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omments2.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drawings/drawing4.xml" ContentType="application/vnd.openxmlformats-officedocument.drawing+xml"/>
  <Override PartName="/xl/comments3.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drawings/drawing5.xml" ContentType="application/vnd.openxmlformats-officedocument.drawing+xml"/>
  <Override PartName="/xl/comments4.xml" ContentType="application/vnd.openxmlformats-officedocument.spreadsheetml.comments+xml"/>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6.xml" ContentType="application/vnd.openxmlformats-officedocument.drawing+xml"/>
  <Override PartName="/xl/comments5.xml" ContentType="application/vnd.openxmlformats-officedocument.spreadsheetml.comments+xml"/>
  <Override PartName="/xl/customProperty17.bin" ContentType="application/vnd.openxmlformats-officedocument.spreadsheetml.customProperty"/>
  <Override PartName="/xl/customProperty18.bin" ContentType="application/vnd.openxmlformats-officedocument.spreadsheetml.customProperty"/>
  <Override PartName="/xl/drawings/drawing7.xml" ContentType="application/vnd.openxmlformats-officedocument.drawing+xml"/>
  <Override PartName="/xl/comments6.xml" ContentType="application/vnd.openxmlformats-officedocument.spreadsheetml.comments+xml"/>
  <Override PartName="/xl/customProperty19.bin" ContentType="application/vnd.openxmlformats-officedocument.spreadsheetml.customProperty"/>
  <Override PartName="/xl/customProperty20.bin" ContentType="application/vnd.openxmlformats-officedocument.spreadsheetml.customProperty"/>
  <Override PartName="/xl/comments7.xml" ContentType="application/vnd.openxmlformats-officedocument.spreadsheetml.comments+xml"/>
  <Override PartName="/xl/customProperty21.bin" ContentType="application/vnd.openxmlformats-officedocument.spreadsheetml.customProperty"/>
  <Override PartName="/xl/customProperty2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codeName="ThisWorkbook"/>
  <bookViews>
    <workbookView xWindow="-108" yWindow="-108" windowWidth="23256" windowHeight="13896" tabRatio="856" xr2:uid="{00000000-000D-0000-FFFF-FFFF00000000}"/>
  </bookViews>
  <sheets>
    <sheet name="Cover" sheetId="141" r:id="rId1"/>
    <sheet name="Sales Model" sheetId="31" r:id="rId2"/>
    <sheet name="Income Statement" sheetId="9" r:id="rId3"/>
    <sheet name="Balance Sheet" sheetId="10" r:id="rId4"/>
    <sheet name="Cash Flows" sheetId="11" r:id="rId5"/>
    <sheet name="Other Phase III and II Pipeline" sheetId="247" r:id="rId6"/>
    <sheet name="UC market model" sheetId="261" r:id="rId7"/>
    <sheet name="CD market model" sheetId="260" r:id="rId8"/>
    <sheet name="Product0404 ESTIMATES" sheetId="259" r:id="rId9"/>
    <sheet name="Debt" sheetId="204" r:id="rId10"/>
  </sheets>
  <definedNames>
    <definedName name="NA">"NA "</definedName>
    <definedName name="NM">"NM  "</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I71" i="9" l="1"/>
  <c r="GF60" i="9"/>
  <c r="GE142" i="9"/>
  <c r="GE136" i="9"/>
  <c r="EI1570" i="31" l="1"/>
  <c r="EH1565" i="31"/>
  <c r="EK937" i="31"/>
  <c r="EL937" i="31" s="1"/>
  <c r="EM937" i="31" s="1"/>
  <c r="EN937" i="31" s="1"/>
  <c r="EG938" i="31"/>
  <c r="EG937" i="31"/>
  <c r="EG950" i="31"/>
  <c r="EG949" i="31"/>
  <c r="EG1331" i="31"/>
  <c r="EG1330" i="31"/>
  <c r="EG1248" i="31"/>
  <c r="EG1247" i="31"/>
  <c r="EG1236" i="31"/>
  <c r="EG1235" i="31"/>
  <c r="EG1224" i="31"/>
  <c r="EG1223" i="31"/>
  <c r="EG1212" i="31"/>
  <c r="EG1211" i="31"/>
  <c r="EG1133" i="31"/>
  <c r="EG1132" i="31"/>
  <c r="EG1121" i="31"/>
  <c r="EG1120" i="31"/>
  <c r="EG1109" i="31"/>
  <c r="EG1108" i="31"/>
  <c r="EG1097" i="31"/>
  <c r="EG1096" i="31"/>
  <c r="GG36" i="9"/>
  <c r="GG37" i="9"/>
  <c r="EG193" i="31" l="1"/>
  <c r="EG265" i="31"/>
  <c r="EG467" i="31"/>
  <c r="EG639" i="31"/>
  <c r="EG594" i="31"/>
  <c r="EG583" i="31"/>
  <c r="EH349" i="31"/>
  <c r="EG349" i="31"/>
  <c r="EF349" i="31"/>
  <c r="EC349" i="31"/>
  <c r="EB349" i="31"/>
  <c r="EA349" i="31"/>
  <c r="EG287" i="31"/>
  <c r="EY162" i="10" l="1"/>
  <c r="EY161" i="10"/>
  <c r="EY163" i="10" s="1"/>
  <c r="EH236" i="31"/>
  <c r="EH237" i="31" s="1"/>
  <c r="EH235" i="31"/>
  <c r="EI231" i="31"/>
  <c r="EI230" i="31"/>
  <c r="EH232" i="31"/>
  <c r="EH225" i="31"/>
  <c r="EH226" i="31" s="1"/>
  <c r="EH224" i="31"/>
  <c r="EI220" i="31"/>
  <c r="EI219" i="31"/>
  <c r="EI181" i="31"/>
  <c r="EI180" i="31"/>
  <c r="EG71" i="31"/>
  <c r="EG70" i="31"/>
  <c r="EG75" i="31" s="1"/>
  <c r="EG764" i="31"/>
  <c r="EG765" i="31" s="1"/>
  <c r="EG763" i="31"/>
  <c r="EG760" i="31"/>
  <c r="EG752" i="31"/>
  <c r="EG749" i="31"/>
  <c r="EG742" i="31"/>
  <c r="EG693" i="31"/>
  <c r="EG687" i="31"/>
  <c r="EG688" i="31" s="1"/>
  <c r="EG686" i="31"/>
  <c r="EG683" i="31"/>
  <c r="EG676" i="31"/>
  <c r="EG677" i="31" s="1"/>
  <c r="EG675" i="31"/>
  <c r="EG672" i="31"/>
  <c r="EG654" i="31"/>
  <c r="EG655" i="31" s="1"/>
  <c r="EG653" i="31"/>
  <c r="EG650" i="31"/>
  <c r="EG643" i="31"/>
  <c r="EG644" i="31" s="1"/>
  <c r="EG642" i="31"/>
  <c r="EG632" i="31"/>
  <c r="EG633" i="31" s="1"/>
  <c r="EG631" i="31"/>
  <c r="EG628" i="31"/>
  <c r="EG576" i="31"/>
  <c r="EG575" i="31"/>
  <c r="EG572" i="31"/>
  <c r="EG565" i="31"/>
  <c r="EG566" i="31" s="1"/>
  <c r="EG564" i="31"/>
  <c r="EG561" i="31"/>
  <c r="EG554" i="31"/>
  <c r="EG555" i="31" s="1"/>
  <c r="EG553" i="31"/>
  <c r="EG550" i="31"/>
  <c r="EG543" i="31"/>
  <c r="EG544" i="31" s="1"/>
  <c r="EG542" i="31"/>
  <c r="EG539" i="31"/>
  <c r="EG536" i="31"/>
  <c r="EG521" i="31"/>
  <c r="EG522" i="31" s="1"/>
  <c r="EG520" i="31"/>
  <c r="EG517" i="31"/>
  <c r="EG515" i="31"/>
  <c r="EG514" i="31"/>
  <c r="EG512" i="31"/>
  <c r="EG509" i="31"/>
  <c r="EG504" i="31"/>
  <c r="EG505" i="31" s="1"/>
  <c r="EG503" i="31"/>
  <c r="EG500" i="31"/>
  <c r="EG471" i="31"/>
  <c r="EG472" i="31" s="1"/>
  <c r="EG470" i="31"/>
  <c r="EG460" i="31"/>
  <c r="EG461" i="31" s="1"/>
  <c r="EG459" i="31"/>
  <c r="EG456" i="31"/>
  <c r="EG352" i="31"/>
  <c r="EG345" i="31"/>
  <c r="EG346" i="31" s="1"/>
  <c r="EG344" i="31"/>
  <c r="EG341" i="31"/>
  <c r="EG334" i="31"/>
  <c r="EG280" i="31"/>
  <c r="EG281" i="31" s="1"/>
  <c r="EG279" i="31"/>
  <c r="EG276" i="31"/>
  <c r="EG269" i="31"/>
  <c r="EG270" i="31" s="1"/>
  <c r="EG268" i="31"/>
  <c r="EG260" i="31"/>
  <c r="EG258" i="31"/>
  <c r="EG257" i="31"/>
  <c r="EG254" i="31"/>
  <c r="EG247" i="31"/>
  <c r="EG248" i="31" s="1"/>
  <c r="EG246" i="31"/>
  <c r="EG243" i="31"/>
  <c r="EG240" i="31"/>
  <c r="EG236" i="31"/>
  <c r="EG237" i="31" s="1"/>
  <c r="EG235" i="31"/>
  <c r="EG233" i="31"/>
  <c r="EG232" i="31"/>
  <c r="EG229" i="31"/>
  <c r="EG225" i="31"/>
  <c r="EG226" i="31" s="1"/>
  <c r="EG224" i="31"/>
  <c r="EG221" i="31"/>
  <c r="EG215" i="31"/>
  <c r="EG211" i="31"/>
  <c r="EG212" i="31" s="1"/>
  <c r="EG209" i="31"/>
  <c r="EG210" i="31" s="1"/>
  <c r="EG208" i="31"/>
  <c r="EG205" i="31"/>
  <c r="EG197" i="31"/>
  <c r="EG198" i="31" s="1"/>
  <c r="EG196" i="31"/>
  <c r="EG186" i="31"/>
  <c r="EG187" i="31" s="1"/>
  <c r="EG185" i="31"/>
  <c r="EG182" i="31"/>
  <c r="EG175" i="31"/>
  <c r="EG176" i="31" s="1"/>
  <c r="EG174" i="31"/>
  <c r="EG171" i="31"/>
  <c r="EG131" i="31"/>
  <c r="EG132" i="31" s="1"/>
  <c r="EG130" i="31"/>
  <c r="EG127" i="31"/>
  <c r="EG1079" i="31"/>
  <c r="EG1194" i="31"/>
  <c r="EG1377" i="31"/>
  <c r="EG1406" i="31" s="1"/>
  <c r="EG1370" i="31" s="1"/>
  <c r="EG1503" i="31"/>
  <c r="EG1508" i="31" s="1"/>
  <c r="EG1504" i="31"/>
  <c r="EG1509" i="31" s="1"/>
  <c r="EG1514" i="31"/>
  <c r="EG1519" i="31" s="1"/>
  <c r="EG1518" i="31"/>
  <c r="EG1525" i="31"/>
  <c r="EG1545" i="31" s="1"/>
  <c r="EG1528" i="31"/>
  <c r="EG1548" i="31" s="1"/>
  <c r="EG1529" i="31"/>
  <c r="EG1549" i="31" s="1"/>
  <c r="EG1543" i="31"/>
  <c r="EG1544" i="31"/>
  <c r="EG1557" i="31"/>
  <c r="EG1560" i="31"/>
  <c r="EG1561" i="31"/>
  <c r="EG1682" i="31"/>
  <c r="EG1593" i="31"/>
  <c r="EG1597" i="31"/>
  <c r="EG1683" i="31" s="1"/>
  <c r="EG1605" i="31"/>
  <c r="EG1608" i="31"/>
  <c r="EG1609" i="31"/>
  <c r="EG1643" i="31"/>
  <c r="EG1648" i="31"/>
  <c r="EG1651" i="31"/>
  <c r="EG692" i="31" s="1"/>
  <c r="EG697" i="31" s="1"/>
  <c r="EG1652" i="31"/>
  <c r="EG1667" i="31"/>
  <c r="EG1668" i="31"/>
  <c r="EG1673" i="31" s="1"/>
  <c r="EG1677" i="31"/>
  <c r="EG1678" i="31"/>
  <c r="GF126" i="9"/>
  <c r="GF120" i="9"/>
  <c r="GF78" i="9"/>
  <c r="GF77" i="9"/>
  <c r="GF76" i="9"/>
  <c r="GF57" i="9"/>
  <c r="GF51" i="9"/>
  <c r="GF47" i="9"/>
  <c r="GF24" i="9"/>
  <c r="EG1669" i="31" l="1"/>
  <c r="EG1610" i="31"/>
  <c r="EG1653" i="31"/>
  <c r="EG1562" i="31"/>
  <c r="EG1530" i="31"/>
  <c r="EG1550" i="31" s="1"/>
  <c r="EG1679" i="31"/>
  <c r="EG694" i="31"/>
  <c r="EG1672" i="31"/>
  <c r="EG1674" i="31"/>
  <c r="EG1505" i="31"/>
  <c r="EG1598" i="31"/>
  <c r="EG1510" i="31"/>
  <c r="EG1515" i="31"/>
  <c r="EG1520" i="31"/>
  <c r="EI232" i="31"/>
  <c r="EI221" i="31"/>
  <c r="EG885" i="31"/>
  <c r="EG886" i="31"/>
  <c r="EG1220" i="31"/>
  <c r="EG1232" i="31"/>
  <c r="EG1244" i="31"/>
  <c r="EG1117" i="31"/>
  <c r="EG946" i="31"/>
  <c r="EG1105" i="31"/>
  <c r="EG1129" i="31"/>
  <c r="EG1684" i="31"/>
  <c r="EG934" i="31"/>
  <c r="EG920" i="31"/>
  <c r="EG1348" i="31" s="1"/>
  <c r="EG45" i="31" s="1"/>
  <c r="GF65" i="9"/>
  <c r="GF29" i="9"/>
  <c r="GF66" i="9"/>
  <c r="GF67" i="9"/>
  <c r="EF240" i="31"/>
  <c r="EE240" i="31"/>
  <c r="EC240" i="31"/>
  <c r="EB240" i="31"/>
  <c r="EA240" i="31"/>
  <c r="DZ240" i="31"/>
  <c r="DX240" i="31"/>
  <c r="DW240" i="31"/>
  <c r="DV240" i="31"/>
  <c r="DU240" i="31"/>
  <c r="EG23" i="31" l="1"/>
  <c r="EG34" i="31"/>
  <c r="EG887" i="31"/>
  <c r="EG35" i="31"/>
  <c r="EG921" i="31"/>
  <c r="EG922" i="31" s="1"/>
  <c r="EG1208" i="31"/>
  <c r="EG1195" i="31"/>
  <c r="EG1080" i="31"/>
  <c r="EG1093" i="31"/>
  <c r="EG1686" i="31"/>
  <c r="EG1327" i="31"/>
  <c r="GF69" i="9"/>
  <c r="GF68" i="9"/>
  <c r="GF38" i="9"/>
  <c r="EG1349" i="31" l="1"/>
  <c r="EG24" i="31" s="1"/>
  <c r="EG36" i="31"/>
  <c r="EG1196" i="31"/>
  <c r="EG1081" i="31"/>
  <c r="GF93" i="9"/>
  <c r="GF96" i="9"/>
  <c r="GF43" i="9"/>
  <c r="GF125" i="9"/>
  <c r="GF127" i="9" s="1"/>
  <c r="GF122" i="9"/>
  <c r="GF71" i="9"/>
  <c r="GF50" i="9" s="1"/>
  <c r="GF49" i="9"/>
  <c r="GF70" i="9"/>
  <c r="EG1393" i="31" l="1"/>
  <c r="EG1388" i="31" s="1"/>
  <c r="EG1350" i="31"/>
  <c r="EG46" i="31"/>
  <c r="GF97" i="9" s="1"/>
  <c r="GF98" i="9" s="1"/>
  <c r="EG1386" i="31"/>
  <c r="GF92" i="9"/>
  <c r="GF94" i="9" s="1"/>
  <c r="GF56" i="9"/>
  <c r="GF44" i="9"/>
  <c r="GF72" i="9"/>
  <c r="GF55" i="9"/>
  <c r="EG1365" i="31" l="1"/>
  <c r="EG1387" i="31"/>
  <c r="EG1389" i="31"/>
  <c r="EG1364" i="31"/>
  <c r="EG1366" i="31" s="1"/>
  <c r="EG1390" i="31"/>
  <c r="EG1394" i="31"/>
  <c r="EG1391" i="31"/>
  <c r="EG1392" i="31"/>
  <c r="EG25" i="31"/>
  <c r="GF107" i="9" s="1"/>
  <c r="EG47" i="31"/>
  <c r="GF106" i="9"/>
  <c r="EH676" i="31"/>
  <c r="EH671" i="31" s="1"/>
  <c r="EH670" i="31"/>
  <c r="EH687" i="31"/>
  <c r="EH682" i="31" s="1"/>
  <c r="EH681" i="31"/>
  <c r="GF103" i="9" l="1"/>
  <c r="GF115" i="9" s="1"/>
  <c r="GF104" i="9"/>
  <c r="GF102" i="9"/>
  <c r="GF114" i="9" s="1"/>
  <c r="GF116" i="9" s="1"/>
  <c r="GF108" i="9"/>
  <c r="EH683" i="31"/>
  <c r="EH672" i="31"/>
  <c r="EF287" i="31"/>
  <c r="EI571" i="31"/>
  <c r="EX161" i="10" l="1"/>
  <c r="EY158" i="10" s="1"/>
  <c r="EY220" i="10"/>
  <c r="EX220" i="10"/>
  <c r="EY215" i="10"/>
  <c r="EX215" i="10"/>
  <c r="EY212" i="10"/>
  <c r="EX212" i="10"/>
  <c r="EY207" i="10"/>
  <c r="EX207" i="10"/>
  <c r="EY197" i="10"/>
  <c r="EX197" i="10"/>
  <c r="EY195" i="10" s="1"/>
  <c r="EY190" i="10"/>
  <c r="EY188" i="10"/>
  <c r="EY187" i="10"/>
  <c r="EX185" i="10"/>
  <c r="EY141" i="10"/>
  <c r="EZ27" i="11"/>
  <c r="EZ28" i="11" s="1"/>
  <c r="FA50" i="11"/>
  <c r="FA46" i="11"/>
  <c r="FA45" i="11"/>
  <c r="FA44" i="11"/>
  <c r="FA43" i="11"/>
  <c r="FA42" i="11"/>
  <c r="FA40" i="11"/>
  <c r="FA39" i="11"/>
  <c r="FA34" i="11"/>
  <c r="FA33" i="11"/>
  <c r="FA26" i="11"/>
  <c r="FA25" i="11"/>
  <c r="FA24" i="11"/>
  <c r="FA23" i="11"/>
  <c r="FA22" i="11"/>
  <c r="FA20" i="11"/>
  <c r="FA19" i="11"/>
  <c r="FA18" i="11"/>
  <c r="FA16" i="11"/>
  <c r="FA15" i="11"/>
  <c r="FA12" i="11"/>
  <c r="FA41" i="11"/>
  <c r="FA17" i="11"/>
  <c r="FA14" i="11"/>
  <c r="EY38" i="10"/>
  <c r="EY34" i="10"/>
  <c r="EY155" i="10"/>
  <c r="EY149" i="10"/>
  <c r="EY139" i="10"/>
  <c r="EY150" i="10" s="1"/>
  <c r="EY131" i="10"/>
  <c r="EY125" i="10"/>
  <c r="EY118" i="10"/>
  <c r="EY102" i="10"/>
  <c r="EY95" i="10"/>
  <c r="EY96" i="10" s="1"/>
  <c r="EY98" i="10" s="1"/>
  <c r="EY87" i="10"/>
  <c r="EY85" i="10"/>
  <c r="EY52" i="10"/>
  <c r="EY20" i="10"/>
  <c r="EY27" i="10" l="1"/>
  <c r="EY192" i="10"/>
  <c r="EY97" i="10"/>
  <c r="EY179" i="10"/>
  <c r="EY180" i="10"/>
  <c r="EY217" i="10"/>
  <c r="EY196" i="10"/>
  <c r="FA27" i="11"/>
  <c r="FA28" i="11" s="1"/>
  <c r="FA29" i="11" s="1"/>
  <c r="EY205" i="10"/>
  <c r="EY206" i="10" s="1"/>
  <c r="EY210" i="10"/>
  <c r="EY211" i="10" s="1"/>
  <c r="EY91" i="10"/>
  <c r="EY140" i="10"/>
  <c r="EY103" i="10"/>
  <c r="EY104" i="10" s="1"/>
  <c r="EY36" i="10"/>
  <c r="EY142" i="10" l="1"/>
  <c r="EY218" i="10"/>
  <c r="EY186" i="10"/>
  <c r="EY41" i="10"/>
  <c r="EY169" i="10"/>
  <c r="EY168" i="10"/>
  <c r="EY167" i="10"/>
  <c r="EY146" i="10"/>
  <c r="EY147" i="10" s="1"/>
  <c r="EY148" i="10" s="1"/>
  <c r="EY54" i="10" l="1"/>
  <c r="EY93" i="10" s="1"/>
  <c r="EY55" i="10"/>
  <c r="EY57" i="10"/>
  <c r="EI570" i="31"/>
  <c r="EH572" i="31"/>
  <c r="EH554" i="31"/>
  <c r="EH549" i="31" s="1"/>
  <c r="EH548" i="31"/>
  <c r="EI351" i="31"/>
  <c r="EI350" i="31"/>
  <c r="EH345" i="31"/>
  <c r="EH340" i="31" s="1"/>
  <c r="EH339" i="31"/>
  <c r="EI285" i="31"/>
  <c r="EH247" i="31"/>
  <c r="EH242" i="31" s="1"/>
  <c r="EH241" i="31"/>
  <c r="EY56" i="10" l="1"/>
  <c r="EY181" i="10"/>
  <c r="EH341" i="31"/>
  <c r="EH550" i="31"/>
  <c r="EH243" i="31"/>
  <c r="EC229" i="31" l="1"/>
  <c r="EB229" i="31"/>
  <c r="EA229" i="31"/>
  <c r="DZ229" i="31"/>
  <c r="EF229" i="31"/>
  <c r="EE229" i="31"/>
  <c r="EE536" i="31"/>
  <c r="EO1587" i="31" l="1"/>
  <c r="ET1587" i="31"/>
  <c r="EU1587" i="31"/>
  <c r="EW1587" i="31"/>
  <c r="EK1586" i="31"/>
  <c r="EJ1587" i="31"/>
  <c r="EP1587" i="31"/>
  <c r="EV1587" i="31"/>
  <c r="ES1586" i="31"/>
  <c r="ER1587" i="31"/>
  <c r="EM1587" i="31"/>
  <c r="ES1587" i="31"/>
  <c r="EK1587" i="31"/>
  <c r="EI1586" i="31"/>
  <c r="EV1586" i="31"/>
  <c r="EQ1586" i="31"/>
  <c r="EW1586" i="31"/>
  <c r="EQ1587" i="31"/>
  <c r="EL1586" i="31"/>
  <c r="ER1586" i="31"/>
  <c r="EM1586" i="31"/>
  <c r="EL1587" i="31"/>
  <c r="EN1586" i="31"/>
  <c r="ET1586" i="31"/>
  <c r="EO1586" i="31"/>
  <c r="EU1586" i="31"/>
  <c r="EN1587" i="31"/>
  <c r="EJ1586" i="31"/>
  <c r="EP1586" i="31"/>
  <c r="EI1587" i="31"/>
  <c r="EP1572" i="31"/>
  <c r="ES1567" i="31"/>
  <c r="EO1572" i="31"/>
  <c r="EO1567" i="31"/>
  <c r="EQ1572" i="31"/>
  <c r="EQ1567" i="31"/>
  <c r="ER1567" i="31"/>
  <c r="ER1572" i="31"/>
  <c r="ES1572" i="31"/>
  <c r="EP1567" i="31"/>
  <c r="EH1570" i="31" l="1"/>
  <c r="EH1572" i="31" s="1"/>
  <c r="EI511" i="31" l="1"/>
  <c r="EI253" i="31"/>
  <c r="EI252" i="31"/>
  <c r="EF131" i="31"/>
  <c r="EF132" i="31" s="1"/>
  <c r="EF130" i="31"/>
  <c r="EF638" i="31"/>
  <c r="EF643" i="31" s="1"/>
  <c r="EF644" i="31" s="1"/>
  <c r="EF637" i="31"/>
  <c r="EF594" i="31"/>
  <c r="EF583" i="31"/>
  <c r="EF466" i="31"/>
  <c r="EF471" i="31" s="1"/>
  <c r="EF472" i="31" s="1"/>
  <c r="EF465" i="31"/>
  <c r="EF470" i="31" s="1"/>
  <c r="EF264" i="31"/>
  <c r="EF269" i="31" s="1"/>
  <c r="EF270" i="31" s="1"/>
  <c r="EF263" i="31"/>
  <c r="EF196" i="31"/>
  <c r="EF71" i="31"/>
  <c r="EF70" i="31"/>
  <c r="EF764" i="31"/>
  <c r="EF765" i="31" s="1"/>
  <c r="EF763" i="31"/>
  <c r="EF760" i="31"/>
  <c r="EF752" i="31"/>
  <c r="EF749" i="31"/>
  <c r="EF742" i="31"/>
  <c r="EF687" i="31"/>
  <c r="EF688" i="31" s="1"/>
  <c r="EF686" i="31"/>
  <c r="EF683" i="31"/>
  <c r="EF676" i="31"/>
  <c r="EF677" i="31" s="1"/>
  <c r="EF675" i="31"/>
  <c r="EF672" i="31"/>
  <c r="EF654" i="31"/>
  <c r="EF655" i="31" s="1"/>
  <c r="EF653" i="31"/>
  <c r="EF650" i="31"/>
  <c r="EF632" i="31"/>
  <c r="EF633" i="31" s="1"/>
  <c r="EF631" i="31"/>
  <c r="EF628" i="31"/>
  <c r="EF576" i="31"/>
  <c r="EF575" i="31"/>
  <c r="EF572" i="31"/>
  <c r="EF565" i="31"/>
  <c r="EF566" i="31" s="1"/>
  <c r="EF564" i="31"/>
  <c r="EF561" i="31"/>
  <c r="EF554" i="31"/>
  <c r="EF555" i="31" s="1"/>
  <c r="EF553" i="31"/>
  <c r="EF550" i="31"/>
  <c r="EF543" i="31"/>
  <c r="EF544" i="31" s="1"/>
  <c r="EF542" i="31"/>
  <c r="EF539" i="31"/>
  <c r="EF536" i="31"/>
  <c r="EF521" i="31"/>
  <c r="EF522" i="31" s="1"/>
  <c r="EF520" i="31"/>
  <c r="EF517" i="31"/>
  <c r="EF515" i="31"/>
  <c r="EF514" i="31"/>
  <c r="EF512" i="31"/>
  <c r="EF509" i="31"/>
  <c r="EF504" i="31"/>
  <c r="EF505" i="31" s="1"/>
  <c r="EF503" i="31"/>
  <c r="EF500" i="31"/>
  <c r="EF460" i="31"/>
  <c r="EF461" i="31" s="1"/>
  <c r="EF459" i="31"/>
  <c r="EF456" i="31"/>
  <c r="EF352" i="31"/>
  <c r="EF345" i="31"/>
  <c r="EF346" i="31" s="1"/>
  <c r="EF344" i="31"/>
  <c r="EF341" i="31"/>
  <c r="EF334" i="31"/>
  <c r="EF280" i="31"/>
  <c r="EF281" i="31" s="1"/>
  <c r="EF279" i="31"/>
  <c r="EF276" i="31"/>
  <c r="EF258" i="31"/>
  <c r="EF257" i="31"/>
  <c r="EF254" i="31"/>
  <c r="EF247" i="31"/>
  <c r="EF248" i="31" s="1"/>
  <c r="EF246" i="31"/>
  <c r="EF243" i="31"/>
  <c r="EF236" i="31"/>
  <c r="EF237" i="31" s="1"/>
  <c r="EF235" i="31"/>
  <c r="EF232" i="31"/>
  <c r="EF225" i="31"/>
  <c r="EF226" i="31" s="1"/>
  <c r="EF224" i="31"/>
  <c r="EF221" i="31"/>
  <c r="EF215" i="31"/>
  <c r="EF211" i="31"/>
  <c r="EF212" i="31" s="1"/>
  <c r="EF209" i="31"/>
  <c r="EF210" i="31" s="1"/>
  <c r="EF208" i="31"/>
  <c r="EF205" i="31"/>
  <c r="EF186" i="31"/>
  <c r="EF187" i="31" s="1"/>
  <c r="EF185" i="31"/>
  <c r="EF182" i="31"/>
  <c r="EF175" i="31"/>
  <c r="EF176" i="31" s="1"/>
  <c r="EF174" i="31"/>
  <c r="EF171" i="31"/>
  <c r="EF127" i="31"/>
  <c r="GE60" i="9"/>
  <c r="GD51" i="9"/>
  <c r="EY88" i="10" l="1"/>
  <c r="EY92" i="10" s="1"/>
  <c r="EF639" i="31"/>
  <c r="EF642" i="31"/>
  <c r="EF467" i="31"/>
  <c r="EF265" i="31"/>
  <c r="EF268" i="31"/>
  <c r="EF193" i="31"/>
  <c r="EF197" i="31"/>
  <c r="EF198" i="31" s="1"/>
  <c r="EF75" i="31"/>
  <c r="EF72" i="31"/>
  <c r="GE126" i="9"/>
  <c r="GE78" i="9"/>
  <c r="GE77" i="9"/>
  <c r="GE76" i="9"/>
  <c r="GE62" i="9"/>
  <c r="GE57" i="9"/>
  <c r="GE54" i="9"/>
  <c r="GE51" i="9"/>
  <c r="GE47" i="9"/>
  <c r="GE24" i="9"/>
  <c r="EI1404" i="31"/>
  <c r="GE67" i="9" l="1"/>
  <c r="EY83" i="10"/>
  <c r="GE65" i="9"/>
  <c r="GE66" i="9"/>
  <c r="GE29" i="9"/>
  <c r="EF1331" i="31"/>
  <c r="EF1330" i="31"/>
  <c r="EF1327" i="31"/>
  <c r="EF1248" i="31"/>
  <c r="EF1247" i="31"/>
  <c r="EF1244" i="31"/>
  <c r="EF1236" i="31"/>
  <c r="EF1235" i="31"/>
  <c r="EF1232" i="31"/>
  <c r="EF1224" i="31"/>
  <c r="EF1223" i="31"/>
  <c r="EF1220" i="31"/>
  <c r="EF1212" i="31"/>
  <c r="EF1211" i="31"/>
  <c r="EF1208" i="31"/>
  <c r="EF1195" i="31"/>
  <c r="EF1194" i="31"/>
  <c r="EF1133" i="31"/>
  <c r="EF1132" i="31"/>
  <c r="EF1129" i="31"/>
  <c r="EF1121" i="31"/>
  <c r="EF1120" i="31"/>
  <c r="EF1117" i="31"/>
  <c r="EF1109" i="31"/>
  <c r="EF1108" i="31"/>
  <c r="EF1105" i="31"/>
  <c r="EF1097" i="31"/>
  <c r="EF1096" i="31"/>
  <c r="EF1093" i="31"/>
  <c r="EF1080" i="31"/>
  <c r="EF1079" i="31"/>
  <c r="EF950" i="31"/>
  <c r="EF949" i="31"/>
  <c r="EF946" i="31"/>
  <c r="EF938" i="31"/>
  <c r="EF937" i="31"/>
  <c r="EF934" i="31"/>
  <c r="EF921" i="31"/>
  <c r="EF920" i="31"/>
  <c r="GE69" i="9" l="1"/>
  <c r="GE68" i="9"/>
  <c r="GE38" i="9"/>
  <c r="EF1081" i="31"/>
  <c r="EF1349" i="31"/>
  <c r="EF46" i="31" s="1"/>
  <c r="EF922" i="31"/>
  <c r="EF1196" i="31"/>
  <c r="EF1348" i="31"/>
  <c r="EF45" i="31" s="1"/>
  <c r="M52" i="261"/>
  <c r="L52" i="261"/>
  <c r="K52" i="261"/>
  <c r="J52" i="261"/>
  <c r="I52" i="261"/>
  <c r="H52" i="261"/>
  <c r="G52" i="261"/>
  <c r="F52" i="261"/>
  <c r="E52" i="261"/>
  <c r="D52" i="261"/>
  <c r="H49" i="261"/>
  <c r="I49" i="261" s="1"/>
  <c r="J49" i="261" s="1"/>
  <c r="K49" i="261" s="1"/>
  <c r="L49" i="261" s="1"/>
  <c r="M49" i="261" s="1"/>
  <c r="H45" i="261"/>
  <c r="I45" i="261" s="1"/>
  <c r="J45" i="261" s="1"/>
  <c r="K45" i="261" s="1"/>
  <c r="L45" i="261" s="1"/>
  <c r="M45" i="261" s="1"/>
  <c r="H39" i="261"/>
  <c r="I39" i="261" s="1"/>
  <c r="J39" i="261" s="1"/>
  <c r="K39" i="261" s="1"/>
  <c r="L39" i="261" s="1"/>
  <c r="M39" i="261" s="1"/>
  <c r="G34" i="261"/>
  <c r="M33" i="261"/>
  <c r="L33" i="261"/>
  <c r="L34" i="261" s="1"/>
  <c r="K33" i="261"/>
  <c r="K34" i="261" s="1"/>
  <c r="J33" i="261"/>
  <c r="J34" i="261" s="1"/>
  <c r="I33" i="261"/>
  <c r="G36" i="261"/>
  <c r="D14" i="261"/>
  <c r="D19" i="261" s="1"/>
  <c r="D25" i="261" s="1"/>
  <c r="D13" i="261"/>
  <c r="D18" i="261" s="1"/>
  <c r="D24" i="261" s="1"/>
  <c r="D12" i="261"/>
  <c r="D17" i="261" s="1"/>
  <c r="D23" i="261" s="1"/>
  <c r="F9" i="261"/>
  <c r="G9" i="261" s="1"/>
  <c r="H9" i="261" s="1"/>
  <c r="I9" i="261" s="1"/>
  <c r="J9" i="261" s="1"/>
  <c r="K9" i="261" s="1"/>
  <c r="L9" i="261" s="1"/>
  <c r="M9" i="261" s="1"/>
  <c r="E8" i="261"/>
  <c r="E13" i="261" s="1"/>
  <c r="E18" i="261" s="1"/>
  <c r="E24" i="261" s="1"/>
  <c r="B3" i="261"/>
  <c r="M42" i="260"/>
  <c r="L42" i="260"/>
  <c r="K42" i="260"/>
  <c r="J42" i="260"/>
  <c r="I42" i="260"/>
  <c r="H42" i="260"/>
  <c r="G42" i="260"/>
  <c r="F42" i="260"/>
  <c r="E42" i="260"/>
  <c r="D42" i="260"/>
  <c r="I39" i="260"/>
  <c r="J39" i="260" s="1"/>
  <c r="K39" i="260" s="1"/>
  <c r="L39" i="260" s="1"/>
  <c r="M39" i="260" s="1"/>
  <c r="I35" i="260"/>
  <c r="I29" i="260"/>
  <c r="J29" i="260" s="1"/>
  <c r="K29" i="260" s="1"/>
  <c r="L29" i="260" s="1"/>
  <c r="M29" i="260" s="1"/>
  <c r="M23" i="260"/>
  <c r="M24" i="260" s="1"/>
  <c r="L23" i="260"/>
  <c r="L24" i="260" s="1"/>
  <c r="K23" i="260"/>
  <c r="K24" i="260" s="1"/>
  <c r="J23" i="260"/>
  <c r="J24" i="260" s="1"/>
  <c r="I23" i="260"/>
  <c r="I24" i="260" s="1"/>
  <c r="H23" i="260"/>
  <c r="H24" i="260" s="1"/>
  <c r="C13" i="260"/>
  <c r="D13" i="260" s="1"/>
  <c r="D16" i="260" s="1"/>
  <c r="D19" i="260" s="1"/>
  <c r="D12" i="260"/>
  <c r="F9" i="260"/>
  <c r="G9" i="260" s="1"/>
  <c r="H9" i="260" s="1"/>
  <c r="I9" i="260" s="1"/>
  <c r="J9" i="260" s="1"/>
  <c r="K9" i="260" s="1"/>
  <c r="L9" i="260" s="1"/>
  <c r="M9" i="260" s="1"/>
  <c r="E8" i="260"/>
  <c r="E12" i="260" s="1"/>
  <c r="B3" i="260"/>
  <c r="E5" i="259"/>
  <c r="F5" i="259" s="1"/>
  <c r="D6" i="259"/>
  <c r="E3" i="259"/>
  <c r="F3" i="259" s="1"/>
  <c r="G3" i="259" s="1"/>
  <c r="H3" i="259" s="1"/>
  <c r="I3" i="259" s="1"/>
  <c r="J3" i="259" s="1"/>
  <c r="EF47" i="31" l="1"/>
  <c r="GE97" i="9"/>
  <c r="GE96" i="9"/>
  <c r="GE43" i="9"/>
  <c r="GE49" i="9"/>
  <c r="GE125" i="9"/>
  <c r="GE127" i="9" s="1"/>
  <c r="GE70" i="9"/>
  <c r="GE122" i="9"/>
  <c r="GE71" i="9"/>
  <c r="GE50" i="9" s="1"/>
  <c r="EF1350" i="31"/>
  <c r="K44" i="261"/>
  <c r="I32" i="260"/>
  <c r="K42" i="261"/>
  <c r="J32" i="260"/>
  <c r="I34" i="260"/>
  <c r="E12" i="261"/>
  <c r="E17" i="261" s="1"/>
  <c r="E23" i="261" s="1"/>
  <c r="E14" i="261"/>
  <c r="E19" i="261" s="1"/>
  <c r="E25" i="261" s="1"/>
  <c r="E26" i="261" s="1"/>
  <c r="E29" i="261" s="1"/>
  <c r="F8" i="261"/>
  <c r="F14" i="261" s="1"/>
  <c r="F19" i="261" s="1"/>
  <c r="F25" i="261" s="1"/>
  <c r="I34" i="261"/>
  <c r="M44" i="261"/>
  <c r="D26" i="261"/>
  <c r="G44" i="261"/>
  <c r="G47" i="261" s="1"/>
  <c r="D22" i="261"/>
  <c r="C22" i="261" s="1"/>
  <c r="M42" i="261"/>
  <c r="D20" i="261"/>
  <c r="J44" i="261"/>
  <c r="E13" i="260"/>
  <c r="E16" i="260" s="1"/>
  <c r="E19" i="260" s="1"/>
  <c r="K32" i="260"/>
  <c r="H34" i="260"/>
  <c r="J35" i="260"/>
  <c r="K35" i="260" s="1"/>
  <c r="L35" i="260" s="1"/>
  <c r="M35" i="260" s="1"/>
  <c r="L32" i="260"/>
  <c r="F8" i="260"/>
  <c r="M32" i="260"/>
  <c r="G5" i="259"/>
  <c r="E4" i="259"/>
  <c r="EF1364" i="31" l="1"/>
  <c r="GE98" i="9"/>
  <c r="GE53" i="9"/>
  <c r="GE56" i="9"/>
  <c r="GE44" i="9"/>
  <c r="GE52" i="9"/>
  <c r="GE72" i="9"/>
  <c r="GE55" i="9"/>
  <c r="EF1365" i="31"/>
  <c r="EF1366" i="31" s="1"/>
  <c r="L34" i="260"/>
  <c r="K34" i="260"/>
  <c r="J42" i="261"/>
  <c r="I44" i="261"/>
  <c r="G8" i="261"/>
  <c r="F12" i="261"/>
  <c r="F17" i="261" s="1"/>
  <c r="F23" i="261" s="1"/>
  <c r="F13" i="261"/>
  <c r="F18" i="261" s="1"/>
  <c r="F24" i="261" s="1"/>
  <c r="F26" i="261" s="1"/>
  <c r="F29" i="261" s="1"/>
  <c r="E20" i="261"/>
  <c r="G57" i="261"/>
  <c r="L44" i="261"/>
  <c r="L42" i="261"/>
  <c r="C26" i="261"/>
  <c r="D29" i="261"/>
  <c r="M34" i="260"/>
  <c r="J34" i="260"/>
  <c r="F12" i="260"/>
  <c r="G8" i="260"/>
  <c r="F13" i="260"/>
  <c r="F16" i="260" s="1"/>
  <c r="F19" i="260" s="1"/>
  <c r="E6" i="259"/>
  <c r="F4" i="259"/>
  <c r="H5" i="259"/>
  <c r="G14" i="261" l="1"/>
  <c r="G19" i="261" s="1"/>
  <c r="G25" i="261" s="1"/>
  <c r="G12" i="261"/>
  <c r="G17" i="261" s="1"/>
  <c r="G13" i="261"/>
  <c r="G18" i="261" s="1"/>
  <c r="G24" i="261" s="1"/>
  <c r="H8" i="261"/>
  <c r="F20" i="261"/>
  <c r="G54" i="261"/>
  <c r="H8" i="260"/>
  <c r="G13" i="260"/>
  <c r="G16" i="260" s="1"/>
  <c r="G19" i="260" s="1"/>
  <c r="G12" i="260"/>
  <c r="G4" i="259"/>
  <c r="F6" i="259"/>
  <c r="I5" i="259"/>
  <c r="G26" i="261" l="1"/>
  <c r="G29" i="261" s="1"/>
  <c r="G32" i="261" s="1"/>
  <c r="H33" i="261" s="1"/>
  <c r="H34" i="261" s="1"/>
  <c r="H42" i="261" s="1"/>
  <c r="H14" i="261"/>
  <c r="H19" i="261" s="1"/>
  <c r="H25" i="261" s="1"/>
  <c r="H13" i="261"/>
  <c r="H18" i="261" s="1"/>
  <c r="H24" i="261" s="1"/>
  <c r="H12" i="261"/>
  <c r="H17" i="261" s="1"/>
  <c r="I8" i="261"/>
  <c r="G20" i="261"/>
  <c r="G23" i="261"/>
  <c r="I8" i="260"/>
  <c r="H13" i="260"/>
  <c r="H16" i="260" s="1"/>
  <c r="H19" i="260" s="1"/>
  <c r="H12" i="260"/>
  <c r="J5" i="259"/>
  <c r="G6" i="259"/>
  <c r="H4" i="259"/>
  <c r="H26" i="261" l="1"/>
  <c r="H29" i="261" s="1"/>
  <c r="H30" i="261" s="1"/>
  <c r="H36" i="261" s="1"/>
  <c r="H44" i="261"/>
  <c r="I42" i="261"/>
  <c r="H23" i="261"/>
  <c r="H20" i="261"/>
  <c r="I12" i="261"/>
  <c r="I17" i="261" s="1"/>
  <c r="J8" i="261"/>
  <c r="I13" i="261"/>
  <c r="I18" i="261" s="1"/>
  <c r="I24" i="261" s="1"/>
  <c r="I14" i="261"/>
  <c r="I19" i="261" s="1"/>
  <c r="I25" i="261" s="1"/>
  <c r="H20" i="260"/>
  <c r="H26" i="260"/>
  <c r="H37" i="260" s="1"/>
  <c r="I13" i="260"/>
  <c r="I16" i="260" s="1"/>
  <c r="I19" i="260" s="1"/>
  <c r="I12" i="260"/>
  <c r="J8" i="260"/>
  <c r="H6" i="259"/>
  <c r="I4" i="259"/>
  <c r="H47" i="261" l="1"/>
  <c r="H48" i="261" s="1"/>
  <c r="I26" i="261"/>
  <c r="I29" i="261" s="1"/>
  <c r="I30" i="261" s="1"/>
  <c r="I36" i="261" s="1"/>
  <c r="I47" i="261" s="1"/>
  <c r="I23" i="261"/>
  <c r="I20" i="261"/>
  <c r="K8" i="261"/>
  <c r="J14" i="261"/>
  <c r="J19" i="261" s="1"/>
  <c r="J25" i="261" s="1"/>
  <c r="J13" i="261"/>
  <c r="J18" i="261" s="1"/>
  <c r="J24" i="261" s="1"/>
  <c r="J12" i="261"/>
  <c r="J17" i="261" s="1"/>
  <c r="J12" i="260"/>
  <c r="J13" i="260"/>
  <c r="J16" i="260" s="1"/>
  <c r="J19" i="260" s="1"/>
  <c r="K8" i="260"/>
  <c r="I20" i="260"/>
  <c r="I26" i="260"/>
  <c r="I37" i="260" s="1"/>
  <c r="H47" i="260"/>
  <c r="I6" i="259"/>
  <c r="J4" i="259"/>
  <c r="E8" i="259" l="1"/>
  <c r="E12" i="259" s="1"/>
  <c r="H57" i="261"/>
  <c r="H58" i="261" s="1"/>
  <c r="F8" i="259"/>
  <c r="F12" i="259" s="1"/>
  <c r="J26" i="261"/>
  <c r="J29" i="261" s="1"/>
  <c r="J30" i="261" s="1"/>
  <c r="J36" i="261" s="1"/>
  <c r="J47" i="261" s="1"/>
  <c r="J57" i="261" s="1"/>
  <c r="J54" i="261" s="1"/>
  <c r="K12" i="261"/>
  <c r="K17" i="261" s="1"/>
  <c r="K13" i="261"/>
  <c r="K18" i="261" s="1"/>
  <c r="K24" i="261" s="1"/>
  <c r="L8" i="261"/>
  <c r="K14" i="261"/>
  <c r="K19" i="261" s="1"/>
  <c r="K25" i="261" s="1"/>
  <c r="J20" i="261"/>
  <c r="J23" i="261"/>
  <c r="I48" i="261"/>
  <c r="I57" i="261"/>
  <c r="H44" i="260"/>
  <c r="I47" i="260"/>
  <c r="I38" i="260"/>
  <c r="K12" i="260"/>
  <c r="L8" i="260"/>
  <c r="K13" i="260"/>
  <c r="K16" i="260" s="1"/>
  <c r="K19" i="260" s="1"/>
  <c r="J26" i="260"/>
  <c r="J37" i="260" s="1"/>
  <c r="J20" i="260"/>
  <c r="J6" i="259"/>
  <c r="H54" i="261" l="1"/>
  <c r="H55" i="261" s="1"/>
  <c r="G8" i="259"/>
  <c r="G12" i="259" s="1"/>
  <c r="EJ241" i="31"/>
  <c r="J48" i="261"/>
  <c r="K20" i="261"/>
  <c r="K23" i="261"/>
  <c r="L13" i="261"/>
  <c r="L18" i="261" s="1"/>
  <c r="L24" i="261" s="1"/>
  <c r="M8" i="261"/>
  <c r="L12" i="261"/>
  <c r="L17" i="261" s="1"/>
  <c r="L14" i="261"/>
  <c r="L19" i="261" s="1"/>
  <c r="L25" i="261" s="1"/>
  <c r="I58" i="261"/>
  <c r="I54" i="261"/>
  <c r="I55" i="261" s="1"/>
  <c r="K26" i="261"/>
  <c r="K29" i="261" s="1"/>
  <c r="K30" i="261" s="1"/>
  <c r="K36" i="261" s="1"/>
  <c r="K47" i="261" s="1"/>
  <c r="J58" i="261"/>
  <c r="I44" i="260"/>
  <c r="I48" i="260"/>
  <c r="J38" i="260"/>
  <c r="J47" i="260"/>
  <c r="K26" i="260"/>
  <c r="K37" i="260" s="1"/>
  <c r="K20" i="260"/>
  <c r="L12" i="260"/>
  <c r="M8" i="260"/>
  <c r="L13" i="260"/>
  <c r="L16" i="260" s="1"/>
  <c r="L19" i="260" s="1"/>
  <c r="E9" i="259" l="1"/>
  <c r="E13" i="259" s="1"/>
  <c r="H8" i="259"/>
  <c r="H12" i="259" s="1"/>
  <c r="I45" i="260"/>
  <c r="F9" i="259"/>
  <c r="EK241" i="31"/>
  <c r="L26" i="261"/>
  <c r="L29" i="261" s="1"/>
  <c r="L30" i="261" s="1"/>
  <c r="L36" i="261" s="1"/>
  <c r="L47" i="261" s="1"/>
  <c r="L48" i="261" s="1"/>
  <c r="L20" i="261"/>
  <c r="L23" i="261"/>
  <c r="M13" i="261"/>
  <c r="M18" i="261" s="1"/>
  <c r="M24" i="261" s="1"/>
  <c r="M14" i="261"/>
  <c r="M19" i="261" s="1"/>
  <c r="M25" i="261" s="1"/>
  <c r="M12" i="261"/>
  <c r="M17" i="261" s="1"/>
  <c r="K57" i="261"/>
  <c r="K48" i="261"/>
  <c r="J55" i="261"/>
  <c r="J44" i="260"/>
  <c r="J48" i="260"/>
  <c r="L20" i="260"/>
  <c r="L26" i="260"/>
  <c r="L37" i="260" s="1"/>
  <c r="M13" i="260"/>
  <c r="M16" i="260" s="1"/>
  <c r="M19" i="260" s="1"/>
  <c r="M12" i="260"/>
  <c r="K38" i="260"/>
  <c r="K47" i="260"/>
  <c r="E10" i="259" l="1"/>
  <c r="L57" i="261"/>
  <c r="L54" i="261" s="1"/>
  <c r="I8" i="259"/>
  <c r="I12" i="259" s="1"/>
  <c r="F13" i="259"/>
  <c r="F10" i="259"/>
  <c r="J45" i="260"/>
  <c r="G9" i="259"/>
  <c r="EL241" i="31"/>
  <c r="E14" i="259"/>
  <c r="M26" i="261"/>
  <c r="M29" i="261" s="1"/>
  <c r="M30" i="261" s="1"/>
  <c r="M36" i="261" s="1"/>
  <c r="M47" i="261" s="1"/>
  <c r="M23" i="261"/>
  <c r="M20" i="261"/>
  <c r="K54" i="261"/>
  <c r="K55" i="261" s="1"/>
  <c r="K58" i="261"/>
  <c r="L38" i="260"/>
  <c r="L47" i="260"/>
  <c r="K44" i="260"/>
  <c r="K48" i="260"/>
  <c r="M20" i="260"/>
  <c r="M26" i="260"/>
  <c r="M37" i="260" s="1"/>
  <c r="L58" i="261" l="1"/>
  <c r="J8" i="259"/>
  <c r="J12" i="259" s="1"/>
  <c r="K45" i="260"/>
  <c r="H9" i="259"/>
  <c r="G13" i="259"/>
  <c r="G10" i="259"/>
  <c r="EM241" i="31"/>
  <c r="EJ242" i="31"/>
  <c r="F14" i="259"/>
  <c r="M57" i="261"/>
  <c r="M48" i="261"/>
  <c r="L55" i="261"/>
  <c r="L48" i="260"/>
  <c r="L44" i="260"/>
  <c r="M38" i="260"/>
  <c r="M47" i="260"/>
  <c r="L45" i="260" l="1"/>
  <c r="I9" i="259"/>
  <c r="H13" i="259"/>
  <c r="H10" i="259"/>
  <c r="EK242" i="31"/>
  <c r="G14" i="259"/>
  <c r="EN241" i="31"/>
  <c r="M54" i="261"/>
  <c r="M55" i="261" s="1"/>
  <c r="M58" i="261"/>
  <c r="M48" i="260"/>
  <c r="M44" i="260"/>
  <c r="EL242" i="31" l="1"/>
  <c r="H14" i="259"/>
  <c r="I13" i="259"/>
  <c r="I10" i="259"/>
  <c r="M45" i="260"/>
  <c r="J9" i="259"/>
  <c r="J13" i="259" l="1"/>
  <c r="J10" i="259"/>
  <c r="EM242" i="31"/>
  <c r="I14" i="259"/>
  <c r="EN242" i="31" l="1"/>
  <c r="J14" i="259"/>
  <c r="EX138" i="10" l="1"/>
  <c r="EX164" i="10"/>
  <c r="EX162" i="10"/>
  <c r="EX125" i="10"/>
  <c r="EY123" i="10" s="1"/>
  <c r="EY124" i="10" s="1"/>
  <c r="EX118" i="10"/>
  <c r="EY115" i="10" s="1"/>
  <c r="EX155" i="10"/>
  <c r="EY153" i="10" s="1"/>
  <c r="EY154" i="10" s="1"/>
  <c r="EX139" i="10"/>
  <c r="EY134" i="10" s="1"/>
  <c r="EZ47" i="11"/>
  <c r="EZ35" i="11"/>
  <c r="EZ32" i="11"/>
  <c r="EZ29" i="11"/>
  <c r="EX87" i="10"/>
  <c r="EX85" i="10"/>
  <c r="EX49" i="10"/>
  <c r="EX38" i="10"/>
  <c r="EX34" i="10"/>
  <c r="EX20" i="10"/>
  <c r="EX95" i="10"/>
  <c r="EI593" i="31"/>
  <c r="EI592" i="31"/>
  <c r="EH594" i="31"/>
  <c r="FA32" i="11" l="1"/>
  <c r="FA35" i="11"/>
  <c r="EX36" i="10"/>
  <c r="EY159" i="10"/>
  <c r="FA36" i="11"/>
  <c r="EY189" i="10"/>
  <c r="EX27" i="10"/>
  <c r="EX168" i="10"/>
  <c r="EX167" i="10"/>
  <c r="EX160" i="10"/>
  <c r="EY120" i="10"/>
  <c r="EY116" i="10"/>
  <c r="EX131" i="10"/>
  <c r="EY128" i="10" s="1"/>
  <c r="EY129" i="10" s="1"/>
  <c r="EZ48" i="11"/>
  <c r="FA47" i="11"/>
  <c r="EZ36" i="11"/>
  <c r="EX135" i="10"/>
  <c r="EX163" i="10"/>
  <c r="EX52" i="10"/>
  <c r="EX41" i="10"/>
  <c r="EI594" i="31"/>
  <c r="FA48" i="11" l="1"/>
  <c r="EX169" i="10"/>
  <c r="EZ52" i="11"/>
  <c r="EX218" i="10"/>
  <c r="EX217" i="10"/>
  <c r="EX179" i="10"/>
  <c r="EX192" i="10"/>
  <c r="EX180" i="10"/>
  <c r="EY184" i="10"/>
  <c r="EX54" i="10"/>
  <c r="EX91" i="10"/>
  <c r="EX97" i="10"/>
  <c r="ET247" i="31"/>
  <c r="EU247" i="31"/>
  <c r="EV247" i="31"/>
  <c r="FA52" i="11" l="1"/>
  <c r="EX181" i="10"/>
  <c r="EX93" i="10"/>
  <c r="GG44" i="9"/>
  <c r="EE1331" i="31"/>
  <c r="EE1330" i="31"/>
  <c r="EE1327" i="31"/>
  <c r="EE1248" i="31"/>
  <c r="EE1247" i="31"/>
  <c r="EE1244" i="31"/>
  <c r="EE1236" i="31"/>
  <c r="EE1235" i="31"/>
  <c r="EE1232" i="31"/>
  <c r="EE1224" i="31"/>
  <c r="EE1223" i="31"/>
  <c r="EE1220" i="31"/>
  <c r="EE1212" i="31"/>
  <c r="EE1211" i="31"/>
  <c r="EE1208" i="31"/>
  <c r="EE1195" i="31"/>
  <c r="EE1194" i="31"/>
  <c r="EE1133" i="31"/>
  <c r="EE1132" i="31"/>
  <c r="EE1129" i="31"/>
  <c r="EE1121" i="31"/>
  <c r="EE1120" i="31"/>
  <c r="EE1117" i="31"/>
  <c r="EE1109" i="31"/>
  <c r="EE1108" i="31"/>
  <c r="EE1105" i="31"/>
  <c r="EE1097" i="31"/>
  <c r="EE1096" i="31"/>
  <c r="EE1093" i="31"/>
  <c r="EE1080" i="31"/>
  <c r="EE1079" i="31"/>
  <c r="EE950" i="31"/>
  <c r="EE949" i="31"/>
  <c r="EE946" i="31"/>
  <c r="EE938" i="31"/>
  <c r="EE937" i="31"/>
  <c r="EE934" i="31"/>
  <c r="EE921" i="31"/>
  <c r="EE920" i="31"/>
  <c r="GD60" i="9"/>
  <c r="GD44" i="9"/>
  <c r="EX88" i="10" l="1"/>
  <c r="EX92" i="10" s="1"/>
  <c r="GH44" i="9"/>
  <c r="EE922" i="31"/>
  <c r="EE1196" i="31"/>
  <c r="EE1348" i="31"/>
  <c r="EE1349" i="31"/>
  <c r="EE1081" i="31"/>
  <c r="GD126" i="9"/>
  <c r="GD78" i="9"/>
  <c r="GD77" i="9"/>
  <c r="GD76" i="9"/>
  <c r="GD24" i="9"/>
  <c r="EE638" i="31"/>
  <c r="EE643" i="31" s="1"/>
  <c r="EE644" i="31" s="1"/>
  <c r="EE637" i="31"/>
  <c r="EE466" i="31"/>
  <c r="EE471" i="31" s="1"/>
  <c r="EE472" i="31" s="1"/>
  <c r="EE465" i="31"/>
  <c r="EE594" i="31"/>
  <c r="EE583" i="31"/>
  <c r="EE264" i="31"/>
  <c r="EE269" i="31" s="1"/>
  <c r="EE270" i="31" s="1"/>
  <c r="EE263" i="31"/>
  <c r="EE276" i="31"/>
  <c r="EE192" i="31"/>
  <c r="EE197" i="31" s="1"/>
  <c r="EE198" i="31" s="1"/>
  <c r="EE191" i="31"/>
  <c r="EE196" i="31" s="1"/>
  <c r="EE71" i="31"/>
  <c r="EE70" i="31"/>
  <c r="EE75" i="31" s="1"/>
  <c r="EE764" i="31"/>
  <c r="EE765" i="31" s="1"/>
  <c r="EE763" i="31"/>
  <c r="EE760" i="31"/>
  <c r="EE752" i="31"/>
  <c r="EE749" i="31"/>
  <c r="EE742" i="31"/>
  <c r="EE687" i="31"/>
  <c r="EE688" i="31" s="1"/>
  <c r="EE686" i="31"/>
  <c r="EE683" i="31"/>
  <c r="EE676" i="31"/>
  <c r="EE677" i="31" s="1"/>
  <c r="EE675" i="31"/>
  <c r="EE672" i="31"/>
  <c r="EE654" i="31"/>
  <c r="EE655" i="31" s="1"/>
  <c r="EE653" i="31"/>
  <c r="EE650" i="31"/>
  <c r="EE632" i="31"/>
  <c r="EE633" i="31" s="1"/>
  <c r="EE576" i="31"/>
  <c r="EE575" i="31"/>
  <c r="EE572" i="31"/>
  <c r="EE565" i="31"/>
  <c r="EE566" i="31" s="1"/>
  <c r="EE564" i="31"/>
  <c r="EE561" i="31"/>
  <c r="EE554" i="31"/>
  <c r="EE555" i="31" s="1"/>
  <c r="EE553" i="31"/>
  <c r="EE550" i="31"/>
  <c r="EE543" i="31"/>
  <c r="EE544" i="31" s="1"/>
  <c r="EE542" i="31"/>
  <c r="EE539" i="31"/>
  <c r="EE521" i="31"/>
  <c r="EE522" i="31" s="1"/>
  <c r="EE520" i="31"/>
  <c r="EE517" i="31"/>
  <c r="EE515" i="31"/>
  <c r="EE514" i="31"/>
  <c r="EE512" i="31"/>
  <c r="EE509" i="31"/>
  <c r="EE504" i="31"/>
  <c r="EE505" i="31" s="1"/>
  <c r="EE503" i="31"/>
  <c r="EE500" i="31"/>
  <c r="EE460" i="31"/>
  <c r="EE461" i="31" s="1"/>
  <c r="EE459" i="31"/>
  <c r="EE456" i="31"/>
  <c r="EE352" i="31"/>
  <c r="EE345" i="31"/>
  <c r="EE346" i="31" s="1"/>
  <c r="EE344" i="31"/>
  <c r="EE341" i="31"/>
  <c r="EE334" i="31"/>
  <c r="EE280" i="31"/>
  <c r="EE281" i="31" s="1"/>
  <c r="EE279" i="31"/>
  <c r="EE258" i="31"/>
  <c r="EE254" i="31"/>
  <c r="EE247" i="31"/>
  <c r="EE248" i="31" s="1"/>
  <c r="EE246" i="31"/>
  <c r="EE243" i="31"/>
  <c r="EE236" i="31"/>
  <c r="EE237" i="31" s="1"/>
  <c r="EE235" i="31"/>
  <c r="EE232" i="31"/>
  <c r="EE225" i="31"/>
  <c r="EE226" i="31" s="1"/>
  <c r="EE224" i="31"/>
  <c r="EE221" i="31"/>
  <c r="EE215" i="31"/>
  <c r="EE211" i="31"/>
  <c r="EE212" i="31" s="1"/>
  <c r="EE209" i="31"/>
  <c r="EE210" i="31" s="1"/>
  <c r="EE208" i="31"/>
  <c r="EE205" i="31"/>
  <c r="EE186" i="31"/>
  <c r="EE187" i="31" s="1"/>
  <c r="EE185" i="31"/>
  <c r="EE182" i="31"/>
  <c r="EE175" i="31"/>
  <c r="EE176" i="31" s="1"/>
  <c r="EE174" i="31"/>
  <c r="EE171" i="31"/>
  <c r="EE131" i="31"/>
  <c r="EE132" i="31" s="1"/>
  <c r="EE130" i="31"/>
  <c r="EE127" i="31"/>
  <c r="GD65" i="9" l="1"/>
  <c r="EX83" i="10"/>
  <c r="EE467" i="31"/>
  <c r="EE1350" i="31"/>
  <c r="EE193" i="31"/>
  <c r="GD29" i="9"/>
  <c r="GD66" i="9"/>
  <c r="GD67" i="9"/>
  <c r="EE639" i="31"/>
  <c r="EE642" i="31"/>
  <c r="EE470" i="31"/>
  <c r="EE265" i="31"/>
  <c r="EE268" i="31"/>
  <c r="EE72" i="31"/>
  <c r="EE628" i="31"/>
  <c r="EE1364" i="31" l="1"/>
  <c r="EE1365" i="31"/>
  <c r="GD69" i="9"/>
  <c r="GD38" i="9"/>
  <c r="GD68" i="9"/>
  <c r="EI1414" i="31"/>
  <c r="EI1410" i="31"/>
  <c r="EI1412" i="31"/>
  <c r="EI1413" i="31"/>
  <c r="EI1415" i="31"/>
  <c r="EI1411" i="31"/>
  <c r="EE1366" i="31" l="1"/>
  <c r="GD43" i="9"/>
  <c r="GD125" i="9"/>
  <c r="GD127" i="9" s="1"/>
  <c r="GD122" i="9"/>
  <c r="GD71" i="9"/>
  <c r="GD50" i="9" s="1"/>
  <c r="GD49" i="9"/>
  <c r="GD70" i="9"/>
  <c r="GD53" i="9" l="1"/>
  <c r="GD56" i="9"/>
  <c r="GD45" i="9"/>
  <c r="GD72" i="9"/>
  <c r="GD52" i="9"/>
  <c r="GD55" i="9"/>
  <c r="FA124" i="10"/>
  <c r="EZ124" i="10"/>
  <c r="DE292" i="31"/>
  <c r="DD292" i="31"/>
  <c r="DC292" i="31"/>
  <c r="CY292" i="31"/>
  <c r="CX292" i="31"/>
  <c r="CT292" i="31"/>
  <c r="CS292" i="31"/>
  <c r="CR292" i="31"/>
  <c r="CQ292" i="31"/>
  <c r="CP292" i="31"/>
  <c r="CO292" i="31"/>
  <c r="CN292" i="31"/>
  <c r="CM292" i="31"/>
  <c r="CL292" i="31"/>
  <c r="CK292" i="31"/>
  <c r="CJ292" i="31"/>
  <c r="CI292" i="31"/>
  <c r="CH292" i="31"/>
  <c r="CG292" i="31"/>
  <c r="CF292" i="31"/>
  <c r="CE292" i="31"/>
  <c r="CD292" i="31"/>
  <c r="CC292" i="31"/>
  <c r="CB292" i="31"/>
  <c r="CA292" i="31"/>
  <c r="BZ292" i="31"/>
  <c r="BY292" i="31"/>
  <c r="BX292" i="31"/>
  <c r="BW292" i="31"/>
  <c r="BV292" i="31"/>
  <c r="BU292" i="31"/>
  <c r="BT292" i="31"/>
  <c r="BS292" i="31"/>
  <c r="BR292" i="31"/>
  <c r="BQ292" i="31"/>
  <c r="BP292" i="31"/>
  <c r="BO292" i="31"/>
  <c r="BN292" i="31"/>
  <c r="BM292" i="31"/>
  <c r="BL292" i="31"/>
  <c r="BK292" i="31"/>
  <c r="BJ292" i="31"/>
  <c r="BI292" i="31"/>
  <c r="BH292" i="31"/>
  <c r="BG292" i="31"/>
  <c r="BF292" i="31"/>
  <c r="BE292" i="31"/>
  <c r="BD292" i="31"/>
  <c r="BC292" i="31"/>
  <c r="BB292" i="31"/>
  <c r="BA292" i="31"/>
  <c r="AZ292" i="31"/>
  <c r="AY292" i="31"/>
  <c r="AX292" i="31"/>
  <c r="AW292" i="31"/>
  <c r="AV292" i="31"/>
  <c r="AU292" i="31"/>
  <c r="AT292" i="31"/>
  <c r="AS292" i="31"/>
  <c r="AR292" i="31"/>
  <c r="AQ292" i="31"/>
  <c r="AP292" i="31"/>
  <c r="AO292" i="31"/>
  <c r="AN292" i="31"/>
  <c r="AM292" i="31"/>
  <c r="AL292" i="31"/>
  <c r="AK292" i="31"/>
  <c r="AJ292" i="31"/>
  <c r="AI292" i="31"/>
  <c r="AH292" i="31"/>
  <c r="AG292" i="31"/>
  <c r="AF292" i="31"/>
  <c r="AE292" i="31"/>
  <c r="AD292" i="31"/>
  <c r="AC292" i="31"/>
  <c r="AB292" i="31"/>
  <c r="AA292" i="31"/>
  <c r="Z292" i="31"/>
  <c r="Y292" i="31"/>
  <c r="X292" i="31"/>
  <c r="W292" i="31"/>
  <c r="V292" i="31"/>
  <c r="U292" i="31"/>
  <c r="T292" i="31"/>
  <c r="S292" i="31"/>
  <c r="R292" i="31"/>
  <c r="Q292" i="31"/>
  <c r="P292" i="31"/>
  <c r="O292" i="31"/>
  <c r="N292" i="31"/>
  <c r="M292" i="31"/>
  <c r="L292" i="31"/>
  <c r="K292" i="31"/>
  <c r="J292" i="31"/>
  <c r="I292" i="31"/>
  <c r="DI291" i="31"/>
  <c r="DH291" i="31"/>
  <c r="DG291" i="31"/>
  <c r="DF291" i="31"/>
  <c r="DE291" i="31"/>
  <c r="DC291" i="31"/>
  <c r="DB291" i="31"/>
  <c r="DA291" i="31"/>
  <c r="CZ291" i="31"/>
  <c r="CY291" i="31"/>
  <c r="CX291" i="31"/>
  <c r="CW291" i="31"/>
  <c r="CV291" i="31"/>
  <c r="CU291" i="31"/>
  <c r="CT291" i="31"/>
  <c r="CS291" i="31"/>
  <c r="CR291" i="31"/>
  <c r="CQ291" i="31"/>
  <c r="CP291" i="31"/>
  <c r="CO291" i="31"/>
  <c r="CN291" i="31"/>
  <c r="CM291" i="31"/>
  <c r="CL291" i="31"/>
  <c r="CK291" i="31"/>
  <c r="CJ291" i="31"/>
  <c r="CI291" i="31"/>
  <c r="CH291" i="31"/>
  <c r="CG291" i="31"/>
  <c r="CF291" i="31"/>
  <c r="CE291" i="31"/>
  <c r="CD291" i="31"/>
  <c r="CC291" i="31"/>
  <c r="CB291" i="31"/>
  <c r="CA291" i="31"/>
  <c r="BZ291" i="31"/>
  <c r="BY291" i="31"/>
  <c r="BX291" i="31"/>
  <c r="BW291" i="31"/>
  <c r="BV291" i="31"/>
  <c r="BU291" i="31"/>
  <c r="BT291" i="31"/>
  <c r="BS291" i="31"/>
  <c r="BR291" i="31"/>
  <c r="BQ291" i="31"/>
  <c r="BP291" i="31"/>
  <c r="BO291" i="31"/>
  <c r="BN291" i="31"/>
  <c r="BM291" i="31"/>
  <c r="BL291" i="31"/>
  <c r="BK291" i="31"/>
  <c r="BJ291" i="31"/>
  <c r="BI291" i="31"/>
  <c r="BH291" i="31"/>
  <c r="BG291" i="31"/>
  <c r="BF291" i="31"/>
  <c r="BE291" i="31"/>
  <c r="BD291" i="31"/>
  <c r="BC291" i="31"/>
  <c r="BB291" i="31"/>
  <c r="BA291" i="31"/>
  <c r="AZ291" i="31"/>
  <c r="AY291" i="31"/>
  <c r="AX291" i="31"/>
  <c r="AW291" i="31"/>
  <c r="AV291" i="31"/>
  <c r="AU291" i="31"/>
  <c r="AT291" i="31"/>
  <c r="AS291" i="31"/>
  <c r="AR291" i="31"/>
  <c r="AQ291" i="31"/>
  <c r="AP291" i="31"/>
  <c r="AO291" i="31"/>
  <c r="AN291" i="31"/>
  <c r="AM291" i="31"/>
  <c r="AL291" i="31"/>
  <c r="AK291" i="31"/>
  <c r="AJ291" i="31"/>
  <c r="AI291" i="31"/>
  <c r="AH291" i="31"/>
  <c r="AG291" i="31"/>
  <c r="AF291" i="31"/>
  <c r="AE291" i="31"/>
  <c r="AD291" i="31"/>
  <c r="AC291" i="31"/>
  <c r="AB291" i="31"/>
  <c r="AA291" i="31"/>
  <c r="Z291" i="31"/>
  <c r="Y291" i="31"/>
  <c r="X291" i="31"/>
  <c r="W291" i="31"/>
  <c r="V291" i="31"/>
  <c r="U291" i="31"/>
  <c r="T291" i="31"/>
  <c r="S291" i="31"/>
  <c r="R291" i="31"/>
  <c r="Q291" i="31"/>
  <c r="P291" i="31"/>
  <c r="O291" i="31"/>
  <c r="N291" i="31"/>
  <c r="M291" i="31"/>
  <c r="L291" i="31"/>
  <c r="K291" i="31"/>
  <c r="J291" i="31"/>
  <c r="I291" i="31"/>
  <c r="DI290" i="31"/>
  <c r="DH290" i="31"/>
  <c r="DG290" i="31"/>
  <c r="DF290" i="31"/>
  <c r="DE290" i="31"/>
  <c r="DC290" i="31"/>
  <c r="DB290" i="31"/>
  <c r="DA290" i="31"/>
  <c r="CZ290" i="31"/>
  <c r="CY290" i="31"/>
  <c r="CX290" i="31"/>
  <c r="CW290" i="31"/>
  <c r="CV290" i="31"/>
  <c r="CU290" i="31"/>
  <c r="CT290" i="31"/>
  <c r="CS290" i="31"/>
  <c r="CR290" i="31"/>
  <c r="CQ290" i="31"/>
  <c r="CP290" i="31"/>
  <c r="CO290" i="31"/>
  <c r="CN290" i="31"/>
  <c r="CM290" i="31"/>
  <c r="CL290" i="31"/>
  <c r="CK290" i="31"/>
  <c r="CJ290" i="31"/>
  <c r="CI290" i="31"/>
  <c r="CH290" i="31"/>
  <c r="CG290" i="31"/>
  <c r="CF290" i="31"/>
  <c r="CE290" i="31"/>
  <c r="CD290" i="31"/>
  <c r="CC290" i="31"/>
  <c r="CB290" i="31"/>
  <c r="CA290" i="31"/>
  <c r="BZ290" i="31"/>
  <c r="BY290" i="31"/>
  <c r="BX290" i="31"/>
  <c r="BW290" i="31"/>
  <c r="BV290" i="31"/>
  <c r="BU290" i="31"/>
  <c r="BT290" i="31"/>
  <c r="BS290" i="31"/>
  <c r="BR290" i="31"/>
  <c r="BQ290" i="31"/>
  <c r="BP290" i="31"/>
  <c r="BO290" i="31"/>
  <c r="BN290" i="31"/>
  <c r="BM290" i="31"/>
  <c r="BL290" i="31"/>
  <c r="BK290" i="31"/>
  <c r="BJ290" i="31"/>
  <c r="BI290" i="31"/>
  <c r="BH290" i="31"/>
  <c r="BG290" i="31"/>
  <c r="BF290" i="31"/>
  <c r="BE290" i="31"/>
  <c r="BD290" i="31"/>
  <c r="BC290" i="31"/>
  <c r="BB290" i="31"/>
  <c r="BA290" i="31"/>
  <c r="AZ290" i="31"/>
  <c r="AY290" i="31"/>
  <c r="AX290" i="31"/>
  <c r="AW290" i="31"/>
  <c r="AV290" i="31"/>
  <c r="AU290" i="31"/>
  <c r="AT290" i="31"/>
  <c r="AS290" i="31"/>
  <c r="AR290" i="31"/>
  <c r="AQ290" i="31"/>
  <c r="AP290" i="31"/>
  <c r="AO290" i="31"/>
  <c r="AN290" i="31"/>
  <c r="AM290" i="31"/>
  <c r="AL290" i="31"/>
  <c r="AK290" i="31"/>
  <c r="AJ290" i="31"/>
  <c r="AI290" i="31"/>
  <c r="AH290" i="31"/>
  <c r="AG290" i="31"/>
  <c r="AF290" i="31"/>
  <c r="AE290" i="31"/>
  <c r="AD290" i="31"/>
  <c r="AC290" i="31"/>
  <c r="AB290" i="31"/>
  <c r="AA290" i="31"/>
  <c r="Z290" i="31"/>
  <c r="Y290" i="31"/>
  <c r="X290" i="31"/>
  <c r="W290" i="31"/>
  <c r="V290" i="31"/>
  <c r="U290" i="31"/>
  <c r="T290" i="31"/>
  <c r="S290" i="31"/>
  <c r="R290" i="31"/>
  <c r="Q290" i="31"/>
  <c r="P290" i="31"/>
  <c r="O290" i="31"/>
  <c r="N290" i="31"/>
  <c r="M290" i="31"/>
  <c r="L290" i="31"/>
  <c r="K290" i="31"/>
  <c r="J290" i="31"/>
  <c r="I290" i="31"/>
  <c r="DS287" i="31"/>
  <c r="DR287" i="31"/>
  <c r="DQ287" i="31"/>
  <c r="DP287" i="31"/>
  <c r="DC287" i="31"/>
  <c r="DH292" i="31" s="1"/>
  <c r="DB287" i="31"/>
  <c r="DG292" i="31" s="1"/>
  <c r="DA287" i="31"/>
  <c r="DF292" i="31" s="1"/>
  <c r="CW287" i="31"/>
  <c r="DB292" i="31" s="1"/>
  <c r="CV287" i="31"/>
  <c r="CV292" i="31" s="1"/>
  <c r="CU287" i="31"/>
  <c r="CZ292" i="31" s="1"/>
  <c r="CP287" i="31"/>
  <c r="CU292" i="31" s="1"/>
  <c r="A287" i="31"/>
  <c r="DD286" i="31"/>
  <c r="DD291" i="31" s="1"/>
  <c r="DD285" i="31"/>
  <c r="DD290" i="31" s="1"/>
  <c r="GD57" i="9" l="1"/>
  <c r="GD54" i="9"/>
  <c r="GD47" i="9"/>
  <c r="CW292" i="31"/>
  <c r="DD287" i="31"/>
  <c r="DI292" i="31" s="1"/>
  <c r="DA292" i="31"/>
  <c r="EV17" i="11"/>
  <c r="EV18" i="11"/>
  <c r="EW18" i="11" s="1"/>
  <c r="EV19" i="11"/>
  <c r="EW19" i="11" s="1"/>
  <c r="EV20" i="11"/>
  <c r="EW20" i="11" s="1"/>
  <c r="ES156" i="10"/>
  <c r="GC41" i="9" l="1"/>
  <c r="GC37" i="9"/>
  <c r="GC36" i="9"/>
  <c r="GC28" i="9"/>
  <c r="GC27" i="9"/>
  <c r="GC26" i="9"/>
  <c r="EI543" i="31" l="1"/>
  <c r="EI1572" i="31" l="1"/>
  <c r="EI1567" i="31"/>
  <c r="EN1572" i="31"/>
  <c r="EN1567" i="31"/>
  <c r="EV162" i="10" l="1"/>
  <c r="EU162" i="10"/>
  <c r="EV52" i="10" l="1"/>
  <c r="EV38" i="10"/>
  <c r="EV34" i="10"/>
  <c r="EV220" i="10"/>
  <c r="EV215" i="10"/>
  <c r="EV212" i="10"/>
  <c r="EV207" i="10"/>
  <c r="EV197" i="10"/>
  <c r="EV189" i="10"/>
  <c r="EV187" i="10"/>
  <c r="EV185" i="10"/>
  <c r="EV161" i="10"/>
  <c r="EV155" i="10"/>
  <c r="EV149" i="10"/>
  <c r="EV139" i="10"/>
  <c r="EV140" i="10" s="1"/>
  <c r="EV131" i="10"/>
  <c r="EW130" i="10"/>
  <c r="EV125" i="10"/>
  <c r="EV118" i="10"/>
  <c r="EW117" i="10"/>
  <c r="EW110" i="10"/>
  <c r="EV108" i="10"/>
  <c r="EV112" i="10" s="1"/>
  <c r="EV105" i="10"/>
  <c r="EV95" i="10"/>
  <c r="EV96" i="10" s="1"/>
  <c r="EV98" i="10" s="1"/>
  <c r="EV87" i="10"/>
  <c r="EV85" i="10"/>
  <c r="EV53" i="10"/>
  <c r="EW53" i="10" s="1"/>
  <c r="EW51" i="10"/>
  <c r="EW50" i="10"/>
  <c r="EW49" i="10"/>
  <c r="EX189" i="10" s="1"/>
  <c r="EW45" i="10"/>
  <c r="EW40" i="10"/>
  <c r="EW39" i="10"/>
  <c r="EW37" i="10"/>
  <c r="EW35" i="10"/>
  <c r="EW33" i="10"/>
  <c r="EW32" i="10"/>
  <c r="EW31" i="10"/>
  <c r="EW26" i="10"/>
  <c r="EW25" i="10"/>
  <c r="EW24" i="10"/>
  <c r="EW23" i="10"/>
  <c r="EW22" i="10"/>
  <c r="EW21" i="10"/>
  <c r="EV20" i="10"/>
  <c r="EW19" i="10"/>
  <c r="EW18" i="10"/>
  <c r="EW17" i="10"/>
  <c r="EW16" i="10"/>
  <c r="EW15" i="10"/>
  <c r="EW14" i="10"/>
  <c r="EU51" i="10"/>
  <c r="EU38" i="10"/>
  <c r="EU34" i="10"/>
  <c r="EU220" i="10"/>
  <c r="EU215" i="10"/>
  <c r="EU212" i="10"/>
  <c r="EV210" i="10" s="1"/>
  <c r="EU207" i="10"/>
  <c r="EV205" i="10" s="1"/>
  <c r="EU197" i="10"/>
  <c r="EV195" i="10" s="1"/>
  <c r="EU189" i="10"/>
  <c r="EU187" i="10"/>
  <c r="EU185" i="10"/>
  <c r="EU161" i="10"/>
  <c r="EU163" i="10" s="1"/>
  <c r="EU155" i="10"/>
  <c r="EV153" i="10" s="1"/>
  <c r="EU149" i="10"/>
  <c r="EU139" i="10"/>
  <c r="EV134" i="10" s="1"/>
  <c r="EU131" i="10"/>
  <c r="EV128" i="10" s="1"/>
  <c r="EU118" i="10"/>
  <c r="EV115" i="10" s="1"/>
  <c r="EU108" i="10"/>
  <c r="EU112" i="10" s="1"/>
  <c r="EU102" i="10"/>
  <c r="EU95" i="10"/>
  <c r="EU96" i="10" s="1"/>
  <c r="EU98" i="10" s="1"/>
  <c r="EU87" i="10"/>
  <c r="EU85" i="10"/>
  <c r="EU20" i="10"/>
  <c r="DS622" i="31"/>
  <c r="DR622" i="31"/>
  <c r="DQ622" i="31"/>
  <c r="DP622" i="31"/>
  <c r="DO622" i="31"/>
  <c r="DN621" i="31"/>
  <c r="DN620" i="31"/>
  <c r="EU190" i="10" l="1"/>
  <c r="EV91" i="10"/>
  <c r="EU36" i="10"/>
  <c r="EX187" i="10"/>
  <c r="EV179" i="10"/>
  <c r="EX190" i="10"/>
  <c r="EX188" i="10"/>
  <c r="EY86" i="10"/>
  <c r="EU91" i="10"/>
  <c r="EV103" i="10"/>
  <c r="EV104" i="10" s="1"/>
  <c r="EX115" i="10"/>
  <c r="EV154" i="10"/>
  <c r="EV120" i="10"/>
  <c r="EV196" i="10"/>
  <c r="EW220" i="10"/>
  <c r="EU140" i="10"/>
  <c r="EV158" i="10"/>
  <c r="EV159" i="10" s="1"/>
  <c r="EV109" i="10"/>
  <c r="EU150" i="10"/>
  <c r="DN622" i="31"/>
  <c r="EU109" i="10"/>
  <c r="EV211" i="10"/>
  <c r="EV129" i="10"/>
  <c r="EV163" i="10"/>
  <c r="EV188" i="10"/>
  <c r="EV206" i="10"/>
  <c r="EV190" i="10"/>
  <c r="EV146" i="10"/>
  <c r="EV142" i="10"/>
  <c r="EW20" i="10"/>
  <c r="EV27" i="10"/>
  <c r="EW34" i="10"/>
  <c r="EW38" i="10"/>
  <c r="EV97" i="10"/>
  <c r="EV116" i="10"/>
  <c r="EV192" i="10"/>
  <c r="EV180" i="10"/>
  <c r="EV150" i="10"/>
  <c r="EV36" i="10"/>
  <c r="EW95" i="10"/>
  <c r="EW96" i="10" s="1"/>
  <c r="EW98" i="10" s="1"/>
  <c r="EU188" i="10"/>
  <c r="EU103" i="10"/>
  <c r="EU104" i="10" s="1"/>
  <c r="EU52" i="10"/>
  <c r="EU125" i="10"/>
  <c r="EV123" i="10" s="1"/>
  <c r="EV124" i="10" s="1"/>
  <c r="EU97" i="10"/>
  <c r="EU168" i="10"/>
  <c r="EU27" i="10"/>
  <c r="ET617" i="31"/>
  <c r="EU617" i="31"/>
  <c r="EU218" i="10" l="1"/>
  <c r="EU41" i="10"/>
  <c r="EU169" i="10"/>
  <c r="EU167" i="10"/>
  <c r="EU186" i="10"/>
  <c r="EV186" i="10"/>
  <c r="EY61" i="10"/>
  <c r="EY60" i="10"/>
  <c r="EX116" i="10"/>
  <c r="EX120" i="10"/>
  <c r="EU146" i="10"/>
  <c r="EU147" i="10" s="1"/>
  <c r="EU148" i="10" s="1"/>
  <c r="EU142" i="10"/>
  <c r="EU173" i="10"/>
  <c r="EV184" i="10"/>
  <c r="EU217" i="10"/>
  <c r="EW36" i="10"/>
  <c r="EW97" i="10"/>
  <c r="EV147" i="10"/>
  <c r="EV148" i="10" s="1"/>
  <c r="EW27" i="10"/>
  <c r="EV41" i="10"/>
  <c r="EV169" i="10"/>
  <c r="EV168" i="10"/>
  <c r="EV217" i="10"/>
  <c r="EV218" i="10"/>
  <c r="EW91" i="10"/>
  <c r="EV167" i="10"/>
  <c r="EU192" i="10"/>
  <c r="EU179" i="10"/>
  <c r="EU180" i="10"/>
  <c r="EU54" i="10"/>
  <c r="EU172" i="10"/>
  <c r="EW168" i="10" l="1"/>
  <c r="EV54" i="10"/>
  <c r="EV191" i="10"/>
  <c r="EW41" i="10"/>
  <c r="EW169" i="10"/>
  <c r="EW167" i="10"/>
  <c r="EU55" i="10"/>
  <c r="EU57" i="10"/>
  <c r="EW217" i="10"/>
  <c r="EW218" i="10"/>
  <c r="EV181" i="10"/>
  <c r="EV93" i="10"/>
  <c r="EV56" i="10"/>
  <c r="EU181" i="10"/>
  <c r="EU93" i="10"/>
  <c r="EU56" i="10"/>
  <c r="CX583" i="31"/>
  <c r="CW583" i="31"/>
  <c r="CJ583" i="31"/>
  <c r="CY582" i="31"/>
  <c r="CY581" i="31"/>
  <c r="EV55" i="10" l="1"/>
  <c r="EV57" i="10"/>
  <c r="CY583" i="31"/>
  <c r="EJ1578" i="31" l="1"/>
  <c r="EV1578" i="31"/>
  <c r="EK1578" i="31"/>
  <c r="EW1578" i="31"/>
  <c r="EN1578" i="31"/>
  <c r="ET1578" i="31"/>
  <c r="EL1578" i="31"/>
  <c r="EP1578" i="31"/>
  <c r="EQ1578" i="31"/>
  <c r="EM1578" i="31"/>
  <c r="ES1578" i="31"/>
  <c r="EI1578" i="31"/>
  <c r="EO1578" i="31"/>
  <c r="EU1578" i="31"/>
  <c r="ER1578" i="31"/>
  <c r="EC576" i="31"/>
  <c r="EB576" i="31"/>
  <c r="EA576" i="31"/>
  <c r="DZ576" i="31"/>
  <c r="DX576" i="31"/>
  <c r="DW576" i="31"/>
  <c r="EC575" i="31"/>
  <c r="EB575" i="31"/>
  <c r="EA575" i="31"/>
  <c r="DZ575" i="31"/>
  <c r="DX575" i="31"/>
  <c r="DW575" i="31"/>
  <c r="DV575" i="31"/>
  <c r="DN609" i="31"/>
  <c r="DN610" i="31"/>
  <c r="DO611" i="31"/>
  <c r="DP611" i="31"/>
  <c r="DQ611" i="31"/>
  <c r="DR611" i="31"/>
  <c r="DS611" i="31"/>
  <c r="DN611" i="31" l="1"/>
  <c r="EU1567" i="31"/>
  <c r="EU606" i="31"/>
  <c r="EW1567" i="31"/>
  <c r="EV1567" i="31"/>
  <c r="EW1572" i="31"/>
  <c r="EU1572" i="31"/>
  <c r="ET1572" i="31"/>
  <c r="ET1567" i="31"/>
  <c r="EV1572" i="31"/>
  <c r="EW781" i="31"/>
  <c r="EV781" i="31"/>
  <c r="EU781" i="31"/>
  <c r="ET781" i="31"/>
  <c r="EK781" i="31"/>
  <c r="EJ781" i="31"/>
  <c r="EI781" i="31"/>
  <c r="EH781" i="31"/>
  <c r="EE781" i="31"/>
  <c r="EW780" i="31"/>
  <c r="EV780" i="31"/>
  <c r="EU780" i="31"/>
  <c r="ET780" i="31"/>
  <c r="EK780" i="31"/>
  <c r="EJ780" i="31"/>
  <c r="EI780" i="31"/>
  <c r="EH780" i="31"/>
  <c r="EE780" i="31"/>
  <c r="EW779" i="31"/>
  <c r="EV779" i="31"/>
  <c r="EU779" i="31"/>
  <c r="ET779" i="31"/>
  <c r="EK779" i="31"/>
  <c r="EJ779" i="31"/>
  <c r="EI779" i="31"/>
  <c r="EH779" i="31"/>
  <c r="EE779" i="31"/>
  <c r="F22" i="247"/>
  <c r="F26" i="247" s="1"/>
  <c r="F30" i="247" s="1"/>
  <c r="EF1678" i="31"/>
  <c r="EF1677" i="31"/>
  <c r="EE1678" i="31"/>
  <c r="EE1677" i="31"/>
  <c r="C59" i="247"/>
  <c r="C43" i="247"/>
  <c r="C22" i="247"/>
  <c r="C26" i="247" s="1"/>
  <c r="C50" i="247" l="1"/>
  <c r="C56" i="247" s="1"/>
  <c r="ES1695" i="31" s="1"/>
  <c r="EF1679" i="31"/>
  <c r="C30" i="247"/>
  <c r="C34" i="247" s="1"/>
  <c r="C40" i="247" s="1"/>
  <c r="ES1700" i="31" s="1"/>
  <c r="C62" i="247" l="1"/>
  <c r="ES1696" i="31" s="1"/>
  <c r="ER1696" i="31" s="1"/>
  <c r="EQ1700" i="31"/>
  <c r="EQ779" i="31" s="1"/>
  <c r="ES779" i="31"/>
  <c r="EP1700" i="31"/>
  <c r="EP779" i="31" s="1"/>
  <c r="EO1700" i="31"/>
  <c r="EO779" i="31" s="1"/>
  <c r="EN1700" i="31"/>
  <c r="EN779" i="31" s="1"/>
  <c r="EL1700" i="31"/>
  <c r="EL779" i="31" s="1"/>
  <c r="EM1700" i="31"/>
  <c r="EM779" i="31" s="1"/>
  <c r="ER1700" i="31"/>
  <c r="ER779" i="31" s="1"/>
  <c r="C46" i="247"/>
  <c r="ES1701" i="31" s="1"/>
  <c r="ES780" i="31" s="1"/>
  <c r="ES260" i="31"/>
  <c r="ER260" i="31"/>
  <c r="EQ260" i="31"/>
  <c r="EP260" i="31"/>
  <c r="EO260" i="31"/>
  <c r="ES258" i="31"/>
  <c r="ER258" i="31"/>
  <c r="EQ258" i="31"/>
  <c r="EP258" i="31"/>
  <c r="EO258" i="31"/>
  <c r="ES257" i="31"/>
  <c r="ER257" i="31"/>
  <c r="EQ257" i="31"/>
  <c r="EP257" i="31"/>
  <c r="EO257" i="31"/>
  <c r="ES254" i="31"/>
  <c r="ES259" i="31" s="1"/>
  <c r="ER254" i="31"/>
  <c r="ER259" i="31" s="1"/>
  <c r="EQ254" i="31"/>
  <c r="EQ259" i="31" s="1"/>
  <c r="EP254" i="31"/>
  <c r="EP259" i="31" s="1"/>
  <c r="EO254" i="31"/>
  <c r="EO259" i="31" s="1"/>
  <c r="CQ769" i="31"/>
  <c r="CR769" i="31"/>
  <c r="CS769" i="31"/>
  <c r="CT769" i="31"/>
  <c r="CV769" i="31"/>
  <c r="CW769" i="31"/>
  <c r="CX769" i="31"/>
  <c r="CY769" i="31"/>
  <c r="DC769" i="31"/>
  <c r="DD769" i="31"/>
  <c r="CQ770" i="31"/>
  <c r="CR770" i="31"/>
  <c r="CS770" i="31"/>
  <c r="CT770" i="31"/>
  <c r="CV770" i="31"/>
  <c r="CW770" i="31"/>
  <c r="CX770" i="31"/>
  <c r="CY770" i="31"/>
  <c r="CQ771" i="31"/>
  <c r="CR771" i="31"/>
  <c r="CS771" i="31"/>
  <c r="CT771" i="31"/>
  <c r="CV771" i="31"/>
  <c r="CW771" i="31"/>
  <c r="CX771" i="31"/>
  <c r="CY771" i="31"/>
  <c r="DC771" i="31"/>
  <c r="DD771" i="31"/>
  <c r="ES764" i="31"/>
  <c r="ER764" i="31"/>
  <c r="EQ764" i="31"/>
  <c r="EP764" i="31"/>
  <c r="EO764" i="31"/>
  <c r="EI748" i="31"/>
  <c r="EJ748" i="31" s="1"/>
  <c r="EK748" i="31" s="1"/>
  <c r="EL748" i="31" s="1"/>
  <c r="EM748" i="31" s="1"/>
  <c r="EN748" i="31" s="1"/>
  <c r="EO748" i="31" s="1"/>
  <c r="EP748" i="31" s="1"/>
  <c r="EQ748" i="31" s="1"/>
  <c r="ER748" i="31" s="1"/>
  <c r="ES748" i="31" s="1"/>
  <c r="EQ1696" i="31" l="1"/>
  <c r="EQ1701" i="31" s="1"/>
  <c r="EQ780" i="31" s="1"/>
  <c r="EM1696" i="31"/>
  <c r="EM1701" i="31" s="1"/>
  <c r="EM780" i="31" s="1"/>
  <c r="EO1696" i="31"/>
  <c r="EO1701" i="31" s="1"/>
  <c r="EO780" i="31" s="1"/>
  <c r="EN1696" i="31"/>
  <c r="EN1701" i="31" s="1"/>
  <c r="EN780" i="31" s="1"/>
  <c r="EL1696" i="31"/>
  <c r="EL1701" i="31" s="1"/>
  <c r="EL780" i="31" s="1"/>
  <c r="EP1696" i="31"/>
  <c r="EP1697" i="31" s="1"/>
  <c r="ES1697" i="31"/>
  <c r="ER1701" i="31"/>
  <c r="ER780" i="31" s="1"/>
  <c r="ER1697" i="31"/>
  <c r="ES1702" i="31"/>
  <c r="ES781" i="31" s="1"/>
  <c r="CZ771" i="31"/>
  <c r="CU770" i="31"/>
  <c r="CZ769" i="31"/>
  <c r="CZ770" i="31"/>
  <c r="CU769" i="31"/>
  <c r="CU771" i="31"/>
  <c r="EU1588" i="31"/>
  <c r="EJ1583" i="31"/>
  <c r="EK1583" i="31"/>
  <c r="EH748" i="31"/>
  <c r="EI1583" i="31"/>
  <c r="EQ1583" i="31"/>
  <c r="EL1583" i="31"/>
  <c r="ES1583" i="31"/>
  <c r="EM1583" i="31"/>
  <c r="EN1583" i="31"/>
  <c r="ER1583" i="31"/>
  <c r="EO1583" i="31"/>
  <c r="EP1583" i="31"/>
  <c r="EQ1697" i="31" l="1"/>
  <c r="EO1697" i="31"/>
  <c r="EN1697" i="31"/>
  <c r="EM1697" i="31"/>
  <c r="EP1701" i="31"/>
  <c r="EP780" i="31" s="1"/>
  <c r="EL1697" i="31"/>
  <c r="ES1708" i="31"/>
  <c r="EQ1588" i="31"/>
  <c r="ES1588" i="31"/>
  <c r="EK1588" i="31"/>
  <c r="EP1588" i="31"/>
  <c r="EM1588" i="31"/>
  <c r="EI1588" i="31"/>
  <c r="EO1708" i="31"/>
  <c r="ER1707" i="31"/>
  <c r="ER1702" i="31"/>
  <c r="ER781" i="31" s="1"/>
  <c r="ES1707" i="31"/>
  <c r="EN1702" i="31"/>
  <c r="EN781" i="31" s="1"/>
  <c r="EN1707" i="31"/>
  <c r="ES1704" i="31"/>
  <c r="EM1702" i="31"/>
  <c r="EM781" i="31" s="1"/>
  <c r="EM1707" i="31"/>
  <c r="EP1707" i="31"/>
  <c r="EQ1707" i="31"/>
  <c r="EQ1702" i="31"/>
  <c r="EO1707" i="31"/>
  <c r="EO1702" i="31"/>
  <c r="EO781" i="31" s="1"/>
  <c r="ER1708" i="31"/>
  <c r="EN1708" i="31"/>
  <c r="EM1708" i="31"/>
  <c r="EL1702" i="31"/>
  <c r="EL781" i="31" s="1"/>
  <c r="EN1588" i="31"/>
  <c r="EW1588" i="31"/>
  <c r="EO1588" i="31"/>
  <c r="EV1588" i="31"/>
  <c r="ER1588" i="31"/>
  <c r="EJ1588" i="31"/>
  <c r="ET1588" i="31"/>
  <c r="EL1588" i="31"/>
  <c r="ES687" i="31"/>
  <c r="ER687" i="31"/>
  <c r="EQ687" i="31"/>
  <c r="EP687" i="31"/>
  <c r="EO687" i="31"/>
  <c r="EN687" i="31"/>
  <c r="EM687" i="31"/>
  <c r="EL687" i="31"/>
  <c r="EK687" i="31"/>
  <c r="ES676" i="31"/>
  <c r="ER676" i="31"/>
  <c r="EO676" i="31"/>
  <c r="EN676" i="31"/>
  <c r="EM676" i="31"/>
  <c r="EL676" i="31"/>
  <c r="EQ676" i="31"/>
  <c r="EP676" i="31"/>
  <c r="EK676" i="31"/>
  <c r="EJ676" i="31"/>
  <c r="ER654" i="31"/>
  <c r="EQ654" i="31"/>
  <c r="EP654" i="31"/>
  <c r="EL654" i="31"/>
  <c r="EK654" i="31"/>
  <c r="ES654" i="31"/>
  <c r="EO654" i="31"/>
  <c r="EN654" i="31"/>
  <c r="EM654" i="31"/>
  <c r="EI654" i="31"/>
  <c r="ES460" i="31"/>
  <c r="ER460" i="31"/>
  <c r="EQ460" i="31"/>
  <c r="EP460" i="31"/>
  <c r="EO460" i="31"/>
  <c r="EN460" i="31"/>
  <c r="EM460" i="31"/>
  <c r="EL460" i="31"/>
  <c r="EK460" i="31"/>
  <c r="ER280" i="31"/>
  <c r="EQ280" i="31"/>
  <c r="EP280" i="31"/>
  <c r="EL280" i="31"/>
  <c r="EK280" i="31"/>
  <c r="ES280" i="31"/>
  <c r="EO280" i="31"/>
  <c r="EN280" i="31"/>
  <c r="EM280" i="31"/>
  <c r="EI280" i="31"/>
  <c r="EP345" i="31"/>
  <c r="EO345" i="31"/>
  <c r="EN345" i="31"/>
  <c r="ES345" i="31"/>
  <c r="ER345" i="31"/>
  <c r="EQ345" i="31"/>
  <c r="EM345" i="31"/>
  <c r="EL345" i="31"/>
  <c r="EK345" i="31"/>
  <c r="EI339" i="31"/>
  <c r="EI340" i="31"/>
  <c r="ES225" i="31"/>
  <c r="ER225" i="31"/>
  <c r="EQ225" i="31"/>
  <c r="EP225" i="31"/>
  <c r="EO225" i="31"/>
  <c r="EN225" i="31"/>
  <c r="EM225" i="31"/>
  <c r="EL225" i="31"/>
  <c r="EK225" i="31"/>
  <c r="ES236" i="31"/>
  <c r="ER236" i="31"/>
  <c r="EQ236" i="31"/>
  <c r="EP236" i="31"/>
  <c r="EO236" i="31"/>
  <c r="EN236" i="31"/>
  <c r="EM236" i="31"/>
  <c r="EL236" i="31"/>
  <c r="EK236" i="31"/>
  <c r="ER247" i="31"/>
  <c r="EO247" i="31"/>
  <c r="EQ247" i="31"/>
  <c r="EP247" i="31"/>
  <c r="ES247" i="31"/>
  <c r="ES211" i="31"/>
  <c r="ER211" i="31"/>
  <c r="ES210" i="31"/>
  <c r="ER210" i="31"/>
  <c r="ES186" i="31"/>
  <c r="ER186" i="31"/>
  <c r="EQ186" i="31"/>
  <c r="EP186" i="31"/>
  <c r="EO186" i="31"/>
  <c r="ES131" i="31"/>
  <c r="ER131" i="31"/>
  <c r="EQ131" i="31"/>
  <c r="ES175" i="31"/>
  <c r="ER175" i="31"/>
  <c r="EQ175" i="31"/>
  <c r="EP175" i="31"/>
  <c r="EO175" i="31"/>
  <c r="EP131" i="31"/>
  <c r="EO131" i="31"/>
  <c r="EH229" i="31" l="1"/>
  <c r="EP1708" i="31"/>
  <c r="EP1702" i="31"/>
  <c r="EP781" i="31" s="1"/>
  <c r="EQ1708" i="31"/>
  <c r="EQ1704" i="31"/>
  <c r="EQ781" i="31"/>
  <c r="EO1709" i="31"/>
  <c r="EO1704" i="31"/>
  <c r="EM1704" i="31"/>
  <c r="EM1709" i="31"/>
  <c r="ES1709" i="31"/>
  <c r="ER1709" i="31"/>
  <c r="ER1704" i="31"/>
  <c r="EN1704" i="31"/>
  <c r="EN1709" i="31"/>
  <c r="EL1704" i="31"/>
  <c r="EI341" i="31"/>
  <c r="ES632" i="31"/>
  <c r="ER632" i="31"/>
  <c r="EQ632" i="31"/>
  <c r="EP632" i="31"/>
  <c r="EO632" i="31"/>
  <c r="EN632" i="31"/>
  <c r="EP1704" i="31" l="1"/>
  <c r="EP1709" i="31"/>
  <c r="EQ1709" i="31"/>
  <c r="EP554" i="31"/>
  <c r="EQ554" i="31"/>
  <c r="ER554" i="31"/>
  <c r="ES554" i="31"/>
  <c r="EO554" i="31"/>
  <c r="ES504" i="31"/>
  <c r="ER504" i="31"/>
  <c r="EQ504" i="31"/>
  <c r="EP504" i="31"/>
  <c r="EO504" i="31"/>
  <c r="EN504" i="31"/>
  <c r="EM504" i="31"/>
  <c r="EK514" i="31"/>
  <c r="ES512" i="31"/>
  <c r="ER512" i="31"/>
  <c r="EC693" i="31" l="1"/>
  <c r="EB693" i="31"/>
  <c r="EG698" i="31" s="1"/>
  <c r="EG699" i="31" s="1"/>
  <c r="EA693" i="31"/>
  <c r="DZ693" i="31"/>
  <c r="ED693" i="31"/>
  <c r="DZ626" i="31" l="1"/>
  <c r="EE631" i="31" s="1"/>
  <c r="EC627" i="31"/>
  <c r="EC626" i="31"/>
  <c r="EC565" i="31"/>
  <c r="EC566" i="31" s="1"/>
  <c r="EB565" i="31"/>
  <c r="EB566" i="31" s="1"/>
  <c r="EA565" i="31"/>
  <c r="EA566" i="31" s="1"/>
  <c r="DZ565" i="31"/>
  <c r="DZ566" i="31" s="1"/>
  <c r="EC564" i="31"/>
  <c r="EB564" i="31"/>
  <c r="EA564" i="31"/>
  <c r="DZ564" i="31"/>
  <c r="DU561" i="31"/>
  <c r="DV561" i="31"/>
  <c r="DX561" i="31"/>
  <c r="DW561" i="31"/>
  <c r="DY560" i="31"/>
  <c r="DY559" i="31"/>
  <c r="EC561" i="31"/>
  <c r="EB561" i="31"/>
  <c r="EG567" i="31" s="1"/>
  <c r="EA561" i="31"/>
  <c r="EF567" i="31" s="1"/>
  <c r="DZ561" i="31"/>
  <c r="EE567" i="31" s="1"/>
  <c r="ED560" i="31"/>
  <c r="ED559" i="31"/>
  <c r="CX561" i="31"/>
  <c r="CW561" i="31"/>
  <c r="CJ561" i="31"/>
  <c r="CY560" i="31"/>
  <c r="CY559" i="31"/>
  <c r="ED513" i="31"/>
  <c r="ED564" i="31" l="1"/>
  <c r="EA567" i="31"/>
  <c r="DZ567" i="31"/>
  <c r="EB567" i="31"/>
  <c r="EC567" i="31"/>
  <c r="ED565" i="31"/>
  <c r="DY561" i="31"/>
  <c r="ED561" i="31"/>
  <c r="CY561" i="31"/>
  <c r="ED567" i="31" l="1"/>
  <c r="ED220" i="31" l="1"/>
  <c r="EI225" i="31" s="1"/>
  <c r="EI226" i="31" s="1"/>
  <c r="ED219" i="31"/>
  <c r="EI224" i="31" s="1"/>
  <c r="EJ219" i="31" l="1"/>
  <c r="EK219" i="31" s="1"/>
  <c r="EL219" i="31" s="1"/>
  <c r="EM219" i="31" s="1"/>
  <c r="EN219" i="31" s="1"/>
  <c r="EO219" i="31" s="1"/>
  <c r="EP219" i="31" s="1"/>
  <c r="EQ219" i="31" s="1"/>
  <c r="ER219" i="31" s="1"/>
  <c r="ES219" i="31" s="1"/>
  <c r="EC885" i="31" l="1"/>
  <c r="ED753" i="31"/>
  <c r="EC752" i="31"/>
  <c r="EB752" i="31"/>
  <c r="EA752" i="31"/>
  <c r="DZ752" i="31"/>
  <c r="EC686" i="31"/>
  <c r="EC687" i="31"/>
  <c r="EC688" i="31" s="1"/>
  <c r="EC675" i="31"/>
  <c r="EC676" i="31"/>
  <c r="EC677" i="31" s="1"/>
  <c r="EC653" i="31"/>
  <c r="EC654" i="31"/>
  <c r="EC655" i="31" s="1"/>
  <c r="EC554" i="31"/>
  <c r="EC555" i="31" s="1"/>
  <c r="EC553" i="31"/>
  <c r="EC542" i="31"/>
  <c r="EC543" i="31"/>
  <c r="EC544" i="31" s="1"/>
  <c r="EC503" i="31"/>
  <c r="EC459" i="31"/>
  <c r="EC344" i="31"/>
  <c r="EC279" i="31"/>
  <c r="EC246" i="31"/>
  <c r="EC235" i="31"/>
  <c r="EC224" i="31"/>
  <c r="EC208" i="31"/>
  <c r="EC209" i="31"/>
  <c r="EC185" i="31"/>
  <c r="EC174" i="31"/>
  <c r="EC130" i="31"/>
  <c r="EC131" i="31"/>
  <c r="EC132" i="31" s="1"/>
  <c r="ED764" i="31"/>
  <c r="ED763" i="31"/>
  <c r="ED747" i="31"/>
  <c r="ED682" i="31"/>
  <c r="ED681" i="31"/>
  <c r="ED671" i="31"/>
  <c r="ED670" i="31"/>
  <c r="ED649" i="31"/>
  <c r="ED648" i="31"/>
  <c r="EC632" i="31"/>
  <c r="EC633" i="31" s="1"/>
  <c r="EC631" i="31"/>
  <c r="ED571" i="31"/>
  <c r="ED570" i="31"/>
  <c r="ED549" i="31"/>
  <c r="ED548" i="31"/>
  <c r="ED538" i="31"/>
  <c r="ED537" i="31"/>
  <c r="EB536" i="31"/>
  <c r="ED511" i="31"/>
  <c r="ED515" i="31"/>
  <c r="ED499" i="31"/>
  <c r="ED498" i="31"/>
  <c r="ED455" i="31"/>
  <c r="ED454" i="31"/>
  <c r="ED351" i="31"/>
  <c r="ED350" i="31"/>
  <c r="ED340" i="31"/>
  <c r="EI345" i="31" s="1"/>
  <c r="EI346" i="31" s="1"/>
  <c r="ED339" i="31"/>
  <c r="EI344" i="31" s="1"/>
  <c r="ED275" i="31"/>
  <c r="ED274" i="31"/>
  <c r="EC276" i="31"/>
  <c r="ED253" i="31"/>
  <c r="ED252" i="31"/>
  <c r="ED242" i="31"/>
  <c r="ED241" i="31"/>
  <c r="ED231" i="31"/>
  <c r="EI236" i="31" s="1"/>
  <c r="EI237" i="31" s="1"/>
  <c r="ED230" i="31"/>
  <c r="EI235" i="31" s="1"/>
  <c r="EC254" i="31"/>
  <c r="EB254" i="31"/>
  <c r="EG259" i="31" s="1"/>
  <c r="EC243" i="31"/>
  <c r="EH249" i="31" s="1"/>
  <c r="EC232" i="31"/>
  <c r="EH238" i="31" s="1"/>
  <c r="EC233" i="31"/>
  <c r="ED204" i="31"/>
  <c r="ED203" i="31"/>
  <c r="ED202" i="31"/>
  <c r="ED181" i="31"/>
  <c r="ED180" i="31"/>
  <c r="ED170" i="31"/>
  <c r="ED169" i="31"/>
  <c r="ED126" i="31"/>
  <c r="ED125" i="31"/>
  <c r="ED1326" i="31"/>
  <c r="ED1325" i="31"/>
  <c r="ED1243" i="31"/>
  <c r="ED1242" i="31"/>
  <c r="ED1231" i="31"/>
  <c r="ED1230" i="31"/>
  <c r="ED1219" i="31"/>
  <c r="ED1218" i="31"/>
  <c r="ED1207" i="31"/>
  <c r="ED1206" i="31"/>
  <c r="ED1128" i="31"/>
  <c r="ED1127" i="31"/>
  <c r="ED1116" i="31"/>
  <c r="ED1115" i="31"/>
  <c r="ED1104" i="31"/>
  <c r="ED1103" i="31"/>
  <c r="ED1092" i="31"/>
  <c r="ED1091" i="31"/>
  <c r="ED1074" i="31"/>
  <c r="ED1063" i="31"/>
  <c r="ED1052" i="31"/>
  <c r="ED1041" i="31"/>
  <c r="ED945" i="31"/>
  <c r="ED944" i="31"/>
  <c r="ED933" i="31"/>
  <c r="ED932" i="31"/>
  <c r="EC1109" i="31"/>
  <c r="EC1108" i="31"/>
  <c r="EC1080" i="31"/>
  <c r="EC1079" i="31"/>
  <c r="EI360" i="31" l="1"/>
  <c r="EI361" i="31"/>
  <c r="EI185" i="31"/>
  <c r="EI257" i="31"/>
  <c r="EI576" i="31"/>
  <c r="EI575" i="31"/>
  <c r="EJ230" i="31"/>
  <c r="EK230" i="31" s="1"/>
  <c r="EI274" i="31"/>
  <c r="EI275" i="31"/>
  <c r="EJ339" i="31"/>
  <c r="EI648" i="31"/>
  <c r="EI649" i="31"/>
  <c r="EJ649" i="31" s="1"/>
  <c r="EK649" i="31" s="1"/>
  <c r="EI747" i="31"/>
  <c r="ED637" i="31"/>
  <c r="ED749" i="31"/>
  <c r="ED692" i="31"/>
  <c r="ED1195" i="31"/>
  <c r="ED254" i="31"/>
  <c r="ED550" i="31"/>
  <c r="ED232" i="31"/>
  <c r="EI238" i="31" s="1"/>
  <c r="ED341" i="31"/>
  <c r="EI347" i="31" s="1"/>
  <c r="ED352" i="31"/>
  <c r="ED650" i="31"/>
  <c r="ED276" i="31"/>
  <c r="ED456" i="31"/>
  <c r="ED539" i="31"/>
  <c r="ED243" i="31"/>
  <c r="ED500" i="31"/>
  <c r="ED672" i="31"/>
  <c r="ED683" i="31"/>
  <c r="ED920" i="31"/>
  <c r="ED921" i="31"/>
  <c r="ED1194" i="31"/>
  <c r="EH648" i="31" l="1"/>
  <c r="EH747" i="31"/>
  <c r="EJ274" i="31"/>
  <c r="EH274" i="31"/>
  <c r="EI276" i="31"/>
  <c r="EJ747" i="31"/>
  <c r="EJ648" i="31"/>
  <c r="EK339" i="31"/>
  <c r="EL649" i="31"/>
  <c r="EL230" i="31"/>
  <c r="ED922" i="31"/>
  <c r="ED1196" i="31"/>
  <c r="EC1331" i="31"/>
  <c r="EC1330" i="31"/>
  <c r="EC1327" i="31"/>
  <c r="EC1248" i="31"/>
  <c r="EC1247" i="31"/>
  <c r="EC1244" i="31"/>
  <c r="EC1236" i="31"/>
  <c r="EC1235" i="31"/>
  <c r="EC1232" i="31"/>
  <c r="EC1224" i="31"/>
  <c r="EC1223" i="31"/>
  <c r="EC1220" i="31"/>
  <c r="EC1212" i="31"/>
  <c r="EC1211" i="31"/>
  <c r="EC1208" i="31"/>
  <c r="EC1195" i="31"/>
  <c r="EC1194" i="31"/>
  <c r="EC1133" i="31"/>
  <c r="EC1132" i="31"/>
  <c r="EC1129" i="31"/>
  <c r="EC1121" i="31"/>
  <c r="EC1120" i="31"/>
  <c r="EC1117" i="31"/>
  <c r="EC1105" i="31"/>
  <c r="EC1097" i="31"/>
  <c r="EC1096" i="31"/>
  <c r="EC1093" i="31"/>
  <c r="EC950" i="31"/>
  <c r="EC949" i="31"/>
  <c r="EC946" i="31"/>
  <c r="EC938" i="31"/>
  <c r="EC937" i="31"/>
  <c r="EC934" i="31"/>
  <c r="EC921" i="31"/>
  <c r="EC920" i="31"/>
  <c r="EJ650" i="31" l="1"/>
  <c r="EK747" i="31"/>
  <c r="EH653" i="31"/>
  <c r="EK274" i="31"/>
  <c r="EK648" i="31"/>
  <c r="EM230" i="31"/>
  <c r="EL339" i="31"/>
  <c r="EM649" i="31"/>
  <c r="EC1081" i="31"/>
  <c r="EC1196" i="31"/>
  <c r="EC1348" i="31"/>
  <c r="EC1349" i="31"/>
  <c r="EC922" i="31"/>
  <c r="EL747" i="31" l="1"/>
  <c r="EL648" i="31"/>
  <c r="EL274" i="31"/>
  <c r="EK650" i="31"/>
  <c r="EK656" i="31" s="1"/>
  <c r="EN649" i="31"/>
  <c r="EN230" i="31"/>
  <c r="EM339" i="31"/>
  <c r="EC1350" i="31"/>
  <c r="EM747" i="31" l="1"/>
  <c r="EM648" i="31"/>
  <c r="EL650" i="31"/>
  <c r="EL656" i="31" s="1"/>
  <c r="EM274" i="31"/>
  <c r="EN274" i="31" s="1"/>
  <c r="EN339" i="31"/>
  <c r="EO649" i="31"/>
  <c r="EO230" i="31"/>
  <c r="EC1364" i="31"/>
  <c r="EC1365" i="31"/>
  <c r="EB224" i="31"/>
  <c r="EN648" i="31" l="1"/>
  <c r="EM650" i="31"/>
  <c r="EM656" i="31" s="1"/>
  <c r="EN747" i="31"/>
  <c r="EP230" i="31"/>
  <c r="EP649" i="31"/>
  <c r="EO274" i="31"/>
  <c r="EO339" i="31"/>
  <c r="EC1366" i="31"/>
  <c r="EB1079" i="31"/>
  <c r="EB1080" i="31"/>
  <c r="GA136" i="9"/>
  <c r="GA126" i="9"/>
  <c r="GA78" i="9"/>
  <c r="GA77" i="9"/>
  <c r="GA76" i="9"/>
  <c r="GC34" i="9"/>
  <c r="EB1331" i="31"/>
  <c r="EB1330" i="31"/>
  <c r="EB1248" i="31"/>
  <c r="EB1247" i="31"/>
  <c r="EB1236" i="31"/>
  <c r="EB1235" i="31"/>
  <c r="EB1224" i="31"/>
  <c r="EB1223" i="31"/>
  <c r="EB1212" i="31"/>
  <c r="EB1211" i="31"/>
  <c r="EB1133" i="31"/>
  <c r="EB1132" i="31"/>
  <c r="EB1121" i="31"/>
  <c r="EB1120" i="31"/>
  <c r="EB1109" i="31"/>
  <c r="EB1108" i="31"/>
  <c r="EN1109" i="31"/>
  <c r="EB1096" i="31"/>
  <c r="EB950" i="31"/>
  <c r="EB949" i="31"/>
  <c r="EB938" i="31"/>
  <c r="EB937" i="31"/>
  <c r="EB654" i="31"/>
  <c r="EB655" i="31" s="1"/>
  <c r="EB653" i="31"/>
  <c r="DS362" i="31"/>
  <c r="DN362" i="31"/>
  <c r="DI362" i="31"/>
  <c r="BV362" i="31"/>
  <c r="BU362" i="31"/>
  <c r="BT362" i="31"/>
  <c r="BS362" i="31"/>
  <c r="BR362" i="31"/>
  <c r="BQ362" i="31"/>
  <c r="BP362" i="31"/>
  <c r="BO362" i="31"/>
  <c r="BN362" i="31"/>
  <c r="BM362" i="31"/>
  <c r="EB697" i="31"/>
  <c r="EB687" i="31"/>
  <c r="EB688" i="31" s="1"/>
  <c r="EB686" i="31"/>
  <c r="EB676" i="31"/>
  <c r="EB677" i="31" s="1"/>
  <c r="EB675" i="31"/>
  <c r="EB643" i="31"/>
  <c r="EB644" i="31" s="1"/>
  <c r="EB642" i="31"/>
  <c r="EB632" i="31"/>
  <c r="EB633" i="31" s="1"/>
  <c r="EB631" i="31"/>
  <c r="EB554" i="31"/>
  <c r="EB555" i="31" s="1"/>
  <c r="EB553" i="31"/>
  <c r="EB543" i="31"/>
  <c r="EB544" i="31" s="1"/>
  <c r="EB542" i="31"/>
  <c r="EB521" i="31"/>
  <c r="EB522" i="31" s="1"/>
  <c r="EB520" i="31"/>
  <c r="EB504" i="31"/>
  <c r="EB505" i="31" s="1"/>
  <c r="EB503" i="31"/>
  <c r="EB460" i="31"/>
  <c r="EB461" i="31" s="1"/>
  <c r="EB459" i="31"/>
  <c r="EB345" i="31"/>
  <c r="EB346" i="31" s="1"/>
  <c r="EB344" i="31"/>
  <c r="EB280" i="31"/>
  <c r="EB281" i="31" s="1"/>
  <c r="EB279" i="31"/>
  <c r="EB269" i="31"/>
  <c r="EB270" i="31" s="1"/>
  <c r="EB268" i="31"/>
  <c r="EB247" i="31"/>
  <c r="EB248" i="31" s="1"/>
  <c r="EB246" i="31"/>
  <c r="EB236" i="31"/>
  <c r="EB237" i="31" s="1"/>
  <c r="EB235" i="31"/>
  <c r="EB225" i="31"/>
  <c r="EB226" i="31" s="1"/>
  <c r="EB211" i="31"/>
  <c r="EB212" i="31" s="1"/>
  <c r="EB209" i="31"/>
  <c r="EB210" i="31" s="1"/>
  <c r="EB208" i="31"/>
  <c r="EB197" i="31"/>
  <c r="EB198" i="31" s="1"/>
  <c r="EB196" i="31"/>
  <c r="EB186" i="31"/>
  <c r="EB187" i="31" s="1"/>
  <c r="EB185" i="31"/>
  <c r="EB175" i="31"/>
  <c r="EB176" i="31" s="1"/>
  <c r="EB174" i="31"/>
  <c r="EB131" i="31"/>
  <c r="EB132" i="31" s="1"/>
  <c r="EB130" i="31"/>
  <c r="EB75" i="31"/>
  <c r="EB71" i="31"/>
  <c r="EG76" i="31" s="1"/>
  <c r="EG77" i="31" s="1"/>
  <c r="EG1085" i="31" l="1"/>
  <c r="EG1086" i="31" s="1"/>
  <c r="EG1084" i="31"/>
  <c r="EO747" i="31"/>
  <c r="EO648" i="31"/>
  <c r="EN650" i="31"/>
  <c r="EN656" i="31" s="1"/>
  <c r="EP274" i="31"/>
  <c r="EQ649" i="31"/>
  <c r="EQ230" i="31"/>
  <c r="EP339" i="31"/>
  <c r="EB1081" i="31"/>
  <c r="EG1088" i="31" l="1"/>
  <c r="EG1087" i="31"/>
  <c r="EP648" i="31"/>
  <c r="EO650" i="31"/>
  <c r="EO656" i="31" s="1"/>
  <c r="EO749" i="31"/>
  <c r="EP747" i="31"/>
  <c r="ER230" i="31"/>
  <c r="ER649" i="31"/>
  <c r="EQ339" i="31"/>
  <c r="EQ274" i="31"/>
  <c r="DY1404" i="31"/>
  <c r="ED1404" i="31"/>
  <c r="EQ747" i="31" l="1"/>
  <c r="EP749" i="31"/>
  <c r="EQ648" i="31"/>
  <c r="EP650" i="31"/>
  <c r="EP656" i="31" s="1"/>
  <c r="ER339" i="31"/>
  <c r="ER274" i="31"/>
  <c r="ES230" i="31"/>
  <c r="ES649" i="31"/>
  <c r="GD120" i="9"/>
  <c r="FA60" i="10"/>
  <c r="FA62" i="10" s="1"/>
  <c r="EZ174" i="10"/>
  <c r="EZ62" i="10"/>
  <c r="FC34" i="11"/>
  <c r="FB34" i="11"/>
  <c r="FD50" i="11"/>
  <c r="FD46" i="11"/>
  <c r="FD41" i="11"/>
  <c r="FD26" i="11"/>
  <c r="FD20" i="11"/>
  <c r="FD19" i="11"/>
  <c r="FD18" i="11"/>
  <c r="FD17" i="11"/>
  <c r="FD14" i="11"/>
  <c r="FB86" i="10"/>
  <c r="FB84" i="10"/>
  <c r="GG51" i="9"/>
  <c r="EF1668" i="31"/>
  <c r="EF1673" i="31" s="1"/>
  <c r="EE1668" i="31"/>
  <c r="EF1667" i="31"/>
  <c r="EE1667" i="31"/>
  <c r="EE1672" i="31" s="1"/>
  <c r="EH1662" i="31"/>
  <c r="EH1661" i="31"/>
  <c r="EH1658" i="31"/>
  <c r="EH1652" i="31"/>
  <c r="EF1652" i="31"/>
  <c r="EF693" i="31" s="1"/>
  <c r="EE1652" i="31"/>
  <c r="EH1651" i="31"/>
  <c r="EF1651" i="31"/>
  <c r="EF692" i="31" s="1"/>
  <c r="EE1651" i="31"/>
  <c r="EH1648" i="31"/>
  <c r="EF1648" i="31"/>
  <c r="EE1648" i="31"/>
  <c r="EH1643" i="31"/>
  <c r="EF1643" i="31"/>
  <c r="EE1643" i="31"/>
  <c r="EF1609" i="31"/>
  <c r="EE1609" i="31"/>
  <c r="EF1608" i="31"/>
  <c r="EE1608" i="31"/>
  <c r="EF1605" i="31"/>
  <c r="EE1605" i="31"/>
  <c r="EH1604" i="31"/>
  <c r="EH1609" i="31" s="1"/>
  <c r="EH1603" i="31"/>
  <c r="EH1608" i="31" s="1"/>
  <c r="EF1597" i="31"/>
  <c r="EF1683" i="31" s="1"/>
  <c r="EE1597" i="31"/>
  <c r="EE1683" i="31" s="1"/>
  <c r="EF1682" i="31"/>
  <c r="EE1682" i="31"/>
  <c r="EF1593" i="31"/>
  <c r="EE1593" i="31"/>
  <c r="EF1561" i="31"/>
  <c r="EE1561" i="31"/>
  <c r="EF1560" i="31"/>
  <c r="EE1560" i="31"/>
  <c r="EF1557" i="31"/>
  <c r="EE1557" i="31"/>
  <c r="EF1544" i="31"/>
  <c r="EE1544" i="31"/>
  <c r="EF1543" i="31"/>
  <c r="EE1543" i="31"/>
  <c r="EH1539" i="31"/>
  <c r="EH1538" i="31"/>
  <c r="EH1535" i="31"/>
  <c r="EF1529" i="31"/>
  <c r="EE1529" i="31"/>
  <c r="EF1528" i="31"/>
  <c r="EF1548" i="31" s="1"/>
  <c r="EE1528" i="31"/>
  <c r="EE1548" i="31" s="1"/>
  <c r="EF1525" i="31"/>
  <c r="EE1525" i="31"/>
  <c r="EH1524" i="31"/>
  <c r="EH1529" i="31" s="1"/>
  <c r="EH1523" i="31"/>
  <c r="EH1543" i="31" s="1"/>
  <c r="EF1518" i="31"/>
  <c r="EE1518" i="31"/>
  <c r="EF1514" i="31"/>
  <c r="EF1519" i="31" s="1"/>
  <c r="EE1514" i="31"/>
  <c r="EE1515" i="31" s="1"/>
  <c r="EH1513" i="31"/>
  <c r="EH1518" i="31" s="1"/>
  <c r="EF1504" i="31"/>
  <c r="EF1509" i="31" s="1"/>
  <c r="EE1504" i="31"/>
  <c r="EE1509" i="31" s="1"/>
  <c r="EF1503" i="31"/>
  <c r="EF1508" i="31" s="1"/>
  <c r="EE1503" i="31"/>
  <c r="EH649" i="31"/>
  <c r="EH576" i="31"/>
  <c r="EH575" i="31"/>
  <c r="EH513" i="31"/>
  <c r="EH258" i="31"/>
  <c r="EH257" i="31"/>
  <c r="EN576" i="31"/>
  <c r="EN575" i="31"/>
  <c r="EM576" i="31"/>
  <c r="EM575" i="31"/>
  <c r="EL576" i="31"/>
  <c r="EL575" i="31"/>
  <c r="EK576" i="31"/>
  <c r="EK575" i="31"/>
  <c r="EJ576" i="31"/>
  <c r="EJ575" i="31"/>
  <c r="EF694" i="31" l="1"/>
  <c r="EF697" i="31"/>
  <c r="EF885" i="31"/>
  <c r="EF886" i="31"/>
  <c r="EF698" i="31"/>
  <c r="EF699" i="31" s="1"/>
  <c r="ER648" i="31"/>
  <c r="EQ650" i="31"/>
  <c r="EQ656" i="31" s="1"/>
  <c r="EP755" i="31"/>
  <c r="ER747" i="31"/>
  <c r="EQ749" i="31"/>
  <c r="EQ755" i="31" s="1"/>
  <c r="EF1684" i="31"/>
  <c r="EF1686" i="31" s="1"/>
  <c r="EE770" i="31"/>
  <c r="EE693" i="31" s="1"/>
  <c r="EE698" i="31" s="1"/>
  <c r="EE699" i="31" s="1"/>
  <c r="EE1679" i="31"/>
  <c r="EH654" i="31"/>
  <c r="EH655" i="31" s="1"/>
  <c r="ES274" i="31"/>
  <c r="EH275" i="31"/>
  <c r="ES339" i="31"/>
  <c r="EF1549" i="31"/>
  <c r="EF1545" i="31"/>
  <c r="EE1545" i="31"/>
  <c r="EH1663" i="31"/>
  <c r="EH1653" i="31"/>
  <c r="EF1520" i="31"/>
  <c r="EH1540" i="31"/>
  <c r="EE1610" i="31"/>
  <c r="EH1504" i="31"/>
  <c r="EH1509" i="31" s="1"/>
  <c r="EF1515" i="31"/>
  <c r="EH352" i="31"/>
  <c r="EE1530" i="31"/>
  <c r="EE1550" i="31" s="1"/>
  <c r="EE1673" i="31"/>
  <c r="EE1674" i="31" s="1"/>
  <c r="EE1669" i="31"/>
  <c r="EH1668" i="31"/>
  <c r="EH1673" i="31" s="1"/>
  <c r="EF1530" i="31"/>
  <c r="EF1550" i="31" s="1"/>
  <c r="EF1598" i="31"/>
  <c r="EH1610" i="31"/>
  <c r="EH1514" i="31"/>
  <c r="EH1519" i="31" s="1"/>
  <c r="EH1549" i="31"/>
  <c r="EE1562" i="31"/>
  <c r="EF1669" i="31"/>
  <c r="EH1528" i="31"/>
  <c r="EH1548" i="31" s="1"/>
  <c r="FD34" i="11"/>
  <c r="EF1510" i="31"/>
  <c r="EE1549" i="31"/>
  <c r="EF1562" i="31"/>
  <c r="EH1605" i="31"/>
  <c r="EF1672" i="31"/>
  <c r="EF1674" i="31" s="1"/>
  <c r="EH1503" i="31"/>
  <c r="EE1505" i="31"/>
  <c r="EF1505" i="31"/>
  <c r="EE1519" i="31"/>
  <c r="EF1610" i="31"/>
  <c r="EE1653" i="31"/>
  <c r="EE1508" i="31"/>
  <c r="EF1653" i="31"/>
  <c r="EH1667" i="31"/>
  <c r="EH1672" i="31" s="1"/>
  <c r="EH1525" i="31"/>
  <c r="EH1544" i="31"/>
  <c r="EF887" i="31" l="1"/>
  <c r="EF25" i="31" s="1"/>
  <c r="EF34" i="31"/>
  <c r="EF23" i="31"/>
  <c r="EF24" i="31"/>
  <c r="EF35" i="31"/>
  <c r="ES648" i="31"/>
  <c r="ER650" i="31"/>
  <c r="ER656" i="31" s="1"/>
  <c r="ES747" i="31"/>
  <c r="ER749" i="31"/>
  <c r="ER755" i="31" s="1"/>
  <c r="EH276" i="31"/>
  <c r="EH1545" i="31"/>
  <c r="EE45" i="31"/>
  <c r="EH1530" i="31"/>
  <c r="EH1550" i="31" s="1"/>
  <c r="EH1520" i="31"/>
  <c r="EH1669" i="31"/>
  <c r="EH1515" i="31"/>
  <c r="EH1674" i="31"/>
  <c r="EE1510" i="31"/>
  <c r="EH1508" i="31"/>
  <c r="EH1505" i="31"/>
  <c r="EE1520" i="31"/>
  <c r="EA572" i="31"/>
  <c r="EF578" i="31" s="1"/>
  <c r="EA517" i="31"/>
  <c r="EF523" i="31" s="1"/>
  <c r="EA71" i="31"/>
  <c r="EF76" i="31" s="1"/>
  <c r="EF77" i="31" s="1"/>
  <c r="GE93" i="9" l="1"/>
  <c r="GE103" i="9"/>
  <c r="EF36" i="31"/>
  <c r="GE92" i="9"/>
  <c r="GE102" i="9"/>
  <c r="GE106" i="9"/>
  <c r="GE107" i="9"/>
  <c r="GE108" i="9"/>
  <c r="ES749" i="31"/>
  <c r="ES755" i="31" s="1"/>
  <c r="ES650" i="31"/>
  <c r="ES656" i="31" s="1"/>
  <c r="GD96" i="9"/>
  <c r="EE769" i="31"/>
  <c r="EE692" i="31" s="1"/>
  <c r="EE1684" i="31"/>
  <c r="EH1510" i="31"/>
  <c r="ED258" i="31"/>
  <c r="ED1673" i="31"/>
  <c r="EA1673" i="31"/>
  <c r="ED1672" i="31"/>
  <c r="EA1672" i="31"/>
  <c r="ED1669" i="31"/>
  <c r="EA1669" i="31"/>
  <c r="EB1668" i="31"/>
  <c r="EB1667" i="31"/>
  <c r="EB1672" i="31" s="1"/>
  <c r="EC1662" i="31"/>
  <c r="EC1661" i="31"/>
  <c r="EC1658" i="31"/>
  <c r="ED1652" i="31"/>
  <c r="EC1652" i="31"/>
  <c r="EB1652" i="31"/>
  <c r="EA1652" i="31"/>
  <c r="ED1651" i="31"/>
  <c r="EC1651" i="31"/>
  <c r="EB1651" i="31"/>
  <c r="EA1651" i="31"/>
  <c r="ED1648" i="31"/>
  <c r="EC1648" i="31"/>
  <c r="EB1648" i="31"/>
  <c r="EA1648" i="31"/>
  <c r="ED1643" i="31"/>
  <c r="EC1643" i="31"/>
  <c r="EB1643" i="31"/>
  <c r="EA1643" i="31"/>
  <c r="ED1631" i="31"/>
  <c r="ED1630" i="31"/>
  <c r="ED1627" i="31"/>
  <c r="ED1619" i="31"/>
  <c r="ED1618" i="31"/>
  <c r="ED1615" i="31"/>
  <c r="ED1609" i="31"/>
  <c r="EB1609" i="31"/>
  <c r="EA1609" i="31"/>
  <c r="ED1608" i="31"/>
  <c r="EB1608" i="31"/>
  <c r="EA1608" i="31"/>
  <c r="ED1605" i="31"/>
  <c r="EB1605" i="31"/>
  <c r="EA1605" i="31"/>
  <c r="EC1604" i="31"/>
  <c r="EC1603" i="31"/>
  <c r="EB1561" i="31"/>
  <c r="EA1561" i="31"/>
  <c r="EB1560" i="31"/>
  <c r="EA1560" i="31"/>
  <c r="EB1557" i="31"/>
  <c r="EA1557" i="31"/>
  <c r="ED1519" i="31"/>
  <c r="ED1518" i="31"/>
  <c r="EB1518" i="31"/>
  <c r="EA1518" i="31"/>
  <c r="ED1515" i="31"/>
  <c r="EB1514" i="31"/>
  <c r="EB1515" i="31" s="1"/>
  <c r="EA1514" i="31"/>
  <c r="EA1515" i="31" s="1"/>
  <c r="EC1513" i="31"/>
  <c r="ED1509" i="31"/>
  <c r="ED1508" i="31"/>
  <c r="ED1505" i="31"/>
  <c r="EB1504" i="31"/>
  <c r="EB1509" i="31" s="1"/>
  <c r="EA1504" i="31"/>
  <c r="EB1503" i="31"/>
  <c r="EB1508" i="31" s="1"/>
  <c r="EA1503" i="31"/>
  <c r="EA1508" i="31" s="1"/>
  <c r="EA1331" i="31"/>
  <c r="EA1330" i="31"/>
  <c r="EA1327" i="31"/>
  <c r="EA1248" i="31"/>
  <c r="EA1247" i="31"/>
  <c r="EA1244" i="31"/>
  <c r="EF1250" i="31" s="1"/>
  <c r="EA1236" i="31"/>
  <c r="EA1235" i="31"/>
  <c r="EA1232" i="31"/>
  <c r="EF1238" i="31" s="1"/>
  <c r="EA1224" i="31"/>
  <c r="EA1223" i="31"/>
  <c r="EB1220" i="31"/>
  <c r="EA1220" i="31"/>
  <c r="EF1226" i="31" s="1"/>
  <c r="EA1212" i="31"/>
  <c r="EA1211" i="31"/>
  <c r="EB1208" i="31"/>
  <c r="EA1208" i="31"/>
  <c r="EF1214" i="31" s="1"/>
  <c r="EA1195" i="31"/>
  <c r="EF1200" i="31" s="1"/>
  <c r="EA1194" i="31"/>
  <c r="EF1199" i="31" s="1"/>
  <c r="EA1133" i="31"/>
  <c r="EA1132" i="31"/>
  <c r="EA1129" i="31"/>
  <c r="EF1135" i="31" s="1"/>
  <c r="EA1121" i="31"/>
  <c r="EA1120" i="31"/>
  <c r="EA1117" i="31"/>
  <c r="EH1115" i="31"/>
  <c r="EA1109" i="31"/>
  <c r="EA1108" i="31"/>
  <c r="EA1105" i="31"/>
  <c r="EF1111" i="31" s="1"/>
  <c r="EA1096" i="31"/>
  <c r="EA1093" i="31"/>
  <c r="EF1099" i="31" s="1"/>
  <c r="EA1080" i="31"/>
  <c r="EA1079" i="31"/>
  <c r="EA950" i="31"/>
  <c r="EA949" i="31"/>
  <c r="EA946" i="31"/>
  <c r="EF952" i="31" s="1"/>
  <c r="EA938" i="31"/>
  <c r="EA937" i="31"/>
  <c r="EA934" i="31"/>
  <c r="EF940" i="31" s="1"/>
  <c r="EA921" i="31"/>
  <c r="EF926" i="31" s="1"/>
  <c r="EA920" i="31"/>
  <c r="EF925" i="31" s="1"/>
  <c r="EA886" i="31"/>
  <c r="EF891" i="31" s="1"/>
  <c r="EF892" i="31" s="1"/>
  <c r="EA885" i="31"/>
  <c r="EF890" i="31" s="1"/>
  <c r="EB760" i="31"/>
  <c r="EG766" i="31" s="1"/>
  <c r="EA760" i="31"/>
  <c r="EF766" i="31" s="1"/>
  <c r="EA749" i="31"/>
  <c r="EF755" i="31" s="1"/>
  <c r="EB742" i="31"/>
  <c r="EA742" i="31"/>
  <c r="EA697" i="31"/>
  <c r="EA694" i="31"/>
  <c r="EF700" i="31" s="1"/>
  <c r="EI682" i="31"/>
  <c r="EA687" i="31"/>
  <c r="EA688" i="31" s="1"/>
  <c r="EA686" i="31"/>
  <c r="EA683" i="31"/>
  <c r="EF689" i="31" s="1"/>
  <c r="EI681" i="31"/>
  <c r="EA676" i="31"/>
  <c r="EA677" i="31" s="1"/>
  <c r="EA675" i="31"/>
  <c r="EA672" i="31"/>
  <c r="EF678" i="31" s="1"/>
  <c r="EA654" i="31"/>
  <c r="EA655" i="31" s="1"/>
  <c r="EA653" i="31"/>
  <c r="EA650" i="31"/>
  <c r="EF656" i="31" s="1"/>
  <c r="EA643" i="31"/>
  <c r="EA644" i="31" s="1"/>
  <c r="EA642" i="31"/>
  <c r="EA639" i="31"/>
  <c r="EF645" i="31" s="1"/>
  <c r="EI549" i="31"/>
  <c r="EI554" i="31" s="1"/>
  <c r="EI555" i="31" s="1"/>
  <c r="EA554" i="31"/>
  <c r="EA555" i="31" s="1"/>
  <c r="EA553" i="31"/>
  <c r="EA550" i="31"/>
  <c r="EF556" i="31" s="1"/>
  <c r="EI548" i="31"/>
  <c r="EI553" i="31" s="1"/>
  <c r="EA543" i="31"/>
  <c r="EA544" i="31" s="1"/>
  <c r="EA542" i="31"/>
  <c r="EA539" i="31"/>
  <c r="EF545" i="31" s="1"/>
  <c r="EA536" i="31"/>
  <c r="EA521" i="31"/>
  <c r="EA522" i="31" s="1"/>
  <c r="EA520" i="31"/>
  <c r="EA515" i="31"/>
  <c r="EB514" i="31"/>
  <c r="EA514" i="31"/>
  <c r="EB512" i="31"/>
  <c r="EA512" i="31"/>
  <c r="EA509" i="31"/>
  <c r="EA508" i="31"/>
  <c r="EA504" i="31"/>
  <c r="EA505" i="31" s="1"/>
  <c r="EA503" i="31"/>
  <c r="EA500" i="31"/>
  <c r="EF506" i="31" s="1"/>
  <c r="EA471" i="31"/>
  <c r="EA472" i="31" s="1"/>
  <c r="EA470" i="31"/>
  <c r="EA467" i="31"/>
  <c r="EF473" i="31" s="1"/>
  <c r="EA460" i="31"/>
  <c r="EA461" i="31" s="1"/>
  <c r="EA459" i="31"/>
  <c r="EA456" i="31"/>
  <c r="EF462" i="31" s="1"/>
  <c r="EB361" i="31"/>
  <c r="EB362" i="31" s="1"/>
  <c r="EA361" i="31"/>
  <c r="EA362" i="31" s="1"/>
  <c r="EB360" i="31"/>
  <c r="EA360" i="31"/>
  <c r="EB352" i="31"/>
  <c r="EA352" i="31"/>
  <c r="EA345" i="31"/>
  <c r="EA346" i="31" s="1"/>
  <c r="EA344" i="31"/>
  <c r="EA341" i="31"/>
  <c r="EF347" i="31" s="1"/>
  <c r="EB334" i="31"/>
  <c r="EA334" i="31"/>
  <c r="EA280" i="31"/>
  <c r="EA281" i="31" s="1"/>
  <c r="EA279" i="31"/>
  <c r="EA276" i="31"/>
  <c r="EA269" i="31"/>
  <c r="EA270" i="31" s="1"/>
  <c r="EA268" i="31"/>
  <c r="EA265" i="31"/>
  <c r="EF271" i="31" s="1"/>
  <c r="ED260" i="31"/>
  <c r="EC260" i="31"/>
  <c r="EB260" i="31"/>
  <c r="EA260" i="31"/>
  <c r="EC258" i="31"/>
  <c r="EB258" i="31"/>
  <c r="EA258" i="31"/>
  <c r="EC257" i="31"/>
  <c r="EB257" i="31"/>
  <c r="EA257" i="31"/>
  <c r="EA254" i="31"/>
  <c r="EA247" i="31"/>
  <c r="EA248" i="31" s="1"/>
  <c r="EA246" i="31"/>
  <c r="EA243" i="31"/>
  <c r="EF249" i="31" s="1"/>
  <c r="EA236" i="31"/>
  <c r="EA237" i="31" s="1"/>
  <c r="EA235" i="31"/>
  <c r="EA232" i="31"/>
  <c r="EF238" i="31" s="1"/>
  <c r="EA225" i="31"/>
  <c r="EA226" i="31" s="1"/>
  <c r="EA224" i="31"/>
  <c r="EA221" i="31"/>
  <c r="EA215" i="31"/>
  <c r="EA211" i="31"/>
  <c r="EA212" i="31" s="1"/>
  <c r="EA209" i="31"/>
  <c r="EA210" i="31" s="1"/>
  <c r="EA208" i="31"/>
  <c r="EA205" i="31"/>
  <c r="EA197" i="31"/>
  <c r="EA198" i="31" s="1"/>
  <c r="EA196" i="31"/>
  <c r="EA193" i="31"/>
  <c r="EF199" i="31" s="1"/>
  <c r="EA186" i="31"/>
  <c r="EA187" i="31" s="1"/>
  <c r="EA185" i="31"/>
  <c r="EA182" i="31"/>
  <c r="EF188" i="31" s="1"/>
  <c r="EA175" i="31"/>
  <c r="EA176" i="31" s="1"/>
  <c r="EA174" i="31"/>
  <c r="EA171" i="31"/>
  <c r="EF177" i="31" s="1"/>
  <c r="EA131" i="31"/>
  <c r="EA132" i="31" s="1"/>
  <c r="EA130" i="31"/>
  <c r="EA127" i="31"/>
  <c r="EF133" i="31" s="1"/>
  <c r="EA75" i="31"/>
  <c r="EA72" i="31"/>
  <c r="ET220" i="10"/>
  <c r="ET215" i="10"/>
  <c r="ET212" i="10"/>
  <c r="EU210" i="10" s="1"/>
  <c r="EU211" i="10" s="1"/>
  <c r="ET207" i="10"/>
  <c r="EU205" i="10" s="1"/>
  <c r="EU206" i="10" s="1"/>
  <c r="ET197" i="10"/>
  <c r="EU195" i="10" s="1"/>
  <c r="EU196" i="10" s="1"/>
  <c r="ET190" i="10"/>
  <c r="ET189" i="10"/>
  <c r="ET188" i="10"/>
  <c r="ET187" i="10"/>
  <c r="ET118" i="10"/>
  <c r="EU115" i="10" s="1"/>
  <c r="ET87" i="10"/>
  <c r="ET85" i="10"/>
  <c r="EX86" i="10" s="1"/>
  <c r="ET162" i="10"/>
  <c r="ET161" i="10"/>
  <c r="EU158" i="10" s="1"/>
  <c r="ET155" i="10"/>
  <c r="EU153" i="10" s="1"/>
  <c r="EU154" i="10" s="1"/>
  <c r="ET149" i="10"/>
  <c r="ET139" i="10"/>
  <c r="ET131" i="10"/>
  <c r="EU128" i="10" s="1"/>
  <c r="EU129" i="10" s="1"/>
  <c r="ET125" i="10"/>
  <c r="EU123" i="10" s="1"/>
  <c r="EU124" i="10" s="1"/>
  <c r="ET108" i="10"/>
  <c r="ET112" i="10" s="1"/>
  <c r="ET102" i="10"/>
  <c r="ET95" i="10"/>
  <c r="ET96" i="10" s="1"/>
  <c r="ET98" i="10" s="1"/>
  <c r="EV50" i="11"/>
  <c r="EV46" i="11"/>
  <c r="EV45" i="11"/>
  <c r="EV44" i="11"/>
  <c r="EV43" i="11"/>
  <c r="EV42" i="11"/>
  <c r="EV41" i="11"/>
  <c r="EY41" i="11" s="1"/>
  <c r="EV40" i="11"/>
  <c r="EV39" i="11"/>
  <c r="EV34" i="11"/>
  <c r="EV33" i="11"/>
  <c r="EV32" i="11"/>
  <c r="EV27" i="11"/>
  <c r="EV26" i="11"/>
  <c r="EV25" i="11"/>
  <c r="EV24" i="11"/>
  <c r="EV23" i="11"/>
  <c r="EV22" i="11"/>
  <c r="EY17" i="11"/>
  <c r="EV16" i="11"/>
  <c r="EV15" i="11"/>
  <c r="EV14" i="11"/>
  <c r="EY14" i="11" s="1"/>
  <c r="EV12" i="11"/>
  <c r="ET52" i="10"/>
  <c r="ET38" i="10"/>
  <c r="ET34" i="10"/>
  <c r="ET20" i="10"/>
  <c r="EW16" i="11" l="1"/>
  <c r="EF213" i="31"/>
  <c r="EF227" i="31"/>
  <c r="EF78" i="31"/>
  <c r="EF282" i="31"/>
  <c r="EF1333" i="31"/>
  <c r="EG1226" i="31"/>
  <c r="EG1214" i="31"/>
  <c r="GE104" i="9"/>
  <c r="GE94" i="9"/>
  <c r="GE114" i="9"/>
  <c r="GE115" i="9"/>
  <c r="EF260" i="31"/>
  <c r="EF259" i="31"/>
  <c r="EF1084" i="31"/>
  <c r="EF1085" i="31"/>
  <c r="EF1123" i="31"/>
  <c r="EX60" i="10"/>
  <c r="EX61" i="10"/>
  <c r="EE697" i="31"/>
  <c r="EE694" i="31"/>
  <c r="EX18" i="11"/>
  <c r="EY18" i="11" s="1"/>
  <c r="ET106" i="10"/>
  <c r="EW39" i="11"/>
  <c r="EX19" i="11"/>
  <c r="EW26" i="11"/>
  <c r="EX26" i="11" s="1"/>
  <c r="EY26" i="11" s="1"/>
  <c r="EW40" i="11"/>
  <c r="EW46" i="11"/>
  <c r="EW15" i="11"/>
  <c r="EW22" i="11"/>
  <c r="ET135" i="10"/>
  <c r="EW32" i="11"/>
  <c r="EW42" i="11"/>
  <c r="EW24" i="11"/>
  <c r="EX24" i="11" s="1"/>
  <c r="EW34" i="11"/>
  <c r="EW45" i="11"/>
  <c r="EX45" i="11" s="1"/>
  <c r="EY45" i="11" s="1"/>
  <c r="EX16" i="11"/>
  <c r="EW23" i="11"/>
  <c r="EX23" i="11" s="1"/>
  <c r="EY23" i="11" s="1"/>
  <c r="EW33" i="11"/>
  <c r="EW43" i="11"/>
  <c r="EX43" i="11" s="1"/>
  <c r="EY43" i="11" s="1"/>
  <c r="EW44" i="11"/>
  <c r="EW25" i="11"/>
  <c r="EX25" i="11" s="1"/>
  <c r="EW12" i="11"/>
  <c r="EU159" i="10"/>
  <c r="EX20" i="11"/>
  <c r="EW27" i="11"/>
  <c r="EW50" i="11"/>
  <c r="EX50" i="11" s="1"/>
  <c r="EU120" i="10"/>
  <c r="EU116" i="10"/>
  <c r="ET150" i="10"/>
  <c r="EU134" i="10"/>
  <c r="ET179" i="10"/>
  <c r="EU184" i="10"/>
  <c r="EU191" i="10" s="1"/>
  <c r="ET97" i="10"/>
  <c r="ET91" i="10"/>
  <c r="EE771" i="31"/>
  <c r="EE1686" i="31"/>
  <c r="ED264" i="31"/>
  <c r="EC1518" i="31"/>
  <c r="ED1561" i="31"/>
  <c r="EC1609" i="31"/>
  <c r="EC509" i="31"/>
  <c r="ET163" i="10"/>
  <c r="EI1115" i="31"/>
  <c r="EI683" i="31"/>
  <c r="EA1562" i="31"/>
  <c r="EA632" i="31"/>
  <c r="EA633" i="31" s="1"/>
  <c r="EB749" i="31"/>
  <c r="EG755" i="31" s="1"/>
  <c r="EI550" i="31"/>
  <c r="EI556" i="31" s="1"/>
  <c r="EA631" i="31"/>
  <c r="EC521" i="31"/>
  <c r="EC522" i="31" s="1"/>
  <c r="EH512" i="31"/>
  <c r="EH521" i="31"/>
  <c r="EH514" i="31"/>
  <c r="EB1194" i="31"/>
  <c r="EG1199" i="31" s="1"/>
  <c r="EI1127" i="31"/>
  <c r="EB572" i="31"/>
  <c r="EG578" i="31" s="1"/>
  <c r="EB650" i="31"/>
  <c r="EG656" i="31" s="1"/>
  <c r="ED1674" i="31"/>
  <c r="EB215" i="31"/>
  <c r="EA887" i="31"/>
  <c r="EF893" i="31" s="1"/>
  <c r="EA1081" i="31"/>
  <c r="ED1510" i="31"/>
  <c r="ET103" i="10"/>
  <c r="ET104" i="10" s="1"/>
  <c r="EC512" i="31"/>
  <c r="ED1620" i="31"/>
  <c r="EC514" i="31"/>
  <c r="EB1610" i="31"/>
  <c r="EB171" i="31"/>
  <c r="EG177" i="31" s="1"/>
  <c r="ED1557" i="31"/>
  <c r="ET140" i="10"/>
  <c r="EB182" i="31"/>
  <c r="EG188" i="31" s="1"/>
  <c r="ED1520" i="31"/>
  <c r="EB1519" i="31"/>
  <c r="EB539" i="31"/>
  <c r="EG545" i="31" s="1"/>
  <c r="EC1653" i="31"/>
  <c r="ET192" i="10"/>
  <c r="EA1610" i="31"/>
  <c r="ED1632" i="31"/>
  <c r="ED1653" i="31"/>
  <c r="EV28" i="11"/>
  <c r="EV29" i="11" s="1"/>
  <c r="ET180" i="10"/>
  <c r="EB127" i="31"/>
  <c r="EG133" i="31" s="1"/>
  <c r="EC1605" i="31"/>
  <c r="EC1663" i="31"/>
  <c r="EC352" i="31"/>
  <c r="ET27" i="10"/>
  <c r="EB341" i="31"/>
  <c r="EG347" i="31" s="1"/>
  <c r="EB628" i="31"/>
  <c r="EG634" i="31" s="1"/>
  <c r="EA922" i="31"/>
  <c r="EB1505" i="31"/>
  <c r="EA1519" i="31"/>
  <c r="EA1520" i="31" s="1"/>
  <c r="EB1562" i="31"/>
  <c r="EC361" i="31"/>
  <c r="EC362" i="31" s="1"/>
  <c r="EA1349" i="31"/>
  <c r="EC1608" i="31"/>
  <c r="EB276" i="31"/>
  <c r="EB508" i="31"/>
  <c r="ED1610" i="31"/>
  <c r="EC1667" i="31"/>
  <c r="EC1672" i="31" s="1"/>
  <c r="ET109" i="10"/>
  <c r="EB1669" i="31"/>
  <c r="EB1673" i="31"/>
  <c r="EB1674" i="31" s="1"/>
  <c r="EB1653" i="31"/>
  <c r="EB471" i="31"/>
  <c r="EB472" i="31" s="1"/>
  <c r="EA35" i="31"/>
  <c r="EF40" i="31" s="1"/>
  <c r="EF41" i="31" s="1"/>
  <c r="EB205" i="31"/>
  <c r="EB221" i="31"/>
  <c r="EC515" i="31"/>
  <c r="EB550" i="31"/>
  <c r="EG556" i="31" s="1"/>
  <c r="EB683" i="31"/>
  <c r="EG689" i="31" s="1"/>
  <c r="EC760" i="31"/>
  <c r="EB243" i="31"/>
  <c r="EG249" i="31" s="1"/>
  <c r="EB456" i="31"/>
  <c r="EG462" i="31" s="1"/>
  <c r="EB672" i="31"/>
  <c r="EG678" i="31" s="1"/>
  <c r="EB232" i="31"/>
  <c r="EG238" i="31" s="1"/>
  <c r="EA34" i="31"/>
  <c r="EF39" i="31" s="1"/>
  <c r="EB515" i="31"/>
  <c r="EC572" i="31"/>
  <c r="EC360" i="31"/>
  <c r="EB500" i="31"/>
  <c r="EG506" i="31" s="1"/>
  <c r="EB920" i="31"/>
  <c r="EG925" i="31" s="1"/>
  <c r="EA1509" i="31"/>
  <c r="EA1510" i="31" s="1"/>
  <c r="EA628" i="31"/>
  <c r="EF634" i="31" s="1"/>
  <c r="EC1556" i="31"/>
  <c r="EC1561" i="31" s="1"/>
  <c r="EA1653" i="31"/>
  <c r="EA1196" i="31"/>
  <c r="EA1505" i="31"/>
  <c r="EB1510" i="31"/>
  <c r="EA1674" i="31"/>
  <c r="ED1560" i="31"/>
  <c r="EC1668" i="31"/>
  <c r="EA1348" i="31"/>
  <c r="EF1352" i="31" s="1"/>
  <c r="EC1555" i="31"/>
  <c r="ET36" i="10"/>
  <c r="EX46" i="11" l="1"/>
  <c r="EX40" i="11"/>
  <c r="EY16" i="11"/>
  <c r="EX39" i="11"/>
  <c r="EX44" i="11"/>
  <c r="EX34" i="11"/>
  <c r="ET146" i="10"/>
  <c r="ET169" i="10"/>
  <c r="ET186" i="10"/>
  <c r="EG282" i="31"/>
  <c r="EG227" i="31"/>
  <c r="EG213" i="31"/>
  <c r="GE116" i="9"/>
  <c r="EF1202" i="31"/>
  <c r="EA46" i="31"/>
  <c r="EF51" i="31" s="1"/>
  <c r="EF52" i="31" s="1"/>
  <c r="EF1354" i="31"/>
  <c r="EF928" i="31"/>
  <c r="EF1087" i="31"/>
  <c r="EX15" i="11"/>
  <c r="EU138" i="10"/>
  <c r="ET147" i="10"/>
  <c r="ET148" i="10" s="1"/>
  <c r="EW28" i="11"/>
  <c r="EW29" i="11" s="1"/>
  <c r="EY44" i="11"/>
  <c r="EX33" i="11"/>
  <c r="EY33" i="11" s="1"/>
  <c r="EX42" i="11"/>
  <c r="EY42" i="11" s="1"/>
  <c r="EY20" i="11"/>
  <c r="EY50" i="11"/>
  <c r="EX22" i="11"/>
  <c r="EX12" i="11"/>
  <c r="EY12" i="11" s="1"/>
  <c r="EY25" i="11"/>
  <c r="EY24" i="11"/>
  <c r="EX32" i="11"/>
  <c r="EY40" i="11"/>
  <c r="EY19" i="11"/>
  <c r="EX27" i="11"/>
  <c r="EX28" i="11" s="1"/>
  <c r="EC1610" i="31"/>
  <c r="EH578" i="31"/>
  <c r="ED1562" i="31"/>
  <c r="EB1348" i="31"/>
  <c r="EG1352" i="31" s="1"/>
  <c r="EI1120" i="31"/>
  <c r="EH1127" i="31"/>
  <c r="EB193" i="31"/>
  <c r="EG199" i="31" s="1"/>
  <c r="ET142" i="10"/>
  <c r="EA1393" i="31"/>
  <c r="EB639" i="31"/>
  <c r="EG645" i="31" s="1"/>
  <c r="EA24" i="31"/>
  <c r="EB1520" i="31"/>
  <c r="EB265" i="31"/>
  <c r="EG271" i="31" s="1"/>
  <c r="ET218" i="10"/>
  <c r="ET217" i="10"/>
  <c r="ET168" i="10"/>
  <c r="ET167" i="10"/>
  <c r="EA16" i="31"/>
  <c r="EA1350" i="31"/>
  <c r="EA45" i="31"/>
  <c r="EF50" i="31" s="1"/>
  <c r="EC1673" i="31"/>
  <c r="EC1674" i="31" s="1"/>
  <c r="EC1669" i="31"/>
  <c r="EA15" i="31"/>
  <c r="EA36" i="31"/>
  <c r="EA23" i="31"/>
  <c r="EF28" i="31" s="1"/>
  <c r="EC1557" i="31"/>
  <c r="EC1560" i="31"/>
  <c r="EB72" i="31"/>
  <c r="ET41" i="10"/>
  <c r="EY22" i="11" l="1"/>
  <c r="EY39" i="11"/>
  <c r="EY34" i="11"/>
  <c r="EY15" i="11"/>
  <c r="EY46" i="11"/>
  <c r="ET54" i="10"/>
  <c r="EF42" i="31"/>
  <c r="EG78" i="31"/>
  <c r="EF29" i="31"/>
  <c r="EF30" i="31" s="1"/>
  <c r="EF1361" i="31"/>
  <c r="EF1357" i="31"/>
  <c r="EX29" i="11"/>
  <c r="EY27" i="11"/>
  <c r="EY32" i="11"/>
  <c r="EA1388" i="31"/>
  <c r="EA1394" i="31"/>
  <c r="EA1387" i="31"/>
  <c r="EA1390" i="31"/>
  <c r="EA1391" i="31"/>
  <c r="EB45" i="31"/>
  <c r="EG50" i="31" s="1"/>
  <c r="EA1392" i="31"/>
  <c r="EB467" i="31"/>
  <c r="EG473" i="31" s="1"/>
  <c r="EA1364" i="31"/>
  <c r="EA25" i="31"/>
  <c r="EF31" i="31" s="1"/>
  <c r="ET93" i="10"/>
  <c r="ET181" i="10"/>
  <c r="EA17" i="31"/>
  <c r="EB470" i="31"/>
  <c r="EB885" i="31"/>
  <c r="EG890" i="31" s="1"/>
  <c r="EB694" i="31"/>
  <c r="EG700" i="31" s="1"/>
  <c r="EB886" i="31"/>
  <c r="EG891" i="31" s="1"/>
  <c r="EG892" i="31" s="1"/>
  <c r="EA1365" i="31"/>
  <c r="EC1562" i="31"/>
  <c r="EA47" i="31"/>
  <c r="ET56" i="10"/>
  <c r="ET55" i="10"/>
  <c r="ET57" i="10"/>
  <c r="EF53" i="31" l="1"/>
  <c r="EF20" i="31"/>
  <c r="GA96" i="9"/>
  <c r="EA1366" i="31"/>
  <c r="EB35" i="31"/>
  <c r="EG40" i="31" s="1"/>
  <c r="EG41" i="31" s="1"/>
  <c r="EB887" i="31"/>
  <c r="EG893" i="31" s="1"/>
  <c r="EB34" i="31"/>
  <c r="EG39" i="31" s="1"/>
  <c r="EB23" i="31"/>
  <c r="EG28" i="31" s="1"/>
  <c r="GA93" i="9" l="1"/>
  <c r="GA92" i="9"/>
  <c r="EB36" i="31"/>
  <c r="EB16" i="31"/>
  <c r="EB15" i="31"/>
  <c r="EG42" i="31" l="1"/>
  <c r="GA94" i="9"/>
  <c r="EB17" i="31"/>
  <c r="EN1331" i="31" l="1"/>
  <c r="EM1331" i="31"/>
  <c r="EL1331" i="31"/>
  <c r="EK1331" i="31"/>
  <c r="EJ1331" i="31"/>
  <c r="EN1248" i="31"/>
  <c r="EM1248" i="31"/>
  <c r="EL1248" i="31"/>
  <c r="EK1248" i="31"/>
  <c r="EJ1248" i="31"/>
  <c r="EN1236" i="31"/>
  <c r="EM1236" i="31"/>
  <c r="EL1236" i="31"/>
  <c r="EK1236" i="31"/>
  <c r="EJ1236" i="31"/>
  <c r="EN1224" i="31"/>
  <c r="EM1224" i="31"/>
  <c r="EL1224" i="31"/>
  <c r="EK1224" i="31"/>
  <c r="EJ1224" i="31"/>
  <c r="EN1212" i="31"/>
  <c r="EM1212" i="31"/>
  <c r="EL1212" i="31"/>
  <c r="EK1212" i="31"/>
  <c r="EJ1212" i="31"/>
  <c r="EN1133" i="31"/>
  <c r="EM1133" i="31"/>
  <c r="EL1133" i="31"/>
  <c r="EK1133" i="31"/>
  <c r="EJ1133" i="31"/>
  <c r="EN1121" i="31"/>
  <c r="EM1121" i="31"/>
  <c r="EL1121" i="31"/>
  <c r="EK1121" i="31"/>
  <c r="EJ1121" i="31"/>
  <c r="EM1109" i="31"/>
  <c r="EL1109" i="31"/>
  <c r="EK1109" i="31"/>
  <c r="EJ1109" i="31"/>
  <c r="EN1097" i="31"/>
  <c r="EM1097" i="31"/>
  <c r="EL1097" i="31"/>
  <c r="EK1097" i="31"/>
  <c r="EJ1097" i="31"/>
  <c r="EN1074" i="31"/>
  <c r="EM1074" i="31"/>
  <c r="EL1074" i="31"/>
  <c r="EK1074" i="31"/>
  <c r="EJ1074" i="31"/>
  <c r="EI1074" i="31"/>
  <c r="EN1063" i="31"/>
  <c r="EM1063" i="31"/>
  <c r="EL1063" i="31"/>
  <c r="EK1063" i="31"/>
  <c r="EJ1063" i="31"/>
  <c r="EI1063" i="31"/>
  <c r="EN1052" i="31"/>
  <c r="EM1052" i="31"/>
  <c r="EL1052" i="31"/>
  <c r="EK1052" i="31"/>
  <c r="EJ1052" i="31"/>
  <c r="EI1052" i="31"/>
  <c r="EN1041" i="31"/>
  <c r="EM1041" i="31"/>
  <c r="EL1041" i="31"/>
  <c r="EK1041" i="31"/>
  <c r="EJ1041" i="31"/>
  <c r="EI1041" i="31"/>
  <c r="EN1018" i="31"/>
  <c r="EM1018" i="31"/>
  <c r="EL1018" i="31"/>
  <c r="EK1018" i="31"/>
  <c r="EJ1018" i="31"/>
  <c r="EI1018" i="31"/>
  <c r="EN1007" i="31"/>
  <c r="EM1007" i="31"/>
  <c r="EL1007" i="31"/>
  <c r="EK1007" i="31"/>
  <c r="EJ1007" i="31"/>
  <c r="EI1007" i="31"/>
  <c r="EN996" i="31"/>
  <c r="EM996" i="31"/>
  <c r="EL996" i="31"/>
  <c r="EK996" i="31"/>
  <c r="EJ996" i="31"/>
  <c r="EI996" i="31"/>
  <c r="EN974" i="31"/>
  <c r="EM974" i="31"/>
  <c r="EL974" i="31"/>
  <c r="EK974" i="31"/>
  <c r="EJ974" i="31"/>
  <c r="EI974" i="31"/>
  <c r="EN950" i="31"/>
  <c r="EM950" i="31"/>
  <c r="EL950" i="31"/>
  <c r="EK950" i="31"/>
  <c r="EJ950" i="31"/>
  <c r="EN938" i="31"/>
  <c r="EM938" i="31"/>
  <c r="EL938" i="31"/>
  <c r="EK938" i="31"/>
  <c r="EJ938" i="31"/>
  <c r="EJ1115" i="31" l="1"/>
  <c r="EK1115" i="31" l="1"/>
  <c r="EJ1127" i="31"/>
  <c r="EK1127" i="31" l="1"/>
  <c r="EL1115" i="31"/>
  <c r="EM1115" i="31" l="1"/>
  <c r="EL1127" i="31"/>
  <c r="EN1115" i="31" l="1"/>
  <c r="EM1127" i="31"/>
  <c r="EN1127" i="31" l="1"/>
  <c r="ED508" i="31" l="1"/>
  <c r="EC508" i="31"/>
  <c r="FZ136" i="9" l="1"/>
  <c r="FZ126" i="9"/>
  <c r="FZ78" i="9"/>
  <c r="FZ77" i="9"/>
  <c r="FZ76" i="9"/>
  <c r="FZ47" i="9"/>
  <c r="DZ345" i="31"/>
  <c r="DZ280" i="31"/>
  <c r="DZ236" i="31"/>
  <c r="DZ237" i="31" s="1"/>
  <c r="DZ209" i="31"/>
  <c r="DZ131" i="31"/>
  <c r="DZ132" i="31" s="1"/>
  <c r="EN260" i="31" l="1"/>
  <c r="EM260" i="31"/>
  <c r="EL260" i="31"/>
  <c r="EK260" i="31"/>
  <c r="EJ260" i="31"/>
  <c r="EI260" i="31"/>
  <c r="DZ260" i="31"/>
  <c r="EN257" i="31"/>
  <c r="EM257" i="31"/>
  <c r="EL257" i="31"/>
  <c r="EK257" i="31"/>
  <c r="EJ257" i="31"/>
  <c r="DZ257" i="31"/>
  <c r="DZ258" i="31"/>
  <c r="DW360" i="31"/>
  <c r="DV360" i="31"/>
  <c r="EM360" i="31"/>
  <c r="EL360" i="31"/>
  <c r="EK361" i="31"/>
  <c r="EK360" i="31"/>
  <c r="EJ361" i="31"/>
  <c r="EJ360" i="31"/>
  <c r="DZ361" i="31"/>
  <c r="DZ362" i="31" s="1"/>
  <c r="DZ360" i="31"/>
  <c r="DN1123" i="31"/>
  <c r="DM1123" i="31"/>
  <c r="DL1123" i="31"/>
  <c r="DK1123" i="31"/>
  <c r="DZ1121" i="31"/>
  <c r="DX1121" i="31"/>
  <c r="DW1121" i="31"/>
  <c r="DV1121" i="31"/>
  <c r="DU1121" i="31"/>
  <c r="DS1121" i="31"/>
  <c r="DN1121" i="31"/>
  <c r="DZ1120" i="31"/>
  <c r="DX1120" i="31"/>
  <c r="DW1120" i="31"/>
  <c r="DV1120" i="31"/>
  <c r="DU1120" i="31"/>
  <c r="DS1120" i="31"/>
  <c r="DN1120" i="31"/>
  <c r="CV1118" i="31"/>
  <c r="DZ1117" i="31"/>
  <c r="DX1117" i="31"/>
  <c r="DW1117" i="31"/>
  <c r="DV1117" i="31"/>
  <c r="DU1117" i="31"/>
  <c r="DS1117" i="31"/>
  <c r="DR1117" i="31"/>
  <c r="DQ1117" i="31"/>
  <c r="DP1117" i="31"/>
  <c r="DN1117" i="31"/>
  <c r="CE1117" i="31"/>
  <c r="CJ1123" i="31" s="1"/>
  <c r="CD1117" i="31"/>
  <c r="CI1123" i="31" s="1"/>
  <c r="CC1117" i="31"/>
  <c r="CH1123" i="31" s="1"/>
  <c r="CB1117" i="31"/>
  <c r="CG1123" i="31" s="1"/>
  <c r="BZ1117" i="31"/>
  <c r="BY1117" i="31"/>
  <c r="BX1117" i="31"/>
  <c r="BW1117" i="31"/>
  <c r="BU1117" i="31"/>
  <c r="BT1117" i="31"/>
  <c r="BS1117" i="31"/>
  <c r="BR1117" i="31"/>
  <c r="BP1117" i="31"/>
  <c r="BO1117" i="31"/>
  <c r="BN1117" i="31"/>
  <c r="BM1117" i="31"/>
  <c r="BK1117" i="31"/>
  <c r="BJ1117" i="31"/>
  <c r="BI1117" i="31"/>
  <c r="BH1117" i="31"/>
  <c r="BG1117" i="31"/>
  <c r="BF1117" i="31"/>
  <c r="BE1117" i="31"/>
  <c r="BD1117" i="31"/>
  <c r="BC1117" i="31"/>
  <c r="BB1117" i="31"/>
  <c r="BA1117" i="31"/>
  <c r="AZ1117" i="31"/>
  <c r="AY1117" i="31"/>
  <c r="AX1117" i="31"/>
  <c r="AW1117" i="31"/>
  <c r="AV1117" i="31"/>
  <c r="AU1117" i="31"/>
  <c r="AT1117" i="31"/>
  <c r="AS1117" i="31"/>
  <c r="AR1117" i="31"/>
  <c r="AQ1117" i="31"/>
  <c r="AP1117" i="31"/>
  <c r="AO1117" i="31"/>
  <c r="AN1117" i="31"/>
  <c r="AM1117" i="31"/>
  <c r="AL1117" i="31"/>
  <c r="AK1117" i="31"/>
  <c r="AJ1117" i="31"/>
  <c r="AI1117" i="31"/>
  <c r="AH1117" i="31"/>
  <c r="AG1117" i="31"/>
  <c r="AF1117" i="31"/>
  <c r="AE1117" i="31"/>
  <c r="AD1117" i="31"/>
  <c r="AC1117" i="31"/>
  <c r="AB1117" i="31"/>
  <c r="AA1117" i="31"/>
  <c r="Z1117" i="31"/>
  <c r="Y1117" i="31"/>
  <c r="X1117" i="31"/>
  <c r="W1117" i="31"/>
  <c r="V1117" i="31"/>
  <c r="U1117" i="31"/>
  <c r="T1117" i="31"/>
  <c r="S1117" i="31"/>
  <c r="R1117" i="31"/>
  <c r="Q1117" i="31"/>
  <c r="P1117" i="31"/>
  <c r="O1117" i="31"/>
  <c r="N1117" i="31"/>
  <c r="M1117" i="31"/>
  <c r="L1117" i="31"/>
  <c r="K1117" i="31"/>
  <c r="J1117" i="31"/>
  <c r="I1117" i="31"/>
  <c r="H1117" i="31"/>
  <c r="G1117" i="31"/>
  <c r="F1117" i="31"/>
  <c r="E1117" i="31"/>
  <c r="D1117" i="31"/>
  <c r="DY1116" i="31"/>
  <c r="DT1116" i="31"/>
  <c r="DY1115" i="31"/>
  <c r="DT1115" i="31"/>
  <c r="DM1115" i="31"/>
  <c r="DL1115" i="31"/>
  <c r="DK1115" i="31"/>
  <c r="DJ1115" i="31"/>
  <c r="DJ1116" i="31" s="1"/>
  <c r="EE1123" i="31" l="1"/>
  <c r="DL1120" i="31"/>
  <c r="DR1120" i="31"/>
  <c r="ED1120" i="31"/>
  <c r="DO1117" i="31"/>
  <c r="DR1123" i="31"/>
  <c r="EA1123" i="31"/>
  <c r="EC1123" i="31"/>
  <c r="ED1121" i="31"/>
  <c r="DO1115" i="31"/>
  <c r="BQ1117" i="31"/>
  <c r="DU1123" i="31"/>
  <c r="DM1120" i="31"/>
  <c r="CA1117" i="31"/>
  <c r="DX1123" i="31"/>
  <c r="DZ1123" i="31"/>
  <c r="BL1117" i="31"/>
  <c r="BV1117" i="31"/>
  <c r="DP1123" i="31"/>
  <c r="DW1123" i="31"/>
  <c r="DK1116" i="31"/>
  <c r="DL1116" i="31"/>
  <c r="CF1117" i="31"/>
  <c r="DY1117" i="31"/>
  <c r="DP1120" i="31"/>
  <c r="DY1121" i="31"/>
  <c r="DS1123" i="31"/>
  <c r="DQ1123" i="31"/>
  <c r="DM1116" i="31"/>
  <c r="DT1117" i="31"/>
  <c r="DK1120" i="31"/>
  <c r="DQ1120" i="31"/>
  <c r="DY1120" i="31"/>
  <c r="DV1123" i="31"/>
  <c r="DO1123" i="31" l="1"/>
  <c r="DT1123" i="31"/>
  <c r="DO1120" i="31"/>
  <c r="DT1120" i="31"/>
  <c r="DO1116" i="31"/>
  <c r="DP1121" i="31"/>
  <c r="DK1121" i="31"/>
  <c r="DM1121" i="31"/>
  <c r="DR1121" i="31"/>
  <c r="DY1123" i="31"/>
  <c r="DQ1121" i="31"/>
  <c r="DL1121" i="31"/>
  <c r="DT1121" i="31" l="1"/>
  <c r="DO1121" i="31"/>
  <c r="FY24" i="9" l="1"/>
  <c r="ES215" i="10" l="1"/>
  <c r="ES212" i="10"/>
  <c r="ET210" i="10" s="1"/>
  <c r="ET211" i="10" s="1"/>
  <c r="ES207" i="10"/>
  <c r="ET205" i="10" s="1"/>
  <c r="ET206" i="10" s="1"/>
  <c r="ES197" i="10"/>
  <c r="ET195" i="10" s="1"/>
  <c r="ET196" i="10" s="1"/>
  <c r="ES185" i="10"/>
  <c r="ES164" i="10"/>
  <c r="ES162" i="10"/>
  <c r="ES161" i="10"/>
  <c r="ET158" i="10" s="1"/>
  <c r="ES155" i="10"/>
  <c r="ET153" i="10" s="1"/>
  <c r="ET154" i="10" s="1"/>
  <c r="ES149" i="10"/>
  <c r="ES139" i="10"/>
  <c r="ES135" i="10"/>
  <c r="ES131" i="10"/>
  <c r="ET128" i="10" s="1"/>
  <c r="ET129" i="10" s="1"/>
  <c r="ES125" i="10"/>
  <c r="ET123" i="10" s="1"/>
  <c r="ET124" i="10" s="1"/>
  <c r="ES118" i="10"/>
  <c r="ES112" i="10"/>
  <c r="ES109" i="10"/>
  <c r="ES106" i="10"/>
  <c r="ES95" i="10"/>
  <c r="ES96" i="10" s="1"/>
  <c r="ES98" i="10" s="1"/>
  <c r="ES87" i="10"/>
  <c r="ES85" i="10"/>
  <c r="EV86" i="10" s="1"/>
  <c r="ES83" i="10"/>
  <c r="FY139" i="9"/>
  <c r="FY138" i="9"/>
  <c r="FY136" i="9"/>
  <c r="FY133" i="9"/>
  <c r="FY132" i="9"/>
  <c r="FY131" i="9"/>
  <c r="FY126" i="9"/>
  <c r="EU47" i="11"/>
  <c r="EU35" i="11"/>
  <c r="ES38" i="10"/>
  <c r="ES34" i="10"/>
  <c r="DZ1380" i="31"/>
  <c r="EA1380" i="31" s="1"/>
  <c r="EK1373" i="31"/>
  <c r="EJ1373" i="31"/>
  <c r="DZ938" i="31"/>
  <c r="DZ937" i="31"/>
  <c r="DZ1247" i="31"/>
  <c r="ES91" i="10" l="1"/>
  <c r="ET160" i="10"/>
  <c r="ET138" i="10" s="1"/>
  <c r="ET143" i="10" s="1"/>
  <c r="EV35" i="11"/>
  <c r="EV61" i="10"/>
  <c r="EV60" i="10"/>
  <c r="EV47" i="11"/>
  <c r="ET159" i="10"/>
  <c r="ES160" i="10"/>
  <c r="ES150" i="10"/>
  <c r="ET134" i="10"/>
  <c r="ES103" i="10"/>
  <c r="ET115" i="10"/>
  <c r="EA1377" i="31"/>
  <c r="EB1380" i="31"/>
  <c r="EA1389" i="31"/>
  <c r="ES163" i="10"/>
  <c r="ES140" i="10"/>
  <c r="DZ1377" i="31"/>
  <c r="Z55" i="204"/>
  <c r="X6" i="204"/>
  <c r="X60" i="204" s="1"/>
  <c r="ES146" i="10" l="1"/>
  <c r="ET137" i="10"/>
  <c r="FY120" i="9"/>
  <c r="EW160" i="10"/>
  <c r="EV48" i="11"/>
  <c r="EW47" i="11"/>
  <c r="EV36" i="11"/>
  <c r="EW35" i="11"/>
  <c r="ES147" i="10"/>
  <c r="ES148" i="10" s="1"/>
  <c r="ES138" i="10"/>
  <c r="ES143" i="10" s="1"/>
  <c r="EA1406" i="31"/>
  <c r="EA1386" i="31"/>
  <c r="ET116" i="10"/>
  <c r="ET120" i="10"/>
  <c r="EC1380" i="31"/>
  <c r="EB1377" i="31"/>
  <c r="ES142" i="10"/>
  <c r="DZ1406" i="31"/>
  <c r="DZ1331" i="31"/>
  <c r="DZ1330" i="31"/>
  <c r="DZ1248" i="31"/>
  <c r="DZ1236" i="31"/>
  <c r="DZ1235" i="31"/>
  <c r="DZ1133" i="31"/>
  <c r="DZ1132" i="31"/>
  <c r="DZ1109" i="31"/>
  <c r="DZ1108" i="31"/>
  <c r="DZ1096" i="31"/>
  <c r="DZ950" i="31"/>
  <c r="DZ949" i="31"/>
  <c r="DZ687" i="31"/>
  <c r="DZ688" i="31" s="1"/>
  <c r="DZ676" i="31"/>
  <c r="DZ677" i="31" s="1"/>
  <c r="DZ654" i="31"/>
  <c r="DZ655" i="31" s="1"/>
  <c r="DZ643" i="31"/>
  <c r="DZ644" i="31" s="1"/>
  <c r="DZ554" i="31"/>
  <c r="DZ555" i="31" s="1"/>
  <c r="DZ504" i="31"/>
  <c r="DZ505" i="31" s="1"/>
  <c r="DZ543" i="31"/>
  <c r="DZ544" i="31" s="1"/>
  <c r="DZ460" i="31"/>
  <c r="DZ461" i="31" s="1"/>
  <c r="DZ346" i="31"/>
  <c r="DZ281" i="31"/>
  <c r="DZ269" i="31"/>
  <c r="DZ270" i="31" s="1"/>
  <c r="DZ247" i="31"/>
  <c r="DZ248" i="31" s="1"/>
  <c r="DZ225" i="31"/>
  <c r="DZ226" i="31" s="1"/>
  <c r="DZ211" i="31"/>
  <c r="DZ212" i="31" s="1"/>
  <c r="DZ186" i="31"/>
  <c r="DZ187" i="31" s="1"/>
  <c r="DZ175" i="31"/>
  <c r="DZ686" i="31"/>
  <c r="DZ210" i="31"/>
  <c r="DZ208" i="31"/>
  <c r="DZ185" i="31"/>
  <c r="DZ75" i="31"/>
  <c r="EW48" i="11" l="1"/>
  <c r="EX47" i="11"/>
  <c r="EW36" i="11"/>
  <c r="EX35" i="11"/>
  <c r="EV52" i="11"/>
  <c r="EB1406" i="31"/>
  <c r="EC1377" i="31"/>
  <c r="EC1406" i="31" s="1"/>
  <c r="EW52" i="11" l="1"/>
  <c r="EX36" i="11"/>
  <c r="EX48" i="11"/>
  <c r="EY47" i="11"/>
  <c r="EY35" i="11"/>
  <c r="EY36" i="11" s="1"/>
  <c r="EC1370" i="31"/>
  <c r="EY48" i="11" l="1"/>
  <c r="EX52" i="11"/>
  <c r="EB1105" i="31"/>
  <c r="EB1244" i="31"/>
  <c r="EB946" i="31"/>
  <c r="EB1117" i="31"/>
  <c r="EB1195" i="31"/>
  <c r="EG1200" i="31" s="1"/>
  <c r="EG1201" i="31" s="1"/>
  <c r="EB1232" i="31"/>
  <c r="EB934" i="31"/>
  <c r="EB921" i="31"/>
  <c r="EG926" i="31" s="1"/>
  <c r="EG927" i="31" s="1"/>
  <c r="EB1327" i="31"/>
  <c r="EB1093" i="31"/>
  <c r="EB1129" i="31"/>
  <c r="EG1238" i="31" l="1"/>
  <c r="EG1135" i="31"/>
  <c r="EG952" i="31"/>
  <c r="EG1333" i="31"/>
  <c r="EG1099" i="31"/>
  <c r="EG1123" i="31"/>
  <c r="EG1250" i="31"/>
  <c r="EG940" i="31"/>
  <c r="EG1111" i="31"/>
  <c r="ED1117" i="31"/>
  <c r="EB1349" i="31"/>
  <c r="EB1123" i="31"/>
  <c r="EB922" i="31"/>
  <c r="EB1196" i="31"/>
  <c r="DZ675" i="31"/>
  <c r="DZ653" i="31"/>
  <c r="DZ553" i="31"/>
  <c r="DZ503" i="31"/>
  <c r="DZ459" i="31"/>
  <c r="DZ344" i="31"/>
  <c r="DZ279" i="31"/>
  <c r="DZ246" i="31"/>
  <c r="DZ235" i="31"/>
  <c r="DZ224" i="31"/>
  <c r="DZ174" i="31"/>
  <c r="DZ130" i="31"/>
  <c r="DZ542" i="31"/>
  <c r="ED627" i="31"/>
  <c r="ED626" i="31"/>
  <c r="ED465" i="31" s="1"/>
  <c r="DZ71" i="31"/>
  <c r="EE76" i="31" s="1"/>
  <c r="EE77" i="31" s="1"/>
  <c r="EB1350" i="31" l="1"/>
  <c r="EG1354" i="31"/>
  <c r="EG1355" i="31" s="1"/>
  <c r="EG1202" i="31"/>
  <c r="EG1203" i="31"/>
  <c r="EG928" i="31"/>
  <c r="EG929" i="31"/>
  <c r="EB1364" i="31"/>
  <c r="ED466" i="31"/>
  <c r="ED1123" i="31"/>
  <c r="ED628" i="31"/>
  <c r="EB1365" i="31"/>
  <c r="DZ886" i="31"/>
  <c r="DZ631" i="31"/>
  <c r="DZ632" i="31"/>
  <c r="DZ633" i="31" s="1"/>
  <c r="EB1393" i="31"/>
  <c r="EB46" i="31"/>
  <c r="EG51" i="31" s="1"/>
  <c r="EG52" i="31" s="1"/>
  <c r="EB24" i="31"/>
  <c r="EG1357" i="31" l="1"/>
  <c r="EG29" i="31"/>
  <c r="EG30" i="31" s="1"/>
  <c r="EB1366" i="31"/>
  <c r="GA97" i="9"/>
  <c r="GA98" i="9" s="1"/>
  <c r="EB1394" i="31"/>
  <c r="EG1407" i="31" s="1"/>
  <c r="EG1373" i="31" s="1"/>
  <c r="EG1358" i="31" s="1"/>
  <c r="EG1359" i="31" s="1"/>
  <c r="EB47" i="31"/>
  <c r="EB25" i="31"/>
  <c r="EG31" i="31" s="1"/>
  <c r="EB1387" i="31"/>
  <c r="EB1391" i="31"/>
  <c r="EB1390" i="31"/>
  <c r="EB1388" i="31"/>
  <c r="EB1392" i="31"/>
  <c r="EB1389" i="31"/>
  <c r="EB1386" i="31"/>
  <c r="EG53" i="31" l="1"/>
  <c r="EG1374" i="31"/>
  <c r="EG20" i="31"/>
  <c r="GA108" i="9"/>
  <c r="GA106" i="9"/>
  <c r="GA103" i="9"/>
  <c r="GA102" i="9"/>
  <c r="GA104" i="9"/>
  <c r="GA107" i="9"/>
  <c r="EQ212" i="10"/>
  <c r="EQ207" i="10"/>
  <c r="EQ197" i="10"/>
  <c r="EQ162" i="10"/>
  <c r="EN162" i="10"/>
  <c r="EO162" i="10"/>
  <c r="EP162" i="10"/>
  <c r="EQ161" i="10"/>
  <c r="EQ155" i="10"/>
  <c r="EQ139" i="10"/>
  <c r="EQ140" i="10" s="1"/>
  <c r="EQ131" i="10"/>
  <c r="EQ125" i="10"/>
  <c r="EQ38" i="10"/>
  <c r="EQ34" i="10"/>
  <c r="ET17" i="11"/>
  <c r="ET14" i="11"/>
  <c r="EQ91" i="10" l="1"/>
  <c r="GA115" i="9"/>
  <c r="GA114" i="9"/>
  <c r="EP350" i="31"/>
  <c r="EQ350" i="31" s="1"/>
  <c r="ER350" i="31" s="1"/>
  <c r="ES350" i="31" s="1"/>
  <c r="ET350" i="31" s="1"/>
  <c r="EU350" i="31" s="1"/>
  <c r="EN360" i="31"/>
  <c r="EL361" i="31"/>
  <c r="GA116" i="9" l="1"/>
  <c r="EM361" i="31"/>
  <c r="DX236" i="31"/>
  <c r="EO351" i="31" l="1"/>
  <c r="EP351" i="31" s="1"/>
  <c r="EQ351" i="31" s="1"/>
  <c r="ER351" i="31" s="1"/>
  <c r="ES351" i="31" s="1"/>
  <c r="ET351" i="31" s="1"/>
  <c r="EU351" i="31" s="1"/>
  <c r="EN361" i="31"/>
  <c r="GJ71" i="9" l="1"/>
  <c r="GK71" i="9" l="1"/>
  <c r="GL71" i="9" l="1"/>
  <c r="DY1326" i="31"/>
  <c r="DY1325" i="31"/>
  <c r="DY1243" i="31"/>
  <c r="DY1242" i="31"/>
  <c r="DY1231" i="31"/>
  <c r="DY1230" i="31"/>
  <c r="DY1219" i="31"/>
  <c r="DY1218" i="31"/>
  <c r="DY1207" i="31"/>
  <c r="DY1206" i="31"/>
  <c r="DY1128" i="31"/>
  <c r="DY1127" i="31"/>
  <c r="DY1104" i="31"/>
  <c r="DY1103" i="31"/>
  <c r="DY1092" i="31"/>
  <c r="DY1091" i="31"/>
  <c r="DY1074" i="31"/>
  <c r="DY1063" i="31"/>
  <c r="DY1052" i="31"/>
  <c r="DY1041" i="31"/>
  <c r="DY1018" i="31"/>
  <c r="DY1007" i="31"/>
  <c r="DY996" i="31"/>
  <c r="DY974" i="31"/>
  <c r="DY945" i="31"/>
  <c r="DY944" i="31"/>
  <c r="DY933" i="31"/>
  <c r="DY932" i="31"/>
  <c r="DX1331" i="31"/>
  <c r="DX1330" i="31"/>
  <c r="DX1327" i="31"/>
  <c r="EC1333" i="31" s="1"/>
  <c r="DX1248" i="31"/>
  <c r="DX1247" i="31"/>
  <c r="DX1244" i="31"/>
  <c r="EC1250" i="31" s="1"/>
  <c r="DX1236" i="31"/>
  <c r="DX1235" i="31"/>
  <c r="DX1232" i="31"/>
  <c r="EC1238" i="31" s="1"/>
  <c r="DX1224" i="31"/>
  <c r="DX1223" i="31"/>
  <c r="DX1220" i="31"/>
  <c r="EC1226" i="31" s="1"/>
  <c r="DX1212" i="31"/>
  <c r="DX1211" i="31"/>
  <c r="DX1208" i="31"/>
  <c r="EC1214" i="31" s="1"/>
  <c r="DX1195" i="31"/>
  <c r="EC1200" i="31" s="1"/>
  <c r="DX1194" i="31"/>
  <c r="EC1199" i="31" s="1"/>
  <c r="DX1133" i="31"/>
  <c r="DX1132" i="31"/>
  <c r="DX1129" i="31"/>
  <c r="EC1135" i="31" s="1"/>
  <c r="DX1109" i="31"/>
  <c r="DX1108" i="31"/>
  <c r="DX1105" i="31"/>
  <c r="DX1097" i="31"/>
  <c r="DX1096" i="31"/>
  <c r="DX1093" i="31"/>
  <c r="EC1099" i="31" s="1"/>
  <c r="DX1080" i="31"/>
  <c r="DX1079" i="31"/>
  <c r="DX950" i="31"/>
  <c r="DX949" i="31"/>
  <c r="DX946" i="31"/>
  <c r="EC952" i="31" s="1"/>
  <c r="DX938" i="31"/>
  <c r="DX937" i="31"/>
  <c r="DX934" i="31"/>
  <c r="EC940" i="31" s="1"/>
  <c r="DX921" i="31"/>
  <c r="EC926" i="31" s="1"/>
  <c r="DX920" i="31"/>
  <c r="EC925" i="31" s="1"/>
  <c r="FV59" i="9"/>
  <c r="DX254" i="31"/>
  <c r="DW254" i="31"/>
  <c r="EB259" i="31" s="1"/>
  <c r="DV254" i="31"/>
  <c r="EA259" i="31" s="1"/>
  <c r="DU254" i="31"/>
  <c r="DX71" i="31"/>
  <c r="DW693" i="31"/>
  <c r="EB698" i="31" s="1"/>
  <c r="EB699" i="31" s="1"/>
  <c r="DV693" i="31"/>
  <c r="EA698" i="31" s="1"/>
  <c r="EA699" i="31" s="1"/>
  <c r="DX693" i="31"/>
  <c r="EC698" i="31" s="1"/>
  <c r="EC699" i="31" s="1"/>
  <c r="GM71" i="9" l="1"/>
  <c r="EC1084" i="31"/>
  <c r="EC1085" i="31"/>
  <c r="EC1111" i="31"/>
  <c r="ED937" i="31"/>
  <c r="ED938" i="31"/>
  <c r="ED949" i="31"/>
  <c r="ED950" i="31"/>
  <c r="ED1096" i="31"/>
  <c r="ED1097" i="31"/>
  <c r="ED1108" i="31"/>
  <c r="ED1109" i="31"/>
  <c r="ED1132" i="31"/>
  <c r="ED1133" i="31"/>
  <c r="ED1211" i="31"/>
  <c r="ED1212" i="31"/>
  <c r="ED1223" i="31"/>
  <c r="ED1224" i="31"/>
  <c r="ED1235" i="31"/>
  <c r="ED1236" i="31"/>
  <c r="ED1247" i="31"/>
  <c r="ED1248" i="31"/>
  <c r="ED1330" i="31"/>
  <c r="ED1331" i="31"/>
  <c r="GJ44" i="9"/>
  <c r="GK44" i="9" s="1"/>
  <c r="GL44" i="9" s="1"/>
  <c r="GM44" i="9" s="1"/>
  <c r="EI1103" i="31"/>
  <c r="EI1230" i="31"/>
  <c r="EH1230" i="31" s="1"/>
  <c r="EI1325" i="31"/>
  <c r="EH1325" i="31" s="1"/>
  <c r="EI932" i="31"/>
  <c r="EH932" i="31" s="1"/>
  <c r="EI1091" i="31"/>
  <c r="EI1242" i="31"/>
  <c r="EH1242" i="31" s="1"/>
  <c r="DX1110" i="31"/>
  <c r="DX1196" i="31"/>
  <c r="EC1202" i="31" s="1"/>
  <c r="DY1195" i="31"/>
  <c r="DY920" i="31"/>
  <c r="DY1194" i="31"/>
  <c r="DY921" i="31"/>
  <c r="DX1349" i="31"/>
  <c r="EC1354" i="31" s="1"/>
  <c r="DX1081" i="31"/>
  <c r="DX922" i="31"/>
  <c r="EC928" i="31" s="1"/>
  <c r="DX1084" i="31"/>
  <c r="DX1348" i="31"/>
  <c r="EC1352" i="31" s="1"/>
  <c r="DY760" i="31"/>
  <c r="DY753" i="31"/>
  <c r="DY754" i="31" s="1"/>
  <c r="DX752" i="31"/>
  <c r="DX749" i="31"/>
  <c r="DY747" i="31"/>
  <c r="DX694" i="31"/>
  <c r="DY692" i="31"/>
  <c r="DX683" i="31"/>
  <c r="DX676" i="31"/>
  <c r="DX677" i="31" s="1"/>
  <c r="DX675" i="31"/>
  <c r="DX672" i="31"/>
  <c r="DY671" i="31"/>
  <c r="DY670" i="31"/>
  <c r="DY649" i="31"/>
  <c r="DY648" i="31"/>
  <c r="DX654" i="31"/>
  <c r="DX655" i="31" s="1"/>
  <c r="DX653" i="31"/>
  <c r="DX650" i="31"/>
  <c r="DX643" i="31"/>
  <c r="DX644" i="31" s="1"/>
  <c r="DX642" i="31"/>
  <c r="DX639" i="31"/>
  <c r="DY571" i="31"/>
  <c r="DY570" i="31"/>
  <c r="DX572" i="31"/>
  <c r="DX554" i="31"/>
  <c r="DX555" i="31" s="1"/>
  <c r="DX553" i="31"/>
  <c r="DY549" i="31"/>
  <c r="DY548" i="31"/>
  <c r="DX550" i="31"/>
  <c r="DY538" i="31"/>
  <c r="DY537" i="31"/>
  <c r="DX543" i="31"/>
  <c r="DX544" i="31" s="1"/>
  <c r="DX542" i="31"/>
  <c r="DX539" i="31"/>
  <c r="DX536" i="31"/>
  <c r="DX521" i="31"/>
  <c r="DX522" i="31" s="1"/>
  <c r="DX520" i="31"/>
  <c r="DY513" i="31"/>
  <c r="DX508" i="31"/>
  <c r="DX517" i="31"/>
  <c r="DX514" i="31"/>
  <c r="DY504" i="31"/>
  <c r="DY499" i="31"/>
  <c r="DY498" i="31"/>
  <c r="DX504" i="31"/>
  <c r="DX505" i="31" s="1"/>
  <c r="DX503" i="31"/>
  <c r="DX500" i="31"/>
  <c r="DX471" i="31"/>
  <c r="DX472" i="31" s="1"/>
  <c r="DX470" i="31"/>
  <c r="DX467" i="31"/>
  <c r="DX456" i="31"/>
  <c r="DY351" i="31"/>
  <c r="DY350" i="31"/>
  <c r="DX352" i="31"/>
  <c r="EC363" i="31" s="1"/>
  <c r="DY340" i="31"/>
  <c r="DY339" i="31"/>
  <c r="DX345" i="31"/>
  <c r="DX346" i="31" s="1"/>
  <c r="DX344" i="31"/>
  <c r="DX341" i="31"/>
  <c r="DY275" i="31"/>
  <c r="DY274" i="31"/>
  <c r="DX280" i="31"/>
  <c r="DX281" i="31" s="1"/>
  <c r="DX279" i="31"/>
  <c r="DX276" i="31"/>
  <c r="DX269" i="31"/>
  <c r="DX270" i="31" s="1"/>
  <c r="DX268" i="31"/>
  <c r="DX265" i="31"/>
  <c r="DY242" i="31"/>
  <c r="DY241" i="31"/>
  <c r="DX247" i="31"/>
  <c r="DX248" i="31" s="1"/>
  <c r="DX246" i="31"/>
  <c r="DX243" i="31"/>
  <c r="DY231" i="31"/>
  <c r="DY230" i="31"/>
  <c r="DX237" i="31"/>
  <c r="DX235" i="31"/>
  <c r="DX233" i="31"/>
  <c r="DX232" i="31"/>
  <c r="DY220" i="31"/>
  <c r="DY219" i="31"/>
  <c r="DX225" i="31"/>
  <c r="DX226" i="31" s="1"/>
  <c r="DX224" i="31"/>
  <c r="DX221" i="31"/>
  <c r="DY204" i="31"/>
  <c r="DY203" i="31"/>
  <c r="DY202" i="31"/>
  <c r="DY181" i="31"/>
  <c r="DY180" i="31"/>
  <c r="DY170" i="31"/>
  <c r="DY169" i="31"/>
  <c r="DY126" i="31"/>
  <c r="DY125" i="31"/>
  <c r="DX211" i="31"/>
  <c r="DX212" i="31" s="1"/>
  <c r="DX210" i="31"/>
  <c r="DX209" i="31"/>
  <c r="DX208" i="31"/>
  <c r="DX205" i="31"/>
  <c r="DX197" i="31"/>
  <c r="DX198" i="31" s="1"/>
  <c r="DX196" i="31"/>
  <c r="DX193" i="31"/>
  <c r="DX182" i="31"/>
  <c r="DX175" i="31"/>
  <c r="DX176" i="31" s="1"/>
  <c r="DX174" i="31"/>
  <c r="DX171" i="31"/>
  <c r="DX131" i="31"/>
  <c r="DX132" i="31" s="1"/>
  <c r="DX130" i="31"/>
  <c r="EC578" i="31" l="1"/>
  <c r="ED575" i="31"/>
  <c r="ED576" i="31"/>
  <c r="ED130" i="31"/>
  <c r="ED131" i="31"/>
  <c r="ED174" i="31"/>
  <c r="ED175" i="31"/>
  <c r="ED185" i="31"/>
  <c r="ED186" i="31"/>
  <c r="ED208" i="31"/>
  <c r="ED210" i="31"/>
  <c r="ED211" i="31"/>
  <c r="ED235" i="31"/>
  <c r="ED236" i="31"/>
  <c r="ED246" i="31"/>
  <c r="ED247" i="31"/>
  <c r="ED279" i="31"/>
  <c r="ED280" i="31"/>
  <c r="ED344" i="31"/>
  <c r="ED503" i="31"/>
  <c r="ED553" i="31"/>
  <c r="ED653" i="31"/>
  <c r="ED654" i="31"/>
  <c r="ED675" i="31"/>
  <c r="ED676" i="31"/>
  <c r="ED697" i="31"/>
  <c r="ED752" i="31"/>
  <c r="EC1087" i="31"/>
  <c r="ED926" i="31"/>
  <c r="ED1199" i="31"/>
  <c r="ED925" i="31"/>
  <c r="ED1200" i="31"/>
  <c r="EH1091" i="31"/>
  <c r="EH1096" i="31" s="1"/>
  <c r="EH1103" i="31"/>
  <c r="EH1108" i="31" s="1"/>
  <c r="ED514" i="31"/>
  <c r="ED512" i="31"/>
  <c r="EC345" i="31"/>
  <c r="EC346" i="31" s="1"/>
  <c r="ED345" i="31"/>
  <c r="ED554" i="31"/>
  <c r="ED542" i="31"/>
  <c r="ED540" i="31"/>
  <c r="ED543" i="31"/>
  <c r="ED541" i="31"/>
  <c r="EH1235" i="31"/>
  <c r="EH1247" i="31"/>
  <c r="EH937" i="31"/>
  <c r="EH1330" i="31"/>
  <c r="ED70" i="31"/>
  <c r="ED205" i="31"/>
  <c r="ED215" i="31"/>
  <c r="EB233" i="31"/>
  <c r="EA233" i="31"/>
  <c r="EC236" i="31"/>
  <c r="EC237" i="31" s="1"/>
  <c r="DY749" i="31"/>
  <c r="EC211" i="31"/>
  <c r="EC212" i="31" s="1"/>
  <c r="ED521" i="31"/>
  <c r="EC536" i="31"/>
  <c r="EJ1325" i="31"/>
  <c r="EI944" i="31"/>
  <c r="EJ1242" i="31"/>
  <c r="EI1079" i="31"/>
  <c r="EJ1091" i="31"/>
  <c r="EJ932" i="31"/>
  <c r="EJ1230" i="31"/>
  <c r="EJ1103" i="31"/>
  <c r="DY1196" i="31"/>
  <c r="DY922" i="31"/>
  <c r="DY127" i="31"/>
  <c r="DY182" i="31"/>
  <c r="DY276" i="31"/>
  <c r="DX1350" i="31"/>
  <c r="DY232" i="31"/>
  <c r="DY500" i="31"/>
  <c r="DY352" i="31"/>
  <c r="DY650" i="31"/>
  <c r="DY341" i="31"/>
  <c r="DY205" i="31"/>
  <c r="DY171" i="31"/>
  <c r="DY221" i="31"/>
  <c r="DY539" i="31"/>
  <c r="DX509" i="31"/>
  <c r="DY672" i="31"/>
  <c r="DY550" i="31"/>
  <c r="DX512" i="31"/>
  <c r="DX515" i="31"/>
  <c r="DY243" i="31"/>
  <c r="ED249" i="31" l="1"/>
  <c r="ED556" i="31"/>
  <c r="ED678" i="31"/>
  <c r="ED545" i="31"/>
  <c r="ED347" i="31"/>
  <c r="ED656" i="31"/>
  <c r="ED506" i="31"/>
  <c r="ED238" i="31"/>
  <c r="ED282" i="31"/>
  <c r="ED928" i="31"/>
  <c r="ED1202" i="31"/>
  <c r="ED755" i="31"/>
  <c r="ED213" i="31"/>
  <c r="ED212" i="31"/>
  <c r="EC1361" i="31"/>
  <c r="EC1357" i="31"/>
  <c r="EC247" i="31"/>
  <c r="EC248" i="31" s="1"/>
  <c r="EI920" i="31"/>
  <c r="EH944" i="31"/>
  <c r="EC550" i="31"/>
  <c r="EC215" i="31"/>
  <c r="EC210" i="31"/>
  <c r="EC238" i="31"/>
  <c r="EC341" i="31"/>
  <c r="EC205" i="31"/>
  <c r="EJ944" i="31"/>
  <c r="EJ920" i="31" s="1"/>
  <c r="EK1091" i="31"/>
  <c r="EJ1079" i="31"/>
  <c r="EK1242" i="31"/>
  <c r="EK1103" i="31"/>
  <c r="EK1325" i="31"/>
  <c r="EK1230" i="31"/>
  <c r="EL1230" i="31" s="1"/>
  <c r="EM1230" i="31" s="1"/>
  <c r="EK932" i="31"/>
  <c r="EC213" i="31" l="1"/>
  <c r="EC556" i="31"/>
  <c r="EH556" i="31"/>
  <c r="EC347" i="31"/>
  <c r="EH347" i="31"/>
  <c r="EJ1084" i="31"/>
  <c r="EI925" i="31"/>
  <c r="EJ925" i="31"/>
  <c r="EH949" i="31"/>
  <c r="EH920" i="31"/>
  <c r="EH925" i="31" s="1"/>
  <c r="EC196" i="31"/>
  <c r="EC75" i="31"/>
  <c r="EC749" i="31"/>
  <c r="EC755" i="31" s="1"/>
  <c r="EC45" i="31"/>
  <c r="EN1230" i="31"/>
  <c r="EL1242" i="31"/>
  <c r="EK944" i="31"/>
  <c r="EK920" i="31" s="1"/>
  <c r="EL1325" i="31"/>
  <c r="EL932" i="31"/>
  <c r="EL1091" i="31"/>
  <c r="EK1079" i="31"/>
  <c r="EL1103" i="31"/>
  <c r="EC694" i="31" l="1"/>
  <c r="EC700" i="31" s="1"/>
  <c r="EC697" i="31"/>
  <c r="EM1325" i="31"/>
  <c r="EK1084" i="31"/>
  <c r="EL1079" i="31"/>
  <c r="EL1084" i="31" s="1"/>
  <c r="EM1091" i="31"/>
  <c r="EM932" i="31"/>
  <c r="EL944" i="31"/>
  <c r="EK925" i="31"/>
  <c r="EM1103" i="31"/>
  <c r="EM1242" i="31"/>
  <c r="EM944" i="31" l="1"/>
  <c r="EM920" i="31" s="1"/>
  <c r="EN1242" i="31"/>
  <c r="EN932" i="31"/>
  <c r="EL920" i="31"/>
  <c r="EN1091" i="31"/>
  <c r="EM1079" i="31"/>
  <c r="EN1325" i="31"/>
  <c r="EL925" i="31" l="1"/>
  <c r="EM1084" i="31"/>
  <c r="EM925" i="31"/>
  <c r="EN944" i="31"/>
  <c r="EN920" i="31" s="1"/>
  <c r="EN925" i="31" l="1"/>
  <c r="DZ509" i="31"/>
  <c r="FG174" i="10" l="1"/>
  <c r="FG62" i="10"/>
  <c r="FI34" i="11"/>
  <c r="GM120" i="9"/>
  <c r="GM119" i="9"/>
  <c r="GM50" i="9"/>
  <c r="EL504" i="31"/>
  <c r="EK504" i="31"/>
  <c r="EJ504" i="31"/>
  <c r="EN186" i="31"/>
  <c r="EN175" i="31"/>
  <c r="EM175" i="31"/>
  <c r="EL175" i="31"/>
  <c r="EK175" i="31"/>
  <c r="EK543" i="31"/>
  <c r="W6" i="204" l="1"/>
  <c r="W60" i="204" s="1"/>
  <c r="V6" i="204"/>
  <c r="V60" i="204" s="1"/>
  <c r="FH34" i="11"/>
  <c r="FF174" i="10"/>
  <c r="FF62" i="10"/>
  <c r="GL120" i="9"/>
  <c r="GL50" i="9"/>
  <c r="FE174" i="10" l="1"/>
  <c r="FE62" i="10"/>
  <c r="FG34" i="11"/>
  <c r="GK120" i="9"/>
  <c r="GK50" i="9"/>
  <c r="DZ514" i="31" l="1"/>
  <c r="DS514" i="31"/>
  <c r="DR514" i="31"/>
  <c r="DQ514" i="31"/>
  <c r="DP514" i="31"/>
  <c r="DW514" i="31"/>
  <c r="DV514" i="31"/>
  <c r="DU514" i="31"/>
  <c r="EJ514" i="31"/>
  <c r="EI514" i="31"/>
  <c r="EL509" i="31" l="1"/>
  <c r="EM509" i="31" s="1"/>
  <c r="EN509" i="31" s="1"/>
  <c r="EO509" i="31" l="1"/>
  <c r="EP509" i="31" s="1"/>
  <c r="EQ509" i="31" s="1"/>
  <c r="ER509" i="31" s="1"/>
  <c r="ES509" i="31" s="1"/>
  <c r="DT1578" i="31"/>
  <c r="DS1577" i="31"/>
  <c r="DT1583" i="31"/>
  <c r="DS1582" i="31"/>
  <c r="DS1583" i="31" s="1"/>
  <c r="DS1578" i="31" l="1"/>
  <c r="B519" i="31" l="1"/>
  <c r="ET1583" i="31" l="1"/>
  <c r="EU1583" i="31" l="1"/>
  <c r="EV1583" i="31" l="1"/>
  <c r="EW1583" i="31" l="1"/>
  <c r="FF154" i="9" l="1"/>
  <c r="FF155" i="9" s="1"/>
  <c r="FK154" i="9"/>
  <c r="FK155" i="9" s="1"/>
  <c r="FH154" i="9"/>
  <c r="FH155" i="9" s="1"/>
  <c r="FM154" i="9"/>
  <c r="FM155" i="9" s="1"/>
  <c r="FI154" i="9"/>
  <c r="FI155" i="9" s="1"/>
  <c r="FJ154" i="9"/>
  <c r="FJ155" i="9" s="1"/>
  <c r="FV154" i="9"/>
  <c r="FN154" i="9"/>
  <c r="FU47" i="9" l="1"/>
  <c r="FT47" i="9"/>
  <c r="FX46" i="9"/>
  <c r="FV47" i="9"/>
  <c r="EQ157" i="10"/>
  <c r="EP157" i="10"/>
  <c r="EN164" i="10"/>
  <c r="EP215" i="10"/>
  <c r="EP185" i="10"/>
  <c r="EP118" i="10"/>
  <c r="EP87" i="10"/>
  <c r="EP85" i="10"/>
  <c r="DU885" i="31"/>
  <c r="EQ108" i="10" l="1"/>
  <c r="EQ109" i="10" s="1"/>
  <c r="EN109" i="10"/>
  <c r="EP108" i="10"/>
  <c r="EP109" i="10" s="1"/>
  <c r="EO108" i="10"/>
  <c r="EO109" i="10" s="1"/>
  <c r="EP220" i="10"/>
  <c r="EP212" i="10"/>
  <c r="EP207" i="10"/>
  <c r="EP197" i="10"/>
  <c r="EP190" i="10"/>
  <c r="EP189" i="10"/>
  <c r="EP188" i="10"/>
  <c r="EP187" i="10"/>
  <c r="EP161" i="10"/>
  <c r="EP155" i="10"/>
  <c r="EP149" i="10"/>
  <c r="EP139" i="10"/>
  <c r="EP131" i="10"/>
  <c r="EP125" i="10"/>
  <c r="EP102" i="10"/>
  <c r="EP95" i="10"/>
  <c r="EP96" i="10" s="1"/>
  <c r="EP98" i="10" s="1"/>
  <c r="EP52" i="10"/>
  <c r="EP38" i="10"/>
  <c r="EP34" i="10"/>
  <c r="EP20" i="10"/>
  <c r="ER34" i="11"/>
  <c r="ES34" i="11" l="1"/>
  <c r="EP27" i="10"/>
  <c r="EP97" i="10"/>
  <c r="EP91" i="10"/>
  <c r="EP112" i="10"/>
  <c r="EP36" i="10"/>
  <c r="EP180" i="10"/>
  <c r="EP173" i="10"/>
  <c r="EP150" i="10"/>
  <c r="EP179" i="10"/>
  <c r="EP192" i="10"/>
  <c r="EP103" i="10"/>
  <c r="EP104" i="10" s="1"/>
  <c r="EP140" i="10"/>
  <c r="EP218" i="10"/>
  <c r="EP217" i="10"/>
  <c r="EP169" i="10" l="1"/>
  <c r="EP172" i="10"/>
  <c r="EP186" i="10"/>
  <c r="EP168" i="10"/>
  <c r="EP41" i="10"/>
  <c r="EP167" i="10"/>
  <c r="EP146" i="10"/>
  <c r="EP147" i="10" s="1"/>
  <c r="EP148" i="10" s="1"/>
  <c r="EP142" i="10"/>
  <c r="EP54" i="10" l="1"/>
  <c r="EP93" i="10"/>
  <c r="EP55" i="10"/>
  <c r="EP181" i="10"/>
  <c r="DW1133" i="31"/>
  <c r="DW1132" i="31"/>
  <c r="DW1129" i="31"/>
  <c r="EB1135" i="31" s="1"/>
  <c r="DW1105" i="31"/>
  <c r="DW1097" i="31"/>
  <c r="DW1096" i="31"/>
  <c r="DW1093" i="31"/>
  <c r="EB1099" i="31" s="1"/>
  <c r="DW1080" i="31"/>
  <c r="DW1079" i="31"/>
  <c r="DW1377" i="31"/>
  <c r="DW1406" i="31" s="1"/>
  <c r="DW1331" i="31"/>
  <c r="DW1327" i="31"/>
  <c r="EB1333" i="31" s="1"/>
  <c r="DW1248" i="31"/>
  <c r="DW1247" i="31"/>
  <c r="DW1244" i="31"/>
  <c r="EB1250" i="31" s="1"/>
  <c r="DW1236" i="31"/>
  <c r="DW1235" i="31"/>
  <c r="DW1232" i="31"/>
  <c r="EB1238" i="31" s="1"/>
  <c r="DW1224" i="31"/>
  <c r="DW1223" i="31"/>
  <c r="DW1220" i="31"/>
  <c r="EB1226" i="31" s="1"/>
  <c r="DW1212" i="31"/>
  <c r="DW1211" i="31"/>
  <c r="DW1208" i="31"/>
  <c r="EB1214" i="31" s="1"/>
  <c r="DW1195" i="31"/>
  <c r="EB1200" i="31" s="1"/>
  <c r="DW1194" i="31"/>
  <c r="EB1199" i="31" s="1"/>
  <c r="DW950" i="31"/>
  <c r="DW949" i="31"/>
  <c r="DW946" i="31"/>
  <c r="EB952" i="31" s="1"/>
  <c r="DW938" i="31"/>
  <c r="DW937" i="31"/>
  <c r="DW934" i="31"/>
  <c r="EB940" i="31" s="1"/>
  <c r="DW921" i="31"/>
  <c r="EB926" i="31" s="1"/>
  <c r="DW920" i="31"/>
  <c r="EB925" i="31" s="1"/>
  <c r="FV57" i="9"/>
  <c r="FV51" i="9"/>
  <c r="DV509" i="31"/>
  <c r="EP56" i="10" l="1"/>
  <c r="EB1084" i="31"/>
  <c r="EB1085" i="31"/>
  <c r="EB1111" i="31"/>
  <c r="DW1085" i="31"/>
  <c r="DW1196" i="31"/>
  <c r="EB1202" i="31" s="1"/>
  <c r="DW1081" i="31"/>
  <c r="DW1349" i="31"/>
  <c r="EB1354" i="31" s="1"/>
  <c r="EB1370" i="31" s="1"/>
  <c r="EB1097" i="31" s="1"/>
  <c r="DW1348" i="31"/>
  <c r="EB1352" i="31" s="1"/>
  <c r="DW922" i="31"/>
  <c r="EB928" i="31" s="1"/>
  <c r="EB1087" i="31" l="1"/>
  <c r="EB1086" i="31"/>
  <c r="DW1393" i="31"/>
  <c r="DW1386" i="31" s="1"/>
  <c r="DW1350" i="31"/>
  <c r="DW509" i="31"/>
  <c r="EB1088" i="31" l="1"/>
  <c r="EB1357" i="31"/>
  <c r="EB1374" i="31" s="1"/>
  <c r="EB1361" i="31"/>
  <c r="DW1364" i="31"/>
  <c r="DW1392" i="31"/>
  <c r="DW1391" i="31"/>
  <c r="DW1390" i="31"/>
  <c r="DW1387" i="31"/>
  <c r="DW1388" i="31"/>
  <c r="DW1389" i="31"/>
  <c r="DW1365" i="31"/>
  <c r="DW1394" i="31"/>
  <c r="EB1407" i="31" s="1"/>
  <c r="EB1373" i="31" s="1"/>
  <c r="DW1366" i="31" l="1"/>
  <c r="DW885" i="31" l="1"/>
  <c r="EB890" i="31" s="1"/>
  <c r="DW34" i="31" l="1"/>
  <c r="EB39" i="31" s="1"/>
  <c r="DW752" i="31"/>
  <c r="DW749" i="31"/>
  <c r="DW694" i="31"/>
  <c r="EB700" i="31" s="1"/>
  <c r="DW697" i="31"/>
  <c r="DW676" i="31"/>
  <c r="DW677" i="31" s="1"/>
  <c r="DW675" i="31"/>
  <c r="DW672" i="31"/>
  <c r="EB678" i="31" s="1"/>
  <c r="DW654" i="31"/>
  <c r="DW655" i="31" s="1"/>
  <c r="DW653" i="31"/>
  <c r="DW650" i="31"/>
  <c r="EB656" i="31" s="1"/>
  <c r="DW643" i="31"/>
  <c r="DW644" i="31" s="1"/>
  <c r="DW642" i="31"/>
  <c r="DW639" i="31"/>
  <c r="EB645" i="31" s="1"/>
  <c r="DW572" i="31"/>
  <c r="DW569" i="31"/>
  <c r="DW554" i="31"/>
  <c r="DW555" i="31" s="1"/>
  <c r="DW553" i="31"/>
  <c r="DW550" i="31"/>
  <c r="EB556" i="31" s="1"/>
  <c r="DW543" i="31"/>
  <c r="DW544" i="31" s="1"/>
  <c r="DW542" i="31"/>
  <c r="DW539" i="31"/>
  <c r="EB545" i="31" s="1"/>
  <c r="DW536" i="31"/>
  <c r="DW521" i="31"/>
  <c r="DW522" i="31" s="1"/>
  <c r="DW520" i="31"/>
  <c r="DW517" i="31"/>
  <c r="DW512" i="31"/>
  <c r="DW515" i="31"/>
  <c r="DW504" i="31"/>
  <c r="DW505" i="31" s="1"/>
  <c r="DW503" i="31"/>
  <c r="DW500" i="31"/>
  <c r="EB506" i="31" s="1"/>
  <c r="DW471" i="31"/>
  <c r="DW472" i="31" s="1"/>
  <c r="DW470" i="31"/>
  <c r="DW467" i="31"/>
  <c r="EB473" i="31" s="1"/>
  <c r="DW461" i="31"/>
  <c r="DW352" i="31"/>
  <c r="EB363" i="31" s="1"/>
  <c r="DW345" i="31"/>
  <c r="DW346" i="31" s="1"/>
  <c r="DW344" i="31"/>
  <c r="DW341" i="31"/>
  <c r="EB347" i="31" s="1"/>
  <c r="DW280" i="31"/>
  <c r="DW281" i="31" s="1"/>
  <c r="DW279" i="31"/>
  <c r="DW276" i="31"/>
  <c r="DW269" i="31"/>
  <c r="DW270" i="31" s="1"/>
  <c r="DW268" i="31"/>
  <c r="DW265" i="31"/>
  <c r="EB271" i="31" s="1"/>
  <c r="DW247" i="31"/>
  <c r="DW248" i="31" s="1"/>
  <c r="DW246" i="31"/>
  <c r="DW243" i="31"/>
  <c r="EB249" i="31" s="1"/>
  <c r="DW236" i="31"/>
  <c r="DW237" i="31" s="1"/>
  <c r="DW235" i="31"/>
  <c r="DW232" i="31"/>
  <c r="EB238" i="31" s="1"/>
  <c r="DW225" i="31"/>
  <c r="DW226" i="31" s="1"/>
  <c r="DW224" i="31"/>
  <c r="DW221" i="31"/>
  <c r="DW211" i="31"/>
  <c r="DW212" i="31" s="1"/>
  <c r="DW210" i="31"/>
  <c r="DW209" i="31"/>
  <c r="DW208" i="31"/>
  <c r="DW205" i="31"/>
  <c r="DW197" i="31"/>
  <c r="DW198" i="31" s="1"/>
  <c r="DW196" i="31"/>
  <c r="DW193" i="31"/>
  <c r="EB199" i="31" s="1"/>
  <c r="DW182" i="31"/>
  <c r="EB188" i="31" s="1"/>
  <c r="DW175" i="31"/>
  <c r="DW176" i="31" s="1"/>
  <c r="DW174" i="31"/>
  <c r="DW171" i="31"/>
  <c r="EB177" i="31" s="1"/>
  <c r="DW131" i="31"/>
  <c r="DW132" i="31" s="1"/>
  <c r="DW130" i="31"/>
  <c r="DW127" i="31"/>
  <c r="EB133" i="31" s="1"/>
  <c r="DW71" i="31"/>
  <c r="EB76" i="31" s="1"/>
  <c r="EB77" i="31" s="1"/>
  <c r="EB213" i="31" l="1"/>
  <c r="EB227" i="31"/>
  <c r="EB282" i="31"/>
  <c r="EB755" i="31"/>
  <c r="EB578" i="31"/>
  <c r="EI1677" i="31"/>
  <c r="DW508" i="31"/>
  <c r="DW683" i="31"/>
  <c r="EB689" i="31" s="1"/>
  <c r="DW628" i="31"/>
  <c r="EB634" i="31" s="1"/>
  <c r="DW456" i="31"/>
  <c r="EB462" i="31" s="1"/>
  <c r="EJ1678" i="31" l="1"/>
  <c r="EI1678" i="31"/>
  <c r="EI1679" i="31" s="1"/>
  <c r="EH1677" i="31"/>
  <c r="EH1682" i="31"/>
  <c r="EH1678" i="31" l="1"/>
  <c r="EH1679" i="31" s="1"/>
  <c r="EH769" i="31"/>
  <c r="EH1683" i="31" l="1"/>
  <c r="EH1684" i="31" s="1"/>
  <c r="EH1686" i="31" s="1"/>
  <c r="EH771" i="31" l="1"/>
  <c r="EH770" i="31"/>
  <c r="EN1677" i="31"/>
  <c r="EN1678" i="31" l="1"/>
  <c r="EN1679" i="31" s="1"/>
  <c r="EO1677" i="31"/>
  <c r="EO1678" i="31" l="1"/>
  <c r="EO1679" i="31" s="1"/>
  <c r="EP1677" i="31"/>
  <c r="EP1678" i="31" l="1"/>
  <c r="EP1679" i="31" s="1"/>
  <c r="EQ1677" i="31"/>
  <c r="EQ1678" i="31" l="1"/>
  <c r="EQ1679" i="31" s="1"/>
  <c r="ER1677" i="31"/>
  <c r="ER1678" i="31" l="1"/>
  <c r="ER1679" i="31" s="1"/>
  <c r="ES1677" i="31"/>
  <c r="ES1678" i="31" l="1"/>
  <c r="ES1679" i="31" s="1"/>
  <c r="ET1677" i="31"/>
  <c r="ET1678" i="31" l="1"/>
  <c r="ET1679" i="31" s="1"/>
  <c r="EU1677" i="31"/>
  <c r="EU1678" i="31" l="1"/>
  <c r="EU1679" i="31" s="1"/>
  <c r="EV1678" i="31" l="1"/>
  <c r="DV1247" i="31" l="1"/>
  <c r="DT1383" i="31" l="1"/>
  <c r="DT1382" i="31"/>
  <c r="DT1381" i="31"/>
  <c r="DT1380" i="31"/>
  <c r="DT1379" i="31"/>
  <c r="DT1378" i="31"/>
  <c r="DX1377" i="31"/>
  <c r="DX1406" i="31" s="1"/>
  <c r="DX1370" i="31" s="1"/>
  <c r="DV1377" i="31"/>
  <c r="DV1406" i="31" s="1"/>
  <c r="DU1377" i="31"/>
  <c r="DU1406" i="31" s="1"/>
  <c r="DS1377" i="31"/>
  <c r="DS1406" i="31" s="1"/>
  <c r="DR1377" i="31"/>
  <c r="DR1406" i="31" s="1"/>
  <c r="DQ1377" i="31"/>
  <c r="DQ1406" i="31" s="1"/>
  <c r="DP1377" i="31"/>
  <c r="DP1406" i="31" s="1"/>
  <c r="DO1377" i="31"/>
  <c r="DO1406" i="31" s="1"/>
  <c r="DN1377" i="31"/>
  <c r="DN1406" i="31" s="1"/>
  <c r="DM1377" i="31"/>
  <c r="DM1406" i="31" s="1"/>
  <c r="DL1377" i="31"/>
  <c r="DL1406" i="31" s="1"/>
  <c r="DK1377" i="31"/>
  <c r="DK1406" i="31" s="1"/>
  <c r="DJ1377" i="31"/>
  <c r="DJ1406" i="31" s="1"/>
  <c r="DI1377" i="31"/>
  <c r="DI1406" i="31" s="1"/>
  <c r="DH1377" i="31"/>
  <c r="DH1406" i="31" s="1"/>
  <c r="DG1377" i="31"/>
  <c r="DG1406" i="31" s="1"/>
  <c r="DF1377" i="31"/>
  <c r="DF1406" i="31" s="1"/>
  <c r="DE1377" i="31"/>
  <c r="DE1406" i="31" s="1"/>
  <c r="DD1377" i="31"/>
  <c r="DD1406" i="31" s="1"/>
  <c r="DC1377" i="31"/>
  <c r="DC1406" i="31" s="1"/>
  <c r="DB1377" i="31"/>
  <c r="DB1406" i="31" s="1"/>
  <c r="DA1377" i="31"/>
  <c r="DA1406" i="31" s="1"/>
  <c r="CZ1377" i="31"/>
  <c r="CY1377" i="31"/>
  <c r="CX1377" i="31"/>
  <c r="CW1377" i="31"/>
  <c r="CV1377" i="31"/>
  <c r="DT1377" i="31" l="1"/>
  <c r="DT1406" i="31" s="1"/>
  <c r="DZ1129" i="31" l="1"/>
  <c r="EE1135" i="31" s="1"/>
  <c r="ED1129" i="31" l="1"/>
  <c r="AA55" i="204" l="1"/>
  <c r="AB55" i="204" s="1"/>
  <c r="P56" i="204"/>
  <c r="T27" i="204"/>
  <c r="T26" i="204"/>
  <c r="FX136" i="9" l="1"/>
  <c r="FV136" i="9"/>
  <c r="EQ26" i="11" l="1"/>
  <c r="ER26" i="11" l="1"/>
  <c r="ES26" i="11" s="1"/>
  <c r="ET26" i="11" s="1"/>
  <c r="EO118" i="10" l="1"/>
  <c r="EP115" i="10" s="1"/>
  <c r="EN118" i="10"/>
  <c r="EQ12" i="11"/>
  <c r="ER12" i="11" l="1"/>
  <c r="ES12" i="11" s="1"/>
  <c r="ET12" i="11" s="1"/>
  <c r="EP116" i="10"/>
  <c r="EP120" i="10"/>
  <c r="EL118" i="10" l="1"/>
  <c r="EK118" i="10"/>
  <c r="EJ118" i="10"/>
  <c r="EI118" i="10"/>
  <c r="ER87" i="10"/>
  <c r="EO87" i="10"/>
  <c r="EN87" i="10"/>
  <c r="EM87" i="10"/>
  <c r="EL87" i="10"/>
  <c r="EK87" i="10"/>
  <c r="EJ87" i="10"/>
  <c r="EI87" i="10"/>
  <c r="EO85" i="10"/>
  <c r="EN85" i="10"/>
  <c r="EL85" i="10"/>
  <c r="EK85" i="10"/>
  <c r="EJ85" i="10"/>
  <c r="EI85" i="10"/>
  <c r="EN115" i="10" l="1"/>
  <c r="EP86" i="10"/>
  <c r="EP60" i="10" s="1"/>
  <c r="EP61" i="10" l="1"/>
  <c r="DT1361" i="31" l="1"/>
  <c r="BZ1349" i="31"/>
  <c r="BZ46" i="31" s="1"/>
  <c r="A1349" i="31"/>
  <c r="BZ1348" i="31"/>
  <c r="BZ45" i="31" s="1"/>
  <c r="A1348" i="31"/>
  <c r="BA1344" i="31"/>
  <c r="BA1345" i="31" s="1"/>
  <c r="AZ1344" i="31"/>
  <c r="AZ1345" i="31" s="1"/>
  <c r="AY1344" i="31"/>
  <c r="AY1345" i="31" s="1"/>
  <c r="AX1344" i="31"/>
  <c r="AX1345" i="31" s="1"/>
  <c r="AV1344" i="31"/>
  <c r="AV1345" i="31" s="1"/>
  <c r="AU1344" i="31"/>
  <c r="AU1345" i="31" s="1"/>
  <c r="AT1344" i="31"/>
  <c r="AT1345" i="31" s="1"/>
  <c r="AS1344" i="31"/>
  <c r="AS1345" i="31" s="1"/>
  <c r="AQ1344" i="31"/>
  <c r="AQ1345" i="31" s="1"/>
  <c r="AP1344" i="31"/>
  <c r="AP1345" i="31" s="1"/>
  <c r="AO1344" i="31"/>
  <c r="AO1345" i="31" s="1"/>
  <c r="AN1344" i="31"/>
  <c r="AN1345" i="31" s="1"/>
  <c r="AL1344" i="31"/>
  <c r="AL1345" i="31" s="1"/>
  <c r="AK1344" i="31"/>
  <c r="AK1345" i="31" s="1"/>
  <c r="AJ1344" i="31"/>
  <c r="AJ1345" i="31" s="1"/>
  <c r="AI1344" i="31"/>
  <c r="AI1345" i="31" s="1"/>
  <c r="AG1344" i="31"/>
  <c r="AF1344" i="31"/>
  <c r="AE1344" i="31"/>
  <c r="AD1344" i="31"/>
  <c r="AB1344" i="31"/>
  <c r="AA1344" i="31"/>
  <c r="Z1344" i="31"/>
  <c r="Y1344" i="31"/>
  <c r="W1344" i="31"/>
  <c r="V1344" i="31"/>
  <c r="U1344" i="31"/>
  <c r="T1344" i="31"/>
  <c r="R1344" i="31"/>
  <c r="Q1344" i="31"/>
  <c r="P1344" i="31"/>
  <c r="O1344" i="31"/>
  <c r="BA1343" i="31"/>
  <c r="AZ1343" i="31"/>
  <c r="AY1343" i="31"/>
  <c r="AX1343" i="31"/>
  <c r="AV1343" i="31"/>
  <c r="AU1343" i="31"/>
  <c r="AT1343" i="31"/>
  <c r="AS1343" i="31"/>
  <c r="AQ1343" i="31"/>
  <c r="AP1343" i="31"/>
  <c r="AO1343" i="31"/>
  <c r="AN1343" i="31"/>
  <c r="AL1343" i="31"/>
  <c r="AK1343" i="31"/>
  <c r="AJ1343" i="31"/>
  <c r="AI1343" i="31"/>
  <c r="AG1343" i="31"/>
  <c r="AF1343" i="31"/>
  <c r="AE1343" i="31"/>
  <c r="AD1343" i="31"/>
  <c r="AB1343" i="31"/>
  <c r="AA1343" i="31"/>
  <c r="Z1343" i="31"/>
  <c r="Y1343" i="31"/>
  <c r="W1343" i="31"/>
  <c r="V1343" i="31"/>
  <c r="U1343" i="31"/>
  <c r="T1343" i="31"/>
  <c r="R1343" i="31"/>
  <c r="Q1343" i="31"/>
  <c r="P1343" i="31"/>
  <c r="O1343" i="31"/>
  <c r="BV1340" i="31"/>
  <c r="BT1340" i="31"/>
  <c r="BS1340" i="31"/>
  <c r="BR1340" i="31"/>
  <c r="BQ1340" i="31"/>
  <c r="BO1340" i="31"/>
  <c r="BN1340" i="31"/>
  <c r="BM1340" i="31"/>
  <c r="BK1340" i="31"/>
  <c r="BJ1340" i="31"/>
  <c r="BI1340" i="31"/>
  <c r="BH1340" i="31"/>
  <c r="BG1340" i="31"/>
  <c r="BE1340" i="31"/>
  <c r="BD1340" i="31"/>
  <c r="BC1340" i="31"/>
  <c r="BA1340" i="31"/>
  <c r="AZ1340" i="31"/>
  <c r="AY1340" i="31"/>
  <c r="AX1340" i="31"/>
  <c r="AV1340" i="31"/>
  <c r="AU1340" i="31"/>
  <c r="AT1340" i="31"/>
  <c r="AS1340" i="31"/>
  <c r="AQ1340" i="31"/>
  <c r="AP1340" i="31"/>
  <c r="AO1340" i="31"/>
  <c r="AN1340" i="31"/>
  <c r="AL1340" i="31"/>
  <c r="AK1340" i="31"/>
  <c r="AJ1340" i="31"/>
  <c r="AI1340" i="31"/>
  <c r="AG1340" i="31"/>
  <c r="AF1340" i="31"/>
  <c r="AE1340" i="31"/>
  <c r="AD1340" i="31"/>
  <c r="AB1340" i="31"/>
  <c r="AA1340" i="31"/>
  <c r="Z1340" i="31"/>
  <c r="Y1340" i="31"/>
  <c r="W1340" i="31"/>
  <c r="V1340" i="31"/>
  <c r="U1340" i="31"/>
  <c r="T1340" i="31"/>
  <c r="R1340" i="31"/>
  <c r="Q1340" i="31"/>
  <c r="P1340" i="31"/>
  <c r="O1340" i="31"/>
  <c r="M1340" i="31"/>
  <c r="L1340" i="31"/>
  <c r="K1340" i="31"/>
  <c r="K1346" i="31" s="1"/>
  <c r="J1340" i="31"/>
  <c r="BU1339" i="31"/>
  <c r="BP1339" i="31"/>
  <c r="BL1339" i="31"/>
  <c r="BB1339" i="31"/>
  <c r="BF1339" i="31" s="1"/>
  <c r="AW1339" i="31"/>
  <c r="AR1339" i="31"/>
  <c r="AM1339" i="31"/>
  <c r="AH1339" i="31"/>
  <c r="AC1339" i="31"/>
  <c r="X1339" i="31"/>
  <c r="S1339" i="31"/>
  <c r="N1339" i="31"/>
  <c r="H1339" i="31"/>
  <c r="M1344" i="31" s="1"/>
  <c r="G1339" i="31"/>
  <c r="F1339" i="31"/>
  <c r="K1344" i="31" s="1"/>
  <c r="E1339" i="31"/>
  <c r="D1339" i="31"/>
  <c r="BU1338" i="31"/>
  <c r="BP1338" i="31"/>
  <c r="BP1343" i="31" s="1"/>
  <c r="BL1338" i="31"/>
  <c r="BB1338" i="31"/>
  <c r="AW1338" i="31"/>
  <c r="AR1338" i="31"/>
  <c r="AM1338" i="31"/>
  <c r="AH1338" i="31"/>
  <c r="AC1338" i="31"/>
  <c r="X1338" i="31"/>
  <c r="S1338" i="31"/>
  <c r="N1338" i="31"/>
  <c r="H1338" i="31"/>
  <c r="G1338" i="31"/>
  <c r="L1343" i="31" s="1"/>
  <c r="F1338" i="31"/>
  <c r="K1343" i="31" s="1"/>
  <c r="E1338" i="31"/>
  <c r="D1338" i="31"/>
  <c r="CF1336" i="31"/>
  <c r="CK1336" i="31" s="1"/>
  <c r="CP1336" i="31" s="1"/>
  <c r="CU1336" i="31" s="1"/>
  <c r="CZ1336" i="31" s="1"/>
  <c r="DE1336" i="31" s="1"/>
  <c r="DJ1336" i="31" s="1"/>
  <c r="DO1336" i="31" s="1"/>
  <c r="DT1336" i="31" s="1"/>
  <c r="DV1331" i="31"/>
  <c r="DS1331" i="31"/>
  <c r="DR1331" i="31"/>
  <c r="DQ1331" i="31"/>
  <c r="DN1331" i="31"/>
  <c r="DM1331" i="31"/>
  <c r="DL1331" i="31"/>
  <c r="DK1331" i="31"/>
  <c r="DI1331" i="31"/>
  <c r="DH1331" i="31"/>
  <c r="DG1331" i="31"/>
  <c r="DF1331" i="31"/>
  <c r="DD1331" i="31"/>
  <c r="DC1331" i="31"/>
  <c r="DB1331" i="31"/>
  <c r="DA1331" i="31"/>
  <c r="CY1331" i="31"/>
  <c r="CX1331" i="31"/>
  <c r="CW1331" i="31"/>
  <c r="CV1331" i="31"/>
  <c r="CT1331" i="31"/>
  <c r="CS1331" i="31"/>
  <c r="CR1331" i="31"/>
  <c r="CQ1331" i="31"/>
  <c r="CO1331" i="31"/>
  <c r="CN1331" i="31"/>
  <c r="CM1331" i="31"/>
  <c r="CL1331" i="31"/>
  <c r="CJ1331" i="31"/>
  <c r="CI1331" i="31"/>
  <c r="CH1331" i="31"/>
  <c r="CG1331" i="31"/>
  <c r="CE1331" i="31"/>
  <c r="CD1331" i="31"/>
  <c r="CC1331" i="31"/>
  <c r="CB1331" i="31"/>
  <c r="BZ1331" i="31"/>
  <c r="BY1331" i="31"/>
  <c r="BX1331" i="31"/>
  <c r="BW1331" i="31"/>
  <c r="BU1331" i="31"/>
  <c r="BT1331" i="31"/>
  <c r="BS1331" i="31"/>
  <c r="BR1331" i="31"/>
  <c r="BP1331" i="31"/>
  <c r="BO1331" i="31"/>
  <c r="BN1331" i="31"/>
  <c r="BM1331" i="31"/>
  <c r="BK1331" i="31"/>
  <c r="BJ1331" i="31"/>
  <c r="BI1331" i="31"/>
  <c r="BI1332" i="31" s="1"/>
  <c r="BH1331" i="31"/>
  <c r="BH1332" i="31" s="1"/>
  <c r="BF1331" i="31"/>
  <c r="BF1332" i="31" s="1"/>
  <c r="BE1331" i="31"/>
  <c r="BE1332" i="31" s="1"/>
  <c r="BD1331" i="31"/>
  <c r="BD1332" i="31" s="1"/>
  <c r="BC1331" i="31"/>
  <c r="BC1332" i="31" s="1"/>
  <c r="BA1331" i="31"/>
  <c r="BA1332" i="31" s="1"/>
  <c r="AZ1331" i="31"/>
  <c r="AZ1332" i="31" s="1"/>
  <c r="AY1331" i="31"/>
  <c r="AY1332" i="31" s="1"/>
  <c r="AX1331" i="31"/>
  <c r="AX1332" i="31" s="1"/>
  <c r="AV1331" i="31"/>
  <c r="AV1332" i="31" s="1"/>
  <c r="AU1331" i="31"/>
  <c r="AU1332" i="31" s="1"/>
  <c r="AT1331" i="31"/>
  <c r="AT1332" i="31" s="1"/>
  <c r="AS1331" i="31"/>
  <c r="AS1332" i="31" s="1"/>
  <c r="AQ1331" i="31"/>
  <c r="AQ1332" i="31" s="1"/>
  <c r="AP1331" i="31"/>
  <c r="AP1332" i="31" s="1"/>
  <c r="AO1331" i="31"/>
  <c r="AO1332" i="31" s="1"/>
  <c r="AN1331" i="31"/>
  <c r="AN1332" i="31" s="1"/>
  <c r="AL1331" i="31"/>
  <c r="AL1332" i="31" s="1"/>
  <c r="AK1331" i="31"/>
  <c r="AK1332" i="31" s="1"/>
  <c r="AJ1331" i="31"/>
  <c r="AJ1332" i="31" s="1"/>
  <c r="AI1331" i="31"/>
  <c r="AI1332" i="31" s="1"/>
  <c r="AG1331" i="31"/>
  <c r="AF1331" i="31"/>
  <c r="AE1331" i="31"/>
  <c r="AD1331" i="31"/>
  <c r="AB1331" i="31"/>
  <c r="AA1331" i="31"/>
  <c r="Z1331" i="31"/>
  <c r="Y1331" i="31"/>
  <c r="W1331" i="31"/>
  <c r="V1331" i="31"/>
  <c r="U1331" i="31"/>
  <c r="T1331" i="31"/>
  <c r="R1331" i="31"/>
  <c r="Q1331" i="31"/>
  <c r="P1331" i="31"/>
  <c r="O1331" i="31"/>
  <c r="M1331" i="31"/>
  <c r="L1331" i="31"/>
  <c r="K1331" i="31"/>
  <c r="J1331" i="31"/>
  <c r="DV1330" i="31"/>
  <c r="DS1330" i="31"/>
  <c r="DQ1330" i="31"/>
  <c r="DN1330" i="31"/>
  <c r="DL1330" i="31"/>
  <c r="DK1330" i="31"/>
  <c r="DI1330" i="31"/>
  <c r="DH1330" i="31"/>
  <c r="DG1330" i="31"/>
  <c r="DF1330" i="31"/>
  <c r="DD1330" i="31"/>
  <c r="DC1330" i="31"/>
  <c r="DB1330" i="31"/>
  <c r="DA1330" i="31"/>
  <c r="CY1330" i="31"/>
  <c r="CX1330" i="31"/>
  <c r="CW1330" i="31"/>
  <c r="CV1330" i="31"/>
  <c r="CT1330" i="31"/>
  <c r="CS1330" i="31"/>
  <c r="CR1330" i="31"/>
  <c r="CQ1330" i="31"/>
  <c r="CO1330" i="31"/>
  <c r="CN1330" i="31"/>
  <c r="CM1330" i="31"/>
  <c r="CL1330" i="31"/>
  <c r="CJ1330" i="31"/>
  <c r="CI1330" i="31"/>
  <c r="CH1330" i="31"/>
  <c r="CG1330" i="31"/>
  <c r="CE1330" i="31"/>
  <c r="CD1330" i="31"/>
  <c r="CC1330" i="31"/>
  <c r="CB1330" i="31"/>
  <c r="BZ1330" i="31"/>
  <c r="BY1330" i="31"/>
  <c r="BX1330" i="31"/>
  <c r="BW1330" i="31"/>
  <c r="BU1330" i="31"/>
  <c r="BT1330" i="31"/>
  <c r="BS1330" i="31"/>
  <c r="BR1330" i="31"/>
  <c r="BP1330" i="31"/>
  <c r="BO1330" i="31"/>
  <c r="BN1330" i="31"/>
  <c r="BM1330" i="31"/>
  <c r="BK1330" i="31"/>
  <c r="BJ1330" i="31"/>
  <c r="BI1330" i="31"/>
  <c r="BH1330" i="31"/>
  <c r="BF1330" i="31"/>
  <c r="BE1330" i="31"/>
  <c r="BD1330" i="31"/>
  <c r="BC1330" i="31"/>
  <c r="BA1330" i="31"/>
  <c r="AZ1330" i="31"/>
  <c r="AY1330" i="31"/>
  <c r="AX1330" i="31"/>
  <c r="AV1330" i="31"/>
  <c r="AU1330" i="31"/>
  <c r="AT1330" i="31"/>
  <c r="AS1330" i="31"/>
  <c r="AQ1330" i="31"/>
  <c r="AP1330" i="31"/>
  <c r="AO1330" i="31"/>
  <c r="AN1330" i="31"/>
  <c r="AL1330" i="31"/>
  <c r="AK1330" i="31"/>
  <c r="AJ1330" i="31"/>
  <c r="AI1330" i="31"/>
  <c r="AG1330" i="31"/>
  <c r="AF1330" i="31"/>
  <c r="AE1330" i="31"/>
  <c r="AD1330" i="31"/>
  <c r="AB1330" i="31"/>
  <c r="AA1330" i="31"/>
  <c r="Z1330" i="31"/>
  <c r="Y1330" i="31"/>
  <c r="W1330" i="31"/>
  <c r="V1330" i="31"/>
  <c r="U1330" i="31"/>
  <c r="T1330" i="31"/>
  <c r="R1330" i="31"/>
  <c r="Q1330" i="31"/>
  <c r="P1330" i="31"/>
  <c r="O1330" i="31"/>
  <c r="M1330" i="31"/>
  <c r="L1330" i="31"/>
  <c r="K1330" i="31"/>
  <c r="J1330" i="31"/>
  <c r="DV1327" i="31"/>
  <c r="EA1333" i="31" s="1"/>
  <c r="DU1327" i="31"/>
  <c r="DS1327" i="31"/>
  <c r="DX1333" i="31" s="1"/>
  <c r="DQ1327" i="31"/>
  <c r="DN1327" i="31"/>
  <c r="DL1327" i="31"/>
  <c r="DK1327" i="31"/>
  <c r="DI1327" i="31"/>
  <c r="DH1327" i="31"/>
  <c r="DG1327" i="31"/>
  <c r="DF1327" i="31"/>
  <c r="DD1327" i="31"/>
  <c r="DC1327" i="31"/>
  <c r="DB1327" i="31"/>
  <c r="DA1327" i="31"/>
  <c r="CY1327" i="31"/>
  <c r="CX1327" i="31"/>
  <c r="CW1327" i="31"/>
  <c r="CV1327" i="31"/>
  <c r="CT1327" i="31"/>
  <c r="CS1327" i="31"/>
  <c r="CR1327" i="31"/>
  <c r="CQ1327" i="31"/>
  <c r="CO1327" i="31"/>
  <c r="CN1327" i="31"/>
  <c r="CM1327" i="31"/>
  <c r="CL1327" i="31"/>
  <c r="CJ1327" i="31"/>
  <c r="CI1327" i="31"/>
  <c r="CH1327" i="31"/>
  <c r="CG1327" i="31"/>
  <c r="CE1327" i="31"/>
  <c r="CD1327" i="31"/>
  <c r="CC1327" i="31"/>
  <c r="CB1327" i="31"/>
  <c r="BZ1327" i="31"/>
  <c r="BY1327" i="31"/>
  <c r="BX1327" i="31"/>
  <c r="BW1327" i="31"/>
  <c r="BU1327" i="31"/>
  <c r="BT1327" i="31"/>
  <c r="BS1327" i="31"/>
  <c r="BR1327" i="31"/>
  <c r="BP1327" i="31"/>
  <c r="BO1327" i="31"/>
  <c r="BN1327" i="31"/>
  <c r="BM1327" i="31"/>
  <c r="BK1327" i="31"/>
  <c r="BJ1327" i="31"/>
  <c r="BI1327" i="31"/>
  <c r="BH1327" i="31"/>
  <c r="BF1327" i="31"/>
  <c r="BE1327" i="31"/>
  <c r="BD1327" i="31"/>
  <c r="BC1327" i="31"/>
  <c r="BA1327" i="31"/>
  <c r="AZ1327" i="31"/>
  <c r="AY1327" i="31"/>
  <c r="AX1327" i="31"/>
  <c r="AV1327" i="31"/>
  <c r="AU1327" i="31"/>
  <c r="AT1327" i="31"/>
  <c r="AS1327" i="31"/>
  <c r="AQ1327" i="31"/>
  <c r="AP1327" i="31"/>
  <c r="AO1327" i="31"/>
  <c r="AN1327" i="31"/>
  <c r="AL1327" i="31"/>
  <c r="AK1327" i="31"/>
  <c r="AJ1327" i="31"/>
  <c r="AI1327" i="31"/>
  <c r="AG1327" i="31"/>
  <c r="AF1327" i="31"/>
  <c r="AE1327" i="31"/>
  <c r="AD1327" i="31"/>
  <c r="AB1327" i="31"/>
  <c r="AA1327" i="31"/>
  <c r="Z1327" i="31"/>
  <c r="Y1327" i="31"/>
  <c r="W1327" i="31"/>
  <c r="V1327" i="31"/>
  <c r="U1327" i="31"/>
  <c r="T1327" i="31"/>
  <c r="R1327" i="31"/>
  <c r="Q1327" i="31"/>
  <c r="P1327" i="31"/>
  <c r="O1327" i="31"/>
  <c r="M1327" i="31"/>
  <c r="L1327" i="31"/>
  <c r="K1327" i="31"/>
  <c r="J1327" i="31"/>
  <c r="H1327" i="31"/>
  <c r="G1327" i="31"/>
  <c r="F1327" i="31"/>
  <c r="E1327" i="31"/>
  <c r="D1327" i="31"/>
  <c r="DP1326" i="31"/>
  <c r="DO1326" i="31"/>
  <c r="DJ1326" i="31"/>
  <c r="DE1326" i="31"/>
  <c r="CZ1326" i="31"/>
  <c r="CU1326" i="31"/>
  <c r="CP1326" i="31"/>
  <c r="CK1326" i="31"/>
  <c r="CF1326" i="31"/>
  <c r="CA1326" i="31"/>
  <c r="BV1326" i="31"/>
  <c r="BQ1326" i="31"/>
  <c r="BL1326" i="31"/>
  <c r="BG1326" i="31"/>
  <c r="BB1326" i="31"/>
  <c r="AW1326" i="31"/>
  <c r="AR1326" i="31"/>
  <c r="AM1326" i="31"/>
  <c r="AH1326" i="31"/>
  <c r="AC1326" i="31"/>
  <c r="X1326" i="31"/>
  <c r="S1326" i="31"/>
  <c r="N1326" i="31"/>
  <c r="I1326" i="31"/>
  <c r="I1331" i="31" s="1"/>
  <c r="DR1325" i="31"/>
  <c r="DP1325" i="31"/>
  <c r="DM1325" i="31"/>
  <c r="DJ1325" i="31"/>
  <c r="DE1325" i="31"/>
  <c r="CZ1325" i="31"/>
  <c r="CU1325" i="31"/>
  <c r="CP1325" i="31"/>
  <c r="CK1325" i="31"/>
  <c r="CF1325" i="31"/>
  <c r="CA1325" i="31"/>
  <c r="BV1325" i="31"/>
  <c r="BQ1325" i="31"/>
  <c r="BL1325" i="31"/>
  <c r="BG1325" i="31"/>
  <c r="BB1325" i="31"/>
  <c r="AW1325" i="31"/>
  <c r="AR1325" i="31"/>
  <c r="AM1325" i="31"/>
  <c r="AH1325" i="31"/>
  <c r="AC1325" i="31"/>
  <c r="X1325" i="31"/>
  <c r="S1325" i="31"/>
  <c r="N1325" i="31"/>
  <c r="I1325" i="31"/>
  <c r="CR1320" i="31"/>
  <c r="CQ1320" i="31"/>
  <c r="CR1310" i="31"/>
  <c r="CR1309" i="31" s="1"/>
  <c r="CQ1310" i="31"/>
  <c r="CQ1309" i="31" s="1"/>
  <c r="CO1309" i="31"/>
  <c r="CN1309" i="31"/>
  <c r="CM1309" i="31"/>
  <c r="CL1309" i="31"/>
  <c r="BX1309" i="31"/>
  <c r="BV1309" i="31"/>
  <c r="BQ1309" i="31"/>
  <c r="BL1309" i="31"/>
  <c r="BG1309" i="31"/>
  <c r="BB1309" i="31"/>
  <c r="AW1309" i="31"/>
  <c r="AR1309" i="31"/>
  <c r="AM1309" i="31"/>
  <c r="CR1308" i="31"/>
  <c r="CQ1308" i="31"/>
  <c r="BQ1308" i="31"/>
  <c r="BL1308" i="31"/>
  <c r="BG1308" i="31"/>
  <c r="BB1308" i="31"/>
  <c r="AW1308" i="31"/>
  <c r="AR1308" i="31"/>
  <c r="AM1308" i="31"/>
  <c r="BX1305" i="31"/>
  <c r="BU1305" i="31"/>
  <c r="BT1305" i="31"/>
  <c r="BS1305" i="31"/>
  <c r="BV1304" i="31"/>
  <c r="CC1303" i="31"/>
  <c r="CC1314" i="31" s="1"/>
  <c r="BZ1303" i="31"/>
  <c r="CE1303" i="31" s="1"/>
  <c r="BY1303" i="31"/>
  <c r="CD1303" i="31" s="1"/>
  <c r="BV1303" i="31"/>
  <c r="BP1300" i="31"/>
  <c r="BO1300" i="31"/>
  <c r="BN1300" i="31"/>
  <c r="BM1300" i="31"/>
  <c r="BK1300" i="31"/>
  <c r="BJ1300" i="31"/>
  <c r="BI1300" i="31"/>
  <c r="BH1300" i="31"/>
  <c r="BF1300" i="31"/>
  <c r="BE1300" i="31"/>
  <c r="BD1300" i="31"/>
  <c r="BC1300" i="31"/>
  <c r="BA1300" i="31"/>
  <c r="AZ1300" i="31"/>
  <c r="AY1300" i="31"/>
  <c r="AX1300" i="31"/>
  <c r="AV1300" i="31"/>
  <c r="AU1300" i="31"/>
  <c r="AT1300" i="31"/>
  <c r="AS1300" i="31"/>
  <c r="AQ1300" i="31"/>
  <c r="AP1300" i="31"/>
  <c r="AO1300" i="31"/>
  <c r="AN1300" i="31"/>
  <c r="AL1300" i="31"/>
  <c r="AK1300" i="31"/>
  <c r="AJ1300" i="31"/>
  <c r="AI1300" i="31"/>
  <c r="AG1300" i="31"/>
  <c r="AF1300" i="31"/>
  <c r="AE1300" i="31"/>
  <c r="AD1300" i="31"/>
  <c r="AB1300" i="31"/>
  <c r="AA1300" i="31"/>
  <c r="Z1300" i="31"/>
  <c r="Y1300" i="31"/>
  <c r="BR1299" i="31"/>
  <c r="BR1300" i="31" s="1"/>
  <c r="BQ1299" i="31"/>
  <c r="BL1299" i="31"/>
  <c r="BG1299" i="31"/>
  <c r="BB1299" i="31"/>
  <c r="AW1299" i="31"/>
  <c r="AR1299" i="31"/>
  <c r="AM1299" i="31"/>
  <c r="AH1299" i="31"/>
  <c r="AC1299" i="31"/>
  <c r="BQ1298" i="31"/>
  <c r="BQ1301" i="31" s="1"/>
  <c r="BL1298" i="31"/>
  <c r="BL1301" i="31" s="1"/>
  <c r="BG1298" i="31"/>
  <c r="BG1301" i="31" s="1"/>
  <c r="BD1303" i="31" s="1"/>
  <c r="BB1298" i="31"/>
  <c r="BB1301" i="31" s="1"/>
  <c r="AY1303" i="31" s="1"/>
  <c r="AW1298" i="31"/>
  <c r="AW1301" i="31" s="1"/>
  <c r="AR1298" i="31"/>
  <c r="AR1301" i="31" s="1"/>
  <c r="AO1303" i="31" s="1"/>
  <c r="AM1298" i="31"/>
  <c r="AM1301" i="31" s="1"/>
  <c r="AJ1303" i="31" s="1"/>
  <c r="AH1298" i="31"/>
  <c r="AH1301" i="31" s="1"/>
  <c r="AF1303" i="31" s="1"/>
  <c r="AC1298" i="31"/>
  <c r="CR1293" i="31"/>
  <c r="BP1293" i="31"/>
  <c r="BN1293" i="31"/>
  <c r="BM1293" i="31"/>
  <c r="BP1292" i="31"/>
  <c r="BN1292" i="31"/>
  <c r="BP1289" i="31"/>
  <c r="BO1289" i="31"/>
  <c r="BN1289" i="31"/>
  <c r="BK1289" i="31"/>
  <c r="BI1289" i="31"/>
  <c r="BH1289" i="31"/>
  <c r="BQ1288" i="31"/>
  <c r="BJ1288" i="31"/>
  <c r="BJ1195" i="31" s="1"/>
  <c r="BJ1200" i="31" s="1"/>
  <c r="BM1287" i="31"/>
  <c r="BQ1287" i="31" s="1"/>
  <c r="BJ1287" i="31"/>
  <c r="BO1292" i="31" s="1"/>
  <c r="CR1283" i="31"/>
  <c r="CR1282" i="31" s="1"/>
  <c r="CQ1283" i="31"/>
  <c r="CQ1282" i="31" s="1"/>
  <c r="CO1282" i="31"/>
  <c r="CN1282" i="31"/>
  <c r="CM1282" i="31"/>
  <c r="CL1282" i="31"/>
  <c r="BU1282" i="31"/>
  <c r="BT1282" i="31"/>
  <c r="BS1282" i="31"/>
  <c r="BR1282" i="31"/>
  <c r="BP1282" i="31"/>
  <c r="BO1282" i="31"/>
  <c r="BN1282" i="31"/>
  <c r="BM1282" i="31"/>
  <c r="BK1282" i="31"/>
  <c r="BJ1282" i="31"/>
  <c r="BI1282" i="31"/>
  <c r="BI1283" i="31" s="1"/>
  <c r="BH1282" i="31"/>
  <c r="BH1283" i="31" s="1"/>
  <c r="CR1281" i="31"/>
  <c r="CQ1281" i="31"/>
  <c r="BU1281" i="31"/>
  <c r="BT1281" i="31"/>
  <c r="BS1281" i="31"/>
  <c r="BR1281" i="31"/>
  <c r="BP1281" i="31"/>
  <c r="BO1281" i="31"/>
  <c r="BN1281" i="31"/>
  <c r="BM1281" i="31"/>
  <c r="BK1281" i="31"/>
  <c r="BJ1281" i="31"/>
  <c r="BI1281" i="31"/>
  <c r="BH1281" i="31"/>
  <c r="AW1281" i="31"/>
  <c r="AR1281" i="31"/>
  <c r="AM1281" i="31"/>
  <c r="BU1278" i="31"/>
  <c r="BT1278" i="31"/>
  <c r="BS1278" i="31"/>
  <c r="BR1278" i="31"/>
  <c r="BP1278" i="31"/>
  <c r="BO1278" i="31"/>
  <c r="BN1278" i="31"/>
  <c r="BM1278" i="31"/>
  <c r="BK1278" i="31"/>
  <c r="BJ1278" i="31"/>
  <c r="BI1278" i="31"/>
  <c r="BH1278" i="31"/>
  <c r="BF1278" i="31"/>
  <c r="BE1278" i="31"/>
  <c r="BD1278" i="31"/>
  <c r="BC1278" i="31"/>
  <c r="AW1278" i="31"/>
  <c r="AR1278" i="31"/>
  <c r="AM1278" i="31"/>
  <c r="AH1278" i="31"/>
  <c r="BV1277" i="31"/>
  <c r="BQ1277" i="31"/>
  <c r="BL1277" i="31"/>
  <c r="BG1277" i="31"/>
  <c r="BA1277" i="31"/>
  <c r="BF1282" i="31" s="1"/>
  <c r="BF1283" i="31" s="1"/>
  <c r="AZ1277" i="31"/>
  <c r="AZ1288" i="31" s="1"/>
  <c r="AY1277" i="31"/>
  <c r="BD1282" i="31" s="1"/>
  <c r="BD1283" i="31" s="1"/>
  <c r="AX1277" i="31"/>
  <c r="AV1277" i="31"/>
  <c r="AU1277" i="31"/>
  <c r="AT1277" i="31"/>
  <c r="AS1277" i="31"/>
  <c r="AQ1277" i="31"/>
  <c r="AP1277" i="31"/>
  <c r="AO1277" i="31"/>
  <c r="AN1277" i="31"/>
  <c r="BZ1276" i="31"/>
  <c r="CE1276" i="31" s="1"/>
  <c r="CJ1276" i="31" s="1"/>
  <c r="CO1276" i="31" s="1"/>
  <c r="BY1276" i="31"/>
  <c r="CD1276" i="31" s="1"/>
  <c r="CI1276" i="31" s="1"/>
  <c r="CN1276" i="31" s="1"/>
  <c r="BX1276" i="31"/>
  <c r="CC1276" i="31" s="1"/>
  <c r="CH1276" i="31" s="1"/>
  <c r="BW1276" i="31"/>
  <c r="CB1276" i="31" s="1"/>
  <c r="CG1276" i="31" s="1"/>
  <c r="CL1276" i="31" s="1"/>
  <c r="BV1276" i="31"/>
  <c r="BQ1276" i="31"/>
  <c r="BL1276" i="31"/>
  <c r="BG1276" i="31"/>
  <c r="BA1276" i="31"/>
  <c r="BF1281" i="31" s="1"/>
  <c r="AZ1276" i="31"/>
  <c r="AZ1287" i="31" s="1"/>
  <c r="AY1276" i="31"/>
  <c r="BD1281" i="31" s="1"/>
  <c r="AX1276" i="31"/>
  <c r="BC1281" i="31" s="1"/>
  <c r="AV1276" i="31"/>
  <c r="AU1276" i="31"/>
  <c r="AT1276" i="31"/>
  <c r="AS1276" i="31"/>
  <c r="AQ1276" i="31"/>
  <c r="AP1276" i="31"/>
  <c r="AO1276" i="31"/>
  <c r="AN1276" i="31"/>
  <c r="AL1276" i="31"/>
  <c r="AK1276" i="31"/>
  <c r="AJ1276" i="31"/>
  <c r="AI1276" i="31"/>
  <c r="AG1276" i="31"/>
  <c r="AF1276" i="31"/>
  <c r="AF1278" i="31" s="1"/>
  <c r="AE1276" i="31"/>
  <c r="AD1276" i="31"/>
  <c r="BD1272" i="31"/>
  <c r="BC1272" i="31"/>
  <c r="BA1272" i="31"/>
  <c r="AZ1272" i="31"/>
  <c r="AY1272" i="31"/>
  <c r="AX1272" i="31"/>
  <c r="AV1272" i="31"/>
  <c r="AU1272" i="31"/>
  <c r="AT1272" i="31"/>
  <c r="AS1272" i="31"/>
  <c r="AQ1272" i="31"/>
  <c r="AP1272" i="31"/>
  <c r="AO1272" i="31"/>
  <c r="AN1272" i="31"/>
  <c r="AL1272" i="31"/>
  <c r="AK1272" i="31"/>
  <c r="AJ1272" i="31"/>
  <c r="AI1272" i="31"/>
  <c r="AH1272" i="31"/>
  <c r="CR1271" i="31"/>
  <c r="CQ1271" i="31"/>
  <c r="CO1271" i="31"/>
  <c r="CN1271" i="31"/>
  <c r="CM1271" i="31"/>
  <c r="CL1271" i="31"/>
  <c r="BH1271" i="31"/>
  <c r="BF1271" i="31"/>
  <c r="BF1266" i="31" s="1"/>
  <c r="BE1271" i="31"/>
  <c r="BE1266" i="31" s="1"/>
  <c r="BJ1271" i="31" s="1"/>
  <c r="BM1267" i="31"/>
  <c r="BK1267" i="31"/>
  <c r="BJ1267" i="31"/>
  <c r="BI1267" i="31"/>
  <c r="BB1267" i="31"/>
  <c r="BA1267" i="31"/>
  <c r="AZ1267" i="31"/>
  <c r="AY1267" i="31"/>
  <c r="BR1266" i="31"/>
  <c r="BR1271" i="31" s="1"/>
  <c r="BP1266" i="31"/>
  <c r="BO1266" i="31"/>
  <c r="BT1266" i="31" s="1"/>
  <c r="BN1266" i="31"/>
  <c r="BD1266" i="31"/>
  <c r="BI1271" i="31" s="1"/>
  <c r="BI1272" i="31" s="1"/>
  <c r="BC1266" i="31"/>
  <c r="AV1266" i="31"/>
  <c r="AU1266" i="31"/>
  <c r="AP1266" i="31" s="1"/>
  <c r="AT1266" i="31"/>
  <c r="AO1266" i="31" s="1"/>
  <c r="AS1266" i="31"/>
  <c r="BR1265" i="31"/>
  <c r="BP1265" i="31"/>
  <c r="BO1265" i="31"/>
  <c r="BO1270" i="31" s="1"/>
  <c r="BN1265" i="31"/>
  <c r="BN1270" i="31" s="1"/>
  <c r="BF1265" i="31"/>
  <c r="BK1270" i="31" s="1"/>
  <c r="BE1265" i="31"/>
  <c r="BJ1270" i="31" s="1"/>
  <c r="BD1265" i="31"/>
  <c r="BI1270" i="31" s="1"/>
  <c r="AX1265" i="31"/>
  <c r="BC1265" i="31" s="1"/>
  <c r="AV1265" i="31"/>
  <c r="AQ1265" i="31" s="1"/>
  <c r="AL1265" i="31" s="1"/>
  <c r="AG1265" i="31" s="1"/>
  <c r="AU1265" i="31"/>
  <c r="AP1265" i="31" s="1"/>
  <c r="AK1265" i="31" s="1"/>
  <c r="AF1265" i="31" s="1"/>
  <c r="AT1265" i="31"/>
  <c r="BD1261" i="31"/>
  <c r="BC1261" i="31"/>
  <c r="BA1261" i="31"/>
  <c r="AZ1261" i="31"/>
  <c r="AY1261" i="31"/>
  <c r="AX1261" i="31"/>
  <c r="AV1261" i="31"/>
  <c r="AU1261" i="31"/>
  <c r="AT1261" i="31"/>
  <c r="AS1261" i="31"/>
  <c r="AQ1261" i="31"/>
  <c r="AP1261" i="31"/>
  <c r="AO1261" i="31"/>
  <c r="AN1261" i="31"/>
  <c r="AL1261" i="31"/>
  <c r="AK1261" i="31"/>
  <c r="AJ1261" i="31"/>
  <c r="AI1261" i="31"/>
  <c r="CR1260" i="31"/>
  <c r="CQ1260" i="31"/>
  <c r="CO1260" i="31"/>
  <c r="CN1260" i="31"/>
  <c r="BI1260" i="31"/>
  <c r="BI1261" i="31" s="1"/>
  <c r="BH1260" i="31"/>
  <c r="BH1255" i="31" s="1"/>
  <c r="BF1260" i="31"/>
  <c r="BF1255" i="31" s="1"/>
  <c r="BE1260" i="31"/>
  <c r="BE1255" i="31" s="1"/>
  <c r="BI1259" i="31"/>
  <c r="BJ1256" i="31"/>
  <c r="BI1256" i="31"/>
  <c r="BD1256" i="31"/>
  <c r="BC1256" i="31"/>
  <c r="AZ1256" i="31"/>
  <c r="BO1255" i="31"/>
  <c r="BN1255" i="31"/>
  <c r="BN1260" i="31" s="1"/>
  <c r="AY1255" i="31"/>
  <c r="AX1255" i="31"/>
  <c r="AV1255" i="31"/>
  <c r="AQ1255" i="31" s="1"/>
  <c r="AL1255" i="31" s="1"/>
  <c r="AU1255" i="31"/>
  <c r="AP1255" i="31" s="1"/>
  <c r="BO1254" i="31"/>
  <c r="BO1259" i="31" s="1"/>
  <c r="BN1254" i="31"/>
  <c r="BN1259" i="31" s="1"/>
  <c r="BH1254" i="31"/>
  <c r="BE1254" i="31"/>
  <c r="BJ1259" i="31" s="1"/>
  <c r="AY1254" i="31"/>
  <c r="AX1254" i="31"/>
  <c r="AU1254" i="31"/>
  <c r="AP1254" i="31" s="1"/>
  <c r="AK1254" i="31" s="1"/>
  <c r="AF1254" i="31" s="1"/>
  <c r="AA1254" i="31" s="1"/>
  <c r="BD1249" i="31"/>
  <c r="BC1249" i="31"/>
  <c r="BA1249" i="31"/>
  <c r="AZ1249" i="31"/>
  <c r="AY1249" i="31"/>
  <c r="AX1249" i="31"/>
  <c r="AV1249" i="31"/>
  <c r="AU1249" i="31"/>
  <c r="AT1249" i="31"/>
  <c r="AS1249" i="31"/>
  <c r="AQ1249" i="31"/>
  <c r="AP1249" i="31"/>
  <c r="AO1249" i="31"/>
  <c r="AN1249" i="31"/>
  <c r="AL1249" i="31"/>
  <c r="AK1249" i="31"/>
  <c r="AJ1249" i="31"/>
  <c r="AI1249" i="31"/>
  <c r="DV1248" i="31"/>
  <c r="DU1248" i="31"/>
  <c r="DS1248" i="31"/>
  <c r="DR1248" i="31"/>
  <c r="DP1248" i="31"/>
  <c r="DN1248" i="31"/>
  <c r="DM1248" i="31"/>
  <c r="DK1248" i="31"/>
  <c r="DI1248" i="31"/>
  <c r="DH1248" i="31"/>
  <c r="DG1248" i="31"/>
  <c r="DF1248" i="31"/>
  <c r="DD1248" i="31"/>
  <c r="DC1248" i="31"/>
  <c r="DB1248" i="31"/>
  <c r="DA1248" i="31"/>
  <c r="CY1248" i="31"/>
  <c r="CX1248" i="31"/>
  <c r="CW1248" i="31"/>
  <c r="CV1248" i="31"/>
  <c r="CT1248" i="31"/>
  <c r="CS1248" i="31"/>
  <c r="CR1248" i="31"/>
  <c r="CQ1248" i="31"/>
  <c r="CO1248" i="31"/>
  <c r="CN1248" i="31"/>
  <c r="CM1248" i="31"/>
  <c r="CL1248" i="31"/>
  <c r="CJ1248" i="31"/>
  <c r="CI1248" i="31"/>
  <c r="CH1248" i="31"/>
  <c r="CG1248" i="31"/>
  <c r="BI1248" i="31"/>
  <c r="BI1249" i="31" s="1"/>
  <c r="BH1248" i="31"/>
  <c r="BH1243" i="31" s="1"/>
  <c r="BF1248" i="31"/>
  <c r="BF1243" i="31" s="1"/>
  <c r="BK1243" i="31" s="1"/>
  <c r="BK1248" i="31" s="1"/>
  <c r="BE1248" i="31"/>
  <c r="BE1243" i="31" s="1"/>
  <c r="BJ1248" i="31" s="1"/>
  <c r="DU1247" i="31"/>
  <c r="DS1247" i="31"/>
  <c r="DR1247" i="31"/>
  <c r="DP1247" i="31"/>
  <c r="DN1247" i="31"/>
  <c r="DM1247" i="31"/>
  <c r="DK1247" i="31"/>
  <c r="DI1247" i="31"/>
  <c r="DH1247" i="31"/>
  <c r="DG1247" i="31"/>
  <c r="DF1247" i="31"/>
  <c r="DD1247" i="31"/>
  <c r="DC1247" i="31"/>
  <c r="DB1247" i="31"/>
  <c r="DA1247" i="31"/>
  <c r="CY1247" i="31"/>
  <c r="CX1247" i="31"/>
  <c r="CW1247" i="31"/>
  <c r="CV1247" i="31"/>
  <c r="CT1247" i="31"/>
  <c r="CS1247" i="31"/>
  <c r="CR1247" i="31"/>
  <c r="CQ1247" i="31"/>
  <c r="CO1247" i="31"/>
  <c r="CN1247" i="31"/>
  <c r="CM1247" i="31"/>
  <c r="CL1247" i="31"/>
  <c r="CJ1247" i="31"/>
  <c r="CI1247" i="31"/>
  <c r="CH1247" i="31"/>
  <c r="CG1247" i="31"/>
  <c r="BI1247" i="31"/>
  <c r="DV1244" i="31"/>
  <c r="EA1250" i="31" s="1"/>
  <c r="DU1244" i="31"/>
  <c r="DS1244" i="31"/>
  <c r="DR1244" i="31"/>
  <c r="DW1250" i="31" s="1"/>
  <c r="DQ1244" i="31"/>
  <c r="DP1244" i="31"/>
  <c r="DN1244" i="31"/>
  <c r="DM1244" i="31"/>
  <c r="DK1244" i="31"/>
  <c r="DI1244" i="31"/>
  <c r="DH1244" i="31"/>
  <c r="DG1244" i="31"/>
  <c r="DF1244" i="31"/>
  <c r="DD1244" i="31"/>
  <c r="DC1244" i="31"/>
  <c r="DB1244" i="31"/>
  <c r="DA1244" i="31"/>
  <c r="CY1244" i="31"/>
  <c r="CX1244" i="31"/>
  <c r="CW1244" i="31"/>
  <c r="CV1244" i="31"/>
  <c r="CT1244" i="31"/>
  <c r="CS1244" i="31"/>
  <c r="CR1244" i="31"/>
  <c r="CQ1244" i="31"/>
  <c r="CO1244" i="31"/>
  <c r="CN1244" i="31"/>
  <c r="CM1244" i="31"/>
  <c r="CL1244" i="31"/>
  <c r="CJ1244" i="31"/>
  <c r="CI1244" i="31"/>
  <c r="CH1244" i="31"/>
  <c r="CG1244" i="31"/>
  <c r="CE1244" i="31"/>
  <c r="CD1244" i="31"/>
  <c r="CC1244" i="31"/>
  <c r="CB1244" i="31"/>
  <c r="BJ1244" i="31"/>
  <c r="BI1244" i="31"/>
  <c r="BD1244" i="31"/>
  <c r="BC1244" i="31"/>
  <c r="AZ1244" i="31"/>
  <c r="DT1243" i="31"/>
  <c r="DL1243" i="31"/>
  <c r="DQ1248" i="31" s="1"/>
  <c r="DJ1243" i="31"/>
  <c r="DE1243" i="31"/>
  <c r="CZ1243" i="31"/>
  <c r="CU1243" i="31"/>
  <c r="CP1243" i="31"/>
  <c r="CK1243" i="31"/>
  <c r="CF1243" i="31"/>
  <c r="AY1243" i="31"/>
  <c r="AX1243" i="31"/>
  <c r="AS1243" i="31" s="1"/>
  <c r="AV1243" i="31"/>
  <c r="AQ1243" i="31" s="1"/>
  <c r="AL1243" i="31" s="1"/>
  <c r="AG1243" i="31" s="1"/>
  <c r="AU1243" i="31"/>
  <c r="AP1243" i="31" s="1"/>
  <c r="DT1242" i="31"/>
  <c r="DY1247" i="31" s="1"/>
  <c r="DL1242" i="31"/>
  <c r="DO1242" i="31" s="1"/>
  <c r="DJ1242" i="31"/>
  <c r="DE1242" i="31"/>
  <c r="CZ1242" i="31"/>
  <c r="CU1242" i="31"/>
  <c r="CP1242" i="31"/>
  <c r="CK1242" i="31"/>
  <c r="CF1242" i="31"/>
  <c r="BH1242" i="31"/>
  <c r="BE1242" i="31"/>
  <c r="BJ1247" i="31" s="1"/>
  <c r="AY1242" i="31"/>
  <c r="AT1242" i="31" s="1"/>
  <c r="AO1242" i="31" s="1"/>
  <c r="AJ1242" i="31" s="1"/>
  <c r="AE1242" i="31" s="1"/>
  <c r="Z1242" i="31" s="1"/>
  <c r="AX1242" i="31"/>
  <c r="AU1242" i="31"/>
  <c r="AP1242" i="31" s="1"/>
  <c r="AK1242" i="31" s="1"/>
  <c r="AF1242" i="31" s="1"/>
  <c r="AA1242" i="31" s="1"/>
  <c r="BD1237" i="31"/>
  <c r="BC1237" i="31"/>
  <c r="BA1237" i="31"/>
  <c r="AZ1237" i="31"/>
  <c r="AY1237" i="31"/>
  <c r="AX1237" i="31"/>
  <c r="AV1237" i="31"/>
  <c r="AU1237" i="31"/>
  <c r="AT1237" i="31"/>
  <c r="AS1237" i="31"/>
  <c r="AQ1237" i="31"/>
  <c r="AP1237" i="31"/>
  <c r="AO1237" i="31"/>
  <c r="AN1237" i="31"/>
  <c r="AL1237" i="31"/>
  <c r="AK1237" i="31"/>
  <c r="AJ1237" i="31"/>
  <c r="AI1237" i="31"/>
  <c r="DV1236" i="31"/>
  <c r="DU1236" i="31"/>
  <c r="DS1236" i="31"/>
  <c r="DR1236" i="31"/>
  <c r="DQ1236" i="31"/>
  <c r="DP1236" i="31"/>
  <c r="DN1236" i="31"/>
  <c r="DM1236" i="31"/>
  <c r="DL1236" i="31"/>
  <c r="DK1236" i="31"/>
  <c r="DI1236" i="31"/>
  <c r="DH1236" i="31"/>
  <c r="DG1236" i="31"/>
  <c r="DF1236" i="31"/>
  <c r="DD1236" i="31"/>
  <c r="DC1236" i="31"/>
  <c r="DB1236" i="31"/>
  <c r="DA1236" i="31"/>
  <c r="CY1236" i="31"/>
  <c r="CX1236" i="31"/>
  <c r="CW1236" i="31"/>
  <c r="CV1236" i="31"/>
  <c r="CT1236" i="31"/>
  <c r="CS1236" i="31"/>
  <c r="CR1236" i="31"/>
  <c r="CQ1236" i="31"/>
  <c r="CO1236" i="31"/>
  <c r="CO1237" i="31" s="1"/>
  <c r="CN1236" i="31"/>
  <c r="CM1236" i="31"/>
  <c r="CM1237" i="31" s="1"/>
  <c r="CM1261" i="31" s="1"/>
  <c r="CM1260" i="31" s="1"/>
  <c r="CL1236" i="31"/>
  <c r="CL1237" i="31" s="1"/>
  <c r="CL1261" i="31" s="1"/>
  <c r="CL1260" i="31" s="1"/>
  <c r="CJ1236" i="31"/>
  <c r="CI1236" i="31"/>
  <c r="CH1236" i="31"/>
  <c r="CG1236" i="31"/>
  <c r="BI1236" i="31"/>
  <c r="BI1237" i="31" s="1"/>
  <c r="BH1236" i="31"/>
  <c r="BH1231" i="31" s="1"/>
  <c r="BF1236" i="31"/>
  <c r="BF1231" i="31" s="1"/>
  <c r="BK1231" i="31" s="1"/>
  <c r="BE1236" i="31"/>
  <c r="BE1231" i="31" s="1"/>
  <c r="DV1235" i="31"/>
  <c r="DU1235" i="31"/>
  <c r="DS1235" i="31"/>
  <c r="DR1235" i="31"/>
  <c r="DQ1235" i="31"/>
  <c r="DP1235" i="31"/>
  <c r="DN1235" i="31"/>
  <c r="DM1235" i="31"/>
  <c r="DL1235" i="31"/>
  <c r="DK1235" i="31"/>
  <c r="DI1235" i="31"/>
  <c r="DH1235" i="31"/>
  <c r="DG1235" i="31"/>
  <c r="DF1235" i="31"/>
  <c r="DD1235" i="31"/>
  <c r="DC1235" i="31"/>
  <c r="DB1235" i="31"/>
  <c r="DA1235" i="31"/>
  <c r="CY1235" i="31"/>
  <c r="CX1235" i="31"/>
  <c r="CW1235" i="31"/>
  <c r="CV1235" i="31"/>
  <c r="CT1235" i="31"/>
  <c r="CS1235" i="31"/>
  <c r="CR1235" i="31"/>
  <c r="CQ1235" i="31"/>
  <c r="CO1235" i="31"/>
  <c r="CO1259" i="31" s="1"/>
  <c r="CN1235" i="31"/>
  <c r="CM1235" i="31"/>
  <c r="CM1259" i="31" s="1"/>
  <c r="CL1235" i="31"/>
  <c r="CL1259" i="31" s="1"/>
  <c r="CJ1235" i="31"/>
  <c r="CJ1259" i="31" s="1"/>
  <c r="CI1235" i="31"/>
  <c r="CI1259" i="31" s="1"/>
  <c r="CH1235" i="31"/>
  <c r="CH1259" i="31" s="1"/>
  <c r="CG1235" i="31"/>
  <c r="CG1259" i="31" s="1"/>
  <c r="BI1235" i="31"/>
  <c r="DV1232" i="31"/>
  <c r="EA1238" i="31" s="1"/>
  <c r="DU1232" i="31"/>
  <c r="DS1232" i="31"/>
  <c r="DR1232" i="31"/>
  <c r="DQ1232" i="31"/>
  <c r="DP1232" i="31"/>
  <c r="DN1232" i="31"/>
  <c r="DM1232" i="31"/>
  <c r="DL1232" i="31"/>
  <c r="DK1232" i="31"/>
  <c r="DI1232" i="31"/>
  <c r="DH1232" i="31"/>
  <c r="DG1232" i="31"/>
  <c r="DF1232" i="31"/>
  <c r="DD1232" i="31"/>
  <c r="DC1232" i="31"/>
  <c r="DB1232" i="31"/>
  <c r="DA1232" i="31"/>
  <c r="CY1232" i="31"/>
  <c r="CX1232" i="31"/>
  <c r="CW1232" i="31"/>
  <c r="CV1232" i="31"/>
  <c r="CT1232" i="31"/>
  <c r="CS1232" i="31"/>
  <c r="CR1232" i="31"/>
  <c r="CQ1232" i="31"/>
  <c r="CO1232" i="31"/>
  <c r="CN1232" i="31"/>
  <c r="CM1232" i="31"/>
  <c r="CL1232" i="31"/>
  <c r="CJ1232" i="31"/>
  <c r="CI1232" i="31"/>
  <c r="CH1232" i="31"/>
  <c r="CG1232" i="31"/>
  <c r="CE1232" i="31"/>
  <c r="CD1232" i="31"/>
  <c r="CC1232" i="31"/>
  <c r="CB1232" i="31"/>
  <c r="BJ1232" i="31"/>
  <c r="BI1232" i="31"/>
  <c r="BD1232" i="31"/>
  <c r="BC1232" i="31"/>
  <c r="AZ1232" i="31"/>
  <c r="DT1231" i="31"/>
  <c r="DO1231" i="31"/>
  <c r="DJ1231" i="31"/>
  <c r="DE1231" i="31"/>
  <c r="CZ1231" i="31"/>
  <c r="CU1231" i="31"/>
  <c r="CP1231" i="31"/>
  <c r="CK1231" i="31"/>
  <c r="CF1231" i="31"/>
  <c r="AY1231" i="31"/>
  <c r="AX1231" i="31"/>
  <c r="AV1231" i="31"/>
  <c r="AQ1231" i="31" s="1"/>
  <c r="AU1231" i="31"/>
  <c r="AP1231" i="31" s="1"/>
  <c r="DT1230" i="31"/>
  <c r="DY1235" i="31" s="1"/>
  <c r="DO1230" i="31"/>
  <c r="DJ1230" i="31"/>
  <c r="DE1230" i="31"/>
  <c r="CZ1230" i="31"/>
  <c r="CU1230" i="31"/>
  <c r="CP1230" i="31"/>
  <c r="CK1230" i="31"/>
  <c r="CF1230" i="31"/>
  <c r="BH1230" i="31"/>
  <c r="BE1230" i="31"/>
  <c r="BJ1235" i="31" s="1"/>
  <c r="AY1230" i="31"/>
  <c r="AT1230" i="31" s="1"/>
  <c r="AO1230" i="31" s="1"/>
  <c r="AJ1230" i="31" s="1"/>
  <c r="AE1230" i="31" s="1"/>
  <c r="Z1230" i="31" s="1"/>
  <c r="AX1230" i="31"/>
  <c r="AS1230" i="31" s="1"/>
  <c r="AU1230" i="31"/>
  <c r="AP1230" i="31" s="1"/>
  <c r="AK1230" i="31" s="1"/>
  <c r="AF1230" i="31" s="1"/>
  <c r="AA1230" i="31" s="1"/>
  <c r="BC1225" i="31"/>
  <c r="BA1225" i="31"/>
  <c r="AZ1225" i="31"/>
  <c r="AY1225" i="31"/>
  <c r="AX1225" i="31"/>
  <c r="AV1225" i="31"/>
  <c r="AU1225" i="31"/>
  <c r="AT1225" i="31"/>
  <c r="AS1225" i="31"/>
  <c r="AQ1225" i="31"/>
  <c r="AP1225" i="31"/>
  <c r="AO1225" i="31"/>
  <c r="AN1225" i="31"/>
  <c r="AL1225" i="31"/>
  <c r="AK1225" i="31"/>
  <c r="AJ1225" i="31"/>
  <c r="AI1225" i="31"/>
  <c r="AH1225" i="31"/>
  <c r="AF1225" i="31"/>
  <c r="AE1225" i="31"/>
  <c r="AD1225" i="31"/>
  <c r="DZ1224" i="31"/>
  <c r="DV1224" i="31"/>
  <c r="DU1224" i="31"/>
  <c r="DS1224" i="31"/>
  <c r="DR1224" i="31"/>
  <c r="DQ1224" i="31"/>
  <c r="DP1224" i="31"/>
  <c r="DN1224" i="31"/>
  <c r="DM1224" i="31"/>
  <c r="DL1224" i="31"/>
  <c r="DK1224" i="31"/>
  <c r="DI1224" i="31"/>
  <c r="DH1224" i="31"/>
  <c r="DG1224" i="31"/>
  <c r="DF1224" i="31"/>
  <c r="DD1224" i="31"/>
  <c r="DC1224" i="31"/>
  <c r="DB1224" i="31"/>
  <c r="DA1224" i="31"/>
  <c r="CY1224" i="31"/>
  <c r="CX1224" i="31"/>
  <c r="CW1224" i="31"/>
  <c r="CV1224" i="31"/>
  <c r="CT1224" i="31"/>
  <c r="CS1224" i="31"/>
  <c r="CR1224" i="31"/>
  <c r="CQ1224" i="31"/>
  <c r="CO1224" i="31"/>
  <c r="CN1224" i="31"/>
  <c r="CN1225" i="31" s="1"/>
  <c r="CM1224" i="31"/>
  <c r="CM1225" i="31" s="1"/>
  <c r="CL1224" i="31"/>
  <c r="CL1225" i="31" s="1"/>
  <c r="CJ1224" i="31"/>
  <c r="CI1224" i="31"/>
  <c r="CH1224" i="31"/>
  <c r="CG1224" i="31"/>
  <c r="BI1224" i="31"/>
  <c r="BI1225" i="31" s="1"/>
  <c r="BF1224" i="31"/>
  <c r="BF1225" i="31" s="1"/>
  <c r="BE1224" i="31"/>
  <c r="BE1219" i="31" s="1"/>
  <c r="BJ1224" i="31" s="1"/>
  <c r="BD1224" i="31"/>
  <c r="BD1225" i="31" s="1"/>
  <c r="DZ1223" i="31"/>
  <c r="DV1223" i="31"/>
  <c r="DU1223" i="31"/>
  <c r="DS1223" i="31"/>
  <c r="DR1223" i="31"/>
  <c r="DQ1223" i="31"/>
  <c r="DP1223" i="31"/>
  <c r="DN1223" i="31"/>
  <c r="DM1223" i="31"/>
  <c r="DL1223" i="31"/>
  <c r="DK1223" i="31"/>
  <c r="DI1223" i="31"/>
  <c r="DH1223" i="31"/>
  <c r="DG1223" i="31"/>
  <c r="DF1223" i="31"/>
  <c r="DD1223" i="31"/>
  <c r="DC1223" i="31"/>
  <c r="DB1223" i="31"/>
  <c r="DA1223" i="31"/>
  <c r="CY1223" i="31"/>
  <c r="CX1223" i="31"/>
  <c r="CW1223" i="31"/>
  <c r="CV1223" i="31"/>
  <c r="CT1223" i="31"/>
  <c r="CS1223" i="31"/>
  <c r="CR1223" i="31"/>
  <c r="CQ1223" i="31"/>
  <c r="CO1223" i="31"/>
  <c r="CN1223" i="31"/>
  <c r="CM1223" i="31"/>
  <c r="CL1223" i="31"/>
  <c r="CJ1223" i="31"/>
  <c r="CI1223" i="31"/>
  <c r="CH1223" i="31"/>
  <c r="CG1223" i="31"/>
  <c r="BI1223" i="31"/>
  <c r="BF1223" i="31"/>
  <c r="BD1223" i="31"/>
  <c r="DZ1220" i="31"/>
  <c r="EE1226" i="31" s="1"/>
  <c r="DV1220" i="31"/>
  <c r="EA1226" i="31" s="1"/>
  <c r="DU1220" i="31"/>
  <c r="DS1220" i="31"/>
  <c r="DR1220" i="31"/>
  <c r="DQ1220" i="31"/>
  <c r="DP1220" i="31"/>
  <c r="DN1220" i="31"/>
  <c r="DM1220" i="31"/>
  <c r="DL1220" i="31"/>
  <c r="DK1220" i="31"/>
  <c r="DI1220" i="31"/>
  <c r="DH1220" i="31"/>
  <c r="DG1220" i="31"/>
  <c r="DF1220" i="31"/>
  <c r="DD1220" i="31"/>
  <c r="DC1220" i="31"/>
  <c r="DB1220" i="31"/>
  <c r="DA1220" i="31"/>
  <c r="CY1220" i="31"/>
  <c r="CX1220" i="31"/>
  <c r="CW1220" i="31"/>
  <c r="CV1220" i="31"/>
  <c r="CT1220" i="31"/>
  <c r="CS1220" i="31"/>
  <c r="CR1220" i="31"/>
  <c r="CQ1220" i="31"/>
  <c r="CO1220" i="31"/>
  <c r="CN1220" i="31"/>
  <c r="CM1220" i="31"/>
  <c r="CL1220" i="31"/>
  <c r="CJ1220" i="31"/>
  <c r="CI1220" i="31"/>
  <c r="CH1220" i="31"/>
  <c r="CG1220" i="31"/>
  <c r="CE1220" i="31"/>
  <c r="CD1220" i="31"/>
  <c r="CC1220" i="31"/>
  <c r="CB1220" i="31"/>
  <c r="BJ1220" i="31"/>
  <c r="BI1220" i="31"/>
  <c r="BH1220" i="31"/>
  <c r="BF1220" i="31"/>
  <c r="BD1220" i="31"/>
  <c r="BA1220" i="31"/>
  <c r="AZ1220" i="31"/>
  <c r="AY1220" i="31"/>
  <c r="AX1220" i="31"/>
  <c r="DT1219" i="31"/>
  <c r="DO1219" i="31"/>
  <c r="DJ1219" i="31"/>
  <c r="DE1219" i="31"/>
  <c r="CZ1219" i="31"/>
  <c r="CU1219" i="31"/>
  <c r="CP1219" i="31"/>
  <c r="CK1219" i="31"/>
  <c r="CF1219" i="31"/>
  <c r="BO1219" i="31"/>
  <c r="BN1219" i="31"/>
  <c r="BM1219" i="31"/>
  <c r="BR1219" i="31" s="1"/>
  <c r="BK1219" i="31"/>
  <c r="BK1224" i="31" s="1"/>
  <c r="BC1219" i="31"/>
  <c r="BB1219" i="31"/>
  <c r="AV1219" i="31"/>
  <c r="AU1219" i="31"/>
  <c r="AT1219" i="31"/>
  <c r="AS1219" i="31"/>
  <c r="DT1218" i="31"/>
  <c r="DO1218" i="31"/>
  <c r="DJ1218" i="31"/>
  <c r="DE1218" i="31"/>
  <c r="CZ1218" i="31"/>
  <c r="CU1218" i="31"/>
  <c r="CP1218" i="31"/>
  <c r="CK1218" i="31"/>
  <c r="CF1218" i="31"/>
  <c r="BO1218" i="31"/>
  <c r="BO1223" i="31" s="1"/>
  <c r="BN1218" i="31"/>
  <c r="BN1223" i="31" s="1"/>
  <c r="BM1218" i="31"/>
  <c r="BK1218" i="31"/>
  <c r="BL1218" i="31" s="1"/>
  <c r="BE1218" i="31"/>
  <c r="BJ1223" i="31" s="1"/>
  <c r="BC1218" i="31"/>
  <c r="BH1223" i="31" s="1"/>
  <c r="BB1218" i="31"/>
  <c r="AV1218" i="31"/>
  <c r="AU1218" i="31"/>
  <c r="AT1218" i="31"/>
  <c r="AS1218" i="31"/>
  <c r="AN1218" i="31" s="1"/>
  <c r="AI1218" i="31" s="1"/>
  <c r="BD1213" i="31"/>
  <c r="BC1213" i="31"/>
  <c r="BA1213" i="31"/>
  <c r="AZ1213" i="31"/>
  <c r="AY1213" i="31"/>
  <c r="AX1213" i="31"/>
  <c r="AV1213" i="31"/>
  <c r="AU1213" i="31"/>
  <c r="AT1213" i="31"/>
  <c r="AS1213" i="31"/>
  <c r="AQ1213" i="31"/>
  <c r="AP1213" i="31"/>
  <c r="AO1213" i="31"/>
  <c r="AN1213" i="31"/>
  <c r="AL1213" i="31"/>
  <c r="AK1213" i="31"/>
  <c r="AJ1213" i="31"/>
  <c r="AI1213" i="31"/>
  <c r="AH1213" i="31"/>
  <c r="AF1213" i="31"/>
  <c r="AE1213" i="31"/>
  <c r="AD1213" i="31"/>
  <c r="DZ1212" i="31"/>
  <c r="DV1212" i="31"/>
  <c r="DU1212" i="31"/>
  <c r="DS1212" i="31"/>
  <c r="DR1212" i="31"/>
  <c r="DQ1212" i="31"/>
  <c r="DP1212" i="31"/>
  <c r="DN1212" i="31"/>
  <c r="DM1212" i="31"/>
  <c r="DL1212" i="31"/>
  <c r="DK1212" i="31"/>
  <c r="DI1212" i="31"/>
  <c r="DH1212" i="31"/>
  <c r="DG1212" i="31"/>
  <c r="DF1212" i="31"/>
  <c r="DD1212" i="31"/>
  <c r="DC1212" i="31"/>
  <c r="DB1212" i="31"/>
  <c r="DA1212" i="31"/>
  <c r="CY1212" i="31"/>
  <c r="CX1212" i="31"/>
  <c r="CW1212" i="31"/>
  <c r="CV1212" i="31"/>
  <c r="CT1212" i="31"/>
  <c r="CS1212" i="31"/>
  <c r="CR1212" i="31"/>
  <c r="CQ1212" i="31"/>
  <c r="CO1212" i="31"/>
  <c r="CO1213" i="31" s="1"/>
  <c r="CN1212" i="31"/>
  <c r="CN1213" i="31" s="1"/>
  <c r="CM1212" i="31"/>
  <c r="CM1213" i="31" s="1"/>
  <c r="CL1212" i="31"/>
  <c r="CL1213" i="31" s="1"/>
  <c r="CJ1212" i="31"/>
  <c r="CI1212" i="31"/>
  <c r="CH1212" i="31"/>
  <c r="CG1212" i="31"/>
  <c r="BE1212" i="31"/>
  <c r="BE1207" i="31" s="1"/>
  <c r="DZ1211" i="31"/>
  <c r="DV1211" i="31"/>
  <c r="DU1211" i="31"/>
  <c r="DS1211" i="31"/>
  <c r="DR1211" i="31"/>
  <c r="DQ1211" i="31"/>
  <c r="DP1211" i="31"/>
  <c r="DN1211" i="31"/>
  <c r="DM1211" i="31"/>
  <c r="DL1211" i="31"/>
  <c r="DK1211" i="31"/>
  <c r="DI1211" i="31"/>
  <c r="DH1211" i="31"/>
  <c r="DG1211" i="31"/>
  <c r="DF1211" i="31"/>
  <c r="DD1211" i="31"/>
  <c r="DC1211" i="31"/>
  <c r="DB1211" i="31"/>
  <c r="DA1211" i="31"/>
  <c r="CY1211" i="31"/>
  <c r="CX1211" i="31"/>
  <c r="CW1211" i="31"/>
  <c r="CV1211" i="31"/>
  <c r="CT1211" i="31"/>
  <c r="CS1211" i="31"/>
  <c r="CR1211" i="31"/>
  <c r="CQ1211" i="31"/>
  <c r="CO1211" i="31"/>
  <c r="CN1211" i="31"/>
  <c r="CM1211" i="31"/>
  <c r="CL1211" i="31"/>
  <c r="CJ1211" i="31"/>
  <c r="CI1211" i="31"/>
  <c r="CH1211" i="31"/>
  <c r="CG1211" i="31"/>
  <c r="DZ1208" i="31"/>
  <c r="DV1208" i="31"/>
  <c r="EA1214" i="31" s="1"/>
  <c r="DU1208" i="31"/>
  <c r="DS1208" i="31"/>
  <c r="DR1208" i="31"/>
  <c r="DQ1208" i="31"/>
  <c r="DP1208" i="31"/>
  <c r="DN1208" i="31"/>
  <c r="DM1208" i="31"/>
  <c r="DL1208" i="31"/>
  <c r="DK1208" i="31"/>
  <c r="DI1208" i="31"/>
  <c r="DH1208" i="31"/>
  <c r="DG1208" i="31"/>
  <c r="DF1208" i="31"/>
  <c r="DD1208" i="31"/>
  <c r="DC1208" i="31"/>
  <c r="DB1208" i="31"/>
  <c r="DA1208" i="31"/>
  <c r="CY1208" i="31"/>
  <c r="CX1208" i="31"/>
  <c r="CW1208" i="31"/>
  <c r="CV1208" i="31"/>
  <c r="CT1208" i="31"/>
  <c r="CS1208" i="31"/>
  <c r="CR1208" i="31"/>
  <c r="CQ1208" i="31"/>
  <c r="CO1208" i="31"/>
  <c r="CN1208" i="31"/>
  <c r="CM1208" i="31"/>
  <c r="CL1208" i="31"/>
  <c r="CJ1208" i="31"/>
  <c r="CI1208" i="31"/>
  <c r="CH1208" i="31"/>
  <c r="CG1208" i="31"/>
  <c r="CE1208" i="31"/>
  <c r="CD1208" i="31"/>
  <c r="CC1208" i="31"/>
  <c r="CB1208" i="31"/>
  <c r="BI1208" i="31"/>
  <c r="BH1208" i="31"/>
  <c r="BF1208" i="31"/>
  <c r="BB1208" i="31"/>
  <c r="AZ1208" i="31"/>
  <c r="AY1208" i="31"/>
  <c r="AX1208" i="31"/>
  <c r="AV1208" i="31"/>
  <c r="AU1208" i="31"/>
  <c r="AT1208" i="31"/>
  <c r="AS1208" i="31"/>
  <c r="DT1207" i="31"/>
  <c r="DO1207" i="31"/>
  <c r="DJ1207" i="31"/>
  <c r="DE1207" i="31"/>
  <c r="CZ1207" i="31"/>
  <c r="CU1207" i="31"/>
  <c r="CP1207" i="31"/>
  <c r="CK1207" i="31"/>
  <c r="CF1207" i="31"/>
  <c r="BO1207" i="31"/>
  <c r="BO1212" i="31" s="1"/>
  <c r="BN1207" i="31"/>
  <c r="BM1207" i="31"/>
  <c r="BM1212" i="31" s="1"/>
  <c r="BK1207" i="31"/>
  <c r="BL1207" i="31" s="1"/>
  <c r="BD1207" i="31"/>
  <c r="BC1207" i="31"/>
  <c r="BA1207" i="31"/>
  <c r="AW1207" i="31"/>
  <c r="BB1212" i="31" s="1"/>
  <c r="AQ1207" i="31"/>
  <c r="AP1207" i="31"/>
  <c r="AO1207" i="31"/>
  <c r="AJ1207" i="31" s="1"/>
  <c r="AN1207" i="31"/>
  <c r="AI1207" i="31" s="1"/>
  <c r="DT1206" i="31"/>
  <c r="DO1206" i="31"/>
  <c r="DJ1206" i="31"/>
  <c r="DE1206" i="31"/>
  <c r="CZ1206" i="31"/>
  <c r="CU1206" i="31"/>
  <c r="CP1206" i="31"/>
  <c r="CK1206" i="31"/>
  <c r="CF1206" i="31"/>
  <c r="BN1206" i="31"/>
  <c r="BS1206" i="31" s="1"/>
  <c r="BM1206" i="31"/>
  <c r="BK1206" i="31"/>
  <c r="BE1206" i="31"/>
  <c r="BD1206" i="31"/>
  <c r="BC1206" i="31"/>
  <c r="BA1206" i="31"/>
  <c r="AW1206" i="31"/>
  <c r="AQ1206" i="31"/>
  <c r="AP1206" i="31"/>
  <c r="AO1206" i="31"/>
  <c r="AJ1206" i="31" s="1"/>
  <c r="AE1206" i="31" s="1"/>
  <c r="AN1206" i="31"/>
  <c r="AI1206" i="31" s="1"/>
  <c r="AD1206" i="31" s="1"/>
  <c r="Y1206" i="31" s="1"/>
  <c r="BU1201" i="31"/>
  <c r="BT1201" i="31"/>
  <c r="BZ1200" i="31"/>
  <c r="BX1200" i="31"/>
  <c r="BW1200" i="31"/>
  <c r="BF1200" i="31"/>
  <c r="BF1201" i="31" s="1"/>
  <c r="BE1200" i="31"/>
  <c r="BE1201" i="31" s="1"/>
  <c r="BD1200" i="31"/>
  <c r="BD1201" i="31" s="1"/>
  <c r="BC1200" i="31"/>
  <c r="BC1201" i="31" s="1"/>
  <c r="BA1200" i="31"/>
  <c r="BA1201" i="31" s="1"/>
  <c r="AZ1200" i="31"/>
  <c r="AZ1201" i="31" s="1"/>
  <c r="AY1200" i="31"/>
  <c r="AY1201" i="31" s="1"/>
  <c r="AX1200" i="31"/>
  <c r="AX1201" i="31" s="1"/>
  <c r="AV1200" i="31"/>
  <c r="AV1201" i="31" s="1"/>
  <c r="AU1200" i="31"/>
  <c r="AU1201" i="31" s="1"/>
  <c r="AT1200" i="31"/>
  <c r="AT1201" i="31" s="1"/>
  <c r="AS1200" i="31"/>
  <c r="AS1201" i="31" s="1"/>
  <c r="AQ1200" i="31"/>
  <c r="AQ1201" i="31" s="1"/>
  <c r="AP1200" i="31"/>
  <c r="AP1201" i="31" s="1"/>
  <c r="AO1200" i="31"/>
  <c r="AO1201" i="31" s="1"/>
  <c r="AN1200" i="31"/>
  <c r="AN1201" i="31" s="1"/>
  <c r="AL1200" i="31"/>
  <c r="AL1201" i="31" s="1"/>
  <c r="AK1200" i="31"/>
  <c r="AK1201" i="31" s="1"/>
  <c r="AJ1200" i="31"/>
  <c r="AJ1201" i="31" s="1"/>
  <c r="AI1200" i="31"/>
  <c r="AI1201" i="31" s="1"/>
  <c r="AG1200" i="31"/>
  <c r="AF1200" i="31"/>
  <c r="AE1200" i="31"/>
  <c r="AD1200" i="31"/>
  <c r="AB1200" i="31"/>
  <c r="AA1200" i="31"/>
  <c r="Z1200" i="31"/>
  <c r="Y1200" i="31"/>
  <c r="W1200" i="31"/>
  <c r="V1200" i="31"/>
  <c r="U1200" i="31"/>
  <c r="T1200" i="31"/>
  <c r="R1200" i="31"/>
  <c r="Q1200" i="31"/>
  <c r="P1200" i="31"/>
  <c r="O1200" i="31"/>
  <c r="M1200" i="31"/>
  <c r="L1200" i="31"/>
  <c r="K1200" i="31"/>
  <c r="J1200" i="31"/>
  <c r="BZ1199" i="31"/>
  <c r="BX1199" i="31"/>
  <c r="BW1199" i="31"/>
  <c r="BF1199" i="31"/>
  <c r="BE1199" i="31"/>
  <c r="BD1199" i="31"/>
  <c r="BC1199" i="31"/>
  <c r="BA1199" i="31"/>
  <c r="AZ1199" i="31"/>
  <c r="AY1199" i="31"/>
  <c r="AX1199" i="31"/>
  <c r="AV1199" i="31"/>
  <c r="AU1199" i="31"/>
  <c r="AT1199" i="31"/>
  <c r="AS1199" i="31"/>
  <c r="AQ1199" i="31"/>
  <c r="AP1199" i="31"/>
  <c r="AO1199" i="31"/>
  <c r="AN1199" i="31"/>
  <c r="AL1199" i="31"/>
  <c r="AK1199" i="31"/>
  <c r="AJ1199" i="31"/>
  <c r="AI1199" i="31"/>
  <c r="AG1199" i="31"/>
  <c r="AF1199" i="31"/>
  <c r="AE1199" i="31"/>
  <c r="AD1199" i="31"/>
  <c r="AB1199" i="31"/>
  <c r="AA1199" i="31"/>
  <c r="Z1199" i="31"/>
  <c r="Y1199" i="31"/>
  <c r="W1199" i="31"/>
  <c r="V1199" i="31"/>
  <c r="U1199" i="31"/>
  <c r="T1199" i="31"/>
  <c r="R1199" i="31"/>
  <c r="Q1199" i="31"/>
  <c r="P1199" i="31"/>
  <c r="O1199" i="31"/>
  <c r="M1199" i="31"/>
  <c r="L1199" i="31"/>
  <c r="K1199" i="31"/>
  <c r="J1199" i="31"/>
  <c r="BZ1196" i="31"/>
  <c r="BY1196" i="31"/>
  <c r="BX1196" i="31"/>
  <c r="BW1196" i="31"/>
  <c r="BU1196" i="31"/>
  <c r="BS1196" i="31"/>
  <c r="BR1196" i="31"/>
  <c r="BF1196" i="31"/>
  <c r="BE1196" i="31"/>
  <c r="BD1196" i="31"/>
  <c r="BC1196" i="31"/>
  <c r="BA1196" i="31"/>
  <c r="AZ1196" i="31"/>
  <c r="AY1196" i="31"/>
  <c r="AX1196" i="31"/>
  <c r="AV1196" i="31"/>
  <c r="AU1196" i="31"/>
  <c r="AT1196" i="31"/>
  <c r="AS1196" i="31"/>
  <c r="AQ1196" i="31"/>
  <c r="AP1196" i="31"/>
  <c r="AO1196" i="31"/>
  <c r="AN1196" i="31"/>
  <c r="AL1196" i="31"/>
  <c r="AK1196" i="31"/>
  <c r="AJ1196" i="31"/>
  <c r="AI1196" i="31"/>
  <c r="AG1196" i="31"/>
  <c r="AF1196" i="31"/>
  <c r="AE1196" i="31"/>
  <c r="AD1196" i="31"/>
  <c r="AB1196" i="31"/>
  <c r="AA1196" i="31"/>
  <c r="Z1196" i="31"/>
  <c r="Y1196" i="31"/>
  <c r="W1196" i="31"/>
  <c r="V1196" i="31"/>
  <c r="U1196" i="31"/>
  <c r="T1196" i="31"/>
  <c r="R1196" i="31"/>
  <c r="Q1196" i="31"/>
  <c r="P1196" i="31"/>
  <c r="O1196" i="31"/>
  <c r="M1196" i="31"/>
  <c r="L1196" i="31"/>
  <c r="K1196" i="31"/>
  <c r="J1196" i="31"/>
  <c r="H1196" i="31"/>
  <c r="G1196" i="31"/>
  <c r="F1196" i="31"/>
  <c r="E1196" i="31"/>
  <c r="D1196" i="31"/>
  <c r="DV1195" i="31"/>
  <c r="EA1200" i="31" s="1"/>
  <c r="DU1195" i="31"/>
  <c r="DS1195" i="31"/>
  <c r="DR1195" i="31"/>
  <c r="DQ1195" i="31"/>
  <c r="DP1195" i="31"/>
  <c r="DN1195" i="31"/>
  <c r="DM1195" i="31"/>
  <c r="DK1195" i="31"/>
  <c r="DI1195" i="31"/>
  <c r="DH1195" i="31"/>
  <c r="DG1195" i="31"/>
  <c r="DF1195" i="31"/>
  <c r="DD1195" i="31"/>
  <c r="DC1195" i="31"/>
  <c r="DB1195" i="31"/>
  <c r="DA1195" i="31"/>
  <c r="CY1195" i="31"/>
  <c r="CX1195" i="31"/>
  <c r="CW1195" i="31"/>
  <c r="CV1195" i="31"/>
  <c r="CT1195" i="31"/>
  <c r="CS1195" i="31"/>
  <c r="CR1195" i="31"/>
  <c r="CQ1195" i="31"/>
  <c r="CO1195" i="31"/>
  <c r="CN1195" i="31"/>
  <c r="CM1195" i="31"/>
  <c r="CL1195" i="31"/>
  <c r="CJ1195" i="31"/>
  <c r="CI1195" i="31"/>
  <c r="CH1195" i="31"/>
  <c r="CG1195" i="31"/>
  <c r="CE1195" i="31"/>
  <c r="CD1195" i="31"/>
  <c r="CC1195" i="31"/>
  <c r="CC1200" i="31" s="1"/>
  <c r="CB1195" i="31"/>
  <c r="CA1195" i="31"/>
  <c r="BT1195" i="31"/>
  <c r="BV1195" i="31" s="1"/>
  <c r="BI1195" i="31"/>
  <c r="BG1195" i="31"/>
  <c r="BB1195" i="31"/>
  <c r="AW1195" i="31"/>
  <c r="AR1195" i="31"/>
  <c r="AM1195" i="31"/>
  <c r="AH1195" i="31"/>
  <c r="AC1195" i="31"/>
  <c r="X1195" i="31"/>
  <c r="S1195" i="31"/>
  <c r="N1195" i="31"/>
  <c r="I1195" i="31"/>
  <c r="DV1194" i="31"/>
  <c r="EA1199" i="31" s="1"/>
  <c r="DU1194" i="31"/>
  <c r="DS1194" i="31"/>
  <c r="DR1194" i="31"/>
  <c r="DQ1194" i="31"/>
  <c r="DP1194" i="31"/>
  <c r="DN1194" i="31"/>
  <c r="DM1194" i="31"/>
  <c r="DK1194" i="31"/>
  <c r="DI1194" i="31"/>
  <c r="DH1194" i="31"/>
  <c r="DG1194" i="31"/>
  <c r="DF1194" i="31"/>
  <c r="DD1194" i="31"/>
  <c r="DC1194" i="31"/>
  <c r="DB1194" i="31"/>
  <c r="DA1194" i="31"/>
  <c r="CY1194" i="31"/>
  <c r="CX1194" i="31"/>
  <c r="CW1194" i="31"/>
  <c r="CV1194" i="31"/>
  <c r="CT1194" i="31"/>
  <c r="CS1194" i="31"/>
  <c r="CR1194" i="31"/>
  <c r="CQ1194" i="31"/>
  <c r="CO1194" i="31"/>
  <c r="CN1194" i="31"/>
  <c r="CM1194" i="31"/>
  <c r="CL1194" i="31"/>
  <c r="CJ1194" i="31"/>
  <c r="CI1194" i="31"/>
  <c r="CH1194" i="31"/>
  <c r="CG1194" i="31"/>
  <c r="CE1194" i="31"/>
  <c r="CD1194" i="31"/>
  <c r="CC1194" i="31"/>
  <c r="CB1194" i="31"/>
  <c r="CA1194" i="31"/>
  <c r="BT1194" i="31"/>
  <c r="BY1199" i="31" s="1"/>
  <c r="BI1194" i="31"/>
  <c r="BG1194" i="31"/>
  <c r="BB1194" i="31"/>
  <c r="AW1194" i="31"/>
  <c r="AR1194" i="31"/>
  <c r="AM1194" i="31"/>
  <c r="AH1194" i="31"/>
  <c r="AC1194" i="31"/>
  <c r="X1194" i="31"/>
  <c r="S1194" i="31"/>
  <c r="N1194" i="31"/>
  <c r="I1194" i="31"/>
  <c r="BN1190" i="31"/>
  <c r="AL1190" i="31"/>
  <c r="AL1191" i="31" s="1"/>
  <c r="AK1190" i="31"/>
  <c r="AK1191" i="31" s="1"/>
  <c r="AJ1190" i="31"/>
  <c r="AJ1191" i="31" s="1"/>
  <c r="AI1190" i="31"/>
  <c r="AI1191" i="31" s="1"/>
  <c r="AG1190" i="31"/>
  <c r="AF1190" i="31"/>
  <c r="AE1190" i="31"/>
  <c r="AD1190" i="31"/>
  <c r="AB1190" i="31"/>
  <c r="AA1190" i="31"/>
  <c r="Z1190" i="31"/>
  <c r="Y1190" i="31"/>
  <c r="W1190" i="31"/>
  <c r="V1190" i="31"/>
  <c r="U1190" i="31"/>
  <c r="T1190" i="31"/>
  <c r="R1190" i="31"/>
  <c r="Q1190" i="31"/>
  <c r="P1190" i="31"/>
  <c r="O1190" i="31"/>
  <c r="M1190" i="31"/>
  <c r="L1190" i="31"/>
  <c r="K1190" i="31"/>
  <c r="J1190" i="31"/>
  <c r="BN1189" i="31"/>
  <c r="AL1189" i="31"/>
  <c r="AK1189" i="31"/>
  <c r="AJ1189" i="31"/>
  <c r="AI1189" i="31"/>
  <c r="AG1189" i="31"/>
  <c r="AF1189" i="31"/>
  <c r="AE1189" i="31"/>
  <c r="AD1189" i="31"/>
  <c r="AB1189" i="31"/>
  <c r="AA1189" i="31"/>
  <c r="Z1189" i="31"/>
  <c r="Y1189" i="31"/>
  <c r="W1189" i="31"/>
  <c r="V1189" i="31"/>
  <c r="U1189" i="31"/>
  <c r="T1189" i="31"/>
  <c r="R1189" i="31"/>
  <c r="R1128" i="31" s="1"/>
  <c r="W1133" i="31" s="1"/>
  <c r="Q1189" i="31"/>
  <c r="Q1128" i="31" s="1"/>
  <c r="P1189" i="31"/>
  <c r="P1128" i="31" s="1"/>
  <c r="U1133" i="31" s="1"/>
  <c r="O1189" i="31"/>
  <c r="O1128" i="31" s="1"/>
  <c r="T1133" i="31" s="1"/>
  <c r="M1189" i="31"/>
  <c r="M1128" i="31" s="1"/>
  <c r="L1189" i="31"/>
  <c r="L1128" i="31" s="1"/>
  <c r="K1189" i="31"/>
  <c r="K1128" i="31" s="1"/>
  <c r="J1189" i="31"/>
  <c r="J1128" i="31" s="1"/>
  <c r="BR1186" i="31"/>
  <c r="BP1186" i="31"/>
  <c r="BO1186" i="31"/>
  <c r="BN1186" i="31"/>
  <c r="BI1186" i="31"/>
  <c r="BH1186" i="31"/>
  <c r="BF1186" i="31"/>
  <c r="BE1186" i="31"/>
  <c r="AL1186" i="31"/>
  <c r="AK1186" i="31"/>
  <c r="AJ1186" i="31"/>
  <c r="AI1186" i="31"/>
  <c r="AG1186" i="31"/>
  <c r="AF1186" i="31"/>
  <c r="AE1186" i="31"/>
  <c r="AD1186" i="31"/>
  <c r="AB1186" i="31"/>
  <c r="AA1186" i="31"/>
  <c r="Z1186" i="31"/>
  <c r="Y1186" i="31"/>
  <c r="W1186" i="31"/>
  <c r="V1186" i="31"/>
  <c r="U1186" i="31"/>
  <c r="T1186" i="31"/>
  <c r="R1186" i="31"/>
  <c r="Q1186" i="31"/>
  <c r="P1186" i="31"/>
  <c r="O1186" i="31"/>
  <c r="M1186" i="31"/>
  <c r="L1186" i="31"/>
  <c r="K1186" i="31"/>
  <c r="J1186" i="31"/>
  <c r="H1186" i="31"/>
  <c r="G1186" i="31"/>
  <c r="F1186" i="31"/>
  <c r="E1186" i="31"/>
  <c r="D1186" i="31"/>
  <c r="CJ1185" i="31"/>
  <c r="CI1185" i="31"/>
  <c r="CH1185" i="31"/>
  <c r="CG1185" i="31"/>
  <c r="CE1185" i="31"/>
  <c r="CD1185" i="31"/>
  <c r="CC1185" i="31"/>
  <c r="CB1185" i="31"/>
  <c r="BZ1185" i="31"/>
  <c r="BY1185" i="31"/>
  <c r="BY1080" i="31" s="1"/>
  <c r="BY1349" i="31" s="1"/>
  <c r="BY46" i="31" s="1"/>
  <c r="BX1185" i="31"/>
  <c r="BX1080" i="31" s="1"/>
  <c r="BX1349" i="31" s="1"/>
  <c r="BX46" i="31" s="1"/>
  <c r="BW1185" i="31"/>
  <c r="BW1080" i="31" s="1"/>
  <c r="BW1349" i="31" s="1"/>
  <c r="BW46" i="31" s="1"/>
  <c r="BU1185" i="31"/>
  <c r="BU1190" i="31" s="1"/>
  <c r="BT1185" i="31"/>
  <c r="BT1080" i="31" s="1"/>
  <c r="BS1185" i="31"/>
  <c r="BS1190" i="31" s="1"/>
  <c r="BK1185" i="31"/>
  <c r="BP1190" i="31" s="1"/>
  <c r="BJ1185" i="31"/>
  <c r="BJ1080" i="31" s="1"/>
  <c r="BC1185" i="31"/>
  <c r="BH1190" i="31" s="1"/>
  <c r="BH1191" i="31" s="1"/>
  <c r="BA1185" i="31"/>
  <c r="BF1190" i="31" s="1"/>
  <c r="BF1191" i="31" s="1"/>
  <c r="AZ1185" i="31"/>
  <c r="AZ1080" i="31" s="1"/>
  <c r="AZ1349" i="31" s="1"/>
  <c r="AZ46" i="31" s="1"/>
  <c r="AY1185" i="31"/>
  <c r="AY1080" i="31" s="1"/>
  <c r="AY1349" i="31" s="1"/>
  <c r="AY46" i="31" s="1"/>
  <c r="AX1185" i="31"/>
  <c r="AX1080" i="31" s="1"/>
  <c r="AX1349" i="31" s="1"/>
  <c r="AX46" i="31" s="1"/>
  <c r="AV1185" i="31"/>
  <c r="AU1185" i="31"/>
  <c r="AU1080" i="31" s="1"/>
  <c r="AU1349" i="31" s="1"/>
  <c r="AU46" i="31" s="1"/>
  <c r="AT1185" i="31"/>
  <c r="AT1080" i="31" s="1"/>
  <c r="AT1349" i="31" s="1"/>
  <c r="AT46" i="31" s="1"/>
  <c r="AS1185" i="31"/>
  <c r="AS1080" i="31" s="1"/>
  <c r="AS1349" i="31" s="1"/>
  <c r="AS46" i="31" s="1"/>
  <c r="AQ1185" i="31"/>
  <c r="AQ1190" i="31" s="1"/>
  <c r="AQ1191" i="31" s="1"/>
  <c r="AP1185" i="31"/>
  <c r="AP1190" i="31" s="1"/>
  <c r="AP1191" i="31" s="1"/>
  <c r="AM1185" i="31"/>
  <c r="AM1080" i="31" s="1"/>
  <c r="AH1185" i="31"/>
  <c r="AH1080" i="31" s="1"/>
  <c r="AC1185" i="31"/>
  <c r="AC1080" i="31" s="1"/>
  <c r="X1185" i="31"/>
  <c r="X1080" i="31" s="1"/>
  <c r="S1185" i="31"/>
  <c r="S1080" i="31" s="1"/>
  <c r="N1185" i="31"/>
  <c r="N1080" i="31" s="1"/>
  <c r="I1185" i="31"/>
  <c r="I1080" i="31" s="1"/>
  <c r="CJ1184" i="31"/>
  <c r="CI1184" i="31"/>
  <c r="CH1184" i="31"/>
  <c r="CG1184" i="31"/>
  <c r="CE1184" i="31"/>
  <c r="CD1184" i="31"/>
  <c r="CC1184" i="31"/>
  <c r="CB1184" i="31"/>
  <c r="BZ1184" i="31"/>
  <c r="BY1184" i="31"/>
  <c r="BY1079" i="31" s="1"/>
  <c r="BX1184" i="31"/>
  <c r="BX1079" i="31" s="1"/>
  <c r="BX1348" i="31" s="1"/>
  <c r="BX45" i="31" s="1"/>
  <c r="BW1184" i="31"/>
  <c r="BW1189" i="31" s="1"/>
  <c r="BU1184" i="31"/>
  <c r="BU1079" i="31" s="1"/>
  <c r="BT1184" i="31"/>
  <c r="BT1189" i="31" s="1"/>
  <c r="BS1184" i="31"/>
  <c r="BS1079" i="31" s="1"/>
  <c r="BK1184" i="31"/>
  <c r="BK1079" i="31" s="1"/>
  <c r="BJ1184" i="31"/>
  <c r="BJ1079" i="31" s="1"/>
  <c r="BD1184" i="31"/>
  <c r="BI1189" i="31" s="1"/>
  <c r="BC1184" i="31"/>
  <c r="BC1079" i="31" s="1"/>
  <c r="BC1348" i="31" s="1"/>
  <c r="BC45" i="31" s="1"/>
  <c r="BA1184" i="31"/>
  <c r="BA1079" i="31" s="1"/>
  <c r="AZ1184" i="31"/>
  <c r="BE1189" i="31" s="1"/>
  <c r="AY1184" i="31"/>
  <c r="AY1079" i="31" s="1"/>
  <c r="AY1348" i="31" s="1"/>
  <c r="AY45" i="31" s="1"/>
  <c r="AX1184" i="31"/>
  <c r="AX1186" i="31" s="1"/>
  <c r="AV1184" i="31"/>
  <c r="AV1079" i="31" s="1"/>
  <c r="AU1184" i="31"/>
  <c r="AU1079" i="31" s="1"/>
  <c r="AT1184" i="31"/>
  <c r="AT1079" i="31" s="1"/>
  <c r="AT1348" i="31" s="1"/>
  <c r="AT45" i="31" s="1"/>
  <c r="AS1184" i="31"/>
  <c r="AQ1184" i="31"/>
  <c r="AP1184" i="31"/>
  <c r="AP1079" i="31" s="1"/>
  <c r="AM1184" i="31"/>
  <c r="AM1079" i="31" s="1"/>
  <c r="AH1184" i="31"/>
  <c r="AH1079" i="31" s="1"/>
  <c r="AC1184" i="31"/>
  <c r="AC1079" i="31" s="1"/>
  <c r="X1184" i="31"/>
  <c r="X1079" i="31" s="1"/>
  <c r="S1184" i="31"/>
  <c r="S1079" i="31" s="1"/>
  <c r="N1184" i="31"/>
  <c r="N1079" i="31" s="1"/>
  <c r="I1184" i="31"/>
  <c r="I1079" i="31" s="1"/>
  <c r="BA1179" i="31"/>
  <c r="BA1180" i="31" s="1"/>
  <c r="AZ1179" i="31"/>
  <c r="AZ1180" i="31" s="1"/>
  <c r="AY1179" i="31"/>
  <c r="AY1180" i="31" s="1"/>
  <c r="AX1179" i="31"/>
  <c r="AX1180" i="31" s="1"/>
  <c r="AV1179" i="31"/>
  <c r="AV1180" i="31" s="1"/>
  <c r="AU1179" i="31"/>
  <c r="AU1180" i="31" s="1"/>
  <c r="AT1179" i="31"/>
  <c r="AT1180" i="31" s="1"/>
  <c r="AS1179" i="31"/>
  <c r="AS1180" i="31" s="1"/>
  <c r="AQ1179" i="31"/>
  <c r="AQ1180" i="31" s="1"/>
  <c r="AP1179" i="31"/>
  <c r="AP1180" i="31" s="1"/>
  <c r="AO1179" i="31"/>
  <c r="AO1180" i="31" s="1"/>
  <c r="AN1179" i="31"/>
  <c r="AN1180" i="31" s="1"/>
  <c r="AL1179" i="31"/>
  <c r="AL1180" i="31" s="1"/>
  <c r="AK1179" i="31"/>
  <c r="AK1180" i="31" s="1"/>
  <c r="AJ1179" i="31"/>
  <c r="AJ1180" i="31" s="1"/>
  <c r="AI1179" i="31"/>
  <c r="AI1180" i="31" s="1"/>
  <c r="AG1179" i="31"/>
  <c r="AG1180" i="31" s="1"/>
  <c r="AF1179" i="31"/>
  <c r="AF1180" i="31" s="1"/>
  <c r="AE1179" i="31"/>
  <c r="AE1180" i="31" s="1"/>
  <c r="AD1179" i="31"/>
  <c r="AD1180" i="31" s="1"/>
  <c r="BA1178" i="31"/>
  <c r="AZ1178" i="31"/>
  <c r="AY1178" i="31"/>
  <c r="AX1178" i="31"/>
  <c r="AV1178" i="31"/>
  <c r="AU1178" i="31"/>
  <c r="AT1178" i="31"/>
  <c r="AS1178" i="31"/>
  <c r="AQ1178" i="31"/>
  <c r="AP1178" i="31"/>
  <c r="AO1178" i="31"/>
  <c r="AN1178" i="31"/>
  <c r="AL1178" i="31"/>
  <c r="AK1178" i="31"/>
  <c r="AJ1178" i="31"/>
  <c r="AI1178" i="31"/>
  <c r="AG1178" i="31"/>
  <c r="AF1178" i="31"/>
  <c r="AE1178" i="31"/>
  <c r="AD1178" i="31"/>
  <c r="BA1175" i="31"/>
  <c r="AZ1175" i="31"/>
  <c r="AY1175" i="31"/>
  <c r="AX1175" i="31"/>
  <c r="AV1175" i="31"/>
  <c r="AU1175" i="31"/>
  <c r="AT1175" i="31"/>
  <c r="AS1175" i="31"/>
  <c r="AQ1175" i="31"/>
  <c r="AP1175" i="31"/>
  <c r="AO1175" i="31"/>
  <c r="AN1175" i="31"/>
  <c r="AL1175" i="31"/>
  <c r="AK1175" i="31"/>
  <c r="AJ1175" i="31"/>
  <c r="AI1175" i="31"/>
  <c r="AG1175" i="31"/>
  <c r="AF1175" i="31"/>
  <c r="AE1175" i="31"/>
  <c r="AD1175" i="31"/>
  <c r="AD1181" i="31" s="1"/>
  <c r="BB1174" i="31"/>
  <c r="AW1174" i="31"/>
  <c r="AR1174" i="31"/>
  <c r="AM1174" i="31"/>
  <c r="AH1174" i="31"/>
  <c r="BB1173" i="31"/>
  <c r="AW1173" i="31"/>
  <c r="AR1173" i="31"/>
  <c r="AM1173" i="31"/>
  <c r="AH1173" i="31"/>
  <c r="AQ1169" i="31"/>
  <c r="AP1169" i="31"/>
  <c r="AO1169" i="31"/>
  <c r="AN1169" i="31"/>
  <c r="CO1168" i="31"/>
  <c r="CO1169" i="31" s="1"/>
  <c r="CN1168" i="31"/>
  <c r="CN1169" i="31" s="1"/>
  <c r="CJ1168" i="31"/>
  <c r="CI1168" i="31"/>
  <c r="CH1168" i="31"/>
  <c r="CG1168" i="31"/>
  <c r="CE1168" i="31"/>
  <c r="CD1168" i="31"/>
  <c r="CC1168" i="31"/>
  <c r="CB1168" i="31"/>
  <c r="BZ1168" i="31"/>
  <c r="BY1168" i="31"/>
  <c r="BY1092" i="31" s="1"/>
  <c r="CD1097" i="31" s="1"/>
  <c r="BX1168" i="31"/>
  <c r="BX1092" i="31" s="1"/>
  <c r="CC1097" i="31" s="1"/>
  <c r="BW1168" i="31"/>
  <c r="BW1092" i="31" s="1"/>
  <c r="BK1168" i="31"/>
  <c r="BJ1168" i="31"/>
  <c r="BH1168" i="31"/>
  <c r="BH1169" i="31" s="1"/>
  <c r="BF1168" i="31"/>
  <c r="BF1169" i="31" s="1"/>
  <c r="BE1168" i="31"/>
  <c r="BE1169" i="31" s="1"/>
  <c r="BC1168" i="31"/>
  <c r="BC1169" i="31" s="1"/>
  <c r="BA1168" i="31"/>
  <c r="BA1169" i="31" s="1"/>
  <c r="AZ1168" i="31"/>
  <c r="AZ1169" i="31" s="1"/>
  <c r="AY1168" i="31"/>
  <c r="AY1169" i="31" s="1"/>
  <c r="AX1168" i="31"/>
  <c r="AX1169" i="31" s="1"/>
  <c r="AV1168" i="31"/>
  <c r="AV1169" i="31" s="1"/>
  <c r="AU1168" i="31"/>
  <c r="AU1169" i="31" s="1"/>
  <c r="AL1168" i="31"/>
  <c r="AL1169" i="31" s="1"/>
  <c r="AK1168" i="31"/>
  <c r="AK1169" i="31" s="1"/>
  <c r="AJ1168" i="31"/>
  <c r="AJ1169" i="31" s="1"/>
  <c r="AI1168" i="31"/>
  <c r="AI1169" i="31" s="1"/>
  <c r="CO1167" i="31"/>
  <c r="CN1167" i="31"/>
  <c r="CJ1167" i="31"/>
  <c r="CI1167" i="31"/>
  <c r="CH1167" i="31"/>
  <c r="CG1167" i="31"/>
  <c r="CE1167" i="31"/>
  <c r="CD1167" i="31"/>
  <c r="CC1167" i="31"/>
  <c r="CB1167" i="31"/>
  <c r="BZ1167" i="31"/>
  <c r="BY1167" i="31"/>
  <c r="BY1091" i="31" s="1"/>
  <c r="CD1096" i="31" s="1"/>
  <c r="BX1167" i="31"/>
  <c r="BX1091" i="31" s="1"/>
  <c r="CC1096" i="31" s="1"/>
  <c r="BW1167" i="31"/>
  <c r="BW1091" i="31" s="1"/>
  <c r="BK1167" i="31"/>
  <c r="BJ1167" i="31"/>
  <c r="BI1167" i="31"/>
  <c r="BH1167" i="31"/>
  <c r="BF1167" i="31"/>
  <c r="BE1167" i="31"/>
  <c r="BD1167" i="31"/>
  <c r="BC1167" i="31"/>
  <c r="BA1167" i="31"/>
  <c r="AZ1167" i="31"/>
  <c r="AY1167" i="31"/>
  <c r="AX1167" i="31"/>
  <c r="AV1167" i="31"/>
  <c r="AU1167" i="31"/>
  <c r="AL1167" i="31"/>
  <c r="AL1091" i="31" s="1"/>
  <c r="AL1093" i="31" s="1"/>
  <c r="AQ1099" i="31" s="1"/>
  <c r="AK1167" i="31"/>
  <c r="AK1091" i="31" s="1"/>
  <c r="AJ1167" i="31"/>
  <c r="AJ1091" i="31" s="1"/>
  <c r="AJ1093" i="31" s="1"/>
  <c r="AO1099" i="31" s="1"/>
  <c r="AI1167" i="31"/>
  <c r="AI1091" i="31" s="1"/>
  <c r="AN1096" i="31" s="1"/>
  <c r="CR1164" i="31"/>
  <c r="CQ1164" i="31"/>
  <c r="CO1164" i="31"/>
  <c r="CN1164" i="31"/>
  <c r="CJ1164" i="31"/>
  <c r="CI1164" i="31"/>
  <c r="CH1164" i="31"/>
  <c r="CG1164" i="31"/>
  <c r="CE1164" i="31"/>
  <c r="CD1164" i="31"/>
  <c r="CC1164" i="31"/>
  <c r="CB1164" i="31"/>
  <c r="BZ1164" i="31"/>
  <c r="BY1164" i="31"/>
  <c r="BX1164" i="31"/>
  <c r="BW1164" i="31"/>
  <c r="BU1164" i="31"/>
  <c r="BT1164" i="31"/>
  <c r="BS1164" i="31"/>
  <c r="BR1164" i="31"/>
  <c r="BK1164" i="31"/>
  <c r="BJ1164" i="31"/>
  <c r="BI1164" i="31"/>
  <c r="BH1164" i="31"/>
  <c r="BF1164" i="31"/>
  <c r="BE1164" i="31"/>
  <c r="BD1164" i="31"/>
  <c r="BD1163" i="31" s="1"/>
  <c r="BD1185" i="31" s="1"/>
  <c r="BD1080" i="31" s="1"/>
  <c r="BD1349" i="31" s="1"/>
  <c r="BD46" i="31" s="1"/>
  <c r="BC1164" i="31"/>
  <c r="BA1164" i="31"/>
  <c r="AZ1164" i="31"/>
  <c r="AY1164" i="31"/>
  <c r="AX1164" i="31"/>
  <c r="AV1164" i="31"/>
  <c r="AU1164" i="31"/>
  <c r="AT1164" i="31"/>
  <c r="AS1164" i="31"/>
  <c r="AQ1164" i="31"/>
  <c r="AP1164" i="31"/>
  <c r="AL1164" i="31"/>
  <c r="AK1164" i="31"/>
  <c r="AJ1164" i="31"/>
  <c r="AI1164" i="31"/>
  <c r="AG1164" i="31"/>
  <c r="AF1164" i="31"/>
  <c r="AE1164" i="31"/>
  <c r="AD1164" i="31"/>
  <c r="CM1163" i="31"/>
  <c r="CM1168" i="31" s="1"/>
  <c r="CM1169" i="31" s="1"/>
  <c r="CL1163" i="31"/>
  <c r="CK1163" i="31"/>
  <c r="CF1163" i="31"/>
  <c r="CA1163" i="31"/>
  <c r="BV1163" i="31"/>
  <c r="BP1163" i="31"/>
  <c r="BU1168" i="31" s="1"/>
  <c r="BU1092" i="31" s="1"/>
  <c r="BZ1097" i="31" s="1"/>
  <c r="BO1163" i="31"/>
  <c r="BO1168" i="31" s="1"/>
  <c r="BN1163" i="31"/>
  <c r="BN1168" i="31" s="1"/>
  <c r="BM1163" i="31"/>
  <c r="BR1168" i="31" s="1"/>
  <c r="BR1092" i="31" s="1"/>
  <c r="BW1097" i="31" s="1"/>
  <c r="BL1163" i="31"/>
  <c r="BB1163" i="31"/>
  <c r="AW1163" i="31"/>
  <c r="AO1163" i="31"/>
  <c r="AN1163" i="31"/>
  <c r="AN1185" i="31" s="1"/>
  <c r="AN1080" i="31" s="1"/>
  <c r="AM1163" i="31"/>
  <c r="AH1163" i="31"/>
  <c r="CM1162" i="31"/>
  <c r="CR1167" i="31" s="1"/>
  <c r="CL1162" i="31"/>
  <c r="CK1162" i="31"/>
  <c r="CF1162" i="31"/>
  <c r="CA1162" i="31"/>
  <c r="BV1162" i="31"/>
  <c r="BP1162" i="31"/>
  <c r="BP1167" i="31" s="1"/>
  <c r="BO1162" i="31"/>
  <c r="BT1167" i="31" s="1"/>
  <c r="BT1091" i="31" s="1"/>
  <c r="BT1093" i="31" s="1"/>
  <c r="BY1099" i="31" s="1"/>
  <c r="BN1162" i="31"/>
  <c r="BS1167" i="31" s="1"/>
  <c r="BS1091" i="31" s="1"/>
  <c r="BX1096" i="31" s="1"/>
  <c r="BM1162" i="31"/>
  <c r="BL1162" i="31"/>
  <c r="BG1162" i="31"/>
  <c r="BB1162" i="31"/>
  <c r="AW1162" i="31"/>
  <c r="AO1162" i="31"/>
  <c r="AN1162" i="31"/>
  <c r="AM1162" i="31"/>
  <c r="AH1162" i="31"/>
  <c r="BO1157" i="31"/>
  <c r="BO1158" i="31" s="1"/>
  <c r="BN1157" i="31"/>
  <c r="BN1158" i="31" s="1"/>
  <c r="BM1157" i="31"/>
  <c r="BM1158" i="31" s="1"/>
  <c r="BK1157" i="31"/>
  <c r="BK1158" i="31" s="1"/>
  <c r="BJ1157" i="31"/>
  <c r="BJ1158" i="31" s="1"/>
  <c r="BI1157" i="31"/>
  <c r="BI1158" i="31" s="1"/>
  <c r="BH1157" i="31"/>
  <c r="BH1158" i="31" s="1"/>
  <c r="BG1157" i="31"/>
  <c r="BG1158" i="31" s="1"/>
  <c r="BF1157" i="31"/>
  <c r="BF1158" i="31" s="1"/>
  <c r="BE1157" i="31"/>
  <c r="BE1158" i="31" s="1"/>
  <c r="BD1157" i="31"/>
  <c r="BD1158" i="31" s="1"/>
  <c r="BC1157" i="31"/>
  <c r="BC1158" i="31" s="1"/>
  <c r="BB1157" i="31"/>
  <c r="BB1158" i="31" s="1"/>
  <c r="BA1157" i="31"/>
  <c r="BA1158" i="31" s="1"/>
  <c r="AZ1157" i="31"/>
  <c r="AZ1158" i="31" s="1"/>
  <c r="AY1157" i="31"/>
  <c r="AY1158" i="31" s="1"/>
  <c r="AX1157" i="31"/>
  <c r="AX1158" i="31" s="1"/>
  <c r="AW1157" i="31"/>
  <c r="BO1156" i="31"/>
  <c r="BN1156" i="31"/>
  <c r="BM1156" i="31"/>
  <c r="BK1156" i="31"/>
  <c r="BJ1156" i="31"/>
  <c r="BI1156" i="31"/>
  <c r="BH1156" i="31"/>
  <c r="BG1156" i="31"/>
  <c r="BF1156" i="31"/>
  <c r="BE1156" i="31"/>
  <c r="BD1156" i="31"/>
  <c r="BC1156" i="31"/>
  <c r="BB1156" i="31"/>
  <c r="BA1156" i="31"/>
  <c r="AZ1156" i="31"/>
  <c r="AY1156" i="31"/>
  <c r="AX1156" i="31"/>
  <c r="AW1156" i="31"/>
  <c r="BQ1153" i="31"/>
  <c r="BO1153" i="31"/>
  <c r="BN1153" i="31"/>
  <c r="BM1153" i="31"/>
  <c r="BK1153" i="31"/>
  <c r="BJ1153" i="31"/>
  <c r="BI1153" i="31"/>
  <c r="BH1153" i="31"/>
  <c r="BG1153" i="31"/>
  <c r="BF1153" i="31"/>
  <c r="BE1153" i="31"/>
  <c r="BD1153" i="31"/>
  <c r="BC1153" i="31"/>
  <c r="BB1153" i="31"/>
  <c r="BA1153" i="31"/>
  <c r="AZ1153" i="31"/>
  <c r="AY1153" i="31"/>
  <c r="AX1153" i="31"/>
  <c r="AW1153" i="31"/>
  <c r="AV1153" i="31"/>
  <c r="AU1153" i="31"/>
  <c r="AT1153" i="31"/>
  <c r="AS1153" i="31"/>
  <c r="AR1153" i="31"/>
  <c r="AQ1153" i="31"/>
  <c r="AP1153" i="31"/>
  <c r="AO1153" i="31"/>
  <c r="AN1153" i="31"/>
  <c r="AM1153" i="31"/>
  <c r="BP1152" i="31"/>
  <c r="BP1157" i="31" s="1"/>
  <c r="BP1158" i="31" s="1"/>
  <c r="BL1152" i="31"/>
  <c r="BP1151" i="31"/>
  <c r="BL1151" i="31"/>
  <c r="BL1156" i="31" s="1"/>
  <c r="BP1146" i="31"/>
  <c r="BO1146" i="31"/>
  <c r="BN1146" i="31"/>
  <c r="BK1146" i="31"/>
  <c r="BJ1146" i="31"/>
  <c r="BI1146" i="31"/>
  <c r="BI1147" i="31" s="1"/>
  <c r="BH1146" i="31"/>
  <c r="BH1147" i="31" s="1"/>
  <c r="BF1146" i="31"/>
  <c r="BF1147" i="31" s="1"/>
  <c r="BE1146" i="31"/>
  <c r="BE1147" i="31" s="1"/>
  <c r="BD1146" i="31"/>
  <c r="BD1147" i="31" s="1"/>
  <c r="BC1146" i="31"/>
  <c r="BC1147" i="31" s="1"/>
  <c r="BA1146" i="31"/>
  <c r="BA1147" i="31" s="1"/>
  <c r="AZ1146" i="31"/>
  <c r="AY1146" i="31"/>
  <c r="AY1147" i="31" s="1"/>
  <c r="AX1146" i="31"/>
  <c r="AX1147" i="31" s="1"/>
  <c r="AW1146" i="31"/>
  <c r="AV1146" i="31"/>
  <c r="AV1147" i="31" s="1"/>
  <c r="AU1146" i="31"/>
  <c r="AU1147" i="31" s="1"/>
  <c r="AT1146" i="31"/>
  <c r="AT1147" i="31" s="1"/>
  <c r="AS1146" i="31"/>
  <c r="AS1147" i="31" s="1"/>
  <c r="AR1146" i="31"/>
  <c r="AQ1146" i="31"/>
  <c r="AQ1147" i="31" s="1"/>
  <c r="AP1146" i="31"/>
  <c r="AP1147" i="31" s="1"/>
  <c r="AO1146" i="31"/>
  <c r="AO1147" i="31" s="1"/>
  <c r="AN1146" i="31"/>
  <c r="AN1147" i="31" s="1"/>
  <c r="AM1146" i="31"/>
  <c r="BP1145" i="31"/>
  <c r="BO1145" i="31"/>
  <c r="BN1145" i="31"/>
  <c r="BK1145" i="31"/>
  <c r="BJ1145" i="31"/>
  <c r="BI1145" i="31"/>
  <c r="BH1145" i="31"/>
  <c r="BF1145" i="31"/>
  <c r="BE1145" i="31"/>
  <c r="BD1145" i="31"/>
  <c r="BC1145" i="31"/>
  <c r="BA1145" i="31"/>
  <c r="AZ1145" i="31"/>
  <c r="AY1145" i="31"/>
  <c r="AX1145" i="31"/>
  <c r="AW1145" i="31"/>
  <c r="AV1145" i="31"/>
  <c r="AU1145" i="31"/>
  <c r="AT1145" i="31"/>
  <c r="AS1145" i="31"/>
  <c r="AR1145" i="31"/>
  <c r="AQ1145" i="31"/>
  <c r="AQ1091" i="31" s="1"/>
  <c r="AP1145" i="31"/>
  <c r="AP1091" i="31" s="1"/>
  <c r="AP1093" i="31" s="1"/>
  <c r="AU1099" i="31" s="1"/>
  <c r="AO1145" i="31"/>
  <c r="AO1091" i="31" s="1"/>
  <c r="AT1096" i="31" s="1"/>
  <c r="AN1145" i="31"/>
  <c r="AN1091" i="31" s="1"/>
  <c r="AS1096" i="31" s="1"/>
  <c r="AM1145" i="31"/>
  <c r="BP1142" i="31"/>
  <c r="BO1142" i="31"/>
  <c r="BN1142" i="31"/>
  <c r="BK1142" i="31"/>
  <c r="BJ1142" i="31"/>
  <c r="BI1142" i="31"/>
  <c r="BH1142" i="31"/>
  <c r="BF1142" i="31"/>
  <c r="BE1142" i="31"/>
  <c r="BD1142" i="31"/>
  <c r="BC1142" i="31"/>
  <c r="BA1142" i="31"/>
  <c r="AZ1142" i="31"/>
  <c r="AY1142" i="31"/>
  <c r="AX1142" i="31"/>
  <c r="AW1142" i="31"/>
  <c r="AV1142" i="31"/>
  <c r="AU1142" i="31"/>
  <c r="AT1142" i="31"/>
  <c r="AS1142" i="31"/>
  <c r="AR1142" i="31"/>
  <c r="AQ1142" i="31"/>
  <c r="AP1142" i="31"/>
  <c r="AO1142" i="31"/>
  <c r="AN1142" i="31"/>
  <c r="AM1142" i="31"/>
  <c r="AL1142" i="31"/>
  <c r="AK1142" i="31"/>
  <c r="AJ1142" i="31"/>
  <c r="AI1142" i="31"/>
  <c r="AH1142" i="31"/>
  <c r="AG1142" i="31"/>
  <c r="AF1142" i="31"/>
  <c r="AE1142" i="31"/>
  <c r="AD1142" i="31"/>
  <c r="AC1142" i="31"/>
  <c r="AB1142" i="31"/>
  <c r="AA1142" i="31"/>
  <c r="Z1142" i="31"/>
  <c r="BM1141" i="31"/>
  <c r="BM1146" i="31" s="1"/>
  <c r="BL1141" i="31"/>
  <c r="BG1141" i="31"/>
  <c r="BB1141" i="31"/>
  <c r="BM1140" i="31"/>
  <c r="BL1140" i="31"/>
  <c r="BG1140" i="31"/>
  <c r="BB1140" i="31"/>
  <c r="CP1135" i="31"/>
  <c r="CO1135" i="31"/>
  <c r="CN1135" i="31"/>
  <c r="CM1135" i="31"/>
  <c r="CL1135" i="31"/>
  <c r="CK1135" i="31"/>
  <c r="DV1133" i="31"/>
  <c r="DU1133" i="31"/>
  <c r="CP1133" i="31"/>
  <c r="CO1133" i="31"/>
  <c r="CN1133" i="31"/>
  <c r="CM1133" i="31"/>
  <c r="CL1133" i="31"/>
  <c r="CK1133" i="31"/>
  <c r="CJ1133" i="31"/>
  <c r="CI1133" i="31"/>
  <c r="CH1133" i="31"/>
  <c r="CG1133" i="31"/>
  <c r="CE1133" i="31"/>
  <c r="CD1133" i="31"/>
  <c r="CC1133" i="31"/>
  <c r="CB1133" i="31"/>
  <c r="BZ1133" i="31"/>
  <c r="BY1133" i="31"/>
  <c r="BX1133" i="31"/>
  <c r="BW1133" i="31"/>
  <c r="BU1133" i="31"/>
  <c r="BT1133" i="31"/>
  <c r="BS1133" i="31"/>
  <c r="BR1133" i="31"/>
  <c r="BP1133" i="31"/>
  <c r="BO1133" i="31"/>
  <c r="BN1133" i="31"/>
  <c r="BM1133" i="31"/>
  <c r="BK1133" i="31"/>
  <c r="BJ1133" i="31"/>
  <c r="BI1133" i="31"/>
  <c r="BH1133" i="31"/>
  <c r="BF1133" i="31"/>
  <c r="BE1133" i="31"/>
  <c r="BD1133" i="31"/>
  <c r="BC1133" i="31"/>
  <c r="BA1133" i="31"/>
  <c r="AZ1133" i="31"/>
  <c r="AY1133" i="31"/>
  <c r="AX1133" i="31"/>
  <c r="AV1133" i="31"/>
  <c r="AU1133" i="31"/>
  <c r="AT1133" i="31"/>
  <c r="AS1133" i="31"/>
  <c r="AQ1133" i="31"/>
  <c r="AP1133" i="31"/>
  <c r="AO1133" i="31"/>
  <c r="AN1133" i="31"/>
  <c r="AL1133" i="31"/>
  <c r="AK1133" i="31"/>
  <c r="AJ1133" i="31"/>
  <c r="AI1133" i="31"/>
  <c r="AG1133" i="31"/>
  <c r="AF1133" i="31"/>
  <c r="AE1133" i="31"/>
  <c r="AD1133" i="31"/>
  <c r="AB1133" i="31"/>
  <c r="AA1133" i="31"/>
  <c r="Z1133" i="31"/>
  <c r="Y1133" i="31"/>
  <c r="DV1132" i="31"/>
  <c r="DU1132" i="31"/>
  <c r="CE1132" i="31"/>
  <c r="CD1132" i="31"/>
  <c r="CC1132" i="31"/>
  <c r="CB1132" i="31"/>
  <c r="BZ1132" i="31"/>
  <c r="BY1132" i="31"/>
  <c r="BX1132" i="31"/>
  <c r="BW1132" i="31"/>
  <c r="BU1132" i="31"/>
  <c r="BT1132" i="31"/>
  <c r="BS1132" i="31"/>
  <c r="BR1132" i="31"/>
  <c r="BP1132" i="31"/>
  <c r="BO1132" i="31"/>
  <c r="BN1132" i="31"/>
  <c r="BM1132" i="31"/>
  <c r="BK1132" i="31"/>
  <c r="BJ1132" i="31"/>
  <c r="BI1132" i="31"/>
  <c r="BH1132" i="31"/>
  <c r="BF1132" i="31"/>
  <c r="BE1132" i="31"/>
  <c r="BD1132" i="31"/>
  <c r="BC1132" i="31"/>
  <c r="BA1132" i="31"/>
  <c r="AZ1132" i="31"/>
  <c r="AY1132" i="31"/>
  <c r="AX1132" i="31"/>
  <c r="AV1132" i="31"/>
  <c r="AU1132" i="31"/>
  <c r="AT1132" i="31"/>
  <c r="AS1132" i="31"/>
  <c r="AQ1132" i="31"/>
  <c r="AP1132" i="31"/>
  <c r="AO1132" i="31"/>
  <c r="AN1132" i="31"/>
  <c r="AL1132" i="31"/>
  <c r="AK1132" i="31"/>
  <c r="AJ1132" i="31"/>
  <c r="AI1132" i="31"/>
  <c r="AG1132" i="31"/>
  <c r="AF1132" i="31"/>
  <c r="AE1132" i="31"/>
  <c r="AD1132" i="31"/>
  <c r="AB1132" i="31"/>
  <c r="AA1132" i="31"/>
  <c r="Z1132" i="31"/>
  <c r="Y1132" i="31"/>
  <c r="DV1129" i="31"/>
  <c r="EA1135" i="31" s="1"/>
  <c r="DU1129" i="31"/>
  <c r="DS1129" i="31"/>
  <c r="DX1135" i="31" s="1"/>
  <c r="DR1129" i="31"/>
  <c r="DQ1129" i="31"/>
  <c r="DP1129" i="31"/>
  <c r="DO1129" i="31"/>
  <c r="CE1129" i="31"/>
  <c r="CJ1135" i="31" s="1"/>
  <c r="CD1129" i="31"/>
  <c r="CI1135" i="31" s="1"/>
  <c r="CC1129" i="31"/>
  <c r="CH1135" i="31" s="1"/>
  <c r="CB1129" i="31"/>
  <c r="CG1135" i="31" s="1"/>
  <c r="BZ1129" i="31"/>
  <c r="CE1135" i="31" s="1"/>
  <c r="BY1129" i="31"/>
  <c r="CD1135" i="31" s="1"/>
  <c r="BX1129" i="31"/>
  <c r="CC1135" i="31" s="1"/>
  <c r="BW1129" i="31"/>
  <c r="CB1135" i="31" s="1"/>
  <c r="BU1129" i="31"/>
  <c r="BZ1135" i="31" s="1"/>
  <c r="BT1129" i="31"/>
  <c r="BY1135" i="31" s="1"/>
  <c r="BS1129" i="31"/>
  <c r="BX1135" i="31" s="1"/>
  <c r="BR1129" i="31"/>
  <c r="BP1129" i="31"/>
  <c r="BU1135" i="31" s="1"/>
  <c r="BO1129" i="31"/>
  <c r="BT1135" i="31" s="1"/>
  <c r="BN1129" i="31"/>
  <c r="BS1135" i="31" s="1"/>
  <c r="BM1129" i="31"/>
  <c r="BR1135" i="31" s="1"/>
  <c r="BK1129" i="31"/>
  <c r="BP1135" i="31" s="1"/>
  <c r="BJ1129" i="31"/>
  <c r="BO1135" i="31" s="1"/>
  <c r="BI1129" i="31"/>
  <c r="BH1129" i="31"/>
  <c r="BM1135" i="31" s="1"/>
  <c r="BF1129" i="31"/>
  <c r="BK1135" i="31" s="1"/>
  <c r="BE1129" i="31"/>
  <c r="BJ1135" i="31" s="1"/>
  <c r="BD1129" i="31"/>
  <c r="BI1135" i="31" s="1"/>
  <c r="BC1129" i="31"/>
  <c r="BH1135" i="31" s="1"/>
  <c r="BA1129" i="31"/>
  <c r="BF1135" i="31" s="1"/>
  <c r="AZ1129" i="31"/>
  <c r="BE1135" i="31" s="1"/>
  <c r="AY1129" i="31"/>
  <c r="BD1135" i="31" s="1"/>
  <c r="AX1129" i="31"/>
  <c r="BC1135" i="31" s="1"/>
  <c r="AV1129" i="31"/>
  <c r="BA1135" i="31" s="1"/>
  <c r="AU1129" i="31"/>
  <c r="AZ1135" i="31" s="1"/>
  <c r="AT1129" i="31"/>
  <c r="AY1135" i="31" s="1"/>
  <c r="AS1129" i="31"/>
  <c r="AX1135" i="31" s="1"/>
  <c r="AQ1129" i="31"/>
  <c r="AV1135" i="31" s="1"/>
  <c r="AP1129" i="31"/>
  <c r="AU1135" i="31" s="1"/>
  <c r="AO1129" i="31"/>
  <c r="AT1135" i="31" s="1"/>
  <c r="AN1129" i="31"/>
  <c r="AS1135" i="31" s="1"/>
  <c r="AL1129" i="31"/>
  <c r="AQ1135" i="31" s="1"/>
  <c r="AK1129" i="31"/>
  <c r="AP1135" i="31" s="1"/>
  <c r="AJ1129" i="31"/>
  <c r="AO1135" i="31" s="1"/>
  <c r="AI1129" i="31"/>
  <c r="AN1135" i="31" s="1"/>
  <c r="AG1129" i="31"/>
  <c r="AL1135" i="31" s="1"/>
  <c r="AF1129" i="31"/>
  <c r="AK1135" i="31" s="1"/>
  <c r="AE1129" i="31"/>
  <c r="AJ1135" i="31" s="1"/>
  <c r="AD1129" i="31"/>
  <c r="AI1135" i="31" s="1"/>
  <c r="AB1129" i="31"/>
  <c r="AG1135" i="31" s="1"/>
  <c r="AA1129" i="31"/>
  <c r="AF1135" i="31" s="1"/>
  <c r="Z1129" i="31"/>
  <c r="AE1135" i="31" s="1"/>
  <c r="Y1129" i="31"/>
  <c r="W1129" i="31"/>
  <c r="AB1135" i="31" s="1"/>
  <c r="V1129" i="31"/>
  <c r="AA1135" i="31" s="1"/>
  <c r="U1129" i="31"/>
  <c r="Z1135" i="31" s="1"/>
  <c r="T1129" i="31"/>
  <c r="Y1135" i="31" s="1"/>
  <c r="DT1128" i="31"/>
  <c r="DY1133" i="31" s="1"/>
  <c r="CA1128" i="31"/>
  <c r="CF1133" i="31" s="1"/>
  <c r="BV1128" i="31"/>
  <c r="CA1133" i="31" s="1"/>
  <c r="BQ1128" i="31"/>
  <c r="BV1133" i="31" s="1"/>
  <c r="BL1128" i="31"/>
  <c r="BQ1133" i="31" s="1"/>
  <c r="BG1128" i="31"/>
  <c r="BL1133" i="31" s="1"/>
  <c r="BB1128" i="31"/>
  <c r="BG1133" i="31" s="1"/>
  <c r="AW1128" i="31"/>
  <c r="BB1133" i="31" s="1"/>
  <c r="AR1128" i="31"/>
  <c r="AW1133" i="31" s="1"/>
  <c r="AM1128" i="31"/>
  <c r="AR1133" i="31" s="1"/>
  <c r="AH1128" i="31"/>
  <c r="AM1133" i="31" s="1"/>
  <c r="AC1128" i="31"/>
  <c r="AH1133" i="31" s="1"/>
  <c r="X1128" i="31"/>
  <c r="AC1133" i="31" s="1"/>
  <c r="I1128" i="31"/>
  <c r="H1128" i="31"/>
  <c r="G1128" i="31"/>
  <c r="F1128" i="31"/>
  <c r="E1128" i="31"/>
  <c r="D1128" i="31"/>
  <c r="DT1127" i="31"/>
  <c r="DY1132" i="31" s="1"/>
  <c r="CA1127" i="31"/>
  <c r="BV1127" i="31"/>
  <c r="CA1132" i="31" s="1"/>
  <c r="BQ1127" i="31"/>
  <c r="BV1132" i="31" s="1"/>
  <c r="BL1127" i="31"/>
  <c r="BQ1132" i="31" s="1"/>
  <c r="BG1127" i="31"/>
  <c r="BL1132" i="31" s="1"/>
  <c r="BB1127" i="31"/>
  <c r="BG1132" i="31" s="1"/>
  <c r="AW1127" i="31"/>
  <c r="BB1132" i="31" s="1"/>
  <c r="AR1127" i="31"/>
  <c r="AW1132" i="31" s="1"/>
  <c r="AM1127" i="31"/>
  <c r="AR1132" i="31" s="1"/>
  <c r="AH1127" i="31"/>
  <c r="AM1132" i="31" s="1"/>
  <c r="AC1127" i="31"/>
  <c r="AH1132" i="31" s="1"/>
  <c r="X1127" i="31"/>
  <c r="AC1132" i="31" s="1"/>
  <c r="S1127" i="31"/>
  <c r="R1127" i="31"/>
  <c r="W1132" i="31" s="1"/>
  <c r="Q1127" i="31"/>
  <c r="P1127" i="31"/>
  <c r="O1127" i="31"/>
  <c r="N1127" i="31"/>
  <c r="M1127" i="31"/>
  <c r="L1127" i="31"/>
  <c r="K1127" i="31"/>
  <c r="J1127" i="31"/>
  <c r="I1127" i="31"/>
  <c r="H1127" i="31"/>
  <c r="G1127" i="31"/>
  <c r="F1127" i="31"/>
  <c r="E1127" i="31"/>
  <c r="D1127" i="31"/>
  <c r="CL1111" i="31"/>
  <c r="DV1105" i="31"/>
  <c r="DU1105" i="31"/>
  <c r="DS1105" i="31"/>
  <c r="DD1105" i="31"/>
  <c r="DC1105" i="31"/>
  <c r="CK1105" i="31"/>
  <c r="CE1105" i="31"/>
  <c r="CJ1111" i="31" s="1"/>
  <c r="CD1105" i="31"/>
  <c r="CI1111" i="31" s="1"/>
  <c r="CC1105" i="31"/>
  <c r="CH1111" i="31" s="1"/>
  <c r="CB1105" i="31"/>
  <c r="CG1111" i="31" s="1"/>
  <c r="BZ1105" i="31"/>
  <c r="BY1105" i="31"/>
  <c r="BX1105" i="31"/>
  <c r="BW1105" i="31"/>
  <c r="BU1105" i="31"/>
  <c r="BT1105" i="31"/>
  <c r="BS1105" i="31"/>
  <c r="BR1105" i="31"/>
  <c r="BP1105" i="31"/>
  <c r="BO1105" i="31"/>
  <c r="BN1105" i="31"/>
  <c r="BM1105" i="31"/>
  <c r="BK1105" i="31"/>
  <c r="BJ1105" i="31"/>
  <c r="BI1105" i="31"/>
  <c r="BH1105" i="31"/>
  <c r="BG1105" i="31"/>
  <c r="BF1105" i="31"/>
  <c r="BE1105" i="31"/>
  <c r="BD1105" i="31"/>
  <c r="BC1105" i="31"/>
  <c r="BB1105" i="31"/>
  <c r="BA1105" i="31"/>
  <c r="AZ1105" i="31"/>
  <c r="AY1105" i="31"/>
  <c r="AX1105" i="31"/>
  <c r="AW1105" i="31"/>
  <c r="AV1105" i="31"/>
  <c r="AU1105" i="31"/>
  <c r="AT1105" i="31"/>
  <c r="AS1105" i="31"/>
  <c r="AR1105" i="31"/>
  <c r="AQ1105" i="31"/>
  <c r="AP1105" i="31"/>
  <c r="AO1105" i="31"/>
  <c r="AN1105" i="31"/>
  <c r="AM1105" i="31"/>
  <c r="AL1105" i="31"/>
  <c r="AK1105" i="31"/>
  <c r="AJ1105" i="31"/>
  <c r="AI1105" i="31"/>
  <c r="AH1105" i="31"/>
  <c r="AG1105" i="31"/>
  <c r="AF1105" i="31"/>
  <c r="AE1105" i="31"/>
  <c r="AD1105" i="31"/>
  <c r="AC1105" i="31"/>
  <c r="AB1105" i="31"/>
  <c r="AA1105" i="31"/>
  <c r="Z1105" i="31"/>
  <c r="Y1105" i="31"/>
  <c r="X1105" i="31"/>
  <c r="W1105" i="31"/>
  <c r="V1105" i="31"/>
  <c r="U1105" i="31"/>
  <c r="T1105" i="31"/>
  <c r="S1105" i="31"/>
  <c r="R1105" i="31"/>
  <c r="Q1105" i="31"/>
  <c r="P1105" i="31"/>
  <c r="O1105" i="31"/>
  <c r="N1105" i="31"/>
  <c r="M1105" i="31"/>
  <c r="L1105" i="31"/>
  <c r="K1105" i="31"/>
  <c r="J1105" i="31"/>
  <c r="I1105" i="31"/>
  <c r="H1105" i="31"/>
  <c r="G1105" i="31"/>
  <c r="F1105" i="31"/>
  <c r="E1105" i="31"/>
  <c r="D1105" i="31"/>
  <c r="DR1104" i="31"/>
  <c r="DQ1104" i="31"/>
  <c r="DP1104" i="31"/>
  <c r="DN1104" i="31"/>
  <c r="DM1104" i="31"/>
  <c r="DL1104" i="31"/>
  <c r="DK1104" i="31"/>
  <c r="DI1104" i="31"/>
  <c r="DH1104" i="31"/>
  <c r="DH1109" i="31" s="1"/>
  <c r="DG1104" i="31"/>
  <c r="DF1104" i="31"/>
  <c r="DB1104" i="31"/>
  <c r="DA1104" i="31"/>
  <c r="CY1104" i="31"/>
  <c r="CX1104" i="31"/>
  <c r="DC1109" i="31" s="1"/>
  <c r="CW1104" i="31"/>
  <c r="CV1104" i="31"/>
  <c r="CT1104" i="31"/>
  <c r="CS1104" i="31"/>
  <c r="CR1104" i="31"/>
  <c r="CQ1104" i="31"/>
  <c r="CO1104" i="31"/>
  <c r="CN1104" i="31"/>
  <c r="CM1104" i="31"/>
  <c r="DR1103" i="31"/>
  <c r="DQ1103" i="31"/>
  <c r="DP1103" i="31"/>
  <c r="DN1103" i="31"/>
  <c r="DM1103" i="31"/>
  <c r="DL1103" i="31"/>
  <c r="DK1103" i="31"/>
  <c r="DI1103" i="31"/>
  <c r="DH1103" i="31"/>
  <c r="DH1108" i="31" s="1"/>
  <c r="DG1103" i="31"/>
  <c r="DF1103" i="31"/>
  <c r="DB1103" i="31"/>
  <c r="DA1103" i="31"/>
  <c r="CY1103" i="31"/>
  <c r="DD1108" i="31" s="1"/>
  <c r="CX1103" i="31"/>
  <c r="DC1108" i="31" s="1"/>
  <c r="CW1103" i="31"/>
  <c r="CV1103" i="31"/>
  <c r="CT1103" i="31"/>
  <c r="CS1103" i="31"/>
  <c r="CR1103" i="31"/>
  <c r="CQ1103" i="31"/>
  <c r="CO1103" i="31"/>
  <c r="CN1103" i="31"/>
  <c r="CM1103" i="31"/>
  <c r="DV1097" i="31"/>
  <c r="DU1097" i="31"/>
  <c r="DS1097" i="31"/>
  <c r="DR1097" i="31"/>
  <c r="DQ1097" i="31"/>
  <c r="DP1097" i="31"/>
  <c r="DN1097" i="31"/>
  <c r="DM1097" i="31"/>
  <c r="DL1097" i="31"/>
  <c r="DK1097" i="31"/>
  <c r="DI1097" i="31"/>
  <c r="DH1097" i="31"/>
  <c r="DG1097" i="31"/>
  <c r="DF1097" i="31"/>
  <c r="DD1097" i="31"/>
  <c r="DC1097" i="31"/>
  <c r="DB1097" i="31"/>
  <c r="DA1097" i="31"/>
  <c r="CY1097" i="31"/>
  <c r="CX1097" i="31"/>
  <c r="CW1097" i="31"/>
  <c r="CV1097" i="31"/>
  <c r="CT1097" i="31"/>
  <c r="CS1097" i="31"/>
  <c r="CR1097" i="31"/>
  <c r="CQ1097" i="31"/>
  <c r="CO1097" i="31"/>
  <c r="CN1097" i="31"/>
  <c r="CM1097" i="31"/>
  <c r="CL1097" i="31"/>
  <c r="CJ1097" i="31"/>
  <c r="CI1097" i="31"/>
  <c r="CH1097" i="31"/>
  <c r="CG1097" i="31"/>
  <c r="CE1097" i="31"/>
  <c r="DV1096" i="31"/>
  <c r="DU1096" i="31"/>
  <c r="DS1096" i="31"/>
  <c r="DR1096" i="31"/>
  <c r="DQ1096" i="31"/>
  <c r="DP1096" i="31"/>
  <c r="DN1096" i="31"/>
  <c r="DM1096" i="31"/>
  <c r="DL1096" i="31"/>
  <c r="DK1096" i="31"/>
  <c r="DI1096" i="31"/>
  <c r="DH1096" i="31"/>
  <c r="DG1096" i="31"/>
  <c r="DF1096" i="31"/>
  <c r="DD1096" i="31"/>
  <c r="DC1096" i="31"/>
  <c r="DB1096" i="31"/>
  <c r="DA1096" i="31"/>
  <c r="CY1096" i="31"/>
  <c r="CX1096" i="31"/>
  <c r="CW1096" i="31"/>
  <c r="CV1096" i="31"/>
  <c r="CT1096" i="31"/>
  <c r="CS1096" i="31"/>
  <c r="CR1096" i="31"/>
  <c r="CQ1096" i="31"/>
  <c r="CO1096" i="31"/>
  <c r="CN1096" i="31"/>
  <c r="CM1096" i="31"/>
  <c r="CL1096" i="31"/>
  <c r="CJ1096" i="31"/>
  <c r="CI1096" i="31"/>
  <c r="CH1096" i="31"/>
  <c r="CG1096" i="31"/>
  <c r="CE1096" i="31"/>
  <c r="DV1093" i="31"/>
  <c r="EA1099" i="31" s="1"/>
  <c r="DU1093" i="31"/>
  <c r="DS1093" i="31"/>
  <c r="DX1099" i="31" s="1"/>
  <c r="DR1093" i="31"/>
  <c r="DQ1093" i="31"/>
  <c r="DP1093" i="31"/>
  <c r="DN1093" i="31"/>
  <c r="DM1093" i="31"/>
  <c r="DL1093" i="31"/>
  <c r="DK1093" i="31"/>
  <c r="DI1093" i="31"/>
  <c r="DH1093" i="31"/>
  <c r="DG1093" i="31"/>
  <c r="DF1093" i="31"/>
  <c r="DD1093" i="31"/>
  <c r="DC1093" i="31"/>
  <c r="DB1093" i="31"/>
  <c r="DA1093" i="31"/>
  <c r="CY1093" i="31"/>
  <c r="CX1093" i="31"/>
  <c r="CW1093" i="31"/>
  <c r="CV1093" i="31"/>
  <c r="CT1093" i="31"/>
  <c r="CS1093" i="31"/>
  <c r="CR1093" i="31"/>
  <c r="CQ1093" i="31"/>
  <c r="CO1093" i="31"/>
  <c r="CN1093" i="31"/>
  <c r="CM1093" i="31"/>
  <c r="CL1093" i="31"/>
  <c r="CJ1093" i="31"/>
  <c r="CI1093" i="31"/>
  <c r="CH1093" i="31"/>
  <c r="CG1093" i="31"/>
  <c r="CE1093" i="31"/>
  <c r="CD1093" i="31"/>
  <c r="CC1093" i="31"/>
  <c r="CB1093" i="31"/>
  <c r="BZ1093" i="31"/>
  <c r="DT1092" i="31"/>
  <c r="DO1092" i="31"/>
  <c r="DJ1092" i="31"/>
  <c r="DE1092" i="31"/>
  <c r="CZ1092" i="31"/>
  <c r="CU1092" i="31"/>
  <c r="CP1092" i="31"/>
  <c r="CK1092" i="31"/>
  <c r="CF1092" i="31"/>
  <c r="AH1092" i="31"/>
  <c r="AM1097" i="31" s="1"/>
  <c r="AM1098" i="31" s="1"/>
  <c r="AG1092" i="31"/>
  <c r="AL1097" i="31" s="1"/>
  <c r="AL1098" i="31" s="1"/>
  <c r="AF1092" i="31"/>
  <c r="AK1097" i="31" s="1"/>
  <c r="AK1098" i="31" s="1"/>
  <c r="AE1092" i="31"/>
  <c r="AJ1097" i="31" s="1"/>
  <c r="AJ1098" i="31" s="1"/>
  <c r="AD1092" i="31"/>
  <c r="AI1097" i="31" s="1"/>
  <c r="AI1098" i="31" s="1"/>
  <c r="AC1092" i="31"/>
  <c r="AH1097" i="31" s="1"/>
  <c r="AB1092" i="31"/>
  <c r="AG1097" i="31" s="1"/>
  <c r="AA1092" i="31"/>
  <c r="AF1097" i="31" s="1"/>
  <c r="Z1092" i="31"/>
  <c r="AE1097" i="31" s="1"/>
  <c r="Y1092" i="31"/>
  <c r="AD1097" i="31" s="1"/>
  <c r="X1092" i="31"/>
  <c r="AC1097" i="31" s="1"/>
  <c r="W1092" i="31"/>
  <c r="AB1097" i="31" s="1"/>
  <c r="V1092" i="31"/>
  <c r="AA1097" i="31" s="1"/>
  <c r="U1092" i="31"/>
  <c r="Z1097" i="31" s="1"/>
  <c r="T1092" i="31"/>
  <c r="Y1097" i="31" s="1"/>
  <c r="S1092" i="31"/>
  <c r="X1097" i="31" s="1"/>
  <c r="R1092" i="31"/>
  <c r="W1097" i="31" s="1"/>
  <c r="Q1092" i="31"/>
  <c r="V1097" i="31" s="1"/>
  <c r="P1092" i="31"/>
  <c r="U1097" i="31" s="1"/>
  <c r="O1092" i="31"/>
  <c r="T1097" i="31" s="1"/>
  <c r="N1092" i="31"/>
  <c r="S1097" i="31" s="1"/>
  <c r="M1092" i="31"/>
  <c r="R1097" i="31" s="1"/>
  <c r="L1092" i="31"/>
  <c r="Q1097" i="31" s="1"/>
  <c r="K1092" i="31"/>
  <c r="P1097" i="31" s="1"/>
  <c r="J1092" i="31"/>
  <c r="O1097" i="31" s="1"/>
  <c r="I1092" i="31"/>
  <c r="N1097" i="31" s="1"/>
  <c r="H1092" i="31"/>
  <c r="M1097" i="31" s="1"/>
  <c r="G1092" i="31"/>
  <c r="L1097" i="31" s="1"/>
  <c r="F1092" i="31"/>
  <c r="K1097" i="31" s="1"/>
  <c r="E1092" i="31"/>
  <c r="J1097" i="31" s="1"/>
  <c r="D1092" i="31"/>
  <c r="I1097" i="31" s="1"/>
  <c r="DT1091" i="31"/>
  <c r="DY1096" i="31" s="1"/>
  <c r="DO1091" i="31"/>
  <c r="DJ1091" i="31"/>
  <c r="DE1091" i="31"/>
  <c r="CZ1091" i="31"/>
  <c r="CU1091" i="31"/>
  <c r="CP1091" i="31"/>
  <c r="CK1091" i="31"/>
  <c r="CF1091" i="31"/>
  <c r="AH1091" i="31"/>
  <c r="AM1096" i="31" s="1"/>
  <c r="AG1091" i="31"/>
  <c r="AL1096" i="31" s="1"/>
  <c r="AF1091" i="31"/>
  <c r="AF1093" i="31" s="1"/>
  <c r="AK1099" i="31" s="1"/>
  <c r="AE1091" i="31"/>
  <c r="AD1091" i="31"/>
  <c r="AD1093" i="31" s="1"/>
  <c r="AI1099" i="31" s="1"/>
  <c r="AC1091" i="31"/>
  <c r="AH1096" i="31" s="1"/>
  <c r="AB1091" i="31"/>
  <c r="AG1096" i="31" s="1"/>
  <c r="AA1091" i="31"/>
  <c r="AF1096" i="31" s="1"/>
  <c r="Z1091" i="31"/>
  <c r="Z1093" i="31" s="1"/>
  <c r="AE1099" i="31" s="1"/>
  <c r="Y1091" i="31"/>
  <c r="X1091" i="31"/>
  <c r="X1093" i="31" s="1"/>
  <c r="AC1099" i="31" s="1"/>
  <c r="W1091" i="31"/>
  <c r="AB1096" i="31" s="1"/>
  <c r="V1091" i="31"/>
  <c r="AA1096" i="31" s="1"/>
  <c r="U1091" i="31"/>
  <c r="Z1096" i="31" s="1"/>
  <c r="T1091" i="31"/>
  <c r="T1093" i="31" s="1"/>
  <c r="Y1099" i="31" s="1"/>
  <c r="S1091" i="31"/>
  <c r="R1091" i="31"/>
  <c r="R1093" i="31" s="1"/>
  <c r="W1099" i="31" s="1"/>
  <c r="Q1091" i="31"/>
  <c r="V1096" i="31" s="1"/>
  <c r="P1091" i="31"/>
  <c r="U1096" i="31" s="1"/>
  <c r="O1091" i="31"/>
  <c r="T1096" i="31" s="1"/>
  <c r="N1091" i="31"/>
  <c r="N1093" i="31" s="1"/>
  <c r="S1099" i="31" s="1"/>
  <c r="M1091" i="31"/>
  <c r="L1091" i="31"/>
  <c r="L1093" i="31" s="1"/>
  <c r="Q1099" i="31" s="1"/>
  <c r="K1091" i="31"/>
  <c r="P1096" i="31" s="1"/>
  <c r="J1091" i="31"/>
  <c r="O1096" i="31" s="1"/>
  <c r="I1091" i="31"/>
  <c r="N1096" i="31" s="1"/>
  <c r="H1091" i="31"/>
  <c r="H1093" i="31" s="1"/>
  <c r="M1099" i="31" s="1"/>
  <c r="G1091" i="31"/>
  <c r="F1091" i="31"/>
  <c r="F1093" i="31" s="1"/>
  <c r="K1099" i="31" s="1"/>
  <c r="E1091" i="31"/>
  <c r="J1096" i="31" s="1"/>
  <c r="D1091" i="31"/>
  <c r="I1096" i="31" s="1"/>
  <c r="DR1085" i="31"/>
  <c r="DQ1085" i="31"/>
  <c r="DP1085" i="31"/>
  <c r="DN1085" i="31"/>
  <c r="DM1085" i="31"/>
  <c r="DL1085" i="31"/>
  <c r="DK1085" i="31"/>
  <c r="DI1085" i="31"/>
  <c r="DH1085" i="31"/>
  <c r="DG1085" i="31"/>
  <c r="DF1085" i="31"/>
  <c r="DD1085" i="31"/>
  <c r="DC1085" i="31"/>
  <c r="DB1085" i="31"/>
  <c r="DA1085" i="31"/>
  <c r="CY1085" i="31"/>
  <c r="CX1085" i="31"/>
  <c r="CW1085" i="31"/>
  <c r="CV1085" i="31"/>
  <c r="CT1085" i="31"/>
  <c r="CS1085" i="31"/>
  <c r="CR1085" i="31"/>
  <c r="CQ1085" i="31"/>
  <c r="CO1085" i="31"/>
  <c r="CN1085" i="31"/>
  <c r="CM1085" i="31"/>
  <c r="CL1085" i="31"/>
  <c r="CJ1085" i="31"/>
  <c r="CI1085" i="31"/>
  <c r="CH1085" i="31"/>
  <c r="CG1085" i="31"/>
  <c r="CE1085" i="31"/>
  <c r="DS1084" i="31"/>
  <c r="DQ1084" i="31"/>
  <c r="DP1084" i="31"/>
  <c r="DN1084" i="31"/>
  <c r="DM1084" i="31"/>
  <c r="DL1084" i="31"/>
  <c r="DK1084" i="31"/>
  <c r="DI1084" i="31"/>
  <c r="DH1084" i="31"/>
  <c r="DG1084" i="31"/>
  <c r="DF1084" i="31"/>
  <c r="DD1084" i="31"/>
  <c r="DC1084" i="31"/>
  <c r="DB1084" i="31"/>
  <c r="DA1084" i="31"/>
  <c r="CY1084" i="31"/>
  <c r="CX1084" i="31"/>
  <c r="CW1084" i="31"/>
  <c r="CV1084" i="31"/>
  <c r="CT1084" i="31"/>
  <c r="CS1084" i="31"/>
  <c r="CR1084" i="31"/>
  <c r="CQ1084" i="31"/>
  <c r="CO1084" i="31"/>
  <c r="CN1084" i="31"/>
  <c r="CM1084" i="31"/>
  <c r="CL1084" i="31"/>
  <c r="CJ1084" i="31"/>
  <c r="CI1084" i="31"/>
  <c r="CH1084" i="31"/>
  <c r="CG1084" i="31"/>
  <c r="CE1084" i="31"/>
  <c r="DQ1081" i="31"/>
  <c r="DP1081" i="31"/>
  <c r="DN1081" i="31"/>
  <c r="DM1081" i="31"/>
  <c r="DL1081" i="31"/>
  <c r="DK1081" i="31"/>
  <c r="DI1081" i="31"/>
  <c r="DH1081" i="31"/>
  <c r="DG1081" i="31"/>
  <c r="DF1081" i="31"/>
  <c r="DD1081" i="31"/>
  <c r="DC1081" i="31"/>
  <c r="DB1081" i="31"/>
  <c r="DA1081" i="31"/>
  <c r="CY1081" i="31"/>
  <c r="CX1081" i="31"/>
  <c r="CW1081" i="31"/>
  <c r="CV1081" i="31"/>
  <c r="CT1081" i="31"/>
  <c r="CS1081" i="31"/>
  <c r="CR1081" i="31"/>
  <c r="CQ1081" i="31"/>
  <c r="CO1081" i="31"/>
  <c r="CN1081" i="31"/>
  <c r="CM1081" i="31"/>
  <c r="CL1081" i="31"/>
  <c r="CJ1081" i="31"/>
  <c r="CI1081" i="31"/>
  <c r="CH1081" i="31"/>
  <c r="CG1081" i="31"/>
  <c r="CE1081" i="31"/>
  <c r="CD1081" i="31"/>
  <c r="CC1081" i="31"/>
  <c r="CB1081" i="31"/>
  <c r="BZ1081" i="31"/>
  <c r="DV1080" i="31"/>
  <c r="DU1080" i="31"/>
  <c r="DS1080" i="31"/>
  <c r="DO1080" i="31"/>
  <c r="DJ1080" i="31"/>
  <c r="DE1080" i="31"/>
  <c r="CZ1080" i="31"/>
  <c r="CU1080" i="31"/>
  <c r="CK1080" i="31"/>
  <c r="CF1080" i="31"/>
  <c r="BR1080" i="31"/>
  <c r="BR1349" i="31" s="1"/>
  <c r="BR46" i="31" s="1"/>
  <c r="BI1080" i="31"/>
  <c r="BH1080" i="31"/>
  <c r="BF1080" i="31"/>
  <c r="BE1080" i="31"/>
  <c r="BE1349" i="31" s="1"/>
  <c r="BE46" i="31" s="1"/>
  <c r="AL1080" i="31"/>
  <c r="AL1349" i="31" s="1"/>
  <c r="AL46" i="31" s="1"/>
  <c r="AK1080" i="31"/>
  <c r="AJ1080" i="31"/>
  <c r="AJ1349" i="31" s="1"/>
  <c r="AJ46" i="31" s="1"/>
  <c r="AI1080" i="31"/>
  <c r="AI1349" i="31" s="1"/>
  <c r="AI46" i="31" s="1"/>
  <c r="AG1080" i="31"/>
  <c r="AG1349" i="31" s="1"/>
  <c r="AG46" i="31" s="1"/>
  <c r="AF1080" i="31"/>
  <c r="AF1349" i="31" s="1"/>
  <c r="AF46" i="31" s="1"/>
  <c r="AE1080" i="31"/>
  <c r="AD1080" i="31"/>
  <c r="AD1349" i="31" s="1"/>
  <c r="AD46" i="31" s="1"/>
  <c r="AB1080" i="31"/>
  <c r="AB1349" i="31" s="1"/>
  <c r="AA1080" i="31"/>
  <c r="AA1349" i="31" s="1"/>
  <c r="AA46" i="31" s="1"/>
  <c r="Z1080" i="31"/>
  <c r="Z1349" i="31" s="1"/>
  <c r="Z46" i="31" s="1"/>
  <c r="Y1080" i="31"/>
  <c r="W1080" i="31"/>
  <c r="W1349" i="31" s="1"/>
  <c r="W46" i="31" s="1"/>
  <c r="V1080" i="31"/>
  <c r="V1349" i="31" s="1"/>
  <c r="U1080" i="31"/>
  <c r="U1349" i="31" s="1"/>
  <c r="U46" i="31" s="1"/>
  <c r="T1080" i="31"/>
  <c r="T1349" i="31" s="1"/>
  <c r="T46" i="31" s="1"/>
  <c r="R1080" i="31"/>
  <c r="R1349" i="31" s="1"/>
  <c r="R46" i="31" s="1"/>
  <c r="Q1080" i="31"/>
  <c r="Q1349" i="31" s="1"/>
  <c r="Q46" i="31" s="1"/>
  <c r="P1080" i="31"/>
  <c r="P1349" i="31" s="1"/>
  <c r="O1080" i="31"/>
  <c r="O1349" i="31" s="1"/>
  <c r="O46" i="31" s="1"/>
  <c r="M1080" i="31"/>
  <c r="L1080" i="31"/>
  <c r="L1349" i="31" s="1"/>
  <c r="L46" i="31" s="1"/>
  <c r="K1080" i="31"/>
  <c r="K1349" i="31" s="1"/>
  <c r="K46" i="31" s="1"/>
  <c r="J1080" i="31"/>
  <c r="J1349" i="31" s="1"/>
  <c r="H1080" i="31"/>
  <c r="G1080" i="31"/>
  <c r="F1080" i="31"/>
  <c r="E1080" i="31"/>
  <c r="D1080" i="31"/>
  <c r="DV1079" i="31"/>
  <c r="DU1079" i="31"/>
  <c r="DR1079" i="31"/>
  <c r="DO1079" i="31"/>
  <c r="DJ1079" i="31"/>
  <c r="DE1079" i="31"/>
  <c r="CZ1079" i="31"/>
  <c r="CU1079" i="31"/>
  <c r="CK1079" i="31"/>
  <c r="CF1079" i="31"/>
  <c r="BR1079" i="31"/>
  <c r="BR1348" i="31" s="1"/>
  <c r="BR45" i="31" s="1"/>
  <c r="BI1079" i="31"/>
  <c r="BH1079" i="31"/>
  <c r="BF1079" i="31"/>
  <c r="BE1079" i="31"/>
  <c r="BE1348" i="31" s="1"/>
  <c r="BE45" i="31" s="1"/>
  <c r="AL1079" i="31"/>
  <c r="AK1079" i="31"/>
  <c r="AK1348" i="31" s="1"/>
  <c r="AK45" i="31" s="1"/>
  <c r="AJ1079" i="31"/>
  <c r="AI1079" i="31"/>
  <c r="AG1079" i="31"/>
  <c r="AG1348" i="31" s="1"/>
  <c r="AG45" i="31" s="1"/>
  <c r="AF1079" i="31"/>
  <c r="AE1079" i="31"/>
  <c r="AE1348" i="31" s="1"/>
  <c r="AE45" i="31" s="1"/>
  <c r="AD1079" i="31"/>
  <c r="AB1079" i="31"/>
  <c r="AB1348" i="31" s="1"/>
  <c r="AB45" i="31" s="1"/>
  <c r="AA1079" i="31"/>
  <c r="AA1348" i="31" s="1"/>
  <c r="AA45" i="31" s="1"/>
  <c r="Z1079" i="31"/>
  <c r="Y1079" i="31"/>
  <c r="Y1348" i="31" s="1"/>
  <c r="Y45" i="31" s="1"/>
  <c r="W1079" i="31"/>
  <c r="V1079" i="31"/>
  <c r="V1348" i="31" s="1"/>
  <c r="V45" i="31" s="1"/>
  <c r="U1079" i="31"/>
  <c r="U1348" i="31" s="1"/>
  <c r="U45" i="31" s="1"/>
  <c r="T1079" i="31"/>
  <c r="R1079" i="31"/>
  <c r="Q1079" i="31"/>
  <c r="P1079" i="31"/>
  <c r="P1348" i="31" s="1"/>
  <c r="P45" i="31" s="1"/>
  <c r="O1079" i="31"/>
  <c r="O1348" i="31" s="1"/>
  <c r="O45" i="31" s="1"/>
  <c r="M1079" i="31"/>
  <c r="M1348" i="31" s="1"/>
  <c r="M45" i="31" s="1"/>
  <c r="L1079" i="31"/>
  <c r="K1079" i="31"/>
  <c r="J1079" i="31"/>
  <c r="J1348" i="31" s="1"/>
  <c r="J45" i="31" s="1"/>
  <c r="H1079" i="31"/>
  <c r="G1079" i="31"/>
  <c r="F1079" i="31"/>
  <c r="E1079" i="31"/>
  <c r="D1079" i="31"/>
  <c r="DU1074" i="31"/>
  <c r="DU1069" i="31" s="1"/>
  <c r="DC1074" i="31"/>
  <c r="DB1074" i="31"/>
  <c r="DA1074" i="31"/>
  <c r="CY1074" i="31"/>
  <c r="CX1074" i="31"/>
  <c r="CW1074" i="31"/>
  <c r="CV1074" i="31"/>
  <c r="CT1074" i="31"/>
  <c r="CS1074" i="31"/>
  <c r="CR1074" i="31"/>
  <c r="CQ1074" i="31"/>
  <c r="CO1074" i="31"/>
  <c r="CN1074" i="31"/>
  <c r="CM1074" i="31"/>
  <c r="CL1074" i="31"/>
  <c r="BP1074" i="31"/>
  <c r="BO1074" i="31"/>
  <c r="BN1074" i="31"/>
  <c r="BM1074" i="31"/>
  <c r="BK1074" i="31"/>
  <c r="BJ1074" i="31"/>
  <c r="BI1074" i="31"/>
  <c r="BI1075" i="31" s="1"/>
  <c r="BH1074" i="31"/>
  <c r="BH1075" i="31" s="1"/>
  <c r="BF1074" i="31"/>
  <c r="BF1075" i="31" s="1"/>
  <c r="BE1074" i="31"/>
  <c r="BE1075" i="31" s="1"/>
  <c r="BD1074" i="31"/>
  <c r="BD1075" i="31" s="1"/>
  <c r="BC1074" i="31"/>
  <c r="BC1075" i="31" s="1"/>
  <c r="BA1074" i="31"/>
  <c r="BA1075" i="31" s="1"/>
  <c r="AZ1074" i="31"/>
  <c r="AZ1075" i="31" s="1"/>
  <c r="AY1074" i="31"/>
  <c r="AY1075" i="31" s="1"/>
  <c r="AX1074" i="31"/>
  <c r="AX1075" i="31" s="1"/>
  <c r="AV1074" i="31"/>
  <c r="AV1075" i="31" s="1"/>
  <c r="AU1074" i="31"/>
  <c r="AU1075" i="31" s="1"/>
  <c r="AT1074" i="31"/>
  <c r="AT1075" i="31" s="1"/>
  <c r="AS1074" i="31"/>
  <c r="AS1075" i="31" s="1"/>
  <c r="AQ1074" i="31"/>
  <c r="AQ1075" i="31" s="1"/>
  <c r="AP1074" i="31"/>
  <c r="AP1075" i="31" s="1"/>
  <c r="AO1074" i="31"/>
  <c r="AO1075" i="31" s="1"/>
  <c r="AN1074" i="31"/>
  <c r="AN1075" i="31" s="1"/>
  <c r="AL1074" i="31"/>
  <c r="AL1075" i="31" s="1"/>
  <c r="AK1074" i="31"/>
  <c r="AK1075" i="31" s="1"/>
  <c r="AJ1074" i="31"/>
  <c r="AJ1075" i="31" s="1"/>
  <c r="AI1074" i="31"/>
  <c r="AI1075" i="31" s="1"/>
  <c r="AG1074" i="31"/>
  <c r="AF1074" i="31"/>
  <c r="AE1074" i="31"/>
  <c r="AD1074" i="31"/>
  <c r="AB1074" i="31"/>
  <c r="AA1074" i="31"/>
  <c r="Z1074" i="31"/>
  <c r="Y1074" i="31"/>
  <c r="W1074" i="31"/>
  <c r="V1074" i="31"/>
  <c r="U1074" i="31"/>
  <c r="T1074" i="31"/>
  <c r="R1074" i="31"/>
  <c r="Q1074" i="31"/>
  <c r="P1074" i="31"/>
  <c r="O1074" i="31"/>
  <c r="M1074" i="31"/>
  <c r="L1074" i="31"/>
  <c r="K1074" i="31"/>
  <c r="J1074" i="31"/>
  <c r="BP1073" i="31"/>
  <c r="BO1073" i="31"/>
  <c r="BN1073" i="31"/>
  <c r="BM1073" i="31"/>
  <c r="BK1073" i="31"/>
  <c r="BJ1073" i="31"/>
  <c r="BI1073" i="31"/>
  <c r="BH1073" i="31"/>
  <c r="BF1073" i="31"/>
  <c r="BE1073" i="31"/>
  <c r="BD1073" i="31"/>
  <c r="BC1073" i="31"/>
  <c r="BA1073" i="31"/>
  <c r="AZ1073" i="31"/>
  <c r="AY1073" i="31"/>
  <c r="AX1073" i="31"/>
  <c r="AV1073" i="31"/>
  <c r="AU1073" i="31"/>
  <c r="AT1073" i="31"/>
  <c r="AS1073" i="31"/>
  <c r="AQ1073" i="31"/>
  <c r="AP1073" i="31"/>
  <c r="AO1073" i="31"/>
  <c r="AN1073" i="31"/>
  <c r="AL1073" i="31"/>
  <c r="AK1073" i="31"/>
  <c r="AJ1073" i="31"/>
  <c r="AI1073" i="31"/>
  <c r="AG1073" i="31"/>
  <c r="AF1073" i="31"/>
  <c r="AE1073" i="31"/>
  <c r="AD1073" i="31"/>
  <c r="AB1073" i="31"/>
  <c r="AA1073" i="31"/>
  <c r="Z1073" i="31"/>
  <c r="Y1073" i="31"/>
  <c r="W1073" i="31"/>
  <c r="V1073" i="31"/>
  <c r="U1073" i="31"/>
  <c r="T1073" i="31"/>
  <c r="R1073" i="31"/>
  <c r="Q1073" i="31"/>
  <c r="P1073" i="31"/>
  <c r="O1073" i="31"/>
  <c r="M1073" i="31"/>
  <c r="L1073" i="31"/>
  <c r="K1073" i="31"/>
  <c r="J1073" i="31"/>
  <c r="BP1070" i="31"/>
  <c r="BO1070" i="31"/>
  <c r="BN1070" i="31"/>
  <c r="BM1070" i="31"/>
  <c r="BK1070" i="31"/>
  <c r="BJ1070" i="31"/>
  <c r="BI1070" i="31"/>
  <c r="BH1070" i="31"/>
  <c r="BF1070" i="31"/>
  <c r="BE1070" i="31"/>
  <c r="BD1070" i="31"/>
  <c r="BC1070" i="31"/>
  <c r="BA1070" i="31"/>
  <c r="AZ1070" i="31"/>
  <c r="AY1070" i="31"/>
  <c r="AX1070" i="31"/>
  <c r="AV1070" i="31"/>
  <c r="AU1070" i="31"/>
  <c r="AT1070" i="31"/>
  <c r="AS1070" i="31"/>
  <c r="AQ1070" i="31"/>
  <c r="AP1070" i="31"/>
  <c r="AO1070" i="31"/>
  <c r="AN1070" i="31"/>
  <c r="AL1070" i="31"/>
  <c r="AK1070" i="31"/>
  <c r="AJ1070" i="31"/>
  <c r="AI1070" i="31"/>
  <c r="AG1070" i="31"/>
  <c r="AF1070" i="31"/>
  <c r="AE1070" i="31"/>
  <c r="AD1070" i="31"/>
  <c r="AB1070" i="31"/>
  <c r="AA1070" i="31"/>
  <c r="Z1070" i="31"/>
  <c r="Y1070" i="31"/>
  <c r="W1070" i="31"/>
  <c r="V1070" i="31"/>
  <c r="U1070" i="31"/>
  <c r="T1070" i="31"/>
  <c r="R1070" i="31"/>
  <c r="Q1070" i="31"/>
  <c r="P1070" i="31"/>
  <c r="O1070" i="31"/>
  <c r="M1070" i="31"/>
  <c r="L1070" i="31"/>
  <c r="K1070" i="31"/>
  <c r="J1070" i="31"/>
  <c r="H1070" i="31"/>
  <c r="G1070" i="31"/>
  <c r="F1070" i="31"/>
  <c r="E1070" i="31"/>
  <c r="D1070" i="31"/>
  <c r="BQ1069" i="31"/>
  <c r="BL1069" i="31"/>
  <c r="BG1069" i="31"/>
  <c r="BB1069" i="31"/>
  <c r="AW1069" i="31"/>
  <c r="AR1069" i="31"/>
  <c r="AM1069" i="31"/>
  <c r="AH1069" i="31"/>
  <c r="AC1069" i="31"/>
  <c r="X1069" i="31"/>
  <c r="S1069" i="31"/>
  <c r="N1069" i="31"/>
  <c r="I1069" i="31"/>
  <c r="DU1068" i="31"/>
  <c r="BT1068" i="31"/>
  <c r="BY1068" i="31" s="1"/>
  <c r="BS1068" i="31"/>
  <c r="BR1068" i="31"/>
  <c r="BQ1068" i="31"/>
  <c r="BV1068" i="31" s="1"/>
  <c r="BL1068" i="31"/>
  <c r="BG1068" i="31"/>
  <c r="BB1068" i="31"/>
  <c r="AW1068" i="31"/>
  <c r="AR1068" i="31"/>
  <c r="AM1068" i="31"/>
  <c r="AH1068" i="31"/>
  <c r="AC1068" i="31"/>
  <c r="X1068" i="31"/>
  <c r="S1068" i="31"/>
  <c r="N1068" i="31"/>
  <c r="I1068" i="31"/>
  <c r="I1073" i="31" s="1"/>
  <c r="DU1063" i="31"/>
  <c r="DU1058" i="31" s="1"/>
  <c r="DC1063" i="31"/>
  <c r="DB1063" i="31"/>
  <c r="DA1063" i="31"/>
  <c r="CY1063" i="31"/>
  <c r="CX1063" i="31"/>
  <c r="CW1063" i="31"/>
  <c r="CV1063" i="31"/>
  <c r="CT1063" i="31"/>
  <c r="CS1063" i="31"/>
  <c r="CR1063" i="31"/>
  <c r="CQ1063" i="31"/>
  <c r="CO1063" i="31"/>
  <c r="CN1063" i="31"/>
  <c r="CM1063" i="31"/>
  <c r="CL1063" i="31"/>
  <c r="BI1063" i="31"/>
  <c r="BF1063" i="31"/>
  <c r="BF1058" i="31" s="1"/>
  <c r="BE1063" i="31"/>
  <c r="BE1058" i="31" s="1"/>
  <c r="BD1063" i="31"/>
  <c r="BD1058" i="31" s="1"/>
  <c r="BA1063" i="31"/>
  <c r="BA1064" i="31" s="1"/>
  <c r="AZ1063" i="31"/>
  <c r="AZ1064" i="31" s="1"/>
  <c r="AY1063" i="31"/>
  <c r="AY1064" i="31" s="1"/>
  <c r="AX1063" i="31"/>
  <c r="AX1064" i="31" s="1"/>
  <c r="BH1062" i="31"/>
  <c r="BC1062" i="31"/>
  <c r="BA1062" i="31"/>
  <c r="AZ1062" i="31"/>
  <c r="AY1062" i="31"/>
  <c r="AX1062" i="31"/>
  <c r="BJ1059" i="31"/>
  <c r="BA1059" i="31"/>
  <c r="BA1065" i="31" s="1"/>
  <c r="AZ1059" i="31"/>
  <c r="AZ1065" i="31" s="1"/>
  <c r="AY1059" i="31"/>
  <c r="AY1065" i="31" s="1"/>
  <c r="AX1059" i="31"/>
  <c r="AX1065" i="31" s="1"/>
  <c r="BC1058" i="31"/>
  <c r="BB1058" i="31"/>
  <c r="BB1063" i="31" s="1"/>
  <c r="BB1064" i="31" s="1"/>
  <c r="DU1057" i="31"/>
  <c r="BO1057" i="31"/>
  <c r="BT1057" i="31" s="1"/>
  <c r="BY1057" i="31" s="1"/>
  <c r="CD1057" i="31" s="1"/>
  <c r="CI1057" i="31" s="1"/>
  <c r="CN1057" i="31" s="1"/>
  <c r="CS1057" i="31" s="1"/>
  <c r="CX1057" i="31" s="1"/>
  <c r="DC1057" i="31" s="1"/>
  <c r="BM1057" i="31"/>
  <c r="BR1057" i="31" s="1"/>
  <c r="BW1057" i="31" s="1"/>
  <c r="BF1057" i="31"/>
  <c r="BK1057" i="31" s="1"/>
  <c r="BE1057" i="31"/>
  <c r="BJ1062" i="31" s="1"/>
  <c r="BD1057" i="31"/>
  <c r="BI1057" i="31" s="1"/>
  <c r="BN1057" i="31" s="1"/>
  <c r="BS1057" i="31" s="1"/>
  <c r="BX1057" i="31" s="1"/>
  <c r="CC1057" i="31" s="1"/>
  <c r="CH1057" i="31" s="1"/>
  <c r="CM1057" i="31" s="1"/>
  <c r="CR1057" i="31" s="1"/>
  <c r="CW1057" i="31" s="1"/>
  <c r="DB1057" i="31" s="1"/>
  <c r="BB1057" i="31"/>
  <c r="BB1062" i="31" s="1"/>
  <c r="BA1054" i="31"/>
  <c r="AZ1054" i="31"/>
  <c r="AY1054" i="31"/>
  <c r="AX1054" i="31"/>
  <c r="AW1054" i="31"/>
  <c r="AV1054" i="31"/>
  <c r="AU1054" i="31"/>
  <c r="AT1054" i="31"/>
  <c r="AS1054" i="31"/>
  <c r="DU1052" i="31"/>
  <c r="DU1047" i="31" s="1"/>
  <c r="DC1052" i="31"/>
  <c r="DB1052" i="31"/>
  <c r="DA1052" i="31"/>
  <c r="CY1052" i="31"/>
  <c r="CX1052" i="31"/>
  <c r="CW1052" i="31"/>
  <c r="CV1052" i="31"/>
  <c r="CT1052" i="31"/>
  <c r="CS1052" i="31"/>
  <c r="CR1052" i="31"/>
  <c r="CQ1052" i="31"/>
  <c r="CO1052" i="31"/>
  <c r="CN1052" i="31"/>
  <c r="CM1052" i="31"/>
  <c r="CL1052" i="31"/>
  <c r="BI1052" i="31"/>
  <c r="BI1053" i="31" s="1"/>
  <c r="BH1052" i="31"/>
  <c r="BH1053" i="31" s="1"/>
  <c r="BF1052" i="31"/>
  <c r="BE1052" i="31"/>
  <c r="BI1051" i="31"/>
  <c r="BH1051" i="31"/>
  <c r="BJ1048" i="31"/>
  <c r="BI1048" i="31"/>
  <c r="BH1048" i="31"/>
  <c r="BD1048" i="31"/>
  <c r="BD1054" i="31" s="1"/>
  <c r="BC1048" i="31"/>
  <c r="BC1054" i="31" s="1"/>
  <c r="AW1048" i="31"/>
  <c r="AR1048" i="31"/>
  <c r="DU1046" i="31"/>
  <c r="BO1046" i="31"/>
  <c r="BT1046" i="31" s="1"/>
  <c r="BN1046" i="31"/>
  <c r="BM1046" i="31"/>
  <c r="BR1046" i="31" s="1"/>
  <c r="BA1046" i="31"/>
  <c r="BF1046" i="31" s="1"/>
  <c r="AZ1046" i="31"/>
  <c r="BE1046" i="31" s="1"/>
  <c r="BJ1051" i="31" s="1"/>
  <c r="AY1046" i="31"/>
  <c r="AY1047" i="31" s="1"/>
  <c r="BD1052" i="31" s="1"/>
  <c r="BD1053" i="31" s="1"/>
  <c r="AX1046" i="31"/>
  <c r="AV1046" i="31"/>
  <c r="AV1047" i="31" s="1"/>
  <c r="AU1046" i="31"/>
  <c r="AT1046" i="31"/>
  <c r="AT1047" i="31" s="1"/>
  <c r="AS1046" i="31"/>
  <c r="AS1047" i="31" s="1"/>
  <c r="AQ1046" i="31"/>
  <c r="AP1046" i="31"/>
  <c r="AP1047" i="31" s="1"/>
  <c r="AO1046" i="31"/>
  <c r="AN1046" i="31"/>
  <c r="DU1041" i="31"/>
  <c r="DU1036" i="31" s="1"/>
  <c r="DC1041" i="31"/>
  <c r="DB1041" i="31"/>
  <c r="DA1041" i="31"/>
  <c r="CY1041" i="31"/>
  <c r="CX1041" i="31"/>
  <c r="CW1041" i="31"/>
  <c r="CV1041" i="31"/>
  <c r="CT1041" i="31"/>
  <c r="CS1041" i="31"/>
  <c r="CR1041" i="31"/>
  <c r="CQ1041" i="31"/>
  <c r="CO1041" i="31"/>
  <c r="CN1041" i="31"/>
  <c r="CM1041" i="31"/>
  <c r="CL1041" i="31"/>
  <c r="BP1041" i="31"/>
  <c r="BO1041" i="31"/>
  <c r="BN1041" i="31"/>
  <c r="BM1041" i="31"/>
  <c r="BK1041" i="31"/>
  <c r="BJ1041" i="31"/>
  <c r="BI1041" i="31"/>
  <c r="BI1042" i="31" s="1"/>
  <c r="BH1041" i="31"/>
  <c r="BH1042" i="31" s="1"/>
  <c r="BF1041" i="31"/>
  <c r="BF1042" i="31" s="1"/>
  <c r="BE1041" i="31"/>
  <c r="BE1042" i="31" s="1"/>
  <c r="BD1041" i="31"/>
  <c r="BD1042" i="31" s="1"/>
  <c r="BC1041" i="31"/>
  <c r="BC1042" i="31" s="1"/>
  <c r="BA1041" i="31"/>
  <c r="BA1042" i="31" s="1"/>
  <c r="AZ1041" i="31"/>
  <c r="AZ1042" i="31" s="1"/>
  <c r="AY1041" i="31"/>
  <c r="AY1042" i="31" s="1"/>
  <c r="AX1041" i="31"/>
  <c r="AX1042" i="31" s="1"/>
  <c r="AV1041" i="31"/>
  <c r="AV1042" i="31" s="1"/>
  <c r="AU1041" i="31"/>
  <c r="AU1042" i="31" s="1"/>
  <c r="AT1041" i="31"/>
  <c r="AT1042" i="31" s="1"/>
  <c r="AS1041" i="31"/>
  <c r="AS1042" i="31" s="1"/>
  <c r="AQ1041" i="31"/>
  <c r="AQ1042" i="31" s="1"/>
  <c r="AP1041" i="31"/>
  <c r="AP1042" i="31" s="1"/>
  <c r="AO1041" i="31"/>
  <c r="AO1042" i="31" s="1"/>
  <c r="AN1041" i="31"/>
  <c r="AN1042" i="31" s="1"/>
  <c r="AL1041" i="31"/>
  <c r="AL1042" i="31" s="1"/>
  <c r="AK1041" i="31"/>
  <c r="AK1042" i="31" s="1"/>
  <c r="AJ1041" i="31"/>
  <c r="AJ1042" i="31" s="1"/>
  <c r="AI1041" i="31"/>
  <c r="AI1042" i="31" s="1"/>
  <c r="AG1041" i="31"/>
  <c r="AF1041" i="31"/>
  <c r="AE1041" i="31"/>
  <c r="AD1041" i="31"/>
  <c r="AB1041" i="31"/>
  <c r="AA1041" i="31"/>
  <c r="Z1041" i="31"/>
  <c r="Y1041" i="31"/>
  <c r="W1041" i="31"/>
  <c r="V1041" i="31"/>
  <c r="U1041" i="31"/>
  <c r="T1041" i="31"/>
  <c r="R1041" i="31"/>
  <c r="Q1041" i="31"/>
  <c r="P1041" i="31"/>
  <c r="O1041" i="31"/>
  <c r="M1041" i="31"/>
  <c r="L1041" i="31"/>
  <c r="K1041" i="31"/>
  <c r="J1041" i="31"/>
  <c r="BP1040" i="31"/>
  <c r="BO1040" i="31"/>
  <c r="BN1040" i="31"/>
  <c r="BM1040" i="31"/>
  <c r="BK1040" i="31"/>
  <c r="BJ1040" i="31"/>
  <c r="BI1040" i="31"/>
  <c r="BH1040" i="31"/>
  <c r="BF1040" i="31"/>
  <c r="BE1040" i="31"/>
  <c r="BD1040" i="31"/>
  <c r="BC1040" i="31"/>
  <c r="BA1040" i="31"/>
  <c r="AZ1040" i="31"/>
  <c r="AY1040" i="31"/>
  <c r="AX1040" i="31"/>
  <c r="AV1040" i="31"/>
  <c r="AU1040" i="31"/>
  <c r="AT1040" i="31"/>
  <c r="AS1040" i="31"/>
  <c r="AQ1040" i="31"/>
  <c r="AP1040" i="31"/>
  <c r="AO1040" i="31"/>
  <c r="AN1040" i="31"/>
  <c r="AL1040" i="31"/>
  <c r="AK1040" i="31"/>
  <c r="AJ1040" i="31"/>
  <c r="AI1040" i="31"/>
  <c r="AG1040" i="31"/>
  <c r="AF1040" i="31"/>
  <c r="AE1040" i="31"/>
  <c r="AD1040" i="31"/>
  <c r="AB1040" i="31"/>
  <c r="AA1040" i="31"/>
  <c r="Z1040" i="31"/>
  <c r="Y1040" i="31"/>
  <c r="W1040" i="31"/>
  <c r="V1040" i="31"/>
  <c r="U1040" i="31"/>
  <c r="T1040" i="31"/>
  <c r="R1040" i="31"/>
  <c r="Q1040" i="31"/>
  <c r="P1040" i="31"/>
  <c r="O1040" i="31"/>
  <c r="M1040" i="31"/>
  <c r="L1040" i="31"/>
  <c r="K1040" i="31"/>
  <c r="J1040" i="31"/>
  <c r="BP1037" i="31"/>
  <c r="BO1037" i="31"/>
  <c r="BN1037" i="31"/>
  <c r="BM1037" i="31"/>
  <c r="BK1037" i="31"/>
  <c r="BJ1037" i="31"/>
  <c r="BI1037" i="31"/>
  <c r="BH1037" i="31"/>
  <c r="BF1037" i="31"/>
  <c r="BE1037" i="31"/>
  <c r="BD1037" i="31"/>
  <c r="BC1037" i="31"/>
  <c r="BA1037" i="31"/>
  <c r="AZ1037" i="31"/>
  <c r="AY1037" i="31"/>
  <c r="AX1037" i="31"/>
  <c r="AV1037" i="31"/>
  <c r="AU1037" i="31"/>
  <c r="AT1037" i="31"/>
  <c r="AS1037" i="31"/>
  <c r="AQ1037" i="31"/>
  <c r="AP1037" i="31"/>
  <c r="AO1037" i="31"/>
  <c r="AN1037" i="31"/>
  <c r="AL1037" i="31"/>
  <c r="AK1037" i="31"/>
  <c r="AJ1037" i="31"/>
  <c r="AI1037" i="31"/>
  <c r="AG1037" i="31"/>
  <c r="AF1037" i="31"/>
  <c r="AE1037" i="31"/>
  <c r="AD1037" i="31"/>
  <c r="AB1037" i="31"/>
  <c r="AA1037" i="31"/>
  <c r="Z1037" i="31"/>
  <c r="Y1037" i="31"/>
  <c r="W1037" i="31"/>
  <c r="V1037" i="31"/>
  <c r="U1037" i="31"/>
  <c r="T1037" i="31"/>
  <c r="R1037" i="31"/>
  <c r="Q1037" i="31"/>
  <c r="P1037" i="31"/>
  <c r="O1037" i="31"/>
  <c r="M1037" i="31"/>
  <c r="L1037" i="31"/>
  <c r="K1037" i="31"/>
  <c r="J1037" i="31"/>
  <c r="H1037" i="31"/>
  <c r="G1037" i="31"/>
  <c r="F1037" i="31"/>
  <c r="E1037" i="31"/>
  <c r="D1037" i="31"/>
  <c r="BQ1036" i="31"/>
  <c r="BL1036" i="31"/>
  <c r="BG1036" i="31"/>
  <c r="BB1036" i="31"/>
  <c r="AW1036" i="31"/>
  <c r="AR1036" i="31"/>
  <c r="AM1036" i="31"/>
  <c r="AH1036" i="31"/>
  <c r="AC1036" i="31"/>
  <c r="X1036" i="31"/>
  <c r="S1036" i="31"/>
  <c r="N1036" i="31"/>
  <c r="I1036" i="31"/>
  <c r="I1041" i="31" s="1"/>
  <c r="DU1035" i="31"/>
  <c r="BT1035" i="31"/>
  <c r="BY1035" i="31" s="1"/>
  <c r="CD1035" i="31" s="1"/>
  <c r="CI1035" i="31" s="1"/>
  <c r="BS1035" i="31"/>
  <c r="BX1035" i="31" s="1"/>
  <c r="CC1035" i="31" s="1"/>
  <c r="BR1035" i="31"/>
  <c r="BW1035" i="31" s="1"/>
  <c r="CB1035" i="31" s="1"/>
  <c r="BQ1035" i="31"/>
  <c r="BL1035" i="31"/>
  <c r="BG1035" i="31"/>
  <c r="BB1035" i="31"/>
  <c r="AW1035" i="31"/>
  <c r="AR1035" i="31"/>
  <c r="AM1035" i="31"/>
  <c r="AH1035" i="31"/>
  <c r="AC1035" i="31"/>
  <c r="X1035" i="31"/>
  <c r="S1035" i="31"/>
  <c r="N1035" i="31"/>
  <c r="I1035" i="31"/>
  <c r="I1040" i="31" s="1"/>
  <c r="DU1031" i="31"/>
  <c r="DU1029" i="31"/>
  <c r="DU1030" i="31" s="1"/>
  <c r="DU1028" i="31"/>
  <c r="DU1020" i="31"/>
  <c r="DU1018" i="31"/>
  <c r="DU1013" i="31" s="1"/>
  <c r="DC1018" i="31"/>
  <c r="DB1018" i="31"/>
  <c r="DA1018" i="31"/>
  <c r="CY1018" i="31"/>
  <c r="CX1018" i="31"/>
  <c r="CW1018" i="31"/>
  <c r="CV1018" i="31"/>
  <c r="CT1018" i="31"/>
  <c r="CS1018" i="31"/>
  <c r="CR1018" i="31"/>
  <c r="CQ1018" i="31"/>
  <c r="CO1018" i="31"/>
  <c r="CN1018" i="31"/>
  <c r="CM1018" i="31"/>
  <c r="CL1018" i="31"/>
  <c r="BI1018" i="31"/>
  <c r="BF1018" i="31"/>
  <c r="BF1013" i="31" s="1"/>
  <c r="BE1018" i="31"/>
  <c r="BE1013" i="31" s="1"/>
  <c r="BD1018" i="31"/>
  <c r="BD1013" i="31" s="1"/>
  <c r="BA1018" i="31"/>
  <c r="BA1019" i="31" s="1"/>
  <c r="AZ1018" i="31"/>
  <c r="AZ1019" i="31" s="1"/>
  <c r="AY1018" i="31"/>
  <c r="AY1019" i="31" s="1"/>
  <c r="AX1018" i="31"/>
  <c r="AX1019" i="31" s="1"/>
  <c r="BH1017" i="31"/>
  <c r="BC1017" i="31"/>
  <c r="BA1017" i="31"/>
  <c r="AZ1017" i="31"/>
  <c r="AY1017" i="31"/>
  <c r="AX1017" i="31"/>
  <c r="BJ1014" i="31"/>
  <c r="BA1014" i="31"/>
  <c r="BA1020" i="31" s="1"/>
  <c r="AZ1014" i="31"/>
  <c r="AZ1020" i="31" s="1"/>
  <c r="AY1014" i="31"/>
  <c r="AX1014" i="31"/>
  <c r="AX1020" i="31" s="1"/>
  <c r="BC1013" i="31"/>
  <c r="BB1013" i="31"/>
  <c r="BB1018" i="31" s="1"/>
  <c r="BB1019" i="31" s="1"/>
  <c r="DU1012" i="31"/>
  <c r="BO1012" i="31"/>
  <c r="BT1012" i="31" s="1"/>
  <c r="BY1012" i="31" s="1"/>
  <c r="CD1012" i="31" s="1"/>
  <c r="CI1012" i="31" s="1"/>
  <c r="CN1012" i="31" s="1"/>
  <c r="CS1012" i="31" s="1"/>
  <c r="CX1012" i="31" s="1"/>
  <c r="DC1012" i="31" s="1"/>
  <c r="BM1012" i="31"/>
  <c r="BR1012" i="31" s="1"/>
  <c r="BF1012" i="31"/>
  <c r="BK1012" i="31" s="1"/>
  <c r="BE1012" i="31"/>
  <c r="BJ1017" i="31" s="1"/>
  <c r="BD1012" i="31"/>
  <c r="BI1012" i="31" s="1"/>
  <c r="BN1012" i="31" s="1"/>
  <c r="BS1012" i="31" s="1"/>
  <c r="BX1012" i="31" s="1"/>
  <c r="CC1012" i="31" s="1"/>
  <c r="CH1012" i="31" s="1"/>
  <c r="CM1012" i="31" s="1"/>
  <c r="CR1012" i="31" s="1"/>
  <c r="CW1012" i="31" s="1"/>
  <c r="DB1012" i="31" s="1"/>
  <c r="BB1012" i="31"/>
  <c r="BB1017" i="31" s="1"/>
  <c r="DU1009" i="31"/>
  <c r="BA1009" i="31"/>
  <c r="AZ1009" i="31"/>
  <c r="AY1009" i="31"/>
  <c r="AX1009" i="31"/>
  <c r="AW1009" i="31"/>
  <c r="AV1009" i="31"/>
  <c r="AU1009" i="31"/>
  <c r="AT1009" i="31"/>
  <c r="AS1009" i="31"/>
  <c r="DU1007" i="31"/>
  <c r="DU1002" i="31" s="1"/>
  <c r="DC1007" i="31"/>
  <c r="DB1007" i="31"/>
  <c r="DA1007" i="31"/>
  <c r="CY1007" i="31"/>
  <c r="CX1007" i="31"/>
  <c r="CW1007" i="31"/>
  <c r="CV1007" i="31"/>
  <c r="CT1007" i="31"/>
  <c r="CS1007" i="31"/>
  <c r="CR1007" i="31"/>
  <c r="CQ1007" i="31"/>
  <c r="CO1007" i="31"/>
  <c r="CN1007" i="31"/>
  <c r="CM1007" i="31"/>
  <c r="CL1007" i="31"/>
  <c r="BI1007" i="31"/>
  <c r="BI1008" i="31" s="1"/>
  <c r="BH1007" i="31"/>
  <c r="BH1008" i="31" s="1"/>
  <c r="BF1007" i="31"/>
  <c r="BE1007" i="31"/>
  <c r="BI1006" i="31"/>
  <c r="BH1006" i="31"/>
  <c r="BJ1003" i="31"/>
  <c r="BI1003" i="31"/>
  <c r="BH1003" i="31"/>
  <c r="BD1003" i="31"/>
  <c r="BD1009" i="31" s="1"/>
  <c r="BC1003" i="31"/>
  <c r="BC1009" i="31" s="1"/>
  <c r="AW1003" i="31"/>
  <c r="AR1003" i="31"/>
  <c r="DU1001" i="31"/>
  <c r="BO1001" i="31"/>
  <c r="BN1001" i="31"/>
  <c r="BM1001" i="31"/>
  <c r="BA1001" i="31"/>
  <c r="AZ1001" i="31"/>
  <c r="BE1001" i="31" s="1"/>
  <c r="AY1001" i="31"/>
  <c r="AX1001" i="31"/>
  <c r="AV1001" i="31"/>
  <c r="AV1002" i="31" s="1"/>
  <c r="AU1001" i="31"/>
  <c r="AT1001" i="31"/>
  <c r="AT1002" i="31" s="1"/>
  <c r="AS1001" i="31"/>
  <c r="AS1002" i="31" s="1"/>
  <c r="AQ1001" i="31"/>
  <c r="AP1001" i="31"/>
  <c r="AP1002" i="31" s="1"/>
  <c r="AO1001" i="31"/>
  <c r="AO1002" i="31" s="1"/>
  <c r="AN1001" i="31"/>
  <c r="DU998" i="31"/>
  <c r="DU996" i="31"/>
  <c r="DU991" i="31" s="1"/>
  <c r="DC996" i="31"/>
  <c r="DB996" i="31"/>
  <c r="DA996" i="31"/>
  <c r="CY996" i="31"/>
  <c r="CX996" i="31"/>
  <c r="CW996" i="31"/>
  <c r="CV996" i="31"/>
  <c r="CT996" i="31"/>
  <c r="CS996" i="31"/>
  <c r="CR996" i="31"/>
  <c r="CQ996" i="31"/>
  <c r="CO996" i="31"/>
  <c r="CN996" i="31"/>
  <c r="CM996" i="31"/>
  <c r="CM991" i="31" s="1"/>
  <c r="CL996" i="31"/>
  <c r="CL991" i="31" s="1"/>
  <c r="CI996" i="31"/>
  <c r="CH996" i="31"/>
  <c r="CG996" i="31"/>
  <c r="CE996" i="31"/>
  <c r="CD996" i="31"/>
  <c r="CC996" i="31"/>
  <c r="CB996" i="31"/>
  <c r="BZ996" i="31"/>
  <c r="BY996" i="31"/>
  <c r="BX996" i="31"/>
  <c r="BW996" i="31"/>
  <c r="BU996" i="31"/>
  <c r="BT996" i="31"/>
  <c r="BS996" i="31"/>
  <c r="BR996" i="31"/>
  <c r="BP996" i="31"/>
  <c r="BP997" i="31" s="1"/>
  <c r="BO996" i="31"/>
  <c r="BO997" i="31" s="1"/>
  <c r="BN996" i="31"/>
  <c r="BN997" i="31" s="1"/>
  <c r="BM996" i="31"/>
  <c r="BM997" i="31" s="1"/>
  <c r="CI995" i="31"/>
  <c r="CH995" i="31"/>
  <c r="CG995" i="31"/>
  <c r="CE995" i="31"/>
  <c r="CD995" i="31"/>
  <c r="CC995" i="31"/>
  <c r="CB995" i="31"/>
  <c r="BZ995" i="31"/>
  <c r="BY995" i="31"/>
  <c r="BX995" i="31"/>
  <c r="BW995" i="31"/>
  <c r="BU995" i="31"/>
  <c r="BT995" i="31"/>
  <c r="BS995" i="31"/>
  <c r="BR995" i="31"/>
  <c r="BP995" i="31"/>
  <c r="BO995" i="31"/>
  <c r="BN995" i="31"/>
  <c r="BM995" i="31"/>
  <c r="CI992" i="31"/>
  <c r="CH992" i="31"/>
  <c r="CG992" i="31"/>
  <c r="CE992" i="31"/>
  <c r="CD992" i="31"/>
  <c r="CC992" i="31"/>
  <c r="CB992" i="31"/>
  <c r="BZ992" i="31"/>
  <c r="BY992" i="31"/>
  <c r="BX992" i="31"/>
  <c r="BW992" i="31"/>
  <c r="BU992" i="31"/>
  <c r="BT992" i="31"/>
  <c r="BS992" i="31"/>
  <c r="BR992" i="31"/>
  <c r="BP992" i="31"/>
  <c r="BP998" i="31" s="1"/>
  <c r="BO992" i="31"/>
  <c r="BO998" i="31" s="1"/>
  <c r="BN992" i="31"/>
  <c r="BN998" i="31" s="1"/>
  <c r="BM992" i="31"/>
  <c r="CN991" i="31"/>
  <c r="CF991" i="31"/>
  <c r="CA991" i="31"/>
  <c r="BV991" i="31"/>
  <c r="BQ991" i="31"/>
  <c r="BQ996" i="31" s="1"/>
  <c r="BQ997" i="31" s="1"/>
  <c r="DU990" i="31"/>
  <c r="CN990" i="31"/>
  <c r="CS990" i="31" s="1"/>
  <c r="CM990" i="31"/>
  <c r="CL990" i="31"/>
  <c r="CJ990" i="31"/>
  <c r="CO990" i="31" s="1"/>
  <c r="CF990" i="31"/>
  <c r="CA990" i="31"/>
  <c r="BV990" i="31"/>
  <c r="BQ990" i="31"/>
  <c r="BZ985" i="31"/>
  <c r="BY985" i="31"/>
  <c r="BX985" i="31"/>
  <c r="BW985" i="31"/>
  <c r="BU985" i="31"/>
  <c r="BT985" i="31"/>
  <c r="BS985" i="31"/>
  <c r="BR985" i="31"/>
  <c r="BP985" i="31"/>
  <c r="BP986" i="31" s="1"/>
  <c r="BO985" i="31"/>
  <c r="BO986" i="31" s="1"/>
  <c r="BN985" i="31"/>
  <c r="BN986" i="31" s="1"/>
  <c r="BM985" i="31"/>
  <c r="BM986" i="31" s="1"/>
  <c r="BZ984" i="31"/>
  <c r="BY984" i="31"/>
  <c r="BX984" i="31"/>
  <c r="BW984" i="31"/>
  <c r="BU984" i="31"/>
  <c r="BT984" i="31"/>
  <c r="BS984" i="31"/>
  <c r="BR984" i="31"/>
  <c r="BP984" i="31"/>
  <c r="BO984" i="31"/>
  <c r="BN984" i="31"/>
  <c r="BM984" i="31"/>
  <c r="BZ981" i="31"/>
  <c r="BY981" i="31"/>
  <c r="BX981" i="31"/>
  <c r="BW981" i="31"/>
  <c r="BU981" i="31"/>
  <c r="BT981" i="31"/>
  <c r="BS981" i="31"/>
  <c r="BR981" i="31"/>
  <c r="BP981" i="31"/>
  <c r="BP987" i="31" s="1"/>
  <c r="BO981" i="31"/>
  <c r="BN981" i="31"/>
  <c r="BM981" i="31"/>
  <c r="BM987" i="31" s="1"/>
  <c r="CA980" i="31"/>
  <c r="BV980" i="31"/>
  <c r="BQ980" i="31"/>
  <c r="CA979" i="31"/>
  <c r="BV979" i="31"/>
  <c r="BQ979" i="31"/>
  <c r="BQ984" i="31" s="1"/>
  <c r="DU976" i="31"/>
  <c r="DU974" i="31"/>
  <c r="DU969" i="31" s="1"/>
  <c r="DC974" i="31"/>
  <c r="DB974" i="31"/>
  <c r="DA974" i="31"/>
  <c r="CY974" i="31"/>
  <c r="CX974" i="31"/>
  <c r="CW974" i="31"/>
  <c r="CV974" i="31"/>
  <c r="CT974" i="31"/>
  <c r="CS974" i="31"/>
  <c r="CR974" i="31"/>
  <c r="CR969" i="31" s="1"/>
  <c r="CQ974" i="31"/>
  <c r="CQ969" i="31" s="1"/>
  <c r="CO974" i="31"/>
  <c r="CN974" i="31"/>
  <c r="CN969" i="31" s="1"/>
  <c r="CM974" i="31"/>
  <c r="CM975" i="31" s="1"/>
  <c r="CL974" i="31"/>
  <c r="CL975" i="31" s="1"/>
  <c r="CI974" i="31"/>
  <c r="CH974" i="31"/>
  <c r="CG974" i="31"/>
  <c r="CE974" i="31"/>
  <c r="CD974" i="31"/>
  <c r="CC974" i="31"/>
  <c r="CB974" i="31"/>
  <c r="BZ974" i="31"/>
  <c r="BY974" i="31"/>
  <c r="BX974" i="31"/>
  <c r="BW974" i="31"/>
  <c r="BU974" i="31"/>
  <c r="BT974" i="31"/>
  <c r="BS974" i="31"/>
  <c r="BR974" i="31"/>
  <c r="BP974" i="31"/>
  <c r="BP975" i="31" s="1"/>
  <c r="BO974" i="31"/>
  <c r="BO975" i="31" s="1"/>
  <c r="BN974" i="31"/>
  <c r="BN975" i="31" s="1"/>
  <c r="BM974" i="31"/>
  <c r="BM975" i="31" s="1"/>
  <c r="CM973" i="31"/>
  <c r="CL973" i="31"/>
  <c r="CI973" i="31"/>
  <c r="CH973" i="31"/>
  <c r="CG973" i="31"/>
  <c r="CE973" i="31"/>
  <c r="CD973" i="31"/>
  <c r="CC973" i="31"/>
  <c r="CB973" i="31"/>
  <c r="BZ973" i="31"/>
  <c r="BY973" i="31"/>
  <c r="BX973" i="31"/>
  <c r="BW973" i="31"/>
  <c r="BU973" i="31"/>
  <c r="BT973" i="31"/>
  <c r="BS973" i="31"/>
  <c r="BR973" i="31"/>
  <c r="BP973" i="31"/>
  <c r="BO973" i="31"/>
  <c r="BN973" i="31"/>
  <c r="BM973" i="31"/>
  <c r="CM970" i="31"/>
  <c r="CL970" i="31"/>
  <c r="CI970" i="31"/>
  <c r="CH970" i="31"/>
  <c r="CG970" i="31"/>
  <c r="CE970" i="31"/>
  <c r="CD970" i="31"/>
  <c r="CC970" i="31"/>
  <c r="CB970" i="31"/>
  <c r="BZ970" i="31"/>
  <c r="BY970" i="31"/>
  <c r="BX970" i="31"/>
  <c r="BW970" i="31"/>
  <c r="BU970" i="31"/>
  <c r="BT970" i="31"/>
  <c r="BS970" i="31"/>
  <c r="BR970" i="31"/>
  <c r="BP970" i="31"/>
  <c r="BO970" i="31"/>
  <c r="BN970" i="31"/>
  <c r="BN976" i="31" s="1"/>
  <c r="BM970" i="31"/>
  <c r="CF969" i="31"/>
  <c r="CA969" i="31"/>
  <c r="BV969" i="31"/>
  <c r="BQ969" i="31"/>
  <c r="BQ974" i="31" s="1"/>
  <c r="BQ975" i="31" s="1"/>
  <c r="DU968" i="31"/>
  <c r="CR968" i="31"/>
  <c r="CW968" i="31" s="1"/>
  <c r="CQ968" i="31"/>
  <c r="CN968" i="31"/>
  <c r="CS968" i="31" s="1"/>
  <c r="CX968" i="31" s="1"/>
  <c r="CJ968" i="31"/>
  <c r="CF968" i="31"/>
  <c r="CA968" i="31"/>
  <c r="BV968" i="31"/>
  <c r="BQ968" i="31"/>
  <c r="BQ973" i="31" s="1"/>
  <c r="CP965" i="31"/>
  <c r="CO965" i="31"/>
  <c r="DD962" i="31"/>
  <c r="DC962" i="31"/>
  <c r="DB962" i="31"/>
  <c r="DA962" i="31"/>
  <c r="CY962" i="31"/>
  <c r="CX962" i="31"/>
  <c r="CW962" i="31"/>
  <c r="CV962" i="31"/>
  <c r="CT962" i="31"/>
  <c r="CS962" i="31"/>
  <c r="CR962" i="31"/>
  <c r="CQ962" i="31"/>
  <c r="CO962" i="31"/>
  <c r="CN962" i="31"/>
  <c r="CM962" i="31"/>
  <c r="CM963" i="31" s="1"/>
  <c r="CL962" i="31"/>
  <c r="CL963" i="31" s="1"/>
  <c r="CJ962" i="31"/>
  <c r="CI962" i="31"/>
  <c r="CH962" i="31"/>
  <c r="CG962" i="31"/>
  <c r="BP962" i="31"/>
  <c r="BP963" i="31" s="1"/>
  <c r="BO962" i="31"/>
  <c r="BO963" i="31" s="1"/>
  <c r="BN962" i="31"/>
  <c r="BN963" i="31" s="1"/>
  <c r="BM962" i="31"/>
  <c r="BM963" i="31" s="1"/>
  <c r="DD961" i="31"/>
  <c r="DC961" i="31"/>
  <c r="DB961" i="31"/>
  <c r="DA961" i="31"/>
  <c r="CY961" i="31"/>
  <c r="CX961" i="31"/>
  <c r="CW961" i="31"/>
  <c r="CV961" i="31"/>
  <c r="CT961" i="31"/>
  <c r="CS961" i="31"/>
  <c r="CR961" i="31"/>
  <c r="CQ961" i="31"/>
  <c r="CO961" i="31"/>
  <c r="CN961" i="31"/>
  <c r="CM961" i="31"/>
  <c r="CL961" i="31"/>
  <c r="CJ961" i="31"/>
  <c r="CI961" i="31"/>
  <c r="CH961" i="31"/>
  <c r="CG961" i="31"/>
  <c r="BP961" i="31"/>
  <c r="BO961" i="31"/>
  <c r="BN961" i="31"/>
  <c r="BM961" i="31"/>
  <c r="DD958" i="31"/>
  <c r="DC958" i="31"/>
  <c r="DB958" i="31"/>
  <c r="DA958" i="31"/>
  <c r="CY958" i="31"/>
  <c r="CX958" i="31"/>
  <c r="CW958" i="31"/>
  <c r="CV958" i="31"/>
  <c r="CT958" i="31"/>
  <c r="CS958" i="31"/>
  <c r="CR958" i="31"/>
  <c r="CQ958" i="31"/>
  <c r="CO958" i="31"/>
  <c r="CN958" i="31"/>
  <c r="CM958" i="31"/>
  <c r="CL958" i="31"/>
  <c r="CJ958" i="31"/>
  <c r="CI958" i="31"/>
  <c r="CH958" i="31"/>
  <c r="CG958" i="31"/>
  <c r="CE958" i="31"/>
  <c r="CD958" i="31"/>
  <c r="CC958" i="31"/>
  <c r="CB958" i="31"/>
  <c r="BP958" i="31"/>
  <c r="BP964" i="31" s="1"/>
  <c r="BO958" i="31"/>
  <c r="BO964" i="31" s="1"/>
  <c r="BN958" i="31"/>
  <c r="BN964" i="31" s="1"/>
  <c r="BM958" i="31"/>
  <c r="BM964" i="31" s="1"/>
  <c r="DE957" i="31"/>
  <c r="CZ957" i="31"/>
  <c r="CU957" i="31"/>
  <c r="CP957" i="31"/>
  <c r="CK957" i="31"/>
  <c r="CF957" i="31"/>
  <c r="DE956" i="31"/>
  <c r="CZ956" i="31"/>
  <c r="CU956" i="31"/>
  <c r="CP956" i="31"/>
  <c r="CK956" i="31"/>
  <c r="CF956" i="31"/>
  <c r="DV950" i="31"/>
  <c r="DU950" i="31"/>
  <c r="DS950" i="31"/>
  <c r="DR950" i="31"/>
  <c r="DQ950" i="31"/>
  <c r="DP950" i="31"/>
  <c r="DN950" i="31"/>
  <c r="DM950" i="31"/>
  <c r="DL950" i="31"/>
  <c r="DK950" i="31"/>
  <c r="DI950" i="31"/>
  <c r="DH950" i="31"/>
  <c r="DG950" i="31"/>
  <c r="DF950" i="31"/>
  <c r="DD950" i="31"/>
  <c r="DC950" i="31"/>
  <c r="DB950" i="31"/>
  <c r="DA950" i="31"/>
  <c r="CY950" i="31"/>
  <c r="CX950" i="31"/>
  <c r="CW950" i="31"/>
  <c r="CV950" i="31"/>
  <c r="CT950" i="31"/>
  <c r="CS950" i="31"/>
  <c r="CR950" i="31"/>
  <c r="CQ950" i="31"/>
  <c r="CO950" i="31"/>
  <c r="CN950" i="31"/>
  <c r="CM950" i="31"/>
  <c r="CM951" i="31" s="1"/>
  <c r="CL950" i="31"/>
  <c r="CL951" i="31" s="1"/>
  <c r="CJ950" i="31"/>
  <c r="CI950" i="31"/>
  <c r="CH950" i="31"/>
  <c r="CG950" i="31"/>
  <c r="BP950" i="31"/>
  <c r="BP951" i="31" s="1"/>
  <c r="BO950" i="31"/>
  <c r="BO951" i="31" s="1"/>
  <c r="BN950" i="31"/>
  <c r="BN951" i="31" s="1"/>
  <c r="BM950" i="31"/>
  <c r="BM951" i="31" s="1"/>
  <c r="DV949" i="31"/>
  <c r="DU949" i="31"/>
  <c r="DS949" i="31"/>
  <c r="DR949" i="31"/>
  <c r="DQ949" i="31"/>
  <c r="DP949" i="31"/>
  <c r="DN949" i="31"/>
  <c r="DM949" i="31"/>
  <c r="DL949" i="31"/>
  <c r="DK949" i="31"/>
  <c r="DI949" i="31"/>
  <c r="DH949" i="31"/>
  <c r="DG949" i="31"/>
  <c r="DF949" i="31"/>
  <c r="DD949" i="31"/>
  <c r="DC949" i="31"/>
  <c r="DB949" i="31"/>
  <c r="DA949" i="31"/>
  <c r="CY949" i="31"/>
  <c r="CX949" i="31"/>
  <c r="CW949" i="31"/>
  <c r="CV949" i="31"/>
  <c r="CT949" i="31"/>
  <c r="CS949" i="31"/>
  <c r="CR949" i="31"/>
  <c r="CQ949" i="31"/>
  <c r="CO949" i="31"/>
  <c r="CN949" i="31"/>
  <c r="CM949" i="31"/>
  <c r="CL949" i="31"/>
  <c r="CJ949" i="31"/>
  <c r="CI949" i="31"/>
  <c r="CH949" i="31"/>
  <c r="CG949" i="31"/>
  <c r="BP949" i="31"/>
  <c r="BO949" i="31"/>
  <c r="BN949" i="31"/>
  <c r="BM949" i="31"/>
  <c r="DV946" i="31"/>
  <c r="EA952" i="31" s="1"/>
  <c r="DU946" i="31"/>
  <c r="DS946" i="31"/>
  <c r="DR946" i="31"/>
  <c r="DQ946" i="31"/>
  <c r="DP946" i="31"/>
  <c r="DN946" i="31"/>
  <c r="DM946" i="31"/>
  <c r="DL946" i="31"/>
  <c r="DK946" i="31"/>
  <c r="DI946" i="31"/>
  <c r="DH946" i="31"/>
  <c r="DG946" i="31"/>
  <c r="DF946" i="31"/>
  <c r="DD946" i="31"/>
  <c r="DC946" i="31"/>
  <c r="DB946" i="31"/>
  <c r="DA946" i="31"/>
  <c r="CY946" i="31"/>
  <c r="CX946" i="31"/>
  <c r="CW946" i="31"/>
  <c r="CV946" i="31"/>
  <c r="CT946" i="31"/>
  <c r="CS946" i="31"/>
  <c r="CR946" i="31"/>
  <c r="CQ946" i="31"/>
  <c r="CO946" i="31"/>
  <c r="CN946" i="31"/>
  <c r="CM946" i="31"/>
  <c r="CL946" i="31"/>
  <c r="CJ946" i="31"/>
  <c r="CI946" i="31"/>
  <c r="CH946" i="31"/>
  <c r="CG946" i="31"/>
  <c r="CE946" i="31"/>
  <c r="CD946" i="31"/>
  <c r="CC946" i="31"/>
  <c r="CB946" i="31"/>
  <c r="BP946" i="31"/>
  <c r="BP952" i="31" s="1"/>
  <c r="BO946" i="31"/>
  <c r="BO952" i="31" s="1"/>
  <c r="BN946" i="31"/>
  <c r="BN952" i="31" s="1"/>
  <c r="BM946" i="31"/>
  <c r="BM952" i="31" s="1"/>
  <c r="DT945" i="31"/>
  <c r="DY950" i="31" s="1"/>
  <c r="DO945" i="31"/>
  <c r="DJ945" i="31"/>
  <c r="DE945" i="31"/>
  <c r="CZ945" i="31"/>
  <c r="CU945" i="31"/>
  <c r="CP945" i="31"/>
  <c r="CK945" i="31"/>
  <c r="CF945" i="31"/>
  <c r="DT944" i="31"/>
  <c r="DO944" i="31"/>
  <c r="DJ944" i="31"/>
  <c r="DE944" i="31"/>
  <c r="CZ944" i="31"/>
  <c r="CU944" i="31"/>
  <c r="CP944" i="31"/>
  <c r="CK944" i="31"/>
  <c r="CF944" i="31"/>
  <c r="DV938" i="31"/>
  <c r="DU938" i="31"/>
  <c r="DS938" i="31"/>
  <c r="DR938" i="31"/>
  <c r="DQ938" i="31"/>
  <c r="DP938" i="31"/>
  <c r="DN938" i="31"/>
  <c r="DM938" i="31"/>
  <c r="DL938" i="31"/>
  <c r="DK938" i="31"/>
  <c r="DI938" i="31"/>
  <c r="DH938" i="31"/>
  <c r="DG938" i="31"/>
  <c r="DF938" i="31"/>
  <c r="DD938" i="31"/>
  <c r="DC938" i="31"/>
  <c r="DB938" i="31"/>
  <c r="DA938" i="31"/>
  <c r="CY938" i="31"/>
  <c r="CX938" i="31"/>
  <c r="CW938" i="31"/>
  <c r="CV938" i="31"/>
  <c r="CT938" i="31"/>
  <c r="CS938" i="31"/>
  <c r="CR938" i="31"/>
  <c r="CQ938" i="31"/>
  <c r="CO938" i="31"/>
  <c r="CN938" i="31"/>
  <c r="CN939" i="31" s="1"/>
  <c r="CM938" i="31"/>
  <c r="CM939" i="31" s="1"/>
  <c r="CL938" i="31"/>
  <c r="CL939" i="31" s="1"/>
  <c r="CJ938" i="31"/>
  <c r="CI938" i="31"/>
  <c r="CH938" i="31"/>
  <c r="CG938" i="31"/>
  <c r="BP938" i="31"/>
  <c r="BP939" i="31" s="1"/>
  <c r="BO938" i="31"/>
  <c r="BO939" i="31" s="1"/>
  <c r="BN938" i="31"/>
  <c r="BN939" i="31" s="1"/>
  <c r="BM938" i="31"/>
  <c r="BM939" i="31" s="1"/>
  <c r="DV937" i="31"/>
  <c r="DU937" i="31"/>
  <c r="DS937" i="31"/>
  <c r="DR937" i="31"/>
  <c r="DQ937" i="31"/>
  <c r="DP937" i="31"/>
  <c r="DN937" i="31"/>
  <c r="DM937" i="31"/>
  <c r="DL937" i="31"/>
  <c r="DK937" i="31"/>
  <c r="DI937" i="31"/>
  <c r="DH937" i="31"/>
  <c r="DG937" i="31"/>
  <c r="DF937" i="31"/>
  <c r="DD937" i="31"/>
  <c r="DC937" i="31"/>
  <c r="DB937" i="31"/>
  <c r="DA937" i="31"/>
  <c r="CY937" i="31"/>
  <c r="CX937" i="31"/>
  <c r="CW937" i="31"/>
  <c r="CV937" i="31"/>
  <c r="CT937" i="31"/>
  <c r="CS937" i="31"/>
  <c r="CR937" i="31"/>
  <c r="CQ937" i="31"/>
  <c r="CO937" i="31"/>
  <c r="CN937" i="31"/>
  <c r="CM937" i="31"/>
  <c r="CL937" i="31"/>
  <c r="CJ937" i="31"/>
  <c r="CI937" i="31"/>
  <c r="CH937" i="31"/>
  <c r="CG937" i="31"/>
  <c r="BP937" i="31"/>
  <c r="BO937" i="31"/>
  <c r="BN937" i="31"/>
  <c r="BM937" i="31"/>
  <c r="DV934" i="31"/>
  <c r="EA940" i="31" s="1"/>
  <c r="DU934" i="31"/>
  <c r="DS934" i="31"/>
  <c r="DR934" i="31"/>
  <c r="DQ934" i="31"/>
  <c r="DP934" i="31"/>
  <c r="DN934" i="31"/>
  <c r="DM934" i="31"/>
  <c r="DL934" i="31"/>
  <c r="DK934" i="31"/>
  <c r="DI934" i="31"/>
  <c r="DH934" i="31"/>
  <c r="DG934" i="31"/>
  <c r="DF934" i="31"/>
  <c r="DD934" i="31"/>
  <c r="DC934" i="31"/>
  <c r="DB934" i="31"/>
  <c r="DA934" i="31"/>
  <c r="CY934" i="31"/>
  <c r="CX934" i="31"/>
  <c r="CW934" i="31"/>
  <c r="CV934" i="31"/>
  <c r="CT934" i="31"/>
  <c r="CS934" i="31"/>
  <c r="CR934" i="31"/>
  <c r="CQ934" i="31"/>
  <c r="CO934" i="31"/>
  <c r="CN934" i="31"/>
  <c r="CM934" i="31"/>
  <c r="CL934" i="31"/>
  <c r="CJ934" i="31"/>
  <c r="CI934" i="31"/>
  <c r="CH934" i="31"/>
  <c r="CG934" i="31"/>
  <c r="CE934" i="31"/>
  <c r="CD934" i="31"/>
  <c r="CC934" i="31"/>
  <c r="CB934" i="31"/>
  <c r="BP934" i="31"/>
  <c r="BP940" i="31" s="1"/>
  <c r="BO934" i="31"/>
  <c r="BO940" i="31" s="1"/>
  <c r="BN934" i="31"/>
  <c r="BN940" i="31" s="1"/>
  <c r="BM934" i="31"/>
  <c r="BM940" i="31" s="1"/>
  <c r="DT933" i="31"/>
  <c r="DY938" i="31" s="1"/>
  <c r="DO933" i="31"/>
  <c r="DJ933" i="31"/>
  <c r="DE933" i="31"/>
  <c r="CZ933" i="31"/>
  <c r="CU933" i="31"/>
  <c r="CP933" i="31"/>
  <c r="CK933" i="31"/>
  <c r="CF933" i="31"/>
  <c r="DT932" i="31"/>
  <c r="DO932" i="31"/>
  <c r="DJ932" i="31"/>
  <c r="DE932" i="31"/>
  <c r="CZ932" i="31"/>
  <c r="CU932" i="31"/>
  <c r="CP932" i="31"/>
  <c r="CK932" i="31"/>
  <c r="CF932" i="31"/>
  <c r="BP926" i="31"/>
  <c r="BP927" i="31" s="1"/>
  <c r="BO926" i="31"/>
  <c r="BO927" i="31" s="1"/>
  <c r="BN926" i="31"/>
  <c r="BN927" i="31" s="1"/>
  <c r="BM926" i="31"/>
  <c r="BM927" i="31" s="1"/>
  <c r="BP925" i="31"/>
  <c r="BO925" i="31"/>
  <c r="BN925" i="31"/>
  <c r="BM925" i="31"/>
  <c r="BP922" i="31"/>
  <c r="BP928" i="31" s="1"/>
  <c r="BO922" i="31"/>
  <c r="BO928" i="31" s="1"/>
  <c r="BN922" i="31"/>
  <c r="BN928" i="31" s="1"/>
  <c r="BM922" i="31"/>
  <c r="BM928" i="31" s="1"/>
  <c r="DV921" i="31"/>
  <c r="EA926" i="31" s="1"/>
  <c r="DU921" i="31"/>
  <c r="DS921" i="31"/>
  <c r="DR921" i="31"/>
  <c r="DQ921" i="31"/>
  <c r="DP921" i="31"/>
  <c r="DN921" i="31"/>
  <c r="DM921" i="31"/>
  <c r="DL921" i="31"/>
  <c r="DK921" i="31"/>
  <c r="DI921" i="31"/>
  <c r="DH921" i="31"/>
  <c r="DG921" i="31"/>
  <c r="DF921" i="31"/>
  <c r="DD921" i="31"/>
  <c r="DC921" i="31"/>
  <c r="DB921" i="31"/>
  <c r="DA921" i="31"/>
  <c r="CY921" i="31"/>
  <c r="CX921" i="31"/>
  <c r="CW921" i="31"/>
  <c r="CV921" i="31"/>
  <c r="CT921" i="31"/>
  <c r="CS921" i="31"/>
  <c r="CR921" i="31"/>
  <c r="CQ921" i="31"/>
  <c r="CO921" i="31"/>
  <c r="CN921" i="31"/>
  <c r="CM921" i="31"/>
  <c r="CL921" i="31"/>
  <c r="CJ921" i="31"/>
  <c r="CI921" i="31"/>
  <c r="CH921" i="31"/>
  <c r="CG921" i="31"/>
  <c r="CE921" i="31"/>
  <c r="CD921" i="31"/>
  <c r="CC921" i="31"/>
  <c r="CB921" i="31"/>
  <c r="DV920" i="31"/>
  <c r="EA925" i="31" s="1"/>
  <c r="DU920" i="31"/>
  <c r="DS920" i="31"/>
  <c r="DR920" i="31"/>
  <c r="DQ920" i="31"/>
  <c r="DP920" i="31"/>
  <c r="DN920" i="31"/>
  <c r="DM920" i="31"/>
  <c r="DL920" i="31"/>
  <c r="DK920" i="31"/>
  <c r="DI920" i="31"/>
  <c r="DH920" i="31"/>
  <c r="DG920" i="31"/>
  <c r="DF920" i="31"/>
  <c r="DD920" i="31"/>
  <c r="DC920" i="31"/>
  <c r="DB920" i="31"/>
  <c r="DA920" i="31"/>
  <c r="CY920" i="31"/>
  <c r="CX920" i="31"/>
  <c r="CW920" i="31"/>
  <c r="CV920" i="31"/>
  <c r="CT920" i="31"/>
  <c r="CS920" i="31"/>
  <c r="CR920" i="31"/>
  <c r="CQ920" i="31"/>
  <c r="CO920" i="31"/>
  <c r="CN920" i="31"/>
  <c r="CM920" i="31"/>
  <c r="CL920" i="31"/>
  <c r="CJ920" i="31"/>
  <c r="CI920" i="31"/>
  <c r="CH920" i="31"/>
  <c r="CG920" i="31"/>
  <c r="CE920" i="31"/>
  <c r="CD920" i="31"/>
  <c r="CC920" i="31"/>
  <c r="CB920" i="31"/>
  <c r="CY915" i="31"/>
  <c r="CX915" i="31"/>
  <c r="CW915" i="31"/>
  <c r="CV915" i="31"/>
  <c r="CT915" i="31"/>
  <c r="CS915" i="31"/>
  <c r="CR915" i="31"/>
  <c r="CQ915" i="31"/>
  <c r="CO915" i="31"/>
  <c r="CN915" i="31"/>
  <c r="CM915" i="31"/>
  <c r="CL915" i="31"/>
  <c r="CJ915" i="31"/>
  <c r="CI915" i="31"/>
  <c r="CH915" i="31"/>
  <c r="CG915" i="31"/>
  <c r="CE915" i="31"/>
  <c r="CD915" i="31"/>
  <c r="CC915" i="31"/>
  <c r="CB915" i="31"/>
  <c r="BZ915" i="31"/>
  <c r="BY915" i="31"/>
  <c r="BX915" i="31"/>
  <c r="BW915" i="31"/>
  <c r="BU915" i="31"/>
  <c r="BT915" i="31"/>
  <c r="BS915" i="31"/>
  <c r="BR915" i="31"/>
  <c r="BP915" i="31"/>
  <c r="BO915" i="31"/>
  <c r="BN915" i="31"/>
  <c r="BM915" i="31"/>
  <c r="BK915" i="31"/>
  <c r="BJ915" i="31"/>
  <c r="BI915" i="31"/>
  <c r="BI916" i="31" s="1"/>
  <c r="BH915" i="31"/>
  <c r="BH916" i="31" s="1"/>
  <c r="BF915" i="31"/>
  <c r="BF916" i="31" s="1"/>
  <c r="BE915" i="31"/>
  <c r="BE916" i="31" s="1"/>
  <c r="BD915" i="31"/>
  <c r="BD916" i="31" s="1"/>
  <c r="BC915" i="31"/>
  <c r="BC916" i="31" s="1"/>
  <c r="BA915" i="31"/>
  <c r="BA916" i="31" s="1"/>
  <c r="AZ915" i="31"/>
  <c r="AZ916" i="31" s="1"/>
  <c r="AY915" i="31"/>
  <c r="AY916" i="31" s="1"/>
  <c r="AX915" i="31"/>
  <c r="AX916" i="31" s="1"/>
  <c r="AV915" i="31"/>
  <c r="AV916" i="31" s="1"/>
  <c r="AU915" i="31"/>
  <c r="AU916" i="31" s="1"/>
  <c r="AT915" i="31"/>
  <c r="AT916" i="31" s="1"/>
  <c r="AS915" i="31"/>
  <c r="AS916" i="31" s="1"/>
  <c r="AQ915" i="31"/>
  <c r="AQ916" i="31" s="1"/>
  <c r="AP915" i="31"/>
  <c r="AP916" i="31" s="1"/>
  <c r="AO915" i="31"/>
  <c r="AO916" i="31" s="1"/>
  <c r="AN915" i="31"/>
  <c r="AN916" i="31" s="1"/>
  <c r="AL915" i="31"/>
  <c r="AL916" i="31" s="1"/>
  <c r="AK915" i="31"/>
  <c r="AK916" i="31" s="1"/>
  <c r="AJ915" i="31"/>
  <c r="AJ916" i="31" s="1"/>
  <c r="AI915" i="31"/>
  <c r="AI916" i="31" s="1"/>
  <c r="AG915" i="31"/>
  <c r="AF915" i="31"/>
  <c r="AE915" i="31"/>
  <c r="AD915" i="31"/>
  <c r="AB915" i="31"/>
  <c r="AA915" i="31"/>
  <c r="Z915" i="31"/>
  <c r="Y915" i="31"/>
  <c r="W915" i="31"/>
  <c r="V915" i="31"/>
  <c r="U915" i="31"/>
  <c r="T915" i="31"/>
  <c r="R915" i="31"/>
  <c r="Q915" i="31"/>
  <c r="P915" i="31"/>
  <c r="O915" i="31"/>
  <c r="M915" i="31"/>
  <c r="L915" i="31"/>
  <c r="K915" i="31"/>
  <c r="J915" i="31"/>
  <c r="CY914" i="31"/>
  <c r="CX914" i="31"/>
  <c r="CW914" i="31"/>
  <c r="CV914" i="31"/>
  <c r="CT914" i="31"/>
  <c r="CS914" i="31"/>
  <c r="CR914" i="31"/>
  <c r="CQ914" i="31"/>
  <c r="CO914" i="31"/>
  <c r="CN914" i="31"/>
  <c r="CM914" i="31"/>
  <c r="CL914" i="31"/>
  <c r="CJ914" i="31"/>
  <c r="CI914" i="31"/>
  <c r="CH914" i="31"/>
  <c r="CG914" i="31"/>
  <c r="CE914" i="31"/>
  <c r="CD914" i="31"/>
  <c r="CC914" i="31"/>
  <c r="CB914" i="31"/>
  <c r="BZ914" i="31"/>
  <c r="BY914" i="31"/>
  <c r="BX914" i="31"/>
  <c r="BW914" i="31"/>
  <c r="BU914" i="31"/>
  <c r="BT914" i="31"/>
  <c r="BS914" i="31"/>
  <c r="BR914" i="31"/>
  <c r="BP914" i="31"/>
  <c r="BO914" i="31"/>
  <c r="BN914" i="31"/>
  <c r="BM914" i="31"/>
  <c r="BK914" i="31"/>
  <c r="BJ914" i="31"/>
  <c r="BI914" i="31"/>
  <c r="BH914" i="31"/>
  <c r="BF914" i="31"/>
  <c r="BE914" i="31"/>
  <c r="BD914" i="31"/>
  <c r="BC914" i="31"/>
  <c r="BA914" i="31"/>
  <c r="AZ914" i="31"/>
  <c r="AY914" i="31"/>
  <c r="AX914" i="31"/>
  <c r="AV914" i="31"/>
  <c r="AU914" i="31"/>
  <c r="AT914" i="31"/>
  <c r="AS914" i="31"/>
  <c r="AQ914" i="31"/>
  <c r="AP914" i="31"/>
  <c r="AO914" i="31"/>
  <c r="AN914" i="31"/>
  <c r="AL914" i="31"/>
  <c r="AK914" i="31"/>
  <c r="AJ914" i="31"/>
  <c r="AI914" i="31"/>
  <c r="AG914" i="31"/>
  <c r="AF914" i="31"/>
  <c r="AE914" i="31"/>
  <c r="AD914" i="31"/>
  <c r="AB914" i="31"/>
  <c r="AA914" i="31"/>
  <c r="Z914" i="31"/>
  <c r="Y914" i="31"/>
  <c r="W914" i="31"/>
  <c r="V914" i="31"/>
  <c r="U914" i="31"/>
  <c r="T914" i="31"/>
  <c r="R914" i="31"/>
  <c r="Q914" i="31"/>
  <c r="P914" i="31"/>
  <c r="O914" i="31"/>
  <c r="M914" i="31"/>
  <c r="L914" i="31"/>
  <c r="K914" i="31"/>
  <c r="J914" i="31"/>
  <c r="CY911" i="31"/>
  <c r="CX911" i="31"/>
  <c r="CW911" i="31"/>
  <c r="CV911" i="31"/>
  <c r="CT911" i="31"/>
  <c r="CS911" i="31"/>
  <c r="CR911" i="31"/>
  <c r="CQ911" i="31"/>
  <c r="CO911" i="31"/>
  <c r="CO917" i="31" s="1"/>
  <c r="CN911" i="31"/>
  <c r="CM911" i="31"/>
  <c r="CL911" i="31"/>
  <c r="CJ911" i="31"/>
  <c r="CI911" i="31"/>
  <c r="CH911" i="31"/>
  <c r="CG911" i="31"/>
  <c r="CE911" i="31"/>
  <c r="CD911" i="31"/>
  <c r="CC911" i="31"/>
  <c r="CB911" i="31"/>
  <c r="BZ911" i="31"/>
  <c r="BY911" i="31"/>
  <c r="BX911" i="31"/>
  <c r="BW911" i="31"/>
  <c r="BU911" i="31"/>
  <c r="BT911" i="31"/>
  <c r="BS911" i="31"/>
  <c r="BR911" i="31"/>
  <c r="BP911" i="31"/>
  <c r="BO911" i="31"/>
  <c r="BN911" i="31"/>
  <c r="BM911" i="31"/>
  <c r="BK911" i="31"/>
  <c r="BJ911" i="31"/>
  <c r="BI911" i="31"/>
  <c r="BH911" i="31"/>
  <c r="BF911" i="31"/>
  <c r="BE911" i="31"/>
  <c r="BD911" i="31"/>
  <c r="BC911" i="31"/>
  <c r="BA911" i="31"/>
  <c r="AZ911" i="31"/>
  <c r="AY911" i="31"/>
  <c r="AX911" i="31"/>
  <c r="AV911" i="31"/>
  <c r="AU911" i="31"/>
  <c r="AT911" i="31"/>
  <c r="AS911" i="31"/>
  <c r="AQ911" i="31"/>
  <c r="AP911" i="31"/>
  <c r="AO911" i="31"/>
  <c r="AN911" i="31"/>
  <c r="AL911" i="31"/>
  <c r="AK911" i="31"/>
  <c r="AJ911" i="31"/>
  <c r="AI911" i="31"/>
  <c r="AG911" i="31"/>
  <c r="AF911" i="31"/>
  <c r="AE911" i="31"/>
  <c r="AD911" i="31"/>
  <c r="AB911" i="31"/>
  <c r="AA911" i="31"/>
  <c r="Z911" i="31"/>
  <c r="Y911" i="31"/>
  <c r="W911" i="31"/>
  <c r="V911" i="31"/>
  <c r="U911" i="31"/>
  <c r="T911" i="31"/>
  <c r="R911" i="31"/>
  <c r="Q911" i="31"/>
  <c r="P911" i="31"/>
  <c r="O911" i="31"/>
  <c r="M911" i="31"/>
  <c r="L911" i="31"/>
  <c r="K911" i="31"/>
  <c r="J911" i="31"/>
  <c r="H911" i="31"/>
  <c r="G911" i="31"/>
  <c r="F911" i="31"/>
  <c r="E911" i="31"/>
  <c r="D911" i="31"/>
  <c r="CZ910" i="31"/>
  <c r="CU910" i="31"/>
  <c r="CP910" i="31"/>
  <c r="CK910" i="31"/>
  <c r="CF910" i="31"/>
  <c r="CA910" i="31"/>
  <c r="BV910" i="31"/>
  <c r="BQ910" i="31"/>
  <c r="BL910" i="31"/>
  <c r="BG910" i="31"/>
  <c r="BB910" i="31"/>
  <c r="AW910" i="31"/>
  <c r="AR910" i="31"/>
  <c r="AM910" i="31"/>
  <c r="AH910" i="31"/>
  <c r="AC910" i="31"/>
  <c r="X910" i="31"/>
  <c r="S910" i="31"/>
  <c r="N910" i="31"/>
  <c r="I910" i="31"/>
  <c r="I915" i="31" s="1"/>
  <c r="CZ909" i="31"/>
  <c r="CU909" i="31"/>
  <c r="CZ914" i="31" s="1"/>
  <c r="CP909" i="31"/>
  <c r="CU914" i="31" s="1"/>
  <c r="CK909" i="31"/>
  <c r="CP914" i="31" s="1"/>
  <c r="CF909" i="31"/>
  <c r="CA909" i="31"/>
  <c r="BV909" i="31"/>
  <c r="BQ909" i="31"/>
  <c r="BL909" i="31"/>
  <c r="BG909" i="31"/>
  <c r="BB909" i="31"/>
  <c r="AW909" i="31"/>
  <c r="AR909" i="31"/>
  <c r="AM909" i="31"/>
  <c r="AH909" i="31"/>
  <c r="AC909" i="31"/>
  <c r="X909" i="31"/>
  <c r="S909" i="31"/>
  <c r="N909" i="31"/>
  <c r="I909" i="31"/>
  <c r="CY904" i="31"/>
  <c r="CX904" i="31"/>
  <c r="CW904" i="31"/>
  <c r="CV904" i="31"/>
  <c r="CT904" i="31"/>
  <c r="CS904" i="31"/>
  <c r="CR904" i="31"/>
  <c r="CQ904" i="31"/>
  <c r="CO904" i="31"/>
  <c r="CN904" i="31"/>
  <c r="CM904" i="31"/>
  <c r="CL904" i="31"/>
  <c r="CJ904" i="31"/>
  <c r="CI904" i="31"/>
  <c r="CH904" i="31"/>
  <c r="CG904" i="31"/>
  <c r="CE904" i="31"/>
  <c r="CD904" i="31"/>
  <c r="CC904" i="31"/>
  <c r="CB904" i="31"/>
  <c r="BZ904" i="31"/>
  <c r="BY904" i="31"/>
  <c r="BX904" i="31"/>
  <c r="BW904" i="31"/>
  <c r="BU904" i="31"/>
  <c r="BT904" i="31"/>
  <c r="BS904" i="31"/>
  <c r="BR904" i="31"/>
  <c r="BP904" i="31"/>
  <c r="BO904" i="31"/>
  <c r="BN904" i="31"/>
  <c r="BM904" i="31"/>
  <c r="BK904" i="31"/>
  <c r="BJ904" i="31"/>
  <c r="BI904" i="31"/>
  <c r="BI905" i="31" s="1"/>
  <c r="BH904" i="31"/>
  <c r="BH905" i="31" s="1"/>
  <c r="BF904" i="31"/>
  <c r="BF905" i="31" s="1"/>
  <c r="BE904" i="31"/>
  <c r="BE905" i="31" s="1"/>
  <c r="BD904" i="31"/>
  <c r="BD905" i="31" s="1"/>
  <c r="BC904" i="31"/>
  <c r="BC905" i="31" s="1"/>
  <c r="BA904" i="31"/>
  <c r="BA905" i="31" s="1"/>
  <c r="AZ904" i="31"/>
  <c r="AZ905" i="31" s="1"/>
  <c r="AY904" i="31"/>
  <c r="AY905" i="31" s="1"/>
  <c r="AX904" i="31"/>
  <c r="AX905" i="31" s="1"/>
  <c r="AV904" i="31"/>
  <c r="AV905" i="31" s="1"/>
  <c r="AU904" i="31"/>
  <c r="AU905" i="31" s="1"/>
  <c r="AT904" i="31"/>
  <c r="AT905" i="31" s="1"/>
  <c r="AS904" i="31"/>
  <c r="AS905" i="31" s="1"/>
  <c r="AQ904" i="31"/>
  <c r="AQ905" i="31" s="1"/>
  <c r="AP904" i="31"/>
  <c r="AP905" i="31" s="1"/>
  <c r="AO904" i="31"/>
  <c r="AO905" i="31" s="1"/>
  <c r="AN904" i="31"/>
  <c r="AN905" i="31" s="1"/>
  <c r="AL904" i="31"/>
  <c r="AL905" i="31" s="1"/>
  <c r="AK904" i="31"/>
  <c r="AK905" i="31" s="1"/>
  <c r="AJ904" i="31"/>
  <c r="AJ905" i="31" s="1"/>
  <c r="AI904" i="31"/>
  <c r="AI905" i="31" s="1"/>
  <c r="AG904" i="31"/>
  <c r="AF904" i="31"/>
  <c r="AE904" i="31"/>
  <c r="AD904" i="31"/>
  <c r="AB904" i="31"/>
  <c r="AA904" i="31"/>
  <c r="Z904" i="31"/>
  <c r="Y904" i="31"/>
  <c r="W904" i="31"/>
  <c r="V904" i="31"/>
  <c r="U904" i="31"/>
  <c r="T904" i="31"/>
  <c r="R904" i="31"/>
  <c r="Q904" i="31"/>
  <c r="P904" i="31"/>
  <c r="O904" i="31"/>
  <c r="M904" i="31"/>
  <c r="L904" i="31"/>
  <c r="K904" i="31"/>
  <c r="J904" i="31"/>
  <c r="CY903" i="31"/>
  <c r="CX903" i="31"/>
  <c r="CW903" i="31"/>
  <c r="CV903" i="31"/>
  <c r="CT903" i="31"/>
  <c r="CS903" i="31"/>
  <c r="CR903" i="31"/>
  <c r="CQ903" i="31"/>
  <c r="CO903" i="31"/>
  <c r="CN903" i="31"/>
  <c r="CM903" i="31"/>
  <c r="CL903" i="31"/>
  <c r="CJ903" i="31"/>
  <c r="CI903" i="31"/>
  <c r="CH903" i="31"/>
  <c r="CG903" i="31"/>
  <c r="CE903" i="31"/>
  <c r="CD903" i="31"/>
  <c r="CC903" i="31"/>
  <c r="CB903" i="31"/>
  <c r="BZ903" i="31"/>
  <c r="BY903" i="31"/>
  <c r="BX903" i="31"/>
  <c r="BW903" i="31"/>
  <c r="BU903" i="31"/>
  <c r="BT903" i="31"/>
  <c r="BS903" i="31"/>
  <c r="BR903" i="31"/>
  <c r="BP903" i="31"/>
  <c r="BO903" i="31"/>
  <c r="BN903" i="31"/>
  <c r="BM903" i="31"/>
  <c r="BK903" i="31"/>
  <c r="BJ903" i="31"/>
  <c r="BI903" i="31"/>
  <c r="BH903" i="31"/>
  <c r="BF903" i="31"/>
  <c r="BE903" i="31"/>
  <c r="BD903" i="31"/>
  <c r="BC903" i="31"/>
  <c r="BA903" i="31"/>
  <c r="AZ903" i="31"/>
  <c r="AY903" i="31"/>
  <c r="AX903" i="31"/>
  <c r="AV903" i="31"/>
  <c r="AU903" i="31"/>
  <c r="AT903" i="31"/>
  <c r="AS903" i="31"/>
  <c r="AQ903" i="31"/>
  <c r="AP903" i="31"/>
  <c r="AO903" i="31"/>
  <c r="AN903" i="31"/>
  <c r="AL903" i="31"/>
  <c r="AK903" i="31"/>
  <c r="AJ903" i="31"/>
  <c r="AI903" i="31"/>
  <c r="AG903" i="31"/>
  <c r="AF903" i="31"/>
  <c r="AE903" i="31"/>
  <c r="AD903" i="31"/>
  <c r="AB903" i="31"/>
  <c r="AA903" i="31"/>
  <c r="Z903" i="31"/>
  <c r="Y903" i="31"/>
  <c r="W903" i="31"/>
  <c r="V903" i="31"/>
  <c r="U903" i="31"/>
  <c r="T903" i="31"/>
  <c r="R903" i="31"/>
  <c r="Q903" i="31"/>
  <c r="P903" i="31"/>
  <c r="O903" i="31"/>
  <c r="M903" i="31"/>
  <c r="L903" i="31"/>
  <c r="K903" i="31"/>
  <c r="J903" i="31"/>
  <c r="CY900" i="31"/>
  <c r="CX900" i="31"/>
  <c r="CW900" i="31"/>
  <c r="CV900" i="31"/>
  <c r="CT900" i="31"/>
  <c r="CS900" i="31"/>
  <c r="CR900" i="31"/>
  <c r="CQ900" i="31"/>
  <c r="CO900" i="31"/>
  <c r="CN900" i="31"/>
  <c r="CM900" i="31"/>
  <c r="CL900" i="31"/>
  <c r="CJ900" i="31"/>
  <c r="CI900" i="31"/>
  <c r="CH900" i="31"/>
  <c r="CG900" i="31"/>
  <c r="CE900" i="31"/>
  <c r="CD900" i="31"/>
  <c r="CC900" i="31"/>
  <c r="CB900" i="31"/>
  <c r="BZ900" i="31"/>
  <c r="BY900" i="31"/>
  <c r="BX900" i="31"/>
  <c r="BW900" i="31"/>
  <c r="BU900" i="31"/>
  <c r="BT900" i="31"/>
  <c r="BS900" i="31"/>
  <c r="BR900" i="31"/>
  <c r="BP900" i="31"/>
  <c r="BO900" i="31"/>
  <c r="BN900" i="31"/>
  <c r="BM900" i="31"/>
  <c r="BK900" i="31"/>
  <c r="BJ900" i="31"/>
  <c r="BI900" i="31"/>
  <c r="BH900" i="31"/>
  <c r="BF900" i="31"/>
  <c r="BE900" i="31"/>
  <c r="BD900" i="31"/>
  <c r="BC900" i="31"/>
  <c r="BA900" i="31"/>
  <c r="AZ900" i="31"/>
  <c r="AY900" i="31"/>
  <c r="AX900" i="31"/>
  <c r="AV900" i="31"/>
  <c r="AU900" i="31"/>
  <c r="AT900" i="31"/>
  <c r="AS900" i="31"/>
  <c r="AQ900" i="31"/>
  <c r="AP900" i="31"/>
  <c r="AO900" i="31"/>
  <c r="AN900" i="31"/>
  <c r="AL900" i="31"/>
  <c r="AK900" i="31"/>
  <c r="AJ900" i="31"/>
  <c r="AI900" i="31"/>
  <c r="AG900" i="31"/>
  <c r="AF900" i="31"/>
  <c r="AE900" i="31"/>
  <c r="AD900" i="31"/>
  <c r="AB900" i="31"/>
  <c r="AA900" i="31"/>
  <c r="Z900" i="31"/>
  <c r="Y900" i="31"/>
  <c r="W900" i="31"/>
  <c r="V900" i="31"/>
  <c r="U900" i="31"/>
  <c r="T900" i="31"/>
  <c r="R900" i="31"/>
  <c r="Q900" i="31"/>
  <c r="P900" i="31"/>
  <c r="O900" i="31"/>
  <c r="M900" i="31"/>
  <c r="L900" i="31"/>
  <c r="K900" i="31"/>
  <c r="J900" i="31"/>
  <c r="H900" i="31"/>
  <c r="G900" i="31"/>
  <c r="F900" i="31"/>
  <c r="E900" i="31"/>
  <c r="D900" i="31"/>
  <c r="CZ899" i="31"/>
  <c r="CU899" i="31"/>
  <c r="CP899" i="31"/>
  <c r="CK899" i="31"/>
  <c r="CF899" i="31"/>
  <c r="CA899" i="31"/>
  <c r="BV899" i="31"/>
  <c r="BQ899" i="31"/>
  <c r="BL899" i="31"/>
  <c r="BG899" i="31"/>
  <c r="BB899" i="31"/>
  <c r="AW899" i="31"/>
  <c r="AR899" i="31"/>
  <c r="AM899" i="31"/>
  <c r="AH899" i="31"/>
  <c r="AC899" i="31"/>
  <c r="X899" i="31"/>
  <c r="S899" i="31"/>
  <c r="N899" i="31"/>
  <c r="I899" i="31"/>
  <c r="CZ898" i="31"/>
  <c r="CU898" i="31"/>
  <c r="CP898" i="31"/>
  <c r="CK898" i="31"/>
  <c r="CF898" i="31"/>
  <c r="CA898" i="31"/>
  <c r="BV898" i="31"/>
  <c r="BQ898" i="31"/>
  <c r="BL898" i="31"/>
  <c r="BG898" i="31"/>
  <c r="BB898" i="31"/>
  <c r="AW898" i="31"/>
  <c r="AR898" i="31"/>
  <c r="AM898" i="31"/>
  <c r="AH898" i="31"/>
  <c r="AC898" i="31"/>
  <c r="X898" i="31"/>
  <c r="S898" i="31"/>
  <c r="N898" i="31"/>
  <c r="I898" i="31"/>
  <c r="AM1081" i="31" l="1"/>
  <c r="ED1208" i="31"/>
  <c r="EE1214" i="31"/>
  <c r="EA1084" i="31"/>
  <c r="DX1085" i="31"/>
  <c r="EA1085" i="31"/>
  <c r="EA1111" i="31"/>
  <c r="ED1220" i="31"/>
  <c r="AQ1186" i="31"/>
  <c r="AQ1192" i="31" s="1"/>
  <c r="DY946" i="31"/>
  <c r="DY1327" i="31"/>
  <c r="DY1080" i="31"/>
  <c r="DY1232" i="31"/>
  <c r="DY1244" i="31"/>
  <c r="DY934" i="31"/>
  <c r="DY1129" i="31"/>
  <c r="DY1208" i="31"/>
  <c r="DY1220" i="31"/>
  <c r="DX1226" i="31"/>
  <c r="DX1199" i="31"/>
  <c r="DY1223" i="31"/>
  <c r="DX940" i="31"/>
  <c r="DX1214" i="31"/>
  <c r="DY1224" i="31"/>
  <c r="DY937" i="31"/>
  <c r="DX952" i="31"/>
  <c r="DY1079" i="31"/>
  <c r="DY1097" i="31"/>
  <c r="DY949" i="31"/>
  <c r="DY1248" i="31"/>
  <c r="DX925" i="31"/>
  <c r="DX926" i="31"/>
  <c r="DX1111" i="31"/>
  <c r="DX1112" i="31" s="1"/>
  <c r="DY1211" i="31"/>
  <c r="DY1093" i="31"/>
  <c r="DY1105" i="31"/>
  <c r="DX1200" i="31"/>
  <c r="DY1212" i="31"/>
  <c r="DY1236" i="31"/>
  <c r="DX1238" i="31"/>
  <c r="DX1250" i="31"/>
  <c r="DY1336" i="31"/>
  <c r="ED1336" i="31" s="1"/>
  <c r="AS1186" i="31"/>
  <c r="AX1192" i="31" s="1"/>
  <c r="DR1084" i="31"/>
  <c r="DW1084" i="31"/>
  <c r="DU1108" i="31"/>
  <c r="DW1199" i="31"/>
  <c r="DW1330" i="31"/>
  <c r="DW1099" i="31"/>
  <c r="DW940" i="31"/>
  <c r="DS1085" i="31"/>
  <c r="DU1109" i="31"/>
  <c r="DU1110" i="31" s="1"/>
  <c r="DW1200" i="31"/>
  <c r="DW1214" i="31"/>
  <c r="DT1132" i="31"/>
  <c r="DW1135" i="31"/>
  <c r="DW1238" i="31"/>
  <c r="DW1108" i="31"/>
  <c r="DW925" i="31"/>
  <c r="DW1226" i="31"/>
  <c r="DW926" i="31"/>
  <c r="DV1108" i="31"/>
  <c r="DW952" i="31"/>
  <c r="DW1109" i="31"/>
  <c r="DW1110" i="31" s="1"/>
  <c r="DT1133" i="31"/>
  <c r="BF1349" i="31"/>
  <c r="BF46" i="31" s="1"/>
  <c r="BB1220" i="31"/>
  <c r="DL1194" i="31"/>
  <c r="DL1348" i="31" s="1"/>
  <c r="DL45" i="31" s="1"/>
  <c r="BD1288" i="31"/>
  <c r="BI1293" i="31" s="1"/>
  <c r="BI1294" i="31" s="1"/>
  <c r="BC1080" i="31"/>
  <c r="BC1349" i="31" s="1"/>
  <c r="BC46" i="31" s="1"/>
  <c r="BC47" i="31" s="1"/>
  <c r="BA1288" i="31"/>
  <c r="AJ1092" i="31"/>
  <c r="AO1097" i="31" s="1"/>
  <c r="AO1098" i="31" s="1"/>
  <c r="BU1348" i="31"/>
  <c r="BZ1352" i="31" s="1"/>
  <c r="AU1091" i="31"/>
  <c r="AZ1096" i="31" s="1"/>
  <c r="AK1092" i="31"/>
  <c r="AP1097" i="31" s="1"/>
  <c r="AP1098" i="31" s="1"/>
  <c r="BD1079" i="31"/>
  <c r="BD1348" i="31" s="1"/>
  <c r="BF1092" i="31"/>
  <c r="BK1097" i="31" s="1"/>
  <c r="BK1098" i="31" s="1"/>
  <c r="BJ1092" i="31"/>
  <c r="BO1097" i="31" s="1"/>
  <c r="BO1098" i="31" s="1"/>
  <c r="AW1208" i="31"/>
  <c r="BB1214" i="31" s="1"/>
  <c r="AV1092" i="31"/>
  <c r="BA1097" i="31" s="1"/>
  <c r="BA1098" i="31" s="1"/>
  <c r="BO1080" i="31"/>
  <c r="BT1085" i="31" s="1"/>
  <c r="AU1092" i="31"/>
  <c r="AZ1097" i="31" s="1"/>
  <c r="AZ1098" i="31" s="1"/>
  <c r="BO1092" i="31"/>
  <c r="BT1097" i="31" s="1"/>
  <c r="BT1098" i="31" s="1"/>
  <c r="CP1194" i="31"/>
  <c r="DT1194" i="31"/>
  <c r="DY1199" i="31" s="1"/>
  <c r="AH1330" i="31"/>
  <c r="AX1079" i="31"/>
  <c r="AX1348" i="31" s="1"/>
  <c r="AX45" i="31" s="1"/>
  <c r="AX47" i="31" s="1"/>
  <c r="K1081" i="31"/>
  <c r="AL1092" i="31"/>
  <c r="AQ1097" i="31" s="1"/>
  <c r="AQ1098" i="31" s="1"/>
  <c r="X1196" i="31"/>
  <c r="BB1196" i="31"/>
  <c r="AZ1079" i="31"/>
  <c r="AZ1348" i="31" s="1"/>
  <c r="AZ45" i="31" s="1"/>
  <c r="AZ47" i="31" s="1"/>
  <c r="BS1080" i="31"/>
  <c r="BS1349" i="31" s="1"/>
  <c r="BS46" i="31" s="1"/>
  <c r="BN1195" i="31"/>
  <c r="BN1200" i="31" s="1"/>
  <c r="AS1079" i="31"/>
  <c r="AS1348" i="31" s="1"/>
  <c r="AS45" i="31" s="1"/>
  <c r="AS47" i="31" s="1"/>
  <c r="BN1079" i="31"/>
  <c r="BS1084" i="31" s="1"/>
  <c r="BO1079" i="31"/>
  <c r="BO1084" i="31" s="1"/>
  <c r="X1073" i="31"/>
  <c r="BB1073" i="31"/>
  <c r="CF1168" i="31"/>
  <c r="CW952" i="31"/>
  <c r="DD952" i="31"/>
  <c r="AR900" i="31"/>
  <c r="O906" i="31"/>
  <c r="AD906" i="31"/>
  <c r="AC1037" i="31"/>
  <c r="BG1037" i="31"/>
  <c r="BT1079" i="31"/>
  <c r="BT1081" i="31" s="1"/>
  <c r="BD1091" i="31"/>
  <c r="BD1093" i="31" s="1"/>
  <c r="BI1099" i="31" s="1"/>
  <c r="BK1091" i="31"/>
  <c r="BP1096" i="31" s="1"/>
  <c r="AX1091" i="31"/>
  <c r="AX1093" i="31" s="1"/>
  <c r="BC1099" i="31" s="1"/>
  <c r="N900" i="31"/>
  <c r="DE937" i="31"/>
  <c r="CQ1105" i="31"/>
  <c r="CQ1111" i="31" s="1"/>
  <c r="CR1109" i="31"/>
  <c r="BC1288" i="31"/>
  <c r="BH1293" i="31" s="1"/>
  <c r="BH1294" i="31" s="1"/>
  <c r="CP949" i="31"/>
  <c r="CA903" i="31"/>
  <c r="AM904" i="31"/>
  <c r="CU904" i="31"/>
  <c r="X915" i="31"/>
  <c r="BB915" i="31"/>
  <c r="CF915" i="31"/>
  <c r="AM1074" i="31"/>
  <c r="AY1092" i="31"/>
  <c r="BD1097" i="31" s="1"/>
  <c r="BD1098" i="31" s="1"/>
  <c r="CK1097" i="31"/>
  <c r="DO1097" i="31"/>
  <c r="DN1105" i="31"/>
  <c r="BC1091" i="31"/>
  <c r="BC1093" i="31" s="1"/>
  <c r="BH1099" i="31" s="1"/>
  <c r="BJ1091" i="31"/>
  <c r="BO1096" i="31" s="1"/>
  <c r="AZ1092" i="31"/>
  <c r="BE1097" i="31" s="1"/>
  <c r="BE1098" i="31" s="1"/>
  <c r="AY1159" i="31"/>
  <c r="BE1159" i="31"/>
  <c r="AS1265" i="31"/>
  <c r="AN1265" i="31" s="1"/>
  <c r="AI1265" i="31" s="1"/>
  <c r="BG903" i="31"/>
  <c r="CK903" i="31"/>
  <c r="S904" i="31"/>
  <c r="AW904" i="31"/>
  <c r="CA904" i="31"/>
  <c r="CP1097" i="31"/>
  <c r="BE1091" i="31"/>
  <c r="BJ1096" i="31" s="1"/>
  <c r="CL1164" i="31"/>
  <c r="CL1170" i="31" s="1"/>
  <c r="DE1195" i="31"/>
  <c r="DR1214" i="31"/>
  <c r="X1343" i="31"/>
  <c r="AC900" i="31"/>
  <c r="CV940" i="31"/>
  <c r="CS1214" i="31"/>
  <c r="DA1214" i="31"/>
  <c r="CK1212" i="31"/>
  <c r="CP1223" i="31"/>
  <c r="DT1223" i="31"/>
  <c r="CK1236" i="31"/>
  <c r="DO1236" i="31"/>
  <c r="DV1250" i="31"/>
  <c r="K906" i="31"/>
  <c r="CZ949" i="31"/>
  <c r="CE976" i="31"/>
  <c r="BU1080" i="31"/>
  <c r="BZ1085" i="31" s="1"/>
  <c r="CF1167" i="31"/>
  <c r="CK1168" i="31"/>
  <c r="CU1194" i="31"/>
  <c r="AW1330" i="31"/>
  <c r="CA1330" i="31"/>
  <c r="DE1330" i="31"/>
  <c r="CF995" i="31"/>
  <c r="K1076" i="31"/>
  <c r="BA1080" i="31"/>
  <c r="BA1349" i="31" s="1"/>
  <c r="BA46" i="31" s="1"/>
  <c r="CP1235" i="31"/>
  <c r="DT1235" i="31"/>
  <c r="BP917" i="31"/>
  <c r="BP1080" i="31"/>
  <c r="BP1188" i="31" s="1"/>
  <c r="AH1199" i="31"/>
  <c r="DE1194" i="31"/>
  <c r="BI917" i="31"/>
  <c r="BW987" i="31"/>
  <c r="BH1009" i="31"/>
  <c r="AH1041" i="31"/>
  <c r="AE1076" i="31"/>
  <c r="BR47" i="31"/>
  <c r="AX1092" i="31"/>
  <c r="BC1097" i="31" s="1"/>
  <c r="BC1098" i="31" s="1"/>
  <c r="AZ1181" i="31"/>
  <c r="AT917" i="31"/>
  <c r="CL925" i="31"/>
  <c r="DH925" i="31"/>
  <c r="CZ1081" i="31"/>
  <c r="BP1091" i="31"/>
  <c r="BP1093" i="31" s="1"/>
  <c r="BU1099" i="31" s="1"/>
  <c r="CB1170" i="31"/>
  <c r="CI1170" i="31"/>
  <c r="AY1091" i="31"/>
  <c r="BD1096" i="31" s="1"/>
  <c r="BF1091" i="31"/>
  <c r="BK1096" i="31" s="1"/>
  <c r="AP1278" i="31"/>
  <c r="BV1282" i="31"/>
  <c r="BU1344" i="31"/>
  <c r="BU1345" i="31" s="1"/>
  <c r="AM915" i="31"/>
  <c r="BQ915" i="31"/>
  <c r="X1074" i="31"/>
  <c r="BB1074" i="31"/>
  <c r="Q1081" i="31"/>
  <c r="H1129" i="31"/>
  <c r="AV1091" i="31"/>
  <c r="AV1093" i="31" s="1"/>
  <c r="BA1099" i="31" s="1"/>
  <c r="BK1159" i="31"/>
  <c r="CK1167" i="31"/>
  <c r="BN1092" i="31"/>
  <c r="BS1097" i="31" s="1"/>
  <c r="DD1196" i="31"/>
  <c r="CK1224" i="31"/>
  <c r="DO1224" i="31"/>
  <c r="BS1255" i="31"/>
  <c r="BS1260" i="31" s="1"/>
  <c r="BC1303" i="31"/>
  <c r="BC1304" i="31" s="1"/>
  <c r="AC1331" i="31"/>
  <c r="BG1331" i="31"/>
  <c r="CK1331" i="31"/>
  <c r="CT926" i="31"/>
  <c r="BL1041" i="31"/>
  <c r="E1081" i="31"/>
  <c r="AT47" i="31"/>
  <c r="N1189" i="31"/>
  <c r="N1128" i="31" s="1"/>
  <c r="N1133" i="31" s="1"/>
  <c r="N1085" i="31"/>
  <c r="AV1190" i="31"/>
  <c r="AV1191" i="31" s="1"/>
  <c r="BS1186" i="31"/>
  <c r="BS1192" i="31" s="1"/>
  <c r="AW1219" i="31"/>
  <c r="BB1224" i="31" s="1"/>
  <c r="DE1248" i="31"/>
  <c r="BE1256" i="31"/>
  <c r="BJ1262" i="31" s="1"/>
  <c r="CU950" i="31"/>
  <c r="CM992" i="31"/>
  <c r="CM998" i="31" s="1"/>
  <c r="AC1073" i="31"/>
  <c r="BG1073" i="31"/>
  <c r="DS1108" i="31"/>
  <c r="BP1079" i="31"/>
  <c r="BU1084" i="31" s="1"/>
  <c r="N1081" i="31"/>
  <c r="S1190" i="31"/>
  <c r="CP1212" i="31"/>
  <c r="DT1212" i="31"/>
  <c r="AM1300" i="31"/>
  <c r="CP1327" i="31"/>
  <c r="AY47" i="31"/>
  <c r="CK900" i="31"/>
  <c r="CN906" i="31"/>
  <c r="AH911" i="31"/>
  <c r="BE917" i="31"/>
  <c r="CX917" i="31"/>
  <c r="CI940" i="31"/>
  <c r="CQ940" i="31"/>
  <c r="DF940" i="31"/>
  <c r="BR976" i="31"/>
  <c r="BY976" i="31"/>
  <c r="AZ1047" i="31"/>
  <c r="BE1047" i="31" s="1"/>
  <c r="BE1048" i="31" s="1"/>
  <c r="BJ1054" i="31" s="1"/>
  <c r="AU1084" i="31"/>
  <c r="CK1084" i="31"/>
  <c r="CL1087" i="31"/>
  <c r="CS1087" i="31"/>
  <c r="DA1087" i="31"/>
  <c r="DH1087" i="31"/>
  <c r="DP1087" i="31"/>
  <c r="CS1108" i="31"/>
  <c r="DA1105" i="31"/>
  <c r="CC1170" i="31"/>
  <c r="CJ1170" i="31"/>
  <c r="CN1170" i="31"/>
  <c r="AZ1091" i="31"/>
  <c r="BE1096" i="31" s="1"/>
  <c r="BH1091" i="31"/>
  <c r="BH1093" i="31" s="1"/>
  <c r="BM1099" i="31" s="1"/>
  <c r="DF1200" i="31"/>
  <c r="DN1250" i="31"/>
  <c r="AZ1281" i="31"/>
  <c r="DJ938" i="31"/>
  <c r="DG940" i="31"/>
  <c r="CQ964" i="31"/>
  <c r="AW1041" i="31"/>
  <c r="J1043" i="31"/>
  <c r="Q1043" i="31"/>
  <c r="AS1051" i="31"/>
  <c r="W1081" i="31"/>
  <c r="AC1081" i="31"/>
  <c r="AI1081" i="31"/>
  <c r="AQ1079" i="31"/>
  <c r="AQ1348" i="31" s="1"/>
  <c r="AQ45" i="31" s="1"/>
  <c r="CM1087" i="31"/>
  <c r="CT1087" i="31"/>
  <c r="DB1087" i="31"/>
  <c r="DQ1087" i="31"/>
  <c r="CN1099" i="31"/>
  <c r="BJ1159" i="31"/>
  <c r="BJ1170" i="31"/>
  <c r="BA1091" i="31"/>
  <c r="BF1096" i="31" s="1"/>
  <c r="BI1091" i="31"/>
  <c r="BI1093" i="31" s="1"/>
  <c r="BN1099" i="31" s="1"/>
  <c r="Z1202" i="31"/>
  <c r="AS1278" i="31"/>
  <c r="AQ1002" i="31"/>
  <c r="AV1007" i="31" s="1"/>
  <c r="AV1008" i="31" s="1"/>
  <c r="AR1001" i="31"/>
  <c r="AW1037" i="31"/>
  <c r="S1037" i="31"/>
  <c r="DJ934" i="31"/>
  <c r="I1133" i="31"/>
  <c r="O1133" i="31"/>
  <c r="DJ1195" i="31"/>
  <c r="BH1092" i="31"/>
  <c r="BM1097" i="31" s="1"/>
  <c r="BM1098" i="31" s="1"/>
  <c r="CQ1108" i="31"/>
  <c r="CY964" i="31"/>
  <c r="AT1181" i="31"/>
  <c r="BO1189" i="31"/>
  <c r="BZ47" i="31"/>
  <c r="BX47" i="31"/>
  <c r="DG926" i="31"/>
  <c r="CQ952" i="31"/>
  <c r="CJ964" i="31"/>
  <c r="T1043" i="31"/>
  <c r="DV1081" i="31"/>
  <c r="M1085" i="31"/>
  <c r="CN1087" i="31"/>
  <c r="DP1108" i="31"/>
  <c r="AT906" i="31"/>
  <c r="BA906" i="31"/>
  <c r="BD906" i="31"/>
  <c r="BK906" i="31"/>
  <c r="BZ1350" i="31"/>
  <c r="N914" i="31"/>
  <c r="BQ914" i="31"/>
  <c r="AH915" i="31"/>
  <c r="BL915" i="31"/>
  <c r="CP915" i="31"/>
  <c r="K917" i="31"/>
  <c r="AG917" i="31"/>
  <c r="AO917" i="31"/>
  <c r="BK917" i="31"/>
  <c r="CJ917" i="31"/>
  <c r="CW917" i="31"/>
  <c r="DA926" i="31"/>
  <c r="DH926" i="31"/>
  <c r="DE946" i="31"/>
  <c r="DI952" i="31"/>
  <c r="DA964" i="31"/>
  <c r="DE958" i="31"/>
  <c r="BW976" i="31"/>
  <c r="CD976" i="31"/>
  <c r="AB1043" i="31"/>
  <c r="AH1073" i="31"/>
  <c r="BL1073" i="31"/>
  <c r="U1076" i="31"/>
  <c r="AB1076" i="31"/>
  <c r="AY1076" i="31"/>
  <c r="BF1076" i="31"/>
  <c r="O47" i="31"/>
  <c r="U47" i="31"/>
  <c r="AA47" i="31"/>
  <c r="AG47" i="31"/>
  <c r="AV1080" i="31"/>
  <c r="AV1349" i="31" s="1"/>
  <c r="BK1080" i="31"/>
  <c r="BK1085" i="31" s="1"/>
  <c r="BY1085" i="31"/>
  <c r="CF1081" i="31"/>
  <c r="AN1092" i="31"/>
  <c r="AS1097" i="31" s="1"/>
  <c r="AS1098" i="31" s="1"/>
  <c r="CR1108" i="31"/>
  <c r="CY1108" i="31"/>
  <c r="DB1105" i="31"/>
  <c r="DQ1108" i="31"/>
  <c r="DZ1079" i="31"/>
  <c r="EE1084" i="31" s="1"/>
  <c r="AN1148" i="31"/>
  <c r="AT1148" i="31"/>
  <c r="AZ1148" i="31"/>
  <c r="BF1148" i="31"/>
  <c r="BH1159" i="31"/>
  <c r="CH1186" i="31"/>
  <c r="Y917" i="31"/>
  <c r="DN926" i="31"/>
  <c r="BG1070" i="31"/>
  <c r="BW1079" i="31"/>
  <c r="BW1348" i="31" s="1"/>
  <c r="BW45" i="31" s="1"/>
  <c r="BW47" i="31" s="1"/>
  <c r="Q906" i="31"/>
  <c r="AA906" i="31"/>
  <c r="AX906" i="31"/>
  <c r="BE906" i="31"/>
  <c r="BY906" i="31"/>
  <c r="AI917" i="31"/>
  <c r="CW925" i="31"/>
  <c r="DD925" i="31"/>
  <c r="DV922" i="31"/>
  <c r="EA928" i="31" s="1"/>
  <c r="DO921" i="31"/>
  <c r="DE921" i="31"/>
  <c r="DA952" i="31"/>
  <c r="DP952" i="31"/>
  <c r="DE962" i="31"/>
  <c r="CF974" i="31"/>
  <c r="I1085" i="31"/>
  <c r="O1354" i="31"/>
  <c r="J46" i="31"/>
  <c r="J47" i="31" s="1"/>
  <c r="U1354" i="31"/>
  <c r="P46" i="31"/>
  <c r="P47" i="31" s="1"/>
  <c r="AA1354" i="31"/>
  <c r="V46" i="31"/>
  <c r="V47" i="31" s="1"/>
  <c r="AG1354" i="31"/>
  <c r="AB46" i="31"/>
  <c r="AB47" i="31" s="1"/>
  <c r="AM1085" i="31"/>
  <c r="AP1080" i="31"/>
  <c r="AP1349" i="31" s="1"/>
  <c r="AP46" i="31" s="1"/>
  <c r="BE47" i="31"/>
  <c r="BN1080" i="31"/>
  <c r="BN1085" i="31" s="1"/>
  <c r="DT1080" i="31"/>
  <c r="AO1092" i="31"/>
  <c r="AT1097" i="31" s="1"/>
  <c r="AT1098" i="31" s="1"/>
  <c r="BC1092" i="31"/>
  <c r="BH1097" i="31" s="1"/>
  <c r="BH1098" i="31" s="1"/>
  <c r="CN1105" i="31"/>
  <c r="CN1111" i="31" s="1"/>
  <c r="CV1105" i="31"/>
  <c r="DM1105" i="31"/>
  <c r="DN1109" i="31"/>
  <c r="CA1105" i="31"/>
  <c r="DS1109" i="31"/>
  <c r="D1129" i="31"/>
  <c r="J1129" i="31"/>
  <c r="P1129" i="31"/>
  <c r="U1135" i="31" s="1"/>
  <c r="BG1145" i="31"/>
  <c r="BQ1156" i="31"/>
  <c r="BB1167" i="31"/>
  <c r="BB1178" i="31"/>
  <c r="AO1181" i="31"/>
  <c r="CJ940" i="31"/>
  <c r="AC1070" i="31"/>
  <c r="S1085" i="31"/>
  <c r="M906" i="31"/>
  <c r="U906" i="31"/>
  <c r="AY906" i="31"/>
  <c r="CX925" i="31"/>
  <c r="CX922" i="31"/>
  <c r="CK950" i="31"/>
  <c r="CB998" i="31"/>
  <c r="W1043" i="31"/>
  <c r="AG1043" i="31"/>
  <c r="AT1043" i="31"/>
  <c r="BA1043" i="31"/>
  <c r="S1074" i="31"/>
  <c r="AW1074" i="31"/>
  <c r="H1081" i="31"/>
  <c r="AQ1080" i="31"/>
  <c r="AQ1085" i="31" s="1"/>
  <c r="AQ1086" i="31" s="1"/>
  <c r="AI1092" i="31"/>
  <c r="AN1097" i="31" s="1"/>
  <c r="AN1098" i="31" s="1"/>
  <c r="AP1092" i="31"/>
  <c r="AU1097" i="31" s="1"/>
  <c r="AU1098" i="31" s="1"/>
  <c r="BE1092" i="31"/>
  <c r="BJ1097" i="31" s="1"/>
  <c r="BJ1098" i="31" s="1"/>
  <c r="CO1105" i="31"/>
  <c r="CO1111" i="31" s="1"/>
  <c r="CW1105" i="31"/>
  <c r="DG1105" i="31"/>
  <c r="CS1109" i="31"/>
  <c r="DA1109" i="31"/>
  <c r="DR1109" i="31"/>
  <c r="E1129" i="31"/>
  <c r="AS1168" i="31"/>
  <c r="AS1169" i="31" s="1"/>
  <c r="BK1092" i="31"/>
  <c r="BP1097" i="31" s="1"/>
  <c r="BP1098" i="31" s="1"/>
  <c r="AM1189" i="31"/>
  <c r="CB1190" i="31"/>
  <c r="CI1190" i="31"/>
  <c r="R1192" i="31"/>
  <c r="AE1192" i="31"/>
  <c r="AL1192" i="31"/>
  <c r="BI1196" i="31"/>
  <c r="BI1202" i="31" s="1"/>
  <c r="CU1235" i="31"/>
  <c r="CK1248" i="31"/>
  <c r="BT1265" i="31"/>
  <c r="BT1270" i="31" s="1"/>
  <c r="BQ1282" i="31"/>
  <c r="BL1278" i="31"/>
  <c r="AM1330" i="31"/>
  <c r="BQ1330" i="31"/>
  <c r="X1331" i="31"/>
  <c r="BB1331" i="31"/>
  <c r="CF1331" i="31"/>
  <c r="AC1300" i="31"/>
  <c r="DL1214" i="31"/>
  <c r="DS1214" i="31"/>
  <c r="CU1195" i="31"/>
  <c r="CJ1250" i="31"/>
  <c r="CR1250" i="31"/>
  <c r="DG1250" i="31"/>
  <c r="AL1281" i="31"/>
  <c r="AT1281" i="31"/>
  <c r="BA1281" i="31"/>
  <c r="BM1333" i="31"/>
  <c r="BT1333" i="31"/>
  <c r="DR1327" i="31"/>
  <c r="BU1340" i="31"/>
  <c r="O1346" i="31"/>
  <c r="V1346" i="31"/>
  <c r="AD1346" i="31"/>
  <c r="AK1346" i="31"/>
  <c r="AS1346" i="31"/>
  <c r="CP1195" i="31"/>
  <c r="DT1195" i="31"/>
  <c r="CL1250" i="31"/>
  <c r="CS1250" i="31"/>
  <c r="CZ1244" i="31"/>
  <c r="DP1250" i="31"/>
  <c r="BJ1284" i="31"/>
  <c r="M1333" i="31"/>
  <c r="U1333" i="31"/>
  <c r="AB1333" i="31"/>
  <c r="AJ1333" i="31"/>
  <c r="AQ1333" i="31"/>
  <c r="AY1333" i="31"/>
  <c r="BF1333" i="31"/>
  <c r="W1346" i="31"/>
  <c r="CB1186" i="31"/>
  <c r="AH1190" i="31"/>
  <c r="CH1190" i="31"/>
  <c r="CJ1186" i="31"/>
  <c r="O1192" i="31"/>
  <c r="AK1192" i="31"/>
  <c r="DL1195" i="31"/>
  <c r="DL1200" i="31" s="1"/>
  <c r="T1202" i="31"/>
  <c r="AP1202" i="31"/>
  <c r="CM1214" i="31"/>
  <c r="CT1214" i="31"/>
  <c r="DH1238" i="31"/>
  <c r="DP1238" i="31"/>
  <c r="AQ1281" i="31"/>
  <c r="BS1284" i="31"/>
  <c r="CH1303" i="31"/>
  <c r="CH1314" i="31" s="1"/>
  <c r="CH1319" i="31" s="1"/>
  <c r="AC1327" i="31"/>
  <c r="CP1330" i="31"/>
  <c r="O1333" i="31"/>
  <c r="V1333" i="31"/>
  <c r="L906" i="31"/>
  <c r="CU915" i="31"/>
  <c r="CQ917" i="31"/>
  <c r="X900" i="31"/>
  <c r="AZ906" i="31"/>
  <c r="BB900" i="31"/>
  <c r="CP900" i="31"/>
  <c r="X903" i="31"/>
  <c r="AH903" i="31"/>
  <c r="CP903" i="31"/>
  <c r="BB904" i="31"/>
  <c r="AG906" i="31"/>
  <c r="BJ906" i="31"/>
  <c r="DK922" i="31"/>
  <c r="DE949" i="31"/>
  <c r="CZ950" i="31"/>
  <c r="BU998" i="31"/>
  <c r="CF992" i="31"/>
  <c r="CQ991" i="31"/>
  <c r="CV991" i="31" s="1"/>
  <c r="DA991" i="31" s="1"/>
  <c r="AZ1002" i="31"/>
  <c r="BE1002" i="31" s="1"/>
  <c r="BE1003" i="31" s="1"/>
  <c r="BE1014" i="31"/>
  <c r="BJ1020" i="31" s="1"/>
  <c r="AC1040" i="31"/>
  <c r="BG1040" i="31"/>
  <c r="AC1041" i="31"/>
  <c r="BG1041" i="31"/>
  <c r="AU1043" i="31"/>
  <c r="AV1051" i="31"/>
  <c r="CP961" i="31"/>
  <c r="CU962" i="31"/>
  <c r="BC1018" i="31"/>
  <c r="BC1019" i="31" s="1"/>
  <c r="BC1014" i="31"/>
  <c r="BH1013" i="31"/>
  <c r="BH1014" i="31" s="1"/>
  <c r="CK968" i="31"/>
  <c r="CK973" i="31" s="1"/>
  <c r="CO968" i="31"/>
  <c r="CT968" i="31" s="1"/>
  <c r="CY968" i="31" s="1"/>
  <c r="CL926" i="31"/>
  <c r="CL927" i="31" s="1"/>
  <c r="CK921" i="31"/>
  <c r="CU961" i="31"/>
  <c r="BC1059" i="31"/>
  <c r="BC1065" i="31" s="1"/>
  <c r="BH1058" i="31"/>
  <c r="BH1059" i="31" s="1"/>
  <c r="DU1059" i="31"/>
  <c r="BG904" i="31"/>
  <c r="DU925" i="31"/>
  <c r="DU922" i="31"/>
  <c r="M917" i="31"/>
  <c r="BM917" i="31"/>
  <c r="S900" i="31"/>
  <c r="BB903" i="31"/>
  <c r="AB906" i="31"/>
  <c r="BF906" i="31"/>
  <c r="CY906" i="31"/>
  <c r="AC903" i="31"/>
  <c r="CZ915" i="31"/>
  <c r="O917" i="31"/>
  <c r="AK917" i="31"/>
  <c r="AQ917" i="31"/>
  <c r="CY917" i="31"/>
  <c r="CN926" i="31"/>
  <c r="CN927" i="31" s="1"/>
  <c r="DK926" i="31"/>
  <c r="CP937" i="31"/>
  <c r="CK938" i="31"/>
  <c r="DO938" i="31"/>
  <c r="DH940" i="31"/>
  <c r="CG964" i="31"/>
  <c r="BM976" i="31"/>
  <c r="BV985" i="31"/>
  <c r="CA981" i="31"/>
  <c r="AX1006" i="31"/>
  <c r="S1041" i="31"/>
  <c r="BF1059" i="31"/>
  <c r="BF1065" i="31" s="1"/>
  <c r="V906" i="31"/>
  <c r="BI906" i="31"/>
  <c r="CF900" i="31"/>
  <c r="CS906" i="31"/>
  <c r="AU917" i="31"/>
  <c r="BO917" i="31"/>
  <c r="CS917" i="31"/>
  <c r="CR925" i="31"/>
  <c r="DV925" i="31"/>
  <c r="CH926" i="31"/>
  <c r="CO926" i="31"/>
  <c r="CO927" i="31" s="1"/>
  <c r="DL926" i="31"/>
  <c r="DS926" i="31"/>
  <c r="DT920" i="31"/>
  <c r="DY925" i="31" s="1"/>
  <c r="CM940" i="31"/>
  <c r="CT940" i="31"/>
  <c r="DB940" i="31"/>
  <c r="DI940" i="31"/>
  <c r="CA985" i="31"/>
  <c r="BM1023" i="31"/>
  <c r="BM1028" i="31" s="1"/>
  <c r="BD1059" i="31"/>
  <c r="BD1065" i="31" s="1"/>
  <c r="M1076" i="31"/>
  <c r="CK1085" i="31"/>
  <c r="DS1081" i="31"/>
  <c r="CK1096" i="31"/>
  <c r="DO1096" i="31"/>
  <c r="DJ1097" i="31"/>
  <c r="CQ1099" i="31"/>
  <c r="CU1103" i="31"/>
  <c r="CU1108" i="31" s="1"/>
  <c r="DI1105" i="31"/>
  <c r="DI1108" i="31"/>
  <c r="CY1109" i="31"/>
  <c r="BN1148" i="31"/>
  <c r="AZ1147" i="31"/>
  <c r="AP1170" i="31"/>
  <c r="AW1178" i="31"/>
  <c r="BB1179" i="31"/>
  <c r="X1199" i="31"/>
  <c r="S1196" i="31"/>
  <c r="CY1250" i="31"/>
  <c r="CU1244" i="31"/>
  <c r="CU1081" i="31"/>
  <c r="DT1079" i="31"/>
  <c r="DH1105" i="31"/>
  <c r="DI1109" i="31"/>
  <c r="BM1164" i="31"/>
  <c r="BR1170" i="31" s="1"/>
  <c r="AW1196" i="31"/>
  <c r="BP1271" i="31"/>
  <c r="BU1266" i="31"/>
  <c r="BU1271" i="31" s="1"/>
  <c r="O1076" i="31"/>
  <c r="V1076" i="31"/>
  <c r="AS1076" i="31"/>
  <c r="AZ1076" i="31"/>
  <c r="BK1084" i="31"/>
  <c r="BE1354" i="31"/>
  <c r="BE1355" i="31" s="1"/>
  <c r="CO1087" i="31"/>
  <c r="CW1087" i="31"/>
  <c r="DD1087" i="31"/>
  <c r="DL1087" i="31"/>
  <c r="DK1108" i="31"/>
  <c r="DE1104" i="31"/>
  <c r="DA1108" i="31"/>
  <c r="AL1170" i="31"/>
  <c r="AQ1170" i="31"/>
  <c r="BD1170" i="31"/>
  <c r="BK1170" i="31"/>
  <c r="BW1170" i="31"/>
  <c r="CD1170" i="31"/>
  <c r="BR1270" i="31"/>
  <c r="BW1265" i="31"/>
  <c r="CB1265" i="31" s="1"/>
  <c r="CG1265" i="31" s="1"/>
  <c r="CL1265" i="31" s="1"/>
  <c r="BL1330" i="31"/>
  <c r="BG1327" i="31"/>
  <c r="CW922" i="31"/>
  <c r="DI925" i="31"/>
  <c r="CI926" i="31"/>
  <c r="CW926" i="31"/>
  <c r="DD926" i="31"/>
  <c r="DZ920" i="31"/>
  <c r="EE925" i="31" s="1"/>
  <c r="CZ938" i="31"/>
  <c r="CG940" i="31"/>
  <c r="DQ952" i="31"/>
  <c r="CO964" i="31"/>
  <c r="CW964" i="31"/>
  <c r="DD964" i="31"/>
  <c r="CV969" i="31"/>
  <c r="DA969" i="31" s="1"/>
  <c r="AS1006" i="31"/>
  <c r="AY1043" i="31"/>
  <c r="P1076" i="31"/>
  <c r="W1076" i="31"/>
  <c r="AT1076" i="31"/>
  <c r="BA1076" i="31"/>
  <c r="BP1076" i="31"/>
  <c r="F1081" i="31"/>
  <c r="Q1084" i="31"/>
  <c r="X1081" i="31"/>
  <c r="AI1084" i="31"/>
  <c r="BH1081" i="31"/>
  <c r="DJ1084" i="31"/>
  <c r="AY1354" i="31"/>
  <c r="AY1355" i="31" s="1"/>
  <c r="AQ1092" i="31"/>
  <c r="AV1097" i="31" s="1"/>
  <c r="AV1098" i="31" s="1"/>
  <c r="U1093" i="31"/>
  <c r="Z1099" i="31" s="1"/>
  <c r="DC1099" i="31"/>
  <c r="DK1099" i="31"/>
  <c r="DN1108" i="31"/>
  <c r="CT1109" i="31"/>
  <c r="CZ1104" i="31"/>
  <c r="DK1109" i="31"/>
  <c r="DM1109" i="31"/>
  <c r="BL1105" i="31"/>
  <c r="DP1105" i="31"/>
  <c r="DG1108" i="31"/>
  <c r="K1132" i="31"/>
  <c r="Q1132" i="31"/>
  <c r="AS1148" i="31"/>
  <c r="AX1159" i="31"/>
  <c r="CL1168" i="31"/>
  <c r="CL1169" i="31" s="1"/>
  <c r="CQ1168" i="31"/>
  <c r="CQ1169" i="31" s="1"/>
  <c r="CP1163" i="31"/>
  <c r="AR1179" i="31"/>
  <c r="CI1189" i="31"/>
  <c r="CJ1190" i="31"/>
  <c r="Y1192" i="31"/>
  <c r="AF1192" i="31"/>
  <c r="AB1202" i="31"/>
  <c r="CQ922" i="31"/>
  <c r="DC925" i="31"/>
  <c r="DE920" i="31"/>
  <c r="DE938" i="31"/>
  <c r="CO940" i="31"/>
  <c r="DL940" i="31"/>
  <c r="DS940" i="31"/>
  <c r="CP950" i="31"/>
  <c r="CI952" i="31"/>
  <c r="DC952" i="31"/>
  <c r="DR952" i="31"/>
  <c r="CK961" i="31"/>
  <c r="CP962" i="31"/>
  <c r="CI964" i="31"/>
  <c r="CX964" i="31"/>
  <c r="BZ987" i="31"/>
  <c r="CG998" i="31"/>
  <c r="AZ1006" i="31"/>
  <c r="AN1002" i="31"/>
  <c r="BI1009" i="31"/>
  <c r="AR1041" i="31"/>
  <c r="U1043" i="31"/>
  <c r="AA1043" i="31"/>
  <c r="AI1043" i="31"/>
  <c r="BM1043" i="31"/>
  <c r="N1040" i="31"/>
  <c r="AF1076" i="31"/>
  <c r="AN1076" i="31"/>
  <c r="AU1076" i="31"/>
  <c r="BJ1076" i="31"/>
  <c r="L1084" i="31"/>
  <c r="X1084" i="31"/>
  <c r="CA1080" i="31"/>
  <c r="CF1085" i="31" s="1"/>
  <c r="BA1092" i="31"/>
  <c r="BF1097" i="31" s="1"/>
  <c r="BF1098" i="31" s="1"/>
  <c r="DE1097" i="31"/>
  <c r="CT1099" i="31"/>
  <c r="CW1099" i="31"/>
  <c r="BY1096" i="31"/>
  <c r="CU1104" i="31"/>
  <c r="DG1109" i="31"/>
  <c r="DM1108" i="31"/>
  <c r="BG1146" i="31"/>
  <c r="AR1178" i="31"/>
  <c r="AR1175" i="31"/>
  <c r="AU1189" i="31"/>
  <c r="BJ1186" i="31"/>
  <c r="BO1192" i="31" s="1"/>
  <c r="BJ1189" i="31"/>
  <c r="CC1189" i="31"/>
  <c r="CJ1189" i="31"/>
  <c r="CD1190" i="31"/>
  <c r="V1202" i="31"/>
  <c r="BC1282" i="31"/>
  <c r="BC1283" i="31" s="1"/>
  <c r="BB1277" i="31"/>
  <c r="BB1282" i="31" s="1"/>
  <c r="BB1283" i="31" s="1"/>
  <c r="CZ1194" i="31"/>
  <c r="BE1288" i="31"/>
  <c r="BE1293" i="31" s="1"/>
  <c r="BE1294" i="31" s="1"/>
  <c r="DT1232" i="31"/>
  <c r="BH1244" i="31"/>
  <c r="BH1250" i="31" s="1"/>
  <c r="AX1288" i="31"/>
  <c r="BH1266" i="31"/>
  <c r="BM1271" i="31" s="1"/>
  <c r="BH1333" i="31"/>
  <c r="N1340" i="31"/>
  <c r="AR1340" i="31"/>
  <c r="AC1196" i="31"/>
  <c r="DU1196" i="31"/>
  <c r="DU1200" i="31"/>
  <c r="P1202" i="31"/>
  <c r="AJ1202" i="31"/>
  <c r="BF1202" i="31"/>
  <c r="CL1196" i="31"/>
  <c r="CZ1223" i="31"/>
  <c r="DI1238" i="31"/>
  <c r="DJ1248" i="31"/>
  <c r="AY1288" i="31"/>
  <c r="AN1281" i="31"/>
  <c r="AU1281" i="31"/>
  <c r="AX1282" i="31"/>
  <c r="AX1283" i="31" s="1"/>
  <c r="AY1278" i="31"/>
  <c r="BD1284" i="31" s="1"/>
  <c r="BD1308" i="31"/>
  <c r="P1333" i="31"/>
  <c r="AE1333" i="31"/>
  <c r="CT1200" i="31"/>
  <c r="CT1201" i="31" s="1"/>
  <c r="J1202" i="31"/>
  <c r="AD1202" i="31"/>
  <c r="AZ1202" i="31"/>
  <c r="AV1288" i="31"/>
  <c r="CM1226" i="31"/>
  <c r="DB1226" i="31"/>
  <c r="DQ1226" i="31"/>
  <c r="DZ1194" i="31"/>
  <c r="CK1247" i="31"/>
  <c r="AO1281" i="31"/>
  <c r="BA1278" i="31"/>
  <c r="BF1284" i="31" s="1"/>
  <c r="BB1300" i="31"/>
  <c r="AO1148" i="31"/>
  <c r="AU1148" i="31"/>
  <c r="BH1148" i="31"/>
  <c r="BF1159" i="31"/>
  <c r="BB1164" i="31"/>
  <c r="AX1170" i="31"/>
  <c r="BE1170" i="31"/>
  <c r="AX1181" i="31"/>
  <c r="X1190" i="31"/>
  <c r="DR1196" i="31"/>
  <c r="DW1202" i="31" s="1"/>
  <c r="AT1202" i="31"/>
  <c r="CZ1195" i="31"/>
  <c r="CG1226" i="31"/>
  <c r="CV1226" i="31"/>
  <c r="DC1226" i="31"/>
  <c r="BA1242" i="31"/>
  <c r="BF1242" i="31" s="1"/>
  <c r="BF1244" i="31" s="1"/>
  <c r="CU1247" i="31"/>
  <c r="CP1248" i="31"/>
  <c r="AX1287" i="31"/>
  <c r="AX1281" i="31"/>
  <c r="AN1278" i="31"/>
  <c r="AZ1282" i="31"/>
  <c r="AZ1283" i="31" s="1"/>
  <c r="AM1284" i="31"/>
  <c r="BP1295" i="31"/>
  <c r="X1330" i="31"/>
  <c r="BB1330" i="31"/>
  <c r="CF1330" i="31"/>
  <c r="AH1331" i="31"/>
  <c r="BL1331" i="31"/>
  <c r="AG1333" i="31"/>
  <c r="CU1327" i="31"/>
  <c r="DS1333" i="31"/>
  <c r="BL1340" i="31"/>
  <c r="T1346" i="31"/>
  <c r="BL1145" i="31"/>
  <c r="BP1148" i="31"/>
  <c r="BA1159" i="31"/>
  <c r="BM1159" i="31"/>
  <c r="CA1167" i="31"/>
  <c r="AM1168" i="31"/>
  <c r="AM1092" i="31" s="1"/>
  <c r="AR1097" i="31" s="1"/>
  <c r="AR1098" i="31" s="1"/>
  <c r="AY1170" i="31"/>
  <c r="BF1170" i="31"/>
  <c r="AC1189" i="31"/>
  <c r="BX1189" i="31"/>
  <c r="AJ1192" i="31"/>
  <c r="S1199" i="31"/>
  <c r="AR1196" i="31"/>
  <c r="AR1200" i="31"/>
  <c r="AF1202" i="31"/>
  <c r="BC1202" i="31"/>
  <c r="DJ1224" i="31"/>
  <c r="BI1226" i="31"/>
  <c r="CK1235" i="31"/>
  <c r="DO1235" i="31"/>
  <c r="DJ1236" i="31"/>
  <c r="CZ1247" i="31"/>
  <c r="AP1267" i="31"/>
  <c r="AY1281" i="31"/>
  <c r="BA1282" i="31"/>
  <c r="BA1283" i="31" s="1"/>
  <c r="BM1289" i="31"/>
  <c r="BQ1289" i="31" s="1"/>
  <c r="AC1330" i="31"/>
  <c r="BG1330" i="31"/>
  <c r="CK1330" i="31"/>
  <c r="AM1331" i="31"/>
  <c r="BQ1331" i="31"/>
  <c r="AI1333" i="31"/>
  <c r="AP1333" i="31"/>
  <c r="BE1333" i="31"/>
  <c r="BS1333" i="31"/>
  <c r="BZ1333" i="31"/>
  <c r="CK1327" i="31"/>
  <c r="CW1333" i="31"/>
  <c r="DD1333" i="31"/>
  <c r="DV1333" i="31"/>
  <c r="BU1343" i="31"/>
  <c r="AM1340" i="31"/>
  <c r="AB1346" i="31"/>
  <c r="AJ1346" i="31"/>
  <c r="AQ1346" i="31"/>
  <c r="AY1346" i="31"/>
  <c r="DC1196" i="31"/>
  <c r="DI1196" i="31"/>
  <c r="DV1196" i="31"/>
  <c r="EA1202" i="31" s="1"/>
  <c r="CJ1196" i="31"/>
  <c r="DJ1194" i="31"/>
  <c r="CF1208" i="31"/>
  <c r="AU1232" i="31"/>
  <c r="AZ1238" i="31" s="1"/>
  <c r="DC1238" i="31"/>
  <c r="DR1238" i="31"/>
  <c r="CD1196" i="31"/>
  <c r="CD1202" i="31" s="1"/>
  <c r="CR1196" i="31"/>
  <c r="DO1194" i="31"/>
  <c r="AZ1214" i="31"/>
  <c r="CJ1226" i="31"/>
  <c r="CR1226" i="31"/>
  <c r="CY1226" i="31"/>
  <c r="DN1226" i="31"/>
  <c r="AP1232" i="31"/>
  <c r="CH1238" i="31"/>
  <c r="CO1238" i="31"/>
  <c r="CW1238" i="31"/>
  <c r="DD1238" i="31"/>
  <c r="CW1250" i="31"/>
  <c r="BN1194" i="31"/>
  <c r="BS1199" i="31" s="1"/>
  <c r="CG1214" i="31"/>
  <c r="CN1214" i="31"/>
  <c r="DH1214" i="31"/>
  <c r="BH1212" i="31"/>
  <c r="BH1213" i="31" s="1"/>
  <c r="DP1226" i="31"/>
  <c r="CU1248" i="31"/>
  <c r="BK1208" i="31"/>
  <c r="BP1207" i="31"/>
  <c r="BU1207" i="31" s="1"/>
  <c r="DJ1212" i="31"/>
  <c r="BC1220" i="31"/>
  <c r="BH1226" i="31" s="1"/>
  <c r="BP1219" i="31"/>
  <c r="BU1219" i="31" s="1"/>
  <c r="CZ1224" i="31"/>
  <c r="DE1220" i="31"/>
  <c r="BI1238" i="31"/>
  <c r="DM1250" i="31"/>
  <c r="CF903" i="31"/>
  <c r="N904" i="31"/>
  <c r="AR904" i="31"/>
  <c r="BV904" i="31"/>
  <c r="CZ904" i="31"/>
  <c r="AN906" i="31"/>
  <c r="AU906" i="31"/>
  <c r="AW900" i="31"/>
  <c r="BC906" i="31"/>
  <c r="CA900" i="31"/>
  <c r="R906" i="31"/>
  <c r="BN917" i="31"/>
  <c r="BS917" i="31"/>
  <c r="BT917" i="31"/>
  <c r="BY917" i="31"/>
  <c r="DU1014" i="31"/>
  <c r="DR926" i="31"/>
  <c r="DM926" i="31"/>
  <c r="CK914" i="31"/>
  <c r="S915" i="31"/>
  <c r="AW915" i="31"/>
  <c r="CA915" i="31"/>
  <c r="I911" i="31"/>
  <c r="I917" i="31" s="1"/>
  <c r="P917" i="31"/>
  <c r="U917" i="31"/>
  <c r="AB917" i="31"/>
  <c r="W917" i="31"/>
  <c r="BV914" i="31"/>
  <c r="DT937" i="31"/>
  <c r="DO937" i="31"/>
  <c r="AY1002" i="31"/>
  <c r="BD1007" i="31" s="1"/>
  <c r="BD1008" i="31" s="1"/>
  <c r="BD1006" i="31"/>
  <c r="AY1006" i="31"/>
  <c r="AV906" i="31"/>
  <c r="CH906" i="31"/>
  <c r="CM906" i="31"/>
  <c r="P906" i="31"/>
  <c r="AK906" i="31"/>
  <c r="AC911" i="31"/>
  <c r="I914" i="31"/>
  <c r="CK937" i="31"/>
  <c r="CZ962" i="31"/>
  <c r="DU1003" i="31"/>
  <c r="W906" i="31"/>
  <c r="AI906" i="31"/>
  <c r="AS906" i="31"/>
  <c r="CB906" i="31"/>
  <c r="BZ906" i="31"/>
  <c r="BG911" i="31"/>
  <c r="CU903" i="31"/>
  <c r="X904" i="31"/>
  <c r="CF904" i="31"/>
  <c r="J906" i="31"/>
  <c r="Y906" i="31"/>
  <c r="AJ906" i="31"/>
  <c r="AL906" i="31"/>
  <c r="CC906" i="31"/>
  <c r="CL906" i="31"/>
  <c r="AM914" i="31"/>
  <c r="AN917" i="31"/>
  <c r="AS917" i="31"/>
  <c r="BQ911" i="31"/>
  <c r="BX917" i="31"/>
  <c r="CC917" i="31"/>
  <c r="CP920" i="31"/>
  <c r="CQ925" i="31"/>
  <c r="DF926" i="31"/>
  <c r="BV996" i="31"/>
  <c r="T906" i="31"/>
  <c r="Z906" i="31"/>
  <c r="AE906" i="31"/>
  <c r="AF906" i="31"/>
  <c r="BL900" i="31"/>
  <c r="AM911" i="31"/>
  <c r="AR914" i="31"/>
  <c r="L917" i="31"/>
  <c r="Q917" i="31"/>
  <c r="DE950" i="31"/>
  <c r="CM964" i="31"/>
  <c r="CK958" i="31"/>
  <c r="BX976" i="31"/>
  <c r="BS976" i="31"/>
  <c r="CI906" i="31"/>
  <c r="CO906" i="31"/>
  <c r="CZ900" i="31"/>
  <c r="S914" i="31"/>
  <c r="AW914" i="31"/>
  <c r="CA914" i="31"/>
  <c r="AV917" i="31"/>
  <c r="BV911" i="31"/>
  <c r="CV917" i="31"/>
  <c r="CE922" i="31"/>
  <c r="CX926" i="31"/>
  <c r="CN940" i="31"/>
  <c r="CZ934" i="31"/>
  <c r="DJ950" i="31"/>
  <c r="DV952" i="31"/>
  <c r="CZ961" i="31"/>
  <c r="CN964" i="31"/>
  <c r="CT964" i="31"/>
  <c r="CA970" i="31"/>
  <c r="CM976" i="31"/>
  <c r="BV974" i="31"/>
  <c r="BY987" i="31"/>
  <c r="CR990" i="31"/>
  <c r="CW990" i="31" s="1"/>
  <c r="CA996" i="31"/>
  <c r="BX998" i="31"/>
  <c r="CR991" i="31"/>
  <c r="CW991" i="31" s="1"/>
  <c r="DB991" i="31" s="1"/>
  <c r="BR1001" i="31"/>
  <c r="BR1023" i="31" s="1"/>
  <c r="V1043" i="31"/>
  <c r="BF1043" i="31"/>
  <c r="BN1043" i="31"/>
  <c r="CJ906" i="31"/>
  <c r="CX906" i="31"/>
  <c r="N915" i="31"/>
  <c r="BV915" i="31"/>
  <c r="T917" i="31"/>
  <c r="AA917" i="31"/>
  <c r="AD917" i="31"/>
  <c r="AJ917" i="31"/>
  <c r="AP917" i="31"/>
  <c r="BC917" i="31"/>
  <c r="BJ917" i="31"/>
  <c r="BZ917" i="31"/>
  <c r="CZ937" i="31"/>
  <c r="CU934" i="31"/>
  <c r="DM940" i="31"/>
  <c r="CU949" i="31"/>
  <c r="CH952" i="31"/>
  <c r="CO952" i="31"/>
  <c r="CH964" i="31"/>
  <c r="CF973" i="31"/>
  <c r="CA974" i="31"/>
  <c r="CI976" i="31"/>
  <c r="BT998" i="31"/>
  <c r="DU1023" i="31"/>
  <c r="BQ1040" i="31"/>
  <c r="X1041" i="31"/>
  <c r="P1043" i="31"/>
  <c r="AZ1043" i="31"/>
  <c r="BH1043" i="31"/>
  <c r="BO1043" i="31"/>
  <c r="BD1043" i="31"/>
  <c r="BI1054" i="31"/>
  <c r="DC922" i="31"/>
  <c r="DP925" i="31"/>
  <c r="DN940" i="31"/>
  <c r="CF946" i="31"/>
  <c r="DU992" i="31"/>
  <c r="AM1037" i="31"/>
  <c r="BQ1037" i="31"/>
  <c r="BV1035" i="31"/>
  <c r="BU1035" i="31" s="1"/>
  <c r="AN1047" i="31"/>
  <c r="AS1052" i="31" s="1"/>
  <c r="AS1053" i="31" s="1"/>
  <c r="AN1349" i="31"/>
  <c r="AN1354" i="31" s="1"/>
  <c r="AN1355" i="31" s="1"/>
  <c r="AS1085" i="31"/>
  <c r="AS1086" i="31" s="1"/>
  <c r="AZ917" i="31"/>
  <c r="BH917" i="31"/>
  <c r="CR917" i="31"/>
  <c r="DI926" i="31"/>
  <c r="DI922" i="31"/>
  <c r="CV926" i="31"/>
  <c r="DT934" i="31"/>
  <c r="DJ937" i="31"/>
  <c r="DA940" i="31"/>
  <c r="CP958" i="31"/>
  <c r="CS964" i="31"/>
  <c r="CC976" i="31"/>
  <c r="AR1046" i="31"/>
  <c r="Y1076" i="31"/>
  <c r="BC1076" i="31"/>
  <c r="CG906" i="31"/>
  <c r="CR906" i="31"/>
  <c r="CT906" i="31"/>
  <c r="AC915" i="31"/>
  <c r="BG915" i="31"/>
  <c r="CK915" i="31"/>
  <c r="R917" i="31"/>
  <c r="AE917" i="31"/>
  <c r="AY917" i="31"/>
  <c r="BU917" i="31"/>
  <c r="CI917" i="31"/>
  <c r="CL917" i="31"/>
  <c r="CZ911" i="31"/>
  <c r="BA917" i="31"/>
  <c r="CE917" i="31"/>
  <c r="DQ926" i="31"/>
  <c r="DV940" i="31"/>
  <c r="DG952" i="31"/>
  <c r="CG952" i="31"/>
  <c r="CL964" i="31"/>
  <c r="CN970" i="31"/>
  <c r="CN976" i="31" s="1"/>
  <c r="AV1006" i="31"/>
  <c r="BJ1018" i="31"/>
  <c r="Z1043" i="31"/>
  <c r="AL1043" i="31"/>
  <c r="BG1057" i="31"/>
  <c r="BL1057" i="31" s="1"/>
  <c r="BQ1057" i="31" s="1"/>
  <c r="BV1057" i="31" s="1"/>
  <c r="BU1057" i="31" s="1"/>
  <c r="J1076" i="31"/>
  <c r="Q1076" i="31"/>
  <c r="S1070" i="31"/>
  <c r="AL1076" i="31"/>
  <c r="BI1076" i="31"/>
  <c r="CZ1085" i="31"/>
  <c r="I1081" i="31"/>
  <c r="AA1081" i="31"/>
  <c r="CZ1096" i="31"/>
  <c r="CE1099" i="31"/>
  <c r="CM1099" i="31"/>
  <c r="K1096" i="31"/>
  <c r="AC1096" i="31"/>
  <c r="AU1096" i="31"/>
  <c r="BV1129" i="31"/>
  <c r="CA1135" i="31" s="1"/>
  <c r="DV1135" i="31"/>
  <c r="BP1153" i="31"/>
  <c r="BP1159" i="31" s="1"/>
  <c r="BP1156" i="31"/>
  <c r="BB1159" i="31"/>
  <c r="BN1159" i="31"/>
  <c r="BG1159" i="31"/>
  <c r="CK1164" i="31"/>
  <c r="BO1167" i="31"/>
  <c r="BO1091" i="31" s="1"/>
  <c r="BO1093" i="31" s="1"/>
  <c r="BT1099" i="31" s="1"/>
  <c r="AU1181" i="31"/>
  <c r="AI1208" i="31"/>
  <c r="AD1207" i="31"/>
  <c r="Y1207" i="31" s="1"/>
  <c r="R1084" i="31"/>
  <c r="AJ1084" i="31"/>
  <c r="AU1081" i="31"/>
  <c r="BZ1084" i="31"/>
  <c r="O1085" i="31"/>
  <c r="AN1085" i="31"/>
  <c r="AN1086" i="31" s="1"/>
  <c r="DU1085" i="31"/>
  <c r="CZ1093" i="31"/>
  <c r="CZ1097" i="31"/>
  <c r="CG1099" i="31"/>
  <c r="CU1093" i="31"/>
  <c r="DI1099" i="31"/>
  <c r="DQ1099" i="31"/>
  <c r="M1096" i="31"/>
  <c r="AE1096" i="31"/>
  <c r="DE1096" i="31"/>
  <c r="I1132" i="31"/>
  <c r="O1132" i="31"/>
  <c r="J1133" i="31"/>
  <c r="K1133" i="31"/>
  <c r="Q1133" i="31"/>
  <c r="DT1129" i="31"/>
  <c r="U1132" i="31"/>
  <c r="BQ1157" i="31"/>
  <c r="BQ1158" i="31" s="1"/>
  <c r="BL1157" i="31"/>
  <c r="BL1158" i="31" s="1"/>
  <c r="BO1164" i="31"/>
  <c r="BO1170" i="31" s="1"/>
  <c r="AH1085" i="31"/>
  <c r="DJ1085" i="31"/>
  <c r="O1081" i="31"/>
  <c r="AG1081" i="31"/>
  <c r="AY1081" i="31"/>
  <c r="U1085" i="31"/>
  <c r="Q1096" i="31"/>
  <c r="AI1096" i="31"/>
  <c r="CC1190" i="31"/>
  <c r="BX1190" i="31"/>
  <c r="V1085" i="31"/>
  <c r="AY1085" i="31"/>
  <c r="AY1086" i="31" s="1"/>
  <c r="CD1085" i="31"/>
  <c r="S1096" i="31"/>
  <c r="AK1096" i="31"/>
  <c r="L1133" i="31"/>
  <c r="R1133" i="31"/>
  <c r="BA1148" i="31"/>
  <c r="AI1170" i="31"/>
  <c r="AZ1170" i="31"/>
  <c r="AY1186" i="31"/>
  <c r="BD1189" i="31"/>
  <c r="CD1189" i="31"/>
  <c r="BY1186" i="31"/>
  <c r="CE1186" i="31"/>
  <c r="BB1040" i="31"/>
  <c r="K1043" i="31"/>
  <c r="R1043" i="31"/>
  <c r="AF1043" i="31"/>
  <c r="AN1043" i="31"/>
  <c r="DU1070" i="31"/>
  <c r="BQ1074" i="31"/>
  <c r="L1076" i="31"/>
  <c r="T1076" i="31"/>
  <c r="Z1076" i="31"/>
  <c r="AG1076" i="31"/>
  <c r="AQ1076" i="31"/>
  <c r="BD1076" i="31"/>
  <c r="BK1076" i="31"/>
  <c r="N1084" i="31"/>
  <c r="K1085" i="31"/>
  <c r="Q1354" i="31"/>
  <c r="W1354" i="31"/>
  <c r="AC1085" i="31"/>
  <c r="AI1354" i="31"/>
  <c r="AI1355" i="31" s="1"/>
  <c r="U1081" i="31"/>
  <c r="BE1081" i="31"/>
  <c r="CI1087" i="31"/>
  <c r="CQ1087" i="31"/>
  <c r="CX1087" i="31"/>
  <c r="DF1087" i="31"/>
  <c r="AA1085" i="31"/>
  <c r="AZ1085" i="31"/>
  <c r="AZ1086" i="31" s="1"/>
  <c r="DU1099" i="31"/>
  <c r="W1096" i="31"/>
  <c r="AO1096" i="31"/>
  <c r="BV1105" i="31"/>
  <c r="F1129" i="31"/>
  <c r="L1129" i="31"/>
  <c r="R1129" i="31"/>
  <c r="W1135" i="31" s="1"/>
  <c r="M1133" i="31"/>
  <c r="AC1129" i="31"/>
  <c r="AH1135" i="31" s="1"/>
  <c r="AM1129" i="31"/>
  <c r="AR1135" i="31" s="1"/>
  <c r="BL1129" i="31"/>
  <c r="BQ1135" i="31" s="1"/>
  <c r="BQ1141" i="31"/>
  <c r="BQ1146" i="31" s="1"/>
  <c r="AP1148" i="31"/>
  <c r="AV1148" i="31"/>
  <c r="BI1148" i="31"/>
  <c r="BL1153" i="31"/>
  <c r="BQ1159" i="31" s="1"/>
  <c r="BM1167" i="31"/>
  <c r="BQ1162" i="31"/>
  <c r="BV1167" i="31" s="1"/>
  <c r="BV1091" i="31" s="1"/>
  <c r="AN1164" i="31"/>
  <c r="AS1170" i="31" s="1"/>
  <c r="AR1163" i="31"/>
  <c r="AW1168" i="31" s="1"/>
  <c r="AJ1170" i="31"/>
  <c r="CG1170" i="31"/>
  <c r="BA1181" i="31"/>
  <c r="AM1041" i="31"/>
  <c r="BQ1041" i="31"/>
  <c r="O1043" i="31"/>
  <c r="AO1043" i="31"/>
  <c r="AV1043" i="31"/>
  <c r="AY1051" i="31"/>
  <c r="N1073" i="31"/>
  <c r="AR1073" i="31"/>
  <c r="N1074" i="31"/>
  <c r="AR1074" i="31"/>
  <c r="AA1076" i="31"/>
  <c r="AI1076" i="31"/>
  <c r="AK1076" i="31"/>
  <c r="AX1076" i="31"/>
  <c r="BE1076" i="31"/>
  <c r="BM1076" i="31"/>
  <c r="BO1076" i="31"/>
  <c r="I1084" i="31"/>
  <c r="AM1084" i="31"/>
  <c r="BA1084" i="31"/>
  <c r="BJ1081" i="31"/>
  <c r="DO1084" i="31"/>
  <c r="M1081" i="31"/>
  <c r="AE1081" i="31"/>
  <c r="CR1087" i="31"/>
  <c r="CY1087" i="31"/>
  <c r="DN1087" i="31"/>
  <c r="AG1085" i="31"/>
  <c r="BE1085" i="31"/>
  <c r="BE1086" i="31" s="1"/>
  <c r="CS1099" i="31"/>
  <c r="CY1099" i="31"/>
  <c r="Y1096" i="31"/>
  <c r="AQ1096" i="31"/>
  <c r="BQ1105" i="31"/>
  <c r="G1129" i="31"/>
  <c r="M1132" i="31"/>
  <c r="S1132" i="31"/>
  <c r="BG1129" i="31"/>
  <c r="BL1135" i="31" s="1"/>
  <c r="BQ1129" i="31"/>
  <c r="BV1135" i="31" s="1"/>
  <c r="BW1135" i="31"/>
  <c r="BC1148" i="31"/>
  <c r="BJ1148" i="31"/>
  <c r="BB1145" i="31"/>
  <c r="AZ1159" i="31"/>
  <c r="AT1167" i="31"/>
  <c r="AT1091" i="31" s="1"/>
  <c r="AY1096" i="31" s="1"/>
  <c r="AO1184" i="31"/>
  <c r="AO1079" i="31" s="1"/>
  <c r="AT1084" i="31" s="1"/>
  <c r="AO1185" i="31"/>
  <c r="AO1080" i="31" s="1"/>
  <c r="AO1349" i="31" s="1"/>
  <c r="AT1354" i="31" s="1"/>
  <c r="AT1355" i="31" s="1"/>
  <c r="AO1164" i="31"/>
  <c r="AT1170" i="31" s="1"/>
  <c r="CH1170" i="31"/>
  <c r="AN1181" i="31"/>
  <c r="CE1196" i="31"/>
  <c r="BO1256" i="31"/>
  <c r="BO1262" i="31" s="1"/>
  <c r="BO1260" i="31"/>
  <c r="AL1181" i="31"/>
  <c r="AG1181" i="31"/>
  <c r="CE1189" i="31"/>
  <c r="BC1190" i="31"/>
  <c r="BC1191" i="31" s="1"/>
  <c r="CF1185" i="31"/>
  <c r="Q1192" i="31"/>
  <c r="AH1186" i="31"/>
  <c r="CM1196" i="31"/>
  <c r="CY1196" i="31"/>
  <c r="DQ1196" i="31"/>
  <c r="S1200" i="31"/>
  <c r="AW1200" i="31"/>
  <c r="K1202" i="31"/>
  <c r="R1202" i="31"/>
  <c r="AS1202" i="31"/>
  <c r="AY1202" i="31"/>
  <c r="BE1202" i="31"/>
  <c r="DO1212" i="31"/>
  <c r="DG1214" i="31"/>
  <c r="DM1214" i="31"/>
  <c r="BS1218" i="31"/>
  <c r="BX1218" i="31" s="1"/>
  <c r="CC1223" i="31" s="1"/>
  <c r="AU1288" i="31"/>
  <c r="AZ1293" i="31" s="1"/>
  <c r="AZ1294" i="31" s="1"/>
  <c r="BR1224" i="31"/>
  <c r="DK1226" i="31"/>
  <c r="DJ1220" i="31"/>
  <c r="DZ1226" i="31"/>
  <c r="CM1250" i="31"/>
  <c r="CP1244" i="31"/>
  <c r="DH1250" i="31"/>
  <c r="DT1244" i="31"/>
  <c r="BX1311" i="31"/>
  <c r="BV1305" i="31"/>
  <c r="AW1175" i="31"/>
  <c r="AI1181" i="31"/>
  <c r="AY1189" i="31"/>
  <c r="BY1189" i="31"/>
  <c r="CA1184" i="31"/>
  <c r="X1186" i="31"/>
  <c r="CK1185" i="31"/>
  <c r="K1192" i="31"/>
  <c r="Z1192" i="31"/>
  <c r="AG1192" i="31"/>
  <c r="DR1200" i="31"/>
  <c r="AL1202" i="31"/>
  <c r="BW1202" i="31"/>
  <c r="AC1199" i="31"/>
  <c r="AQ1208" i="31"/>
  <c r="AV1214" i="31" s="1"/>
  <c r="DN1214" i="31"/>
  <c r="DV1214" i="31"/>
  <c r="DE1223" i="31"/>
  <c r="BN1220" i="31"/>
  <c r="BN1226" i="31" s="1"/>
  <c r="CP1224" i="31"/>
  <c r="DT1224" i="31"/>
  <c r="CW1226" i="31"/>
  <c r="DD1226" i="31"/>
  <c r="BG1255" i="31"/>
  <c r="BJ1260" i="31"/>
  <c r="AO1308" i="31"/>
  <c r="BG1300" i="31"/>
  <c r="S1331" i="31"/>
  <c r="AW1331" i="31"/>
  <c r="CA1331" i="31"/>
  <c r="DE1331" i="31"/>
  <c r="AD1333" i="31"/>
  <c r="AK1333" i="31"/>
  <c r="AS1333" i="31"/>
  <c r="AZ1333" i="31"/>
  <c r="BN1333" i="31"/>
  <c r="BU1333" i="31"/>
  <c r="CC1333" i="31"/>
  <c r="CX1333" i="31"/>
  <c r="AW1159" i="31"/>
  <c r="BD1159" i="31"/>
  <c r="BO1159" i="31"/>
  <c r="BP1164" i="31"/>
  <c r="BP1170" i="31" s="1"/>
  <c r="BA1170" i="31"/>
  <c r="BC1170" i="31"/>
  <c r="AV1181" i="31"/>
  <c r="AW1179" i="31"/>
  <c r="I1186" i="31"/>
  <c r="AM1186" i="31"/>
  <c r="BG1184" i="31"/>
  <c r="BG1079" i="31" s="1"/>
  <c r="BG1348" i="31" s="1"/>
  <c r="BG45" i="31" s="1"/>
  <c r="CI1186" i="31"/>
  <c r="AX1190" i="31"/>
  <c r="AX1191" i="31" s="1"/>
  <c r="CG1190" i="31"/>
  <c r="L1192" i="31"/>
  <c r="T1192" i="31"/>
  <c r="AA1192" i="31"/>
  <c r="AI1192" i="31"/>
  <c r="BX1186" i="31"/>
  <c r="AP1189" i="31"/>
  <c r="CF1195" i="31"/>
  <c r="CF1200" i="31" s="1"/>
  <c r="CN1200" i="31"/>
  <c r="U1202" i="31"/>
  <c r="AA1202" i="31"/>
  <c r="AG1202" i="31"/>
  <c r="AN1202" i="31"/>
  <c r="AU1202" i="31"/>
  <c r="BA1202" i="31"/>
  <c r="AK1206" i="31"/>
  <c r="AF1206" i="31" s="1"/>
  <c r="DE1211" i="31"/>
  <c r="CU1212" i="31"/>
  <c r="AX1214" i="31"/>
  <c r="CH1214" i="31"/>
  <c r="CO1214" i="31"/>
  <c r="DP1214" i="31"/>
  <c r="DJ1223" i="31"/>
  <c r="BO1220" i="31"/>
  <c r="BO1226" i="31" s="1"/>
  <c r="BT1219" i="31"/>
  <c r="BT1224" i="31" s="1"/>
  <c r="CU1224" i="31"/>
  <c r="CQ1226" i="31"/>
  <c r="CX1226" i="31"/>
  <c r="DT1220" i="31"/>
  <c r="CZ1236" i="31"/>
  <c r="CZ1232" i="31"/>
  <c r="AY1287" i="31"/>
  <c r="AT1254" i="31"/>
  <c r="AO1254" i="31" s="1"/>
  <c r="AJ1254" i="31" s="1"/>
  <c r="AE1254" i="31" s="1"/>
  <c r="Z1254" i="31" s="1"/>
  <c r="BK1255" i="31"/>
  <c r="BL1255" i="31" s="1"/>
  <c r="BR1284" i="31"/>
  <c r="BQ1278" i="31"/>
  <c r="AO1304" i="31"/>
  <c r="AO1305" i="31" s="1"/>
  <c r="BR1303" i="31"/>
  <c r="BW1303" i="31" s="1"/>
  <c r="CA1303" i="31" s="1"/>
  <c r="CA1308" i="31" s="1"/>
  <c r="BN1303" i="31"/>
  <c r="BS1308" i="31" s="1"/>
  <c r="BL1146" i="31"/>
  <c r="AM1167" i="31"/>
  <c r="AM1091" i="31" s="1"/>
  <c r="AR1096" i="31" s="1"/>
  <c r="BL1167" i="31"/>
  <c r="BB1168" i="31"/>
  <c r="AU1170" i="31"/>
  <c r="BZ1170" i="31"/>
  <c r="CO1170" i="31"/>
  <c r="AP1181" i="31"/>
  <c r="AY1181" i="31"/>
  <c r="N1186" i="31"/>
  <c r="BA1189" i="31"/>
  <c r="CH1189" i="31"/>
  <c r="AM1190" i="31"/>
  <c r="AY1190" i="31"/>
  <c r="AY1191" i="31" s="1"/>
  <c r="M1192" i="31"/>
  <c r="U1192" i="31"/>
  <c r="AX1189" i="31"/>
  <c r="BG1199" i="31"/>
  <c r="BO1195" i="31"/>
  <c r="O1202" i="31"/>
  <c r="AO1202" i="31"/>
  <c r="BZ1202" i="31"/>
  <c r="BP1206" i="31"/>
  <c r="DJ1211" i="31"/>
  <c r="AY1214" i="31"/>
  <c r="BA1208" i="31"/>
  <c r="BF1214" i="31" s="1"/>
  <c r="CI1214" i="31"/>
  <c r="DE1208" i="31"/>
  <c r="AU1287" i="31"/>
  <c r="AZ1292" i="31" s="1"/>
  <c r="AP1218" i="31"/>
  <c r="AK1218" i="31" s="1"/>
  <c r="AF1218" i="31" s="1"/>
  <c r="AA1218" i="31" s="1"/>
  <c r="BM1223" i="31"/>
  <c r="BR1218" i="31"/>
  <c r="BW1218" i="31" s="1"/>
  <c r="CB1223" i="31" s="1"/>
  <c r="CK1223" i="31"/>
  <c r="DO1223" i="31"/>
  <c r="CF1220" i="31"/>
  <c r="DE1235" i="31"/>
  <c r="DE1236" i="31"/>
  <c r="DJ1247" i="31"/>
  <c r="AN1266" i="31"/>
  <c r="AI1266" i="31" s="1"/>
  <c r="AD1266" i="31" s="1"/>
  <c r="AQ1278" i="31"/>
  <c r="AN1303" i="31"/>
  <c r="AN1304" i="31" s="1"/>
  <c r="BB1343" i="31"/>
  <c r="AW1340" i="31"/>
  <c r="AZ1346" i="31"/>
  <c r="N1190" i="31"/>
  <c r="CD1186" i="31"/>
  <c r="CQ1199" i="31"/>
  <c r="AM1200" i="31"/>
  <c r="AO1208" i="31"/>
  <c r="AT1214" i="31" s="1"/>
  <c r="CK1211" i="31"/>
  <c r="DO1211" i="31"/>
  <c r="CJ1214" i="31"/>
  <c r="DJ1235" i="31"/>
  <c r="BH1232" i="31"/>
  <c r="BH1238" i="31" s="1"/>
  <c r="BI1250" i="31"/>
  <c r="DE1244" i="31"/>
  <c r="AU1267" i="31"/>
  <c r="AZ1273" i="31" s="1"/>
  <c r="BV1281" i="31"/>
  <c r="BT1284" i="31"/>
  <c r="X1340" i="31"/>
  <c r="BB1340" i="31"/>
  <c r="Q1346" i="31"/>
  <c r="S1340" i="31"/>
  <c r="AE1346" i="31"/>
  <c r="AL1346" i="31"/>
  <c r="AT1346" i="31"/>
  <c r="BA1346" i="31"/>
  <c r="CI1238" i="31"/>
  <c r="CQ1238" i="31"/>
  <c r="CX1238" i="31"/>
  <c r="DL1238" i="31"/>
  <c r="DS1238" i="31"/>
  <c r="BE1232" i="31"/>
  <c r="BJ1238" i="31" s="1"/>
  <c r="AY1244" i="31"/>
  <c r="BD1250" i="31" s="1"/>
  <c r="CG1250" i="31"/>
  <c r="CN1250" i="31"/>
  <c r="CV1250" i="31"/>
  <c r="DB1250" i="31"/>
  <c r="DI1250" i="31"/>
  <c r="DR1250" i="31"/>
  <c r="AV1267" i="31"/>
  <c r="BA1273" i="31" s="1"/>
  <c r="AI1281" i="31"/>
  <c r="AP1281" i="31"/>
  <c r="AT1278" i="31"/>
  <c r="BN1284" i="31"/>
  <c r="BU1284" i="31"/>
  <c r="AK1281" i="31"/>
  <c r="J1333" i="31"/>
  <c r="Y1333" i="31"/>
  <c r="AT1333" i="31"/>
  <c r="BI1333" i="31"/>
  <c r="BO1333" i="31"/>
  <c r="BW1333" i="31"/>
  <c r="CD1333" i="31"/>
  <c r="CL1333" i="31"/>
  <c r="DG1333" i="31"/>
  <c r="AM1344" i="31"/>
  <c r="R1346" i="31"/>
  <c r="Y1346" i="31"/>
  <c r="AF1346" i="31"/>
  <c r="AN1346" i="31"/>
  <c r="AU1346" i="31"/>
  <c r="CJ1238" i="31"/>
  <c r="CR1238" i="31"/>
  <c r="CY1238" i="31"/>
  <c r="DU1238" i="31"/>
  <c r="CH1250" i="31"/>
  <c r="CO1250" i="31"/>
  <c r="DC1250" i="31"/>
  <c r="DK1250" i="31"/>
  <c r="DS1250" i="31"/>
  <c r="AJ1281" i="31"/>
  <c r="BH1284" i="31"/>
  <c r="BO1284" i="31"/>
  <c r="R1333" i="31"/>
  <c r="AN1333" i="31"/>
  <c r="BC1333" i="31"/>
  <c r="BX1333" i="31"/>
  <c r="CE1333" i="31"/>
  <c r="Z1346" i="31"/>
  <c r="AG1346" i="31"/>
  <c r="AO1346" i="31"/>
  <c r="AV1346" i="31"/>
  <c r="BG1218" i="31"/>
  <c r="BG1223" i="31" s="1"/>
  <c r="CU1223" i="31"/>
  <c r="AT1220" i="31"/>
  <c r="AY1226" i="31" s="1"/>
  <c r="DE1224" i="31"/>
  <c r="BF1226" i="31"/>
  <c r="CK1220" i="31"/>
  <c r="CS1226" i="31"/>
  <c r="DH1226" i="31"/>
  <c r="DV1226" i="31"/>
  <c r="CP1236" i="31"/>
  <c r="CL1238" i="31"/>
  <c r="CS1238" i="31"/>
  <c r="DA1238" i="31"/>
  <c r="DV1238" i="31"/>
  <c r="DE1247" i="31"/>
  <c r="AT1243" i="31"/>
  <c r="AT1244" i="31" s="1"/>
  <c r="CZ1248" i="31"/>
  <c r="CI1250" i="31"/>
  <c r="CQ1250" i="31"/>
  <c r="CX1250" i="31"/>
  <c r="DD1250" i="31"/>
  <c r="DU1250" i="31"/>
  <c r="BS1254" i="31"/>
  <c r="BX1254" i="31" s="1"/>
  <c r="CC1254" i="31" s="1"/>
  <c r="CH1254" i="31" s="1"/>
  <c r="CM1254" i="31" s="1"/>
  <c r="BI1262" i="31"/>
  <c r="AS1281" i="31"/>
  <c r="BL1281" i="31"/>
  <c r="BL1282" i="31"/>
  <c r="AW1284" i="31"/>
  <c r="BI1284" i="31"/>
  <c r="BK1284" i="31"/>
  <c r="BD1304" i="31"/>
  <c r="BD1305" i="31" s="1"/>
  <c r="BV1330" i="31"/>
  <c r="AR1331" i="31"/>
  <c r="BV1331" i="31"/>
  <c r="L1333" i="31"/>
  <c r="AA1333" i="31"/>
  <c r="AV1333" i="31"/>
  <c r="BK1333" i="31"/>
  <c r="BY1333" i="31"/>
  <c r="CZ1327" i="31"/>
  <c r="DI1333" i="31"/>
  <c r="AR1343" i="31"/>
  <c r="S1344" i="31"/>
  <c r="AW1344" i="31"/>
  <c r="AW1345" i="31" s="1"/>
  <c r="U1346" i="31"/>
  <c r="AA1346" i="31"/>
  <c r="AI1346" i="31"/>
  <c r="AP1346" i="31"/>
  <c r="AX1346" i="31"/>
  <c r="BQ904" i="31"/>
  <c r="DA925" i="31"/>
  <c r="CV922" i="31"/>
  <c r="CV906" i="31"/>
  <c r="CU900" i="31"/>
  <c r="AP906" i="31"/>
  <c r="BL911" i="31"/>
  <c r="AH914" i="31"/>
  <c r="J917" i="31"/>
  <c r="V917" i="31"/>
  <c r="BF917" i="31"/>
  <c r="BR917" i="31"/>
  <c r="CD917" i="31"/>
  <c r="CH925" i="31"/>
  <c r="CC922" i="31"/>
  <c r="CO925" i="31"/>
  <c r="CJ922" i="31"/>
  <c r="DR922" i="31"/>
  <c r="CF921" i="31"/>
  <c r="CP921" i="31"/>
  <c r="CQ926" i="31"/>
  <c r="CL922" i="31"/>
  <c r="CJ925" i="31"/>
  <c r="CV925" i="31"/>
  <c r="CH940" i="31"/>
  <c r="DT950" i="31"/>
  <c r="CU946" i="31"/>
  <c r="CX952" i="31"/>
  <c r="CZ946" i="31"/>
  <c r="DJ946" i="31"/>
  <c r="DK952" i="31"/>
  <c r="DF952" i="31"/>
  <c r="CA973" i="31"/>
  <c r="BV973" i="31"/>
  <c r="CL976" i="31"/>
  <c r="CS969" i="31"/>
  <c r="BT987" i="31"/>
  <c r="BO987" i="31"/>
  <c r="AO906" i="31"/>
  <c r="X911" i="31"/>
  <c r="AC914" i="31"/>
  <c r="BB911" i="31"/>
  <c r="BG914" i="31"/>
  <c r="DG925" i="31"/>
  <c r="DB922" i="31"/>
  <c r="BN987" i="31"/>
  <c r="BS987" i="31"/>
  <c r="BO906" i="31"/>
  <c r="AR915" i="31"/>
  <c r="CI925" i="31"/>
  <c r="CD922" i="31"/>
  <c r="DQ925" i="31"/>
  <c r="DL922" i="31"/>
  <c r="DS922" i="31"/>
  <c r="DX928" i="31" s="1"/>
  <c r="CR926" i="31"/>
  <c r="CY926" i="31"/>
  <c r="CM922" i="31"/>
  <c r="CY922" i="31"/>
  <c r="CJ926" i="31"/>
  <c r="DD940" i="31"/>
  <c r="DE934" i="31"/>
  <c r="DO934" i="31"/>
  <c r="DP940" i="31"/>
  <c r="DC940" i="31"/>
  <c r="CR952" i="31"/>
  <c r="CP946" i="31"/>
  <c r="CY952" i="31"/>
  <c r="DS952" i="31"/>
  <c r="CM952" i="31"/>
  <c r="DE961" i="31"/>
  <c r="CQ970" i="31"/>
  <c r="CV968" i="31"/>
  <c r="AX1002" i="31"/>
  <c r="AX1007" i="31" s="1"/>
  <c r="AX1008" i="31" s="1"/>
  <c r="BB1001" i="31"/>
  <c r="BC1006" i="31"/>
  <c r="BD1014" i="31"/>
  <c r="BD1020" i="31" s="1"/>
  <c r="BI1013" i="31"/>
  <c r="BI1014" i="31" s="1"/>
  <c r="BM906" i="31"/>
  <c r="CN925" i="31"/>
  <c r="CI922" i="31"/>
  <c r="BD917" i="31"/>
  <c r="BX906" i="31"/>
  <c r="BV900" i="31"/>
  <c r="BS906" i="31"/>
  <c r="CE906" i="31"/>
  <c r="CQ906" i="31"/>
  <c r="AL917" i="31"/>
  <c r="AX917" i="31"/>
  <c r="CM917" i="31"/>
  <c r="CK911" i="31"/>
  <c r="CT917" i="31"/>
  <c r="CU911" i="31"/>
  <c r="BW917" i="31"/>
  <c r="DK925" i="31"/>
  <c r="DF922" i="31"/>
  <c r="DR925" i="31"/>
  <c r="DM922" i="31"/>
  <c r="CG926" i="31"/>
  <c r="CM926" i="31"/>
  <c r="CM927" i="31" s="1"/>
  <c r="CS926" i="31"/>
  <c r="CU937" i="31"/>
  <c r="CP934" i="31"/>
  <c r="CX940" i="31"/>
  <c r="DK940" i="31"/>
  <c r="DQ940" i="31"/>
  <c r="CK949" i="31"/>
  <c r="DO949" i="31"/>
  <c r="DJ920" i="31"/>
  <c r="DJ949" i="31"/>
  <c r="CL952" i="31"/>
  <c r="CK946" i="31"/>
  <c r="CS952" i="31"/>
  <c r="CN952" i="31"/>
  <c r="BV970" i="31"/>
  <c r="BZ976" i="31"/>
  <c r="CW969" i="31"/>
  <c r="DB969" i="31" s="1"/>
  <c r="CW906" i="31"/>
  <c r="CB917" i="31"/>
  <c r="CA911" i="31"/>
  <c r="CF920" i="31"/>
  <c r="CG925" i="31"/>
  <c r="CB922" i="31"/>
  <c r="DO946" i="31"/>
  <c r="CA984" i="31"/>
  <c r="BV984" i="31"/>
  <c r="AW903" i="31"/>
  <c r="CY905" i="31"/>
  <c r="AQ906" i="31"/>
  <c r="AR911" i="31"/>
  <c r="AH900" i="31"/>
  <c r="AM903" i="31"/>
  <c r="BR906" i="31"/>
  <c r="BQ900" i="31"/>
  <c r="CK904" i="31"/>
  <c r="BH906" i="31"/>
  <c r="BT906" i="31"/>
  <c r="AF917" i="31"/>
  <c r="CG917" i="31"/>
  <c r="CF911" i="31"/>
  <c r="CN917" i="31"/>
  <c r="CP911" i="31"/>
  <c r="BL914" i="31"/>
  <c r="CS925" i="31"/>
  <c r="CN922" i="31"/>
  <c r="CY925" i="31"/>
  <c r="CT922" i="31"/>
  <c r="CZ920" i="31"/>
  <c r="DL925" i="31"/>
  <c r="DG922" i="31"/>
  <c r="DS925" i="31"/>
  <c r="DN922" i="31"/>
  <c r="CZ921" i="31"/>
  <c r="DJ921" i="31"/>
  <c r="DU926" i="31"/>
  <c r="CR922" i="31"/>
  <c r="DD922" i="31"/>
  <c r="DP922" i="31"/>
  <c r="DB925" i="31"/>
  <c r="DN925" i="31"/>
  <c r="CP938" i="31"/>
  <c r="CU938" i="31"/>
  <c r="DT921" i="31"/>
  <c r="DT938" i="31"/>
  <c r="CF934" i="31"/>
  <c r="CR940" i="31"/>
  <c r="CY940" i="31"/>
  <c r="DR940" i="31"/>
  <c r="DT949" i="31"/>
  <c r="DO920" i="31"/>
  <c r="DO950" i="31"/>
  <c r="DB964" i="31"/>
  <c r="CZ958" i="31"/>
  <c r="BO976" i="31"/>
  <c r="BT976" i="31"/>
  <c r="BQ970" i="31"/>
  <c r="CT990" i="31"/>
  <c r="BZ998" i="31"/>
  <c r="CE998" i="31"/>
  <c r="BN906" i="31"/>
  <c r="CD906" i="31"/>
  <c r="BQ903" i="31"/>
  <c r="AC904" i="31"/>
  <c r="I903" i="31"/>
  <c r="I900" i="31"/>
  <c r="N903" i="31"/>
  <c r="AM900" i="31"/>
  <c r="AR903" i="31"/>
  <c r="BV903" i="31"/>
  <c r="CZ903" i="31"/>
  <c r="AH904" i="31"/>
  <c r="BL904" i="31"/>
  <c r="CP904" i="31"/>
  <c r="BG900" i="31"/>
  <c r="S903" i="31"/>
  <c r="BU906" i="31"/>
  <c r="S911" i="31"/>
  <c r="X914" i="31"/>
  <c r="AW911" i="31"/>
  <c r="BB914" i="31"/>
  <c r="CF914" i="31"/>
  <c r="N911" i="31"/>
  <c r="Z917" i="31"/>
  <c r="CH917" i="31"/>
  <c r="CM925" i="31"/>
  <c r="CH922" i="31"/>
  <c r="CK920" i="31"/>
  <c r="CT925" i="31"/>
  <c r="CO922" i="31"/>
  <c r="CU920" i="31"/>
  <c r="DF925" i="31"/>
  <c r="DA922" i="31"/>
  <c r="DM925" i="31"/>
  <c r="DH922" i="31"/>
  <c r="CU921" i="31"/>
  <c r="DC926" i="31"/>
  <c r="DP926" i="31"/>
  <c r="DV926" i="31"/>
  <c r="CG922" i="31"/>
  <c r="CS922" i="31"/>
  <c r="DQ922" i="31"/>
  <c r="DB926" i="31"/>
  <c r="DB927" i="31" s="1"/>
  <c r="CK934" i="31"/>
  <c r="CL940" i="31"/>
  <c r="CS940" i="31"/>
  <c r="CW940" i="31"/>
  <c r="DU940" i="31"/>
  <c r="DT946" i="31"/>
  <c r="CT952" i="31"/>
  <c r="CU958" i="31"/>
  <c r="CV964" i="31"/>
  <c r="DC964" i="31"/>
  <c r="DB968" i="31"/>
  <c r="BR998" i="31"/>
  <c r="BM998" i="31"/>
  <c r="BQ992" i="31"/>
  <c r="BP1043" i="31"/>
  <c r="BK1043" i="31"/>
  <c r="CH1035" i="31"/>
  <c r="BE1043" i="31"/>
  <c r="BJ1043" i="31"/>
  <c r="BS998" i="31"/>
  <c r="BN1023" i="31"/>
  <c r="BS1001" i="31"/>
  <c r="BF1014" i="31"/>
  <c r="CN1035" i="31"/>
  <c r="AX1043" i="31"/>
  <c r="AS1043" i="31"/>
  <c r="BK1046" i="31"/>
  <c r="BG1046" i="31"/>
  <c r="CR964" i="31"/>
  <c r="CR970" i="31"/>
  <c r="CR976" i="31" s="1"/>
  <c r="CG976" i="31"/>
  <c r="CF970" i="31"/>
  <c r="DH952" i="31"/>
  <c r="DL952" i="31"/>
  <c r="CF958" i="31"/>
  <c r="CB976" i="31"/>
  <c r="CH976" i="31"/>
  <c r="BV981" i="31"/>
  <c r="CP990" i="31"/>
  <c r="CQ990" i="31"/>
  <c r="DU1024" i="31"/>
  <c r="CA992" i="31"/>
  <c r="CI998" i="31"/>
  <c r="CS991" i="31"/>
  <c r="CS992" i="31" s="1"/>
  <c r="AT1007" i="31"/>
  <c r="AT1008" i="31" s="1"/>
  <c r="AU1006" i="31"/>
  <c r="AU1002" i="31"/>
  <c r="BA1006" i="31"/>
  <c r="BA1002" i="31"/>
  <c r="BA1007" i="31" s="1"/>
  <c r="BA1008" i="31" s="1"/>
  <c r="BO1023" i="31"/>
  <c r="DU1037" i="31"/>
  <c r="AJ1043" i="31"/>
  <c r="AE1043" i="31"/>
  <c r="BE1059" i="31"/>
  <c r="BJ1063" i="31"/>
  <c r="DU970" i="31"/>
  <c r="BX987" i="31"/>
  <c r="I904" i="31"/>
  <c r="BW906" i="31"/>
  <c r="CV952" i="31"/>
  <c r="DB952" i="31"/>
  <c r="DN952" i="31"/>
  <c r="DM952" i="31"/>
  <c r="DU952" i="31"/>
  <c r="DC968" i="31"/>
  <c r="BR987" i="31"/>
  <c r="BV995" i="31"/>
  <c r="BQ995" i="31"/>
  <c r="CC998" i="31"/>
  <c r="CH998" i="31"/>
  <c r="BJ1006" i="31"/>
  <c r="AD1043" i="31"/>
  <c r="Y1043" i="31"/>
  <c r="BU976" i="31"/>
  <c r="BP976" i="31"/>
  <c r="BU987" i="31"/>
  <c r="BP906" i="31"/>
  <c r="BL903" i="31"/>
  <c r="CJ952" i="31"/>
  <c r="CK962" i="31"/>
  <c r="BQ981" i="31"/>
  <c r="CN992" i="31"/>
  <c r="CN998" i="31" s="1"/>
  <c r="CX990" i="31"/>
  <c r="BW998" i="31"/>
  <c r="BV992" i="31"/>
  <c r="CD998" i="31"/>
  <c r="CL992" i="31"/>
  <c r="CA995" i="31"/>
  <c r="CF996" i="31"/>
  <c r="BY998" i="31"/>
  <c r="AW1001" i="31"/>
  <c r="BF1001" i="31"/>
  <c r="BT1001" i="31"/>
  <c r="AT1006" i="31"/>
  <c r="AM1040" i="31"/>
  <c r="AH1037" i="31"/>
  <c r="AH1040" i="31"/>
  <c r="CG1035" i="31"/>
  <c r="BQ985" i="31"/>
  <c r="BQ986" i="31" s="1"/>
  <c r="CK990" i="31"/>
  <c r="BW1012" i="31"/>
  <c r="BG1013" i="31"/>
  <c r="BG1018" i="31" s="1"/>
  <c r="AY1020" i="31"/>
  <c r="I1037" i="31"/>
  <c r="BB1037" i="31"/>
  <c r="BL1037" i="31"/>
  <c r="X1040" i="31"/>
  <c r="AQ1043" i="31"/>
  <c r="BI1043" i="31"/>
  <c r="AW1046" i="31"/>
  <c r="AQ1047" i="31"/>
  <c r="AV1052" i="31" s="1"/>
  <c r="AV1053" i="31" s="1"/>
  <c r="BD1051" i="31"/>
  <c r="CB1057" i="31"/>
  <c r="AR1040" i="31"/>
  <c r="BC1051" i="31"/>
  <c r="BB1046" i="31"/>
  <c r="BW1046" i="31"/>
  <c r="BB1014" i="31"/>
  <c r="X1037" i="31"/>
  <c r="AP1043" i="31"/>
  <c r="BL1040" i="31"/>
  <c r="N1041" i="31"/>
  <c r="AK1043" i="31"/>
  <c r="BC1043" i="31"/>
  <c r="BY1046" i="31"/>
  <c r="AY1052" i="31"/>
  <c r="AY1053" i="31" s="1"/>
  <c r="BG1012" i="31"/>
  <c r="BL1012" i="31" s="1"/>
  <c r="BQ1012" i="31" s="1"/>
  <c r="BP1012" i="31" s="1"/>
  <c r="BP1017" i="31" s="1"/>
  <c r="L1043" i="31"/>
  <c r="BB1041" i="31"/>
  <c r="M1043" i="31"/>
  <c r="AT1051" i="31"/>
  <c r="AO1047" i="31"/>
  <c r="AT1052" i="31" s="1"/>
  <c r="AT1053" i="31" s="1"/>
  <c r="AU1051" i="31"/>
  <c r="AZ1051" i="31"/>
  <c r="AU1047" i="31"/>
  <c r="BA1051" i="31"/>
  <c r="BA1047" i="31"/>
  <c r="BF1047" i="31" s="1"/>
  <c r="BF1048" i="31" s="1"/>
  <c r="BS1046" i="31"/>
  <c r="S1040" i="31"/>
  <c r="N1037" i="31"/>
  <c r="AW1040" i="31"/>
  <c r="AR1037" i="31"/>
  <c r="AX1047" i="31"/>
  <c r="AX1052" i="31" s="1"/>
  <c r="AX1053" i="31" s="1"/>
  <c r="AX1051" i="31"/>
  <c r="BG1058" i="31"/>
  <c r="BC1063" i="31"/>
  <c r="BC1064" i="31" s="1"/>
  <c r="BW1068" i="31"/>
  <c r="N1070" i="31"/>
  <c r="AR1070" i="31"/>
  <c r="S1073" i="31"/>
  <c r="AW1073" i="31"/>
  <c r="I1074" i="31"/>
  <c r="DO1085" i="31"/>
  <c r="J1081" i="31"/>
  <c r="S1081" i="31"/>
  <c r="AB1081" i="31"/>
  <c r="AK1081" i="31"/>
  <c r="AT1081" i="31"/>
  <c r="CG1087" i="31"/>
  <c r="DG1087" i="31"/>
  <c r="DM1087" i="31"/>
  <c r="DO1081" i="31"/>
  <c r="O1084" i="31"/>
  <c r="AG1084" i="31"/>
  <c r="AP1084" i="31"/>
  <c r="AY1084" i="31"/>
  <c r="BH1084" i="31"/>
  <c r="DV1084" i="31"/>
  <c r="J1085" i="31"/>
  <c r="AB1085" i="31"/>
  <c r="AK1085" i="31"/>
  <c r="AK1086" i="31" s="1"/>
  <c r="DJ1096" i="31"/>
  <c r="O1093" i="31"/>
  <c r="T1099" i="31" s="1"/>
  <c r="DS1099" i="31"/>
  <c r="CI1099" i="31"/>
  <c r="DU1048" i="31"/>
  <c r="BX1068" i="31"/>
  <c r="CD1068" i="31"/>
  <c r="I1070" i="31"/>
  <c r="AM1070" i="31"/>
  <c r="BQ1070" i="31"/>
  <c r="AH1074" i="31"/>
  <c r="BL1074" i="31"/>
  <c r="AP1076" i="31"/>
  <c r="AV1076" i="31"/>
  <c r="BH1076" i="31"/>
  <c r="BN1076" i="31"/>
  <c r="T1348" i="31"/>
  <c r="T45" i="31" s="1"/>
  <c r="T47" i="31" s="1"/>
  <c r="T1081" i="31"/>
  <c r="Z1348" i="31"/>
  <c r="Z45" i="31" s="1"/>
  <c r="Z47" i="31" s="1"/>
  <c r="Z1081" i="31"/>
  <c r="AF1348" i="31"/>
  <c r="AF1081" i="31"/>
  <c r="AL1348" i="31"/>
  <c r="AL45" i="31" s="1"/>
  <c r="AL47" i="31" s="1"/>
  <c r="AL1081" i="31"/>
  <c r="CZ1084" i="31"/>
  <c r="Y1084" i="31"/>
  <c r="BW1085" i="31"/>
  <c r="DE1085" i="31"/>
  <c r="DT1097" i="31"/>
  <c r="CF1093" i="31"/>
  <c r="CH1099" i="31"/>
  <c r="DM1099" i="31"/>
  <c r="DR1099" i="31"/>
  <c r="CO1099" i="31"/>
  <c r="BH1054" i="31"/>
  <c r="BI1058" i="31"/>
  <c r="BI1059" i="31" s="1"/>
  <c r="BB1059" i="31"/>
  <c r="AH1070" i="31"/>
  <c r="BL1070" i="31"/>
  <c r="AM1073" i="31"/>
  <c r="BQ1073" i="31"/>
  <c r="AC1074" i="31"/>
  <c r="BG1074" i="31"/>
  <c r="R1076" i="31"/>
  <c r="AD1076" i="31"/>
  <c r="AJ1076" i="31"/>
  <c r="D1081" i="31"/>
  <c r="V1081" i="31"/>
  <c r="BF1081" i="31"/>
  <c r="BX1081" i="31"/>
  <c r="CC1087" i="31" s="1"/>
  <c r="CK1081" i="31"/>
  <c r="CV1087" i="31"/>
  <c r="DI1087" i="31"/>
  <c r="AA1084" i="31"/>
  <c r="CC1084" i="31"/>
  <c r="AE1085" i="31"/>
  <c r="CH1087" i="31"/>
  <c r="G1093" i="31"/>
  <c r="L1099" i="31" s="1"/>
  <c r="L1096" i="31"/>
  <c r="M1093" i="31"/>
  <c r="R1099" i="31" s="1"/>
  <c r="R1096" i="31"/>
  <c r="S1093" i="31"/>
  <c r="X1099" i="31" s="1"/>
  <c r="X1096" i="31"/>
  <c r="Y1093" i="31"/>
  <c r="AD1099" i="31" s="1"/>
  <c r="AD1096" i="31"/>
  <c r="AE1093" i="31"/>
  <c r="AJ1099" i="31" s="1"/>
  <c r="AJ1096" i="31"/>
  <c r="AK1093" i="31"/>
  <c r="AP1099" i="31" s="1"/>
  <c r="AP1096" i="31"/>
  <c r="AQ1093" i="31"/>
  <c r="AV1099" i="31" s="1"/>
  <c r="AV1096" i="31"/>
  <c r="CP1096" i="31"/>
  <c r="DT1096" i="31"/>
  <c r="CA1092" i="31"/>
  <c r="CB1097" i="31"/>
  <c r="AA1093" i="31"/>
  <c r="AF1099" i="31" s="1"/>
  <c r="DJ1093" i="31"/>
  <c r="DG1099" i="31"/>
  <c r="DL1099" i="31"/>
  <c r="J1350" i="31"/>
  <c r="O1352" i="31"/>
  <c r="U1352" i="31"/>
  <c r="P1350" i="31"/>
  <c r="V1350" i="31"/>
  <c r="AA1352" i="31"/>
  <c r="AB1350" i="31"/>
  <c r="AG1352" i="31"/>
  <c r="AY1352" i="31"/>
  <c r="AT1350" i="31"/>
  <c r="BS1348" i="31"/>
  <c r="BX1084" i="31"/>
  <c r="BY1348" i="31"/>
  <c r="CD1084" i="31"/>
  <c r="L1085" i="31"/>
  <c r="M1349" i="31"/>
  <c r="R1085" i="31"/>
  <c r="X1085" i="31"/>
  <c r="Y1349" i="31"/>
  <c r="Y1354" i="31" s="1"/>
  <c r="AD1085" i="31"/>
  <c r="AE1349" i="31"/>
  <c r="AJ1085" i="31"/>
  <c r="AJ1086" i="31" s="1"/>
  <c r="AK1349" i="31"/>
  <c r="BW1354" i="31"/>
  <c r="BY1081" i="31"/>
  <c r="CD1087" i="31" s="1"/>
  <c r="CJ1087" i="31"/>
  <c r="DC1087" i="31"/>
  <c r="DE1081" i="31"/>
  <c r="K1084" i="31"/>
  <c r="S1084" i="31"/>
  <c r="AC1084" i="31"/>
  <c r="AK1084" i="31"/>
  <c r="DE1084" i="31"/>
  <c r="W1085" i="31"/>
  <c r="CU1096" i="31"/>
  <c r="CP1093" i="31"/>
  <c r="AG1093" i="31"/>
  <c r="AL1099" i="31" s="1"/>
  <c r="DE1093" i="31"/>
  <c r="DA1099" i="31"/>
  <c r="DF1099" i="31"/>
  <c r="CU1097" i="31"/>
  <c r="BU1068" i="31"/>
  <c r="X1070" i="31"/>
  <c r="BB1070" i="31"/>
  <c r="J1084" i="31"/>
  <c r="K1348" i="31"/>
  <c r="K45" i="31" s="1"/>
  <c r="K47" i="31" s="1"/>
  <c r="P1084" i="31"/>
  <c r="Q1348" i="31"/>
  <c r="Q45" i="31" s="1"/>
  <c r="Q47" i="31" s="1"/>
  <c r="V1084" i="31"/>
  <c r="W1348" i="31"/>
  <c r="W45" i="31" s="1"/>
  <c r="W47" i="31" s="1"/>
  <c r="AB1084" i="31"/>
  <c r="AH1084" i="31"/>
  <c r="AI1348" i="31"/>
  <c r="AI45" i="31" s="1"/>
  <c r="AI47" i="31" s="1"/>
  <c r="AU1348" i="31"/>
  <c r="AU45" i="31" s="1"/>
  <c r="AU47" i="31" s="1"/>
  <c r="BA1348" i="31"/>
  <c r="BA45" i="31" s="1"/>
  <c r="BF1084" i="31"/>
  <c r="G1081" i="31"/>
  <c r="P1081" i="31"/>
  <c r="Y1081" i="31"/>
  <c r="AH1081" i="31"/>
  <c r="AM1087" i="31" s="1"/>
  <c r="BI1081" i="31"/>
  <c r="BR1081" i="31"/>
  <c r="CE1087" i="31"/>
  <c r="DK1087" i="31"/>
  <c r="U1084" i="31"/>
  <c r="AD1084" i="31"/>
  <c r="P1085" i="31"/>
  <c r="Y1085" i="31"/>
  <c r="BI1085" i="31"/>
  <c r="BI1086" i="31" s="1"/>
  <c r="CA1091" i="31"/>
  <c r="CB1096" i="31"/>
  <c r="BW1093" i="31"/>
  <c r="AW1070" i="31"/>
  <c r="L1348" i="31"/>
  <c r="L45" i="31" s="1"/>
  <c r="L47" i="31" s="1"/>
  <c r="L1081" i="31"/>
  <c r="R1348" i="31"/>
  <c r="R45" i="31" s="1"/>
  <c r="R47" i="31" s="1"/>
  <c r="R1081" i="31"/>
  <c r="AD1348" i="31"/>
  <c r="AD1081" i="31"/>
  <c r="AJ1348" i="31"/>
  <c r="AJ45" i="31" s="1"/>
  <c r="AJ47" i="31" s="1"/>
  <c r="AJ1081" i="31"/>
  <c r="AP1348" i="31"/>
  <c r="AP45" i="31" s="1"/>
  <c r="AV1348" i="31"/>
  <c r="AV45" i="31" s="1"/>
  <c r="DV1085" i="31"/>
  <c r="DJ1081" i="31"/>
  <c r="DU1081" i="31"/>
  <c r="M1084" i="31"/>
  <c r="W1084" i="31"/>
  <c r="AE1084" i="31"/>
  <c r="DU1084" i="31"/>
  <c r="Q1085" i="31"/>
  <c r="AI1085" i="31"/>
  <c r="AI1086" i="31" s="1"/>
  <c r="CC1085" i="31"/>
  <c r="I1093" i="31"/>
  <c r="N1099" i="31" s="1"/>
  <c r="O1350" i="31"/>
  <c r="U1350" i="31"/>
  <c r="AA1350" i="31"/>
  <c r="AG1350" i="31"/>
  <c r="AY1350" i="31"/>
  <c r="BE1350" i="31"/>
  <c r="P1354" i="31"/>
  <c r="V1354" i="31"/>
  <c r="AB1354" i="31"/>
  <c r="AZ1354" i="31"/>
  <c r="AZ1355" i="31" s="1"/>
  <c r="DR1081" i="31"/>
  <c r="T1085" i="31"/>
  <c r="Z1085" i="31"/>
  <c r="AF1085" i="31"/>
  <c r="AL1085" i="31"/>
  <c r="AL1086" i="31" s="1"/>
  <c r="AX1085" i="31"/>
  <c r="AX1086" i="31" s="1"/>
  <c r="BD1085" i="31"/>
  <c r="BD1086" i="31" s="1"/>
  <c r="BJ1085" i="31"/>
  <c r="CB1085" i="31"/>
  <c r="DE1103" i="31"/>
  <c r="CP1104" i="31"/>
  <c r="DJ1104" i="31"/>
  <c r="CF1105" i="31"/>
  <c r="CK1111" i="31" s="1"/>
  <c r="CT1108" i="31"/>
  <c r="DF1108" i="31"/>
  <c r="DL1108" i="31"/>
  <c r="DR1108" i="31"/>
  <c r="CV1109" i="31"/>
  <c r="DB1109" i="31"/>
  <c r="AR1129" i="31"/>
  <c r="AW1135" i="31" s="1"/>
  <c r="N1132" i="31"/>
  <c r="T1132" i="31"/>
  <c r="AD1135" i="31"/>
  <c r="BN1135" i="31"/>
  <c r="BO1148" i="31"/>
  <c r="BB1146" i="31"/>
  <c r="BG1167" i="31"/>
  <c r="CQ1167" i="31"/>
  <c r="CL1167" i="31"/>
  <c r="BM1185" i="31"/>
  <c r="BQ1163" i="31"/>
  <c r="BV1168" i="31" s="1"/>
  <c r="BN1164" i="31"/>
  <c r="BS1170" i="31" s="1"/>
  <c r="BM1168" i="31"/>
  <c r="AV1170" i="31"/>
  <c r="BH1170" i="31"/>
  <c r="AM1179" i="31"/>
  <c r="AH1175" i="31"/>
  <c r="AH1179" i="31"/>
  <c r="AH1180" i="31" s="1"/>
  <c r="AE1181" i="31"/>
  <c r="AJ1181" i="31"/>
  <c r="AQ1181" i="31"/>
  <c r="BB1175" i="31"/>
  <c r="AS1181" i="31"/>
  <c r="AZ1189" i="31"/>
  <c r="AW1184" i="31"/>
  <c r="AU1186" i="31"/>
  <c r="BU1186" i="31"/>
  <c r="BU1189" i="31"/>
  <c r="BV1184" i="31"/>
  <c r="BZ1189" i="31"/>
  <c r="BB1185" i="31"/>
  <c r="BE1190" i="31"/>
  <c r="BE1191" i="31" s="1"/>
  <c r="BT1190" i="31"/>
  <c r="BT1186" i="31"/>
  <c r="BV1185" i="31"/>
  <c r="BY1190" i="31"/>
  <c r="CR1105" i="31"/>
  <c r="CX1105" i="31"/>
  <c r="DC1111" i="31" s="1"/>
  <c r="CQ1109" i="31"/>
  <c r="CW1109" i="31"/>
  <c r="I1129" i="31"/>
  <c r="O1129" i="31"/>
  <c r="T1135" i="31" s="1"/>
  <c r="BM1142" i="31"/>
  <c r="BM1148" i="31" s="1"/>
  <c r="BM1184" i="31"/>
  <c r="BM1145" i="31"/>
  <c r="BL1164" i="31"/>
  <c r="CM1167" i="31"/>
  <c r="AK1170" i="31"/>
  <c r="BI1170" i="31"/>
  <c r="AH1178" i="31"/>
  <c r="AM1178" i="31"/>
  <c r="AK1181" i="31"/>
  <c r="AF1181" i="31"/>
  <c r="AM1175" i="31"/>
  <c r="BD1186" i="31"/>
  <c r="BI1192" i="31" s="1"/>
  <c r="D1093" i="31"/>
  <c r="I1099" i="31" s="1"/>
  <c r="J1093" i="31"/>
  <c r="O1099" i="31" s="1"/>
  <c r="P1093" i="31"/>
  <c r="U1099" i="31" s="1"/>
  <c r="V1093" i="31"/>
  <c r="AA1099" i="31" s="1"/>
  <c r="AB1093" i="31"/>
  <c r="AG1099" i="31" s="1"/>
  <c r="AH1093" i="31"/>
  <c r="AM1099" i="31" s="1"/>
  <c r="AN1093" i="31"/>
  <c r="AS1099" i="31" s="1"/>
  <c r="BX1093" i="31"/>
  <c r="CC1099" i="31" s="1"/>
  <c r="DT1093" i="31"/>
  <c r="CJ1099" i="31"/>
  <c r="CV1099" i="31"/>
  <c r="DB1099" i="31"/>
  <c r="DH1099" i="31"/>
  <c r="DN1099" i="31"/>
  <c r="DT1103" i="31"/>
  <c r="CM1105" i="31"/>
  <c r="CS1105" i="31"/>
  <c r="CY1105" i="31"/>
  <c r="DD1111" i="31" s="1"/>
  <c r="DK1105" i="31"/>
  <c r="DQ1105" i="31"/>
  <c r="CV1108" i="31"/>
  <c r="DB1108" i="31"/>
  <c r="CX1109" i="31"/>
  <c r="DD1109" i="31"/>
  <c r="DP1109" i="31"/>
  <c r="DV1109" i="31"/>
  <c r="DV1110" i="31" s="1"/>
  <c r="AH1129" i="31"/>
  <c r="AM1135" i="31" s="1"/>
  <c r="J1132" i="31"/>
  <c r="P1132" i="31"/>
  <c r="V1132" i="31"/>
  <c r="DU1135" i="31"/>
  <c r="BQ1140" i="31"/>
  <c r="AQ1148" i="31"/>
  <c r="AW1148" i="31"/>
  <c r="BE1148" i="31"/>
  <c r="CP1162" i="31"/>
  <c r="CP1079" i="31" s="1"/>
  <c r="AW1164" i="31"/>
  <c r="S1186" i="31"/>
  <c r="S1189" i="31"/>
  <c r="S1128" i="31" s="1"/>
  <c r="S1129" i="31" s="1"/>
  <c r="X1189" i="31"/>
  <c r="AZ1190" i="31"/>
  <c r="AZ1191" i="31" s="1"/>
  <c r="E1093" i="31"/>
  <c r="J1099" i="31" s="1"/>
  <c r="K1093" i="31"/>
  <c r="P1099" i="31" s="1"/>
  <c r="Q1093" i="31"/>
  <c r="V1099" i="31" s="1"/>
  <c r="W1093" i="31"/>
  <c r="AB1099" i="31" s="1"/>
  <c r="AC1093" i="31"/>
  <c r="AH1099" i="31" s="1"/>
  <c r="AI1093" i="31"/>
  <c r="AN1099" i="31" s="1"/>
  <c r="AO1093" i="31"/>
  <c r="AT1099" i="31" s="1"/>
  <c r="BS1093" i="31"/>
  <c r="BX1099" i="31" s="1"/>
  <c r="BY1093" i="31"/>
  <c r="CD1099" i="31" s="1"/>
  <c r="CK1093" i="31"/>
  <c r="DO1093" i="31"/>
  <c r="CZ1103" i="31"/>
  <c r="DT1104" i="31"/>
  <c r="CT1105" i="31"/>
  <c r="DF1105" i="31"/>
  <c r="DL1105" i="31"/>
  <c r="DR1105" i="31"/>
  <c r="CW1108" i="31"/>
  <c r="DQ1109" i="31"/>
  <c r="K1129" i="31"/>
  <c r="Q1129" i="31"/>
  <c r="V1135" i="31" s="1"/>
  <c r="AR1148" i="31"/>
  <c r="AX1148" i="31"/>
  <c r="BD1148" i="31"/>
  <c r="AR1162" i="31"/>
  <c r="AW1167" i="31" s="1"/>
  <c r="AW1091" i="31" s="1"/>
  <c r="AN1184" i="31"/>
  <c r="BX1170" i="31"/>
  <c r="BV1164" i="31"/>
  <c r="CE1170" i="31"/>
  <c r="CF1164" i="31"/>
  <c r="AS1167" i="31"/>
  <c r="AS1091" i="31" s="1"/>
  <c r="AT1168" i="31"/>
  <c r="BS1168" i="31"/>
  <c r="BK1189" i="31"/>
  <c r="BP1189" i="31"/>
  <c r="BL1184" i="31"/>
  <c r="BK1186" i="31"/>
  <c r="BP1192" i="31" s="1"/>
  <c r="AN1190" i="31"/>
  <c r="AN1191" i="31" s="1"/>
  <c r="AS1190" i="31"/>
  <c r="AS1191" i="31" s="1"/>
  <c r="BJ1190" i="31"/>
  <c r="BO1190" i="31"/>
  <c r="BL1185" i="31"/>
  <c r="T1354" i="31"/>
  <c r="Z1354" i="31"/>
  <c r="AF1354" i="31"/>
  <c r="AL1354" i="31"/>
  <c r="AL1355" i="31" s="1"/>
  <c r="AX1354" i="31"/>
  <c r="AX1355" i="31" s="1"/>
  <c r="BD1354" i="31"/>
  <c r="BD1355" i="31" s="1"/>
  <c r="CA1349" i="31"/>
  <c r="CA46" i="31" s="1"/>
  <c r="T1084" i="31"/>
  <c r="Z1084" i="31"/>
  <c r="AF1084" i="31"/>
  <c r="AL1084" i="31"/>
  <c r="BJ1084" i="31"/>
  <c r="CL1099" i="31"/>
  <c r="CR1099" i="31"/>
  <c r="CX1099" i="31"/>
  <c r="DD1099" i="31"/>
  <c r="DP1099" i="31"/>
  <c r="DV1099" i="31"/>
  <c r="DO1103" i="31"/>
  <c r="CX1108" i="31"/>
  <c r="DF1109" i="31"/>
  <c r="DL1109" i="31"/>
  <c r="X1129" i="31"/>
  <c r="AC1135" i="31" s="1"/>
  <c r="BB1129" i="31"/>
  <c r="BG1135" i="31" s="1"/>
  <c r="L1132" i="31"/>
  <c r="R1132" i="31"/>
  <c r="X1132" i="31"/>
  <c r="P1133" i="31"/>
  <c r="V1133" i="31"/>
  <c r="AM1164" i="31"/>
  <c r="BI1190" i="31"/>
  <c r="BI1191" i="31" s="1"/>
  <c r="BG1185" i="31"/>
  <c r="CA1168" i="31"/>
  <c r="BY1170" i="31"/>
  <c r="CA1164" i="31"/>
  <c r="CM1164" i="31"/>
  <c r="BU1167" i="31"/>
  <c r="BU1091" i="31" s="1"/>
  <c r="AH1189" i="31"/>
  <c r="AC1186" i="31"/>
  <c r="CK1184" i="31"/>
  <c r="CG1186" i="31"/>
  <c r="AT1186" i="31"/>
  <c r="DJ1103" i="31"/>
  <c r="DO1104" i="31"/>
  <c r="M1129" i="31"/>
  <c r="AW1129" i="31"/>
  <c r="BB1135" i="31" s="1"/>
  <c r="CA1129" i="31"/>
  <c r="CF1135" i="31" s="1"/>
  <c r="AM1148" i="31"/>
  <c r="AY1148" i="31"/>
  <c r="BK1148" i="31"/>
  <c r="BF1189" i="31"/>
  <c r="BA1186" i="31"/>
  <c r="BF1192" i="31" s="1"/>
  <c r="BB1184" i="31"/>
  <c r="BD1190" i="31"/>
  <c r="BD1191" i="31" s="1"/>
  <c r="BZ1186" i="31"/>
  <c r="CE1190" i="31"/>
  <c r="CA1185" i="31"/>
  <c r="AZ1186" i="31"/>
  <c r="BE1192" i="31" s="1"/>
  <c r="BB1142" i="31"/>
  <c r="BB1148" i="31" s="1"/>
  <c r="BG1163" i="31"/>
  <c r="AH1164" i="31"/>
  <c r="BN1167" i="31"/>
  <c r="BN1091" i="31" s="1"/>
  <c r="BD1168" i="31"/>
  <c r="BP1168" i="31"/>
  <c r="CF1184" i="31"/>
  <c r="BW1186" i="31"/>
  <c r="BW1192" i="31" s="1"/>
  <c r="CC1186" i="31"/>
  <c r="BS1189" i="31"/>
  <c r="BK1190" i="31"/>
  <c r="BW1190" i="31"/>
  <c r="CH1348" i="31"/>
  <c r="CH45" i="31" s="1"/>
  <c r="CM1199" i="31"/>
  <c r="CN1348" i="31"/>
  <c r="CN45" i="31" s="1"/>
  <c r="CS1199" i="31"/>
  <c r="CT1348" i="31"/>
  <c r="CT45" i="31" s="1"/>
  <c r="CY1199" i="31"/>
  <c r="DF1348" i="31"/>
  <c r="DF45" i="31" s="1"/>
  <c r="DK1199" i="31"/>
  <c r="AH1200" i="31"/>
  <c r="CA1200" i="31"/>
  <c r="CL1349" i="31"/>
  <c r="CL46" i="31" s="1"/>
  <c r="CQ1200" i="31"/>
  <c r="CQ1201" i="31" s="1"/>
  <c r="CR1349" i="31"/>
  <c r="CR46" i="31" s="1"/>
  <c r="CW1200" i="31"/>
  <c r="CX1349" i="31"/>
  <c r="DC1200" i="31"/>
  <c r="DD1349" i="31"/>
  <c r="DI1200" i="31"/>
  <c r="DV1349" i="31"/>
  <c r="EA1354" i="31" s="1"/>
  <c r="EA1370" i="31" s="1"/>
  <c r="EA1097" i="31" s="1"/>
  <c r="AH1196" i="31"/>
  <c r="BG1196" i="31"/>
  <c r="CA1196" i="31"/>
  <c r="CH1196" i="31"/>
  <c r="CQ1196" i="31"/>
  <c r="AV1189" i="31"/>
  <c r="BH1189" i="31"/>
  <c r="W1192" i="31"/>
  <c r="AD1192" i="31"/>
  <c r="BN1192" i="31"/>
  <c r="CB1348" i="31"/>
  <c r="CB45" i="31" s="1"/>
  <c r="CB1199" i="31"/>
  <c r="CF1194" i="31"/>
  <c r="CG1199" i="31"/>
  <c r="CI1348" i="31"/>
  <c r="CI45" i="31" s="1"/>
  <c r="CN1199" i="31"/>
  <c r="CI1196" i="31"/>
  <c r="CO1348" i="31"/>
  <c r="CT1199" i="31"/>
  <c r="CO1196" i="31"/>
  <c r="DA1348" i="31"/>
  <c r="DA45" i="31" s="1"/>
  <c r="DF1199" i="31"/>
  <c r="DA1196" i="31"/>
  <c r="DG1348" i="31"/>
  <c r="DG45" i="31" s="1"/>
  <c r="DG1196" i="31"/>
  <c r="DR1199" i="31"/>
  <c r="DM1196" i="31"/>
  <c r="DS1348" i="31"/>
  <c r="DX1352" i="31" s="1"/>
  <c r="DS1196" i="31"/>
  <c r="DX1202" i="31" s="1"/>
  <c r="CG1349" i="31"/>
  <c r="CG46" i="31" s="1"/>
  <c r="CL1200" i="31"/>
  <c r="CM1349" i="31"/>
  <c r="CM46" i="31" s="1"/>
  <c r="CR1200" i="31"/>
  <c r="CR1201" i="31" s="1"/>
  <c r="CS1349" i="31"/>
  <c r="CS46" i="31" s="1"/>
  <c r="CX1200" i="31"/>
  <c r="CY1349" i="31"/>
  <c r="DD1200" i="31"/>
  <c r="DK1349" i="31"/>
  <c r="DP1200" i="31"/>
  <c r="DQ1349" i="31"/>
  <c r="DV1200" i="31"/>
  <c r="CB1196" i="31"/>
  <c r="J1192" i="31"/>
  <c r="P1192" i="31"/>
  <c r="V1192" i="31"/>
  <c r="AB1192" i="31"/>
  <c r="AQ1189" i="31"/>
  <c r="BC1189" i="31"/>
  <c r="CG1189" i="31"/>
  <c r="AC1190" i="31"/>
  <c r="AU1190" i="31"/>
  <c r="AU1191" i="31" s="1"/>
  <c r="BA1190" i="31"/>
  <c r="BA1191" i="31" s="1"/>
  <c r="AM1199" i="31"/>
  <c r="CC1348" i="31"/>
  <c r="CC45" i="31" s="1"/>
  <c r="CC1199" i="31"/>
  <c r="CH1199" i="31"/>
  <c r="CC1196" i="31"/>
  <c r="CC1202" i="31" s="1"/>
  <c r="CJ1348" i="31"/>
  <c r="CJ45" i="31" s="1"/>
  <c r="CO1199" i="31"/>
  <c r="CV1348" i="31"/>
  <c r="CV45" i="31" s="1"/>
  <c r="DA1199" i="31"/>
  <c r="CV1196" i="31"/>
  <c r="DB1348" i="31"/>
  <c r="DB45" i="31" s="1"/>
  <c r="DG1199" i="31"/>
  <c r="DB1196" i="31"/>
  <c r="DH1348" i="31"/>
  <c r="DH45" i="31" s="1"/>
  <c r="DM1199" i="31"/>
  <c r="DH1196" i="31"/>
  <c r="DN1348" i="31"/>
  <c r="DN45" i="31" s="1"/>
  <c r="DS1199" i="31"/>
  <c r="DN1196" i="31"/>
  <c r="I1200" i="31"/>
  <c r="N1200" i="31"/>
  <c r="BI1349" i="31"/>
  <c r="BI1200" i="31"/>
  <c r="BI1201" i="31" s="1"/>
  <c r="CB1349" i="31"/>
  <c r="CB46" i="31" s="1"/>
  <c r="CG1200" i="31"/>
  <c r="CB1200" i="31"/>
  <c r="CH1349" i="31"/>
  <c r="CH46" i="31" s="1"/>
  <c r="CM1200" i="31"/>
  <c r="CN1349" i="31"/>
  <c r="CN46" i="31" s="1"/>
  <c r="CS1200" i="31"/>
  <c r="CS1201" i="31" s="1"/>
  <c r="CT1349" i="31"/>
  <c r="CT46" i="31" s="1"/>
  <c r="CY1200" i="31"/>
  <c r="CY1201" i="31" s="1"/>
  <c r="DF1349" i="31"/>
  <c r="DK1200" i="31"/>
  <c r="DR1349" i="31"/>
  <c r="DW1354" i="31" s="1"/>
  <c r="DW1370" i="31" s="1"/>
  <c r="Q1202" i="31"/>
  <c r="W1202" i="31"/>
  <c r="AI1202" i="31"/>
  <c r="AV1202" i="31"/>
  <c r="CS1196" i="31"/>
  <c r="DK1196" i="31"/>
  <c r="AP1186" i="31"/>
  <c r="AV1186" i="31"/>
  <c r="CB1189" i="31"/>
  <c r="BZ1190" i="31"/>
  <c r="I1199" i="31"/>
  <c r="N1199" i="31"/>
  <c r="I1196" i="31"/>
  <c r="AR1199" i="31"/>
  <c r="AM1196" i="31"/>
  <c r="BI1348" i="31"/>
  <c r="BI45" i="31" s="1"/>
  <c r="BI1199" i="31"/>
  <c r="CD1348" i="31"/>
  <c r="CI1199" i="31"/>
  <c r="CD1199" i="31"/>
  <c r="CK1194" i="31"/>
  <c r="CQ1348" i="31"/>
  <c r="CV1199" i="31"/>
  <c r="CW1348" i="31"/>
  <c r="CW45" i="31" s="1"/>
  <c r="CW1199" i="31"/>
  <c r="DB1199" i="31"/>
  <c r="DC1348" i="31"/>
  <c r="DC45" i="31" s="1"/>
  <c r="DC1199" i="31"/>
  <c r="DH1199" i="31"/>
  <c r="DI1348" i="31"/>
  <c r="DI1199" i="31"/>
  <c r="DN1199" i="31"/>
  <c r="DU1348" i="31"/>
  <c r="DU1199" i="31"/>
  <c r="CT1196" i="31"/>
  <c r="BL1142" i="31"/>
  <c r="BC1159" i="31"/>
  <c r="BI1159" i="31"/>
  <c r="BR1167" i="31"/>
  <c r="BR1091" i="31" s="1"/>
  <c r="BT1168" i="31"/>
  <c r="CR1168" i="31"/>
  <c r="CR1169" i="31" s="1"/>
  <c r="AW1185" i="31"/>
  <c r="BC1186" i="31"/>
  <c r="BH1192" i="31" s="1"/>
  <c r="AW1199" i="31"/>
  <c r="CE1348" i="31"/>
  <c r="CJ1199" i="31"/>
  <c r="X1200" i="31"/>
  <c r="BB1200" i="31"/>
  <c r="CD1349" i="31"/>
  <c r="CD46" i="31" s="1"/>
  <c r="CD1200" i="31"/>
  <c r="CI1200" i="31"/>
  <c r="CJ1349" i="31"/>
  <c r="CJ46" i="31" s="1"/>
  <c r="CO1200" i="31"/>
  <c r="CV1349" i="31"/>
  <c r="DA1200" i="31"/>
  <c r="DB1349" i="31"/>
  <c r="DG1200" i="31"/>
  <c r="DH1349" i="31"/>
  <c r="DM1200" i="31"/>
  <c r="DN1349" i="31"/>
  <c r="DS1200" i="31"/>
  <c r="L1202" i="31"/>
  <c r="N1196" i="31"/>
  <c r="Y1202" i="31"/>
  <c r="AE1202" i="31"/>
  <c r="AK1202" i="31"/>
  <c r="AQ1202" i="31"/>
  <c r="AX1202" i="31"/>
  <c r="BD1202" i="31"/>
  <c r="BX1202" i="31"/>
  <c r="CW1196" i="31"/>
  <c r="BX1206" i="31"/>
  <c r="BG1142" i="31"/>
  <c r="BI1168" i="31"/>
  <c r="BB1199" i="31"/>
  <c r="BV1194" i="31"/>
  <c r="CG1348" i="31"/>
  <c r="CG45" i="31" s="1"/>
  <c r="CL1199" i="31"/>
  <c r="CM1348" i="31"/>
  <c r="CM45" i="31" s="1"/>
  <c r="CR1199" i="31"/>
  <c r="CS1348" i="31"/>
  <c r="CS45" i="31" s="1"/>
  <c r="CX1199" i="31"/>
  <c r="CY1348" i="31"/>
  <c r="CY45" i="31" s="1"/>
  <c r="DD1199" i="31"/>
  <c r="DK1348" i="31"/>
  <c r="DK45" i="31" s="1"/>
  <c r="DP1199" i="31"/>
  <c r="DQ1348" i="31"/>
  <c r="DV1199" i="31"/>
  <c r="AC1200" i="31"/>
  <c r="BG1200" i="31"/>
  <c r="BT1349" i="31"/>
  <c r="BY1200" i="31"/>
  <c r="CE1349" i="31"/>
  <c r="CE1200" i="31"/>
  <c r="CJ1200" i="31"/>
  <c r="CK1195" i="31"/>
  <c r="CQ1349" i="31"/>
  <c r="CQ46" i="31" s="1"/>
  <c r="CV1200" i="31"/>
  <c r="CW1349" i="31"/>
  <c r="DB1200" i="31"/>
  <c r="DC1349" i="31"/>
  <c r="DC1393" i="31" s="1"/>
  <c r="DH1200" i="31"/>
  <c r="DI1349" i="31"/>
  <c r="DN1200" i="31"/>
  <c r="DU1349" i="31"/>
  <c r="M1202" i="31"/>
  <c r="BT1196" i="31"/>
  <c r="BY1202" i="31" s="1"/>
  <c r="CG1196" i="31"/>
  <c r="CN1196" i="31"/>
  <c r="CX1196" i="31"/>
  <c r="DF1196" i="31"/>
  <c r="DP1196" i="31"/>
  <c r="CE1199" i="31"/>
  <c r="CH1200" i="31"/>
  <c r="BD1287" i="31"/>
  <c r="BI1292" i="31" s="1"/>
  <c r="BD1208" i="31"/>
  <c r="BI1214" i="31" s="1"/>
  <c r="BM1211" i="31"/>
  <c r="CZ1211" i="31"/>
  <c r="BS1207" i="31"/>
  <c r="BS1212" i="31" s="1"/>
  <c r="DE1212" i="31"/>
  <c r="CZ1212" i="31"/>
  <c r="DZ1214" i="31"/>
  <c r="BE1287" i="31"/>
  <c r="BJ1292" i="31" s="1"/>
  <c r="BE1208" i="31"/>
  <c r="BE1214" i="31" s="1"/>
  <c r="BN1211" i="31"/>
  <c r="BS1211" i="31"/>
  <c r="CV1214" i="31"/>
  <c r="DO1208" i="31"/>
  <c r="BB1211" i="31"/>
  <c r="Z1206" i="31"/>
  <c r="AL1206" i="31"/>
  <c r="AR1206" i="31"/>
  <c r="AW1211" i="31" s="1"/>
  <c r="BG1206" i="31"/>
  <c r="AJ1208" i="31"/>
  <c r="CW1214" i="31"/>
  <c r="CZ1208" i="31"/>
  <c r="DI1214" i="31"/>
  <c r="DJ1208" i="31"/>
  <c r="DT1208" i="31"/>
  <c r="DU1214" i="31"/>
  <c r="BI1211" i="31"/>
  <c r="BI1212" i="31"/>
  <c r="BI1213" i="31" s="1"/>
  <c r="BJ1206" i="31"/>
  <c r="AK1207" i="31"/>
  <c r="AR1207" i="31"/>
  <c r="BG1207" i="31"/>
  <c r="BT1207" i="31"/>
  <c r="BT1212" i="31" s="1"/>
  <c r="CU1208" i="31"/>
  <c r="CQ1214" i="31"/>
  <c r="CX1214" i="31"/>
  <c r="DC1214" i="31"/>
  <c r="BJ1212" i="31"/>
  <c r="CL1348" i="31"/>
  <c r="CL45" i="31" s="1"/>
  <c r="CR1348" i="31"/>
  <c r="CR45" i="31" s="1"/>
  <c r="CX1348" i="31"/>
  <c r="CX45" i="31" s="1"/>
  <c r="DD1348" i="31"/>
  <c r="DD45" i="31" s="1"/>
  <c r="DV1348" i="31"/>
  <c r="EA1352" i="31" s="1"/>
  <c r="BJ1349" i="31"/>
  <c r="BJ46" i="31" s="1"/>
  <c r="CC1349" i="31"/>
  <c r="CI1349" i="31"/>
  <c r="CI46" i="31" s="1"/>
  <c r="CO1349" i="31"/>
  <c r="DA1349" i="31"/>
  <c r="DG1349" i="31"/>
  <c r="DM1349" i="31"/>
  <c r="DS1349" i="31"/>
  <c r="DX1354" i="31" s="1"/>
  <c r="BF1211" i="31"/>
  <c r="CP1211" i="31"/>
  <c r="DT1211" i="31"/>
  <c r="AL1207" i="31"/>
  <c r="BM1208" i="31"/>
  <c r="CK1208" i="31"/>
  <c r="CR1214" i="31"/>
  <c r="CY1214" i="31"/>
  <c r="DD1214" i="31"/>
  <c r="DK1214" i="31"/>
  <c r="DQ1214" i="31"/>
  <c r="BK1211" i="31"/>
  <c r="BN1212" i="31"/>
  <c r="AD1218" i="31"/>
  <c r="AN1230" i="31"/>
  <c r="AL1231" i="31"/>
  <c r="BC1287" i="31"/>
  <c r="BH1211" i="31"/>
  <c r="BR1206" i="31"/>
  <c r="CU1211" i="31"/>
  <c r="AE1207" i="31"/>
  <c r="AP1208" i="31"/>
  <c r="AU1214" i="31" s="1"/>
  <c r="BC1208" i="31"/>
  <c r="BH1214" i="31" s="1"/>
  <c r="BN1208" i="31"/>
  <c r="CP1208" i="31"/>
  <c r="CL1214" i="31"/>
  <c r="DB1214" i="31"/>
  <c r="AO1219" i="31"/>
  <c r="BG1219" i="31"/>
  <c r="BG1224" i="31" s="1"/>
  <c r="CZ1220" i="31"/>
  <c r="BM1224" i="31"/>
  <c r="DU1226" i="31"/>
  <c r="CG1238" i="31"/>
  <c r="CF1232" i="31"/>
  <c r="CN1238" i="31"/>
  <c r="CP1232" i="31"/>
  <c r="DG1238" i="31"/>
  <c r="DN1238" i="31"/>
  <c r="AP1244" i="31"/>
  <c r="AK1243" i="31"/>
  <c r="BK1212" i="31"/>
  <c r="BT1218" i="31"/>
  <c r="AP1219" i="31"/>
  <c r="AP1288" i="31" s="1"/>
  <c r="AS1220" i="31"/>
  <c r="AX1226" i="31" s="1"/>
  <c r="BD1226" i="31"/>
  <c r="BE1220" i="31"/>
  <c r="BJ1226" i="31" s="1"/>
  <c r="BK1220" i="31"/>
  <c r="BL1220" i="31" s="1"/>
  <c r="CH1226" i="31"/>
  <c r="CN1226" i="31"/>
  <c r="CT1226" i="31"/>
  <c r="CU1220" i="31"/>
  <c r="DF1226" i="31"/>
  <c r="DL1226" i="31"/>
  <c r="DR1226" i="31"/>
  <c r="BK1223" i="31"/>
  <c r="BH1224" i="31"/>
  <c r="BH1225" i="31" s="1"/>
  <c r="BN1224" i="31"/>
  <c r="CL1226" i="31"/>
  <c r="BG1231" i="31"/>
  <c r="CV1238" i="31"/>
  <c r="DB1238" i="31"/>
  <c r="BR1207" i="31"/>
  <c r="BR1212" i="31" s="1"/>
  <c r="BF1212" i="31"/>
  <c r="BF1213" i="31" s="1"/>
  <c r="AQ1219" i="31"/>
  <c r="BL1219" i="31"/>
  <c r="CI1226" i="31"/>
  <c r="CO1226" i="31"/>
  <c r="CP1220" i="31"/>
  <c r="DA1226" i="31"/>
  <c r="DG1226" i="31"/>
  <c r="DM1226" i="31"/>
  <c r="DS1226" i="31"/>
  <c r="BO1224" i="31"/>
  <c r="BA1230" i="31"/>
  <c r="AK1231" i="31"/>
  <c r="DQ1238" i="31"/>
  <c r="DO1232" i="31"/>
  <c r="DO1247" i="31"/>
  <c r="DT1247" i="31"/>
  <c r="AN1243" i="31"/>
  <c r="AN1208" i="31"/>
  <c r="AS1214" i="31" s="1"/>
  <c r="AO1218" i="31"/>
  <c r="BP1218" i="31"/>
  <c r="BP1223" i="31" s="1"/>
  <c r="BS1219" i="31"/>
  <c r="BS1224" i="31" s="1"/>
  <c r="AU1220" i="31"/>
  <c r="AZ1226" i="31" s="1"/>
  <c r="BM1220" i="31"/>
  <c r="BM1226" i="31" s="1"/>
  <c r="DO1220" i="31"/>
  <c r="CZ1235" i="31"/>
  <c r="DK1238" i="31"/>
  <c r="DJ1232" i="31"/>
  <c r="DF1214" i="31"/>
  <c r="AV1220" i="31"/>
  <c r="BA1226" i="31" s="1"/>
  <c r="DI1226" i="31"/>
  <c r="AX1232" i="31"/>
  <c r="BC1238" i="31" s="1"/>
  <c r="BB1231" i="31"/>
  <c r="AS1231" i="31"/>
  <c r="BJ1236" i="31"/>
  <c r="AQ1218" i="31"/>
  <c r="AL1218" i="31" s="1"/>
  <c r="AG1218" i="31" s="1"/>
  <c r="AW1218" i="31"/>
  <c r="BB1223" i="31" s="1"/>
  <c r="AN1219" i="31"/>
  <c r="AY1232" i="31"/>
  <c r="BD1238" i="31" s="1"/>
  <c r="CU1236" i="31"/>
  <c r="DT1236" i="31"/>
  <c r="CM1238" i="31"/>
  <c r="CK1232" i="31"/>
  <c r="CT1238" i="31"/>
  <c r="CU1232" i="31"/>
  <c r="DF1238" i="31"/>
  <c r="DE1232" i="31"/>
  <c r="DM1238" i="31"/>
  <c r="BK1236" i="31"/>
  <c r="BB1243" i="31"/>
  <c r="CK1244" i="31"/>
  <c r="DQ1247" i="31"/>
  <c r="DL1248" i="31"/>
  <c r="AT1255" i="31"/>
  <c r="AT1288" i="31" s="1"/>
  <c r="AY1256" i="31"/>
  <c r="BD1262" i="31" s="1"/>
  <c r="AX1244" i="31"/>
  <c r="BC1250" i="31" s="1"/>
  <c r="CF1244" i="31"/>
  <c r="DJ1244" i="31"/>
  <c r="DL1247" i="31"/>
  <c r="CT1250" i="31"/>
  <c r="DF1250" i="31"/>
  <c r="AK1255" i="31"/>
  <c r="AP1256" i="31"/>
  <c r="AJ1266" i="31"/>
  <c r="CF1276" i="31"/>
  <c r="AT1231" i="31"/>
  <c r="AS1242" i="31"/>
  <c r="DO1243" i="31"/>
  <c r="BE1244" i="31"/>
  <c r="BJ1250" i="31" s="1"/>
  <c r="DA1250" i="31"/>
  <c r="BA1254" i="31"/>
  <c r="BH1256" i="31"/>
  <c r="BM1255" i="31"/>
  <c r="BM1260" i="31" s="1"/>
  <c r="AO1265" i="31"/>
  <c r="AJ1265" i="31" s="1"/>
  <c r="AE1265" i="31" s="1"/>
  <c r="BG1243" i="31"/>
  <c r="DL1244" i="31"/>
  <c r="CP1247" i="31"/>
  <c r="AS1254" i="31"/>
  <c r="CQ1276" i="31"/>
  <c r="AU1244" i="31"/>
  <c r="AZ1250" i="31" s="1"/>
  <c r="BM1254" i="31"/>
  <c r="CK1276" i="31"/>
  <c r="CM1276" i="31"/>
  <c r="CR1276" i="31" s="1"/>
  <c r="AG1255" i="31"/>
  <c r="AS1255" i="31"/>
  <c r="AS1288" i="31" s="1"/>
  <c r="BB1255" i="31"/>
  <c r="AX1256" i="31"/>
  <c r="BC1262" i="31" s="1"/>
  <c r="BH1265" i="31"/>
  <c r="BG1265" i="31"/>
  <c r="BC1267" i="31"/>
  <c r="BK1271" i="31"/>
  <c r="BF1267" i="31"/>
  <c r="BK1273" i="31" s="1"/>
  <c r="BG1266" i="31"/>
  <c r="BQ1266" i="31"/>
  <c r="BO1267" i="31"/>
  <c r="BP1270" i="31"/>
  <c r="BN1271" i="31"/>
  <c r="BT1271" i="31"/>
  <c r="CA1276" i="31"/>
  <c r="AO1278" i="31"/>
  <c r="AU1278" i="31"/>
  <c r="BG1278" i="31"/>
  <c r="BE1281" i="31"/>
  <c r="BQ1281" i="31"/>
  <c r="BM1284" i="31"/>
  <c r="AU1256" i="31"/>
  <c r="AZ1262" i="31" s="1"/>
  <c r="BQ1265" i="31"/>
  <c r="AK1266" i="31"/>
  <c r="AQ1266" i="31"/>
  <c r="AW1266" i="31"/>
  <c r="AX1267" i="31"/>
  <c r="BD1267" i="31"/>
  <c r="BI1273" i="31" s="1"/>
  <c r="BP1267" i="31"/>
  <c r="BO1271" i="31"/>
  <c r="AD1278" i="31"/>
  <c r="AV1278" i="31"/>
  <c r="AY1282" i="31"/>
  <c r="AY1283" i="31" s="1"/>
  <c r="BE1282" i="31"/>
  <c r="BE1283" i="31" s="1"/>
  <c r="BT1254" i="31"/>
  <c r="BY1254" i="31" s="1"/>
  <c r="CD1254" i="31" s="1"/>
  <c r="BF1288" i="31"/>
  <c r="BT1255" i="31"/>
  <c r="BN1256" i="31"/>
  <c r="BS1266" i="31"/>
  <c r="BS1271" i="31" s="1"/>
  <c r="BE1267" i="31"/>
  <c r="BJ1273" i="31" s="1"/>
  <c r="AZ1289" i="31"/>
  <c r="AE1278" i="31"/>
  <c r="AL1303" i="31"/>
  <c r="AK1303" i="31"/>
  <c r="AK1308" i="31" s="1"/>
  <c r="AI1303" i="31"/>
  <c r="BS1265" i="31"/>
  <c r="AT1267" i="31"/>
  <c r="AY1273" i="31" s="1"/>
  <c r="BR1267" i="31"/>
  <c r="BR1273" i="31" s="1"/>
  <c r="BB1276" i="31"/>
  <c r="AX1278" i="31"/>
  <c r="BC1284" i="31" s="1"/>
  <c r="BV1278" i="31"/>
  <c r="AV1281" i="31"/>
  <c r="AR1284" i="31"/>
  <c r="BP1284" i="31"/>
  <c r="BJ1289" i="31"/>
  <c r="BO1295" i="31" s="1"/>
  <c r="BQ1300" i="31"/>
  <c r="AG1278" i="31"/>
  <c r="AW1300" i="31"/>
  <c r="BU1265" i="31"/>
  <c r="BU1270" i="31" s="1"/>
  <c r="BN1267" i="31"/>
  <c r="AZ1278" i="31"/>
  <c r="BE1284" i="31" s="1"/>
  <c r="BL1287" i="31"/>
  <c r="BQ1292" i="31" s="1"/>
  <c r="AF1304" i="31"/>
  <c r="BA1303" i="31"/>
  <c r="AZ1303" i="31"/>
  <c r="DP1348" i="31"/>
  <c r="DP1330" i="31"/>
  <c r="DT1325" i="31"/>
  <c r="DU1330" i="31"/>
  <c r="DP1327" i="31"/>
  <c r="BL1288" i="31"/>
  <c r="BQ1293" i="31" s="1"/>
  <c r="BN1295" i="31"/>
  <c r="BM1292" i="31"/>
  <c r="BO1293" i="31"/>
  <c r="BL1300" i="31"/>
  <c r="BK1303" i="31"/>
  <c r="BI1303" i="31"/>
  <c r="BH1303" i="31"/>
  <c r="AP1303" i="31"/>
  <c r="BE1303" i="31"/>
  <c r="CI1303" i="31"/>
  <c r="CD1314" i="31"/>
  <c r="I1330" i="31"/>
  <c r="N1330" i="31"/>
  <c r="I1327" i="31"/>
  <c r="AR1330" i="31"/>
  <c r="AM1327" i="31"/>
  <c r="CZ1330" i="31"/>
  <c r="W1333" i="31"/>
  <c r="AV1303" i="31"/>
  <c r="AV1304" i="31" s="1"/>
  <c r="AT1303" i="31"/>
  <c r="AT1308" i="31" s="1"/>
  <c r="AS1303" i="31"/>
  <c r="AS1304" i="31" s="1"/>
  <c r="BP1303" i="31"/>
  <c r="BO1303" i="31"/>
  <c r="BT1308" i="31" s="1"/>
  <c r="AQ1303" i="31"/>
  <c r="BF1303" i="31"/>
  <c r="BF1304" i="31" s="1"/>
  <c r="CE1314" i="31"/>
  <c r="CU1331" i="31"/>
  <c r="DP1349" i="31"/>
  <c r="DT1326" i="31"/>
  <c r="DY1331" i="31" s="1"/>
  <c r="DP1331" i="31"/>
  <c r="DU1331" i="31"/>
  <c r="Q1333" i="31"/>
  <c r="BA1333" i="31"/>
  <c r="AJ1304" i="31"/>
  <c r="AU1303" i="31"/>
  <c r="BJ1303" i="31"/>
  <c r="K1333" i="31"/>
  <c r="AU1333" i="31"/>
  <c r="AH1300" i="31"/>
  <c r="AY1304" i="31"/>
  <c r="AG1303" i="31"/>
  <c r="AG1304" i="31" s="1"/>
  <c r="AE1303" i="31"/>
  <c r="AD1303" i="31"/>
  <c r="AX1303" i="31"/>
  <c r="BM1303" i="31"/>
  <c r="CJ1303" i="31"/>
  <c r="AO1333" i="31"/>
  <c r="BR1333" i="31"/>
  <c r="BQ1327" i="31"/>
  <c r="N1327" i="31"/>
  <c r="AR1327" i="31"/>
  <c r="BV1327" i="31"/>
  <c r="CY1333" i="31"/>
  <c r="DK1333" i="31"/>
  <c r="DQ1333" i="31"/>
  <c r="S1330" i="31"/>
  <c r="N1331" i="31"/>
  <c r="CS1333" i="31"/>
  <c r="S1349" i="31"/>
  <c r="S46" i="31" s="1"/>
  <c r="DM1348" i="31"/>
  <c r="DM45" i="31" s="1"/>
  <c r="T1333" i="31"/>
  <c r="Z1333" i="31"/>
  <c r="AF1333" i="31"/>
  <c r="AL1333" i="31"/>
  <c r="AX1333" i="31"/>
  <c r="BD1333" i="31"/>
  <c r="BJ1333" i="31"/>
  <c r="BP1333" i="31"/>
  <c r="CB1333" i="31"/>
  <c r="CH1333" i="31"/>
  <c r="CN1333" i="31"/>
  <c r="CT1333" i="31"/>
  <c r="DF1333" i="31"/>
  <c r="DL1333" i="31"/>
  <c r="DM1327" i="31"/>
  <c r="DR1330" i="31"/>
  <c r="DO1331" i="31"/>
  <c r="E1349" i="31"/>
  <c r="X1349" i="31"/>
  <c r="X46" i="31" s="1"/>
  <c r="AR1300" i="31"/>
  <c r="DO1325" i="31"/>
  <c r="DO1330" i="31" s="1"/>
  <c r="CP1331" i="31"/>
  <c r="AH1327" i="31"/>
  <c r="BL1327" i="31"/>
  <c r="CU1330" i="31"/>
  <c r="DM1330" i="31"/>
  <c r="DJ1331" i="31"/>
  <c r="CM1333" i="31"/>
  <c r="E1348" i="31"/>
  <c r="E45" i="31" s="1"/>
  <c r="F1349" i="31"/>
  <c r="AC1349" i="31"/>
  <c r="AC46" i="31" s="1"/>
  <c r="AC1344" i="31"/>
  <c r="AC1340" i="31"/>
  <c r="AH1344" i="31"/>
  <c r="CJ1333" i="31"/>
  <c r="CV1333" i="31"/>
  <c r="DB1333" i="31"/>
  <c r="DH1333" i="31"/>
  <c r="DN1333" i="31"/>
  <c r="CO1333" i="31"/>
  <c r="AC1348" i="31"/>
  <c r="AC45" i="31" s="1"/>
  <c r="G1349" i="31"/>
  <c r="I1339" i="31"/>
  <c r="I1344" i="31" s="1"/>
  <c r="G1340" i="31"/>
  <c r="L1346" i="31" s="1"/>
  <c r="L1344" i="31"/>
  <c r="DR1348" i="31"/>
  <c r="DW1352" i="31" s="1"/>
  <c r="CZ1331" i="31"/>
  <c r="X1327" i="31"/>
  <c r="BB1327" i="31"/>
  <c r="CF1327" i="31"/>
  <c r="DJ1327" i="31"/>
  <c r="CG1333" i="31"/>
  <c r="CQ1333" i="31"/>
  <c r="DA1333" i="31"/>
  <c r="AM1343" i="31"/>
  <c r="AH1348" i="31"/>
  <c r="AH45" i="31" s="1"/>
  <c r="AH1343" i="31"/>
  <c r="AH1340" i="31"/>
  <c r="H1349" i="31"/>
  <c r="H46" i="31" s="1"/>
  <c r="S1327" i="31"/>
  <c r="AW1327" i="31"/>
  <c r="CA1327" i="31"/>
  <c r="DE1327" i="31"/>
  <c r="DJ1330" i="31"/>
  <c r="CI1333" i="31"/>
  <c r="CR1333" i="31"/>
  <c r="DC1333" i="31"/>
  <c r="H1340" i="31"/>
  <c r="M1346" i="31" s="1"/>
  <c r="M1343" i="31"/>
  <c r="H1348" i="31"/>
  <c r="H45" i="31" s="1"/>
  <c r="J1343" i="31"/>
  <c r="J1344" i="31"/>
  <c r="F1348" i="31"/>
  <c r="F45" i="31" s="1"/>
  <c r="X1348" i="31"/>
  <c r="X45" i="31" s="1"/>
  <c r="N1349" i="31"/>
  <c r="N46" i="31" s="1"/>
  <c r="D1340" i="31"/>
  <c r="AC1343" i="31"/>
  <c r="G1348" i="31"/>
  <c r="G45" i="31" s="1"/>
  <c r="S1348" i="31"/>
  <c r="S45" i="31" s="1"/>
  <c r="AM1349" i="31"/>
  <c r="AM46" i="31" s="1"/>
  <c r="BF1338" i="31"/>
  <c r="BF1340" i="31" s="1"/>
  <c r="E1340" i="31"/>
  <c r="J1346" i="31" s="1"/>
  <c r="X1344" i="31"/>
  <c r="BB1344" i="31"/>
  <c r="BB1345" i="31" s="1"/>
  <c r="N1348" i="31"/>
  <c r="N45" i="31" s="1"/>
  <c r="D1349" i="31"/>
  <c r="D46" i="31" s="1"/>
  <c r="AH1349" i="31"/>
  <c r="AH46" i="31" s="1"/>
  <c r="S1343" i="31"/>
  <c r="AW1343" i="31"/>
  <c r="BP1344" i="31"/>
  <c r="BP1345" i="31" s="1"/>
  <c r="AM1348" i="31"/>
  <c r="AM45" i="31" s="1"/>
  <c r="I1338" i="31"/>
  <c r="I1343" i="31" s="1"/>
  <c r="BP1340" i="31"/>
  <c r="AR1344" i="31"/>
  <c r="P1346" i="31"/>
  <c r="D1348" i="31"/>
  <c r="D45" i="31" s="1"/>
  <c r="EE1199" i="31" l="1"/>
  <c r="DX1087" i="31"/>
  <c r="ED1079" i="31"/>
  <c r="EI1084" i="31" s="1"/>
  <c r="EA1087" i="31"/>
  <c r="DS1111" i="31"/>
  <c r="ED1214" i="31"/>
  <c r="ED1135" i="31"/>
  <c r="ED1226" i="31"/>
  <c r="DZ925" i="31"/>
  <c r="EA1086" i="31"/>
  <c r="EI1336" i="31"/>
  <c r="EJ1336" i="31" s="1"/>
  <c r="EK1336" i="31" s="1"/>
  <c r="EL1336" i="31" s="1"/>
  <c r="EM1336" i="31" s="1"/>
  <c r="EN1336" i="31" s="1"/>
  <c r="DU1076" i="31"/>
  <c r="DU1065" i="31"/>
  <c r="AV1192" i="31"/>
  <c r="DZ1199" i="31"/>
  <c r="DY1081" i="31"/>
  <c r="DY1085" i="31"/>
  <c r="DY940" i="31"/>
  <c r="DY1250" i="31"/>
  <c r="DY1084" i="31"/>
  <c r="DY1238" i="31"/>
  <c r="BA1293" i="31"/>
  <c r="BA1294" i="31" s="1"/>
  <c r="DY1135" i="31"/>
  <c r="DY1099" i="31"/>
  <c r="CK906" i="31"/>
  <c r="DY1348" i="31"/>
  <c r="ED1353" i="31" s="1"/>
  <c r="DY1200" i="31"/>
  <c r="DY1108" i="31"/>
  <c r="DY1214" i="31"/>
  <c r="DY1226" i="31"/>
  <c r="DY1349" i="31"/>
  <c r="DY1109" i="31"/>
  <c r="DY1330" i="31"/>
  <c r="DY952" i="31"/>
  <c r="DY926" i="31"/>
  <c r="AR1202" i="31"/>
  <c r="BO1349" i="31"/>
  <c r="BT1354" i="31" s="1"/>
  <c r="BO1085" i="31"/>
  <c r="DP1333" i="31"/>
  <c r="DU1087" i="31"/>
  <c r="DL1199" i="31"/>
  <c r="DQ1199" i="31"/>
  <c r="DT1331" i="31"/>
  <c r="DW1333" i="31"/>
  <c r="DS1087" i="31"/>
  <c r="DW928" i="31"/>
  <c r="DM1333" i="31"/>
  <c r="DW1111" i="31"/>
  <c r="DW1112" i="31" s="1"/>
  <c r="BM1170" i="31"/>
  <c r="DR1087" i="31"/>
  <c r="DW1087" i="31"/>
  <c r="DT1135" i="31"/>
  <c r="DP45" i="31"/>
  <c r="DQ45" i="31"/>
  <c r="DR45" i="31"/>
  <c r="DS45" i="31"/>
  <c r="DV45" i="31"/>
  <c r="EA50" i="31" s="1"/>
  <c r="DU45" i="31"/>
  <c r="BC1081" i="31"/>
  <c r="BH1087" i="31" s="1"/>
  <c r="BK1081" i="31"/>
  <c r="BK1087" i="31" s="1"/>
  <c r="J1135" i="31"/>
  <c r="DF1111" i="31"/>
  <c r="BA1093" i="31"/>
  <c r="BF1099" i="31" s="1"/>
  <c r="BM1096" i="31"/>
  <c r="CP906" i="31"/>
  <c r="M1135" i="31"/>
  <c r="W1087" i="31"/>
  <c r="BH1085" i="31"/>
  <c r="BH1086" i="31" s="1"/>
  <c r="BD1293" i="31"/>
  <c r="BD1294" i="31" s="1"/>
  <c r="AZ1350" i="31"/>
  <c r="BE1357" i="31" s="1"/>
  <c r="BC1085" i="31"/>
  <c r="BC1086" i="31" s="1"/>
  <c r="Q1087" i="31"/>
  <c r="BI1096" i="31"/>
  <c r="BS1081" i="31"/>
  <c r="BS1350" i="31" s="1"/>
  <c r="BC1084" i="31"/>
  <c r="BX1085" i="31"/>
  <c r="BX1354" i="31"/>
  <c r="AX1081" i="31"/>
  <c r="CO1350" i="31"/>
  <c r="DS46" i="31"/>
  <c r="DS1393" i="31"/>
  <c r="DV46" i="31"/>
  <c r="EA51" i="31" s="1"/>
  <c r="EA52" i="31" s="1"/>
  <c r="DV1393" i="31"/>
  <c r="DM46" i="31"/>
  <c r="DM1393" i="31"/>
  <c r="DN46" i="31"/>
  <c r="DN1393" i="31"/>
  <c r="DQ46" i="31"/>
  <c r="DQ1393" i="31"/>
  <c r="DG46" i="31"/>
  <c r="DG1393" i="31"/>
  <c r="DR46" i="31"/>
  <c r="DR1393" i="31"/>
  <c r="DP46" i="31"/>
  <c r="DP1393" i="31"/>
  <c r="DH46" i="31"/>
  <c r="DH1393" i="31"/>
  <c r="DK46" i="31"/>
  <c r="DK1393" i="31"/>
  <c r="DU46" i="31"/>
  <c r="DU1393" i="31"/>
  <c r="DF46" i="31"/>
  <c r="DF1393" i="31"/>
  <c r="DI46" i="31"/>
  <c r="DI1393" i="31"/>
  <c r="DC1390" i="31"/>
  <c r="DC1389" i="31"/>
  <c r="DC1392" i="31"/>
  <c r="DC1388" i="31"/>
  <c r="DC1386" i="31"/>
  <c r="DC1391" i="31"/>
  <c r="DC1387" i="31"/>
  <c r="DD46" i="31"/>
  <c r="DD1393" i="31"/>
  <c r="DA46" i="31"/>
  <c r="DA1393" i="31"/>
  <c r="CW46" i="31"/>
  <c r="CW47" i="31" s="1"/>
  <c r="CW1393" i="31"/>
  <c r="CX46" i="31"/>
  <c r="CX47" i="31" s="1"/>
  <c r="CX1393" i="31"/>
  <c r="CV46" i="31"/>
  <c r="CV47" i="31" s="1"/>
  <c r="CV1393" i="31"/>
  <c r="DB46" i="31"/>
  <c r="DB1393" i="31"/>
  <c r="CY46" i="31"/>
  <c r="CY47" i="31" s="1"/>
  <c r="CY1393" i="31"/>
  <c r="DJ1250" i="31"/>
  <c r="AC1076" i="31"/>
  <c r="BB906" i="31"/>
  <c r="X1087" i="31"/>
  <c r="BG1076" i="31"/>
  <c r="BB1202" i="31"/>
  <c r="BU1170" i="31"/>
  <c r="BT1220" i="31"/>
  <c r="BT1226" i="31" s="1"/>
  <c r="AE1087" i="31"/>
  <c r="AU1085" i="31"/>
  <c r="AU1086" i="31" s="1"/>
  <c r="O1087" i="31"/>
  <c r="AH1076" i="31"/>
  <c r="BU45" i="31"/>
  <c r="AC1346" i="31"/>
  <c r="BM1091" i="31"/>
  <c r="BR1096" i="31" s="1"/>
  <c r="AP1085" i="31"/>
  <c r="AP1086" i="31" s="1"/>
  <c r="AP1081" i="31"/>
  <c r="AP1087" i="31" s="1"/>
  <c r="AU1354" i="31"/>
  <c r="AU1355" i="31" s="1"/>
  <c r="DE1196" i="31"/>
  <c r="CB1350" i="31"/>
  <c r="BU1349" i="31"/>
  <c r="BV1349" i="31" s="1"/>
  <c r="DT1199" i="31"/>
  <c r="BH1308" i="31"/>
  <c r="BJ1093" i="31"/>
  <c r="BO1099" i="31" s="1"/>
  <c r="AU1093" i="31"/>
  <c r="AZ1099" i="31" s="1"/>
  <c r="X1192" i="31"/>
  <c r="BU1224" i="31"/>
  <c r="BP1224" i="31"/>
  <c r="BQ1219" i="31"/>
  <c r="BQ1224" i="31" s="1"/>
  <c r="BR1308" i="31"/>
  <c r="CB1303" i="31"/>
  <c r="CB1314" i="31" s="1"/>
  <c r="DT1226" i="31"/>
  <c r="DF1350" i="31"/>
  <c r="CP1226" i="31"/>
  <c r="BE1292" i="31"/>
  <c r="DT1238" i="31"/>
  <c r="CA906" i="31"/>
  <c r="DE952" i="31"/>
  <c r="CP1200" i="31"/>
  <c r="AN1170" i="31"/>
  <c r="CU1348" i="31"/>
  <c r="CU45" i="31" s="1"/>
  <c r="AS1081" i="31"/>
  <c r="CQ1350" i="31"/>
  <c r="CM1303" i="31"/>
  <c r="CR1303" i="31" s="1"/>
  <c r="BV1284" i="31"/>
  <c r="CU1109" i="31"/>
  <c r="BD1081" i="31"/>
  <c r="BD1087" i="31" s="1"/>
  <c r="CU1196" i="31"/>
  <c r="BE1262" i="31"/>
  <c r="CV928" i="31"/>
  <c r="DA1350" i="31"/>
  <c r="T1087" i="31"/>
  <c r="BD1084" i="31"/>
  <c r="BI1084" i="31"/>
  <c r="BU1085" i="31"/>
  <c r="DV1202" i="31"/>
  <c r="DO1199" i="31"/>
  <c r="DE1226" i="31"/>
  <c r="BU1212" i="31"/>
  <c r="AI1087" i="31"/>
  <c r="BE1093" i="31"/>
  <c r="BJ1099" i="31" s="1"/>
  <c r="CX928" i="31"/>
  <c r="BJ1293" i="31"/>
  <c r="AX1084" i="31"/>
  <c r="CQ1170" i="31"/>
  <c r="BP1085" i="31"/>
  <c r="CU964" i="31"/>
  <c r="AY1284" i="31"/>
  <c r="S1346" i="31"/>
  <c r="CE1350" i="31"/>
  <c r="CE1357" i="31" s="1"/>
  <c r="BH1063" i="31"/>
  <c r="BH1064" i="31" s="1"/>
  <c r="BC1096" i="31"/>
  <c r="CP1250" i="31"/>
  <c r="BH1096" i="31"/>
  <c r="AC1043" i="31"/>
  <c r="CU940" i="31"/>
  <c r="CU968" i="31"/>
  <c r="CJ928" i="31"/>
  <c r="CZ906" i="31"/>
  <c r="BF1085" i="31"/>
  <c r="BF1086" i="31" s="1"/>
  <c r="BR1304" i="31"/>
  <c r="BR1305" i="31" s="1"/>
  <c r="BA1284" i="31"/>
  <c r="BL1223" i="31"/>
  <c r="BP1212" i="31"/>
  <c r="BQ1207" i="31"/>
  <c r="BQ1212" i="31" s="1"/>
  <c r="BG1288" i="31"/>
  <c r="BL1293" i="31" s="1"/>
  <c r="AO1214" i="31"/>
  <c r="CP1199" i="31"/>
  <c r="AO1170" i="31"/>
  <c r="BB1170" i="31"/>
  <c r="AS1350" i="31"/>
  <c r="AY1093" i="31"/>
  <c r="BD1099" i="31" s="1"/>
  <c r="S1043" i="31"/>
  <c r="AM1043" i="31"/>
  <c r="BP1208" i="31"/>
  <c r="BP1214" i="31" s="1"/>
  <c r="CP968" i="31"/>
  <c r="CP973" i="31" s="1"/>
  <c r="AV1308" i="31"/>
  <c r="DJ1226" i="31"/>
  <c r="CU1199" i="31"/>
  <c r="CZ917" i="31"/>
  <c r="AR1002" i="31"/>
  <c r="CK1170" i="31"/>
  <c r="DE926" i="31"/>
  <c r="AC1202" i="31"/>
  <c r="CP1348" i="31"/>
  <c r="CP45" i="31" s="1"/>
  <c r="AT1093" i="31"/>
  <c r="AY1099" i="31" s="1"/>
  <c r="BS1085" i="31"/>
  <c r="AC906" i="31"/>
  <c r="AY1192" i="31"/>
  <c r="X1202" i="31"/>
  <c r="I1087" i="31"/>
  <c r="AH906" i="31"/>
  <c r="CP1196" i="31"/>
  <c r="BO1081" i="31"/>
  <c r="BO1087" i="31" s="1"/>
  <c r="CZ1087" i="31"/>
  <c r="AM1192" i="31"/>
  <c r="DC1350" i="31"/>
  <c r="DO940" i="31"/>
  <c r="BX1192" i="31"/>
  <c r="DT1085" i="31"/>
  <c r="DT1081" i="31"/>
  <c r="BY1265" i="31"/>
  <c r="CD1265" i="31" s="1"/>
  <c r="CI1265" i="31" s="1"/>
  <c r="CN1265" i="31" s="1"/>
  <c r="BE1084" i="31"/>
  <c r="U1087" i="31"/>
  <c r="CW928" i="31"/>
  <c r="CP926" i="31"/>
  <c r="CD1192" i="31"/>
  <c r="CK1349" i="31"/>
  <c r="CK46" i="31" s="1"/>
  <c r="AR1168" i="31"/>
  <c r="AR1092" i="31" s="1"/>
  <c r="AW1097" i="31" s="1"/>
  <c r="AW1098" i="31" s="1"/>
  <c r="AO1189" i="31"/>
  <c r="AV1084" i="31"/>
  <c r="AZ1084" i="31"/>
  <c r="CK926" i="31"/>
  <c r="CZ1333" i="31"/>
  <c r="DE1250" i="31"/>
  <c r="CZ1250" i="31"/>
  <c r="BE1352" i="31"/>
  <c r="AO1084" i="31"/>
  <c r="BU1081" i="31"/>
  <c r="BZ1087" i="31" s="1"/>
  <c r="AR906" i="31"/>
  <c r="BT1267" i="31"/>
  <c r="BT1273" i="31" s="1"/>
  <c r="BN1349" i="31"/>
  <c r="BN1354" i="31" s="1"/>
  <c r="K1087" i="31"/>
  <c r="BU1346" i="31"/>
  <c r="CN1350" i="31"/>
  <c r="DK1350" i="31"/>
  <c r="BY1192" i="31"/>
  <c r="AZ1081" i="31"/>
  <c r="BE1087" i="31" s="1"/>
  <c r="AO1348" i="31"/>
  <c r="AO45" i="31" s="1"/>
  <c r="DK928" i="31"/>
  <c r="BH1020" i="31"/>
  <c r="DT1196" i="31"/>
  <c r="DY1202" i="31" s="1"/>
  <c r="M1087" i="31"/>
  <c r="AS1284" i="31"/>
  <c r="CH1192" i="31"/>
  <c r="CY928" i="31"/>
  <c r="BG917" i="31"/>
  <c r="BH1195" i="31"/>
  <c r="BH1349" i="31" s="1"/>
  <c r="BH46" i="31" s="1"/>
  <c r="AW1202" i="31"/>
  <c r="BH1267" i="31"/>
  <c r="BH1273" i="31" s="1"/>
  <c r="CE1202" i="31"/>
  <c r="DZ1084" i="31"/>
  <c r="DE964" i="31"/>
  <c r="AS1092" i="31"/>
  <c r="AX1097" i="31" s="1"/>
  <c r="AX1098" i="31" s="1"/>
  <c r="N917" i="31"/>
  <c r="AC1087" i="31"/>
  <c r="DJ1200" i="31"/>
  <c r="BB1278" i="31"/>
  <c r="BG1284" i="31" s="1"/>
  <c r="BL1266" i="31"/>
  <c r="BL1271" i="31" s="1"/>
  <c r="AC1333" i="31"/>
  <c r="BG1282" i="31"/>
  <c r="BC1293" i="31"/>
  <c r="BC1294" i="31" s="1"/>
  <c r="BC1289" i="31"/>
  <c r="BH1295" i="31" s="1"/>
  <c r="BS1200" i="31"/>
  <c r="BN1196" i="31"/>
  <c r="BS1202" i="31" s="1"/>
  <c r="N1192" i="31"/>
  <c r="CK1333" i="31"/>
  <c r="P1135" i="31"/>
  <c r="DC1202" i="31"/>
  <c r="AH1192" i="31"/>
  <c r="BK1093" i="31"/>
  <c r="BP1099" i="31" s="1"/>
  <c r="BC1020" i="31"/>
  <c r="BJ1007" i="31"/>
  <c r="CH1350" i="31"/>
  <c r="DG1111" i="31"/>
  <c r="BT1084" i="31"/>
  <c r="CZ1108" i="31"/>
  <c r="AO1085" i="31"/>
  <c r="AO1086" i="31" s="1"/>
  <c r="DE925" i="31"/>
  <c r="AY1007" i="31"/>
  <c r="AY1008" i="31" s="1"/>
  <c r="CU1349" i="31"/>
  <c r="CU46" i="31" s="1"/>
  <c r="DE1349" i="31"/>
  <c r="BK1226" i="31"/>
  <c r="AD1208" i="31"/>
  <c r="AD1214" i="31" s="1"/>
  <c r="AT1189" i="31"/>
  <c r="BF1354" i="31"/>
  <c r="BF1355" i="31" s="1"/>
  <c r="BA47" i="31"/>
  <c r="DJ1196" i="31"/>
  <c r="BA1096" i="31"/>
  <c r="BH1018" i="31"/>
  <c r="BH1019" i="31" s="1"/>
  <c r="DJ925" i="31"/>
  <c r="DT1084" i="31"/>
  <c r="BN1096" i="31"/>
  <c r="BJ1052" i="31"/>
  <c r="BE1054" i="31"/>
  <c r="DV928" i="31"/>
  <c r="DN928" i="31"/>
  <c r="S906" i="31"/>
  <c r="BN1081" i="31"/>
  <c r="N1129" i="31"/>
  <c r="N1135" i="31" s="1"/>
  <c r="CZ1200" i="31"/>
  <c r="DJ1348" i="31"/>
  <c r="DJ45" i="31" s="1"/>
  <c r="DG1202" i="31"/>
  <c r="BG1043" i="31"/>
  <c r="CA987" i="31"/>
  <c r="DI928" i="31"/>
  <c r="CK952" i="31"/>
  <c r="BG1062" i="31"/>
  <c r="CZ1099" i="31"/>
  <c r="DA1111" i="31"/>
  <c r="BA1081" i="31"/>
  <c r="BF1087" i="31" s="1"/>
  <c r="DE1348" i="31"/>
  <c r="DE45" i="31" s="1"/>
  <c r="BN1084" i="31"/>
  <c r="AH1202" i="31"/>
  <c r="D47" i="31"/>
  <c r="AM47" i="31"/>
  <c r="BG1333" i="31"/>
  <c r="CZ1238" i="31"/>
  <c r="CM1202" i="31"/>
  <c r="CE1192" i="31"/>
  <c r="DE1099" i="31"/>
  <c r="AY1087" i="31"/>
  <c r="AZ1007" i="31"/>
  <c r="AZ1008" i="31" s="1"/>
  <c r="DZ1348" i="31"/>
  <c r="BL1284" i="31"/>
  <c r="BA1244" i="31"/>
  <c r="BF1250" i="31" s="1"/>
  <c r="BT1348" i="31"/>
  <c r="BY1352" i="31" s="1"/>
  <c r="BN1199" i="31"/>
  <c r="AV1085" i="31"/>
  <c r="AV1086" i="31" s="1"/>
  <c r="AA1087" i="31"/>
  <c r="AW1043" i="31"/>
  <c r="DF928" i="31"/>
  <c r="CA976" i="31"/>
  <c r="DJ1199" i="31"/>
  <c r="AV1242" i="31"/>
  <c r="AV1244" i="31" s="1"/>
  <c r="DE1200" i="31"/>
  <c r="CI1192" i="31"/>
  <c r="AQ1349" i="31"/>
  <c r="AV1354" i="31" s="1"/>
  <c r="AV1355" i="31" s="1"/>
  <c r="BQ1043" i="31"/>
  <c r="DO926" i="31"/>
  <c r="CU1200" i="31"/>
  <c r="AW1181" i="31"/>
  <c r="DE1199" i="31"/>
  <c r="BN1348" i="31"/>
  <c r="BN45" i="31" s="1"/>
  <c r="BF1093" i="31"/>
  <c r="BK1099" i="31" s="1"/>
  <c r="AR1181" i="31"/>
  <c r="BG1091" i="31"/>
  <c r="BG1093" i="31" s="1"/>
  <c r="BL1099" i="31" s="1"/>
  <c r="BY1084" i="31"/>
  <c r="AV1081" i="31"/>
  <c r="AF1087" i="31"/>
  <c r="BE1020" i="31"/>
  <c r="AH917" i="31"/>
  <c r="CJ1192" i="31"/>
  <c r="J1087" i="31"/>
  <c r="DD1350" i="31"/>
  <c r="DL1196" i="31"/>
  <c r="DQ1200" i="31"/>
  <c r="DL1111" i="31"/>
  <c r="DU928" i="31"/>
  <c r="AM917" i="31"/>
  <c r="AR1346" i="31"/>
  <c r="AX1289" i="31"/>
  <c r="DB1111" i="31"/>
  <c r="DE1333" i="31"/>
  <c r="DL1349" i="31"/>
  <c r="BA1085" i="31"/>
  <c r="BA1086" i="31" s="1"/>
  <c r="BQ917" i="31"/>
  <c r="AY1250" i="31"/>
  <c r="BQ1284" i="31"/>
  <c r="AS1007" i="31"/>
  <c r="AS1008" i="31" s="1"/>
  <c r="CR992" i="31"/>
  <c r="CR998" i="31" s="1"/>
  <c r="AS1267" i="31"/>
  <c r="AX1273" i="31" s="1"/>
  <c r="CR1350" i="31"/>
  <c r="BB1288" i="31"/>
  <c r="CL1350" i="31"/>
  <c r="DM1111" i="31"/>
  <c r="DC928" i="31"/>
  <c r="DE922" i="31"/>
  <c r="CU1333" i="31"/>
  <c r="BO1200" i="31"/>
  <c r="BT1200" i="31"/>
  <c r="DU1111" i="31"/>
  <c r="DU1112" i="31" s="1"/>
  <c r="AZ1093" i="31"/>
  <c r="BE1099" i="31" s="1"/>
  <c r="CK1190" i="31"/>
  <c r="DD1202" i="31"/>
  <c r="N1087" i="31"/>
  <c r="DN1111" i="31"/>
  <c r="BJ1192" i="31"/>
  <c r="CK1087" i="31"/>
  <c r="DT922" i="31"/>
  <c r="DY928" i="31" s="1"/>
  <c r="AN1267" i="31"/>
  <c r="CF1190" i="31"/>
  <c r="AM1346" i="31"/>
  <c r="AI1308" i="31"/>
  <c r="AW1265" i="31"/>
  <c r="BB1270" i="31" s="1"/>
  <c r="BC1226" i="31"/>
  <c r="DU1202" i="31"/>
  <c r="AL1352" i="31"/>
  <c r="AM1093" i="31"/>
  <c r="AR1099" i="31" s="1"/>
  <c r="CU1099" i="31"/>
  <c r="CF998" i="31"/>
  <c r="CU1250" i="31"/>
  <c r="CJ1350" i="31"/>
  <c r="DI1202" i="31"/>
  <c r="CZ1109" i="31"/>
  <c r="BQ1267" i="31"/>
  <c r="AR1266" i="31"/>
  <c r="AW1271" i="31" s="1"/>
  <c r="CK1186" i="31"/>
  <c r="BB1006" i="31"/>
  <c r="BL1091" i="31"/>
  <c r="CZ940" i="31"/>
  <c r="BV917" i="31"/>
  <c r="CF906" i="31"/>
  <c r="AY1289" i="31"/>
  <c r="BR1223" i="31"/>
  <c r="CR1202" i="31"/>
  <c r="CK1214" i="31"/>
  <c r="CQ1202" i="31"/>
  <c r="BS1287" i="31"/>
  <c r="BX1287" i="31" s="1"/>
  <c r="DI1350" i="31"/>
  <c r="CP1333" i="31"/>
  <c r="CJ1202" i="31"/>
  <c r="BH1065" i="31"/>
  <c r="BW1001" i="31"/>
  <c r="CB1001" i="31" s="1"/>
  <c r="CP925" i="31"/>
  <c r="DJ940" i="31"/>
  <c r="CM1350" i="31"/>
  <c r="AC917" i="31"/>
  <c r="CZ1196" i="31"/>
  <c r="AW906" i="31"/>
  <c r="AO1243" i="31"/>
  <c r="AR1243" i="31" s="1"/>
  <c r="DE1214" i="31"/>
  <c r="CZ1199" i="31"/>
  <c r="CB1084" i="31"/>
  <c r="DI1111" i="31"/>
  <c r="BB1181" i="31"/>
  <c r="BW1352" i="31"/>
  <c r="CK964" i="31"/>
  <c r="BW1081" i="31"/>
  <c r="BW1087" i="31" s="1"/>
  <c r="BW1084" i="31"/>
  <c r="AQ1081" i="31"/>
  <c r="CV1111" i="31"/>
  <c r="AQ1084" i="31"/>
  <c r="BP1081" i="31"/>
  <c r="BU1096" i="31"/>
  <c r="BP1084" i="31"/>
  <c r="AW1243" i="31"/>
  <c r="BB1248" i="31" s="1"/>
  <c r="BM1295" i="31"/>
  <c r="BN1304" i="31"/>
  <c r="BN1305" i="31" s="1"/>
  <c r="BS1311" i="31" s="1"/>
  <c r="S1202" i="31"/>
  <c r="AU1192" i="31"/>
  <c r="DE1105" i="31"/>
  <c r="CA1079" i="31"/>
  <c r="CF1084" i="31" s="1"/>
  <c r="BP1187" i="31"/>
  <c r="S1076" i="31"/>
  <c r="CZ1348" i="31"/>
  <c r="CZ45" i="31" s="1"/>
  <c r="AT1284" i="31"/>
  <c r="DR1202" i="31"/>
  <c r="BL1189" i="31"/>
  <c r="AW1002" i="31"/>
  <c r="AR917" i="31"/>
  <c r="BB1091" i="31"/>
  <c r="BB1093" i="31" s="1"/>
  <c r="BG1099" i="31" s="1"/>
  <c r="DV1087" i="31"/>
  <c r="AU1238" i="31"/>
  <c r="CG47" i="31"/>
  <c r="AZ1308" i="31"/>
  <c r="CS47" i="31"/>
  <c r="CR47" i="31"/>
  <c r="CW970" i="31"/>
  <c r="CW976" i="31" s="1"/>
  <c r="S47" i="31"/>
  <c r="AQ1304" i="31"/>
  <c r="AQ1305" i="31" s="1"/>
  <c r="AH47" i="31"/>
  <c r="CJ47" i="31"/>
  <c r="CB47" i="31"/>
  <c r="CK1189" i="31"/>
  <c r="N1076" i="31"/>
  <c r="X906" i="31"/>
  <c r="AP1354" i="31"/>
  <c r="AP1355" i="31" s="1"/>
  <c r="AK46" i="31"/>
  <c r="AK47" i="31" s="1"/>
  <c r="BB1043" i="31"/>
  <c r="BL1260" i="31"/>
  <c r="BA1354" i="31"/>
  <c r="BA1355" i="31" s="1"/>
  <c r="AV46" i="31"/>
  <c r="AV47" i="31" s="1"/>
  <c r="CC1354" i="31"/>
  <c r="CC46" i="31"/>
  <c r="CC47" i="31" s="1"/>
  <c r="CE1354" i="31"/>
  <c r="CE46" i="31"/>
  <c r="CT1352" i="31"/>
  <c r="CO45" i="31"/>
  <c r="AK1304" i="31"/>
  <c r="AK1305" i="31" s="1"/>
  <c r="DJ1238" i="31"/>
  <c r="BD1214" i="31"/>
  <c r="CV1352" i="31"/>
  <c r="CQ45" i="31"/>
  <c r="CQ47" i="31" s="1"/>
  <c r="CH47" i="31"/>
  <c r="T1352" i="31"/>
  <c r="R1354" i="31"/>
  <c r="M46" i="31"/>
  <c r="M47" i="31" s="1"/>
  <c r="BX1352" i="31"/>
  <c r="BS45" i="31"/>
  <c r="BS47" i="31" s="1"/>
  <c r="BD1352" i="31"/>
  <c r="BD45" i="31"/>
  <c r="BD47" i="31" s="1"/>
  <c r="AF1352" i="31"/>
  <c r="AF45" i="31"/>
  <c r="AF47" i="31" s="1"/>
  <c r="DM928" i="31"/>
  <c r="DL928" i="31"/>
  <c r="BR1220" i="31"/>
  <c r="BR1226" i="31" s="1"/>
  <c r="AS1354" i="31"/>
  <c r="AS1355" i="31" s="1"/>
  <c r="AN46" i="31"/>
  <c r="AP47" i="31"/>
  <c r="BY1354" i="31"/>
  <c r="BT46" i="31"/>
  <c r="AJ1354" i="31"/>
  <c r="AJ1355" i="31" s="1"/>
  <c r="AE46" i="31"/>
  <c r="AE47" i="31" s="1"/>
  <c r="AR1076" i="31"/>
  <c r="J1354" i="31"/>
  <c r="E46" i="31"/>
  <c r="E47" i="31" s="1"/>
  <c r="CT47" i="31"/>
  <c r="BI1354" i="31"/>
  <c r="BI1355" i="31" s="1"/>
  <c r="BI46" i="31"/>
  <c r="BI47" i="31" s="1"/>
  <c r="AD1352" i="31"/>
  <c r="AD45" i="31"/>
  <c r="AD47" i="31" s="1"/>
  <c r="CU917" i="31"/>
  <c r="DE1109" i="31"/>
  <c r="K1354" i="31"/>
  <c r="F46" i="31"/>
  <c r="F47" i="31" s="1"/>
  <c r="BQ1333" i="31"/>
  <c r="CT1354" i="31"/>
  <c r="CO46" i="31"/>
  <c r="AD1354" i="31"/>
  <c r="Y46" i="31"/>
  <c r="Y47" i="31" s="1"/>
  <c r="AO1354" i="31"/>
  <c r="AO1355" i="31" s="1"/>
  <c r="AO46" i="31"/>
  <c r="H47" i="31"/>
  <c r="DC46" i="31"/>
  <c r="CM47" i="31"/>
  <c r="CL47" i="31"/>
  <c r="CP1167" i="31"/>
  <c r="N47" i="31"/>
  <c r="L1354" i="31"/>
  <c r="G46" i="31"/>
  <c r="G47" i="31" s="1"/>
  <c r="AC47" i="31"/>
  <c r="X47" i="31"/>
  <c r="BO1308" i="31"/>
  <c r="BC1292" i="31"/>
  <c r="CI47" i="31"/>
  <c r="DO1214" i="31"/>
  <c r="CE1352" i="31"/>
  <c r="CE45" i="31"/>
  <c r="DI45" i="31"/>
  <c r="CI1352" i="31"/>
  <c r="CD45" i="31"/>
  <c r="CD47" i="31" s="1"/>
  <c r="CN47" i="31"/>
  <c r="DT1099" i="31"/>
  <c r="CA1348" i="31"/>
  <c r="CA45" i="31" s="1"/>
  <c r="CA47" i="31" s="1"/>
  <c r="BY45" i="31"/>
  <c r="BY47" i="31" s="1"/>
  <c r="BB1051" i="31"/>
  <c r="CZ925" i="31"/>
  <c r="DS928" i="31"/>
  <c r="CU906" i="31"/>
  <c r="AP1287" i="31"/>
  <c r="AU1292" i="31" s="1"/>
  <c r="AR1333" i="31"/>
  <c r="DD1354" i="31"/>
  <c r="DD1370" i="31" s="1"/>
  <c r="BB1076" i="31"/>
  <c r="AG1357" i="31"/>
  <c r="BG1017" i="31"/>
  <c r="AV1284" i="31"/>
  <c r="CF1189" i="31"/>
  <c r="DH1111" i="31"/>
  <c r="U1357" i="31"/>
  <c r="AM1206" i="31"/>
  <c r="AR1211" i="31" s="1"/>
  <c r="CP1168" i="31"/>
  <c r="CP1080" i="31"/>
  <c r="CP1081" i="31" s="1"/>
  <c r="CZ1214" i="31"/>
  <c r="CL1354" i="31"/>
  <c r="CL1355" i="31" s="1"/>
  <c r="BO1304" i="31"/>
  <c r="BO1305" i="31" s="1"/>
  <c r="BT1311" i="31" s="1"/>
  <c r="AS1308" i="31"/>
  <c r="BD1292" i="31"/>
  <c r="CK1250" i="31"/>
  <c r="BV1186" i="31"/>
  <c r="CZ964" i="31"/>
  <c r="CN928" i="31"/>
  <c r="BS1223" i="31"/>
  <c r="BL1159" i="31"/>
  <c r="BJ1087" i="31"/>
  <c r="BD1289" i="31"/>
  <c r="BI1295" i="31" s="1"/>
  <c r="DS1202" i="31"/>
  <c r="CX1354" i="31"/>
  <c r="BT1192" i="31"/>
  <c r="DO1109" i="31"/>
  <c r="CK1348" i="31"/>
  <c r="BK1214" i="31"/>
  <c r="AU1289" i="31"/>
  <c r="AZ1295" i="31" s="1"/>
  <c r="DC1352" i="31"/>
  <c r="BU1206" i="31"/>
  <c r="BU1211" i="31" s="1"/>
  <c r="CZ1226" i="31"/>
  <c r="CU1214" i="31"/>
  <c r="DM1202" i="31"/>
  <c r="DA1202" i="31"/>
  <c r="CO1352" i="31"/>
  <c r="CC1350" i="31"/>
  <c r="DB1350" i="31"/>
  <c r="CQ1352" i="31"/>
  <c r="BP1211" i="31"/>
  <c r="CS1202" i="31"/>
  <c r="DB1202" i="31"/>
  <c r="BS1208" i="31"/>
  <c r="BS1214" i="31" s="1"/>
  <c r="BV1093" i="31"/>
  <c r="CA1099" i="31" s="1"/>
  <c r="CA1096" i="31"/>
  <c r="M1354" i="31"/>
  <c r="BA1214" i="31"/>
  <c r="CW1354" i="31"/>
  <c r="CC1192" i="31"/>
  <c r="BD1192" i="31"/>
  <c r="AT1085" i="31"/>
  <c r="AT1086" i="31" s="1"/>
  <c r="AG1087" i="31"/>
  <c r="Z1087" i="31"/>
  <c r="CG1350" i="31"/>
  <c r="BK1260" i="31"/>
  <c r="AO1081" i="31"/>
  <c r="AO1087" i="31" s="1"/>
  <c r="N1202" i="31"/>
  <c r="CV1350" i="31"/>
  <c r="AM1354" i="31"/>
  <c r="S1354" i="31"/>
  <c r="CW1350" i="31"/>
  <c r="X1346" i="31"/>
  <c r="BV1333" i="31"/>
  <c r="N1333" i="31"/>
  <c r="BE1308" i="31"/>
  <c r="CF1281" i="31"/>
  <c r="CW1352" i="31"/>
  <c r="CV1354" i="31"/>
  <c r="CI1354" i="31"/>
  <c r="CM1354" i="31"/>
  <c r="CM1355" i="31" s="1"/>
  <c r="AM1170" i="31"/>
  <c r="X1135" i="31"/>
  <c r="BL1186" i="31"/>
  <c r="AR1185" i="31"/>
  <c r="AW1190" i="31" s="1"/>
  <c r="CY1111" i="31"/>
  <c r="BC1192" i="31"/>
  <c r="CX1111" i="31"/>
  <c r="AO1186" i="31"/>
  <c r="AO1192" i="31" s="1"/>
  <c r="CD1354" i="31"/>
  <c r="BT1096" i="31"/>
  <c r="L1087" i="31"/>
  <c r="AH1087" i="31"/>
  <c r="CM928" i="31"/>
  <c r="BL906" i="31"/>
  <c r="CK940" i="31"/>
  <c r="CP952" i="31"/>
  <c r="AU1007" i="31"/>
  <c r="AU1008" i="31" s="1"/>
  <c r="BS1259" i="31"/>
  <c r="BB1346" i="31"/>
  <c r="AK1287" i="31"/>
  <c r="L1135" i="31"/>
  <c r="CN1202" i="31"/>
  <c r="O1357" i="31"/>
  <c r="R1135" i="31"/>
  <c r="CF1186" i="31"/>
  <c r="BT1170" i="31"/>
  <c r="P1087" i="31"/>
  <c r="Y1087" i="31"/>
  <c r="CU952" i="31"/>
  <c r="DE940" i="31"/>
  <c r="CP964" i="31"/>
  <c r="BJ1304" i="31"/>
  <c r="BE1226" i="31"/>
  <c r="AM1207" i="31"/>
  <c r="CS1350" i="31"/>
  <c r="CZ1349" i="31"/>
  <c r="CZ1393" i="31" s="1"/>
  <c r="AM1333" i="31"/>
  <c r="AL1308" i="31"/>
  <c r="BA1308" i="31"/>
  <c r="CA1281" i="31"/>
  <c r="BO1273" i="31"/>
  <c r="AX1284" i="31"/>
  <c r="BG1242" i="31"/>
  <c r="BG1247" i="31" s="1"/>
  <c r="DT1214" i="31"/>
  <c r="CJ1352" i="31"/>
  <c r="CH1352" i="31"/>
  <c r="DF1202" i="31"/>
  <c r="CK1199" i="31"/>
  <c r="AC1192" i="31"/>
  <c r="BQ1164" i="31"/>
  <c r="BV1170" i="31" s="1"/>
  <c r="CP1099" i="31"/>
  <c r="AT1190" i="31"/>
  <c r="AT1191" i="31" s="1"/>
  <c r="DO1087" i="31"/>
  <c r="Q1135" i="31"/>
  <c r="DJ1099" i="31"/>
  <c r="BY1350" i="31"/>
  <c r="CK925" i="31"/>
  <c r="BE1238" i="31"/>
  <c r="CK1226" i="31"/>
  <c r="AU1273" i="31"/>
  <c r="BK1195" i="31"/>
  <c r="BP1255" i="31"/>
  <c r="BP1260" i="31" s="1"/>
  <c r="CY1350" i="31"/>
  <c r="BF1308" i="31"/>
  <c r="DN1350" i="31"/>
  <c r="CT1350" i="31"/>
  <c r="DE1238" i="31"/>
  <c r="AO1287" i="31"/>
  <c r="AQ1288" i="31"/>
  <c r="AV1293" i="31" s="1"/>
  <c r="AV1294" i="31" s="1"/>
  <c r="BE1289" i="31"/>
  <c r="BJ1295" i="31" s="1"/>
  <c r="CO1354" i="31"/>
  <c r="CO1355" i="31" s="1"/>
  <c r="CY1202" i="31"/>
  <c r="BA1192" i="31"/>
  <c r="DC1354" i="31"/>
  <c r="DC1370" i="31" s="1"/>
  <c r="DT1105" i="31"/>
  <c r="AO1190" i="31"/>
  <c r="AO1191" i="31" s="1"/>
  <c r="K1135" i="31"/>
  <c r="DJ1087" i="31"/>
  <c r="AK1087" i="31"/>
  <c r="M1350" i="31"/>
  <c r="BP1057" i="31"/>
  <c r="BP1062" i="31" s="1"/>
  <c r="CP995" i="31"/>
  <c r="CZ926" i="31"/>
  <c r="CT928" i="31"/>
  <c r="X917" i="31"/>
  <c r="CF917" i="31"/>
  <c r="BG906" i="31"/>
  <c r="AW1346" i="31"/>
  <c r="AT1287" i="31"/>
  <c r="AY1292" i="31" s="1"/>
  <c r="BS1256" i="31"/>
  <c r="BS1262" i="31" s="1"/>
  <c r="BQ1167" i="31"/>
  <c r="BF1054" i="31"/>
  <c r="BF1305" i="31"/>
  <c r="BE1250" i="31"/>
  <c r="BR1208" i="31"/>
  <c r="BR1214" i="31" s="1"/>
  <c r="BW1206" i="31"/>
  <c r="DS1352" i="31"/>
  <c r="BD1169" i="31"/>
  <c r="BD1092" i="31"/>
  <c r="BI1097" i="31" s="1"/>
  <c r="BI1098" i="31" s="1"/>
  <c r="BU1093" i="31"/>
  <c r="BZ1099" i="31" s="1"/>
  <c r="BZ1096" i="31"/>
  <c r="DP1350" i="31"/>
  <c r="DU1352" i="31"/>
  <c r="DT1348" i="31"/>
  <c r="P1352" i="31"/>
  <c r="K1350" i="31"/>
  <c r="P1357" i="31" s="1"/>
  <c r="DO1099" i="31"/>
  <c r="AE1352" i="31"/>
  <c r="Z1350" i="31"/>
  <c r="Z1357" i="31" s="1"/>
  <c r="N1043" i="31"/>
  <c r="I1043" i="31"/>
  <c r="BO1028" i="31"/>
  <c r="CI928" i="31"/>
  <c r="AF1305" i="31"/>
  <c r="AN1308" i="31"/>
  <c r="AI1304" i="31"/>
  <c r="BN1262" i="31"/>
  <c r="AV1305" i="31"/>
  <c r="BG1260" i="31"/>
  <c r="BB1256" i="31"/>
  <c r="BP1273" i="31"/>
  <c r="DT1248" i="31"/>
  <c r="DO1195" i="31"/>
  <c r="AR1219" i="31"/>
  <c r="AN1220" i="31"/>
  <c r="AS1226" i="31" s="1"/>
  <c r="AI1219" i="31"/>
  <c r="AS1232" i="31"/>
  <c r="AX1238" i="31" s="1"/>
  <c r="AN1231" i="31"/>
  <c r="AW1231" i="31"/>
  <c r="AX1293" i="31"/>
  <c r="AX1294" i="31" s="1"/>
  <c r="AW1288" i="31"/>
  <c r="CI1254" i="31"/>
  <c r="AI1243" i="31"/>
  <c r="BF1230" i="31"/>
  <c r="AV1230" i="31"/>
  <c r="BA1232" i="31"/>
  <c r="CU1238" i="31"/>
  <c r="AG1231" i="31"/>
  <c r="DF1354" i="31"/>
  <c r="BG1212" i="31"/>
  <c r="BL1212" i="31"/>
  <c r="BJ1208" i="31"/>
  <c r="BL1206" i="31"/>
  <c r="BL1211" i="31" s="1"/>
  <c r="BO1206" i="31"/>
  <c r="BO1211" i="31" s="1"/>
  <c r="BJ1194" i="31"/>
  <c r="AU1293" i="31"/>
  <c r="AU1294" i="31" s="1"/>
  <c r="BT1288" i="31"/>
  <c r="DV1352" i="31"/>
  <c r="DQ1350" i="31"/>
  <c r="CX1352" i="31"/>
  <c r="CC1211" i="31"/>
  <c r="DG1354" i="31"/>
  <c r="BW1096" i="31"/>
  <c r="BR1093" i="31"/>
  <c r="BW1099" i="31" s="1"/>
  <c r="DP1202" i="31"/>
  <c r="CG1202" i="31"/>
  <c r="CF1196" i="31"/>
  <c r="CF1202" i="31" s="1"/>
  <c r="CG1352" i="31"/>
  <c r="CF1348" i="31"/>
  <c r="DQ1352" i="31"/>
  <c r="CS1352" i="31"/>
  <c r="CM1170" i="31"/>
  <c r="CR1170" i="31"/>
  <c r="AN1189" i="31"/>
  <c r="AS1189" i="31"/>
  <c r="AR1184" i="31"/>
  <c r="AN1186" i="31"/>
  <c r="AN1079" i="31"/>
  <c r="CP1105" i="31"/>
  <c r="CM1111" i="31"/>
  <c r="CR1111" i="31"/>
  <c r="CW1111" i="31"/>
  <c r="CV1106" i="31"/>
  <c r="CA1190" i="31"/>
  <c r="BV1080" i="31"/>
  <c r="CA1085" i="31" s="1"/>
  <c r="CG1192" i="31"/>
  <c r="AH1181" i="31"/>
  <c r="AM1181" i="31"/>
  <c r="DJ1108" i="31"/>
  <c r="CS1111" i="31"/>
  <c r="AP1350" i="31"/>
  <c r="AU1352" i="31"/>
  <c r="W1352" i="31"/>
  <c r="R1350" i="31"/>
  <c r="BC1354" i="31"/>
  <c r="BC1355" i="31" s="1"/>
  <c r="AU1350" i="31"/>
  <c r="AZ1352" i="31"/>
  <c r="BF1348" i="31"/>
  <c r="BF45" i="31" s="1"/>
  <c r="BF47" i="31" s="1"/>
  <c r="CK1099" i="31"/>
  <c r="CZ1105" i="31"/>
  <c r="AP1352" i="31"/>
  <c r="AW1076" i="31"/>
  <c r="BG1059" i="31"/>
  <c r="BG1065" i="31" s="1"/>
  <c r="BZ1057" i="31"/>
  <c r="BG1047" i="31"/>
  <c r="BG1048" i="31" s="1"/>
  <c r="CV990" i="31"/>
  <c r="CU990" i="31"/>
  <c r="CU995" i="31" s="1"/>
  <c r="CQ992" i="31"/>
  <c r="S917" i="31"/>
  <c r="BT1350" i="31"/>
  <c r="DA968" i="31"/>
  <c r="DA970" i="31" s="1"/>
  <c r="CV970" i="31"/>
  <c r="CZ968" i="31"/>
  <c r="DE968" i="31" s="1"/>
  <c r="CF976" i="31"/>
  <c r="CI1314" i="31"/>
  <c r="CI1319" i="31" s="1"/>
  <c r="CN1303" i="31"/>
  <c r="AY1293" i="31"/>
  <c r="AY1294" i="31" s="1"/>
  <c r="AM1350" i="31"/>
  <c r="BP1346" i="31"/>
  <c r="DH1350" i="31"/>
  <c r="AH1333" i="31"/>
  <c r="AD1304" i="31"/>
  <c r="D1350" i="31"/>
  <c r="S1352" i="31"/>
  <c r="N1350" i="31"/>
  <c r="CF1333" i="31"/>
  <c r="AM1352" i="31"/>
  <c r="AH1350" i="31"/>
  <c r="J1352" i="31"/>
  <c r="E1350" i="31"/>
  <c r="J1357" i="31" s="1"/>
  <c r="DM1350" i="31"/>
  <c r="DR1333" i="31"/>
  <c r="DO1327" i="31"/>
  <c r="X1354" i="31"/>
  <c r="CA1333" i="31"/>
  <c r="AE1304" i="31"/>
  <c r="AJ1308" i="31"/>
  <c r="AO1309" i="31"/>
  <c r="AO1310" i="31" s="1"/>
  <c r="AJ1305" i="31"/>
  <c r="AO1311" i="31" s="1"/>
  <c r="AX1308" i="31"/>
  <c r="BJ1308" i="31"/>
  <c r="BE1304" i="31"/>
  <c r="BH1304" i="31"/>
  <c r="BH1309" i="31" s="1"/>
  <c r="BH1310" i="31" s="1"/>
  <c r="DU1333" i="31"/>
  <c r="DT1327" i="31"/>
  <c r="DY1333" i="31" s="1"/>
  <c r="BA1304" i="31"/>
  <c r="AZ1304" i="31"/>
  <c r="BL1289" i="31"/>
  <c r="BQ1295" i="31" s="1"/>
  <c r="AP1308" i="31"/>
  <c r="BT1259" i="31"/>
  <c r="AZ1284" i="31"/>
  <c r="BG1270" i="31"/>
  <c r="AW1255" i="31"/>
  <c r="AS1256" i="31"/>
  <c r="AX1262" i="31" s="1"/>
  <c r="AN1255" i="31"/>
  <c r="BF1273" i="31"/>
  <c r="BD1273" i="31"/>
  <c r="BM1256" i="31"/>
  <c r="BM1262" i="31" s="1"/>
  <c r="BR1255" i="31"/>
  <c r="BR1260" i="31" s="1"/>
  <c r="BM1195" i="31"/>
  <c r="AN1242" i="31"/>
  <c r="AJ1267" i="31"/>
  <c r="AE1266" i="31"/>
  <c r="AE1267" i="31" s="1"/>
  <c r="CR1254" i="31"/>
  <c r="CP1238" i="31"/>
  <c r="BG1236" i="31"/>
  <c r="BB1232" i="31"/>
  <c r="DO1238" i="31"/>
  <c r="BS1220" i="31"/>
  <c r="BV1219" i="31"/>
  <c r="AS1244" i="31"/>
  <c r="AX1250" i="31" s="1"/>
  <c r="AF1243" i="31"/>
  <c r="AK1244" i="31"/>
  <c r="AP1250" i="31" s="1"/>
  <c r="BH1292" i="31"/>
  <c r="AW1220" i="31"/>
  <c r="BB1226" i="31" s="1"/>
  <c r="DV1350" i="31"/>
  <c r="AR1208" i="31"/>
  <c r="AW1214" i="31" s="1"/>
  <c r="AW1212" i="31"/>
  <c r="AG1206" i="31"/>
  <c r="AN1214" i="31"/>
  <c r="BR1211" i="31"/>
  <c r="CL1202" i="31"/>
  <c r="CK1196" i="31"/>
  <c r="DH1354" i="31"/>
  <c r="DH1352" i="31"/>
  <c r="CX1202" i="31"/>
  <c r="CY1354" i="31"/>
  <c r="CH1202" i="31"/>
  <c r="BG1202" i="31"/>
  <c r="DP1354" i="31"/>
  <c r="CR1354" i="31"/>
  <c r="CN1352" i="31"/>
  <c r="AM1202" i="31"/>
  <c r="DI1354" i="31"/>
  <c r="CQ1354" i="31"/>
  <c r="BS1096" i="31"/>
  <c r="BN1093" i="31"/>
  <c r="BS1099" i="31" s="1"/>
  <c r="BB1186" i="31"/>
  <c r="BG1189" i="31"/>
  <c r="BB1079" i="31"/>
  <c r="DT1109" i="31"/>
  <c r="CF1170" i="31"/>
  <c r="BL1080" i="31"/>
  <c r="BS1092" i="31"/>
  <c r="BX1097" i="31" s="1"/>
  <c r="AW1093" i="31"/>
  <c r="BB1099" i="31" s="1"/>
  <c r="BB1096" i="31"/>
  <c r="S1133" i="31"/>
  <c r="X1133" i="31"/>
  <c r="CU1084" i="31"/>
  <c r="BQ1145" i="31"/>
  <c r="BQ1142" i="31"/>
  <c r="BQ1148" i="31" s="1"/>
  <c r="BK1192" i="31"/>
  <c r="AR1164" i="31"/>
  <c r="AW1170" i="31" s="1"/>
  <c r="BR1189" i="31"/>
  <c r="BQ1184" i="31"/>
  <c r="BQ1189" i="31" s="1"/>
  <c r="BM1186" i="31"/>
  <c r="BM1189" i="31"/>
  <c r="BM1079" i="31"/>
  <c r="AZ1192" i="31"/>
  <c r="BM1092" i="31"/>
  <c r="BR1097" i="31" s="1"/>
  <c r="BR1098" i="31" s="1"/>
  <c r="CA1093" i="31"/>
  <c r="CB1099" i="31"/>
  <c r="AD1087" i="31"/>
  <c r="BY1087" i="31"/>
  <c r="AB1352" i="31"/>
  <c r="W1350" i="31"/>
  <c r="AB1357" i="31" s="1"/>
  <c r="BN1170" i="31"/>
  <c r="DE1087" i="31"/>
  <c r="BQ1076" i="31"/>
  <c r="CT1111" i="31"/>
  <c r="AQ1352" i="31"/>
  <c r="AL1350" i="31"/>
  <c r="AL1357" i="31" s="1"/>
  <c r="Y1352" i="31"/>
  <c r="T1350" i="31"/>
  <c r="T1357" i="31" s="1"/>
  <c r="AR1167" i="31"/>
  <c r="AR1091" i="31" s="1"/>
  <c r="CP1084" i="31"/>
  <c r="AK1350" i="31"/>
  <c r="R1352" i="31"/>
  <c r="BX1046" i="31"/>
  <c r="BU1012" i="31"/>
  <c r="BB1020" i="31"/>
  <c r="CB1046" i="31"/>
  <c r="BF1020" i="31"/>
  <c r="X1043" i="31"/>
  <c r="DC990" i="31"/>
  <c r="BX1350" i="31"/>
  <c r="CS998" i="31"/>
  <c r="BU1040" i="31"/>
  <c r="BZ1035" i="31"/>
  <c r="DU1043" i="31"/>
  <c r="DU1025" i="31"/>
  <c r="BA1052" i="31"/>
  <c r="BA1053" i="31" s="1"/>
  <c r="CX991" i="31"/>
  <c r="BR1028" i="31"/>
  <c r="BQ998" i="31"/>
  <c r="BV998" i="31"/>
  <c r="CK995" i="31"/>
  <c r="CU925" i="31"/>
  <c r="BV976" i="31"/>
  <c r="BQ976" i="31"/>
  <c r="DR928" i="31"/>
  <c r="BC1007" i="31"/>
  <c r="BC1008" i="31" s="1"/>
  <c r="BB1002" i="31"/>
  <c r="CQ976" i="31"/>
  <c r="DD928" i="31"/>
  <c r="CX969" i="31"/>
  <c r="CS970" i="31"/>
  <c r="CS976" i="31" s="1"/>
  <c r="CZ952" i="31"/>
  <c r="CP922" i="31"/>
  <c r="CQ928" i="31"/>
  <c r="CO928" i="31"/>
  <c r="CA917" i="31"/>
  <c r="CX1350" i="31"/>
  <c r="AC1350" i="31"/>
  <c r="AH1352" i="31"/>
  <c r="DO1348" i="31"/>
  <c r="DT1330" i="31"/>
  <c r="BC1305" i="31"/>
  <c r="S1350" i="31"/>
  <c r="X1352" i="31"/>
  <c r="M1352" i="31"/>
  <c r="H1350" i="31"/>
  <c r="DJ1333" i="31"/>
  <c r="BB1333" i="31"/>
  <c r="AH1346" i="31"/>
  <c r="AW1333" i="31"/>
  <c r="BK1308" i="31"/>
  <c r="AY1308" i="31"/>
  <c r="AT1304" i="31"/>
  <c r="AU1308" i="31"/>
  <c r="AP1304" i="31"/>
  <c r="AQ1308" i="31"/>
  <c r="AL1304" i="31"/>
  <c r="AL1309" i="31" s="1"/>
  <c r="AL1310" i="31" s="1"/>
  <c r="BT1256" i="31"/>
  <c r="BT1260" i="31"/>
  <c r="BC1273" i="31"/>
  <c r="BM1270" i="31"/>
  <c r="BL1265" i="31"/>
  <c r="BQ1270" i="31" s="1"/>
  <c r="BH1194" i="31"/>
  <c r="BE1273" i="31"/>
  <c r="BH1262" i="31"/>
  <c r="AO1267" i="31"/>
  <c r="AT1273" i="31" s="1"/>
  <c r="AU1262" i="31"/>
  <c r="AU1284" i="31"/>
  <c r="BV1207" i="31"/>
  <c r="AP1220" i="31"/>
  <c r="AU1226" i="31" s="1"/>
  <c r="AK1219" i="31"/>
  <c r="AU1250" i="31"/>
  <c r="CK1238" i="31"/>
  <c r="AO1220" i="31"/>
  <c r="AT1226" i="31" s="1"/>
  <c r="AJ1219" i="31"/>
  <c r="DO1226" i="31"/>
  <c r="Z1207" i="31"/>
  <c r="AE1208" i="31"/>
  <c r="AI1230" i="31"/>
  <c r="CP1214" i="31"/>
  <c r="CN1354" i="31"/>
  <c r="CN1355" i="31" s="1"/>
  <c r="DI1352" i="31"/>
  <c r="AK1208" i="31"/>
  <c r="AP1214" i="31" s="1"/>
  <c r="AF1207" i="31"/>
  <c r="AF1287" i="31"/>
  <c r="AA1206" i="31"/>
  <c r="DP1352" i="31"/>
  <c r="CR1352" i="31"/>
  <c r="DS1354" i="31"/>
  <c r="DA1354" i="31"/>
  <c r="DA1370" i="31" s="1"/>
  <c r="BI1350" i="31"/>
  <c r="CB1202" i="31"/>
  <c r="DM1352" i="31"/>
  <c r="DA1352" i="31"/>
  <c r="DL1352" i="31"/>
  <c r="CT1202" i="31"/>
  <c r="CV1202" i="31"/>
  <c r="DK1352" i="31"/>
  <c r="CM1352" i="31"/>
  <c r="CA1186" i="31"/>
  <c r="CB1192" i="31"/>
  <c r="BL1079" i="31"/>
  <c r="AT1169" i="31"/>
  <c r="AT1092" i="31"/>
  <c r="AY1097" i="31" s="1"/>
  <c r="AY1098" i="31" s="1"/>
  <c r="CA1170" i="31"/>
  <c r="DQ1111" i="31"/>
  <c r="DV1111" i="31"/>
  <c r="DV1112" i="31" s="1"/>
  <c r="AP1192" i="31"/>
  <c r="AW1092" i="31"/>
  <c r="BB1097" i="31" s="1"/>
  <c r="BB1098" i="31" s="1"/>
  <c r="DN1202" i="31"/>
  <c r="CA1189" i="31"/>
  <c r="BV1079" i="31"/>
  <c r="AW1186" i="31"/>
  <c r="BB1189" i="31"/>
  <c r="AW1079" i="31"/>
  <c r="V1087" i="31"/>
  <c r="AJ1350" i="31"/>
  <c r="Q1352" i="31"/>
  <c r="L1350" i="31"/>
  <c r="AK1354" i="31"/>
  <c r="AK1355" i="31" s="1"/>
  <c r="AB1087" i="31"/>
  <c r="AA1357" i="31"/>
  <c r="BQ1168" i="31"/>
  <c r="CU1105" i="31"/>
  <c r="CC1352" i="31"/>
  <c r="AM1076" i="31"/>
  <c r="S1087" i="31"/>
  <c r="CI1068" i="31"/>
  <c r="DJ1109" i="31"/>
  <c r="AJ1352" i="31"/>
  <c r="CB1068" i="31"/>
  <c r="I1076" i="31"/>
  <c r="BG1051" i="31"/>
  <c r="BG1014" i="31"/>
  <c r="CL1035" i="31"/>
  <c r="BT1023" i="31"/>
  <c r="BY1001" i="31"/>
  <c r="CL998" i="31"/>
  <c r="BR1350" i="31"/>
  <c r="BE1009" i="31"/>
  <c r="BJ1009" i="31"/>
  <c r="BL1046" i="31"/>
  <c r="BF1002" i="31"/>
  <c r="BG1002" i="31" s="1"/>
  <c r="DJ926" i="31"/>
  <c r="AM906" i="31"/>
  <c r="AW1006" i="31"/>
  <c r="BI1020" i="31"/>
  <c r="DT940" i="31"/>
  <c r="CR928" i="31"/>
  <c r="DG928" i="31"/>
  <c r="DA928" i="31"/>
  <c r="CZ922" i="31"/>
  <c r="DU1354" i="31"/>
  <c r="DT1349" i="31"/>
  <c r="BU1308" i="31"/>
  <c r="BP1304" i="31"/>
  <c r="BP1308" i="31"/>
  <c r="BL1333" i="31"/>
  <c r="BZ1265" i="31"/>
  <c r="CE1265" i="31" s="1"/>
  <c r="CJ1265" i="31" s="1"/>
  <c r="CO1265" i="31" s="1"/>
  <c r="BU1267" i="31"/>
  <c r="AF1266" i="31"/>
  <c r="AF1267" i="31" s="1"/>
  <c r="AK1267" i="31"/>
  <c r="AP1273" i="31" s="1"/>
  <c r="BR1254" i="31"/>
  <c r="BM1194" i="31"/>
  <c r="BF1254" i="31"/>
  <c r="AV1254" i="31"/>
  <c r="AW1254" i="31" s="1"/>
  <c r="BB1259" i="31" s="1"/>
  <c r="BA1256" i="31"/>
  <c r="BB1244" i="31"/>
  <c r="BG1248" i="31"/>
  <c r="AQ1220" i="31"/>
  <c r="AV1226" i="31" s="1"/>
  <c r="AL1219" i="31"/>
  <c r="BL1224" i="31"/>
  <c r="BG1220" i="31"/>
  <c r="BA1287" i="31"/>
  <c r="DN1354" i="31"/>
  <c r="CA1199" i="31"/>
  <c r="BV1196" i="31"/>
  <c r="CA1202" i="31" s="1"/>
  <c r="BT1092" i="31"/>
  <c r="BY1097" i="31" s="1"/>
  <c r="DU1350" i="31"/>
  <c r="DG1352" i="31"/>
  <c r="CW1202" i="31"/>
  <c r="DV1354" i="31"/>
  <c r="DF1352" i="31"/>
  <c r="BL1190" i="31"/>
  <c r="BG1080" i="31"/>
  <c r="BG1186" i="31"/>
  <c r="BC1352" i="31"/>
  <c r="AX1350" i="31"/>
  <c r="AH1043" i="31"/>
  <c r="DB990" i="31"/>
  <c r="CW992" i="31"/>
  <c r="CK922" i="31"/>
  <c r="CL928" i="31"/>
  <c r="L1352" i="31"/>
  <c r="G1350" i="31"/>
  <c r="X1333" i="31"/>
  <c r="DG1350" i="31"/>
  <c r="CI1350" i="31"/>
  <c r="DJ1349" i="31"/>
  <c r="S1333" i="31"/>
  <c r="CO1303" i="31"/>
  <c r="CJ1314" i="31"/>
  <c r="BD1309" i="31"/>
  <c r="BD1310" i="31" s="1"/>
  <c r="AY1305" i="31"/>
  <c r="BD1311" i="31" s="1"/>
  <c r="I1333" i="31"/>
  <c r="BM1308" i="31"/>
  <c r="AU1304" i="31"/>
  <c r="AS1305" i="31"/>
  <c r="BM1304" i="31"/>
  <c r="BB1281" i="31"/>
  <c r="BG1281" i="31"/>
  <c r="BX1265" i="31"/>
  <c r="BV1265" i="31"/>
  <c r="BV1270" i="31" s="1"/>
  <c r="BK1304" i="31"/>
  <c r="BS1267" i="31"/>
  <c r="BK1293" i="31"/>
  <c r="BB1271" i="31"/>
  <c r="BG1271" i="31"/>
  <c r="BG1267" i="31"/>
  <c r="AR1265" i="31"/>
  <c r="DQ1250" i="31"/>
  <c r="DO1244" i="31"/>
  <c r="DT1250" i="31" s="1"/>
  <c r="AO1231" i="31"/>
  <c r="AT1232" i="31"/>
  <c r="AY1238" i="31" s="1"/>
  <c r="AK1256" i="31"/>
  <c r="AP1262" i="31" s="1"/>
  <c r="AF1255" i="31"/>
  <c r="BN1273" i="31"/>
  <c r="AO1255" i="31"/>
  <c r="AT1256" i="31"/>
  <c r="AY1262" i="31" s="1"/>
  <c r="DL1250" i="31"/>
  <c r="BK1242" i="31"/>
  <c r="BK1244" i="31" s="1"/>
  <c r="BK1250" i="31" s="1"/>
  <c r="BQ1218" i="31"/>
  <c r="BU1218" i="31"/>
  <c r="BP1220" i="31"/>
  <c r="BP1226" i="31" s="1"/>
  <c r="BT1223" i="31"/>
  <c r="BY1218" i="31"/>
  <c r="AL1208" i="31"/>
  <c r="AQ1214" i="31" s="1"/>
  <c r="AG1207" i="31"/>
  <c r="BJ1211" i="31"/>
  <c r="BN1214" i="31"/>
  <c r="BM1214" i="31"/>
  <c r="DB1354" i="31"/>
  <c r="DB1370" i="31" s="1"/>
  <c r="BI1092" i="31"/>
  <c r="BN1097" i="31" s="1"/>
  <c r="BN1098" i="31" s="1"/>
  <c r="BI1169" i="31"/>
  <c r="BB1190" i="31"/>
  <c r="AW1080" i="31"/>
  <c r="CS1354" i="31"/>
  <c r="CG1354" i="31"/>
  <c r="CF1349" i="31"/>
  <c r="I1202" i="31"/>
  <c r="DS1350" i="31"/>
  <c r="CF1199" i="31"/>
  <c r="BL1168" i="31"/>
  <c r="BG1168" i="31"/>
  <c r="BG1164" i="31"/>
  <c r="DO1108" i="31"/>
  <c r="CB1354" i="31"/>
  <c r="AX1096" i="31"/>
  <c r="AS1093" i="31"/>
  <c r="AX1099" i="31" s="1"/>
  <c r="DK1111" i="31"/>
  <c r="DJ1105" i="31"/>
  <c r="DP1111" i="31"/>
  <c r="DO1105" i="31"/>
  <c r="DH1202" i="31"/>
  <c r="BV1092" i="31"/>
  <c r="CA1097" i="31" s="1"/>
  <c r="CB1352" i="31"/>
  <c r="AX1352" i="31"/>
  <c r="Z1352" i="31"/>
  <c r="AE1354" i="31"/>
  <c r="V1352" i="31"/>
  <c r="Q1350" i="31"/>
  <c r="V1357" i="31" s="1"/>
  <c r="BU1073" i="31"/>
  <c r="BZ1068" i="31"/>
  <c r="CA1068" i="31" s="1"/>
  <c r="CA1073" i="31" s="1"/>
  <c r="CD1352" i="31"/>
  <c r="AY1357" i="31"/>
  <c r="O1135" i="31"/>
  <c r="BB1065" i="31"/>
  <c r="BI1352" i="31"/>
  <c r="BD1350" i="31"/>
  <c r="AK1352" i="31"/>
  <c r="AF1350" i="31"/>
  <c r="CC1068" i="31"/>
  <c r="BC1350" i="31"/>
  <c r="AE1350" i="31"/>
  <c r="AJ1087" i="31"/>
  <c r="BC1052" i="31"/>
  <c r="BC1053" i="31" s="1"/>
  <c r="BB1047" i="31"/>
  <c r="CD1046" i="31"/>
  <c r="CB1012" i="31"/>
  <c r="BK1001" i="31"/>
  <c r="BG1001" i="31"/>
  <c r="BG1006" i="31" s="1"/>
  <c r="BE1065" i="31"/>
  <c r="BJ1065" i="31"/>
  <c r="BS1023" i="31"/>
  <c r="BS1028" i="31" s="1"/>
  <c r="BX1001" i="31"/>
  <c r="CM1035" i="31"/>
  <c r="DB970" i="31"/>
  <c r="CP940" i="31"/>
  <c r="BB917" i="31"/>
  <c r="I906" i="31"/>
  <c r="N906" i="31"/>
  <c r="DO922" i="31"/>
  <c r="DT925" i="31"/>
  <c r="DT926" i="31"/>
  <c r="AW917" i="31"/>
  <c r="CF922" i="31"/>
  <c r="CG928" i="31"/>
  <c r="CP917" i="31"/>
  <c r="DQ928" i="31"/>
  <c r="CU926" i="31"/>
  <c r="CH928" i="31"/>
  <c r="DH928" i="31"/>
  <c r="I1340" i="31"/>
  <c r="N1346" i="31" s="1"/>
  <c r="N1343" i="31"/>
  <c r="I1348" i="31"/>
  <c r="I45" i="31" s="1"/>
  <c r="K1352" i="31"/>
  <c r="F1350" i="31"/>
  <c r="BC1308" i="31"/>
  <c r="AX1304" i="31"/>
  <c r="AX1309" i="31" s="1"/>
  <c r="AX1310" i="31" s="1"/>
  <c r="CQ1265" i="31"/>
  <c r="BG1211" i="31"/>
  <c r="BG1208" i="31"/>
  <c r="DT1108" i="31"/>
  <c r="CI1202" i="31"/>
  <c r="BB1092" i="31"/>
  <c r="BG1097" i="31" s="1"/>
  <c r="BG1098" i="31" s="1"/>
  <c r="AZ1052" i="31"/>
  <c r="AZ1053" i="31" s="1"/>
  <c r="AW1047" i="31"/>
  <c r="CG1057" i="31"/>
  <c r="BQ987" i="31"/>
  <c r="BV987" i="31"/>
  <c r="DT952" i="31"/>
  <c r="AC1352" i="31"/>
  <c r="X1350" i="31"/>
  <c r="DR1350" i="31"/>
  <c r="DW1361" i="31" s="1"/>
  <c r="N1344" i="31"/>
  <c r="I1349" i="31"/>
  <c r="AH1354" i="31"/>
  <c r="CD1350" i="31"/>
  <c r="AC1354" i="31"/>
  <c r="DR1352" i="31"/>
  <c r="BI1304" i="31"/>
  <c r="BN1308" i="31"/>
  <c r="BI1308" i="31"/>
  <c r="AN1305" i="31"/>
  <c r="AS1309" i="31"/>
  <c r="AS1310" i="31" s="1"/>
  <c r="BS1270" i="31"/>
  <c r="AL1266" i="31"/>
  <c r="AM1266" i="31" s="1"/>
  <c r="AQ1267" i="31"/>
  <c r="AV1273" i="31" s="1"/>
  <c r="AG1305" i="31"/>
  <c r="BV1266" i="31"/>
  <c r="AM1265" i="31"/>
  <c r="AD1265" i="31"/>
  <c r="AH1265" i="31" s="1"/>
  <c r="AI1267" i="31"/>
  <c r="BM1259" i="31"/>
  <c r="CP1276" i="31"/>
  <c r="CP1281" i="31" s="1"/>
  <c r="AN1254" i="31"/>
  <c r="CK1281" i="31"/>
  <c r="AJ1218" i="31"/>
  <c r="AR1218" i="31"/>
  <c r="AW1223" i="31" s="1"/>
  <c r="DO1248" i="31"/>
  <c r="AK1232" i="31"/>
  <c r="AP1238" i="31" s="1"/>
  <c r="AF1231" i="31"/>
  <c r="CU1226" i="31"/>
  <c r="BF1293" i="31"/>
  <c r="BF1294" i="31" s="1"/>
  <c r="AS1287" i="31"/>
  <c r="AS1289" i="31" s="1"/>
  <c r="Y1218" i="31"/>
  <c r="DR1354" i="31"/>
  <c r="CH1354" i="31"/>
  <c r="DJ1214" i="31"/>
  <c r="BC1214" i="31"/>
  <c r="BS1288" i="31"/>
  <c r="DK1202" i="31"/>
  <c r="CJ1354" i="31"/>
  <c r="DD1352" i="31"/>
  <c r="CL1352" i="31"/>
  <c r="BL1148" i="31"/>
  <c r="DM1354" i="31"/>
  <c r="DN1352" i="31"/>
  <c r="DB1352" i="31"/>
  <c r="DK1354" i="31"/>
  <c r="CY1352" i="31"/>
  <c r="BP1092" i="31"/>
  <c r="BU1097" i="31" s="1"/>
  <c r="BU1098" i="31" s="1"/>
  <c r="BG1148" i="31"/>
  <c r="CK1200" i="31"/>
  <c r="BJ1354" i="31"/>
  <c r="CP1164" i="31"/>
  <c r="CP1170" i="31" s="1"/>
  <c r="DE1108" i="31"/>
  <c r="S1192" i="31"/>
  <c r="CO1202" i="31"/>
  <c r="BG1190" i="31"/>
  <c r="BB1080" i="31"/>
  <c r="BZ1192" i="31"/>
  <c r="BU1192" i="31"/>
  <c r="BQ1185" i="31"/>
  <c r="BQ1190" i="31" s="1"/>
  <c r="BM1190" i="31"/>
  <c r="BR1190" i="31"/>
  <c r="BM1080" i="31"/>
  <c r="AV1350" i="31"/>
  <c r="BA1352" i="31"/>
  <c r="AD1350" i="31"/>
  <c r="AI1352" i="31"/>
  <c r="BA1350" i="31"/>
  <c r="AI1350" i="31"/>
  <c r="I1135" i="31"/>
  <c r="DU1054" i="31"/>
  <c r="DR1111" i="31"/>
  <c r="AV1352" i="31"/>
  <c r="Y1350" i="31"/>
  <c r="R1087" i="31"/>
  <c r="BI1065" i="31"/>
  <c r="AU1052" i="31"/>
  <c r="AU1053" i="31" s="1"/>
  <c r="AL1087" i="31"/>
  <c r="X1076" i="31"/>
  <c r="AR1047" i="31"/>
  <c r="CA998" i="31"/>
  <c r="AW1051" i="31"/>
  <c r="BL1043" i="31"/>
  <c r="BL1076" i="31"/>
  <c r="BG1063" i="31"/>
  <c r="CS1035" i="31"/>
  <c r="BN1028" i="31"/>
  <c r="CY990" i="31"/>
  <c r="CS928" i="31"/>
  <c r="CK917" i="31"/>
  <c r="BV906" i="31"/>
  <c r="DO925" i="31"/>
  <c r="DJ922" i="31"/>
  <c r="CU922" i="31"/>
  <c r="DB928" i="31"/>
  <c r="BQ906" i="31"/>
  <c r="AR1043" i="31"/>
  <c r="DO952" i="31"/>
  <c r="DJ952" i="31"/>
  <c r="BL917" i="31"/>
  <c r="DP928" i="31"/>
  <c r="ED1348" i="31" l="1"/>
  <c r="EE1352" i="31"/>
  <c r="ED1084" i="31"/>
  <c r="DK1370" i="31"/>
  <c r="DM1370" i="31"/>
  <c r="DN1370" i="31"/>
  <c r="DI1370" i="31"/>
  <c r="DH1370" i="31"/>
  <c r="DG1370" i="31"/>
  <c r="DF1370" i="31"/>
  <c r="EA1088" i="31"/>
  <c r="DZ1361" i="31"/>
  <c r="ED1352" i="31"/>
  <c r="ED1356" i="31"/>
  <c r="ED45" i="31"/>
  <c r="EA1361" i="31"/>
  <c r="EA1357" i="31"/>
  <c r="EA1374" i="31" s="1"/>
  <c r="DU1361" i="31"/>
  <c r="DX1357" i="31"/>
  <c r="DX1374" i="31" s="1"/>
  <c r="DX1361" i="31"/>
  <c r="DV1360" i="31"/>
  <c r="DV1361" i="31"/>
  <c r="DY1087" i="31"/>
  <c r="DZ1352" i="31"/>
  <c r="DY1352" i="31"/>
  <c r="DY1350" i="31"/>
  <c r="BO1354" i="31"/>
  <c r="BO46" i="31"/>
  <c r="DY1111" i="31"/>
  <c r="DY1354" i="31"/>
  <c r="BA1250" i="31"/>
  <c r="DO1333" i="31"/>
  <c r="DW1357" i="31"/>
  <c r="DW1374" i="31" s="1"/>
  <c r="BC1087" i="31"/>
  <c r="DV1365" i="31"/>
  <c r="DK1364" i="31"/>
  <c r="DT45" i="31"/>
  <c r="DF1364" i="31"/>
  <c r="DI1364" i="31"/>
  <c r="DQ1202" i="31"/>
  <c r="DC1365" i="31"/>
  <c r="DS1365" i="31"/>
  <c r="DO45" i="31"/>
  <c r="DU1365" i="31"/>
  <c r="DP1370" i="31"/>
  <c r="DR1370" i="31"/>
  <c r="DR1364" i="31"/>
  <c r="DU1370" i="31"/>
  <c r="DM1365" i="31"/>
  <c r="DQ1364" i="31"/>
  <c r="DP1365" i="31"/>
  <c r="DB1364" i="31"/>
  <c r="DD1365" i="31"/>
  <c r="DA1364" i="31"/>
  <c r="DV1370" i="31"/>
  <c r="DH1365" i="31"/>
  <c r="DS1370" i="31"/>
  <c r="CT1357" i="31"/>
  <c r="AX1087" i="31"/>
  <c r="BX1087" i="31"/>
  <c r="AU1087" i="31"/>
  <c r="BS1087" i="31"/>
  <c r="AZ1357" i="31"/>
  <c r="DP1394" i="31"/>
  <c r="DU1407" i="31" s="1"/>
  <c r="DU1373" i="31" s="1"/>
  <c r="DP1388" i="31"/>
  <c r="DP1389" i="31"/>
  <c r="DP1390" i="31"/>
  <c r="DP1391" i="31"/>
  <c r="DP1386" i="31"/>
  <c r="DP1392" i="31"/>
  <c r="DP1387" i="31"/>
  <c r="DU1394" i="31"/>
  <c r="DZ1407" i="31" s="1"/>
  <c r="DZ1373" i="31" s="1"/>
  <c r="DU1392" i="31"/>
  <c r="DU1387" i="31"/>
  <c r="DU1389" i="31"/>
  <c r="DU1390" i="31"/>
  <c r="DU1391" i="31"/>
  <c r="DU1388" i="31"/>
  <c r="DU1386" i="31"/>
  <c r="DI1394" i="31"/>
  <c r="DN1407" i="31" s="1"/>
  <c r="DN1373" i="31" s="1"/>
  <c r="DI1392" i="31"/>
  <c r="DI1387" i="31"/>
  <c r="DI1388" i="31"/>
  <c r="DI1391" i="31"/>
  <c r="DI1389" i="31"/>
  <c r="DI1386" i="31"/>
  <c r="DI1390" i="31"/>
  <c r="DQ1394" i="31"/>
  <c r="DV1407" i="31" s="1"/>
  <c r="DV1373" i="31" s="1"/>
  <c r="DQ1389" i="31"/>
  <c r="DQ1392" i="31"/>
  <c r="DQ1388" i="31"/>
  <c r="DQ1391" i="31"/>
  <c r="DQ1390" i="31"/>
  <c r="DQ1387" i="31"/>
  <c r="DQ1386" i="31"/>
  <c r="DV1394" i="31"/>
  <c r="EA1407" i="31" s="1"/>
  <c r="EA1373" i="31" s="1"/>
  <c r="DV1388" i="31"/>
  <c r="DV1392" i="31"/>
  <c r="DV1387" i="31"/>
  <c r="DV1389" i="31"/>
  <c r="DV1390" i="31"/>
  <c r="DV1391" i="31"/>
  <c r="DV1386" i="31"/>
  <c r="DK1394" i="31"/>
  <c r="DP1407" i="31" s="1"/>
  <c r="DP1373" i="31" s="1"/>
  <c r="DK1389" i="31"/>
  <c r="DK1391" i="31"/>
  <c r="DK1387" i="31"/>
  <c r="DK1392" i="31"/>
  <c r="DK1390" i="31"/>
  <c r="DK1388" i="31"/>
  <c r="DK1386" i="31"/>
  <c r="DM1394" i="31"/>
  <c r="DR1407" i="31" s="1"/>
  <c r="DR1373" i="31" s="1"/>
  <c r="DM1390" i="31"/>
  <c r="DM1391" i="31"/>
  <c r="DM1392" i="31"/>
  <c r="DM1387" i="31"/>
  <c r="DM1388" i="31"/>
  <c r="DM1389" i="31"/>
  <c r="DM1386" i="31"/>
  <c r="DJ46" i="31"/>
  <c r="DJ1393" i="31"/>
  <c r="DF1394" i="31"/>
  <c r="DK1407" i="31" s="1"/>
  <c r="DK1373" i="31" s="1"/>
  <c r="DF1386" i="31"/>
  <c r="DF1390" i="31"/>
  <c r="DF1388" i="31"/>
  <c r="DF1391" i="31"/>
  <c r="DF1392" i="31"/>
  <c r="DF1387" i="31"/>
  <c r="DF1389" i="31"/>
  <c r="DR1394" i="31"/>
  <c r="DW1407" i="31" s="1"/>
  <c r="DW1373" i="31" s="1"/>
  <c r="DR1390" i="31"/>
  <c r="DR1386" i="31"/>
  <c r="DR1392" i="31"/>
  <c r="DR1387" i="31"/>
  <c r="DR1388" i="31"/>
  <c r="DR1391" i="31"/>
  <c r="DR1389" i="31"/>
  <c r="DN1391" i="31"/>
  <c r="DN1392" i="31"/>
  <c r="DN1387" i="31"/>
  <c r="DN1394" i="31"/>
  <c r="DS1407" i="31" s="1"/>
  <c r="DS1373" i="31" s="1"/>
  <c r="DN1389" i="31"/>
  <c r="DN1386" i="31"/>
  <c r="DN1390" i="31"/>
  <c r="DN1388" i="31"/>
  <c r="DS1394" i="31"/>
  <c r="DX1407" i="31" s="1"/>
  <c r="DX1373" i="31" s="1"/>
  <c r="DS1390" i="31"/>
  <c r="DS1386" i="31"/>
  <c r="DS1391" i="31"/>
  <c r="DS1388" i="31"/>
  <c r="DS1389" i="31"/>
  <c r="DS1392" i="31"/>
  <c r="DS1387" i="31"/>
  <c r="DT46" i="31"/>
  <c r="DT1393" i="31"/>
  <c r="DG1394" i="31"/>
  <c r="DL1407" i="31" s="1"/>
  <c r="DL1373" i="31" s="1"/>
  <c r="DG1390" i="31"/>
  <c r="DG1388" i="31"/>
  <c r="DG1389" i="31"/>
  <c r="DG1391" i="31"/>
  <c r="DG1392" i="31"/>
  <c r="DG1387" i="31"/>
  <c r="DG1386" i="31"/>
  <c r="DL46" i="31"/>
  <c r="DL1393" i="31"/>
  <c r="DH1391" i="31"/>
  <c r="DH1386" i="31"/>
  <c r="DH1390" i="31"/>
  <c r="DH1392" i="31"/>
  <c r="DH1387" i="31"/>
  <c r="DH1388" i="31"/>
  <c r="DH1394" i="31"/>
  <c r="DM1407" i="31" s="1"/>
  <c r="DM1373" i="31" s="1"/>
  <c r="DH1389" i="31"/>
  <c r="DA1394" i="31"/>
  <c r="DF1407" i="31" s="1"/>
  <c r="DF1373" i="31" s="1"/>
  <c r="DA1391" i="31"/>
  <c r="DA1389" i="31"/>
  <c r="DA1392" i="31"/>
  <c r="DA1387" i="31"/>
  <c r="DA1390" i="31"/>
  <c r="DA1388" i="31"/>
  <c r="DA1386" i="31"/>
  <c r="CY1394" i="31"/>
  <c r="DD1407" i="31" s="1"/>
  <c r="CY1392" i="31"/>
  <c r="CY1391" i="31"/>
  <c r="CY1387" i="31"/>
  <c r="CY1388" i="31"/>
  <c r="CY1390" i="31"/>
  <c r="CY1389" i="31"/>
  <c r="CY1386" i="31"/>
  <c r="CX1394" i="31"/>
  <c r="DC1407" i="31" s="1"/>
  <c r="CX1389" i="31"/>
  <c r="CX1392" i="31"/>
  <c r="CX1386" i="31"/>
  <c r="CX1388" i="31"/>
  <c r="CX1391" i="31"/>
  <c r="CX1387" i="31"/>
  <c r="CX1390" i="31"/>
  <c r="DD1394" i="31"/>
  <c r="DI1407" i="31" s="1"/>
  <c r="DI1373" i="31" s="1"/>
  <c r="DD1389" i="31"/>
  <c r="DD1388" i="31"/>
  <c r="DD1386" i="31"/>
  <c r="DD1391" i="31"/>
  <c r="DD1390" i="31"/>
  <c r="DD1392" i="31"/>
  <c r="DD1387" i="31"/>
  <c r="CV1389" i="31"/>
  <c r="CV1387" i="31"/>
  <c r="CV1392" i="31"/>
  <c r="CV1391" i="31"/>
  <c r="CV1388" i="31"/>
  <c r="CV1394" i="31"/>
  <c r="DA1407" i="31" s="1"/>
  <c r="CV1386" i="31"/>
  <c r="CV1390" i="31"/>
  <c r="CZ1388" i="31"/>
  <c r="CZ1386" i="31"/>
  <c r="CZ1390" i="31"/>
  <c r="CZ1391" i="31"/>
  <c r="CZ1387" i="31"/>
  <c r="CZ1389" i="31"/>
  <c r="CZ1392" i="31"/>
  <c r="DE46" i="31"/>
  <c r="DE1393" i="31"/>
  <c r="DB1387" i="31"/>
  <c r="DB1390" i="31"/>
  <c r="DB1394" i="31"/>
  <c r="DG1407" i="31" s="1"/>
  <c r="DG1373" i="31" s="1"/>
  <c r="DB1389" i="31"/>
  <c r="DB1392" i="31"/>
  <c r="DB1388" i="31"/>
  <c r="DB1386" i="31"/>
  <c r="DB1391" i="31"/>
  <c r="CW1394" i="31"/>
  <c r="DB1407" i="31" s="1"/>
  <c r="CW1390" i="31"/>
  <c r="CW1392" i="31"/>
  <c r="CW1388" i="31"/>
  <c r="CW1389" i="31"/>
  <c r="CW1386" i="31"/>
  <c r="CW1391" i="31"/>
  <c r="CW1387" i="31"/>
  <c r="DC1394" i="31"/>
  <c r="DH1407" i="31" s="1"/>
  <c r="DH1373" i="31" s="1"/>
  <c r="DK1365" i="31"/>
  <c r="BM1093" i="31"/>
  <c r="BR1099" i="31" s="1"/>
  <c r="BV1224" i="31"/>
  <c r="CG1303" i="31"/>
  <c r="CL1303" i="31" s="1"/>
  <c r="CG1357" i="31"/>
  <c r="DA1365" i="31"/>
  <c r="BU46" i="31"/>
  <c r="BU47" i="31" s="1"/>
  <c r="CF1303" i="31"/>
  <c r="CF1308" i="31" s="1"/>
  <c r="CN1357" i="31"/>
  <c r="BT1309" i="31"/>
  <c r="BZ1354" i="31"/>
  <c r="DE1350" i="31"/>
  <c r="DJ1202" i="31"/>
  <c r="BT1087" i="31"/>
  <c r="DK1357" i="31"/>
  <c r="DF1365" i="31"/>
  <c r="BI1087" i="31"/>
  <c r="CV1357" i="31"/>
  <c r="BN1202" i="31"/>
  <c r="CJ1357" i="31"/>
  <c r="CQ1357" i="31"/>
  <c r="AQ1242" i="31"/>
  <c r="AR1242" i="31" s="1"/>
  <c r="CZ1202" i="31"/>
  <c r="CH1357" i="31"/>
  <c r="BC1295" i="31"/>
  <c r="BU1062" i="31"/>
  <c r="DC1364" i="31"/>
  <c r="CU47" i="31"/>
  <c r="DF1357" i="31"/>
  <c r="AX1295" i="31"/>
  <c r="CS1357" i="31"/>
  <c r="BT45" i="31"/>
  <c r="BT47" i="31" s="1"/>
  <c r="CM1357" i="31"/>
  <c r="DL1202" i="31"/>
  <c r="AO1352" i="31"/>
  <c r="AX1357" i="31"/>
  <c r="CM1314" i="31"/>
  <c r="CM1319" i="31" s="1"/>
  <c r="BG1293" i="31"/>
  <c r="CU1202" i="31"/>
  <c r="BA1087" i="31"/>
  <c r="DA1357" i="31"/>
  <c r="BV1348" i="31"/>
  <c r="BV45" i="31" s="1"/>
  <c r="AJ1243" i="31"/>
  <c r="AM1243" i="31" s="1"/>
  <c r="AT1352" i="31"/>
  <c r="AW1242" i="31"/>
  <c r="BB1247" i="31" s="1"/>
  <c r="DL1350" i="31"/>
  <c r="DL1354" i="31"/>
  <c r="AO1350" i="31"/>
  <c r="AT1357" i="31" s="1"/>
  <c r="BL1096" i="31"/>
  <c r="DD1357" i="31"/>
  <c r="DD1364" i="31"/>
  <c r="CO47" i="31"/>
  <c r="S1135" i="31"/>
  <c r="BL1267" i="31"/>
  <c r="BQ1273" i="31" s="1"/>
  <c r="DQ1354" i="31"/>
  <c r="DC1357" i="31"/>
  <c r="AO47" i="31"/>
  <c r="CU973" i="31"/>
  <c r="BB1284" i="31"/>
  <c r="BH1354" i="31"/>
  <c r="BH1355" i="31" s="1"/>
  <c r="CU1352" i="31"/>
  <c r="AQ1354" i="31"/>
  <c r="AQ1355" i="31" s="1"/>
  <c r="BH1200" i="31"/>
  <c r="BH1201" i="31" s="1"/>
  <c r="BN46" i="31"/>
  <c r="BN47" i="31" s="1"/>
  <c r="BL1195" i="31"/>
  <c r="BL1200" i="31" s="1"/>
  <c r="BQ1271" i="31"/>
  <c r="BS1354" i="31"/>
  <c r="AW1007" i="31"/>
  <c r="BS1292" i="31"/>
  <c r="DT1087" i="31"/>
  <c r="AZ1087" i="31"/>
  <c r="AK1357" i="31"/>
  <c r="CP928" i="31"/>
  <c r="AT1192" i="31"/>
  <c r="BU1087" i="31"/>
  <c r="BM1273" i="31"/>
  <c r="BQ1091" i="31"/>
  <c r="BQ1093" i="31" s="1"/>
  <c r="BV1099" i="31" s="1"/>
  <c r="BU1350" i="31"/>
  <c r="BZ1357" i="31" s="1"/>
  <c r="M1357" i="31"/>
  <c r="BL1192" i="31"/>
  <c r="DP1357" i="31"/>
  <c r="CD1287" i="31"/>
  <c r="AO1244" i="31"/>
  <c r="AT1250" i="31" s="1"/>
  <c r="R1357" i="31"/>
  <c r="BQ1255" i="31"/>
  <c r="BQ1195" i="31" s="1"/>
  <c r="BV1200" i="31" s="1"/>
  <c r="CR1357" i="31"/>
  <c r="AW1270" i="31"/>
  <c r="BU1208" i="31"/>
  <c r="BU1214" i="31" s="1"/>
  <c r="DJ1111" i="31"/>
  <c r="DE1202" i="31"/>
  <c r="BF1352" i="31"/>
  <c r="BA1357" i="31"/>
  <c r="BN1350" i="31"/>
  <c r="BN1357" i="31" s="1"/>
  <c r="DH1357" i="31"/>
  <c r="BW1023" i="31"/>
  <c r="BW1028" i="31" s="1"/>
  <c r="AI1214" i="31"/>
  <c r="AM1208" i="31"/>
  <c r="AR1214" i="31" s="1"/>
  <c r="AV1087" i="31"/>
  <c r="BN1087" i="31"/>
  <c r="DE1111" i="31"/>
  <c r="DJ1350" i="31"/>
  <c r="AR1190" i="31"/>
  <c r="DJ1352" i="31"/>
  <c r="DZ45" i="31"/>
  <c r="EE50" i="31" s="1"/>
  <c r="CO1357" i="31"/>
  <c r="AP1309" i="31"/>
  <c r="AP1310" i="31" s="1"/>
  <c r="BD1295" i="31"/>
  <c r="AC1357" i="31"/>
  <c r="BS1352" i="31"/>
  <c r="AR1080" i="31"/>
  <c r="AW1085" i="31" s="1"/>
  <c r="AK1309" i="31"/>
  <c r="AK1310" i="31" s="1"/>
  <c r="AK1292" i="31"/>
  <c r="AQ1350" i="31"/>
  <c r="AQ1357" i="31" s="1"/>
  <c r="AQ46" i="31"/>
  <c r="AQ47" i="31" s="1"/>
  <c r="AS1273" i="31"/>
  <c r="BN1352" i="31"/>
  <c r="CL1357" i="31"/>
  <c r="BQ1096" i="31"/>
  <c r="BL1093" i="31"/>
  <c r="BQ1099" i="31" s="1"/>
  <c r="BS1309" i="31"/>
  <c r="CZ1111" i="31"/>
  <c r="CA1192" i="31"/>
  <c r="CA1081" i="31"/>
  <c r="CF1087" i="31" s="1"/>
  <c r="BG1096" i="31"/>
  <c r="DI1357" i="31"/>
  <c r="DI1365" i="31"/>
  <c r="CZ973" i="31"/>
  <c r="DB976" i="31"/>
  <c r="AW1267" i="31"/>
  <c r="BB1273" i="31" s="1"/>
  <c r="BP1087" i="31"/>
  <c r="BO1309" i="31"/>
  <c r="BZ1206" i="31"/>
  <c r="CE1211" i="31" s="1"/>
  <c r="AN1273" i="31"/>
  <c r="DN1357" i="31"/>
  <c r="CK1192" i="31"/>
  <c r="AP1289" i="31"/>
  <c r="AU1295" i="31" s="1"/>
  <c r="AV1309" i="31"/>
  <c r="AV1310" i="31" s="1"/>
  <c r="BB1052" i="31"/>
  <c r="CZ1352" i="31"/>
  <c r="DE1352" i="31"/>
  <c r="BW1350" i="31"/>
  <c r="CB1357" i="31" s="1"/>
  <c r="CB1087" i="31"/>
  <c r="BB1007" i="31"/>
  <c r="BX1357" i="31"/>
  <c r="AT1087" i="31"/>
  <c r="BQ1170" i="31"/>
  <c r="AQ1087" i="31"/>
  <c r="DE1354" i="31"/>
  <c r="DE1370" i="31" s="1"/>
  <c r="CZ46" i="31"/>
  <c r="CZ47" i="31" s="1"/>
  <c r="N1354" i="31"/>
  <c r="I46" i="31"/>
  <c r="I47" i="31" s="1"/>
  <c r="BV1267" i="31"/>
  <c r="BV1273" i="31" s="1"/>
  <c r="BJ1305" i="31"/>
  <c r="BO1311" i="31" s="1"/>
  <c r="CE47" i="31"/>
  <c r="CP1352" i="31"/>
  <c r="CK45" i="31"/>
  <c r="CK47" i="31" s="1"/>
  <c r="CZ1354" i="31"/>
  <c r="AT1289" i="31"/>
  <c r="AY1295" i="31" s="1"/>
  <c r="CA1354" i="31"/>
  <c r="BV46" i="31"/>
  <c r="AV1311" i="31"/>
  <c r="AP1357" i="31"/>
  <c r="AP1292" i="31"/>
  <c r="CK1354" i="31"/>
  <c r="CF46" i="31"/>
  <c r="CK1352" i="31"/>
  <c r="CF45" i="31"/>
  <c r="CX1357" i="31"/>
  <c r="K1357" i="31"/>
  <c r="DB1357" i="31"/>
  <c r="AD1357" i="31"/>
  <c r="CI1357" i="31"/>
  <c r="AR1267" i="31"/>
  <c r="DB1365" i="31"/>
  <c r="DS1364" i="31"/>
  <c r="DQ1365" i="31"/>
  <c r="DH1364" i="31"/>
  <c r="DM1364" i="31"/>
  <c r="DV1364" i="31"/>
  <c r="CU1085" i="31"/>
  <c r="CP1085" i="31"/>
  <c r="CP1349" i="31"/>
  <c r="CP46" i="31" s="1"/>
  <c r="CP47" i="31" s="1"/>
  <c r="DN1364" i="31"/>
  <c r="DN1365" i="31"/>
  <c r="DG1365" i="31"/>
  <c r="DO1352" i="31"/>
  <c r="DR1365" i="31"/>
  <c r="BF1003" i="31"/>
  <c r="BF1009" i="31" s="1"/>
  <c r="DM1357" i="31"/>
  <c r="DU1364" i="31"/>
  <c r="DP1364" i="31"/>
  <c r="DG1364" i="31"/>
  <c r="AR1270" i="31"/>
  <c r="DJ1354" i="31"/>
  <c r="CK928" i="31"/>
  <c r="AH1357" i="31"/>
  <c r="BI1357" i="31"/>
  <c r="CC1357" i="31"/>
  <c r="BQ1220" i="31"/>
  <c r="BQ1226" i="31" s="1"/>
  <c r="CW1357" i="31"/>
  <c r="BG1052" i="31"/>
  <c r="AK1273" i="31"/>
  <c r="CF1192" i="31"/>
  <c r="AR1212" i="31"/>
  <c r="AT1292" i="31"/>
  <c r="AW1052" i="31"/>
  <c r="CY1357" i="31"/>
  <c r="CD1357" i="31"/>
  <c r="I1346" i="31"/>
  <c r="BR1288" i="31"/>
  <c r="BR1293" i="31" s="1"/>
  <c r="BG1244" i="31"/>
  <c r="BG1250" i="31" s="1"/>
  <c r="DO1250" i="31"/>
  <c r="AJ1357" i="31"/>
  <c r="BK1349" i="31"/>
  <c r="BK46" i="31" s="1"/>
  <c r="BK1200" i="31"/>
  <c r="BY1357" i="31"/>
  <c r="BE1295" i="31"/>
  <c r="BP1195" i="31"/>
  <c r="BP1200" i="31" s="1"/>
  <c r="BU1255" i="31"/>
  <c r="BV1255" i="31" s="1"/>
  <c r="AM1267" i="31"/>
  <c r="AR1271" i="31"/>
  <c r="CL1057" i="31"/>
  <c r="CQ1057" i="31" s="1"/>
  <c r="CV1057" i="31" s="1"/>
  <c r="DA1057" i="31" s="1"/>
  <c r="CR1035" i="31"/>
  <c r="DT1111" i="31"/>
  <c r="BL1170" i="31"/>
  <c r="BG1170" i="31"/>
  <c r="CD1223" i="31"/>
  <c r="BU1220" i="31"/>
  <c r="BV1220" i="31" s="1"/>
  <c r="BZ1218" i="31"/>
  <c r="CE1223" i="31" s="1"/>
  <c r="CO1314" i="31"/>
  <c r="CO1319" i="31" s="1"/>
  <c r="BM1348" i="31"/>
  <c r="BR1199" i="31"/>
  <c r="BM1196" i="31"/>
  <c r="BB1048" i="31"/>
  <c r="BQ1092" i="31"/>
  <c r="BV1097" i="31" s="1"/>
  <c r="BV1098" i="31" s="1"/>
  <c r="Q1357" i="31"/>
  <c r="AJ1220" i="31"/>
  <c r="AO1226" i="31" s="1"/>
  <c r="AE1219" i="31"/>
  <c r="BH1348" i="31"/>
  <c r="BH45" i="31" s="1"/>
  <c r="BH47" i="31" s="1"/>
  <c r="BH1199" i="31"/>
  <c r="BM1199" i="31"/>
  <c r="BH1196" i="31"/>
  <c r="X1357" i="31"/>
  <c r="DC969" i="31"/>
  <c r="DC970" i="31" s="1"/>
  <c r="CX970" i="31"/>
  <c r="BV1189" i="31"/>
  <c r="BQ1079" i="31"/>
  <c r="BQ1084" i="31" s="1"/>
  <c r="AE1305" i="31"/>
  <c r="AJ1311" i="31" s="1"/>
  <c r="AJ1309" i="31"/>
  <c r="AJ1310" i="31" s="1"/>
  <c r="DT1333" i="31"/>
  <c r="AI1309" i="31"/>
  <c r="AI1310" i="31" s="1"/>
  <c r="AD1305" i="31"/>
  <c r="CN1314" i="31"/>
  <c r="CN1319" i="31" s="1"/>
  <c r="DD968" i="31"/>
  <c r="DJ968" i="31"/>
  <c r="CU1111" i="31"/>
  <c r="CP1111" i="31"/>
  <c r="AN1348" i="31"/>
  <c r="AN45" i="31" s="1"/>
  <c r="AN47" i="31" s="1"/>
  <c r="AS1084" i="31"/>
  <c r="AN1081" i="31"/>
  <c r="AN1084" i="31"/>
  <c r="CB1211" i="31"/>
  <c r="AS1311" i="31"/>
  <c r="BR1085" i="31"/>
  <c r="BM1085" i="31"/>
  <c r="BG1085" i="31"/>
  <c r="BB1349" i="31"/>
  <c r="BB46" i="31" s="1"/>
  <c r="AI1254" i="31"/>
  <c r="AN1287" i="31"/>
  <c r="BG1092" i="31"/>
  <c r="BL1097" i="31" s="1"/>
  <c r="BL1098" i="31" s="1"/>
  <c r="BQ1223" i="31"/>
  <c r="BK1247" i="31"/>
  <c r="AJ1255" i="31"/>
  <c r="AO1256" i="31"/>
  <c r="AT1262" i="31" s="1"/>
  <c r="AO1288" i="31"/>
  <c r="BM1305" i="31"/>
  <c r="BR1309" i="31"/>
  <c r="DB992" i="31"/>
  <c r="DB998" i="31" s="1"/>
  <c r="DS1357" i="31"/>
  <c r="CQ1035" i="31"/>
  <c r="CN1068" i="31"/>
  <c r="BL1081" i="31"/>
  <c r="BL1084" i="31"/>
  <c r="AD1230" i="31"/>
  <c r="CF1350" i="31"/>
  <c r="BG1007" i="31"/>
  <c r="CU1087" i="31"/>
  <c r="CP1350" i="31"/>
  <c r="AR1170" i="31"/>
  <c r="BB1081" i="31"/>
  <c r="BG1084" i="31"/>
  <c r="BB1348" i="31"/>
  <c r="BB45" i="31" s="1"/>
  <c r="CP1202" i="31"/>
  <c r="CK1350" i="31"/>
  <c r="AI1242" i="31"/>
  <c r="AI1244" i="31" s="1"/>
  <c r="AW1256" i="31"/>
  <c r="BB1262" i="31" s="1"/>
  <c r="BB1260" i="31"/>
  <c r="CV976" i="31"/>
  <c r="DA976" i="31"/>
  <c r="W1357" i="31"/>
  <c r="AS1192" i="31"/>
  <c r="AN1192" i="31"/>
  <c r="DV1357" i="31"/>
  <c r="AD1243" i="31"/>
  <c r="BB1293" i="31"/>
  <c r="DU1357" i="31"/>
  <c r="DT1350" i="31"/>
  <c r="AC1265" i="31"/>
  <c r="AM1270" i="31"/>
  <c r="CH1068" i="31"/>
  <c r="DO1111" i="31"/>
  <c r="BL1092" i="31"/>
  <c r="BQ1097" i="31" s="1"/>
  <c r="BQ1098" i="31" s="1"/>
  <c r="AG1208" i="31"/>
  <c r="BU1223" i="31"/>
  <c r="AO1232" i="31"/>
  <c r="AT1238" i="31" s="1"/>
  <c r="AJ1231" i="31"/>
  <c r="BP1309" i="31"/>
  <c r="BK1305" i="31"/>
  <c r="BK1311" i="31" s="1"/>
  <c r="AU1305" i="31"/>
  <c r="AZ1309" i="31"/>
  <c r="AZ1310" i="31" s="1"/>
  <c r="BW1254" i="31"/>
  <c r="BW1287" i="31" s="1"/>
  <c r="BU1309" i="31"/>
  <c r="BP1305" i="31"/>
  <c r="BU1311" i="31" s="1"/>
  <c r="CG1068" i="31"/>
  <c r="BB1084" i="31"/>
  <c r="AW1081" i="31"/>
  <c r="AW1348" i="31"/>
  <c r="AW45" i="31" s="1"/>
  <c r="AE1214" i="31"/>
  <c r="AJ1214" i="31"/>
  <c r="AK1220" i="31"/>
  <c r="AP1226" i="31" s="1"/>
  <c r="AF1219" i="31"/>
  <c r="AF1288" i="31" s="1"/>
  <c r="BT1262" i="31"/>
  <c r="AT1305" i="31"/>
  <c r="AY1309" i="31"/>
  <c r="AY1310" i="31" s="1"/>
  <c r="AT1309" i="31"/>
  <c r="AT1310" i="31" s="1"/>
  <c r="CU928" i="31"/>
  <c r="CG1046" i="31"/>
  <c r="CC1046" i="31"/>
  <c r="AA1243" i="31"/>
  <c r="AA1244" i="31" s="1"/>
  <c r="AF1244" i="31"/>
  <c r="AK1250" i="31" s="1"/>
  <c r="BM1349" i="31"/>
  <c r="BM46" i="31" s="1"/>
  <c r="BR1200" i="31"/>
  <c r="BM1200" i="31"/>
  <c r="BL1270" i="31"/>
  <c r="BM1309" i="31"/>
  <c r="BH1305" i="31"/>
  <c r="DR1357" i="31"/>
  <c r="CV992" i="31"/>
  <c r="DA990" i="31"/>
  <c r="CZ990" i="31"/>
  <c r="CZ995" i="31" s="1"/>
  <c r="BF1350" i="31"/>
  <c r="AF1357" i="31"/>
  <c r="AR1186" i="31"/>
  <c r="AR1189" i="31"/>
  <c r="AW1189" i="31"/>
  <c r="AR1079" i="31"/>
  <c r="BL1208" i="31"/>
  <c r="BL1214" i="31" s="1"/>
  <c r="AN1244" i="31"/>
  <c r="AS1250" i="31" s="1"/>
  <c r="AM1219" i="31"/>
  <c r="AI1220" i="31"/>
  <c r="AN1226" i="31" s="1"/>
  <c r="AD1219" i="31"/>
  <c r="DT1200" i="31"/>
  <c r="DO1200" i="31"/>
  <c r="DO1196" i="31"/>
  <c r="DO1349" i="31"/>
  <c r="BR1287" i="31"/>
  <c r="BB1287" i="31"/>
  <c r="BA1289" i="31"/>
  <c r="BR1259" i="31"/>
  <c r="I1354" i="31"/>
  <c r="BQ1046" i="31"/>
  <c r="BY1023" i="31"/>
  <c r="BY1028" i="31" s="1"/>
  <c r="CD1001" i="31"/>
  <c r="AL1305" i="31"/>
  <c r="AQ1311" i="31" s="1"/>
  <c r="AQ1309" i="31"/>
  <c r="AQ1310" i="31" s="1"/>
  <c r="AR1093" i="31"/>
  <c r="AW1099" i="31" s="1"/>
  <c r="AW1096" i="31"/>
  <c r="BR1084" i="31"/>
  <c r="BM1081" i="31"/>
  <c r="BM1084" i="31"/>
  <c r="BG1192" i="31"/>
  <c r="AH1206" i="31"/>
  <c r="BJ1309" i="31"/>
  <c r="BE1305" i="31"/>
  <c r="DG1357" i="31"/>
  <c r="S1357" i="31"/>
  <c r="CE1057" i="31"/>
  <c r="CA1057" i="31"/>
  <c r="CA1062" i="31" s="1"/>
  <c r="BD1357" i="31"/>
  <c r="AW1248" i="31"/>
  <c r="BU1273" i="31"/>
  <c r="AI1305" i="31"/>
  <c r="AN1309" i="31"/>
  <c r="AN1310" i="31" s="1"/>
  <c r="AG1266" i="31"/>
  <c r="AL1267" i="31"/>
  <c r="AQ1273" i="31" s="1"/>
  <c r="CZ928" i="31"/>
  <c r="CU1350" i="31"/>
  <c r="DO928" i="31"/>
  <c r="DJ928" i="31"/>
  <c r="BS1289" i="31"/>
  <c r="BS1293" i="31"/>
  <c r="N1352" i="31"/>
  <c r="I1350" i="31"/>
  <c r="N1357" i="31" s="1"/>
  <c r="CX1035" i="31"/>
  <c r="AI1357" i="31"/>
  <c r="BV1190" i="31"/>
  <c r="BQ1080" i="31"/>
  <c r="BV1085" i="31" s="1"/>
  <c r="BV1218" i="31"/>
  <c r="AX1292" i="31"/>
  <c r="AF1232" i="31"/>
  <c r="AK1238" i="31" s="1"/>
  <c r="AA1231" i="31"/>
  <c r="AA1232" i="31" s="1"/>
  <c r="BG1214" i="31"/>
  <c r="AX1305" i="31"/>
  <c r="BC1309" i="31"/>
  <c r="BC1310" i="31" s="1"/>
  <c r="CG1012" i="31"/>
  <c r="CC1265" i="31"/>
  <c r="CA1265" i="31"/>
  <c r="CA1270" i="31" s="1"/>
  <c r="BS1273" i="31"/>
  <c r="BG1081" i="31"/>
  <c r="BL1085" i="31"/>
  <c r="BG1349" i="31"/>
  <c r="BG46" i="31" s="1"/>
  <c r="BG47" i="31" s="1"/>
  <c r="AQ1254" i="31"/>
  <c r="AV1287" i="31"/>
  <c r="AW1287" i="31" s="1"/>
  <c r="AV1256" i="31"/>
  <c r="BA1262" i="31" s="1"/>
  <c r="DE928" i="31"/>
  <c r="CZ1350" i="31"/>
  <c r="CP1087" i="31"/>
  <c r="BB1192" i="31"/>
  <c r="CF1354" i="31"/>
  <c r="AF1208" i="31"/>
  <c r="AA1207" i="31"/>
  <c r="AH1207" i="31"/>
  <c r="AD1267" i="31"/>
  <c r="AI1273" i="31" s="1"/>
  <c r="BV1271" i="31"/>
  <c r="DC991" i="31"/>
  <c r="DC992" i="31" s="1"/>
  <c r="CE1035" i="31"/>
  <c r="CA1035" i="31"/>
  <c r="CX992" i="31"/>
  <c r="BG1020" i="31"/>
  <c r="Y1357" i="31"/>
  <c r="AJ1273" i="31"/>
  <c r="BR1256" i="31"/>
  <c r="BR1262" i="31" s="1"/>
  <c r="AZ1305" i="31"/>
  <c r="BE1309" i="31"/>
  <c r="BE1310" i="31" s="1"/>
  <c r="CJ1319" i="31"/>
  <c r="BB1003" i="31"/>
  <c r="AU1357" i="31"/>
  <c r="CK1202" i="31"/>
  <c r="BT1293" i="31"/>
  <c r="BJ1214" i="31"/>
  <c r="BJ1348" i="31"/>
  <c r="BJ45" i="31" s="1"/>
  <c r="BJ47" i="31" s="1"/>
  <c r="BJ1199" i="31"/>
  <c r="BJ1196" i="31"/>
  <c r="AQ1230" i="31"/>
  <c r="AW1230" i="31"/>
  <c r="BB1235" i="31" s="1"/>
  <c r="AV1232" i="31"/>
  <c r="BA1238" i="31" s="1"/>
  <c r="CI1287" i="31"/>
  <c r="CN1254" i="31"/>
  <c r="CN1287" i="31" s="1"/>
  <c r="BB1236" i="31"/>
  <c r="AW1224" i="31"/>
  <c r="AR1220" i="31"/>
  <c r="AW1226" i="31" s="1"/>
  <c r="BT1028" i="31"/>
  <c r="CF1352" i="31"/>
  <c r="AE1218" i="31"/>
  <c r="AM1218" i="31"/>
  <c r="AR1223" i="31" s="1"/>
  <c r="AJ1287" i="31"/>
  <c r="AO1292" i="31" s="1"/>
  <c r="CF1314" i="31"/>
  <c r="BI1305" i="31"/>
  <c r="BN1309" i="31"/>
  <c r="BI1309" i="31"/>
  <c r="BI1310" i="31" s="1"/>
  <c r="DT928" i="31"/>
  <c r="BX1023" i="31"/>
  <c r="BX1028" i="31" s="1"/>
  <c r="CC1001" i="31"/>
  <c r="BG1003" i="31"/>
  <c r="BL1001" i="31"/>
  <c r="CI1046" i="31"/>
  <c r="CE1068" i="31"/>
  <c r="CF1068" i="31" s="1"/>
  <c r="BB1085" i="31"/>
  <c r="AW1349" i="31"/>
  <c r="AW46" i="31" s="1"/>
  <c r="BV1212" i="31"/>
  <c r="AF1256" i="31"/>
  <c r="AK1262" i="31" s="1"/>
  <c r="AA1255" i="31"/>
  <c r="AA1256" i="31" s="1"/>
  <c r="BG1273" i="31"/>
  <c r="L1357" i="31"/>
  <c r="CW998" i="31"/>
  <c r="CB1023" i="31"/>
  <c r="CG1001" i="31"/>
  <c r="BC1357" i="31"/>
  <c r="BL1226" i="31"/>
  <c r="BG1226" i="31"/>
  <c r="AG1219" i="31"/>
  <c r="AG1220" i="31" s="1"/>
  <c r="AL1220" i="31"/>
  <c r="AQ1226" i="31" s="1"/>
  <c r="BF1287" i="31"/>
  <c r="BF1292" i="31" s="1"/>
  <c r="BF1256" i="31"/>
  <c r="BF1262" i="31" s="1"/>
  <c r="BK1254" i="31"/>
  <c r="BK1259" i="31" s="1"/>
  <c r="BG1254" i="31"/>
  <c r="BV1081" i="31"/>
  <c r="CA1084" i="31"/>
  <c r="AU1309" i="31"/>
  <c r="AU1310" i="31" s="1"/>
  <c r="AP1305" i="31"/>
  <c r="DT1352" i="31"/>
  <c r="BZ1012" i="31"/>
  <c r="BV1012" i="31"/>
  <c r="BR1192" i="31"/>
  <c r="BQ1186" i="31"/>
  <c r="BM1192" i="31"/>
  <c r="BS1226" i="31"/>
  <c r="AO1273" i="31"/>
  <c r="AI1255" i="31"/>
  <c r="AR1255" i="31"/>
  <c r="AN1256" i="31"/>
  <c r="AS1262" i="31" s="1"/>
  <c r="AN1288" i="31"/>
  <c r="BA1305" i="31"/>
  <c r="BF1311" i="31" s="1"/>
  <c r="BF1309" i="31"/>
  <c r="BF1310" i="31" s="1"/>
  <c r="AM1357" i="31"/>
  <c r="I1352" i="31"/>
  <c r="CQ998" i="31"/>
  <c r="BT1206" i="31"/>
  <c r="BO1208" i="31"/>
  <c r="BO1194" i="31"/>
  <c r="BO1199" i="31" s="1"/>
  <c r="BQ1206" i="31"/>
  <c r="BK1230" i="31"/>
  <c r="BK1232" i="31" s="1"/>
  <c r="BF1232" i="31"/>
  <c r="BF1238" i="31" s="1"/>
  <c r="BG1230" i="31"/>
  <c r="AI1231" i="31"/>
  <c r="AN1232" i="31"/>
  <c r="AS1238" i="31" s="1"/>
  <c r="AR1231" i="31"/>
  <c r="BA1309" i="31"/>
  <c r="BA1310" i="31" s="1"/>
  <c r="AK1311" i="31"/>
  <c r="AE1357" i="31"/>
  <c r="BK1309" i="31"/>
  <c r="DG1374" i="31" l="1"/>
  <c r="DJ1370" i="31"/>
  <c r="DI1374" i="31"/>
  <c r="DH1374" i="31"/>
  <c r="DF1374" i="31"/>
  <c r="ED1359" i="31"/>
  <c r="ED1361" i="31"/>
  <c r="FY96" i="9"/>
  <c r="FZ96" i="9"/>
  <c r="DY1357" i="31"/>
  <c r="DY1374" i="31" s="1"/>
  <c r="DY1370" i="31"/>
  <c r="DI1366" i="31"/>
  <c r="DB1366" i="31"/>
  <c r="DS1366" i="31"/>
  <c r="DA1366" i="31"/>
  <c r="DH1366" i="31"/>
  <c r="DQ1366" i="31"/>
  <c r="DC1366" i="31"/>
  <c r="DF1366" i="31"/>
  <c r="DK1366" i="31"/>
  <c r="DE1364" i="31"/>
  <c r="DT1364" i="31"/>
  <c r="DR1366" i="31"/>
  <c r="DU1374" i="31"/>
  <c r="DS1374" i="31"/>
  <c r="DP1366" i="31"/>
  <c r="DV1366" i="31"/>
  <c r="DJ1364" i="31"/>
  <c r="DP1374" i="31"/>
  <c r="DL1364" i="31"/>
  <c r="DV1374" i="31"/>
  <c r="DM1374" i="31"/>
  <c r="DQ1370" i="31"/>
  <c r="CZ1394" i="31"/>
  <c r="DE1407" i="31" s="1"/>
  <c r="DK1374" i="31"/>
  <c r="DR1374" i="31"/>
  <c r="DU1366" i="31"/>
  <c r="DM1366" i="31"/>
  <c r="DN1374" i="31"/>
  <c r="DD1366" i="31"/>
  <c r="DE1365" i="31"/>
  <c r="DO46" i="31"/>
  <c r="DO1393" i="31"/>
  <c r="DL1370" i="31"/>
  <c r="DJ1394" i="31"/>
  <c r="DO1407" i="31" s="1"/>
  <c r="DO1373" i="31" s="1"/>
  <c r="DJ1388" i="31"/>
  <c r="DJ1387" i="31"/>
  <c r="DJ1389" i="31"/>
  <c r="DJ1386" i="31"/>
  <c r="DJ1392" i="31"/>
  <c r="DJ1390" i="31"/>
  <c r="DJ1391" i="31"/>
  <c r="DL1394" i="31"/>
  <c r="DQ1407" i="31" s="1"/>
  <c r="DQ1373" i="31" s="1"/>
  <c r="DL1386" i="31"/>
  <c r="DL1392" i="31"/>
  <c r="DL1390" i="31"/>
  <c r="DL1389" i="31"/>
  <c r="DL1391" i="31"/>
  <c r="DL1387" i="31"/>
  <c r="DL1388" i="31"/>
  <c r="DT1391" i="31"/>
  <c r="DT1394" i="31"/>
  <c r="DT1392" i="31"/>
  <c r="DT1387" i="31"/>
  <c r="DT1388" i="31"/>
  <c r="DT1390" i="31"/>
  <c r="DT1389" i="31"/>
  <c r="DT1386" i="31"/>
  <c r="DE1394" i="31"/>
  <c r="DJ1407" i="31" s="1"/>
  <c r="DJ1373" i="31" s="1"/>
  <c r="DE1392" i="31"/>
  <c r="DE1388" i="31"/>
  <c r="DE1391" i="31"/>
  <c r="DE1387" i="31"/>
  <c r="DE1390" i="31"/>
  <c r="DE1389" i="31"/>
  <c r="DE1386" i="31"/>
  <c r="DE1357" i="31"/>
  <c r="AQ1244" i="31"/>
  <c r="AV1250" i="31" s="1"/>
  <c r="CK1303" i="31"/>
  <c r="CK1308" i="31" s="1"/>
  <c r="CG1314" i="31"/>
  <c r="CG1319" i="31" s="1"/>
  <c r="BV1096" i="31"/>
  <c r="BL1349" i="31"/>
  <c r="BL46" i="31" s="1"/>
  <c r="AE1243" i="31"/>
  <c r="AE1244" i="31" s="1"/>
  <c r="AJ1244" i="31"/>
  <c r="AO1250" i="31" s="1"/>
  <c r="CR1314" i="31"/>
  <c r="AW1247" i="31"/>
  <c r="AL1242" i="31"/>
  <c r="AG1242" i="31" s="1"/>
  <c r="AG1244" i="31" s="1"/>
  <c r="CA1352" i="31"/>
  <c r="AO1357" i="31"/>
  <c r="BL1273" i="31"/>
  <c r="BQ1200" i="31"/>
  <c r="BQ1085" i="31"/>
  <c r="DL1365" i="31"/>
  <c r="DQ1357" i="31"/>
  <c r="BW1357" i="31"/>
  <c r="CA1350" i="31"/>
  <c r="CF1357" i="31" s="1"/>
  <c r="AW1244" i="31"/>
  <c r="BB1250" i="31" s="1"/>
  <c r="DL1357" i="31"/>
  <c r="DJ1365" i="31"/>
  <c r="DJ1357" i="31"/>
  <c r="BS1357" i="31"/>
  <c r="AV1357" i="31"/>
  <c r="BQ1260" i="31"/>
  <c r="CA1087" i="31"/>
  <c r="AW1273" i="31"/>
  <c r="BV1350" i="31"/>
  <c r="CB1028" i="31"/>
  <c r="AR1244" i="31"/>
  <c r="AR1349" i="31"/>
  <c r="AR46" i="31" s="1"/>
  <c r="AR1085" i="31"/>
  <c r="CP1357" i="31"/>
  <c r="DW45" i="31"/>
  <c r="EB50" i="31" s="1"/>
  <c r="AW47" i="31"/>
  <c r="BL1087" i="31"/>
  <c r="BJ1311" i="31"/>
  <c r="DG1366" i="31"/>
  <c r="DN1366" i="31"/>
  <c r="BV1226" i="31"/>
  <c r="BQ1349" i="31"/>
  <c r="BV1354" i="31" s="1"/>
  <c r="BB1087" i="31"/>
  <c r="BV47" i="31"/>
  <c r="BR1352" i="31"/>
  <c r="BM45" i="31"/>
  <c r="BM47" i="31" s="1"/>
  <c r="AR1273" i="31"/>
  <c r="CF47" i="31"/>
  <c r="AU1311" i="31"/>
  <c r="AW1232" i="31"/>
  <c r="BB1238" i="31" s="1"/>
  <c r="BB47" i="31"/>
  <c r="BK1235" i="31"/>
  <c r="DT1365" i="31"/>
  <c r="CP1354" i="31"/>
  <c r="CU1354" i="31"/>
  <c r="DO1354" i="31"/>
  <c r="CA1218" i="31"/>
  <c r="CF1223" i="31" s="1"/>
  <c r="BU1200" i="31"/>
  <c r="BP1349" i="31"/>
  <c r="BU1226" i="31"/>
  <c r="BA1311" i="31"/>
  <c r="AN1250" i="31"/>
  <c r="BK1354" i="31"/>
  <c r="BB1354" i="31"/>
  <c r="AP1311" i="31"/>
  <c r="BU1288" i="31"/>
  <c r="BU1260" i="31"/>
  <c r="BB1292" i="31"/>
  <c r="AW1289" i="31"/>
  <c r="BT1208" i="31"/>
  <c r="BT1214" i="31" s="1"/>
  <c r="BY1206" i="31"/>
  <c r="BT1287" i="31"/>
  <c r="BV1206" i="31"/>
  <c r="BV1211" i="31" s="1"/>
  <c r="AM1231" i="31"/>
  <c r="AD1231" i="31"/>
  <c r="AI1232" i="31"/>
  <c r="AN1238" i="31" s="1"/>
  <c r="AW1260" i="31"/>
  <c r="AL1226" i="31"/>
  <c r="BK1238" i="31"/>
  <c r="BQ1208" i="31"/>
  <c r="BQ1214" i="31" s="1"/>
  <c r="CL1314" i="31"/>
  <c r="CQ1303" i="31"/>
  <c r="CP1303" i="31"/>
  <c r="AL1230" i="31"/>
  <c r="AQ1232" i="31"/>
  <c r="AV1238" i="31" s="1"/>
  <c r="AR1230" i="31"/>
  <c r="AW1235" i="31" s="1"/>
  <c r="BB1009" i="31"/>
  <c r="BG1009" i="31"/>
  <c r="CL1012" i="31"/>
  <c r="BC1311" i="31"/>
  <c r="BB1305" i="31"/>
  <c r="AG1267" i="31"/>
  <c r="AL1273" i="31" s="1"/>
  <c r="AH1266" i="31"/>
  <c r="BR1087" i="31"/>
  <c r="BM1087" i="31"/>
  <c r="BG1305" i="31"/>
  <c r="BV1046" i="31"/>
  <c r="BP1046" i="31"/>
  <c r="BB1289" i="31"/>
  <c r="DT1202" i="31"/>
  <c r="DO1202" i="31"/>
  <c r="CV998" i="31"/>
  <c r="CL1046" i="31"/>
  <c r="AY1311" i="31"/>
  <c r="AT1311" i="31"/>
  <c r="AW1305" i="31"/>
  <c r="AE1231" i="31"/>
  <c r="AJ1232" i="31"/>
  <c r="AO1238" i="31" s="1"/>
  <c r="Y1243" i="31"/>
  <c r="BG1354" i="31"/>
  <c r="AE1220" i="31"/>
  <c r="AJ1226" i="31" s="1"/>
  <c r="Z1219" i="31"/>
  <c r="CW1035" i="31"/>
  <c r="AN1289" i="31"/>
  <c r="AS1295" i="31" s="1"/>
  <c r="AS1293" i="31"/>
  <c r="AS1294" i="31" s="1"/>
  <c r="AR1288" i="31"/>
  <c r="BV1192" i="31"/>
  <c r="BQ1192" i="31"/>
  <c r="BG1259" i="31"/>
  <c r="BG1256" i="31"/>
  <c r="CC1023" i="31"/>
  <c r="CC1028" i="31" s="1"/>
  <c r="CH1001" i="31"/>
  <c r="BN1311" i="31"/>
  <c r="BI1311" i="31"/>
  <c r="CX998" i="31"/>
  <c r="DC998" i="31"/>
  <c r="AF1214" i="31"/>
  <c r="AK1214" i="31"/>
  <c r="CJ1057" i="31"/>
  <c r="CF1057" i="31"/>
  <c r="AM1220" i="31"/>
  <c r="AR1226" i="31" s="1"/>
  <c r="AR1224" i="31"/>
  <c r="BM1311" i="31"/>
  <c r="BL1305" i="31"/>
  <c r="BR1354" i="31"/>
  <c r="BM1354" i="31"/>
  <c r="AA1219" i="31"/>
  <c r="AA1220" i="31" s="1"/>
  <c r="AF1220" i="31"/>
  <c r="AK1226" i="31" s="1"/>
  <c r="BB1352" i="31"/>
  <c r="AW1350" i="31"/>
  <c r="CL1068" i="31"/>
  <c r="BP1311" i="31"/>
  <c r="BB1350" i="31"/>
  <c r="BG1352" i="31"/>
  <c r="AE1255" i="31"/>
  <c r="AJ1256" i="31"/>
  <c r="AO1262" i="31" s="1"/>
  <c r="BF1357" i="31"/>
  <c r="DD973" i="31"/>
  <c r="I1357" i="31"/>
  <c r="BM1202" i="31"/>
  <c r="BH1202" i="31"/>
  <c r="BB1054" i="31"/>
  <c r="BG1054" i="31"/>
  <c r="BR1202" i="31"/>
  <c r="BM1350" i="31"/>
  <c r="BR1357" i="31" s="1"/>
  <c r="BA1292" i="31"/>
  <c r="AV1289" i="31"/>
  <c r="BA1295" i="31" s="1"/>
  <c r="AM1211" i="31"/>
  <c r="AC1206" i="31"/>
  <c r="AB1206" i="31" s="1"/>
  <c r="AG1211" i="31" s="1"/>
  <c r="BR1292" i="31"/>
  <c r="AR1081" i="31"/>
  <c r="AW1084" i="31"/>
  <c r="AR1348" i="31"/>
  <c r="AR45" i="31" s="1"/>
  <c r="AR1084" i="31"/>
  <c r="AR1248" i="31"/>
  <c r="AD1242" i="31"/>
  <c r="AD1244" i="31" s="1"/>
  <c r="AI1250" i="31" s="1"/>
  <c r="Y1230" i="31"/>
  <c r="CS1068" i="31"/>
  <c r="BR1311" i="31"/>
  <c r="BQ1305" i="31"/>
  <c r="BV1311" i="31" s="1"/>
  <c r="AS1292" i="31"/>
  <c r="AS1087" i="31"/>
  <c r="AN1087" i="31"/>
  <c r="DC976" i="31"/>
  <c r="CX976" i="31"/>
  <c r="CN1292" i="31"/>
  <c r="AL1254" i="31"/>
  <c r="AM1254" i="31" s="1"/>
  <c r="AQ1256" i="31"/>
  <c r="AV1262" i="31" s="1"/>
  <c r="AQ1287" i="31"/>
  <c r="AR1287" i="31" s="1"/>
  <c r="AW1292" i="31" s="1"/>
  <c r="BS1295" i="31"/>
  <c r="CZ1357" i="31"/>
  <c r="CD1023" i="31"/>
  <c r="CD1028" i="31" s="1"/>
  <c r="CI1001" i="31"/>
  <c r="AG1214" i="31"/>
  <c r="AL1214" i="31"/>
  <c r="CM1068" i="31"/>
  <c r="BG1087" i="31"/>
  <c r="AR1254" i="31"/>
  <c r="AW1259" i="31" s="1"/>
  <c r="AR1305" i="31"/>
  <c r="BT1211" i="31"/>
  <c r="BJ1202" i="31"/>
  <c r="AF1289" i="31"/>
  <c r="BG1350" i="31"/>
  <c r="BP1254" i="31"/>
  <c r="BK1256" i="31"/>
  <c r="BK1262" i="31" s="1"/>
  <c r="BK1194" i="31"/>
  <c r="BL1254" i="31"/>
  <c r="BL1259" i="31" s="1"/>
  <c r="AD1255" i="31"/>
  <c r="AD1288" i="31" s="1"/>
  <c r="AI1256" i="31"/>
  <c r="AN1262" i="31" s="1"/>
  <c r="AM1255" i="31"/>
  <c r="CE1012" i="31"/>
  <c r="CA1012" i="31"/>
  <c r="Z1218" i="31"/>
  <c r="AE1287" i="31"/>
  <c r="AJ1292" i="31" s="1"/>
  <c r="AH1218" i="31"/>
  <c r="BE1311" i="31"/>
  <c r="CJ1035" i="31"/>
  <c r="AN1311" i="31"/>
  <c r="AM1305" i="31"/>
  <c r="BO1214" i="31"/>
  <c r="DE990" i="31"/>
  <c r="CH1046" i="31"/>
  <c r="AZ1311" i="31"/>
  <c r="AG1288" i="31"/>
  <c r="CV1035" i="31"/>
  <c r="BV1223" i="31"/>
  <c r="AD1254" i="31"/>
  <c r="AI1287" i="31"/>
  <c r="AN1350" i="31"/>
  <c r="AS1352" i="31"/>
  <c r="AN1352" i="31"/>
  <c r="DO1350" i="31"/>
  <c r="BV1084" i="31"/>
  <c r="BQ1081" i="31"/>
  <c r="BV1087" i="31" s="1"/>
  <c r="BH1350" i="31"/>
  <c r="BM1352" i="31"/>
  <c r="BH1352" i="31"/>
  <c r="AW1236" i="31"/>
  <c r="CN1046" i="31"/>
  <c r="CF1035" i="31"/>
  <c r="CA1040" i="31"/>
  <c r="BG1235" i="31"/>
  <c r="BG1232" i="31"/>
  <c r="BG1238" i="31" s="1"/>
  <c r="BO1348" i="31"/>
  <c r="BT1199" i="31"/>
  <c r="BO1196" i="31"/>
  <c r="BK1292" i="31"/>
  <c r="BG1287" i="31"/>
  <c r="BG1292" i="31" s="1"/>
  <c r="BF1289" i="31"/>
  <c r="BK1295" i="31" s="1"/>
  <c r="CL1001" i="31"/>
  <c r="CG1023" i="31"/>
  <c r="CG1028" i="31" s="1"/>
  <c r="CJ1068" i="31"/>
  <c r="CK1068" i="31" s="1"/>
  <c r="BQ1001" i="31"/>
  <c r="AL1311" i="31"/>
  <c r="BJ1350" i="31"/>
  <c r="BJ1352" i="31"/>
  <c r="AM1212" i="31"/>
  <c r="AH1208" i="31"/>
  <c r="AC1207" i="31"/>
  <c r="AB1207" i="31" s="1"/>
  <c r="AG1212" i="31" s="1"/>
  <c r="AG1213" i="31" s="1"/>
  <c r="CF1265" i="31"/>
  <c r="CH1265" i="31"/>
  <c r="CC1287" i="31"/>
  <c r="CC1292" i="31" s="1"/>
  <c r="DC1035" i="31"/>
  <c r="BV1260" i="31"/>
  <c r="BH1311" i="31"/>
  <c r="BR1289" i="31"/>
  <c r="DT1354" i="31"/>
  <c r="AH1219" i="31"/>
  <c r="AD1220" i="31"/>
  <c r="AI1226" i="31" s="1"/>
  <c r="Y1219" i="31"/>
  <c r="Y1220" i="31" s="1"/>
  <c r="AW1192" i="31"/>
  <c r="AR1192" i="31"/>
  <c r="DA992" i="31"/>
  <c r="DA998" i="31" s="1"/>
  <c r="CB1254" i="31"/>
  <c r="AX1311" i="31"/>
  <c r="CU1357" i="31"/>
  <c r="CK1357" i="31"/>
  <c r="AT1293" i="31"/>
  <c r="AT1294" i="31" s="1"/>
  <c r="AO1289" i="31"/>
  <c r="AT1295" i="31" s="1"/>
  <c r="BQ1211" i="31"/>
  <c r="DO968" i="31"/>
  <c r="AI1311" i="31"/>
  <c r="AH1305" i="31"/>
  <c r="DY1373" i="31" l="1"/>
  <c r="DL1366" i="31"/>
  <c r="DE1366" i="31"/>
  <c r="DT1366" i="31"/>
  <c r="DO1364" i="31"/>
  <c r="DT1370" i="31"/>
  <c r="DJ1374" i="31"/>
  <c r="DQ1374" i="31"/>
  <c r="DJ1366" i="31"/>
  <c r="DO1394" i="31"/>
  <c r="DT1407" i="31" s="1"/>
  <c r="DT1373" i="31" s="1"/>
  <c r="DO1392" i="31"/>
  <c r="DO1387" i="31"/>
  <c r="DO1388" i="31"/>
  <c r="DO1386" i="31"/>
  <c r="DO1390" i="31"/>
  <c r="DO1389" i="31"/>
  <c r="DO1391" i="31"/>
  <c r="DO1370" i="31"/>
  <c r="DL1374" i="31"/>
  <c r="Z1243" i="31"/>
  <c r="Z1244" i="31" s="1"/>
  <c r="AH1243" i="31"/>
  <c r="AC1243" i="31" s="1"/>
  <c r="CL1319" i="31"/>
  <c r="CK1314" i="31"/>
  <c r="CK1319" i="31" s="1"/>
  <c r="CP1308" i="31"/>
  <c r="BL1354" i="31"/>
  <c r="AJ1250" i="31"/>
  <c r="AL1244" i="31"/>
  <c r="AQ1250" i="31" s="1"/>
  <c r="AM1242" i="31"/>
  <c r="AR1247" i="31" s="1"/>
  <c r="BF1295" i="31"/>
  <c r="AW1354" i="31"/>
  <c r="CA1357" i="31"/>
  <c r="AR1232" i="31"/>
  <c r="AW1238" i="31" s="1"/>
  <c r="AW1250" i="31"/>
  <c r="AR1354" i="31"/>
  <c r="AR47" i="31"/>
  <c r="AW1311" i="31"/>
  <c r="AM1311" i="31"/>
  <c r="BQ1354" i="31"/>
  <c r="AF1226" i="31"/>
  <c r="BQ46" i="31"/>
  <c r="BT1352" i="31"/>
  <c r="BO45" i="31"/>
  <c r="BO47" i="31" s="1"/>
  <c r="BU1354" i="31"/>
  <c r="BP46" i="31"/>
  <c r="BG1311" i="31"/>
  <c r="DO1365" i="31"/>
  <c r="CA1223" i="31"/>
  <c r="AD1226" i="31"/>
  <c r="BP1354" i="31"/>
  <c r="BG1357" i="31"/>
  <c r="BU1293" i="31"/>
  <c r="BV1288" i="31"/>
  <c r="BV1293" i="31" s="1"/>
  <c r="BO1352" i="31"/>
  <c r="AR1311" i="31"/>
  <c r="CP1068" i="31"/>
  <c r="BJ1357" i="31"/>
  <c r="BR1295" i="31"/>
  <c r="AM1214" i="31"/>
  <c r="AH1214" i="31"/>
  <c r="AL1277" i="31"/>
  <c r="AK1277" i="31"/>
  <c r="AJ1277" i="31"/>
  <c r="AI1277" i="31"/>
  <c r="AR1259" i="31"/>
  <c r="CJ1012" i="31"/>
  <c r="CF1012" i="31"/>
  <c r="CK1017" i="31" s="1"/>
  <c r="BU1254" i="31"/>
  <c r="BU1259" i="31" s="1"/>
  <c r="BP1256" i="31"/>
  <c r="BP1262" i="31" s="1"/>
  <c r="BP1194" i="31"/>
  <c r="BP1199" i="31" s="1"/>
  <c r="BQ1254" i="31"/>
  <c r="BQ1259" i="31" s="1"/>
  <c r="DT1357" i="31"/>
  <c r="DO1357" i="31"/>
  <c r="BQ1087" i="31"/>
  <c r="CB1287" i="31"/>
  <c r="CG1254" i="31"/>
  <c r="CQ1001" i="31"/>
  <c r="CL1023" i="31"/>
  <c r="CL1028" i="31" s="1"/>
  <c r="BM1357" i="31"/>
  <c r="BH1357" i="31"/>
  <c r="AS1357" i="31"/>
  <c r="AN1357" i="31"/>
  <c r="DJ990" i="31"/>
  <c r="DD990" i="31"/>
  <c r="BK1348" i="31"/>
  <c r="BK45" i="31" s="1"/>
  <c r="BK47" i="31" s="1"/>
  <c r="BK1199" i="31"/>
  <c r="BK1196" i="31"/>
  <c r="AG1254" i="31"/>
  <c r="AL1256" i="31"/>
  <c r="AQ1262" i="31" s="1"/>
  <c r="AL1287" i="31"/>
  <c r="AQ1292" i="31" s="1"/>
  <c r="CX1068" i="31"/>
  <c r="AH1242" i="31"/>
  <c r="Y1242" i="31"/>
  <c r="Y1244" i="31" s="1"/>
  <c r="AE1256" i="31"/>
  <c r="AJ1262" i="31" s="1"/>
  <c r="Z1255" i="31"/>
  <c r="Z1256" i="31" s="1"/>
  <c r="CO1057" i="31"/>
  <c r="CT1057" i="31" s="1"/>
  <c r="CY1057" i="31" s="1"/>
  <c r="CK1057" i="31"/>
  <c r="CP1057" i="31" s="1"/>
  <c r="CU1057" i="31" s="1"/>
  <c r="CZ1057" i="31" s="1"/>
  <c r="DE1057" i="31" s="1"/>
  <c r="DB1035" i="31"/>
  <c r="CQ1046" i="31"/>
  <c r="BL1311" i="31"/>
  <c r="AR1256" i="31"/>
  <c r="AW1262" i="31" s="1"/>
  <c r="CM1265" i="31"/>
  <c r="CK1265" i="31"/>
  <c r="CH1287" i="31"/>
  <c r="BP1001" i="31"/>
  <c r="BQ1023" i="31"/>
  <c r="BT1202" i="31"/>
  <c r="BO1350" i="31"/>
  <c r="BT1357" i="31" s="1"/>
  <c r="CS1046" i="31"/>
  <c r="AN1292" i="31"/>
  <c r="AM1223" i="31"/>
  <c r="AC1218" i="31"/>
  <c r="AB1218" i="31" s="1"/>
  <c r="AG1223" i="31" s="1"/>
  <c r="BL1256" i="31"/>
  <c r="BL1262" i="31" s="1"/>
  <c r="AR1289" i="31"/>
  <c r="AW1295" i="31" s="1"/>
  <c r="AW1293" i="31"/>
  <c r="AW1352" i="31"/>
  <c r="AR1350" i="31"/>
  <c r="AR1352" i="31"/>
  <c r="CQ1068" i="31"/>
  <c r="BG1262" i="31"/>
  <c r="BP1051" i="31"/>
  <c r="Y1254" i="31"/>
  <c r="AD1287" i="31"/>
  <c r="BP1259" i="31"/>
  <c r="AE1288" i="31"/>
  <c r="AH1288" i="31" s="1"/>
  <c r="AM1271" i="31"/>
  <c r="AC1266" i="31"/>
  <c r="AC1267" i="31" s="1"/>
  <c r="AH1267" i="31"/>
  <c r="AM1273" i="31" s="1"/>
  <c r="CQ1012" i="31"/>
  <c r="CQ1314" i="31"/>
  <c r="CP1314" i="31"/>
  <c r="AH1231" i="31"/>
  <c r="AD1232" i="31"/>
  <c r="AI1238" i="31" s="1"/>
  <c r="Y1231" i="31"/>
  <c r="Y1232" i="31" s="1"/>
  <c r="BT1292" i="31"/>
  <c r="BY1287" i="31"/>
  <c r="BT1289" i="31"/>
  <c r="AR1260" i="31"/>
  <c r="AM1256" i="31"/>
  <c r="CR1068" i="31"/>
  <c r="DT968" i="31"/>
  <c r="DY968" i="31" s="1"/>
  <c r="ED968" i="31" s="1"/>
  <c r="AM1224" i="31"/>
  <c r="AH1220" i="31"/>
  <c r="AM1226" i="31" s="1"/>
  <c r="AC1219" i="31"/>
  <c r="BL1292" i="31"/>
  <c r="BG1289" i="31"/>
  <c r="BL1295" i="31" s="1"/>
  <c r="CM1046" i="31"/>
  <c r="CF1270" i="31"/>
  <c r="CO1035" i="31"/>
  <c r="BO1202" i="31"/>
  <c r="CI1023" i="31"/>
  <c r="CI1028" i="31" s="1"/>
  <c r="CN1001" i="31"/>
  <c r="AV1292" i="31"/>
  <c r="AQ1289" i="31"/>
  <c r="AV1295" i="31" s="1"/>
  <c r="AW1087" i="31"/>
  <c r="AR1087" i="31"/>
  <c r="BB1357" i="31"/>
  <c r="BQ1311" i="31"/>
  <c r="CH1023" i="31"/>
  <c r="CH1028" i="31" s="1"/>
  <c r="CM1001" i="31"/>
  <c r="Z1220" i="31"/>
  <c r="AE1226" i="31" s="1"/>
  <c r="AE1232" i="31"/>
  <c r="AJ1238" i="31" s="1"/>
  <c r="Z1231" i="31"/>
  <c r="Z1232" i="31" s="1"/>
  <c r="BU1046" i="31"/>
  <c r="AG1230" i="31"/>
  <c r="AL1232" i="31"/>
  <c r="AQ1238" i="31" s="1"/>
  <c r="AM1230" i="31"/>
  <c r="AR1235" i="31" s="1"/>
  <c r="AR1236" i="31"/>
  <c r="CD1211" i="31"/>
  <c r="CA1206" i="31"/>
  <c r="CF1211" i="31" s="1"/>
  <c r="BB1295" i="31"/>
  <c r="CO1068" i="31"/>
  <c r="CK1035" i="31"/>
  <c r="DA1035" i="31"/>
  <c r="Y1255" i="31"/>
  <c r="AD1256" i="31"/>
  <c r="AI1262" i="31" s="1"/>
  <c r="AH1255" i="31"/>
  <c r="BL1194" i="31"/>
  <c r="BB1311" i="31"/>
  <c r="BV1208" i="31"/>
  <c r="EI968" i="31" l="1"/>
  <c r="EJ968" i="31" s="1"/>
  <c r="EK968" i="31" s="1"/>
  <c r="EL968" i="31" s="1"/>
  <c r="EM968" i="31" s="1"/>
  <c r="EN968" i="31" s="1"/>
  <c r="DX45" i="31"/>
  <c r="EC50" i="31" s="1"/>
  <c r="DO1366" i="31"/>
  <c r="DO1374" i="31"/>
  <c r="DT1374" i="31"/>
  <c r="AL1250" i="31"/>
  <c r="AM1248" i="31"/>
  <c r="CP1319" i="31"/>
  <c r="AM1244" i="31"/>
  <c r="AR1250" i="31" s="1"/>
  <c r="AR1262" i="31"/>
  <c r="Y1256" i="31"/>
  <c r="AH1273" i="31"/>
  <c r="AM1287" i="31"/>
  <c r="AR1292" i="31" s="1"/>
  <c r="CT1035" i="31"/>
  <c r="CP1035" i="31"/>
  <c r="AM1232" i="31"/>
  <c r="AR1238" i="31" s="1"/>
  <c r="BZ1046" i="31"/>
  <c r="AW1357" i="31"/>
  <c r="AR1357" i="31"/>
  <c r="CV1046" i="31"/>
  <c r="DO990" i="31"/>
  <c r="CV1001" i="31"/>
  <c r="CQ1023" i="31"/>
  <c r="CQ1028" i="31" s="1"/>
  <c r="BQ1256" i="31"/>
  <c r="AL1278" i="31"/>
  <c r="AL1288" i="31"/>
  <c r="CV1068" i="31"/>
  <c r="CX1046" i="31"/>
  <c r="BQ1028" i="31"/>
  <c r="BP1023" i="31"/>
  <c r="CR1265" i="31"/>
  <c r="CP1265" i="31"/>
  <c r="CP1270" i="31" s="1"/>
  <c r="CM1287" i="31"/>
  <c r="CR1287" i="31" s="1"/>
  <c r="BK1350" i="31"/>
  <c r="BK1352" i="31"/>
  <c r="BO1357" i="31"/>
  <c r="CR1046" i="31"/>
  <c r="AC1231" i="31"/>
  <c r="AM1236" i="31"/>
  <c r="CA1211" i="31"/>
  <c r="AG1256" i="31"/>
  <c r="AL1262" i="31" s="1"/>
  <c r="AG1287" i="31"/>
  <c r="AH1287" i="31" s="1"/>
  <c r="CG1287" i="31"/>
  <c r="CL1254" i="31"/>
  <c r="BU1256" i="31"/>
  <c r="BZ1254" i="31"/>
  <c r="BU1287" i="31"/>
  <c r="BV1254" i="31"/>
  <c r="BV1259" i="31" s="1"/>
  <c r="CU1068" i="31"/>
  <c r="CW1068" i="31"/>
  <c r="AB1243" i="31"/>
  <c r="DJ1057" i="31"/>
  <c r="DO1057" i="31" s="1"/>
  <c r="DT1057" i="31" s="1"/>
  <c r="DY1057" i="31" s="1"/>
  <c r="ED1057" i="31" s="1"/>
  <c r="EI1057" i="31" s="1"/>
  <c r="EJ1057" i="31" s="1"/>
  <c r="EK1057" i="31" s="1"/>
  <c r="EL1057" i="31" s="1"/>
  <c r="EM1057" i="31" s="1"/>
  <c r="EN1057" i="31" s="1"/>
  <c r="DD1057" i="31"/>
  <c r="AM1247" i="31"/>
  <c r="AC1242" i="31"/>
  <c r="AB1242" i="31" s="1"/>
  <c r="CB1292" i="31"/>
  <c r="AI1278" i="31"/>
  <c r="AI1288" i="31"/>
  <c r="CS1001" i="31"/>
  <c r="CN1023" i="31"/>
  <c r="CN1028" i="31" s="1"/>
  <c r="BT1295" i="31"/>
  <c r="AM1260" i="31"/>
  <c r="AC1255" i="31"/>
  <c r="CT1068" i="31"/>
  <c r="AB1219" i="31"/>
  <c r="AC1220" i="31"/>
  <c r="AH1226" i="31" s="1"/>
  <c r="CD1292" i="31"/>
  <c r="CV1012" i="31"/>
  <c r="AE1289" i="31"/>
  <c r="AI1292" i="31"/>
  <c r="BV1214" i="31"/>
  <c r="BU1001" i="31"/>
  <c r="BP1006" i="31"/>
  <c r="AD1289" i="31"/>
  <c r="BG1295" i="31"/>
  <c r="AH1244" i="31"/>
  <c r="DC1068" i="31"/>
  <c r="BK1202" i="31"/>
  <c r="DD995" i="31"/>
  <c r="BQ1194" i="31"/>
  <c r="BQ1199" i="31" s="1"/>
  <c r="CO1012" i="31"/>
  <c r="CK1012" i="31"/>
  <c r="CP1017" i="31" s="1"/>
  <c r="AJ1278" i="31"/>
  <c r="AJ1288" i="31"/>
  <c r="AJ1293" i="31" s="1"/>
  <c r="AJ1294" i="31" s="1"/>
  <c r="BL1199" i="31"/>
  <c r="BL1196" i="31"/>
  <c r="BL1348" i="31"/>
  <c r="BL45" i="31" s="1"/>
  <c r="BL47" i="31" s="1"/>
  <c r="AG1232" i="31"/>
  <c r="AL1238" i="31" s="1"/>
  <c r="AH1230" i="31"/>
  <c r="CR1001" i="31"/>
  <c r="CM1023" i="31"/>
  <c r="CM1028" i="31" s="1"/>
  <c r="AH1254" i="31"/>
  <c r="AH1256" i="31" s="1"/>
  <c r="AM1262" i="31" s="1"/>
  <c r="BU1051" i="31"/>
  <c r="CK1270" i="31"/>
  <c r="BP1348" i="31"/>
  <c r="BU1199" i="31"/>
  <c r="BP1196" i="31"/>
  <c r="AK1278" i="31"/>
  <c r="AK1288" i="31"/>
  <c r="DY45" i="31" l="1"/>
  <c r="AM1250" i="31"/>
  <c r="AM1292" i="31"/>
  <c r="BU1352" i="31"/>
  <c r="BP45" i="31"/>
  <c r="BP47" i="31" s="1"/>
  <c r="BP1352" i="31"/>
  <c r="AM1235" i="31"/>
  <c r="AC1230" i="31"/>
  <c r="AB1230" i="31" s="1"/>
  <c r="BU1202" i="31"/>
  <c r="BP1350" i="31"/>
  <c r="BU1357" i="31" s="1"/>
  <c r="BP1202" i="31"/>
  <c r="CX1001" i="31"/>
  <c r="CS1023" i="31"/>
  <c r="CS1028" i="31" s="1"/>
  <c r="AK1289" i="31"/>
  <c r="AP1293" i="31"/>
  <c r="AP1294" i="31" s="1"/>
  <c r="AK1293" i="31"/>
  <c r="AK1294" i="31" s="1"/>
  <c r="CW1001" i="31"/>
  <c r="CR1023" i="31"/>
  <c r="CR1028" i="31" s="1"/>
  <c r="AN1284" i="31"/>
  <c r="AI1284" i="31"/>
  <c r="AB1231" i="31"/>
  <c r="BK1357" i="31"/>
  <c r="BP1028" i="31"/>
  <c r="AM1259" i="31"/>
  <c r="AC1254" i="31"/>
  <c r="AB1254" i="31" s="1"/>
  <c r="CT1012" i="31"/>
  <c r="CP1012" i="31"/>
  <c r="CU1017" i="31" s="1"/>
  <c r="AG1224" i="31"/>
  <c r="AG1225" i="31" s="1"/>
  <c r="AB1220" i="31"/>
  <c r="AG1226" i="31" s="1"/>
  <c r="AB1255" i="31"/>
  <c r="AH1289" i="31"/>
  <c r="CW1046" i="31"/>
  <c r="DA1001" i="31"/>
  <c r="CV1023" i="31"/>
  <c r="CV1028" i="31" s="1"/>
  <c r="DD1062" i="31"/>
  <c r="BU1292" i="31"/>
  <c r="BU1289" i="31"/>
  <c r="BZ1287" i="31"/>
  <c r="CA1287" i="31" s="1"/>
  <c r="BV1287" i="31"/>
  <c r="DC1046" i="31"/>
  <c r="CE1254" i="31"/>
  <c r="CA1254" i="31"/>
  <c r="CA1259" i="31" s="1"/>
  <c r="DA1046" i="31"/>
  <c r="CU1035" i="31"/>
  <c r="AP1284" i="31"/>
  <c r="AK1284" i="31"/>
  <c r="DA1012" i="31"/>
  <c r="CY1068" i="31"/>
  <c r="DB1068" i="31"/>
  <c r="AL1292" i="31"/>
  <c r="AG1289" i="31"/>
  <c r="CM1292" i="31"/>
  <c r="BL1350" i="31"/>
  <c r="BL1352" i="31"/>
  <c r="AJ1289" i="31"/>
  <c r="AO1295" i="31" s="1"/>
  <c r="AO1293" i="31"/>
  <c r="AO1294" i="31" s="1"/>
  <c r="BZ1001" i="31"/>
  <c r="BV1001" i="31"/>
  <c r="AB1244" i="31"/>
  <c r="BV1256" i="31"/>
  <c r="AH1232" i="31"/>
  <c r="AM1238" i="31" s="1"/>
  <c r="BQ1262" i="31"/>
  <c r="AL1289" i="31"/>
  <c r="AQ1295" i="31" s="1"/>
  <c r="AQ1293" i="31"/>
  <c r="AQ1294" i="31" s="1"/>
  <c r="AL1293" i="31"/>
  <c r="AL1294" i="31" s="1"/>
  <c r="BU1262" i="31"/>
  <c r="DT990" i="31"/>
  <c r="DY990" i="31" s="1"/>
  <c r="ED990" i="31" s="1"/>
  <c r="BV1199" i="31"/>
  <c r="BQ1196" i="31"/>
  <c r="BQ1348" i="31"/>
  <c r="BL1202" i="31"/>
  <c r="AO1284" i="31"/>
  <c r="AJ1284" i="31"/>
  <c r="AN1293" i="31"/>
  <c r="AN1294" i="31" s="1"/>
  <c r="AM1288" i="31"/>
  <c r="AI1289" i="31"/>
  <c r="AN1295" i="31" s="1"/>
  <c r="AI1293" i="31"/>
  <c r="AI1294" i="31" s="1"/>
  <c r="AC1244" i="31"/>
  <c r="CZ1068" i="31"/>
  <c r="CL1287" i="31"/>
  <c r="CQ1254" i="31"/>
  <c r="CQ1287" i="31" s="1"/>
  <c r="DA1068" i="31"/>
  <c r="AQ1284" i="31"/>
  <c r="AL1284" i="31"/>
  <c r="CE1046" i="31"/>
  <c r="CA1046" i="31"/>
  <c r="CA1051" i="31" s="1"/>
  <c r="CY1035" i="31"/>
  <c r="ED50" i="31" l="1"/>
  <c r="EI990" i="31"/>
  <c r="AB1232" i="31"/>
  <c r="BV1352" i="31"/>
  <c r="BQ45" i="31"/>
  <c r="BQ47" i="31" s="1"/>
  <c r="AJ1295" i="31"/>
  <c r="AC1232" i="31"/>
  <c r="CJ1046" i="31"/>
  <c r="CF1046" i="31"/>
  <c r="BV1202" i="31"/>
  <c r="BQ1350" i="31"/>
  <c r="BV1357" i="31" s="1"/>
  <c r="CE1287" i="31"/>
  <c r="CJ1254" i="31"/>
  <c r="CF1254" i="31"/>
  <c r="CF1259" i="31" s="1"/>
  <c r="AM1289" i="31"/>
  <c r="AR1295" i="31" s="1"/>
  <c r="AR1293" i="31"/>
  <c r="AR1294" i="31" s="1"/>
  <c r="AM1293" i="31"/>
  <c r="AM1294" i="31" s="1"/>
  <c r="AI1295" i="31"/>
  <c r="BV1023" i="31"/>
  <c r="BV1006" i="31"/>
  <c r="AL1295" i="31"/>
  <c r="CZ1035" i="31"/>
  <c r="CA1292" i="31"/>
  <c r="BV1292" i="31"/>
  <c r="BP1357" i="31"/>
  <c r="BZ1023" i="31"/>
  <c r="CE1001" i="31"/>
  <c r="CA1001" i="31"/>
  <c r="CA1006" i="31" s="1"/>
  <c r="DB1046" i="31"/>
  <c r="BU1295" i="31"/>
  <c r="BV1289" i="31"/>
  <c r="CY1012" i="31"/>
  <c r="CZ1012" i="31" s="1"/>
  <c r="DE1012" i="31" s="1"/>
  <c r="CU1012" i="31"/>
  <c r="CZ1017" i="31" s="1"/>
  <c r="DA1023" i="31"/>
  <c r="DA1028" i="31" s="1"/>
  <c r="AP1295" i="31"/>
  <c r="AK1295" i="31"/>
  <c r="DE1068" i="31"/>
  <c r="BQ1352" i="31"/>
  <c r="AB1256" i="31"/>
  <c r="CQ1292" i="31"/>
  <c r="BQ1202" i="31"/>
  <c r="BL1357" i="31"/>
  <c r="BV1262" i="31"/>
  <c r="CL1292" i="31"/>
  <c r="AC1256" i="31"/>
  <c r="DB1001" i="31"/>
  <c r="CW1023" i="31"/>
  <c r="DC1001" i="31"/>
  <c r="CX1023" i="31"/>
  <c r="EJ990" i="31" l="1"/>
  <c r="BQ1357" i="31"/>
  <c r="DJ1068" i="31"/>
  <c r="DD1068" i="31"/>
  <c r="BV1295" i="31"/>
  <c r="CA1023" i="31"/>
  <c r="BU1023" i="31"/>
  <c r="BV1028" i="31"/>
  <c r="CJ1287" i="31"/>
  <c r="CO1254" i="31"/>
  <c r="CK1254" i="31"/>
  <c r="CK1259" i="31" s="1"/>
  <c r="CE1292" i="31"/>
  <c r="CF1287" i="31"/>
  <c r="CF1292" i="31" s="1"/>
  <c r="DC1023" i="31"/>
  <c r="DC1028" i="31" s="1"/>
  <c r="DE1035" i="31"/>
  <c r="CO1046" i="31"/>
  <c r="CK1046" i="31"/>
  <c r="DJ1012" i="31"/>
  <c r="DO1012" i="31" s="1"/>
  <c r="DT1012" i="31" s="1"/>
  <c r="DY1012" i="31" s="1"/>
  <c r="ED1012" i="31" s="1"/>
  <c r="EI1012" i="31" s="1"/>
  <c r="EJ1012" i="31" s="1"/>
  <c r="EK1012" i="31" s="1"/>
  <c r="EL1012" i="31" s="1"/>
  <c r="EM1012" i="31" s="1"/>
  <c r="EN1012" i="31" s="1"/>
  <c r="DD1012" i="31"/>
  <c r="CW1028" i="31"/>
  <c r="AM1295" i="31"/>
  <c r="CX1028" i="31"/>
  <c r="DB1023" i="31"/>
  <c r="DB1028" i="31" s="1"/>
  <c r="CE1023" i="31"/>
  <c r="CE1028" i="31" s="1"/>
  <c r="CJ1001" i="31"/>
  <c r="CF1001" i="31"/>
  <c r="EK990" i="31" l="1"/>
  <c r="DD1017" i="31"/>
  <c r="DD1035" i="31"/>
  <c r="DJ1035" i="31"/>
  <c r="CO1287" i="31"/>
  <c r="CP1287" i="31" s="1"/>
  <c r="CP1254" i="31"/>
  <c r="CP1259" i="31" s="1"/>
  <c r="DO1068" i="31"/>
  <c r="CK1287" i="31"/>
  <c r="CF1006" i="31"/>
  <c r="BZ1028" i="31"/>
  <c r="BU1028" i="31"/>
  <c r="CO1001" i="31"/>
  <c r="CJ1023" i="31"/>
  <c r="CJ1028" i="31" s="1"/>
  <c r="CK1001" i="31"/>
  <c r="CP1046" i="31"/>
  <c r="CA1028" i="31"/>
  <c r="CF1023" i="31"/>
  <c r="CF1028" i="31" s="1"/>
  <c r="CT1046" i="31"/>
  <c r="DD1073" i="31"/>
  <c r="EL990" i="31" l="1"/>
  <c r="CP1292" i="31"/>
  <c r="CO1292" i="31"/>
  <c r="CK1006" i="31"/>
  <c r="DO1035" i="31"/>
  <c r="CK1023" i="31"/>
  <c r="CK1028" i="31" s="1"/>
  <c r="CT1001" i="31"/>
  <c r="CO1023" i="31"/>
  <c r="CP1001" i="31"/>
  <c r="DT1068" i="31"/>
  <c r="DY1068" i="31" s="1"/>
  <c r="ED1068" i="31" s="1"/>
  <c r="DD1040" i="31"/>
  <c r="CY1046" i="31"/>
  <c r="CU1046" i="31"/>
  <c r="EI1068" i="31" l="1"/>
  <c r="EJ1068" i="31" s="1"/>
  <c r="EK1068" i="31" s="1"/>
  <c r="EL1068" i="31" s="1"/>
  <c r="EM1068" i="31" s="1"/>
  <c r="EN1068" i="31" s="1"/>
  <c r="EM990" i="31"/>
  <c r="CP1023" i="31"/>
  <c r="CP1028" i="31" s="1"/>
  <c r="CO1028" i="31"/>
  <c r="DT1035" i="31"/>
  <c r="DY1035" i="31" s="1"/>
  <c r="ED1035" i="31" s="1"/>
  <c r="EI1035" i="31" s="1"/>
  <c r="EJ1035" i="31" s="1"/>
  <c r="EK1035" i="31" s="1"/>
  <c r="EL1035" i="31" s="1"/>
  <c r="EM1035" i="31" s="1"/>
  <c r="EN1035" i="31" s="1"/>
  <c r="CZ1046" i="31"/>
  <c r="CY1001" i="31"/>
  <c r="CT1023" i="31"/>
  <c r="CU1001" i="31"/>
  <c r="CP1006" i="31"/>
  <c r="EN990" i="31" l="1"/>
  <c r="CU1023" i="31"/>
  <c r="CU1028" i="31" s="1"/>
  <c r="DE1046" i="31"/>
  <c r="CY1023" i="31"/>
  <c r="CY1028" i="31" s="1"/>
  <c r="CZ1001" i="31"/>
  <c r="CZ1006" i="31" s="1"/>
  <c r="CU1006" i="31"/>
  <c r="CT1028" i="31"/>
  <c r="DE1001" i="31" l="1"/>
  <c r="CZ1023" i="31"/>
  <c r="CZ1028" i="31" s="1"/>
  <c r="DJ1046" i="31"/>
  <c r="DD1046" i="31"/>
  <c r="DD1051" i="31" l="1"/>
  <c r="DJ1001" i="31"/>
  <c r="DD1001" i="31"/>
  <c r="DE1023" i="31"/>
  <c r="DO1046" i="31"/>
  <c r="DD1006" i="31" l="1"/>
  <c r="DD1023" i="31"/>
  <c r="DD1028" i="31" s="1"/>
  <c r="DT1046" i="31"/>
  <c r="DY1046" i="31" s="1"/>
  <c r="ED1046" i="31" s="1"/>
  <c r="EI1046" i="31" s="1"/>
  <c r="EJ1046" i="31" s="1"/>
  <c r="EK1046" i="31" s="1"/>
  <c r="EL1046" i="31" s="1"/>
  <c r="EM1046" i="31" s="1"/>
  <c r="EN1046" i="31" s="1"/>
  <c r="DO1001" i="31"/>
  <c r="DJ1023" i="31"/>
  <c r="DJ1028" i="31" s="1"/>
  <c r="DE1028" i="31"/>
  <c r="DT1001" i="31" l="1"/>
  <c r="DY1001" i="31" s="1"/>
  <c r="DO1023" i="31"/>
  <c r="DT1023" i="31" l="1"/>
  <c r="DT1028" i="31" s="1"/>
  <c r="DO1028" i="31"/>
  <c r="DY1023" i="31" l="1"/>
  <c r="DY1028" i="31" s="1"/>
  <c r="ED1001" i="31"/>
  <c r="R52" i="204"/>
  <c r="S52" i="204" s="1"/>
  <c r="R51" i="204"/>
  <c r="S51" i="204" s="1"/>
  <c r="R50" i="204"/>
  <c r="S50" i="204" s="1"/>
  <c r="R49" i="204"/>
  <c r="S49" i="204" s="1"/>
  <c r="R48" i="204"/>
  <c r="S48" i="204" s="1"/>
  <c r="R47" i="204"/>
  <c r="S47" i="204" s="1"/>
  <c r="R46" i="204"/>
  <c r="S46" i="204" s="1"/>
  <c r="R44" i="204"/>
  <c r="S44" i="204" s="1"/>
  <c r="R43" i="204"/>
  <c r="S43" i="204" s="1"/>
  <c r="R42" i="204"/>
  <c r="S42" i="204" s="1"/>
  <c r="R41" i="204"/>
  <c r="S41" i="204" s="1"/>
  <c r="R40" i="204"/>
  <c r="S40" i="204" s="1"/>
  <c r="T40" i="204" s="1"/>
  <c r="R39" i="204"/>
  <c r="S39" i="204" s="1"/>
  <c r="R38" i="204"/>
  <c r="S38" i="204" s="1"/>
  <c r="R37" i="204"/>
  <c r="S37" i="204" s="1"/>
  <c r="T37" i="204" s="1"/>
  <c r="R36" i="204"/>
  <c r="S36" i="204" s="1"/>
  <c r="R34" i="204"/>
  <c r="S34" i="204" s="1"/>
  <c r="T34" i="204" s="1"/>
  <c r="R33" i="204"/>
  <c r="S33" i="204" s="1"/>
  <c r="R32" i="204"/>
  <c r="S32" i="204" s="1"/>
  <c r="R31" i="204"/>
  <c r="S31" i="204" s="1"/>
  <c r="T31" i="204" s="1"/>
  <c r="R30" i="204"/>
  <c r="S30" i="204" s="1"/>
  <c r="R29" i="204"/>
  <c r="S29" i="204" s="1"/>
  <c r="R28" i="204"/>
  <c r="S28" i="204" s="1"/>
  <c r="R27" i="204"/>
  <c r="P105" i="204"/>
  <c r="P104" i="204"/>
  <c r="P98" i="204"/>
  <c r="P88" i="204"/>
  <c r="P84" i="204"/>
  <c r="P81" i="204"/>
  <c r="P74" i="204"/>
  <c r="P73" i="204"/>
  <c r="P62" i="204"/>
  <c r="P61" i="204"/>
  <c r="B106" i="204"/>
  <c r="B105" i="204"/>
  <c r="B104" i="204"/>
  <c r="B103" i="204"/>
  <c r="B102" i="204"/>
  <c r="B101" i="204"/>
  <c r="B100" i="204"/>
  <c r="B99" i="204"/>
  <c r="B98" i="204"/>
  <c r="B97" i="204"/>
  <c r="B96" i="204"/>
  <c r="B95" i="204"/>
  <c r="B94" i="204"/>
  <c r="B93" i="204"/>
  <c r="B92" i="204"/>
  <c r="B91" i="204"/>
  <c r="B90" i="204"/>
  <c r="B89" i="204"/>
  <c r="B88" i="204"/>
  <c r="B87" i="204"/>
  <c r="B86" i="204"/>
  <c r="B85" i="204"/>
  <c r="B84" i="204"/>
  <c r="B83" i="204"/>
  <c r="B82" i="204"/>
  <c r="B81" i="204"/>
  <c r="B80" i="204"/>
  <c r="B79" i="204"/>
  <c r="B78" i="204"/>
  <c r="B77" i="204"/>
  <c r="B76" i="204"/>
  <c r="B75" i="204"/>
  <c r="B74" i="204"/>
  <c r="B73" i="204"/>
  <c r="B72" i="204"/>
  <c r="B71" i="204"/>
  <c r="B70" i="204"/>
  <c r="B69" i="204"/>
  <c r="B68" i="204"/>
  <c r="B67" i="204"/>
  <c r="B66" i="204"/>
  <c r="B65" i="204"/>
  <c r="B64" i="204"/>
  <c r="B63" i="204"/>
  <c r="B62" i="204"/>
  <c r="U6" i="204"/>
  <c r="U60" i="204" s="1"/>
  <c r="T6" i="204"/>
  <c r="T60" i="204" s="1"/>
  <c r="EI1001" i="31" l="1"/>
  <c r="ED1023" i="31"/>
  <c r="U28" i="204"/>
  <c r="V28" i="204" s="1"/>
  <c r="W28" i="204" s="1"/>
  <c r="X28" i="204" s="1"/>
  <c r="T33" i="204"/>
  <c r="U37" i="204"/>
  <c r="V37" i="204" s="1"/>
  <c r="T42" i="204"/>
  <c r="T48" i="204"/>
  <c r="T49" i="204"/>
  <c r="T32" i="204"/>
  <c r="T47" i="204"/>
  <c r="T38" i="204"/>
  <c r="T41" i="204"/>
  <c r="T29" i="204"/>
  <c r="T43" i="204"/>
  <c r="T30" i="204"/>
  <c r="U34" i="204"/>
  <c r="V34" i="204" s="1"/>
  <c r="T39" i="204"/>
  <c r="T44" i="204"/>
  <c r="T50" i="204"/>
  <c r="T51" i="204"/>
  <c r="U31" i="204"/>
  <c r="T36" i="204"/>
  <c r="U40" i="204"/>
  <c r="V40" i="204" s="1"/>
  <c r="T46" i="204"/>
  <c r="T52" i="204"/>
  <c r="ED1028" i="31" l="1"/>
  <c r="EJ1001" i="31"/>
  <c r="EI1023" i="31"/>
  <c r="EI1028" i="31" s="1"/>
  <c r="W40" i="204"/>
  <c r="X40" i="204" s="1"/>
  <c r="W37" i="204"/>
  <c r="X37" i="204" s="1"/>
  <c r="W34" i="204"/>
  <c r="T54" i="204"/>
  <c r="U39" i="204"/>
  <c r="V39" i="204" s="1"/>
  <c r="U43" i="204"/>
  <c r="V43" i="204" s="1"/>
  <c r="U38" i="204"/>
  <c r="V38" i="204" s="1"/>
  <c r="U49" i="204"/>
  <c r="V49" i="204" s="1"/>
  <c r="U51" i="204"/>
  <c r="V51" i="204" s="1"/>
  <c r="U48" i="204"/>
  <c r="V48" i="204" s="1"/>
  <c r="U33" i="204"/>
  <c r="V33" i="204" s="1"/>
  <c r="U27" i="204"/>
  <c r="V27" i="204" s="1"/>
  <c r="U42" i="204"/>
  <c r="V42" i="204" s="1"/>
  <c r="U36" i="204"/>
  <c r="V36" i="204" s="1"/>
  <c r="U52" i="204"/>
  <c r="V52" i="204" s="1"/>
  <c r="U50" i="204"/>
  <c r="V50" i="204" s="1"/>
  <c r="U47" i="204"/>
  <c r="V47" i="204" s="1"/>
  <c r="U46" i="204"/>
  <c r="V46" i="204" s="1"/>
  <c r="U44" i="204"/>
  <c r="V44" i="204" s="1"/>
  <c r="U41" i="204"/>
  <c r="V41" i="204" s="1"/>
  <c r="U32" i="204"/>
  <c r="U54" i="204" s="1"/>
  <c r="EK1001" i="31" l="1"/>
  <c r="EJ1023" i="31"/>
  <c r="FD206" i="10"/>
  <c r="W43" i="204"/>
  <c r="X43" i="204" s="1"/>
  <c r="W44" i="204"/>
  <c r="X44" i="204" s="1"/>
  <c r="W38" i="204"/>
  <c r="X38" i="204" s="1"/>
  <c r="W27" i="204"/>
  <c r="X27" i="204" s="1"/>
  <c r="V54" i="204"/>
  <c r="FF206" i="10" s="1"/>
  <c r="W39" i="204"/>
  <c r="X39" i="204" s="1"/>
  <c r="W52" i="204"/>
  <c r="X52" i="204" s="1"/>
  <c r="W42" i="204"/>
  <c r="X42" i="204" s="1"/>
  <c r="W54" i="204"/>
  <c r="FG206" i="10" s="1"/>
  <c r="W46" i="204"/>
  <c r="X46" i="204" s="1"/>
  <c r="W47" i="204"/>
  <c r="X47" i="204" s="1"/>
  <c r="W50" i="204"/>
  <c r="X50" i="204" s="1"/>
  <c r="W48" i="204"/>
  <c r="X48" i="204" s="1"/>
  <c r="W51" i="204"/>
  <c r="X51" i="204" s="1"/>
  <c r="W41" i="204"/>
  <c r="X41" i="204" s="1"/>
  <c r="W36" i="204"/>
  <c r="X36" i="204" s="1"/>
  <c r="W49" i="204"/>
  <c r="X49" i="204" s="1"/>
  <c r="EL1001" i="31" l="1"/>
  <c r="EK1023" i="31"/>
  <c r="EJ1028" i="31"/>
  <c r="FE206" i="10"/>
  <c r="EN258" i="31"/>
  <c r="EM258" i="31"/>
  <c r="EL258" i="31"/>
  <c r="EK258" i="31"/>
  <c r="EJ258" i="31"/>
  <c r="EM1001" i="31" l="1"/>
  <c r="EL1023" i="31"/>
  <c r="EL1028" i="31" s="1"/>
  <c r="EK1028" i="31"/>
  <c r="EM632" i="31"/>
  <c r="EL632" i="31"/>
  <c r="EN1001" i="31" l="1"/>
  <c r="EN1023" i="31" s="1"/>
  <c r="EM1023" i="31"/>
  <c r="EM1028" i="31" s="1"/>
  <c r="EN1028" i="31" l="1"/>
  <c r="DV885" i="31" l="1"/>
  <c r="DV34" i="31" l="1"/>
  <c r="EA39" i="31" s="1"/>
  <c r="EA890" i="31"/>
  <c r="EI1673" i="31"/>
  <c r="DZ1673" i="31"/>
  <c r="DY1673" i="31"/>
  <c r="DV1673" i="31"/>
  <c r="DU1673" i="31"/>
  <c r="DT1673" i="31"/>
  <c r="DQ1673" i="31"/>
  <c r="DP1673" i="31"/>
  <c r="DO1673" i="31"/>
  <c r="DJ1673" i="31"/>
  <c r="DE1673" i="31"/>
  <c r="DC1673" i="31"/>
  <c r="DB1673" i="31"/>
  <c r="DA1673" i="31"/>
  <c r="CZ1673" i="31"/>
  <c r="CU1673" i="31"/>
  <c r="CP1673" i="31"/>
  <c r="EI1672" i="31"/>
  <c r="DZ1672" i="31"/>
  <c r="DY1672" i="31"/>
  <c r="DV1672" i="31"/>
  <c r="DU1672" i="31"/>
  <c r="DT1672" i="31"/>
  <c r="DQ1672" i="31"/>
  <c r="DP1672" i="31"/>
  <c r="DO1672" i="31"/>
  <c r="DJ1672" i="31"/>
  <c r="DE1672" i="31"/>
  <c r="DC1672" i="31"/>
  <c r="DB1672" i="31"/>
  <c r="DA1672" i="31"/>
  <c r="CZ1672" i="31"/>
  <c r="CU1672" i="31"/>
  <c r="CP1672" i="31"/>
  <c r="B1671" i="31"/>
  <c r="EI1669" i="31"/>
  <c r="DZ1669" i="31"/>
  <c r="DY1669" i="31"/>
  <c r="DV1669" i="31"/>
  <c r="DU1669" i="31"/>
  <c r="DT1669" i="31"/>
  <c r="DQ1669" i="31"/>
  <c r="DP1669" i="31"/>
  <c r="DO1669" i="31"/>
  <c r="DN1669" i="31" s="1"/>
  <c r="DJ1669" i="31"/>
  <c r="DE1669" i="31"/>
  <c r="DC1669" i="31"/>
  <c r="DB1669" i="31"/>
  <c r="DA1669" i="31"/>
  <c r="CZ1669" i="31"/>
  <c r="CU1669" i="31"/>
  <c r="CP1669" i="31"/>
  <c r="DW1668" i="31"/>
  <c r="DR1668" i="31"/>
  <c r="DR1673" i="31" s="1"/>
  <c r="DN1668" i="31"/>
  <c r="DN1673" i="31" s="1"/>
  <c r="DM1668" i="31"/>
  <c r="DM1673" i="31" s="1"/>
  <c r="DL1668" i="31"/>
  <c r="DL1673" i="31" s="1"/>
  <c r="DK1668" i="31"/>
  <c r="DK1673" i="31" s="1"/>
  <c r="DD1668" i="31"/>
  <c r="DD1673" i="31" s="1"/>
  <c r="DW1667" i="31"/>
  <c r="DW1672" i="31" s="1"/>
  <c r="DR1667" i="31"/>
  <c r="DS1667" i="31" s="1"/>
  <c r="DS1672" i="31" s="1"/>
  <c r="DN1667" i="31"/>
  <c r="DN1672" i="31" s="1"/>
  <c r="DM1667" i="31"/>
  <c r="DM1672" i="31" s="1"/>
  <c r="DL1667" i="31"/>
  <c r="DL1672" i="31" s="1"/>
  <c r="DK1667" i="31"/>
  <c r="DK1672" i="31" s="1"/>
  <c r="DD1667" i="31"/>
  <c r="A694" i="31"/>
  <c r="CU1674" i="31" l="1"/>
  <c r="DJ1674" i="31"/>
  <c r="DV1674" i="31"/>
  <c r="DT1674" i="31"/>
  <c r="DL1674" i="31"/>
  <c r="DD1669" i="31"/>
  <c r="DK1674" i="31"/>
  <c r="CP1674" i="31"/>
  <c r="DE1674" i="31"/>
  <c r="DU1674" i="31"/>
  <c r="EI1674" i="31"/>
  <c r="CZ1674" i="31"/>
  <c r="DA1674" i="31"/>
  <c r="DO1674" i="31"/>
  <c r="DY1674" i="31"/>
  <c r="DS1668" i="31"/>
  <c r="DS1673" i="31" s="1"/>
  <c r="DS1674" i="31" s="1"/>
  <c r="DC1674" i="31"/>
  <c r="DW1669" i="31"/>
  <c r="DD1672" i="31"/>
  <c r="DD1674" i="31" s="1"/>
  <c r="DP1674" i="31"/>
  <c r="DZ1674" i="31"/>
  <c r="DB1674" i="31"/>
  <c r="DQ1674" i="31"/>
  <c r="DN1674" i="31"/>
  <c r="DM1674" i="31"/>
  <c r="DX1667" i="31"/>
  <c r="DX1672" i="31" s="1"/>
  <c r="DL1669" i="31"/>
  <c r="DR1669" i="31"/>
  <c r="DW1673" i="31"/>
  <c r="DW1674" i="31" s="1"/>
  <c r="DM1669" i="31"/>
  <c r="DR1672" i="31"/>
  <c r="DR1674" i="31" s="1"/>
  <c r="DX1668" i="31"/>
  <c r="DK1669" i="31"/>
  <c r="DS1669" i="31" l="1"/>
  <c r="DX1673" i="31"/>
  <c r="DX1674" i="31" s="1"/>
  <c r="DX1669" i="31"/>
  <c r="EI1682" i="31"/>
  <c r="EK632" i="31" l="1"/>
  <c r="EJ632" i="31"/>
  <c r="DU672" i="31" l="1"/>
  <c r="EO349" i="31" l="1"/>
  <c r="EP349" i="31" l="1"/>
  <c r="EQ349" i="31" l="1"/>
  <c r="ER349" i="31" l="1"/>
  <c r="ES349" i="31" l="1"/>
  <c r="A352" i="31" l="1"/>
  <c r="FO126" i="9" l="1"/>
  <c r="L88" i="9"/>
  <c r="Q88" i="9"/>
  <c r="W88" i="9"/>
  <c r="L89" i="9"/>
  <c r="Q89" i="9"/>
  <c r="W89" i="9"/>
  <c r="H90" i="9"/>
  <c r="I90" i="9"/>
  <c r="J90" i="9"/>
  <c r="K90" i="9"/>
  <c r="M90" i="9"/>
  <c r="N90" i="9"/>
  <c r="O90" i="9"/>
  <c r="P90" i="9"/>
  <c r="R90" i="9"/>
  <c r="S90" i="9"/>
  <c r="T90" i="9"/>
  <c r="U90" i="9"/>
  <c r="V90" i="9"/>
  <c r="X90" i="9"/>
  <c r="Y90" i="9"/>
  <c r="Z90" i="9"/>
  <c r="AA90" i="9"/>
  <c r="AB90" i="9"/>
  <c r="AC90" i="9"/>
  <c r="AD90" i="9"/>
  <c r="AE90" i="9"/>
  <c r="AF90" i="9"/>
  <c r="AG90" i="9"/>
  <c r="AH90" i="9"/>
  <c r="AI90" i="9"/>
  <c r="AJ90" i="9"/>
  <c r="AK90" i="9"/>
  <c r="AL90" i="9"/>
  <c r="AM90" i="9"/>
  <c r="AN90" i="9"/>
  <c r="AO90" i="9"/>
  <c r="AP90" i="9"/>
  <c r="AQ90" i="9"/>
  <c r="AR90" i="9"/>
  <c r="AS90" i="9"/>
  <c r="AT90" i="9"/>
  <c r="AU90" i="9"/>
  <c r="EN101" i="10"/>
  <c r="EN106" i="10"/>
  <c r="FU24" i="9"/>
  <c r="EQ15" i="11"/>
  <c r="EQ16" i="11"/>
  <c r="EQ18" i="11"/>
  <c r="EQ19" i="11"/>
  <c r="EQ20" i="11"/>
  <c r="EQ22" i="11"/>
  <c r="EQ23" i="11"/>
  <c r="EQ24" i="11"/>
  <c r="EQ25" i="11"/>
  <c r="EQ27" i="11"/>
  <c r="EP28" i="11"/>
  <c r="EQ32" i="11"/>
  <c r="EQ33" i="11"/>
  <c r="EP35" i="11"/>
  <c r="EQ39" i="11"/>
  <c r="EQ40" i="11"/>
  <c r="EQ42" i="11"/>
  <c r="EQ43" i="11"/>
  <c r="EQ44" i="11"/>
  <c r="EQ45" i="11"/>
  <c r="EQ46" i="11"/>
  <c r="EP47" i="11"/>
  <c r="EQ50" i="11"/>
  <c r="FX60" i="9"/>
  <c r="FO55" i="9"/>
  <c r="FP55" i="9"/>
  <c r="FQ55" i="9"/>
  <c r="FR55" i="9"/>
  <c r="FT55" i="9"/>
  <c r="FU55" i="9"/>
  <c r="FO57" i="9"/>
  <c r="FP57" i="9"/>
  <c r="FQ57" i="9"/>
  <c r="FR57" i="9"/>
  <c r="FT57" i="9"/>
  <c r="FU57" i="9"/>
  <c r="FU38" i="9"/>
  <c r="FQ38" i="9"/>
  <c r="FQ125" i="9" s="1"/>
  <c r="FO38" i="9"/>
  <c r="FU81" i="9"/>
  <c r="FT81" i="9"/>
  <c r="FU78" i="9"/>
  <c r="FT78" i="9"/>
  <c r="FU77" i="9"/>
  <c r="FT77" i="9"/>
  <c r="FU76" i="9"/>
  <c r="FT76" i="9"/>
  <c r="FU51" i="9"/>
  <c r="FT51" i="9"/>
  <c r="FR51" i="9"/>
  <c r="FQ51" i="9"/>
  <c r="FP51" i="9"/>
  <c r="FO51" i="9"/>
  <c r="FU44" i="9"/>
  <c r="FT44" i="9"/>
  <c r="FR44" i="9"/>
  <c r="FQ44" i="9"/>
  <c r="FP44" i="9"/>
  <c r="FO44" i="9"/>
  <c r="FS36" i="9"/>
  <c r="FS28" i="9"/>
  <c r="FS27" i="9"/>
  <c r="FS26" i="9"/>
  <c r="EM85" i="10" s="1"/>
  <c r="FQ24" i="9"/>
  <c r="FR24" i="9"/>
  <c r="FP24" i="9"/>
  <c r="FO24" i="9"/>
  <c r="ER88" i="10" l="1"/>
  <c r="ER32" i="11"/>
  <c r="EP48" i="11"/>
  <c r="ER40" i="11"/>
  <c r="ER27" i="11"/>
  <c r="ES27" i="11" s="1"/>
  <c r="ER19" i="11"/>
  <c r="ES19" i="11" s="1"/>
  <c r="ET19" i="11" s="1"/>
  <c r="ER46" i="11"/>
  <c r="ER39" i="11"/>
  <c r="ER25" i="11"/>
  <c r="ES25" i="11" s="1"/>
  <c r="ET25" i="11" s="1"/>
  <c r="ER18" i="11"/>
  <c r="ES18" i="11" s="1"/>
  <c r="ET18" i="11" s="1"/>
  <c r="ER42" i="11"/>
  <c r="ES42" i="11" s="1"/>
  <c r="ER20" i="11"/>
  <c r="ES20" i="11" s="1"/>
  <c r="ET20" i="11" s="1"/>
  <c r="ER45" i="11"/>
  <c r="ES45" i="11" s="1"/>
  <c r="EQ35" i="11"/>
  <c r="ER24" i="11"/>
  <c r="ES24" i="11" s="1"/>
  <c r="ER16" i="11"/>
  <c r="ER43" i="11"/>
  <c r="ES43" i="11" s="1"/>
  <c r="ER22" i="11"/>
  <c r="ER50" i="11"/>
  <c r="ES50" i="11" s="1"/>
  <c r="EP29" i="11"/>
  <c r="ER44" i="11"/>
  <c r="ER33" i="11"/>
  <c r="ES33" i="11" s="1"/>
  <c r="ER23" i="11"/>
  <c r="ES23" i="11" s="1"/>
  <c r="ER15" i="11"/>
  <c r="EO106" i="10"/>
  <c r="EI83" i="10"/>
  <c r="EJ83" i="10"/>
  <c r="EL83" i="10"/>
  <c r="FW136" i="9"/>
  <c r="EQ87" i="10"/>
  <c r="EQ118" i="10"/>
  <c r="ES115" i="10" s="1"/>
  <c r="FQ67" i="9"/>
  <c r="EK83" i="10"/>
  <c r="EO83" i="10"/>
  <c r="L90" i="9"/>
  <c r="W90" i="9"/>
  <c r="Q90" i="9"/>
  <c r="FQ49" i="9"/>
  <c r="FQ56" i="9" s="1"/>
  <c r="FO49" i="9"/>
  <c r="FO56" i="9" s="1"/>
  <c r="EQ47" i="11"/>
  <c r="FO125" i="9"/>
  <c r="EQ28" i="11"/>
  <c r="EQ29" i="11" s="1"/>
  <c r="EQ105" i="10"/>
  <c r="FU29" i="9"/>
  <c r="FU67" i="9"/>
  <c r="FT24" i="9"/>
  <c r="EP36" i="11"/>
  <c r="FU82" i="9"/>
  <c r="FU83" i="9" s="1"/>
  <c r="FU125" i="9"/>
  <c r="FS44" i="9"/>
  <c r="FT82" i="9"/>
  <c r="FT83" i="9" s="1"/>
  <c r="FO29" i="9"/>
  <c r="FS24" i="9"/>
  <c r="FO67" i="9"/>
  <c r="FO66" i="9"/>
  <c r="FO72" i="9"/>
  <c r="EP176" i="10" s="1"/>
  <c r="FO65" i="9"/>
  <c r="EP174" i="10" s="1"/>
  <c r="FO70" i="9"/>
  <c r="FU70" i="9"/>
  <c r="FU66" i="9"/>
  <c r="FU72" i="9"/>
  <c r="FU65" i="9"/>
  <c r="FP67" i="9"/>
  <c r="FP66" i="9"/>
  <c r="FP29" i="9"/>
  <c r="FP72" i="9"/>
  <c r="FP65" i="9"/>
  <c r="FR72" i="9"/>
  <c r="ES176" i="10" s="1"/>
  <c r="FR65" i="9"/>
  <c r="ES174" i="10" s="1"/>
  <c r="FR66" i="9"/>
  <c r="FR29" i="9"/>
  <c r="FR67" i="9"/>
  <c r="FQ29" i="9"/>
  <c r="FO71" i="9"/>
  <c r="FO50" i="9" s="1"/>
  <c r="FU71" i="9"/>
  <c r="FU50" i="9" s="1"/>
  <c r="FU49" i="9"/>
  <c r="FQ70" i="9"/>
  <c r="FQ71" i="9"/>
  <c r="FQ50" i="9" s="1"/>
  <c r="FQ65" i="9"/>
  <c r="FQ72" i="9"/>
  <c r="FQ66" i="9"/>
  <c r="ER35" i="11" l="1"/>
  <c r="EP106" i="10"/>
  <c r="ES32" i="11"/>
  <c r="ES16" i="11"/>
  <c r="ES40" i="11"/>
  <c r="ES44" i="11"/>
  <c r="ES46" i="11"/>
  <c r="ES15" i="11"/>
  <c r="ES22" i="11"/>
  <c r="ET22" i="11" s="1"/>
  <c r="FU69" i="9"/>
  <c r="EP135" i="10"/>
  <c r="FP69" i="9"/>
  <c r="FO69" i="9"/>
  <c r="ES116" i="10"/>
  <c r="EW116" i="10" s="1"/>
  <c r="ES120" i="10"/>
  <c r="FQ69" i="9"/>
  <c r="FR69" i="9"/>
  <c r="ER36" i="11"/>
  <c r="EP52" i="11"/>
  <c r="ET23" i="11"/>
  <c r="ER28" i="11"/>
  <c r="ER29" i="11" s="1"/>
  <c r="ET27" i="11"/>
  <c r="ET24" i="11"/>
  <c r="ES39" i="11"/>
  <c r="EQ36" i="11"/>
  <c r="ES35" i="11"/>
  <c r="EQ48" i="11"/>
  <c r="ER47" i="11"/>
  <c r="ER48" i="11" s="1"/>
  <c r="EN83" i="10"/>
  <c r="FS67" i="9"/>
  <c r="EM83" i="10"/>
  <c r="FT65" i="9"/>
  <c r="EU174" i="10" s="1"/>
  <c r="FT29" i="9"/>
  <c r="FT66" i="9"/>
  <c r="FT72" i="9"/>
  <c r="EU176" i="10" s="1"/>
  <c r="FT67" i="9"/>
  <c r="FU56" i="9"/>
  <c r="FP68" i="9"/>
  <c r="FU126" i="9"/>
  <c r="FU127" i="9" s="1"/>
  <c r="FS29" i="9"/>
  <c r="FS2" i="9"/>
  <c r="FS4" i="9" s="1"/>
  <c r="FS7" i="9" s="1"/>
  <c r="FS65" i="9"/>
  <c r="ET174" i="10" s="1"/>
  <c r="FQ68" i="9"/>
  <c r="FR68" i="9"/>
  <c r="ES175" i="10" s="1"/>
  <c r="FO68" i="9"/>
  <c r="EP175" i="10" s="1"/>
  <c r="FS66" i="9"/>
  <c r="FU122" i="9"/>
  <c r="FU68" i="9"/>
  <c r="FU79" i="9"/>
  <c r="ET15" i="11" l="1"/>
  <c r="ER30" i="11"/>
  <c r="ET16" i="11"/>
  <c r="EQ135" i="10"/>
  <c r="EQ106" i="10"/>
  <c r="FT69" i="9"/>
  <c r="FS69" i="9"/>
  <c r="EQ52" i="11"/>
  <c r="ER52" i="11"/>
  <c r="ES47" i="11"/>
  <c r="FS68" i="9"/>
  <c r="ET175" i="10" s="1"/>
  <c r="FT79" i="9"/>
  <c r="FT68" i="9"/>
  <c r="EU175" i="10" s="1"/>
  <c r="FO127" i="9"/>
  <c r="FO122" i="9"/>
  <c r="FQ126" i="9"/>
  <c r="FQ127" i="9" s="1"/>
  <c r="FQ122" i="9"/>
  <c r="FB115" i="10" l="1"/>
  <c r="EO212" i="10" l="1"/>
  <c r="EP210" i="10" s="1"/>
  <c r="EP211" i="10" s="1"/>
  <c r="EO207" i="10"/>
  <c r="EP205" i="10" s="1"/>
  <c r="EP206" i="10" s="1"/>
  <c r="EO197" i="10"/>
  <c r="EP195" i="10" s="1"/>
  <c r="EP196" i="10" s="1"/>
  <c r="EO161" i="10"/>
  <c r="EP158" i="10" s="1"/>
  <c r="EO155" i="10"/>
  <c r="EP153" i="10" s="1"/>
  <c r="EP154" i="10" s="1"/>
  <c r="EO149" i="10"/>
  <c r="EO139" i="10"/>
  <c r="EO131" i="10"/>
  <c r="EP128" i="10" s="1"/>
  <c r="EP129" i="10" s="1"/>
  <c r="EO125" i="10"/>
  <c r="EP123" i="10" s="1"/>
  <c r="EP124" i="10" s="1"/>
  <c r="EQ53" i="10"/>
  <c r="ER53" i="10" s="1"/>
  <c r="EO38" i="10"/>
  <c r="EO34" i="10"/>
  <c r="EO91" i="10" l="1"/>
  <c r="FB53" i="10"/>
  <c r="FC53" i="10" s="1"/>
  <c r="EZ53" i="10"/>
  <c r="FA53" i="10" s="1"/>
  <c r="EP134" i="10"/>
  <c r="EO140" i="10"/>
  <c r="EO150" i="10"/>
  <c r="FD53" i="10" l="1"/>
  <c r="FE53" i="10" s="1"/>
  <c r="FF53" i="10" s="1"/>
  <c r="FG53" i="10" s="1"/>
  <c r="EO146" i="10"/>
  <c r="EO147" i="10" s="1"/>
  <c r="EO148" i="10" s="1"/>
  <c r="EO142" i="10"/>
  <c r="BM626" i="31" l="1"/>
  <c r="BN626" i="31"/>
  <c r="BO626" i="31"/>
  <c r="BP626" i="31"/>
  <c r="BR626" i="31"/>
  <c r="BS626" i="31"/>
  <c r="BT626" i="31"/>
  <c r="BU626" i="31"/>
  <c r="BW626" i="31"/>
  <c r="BX626" i="31"/>
  <c r="BY626" i="31"/>
  <c r="BZ626" i="31"/>
  <c r="CC626" i="31"/>
  <c r="CE626" i="31"/>
  <c r="CG626" i="31"/>
  <c r="CH626" i="31"/>
  <c r="CI626" i="31"/>
  <c r="CJ626" i="31"/>
  <c r="CL626" i="31"/>
  <c r="CM626" i="31"/>
  <c r="CN626" i="31"/>
  <c r="CO626" i="31"/>
  <c r="CS626" i="31"/>
  <c r="CT626" i="31"/>
  <c r="CV626" i="31"/>
  <c r="CW626" i="31"/>
  <c r="CX626" i="31"/>
  <c r="DA626" i="31"/>
  <c r="DD626" i="31"/>
  <c r="DF626" i="31"/>
  <c r="DG626" i="31"/>
  <c r="DH626" i="31"/>
  <c r="DI626" i="31"/>
  <c r="DK626" i="31"/>
  <c r="DL626" i="31"/>
  <c r="DM626" i="31"/>
  <c r="DN626" i="31"/>
  <c r="DP626" i="31"/>
  <c r="DQ626" i="31"/>
  <c r="DR626" i="31"/>
  <c r="DW631" i="31" s="1"/>
  <c r="DS626" i="31"/>
  <c r="DX631" i="31" s="1"/>
  <c r="BM627" i="31"/>
  <c r="BN627" i="31"/>
  <c r="BO627" i="31"/>
  <c r="BP627" i="31"/>
  <c r="BR627" i="31"/>
  <c r="BS627" i="31"/>
  <c r="BT627" i="31"/>
  <c r="BU627" i="31"/>
  <c r="BW627" i="31"/>
  <c r="BX627" i="31"/>
  <c r="BY627" i="31"/>
  <c r="BZ627" i="31"/>
  <c r="CB627" i="31"/>
  <c r="CC627" i="31"/>
  <c r="CG627" i="31"/>
  <c r="CH627" i="31"/>
  <c r="CI627" i="31"/>
  <c r="CJ627" i="31"/>
  <c r="CL627" i="31"/>
  <c r="CM627" i="31"/>
  <c r="CN627" i="31"/>
  <c r="CO627" i="31"/>
  <c r="CQ627" i="31"/>
  <c r="CR627" i="31"/>
  <c r="CS627" i="31"/>
  <c r="CT627" i="31"/>
  <c r="CV627" i="31"/>
  <c r="CW627" i="31"/>
  <c r="CX627" i="31"/>
  <c r="DA627" i="31"/>
  <c r="DB627" i="31"/>
  <c r="DC627" i="31"/>
  <c r="DD627" i="31"/>
  <c r="DF627" i="31"/>
  <c r="DG627" i="31"/>
  <c r="DH627" i="31"/>
  <c r="DI627" i="31"/>
  <c r="DK627" i="31"/>
  <c r="DL627" i="31"/>
  <c r="DM627" i="31"/>
  <c r="DN627" i="31"/>
  <c r="DP627" i="31"/>
  <c r="DQ627" i="31"/>
  <c r="DR627" i="31"/>
  <c r="DW632" i="31" s="1"/>
  <c r="DW633" i="31" s="1"/>
  <c r="DS627" i="31"/>
  <c r="DX632" i="31" s="1"/>
  <c r="DX633" i="31" s="1"/>
  <c r="DF632" i="31"/>
  <c r="DK632" i="31"/>
  <c r="EI632" i="31"/>
  <c r="CR637" i="31"/>
  <c r="CS637" i="31"/>
  <c r="CT637" i="31"/>
  <c r="CV637" i="31"/>
  <c r="CW637" i="31"/>
  <c r="CX637" i="31"/>
  <c r="CY637" i="31"/>
  <c r="DA637" i="31"/>
  <c r="DB637" i="31"/>
  <c r="DC637" i="31"/>
  <c r="DD637" i="31"/>
  <c r="DF637" i="31"/>
  <c r="DY627" i="31" l="1"/>
  <c r="DY626" i="31"/>
  <c r="BT628" i="31"/>
  <c r="BM628" i="31"/>
  <c r="CV628" i="31"/>
  <c r="CN628" i="31"/>
  <c r="CG628" i="31"/>
  <c r="BO628" i="31"/>
  <c r="CM628" i="31"/>
  <c r="CC628" i="31"/>
  <c r="DG628" i="31"/>
  <c r="CH628" i="31"/>
  <c r="BX628" i="31"/>
  <c r="BP628" i="31"/>
  <c r="CB632" i="31"/>
  <c r="CO628" i="31"/>
  <c r="DP628" i="31"/>
  <c r="DB632" i="31"/>
  <c r="DB633" i="31" s="1"/>
  <c r="DH628" i="31"/>
  <c r="CX628" i="31"/>
  <c r="CJ628" i="31"/>
  <c r="DQ631" i="31"/>
  <c r="DI631" i="31"/>
  <c r="CX631" i="31"/>
  <c r="DQ628" i="31"/>
  <c r="DI628" i="31"/>
  <c r="DA628" i="31"/>
  <c r="CO632" i="31"/>
  <c r="CO633" i="31" s="1"/>
  <c r="DU628" i="31"/>
  <c r="DM628" i="31"/>
  <c r="DS628" i="31"/>
  <c r="CZ637" i="31"/>
  <c r="CT628" i="31"/>
  <c r="DU631" i="31"/>
  <c r="CP626" i="31"/>
  <c r="BQ626" i="31"/>
  <c r="DN631" i="31"/>
  <c r="CI628" i="31"/>
  <c r="BY628" i="31"/>
  <c r="DL628" i="31"/>
  <c r="DD628" i="31"/>
  <c r="CA627" i="31"/>
  <c r="BW632" i="31"/>
  <c r="DR632" i="31"/>
  <c r="DR633" i="31" s="1"/>
  <c r="DH632" i="31"/>
  <c r="DH633" i="31" s="1"/>
  <c r="CH632" i="31"/>
  <c r="BW628" i="31"/>
  <c r="BS628" i="31"/>
  <c r="DS632" i="31"/>
  <c r="DS633" i="31" s="1"/>
  <c r="CV632" i="31"/>
  <c r="CV633" i="31" s="1"/>
  <c r="CU637" i="31"/>
  <c r="DO626" i="31"/>
  <c r="BV626" i="31"/>
  <c r="DV631" i="31"/>
  <c r="DN632" i="31"/>
  <c r="CS628" i="31"/>
  <c r="DA632" i="31"/>
  <c r="DA633" i="31" s="1"/>
  <c r="CU627" i="31"/>
  <c r="BZ628" i="31"/>
  <c r="DL631" i="31"/>
  <c r="DG632" i="31"/>
  <c r="DG633" i="31" s="1"/>
  <c r="CC632" i="31"/>
  <c r="DM632" i="31"/>
  <c r="DM633" i="31" s="1"/>
  <c r="CW628" i="31"/>
  <c r="CT632" i="31"/>
  <c r="CT633" i="31" s="1"/>
  <c r="DM631" i="31"/>
  <c r="DF628" i="31"/>
  <c r="CN632" i="31"/>
  <c r="CN633" i="31" s="1"/>
  <c r="BR632" i="31"/>
  <c r="BV627" i="31"/>
  <c r="BR628" i="31"/>
  <c r="DK628" i="31"/>
  <c r="DE627" i="31"/>
  <c r="CK626" i="31"/>
  <c r="CA626" i="31"/>
  <c r="DL632" i="31"/>
  <c r="DL633" i="31" s="1"/>
  <c r="DJ627" i="31"/>
  <c r="DR631" i="31"/>
  <c r="DR628" i="31"/>
  <c r="DW634" i="31" s="1"/>
  <c r="DT626" i="31"/>
  <c r="BX632" i="31"/>
  <c r="DN628" i="31"/>
  <c r="DV628" i="31"/>
  <c r="EA634" i="31" s="1"/>
  <c r="CL628" i="31"/>
  <c r="BU628" i="31"/>
  <c r="BQ627" i="31"/>
  <c r="DS631" i="31"/>
  <c r="DQ632" i="31"/>
  <c r="DQ633" i="31" s="1"/>
  <c r="CS632" i="31"/>
  <c r="CS633" i="31" s="1"/>
  <c r="CM632" i="31"/>
  <c r="CM633" i="31" s="1"/>
  <c r="CG632" i="31"/>
  <c r="BU632" i="31"/>
  <c r="DA631" i="31"/>
  <c r="DO627" i="31"/>
  <c r="CK627" i="31"/>
  <c r="DV632" i="31"/>
  <c r="DV633" i="31" s="1"/>
  <c r="CX632" i="31"/>
  <c r="CX633" i="31" s="1"/>
  <c r="CR632" i="31"/>
  <c r="CR633" i="31" s="1"/>
  <c r="CL632" i="31"/>
  <c r="CL633" i="31" s="1"/>
  <c r="BZ632" i="31"/>
  <c r="BT632" i="31"/>
  <c r="DT627" i="31"/>
  <c r="CP627" i="31"/>
  <c r="DU632" i="31"/>
  <c r="DU633" i="31" s="1"/>
  <c r="DI632" i="31"/>
  <c r="DI633" i="31" s="1"/>
  <c r="DC632" i="31"/>
  <c r="DC633" i="31" s="1"/>
  <c r="CW632" i="31"/>
  <c r="CW633" i="31" s="1"/>
  <c r="CQ632" i="31"/>
  <c r="CQ633" i="31" s="1"/>
  <c r="BY632" i="31"/>
  <c r="BS632" i="31"/>
  <c r="BN628" i="31"/>
  <c r="DJ626" i="31"/>
  <c r="DN633" i="31" l="1"/>
  <c r="DN616" i="31" s="1"/>
  <c r="DN605" i="31" s="1"/>
  <c r="DN615" i="31"/>
  <c r="DN604" i="31" s="1"/>
  <c r="ED631" i="31"/>
  <c r="ED632" i="31"/>
  <c r="DY632" i="31"/>
  <c r="DY633" i="31" s="1"/>
  <c r="DZ628" i="31"/>
  <c r="EE634" i="31" s="1"/>
  <c r="DY631" i="31"/>
  <c r="DY628" i="31"/>
  <c r="BT634" i="31"/>
  <c r="BY634" i="31"/>
  <c r="CO634" i="31"/>
  <c r="DL634" i="31"/>
  <c r="CH634" i="31"/>
  <c r="DA634" i="31"/>
  <c r="CL634" i="31"/>
  <c r="CC634" i="31"/>
  <c r="CX634" i="31"/>
  <c r="CM634" i="31"/>
  <c r="DF634" i="31"/>
  <c r="BX634" i="31"/>
  <c r="CT634" i="31"/>
  <c r="CK628" i="31"/>
  <c r="CN634" i="31"/>
  <c r="DU634" i="31"/>
  <c r="DM634" i="31"/>
  <c r="DQ634" i="31"/>
  <c r="DI634" i="31"/>
  <c r="BQ628" i="31"/>
  <c r="DR634" i="31"/>
  <c r="BW634" i="31"/>
  <c r="CU632" i="31"/>
  <c r="BV628" i="31"/>
  <c r="BS634" i="31"/>
  <c r="DS634" i="31"/>
  <c r="CA632" i="31"/>
  <c r="CS634" i="31"/>
  <c r="DN634" i="31"/>
  <c r="DN617" i="31" s="1"/>
  <c r="DN606" i="31" s="1"/>
  <c r="CA628" i="31"/>
  <c r="DK634" i="31"/>
  <c r="DJ628" i="31"/>
  <c r="DT631" i="31"/>
  <c r="CP632" i="31"/>
  <c r="DO632" i="31"/>
  <c r="DV634" i="31"/>
  <c r="BZ634" i="31"/>
  <c r="BR634" i="31"/>
  <c r="DP634" i="31"/>
  <c r="CP628" i="31"/>
  <c r="BV632" i="31"/>
  <c r="DJ632" i="31"/>
  <c r="BU634" i="31"/>
  <c r="DO628" i="31"/>
  <c r="DT632" i="31"/>
  <c r="DT628" i="31"/>
  <c r="DO631" i="31"/>
  <c r="ED634" i="31" l="1"/>
  <c r="DZ634" i="31"/>
  <c r="EC628" i="31"/>
  <c r="DY634" i="31"/>
  <c r="CP634" i="31"/>
  <c r="BV634" i="31"/>
  <c r="CA634" i="31"/>
  <c r="DT634" i="31"/>
  <c r="DO634" i="31"/>
  <c r="EI626" i="31" l="1"/>
  <c r="EI627" i="31"/>
  <c r="EH627" i="31" s="1"/>
  <c r="EJ626" i="31" l="1"/>
  <c r="EH626" i="31"/>
  <c r="EH631" i="31" s="1"/>
  <c r="EH632" i="31"/>
  <c r="EH633" i="31" s="1"/>
  <c r="EI628" i="31"/>
  <c r="EJ627" i="31"/>
  <c r="EK627" i="31" s="1"/>
  <c r="EK626" i="31" l="1"/>
  <c r="EL626" i="31" s="1"/>
  <c r="EM626" i="31" s="1"/>
  <c r="EN626" i="31" s="1"/>
  <c r="EO626" i="31" s="1"/>
  <c r="EP626" i="31" s="1"/>
  <c r="EQ626" i="31" s="1"/>
  <c r="ER626" i="31" s="1"/>
  <c r="ES626" i="31" s="1"/>
  <c r="EI634" i="31"/>
  <c r="EH628" i="31"/>
  <c r="EJ628" i="31"/>
  <c r="EJ634" i="31" l="1"/>
  <c r="EH634" i="31"/>
  <c r="EK628" i="31"/>
  <c r="EL627" i="31"/>
  <c r="EK634" i="31" l="1"/>
  <c r="EL628" i="31"/>
  <c r="EM627" i="31"/>
  <c r="EL634" i="31" l="1"/>
  <c r="EN627" i="31"/>
  <c r="EM628" i="31"/>
  <c r="EN628" i="31" l="1"/>
  <c r="EO627" i="31"/>
  <c r="EM634" i="31"/>
  <c r="EN634" i="31" l="1"/>
  <c r="EP627" i="31"/>
  <c r="EO628" i="31"/>
  <c r="DV569" i="31"/>
  <c r="FN81" i="9"/>
  <c r="FN78" i="9"/>
  <c r="FN77" i="9"/>
  <c r="FN76" i="9"/>
  <c r="FN57" i="9"/>
  <c r="FN55" i="9"/>
  <c r="FN51" i="9"/>
  <c r="FN44" i="9"/>
  <c r="DS512" i="31"/>
  <c r="DR512" i="31"/>
  <c r="DQ512" i="31"/>
  <c r="DP512" i="31"/>
  <c r="DV1478" i="31"/>
  <c r="DV1470" i="31"/>
  <c r="DU1470" i="31"/>
  <c r="DV1471" i="31"/>
  <c r="DV1472" i="31" s="1"/>
  <c r="DV1467" i="31"/>
  <c r="DV1460" i="31"/>
  <c r="DV1461" i="31" s="1"/>
  <c r="DV1459" i="31"/>
  <c r="DV1456" i="31"/>
  <c r="DV1449" i="31"/>
  <c r="DV1450" i="31" s="1"/>
  <c r="DV1448" i="31"/>
  <c r="DV1445" i="31"/>
  <c r="DV1438" i="31"/>
  <c r="DV1439" i="31" s="1"/>
  <c r="DV1437" i="31"/>
  <c r="DV1434" i="31"/>
  <c r="DV1427" i="31"/>
  <c r="DV1428" i="31" s="1"/>
  <c r="DV1426" i="31"/>
  <c r="DV1423" i="31"/>
  <c r="EO634" i="31" l="1"/>
  <c r="EP628" i="31"/>
  <c r="EQ627" i="31"/>
  <c r="DV752" i="31"/>
  <c r="DV749" i="31"/>
  <c r="DV694" i="31"/>
  <c r="EA700" i="31" s="1"/>
  <c r="DV676" i="31"/>
  <c r="DV677" i="31" s="1"/>
  <c r="DV675" i="31"/>
  <c r="DV672" i="31"/>
  <c r="DV654" i="31"/>
  <c r="DV655" i="31" s="1"/>
  <c r="DV653" i="31"/>
  <c r="DV650" i="31"/>
  <c r="EA656" i="31" s="1"/>
  <c r="DV639" i="31"/>
  <c r="EA645" i="31" s="1"/>
  <c r="DV554" i="31"/>
  <c r="DV555" i="31" s="1"/>
  <c r="DV553" i="31"/>
  <c r="DV550" i="31"/>
  <c r="EA556" i="31" s="1"/>
  <c r="DV536" i="31"/>
  <c r="DV543" i="31"/>
  <c r="DV544" i="31" s="1"/>
  <c r="DV542" i="31"/>
  <c r="DV539" i="31"/>
  <c r="EA545" i="31" s="1"/>
  <c r="DV521" i="31"/>
  <c r="DV522" i="31" s="1"/>
  <c r="DV520" i="31"/>
  <c r="DV517" i="31"/>
  <c r="EA523" i="31" s="1"/>
  <c r="DV512" i="31"/>
  <c r="DV504" i="31"/>
  <c r="DV505" i="31" s="1"/>
  <c r="DV503" i="31"/>
  <c r="DV500" i="31"/>
  <c r="EA506" i="31" s="1"/>
  <c r="DV471" i="31"/>
  <c r="DV472" i="31" s="1"/>
  <c r="DV470" i="31"/>
  <c r="DV467" i="31"/>
  <c r="EA473" i="31" s="1"/>
  <c r="DV345" i="31"/>
  <c r="DV346" i="31" s="1"/>
  <c r="DV344" i="31"/>
  <c r="DV341" i="31"/>
  <c r="EA347" i="31" s="1"/>
  <c r="DV280" i="31"/>
  <c r="DV281" i="31" s="1"/>
  <c r="DV279" i="31"/>
  <c r="DV276" i="31"/>
  <c r="DV269" i="31"/>
  <c r="DV270" i="31" s="1"/>
  <c r="DV268" i="31"/>
  <c r="DV265" i="31"/>
  <c r="EA271" i="31" s="1"/>
  <c r="DV225" i="31"/>
  <c r="DV226" i="31" s="1"/>
  <c r="DV224" i="31"/>
  <c r="DV221" i="31"/>
  <c r="DV211" i="31"/>
  <c r="DV212" i="31" s="1"/>
  <c r="DV210" i="31"/>
  <c r="DV209" i="31"/>
  <c r="DV208" i="31"/>
  <c r="DV205" i="31"/>
  <c r="DV197" i="31"/>
  <c r="DV198" i="31" s="1"/>
  <c r="DV196" i="31"/>
  <c r="DV193" i="31"/>
  <c r="EA199" i="31" s="1"/>
  <c r="DV182" i="31"/>
  <c r="EA188" i="31" s="1"/>
  <c r="DV175" i="31"/>
  <c r="DV176" i="31" s="1"/>
  <c r="DV174" i="31"/>
  <c r="DV171" i="31"/>
  <c r="EA177" i="31" s="1"/>
  <c r="DV131" i="31"/>
  <c r="DV132" i="31" s="1"/>
  <c r="DV130" i="31"/>
  <c r="DV127" i="31"/>
  <c r="EA133" i="31" s="1"/>
  <c r="DV71" i="31"/>
  <c r="EA76" i="31" s="1"/>
  <c r="EA77" i="31" s="1"/>
  <c r="DV247" i="31"/>
  <c r="DV248" i="31" s="1"/>
  <c r="DV246" i="31"/>
  <c r="DV236" i="31"/>
  <c r="DV237" i="31" s="1"/>
  <c r="DV235" i="31"/>
  <c r="EA213" i="31" l="1"/>
  <c r="EA227" i="31"/>
  <c r="EA282" i="31"/>
  <c r="EA755" i="31"/>
  <c r="EA678" i="31"/>
  <c r="EQ628" i="31"/>
  <c r="ER627" i="31"/>
  <c r="EP634" i="31"/>
  <c r="DY252" i="31"/>
  <c r="DV69" i="31"/>
  <c r="DV683" i="31"/>
  <c r="ED257" i="31" l="1"/>
  <c r="EQ634" i="31"/>
  <c r="ES627" i="31"/>
  <c r="ES628" i="31" s="1"/>
  <c r="ER628" i="31"/>
  <c r="DV636" i="31"/>
  <c r="EA689" i="31"/>
  <c r="DU328" i="31"/>
  <c r="A467" i="31"/>
  <c r="A265" i="31"/>
  <c r="A193" i="31"/>
  <c r="ER634" i="31" l="1"/>
  <c r="ES634" i="31"/>
  <c r="DU360" i="31" l="1"/>
  <c r="DZ1503" i="31"/>
  <c r="EQ512" i="31"/>
  <c r="EP512" i="31"/>
  <c r="EO512" i="31"/>
  <c r="EN512" i="31"/>
  <c r="EM512" i="31"/>
  <c r="EL512" i="31"/>
  <c r="EK512" i="31"/>
  <c r="EJ512" i="31"/>
  <c r="EI512" i="31"/>
  <c r="DZ512" i="31"/>
  <c r="DU509" i="31"/>
  <c r="EC1503" i="31" l="1"/>
  <c r="DU512" i="31"/>
  <c r="EC1508" i="31" l="1"/>
  <c r="DU676" i="31"/>
  <c r="GJ50" i="9" l="1"/>
  <c r="GI50" i="9"/>
  <c r="FF34" i="11"/>
  <c r="FE34" i="11"/>
  <c r="FD174" i="10"/>
  <c r="FC174" i="10"/>
  <c r="EI764" i="31" l="1"/>
  <c r="EJ764" i="31"/>
  <c r="EK764" i="31"/>
  <c r="EL764" i="31"/>
  <c r="EM764" i="31"/>
  <c r="EN764" i="31"/>
  <c r="DZ1652" i="31"/>
  <c r="DZ1651" i="31"/>
  <c r="DZ1648" i="31"/>
  <c r="DZ1643" i="31"/>
  <c r="DZ1609" i="31"/>
  <c r="DZ1608" i="31"/>
  <c r="DZ352" i="31"/>
  <c r="DZ1561" i="31"/>
  <c r="DZ1560" i="31"/>
  <c r="DZ1557" i="31"/>
  <c r="DZ1518" i="31"/>
  <c r="DZ1514" i="31"/>
  <c r="DZ1504" i="31"/>
  <c r="DZ742" i="31"/>
  <c r="DZ521" i="31"/>
  <c r="DZ522" i="31" s="1"/>
  <c r="DZ334" i="31"/>
  <c r="FY51" i="9"/>
  <c r="GB51" i="9"/>
  <c r="GA51" i="9"/>
  <c r="FZ51" i="9"/>
  <c r="DZ1509" i="31" l="1"/>
  <c r="EC1504" i="31"/>
  <c r="DZ1515" i="31"/>
  <c r="EC1514" i="31"/>
  <c r="DZ749" i="31"/>
  <c r="EE755" i="31" s="1"/>
  <c r="DZ243" i="31"/>
  <c r="DZ1653" i="31"/>
  <c r="GD75" i="9" s="1"/>
  <c r="DZ1505" i="31"/>
  <c r="DZ500" i="31"/>
  <c r="EE506" i="31" s="1"/>
  <c r="DZ1519" i="31"/>
  <c r="DZ1508" i="31"/>
  <c r="DZ672" i="31"/>
  <c r="EE678" i="31" s="1"/>
  <c r="DZ539" i="31"/>
  <c r="EE545" i="31" s="1"/>
  <c r="DZ341" i="31"/>
  <c r="EE347" i="31" s="1"/>
  <c r="DZ232" i="31"/>
  <c r="EE238" i="31" s="1"/>
  <c r="DZ182" i="31"/>
  <c r="EE188" i="31" s="1"/>
  <c r="DZ171" i="31"/>
  <c r="EE177" i="31" s="1"/>
  <c r="DZ221" i="31"/>
  <c r="DZ1610" i="31"/>
  <c r="DZ276" i="31"/>
  <c r="DZ127" i="31"/>
  <c r="EE133" i="31" s="1"/>
  <c r="DZ215" i="31"/>
  <c r="DZ550" i="31"/>
  <c r="EE556" i="31" s="1"/>
  <c r="DZ650" i="31"/>
  <c r="EE656" i="31" s="1"/>
  <c r="DZ1562" i="31"/>
  <c r="DZ205" i="31"/>
  <c r="DZ1605" i="31"/>
  <c r="EE213" i="31" l="1"/>
  <c r="EE282" i="31"/>
  <c r="EE227" i="31"/>
  <c r="EE249" i="31"/>
  <c r="EC249" i="31"/>
  <c r="EC1515" i="31"/>
  <c r="EC1519" i="31"/>
  <c r="EC1520" i="31" s="1"/>
  <c r="EC1509" i="31"/>
  <c r="EC1505" i="31"/>
  <c r="DZ1520" i="31"/>
  <c r="DZ1510" i="31"/>
  <c r="DZ72" i="31"/>
  <c r="EE78" i="31" l="1"/>
  <c r="EC1510" i="31"/>
  <c r="GB126" i="9" l="1"/>
  <c r="DP252" i="31" l="1"/>
  <c r="ER130" i="10" l="1"/>
  <c r="ET50" i="11"/>
  <c r="EN212" i="10" l="1"/>
  <c r="EO210" i="10" s="1"/>
  <c r="EO211" i="10" s="1"/>
  <c r="EN207" i="10"/>
  <c r="EO205" i="10" s="1"/>
  <c r="EO206" i="10" s="1"/>
  <c r="EN197" i="10"/>
  <c r="EO195" i="10" s="1"/>
  <c r="EO196" i="10" s="1"/>
  <c r="EN185" i="10"/>
  <c r="EN161" i="10"/>
  <c r="EO158" i="10" s="1"/>
  <c r="EN155" i="10"/>
  <c r="EO153" i="10" s="1"/>
  <c r="EO154" i="10" s="1"/>
  <c r="EN149" i="10"/>
  <c r="EN139" i="10"/>
  <c r="EN131" i="10"/>
  <c r="EN125" i="10"/>
  <c r="EN112" i="10"/>
  <c r="EN103" i="10"/>
  <c r="EN104" i="10" s="1"/>
  <c r="EN102" i="10"/>
  <c r="EN95" i="10"/>
  <c r="EN38" i="10"/>
  <c r="EN34" i="10"/>
  <c r="EN14" i="10"/>
  <c r="EN97" i="10" l="1"/>
  <c r="EN91" i="10"/>
  <c r="EN220" i="10"/>
  <c r="ES220" i="10"/>
  <c r="FN59" i="9"/>
  <c r="FU59" i="9" s="1"/>
  <c r="EN186" i="10"/>
  <c r="EN150" i="10"/>
  <c r="EO134" i="10"/>
  <c r="EN96" i="10"/>
  <c r="EN98" i="10" s="1"/>
  <c r="EN140" i="10"/>
  <c r="EN146" i="10" l="1"/>
  <c r="EN147" i="10" s="1"/>
  <c r="EN148" i="10" s="1"/>
  <c r="EN142" i="10"/>
  <c r="DY1646" i="31" l="1"/>
  <c r="DS757" i="31"/>
  <c r="DR757" i="31"/>
  <c r="DQ757" i="31"/>
  <c r="DP757" i="31"/>
  <c r="FM57" i="9"/>
  <c r="FM55" i="9"/>
  <c r="FM41" i="9"/>
  <c r="DU1423" i="31"/>
  <c r="DU1426" i="31"/>
  <c r="DU1427" i="31"/>
  <c r="DU1428" i="31" s="1"/>
  <c r="DU1434" i="31"/>
  <c r="DU1437" i="31"/>
  <c r="DU1438" i="31"/>
  <c r="DU1439" i="31" s="1"/>
  <c r="DU1445" i="31"/>
  <c r="DU1448" i="31"/>
  <c r="DU1449" i="31"/>
  <c r="DU1450" i="31" s="1"/>
  <c r="DU1456" i="31"/>
  <c r="DU1459" i="31"/>
  <c r="DU1460" i="31"/>
  <c r="DU1461" i="31" s="1"/>
  <c r="DU1467" i="31"/>
  <c r="DU1471" i="31"/>
  <c r="DU1472" i="31" s="1"/>
  <c r="DU1478" i="31"/>
  <c r="DU1481" i="31"/>
  <c r="DU1487" i="31"/>
  <c r="DU1488" i="31"/>
  <c r="DU1503" i="31"/>
  <c r="DV1503" i="31"/>
  <c r="DW1503" i="31"/>
  <c r="DU1504" i="31"/>
  <c r="DV1504" i="31"/>
  <c r="DW1504" i="31"/>
  <c r="DY1505" i="31"/>
  <c r="EI1505" i="31"/>
  <c r="DY1508" i="31"/>
  <c r="EI1508" i="31"/>
  <c r="DY1509" i="31"/>
  <c r="EI1509" i="31"/>
  <c r="DU1514" i="31"/>
  <c r="DV1514" i="31"/>
  <c r="DV1519" i="31" s="1"/>
  <c r="DW1514" i="31"/>
  <c r="DW1519" i="31" s="1"/>
  <c r="DY1515" i="31"/>
  <c r="EI1515" i="31"/>
  <c r="DY1518" i="31"/>
  <c r="EI1518" i="31"/>
  <c r="DY1519" i="31"/>
  <c r="EI1519" i="31"/>
  <c r="DW1509" i="31" l="1"/>
  <c r="DV1509" i="31"/>
  <c r="DU1509" i="31"/>
  <c r="DU1499" i="31"/>
  <c r="DT757" i="31"/>
  <c r="DY1651" i="31"/>
  <c r="DU1515" i="31"/>
  <c r="DW1505" i="31"/>
  <c r="DV1505" i="31"/>
  <c r="DW1515" i="31"/>
  <c r="DU1505" i="31"/>
  <c r="DU1489" i="31"/>
  <c r="DV1515" i="31"/>
  <c r="EI1510" i="31"/>
  <c r="DX1504" i="31"/>
  <c r="DX1514" i="31"/>
  <c r="DX1519" i="31" s="1"/>
  <c r="DU1519" i="31"/>
  <c r="DX1503" i="31"/>
  <c r="DY1510" i="31"/>
  <c r="DX1513" i="31"/>
  <c r="DW1518" i="31"/>
  <c r="DW1508" i="31"/>
  <c r="DV1518" i="31"/>
  <c r="DV1508" i="31"/>
  <c r="DU1518" i="31"/>
  <c r="DU1508" i="31"/>
  <c r="DX1518" i="31" l="1"/>
  <c r="DX1508" i="31"/>
  <c r="DX1509" i="31"/>
  <c r="DW1510" i="31"/>
  <c r="DU1510" i="31"/>
  <c r="DV1510" i="31"/>
  <c r="DX1515" i="31"/>
  <c r="DX1505" i="31"/>
  <c r="DX1510" i="31" l="1"/>
  <c r="FM44" i="9"/>
  <c r="DU719" i="31"/>
  <c r="DU720" i="31"/>
  <c r="DU752" i="31"/>
  <c r="DU693" i="31"/>
  <c r="DY693" i="31" s="1"/>
  <c r="DU677" i="31"/>
  <c r="DU675" i="31"/>
  <c r="DU654" i="31"/>
  <c r="DU655" i="31" s="1"/>
  <c r="DU653" i="31"/>
  <c r="DU521" i="31"/>
  <c r="DU522" i="31" s="1"/>
  <c r="DU520" i="31"/>
  <c r="DU504" i="31"/>
  <c r="DU505" i="31" s="1"/>
  <c r="DU503" i="31"/>
  <c r="ED698" i="31" l="1"/>
  <c r="DY681" i="31"/>
  <c r="DY682" i="31"/>
  <c r="DU683" i="31"/>
  <c r="DZ683" i="31" l="1"/>
  <c r="EE689" i="31" s="1"/>
  <c r="DY683" i="31"/>
  <c r="DZ642" i="31"/>
  <c r="DZ639" i="31"/>
  <c r="EE645" i="31" s="1"/>
  <c r="DZ689" i="31" l="1"/>
  <c r="DU572" i="31"/>
  <c r="DU1498" i="31"/>
  <c r="DU554" i="31"/>
  <c r="DU555" i="31" s="1"/>
  <c r="DU553" i="31"/>
  <c r="DU543" i="31"/>
  <c r="DU544" i="31" s="1"/>
  <c r="DU542" i="31"/>
  <c r="DU345" i="31"/>
  <c r="DU346" i="31" s="1"/>
  <c r="DU344" i="31"/>
  <c r="DU280" i="31"/>
  <c r="DU281" i="31" s="1"/>
  <c r="DU279" i="31"/>
  <c r="EC642" i="31" l="1"/>
  <c r="DZ254" i="31"/>
  <c r="DZ197" i="31"/>
  <c r="DZ198" i="31" s="1"/>
  <c r="DU247" i="31"/>
  <c r="DU248" i="31" s="1"/>
  <c r="DU246" i="31"/>
  <c r="DU236" i="31"/>
  <c r="DU237" i="31" s="1"/>
  <c r="DU235" i="31"/>
  <c r="DU225" i="31"/>
  <c r="DU226" i="31" s="1"/>
  <c r="DU224" i="31"/>
  <c r="DU211" i="31"/>
  <c r="DU212" i="31" s="1"/>
  <c r="DU210" i="31"/>
  <c r="DU209" i="31"/>
  <c r="DU208" i="31"/>
  <c r="DU175" i="31"/>
  <c r="DU176" i="31" s="1"/>
  <c r="DU174" i="31"/>
  <c r="DU131" i="31"/>
  <c r="DU132" i="31" s="1"/>
  <c r="DU130" i="31"/>
  <c r="DU71" i="31"/>
  <c r="DZ76" i="31" s="1"/>
  <c r="DZ77" i="31" s="1"/>
  <c r="EE260" i="31" l="1"/>
  <c r="DZ259" i="31"/>
  <c r="EC259" i="31"/>
  <c r="DZ196" i="31"/>
  <c r="DU886" i="31"/>
  <c r="DU24" i="31" s="1"/>
  <c r="DZ193" i="31"/>
  <c r="EE199" i="31" s="1"/>
  <c r="DI229" i="31" l="1"/>
  <c r="DH229" i="31"/>
  <c r="DG229" i="31"/>
  <c r="DF229" i="31"/>
  <c r="DN233" i="31"/>
  <c r="DM233" i="31"/>
  <c r="DL233" i="31"/>
  <c r="DK233" i="31"/>
  <c r="DN229" i="31"/>
  <c r="DM229" i="31"/>
  <c r="DL229" i="31"/>
  <c r="DK229" i="31"/>
  <c r="DS233" i="31"/>
  <c r="DR233" i="31"/>
  <c r="DQ233" i="31"/>
  <c r="DP233" i="31"/>
  <c r="DS244" i="31" l="1"/>
  <c r="DR244" i="31"/>
  <c r="DQ244" i="31"/>
  <c r="DP244" i="31"/>
  <c r="DN244" i="31"/>
  <c r="DM244" i="31"/>
  <c r="DL244" i="31"/>
  <c r="DK244" i="31"/>
  <c r="DN240" i="31"/>
  <c r="DM240" i="31"/>
  <c r="DL240" i="31"/>
  <c r="DK240" i="31"/>
  <c r="DS240" i="31"/>
  <c r="DR240" i="31"/>
  <c r="DQ240" i="31"/>
  <c r="DP240" i="31"/>
  <c r="DU508" i="31" l="1"/>
  <c r="DI536" i="31" l="1"/>
  <c r="DH536" i="31"/>
  <c r="DG536" i="31"/>
  <c r="DF536" i="31"/>
  <c r="DJ536" i="31" l="1"/>
  <c r="EM160" i="10" l="1"/>
  <c r="FD62" i="10" l="1"/>
  <c r="FC62" i="10"/>
  <c r="EL212" i="10"/>
  <c r="EL207" i="10"/>
  <c r="EL202" i="10"/>
  <c r="EL197" i="10"/>
  <c r="EL185" i="10"/>
  <c r="EL187" i="10"/>
  <c r="EL188" i="10"/>
  <c r="EL189" i="10"/>
  <c r="EL190" i="10"/>
  <c r="EL215" i="10"/>
  <c r="EM215" i="10"/>
  <c r="EL220" i="10"/>
  <c r="EL160" i="10"/>
  <c r="EK160" i="10"/>
  <c r="EJ160" i="10"/>
  <c r="EL161" i="10"/>
  <c r="EL155" i="10"/>
  <c r="EL149" i="10"/>
  <c r="EL139" i="10"/>
  <c r="EL140" i="10" s="1"/>
  <c r="EM138" i="10"/>
  <c r="EL131" i="10"/>
  <c r="EM130" i="10"/>
  <c r="EL125" i="10"/>
  <c r="EM117" i="10"/>
  <c r="EH110" i="10"/>
  <c r="EM110" i="10"/>
  <c r="EL95" i="10"/>
  <c r="EL96" i="10" s="1"/>
  <c r="EL98" i="10" s="1"/>
  <c r="EL38" i="10"/>
  <c r="EL34" i="10"/>
  <c r="EM15" i="10"/>
  <c r="EM16" i="10"/>
  <c r="EM17" i="10"/>
  <c r="EM19" i="10"/>
  <c r="EM22" i="10"/>
  <c r="EM23" i="10"/>
  <c r="EM24" i="10"/>
  <c r="EM25" i="10"/>
  <c r="EM26" i="10"/>
  <c r="EO47" i="11"/>
  <c r="EN41" i="11"/>
  <c r="EO35" i="11"/>
  <c r="EN14" i="11"/>
  <c r="DS539" i="31"/>
  <c r="DX545" i="31" s="1"/>
  <c r="DS252" i="31"/>
  <c r="EL91" i="10" l="1"/>
  <c r="EL146" i="10"/>
  <c r="EL142" i="10"/>
  <c r="EL150" i="10"/>
  <c r="EL147" i="10" l="1"/>
  <c r="EL148" i="10" s="1"/>
  <c r="DT571" i="31"/>
  <c r="DY576" i="31" s="1"/>
  <c r="EU1534" i="31"/>
  <c r="EI1543" i="31"/>
  <c r="DK536" i="31"/>
  <c r="EU1533" i="31" l="1"/>
  <c r="EI521" i="31" l="1"/>
  <c r="EJ521" i="31"/>
  <c r="EK521" i="31"/>
  <c r="EL521" i="31"/>
  <c r="EM521" i="31"/>
  <c r="EN521" i="31"/>
  <c r="EO521" i="31"/>
  <c r="EP521" i="31"/>
  <c r="EQ521" i="31"/>
  <c r="ER521" i="31"/>
  <c r="ES521" i="31"/>
  <c r="DT351" i="31" l="1"/>
  <c r="DT350" i="31"/>
  <c r="DY360" i="31" s="1"/>
  <c r="DT1466" i="31"/>
  <c r="DT1465" i="31"/>
  <c r="DT1455" i="31"/>
  <c r="DT1454" i="31"/>
  <c r="DT1444" i="31"/>
  <c r="DT1443" i="31"/>
  <c r="DS1438" i="31"/>
  <c r="DS1439" i="31" s="1"/>
  <c r="DT1433" i="31"/>
  <c r="DS1432" i="31"/>
  <c r="DT1422" i="31"/>
  <c r="DT1421" i="31"/>
  <c r="DT753" i="31"/>
  <c r="DS752" i="31"/>
  <c r="DT747" i="31"/>
  <c r="DY752" i="31" s="1"/>
  <c r="DS741" i="31"/>
  <c r="DS742" i="31"/>
  <c r="DS743" i="31" s="1"/>
  <c r="DT737" i="31"/>
  <c r="DT736" i="31"/>
  <c r="DS693" i="31"/>
  <c r="DX698" i="31" s="1"/>
  <c r="DX699" i="31" s="1"/>
  <c r="DS692" i="31"/>
  <c r="DX697" i="31" s="1"/>
  <c r="DS675" i="31"/>
  <c r="DS676" i="31"/>
  <c r="DS677" i="31" s="1"/>
  <c r="DT671" i="31"/>
  <c r="DY676" i="31" s="1"/>
  <c r="DY677" i="31" s="1"/>
  <c r="DT670" i="31"/>
  <c r="DY675" i="31" s="1"/>
  <c r="DS653" i="31"/>
  <c r="DS654" i="31"/>
  <c r="DS655" i="31" s="1"/>
  <c r="DT649" i="31"/>
  <c r="DT648" i="31"/>
  <c r="DS553" i="31"/>
  <c r="DS554" i="31"/>
  <c r="DS555" i="31" s="1"/>
  <c r="DS542" i="31"/>
  <c r="DS543" i="31"/>
  <c r="DS544" i="31" s="1"/>
  <c r="DT538" i="31"/>
  <c r="DT537" i="31"/>
  <c r="DT513" i="31"/>
  <c r="DT510" i="31"/>
  <c r="DS503" i="31"/>
  <c r="DS504" i="31"/>
  <c r="DS505" i="31" s="1"/>
  <c r="DT499" i="31"/>
  <c r="DT498" i="31"/>
  <c r="DY503" i="31" s="1"/>
  <c r="DS454" i="31"/>
  <c r="DX459" i="31" s="1"/>
  <c r="DS455" i="31"/>
  <c r="DX460" i="31" s="1"/>
  <c r="DX461" i="31" s="1"/>
  <c r="DS344" i="31"/>
  <c r="DS345" i="31"/>
  <c r="DS346" i="31" s="1"/>
  <c r="DT340" i="31"/>
  <c r="DY345" i="31" s="1"/>
  <c r="DY346" i="31" s="1"/>
  <c r="DT339" i="31"/>
  <c r="DY344" i="31" s="1"/>
  <c r="DR334" i="31"/>
  <c r="DR335" i="31" s="1"/>
  <c r="DS334" i="31"/>
  <c r="DS335" i="31" s="1"/>
  <c r="DT329" i="31"/>
  <c r="DT328" i="31"/>
  <c r="DR279" i="31"/>
  <c r="DS279" i="31"/>
  <c r="DR280" i="31"/>
  <c r="DR281" i="31" s="1"/>
  <c r="DS280" i="31"/>
  <c r="DS281" i="31" s="1"/>
  <c r="DT275" i="31"/>
  <c r="DT274" i="31"/>
  <c r="DS253" i="31"/>
  <c r="DS246" i="31"/>
  <c r="DS247" i="31"/>
  <c r="DS248" i="31" s="1"/>
  <c r="DT242" i="31"/>
  <c r="DT241" i="31"/>
  <c r="DS243" i="31"/>
  <c r="DX249" i="31" s="1"/>
  <c r="DS235" i="31"/>
  <c r="DS236" i="31"/>
  <c r="DS237" i="31" s="1"/>
  <c r="DT231" i="31"/>
  <c r="DY236" i="31" s="1"/>
  <c r="DY237" i="31" s="1"/>
  <c r="DT230" i="31"/>
  <c r="DY235" i="31" s="1"/>
  <c r="DT220" i="31"/>
  <c r="DY225" i="31" s="1"/>
  <c r="DY226" i="31" s="1"/>
  <c r="DT219" i="31"/>
  <c r="DY224" i="31" s="1"/>
  <c r="DT126" i="31"/>
  <c r="DT125" i="31"/>
  <c r="DT170" i="31"/>
  <c r="DT169" i="31"/>
  <c r="DT204" i="31"/>
  <c r="DY211" i="31" s="1"/>
  <c r="DT203" i="31"/>
  <c r="DY210" i="31" s="1"/>
  <c r="DY209" i="31" s="1"/>
  <c r="DT202" i="31"/>
  <c r="DY208" i="31" s="1"/>
  <c r="DS224" i="31"/>
  <c r="DS225" i="31"/>
  <c r="DS226" i="31" s="1"/>
  <c r="DS208" i="31"/>
  <c r="DS209" i="31"/>
  <c r="DS210" i="31"/>
  <c r="DS211" i="31"/>
  <c r="DS212" i="31" s="1"/>
  <c r="DS174" i="31"/>
  <c r="DS175" i="31"/>
  <c r="DS176" i="31" s="1"/>
  <c r="DS130" i="31"/>
  <c r="DS131" i="31"/>
  <c r="DS132" i="31" s="1"/>
  <c r="DS71" i="31"/>
  <c r="DS181" i="31" s="1"/>
  <c r="DX186" i="31" s="1"/>
  <c r="DX187" i="31" s="1"/>
  <c r="DS70" i="31"/>
  <c r="DS180" i="31" s="1"/>
  <c r="DX185" i="31" s="1"/>
  <c r="FL38" i="9"/>
  <c r="FL27" i="9"/>
  <c r="FL28" i="9"/>
  <c r="FL26" i="9"/>
  <c r="FL36" i="9"/>
  <c r="DT1432" i="31" l="1"/>
  <c r="DY246" i="31"/>
  <c r="DY247" i="31"/>
  <c r="DY248" i="31" s="1"/>
  <c r="DY514" i="31"/>
  <c r="DY521" i="31"/>
  <c r="EM86" i="10"/>
  <c r="EM60" i="10" s="1"/>
  <c r="DY512" i="31"/>
  <c r="DT171" i="31"/>
  <c r="DT127" i="31"/>
  <c r="DS254" i="31"/>
  <c r="DS1561" i="31"/>
  <c r="DS1560" i="31"/>
  <c r="DT1556" i="31"/>
  <c r="DT1561" i="31" s="1"/>
  <c r="DT1555" i="31"/>
  <c r="DT1560" i="31" s="1"/>
  <c r="DS1557" i="31"/>
  <c r="DT1557" i="31" s="1"/>
  <c r="DT1499" i="31" l="1"/>
  <c r="DS1562" i="31"/>
  <c r="DT1562" i="31"/>
  <c r="EK212" i="10"/>
  <c r="EL210" i="10" s="1"/>
  <c r="EL211" i="10" s="1"/>
  <c r="EK207" i="10"/>
  <c r="EL205" i="10" s="1"/>
  <c r="EL206" i="10" s="1"/>
  <c r="EK197" i="10"/>
  <c r="EL195" i="10" s="1"/>
  <c r="EL196" i="10" s="1"/>
  <c r="EK161" i="10"/>
  <c r="EL158" i="10" s="1"/>
  <c r="EL159" i="10" s="1"/>
  <c r="EK155" i="10"/>
  <c r="EL153" i="10" s="1"/>
  <c r="EL154" i="10" s="1"/>
  <c r="EK139" i="10"/>
  <c r="EK131" i="10"/>
  <c r="EL128" i="10" s="1"/>
  <c r="EL129" i="10" s="1"/>
  <c r="EK125" i="10"/>
  <c r="EL123" i="10" s="1"/>
  <c r="EL124" i="10" s="1"/>
  <c r="EK38" i="10"/>
  <c r="EK34" i="10"/>
  <c r="EK91" i="10" l="1"/>
  <c r="EK140" i="10"/>
  <c r="EL134" i="10"/>
  <c r="DR524" i="31"/>
  <c r="DQ524" i="31"/>
  <c r="DP524" i="31"/>
  <c r="DM524" i="31"/>
  <c r="DN524" i="31"/>
  <c r="DL524" i="31"/>
  <c r="EK142" i="10" l="1"/>
  <c r="DR1504" i="31"/>
  <c r="DQ1504" i="31"/>
  <c r="DP1504" i="31"/>
  <c r="DR1503" i="31"/>
  <c r="DQ1503" i="31"/>
  <c r="DP1503" i="31"/>
  <c r="EI1538" i="31" l="1"/>
  <c r="EJ1538" i="31"/>
  <c r="EK1538" i="31"/>
  <c r="EL1538" i="31"/>
  <c r="EM1538" i="31"/>
  <c r="EN1538" i="31"/>
  <c r="EO1538" i="31"/>
  <c r="EI1539" i="31"/>
  <c r="EJ1539" i="31"/>
  <c r="EK1539" i="31"/>
  <c r="EL1539" i="31"/>
  <c r="EM1539" i="31"/>
  <c r="EN1539" i="31"/>
  <c r="EO1539" i="31"/>
  <c r="ET1539" i="31"/>
  <c r="EO1524" i="31"/>
  <c r="EP1524" i="31" s="1"/>
  <c r="EQ1524" i="31" s="1"/>
  <c r="EI1544" i="31"/>
  <c r="EM1543" i="31"/>
  <c r="EL1543" i="31"/>
  <c r="EK1543" i="31"/>
  <c r="EJ1543" i="31"/>
  <c r="EN1535" i="31"/>
  <c r="EN1540" i="31" s="1"/>
  <c r="EM1535" i="31"/>
  <c r="EM1540" i="31" s="1"/>
  <c r="EL1535" i="31"/>
  <c r="EL1540" i="31" s="1"/>
  <c r="EK1535" i="31"/>
  <c r="EJ1535" i="31"/>
  <c r="EJ1540" i="31" s="1"/>
  <c r="EI1535" i="31"/>
  <c r="EI1540" i="31" s="1"/>
  <c r="EQ1538" i="31"/>
  <c r="EI1529" i="31"/>
  <c r="DO1529" i="31"/>
  <c r="EM1528" i="31"/>
  <c r="EL1528" i="31"/>
  <c r="EK1528" i="31"/>
  <c r="EJ1528" i="31"/>
  <c r="EI1528" i="31"/>
  <c r="DO1528" i="31"/>
  <c r="B1527" i="31"/>
  <c r="EI1525" i="31"/>
  <c r="DO1525" i="31"/>
  <c r="DN1524" i="31"/>
  <c r="EN1523" i="31"/>
  <c r="EO1523" i="31" s="1"/>
  <c r="EO1528" i="31" s="1"/>
  <c r="DN1523" i="31"/>
  <c r="DN1528" i="31" s="1"/>
  <c r="EV1597" i="31"/>
  <c r="EV1683" i="31" s="1"/>
  <c r="EU1597" i="31"/>
  <c r="EU1683" i="31" s="1"/>
  <c r="ET1597" i="31"/>
  <c r="ET1683" i="31" s="1"/>
  <c r="ES1597" i="31"/>
  <c r="ES1683" i="31" s="1"/>
  <c r="ER1597" i="31"/>
  <c r="ER1683" i="31" s="1"/>
  <c r="EQ1597" i="31"/>
  <c r="EQ1683" i="31" s="1"/>
  <c r="EP1597" i="31"/>
  <c r="EP1683" i="31" s="1"/>
  <c r="EO1597" i="31"/>
  <c r="EO1683" i="31" s="1"/>
  <c r="EN1597" i="31"/>
  <c r="EN1683" i="31" s="1"/>
  <c r="EM1597" i="31"/>
  <c r="EL1597" i="31"/>
  <c r="EK1597" i="31"/>
  <c r="EJ1597" i="31"/>
  <c r="EJ1683" i="31" s="1"/>
  <c r="EI1683" i="31"/>
  <c r="EI1684" i="31" s="1"/>
  <c r="EI1686" i="31" s="1"/>
  <c r="EU1682" i="31"/>
  <c r="ET1682" i="31"/>
  <c r="ES1682" i="31"/>
  <c r="ER1682" i="31"/>
  <c r="EQ1682" i="31"/>
  <c r="EP1682" i="31"/>
  <c r="EO1682" i="31"/>
  <c r="EN1682" i="31"/>
  <c r="EW1678" i="31"/>
  <c r="EV1677" i="31"/>
  <c r="EV1679" i="31" s="1"/>
  <c r="EI1605" i="31"/>
  <c r="DY1605" i="31"/>
  <c r="DT1605" i="31"/>
  <c r="EJ1604" i="31"/>
  <c r="EK1604" i="31" s="1"/>
  <c r="EL1604" i="31" s="1"/>
  <c r="EM1604" i="31" s="1"/>
  <c r="DW1604" i="31"/>
  <c r="DV1604" i="31"/>
  <c r="DU1604" i="31"/>
  <c r="DR1604" i="31"/>
  <c r="DQ1604" i="31"/>
  <c r="DP1604" i="31"/>
  <c r="EJ1603" i="31"/>
  <c r="DW1603" i="31"/>
  <c r="DV1603" i="31"/>
  <c r="DU1603" i="31"/>
  <c r="DR1603" i="31"/>
  <c r="DQ1603" i="31"/>
  <c r="DP1603" i="31"/>
  <c r="DV352" i="31"/>
  <c r="EA363" i="31" s="1"/>
  <c r="DU352" i="31"/>
  <c r="DT352" i="31"/>
  <c r="DR352" i="31"/>
  <c r="DW363" i="31" s="1"/>
  <c r="DQ352" i="31"/>
  <c r="DP352" i="31"/>
  <c r="DY1662" i="31"/>
  <c r="DX1662" i="31"/>
  <c r="DY1661" i="31"/>
  <c r="DX1661" i="31"/>
  <c r="DY1658" i="31"/>
  <c r="DX1658" i="31"/>
  <c r="EU1684" i="31" l="1"/>
  <c r="EU1686" i="31" s="1"/>
  <c r="EP1684" i="31"/>
  <c r="EP1686" i="31" s="1"/>
  <c r="EO1684" i="31"/>
  <c r="EO1686" i="31" s="1"/>
  <c r="EN1684" i="31"/>
  <c r="EN1686" i="31" s="1"/>
  <c r="ER1684" i="31"/>
  <c r="ER1686" i="31" s="1"/>
  <c r="ET1684" i="31"/>
  <c r="ET1686" i="31" s="1"/>
  <c r="ES1684" i="31"/>
  <c r="ES1686" i="31" s="1"/>
  <c r="EQ1684" i="31"/>
  <c r="EQ1686" i="31" s="1"/>
  <c r="DZ363" i="31"/>
  <c r="ET1689" i="31"/>
  <c r="ET769" i="31"/>
  <c r="EO1689" i="31"/>
  <c r="EO769" i="31"/>
  <c r="EU769" i="31"/>
  <c r="EU1689" i="31"/>
  <c r="EN770" i="31"/>
  <c r="ET770" i="31"/>
  <c r="ET1690" i="31"/>
  <c r="EN769" i="31"/>
  <c r="EO770" i="31"/>
  <c r="EO1690" i="31"/>
  <c r="EU770" i="31"/>
  <c r="EU1690" i="31"/>
  <c r="ES770" i="31"/>
  <c r="ES1690" i="31"/>
  <c r="EV770" i="31"/>
  <c r="EV1690" i="31"/>
  <c r="EP769" i="31"/>
  <c r="EP1689" i="31"/>
  <c r="EQ769" i="31"/>
  <c r="EQ1689" i="31"/>
  <c r="EP770" i="31"/>
  <c r="EP1690" i="31"/>
  <c r="ER769" i="31"/>
  <c r="ER1689" i="31"/>
  <c r="EQ770" i="31"/>
  <c r="EQ1690" i="31"/>
  <c r="EJ770" i="31"/>
  <c r="ES769" i="31"/>
  <c r="ES1689" i="31"/>
  <c r="ER770" i="31"/>
  <c r="ER1690" i="31"/>
  <c r="EI1548" i="31"/>
  <c r="EK1540" i="31"/>
  <c r="EI258" i="31"/>
  <c r="DX360" i="31"/>
  <c r="DV363" i="31"/>
  <c r="EW1597" i="31"/>
  <c r="EW1683" i="31" s="1"/>
  <c r="DY363" i="31"/>
  <c r="DW1605" i="31"/>
  <c r="EV1682" i="31"/>
  <c r="EV1684" i="31" s="1"/>
  <c r="EV1686" i="31" s="1"/>
  <c r="DU363" i="31"/>
  <c r="DY1663" i="31"/>
  <c r="EP1538" i="31"/>
  <c r="ES1539" i="31"/>
  <c r="ER1539" i="31"/>
  <c r="EQ1539" i="31"/>
  <c r="DX1604" i="31"/>
  <c r="EP1539" i="31"/>
  <c r="EO1535" i="31"/>
  <c r="EO1540" i="31" s="1"/>
  <c r="EI1545" i="31"/>
  <c r="EN1528" i="31"/>
  <c r="EN1548" i="31" s="1"/>
  <c r="EN1543" i="31"/>
  <c r="EJ1548" i="31"/>
  <c r="EM1548" i="31"/>
  <c r="EI1530" i="31"/>
  <c r="EI1550" i="31" s="1"/>
  <c r="EI1549" i="31"/>
  <c r="DN1529" i="31"/>
  <c r="DN1525" i="31"/>
  <c r="EJ1529" i="31"/>
  <c r="EK1544" i="31"/>
  <c r="EK1525" i="31"/>
  <c r="EK1529" i="31"/>
  <c r="EL1548" i="31"/>
  <c r="DO1530" i="31"/>
  <c r="EP1523" i="31"/>
  <c r="EJ1525" i="31"/>
  <c r="EK1548" i="31"/>
  <c r="ER1538" i="31"/>
  <c r="EO1543" i="31"/>
  <c r="EO1548" i="31"/>
  <c r="DQ1605" i="31"/>
  <c r="DR1605" i="31"/>
  <c r="DX1663" i="31"/>
  <c r="EJ1605" i="31"/>
  <c r="DP1605" i="31"/>
  <c r="DS352" i="31"/>
  <c r="DX363" i="31" s="1"/>
  <c r="DX1603" i="31"/>
  <c r="EW1677" i="31"/>
  <c r="EW1679" i="31" s="1"/>
  <c r="DV1605" i="31"/>
  <c r="DS1604" i="31"/>
  <c r="DS1603" i="31"/>
  <c r="DU1605" i="31"/>
  <c r="EK1603" i="31"/>
  <c r="ES775" i="31" l="1"/>
  <c r="ET774" i="31"/>
  <c r="EU775" i="31"/>
  <c r="EU774" i="31"/>
  <c r="ES774" i="31"/>
  <c r="ET775" i="31"/>
  <c r="EV775" i="31"/>
  <c r="EW770" i="31"/>
  <c r="EW775" i="31" s="1"/>
  <c r="EW1690" i="31"/>
  <c r="EQ771" i="31"/>
  <c r="EQ1691" i="31"/>
  <c r="ES1691" i="31"/>
  <c r="ES771" i="31"/>
  <c r="EP771" i="31"/>
  <c r="EP1691" i="31"/>
  <c r="EU771" i="31"/>
  <c r="EU1691" i="31"/>
  <c r="EO771" i="31"/>
  <c r="EO1691" i="31"/>
  <c r="EV769" i="31"/>
  <c r="EV1689" i="31"/>
  <c r="ER771" i="31"/>
  <c r="ER1691" i="31"/>
  <c r="EN771" i="31"/>
  <c r="ET771" i="31"/>
  <c r="ET1691" i="31"/>
  <c r="EK1549" i="31"/>
  <c r="EK1545" i="31"/>
  <c r="EJ1545" i="31"/>
  <c r="EI352" i="31"/>
  <c r="DS1605" i="31"/>
  <c r="DX1605" i="31"/>
  <c r="EW1682" i="31"/>
  <c r="EW1684" i="31" s="1"/>
  <c r="EW1686" i="31" s="1"/>
  <c r="DN1530" i="31"/>
  <c r="EJ1544" i="31"/>
  <c r="EK1530" i="31"/>
  <c r="EK1550" i="31" s="1"/>
  <c r="EJ1530" i="31"/>
  <c r="EJ1550" i="31" s="1"/>
  <c r="EJ1549" i="31"/>
  <c r="EP1535" i="31"/>
  <c r="EP1540" i="31" s="1"/>
  <c r="EP1528" i="31"/>
  <c r="EP1543" i="31"/>
  <c r="EQ1523" i="31"/>
  <c r="ES1538" i="31"/>
  <c r="EM1525" i="31"/>
  <c r="EM1529" i="31"/>
  <c r="EM1544" i="31"/>
  <c r="EK1605" i="31"/>
  <c r="EL1603" i="31"/>
  <c r="ES776" i="31" l="1"/>
  <c r="EU776" i="31"/>
  <c r="EV774" i="31"/>
  <c r="ET776" i="31"/>
  <c r="EW769" i="31"/>
  <c r="EW774" i="31" s="1"/>
  <c r="EW1689" i="31"/>
  <c r="EV771" i="31"/>
  <c r="EV776" i="31" s="1"/>
  <c r="EV1691" i="31"/>
  <c r="EM1545" i="31"/>
  <c r="EJ352" i="31"/>
  <c r="EJ363" i="31" s="1"/>
  <c r="EL1544" i="31"/>
  <c r="EL1525" i="31"/>
  <c r="EL1529" i="31"/>
  <c r="EP1548" i="31"/>
  <c r="EM1549" i="31"/>
  <c r="EM1530" i="31"/>
  <c r="EM1550" i="31" s="1"/>
  <c r="EQ1535" i="31"/>
  <c r="EQ1540" i="31" s="1"/>
  <c r="ET1538" i="31"/>
  <c r="ER1523" i="31"/>
  <c r="EQ1528" i="31"/>
  <c r="EQ1543" i="31"/>
  <c r="EN1529" i="31"/>
  <c r="EN1544" i="31"/>
  <c r="EN1525" i="31"/>
  <c r="EL1605" i="31"/>
  <c r="EM1603" i="31"/>
  <c r="EK352" i="31"/>
  <c r="EW771" i="31" l="1"/>
  <c r="EW776" i="31" s="1"/>
  <c r="EW1691" i="31"/>
  <c r="EN1545" i="31"/>
  <c r="EL1545" i="31"/>
  <c r="EK363" i="31"/>
  <c r="EL1549" i="31"/>
  <c r="EL1530" i="31"/>
  <c r="EL1550" i="31" s="1"/>
  <c r="EQ1548" i="31"/>
  <c r="ES1523" i="31"/>
  <c r="ER1528" i="31"/>
  <c r="ER1543" i="31"/>
  <c r="EN1549" i="31"/>
  <c r="EN1530" i="31"/>
  <c r="EN1550" i="31" s="1"/>
  <c r="EU1538" i="31"/>
  <c r="ER1535" i="31"/>
  <c r="ER1540" i="31" s="1"/>
  <c r="EO1529" i="31"/>
  <c r="EO1525" i="31"/>
  <c r="EO1544" i="31"/>
  <c r="EN1603" i="31"/>
  <c r="EM1605" i="31"/>
  <c r="EL352" i="31"/>
  <c r="EL363" i="31" s="1"/>
  <c r="EO1545" i="31" l="1"/>
  <c r="ET1523" i="31"/>
  <c r="ES1528" i="31"/>
  <c r="ES1543" i="31"/>
  <c r="EO1549" i="31"/>
  <c r="EO1530" i="31"/>
  <c r="EO1550" i="31" s="1"/>
  <c r="EP1529" i="31"/>
  <c r="EP1544" i="31"/>
  <c r="EP1525" i="31"/>
  <c r="ER1548" i="31"/>
  <c r="ES1535" i="31"/>
  <c r="ES1540" i="31" s="1"/>
  <c r="EO1603" i="31"/>
  <c r="EN1605" i="31"/>
  <c r="EM352" i="31"/>
  <c r="EM363" i="31" s="1"/>
  <c r="EP1545" i="31" l="1"/>
  <c r="EP1549" i="31"/>
  <c r="EP1530" i="31"/>
  <c r="EP1550" i="31" s="1"/>
  <c r="EU1539" i="31"/>
  <c r="ET1535" i="31"/>
  <c r="ET1540" i="31" s="1"/>
  <c r="ET1528" i="31"/>
  <c r="EU1523" i="31"/>
  <c r="ET1543" i="31"/>
  <c r="EQ1529" i="31"/>
  <c r="ER1524" i="31"/>
  <c r="EQ1544" i="31"/>
  <c r="EQ1525" i="31"/>
  <c r="ES1548" i="31"/>
  <c r="EP1603" i="31"/>
  <c r="EO1605" i="31"/>
  <c r="EN352" i="31"/>
  <c r="EN363" i="31" s="1"/>
  <c r="EQ1545" i="31" l="1"/>
  <c r="EU1535" i="31"/>
  <c r="EU1540" i="31" s="1"/>
  <c r="EU1528" i="31"/>
  <c r="EU1543" i="31"/>
  <c r="ER1529" i="31"/>
  <c r="ES1524" i="31"/>
  <c r="ER1544" i="31"/>
  <c r="ER1525" i="31"/>
  <c r="ET1548" i="31"/>
  <c r="EQ1549" i="31"/>
  <c r="EQ1530" i="31"/>
  <c r="EQ1550" i="31" s="1"/>
  <c r="EP1605" i="31"/>
  <c r="EQ1603" i="31"/>
  <c r="EO352" i="31"/>
  <c r="EO353" i="31" s="1"/>
  <c r="ER1545" i="31" l="1"/>
  <c r="EU1548" i="31"/>
  <c r="ES1529" i="31"/>
  <c r="ET1524" i="31"/>
  <c r="ES1544" i="31"/>
  <c r="ES1525" i="31"/>
  <c r="ER1549" i="31"/>
  <c r="ER1530" i="31"/>
  <c r="ER1550" i="31" s="1"/>
  <c r="EQ1605" i="31"/>
  <c r="ER1603" i="31"/>
  <c r="EP352" i="31"/>
  <c r="EP353" i="31" s="1"/>
  <c r="ES1545" i="31" l="1"/>
  <c r="ER1605" i="31"/>
  <c r="ET1529" i="31"/>
  <c r="EU1524" i="31"/>
  <c r="ET1525" i="31"/>
  <c r="ET1545" i="31" s="1"/>
  <c r="ET1544" i="31"/>
  <c r="ES1549" i="31"/>
  <c r="ES1530" i="31"/>
  <c r="ES1550" i="31" s="1"/>
  <c r="EQ352" i="31"/>
  <c r="EQ353" i="31" s="1"/>
  <c r="EU1529" i="31" l="1"/>
  <c r="EU1544" i="31"/>
  <c r="EU1525" i="31"/>
  <c r="EU1545" i="31" s="1"/>
  <c r="ET1549" i="31"/>
  <c r="ET1530" i="31"/>
  <c r="ET1550" i="31" s="1"/>
  <c r="ER352" i="31"/>
  <c r="ER353" i="31" s="1"/>
  <c r="EU1549" i="31" l="1"/>
  <c r="EU1530" i="31"/>
  <c r="EU1550" i="31" s="1"/>
  <c r="ES352" i="31"/>
  <c r="ES353" i="31" s="1"/>
  <c r="ET352" i="31" l="1"/>
  <c r="ET353" i="31" s="1"/>
  <c r="EU352" i="31" l="1"/>
  <c r="EU353" i="31" s="1"/>
  <c r="DU1561" i="31" l="1"/>
  <c r="DU1560" i="31"/>
  <c r="DU1557" i="31"/>
  <c r="DR454" i="31"/>
  <c r="DR455" i="31"/>
  <c r="DR345" i="31"/>
  <c r="DR346" i="31" s="1"/>
  <c r="DQ344" i="31"/>
  <c r="DR344" i="31"/>
  <c r="DP344" i="31"/>
  <c r="DR456" i="31" l="1"/>
  <c r="DW462" i="31" s="1"/>
  <c r="DU1562" i="31"/>
  <c r="EG125" i="10"/>
  <c r="EF125" i="10"/>
  <c r="EE125" i="10"/>
  <c r="DR543" i="31" l="1"/>
  <c r="DR544" i="31" s="1"/>
  <c r="DR542" i="31"/>
  <c r="DR520" i="31"/>
  <c r="DR521" i="31"/>
  <c r="DR522" i="31" s="1"/>
  <c r="DR509" i="31"/>
  <c r="DQ509" i="31"/>
  <c r="DR504" i="31"/>
  <c r="DR505" i="31" s="1"/>
  <c r="DR503" i="31"/>
  <c r="DR554" i="31"/>
  <c r="DR555" i="31" s="1"/>
  <c r="DR553" i="31"/>
  <c r="DR752" i="31"/>
  <c r="DR742" i="31"/>
  <c r="DR743" i="31" s="1"/>
  <c r="DR741" i="31"/>
  <c r="DS716" i="31"/>
  <c r="DR676" i="31"/>
  <c r="DR677" i="31" s="1"/>
  <c r="DR675" i="31"/>
  <c r="DR654" i="31"/>
  <c r="DR655" i="31" s="1"/>
  <c r="DR653" i="31"/>
  <c r="DR211" i="31"/>
  <c r="DR212" i="31" s="1"/>
  <c r="DR210" i="31"/>
  <c r="DR247" i="31"/>
  <c r="DR248" i="31" s="1"/>
  <c r="DR246" i="31"/>
  <c r="DR236" i="31"/>
  <c r="DR237" i="31" s="1"/>
  <c r="DR235" i="31"/>
  <c r="DR225" i="31"/>
  <c r="DR226" i="31" s="1"/>
  <c r="DR224" i="31"/>
  <c r="DR209" i="31"/>
  <c r="DR208" i="31"/>
  <c r="DR1481" i="31"/>
  <c r="DR1471" i="31"/>
  <c r="DR1472" i="31" s="1"/>
  <c r="DR1470" i="31"/>
  <c r="DR1460" i="31"/>
  <c r="DR1461" i="31" s="1"/>
  <c r="DR1459" i="31"/>
  <c r="DR1449" i="31"/>
  <c r="DR1450" i="31" s="1"/>
  <c r="DR1448" i="31"/>
  <c r="DR1438" i="31"/>
  <c r="DR1439" i="31" s="1"/>
  <c r="DR1437" i="31"/>
  <c r="DR1427" i="31"/>
  <c r="DR1428" i="31" s="1"/>
  <c r="DR1426" i="31"/>
  <c r="DR175" i="31"/>
  <c r="DR176" i="31" s="1"/>
  <c r="DR174" i="31"/>
  <c r="DR131" i="31"/>
  <c r="DR132" i="31" s="1"/>
  <c r="DR130" i="31"/>
  <c r="DQ175" i="31"/>
  <c r="DQ176" i="31" s="1"/>
  <c r="FJ55" i="9"/>
  <c r="FJ44" i="9"/>
  <c r="FI44" i="9"/>
  <c r="FJ41" i="9"/>
  <c r="DR1477" i="31"/>
  <c r="DR1487" i="31"/>
  <c r="DR693" i="31"/>
  <c r="DW698" i="31" s="1"/>
  <c r="DW699" i="31" s="1"/>
  <c r="DR682" i="31"/>
  <c r="DW687" i="31" s="1"/>
  <c r="DW688" i="31" s="1"/>
  <c r="DR681" i="31"/>
  <c r="DW686" i="31" s="1"/>
  <c r="DR71" i="31"/>
  <c r="DR181" i="31" s="1"/>
  <c r="DR70" i="31"/>
  <c r="DR180" i="31" s="1"/>
  <c r="DW185" i="31" s="1"/>
  <c r="DR253" i="31"/>
  <c r="DR252" i="31"/>
  <c r="DR215" i="31"/>
  <c r="FJ71" i="9" l="1"/>
  <c r="DR186" i="31"/>
  <c r="DR187" i="31" s="1"/>
  <c r="DW186" i="31"/>
  <c r="DW187" i="31" s="1"/>
  <c r="DR1482" i="31"/>
  <c r="DR1483" i="31" s="1"/>
  <c r="DR683" i="31"/>
  <c r="DW689" i="31" s="1"/>
  <c r="DR182" i="31"/>
  <c r="DW188" i="31" s="1"/>
  <c r="DR185" i="31"/>
  <c r="DR254" i="31"/>
  <c r="DP509" i="31" l="1"/>
  <c r="E35" i="204"/>
  <c r="E17" i="204"/>
  <c r="EJ125" i="10" l="1"/>
  <c r="EJ95" i="10"/>
  <c r="EJ96" i="10" s="1"/>
  <c r="EJ98" i="10" s="1"/>
  <c r="EJ149" i="10"/>
  <c r="EJ131" i="10"/>
  <c r="EJ212" i="10"/>
  <c r="EJ207" i="10"/>
  <c r="EJ197" i="10"/>
  <c r="EJ161" i="10"/>
  <c r="EJ155" i="10"/>
  <c r="EJ139" i="10"/>
  <c r="EJ140" i="10" s="1"/>
  <c r="EL50" i="11"/>
  <c r="EL46" i="11"/>
  <c r="EL45" i="11"/>
  <c r="EL44" i="11"/>
  <c r="EL43" i="11"/>
  <c r="EL42" i="11"/>
  <c r="EL40" i="11"/>
  <c r="EL39" i="11"/>
  <c r="EL34" i="11"/>
  <c r="EL33" i="11"/>
  <c r="EL32" i="11"/>
  <c r="EL20" i="11"/>
  <c r="EM20" i="11" s="1"/>
  <c r="EL27" i="11"/>
  <c r="EM27" i="11" s="1"/>
  <c r="EL26" i="11"/>
  <c r="EM26" i="11" s="1"/>
  <c r="EL25" i="11"/>
  <c r="EM25" i="11" s="1"/>
  <c r="EL24" i="11"/>
  <c r="EM24" i="11" s="1"/>
  <c r="EL23" i="11"/>
  <c r="EM23" i="11" s="1"/>
  <c r="EL22" i="11"/>
  <c r="EL19" i="11"/>
  <c r="EM19" i="11" s="1"/>
  <c r="EL18" i="11"/>
  <c r="EM18" i="11" s="1"/>
  <c r="EL16" i="11"/>
  <c r="EL15" i="11"/>
  <c r="EL12" i="11"/>
  <c r="EJ38" i="10"/>
  <c r="EJ34" i="10"/>
  <c r="EM22" i="11" l="1"/>
  <c r="EM16" i="11"/>
  <c r="EJ142" i="10"/>
  <c r="EJ97" i="10"/>
  <c r="EJ91" i="10"/>
  <c r="EM40" i="11"/>
  <c r="EM50" i="11"/>
  <c r="EN50" i="11" s="1"/>
  <c r="EM42" i="11"/>
  <c r="EN42" i="11" s="1"/>
  <c r="EM12" i="11"/>
  <c r="EN12" i="11" s="1"/>
  <c r="EM44" i="11"/>
  <c r="EM32" i="11"/>
  <c r="EM43" i="11"/>
  <c r="EN43" i="11" s="1"/>
  <c r="EM34" i="11"/>
  <c r="EM45" i="11"/>
  <c r="EN45" i="11" s="1"/>
  <c r="EJ146" i="10"/>
  <c r="EM15" i="11"/>
  <c r="EM33" i="11"/>
  <c r="EN33" i="11" s="1"/>
  <c r="EM39" i="11"/>
  <c r="EM46" i="11"/>
  <c r="EJ135" i="10"/>
  <c r="EJ138" i="10"/>
  <c r="EJ143" i="10" s="1"/>
  <c r="EJ150" i="10"/>
  <c r="EN34" i="11" l="1"/>
  <c r="EK135" i="10"/>
  <c r="EN15" i="11"/>
  <c r="EN44" i="11"/>
  <c r="EN46" i="11"/>
  <c r="EN39" i="11"/>
  <c r="EN40" i="11"/>
  <c r="EN32" i="11"/>
  <c r="EJ147" i="10"/>
  <c r="EJ148" i="10" s="1"/>
  <c r="DQ1471" i="31"/>
  <c r="DQ1472" i="31" s="1"/>
  <c r="DQ1470" i="31"/>
  <c r="DQ1460" i="31"/>
  <c r="DQ1461" i="31" s="1"/>
  <c r="DQ1459" i="31"/>
  <c r="DQ1449" i="31"/>
  <c r="DQ1450" i="31" s="1"/>
  <c r="DQ1448" i="31"/>
  <c r="DQ1438" i="31"/>
  <c r="DQ1439" i="31" s="1"/>
  <c r="DQ1427" i="31"/>
  <c r="DQ1428" i="31" s="1"/>
  <c r="DP1427" i="31"/>
  <c r="DP1428" i="31" s="1"/>
  <c r="DQ1426" i="31"/>
  <c r="DP1426" i="31"/>
  <c r="EL138" i="10" l="1"/>
  <c r="EL143" i="10" s="1"/>
  <c r="EL135" i="10"/>
  <c r="EL137" i="10" s="1"/>
  <c r="DQ536" i="31"/>
  <c r="DP536" i="31"/>
  <c r="DM536" i="31"/>
  <c r="DN536" i="31"/>
  <c r="DL536" i="31"/>
  <c r="DO536" i="31" l="1"/>
  <c r="DQ752" i="31"/>
  <c r="DQ742" i="31"/>
  <c r="DQ743" i="31" s="1"/>
  <c r="DQ741" i="31"/>
  <c r="DQ676" i="31"/>
  <c r="DQ677" i="31" s="1"/>
  <c r="DQ675" i="31"/>
  <c r="DQ654" i="31"/>
  <c r="DQ655" i="31" s="1"/>
  <c r="DQ653" i="31"/>
  <c r="DQ345" i="31"/>
  <c r="DQ346" i="31" s="1"/>
  <c r="DQ334" i="31"/>
  <c r="FI41" i="9"/>
  <c r="DQ1477" i="31"/>
  <c r="DQ1476" i="31"/>
  <c r="DQ692" i="31"/>
  <c r="DQ693" i="31"/>
  <c r="DQ682" i="31"/>
  <c r="DV687" i="31" s="1"/>
  <c r="DV688" i="31" s="1"/>
  <c r="DQ681" i="31"/>
  <c r="DQ554" i="31"/>
  <c r="DQ555" i="31" s="1"/>
  <c r="DQ553" i="31"/>
  <c r="DQ543" i="31"/>
  <c r="DQ544" i="31" s="1"/>
  <c r="DQ542" i="31"/>
  <c r="DQ521" i="31"/>
  <c r="DQ522" i="31" s="1"/>
  <c r="DQ520" i="31"/>
  <c r="DQ504" i="31"/>
  <c r="DQ505" i="31" s="1"/>
  <c r="DQ503" i="31"/>
  <c r="DQ280" i="31"/>
  <c r="DQ281" i="31" s="1"/>
  <c r="DQ279" i="31"/>
  <c r="DQ455" i="31"/>
  <c r="DQ454" i="31"/>
  <c r="DQ247" i="31"/>
  <c r="DQ248" i="31" s="1"/>
  <c r="DQ246" i="31"/>
  <c r="DQ236" i="31"/>
  <c r="DQ237" i="31" s="1"/>
  <c r="DQ235" i="31"/>
  <c r="DQ225" i="31"/>
  <c r="DQ226" i="31" s="1"/>
  <c r="DQ224" i="31"/>
  <c r="DQ211" i="31"/>
  <c r="DQ212" i="31" s="1"/>
  <c r="DQ210" i="31"/>
  <c r="DQ209" i="31"/>
  <c r="DQ208" i="31"/>
  <c r="DQ253" i="31"/>
  <c r="DQ252" i="31"/>
  <c r="DQ174" i="31"/>
  <c r="DQ131" i="31"/>
  <c r="DQ132" i="31" s="1"/>
  <c r="DQ130" i="31"/>
  <c r="DQ71" i="31"/>
  <c r="DQ70" i="31"/>
  <c r="DQ180" i="31" s="1"/>
  <c r="DV185" i="31" s="1"/>
  <c r="DQ886" i="31" l="1"/>
  <c r="DV1481" i="31"/>
  <c r="DV1482" i="31"/>
  <c r="DV1483" i="31" s="1"/>
  <c r="DV686" i="31"/>
  <c r="DT1476" i="31"/>
  <c r="DQ1481" i="31"/>
  <c r="DQ181" i="31"/>
  <c r="DV186" i="31" s="1"/>
  <c r="DV187" i="31" s="1"/>
  <c r="DQ254" i="31"/>
  <c r="DV1488" i="31" l="1"/>
  <c r="FV126" i="9" l="1"/>
  <c r="FW51" i="9" l="1"/>
  <c r="FM51" i="9"/>
  <c r="ET41" i="11"/>
  <c r="ET46" i="11"/>
  <c r="EO102" i="10"/>
  <c r="DV1561" i="31"/>
  <c r="DW1561" i="31"/>
  <c r="DW1560" i="31"/>
  <c r="DV1560" i="31"/>
  <c r="DW1557" i="31"/>
  <c r="DV1557" i="31"/>
  <c r="DX1555" i="31"/>
  <c r="DW1652" i="31"/>
  <c r="DV1652" i="31"/>
  <c r="DU1652" i="31"/>
  <c r="DW1651" i="31"/>
  <c r="DV1651" i="31"/>
  <c r="DU1651" i="31"/>
  <c r="DW1648" i="31"/>
  <c r="DV1648" i="31"/>
  <c r="DU1648" i="31"/>
  <c r="DX1643" i="31"/>
  <c r="DW1643" i="31"/>
  <c r="DV1643" i="31"/>
  <c r="DU1643" i="31"/>
  <c r="DW1609" i="31"/>
  <c r="DU1609" i="31"/>
  <c r="DW1608" i="31"/>
  <c r="DU1608" i="31"/>
  <c r="DU749" i="31"/>
  <c r="DV742" i="31"/>
  <c r="DU742" i="31"/>
  <c r="DU737" i="31" s="1"/>
  <c r="DZ737" i="31" s="1"/>
  <c r="EE737" i="31" s="1"/>
  <c r="DU736" i="31"/>
  <c r="DZ736" i="31" s="1"/>
  <c r="EE736" i="31" s="1"/>
  <c r="DW665" i="31"/>
  <c r="DV665" i="31"/>
  <c r="DU665" i="31"/>
  <c r="DU664" i="31"/>
  <c r="DW661" i="31"/>
  <c r="DV661" i="31"/>
  <c r="DU661" i="31"/>
  <c r="DW334" i="31"/>
  <c r="DV334" i="31"/>
  <c r="DU334" i="31"/>
  <c r="DU329" i="31" s="1"/>
  <c r="EE738" i="31" l="1"/>
  <c r="DZ755" i="31"/>
  <c r="DU330" i="31"/>
  <c r="DZ329" i="31"/>
  <c r="EE329" i="31" s="1"/>
  <c r="DZ738" i="31"/>
  <c r="EE744" i="31" s="1"/>
  <c r="DU460" i="31"/>
  <c r="DU461" i="31" s="1"/>
  <c r="DU459" i="31"/>
  <c r="DX1560" i="31"/>
  <c r="DU536" i="31"/>
  <c r="ET34" i="11"/>
  <c r="DW1562" i="31"/>
  <c r="DU1610" i="31"/>
  <c r="EQ101" i="10"/>
  <c r="DU1520" i="31"/>
  <c r="DW1653" i="31"/>
  <c r="DU1653" i="31"/>
  <c r="DU215" i="31"/>
  <c r="DU127" i="31"/>
  <c r="DU171" i="31"/>
  <c r="DU550" i="31"/>
  <c r="DU738" i="31"/>
  <c r="DV1653" i="31"/>
  <c r="DU341" i="31"/>
  <c r="DU232" i="31"/>
  <c r="DX1608" i="31"/>
  <c r="DV1562" i="31"/>
  <c r="DU205" i="31"/>
  <c r="DU500" i="31"/>
  <c r="DZ678" i="31"/>
  <c r="DX1609" i="31"/>
  <c r="DX1651" i="31"/>
  <c r="DV1608" i="31"/>
  <c r="DV1609" i="31"/>
  <c r="DU221" i="31"/>
  <c r="DU243" i="31"/>
  <c r="DU456" i="31"/>
  <c r="DU650" i="31"/>
  <c r="DW1520" i="31"/>
  <c r="DU539" i="31"/>
  <c r="DY454" i="31"/>
  <c r="DV460" i="31"/>
  <c r="DV461" i="31" s="1"/>
  <c r="DW1610" i="31"/>
  <c r="DZ213" i="31" l="1"/>
  <c r="ES101" i="10"/>
  <c r="ES102" i="10" s="1"/>
  <c r="EV102" i="10"/>
  <c r="DZ347" i="31"/>
  <c r="DZ227" i="31"/>
  <c r="DZ249" i="31"/>
  <c r="DZ545" i="31"/>
  <c r="DZ556" i="31"/>
  <c r="DZ133" i="31"/>
  <c r="DZ177" i="31"/>
  <c r="ED459" i="31"/>
  <c r="ED263" i="31"/>
  <c r="DY455" i="31"/>
  <c r="DZ238" i="31"/>
  <c r="ER101" i="10"/>
  <c r="FW59" i="9"/>
  <c r="ER106" i="10"/>
  <c r="DU636" i="31"/>
  <c r="DZ265" i="31"/>
  <c r="EE271" i="31" s="1"/>
  <c r="DZ656" i="31"/>
  <c r="DZ506" i="31"/>
  <c r="DV456" i="31"/>
  <c r="EA462" i="31" s="1"/>
  <c r="DV459" i="31"/>
  <c r="DZ744" i="31"/>
  <c r="DZ456" i="31"/>
  <c r="EE462" i="31" s="1"/>
  <c r="DV1520" i="31"/>
  <c r="DX1610" i="31"/>
  <c r="DV1610" i="31"/>
  <c r="DX1520" i="31"/>
  <c r="ES104" i="10" l="1"/>
  <c r="ES186" i="10"/>
  <c r="EW104" i="10"/>
  <c r="FY59" i="9"/>
  <c r="EW101" i="10"/>
  <c r="ED460" i="31"/>
  <c r="DZ462" i="31"/>
  <c r="DY456" i="31"/>
  <c r="DV262" i="31"/>
  <c r="EW102" i="10" l="1"/>
  <c r="EW186" i="10"/>
  <c r="ED462" i="31"/>
  <c r="EC268" i="31"/>
  <c r="EI131" i="10"/>
  <c r="EI125" i="10"/>
  <c r="EJ123" i="10" s="1"/>
  <c r="EJ124" i="10" s="1"/>
  <c r="EI212" i="10"/>
  <c r="EJ210" i="10" s="1"/>
  <c r="EJ211" i="10" s="1"/>
  <c r="EI207" i="10"/>
  <c r="EJ205" i="10" s="1"/>
  <c r="EJ206" i="10" s="1"/>
  <c r="EI197" i="10"/>
  <c r="EJ195" i="10" s="1"/>
  <c r="EJ196" i="10" s="1"/>
  <c r="EI161" i="10"/>
  <c r="EJ158" i="10" s="1"/>
  <c r="EJ159" i="10" s="1"/>
  <c r="EI155" i="10"/>
  <c r="EJ153" i="10" s="1"/>
  <c r="EJ154" i="10" s="1"/>
  <c r="EI139" i="10"/>
  <c r="EJ134" i="10" s="1"/>
  <c r="EJ137" i="10" s="1"/>
  <c r="EI135" i="10"/>
  <c r="EM135" i="10" s="1"/>
  <c r="EK47" i="11"/>
  <c r="EK35" i="11"/>
  <c r="EI38" i="10"/>
  <c r="EI34" i="10"/>
  <c r="EI91" i="10" l="1"/>
  <c r="EK36" i="11"/>
  <c r="EL35" i="11"/>
  <c r="EL47" i="11"/>
  <c r="EJ128" i="10"/>
  <c r="EJ129" i="10" s="1"/>
  <c r="DP1471" i="31"/>
  <c r="DP742" i="31"/>
  <c r="DP345" i="31"/>
  <c r="DP346" i="31" s="1"/>
  <c r="DP334" i="31"/>
  <c r="EL36" i="11" l="1"/>
  <c r="EM47" i="11"/>
  <c r="EM35" i="11"/>
  <c r="DT1647" i="31"/>
  <c r="DT1652" i="31" s="1"/>
  <c r="DT1646" i="31"/>
  <c r="EN35" i="11" l="1"/>
  <c r="EN47" i="11"/>
  <c r="DP521" i="31"/>
  <c r="DP522" i="31" s="1"/>
  <c r="DP520" i="31"/>
  <c r="DP175" i="31" l="1"/>
  <c r="DP176" i="31" s="1"/>
  <c r="DP174" i="31"/>
  <c r="DP131" i="31"/>
  <c r="DP132" i="31" s="1"/>
  <c r="DP130" i="31"/>
  <c r="DP1460" i="31"/>
  <c r="DP1461" i="31" s="1"/>
  <c r="DP1459" i="31"/>
  <c r="DP1449" i="31"/>
  <c r="DP1450" i="31" s="1"/>
  <c r="DP1448" i="31"/>
  <c r="DP1438" i="31"/>
  <c r="DP1439" i="31" s="1"/>
  <c r="DP1437" i="31"/>
  <c r="DP752" i="31"/>
  <c r="DP720" i="31"/>
  <c r="DP719" i="31"/>
  <c r="DP687" i="31"/>
  <c r="DP676" i="31"/>
  <c r="DP677" i="31" s="1"/>
  <c r="DP675" i="31"/>
  <c r="DP665" i="31"/>
  <c r="DP664" i="31"/>
  <c r="DP654" i="31"/>
  <c r="DP655" i="31" s="1"/>
  <c r="DP653" i="31"/>
  <c r="DP554" i="31"/>
  <c r="DP555" i="31" s="1"/>
  <c r="DP553" i="31"/>
  <c r="DP543" i="31"/>
  <c r="DP544" i="31" s="1"/>
  <c r="DP542" i="31"/>
  <c r="DP504" i="31"/>
  <c r="DP505" i="31" s="1"/>
  <c r="DP503" i="31"/>
  <c r="DP280" i="31"/>
  <c r="DP281" i="31" s="1"/>
  <c r="DP279" i="31"/>
  <c r="DP247" i="31"/>
  <c r="DP248" i="31" s="1"/>
  <c r="DP246" i="31"/>
  <c r="DP236" i="31"/>
  <c r="DP237" i="31" s="1"/>
  <c r="DP235" i="31"/>
  <c r="DP225" i="31"/>
  <c r="DP226" i="31" s="1"/>
  <c r="DP224" i="31"/>
  <c r="DP211" i="31"/>
  <c r="DP212" i="31" s="1"/>
  <c r="DP210" i="31"/>
  <c r="DP209" i="31"/>
  <c r="DP208" i="31"/>
  <c r="FH44" i="9"/>
  <c r="FH41" i="9"/>
  <c r="DP692" i="31"/>
  <c r="DT692" i="31" s="1"/>
  <c r="DY697" i="31" s="1"/>
  <c r="DP1477" i="31"/>
  <c r="DP693" i="31"/>
  <c r="DT693" i="31" s="1"/>
  <c r="DY698" i="31" s="1"/>
  <c r="DY699" i="31" s="1"/>
  <c r="DP682" i="31"/>
  <c r="DP681" i="31"/>
  <c r="DU686" i="31" s="1"/>
  <c r="DP71" i="31"/>
  <c r="DP181" i="31" s="1"/>
  <c r="DU186" i="31" s="1"/>
  <c r="DU187" i="31" s="1"/>
  <c r="DP70" i="31"/>
  <c r="DP180" i="31" s="1"/>
  <c r="DP253" i="31"/>
  <c r="DT252" i="31"/>
  <c r="DU1482" i="31" l="1"/>
  <c r="DU1483" i="31" s="1"/>
  <c r="FH71" i="9"/>
  <c r="DU185" i="31"/>
  <c r="DT180" i="31"/>
  <c r="DY185" i="31" s="1"/>
  <c r="DU643" i="31"/>
  <c r="DU644" i="31" s="1"/>
  <c r="DU687" i="31"/>
  <c r="DU688" i="31" s="1"/>
  <c r="DU197" i="31"/>
  <c r="DU198" i="31" s="1"/>
  <c r="DT253" i="31"/>
  <c r="DT254" i="31" s="1"/>
  <c r="DT1477" i="31"/>
  <c r="DP1482" i="31"/>
  <c r="FT106" i="9"/>
  <c r="DU76" i="31"/>
  <c r="DU77" i="31" s="1"/>
  <c r="DP254" i="31"/>
  <c r="DU182" i="31"/>
  <c r="DU75" i="31"/>
  <c r="DZ188" i="31" l="1"/>
  <c r="FT107" i="9"/>
  <c r="DU69" i="31"/>
  <c r="FM96" i="9"/>
  <c r="FT96" i="9" s="1"/>
  <c r="DZ50" i="31"/>
  <c r="FM97" i="9"/>
  <c r="DU47" i="31"/>
  <c r="DU642" i="31"/>
  <c r="DU639" i="31"/>
  <c r="DZ645" i="31" s="1"/>
  <c r="DU72" i="31"/>
  <c r="DZ78" i="31" s="1"/>
  <c r="FT108" i="9" l="1"/>
  <c r="FM98" i="9"/>
  <c r="FT97" i="9"/>
  <c r="FT98" i="9" s="1"/>
  <c r="DU190" i="31"/>
  <c r="DU196" i="31"/>
  <c r="DU193" i="31"/>
  <c r="DZ199" i="31" s="1"/>
  <c r="EV543" i="31"/>
  <c r="EW543" i="31"/>
  <c r="EU543" i="31"/>
  <c r="DM509" i="31"/>
  <c r="DN509" i="31"/>
  <c r="DO510" i="31"/>
  <c r="DT508" i="31" l="1"/>
  <c r="EG139" i="10" l="1"/>
  <c r="EG131" i="10" l="1"/>
  <c r="EH101" i="10"/>
  <c r="EG202" i="10"/>
  <c r="EG212" i="10"/>
  <c r="EG207" i="10"/>
  <c r="EG197" i="10"/>
  <c r="EG161" i="10"/>
  <c r="EG155" i="10"/>
  <c r="EH138" i="10"/>
  <c r="EG38" i="10"/>
  <c r="EG34" i="10"/>
  <c r="EG91" i="10" l="1"/>
  <c r="EI34" i="11"/>
  <c r="EJ47" i="11"/>
  <c r="EJ35" i="11"/>
  <c r="EI17" i="11"/>
  <c r="EI14" i="11"/>
  <c r="EJ334" i="31" l="1"/>
  <c r="DN70" i="31" l="1"/>
  <c r="DO753" i="31" l="1"/>
  <c r="EN554" i="31"/>
  <c r="EL554" i="31"/>
  <c r="EM554" i="31"/>
  <c r="DK460" i="31"/>
  <c r="DN1438" i="31"/>
  <c r="DN1439" i="31" s="1"/>
  <c r="DN1427" i="31"/>
  <c r="DN1428" i="31" s="1"/>
  <c r="DN1426" i="31"/>
  <c r="FG28" i="9" l="1"/>
  <c r="DO264" i="31"/>
  <c r="DO263" i="31"/>
  <c r="DO275" i="31"/>
  <c r="DO274" i="31"/>
  <c r="DO329" i="31"/>
  <c r="DO328" i="31"/>
  <c r="DO340" i="31"/>
  <c r="DO339" i="31"/>
  <c r="DT344" i="31" s="1"/>
  <c r="DO649" i="31"/>
  <c r="DO648" i="31"/>
  <c r="DO671" i="31"/>
  <c r="DO670" i="31"/>
  <c r="DN1432" i="31"/>
  <c r="DN693" i="31"/>
  <c r="DN692" i="31"/>
  <c r="DO1476" i="31"/>
  <c r="DO1433" i="31"/>
  <c r="DO1444" i="31"/>
  <c r="DO1443" i="31"/>
  <c r="DO1466" i="31"/>
  <c r="DO1465" i="31"/>
  <c r="DO1455" i="31"/>
  <c r="DO1454" i="31"/>
  <c r="DO1422" i="31"/>
  <c r="DO1421" i="31"/>
  <c r="DO747" i="31"/>
  <c r="DT752" i="31" s="1"/>
  <c r="DO737" i="31"/>
  <c r="DO736" i="31"/>
  <c r="DO715" i="31"/>
  <c r="DO714" i="31"/>
  <c r="DO549" i="31"/>
  <c r="DO548" i="31"/>
  <c r="DO538" i="31"/>
  <c r="DO537" i="31"/>
  <c r="DN515" i="31"/>
  <c r="DO499" i="31"/>
  <c r="DO498" i="31"/>
  <c r="DN467" i="31"/>
  <c r="DN455" i="31"/>
  <c r="DS460" i="31" s="1"/>
  <c r="DS461" i="31" s="1"/>
  <c r="DN454" i="31"/>
  <c r="DS459" i="31" s="1"/>
  <c r="DO204" i="31"/>
  <c r="DO203" i="31"/>
  <c r="DO202" i="31"/>
  <c r="DN253" i="31"/>
  <c r="DM253" i="31"/>
  <c r="DN252" i="31"/>
  <c r="DM252" i="31"/>
  <c r="DO242" i="31"/>
  <c r="DO241" i="31"/>
  <c r="DN243" i="31"/>
  <c r="DS249" i="31" s="1"/>
  <c r="DO231" i="31"/>
  <c r="DT236" i="31" s="1"/>
  <c r="DO230" i="31"/>
  <c r="DT235" i="31" s="1"/>
  <c r="DO220" i="31"/>
  <c r="DO219" i="31"/>
  <c r="DI180" i="31"/>
  <c r="DN175" i="31"/>
  <c r="DN176" i="31" s="1"/>
  <c r="DN174" i="31"/>
  <c r="DO170" i="31"/>
  <c r="DO169" i="31"/>
  <c r="DO126" i="31"/>
  <c r="DO125" i="31"/>
  <c r="DN71" i="31"/>
  <c r="DN181" i="31" s="1"/>
  <c r="DN180" i="31"/>
  <c r="FG36" i="9"/>
  <c r="FF44" i="9"/>
  <c r="FF41" i="9"/>
  <c r="FG27" i="9"/>
  <c r="FG26" i="9"/>
  <c r="DT1459" i="31" l="1"/>
  <c r="DT1460" i="31"/>
  <c r="DT1470" i="31"/>
  <c r="DT1471" i="31"/>
  <c r="DT1448" i="31"/>
  <c r="DT1449" i="31"/>
  <c r="DT1438" i="31"/>
  <c r="DT1481" i="31"/>
  <c r="DT542" i="31"/>
  <c r="DT540" i="31"/>
  <c r="DT541" i="31"/>
  <c r="DT1426" i="31"/>
  <c r="DT1427" i="31"/>
  <c r="DT246" i="31"/>
  <c r="DT247" i="31"/>
  <c r="DT543" i="31"/>
  <c r="DT676" i="31"/>
  <c r="DT334" i="31"/>
  <c r="DT741" i="31"/>
  <c r="DT653" i="31"/>
  <c r="DT279" i="31"/>
  <c r="DT503" i="31"/>
  <c r="DT742" i="31"/>
  <c r="DT654" i="31"/>
  <c r="DT280" i="31"/>
  <c r="DT225" i="31"/>
  <c r="DT211" i="31"/>
  <c r="DN1437" i="31"/>
  <c r="DS1437" i="31"/>
  <c r="DT345" i="31"/>
  <c r="DT224" i="31"/>
  <c r="DT675" i="31"/>
  <c r="DT333" i="31"/>
  <c r="DL746" i="31"/>
  <c r="DM746" i="31"/>
  <c r="DN746" i="31"/>
  <c r="DK746" i="31"/>
  <c r="DN185" i="31"/>
  <c r="DM254" i="31"/>
  <c r="DN254" i="31"/>
  <c r="DZ328" i="31" l="1"/>
  <c r="EE328" i="31" s="1"/>
  <c r="EE330" i="31" s="1"/>
  <c r="DV1487" i="31"/>
  <c r="DV23" i="31" s="1"/>
  <c r="EA28" i="31" s="1"/>
  <c r="DW741" i="31"/>
  <c r="DV741" i="31"/>
  <c r="DV1489" i="31" l="1"/>
  <c r="DZ330" i="31"/>
  <c r="DU268" i="31"/>
  <c r="EE336" i="31" l="1"/>
  <c r="DZ336" i="31"/>
  <c r="DZ268" i="31"/>
  <c r="EO210" i="31" l="1"/>
  <c r="EP210" i="31"/>
  <c r="EQ210" i="31"/>
  <c r="ET210" i="31"/>
  <c r="EU210" i="31"/>
  <c r="EV210" i="31"/>
  <c r="EW210" i="31"/>
  <c r="EO211" i="31"/>
  <c r="EP211" i="31"/>
  <c r="EQ211" i="31"/>
  <c r="ET211" i="31"/>
  <c r="EU211" i="31"/>
  <c r="EV211" i="31"/>
  <c r="EW211" i="31"/>
  <c r="B3" i="11" l="1"/>
  <c r="B3" i="10"/>
  <c r="B12" i="9"/>
  <c r="B9" i="31"/>
  <c r="EL19" i="31" l="1"/>
  <c r="EM19" i="31" l="1"/>
  <c r="EN19" i="31" s="1"/>
  <c r="EO19" i="31" s="1"/>
  <c r="EP19" i="31" s="1"/>
  <c r="EQ19" i="31" s="1"/>
  <c r="ER19" i="31" s="1"/>
  <c r="ES19" i="31" s="1"/>
  <c r="ET19" i="31" s="1"/>
  <c r="EU19" i="31" s="1"/>
  <c r="EV19" i="31" s="1"/>
  <c r="EW19" i="31" s="1"/>
  <c r="DK1488" i="31" l="1"/>
  <c r="DM752" i="31" l="1"/>
  <c r="DM741" i="31"/>
  <c r="DM742" i="31"/>
  <c r="DM719" i="31"/>
  <c r="DM720" i="31"/>
  <c r="DM693" i="31"/>
  <c r="DM692" i="31"/>
  <c r="DM681" i="31"/>
  <c r="DR686" i="31" s="1"/>
  <c r="DM682" i="31"/>
  <c r="DR687" i="31" s="1"/>
  <c r="DR688" i="31" s="1"/>
  <c r="DM675" i="31"/>
  <c r="DM676" i="31"/>
  <c r="DM653" i="31"/>
  <c r="DM654" i="31"/>
  <c r="DM553" i="31"/>
  <c r="DM554" i="31"/>
  <c r="DM555" i="31" s="1"/>
  <c r="DM542" i="31"/>
  <c r="DM543" i="31"/>
  <c r="DM544" i="31" s="1"/>
  <c r="DM503" i="31"/>
  <c r="DM504" i="31"/>
  <c r="DM454" i="31"/>
  <c r="DR459" i="31" s="1"/>
  <c r="DM455" i="31"/>
  <c r="DR460" i="31" s="1"/>
  <c r="DR461" i="31" s="1"/>
  <c r="DM345" i="31"/>
  <c r="DM334" i="31"/>
  <c r="DM279" i="31"/>
  <c r="DM280" i="31"/>
  <c r="DM246" i="31"/>
  <c r="DM247" i="31"/>
  <c r="DM235" i="31"/>
  <c r="DM236" i="31"/>
  <c r="DM224" i="31"/>
  <c r="DM225" i="31"/>
  <c r="DM208" i="31"/>
  <c r="DM209" i="31"/>
  <c r="DM210" i="31"/>
  <c r="DM211" i="31"/>
  <c r="DM174" i="31"/>
  <c r="DM175" i="31"/>
  <c r="DM130" i="31"/>
  <c r="DM131" i="31"/>
  <c r="DM71" i="31"/>
  <c r="DM70" i="31"/>
  <c r="FE44" i="9"/>
  <c r="EF212" i="10" l="1"/>
  <c r="EE212" i="10"/>
  <c r="EF207" i="10"/>
  <c r="EE207" i="10"/>
  <c r="EF202" i="10"/>
  <c r="EE202" i="10"/>
  <c r="EF197" i="10"/>
  <c r="EE197" i="10"/>
  <c r="EF161" i="10"/>
  <c r="EE161" i="10"/>
  <c r="EF155" i="10"/>
  <c r="EE155" i="10"/>
  <c r="EF141" i="10"/>
  <c r="EF139" i="10"/>
  <c r="EE139" i="10"/>
  <c r="EE140" i="10" s="1"/>
  <c r="EE131" i="10"/>
  <c r="EG50" i="11"/>
  <c r="EG46" i="11"/>
  <c r="EG45" i="11"/>
  <c r="EG44" i="11"/>
  <c r="EG43" i="11"/>
  <c r="EG42" i="11"/>
  <c r="EG40" i="11"/>
  <c r="EG39" i="11"/>
  <c r="EG35" i="11"/>
  <c r="EG33" i="11"/>
  <c r="EG32" i="11"/>
  <c r="EG26" i="11"/>
  <c r="EG27" i="11"/>
  <c r="EG25" i="11"/>
  <c r="EG24" i="11"/>
  <c r="EG23" i="11"/>
  <c r="EG22" i="11"/>
  <c r="EG20" i="11"/>
  <c r="EG19" i="11"/>
  <c r="EG18" i="11"/>
  <c r="EG16" i="11"/>
  <c r="EG15" i="11"/>
  <c r="EG12" i="11"/>
  <c r="EF49" i="10"/>
  <c r="EF38" i="10"/>
  <c r="EF34" i="10"/>
  <c r="EE38" i="10"/>
  <c r="EE34" i="10"/>
  <c r="ED34" i="10"/>
  <c r="EE20" i="10"/>
  <c r="EF91" i="10" l="1"/>
  <c r="ED91" i="10"/>
  <c r="EE91" i="10"/>
  <c r="EF131" i="10"/>
  <c r="EE142" i="10"/>
  <c r="EH18" i="11"/>
  <c r="EI18" i="11" s="1"/>
  <c r="EH19" i="11"/>
  <c r="EI19" i="11" s="1"/>
  <c r="EH22" i="11"/>
  <c r="EH43" i="11"/>
  <c r="EI43" i="11" s="1"/>
  <c r="EH25" i="11"/>
  <c r="EI25" i="11" s="1"/>
  <c r="EH26" i="11"/>
  <c r="EI26" i="11" s="1"/>
  <c r="EE135" i="10"/>
  <c r="EH33" i="11"/>
  <c r="EI33" i="11" s="1"/>
  <c r="EH44" i="11"/>
  <c r="EH39" i="11"/>
  <c r="EH46" i="11"/>
  <c r="EH27" i="11"/>
  <c r="EI27" i="11" s="1"/>
  <c r="EH40" i="11"/>
  <c r="EH20" i="11"/>
  <c r="EI20" i="11" s="1"/>
  <c r="EH42" i="11"/>
  <c r="EI42" i="11" s="1"/>
  <c r="EH12" i="11"/>
  <c r="EI12" i="11" s="1"/>
  <c r="EH15" i="11"/>
  <c r="EH23" i="11"/>
  <c r="EI23" i="11" s="1"/>
  <c r="EH16" i="11"/>
  <c r="EH24" i="11"/>
  <c r="EI24" i="11" s="1"/>
  <c r="EH35" i="11"/>
  <c r="EH45" i="11"/>
  <c r="EI45" i="11" s="1"/>
  <c r="EF140" i="10"/>
  <c r="EH32" i="11"/>
  <c r="EH50" i="11"/>
  <c r="EI50" i="11" s="1"/>
  <c r="EI15" i="11" l="1"/>
  <c r="EI16" i="11"/>
  <c r="EF135" i="10"/>
  <c r="EI40" i="11"/>
  <c r="EI46" i="11"/>
  <c r="EI39" i="11"/>
  <c r="EI35" i="11"/>
  <c r="EI44" i="11"/>
  <c r="EI22" i="11"/>
  <c r="EF142" i="10"/>
  <c r="EI32" i="11"/>
  <c r="EG135" i="10" l="1"/>
  <c r="DT1508" i="31"/>
  <c r="FB36" i="9"/>
  <c r="FV96" i="9" l="1"/>
  <c r="DM1426" i="31" l="1"/>
  <c r="DM1427" i="31"/>
  <c r="DM1437" i="31"/>
  <c r="DM1438" i="31"/>
  <c r="DM1448" i="31"/>
  <c r="DM1449" i="31"/>
  <c r="DM1459" i="31"/>
  <c r="DM1460" i="31"/>
  <c r="DM1470" i="31"/>
  <c r="DM1471" i="31"/>
  <c r="DM1481" i="31"/>
  <c r="DM1482" i="31"/>
  <c r="DY1560" i="31"/>
  <c r="B1559" i="31"/>
  <c r="DY1561" i="31" l="1"/>
  <c r="DX1556" i="31"/>
  <c r="DY1557" i="31"/>
  <c r="DY1562" i="31" l="1"/>
  <c r="DX1561" i="31"/>
  <c r="DX1557" i="31"/>
  <c r="DX1562" i="31" l="1"/>
  <c r="EN1608" i="31" l="1"/>
  <c r="EO1608" i="31"/>
  <c r="EP1608" i="31"/>
  <c r="EQ1608" i="31"/>
  <c r="ER1608" i="31"/>
  <c r="EJ1609" i="31"/>
  <c r="EN1609" i="31"/>
  <c r="EO1609" i="31"/>
  <c r="EP1609" i="31"/>
  <c r="EQ1609" i="31"/>
  <c r="ER1609" i="31"/>
  <c r="EJ1505" i="31"/>
  <c r="EK1505" i="31"/>
  <c r="EL1505" i="31"/>
  <c r="EM1505" i="31"/>
  <c r="EN1505" i="31"/>
  <c r="EO1505" i="31"/>
  <c r="EP1505" i="31"/>
  <c r="EQ1505" i="31"/>
  <c r="ER1505" i="31"/>
  <c r="EJ1508" i="31"/>
  <c r="EK1508" i="31"/>
  <c r="EL1508" i="31"/>
  <c r="EM1508" i="31"/>
  <c r="EN1508" i="31"/>
  <c r="EO1508" i="31"/>
  <c r="EP1508" i="31"/>
  <c r="EQ1508" i="31"/>
  <c r="ER1508" i="31"/>
  <c r="EJ1509" i="31"/>
  <c r="EK1509" i="31"/>
  <c r="EL1509" i="31"/>
  <c r="EM1509" i="31"/>
  <c r="EN1509" i="31"/>
  <c r="EO1509" i="31"/>
  <c r="EP1509" i="31"/>
  <c r="EQ1509" i="31"/>
  <c r="ER1509" i="31"/>
  <c r="EJ1514" i="31"/>
  <c r="EJ1513" i="31"/>
  <c r="EJ1518" i="31" l="1"/>
  <c r="EJ1519" i="31"/>
  <c r="EQ1610" i="31"/>
  <c r="EM1510" i="31"/>
  <c r="EQ1510" i="31"/>
  <c r="EJ1608" i="31"/>
  <c r="ER1510" i="31"/>
  <c r="EN1510" i="31"/>
  <c r="EJ1510" i="31"/>
  <c r="EP1510" i="31"/>
  <c r="ER1610" i="31"/>
  <c r="EL1510" i="31"/>
  <c r="EK1609" i="31"/>
  <c r="EK1608" i="31"/>
  <c r="EJ1515" i="31"/>
  <c r="EK1514" i="31"/>
  <c r="EK1513" i="31"/>
  <c r="EO1510" i="31"/>
  <c r="EK1510" i="31"/>
  <c r="EP1610" i="31"/>
  <c r="EN1610" i="31"/>
  <c r="EM1609" i="31"/>
  <c r="EO1610" i="31"/>
  <c r="EJ1520" i="31" l="1"/>
  <c r="EJ1610" i="31"/>
  <c r="EK1515" i="31"/>
  <c r="EK1610" i="31"/>
  <c r="EL1609" i="31"/>
  <c r="EL1514" i="31"/>
  <c r="EK1519" i="31"/>
  <c r="EM1608" i="31"/>
  <c r="EL1608" i="31"/>
  <c r="EK1518" i="31"/>
  <c r="EL1513" i="31"/>
  <c r="EM1610" i="31" l="1"/>
  <c r="EK1520" i="31"/>
  <c r="EL1519" i="31"/>
  <c r="EM1514" i="31"/>
  <c r="EL1518" i="31"/>
  <c r="EM1513" i="31"/>
  <c r="EL1515" i="31"/>
  <c r="EL1610" i="31"/>
  <c r="EL1520" i="31" l="1"/>
  <c r="EN1514" i="31"/>
  <c r="EM1519" i="31"/>
  <c r="EM1518" i="31"/>
  <c r="EN1513" i="31"/>
  <c r="EM1515" i="31"/>
  <c r="EM1520" i="31" l="1"/>
  <c r="EO1513" i="31"/>
  <c r="EN1518" i="31"/>
  <c r="EN1515" i="31"/>
  <c r="EO1514" i="31"/>
  <c r="EN1519" i="31"/>
  <c r="EP1514" i="31" l="1"/>
  <c r="EO1519" i="31"/>
  <c r="EN1520" i="31"/>
  <c r="EO1518" i="31"/>
  <c r="EP1513" i="31"/>
  <c r="EO1515" i="31"/>
  <c r="EO1520" i="31" l="1"/>
  <c r="EP1518" i="31"/>
  <c r="EP1515" i="31"/>
  <c r="EQ1513" i="31"/>
  <c r="EQ1514" i="31"/>
  <c r="EP1519" i="31"/>
  <c r="EQ1519" i="31" l="1"/>
  <c r="EV1523" i="31"/>
  <c r="EP1520" i="31"/>
  <c r="EQ1515" i="31"/>
  <c r="EQ1518" i="31"/>
  <c r="EQ1520" i="31" l="1"/>
  <c r="EW1523" i="31"/>
  <c r="EV1524" i="31" l="1"/>
  <c r="EW1524" i="31" l="1"/>
  <c r="EV1525" i="31"/>
  <c r="EW1525" i="31" l="1"/>
  <c r="DV572" i="31" l="1"/>
  <c r="EA578" i="31" l="1"/>
  <c r="DY572" i="31"/>
  <c r="DV464" i="31"/>
  <c r="EN543" i="31" l="1"/>
  <c r="EO543" i="31"/>
  <c r="EP543" i="31"/>
  <c r="EQ543" i="31"/>
  <c r="ER543" i="31"/>
  <c r="ES543" i="31"/>
  <c r="ET543" i="31"/>
  <c r="EJ210" i="31" l="1"/>
  <c r="EK210" i="31"/>
  <c r="EL210" i="31"/>
  <c r="EM210" i="31"/>
  <c r="EN210" i="31"/>
  <c r="EJ211" i="31"/>
  <c r="EK211" i="31"/>
  <c r="EL211" i="31"/>
  <c r="EM211" i="31"/>
  <c r="EN211" i="31"/>
  <c r="EJ543" i="31"/>
  <c r="EL543" i="31"/>
  <c r="EM543" i="31"/>
  <c r="EJ345" i="31"/>
  <c r="EJ340" i="31" s="1"/>
  <c r="EK340" i="31" l="1"/>
  <c r="EJ341" i="31"/>
  <c r="EL340" i="31" l="1"/>
  <c r="EK341" i="31"/>
  <c r="EM340" i="31" l="1"/>
  <c r="EL341" i="31"/>
  <c r="EN340" i="31" l="1"/>
  <c r="EM341" i="31"/>
  <c r="EO340" i="31" l="1"/>
  <c r="EN341" i="31"/>
  <c r="EP340" i="31" l="1"/>
  <c r="EO341" i="31"/>
  <c r="EQ340" i="31" l="1"/>
  <c r="EP341" i="31"/>
  <c r="ER340" i="31" l="1"/>
  <c r="EQ341" i="31"/>
  <c r="ES340" i="31" l="1"/>
  <c r="ES341" i="31" s="1"/>
  <c r="ER341" i="31"/>
  <c r="ES347" i="31" l="1"/>
  <c r="EK742" i="31" l="1"/>
  <c r="EL742" i="31"/>
  <c r="EM742" i="31"/>
  <c r="EJ742" i="31"/>
  <c r="EJ687" i="31"/>
  <c r="EJ654" i="31"/>
  <c r="EJ554" i="31"/>
  <c r="EK554" i="31"/>
  <c r="EJ460" i="31"/>
  <c r="EJ280" i="31"/>
  <c r="EJ275" i="31" s="1"/>
  <c r="EK275" i="31" l="1"/>
  <c r="EJ276" i="31"/>
  <c r="EL275" i="31" l="1"/>
  <c r="EK276" i="31"/>
  <c r="EM275" i="31" l="1"/>
  <c r="EL276" i="31"/>
  <c r="EK282" i="31"/>
  <c r="EN275" i="31" l="1"/>
  <c r="EM276" i="31"/>
  <c r="EL282" i="31"/>
  <c r="EM282" i="31" l="1"/>
  <c r="EO275" i="31"/>
  <c r="EN276" i="31"/>
  <c r="EJ225" i="31"/>
  <c r="EJ220" i="31" s="1"/>
  <c r="EJ186" i="31"/>
  <c r="EK186" i="31"/>
  <c r="EL186" i="31"/>
  <c r="EM186" i="31"/>
  <c r="EJ175" i="31"/>
  <c r="EJ131" i="31"/>
  <c r="EK131" i="31"/>
  <c r="EL131" i="31"/>
  <c r="EM131" i="31"/>
  <c r="EN131" i="31"/>
  <c r="EK220" i="31" l="1"/>
  <c r="EN282" i="31"/>
  <c r="EP275" i="31"/>
  <c r="EO276" i="31"/>
  <c r="EO282" i="31" s="1"/>
  <c r="EL220" i="31" l="1"/>
  <c r="EQ275" i="31"/>
  <c r="EP276" i="31"/>
  <c r="EP282" i="31" s="1"/>
  <c r="EQ102" i="10"/>
  <c r="DM520" i="31"/>
  <c r="DM521" i="31"/>
  <c r="EM220" i="31" l="1"/>
  <c r="ER275" i="31"/>
  <c r="EQ276" i="31"/>
  <c r="FM59" i="9"/>
  <c r="FT59" i="9" s="1"/>
  <c r="EN220" i="31" l="1"/>
  <c r="EQ282" i="31"/>
  <c r="ES275" i="31"/>
  <c r="ER276" i="31"/>
  <c r="DL509" i="31"/>
  <c r="EO220" i="31" l="1"/>
  <c r="ES276" i="31"/>
  <c r="ER282" i="31"/>
  <c r="FD139" i="9"/>
  <c r="FD138" i="9"/>
  <c r="FD132" i="9"/>
  <c r="FD81" i="9"/>
  <c r="FD78" i="9"/>
  <c r="FD77" i="9"/>
  <c r="FD76" i="9"/>
  <c r="FD57" i="9"/>
  <c r="FD55" i="9"/>
  <c r="FD44" i="9"/>
  <c r="DL1432" i="31"/>
  <c r="DQ1437" i="31" s="1"/>
  <c r="DL1477" i="31"/>
  <c r="DQ1482" i="31" s="1"/>
  <c r="DQ1483" i="31" s="1"/>
  <c r="DL1481" i="31"/>
  <c r="DL1471" i="31"/>
  <c r="DL1470" i="31"/>
  <c r="DL1460" i="31"/>
  <c r="DL1459" i="31"/>
  <c r="DL1449" i="31"/>
  <c r="DL1448" i="31"/>
  <c r="DL1438" i="31"/>
  <c r="DL1427" i="31"/>
  <c r="DL1426" i="31"/>
  <c r="DL693" i="31"/>
  <c r="DO693" i="31" s="1"/>
  <c r="DL752" i="31"/>
  <c r="DL742" i="31"/>
  <c r="DL741" i="31"/>
  <c r="DL720" i="31"/>
  <c r="DL719" i="31"/>
  <c r="DL692" i="31"/>
  <c r="DL682" i="31"/>
  <c r="DQ687" i="31" s="1"/>
  <c r="DQ688" i="31" s="1"/>
  <c r="DL681" i="31"/>
  <c r="DQ686" i="31" s="1"/>
  <c r="DL676" i="31"/>
  <c r="DL675" i="31"/>
  <c r="DL654" i="31"/>
  <c r="DL653" i="31"/>
  <c r="DL639" i="31"/>
  <c r="DL554" i="31"/>
  <c r="DL553" i="31"/>
  <c r="DL543" i="31"/>
  <c r="DL544" i="31" s="1"/>
  <c r="DL542" i="31"/>
  <c r="DL521" i="31"/>
  <c r="DL520" i="31"/>
  <c r="DL504" i="31"/>
  <c r="DL503" i="31"/>
  <c r="DL455" i="31"/>
  <c r="DQ460" i="31" s="1"/>
  <c r="DQ461" i="31" s="1"/>
  <c r="DL454" i="31"/>
  <c r="DQ459" i="31" s="1"/>
  <c r="DL345" i="31"/>
  <c r="DL334" i="31"/>
  <c r="DL280" i="31"/>
  <c r="DL279" i="31"/>
  <c r="DL269" i="31"/>
  <c r="DL270" i="31" s="1"/>
  <c r="DL268" i="31"/>
  <c r="DL253" i="31"/>
  <c r="DL252" i="31"/>
  <c r="DL247" i="31"/>
  <c r="DL246" i="31"/>
  <c r="DL236" i="31"/>
  <c r="DL235" i="31"/>
  <c r="DL225" i="31"/>
  <c r="DL224" i="31"/>
  <c r="DL215" i="31"/>
  <c r="DL211" i="31"/>
  <c r="DL210" i="31"/>
  <c r="DL209" i="31"/>
  <c r="DL208" i="31"/>
  <c r="DL71" i="31"/>
  <c r="DQ76" i="31" s="1"/>
  <c r="DQ77" i="31" s="1"/>
  <c r="DL70" i="31"/>
  <c r="DL175" i="31"/>
  <c r="DL174" i="31"/>
  <c r="DL131" i="31"/>
  <c r="DL130" i="31"/>
  <c r="EP220" i="31" l="1"/>
  <c r="ES282" i="31"/>
  <c r="DL1482" i="31"/>
  <c r="DO1477" i="31"/>
  <c r="DL1437" i="31"/>
  <c r="DO1432" i="31"/>
  <c r="DL254" i="31"/>
  <c r="DL456" i="31"/>
  <c r="EQ220" i="31" l="1"/>
  <c r="DT1437" i="31"/>
  <c r="DT1482" i="31"/>
  <c r="ER220" i="31" l="1"/>
  <c r="ES220" i="31" l="1"/>
  <c r="EI215" i="10" l="1"/>
  <c r="FJ51" i="9"/>
  <c r="FJ50" i="9" s="1"/>
  <c r="FI51" i="9"/>
  <c r="FH51" i="9"/>
  <c r="FH50" i="9" s="1"/>
  <c r="FK51" i="9"/>
  <c r="DS1592" i="31"/>
  <c r="DR1514" i="31"/>
  <c r="DQ1514" i="31"/>
  <c r="DP1514" i="31"/>
  <c r="DR1513" i="31"/>
  <c r="DQ1513" i="31"/>
  <c r="DP1513" i="31"/>
  <c r="DR1509" i="31"/>
  <c r="DQ1509" i="31"/>
  <c r="DR1508" i="31"/>
  <c r="DQ1508" i="31"/>
  <c r="DP749" i="31"/>
  <c r="DU755" i="31" s="1"/>
  <c r="DR721" i="31"/>
  <c r="DR719" i="31"/>
  <c r="DQ719" i="31"/>
  <c r="DP1509" i="31" l="1"/>
  <c r="DP1508" i="31"/>
  <c r="DS1593" i="31"/>
  <c r="DR572" i="31"/>
  <c r="DW578" i="31" s="1"/>
  <c r="DS1514" i="31"/>
  <c r="DQ572" i="31"/>
  <c r="DV578" i="31" s="1"/>
  <c r="DS1513" i="31"/>
  <c r="DP1456" i="31"/>
  <c r="DU1462" i="31" s="1"/>
  <c r="DP572" i="31"/>
  <c r="DP205" i="31"/>
  <c r="DP330" i="31"/>
  <c r="DP650" i="31"/>
  <c r="DU656" i="31" s="1"/>
  <c r="DP1478" i="31"/>
  <c r="DU1484" i="31" s="1"/>
  <c r="DP716" i="31"/>
  <c r="DP221" i="31"/>
  <c r="DP738" i="31"/>
  <c r="DU744" i="31" s="1"/>
  <c r="DP550" i="31"/>
  <c r="DU556" i="31" s="1"/>
  <c r="DP232" i="31"/>
  <c r="DU238" i="31" s="1"/>
  <c r="DP1467" i="31"/>
  <c r="DU1473" i="31" s="1"/>
  <c r="DP1445" i="31"/>
  <c r="DU1451" i="31" s="1"/>
  <c r="DP1434" i="31"/>
  <c r="DU1440" i="31" s="1"/>
  <c r="DP1423" i="31"/>
  <c r="DU1429" i="31" s="1"/>
  <c r="DP683" i="31"/>
  <c r="DU689" i="31" s="1"/>
  <c r="DP341" i="31"/>
  <c r="DU347" i="31" s="1"/>
  <c r="DU213" i="31" l="1"/>
  <c r="DU722" i="31"/>
  <c r="DU227" i="31"/>
  <c r="DU336" i="31"/>
  <c r="DS572" i="31"/>
  <c r="DX578" i="31" s="1"/>
  <c r="DP639" i="31"/>
  <c r="DU645" i="31" s="1"/>
  <c r="DR1652" i="31"/>
  <c r="DQ1652" i="31"/>
  <c r="DP1652" i="31"/>
  <c r="DR1651" i="31"/>
  <c r="DQ1651" i="31"/>
  <c r="DP1651" i="31"/>
  <c r="DR1648" i="31"/>
  <c r="DQ1648" i="31"/>
  <c r="DP1648" i="31"/>
  <c r="DS1643" i="31"/>
  <c r="DR1643" i="31"/>
  <c r="DQ1643" i="31"/>
  <c r="DP1643" i="31"/>
  <c r="DR1609" i="31"/>
  <c r="DQ1609" i="31"/>
  <c r="DP1609" i="31"/>
  <c r="DP1608" i="31"/>
  <c r="DS1609" i="31"/>
  <c r="DR1608" i="31"/>
  <c r="DP1519" i="31"/>
  <c r="DP1518" i="31"/>
  <c r="DP1515" i="31"/>
  <c r="DS1519" i="31"/>
  <c r="DR1519" i="31"/>
  <c r="DQ1519" i="31"/>
  <c r="DQ1518" i="31"/>
  <c r="DP1505" i="31"/>
  <c r="DS1504" i="31"/>
  <c r="DR1505" i="31"/>
  <c r="DS1503" i="31"/>
  <c r="DP1488" i="31"/>
  <c r="DP1487" i="31"/>
  <c r="DV736" i="31"/>
  <c r="EA736" i="31" s="1"/>
  <c r="EF736" i="31" s="1"/>
  <c r="DP672" i="31"/>
  <c r="DU678" i="31" s="1"/>
  <c r="DR661" i="31"/>
  <c r="DW667" i="31" s="1"/>
  <c r="DQ661" i="31"/>
  <c r="DP661" i="31"/>
  <c r="DU667" i="31" s="1"/>
  <c r="DP643" i="31"/>
  <c r="DP644" i="31" s="1"/>
  <c r="DP642" i="31"/>
  <c r="DP500" i="31"/>
  <c r="DU506" i="31" s="1"/>
  <c r="DV328" i="31"/>
  <c r="EA328" i="31" s="1"/>
  <c r="EF328" i="31" s="1"/>
  <c r="DP215" i="31"/>
  <c r="DU1492" i="31" l="1"/>
  <c r="DU1493" i="31"/>
  <c r="DU1494" i="31" s="1"/>
  <c r="DQ749" i="31"/>
  <c r="DV755" i="31" s="1"/>
  <c r="DP56" i="31"/>
  <c r="FH88" i="9" s="1"/>
  <c r="DV667" i="31"/>
  <c r="DP57" i="31"/>
  <c r="FH89" i="9" s="1"/>
  <c r="DV56" i="31"/>
  <c r="FN88" i="9" s="1"/>
  <c r="DP1653" i="31"/>
  <c r="DQ1653" i="31"/>
  <c r="DS1508" i="31"/>
  <c r="DS1509" i="31"/>
  <c r="DP1520" i="31"/>
  <c r="DR1653" i="31"/>
  <c r="DP1489" i="31"/>
  <c r="DR1610" i="31"/>
  <c r="DP1610" i="31"/>
  <c r="DS1505" i="31"/>
  <c r="DQ1608" i="31"/>
  <c r="DQ1610" i="31" s="1"/>
  <c r="DQ1487" i="31"/>
  <c r="DQ1445" i="31"/>
  <c r="DV1451" i="31" s="1"/>
  <c r="DQ1505" i="31"/>
  <c r="DQ1520" i="31"/>
  <c r="DR1518" i="31"/>
  <c r="DR1520" i="31" s="1"/>
  <c r="DR1515" i="31"/>
  <c r="DQ1515" i="31"/>
  <c r="FT75" i="9" l="1"/>
  <c r="FT84" i="9" s="1"/>
  <c r="FU75" i="9"/>
  <c r="FU84" i="9" s="1"/>
  <c r="FH90" i="9"/>
  <c r="DU1495" i="31"/>
  <c r="DV1492" i="31"/>
  <c r="DP58" i="31"/>
  <c r="DV642" i="31"/>
  <c r="DS1518" i="31"/>
  <c r="DS1520" i="31" s="1"/>
  <c r="DS1515" i="31"/>
  <c r="DS1608" i="31"/>
  <c r="DS1610" i="31" s="1"/>
  <c r="DQ56" i="31"/>
  <c r="FI88" i="9" s="1"/>
  <c r="DV61" i="31" l="1"/>
  <c r="EH130" i="10"/>
  <c r="EH117" i="10"/>
  <c r="EF47" i="11" l="1"/>
  <c r="ED220" i="10"/>
  <c r="ED215" i="10"/>
  <c r="ED212" i="10"/>
  <c r="ED207" i="10"/>
  <c r="EE205" i="10" s="1"/>
  <c r="EE206" i="10" s="1"/>
  <c r="ED202" i="10"/>
  <c r="ED197" i="10"/>
  <c r="ED185" i="10"/>
  <c r="ED161" i="10"/>
  <c r="ED155" i="10"/>
  <c r="ED149" i="10"/>
  <c r="ED139" i="10"/>
  <c r="ED140" i="10" s="1"/>
  <c r="ED131" i="10"/>
  <c r="ED125" i="10"/>
  <c r="ED103" i="10"/>
  <c r="ED104" i="10" s="1"/>
  <c r="ED102" i="10"/>
  <c r="ED97" i="10"/>
  <c r="ED95" i="10"/>
  <c r="ED96" i="10" s="1"/>
  <c r="ED98" i="10" s="1"/>
  <c r="ED87" i="10"/>
  <c r="ED85" i="10"/>
  <c r="ED52" i="10"/>
  <c r="ED38" i="10"/>
  <c r="ED180" i="10" l="1"/>
  <c r="ED186" i="10"/>
  <c r="ED146" i="10"/>
  <c r="ED142" i="10"/>
  <c r="ED173" i="10"/>
  <c r="ED150" i="10"/>
  <c r="EG47" i="11"/>
  <c r="ED192" i="10"/>
  <c r="ED179" i="10"/>
  <c r="EH47" i="11" l="1"/>
  <c r="ED147" i="10"/>
  <c r="ED148" i="10" s="1"/>
  <c r="EI47" i="11" l="1"/>
  <c r="FC44" i="9"/>
  <c r="FG44" i="9" s="1"/>
  <c r="EE102" i="10" l="1"/>
  <c r="EB102" i="10"/>
  <c r="EF102" i="10"/>
  <c r="EA102" i="10"/>
  <c r="EG102" i="10" l="1"/>
  <c r="DK253" i="31"/>
  <c r="DK252" i="31"/>
  <c r="DK692" i="31"/>
  <c r="DO692" i="31" s="1"/>
  <c r="DO253" i="31" l="1"/>
  <c r="DO252" i="31"/>
  <c r="DK254" i="31"/>
  <c r="DO513" i="31"/>
  <c r="DT514" i="31" s="1"/>
  <c r="DK517" i="31"/>
  <c r="EX41" i="9"/>
  <c r="DK639" i="31"/>
  <c r="DP645" i="31" s="1"/>
  <c r="DK1460" i="31"/>
  <c r="DK1459" i="31"/>
  <c r="DK1449" i="31"/>
  <c r="DK1448" i="31"/>
  <c r="DK1438" i="31"/>
  <c r="DK1437" i="31"/>
  <c r="DK1427" i="31"/>
  <c r="DK1426" i="31"/>
  <c r="DK885" i="31"/>
  <c r="DK764" i="31"/>
  <c r="DK753" i="31"/>
  <c r="DK752" i="31"/>
  <c r="DK742" i="31"/>
  <c r="DK720" i="31"/>
  <c r="DK719" i="31"/>
  <c r="DK687" i="31"/>
  <c r="DK676" i="31"/>
  <c r="DK675" i="31"/>
  <c r="DK654" i="31"/>
  <c r="DK653" i="31"/>
  <c r="DK554" i="31"/>
  <c r="DK553" i="31"/>
  <c r="DK543" i="31"/>
  <c r="DK544" i="31" s="1"/>
  <c r="DK542" i="31"/>
  <c r="DK521" i="31"/>
  <c r="DK520" i="31"/>
  <c r="DK509" i="31"/>
  <c r="DK455" i="31"/>
  <c r="DP460" i="31" s="1"/>
  <c r="DP461" i="31" s="1"/>
  <c r="DK454" i="31"/>
  <c r="DO454" i="31" s="1"/>
  <c r="DK345" i="31"/>
  <c r="DK334" i="31"/>
  <c r="DK280" i="31"/>
  <c r="DK279" i="31"/>
  <c r="DK247" i="31"/>
  <c r="DK246" i="31"/>
  <c r="DK236" i="31"/>
  <c r="DK235" i="31"/>
  <c r="DK225" i="31"/>
  <c r="DK224" i="31"/>
  <c r="DK221" i="31"/>
  <c r="DK211" i="31"/>
  <c r="DK210" i="31"/>
  <c r="DK209" i="31"/>
  <c r="DK208" i="31"/>
  <c r="DK181" i="31"/>
  <c r="DP186" i="31" s="1"/>
  <c r="DP187" i="31" s="1"/>
  <c r="DK180" i="31"/>
  <c r="DP185" i="31" s="1"/>
  <c r="DK175" i="31"/>
  <c r="DK174" i="31"/>
  <c r="DK131" i="31"/>
  <c r="DK130" i="31"/>
  <c r="DK72" i="31"/>
  <c r="DP227" i="31" l="1"/>
  <c r="DT521" i="31"/>
  <c r="DT512" i="31"/>
  <c r="DU470" i="31"/>
  <c r="DO455" i="31"/>
  <c r="DK456" i="31"/>
  <c r="DK182" i="31"/>
  <c r="DP456" i="31" l="1"/>
  <c r="DU462" i="31" s="1"/>
  <c r="EB212" i="10" l="1"/>
  <c r="EB207" i="10"/>
  <c r="EB202" i="10"/>
  <c r="EB197" i="10"/>
  <c r="EB161" i="10"/>
  <c r="EB160" i="10"/>
  <c r="EB155" i="10"/>
  <c r="EB139" i="10"/>
  <c r="EC138" i="10"/>
  <c r="EB131" i="10"/>
  <c r="EC130" i="10"/>
  <c r="EB125" i="10"/>
  <c r="EC117" i="10"/>
  <c r="EB115" i="10"/>
  <c r="EB120" i="10" s="1"/>
  <c r="EC101" i="10"/>
  <c r="ED17" i="11"/>
  <c r="ED14" i="11"/>
  <c r="ED41" i="11"/>
  <c r="EE47" i="11"/>
  <c r="EE35" i="11"/>
  <c r="EE20" i="11"/>
  <c r="EB95" i="10"/>
  <c r="EB96" i="10" s="1"/>
  <c r="EB98" i="10" s="1"/>
  <c r="EB87" i="10"/>
  <c r="EB85" i="10"/>
  <c r="EB38" i="10"/>
  <c r="EB34" i="10"/>
  <c r="EH102" i="10" l="1"/>
  <c r="EB97" i="10"/>
  <c r="EB91" i="10"/>
  <c r="DN521" i="31"/>
  <c r="DO1647" i="31" l="1"/>
  <c r="DO1646" i="31"/>
  <c r="DM1648" i="31"/>
  <c r="DK1648" i="31" l="1"/>
  <c r="DI243" i="31" l="1"/>
  <c r="DL1648" i="31" l="1"/>
  <c r="DN1648" i="31" l="1"/>
  <c r="DO1648" i="31"/>
  <c r="DN1651" i="31"/>
  <c r="FB28" i="9"/>
  <c r="FB27" i="9"/>
  <c r="FB26" i="9"/>
  <c r="FA41" i="9"/>
  <c r="FA44" i="9"/>
  <c r="FB38" i="9"/>
  <c r="EW38" i="9"/>
  <c r="DI1482" i="31"/>
  <c r="DI1481" i="31"/>
  <c r="DJ1477" i="31"/>
  <c r="DO1482" i="31" s="1"/>
  <c r="DJ1476" i="31"/>
  <c r="DO1481" i="31" s="1"/>
  <c r="DI1471" i="31"/>
  <c r="DI1470" i="31"/>
  <c r="DJ1466" i="31"/>
  <c r="DO1471" i="31" s="1"/>
  <c r="DJ1465" i="31"/>
  <c r="DO1470" i="31" s="1"/>
  <c r="DI1460" i="31"/>
  <c r="DI1459" i="31"/>
  <c r="DJ1455" i="31"/>
  <c r="DO1460" i="31" s="1"/>
  <c r="DJ1454" i="31"/>
  <c r="DO1459" i="31" s="1"/>
  <c r="DI1449" i="31"/>
  <c r="DI1448" i="31"/>
  <c r="DJ1444" i="31"/>
  <c r="DO1449" i="31" s="1"/>
  <c r="DJ1443" i="31"/>
  <c r="DO1448" i="31" s="1"/>
  <c r="DI1438" i="31"/>
  <c r="DI1437" i="31"/>
  <c r="DJ1433" i="31"/>
  <c r="DO1438" i="31" s="1"/>
  <c r="DJ1432" i="31"/>
  <c r="DO1437" i="31" s="1"/>
  <c r="DI1427" i="31"/>
  <c r="DI1426" i="31"/>
  <c r="DJ1422" i="31"/>
  <c r="DJ1421" i="31"/>
  <c r="DI885" i="31"/>
  <c r="DI754" i="31"/>
  <c r="DI753" i="31"/>
  <c r="DI752" i="31"/>
  <c r="DJ753" i="31"/>
  <c r="DJ747" i="31"/>
  <c r="DI749" i="31"/>
  <c r="DI742" i="31"/>
  <c r="DI741" i="31"/>
  <c r="DJ737" i="31"/>
  <c r="DO742" i="31" s="1"/>
  <c r="DJ736" i="31"/>
  <c r="DO741" i="31" s="1"/>
  <c r="DI720" i="31"/>
  <c r="DI719" i="31"/>
  <c r="DJ715" i="31"/>
  <c r="DO720" i="31" s="1"/>
  <c r="DJ714" i="31"/>
  <c r="DO719" i="31" s="1"/>
  <c r="DJ693" i="31"/>
  <c r="DJ692" i="31"/>
  <c r="DI639" i="31"/>
  <c r="DI676" i="31"/>
  <c r="DI675" i="31"/>
  <c r="DJ671" i="31"/>
  <c r="DO676" i="31" s="1"/>
  <c r="DJ670" i="31"/>
  <c r="DO675" i="31" s="1"/>
  <c r="DJ649" i="31"/>
  <c r="DO654" i="31" s="1"/>
  <c r="DJ648" i="31"/>
  <c r="DI553" i="31"/>
  <c r="DJ549" i="31"/>
  <c r="DJ548" i="31"/>
  <c r="DI550" i="31"/>
  <c r="DI543" i="31"/>
  <c r="DI544" i="31" s="1"/>
  <c r="DI542" i="31"/>
  <c r="DJ538" i="31"/>
  <c r="DJ537" i="31"/>
  <c r="DI517" i="31"/>
  <c r="DI515" i="31"/>
  <c r="DI509" i="31"/>
  <c r="DH509" i="31"/>
  <c r="DJ513" i="31"/>
  <c r="DJ511" i="31"/>
  <c r="DI504" i="31"/>
  <c r="DI503" i="31"/>
  <c r="DJ499" i="31"/>
  <c r="DJ498" i="31"/>
  <c r="DO503" i="31" s="1"/>
  <c r="DI454" i="31"/>
  <c r="DI455" i="31"/>
  <c r="DI345" i="31"/>
  <c r="DI344" i="31"/>
  <c r="DJ340" i="31"/>
  <c r="DO345" i="31" s="1"/>
  <c r="DJ339" i="31"/>
  <c r="DI334" i="31"/>
  <c r="DI333" i="31"/>
  <c r="DJ329" i="31"/>
  <c r="DO334" i="31" s="1"/>
  <c r="DJ328" i="31"/>
  <c r="DO333" i="31" s="1"/>
  <c r="DI280" i="31"/>
  <c r="DI279" i="31"/>
  <c r="DJ275" i="31"/>
  <c r="DO280" i="31" s="1"/>
  <c r="DJ274" i="31"/>
  <c r="DO279" i="31" s="1"/>
  <c r="DJ264" i="31"/>
  <c r="DJ263" i="31"/>
  <c r="DI253" i="31"/>
  <c r="DI252" i="31"/>
  <c r="DJ242" i="31"/>
  <c r="DO244" i="31" s="1"/>
  <c r="DJ241" i="31"/>
  <c r="DO240" i="31" s="1"/>
  <c r="DI236" i="31"/>
  <c r="DI237" i="31" s="1"/>
  <c r="DI235" i="31"/>
  <c r="DJ231" i="31"/>
  <c r="DO236" i="31" s="1"/>
  <c r="DJ230" i="31"/>
  <c r="DO235" i="31" s="1"/>
  <c r="DI225" i="31"/>
  <c r="DI224" i="31"/>
  <c r="DJ220" i="31"/>
  <c r="DO225" i="31" s="1"/>
  <c r="DJ219" i="31"/>
  <c r="DO224" i="31" s="1"/>
  <c r="DJ203" i="31"/>
  <c r="DJ202" i="31"/>
  <c r="DJ204" i="31"/>
  <c r="DI211" i="31"/>
  <c r="DI212" i="31" s="1"/>
  <c r="DI210" i="31"/>
  <c r="DI209" i="31"/>
  <c r="DI208" i="31"/>
  <c r="DI193" i="31"/>
  <c r="DD193" i="31"/>
  <c r="DI181" i="31"/>
  <c r="DN186" i="31" s="1"/>
  <c r="DN187" i="31" s="1"/>
  <c r="DI175" i="31"/>
  <c r="DI176" i="31" s="1"/>
  <c r="DI174" i="31"/>
  <c r="DJ169" i="31"/>
  <c r="DO174" i="31" s="1"/>
  <c r="DJ170" i="31"/>
  <c r="DO175" i="31" s="1"/>
  <c r="DI171" i="31"/>
  <c r="DI127" i="31"/>
  <c r="DJ126" i="31"/>
  <c r="DO131" i="31" s="1"/>
  <c r="DJ125" i="31"/>
  <c r="DO543" i="31" l="1"/>
  <c r="DO541" i="31"/>
  <c r="DO542" i="31"/>
  <c r="DO540" i="31"/>
  <c r="DO1426" i="31"/>
  <c r="DO1427" i="31"/>
  <c r="DO653" i="31"/>
  <c r="DJ341" i="31"/>
  <c r="DO344" i="31"/>
  <c r="DJ550" i="31"/>
  <c r="DJ556" i="31" s="1"/>
  <c r="DJ127" i="31"/>
  <c r="DO130" i="31"/>
  <c r="DI460" i="31"/>
  <c r="DN460" i="31"/>
  <c r="DN461" i="31" s="1"/>
  <c r="DJ749" i="31"/>
  <c r="DO752" i="31"/>
  <c r="DI459" i="31"/>
  <c r="DN459" i="31"/>
  <c r="DJ221" i="31"/>
  <c r="DJ215" i="31"/>
  <c r="DI254" i="31"/>
  <c r="DI456" i="31"/>
  <c r="DI182" i="31"/>
  <c r="EA220" i="10" l="1"/>
  <c r="EA215" i="10"/>
  <c r="EA212" i="10"/>
  <c r="EB210" i="10" s="1"/>
  <c r="EB211" i="10" s="1"/>
  <c r="EA207" i="10"/>
  <c r="EB205" i="10" s="1"/>
  <c r="EB206" i="10" s="1"/>
  <c r="EA202" i="10"/>
  <c r="EB200" i="10" s="1"/>
  <c r="EB201" i="10" s="1"/>
  <c r="EA197" i="10"/>
  <c r="EA190" i="10"/>
  <c r="EA189" i="10"/>
  <c r="EA188" i="10"/>
  <c r="EA187" i="10"/>
  <c r="EA185" i="10"/>
  <c r="EA161" i="10"/>
  <c r="EB158" i="10" s="1"/>
  <c r="EB159" i="10" s="1"/>
  <c r="EA155" i="10"/>
  <c r="EB153" i="10" s="1"/>
  <c r="EB154" i="10" s="1"/>
  <c r="EA87" i="10"/>
  <c r="EA141" i="10"/>
  <c r="EA139" i="10"/>
  <c r="EA150" i="10" s="1"/>
  <c r="EA131" i="10"/>
  <c r="EA125" i="10"/>
  <c r="EB123" i="10" s="1"/>
  <c r="EB124" i="10" s="1"/>
  <c r="EA149" i="10" l="1"/>
  <c r="EB134" i="10"/>
  <c r="EA140" i="10"/>
  <c r="EB195" i="10"/>
  <c r="EB196" i="10" s="1"/>
  <c r="EB128" i="10"/>
  <c r="EB129" i="10" s="1"/>
  <c r="EA85" i="10"/>
  <c r="EA38" i="10"/>
  <c r="EA142" i="10" l="1"/>
  <c r="EA34" i="10"/>
  <c r="EA19" i="10"/>
  <c r="EA91" i="10" l="1"/>
  <c r="EA97" i="10"/>
  <c r="DJ510" i="31" l="1"/>
  <c r="DH515" i="31"/>
  <c r="DH517" i="31"/>
  <c r="DG509" i="31"/>
  <c r="DJ508" i="31" l="1"/>
  <c r="DO508" i="31"/>
  <c r="DZ220" i="10" l="1"/>
  <c r="DZ215" i="10"/>
  <c r="DZ212" i="10"/>
  <c r="EA210" i="10" s="1"/>
  <c r="EA211" i="10" s="1"/>
  <c r="DZ207" i="10"/>
  <c r="DZ202" i="10"/>
  <c r="DZ197" i="10"/>
  <c r="EA195" i="10" s="1"/>
  <c r="EA196" i="10" s="1"/>
  <c r="DZ190" i="10"/>
  <c r="DZ189" i="10"/>
  <c r="DZ188" i="10"/>
  <c r="DZ187" i="10"/>
  <c r="DZ185" i="10"/>
  <c r="DZ161" i="10"/>
  <c r="EA158" i="10" s="1"/>
  <c r="DZ160" i="10"/>
  <c r="DZ155" i="10"/>
  <c r="EA153" i="10" s="1"/>
  <c r="EA154" i="10" s="1"/>
  <c r="DZ149" i="10"/>
  <c r="DZ139" i="10"/>
  <c r="DZ131" i="10"/>
  <c r="EA128" i="10" s="1"/>
  <c r="EA129" i="10" s="1"/>
  <c r="DZ125" i="10"/>
  <c r="DZ115" i="10"/>
  <c r="DZ120" i="10" s="1"/>
  <c r="DZ108" i="10"/>
  <c r="DZ112" i="10" s="1"/>
  <c r="DZ103" i="10"/>
  <c r="DZ104" i="10" s="1"/>
  <c r="DZ102" i="10"/>
  <c r="DZ95" i="10"/>
  <c r="DZ96" i="10" s="1"/>
  <c r="DZ98" i="10" s="1"/>
  <c r="DZ87" i="10"/>
  <c r="DZ85" i="10"/>
  <c r="ED86" i="10" s="1"/>
  <c r="DZ186" i="10" l="1"/>
  <c r="EA134" i="10"/>
  <c r="DZ140" i="10"/>
  <c r="ED60" i="10"/>
  <c r="ED61" i="10"/>
  <c r="DZ116" i="10"/>
  <c r="EA200" i="10"/>
  <c r="EA201" i="10" s="1"/>
  <c r="EA205" i="10"/>
  <c r="EA206" i="10" s="1"/>
  <c r="DZ109" i="10"/>
  <c r="DZ150" i="10"/>
  <c r="DZ142" i="10" l="1"/>
  <c r="DZ146" i="10"/>
  <c r="DZ147" i="10" l="1"/>
  <c r="DZ148" i="10" s="1"/>
  <c r="EU57" i="9"/>
  <c r="EU55" i="9"/>
  <c r="DR1445" i="31" l="1"/>
  <c r="DL1445" i="31"/>
  <c r="DQ1451" i="31" s="1"/>
  <c r="EZ44" i="9" l="1"/>
  <c r="DH1482" i="31"/>
  <c r="DH1481" i="31"/>
  <c r="DH1471" i="31"/>
  <c r="DH1470" i="31"/>
  <c r="DH1460" i="31"/>
  <c r="DH1459" i="31"/>
  <c r="DH1449" i="31"/>
  <c r="DH1448" i="31"/>
  <c r="DH1438" i="31"/>
  <c r="DH1437" i="31"/>
  <c r="DH1427" i="31"/>
  <c r="DH1426" i="31"/>
  <c r="DH752" i="31"/>
  <c r="DH742" i="31"/>
  <c r="DH741" i="31"/>
  <c r="DH720" i="31"/>
  <c r="DH719" i="31"/>
  <c r="DH639" i="31"/>
  <c r="DH676" i="31"/>
  <c r="DH675" i="31"/>
  <c r="DH654" i="31"/>
  <c r="DH653" i="31"/>
  <c r="DH554" i="31"/>
  <c r="DH555" i="31" s="1"/>
  <c r="DH543" i="31"/>
  <c r="DH544" i="31" s="1"/>
  <c r="DH542" i="31"/>
  <c r="DH504" i="31"/>
  <c r="DH503" i="31"/>
  <c r="DH455" i="31"/>
  <c r="DM460" i="31" s="1"/>
  <c r="DM461" i="31" s="1"/>
  <c r="DH454" i="31"/>
  <c r="DM459" i="31" s="1"/>
  <c r="DH345" i="31"/>
  <c r="DH344" i="31"/>
  <c r="DH334" i="31"/>
  <c r="DH333" i="31"/>
  <c r="DH280" i="31"/>
  <c r="DH279" i="31"/>
  <c r="DH253" i="31"/>
  <c r="DH252" i="31"/>
  <c r="DH247" i="31"/>
  <c r="DG247" i="31"/>
  <c r="DH246" i="31"/>
  <c r="DG246" i="31"/>
  <c r="DH236" i="31"/>
  <c r="DH235" i="31"/>
  <c r="DH225" i="31"/>
  <c r="DH224" i="31"/>
  <c r="DH211" i="31"/>
  <c r="DH210" i="31"/>
  <c r="DH209" i="31"/>
  <c r="DH208" i="31"/>
  <c r="DH181" i="31"/>
  <c r="DM186" i="31" s="1"/>
  <c r="DM187" i="31" s="1"/>
  <c r="DH180" i="31"/>
  <c r="DM185" i="31" s="1"/>
  <c r="DH175" i="31"/>
  <c r="DH174" i="31"/>
  <c r="DH131" i="31"/>
  <c r="DH130" i="31"/>
  <c r="EB22" i="11" l="1"/>
  <c r="EB19" i="11"/>
  <c r="EB20" i="11"/>
  <c r="EB50" i="11"/>
  <c r="EB47" i="11"/>
  <c r="EB46" i="11"/>
  <c r="EB45" i="11"/>
  <c r="EB43" i="11"/>
  <c r="EB42" i="11"/>
  <c r="EB40" i="11"/>
  <c r="EB39" i="11"/>
  <c r="EB34" i="11"/>
  <c r="EB33" i="11"/>
  <c r="EB32" i="11"/>
  <c r="EB27" i="11"/>
  <c r="EB26" i="11"/>
  <c r="EC40" i="11" l="1"/>
  <c r="EC20" i="11"/>
  <c r="ED20" i="11" s="1"/>
  <c r="EC32" i="11"/>
  <c r="DZ135" i="10"/>
  <c r="EC45" i="11"/>
  <c r="ED45" i="11" s="1"/>
  <c r="EC33" i="11"/>
  <c r="ED33" i="11" s="1"/>
  <c r="EC46" i="11"/>
  <c r="EC26" i="11"/>
  <c r="ED26" i="11" s="1"/>
  <c r="EC34" i="11"/>
  <c r="EC42" i="11"/>
  <c r="ED42" i="11" s="1"/>
  <c r="EC47" i="11"/>
  <c r="ED47" i="11" s="1"/>
  <c r="EC19" i="11"/>
  <c r="ED19" i="11" s="1"/>
  <c r="EC27" i="11"/>
  <c r="ED27" i="11" s="1"/>
  <c r="EC39" i="11"/>
  <c r="EC43" i="11"/>
  <c r="ED43" i="11" s="1"/>
  <c r="EC50" i="11"/>
  <c r="ED50" i="11" s="1"/>
  <c r="EC22" i="11"/>
  <c r="EB25" i="11"/>
  <c r="EB24" i="11"/>
  <c r="EB23" i="11"/>
  <c r="EB16" i="11"/>
  <c r="EB15" i="11"/>
  <c r="EB12" i="11"/>
  <c r="DW12" i="11"/>
  <c r="DZ38" i="10"/>
  <c r="DZ34" i="10"/>
  <c r="EA135" i="10" l="1"/>
  <c r="ED34" i="11"/>
  <c r="ED39" i="11"/>
  <c r="ED46" i="11"/>
  <c r="ED22" i="11"/>
  <c r="ED40" i="11"/>
  <c r="DZ97" i="10"/>
  <c r="DZ91" i="10"/>
  <c r="EC12" i="11"/>
  <c r="ED12" i="11" s="1"/>
  <c r="EC23" i="11"/>
  <c r="ED23" i="11" s="1"/>
  <c r="EC24" i="11"/>
  <c r="ED24" i="11" s="1"/>
  <c r="EC15" i="11"/>
  <c r="DZ138" i="10"/>
  <c r="DZ143" i="10" s="1"/>
  <c r="EC25" i="11"/>
  <c r="ED25" i="11" s="1"/>
  <c r="ED28" i="11" s="1"/>
  <c r="EC16" i="11"/>
  <c r="ED32" i="11"/>
  <c r="ED16" i="11" l="1"/>
  <c r="ED15" i="11"/>
  <c r="EB135" i="10"/>
  <c r="EC28" i="11"/>
  <c r="EB138" i="10" l="1"/>
  <c r="EB137" i="10"/>
  <c r="DT1593" i="31" l="1"/>
  <c r="DT1597" i="31"/>
  <c r="DS1597" i="31" l="1"/>
  <c r="EI1652" i="31"/>
  <c r="DO1652" i="31"/>
  <c r="DJ1652" i="31"/>
  <c r="DE1652" i="31"/>
  <c r="DC1652" i="31"/>
  <c r="DB1652" i="31"/>
  <c r="DA1652" i="31"/>
  <c r="CZ1652" i="31"/>
  <c r="CU1652" i="31"/>
  <c r="CP1652" i="31"/>
  <c r="EI1651" i="31"/>
  <c r="DO1651" i="31"/>
  <c r="DJ1651" i="31"/>
  <c r="DE1651" i="31"/>
  <c r="DC1651" i="31"/>
  <c r="DB1651" i="31"/>
  <c r="DA1651" i="31"/>
  <c r="CZ1651" i="31"/>
  <c r="CU1651" i="31"/>
  <c r="CP1651" i="31"/>
  <c r="B1650" i="31"/>
  <c r="EI1648" i="31"/>
  <c r="DJ1648" i="31"/>
  <c r="DE1648" i="31"/>
  <c r="DC1648" i="31"/>
  <c r="DB1648" i="31"/>
  <c r="DA1648" i="31"/>
  <c r="CZ1648" i="31"/>
  <c r="CU1648" i="31"/>
  <c r="CP1648" i="31"/>
  <c r="DN1652" i="31"/>
  <c r="DM1652" i="31"/>
  <c r="DL1652" i="31"/>
  <c r="DD1647" i="31"/>
  <c r="DD1652" i="31" s="1"/>
  <c r="DM1651" i="31"/>
  <c r="DK1651" i="31"/>
  <c r="DD1646" i="31"/>
  <c r="DD1651" i="31" s="1"/>
  <c r="DA1653" i="31" l="1"/>
  <c r="DB1653" i="31"/>
  <c r="DC1653" i="31"/>
  <c r="EI1653" i="31"/>
  <c r="DM1653" i="31"/>
  <c r="DD1653" i="31"/>
  <c r="CZ1653" i="31"/>
  <c r="DE1653" i="31"/>
  <c r="DN1653" i="31"/>
  <c r="CP1653" i="31"/>
  <c r="DD1648" i="31"/>
  <c r="DK1652" i="31"/>
  <c r="CU1653" i="31"/>
  <c r="DO1653" i="31"/>
  <c r="DJ1653" i="31"/>
  <c r="DL1651" i="31"/>
  <c r="DL1653" i="31" s="1"/>
  <c r="DK1653" i="31" l="1"/>
  <c r="DT1596" i="31" l="1"/>
  <c r="B1595" i="31"/>
  <c r="DS1596" i="31" l="1"/>
  <c r="DS1598" i="31" s="1"/>
  <c r="DT1598" i="31"/>
  <c r="DG279" i="31" l="1"/>
  <c r="DG211" i="31" l="1"/>
  <c r="DF211" i="31"/>
  <c r="DG210" i="31"/>
  <c r="DF210" i="31"/>
  <c r="DG209" i="31"/>
  <c r="DF209" i="31"/>
  <c r="DG208" i="31"/>
  <c r="DF208" i="31"/>
  <c r="DG175" i="31"/>
  <c r="DF175" i="31"/>
  <c r="DG174" i="31"/>
  <c r="DF174" i="31"/>
  <c r="DG131" i="31"/>
  <c r="DF131" i="31"/>
  <c r="DG130" i="31"/>
  <c r="DF130" i="31"/>
  <c r="EY44" i="9" l="1"/>
  <c r="DG1482" i="31"/>
  <c r="DG1481" i="31"/>
  <c r="DG1471" i="31"/>
  <c r="DG1470" i="31"/>
  <c r="DG1460" i="31"/>
  <c r="DG1459" i="31"/>
  <c r="DG1449" i="31"/>
  <c r="DG1448" i="31"/>
  <c r="DG1438" i="31"/>
  <c r="DG1437" i="31"/>
  <c r="DG1427" i="31"/>
  <c r="DG1426" i="31"/>
  <c r="DG752" i="31"/>
  <c r="DG742" i="31"/>
  <c r="DG741" i="31"/>
  <c r="DG720" i="31"/>
  <c r="DG719" i="31"/>
  <c r="DG682" i="31"/>
  <c r="DG681" i="31"/>
  <c r="DG665" i="31"/>
  <c r="DG664" i="31"/>
  <c r="DG676" i="31"/>
  <c r="DG675" i="31"/>
  <c r="DG654" i="31"/>
  <c r="DG653" i="31"/>
  <c r="DG554" i="31"/>
  <c r="DG555" i="31" s="1"/>
  <c r="DG543" i="31"/>
  <c r="DG544" i="31" s="1"/>
  <c r="DG542" i="31"/>
  <c r="DF509" i="31"/>
  <c r="DG504" i="31"/>
  <c r="DG503" i="31"/>
  <c r="DG455" i="31"/>
  <c r="DL460" i="31" s="1"/>
  <c r="DL461" i="31" s="1"/>
  <c r="DG454" i="31"/>
  <c r="DL459" i="31" s="1"/>
  <c r="DG345" i="31"/>
  <c r="DG344" i="31"/>
  <c r="DG334" i="31"/>
  <c r="DG333" i="31"/>
  <c r="DG280" i="31"/>
  <c r="DF280" i="31"/>
  <c r="DF279" i="31"/>
  <c r="DG252" i="31"/>
  <c r="DG253" i="31"/>
  <c r="DF247" i="31"/>
  <c r="DF246" i="31"/>
  <c r="DG236" i="31"/>
  <c r="DF236" i="31"/>
  <c r="DG235" i="31"/>
  <c r="DF235" i="31"/>
  <c r="DG225" i="31"/>
  <c r="DF225" i="31"/>
  <c r="DG224" i="31"/>
  <c r="DF224" i="31"/>
  <c r="DG181" i="31"/>
  <c r="DG180" i="31"/>
  <c r="DG686" i="31" l="1"/>
  <c r="DL686" i="31"/>
  <c r="DG687" i="31"/>
  <c r="DG688" i="31" s="1"/>
  <c r="DL687" i="31"/>
  <c r="DL688" i="31" s="1"/>
  <c r="FD51" i="9" l="1"/>
  <c r="FE51" i="9"/>
  <c r="FF51" i="9"/>
  <c r="FC51" i="9"/>
  <c r="EE215" i="10"/>
  <c r="DN1643" i="31"/>
  <c r="DM1643" i="31"/>
  <c r="DO1519" i="31"/>
  <c r="DO1518" i="31"/>
  <c r="DL1513" i="31"/>
  <c r="DM1513" i="31"/>
  <c r="DM1518" i="31" s="1"/>
  <c r="DL1514" i="31"/>
  <c r="DM1514" i="31"/>
  <c r="DM1519" i="31" s="1"/>
  <c r="DK1519" i="31"/>
  <c r="DL1504" i="31"/>
  <c r="DM1504" i="31"/>
  <c r="DL1503" i="31"/>
  <c r="DM1503" i="31"/>
  <c r="DK1456" i="31"/>
  <c r="DK1471" i="31"/>
  <c r="DK1482" i="31"/>
  <c r="DM764" i="31"/>
  <c r="DN754" i="31"/>
  <c r="DN753" i="31"/>
  <c r="DK749" i="31"/>
  <c r="DP755" i="31" s="1"/>
  <c r="DM665" i="31"/>
  <c r="DL665" i="31"/>
  <c r="DN1514" i="31" l="1"/>
  <c r="DN1519" i="31" s="1"/>
  <c r="DN1504" i="31"/>
  <c r="DP1462" i="31"/>
  <c r="DN1503" i="31"/>
  <c r="DL1518" i="31"/>
  <c r="DN1513" i="31"/>
  <c r="DN1518" i="31" s="1"/>
  <c r="DL1488" i="31"/>
  <c r="DL1456" i="31"/>
  <c r="DM1505" i="31"/>
  <c r="DO1520" i="31"/>
  <c r="DL1505" i="31"/>
  <c r="DK1445" i="31"/>
  <c r="DP1451" i="31" s="1"/>
  <c r="DK1505" i="31"/>
  <c r="DL1515" i="31"/>
  <c r="DK1467" i="31"/>
  <c r="DP1473" i="31" s="1"/>
  <c r="DK738" i="31"/>
  <c r="DP744" i="31" s="1"/>
  <c r="DK1434" i="31"/>
  <c r="DP1440" i="31" s="1"/>
  <c r="FC126" i="9"/>
  <c r="FD59" i="9"/>
  <c r="DK1643" i="31"/>
  <c r="DK683" i="31"/>
  <c r="DP689" i="31" s="1"/>
  <c r="FC59" i="9"/>
  <c r="DM1520" i="31"/>
  <c r="DK1423" i="31"/>
  <c r="DP1429" i="31" s="1"/>
  <c r="DL650" i="31"/>
  <c r="DK672" i="31"/>
  <c r="DP678" i="31" s="1"/>
  <c r="DL1423" i="31"/>
  <c r="DL749" i="31"/>
  <c r="DQ755" i="31" s="1"/>
  <c r="DL738" i="31"/>
  <c r="DL672" i="31"/>
  <c r="DQ642" i="31"/>
  <c r="DK550" i="31"/>
  <c r="DL1643" i="31"/>
  <c r="DK1515" i="31"/>
  <c r="DL1519" i="31"/>
  <c r="DK1518" i="31"/>
  <c r="DM1515" i="31"/>
  <c r="DL1467" i="31"/>
  <c r="DP1493" i="31"/>
  <c r="DP1494" i="31" s="1"/>
  <c r="DL1478" i="31"/>
  <c r="DK1478" i="31"/>
  <c r="DP1484" i="31" s="1"/>
  <c r="DL1487" i="31"/>
  <c r="DK1487" i="31"/>
  <c r="DK23" i="31" s="1"/>
  <c r="DL1434" i="31"/>
  <c r="DL716" i="31"/>
  <c r="DK716" i="31"/>
  <c r="DL683" i="31"/>
  <c r="DL661" i="31"/>
  <c r="DQ667" i="31" s="1"/>
  <c r="DL550" i="31"/>
  <c r="DK504" i="31"/>
  <c r="DK330" i="31"/>
  <c r="DP336" i="31" l="1"/>
  <c r="DP722" i="31"/>
  <c r="DQ1492" i="31"/>
  <c r="DN1520" i="31"/>
  <c r="DV215" i="31"/>
  <c r="DN1505" i="31"/>
  <c r="DL1520" i="31"/>
  <c r="DN1515" i="31"/>
  <c r="DP556" i="31"/>
  <c r="DQ205" i="31"/>
  <c r="DQ215" i="31"/>
  <c r="DK56" i="31"/>
  <c r="DP1492" i="31"/>
  <c r="DK1520" i="31"/>
  <c r="DL470" i="31"/>
  <c r="DK127" i="31"/>
  <c r="DK276" i="31"/>
  <c r="DM515" i="31"/>
  <c r="DK57" i="31"/>
  <c r="FC89" i="9" s="1"/>
  <c r="DK341" i="31"/>
  <c r="DP347" i="31" s="1"/>
  <c r="DK215" i="31"/>
  <c r="DK205" i="31"/>
  <c r="DL57" i="31"/>
  <c r="FD89" i="9" s="1"/>
  <c r="DL56" i="31"/>
  <c r="FD88" i="9" s="1"/>
  <c r="DL517" i="31"/>
  <c r="DL515" i="31"/>
  <c r="DL341" i="31"/>
  <c r="DL330" i="31"/>
  <c r="DL276" i="31"/>
  <c r="DL243" i="31"/>
  <c r="DL205" i="31"/>
  <c r="DK171" i="31"/>
  <c r="DL171" i="31"/>
  <c r="DK1489" i="31"/>
  <c r="DL1489" i="31"/>
  <c r="DK539" i="31"/>
  <c r="DL539" i="31"/>
  <c r="DL500" i="31"/>
  <c r="DK232" i="31"/>
  <c r="DP238" i="31" s="1"/>
  <c r="DL232" i="31"/>
  <c r="DL221" i="31"/>
  <c r="DK196" i="31"/>
  <c r="DL127" i="31"/>
  <c r="DV213" i="31" l="1"/>
  <c r="DP1495" i="31"/>
  <c r="FD90" i="9"/>
  <c r="DP61" i="31"/>
  <c r="FC88" i="9"/>
  <c r="FC90" i="9" s="1"/>
  <c r="DQ213" i="31"/>
  <c r="FP106" i="9"/>
  <c r="DP213" i="31"/>
  <c r="DQ61" i="31"/>
  <c r="DK58" i="31"/>
  <c r="DP62" i="31"/>
  <c r="DP63" i="31" s="1"/>
  <c r="DM517" i="31"/>
  <c r="DL265" i="31"/>
  <c r="DL58" i="31"/>
  <c r="DL471" i="31"/>
  <c r="DL472" i="31" s="1"/>
  <c r="DL467" i="31"/>
  <c r="DL193" i="31"/>
  <c r="FI96" i="9" l="1"/>
  <c r="FP96" i="9" s="1"/>
  <c r="DQ50" i="31"/>
  <c r="FD96" i="9"/>
  <c r="FD97" i="9"/>
  <c r="DP64" i="31"/>
  <c r="FC96" i="9"/>
  <c r="DL47" i="31"/>
  <c r="FD98" i="9" l="1"/>
  <c r="DF720" i="31" l="1"/>
  <c r="DF719" i="31"/>
  <c r="DR536" i="31" l="1"/>
  <c r="DR205" i="31"/>
  <c r="DM205" i="31"/>
  <c r="DM215" i="31"/>
  <c r="DW213" i="31" l="1"/>
  <c r="DR213" i="31"/>
  <c r="DY212" i="10"/>
  <c r="DZ210" i="10" s="1"/>
  <c r="DZ211" i="10" s="1"/>
  <c r="DY207" i="10"/>
  <c r="DZ205" i="10" s="1"/>
  <c r="DZ206" i="10" s="1"/>
  <c r="DY202" i="10"/>
  <c r="DZ200" i="10" s="1"/>
  <c r="DZ201" i="10" s="1"/>
  <c r="DY197" i="10"/>
  <c r="DZ195" i="10" s="1"/>
  <c r="DZ196" i="10" s="1"/>
  <c r="DY161" i="10"/>
  <c r="DZ158" i="10" s="1"/>
  <c r="DZ159" i="10" s="1"/>
  <c r="DY155" i="10"/>
  <c r="DZ153" i="10" s="1"/>
  <c r="DZ154" i="10" s="1"/>
  <c r="DY149" i="10"/>
  <c r="DY139" i="10"/>
  <c r="DY135" i="10"/>
  <c r="EC135" i="10" s="1"/>
  <c r="DY131" i="10"/>
  <c r="DZ128" i="10" s="1"/>
  <c r="DZ129" i="10" s="1"/>
  <c r="DY125" i="10"/>
  <c r="DZ123" i="10" s="1"/>
  <c r="DZ124" i="10" s="1"/>
  <c r="DY38" i="10"/>
  <c r="DY34" i="10"/>
  <c r="DY19" i="10"/>
  <c r="EA35" i="11"/>
  <c r="EA18" i="11"/>
  <c r="DY91" i="10" l="1"/>
  <c r="DZ536" i="31"/>
  <c r="ED536" i="31" s="1"/>
  <c r="DY536" i="31"/>
  <c r="EB18" i="11"/>
  <c r="EB35" i="11"/>
  <c r="EC35" i="11" s="1"/>
  <c r="DY140" i="10"/>
  <c r="DZ134" i="10"/>
  <c r="DZ137" i="10" s="1"/>
  <c r="DY150" i="10"/>
  <c r="DY146" i="10" l="1"/>
  <c r="DY147" i="10" s="1"/>
  <c r="DY148" i="10" s="1"/>
  <c r="DY142" i="10"/>
  <c r="ED35" i="11"/>
  <c r="ED36" i="11" s="1"/>
  <c r="EC18" i="11"/>
  <c r="ED18" i="11" s="1"/>
  <c r="ED29" i="11" s="1"/>
  <c r="EX71" i="9" l="1"/>
  <c r="EX44" i="9"/>
  <c r="DF1482" i="31"/>
  <c r="DF1481" i="31"/>
  <c r="DF1471" i="31"/>
  <c r="DF1470" i="31"/>
  <c r="DF1460" i="31"/>
  <c r="DF1459" i="31"/>
  <c r="DF1449" i="31"/>
  <c r="DF1448" i="31"/>
  <c r="DF1438" i="31"/>
  <c r="DF1437" i="31"/>
  <c r="DF1427" i="31"/>
  <c r="DF1426" i="31"/>
  <c r="DF253" i="31"/>
  <c r="DJ253" i="31" s="1"/>
  <c r="DF252" i="31"/>
  <c r="DF181" i="31"/>
  <c r="DF180" i="31"/>
  <c r="DF455" i="31"/>
  <c r="DK269" i="31" s="1"/>
  <c r="DK270" i="31" s="1"/>
  <c r="DF454" i="31"/>
  <c r="DJ454" i="31" s="1"/>
  <c r="DO459" i="31" s="1"/>
  <c r="DF752" i="31"/>
  <c r="DF676" i="31"/>
  <c r="DF675" i="31"/>
  <c r="DF665" i="31"/>
  <c r="DF664" i="31"/>
  <c r="DF654" i="31"/>
  <c r="DF653" i="31"/>
  <c r="DF554" i="31"/>
  <c r="DF553" i="31"/>
  <c r="DF504" i="31"/>
  <c r="DF503" i="31"/>
  <c r="DF543" i="31"/>
  <c r="DF544" i="31" s="1"/>
  <c r="DF542" i="31"/>
  <c r="DK186" i="31" l="1"/>
  <c r="DK187" i="31" s="1"/>
  <c r="DJ181" i="31"/>
  <c r="DK185" i="31"/>
  <c r="DJ180" i="31"/>
  <c r="DF254" i="31"/>
  <c r="DF182" i="31"/>
  <c r="DK188" i="31" s="1"/>
  <c r="DK76" i="31"/>
  <c r="DK77" i="31" s="1"/>
  <c r="DJ252" i="31"/>
  <c r="DK265" i="31" l="1"/>
  <c r="DK268" i="31"/>
  <c r="DK75" i="31" l="1"/>
  <c r="DW220" i="10" l="1"/>
  <c r="DW215" i="10"/>
  <c r="DW212" i="10"/>
  <c r="DW207" i="10"/>
  <c r="DV207" i="10"/>
  <c r="DW205" i="10" s="1"/>
  <c r="DW202" i="10"/>
  <c r="DW197" i="10"/>
  <c r="DW161" i="10"/>
  <c r="DW160" i="10"/>
  <c r="DW155" i="10"/>
  <c r="DW149" i="10"/>
  <c r="DW139" i="10"/>
  <c r="DW150" i="10" s="1"/>
  <c r="DX138" i="10"/>
  <c r="DW131" i="10"/>
  <c r="DW125" i="10"/>
  <c r="DX51" i="10"/>
  <c r="DX50" i="10"/>
  <c r="DX49" i="10"/>
  <c r="DX45" i="10"/>
  <c r="DX40" i="10"/>
  <c r="DX39" i="10"/>
  <c r="DX38" i="10"/>
  <c r="DX37" i="10"/>
  <c r="DX35" i="10"/>
  <c r="DX34" i="10"/>
  <c r="DX33" i="10"/>
  <c r="DX32" i="10"/>
  <c r="DX31" i="10"/>
  <c r="DW19" i="10"/>
  <c r="DY41" i="11"/>
  <c r="DZ35" i="11"/>
  <c r="DZ25" i="11"/>
  <c r="DW19" i="11"/>
  <c r="DW20" i="10" l="1"/>
  <c r="DW206" i="10"/>
  <c r="DX19" i="11"/>
  <c r="DY19" i="11" s="1"/>
  <c r="DX36" i="10"/>
  <c r="DX41" i="10" l="1"/>
  <c r="DE549" i="31" l="1"/>
  <c r="DJ554" i="31" s="1"/>
  <c r="DE231" i="31" l="1"/>
  <c r="DJ236" i="31" s="1"/>
  <c r="DE230" i="31"/>
  <c r="DJ235" i="31" s="1"/>
  <c r="EW36" i="9" l="1"/>
  <c r="EW27" i="9"/>
  <c r="EW28" i="9"/>
  <c r="EW26" i="9"/>
  <c r="EV44" i="9"/>
  <c r="EV41" i="9"/>
  <c r="DE1477" i="31"/>
  <c r="DE1476" i="31"/>
  <c r="DD1478" i="31"/>
  <c r="DD1470" i="31"/>
  <c r="DD1471" i="31"/>
  <c r="DE1466" i="31"/>
  <c r="DE1465" i="31"/>
  <c r="DE1455" i="31"/>
  <c r="DE1454" i="31"/>
  <c r="DD1459" i="31"/>
  <c r="DD1460" i="31"/>
  <c r="DD1448" i="31"/>
  <c r="DD1449" i="31"/>
  <c r="DE1444" i="31"/>
  <c r="DE1443" i="31"/>
  <c r="DD1437" i="31"/>
  <c r="DD1438" i="31"/>
  <c r="DE1433" i="31"/>
  <c r="DE1432" i="31"/>
  <c r="DD1426" i="31"/>
  <c r="DD1427" i="31"/>
  <c r="DE1422" i="31"/>
  <c r="DE1421" i="31"/>
  <c r="DD758" i="31"/>
  <c r="DE747" i="31"/>
  <c r="DJ752" i="31" s="1"/>
  <c r="DD741" i="31"/>
  <c r="DD742" i="31"/>
  <c r="DE737" i="31"/>
  <c r="DJ742" i="31" s="1"/>
  <c r="DE736" i="31"/>
  <c r="DJ741" i="31" s="1"/>
  <c r="DE715" i="31"/>
  <c r="DJ720" i="31" s="1"/>
  <c r="DE714" i="31"/>
  <c r="DJ719" i="31" s="1"/>
  <c r="DE693" i="31"/>
  <c r="DE692" i="31"/>
  <c r="DD686" i="31"/>
  <c r="DD687" i="31"/>
  <c r="DD688" i="31" s="1"/>
  <c r="DE682" i="31"/>
  <c r="DE681" i="31"/>
  <c r="DD675" i="31"/>
  <c r="DD676" i="31"/>
  <c r="DE671" i="31"/>
  <c r="DJ676" i="31" s="1"/>
  <c r="DE670" i="31"/>
  <c r="DJ675" i="31" s="1"/>
  <c r="DD664" i="31"/>
  <c r="DD665" i="31"/>
  <c r="DE660" i="31"/>
  <c r="DE659" i="31"/>
  <c r="DE649" i="31"/>
  <c r="DJ654" i="31" s="1"/>
  <c r="DE648" i="31"/>
  <c r="DD653" i="31"/>
  <c r="DD654" i="31"/>
  <c r="DD543" i="31"/>
  <c r="DD544" i="31" s="1"/>
  <c r="DD542" i="31"/>
  <c r="DE538" i="31"/>
  <c r="DE537" i="31"/>
  <c r="DD521" i="31"/>
  <c r="DD520" i="31"/>
  <c r="DC520" i="31"/>
  <c r="DC521" i="31"/>
  <c r="DD517" i="31"/>
  <c r="DE513" i="31"/>
  <c r="DE511" i="31"/>
  <c r="DE509" i="31" s="1"/>
  <c r="DD504" i="31"/>
  <c r="DD503" i="31"/>
  <c r="DE499" i="31"/>
  <c r="DJ504" i="31" s="1"/>
  <c r="DE498" i="31"/>
  <c r="DJ503" i="31" s="1"/>
  <c r="DD344" i="31"/>
  <c r="DD345" i="31"/>
  <c r="DE340" i="31"/>
  <c r="DJ345" i="31" s="1"/>
  <c r="DE339" i="31"/>
  <c r="DJ344" i="31" s="1"/>
  <c r="DE329" i="31"/>
  <c r="DJ334" i="31" s="1"/>
  <c r="DE328" i="31"/>
  <c r="DJ333" i="31" s="1"/>
  <c r="DE275" i="31"/>
  <c r="DJ280" i="31" s="1"/>
  <c r="DE274" i="31"/>
  <c r="DJ279" i="31" s="1"/>
  <c r="DE264" i="31"/>
  <c r="DE263" i="31"/>
  <c r="DD247" i="31"/>
  <c r="DD246" i="31"/>
  <c r="DE242" i="31"/>
  <c r="DJ247" i="31" s="1"/>
  <c r="DE241" i="31"/>
  <c r="DJ246" i="31" s="1"/>
  <c r="DE220" i="31"/>
  <c r="DJ225" i="31" s="1"/>
  <c r="DE219" i="31"/>
  <c r="DJ224" i="31" s="1"/>
  <c r="DD211" i="31"/>
  <c r="DD210" i="31"/>
  <c r="DD209" i="31"/>
  <c r="DD208" i="31"/>
  <c r="DE204" i="31"/>
  <c r="DJ211" i="31" s="1"/>
  <c r="DE203" i="31"/>
  <c r="DJ210" i="31" s="1"/>
  <c r="DE202" i="31"/>
  <c r="DJ208" i="31" s="1"/>
  <c r="DE192" i="31"/>
  <c r="DE191" i="31"/>
  <c r="DD181" i="31"/>
  <c r="DI186" i="31" s="1"/>
  <c r="DI187" i="31" s="1"/>
  <c r="DD180" i="31"/>
  <c r="DI185" i="31" s="1"/>
  <c r="DE170" i="31"/>
  <c r="DJ175" i="31" s="1"/>
  <c r="DE169" i="31"/>
  <c r="DJ174" i="31" s="1"/>
  <c r="DE126" i="31"/>
  <c r="DJ131" i="31" s="1"/>
  <c r="DE125" i="31"/>
  <c r="DJ130" i="31" s="1"/>
  <c r="DD174" i="31"/>
  <c r="DD131" i="31"/>
  <c r="DD130" i="31"/>
  <c r="DJ542" i="31" l="1"/>
  <c r="DJ540" i="31"/>
  <c r="DJ543" i="31"/>
  <c r="DJ541" i="31"/>
  <c r="DJ653" i="31"/>
  <c r="DE637" i="31"/>
  <c r="DJ1427" i="31"/>
  <c r="DJ1448" i="31"/>
  <c r="DJ1459" i="31"/>
  <c r="DJ1449" i="31"/>
  <c r="DJ1460" i="31"/>
  <c r="DJ1481" i="31"/>
  <c r="DJ1437" i="31"/>
  <c r="DJ1470" i="31"/>
  <c r="DJ1482" i="31"/>
  <c r="DJ1438" i="31"/>
  <c r="DJ1471" i="31"/>
  <c r="DJ1426" i="31"/>
  <c r="DO211" i="31"/>
  <c r="DE221" i="31"/>
  <c r="DJ227" i="31" l="1"/>
  <c r="DN235" i="31"/>
  <c r="DN344" i="31" l="1"/>
  <c r="DN542" i="31"/>
  <c r="DN211" i="31"/>
  <c r="DN212" i="31" s="1"/>
  <c r="DN719" i="31"/>
  <c r="DS719" i="31" l="1"/>
  <c r="DV215" i="10"/>
  <c r="DV220" i="10"/>
  <c r="DV212" i="10"/>
  <c r="DW210" i="10" s="1"/>
  <c r="DW211" i="10" s="1"/>
  <c r="DV202" i="10"/>
  <c r="DW200" i="10" s="1"/>
  <c r="DW201" i="10" s="1"/>
  <c r="DV197" i="10"/>
  <c r="DW195" i="10" s="1"/>
  <c r="DW196" i="10" s="1"/>
  <c r="DV161" i="10"/>
  <c r="DW158" i="10" s="1"/>
  <c r="DW159" i="10" s="1"/>
  <c r="DU160" i="10"/>
  <c r="DV155" i="10"/>
  <c r="DW153" i="10" s="1"/>
  <c r="DW154" i="10" s="1"/>
  <c r="DV139" i="10"/>
  <c r="DW134" i="10" s="1"/>
  <c r="DW27" i="11"/>
  <c r="DX27" i="11" s="1"/>
  <c r="DW20" i="11"/>
  <c r="DV131" i="10"/>
  <c r="DW128" i="10" s="1"/>
  <c r="DW129" i="10" s="1"/>
  <c r="DV125" i="10"/>
  <c r="DV38" i="10"/>
  <c r="DV34" i="10"/>
  <c r="DV19" i="10"/>
  <c r="EI204" i="31" l="1"/>
  <c r="DY27" i="11"/>
  <c r="DX20" i="11"/>
  <c r="DY20" i="11" s="1"/>
  <c r="DV140" i="10"/>
  <c r="EJ204" i="31" l="1"/>
  <c r="EK204" i="31" s="1"/>
  <c r="EL204" i="31" s="1"/>
  <c r="EM204" i="31" s="1"/>
  <c r="EN204" i="31" s="1"/>
  <c r="EO204" i="31" s="1"/>
  <c r="EP204" i="31" s="1"/>
  <c r="EQ204" i="31" s="1"/>
  <c r="ER204" i="31" s="1"/>
  <c r="ES204" i="31" s="1"/>
  <c r="ET204" i="31" s="1"/>
  <c r="EU204" i="31" s="1"/>
  <c r="EV204" i="31" s="1"/>
  <c r="EW204" i="31" s="1"/>
  <c r="EH204" i="31"/>
  <c r="EH211" i="31" l="1"/>
  <c r="EH212" i="31"/>
  <c r="DY102" i="10"/>
  <c r="DW102" i="10" l="1"/>
  <c r="DV102" i="10"/>
  <c r="DC180" i="31" l="1"/>
  <c r="DH185" i="31" s="1"/>
  <c r="DC181" i="31"/>
  <c r="DH186" i="31" s="1"/>
  <c r="DH187" i="31" s="1"/>
  <c r="DB509" i="31" l="1"/>
  <c r="DC509" i="31"/>
  <c r="DC1481" i="31" l="1"/>
  <c r="DC1482" i="31"/>
  <c r="DC1470" i="31"/>
  <c r="DC1471" i="31"/>
  <c r="DC1459" i="31"/>
  <c r="DC1460" i="31"/>
  <c r="DC1448" i="31"/>
  <c r="DC1449" i="31"/>
  <c r="DC1437" i="31"/>
  <c r="DC1438" i="31"/>
  <c r="DC1426" i="31"/>
  <c r="DC1427" i="31"/>
  <c r="DC752" i="31"/>
  <c r="DC741" i="31"/>
  <c r="DC742" i="31"/>
  <c r="DC720" i="31"/>
  <c r="DC719" i="31"/>
  <c r="DC697" i="31"/>
  <c r="DC698" i="31"/>
  <c r="DC699" i="31" s="1"/>
  <c r="DC687" i="31"/>
  <c r="DC688" i="31" s="1"/>
  <c r="DC686" i="31"/>
  <c r="DB686" i="31"/>
  <c r="DC675" i="31"/>
  <c r="DC676" i="31"/>
  <c r="DC665" i="31"/>
  <c r="DC664" i="31"/>
  <c r="DC654" i="31"/>
  <c r="DC653" i="31"/>
  <c r="DC543" i="31"/>
  <c r="DC544" i="31" s="1"/>
  <c r="DC542" i="31"/>
  <c r="DC503" i="31"/>
  <c r="DC504" i="31"/>
  <c r="DC471" i="31"/>
  <c r="DC470" i="31"/>
  <c r="DC455" i="31"/>
  <c r="DC454" i="31"/>
  <c r="DC344" i="31"/>
  <c r="DC345" i="31"/>
  <c r="DC334" i="31"/>
  <c r="DC333" i="31"/>
  <c r="DC280" i="31"/>
  <c r="DC279" i="31"/>
  <c r="DC246" i="31"/>
  <c r="DC247" i="31"/>
  <c r="DC236" i="31"/>
  <c r="DC235" i="31"/>
  <c r="DC208" i="31"/>
  <c r="DC209" i="31"/>
  <c r="DC210" i="31"/>
  <c r="DC211" i="31"/>
  <c r="DC186" i="31"/>
  <c r="DC175" i="31"/>
  <c r="DC174" i="31"/>
  <c r="DC131" i="31"/>
  <c r="DC130" i="31"/>
  <c r="DC225" i="31"/>
  <c r="DC224" i="31"/>
  <c r="DC456" i="31" l="1"/>
  <c r="EU44" i="9"/>
  <c r="EU41" i="9" l="1"/>
  <c r="EU71" i="9" l="1"/>
  <c r="DW50" i="11" l="1"/>
  <c r="DW47" i="11"/>
  <c r="DW46" i="11"/>
  <c r="DW45" i="11"/>
  <c r="DW44" i="11"/>
  <c r="DW43" i="11"/>
  <c r="DW42" i="11"/>
  <c r="DW40" i="11"/>
  <c r="DW39" i="11"/>
  <c r="DW34" i="11"/>
  <c r="DW33" i="11"/>
  <c r="DW32" i="11"/>
  <c r="DW26" i="11"/>
  <c r="DW25" i="11"/>
  <c r="DW24" i="11"/>
  <c r="DW23" i="11"/>
  <c r="DW16" i="11"/>
  <c r="DW15" i="11"/>
  <c r="DU220" i="10"/>
  <c r="DU215" i="10"/>
  <c r="DU212" i="10"/>
  <c r="DV210" i="10" s="1"/>
  <c r="DV211" i="10" s="1"/>
  <c r="DU207" i="10"/>
  <c r="DV205" i="10" s="1"/>
  <c r="DV206" i="10" s="1"/>
  <c r="DU202" i="10"/>
  <c r="DV200" i="10" s="1"/>
  <c r="DV201" i="10" s="1"/>
  <c r="DU197" i="10"/>
  <c r="DU190" i="10"/>
  <c r="DU189" i="10"/>
  <c r="DU188" i="10"/>
  <c r="DU187" i="10"/>
  <c r="DU185" i="10"/>
  <c r="DU161" i="10"/>
  <c r="DU155" i="10"/>
  <c r="DU149" i="10"/>
  <c r="DU139" i="10"/>
  <c r="DU150" i="10" s="1"/>
  <c r="DU131" i="10"/>
  <c r="DU125" i="10"/>
  <c r="DU115" i="10"/>
  <c r="DU116" i="10" s="1"/>
  <c r="DU108" i="10"/>
  <c r="DU109" i="10" s="1"/>
  <c r="DU103" i="10"/>
  <c r="DU104" i="10" s="1"/>
  <c r="DU102" i="10"/>
  <c r="DU95" i="10"/>
  <c r="DU96" i="10" s="1"/>
  <c r="DU98" i="10" s="1"/>
  <c r="DU87" i="10"/>
  <c r="DU85" i="10"/>
  <c r="DU38" i="10"/>
  <c r="DU34" i="10"/>
  <c r="DU19" i="10"/>
  <c r="DU186" i="10" l="1"/>
  <c r="DX23" i="11"/>
  <c r="DY23" i="11" s="1"/>
  <c r="DX32" i="11"/>
  <c r="DX40" i="11"/>
  <c r="DX45" i="11"/>
  <c r="DY45" i="11" s="1"/>
  <c r="DX24" i="11"/>
  <c r="DY24" i="11" s="1"/>
  <c r="DX33" i="11"/>
  <c r="DY33" i="11" s="1"/>
  <c r="DX42" i="11"/>
  <c r="DY42" i="11" s="1"/>
  <c r="DX46" i="11"/>
  <c r="DX15" i="11"/>
  <c r="DX25" i="11"/>
  <c r="DY25" i="11" s="1"/>
  <c r="DX34" i="11"/>
  <c r="DX43" i="11"/>
  <c r="DY43" i="11" s="1"/>
  <c r="DX47" i="11"/>
  <c r="DY47" i="11" s="1"/>
  <c r="DX16" i="11"/>
  <c r="DW28" i="11"/>
  <c r="DX26" i="11"/>
  <c r="DY26" i="11" s="1"/>
  <c r="DX39" i="11"/>
  <c r="DX44" i="11"/>
  <c r="DX50" i="11"/>
  <c r="DY50" i="11" s="1"/>
  <c r="DU97" i="10"/>
  <c r="DU120" i="10"/>
  <c r="DY46" i="11" l="1"/>
  <c r="DY34" i="11"/>
  <c r="DY16" i="11"/>
  <c r="DV135" i="10"/>
  <c r="DY44" i="11"/>
  <c r="DY39" i="11"/>
  <c r="DV138" i="10"/>
  <c r="DY40" i="11"/>
  <c r="DY15" i="11"/>
  <c r="DY28" i="11"/>
  <c r="DY32" i="11"/>
  <c r="DB454" i="31"/>
  <c r="DG459" i="31" s="1"/>
  <c r="DY48" i="11" l="1"/>
  <c r="DW135" i="10"/>
  <c r="DW137" i="10" s="1"/>
  <c r="DW138" i="10"/>
  <c r="DB554" i="31"/>
  <c r="DB1505" i="31"/>
  <c r="DB1508" i="31"/>
  <c r="DB1509" i="31"/>
  <c r="DB1515" i="31"/>
  <c r="DB1518" i="31"/>
  <c r="DB1519" i="31"/>
  <c r="DB352" i="31"/>
  <c r="DB1605" i="31"/>
  <c r="DB1608" i="31"/>
  <c r="DB1609" i="31"/>
  <c r="DB1627" i="31"/>
  <c r="DB1630" i="31"/>
  <c r="DB1631" i="31"/>
  <c r="DB1638" i="31"/>
  <c r="DB1641" i="31"/>
  <c r="DB1642" i="31"/>
  <c r="DB1481" i="31"/>
  <c r="DB1482" i="31"/>
  <c r="DB1470" i="31"/>
  <c r="DB1471" i="31"/>
  <c r="DB1459" i="31"/>
  <c r="DB1460" i="31"/>
  <c r="DB1448" i="31"/>
  <c r="DB1449" i="31"/>
  <c r="DB1437" i="31"/>
  <c r="DB1438" i="31"/>
  <c r="DB1426" i="31"/>
  <c r="DB1427" i="31"/>
  <c r="DB752" i="31"/>
  <c r="DB741" i="31"/>
  <c r="DB742" i="31"/>
  <c r="DB719" i="31"/>
  <c r="DB720" i="31"/>
  <c r="DB687" i="31"/>
  <c r="DB688" i="31" s="1"/>
  <c r="DB675" i="31"/>
  <c r="DB676" i="31"/>
  <c r="DB664" i="31"/>
  <c r="DB665" i="31"/>
  <c r="DB653" i="31"/>
  <c r="DB654" i="31"/>
  <c r="DB542" i="31"/>
  <c r="DB543" i="31"/>
  <c r="DB544" i="31" s="1"/>
  <c r="DB503" i="31"/>
  <c r="DB504" i="31"/>
  <c r="DB455" i="31"/>
  <c r="DB344" i="31"/>
  <c r="DB345" i="31"/>
  <c r="DB333" i="31"/>
  <c r="DB334" i="31"/>
  <c r="DB279" i="31"/>
  <c r="DB280" i="31"/>
  <c r="DB246" i="31"/>
  <c r="DB247" i="31"/>
  <c r="DB235" i="31"/>
  <c r="DB236" i="31"/>
  <c r="DB224" i="31"/>
  <c r="DB225" i="31"/>
  <c r="DB208" i="31"/>
  <c r="DB209" i="31"/>
  <c r="DB210" i="31"/>
  <c r="DB211" i="31"/>
  <c r="DB180" i="31"/>
  <c r="DG185" i="31" s="1"/>
  <c r="DB181" i="31"/>
  <c r="DG186" i="31" s="1"/>
  <c r="DG187" i="31" s="1"/>
  <c r="DB174" i="31"/>
  <c r="DB175" i="31"/>
  <c r="DB130" i="31"/>
  <c r="DB131" i="31"/>
  <c r="DB456" i="31" l="1"/>
  <c r="DG460" i="31"/>
  <c r="DG461" i="31" s="1"/>
  <c r="DB769" i="31"/>
  <c r="DB1643" i="31"/>
  <c r="DB182" i="31"/>
  <c r="DB1632" i="31"/>
  <c r="DB1510" i="31"/>
  <c r="DB770" i="31"/>
  <c r="DB1610" i="31"/>
  <c r="DB1520" i="31"/>
  <c r="DB771" i="31" l="1"/>
  <c r="ET41" i="9"/>
  <c r="ET44" i="9"/>
  <c r="ET71" i="9" l="1"/>
  <c r="M144" i="204" l="1"/>
  <c r="L144" i="204"/>
  <c r="K144" i="204"/>
  <c r="J144" i="204"/>
  <c r="M143" i="204"/>
  <c r="L143" i="204"/>
  <c r="K143" i="204"/>
  <c r="J143" i="204"/>
  <c r="M60" i="204"/>
  <c r="L60" i="204"/>
  <c r="K60" i="204"/>
  <c r="J60" i="204"/>
  <c r="K12" i="204"/>
  <c r="L12" i="204" s="1"/>
  <c r="M12" i="204" s="1"/>
  <c r="K11" i="204"/>
  <c r="L11" i="204" s="1"/>
  <c r="M11" i="204" s="1"/>
  <c r="K10" i="204"/>
  <c r="L10" i="204" s="1"/>
  <c r="M10" i="204" s="1"/>
  <c r="K9" i="204"/>
  <c r="L9" i="204" s="1"/>
  <c r="EC215" i="10"/>
  <c r="DY215" i="10"/>
  <c r="DT87" i="10"/>
  <c r="FA120" i="9"/>
  <c r="EY120" i="9"/>
  <c r="FB44" i="9"/>
  <c r="DF764" i="31"/>
  <c r="DH753" i="31"/>
  <c r="DF753" i="31"/>
  <c r="DF742" i="31"/>
  <c r="DF687" i="31"/>
  <c r="DH665" i="31"/>
  <c r="DF1505" i="31"/>
  <c r="DF1508" i="31"/>
  <c r="DF1509" i="31"/>
  <c r="DF1515" i="31"/>
  <c r="DF1518" i="31"/>
  <c r="DF1519" i="31"/>
  <c r="DH1519" i="31"/>
  <c r="DG1519" i="31"/>
  <c r="DH1518" i="31"/>
  <c r="DG1518" i="31"/>
  <c r="DH1515" i="31"/>
  <c r="DG1515" i="31"/>
  <c r="DI1514" i="31"/>
  <c r="DI1519" i="31" s="1"/>
  <c r="DI1513" i="31"/>
  <c r="DH1509" i="31"/>
  <c r="DG1509" i="31"/>
  <c r="DH1508" i="31"/>
  <c r="DG1508" i="31"/>
  <c r="DH1505" i="31"/>
  <c r="DG1505" i="31"/>
  <c r="DI1504" i="31"/>
  <c r="DI1509" i="31" s="1"/>
  <c r="DI1503" i="31"/>
  <c r="DM539" i="31" l="1"/>
  <c r="DM716" i="31"/>
  <c r="DF738" i="31"/>
  <c r="DF1510" i="31"/>
  <c r="EX59" i="9"/>
  <c r="EY59" i="9"/>
  <c r="DH1510" i="31"/>
  <c r="DI1505" i="31"/>
  <c r="DF1520" i="31"/>
  <c r="DG1510" i="31"/>
  <c r="DF683" i="31"/>
  <c r="DK689" i="31" s="1"/>
  <c r="M9" i="204"/>
  <c r="DH1520" i="31"/>
  <c r="DK642" i="31"/>
  <c r="DF716" i="31"/>
  <c r="DF650" i="31"/>
  <c r="DF1456" i="31"/>
  <c r="DK1462" i="31" s="1"/>
  <c r="DF1445" i="31"/>
  <c r="DK1451" i="31" s="1"/>
  <c r="DF1434" i="31"/>
  <c r="DK1440" i="31" s="1"/>
  <c r="DF1423" i="31"/>
  <c r="DK1429" i="31" s="1"/>
  <c r="DF749" i="31"/>
  <c r="DF672" i="31"/>
  <c r="DK678" i="31" s="1"/>
  <c r="DF661" i="31"/>
  <c r="DF638" i="31"/>
  <c r="DF1467" i="31"/>
  <c r="DK1473" i="31" s="1"/>
  <c r="DF1488" i="31"/>
  <c r="DF1478" i="31"/>
  <c r="DK1484" i="31" s="1"/>
  <c r="DF1487" i="31"/>
  <c r="DI1515" i="31"/>
  <c r="DG1520" i="31"/>
  <c r="DI1508" i="31"/>
  <c r="DI1518" i="31"/>
  <c r="DI1520" i="31" s="1"/>
  <c r="DF550" i="31"/>
  <c r="DK556" i="31" s="1"/>
  <c r="DF539" i="31"/>
  <c r="DF520" i="31"/>
  <c r="DF460" i="31"/>
  <c r="DF345" i="31"/>
  <c r="DF334" i="31"/>
  <c r="DG254" i="31"/>
  <c r="DH254" i="31"/>
  <c r="DK722" i="31" l="1"/>
  <c r="DH770" i="31"/>
  <c r="DH759" i="31" s="1"/>
  <c r="DF770" i="31"/>
  <c r="DF759" i="31" s="1"/>
  <c r="DI770" i="31"/>
  <c r="DI759" i="31" s="1"/>
  <c r="DG770" i="31"/>
  <c r="DG759" i="31" s="1"/>
  <c r="DH769" i="31"/>
  <c r="DH758" i="31" s="1"/>
  <c r="DK1493" i="31"/>
  <c r="DK1494" i="31" s="1"/>
  <c r="DK1492" i="31"/>
  <c r="DK545" i="31"/>
  <c r="DK755" i="31"/>
  <c r="DK744" i="31"/>
  <c r="DM232" i="31"/>
  <c r="DH771" i="31"/>
  <c r="DI1510" i="31"/>
  <c r="DH341" i="31"/>
  <c r="DJ254" i="31"/>
  <c r="DG341" i="31"/>
  <c r="DL347" i="31" s="1"/>
  <c r="DF639" i="31"/>
  <c r="DF1489" i="31"/>
  <c r="DF500" i="31"/>
  <c r="DF341" i="31"/>
  <c r="DF330" i="31"/>
  <c r="DF276" i="31"/>
  <c r="DF243" i="31"/>
  <c r="DF232" i="31"/>
  <c r="DF57" i="31"/>
  <c r="DF56" i="31"/>
  <c r="DK282" i="31" l="1"/>
  <c r="DK336" i="31"/>
  <c r="DK61" i="31"/>
  <c r="EX88" i="9"/>
  <c r="DK62" i="31"/>
  <c r="DK63" i="31" s="1"/>
  <c r="EX89" i="9"/>
  <c r="DK238" i="31"/>
  <c r="DK1495" i="31"/>
  <c r="DM341" i="31"/>
  <c r="DM347" i="31" s="1"/>
  <c r="DK347" i="31"/>
  <c r="DF197" i="31"/>
  <c r="DF198" i="31" s="1"/>
  <c r="DF221" i="31"/>
  <c r="DF215" i="31"/>
  <c r="DF205" i="31"/>
  <c r="DF196" i="31"/>
  <c r="DF127" i="31"/>
  <c r="DF58" i="31"/>
  <c r="DK64" i="31" l="1"/>
  <c r="EX90" i="9"/>
  <c r="DK213" i="31"/>
  <c r="DK227" i="31"/>
  <c r="DK133" i="31"/>
  <c r="DF193" i="31"/>
  <c r="DT220" i="10"/>
  <c r="DT215" i="10"/>
  <c r="DT212" i="10"/>
  <c r="DU210" i="10" s="1"/>
  <c r="DU211" i="10" s="1"/>
  <c r="DT207" i="10"/>
  <c r="DU205" i="10" s="1"/>
  <c r="DU206" i="10" s="1"/>
  <c r="DT202" i="10"/>
  <c r="DU200" i="10" s="1"/>
  <c r="DU201" i="10" s="1"/>
  <c r="DT197" i="10"/>
  <c r="DU195" i="10" s="1"/>
  <c r="DU196" i="10" s="1"/>
  <c r="DT185" i="10"/>
  <c r="DT161" i="10"/>
  <c r="DU158" i="10" s="1"/>
  <c r="DU159" i="10" s="1"/>
  <c r="DT160" i="10"/>
  <c r="DT138" i="10" s="1"/>
  <c r="DT155" i="10"/>
  <c r="DT139" i="10"/>
  <c r="DT135" i="10"/>
  <c r="DT131" i="10"/>
  <c r="DU128" i="10" s="1"/>
  <c r="DU129" i="10" s="1"/>
  <c r="DT125" i="10"/>
  <c r="DU123" i="10" s="1"/>
  <c r="DU124" i="10" s="1"/>
  <c r="DT103" i="10"/>
  <c r="DT104" i="10" s="1"/>
  <c r="DT102" i="10"/>
  <c r="DT95" i="10"/>
  <c r="DT96" i="10" s="1"/>
  <c r="DT98" i="10" s="1"/>
  <c r="DT85" i="10"/>
  <c r="DT149" i="10"/>
  <c r="DV35" i="11"/>
  <c r="DW18" i="11"/>
  <c r="DW22" i="11"/>
  <c r="DT38" i="10"/>
  <c r="DT34" i="10"/>
  <c r="DT19" i="10"/>
  <c r="DT186" i="10" l="1"/>
  <c r="DW35" i="11"/>
  <c r="DX35" i="11" s="1"/>
  <c r="DY35" i="11" s="1"/>
  <c r="DY36" i="11" s="1"/>
  <c r="DX22" i="11"/>
  <c r="DX18" i="11"/>
  <c r="DY18" i="11" s="1"/>
  <c r="DX12" i="11"/>
  <c r="DY12" i="11" s="1"/>
  <c r="DT97" i="10"/>
  <c r="DT140" i="10"/>
  <c r="DU134" i="10"/>
  <c r="DT150" i="10"/>
  <c r="DY22" i="11" l="1"/>
  <c r="DT142" i="10"/>
  <c r="DT143" i="10"/>
  <c r="DT146" i="10"/>
  <c r="DT147" i="10" s="1"/>
  <c r="DT148" i="10" l="1"/>
  <c r="DI138" i="10" l="1"/>
  <c r="DF470" i="31" l="1"/>
  <c r="D54" i="204"/>
  <c r="E129" i="204" l="1"/>
  <c r="N144" i="204"/>
  <c r="H144" i="204"/>
  <c r="G144" i="204"/>
  <c r="F144" i="204"/>
  <c r="R143" i="204"/>
  <c r="P143" i="204"/>
  <c r="O143" i="204"/>
  <c r="N143" i="204"/>
  <c r="I143" i="204"/>
  <c r="H143" i="204"/>
  <c r="G143" i="204"/>
  <c r="F143" i="204"/>
  <c r="E143" i="204"/>
  <c r="E126" i="204"/>
  <c r="F119" i="204" s="1"/>
  <c r="D53" i="204" l="1"/>
  <c r="D56" i="204" s="1"/>
  <c r="D115" i="204" s="1"/>
  <c r="D113" i="204"/>
  <c r="I114" i="204"/>
  <c r="E128" i="204"/>
  <c r="E112" i="204" l="1"/>
  <c r="F121" i="204"/>
  <c r="ES44" i="9"/>
  <c r="F126" i="204"/>
  <c r="EW44" i="9" l="1"/>
  <c r="F133" i="204"/>
  <c r="G119" i="204"/>
  <c r="G126" i="204" l="1"/>
  <c r="H126" i="204" l="1"/>
  <c r="DX15" i="10"/>
  <c r="G133" i="204"/>
  <c r="H119" i="204"/>
  <c r="DS117" i="10"/>
  <c r="DN117" i="10"/>
  <c r="DO125" i="10"/>
  <c r="CF118" i="10"/>
  <c r="D61" i="204"/>
  <c r="I126" i="204" l="1"/>
  <c r="J119" i="204" s="1"/>
  <c r="H133" i="204"/>
  <c r="I119" i="204"/>
  <c r="D77" i="204"/>
  <c r="DS110" i="10"/>
  <c r="DT108" i="10" s="1"/>
  <c r="EH119" i="9"/>
  <c r="DS138" i="10"/>
  <c r="DR139" i="10"/>
  <c r="DR140" i="10" s="1"/>
  <c r="DQ155" i="10"/>
  <c r="DR142" i="10" l="1"/>
  <c r="I133" i="204"/>
  <c r="N119" i="204"/>
  <c r="J126" i="204"/>
  <c r="EX132" i="9"/>
  <c r="DT109" i="10"/>
  <c r="DT112" i="10"/>
  <c r="DX117" i="10"/>
  <c r="J133" i="204" l="1"/>
  <c r="K119" i="204"/>
  <c r="K126" i="204"/>
  <c r="EY132" i="9"/>
  <c r="DG127" i="31"/>
  <c r="DL133" i="31" s="1"/>
  <c r="DS37" i="10"/>
  <c r="D60" i="204"/>
  <c r="B61" i="204"/>
  <c r="E52" i="204"/>
  <c r="E49" i="204"/>
  <c r="E48" i="204"/>
  <c r="E47" i="204"/>
  <c r="E46" i="204"/>
  <c r="F46" i="204" s="1"/>
  <c r="E45" i="204"/>
  <c r="E43" i="204"/>
  <c r="F43" i="204" s="1"/>
  <c r="E41" i="204"/>
  <c r="E42" i="204"/>
  <c r="F42" i="204" s="1"/>
  <c r="E40" i="204"/>
  <c r="E39" i="204"/>
  <c r="E38" i="204"/>
  <c r="E37" i="204"/>
  <c r="F37" i="204" s="1"/>
  <c r="E36" i="204"/>
  <c r="E33" i="204"/>
  <c r="E31" i="204"/>
  <c r="E32" i="204"/>
  <c r="F32" i="204" s="1"/>
  <c r="G32" i="204" s="1"/>
  <c r="E29" i="204"/>
  <c r="F29" i="204" s="1"/>
  <c r="E28" i="204"/>
  <c r="F28" i="204" s="1"/>
  <c r="E26" i="204"/>
  <c r="F26" i="204" s="1"/>
  <c r="E25" i="204"/>
  <c r="F25" i="204" s="1"/>
  <c r="G25" i="204" s="1"/>
  <c r="S24" i="204"/>
  <c r="T24" i="204" s="1"/>
  <c r="U24" i="204" s="1"/>
  <c r="V24" i="204" s="1"/>
  <c r="E24" i="204"/>
  <c r="F24" i="204" s="1"/>
  <c r="G24" i="204" s="1"/>
  <c r="R23" i="204"/>
  <c r="S23" i="204" s="1"/>
  <c r="T23" i="204" s="1"/>
  <c r="U23" i="204" s="1"/>
  <c r="V23" i="204" s="1"/>
  <c r="E23" i="204"/>
  <c r="F23" i="204" s="1"/>
  <c r="G23" i="204" s="1"/>
  <c r="E22" i="204"/>
  <c r="F22" i="204" s="1"/>
  <c r="E21" i="204"/>
  <c r="F21" i="204" s="1"/>
  <c r="G21" i="204" s="1"/>
  <c r="E20" i="204"/>
  <c r="F20" i="204" s="1"/>
  <c r="E19" i="204"/>
  <c r="F19" i="204" s="1"/>
  <c r="G19" i="204" s="1"/>
  <c r="H19" i="204" s="1"/>
  <c r="I19" i="204" s="1"/>
  <c r="E18" i="204"/>
  <c r="F18" i="204" s="1"/>
  <c r="G18" i="204" s="1"/>
  <c r="H18" i="204" s="1"/>
  <c r="I18" i="204" s="1"/>
  <c r="F17" i="204"/>
  <c r="G17" i="204" s="1"/>
  <c r="H17" i="204" s="1"/>
  <c r="I17" i="204" s="1"/>
  <c r="E16" i="204"/>
  <c r="F16" i="204" s="1"/>
  <c r="G16" i="204" s="1"/>
  <c r="H16" i="204" s="1"/>
  <c r="I16" i="204" s="1"/>
  <c r="E15" i="204"/>
  <c r="F15" i="204" s="1"/>
  <c r="G15" i="204" s="1"/>
  <c r="E14" i="204"/>
  <c r="F14" i="204" s="1"/>
  <c r="E13" i="204"/>
  <c r="F12" i="204"/>
  <c r="F11" i="204"/>
  <c r="G11" i="204" s="1"/>
  <c r="H11" i="204" s="1"/>
  <c r="I11" i="204" s="1"/>
  <c r="N11" i="204" s="1"/>
  <c r="O11" i="204" s="1"/>
  <c r="P11" i="204" s="1"/>
  <c r="F10" i="204"/>
  <c r="G10" i="204" s="1"/>
  <c r="H10" i="204" s="1"/>
  <c r="I10" i="204" s="1"/>
  <c r="N10" i="204" s="1"/>
  <c r="O10" i="204" s="1"/>
  <c r="P10" i="204" s="1"/>
  <c r="F9" i="204"/>
  <c r="S6" i="204"/>
  <c r="S60" i="204" s="1"/>
  <c r="R6" i="204"/>
  <c r="R60" i="204" s="1"/>
  <c r="Q6" i="204"/>
  <c r="Q60" i="204" s="1"/>
  <c r="P6" i="204"/>
  <c r="P60" i="204" s="1"/>
  <c r="O6" i="204"/>
  <c r="O60" i="204" s="1"/>
  <c r="N6" i="204"/>
  <c r="N60" i="204" s="1"/>
  <c r="I6" i="204"/>
  <c r="I60" i="204" s="1"/>
  <c r="H6" i="204"/>
  <c r="H60" i="204" s="1"/>
  <c r="G6" i="204"/>
  <c r="G60" i="204" s="1"/>
  <c r="F6" i="204"/>
  <c r="F60" i="204" s="1"/>
  <c r="E6" i="204"/>
  <c r="E60" i="204" s="1"/>
  <c r="D129" i="204" l="1"/>
  <c r="W23" i="204"/>
  <c r="X23" i="204" s="1"/>
  <c r="W24" i="204"/>
  <c r="X24" i="204" s="1"/>
  <c r="Q10" i="204"/>
  <c r="P64" i="204"/>
  <c r="Q11" i="204"/>
  <c r="P65" i="204"/>
  <c r="E54" i="204"/>
  <c r="F54" i="204" s="1"/>
  <c r="G54" i="204" s="1"/>
  <c r="H54" i="204" s="1"/>
  <c r="I54" i="204" s="1"/>
  <c r="G9" i="204"/>
  <c r="H9" i="204" s="1"/>
  <c r="I9" i="204" s="1"/>
  <c r="N9" i="204" s="1"/>
  <c r="O9" i="204" s="1"/>
  <c r="P9" i="204" s="1"/>
  <c r="N19" i="204"/>
  <c r="O19" i="204" s="1"/>
  <c r="J19" i="204"/>
  <c r="N16" i="204"/>
  <c r="P16" i="204" s="1"/>
  <c r="J16" i="204"/>
  <c r="K133" i="204"/>
  <c r="L119" i="204"/>
  <c r="N17" i="204"/>
  <c r="P17" i="204" s="1"/>
  <c r="J17" i="204"/>
  <c r="N18" i="204"/>
  <c r="P18" i="204" s="1"/>
  <c r="J18" i="204"/>
  <c r="L126" i="204"/>
  <c r="EZ132" i="9"/>
  <c r="Q19" i="204"/>
  <c r="F13" i="204"/>
  <c r="G13" i="204" s="1"/>
  <c r="H13" i="204" s="1"/>
  <c r="I13" i="204" s="1"/>
  <c r="E53" i="204"/>
  <c r="E71" i="204" s="1"/>
  <c r="E122" i="204"/>
  <c r="E136" i="204" s="1"/>
  <c r="H15" i="204"/>
  <c r="G22" i="204"/>
  <c r="G29" i="204"/>
  <c r="G14" i="204"/>
  <c r="H21" i="204"/>
  <c r="H23" i="204"/>
  <c r="H24" i="204"/>
  <c r="G26" i="204"/>
  <c r="F33" i="204"/>
  <c r="G42" i="204"/>
  <c r="G46" i="204"/>
  <c r="F49" i="204"/>
  <c r="D68" i="204"/>
  <c r="D64" i="204"/>
  <c r="D103" i="204"/>
  <c r="D67" i="204"/>
  <c r="D62" i="204"/>
  <c r="D70" i="204"/>
  <c r="D66" i="204"/>
  <c r="D69" i="204"/>
  <c r="D65" i="204"/>
  <c r="D63" i="204"/>
  <c r="D102" i="204"/>
  <c r="D101" i="204"/>
  <c r="D100" i="204"/>
  <c r="D99" i="204"/>
  <c r="D98" i="204"/>
  <c r="D97" i="204"/>
  <c r="D96" i="204"/>
  <c r="D95" i="204"/>
  <c r="D94" i="204"/>
  <c r="D93" i="204"/>
  <c r="D92" i="204"/>
  <c r="D91" i="204"/>
  <c r="D90" i="204"/>
  <c r="D89" i="204"/>
  <c r="D88" i="204"/>
  <c r="D87" i="204"/>
  <c r="D86" i="204"/>
  <c r="D82" i="204"/>
  <c r="D81" i="204"/>
  <c r="D80" i="204"/>
  <c r="D76" i="204"/>
  <c r="H32" i="204"/>
  <c r="G37" i="204"/>
  <c r="G43" i="204"/>
  <c r="F47" i="204"/>
  <c r="D71" i="204"/>
  <c r="D72" i="204"/>
  <c r="D73" i="204"/>
  <c r="D74" i="204"/>
  <c r="G20" i="204"/>
  <c r="F45" i="204"/>
  <c r="D78" i="204"/>
  <c r="G28" i="204"/>
  <c r="F36" i="204"/>
  <c r="F40" i="204"/>
  <c r="G12" i="204"/>
  <c r="H25" i="204"/>
  <c r="F31" i="204"/>
  <c r="F35" i="204"/>
  <c r="F38" i="204"/>
  <c r="F39" i="204"/>
  <c r="F41" i="204"/>
  <c r="F48" i="204"/>
  <c r="F52" i="204"/>
  <c r="D75" i="204"/>
  <c r="D79" i="204"/>
  <c r="R19" i="204" l="1"/>
  <c r="S19" i="204" s="1"/>
  <c r="T19" i="204" s="1"/>
  <c r="U19" i="204" s="1"/>
  <c r="V19" i="204" s="1"/>
  <c r="Q17" i="204"/>
  <c r="P71" i="204"/>
  <c r="R11" i="204"/>
  <c r="S11" i="204" s="1"/>
  <c r="T11" i="204" s="1"/>
  <c r="U11" i="204" s="1"/>
  <c r="V11" i="204" s="1"/>
  <c r="D107" i="204"/>
  <c r="Q9" i="204"/>
  <c r="P63" i="204"/>
  <c r="Q18" i="204"/>
  <c r="P72" i="204"/>
  <c r="Q16" i="204"/>
  <c r="P70" i="204"/>
  <c r="R10" i="204"/>
  <c r="S10" i="204" s="1"/>
  <c r="T10" i="204" s="1"/>
  <c r="U10" i="204" s="1"/>
  <c r="V10" i="204" s="1"/>
  <c r="F53" i="204"/>
  <c r="F56" i="204" s="1"/>
  <c r="E78" i="204"/>
  <c r="N54" i="204"/>
  <c r="E95" i="204"/>
  <c r="O13" i="204"/>
  <c r="P13" i="204" s="1"/>
  <c r="J13" i="204"/>
  <c r="L133" i="204"/>
  <c r="M119" i="204"/>
  <c r="K17" i="204"/>
  <c r="K16" i="204"/>
  <c r="K18" i="204"/>
  <c r="K19" i="204"/>
  <c r="EC15" i="10"/>
  <c r="M126" i="204"/>
  <c r="FA132" i="9"/>
  <c r="E80" i="204"/>
  <c r="E99" i="204"/>
  <c r="E56" i="204"/>
  <c r="E94" i="204"/>
  <c r="E89" i="204"/>
  <c r="E73" i="204"/>
  <c r="E76" i="204"/>
  <c r="E96" i="204"/>
  <c r="E92" i="204"/>
  <c r="E90" i="204"/>
  <c r="E77" i="204"/>
  <c r="E103" i="204"/>
  <c r="E82" i="204"/>
  <c r="E81" i="204"/>
  <c r="E72" i="204"/>
  <c r="E101" i="204"/>
  <c r="E93" i="204"/>
  <c r="E68" i="204"/>
  <c r="G40" i="204"/>
  <c r="H42" i="204"/>
  <c r="I24" i="204"/>
  <c r="J24" i="204" s="1"/>
  <c r="I21" i="204"/>
  <c r="J21" i="204" s="1"/>
  <c r="H14" i="204"/>
  <c r="G41" i="204"/>
  <c r="G38" i="204"/>
  <c r="H28" i="204"/>
  <c r="H43" i="204"/>
  <c r="I32" i="204"/>
  <c r="J32" i="204" s="1"/>
  <c r="H46" i="204"/>
  <c r="E91" i="204"/>
  <c r="E74" i="204"/>
  <c r="E87" i="204"/>
  <c r="H29" i="204"/>
  <c r="H22" i="204"/>
  <c r="I15" i="204"/>
  <c r="J15" i="204" s="1"/>
  <c r="G52" i="204"/>
  <c r="G48" i="204"/>
  <c r="G35" i="204"/>
  <c r="H12" i="204"/>
  <c r="E98" i="204"/>
  <c r="E100" i="204"/>
  <c r="E86" i="204"/>
  <c r="E75" i="204"/>
  <c r="E102" i="204"/>
  <c r="E97" i="204"/>
  <c r="E88" i="204"/>
  <c r="H26" i="204"/>
  <c r="I23" i="204"/>
  <c r="J23" i="204" s="1"/>
  <c r="I25" i="204"/>
  <c r="J25" i="204" s="1"/>
  <c r="G39" i="204"/>
  <c r="G31" i="204"/>
  <c r="G36" i="204"/>
  <c r="E65" i="204"/>
  <c r="E61" i="204"/>
  <c r="E66" i="204"/>
  <c r="E62" i="204"/>
  <c r="E63" i="204"/>
  <c r="E64" i="204"/>
  <c r="G45" i="204"/>
  <c r="H20" i="204"/>
  <c r="E67" i="204"/>
  <c r="G47" i="204"/>
  <c r="H37" i="204"/>
  <c r="E79" i="204"/>
  <c r="G49" i="204"/>
  <c r="G33" i="204"/>
  <c r="E69" i="204"/>
  <c r="E70" i="204"/>
  <c r="W11" i="204" l="1"/>
  <c r="X11" i="204" s="1"/>
  <c r="W19" i="204"/>
  <c r="X19" i="204" s="1"/>
  <c r="W10" i="204"/>
  <c r="X10" i="204" s="1"/>
  <c r="E107" i="204"/>
  <c r="R18" i="204"/>
  <c r="S18" i="204" s="1"/>
  <c r="T18" i="204" s="1"/>
  <c r="U18" i="204" s="1"/>
  <c r="V18" i="204" s="1"/>
  <c r="R17" i="204"/>
  <c r="S17" i="204" s="1"/>
  <c r="T17" i="204" s="1"/>
  <c r="U17" i="204" s="1"/>
  <c r="V17" i="204" s="1"/>
  <c r="R9" i="204"/>
  <c r="S9" i="204" s="1"/>
  <c r="T9" i="204" s="1"/>
  <c r="U9" i="204" s="1"/>
  <c r="V9" i="204" s="1"/>
  <c r="R16" i="204"/>
  <c r="S16" i="204" s="1"/>
  <c r="T16" i="204" s="1"/>
  <c r="U16" i="204" s="1"/>
  <c r="V16" i="204" s="1"/>
  <c r="Q13" i="204"/>
  <c r="P67" i="204"/>
  <c r="F68" i="204"/>
  <c r="F88" i="204"/>
  <c r="F87" i="204"/>
  <c r="L19" i="204"/>
  <c r="L16" i="204"/>
  <c r="K24" i="204"/>
  <c r="M133" i="204"/>
  <c r="K13" i="204"/>
  <c r="K15" i="204"/>
  <c r="K21" i="204"/>
  <c r="K25" i="204"/>
  <c r="K23" i="204"/>
  <c r="K32" i="204"/>
  <c r="L18" i="204"/>
  <c r="L17" i="204"/>
  <c r="F99" i="204"/>
  <c r="F73" i="204"/>
  <c r="F94" i="204"/>
  <c r="F64" i="204"/>
  <c r="F82" i="204"/>
  <c r="F71" i="204"/>
  <c r="F61" i="204"/>
  <c r="F100" i="204"/>
  <c r="F98" i="204"/>
  <c r="F93" i="204"/>
  <c r="F76" i="204"/>
  <c r="F72" i="204"/>
  <c r="F63" i="204"/>
  <c r="F74" i="204"/>
  <c r="F103" i="204"/>
  <c r="F92" i="204"/>
  <c r="F78" i="204"/>
  <c r="F102" i="204"/>
  <c r="F90" i="204"/>
  <c r="F89" i="204"/>
  <c r="F81" i="204"/>
  <c r="F69" i="204"/>
  <c r="F67" i="204"/>
  <c r="F77" i="204"/>
  <c r="F122" i="204"/>
  <c r="E113" i="204"/>
  <c r="F101" i="204"/>
  <c r="F96" i="204"/>
  <c r="F70" i="204"/>
  <c r="F97" i="204"/>
  <c r="F86" i="204"/>
  <c r="F79" i="204"/>
  <c r="F65" i="204"/>
  <c r="F62" i="204"/>
  <c r="F80" i="204"/>
  <c r="F91" i="204"/>
  <c r="F95" i="204"/>
  <c r="F75" i="204"/>
  <c r="F66" i="204"/>
  <c r="H39" i="204"/>
  <c r="H48" i="204"/>
  <c r="H33" i="204"/>
  <c r="H47" i="204"/>
  <c r="H31" i="204"/>
  <c r="N25" i="204"/>
  <c r="I26" i="204"/>
  <c r="J26" i="204" s="1"/>
  <c r="G53" i="204"/>
  <c r="G101" i="204" s="1"/>
  <c r="H35" i="204"/>
  <c r="H52" i="204"/>
  <c r="I42" i="204"/>
  <c r="J42" i="204" s="1"/>
  <c r="H49" i="204"/>
  <c r="I37" i="204"/>
  <c r="J37" i="204" s="1"/>
  <c r="H45" i="204"/>
  <c r="H36" i="204"/>
  <c r="N32" i="204"/>
  <c r="I28" i="204"/>
  <c r="J28" i="204" s="1"/>
  <c r="H41" i="204"/>
  <c r="N21" i="204"/>
  <c r="O15" i="204"/>
  <c r="N23" i="204"/>
  <c r="I12" i="204"/>
  <c r="I29" i="204"/>
  <c r="J29" i="204" s="1"/>
  <c r="I20" i="204"/>
  <c r="J20" i="204" s="1"/>
  <c r="I22" i="204"/>
  <c r="J22" i="204" s="1"/>
  <c r="I46" i="204"/>
  <c r="J46" i="204" s="1"/>
  <c r="I43" i="204"/>
  <c r="J43" i="204" s="1"/>
  <c r="H38" i="204"/>
  <c r="I14" i="204"/>
  <c r="J14" i="204" s="1"/>
  <c r="N24" i="204"/>
  <c r="H40" i="204"/>
  <c r="W16" i="204" l="1"/>
  <c r="X16" i="204" s="1"/>
  <c r="W9" i="204"/>
  <c r="X9" i="204" s="1"/>
  <c r="W17" i="204"/>
  <c r="X17" i="204" s="1"/>
  <c r="W18" i="204"/>
  <c r="X18" i="204" s="1"/>
  <c r="R13" i="204"/>
  <c r="S13" i="204" s="1"/>
  <c r="T13" i="204" s="1"/>
  <c r="U13" i="204" s="1"/>
  <c r="V13" i="204" s="1"/>
  <c r="F107" i="204"/>
  <c r="FC132" i="9"/>
  <c r="K14" i="204"/>
  <c r="K43" i="204"/>
  <c r="K46" i="204"/>
  <c r="M17" i="204"/>
  <c r="L32" i="204"/>
  <c r="L25" i="204"/>
  <c r="L15" i="204"/>
  <c r="J54" i="204"/>
  <c r="K54" i="204" s="1"/>
  <c r="L54" i="204" s="1"/>
  <c r="M54" i="204" s="1"/>
  <c r="K22" i="204"/>
  <c r="M16" i="204"/>
  <c r="K28" i="204"/>
  <c r="M18" i="204"/>
  <c r="L23" i="204"/>
  <c r="L21" i="204"/>
  <c r="L13" i="204"/>
  <c r="K37" i="204"/>
  <c r="K20" i="204"/>
  <c r="K29" i="204"/>
  <c r="K42" i="204"/>
  <c r="K26" i="204"/>
  <c r="L24" i="204"/>
  <c r="M19" i="204"/>
  <c r="G122" i="204"/>
  <c r="F113" i="204"/>
  <c r="E115" i="204"/>
  <c r="F112" i="204" s="1"/>
  <c r="G103" i="204"/>
  <c r="G94" i="204"/>
  <c r="G96" i="204"/>
  <c r="G102" i="204"/>
  <c r="G98" i="204"/>
  <c r="I38" i="204"/>
  <c r="J38" i="204" s="1"/>
  <c r="N46" i="204"/>
  <c r="N20" i="204"/>
  <c r="O21" i="204"/>
  <c r="N28" i="204"/>
  <c r="I36" i="204"/>
  <c r="J36" i="204" s="1"/>
  <c r="N37" i="204"/>
  <c r="N42" i="204"/>
  <c r="I35" i="204"/>
  <c r="J35" i="204" s="1"/>
  <c r="G100" i="204"/>
  <c r="N12" i="204"/>
  <c r="G61" i="204"/>
  <c r="G62" i="204"/>
  <c r="G75" i="204"/>
  <c r="G78" i="204"/>
  <c r="G70" i="204"/>
  <c r="G56" i="204"/>
  <c r="G71" i="204"/>
  <c r="G67" i="204"/>
  <c r="G77" i="204"/>
  <c r="G72" i="204"/>
  <c r="G65" i="204"/>
  <c r="G64" i="204"/>
  <c r="G69" i="204"/>
  <c r="G73" i="204"/>
  <c r="G86" i="204"/>
  <c r="G79" i="204"/>
  <c r="G63" i="204"/>
  <c r="G80" i="204"/>
  <c r="G68" i="204"/>
  <c r="G97" i="204"/>
  <c r="G99" i="204"/>
  <c r="G74" i="204"/>
  <c r="G95" i="204"/>
  <c r="G82" i="204"/>
  <c r="G66" i="204"/>
  <c r="G91" i="204"/>
  <c r="G81" i="204"/>
  <c r="G76" i="204"/>
  <c r="O25" i="204"/>
  <c r="I47" i="204"/>
  <c r="J47" i="204" s="1"/>
  <c r="I48" i="204"/>
  <c r="J48" i="204" s="1"/>
  <c r="I40" i="204"/>
  <c r="J40" i="204" s="1"/>
  <c r="O14" i="204"/>
  <c r="N43" i="204"/>
  <c r="N22" i="204"/>
  <c r="N29" i="204"/>
  <c r="P15" i="204"/>
  <c r="P69" i="204" s="1"/>
  <c r="I41" i="204"/>
  <c r="J41" i="204" s="1"/>
  <c r="O32" i="204"/>
  <c r="I45" i="204"/>
  <c r="J45" i="204" s="1"/>
  <c r="I49" i="204"/>
  <c r="J49" i="204" s="1"/>
  <c r="I52" i="204"/>
  <c r="J52" i="204" s="1"/>
  <c r="K52" i="204" s="1"/>
  <c r="L52" i="204" s="1"/>
  <c r="M52" i="204" s="1"/>
  <c r="G87" i="204"/>
  <c r="G88" i="204"/>
  <c r="G93" i="204"/>
  <c r="O24" i="204"/>
  <c r="G92" i="204"/>
  <c r="H53" i="204"/>
  <c r="H90" i="204" s="1"/>
  <c r="O23" i="204"/>
  <c r="G90" i="204"/>
  <c r="G89" i="204"/>
  <c r="N26" i="204"/>
  <c r="I31" i="204"/>
  <c r="J31" i="204" s="1"/>
  <c r="I33" i="204"/>
  <c r="J33" i="204" s="1"/>
  <c r="I39" i="204"/>
  <c r="J39" i="204" s="1"/>
  <c r="W13" i="204" l="1"/>
  <c r="X13" i="204" s="1"/>
  <c r="G107" i="204"/>
  <c r="K39" i="204"/>
  <c r="K48" i="204"/>
  <c r="K36" i="204"/>
  <c r="M13" i="204"/>
  <c r="M23" i="204"/>
  <c r="L28" i="204"/>
  <c r="L22" i="204"/>
  <c r="K47" i="204"/>
  <c r="K35" i="204"/>
  <c r="K38" i="204"/>
  <c r="L26" i="204"/>
  <c r="L29" i="204"/>
  <c r="L37" i="204"/>
  <c r="M25" i="204"/>
  <c r="L43" i="204"/>
  <c r="K41" i="204"/>
  <c r="K31" i="204"/>
  <c r="K49" i="204"/>
  <c r="M24" i="204"/>
  <c r="M21" i="204"/>
  <c r="K33" i="204"/>
  <c r="K45" i="204"/>
  <c r="K40" i="204"/>
  <c r="J53" i="204"/>
  <c r="J87" i="204" s="1"/>
  <c r="L42" i="204"/>
  <c r="L20" i="204"/>
  <c r="M15" i="204"/>
  <c r="M32" i="204"/>
  <c r="L46" i="204"/>
  <c r="L14" i="204"/>
  <c r="H122" i="204"/>
  <c r="G113" i="204"/>
  <c r="F115" i="204"/>
  <c r="G112" i="204" s="1"/>
  <c r="H87" i="204"/>
  <c r="H93" i="204"/>
  <c r="H103" i="204"/>
  <c r="H98" i="204"/>
  <c r="H101" i="204"/>
  <c r="H102" i="204"/>
  <c r="H94" i="204"/>
  <c r="H100" i="204"/>
  <c r="H88" i="204"/>
  <c r="H96" i="204"/>
  <c r="H89" i="204"/>
  <c r="O26" i="204"/>
  <c r="P24" i="204"/>
  <c r="P78" i="204" s="1"/>
  <c r="N39" i="204"/>
  <c r="N31" i="204"/>
  <c r="O12" i="204"/>
  <c r="P32" i="204"/>
  <c r="P86" i="204" s="1"/>
  <c r="Q15" i="204"/>
  <c r="O22" i="204"/>
  <c r="P14" i="204"/>
  <c r="P68" i="204" s="1"/>
  <c r="N48" i="204"/>
  <c r="P25" i="204"/>
  <c r="P79" i="204" s="1"/>
  <c r="O42" i="204"/>
  <c r="N36" i="204"/>
  <c r="P21" i="204"/>
  <c r="P75" i="204" s="1"/>
  <c r="O46" i="204"/>
  <c r="P23" i="204"/>
  <c r="P77" i="204" s="1"/>
  <c r="I53" i="204"/>
  <c r="I89" i="204" s="1"/>
  <c r="N38" i="204"/>
  <c r="N33" i="204"/>
  <c r="N49" i="204"/>
  <c r="H61" i="204"/>
  <c r="H62" i="204"/>
  <c r="H67" i="204"/>
  <c r="H73" i="204"/>
  <c r="H65" i="204"/>
  <c r="H63" i="204"/>
  <c r="H72" i="204"/>
  <c r="H64" i="204"/>
  <c r="H71" i="204"/>
  <c r="H70" i="204"/>
  <c r="H56" i="204"/>
  <c r="H79" i="204"/>
  <c r="H78" i="204"/>
  <c r="H69" i="204"/>
  <c r="H77" i="204"/>
  <c r="H75" i="204"/>
  <c r="H86" i="204"/>
  <c r="H95" i="204"/>
  <c r="H91" i="204"/>
  <c r="H81" i="204"/>
  <c r="H74" i="204"/>
  <c r="H99" i="204"/>
  <c r="H76" i="204"/>
  <c r="H80" i="204"/>
  <c r="H82" i="204"/>
  <c r="H97" i="204"/>
  <c r="H68" i="204"/>
  <c r="H66" i="204"/>
  <c r="N52" i="204"/>
  <c r="N45" i="204"/>
  <c r="N41" i="204"/>
  <c r="O29" i="204"/>
  <c r="O43" i="204"/>
  <c r="N40" i="204"/>
  <c r="N47" i="204"/>
  <c r="N35" i="204"/>
  <c r="O37" i="204"/>
  <c r="O28" i="204"/>
  <c r="O20" i="204"/>
  <c r="O54" i="204" s="1"/>
  <c r="H92" i="204"/>
  <c r="H107" i="204" l="1"/>
  <c r="FE132" i="9"/>
  <c r="J88" i="204"/>
  <c r="J102" i="204"/>
  <c r="J94" i="204"/>
  <c r="J92" i="204"/>
  <c r="J98" i="204"/>
  <c r="J100" i="204"/>
  <c r="J93" i="204"/>
  <c r="J96" i="204"/>
  <c r="J90" i="204"/>
  <c r="M20" i="204"/>
  <c r="M37" i="204"/>
  <c r="M26" i="204"/>
  <c r="L35" i="204"/>
  <c r="M22" i="204"/>
  <c r="L48" i="204"/>
  <c r="M46" i="204"/>
  <c r="L40" i="204"/>
  <c r="L33" i="204"/>
  <c r="L49" i="204"/>
  <c r="L41" i="204"/>
  <c r="G115" i="204"/>
  <c r="H112" i="204" s="1"/>
  <c r="K53" i="204"/>
  <c r="K93" i="204" s="1"/>
  <c r="M42" i="204"/>
  <c r="M29" i="204"/>
  <c r="L38" i="204"/>
  <c r="L47" i="204"/>
  <c r="M28" i="204"/>
  <c r="L36" i="204"/>
  <c r="L39" i="204"/>
  <c r="M14" i="204"/>
  <c r="J103" i="204"/>
  <c r="J61" i="204"/>
  <c r="J65" i="204"/>
  <c r="J62" i="204"/>
  <c r="J66" i="204"/>
  <c r="J63" i="204"/>
  <c r="J56" i="204"/>
  <c r="J64" i="204"/>
  <c r="J70" i="204"/>
  <c r="J71" i="204"/>
  <c r="J72" i="204"/>
  <c r="J73" i="204"/>
  <c r="J69" i="204"/>
  <c r="J79" i="204"/>
  <c r="J86" i="204"/>
  <c r="J78" i="204"/>
  <c r="J67" i="204"/>
  <c r="J75" i="204"/>
  <c r="J77" i="204"/>
  <c r="J76" i="204"/>
  <c r="J81" i="204"/>
  <c r="J68" i="204"/>
  <c r="J99" i="204"/>
  <c r="J74" i="204"/>
  <c r="J95" i="204"/>
  <c r="J97" i="204"/>
  <c r="J91" i="204"/>
  <c r="J82" i="204"/>
  <c r="J80" i="204"/>
  <c r="L45" i="204"/>
  <c r="L31" i="204"/>
  <c r="M43" i="204"/>
  <c r="J89" i="204"/>
  <c r="J101" i="204"/>
  <c r="I88" i="204"/>
  <c r="I56" i="204"/>
  <c r="N122" i="204" s="1"/>
  <c r="I122" i="204"/>
  <c r="H113" i="204"/>
  <c r="I100" i="204"/>
  <c r="I98" i="204"/>
  <c r="I87" i="204"/>
  <c r="I94" i="204"/>
  <c r="I96" i="204"/>
  <c r="I103" i="204"/>
  <c r="I90" i="204"/>
  <c r="N53" i="204"/>
  <c r="N67" i="204" s="1"/>
  <c r="P28" i="204"/>
  <c r="P82" i="204" s="1"/>
  <c r="O40" i="204"/>
  <c r="P29" i="204"/>
  <c r="P83" i="204" s="1"/>
  <c r="O49" i="204"/>
  <c r="O38" i="204"/>
  <c r="P22" i="204"/>
  <c r="P76" i="204" s="1"/>
  <c r="I61" i="204"/>
  <c r="I62" i="204"/>
  <c r="I70" i="204"/>
  <c r="I63" i="204"/>
  <c r="I67" i="204"/>
  <c r="I73" i="204"/>
  <c r="I72" i="204"/>
  <c r="I64" i="204"/>
  <c r="I71" i="204"/>
  <c r="I65" i="204"/>
  <c r="I75" i="204"/>
  <c r="I77" i="204"/>
  <c r="I86" i="204"/>
  <c r="I69" i="204"/>
  <c r="I79" i="204"/>
  <c r="I78" i="204"/>
  <c r="I66" i="204"/>
  <c r="I97" i="204"/>
  <c r="I82" i="204"/>
  <c r="I74" i="204"/>
  <c r="I81" i="204"/>
  <c r="I91" i="204"/>
  <c r="I99" i="204"/>
  <c r="I95" i="204"/>
  <c r="I68" i="204"/>
  <c r="I76" i="204"/>
  <c r="I80" i="204"/>
  <c r="P46" i="204"/>
  <c r="P100" i="204" s="1"/>
  <c r="O36" i="204"/>
  <c r="O31" i="204"/>
  <c r="O45" i="204"/>
  <c r="O48" i="204"/>
  <c r="Q20" i="204"/>
  <c r="O47" i="204"/>
  <c r="O41" i="204"/>
  <c r="O33" i="204"/>
  <c r="Q14" i="204"/>
  <c r="R15" i="204"/>
  <c r="O39" i="204"/>
  <c r="P37" i="204"/>
  <c r="P91" i="204" s="1"/>
  <c r="P43" i="204"/>
  <c r="P97" i="204" s="1"/>
  <c r="O52" i="204"/>
  <c r="O35" i="204"/>
  <c r="I102" i="204"/>
  <c r="I92" i="204"/>
  <c r="R21" i="204"/>
  <c r="P42" i="204"/>
  <c r="P96" i="204" s="1"/>
  <c r="I101" i="204"/>
  <c r="P12" i="204"/>
  <c r="P66" i="204" s="1"/>
  <c r="I93" i="204"/>
  <c r="P26" i="204"/>
  <c r="P80" i="204" s="1"/>
  <c r="J107" i="204" l="1"/>
  <c r="I107" i="204"/>
  <c r="Q54" i="204"/>
  <c r="H115" i="204"/>
  <c r="I112" i="204" s="1"/>
  <c r="FF132" i="9"/>
  <c r="EH15" i="10"/>
  <c r="K98" i="204"/>
  <c r="K92" i="204"/>
  <c r="K87" i="204"/>
  <c r="N89" i="204"/>
  <c r="M45" i="204"/>
  <c r="M36" i="204"/>
  <c r="M47" i="204"/>
  <c r="K103" i="204"/>
  <c r="K56" i="204"/>
  <c r="K64" i="204"/>
  <c r="K61" i="204"/>
  <c r="K65" i="204"/>
  <c r="K62" i="204"/>
  <c r="K66" i="204"/>
  <c r="K63" i="204"/>
  <c r="K71" i="204"/>
  <c r="K73" i="204"/>
  <c r="K72" i="204"/>
  <c r="K70" i="204"/>
  <c r="K77" i="204"/>
  <c r="K86" i="204"/>
  <c r="K69" i="204"/>
  <c r="K67" i="204"/>
  <c r="K75" i="204"/>
  <c r="K78" i="204"/>
  <c r="K79" i="204"/>
  <c r="K76" i="204"/>
  <c r="K80" i="204"/>
  <c r="K91" i="204"/>
  <c r="K74" i="204"/>
  <c r="K97" i="204"/>
  <c r="K68" i="204"/>
  <c r="K81" i="204"/>
  <c r="K82" i="204"/>
  <c r="K95" i="204"/>
  <c r="K99" i="204"/>
  <c r="K102" i="204"/>
  <c r="M33" i="204"/>
  <c r="M35" i="204"/>
  <c r="M31" i="204"/>
  <c r="M49" i="204"/>
  <c r="K94" i="204"/>
  <c r="M39" i="204"/>
  <c r="M38" i="204"/>
  <c r="K96" i="204"/>
  <c r="M40" i="204"/>
  <c r="K101" i="204"/>
  <c r="J113" i="204"/>
  <c r="K122" i="204"/>
  <c r="K90" i="204"/>
  <c r="K100" i="204"/>
  <c r="M41" i="204"/>
  <c r="K88" i="204"/>
  <c r="M48" i="204"/>
  <c r="K89" i="204"/>
  <c r="L53" i="204"/>
  <c r="L100" i="204" s="1"/>
  <c r="N92" i="204"/>
  <c r="I113" i="204"/>
  <c r="N76" i="204"/>
  <c r="N88" i="204"/>
  <c r="N72" i="204"/>
  <c r="N90" i="204"/>
  <c r="N101" i="204"/>
  <c r="N87" i="204"/>
  <c r="N74" i="204"/>
  <c r="N91" i="204"/>
  <c r="N79" i="204"/>
  <c r="N103" i="204"/>
  <c r="N93" i="204"/>
  <c r="N100" i="204"/>
  <c r="N80" i="204"/>
  <c r="N65" i="204"/>
  <c r="N94" i="204"/>
  <c r="N99" i="204"/>
  <c r="N81" i="204"/>
  <c r="N75" i="204"/>
  <c r="N61" i="204"/>
  <c r="N66" i="204"/>
  <c r="N82" i="204"/>
  <c r="N78" i="204"/>
  <c r="N69" i="204"/>
  <c r="N70" i="204"/>
  <c r="N68" i="204"/>
  <c r="N96" i="204"/>
  <c r="N98" i="204"/>
  <c r="N102" i="204"/>
  <c r="N95" i="204"/>
  <c r="N97" i="204"/>
  <c r="N86" i="204"/>
  <c r="N71" i="204"/>
  <c r="N63" i="204"/>
  <c r="N56" i="204"/>
  <c r="O53" i="204"/>
  <c r="O56" i="204" s="1"/>
  <c r="P122" i="204" s="1"/>
  <c r="N62" i="204"/>
  <c r="N77" i="204"/>
  <c r="N73" i="204"/>
  <c r="N64" i="204"/>
  <c r="P39" i="204"/>
  <c r="P93" i="204" s="1"/>
  <c r="Q12" i="204"/>
  <c r="S21" i="204"/>
  <c r="T21" i="204" s="1"/>
  <c r="U21" i="204" s="1"/>
  <c r="V21" i="204" s="1"/>
  <c r="P41" i="204"/>
  <c r="P95" i="204" s="1"/>
  <c r="P35" i="204"/>
  <c r="P89" i="204" s="1"/>
  <c r="R14" i="204"/>
  <c r="R20" i="204"/>
  <c r="P45" i="204"/>
  <c r="P99" i="204" s="1"/>
  <c r="P31" i="204"/>
  <c r="P85" i="204" s="1"/>
  <c r="R22" i="204"/>
  <c r="P49" i="204"/>
  <c r="P103" i="204" s="1"/>
  <c r="P40" i="204"/>
  <c r="P94" i="204" s="1"/>
  <c r="P33" i="204"/>
  <c r="P87" i="204" s="1"/>
  <c r="P47" i="204"/>
  <c r="P101" i="204" s="1"/>
  <c r="P36" i="204"/>
  <c r="P90" i="204" s="1"/>
  <c r="P52" i="204"/>
  <c r="P106" i="204" s="1"/>
  <c r="S15" i="204"/>
  <c r="T15" i="204" s="1"/>
  <c r="S25" i="204"/>
  <c r="T25" i="204" s="1"/>
  <c r="U25" i="204" s="1"/>
  <c r="V25" i="204" s="1"/>
  <c r="P48" i="204"/>
  <c r="P102" i="204" s="1"/>
  <c r="P38" i="204"/>
  <c r="P92" i="204" s="1"/>
  <c r="W21" i="204" l="1"/>
  <c r="X21" i="204" s="1"/>
  <c r="W25" i="204"/>
  <c r="X25" i="204" s="1"/>
  <c r="N107" i="204"/>
  <c r="K107" i="204"/>
  <c r="U15" i="204"/>
  <c r="V15" i="204" s="1"/>
  <c r="I115" i="204"/>
  <c r="J112" i="204" s="1"/>
  <c r="J115" i="204" s="1"/>
  <c r="K112" i="204" s="1"/>
  <c r="O80" i="204"/>
  <c r="L93" i="204"/>
  <c r="L102" i="204"/>
  <c r="L103" i="204"/>
  <c r="L61" i="204"/>
  <c r="L65" i="204"/>
  <c r="L62" i="204"/>
  <c r="L66" i="204"/>
  <c r="L63" i="204"/>
  <c r="L56" i="204"/>
  <c r="L64" i="204"/>
  <c r="L73" i="204"/>
  <c r="L70" i="204"/>
  <c r="L72" i="204"/>
  <c r="L71" i="204"/>
  <c r="L77" i="204"/>
  <c r="L78" i="204"/>
  <c r="L86" i="204"/>
  <c r="L67" i="204"/>
  <c r="L79" i="204"/>
  <c r="L75" i="204"/>
  <c r="L69" i="204"/>
  <c r="L91" i="204"/>
  <c r="L82" i="204"/>
  <c r="L68" i="204"/>
  <c r="L95" i="204"/>
  <c r="L97" i="204"/>
  <c r="L74" i="204"/>
  <c r="L80" i="204"/>
  <c r="L76" i="204"/>
  <c r="L81" i="204"/>
  <c r="L99" i="204"/>
  <c r="L92" i="204"/>
  <c r="L89" i="204"/>
  <c r="L122" i="204"/>
  <c r="K113" i="204"/>
  <c r="L96" i="204"/>
  <c r="L94" i="204"/>
  <c r="L87" i="204"/>
  <c r="L90" i="204"/>
  <c r="L98" i="204"/>
  <c r="L101" i="204"/>
  <c r="M53" i="204"/>
  <c r="M98" i="204" s="1"/>
  <c r="L88" i="204"/>
  <c r="O66" i="204"/>
  <c r="O71" i="204"/>
  <c r="O91" i="204"/>
  <c r="O92" i="204"/>
  <c r="O101" i="204"/>
  <c r="O90" i="204"/>
  <c r="O88" i="204"/>
  <c r="O96" i="204"/>
  <c r="O97" i="204"/>
  <c r="O79" i="204"/>
  <c r="O103" i="204"/>
  <c r="O93" i="204"/>
  <c r="O74" i="204"/>
  <c r="O69" i="204"/>
  <c r="O94" i="204"/>
  <c r="O82" i="204"/>
  <c r="O77" i="204"/>
  <c r="O78" i="204"/>
  <c r="O67" i="204"/>
  <c r="O72" i="204"/>
  <c r="O63" i="204"/>
  <c r="O100" i="204"/>
  <c r="O102" i="204"/>
  <c r="O87" i="204"/>
  <c r="O76" i="204"/>
  <c r="O81" i="204"/>
  <c r="O75" i="204"/>
  <c r="O73" i="204"/>
  <c r="O122" i="204"/>
  <c r="N113" i="204"/>
  <c r="O113" i="204"/>
  <c r="O64" i="204"/>
  <c r="O62" i="204"/>
  <c r="O61" i="204"/>
  <c r="O98" i="204"/>
  <c r="O89" i="204"/>
  <c r="O99" i="204"/>
  <c r="O95" i="204"/>
  <c r="O68" i="204"/>
  <c r="O86" i="204"/>
  <c r="O65" i="204"/>
  <c r="O70" i="204"/>
  <c r="S20" i="204"/>
  <c r="T20" i="204" s="1"/>
  <c r="Q35" i="204"/>
  <c r="R12" i="204"/>
  <c r="R26" i="204"/>
  <c r="Q45" i="204"/>
  <c r="S14" i="204"/>
  <c r="T14" i="204" s="1"/>
  <c r="S22" i="204"/>
  <c r="T22" i="204" s="1"/>
  <c r="U22" i="204" s="1"/>
  <c r="V22" i="204" s="1"/>
  <c r="W22" i="204" l="1"/>
  <c r="X22" i="204" s="1"/>
  <c r="W15" i="204"/>
  <c r="X15" i="204" s="1"/>
  <c r="N112" i="204"/>
  <c r="N115" i="204" s="1"/>
  <c r="O112" i="204" s="1"/>
  <c r="O115" i="204" s="1"/>
  <c r="P112" i="204" s="1"/>
  <c r="R45" i="204"/>
  <c r="S45" i="204" s="1"/>
  <c r="T45" i="204" s="1"/>
  <c r="U45" i="204" s="1"/>
  <c r="V45" i="204" s="1"/>
  <c r="O107" i="204"/>
  <c r="L107" i="204"/>
  <c r="R54" i="204"/>
  <c r="U26" i="204"/>
  <c r="V26" i="204" s="1"/>
  <c r="R35" i="204"/>
  <c r="S35" i="204" s="1"/>
  <c r="T35" i="204" s="1"/>
  <c r="U35" i="204" s="1"/>
  <c r="V35" i="204" s="1"/>
  <c r="U14" i="204"/>
  <c r="V14" i="204" s="1"/>
  <c r="U20" i="204"/>
  <c r="V20" i="204" s="1"/>
  <c r="FH132" i="9"/>
  <c r="K115" i="204"/>
  <c r="L112" i="204" s="1"/>
  <c r="M102" i="204"/>
  <c r="M62" i="204"/>
  <c r="M61" i="204"/>
  <c r="M64" i="204"/>
  <c r="M63" i="204"/>
  <c r="M65" i="204"/>
  <c r="M66" i="204"/>
  <c r="M56" i="204"/>
  <c r="M113" i="204" s="1"/>
  <c r="M103" i="204"/>
  <c r="M72" i="204"/>
  <c r="M70" i="204"/>
  <c r="M73" i="204"/>
  <c r="M71" i="204"/>
  <c r="M69" i="204"/>
  <c r="M75" i="204"/>
  <c r="M86" i="204"/>
  <c r="M78" i="204"/>
  <c r="M79" i="204"/>
  <c r="M77" i="204"/>
  <c r="M67" i="204"/>
  <c r="M82" i="204"/>
  <c r="M81" i="204"/>
  <c r="M80" i="204"/>
  <c r="M99" i="204"/>
  <c r="M74" i="204"/>
  <c r="M97" i="204"/>
  <c r="M68" i="204"/>
  <c r="M91" i="204"/>
  <c r="M76" i="204"/>
  <c r="M95" i="204"/>
  <c r="M96" i="204"/>
  <c r="M89" i="204"/>
  <c r="M88" i="204"/>
  <c r="M101" i="204"/>
  <c r="M90" i="204"/>
  <c r="M87" i="204"/>
  <c r="M100" i="204"/>
  <c r="M93" i="204"/>
  <c r="L113" i="204"/>
  <c r="M122" i="204"/>
  <c r="M94" i="204"/>
  <c r="M92" i="204"/>
  <c r="S12" i="204"/>
  <c r="T12" i="204" s="1"/>
  <c r="Q53" i="204"/>
  <c r="Q56" i="204" s="1"/>
  <c r="W26" i="204" l="1"/>
  <c r="X26" i="204" s="1"/>
  <c r="W20" i="204"/>
  <c r="X20" i="204" s="1"/>
  <c r="W14" i="204"/>
  <c r="X14" i="204" s="1"/>
  <c r="W45" i="204"/>
  <c r="X45" i="204" s="1"/>
  <c r="W35" i="204"/>
  <c r="X35" i="204" s="1"/>
  <c r="M107" i="204"/>
  <c r="Q105" i="204"/>
  <c r="Q93" i="204"/>
  <c r="Q87" i="204"/>
  <c r="Q81" i="204"/>
  <c r="Q75" i="204"/>
  <c r="Q104" i="204"/>
  <c r="Q98" i="204"/>
  <c r="Q92" i="204"/>
  <c r="Q86" i="204"/>
  <c r="Q80" i="204"/>
  <c r="Q62" i="204"/>
  <c r="Q101" i="204"/>
  <c r="Q83" i="204"/>
  <c r="Q94" i="204"/>
  <c r="Q76" i="204"/>
  <c r="Q103" i="204"/>
  <c r="Q97" i="204"/>
  <c r="Q91" i="204"/>
  <c r="Q85" i="204"/>
  <c r="Q79" i="204"/>
  <c r="Q95" i="204"/>
  <c r="Q77" i="204"/>
  <c r="Q106" i="204"/>
  <c r="Q88" i="204"/>
  <c r="Q102" i="204"/>
  <c r="Q96" i="204"/>
  <c r="Q90" i="204"/>
  <c r="Q84" i="204"/>
  <c r="Q78" i="204"/>
  <c r="Q100" i="204"/>
  <c r="Q82" i="204"/>
  <c r="Q73" i="204"/>
  <c r="Q64" i="204"/>
  <c r="Q65" i="204"/>
  <c r="Q63" i="204"/>
  <c r="Q72" i="204"/>
  <c r="Q70" i="204"/>
  <c r="Q71" i="204"/>
  <c r="Q67" i="204"/>
  <c r="Q69" i="204"/>
  <c r="Q74" i="204"/>
  <c r="Q68" i="204"/>
  <c r="Q66" i="204"/>
  <c r="Q89" i="204"/>
  <c r="Q99" i="204"/>
  <c r="P107" i="204"/>
  <c r="S54" i="204"/>
  <c r="FC206" i="10" s="1"/>
  <c r="U12" i="204"/>
  <c r="V12" i="204" s="1"/>
  <c r="FI132" i="9"/>
  <c r="L115" i="204"/>
  <c r="M112" i="204" s="1"/>
  <c r="M115" i="204" s="1"/>
  <c r="Q122" i="204"/>
  <c r="P113" i="204"/>
  <c r="P115" i="204" s="1"/>
  <c r="Q112" i="204" s="1"/>
  <c r="Q61" i="204"/>
  <c r="R53" i="204"/>
  <c r="R56" i="204" s="1"/>
  <c r="X54" i="204" l="1"/>
  <c r="W12" i="204"/>
  <c r="X12" i="204" s="1"/>
  <c r="V53" i="204"/>
  <c r="V66" i="204" s="1"/>
  <c r="Q113" i="204"/>
  <c r="Q115" i="204" s="1"/>
  <c r="R112" i="204" s="1"/>
  <c r="Q107" i="204"/>
  <c r="R105" i="204"/>
  <c r="R102" i="204"/>
  <c r="R99" i="204"/>
  <c r="R96" i="204"/>
  <c r="R93" i="204"/>
  <c r="R90" i="204"/>
  <c r="R87" i="204"/>
  <c r="R84" i="204"/>
  <c r="R81" i="204"/>
  <c r="R78" i="204"/>
  <c r="R75" i="204"/>
  <c r="R72" i="204"/>
  <c r="R69" i="204"/>
  <c r="R66" i="204"/>
  <c r="R63" i="204"/>
  <c r="R106" i="204"/>
  <c r="R103" i="204"/>
  <c r="R100" i="204"/>
  <c r="R97" i="204"/>
  <c r="R94" i="204"/>
  <c r="R91" i="204"/>
  <c r="R88" i="204"/>
  <c r="R85" i="204"/>
  <c r="R82" i="204"/>
  <c r="R79" i="204"/>
  <c r="R76" i="204"/>
  <c r="R73" i="204"/>
  <c r="R70" i="204"/>
  <c r="R67" i="204"/>
  <c r="R64" i="204"/>
  <c r="R61" i="204"/>
  <c r="R80" i="204"/>
  <c r="R77" i="204"/>
  <c r="R74" i="204"/>
  <c r="R71" i="204"/>
  <c r="R68" i="204"/>
  <c r="R65" i="204"/>
  <c r="R62" i="204"/>
  <c r="R89" i="204"/>
  <c r="R95" i="204"/>
  <c r="R83" i="204"/>
  <c r="R92" i="204"/>
  <c r="R98" i="204"/>
  <c r="R86" i="204"/>
  <c r="R101" i="204"/>
  <c r="R104" i="204"/>
  <c r="T53" i="204"/>
  <c r="T56" i="204" s="1"/>
  <c r="U53" i="204"/>
  <c r="U56" i="204" s="1"/>
  <c r="FJ132" i="9"/>
  <c r="R122" i="204"/>
  <c r="S53" i="204"/>
  <c r="S56" i="204" s="1"/>
  <c r="X53" i="204" l="1"/>
  <c r="W53" i="204"/>
  <c r="V82" i="204"/>
  <c r="V83" i="204"/>
  <c r="V85" i="204"/>
  <c r="V86" i="204"/>
  <c r="V62" i="204"/>
  <c r="V61" i="204"/>
  <c r="V56" i="204"/>
  <c r="V84" i="204"/>
  <c r="V88" i="204"/>
  <c r="V94" i="204"/>
  <c r="V91" i="204"/>
  <c r="V100" i="204"/>
  <c r="V102" i="204"/>
  <c r="V90" i="204"/>
  <c r="V92" i="204"/>
  <c r="V97" i="204"/>
  <c r="V81" i="204"/>
  <c r="V106" i="204"/>
  <c r="V104" i="204"/>
  <c r="V95" i="204"/>
  <c r="V98" i="204"/>
  <c r="V93" i="204"/>
  <c r="V103" i="204"/>
  <c r="V87" i="204"/>
  <c r="V96" i="204"/>
  <c r="V101" i="204"/>
  <c r="V105" i="204"/>
  <c r="V77" i="204"/>
  <c r="V78" i="204"/>
  <c r="V65" i="204"/>
  <c r="V73" i="204"/>
  <c r="V64" i="204"/>
  <c r="V70" i="204"/>
  <c r="V71" i="204"/>
  <c r="V72" i="204"/>
  <c r="V63" i="204"/>
  <c r="V67" i="204"/>
  <c r="V75" i="204"/>
  <c r="V79" i="204"/>
  <c r="V76" i="204"/>
  <c r="V69" i="204"/>
  <c r="V68" i="204"/>
  <c r="V99" i="204"/>
  <c r="V80" i="204"/>
  <c r="V74" i="204"/>
  <c r="V89" i="204"/>
  <c r="V122" i="204"/>
  <c r="R113" i="204"/>
  <c r="R115" i="204" s="1"/>
  <c r="S112" i="204" s="1"/>
  <c r="U70" i="204"/>
  <c r="U67" i="204"/>
  <c r="U61" i="204"/>
  <c r="U80" i="204"/>
  <c r="U77" i="204"/>
  <c r="U74" i="204"/>
  <c r="U71" i="204"/>
  <c r="U68" i="204"/>
  <c r="U65" i="204"/>
  <c r="U62" i="204"/>
  <c r="U73" i="204"/>
  <c r="U78" i="204"/>
  <c r="U75" i="204"/>
  <c r="U72" i="204"/>
  <c r="U69" i="204"/>
  <c r="U66" i="204"/>
  <c r="U63" i="204"/>
  <c r="U64" i="204"/>
  <c r="U79" i="204"/>
  <c r="U76" i="204"/>
  <c r="U94" i="204"/>
  <c r="U88" i="204"/>
  <c r="U85" i="204"/>
  <c r="U91" i="204"/>
  <c r="U82" i="204"/>
  <c r="U83" i="204"/>
  <c r="U96" i="204"/>
  <c r="U89" i="204"/>
  <c r="U95" i="204"/>
  <c r="U97" i="204"/>
  <c r="U103" i="204"/>
  <c r="U90" i="204"/>
  <c r="U81" i="204"/>
  <c r="U84" i="204"/>
  <c r="U93" i="204"/>
  <c r="U99" i="204"/>
  <c r="U105" i="204"/>
  <c r="U87" i="204"/>
  <c r="U98" i="204"/>
  <c r="U86" i="204"/>
  <c r="U100" i="204"/>
  <c r="U102" i="204"/>
  <c r="U101" i="204"/>
  <c r="U104" i="204"/>
  <c r="U92" i="204"/>
  <c r="U106" i="204"/>
  <c r="S64" i="204"/>
  <c r="S78" i="204"/>
  <c r="S94" i="204"/>
  <c r="S91" i="204"/>
  <c r="S88" i="204"/>
  <c r="S85" i="204"/>
  <c r="S82" i="204"/>
  <c r="S79" i="204"/>
  <c r="S76" i="204"/>
  <c r="S73" i="204"/>
  <c r="S70" i="204"/>
  <c r="S67" i="204"/>
  <c r="S61" i="204"/>
  <c r="S63" i="204"/>
  <c r="S72" i="204"/>
  <c r="S80" i="204"/>
  <c r="S77" i="204"/>
  <c r="S74" i="204"/>
  <c r="S71" i="204"/>
  <c r="S68" i="204"/>
  <c r="S65" i="204"/>
  <c r="S62" i="204"/>
  <c r="S75" i="204"/>
  <c r="S69" i="204"/>
  <c r="S66" i="204"/>
  <c r="S96" i="204"/>
  <c r="S99" i="204"/>
  <c r="S86" i="204"/>
  <c r="S84" i="204"/>
  <c r="S98" i="204"/>
  <c r="S100" i="204"/>
  <c r="S102" i="204"/>
  <c r="S105" i="204"/>
  <c r="S90" i="204"/>
  <c r="S92" i="204"/>
  <c r="S95" i="204"/>
  <c r="S104" i="204"/>
  <c r="S106" i="204"/>
  <c r="S103" i="204"/>
  <c r="S89" i="204"/>
  <c r="S87" i="204"/>
  <c r="S101" i="204"/>
  <c r="S83" i="204"/>
  <c r="S97" i="204"/>
  <c r="S81" i="204"/>
  <c r="S93" i="204"/>
  <c r="T79" i="204"/>
  <c r="T76" i="204"/>
  <c r="T73" i="204"/>
  <c r="T70" i="204"/>
  <c r="T67" i="204"/>
  <c r="T64" i="204"/>
  <c r="T61" i="204"/>
  <c r="T80" i="204"/>
  <c r="T77" i="204"/>
  <c r="T74" i="204"/>
  <c r="T71" i="204"/>
  <c r="T68" i="204"/>
  <c r="T65" i="204"/>
  <c r="T62" i="204"/>
  <c r="T78" i="204"/>
  <c r="T75" i="204"/>
  <c r="T72" i="204"/>
  <c r="T69" i="204"/>
  <c r="T66" i="204"/>
  <c r="T63" i="204"/>
  <c r="T85" i="204"/>
  <c r="T82" i="204"/>
  <c r="T94" i="204"/>
  <c r="T91" i="204"/>
  <c r="T88" i="204"/>
  <c r="T97" i="204"/>
  <c r="T90" i="204"/>
  <c r="T83" i="204"/>
  <c r="T100" i="204"/>
  <c r="T105" i="204"/>
  <c r="T95" i="204"/>
  <c r="T92" i="204"/>
  <c r="T106" i="204"/>
  <c r="T101" i="204"/>
  <c r="T81" i="204"/>
  <c r="T86" i="204"/>
  <c r="T87" i="204"/>
  <c r="T84" i="204"/>
  <c r="T89" i="204"/>
  <c r="T102" i="204"/>
  <c r="T98" i="204"/>
  <c r="T93" i="204"/>
  <c r="T103" i="204"/>
  <c r="T96" i="204"/>
  <c r="T104" i="204"/>
  <c r="T99" i="204"/>
  <c r="R107" i="204"/>
  <c r="FM132" i="9"/>
  <c r="FN132" i="9"/>
  <c r="FK132" i="9"/>
  <c r="FL132" i="9"/>
  <c r="S122" i="204"/>
  <c r="ED142" i="9"/>
  <c r="EH142" i="9"/>
  <c r="EP133" i="9"/>
  <c r="EP132" i="9"/>
  <c r="EP131" i="9"/>
  <c r="X61" i="204" l="1"/>
  <c r="X85" i="204"/>
  <c r="X62" i="204"/>
  <c r="X86" i="204"/>
  <c r="X87" i="204"/>
  <c r="X88" i="204"/>
  <c r="X56" i="204"/>
  <c r="X83" i="204"/>
  <c r="X84" i="204"/>
  <c r="X82" i="204"/>
  <c r="X91" i="204"/>
  <c r="X94" i="204"/>
  <c r="X92" i="204"/>
  <c r="X97" i="204"/>
  <c r="X101" i="204"/>
  <c r="X105" i="204"/>
  <c r="X90" i="204"/>
  <c r="X96" i="204"/>
  <c r="X95" i="204"/>
  <c r="X100" i="204"/>
  <c r="X98" i="204"/>
  <c r="X104" i="204"/>
  <c r="X81" i="204"/>
  <c r="X102" i="204"/>
  <c r="X93" i="204"/>
  <c r="X106" i="204"/>
  <c r="X103" i="204"/>
  <c r="X78" i="204"/>
  <c r="X77" i="204"/>
  <c r="X73" i="204"/>
  <c r="X64" i="204"/>
  <c r="X65" i="204"/>
  <c r="X71" i="204"/>
  <c r="X63" i="204"/>
  <c r="X70" i="204"/>
  <c r="X72" i="204"/>
  <c r="X67" i="204"/>
  <c r="X79" i="204"/>
  <c r="X75" i="204"/>
  <c r="X69" i="204"/>
  <c r="X76" i="204"/>
  <c r="X99" i="204"/>
  <c r="X74" i="204"/>
  <c r="X68" i="204"/>
  <c r="X80" i="204"/>
  <c r="X89" i="204"/>
  <c r="X66" i="204"/>
  <c r="W122" i="204"/>
  <c r="V113" i="204"/>
  <c r="V107" i="204"/>
  <c r="W99" i="204"/>
  <c r="W61" i="204"/>
  <c r="W86" i="204"/>
  <c r="W83" i="204"/>
  <c r="W85" i="204"/>
  <c r="W56" i="204"/>
  <c r="X122" i="204" s="1"/>
  <c r="W84" i="204"/>
  <c r="W62" i="204"/>
  <c r="W87" i="204"/>
  <c r="W82" i="204"/>
  <c r="W88" i="204"/>
  <c r="W94" i="204"/>
  <c r="W91" i="204"/>
  <c r="W103" i="204"/>
  <c r="W104" i="204"/>
  <c r="W93" i="204"/>
  <c r="W96" i="204"/>
  <c r="W81" i="204"/>
  <c r="W92" i="204"/>
  <c r="W90" i="204"/>
  <c r="W101" i="204"/>
  <c r="W105" i="204"/>
  <c r="W100" i="204"/>
  <c r="W106" i="204"/>
  <c r="W97" i="204"/>
  <c r="W98" i="204"/>
  <c r="W102" i="204"/>
  <c r="W95" i="204"/>
  <c r="W78" i="204"/>
  <c r="W77" i="204"/>
  <c r="W65" i="204"/>
  <c r="W64" i="204"/>
  <c r="W73" i="204"/>
  <c r="W72" i="204"/>
  <c r="W70" i="204"/>
  <c r="W63" i="204"/>
  <c r="W71" i="204"/>
  <c r="W67" i="204"/>
  <c r="W79" i="204"/>
  <c r="W75" i="204"/>
  <c r="W69" i="204"/>
  <c r="W76" i="204"/>
  <c r="W68" i="204"/>
  <c r="W89" i="204"/>
  <c r="W74" i="204"/>
  <c r="W80" i="204"/>
  <c r="W66" i="204"/>
  <c r="U122" i="204"/>
  <c r="U113" i="204"/>
  <c r="T107" i="204"/>
  <c r="U107" i="204"/>
  <c r="S107" i="204"/>
  <c r="S113" i="204"/>
  <c r="S115" i="204" s="1"/>
  <c r="T112" i="204" s="1"/>
  <c r="T122" i="204"/>
  <c r="T113" i="204"/>
  <c r="CN34" i="11"/>
  <c r="CI34" i="11"/>
  <c r="CI24" i="10"/>
  <c r="CH24" i="10"/>
  <c r="CG24" i="10"/>
  <c r="CF24" i="10"/>
  <c r="CL24" i="10"/>
  <c r="CK24" i="10"/>
  <c r="CQ24" i="10"/>
  <c r="CP24" i="10"/>
  <c r="AW24" i="10"/>
  <c r="CT24" i="10"/>
  <c r="CU20" i="10"/>
  <c r="CO34" i="11" l="1"/>
  <c r="CJ24" i="10"/>
  <c r="CU27" i="10"/>
  <c r="X107" i="204"/>
  <c r="X113" i="204"/>
  <c r="W107" i="204"/>
  <c r="W113" i="204"/>
  <c r="T115" i="204"/>
  <c r="U112" i="204" s="1"/>
  <c r="U115" i="204" s="1"/>
  <c r="V112" i="204" s="1"/>
  <c r="V115" i="204" s="1"/>
  <c r="W112" i="204" s="1"/>
  <c r="FV132" i="9"/>
  <c r="CJ34" i="11"/>
  <c r="CH139" i="10"/>
  <c r="CH150" i="10" s="1"/>
  <c r="CH149" i="10"/>
  <c r="CI139" i="10"/>
  <c r="CI150" i="10" s="1"/>
  <c r="CJ141" i="10"/>
  <c r="CI149" i="10"/>
  <c r="CI161" i="10"/>
  <c r="AK135" i="10"/>
  <c r="AL22" i="10"/>
  <c r="AQ22" i="10"/>
  <c r="CK34" i="11" l="1"/>
  <c r="CP34" i="11"/>
  <c r="AL139" i="10"/>
  <c r="W115" i="204"/>
  <c r="X112" i="204" s="1"/>
  <c r="X115" i="204" s="1"/>
  <c r="FW132" i="9"/>
  <c r="ER15" i="10"/>
  <c r="CH140" i="10"/>
  <c r="CI134" i="10"/>
  <c r="CL34" i="11"/>
  <c r="CH146" i="10" l="1"/>
  <c r="DA509" i="31"/>
  <c r="DA504" i="31"/>
  <c r="CN161" i="10" l="1"/>
  <c r="CM161" i="10"/>
  <c r="CL161" i="10"/>
  <c r="CK161" i="10"/>
  <c r="CK160" i="10"/>
  <c r="DR160" i="10"/>
  <c r="CN160" i="10"/>
  <c r="CM160" i="10"/>
  <c r="CL160" i="10"/>
  <c r="GA132" i="9" l="1"/>
  <c r="FZ132" i="9"/>
  <c r="GB132" i="9" l="1"/>
  <c r="GE132" i="9"/>
  <c r="GD132" i="9"/>
  <c r="DA467" i="31"/>
  <c r="DA205" i="31"/>
  <c r="DA653" i="31"/>
  <c r="DA345" i="31"/>
  <c r="CZ339" i="31"/>
  <c r="DE344" i="31" s="1"/>
  <c r="DA334" i="31"/>
  <c r="DA543" i="31"/>
  <c r="DA544" i="31" s="1"/>
  <c r="DA539" i="31"/>
  <c r="DC548" i="31"/>
  <c r="DB548" i="31"/>
  <c r="DB626" i="31" s="1"/>
  <c r="DA542" i="31"/>
  <c r="DA224" i="31"/>
  <c r="CV236" i="31"/>
  <c r="DA235" i="31"/>
  <c r="DA76" i="31"/>
  <c r="DA77" i="31" s="1"/>
  <c r="EN78" i="9"/>
  <c r="ES78" i="9"/>
  <c r="EQ78" i="9"/>
  <c r="EP78" i="9"/>
  <c r="EO78" i="9"/>
  <c r="DA75" i="31"/>
  <c r="DA455" i="31"/>
  <c r="DA454" i="31"/>
  <c r="DE454" i="31" s="1"/>
  <c r="DJ459" i="31" s="1"/>
  <c r="DA253" i="31"/>
  <c r="DA254" i="31" s="1"/>
  <c r="DA181" i="31"/>
  <c r="DA180" i="31"/>
  <c r="DA72" i="31"/>
  <c r="ET59" i="9"/>
  <c r="ES59" i="9"/>
  <c r="ES24" i="9"/>
  <c r="DA1482" i="31"/>
  <c r="DA1481" i="31"/>
  <c r="DA1478" i="31"/>
  <c r="DA1471" i="31"/>
  <c r="DA1470" i="31"/>
  <c r="DA1467" i="31"/>
  <c r="DA1460" i="31"/>
  <c r="DA1459" i="31"/>
  <c r="DA1456" i="31"/>
  <c r="DA1449" i="31"/>
  <c r="DA1448" i="31"/>
  <c r="DA1445" i="31"/>
  <c r="DA1438" i="31"/>
  <c r="DA1437" i="31"/>
  <c r="DA1434" i="31"/>
  <c r="DA1427" i="31"/>
  <c r="DA1426" i="31"/>
  <c r="DA1423" i="31"/>
  <c r="DA686" i="31"/>
  <c r="DA687" i="31"/>
  <c r="DA688" i="31" s="1"/>
  <c r="DA676" i="31"/>
  <c r="DA675" i="31"/>
  <c r="DA665" i="31"/>
  <c r="DA664" i="31"/>
  <c r="DA654" i="31"/>
  <c r="DA752" i="31"/>
  <c r="DA742" i="31"/>
  <c r="DA741" i="31"/>
  <c r="DA720" i="31"/>
  <c r="DA719" i="31"/>
  <c r="DA698" i="31"/>
  <c r="DA699" i="31" s="1"/>
  <c r="DA697" i="31"/>
  <c r="DA650" i="31"/>
  <c r="DA638" i="31"/>
  <c r="DF643" i="31" s="1"/>
  <c r="DF644" i="31" s="1"/>
  <c r="DF642" i="31"/>
  <c r="CV638" i="31"/>
  <c r="CY548" i="31"/>
  <c r="CY626" i="31" s="1"/>
  <c r="DA521" i="31"/>
  <c r="DA520" i="31"/>
  <c r="DA517" i="31"/>
  <c r="DA515" i="31"/>
  <c r="DA503" i="31"/>
  <c r="DA471" i="31"/>
  <c r="DA470" i="31"/>
  <c r="DA344" i="31"/>
  <c r="DA333" i="31"/>
  <c r="DA280" i="31"/>
  <c r="DA279" i="31"/>
  <c r="DA269" i="31"/>
  <c r="DA270" i="31" s="1"/>
  <c r="DA268" i="31"/>
  <c r="DA247" i="31"/>
  <c r="DA246" i="31"/>
  <c r="CY246" i="31"/>
  <c r="DA236" i="31"/>
  <c r="DA225" i="31"/>
  <c r="DA215" i="31"/>
  <c r="DA211" i="31"/>
  <c r="DA210" i="31"/>
  <c r="DA209" i="31"/>
  <c r="DA208" i="31"/>
  <c r="DA197" i="31"/>
  <c r="DA198" i="31" s="1"/>
  <c r="DA196" i="31"/>
  <c r="ES81" i="9"/>
  <c r="ES80" i="9"/>
  <c r="ES77" i="9"/>
  <c r="ES76" i="9"/>
  <c r="ES57" i="9"/>
  <c r="EN55" i="9"/>
  <c r="EN59" i="9"/>
  <c r="ES41" i="9"/>
  <c r="DA131" i="31"/>
  <c r="DA130" i="31"/>
  <c r="DA175" i="31"/>
  <c r="DA174" i="31"/>
  <c r="EW41" i="9" l="1"/>
  <c r="EZ15" i="10"/>
  <c r="GF132" i="9" s="1"/>
  <c r="DB631" i="31"/>
  <c r="DB628" i="31"/>
  <c r="DG631" i="31"/>
  <c r="DH553" i="31"/>
  <c r="DC626" i="31"/>
  <c r="DD631" i="31"/>
  <c r="CY631" i="31"/>
  <c r="CZ626" i="31"/>
  <c r="DF213" i="31"/>
  <c r="DE180" i="31"/>
  <c r="DJ185" i="31" s="1"/>
  <c r="DF185" i="31"/>
  <c r="DE181" i="31"/>
  <c r="DF186" i="31"/>
  <c r="DF187" i="31" s="1"/>
  <c r="DE548" i="31"/>
  <c r="DJ553" i="31" s="1"/>
  <c r="DG553" i="31"/>
  <c r="ES71" i="9"/>
  <c r="EW71" i="9"/>
  <c r="DF656" i="31"/>
  <c r="DF1429" i="31"/>
  <c r="DF1473" i="31"/>
  <c r="DF1440" i="31"/>
  <c r="DF545" i="31"/>
  <c r="DF1462" i="31"/>
  <c r="DF1484" i="31"/>
  <c r="DF1451" i="31"/>
  <c r="DF269" i="31"/>
  <c r="DF270" i="31" s="1"/>
  <c r="DE455" i="31"/>
  <c r="DG550" i="31"/>
  <c r="DL556" i="31" s="1"/>
  <c r="DF456" i="31"/>
  <c r="DK462" i="31" s="1"/>
  <c r="DF75" i="31"/>
  <c r="DB520" i="31"/>
  <c r="DG520" i="31"/>
  <c r="ES70" i="9"/>
  <c r="DT83" i="10"/>
  <c r="DA643" i="31"/>
  <c r="DA644" i="31" s="1"/>
  <c r="DA456" i="31"/>
  <c r="DA642" i="31"/>
  <c r="DA885" i="31"/>
  <c r="DA182" i="31"/>
  <c r="DF188" i="31" s="1"/>
  <c r="ES65" i="9"/>
  <c r="DT174" i="10" s="1"/>
  <c r="ES72" i="9"/>
  <c r="DT176" i="10" s="1"/>
  <c r="ES66" i="9"/>
  <c r="ES29" i="9"/>
  <c r="ES67" i="9"/>
  <c r="EW43" i="9" l="1"/>
  <c r="FA15" i="10"/>
  <c r="DC628" i="31"/>
  <c r="DE628" i="31" s="1"/>
  <c r="DJ634" i="31" s="1"/>
  <c r="DC631" i="31"/>
  <c r="DH631" i="31"/>
  <c r="DG634" i="31"/>
  <c r="DB634" i="31"/>
  <c r="DE626" i="31"/>
  <c r="DE71" i="31"/>
  <c r="DJ186" i="31"/>
  <c r="DH550" i="31"/>
  <c r="DF265" i="31"/>
  <c r="DK271" i="31" s="1"/>
  <c r="DF268" i="31"/>
  <c r="DF462" i="31"/>
  <c r="ES68" i="9"/>
  <c r="DT175" i="10" s="1"/>
  <c r="ES37" i="9"/>
  <c r="DO246" i="31"/>
  <c r="DO247" i="31"/>
  <c r="GG132" i="9" l="1"/>
  <c r="FB15" i="10"/>
  <c r="DE631" i="31"/>
  <c r="DJ631" i="31"/>
  <c r="DH634" i="31"/>
  <c r="DC634" i="31"/>
  <c r="DQ196" i="31"/>
  <c r="DM550" i="31"/>
  <c r="FC15" i="10" l="1"/>
  <c r="DP243" i="31"/>
  <c r="DU249" i="31" s="1"/>
  <c r="DM556" i="31"/>
  <c r="FD15" i="10" l="1"/>
  <c r="GI132" i="9"/>
  <c r="T126" i="204"/>
  <c r="U119" i="204" s="1"/>
  <c r="FE15" i="10" l="1"/>
  <c r="GJ132" i="9"/>
  <c r="U126" i="204"/>
  <c r="CK204" i="31"/>
  <c r="U133" i="204" l="1"/>
  <c r="V119" i="204"/>
  <c r="V126" i="204"/>
  <c r="GK132" i="9"/>
  <c r="FF15" i="10"/>
  <c r="CT211" i="31"/>
  <c r="V133" i="204" l="1"/>
  <c r="W119" i="204"/>
  <c r="FG15" i="10"/>
  <c r="GL132" i="9"/>
  <c r="W126" i="204"/>
  <c r="CZ242" i="31"/>
  <c r="CZ241" i="31"/>
  <c r="CP204" i="31"/>
  <c r="CL211" i="31"/>
  <c r="X126" i="204" l="1"/>
  <c r="GM132" i="9"/>
  <c r="X119" i="204"/>
  <c r="W133" i="204"/>
  <c r="DM243" i="31"/>
  <c r="DH243" i="31"/>
  <c r="DE246" i="31"/>
  <c r="CF204" i="31"/>
  <c r="CK211" i="31" s="1"/>
  <c r="CU202" i="31"/>
  <c r="CK202" i="31"/>
  <c r="X133" i="204" l="1"/>
  <c r="DM249" i="31"/>
  <c r="DI247" i="31"/>
  <c r="DE247" i="31"/>
  <c r="DG243" i="31"/>
  <c r="DR220" i="10"/>
  <c r="DR215" i="10"/>
  <c r="DR212" i="10"/>
  <c r="DR207" i="10"/>
  <c r="DR202" i="10"/>
  <c r="DR197" i="10"/>
  <c r="DR190" i="10"/>
  <c r="DR189" i="10"/>
  <c r="DR188" i="10"/>
  <c r="DR185" i="10"/>
  <c r="DR161" i="10"/>
  <c r="DR155" i="10"/>
  <c r="DR153" i="10"/>
  <c r="DR150" i="10"/>
  <c r="DR149" i="10"/>
  <c r="DR146" i="10"/>
  <c r="DR131" i="10"/>
  <c r="DR125" i="10"/>
  <c r="DR108" i="10"/>
  <c r="DR109" i="10" s="1"/>
  <c r="DR103" i="10"/>
  <c r="DR102" i="10"/>
  <c r="DR95" i="10"/>
  <c r="DR96" i="10" s="1"/>
  <c r="DR98" i="10" s="1"/>
  <c r="DR87" i="10"/>
  <c r="DR85" i="10"/>
  <c r="DS215" i="10"/>
  <c r="DS141" i="10"/>
  <c r="DS130" i="10"/>
  <c r="DS87" i="10"/>
  <c r="DR115" i="10"/>
  <c r="DR116" i="10" s="1"/>
  <c r="DU35" i="11"/>
  <c r="DU25" i="11"/>
  <c r="DR38" i="10"/>
  <c r="DQ38" i="10"/>
  <c r="DR34" i="10"/>
  <c r="DR19" i="10"/>
  <c r="DS149" i="10" l="1"/>
  <c r="DL249" i="31"/>
  <c r="DI246" i="31"/>
  <c r="DN246" i="31"/>
  <c r="DR112" i="10"/>
  <c r="DR97" i="10"/>
  <c r="DR120" i="10"/>
  <c r="DR154" i="10"/>
  <c r="DR147" i="10"/>
  <c r="DR148" i="10" s="1"/>
  <c r="CX517" i="31" l="1"/>
  <c r="CV509" i="31"/>
  <c r="DJ515" i="31"/>
  <c r="CZ550" i="31" l="1"/>
  <c r="CX665" i="31" l="1"/>
  <c r="CX664" i="31"/>
  <c r="DG539" i="31" l="1"/>
  <c r="DE556" i="31"/>
  <c r="DC554" i="31"/>
  <c r="DL545" i="31" l="1"/>
  <c r="DI554" i="31"/>
  <c r="DI555" i="31" s="1"/>
  <c r="DH539" i="31"/>
  <c r="DC539" i="31"/>
  <c r="DB539" i="31"/>
  <c r="DP155" i="10"/>
  <c r="DO197" i="10"/>
  <c r="CS243" i="31"/>
  <c r="CS253" i="31"/>
  <c r="CU241" i="31"/>
  <c r="CR252" i="31"/>
  <c r="CS252" i="31"/>
  <c r="CT252" i="31"/>
  <c r="DG545" i="31" l="1"/>
  <c r="DM545" i="31"/>
  <c r="DI556" i="31"/>
  <c r="DH545" i="31"/>
  <c r="DO550" i="31"/>
  <c r="CS254" i="31"/>
  <c r="DQ153" i="10"/>
  <c r="DQ154" i="10" s="1"/>
  <c r="DN554" i="31" l="1"/>
  <c r="DN555" i="31" s="1"/>
  <c r="DN550" i="31"/>
  <c r="DN553" i="31"/>
  <c r="DO556" i="31"/>
  <c r="DN556" i="31" l="1"/>
  <c r="ER26" i="9" l="1"/>
  <c r="CT253" i="31"/>
  <c r="CT254" i="31" s="1"/>
  <c r="CX252" i="31"/>
  <c r="EP51" i="9"/>
  <c r="EO51" i="9" s="1"/>
  <c r="EN51" i="9" s="1"/>
  <c r="DS85" i="10" l="1"/>
  <c r="DS86" i="10" s="1"/>
  <c r="ER51" i="9"/>
  <c r="CY509" i="31" l="1"/>
  <c r="CV208" i="31" l="1"/>
  <c r="EQ139" i="9" l="1"/>
  <c r="EQ138" i="9"/>
  <c r="EQ132" i="9"/>
  <c r="EQ125" i="9"/>
  <c r="ER120" i="9"/>
  <c r="EQ120" i="9"/>
  <c r="EQ81" i="9"/>
  <c r="EQ80" i="9"/>
  <c r="EQ77" i="9"/>
  <c r="EQ76" i="9"/>
  <c r="EQ57" i="9"/>
  <c r="EQ55" i="9"/>
  <c r="EQ44" i="9"/>
  <c r="EQ41" i="9"/>
  <c r="ER36" i="9"/>
  <c r="ER28" i="9"/>
  <c r="ER27" i="9"/>
  <c r="CY1488" i="31"/>
  <c r="CY1487" i="31"/>
  <c r="CY1482" i="31"/>
  <c r="CY1481" i="31"/>
  <c r="CY1478" i="31"/>
  <c r="CZ1477" i="31"/>
  <c r="DE1482" i="31" s="1"/>
  <c r="CZ1476" i="31"/>
  <c r="DE1481" i="31" s="1"/>
  <c r="CY1471" i="31"/>
  <c r="CY1470" i="31"/>
  <c r="CY1467" i="31"/>
  <c r="CZ1466" i="31"/>
  <c r="DE1471" i="31" s="1"/>
  <c r="CZ1465" i="31"/>
  <c r="DE1470" i="31" s="1"/>
  <c r="CY1460" i="31"/>
  <c r="CY1459" i="31"/>
  <c r="CY1456" i="31"/>
  <c r="CZ1455" i="31"/>
  <c r="DE1460" i="31" s="1"/>
  <c r="CZ1454" i="31"/>
  <c r="DE1459" i="31" s="1"/>
  <c r="CY1449" i="31"/>
  <c r="CY1448" i="31"/>
  <c r="CY1445" i="31"/>
  <c r="CZ1444" i="31"/>
  <c r="DE1449" i="31" s="1"/>
  <c r="CZ1443" i="31"/>
  <c r="DE1448" i="31" s="1"/>
  <c r="CY1438" i="31"/>
  <c r="CY1437" i="31"/>
  <c r="CY1434" i="31"/>
  <c r="CZ1433" i="31"/>
  <c r="DE1438" i="31" s="1"/>
  <c r="CZ1432" i="31"/>
  <c r="DE1437" i="31" s="1"/>
  <c r="CY1427" i="31"/>
  <c r="CY1426" i="31"/>
  <c r="CY1423" i="31"/>
  <c r="CZ1422" i="31"/>
  <c r="CZ1421" i="31"/>
  <c r="DE1426" i="31" l="1"/>
  <c r="DE1427" i="31"/>
  <c r="EQ71" i="9"/>
  <c r="EQ50" i="9" s="1"/>
  <c r="EQ49" i="9"/>
  <c r="EQ56" i="9" s="1"/>
  <c r="CY1489" i="31"/>
  <c r="CZ1488" i="31"/>
  <c r="CZ1487" i="31"/>
  <c r="CY759" i="31"/>
  <c r="CY758" i="31"/>
  <c r="CY752" i="31"/>
  <c r="CY749" i="31"/>
  <c r="CZ748" i="31"/>
  <c r="DE753" i="31" s="1"/>
  <c r="CZ747" i="31"/>
  <c r="DE752" i="31" s="1"/>
  <c r="CY742" i="31"/>
  <c r="CY741" i="31"/>
  <c r="CY738" i="31"/>
  <c r="CZ737" i="31"/>
  <c r="DE742" i="31" s="1"/>
  <c r="CZ736" i="31"/>
  <c r="DE741" i="31" s="1"/>
  <c r="CY720" i="31"/>
  <c r="CY719" i="31"/>
  <c r="CY716" i="31"/>
  <c r="CZ715" i="31"/>
  <c r="DE720" i="31" s="1"/>
  <c r="CZ714" i="31"/>
  <c r="DE719" i="31" s="1"/>
  <c r="CY698" i="31"/>
  <c r="CY699" i="31" s="1"/>
  <c r="CY697" i="31"/>
  <c r="CY694" i="31"/>
  <c r="CZ693" i="31"/>
  <c r="CZ692" i="31"/>
  <c r="CY675" i="31"/>
  <c r="CY676" i="31"/>
  <c r="CY664" i="31"/>
  <c r="CY665" i="31"/>
  <c r="CY653" i="31"/>
  <c r="CY654" i="31"/>
  <c r="CY683" i="31"/>
  <c r="CY672" i="31"/>
  <c r="CZ671" i="31"/>
  <c r="DE676" i="31" s="1"/>
  <c r="CZ670" i="31"/>
  <c r="DE675" i="31" s="1"/>
  <c r="CY661" i="31"/>
  <c r="CZ660" i="31"/>
  <c r="DE665" i="31" s="1"/>
  <c r="CZ659" i="31"/>
  <c r="DE664" i="31" s="1"/>
  <c r="CY650" i="31"/>
  <c r="CZ649" i="31"/>
  <c r="DE654" i="31" s="1"/>
  <c r="CZ648" i="31"/>
  <c r="DE653" i="31" s="1"/>
  <c r="CY539" i="31"/>
  <c r="CZ538" i="31"/>
  <c r="CZ537" i="31"/>
  <c r="CY521" i="31"/>
  <c r="CY520" i="31"/>
  <c r="CY517" i="31"/>
  <c r="CY515" i="31"/>
  <c r="CZ513" i="31"/>
  <c r="CZ511" i="31"/>
  <c r="DE520" i="31" s="1"/>
  <c r="CZ510" i="31"/>
  <c r="CY504" i="31"/>
  <c r="CY503" i="31"/>
  <c r="CY500" i="31"/>
  <c r="CZ499" i="31"/>
  <c r="DE504" i="31" s="1"/>
  <c r="CZ498" i="31"/>
  <c r="DE503" i="31" s="1"/>
  <c r="CY471" i="31"/>
  <c r="CY470" i="31"/>
  <c r="CY467" i="31"/>
  <c r="CZ466" i="31"/>
  <c r="CZ465" i="31"/>
  <c r="CY455" i="31"/>
  <c r="CY454" i="31"/>
  <c r="CY345" i="31"/>
  <c r="CY344" i="31"/>
  <c r="CY341" i="31"/>
  <c r="CZ340" i="31"/>
  <c r="DE345" i="31" s="1"/>
  <c r="CY334" i="31"/>
  <c r="CY333" i="31"/>
  <c r="CY330" i="31"/>
  <c r="CZ329" i="31"/>
  <c r="DE334" i="31" s="1"/>
  <c r="CZ328" i="31"/>
  <c r="DE333" i="31" s="1"/>
  <c r="CY280" i="31"/>
  <c r="CY279" i="31"/>
  <c r="CY276" i="31"/>
  <c r="CZ275" i="31"/>
  <c r="DE280" i="31" s="1"/>
  <c r="CZ274" i="31"/>
  <c r="DE279" i="31" s="1"/>
  <c r="CY269" i="31"/>
  <c r="CY270" i="31" s="1"/>
  <c r="CY268" i="31"/>
  <c r="CY265" i="31"/>
  <c r="CZ264" i="31"/>
  <c r="CZ263" i="31"/>
  <c r="CY253" i="31"/>
  <c r="CY252" i="31"/>
  <c r="CY243" i="31"/>
  <c r="DE543" i="31" l="1"/>
  <c r="DE541" i="31"/>
  <c r="DE542" i="31"/>
  <c r="DE540" i="31"/>
  <c r="DE521" i="31"/>
  <c r="DD523" i="31"/>
  <c r="CZ467" i="31"/>
  <c r="CZ515" i="31"/>
  <c r="CZ539" i="31"/>
  <c r="CZ1489" i="31"/>
  <c r="CY760" i="31"/>
  <c r="CZ509" i="31"/>
  <c r="CY456" i="31"/>
  <c r="CY254" i="31"/>
  <c r="CY236" i="31"/>
  <c r="CY235" i="31"/>
  <c r="CY232" i="31"/>
  <c r="CZ231" i="31"/>
  <c r="CZ230" i="31"/>
  <c r="CY225" i="31"/>
  <c r="CY224" i="31"/>
  <c r="CY221" i="31"/>
  <c r="CZ220" i="31"/>
  <c r="DE225" i="31" s="1"/>
  <c r="CZ219" i="31"/>
  <c r="DE224" i="31" s="1"/>
  <c r="CY215" i="31"/>
  <c r="CY211" i="31"/>
  <c r="CY210" i="31"/>
  <c r="CY209" i="31"/>
  <c r="CY208" i="31"/>
  <c r="CY205" i="31"/>
  <c r="CZ204" i="31"/>
  <c r="CZ203" i="31"/>
  <c r="CZ202" i="31"/>
  <c r="CY197" i="31"/>
  <c r="CY198" i="31" s="1"/>
  <c r="CY196" i="31"/>
  <c r="CY193" i="31"/>
  <c r="CZ192" i="31"/>
  <c r="CZ191" i="31"/>
  <c r="CY181" i="31"/>
  <c r="CY180" i="31"/>
  <c r="CY175" i="31"/>
  <c r="CY174" i="31"/>
  <c r="CY171" i="31"/>
  <c r="CZ170" i="31"/>
  <c r="DE175" i="31" s="1"/>
  <c r="CZ169" i="31"/>
  <c r="DE174" i="31" s="1"/>
  <c r="CY131" i="31"/>
  <c r="CY130" i="31"/>
  <c r="CY127" i="31"/>
  <c r="CZ126" i="31"/>
  <c r="DE131" i="31" s="1"/>
  <c r="CZ125" i="31"/>
  <c r="DE130" i="31" s="1"/>
  <c r="CY76" i="31"/>
  <c r="CY77" i="31" s="1"/>
  <c r="CY75" i="31"/>
  <c r="CY72" i="31"/>
  <c r="CZ71" i="31"/>
  <c r="CZ70" i="31"/>
  <c r="CZ56" i="31"/>
  <c r="ER88" i="9" s="1"/>
  <c r="CY56" i="31"/>
  <c r="EQ88" i="9" s="1"/>
  <c r="CY247" i="31"/>
  <c r="CY248" i="31" s="1"/>
  <c r="CY542" i="31"/>
  <c r="CY543" i="31"/>
  <c r="CY544" i="31" s="1"/>
  <c r="CY549" i="31"/>
  <c r="CY627" i="31" s="1"/>
  <c r="CZ1505" i="31"/>
  <c r="CZ1508" i="31"/>
  <c r="CZ1509" i="31"/>
  <c r="CZ1515" i="31"/>
  <c r="CZ1518" i="31"/>
  <c r="CZ1519" i="31"/>
  <c r="CZ1605" i="31"/>
  <c r="CZ1608" i="31"/>
  <c r="CZ1609" i="31"/>
  <c r="CZ1615" i="31"/>
  <c r="CZ1618" i="31"/>
  <c r="CZ1619" i="31"/>
  <c r="CZ1627" i="31"/>
  <c r="CZ1630" i="31"/>
  <c r="CZ1631" i="31"/>
  <c r="CZ1638" i="31"/>
  <c r="CZ1641" i="31"/>
  <c r="CZ1642" i="31"/>
  <c r="CY628" i="31" l="1"/>
  <c r="CY632" i="31"/>
  <c r="CY633" i="31" s="1"/>
  <c r="DD632" i="31"/>
  <c r="DD633" i="31" s="1"/>
  <c r="CZ627" i="31"/>
  <c r="DE236" i="31"/>
  <c r="CZ208" i="31"/>
  <c r="DE208" i="31"/>
  <c r="DE211" i="31"/>
  <c r="DE235" i="31"/>
  <c r="DE210" i="31"/>
  <c r="CY550" i="31"/>
  <c r="CZ1643" i="31"/>
  <c r="CZ1610" i="31"/>
  <c r="CZ1620" i="31"/>
  <c r="CZ1632" i="31"/>
  <c r="CZ1520" i="31"/>
  <c r="CZ1510" i="31"/>
  <c r="CZ215" i="31"/>
  <c r="CZ221" i="31"/>
  <c r="CY182" i="31"/>
  <c r="A549" i="31"/>
  <c r="A548" i="31"/>
  <c r="A649" i="31"/>
  <c r="A648" i="31"/>
  <c r="A660" i="31"/>
  <c r="A659" i="31"/>
  <c r="A671" i="31"/>
  <c r="A670" i="31"/>
  <c r="A715" i="31"/>
  <c r="A714" i="31"/>
  <c r="A737" i="31"/>
  <c r="A736" i="31"/>
  <c r="A748" i="31"/>
  <c r="A747" i="31"/>
  <c r="A538" i="31"/>
  <c r="A513" i="31"/>
  <c r="A499" i="31"/>
  <c r="A340" i="31"/>
  <c r="A329" i="31"/>
  <c r="A275" i="31"/>
  <c r="A242" i="31"/>
  <c r="A231" i="31"/>
  <c r="A203" i="31"/>
  <c r="A220" i="31"/>
  <c r="A170" i="31"/>
  <c r="A148" i="31"/>
  <c r="A126" i="31"/>
  <c r="A57" i="31"/>
  <c r="A46" i="31"/>
  <c r="A35" i="31"/>
  <c r="A24" i="31"/>
  <c r="A56" i="31"/>
  <c r="A45" i="31"/>
  <c r="DE632" i="31" l="1"/>
  <c r="CZ632" i="31"/>
  <c r="DD634" i="31"/>
  <c r="CY634" i="31"/>
  <c r="CZ628" i="31"/>
  <c r="DE634" i="31" s="1"/>
  <c r="DE227" i="31"/>
  <c r="DD539" i="31"/>
  <c r="EQ96" i="9"/>
  <c r="CZ57" i="31"/>
  <c r="ER89" i="9" s="1"/>
  <c r="DS18" i="11"/>
  <c r="DQ125" i="10"/>
  <c r="DR123" i="10" s="1"/>
  <c r="DR124" i="10" s="1"/>
  <c r="DQ131" i="10"/>
  <c r="DQ139" i="10"/>
  <c r="DQ149" i="10"/>
  <c r="DQ161" i="10"/>
  <c r="DR158" i="10" s="1"/>
  <c r="DR159" i="10" s="1"/>
  <c r="DQ185" i="10"/>
  <c r="DQ188" i="10"/>
  <c r="DQ189" i="10"/>
  <c r="DQ190" i="10"/>
  <c r="DQ197" i="10"/>
  <c r="DR195" i="10" s="1"/>
  <c r="DR196" i="10" s="1"/>
  <c r="DQ202" i="10"/>
  <c r="DQ207" i="10"/>
  <c r="DQ212" i="10"/>
  <c r="DQ215" i="10"/>
  <c r="DQ220" i="10"/>
  <c r="DQ108" i="10"/>
  <c r="DQ109" i="10" s="1"/>
  <c r="DQ115" i="10"/>
  <c r="DQ116" i="10" s="1"/>
  <c r="DQ102" i="10"/>
  <c r="DQ95" i="10"/>
  <c r="DQ96" i="10" s="1"/>
  <c r="DQ98" i="10" s="1"/>
  <c r="DQ34" i="10"/>
  <c r="DQ19" i="10"/>
  <c r="DQ20" i="10" l="1"/>
  <c r="ER90" i="9"/>
  <c r="DE539" i="31"/>
  <c r="DD545" i="31"/>
  <c r="DQ112" i="10"/>
  <c r="DQ97" i="10"/>
  <c r="DQ36" i="10"/>
  <c r="DR210" i="10"/>
  <c r="DR211" i="10" s="1"/>
  <c r="DR200" i="10"/>
  <c r="DR201" i="10" s="1"/>
  <c r="DR128" i="10"/>
  <c r="DR129" i="10" s="1"/>
  <c r="DR205" i="10"/>
  <c r="DR206" i="10" s="1"/>
  <c r="DQ140" i="10"/>
  <c r="DR134" i="10"/>
  <c r="DQ120" i="10"/>
  <c r="EQ97" i="9"/>
  <c r="EQ98" i="9" s="1"/>
  <c r="CZ58" i="31"/>
  <c r="CY57" i="31"/>
  <c r="EQ89" i="9" s="1"/>
  <c r="EQ90" i="9" s="1"/>
  <c r="DQ150" i="10"/>
  <c r="DQ169" i="10" l="1"/>
  <c r="DQ146" i="10"/>
  <c r="DQ27" i="10"/>
  <c r="DE545" i="31"/>
  <c r="DQ41" i="10"/>
  <c r="DQ168" i="10"/>
  <c r="DQ167" i="10"/>
  <c r="DQ91" i="10"/>
  <c r="DQ142" i="10"/>
  <c r="DQ147" i="10"/>
  <c r="DQ148" i="10" s="1"/>
  <c r="CY58" i="31"/>
  <c r="DT1515" i="31"/>
  <c r="DO1515" i="31"/>
  <c r="DJ1515" i="31"/>
  <c r="DE1515" i="31"/>
  <c r="EI1631" i="31"/>
  <c r="DY1631" i="31"/>
  <c r="DT1631" i="31"/>
  <c r="DO1631" i="31"/>
  <c r="DJ1631" i="31"/>
  <c r="DE1631" i="31"/>
  <c r="DC1631" i="31"/>
  <c r="DA1631" i="31"/>
  <c r="CU1631" i="31"/>
  <c r="CP1631" i="31"/>
  <c r="EI1630" i="31"/>
  <c r="DY1630" i="31"/>
  <c r="DT1630" i="31"/>
  <c r="DO1630" i="31"/>
  <c r="DJ1630" i="31"/>
  <c r="DE1630" i="31"/>
  <c r="DC1630" i="31"/>
  <c r="DA1630" i="31"/>
  <c r="CU1630" i="31"/>
  <c r="CP1630" i="31"/>
  <c r="B1629" i="31"/>
  <c r="EI1627" i="31"/>
  <c r="DY1627" i="31"/>
  <c r="DT1627" i="31"/>
  <c r="DO1627" i="31"/>
  <c r="DJ1627" i="31"/>
  <c r="DE1627" i="31"/>
  <c r="DC1627" i="31"/>
  <c r="DA1627" i="31"/>
  <c r="CU1627" i="31"/>
  <c r="CP1627" i="31"/>
  <c r="DD1626" i="31"/>
  <c r="DD1625" i="31"/>
  <c r="DD1627" i="31" l="1"/>
  <c r="DJ1632" i="31"/>
  <c r="DY1632" i="31"/>
  <c r="DD1630" i="31"/>
  <c r="DA1632" i="31"/>
  <c r="DQ172" i="10"/>
  <c r="DQ217" i="10"/>
  <c r="DQ218" i="10"/>
  <c r="DT1632" i="31"/>
  <c r="CP1632" i="31"/>
  <c r="CU1632" i="31"/>
  <c r="DC1632" i="31"/>
  <c r="DO1632" i="31"/>
  <c r="EI1632" i="31"/>
  <c r="DE1632" i="31"/>
  <c r="DD1631" i="31"/>
  <c r="DD1632" i="31" l="1"/>
  <c r="CX543" i="31" l="1"/>
  <c r="CX544" i="31" s="1"/>
  <c r="CW543" i="31"/>
  <c r="CW544" i="31" s="1"/>
  <c r="CV543" i="31"/>
  <c r="CV544" i="31" s="1"/>
  <c r="CX542" i="31"/>
  <c r="CW542" i="31"/>
  <c r="CV542" i="31"/>
  <c r="DH556" i="31"/>
  <c r="DB550" i="31"/>
  <c r="DG556" i="31" s="1"/>
  <c r="DA550" i="31"/>
  <c r="DF556" i="31" s="1"/>
  <c r="CX550" i="31"/>
  <c r="CW550" i="31"/>
  <c r="DD553" i="31"/>
  <c r="CJ550" i="31"/>
  <c r="CX253" i="31"/>
  <c r="CW253" i="31"/>
  <c r="DB258" i="31" s="1"/>
  <c r="DB259" i="31" s="1"/>
  <c r="CV253" i="31"/>
  <c r="DA258" i="31" s="1"/>
  <c r="DA259" i="31" s="1"/>
  <c r="CW252" i="31"/>
  <c r="CV252" i="31"/>
  <c r="CY258" i="31"/>
  <c r="CY259" i="31" s="1"/>
  <c r="DO243" i="31"/>
  <c r="DC243" i="31"/>
  <c r="DB243" i="31"/>
  <c r="CX243" i="31"/>
  <c r="CW243" i="31"/>
  <c r="CV243" i="31"/>
  <c r="CT243" i="31"/>
  <c r="CY249" i="31" s="1"/>
  <c r="CU242" i="31"/>
  <c r="CZ247" i="31" s="1"/>
  <c r="CZ246" i="31"/>
  <c r="A241" i="31"/>
  <c r="DG249" i="31" l="1"/>
  <c r="DH249" i="31"/>
  <c r="DB556" i="31"/>
  <c r="CZ252" i="31"/>
  <c r="DC556" i="31"/>
  <c r="DB249" i="31"/>
  <c r="DD554" i="31"/>
  <c r="CZ253" i="31"/>
  <c r="DC249" i="31"/>
  <c r="CZ243" i="31"/>
  <c r="DD556" i="31"/>
  <c r="CU243" i="31"/>
  <c r="EP139" i="9"/>
  <c r="EP138" i="9"/>
  <c r="EP125" i="9"/>
  <c r="EP81" i="9"/>
  <c r="EP80" i="9"/>
  <c r="EP77" i="9"/>
  <c r="EP76" i="9"/>
  <c r="EP59" i="9"/>
  <c r="EP57" i="9"/>
  <c r="EP55" i="9"/>
  <c r="EP44" i="9"/>
  <c r="CX1488" i="31"/>
  <c r="CX1487" i="31"/>
  <c r="CX1482" i="31"/>
  <c r="CX1481" i="31"/>
  <c r="CX1478" i="31"/>
  <c r="CX1471" i="31"/>
  <c r="CX1470" i="31"/>
  <c r="CX1467" i="31"/>
  <c r="CX1460" i="31"/>
  <c r="CX1459" i="31"/>
  <c r="CX1456" i="31"/>
  <c r="CX1449" i="31"/>
  <c r="CX1448" i="31"/>
  <c r="CX1445" i="31"/>
  <c r="CX1438" i="31"/>
  <c r="CX1437" i="31"/>
  <c r="CX1434" i="31"/>
  <c r="CX1427" i="31"/>
  <c r="CX1426" i="31"/>
  <c r="CX1423" i="31"/>
  <c r="CX752" i="31"/>
  <c r="CX749" i="31"/>
  <c r="CX742" i="31"/>
  <c r="CX741" i="31"/>
  <c r="CX738" i="31"/>
  <c r="CX720" i="31"/>
  <c r="CX719" i="31"/>
  <c r="CX716" i="31"/>
  <c r="CX698" i="31"/>
  <c r="CX699" i="31" s="1"/>
  <c r="CX697" i="31"/>
  <c r="CX694" i="31"/>
  <c r="CX683" i="31"/>
  <c r="EQ140" i="9" l="1"/>
  <c r="CZ249" i="31"/>
  <c r="CX1489" i="31"/>
  <c r="CX539" i="31"/>
  <c r="CX521" i="31"/>
  <c r="CX520" i="31"/>
  <c r="CX515" i="31"/>
  <c r="CX509" i="31"/>
  <c r="CX504" i="31"/>
  <c r="CX503" i="31"/>
  <c r="CX500" i="31"/>
  <c r="CX471" i="31"/>
  <c r="CX470" i="31"/>
  <c r="CX467" i="31"/>
  <c r="CX455" i="31"/>
  <c r="DC460" i="31" s="1"/>
  <c r="DC461" i="31" s="1"/>
  <c r="CX454" i="31"/>
  <c r="DC459" i="31" s="1"/>
  <c r="CX345" i="31"/>
  <c r="CX344" i="31"/>
  <c r="CX341" i="31"/>
  <c r="CX334" i="31"/>
  <c r="CX333" i="31"/>
  <c r="CX330" i="31"/>
  <c r="CX280" i="31"/>
  <c r="CX279" i="31"/>
  <c r="CX276" i="31"/>
  <c r="CX269" i="31"/>
  <c r="CX270" i="31" s="1"/>
  <c r="CX268" i="31"/>
  <c r="CX265" i="31"/>
  <c r="CX236" i="31"/>
  <c r="CX235" i="31"/>
  <c r="CX232" i="31"/>
  <c r="CX225" i="31"/>
  <c r="CX224" i="31"/>
  <c r="CX221" i="31"/>
  <c r="CX215" i="31"/>
  <c r="CX211" i="31"/>
  <c r="CX210" i="31"/>
  <c r="CX209" i="31"/>
  <c r="CX208" i="31"/>
  <c r="CX205" i="31"/>
  <c r="CX197" i="31"/>
  <c r="CX198" i="31" s="1"/>
  <c r="CX196" i="31"/>
  <c r="CX193" i="31"/>
  <c r="CX171" i="31"/>
  <c r="CX174" i="31"/>
  <c r="CX175" i="31"/>
  <c r="CX180" i="31"/>
  <c r="DC185" i="31" s="1"/>
  <c r="CX181" i="31"/>
  <c r="CX127" i="31"/>
  <c r="CX130" i="31"/>
  <c r="CX131" i="31"/>
  <c r="CX72" i="31"/>
  <c r="CX75" i="31"/>
  <c r="CX76" i="31"/>
  <c r="CX77" i="31" s="1"/>
  <c r="CX650" i="31"/>
  <c r="CX653" i="31"/>
  <c r="CX654" i="31"/>
  <c r="CX661" i="31"/>
  <c r="CX672" i="31"/>
  <c r="CX675" i="31"/>
  <c r="CX676" i="31"/>
  <c r="CX56" i="31"/>
  <c r="EP88" i="9" s="1"/>
  <c r="CX759" i="31"/>
  <c r="CX758" i="31"/>
  <c r="CX760" i="31" l="1"/>
  <c r="CX456" i="31"/>
  <c r="DC462" i="31" s="1"/>
  <c r="CX254" i="31"/>
  <c r="CX182" i="31"/>
  <c r="CX57" i="31"/>
  <c r="EP89" i="9" s="1"/>
  <c r="EP90" i="9" s="1"/>
  <c r="EP96" i="9"/>
  <c r="CX58" i="31" l="1"/>
  <c r="EP97" i="9" l="1"/>
  <c r="EP98" i="9" s="1"/>
  <c r="EO132" i="9" l="1"/>
  <c r="EN132" i="9"/>
  <c r="CV131" i="31" l="1"/>
  <c r="DP160" i="10" l="1"/>
  <c r="EO120" i="9" s="1"/>
  <c r="EV120" i="9"/>
  <c r="EU120" i="9"/>
  <c r="ET120" i="9"/>
  <c r="EU119" i="9"/>
  <c r="CV205" i="31" l="1"/>
  <c r="CW205" i="31"/>
  <c r="DG683" i="31" l="1"/>
  <c r="DL689" i="31" s="1"/>
  <c r="DA213" i="31"/>
  <c r="CZ205" i="31"/>
  <c r="DB683" i="31"/>
  <c r="DA683" i="31"/>
  <c r="DG689" i="31" l="1"/>
  <c r="DF689" i="31"/>
  <c r="EO59" i="9" l="1"/>
  <c r="DR50" i="11" l="1"/>
  <c r="DS50" i="11" s="1"/>
  <c r="DR47" i="11"/>
  <c r="DS47" i="11" s="1"/>
  <c r="DR46" i="11"/>
  <c r="DR45" i="11"/>
  <c r="DS45" i="11" s="1"/>
  <c r="DR44" i="11"/>
  <c r="DR43" i="11"/>
  <c r="DS43" i="11" s="1"/>
  <c r="DR42" i="11"/>
  <c r="DS42" i="11" s="1"/>
  <c r="DR40" i="11"/>
  <c r="DR39" i="11"/>
  <c r="DR34" i="11"/>
  <c r="DR33" i="11"/>
  <c r="DS33" i="11" s="1"/>
  <c r="DR32" i="11"/>
  <c r="DR27" i="11"/>
  <c r="DS27" i="11" s="1"/>
  <c r="DR25" i="11"/>
  <c r="DS25" i="11" s="1"/>
  <c r="DR26" i="11"/>
  <c r="DS26" i="11" s="1"/>
  <c r="DR24" i="11"/>
  <c r="DS24" i="11" s="1"/>
  <c r="DR23" i="11"/>
  <c r="DS23" i="11" s="1"/>
  <c r="DR16" i="11"/>
  <c r="DR15" i="11"/>
  <c r="DP212" i="10"/>
  <c r="DQ210" i="10" s="1"/>
  <c r="DQ211" i="10" s="1"/>
  <c r="DP207" i="10"/>
  <c r="DP202" i="10"/>
  <c r="DP195" i="10"/>
  <c r="DP197" i="10"/>
  <c r="DP161" i="10"/>
  <c r="DP139" i="10"/>
  <c r="DQ134" i="10" s="1"/>
  <c r="DP123" i="10"/>
  <c r="DP125" i="10"/>
  <c r="DP131" i="10"/>
  <c r="DQ128" i="10" s="1"/>
  <c r="DQ129" i="10" s="1"/>
  <c r="DS16" i="11" l="1"/>
  <c r="DS44" i="11"/>
  <c r="DS34" i="11"/>
  <c r="DS46" i="11"/>
  <c r="DS15" i="11"/>
  <c r="DP140" i="10"/>
  <c r="DR28" i="11"/>
  <c r="DS28" i="11"/>
  <c r="DS32" i="11"/>
  <c r="DR48" i="11"/>
  <c r="DS39" i="11"/>
  <c r="DP124" i="10"/>
  <c r="DQ123" i="10"/>
  <c r="DQ124" i="10" s="1"/>
  <c r="DS40" i="11"/>
  <c r="DQ158" i="10"/>
  <c r="DQ200" i="10"/>
  <c r="DQ201" i="10" s="1"/>
  <c r="DP196" i="10"/>
  <c r="DQ195" i="10"/>
  <c r="DQ196" i="10" s="1"/>
  <c r="DQ205" i="10"/>
  <c r="DQ206" i="10" s="1"/>
  <c r="DP108" i="10"/>
  <c r="DP109" i="10" s="1"/>
  <c r="DP115" i="10"/>
  <c r="DP102" i="10"/>
  <c r="DP103" i="10"/>
  <c r="DP104" i="10" s="1"/>
  <c r="DP95" i="10"/>
  <c r="DP96" i="10" s="1"/>
  <c r="DP98" i="10" s="1"/>
  <c r="DP85" i="10"/>
  <c r="DP87" i="10"/>
  <c r="DP38" i="10"/>
  <c r="DP34" i="10"/>
  <c r="DP19" i="10"/>
  <c r="DP20" i="10" l="1"/>
  <c r="DP142" i="10"/>
  <c r="DP112" i="10"/>
  <c r="DP97" i="10"/>
  <c r="DP36" i="10"/>
  <c r="DP116" i="10"/>
  <c r="DP120" i="10"/>
  <c r="DQ135" i="10"/>
  <c r="DS48" i="11"/>
  <c r="DO212" i="10"/>
  <c r="DP210" i="10" s="1"/>
  <c r="DP211" i="10" s="1"/>
  <c r="DO207" i="10"/>
  <c r="DP205" i="10" s="1"/>
  <c r="DP206" i="10" s="1"/>
  <c r="DO202" i="10"/>
  <c r="DX130" i="10"/>
  <c r="ES126" i="9"/>
  <c r="DP41" i="10" l="1"/>
  <c r="DP27" i="10"/>
  <c r="FE59" i="9"/>
  <c r="DP91" i="10"/>
  <c r="EZ59" i="9"/>
  <c r="DP200" i="10"/>
  <c r="DP201" i="10" s="1"/>
  <c r="EU59" i="9"/>
  <c r="DP56" i="10" l="1"/>
  <c r="DG1423" i="31"/>
  <c r="DL1429" i="31" s="1"/>
  <c r="DG1467" i="31"/>
  <c r="DL1473" i="31" s="1"/>
  <c r="DG1456" i="31"/>
  <c r="DL1462" i="31" s="1"/>
  <c r="DG1488" i="31"/>
  <c r="DG1434" i="31"/>
  <c r="DL1440" i="31" s="1"/>
  <c r="DG1487" i="31"/>
  <c r="DG1478" i="31"/>
  <c r="DL1484" i="31" s="1"/>
  <c r="DG1445" i="31"/>
  <c r="DL1451" i="31" s="1"/>
  <c r="DB1456" i="31"/>
  <c r="DB1478" i="31"/>
  <c r="DB1467" i="31"/>
  <c r="DB1434" i="31"/>
  <c r="DB1445" i="31"/>
  <c r="DB1488" i="31"/>
  <c r="DA1488" i="31"/>
  <c r="DA1487" i="31"/>
  <c r="DB1423" i="31"/>
  <c r="DB1487" i="31"/>
  <c r="DC1642" i="31"/>
  <c r="DA1642" i="31"/>
  <c r="DC1641" i="31"/>
  <c r="DA1641" i="31"/>
  <c r="DC1638" i="31"/>
  <c r="DA1638" i="31"/>
  <c r="DD1637" i="31"/>
  <c r="DD1642" i="31" s="1"/>
  <c r="DD1636" i="31"/>
  <c r="DD1641" i="31" s="1"/>
  <c r="DC1609" i="31"/>
  <c r="DA1609" i="31"/>
  <c r="DC1608" i="31"/>
  <c r="DA1608" i="31"/>
  <c r="DC1605" i="31"/>
  <c r="DA1605" i="31"/>
  <c r="DD1604" i="31"/>
  <c r="DD1609" i="31" s="1"/>
  <c r="DD1603" i="31"/>
  <c r="DD1608" i="31" s="1"/>
  <c r="DC352" i="31"/>
  <c r="DA352" i="31"/>
  <c r="DD351" i="31"/>
  <c r="DD350" i="31"/>
  <c r="DD1514" i="31"/>
  <c r="DD1519" i="31" s="1"/>
  <c r="DD1513" i="31"/>
  <c r="DD1518" i="31" s="1"/>
  <c r="DC1519" i="31"/>
  <c r="DA1519" i="31"/>
  <c r="DC1518" i="31"/>
  <c r="DA1518" i="31"/>
  <c r="DC1515" i="31"/>
  <c r="DA1515" i="31"/>
  <c r="DC1509" i="31"/>
  <c r="DA1509" i="31"/>
  <c r="DC1508" i="31"/>
  <c r="DA1508" i="31"/>
  <c r="DC1505" i="31"/>
  <c r="DA1505" i="31"/>
  <c r="DD1504" i="31"/>
  <c r="DD1503" i="31"/>
  <c r="DC748" i="31"/>
  <c r="DH660" i="31"/>
  <c r="DH659" i="31"/>
  <c r="DC545" i="31"/>
  <c r="DB521" i="31"/>
  <c r="DB517" i="31"/>
  <c r="DA232" i="31"/>
  <c r="DG232" i="31"/>
  <c r="DL238" i="31" s="1"/>
  <c r="DL1492" i="31" l="1"/>
  <c r="DF1493" i="31"/>
  <c r="DF1494" i="31" s="1"/>
  <c r="DF1492" i="31"/>
  <c r="DA23" i="31"/>
  <c r="DJ659" i="31"/>
  <c r="DH681" i="31"/>
  <c r="DJ660" i="31"/>
  <c r="DH682" i="31"/>
  <c r="DM650" i="31"/>
  <c r="DM661" i="31"/>
  <c r="DR667" i="31" s="1"/>
  <c r="DM672" i="31"/>
  <c r="DG57" i="31"/>
  <c r="DL1493" i="31"/>
  <c r="DL1494" i="31" s="1"/>
  <c r="DF238" i="31"/>
  <c r="DG1429" i="31"/>
  <c r="DG672" i="31"/>
  <c r="DL678" i="31" s="1"/>
  <c r="DG1473" i="31"/>
  <c r="DG1462" i="31"/>
  <c r="DG1440" i="31"/>
  <c r="DG1484" i="31"/>
  <c r="DG1493" i="31"/>
  <c r="DG1494" i="31" s="1"/>
  <c r="DG1451" i="31"/>
  <c r="DG738" i="31"/>
  <c r="DL744" i="31" s="1"/>
  <c r="DG716" i="31"/>
  <c r="DH650" i="31"/>
  <c r="DG330" i="31"/>
  <c r="DH661" i="31"/>
  <c r="DH672" i="31"/>
  <c r="DG661" i="31"/>
  <c r="DL642" i="31"/>
  <c r="DG276" i="31"/>
  <c r="DL643" i="31"/>
  <c r="DL644" i="31" s="1"/>
  <c r="DG650" i="31"/>
  <c r="DL656" i="31" s="1"/>
  <c r="DG749" i="31"/>
  <c r="DG1492" i="31"/>
  <c r="DG56" i="31"/>
  <c r="DG1489" i="31"/>
  <c r="DL197" i="31"/>
  <c r="DL198" i="31" s="1"/>
  <c r="DG171" i="31"/>
  <c r="DL177" i="31" s="1"/>
  <c r="DG215" i="31"/>
  <c r="DG205" i="31"/>
  <c r="DG221" i="31"/>
  <c r="DL196" i="31"/>
  <c r="DB758" i="31"/>
  <c r="DC758" i="31"/>
  <c r="DH763" i="31" s="1"/>
  <c r="DB205" i="31"/>
  <c r="DB467" i="31"/>
  <c r="DC770" i="31"/>
  <c r="DA770" i="31"/>
  <c r="DA769" i="31"/>
  <c r="DE769" i="31" s="1"/>
  <c r="DD1508" i="31"/>
  <c r="DC672" i="31"/>
  <c r="DA749" i="31"/>
  <c r="DB215" i="31"/>
  <c r="DC1643" i="31"/>
  <c r="DB638" i="31"/>
  <c r="DC661" i="31"/>
  <c r="DA1520" i="31"/>
  <c r="DD1610" i="31"/>
  <c r="DA1643" i="31"/>
  <c r="DA1510" i="31"/>
  <c r="DB650" i="31"/>
  <c r="DA276" i="31"/>
  <c r="DA171" i="31"/>
  <c r="DA1489" i="31"/>
  <c r="DB1489" i="31"/>
  <c r="DC1610" i="31"/>
  <c r="DA1610" i="31"/>
  <c r="DD1643" i="31"/>
  <c r="DD1638" i="31"/>
  <c r="DD1605" i="31"/>
  <c r="DD352" i="31"/>
  <c r="DD1520" i="31"/>
  <c r="DC1520" i="31"/>
  <c r="DD1515" i="31"/>
  <c r="DC1510" i="31"/>
  <c r="DD1505" i="31"/>
  <c r="DD1509" i="31"/>
  <c r="DD748" i="31"/>
  <c r="DD754" i="31" s="1"/>
  <c r="DB749" i="31"/>
  <c r="DA738" i="31"/>
  <c r="DA716" i="31"/>
  <c r="DB738" i="31"/>
  <c r="DB716" i="31"/>
  <c r="DB661" i="31"/>
  <c r="DB672" i="31"/>
  <c r="DA672" i="31"/>
  <c r="DA661" i="31"/>
  <c r="DC650" i="31"/>
  <c r="DC515" i="31"/>
  <c r="DA221" i="31"/>
  <c r="DB232" i="31"/>
  <c r="DB500" i="31"/>
  <c r="DB515" i="31"/>
  <c r="DD510" i="31"/>
  <c r="DA500" i="31"/>
  <c r="DB341" i="31"/>
  <c r="DA330" i="31"/>
  <c r="DB330" i="31"/>
  <c r="DA341" i="31"/>
  <c r="DB276" i="31"/>
  <c r="DB221" i="31"/>
  <c r="DB171" i="31"/>
  <c r="DB57" i="31"/>
  <c r="ET89" i="9" s="1"/>
  <c r="DA57" i="31"/>
  <c r="DB56" i="31"/>
  <c r="ET88" i="9" s="1"/>
  <c r="DA56" i="31"/>
  <c r="DL336" i="31" l="1"/>
  <c r="DL282" i="31"/>
  <c r="DL722" i="31"/>
  <c r="DM656" i="31"/>
  <c r="ET90" i="9"/>
  <c r="DF61" i="31"/>
  <c r="ES88" i="9"/>
  <c r="DF62" i="31"/>
  <c r="DF63" i="31" s="1"/>
  <c r="ES89" i="9"/>
  <c r="DL61" i="31"/>
  <c r="EY88" i="9"/>
  <c r="DL62" i="31"/>
  <c r="DL63" i="31" s="1"/>
  <c r="EY89" i="9"/>
  <c r="DG744" i="31"/>
  <c r="DJ665" i="31"/>
  <c r="DJ664" i="31"/>
  <c r="DH687" i="31"/>
  <c r="DH688" i="31" s="1"/>
  <c r="DM687" i="31"/>
  <c r="DM688" i="31" s="1"/>
  <c r="DH686" i="31"/>
  <c r="DM686" i="31"/>
  <c r="DL213" i="31"/>
  <c r="DD515" i="31"/>
  <c r="DL755" i="31"/>
  <c r="DL227" i="31"/>
  <c r="DG347" i="31"/>
  <c r="DF755" i="31"/>
  <c r="DG639" i="31"/>
  <c r="DL645" i="31" s="1"/>
  <c r="DL667" i="31"/>
  <c r="DG238" i="31"/>
  <c r="DF227" i="31"/>
  <c r="DF1495" i="31"/>
  <c r="DM678" i="31"/>
  <c r="DM667" i="31"/>
  <c r="DG227" i="31"/>
  <c r="DG62" i="31"/>
  <c r="DG63" i="31" s="1"/>
  <c r="DL1495" i="31"/>
  <c r="DG755" i="31"/>
  <c r="DG213" i="31"/>
  <c r="DG678" i="31"/>
  <c r="DF506" i="31"/>
  <c r="DF282" i="31"/>
  <c r="DF678" i="31"/>
  <c r="DF347" i="31"/>
  <c r="DF336" i="31"/>
  <c r="DF722" i="31"/>
  <c r="DF667" i="31"/>
  <c r="DF744" i="31"/>
  <c r="DB213" i="31"/>
  <c r="DC759" i="31"/>
  <c r="DH764" i="31" s="1"/>
  <c r="DH765" i="31" s="1"/>
  <c r="DA759" i="31"/>
  <c r="DA758" i="31"/>
  <c r="DG643" i="31"/>
  <c r="DG644" i="31" s="1"/>
  <c r="DC763" i="31"/>
  <c r="DG642" i="31"/>
  <c r="DG61" i="31"/>
  <c r="DG722" i="31"/>
  <c r="DG58" i="31"/>
  <c r="DG656" i="31"/>
  <c r="DH678" i="31"/>
  <c r="DG667" i="31"/>
  <c r="DG336" i="31"/>
  <c r="DG500" i="31"/>
  <c r="DL506" i="31" s="1"/>
  <c r="DC517" i="31"/>
  <c r="DC523" i="31" s="1"/>
  <c r="DH520" i="31"/>
  <c r="DG1495" i="31"/>
  <c r="DG282" i="31"/>
  <c r="DH667" i="31"/>
  <c r="DH656" i="31"/>
  <c r="DG177" i="31"/>
  <c r="DG196" i="31"/>
  <c r="DG197" i="31"/>
  <c r="DG198" i="31" s="1"/>
  <c r="DG193" i="31"/>
  <c r="DL199" i="31" s="1"/>
  <c r="ES96" i="9"/>
  <c r="ES97" i="9"/>
  <c r="DD1510" i="31"/>
  <c r="DA771" i="31"/>
  <c r="DE771" i="31" s="1"/>
  <c r="DA639" i="31"/>
  <c r="DF645" i="31" s="1"/>
  <c r="DD753" i="31"/>
  <c r="DB759" i="31"/>
  <c r="DB58" i="31"/>
  <c r="DB639" i="31"/>
  <c r="DA127" i="31"/>
  <c r="DA58" i="31"/>
  <c r="DA47" i="31"/>
  <c r="DB127" i="31"/>
  <c r="DL64" i="31" l="1"/>
  <c r="DF64" i="31"/>
  <c r="DD770" i="31"/>
  <c r="DE770" i="31" s="1"/>
  <c r="EY90" i="9"/>
  <c r="ES90" i="9"/>
  <c r="DG506" i="31"/>
  <c r="DG133" i="31"/>
  <c r="DA760" i="31"/>
  <c r="DB760" i="31"/>
  <c r="DG764" i="31"/>
  <c r="DG765" i="31" s="1"/>
  <c r="DL51" i="31"/>
  <c r="DL52" i="31" s="1"/>
  <c r="DL50" i="31"/>
  <c r="DF133" i="31"/>
  <c r="DC764" i="31"/>
  <c r="DC765" i="31" s="1"/>
  <c r="DC760" i="31"/>
  <c r="DC766" i="31" s="1"/>
  <c r="DF698" i="31"/>
  <c r="DF699" i="31" s="1"/>
  <c r="DE758" i="31"/>
  <c r="DG51" i="31"/>
  <c r="DG52" i="31" s="1"/>
  <c r="DG64" i="31"/>
  <c r="DG50" i="31"/>
  <c r="DG645" i="31"/>
  <c r="EY97" i="9"/>
  <c r="DG47" i="31"/>
  <c r="EY96" i="9"/>
  <c r="ES98" i="9"/>
  <c r="ET96" i="9"/>
  <c r="ET97" i="9"/>
  <c r="DB47" i="31"/>
  <c r="DQ12" i="11"/>
  <c r="DR12" i="11" s="1"/>
  <c r="DP215" i="10"/>
  <c r="DO215" i="10"/>
  <c r="DO185" i="10"/>
  <c r="DO135" i="10"/>
  <c r="DO87" i="10"/>
  <c r="DO85" i="10"/>
  <c r="DP185" i="10"/>
  <c r="DD759" i="31" l="1"/>
  <c r="DE759" i="31" s="1"/>
  <c r="DL53" i="31"/>
  <c r="DG53" i="31"/>
  <c r="EY98" i="9"/>
  <c r="ET98" i="9"/>
  <c r="DS12" i="11"/>
  <c r="EO24" i="9"/>
  <c r="CW1467" i="31"/>
  <c r="DB1473" i="31" s="1"/>
  <c r="CW1470" i="31"/>
  <c r="CW1471" i="31"/>
  <c r="CW1478" i="31"/>
  <c r="DB1484" i="31" s="1"/>
  <c r="CW1481" i="31"/>
  <c r="CW1482" i="31"/>
  <c r="CW1423" i="31"/>
  <c r="DB1429" i="31" s="1"/>
  <c r="CW1426" i="31"/>
  <c r="CW1427" i="31"/>
  <c r="CW1434" i="31"/>
  <c r="DB1440" i="31" s="1"/>
  <c r="CW1437" i="31"/>
  <c r="CW1438" i="31"/>
  <c r="CW1445" i="31"/>
  <c r="DB1451" i="31" s="1"/>
  <c r="CW1448" i="31"/>
  <c r="CW1449" i="31"/>
  <c r="CW1456" i="31"/>
  <c r="DB1462" i="31" s="1"/>
  <c r="CW1459" i="31"/>
  <c r="CW1460" i="31"/>
  <c r="CW738" i="31"/>
  <c r="DB744" i="31" s="1"/>
  <c r="CW741" i="31"/>
  <c r="CW742" i="31"/>
  <c r="CW749" i="31"/>
  <c r="CW752" i="31"/>
  <c r="CW694" i="31"/>
  <c r="CW697" i="31"/>
  <c r="CW698" i="31"/>
  <c r="CW699" i="31" s="1"/>
  <c r="CW716" i="31"/>
  <c r="CW719" i="31"/>
  <c r="CW720" i="31"/>
  <c r="CW683" i="31"/>
  <c r="CW521" i="31"/>
  <c r="CW517" i="31"/>
  <c r="DB523" i="31" s="1"/>
  <c r="CW515" i="31"/>
  <c r="CW509" i="31"/>
  <c r="CW504" i="31"/>
  <c r="CW503" i="31"/>
  <c r="CW500" i="31"/>
  <c r="CW467" i="31"/>
  <c r="CW470" i="31"/>
  <c r="CW471" i="31"/>
  <c r="CW454" i="31"/>
  <c r="CW455" i="31"/>
  <c r="CW341" i="31"/>
  <c r="CW344" i="31"/>
  <c r="CW345" i="31"/>
  <c r="CW330" i="31"/>
  <c r="CW333" i="31"/>
  <c r="CW334" i="31"/>
  <c r="CW265" i="31"/>
  <c r="CW268" i="31"/>
  <c r="CW269" i="31"/>
  <c r="CW270" i="31" s="1"/>
  <c r="CW276" i="31"/>
  <c r="CW279" i="31"/>
  <c r="CW280" i="31"/>
  <c r="CW232" i="31"/>
  <c r="CW235" i="31"/>
  <c r="CW236" i="31"/>
  <c r="CW221" i="31"/>
  <c r="CW224" i="31"/>
  <c r="CW225" i="31"/>
  <c r="CW208" i="31"/>
  <c r="CW209" i="31"/>
  <c r="CW210" i="31"/>
  <c r="CW211" i="31"/>
  <c r="CW193" i="31"/>
  <c r="CW196" i="31"/>
  <c r="CW197" i="31"/>
  <c r="CW198" i="31" s="1"/>
  <c r="CW171" i="31"/>
  <c r="DB177" i="31" s="1"/>
  <c r="CW174" i="31"/>
  <c r="CW175" i="31"/>
  <c r="CW180" i="31"/>
  <c r="DB185" i="31" s="1"/>
  <c r="CW181" i="31"/>
  <c r="DB186" i="31" s="1"/>
  <c r="DB187" i="31" s="1"/>
  <c r="CW127" i="31"/>
  <c r="CW130" i="31"/>
  <c r="CW131" i="31"/>
  <c r="CW72" i="31"/>
  <c r="CW75" i="31"/>
  <c r="CW76" i="31"/>
  <c r="CW77" i="31" s="1"/>
  <c r="DB282" i="31" l="1"/>
  <c r="DB336" i="31"/>
  <c r="DB722" i="31"/>
  <c r="DB347" i="31"/>
  <c r="DB227" i="31"/>
  <c r="DB755" i="31"/>
  <c r="DB133" i="31"/>
  <c r="DB506" i="31"/>
  <c r="DB238" i="31"/>
  <c r="DB459" i="31"/>
  <c r="DP83" i="10"/>
  <c r="DG269" i="31"/>
  <c r="DG270" i="31" s="1"/>
  <c r="DB460" i="31"/>
  <c r="DB461" i="31" s="1"/>
  <c r="DB689" i="31"/>
  <c r="EO65" i="9"/>
  <c r="DP174" i="10" s="1"/>
  <c r="EO70" i="9"/>
  <c r="EO29" i="9"/>
  <c r="EO68" i="9" s="1"/>
  <c r="DP175" i="10" s="1"/>
  <c r="EO67" i="9"/>
  <c r="EO72" i="9"/>
  <c r="DP176" i="10" s="1"/>
  <c r="EO66" i="9"/>
  <c r="CW254" i="31"/>
  <c r="DB254" i="31"/>
  <c r="DB196" i="31"/>
  <c r="DB197" i="31"/>
  <c r="DB198" i="31" s="1"/>
  <c r="CW182" i="31"/>
  <c r="DB188" i="31" s="1"/>
  <c r="CW456" i="31"/>
  <c r="DB462" i="31" s="1"/>
  <c r="DG456" i="31" l="1"/>
  <c r="DB260" i="31"/>
  <c r="DG268" i="31"/>
  <c r="DG265" i="31"/>
  <c r="DL271" i="31" s="1"/>
  <c r="DB269" i="31"/>
  <c r="DB270" i="31" s="1"/>
  <c r="ER96" i="9"/>
  <c r="EO39" i="9"/>
  <c r="DB268" i="31"/>
  <c r="DB265" i="31"/>
  <c r="DB193" i="31"/>
  <c r="DG199" i="31" s="1"/>
  <c r="EN24" i="9"/>
  <c r="DG462" i="31" l="1"/>
  <c r="DL462" i="31"/>
  <c r="DG271" i="31"/>
  <c r="DB271" i="31"/>
  <c r="DB199" i="31"/>
  <c r="DO83" i="10"/>
  <c r="EN29" i="9"/>
  <c r="ES75" i="9"/>
  <c r="ES84" i="9" s="1"/>
  <c r="EN37" i="9" l="1"/>
  <c r="ES79" i="9"/>
  <c r="EN133" i="9"/>
  <c r="EL133" i="9"/>
  <c r="EK133" i="9"/>
  <c r="EJ133" i="9"/>
  <c r="EI133" i="9"/>
  <c r="EE133" i="9"/>
  <c r="EF133" i="9"/>
  <c r="EN122" i="9" l="1"/>
  <c r="DO220" i="10" l="1"/>
  <c r="DO161" i="10"/>
  <c r="DP158" i="10" s="1"/>
  <c r="DP159" i="10" s="1"/>
  <c r="DO155" i="10"/>
  <c r="DP153" i="10" s="1"/>
  <c r="DP154" i="10" s="1"/>
  <c r="DO149" i="10"/>
  <c r="DP149" i="10"/>
  <c r="DO139" i="10"/>
  <c r="DO131" i="10"/>
  <c r="DP128" i="10" s="1"/>
  <c r="DP129" i="10" s="1"/>
  <c r="DO103" i="10"/>
  <c r="DO104" i="10" s="1"/>
  <c r="DO102" i="10"/>
  <c r="DO95" i="10"/>
  <c r="DO96" i="10" s="1"/>
  <c r="DO98" i="10" s="1"/>
  <c r="DP189" i="10"/>
  <c r="DO38" i="10"/>
  <c r="DO34" i="10"/>
  <c r="DO19" i="10"/>
  <c r="DQ22" i="11"/>
  <c r="DQ28" i="11"/>
  <c r="DQ35" i="11"/>
  <c r="DR35" i="11" s="1"/>
  <c r="DQ48" i="11"/>
  <c r="DR22" i="11" l="1"/>
  <c r="DO20" i="10"/>
  <c r="DO36" i="10"/>
  <c r="DO41" i="10" s="1"/>
  <c r="DQ29" i="11"/>
  <c r="DQ36" i="11"/>
  <c r="DS22" i="11"/>
  <c r="DR29" i="11"/>
  <c r="DS35" i="11"/>
  <c r="DS36" i="11" s="1"/>
  <c r="DR36" i="11"/>
  <c r="DO97" i="10"/>
  <c r="DO150" i="10"/>
  <c r="DP134" i="10"/>
  <c r="EO60" i="9"/>
  <c r="DO167" i="10"/>
  <c r="DO168" i="10"/>
  <c r="DO186" i="10"/>
  <c r="DO140" i="10"/>
  <c r="DS29" i="11" l="1"/>
  <c r="DO169" i="10"/>
  <c r="DO27" i="10"/>
  <c r="DO91" i="10"/>
  <c r="DQ52" i="11"/>
  <c r="DR52" i="11"/>
  <c r="DS52" i="11"/>
  <c r="DP88" i="10"/>
  <c r="EO62" i="9"/>
  <c r="DP186" i="10"/>
  <c r="DO146" i="10"/>
  <c r="DO142" i="10"/>
  <c r="DS45" i="10"/>
  <c r="DT187" i="10" l="1"/>
  <c r="DS15" i="10"/>
  <c r="D126" i="204" s="1"/>
  <c r="DS49" i="10"/>
  <c r="DO172" i="10"/>
  <c r="DS23" i="10"/>
  <c r="DO147" i="10"/>
  <c r="DO148" i="10" s="1"/>
  <c r="DO218" i="10"/>
  <c r="DO217" i="10"/>
  <c r="DP190" i="10"/>
  <c r="DP188" i="10"/>
  <c r="DS24" i="10"/>
  <c r="E119" i="204" l="1"/>
  <c r="E133" i="204" s="1"/>
  <c r="DT189" i="10"/>
  <c r="ER132" i="9"/>
  <c r="DS51" i="10" l="1"/>
  <c r="ES132" i="9"/>
  <c r="ET132" i="9"/>
  <c r="DY189" i="10" l="1"/>
  <c r="DT188" i="10"/>
  <c r="DT190" i="10"/>
  <c r="DV189" i="10"/>
  <c r="DV187" i="10"/>
  <c r="EU132" i="9"/>
  <c r="DW189" i="10"/>
  <c r="EV132" i="9" l="1"/>
  <c r="DW187" i="10"/>
  <c r="DX189" i="10"/>
  <c r="DY187" i="10" l="1"/>
  <c r="DX187" i="10"/>
  <c r="EB189" i="10" l="1"/>
  <c r="EC49" i="10"/>
  <c r="ED189" i="10" s="1"/>
  <c r="O126" i="204"/>
  <c r="N126" i="204"/>
  <c r="EC189" i="10" l="1"/>
  <c r="N133" i="204"/>
  <c r="O119" i="204"/>
  <c r="O133" i="204" s="1"/>
  <c r="P126" i="204"/>
  <c r="P119" i="204"/>
  <c r="EE189" i="10" l="1"/>
  <c r="EB187" i="10"/>
  <c r="EC45" i="10"/>
  <c r="P133" i="204"/>
  <c r="Q119" i="204"/>
  <c r="Q126" i="204"/>
  <c r="ED187" i="10" l="1"/>
  <c r="EH49" i="10"/>
  <c r="EF189" i="10"/>
  <c r="EC187" i="10"/>
  <c r="R119" i="204"/>
  <c r="Q133" i="204"/>
  <c r="R126" i="204"/>
  <c r="EH189" i="10" l="1"/>
  <c r="S126" i="204"/>
  <c r="T119" i="204" s="1"/>
  <c r="T133" i="204" s="1"/>
  <c r="EE187" i="10"/>
  <c r="EG189" i="10"/>
  <c r="R133" i="204"/>
  <c r="S119" i="204"/>
  <c r="S133" i="204" l="1"/>
  <c r="EI189" i="10"/>
  <c r="EH45" i="10"/>
  <c r="EF187" i="10"/>
  <c r="EJ189" i="10" l="1"/>
  <c r="EH187" i="10"/>
  <c r="EG187" i="10"/>
  <c r="EN139" i="9"/>
  <c r="EN138" i="9"/>
  <c r="EN131" i="9"/>
  <c r="EN72" i="9"/>
  <c r="DO176" i="10" s="1"/>
  <c r="EN70" i="9"/>
  <c r="EN67" i="9"/>
  <c r="EN66" i="9"/>
  <c r="EN65" i="9"/>
  <c r="DO174" i="10" s="1"/>
  <c r="EN41" i="9"/>
  <c r="EN57" i="9"/>
  <c r="CV352" i="31"/>
  <c r="CV683" i="31"/>
  <c r="DA689" i="31" s="1"/>
  <c r="CV672" i="31"/>
  <c r="CV661" i="31"/>
  <c r="CV650" i="31"/>
  <c r="EK189" i="10" l="1"/>
  <c r="EI187" i="10"/>
  <c r="DA656" i="31"/>
  <c r="CV639" i="31"/>
  <c r="DA645" i="31" s="1"/>
  <c r="DA667" i="31"/>
  <c r="DA678" i="31"/>
  <c r="EN49" i="9"/>
  <c r="EN71" i="9"/>
  <c r="EN50" i="9" s="1"/>
  <c r="CV886" i="31"/>
  <c r="CV885" i="31"/>
  <c r="EN68" i="9"/>
  <c r="DO175" i="10" s="1"/>
  <c r="EN39" i="9"/>
  <c r="EM49" i="10" l="1"/>
  <c r="EN189" i="10" s="1"/>
  <c r="EJ187" i="10"/>
  <c r="CV887" i="31"/>
  <c r="CV1488" i="31"/>
  <c r="CV1487" i="31"/>
  <c r="CV1482" i="31"/>
  <c r="CV1481" i="31"/>
  <c r="CV1478" i="31"/>
  <c r="CV1471" i="31"/>
  <c r="CV1470" i="31"/>
  <c r="CV1467" i="31"/>
  <c r="CV1460" i="31"/>
  <c r="CV1459" i="31"/>
  <c r="CV1456" i="31"/>
  <c r="CV1449" i="31"/>
  <c r="CV1448" i="31"/>
  <c r="CV1445" i="31"/>
  <c r="CV1438" i="31"/>
  <c r="CV1437" i="31"/>
  <c r="CV1434" i="31"/>
  <c r="CV1427" i="31"/>
  <c r="CV1426" i="31"/>
  <c r="CV1423" i="31"/>
  <c r="CV752" i="31"/>
  <c r="CV749" i="31"/>
  <c r="CV742" i="31"/>
  <c r="CV741" i="31"/>
  <c r="CV738" i="31"/>
  <c r="CV720" i="31"/>
  <c r="CV719" i="31"/>
  <c r="CV716" i="31"/>
  <c r="CV698" i="31"/>
  <c r="CV699" i="31" s="1"/>
  <c r="CV697" i="31"/>
  <c r="CV694" i="31"/>
  <c r="CZ694" i="31" s="1"/>
  <c r="CV539" i="31"/>
  <c r="CV521" i="31"/>
  <c r="CV515" i="31"/>
  <c r="CV517" i="31"/>
  <c r="CV504" i="31"/>
  <c r="CV503" i="31"/>
  <c r="CV500" i="31"/>
  <c r="CV471" i="31"/>
  <c r="CV470" i="31"/>
  <c r="CV467" i="31"/>
  <c r="CV455" i="31"/>
  <c r="CV454" i="31"/>
  <c r="CV345" i="31"/>
  <c r="CV344" i="31"/>
  <c r="CV341" i="31"/>
  <c r="CV334" i="31"/>
  <c r="CV333" i="31"/>
  <c r="CV330" i="31"/>
  <c r="CV280" i="31"/>
  <c r="CV279" i="31"/>
  <c r="CV276" i="31"/>
  <c r="CV269" i="31"/>
  <c r="CV270" i="31" s="1"/>
  <c r="CV268" i="31"/>
  <c r="CV265" i="31"/>
  <c r="CZ265" i="31" s="1"/>
  <c r="CV235" i="31"/>
  <c r="CV232" i="31"/>
  <c r="CV225" i="31"/>
  <c r="CV224" i="31"/>
  <c r="CV221" i="31"/>
  <c r="CV215" i="31"/>
  <c r="CV211" i="31"/>
  <c r="CV210" i="31"/>
  <c r="CV209" i="31"/>
  <c r="CV197" i="31"/>
  <c r="CV198" i="31" s="1"/>
  <c r="CV196" i="31"/>
  <c r="CV193" i="31"/>
  <c r="CZ193" i="31" s="1"/>
  <c r="CV181" i="31"/>
  <c r="CV180" i="31"/>
  <c r="CV175" i="31"/>
  <c r="CV174" i="31"/>
  <c r="CV171" i="31"/>
  <c r="DA177" i="31" s="1"/>
  <c r="CV130" i="31"/>
  <c r="CV127" i="31"/>
  <c r="CV76" i="31"/>
  <c r="CV77" i="31" s="1"/>
  <c r="CV75" i="31"/>
  <c r="CV72" i="31"/>
  <c r="CV34" i="31"/>
  <c r="DA1493" i="31" l="1"/>
  <c r="DA1494" i="31" s="1"/>
  <c r="CV24" i="31"/>
  <c r="DA1492" i="31"/>
  <c r="CV23" i="31"/>
  <c r="EM189" i="10"/>
  <c r="EK187" i="10"/>
  <c r="EM45" i="10"/>
  <c r="DA545" i="31"/>
  <c r="DA133" i="31"/>
  <c r="DA227" i="31"/>
  <c r="CV57" i="31"/>
  <c r="CZ276" i="31"/>
  <c r="DA282" i="31"/>
  <c r="CZ738" i="31"/>
  <c r="DA744" i="31"/>
  <c r="DA1440" i="31"/>
  <c r="CZ1434" i="31"/>
  <c r="DA1484" i="31"/>
  <c r="CZ1478" i="31"/>
  <c r="DA459" i="31"/>
  <c r="CZ454" i="31"/>
  <c r="DE459" i="31" s="1"/>
  <c r="DA523" i="31"/>
  <c r="CZ517" i="31"/>
  <c r="CZ716" i="31"/>
  <c r="DA722" i="31"/>
  <c r="DA1429" i="31"/>
  <c r="CZ1423" i="31"/>
  <c r="DA1473" i="31"/>
  <c r="CZ1467" i="31"/>
  <c r="DA347" i="31"/>
  <c r="CZ341" i="31"/>
  <c r="DA460" i="31"/>
  <c r="DA461" i="31" s="1"/>
  <c r="CZ455" i="31"/>
  <c r="DE460" i="31" s="1"/>
  <c r="CZ500" i="31"/>
  <c r="DA506" i="31"/>
  <c r="DA1462" i="31"/>
  <c r="CZ1456" i="31"/>
  <c r="DA78" i="31"/>
  <c r="CZ72" i="31"/>
  <c r="CZ232" i="31"/>
  <c r="DA238" i="31"/>
  <c r="CZ330" i="31"/>
  <c r="DA336" i="31"/>
  <c r="CZ749" i="31"/>
  <c r="DA755" i="31"/>
  <c r="DA1451" i="31"/>
  <c r="CZ1445" i="31"/>
  <c r="CZ180" i="31"/>
  <c r="DE185" i="31" s="1"/>
  <c r="DA185" i="31"/>
  <c r="CZ181" i="31"/>
  <c r="DE186" i="31" s="1"/>
  <c r="DA186" i="31"/>
  <c r="DA187" i="31" s="1"/>
  <c r="CZ171" i="31"/>
  <c r="CZ127" i="31"/>
  <c r="CV56" i="31"/>
  <c r="CV758" i="31"/>
  <c r="DA763" i="31" s="1"/>
  <c r="CV759" i="31"/>
  <c r="DA764" i="31" s="1"/>
  <c r="DA765" i="31" s="1"/>
  <c r="EN44" i="9"/>
  <c r="CV1489" i="31"/>
  <c r="CV25" i="31" s="1"/>
  <c r="CV254" i="31"/>
  <c r="CZ254" i="31" s="1"/>
  <c r="CV35" i="31"/>
  <c r="CV182" i="31"/>
  <c r="CV456" i="31"/>
  <c r="EN187" i="10" l="1"/>
  <c r="DA61" i="31"/>
  <c r="EN88" i="9"/>
  <c r="DA62" i="31"/>
  <c r="DA63" i="31" s="1"/>
  <c r="EN89" i="9"/>
  <c r="EM187" i="10"/>
  <c r="EO189" i="10"/>
  <c r="DA1495" i="31"/>
  <c r="CY518" i="31"/>
  <c r="DA260" i="31"/>
  <c r="DA462" i="31"/>
  <c r="CZ456" i="31"/>
  <c r="CV58" i="31"/>
  <c r="CZ182" i="31"/>
  <c r="DA188" i="31"/>
  <c r="DA28" i="31"/>
  <c r="CV760" i="31"/>
  <c r="DA766" i="31" s="1"/>
  <c r="DA265" i="31"/>
  <c r="CV36" i="31"/>
  <c r="DA51" i="31"/>
  <c r="DA52" i="31" s="1"/>
  <c r="DA50" i="31"/>
  <c r="DA64" i="31" l="1"/>
  <c r="EN90" i="9"/>
  <c r="EO187" i="10"/>
  <c r="DF271" i="31"/>
  <c r="DA271" i="31"/>
  <c r="ER97" i="9"/>
  <c r="ER98" i="9" s="1"/>
  <c r="DA694" i="31"/>
  <c r="EQ189" i="10" l="1"/>
  <c r="ER49" i="10"/>
  <c r="DA700" i="31"/>
  <c r="DA20" i="31"/>
  <c r="DA53" i="31"/>
  <c r="ES189" i="10" l="1"/>
  <c r="EW189" i="10"/>
  <c r="ER189" i="10"/>
  <c r="EQ187" i="10"/>
  <c r="ER45" i="10"/>
  <c r="ES187" i="10" l="1"/>
  <c r="EW187" i="10"/>
  <c r="ER187" i="10"/>
  <c r="CJ759" i="31"/>
  <c r="CJ758" i="31"/>
  <c r="CJ760" i="31" l="1"/>
  <c r="EZ49" i="10" l="1"/>
  <c r="A537" i="31"/>
  <c r="A511" i="31"/>
  <c r="EZ189" i="10" l="1"/>
  <c r="FA49" i="10"/>
  <c r="EZ45" i="10"/>
  <c r="DM38" i="10"/>
  <c r="DM40" i="10"/>
  <c r="DN40" i="10" s="1"/>
  <c r="DP35" i="11"/>
  <c r="DP36" i="11" s="1"/>
  <c r="DP25" i="11"/>
  <c r="DP28" i="11" s="1"/>
  <c r="DP22" i="11"/>
  <c r="DP48" i="11"/>
  <c r="DO17" i="11"/>
  <c r="DM212" i="10"/>
  <c r="DM207" i="10"/>
  <c r="DM202" i="10"/>
  <c r="DM197" i="10"/>
  <c r="DM161" i="10"/>
  <c r="DM160" i="10"/>
  <c r="DM155" i="10"/>
  <c r="DN141" i="10"/>
  <c r="DM139" i="10"/>
  <c r="DM140" i="10" s="1"/>
  <c r="DM131" i="10"/>
  <c r="DN130" i="10"/>
  <c r="DM125" i="10"/>
  <c r="DM115" i="10"/>
  <c r="DM116" i="10" s="1"/>
  <c r="DN110" i="10"/>
  <c r="DM108" i="10"/>
  <c r="DM109" i="10" s="1"/>
  <c r="DM103" i="10"/>
  <c r="DM102" i="10"/>
  <c r="DN101" i="10"/>
  <c r="DM95" i="10"/>
  <c r="DM96" i="10" s="1"/>
  <c r="DM98" i="10" s="1"/>
  <c r="DM34" i="10"/>
  <c r="DM52" i="10"/>
  <c r="DN51" i="10"/>
  <c r="DN50" i="10"/>
  <c r="DN49" i="10"/>
  <c r="DN45" i="10"/>
  <c r="DN39" i="10"/>
  <c r="DN37" i="10"/>
  <c r="DN35" i="10"/>
  <c r="DN33" i="10"/>
  <c r="DN32" i="10"/>
  <c r="DN31" i="10"/>
  <c r="DN26" i="10"/>
  <c r="DN25" i="10"/>
  <c r="DN24" i="10"/>
  <c r="DN23" i="10"/>
  <c r="DN22" i="10"/>
  <c r="DN21" i="10"/>
  <c r="DM20" i="10"/>
  <c r="DN19" i="10"/>
  <c r="DN18" i="10"/>
  <c r="DN17" i="10"/>
  <c r="DN16" i="10"/>
  <c r="DN15" i="10"/>
  <c r="DN14" i="10"/>
  <c r="DM97" i="10" l="1"/>
  <c r="DN38" i="10"/>
  <c r="EM133" i="9"/>
  <c r="D122" i="204"/>
  <c r="D136" i="204" s="1"/>
  <c r="EZ187" i="10"/>
  <c r="FA45" i="10"/>
  <c r="FA189" i="10"/>
  <c r="FB49" i="10"/>
  <c r="DM36" i="10"/>
  <c r="DN34" i="10"/>
  <c r="DN97" i="10" s="1"/>
  <c r="D119" i="204"/>
  <c r="D133" i="204" s="1"/>
  <c r="D121" i="204"/>
  <c r="DM27" i="10"/>
  <c r="DO45" i="10"/>
  <c r="DS187" i="10"/>
  <c r="DN95" i="10"/>
  <c r="DN96" i="10" s="1"/>
  <c r="DN98" i="10" s="1"/>
  <c r="DS108" i="10"/>
  <c r="DO108" i="10"/>
  <c r="DO190" i="10"/>
  <c r="DO188" i="10"/>
  <c r="DS188" i="10"/>
  <c r="DS190" i="10"/>
  <c r="DN20" i="10"/>
  <c r="D118" i="204"/>
  <c r="DO189" i="10"/>
  <c r="DS189" i="10"/>
  <c r="DM112" i="10"/>
  <c r="DP29" i="11"/>
  <c r="DM142" i="10"/>
  <c r="EI1619" i="31"/>
  <c r="DY1619" i="31"/>
  <c r="DT1619" i="31"/>
  <c r="DO1619" i="31"/>
  <c r="DJ1619" i="31"/>
  <c r="DE1619" i="31"/>
  <c r="CU1619" i="31"/>
  <c r="CP1619" i="31"/>
  <c r="EI1618" i="31"/>
  <c r="DY1618" i="31"/>
  <c r="DT1618" i="31"/>
  <c r="DO1618" i="31"/>
  <c r="DJ1618" i="31"/>
  <c r="DE1618" i="31"/>
  <c r="CU1618" i="31"/>
  <c r="CP1618" i="31"/>
  <c r="B1617" i="31"/>
  <c r="EI1615" i="31"/>
  <c r="DY1615" i="31"/>
  <c r="DT1615" i="31"/>
  <c r="DO1615" i="31"/>
  <c r="DJ1615" i="31"/>
  <c r="DE1615" i="31"/>
  <c r="CU1615" i="31"/>
  <c r="CP1615" i="31"/>
  <c r="DP52" i="11" l="1"/>
  <c r="DM91" i="10"/>
  <c r="DN27" i="10"/>
  <c r="FB189" i="10"/>
  <c r="FC49" i="10"/>
  <c r="FB45" i="10"/>
  <c r="FA187" i="10"/>
  <c r="DM41" i="10"/>
  <c r="DN36" i="10"/>
  <c r="CP1620" i="31"/>
  <c r="DJ1620" i="31"/>
  <c r="DO109" i="10"/>
  <c r="DO112" i="10"/>
  <c r="DS112" i="10"/>
  <c r="DS109" i="10"/>
  <c r="DO187" i="10"/>
  <c r="DP45" i="10"/>
  <c r="DY1620" i="31"/>
  <c r="DE1620" i="31"/>
  <c r="CU1620" i="31"/>
  <c r="DO1620" i="31"/>
  <c r="EI1620" i="31"/>
  <c r="DT1620" i="31"/>
  <c r="DM54" i="10" l="1"/>
  <c r="DN41" i="10"/>
  <c r="FB187" i="10"/>
  <c r="FC45" i="10"/>
  <c r="FD49" i="10"/>
  <c r="FC189" i="10"/>
  <c r="DN91" i="10"/>
  <c r="DQ45" i="10"/>
  <c r="DP187" i="10"/>
  <c r="DM93" i="10" l="1"/>
  <c r="FD189" i="10"/>
  <c r="FE49" i="10"/>
  <c r="FD45" i="10"/>
  <c r="FC187" i="10"/>
  <c r="DR187" i="10"/>
  <c r="DQ187" i="10"/>
  <c r="FF49" i="10" l="1"/>
  <c r="FE189" i="10"/>
  <c r="FD187" i="10"/>
  <c r="FE45" i="10"/>
  <c r="CT1456" i="31"/>
  <c r="CY1462" i="31" s="1"/>
  <c r="CT1459" i="31"/>
  <c r="CT1460" i="31"/>
  <c r="CT1467" i="31"/>
  <c r="CY1473" i="31" s="1"/>
  <c r="CT1470" i="31"/>
  <c r="CT1471" i="31"/>
  <c r="CT1478" i="31"/>
  <c r="CY1484" i="31" s="1"/>
  <c r="CT1481" i="31"/>
  <c r="CT1482" i="31"/>
  <c r="CT1445" i="31"/>
  <c r="CY1451" i="31" s="1"/>
  <c r="CT1448" i="31"/>
  <c r="CT1449" i="31"/>
  <c r="CT1434" i="31"/>
  <c r="CY1440" i="31" s="1"/>
  <c r="CT1437" i="31"/>
  <c r="CT1438" i="31"/>
  <c r="CT1423" i="31"/>
  <c r="CY1429" i="31" s="1"/>
  <c r="CT1426" i="31"/>
  <c r="CT1427" i="31"/>
  <c r="CT758" i="31"/>
  <c r="CT759" i="31"/>
  <c r="CY764" i="31" s="1"/>
  <c r="CY765" i="31" s="1"/>
  <c r="CT738" i="31"/>
  <c r="CY744" i="31" s="1"/>
  <c r="CT741" i="31"/>
  <c r="CT742" i="31"/>
  <c r="CT749" i="31"/>
  <c r="CY755" i="31" s="1"/>
  <c r="CT752" i="31"/>
  <c r="CT716" i="31"/>
  <c r="CT719" i="31"/>
  <c r="CT720" i="31"/>
  <c r="CU693" i="31"/>
  <c r="CZ698" i="31" s="1"/>
  <c r="CU692" i="31"/>
  <c r="CZ697" i="31" s="1"/>
  <c r="CT694" i="31"/>
  <c r="CY700" i="31" s="1"/>
  <c r="CT697" i="31"/>
  <c r="CT698" i="31"/>
  <c r="CT699" i="31" s="1"/>
  <c r="CU671" i="31"/>
  <c r="CZ676" i="31" s="1"/>
  <c r="CU670" i="31"/>
  <c r="CZ675" i="31" s="1"/>
  <c r="CU660" i="31"/>
  <c r="CZ665" i="31" s="1"/>
  <c r="CU659" i="31"/>
  <c r="CZ664" i="31" s="1"/>
  <c r="CU649" i="31"/>
  <c r="CZ654" i="31" s="1"/>
  <c r="CU648" i="31"/>
  <c r="CZ653" i="31" s="1"/>
  <c r="CU264" i="31"/>
  <c r="CZ269" i="31" s="1"/>
  <c r="CU263" i="31"/>
  <c r="CZ268" i="31" s="1"/>
  <c r="CU192" i="31"/>
  <c r="CZ197" i="31" s="1"/>
  <c r="CU191" i="31"/>
  <c r="CZ196" i="31" s="1"/>
  <c r="CU71" i="31"/>
  <c r="CZ76" i="31" s="1"/>
  <c r="CU70" i="31"/>
  <c r="CZ75" i="31" s="1"/>
  <c r="CU538" i="31"/>
  <c r="CZ543" i="31" s="1"/>
  <c r="CU537" i="31"/>
  <c r="CZ542" i="31" s="1"/>
  <c r="CU513" i="31"/>
  <c r="CU510" i="31"/>
  <c r="CU499" i="31"/>
  <c r="CZ504" i="31" s="1"/>
  <c r="CU498" i="31"/>
  <c r="CZ503" i="31" s="1"/>
  <c r="CU466" i="31"/>
  <c r="CZ471" i="31" s="1"/>
  <c r="CU465" i="31"/>
  <c r="CZ470" i="31" s="1"/>
  <c r="CU340" i="31"/>
  <c r="CZ345" i="31" s="1"/>
  <c r="CU339" i="31"/>
  <c r="CZ344" i="31" s="1"/>
  <c r="CU329" i="31"/>
  <c r="CZ334" i="31" s="1"/>
  <c r="CU328" i="31"/>
  <c r="CZ333" i="31" s="1"/>
  <c r="CU275" i="31"/>
  <c r="CZ280" i="31" s="1"/>
  <c r="CU274" i="31"/>
  <c r="CZ279" i="31" s="1"/>
  <c r="CU231" i="31"/>
  <c r="CU230" i="31"/>
  <c r="CU220" i="31"/>
  <c r="CZ225" i="31" s="1"/>
  <c r="CU219" i="31"/>
  <c r="CZ224" i="31" s="1"/>
  <c r="CU204" i="31"/>
  <c r="CU203" i="31"/>
  <c r="CU170" i="31"/>
  <c r="CZ175" i="31" s="1"/>
  <c r="CU169" i="31"/>
  <c r="CZ174" i="31" s="1"/>
  <c r="CU126" i="31"/>
  <c r="CZ131" i="31" s="1"/>
  <c r="CU125" i="31"/>
  <c r="CZ130" i="31" s="1"/>
  <c r="CT638" i="31"/>
  <c r="CT650" i="31"/>
  <c r="CY656" i="31" s="1"/>
  <c r="CT661" i="31"/>
  <c r="CY667" i="31" s="1"/>
  <c r="CT672" i="31"/>
  <c r="CY678" i="31" s="1"/>
  <c r="CT683" i="31"/>
  <c r="CT539" i="31"/>
  <c r="CY545" i="31" s="1"/>
  <c r="CT500" i="31"/>
  <c r="CY506" i="31" s="1"/>
  <c r="CT503" i="31"/>
  <c r="CT504" i="31"/>
  <c r="CT509" i="31"/>
  <c r="CT515" i="31"/>
  <c r="CT517" i="31"/>
  <c r="CY523" i="31" s="1"/>
  <c r="CT520" i="31"/>
  <c r="CT521" i="31"/>
  <c r="CS470" i="31"/>
  <c r="CT470" i="31"/>
  <c r="CS471" i="31"/>
  <c r="CT471" i="31"/>
  <c r="CT467" i="31"/>
  <c r="CY473" i="31" s="1"/>
  <c r="CT454" i="31"/>
  <c r="CY459" i="31" s="1"/>
  <c r="CT455" i="31"/>
  <c r="CY460" i="31" s="1"/>
  <c r="CY461" i="31" s="1"/>
  <c r="CT330" i="31"/>
  <c r="CT333" i="31"/>
  <c r="CT334" i="31"/>
  <c r="CT341" i="31"/>
  <c r="CY347" i="31" s="1"/>
  <c r="CT344" i="31"/>
  <c r="CT345" i="31"/>
  <c r="CT265" i="31"/>
  <c r="CY271" i="31" s="1"/>
  <c r="CT268" i="31"/>
  <c r="CT269" i="31"/>
  <c r="CT270" i="31" s="1"/>
  <c r="CT276" i="31"/>
  <c r="CT279" i="31"/>
  <c r="CT280" i="31"/>
  <c r="CT221" i="31"/>
  <c r="CT224" i="31"/>
  <c r="CT225" i="31"/>
  <c r="CT232" i="31"/>
  <c r="CT235" i="31"/>
  <c r="CT236" i="31"/>
  <c r="CT205" i="31"/>
  <c r="CT208" i="31"/>
  <c r="CT209" i="31"/>
  <c r="CT210" i="31"/>
  <c r="CT215" i="31"/>
  <c r="CT193" i="31"/>
  <c r="CY199" i="31" s="1"/>
  <c r="CT196" i="31"/>
  <c r="CT197" i="31"/>
  <c r="CT198" i="31" s="1"/>
  <c r="CT171" i="31"/>
  <c r="CY177" i="31" s="1"/>
  <c r="CT174" i="31"/>
  <c r="CT175" i="31"/>
  <c r="CT180" i="31"/>
  <c r="CY185" i="31" s="1"/>
  <c r="CT181" i="31"/>
  <c r="CY186" i="31" s="1"/>
  <c r="CY187" i="31" s="1"/>
  <c r="CT127" i="31"/>
  <c r="CY133" i="31" s="1"/>
  <c r="CT130" i="31"/>
  <c r="CT131" i="31"/>
  <c r="CT72" i="31"/>
  <c r="CY78" i="31" s="1"/>
  <c r="CT75" i="31"/>
  <c r="CT76" i="31"/>
  <c r="CT77" i="31" s="1"/>
  <c r="EM139" i="9"/>
  <c r="EM138" i="9"/>
  <c r="EM132" i="9"/>
  <c r="EM120" i="9"/>
  <c r="EM59" i="9"/>
  <c r="EM36" i="9"/>
  <c r="EM28" i="9"/>
  <c r="EM27" i="9"/>
  <c r="EM23" i="9"/>
  <c r="EM22" i="9"/>
  <c r="EL24" i="9"/>
  <c r="EL41" i="9"/>
  <c r="EL44" i="9"/>
  <c r="EL55" i="9"/>
  <c r="EQ82" i="9" s="1"/>
  <c r="EQ83" i="9" s="1"/>
  <c r="EL57" i="9"/>
  <c r="EL59" i="9"/>
  <c r="EL29" i="9" l="1"/>
  <c r="EL37" i="9" s="1"/>
  <c r="CY722" i="31"/>
  <c r="CY336" i="31"/>
  <c r="CY282" i="31"/>
  <c r="CY227" i="31"/>
  <c r="FE187" i="10"/>
  <c r="FF45" i="10"/>
  <c r="FG49" i="10"/>
  <c r="FG189" i="10" s="1"/>
  <c r="FF189" i="10"/>
  <c r="ER77" i="9"/>
  <c r="CZ521" i="31"/>
  <c r="ER78" i="9"/>
  <c r="EI18" i="9"/>
  <c r="CY238" i="31"/>
  <c r="CZ210" i="31"/>
  <c r="CZ235" i="31"/>
  <c r="CY213" i="31"/>
  <c r="CZ236" i="31"/>
  <c r="CT760" i="31"/>
  <c r="CY766" i="31" s="1"/>
  <c r="CY763" i="31"/>
  <c r="CU211" i="31"/>
  <c r="CZ211" i="31"/>
  <c r="EM24" i="9"/>
  <c r="EN140" i="9"/>
  <c r="EL126" i="9"/>
  <c r="CT456" i="31"/>
  <c r="CY462" i="31" s="1"/>
  <c r="CU515" i="31"/>
  <c r="CT182" i="31"/>
  <c r="CY188" i="31" s="1"/>
  <c r="CT639" i="31"/>
  <c r="CU215" i="31"/>
  <c r="CU221" i="31"/>
  <c r="CU467" i="31"/>
  <c r="CU539" i="31"/>
  <c r="CY260" i="31"/>
  <c r="FG45" i="10" l="1"/>
  <c r="FF187" i="10"/>
  <c r="CZ227" i="31"/>
  <c r="CZ545" i="31"/>
  <c r="CZ473" i="31"/>
  <c r="EM67" i="9"/>
  <c r="EM66" i="9"/>
  <c r="EL39" i="9"/>
  <c r="FG187" i="10" l="1"/>
  <c r="A328" i="31" l="1"/>
  <c r="A169" i="31"/>
  <c r="CX258" i="31" l="1"/>
  <c r="CX259" i="31" s="1"/>
  <c r="EI1609" i="31" l="1"/>
  <c r="DY1609" i="31"/>
  <c r="DT1609" i="31"/>
  <c r="CU1609" i="31"/>
  <c r="CP1609" i="31"/>
  <c r="EI1608" i="31"/>
  <c r="DY1608" i="31"/>
  <c r="DT1608" i="31"/>
  <c r="CU1608" i="31"/>
  <c r="CP1608" i="31"/>
  <c r="B1607" i="31"/>
  <c r="CU1605" i="31"/>
  <c r="CP1605" i="31"/>
  <c r="CP1610" i="31" l="1"/>
  <c r="CU1610" i="31"/>
  <c r="EI1610" i="31"/>
  <c r="DT1610" i="31"/>
  <c r="DY1610" i="31"/>
  <c r="GC126" i="9" l="1"/>
  <c r="EI1643" i="31"/>
  <c r="DT1519" i="31"/>
  <c r="DT1518" i="31"/>
  <c r="DT1509" i="31"/>
  <c r="DT1505" i="31"/>
  <c r="EI742" i="31"/>
  <c r="DY742" i="31"/>
  <c r="DY665" i="31"/>
  <c r="EI504" i="31"/>
  <c r="EI460" i="31"/>
  <c r="EI334" i="31"/>
  <c r="DY334" i="31"/>
  <c r="EI211" i="31"/>
  <c r="EI210" i="31"/>
  <c r="EI175" i="31"/>
  <c r="EI769" i="31" l="1"/>
  <c r="EI770" i="31"/>
  <c r="EJ1690" i="31"/>
  <c r="DT1643" i="31"/>
  <c r="DY1643" i="31"/>
  <c r="EI1520" i="31"/>
  <c r="DT1520" i="31"/>
  <c r="DY1520" i="31"/>
  <c r="DT1510" i="31"/>
  <c r="DL197" i="10"/>
  <c r="DM195" i="10" s="1"/>
  <c r="DM196" i="10" s="1"/>
  <c r="DL202" i="10"/>
  <c r="DM200" i="10" s="1"/>
  <c r="DM201" i="10" s="1"/>
  <c r="DL207" i="10"/>
  <c r="DM205" i="10" s="1"/>
  <c r="DM206" i="10" s="1"/>
  <c r="DL212" i="10"/>
  <c r="DM210" i="10" s="1"/>
  <c r="DM211" i="10" s="1"/>
  <c r="DL149" i="10"/>
  <c r="DL155" i="10"/>
  <c r="DM153" i="10" s="1"/>
  <c r="DM154" i="10" s="1"/>
  <c r="DL161" i="10"/>
  <c r="DM158" i="10" s="1"/>
  <c r="DM159" i="10" s="1"/>
  <c r="DL115" i="10"/>
  <c r="DL120" i="10" s="1"/>
  <c r="DL125" i="10"/>
  <c r="DM123" i="10" s="1"/>
  <c r="DM124" i="10" s="1"/>
  <c r="DL131" i="10"/>
  <c r="DM128" i="10" s="1"/>
  <c r="DM129" i="10" s="1"/>
  <c r="DL139" i="10"/>
  <c r="DM134" i="10" s="1"/>
  <c r="DL102" i="10"/>
  <c r="DL103" i="10"/>
  <c r="DL104" i="10" s="1"/>
  <c r="DL108" i="10"/>
  <c r="DL109" i="10" s="1"/>
  <c r="DL34" i="10"/>
  <c r="DL20" i="10"/>
  <c r="DL85" i="10"/>
  <c r="DL87" i="10"/>
  <c r="DL185" i="10"/>
  <c r="DL189" i="10"/>
  <c r="DL215" i="10"/>
  <c r="DL27" i="10" l="1"/>
  <c r="DL36" i="10"/>
  <c r="EI771" i="31"/>
  <c r="DL140" i="10"/>
  <c r="DL150" i="10"/>
  <c r="DL116" i="10"/>
  <c r="DL112" i="10"/>
  <c r="DL95" i="10"/>
  <c r="DL188" i="10"/>
  <c r="DL190" i="10"/>
  <c r="DL186" i="10"/>
  <c r="DL142" i="10" l="1"/>
  <c r="DL41" i="10"/>
  <c r="DL146" i="10"/>
  <c r="DL147" i="10" s="1"/>
  <c r="DL148" i="10" s="1"/>
  <c r="DL97" i="10"/>
  <c r="DL172" i="10" l="1"/>
  <c r="DL218" i="10"/>
  <c r="DL169" i="10" l="1"/>
  <c r="DL217" i="10"/>
  <c r="DL220" i="10"/>
  <c r="DL96" i="10"/>
  <c r="DL98" i="10" s="1"/>
  <c r="DL168" i="10" l="1"/>
  <c r="DL91" i="10"/>
  <c r="DL167" i="10"/>
  <c r="CS509" i="31" l="1"/>
  <c r="CR455" i="31"/>
  <c r="CW460" i="31" s="1"/>
  <c r="CW461" i="31" s="1"/>
  <c r="CQ455" i="31"/>
  <c r="CV460" i="31" s="1"/>
  <c r="CV461" i="31" s="1"/>
  <c r="CR454" i="31"/>
  <c r="CW459" i="31" s="1"/>
  <c r="CQ454" i="31"/>
  <c r="CV459" i="31" s="1"/>
  <c r="CS235" i="31"/>
  <c r="CR235" i="31"/>
  <c r="CQ235" i="31"/>
  <c r="CR181" i="31"/>
  <c r="CW186" i="31" s="1"/>
  <c r="CW187" i="31" s="1"/>
  <c r="CQ181" i="31"/>
  <c r="CV186" i="31" s="1"/>
  <c r="CV187" i="31" s="1"/>
  <c r="CR180" i="31"/>
  <c r="CW185" i="31" s="1"/>
  <c r="CQ180" i="31"/>
  <c r="CV185" i="31" s="1"/>
  <c r="EK55" i="9" l="1"/>
  <c r="EP82" i="9" s="1"/>
  <c r="EP83" i="9" s="1"/>
  <c r="EK41" i="9"/>
  <c r="CS1482" i="31"/>
  <c r="CS1481" i="31"/>
  <c r="CS1478" i="31"/>
  <c r="CX1484" i="31" s="1"/>
  <c r="CS1471" i="31"/>
  <c r="CS1470" i="31"/>
  <c r="CS1467" i="31"/>
  <c r="CX1473" i="31" s="1"/>
  <c r="CS1460" i="31"/>
  <c r="CS1459" i="31"/>
  <c r="CS1456" i="31"/>
  <c r="CX1462" i="31" s="1"/>
  <c r="CS1449" i="31"/>
  <c r="CS1448" i="31"/>
  <c r="CS1445" i="31"/>
  <c r="CX1451" i="31" s="1"/>
  <c r="CS1438" i="31"/>
  <c r="CS1437" i="31"/>
  <c r="CS1434" i="31"/>
  <c r="CX1440" i="31" s="1"/>
  <c r="CS1427" i="31"/>
  <c r="CS1426" i="31"/>
  <c r="CS1423" i="31"/>
  <c r="CX1429" i="31" s="1"/>
  <c r="CS759" i="31"/>
  <c r="CX764" i="31" s="1"/>
  <c r="CX765" i="31" s="1"/>
  <c r="CS758" i="31"/>
  <c r="CX763" i="31" s="1"/>
  <c r="CS752" i="31"/>
  <c r="CS749" i="31"/>
  <c r="CX755" i="31" s="1"/>
  <c r="CS742" i="31"/>
  <c r="CS741" i="31"/>
  <c r="CS738" i="31"/>
  <c r="CX744" i="31" s="1"/>
  <c r="CS720" i="31"/>
  <c r="CS719" i="31"/>
  <c r="CS716" i="31"/>
  <c r="CS694" i="31"/>
  <c r="CX700" i="31" s="1"/>
  <c r="CS683" i="31"/>
  <c r="CS650" i="31"/>
  <c r="CX656" i="31" s="1"/>
  <c r="CS539" i="31"/>
  <c r="CX545" i="31" s="1"/>
  <c r="CS515" i="31"/>
  <c r="CS504" i="31"/>
  <c r="CS503" i="31"/>
  <c r="CS500" i="31"/>
  <c r="CX506" i="31" s="1"/>
  <c r="CS467" i="31"/>
  <c r="CX473" i="31" s="1"/>
  <c r="CS181" i="31"/>
  <c r="CX186" i="31" s="1"/>
  <c r="CX187" i="31" s="1"/>
  <c r="CS180" i="31"/>
  <c r="CX185" i="31" s="1"/>
  <c r="CS455" i="31"/>
  <c r="CX460" i="31" s="1"/>
  <c r="CX461" i="31" s="1"/>
  <c r="CS454" i="31"/>
  <c r="CX459" i="31" s="1"/>
  <c r="CS345" i="31"/>
  <c r="CS344" i="31"/>
  <c r="CS341" i="31"/>
  <c r="CX347" i="31" s="1"/>
  <c r="CS334" i="31"/>
  <c r="CS333" i="31"/>
  <c r="CS330" i="31"/>
  <c r="CS280" i="31"/>
  <c r="CS279" i="31"/>
  <c r="CS276" i="31"/>
  <c r="CS269" i="31"/>
  <c r="CS270" i="31" s="1"/>
  <c r="CS268" i="31"/>
  <c r="CS265" i="31"/>
  <c r="CX271" i="31" s="1"/>
  <c r="CX260" i="31"/>
  <c r="CS232" i="31"/>
  <c r="CS225" i="31"/>
  <c r="CS224" i="31"/>
  <c r="CS221" i="31"/>
  <c r="CS211" i="31"/>
  <c r="CS210" i="31"/>
  <c r="CS209" i="31"/>
  <c r="CS208" i="31"/>
  <c r="CS205" i="31"/>
  <c r="CS193" i="31"/>
  <c r="CX199" i="31" s="1"/>
  <c r="CS175" i="31"/>
  <c r="CS174" i="31"/>
  <c r="CS171" i="31"/>
  <c r="CX177" i="31" s="1"/>
  <c r="CS131" i="31"/>
  <c r="CS130" i="31"/>
  <c r="CX282" i="31" l="1"/>
  <c r="CX227" i="31"/>
  <c r="CX722" i="31"/>
  <c r="CX336" i="31"/>
  <c r="CX213" i="31"/>
  <c r="CX238" i="31"/>
  <c r="EK71" i="9"/>
  <c r="CU454" i="31"/>
  <c r="CZ459" i="31" s="1"/>
  <c r="CU455" i="31"/>
  <c r="CZ460" i="31" s="1"/>
  <c r="CU180" i="31"/>
  <c r="CZ185" i="31" s="1"/>
  <c r="CU181" i="31"/>
  <c r="CZ186" i="31" s="1"/>
  <c r="CS456" i="31"/>
  <c r="CX462" i="31" s="1"/>
  <c r="CS760" i="31"/>
  <c r="CX766" i="31" s="1"/>
  <c r="CS182" i="31"/>
  <c r="CX188" i="31" s="1"/>
  <c r="CR742" i="31" l="1"/>
  <c r="DK160" i="10" l="1"/>
  <c r="DF160" i="10"/>
  <c r="CM235" i="31"/>
  <c r="DL12" i="11" l="1"/>
  <c r="EJ45" i="9"/>
  <c r="EJ44" i="9" l="1"/>
  <c r="DM50" i="11"/>
  <c r="DM47" i="11"/>
  <c r="DM46" i="11"/>
  <c r="DM45" i="11"/>
  <c r="DM44" i="11"/>
  <c r="DM43" i="11"/>
  <c r="DM42" i="11"/>
  <c r="DM40" i="11"/>
  <c r="DM39" i="11"/>
  <c r="DM34" i="11"/>
  <c r="DM33" i="11"/>
  <c r="DM32" i="11"/>
  <c r="DM26" i="11"/>
  <c r="DM25" i="11"/>
  <c r="DM24" i="11"/>
  <c r="DM23" i="11"/>
  <c r="DM22" i="11"/>
  <c r="DM18" i="11"/>
  <c r="DM16" i="11"/>
  <c r="DM15" i="11"/>
  <c r="DM12" i="11"/>
  <c r="DL35" i="11"/>
  <c r="DL27" i="11"/>
  <c r="DM27" i="11" s="1"/>
  <c r="DN27" i="11" s="1"/>
  <c r="DL48" i="11"/>
  <c r="DL28" i="11" l="1"/>
  <c r="DN25" i="11"/>
  <c r="DO25" i="11" s="1"/>
  <c r="DN33" i="11"/>
  <c r="DO33" i="11" s="1"/>
  <c r="DN40" i="11"/>
  <c r="DN45" i="11"/>
  <c r="DO45" i="11" s="1"/>
  <c r="DN46" i="11"/>
  <c r="DL36" i="11"/>
  <c r="DN43" i="11"/>
  <c r="DO43" i="11" s="1"/>
  <c r="DN47" i="11"/>
  <c r="DO47" i="11" s="1"/>
  <c r="DN18" i="11"/>
  <c r="DO18" i="11" s="1"/>
  <c r="DN22" i="11"/>
  <c r="DN26" i="11"/>
  <c r="DO26" i="11" s="1"/>
  <c r="DN34" i="11"/>
  <c r="DN42" i="11"/>
  <c r="DO42" i="11" s="1"/>
  <c r="DN15" i="11"/>
  <c r="DN23" i="11"/>
  <c r="DO23" i="11" s="1"/>
  <c r="DM35" i="11"/>
  <c r="DN35" i="11" s="1"/>
  <c r="DO27" i="11"/>
  <c r="DN16" i="11"/>
  <c r="DN24" i="11"/>
  <c r="DO24" i="11" s="1"/>
  <c r="DN32" i="11"/>
  <c r="DN39" i="11"/>
  <c r="DN44" i="11"/>
  <c r="DN50" i="11"/>
  <c r="DO50" i="11" s="1"/>
  <c r="DN12" i="11"/>
  <c r="DO12" i="11" s="1"/>
  <c r="DM48" i="11"/>
  <c r="DM28" i="11"/>
  <c r="DM29" i="11" s="1"/>
  <c r="DK34" i="10"/>
  <c r="DJ220" i="10"/>
  <c r="DK215" i="10"/>
  <c r="DJ212" i="10"/>
  <c r="DK210" i="10" s="1"/>
  <c r="DJ207" i="10"/>
  <c r="DK205" i="10" s="1"/>
  <c r="DK197" i="10"/>
  <c r="DL195" i="10" s="1"/>
  <c r="DL196" i="10" s="1"/>
  <c r="DJ197" i="10"/>
  <c r="DK195" i="10" s="1"/>
  <c r="DK189" i="10"/>
  <c r="DK185" i="10"/>
  <c r="DJ185" i="10"/>
  <c r="DJ161" i="10"/>
  <c r="DK158" i="10" s="1"/>
  <c r="DJ155" i="10"/>
  <c r="DK153" i="10" s="1"/>
  <c r="DK149" i="10"/>
  <c r="DJ149" i="10"/>
  <c r="DJ139" i="10"/>
  <c r="DJ150" i="10" s="1"/>
  <c r="DK131" i="10"/>
  <c r="DL128" i="10" s="1"/>
  <c r="DL129" i="10" s="1"/>
  <c r="DJ131" i="10"/>
  <c r="DK128" i="10" s="1"/>
  <c r="DJ125" i="10"/>
  <c r="DK123" i="10" s="1"/>
  <c r="DK115" i="10"/>
  <c r="DK116" i="10" s="1"/>
  <c r="DK108" i="10"/>
  <c r="DK112" i="10" s="1"/>
  <c r="DK103" i="10"/>
  <c r="DK104" i="10" s="1"/>
  <c r="DJ103" i="10"/>
  <c r="DJ104" i="10" s="1"/>
  <c r="DK102" i="10"/>
  <c r="DJ102" i="10"/>
  <c r="DJ95" i="10"/>
  <c r="DJ96" i="10" s="1"/>
  <c r="DJ98" i="10" s="1"/>
  <c r="DK87" i="10"/>
  <c r="DJ87" i="10"/>
  <c r="DJ85" i="10"/>
  <c r="DJ34" i="10"/>
  <c r="DF220" i="10"/>
  <c r="CM215" i="10"/>
  <c r="CL215" i="10"/>
  <c r="DF212" i="10"/>
  <c r="DG210" i="10" s="1"/>
  <c r="DF207" i="10"/>
  <c r="DG205" i="10" s="1"/>
  <c r="DF202" i="10"/>
  <c r="DG200" i="10" s="1"/>
  <c r="DF197" i="10"/>
  <c r="DG195" i="10" s="1"/>
  <c r="DG190" i="10"/>
  <c r="DF190" i="10"/>
  <c r="DG189" i="10"/>
  <c r="DF189" i="10"/>
  <c r="DG188" i="10"/>
  <c r="DF188" i="10"/>
  <c r="DG187" i="10"/>
  <c r="DF187" i="10"/>
  <c r="DF161" i="10"/>
  <c r="DF155" i="10"/>
  <c r="DG153" i="10" s="1"/>
  <c r="DF149" i="10"/>
  <c r="DF139" i="10"/>
  <c r="DF150" i="10" s="1"/>
  <c r="DD138" i="10"/>
  <c r="DF131" i="10"/>
  <c r="DG128" i="10" s="1"/>
  <c r="DF125" i="10"/>
  <c r="DG123" i="10" s="1"/>
  <c r="DG108" i="10"/>
  <c r="DF102" i="10"/>
  <c r="CG101" i="10"/>
  <c r="DF95" i="10"/>
  <c r="DF96" i="10" s="1"/>
  <c r="DF98" i="10" s="1"/>
  <c r="CG88" i="10"/>
  <c r="CG87" i="10"/>
  <c r="CG85" i="10"/>
  <c r="DF52" i="10"/>
  <c r="DF20" i="10"/>
  <c r="EJ125" i="9"/>
  <c r="EJ78" i="9"/>
  <c r="EJ55" i="9"/>
  <c r="EJ57" i="9"/>
  <c r="EJ41" i="9"/>
  <c r="EJ24" i="9"/>
  <c r="CG126" i="9"/>
  <c r="DO39" i="11" l="1"/>
  <c r="DO15" i="11"/>
  <c r="DO16" i="11"/>
  <c r="DO34" i="11"/>
  <c r="DL29" i="11"/>
  <c r="DO46" i="11"/>
  <c r="DO44" i="11"/>
  <c r="DO22" i="11"/>
  <c r="DK186" i="10"/>
  <c r="DJ36" i="10"/>
  <c r="DF27" i="10"/>
  <c r="DJ186" i="10"/>
  <c r="EM41" i="9"/>
  <c r="DK83" i="10"/>
  <c r="DL52" i="11"/>
  <c r="DO40" i="11"/>
  <c r="DN48" i="11"/>
  <c r="DF179" i="10"/>
  <c r="DN36" i="11"/>
  <c r="DN28" i="11"/>
  <c r="DO28" i="11" s="1"/>
  <c r="DO29" i="11" s="1"/>
  <c r="DM36" i="11"/>
  <c r="DO32" i="11"/>
  <c r="DO35" i="11"/>
  <c r="DK196" i="10"/>
  <c r="DK134" i="10"/>
  <c r="DK129" i="10"/>
  <c r="DK120" i="10"/>
  <c r="DJ140" i="10"/>
  <c r="DK109" i="10"/>
  <c r="DG134" i="10"/>
  <c r="DF140" i="10"/>
  <c r="DG158" i="10"/>
  <c r="DF180" i="10"/>
  <c r="DG184" i="10"/>
  <c r="DF192" i="10"/>
  <c r="EJ67" i="9"/>
  <c r="EJ70" i="9"/>
  <c r="EJ72" i="9"/>
  <c r="DK176" i="10" s="1"/>
  <c r="EJ66" i="9"/>
  <c r="EJ71" i="9"/>
  <c r="EO126" i="9"/>
  <c r="EN126" i="9"/>
  <c r="DJ41" i="10" l="1"/>
  <c r="DJ169" i="10"/>
  <c r="DM52" i="11"/>
  <c r="DO48" i="11"/>
  <c r="DO36" i="11"/>
  <c r="DJ146" i="10"/>
  <c r="DJ142" i="10"/>
  <c r="DF142" i="10"/>
  <c r="DF146" i="10"/>
  <c r="DF218" i="10"/>
  <c r="DF217" i="10"/>
  <c r="CW352" i="31"/>
  <c r="DO52" i="11" l="1"/>
  <c r="DJ147" i="10"/>
  <c r="DJ148" i="10" s="1"/>
  <c r="DF147" i="10"/>
  <c r="DF148" i="10" s="1"/>
  <c r="CW672" i="31"/>
  <c r="CW661" i="31"/>
  <c r="CW650" i="31"/>
  <c r="CW539" i="31"/>
  <c r="DC678" i="31"/>
  <c r="DC667" i="31"/>
  <c r="DR196" i="31" l="1"/>
  <c r="DB545" i="31"/>
  <c r="DB656" i="31"/>
  <c r="CZ650" i="31"/>
  <c r="DB667" i="31"/>
  <c r="CZ661" i="31"/>
  <c r="DB678" i="31"/>
  <c r="CZ672" i="31"/>
  <c r="DC656" i="31"/>
  <c r="CW215" i="31"/>
  <c r="CW1488" i="31"/>
  <c r="CN18" i="31"/>
  <c r="CM18" i="31"/>
  <c r="CL18" i="31"/>
  <c r="DB1493" i="31" l="1"/>
  <c r="DB1494" i="31" s="1"/>
  <c r="DM196" i="31"/>
  <c r="DC749" i="31"/>
  <c r="DH215" i="31"/>
  <c r="DH205" i="31"/>
  <c r="DH196" i="31"/>
  <c r="CW759" i="31"/>
  <c r="DC205" i="31"/>
  <c r="DC215" i="31"/>
  <c r="CW758" i="31"/>
  <c r="CZ758" i="31" s="1"/>
  <c r="DE763" i="31" s="1"/>
  <c r="EN56" i="9"/>
  <c r="CW57" i="31"/>
  <c r="EO89" i="9" s="1"/>
  <c r="EN97" i="9"/>
  <c r="DM213" i="31" l="1"/>
  <c r="DC755" i="31"/>
  <c r="DH213" i="31"/>
  <c r="DM500" i="31"/>
  <c r="DH749" i="31"/>
  <c r="DC213" i="31"/>
  <c r="DH500" i="31"/>
  <c r="CZ759" i="31"/>
  <c r="DE764" i="31" s="1"/>
  <c r="CW760" i="31"/>
  <c r="CZ760" i="31" s="1"/>
  <c r="DB62" i="31"/>
  <c r="DB63" i="31" s="1"/>
  <c r="EN96" i="9"/>
  <c r="EN98" i="9" s="1"/>
  <c r="EJ26" i="9"/>
  <c r="CS672" i="31"/>
  <c r="CX678" i="31" s="1"/>
  <c r="CS661" i="31"/>
  <c r="CX667" i="31" s="1"/>
  <c r="CR650" i="31"/>
  <c r="CU650" i="31" s="1"/>
  <c r="CZ656" i="31" s="1"/>
  <c r="CR1482" i="31"/>
  <c r="CR1481" i="31"/>
  <c r="CR1471" i="31"/>
  <c r="CR1470" i="31"/>
  <c r="CR1460" i="31"/>
  <c r="CR1459" i="31"/>
  <c r="CR1449" i="31"/>
  <c r="CR1448" i="31"/>
  <c r="CR1438" i="31"/>
  <c r="CR1437" i="31"/>
  <c r="CR1427" i="31"/>
  <c r="CR1426" i="31"/>
  <c r="CR752" i="31"/>
  <c r="CR741" i="31"/>
  <c r="CR720" i="31"/>
  <c r="CR719" i="31"/>
  <c r="CR638" i="31"/>
  <c r="CR683" i="31"/>
  <c r="CR672" i="31"/>
  <c r="CR661" i="31"/>
  <c r="CR504" i="31"/>
  <c r="CR503" i="31"/>
  <c r="CR334" i="31"/>
  <c r="CR333" i="31"/>
  <c r="CR345" i="31"/>
  <c r="CR344" i="31"/>
  <c r="CR280" i="31"/>
  <c r="CR279" i="31"/>
  <c r="CR253" i="31"/>
  <c r="CW258" i="31" s="1"/>
  <c r="CW259" i="31" s="1"/>
  <c r="CR225" i="31"/>
  <c r="CR224" i="31"/>
  <c r="CR211" i="31"/>
  <c r="CR210" i="31"/>
  <c r="CR209" i="31"/>
  <c r="CR208" i="31"/>
  <c r="CR175" i="31"/>
  <c r="CR174" i="31"/>
  <c r="CR131" i="31"/>
  <c r="CR130" i="31"/>
  <c r="DM749" i="31" l="1"/>
  <c r="DH755" i="31"/>
  <c r="DM506" i="31"/>
  <c r="CU661" i="31"/>
  <c r="CZ667" i="31" s="1"/>
  <c r="EM26" i="9"/>
  <c r="DK85" i="10"/>
  <c r="EJ65" i="9"/>
  <c r="DK174" i="10" s="1"/>
  <c r="EJ29" i="9"/>
  <c r="CU672" i="31"/>
  <c r="CZ678" i="31" s="1"/>
  <c r="CR885" i="31"/>
  <c r="CR886" i="31"/>
  <c r="CR639" i="31"/>
  <c r="DM755" i="31" l="1"/>
  <c r="DR749" i="31"/>
  <c r="DI653" i="31"/>
  <c r="DB698" i="31"/>
  <c r="DB699" i="31" s="1"/>
  <c r="EJ37" i="9"/>
  <c r="EJ68" i="9"/>
  <c r="DK175" i="10" s="1"/>
  <c r="ER76" i="9"/>
  <c r="EM65" i="9"/>
  <c r="EM29" i="9"/>
  <c r="EM68" i="9" s="1"/>
  <c r="DB697" i="31"/>
  <c r="DB694" i="31"/>
  <c r="CR887" i="31"/>
  <c r="DR755" i="31" l="1"/>
  <c r="DW755" i="31"/>
  <c r="EJ39" i="9"/>
  <c r="DN675" i="31"/>
  <c r="DI664" i="31"/>
  <c r="DB700" i="31"/>
  <c r="EJ126" i="9"/>
  <c r="EJ127" i="9" s="1"/>
  <c r="EJ122" i="9"/>
  <c r="DN653" i="31" l="1"/>
  <c r="DJ1642" i="31" l="1"/>
  <c r="DE1642" i="31"/>
  <c r="CU1642" i="31"/>
  <c r="CP1642" i="31"/>
  <c r="DJ1641" i="31"/>
  <c r="DE1641" i="31"/>
  <c r="CU1641" i="31"/>
  <c r="CP1641" i="31"/>
  <c r="B1640" i="31"/>
  <c r="DJ1638" i="31"/>
  <c r="DE1638" i="31"/>
  <c r="CU1638" i="31"/>
  <c r="CP1638" i="31"/>
  <c r="DJ1519" i="31"/>
  <c r="DE1519" i="31"/>
  <c r="DJ1518" i="31"/>
  <c r="DE1518" i="31"/>
  <c r="B1517" i="31"/>
  <c r="DE1520" i="31" l="1"/>
  <c r="CP1643" i="31"/>
  <c r="DJ1520" i="31"/>
  <c r="CU1643" i="31"/>
  <c r="DO1643" i="31"/>
  <c r="DE1643" i="31"/>
  <c r="DJ1643" i="31"/>
  <c r="CQ1482" i="31" l="1"/>
  <c r="CQ1481" i="31"/>
  <c r="CQ1471" i="31"/>
  <c r="CQ1470" i="31"/>
  <c r="CQ1460" i="31"/>
  <c r="CQ1459" i="31"/>
  <c r="CQ1449" i="31"/>
  <c r="CQ1448" i="31"/>
  <c r="CQ1438" i="31"/>
  <c r="CQ1437" i="31"/>
  <c r="CQ1427" i="31"/>
  <c r="CQ1426" i="31"/>
  <c r="CQ752" i="31"/>
  <c r="CQ742" i="31" l="1"/>
  <c r="CQ741" i="31"/>
  <c r="CQ720" i="31"/>
  <c r="CQ719" i="31"/>
  <c r="CQ504" i="31"/>
  <c r="CQ503" i="31"/>
  <c r="CQ345" i="31"/>
  <c r="CQ344" i="31"/>
  <c r="CQ334" i="31"/>
  <c r="CQ333" i="31"/>
  <c r="CQ280" i="31"/>
  <c r="CQ279" i="31"/>
  <c r="CQ253" i="31"/>
  <c r="CQ252" i="31"/>
  <c r="CU252" i="31" s="1"/>
  <c r="CZ257" i="31" s="1"/>
  <c r="CQ236" i="31"/>
  <c r="CQ225" i="31"/>
  <c r="CQ224" i="31"/>
  <c r="CQ215" i="31"/>
  <c r="CQ211" i="31"/>
  <c r="CQ210" i="31"/>
  <c r="CQ209" i="31"/>
  <c r="CQ208" i="31"/>
  <c r="CQ131" i="31"/>
  <c r="CQ130" i="31"/>
  <c r="CQ175" i="31"/>
  <c r="CQ174" i="31"/>
  <c r="CV258" i="31" l="1"/>
  <c r="CV259" i="31" s="1"/>
  <c r="CU253" i="31"/>
  <c r="CZ258" i="31" s="1"/>
  <c r="DH118" i="10"/>
  <c r="DH197" i="10"/>
  <c r="DH220" i="10"/>
  <c r="DH215" i="10"/>
  <c r="DH212" i="10"/>
  <c r="DH207" i="10"/>
  <c r="DH202" i="10"/>
  <c r="DH161" i="10"/>
  <c r="DH160" i="10"/>
  <c r="DH155" i="10"/>
  <c r="DH149" i="10"/>
  <c r="DI141" i="10"/>
  <c r="DH139" i="10"/>
  <c r="DH140" i="10" s="1"/>
  <c r="DH131" i="10"/>
  <c r="DI130" i="10"/>
  <c r="DH125" i="10"/>
  <c r="DH108" i="10"/>
  <c r="DH109" i="10" s="1"/>
  <c r="DH102" i="10"/>
  <c r="DH95" i="10"/>
  <c r="DH96" i="10" s="1"/>
  <c r="DH98" i="10" s="1"/>
  <c r="DI87" i="10"/>
  <c r="DH87" i="10"/>
  <c r="DH34" i="10"/>
  <c r="DK35" i="11"/>
  <c r="DK36" i="11" s="1"/>
  <c r="DK25" i="11"/>
  <c r="DK28" i="11" s="1"/>
  <c r="DJ17" i="11"/>
  <c r="DI149" i="10" l="1"/>
  <c r="DH97" i="10"/>
  <c r="DH146" i="10"/>
  <c r="DH103" i="10"/>
  <c r="DH150" i="10"/>
  <c r="DH142" i="10"/>
  <c r="DK29" i="11"/>
  <c r="DH147" i="10" l="1"/>
  <c r="DH148" i="10" s="1"/>
  <c r="EL120" i="9"/>
  <c r="EJ120" i="9"/>
  <c r="EH36" i="9"/>
  <c r="CO515" i="31" l="1"/>
  <c r="CO517" i="31"/>
  <c r="CN509" i="31"/>
  <c r="CO509" i="31"/>
  <c r="CT523" i="31" l="1"/>
  <c r="EF143" i="9"/>
  <c r="EH143" i="9"/>
  <c r="EH144" i="9" s="1"/>
  <c r="CP466" i="31"/>
  <c r="CP465" i="31"/>
  <c r="CU470" i="31" s="1"/>
  <c r="CK466" i="31"/>
  <c r="CK465" i="31"/>
  <c r="CU471" i="31" l="1"/>
  <c r="EG51" i="9"/>
  <c r="EE51" i="9"/>
  <c r="ED51" i="9"/>
  <c r="EF51" i="9"/>
  <c r="EG26" i="9"/>
  <c r="EG37" i="9"/>
  <c r="EG139" i="9"/>
  <c r="EG138" i="9"/>
  <c r="EG136" i="9"/>
  <c r="EG132" i="9"/>
  <c r="EH120" i="9"/>
  <c r="EG120" i="9"/>
  <c r="EG78" i="9"/>
  <c r="EG77" i="9"/>
  <c r="EG59" i="9"/>
  <c r="EH28" i="9"/>
  <c r="EG24" i="9"/>
  <c r="EH23" i="9"/>
  <c r="EH22" i="9"/>
  <c r="CO542" i="31"/>
  <c r="CO758" i="31"/>
  <c r="CT763" i="31" s="1"/>
  <c r="CO1488" i="31"/>
  <c r="CO1487" i="31"/>
  <c r="CO1482" i="31"/>
  <c r="CO1481" i="31"/>
  <c r="CO1478" i="31"/>
  <c r="CT1484" i="31" s="1"/>
  <c r="CO1471" i="31"/>
  <c r="CO1470" i="31"/>
  <c r="CO1467" i="31"/>
  <c r="CT1473" i="31" s="1"/>
  <c r="CO1460" i="31"/>
  <c r="CO1459" i="31"/>
  <c r="CO1456" i="31"/>
  <c r="CT1462" i="31" s="1"/>
  <c r="CO1449" i="31"/>
  <c r="CO1448" i="31"/>
  <c r="CO1445" i="31"/>
  <c r="CT1451" i="31" s="1"/>
  <c r="CO1438" i="31"/>
  <c r="CO1437" i="31"/>
  <c r="CO1434" i="31"/>
  <c r="CT1440" i="31" s="1"/>
  <c r="CO1427" i="31"/>
  <c r="CO1426" i="31"/>
  <c r="CO1423" i="31"/>
  <c r="CT1429" i="31" s="1"/>
  <c r="CO886" i="31"/>
  <c r="CO35" i="31" s="1"/>
  <c r="CO885" i="31"/>
  <c r="CO876" i="31"/>
  <c r="CO759" i="31"/>
  <c r="CT764" i="31" s="1"/>
  <c r="CT765" i="31" s="1"/>
  <c r="CO752" i="31"/>
  <c r="CO749" i="31"/>
  <c r="CT755" i="31" s="1"/>
  <c r="CO742" i="31"/>
  <c r="CO741" i="31"/>
  <c r="CO738" i="31"/>
  <c r="CT744" i="31" s="1"/>
  <c r="CO731" i="31"/>
  <c r="CO732" i="31" s="1"/>
  <c r="CO730" i="31"/>
  <c r="CO727" i="31"/>
  <c r="CO720" i="31"/>
  <c r="CO719" i="31"/>
  <c r="CO716" i="31"/>
  <c r="CO709" i="31"/>
  <c r="CO708" i="31"/>
  <c r="CO705" i="31"/>
  <c r="CO698" i="31"/>
  <c r="CO697" i="31"/>
  <c r="CO694" i="31"/>
  <c r="CT700" i="31" s="1"/>
  <c r="CO539" i="31"/>
  <c r="CO532" i="31"/>
  <c r="CO531" i="31"/>
  <c r="CO528" i="31"/>
  <c r="CO521" i="31"/>
  <c r="CO520" i="31"/>
  <c r="CO504" i="31"/>
  <c r="CO503" i="31"/>
  <c r="CO500" i="31"/>
  <c r="CT506" i="31" s="1"/>
  <c r="CO493" i="31"/>
  <c r="CO492" i="31"/>
  <c r="CO489" i="31"/>
  <c r="CO478" i="31"/>
  <c r="CO471" i="31"/>
  <c r="CO470" i="31"/>
  <c r="CO467" i="31"/>
  <c r="CT473" i="31" s="1"/>
  <c r="CO448" i="31"/>
  <c r="CO447" i="31"/>
  <c r="CO444" i="31"/>
  <c r="CO437" i="31"/>
  <c r="CO433" i="31"/>
  <c r="CO426" i="31"/>
  <c r="CO427" i="31" s="1"/>
  <c r="CO425" i="31"/>
  <c r="CO422" i="31"/>
  <c r="CO415" i="31"/>
  <c r="CO414" i="31"/>
  <c r="CO411" i="31"/>
  <c r="CO404" i="31"/>
  <c r="CO403" i="31"/>
  <c r="CO400" i="31"/>
  <c r="CO388" i="31"/>
  <c r="CO387" i="31"/>
  <c r="CO382" i="31"/>
  <c r="CO383" i="31" s="1"/>
  <c r="CO381" i="31"/>
  <c r="CO378" i="31"/>
  <c r="CO366" i="31"/>
  <c r="CO365" i="31"/>
  <c r="CO345" i="31"/>
  <c r="CO344" i="31"/>
  <c r="CO341" i="31"/>
  <c r="CT347" i="31" s="1"/>
  <c r="CO334" i="31"/>
  <c r="CO333" i="31"/>
  <c r="CO330" i="31"/>
  <c r="CO323" i="31"/>
  <c r="CO322" i="31"/>
  <c r="CO319" i="31"/>
  <c r="CO312" i="31"/>
  <c r="CO313" i="31" s="1"/>
  <c r="CO311" i="31"/>
  <c r="CO308" i="31"/>
  <c r="CO296" i="31"/>
  <c r="CO295" i="31"/>
  <c r="CO280" i="31"/>
  <c r="CO279" i="31"/>
  <c r="CO276" i="31"/>
  <c r="CO269" i="31"/>
  <c r="CO270" i="31" s="1"/>
  <c r="CO268" i="31"/>
  <c r="CO265" i="31"/>
  <c r="CT271" i="31" s="1"/>
  <c r="CO253" i="31"/>
  <c r="CT258" i="31" s="1"/>
  <c r="CT259" i="31" s="1"/>
  <c r="CO252" i="31"/>
  <c r="CO236" i="31"/>
  <c r="CO235" i="31"/>
  <c r="CO232" i="31"/>
  <c r="CT238" i="31" s="1"/>
  <c r="CO225" i="31"/>
  <c r="CO224" i="31"/>
  <c r="CO221" i="31"/>
  <c r="CO215" i="31"/>
  <c r="CO211" i="31"/>
  <c r="CO210" i="31"/>
  <c r="CO209" i="31"/>
  <c r="CO208" i="31"/>
  <c r="CO205" i="31"/>
  <c r="CO197" i="31"/>
  <c r="CO198" i="31" s="1"/>
  <c r="CO196" i="31"/>
  <c r="CO193" i="31"/>
  <c r="CT199" i="31" s="1"/>
  <c r="CO175" i="31"/>
  <c r="CO176" i="31" s="1"/>
  <c r="CO174" i="31"/>
  <c r="CO171" i="31"/>
  <c r="CT177" i="31" s="1"/>
  <c r="CO164" i="31"/>
  <c r="CO165" i="31" s="1"/>
  <c r="CO163" i="31"/>
  <c r="CO160" i="31"/>
  <c r="CO153" i="31"/>
  <c r="CO154" i="31" s="1"/>
  <c r="CO152" i="31"/>
  <c r="CO149" i="31"/>
  <c r="CO142" i="31"/>
  <c r="CO141" i="31"/>
  <c r="CO138" i="31"/>
  <c r="CO131" i="31"/>
  <c r="CO130" i="31"/>
  <c r="CO127" i="31"/>
  <c r="CT133" i="31" s="1"/>
  <c r="CO115" i="31"/>
  <c r="CO114" i="31"/>
  <c r="CO109" i="31"/>
  <c r="CO110" i="31" s="1"/>
  <c r="CO108" i="31"/>
  <c r="CO105" i="31"/>
  <c r="CO98" i="31"/>
  <c r="CO99" i="31" s="1"/>
  <c r="CO97" i="31"/>
  <c r="CO94" i="31"/>
  <c r="CO82" i="31"/>
  <c r="CO81" i="31"/>
  <c r="CO76" i="31"/>
  <c r="CO77" i="31" s="1"/>
  <c r="CO75" i="31"/>
  <c r="CO72" i="31"/>
  <c r="CT78" i="31" s="1"/>
  <c r="CT282" i="31" l="1"/>
  <c r="CT722" i="31"/>
  <c r="CT213" i="31"/>
  <c r="CT227" i="31"/>
  <c r="CT336" i="31"/>
  <c r="CO57" i="31"/>
  <c r="EG89" i="9" s="1"/>
  <c r="CO24" i="31"/>
  <c r="CO56" i="31"/>
  <c r="EG88" i="9" s="1"/>
  <c r="CO23" i="31"/>
  <c r="CO180" i="31"/>
  <c r="CT185" i="31" s="1"/>
  <c r="DH85" i="10"/>
  <c r="DL86" i="10" s="1"/>
  <c r="EG126" i="9"/>
  <c r="EM78" i="9"/>
  <c r="DH83" i="10"/>
  <c r="EG93" i="9"/>
  <c r="EH24" i="9"/>
  <c r="EG29" i="9"/>
  <c r="EG65" i="9"/>
  <c r="EG66" i="9"/>
  <c r="EG67" i="9"/>
  <c r="CO1489" i="31"/>
  <c r="CO760" i="31"/>
  <c r="CT766" i="31" s="1"/>
  <c r="CO34" i="31"/>
  <c r="CO455" i="31"/>
  <c r="CT460" i="31" s="1"/>
  <c r="CT461" i="31" s="1"/>
  <c r="CO454" i="31"/>
  <c r="CT459" i="31" s="1"/>
  <c r="CO254" i="31"/>
  <c r="CT260" i="31" s="1"/>
  <c r="CO143" i="31"/>
  <c r="CO181" i="31"/>
  <c r="CT186" i="31" s="1"/>
  <c r="CT187" i="31" s="1"/>
  <c r="CO416" i="31"/>
  <c r="CO438" i="31"/>
  <c r="CO494" i="31"/>
  <c r="CO699" i="31"/>
  <c r="CO887" i="31"/>
  <c r="CO116" i="31"/>
  <c r="CO482" i="31"/>
  <c r="CO83" i="31"/>
  <c r="CO297" i="31"/>
  <c r="CO367" i="31"/>
  <c r="CO389" i="31"/>
  <c r="CO405" i="31"/>
  <c r="CO449" i="31"/>
  <c r="CO710" i="31"/>
  <c r="CO743" i="31"/>
  <c r="EG90" i="9" l="1"/>
  <c r="CO25" i="31"/>
  <c r="CO58" i="31"/>
  <c r="CO36" i="31"/>
  <c r="EH67" i="9"/>
  <c r="DL61" i="10"/>
  <c r="DL60" i="10"/>
  <c r="EM75" i="9"/>
  <c r="DI83" i="10"/>
  <c r="DI84" i="10" s="1"/>
  <c r="EG92" i="9"/>
  <c r="EG94" i="9" s="1"/>
  <c r="EH2" i="9"/>
  <c r="EH4" i="9" s="1"/>
  <c r="EH7" i="9" s="1"/>
  <c r="EG68" i="9"/>
  <c r="EG39" i="9"/>
  <c r="EG38" i="9"/>
  <c r="CO456" i="31"/>
  <c r="CT462" i="31" s="1"/>
  <c r="CO182" i="31"/>
  <c r="CT188" i="31" s="1"/>
  <c r="EG102" i="9" l="1"/>
  <c r="EG96" i="9"/>
  <c r="EG97" i="9"/>
  <c r="EG125" i="9"/>
  <c r="EG127" i="9" s="1"/>
  <c r="EG122" i="9"/>
  <c r="EG70" i="9"/>
  <c r="EG107" i="9" l="1"/>
  <c r="EG104" i="9"/>
  <c r="EG110" i="9"/>
  <c r="EG112" i="9"/>
  <c r="EG106" i="9"/>
  <c r="EG111" i="9"/>
  <c r="EG103" i="9"/>
  <c r="EG108" i="9"/>
  <c r="EG98" i="9"/>
  <c r="EG71" i="9"/>
  <c r="EG50" i="9" s="1"/>
  <c r="EG43" i="9"/>
  <c r="EG49" i="9"/>
  <c r="EG44" i="9" l="1"/>
  <c r="EG114" i="9"/>
  <c r="EG115" i="9"/>
  <c r="EG56" i="9"/>
  <c r="EG55" i="9"/>
  <c r="EG72" i="9"/>
  <c r="EG116" i="9" l="1"/>
  <c r="EG57" i="9"/>
  <c r="DI47" i="11" l="1"/>
  <c r="DJ47" i="11" s="1"/>
  <c r="DG118" i="10"/>
  <c r="DG34" i="10"/>
  <c r="DG220" i="10"/>
  <c r="DG215" i="10"/>
  <c r="DG212" i="10"/>
  <c r="DH210" i="10" s="1"/>
  <c r="DH211" i="10" s="1"/>
  <c r="DG207" i="10"/>
  <c r="DH205" i="10" s="1"/>
  <c r="DH206" i="10" s="1"/>
  <c r="DG202" i="10"/>
  <c r="DH200" i="10" s="1"/>
  <c r="DH201" i="10" s="1"/>
  <c r="DG197" i="10"/>
  <c r="DH195" i="10" s="1"/>
  <c r="DH196" i="10" s="1"/>
  <c r="DG185" i="10"/>
  <c r="DG161" i="10"/>
  <c r="DH158" i="10" s="1"/>
  <c r="DH159" i="10" s="1"/>
  <c r="DG160" i="10"/>
  <c r="DE160" i="10" s="1"/>
  <c r="DG155" i="10"/>
  <c r="DH153" i="10" s="1"/>
  <c r="DH154" i="10" s="1"/>
  <c r="DG149" i="10"/>
  <c r="DG139" i="10"/>
  <c r="DG131" i="10"/>
  <c r="DH128" i="10" s="1"/>
  <c r="DH129" i="10" s="1"/>
  <c r="DG125" i="10"/>
  <c r="DH123" i="10" s="1"/>
  <c r="DH124" i="10" s="1"/>
  <c r="DG109" i="10"/>
  <c r="DG102" i="10"/>
  <c r="DG95" i="10"/>
  <c r="DG96" i="10" s="1"/>
  <c r="DG98" i="10" s="1"/>
  <c r="DG87" i="10"/>
  <c r="DG52" i="10"/>
  <c r="DG20" i="10"/>
  <c r="DG36" i="10" l="1"/>
  <c r="DG27" i="10"/>
  <c r="DG179" i="10"/>
  <c r="DH115" i="10"/>
  <c r="DH116" i="10"/>
  <c r="DH120" i="10"/>
  <c r="ED120" i="9"/>
  <c r="DG103" i="10"/>
  <c r="DG104" i="10" s="1"/>
  <c r="DG150" i="10"/>
  <c r="DH134" i="10"/>
  <c r="DG97" i="10"/>
  <c r="DG167" i="10"/>
  <c r="DG91" i="10"/>
  <c r="DG112" i="10"/>
  <c r="DG168" i="10"/>
  <c r="DG180" i="10"/>
  <c r="DG192" i="10"/>
  <c r="DG41" i="10"/>
  <c r="DG140" i="10"/>
  <c r="DG186" i="10" l="1"/>
  <c r="DG169" i="10"/>
  <c r="DG146" i="10"/>
  <c r="DG142" i="10"/>
  <c r="DG54" i="10"/>
  <c r="DG93" i="10" l="1"/>
  <c r="DG217" i="10"/>
  <c r="DG218" i="10"/>
  <c r="DG181" i="10"/>
  <c r="DG56" i="10"/>
  <c r="DG147" i="10"/>
  <c r="DG148" i="10" s="1"/>
  <c r="CU748" i="31"/>
  <c r="CZ753" i="31" s="1"/>
  <c r="A274" i="31" l="1"/>
  <c r="A230" i="31"/>
  <c r="A219" i="31"/>
  <c r="A202" i="31"/>
  <c r="A147" i="31"/>
  <c r="A125" i="31"/>
  <c r="A498" i="31"/>
  <c r="A339" i="31"/>
  <c r="A306" i="31"/>
  <c r="DO1509" i="31" l="1"/>
  <c r="DJ1509" i="31"/>
  <c r="DE1509" i="31"/>
  <c r="DO1508" i="31"/>
  <c r="DJ1508" i="31"/>
  <c r="DE1508" i="31"/>
  <c r="B1507" i="31"/>
  <c r="DO1505" i="31"/>
  <c r="DJ1505" i="31"/>
  <c r="DE1505" i="31"/>
  <c r="DM1508" i="31" l="1"/>
  <c r="DL1508" i="31"/>
  <c r="DN1508" i="31"/>
  <c r="DK1508" i="31"/>
  <c r="DL1509" i="31"/>
  <c r="DM1509" i="31"/>
  <c r="DK1509" i="31"/>
  <c r="DN1509" i="31"/>
  <c r="DE1510" i="31"/>
  <c r="DO1510" i="31"/>
  <c r="DJ1510" i="31"/>
  <c r="DR1510" i="31" l="1"/>
  <c r="DS1510" i="31"/>
  <c r="DP1510" i="31"/>
  <c r="DQ1510" i="31"/>
  <c r="DK1510" i="31"/>
  <c r="DN759" i="31"/>
  <c r="DL1510" i="31"/>
  <c r="DM759" i="31"/>
  <c r="DL759" i="31"/>
  <c r="DM758" i="31"/>
  <c r="DN1510" i="31"/>
  <c r="DM1510" i="31"/>
  <c r="EF132" i="9"/>
  <c r="EF120" i="9"/>
  <c r="EF78" i="9"/>
  <c r="EF77" i="9"/>
  <c r="EF41" i="9"/>
  <c r="EF26" i="9"/>
  <c r="EF37" i="9"/>
  <c r="EF126" i="9" l="1"/>
  <c r="DG85" i="10"/>
  <c r="DK86" i="10" s="1"/>
  <c r="DL764" i="31"/>
  <c r="DL765" i="31" s="1"/>
  <c r="DK698" i="31"/>
  <c r="DK699" i="31" s="1"/>
  <c r="DK759" i="31"/>
  <c r="DL758" i="31"/>
  <c r="DL698" i="31"/>
  <c r="DL699" i="31" s="1"/>
  <c r="DK758" i="31"/>
  <c r="CN1488" i="31"/>
  <c r="CN1487" i="31"/>
  <c r="CN1482" i="31"/>
  <c r="CN1481" i="31"/>
  <c r="CN1478" i="31"/>
  <c r="CS1484" i="31" s="1"/>
  <c r="CN1471" i="31"/>
  <c r="CN1470" i="31"/>
  <c r="CN1467" i="31"/>
  <c r="CS1473" i="31" s="1"/>
  <c r="CN1460" i="31"/>
  <c r="CN1459" i="31"/>
  <c r="CN1456" i="31"/>
  <c r="CS1462" i="31" s="1"/>
  <c r="CN1449" i="31"/>
  <c r="CN1448" i="31"/>
  <c r="CN1445" i="31"/>
  <c r="CS1451" i="31" s="1"/>
  <c r="CN1438" i="31"/>
  <c r="CN1437" i="31"/>
  <c r="CN1434" i="31"/>
  <c r="CS1440" i="31" s="1"/>
  <c r="CN1427" i="31"/>
  <c r="CN1426" i="31"/>
  <c r="CN1423" i="31"/>
  <c r="CS1429" i="31" s="1"/>
  <c r="CN752" i="31"/>
  <c r="CN749" i="31"/>
  <c r="CN742" i="31"/>
  <c r="CN743" i="31" s="1"/>
  <c r="CN741" i="31"/>
  <c r="CN738" i="31"/>
  <c r="CN731" i="31"/>
  <c r="CN732" i="31" s="1"/>
  <c r="CN730" i="31"/>
  <c r="CN727" i="31"/>
  <c r="CN720" i="31"/>
  <c r="CN719" i="31"/>
  <c r="CN716" i="31"/>
  <c r="CN709" i="31"/>
  <c r="CN710" i="31" s="1"/>
  <c r="CN708" i="31"/>
  <c r="CN705" i="31"/>
  <c r="CN698" i="31"/>
  <c r="CN699" i="31" s="1"/>
  <c r="CN697" i="31"/>
  <c r="CN694" i="31"/>
  <c r="CN532" i="31"/>
  <c r="CN531" i="31"/>
  <c r="CN528" i="31"/>
  <c r="CN521" i="31"/>
  <c r="CN520" i="31"/>
  <c r="CN517" i="31"/>
  <c r="CN515" i="31"/>
  <c r="CN504" i="31"/>
  <c r="CN503" i="31"/>
  <c r="CN500" i="31"/>
  <c r="CN493" i="31"/>
  <c r="CN494" i="31" s="1"/>
  <c r="CN492" i="31"/>
  <c r="CN489" i="31"/>
  <c r="CN482" i="31"/>
  <c r="CN478" i="31"/>
  <c r="CN471" i="31"/>
  <c r="CN470" i="31"/>
  <c r="CN467" i="31"/>
  <c r="CS473" i="31" s="1"/>
  <c r="CN448" i="31"/>
  <c r="CN449" i="31" s="1"/>
  <c r="CN447" i="31"/>
  <c r="CN444" i="31"/>
  <c r="CN437" i="31"/>
  <c r="CN438" i="31" s="1"/>
  <c r="CN433" i="31"/>
  <c r="CN426" i="31"/>
  <c r="CN427" i="31" s="1"/>
  <c r="CN425" i="31"/>
  <c r="CN422" i="31"/>
  <c r="CN415" i="31"/>
  <c r="CN416" i="31" s="1"/>
  <c r="CN414" i="31"/>
  <c r="CN411" i="31"/>
  <c r="CN404" i="31"/>
  <c r="CN405" i="31" s="1"/>
  <c r="CN403" i="31"/>
  <c r="CN387" i="31"/>
  <c r="CN400" i="31"/>
  <c r="CN388" i="31"/>
  <c r="CN382" i="31"/>
  <c r="CN383" i="31" s="1"/>
  <c r="CN381" i="31"/>
  <c r="CN378" i="31"/>
  <c r="CN345" i="31"/>
  <c r="CN344" i="31"/>
  <c r="CN341" i="31"/>
  <c r="CN334" i="31"/>
  <c r="CN333" i="31"/>
  <c r="CN330" i="31"/>
  <c r="CN323" i="31"/>
  <c r="CN322" i="31"/>
  <c r="CN319" i="31"/>
  <c r="CN312" i="31"/>
  <c r="CN313" i="31" s="1"/>
  <c r="CN311" i="31"/>
  <c r="CN308" i="31"/>
  <c r="CN296" i="31"/>
  <c r="CN295" i="31"/>
  <c r="CN280" i="31"/>
  <c r="CN279" i="31"/>
  <c r="CN276" i="31"/>
  <c r="CN269" i="31"/>
  <c r="CN270" i="31" s="1"/>
  <c r="CN268" i="31"/>
  <c r="CN265" i="31"/>
  <c r="CS271" i="31" s="1"/>
  <c r="CM253" i="31"/>
  <c r="CR258" i="31" s="1"/>
  <c r="CR259" i="31" s="1"/>
  <c r="CM252" i="31"/>
  <c r="CN253" i="31"/>
  <c r="CS258" i="31" s="1"/>
  <c r="CS259" i="31" s="1"/>
  <c r="CN252" i="31"/>
  <c r="CN236" i="31"/>
  <c r="CN235" i="31"/>
  <c r="CN232" i="31"/>
  <c r="CN225" i="31"/>
  <c r="CN224" i="31"/>
  <c r="CN221" i="31"/>
  <c r="CN211" i="31"/>
  <c r="CN210" i="31"/>
  <c r="CN209" i="31"/>
  <c r="CN208" i="31"/>
  <c r="CN205" i="31"/>
  <c r="CN197" i="31"/>
  <c r="CN198" i="31" s="1"/>
  <c r="CN196" i="31"/>
  <c r="CN193" i="31"/>
  <c r="CN175" i="31"/>
  <c r="CN176" i="31" s="1"/>
  <c r="CN174" i="31"/>
  <c r="CN171" i="31"/>
  <c r="CS177" i="31" s="1"/>
  <c r="CN164" i="31"/>
  <c r="CN165" i="31" s="1"/>
  <c r="CN163" i="31"/>
  <c r="CN160" i="31"/>
  <c r="CN153" i="31"/>
  <c r="CN152" i="31"/>
  <c r="CN149" i="31"/>
  <c r="CN142" i="31"/>
  <c r="CN143" i="31" s="1"/>
  <c r="CN141" i="31"/>
  <c r="CN131" i="31"/>
  <c r="CN130" i="31"/>
  <c r="CN127" i="31"/>
  <c r="CN109" i="31"/>
  <c r="CN110" i="31" s="1"/>
  <c r="CN108" i="31"/>
  <c r="CN72" i="31"/>
  <c r="DO759" i="31" l="1"/>
  <c r="DL760" i="31"/>
  <c r="DK760" i="31"/>
  <c r="EF96" i="9"/>
  <c r="CS213" i="31"/>
  <c r="CS238" i="31"/>
  <c r="CS282" i="31"/>
  <c r="CS347" i="31"/>
  <c r="CS506" i="31"/>
  <c r="CS722" i="31"/>
  <c r="CS744" i="31"/>
  <c r="CS227" i="31"/>
  <c r="CS336" i="31"/>
  <c r="CS755" i="31"/>
  <c r="CN1489" i="31"/>
  <c r="CN254" i="31"/>
  <c r="CS260" i="31" s="1"/>
  <c r="CM254" i="31"/>
  <c r="CN389" i="31"/>
  <c r="CN297" i="31"/>
  <c r="CP510" i="31" l="1"/>
  <c r="DO521" i="31" l="1"/>
  <c r="DO515" i="31"/>
  <c r="DF215" i="10" l="1"/>
  <c r="DH18" i="11"/>
  <c r="DH26" i="11"/>
  <c r="DH25" i="11"/>
  <c r="DH24" i="11"/>
  <c r="DH23" i="11"/>
  <c r="DH22" i="11"/>
  <c r="DH16" i="11"/>
  <c r="DH15" i="11"/>
  <c r="DH33" i="11"/>
  <c r="DG35" i="11"/>
  <c r="DH34" i="11"/>
  <c r="DH32" i="11"/>
  <c r="DH50" i="11"/>
  <c r="DH46" i="11"/>
  <c r="DH45" i="11"/>
  <c r="DH44" i="11"/>
  <c r="DH43" i="11"/>
  <c r="DH42" i="11"/>
  <c r="DH40" i="11"/>
  <c r="DH39" i="11"/>
  <c r="DF118" i="10"/>
  <c r="DF108" i="10"/>
  <c r="DF87" i="10"/>
  <c r="DF34" i="10"/>
  <c r="DF112" i="10" l="1"/>
  <c r="DF109" i="10"/>
  <c r="DI42" i="11"/>
  <c r="DJ42" i="11" s="1"/>
  <c r="DI46" i="11"/>
  <c r="DI22" i="11"/>
  <c r="DI26" i="11"/>
  <c r="DJ26" i="11" s="1"/>
  <c r="DG115" i="10"/>
  <c r="DF103" i="10"/>
  <c r="DF104" i="10" s="1"/>
  <c r="DI43" i="11"/>
  <c r="DJ43" i="11" s="1"/>
  <c r="DI50" i="11"/>
  <c r="DJ50" i="11" s="1"/>
  <c r="DI33" i="11"/>
  <c r="DJ33" i="11" s="1"/>
  <c r="DI23" i="11"/>
  <c r="DJ23" i="11" s="1"/>
  <c r="DI18" i="11"/>
  <c r="DJ18" i="11" s="1"/>
  <c r="DI39" i="11"/>
  <c r="DI44" i="11"/>
  <c r="DI32" i="11"/>
  <c r="DF138" i="10"/>
  <c r="DF143" i="10" s="1"/>
  <c r="DI15" i="11"/>
  <c r="DI24" i="11"/>
  <c r="DJ24" i="11" s="1"/>
  <c r="DF97" i="10"/>
  <c r="DF36" i="10"/>
  <c r="DI40" i="11"/>
  <c r="DI45" i="11"/>
  <c r="DJ45" i="11" s="1"/>
  <c r="DI34" i="11"/>
  <c r="DI16" i="11"/>
  <c r="DI25" i="11"/>
  <c r="DJ25" i="11" s="1"/>
  <c r="EI131" i="31"/>
  <c r="DH35" i="11"/>
  <c r="DI35" i="11" s="1"/>
  <c r="DJ44" i="11" l="1"/>
  <c r="DJ15" i="11"/>
  <c r="DJ22" i="11"/>
  <c r="DJ16" i="11"/>
  <c r="DJ34" i="11"/>
  <c r="DJ32" i="11"/>
  <c r="DJ46" i="11"/>
  <c r="DF186" i="10"/>
  <c r="DJ40" i="11"/>
  <c r="DJ35" i="11"/>
  <c r="DF169" i="10"/>
  <c r="DF41" i="10"/>
  <c r="DF167" i="10"/>
  <c r="DF91" i="10"/>
  <c r="DF168" i="10"/>
  <c r="DI36" i="11"/>
  <c r="DI48" i="11"/>
  <c r="DJ39" i="11"/>
  <c r="DH138" i="10" l="1"/>
  <c r="DH143" i="10" s="1"/>
  <c r="DH135" i="10"/>
  <c r="DH137" i="10" s="1"/>
  <c r="DF54" i="10"/>
  <c r="DF93" i="10" l="1"/>
  <c r="DF56" i="10"/>
  <c r="DF181" i="10"/>
  <c r="CU352" i="31"/>
  <c r="CR236" i="31"/>
  <c r="EI126" i="9" l="1"/>
  <c r="EJ59" i="9"/>
  <c r="EI59" i="9"/>
  <c r="CR759" i="31"/>
  <c r="CW764" i="31" s="1"/>
  <c r="CW765" i="31" s="1"/>
  <c r="CQ759" i="31"/>
  <c r="CV764" i="31" s="1"/>
  <c r="CV765" i="31" s="1"/>
  <c r="CR758" i="31"/>
  <c r="CW763" i="31" s="1"/>
  <c r="CQ758" i="31"/>
  <c r="CV763" i="31" s="1"/>
  <c r="CR1423" i="31"/>
  <c r="CW1429" i="31" s="1"/>
  <c r="CR539" i="31"/>
  <c r="CW545" i="31" s="1"/>
  <c r="CQ539" i="31"/>
  <c r="CS521" i="31"/>
  <c r="CR521" i="31"/>
  <c r="CQ521" i="31"/>
  <c r="CR515" i="31"/>
  <c r="CQ515" i="31"/>
  <c r="CR511" i="31"/>
  <c r="CQ511" i="31"/>
  <c r="CQ470" i="31"/>
  <c r="CR254" i="31"/>
  <c r="CW260" i="31" s="1"/>
  <c r="CV520" i="31" l="1"/>
  <c r="CQ626" i="31"/>
  <c r="CW520" i="31"/>
  <c r="CR626" i="31"/>
  <c r="CV545" i="31"/>
  <c r="CU511" i="31"/>
  <c r="CR260" i="31"/>
  <c r="CR520" i="31"/>
  <c r="CR470" i="31"/>
  <c r="CR716" i="31"/>
  <c r="CR738" i="31"/>
  <c r="CR1445" i="31"/>
  <c r="CW1451" i="31" s="1"/>
  <c r="CR1456" i="31"/>
  <c r="CW1462" i="31" s="1"/>
  <c r="CR341" i="31"/>
  <c r="CW347" i="31" s="1"/>
  <c r="CR215" i="31"/>
  <c r="CQ760" i="31"/>
  <c r="CV766" i="31" s="1"/>
  <c r="CR749" i="31"/>
  <c r="CR1478" i="31"/>
  <c r="CW1484" i="31" s="1"/>
  <c r="CR1467" i="31"/>
  <c r="CW1473" i="31" s="1"/>
  <c r="CR232" i="31"/>
  <c r="CR205" i="31"/>
  <c r="CR276" i="31"/>
  <c r="CR330" i="31"/>
  <c r="CR221" i="31"/>
  <c r="CR171" i="31"/>
  <c r="CR197" i="31"/>
  <c r="CR198" i="31" s="1"/>
  <c r="CQ196" i="31"/>
  <c r="CR196" i="31"/>
  <c r="CR127" i="31"/>
  <c r="CQ127" i="31"/>
  <c r="CV133" i="31" s="1"/>
  <c r="CQ171" i="31"/>
  <c r="CV177" i="31" s="1"/>
  <c r="CQ276" i="31"/>
  <c r="CQ330" i="31"/>
  <c r="CQ341" i="31"/>
  <c r="CQ520" i="31"/>
  <c r="CQ716" i="31"/>
  <c r="CQ738" i="31"/>
  <c r="CV744" i="31" s="1"/>
  <c r="CQ749" i="31"/>
  <c r="CV755" i="31" s="1"/>
  <c r="CQ1423" i="31"/>
  <c r="CV1429" i="31" s="1"/>
  <c r="CQ1445" i="31"/>
  <c r="CV1451" i="31" s="1"/>
  <c r="CQ1456" i="31"/>
  <c r="CV1462" i="31" s="1"/>
  <c r="CQ1467" i="31"/>
  <c r="CV1473" i="31" s="1"/>
  <c r="CQ1478" i="31"/>
  <c r="CV1484" i="31" s="1"/>
  <c r="CQ205" i="31"/>
  <c r="CQ221" i="31"/>
  <c r="CQ232" i="31"/>
  <c r="CR500" i="31"/>
  <c r="CW506" i="31" s="1"/>
  <c r="CQ500" i="31"/>
  <c r="CQ1487" i="31"/>
  <c r="CQ1488" i="31"/>
  <c r="CR1487" i="31"/>
  <c r="CR23" i="31" s="1"/>
  <c r="CR1488" i="31"/>
  <c r="CQ517" i="31"/>
  <c r="CV523" i="31" s="1"/>
  <c r="CR517" i="31"/>
  <c r="CQ1434" i="31"/>
  <c r="CV1440" i="31" s="1"/>
  <c r="CR1434" i="31"/>
  <c r="CW1440" i="31" s="1"/>
  <c r="CW282" i="31" l="1"/>
  <c r="CV722" i="31"/>
  <c r="CV227" i="31"/>
  <c r="CW336" i="31"/>
  <c r="CW1493" i="31"/>
  <c r="CW1494" i="31" s="1"/>
  <c r="CR24" i="31"/>
  <c r="CV1493" i="31"/>
  <c r="CV1494" i="31" s="1"/>
  <c r="CV1492" i="31"/>
  <c r="CW631" i="31"/>
  <c r="CR628" i="31"/>
  <c r="CQ628" i="31"/>
  <c r="CU626" i="31"/>
  <c r="CZ631" i="31" s="1"/>
  <c r="CV631" i="31"/>
  <c r="CV213" i="31"/>
  <c r="CU509" i="31"/>
  <c r="CZ520" i="31"/>
  <c r="CW523" i="31"/>
  <c r="CW238" i="31"/>
  <c r="CW755" i="31"/>
  <c r="CU232" i="31"/>
  <c r="CV238" i="31"/>
  <c r="CW744" i="31"/>
  <c r="CW133" i="31"/>
  <c r="CW177" i="31"/>
  <c r="CW213" i="31"/>
  <c r="CW722" i="31"/>
  <c r="CW227" i="31"/>
  <c r="CV506" i="31"/>
  <c r="CV347" i="31"/>
  <c r="CV336" i="31"/>
  <c r="CU276" i="31"/>
  <c r="CV282" i="31"/>
  <c r="CU500" i="31"/>
  <c r="CU205" i="31"/>
  <c r="CU341" i="31"/>
  <c r="CU330" i="31"/>
  <c r="CU171" i="31"/>
  <c r="CZ177" i="31" s="1"/>
  <c r="CR56" i="31"/>
  <c r="EJ88" i="9" s="1"/>
  <c r="CQ56" i="31"/>
  <c r="CR193" i="31"/>
  <c r="CW199" i="31" s="1"/>
  <c r="CQ1489" i="31"/>
  <c r="CR1489" i="31"/>
  <c r="CR25" i="31" s="1"/>
  <c r="CR57" i="31"/>
  <c r="CQ57" i="31"/>
  <c r="CZ282" i="31" l="1"/>
  <c r="CZ336" i="31"/>
  <c r="CV1495" i="31"/>
  <c r="CV62" i="31"/>
  <c r="CV63" i="31" s="1"/>
  <c r="EI89" i="9"/>
  <c r="CW62" i="31"/>
  <c r="CW63" i="31" s="1"/>
  <c r="EJ89" i="9"/>
  <c r="EJ90" i="9" s="1"/>
  <c r="CV61" i="31"/>
  <c r="EI88" i="9"/>
  <c r="CU628" i="31"/>
  <c r="CV634" i="31"/>
  <c r="CQ634" i="31"/>
  <c r="CW634" i="31"/>
  <c r="CR634" i="31"/>
  <c r="CZ347" i="31"/>
  <c r="CZ506" i="31"/>
  <c r="CZ238" i="31"/>
  <c r="CZ213" i="31"/>
  <c r="CQ58" i="31"/>
  <c r="CR58" i="31"/>
  <c r="ED45" i="9"/>
  <c r="EE41" i="9"/>
  <c r="EE26" i="9"/>
  <c r="EE27" i="9"/>
  <c r="EI90" i="9" l="1"/>
  <c r="CZ634" i="31"/>
  <c r="CU634" i="31"/>
  <c r="EJ76" i="9"/>
  <c r="EJ77" i="9"/>
  <c r="EH27" i="9"/>
  <c r="CV64" i="31"/>
  <c r="CU1454" i="31"/>
  <c r="CZ1459" i="31" s="1"/>
  <c r="CU1421" i="31"/>
  <c r="ED41" i="9"/>
  <c r="DF85" i="10"/>
  <c r="EE45" i="9"/>
  <c r="EE120" i="9"/>
  <c r="EE78" i="9"/>
  <c r="EE77" i="9"/>
  <c r="EE37" i="9"/>
  <c r="CM1488" i="31"/>
  <c r="CM1487" i="31"/>
  <c r="CM1482" i="31"/>
  <c r="CM1481" i="31"/>
  <c r="CM1478" i="31"/>
  <c r="CR1484" i="31" s="1"/>
  <c r="CM1471" i="31"/>
  <c r="CM1470" i="31"/>
  <c r="CM1467" i="31"/>
  <c r="CR1473" i="31" s="1"/>
  <c r="CM1460" i="31"/>
  <c r="CM1459" i="31"/>
  <c r="CM1456" i="31"/>
  <c r="CR1462" i="31" s="1"/>
  <c r="CM1449" i="31"/>
  <c r="CM1448" i="31"/>
  <c r="CM1445" i="31"/>
  <c r="CR1451" i="31" s="1"/>
  <c r="CM1438" i="31"/>
  <c r="CM1437" i="31"/>
  <c r="CM1434" i="31"/>
  <c r="CR1440" i="31" s="1"/>
  <c r="CM1427" i="31"/>
  <c r="CM1426" i="31"/>
  <c r="CM1423" i="31"/>
  <c r="CR1429" i="31" s="1"/>
  <c r="CM752" i="31"/>
  <c r="CM749" i="31"/>
  <c r="CM742" i="31"/>
  <c r="CM743" i="31" s="1"/>
  <c r="CM741" i="31"/>
  <c r="CM738" i="31"/>
  <c r="CM731" i="31"/>
  <c r="CM732" i="31" s="1"/>
  <c r="CM730" i="31"/>
  <c r="CM727" i="31"/>
  <c r="CM720" i="31"/>
  <c r="CM719" i="31"/>
  <c r="CM716" i="31"/>
  <c r="CM709" i="31"/>
  <c r="CM710" i="31" s="1"/>
  <c r="CM708" i="31"/>
  <c r="CM705" i="31"/>
  <c r="CM698" i="31"/>
  <c r="CM699" i="31" s="1"/>
  <c r="CM697" i="31"/>
  <c r="CM694" i="31"/>
  <c r="CM532" i="31"/>
  <c r="CM531" i="31"/>
  <c r="CM528" i="31"/>
  <c r="CM521" i="31"/>
  <c r="CM520" i="31"/>
  <c r="CM517" i="31"/>
  <c r="CM515" i="31"/>
  <c r="CM509" i="31"/>
  <c r="CM504" i="31"/>
  <c r="CM503" i="31"/>
  <c r="CM500" i="31"/>
  <c r="CM493" i="31"/>
  <c r="CM494" i="31" s="1"/>
  <c r="CM492" i="31"/>
  <c r="CM489" i="31"/>
  <c r="CM482" i="31"/>
  <c r="CM478" i="31"/>
  <c r="CM471" i="31"/>
  <c r="CM470" i="31"/>
  <c r="CM467" i="31"/>
  <c r="CM448" i="31"/>
  <c r="CM449" i="31" s="1"/>
  <c r="CM447" i="31"/>
  <c r="CM444" i="31"/>
  <c r="CM437" i="31"/>
  <c r="CM438" i="31" s="1"/>
  <c r="CM433" i="31"/>
  <c r="CM426" i="31"/>
  <c r="CM427" i="31" s="1"/>
  <c r="CM425" i="31"/>
  <c r="CM422" i="31"/>
  <c r="CM415" i="31"/>
  <c r="CM416" i="31" s="1"/>
  <c r="CM414" i="31"/>
  <c r="CM411" i="31"/>
  <c r="CM404" i="31"/>
  <c r="CM405" i="31" s="1"/>
  <c r="CM403" i="31"/>
  <c r="CM387" i="31"/>
  <c r="CM388" i="31"/>
  <c r="CM400" i="31"/>
  <c r="CM382" i="31"/>
  <c r="CM383" i="31" s="1"/>
  <c r="CM381" i="31"/>
  <c r="CM378" i="31"/>
  <c r="CM366" i="31"/>
  <c r="CM365" i="31"/>
  <c r="CM345" i="31"/>
  <c r="CM344" i="31"/>
  <c r="CM341" i="31"/>
  <c r="CM334" i="31"/>
  <c r="CM333" i="31"/>
  <c r="CM330" i="31"/>
  <c r="CM323" i="31"/>
  <c r="CM322" i="31"/>
  <c r="CM319" i="31"/>
  <c r="CM312" i="31"/>
  <c r="CM313" i="31" s="1"/>
  <c r="CM311" i="31"/>
  <c r="CM308" i="31"/>
  <c r="CM296" i="31"/>
  <c r="CM295" i="31"/>
  <c r="CM280" i="31"/>
  <c r="CM279" i="31"/>
  <c r="CM276" i="31"/>
  <c r="CM269" i="31"/>
  <c r="CM270" i="31" s="1"/>
  <c r="CM268" i="31"/>
  <c r="CM265" i="31"/>
  <c r="CM236" i="31"/>
  <c r="CM232" i="31"/>
  <c r="CM225" i="31"/>
  <c r="CM224" i="31"/>
  <c r="CM221" i="31"/>
  <c r="CZ1426" i="31" l="1"/>
  <c r="EM77" i="9"/>
  <c r="EH66" i="9"/>
  <c r="EH41" i="9"/>
  <c r="CR282" i="31"/>
  <c r="CR722" i="31"/>
  <c r="DJ86" i="10"/>
  <c r="CR744" i="31"/>
  <c r="CR755" i="31"/>
  <c r="CR347" i="31"/>
  <c r="CR506" i="31"/>
  <c r="CR227" i="31"/>
  <c r="CR336" i="31"/>
  <c r="CR523" i="31"/>
  <c r="CR238" i="31"/>
  <c r="EE126" i="9"/>
  <c r="DF185" i="10"/>
  <c r="CM455" i="31"/>
  <c r="CR1493" i="31"/>
  <c r="CR1494" i="31" s="1"/>
  <c r="CR471" i="31"/>
  <c r="CR467" i="31"/>
  <c r="CM1489" i="31"/>
  <c r="CR1492" i="31"/>
  <c r="CM454" i="31"/>
  <c r="CR459" i="31" s="1"/>
  <c r="CM389" i="31"/>
  <c r="CM367" i="31"/>
  <c r="CM297" i="31"/>
  <c r="CR473" i="31" l="1"/>
  <c r="CW473" i="31"/>
  <c r="DJ61" i="10"/>
  <c r="DJ60" i="10"/>
  <c r="CR269" i="31"/>
  <c r="CR270" i="31" s="1"/>
  <c r="CR460" i="31"/>
  <c r="CR461" i="31" s="1"/>
  <c r="CR1495" i="31"/>
  <c r="CM456" i="31"/>
  <c r="CM215" i="31"/>
  <c r="CM211" i="31"/>
  <c r="CM210" i="31"/>
  <c r="CM209" i="31"/>
  <c r="CM208" i="31"/>
  <c r="CM205" i="31"/>
  <c r="CM193" i="31"/>
  <c r="CR199" i="31" s="1"/>
  <c r="CR213" i="31" l="1"/>
  <c r="CR456" i="31"/>
  <c r="CW462" i="31" s="1"/>
  <c r="CM175" i="31"/>
  <c r="CM176" i="31" s="1"/>
  <c r="CM174" i="31"/>
  <c r="CM164" i="31"/>
  <c r="CM165" i="31" s="1"/>
  <c r="CM163" i="31"/>
  <c r="CM153" i="31"/>
  <c r="CM152" i="31"/>
  <c r="CM149" i="31"/>
  <c r="CM131" i="31"/>
  <c r="CM130" i="31"/>
  <c r="CM115" i="31"/>
  <c r="CM114" i="31"/>
  <c r="CM109" i="31"/>
  <c r="CM110" i="31" s="1"/>
  <c r="CM108" i="31"/>
  <c r="CM127" i="31"/>
  <c r="CM105" i="31"/>
  <c r="CM97" i="31"/>
  <c r="CM98" i="31"/>
  <c r="CM99" i="31" s="1"/>
  <c r="CR462" i="31" l="1"/>
  <c r="CR133" i="31"/>
  <c r="CR268" i="31"/>
  <c r="CR265" i="31"/>
  <c r="CW271" i="31" s="1"/>
  <c r="CM116" i="31"/>
  <c r="CR271" i="31" l="1"/>
  <c r="CP543" i="31" l="1"/>
  <c r="CP538" i="31"/>
  <c r="CU543" i="31" s="1"/>
  <c r="CP537" i="31"/>
  <c r="CU542" i="31" s="1"/>
  <c r="CK537" i="31"/>
  <c r="CP542" i="31" l="1"/>
  <c r="DE22" i="10"/>
  <c r="DE139" i="10" l="1"/>
  <c r="DE135" i="10"/>
  <c r="DE131" i="10"/>
  <c r="DE125" i="10"/>
  <c r="DF123" i="10" s="1"/>
  <c r="DF124" i="10" s="1"/>
  <c r="DE102" i="10"/>
  <c r="DE95" i="10"/>
  <c r="DE96" i="10" s="1"/>
  <c r="DE98" i="10" s="1"/>
  <c r="DE87" i="10"/>
  <c r="DE161" i="10"/>
  <c r="DF158" i="10" s="1"/>
  <c r="DF159" i="10" s="1"/>
  <c r="DE155" i="10"/>
  <c r="DF153" i="10" s="1"/>
  <c r="DF154" i="10" s="1"/>
  <c r="DI117" i="10"/>
  <c r="EE132" i="9"/>
  <c r="DF128" i="10" l="1"/>
  <c r="DF129" i="10" s="1"/>
  <c r="DE140" i="10"/>
  <c r="DF134" i="10"/>
  <c r="DE138" i="10"/>
  <c r="ED119" i="9" s="1"/>
  <c r="DE220" i="10"/>
  <c r="DE212" i="10"/>
  <c r="DF210" i="10" s="1"/>
  <c r="DF211" i="10" s="1"/>
  <c r="DE207" i="10"/>
  <c r="DF205" i="10" s="1"/>
  <c r="DF206" i="10" s="1"/>
  <c r="DE202" i="10"/>
  <c r="DF200" i="10" s="1"/>
  <c r="DF201" i="10" s="1"/>
  <c r="DE197" i="10"/>
  <c r="DF195" i="10" s="1"/>
  <c r="DF196" i="10" s="1"/>
  <c r="DE150" i="10"/>
  <c r="DE149" i="10"/>
  <c r="DG27" i="11"/>
  <c r="DH27" i="11" s="1"/>
  <c r="DE118" i="10"/>
  <c r="DE34" i="10"/>
  <c r="DH28" i="11" l="1"/>
  <c r="DI27" i="11"/>
  <c r="DI28" i="11" s="1"/>
  <c r="DE146" i="10"/>
  <c r="DE147" i="10" s="1"/>
  <c r="DE148" i="10" s="1"/>
  <c r="DE143" i="10"/>
  <c r="DE142" i="10"/>
  <c r="DE97" i="10"/>
  <c r="DF115" i="10"/>
  <c r="DE103" i="10"/>
  <c r="DE104" i="10" s="1"/>
  <c r="DE186" i="10" l="1"/>
  <c r="DF120" i="10"/>
  <c r="DF116" i="10"/>
  <c r="EG142" i="9"/>
  <c r="EG143" i="9" s="1"/>
  <c r="EG144" i="9" s="1"/>
  <c r="ED26" i="9"/>
  <c r="ED37" i="9"/>
  <c r="CN759" i="31"/>
  <c r="CS764" i="31" s="1"/>
  <c r="CS765" i="31" s="1"/>
  <c r="CM759" i="31"/>
  <c r="CN758" i="31"/>
  <c r="CS763" i="31" s="1"/>
  <c r="CM758" i="31"/>
  <c r="CR763" i="31" s="1"/>
  <c r="EH26" i="9" l="1"/>
  <c r="EH37" i="9"/>
  <c r="CR698" i="31"/>
  <c r="CR699" i="31" s="1"/>
  <c r="CR764" i="31"/>
  <c r="CR765" i="31" s="1"/>
  <c r="CN760" i="31"/>
  <c r="CS766" i="31" s="1"/>
  <c r="DE85" i="10"/>
  <c r="CR760" i="31"/>
  <c r="CW766" i="31" s="1"/>
  <c r="CM760" i="31"/>
  <c r="ED143" i="9"/>
  <c r="ED144" i="9" s="1"/>
  <c r="ED132" i="9"/>
  <c r="ED126" i="9"/>
  <c r="ED78" i="9"/>
  <c r="ED77" i="9"/>
  <c r="ED24" i="9"/>
  <c r="CL1482" i="31"/>
  <c r="CL1481" i="31"/>
  <c r="CL1478" i="31"/>
  <c r="CQ1484" i="31" s="1"/>
  <c r="CL1471" i="31"/>
  <c r="CL1470" i="31"/>
  <c r="CL1467" i="31"/>
  <c r="CQ1473" i="31" s="1"/>
  <c r="CL1460" i="31"/>
  <c r="CL1459" i="31"/>
  <c r="CL1456" i="31"/>
  <c r="CQ1462" i="31" s="1"/>
  <c r="CL1449" i="31"/>
  <c r="CL1448" i="31"/>
  <c r="CL1445" i="31"/>
  <c r="CQ1451" i="31" s="1"/>
  <c r="CL1438" i="31"/>
  <c r="CL1437" i="31"/>
  <c r="CL1434" i="31"/>
  <c r="CQ1440" i="31" s="1"/>
  <c r="CL1427" i="31"/>
  <c r="CL1426" i="31"/>
  <c r="CL1423" i="31"/>
  <c r="CQ1429" i="31" s="1"/>
  <c r="CL759" i="31"/>
  <c r="CQ764" i="31" s="1"/>
  <c r="CQ765" i="31" s="1"/>
  <c r="CL752" i="31"/>
  <c r="CL749" i="31"/>
  <c r="CL742" i="31"/>
  <c r="CL743" i="31" s="1"/>
  <c r="CL741" i="31"/>
  <c r="CL738" i="31"/>
  <c r="CL731" i="31"/>
  <c r="CL732" i="31" s="1"/>
  <c r="CL730" i="31"/>
  <c r="CL727" i="31"/>
  <c r="CL720" i="31"/>
  <c r="CL719" i="31"/>
  <c r="CL716" i="31"/>
  <c r="CL709" i="31"/>
  <c r="CL710" i="31" s="1"/>
  <c r="CL708" i="31"/>
  <c r="CL698" i="31"/>
  <c r="CL699" i="31" s="1"/>
  <c r="CL697" i="31"/>
  <c r="CL705" i="31"/>
  <c r="CL694" i="31"/>
  <c r="CL509" i="31"/>
  <c r="CL517" i="31"/>
  <c r="CL515" i="31"/>
  <c r="CL504" i="31"/>
  <c r="CL503" i="31"/>
  <c r="CL500" i="31"/>
  <c r="CL493" i="31"/>
  <c r="CL494" i="31" s="1"/>
  <c r="CL492" i="31"/>
  <c r="CL489" i="31"/>
  <c r="CL482" i="31"/>
  <c r="CL478" i="31"/>
  <c r="CL471" i="31"/>
  <c r="CL470" i="31"/>
  <c r="CL467" i="31"/>
  <c r="CL448" i="31"/>
  <c r="CL449" i="31" s="1"/>
  <c r="CL447" i="31"/>
  <c r="CL444" i="31"/>
  <c r="CL437" i="31"/>
  <c r="CL438" i="31" s="1"/>
  <c r="CL433" i="31"/>
  <c r="CL426" i="31"/>
  <c r="CL427" i="31" s="1"/>
  <c r="CL425" i="31"/>
  <c r="CL422" i="31"/>
  <c r="CL415" i="31"/>
  <c r="CL416" i="31" s="1"/>
  <c r="CL414" i="31"/>
  <c r="CL411" i="31"/>
  <c r="CL404" i="31"/>
  <c r="CL405" i="31" s="1"/>
  <c r="CL403" i="31"/>
  <c r="CL400" i="31"/>
  <c r="CL388" i="31"/>
  <c r="CL387" i="31"/>
  <c r="CL378" i="31"/>
  <c r="CL345" i="31"/>
  <c r="CL344" i="31"/>
  <c r="CL341" i="31"/>
  <c r="CL334" i="31"/>
  <c r="CL333" i="31"/>
  <c r="CL330" i="31"/>
  <c r="CL323" i="31"/>
  <c r="CL322" i="31"/>
  <c r="CL319" i="31"/>
  <c r="CL312" i="31"/>
  <c r="CL313" i="31" s="1"/>
  <c r="CL311" i="31"/>
  <c r="CL308" i="31"/>
  <c r="CL296" i="31"/>
  <c r="CL295" i="31"/>
  <c r="CL280" i="31"/>
  <c r="CL279" i="31"/>
  <c r="CL276" i="31"/>
  <c r="CL269" i="31"/>
  <c r="CL270" i="31" s="1"/>
  <c r="CL268" i="31"/>
  <c r="CL265" i="31"/>
  <c r="CL253" i="31"/>
  <c r="CQ258" i="31" s="1"/>
  <c r="CQ259" i="31" s="1"/>
  <c r="CL252" i="31"/>
  <c r="CL236" i="31"/>
  <c r="CL235" i="31"/>
  <c r="CL232" i="31"/>
  <c r="CL225" i="31"/>
  <c r="CL224" i="31"/>
  <c r="CL221" i="31"/>
  <c r="CL210" i="31"/>
  <c r="CL209" i="31"/>
  <c r="CL208" i="31"/>
  <c r="CL205" i="31"/>
  <c r="CL197" i="31"/>
  <c r="CL198" i="31" s="1"/>
  <c r="CL196" i="31"/>
  <c r="CL193" i="31"/>
  <c r="CL175" i="31"/>
  <c r="CL176" i="31" s="1"/>
  <c r="CL174" i="31"/>
  <c r="CL171" i="31"/>
  <c r="CQ177" i="31" s="1"/>
  <c r="CL164" i="31"/>
  <c r="CL165" i="31" s="1"/>
  <c r="CL163" i="31"/>
  <c r="CL160" i="31"/>
  <c r="CL153" i="31"/>
  <c r="CL152" i="31"/>
  <c r="CL149" i="31"/>
  <c r="CL142" i="31"/>
  <c r="CL143" i="31" s="1"/>
  <c r="CL141" i="31"/>
  <c r="CL138" i="31"/>
  <c r="CL131" i="31"/>
  <c r="CL130" i="31"/>
  <c r="CL127" i="31"/>
  <c r="CL109" i="31"/>
  <c r="CL110" i="31" s="1"/>
  <c r="CL108" i="31"/>
  <c r="CL97" i="31"/>
  <c r="CL98" i="31"/>
  <c r="CL99" i="31" s="1"/>
  <c r="EH29" i="9" l="1"/>
  <c r="EM76" i="9"/>
  <c r="DI85" i="10"/>
  <c r="DI86" i="10" s="1"/>
  <c r="EH65" i="9"/>
  <c r="DI174" i="10" s="1"/>
  <c r="EH126" i="9"/>
  <c r="EM79" i="9"/>
  <c r="EH68" i="9"/>
  <c r="EH39" i="9"/>
  <c r="EH38" i="9"/>
  <c r="DH86" i="10"/>
  <c r="CR766" i="31"/>
  <c r="CQ213" i="31"/>
  <c r="CQ238" i="31"/>
  <c r="CQ282" i="31"/>
  <c r="CQ347" i="31"/>
  <c r="CQ506" i="31"/>
  <c r="CQ523" i="31"/>
  <c r="CQ755" i="31"/>
  <c r="CQ133" i="31"/>
  <c r="CQ227" i="31"/>
  <c r="CQ336" i="31"/>
  <c r="CQ722" i="31"/>
  <c r="CQ744" i="31"/>
  <c r="ED29" i="9"/>
  <c r="ED38" i="9" s="1"/>
  <c r="DE83" i="10"/>
  <c r="CQ698" i="31"/>
  <c r="CQ699" i="31" s="1"/>
  <c r="CR697" i="31"/>
  <c r="CR694" i="31"/>
  <c r="CW700" i="31" s="1"/>
  <c r="CQ254" i="31"/>
  <c r="CL254" i="31"/>
  <c r="ED66" i="9"/>
  <c r="ED65" i="9"/>
  <c r="DE174" i="10" s="1"/>
  <c r="ED67" i="9"/>
  <c r="CL389" i="31"/>
  <c r="CL297" i="31"/>
  <c r="ED122" i="9" l="1"/>
  <c r="CV260" i="31"/>
  <c r="CU254" i="31"/>
  <c r="CZ260" i="31" s="1"/>
  <c r="EH70" i="9"/>
  <c r="EH122" i="9"/>
  <c r="EH125" i="9"/>
  <c r="EH71" i="9"/>
  <c r="EH49" i="9"/>
  <c r="EH56" i="9" s="1"/>
  <c r="EH43" i="9"/>
  <c r="CR700" i="31"/>
  <c r="DH60" i="10"/>
  <c r="DH61" i="10"/>
  <c r="CQ260" i="31"/>
  <c r="ED68" i="9"/>
  <c r="DE175" i="10" s="1"/>
  <c r="ED39" i="9"/>
  <c r="CQ471" i="31"/>
  <c r="CQ467" i="31"/>
  <c r="CQ197" i="31"/>
  <c r="CQ198" i="31" s="1"/>
  <c r="CQ193" i="31"/>
  <c r="ED70" i="9"/>
  <c r="ED125" i="9"/>
  <c r="ED127" i="9" s="1"/>
  <c r="ED71" i="9"/>
  <c r="ED50" i="9" s="1"/>
  <c r="ED49" i="9"/>
  <c r="ED43" i="9"/>
  <c r="ED121" i="9" l="1"/>
  <c r="EH127" i="9"/>
  <c r="EH121" i="9"/>
  <c r="EH5" i="9"/>
  <c r="EH55" i="9"/>
  <c r="EH72" i="9"/>
  <c r="CU193" i="31"/>
  <c r="CZ199" i="31" s="1"/>
  <c r="CV199" i="31"/>
  <c r="CQ473" i="31"/>
  <c r="CV473" i="31"/>
  <c r="CQ199" i="31"/>
  <c r="ED44" i="9"/>
  <c r="ED72" i="9"/>
  <c r="DE176" i="10" s="1"/>
  <c r="ED55" i="9"/>
  <c r="DE185" i="10"/>
  <c r="ED56" i="9"/>
  <c r="EH8" i="9" l="1"/>
  <c r="ED57" i="9"/>
  <c r="EB37" i="9" l="1"/>
  <c r="EB26" i="9"/>
  <c r="EG76" i="9" l="1"/>
  <c r="DE17" i="11"/>
  <c r="EB136" i="9" l="1"/>
  <c r="EB139" i="9"/>
  <c r="EB138" i="9"/>
  <c r="EB132" i="9"/>
  <c r="EB131" i="9"/>
  <c r="DF48" i="11"/>
  <c r="DF35" i="11"/>
  <c r="DF25" i="11"/>
  <c r="DF28" i="11" s="1"/>
  <c r="DC220" i="10"/>
  <c r="DC215" i="10"/>
  <c r="DC212" i="10"/>
  <c r="DC207" i="10"/>
  <c r="DC197" i="10"/>
  <c r="DC190" i="10"/>
  <c r="DC189" i="10"/>
  <c r="DC188" i="10"/>
  <c r="DC187" i="10"/>
  <c r="DC161" i="10"/>
  <c r="DC160" i="10"/>
  <c r="DC155" i="10"/>
  <c r="DC149" i="10"/>
  <c r="DD141" i="10"/>
  <c r="DC139" i="10"/>
  <c r="DC140" i="10" s="1"/>
  <c r="DC131" i="10"/>
  <c r="DC125" i="10"/>
  <c r="DC118" i="10"/>
  <c r="DD117" i="10"/>
  <c r="DD110" i="10"/>
  <c r="DC108" i="10"/>
  <c r="DC109" i="10" s="1"/>
  <c r="DC95" i="10"/>
  <c r="DC96" i="10" s="1"/>
  <c r="DC98" i="10" s="1"/>
  <c r="DC87" i="10"/>
  <c r="DC85" i="10"/>
  <c r="DC34" i="10"/>
  <c r="DD14" i="10"/>
  <c r="DG86" i="10" l="1"/>
  <c r="DG61" i="10" s="1"/>
  <c r="DC97" i="10"/>
  <c r="DF29" i="11"/>
  <c r="DE108" i="10"/>
  <c r="DI108" i="10"/>
  <c r="DD149" i="10"/>
  <c r="DC146" i="10"/>
  <c r="DC112" i="10"/>
  <c r="DF36" i="11"/>
  <c r="DC150" i="10"/>
  <c r="DC142" i="10"/>
  <c r="DG60" i="10" l="1"/>
  <c r="DC147" i="10"/>
  <c r="DC148" i="10" s="1"/>
  <c r="DE109" i="10"/>
  <c r="DE112" i="10"/>
  <c r="DB160" i="10" l="1"/>
  <c r="DA160" i="10"/>
  <c r="DZ120" i="9" s="1"/>
  <c r="EB120" i="9"/>
  <c r="EA120" i="9" l="1"/>
  <c r="CZ160" i="10"/>
  <c r="DY120" i="9" s="1"/>
  <c r="CJ539" i="31" l="1"/>
  <c r="EA132" i="9"/>
  <c r="DZ132" i="9"/>
  <c r="DY132" i="9"/>
  <c r="EA131" i="9"/>
  <c r="DZ131" i="9"/>
  <c r="CO545" i="31" l="1"/>
  <c r="DW26" i="9"/>
  <c r="DW37" i="9"/>
  <c r="EC28" i="9"/>
  <c r="EC27" i="9"/>
  <c r="EC23" i="9"/>
  <c r="EC22" i="9"/>
  <c r="EB44" i="9"/>
  <c r="CJ1482" i="31"/>
  <c r="CJ1481" i="31"/>
  <c r="CJ1471" i="31"/>
  <c r="CJ1470" i="31"/>
  <c r="CJ1460" i="31"/>
  <c r="CJ1459" i="31"/>
  <c r="CJ1449" i="31"/>
  <c r="CJ1448" i="31"/>
  <c r="CJ1438" i="31"/>
  <c r="CJ1437" i="31"/>
  <c r="CJ1427" i="31"/>
  <c r="CJ1426" i="31"/>
  <c r="CJ885" i="31"/>
  <c r="CO890" i="31" s="1"/>
  <c r="CK539" i="31"/>
  <c r="CJ752" i="31"/>
  <c r="CJ742" i="31"/>
  <c r="CJ741" i="31"/>
  <c r="CJ731" i="31"/>
  <c r="CJ730" i="31"/>
  <c r="CJ720" i="31"/>
  <c r="CJ719" i="31"/>
  <c r="CJ709" i="31"/>
  <c r="CJ708" i="31"/>
  <c r="CJ509" i="31"/>
  <c r="CI509" i="31"/>
  <c r="CJ504" i="31"/>
  <c r="CJ503" i="31"/>
  <c r="CJ493" i="31"/>
  <c r="CJ492" i="31"/>
  <c r="CJ448" i="31"/>
  <c r="CJ447" i="31"/>
  <c r="CJ437" i="31"/>
  <c r="CJ426" i="31"/>
  <c r="CJ427" i="31" s="1"/>
  <c r="CJ425" i="31"/>
  <c r="CJ415" i="31"/>
  <c r="CJ414" i="31"/>
  <c r="CJ404" i="31"/>
  <c r="CJ403" i="31"/>
  <c r="CJ382" i="31"/>
  <c r="CJ381" i="31"/>
  <c r="CJ345" i="31"/>
  <c r="CJ344" i="31"/>
  <c r="CJ334" i="31"/>
  <c r="CJ333" i="31"/>
  <c r="CJ323" i="31"/>
  <c r="CJ322" i="31"/>
  <c r="CJ312" i="31"/>
  <c r="CJ311" i="31"/>
  <c r="CJ280" i="31"/>
  <c r="CJ279" i="31"/>
  <c r="CJ253" i="31"/>
  <c r="CO258" i="31" s="1"/>
  <c r="CO259" i="31" s="1"/>
  <c r="CJ252" i="31"/>
  <c r="CJ236" i="31"/>
  <c r="CJ235" i="31"/>
  <c r="CJ225" i="31"/>
  <c r="CJ224" i="31"/>
  <c r="CJ211" i="31"/>
  <c r="CJ210" i="31"/>
  <c r="CJ209" i="31"/>
  <c r="CJ208" i="31"/>
  <c r="CJ175" i="31"/>
  <c r="CJ174" i="31"/>
  <c r="CJ153" i="31"/>
  <c r="CJ152" i="31"/>
  <c r="CJ130" i="31"/>
  <c r="CJ131" i="31"/>
  <c r="CJ109" i="31"/>
  <c r="CJ108" i="31"/>
  <c r="EH77" i="9" l="1"/>
  <c r="EH78" i="9"/>
  <c r="DB125" i="10" l="1"/>
  <c r="DC123" i="10" s="1"/>
  <c r="DC124" i="10" s="1"/>
  <c r="DA125" i="10"/>
  <c r="CZ125" i="10"/>
  <c r="CX125" i="10"/>
  <c r="CW125" i="10"/>
  <c r="CV125" i="10"/>
  <c r="CU125" i="10"/>
  <c r="CR125" i="10"/>
  <c r="CS125" i="10"/>
  <c r="EA37" i="9"/>
  <c r="EA26" i="9"/>
  <c r="DZ37" i="9"/>
  <c r="DZ26" i="9"/>
  <c r="DV37" i="9"/>
  <c r="DV26" i="9"/>
  <c r="DU37" i="9"/>
  <c r="DU26" i="9"/>
  <c r="DT37" i="9"/>
  <c r="DT26" i="9"/>
  <c r="EF76" i="9" l="1"/>
  <c r="EE76" i="9"/>
  <c r="DB215" i="10"/>
  <c r="DB220" i="10"/>
  <c r="DB212" i="10"/>
  <c r="DB207" i="10"/>
  <c r="DC205" i="10" s="1"/>
  <c r="DC206" i="10" s="1"/>
  <c r="DB202" i="10"/>
  <c r="DB197" i="10"/>
  <c r="DB161" i="10"/>
  <c r="DB149" i="10"/>
  <c r="DB155" i="10"/>
  <c r="DC153" i="10" s="1"/>
  <c r="DC154" i="10" s="1"/>
  <c r="DB139" i="10"/>
  <c r="DB131" i="10"/>
  <c r="DB118" i="10"/>
  <c r="DB34" i="10"/>
  <c r="DC115" i="10" l="1"/>
  <c r="DC120" i="10" s="1"/>
  <c r="DB140" i="10"/>
  <c r="DC134" i="10"/>
  <c r="DB150" i="10"/>
  <c r="DC210" i="10"/>
  <c r="DC211" i="10" s="1"/>
  <c r="DC128" i="10"/>
  <c r="DC129" i="10" s="1"/>
  <c r="DC158" i="10"/>
  <c r="DC159" i="10" s="1"/>
  <c r="DC195" i="10"/>
  <c r="DC196" i="10" s="1"/>
  <c r="DC200" i="10"/>
  <c r="DB102" i="10"/>
  <c r="DB146" i="10" l="1"/>
  <c r="DB147" i="10" s="1"/>
  <c r="DB148" i="10" s="1"/>
  <c r="DB142" i="10"/>
  <c r="EA142" i="9"/>
  <c r="EB142" i="9" s="1"/>
  <c r="EA41" i="9" l="1"/>
  <c r="EA44" i="9"/>
  <c r="CI1481" i="31"/>
  <c r="CI1482" i="31"/>
  <c r="CI1470" i="31"/>
  <c r="CI1471" i="31"/>
  <c r="CI1459" i="31"/>
  <c r="CI1460" i="31"/>
  <c r="CI1448" i="31" l="1"/>
  <c r="CI1449" i="31"/>
  <c r="CI1437" i="31"/>
  <c r="CI1438" i="31"/>
  <c r="CI1426" i="31"/>
  <c r="CI1427" i="31"/>
  <c r="CI752" i="31"/>
  <c r="CI741" i="31"/>
  <c r="CI742" i="31"/>
  <c r="CI730" i="31"/>
  <c r="CI731" i="31"/>
  <c r="CI719" i="31"/>
  <c r="CI720" i="31"/>
  <c r="CI708" i="31"/>
  <c r="CI709" i="31"/>
  <c r="CI503" i="31"/>
  <c r="CI504" i="31"/>
  <c r="CI492" i="31"/>
  <c r="CI493" i="31"/>
  <c r="CI482" i="31"/>
  <c r="CI470" i="31"/>
  <c r="CI471" i="31"/>
  <c r="CI447" i="31"/>
  <c r="CI448" i="31"/>
  <c r="CI437" i="31"/>
  <c r="CI425" i="31"/>
  <c r="CI426" i="31"/>
  <c r="CI427" i="31" s="1"/>
  <c r="CI414" i="31"/>
  <c r="CI415" i="31"/>
  <c r="CI403" i="31"/>
  <c r="CI404" i="31"/>
  <c r="CI381" i="31"/>
  <c r="CI382" i="31"/>
  <c r="CI344" i="31"/>
  <c r="CI345" i="31"/>
  <c r="CI333" i="31"/>
  <c r="CI334" i="31"/>
  <c r="CI322" i="31"/>
  <c r="CI323" i="31"/>
  <c r="CI311" i="31"/>
  <c r="CI312" i="31"/>
  <c r="CI279" i="31"/>
  <c r="CI280" i="31"/>
  <c r="CI268" i="31"/>
  <c r="CI269" i="31"/>
  <c r="CI252" i="31"/>
  <c r="CI253" i="31"/>
  <c r="CN258" i="31" s="1"/>
  <c r="CN259" i="31" s="1"/>
  <c r="CI235" i="31"/>
  <c r="CI236" i="31"/>
  <c r="CI224" i="31"/>
  <c r="CI225" i="31"/>
  <c r="CI208" i="31"/>
  <c r="CI209" i="31"/>
  <c r="CI210" i="31"/>
  <c r="CI211" i="31"/>
  <c r="CI196" i="31"/>
  <c r="CI197" i="31"/>
  <c r="CI174" i="31"/>
  <c r="CI175" i="31"/>
  <c r="CI163" i="31"/>
  <c r="CJ163" i="31"/>
  <c r="CI164" i="31"/>
  <c r="CJ164" i="31"/>
  <c r="CJ165" i="31" s="1"/>
  <c r="CI152" i="31"/>
  <c r="CI153" i="31"/>
  <c r="CI141" i="31"/>
  <c r="CI142" i="31"/>
  <c r="CI130" i="31"/>
  <c r="CI131" i="31"/>
  <c r="CI108" i="31"/>
  <c r="CI109" i="31"/>
  <c r="DE517" i="31" l="1"/>
  <c r="DE523" i="31" s="1"/>
  <c r="DA212" i="10" l="1"/>
  <c r="DA207" i="10"/>
  <c r="DA202" i="10"/>
  <c r="DA197" i="10"/>
  <c r="DA161" i="10"/>
  <c r="DA155" i="10"/>
  <c r="DA131" i="10"/>
  <c r="DB128" i="10" s="1"/>
  <c r="DB129" i="10" s="1"/>
  <c r="DA118" i="10"/>
  <c r="DA34" i="10"/>
  <c r="DC50" i="11"/>
  <c r="DC47" i="11"/>
  <c r="DC46" i="11"/>
  <c r="DC45" i="11"/>
  <c r="DC44" i="11"/>
  <c r="DC43" i="11"/>
  <c r="DC42" i="11"/>
  <c r="DC40" i="11"/>
  <c r="DC39" i="11"/>
  <c r="DC34" i="11"/>
  <c r="DC33" i="11"/>
  <c r="DC26" i="11"/>
  <c r="DC25" i="11"/>
  <c r="DC24" i="11"/>
  <c r="DC23" i="11"/>
  <c r="DC22" i="11"/>
  <c r="DC18" i="11"/>
  <c r="DC16" i="11"/>
  <c r="DC15" i="11"/>
  <c r="DC12" i="11"/>
  <c r="DC32" i="11"/>
  <c r="DA19" i="10"/>
  <c r="DB115" i="10" l="1"/>
  <c r="DB116" i="10" s="1"/>
  <c r="DD32" i="11"/>
  <c r="DD23" i="11"/>
  <c r="DE23" i="11" s="1"/>
  <c r="DD34" i="11"/>
  <c r="DD39" i="11"/>
  <c r="DD42" i="11"/>
  <c r="DE42" i="11" s="1"/>
  <c r="DD44" i="11"/>
  <c r="DD46" i="11"/>
  <c r="DD50" i="11"/>
  <c r="DE50" i="11" s="1"/>
  <c r="DD15" i="11"/>
  <c r="DD18" i="11"/>
  <c r="DE18" i="11" s="1"/>
  <c r="DD25" i="11"/>
  <c r="DE25" i="11" s="1"/>
  <c r="DD12" i="11"/>
  <c r="DE12" i="11" s="1"/>
  <c r="DD16" i="11"/>
  <c r="DD22" i="11"/>
  <c r="DD24" i="11"/>
  <c r="DE24" i="11" s="1"/>
  <c r="DD26" i="11"/>
  <c r="DE26" i="11" s="1"/>
  <c r="DD33" i="11"/>
  <c r="DE33" i="11" s="1"/>
  <c r="DD40" i="11"/>
  <c r="DD43" i="11"/>
  <c r="DE43" i="11" s="1"/>
  <c r="DD45" i="11"/>
  <c r="DE45" i="11" s="1"/>
  <c r="DD47" i="11"/>
  <c r="DE47" i="11" s="1"/>
  <c r="DB153" i="10"/>
  <c r="DB154" i="10" s="1"/>
  <c r="DB158" i="10"/>
  <c r="DB159" i="10" s="1"/>
  <c r="DB195" i="10"/>
  <c r="DB196" i="10" s="1"/>
  <c r="DB200" i="10"/>
  <c r="DB201" i="10" s="1"/>
  <c r="DB205" i="10"/>
  <c r="DB206" i="10" s="1"/>
  <c r="DB210" i="10"/>
  <c r="DB211" i="10" s="1"/>
  <c r="DB120" i="10" l="1"/>
  <c r="DE16" i="11"/>
  <c r="DB138" i="10"/>
  <c r="EA119" i="9" s="1"/>
  <c r="DE46" i="11"/>
  <c r="DE34" i="11"/>
  <c r="DB135" i="10"/>
  <c r="DE40" i="11"/>
  <c r="DE22" i="11"/>
  <c r="DE44" i="11"/>
  <c r="DE39" i="11"/>
  <c r="DE15" i="11"/>
  <c r="DE32" i="11"/>
  <c r="DU41" i="9"/>
  <c r="DU44" i="9"/>
  <c r="DZ41" i="9"/>
  <c r="DE48" i="11" l="1"/>
  <c r="DB143" i="10"/>
  <c r="DZ44" i="9"/>
  <c r="CH1481" i="31"/>
  <c r="CH1482" i="31"/>
  <c r="CH1470" i="31"/>
  <c r="CH1471" i="31"/>
  <c r="CH1459" i="31"/>
  <c r="CH1460" i="31"/>
  <c r="CH1448" i="31"/>
  <c r="CH1449" i="31"/>
  <c r="CH1437" i="31"/>
  <c r="CH1438" i="31"/>
  <c r="CH1426" i="31"/>
  <c r="CH1427" i="31"/>
  <c r="CH752" i="31"/>
  <c r="CH741" i="31"/>
  <c r="CH742" i="31"/>
  <c r="CH730" i="31"/>
  <c r="CH731" i="31"/>
  <c r="CH719" i="31"/>
  <c r="CH720" i="31"/>
  <c r="CH708" i="31"/>
  <c r="CH709" i="31"/>
  <c r="CH503" i="31"/>
  <c r="CH504" i="31"/>
  <c r="CH492" i="31"/>
  <c r="CH493" i="31"/>
  <c r="CH482" i="31"/>
  <c r="CH470" i="31"/>
  <c r="CH471" i="31"/>
  <c r="CH447" i="31"/>
  <c r="CH448" i="31"/>
  <c r="CH437" i="31"/>
  <c r="CH425" i="31"/>
  <c r="CH426" i="31"/>
  <c r="CH427" i="31" s="1"/>
  <c r="CH414" i="31"/>
  <c r="CH415" i="31"/>
  <c r="CH403" i="31"/>
  <c r="CH404" i="31"/>
  <c r="CH381" i="31"/>
  <c r="CH382" i="31"/>
  <c r="CH344" i="31"/>
  <c r="CH345" i="31"/>
  <c r="CH333" i="31"/>
  <c r="CH334" i="31"/>
  <c r="CH322" i="31"/>
  <c r="CH323" i="31"/>
  <c r="CH311" i="31"/>
  <c r="CH312" i="31"/>
  <c r="CH279" i="31"/>
  <c r="CH280" i="31"/>
  <c r="CH252" i="31"/>
  <c r="CH253" i="31"/>
  <c r="CM258" i="31" s="1"/>
  <c r="CM259" i="31" s="1"/>
  <c r="CH235" i="31"/>
  <c r="CH236" i="31"/>
  <c r="CH224" i="31"/>
  <c r="CH225" i="31"/>
  <c r="CH208" i="31"/>
  <c r="CH209" i="31"/>
  <c r="CH210" i="31"/>
  <c r="CH211" i="31"/>
  <c r="CH174" i="31"/>
  <c r="CH175" i="31"/>
  <c r="CH164" i="31"/>
  <c r="CG164" i="31"/>
  <c r="CH163" i="31"/>
  <c r="CG163" i="31"/>
  <c r="CH152" i="31"/>
  <c r="CH153" i="31"/>
  <c r="CH141" i="31"/>
  <c r="CH142" i="31"/>
  <c r="CH130" i="31"/>
  <c r="CH131" i="31"/>
  <c r="CH108" i="31"/>
  <c r="CH109" i="31"/>
  <c r="EA59" i="9"/>
  <c r="DZ59" i="9"/>
  <c r="DY59" i="9"/>
  <c r="CN539" i="31" l="1"/>
  <c r="CM539" i="31"/>
  <c r="CL539" i="31"/>
  <c r="CP748" i="31"/>
  <c r="CP527" i="31"/>
  <c r="CP526" i="31"/>
  <c r="CP513" i="31"/>
  <c r="CU521" i="31" s="1"/>
  <c r="CP511" i="31"/>
  <c r="CU520" i="31" s="1"/>
  <c r="CL521" i="31"/>
  <c r="CP431" i="31"/>
  <c r="CP421" i="31"/>
  <c r="CP252" i="31"/>
  <c r="CU257" i="31" s="1"/>
  <c r="CU753" i="31" l="1"/>
  <c r="EE59" i="9"/>
  <c r="CP515" i="31"/>
  <c r="CM94" i="31"/>
  <c r="CL94" i="31"/>
  <c r="CL758" i="31"/>
  <c r="CQ763" i="31" s="1"/>
  <c r="EF59" i="9"/>
  <c r="ED59" i="9"/>
  <c r="CL520" i="31"/>
  <c r="CL528" i="31"/>
  <c r="CN876" i="31"/>
  <c r="CM876" i="31"/>
  <c r="CL876" i="31"/>
  <c r="CL114" i="31"/>
  <c r="CM142" i="31"/>
  <c r="CL82" i="31"/>
  <c r="CL81" i="31"/>
  <c r="CU1432" i="31" l="1"/>
  <c r="CZ1437" i="31" s="1"/>
  <c r="CU1465" i="31"/>
  <c r="CZ1470" i="31" s="1"/>
  <c r="EK59" i="9"/>
  <c r="CL180" i="31"/>
  <c r="CQ185" i="31" s="1"/>
  <c r="CP1432" i="31"/>
  <c r="CL760" i="31"/>
  <c r="CQ766" i="31" s="1"/>
  <c r="CL115" i="31"/>
  <c r="CP1465" i="31"/>
  <c r="CP528" i="31"/>
  <c r="CP1421" i="31"/>
  <c r="CL1487" i="31"/>
  <c r="CL215" i="31"/>
  <c r="CP539" i="31"/>
  <c r="CP306" i="31"/>
  <c r="CP202" i="31"/>
  <c r="CP169" i="31"/>
  <c r="CP517" i="31"/>
  <c r="CO518" i="31" s="1"/>
  <c r="CM56" i="31"/>
  <c r="CP487" i="31"/>
  <c r="CP420" i="31"/>
  <c r="CP158" i="31"/>
  <c r="CM81" i="31"/>
  <c r="CM180" i="31" s="1"/>
  <c r="CR185" i="31" s="1"/>
  <c r="CL1488" i="31"/>
  <c r="CL83" i="31"/>
  <c r="CL105" i="31"/>
  <c r="CQ1493" i="31" l="1"/>
  <c r="CQ1494" i="31" s="1"/>
  <c r="CR61" i="31"/>
  <c r="EE88" i="9"/>
  <c r="CU1426" i="31"/>
  <c r="CU545" i="31"/>
  <c r="CU174" i="31"/>
  <c r="CU208" i="31"/>
  <c r="CU1470" i="31"/>
  <c r="CU1437" i="31"/>
  <c r="CQ697" i="31"/>
  <c r="CQ694" i="31"/>
  <c r="CL56" i="31"/>
  <c r="ED88" i="9" s="1"/>
  <c r="CQ1492" i="31"/>
  <c r="CL181" i="31"/>
  <c r="CQ186" i="31" s="1"/>
  <c r="CQ187" i="31" s="1"/>
  <c r="DH187" i="10"/>
  <c r="DI45" i="10"/>
  <c r="CP545" i="31"/>
  <c r="CL1489" i="31"/>
  <c r="CL116" i="31"/>
  <c r="CL57" i="31"/>
  <c r="ED89" i="9" s="1"/>
  <c r="CP422" i="31"/>
  <c r="ED90" i="9" l="1"/>
  <c r="DJ45" i="10"/>
  <c r="CU694" i="31"/>
  <c r="CZ700" i="31" s="1"/>
  <c r="CV700" i="31"/>
  <c r="CQ700" i="31"/>
  <c r="CL182" i="31"/>
  <c r="CQ1495" i="31"/>
  <c r="CQ72" i="31"/>
  <c r="CV78" i="31" s="1"/>
  <c r="CQ182" i="31"/>
  <c r="CV188" i="31" s="1"/>
  <c r="CQ62" i="31"/>
  <c r="CQ63" i="31" s="1"/>
  <c r="CQ75" i="31"/>
  <c r="CQ61" i="31"/>
  <c r="CL58" i="31"/>
  <c r="DJ187" i="10" l="1"/>
  <c r="CQ188" i="31"/>
  <c r="CQ64" i="31"/>
  <c r="CQ76" i="31"/>
  <c r="CQ77" i="31" s="1"/>
  <c r="DK45" i="10"/>
  <c r="CR75" i="31"/>
  <c r="DL45" i="10" l="1"/>
  <c r="DK187" i="10"/>
  <c r="CR34" i="31"/>
  <c r="DL187" i="10" l="1"/>
  <c r="EJ92" i="9"/>
  <c r="DE515" i="31"/>
  <c r="CJ515" i="31"/>
  <c r="CI515" i="31"/>
  <c r="CH515" i="31"/>
  <c r="CG515" i="31"/>
  <c r="CC515" i="31"/>
  <c r="CB515" i="31"/>
  <c r="CP509" i="31"/>
  <c r="CH509" i="31"/>
  <c r="CG509" i="31"/>
  <c r="CE509" i="31"/>
  <c r="CK510" i="31"/>
  <c r="CF510" i="31"/>
  <c r="CA510" i="31"/>
  <c r="DM187" i="10" l="1"/>
  <c r="DB35" i="11"/>
  <c r="DB27" i="11"/>
  <c r="CZ220" i="10"/>
  <c r="CZ212" i="10"/>
  <c r="DA210" i="10" s="1"/>
  <c r="DA211" i="10" s="1"/>
  <c r="CZ207" i="10"/>
  <c r="DA205" i="10" s="1"/>
  <c r="DA206" i="10" s="1"/>
  <c r="CZ197" i="10"/>
  <c r="DA195" i="10" s="1"/>
  <c r="DA196" i="10" s="1"/>
  <c r="CZ161" i="10"/>
  <c r="DA158" i="10" s="1"/>
  <c r="DA159" i="10" s="1"/>
  <c r="CZ155" i="10"/>
  <c r="DA153" i="10" s="1"/>
  <c r="DA154" i="10" s="1"/>
  <c r="CZ139" i="10"/>
  <c r="DA134" i="10" s="1"/>
  <c r="CZ131" i="10"/>
  <c r="CZ118" i="10"/>
  <c r="CZ34" i="10"/>
  <c r="DA115" i="10" l="1"/>
  <c r="DC27" i="11"/>
  <c r="DD27" i="11" s="1"/>
  <c r="DC35" i="11"/>
  <c r="CZ140" i="10"/>
  <c r="DD35" i="11" l="1"/>
  <c r="DE27" i="11"/>
  <c r="CZ142" i="10"/>
  <c r="DE35" i="11" l="1"/>
  <c r="DA102" i="10"/>
  <c r="CZ102" i="10"/>
  <c r="DE36" i="11" l="1"/>
  <c r="DY26" i="9" l="1"/>
  <c r="DY37" i="9"/>
  <c r="EC26" i="9" l="1"/>
  <c r="ED76" i="9"/>
  <c r="CG279" i="31"/>
  <c r="CG209" i="31"/>
  <c r="EH76" i="9" l="1"/>
  <c r="DD85" i="10"/>
  <c r="DD86" i="10" s="1"/>
  <c r="DY143" i="9"/>
  <c r="DY144" i="9" s="1"/>
  <c r="DY44" i="9"/>
  <c r="DY41" i="9"/>
  <c r="CG1482" i="31"/>
  <c r="CG1481" i="31"/>
  <c r="CG1471" i="31"/>
  <c r="CG1470" i="31"/>
  <c r="CG1460" i="31"/>
  <c r="CG1459" i="31"/>
  <c r="CG1449" i="31"/>
  <c r="CG1448" i="31"/>
  <c r="CG1438" i="31"/>
  <c r="CG1437" i="31"/>
  <c r="CG1427" i="31"/>
  <c r="CG1426" i="31"/>
  <c r="CG752" i="31"/>
  <c r="CG742" i="31"/>
  <c r="CG743" i="31" s="1"/>
  <c r="CG741" i="31"/>
  <c r="CG731" i="31"/>
  <c r="CG730" i="31"/>
  <c r="CG720" i="31"/>
  <c r="CG719" i="31"/>
  <c r="CG709" i="31"/>
  <c r="CG708" i="31"/>
  <c r="CG520" i="31"/>
  <c r="CG504" i="31"/>
  <c r="CG503" i="31"/>
  <c r="CG493" i="31"/>
  <c r="CG492" i="31"/>
  <c r="CG482" i="31"/>
  <c r="CG471" i="31"/>
  <c r="CG448" i="31"/>
  <c r="CG447" i="31"/>
  <c r="CG437" i="31"/>
  <c r="CG426" i="31"/>
  <c r="CG427" i="31" s="1"/>
  <c r="CG425" i="31"/>
  <c r="CG415" i="31"/>
  <c r="CG414" i="31"/>
  <c r="CG404" i="31"/>
  <c r="CG403" i="31"/>
  <c r="CG382" i="31"/>
  <c r="CG381" i="31"/>
  <c r="CG345" i="31"/>
  <c r="CG344" i="31"/>
  <c r="CG334" i="31"/>
  <c r="CG333" i="31"/>
  <c r="CG323" i="31"/>
  <c r="CG322" i="31"/>
  <c r="CG312" i="31"/>
  <c r="CG311" i="31"/>
  <c r="CG280" i="31"/>
  <c r="CG253" i="31"/>
  <c r="CL258" i="31" s="1"/>
  <c r="CL259" i="31" s="1"/>
  <c r="CG252" i="31"/>
  <c r="CB252" i="31"/>
  <c r="CG236" i="31"/>
  <c r="CG235" i="31"/>
  <c r="CG225" i="31"/>
  <c r="CG224" i="31"/>
  <c r="CG215" i="31"/>
  <c r="CG211" i="31"/>
  <c r="CG210" i="31"/>
  <c r="CG208" i="31"/>
  <c r="CG175" i="31"/>
  <c r="CG174" i="31"/>
  <c r="CG153" i="31"/>
  <c r="CG152" i="31"/>
  <c r="CG142" i="31"/>
  <c r="CG141" i="31"/>
  <c r="CG131" i="31"/>
  <c r="CG130" i="31"/>
  <c r="CG109" i="31"/>
  <c r="CG108" i="31"/>
  <c r="CB82" i="31"/>
  <c r="CG254" i="31" l="1"/>
  <c r="CL260" i="31" s="1"/>
  <c r="DW143" i="9" l="1"/>
  <c r="CX220" i="10" l="1"/>
  <c r="CY215" i="10"/>
  <c r="CX215" i="10"/>
  <c r="CX212" i="10"/>
  <c r="CX207" i="10"/>
  <c r="CX202" i="10"/>
  <c r="CX197" i="10"/>
  <c r="CX190" i="10"/>
  <c r="CX189" i="10"/>
  <c r="CX188" i="10"/>
  <c r="CX187" i="10"/>
  <c r="CX161" i="10"/>
  <c r="CX160" i="10"/>
  <c r="DW120" i="9" s="1"/>
  <c r="CX155" i="10"/>
  <c r="CX149" i="10"/>
  <c r="CY141" i="10"/>
  <c r="CX139" i="10"/>
  <c r="CX140" i="10" s="1"/>
  <c r="CY138" i="10"/>
  <c r="CX131" i="10"/>
  <c r="CY130" i="10"/>
  <c r="CX118" i="10"/>
  <c r="CY110" i="10"/>
  <c r="DD108" i="10" s="1"/>
  <c r="DD109" i="10" s="1"/>
  <c r="CX108" i="10"/>
  <c r="CX109" i="10" s="1"/>
  <c r="CY101" i="10"/>
  <c r="CX102" i="10"/>
  <c r="CX95" i="10"/>
  <c r="CX96" i="10" s="1"/>
  <c r="CX98" i="10" s="1"/>
  <c r="CX87" i="10"/>
  <c r="CX85" i="10"/>
  <c r="CY51" i="10"/>
  <c r="CY50" i="10"/>
  <c r="CY49" i="10"/>
  <c r="CY45" i="10"/>
  <c r="CY40" i="10"/>
  <c r="CY39" i="10"/>
  <c r="CY38" i="10"/>
  <c r="CY37" i="10"/>
  <c r="CY35" i="10"/>
  <c r="CY33" i="10"/>
  <c r="CY32" i="10"/>
  <c r="CY31" i="10"/>
  <c r="CY26" i="10"/>
  <c r="CY25" i="10"/>
  <c r="CY24" i="10"/>
  <c r="CY23" i="10"/>
  <c r="CY22" i="10"/>
  <c r="CY21" i="10"/>
  <c r="CY19" i="10"/>
  <c r="CY18" i="10"/>
  <c r="CY17" i="10"/>
  <c r="CY16" i="10"/>
  <c r="CY15" i="10"/>
  <c r="CY14" i="10"/>
  <c r="CX34" i="10"/>
  <c r="DA35" i="11"/>
  <c r="DA25" i="11"/>
  <c r="DA27" i="11"/>
  <c r="DA36" i="11" l="1"/>
  <c r="CX150" i="10"/>
  <c r="CY34" i="10"/>
  <c r="CY97" i="10" s="1"/>
  <c r="CX97" i="10"/>
  <c r="CY20" i="10"/>
  <c r="CY95" i="10"/>
  <c r="CY96" i="10" s="1"/>
  <c r="CY98" i="10" s="1"/>
  <c r="CY149" i="10"/>
  <c r="CX146" i="10"/>
  <c r="CY220" i="10"/>
  <c r="DA28" i="11"/>
  <c r="CZ108" i="10"/>
  <c r="CX112" i="10"/>
  <c r="CX147" i="10" l="1"/>
  <c r="CX148" i="10" s="1"/>
  <c r="CY36" i="10"/>
  <c r="CY27" i="10"/>
  <c r="GH50" i="9"/>
  <c r="DD112" i="10"/>
  <c r="CZ112" i="10"/>
  <c r="CZ109" i="10"/>
  <c r="CP352" i="31"/>
  <c r="CY91" i="10" l="1"/>
  <c r="CY41" i="10"/>
  <c r="CY167" i="10"/>
  <c r="CY169" i="10"/>
  <c r="CY168" i="10"/>
  <c r="CD511" i="31" l="1"/>
  <c r="CD626" i="31" s="1"/>
  <c r="CE738" i="31"/>
  <c r="CF513" i="31" l="1"/>
  <c r="CE513" i="31"/>
  <c r="CE515" i="31" l="1"/>
  <c r="CE627" i="31"/>
  <c r="CD513" i="31"/>
  <c r="DW44" i="9"/>
  <c r="DV44" i="9"/>
  <c r="DX28" i="9"/>
  <c r="DX26" i="9"/>
  <c r="DX23" i="9"/>
  <c r="DX22" i="9"/>
  <c r="BY82" i="31"/>
  <c r="BX82" i="31"/>
  <c r="BW82" i="31"/>
  <c r="BY81" i="31"/>
  <c r="BX81" i="31"/>
  <c r="BW81" i="31"/>
  <c r="CE1482" i="31"/>
  <c r="CE1481" i="31"/>
  <c r="CE1471" i="31"/>
  <c r="CE1470" i="31"/>
  <c r="CE1460" i="31"/>
  <c r="CE1459" i="31"/>
  <c r="CE1449" i="31"/>
  <c r="CE1448" i="31"/>
  <c r="CE1438" i="31"/>
  <c r="CE1437" i="31"/>
  <c r="CE1427" i="31"/>
  <c r="CE1426" i="31"/>
  <c r="CE759" i="31"/>
  <c r="CE758" i="31"/>
  <c r="CE752" i="31"/>
  <c r="CE731" i="31"/>
  <c r="CE730" i="31"/>
  <c r="CE720" i="31"/>
  <c r="CE719" i="31"/>
  <c r="CE709" i="31"/>
  <c r="CE708" i="31"/>
  <c r="CE698" i="31"/>
  <c r="CE697" i="31"/>
  <c r="CE504" i="31"/>
  <c r="CE503" i="31"/>
  <c r="CE493" i="31"/>
  <c r="CE492" i="31"/>
  <c r="CE482" i="31"/>
  <c r="CE478" i="31"/>
  <c r="CE471" i="31"/>
  <c r="CE470" i="31"/>
  <c r="CE448" i="31"/>
  <c r="CE447" i="31"/>
  <c r="CE437" i="31"/>
  <c r="CE426" i="31"/>
  <c r="CE427" i="31" s="1"/>
  <c r="CE425" i="31"/>
  <c r="CE415" i="31"/>
  <c r="CE414" i="31"/>
  <c r="CE404" i="31"/>
  <c r="CE403" i="31"/>
  <c r="CE382" i="31"/>
  <c r="CE381" i="31"/>
  <c r="CD515" i="31" l="1"/>
  <c r="CF515" i="31" s="1"/>
  <c r="CD627" i="31"/>
  <c r="CE628" i="31"/>
  <c r="CJ632" i="31"/>
  <c r="CE632" i="31"/>
  <c r="CY85" i="10"/>
  <c r="CY86" i="10" s="1"/>
  <c r="CY60" i="10" s="1"/>
  <c r="DX24" i="9"/>
  <c r="CE760" i="31"/>
  <c r="CE345" i="31"/>
  <c r="CE344" i="31"/>
  <c r="CE334" i="31"/>
  <c r="CE333" i="31"/>
  <c r="CE323" i="31"/>
  <c r="CE322" i="31"/>
  <c r="CE312" i="31"/>
  <c r="CE311" i="31"/>
  <c r="CE308" i="31"/>
  <c r="CE280" i="31"/>
  <c r="CE279" i="31"/>
  <c r="CE269" i="31"/>
  <c r="CE268" i="31"/>
  <c r="CE253" i="31"/>
  <c r="CJ258" i="31" s="1"/>
  <c r="CE236" i="31"/>
  <c r="CE235" i="31"/>
  <c r="CE225" i="31"/>
  <c r="CE224" i="31"/>
  <c r="CE211" i="31"/>
  <c r="CE209" i="31"/>
  <c r="CE208" i="31"/>
  <c r="CE197" i="31"/>
  <c r="CE196" i="31"/>
  <c r="CE142" i="31"/>
  <c r="CE141" i="31"/>
  <c r="CE109" i="31"/>
  <c r="CE108" i="31"/>
  <c r="CE175" i="31"/>
  <c r="CE174" i="31"/>
  <c r="CE164" i="31"/>
  <c r="CE131" i="31"/>
  <c r="CE130" i="31"/>
  <c r="CE76" i="31"/>
  <c r="CE75" i="31"/>
  <c r="CJ634" i="31" l="1"/>
  <c r="CE634" i="31"/>
  <c r="CD632" i="31"/>
  <c r="CF627" i="31"/>
  <c r="CD628" i="31"/>
  <c r="CI632" i="31"/>
  <c r="DX65" i="9"/>
  <c r="CY174" i="10" s="1"/>
  <c r="CY61" i="10"/>
  <c r="DX67" i="9"/>
  <c r="CY83" i="10"/>
  <c r="CY84" i="10" s="1"/>
  <c r="CK632" i="31" l="1"/>
  <c r="CF632" i="31"/>
  <c r="CI634" i="31"/>
  <c r="CD634" i="31"/>
  <c r="CY79" i="10"/>
  <c r="CY77" i="10"/>
  <c r="CY75" i="10"/>
  <c r="CY73" i="10"/>
  <c r="CY69" i="10"/>
  <c r="CY67" i="10"/>
  <c r="CY65" i="10"/>
  <c r="CY216" i="10" s="1"/>
  <c r="CY78" i="10"/>
  <c r="CY76" i="10"/>
  <c r="CY74" i="10"/>
  <c r="CY70" i="10"/>
  <c r="CY68" i="10"/>
  <c r="CY66" i="10"/>
  <c r="CY59" i="10"/>
  <c r="CY62" i="10" s="1"/>
  <c r="BZ225" i="31" l="1"/>
  <c r="CI759" i="31" l="1"/>
  <c r="CN764" i="31" s="1"/>
  <c r="CN765" i="31" s="1"/>
  <c r="CH759" i="31"/>
  <c r="CM764" i="31" s="1"/>
  <c r="CM765" i="31" s="1"/>
  <c r="CG759" i="31"/>
  <c r="CI758" i="31"/>
  <c r="CN763" i="31" s="1"/>
  <c r="CH758" i="31"/>
  <c r="CM763" i="31" s="1"/>
  <c r="CG758" i="31"/>
  <c r="CJ532" i="31"/>
  <c r="CI532" i="31"/>
  <c r="CJ531" i="31"/>
  <c r="CI531" i="31"/>
  <c r="CH531" i="31"/>
  <c r="B530" i="31"/>
  <c r="CJ528" i="31"/>
  <c r="CO534" i="31" s="1"/>
  <c r="CI528" i="31"/>
  <c r="CN534" i="31" s="1"/>
  <c r="CH528" i="31"/>
  <c r="CM534" i="31" s="1"/>
  <c r="CG528" i="31"/>
  <c r="CE528" i="31"/>
  <c r="CD528" i="31"/>
  <c r="CC528" i="31"/>
  <c r="CK527" i="31"/>
  <c r="CP532" i="31" s="1"/>
  <c r="CF527" i="31"/>
  <c r="CK526" i="31"/>
  <c r="CF526" i="31"/>
  <c r="CH534" i="31" l="1"/>
  <c r="CJ534" i="31"/>
  <c r="CL764" i="31"/>
  <c r="CL765" i="31" s="1"/>
  <c r="CK759" i="31"/>
  <c r="CL763" i="31"/>
  <c r="CK758" i="31"/>
  <c r="CJ763" i="31"/>
  <c r="CO763" i="31"/>
  <c r="CJ764" i="31"/>
  <c r="CO764" i="31"/>
  <c r="CO765" i="31" s="1"/>
  <c r="CG760" i="31"/>
  <c r="CL766" i="31" s="1"/>
  <c r="CP531" i="31"/>
  <c r="CF528" i="31"/>
  <c r="CK532" i="31"/>
  <c r="CI534" i="31"/>
  <c r="CK528" i="31"/>
  <c r="CK531" i="31"/>
  <c r="CK534" i="31" l="1"/>
  <c r="CP534" i="31" l="1"/>
  <c r="CW220" i="10" l="1"/>
  <c r="CW215" i="10"/>
  <c r="CW212" i="10"/>
  <c r="CX210" i="10" s="1"/>
  <c r="CX211" i="10" s="1"/>
  <c r="CW207" i="10"/>
  <c r="CX205" i="10" s="1"/>
  <c r="CX206" i="10" s="1"/>
  <c r="CW202" i="10"/>
  <c r="CX200" i="10" s="1"/>
  <c r="CX201" i="10" s="1"/>
  <c r="CW197" i="10"/>
  <c r="CX195" i="10" s="1"/>
  <c r="CX196" i="10" s="1"/>
  <c r="CW190" i="10"/>
  <c r="CW189" i="10"/>
  <c r="CW188" i="10"/>
  <c r="CW187" i="10"/>
  <c r="CW161" i="10"/>
  <c r="CX158" i="10" s="1"/>
  <c r="CX159" i="10" s="1"/>
  <c r="CW160" i="10"/>
  <c r="DV120" i="9" s="1"/>
  <c r="CW155" i="10"/>
  <c r="CX153" i="10" s="1"/>
  <c r="CX154" i="10" s="1"/>
  <c r="CW149" i="10"/>
  <c r="CW139" i="10"/>
  <c r="CW131" i="10"/>
  <c r="CX128" i="10" s="1"/>
  <c r="CX129" i="10" s="1"/>
  <c r="CW118" i="10"/>
  <c r="CW108" i="10"/>
  <c r="CW112" i="10" s="1"/>
  <c r="CW102" i="10"/>
  <c r="CW95" i="10"/>
  <c r="CW96" i="10" s="1"/>
  <c r="CW98" i="10" s="1"/>
  <c r="CW87" i="10"/>
  <c r="CW85" i="10"/>
  <c r="CY34" i="11"/>
  <c r="CW34" i="10"/>
  <c r="CX115" i="10" l="1"/>
  <c r="CX120" i="10" s="1"/>
  <c r="CW97" i="10"/>
  <c r="CZ34" i="11"/>
  <c r="CW150" i="10"/>
  <c r="CX134" i="10"/>
  <c r="DV27" i="9" l="1"/>
  <c r="DX27" i="9" l="1"/>
  <c r="CD82" i="31"/>
  <c r="CD81" i="31"/>
  <c r="DX66" i="9" l="1"/>
  <c r="DX29" i="9"/>
  <c r="DV132" i="9"/>
  <c r="DX68" i="9" l="1"/>
  <c r="CY175" i="10" s="1"/>
  <c r="DV126" i="9"/>
  <c r="DV78" i="9"/>
  <c r="DV77" i="9"/>
  <c r="DV76" i="9"/>
  <c r="CD742" i="31"/>
  <c r="CD741" i="31"/>
  <c r="CD731" i="31"/>
  <c r="CD730" i="31"/>
  <c r="CD709" i="31"/>
  <c r="CD708" i="31"/>
  <c r="CD493" i="31"/>
  <c r="CD492" i="31"/>
  <c r="CC493" i="31"/>
  <c r="CC492" i="31"/>
  <c r="CD448" i="31"/>
  <c r="CD447" i="31"/>
  <c r="CD437" i="31"/>
  <c r="CD426" i="31"/>
  <c r="CD427" i="31" s="1"/>
  <c r="CD425" i="31"/>
  <c r="CD415" i="31"/>
  <c r="CD414" i="31"/>
  <c r="CD404" i="31"/>
  <c r="CD403" i="31"/>
  <c r="CD382" i="31"/>
  <c r="CD381" i="31"/>
  <c r="CD312" i="31"/>
  <c r="CD311" i="31"/>
  <c r="CD142" i="31"/>
  <c r="CD141" i="31"/>
  <c r="CD109" i="31"/>
  <c r="CD108" i="31"/>
  <c r="CD1482" i="31"/>
  <c r="CD1481" i="31"/>
  <c r="CD1471" i="31"/>
  <c r="CD1470" i="31"/>
  <c r="CD1460" i="31"/>
  <c r="CD1459" i="31"/>
  <c r="CD1449" i="31"/>
  <c r="CD1448" i="31"/>
  <c r="CD1438" i="31"/>
  <c r="CD1437" i="31"/>
  <c r="CD1427" i="31"/>
  <c r="CD1426" i="31"/>
  <c r="CD752" i="31"/>
  <c r="CD720" i="31"/>
  <c r="CD719" i="31"/>
  <c r="CD698" i="31"/>
  <c r="CD697" i="31"/>
  <c r="CD504" i="31"/>
  <c r="CD503" i="31"/>
  <c r="CD482" i="31"/>
  <c r="CD471" i="31"/>
  <c r="CD470" i="31"/>
  <c r="CD387" i="31"/>
  <c r="CD365" i="31"/>
  <c r="CD345" i="31"/>
  <c r="CD344" i="31"/>
  <c r="CD334" i="31"/>
  <c r="CD333" i="31"/>
  <c r="CD323" i="31"/>
  <c r="CD322" i="31"/>
  <c r="CD295" i="31"/>
  <c r="CD280" i="31"/>
  <c r="CD279" i="31"/>
  <c r="CD269" i="31"/>
  <c r="CD268" i="31"/>
  <c r="CD253" i="31"/>
  <c r="CI258" i="31" s="1"/>
  <c r="CD252" i="31"/>
  <c r="CD236" i="31"/>
  <c r="CD235" i="31"/>
  <c r="CD225" i="31"/>
  <c r="CD224" i="31"/>
  <c r="CD215" i="31"/>
  <c r="CD211" i="31"/>
  <c r="CD210" i="31"/>
  <c r="CD209" i="31"/>
  <c r="CD208" i="31"/>
  <c r="CD197" i="31"/>
  <c r="CD196" i="31"/>
  <c r="CD175" i="31"/>
  <c r="CD176" i="31" s="1"/>
  <c r="CD174" i="31"/>
  <c r="CD164" i="31"/>
  <c r="CD163" i="31"/>
  <c r="CD149" i="31"/>
  <c r="CD131" i="31"/>
  <c r="CD130" i="31"/>
  <c r="CD114" i="31"/>
  <c r="CD76" i="31"/>
  <c r="CD75" i="31"/>
  <c r="CD254" i="31" l="1"/>
  <c r="CD454" i="31"/>
  <c r="DX36" i="9" l="1"/>
  <c r="CB465" i="31" l="1"/>
  <c r="CB626" i="31" s="1"/>
  <c r="CF626" i="31" l="1"/>
  <c r="CK631" i="31" s="1"/>
  <c r="CB628" i="31"/>
  <c r="CG470" i="31"/>
  <c r="CF628" i="31" l="1"/>
  <c r="CG634" i="31"/>
  <c r="CB634" i="31"/>
  <c r="CX50" i="11"/>
  <c r="CY50" i="11" s="1"/>
  <c r="CX39" i="11"/>
  <c r="CX46" i="11"/>
  <c r="CX45" i="11"/>
  <c r="CX44" i="11"/>
  <c r="CX43" i="11"/>
  <c r="CX42" i="11"/>
  <c r="CX40" i="11"/>
  <c r="CX33" i="11"/>
  <c r="CX32" i="11"/>
  <c r="CX25" i="11"/>
  <c r="CX24" i="11"/>
  <c r="CX23" i="11"/>
  <c r="CX22" i="11"/>
  <c r="CX16" i="11"/>
  <c r="CX18" i="11"/>
  <c r="CX17" i="11"/>
  <c r="CX26" i="11"/>
  <c r="CX15" i="11"/>
  <c r="CX12" i="11"/>
  <c r="CV220" i="10"/>
  <c r="CV215" i="10"/>
  <c r="CV212" i="10"/>
  <c r="CW210" i="10" s="1"/>
  <c r="CW211" i="10" s="1"/>
  <c r="CV207" i="10"/>
  <c r="CW205" i="10" s="1"/>
  <c r="CW206" i="10" s="1"/>
  <c r="CV202" i="10"/>
  <c r="CW200" i="10" s="1"/>
  <c r="CW201" i="10" s="1"/>
  <c r="CV197" i="10"/>
  <c r="CW195" i="10" s="1"/>
  <c r="CW196" i="10" s="1"/>
  <c r="CV190" i="10"/>
  <c r="CV189" i="10"/>
  <c r="CV188" i="10"/>
  <c r="CV187" i="10"/>
  <c r="CV160" i="10"/>
  <c r="DU120" i="9" s="1"/>
  <c r="CV155" i="10"/>
  <c r="CW153" i="10" s="1"/>
  <c r="CW154" i="10" s="1"/>
  <c r="CV149" i="10"/>
  <c r="CV139" i="10"/>
  <c r="CV131" i="10"/>
  <c r="CW128" i="10" s="1"/>
  <c r="CW129" i="10" s="1"/>
  <c r="CW123" i="10"/>
  <c r="CV118" i="10"/>
  <c r="CV108" i="10"/>
  <c r="CV102" i="10"/>
  <c r="CV95" i="10"/>
  <c r="CV96" i="10" s="1"/>
  <c r="CV98" i="10" s="1"/>
  <c r="CV87" i="10"/>
  <c r="CV85" i="10"/>
  <c r="CV34" i="10"/>
  <c r="CK634" i="31" l="1"/>
  <c r="CF634" i="31"/>
  <c r="CV97" i="10"/>
  <c r="CW115" i="10"/>
  <c r="CW120" i="10" s="1"/>
  <c r="CV161" i="10"/>
  <c r="CW158" i="10" s="1"/>
  <c r="CW159" i="10" s="1"/>
  <c r="CX123" i="10"/>
  <c r="CX124" i="10" s="1"/>
  <c r="CW124" i="10"/>
  <c r="CY12" i="11"/>
  <c r="CZ12" i="11" s="1"/>
  <c r="CY26" i="11"/>
  <c r="CZ26" i="11" s="1"/>
  <c r="CY18" i="11"/>
  <c r="CZ18" i="11" s="1"/>
  <c r="CY22" i="11"/>
  <c r="CY24" i="11"/>
  <c r="CZ24" i="11" s="1"/>
  <c r="CY33" i="11"/>
  <c r="CZ33" i="11" s="1"/>
  <c r="CY40" i="11"/>
  <c r="CY43" i="11"/>
  <c r="CZ43" i="11" s="1"/>
  <c r="CY45" i="11"/>
  <c r="CZ45" i="11" s="1"/>
  <c r="CY39" i="11"/>
  <c r="CY15" i="11"/>
  <c r="CY16" i="11"/>
  <c r="CY23" i="11"/>
  <c r="CZ23" i="11" s="1"/>
  <c r="CY25" i="11"/>
  <c r="CZ25" i="11" s="1"/>
  <c r="CY32" i="11"/>
  <c r="CY42" i="11"/>
  <c r="CZ42" i="11" s="1"/>
  <c r="CY44" i="11"/>
  <c r="CY46" i="11"/>
  <c r="CY17" i="11"/>
  <c r="CZ17" i="11" s="1"/>
  <c r="CV150" i="10"/>
  <c r="CW134" i="10"/>
  <c r="CZ16" i="11" l="1"/>
  <c r="CZ22" i="11"/>
  <c r="CW138" i="10"/>
  <c r="DV119" i="9" s="1"/>
  <c r="CZ44" i="11"/>
  <c r="CW135" i="10"/>
  <c r="CZ15" i="11"/>
  <c r="CZ39" i="11"/>
  <c r="CZ40" i="11"/>
  <c r="CZ46" i="11"/>
  <c r="CZ32" i="11"/>
  <c r="CW137" i="10" l="1"/>
  <c r="CX138" i="10"/>
  <c r="CX143" i="10" s="1"/>
  <c r="CX135" i="10"/>
  <c r="CX137" i="10" l="1"/>
  <c r="DJ521" i="31" l="1"/>
  <c r="CJ520" i="31"/>
  <c r="CI520" i="31"/>
  <c r="CH520" i="31"/>
  <c r="CJ521" i="31"/>
  <c r="CI521" i="31"/>
  <c r="CC759" i="31"/>
  <c r="CH764" i="31" s="1"/>
  <c r="CC758" i="31"/>
  <c r="CH763" i="31" s="1"/>
  <c r="CC517" i="31"/>
  <c r="CB517" i="31"/>
  <c r="CD517" i="31" l="1"/>
  <c r="CH517" i="31"/>
  <c r="CK511" i="31"/>
  <c r="CI517" i="31"/>
  <c r="CJ517" i="31"/>
  <c r="CK513" i="31"/>
  <c r="CG517" i="31"/>
  <c r="CO523" i="31" l="1"/>
  <c r="CN523" i="31"/>
  <c r="CP520" i="31"/>
  <c r="CM523" i="31"/>
  <c r="CL523" i="31"/>
  <c r="CI523" i="31"/>
  <c r="CH523" i="31"/>
  <c r="CP521" i="31"/>
  <c r="CK515" i="31"/>
  <c r="CJ523" i="31"/>
  <c r="CG523" i="31"/>
  <c r="CK517" i="31"/>
  <c r="CK520" i="31"/>
  <c r="CK521" i="31"/>
  <c r="DU126" i="9"/>
  <c r="DU78" i="9"/>
  <c r="DU77" i="9"/>
  <c r="DU76" i="9"/>
  <c r="CC1482" i="31"/>
  <c r="CC1481" i="31"/>
  <c r="CC1471" i="31"/>
  <c r="CC1470" i="31"/>
  <c r="CC1460" i="31"/>
  <c r="CC1459" i="31"/>
  <c r="CC1449" i="31"/>
  <c r="CC1448" i="31"/>
  <c r="CC1438" i="31"/>
  <c r="CC1437" i="31"/>
  <c r="CC1427" i="31"/>
  <c r="CC1426" i="31"/>
  <c r="CC886" i="31"/>
  <c r="CC885" i="31"/>
  <c r="CC752" i="31"/>
  <c r="CC742" i="31"/>
  <c r="CC741" i="31"/>
  <c r="CC731" i="31"/>
  <c r="CC730" i="31"/>
  <c r="CC720" i="31"/>
  <c r="CC719" i="31"/>
  <c r="CC709" i="31"/>
  <c r="CC708" i="31"/>
  <c r="CC504" i="31"/>
  <c r="CC503" i="31"/>
  <c r="CC482" i="31"/>
  <c r="CC471" i="31"/>
  <c r="CC470" i="31"/>
  <c r="CC448" i="31"/>
  <c r="CC447" i="31"/>
  <c r="CC437" i="31"/>
  <c r="CC426" i="31"/>
  <c r="CC427" i="31" s="1"/>
  <c r="CC425" i="31"/>
  <c r="CC415" i="31"/>
  <c r="CC414" i="31"/>
  <c r="CC404" i="31"/>
  <c r="CC403" i="31"/>
  <c r="CC382" i="31"/>
  <c r="CC381" i="31"/>
  <c r="CC345" i="31"/>
  <c r="CC344" i="31"/>
  <c r="CC334" i="31"/>
  <c r="CC333" i="31"/>
  <c r="CC323" i="31"/>
  <c r="CC322" i="31"/>
  <c r="CC312" i="31"/>
  <c r="CC311" i="31"/>
  <c r="CC296" i="31"/>
  <c r="CC295" i="31"/>
  <c r="CC280" i="31"/>
  <c r="CC279" i="31"/>
  <c r="CC269" i="31"/>
  <c r="CC268" i="31"/>
  <c r="CC253" i="31"/>
  <c r="CH258" i="31" s="1"/>
  <c r="CC252" i="31"/>
  <c r="CC236" i="31"/>
  <c r="CC235" i="31"/>
  <c r="CC225" i="31"/>
  <c r="CC224" i="31"/>
  <c r="CC211" i="31"/>
  <c r="CC210" i="31"/>
  <c r="CC209" i="31"/>
  <c r="CC208" i="31"/>
  <c r="CC197" i="31"/>
  <c r="CC196" i="31"/>
  <c r="CC142" i="31"/>
  <c r="CC141" i="31"/>
  <c r="CC175" i="31"/>
  <c r="CC174" i="31"/>
  <c r="CC164" i="31"/>
  <c r="CC163" i="31"/>
  <c r="CC131" i="31"/>
  <c r="CC130" i="31"/>
  <c r="CC109" i="31"/>
  <c r="CC108" i="31"/>
  <c r="CC76" i="31"/>
  <c r="CC75" i="31"/>
  <c r="CJ518" i="31" l="1"/>
  <c r="CK523" i="31"/>
  <c r="CC887" i="31"/>
  <c r="CC297" i="31"/>
  <c r="CC254" i="31"/>
  <c r="CP523" i="31" l="1"/>
  <c r="DD130" i="10" l="1"/>
  <c r="EC120" i="9"/>
  <c r="EC44" i="9" l="1"/>
  <c r="CG749" i="31"/>
  <c r="CG433" i="31"/>
  <c r="CL439" i="31" s="1"/>
  <c r="CG422" i="31"/>
  <c r="CL428" i="31" s="1"/>
  <c r="CG114" i="31"/>
  <c r="CL119" i="31" s="1"/>
  <c r="CG98" i="31"/>
  <c r="CJ98" i="31"/>
  <c r="CI98" i="31"/>
  <c r="CH98" i="31"/>
  <c r="CJ97" i="31"/>
  <c r="CI97" i="31"/>
  <c r="CH97" i="31"/>
  <c r="CP147" i="31" l="1"/>
  <c r="CL755" i="31"/>
  <c r="CP148" i="31"/>
  <c r="CG1423" i="31"/>
  <c r="CL1429" i="31" s="1"/>
  <c r="CG1488" i="31"/>
  <c r="CG727" i="31"/>
  <c r="CL733" i="31" s="1"/>
  <c r="CG1487" i="31"/>
  <c r="CG716" i="31"/>
  <c r="CG400" i="31"/>
  <c r="CG478" i="31"/>
  <c r="CG276" i="31"/>
  <c r="CG330" i="31"/>
  <c r="CG489" i="31"/>
  <c r="CL495" i="31" s="1"/>
  <c r="CJ149" i="31"/>
  <c r="CH149" i="31"/>
  <c r="CI149" i="31"/>
  <c r="CG149" i="31"/>
  <c r="CG1478" i="31"/>
  <c r="CL1484" i="31" s="1"/>
  <c r="CG1467" i="31"/>
  <c r="CL1473" i="31" s="1"/>
  <c r="CG1456" i="31"/>
  <c r="CL1462" i="31" s="1"/>
  <c r="CG1445" i="31"/>
  <c r="CL1451" i="31" s="1"/>
  <c r="CG1434" i="31"/>
  <c r="CL1440" i="31" s="1"/>
  <c r="CG705" i="31"/>
  <c r="CG500" i="31"/>
  <c r="CG444" i="31"/>
  <c r="CL450" i="31" s="1"/>
  <c r="CG411" i="31"/>
  <c r="CL417" i="31" s="1"/>
  <c r="CG378" i="31"/>
  <c r="CG341" i="31"/>
  <c r="CG319" i="31"/>
  <c r="CG308" i="31"/>
  <c r="CG221" i="31"/>
  <c r="CL1493" i="31" l="1"/>
  <c r="CL1494" i="31" s="1"/>
  <c r="CL1492" i="31"/>
  <c r="CO155" i="31"/>
  <c r="CI155" i="31"/>
  <c r="CN155" i="31"/>
  <c r="CM155" i="31"/>
  <c r="CL711" i="31"/>
  <c r="CL336" i="31"/>
  <c r="CL484" i="31"/>
  <c r="CL722" i="31"/>
  <c r="CL227" i="31"/>
  <c r="CL325" i="31"/>
  <c r="CL314" i="31"/>
  <c r="CL347" i="31"/>
  <c r="CL506" i="31"/>
  <c r="CL155" i="31"/>
  <c r="CL282" i="31"/>
  <c r="CL406" i="31"/>
  <c r="CP149" i="31"/>
  <c r="CG1489" i="31"/>
  <c r="CG56" i="31"/>
  <c r="CG57" i="31"/>
  <c r="CL62" i="31" l="1"/>
  <c r="CL63" i="31" s="1"/>
  <c r="DY89" i="9"/>
  <c r="CL61" i="31"/>
  <c r="DY88" i="9"/>
  <c r="CL1495" i="31"/>
  <c r="CG58" i="31"/>
  <c r="DY90" i="9" l="1"/>
  <c r="CL64" i="31"/>
  <c r="CK880" i="31"/>
  <c r="CK881" i="31" s="1"/>
  <c r="CK879" i="31"/>
  <c r="CK876" i="31"/>
  <c r="CK748" i="31"/>
  <c r="CK431" i="31"/>
  <c r="CP436" i="31" s="1"/>
  <c r="CK421" i="31"/>
  <c r="CP426" i="31" s="1"/>
  <c r="CK149" i="31"/>
  <c r="CK148" i="31"/>
  <c r="CP153" i="31" s="1"/>
  <c r="CK147" i="31"/>
  <c r="CK93" i="31"/>
  <c r="CK92" i="31"/>
  <c r="DA187" i="10"/>
  <c r="DZ126" i="9"/>
  <c r="EB51" i="9"/>
  <c r="EA51" i="9"/>
  <c r="DZ51" i="9"/>
  <c r="DY51" i="9"/>
  <c r="CJ876" i="31"/>
  <c r="CI876" i="31"/>
  <c r="CH876" i="31"/>
  <c r="CG876" i="31"/>
  <c r="CG388" i="31"/>
  <c r="CL393" i="31" s="1"/>
  <c r="CL394" i="31" s="1"/>
  <c r="CG387" i="31"/>
  <c r="CL392" i="31" s="1"/>
  <c r="CG366" i="31"/>
  <c r="CG365" i="31"/>
  <c r="CG296" i="31"/>
  <c r="CL301" i="31" s="1"/>
  <c r="CL302" i="31" s="1"/>
  <c r="CG295" i="31"/>
  <c r="CL300" i="31" s="1"/>
  <c r="CJ94" i="31"/>
  <c r="CO100" i="31" s="1"/>
  <c r="CI94" i="31"/>
  <c r="CH94" i="31"/>
  <c r="CM100" i="31" s="1"/>
  <c r="CG94" i="31"/>
  <c r="CL100" i="31" s="1"/>
  <c r="CP152" i="31" l="1"/>
  <c r="CP155" i="31"/>
  <c r="CP753" i="31"/>
  <c r="CG455" i="31"/>
  <c r="CG454" i="31"/>
  <c r="EA126" i="9"/>
  <c r="CK94" i="31"/>
  <c r="CG367" i="31"/>
  <c r="CG389" i="31"/>
  <c r="CL395" i="31" s="1"/>
  <c r="CG297" i="31"/>
  <c r="CL303" i="31" s="1"/>
  <c r="EB126" i="9" l="1"/>
  <c r="DB187" i="10"/>
  <c r="DD45" i="10" l="1"/>
  <c r="DE187" i="10" l="1"/>
  <c r="DI187" i="10"/>
  <c r="DD187" i="10"/>
  <c r="BX758" i="31" l="1"/>
  <c r="CW35" i="11" l="1"/>
  <c r="CW27" i="11"/>
  <c r="CU220" i="10"/>
  <c r="CU215" i="10"/>
  <c r="CU212" i="10"/>
  <c r="CV210" i="10" s="1"/>
  <c r="CV211" i="10" s="1"/>
  <c r="CU207" i="10"/>
  <c r="CV205" i="10" s="1"/>
  <c r="CV206" i="10" s="1"/>
  <c r="CU202" i="10"/>
  <c r="CV200" i="10" s="1"/>
  <c r="CV201" i="10" s="1"/>
  <c r="CU197" i="10"/>
  <c r="CV195" i="10" s="1"/>
  <c r="CV196" i="10" s="1"/>
  <c r="CU149" i="10"/>
  <c r="CU155" i="10"/>
  <c r="CV153" i="10" s="1"/>
  <c r="CV154" i="10" s="1"/>
  <c r="CU139" i="10"/>
  <c r="CU131" i="10"/>
  <c r="CV128" i="10" s="1"/>
  <c r="CV129" i="10" s="1"/>
  <c r="CV123" i="10"/>
  <c r="CV124" i="10" s="1"/>
  <c r="CU118" i="10"/>
  <c r="CX35" i="11" l="1"/>
  <c r="CY35" i="11" s="1"/>
  <c r="CV115" i="10"/>
  <c r="CV120" i="10" s="1"/>
  <c r="CX27" i="11"/>
  <c r="CY27" i="11" s="1"/>
  <c r="CU150" i="10"/>
  <c r="CV134" i="10"/>
  <c r="CU102" i="10"/>
  <c r="CU87" i="10"/>
  <c r="CU85" i="10"/>
  <c r="CX86" i="10" s="1"/>
  <c r="CU95" i="10"/>
  <c r="CU96" i="10" s="1"/>
  <c r="CU98" i="10" s="1"/>
  <c r="CZ27" i="11" l="1"/>
  <c r="CZ35" i="11"/>
  <c r="CX60" i="10"/>
  <c r="CX61" i="10"/>
  <c r="CU34" i="10"/>
  <c r="CU97" i="10" l="1"/>
  <c r="CU161" i="10"/>
  <c r="CV158" i="10" s="1"/>
  <c r="CV159" i="10" s="1"/>
  <c r="CZ36" i="11"/>
  <c r="BZ759" i="31"/>
  <c r="CE764" i="31" s="1"/>
  <c r="BZ758" i="31"/>
  <c r="CE763" i="31" s="1"/>
  <c r="BY759" i="31"/>
  <c r="BY758" i="31"/>
  <c r="DR41" i="9" l="1"/>
  <c r="DQ41" i="9"/>
  <c r="DP41" i="9"/>
  <c r="DO41" i="9"/>
  <c r="DT139" i="9" l="1"/>
  <c r="DT138" i="9"/>
  <c r="DT133" i="9"/>
  <c r="DT132" i="9"/>
  <c r="DT131" i="9"/>
  <c r="DT78" i="9"/>
  <c r="DT77" i="9"/>
  <c r="DT44" i="9"/>
  <c r="DT126" i="9"/>
  <c r="CB1488" i="31" l="1"/>
  <c r="CB1487" i="31"/>
  <c r="CB1482" i="31"/>
  <c r="CB1481" i="31"/>
  <c r="CB1471" i="31"/>
  <c r="CB1470" i="31"/>
  <c r="CB1460" i="31"/>
  <c r="CB1459" i="31"/>
  <c r="CB1449" i="31"/>
  <c r="CB1448" i="31"/>
  <c r="CB437" i="31"/>
  <c r="CB1438" i="31"/>
  <c r="CB1437" i="31"/>
  <c r="CB1427" i="31"/>
  <c r="CB1426" i="31"/>
  <c r="CB731" i="31"/>
  <c r="CB730" i="31"/>
  <c r="CB709" i="31"/>
  <c r="CB708" i="31"/>
  <c r="CB698" i="31"/>
  <c r="CB697" i="31"/>
  <c r="CB493" i="31"/>
  <c r="CB492" i="31"/>
  <c r="CB471" i="31"/>
  <c r="CB470" i="31"/>
  <c r="CB448" i="31"/>
  <c r="CB447" i="31"/>
  <c r="CB426" i="31"/>
  <c r="CB427" i="31" s="1"/>
  <c r="CB425" i="31"/>
  <c r="CB415" i="31"/>
  <c r="CB414" i="31"/>
  <c r="CB404" i="31"/>
  <c r="CB403" i="31"/>
  <c r="CB382" i="31"/>
  <c r="CB381" i="31"/>
  <c r="CB269" i="31"/>
  <c r="CB268" i="31"/>
  <c r="CB253" i="31"/>
  <c r="CG258" i="31" s="1"/>
  <c r="CB211" i="31"/>
  <c r="CB210" i="31"/>
  <c r="CB197" i="31"/>
  <c r="CB196" i="31"/>
  <c r="CB142" i="31"/>
  <c r="CB141" i="31"/>
  <c r="CG1492" i="31" l="1"/>
  <c r="CG1493" i="31"/>
  <c r="CB254" i="31"/>
  <c r="CG260" i="31" s="1"/>
  <c r="CB1489" i="31"/>
  <c r="CB76" i="31"/>
  <c r="CB75" i="31"/>
  <c r="BZ115" i="31"/>
  <c r="BY115" i="31"/>
  <c r="BX115" i="31"/>
  <c r="BW115" i="31"/>
  <c r="BZ114" i="31"/>
  <c r="BY114" i="31"/>
  <c r="CD119" i="31" s="1"/>
  <c r="BX114" i="31"/>
  <c r="BW114" i="31"/>
  <c r="CB114" i="31"/>
  <c r="CB115" i="31"/>
  <c r="CB109" i="31"/>
  <c r="CB108" i="31"/>
  <c r="CB752" i="31"/>
  <c r="CB720" i="31"/>
  <c r="CB719" i="31"/>
  <c r="CB504" i="31"/>
  <c r="CB503" i="31"/>
  <c r="CB482" i="31"/>
  <c r="CB334" i="31"/>
  <c r="CB333" i="31"/>
  <c r="CB345" i="31"/>
  <c r="CB344" i="31"/>
  <c r="CB323" i="31"/>
  <c r="CB322" i="31"/>
  <c r="CB280" i="31"/>
  <c r="CB279" i="31"/>
  <c r="CB131" i="31"/>
  <c r="CB130" i="31"/>
  <c r="CB175" i="31"/>
  <c r="CB174" i="31"/>
  <c r="CB164" i="31"/>
  <c r="CB163" i="31"/>
  <c r="BW175" i="31"/>
  <c r="BW174" i="31"/>
  <c r="CB236" i="31"/>
  <c r="CB235" i="31"/>
  <c r="CB224" i="31"/>
  <c r="CB225" i="31"/>
  <c r="CB209" i="31"/>
  <c r="CB208" i="31"/>
  <c r="CG1495" i="31" l="1"/>
  <c r="CB120" i="31"/>
  <c r="CB119" i="31"/>
  <c r="CB116" i="31"/>
  <c r="CE149" i="31" l="1"/>
  <c r="CB149" i="31"/>
  <c r="CF148" i="31"/>
  <c r="CK153" i="31" s="1"/>
  <c r="CC149" i="31"/>
  <c r="CG155" i="31" l="1"/>
  <c r="CH155" i="31"/>
  <c r="CJ155" i="31"/>
  <c r="CF149" i="31"/>
  <c r="CF147" i="31"/>
  <c r="CK152" i="31" l="1"/>
  <c r="CK155" i="31"/>
  <c r="CV35" i="11" l="1"/>
  <c r="CV27" i="11"/>
  <c r="CV24" i="11"/>
  <c r="CV25" i="11"/>
  <c r="CV36" i="11" l="1"/>
  <c r="CV22" i="11"/>
  <c r="CV28" i="11"/>
  <c r="CV23" i="11"/>
  <c r="CU10" i="11"/>
  <c r="CS220" i="10"/>
  <c r="CT215" i="10"/>
  <c r="CS215" i="10"/>
  <c r="CS212" i="10"/>
  <c r="CS207" i="10"/>
  <c r="CS202" i="10"/>
  <c r="CS197" i="10"/>
  <c r="CS190" i="10"/>
  <c r="CS189" i="10"/>
  <c r="CS188" i="10"/>
  <c r="CS187" i="10"/>
  <c r="CS160" i="10"/>
  <c r="CS155" i="10"/>
  <c r="CS149" i="10"/>
  <c r="CT141" i="10"/>
  <c r="CS139" i="10"/>
  <c r="CS150" i="10" s="1"/>
  <c r="CS118" i="10"/>
  <c r="CS131" i="10"/>
  <c r="CT130" i="10"/>
  <c r="CS108" i="10"/>
  <c r="CS102" i="10"/>
  <c r="CS95" i="10"/>
  <c r="CS96" i="10" s="1"/>
  <c r="CS98" i="10" s="1"/>
  <c r="CS87" i="10"/>
  <c r="CS85" i="10"/>
  <c r="CW86" i="10" s="1"/>
  <c r="CS34" i="10"/>
  <c r="CS97" i="10" l="1"/>
  <c r="CT149" i="10"/>
  <c r="CW61" i="10"/>
  <c r="CW60" i="10"/>
  <c r="CS161" i="10"/>
  <c r="DW51" i="9" l="1"/>
  <c r="DV51" i="9"/>
  <c r="DU51" i="9"/>
  <c r="DT51" i="9"/>
  <c r="DS41" i="9"/>
  <c r="DS28" i="9"/>
  <c r="DS27" i="9"/>
  <c r="DS23" i="9"/>
  <c r="DS22" i="9"/>
  <c r="DR44" i="9"/>
  <c r="DR37" i="9"/>
  <c r="DX77" i="9" l="1"/>
  <c r="DX78" i="9"/>
  <c r="DY126" i="9"/>
  <c r="EC37" i="9"/>
  <c r="DS24" i="9"/>
  <c r="BZ731" i="31"/>
  <c r="BZ730" i="31"/>
  <c r="BZ493" i="31"/>
  <c r="BZ492" i="31"/>
  <c r="BZ448" i="31"/>
  <c r="BZ447" i="31"/>
  <c r="BZ437" i="31"/>
  <c r="BZ426" i="31"/>
  <c r="BZ427" i="31" s="1"/>
  <c r="BZ425" i="31"/>
  <c r="BZ415" i="31"/>
  <c r="BZ414" i="31"/>
  <c r="BZ404" i="31"/>
  <c r="BZ403" i="31"/>
  <c r="BZ382" i="31"/>
  <c r="BZ381" i="31"/>
  <c r="BZ312" i="31"/>
  <c r="BZ311" i="31"/>
  <c r="BZ175" i="31"/>
  <c r="BZ109" i="31"/>
  <c r="CA71" i="31"/>
  <c r="CA70" i="31"/>
  <c r="BX482" i="31"/>
  <c r="BY482" i="31"/>
  <c r="BZ482" i="31"/>
  <c r="BZ280" i="31"/>
  <c r="BZ209" i="31"/>
  <c r="BZ211" i="31"/>
  <c r="BZ174" i="31"/>
  <c r="BZ164" i="31"/>
  <c r="BZ142" i="31"/>
  <c r="BY142" i="31"/>
  <c r="BZ1482" i="31"/>
  <c r="BZ1481" i="31"/>
  <c r="BZ1471" i="31"/>
  <c r="BZ1470" i="31"/>
  <c r="BZ1460" i="31"/>
  <c r="BZ1459" i="31"/>
  <c r="BZ1449" i="31"/>
  <c r="BZ1448" i="31"/>
  <c r="BZ1437" i="31"/>
  <c r="BZ1427" i="31"/>
  <c r="BZ1426" i="31"/>
  <c r="BZ131" i="31"/>
  <c r="BY131" i="31"/>
  <c r="BZ752" i="31"/>
  <c r="BZ720" i="31"/>
  <c r="BZ719" i="31"/>
  <c r="BZ709" i="31"/>
  <c r="BZ708" i="31"/>
  <c r="BZ504" i="31"/>
  <c r="BZ503" i="31"/>
  <c r="BY426" i="31"/>
  <c r="BY427" i="31" s="1"/>
  <c r="BZ345" i="31"/>
  <c r="BZ344" i="31"/>
  <c r="BZ334" i="31"/>
  <c r="BZ333" i="31"/>
  <c r="BZ323" i="31"/>
  <c r="BZ322" i="31"/>
  <c r="BZ279" i="31"/>
  <c r="BZ252" i="31"/>
  <c r="BZ253" i="31"/>
  <c r="CE258" i="31" s="1"/>
  <c r="BZ236" i="31"/>
  <c r="BZ235" i="31"/>
  <c r="BZ224" i="31"/>
  <c r="BZ208" i="31"/>
  <c r="BZ141" i="31"/>
  <c r="BZ130" i="31"/>
  <c r="DX75" i="9" l="1"/>
  <c r="DS67" i="9"/>
  <c r="DS66" i="9"/>
  <c r="EC126" i="9"/>
  <c r="CA72" i="31"/>
  <c r="CT83" i="10"/>
  <c r="CT84" i="10" s="1"/>
  <c r="BZ254" i="31"/>
  <c r="CR212" i="10" l="1"/>
  <c r="CS210" i="10" s="1"/>
  <c r="CS211" i="10" s="1"/>
  <c r="CR207" i="10"/>
  <c r="CR202" i="10"/>
  <c r="CR197" i="10"/>
  <c r="CR155" i="10"/>
  <c r="CS153" i="10" s="1"/>
  <c r="CS154" i="10" s="1"/>
  <c r="CR139" i="10"/>
  <c r="CS134" i="10" s="1"/>
  <c r="CR131" i="10"/>
  <c r="CS128" i="10" s="1"/>
  <c r="CS129" i="10" s="1"/>
  <c r="CR118" i="10"/>
  <c r="CR34" i="10"/>
  <c r="CS115" i="10" l="1"/>
  <c r="CS120" i="10" s="1"/>
  <c r="CR161" i="10"/>
  <c r="CS158" i="10" s="1"/>
  <c r="CS159" i="10" s="1"/>
  <c r="CS195" i="10"/>
  <c r="CS196" i="10" s="1"/>
  <c r="CS200" i="10"/>
  <c r="CS201" i="10" s="1"/>
  <c r="CS205" i="10"/>
  <c r="CS206" i="10" s="1"/>
  <c r="DQ44" i="9" l="1"/>
  <c r="DQ37" i="9"/>
  <c r="BY1481" i="31"/>
  <c r="BY1482" i="31"/>
  <c r="BY1470" i="31"/>
  <c r="BY1471" i="31"/>
  <c r="BY1459" i="31"/>
  <c r="BY1460" i="31"/>
  <c r="BY1448" i="31"/>
  <c r="BY1449" i="31"/>
  <c r="BY1437" i="31"/>
  <c r="BY1438" i="31"/>
  <c r="BY1427" i="31"/>
  <c r="BY1426" i="31"/>
  <c r="BY752" i="31"/>
  <c r="BY730" i="31"/>
  <c r="BY731" i="31"/>
  <c r="BY719" i="31"/>
  <c r="BY720" i="31"/>
  <c r="BY708" i="31"/>
  <c r="BY709" i="31"/>
  <c r="BY503" i="31"/>
  <c r="BY504" i="31"/>
  <c r="BY492" i="31"/>
  <c r="BY493" i="31"/>
  <c r="BY470" i="31"/>
  <c r="BY471" i="31"/>
  <c r="BY447" i="31"/>
  <c r="BY448" i="31"/>
  <c r="BY437" i="31"/>
  <c r="BY425" i="31"/>
  <c r="BY414" i="31"/>
  <c r="BY415" i="31"/>
  <c r="BY403" i="31"/>
  <c r="BY404" i="31"/>
  <c r="BY381" i="31"/>
  <c r="BY382" i="31"/>
  <c r="BY344" i="31"/>
  <c r="BY345" i="31"/>
  <c r="BY333" i="31"/>
  <c r="BY334" i="31"/>
  <c r="BY323" i="31"/>
  <c r="BY322" i="31"/>
  <c r="BY312" i="31"/>
  <c r="BY311" i="31"/>
  <c r="BY211" i="31"/>
  <c r="BY210" i="31"/>
  <c r="BY164" i="31"/>
  <c r="BY280" i="31"/>
  <c r="BY279" i="31"/>
  <c r="BY253" i="31"/>
  <c r="CD258" i="31" s="1"/>
  <c r="BY252" i="31"/>
  <c r="BY236" i="31"/>
  <c r="BY235" i="31"/>
  <c r="BY225" i="31"/>
  <c r="BY224" i="31"/>
  <c r="BY209" i="31"/>
  <c r="BY208" i="31"/>
  <c r="BY163" i="31" l="1"/>
  <c r="BY141" i="31"/>
  <c r="BY130" i="31"/>
  <c r="BY108" i="31"/>
  <c r="BY109" i="31"/>
  <c r="BY174" i="31"/>
  <c r="BY175" i="31"/>
  <c r="DX37" i="9" l="1"/>
  <c r="DX38" i="9" l="1"/>
  <c r="DX122" i="9" l="1"/>
  <c r="CF748" i="31"/>
  <c r="CK753" i="31" s="1"/>
  <c r="CF431" i="31"/>
  <c r="CK436" i="31" s="1"/>
  <c r="CF421" i="31"/>
  <c r="CK426" i="31" s="1"/>
  <c r="CF252" i="31"/>
  <c r="CK257" i="31" s="1"/>
  <c r="CE94" i="31" l="1"/>
  <c r="CJ100" i="31" s="1"/>
  <c r="CD94" i="31"/>
  <c r="CI100" i="31" s="1"/>
  <c r="CK158" i="31" l="1"/>
  <c r="CF158" i="31"/>
  <c r="CP163" i="31" l="1"/>
  <c r="CK163" i="31"/>
  <c r="DW59" i="9" l="1"/>
  <c r="DV59" i="9"/>
  <c r="DW126" i="9"/>
  <c r="DU59" i="9"/>
  <c r="DT59" i="9"/>
  <c r="DX44" i="9"/>
  <c r="CC876" i="31"/>
  <c r="CB876" i="31"/>
  <c r="CC94" i="31"/>
  <c r="CH100" i="31" s="1"/>
  <c r="CE876" i="31"/>
  <c r="CD876" i="31"/>
  <c r="CD738" i="31"/>
  <c r="CM138" i="31" l="1"/>
  <c r="CM171" i="31"/>
  <c r="CR177" i="31" s="1"/>
  <c r="CM196" i="31"/>
  <c r="CH232" i="31"/>
  <c r="CH365" i="31"/>
  <c r="CM370" i="31" s="1"/>
  <c r="CC387" i="31"/>
  <c r="CH705" i="31"/>
  <c r="CH716" i="31"/>
  <c r="CH330" i="31"/>
  <c r="CC138" i="31"/>
  <c r="CH138" i="31"/>
  <c r="CH171" i="31"/>
  <c r="CC221" i="31"/>
  <c r="CH319" i="31"/>
  <c r="CH341" i="31"/>
  <c r="CC365" i="31"/>
  <c r="CC366" i="31"/>
  <c r="CC422" i="31"/>
  <c r="CC478" i="31"/>
  <c r="CH500" i="31"/>
  <c r="CH295" i="31"/>
  <c r="CM300" i="31" s="1"/>
  <c r="CC388" i="31"/>
  <c r="CH411" i="31"/>
  <c r="CM417" i="31" s="1"/>
  <c r="CC433" i="31"/>
  <c r="CH444" i="31"/>
  <c r="CM450" i="31" s="1"/>
  <c r="CC727" i="31"/>
  <c r="CC749" i="31"/>
  <c r="CC160" i="31"/>
  <c r="CH215" i="31"/>
  <c r="CH205" i="31"/>
  <c r="CH276" i="31"/>
  <c r="CC205" i="31"/>
  <c r="CC114" i="31"/>
  <c r="CB1445" i="31"/>
  <c r="CB1467" i="31"/>
  <c r="CB716" i="31"/>
  <c r="CB727" i="31"/>
  <c r="CG733" i="31" s="1"/>
  <c r="CB478" i="31"/>
  <c r="CB444" i="31"/>
  <c r="CG450" i="31" s="1"/>
  <c r="CC276" i="31"/>
  <c r="CB433" i="31"/>
  <c r="CG439" i="31" s="1"/>
  <c r="CB422" i="31"/>
  <c r="CG428" i="31" s="1"/>
  <c r="CB411" i="31"/>
  <c r="CG417" i="31" s="1"/>
  <c r="CB388" i="31"/>
  <c r="CG393" i="31" s="1"/>
  <c r="CB400" i="31"/>
  <c r="CB366" i="31"/>
  <c r="CB378" i="31"/>
  <c r="CG384" i="31" s="1"/>
  <c r="CB341" i="31"/>
  <c r="CB319" i="31"/>
  <c r="CB276" i="31"/>
  <c r="CB215" i="31"/>
  <c r="CB330" i="31"/>
  <c r="CB365" i="31"/>
  <c r="CB387" i="31"/>
  <c r="CG392" i="31" s="1"/>
  <c r="CC500" i="31"/>
  <c r="CC330" i="31"/>
  <c r="CC171" i="31"/>
  <c r="CC215" i="31"/>
  <c r="CC232" i="31"/>
  <c r="CC319" i="31"/>
  <c r="CC341" i="31"/>
  <c r="CC378" i="31"/>
  <c r="CC400" i="31"/>
  <c r="CC411" i="31"/>
  <c r="CC444" i="31"/>
  <c r="CC705" i="31"/>
  <c r="CC716" i="31"/>
  <c r="CB1423" i="31"/>
  <c r="CB1456" i="31"/>
  <c r="CB1478" i="31"/>
  <c r="CB221" i="31"/>
  <c r="CB160" i="31"/>
  <c r="CB489" i="31"/>
  <c r="CG495" i="31" s="1"/>
  <c r="CB500" i="31"/>
  <c r="CB749" i="31"/>
  <c r="CC489" i="31"/>
  <c r="CC1487" i="31"/>
  <c r="CC23" i="31" s="1"/>
  <c r="CB138" i="31"/>
  <c r="CB1434" i="31"/>
  <c r="CH177" i="31" l="1"/>
  <c r="CG347" i="31"/>
  <c r="CH506" i="31"/>
  <c r="CM213" i="31"/>
  <c r="CM347" i="31"/>
  <c r="CM336" i="31"/>
  <c r="CM722" i="31"/>
  <c r="CM238" i="31"/>
  <c r="CM282" i="31"/>
  <c r="CM506" i="31"/>
  <c r="CM325" i="31"/>
  <c r="CM711" i="31"/>
  <c r="CM177" i="31"/>
  <c r="CH417" i="31"/>
  <c r="CH347" i="31"/>
  <c r="CH238" i="31"/>
  <c r="CH711" i="31"/>
  <c r="CH325" i="31"/>
  <c r="CH336" i="31"/>
  <c r="CH282" i="31"/>
  <c r="CH722" i="31"/>
  <c r="CG325" i="31"/>
  <c r="CG406" i="31"/>
  <c r="CH213" i="31"/>
  <c r="CH450" i="31"/>
  <c r="CH144" i="31"/>
  <c r="CM144" i="31"/>
  <c r="CH388" i="31"/>
  <c r="CM160" i="31"/>
  <c r="CG1440" i="31"/>
  <c r="CG755" i="31"/>
  <c r="CG227" i="31"/>
  <c r="CG1484" i="31"/>
  <c r="CG1429" i="31"/>
  <c r="CG722" i="31"/>
  <c r="CG1451" i="31"/>
  <c r="CG506" i="31"/>
  <c r="CG1462" i="31"/>
  <c r="CG336" i="31"/>
  <c r="CG282" i="31"/>
  <c r="CG484" i="31"/>
  <c r="CG1473" i="31"/>
  <c r="CC455" i="31"/>
  <c r="CH114" i="31"/>
  <c r="CM119" i="31" s="1"/>
  <c r="CH221" i="31"/>
  <c r="CC454" i="31"/>
  <c r="CC389" i="31"/>
  <c r="CH370" i="31"/>
  <c r="CC367" i="31"/>
  <c r="CC119" i="31"/>
  <c r="CH1487" i="31"/>
  <c r="CH749" i="31"/>
  <c r="CH727" i="31"/>
  <c r="CH433" i="31"/>
  <c r="CH400" i="31"/>
  <c r="CH478" i="31"/>
  <c r="CH422" i="31"/>
  <c r="CH160" i="31"/>
  <c r="CH387" i="31"/>
  <c r="CH300" i="31"/>
  <c r="CH489" i="31"/>
  <c r="CM495" i="31" s="1"/>
  <c r="CH378" i="31"/>
  <c r="CH366" i="31"/>
  <c r="CM371" i="31" s="1"/>
  <c r="CM372" i="31" s="1"/>
  <c r="CG371" i="31"/>
  <c r="CH196" i="31"/>
  <c r="CG370" i="31"/>
  <c r="CB367" i="31"/>
  <c r="CC56" i="31"/>
  <c r="DU88" i="9" s="1"/>
  <c r="CB56" i="31"/>
  <c r="CB389" i="31"/>
  <c r="CB57" i="31"/>
  <c r="CM1492" i="31" l="1"/>
  <c r="CG62" i="31"/>
  <c r="DT89" i="9"/>
  <c r="CG61" i="31"/>
  <c r="DT88" i="9"/>
  <c r="CH166" i="31"/>
  <c r="CM166" i="31"/>
  <c r="CH484" i="31"/>
  <c r="CM484" i="31"/>
  <c r="CM406" i="31"/>
  <c r="CH733" i="31"/>
  <c r="CM733" i="31"/>
  <c r="CH384" i="31"/>
  <c r="CM384" i="31"/>
  <c r="CH428" i="31"/>
  <c r="CM428" i="31"/>
  <c r="CH439" i="31"/>
  <c r="CM439" i="31"/>
  <c r="CH755" i="31"/>
  <c r="CM755" i="31"/>
  <c r="CH454" i="31"/>
  <c r="CM459" i="31" s="1"/>
  <c r="CM392" i="31"/>
  <c r="CM227" i="31"/>
  <c r="CH393" i="31"/>
  <c r="CM393" i="31"/>
  <c r="CM394" i="31" s="1"/>
  <c r="CH495" i="31"/>
  <c r="CH227" i="31"/>
  <c r="CH406" i="31"/>
  <c r="CH1492" i="31"/>
  <c r="CH389" i="31"/>
  <c r="CM395" i="31" s="1"/>
  <c r="CH119" i="31"/>
  <c r="CG395" i="31"/>
  <c r="CC456" i="31"/>
  <c r="CH56" i="31"/>
  <c r="DZ88" i="9" s="1"/>
  <c r="CH367" i="31"/>
  <c r="CM373" i="31" s="1"/>
  <c r="CH392" i="31"/>
  <c r="CH371" i="31"/>
  <c r="CG373" i="31"/>
  <c r="CB58" i="31"/>
  <c r="DT90" i="9" l="1"/>
  <c r="CH395" i="31"/>
  <c r="CG64" i="31"/>
  <c r="CM61" i="31"/>
  <c r="CH61" i="31"/>
  <c r="CH373" i="31"/>
  <c r="CQ118" i="10"/>
  <c r="CR115" i="10" l="1"/>
  <c r="CR116" i="10" s="1"/>
  <c r="CQ160" i="10"/>
  <c r="DP62" i="9"/>
  <c r="CQ212" i="10"/>
  <c r="CQ207" i="10"/>
  <c r="CQ202" i="10"/>
  <c r="CQ197" i="10"/>
  <c r="CQ155" i="10"/>
  <c r="CQ139" i="10"/>
  <c r="CQ140" i="10" s="1"/>
  <c r="CS25" i="11"/>
  <c r="CS18" i="11"/>
  <c r="CS17" i="11"/>
  <c r="CT17" i="11" s="1"/>
  <c r="CS22" i="11"/>
  <c r="CS50" i="11"/>
  <c r="CS45" i="11"/>
  <c r="CS39" i="11"/>
  <c r="CS47" i="11"/>
  <c r="CS46" i="11"/>
  <c r="CS44" i="11"/>
  <c r="CS43" i="11"/>
  <c r="CS42" i="11"/>
  <c r="CS40" i="11"/>
  <c r="CS32" i="11"/>
  <c r="CS34" i="11"/>
  <c r="CS33" i="11"/>
  <c r="CS23" i="11"/>
  <c r="CS24" i="11"/>
  <c r="CS26" i="11"/>
  <c r="CS16" i="11"/>
  <c r="CS15" i="11"/>
  <c r="CS12" i="11"/>
  <c r="CQ131" i="10"/>
  <c r="CQ125" i="10"/>
  <c r="CQ138" i="10" l="1"/>
  <c r="CT22" i="11"/>
  <c r="CT12" i="11"/>
  <c r="CU12" i="11" s="1"/>
  <c r="CT16" i="11"/>
  <c r="CT24" i="11"/>
  <c r="CU24" i="11" s="1"/>
  <c r="CT34" i="11"/>
  <c r="CT32" i="11"/>
  <c r="CT42" i="11"/>
  <c r="CU42" i="11" s="1"/>
  <c r="CT44" i="11"/>
  <c r="CT47" i="11"/>
  <c r="CU47" i="11" s="1"/>
  <c r="CT45" i="11"/>
  <c r="CU45" i="11" s="1"/>
  <c r="CT18" i="11"/>
  <c r="CU18" i="11" s="1"/>
  <c r="CT15" i="11"/>
  <c r="CT26" i="11"/>
  <c r="CU26" i="11" s="1"/>
  <c r="CT23" i="11"/>
  <c r="CU23" i="11" s="1"/>
  <c r="CT33" i="11"/>
  <c r="CU33" i="11" s="1"/>
  <c r="CT40" i="11"/>
  <c r="CT43" i="11"/>
  <c r="CU43" i="11" s="1"/>
  <c r="CT46" i="11"/>
  <c r="CT39" i="11"/>
  <c r="CT50" i="11"/>
  <c r="CU50" i="11" s="1"/>
  <c r="CT25" i="11"/>
  <c r="CU25" i="11" s="1"/>
  <c r="CQ135" i="10"/>
  <c r="CR200" i="10"/>
  <c r="CR201" i="10" s="1"/>
  <c r="CR195" i="10"/>
  <c r="CR196" i="10" s="1"/>
  <c r="CR205" i="10"/>
  <c r="CR206" i="10" s="1"/>
  <c r="CQ108" i="10"/>
  <c r="CQ34" i="10"/>
  <c r="CU16" i="11" l="1"/>
  <c r="CU34" i="11"/>
  <c r="CU46" i="11"/>
  <c r="CU40" i="11"/>
  <c r="CU15" i="11"/>
  <c r="CU44" i="11"/>
  <c r="CU32" i="11"/>
  <c r="CU39" i="11"/>
  <c r="CU22" i="11"/>
  <c r="CQ161" i="10"/>
  <c r="DP44" i="9" l="1"/>
  <c r="DP37" i="9"/>
  <c r="BX1481" i="31"/>
  <c r="BX1482" i="31"/>
  <c r="BX1470" i="31"/>
  <c r="BX1471" i="31"/>
  <c r="BX1459" i="31"/>
  <c r="BX1460" i="31"/>
  <c r="BX1448" i="31"/>
  <c r="BX1449" i="31"/>
  <c r="BX1437" i="31"/>
  <c r="BX1438" i="31"/>
  <c r="BX1426" i="31"/>
  <c r="BX1427" i="31"/>
  <c r="BX752" i="31"/>
  <c r="BW752" i="31"/>
  <c r="BX730" i="31"/>
  <c r="BX731" i="31"/>
  <c r="BX719" i="31"/>
  <c r="BX720" i="31"/>
  <c r="BX708" i="31"/>
  <c r="BX709" i="31"/>
  <c r="BX503" i="31"/>
  <c r="BX504" i="31"/>
  <c r="BX492" i="31"/>
  <c r="BX493" i="31"/>
  <c r="BX447" i="31"/>
  <c r="BX448" i="31"/>
  <c r="BX437" i="31"/>
  <c r="BX425" i="31"/>
  <c r="BX426" i="31"/>
  <c r="BX427" i="31" s="1"/>
  <c r="BX414" i="31"/>
  <c r="BX415" i="31"/>
  <c r="BX403" i="31"/>
  <c r="BX404" i="31"/>
  <c r="BX381" i="31"/>
  <c r="BX382" i="31"/>
  <c r="BX344" i="31"/>
  <c r="BX345" i="31"/>
  <c r="BX333" i="31"/>
  <c r="BX334" i="31"/>
  <c r="BX322" i="31"/>
  <c r="BX323" i="31"/>
  <c r="BX311" i="31"/>
  <c r="BX312" i="31"/>
  <c r="BX279" i="31"/>
  <c r="BX280" i="31"/>
  <c r="BX252" i="31"/>
  <c r="BX253" i="31"/>
  <c r="BX235" i="31"/>
  <c r="BX236" i="31"/>
  <c r="BX224" i="31"/>
  <c r="BX225" i="31"/>
  <c r="BX208" i="31"/>
  <c r="BX209" i="31"/>
  <c r="BX210" i="31"/>
  <c r="BX211" i="31"/>
  <c r="CC258" i="31" l="1"/>
  <c r="BX72" i="31"/>
  <c r="BX175" i="31"/>
  <c r="BX174" i="31"/>
  <c r="BX164" i="31"/>
  <c r="BX163" i="31"/>
  <c r="BX142" i="31"/>
  <c r="BX141" i="31"/>
  <c r="BX131" i="31"/>
  <c r="BX130" i="31"/>
  <c r="BX109" i="31"/>
  <c r="BX108" i="31"/>
  <c r="BX105" i="31"/>
  <c r="CH467" i="31" l="1"/>
  <c r="CM473" i="31" s="1"/>
  <c r="CH193" i="31"/>
  <c r="CH254" i="31"/>
  <c r="CM260" i="31" s="1"/>
  <c r="CH197" i="31"/>
  <c r="CC193" i="31"/>
  <c r="CC467" i="31"/>
  <c r="CH199" i="31" l="1"/>
  <c r="CH260" i="31"/>
  <c r="CH473" i="31"/>
  <c r="CM199" i="31" l="1"/>
  <c r="CM197" i="31"/>
  <c r="CM198" i="31" s="1"/>
  <c r="DO26" i="9" l="1"/>
  <c r="DO37" i="9"/>
  <c r="DM26" i="9"/>
  <c r="DM37" i="9"/>
  <c r="DT76" i="9" l="1"/>
  <c r="DS26" i="9"/>
  <c r="DS65" i="9" l="1"/>
  <c r="CT174" i="10" s="1"/>
  <c r="DX76" i="9"/>
  <c r="CT85" i="10"/>
  <c r="CT86" i="10" s="1"/>
  <c r="DS29" i="9"/>
  <c r="DS68" i="9" l="1"/>
  <c r="CT175" i="10" s="1"/>
  <c r="DX79" i="9"/>
  <c r="DO62" i="9" l="1"/>
  <c r="CP139" i="10"/>
  <c r="CP140" i="10" s="1"/>
  <c r="CP220" i="10"/>
  <c r="CP215" i="10"/>
  <c r="CP212" i="10"/>
  <c r="CQ210" i="10" s="1"/>
  <c r="CQ211" i="10" s="1"/>
  <c r="CP207" i="10"/>
  <c r="CQ205" i="10" s="1"/>
  <c r="CQ206" i="10" s="1"/>
  <c r="CP202" i="10"/>
  <c r="CQ200" i="10" s="1"/>
  <c r="CQ201" i="10" s="1"/>
  <c r="CP197" i="10"/>
  <c r="CP160" i="10"/>
  <c r="CP138" i="10" s="1"/>
  <c r="CP155" i="10"/>
  <c r="CP135" i="10"/>
  <c r="CR35" i="11"/>
  <c r="CR27" i="11"/>
  <c r="CP131" i="10"/>
  <c r="CQ128" i="10" s="1"/>
  <c r="CQ129" i="10" s="1"/>
  <c r="CP125" i="10"/>
  <c r="CP118" i="10"/>
  <c r="CR102" i="10"/>
  <c r="CQ102" i="10"/>
  <c r="CP95" i="10"/>
  <c r="CP96" i="10" s="1"/>
  <c r="CP98" i="10" s="1"/>
  <c r="CP87" i="10"/>
  <c r="CP85" i="10"/>
  <c r="CS35" i="11" l="1"/>
  <c r="CS27" i="11"/>
  <c r="CT27" i="11" s="1"/>
  <c r="CP142" i="10"/>
  <c r="CP34" i="10"/>
  <c r="CT35" i="11" l="1"/>
  <c r="CU27" i="11"/>
  <c r="CP161" i="10"/>
  <c r="CP97" i="10"/>
  <c r="CU35" i="11" l="1"/>
  <c r="CU36" i="11" l="1"/>
  <c r="BG455" i="31" l="1"/>
  <c r="BG454" i="31"/>
  <c r="BB455" i="31"/>
  <c r="BB454" i="31"/>
  <c r="AW455" i="31"/>
  <c r="AW454" i="31"/>
  <c r="AW456" i="31" l="1"/>
  <c r="BB456" i="31"/>
  <c r="BG456" i="31"/>
  <c r="BW1482" i="31" l="1"/>
  <c r="BW1481" i="31"/>
  <c r="BW1471" i="31"/>
  <c r="BW1470" i="31"/>
  <c r="BW1460" i="31"/>
  <c r="BW1459" i="31"/>
  <c r="BW1449" i="31"/>
  <c r="BW1448" i="31"/>
  <c r="BW1438" i="31"/>
  <c r="BW1437" i="31"/>
  <c r="BW1427" i="31"/>
  <c r="BW1426" i="31"/>
  <c r="BW731" i="31"/>
  <c r="BW730" i="31"/>
  <c r="BW493" i="31"/>
  <c r="BW492" i="31"/>
  <c r="BW387" i="31"/>
  <c r="CB392" i="31" s="1"/>
  <c r="BW448" i="31"/>
  <c r="BW447" i="31"/>
  <c r="BW437" i="31"/>
  <c r="BW426" i="31"/>
  <c r="BW427" i="31" s="1"/>
  <c r="BW425" i="31"/>
  <c r="BW415" i="31"/>
  <c r="BW414" i="31"/>
  <c r="BW404" i="31"/>
  <c r="BW403" i="31"/>
  <c r="BU387" i="31"/>
  <c r="BW382" i="31"/>
  <c r="BW381" i="31"/>
  <c r="BW312" i="31"/>
  <c r="BW311" i="31"/>
  <c r="BW296" i="31"/>
  <c r="BW295" i="31"/>
  <c r="BU295" i="31"/>
  <c r="BW253" i="31"/>
  <c r="CB258" i="31" s="1"/>
  <c r="BW215" i="31"/>
  <c r="BW109" i="31"/>
  <c r="BW108" i="31"/>
  <c r="BU885" i="31" l="1"/>
  <c r="BW720" i="31"/>
  <c r="BW719" i="31"/>
  <c r="BW709" i="31"/>
  <c r="BW708" i="31"/>
  <c r="CB467" i="31" l="1"/>
  <c r="BW504" i="31"/>
  <c r="BW503" i="31"/>
  <c r="BW482" i="31"/>
  <c r="BW471" i="31"/>
  <c r="BW470" i="31"/>
  <c r="BW345" i="31"/>
  <c r="BW344" i="31"/>
  <c r="BW334" i="31"/>
  <c r="BW333" i="31"/>
  <c r="BW323" i="31"/>
  <c r="BW322" i="31"/>
  <c r="BW280" i="31"/>
  <c r="BW279" i="31"/>
  <c r="BW252" i="31"/>
  <c r="BU253" i="31"/>
  <c r="BZ258" i="31" s="1"/>
  <c r="BW236" i="31"/>
  <c r="BW235" i="31"/>
  <c r="BW225" i="31"/>
  <c r="BW224" i="31"/>
  <c r="BW211" i="31"/>
  <c r="BW210" i="31"/>
  <c r="BW209" i="31"/>
  <c r="BW208" i="31"/>
  <c r="BW164" i="31"/>
  <c r="BW163" i="31"/>
  <c r="BW142" i="31"/>
  <c r="BW141" i="31"/>
  <c r="BW131" i="31"/>
  <c r="BW130" i="31"/>
  <c r="BU114" i="31"/>
  <c r="BR81" i="31"/>
  <c r="BR114" i="31"/>
  <c r="BR758" i="31"/>
  <c r="DS33" i="9"/>
  <c r="DS36" i="9"/>
  <c r="DO44" i="9"/>
  <c r="DM44" i="9"/>
  <c r="DS37" i="9"/>
  <c r="DJ24" i="9"/>
  <c r="CE743" i="31" l="1"/>
  <c r="CE741" i="31"/>
  <c r="BX738" i="31"/>
  <c r="DM139" i="9"/>
  <c r="DM138" i="9"/>
  <c r="DM142" i="9"/>
  <c r="DM136" i="9"/>
  <c r="DM60" i="9"/>
  <c r="CR160" i="10"/>
  <c r="CQ35" i="11"/>
  <c r="CQ27" i="11"/>
  <c r="CQ25" i="11"/>
  <c r="CC738" i="31" l="1"/>
  <c r="BZ738" i="31"/>
  <c r="BY738" i="31"/>
  <c r="CD744" i="31" s="1"/>
  <c r="CQ28" i="11"/>
  <c r="CN212" i="10"/>
  <c r="CN207" i="10"/>
  <c r="CN202" i="10"/>
  <c r="CN197" i="10"/>
  <c r="CN155" i="10"/>
  <c r="BT138" i="10"/>
  <c r="CN149" i="10"/>
  <c r="CO141" i="10"/>
  <c r="CN139" i="10"/>
  <c r="CN150" i="10" s="1"/>
  <c r="CN131" i="10"/>
  <c r="CM131" i="10"/>
  <c r="CO130" i="10"/>
  <c r="CN118" i="10"/>
  <c r="CN108" i="10"/>
  <c r="CN109" i="10" s="1"/>
  <c r="CN34" i="10"/>
  <c r="CT11" i="10"/>
  <c r="CS11" i="10"/>
  <c r="CR11" i="10"/>
  <c r="CP11" i="10"/>
  <c r="CO11" i="10"/>
  <c r="CC744" i="31" l="1"/>
  <c r="CO149" i="10"/>
  <c r="CO138" i="10"/>
  <c r="CA738" i="31"/>
  <c r="CN140" i="10"/>
  <c r="CN146" i="10" l="1"/>
  <c r="CN147" i="10" s="1"/>
  <c r="CN148" i="10" s="1"/>
  <c r="CA92" i="31" l="1"/>
  <c r="CA93" i="31"/>
  <c r="BZ94" i="31"/>
  <c r="CE100" i="31" s="1"/>
  <c r="B96" i="31"/>
  <c r="CA94" i="31" l="1"/>
  <c r="DN36" i="9" l="1"/>
  <c r="DN28" i="9"/>
  <c r="DN27" i="9"/>
  <c r="BV1466" i="31"/>
  <c r="BV1465" i="31"/>
  <c r="BV1455" i="31"/>
  <c r="BV1454" i="31"/>
  <c r="BV1444" i="31"/>
  <c r="BV1443" i="31"/>
  <c r="BV1433" i="31"/>
  <c r="BV1432" i="31"/>
  <c r="BV1422" i="31"/>
  <c r="BV1421" i="31"/>
  <c r="BR759" i="31"/>
  <c r="BS759" i="31"/>
  <c r="BS758" i="31"/>
  <c r="BV726" i="31"/>
  <c r="BV725" i="31"/>
  <c r="BV715" i="31"/>
  <c r="BV714" i="31"/>
  <c r="BV703" i="31"/>
  <c r="BV704" i="31"/>
  <c r="BV499" i="31"/>
  <c r="BV498" i="31"/>
  <c r="BV477" i="31"/>
  <c r="BV488" i="31"/>
  <c r="BV487" i="31"/>
  <c r="BV410" i="31"/>
  <c r="BV409" i="31"/>
  <c r="BV421" i="31"/>
  <c r="BV420" i="31"/>
  <c r="BV432" i="31"/>
  <c r="BV431" i="31"/>
  <c r="BV443" i="31"/>
  <c r="BV442" i="31"/>
  <c r="BV399" i="31"/>
  <c r="BV398" i="31"/>
  <c r="BV377" i="31"/>
  <c r="BV376" i="31"/>
  <c r="BV329" i="31"/>
  <c r="BV328" i="31"/>
  <c r="BV307" i="31"/>
  <c r="BV306" i="31"/>
  <c r="BV318" i="31"/>
  <c r="BV317" i="31"/>
  <c r="BV275" i="31"/>
  <c r="BV274" i="31"/>
  <c r="BT252" i="31"/>
  <c r="BS252" i="31"/>
  <c r="BR252" i="31"/>
  <c r="BU252" i="31"/>
  <c r="BV159" i="31"/>
  <c r="BV170" i="31"/>
  <c r="BV169" i="31"/>
  <c r="BV137" i="31"/>
  <c r="BV136" i="31"/>
  <c r="BV126" i="31"/>
  <c r="BV125" i="31"/>
  <c r="BV104" i="31"/>
  <c r="BV82" i="31" s="1"/>
  <c r="BV103" i="31"/>
  <c r="BV81" i="31" s="1"/>
  <c r="BU109" i="31"/>
  <c r="BU108" i="31"/>
  <c r="BP108" i="31"/>
  <c r="DL143" i="9"/>
  <c r="DL144" i="9" s="1"/>
  <c r="DL139" i="9"/>
  <c r="DL138" i="9"/>
  <c r="DM140" i="9" l="1"/>
  <c r="DM141" i="9" s="1"/>
  <c r="BV1456" i="31"/>
  <c r="BV252" i="31"/>
  <c r="BV500" i="31"/>
  <c r="BV433" i="31"/>
  <c r="BV444" i="31"/>
  <c r="DM41" i="9"/>
  <c r="DL44" i="9" l="1"/>
  <c r="BU164" i="31"/>
  <c r="BT503" i="31"/>
  <c r="BT504" i="31"/>
  <c r="BS504" i="31"/>
  <c r="BS503" i="31"/>
  <c r="EW50" i="9" l="1"/>
  <c r="CM212" i="10" l="1"/>
  <c r="CN210" i="10" s="1"/>
  <c r="CN211" i="10" s="1"/>
  <c r="CM207" i="10"/>
  <c r="CN205" i="10" s="1"/>
  <c r="CN206" i="10" s="1"/>
  <c r="CM202" i="10"/>
  <c r="CN200" i="10" s="1"/>
  <c r="CN201" i="10" s="1"/>
  <c r="CM197" i="10"/>
  <c r="CN195" i="10" s="1"/>
  <c r="CN196" i="10" s="1"/>
  <c r="CM155" i="10"/>
  <c r="CN153" i="10" s="1"/>
  <c r="CN154" i="10" s="1"/>
  <c r="CL155" i="10"/>
  <c r="CM139" i="10"/>
  <c r="CM150" i="10" s="1"/>
  <c r="DL62" i="9"/>
  <c r="CM118" i="10"/>
  <c r="CL118" i="10"/>
  <c r="CO117" i="10"/>
  <c r="CO18" i="11"/>
  <c r="CP18" i="11" s="1"/>
  <c r="CL103" i="10" l="1"/>
  <c r="CS116" i="10"/>
  <c r="CT117" i="10"/>
  <c r="CM140" i="10"/>
  <c r="CN134" i="10"/>
  <c r="CM153" i="10"/>
  <c r="CM154" i="10" s="1"/>
  <c r="CM115" i="10"/>
  <c r="CM116" i="10" s="1"/>
  <c r="CM34" i="10"/>
  <c r="DL41" i="9"/>
  <c r="DL37" i="9"/>
  <c r="DL26" i="9"/>
  <c r="CY117" i="10" l="1"/>
  <c r="CN158" i="10"/>
  <c r="CN159" i="10" s="1"/>
  <c r="DN26" i="9"/>
  <c r="CM120" i="10"/>
  <c r="BT1481" i="31"/>
  <c r="BT1482" i="31"/>
  <c r="BT1470" i="31"/>
  <c r="BT1471" i="31"/>
  <c r="BT1459" i="31"/>
  <c r="BT1460" i="31"/>
  <c r="BT1426" i="31"/>
  <c r="BT1427" i="31"/>
  <c r="BT1448" i="31"/>
  <c r="BT1449" i="31"/>
  <c r="BT1437" i="31"/>
  <c r="BT1438" i="31"/>
  <c r="BT730" i="31"/>
  <c r="BT731" i="31"/>
  <c r="BT719" i="31"/>
  <c r="BT720" i="31"/>
  <c r="BT708" i="31"/>
  <c r="BT709" i="31"/>
  <c r="BT492" i="31"/>
  <c r="BT482" i="31"/>
  <c r="BT448" i="31"/>
  <c r="BT447" i="31"/>
  <c r="BT437" i="31"/>
  <c r="BT415" i="31"/>
  <c r="BT414" i="31"/>
  <c r="BT403" i="31"/>
  <c r="BT404" i="31"/>
  <c r="BT382" i="31"/>
  <c r="BT381" i="31"/>
  <c r="BT333" i="31"/>
  <c r="BT322" i="31"/>
  <c r="BT323" i="31"/>
  <c r="BT311" i="31"/>
  <c r="BT312" i="31"/>
  <c r="BT279" i="31"/>
  <c r="BT280" i="31"/>
  <c r="BT253" i="31"/>
  <c r="BY258" i="31" s="1"/>
  <c r="BU236" i="31"/>
  <c r="BR236" i="31"/>
  <c r="BS236" i="31"/>
  <c r="BT236" i="31"/>
  <c r="BT81" i="31"/>
  <c r="BT82" i="31"/>
  <c r="BS81" i="31"/>
  <c r="BS82" i="31"/>
  <c r="BR82" i="31"/>
  <c r="BR83" i="31" s="1"/>
  <c r="BT142" i="31"/>
  <c r="BT141" i="31"/>
  <c r="BT131" i="31"/>
  <c r="BT130" i="31"/>
  <c r="BT109" i="31"/>
  <c r="BT108" i="31"/>
  <c r="BP758" i="31" l="1"/>
  <c r="BF759" i="31"/>
  <c r="BG759" i="31" s="1"/>
  <c r="BM759" i="31"/>
  <c r="BP759" i="31"/>
  <c r="BO759" i="31"/>
  <c r="BN759" i="31"/>
  <c r="BK759" i="31"/>
  <c r="BJ759" i="31"/>
  <c r="BI759" i="31"/>
  <c r="BH759" i="31"/>
  <c r="BS730" i="31"/>
  <c r="BS253" i="31"/>
  <c r="BX258" i="31" s="1"/>
  <c r="BR253" i="31"/>
  <c r="BW258" i="31" s="1"/>
  <c r="BS708" i="31"/>
  <c r="BV253" i="31" l="1"/>
  <c r="BV254" i="31" l="1"/>
  <c r="DS34" i="9" l="1"/>
  <c r="CT10" i="11" l="1"/>
  <c r="CR10" i="11"/>
  <c r="DO120" i="9"/>
  <c r="CQ215" i="10"/>
  <c r="DP126" i="9"/>
  <c r="DP119" i="9"/>
  <c r="DP51" i="9"/>
  <c r="DO126" i="9"/>
  <c r="DO119" i="9"/>
  <c r="DO51" i="9"/>
  <c r="DR126" i="9"/>
  <c r="DQ126" i="9"/>
  <c r="DR120" i="9"/>
  <c r="DQ51" i="9"/>
  <c r="DR51" i="9" l="1"/>
  <c r="DQ120" i="9"/>
  <c r="DP120" i="9"/>
  <c r="CL212" i="10"/>
  <c r="CM210" i="10" s="1"/>
  <c r="CM211" i="10" s="1"/>
  <c r="CL207" i="10"/>
  <c r="CM205" i="10" s="1"/>
  <c r="CM206" i="10" s="1"/>
  <c r="CL202" i="10"/>
  <c r="CM200" i="10" s="1"/>
  <c r="CM201" i="10" s="1"/>
  <c r="CL197" i="10"/>
  <c r="CM195" i="10" s="1"/>
  <c r="CM196" i="10" s="1"/>
  <c r="CL139" i="10"/>
  <c r="CN50" i="11"/>
  <c r="CN47" i="11"/>
  <c r="CN46" i="11"/>
  <c r="CN45" i="11"/>
  <c r="CN44" i="11"/>
  <c r="CN43" i="11"/>
  <c r="CN42" i="11"/>
  <c r="CN40" i="11"/>
  <c r="CN39" i="11"/>
  <c r="CN33" i="11"/>
  <c r="CN32" i="11"/>
  <c r="CM27" i="11"/>
  <c r="CM28" i="11" s="1"/>
  <c r="CM134" i="10" l="1"/>
  <c r="CL150" i="10"/>
  <c r="CO32" i="11"/>
  <c r="CO33" i="11"/>
  <c r="CP33" i="11" s="1"/>
  <c r="CO39" i="11"/>
  <c r="CO42" i="11"/>
  <c r="CP42" i="11" s="1"/>
  <c r="CO44" i="11"/>
  <c r="CO46" i="11"/>
  <c r="CO50" i="11"/>
  <c r="CP50" i="11" s="1"/>
  <c r="CO40" i="11"/>
  <c r="CO43" i="11"/>
  <c r="CP43" i="11" s="1"/>
  <c r="CO45" i="11"/>
  <c r="CP45" i="11" s="1"/>
  <c r="CO47" i="11"/>
  <c r="CP47" i="11" s="1"/>
  <c r="CL135" i="10"/>
  <c r="CN25" i="11"/>
  <c r="CN27" i="11"/>
  <c r="CO27" i="11" s="1"/>
  <c r="CN26" i="11"/>
  <c r="CN24" i="11"/>
  <c r="CN23" i="11"/>
  <c r="CN22" i="11"/>
  <c r="CN16" i="11"/>
  <c r="CN15" i="11"/>
  <c r="CN12" i="11"/>
  <c r="CL131" i="10"/>
  <c r="CL125" i="10"/>
  <c r="CL34" i="10"/>
  <c r="CA748" i="31"/>
  <c r="DC500" i="31" l="1"/>
  <c r="CI749" i="31"/>
  <c r="CP40" i="11"/>
  <c r="CP46" i="11"/>
  <c r="CP44" i="11"/>
  <c r="CP39" i="11"/>
  <c r="CM135" i="10"/>
  <c r="CM158" i="10"/>
  <c r="CM159" i="10" s="1"/>
  <c r="CE749" i="31"/>
  <c r="CI500" i="31"/>
  <c r="CD749" i="31"/>
  <c r="CF747" i="31"/>
  <c r="CD500" i="31"/>
  <c r="CO16" i="11"/>
  <c r="CO26" i="11"/>
  <c r="CP26" i="11" s="1"/>
  <c r="CO15" i="11"/>
  <c r="CO22" i="11"/>
  <c r="CO24" i="11"/>
  <c r="CP24" i="11" s="1"/>
  <c r="CP27" i="11"/>
  <c r="CP32" i="11"/>
  <c r="CO12" i="11"/>
  <c r="CP12" i="11" s="1"/>
  <c r="CO23" i="11"/>
  <c r="CP23" i="11" s="1"/>
  <c r="CO25" i="11"/>
  <c r="CP25" i="11" s="1"/>
  <c r="CA747" i="31"/>
  <c r="CA431" i="31"/>
  <c r="CA421" i="31"/>
  <c r="BX254" i="31"/>
  <c r="CC260" i="31" s="1"/>
  <c r="BW254" i="31"/>
  <c r="CB260" i="31" s="1"/>
  <c r="DH506" i="31" l="1"/>
  <c r="CP15" i="11"/>
  <c r="DC506" i="31"/>
  <c r="DH232" i="31"/>
  <c r="DM238" i="31" s="1"/>
  <c r="CN506" i="31"/>
  <c r="CN755" i="31"/>
  <c r="CP16" i="11"/>
  <c r="CS215" i="31"/>
  <c r="CP230" i="31"/>
  <c r="CI506" i="31"/>
  <c r="CP231" i="31"/>
  <c r="CJ749" i="31"/>
  <c r="CN215" i="31"/>
  <c r="CP339" i="31"/>
  <c r="CP340" i="31"/>
  <c r="CU345" i="31" s="1"/>
  <c r="CA426" i="31"/>
  <c r="CA427" i="31" s="1"/>
  <c r="CF426" i="31"/>
  <c r="CF427" i="31" s="1"/>
  <c r="CF752" i="31"/>
  <c r="CI755" i="31"/>
  <c r="CJ341" i="31"/>
  <c r="CI171" i="31"/>
  <c r="CN177" i="31" s="1"/>
  <c r="CK230" i="31"/>
  <c r="CK340" i="31"/>
  <c r="CK339" i="31"/>
  <c r="CI422" i="31"/>
  <c r="CN428" i="31" s="1"/>
  <c r="CK747" i="31"/>
  <c r="CM138" i="10"/>
  <c r="CM143" i="10" s="1"/>
  <c r="CP22" i="11"/>
  <c r="CI232" i="31"/>
  <c r="CI341" i="31"/>
  <c r="CE221" i="31"/>
  <c r="CI215" i="31"/>
  <c r="CI205" i="31"/>
  <c r="CF220" i="31"/>
  <c r="CJ232" i="31"/>
  <c r="CE232" i="31"/>
  <c r="CF219" i="31"/>
  <c r="CF749" i="31"/>
  <c r="CD422" i="31"/>
  <c r="CE341" i="31"/>
  <c r="CF340" i="31"/>
  <c r="CD341" i="31"/>
  <c r="CF339" i="31"/>
  <c r="CF230" i="31"/>
  <c r="CD232" i="31"/>
  <c r="CD205" i="31"/>
  <c r="CD171" i="31"/>
  <c r="CD221" i="31"/>
  <c r="CO28" i="11"/>
  <c r="CA202" i="31"/>
  <c r="CA203" i="31"/>
  <c r="CA230" i="31"/>
  <c r="CA340" i="31"/>
  <c r="CA339" i="31"/>
  <c r="CA220" i="31"/>
  <c r="CA219" i="31"/>
  <c r="CA204" i="31"/>
  <c r="BW171" i="31"/>
  <c r="BX171" i="31"/>
  <c r="CC177" i="31" s="1"/>
  <c r="CA231" i="31"/>
  <c r="BY171" i="31"/>
  <c r="DH171" i="31" l="1"/>
  <c r="DC341" i="31"/>
  <c r="DC232" i="31"/>
  <c r="DC171" i="31"/>
  <c r="DC196" i="31"/>
  <c r="CU344" i="31"/>
  <c r="CU236" i="31"/>
  <c r="CU235" i="31"/>
  <c r="CO238" i="31"/>
  <c r="CO347" i="31"/>
  <c r="CO755" i="31"/>
  <c r="CF235" i="31"/>
  <c r="CJ347" i="31"/>
  <c r="CP208" i="31"/>
  <c r="CJ755" i="31"/>
  <c r="CP235" i="31"/>
  <c r="CN213" i="31"/>
  <c r="CN238" i="31"/>
  <c r="CN347" i="31"/>
  <c r="CS196" i="31"/>
  <c r="CI177" i="31"/>
  <c r="CI428" i="31"/>
  <c r="CK749" i="31"/>
  <c r="CJ238" i="31"/>
  <c r="CI213" i="31"/>
  <c r="CI347" i="31"/>
  <c r="CI238" i="31"/>
  <c r="CP344" i="31"/>
  <c r="CJ221" i="31"/>
  <c r="CK341" i="31"/>
  <c r="CK220" i="31"/>
  <c r="CK225" i="31" s="1"/>
  <c r="CP232" i="31"/>
  <c r="CP747" i="31"/>
  <c r="CP341" i="31"/>
  <c r="CP345" i="31"/>
  <c r="CK752" i="31"/>
  <c r="CF224" i="31"/>
  <c r="CF344" i="31"/>
  <c r="CK344" i="31"/>
  <c r="CM137" i="10"/>
  <c r="CF225" i="31"/>
  <c r="CF345" i="31"/>
  <c r="CK235" i="31"/>
  <c r="CD177" i="31"/>
  <c r="CK345" i="31"/>
  <c r="CK219" i="31"/>
  <c r="CI221" i="31"/>
  <c r="CF341" i="31"/>
  <c r="CA158" i="31"/>
  <c r="CF163" i="31" s="1"/>
  <c r="BZ876" i="31"/>
  <c r="BY876" i="31"/>
  <c r="BX876" i="31"/>
  <c r="BW876" i="31"/>
  <c r="BZ749" i="31"/>
  <c r="BY749" i="31"/>
  <c r="CD755" i="31" s="1"/>
  <c r="BX749" i="31"/>
  <c r="BW749" i="31"/>
  <c r="BY500" i="31"/>
  <c r="CD506" i="31" s="1"/>
  <c r="BX500" i="31"/>
  <c r="BW500" i="31"/>
  <c r="BX433" i="31"/>
  <c r="CC439" i="31" s="1"/>
  <c r="BW433" i="31"/>
  <c r="CB439" i="31" s="1"/>
  <c r="BY422" i="31"/>
  <c r="CD428" i="31" s="1"/>
  <c r="BX422" i="31"/>
  <c r="CC428" i="31" s="1"/>
  <c r="BW422" i="31"/>
  <c r="CB428" i="31" s="1"/>
  <c r="BW388" i="31"/>
  <c r="CB393" i="31" s="1"/>
  <c r="BX387" i="31"/>
  <c r="CC392" i="31" s="1"/>
  <c r="BX366" i="31"/>
  <c r="CC371" i="31" s="1"/>
  <c r="BW366" i="31"/>
  <c r="CB371" i="31" s="1"/>
  <c r="BX365" i="31"/>
  <c r="CC370" i="31" s="1"/>
  <c r="BW365" i="31"/>
  <c r="CB370" i="31" s="1"/>
  <c r="BZ341" i="31"/>
  <c r="CE347" i="31" s="1"/>
  <c r="BY341" i="31"/>
  <c r="CD347" i="31" s="1"/>
  <c r="BX341" i="31"/>
  <c r="CC347" i="31" s="1"/>
  <c r="BW341" i="31"/>
  <c r="CB347" i="31" s="1"/>
  <c r="BX295" i="31"/>
  <c r="CC300" i="31" s="1"/>
  <c r="BZ232" i="31"/>
  <c r="BY232" i="31"/>
  <c r="CD238" i="31" s="1"/>
  <c r="BX232" i="31"/>
  <c r="BW232" i="31"/>
  <c r="BZ221" i="31"/>
  <c r="BY221" i="31"/>
  <c r="BX221" i="31"/>
  <c r="BW221" i="31"/>
  <c r="BW138" i="31"/>
  <c r="BW127" i="31"/>
  <c r="BX181" i="31"/>
  <c r="DM171" i="31" l="1"/>
  <c r="DC238" i="31"/>
  <c r="DC177" i="31"/>
  <c r="DH238" i="31"/>
  <c r="DC347" i="31"/>
  <c r="DH177" i="31"/>
  <c r="DH347" i="31"/>
  <c r="CU347" i="31"/>
  <c r="CU238" i="31"/>
  <c r="CU747" i="31"/>
  <c r="CZ752" i="31" s="1"/>
  <c r="CO227" i="31"/>
  <c r="CK755" i="31"/>
  <c r="CN227" i="31"/>
  <c r="CP220" i="31"/>
  <c r="CU225" i="31" s="1"/>
  <c r="CP219" i="31"/>
  <c r="CU224" i="31" s="1"/>
  <c r="CU749" i="31"/>
  <c r="CJ227" i="31"/>
  <c r="CI227" i="31"/>
  <c r="CP752" i="31"/>
  <c r="CP347" i="31"/>
  <c r="CP749" i="31"/>
  <c r="CE227" i="31"/>
  <c r="CE238" i="31"/>
  <c r="CE755" i="31"/>
  <c r="CD227" i="31"/>
  <c r="CK347" i="31"/>
  <c r="CC755" i="31"/>
  <c r="CC506" i="31"/>
  <c r="CC227" i="31"/>
  <c r="CC238" i="31"/>
  <c r="CK224" i="31"/>
  <c r="CK221" i="31"/>
  <c r="CB227" i="31"/>
  <c r="CB506" i="31"/>
  <c r="CB144" i="31"/>
  <c r="CB755" i="31"/>
  <c r="CA163" i="31"/>
  <c r="BZ160" i="31"/>
  <c r="BW454" i="31"/>
  <c r="BY160" i="31"/>
  <c r="BX454" i="31"/>
  <c r="BX716" i="31"/>
  <c r="BX138" i="31"/>
  <c r="CC144" i="31" s="1"/>
  <c r="BX296" i="31"/>
  <c r="CC301" i="31" s="1"/>
  <c r="BX330" i="31"/>
  <c r="BX388" i="31"/>
  <c r="CC393" i="31" s="1"/>
  <c r="BX276" i="31"/>
  <c r="BX319" i="31"/>
  <c r="BX378" i="31"/>
  <c r="CC384" i="31" s="1"/>
  <c r="BX400" i="31"/>
  <c r="BX444" i="31"/>
  <c r="CC450" i="31" s="1"/>
  <c r="BX705" i="31"/>
  <c r="BX727" i="31"/>
  <c r="CC733" i="31" s="1"/>
  <c r="BX1456" i="31"/>
  <c r="BX1478" i="31"/>
  <c r="BX127" i="31"/>
  <c r="BX308" i="31"/>
  <c r="BX411" i="31"/>
  <c r="CC417" i="31" s="1"/>
  <c r="BX1423" i="31"/>
  <c r="BX1445" i="31"/>
  <c r="BX1467" i="31"/>
  <c r="BW180" i="31"/>
  <c r="BW455" i="31"/>
  <c r="CA341" i="31"/>
  <c r="CA232" i="31"/>
  <c r="BX180" i="31"/>
  <c r="BW105" i="31"/>
  <c r="BW378" i="31"/>
  <c r="CB384" i="31" s="1"/>
  <c r="BW389" i="31"/>
  <c r="CB395" i="31" s="1"/>
  <c r="BW444" i="31"/>
  <c r="CB450" i="31" s="1"/>
  <c r="BW1478" i="31"/>
  <c r="BW1467" i="31"/>
  <c r="BW1456" i="31"/>
  <c r="BW1445" i="31"/>
  <c r="BW1423" i="31"/>
  <c r="BW727" i="31"/>
  <c r="CB733" i="31" s="1"/>
  <c r="BW716" i="31"/>
  <c r="BW705" i="31"/>
  <c r="BW411" i="31"/>
  <c r="CB417" i="31" s="1"/>
  <c r="BW400" i="31"/>
  <c r="BW330" i="31"/>
  <c r="BW319" i="31"/>
  <c r="BW308" i="31"/>
  <c r="BW276" i="31"/>
  <c r="CA159" i="31"/>
  <c r="BW160" i="31"/>
  <c r="BX160" i="31"/>
  <c r="CC166" i="31" s="1"/>
  <c r="BX116" i="31"/>
  <c r="BW489" i="31"/>
  <c r="CB495" i="31" s="1"/>
  <c r="BX489" i="31"/>
  <c r="CC495" i="31" s="1"/>
  <c r="BX1487" i="31"/>
  <c r="BX1488" i="31"/>
  <c r="BW83" i="31"/>
  <c r="BW297" i="31"/>
  <c r="BW367" i="31"/>
  <c r="CB373" i="31" s="1"/>
  <c r="BX367" i="31"/>
  <c r="CC373" i="31" s="1"/>
  <c r="BX1434" i="31"/>
  <c r="CC1492" i="31" l="1"/>
  <c r="DM177" i="31"/>
  <c r="CZ755" i="31"/>
  <c r="CU752" i="31"/>
  <c r="CP224" i="31"/>
  <c r="CF347" i="31"/>
  <c r="CP221" i="31"/>
  <c r="CU755" i="31"/>
  <c r="CP225" i="31"/>
  <c r="BX297" i="31"/>
  <c r="CC303" i="31" s="1"/>
  <c r="CC711" i="31"/>
  <c r="CC406" i="31"/>
  <c r="CC325" i="31"/>
  <c r="CB325" i="31"/>
  <c r="CB406" i="31"/>
  <c r="CP755" i="31"/>
  <c r="CC722" i="31"/>
  <c r="CC336" i="31"/>
  <c r="CC282" i="31"/>
  <c r="CC459" i="31"/>
  <c r="CB336" i="31"/>
  <c r="CB722" i="31"/>
  <c r="CB1429" i="31"/>
  <c r="CB1462" i="31"/>
  <c r="CB1484" i="31"/>
  <c r="CB166" i="31"/>
  <c r="CB282" i="31"/>
  <c r="CB1451" i="31"/>
  <c r="CB1473" i="31"/>
  <c r="CE160" i="31"/>
  <c r="CF159" i="31"/>
  <c r="CF164" i="31" s="1"/>
  <c r="CD160" i="31"/>
  <c r="BX56" i="31"/>
  <c r="BX455" i="31"/>
  <c r="BX389" i="31"/>
  <c r="CC395" i="31" s="1"/>
  <c r="BW116" i="31"/>
  <c r="CB122" i="31" s="1"/>
  <c r="BW181" i="31"/>
  <c r="BX83" i="31"/>
  <c r="BX1489" i="31"/>
  <c r="CA160" i="31"/>
  <c r="BX57" i="31"/>
  <c r="DP89" i="9" s="1"/>
  <c r="CC61" i="31" l="1"/>
  <c r="DP88" i="9"/>
  <c r="DP90" i="9" s="1"/>
  <c r="DM221" i="31"/>
  <c r="CU227" i="31"/>
  <c r="DH193" i="31"/>
  <c r="DH221" i="31"/>
  <c r="DC221" i="31"/>
  <c r="CE166" i="31"/>
  <c r="CP227" i="31"/>
  <c r="DE749" i="31"/>
  <c r="CD166" i="31"/>
  <c r="CC460" i="31"/>
  <c r="CH268" i="31"/>
  <c r="CF160" i="31"/>
  <c r="BX456" i="31"/>
  <c r="CC462" i="31" s="1"/>
  <c r="BX58" i="31"/>
  <c r="BV220" i="31"/>
  <c r="BV219" i="31"/>
  <c r="CA224" i="31" s="1"/>
  <c r="BV340" i="31"/>
  <c r="BV339" i="31"/>
  <c r="CA344" i="31" s="1"/>
  <c r="BS108" i="31"/>
  <c r="BS109" i="31"/>
  <c r="DM227" i="31" l="1"/>
  <c r="DE755" i="31"/>
  <c r="DJ755" i="31"/>
  <c r="DH227" i="31"/>
  <c r="DM197" i="31"/>
  <c r="DM198" i="31" s="1"/>
  <c r="DM193" i="31"/>
  <c r="DD752" i="31"/>
  <c r="DD749" i="31"/>
  <c r="DC227" i="31"/>
  <c r="DD235" i="31"/>
  <c r="CF166" i="31"/>
  <c r="BS1481" i="31"/>
  <c r="BS1482" i="31"/>
  <c r="BS1470" i="31"/>
  <c r="BS1471" i="31"/>
  <c r="BS1459" i="31"/>
  <c r="BS1460" i="31"/>
  <c r="BS1448" i="31"/>
  <c r="BS1449" i="31"/>
  <c r="BS1437" i="31"/>
  <c r="BS1438" i="31"/>
  <c r="BS1426" i="31"/>
  <c r="BS1427" i="31"/>
  <c r="BS731" i="31"/>
  <c r="BS719" i="31"/>
  <c r="BS720" i="31"/>
  <c r="BS709" i="31"/>
  <c r="BS492" i="31"/>
  <c r="BS482" i="31"/>
  <c r="BS447" i="31"/>
  <c r="BS448" i="31"/>
  <c r="BS437" i="31"/>
  <c r="BS414" i="31"/>
  <c r="BS415" i="31"/>
  <c r="BS403" i="31"/>
  <c r="BS404" i="31"/>
  <c r="BS381" i="31"/>
  <c r="BS382" i="31"/>
  <c r="BS311" i="31"/>
  <c r="BS312" i="31"/>
  <c r="BS333" i="31"/>
  <c r="BS334" i="31"/>
  <c r="BS322" i="31"/>
  <c r="BS323" i="31"/>
  <c r="BS279" i="31"/>
  <c r="BS280" i="31"/>
  <c r="DK20" i="9"/>
  <c r="BS130" i="31"/>
  <c r="BS131" i="31"/>
  <c r="BS141" i="31"/>
  <c r="BS142" i="31"/>
  <c r="DK44" i="9"/>
  <c r="DK41" i="9"/>
  <c r="BN330" i="31"/>
  <c r="DI755" i="31" l="1"/>
  <c r="DM199" i="31"/>
  <c r="DO749" i="31"/>
  <c r="DN749" i="31"/>
  <c r="DT749" i="31"/>
  <c r="DS749" i="31" l="1"/>
  <c r="DS755" i="31" s="1"/>
  <c r="DN755" i="31"/>
  <c r="DO755" i="31"/>
  <c r="DN752" i="31"/>
  <c r="DT755" i="31"/>
  <c r="BS209" i="31"/>
  <c r="BS205" i="31"/>
  <c r="BS208" i="31"/>
  <c r="DY755" i="31" l="1"/>
  <c r="DS44" i="9"/>
  <c r="EH752" i="31" l="1"/>
  <c r="EH749" i="31"/>
  <c r="DX755" i="31"/>
  <c r="EI749" i="31"/>
  <c r="EJ749" i="31"/>
  <c r="EH755" i="31" l="1"/>
  <c r="EJ755" i="31"/>
  <c r="EK749" i="31"/>
  <c r="EI755" i="31"/>
  <c r="EK755" i="31" l="1"/>
  <c r="EL749" i="31" l="1"/>
  <c r="EL755" i="31" l="1"/>
  <c r="EM749" i="31"/>
  <c r="EM755" i="31" l="1"/>
  <c r="CI50" i="11" l="1"/>
  <c r="CJ50" i="11" s="1"/>
  <c r="CK50" i="11" l="1"/>
  <c r="CL50" i="11" s="1"/>
  <c r="CD50" i="11"/>
  <c r="BY50" i="11"/>
  <c r="CB50" i="11" s="1"/>
  <c r="BW50" i="11"/>
  <c r="BR50" i="11"/>
  <c r="BM50" i="11"/>
  <c r="BH50" i="11"/>
  <c r="BC50" i="11"/>
  <c r="AX50" i="11"/>
  <c r="AS50" i="11"/>
  <c r="AN50" i="11"/>
  <c r="AI50" i="11"/>
  <c r="AD50" i="11"/>
  <c r="Y50" i="11"/>
  <c r="T50" i="11"/>
  <c r="O50" i="11"/>
  <c r="CE50" i="11" l="1"/>
  <c r="CF50" i="11" s="1"/>
  <c r="CM48" i="11"/>
  <c r="CH48" i="11"/>
  <c r="CG48" i="11"/>
  <c r="CA48" i="11" l="1"/>
  <c r="BZ48" i="11"/>
  <c r="BX48" i="11"/>
  <c r="BV48" i="11"/>
  <c r="BU48" i="11"/>
  <c r="BT48" i="11"/>
  <c r="BS48" i="11"/>
  <c r="BQ48" i="11"/>
  <c r="BP48" i="11"/>
  <c r="BO48" i="11"/>
  <c r="BN48" i="11"/>
  <c r="BL48" i="11"/>
  <c r="BK48" i="11"/>
  <c r="BJ48" i="11"/>
  <c r="BI48" i="11"/>
  <c r="BG48" i="11"/>
  <c r="BF48" i="11"/>
  <c r="BE48" i="11"/>
  <c r="BD48" i="11"/>
  <c r="BB48" i="11"/>
  <c r="BA48" i="11"/>
  <c r="AZ48" i="11"/>
  <c r="AY48" i="11"/>
  <c r="AW48" i="11"/>
  <c r="AV48" i="11"/>
  <c r="AU48" i="11"/>
  <c r="AT48" i="11"/>
  <c r="AR48" i="11"/>
  <c r="AQ48" i="11"/>
  <c r="AP48" i="11"/>
  <c r="AO48" i="11"/>
  <c r="AM48" i="11"/>
  <c r="AL48" i="11"/>
  <c r="AK48" i="11"/>
  <c r="AJ48" i="11"/>
  <c r="AH48" i="11"/>
  <c r="AG48" i="11"/>
  <c r="AF48" i="11"/>
  <c r="AE48" i="11"/>
  <c r="AC48" i="11"/>
  <c r="AB48" i="11"/>
  <c r="AA48" i="11"/>
  <c r="Z48" i="11"/>
  <c r="X48" i="11"/>
  <c r="W48" i="11"/>
  <c r="V48" i="11"/>
  <c r="U48" i="11"/>
  <c r="S48" i="11"/>
  <c r="R48" i="11"/>
  <c r="Q48" i="11"/>
  <c r="P48" i="11"/>
  <c r="N48" i="11"/>
  <c r="M48" i="11"/>
  <c r="L48" i="11"/>
  <c r="K48" i="11"/>
  <c r="J48" i="11"/>
  <c r="I48" i="11"/>
  <c r="H48" i="11"/>
  <c r="G48" i="11"/>
  <c r="F48" i="11"/>
  <c r="E48" i="11"/>
  <c r="CL47" i="11"/>
  <c r="CF47" i="11"/>
  <c r="CI46" i="11"/>
  <c r="CD46" i="11"/>
  <c r="CE46" i="11" l="1"/>
  <c r="CJ46" i="11"/>
  <c r="BY46" i="11"/>
  <c r="BW46" i="11"/>
  <c r="BR46" i="11"/>
  <c r="BM46" i="11"/>
  <c r="BH46" i="11"/>
  <c r="BC46" i="11"/>
  <c r="AX46" i="11"/>
  <c r="AS46" i="11"/>
  <c r="AN46" i="11"/>
  <c r="AI46" i="11"/>
  <c r="AD46" i="11"/>
  <c r="Y46" i="11"/>
  <c r="T46" i="11"/>
  <c r="O46" i="11"/>
  <c r="CI45" i="11"/>
  <c r="CJ45" i="11" s="1"/>
  <c r="CD45" i="11"/>
  <c r="BY45" i="11"/>
  <c r="BW45" i="11"/>
  <c r="BR45" i="11"/>
  <c r="BM45" i="11"/>
  <c r="BH45" i="11"/>
  <c r="BC45" i="11"/>
  <c r="AX45" i="11"/>
  <c r="AS45" i="11"/>
  <c r="AN45" i="11"/>
  <c r="AI45" i="11"/>
  <c r="AD45" i="11"/>
  <c r="Y45" i="11"/>
  <c r="T45" i="11"/>
  <c r="O45" i="11"/>
  <c r="CI44" i="11"/>
  <c r="CE44" i="11"/>
  <c r="BY44" i="11"/>
  <c r="BW44" i="11"/>
  <c r="BR44" i="11"/>
  <c r="BM44" i="11"/>
  <c r="BH44" i="11"/>
  <c r="BC44" i="11"/>
  <c r="AX44" i="11"/>
  <c r="AS44" i="11"/>
  <c r="AN44" i="11"/>
  <c r="AI44" i="11"/>
  <c r="AD44" i="11"/>
  <c r="Y44" i="11"/>
  <c r="T44" i="11"/>
  <c r="O44" i="11"/>
  <c r="CI43" i="11"/>
  <c r="CJ43" i="11" s="1"/>
  <c r="CD43" i="11"/>
  <c r="BY43" i="11"/>
  <c r="BW43" i="11"/>
  <c r="BR43" i="11"/>
  <c r="BM43" i="11"/>
  <c r="BH43" i="11"/>
  <c r="BC43" i="11"/>
  <c r="AX43" i="11"/>
  <c r="AS43" i="11"/>
  <c r="AN43" i="11"/>
  <c r="AI43" i="11"/>
  <c r="AD43" i="11"/>
  <c r="Y43" i="11"/>
  <c r="T43" i="11"/>
  <c r="O43" i="11"/>
  <c r="CI42" i="11"/>
  <c r="CJ42" i="11" s="1"/>
  <c r="CD42" i="11"/>
  <c r="BY42" i="11"/>
  <c r="BW42" i="11"/>
  <c r="BR42" i="11"/>
  <c r="BM42" i="11"/>
  <c r="BH42" i="11"/>
  <c r="BC42" i="11"/>
  <c r="AX42" i="11"/>
  <c r="AS42" i="11"/>
  <c r="AN42" i="11"/>
  <c r="AI42" i="11"/>
  <c r="AD42" i="11"/>
  <c r="Y42" i="11"/>
  <c r="T42" i="11"/>
  <c r="O42" i="11"/>
  <c r="CL41" i="11"/>
  <c r="CF41" i="11"/>
  <c r="CB41" i="11"/>
  <c r="BW41" i="11"/>
  <c r="BR41" i="11"/>
  <c r="BM41" i="11"/>
  <c r="BH41" i="11"/>
  <c r="BC41" i="11"/>
  <c r="AX41" i="11"/>
  <c r="AS41" i="11"/>
  <c r="AN41" i="11"/>
  <c r="AI41" i="11"/>
  <c r="AD41" i="11"/>
  <c r="Y41" i="11"/>
  <c r="T41" i="11"/>
  <c r="O41" i="11"/>
  <c r="CI40" i="11"/>
  <c r="CD40" i="11"/>
  <c r="CK46" i="11" l="1"/>
  <c r="CF46" i="11"/>
  <c r="CB44" i="11"/>
  <c r="CJ44" i="11"/>
  <c r="CF44" i="11"/>
  <c r="CB43" i="11"/>
  <c r="CB45" i="11"/>
  <c r="CE40" i="11"/>
  <c r="CB42" i="11"/>
  <c r="CJ40" i="11"/>
  <c r="CE42" i="11"/>
  <c r="CF42" i="11" s="1"/>
  <c r="CE43" i="11"/>
  <c r="CF43" i="11" s="1"/>
  <c r="CE45" i="11"/>
  <c r="CF45" i="11" s="1"/>
  <c r="CB46" i="11"/>
  <c r="BY40" i="11"/>
  <c r="BW40" i="11"/>
  <c r="BR40" i="11"/>
  <c r="BM40" i="11"/>
  <c r="BH40" i="11"/>
  <c r="BC40" i="11"/>
  <c r="AX40" i="11"/>
  <c r="AS40" i="11"/>
  <c r="AN40" i="11"/>
  <c r="AI40" i="11"/>
  <c r="AD40" i="11"/>
  <c r="Y40" i="11"/>
  <c r="T40" i="11"/>
  <c r="O40" i="11"/>
  <c r="CI39" i="11"/>
  <c r="CC39" i="11"/>
  <c r="BY39" i="11"/>
  <c r="BW39" i="11"/>
  <c r="BR39" i="11"/>
  <c r="BM39" i="11"/>
  <c r="BH39" i="11"/>
  <c r="BC39" i="11"/>
  <c r="AX39" i="11"/>
  <c r="AS39" i="11"/>
  <c r="AN39" i="11"/>
  <c r="AI39" i="11"/>
  <c r="AD39" i="11"/>
  <c r="Y39" i="11"/>
  <c r="T39" i="11"/>
  <c r="O39" i="11"/>
  <c r="T48" i="11" l="1"/>
  <c r="O48" i="11"/>
  <c r="CL46" i="11"/>
  <c r="CC48" i="11"/>
  <c r="CK40" i="11"/>
  <c r="CF40" i="11"/>
  <c r="CK44" i="11"/>
  <c r="AD48" i="11"/>
  <c r="AN48" i="11"/>
  <c r="AX48" i="11"/>
  <c r="BH48" i="11"/>
  <c r="BR48" i="11"/>
  <c r="BY48" i="11"/>
  <c r="CI48" i="11"/>
  <c r="Y48" i="11"/>
  <c r="AI48" i="11"/>
  <c r="AS48" i="11"/>
  <c r="BC48" i="11"/>
  <c r="BM48" i="11"/>
  <c r="BW48" i="11"/>
  <c r="CB39" i="11"/>
  <c r="CD39" i="11"/>
  <c r="CJ39" i="11"/>
  <c r="CB40" i="11"/>
  <c r="CA36" i="11"/>
  <c r="BZ36" i="11"/>
  <c r="BV36" i="11"/>
  <c r="BU36" i="11"/>
  <c r="BT36" i="11"/>
  <c r="BS36" i="11"/>
  <c r="BQ36" i="11"/>
  <c r="BP36" i="11"/>
  <c r="BO36" i="11"/>
  <c r="BN36" i="11"/>
  <c r="BL36" i="11"/>
  <c r="BK36" i="11"/>
  <c r="BJ36" i="11"/>
  <c r="BI36" i="11"/>
  <c r="BG36" i="11"/>
  <c r="BF36" i="11"/>
  <c r="BE36" i="11"/>
  <c r="BD36" i="11"/>
  <c r="BB36" i="11"/>
  <c r="BA36" i="11"/>
  <c r="AZ36" i="11"/>
  <c r="AY36" i="11"/>
  <c r="AW36" i="11"/>
  <c r="AV36" i="11"/>
  <c r="AU36" i="11"/>
  <c r="AT36" i="11"/>
  <c r="AR36" i="11"/>
  <c r="AQ36" i="11"/>
  <c r="AP36" i="11"/>
  <c r="AO36" i="11"/>
  <c r="AM36" i="11"/>
  <c r="AL36" i="11"/>
  <c r="AK36" i="11"/>
  <c r="AJ36" i="11"/>
  <c r="AH36" i="11"/>
  <c r="AG36" i="11"/>
  <c r="AF36" i="11"/>
  <c r="AE36" i="11"/>
  <c r="AC36" i="11"/>
  <c r="AB36" i="11"/>
  <c r="AA36" i="11"/>
  <c r="Z36" i="11"/>
  <c r="CL40" i="11" l="1"/>
  <c r="CD48" i="11"/>
  <c r="CL44" i="11"/>
  <c r="CJ48" i="11"/>
  <c r="CB48" i="11"/>
  <c r="CE39" i="11"/>
  <c r="CK39" i="11"/>
  <c r="X36" i="11"/>
  <c r="W36" i="11"/>
  <c r="V36" i="11"/>
  <c r="U36" i="11"/>
  <c r="S36" i="11"/>
  <c r="R36" i="11"/>
  <c r="Q36" i="11"/>
  <c r="P36" i="11"/>
  <c r="N36" i="11"/>
  <c r="M36" i="11"/>
  <c r="L36" i="11"/>
  <c r="K36" i="11"/>
  <c r="J36" i="11"/>
  <c r="I36" i="11"/>
  <c r="H36" i="11"/>
  <c r="G36" i="11"/>
  <c r="F36" i="11"/>
  <c r="E36" i="11"/>
  <c r="CM35" i="11"/>
  <c r="CL39" i="11" l="1"/>
  <c r="CN35" i="11"/>
  <c r="CM36" i="11"/>
  <c r="CE48" i="11"/>
  <c r="CF39" i="11"/>
  <c r="CH35" i="11"/>
  <c r="CG35" i="11"/>
  <c r="CC35" i="11"/>
  <c r="BX35" i="11"/>
  <c r="BW35" i="11"/>
  <c r="BR35" i="11"/>
  <c r="BM35" i="11"/>
  <c r="BH35" i="11"/>
  <c r="BC35" i="11"/>
  <c r="AX35" i="11"/>
  <c r="AS35" i="11"/>
  <c r="AN35" i="11"/>
  <c r="AI35" i="11"/>
  <c r="AD35" i="11"/>
  <c r="Y35" i="11"/>
  <c r="T35" i="11"/>
  <c r="O35" i="11"/>
  <c r="BY35" i="11" l="1"/>
  <c r="CC36" i="11"/>
  <c r="CH36" i="11"/>
  <c r="CO35" i="11"/>
  <c r="CD35" i="11"/>
  <c r="CF48" i="11"/>
  <c r="CG36" i="11"/>
  <c r="CI35" i="11"/>
  <c r="CD34" i="11"/>
  <c r="BX34" i="11"/>
  <c r="BW34" i="11"/>
  <c r="BR34" i="11"/>
  <c r="BM34" i="11"/>
  <c r="BH34" i="11"/>
  <c r="BC34" i="11"/>
  <c r="AX34" i="11"/>
  <c r="AS34" i="11"/>
  <c r="AN34" i="11"/>
  <c r="AI34" i="11"/>
  <c r="AD34" i="11"/>
  <c r="Y34" i="11"/>
  <c r="T34" i="11"/>
  <c r="O34" i="11"/>
  <c r="CI33" i="11"/>
  <c r="CJ33" i="11" s="1"/>
  <c r="CD33" i="11"/>
  <c r="BY33" i="11"/>
  <c r="BW33" i="11"/>
  <c r="BR33" i="11"/>
  <c r="BM33" i="11"/>
  <c r="BH33" i="11"/>
  <c r="BC33" i="11"/>
  <c r="AX33" i="11"/>
  <c r="AS33" i="11"/>
  <c r="AN33" i="11"/>
  <c r="AI33" i="11"/>
  <c r="AD33" i="11"/>
  <c r="Y33" i="11"/>
  <c r="T33" i="11"/>
  <c r="O33" i="11"/>
  <c r="CI32" i="11"/>
  <c r="CD32" i="11"/>
  <c r="BY32" i="11"/>
  <c r="BW32" i="11"/>
  <c r="BR32" i="11"/>
  <c r="BM32" i="11"/>
  <c r="BH32" i="11"/>
  <c r="BC32" i="11"/>
  <c r="AX32" i="11"/>
  <c r="AS32" i="11"/>
  <c r="AN32" i="11"/>
  <c r="AI32" i="11"/>
  <c r="AD32" i="11"/>
  <c r="Y32" i="11"/>
  <c r="T32" i="11"/>
  <c r="O32" i="11"/>
  <c r="CB35" i="11" l="1"/>
  <c r="AL135" i="10"/>
  <c r="CP35" i="11"/>
  <c r="CE35" i="11"/>
  <c r="CB32" i="11"/>
  <c r="CD36" i="11"/>
  <c r="CE34" i="11"/>
  <c r="O36" i="11"/>
  <c r="CE32" i="11"/>
  <c r="Y36" i="11"/>
  <c r="AI36" i="11"/>
  <c r="AS36" i="11"/>
  <c r="BC36" i="11"/>
  <c r="BM36" i="11"/>
  <c r="BW36" i="11"/>
  <c r="CI36" i="11"/>
  <c r="BX36" i="11"/>
  <c r="AD36" i="11"/>
  <c r="AN36" i="11"/>
  <c r="AX36" i="11"/>
  <c r="BH36" i="11"/>
  <c r="BR36" i="11"/>
  <c r="T36" i="11"/>
  <c r="CJ32" i="11"/>
  <c r="CB33" i="11"/>
  <c r="BY34" i="11"/>
  <c r="CJ35" i="11"/>
  <c r="CK33" i="11"/>
  <c r="CL33" i="11" s="1"/>
  <c r="BZ29" i="11"/>
  <c r="AQ29" i="11"/>
  <c r="AP29" i="11"/>
  <c r="AO29" i="11"/>
  <c r="AL29" i="11"/>
  <c r="AK29" i="11"/>
  <c r="AJ29" i="11"/>
  <c r="AJ52" i="11" s="1"/>
  <c r="AH29" i="11"/>
  <c r="AG29" i="11"/>
  <c r="AF29" i="11"/>
  <c r="AE29" i="11"/>
  <c r="AE52" i="11" s="1"/>
  <c r="AC29" i="11"/>
  <c r="AB29" i="11"/>
  <c r="AA29" i="11"/>
  <c r="Z29" i="11"/>
  <c r="Z52" i="11" s="1"/>
  <c r="X29" i="11"/>
  <c r="W29" i="11"/>
  <c r="V29" i="11"/>
  <c r="U29" i="11"/>
  <c r="U52" i="11" s="1"/>
  <c r="S29" i="11"/>
  <c r="R29" i="11"/>
  <c r="Q29" i="11"/>
  <c r="P29" i="11"/>
  <c r="N29" i="11"/>
  <c r="M29" i="11"/>
  <c r="M52" i="11" s="1"/>
  <c r="L29" i="11"/>
  <c r="L52" i="11" s="1"/>
  <c r="K29" i="11"/>
  <c r="CF35" i="11" l="1"/>
  <c r="CF32" i="11"/>
  <c r="CK32" i="11"/>
  <c r="CK35" i="11"/>
  <c r="CF34" i="11"/>
  <c r="BZ52" i="11"/>
  <c r="T29" i="11"/>
  <c r="CB34" i="11"/>
  <c r="K52" i="11"/>
  <c r="O29" i="11"/>
  <c r="Y29" i="11"/>
  <c r="AI29" i="11"/>
  <c r="CJ36" i="11"/>
  <c r="AD29" i="11"/>
  <c r="BY36" i="11"/>
  <c r="CA28" i="11"/>
  <c r="BV28" i="11"/>
  <c r="BU28" i="11"/>
  <c r="BT28" i="11"/>
  <c r="BS28" i="11"/>
  <c r="BQ28" i="11"/>
  <c r="BP28" i="11"/>
  <c r="BO28" i="11"/>
  <c r="BN28" i="11"/>
  <c r="BL28" i="11"/>
  <c r="BK28" i="11"/>
  <c r="BJ28" i="11"/>
  <c r="BI28" i="11"/>
  <c r="BI29" i="11" s="1"/>
  <c r="BG28" i="11"/>
  <c r="BF28" i="11"/>
  <c r="BE28" i="11"/>
  <c r="BD28" i="11"/>
  <c r="BD29" i="11" s="1"/>
  <c r="BB28" i="11"/>
  <c r="BA28" i="11"/>
  <c r="AZ28" i="11"/>
  <c r="AY28" i="11"/>
  <c r="AY29" i="11" s="1"/>
  <c r="AW28" i="11"/>
  <c r="AV28" i="11"/>
  <c r="AU28" i="11"/>
  <c r="AT28" i="11"/>
  <c r="AT29" i="11" s="1"/>
  <c r="AR28" i="11"/>
  <c r="AR29" i="11" s="1"/>
  <c r="AR52" i="11" s="1"/>
  <c r="AQ52" i="11" s="1"/>
  <c r="AP52" i="11" s="1"/>
  <c r="AO52" i="11" s="1"/>
  <c r="AM28" i="11"/>
  <c r="AN28" i="11" s="1"/>
  <c r="AI28" i="11"/>
  <c r="AD28" i="11"/>
  <c r="Y28" i="11"/>
  <c r="T28" i="11"/>
  <c r="O28" i="11"/>
  <c r="J28" i="11"/>
  <c r="J29" i="11" s="1"/>
  <c r="I28" i="11"/>
  <c r="H28" i="11"/>
  <c r="F28" i="11"/>
  <c r="F29" i="11" s="1"/>
  <c r="F52" i="11" s="1"/>
  <c r="E28" i="11"/>
  <c r="E29" i="11" s="1"/>
  <c r="E52" i="11" s="1"/>
  <c r="CH27" i="11"/>
  <c r="CH28" i="11" s="1"/>
  <c r="CG27" i="11"/>
  <c r="CC27" i="11"/>
  <c r="CD27" i="11" s="1"/>
  <c r="BX27" i="11"/>
  <c r="BW27" i="11"/>
  <c r="BR27" i="11"/>
  <c r="BM27" i="11"/>
  <c r="BH27" i="11"/>
  <c r="BC27" i="11"/>
  <c r="AX27" i="11"/>
  <c r="AS27" i="11"/>
  <c r="AN27" i="11"/>
  <c r="AD27" i="11"/>
  <c r="Y27" i="11"/>
  <c r="T27" i="11"/>
  <c r="O27" i="11"/>
  <c r="G27" i="11"/>
  <c r="CI26" i="11"/>
  <c r="CJ26" i="11" s="1"/>
  <c r="CD26" i="11"/>
  <c r="CE26" i="11" s="1"/>
  <c r="BY26" i="11"/>
  <c r="BW26" i="11"/>
  <c r="BR26" i="11"/>
  <c r="BM26" i="11"/>
  <c r="BH26" i="11"/>
  <c r="BC26" i="11"/>
  <c r="AX26" i="11"/>
  <c r="AS26" i="11"/>
  <c r="AN26" i="11"/>
  <c r="AI26" i="11"/>
  <c r="AD26" i="11"/>
  <c r="Y26" i="11"/>
  <c r="T26" i="11"/>
  <c r="O26" i="11"/>
  <c r="CI25" i="11"/>
  <c r="CJ25" i="11" s="1"/>
  <c r="CD25" i="11"/>
  <c r="CE25" i="11" s="1"/>
  <c r="BY25" i="11"/>
  <c r="BW25" i="11"/>
  <c r="BR25" i="11"/>
  <c r="BM25" i="11"/>
  <c r="BH25" i="11"/>
  <c r="BC25" i="11"/>
  <c r="AX25" i="11"/>
  <c r="AS25" i="11"/>
  <c r="AN25" i="11"/>
  <c r="AI25" i="11"/>
  <c r="AD25" i="11"/>
  <c r="Y25" i="11"/>
  <c r="T25" i="11"/>
  <c r="O25" i="11"/>
  <c r="CI135" i="10" l="1"/>
  <c r="CB36" i="11"/>
  <c r="CK36" i="11"/>
  <c r="BN29" i="11"/>
  <c r="BS29" i="11"/>
  <c r="CL35" i="11"/>
  <c r="CL32" i="11"/>
  <c r="T52" i="11"/>
  <c r="S52" i="11" s="1"/>
  <c r="R52" i="11" s="1"/>
  <c r="Q52" i="11" s="1"/>
  <c r="P52" i="11" s="1"/>
  <c r="AI52" i="11"/>
  <c r="AH52" i="11" s="1"/>
  <c r="AG52" i="11" s="1"/>
  <c r="AF52" i="11" s="1"/>
  <c r="BY27" i="11"/>
  <c r="CB27" i="11" s="1"/>
  <c r="CI27" i="11"/>
  <c r="CJ27" i="11" s="1"/>
  <c r="CJ28" i="11" s="1"/>
  <c r="AS28" i="11"/>
  <c r="CD28" i="11"/>
  <c r="CC28" i="11"/>
  <c r="I29" i="11"/>
  <c r="I52" i="11" s="1"/>
  <c r="J52" i="11"/>
  <c r="AY52" i="11"/>
  <c r="BI52" i="11"/>
  <c r="BO29" i="11"/>
  <c r="BQ29" i="11"/>
  <c r="BU29" i="11"/>
  <c r="CE27" i="11"/>
  <c r="CE28" i="11" s="1"/>
  <c r="BC28" i="11"/>
  <c r="BM28" i="11"/>
  <c r="BW28" i="11"/>
  <c r="CG28" i="11"/>
  <c r="AS29" i="11"/>
  <c r="G28" i="11"/>
  <c r="H29" i="11"/>
  <c r="AT52" i="11"/>
  <c r="BD52" i="11"/>
  <c r="BP29" i="11"/>
  <c r="BT29" i="11"/>
  <c r="BV29" i="11"/>
  <c r="CA29" i="11"/>
  <c r="O52" i="11"/>
  <c r="CB25" i="11"/>
  <c r="CF25" i="11"/>
  <c r="CB26" i="11"/>
  <c r="CF26" i="11"/>
  <c r="AX28" i="11"/>
  <c r="BH28" i="11"/>
  <c r="BR28" i="11"/>
  <c r="Y52" i="11"/>
  <c r="X52" i="11" s="1"/>
  <c r="W52" i="11" s="1"/>
  <c r="V52" i="11" s="1"/>
  <c r="AD52" i="11"/>
  <c r="AC52" i="11" s="1"/>
  <c r="CM29" i="11"/>
  <c r="CI24" i="11"/>
  <c r="CJ24" i="11" s="1"/>
  <c r="CD24" i="11"/>
  <c r="CE24" i="11" s="1"/>
  <c r="BY24" i="11"/>
  <c r="BW24" i="11"/>
  <c r="BR24" i="11"/>
  <c r="BM24" i="11"/>
  <c r="BH24" i="11"/>
  <c r="BC24" i="11"/>
  <c r="AX24" i="11"/>
  <c r="AS24" i="11"/>
  <c r="AN24" i="11"/>
  <c r="AI24" i="11"/>
  <c r="AD24" i="11"/>
  <c r="Y24" i="11"/>
  <c r="T24" i="11"/>
  <c r="O24" i="11"/>
  <c r="CI23" i="11"/>
  <c r="CJ23" i="11" s="1"/>
  <c r="CD23" i="11"/>
  <c r="CE23" i="11" s="1"/>
  <c r="BY23" i="11"/>
  <c r="BW23" i="11"/>
  <c r="BR23" i="11"/>
  <c r="BM23" i="11"/>
  <c r="BH23" i="11"/>
  <c r="BC23" i="11"/>
  <c r="AX23" i="11"/>
  <c r="AS23" i="11"/>
  <c r="AN23" i="11"/>
  <c r="AI23" i="11"/>
  <c r="AD23" i="11"/>
  <c r="Y23" i="11"/>
  <c r="T23" i="11"/>
  <c r="O23" i="11"/>
  <c r="CH22" i="11"/>
  <c r="CD22" i="11"/>
  <c r="BY22" i="11"/>
  <c r="BW22" i="11"/>
  <c r="BR22" i="11"/>
  <c r="BM22" i="11"/>
  <c r="BH22" i="11"/>
  <c r="BC22" i="11"/>
  <c r="AX22" i="11"/>
  <c r="AS22" i="11"/>
  <c r="AN22" i="11"/>
  <c r="AI22" i="11"/>
  <c r="AD22" i="11"/>
  <c r="Y22" i="11"/>
  <c r="T22" i="11"/>
  <c r="O22" i="11"/>
  <c r="CL21" i="11"/>
  <c r="CF21" i="11"/>
  <c r="BW21" i="11"/>
  <c r="BR21" i="11"/>
  <c r="BM21" i="11"/>
  <c r="BH21" i="11"/>
  <c r="BC21" i="11"/>
  <c r="AX21" i="11"/>
  <c r="AS21" i="11"/>
  <c r="AN21" i="11"/>
  <c r="AI21" i="11"/>
  <c r="AD21" i="11"/>
  <c r="Y21" i="11"/>
  <c r="T21" i="11"/>
  <c r="O21" i="11"/>
  <c r="CL18" i="11"/>
  <c r="CF18" i="11"/>
  <c r="BW18" i="11"/>
  <c r="BR18" i="11"/>
  <c r="BM18" i="11"/>
  <c r="BH18" i="11"/>
  <c r="BC18" i="11"/>
  <c r="AX18" i="11"/>
  <c r="AS18" i="11"/>
  <c r="AN18" i="11"/>
  <c r="AI18" i="11"/>
  <c r="AD18" i="11"/>
  <c r="Y18" i="11"/>
  <c r="T18" i="11"/>
  <c r="O18" i="11"/>
  <c r="CL17" i="11"/>
  <c r="CF17" i="11"/>
  <c r="CB17" i="11"/>
  <c r="BW17" i="11"/>
  <c r="BR17" i="11"/>
  <c r="BM17" i="11"/>
  <c r="BH17" i="11"/>
  <c r="BC17" i="11"/>
  <c r="AX17" i="11"/>
  <c r="AS17" i="11"/>
  <c r="AN17" i="11"/>
  <c r="AI17" i="11"/>
  <c r="AD17" i="11"/>
  <c r="Y17" i="11"/>
  <c r="T17" i="11"/>
  <c r="O17" i="11"/>
  <c r="CI16" i="11"/>
  <c r="CD16" i="11"/>
  <c r="BY16" i="11"/>
  <c r="BW16" i="11"/>
  <c r="BR16" i="11"/>
  <c r="BM16" i="11"/>
  <c r="BH16" i="11"/>
  <c r="BC16" i="11"/>
  <c r="AX16" i="11"/>
  <c r="AS16" i="11"/>
  <c r="AN16" i="11"/>
  <c r="AI16" i="11"/>
  <c r="AD16" i="11"/>
  <c r="Y16" i="11"/>
  <c r="T16" i="11"/>
  <c r="O16" i="11"/>
  <c r="BN52" i="11" l="1"/>
  <c r="CI28" i="11"/>
  <c r="CJ16" i="11"/>
  <c r="CK16" i="11" s="1"/>
  <c r="CH29" i="11"/>
  <c r="CK27" i="11"/>
  <c r="CL27" i="11" s="1"/>
  <c r="BY28" i="11"/>
  <c r="BS52" i="11"/>
  <c r="CL36" i="11"/>
  <c r="CC29" i="11"/>
  <c r="CB16" i="11"/>
  <c r="CB28" i="11"/>
  <c r="AB52" i="11"/>
  <c r="AA52" i="11" s="1"/>
  <c r="CA52" i="11"/>
  <c r="BV52" i="11"/>
  <c r="BT52" i="11"/>
  <c r="BP52" i="11"/>
  <c r="G29" i="11"/>
  <c r="G52" i="11" s="1"/>
  <c r="H52" i="11"/>
  <c r="AS52" i="11"/>
  <c r="CB22" i="11"/>
  <c r="CE22" i="11"/>
  <c r="BR29" i="11"/>
  <c r="CB24" i="11"/>
  <c r="N52" i="11"/>
  <c r="BX28" i="11"/>
  <c r="CG29" i="11"/>
  <c r="CF28" i="11"/>
  <c r="BU52" i="11"/>
  <c r="BQ52" i="11"/>
  <c r="BO52" i="11"/>
  <c r="CE16" i="11"/>
  <c r="CF16" i="11" s="1"/>
  <c r="CI22" i="11"/>
  <c r="CB23" i="11"/>
  <c r="CF23" i="11"/>
  <c r="CF24" i="11"/>
  <c r="BW29" i="11"/>
  <c r="CF27" i="11"/>
  <c r="CM52" i="11"/>
  <c r="CI15" i="11"/>
  <c r="CD15" i="11"/>
  <c r="CH52" i="11" l="1"/>
  <c r="CL16" i="11"/>
  <c r="CF22" i="11"/>
  <c r="CE15" i="11"/>
  <c r="CC52" i="11"/>
  <c r="BW52" i="11"/>
  <c r="CG52" i="11"/>
  <c r="BX29" i="11"/>
  <c r="H54" i="11"/>
  <c r="BR52" i="11"/>
  <c r="CJ15" i="11"/>
  <c r="BY15" i="11"/>
  <c r="BW15" i="11"/>
  <c r="BR15" i="11"/>
  <c r="BM15" i="11"/>
  <c r="BH15" i="11"/>
  <c r="BC15" i="11"/>
  <c r="AX15" i="11"/>
  <c r="AS15" i="11"/>
  <c r="AN15" i="11"/>
  <c r="AI15" i="11"/>
  <c r="AD15" i="11"/>
  <c r="Y15" i="11"/>
  <c r="T15" i="11"/>
  <c r="O15" i="11"/>
  <c r="CF14" i="11"/>
  <c r="CB14" i="11"/>
  <c r="BW14" i="11"/>
  <c r="BR14" i="11"/>
  <c r="BM14" i="11"/>
  <c r="BH14" i="11"/>
  <c r="BC14" i="11"/>
  <c r="AX14" i="11"/>
  <c r="AS14" i="11"/>
  <c r="AN14" i="11"/>
  <c r="AI14" i="11"/>
  <c r="AD14" i="11"/>
  <c r="Y14" i="11"/>
  <c r="T14" i="11"/>
  <c r="O14" i="11"/>
  <c r="CF13" i="11"/>
  <c r="CB13" i="11"/>
  <c r="BW13" i="11"/>
  <c r="BR13" i="11"/>
  <c r="BM13" i="11"/>
  <c r="BH13" i="11"/>
  <c r="BC13" i="11"/>
  <c r="AX13" i="11"/>
  <c r="AS13" i="11"/>
  <c r="AN13" i="11"/>
  <c r="AI13" i="11"/>
  <c r="AD13" i="11"/>
  <c r="Y13" i="11"/>
  <c r="T13" i="11"/>
  <c r="O13" i="11"/>
  <c r="CI12" i="11"/>
  <c r="CD12" i="11"/>
  <c r="CD29" i="11" s="1"/>
  <c r="BY12" i="11"/>
  <c r="BW12" i="11"/>
  <c r="BR12" i="11"/>
  <c r="BM12" i="11"/>
  <c r="BH12" i="11"/>
  <c r="BC12" i="11"/>
  <c r="AX12" i="11"/>
  <c r="AS12" i="11"/>
  <c r="AN12" i="11"/>
  <c r="AI12" i="11"/>
  <c r="AD12" i="11"/>
  <c r="Y12" i="11"/>
  <c r="T12" i="11"/>
  <c r="O12" i="11"/>
  <c r="CP10" i="11"/>
  <c r="CO10" i="11"/>
  <c r="CN10" i="11"/>
  <c r="CM10" i="11"/>
  <c r="CK10" i="11"/>
  <c r="CJ10" i="11"/>
  <c r="CI10" i="11"/>
  <c r="CH10" i="11"/>
  <c r="CF10" i="11"/>
  <c r="CE10" i="11"/>
  <c r="CD10" i="11"/>
  <c r="CC10" i="11"/>
  <c r="CK220" i="10"/>
  <c r="CI220" i="10"/>
  <c r="CH220" i="10"/>
  <c r="CG220" i="10"/>
  <c r="CF220" i="10"/>
  <c r="CD220" i="10"/>
  <c r="CC220" i="10"/>
  <c r="CB220" i="10"/>
  <c r="CA220" i="10"/>
  <c r="BY220" i="10"/>
  <c r="BX220" i="10"/>
  <c r="BW220" i="10"/>
  <c r="BT220" i="10"/>
  <c r="BS220" i="10"/>
  <c r="BR220" i="10"/>
  <c r="BO220" i="10"/>
  <c r="BN220" i="10"/>
  <c r="BM220" i="10"/>
  <c r="BJ220" i="10"/>
  <c r="BI220" i="10"/>
  <c r="BH220" i="10"/>
  <c r="BE220" i="10"/>
  <c r="BD220" i="10"/>
  <c r="BC220" i="10"/>
  <c r="AZ220" i="10"/>
  <c r="AY220" i="10"/>
  <c r="AX220" i="10"/>
  <c r="AU220" i="10"/>
  <c r="AT220" i="10"/>
  <c r="AS220" i="10"/>
  <c r="AP220" i="10"/>
  <c r="AO220" i="10"/>
  <c r="AN220" i="10"/>
  <c r="AK220" i="10"/>
  <c r="AJ220" i="10"/>
  <c r="AI220" i="10"/>
  <c r="AF220" i="10"/>
  <c r="AE220" i="10"/>
  <c r="AD220" i="10"/>
  <c r="AA220" i="10"/>
  <c r="Z220" i="10"/>
  <c r="Y220" i="10"/>
  <c r="BY29" i="11" l="1"/>
  <c r="CI29" i="11"/>
  <c r="CF15" i="11"/>
  <c r="CK15" i="11"/>
  <c r="CD52" i="11"/>
  <c r="BX52" i="11"/>
  <c r="CB12" i="11"/>
  <c r="CE12" i="11"/>
  <c r="CE29" i="11" s="1"/>
  <c r="I53" i="11"/>
  <c r="CJ12" i="11"/>
  <c r="CB15" i="11"/>
  <c r="Y218" i="10"/>
  <c r="Y217" i="10"/>
  <c r="AA216" i="10"/>
  <c r="Z216" i="10"/>
  <c r="Y216" i="10"/>
  <c r="X216" i="10"/>
  <c r="DN215" i="10"/>
  <c r="CO215" i="10"/>
  <c r="CN215" i="10"/>
  <c r="CK215" i="10"/>
  <c r="CJ215" i="10"/>
  <c r="CI215" i="10"/>
  <c r="CH215" i="10"/>
  <c r="CG215" i="10"/>
  <c r="CF215" i="10"/>
  <c r="CE215" i="10"/>
  <c r="CD215" i="10"/>
  <c r="CC215" i="10"/>
  <c r="CB215" i="10"/>
  <c r="CA215" i="10"/>
  <c r="BY215" i="10"/>
  <c r="BX215" i="10"/>
  <c r="BW215" i="10"/>
  <c r="BT215" i="10"/>
  <c r="BS215" i="10"/>
  <c r="BR215" i="10"/>
  <c r="BQ215" i="10"/>
  <c r="BP215" i="10"/>
  <c r="BO215" i="10"/>
  <c r="BN215" i="10"/>
  <c r="BM215" i="10"/>
  <c r="BL215" i="10"/>
  <c r="BK215" i="10"/>
  <c r="BJ215" i="10"/>
  <c r="BI215" i="10"/>
  <c r="BH215" i="10"/>
  <c r="BG215" i="10"/>
  <c r="BF215" i="10"/>
  <c r="BE215" i="10"/>
  <c r="BD215" i="10"/>
  <c r="BC215" i="10"/>
  <c r="BB215" i="10"/>
  <c r="BA215" i="10"/>
  <c r="AZ215" i="10"/>
  <c r="AY215" i="10"/>
  <c r="AX215" i="10"/>
  <c r="AW215" i="10"/>
  <c r="AV215" i="10"/>
  <c r="AU215" i="10"/>
  <c r="AT215" i="10"/>
  <c r="AS215" i="10"/>
  <c r="AR215" i="10"/>
  <c r="AQ215" i="10"/>
  <c r="AP215" i="10"/>
  <c r="AO215" i="10"/>
  <c r="AN215" i="10"/>
  <c r="AM215" i="10"/>
  <c r="AL215" i="10"/>
  <c r="AK215" i="10"/>
  <c r="AJ215" i="10"/>
  <c r="AI215" i="10"/>
  <c r="AH215" i="10"/>
  <c r="AG215" i="10"/>
  <c r="CK212" i="10"/>
  <c r="CI212" i="10"/>
  <c r="CH212" i="10"/>
  <c r="CG212" i="10"/>
  <c r="CF212" i="10"/>
  <c r="CD212" i="10"/>
  <c r="CC212" i="10"/>
  <c r="CB212" i="10"/>
  <c r="CA212" i="10"/>
  <c r="BY212" i="10"/>
  <c r="BX212" i="10"/>
  <c r="BW212" i="10"/>
  <c r="BV212" i="10"/>
  <c r="BT212" i="10"/>
  <c r="BS212" i="10"/>
  <c r="BR212" i="10"/>
  <c r="BQ212" i="10"/>
  <c r="BO212" i="10"/>
  <c r="BN212" i="10"/>
  <c r="BM212" i="10"/>
  <c r="BL212" i="10"/>
  <c r="BJ212" i="10"/>
  <c r="BI212" i="10"/>
  <c r="BH212" i="10"/>
  <c r="BG212" i="10"/>
  <c r="BE212" i="10"/>
  <c r="BD212" i="10"/>
  <c r="BC212" i="10"/>
  <c r="BB212" i="10"/>
  <c r="AZ212" i="10"/>
  <c r="AY212" i="10"/>
  <c r="AX212" i="10"/>
  <c r="AW212" i="10"/>
  <c r="AU212" i="10"/>
  <c r="AT212" i="10"/>
  <c r="AS212" i="10"/>
  <c r="AR212" i="10"/>
  <c r="AP212" i="10"/>
  <c r="AO212" i="10"/>
  <c r="AN212" i="10"/>
  <c r="AM212" i="10"/>
  <c r="AK212" i="10"/>
  <c r="AJ212" i="10"/>
  <c r="AI212" i="10"/>
  <c r="AH212" i="10"/>
  <c r="AF212" i="10"/>
  <c r="AE212" i="10"/>
  <c r="AD212" i="10"/>
  <c r="AC212" i="10"/>
  <c r="AA212" i="10"/>
  <c r="Z212" i="10"/>
  <c r="Y212" i="10"/>
  <c r="X212" i="10"/>
  <c r="B212" i="10"/>
  <c r="BY52" i="11" l="1"/>
  <c r="CF12" i="11"/>
  <c r="CF29" i="11" s="1"/>
  <c r="CI52" i="11"/>
  <c r="CL15" i="11"/>
  <c r="CB29" i="11"/>
  <c r="CL210" i="10"/>
  <c r="CL211" i="10" s="1"/>
  <c r="CI210" i="10"/>
  <c r="CH210" i="10"/>
  <c r="CH211" i="10" s="1"/>
  <c r="CG210" i="10"/>
  <c r="CG211" i="10" s="1"/>
  <c r="CD210" i="10"/>
  <c r="CC210" i="10"/>
  <c r="CB210" i="10"/>
  <c r="BY210" i="10"/>
  <c r="BX210" i="10"/>
  <c r="BW210" i="10"/>
  <c r="BT210" i="10"/>
  <c r="BS210" i="10"/>
  <c r="BR210" i="10"/>
  <c r="BO210" i="10"/>
  <c r="BN210" i="10"/>
  <c r="BM210" i="10"/>
  <c r="BJ210" i="10"/>
  <c r="BI210" i="10"/>
  <c r="BH210" i="10"/>
  <c r="BE210" i="10"/>
  <c r="BD210" i="10"/>
  <c r="BC210" i="10"/>
  <c r="AZ210" i="10"/>
  <c r="AY210" i="10"/>
  <c r="AX210" i="10"/>
  <c r="AU210" i="10"/>
  <c r="AT210" i="10"/>
  <c r="AS210" i="10"/>
  <c r="AP210" i="10"/>
  <c r="AO210" i="10"/>
  <c r="AN210" i="10"/>
  <c r="AK210" i="10"/>
  <c r="AJ210" i="10"/>
  <c r="AI210" i="10"/>
  <c r="AF210" i="10"/>
  <c r="AE210" i="10"/>
  <c r="AD210" i="10"/>
  <c r="AA210" i="10"/>
  <c r="Z210" i="10"/>
  <c r="Y210" i="10"/>
  <c r="V210" i="10"/>
  <c r="B210" i="10"/>
  <c r="CK207" i="10"/>
  <c r="CL205" i="10" s="1"/>
  <c r="CL206" i="10" s="1"/>
  <c r="CI207" i="10"/>
  <c r="CH207" i="10"/>
  <c r="CI205" i="10" s="1"/>
  <c r="CG207" i="10"/>
  <c r="CH205" i="10" s="1"/>
  <c r="CF207" i="10"/>
  <c r="CG205" i="10" s="1"/>
  <c r="CD207" i="10"/>
  <c r="CC207" i="10"/>
  <c r="CD205" i="10" s="1"/>
  <c r="CB207" i="10"/>
  <c r="CC205" i="10" s="1"/>
  <c r="CA207" i="10"/>
  <c r="BY207" i="10"/>
  <c r="BX207" i="10"/>
  <c r="BW207" i="10"/>
  <c r="BV207" i="10"/>
  <c r="BT207" i="10"/>
  <c r="BS207" i="10"/>
  <c r="BR207" i="10"/>
  <c r="BQ207" i="10"/>
  <c r="BO207" i="10"/>
  <c r="BN207" i="10"/>
  <c r="BM207" i="10"/>
  <c r="BL207" i="10"/>
  <c r="BJ207" i="10"/>
  <c r="BI207" i="10"/>
  <c r="BH207" i="10"/>
  <c r="BG207" i="10"/>
  <c r="BE207" i="10"/>
  <c r="BD207" i="10"/>
  <c r="BC207" i="10"/>
  <c r="BB207" i="10"/>
  <c r="AZ207" i="10"/>
  <c r="AY207" i="10"/>
  <c r="AX207" i="10"/>
  <c r="AW207" i="10"/>
  <c r="AU207" i="10"/>
  <c r="AT207" i="10"/>
  <c r="AS207" i="10"/>
  <c r="AR207" i="10"/>
  <c r="AP207" i="10"/>
  <c r="AO207" i="10"/>
  <c r="AN207" i="10"/>
  <c r="AM207" i="10"/>
  <c r="AK207" i="10"/>
  <c r="AJ207" i="10"/>
  <c r="AI207" i="10"/>
  <c r="AH207" i="10"/>
  <c r="AF207" i="10"/>
  <c r="AE207" i="10"/>
  <c r="AD207" i="10"/>
  <c r="AC207" i="10"/>
  <c r="AA207" i="10"/>
  <c r="Z207" i="10"/>
  <c r="Y207" i="10"/>
  <c r="X207" i="10"/>
  <c r="B207" i="10"/>
  <c r="CB205" i="10"/>
  <c r="BY205" i="10"/>
  <c r="BX205" i="10"/>
  <c r="BW205" i="10"/>
  <c r="BT205" i="10"/>
  <c r="BS205" i="10"/>
  <c r="BR205" i="10"/>
  <c r="BO205" i="10"/>
  <c r="BN205" i="10"/>
  <c r="BM205" i="10"/>
  <c r="BJ205" i="10"/>
  <c r="BI205" i="10"/>
  <c r="BH205" i="10"/>
  <c r="BE205" i="10"/>
  <c r="BD205" i="10"/>
  <c r="BC205" i="10"/>
  <c r="AZ205" i="10"/>
  <c r="AY205" i="10"/>
  <c r="AX205" i="10"/>
  <c r="AU205" i="10"/>
  <c r="AT205" i="10"/>
  <c r="AS205" i="10"/>
  <c r="AP205" i="10"/>
  <c r="AO205" i="10"/>
  <c r="AN205" i="10"/>
  <c r="AK205" i="10"/>
  <c r="AJ205" i="10"/>
  <c r="AI205" i="10"/>
  <c r="AF205" i="10"/>
  <c r="AE205" i="10"/>
  <c r="AD205" i="10"/>
  <c r="AA205" i="10"/>
  <c r="Z205" i="10"/>
  <c r="Y205" i="10"/>
  <c r="V205" i="10"/>
  <c r="B205" i="10"/>
  <c r="CK202" i="10"/>
  <c r="CL200" i="10" s="1"/>
  <c r="CI202" i="10"/>
  <c r="CH202" i="10"/>
  <c r="CI200" i="10" s="1"/>
  <c r="CG202" i="10"/>
  <c r="CH200" i="10" s="1"/>
  <c r="CF202" i="10"/>
  <c r="CG200" i="10" s="1"/>
  <c r="CD202" i="10"/>
  <c r="CC202" i="10"/>
  <c r="CD200" i="10" s="1"/>
  <c r="CB202" i="10"/>
  <c r="CC200" i="10" s="1"/>
  <c r="CA202" i="10"/>
  <c r="CB200" i="10" s="1"/>
  <c r="BY202" i="10"/>
  <c r="BX202" i="10"/>
  <c r="BW202" i="10"/>
  <c r="BX200" i="10" s="1"/>
  <c r="BV202" i="10"/>
  <c r="BT202" i="10"/>
  <c r="BS202" i="10"/>
  <c r="BR202" i="10"/>
  <c r="BQ202" i="10"/>
  <c r="BO202" i="10"/>
  <c r="BN202" i="10"/>
  <c r="BM202" i="10"/>
  <c r="BL202" i="10"/>
  <c r="BJ202" i="10"/>
  <c r="BI202" i="10"/>
  <c r="BH202" i="10"/>
  <c r="BG202" i="10"/>
  <c r="BE202" i="10"/>
  <c r="BD202" i="10"/>
  <c r="BC202" i="10"/>
  <c r="BB202" i="10"/>
  <c r="AZ202" i="10"/>
  <c r="AY202" i="10"/>
  <c r="AX202" i="10"/>
  <c r="AW202" i="10"/>
  <c r="AU202" i="10"/>
  <c r="AT202" i="10"/>
  <c r="AS202" i="10"/>
  <c r="AR202" i="10"/>
  <c r="AP202" i="10"/>
  <c r="AO202" i="10"/>
  <c r="AN202" i="10"/>
  <c r="AM202" i="10"/>
  <c r="AK202" i="10"/>
  <c r="AJ202" i="10"/>
  <c r="AI202" i="10"/>
  <c r="AH202" i="10"/>
  <c r="AF202" i="10"/>
  <c r="AE202" i="10"/>
  <c r="AD202" i="10"/>
  <c r="AC202" i="10"/>
  <c r="AA202" i="10"/>
  <c r="Z202" i="10"/>
  <c r="Y202" i="10"/>
  <c r="X202" i="10"/>
  <c r="BY200" i="10"/>
  <c r="BW200" i="10"/>
  <c r="BT200" i="10"/>
  <c r="BS200" i="10"/>
  <c r="BR200" i="10"/>
  <c r="BO200" i="10"/>
  <c r="BN200" i="10"/>
  <c r="BM200" i="10"/>
  <c r="BJ200" i="10"/>
  <c r="BI200" i="10"/>
  <c r="BH200" i="10"/>
  <c r="BE200" i="10"/>
  <c r="BD200" i="10"/>
  <c r="BC200" i="10"/>
  <c r="AZ200" i="10"/>
  <c r="AY200" i="10"/>
  <c r="AX200" i="10"/>
  <c r="AU200" i="10"/>
  <c r="AT200" i="10"/>
  <c r="AS200" i="10"/>
  <c r="AP200" i="10"/>
  <c r="AO200" i="10"/>
  <c r="AN200" i="10"/>
  <c r="AK200" i="10"/>
  <c r="AJ200" i="10"/>
  <c r="AI200" i="10"/>
  <c r="AF200" i="10"/>
  <c r="AE200" i="10"/>
  <c r="AD200" i="10"/>
  <c r="AA200" i="10"/>
  <c r="Z200" i="10"/>
  <c r="Y200" i="10"/>
  <c r="V200" i="10"/>
  <c r="CK197" i="10"/>
  <c r="CL195" i="10" s="1"/>
  <c r="CL196" i="10" s="1"/>
  <c r="CI197" i="10"/>
  <c r="CH197" i="10"/>
  <c r="CI195" i="10" s="1"/>
  <c r="CG197" i="10"/>
  <c r="CH195" i="10" s="1"/>
  <c r="CF197" i="10"/>
  <c r="CG195" i="10" s="1"/>
  <c r="CD197" i="10"/>
  <c r="CC197" i="10"/>
  <c r="CD195" i="10" s="1"/>
  <c r="CB197" i="10"/>
  <c r="CC195" i="10" s="1"/>
  <c r="CA197" i="10"/>
  <c r="BY197" i="10"/>
  <c r="BX197" i="10"/>
  <c r="BW197" i="10"/>
  <c r="BV197" i="10"/>
  <c r="BW195" i="10" s="1"/>
  <c r="BT197" i="10"/>
  <c r="BS197" i="10"/>
  <c r="BR197" i="10"/>
  <c r="BS195" i="10" s="1"/>
  <c r="BQ197" i="10"/>
  <c r="BR195" i="10" s="1"/>
  <c r="BO197" i="10"/>
  <c r="BN197" i="10"/>
  <c r="BM197" i="10"/>
  <c r="BN195" i="10" s="1"/>
  <c r="BL197" i="10"/>
  <c r="BM195" i="10" s="1"/>
  <c r="BJ197" i="10"/>
  <c r="BI197" i="10"/>
  <c r="BH197" i="10"/>
  <c r="BI195" i="10" s="1"/>
  <c r="BG197" i="10"/>
  <c r="BH195" i="10" s="1"/>
  <c r="BE197" i="10"/>
  <c r="BD197" i="10"/>
  <c r="BC197" i="10"/>
  <c r="BB197" i="10"/>
  <c r="AZ197" i="10"/>
  <c r="AY197" i="10"/>
  <c r="AX197" i="10"/>
  <c r="AW197" i="10"/>
  <c r="AU197" i="10"/>
  <c r="AT197" i="10"/>
  <c r="AS197" i="10"/>
  <c r="AR197" i="10"/>
  <c r="AP197" i="10"/>
  <c r="AO197" i="10"/>
  <c r="AN197" i="10"/>
  <c r="AM197" i="10"/>
  <c r="AK197" i="10"/>
  <c r="AJ197" i="10"/>
  <c r="AI197" i="10"/>
  <c r="AH197" i="10"/>
  <c r="AF197" i="10"/>
  <c r="AE197" i="10"/>
  <c r="AD197" i="10"/>
  <c r="AC197" i="10"/>
  <c r="AA197" i="10"/>
  <c r="Z197" i="10"/>
  <c r="Y197" i="10"/>
  <c r="X197" i="10"/>
  <c r="BE195" i="10"/>
  <c r="BD195" i="10"/>
  <c r="BC195" i="10"/>
  <c r="AZ195" i="10"/>
  <c r="AY195" i="10"/>
  <c r="AX195" i="10"/>
  <c r="AU195" i="10"/>
  <c r="AT195" i="10"/>
  <c r="AS195" i="10"/>
  <c r="AP195" i="10"/>
  <c r="AO195" i="10"/>
  <c r="AN195" i="10"/>
  <c r="AK195" i="10"/>
  <c r="AJ195" i="10"/>
  <c r="AI195" i="10"/>
  <c r="AF195" i="10"/>
  <c r="AE195" i="10"/>
  <c r="AD195" i="10"/>
  <c r="AA195" i="10"/>
  <c r="Z195" i="10"/>
  <c r="Y195" i="10"/>
  <c r="V195" i="10"/>
  <c r="CB206" i="10" l="1"/>
  <c r="CD206" i="10"/>
  <c r="CG206" i="10"/>
  <c r="CB195" i="10"/>
  <c r="CA195" i="10" s="1"/>
  <c r="CH206" i="10"/>
  <c r="CC206" i="10"/>
  <c r="CB52" i="11"/>
  <c r="CI190" i="10"/>
  <c r="CH190" i="10"/>
  <c r="CG190" i="10"/>
  <c r="CD190" i="10"/>
  <c r="CC190" i="10"/>
  <c r="CB190" i="10"/>
  <c r="BY190" i="10"/>
  <c r="BX190" i="10"/>
  <c r="BW190" i="10"/>
  <c r="BT190" i="10"/>
  <c r="BS190" i="10"/>
  <c r="BR190" i="10"/>
  <c r="BO190" i="10"/>
  <c r="BN190" i="10"/>
  <c r="BM190" i="10"/>
  <c r="BJ190" i="10"/>
  <c r="BI190" i="10"/>
  <c r="BH190" i="10"/>
  <c r="BE190" i="10"/>
  <c r="BD190" i="10"/>
  <c r="BC190" i="10"/>
  <c r="AZ190" i="10"/>
  <c r="AY190" i="10"/>
  <c r="AX190" i="10"/>
  <c r="AU190" i="10"/>
  <c r="AT190" i="10"/>
  <c r="AS190" i="10"/>
  <c r="AP190" i="10"/>
  <c r="AO190" i="10"/>
  <c r="AN190" i="10"/>
  <c r="AK190" i="10"/>
  <c r="AJ190" i="10"/>
  <c r="AI190" i="10"/>
  <c r="AF190" i="10"/>
  <c r="AE190" i="10"/>
  <c r="AD190" i="10"/>
  <c r="AA190" i="10"/>
  <c r="Z190" i="10"/>
  <c r="Y190" i="10"/>
  <c r="V190" i="10"/>
  <c r="CL189" i="10"/>
  <c r="CI189" i="10"/>
  <c r="CH189" i="10"/>
  <c r="CG189" i="10"/>
  <c r="CD189" i="10"/>
  <c r="CC189" i="10"/>
  <c r="CB189" i="10"/>
  <c r="BY189" i="10"/>
  <c r="BX189" i="10"/>
  <c r="BW189" i="10"/>
  <c r="BT189" i="10"/>
  <c r="BS189" i="10"/>
  <c r="BR189" i="10"/>
  <c r="BO189" i="10"/>
  <c r="BN189" i="10"/>
  <c r="BM189" i="10"/>
  <c r="BJ189" i="10"/>
  <c r="BI189" i="10"/>
  <c r="BH189" i="10"/>
  <c r="BE189" i="10"/>
  <c r="BD189" i="10"/>
  <c r="BC189" i="10"/>
  <c r="AZ189" i="10"/>
  <c r="AY189" i="10"/>
  <c r="AX189" i="10"/>
  <c r="AU189" i="10"/>
  <c r="AT189" i="10"/>
  <c r="AS189" i="10"/>
  <c r="AP189" i="10"/>
  <c r="AO189" i="10"/>
  <c r="AN189" i="10"/>
  <c r="AK189" i="10"/>
  <c r="AJ189" i="10"/>
  <c r="AI189" i="10"/>
  <c r="AF189" i="10"/>
  <c r="AE189" i="10"/>
  <c r="AD189" i="10"/>
  <c r="AA189" i="10"/>
  <c r="Z189" i="10"/>
  <c r="Y189" i="10"/>
  <c r="CI188" i="10"/>
  <c r="CH188" i="10"/>
  <c r="CG188" i="10"/>
  <c r="CD188" i="10"/>
  <c r="CC188" i="10"/>
  <c r="CB188" i="10"/>
  <c r="BY188" i="10"/>
  <c r="BX188" i="10"/>
  <c r="BW188" i="10"/>
  <c r="BT188" i="10"/>
  <c r="BS188" i="10"/>
  <c r="BR188" i="10"/>
  <c r="BO188" i="10"/>
  <c r="BN188" i="10"/>
  <c r="BM188" i="10"/>
  <c r="BJ188" i="10"/>
  <c r="BI188" i="10"/>
  <c r="BH188" i="10"/>
  <c r="BE188" i="10"/>
  <c r="BD188" i="10"/>
  <c r="BC188" i="10"/>
  <c r="AZ188" i="10"/>
  <c r="AY188" i="10"/>
  <c r="AX188" i="10"/>
  <c r="AU188" i="10"/>
  <c r="AT188" i="10"/>
  <c r="AS188" i="10"/>
  <c r="AP188" i="10"/>
  <c r="AO188" i="10"/>
  <c r="AN188" i="10"/>
  <c r="AK188" i="10"/>
  <c r="AJ188" i="10"/>
  <c r="AI188" i="10"/>
  <c r="AF188" i="10"/>
  <c r="AE188" i="10"/>
  <c r="AD188" i="10"/>
  <c r="AA188" i="10"/>
  <c r="Z188" i="10"/>
  <c r="Y188" i="10"/>
  <c r="V188" i="10"/>
  <c r="CL187" i="10"/>
  <c r="CI187" i="10"/>
  <c r="CH187" i="10"/>
  <c r="CG187" i="10"/>
  <c r="CD187" i="10"/>
  <c r="CC187" i="10"/>
  <c r="CB187" i="10"/>
  <c r="BY187" i="10"/>
  <c r="BX187" i="10"/>
  <c r="BW187" i="10"/>
  <c r="BT187" i="10"/>
  <c r="BS187" i="10"/>
  <c r="BR187" i="10"/>
  <c r="BO187" i="10"/>
  <c r="BN187" i="10"/>
  <c r="BM187" i="10"/>
  <c r="BJ187" i="10"/>
  <c r="BI187" i="10"/>
  <c r="BH187" i="10"/>
  <c r="BE187" i="10"/>
  <c r="BD187" i="10"/>
  <c r="BC187" i="10"/>
  <c r="AZ187" i="10"/>
  <c r="AY187" i="10"/>
  <c r="AX187" i="10"/>
  <c r="AU187" i="10"/>
  <c r="AT187" i="10"/>
  <c r="AS187" i="10"/>
  <c r="AP187" i="10"/>
  <c r="AO187" i="10"/>
  <c r="AN187" i="10"/>
  <c r="AK187" i="10"/>
  <c r="AJ187" i="10"/>
  <c r="AI187" i="10"/>
  <c r="AF187" i="10"/>
  <c r="AE187" i="10"/>
  <c r="AD187" i="10"/>
  <c r="AA187" i="10"/>
  <c r="Z187" i="10"/>
  <c r="Y187" i="10"/>
  <c r="DN174" i="10" l="1"/>
  <c r="CO174" i="10"/>
  <c r="BJ174" i="10"/>
  <c r="BI174" i="10"/>
  <c r="BH174" i="10"/>
  <c r="BG174" i="10"/>
  <c r="CE162" i="10" l="1"/>
  <c r="CB162" i="10"/>
  <c r="BC161" i="10"/>
  <c r="BB161" i="10"/>
  <c r="AZ161" i="10"/>
  <c r="AU161" i="10"/>
  <c r="AT161" i="10"/>
  <c r="AP161" i="10"/>
  <c r="CC162" i="10" l="1"/>
  <c r="CL138" i="10"/>
  <c r="CJ160" i="10"/>
  <c r="CJ162" i="10" s="1"/>
  <c r="BP160" i="10"/>
  <c r="BK160" i="10"/>
  <c r="BF160" i="10"/>
  <c r="BA160" i="10"/>
  <c r="BD158" i="10"/>
  <c r="BC158" i="10"/>
  <c r="AU158" i="10"/>
  <c r="CK155" i="10"/>
  <c r="CL153" i="10" s="1"/>
  <c r="CL154" i="10" s="1"/>
  <c r="CI155" i="10"/>
  <c r="CH155" i="10"/>
  <c r="CI153" i="10" s="1"/>
  <c r="CG155" i="10"/>
  <c r="CH153" i="10" s="1"/>
  <c r="CF155" i="10"/>
  <c r="CG153" i="10" s="1"/>
  <c r="CD155" i="10"/>
  <c r="CC155" i="10"/>
  <c r="CD153" i="10" s="1"/>
  <c r="CB155" i="10"/>
  <c r="CC153" i="10" s="1"/>
  <c r="CA155" i="10"/>
  <c r="CB153" i="10" s="1"/>
  <c r="BY155" i="10"/>
  <c r="BX155" i="10"/>
  <c r="BY153" i="10" s="1"/>
  <c r="BW155" i="10"/>
  <c r="BX153" i="10" s="1"/>
  <c r="BV155" i="10"/>
  <c r="BW153" i="10" s="1"/>
  <c r="BT155" i="10"/>
  <c r="BS155" i="10"/>
  <c r="BT153" i="10" s="1"/>
  <c r="BR155" i="10"/>
  <c r="BS153" i="10" s="1"/>
  <c r="BQ155" i="10"/>
  <c r="BR153" i="10" s="1"/>
  <c r="BO155" i="10"/>
  <c r="BN155" i="10"/>
  <c r="BO153" i="10" s="1"/>
  <c r="BM155" i="10"/>
  <c r="BN153" i="10" s="1"/>
  <c r="BL155" i="10"/>
  <c r="BM153" i="10" s="1"/>
  <c r="BJ155" i="10"/>
  <c r="BI155" i="10"/>
  <c r="BJ153" i="10" s="1"/>
  <c r="BH155" i="10"/>
  <c r="BI153" i="10" s="1"/>
  <c r="BG155" i="10"/>
  <c r="BH153" i="10" s="1"/>
  <c r="BE155" i="10"/>
  <c r="BD155" i="10"/>
  <c r="BE153" i="10" s="1"/>
  <c r="BC155" i="10"/>
  <c r="BD153" i="10" s="1"/>
  <c r="BB155" i="10"/>
  <c r="BC153" i="10" s="1"/>
  <c r="AZ155" i="10"/>
  <c r="AY155" i="10"/>
  <c r="AZ153" i="10" s="1"/>
  <c r="AX155" i="10"/>
  <c r="AY153" i="10" s="1"/>
  <c r="AW155" i="10"/>
  <c r="AX153" i="10" s="1"/>
  <c r="AV155" i="10"/>
  <c r="BA153" i="10" s="1"/>
  <c r="AU155" i="10"/>
  <c r="AT155" i="10"/>
  <c r="AU153" i="10" s="1"/>
  <c r="AS155" i="10"/>
  <c r="AT153" i="10" s="1"/>
  <c r="AR155" i="10"/>
  <c r="AS153" i="10" s="1"/>
  <c r="AQ155" i="10"/>
  <c r="AV153" i="10" s="1"/>
  <c r="AP155" i="10"/>
  <c r="AO155" i="10"/>
  <c r="AP153" i="10" s="1"/>
  <c r="AN155" i="10"/>
  <c r="AO153" i="10" s="1"/>
  <c r="AM155" i="10"/>
  <c r="AN153" i="10" s="1"/>
  <c r="AR153" i="10"/>
  <c r="AQ153" i="10"/>
  <c r="AM153" i="10"/>
  <c r="CK149" i="10"/>
  <c r="CG149" i="10"/>
  <c r="CF149" i="10"/>
  <c r="CD149" i="10"/>
  <c r="CC149" i="10"/>
  <c r="CB149" i="10"/>
  <c r="CA149" i="10"/>
  <c r="BY149" i="10"/>
  <c r="BX149" i="10"/>
  <c r="BW149" i="10"/>
  <c r="BV149" i="10"/>
  <c r="BT149" i="10"/>
  <c r="BS149" i="10"/>
  <c r="BR149" i="10"/>
  <c r="BQ149" i="10"/>
  <c r="BO149" i="10"/>
  <c r="BN149" i="10"/>
  <c r="BM149" i="10"/>
  <c r="BL149" i="10"/>
  <c r="BJ149" i="10"/>
  <c r="BI149" i="10"/>
  <c r="BH149" i="10"/>
  <c r="BG149" i="10"/>
  <c r="CF160" i="10" l="1"/>
  <c r="CF162" i="10" s="1"/>
  <c r="CD162" i="10"/>
  <c r="CO162" i="10"/>
  <c r="AW153" i="10"/>
  <c r="CG154" i="10"/>
  <c r="CH154" i="10"/>
  <c r="CH160" i="10"/>
  <c r="CG160" i="10"/>
  <c r="CI160" i="10"/>
  <c r="BE149" i="10"/>
  <c r="BD149" i="10"/>
  <c r="BC149" i="10"/>
  <c r="BB149" i="10"/>
  <c r="AZ149" i="10"/>
  <c r="AY149" i="10"/>
  <c r="AX149" i="10"/>
  <c r="AW149" i="10"/>
  <c r="AV149" i="10"/>
  <c r="AU149" i="10"/>
  <c r="AT149" i="10"/>
  <c r="AS149" i="10"/>
  <c r="AR149" i="10"/>
  <c r="AQ149" i="10"/>
  <c r="AP149" i="10"/>
  <c r="AO149" i="10"/>
  <c r="AN149" i="10"/>
  <c r="AM149" i="10"/>
  <c r="AL149" i="10"/>
  <c r="AK149" i="10"/>
  <c r="AJ149" i="10"/>
  <c r="AI149" i="10"/>
  <c r="AH149" i="10"/>
  <c r="AG149" i="10"/>
  <c r="AF149" i="10"/>
  <c r="AE149" i="10"/>
  <c r="AD149" i="10"/>
  <c r="AC149" i="10"/>
  <c r="AB149" i="10"/>
  <c r="CG162" i="10" l="1"/>
  <c r="CT162" i="10"/>
  <c r="CP162" i="10"/>
  <c r="AT146" i="10"/>
  <c r="AS146" i="10"/>
  <c r="AR146" i="10"/>
  <c r="AQ146" i="10"/>
  <c r="AP146" i="10"/>
  <c r="AO146" i="10"/>
  <c r="AN146" i="10"/>
  <c r="AM146" i="10"/>
  <c r="AL146" i="10"/>
  <c r="AK146" i="10"/>
  <c r="AJ146" i="10"/>
  <c r="AI146" i="10"/>
  <c r="AH146" i="10"/>
  <c r="AG146" i="10"/>
  <c r="AF146" i="10"/>
  <c r="AE146" i="10"/>
  <c r="AD146" i="10"/>
  <c r="AC146" i="10"/>
  <c r="AB146" i="10"/>
  <c r="CH162" i="10" l="1"/>
  <c r="CY162" i="10"/>
  <c r="CP163" i="10"/>
  <c r="CQ162" i="10"/>
  <c r="CI162" i="10" l="1"/>
  <c r="DD162" i="10"/>
  <c r="CZ162" i="10"/>
  <c r="CR162" i="10"/>
  <c r="CE141" i="10"/>
  <c r="BZ141" i="10"/>
  <c r="BU141" i="10"/>
  <c r="BP141" i="10"/>
  <c r="BK141" i="10"/>
  <c r="BF141" i="10"/>
  <c r="BA141" i="10"/>
  <c r="CK139" i="10"/>
  <c r="CK150" i="10" s="1"/>
  <c r="CI140" i="10"/>
  <c r="CG139" i="10"/>
  <c r="CG140" i="10" s="1"/>
  <c r="CF139" i="10"/>
  <c r="CF150" i="10" s="1"/>
  <c r="CD139" i="10"/>
  <c r="CD150" i="10" s="1"/>
  <c r="CC139" i="10"/>
  <c r="CC150" i="10" s="1"/>
  <c r="CB139" i="10"/>
  <c r="CB140" i="10" s="1"/>
  <c r="CA139" i="10"/>
  <c r="CA150" i="10" s="1"/>
  <c r="BY139" i="10"/>
  <c r="BY150" i="10" s="1"/>
  <c r="BX139" i="10"/>
  <c r="BW139" i="10"/>
  <c r="BV139" i="10"/>
  <c r="BT139" i="10"/>
  <c r="BT150" i="10" s="1"/>
  <c r="BS139" i="10"/>
  <c r="BQ139" i="10"/>
  <c r="BQ150" i="10" s="1"/>
  <c r="BO139" i="10"/>
  <c r="BO150" i="10" s="1"/>
  <c r="BM139" i="10"/>
  <c r="BM150" i="10" s="1"/>
  <c r="BL139" i="10"/>
  <c r="BJ139" i="10"/>
  <c r="BJ150" i="10" s="1"/>
  <c r="BI139" i="10"/>
  <c r="BC139" i="10"/>
  <c r="BB139" i="10"/>
  <c r="AZ139" i="10"/>
  <c r="AU139" i="10"/>
  <c r="AP139" i="10"/>
  <c r="AK139" i="10"/>
  <c r="AJ139" i="10"/>
  <c r="AK134" i="10" s="1"/>
  <c r="AI139" i="10"/>
  <c r="AF139" i="10"/>
  <c r="AE139" i="10"/>
  <c r="AD139" i="10"/>
  <c r="CK138" i="10"/>
  <c r="CJ138" i="10" s="1"/>
  <c r="CI138" i="10" s="1"/>
  <c r="CI137" i="10" s="1"/>
  <c r="CH138" i="10"/>
  <c r="CH143" i="10" s="1"/>
  <c r="CG138" i="10"/>
  <c r="CF138" i="10"/>
  <c r="CE138" i="10"/>
  <c r="CD138" i="10" s="1"/>
  <c r="CC138" i="10"/>
  <c r="CB138" i="10"/>
  <c r="CA138" i="10"/>
  <c r="BZ138" i="10"/>
  <c r="BY138" i="10"/>
  <c r="BX138" i="10"/>
  <c r="BW138" i="10"/>
  <c r="BV138" i="10"/>
  <c r="BU138" i="10"/>
  <c r="BS138" i="10"/>
  <c r="BR138" i="10"/>
  <c r="BQ138" i="10"/>
  <c r="BO138" i="10"/>
  <c r="BN138" i="10"/>
  <c r="BM138" i="10"/>
  <c r="BL138" i="10"/>
  <c r="BJ138" i="10"/>
  <c r="BI138" i="10"/>
  <c r="BH138" i="10"/>
  <c r="BG138" i="10"/>
  <c r="BG160" i="10" s="1"/>
  <c r="BE138" i="10"/>
  <c r="BE160" i="10" s="1"/>
  <c r="BD138" i="10"/>
  <c r="BD160" i="10" s="1"/>
  <c r="BC138" i="10"/>
  <c r="BC160" i="10" s="1"/>
  <c r="BB138" i="10"/>
  <c r="AZ138" i="10"/>
  <c r="AZ160" i="10" s="1"/>
  <c r="AY138" i="10"/>
  <c r="AX138" i="10"/>
  <c r="AX160" i="10" s="1"/>
  <c r="AW138" i="10"/>
  <c r="AW160" i="10" s="1"/>
  <c r="CI146" i="10" l="1"/>
  <c r="CI163" i="10"/>
  <c r="DI162" i="10"/>
  <c r="DE162" i="10"/>
  <c r="CS162" i="10"/>
  <c r="DA162" i="10"/>
  <c r="CZ163" i="10"/>
  <c r="BA149" i="10"/>
  <c r="CE149" i="10"/>
  <c r="CA140" i="10"/>
  <c r="CB146" i="10"/>
  <c r="CG146" i="10"/>
  <c r="AU150" i="10"/>
  <c r="AZ150" i="10"/>
  <c r="BX150" i="10"/>
  <c r="BW150" i="10" s="1"/>
  <c r="BV150" i="10" s="1"/>
  <c r="CG150" i="10"/>
  <c r="BF149" i="10"/>
  <c r="BK149" i="10"/>
  <c r="BP149" i="10"/>
  <c r="BU149" i="10"/>
  <c r="BZ149" i="10"/>
  <c r="CJ149" i="10"/>
  <c r="CG143" i="10"/>
  <c r="BI150" i="10"/>
  <c r="BL150" i="10"/>
  <c r="BS150" i="10"/>
  <c r="CB150" i="10"/>
  <c r="AU140" i="10"/>
  <c r="AU146" i="10" s="1"/>
  <c r="AZ140" i="10"/>
  <c r="AZ143" i="10" s="1"/>
  <c r="BI140" i="10"/>
  <c r="BI143" i="10" s="1"/>
  <c r="CF140" i="10"/>
  <c r="CK140" i="10"/>
  <c r="BH160" i="10"/>
  <c r="BI160" i="10"/>
  <c r="BJ160" i="10"/>
  <c r="BN160" i="10"/>
  <c r="BM160" i="10" s="1"/>
  <c r="BL160" i="10" s="1"/>
  <c r="BO160" i="10"/>
  <c r="AY160" i="10"/>
  <c r="BB160" i="10"/>
  <c r="BC159" i="10"/>
  <c r="CK135" i="10"/>
  <c r="CH135" i="10"/>
  <c r="CG135" i="10"/>
  <c r="CF135" i="10"/>
  <c r="CE135" i="10"/>
  <c r="CD135" i="10"/>
  <c r="CC135" i="10"/>
  <c r="CB135" i="10"/>
  <c r="CA135" i="10"/>
  <c r="BZ135" i="10"/>
  <c r="BY135" i="10"/>
  <c r="BX135" i="10"/>
  <c r="BW135" i="10"/>
  <c r="BV135" i="10"/>
  <c r="BU135" i="10"/>
  <c r="BT135" i="10"/>
  <c r="BS135" i="10"/>
  <c r="BR135" i="10"/>
  <c r="BQ135" i="10"/>
  <c r="BP135" i="10"/>
  <c r="BO135" i="10"/>
  <c r="BN135" i="10"/>
  <c r="BM135" i="10"/>
  <c r="BL135" i="10"/>
  <c r="BK135" i="10"/>
  <c r="BJ135" i="10"/>
  <c r="BI135" i="10"/>
  <c r="BH135" i="10"/>
  <c r="BG135" i="10"/>
  <c r="BF135" i="10"/>
  <c r="BE135" i="10"/>
  <c r="BD135" i="10"/>
  <c r="BC135" i="10"/>
  <c r="BB135" i="10"/>
  <c r="BA135" i="10"/>
  <c r="AZ135" i="10"/>
  <c r="AY135" i="10"/>
  <c r="AX135" i="10"/>
  <c r="AW135" i="10"/>
  <c r="AV135" i="10"/>
  <c r="AU135" i="10"/>
  <c r="AT135" i="10"/>
  <c r="AS135" i="10"/>
  <c r="AR135" i="10"/>
  <c r="AQ135" i="10"/>
  <c r="AP135" i="10"/>
  <c r="AO135" i="10"/>
  <c r="AN135" i="10"/>
  <c r="AM135" i="10"/>
  <c r="AJ135" i="10"/>
  <c r="AI135" i="10"/>
  <c r="AH135" i="10"/>
  <c r="AG135" i="10"/>
  <c r="AF135" i="10"/>
  <c r="AE135" i="10"/>
  <c r="AD135" i="10"/>
  <c r="AC135" i="10"/>
  <c r="AB135" i="10"/>
  <c r="CL134" i="10"/>
  <c r="CL137" i="10" s="1"/>
  <c r="CH134" i="10"/>
  <c r="CG134" i="10"/>
  <c r="CD134" i="10"/>
  <c r="CC134" i="10"/>
  <c r="CB134" i="10"/>
  <c r="BY134" i="10"/>
  <c r="BX134" i="10"/>
  <c r="BW134" i="10"/>
  <c r="BT134" i="10"/>
  <c r="BR134" i="10"/>
  <c r="BN134" i="10"/>
  <c r="BM134" i="10"/>
  <c r="BJ134" i="10"/>
  <c r="BD134" i="10"/>
  <c r="BC134" i="10"/>
  <c r="AJ134" i="10"/>
  <c r="AF134" i="10"/>
  <c r="AE134" i="10"/>
  <c r="CK131" i="10"/>
  <c r="CL128" i="10" s="1"/>
  <c r="CL129" i="10" s="1"/>
  <c r="CI131" i="10"/>
  <c r="CH131" i="10"/>
  <c r="CI128" i="10" s="1"/>
  <c r="CG131" i="10"/>
  <c r="CH128" i="10" s="1"/>
  <c r="CF131" i="10"/>
  <c r="CG128" i="10" s="1"/>
  <c r="CD131" i="10"/>
  <c r="CC131" i="10"/>
  <c r="CD128" i="10" s="1"/>
  <c r="CB131" i="10"/>
  <c r="CC128" i="10" s="1"/>
  <c r="CA131" i="10"/>
  <c r="CB128" i="10" s="1"/>
  <c r="BY131" i="10"/>
  <c r="BX131" i="10"/>
  <c r="BY128" i="10" s="1"/>
  <c r="BW131" i="10"/>
  <c r="BX128" i="10" s="1"/>
  <c r="BV131" i="10"/>
  <c r="BW128" i="10" s="1"/>
  <c r="BT131" i="10"/>
  <c r="BS131" i="10"/>
  <c r="BT128" i="10" s="1"/>
  <c r="BR131" i="10"/>
  <c r="BS128" i="10" s="1"/>
  <c r="BQ131" i="10"/>
  <c r="BR128" i="10" s="1"/>
  <c r="BO131" i="10"/>
  <c r="BN131" i="10"/>
  <c r="BO128" i="10" s="1"/>
  <c r="BM131" i="10"/>
  <c r="BN128" i="10" s="1"/>
  <c r="BL131" i="10"/>
  <c r="BM128" i="10" s="1"/>
  <c r="BJ131" i="10"/>
  <c r="BI131" i="10"/>
  <c r="BJ128" i="10" s="1"/>
  <c r="BH131" i="10"/>
  <c r="BI128" i="10" s="1"/>
  <c r="BG131" i="10"/>
  <c r="BH128" i="10" s="1"/>
  <c r="BE131" i="10"/>
  <c r="BD131" i="10"/>
  <c r="BE128" i="10" s="1"/>
  <c r="BC131" i="10"/>
  <c r="BD128" i="10" s="1"/>
  <c r="BB131" i="10"/>
  <c r="BC128" i="10" s="1"/>
  <c r="AZ131" i="10"/>
  <c r="AY131" i="10"/>
  <c r="AZ128" i="10" s="1"/>
  <c r="AX131" i="10"/>
  <c r="AY128" i="10" s="1"/>
  <c r="AW131" i="10"/>
  <c r="AX128" i="10" s="1"/>
  <c r="AU131" i="10"/>
  <c r="AT131" i="10"/>
  <c r="AU128" i="10" s="1"/>
  <c r="AS131" i="10"/>
  <c r="AT128" i="10" s="1"/>
  <c r="AR131" i="10"/>
  <c r="AS128" i="10" s="1"/>
  <c r="AP131" i="10"/>
  <c r="AO131" i="10"/>
  <c r="AP128" i="10" s="1"/>
  <c r="AN131" i="10"/>
  <c r="AO128" i="10" s="1"/>
  <c r="AM131" i="10"/>
  <c r="AN128" i="10" s="1"/>
  <c r="AK131" i="10"/>
  <c r="AJ131" i="10"/>
  <c r="AK128" i="10" s="1"/>
  <c r="AI131" i="10"/>
  <c r="AJ128" i="10" s="1"/>
  <c r="AH131" i="10"/>
  <c r="AI128" i="10" s="1"/>
  <c r="AF131" i="10"/>
  <c r="AE131" i="10"/>
  <c r="AF128" i="10" s="1"/>
  <c r="AD131" i="10"/>
  <c r="AE128" i="10" s="1"/>
  <c r="AC131" i="10"/>
  <c r="AD128" i="10" s="1"/>
  <c r="CJ130" i="10"/>
  <c r="CE130" i="10"/>
  <c r="CK125" i="10"/>
  <c r="CL123" i="10" s="1"/>
  <c r="CL124" i="10" s="1"/>
  <c r="CI125" i="10"/>
  <c r="CH125" i="10"/>
  <c r="CI123" i="10" s="1"/>
  <c r="CG125" i="10"/>
  <c r="CH123" i="10" s="1"/>
  <c r="CF125" i="10"/>
  <c r="CG123" i="10" s="1"/>
  <c r="CD125" i="10"/>
  <c r="CC125" i="10"/>
  <c r="CD123" i="10" s="1"/>
  <c r="CB125" i="10"/>
  <c r="CC123" i="10" s="1"/>
  <c r="CA125" i="10"/>
  <c r="CB123" i="10" s="1"/>
  <c r="BY125" i="10"/>
  <c r="BX125" i="10"/>
  <c r="BY123" i="10" s="1"/>
  <c r="BW125" i="10"/>
  <c r="BX123" i="10" s="1"/>
  <c r="BV125" i="10"/>
  <c r="BW123" i="10" s="1"/>
  <c r="BT125" i="10"/>
  <c r="BS125" i="10"/>
  <c r="BT123" i="10" s="1"/>
  <c r="BR125" i="10"/>
  <c r="BS123" i="10" s="1"/>
  <c r="BQ125" i="10"/>
  <c r="BR123" i="10" s="1"/>
  <c r="BO125" i="10"/>
  <c r="BN125" i="10"/>
  <c r="BO123" i="10" s="1"/>
  <c r="BM125" i="10"/>
  <c r="BN123" i="10" s="1"/>
  <c r="BL125" i="10"/>
  <c r="BM123" i="10" s="1"/>
  <c r="BJ125" i="10"/>
  <c r="BI125" i="10"/>
  <c r="BJ123" i="10" s="1"/>
  <c r="BH125" i="10"/>
  <c r="BI123" i="10" s="1"/>
  <c r="BG125" i="10"/>
  <c r="BH123" i="10" s="1"/>
  <c r="BE125" i="10"/>
  <c r="BD125" i="10"/>
  <c r="BE123" i="10" s="1"/>
  <c r="BC125" i="10"/>
  <c r="BD123" i="10" s="1"/>
  <c r="BB125" i="10"/>
  <c r="BC123" i="10" s="1"/>
  <c r="AZ125" i="10"/>
  <c r="AY125" i="10"/>
  <c r="AZ123" i="10" s="1"/>
  <c r="AX125" i="10"/>
  <c r="AY123" i="10" s="1"/>
  <c r="AW125" i="10"/>
  <c r="AX123" i="10" s="1"/>
  <c r="AU125" i="10"/>
  <c r="AT125" i="10"/>
  <c r="AU123" i="10" s="1"/>
  <c r="AS125" i="10"/>
  <c r="AT123" i="10" s="1"/>
  <c r="AR125" i="10"/>
  <c r="AS123" i="10" s="1"/>
  <c r="AP125" i="10"/>
  <c r="AO125" i="10"/>
  <c r="AP123" i="10" s="1"/>
  <c r="AN125" i="10"/>
  <c r="AO123" i="10" s="1"/>
  <c r="AM125" i="10"/>
  <c r="AN123" i="10" s="1"/>
  <c r="AK125" i="10"/>
  <c r="AJ125" i="10"/>
  <c r="AK123" i="10" s="1"/>
  <c r="AI125" i="10"/>
  <c r="AJ123" i="10" s="1"/>
  <c r="AH125" i="10"/>
  <c r="AI123" i="10" s="1"/>
  <c r="AF125" i="10"/>
  <c r="AE125" i="10"/>
  <c r="AF123" i="10" s="1"/>
  <c r="AD125" i="10"/>
  <c r="AE123" i="10" s="1"/>
  <c r="AC125" i="10"/>
  <c r="AD123" i="10" s="1"/>
  <c r="CK118" i="10"/>
  <c r="CI118" i="10"/>
  <c r="CH118" i="10"/>
  <c r="CG118" i="10"/>
  <c r="CE118" i="10"/>
  <c r="CD118" i="10"/>
  <c r="CC118" i="10"/>
  <c r="CB118" i="10"/>
  <c r="CA118" i="10"/>
  <c r="BU118" i="10"/>
  <c r="BP118" i="10"/>
  <c r="BO118" i="10"/>
  <c r="BK118" i="10"/>
  <c r="CJ117" i="10"/>
  <c r="CE117" i="10"/>
  <c r="DF162" i="10" l="1"/>
  <c r="CF143" i="10"/>
  <c r="CI147" i="10"/>
  <c r="CI148" i="10" s="1"/>
  <c r="DN162" i="10"/>
  <c r="DG162" i="10"/>
  <c r="DF163" i="10"/>
  <c r="CS163" i="10"/>
  <c r="DE163" i="10"/>
  <c r="DA163" i="10"/>
  <c r="DB162" i="10"/>
  <c r="CD129" i="10"/>
  <c r="CG147" i="10"/>
  <c r="CG148" i="10" s="1"/>
  <c r="CD124" i="10"/>
  <c r="CH124" i="10"/>
  <c r="CC124" i="10"/>
  <c r="CC129" i="10"/>
  <c r="CH147" i="10"/>
  <c r="CH148" i="10" s="1"/>
  <c r="CB124" i="10"/>
  <c r="CB129" i="10"/>
  <c r="CF146" i="10"/>
  <c r="CF147" i="10" s="1"/>
  <c r="CF148" i="10" s="1"/>
  <c r="CA146" i="10"/>
  <c r="CA147" i="10" s="1"/>
  <c r="CG124" i="10"/>
  <c r="CB147" i="10"/>
  <c r="CB148" i="10" s="1"/>
  <c r="CJ115" i="10"/>
  <c r="CL115" i="10"/>
  <c r="CL116" i="10" s="1"/>
  <c r="CK146" i="10"/>
  <c r="CK147" i="10" s="1"/>
  <c r="CB137" i="10"/>
  <c r="CC137" i="10"/>
  <c r="CD137" i="10"/>
  <c r="CG137" i="10"/>
  <c r="CH137" i="10"/>
  <c r="DK62" i="9"/>
  <c r="BC137" i="10"/>
  <c r="BM137" i="10"/>
  <c r="BY137" i="10"/>
  <c r="CN115" i="10"/>
  <c r="AK137" i="10"/>
  <c r="AJ137" i="10" s="1"/>
  <c r="BJ137" i="10"/>
  <c r="BX137" i="10"/>
  <c r="BW137" i="10" s="1"/>
  <c r="CI115" i="10"/>
  <c r="CI120" i="10" s="1"/>
  <c r="CH115" i="10"/>
  <c r="CG115" i="10"/>
  <c r="CF115" i="10"/>
  <c r="CF116" i="10" s="1"/>
  <c r="CD115" i="10"/>
  <c r="CD116" i="10" s="1"/>
  <c r="CC115" i="10"/>
  <c r="CC120" i="10" s="1"/>
  <c r="CB115" i="10"/>
  <c r="CB116" i="10" s="1"/>
  <c r="BZ115" i="10"/>
  <c r="BV115" i="10"/>
  <c r="BU115" i="10"/>
  <c r="BQ115" i="10"/>
  <c r="BP115" i="10"/>
  <c r="BL115" i="10"/>
  <c r="DS162" i="10" l="1"/>
  <c r="DG163" i="10"/>
  <c r="DH162" i="10"/>
  <c r="DB163" i="10"/>
  <c r="DC162" i="10"/>
  <c r="CA148" i="10"/>
  <c r="CL120" i="10"/>
  <c r="CB120" i="10"/>
  <c r="CC116" i="10"/>
  <c r="CF120" i="10"/>
  <c r="CG120" i="10"/>
  <c r="CG116" i="10"/>
  <c r="CH120" i="10"/>
  <c r="CH116" i="10"/>
  <c r="CD140" i="10"/>
  <c r="W112" i="10"/>
  <c r="CJ110" i="10"/>
  <c r="CO108" i="10" s="1"/>
  <c r="CE110" i="10"/>
  <c r="CJ108" i="10" s="1"/>
  <c r="BZ110" i="10"/>
  <c r="CA108" i="10" s="1"/>
  <c r="BU110" i="10"/>
  <c r="BV108" i="10" s="1"/>
  <c r="BP110" i="10"/>
  <c r="BU108" i="10" s="1"/>
  <c r="BK110" i="10"/>
  <c r="BP108" i="10" s="1"/>
  <c r="BF110" i="10"/>
  <c r="BK108" i="10" s="1"/>
  <c r="BA110" i="10"/>
  <c r="BF108" i="10" s="1"/>
  <c r="AV110" i="10"/>
  <c r="BA108" i="10" s="1"/>
  <c r="AQ110" i="10"/>
  <c r="AV108" i="10" s="1"/>
  <c r="AL110" i="10"/>
  <c r="AQ108" i="10" s="1"/>
  <c r="AG110" i="10"/>
  <c r="AH108" i="10" s="1"/>
  <c r="AB110" i="10"/>
  <c r="AC108" i="10" s="1"/>
  <c r="W109" i="10"/>
  <c r="CL108" i="10"/>
  <c r="CI108" i="10"/>
  <c r="CI112" i="10" s="1"/>
  <c r="CH108" i="10"/>
  <c r="CH109" i="10" s="1"/>
  <c r="CG108" i="10"/>
  <c r="CG109" i="10" s="1"/>
  <c r="CD108" i="10"/>
  <c r="CD112" i="10" s="1"/>
  <c r="CC108" i="10"/>
  <c r="CB108" i="10"/>
  <c r="CB109" i="10" s="1"/>
  <c r="BY108" i="10"/>
  <c r="BY112" i="10" s="1"/>
  <c r="BX108" i="10"/>
  <c r="BW108" i="10"/>
  <c r="BT108" i="10"/>
  <c r="BT109" i="10" s="1"/>
  <c r="BS108" i="10"/>
  <c r="BR108" i="10"/>
  <c r="BO108" i="10"/>
  <c r="BO109" i="10" s="1"/>
  <c r="BN108" i="10"/>
  <c r="BM108" i="10"/>
  <c r="BJ108" i="10"/>
  <c r="BJ109" i="10" s="1"/>
  <c r="BI108" i="10"/>
  <c r="BH108" i="10"/>
  <c r="BE108" i="10"/>
  <c r="BE109" i="10" s="1"/>
  <c r="BD108" i="10"/>
  <c r="BC108" i="10"/>
  <c r="AZ108" i="10"/>
  <c r="AZ109" i="10" s="1"/>
  <c r="AY108" i="10"/>
  <c r="AX108" i="10"/>
  <c r="AU108" i="10"/>
  <c r="AU109" i="10" s="1"/>
  <c r="AT108" i="10"/>
  <c r="AS108" i="10"/>
  <c r="AP108" i="10"/>
  <c r="AP109" i="10" s="1"/>
  <c r="AO108" i="10"/>
  <c r="AN108" i="10"/>
  <c r="AK108" i="10"/>
  <c r="AK109" i="10" s="1"/>
  <c r="AJ108" i="10"/>
  <c r="AI108" i="10"/>
  <c r="AF108" i="10"/>
  <c r="AF109" i="10" s="1"/>
  <c r="AE108" i="10"/>
  <c r="AD108" i="10"/>
  <c r="AB108" i="10"/>
  <c r="AA108" i="10"/>
  <c r="AA109" i="10" s="1"/>
  <c r="Z108" i="10"/>
  <c r="Y108" i="10"/>
  <c r="X108" i="10"/>
  <c r="DH163" i="10" l="1"/>
  <c r="BB108" i="10"/>
  <c r="AW108" i="10"/>
  <c r="BQ108" i="10"/>
  <c r="BZ108" i="10"/>
  <c r="BZ109" i="10" s="1"/>
  <c r="BY109" i="10" s="1"/>
  <c r="BX109" i="10" s="1"/>
  <c r="BW109" i="10" s="1"/>
  <c r="BV109" i="10" s="1"/>
  <c r="BU109" i="10" s="1"/>
  <c r="AG108" i="10"/>
  <c r="AG112" i="10" s="1"/>
  <c r="AF112" i="10" s="1"/>
  <c r="AE112" i="10" s="1"/>
  <c r="AD112" i="10" s="1"/>
  <c r="AC112" i="10" s="1"/>
  <c r="AL108" i="10"/>
  <c r="AL112" i="10" s="1"/>
  <c r="AK112" i="10" s="1"/>
  <c r="AJ112" i="10" s="1"/>
  <c r="AI112" i="10" s="1"/>
  <c r="AH112" i="10" s="1"/>
  <c r="BG108" i="10"/>
  <c r="DT162" i="10"/>
  <c r="DX162" i="10"/>
  <c r="AM108" i="10"/>
  <c r="AR108" i="10"/>
  <c r="BL108" i="10"/>
  <c r="CE108" i="10"/>
  <c r="CE109" i="10" s="1"/>
  <c r="CF108" i="10"/>
  <c r="CF109" i="10" s="1"/>
  <c r="CK108" i="10"/>
  <c r="CK109" i="10" s="1"/>
  <c r="DC163" i="10"/>
  <c r="CJ109" i="10"/>
  <c r="AE109" i="10"/>
  <c r="AO109" i="10"/>
  <c r="AY109" i="10"/>
  <c r="BI109" i="10"/>
  <c r="BS109" i="10"/>
  <c r="CA109" i="10"/>
  <c r="CI109" i="10"/>
  <c r="AN109" i="10"/>
  <c r="Z109" i="10"/>
  <c r="Y109" i="10" s="1"/>
  <c r="X109" i="10" s="1"/>
  <c r="AJ109" i="10"/>
  <c r="AI109" i="10" s="1"/>
  <c r="AH109" i="10" s="1"/>
  <c r="AT109" i="10"/>
  <c r="AS109" i="10" s="1"/>
  <c r="BD109" i="10"/>
  <c r="BC109" i="10" s="1"/>
  <c r="BN109" i="10"/>
  <c r="BM109" i="10" s="1"/>
  <c r="BX112" i="10"/>
  <c r="BW112" i="10" s="1"/>
  <c r="BV112" i="10" s="1"/>
  <c r="AB112" i="10"/>
  <c r="AA112" i="10" s="1"/>
  <c r="Z112" i="10" s="1"/>
  <c r="Y112" i="10" s="1"/>
  <c r="X112" i="10" s="1"/>
  <c r="AV112" i="10"/>
  <c r="AU112" i="10" s="1"/>
  <c r="AT112" i="10" s="1"/>
  <c r="AS112" i="10" s="1"/>
  <c r="BF112" i="10"/>
  <c r="BE112" i="10" s="1"/>
  <c r="BD112" i="10" s="1"/>
  <c r="BC112" i="10" s="1"/>
  <c r="BP112" i="10"/>
  <c r="BO112" i="10" s="1"/>
  <c r="BN112" i="10" s="1"/>
  <c r="BM112" i="10" s="1"/>
  <c r="CL109" i="10"/>
  <c r="CL112" i="10"/>
  <c r="AD109" i="10"/>
  <c r="AC109" i="10" s="1"/>
  <c r="AB109" i="10" s="1"/>
  <c r="AX109" i="10"/>
  <c r="BH109" i="10"/>
  <c r="BR109" i="10"/>
  <c r="AQ112" i="10"/>
  <c r="AP112" i="10" s="1"/>
  <c r="AO112" i="10" s="1"/>
  <c r="AN112" i="10" s="1"/>
  <c r="BA112" i="10"/>
  <c r="AZ112" i="10" s="1"/>
  <c r="AY112" i="10" s="1"/>
  <c r="AX112" i="10" s="1"/>
  <c r="BK112" i="10"/>
  <c r="BJ112" i="10" s="1"/>
  <c r="BI112" i="10" s="1"/>
  <c r="BH112" i="10" s="1"/>
  <c r="BU112" i="10"/>
  <c r="BT112" i="10" s="1"/>
  <c r="BS112" i="10" s="1"/>
  <c r="BR112" i="10" s="1"/>
  <c r="CC140" i="10"/>
  <c r="CD146" i="10"/>
  <c r="CD143" i="10"/>
  <c r="CC112" i="10"/>
  <c r="CB112" i="10" s="1"/>
  <c r="CA112" i="10" s="1"/>
  <c r="CH112" i="10"/>
  <c r="CG112" i="10" s="1"/>
  <c r="CD109" i="10"/>
  <c r="CC109" i="10" s="1"/>
  <c r="CJ112" i="10"/>
  <c r="CE104" i="10"/>
  <c r="CD104" i="10"/>
  <c r="CC104" i="10"/>
  <c r="CB104" i="10"/>
  <c r="CA104" i="10"/>
  <c r="BZ104" i="10"/>
  <c r="BY104" i="10"/>
  <c r="BX104" i="10"/>
  <c r="BW104" i="10"/>
  <c r="BV104" i="10"/>
  <c r="BU104" i="10"/>
  <c r="BT104" i="10"/>
  <c r="BS104" i="10"/>
  <c r="BR104" i="10"/>
  <c r="BQ104" i="10"/>
  <c r="BP104" i="10"/>
  <c r="BO104" i="10"/>
  <c r="BN104" i="10"/>
  <c r="BM104" i="10"/>
  <c r="BL104" i="10"/>
  <c r="BK104" i="10"/>
  <c r="BJ104" i="10"/>
  <c r="BI104" i="10"/>
  <c r="BH104" i="10"/>
  <c r="BG104" i="10"/>
  <c r="BF104" i="10"/>
  <c r="BE104" i="10"/>
  <c r="BD104" i="10"/>
  <c r="BC104" i="10"/>
  <c r="BB104" i="10"/>
  <c r="BA104" i="10"/>
  <c r="AZ104" i="10"/>
  <c r="AY104" i="10"/>
  <c r="AX104" i="10"/>
  <c r="AW104" i="10"/>
  <c r="AV104" i="10"/>
  <c r="AU104" i="10"/>
  <c r="AT104" i="10"/>
  <c r="AS104" i="10"/>
  <c r="AR104" i="10"/>
  <c r="AQ104" i="10"/>
  <c r="AP104" i="10"/>
  <c r="AO104" i="10"/>
  <c r="AN104" i="10"/>
  <c r="AM104" i="10"/>
  <c r="AL104" i="10"/>
  <c r="AK104" i="10"/>
  <c r="AJ104" i="10"/>
  <c r="AI104" i="10"/>
  <c r="AH104" i="10"/>
  <c r="AG104" i="10"/>
  <c r="AF104" i="10"/>
  <c r="AE104" i="10"/>
  <c r="AD104" i="10"/>
  <c r="AC104" i="10"/>
  <c r="AB104" i="10"/>
  <c r="AA104" i="10"/>
  <c r="Z104" i="10"/>
  <c r="Y104" i="10"/>
  <c r="X104" i="10"/>
  <c r="W104" i="10"/>
  <c r="V104" i="10"/>
  <c r="U104" i="10"/>
  <c r="T104" i="10"/>
  <c r="S104" i="10"/>
  <c r="R104" i="10"/>
  <c r="Q104" i="10"/>
  <c r="P104" i="10"/>
  <c r="O104" i="10"/>
  <c r="N104" i="10"/>
  <c r="M104" i="10"/>
  <c r="L104" i="10"/>
  <c r="K104" i="10"/>
  <c r="J104" i="10"/>
  <c r="I104" i="10"/>
  <c r="H104" i="10"/>
  <c r="G104" i="10"/>
  <c r="F104" i="10"/>
  <c r="E104" i="10"/>
  <c r="D104" i="10"/>
  <c r="C104" i="10"/>
  <c r="CK103" i="10"/>
  <c r="CI103" i="10"/>
  <c r="CH103" i="10"/>
  <c r="CG103" i="10"/>
  <c r="CF103" i="10"/>
  <c r="EC162" i="10" l="1"/>
  <c r="DU162" i="10"/>
  <c r="BB109" i="10"/>
  <c r="BA109" i="10" s="1"/>
  <c r="BB112" i="10"/>
  <c r="AW109" i="10"/>
  <c r="AV109" i="10" s="1"/>
  <c r="BQ112" i="10"/>
  <c r="AG109" i="10"/>
  <c r="AW112" i="10"/>
  <c r="BQ109" i="10"/>
  <c r="BP109" i="10" s="1"/>
  <c r="BZ112" i="10"/>
  <c r="BG109" i="10"/>
  <c r="BF109" i="10" s="1"/>
  <c r="BL112" i="10"/>
  <c r="BG112" i="10"/>
  <c r="DT163" i="10"/>
  <c r="CF112" i="10"/>
  <c r="CE112" i="10" s="1"/>
  <c r="AM112" i="10"/>
  <c r="AM109" i="10"/>
  <c r="AL109" i="10" s="1"/>
  <c r="AR109" i="10"/>
  <c r="AQ109" i="10" s="1"/>
  <c r="AR112" i="10"/>
  <c r="BL109" i="10"/>
  <c r="BK109" i="10" s="1"/>
  <c r="CC146" i="10"/>
  <c r="CC143" i="10"/>
  <c r="CB143" i="10" s="1"/>
  <c r="CA143" i="10" s="1"/>
  <c r="W186" i="10"/>
  <c r="V186" i="10" s="1"/>
  <c r="AB186" i="10"/>
  <c r="AA186" i="10" s="1"/>
  <c r="Z186" i="10" s="1"/>
  <c r="Y186" i="10" s="1"/>
  <c r="X186" i="10" s="1"/>
  <c r="AG186" i="10"/>
  <c r="AF186" i="10" s="1"/>
  <c r="AE186" i="10" s="1"/>
  <c r="AD186" i="10" s="1"/>
  <c r="AC186" i="10" s="1"/>
  <c r="AL186" i="10"/>
  <c r="AK186" i="10" s="1"/>
  <c r="AJ186" i="10" s="1"/>
  <c r="AI186" i="10" s="1"/>
  <c r="AH186" i="10" s="1"/>
  <c r="AQ186" i="10"/>
  <c r="AP186" i="10" s="1"/>
  <c r="AO186" i="10" s="1"/>
  <c r="AN186" i="10" s="1"/>
  <c r="AM186" i="10" s="1"/>
  <c r="AV186" i="10"/>
  <c r="AU186" i="10" s="1"/>
  <c r="AT186" i="10" s="1"/>
  <c r="AS186" i="10" s="1"/>
  <c r="AR186" i="10" s="1"/>
  <c r="BA186" i="10"/>
  <c r="AZ186" i="10" s="1"/>
  <c r="AY186" i="10" s="1"/>
  <c r="AX186" i="10" s="1"/>
  <c r="AW186" i="10" s="1"/>
  <c r="BF186" i="10"/>
  <c r="BE186" i="10" s="1"/>
  <c r="BD186" i="10" s="1"/>
  <c r="BC186" i="10" s="1"/>
  <c r="BB186" i="10" s="1"/>
  <c r="BK186" i="10"/>
  <c r="BJ186" i="10" s="1"/>
  <c r="BI186" i="10" s="1"/>
  <c r="BH186" i="10" s="1"/>
  <c r="BG186" i="10" s="1"/>
  <c r="BL186" i="10"/>
  <c r="BM186" i="10"/>
  <c r="BN186" i="10"/>
  <c r="BO186" i="10"/>
  <c r="BP186" i="10"/>
  <c r="BQ186" i="10"/>
  <c r="BR186" i="10"/>
  <c r="BS186" i="10"/>
  <c r="BT186" i="10"/>
  <c r="BU186" i="10"/>
  <c r="BV186" i="10"/>
  <c r="BW186" i="10"/>
  <c r="BX186" i="10"/>
  <c r="BY186" i="10"/>
  <c r="BZ186" i="10"/>
  <c r="CA186" i="10"/>
  <c r="CB186" i="10"/>
  <c r="CC186" i="10"/>
  <c r="CD186" i="10"/>
  <c r="CE186" i="10"/>
  <c r="DU163" i="10" l="1"/>
  <c r="EH162" i="10"/>
  <c r="CK101" i="10"/>
  <c r="CI101" i="10"/>
  <c r="CH101" i="10"/>
  <c r="CF101" i="10"/>
  <c r="CE101" i="10"/>
  <c r="CD101" i="10"/>
  <c r="CC101" i="10"/>
  <c r="CB101" i="10"/>
  <c r="CA101" i="10"/>
  <c r="BZ101" i="10"/>
  <c r="BX101" i="10"/>
  <c r="BW101" i="10"/>
  <c r="BV101" i="10"/>
  <c r="BU101" i="10"/>
  <c r="BT101" i="10"/>
  <c r="BS101" i="10"/>
  <c r="BR101" i="10"/>
  <c r="BQ101" i="10"/>
  <c r="BP101" i="10"/>
  <c r="BO101" i="10"/>
  <c r="BN101" i="10"/>
  <c r="BM101" i="10"/>
  <c r="BL101" i="10"/>
  <c r="BJ101" i="10"/>
  <c r="BI101" i="10"/>
  <c r="BH101" i="10"/>
  <c r="BG101" i="10"/>
  <c r="BE101" i="10"/>
  <c r="BD101" i="10"/>
  <c r="BC101" i="10"/>
  <c r="BB101" i="10"/>
  <c r="AZ101" i="10"/>
  <c r="AY101" i="10"/>
  <c r="AX101" i="10"/>
  <c r="AW101" i="10"/>
  <c r="AU101" i="10"/>
  <c r="AT101" i="10"/>
  <c r="AS101" i="10"/>
  <c r="AR101" i="10"/>
  <c r="AP101" i="10"/>
  <c r="AO101" i="10"/>
  <c r="AN101" i="10"/>
  <c r="AM101" i="10"/>
  <c r="AT97" i="10"/>
  <c r="AS97" i="10"/>
  <c r="AR97" i="10"/>
  <c r="AP97" i="10"/>
  <c r="AO97" i="10"/>
  <c r="AN97" i="10"/>
  <c r="AM97" i="10"/>
  <c r="AK97" i="10"/>
  <c r="AJ97" i="10"/>
  <c r="AI97" i="10"/>
  <c r="AH97" i="10"/>
  <c r="AF97" i="10"/>
  <c r="AE97" i="10"/>
  <c r="AD97" i="10"/>
  <c r="AC97" i="10"/>
  <c r="AA97" i="10"/>
  <c r="Z97" i="10"/>
  <c r="Y97" i="10"/>
  <c r="X97" i="10"/>
  <c r="U97" i="10"/>
  <c r="T97" i="10"/>
  <c r="S97" i="10"/>
  <c r="Q97" i="10"/>
  <c r="P97" i="10"/>
  <c r="O97" i="10"/>
  <c r="N97" i="10"/>
  <c r="L97" i="10"/>
  <c r="K97" i="10"/>
  <c r="J97" i="10"/>
  <c r="I97" i="10"/>
  <c r="H97" i="10"/>
  <c r="G97" i="10"/>
  <c r="F97" i="10"/>
  <c r="E97" i="10"/>
  <c r="D97" i="10"/>
  <c r="C97" i="10"/>
  <c r="CL95" i="10"/>
  <c r="CK95" i="10"/>
  <c r="CI95" i="10"/>
  <c r="CI96" i="10" s="1"/>
  <c r="CH95" i="10"/>
  <c r="CG95" i="10"/>
  <c r="CF95" i="10"/>
  <c r="CD95" i="10"/>
  <c r="CC95" i="10"/>
  <c r="CB95" i="10"/>
  <c r="CA95" i="10"/>
  <c r="BY95" i="10"/>
  <c r="BY96" i="10" s="1"/>
  <c r="BX95" i="10"/>
  <c r="BW95" i="10"/>
  <c r="BV95" i="10"/>
  <c r="BT95" i="10"/>
  <c r="BS95" i="10"/>
  <c r="BR95" i="10"/>
  <c r="BQ95" i="10"/>
  <c r="BO95" i="10"/>
  <c r="BN95" i="10"/>
  <c r="BM95" i="10"/>
  <c r="BL95" i="10"/>
  <c r="BJ95" i="10"/>
  <c r="BI95" i="10"/>
  <c r="BH95" i="10"/>
  <c r="BG95" i="10"/>
  <c r="BE95" i="10"/>
  <c r="BD95" i="10"/>
  <c r="BC95" i="10"/>
  <c r="BB95" i="10"/>
  <c r="AZ95" i="10"/>
  <c r="AY95" i="10"/>
  <c r="AX95" i="10"/>
  <c r="AW95" i="10"/>
  <c r="AU95" i="10"/>
  <c r="AT95" i="10"/>
  <c r="AS95" i="10"/>
  <c r="AR95" i="10"/>
  <c r="AP95" i="10"/>
  <c r="AO95" i="10"/>
  <c r="AN95" i="10"/>
  <c r="AM95" i="10"/>
  <c r="AK95" i="10"/>
  <c r="AJ95" i="10"/>
  <c r="AI95" i="10"/>
  <c r="AH95" i="10"/>
  <c r="AF95" i="10"/>
  <c r="AE95" i="10"/>
  <c r="AD95" i="10"/>
  <c r="AC95" i="10"/>
  <c r="AA95" i="10"/>
  <c r="Z95" i="10"/>
  <c r="Y95" i="10"/>
  <c r="X95" i="10"/>
  <c r="U95" i="10"/>
  <c r="T95" i="10"/>
  <c r="S95" i="10"/>
  <c r="Q95" i="10"/>
  <c r="P95" i="10"/>
  <c r="O95" i="10"/>
  <c r="N95" i="10"/>
  <c r="L95" i="10"/>
  <c r="K95" i="10"/>
  <c r="J95" i="10"/>
  <c r="I95" i="10"/>
  <c r="H95" i="10"/>
  <c r="G95" i="10"/>
  <c r="F95" i="10"/>
  <c r="E95" i="10"/>
  <c r="D95" i="10"/>
  <c r="C95" i="10"/>
  <c r="CK88" i="10"/>
  <c r="CJ88" i="10"/>
  <c r="CH88" i="10"/>
  <c r="CF88" i="10"/>
  <c r="CE88" i="10"/>
  <c r="CC88" i="10"/>
  <c r="CB88" i="10"/>
  <c r="CA88" i="10"/>
  <c r="BZ88" i="10"/>
  <c r="BZ118" i="10" s="1"/>
  <c r="BX88" i="10"/>
  <c r="BW88" i="10"/>
  <c r="BV88" i="10"/>
  <c r="BS88" i="10"/>
  <c r="BR88" i="10"/>
  <c r="BQ88" i="10"/>
  <c r="BL88" i="10"/>
  <c r="BI88" i="10"/>
  <c r="BH88" i="10"/>
  <c r="BG88" i="10"/>
  <c r="BF88" i="10"/>
  <c r="BE88" i="10"/>
  <c r="BD88" i="10"/>
  <c r="BC88" i="10"/>
  <c r="BB88" i="10"/>
  <c r="AZ88" i="10"/>
  <c r="AY88" i="10"/>
  <c r="AX88" i="10"/>
  <c r="AW88" i="10"/>
  <c r="AV88" i="10"/>
  <c r="AU88" i="10"/>
  <c r="AT88" i="10"/>
  <c r="AS88" i="10"/>
  <c r="AR88" i="10"/>
  <c r="AQ88" i="10"/>
  <c r="AP88" i="10"/>
  <c r="AO88" i="10"/>
  <c r="AN88" i="10"/>
  <c r="AM88" i="10"/>
  <c r="AL88" i="10"/>
  <c r="AL103" i="10" s="1"/>
  <c r="AK88" i="10"/>
  <c r="AK103" i="10" s="1"/>
  <c r="AJ88" i="10"/>
  <c r="AJ103" i="10" s="1"/>
  <c r="AI88" i="10"/>
  <c r="AI103" i="10" s="1"/>
  <c r="AH88" i="10"/>
  <c r="AH103" i="10" s="1"/>
  <c r="AG88" i="10"/>
  <c r="AG103" i="10" s="1"/>
  <c r="AF88" i="10"/>
  <c r="AF103" i="10" s="1"/>
  <c r="AE88" i="10"/>
  <c r="AE103" i="10" s="1"/>
  <c r="AD88" i="10"/>
  <c r="AD103" i="10" s="1"/>
  <c r="AC88" i="10"/>
  <c r="AC103" i="10" s="1"/>
  <c r="AB88" i="10"/>
  <c r="W88" i="10"/>
  <c r="EM162" i="10" l="1"/>
  <c r="CL102" i="10"/>
  <c r="CM102" i="10"/>
  <c r="CP102" i="10"/>
  <c r="BX96" i="10"/>
  <c r="BW96" i="10" s="1"/>
  <c r="BV96" i="10" s="1"/>
  <c r="CH96" i="10"/>
  <c r="CI98" i="10"/>
  <c r="AB115" i="10"/>
  <c r="W103" i="10"/>
  <c r="AB118" i="10"/>
  <c r="AB103" i="10"/>
  <c r="BI118" i="10"/>
  <c r="BS118" i="10"/>
  <c r="BZ120" i="10"/>
  <c r="BZ116" i="10"/>
  <c r="CE115" i="10"/>
  <c r="CE120" i="10" s="1"/>
  <c r="CD120" i="10" s="1"/>
  <c r="CA115" i="10"/>
  <c r="AL101" i="10"/>
  <c r="AR102" i="10"/>
  <c r="AW102" i="10"/>
  <c r="BB102" i="10"/>
  <c r="BG102" i="10"/>
  <c r="BL102" i="10"/>
  <c r="BZ102" i="10"/>
  <c r="CA103" i="10"/>
  <c r="BZ103" i="10" s="1"/>
  <c r="CA102" i="10"/>
  <c r="CB103" i="10"/>
  <c r="CB102" i="10"/>
  <c r="CE103" i="10"/>
  <c r="CD103" i="10" s="1"/>
  <c r="CC103" i="10" s="1"/>
  <c r="CE102" i="10"/>
  <c r="CF104" i="10"/>
  <c r="CF102" i="10"/>
  <c r="CG104" i="10"/>
  <c r="CG102" i="10"/>
  <c r="CH104" i="10"/>
  <c r="CH102" i="10"/>
  <c r="CI104" i="10"/>
  <c r="CI102" i="10"/>
  <c r="CK104" i="10"/>
  <c r="CK102" i="10"/>
  <c r="AS102" i="10"/>
  <c r="AT102" i="10"/>
  <c r="AU102" i="10"/>
  <c r="AX102" i="10"/>
  <c r="AY102" i="10"/>
  <c r="AZ102" i="10"/>
  <c r="BC102" i="10"/>
  <c r="BD102" i="10"/>
  <c r="BE102" i="10"/>
  <c r="BH102" i="10"/>
  <c r="BI102" i="10"/>
  <c r="BJ102" i="10"/>
  <c r="BM102" i="10"/>
  <c r="BN102" i="10"/>
  <c r="BO102" i="10"/>
  <c r="BQ102" i="10"/>
  <c r="BR102" i="10"/>
  <c r="BS102" i="10"/>
  <c r="BT102" i="10"/>
  <c r="BU102" i="10"/>
  <c r="BV102" i="10"/>
  <c r="BW102" i="10"/>
  <c r="BX102" i="10"/>
  <c r="CC102" i="10"/>
  <c r="CJ101" i="10"/>
  <c r="CG96" i="10" l="1"/>
  <c r="CH98" i="10"/>
  <c r="CL104" i="10"/>
  <c r="CJ102" i="10"/>
  <c r="CI186" i="10"/>
  <c r="CH186" i="10"/>
  <c r="CG186" i="10"/>
  <c r="CF186" i="10"/>
  <c r="AK101" i="10"/>
  <c r="CA120" i="10"/>
  <c r="CA116" i="10"/>
  <c r="CE116" i="10" s="1"/>
  <c r="BX118" i="10"/>
  <c r="BR118" i="10"/>
  <c r="BT115" i="10"/>
  <c r="BL118" i="10"/>
  <c r="BH118" i="10"/>
  <c r="BJ115" i="10"/>
  <c r="AB116" i="10"/>
  <c r="AG115" i="10"/>
  <c r="AC115" i="10"/>
  <c r="CK87" i="10"/>
  <c r="CJ87" i="10"/>
  <c r="CI87" i="10"/>
  <c r="CH87" i="10"/>
  <c r="CF87" i="10"/>
  <c r="CE87" i="10"/>
  <c r="CD87" i="10"/>
  <c r="CC87" i="10"/>
  <c r="CB87" i="10"/>
  <c r="CA87" i="10"/>
  <c r="BZ87" i="10"/>
  <c r="BY87" i="10"/>
  <c r="BX87" i="10"/>
  <c r="BW87" i="10"/>
  <c r="BV87" i="10"/>
  <c r="BU87" i="10"/>
  <c r="BT87" i="10"/>
  <c r="BS87" i="10"/>
  <c r="BR87" i="10"/>
  <c r="BQ87" i="10"/>
  <c r="BO87" i="10"/>
  <c r="BN87" i="10"/>
  <c r="BM87" i="10"/>
  <c r="BL87" i="10"/>
  <c r="BK87" i="10"/>
  <c r="BJ87" i="10"/>
  <c r="BI87" i="10"/>
  <c r="BH87" i="10"/>
  <c r="BG87" i="10"/>
  <c r="BF87" i="10"/>
  <c r="BE87" i="10"/>
  <c r="BD87" i="10"/>
  <c r="BC87" i="10"/>
  <c r="BB87" i="10"/>
  <c r="BA87" i="10"/>
  <c r="AZ87" i="10"/>
  <c r="AY87" i="10"/>
  <c r="AX87" i="10"/>
  <c r="AW87" i="10"/>
  <c r="AV87" i="10"/>
  <c r="AU87" i="10"/>
  <c r="AT87" i="10"/>
  <c r="AS87" i="10"/>
  <c r="AR87" i="10"/>
  <c r="AQ87" i="10"/>
  <c r="AP87" i="10"/>
  <c r="AO87" i="10"/>
  <c r="AN87" i="10"/>
  <c r="AM87" i="10"/>
  <c r="AL87" i="10"/>
  <c r="AK87" i="10"/>
  <c r="AJ87" i="10"/>
  <c r="AI87" i="10"/>
  <c r="AH87" i="10"/>
  <c r="AG87" i="10"/>
  <c r="AF87" i="10"/>
  <c r="AE87" i="10"/>
  <c r="AD87" i="10"/>
  <c r="AC87" i="10"/>
  <c r="AB87" i="10"/>
  <c r="W87" i="10"/>
  <c r="R87" i="10"/>
  <c r="Q87" i="10"/>
  <c r="P87" i="10"/>
  <c r="O87" i="10"/>
  <c r="N87" i="10"/>
  <c r="M87" i="10"/>
  <c r="L87" i="10"/>
  <c r="K87" i="10"/>
  <c r="J87" i="10"/>
  <c r="I87" i="10"/>
  <c r="H87" i="10"/>
  <c r="G87" i="10"/>
  <c r="F87" i="10"/>
  <c r="E87" i="10"/>
  <c r="D87" i="10"/>
  <c r="C87" i="10"/>
  <c r="CF96" i="10" l="1"/>
  <c r="CF98" i="10" s="1"/>
  <c r="CG98" i="10"/>
  <c r="BG118" i="10"/>
  <c r="BI115" i="10"/>
  <c r="BL120" i="10"/>
  <c r="BL116" i="10"/>
  <c r="BM115" i="10"/>
  <c r="BQ118" i="10"/>
  <c r="BS115" i="10"/>
  <c r="BW118" i="10"/>
  <c r="BY115" i="10"/>
  <c r="AJ101" i="10"/>
  <c r="AP102" i="10"/>
  <c r="CL186" i="10"/>
  <c r="CK186" i="10" s="1"/>
  <c r="CK85" i="10"/>
  <c r="CI85" i="10"/>
  <c r="CH85" i="10"/>
  <c r="CF85" i="10"/>
  <c r="CD85" i="10"/>
  <c r="CC85" i="10"/>
  <c r="CB85" i="10"/>
  <c r="BX85" i="10"/>
  <c r="BW85" i="10"/>
  <c r="BV85" i="10"/>
  <c r="BT85" i="10"/>
  <c r="BS85" i="10"/>
  <c r="BR85" i="10"/>
  <c r="BQ85" i="10"/>
  <c r="BO85" i="10"/>
  <c r="BN85" i="10"/>
  <c r="BM85" i="10"/>
  <c r="BL85" i="10"/>
  <c r="BJ85" i="10"/>
  <c r="BI85" i="10"/>
  <c r="BH85" i="10"/>
  <c r="BG85" i="10"/>
  <c r="BE85" i="10"/>
  <c r="BD85" i="10"/>
  <c r="BC85" i="10"/>
  <c r="BB85" i="10"/>
  <c r="AZ85" i="10"/>
  <c r="AY85" i="10"/>
  <c r="AX85" i="10"/>
  <c r="AW85" i="10"/>
  <c r="AU85" i="10"/>
  <c r="AT85" i="10"/>
  <c r="AS85" i="10"/>
  <c r="AR85" i="10"/>
  <c r="AP85" i="10"/>
  <c r="AO85" i="10"/>
  <c r="AN85" i="10"/>
  <c r="AM85" i="10"/>
  <c r="AK85" i="10"/>
  <c r="AJ85" i="10"/>
  <c r="AI85" i="10"/>
  <c r="AH85" i="10"/>
  <c r="AF85" i="10"/>
  <c r="AE85" i="10"/>
  <c r="AD85" i="10"/>
  <c r="AC85" i="10"/>
  <c r="W85" i="10"/>
  <c r="V85" i="10"/>
  <c r="U85" i="10"/>
  <c r="T85" i="10"/>
  <c r="S85" i="10"/>
  <c r="R85" i="10"/>
  <c r="Q85" i="10"/>
  <c r="P85" i="10"/>
  <c r="O85" i="10"/>
  <c r="N85" i="10"/>
  <c r="M85" i="10"/>
  <c r="L85" i="10"/>
  <c r="K85" i="10"/>
  <c r="J85" i="10"/>
  <c r="I85" i="10"/>
  <c r="E85" i="10"/>
  <c r="D85" i="10"/>
  <c r="C85" i="10"/>
  <c r="E86" i="10" l="1"/>
  <c r="D86" i="10" s="1"/>
  <c r="C86" i="10" s="1"/>
  <c r="N86" i="10"/>
  <c r="M86" i="10" s="1"/>
  <c r="O86" i="10"/>
  <c r="P86" i="10"/>
  <c r="Q86" i="10"/>
  <c r="S86" i="10"/>
  <c r="R86" i="10" s="1"/>
  <c r="T86" i="10"/>
  <c r="U86" i="10"/>
  <c r="V86" i="10"/>
  <c r="W86" i="10"/>
  <c r="AD86" i="10"/>
  <c r="AC86" i="10" s="1"/>
  <c r="AC60" i="10" s="1"/>
  <c r="AE86" i="10"/>
  <c r="AE60" i="10" s="1"/>
  <c r="AF86" i="10"/>
  <c r="AF61" i="10" s="1"/>
  <c r="AH86" i="10"/>
  <c r="AH61" i="10" s="1"/>
  <c r="AI86" i="10"/>
  <c r="AI61" i="10" s="1"/>
  <c r="AJ86" i="10"/>
  <c r="AJ60" i="10" s="1"/>
  <c r="AK86" i="10"/>
  <c r="AK61" i="10" s="1"/>
  <c r="AM86" i="10"/>
  <c r="AM61" i="10" s="1"/>
  <c r="AN86" i="10"/>
  <c r="AN61" i="10" s="1"/>
  <c r="AO86" i="10"/>
  <c r="AO60" i="10" s="1"/>
  <c r="AP86" i="10"/>
  <c r="AP61" i="10" s="1"/>
  <c r="AR86" i="10"/>
  <c r="AR61" i="10" s="1"/>
  <c r="AS86" i="10"/>
  <c r="AS61" i="10" s="1"/>
  <c r="AT86" i="10"/>
  <c r="AT60" i="10" s="1"/>
  <c r="AU86" i="10"/>
  <c r="AU61" i="10" s="1"/>
  <c r="AW86" i="10"/>
  <c r="AW61" i="10" s="1"/>
  <c r="AX86" i="10"/>
  <c r="AX61" i="10" s="1"/>
  <c r="AY86" i="10"/>
  <c r="AY60" i="10" s="1"/>
  <c r="AZ86" i="10"/>
  <c r="AZ61" i="10" s="1"/>
  <c r="BB86" i="10"/>
  <c r="BB61" i="10" s="1"/>
  <c r="BC86" i="10"/>
  <c r="BC61" i="10" s="1"/>
  <c r="BD86" i="10"/>
  <c r="BD60" i="10" s="1"/>
  <c r="BE86" i="10"/>
  <c r="BE61" i="10" s="1"/>
  <c r="BG86" i="10"/>
  <c r="BG61" i="10" s="1"/>
  <c r="BH86" i="10"/>
  <c r="BH61" i="10" s="1"/>
  <c r="BI86" i="10"/>
  <c r="BI60" i="10" s="1"/>
  <c r="BJ86" i="10"/>
  <c r="BJ61" i="10" s="1"/>
  <c r="BL86" i="10"/>
  <c r="BL61" i="10" s="1"/>
  <c r="BM86" i="10"/>
  <c r="BM61" i="10" s="1"/>
  <c r="BN86" i="10"/>
  <c r="BN60" i="10" s="1"/>
  <c r="BO86" i="10"/>
  <c r="BO61" i="10" s="1"/>
  <c r="BQ86" i="10"/>
  <c r="BQ61" i="10" s="1"/>
  <c r="BR86" i="10"/>
  <c r="BR61" i="10" s="1"/>
  <c r="BS86" i="10"/>
  <c r="BS60" i="10" s="1"/>
  <c r="BT86" i="10"/>
  <c r="BT61" i="10" s="1"/>
  <c r="BV86" i="10"/>
  <c r="BV61" i="10" s="1"/>
  <c r="BW86" i="10"/>
  <c r="BX86" i="10"/>
  <c r="BX60" i="10" s="1"/>
  <c r="CF86" i="10"/>
  <c r="CF60" i="10" s="1"/>
  <c r="CG86" i="10"/>
  <c r="CG60" i="10" s="1"/>
  <c r="CH86" i="10"/>
  <c r="CH60" i="10" s="1"/>
  <c r="CI86" i="10"/>
  <c r="CI60" i="10" s="1"/>
  <c r="CK86" i="10"/>
  <c r="CK60" i="10" s="1"/>
  <c r="CM186" i="10"/>
  <c r="AI101" i="10"/>
  <c r="AO102" i="10"/>
  <c r="BV118" i="10"/>
  <c r="BX115" i="10"/>
  <c r="BS120" i="10"/>
  <c r="BS116" i="10"/>
  <c r="BQ120" i="10"/>
  <c r="BP120" i="10" s="1"/>
  <c r="BQ116" i="10"/>
  <c r="BP116" i="10" s="1"/>
  <c r="BR115" i="10"/>
  <c r="BI120" i="10"/>
  <c r="BI116" i="10"/>
  <c r="BF118" i="10"/>
  <c r="BH115" i="10"/>
  <c r="CI61" i="10" l="1"/>
  <c r="AJ61" i="10"/>
  <c r="BD61" i="10"/>
  <c r="AT61" i="10"/>
  <c r="BN61" i="10"/>
  <c r="BX61" i="10"/>
  <c r="CG61" i="10"/>
  <c r="BE60" i="10"/>
  <c r="AK60" i="10"/>
  <c r="CF61" i="10"/>
  <c r="CH61" i="10"/>
  <c r="CK61" i="10"/>
  <c r="AU60" i="10"/>
  <c r="BO60" i="10"/>
  <c r="AE61" i="10"/>
  <c r="AO61" i="10"/>
  <c r="AY61" i="10"/>
  <c r="BI61" i="10"/>
  <c r="BS61" i="10"/>
  <c r="AF60" i="10"/>
  <c r="AP60" i="10"/>
  <c r="AZ60" i="10"/>
  <c r="BJ60" i="10"/>
  <c r="BT60" i="10"/>
  <c r="AD60" i="10"/>
  <c r="AI60" i="10"/>
  <c r="AN60" i="10"/>
  <c r="AS60" i="10"/>
  <c r="AX60" i="10"/>
  <c r="BC60" i="10"/>
  <c r="BH60" i="10"/>
  <c r="BM60" i="10"/>
  <c r="BR60" i="10"/>
  <c r="BW60" i="10"/>
  <c r="AC61" i="10"/>
  <c r="AH60" i="10"/>
  <c r="AM60" i="10"/>
  <c r="AR60" i="10"/>
  <c r="AW60" i="10"/>
  <c r="BB60" i="10"/>
  <c r="BG60" i="10"/>
  <c r="BL60" i="10"/>
  <c r="BQ60" i="10"/>
  <c r="BV60" i="10"/>
  <c r="AD61" i="10"/>
  <c r="BW61" i="10"/>
  <c r="BH120" i="10"/>
  <c r="BH116" i="10"/>
  <c r="BE118" i="10"/>
  <c r="BK115" i="10"/>
  <c r="BG115" i="10"/>
  <c r="BR120" i="10"/>
  <c r="BR116" i="10"/>
  <c r="BX120" i="10"/>
  <c r="BX116" i="10"/>
  <c r="BV120" i="10"/>
  <c r="BU120" i="10" s="1"/>
  <c r="BV116" i="10"/>
  <c r="BU116" i="10" s="1"/>
  <c r="BW115" i="10"/>
  <c r="AH101" i="10"/>
  <c r="AN102" i="10"/>
  <c r="CK52" i="10"/>
  <c r="CI52" i="10"/>
  <c r="CH52" i="10"/>
  <c r="CG52" i="10"/>
  <c r="CF52" i="10"/>
  <c r="CD52" i="10"/>
  <c r="CC52" i="10"/>
  <c r="CB52" i="10"/>
  <c r="CA52" i="10"/>
  <c r="BY52" i="10"/>
  <c r="BT52" i="10"/>
  <c r="BS52" i="10"/>
  <c r="BR52" i="10"/>
  <c r="BQ52" i="10"/>
  <c r="BO52" i="10"/>
  <c r="BN52" i="10"/>
  <c r="BM52" i="10"/>
  <c r="BL52" i="10"/>
  <c r="BJ52" i="10"/>
  <c r="BI52" i="10"/>
  <c r="BH52" i="10"/>
  <c r="BG52" i="10"/>
  <c r="BE52" i="10"/>
  <c r="BD52" i="10"/>
  <c r="BC52" i="10"/>
  <c r="BB52" i="10"/>
  <c r="AZ52" i="10"/>
  <c r="AY52" i="10"/>
  <c r="AX52" i="10"/>
  <c r="AW52" i="10"/>
  <c r="AU52" i="10"/>
  <c r="AT52" i="10"/>
  <c r="AS52" i="10"/>
  <c r="AR52" i="10"/>
  <c r="AP52" i="10"/>
  <c r="AO52" i="10"/>
  <c r="AN52" i="10"/>
  <c r="AM52" i="10"/>
  <c r="AK52" i="10"/>
  <c r="AJ52" i="10"/>
  <c r="AI52" i="10"/>
  <c r="AH52" i="10"/>
  <c r="AF52" i="10"/>
  <c r="AE52" i="10"/>
  <c r="AD52" i="10"/>
  <c r="AC52" i="10"/>
  <c r="AA52" i="10"/>
  <c r="Z52" i="10"/>
  <c r="Y52" i="10"/>
  <c r="X52" i="10"/>
  <c r="U52" i="10"/>
  <c r="T52" i="10"/>
  <c r="S52" i="10"/>
  <c r="Q52" i="10"/>
  <c r="P52" i="10"/>
  <c r="O52" i="10"/>
  <c r="N52" i="10"/>
  <c r="L52" i="10"/>
  <c r="K52" i="10"/>
  <c r="J52" i="10"/>
  <c r="I52" i="10"/>
  <c r="H52" i="10"/>
  <c r="G52" i="10"/>
  <c r="F52" i="10"/>
  <c r="E52" i="10"/>
  <c r="D52" i="10"/>
  <c r="C52" i="10"/>
  <c r="CJ51" i="10"/>
  <c r="CE51" i="10"/>
  <c r="BZ51" i="10"/>
  <c r="BU51" i="10"/>
  <c r="BP51" i="10"/>
  <c r="BK51" i="10"/>
  <c r="BF51" i="10"/>
  <c r="BA51" i="10"/>
  <c r="AV51" i="10"/>
  <c r="AQ51" i="10"/>
  <c r="AL51" i="10"/>
  <c r="AG51" i="10"/>
  <c r="AB51" i="10"/>
  <c r="W51" i="10"/>
  <c r="R51" i="10"/>
  <c r="M51" i="10"/>
  <c r="CJ50" i="10"/>
  <c r="CE50" i="10"/>
  <c r="BZ50" i="10"/>
  <c r="BU50" i="10"/>
  <c r="BP50" i="10"/>
  <c r="BK50" i="10"/>
  <c r="BF50" i="10"/>
  <c r="BA50" i="10"/>
  <c r="AV50" i="10"/>
  <c r="AQ50" i="10"/>
  <c r="AL50" i="10"/>
  <c r="AG50" i="10"/>
  <c r="AB50" i="10"/>
  <c r="V50" i="10"/>
  <c r="R50" i="10"/>
  <c r="M50" i="10"/>
  <c r="CM189" i="10"/>
  <c r="CJ49" i="10"/>
  <c r="CE49" i="10"/>
  <c r="BZ49" i="10"/>
  <c r="BU49" i="10"/>
  <c r="BP49" i="10"/>
  <c r="BK49" i="10"/>
  <c r="BF49" i="10"/>
  <c r="BA49" i="10"/>
  <c r="AV49" i="10"/>
  <c r="AQ49" i="10"/>
  <c r="AL49" i="10"/>
  <c r="AG49" i="10"/>
  <c r="AB49" i="10"/>
  <c r="V49" i="10"/>
  <c r="W49" i="10" s="1"/>
  <c r="R49" i="10"/>
  <c r="M49" i="10"/>
  <c r="CE48" i="10"/>
  <c r="BZ48" i="10"/>
  <c r="BU48" i="10"/>
  <c r="BP48" i="10"/>
  <c r="BK48" i="10"/>
  <c r="BF48" i="10"/>
  <c r="BA48" i="10"/>
  <c r="AV48" i="10"/>
  <c r="AQ48" i="10"/>
  <c r="AL48" i="10"/>
  <c r="AG48" i="10"/>
  <c r="AB48" i="10"/>
  <c r="V48" i="10"/>
  <c r="R48" i="10"/>
  <c r="M48" i="10"/>
  <c r="CE47" i="10"/>
  <c r="BZ47" i="10"/>
  <c r="BU47" i="10"/>
  <c r="BP47" i="10"/>
  <c r="BK47" i="10"/>
  <c r="BF47" i="10"/>
  <c r="BA47" i="10"/>
  <c r="AV47" i="10"/>
  <c r="AQ47" i="10"/>
  <c r="AL47" i="10"/>
  <c r="AG47" i="10"/>
  <c r="AB47" i="10"/>
  <c r="V47" i="10"/>
  <c r="R47" i="10"/>
  <c r="M47" i="10"/>
  <c r="CE46" i="10"/>
  <c r="BZ46" i="10"/>
  <c r="BU46" i="10"/>
  <c r="BP46" i="10"/>
  <c r="BK46" i="10"/>
  <c r="BF46" i="10"/>
  <c r="BA46" i="10"/>
  <c r="AV46" i="10"/>
  <c r="AQ46" i="10"/>
  <c r="AL46" i="10"/>
  <c r="AG46" i="10"/>
  <c r="AB46" i="10"/>
  <c r="V46" i="10"/>
  <c r="R46" i="10"/>
  <c r="M46" i="10"/>
  <c r="CM187" i="10"/>
  <c r="CJ45" i="10"/>
  <c r="CE45" i="10"/>
  <c r="BZ45" i="10"/>
  <c r="BU45" i="10"/>
  <c r="BP45" i="10"/>
  <c r="BK45" i="10"/>
  <c r="BF45" i="10"/>
  <c r="BA45" i="10"/>
  <c r="AV45" i="10"/>
  <c r="AQ45" i="10"/>
  <c r="AL45" i="10"/>
  <c r="AG45" i="10"/>
  <c r="AB45" i="10"/>
  <c r="V45" i="10"/>
  <c r="W45" i="10" s="1"/>
  <c r="R45" i="10"/>
  <c r="M45" i="10"/>
  <c r="CJ44" i="10"/>
  <c r="CE44" i="10"/>
  <c r="BZ44" i="10"/>
  <c r="BU44" i="10"/>
  <c r="BP44" i="10"/>
  <c r="BK44" i="10"/>
  <c r="BF44" i="10"/>
  <c r="BA44" i="10"/>
  <c r="AV44" i="10"/>
  <c r="AQ44" i="10"/>
  <c r="AL44" i="10"/>
  <c r="AG44" i="10"/>
  <c r="AB44" i="10"/>
  <c r="V44" i="10"/>
  <c r="W44" i="10" s="1"/>
  <c r="R44" i="10"/>
  <c r="M44" i="10"/>
  <c r="X187" i="10" l="1"/>
  <c r="W187" i="10"/>
  <c r="V187" i="10" s="1"/>
  <c r="X189" i="10"/>
  <c r="W189" i="10"/>
  <c r="V189" i="10" s="1"/>
  <c r="AB128" i="10"/>
  <c r="AC187" i="10"/>
  <c r="AB187" i="10"/>
  <c r="AH187" i="10"/>
  <c r="AG187" i="10"/>
  <c r="AM187" i="10"/>
  <c r="AL187" i="10"/>
  <c r="AR187" i="10"/>
  <c r="AQ187" i="10"/>
  <c r="AW187" i="10"/>
  <c r="AV187" i="10"/>
  <c r="BB187" i="10"/>
  <c r="BA187" i="10"/>
  <c r="BG187" i="10"/>
  <c r="BF187" i="10"/>
  <c r="BL187" i="10"/>
  <c r="BK187" i="10"/>
  <c r="BQ187" i="10"/>
  <c r="BP187" i="10"/>
  <c r="BV187" i="10"/>
  <c r="BU187" i="10"/>
  <c r="CA187" i="10"/>
  <c r="BZ187" i="10"/>
  <c r="CF187" i="10"/>
  <c r="CE187" i="10"/>
  <c r="CK187" i="10"/>
  <c r="CJ187" i="10"/>
  <c r="AC189" i="10"/>
  <c r="AB189" i="10"/>
  <c r="AB131" i="10"/>
  <c r="AH189" i="10"/>
  <c r="AG189" i="10"/>
  <c r="AG131" i="10"/>
  <c r="AM189" i="10"/>
  <c r="AL189" i="10"/>
  <c r="AL131" i="10"/>
  <c r="AR189" i="10"/>
  <c r="AQ189" i="10"/>
  <c r="AQ131" i="10"/>
  <c r="AW189" i="10"/>
  <c r="AV189" i="10"/>
  <c r="AV131" i="10"/>
  <c r="BB189" i="10"/>
  <c r="BA189" i="10"/>
  <c r="BA131" i="10"/>
  <c r="BG189" i="10"/>
  <c r="BF189" i="10"/>
  <c r="BF131" i="10"/>
  <c r="BL189" i="10"/>
  <c r="BK189" i="10"/>
  <c r="BK131" i="10"/>
  <c r="BQ189" i="10"/>
  <c r="BP189" i="10"/>
  <c r="BP131" i="10"/>
  <c r="BV189" i="10"/>
  <c r="BU189" i="10"/>
  <c r="BU131" i="10"/>
  <c r="CA189" i="10"/>
  <c r="BZ189" i="10"/>
  <c r="BZ131" i="10"/>
  <c r="CF189" i="10"/>
  <c r="CE189" i="10"/>
  <c r="CE131" i="10"/>
  <c r="X190" i="10"/>
  <c r="W190" i="10"/>
  <c r="X188" i="10"/>
  <c r="W188" i="10"/>
  <c r="AB123" i="10"/>
  <c r="AC190" i="10"/>
  <c r="AB190" i="10"/>
  <c r="AC188" i="10"/>
  <c r="AB188" i="10"/>
  <c r="AB125" i="10"/>
  <c r="AH190" i="10"/>
  <c r="AG190" i="10"/>
  <c r="AH188" i="10"/>
  <c r="AG188" i="10"/>
  <c r="AG125" i="10"/>
  <c r="AM190" i="10"/>
  <c r="AL190" i="10"/>
  <c r="AM188" i="10"/>
  <c r="AL188" i="10"/>
  <c r="AL125" i="10"/>
  <c r="AR190" i="10"/>
  <c r="AQ190" i="10"/>
  <c r="AR188" i="10"/>
  <c r="AQ188" i="10"/>
  <c r="AQ125" i="10"/>
  <c r="AW190" i="10"/>
  <c r="AV190" i="10"/>
  <c r="AW188" i="10"/>
  <c r="AV188" i="10"/>
  <c r="AV125" i="10"/>
  <c r="BB190" i="10"/>
  <c r="BA190" i="10"/>
  <c r="BB188" i="10"/>
  <c r="BA188" i="10"/>
  <c r="BA125" i="10"/>
  <c r="BG190" i="10"/>
  <c r="BF190" i="10"/>
  <c r="BG188" i="10"/>
  <c r="BF188" i="10"/>
  <c r="BF125" i="10"/>
  <c r="BL190" i="10"/>
  <c r="BK190" i="10"/>
  <c r="BL188" i="10"/>
  <c r="BK188" i="10"/>
  <c r="BK125" i="10"/>
  <c r="BQ190" i="10"/>
  <c r="BP190" i="10"/>
  <c r="BQ188" i="10"/>
  <c r="BP188" i="10"/>
  <c r="BP125" i="10"/>
  <c r="BV190" i="10"/>
  <c r="BU190" i="10"/>
  <c r="BV188" i="10"/>
  <c r="BU188" i="10"/>
  <c r="BU125" i="10"/>
  <c r="CA190" i="10"/>
  <c r="BZ190" i="10"/>
  <c r="CA188" i="10"/>
  <c r="BZ188" i="10"/>
  <c r="BZ125" i="10"/>
  <c r="CF190" i="10"/>
  <c r="CE190" i="10"/>
  <c r="CF188" i="10"/>
  <c r="CE188" i="10"/>
  <c r="CE125" i="10"/>
  <c r="CK190" i="10"/>
  <c r="CJ190" i="10"/>
  <c r="CK188" i="10"/>
  <c r="CJ188" i="10"/>
  <c r="BV44" i="10"/>
  <c r="CO44" i="10"/>
  <c r="AG52" i="10"/>
  <c r="AQ52" i="10"/>
  <c r="BA52" i="10"/>
  <c r="W50" i="10"/>
  <c r="CK189" i="10"/>
  <c r="CJ189" i="10" s="1"/>
  <c r="CJ52" i="10"/>
  <c r="W46" i="10"/>
  <c r="M52" i="10"/>
  <c r="N180" i="10"/>
  <c r="N179" i="10"/>
  <c r="O180" i="10"/>
  <c r="O179" i="10"/>
  <c r="P180" i="10"/>
  <c r="P179" i="10"/>
  <c r="Q180" i="10"/>
  <c r="Q179" i="10"/>
  <c r="R52" i="10"/>
  <c r="S180" i="10"/>
  <c r="S179" i="10"/>
  <c r="T180" i="10"/>
  <c r="T179" i="10"/>
  <c r="V184" i="10"/>
  <c r="U180" i="10"/>
  <c r="U179" i="10"/>
  <c r="X192" i="10"/>
  <c r="Y184" i="10"/>
  <c r="X180" i="10"/>
  <c r="X179" i="10"/>
  <c r="Y192" i="10"/>
  <c r="Z184" i="10"/>
  <c r="Y180" i="10"/>
  <c r="Y179" i="10"/>
  <c r="Z192" i="10"/>
  <c r="AA184" i="10"/>
  <c r="Z180" i="10"/>
  <c r="Z179" i="10"/>
  <c r="AA192" i="10"/>
  <c r="AA180" i="10"/>
  <c r="AA179" i="10"/>
  <c r="AC192" i="10"/>
  <c r="AD184" i="10"/>
  <c r="AC180" i="10"/>
  <c r="AC179" i="10"/>
  <c r="AC92" i="10"/>
  <c r="AD192" i="10"/>
  <c r="AE184" i="10"/>
  <c r="AD180" i="10"/>
  <c r="AD179" i="10"/>
  <c r="AD92" i="10"/>
  <c r="AE192" i="10"/>
  <c r="AF184" i="10"/>
  <c r="AE180" i="10"/>
  <c r="AE179" i="10"/>
  <c r="AE92" i="10"/>
  <c r="AF192" i="10"/>
  <c r="AF180" i="10"/>
  <c r="AF179" i="10"/>
  <c r="AF92" i="10"/>
  <c r="AH192" i="10"/>
  <c r="AI184" i="10"/>
  <c r="AH180" i="10"/>
  <c r="AH179" i="10"/>
  <c r="AH92" i="10"/>
  <c r="AI192" i="10"/>
  <c r="AJ184" i="10"/>
  <c r="AI180" i="10"/>
  <c r="AI179" i="10"/>
  <c r="AI92" i="10"/>
  <c r="AJ192" i="10"/>
  <c r="AK184" i="10"/>
  <c r="AJ180" i="10"/>
  <c r="AJ179" i="10"/>
  <c r="AJ92" i="10"/>
  <c r="AK192" i="10"/>
  <c r="AK180" i="10"/>
  <c r="AK179" i="10"/>
  <c r="AK92" i="10"/>
  <c r="AM192" i="10"/>
  <c r="AN184" i="10"/>
  <c r="AM180" i="10"/>
  <c r="AM179" i="10"/>
  <c r="AM92" i="10"/>
  <c r="AN192" i="10"/>
  <c r="AO184" i="10"/>
  <c r="AN180" i="10"/>
  <c r="AN179" i="10"/>
  <c r="AN92" i="10"/>
  <c r="AO192" i="10"/>
  <c r="AP184" i="10"/>
  <c r="AO180" i="10"/>
  <c r="AO179" i="10"/>
  <c r="AO92" i="10"/>
  <c r="AP192" i="10"/>
  <c r="AP180" i="10"/>
  <c r="AP179" i="10"/>
  <c r="AP92" i="10"/>
  <c r="AR192" i="10"/>
  <c r="AS184" i="10"/>
  <c r="AR180" i="10"/>
  <c r="AR179" i="10"/>
  <c r="AR92" i="10"/>
  <c r="AS192" i="10"/>
  <c r="AT184" i="10"/>
  <c r="AS180" i="10"/>
  <c r="AS179" i="10"/>
  <c r="AS92" i="10"/>
  <c r="AT192" i="10"/>
  <c r="AU184" i="10"/>
  <c r="AT180" i="10"/>
  <c r="AT179" i="10"/>
  <c r="AT92" i="10"/>
  <c r="AU192" i="10"/>
  <c r="AU180" i="10"/>
  <c r="AU179" i="10"/>
  <c r="AU92" i="10"/>
  <c r="AW192" i="10"/>
  <c r="AX184" i="10"/>
  <c r="AW180" i="10"/>
  <c r="AW179" i="10"/>
  <c r="AW92" i="10"/>
  <c r="AX192" i="10"/>
  <c r="AY184" i="10"/>
  <c r="AX180" i="10"/>
  <c r="AX179" i="10"/>
  <c r="AX92" i="10"/>
  <c r="AY192" i="10"/>
  <c r="AZ184" i="10"/>
  <c r="AY180" i="10"/>
  <c r="AY179" i="10"/>
  <c r="AY92" i="10"/>
  <c r="AZ192" i="10"/>
  <c r="AZ180" i="10"/>
  <c r="AZ179" i="10"/>
  <c r="AZ92" i="10"/>
  <c r="BB192" i="10"/>
  <c r="BC184" i="10"/>
  <c r="BB180" i="10"/>
  <c r="BB179" i="10"/>
  <c r="BB92" i="10"/>
  <c r="BC192" i="10"/>
  <c r="BD184" i="10"/>
  <c r="BC180" i="10"/>
  <c r="BC179" i="10"/>
  <c r="BC92" i="10"/>
  <c r="BD192" i="10"/>
  <c r="BE184" i="10"/>
  <c r="BD180" i="10"/>
  <c r="BD179" i="10"/>
  <c r="BD92" i="10"/>
  <c r="BE192" i="10"/>
  <c r="BE180" i="10"/>
  <c r="BE179" i="10"/>
  <c r="BE92" i="10"/>
  <c r="BG192" i="10"/>
  <c r="BH184" i="10"/>
  <c r="BG180" i="10"/>
  <c r="BG179" i="10"/>
  <c r="BG92" i="10"/>
  <c r="BH192" i="10"/>
  <c r="BI184" i="10"/>
  <c r="BH180" i="10"/>
  <c r="BH179" i="10"/>
  <c r="BH92" i="10"/>
  <c r="BI192" i="10"/>
  <c r="BJ184" i="10"/>
  <c r="BI180" i="10"/>
  <c r="BI179" i="10"/>
  <c r="BI92" i="10"/>
  <c r="BJ192" i="10"/>
  <c r="BJ180" i="10"/>
  <c r="BJ179" i="10"/>
  <c r="BL192" i="10"/>
  <c r="BM184" i="10"/>
  <c r="BL180" i="10"/>
  <c r="BL179" i="10"/>
  <c r="BL92" i="10"/>
  <c r="BM192" i="10"/>
  <c r="BN184" i="10"/>
  <c r="BM180" i="10"/>
  <c r="BM179" i="10"/>
  <c r="BN192" i="10"/>
  <c r="BO184" i="10"/>
  <c r="BN180" i="10"/>
  <c r="BN179" i="10"/>
  <c r="BO192" i="10"/>
  <c r="BO180" i="10"/>
  <c r="BO179" i="10"/>
  <c r="BQ192" i="10"/>
  <c r="BR184" i="10"/>
  <c r="BQ180" i="10"/>
  <c r="BQ179" i="10"/>
  <c r="BQ92" i="10"/>
  <c r="BR192" i="10"/>
  <c r="BS184" i="10"/>
  <c r="BR180" i="10"/>
  <c r="BR179" i="10"/>
  <c r="BR92" i="10"/>
  <c r="BS192" i="10"/>
  <c r="BT184" i="10"/>
  <c r="BS180" i="10"/>
  <c r="BS179" i="10"/>
  <c r="BS92" i="10"/>
  <c r="BT192" i="10"/>
  <c r="BT180" i="10"/>
  <c r="BT179" i="10"/>
  <c r="BY192" i="10"/>
  <c r="BY180" i="10"/>
  <c r="BY179" i="10"/>
  <c r="CA192" i="10"/>
  <c r="CB184" i="10"/>
  <c r="CA180" i="10"/>
  <c r="CA179" i="10"/>
  <c r="CA92" i="10"/>
  <c r="CB192" i="10"/>
  <c r="CC184" i="10"/>
  <c r="CB180" i="10"/>
  <c r="CB179" i="10"/>
  <c r="CB92" i="10"/>
  <c r="CC192" i="10"/>
  <c r="CD184" i="10"/>
  <c r="CC180" i="10"/>
  <c r="CC179" i="10"/>
  <c r="CC92" i="10"/>
  <c r="CD192" i="10"/>
  <c r="CD180" i="10"/>
  <c r="CD179" i="10"/>
  <c r="CF192" i="10"/>
  <c r="CG184" i="10"/>
  <c r="CF180" i="10"/>
  <c r="CF179" i="10"/>
  <c r="CF92" i="10"/>
  <c r="CG192" i="10"/>
  <c r="CH184" i="10"/>
  <c r="CG180" i="10"/>
  <c r="CG179" i="10"/>
  <c r="CG92" i="10"/>
  <c r="CH192" i="10"/>
  <c r="CI184" i="10"/>
  <c r="CH180" i="10"/>
  <c r="CH179" i="10"/>
  <c r="CH92" i="10"/>
  <c r="CI192" i="10"/>
  <c r="CI180" i="10"/>
  <c r="CI179" i="10"/>
  <c r="CK192" i="10"/>
  <c r="CL184" i="10"/>
  <c r="CK180" i="10"/>
  <c r="CK179" i="10"/>
  <c r="W47" i="10"/>
  <c r="W48" i="10"/>
  <c r="AB52" i="10"/>
  <c r="AL52" i="10"/>
  <c r="AV52" i="10"/>
  <c r="BF52" i="10"/>
  <c r="BK52" i="10"/>
  <c r="BP52" i="10"/>
  <c r="BU52" i="10"/>
  <c r="BZ52" i="10"/>
  <c r="CE52" i="10"/>
  <c r="CL190" i="10"/>
  <c r="CL188" i="10"/>
  <c r="AG101" i="10"/>
  <c r="AM102" i="10"/>
  <c r="BW120" i="10"/>
  <c r="BW116" i="10"/>
  <c r="BG120" i="10"/>
  <c r="BG116" i="10"/>
  <c r="BK116" i="10"/>
  <c r="BK120" i="10"/>
  <c r="BD118" i="10"/>
  <c r="CJ40" i="10"/>
  <c r="CE40" i="10"/>
  <c r="BZ40" i="10"/>
  <c r="BU40" i="10"/>
  <c r="BP40" i="10"/>
  <c r="BK40" i="10"/>
  <c r="BF40" i="10"/>
  <c r="BA40" i="10"/>
  <c r="AV40" i="10"/>
  <c r="AQ40" i="10"/>
  <c r="AL40" i="10"/>
  <c r="AG40" i="10"/>
  <c r="AB40" i="10"/>
  <c r="V40" i="10"/>
  <c r="W40" i="10" s="1"/>
  <c r="R40" i="10"/>
  <c r="M40" i="10"/>
  <c r="CJ39" i="10"/>
  <c r="CE39" i="10"/>
  <c r="BZ39" i="10"/>
  <c r="BU39" i="10"/>
  <c r="BP39" i="10"/>
  <c r="BK39" i="10"/>
  <c r="BF39" i="10"/>
  <c r="BA39" i="10"/>
  <c r="AV39" i="10"/>
  <c r="AQ39" i="10"/>
  <c r="AL39" i="10"/>
  <c r="AG39" i="10"/>
  <c r="AB39" i="10"/>
  <c r="V39" i="10"/>
  <c r="W39" i="10" s="1"/>
  <c r="R39" i="10"/>
  <c r="M39" i="10"/>
  <c r="CJ38" i="10"/>
  <c r="CE38" i="10"/>
  <c r="BZ38" i="10"/>
  <c r="BU38" i="10"/>
  <c r="BP38" i="10"/>
  <c r="BK38" i="10"/>
  <c r="BF38" i="10"/>
  <c r="BA38" i="10"/>
  <c r="AV38" i="10"/>
  <c r="AQ38" i="10"/>
  <c r="AL38" i="10"/>
  <c r="AG38" i="10"/>
  <c r="AB38" i="10"/>
  <c r="V38" i="10"/>
  <c r="W38" i="10" s="1"/>
  <c r="R38" i="10"/>
  <c r="M38" i="10"/>
  <c r="CJ37" i="10"/>
  <c r="CE37" i="10"/>
  <c r="BZ37" i="10"/>
  <c r="BU37" i="10"/>
  <c r="BP37" i="10"/>
  <c r="BK37" i="10"/>
  <c r="BF37" i="10"/>
  <c r="BA37" i="10"/>
  <c r="AV37" i="10"/>
  <c r="AQ37" i="10"/>
  <c r="AL37" i="10"/>
  <c r="AG37" i="10"/>
  <c r="AB37" i="10"/>
  <c r="V37" i="10"/>
  <c r="R37" i="10"/>
  <c r="M37" i="10"/>
  <c r="AT36" i="10"/>
  <c r="AT41" i="10" s="1"/>
  <c r="AT54" i="10" s="1"/>
  <c r="AS36" i="10"/>
  <c r="AS41" i="10" s="1"/>
  <c r="AS93" i="10" s="1"/>
  <c r="AR36" i="10"/>
  <c r="AP36" i="10"/>
  <c r="AP41" i="10" s="1"/>
  <c r="AP93" i="10" s="1"/>
  <c r="AO36" i="10"/>
  <c r="AO41" i="10" s="1"/>
  <c r="AN36" i="10"/>
  <c r="AM36" i="10"/>
  <c r="AK36" i="10"/>
  <c r="AK41" i="10" s="1"/>
  <c r="AK93" i="10" s="1"/>
  <c r="AJ36" i="10"/>
  <c r="AJ41" i="10" s="1"/>
  <c r="AI36" i="10"/>
  <c r="AH36" i="10"/>
  <c r="AF36" i="10"/>
  <c r="AF41" i="10" s="1"/>
  <c r="AF93" i="10" s="1"/>
  <c r="AE36" i="10"/>
  <c r="AE41" i="10" s="1"/>
  <c r="AD36" i="10"/>
  <c r="AC36" i="10"/>
  <c r="AA36" i="10"/>
  <c r="AA41" i="10" s="1"/>
  <c r="Z36" i="10"/>
  <c r="Z41" i="10" s="1"/>
  <c r="Y36" i="10"/>
  <c r="X36" i="10"/>
  <c r="U36" i="10"/>
  <c r="T36" i="10"/>
  <c r="S36" i="10"/>
  <c r="Q36" i="10"/>
  <c r="P36" i="10"/>
  <c r="O36" i="10"/>
  <c r="N36" i="10"/>
  <c r="L36" i="10"/>
  <c r="M36" i="10" s="1"/>
  <c r="K36" i="10"/>
  <c r="J36" i="10"/>
  <c r="I36" i="10"/>
  <c r="H36" i="10"/>
  <c r="G36" i="10"/>
  <c r="F36" i="10"/>
  <c r="E36" i="10"/>
  <c r="D36" i="10"/>
  <c r="C36" i="10"/>
  <c r="CJ35" i="10"/>
  <c r="CE35" i="10"/>
  <c r="BZ35" i="10"/>
  <c r="BU35" i="10"/>
  <c r="BP35" i="10"/>
  <c r="BK35" i="10"/>
  <c r="BF35" i="10"/>
  <c r="BA35" i="10"/>
  <c r="AV35" i="10"/>
  <c r="AQ35" i="10"/>
  <c r="AL35" i="10"/>
  <c r="AG35" i="10"/>
  <c r="AB35" i="10"/>
  <c r="V35" i="10"/>
  <c r="W35" i="10" s="1"/>
  <c r="R35" i="10"/>
  <c r="M35" i="10"/>
  <c r="CK34" i="10"/>
  <c r="CI34" i="10"/>
  <c r="CH34" i="10"/>
  <c r="CG34" i="10"/>
  <c r="CF34" i="10"/>
  <c r="CD34" i="10"/>
  <c r="CC34" i="10"/>
  <c r="CB34" i="10"/>
  <c r="CA34" i="10"/>
  <c r="BY34" i="10"/>
  <c r="BX34" i="10"/>
  <c r="BW34" i="10"/>
  <c r="BV34" i="10"/>
  <c r="BT34" i="10"/>
  <c r="BP34" i="10"/>
  <c r="BK34" i="10"/>
  <c r="BF34" i="10"/>
  <c r="BA34" i="10"/>
  <c r="AV34" i="10"/>
  <c r="AQ34" i="10"/>
  <c r="AL34" i="10"/>
  <c r="AG34" i="10"/>
  <c r="AB34" i="10"/>
  <c r="V34" i="10"/>
  <c r="W34" i="10" s="1"/>
  <c r="R34" i="10"/>
  <c r="M34" i="10"/>
  <c r="CJ33" i="10"/>
  <c r="CE33" i="10"/>
  <c r="BZ33" i="10"/>
  <c r="BU33" i="10"/>
  <c r="BS33" i="10"/>
  <c r="BR33" i="10"/>
  <c r="BQ33" i="10"/>
  <c r="BO33" i="10"/>
  <c r="BN33" i="10"/>
  <c r="BM33" i="10"/>
  <c r="BL33" i="10"/>
  <c r="BJ33" i="10"/>
  <c r="BK33" i="10" s="1"/>
  <c r="BI33" i="10"/>
  <c r="BH33" i="10"/>
  <c r="BG33" i="10"/>
  <c r="BE33" i="10"/>
  <c r="BF33" i="10" s="1"/>
  <c r="BD33" i="10"/>
  <c r="BC33" i="10"/>
  <c r="BB33" i="10"/>
  <c r="AZ33" i="10"/>
  <c r="BA33" i="10" s="1"/>
  <c r="AY33" i="10"/>
  <c r="AX33" i="10"/>
  <c r="AW33" i="10"/>
  <c r="AU33" i="10"/>
  <c r="AV33" i="10" s="1"/>
  <c r="AQ33" i="10"/>
  <c r="AL33" i="10"/>
  <c r="AG33" i="10"/>
  <c r="AB33" i="10"/>
  <c r="V33" i="10"/>
  <c r="W33" i="10" s="1"/>
  <c r="R33" i="10"/>
  <c r="M33" i="10"/>
  <c r="CJ32" i="10"/>
  <c r="CE32" i="10"/>
  <c r="BZ32" i="10"/>
  <c r="BU32" i="10"/>
  <c r="BP32" i="10"/>
  <c r="BK32" i="10"/>
  <c r="BF32" i="10"/>
  <c r="BA32" i="10"/>
  <c r="AV32" i="10"/>
  <c r="AQ32" i="10"/>
  <c r="AL32" i="10"/>
  <c r="AG32" i="10"/>
  <c r="AB32" i="10"/>
  <c r="V32" i="10"/>
  <c r="V61" i="10" s="1"/>
  <c r="R32" i="10"/>
  <c r="M32" i="10"/>
  <c r="CJ31" i="10"/>
  <c r="CE31" i="10"/>
  <c r="BZ31" i="10"/>
  <c r="BU31" i="10"/>
  <c r="BP31" i="10"/>
  <c r="BK31" i="10"/>
  <c r="BF31" i="10"/>
  <c r="BA31" i="10"/>
  <c r="AV31" i="10"/>
  <c r="AQ31" i="10"/>
  <c r="AL31" i="10"/>
  <c r="AG31" i="10"/>
  <c r="AB31" i="10"/>
  <c r="V31" i="10"/>
  <c r="W31" i="10" s="1"/>
  <c r="R31" i="10"/>
  <c r="M31" i="10"/>
  <c r="CJ26" i="10"/>
  <c r="CE26" i="10"/>
  <c r="BY26" i="10"/>
  <c r="BU26" i="10"/>
  <c r="BP26" i="10"/>
  <c r="BK26" i="10"/>
  <c r="BF26" i="10"/>
  <c r="BA26" i="10"/>
  <c r="AV26" i="10"/>
  <c r="AQ26" i="10"/>
  <c r="AL26" i="10"/>
  <c r="AG26" i="10"/>
  <c r="AB26" i="10"/>
  <c r="V26" i="10"/>
  <c r="W26" i="10" s="1"/>
  <c r="R26" i="10"/>
  <c r="M26" i="10"/>
  <c r="CJ25" i="10"/>
  <c r="CE25" i="10"/>
  <c r="BZ25" i="10"/>
  <c r="BU25" i="10"/>
  <c r="BP25" i="10"/>
  <c r="BK25" i="10"/>
  <c r="BI25" i="10"/>
  <c r="BF25" i="10"/>
  <c r="BA25" i="10"/>
  <c r="AV25" i="10"/>
  <c r="AQ25" i="10"/>
  <c r="AL25" i="10"/>
  <c r="AG25" i="10"/>
  <c r="AB25" i="10"/>
  <c r="V25" i="10"/>
  <c r="W25" i="10" s="1"/>
  <c r="R25" i="10"/>
  <c r="M25" i="10"/>
  <c r="CD24" i="10"/>
  <c r="CC24" i="10"/>
  <c r="CB24" i="10"/>
  <c r="CA24" i="10"/>
  <c r="BY24" i="10"/>
  <c r="BX24" i="10"/>
  <c r="BW24" i="10"/>
  <c r="BV24" i="10"/>
  <c r="BT24" i="10"/>
  <c r="BS24" i="10"/>
  <c r="BR24" i="10"/>
  <c r="BQ24" i="10"/>
  <c r="BO24" i="10"/>
  <c r="BN24" i="10"/>
  <c r="BM24" i="10"/>
  <c r="BL24" i="10"/>
  <c r="BJ24" i="10"/>
  <c r="BK24" i="10" s="1"/>
  <c r="BI24" i="10"/>
  <c r="BH24" i="10"/>
  <c r="BG24" i="10"/>
  <c r="BG161" i="10" s="1"/>
  <c r="BE24" i="10"/>
  <c r="BF24" i="10" s="1"/>
  <c r="BD24" i="10"/>
  <c r="BA24" i="10"/>
  <c r="AY24" i="10"/>
  <c r="AY161" i="10" s="1"/>
  <c r="AX24" i="10"/>
  <c r="AV24" i="10"/>
  <c r="AS24" i="10"/>
  <c r="AS161" i="10" s="1"/>
  <c r="AR24" i="10"/>
  <c r="AQ24" i="10"/>
  <c r="AO24" i="10"/>
  <c r="AO161" i="10" s="1"/>
  <c r="AN24" i="10"/>
  <c r="AM24" i="10"/>
  <c r="AL24" i="10"/>
  <c r="AG24" i="10"/>
  <c r="AB24" i="10"/>
  <c r="V24" i="10"/>
  <c r="R24" i="10"/>
  <c r="M24" i="10"/>
  <c r="CO23" i="10"/>
  <c r="CJ23" i="10"/>
  <c r="CE23" i="10"/>
  <c r="CE155" i="10" s="1"/>
  <c r="BZ23" i="10"/>
  <c r="BZ155" i="10" s="1"/>
  <c r="BU23" i="10"/>
  <c r="BU155" i="10" s="1"/>
  <c r="BP23" i="10"/>
  <c r="BP155" i="10" s="1"/>
  <c r="BK23" i="10"/>
  <c r="BK155" i="10" s="1"/>
  <c r="BF23" i="10"/>
  <c r="BF155" i="10" s="1"/>
  <c r="BA23" i="10"/>
  <c r="BA155" i="10" s="1"/>
  <c r="CJ22" i="10"/>
  <c r="CE22" i="10"/>
  <c r="BZ22" i="10"/>
  <c r="BU22" i="10"/>
  <c r="BR22" i="10"/>
  <c r="BP22" i="10"/>
  <c r="BN22" i="10"/>
  <c r="BK22" i="10"/>
  <c r="BH22" i="10"/>
  <c r="BH139" i="10" s="1"/>
  <c r="BG22" i="10"/>
  <c r="BG139" i="10" s="1"/>
  <c r="BE22" i="10"/>
  <c r="BF22" i="10" s="1"/>
  <c r="BD22" i="10"/>
  <c r="BA22" i="10"/>
  <c r="AY22" i="10"/>
  <c r="AY139" i="10" s="1"/>
  <c r="AX22" i="10"/>
  <c r="AW22" i="10"/>
  <c r="AV22" i="10"/>
  <c r="AT22" i="10"/>
  <c r="AT139" i="10" s="1"/>
  <c r="AS22" i="10"/>
  <c r="AR22" i="10"/>
  <c r="AO22" i="10"/>
  <c r="AO139" i="10" s="1"/>
  <c r="AN22" i="10"/>
  <c r="AM22" i="10"/>
  <c r="AH22" i="10"/>
  <c r="AH139" i="10" s="1"/>
  <c r="AG22" i="10"/>
  <c r="AC22" i="10"/>
  <c r="AC139" i="10" s="1"/>
  <c r="AB22" i="10"/>
  <c r="Y22" i="10"/>
  <c r="X22" i="10"/>
  <c r="U22" i="10"/>
  <c r="T22" i="10"/>
  <c r="S22" i="10"/>
  <c r="R22" i="10"/>
  <c r="P22" i="10"/>
  <c r="O22" i="10"/>
  <c r="M22" i="10"/>
  <c r="CJ21" i="10"/>
  <c r="CE21" i="10"/>
  <c r="BZ21" i="10"/>
  <c r="BU21" i="10"/>
  <c r="BP21" i="10"/>
  <c r="BK21" i="10"/>
  <c r="BF21" i="10"/>
  <c r="BA21" i="10"/>
  <c r="AV21" i="10"/>
  <c r="AQ21" i="10"/>
  <c r="AL21" i="10"/>
  <c r="AG21" i="10"/>
  <c r="AB21" i="10"/>
  <c r="V21" i="10"/>
  <c r="W21" i="10" s="1"/>
  <c r="R21" i="10"/>
  <c r="M21" i="10"/>
  <c r="CK20" i="10"/>
  <c r="CI20" i="10"/>
  <c r="CH20" i="10"/>
  <c r="CG20" i="10"/>
  <c r="CF20" i="10"/>
  <c r="CD20" i="10"/>
  <c r="CC20" i="10"/>
  <c r="CB20" i="10"/>
  <c r="CA20" i="10"/>
  <c r="BY20" i="10"/>
  <c r="BX20" i="10"/>
  <c r="BW20" i="10"/>
  <c r="BV20" i="10"/>
  <c r="BT20" i="10"/>
  <c r="BS20" i="10"/>
  <c r="BR20" i="10"/>
  <c r="BQ20" i="10"/>
  <c r="BO20" i="10"/>
  <c r="BN20" i="10"/>
  <c r="BM20" i="10"/>
  <c r="BL20" i="10"/>
  <c r="BJ20" i="10"/>
  <c r="BI20" i="10"/>
  <c r="BH20" i="10"/>
  <c r="BG20" i="10"/>
  <c r="BE20" i="10"/>
  <c r="BD20" i="10"/>
  <c r="BC20" i="10"/>
  <c r="BC27" i="10" s="1"/>
  <c r="BB20" i="10"/>
  <c r="AZ20" i="10"/>
  <c r="AY20" i="10"/>
  <c r="AX20" i="10"/>
  <c r="AW20" i="10"/>
  <c r="AU20" i="10"/>
  <c r="AT20" i="10"/>
  <c r="AS20" i="10"/>
  <c r="AR20" i="10"/>
  <c r="AP20" i="10"/>
  <c r="AO20" i="10"/>
  <c r="AN20" i="10"/>
  <c r="AM20" i="10"/>
  <c r="AK20" i="10"/>
  <c r="AJ20" i="10"/>
  <c r="AI20" i="10"/>
  <c r="AH20" i="10"/>
  <c r="AF20" i="10"/>
  <c r="AE20" i="10"/>
  <c r="AD20" i="10"/>
  <c r="AC20" i="10"/>
  <c r="AA20" i="10"/>
  <c r="Z20" i="10"/>
  <c r="Y20" i="10"/>
  <c r="X20" i="10"/>
  <c r="U20" i="10"/>
  <c r="T20" i="10"/>
  <c r="S20" i="10"/>
  <c r="Q20" i="10"/>
  <c r="P20" i="10"/>
  <c r="O20" i="10"/>
  <c r="N20" i="10"/>
  <c r="CI27" i="10" l="1"/>
  <c r="CF27" i="10"/>
  <c r="CK27" i="10"/>
  <c r="CD27" i="10"/>
  <c r="CG27" i="10"/>
  <c r="CH27" i="10"/>
  <c r="AQ192" i="10"/>
  <c r="AG192" i="10"/>
  <c r="CJ92" i="10"/>
  <c r="CO184" i="10"/>
  <c r="CK184" i="10"/>
  <c r="CJ192" i="10"/>
  <c r="BZ26" i="10"/>
  <c r="CH161" i="10"/>
  <c r="CI158" i="10" s="1"/>
  <c r="CI159" i="10" s="1"/>
  <c r="AR184" i="10"/>
  <c r="AQ92" i="10"/>
  <c r="AV184" i="10"/>
  <c r="BF184" i="10"/>
  <c r="AH184" i="10"/>
  <c r="BB184" i="10"/>
  <c r="BA192" i="10"/>
  <c r="AG92" i="10"/>
  <c r="AL184" i="10"/>
  <c r="AE93" i="10"/>
  <c r="AJ93" i="10"/>
  <c r="AO93" i="10"/>
  <c r="W202" i="10"/>
  <c r="V202" i="10" s="1"/>
  <c r="AB200" i="10"/>
  <c r="X200" i="10"/>
  <c r="W200" i="10" s="1"/>
  <c r="BF139" i="10"/>
  <c r="BF161" i="10"/>
  <c r="BK161" i="10"/>
  <c r="N168" i="10"/>
  <c r="N167" i="10"/>
  <c r="N91" i="10"/>
  <c r="O168" i="10"/>
  <c r="O167" i="10"/>
  <c r="O91" i="10"/>
  <c r="P168" i="10"/>
  <c r="P167" i="10"/>
  <c r="P91" i="10"/>
  <c r="Q168" i="10"/>
  <c r="Q167" i="10"/>
  <c r="Q91" i="10"/>
  <c r="S168" i="10"/>
  <c r="S167" i="10"/>
  <c r="S91" i="10"/>
  <c r="T168" i="10"/>
  <c r="T167" i="10"/>
  <c r="T91" i="10"/>
  <c r="U168" i="10"/>
  <c r="U167" i="10"/>
  <c r="U91" i="10"/>
  <c r="X168" i="10"/>
  <c r="X167" i="10"/>
  <c r="X91" i="10"/>
  <c r="Y168" i="10"/>
  <c r="Y167" i="10"/>
  <c r="Y91" i="10"/>
  <c r="Z168" i="10"/>
  <c r="Z167" i="10"/>
  <c r="Z91" i="10"/>
  <c r="AA168" i="10"/>
  <c r="AA167" i="10"/>
  <c r="AA91" i="10"/>
  <c r="AC168" i="10"/>
  <c r="AC167" i="10"/>
  <c r="AC91" i="10"/>
  <c r="AD168" i="10"/>
  <c r="AD167" i="10"/>
  <c r="AD91" i="10"/>
  <c r="AE168" i="10"/>
  <c r="AE167" i="10"/>
  <c r="AE91" i="10"/>
  <c r="AF168" i="10"/>
  <c r="AF167" i="10"/>
  <c r="AF91" i="10"/>
  <c r="AH168" i="10"/>
  <c r="AH167" i="10"/>
  <c r="AH91" i="10"/>
  <c r="AH27" i="10"/>
  <c r="AI168" i="10"/>
  <c r="AI167" i="10"/>
  <c r="AI91" i="10"/>
  <c r="AI27" i="10"/>
  <c r="AJ168" i="10"/>
  <c r="AJ167" i="10"/>
  <c r="AJ91" i="10"/>
  <c r="AJ27" i="10"/>
  <c r="AK168" i="10"/>
  <c r="AK167" i="10"/>
  <c r="AK91" i="10"/>
  <c r="AK27" i="10"/>
  <c r="AM168" i="10"/>
  <c r="AM167" i="10"/>
  <c r="AM91" i="10"/>
  <c r="AM27" i="10"/>
  <c r="AN168" i="10"/>
  <c r="AN167" i="10"/>
  <c r="AN91" i="10"/>
  <c r="AN27" i="10"/>
  <c r="AO168" i="10"/>
  <c r="AO167" i="10"/>
  <c r="AO91" i="10"/>
  <c r="AO27" i="10"/>
  <c r="AP168" i="10"/>
  <c r="AP167" i="10"/>
  <c r="AP91" i="10"/>
  <c r="AP27" i="10"/>
  <c r="AR168" i="10"/>
  <c r="AR167" i="10"/>
  <c r="AR91" i="10"/>
  <c r="AR27" i="10"/>
  <c r="AS168" i="10"/>
  <c r="AS167" i="10"/>
  <c r="AS91" i="10"/>
  <c r="AS27" i="10"/>
  <c r="AT168" i="10"/>
  <c r="AT167" i="10"/>
  <c r="AT91" i="10"/>
  <c r="AT27" i="10"/>
  <c r="AT56" i="10" s="1"/>
  <c r="AU27" i="10"/>
  <c r="AW27" i="10"/>
  <c r="AX27" i="10"/>
  <c r="AY27" i="10"/>
  <c r="AZ27" i="10"/>
  <c r="BB27" i="10"/>
  <c r="BD27" i="10"/>
  <c r="BE27" i="10"/>
  <c r="BG27" i="10"/>
  <c r="BH27" i="10"/>
  <c r="BI27" i="10"/>
  <c r="BJ27" i="10"/>
  <c r="BL27" i="10"/>
  <c r="BM27" i="10"/>
  <c r="BN27" i="10"/>
  <c r="BO27" i="10"/>
  <c r="BQ27" i="10"/>
  <c r="BR27" i="10"/>
  <c r="BS27" i="10"/>
  <c r="BT27" i="10"/>
  <c r="BV27" i="10"/>
  <c r="BW27" i="10"/>
  <c r="BX27" i="10"/>
  <c r="BY27" i="10"/>
  <c r="CA27" i="10"/>
  <c r="CB27" i="10"/>
  <c r="CC27" i="10"/>
  <c r="AB202" i="10"/>
  <c r="AG200" i="10"/>
  <c r="AC200" i="10"/>
  <c r="AG202" i="10"/>
  <c r="AL200" i="10"/>
  <c r="AH200" i="10"/>
  <c r="AL202" i="10"/>
  <c r="AQ200" i="10"/>
  <c r="AM200" i="10"/>
  <c r="AQ202" i="10"/>
  <c r="AV200" i="10"/>
  <c r="AR200" i="10"/>
  <c r="AV202" i="10"/>
  <c r="BA200" i="10"/>
  <c r="AW200" i="10"/>
  <c r="BA202" i="10"/>
  <c r="BF200" i="10"/>
  <c r="BB200" i="10"/>
  <c r="BF202" i="10"/>
  <c r="BK200" i="10"/>
  <c r="BG200" i="10"/>
  <c r="BK202" i="10"/>
  <c r="BP200" i="10"/>
  <c r="BL200" i="10"/>
  <c r="BP202" i="10"/>
  <c r="BU200" i="10"/>
  <c r="BQ200" i="10"/>
  <c r="BU202" i="10"/>
  <c r="BZ200" i="10"/>
  <c r="BV200" i="10"/>
  <c r="BZ202" i="10"/>
  <c r="CA200" i="10"/>
  <c r="CE202" i="10"/>
  <c r="AB139" i="10"/>
  <c r="AC150" i="10"/>
  <c r="AD134" i="10"/>
  <c r="AG139" i="10"/>
  <c r="AL134" i="10" s="1"/>
  <c r="AL137" i="10" s="1"/>
  <c r="AH150" i="10"/>
  <c r="AI134" i="10"/>
  <c r="AI137" i="10" s="1"/>
  <c r="AQ139" i="10"/>
  <c r="AS139" i="10"/>
  <c r="AR139" i="10" s="1"/>
  <c r="AT150" i="10"/>
  <c r="AV139" i="10"/>
  <c r="AX139" i="10"/>
  <c r="AY140" i="10"/>
  <c r="AZ134" i="10"/>
  <c r="AZ137" i="10" s="1"/>
  <c r="AY150" i="10"/>
  <c r="BA139" i="10"/>
  <c r="BG140" i="10"/>
  <c r="BG146" i="10" s="1"/>
  <c r="BH134" i="10"/>
  <c r="BH140" i="10"/>
  <c r="BI134" i="10"/>
  <c r="BI137" i="10" s="1"/>
  <c r="BH150" i="10"/>
  <c r="BG150" i="10" s="1"/>
  <c r="BK139" i="10"/>
  <c r="BN139" i="10"/>
  <c r="BP139" i="10"/>
  <c r="BR139" i="10"/>
  <c r="BU139" i="10"/>
  <c r="BZ139" i="10"/>
  <c r="BA154" i="10"/>
  <c r="AZ154" i="10" s="1"/>
  <c r="AY154" i="10" s="1"/>
  <c r="AX154" i="10" s="1"/>
  <c r="AW154" i="10" s="1"/>
  <c r="AV154" i="10" s="1"/>
  <c r="AU154" i="10" s="1"/>
  <c r="AT154" i="10" s="1"/>
  <c r="AS154" i="10" s="1"/>
  <c r="AR154" i="10" s="1"/>
  <c r="AQ154" i="10" s="1"/>
  <c r="AP154" i="10" s="1"/>
  <c r="AO154" i="10" s="1"/>
  <c r="AN154" i="10" s="1"/>
  <c r="AM154" i="10" s="1"/>
  <c r="BF153" i="10"/>
  <c r="BF154" i="10" s="1"/>
  <c r="BE154" i="10" s="1"/>
  <c r="BD154" i="10" s="1"/>
  <c r="BC154" i="10" s="1"/>
  <c r="BB153" i="10"/>
  <c r="BK153" i="10"/>
  <c r="BK154" i="10" s="1"/>
  <c r="BJ154" i="10" s="1"/>
  <c r="BI154" i="10" s="1"/>
  <c r="BH154" i="10" s="1"/>
  <c r="BG153" i="10"/>
  <c r="BP153" i="10"/>
  <c r="BP154" i="10" s="1"/>
  <c r="BO154" i="10" s="1"/>
  <c r="BN154" i="10" s="1"/>
  <c r="BM154" i="10" s="1"/>
  <c r="BL153" i="10"/>
  <c r="BU153" i="10"/>
  <c r="BU154" i="10" s="1"/>
  <c r="BT154" i="10" s="1"/>
  <c r="BS154" i="10" s="1"/>
  <c r="BR154" i="10" s="1"/>
  <c r="BQ153" i="10"/>
  <c r="BZ153" i="10"/>
  <c r="BZ154" i="10" s="1"/>
  <c r="BY154" i="10" s="1"/>
  <c r="BX154" i="10" s="1"/>
  <c r="BW154" i="10" s="1"/>
  <c r="BV153" i="10"/>
  <c r="CE153" i="10"/>
  <c r="CE154" i="10" s="1"/>
  <c r="CD154" i="10" s="1"/>
  <c r="CC154" i="10" s="1"/>
  <c r="CB154" i="10" s="1"/>
  <c r="CA153" i="10"/>
  <c r="CJ153" i="10"/>
  <c r="CF153" i="10"/>
  <c r="CF154" i="10" s="1"/>
  <c r="W24" i="10"/>
  <c r="AL161" i="10"/>
  <c r="AQ161" i="10"/>
  <c r="AR161" i="10"/>
  <c r="AT158" i="10"/>
  <c r="AV161" i="10"/>
  <c r="BA161" i="10"/>
  <c r="BL161" i="10"/>
  <c r="BM161" i="10"/>
  <c r="BN158" i="10" s="1"/>
  <c r="BN161" i="10"/>
  <c r="BO161" i="10"/>
  <c r="BQ161" i="10"/>
  <c r="BR161" i="10"/>
  <c r="BS158" i="10" s="1"/>
  <c r="BS161" i="10"/>
  <c r="BT161" i="10"/>
  <c r="BV161" i="10"/>
  <c r="BW161" i="10"/>
  <c r="BX158" i="10" s="1"/>
  <c r="BX161" i="10"/>
  <c r="BY161" i="10"/>
  <c r="CA163" i="10"/>
  <c r="CA161" i="10"/>
  <c r="CB161" i="10"/>
  <c r="CC161" i="10"/>
  <c r="CD161" i="10"/>
  <c r="CF161" i="10"/>
  <c r="CG161" i="10"/>
  <c r="W207" i="10"/>
  <c r="V207" i="10" s="1"/>
  <c r="AB205" i="10"/>
  <c r="X205" i="10"/>
  <c r="W205" i="10" s="1"/>
  <c r="AN139" i="10"/>
  <c r="AM139" i="10" s="1"/>
  <c r="AN161" i="10"/>
  <c r="AM161" i="10" s="1"/>
  <c r="AX161" i="10"/>
  <c r="BP24" i="10"/>
  <c r="BU24" i="10"/>
  <c r="BZ24" i="10"/>
  <c r="CE24" i="10"/>
  <c r="N27" i="10"/>
  <c r="O27" i="10"/>
  <c r="P27" i="10"/>
  <c r="Q27" i="10"/>
  <c r="R27" i="10" s="1"/>
  <c r="S27" i="10"/>
  <c r="T27" i="10"/>
  <c r="U27" i="10"/>
  <c r="V27" i="10" s="1"/>
  <c r="W27" i="10" s="1"/>
  <c r="X27" i="10"/>
  <c r="Z27" i="10"/>
  <c r="AA27" i="10"/>
  <c r="AC27" i="10"/>
  <c r="AD27" i="10"/>
  <c r="AE27" i="10"/>
  <c r="AF27" i="10"/>
  <c r="AB207" i="10"/>
  <c r="AG205" i="10"/>
  <c r="AC205" i="10"/>
  <c r="AG207" i="10"/>
  <c r="AL205" i="10"/>
  <c r="AH205" i="10"/>
  <c r="AL207" i="10"/>
  <c r="AQ205" i="10"/>
  <c r="AM205" i="10"/>
  <c r="AQ207" i="10"/>
  <c r="AV205" i="10"/>
  <c r="AR205" i="10"/>
  <c r="AV207" i="10"/>
  <c r="BA205" i="10"/>
  <c r="AW205" i="10"/>
  <c r="BA207" i="10"/>
  <c r="BF205" i="10"/>
  <c r="BB205" i="10"/>
  <c r="BF207" i="10"/>
  <c r="BK205" i="10"/>
  <c r="BG205" i="10"/>
  <c r="BK207" i="10"/>
  <c r="BP205" i="10"/>
  <c r="BL205" i="10"/>
  <c r="BP207" i="10"/>
  <c r="BU205" i="10"/>
  <c r="BQ205" i="10"/>
  <c r="BU207" i="10"/>
  <c r="BZ205" i="10"/>
  <c r="BV205" i="10"/>
  <c r="BZ207" i="10"/>
  <c r="CA205" i="10"/>
  <c r="CA206" i="10" s="1"/>
  <c r="CE207" i="10"/>
  <c r="BL97" i="10"/>
  <c r="BM97" i="10"/>
  <c r="BN97" i="10"/>
  <c r="BO97" i="10"/>
  <c r="BQ97" i="10"/>
  <c r="BR97" i="10"/>
  <c r="BS97" i="10"/>
  <c r="BT97" i="10"/>
  <c r="BV97" i="10"/>
  <c r="BW97" i="10"/>
  <c r="BX97" i="10"/>
  <c r="BY97" i="10"/>
  <c r="CA97" i="10"/>
  <c r="CB97" i="10"/>
  <c r="CC97" i="10"/>
  <c r="CD97" i="10"/>
  <c r="CF97" i="10"/>
  <c r="CG97" i="10"/>
  <c r="CH97" i="10"/>
  <c r="CI97" i="10"/>
  <c r="CK97" i="10"/>
  <c r="AQ36" i="10"/>
  <c r="AR41" i="10"/>
  <c r="AR93" i="10" s="1"/>
  <c r="W210" i="10"/>
  <c r="R95" i="10"/>
  <c r="V212" i="10"/>
  <c r="V95" i="10"/>
  <c r="AB212" i="10"/>
  <c r="AG210" i="10"/>
  <c r="AC210" i="10"/>
  <c r="AB95" i="10"/>
  <c r="AG212" i="10"/>
  <c r="AL210" i="10"/>
  <c r="AH210" i="10"/>
  <c r="AG95" i="10"/>
  <c r="AL212" i="10"/>
  <c r="AQ210" i="10"/>
  <c r="AM210" i="10"/>
  <c r="AL95" i="10"/>
  <c r="AQ212" i="10"/>
  <c r="AV210" i="10"/>
  <c r="AR210" i="10"/>
  <c r="AQ95" i="10"/>
  <c r="AV212" i="10"/>
  <c r="BA210" i="10"/>
  <c r="AW210" i="10"/>
  <c r="AV95" i="10"/>
  <c r="BA212" i="10"/>
  <c r="BF210" i="10"/>
  <c r="BB210" i="10"/>
  <c r="BA95" i="10"/>
  <c r="BF212" i="10"/>
  <c r="BK210" i="10"/>
  <c r="BG210" i="10"/>
  <c r="BF95" i="10"/>
  <c r="BK212" i="10"/>
  <c r="BP210" i="10"/>
  <c r="BL210" i="10"/>
  <c r="BK95" i="10"/>
  <c r="BP212" i="10"/>
  <c r="BU210" i="10"/>
  <c r="BQ210" i="10"/>
  <c r="BP95" i="10"/>
  <c r="BU212" i="10"/>
  <c r="BV210" i="10"/>
  <c r="BU95" i="10"/>
  <c r="BZ212" i="10"/>
  <c r="CA210" i="10"/>
  <c r="BZ95" i="10"/>
  <c r="CE212" i="10"/>
  <c r="CE95" i="10"/>
  <c r="CJ95" i="10"/>
  <c r="CT44" i="10"/>
  <c r="BV52" i="10"/>
  <c r="BW44" i="10"/>
  <c r="CJ123" i="10"/>
  <c r="CF123" i="10"/>
  <c r="CF124" i="10" s="1"/>
  <c r="CE123" i="10"/>
  <c r="CA123" i="10"/>
  <c r="CA124" i="10" s="1"/>
  <c r="BZ123" i="10"/>
  <c r="BV123" i="10"/>
  <c r="BV124" i="10" s="1"/>
  <c r="BU123" i="10"/>
  <c r="BQ123" i="10"/>
  <c r="BP123" i="10"/>
  <c r="BL123" i="10"/>
  <c r="BK123" i="10"/>
  <c r="BG123" i="10"/>
  <c r="BF123" i="10"/>
  <c r="BB123" i="10"/>
  <c r="BA123" i="10"/>
  <c r="AW123" i="10"/>
  <c r="AV123" i="10"/>
  <c r="AR123" i="10"/>
  <c r="AQ123" i="10"/>
  <c r="AM123" i="10"/>
  <c r="AL123" i="10"/>
  <c r="AH123" i="10"/>
  <c r="AB124" i="10"/>
  <c r="AG123" i="10"/>
  <c r="AC123" i="10"/>
  <c r="CJ128" i="10"/>
  <c r="CF128" i="10"/>
  <c r="CE128" i="10"/>
  <c r="CA128" i="10"/>
  <c r="CA129" i="10" s="1"/>
  <c r="BZ128" i="10"/>
  <c r="BV128" i="10"/>
  <c r="BV129" i="10" s="1"/>
  <c r="BU128" i="10"/>
  <c r="BQ128" i="10"/>
  <c r="BP128" i="10"/>
  <c r="BL128" i="10"/>
  <c r="BK128" i="10"/>
  <c r="BG128" i="10"/>
  <c r="BF128" i="10"/>
  <c r="BB128" i="10"/>
  <c r="BA128" i="10"/>
  <c r="AW128" i="10"/>
  <c r="AV128" i="10"/>
  <c r="AR128" i="10"/>
  <c r="AQ128" i="10"/>
  <c r="AM128" i="10"/>
  <c r="AL128" i="10"/>
  <c r="AH128" i="10"/>
  <c r="AG128" i="10"/>
  <c r="AC128" i="10"/>
  <c r="W32" i="10"/>
  <c r="BP33" i="10"/>
  <c r="BU34" i="10"/>
  <c r="BZ34" i="10"/>
  <c r="CE34" i="10"/>
  <c r="CJ34" i="10"/>
  <c r="R36" i="10"/>
  <c r="Y41" i="10"/>
  <c r="AB36" i="10"/>
  <c r="AD41" i="10"/>
  <c r="AG36" i="10"/>
  <c r="AI41" i="10"/>
  <c r="AL36" i="10"/>
  <c r="AN41" i="10"/>
  <c r="BL36" i="10"/>
  <c r="BM36" i="10"/>
  <c r="BN36" i="10"/>
  <c r="BO36" i="10"/>
  <c r="BQ36" i="10"/>
  <c r="BR36" i="10"/>
  <c r="BS36" i="10"/>
  <c r="BT36" i="10"/>
  <c r="BV36" i="10"/>
  <c r="BW36" i="10"/>
  <c r="BX36" i="10"/>
  <c r="BY36" i="10"/>
  <c r="CA36" i="10"/>
  <c r="CB36" i="10"/>
  <c r="CC36" i="10"/>
  <c r="CD36" i="10"/>
  <c r="CF36" i="10"/>
  <c r="CG36" i="10"/>
  <c r="CH36" i="10"/>
  <c r="CI36" i="10"/>
  <c r="CK36" i="10"/>
  <c r="M95" i="10"/>
  <c r="W37" i="10"/>
  <c r="CJ179" i="10"/>
  <c r="CJ180" i="10"/>
  <c r="AS54" i="10"/>
  <c r="AS181" i="10" s="1"/>
  <c r="AO54" i="10"/>
  <c r="AO181" i="10" s="1"/>
  <c r="AJ54" i="10"/>
  <c r="AJ181" i="10" s="1"/>
  <c r="AE54" i="10"/>
  <c r="AE181" i="10" s="1"/>
  <c r="Z54" i="10"/>
  <c r="Z181" i="10" s="1"/>
  <c r="BA179" i="10"/>
  <c r="BA180" i="10"/>
  <c r="AQ179" i="10"/>
  <c r="AQ180" i="10"/>
  <c r="AG179" i="10"/>
  <c r="AG180" i="10"/>
  <c r="CO37" i="10"/>
  <c r="CM95" i="10"/>
  <c r="CN95" i="10"/>
  <c r="CO31" i="10"/>
  <c r="CN189" i="10"/>
  <c r="CO49" i="10"/>
  <c r="CN187" i="10"/>
  <c r="CO45" i="10"/>
  <c r="CE192" i="10"/>
  <c r="CJ184" i="10"/>
  <c r="CF184" i="10"/>
  <c r="CE180" i="10"/>
  <c r="CE179" i="10"/>
  <c r="CE92" i="10"/>
  <c r="BZ192" i="10"/>
  <c r="CE184" i="10"/>
  <c r="CA184" i="10"/>
  <c r="BZ180" i="10"/>
  <c r="BZ179" i="10"/>
  <c r="BZ92" i="10"/>
  <c r="BU192" i="10"/>
  <c r="BZ184" i="10"/>
  <c r="BV184" i="10"/>
  <c r="BU180" i="10"/>
  <c r="BU179" i="10"/>
  <c r="BP192" i="10"/>
  <c r="BU184" i="10"/>
  <c r="BQ184" i="10"/>
  <c r="BP180" i="10"/>
  <c r="BP179" i="10"/>
  <c r="BK192" i="10"/>
  <c r="BP184" i="10"/>
  <c r="BL184" i="10"/>
  <c r="BK180" i="10"/>
  <c r="BK179" i="10"/>
  <c r="BF192" i="10"/>
  <c r="BK184" i="10"/>
  <c r="BG184" i="10"/>
  <c r="BF180" i="10"/>
  <c r="BF179" i="10"/>
  <c r="BF92" i="10"/>
  <c r="AV192" i="10"/>
  <c r="BA184" i="10"/>
  <c r="AW184" i="10"/>
  <c r="AV180" i="10"/>
  <c r="AV179" i="10"/>
  <c r="AV92" i="10"/>
  <c r="AL192" i="10"/>
  <c r="AQ184" i="10"/>
  <c r="AM184" i="10"/>
  <c r="AL180" i="10"/>
  <c r="AL179" i="10"/>
  <c r="AL92" i="10"/>
  <c r="AB192" i="10"/>
  <c r="AG184" i="10"/>
  <c r="AC184" i="10"/>
  <c r="AB180" i="10"/>
  <c r="AB179" i="10"/>
  <c r="AB92" i="10"/>
  <c r="AT181" i="10"/>
  <c r="W184" i="10"/>
  <c r="R180" i="10"/>
  <c r="R179" i="10"/>
  <c r="R173" i="10"/>
  <c r="Q173" i="10" s="1"/>
  <c r="P173" i="10" s="1"/>
  <c r="O173" i="10" s="1"/>
  <c r="N173" i="10" s="1"/>
  <c r="W52" i="10"/>
  <c r="AP54" i="10"/>
  <c r="AF54" i="10"/>
  <c r="BC118" i="10"/>
  <c r="BE115" i="10"/>
  <c r="AF101" i="10"/>
  <c r="AL102" i="10"/>
  <c r="L20" i="10"/>
  <c r="K20" i="10"/>
  <c r="J20" i="10"/>
  <c r="I20" i="10"/>
  <c r="H20" i="10"/>
  <c r="G20" i="10"/>
  <c r="F20" i="10"/>
  <c r="E20" i="10"/>
  <c r="D20" i="10"/>
  <c r="C20" i="10"/>
  <c r="CJ19" i="10"/>
  <c r="CE19" i="10"/>
  <c r="BZ19" i="10"/>
  <c r="BU19" i="10"/>
  <c r="BP19" i="10"/>
  <c r="BK19" i="10"/>
  <c r="BF19" i="10"/>
  <c r="BA19" i="10"/>
  <c r="AV19" i="10"/>
  <c r="AQ19" i="10"/>
  <c r="AL19" i="10"/>
  <c r="AG19" i="10"/>
  <c r="AB19" i="10"/>
  <c r="V19" i="10"/>
  <c r="W19" i="10" s="1"/>
  <c r="R19" i="10"/>
  <c r="M19" i="10"/>
  <c r="CJ18" i="10"/>
  <c r="CE18" i="10"/>
  <c r="BZ18" i="10"/>
  <c r="BU18" i="10"/>
  <c r="BP18" i="10"/>
  <c r="BK18" i="10"/>
  <c r="BF18" i="10"/>
  <c r="BA18" i="10"/>
  <c r="AV18" i="10"/>
  <c r="AQ18" i="10"/>
  <c r="AL18" i="10"/>
  <c r="AG18" i="10"/>
  <c r="AB18" i="10"/>
  <c r="V18" i="10"/>
  <c r="W18" i="10" s="1"/>
  <c r="R18" i="10"/>
  <c r="M18" i="10"/>
  <c r="CJ17" i="10"/>
  <c r="CE17" i="10"/>
  <c r="BZ17" i="10"/>
  <c r="BU17" i="10"/>
  <c r="BP17" i="10"/>
  <c r="BK17" i="10"/>
  <c r="BF17" i="10"/>
  <c r="BA17" i="10"/>
  <c r="AV17" i="10"/>
  <c r="AQ17" i="10"/>
  <c r="AL17" i="10"/>
  <c r="AG17" i="10"/>
  <c r="AB17" i="10"/>
  <c r="V17" i="10"/>
  <c r="W17" i="10" s="1"/>
  <c r="R17" i="10"/>
  <c r="M17" i="10"/>
  <c r="CJ16" i="10"/>
  <c r="CE16" i="10"/>
  <c r="BZ16" i="10"/>
  <c r="BU16" i="10"/>
  <c r="BP16" i="10"/>
  <c r="BK16" i="10"/>
  <c r="BF16" i="10"/>
  <c r="BA16" i="10"/>
  <c r="AV16" i="10"/>
  <c r="AQ16" i="10"/>
  <c r="AL16" i="10"/>
  <c r="AG16" i="10"/>
  <c r="AB16" i="10"/>
  <c r="V16" i="10"/>
  <c r="W16" i="10" s="1"/>
  <c r="R16" i="10"/>
  <c r="M16" i="10"/>
  <c r="CJ15" i="10"/>
  <c r="CE15" i="10"/>
  <c r="BZ15" i="10"/>
  <c r="BU15" i="10"/>
  <c r="BP15" i="10"/>
  <c r="BK15" i="10"/>
  <c r="BF15" i="10"/>
  <c r="BA15" i="10"/>
  <c r="AV15" i="10"/>
  <c r="AQ15" i="10"/>
  <c r="AL15" i="10"/>
  <c r="AG15" i="10"/>
  <c r="AB15" i="10"/>
  <c r="V15" i="10"/>
  <c r="R15" i="10"/>
  <c r="M15" i="10"/>
  <c r="CJ14" i="10"/>
  <c r="CE14" i="10"/>
  <c r="BZ14" i="10"/>
  <c r="BU14" i="10"/>
  <c r="BP14" i="10"/>
  <c r="BK14" i="10"/>
  <c r="BF14" i="10"/>
  <c r="BA14" i="10"/>
  <c r="AV14" i="10"/>
  <c r="AQ14" i="10"/>
  <c r="AL14" i="10"/>
  <c r="AG14" i="10"/>
  <c r="AB14" i="10"/>
  <c r="V14" i="10"/>
  <c r="R14" i="10"/>
  <c r="M14" i="10"/>
  <c r="CN11" i="10"/>
  <c r="CM11" i="10"/>
  <c r="CL11" i="10"/>
  <c r="CK11" i="10"/>
  <c r="CI11" i="10"/>
  <c r="CH11" i="10"/>
  <c r="CG11" i="10"/>
  <c r="CF11" i="10"/>
  <c r="CD11" i="10"/>
  <c r="CC11" i="10"/>
  <c r="CB11" i="10"/>
  <c r="CA11" i="10"/>
  <c r="BZ36" i="10" l="1"/>
  <c r="BU36" i="10"/>
  <c r="CE36" i="10"/>
  <c r="CJ36" i="10"/>
  <c r="BF150" i="10"/>
  <c r="BH137" i="10"/>
  <c r="CH163" i="10"/>
  <c r="AB201" i="10"/>
  <c r="AA201" i="10" s="1"/>
  <c r="Z201" i="10" s="1"/>
  <c r="Y201" i="10" s="1"/>
  <c r="CY44" i="10"/>
  <c r="AO56" i="10"/>
  <c r="AR54" i="10"/>
  <c r="AR181" i="10" s="1"/>
  <c r="AE56" i="10"/>
  <c r="V218" i="10"/>
  <c r="AB206" i="10"/>
  <c r="AA206" i="10" s="1"/>
  <c r="Z206" i="10" s="1"/>
  <c r="Y206" i="10" s="1"/>
  <c r="X206" i="10" s="1"/>
  <c r="W206" i="10" s="1"/>
  <c r="V206" i="10" s="1"/>
  <c r="X201" i="10"/>
  <c r="W201" i="10" s="1"/>
  <c r="V201" i="10" s="1"/>
  <c r="Z56" i="10"/>
  <c r="AJ56" i="10"/>
  <c r="AS56" i="10"/>
  <c r="BW158" i="10"/>
  <c r="BR158" i="10"/>
  <c r="BM158" i="10"/>
  <c r="AK102" i="10"/>
  <c r="BV154" i="10"/>
  <c r="BL154" i="10"/>
  <c r="BB154" i="10"/>
  <c r="AX150" i="10"/>
  <c r="AG150" i="10"/>
  <c r="AF150" i="10" s="1"/>
  <c r="AE150" i="10" s="1"/>
  <c r="AD150" i="10" s="1"/>
  <c r="AS158" i="10"/>
  <c r="CA154" i="10"/>
  <c r="BQ154" i="10"/>
  <c r="BG154" i="10"/>
  <c r="AS150" i="10"/>
  <c r="AR150" i="10" s="1"/>
  <c r="AQ150" i="10" s="1"/>
  <c r="AP150" i="10" s="1"/>
  <c r="AO150" i="10" s="1"/>
  <c r="AB150" i="10"/>
  <c r="W97" i="10"/>
  <c r="V97" i="10" s="1"/>
  <c r="W60" i="10"/>
  <c r="V60" i="10" s="1"/>
  <c r="R169" i="10"/>
  <c r="Q169" i="10" s="1"/>
  <c r="P169" i="10" s="1"/>
  <c r="O169" i="10" s="1"/>
  <c r="N169" i="10" s="1"/>
  <c r="R20" i="10"/>
  <c r="V220" i="10"/>
  <c r="V217" i="10"/>
  <c r="V20" i="10"/>
  <c r="AC220" i="10"/>
  <c r="AB169" i="10"/>
  <c r="AA169" i="10" s="1"/>
  <c r="Z169" i="10" s="1"/>
  <c r="Y169" i="10" s="1"/>
  <c r="X169" i="10" s="1"/>
  <c r="AB20" i="10"/>
  <c r="AH220" i="10"/>
  <c r="AG220" i="10"/>
  <c r="AG169" i="10"/>
  <c r="AF169" i="10" s="1"/>
  <c r="AE169" i="10" s="1"/>
  <c r="AD169" i="10" s="1"/>
  <c r="AC169" i="10" s="1"/>
  <c r="AG20" i="10"/>
  <c r="AM220" i="10"/>
  <c r="AL220" i="10"/>
  <c r="AL169" i="10"/>
  <c r="AK169" i="10" s="1"/>
  <c r="AJ169" i="10" s="1"/>
  <c r="AI169" i="10" s="1"/>
  <c r="AH169" i="10" s="1"/>
  <c r="AL20" i="10"/>
  <c r="AR220" i="10"/>
  <c r="AQ220" i="10"/>
  <c r="AQ169" i="10"/>
  <c r="AP169" i="10" s="1"/>
  <c r="AO169" i="10" s="1"/>
  <c r="AN169" i="10" s="1"/>
  <c r="AM169" i="10" s="1"/>
  <c r="AQ20" i="10"/>
  <c r="AW220" i="10"/>
  <c r="AV220" i="10"/>
  <c r="AV20" i="10"/>
  <c r="BB220" i="10"/>
  <c r="BA220" i="10"/>
  <c r="BA20" i="10"/>
  <c r="BG220" i="10"/>
  <c r="BF220" i="10"/>
  <c r="BF20" i="10"/>
  <c r="BL220" i="10"/>
  <c r="BK220" i="10"/>
  <c r="BK20" i="10"/>
  <c r="BQ220" i="10"/>
  <c r="BP220" i="10"/>
  <c r="BP20" i="10"/>
  <c r="BV220" i="10"/>
  <c r="BU220" i="10"/>
  <c r="BU20" i="10"/>
  <c r="BZ220" i="10"/>
  <c r="BZ20" i="10"/>
  <c r="CE220" i="10"/>
  <c r="CE20" i="10"/>
  <c r="CJ220" i="10"/>
  <c r="CJ20" i="10"/>
  <c r="W195" i="10"/>
  <c r="V197" i="10"/>
  <c r="AB197" i="10"/>
  <c r="AG195" i="10"/>
  <c r="AC195" i="10"/>
  <c r="AG197" i="10"/>
  <c r="AL195" i="10"/>
  <c r="AH195" i="10"/>
  <c r="AL197" i="10"/>
  <c r="AQ195" i="10"/>
  <c r="AM195" i="10"/>
  <c r="AQ197" i="10"/>
  <c r="AV195" i="10"/>
  <c r="AR195" i="10"/>
  <c r="AV197" i="10"/>
  <c r="BA195" i="10"/>
  <c r="AW195" i="10"/>
  <c r="BA197" i="10"/>
  <c r="BF195" i="10"/>
  <c r="BB195" i="10"/>
  <c r="BF197" i="10"/>
  <c r="BK197" i="10"/>
  <c r="BP197" i="10"/>
  <c r="BU197" i="10"/>
  <c r="BZ197" i="10"/>
  <c r="CE197" i="10"/>
  <c r="M97" i="10"/>
  <c r="R97" i="10"/>
  <c r="AB97" i="10"/>
  <c r="AG97" i="10"/>
  <c r="AL97" i="10"/>
  <c r="AQ97" i="10"/>
  <c r="AV97" i="10"/>
  <c r="AU97" i="10" s="1"/>
  <c r="BA97" i="10"/>
  <c r="AZ97" i="10" s="1"/>
  <c r="AY97" i="10" s="1"/>
  <c r="AX97" i="10" s="1"/>
  <c r="AW97" i="10" s="1"/>
  <c r="BF97" i="10"/>
  <c r="BE97" i="10" s="1"/>
  <c r="BD97" i="10" s="1"/>
  <c r="BC97" i="10" s="1"/>
  <c r="BB97" i="10" s="1"/>
  <c r="BK97" i="10"/>
  <c r="BJ97" i="10" s="1"/>
  <c r="BI97" i="10" s="1"/>
  <c r="BH97" i="10" s="1"/>
  <c r="BG97" i="10" s="1"/>
  <c r="BP97" i="10"/>
  <c r="BU97" i="10"/>
  <c r="BZ97" i="10"/>
  <c r="CE97" i="10"/>
  <c r="CJ97" i="10"/>
  <c r="W218" i="10"/>
  <c r="W212" i="10"/>
  <c r="AB210" i="10"/>
  <c r="AB211" i="10" s="1"/>
  <c r="AA211" i="10" s="1"/>
  <c r="Z211" i="10" s="1"/>
  <c r="Y211" i="10" s="1"/>
  <c r="X210" i="10"/>
  <c r="W95" i="10"/>
  <c r="CK169" i="10"/>
  <c r="CK41" i="10"/>
  <c r="CI169" i="10"/>
  <c r="CI41" i="10"/>
  <c r="CH169" i="10"/>
  <c r="CH41" i="10"/>
  <c r="CG169" i="10"/>
  <c r="CG41" i="10"/>
  <c r="CF169" i="10"/>
  <c r="CF41" i="10"/>
  <c r="CD169" i="10"/>
  <c r="CD41" i="10"/>
  <c r="CC169" i="10"/>
  <c r="CC41" i="10"/>
  <c r="CB169" i="10"/>
  <c r="CB41" i="10"/>
  <c r="CA169" i="10"/>
  <c r="CA41" i="10"/>
  <c r="BY169" i="10"/>
  <c r="BY41" i="10"/>
  <c r="BX169" i="10"/>
  <c r="BX41" i="10"/>
  <c r="BW169" i="10"/>
  <c r="BW41" i="10"/>
  <c r="BV169" i="10"/>
  <c r="BV41" i="10"/>
  <c r="BT169" i="10"/>
  <c r="BT41" i="10"/>
  <c r="BS169" i="10"/>
  <c r="BS41" i="10"/>
  <c r="BR169" i="10"/>
  <c r="BR41" i="10"/>
  <c r="BQ169" i="10"/>
  <c r="BQ41" i="10"/>
  <c r="BO169" i="10"/>
  <c r="BO41" i="10"/>
  <c r="BP36" i="10"/>
  <c r="BN169" i="10"/>
  <c r="BN41" i="10"/>
  <c r="BM169" i="10"/>
  <c r="BM41" i="10"/>
  <c r="BL169" i="10"/>
  <c r="BL41" i="10"/>
  <c r="AM41" i="10"/>
  <c r="AM54" i="10" s="1"/>
  <c r="AN54" i="10"/>
  <c r="AL41" i="10"/>
  <c r="AH41" i="10"/>
  <c r="AH54" i="10" s="1"/>
  <c r="AI54" i="10"/>
  <c r="AG41" i="10"/>
  <c r="AC41" i="10"/>
  <c r="AC54" i="10" s="1"/>
  <c r="AD54" i="10"/>
  <c r="AB41" i="10"/>
  <c r="X41" i="10"/>
  <c r="X54" i="10" s="1"/>
  <c r="Y54" i="10"/>
  <c r="W61" i="10"/>
  <c r="BZ129" i="10"/>
  <c r="BY129" i="10" s="1"/>
  <c r="BX129" i="10" s="1"/>
  <c r="BW129" i="10" s="1"/>
  <c r="CE129" i="10"/>
  <c r="BZ124" i="10"/>
  <c r="BY124" i="10" s="1"/>
  <c r="BX124" i="10" s="1"/>
  <c r="BW124" i="10" s="1"/>
  <c r="CE124" i="10"/>
  <c r="BW52" i="10"/>
  <c r="BX44" i="10"/>
  <c r="BV192" i="10"/>
  <c r="BW184" i="10"/>
  <c r="BV180" i="10"/>
  <c r="BV179" i="10"/>
  <c r="BV92" i="10"/>
  <c r="CJ210" i="10"/>
  <c r="CF210" i="10"/>
  <c r="BU211" i="10"/>
  <c r="BT211" i="10" s="1"/>
  <c r="BS211" i="10" s="1"/>
  <c r="BR211" i="10" s="1"/>
  <c r="BQ211" i="10" s="1"/>
  <c r="BP211" i="10" s="1"/>
  <c r="BO211" i="10" s="1"/>
  <c r="BN211" i="10" s="1"/>
  <c r="BM211" i="10" s="1"/>
  <c r="BL211" i="10" s="1"/>
  <c r="BK211" i="10" s="1"/>
  <c r="BJ211" i="10" s="1"/>
  <c r="BI211" i="10" s="1"/>
  <c r="BH211" i="10" s="1"/>
  <c r="BG211" i="10" s="1"/>
  <c r="BF211" i="10" s="1"/>
  <c r="BE211" i="10" s="1"/>
  <c r="BD211" i="10" s="1"/>
  <c r="BC211" i="10" s="1"/>
  <c r="BB211" i="10" s="1"/>
  <c r="BA211" i="10" s="1"/>
  <c r="AZ211" i="10" s="1"/>
  <c r="AY211" i="10" s="1"/>
  <c r="AX211" i="10" s="1"/>
  <c r="AW211" i="10" s="1"/>
  <c r="AV211" i="10" s="1"/>
  <c r="AU211" i="10" s="1"/>
  <c r="AT211" i="10" s="1"/>
  <c r="AS211" i="10" s="1"/>
  <c r="AR211" i="10" s="1"/>
  <c r="AQ211" i="10" s="1"/>
  <c r="AP211" i="10" s="1"/>
  <c r="AO211" i="10" s="1"/>
  <c r="AN211" i="10" s="1"/>
  <c r="AM211" i="10" s="1"/>
  <c r="AL211" i="10" s="1"/>
  <c r="AK211" i="10" s="1"/>
  <c r="AJ211" i="10" s="1"/>
  <c r="AI211" i="10" s="1"/>
  <c r="AH211" i="10" s="1"/>
  <c r="AG211" i="10" s="1"/>
  <c r="AF211" i="10" s="1"/>
  <c r="AE211" i="10" s="1"/>
  <c r="AD211" i="10" s="1"/>
  <c r="AC211" i="10" s="1"/>
  <c r="BZ210" i="10"/>
  <c r="BZ211" i="10" s="1"/>
  <c r="BY211" i="10" s="1"/>
  <c r="BX211" i="10" s="1"/>
  <c r="BW211" i="10" s="1"/>
  <c r="BV211" i="10" s="1"/>
  <c r="AQ41" i="10"/>
  <c r="CJ205" i="10"/>
  <c r="CF205" i="10"/>
  <c r="CF206" i="10" s="1"/>
  <c r="BZ206" i="10"/>
  <c r="BY206" i="10" s="1"/>
  <c r="BX206" i="10" s="1"/>
  <c r="BW206" i="10" s="1"/>
  <c r="BV206" i="10" s="1"/>
  <c r="BU206" i="10" s="1"/>
  <c r="BT206" i="10" s="1"/>
  <c r="BS206" i="10" s="1"/>
  <c r="BR206" i="10" s="1"/>
  <c r="BQ206" i="10" s="1"/>
  <c r="BP206" i="10" s="1"/>
  <c r="BO206" i="10" s="1"/>
  <c r="BN206" i="10" s="1"/>
  <c r="BM206" i="10" s="1"/>
  <c r="BL206" i="10" s="1"/>
  <c r="BK206" i="10" s="1"/>
  <c r="BJ206" i="10" s="1"/>
  <c r="BI206" i="10" s="1"/>
  <c r="BH206" i="10" s="1"/>
  <c r="BG206" i="10" s="1"/>
  <c r="BF206" i="10" s="1"/>
  <c r="BE206" i="10" s="1"/>
  <c r="BD206" i="10" s="1"/>
  <c r="BC206" i="10" s="1"/>
  <c r="BB206" i="10" s="1"/>
  <c r="BA206" i="10" s="1"/>
  <c r="AZ206" i="10" s="1"/>
  <c r="AY206" i="10" s="1"/>
  <c r="AX206" i="10" s="1"/>
  <c r="AW206" i="10" s="1"/>
  <c r="AV206" i="10" s="1"/>
  <c r="AU206" i="10" s="1"/>
  <c r="AT206" i="10" s="1"/>
  <c r="AS206" i="10" s="1"/>
  <c r="AR206" i="10" s="1"/>
  <c r="AQ206" i="10" s="1"/>
  <c r="AP206" i="10" s="1"/>
  <c r="AO206" i="10" s="1"/>
  <c r="AN206" i="10" s="1"/>
  <c r="AM206" i="10" s="1"/>
  <c r="AL206" i="10" s="1"/>
  <c r="AK206" i="10" s="1"/>
  <c r="AJ206" i="10" s="1"/>
  <c r="AI206" i="10" s="1"/>
  <c r="AH206" i="10" s="1"/>
  <c r="AG206" i="10" s="1"/>
  <c r="AF206" i="10" s="1"/>
  <c r="AE206" i="10" s="1"/>
  <c r="AD206" i="10" s="1"/>
  <c r="AC206" i="10" s="1"/>
  <c r="CE205" i="10"/>
  <c r="CE206" i="10" s="1"/>
  <c r="AF218" i="10"/>
  <c r="AF217" i="10"/>
  <c r="AG27" i="10"/>
  <c r="AE218" i="10"/>
  <c r="AE217" i="10"/>
  <c r="AD218" i="10"/>
  <c r="AD217" i="10"/>
  <c r="AC218" i="10"/>
  <c r="AC217" i="10"/>
  <c r="AA218" i="10"/>
  <c r="AA217" i="10"/>
  <c r="AB27" i="10"/>
  <c r="Z218" i="10"/>
  <c r="Z217" i="10"/>
  <c r="X218" i="10"/>
  <c r="X217" i="10"/>
  <c r="CE161" i="10"/>
  <c r="BZ161" i="10"/>
  <c r="BU161" i="10"/>
  <c r="BP161" i="10"/>
  <c r="AW161" i="10"/>
  <c r="AY158" i="10"/>
  <c r="AN158" i="10"/>
  <c r="AN134" i="10"/>
  <c r="CL158" i="10"/>
  <c r="CL159" i="10" s="1"/>
  <c r="CG163" i="10"/>
  <c r="CH158" i="10"/>
  <c r="CH159" i="10" s="1"/>
  <c r="CF163" i="10"/>
  <c r="CG158" i="10"/>
  <c r="CG159" i="10" s="1"/>
  <c r="CD163" i="10"/>
  <c r="CC163" i="10"/>
  <c r="CD158" i="10"/>
  <c r="CD159" i="10" s="1"/>
  <c r="CB163" i="10"/>
  <c r="CC158" i="10"/>
  <c r="CB158" i="10" s="1"/>
  <c r="BF158" i="10"/>
  <c r="BB158" i="10"/>
  <c r="BB159" i="10" s="1"/>
  <c r="BA158" i="10"/>
  <c r="AZ158" i="10" s="1"/>
  <c r="AW158" i="10"/>
  <c r="AV158" i="10"/>
  <c r="AR158" i="10"/>
  <c r="AQ158" i="10"/>
  <c r="AP158" i="10" s="1"/>
  <c r="AO158" i="10" s="1"/>
  <c r="AM158" i="10"/>
  <c r="AM159" i="10" s="1"/>
  <c r="BZ150" i="10"/>
  <c r="BZ140" i="10"/>
  <c r="CE134" i="10"/>
  <c r="CA134" i="10"/>
  <c r="CA137" i="10" s="1"/>
  <c r="CE137" i="10" s="1"/>
  <c r="BU140" i="10"/>
  <c r="BZ134" i="10"/>
  <c r="BZ137" i="10" s="1"/>
  <c r="BV134" i="10"/>
  <c r="BV137" i="10" s="1"/>
  <c r="BU150" i="10"/>
  <c r="BR140" i="10"/>
  <c r="BS134" i="10"/>
  <c r="BR150" i="10"/>
  <c r="BR137" i="10"/>
  <c r="BP140" i="10"/>
  <c r="BP150" i="10"/>
  <c r="BU134" i="10"/>
  <c r="BQ134" i="10"/>
  <c r="BQ137" i="10" s="1"/>
  <c r="BN140" i="10"/>
  <c r="BN150" i="10"/>
  <c r="BO134" i="10"/>
  <c r="BN137" i="10"/>
  <c r="BK140" i="10"/>
  <c r="BP134" i="10"/>
  <c r="BL134" i="10"/>
  <c r="BL137" i="10" s="1"/>
  <c r="BK150" i="10"/>
  <c r="BH146" i="10"/>
  <c r="BH143" i="10"/>
  <c r="BG143" i="10" s="1"/>
  <c r="BA140" i="10"/>
  <c r="BF134" i="10"/>
  <c r="BF137" i="10" s="1"/>
  <c r="BB134" i="10"/>
  <c r="BB137" i="10" s="1"/>
  <c r="AY146" i="10"/>
  <c r="AY143" i="10"/>
  <c r="AW139" i="10"/>
  <c r="AW150" i="10" s="1"/>
  <c r="AV150" i="10" s="1"/>
  <c r="AX140" i="10"/>
  <c r="AX143" i="10" s="1"/>
  <c r="AY134" i="10"/>
  <c r="AY137" i="10" s="1"/>
  <c r="AV140" i="10"/>
  <c r="BA134" i="10"/>
  <c r="BA137" i="10" s="1"/>
  <c r="AW134" i="10"/>
  <c r="AS134" i="10"/>
  <c r="AV134" i="10"/>
  <c r="AU134" i="10" s="1"/>
  <c r="AR134" i="10"/>
  <c r="AR137" i="10" s="1"/>
  <c r="AQ134" i="10"/>
  <c r="AP134" i="10" s="1"/>
  <c r="AM134" i="10"/>
  <c r="AM137" i="10" s="1"/>
  <c r="AH134" i="10"/>
  <c r="AH137" i="10" s="1"/>
  <c r="AG134" i="10"/>
  <c r="AC134" i="10"/>
  <c r="CJ200" i="10"/>
  <c r="CF200" i="10"/>
  <c r="BZ201" i="10"/>
  <c r="BY201" i="10" s="1"/>
  <c r="BX201" i="10" s="1"/>
  <c r="BW201" i="10" s="1"/>
  <c r="BV201" i="10" s="1"/>
  <c r="BU201" i="10" s="1"/>
  <c r="BT201" i="10" s="1"/>
  <c r="BS201" i="10" s="1"/>
  <c r="BR201" i="10" s="1"/>
  <c r="BQ201" i="10" s="1"/>
  <c r="BP201" i="10" s="1"/>
  <c r="BO201" i="10" s="1"/>
  <c r="BN201" i="10" s="1"/>
  <c r="BM201" i="10" s="1"/>
  <c r="BL201" i="10" s="1"/>
  <c r="BK201" i="10" s="1"/>
  <c r="BJ201" i="10" s="1"/>
  <c r="BI201" i="10" s="1"/>
  <c r="BH201" i="10" s="1"/>
  <c r="BG201" i="10" s="1"/>
  <c r="BF201" i="10" s="1"/>
  <c r="BE201" i="10" s="1"/>
  <c r="BD201" i="10" s="1"/>
  <c r="BC201" i="10" s="1"/>
  <c r="BB201" i="10" s="1"/>
  <c r="BA201" i="10" s="1"/>
  <c r="AZ201" i="10" s="1"/>
  <c r="AY201" i="10" s="1"/>
  <c r="AX201" i="10" s="1"/>
  <c r="AW201" i="10" s="1"/>
  <c r="AV201" i="10" s="1"/>
  <c r="AU201" i="10" s="1"/>
  <c r="AT201" i="10" s="1"/>
  <c r="AS201" i="10" s="1"/>
  <c r="AR201" i="10" s="1"/>
  <c r="AQ201" i="10" s="1"/>
  <c r="AP201" i="10" s="1"/>
  <c r="AO201" i="10" s="1"/>
  <c r="AN201" i="10" s="1"/>
  <c r="AM201" i="10" s="1"/>
  <c r="AL201" i="10" s="1"/>
  <c r="AK201" i="10" s="1"/>
  <c r="AJ201" i="10" s="1"/>
  <c r="AI201" i="10" s="1"/>
  <c r="AH201" i="10" s="1"/>
  <c r="AG201" i="10" s="1"/>
  <c r="AF201" i="10" s="1"/>
  <c r="AE201" i="10" s="1"/>
  <c r="AD201" i="10" s="1"/>
  <c r="AC201" i="10" s="1"/>
  <c r="CE200" i="10"/>
  <c r="CK218" i="10"/>
  <c r="CK217" i="10"/>
  <c r="CI218" i="10"/>
  <c r="CI217" i="10"/>
  <c r="CH218" i="10"/>
  <c r="CH217" i="10"/>
  <c r="CG218" i="10"/>
  <c r="CG217" i="10"/>
  <c r="CF218" i="10"/>
  <c r="CF217" i="10"/>
  <c r="CD218" i="10"/>
  <c r="CD217" i="10"/>
  <c r="CC218" i="10"/>
  <c r="CC217" i="10"/>
  <c r="CB218" i="10"/>
  <c r="CB217" i="10"/>
  <c r="CA218" i="10"/>
  <c r="CA217" i="10"/>
  <c r="BY218" i="10"/>
  <c r="BY217" i="10"/>
  <c r="BX218" i="10"/>
  <c r="BX217" i="10"/>
  <c r="BW218" i="10"/>
  <c r="BW217" i="10"/>
  <c r="BV218" i="10"/>
  <c r="BV217" i="10"/>
  <c r="BT218" i="10"/>
  <c r="BT217" i="10"/>
  <c r="BS218" i="10"/>
  <c r="BS217" i="10"/>
  <c r="BR218" i="10"/>
  <c r="BR217" i="10"/>
  <c r="BQ218" i="10"/>
  <c r="BQ217" i="10"/>
  <c r="BO218" i="10"/>
  <c r="BO217" i="10"/>
  <c r="BN218" i="10"/>
  <c r="BN217" i="10"/>
  <c r="BM218" i="10"/>
  <c r="BM217" i="10"/>
  <c r="BL218" i="10"/>
  <c r="BL217" i="10"/>
  <c r="BJ218" i="10"/>
  <c r="BJ217" i="10"/>
  <c r="BI218" i="10"/>
  <c r="BI217" i="10"/>
  <c r="BH218" i="10"/>
  <c r="BH217" i="10"/>
  <c r="BG218" i="10"/>
  <c r="BG217" i="10"/>
  <c r="BE218" i="10"/>
  <c r="BE217" i="10"/>
  <c r="BD218" i="10"/>
  <c r="BD217" i="10"/>
  <c r="BC218" i="10"/>
  <c r="BC217" i="10"/>
  <c r="BB218" i="10"/>
  <c r="BB217" i="10"/>
  <c r="AZ218" i="10"/>
  <c r="AZ217" i="10"/>
  <c r="AY218" i="10"/>
  <c r="AY217" i="10"/>
  <c r="AX218" i="10"/>
  <c r="AX217" i="10"/>
  <c r="AW218" i="10"/>
  <c r="AW217" i="10"/>
  <c r="AU218" i="10"/>
  <c r="AU217" i="10"/>
  <c r="AT218" i="10"/>
  <c r="AT217" i="10"/>
  <c r="AS218" i="10"/>
  <c r="AS217" i="10"/>
  <c r="AR218" i="10"/>
  <c r="AR217" i="10"/>
  <c r="AP218" i="10"/>
  <c r="AP217" i="10"/>
  <c r="AQ27" i="10"/>
  <c r="AO218" i="10"/>
  <c r="AO217" i="10"/>
  <c r="AN218" i="10"/>
  <c r="AN217" i="10"/>
  <c r="AM218" i="10"/>
  <c r="AM217" i="10"/>
  <c r="AK218" i="10"/>
  <c r="AK217" i="10"/>
  <c r="AL27" i="10"/>
  <c r="AJ218" i="10"/>
  <c r="AJ217" i="10"/>
  <c r="AI218" i="10"/>
  <c r="AI217" i="10"/>
  <c r="AH218" i="10"/>
  <c r="AH217" i="10"/>
  <c r="BJ161" i="10"/>
  <c r="BP158" i="10"/>
  <c r="BO158" i="10" s="1"/>
  <c r="BO159" i="10" s="1"/>
  <c r="BN159" i="10" s="1"/>
  <c r="BL158" i="10"/>
  <c r="BE161" i="10"/>
  <c r="BK158" i="10"/>
  <c r="BG158" i="10"/>
  <c r="BG159" i="10" s="1"/>
  <c r="BE139" i="10"/>
  <c r="BF140" i="10"/>
  <c r="BK134" i="10"/>
  <c r="BK137" i="10" s="1"/>
  <c r="BG134" i="10"/>
  <c r="BG137" i="10" s="1"/>
  <c r="W14" i="10"/>
  <c r="W15" i="10"/>
  <c r="M20" i="10"/>
  <c r="M91" i="10" s="1"/>
  <c r="L91" i="10" s="1"/>
  <c r="K91" i="10" s="1"/>
  <c r="J91" i="10" s="1"/>
  <c r="I91" i="10" s="1"/>
  <c r="H91" i="10" s="1"/>
  <c r="G91" i="10" s="1"/>
  <c r="F91" i="10" s="1"/>
  <c r="E91" i="10" s="1"/>
  <c r="D91" i="10" s="1"/>
  <c r="C91" i="10" s="1"/>
  <c r="BU129" i="10"/>
  <c r="BT129" i="10" s="1"/>
  <c r="BS129" i="10" s="1"/>
  <c r="BR129" i="10" s="1"/>
  <c r="BQ129" i="10" s="1"/>
  <c r="BP129" i="10" s="1"/>
  <c r="BO129" i="10" s="1"/>
  <c r="BN129" i="10" s="1"/>
  <c r="BM129" i="10" s="1"/>
  <c r="BL129" i="10" s="1"/>
  <c r="BK129" i="10" s="1"/>
  <c r="BJ129" i="10" s="1"/>
  <c r="BI129" i="10" s="1"/>
  <c r="BH129" i="10" s="1"/>
  <c r="BG129" i="10" s="1"/>
  <c r="BF129" i="10" s="1"/>
  <c r="BE129" i="10" s="1"/>
  <c r="BD129" i="10" s="1"/>
  <c r="BC129" i="10" s="1"/>
  <c r="BB129" i="10" s="1"/>
  <c r="BA129" i="10" s="1"/>
  <c r="AZ129" i="10" s="1"/>
  <c r="AY129" i="10" s="1"/>
  <c r="AX129" i="10" s="1"/>
  <c r="AW129" i="10" s="1"/>
  <c r="AV129" i="10" s="1"/>
  <c r="AU129" i="10" s="1"/>
  <c r="AT129" i="10" s="1"/>
  <c r="AS129" i="10" s="1"/>
  <c r="AR129" i="10" s="1"/>
  <c r="AQ129" i="10" s="1"/>
  <c r="AP129" i="10" s="1"/>
  <c r="AO129" i="10" s="1"/>
  <c r="AN129" i="10" s="1"/>
  <c r="AM129" i="10" s="1"/>
  <c r="AL129" i="10" s="1"/>
  <c r="AK129" i="10" s="1"/>
  <c r="AJ129" i="10" s="1"/>
  <c r="AI129" i="10" s="1"/>
  <c r="AH129" i="10" s="1"/>
  <c r="AG129" i="10" s="1"/>
  <c r="AF129" i="10" s="1"/>
  <c r="AE129" i="10" s="1"/>
  <c r="AD129" i="10" s="1"/>
  <c r="AC129" i="10" s="1"/>
  <c r="AB129" i="10" s="1"/>
  <c r="BU124" i="10"/>
  <c r="BT124" i="10" s="1"/>
  <c r="BS124" i="10" s="1"/>
  <c r="BR124" i="10" s="1"/>
  <c r="BQ124" i="10" s="1"/>
  <c r="BP124" i="10" s="1"/>
  <c r="BO124" i="10" s="1"/>
  <c r="BN124" i="10" s="1"/>
  <c r="BM124" i="10" s="1"/>
  <c r="BL124" i="10" s="1"/>
  <c r="BK124" i="10" s="1"/>
  <c r="BJ124" i="10" s="1"/>
  <c r="BI124" i="10" s="1"/>
  <c r="BH124" i="10" s="1"/>
  <c r="BG124" i="10" s="1"/>
  <c r="BF124" i="10" s="1"/>
  <c r="BE124" i="10" s="1"/>
  <c r="BD124" i="10" s="1"/>
  <c r="BC124" i="10" s="1"/>
  <c r="BB124" i="10" s="1"/>
  <c r="BA124" i="10" s="1"/>
  <c r="AZ124" i="10" s="1"/>
  <c r="AY124" i="10" s="1"/>
  <c r="AX124" i="10" s="1"/>
  <c r="AW124" i="10" s="1"/>
  <c r="AV124" i="10" s="1"/>
  <c r="AU124" i="10" s="1"/>
  <c r="AT124" i="10" s="1"/>
  <c r="AS124" i="10" s="1"/>
  <c r="AR124" i="10" s="1"/>
  <c r="AQ124" i="10" s="1"/>
  <c r="AP124" i="10" s="1"/>
  <c r="AO124" i="10" s="1"/>
  <c r="AN124" i="10" s="1"/>
  <c r="AM124" i="10" s="1"/>
  <c r="AL124" i="10" s="1"/>
  <c r="AK124" i="10" s="1"/>
  <c r="AJ124" i="10" s="1"/>
  <c r="AI124" i="10" s="1"/>
  <c r="AH124" i="10" s="1"/>
  <c r="AG124" i="10" s="1"/>
  <c r="AF124" i="10" s="1"/>
  <c r="AE124" i="10" s="1"/>
  <c r="AD124" i="10" s="1"/>
  <c r="AC124" i="10" s="1"/>
  <c r="CJ96" i="10"/>
  <c r="CE96" i="10"/>
  <c r="BZ96" i="10"/>
  <c r="BZ98" i="10" s="1"/>
  <c r="BY98" i="10" s="1"/>
  <c r="BX98" i="10" s="1"/>
  <c r="BW98" i="10" s="1"/>
  <c r="BV98" i="10" s="1"/>
  <c r="BU96" i="10"/>
  <c r="BT96" i="10" s="1"/>
  <c r="BS96" i="10" s="1"/>
  <c r="BR96" i="10" s="1"/>
  <c r="BQ96" i="10" s="1"/>
  <c r="BP96" i="10" s="1"/>
  <c r="BO96" i="10" s="1"/>
  <c r="BN96" i="10" s="1"/>
  <c r="BM96" i="10" s="1"/>
  <c r="BL96" i="10" s="1"/>
  <c r="BK96" i="10" s="1"/>
  <c r="BJ96" i="10" s="1"/>
  <c r="BI96" i="10" s="1"/>
  <c r="BH96" i="10" s="1"/>
  <c r="BG96" i="10" s="1"/>
  <c r="BF96" i="10" s="1"/>
  <c r="BE96" i="10" s="1"/>
  <c r="BD96" i="10" s="1"/>
  <c r="BC96" i="10" s="1"/>
  <c r="BB96" i="10" s="1"/>
  <c r="BA96" i="10" s="1"/>
  <c r="AZ96" i="10" s="1"/>
  <c r="AY96" i="10" s="1"/>
  <c r="AX96" i="10" s="1"/>
  <c r="AW96" i="10" s="1"/>
  <c r="AV96" i="10" s="1"/>
  <c r="AU96" i="10" s="1"/>
  <c r="AT96" i="10" s="1"/>
  <c r="AS96" i="10" s="1"/>
  <c r="AR96" i="10" s="1"/>
  <c r="AQ96" i="10" s="1"/>
  <c r="AP96" i="10" s="1"/>
  <c r="AO96" i="10" s="1"/>
  <c r="AN96" i="10" s="1"/>
  <c r="AM96" i="10" s="1"/>
  <c r="AL96" i="10" s="1"/>
  <c r="AK96" i="10" s="1"/>
  <c r="AJ96" i="10" s="1"/>
  <c r="AI96" i="10" s="1"/>
  <c r="AH96" i="10" s="1"/>
  <c r="AG96" i="10" s="1"/>
  <c r="AF96" i="10" s="1"/>
  <c r="AE96" i="10" s="1"/>
  <c r="AD96" i="10" s="1"/>
  <c r="AC96" i="10" s="1"/>
  <c r="AB96" i="10" s="1"/>
  <c r="AA96" i="10" s="1"/>
  <c r="Z96" i="10" s="1"/>
  <c r="Y96" i="10" s="1"/>
  <c r="X96" i="10" s="1"/>
  <c r="AN93" i="10"/>
  <c r="AI93" i="10"/>
  <c r="AD93" i="10"/>
  <c r="AN150" i="10"/>
  <c r="AM150" i="10" s="1"/>
  <c r="AL150" i="10" s="1"/>
  <c r="AK150" i="10" s="1"/>
  <c r="AJ150" i="10" s="1"/>
  <c r="AI150" i="10" s="1"/>
  <c r="CK91" i="10"/>
  <c r="CK167" i="10"/>
  <c r="CK168" i="10"/>
  <c r="CI91" i="10"/>
  <c r="CI167" i="10"/>
  <c r="CI168" i="10"/>
  <c r="CH91" i="10"/>
  <c r="CH167" i="10"/>
  <c r="CH168" i="10"/>
  <c r="CG91" i="10"/>
  <c r="CG167" i="10"/>
  <c r="CG168" i="10"/>
  <c r="CF91" i="10"/>
  <c r="CF167" i="10"/>
  <c r="CF168" i="10"/>
  <c r="CD91" i="10"/>
  <c r="CD167" i="10"/>
  <c r="CD168" i="10"/>
  <c r="CC91" i="10"/>
  <c r="CC167" i="10"/>
  <c r="CC168" i="10"/>
  <c r="CB91" i="10"/>
  <c r="CB167" i="10"/>
  <c r="CB168" i="10"/>
  <c r="CA91" i="10"/>
  <c r="CA167" i="10"/>
  <c r="CA168" i="10"/>
  <c r="BY91" i="10"/>
  <c r="BY167" i="10"/>
  <c r="BY168" i="10"/>
  <c r="BX91" i="10"/>
  <c r="BX167" i="10"/>
  <c r="BX168" i="10"/>
  <c r="BW91" i="10"/>
  <c r="BW167" i="10"/>
  <c r="BW168" i="10"/>
  <c r="BV91" i="10"/>
  <c r="BV167" i="10"/>
  <c r="BV168" i="10"/>
  <c r="BT91" i="10"/>
  <c r="BT167" i="10"/>
  <c r="BT168" i="10"/>
  <c r="BS91" i="10"/>
  <c r="BS167" i="10"/>
  <c r="BS168" i="10"/>
  <c r="BR91" i="10"/>
  <c r="BR167" i="10"/>
  <c r="BR168" i="10"/>
  <c r="BQ91" i="10"/>
  <c r="BQ167" i="10"/>
  <c r="BQ168" i="10"/>
  <c r="BO91" i="10"/>
  <c r="BO167" i="10"/>
  <c r="BO168" i="10"/>
  <c r="BN91" i="10"/>
  <c r="BN167" i="10"/>
  <c r="BN168" i="10"/>
  <c r="BM91" i="10"/>
  <c r="BM167" i="10"/>
  <c r="BM168" i="10"/>
  <c r="BL91" i="10"/>
  <c r="BL167" i="10"/>
  <c r="BL168" i="10"/>
  <c r="CP187" i="10"/>
  <c r="CP189" i="10"/>
  <c r="CO95" i="10"/>
  <c r="CO189" i="10"/>
  <c r="CO187" i="10"/>
  <c r="CO15" i="10"/>
  <c r="AF181" i="10"/>
  <c r="AF56" i="10"/>
  <c r="AP181" i="10"/>
  <c r="AP56" i="10"/>
  <c r="V52" i="10"/>
  <c r="W192" i="10"/>
  <c r="AB184" i="10"/>
  <c r="X184" i="10"/>
  <c r="W180" i="10"/>
  <c r="W179" i="10"/>
  <c r="W92" i="10"/>
  <c r="AA54" i="10"/>
  <c r="AK54" i="10"/>
  <c r="AE101" i="10"/>
  <c r="AD101" i="10" s="1"/>
  <c r="AC101" i="10" s="1"/>
  <c r="AB101" i="10" s="1"/>
  <c r="BE120" i="10"/>
  <c r="BE116" i="10"/>
  <c r="BB118" i="10"/>
  <c r="BD115" i="10"/>
  <c r="BZ41" i="10" l="1"/>
  <c r="BZ169" i="10"/>
  <c r="BU169" i="10"/>
  <c r="CJ169" i="10"/>
  <c r="CJ41" i="10"/>
  <c r="BU41" i="10"/>
  <c r="CE41" i="10"/>
  <c r="CE169" i="10"/>
  <c r="DD44" i="10"/>
  <c r="CF54" i="10"/>
  <c r="CJ27" i="10"/>
  <c r="CE27" i="10"/>
  <c r="AH93" i="10"/>
  <c r="AR56" i="10"/>
  <c r="AG137" i="10"/>
  <c r="AF137" i="10" s="1"/>
  <c r="AE137" i="10" s="1"/>
  <c r="AD137" i="10" s="1"/>
  <c r="AC137" i="10" s="1"/>
  <c r="CY52" i="10"/>
  <c r="AC93" i="10"/>
  <c r="AM93" i="10"/>
  <c r="BV54" i="10"/>
  <c r="BM159" i="10"/>
  <c r="W96" i="10"/>
  <c r="V96" i="10" s="1"/>
  <c r="U96" i="10" s="1"/>
  <c r="T96" i="10" s="1"/>
  <c r="S96" i="10" s="1"/>
  <c r="R96" i="10" s="1"/>
  <c r="Q96" i="10" s="1"/>
  <c r="P96" i="10" s="1"/>
  <c r="O96" i="10" s="1"/>
  <c r="N96" i="10" s="1"/>
  <c r="M96" i="10" s="1"/>
  <c r="L96" i="10" s="1"/>
  <c r="K96" i="10" s="1"/>
  <c r="J96" i="10" s="1"/>
  <c r="I96" i="10" s="1"/>
  <c r="H96" i="10" s="1"/>
  <c r="G96" i="10" s="1"/>
  <c r="F96" i="10" s="1"/>
  <c r="E96" i="10" s="1"/>
  <c r="D96" i="10" s="1"/>
  <c r="C96" i="10" s="1"/>
  <c r="AQ218" i="10"/>
  <c r="AG218" i="10"/>
  <c r="BF159" i="10"/>
  <c r="AL218" i="10"/>
  <c r="AB218" i="10"/>
  <c r="BL159" i="10"/>
  <c r="BK159" i="10" s="1"/>
  <c r="X211" i="10"/>
  <c r="W211" i="10" s="1"/>
  <c r="V211" i="10" s="1"/>
  <c r="AX158" i="10"/>
  <c r="AX159" i="10" s="1"/>
  <c r="AJ102" i="10"/>
  <c r="AI102" i="10" s="1"/>
  <c r="AH102" i="10" s="1"/>
  <c r="CD96" i="10"/>
  <c r="CC96" i="10" s="1"/>
  <c r="CB96" i="10" s="1"/>
  <c r="CA96" i="10" s="1"/>
  <c r="CA98" i="10" s="1"/>
  <c r="CE98" i="10"/>
  <c r="CJ98" i="10"/>
  <c r="W197" i="10"/>
  <c r="AB195" i="10"/>
  <c r="AB196" i="10" s="1"/>
  <c r="AA196" i="10" s="1"/>
  <c r="Z196" i="10" s="1"/>
  <c r="Y196" i="10" s="1"/>
  <c r="X195" i="10"/>
  <c r="X220" i="10"/>
  <c r="W220" i="10"/>
  <c r="W217" i="10"/>
  <c r="W20" i="10"/>
  <c r="BE140" i="10"/>
  <c r="BF143" i="10"/>
  <c r="BD139" i="10"/>
  <c r="BE150" i="10"/>
  <c r="BD161" i="10"/>
  <c r="BI161" i="10"/>
  <c r="BH161" i="10" s="1"/>
  <c r="AO134" i="10"/>
  <c r="AP137" i="10"/>
  <c r="AT134" i="10"/>
  <c r="AU137" i="10"/>
  <c r="AW140" i="10"/>
  <c r="AX134" i="10"/>
  <c r="AX137" i="10" s="1"/>
  <c r="AW137" i="10"/>
  <c r="AX146" i="10"/>
  <c r="BA146" i="10"/>
  <c r="BA143" i="10"/>
  <c r="BJ140" i="10"/>
  <c r="BJ143" i="10" s="1"/>
  <c r="BK146" i="10"/>
  <c r="BK147" i="10" s="1"/>
  <c r="BK143" i="10"/>
  <c r="BM140" i="10"/>
  <c r="BN146" i="10"/>
  <c r="BN147" i="10" s="1"/>
  <c r="BN143" i="10"/>
  <c r="BO140" i="10"/>
  <c r="BP146" i="10"/>
  <c r="BP147" i="10" s="1"/>
  <c r="BP143" i="10"/>
  <c r="BQ140" i="10"/>
  <c r="BR146" i="10"/>
  <c r="BR147" i="10" s="1"/>
  <c r="BR143" i="10"/>
  <c r="BT140" i="10"/>
  <c r="BU146" i="10"/>
  <c r="BU147" i="10" s="1"/>
  <c r="BU143" i="10"/>
  <c r="BY140" i="10"/>
  <c r="BZ146" i="10"/>
  <c r="BZ147" i="10" s="1"/>
  <c r="BZ143" i="10"/>
  <c r="BP159" i="10"/>
  <c r="BU158" i="10"/>
  <c r="BT158" i="10" s="1"/>
  <c r="BT159" i="10" s="1"/>
  <c r="BS159" i="10" s="1"/>
  <c r="BR159" i="10" s="1"/>
  <c r="BQ158" i="10"/>
  <c r="BZ158" i="10"/>
  <c r="BY158" i="10" s="1"/>
  <c r="BY159" i="10" s="1"/>
  <c r="BX159" i="10" s="1"/>
  <c r="BW159" i="10" s="1"/>
  <c r="BV158" i="10"/>
  <c r="CE158" i="10"/>
  <c r="CA158" i="10"/>
  <c r="CE163" i="10"/>
  <c r="CJ158" i="10"/>
  <c r="CF158" i="10"/>
  <c r="CF159" i="10" s="1"/>
  <c r="AQ54" i="10"/>
  <c r="AQ93" i="10"/>
  <c r="CE210" i="10"/>
  <c r="CF211" i="10"/>
  <c r="BX52" i="10"/>
  <c r="BW192" i="10"/>
  <c r="BX184" i="10"/>
  <c r="BW180" i="10"/>
  <c r="BW179" i="10"/>
  <c r="BW92" i="10"/>
  <c r="BW54" i="10"/>
  <c r="Y181" i="10"/>
  <c r="Y56" i="10"/>
  <c r="X181" i="10"/>
  <c r="X56" i="10"/>
  <c r="AB93" i="10"/>
  <c r="AA93" i="10" s="1"/>
  <c r="Z93" i="10" s="1"/>
  <c r="Y93" i="10" s="1"/>
  <c r="X93" i="10" s="1"/>
  <c r="AB54" i="10"/>
  <c r="AD181" i="10"/>
  <c r="AD56" i="10"/>
  <c r="AC181" i="10"/>
  <c r="AC56" i="10"/>
  <c r="AG54" i="10"/>
  <c r="AG93" i="10"/>
  <c r="AI181" i="10"/>
  <c r="AI56" i="10"/>
  <c r="AH181" i="10"/>
  <c r="AH56" i="10"/>
  <c r="AL93" i="10"/>
  <c r="AL54" i="10"/>
  <c r="AN181" i="10"/>
  <c r="AN56" i="10"/>
  <c r="AM181" i="10"/>
  <c r="AM56" i="10"/>
  <c r="BL93" i="10"/>
  <c r="BL54" i="10"/>
  <c r="BM93" i="10"/>
  <c r="BM54" i="10"/>
  <c r="BN93" i="10"/>
  <c r="BN54" i="10"/>
  <c r="BO93" i="10"/>
  <c r="BO54" i="10"/>
  <c r="BP41" i="10"/>
  <c r="BQ93" i="10"/>
  <c r="BQ54" i="10"/>
  <c r="BR93" i="10"/>
  <c r="BR54" i="10"/>
  <c r="BS93" i="10"/>
  <c r="BS54" i="10"/>
  <c r="BT93" i="10"/>
  <c r="BT54" i="10"/>
  <c r="BV93" i="10"/>
  <c r="BY93" i="10"/>
  <c r="BY54" i="10"/>
  <c r="BZ93" i="10"/>
  <c r="CA93" i="10"/>
  <c r="CA54" i="10"/>
  <c r="CB93" i="10"/>
  <c r="CB54" i="10"/>
  <c r="CC93" i="10"/>
  <c r="CC54" i="10"/>
  <c r="CD93" i="10"/>
  <c r="CD54" i="10"/>
  <c r="CF93" i="10"/>
  <c r="CG93" i="10"/>
  <c r="CG54" i="10"/>
  <c r="CH93" i="10"/>
  <c r="CH54" i="10"/>
  <c r="CI93" i="10"/>
  <c r="CI54" i="10"/>
  <c r="CK93" i="10"/>
  <c r="CK54" i="10"/>
  <c r="CJ195" i="10"/>
  <c r="CF195" i="10"/>
  <c r="CE195" i="10"/>
  <c r="CE196" i="10" s="1"/>
  <c r="CD196" i="10" s="1"/>
  <c r="CC196" i="10" s="1"/>
  <c r="CB196" i="10" s="1"/>
  <c r="CA196" i="10" s="1"/>
  <c r="BZ195" i="10"/>
  <c r="BY195" i="10" s="1"/>
  <c r="BX195" i="10" s="1"/>
  <c r="BV195" i="10"/>
  <c r="BU195" i="10"/>
  <c r="BT195" i="10" s="1"/>
  <c r="BQ195" i="10"/>
  <c r="BP195" i="10"/>
  <c r="BO195" i="10" s="1"/>
  <c r="BL195" i="10"/>
  <c r="BF196" i="10"/>
  <c r="BE196" i="10" s="1"/>
  <c r="BD196" i="10" s="1"/>
  <c r="BC196" i="10" s="1"/>
  <c r="BB196" i="10" s="1"/>
  <c r="BA196" i="10" s="1"/>
  <c r="AZ196" i="10" s="1"/>
  <c r="AY196" i="10" s="1"/>
  <c r="AX196" i="10" s="1"/>
  <c r="AW196" i="10" s="1"/>
  <c r="AV196" i="10" s="1"/>
  <c r="AU196" i="10" s="1"/>
  <c r="AT196" i="10" s="1"/>
  <c r="AS196" i="10" s="1"/>
  <c r="AR196" i="10" s="1"/>
  <c r="AQ196" i="10" s="1"/>
  <c r="AP196" i="10" s="1"/>
  <c r="AO196" i="10" s="1"/>
  <c r="AN196" i="10" s="1"/>
  <c r="AM196" i="10" s="1"/>
  <c r="AL196" i="10" s="1"/>
  <c r="AK196" i="10" s="1"/>
  <c r="AJ196" i="10" s="1"/>
  <c r="AI196" i="10" s="1"/>
  <c r="AH196" i="10" s="1"/>
  <c r="AG196" i="10" s="1"/>
  <c r="AF196" i="10" s="1"/>
  <c r="AE196" i="10" s="1"/>
  <c r="AD196" i="10" s="1"/>
  <c r="AC196" i="10" s="1"/>
  <c r="BK195" i="10"/>
  <c r="BJ195" i="10" s="1"/>
  <c r="BG195" i="10"/>
  <c r="CJ168" i="10"/>
  <c r="CJ167" i="10"/>
  <c r="CJ91" i="10"/>
  <c r="CE168" i="10"/>
  <c r="CE167" i="10"/>
  <c r="CE91" i="10"/>
  <c r="BZ168" i="10"/>
  <c r="BZ167" i="10"/>
  <c r="BZ91" i="10"/>
  <c r="BZ27" i="10"/>
  <c r="BU168" i="10"/>
  <c r="BU167" i="10"/>
  <c r="BU91" i="10"/>
  <c r="BU27" i="10"/>
  <c r="BP168" i="10"/>
  <c r="BP167" i="10"/>
  <c r="BP91" i="10"/>
  <c r="BP27" i="10"/>
  <c r="BK27" i="10"/>
  <c r="BF27" i="10"/>
  <c r="BA27" i="10"/>
  <c r="AV27" i="10"/>
  <c r="AQ168" i="10"/>
  <c r="AQ167" i="10"/>
  <c r="AQ91" i="10"/>
  <c r="AL168" i="10"/>
  <c r="AL167" i="10"/>
  <c r="AL91" i="10"/>
  <c r="AG168" i="10"/>
  <c r="AG167" i="10"/>
  <c r="AG91" i="10"/>
  <c r="AB168" i="10"/>
  <c r="AB167" i="10"/>
  <c r="AB91" i="10"/>
  <c r="R168" i="10"/>
  <c r="R167" i="10"/>
  <c r="R91" i="10"/>
  <c r="BU98" i="10"/>
  <c r="BT98" i="10" s="1"/>
  <c r="BS98" i="10" s="1"/>
  <c r="BR98" i="10" s="1"/>
  <c r="BQ98" i="10" s="1"/>
  <c r="BP98" i="10" s="1"/>
  <c r="BO98" i="10" s="1"/>
  <c r="BN98" i="10" s="1"/>
  <c r="BM98" i="10" s="1"/>
  <c r="BL98" i="10" s="1"/>
  <c r="BK98" i="10" s="1"/>
  <c r="BJ98" i="10" s="1"/>
  <c r="BI98" i="10" s="1"/>
  <c r="BH98" i="10" s="1"/>
  <c r="BG98" i="10" s="1"/>
  <c r="BF98" i="10" s="1"/>
  <c r="BE98" i="10" s="1"/>
  <c r="BD98" i="10" s="1"/>
  <c r="BC98" i="10" s="1"/>
  <c r="BB98" i="10" s="1"/>
  <c r="BA98" i="10" s="1"/>
  <c r="AZ98" i="10" s="1"/>
  <c r="AY98" i="10" s="1"/>
  <c r="AX98" i="10" s="1"/>
  <c r="AW98" i="10" s="1"/>
  <c r="AV98" i="10" s="1"/>
  <c r="AU98" i="10" s="1"/>
  <c r="AT98" i="10" s="1"/>
  <c r="AS98" i="10" s="1"/>
  <c r="AR98" i="10" s="1"/>
  <c r="AQ98" i="10" s="1"/>
  <c r="AP98" i="10" s="1"/>
  <c r="AO98" i="10" s="1"/>
  <c r="AN98" i="10" s="1"/>
  <c r="AM98" i="10" s="1"/>
  <c r="AL98" i="10" s="1"/>
  <c r="AK98" i="10" s="1"/>
  <c r="AJ98" i="10" s="1"/>
  <c r="AI98" i="10" s="1"/>
  <c r="AH98" i="10" s="1"/>
  <c r="AG98" i="10" s="1"/>
  <c r="AF98" i="10" s="1"/>
  <c r="AE98" i="10" s="1"/>
  <c r="AD98" i="10" s="1"/>
  <c r="AC98" i="10" s="1"/>
  <c r="AB98" i="10" s="1"/>
  <c r="AA98" i="10" s="1"/>
  <c r="Z98" i="10" s="1"/>
  <c r="Y98" i="10" s="1"/>
  <c r="X98" i="10" s="1"/>
  <c r="AQ137" i="10"/>
  <c r="AV137" i="10"/>
  <c r="BF146" i="10"/>
  <c r="BP137" i="10"/>
  <c r="BO137" i="10" s="1"/>
  <c r="BU137" i="10"/>
  <c r="BT137" i="10" s="1"/>
  <c r="BS137" i="10" s="1"/>
  <c r="CE139" i="10"/>
  <c r="BA159" i="10"/>
  <c r="AZ159" i="10" s="1"/>
  <c r="AY159" i="10" s="1"/>
  <c r="CC159" i="10"/>
  <c r="CB159" i="10" s="1"/>
  <c r="AW159" i="10"/>
  <c r="AV159" i="10" s="1"/>
  <c r="AU159" i="10" s="1"/>
  <c r="AT159" i="10" s="1"/>
  <c r="AS159" i="10" s="1"/>
  <c r="AR159" i="10" s="1"/>
  <c r="AQ159" i="10" s="1"/>
  <c r="AP159" i="10" s="1"/>
  <c r="AO159" i="10" s="1"/>
  <c r="AN159" i="10" s="1"/>
  <c r="BW93" i="10"/>
  <c r="BP169" i="10"/>
  <c r="AQ217" i="10"/>
  <c r="AL217" i="10"/>
  <c r="AG217" i="10"/>
  <c r="AB217" i="10"/>
  <c r="AB220" i="10"/>
  <c r="CQ189" i="10"/>
  <c r="CQ187" i="10"/>
  <c r="AK181" i="10"/>
  <c r="AK56" i="10"/>
  <c r="AA181" i="10"/>
  <c r="AA56" i="10"/>
  <c r="V192" i="10"/>
  <c r="V180" i="10"/>
  <c r="V179" i="10"/>
  <c r="BD120" i="10"/>
  <c r="BD116" i="10"/>
  <c r="BC115" i="10"/>
  <c r="AG102" i="10"/>
  <c r="BZ54" i="10" l="1"/>
  <c r="CJ93" i="10"/>
  <c r="CJ54" i="10"/>
  <c r="BU54" i="10"/>
  <c r="BU93" i="10"/>
  <c r="CE54" i="10"/>
  <c r="CE93" i="10"/>
  <c r="DE44" i="10"/>
  <c r="DI44" i="10"/>
  <c r="CK56" i="10"/>
  <c r="BV181" i="10"/>
  <c r="BZ159" i="10"/>
  <c r="BM143" i="10"/>
  <c r="DD184" i="10"/>
  <c r="CY180" i="10"/>
  <c r="CY192" i="10"/>
  <c r="CY54" i="10"/>
  <c r="CY179" i="10"/>
  <c r="CA159" i="10"/>
  <c r="CE159" i="10" s="1"/>
  <c r="BJ158" i="10"/>
  <c r="BJ159" i="10" s="1"/>
  <c r="BX93" i="10"/>
  <c r="BV56" i="10"/>
  <c r="W98" i="10"/>
  <c r="V98" i="10" s="1"/>
  <c r="U98" i="10" s="1"/>
  <c r="T98" i="10" s="1"/>
  <c r="S98" i="10" s="1"/>
  <c r="R98" i="10" s="1"/>
  <c r="Q98" i="10" s="1"/>
  <c r="P98" i="10" s="1"/>
  <c r="O98" i="10" s="1"/>
  <c r="N98" i="10" s="1"/>
  <c r="M98" i="10" s="1"/>
  <c r="L98" i="10" s="1"/>
  <c r="K98" i="10" s="1"/>
  <c r="J98" i="10" s="1"/>
  <c r="I98" i="10" s="1"/>
  <c r="H98" i="10" s="1"/>
  <c r="G98" i="10" s="1"/>
  <c r="F98" i="10" s="1"/>
  <c r="E98" i="10" s="1"/>
  <c r="D98" i="10" s="1"/>
  <c r="C98" i="10" s="1"/>
  <c r="X196" i="10"/>
  <c r="W196" i="10" s="1"/>
  <c r="V196" i="10" s="1"/>
  <c r="AT137" i="10"/>
  <c r="AS137" i="10" s="1"/>
  <c r="AO137" i="10"/>
  <c r="AN137" i="10" s="1"/>
  <c r="BD150" i="10"/>
  <c r="BC150" i="10" s="1"/>
  <c r="BB150" i="10" s="1"/>
  <c r="BA150" i="10" s="1"/>
  <c r="BA147" i="10" s="1"/>
  <c r="CD98" i="10"/>
  <c r="CC98" i="10" s="1"/>
  <c r="CB98" i="10" s="1"/>
  <c r="BU159" i="10"/>
  <c r="CE140" i="10"/>
  <c r="CE150" i="10"/>
  <c r="CD147" i="10"/>
  <c r="CJ134" i="10"/>
  <c r="CF134" i="10"/>
  <c r="CF137" i="10" s="1"/>
  <c r="BF147" i="10"/>
  <c r="AV218" i="10"/>
  <c r="AV217" i="10"/>
  <c r="BA218" i="10"/>
  <c r="BA217" i="10"/>
  <c r="BF218" i="10"/>
  <c r="BF217" i="10"/>
  <c r="BK218" i="10"/>
  <c r="BK217" i="10"/>
  <c r="BP218" i="10"/>
  <c r="BP217" i="10"/>
  <c r="BU218" i="10"/>
  <c r="BU217" i="10"/>
  <c r="BZ218" i="10"/>
  <c r="BZ217" i="10"/>
  <c r="CE218" i="10"/>
  <c r="CE217" i="10"/>
  <c r="CJ218" i="10"/>
  <c r="CJ217" i="10"/>
  <c r="CK181" i="10"/>
  <c r="CI181" i="10"/>
  <c r="CI56" i="10"/>
  <c r="CH181" i="10"/>
  <c r="CH56" i="10"/>
  <c r="CG181" i="10"/>
  <c r="CG56" i="10"/>
  <c r="CF181" i="10"/>
  <c r="CF56" i="10"/>
  <c r="CD181" i="10"/>
  <c r="CD56" i="10"/>
  <c r="CC181" i="10"/>
  <c r="CC56" i="10"/>
  <c r="CB181" i="10"/>
  <c r="CB56" i="10"/>
  <c r="CA181" i="10"/>
  <c r="CA56" i="10"/>
  <c r="BY181" i="10"/>
  <c r="BY56" i="10"/>
  <c r="BT181" i="10"/>
  <c r="BT56" i="10"/>
  <c r="BS181" i="10"/>
  <c r="BS56" i="10"/>
  <c r="BR181" i="10"/>
  <c r="BR56" i="10"/>
  <c r="BQ181" i="10"/>
  <c r="BQ56" i="10"/>
  <c r="BP93" i="10"/>
  <c r="BP54" i="10"/>
  <c r="BO181" i="10"/>
  <c r="BO56" i="10"/>
  <c r="BN181" i="10"/>
  <c r="BN56" i="10"/>
  <c r="BM181" i="10"/>
  <c r="BM56" i="10"/>
  <c r="BL181" i="10"/>
  <c r="BL56" i="10"/>
  <c r="AL181" i="10"/>
  <c r="AL56" i="10"/>
  <c r="AG181" i="10"/>
  <c r="AG56" i="10"/>
  <c r="AB181" i="10"/>
  <c r="AB56" i="10"/>
  <c r="BW181" i="10"/>
  <c r="BW56" i="10"/>
  <c r="BX192" i="10"/>
  <c r="BY184" i="10"/>
  <c r="BX180" i="10"/>
  <c r="BX179" i="10"/>
  <c r="BX92" i="10"/>
  <c r="BX54" i="10"/>
  <c r="CE211" i="10"/>
  <c r="CD211" i="10" s="1"/>
  <c r="CC211" i="10" s="1"/>
  <c r="CB211" i="10" s="1"/>
  <c r="CA211" i="10" s="1"/>
  <c r="AQ181" i="10"/>
  <c r="AQ56" i="10"/>
  <c r="BX140" i="10"/>
  <c r="BY146" i="10"/>
  <c r="BY143" i="10"/>
  <c r="BT146" i="10"/>
  <c r="BT147" i="10" s="1"/>
  <c r="BU148" i="10"/>
  <c r="BS140" i="10"/>
  <c r="BT143" i="10"/>
  <c r="BQ146" i="10"/>
  <c r="BQ147" i="10" s="1"/>
  <c r="BQ143" i="10"/>
  <c r="BO146" i="10"/>
  <c r="BO147" i="10" s="1"/>
  <c r="BO143" i="10"/>
  <c r="BL140" i="10"/>
  <c r="BM146" i="10"/>
  <c r="BM147" i="10" s="1"/>
  <c r="BJ146" i="10"/>
  <c r="BJ147" i="10" s="1"/>
  <c r="BK148" i="10"/>
  <c r="AZ146" i="10"/>
  <c r="AW146" i="10"/>
  <c r="BI158" i="10"/>
  <c r="BH158" i="10" s="1"/>
  <c r="BH159" i="10" s="1"/>
  <c r="BE158" i="10"/>
  <c r="BE159" i="10" s="1"/>
  <c r="BD159" i="10"/>
  <c r="BD140" i="10"/>
  <c r="BE134" i="10"/>
  <c r="BE137" i="10" s="1"/>
  <c r="BD137" i="10"/>
  <c r="BE146" i="10"/>
  <c r="BE143" i="10"/>
  <c r="BZ196" i="10"/>
  <c r="BY196" i="10" s="1"/>
  <c r="BX196" i="10" s="1"/>
  <c r="BW196" i="10" s="1"/>
  <c r="BV196" i="10" s="1"/>
  <c r="BU196" i="10" s="1"/>
  <c r="BT196" i="10" s="1"/>
  <c r="BS196" i="10" s="1"/>
  <c r="BR196" i="10" s="1"/>
  <c r="BQ196" i="10" s="1"/>
  <c r="BP196" i="10" s="1"/>
  <c r="BO196" i="10" s="1"/>
  <c r="BN196" i="10" s="1"/>
  <c r="BM196" i="10" s="1"/>
  <c r="BL196" i="10" s="1"/>
  <c r="BK196" i="10" s="1"/>
  <c r="BJ196" i="10" s="1"/>
  <c r="BI196" i="10" s="1"/>
  <c r="BH196" i="10" s="1"/>
  <c r="BG196" i="10" s="1"/>
  <c r="BV159" i="10"/>
  <c r="BQ159" i="10"/>
  <c r="BZ148" i="10"/>
  <c r="BR148" i="10"/>
  <c r="BP148" i="10"/>
  <c r="BN148" i="10"/>
  <c r="CR187" i="10"/>
  <c r="CR189" i="10"/>
  <c r="DO132" i="9"/>
  <c r="BC120" i="10"/>
  <c r="BC116" i="10"/>
  <c r="AZ118" i="10"/>
  <c r="DN44" i="10" l="1"/>
  <c r="BZ181" i="10"/>
  <c r="BZ56" i="10"/>
  <c r="BU56" i="10"/>
  <c r="BU181" i="10"/>
  <c r="CE56" i="10"/>
  <c r="CJ181" i="10"/>
  <c r="CJ56" i="10"/>
  <c r="CE181" i="10"/>
  <c r="DJ44" i="10"/>
  <c r="BL143" i="10"/>
  <c r="DN52" i="10"/>
  <c r="DS44" i="10"/>
  <c r="DO44" i="10"/>
  <c r="CY93" i="10"/>
  <c r="CY181" i="10"/>
  <c r="AZ147" i="10"/>
  <c r="AY147" i="10" s="1"/>
  <c r="AY148" i="10" s="1"/>
  <c r="BS143" i="10"/>
  <c r="CE146" i="10"/>
  <c r="CE147" i="10" s="1"/>
  <c r="CE148" i="10" s="1"/>
  <c r="CE143" i="10"/>
  <c r="AX147" i="10"/>
  <c r="BC140" i="10"/>
  <c r="BD146" i="10"/>
  <c r="BD143" i="10"/>
  <c r="AV146" i="10"/>
  <c r="BI146" i="10"/>
  <c r="BI147" i="10" s="1"/>
  <c r="BH147" i="10" s="1"/>
  <c r="BJ148" i="10"/>
  <c r="BL146" i="10"/>
  <c r="BL147" i="10" s="1"/>
  <c r="BS146" i="10"/>
  <c r="BS147" i="10" s="1"/>
  <c r="BY147" i="10"/>
  <c r="BW140" i="10"/>
  <c r="BX146" i="10"/>
  <c r="BX143" i="10"/>
  <c r="BX181" i="10"/>
  <c r="BX56" i="10"/>
  <c r="BP181" i="10"/>
  <c r="BP56" i="10"/>
  <c r="CC147" i="10"/>
  <c r="CC148" i="10" s="1"/>
  <c r="CD148" i="10"/>
  <c r="BA148" i="10"/>
  <c r="BM148" i="10"/>
  <c r="BO148" i="10"/>
  <c r="BQ148" i="10"/>
  <c r="BT148" i="10"/>
  <c r="BE147" i="10"/>
  <c r="BF148" i="10"/>
  <c r="BI159" i="10"/>
  <c r="DP132" i="9"/>
  <c r="CT49" i="10"/>
  <c r="CY189" i="10" s="1"/>
  <c r="CT45" i="10"/>
  <c r="AY118" i="10"/>
  <c r="DJ52" i="10" l="1"/>
  <c r="DX44" i="10"/>
  <c r="DK44" i="10"/>
  <c r="DJ179" i="10"/>
  <c r="DJ180" i="10"/>
  <c r="DJ192" i="10"/>
  <c r="DX52" i="10"/>
  <c r="EC44" i="10"/>
  <c r="AZ148" i="10"/>
  <c r="DP44" i="10"/>
  <c r="DO52" i="10"/>
  <c r="DS184" i="10"/>
  <c r="DO184" i="10"/>
  <c r="DN54" i="10"/>
  <c r="CY187" i="10"/>
  <c r="CU189" i="10"/>
  <c r="CT189" i="10"/>
  <c r="DC44" i="10"/>
  <c r="CU187" i="10"/>
  <c r="CT187" i="10"/>
  <c r="BD147" i="10"/>
  <c r="BD148" i="10" s="1"/>
  <c r="BG147" i="10"/>
  <c r="BG148" i="10" s="1"/>
  <c r="BH148" i="10"/>
  <c r="BV140" i="10"/>
  <c r="BW146" i="10"/>
  <c r="BW143" i="10"/>
  <c r="AV147" i="10"/>
  <c r="AU147" i="10" s="1"/>
  <c r="BC146" i="10"/>
  <c r="BC147" i="10" s="1"/>
  <c r="BB140" i="10"/>
  <c r="BC143" i="10"/>
  <c r="AW147" i="10"/>
  <c r="AW148" i="10" s="1"/>
  <c r="AX148" i="10"/>
  <c r="BE148" i="10"/>
  <c r="BX147" i="10"/>
  <c r="BY148" i="10"/>
  <c r="BS148" i="10"/>
  <c r="BL148" i="10"/>
  <c r="BI148" i="10"/>
  <c r="DQ132" i="9"/>
  <c r="AX118" i="10"/>
  <c r="AZ115" i="10"/>
  <c r="EH44" i="10" l="1"/>
  <c r="DN93" i="10"/>
  <c r="DK184" i="10"/>
  <c r="DL44" i="10"/>
  <c r="EM44" i="10"/>
  <c r="DO173" i="10"/>
  <c r="DO180" i="10"/>
  <c r="DO192" i="10"/>
  <c r="DO191" i="10" s="1"/>
  <c r="DO54" i="10"/>
  <c r="DO179" i="10"/>
  <c r="DP184" i="10"/>
  <c r="DP52" i="10"/>
  <c r="DQ44" i="10"/>
  <c r="BW147" i="10"/>
  <c r="BW148" i="10" s="1"/>
  <c r="BB143" i="10"/>
  <c r="BB146" i="10"/>
  <c r="BB147" i="10" s="1"/>
  <c r="BC148" i="10"/>
  <c r="AT147" i="10"/>
  <c r="AU148" i="10"/>
  <c r="BV146" i="10"/>
  <c r="BV147" i="10" s="1"/>
  <c r="BV143" i="10"/>
  <c r="BX148" i="10"/>
  <c r="AV148" i="10"/>
  <c r="DR132" i="9"/>
  <c r="CT15" i="10"/>
  <c r="AZ120" i="10"/>
  <c r="AZ116" i="10"/>
  <c r="AW118" i="10"/>
  <c r="AY115" i="10"/>
  <c r="EN44" i="10" l="1"/>
  <c r="DL52" i="10"/>
  <c r="DL179" i="10"/>
  <c r="DL173" i="10"/>
  <c r="DL192" i="10"/>
  <c r="DL54" i="10"/>
  <c r="DQ52" i="10"/>
  <c r="DQ184" i="10"/>
  <c r="DP54" i="10"/>
  <c r="DP92" i="10"/>
  <c r="DP173" i="10"/>
  <c r="DP192" i="10"/>
  <c r="DP191" i="10" s="1"/>
  <c r="DO181" i="10"/>
  <c r="DO93" i="10"/>
  <c r="DO56" i="10"/>
  <c r="BV148" i="10"/>
  <c r="AS147" i="10"/>
  <c r="AT148" i="10"/>
  <c r="BB148" i="10"/>
  <c r="AY120" i="10"/>
  <c r="AY116" i="10"/>
  <c r="AV118" i="10"/>
  <c r="AX115" i="10"/>
  <c r="DL180" i="10" l="1"/>
  <c r="DL93" i="10"/>
  <c r="DP93" i="10"/>
  <c r="DL181" i="10"/>
  <c r="DL56" i="10"/>
  <c r="ER44" i="10"/>
  <c r="DR184" i="10"/>
  <c r="DQ179" i="10"/>
  <c r="DQ180" i="10"/>
  <c r="DQ192" i="10"/>
  <c r="DQ173" i="10"/>
  <c r="DQ54" i="10"/>
  <c r="AR147" i="10"/>
  <c r="AS148" i="10"/>
  <c r="AX120" i="10"/>
  <c r="AX116" i="10"/>
  <c r="AU118" i="10"/>
  <c r="BA115" i="10"/>
  <c r="AW115" i="10"/>
  <c r="EW44" i="10" l="1"/>
  <c r="DQ93" i="10"/>
  <c r="DQ181" i="10"/>
  <c r="DU132" i="9"/>
  <c r="AQ147" i="10"/>
  <c r="AR148" i="10"/>
  <c r="AW120" i="10"/>
  <c r="AW116" i="10"/>
  <c r="AT118" i="10"/>
  <c r="EW52" i="10" l="1"/>
  <c r="CZ187" i="10"/>
  <c r="AP147" i="10"/>
  <c r="AQ148" i="10"/>
  <c r="AS118" i="10"/>
  <c r="AU115" i="10"/>
  <c r="EX184" i="10" l="1"/>
  <c r="EW192" i="10"/>
  <c r="EW180" i="10"/>
  <c r="EW54" i="10"/>
  <c r="EW179" i="10"/>
  <c r="DA189" i="10"/>
  <c r="CZ189" i="10"/>
  <c r="DW132" i="9"/>
  <c r="DX132" i="9"/>
  <c r="AO147" i="10"/>
  <c r="AP148" i="10"/>
  <c r="AU120" i="10"/>
  <c r="AU116" i="10"/>
  <c r="AR118" i="10"/>
  <c r="AT115" i="10"/>
  <c r="EW57" i="10" l="1"/>
  <c r="EW56" i="10"/>
  <c r="EW93" i="10"/>
  <c r="EW55" i="10"/>
  <c r="EW181" i="10"/>
  <c r="DB189" i="10"/>
  <c r="DN187" i="10"/>
  <c r="AN147" i="10"/>
  <c r="AO148" i="10"/>
  <c r="AT120" i="10"/>
  <c r="AT116" i="10"/>
  <c r="AQ118" i="10"/>
  <c r="AS115" i="10"/>
  <c r="FB44" i="10" l="1"/>
  <c r="DD49" i="10"/>
  <c r="AM147" i="10"/>
  <c r="AN148" i="10"/>
  <c r="AS120" i="10"/>
  <c r="AS116" i="10"/>
  <c r="AP118" i="10"/>
  <c r="AV115" i="10"/>
  <c r="AR115" i="10"/>
  <c r="EZ44" i="10" l="1"/>
  <c r="FC44" i="10"/>
  <c r="DE189" i="10"/>
  <c r="DD189" i="10"/>
  <c r="AL147" i="10"/>
  <c r="AM148" i="10"/>
  <c r="AR120" i="10"/>
  <c r="AR116" i="10"/>
  <c r="AV120" i="10"/>
  <c r="AV116" i="10"/>
  <c r="AO118" i="10"/>
  <c r="FA44" i="10" l="1"/>
  <c r="FD44" i="10"/>
  <c r="DD15" i="10"/>
  <c r="AK147" i="10"/>
  <c r="AL148" i="10"/>
  <c r="AN118" i="10"/>
  <c r="AP115" i="10"/>
  <c r="FE44" i="10" l="1"/>
  <c r="EC132" i="9"/>
  <c r="DD220" i="10"/>
  <c r="DI49" i="10"/>
  <c r="AJ147" i="10"/>
  <c r="AK148" i="10"/>
  <c r="AP120" i="10"/>
  <c r="AP116" i="10"/>
  <c r="AM118" i="10"/>
  <c r="AO115" i="10"/>
  <c r="FF44" i="10" l="1"/>
  <c r="DJ189" i="10"/>
  <c r="DI189" i="10"/>
  <c r="DH189" i="10"/>
  <c r="AI147" i="10"/>
  <c r="AJ148" i="10"/>
  <c r="AO120" i="10"/>
  <c r="AO116" i="10"/>
  <c r="AL118" i="10"/>
  <c r="AN115" i="10"/>
  <c r="FG44" i="10" l="1"/>
  <c r="AH147" i="10"/>
  <c r="AI148" i="10"/>
  <c r="AN120" i="10"/>
  <c r="AN116" i="10"/>
  <c r="AK118" i="10"/>
  <c r="AQ115" i="10"/>
  <c r="AM115" i="10"/>
  <c r="AG147" i="10" l="1"/>
  <c r="AH148" i="10"/>
  <c r="AM120" i="10"/>
  <c r="AM116" i="10"/>
  <c r="AQ120" i="10"/>
  <c r="AQ116" i="10"/>
  <c r="AJ118" i="10"/>
  <c r="AI118" i="10" s="1"/>
  <c r="AH118" i="10" s="1"/>
  <c r="AG118" i="10" s="1"/>
  <c r="DI15" i="10" l="1"/>
  <c r="AF147" i="10"/>
  <c r="AG148" i="10"/>
  <c r="AF118" i="10"/>
  <c r="AE118" i="10" s="1"/>
  <c r="AG120" i="10"/>
  <c r="AG116" i="10"/>
  <c r="AL115" i="10"/>
  <c r="AK115" i="10" s="1"/>
  <c r="AH115" i="10"/>
  <c r="EH132" i="9" l="1"/>
  <c r="DM189" i="10"/>
  <c r="AL116" i="10"/>
  <c r="AL120" i="10"/>
  <c r="AK120" i="10" s="1"/>
  <c r="AE147" i="10"/>
  <c r="AF148" i="10"/>
  <c r="AJ115" i="10"/>
  <c r="AI115" i="10" s="1"/>
  <c r="AK116" i="10"/>
  <c r="AD118" i="10"/>
  <c r="AC118" i="10" s="1"/>
  <c r="AF115" i="10"/>
  <c r="AF116" i="10" s="1"/>
  <c r="AJ120" i="10" l="1"/>
  <c r="AI120" i="10" s="1"/>
  <c r="AH120" i="10" s="1"/>
  <c r="DN189" i="10"/>
  <c r="EI132" i="9"/>
  <c r="AE115" i="10"/>
  <c r="AD115" i="10" s="1"/>
  <c r="AJ116" i="10"/>
  <c r="AI116" i="10" s="1"/>
  <c r="AH116" i="10" s="1"/>
  <c r="AD147" i="10"/>
  <c r="AE148" i="10"/>
  <c r="EJ132" i="9" l="1"/>
  <c r="AE116" i="10"/>
  <c r="AD116" i="10" s="1"/>
  <c r="AC116" i="10" s="1"/>
  <c r="AC147" i="10"/>
  <c r="AD148" i="10"/>
  <c r="EK132" i="9" l="1"/>
  <c r="AB147" i="10"/>
  <c r="AB148" i="10" s="1"/>
  <c r="AC148" i="10"/>
  <c r="EL132" i="9" l="1"/>
  <c r="EW132" i="9" l="1"/>
  <c r="FB132" i="9" l="1"/>
  <c r="FG132" i="9" l="1"/>
  <c r="FX132" i="9" l="1"/>
  <c r="GH132" i="9" l="1"/>
  <c r="GC132" i="9"/>
  <c r="DJ143" i="9"/>
  <c r="DI143" i="9"/>
  <c r="DG143" i="9"/>
  <c r="DG144" i="9" s="1"/>
  <c r="DF143" i="9"/>
  <c r="DF144" i="9" s="1"/>
  <c r="DE143" i="9"/>
  <c r="DE144" i="9" s="1"/>
  <c r="DC143" i="9"/>
  <c r="DB143" i="9"/>
  <c r="DA143" i="9"/>
  <c r="CZ143" i="9"/>
  <c r="CY143" i="9"/>
  <c r="CW143" i="9"/>
  <c r="CV143" i="9"/>
  <c r="CU143" i="9"/>
  <c r="DH142" i="9"/>
  <c r="DC142" i="9"/>
  <c r="DD142" i="9" s="1"/>
  <c r="CX142" i="9"/>
  <c r="DN139" i="9"/>
  <c r="DK139" i="9"/>
  <c r="DJ139" i="9"/>
  <c r="DI139" i="9"/>
  <c r="DH139" i="9"/>
  <c r="DG139" i="9"/>
  <c r="DF139" i="9"/>
  <c r="DE139" i="9"/>
  <c r="DD139" i="9"/>
  <c r="DC139" i="9"/>
  <c r="DB139" i="9"/>
  <c r="DA139" i="9"/>
  <c r="CZ139" i="9"/>
  <c r="CY139" i="9"/>
  <c r="CX139" i="9"/>
  <c r="CW139" i="9"/>
  <c r="CV139" i="9"/>
  <c r="CU139" i="9"/>
  <c r="CT139" i="9"/>
  <c r="CS139" i="9"/>
  <c r="CR139" i="9"/>
  <c r="CQ139" i="9"/>
  <c r="CP139" i="9"/>
  <c r="CO139" i="9"/>
  <c r="CN139" i="9"/>
  <c r="CM139" i="9"/>
  <c r="CL139" i="9"/>
  <c r="CK139" i="9"/>
  <c r="CJ139" i="9"/>
  <c r="CI139" i="9"/>
  <c r="CH139" i="9"/>
  <c r="CG139" i="9"/>
  <c r="CF139" i="9"/>
  <c r="CE139" i="9"/>
  <c r="CD139" i="9"/>
  <c r="CC139" i="9"/>
  <c r="CB139" i="9"/>
  <c r="CA139" i="9"/>
  <c r="BZ139" i="9"/>
  <c r="BY139" i="9"/>
  <c r="BX139" i="9"/>
  <c r="BW139" i="9"/>
  <c r="BV139" i="9"/>
  <c r="BU139" i="9"/>
  <c r="BT139" i="9"/>
  <c r="BS139" i="9"/>
  <c r="BR139" i="9"/>
  <c r="BQ139" i="9"/>
  <c r="DN138" i="9"/>
  <c r="DK138" i="9"/>
  <c r="DJ138" i="9"/>
  <c r="DI138" i="9"/>
  <c r="DH138" i="9"/>
  <c r="DG138" i="9"/>
  <c r="DF138" i="9"/>
  <c r="DE138" i="9"/>
  <c r="DD138" i="9"/>
  <c r="DC138" i="9"/>
  <c r="DB138" i="9"/>
  <c r="DA138" i="9"/>
  <c r="CZ138" i="9"/>
  <c r="CY138" i="9"/>
  <c r="CX138" i="9"/>
  <c r="CW138" i="9"/>
  <c r="CV138" i="9"/>
  <c r="CU138" i="9"/>
  <c r="CT138" i="9"/>
  <c r="CS138" i="9"/>
  <c r="CR138" i="9"/>
  <c r="CQ138" i="9"/>
  <c r="CP138" i="9"/>
  <c r="CO138" i="9"/>
  <c r="CN138" i="9"/>
  <c r="CM138" i="9"/>
  <c r="CL138" i="9"/>
  <c r="CK138" i="9"/>
  <c r="CJ138" i="9"/>
  <c r="CI138" i="9"/>
  <c r="CH138" i="9"/>
  <c r="CG138" i="9"/>
  <c r="CF138" i="9"/>
  <c r="CE138" i="9"/>
  <c r="CD138" i="9"/>
  <c r="CC138" i="9"/>
  <c r="CB138" i="9"/>
  <c r="CA138" i="9"/>
  <c r="BZ138" i="9"/>
  <c r="BY138" i="9"/>
  <c r="BX138" i="9"/>
  <c r="BW138" i="9"/>
  <c r="BV138" i="9"/>
  <c r="BU138" i="9"/>
  <c r="BT138" i="9"/>
  <c r="BS138" i="9"/>
  <c r="BR138" i="9"/>
  <c r="BQ138" i="9"/>
  <c r="DH136" i="9"/>
  <c r="DC136" i="9"/>
  <c r="DD136" i="9" s="1"/>
  <c r="CX136" i="9"/>
  <c r="DH143" i="9" l="1"/>
  <c r="DH144" i="9" s="1"/>
  <c r="DL140" i="9"/>
  <c r="DL141" i="9" s="1"/>
  <c r="DI140" i="9"/>
  <c r="DK140" i="9"/>
  <c r="DK141" i="9" s="1"/>
  <c r="BR140" i="9"/>
  <c r="DH140" i="9"/>
  <c r="DN140" i="9"/>
  <c r="CX143" i="9"/>
  <c r="DG140" i="9"/>
  <c r="DF140" i="9" s="1"/>
  <c r="DF141" i="9" s="1"/>
  <c r="BQ140" i="9"/>
  <c r="DE140" i="9"/>
  <c r="DE141" i="9" s="1"/>
  <c r="DJ140" i="9"/>
  <c r="DJ141" i="9" s="1"/>
  <c r="DI141" i="9" l="1"/>
  <c r="DH141" i="9" s="1"/>
  <c r="DG141" i="9" s="1"/>
  <c r="DJ133" i="9"/>
  <c r="DI133" i="9"/>
  <c r="DH133" i="9"/>
  <c r="DG133" i="9"/>
  <c r="DF133" i="9"/>
  <c r="DE133" i="9"/>
  <c r="DD133" i="9"/>
  <c r="DC133" i="9"/>
  <c r="DB133" i="9"/>
  <c r="DA133" i="9"/>
  <c r="CZ133" i="9"/>
  <c r="CX133" i="9"/>
  <c r="CW133" i="9"/>
  <c r="CV133" i="9"/>
  <c r="CU133" i="9"/>
  <c r="CT133" i="9"/>
  <c r="CS133" i="9"/>
  <c r="CR133" i="9"/>
  <c r="CQ133" i="9"/>
  <c r="CP133" i="9"/>
  <c r="CO133" i="9"/>
  <c r="CN133" i="9"/>
  <c r="CM133" i="9"/>
  <c r="CL133" i="9"/>
  <c r="CK133" i="9"/>
  <c r="CJ133" i="9"/>
  <c r="CI133" i="9"/>
  <c r="CH133" i="9"/>
  <c r="CG133" i="9"/>
  <c r="CF133" i="9"/>
  <c r="CE133" i="9"/>
  <c r="CD133" i="9"/>
  <c r="CC133" i="9"/>
  <c r="CB133" i="9"/>
  <c r="CA133" i="9"/>
  <c r="BZ133" i="9"/>
  <c r="BY133" i="9"/>
  <c r="BX133" i="9"/>
  <c r="BW133" i="9"/>
  <c r="BV133" i="9"/>
  <c r="BU133" i="9"/>
  <c r="BT133" i="9"/>
  <c r="BS133" i="9"/>
  <c r="BR133" i="9"/>
  <c r="BQ133" i="9"/>
  <c r="DS132" i="9"/>
  <c r="DN132" i="9"/>
  <c r="DM132" i="9"/>
  <c r="DL132" i="9"/>
  <c r="DK132" i="9"/>
  <c r="DJ132" i="9"/>
  <c r="DI132" i="9"/>
  <c r="DH132" i="9" s="1"/>
  <c r="DG132" i="9"/>
  <c r="DF132" i="9"/>
  <c r="DE132" i="9"/>
  <c r="DD132" i="9"/>
  <c r="DC132" i="9"/>
  <c r="DB132" i="9"/>
  <c r="DA132" i="9"/>
  <c r="CZ132" i="9"/>
  <c r="CX132" i="9"/>
  <c r="CW132" i="9"/>
  <c r="CV132" i="9"/>
  <c r="CU132" i="9"/>
  <c r="CT132" i="9"/>
  <c r="CS132" i="9"/>
  <c r="CR132" i="9"/>
  <c r="CQ132" i="9"/>
  <c r="CP132" i="9"/>
  <c r="CO132" i="9"/>
  <c r="CN132" i="9"/>
  <c r="CM132" i="9"/>
  <c r="CL132" i="9"/>
  <c r="CK132" i="9"/>
  <c r="CJ132" i="9"/>
  <c r="CI132" i="9"/>
  <c r="CH132" i="9"/>
  <c r="CG132" i="9"/>
  <c r="CF132" i="9"/>
  <c r="CE132" i="9"/>
  <c r="CD132" i="9"/>
  <c r="CC132" i="9"/>
  <c r="CB132" i="9"/>
  <c r="CA132" i="9"/>
  <c r="BZ132" i="9"/>
  <c r="BY132" i="9"/>
  <c r="BX132" i="9"/>
  <c r="BW132" i="9"/>
  <c r="BV132" i="9"/>
  <c r="BU132" i="9"/>
  <c r="BT132" i="9"/>
  <c r="BS132" i="9"/>
  <c r="BR132" i="9"/>
  <c r="BQ132" i="9"/>
  <c r="DJ131" i="9"/>
  <c r="DI131" i="9"/>
  <c r="DH131" i="9"/>
  <c r="DG131" i="9"/>
  <c r="DF131" i="9"/>
  <c r="DE131" i="9"/>
  <c r="DD131" i="9"/>
  <c r="DC131" i="9"/>
  <c r="DB131" i="9"/>
  <c r="DA131" i="9"/>
  <c r="CZ131" i="9"/>
  <c r="CX131" i="9"/>
  <c r="CW131" i="9"/>
  <c r="CV131" i="9"/>
  <c r="CU131" i="9"/>
  <c r="CT131" i="9"/>
  <c r="CS131" i="9"/>
  <c r="CR131" i="9"/>
  <c r="CQ131" i="9"/>
  <c r="CP131" i="9"/>
  <c r="CO131" i="9"/>
  <c r="CN131" i="9"/>
  <c r="CM131" i="9"/>
  <c r="CL131" i="9"/>
  <c r="CK131" i="9"/>
  <c r="CJ131" i="9"/>
  <c r="CI131" i="9"/>
  <c r="CH131" i="9"/>
  <c r="CG131" i="9"/>
  <c r="CF131" i="9"/>
  <c r="CE131" i="9"/>
  <c r="CD131" i="9"/>
  <c r="CC131" i="9"/>
  <c r="CB131" i="9"/>
  <c r="CA131" i="9"/>
  <c r="BZ131" i="9"/>
  <c r="BY131" i="9"/>
  <c r="BX131" i="9"/>
  <c r="BW131" i="9"/>
  <c r="BV131" i="9"/>
  <c r="BU131" i="9"/>
  <c r="BT131" i="9"/>
  <c r="BS131" i="9"/>
  <c r="BR131" i="9"/>
  <c r="BQ131" i="9"/>
  <c r="DX126" i="9"/>
  <c r="DS126" i="9"/>
  <c r="CW126" i="9"/>
  <c r="CV126" i="9"/>
  <c r="CU126" i="9"/>
  <c r="CR126" i="9"/>
  <c r="CQ126" i="9"/>
  <c r="CP126" i="9"/>
  <c r="CM126" i="9"/>
  <c r="CL126" i="9"/>
  <c r="CK126" i="9"/>
  <c r="CI126" i="9"/>
  <c r="CH126" i="9"/>
  <c r="AQ122" i="9"/>
  <c r="AP122" i="9"/>
  <c r="AO122" i="9"/>
  <c r="AN122" i="9"/>
  <c r="AM122" i="9"/>
  <c r="AL122" i="9"/>
  <c r="AK122" i="9"/>
  <c r="AJ122" i="9"/>
  <c r="AF122" i="9"/>
  <c r="AE122" i="9"/>
  <c r="D122" i="9"/>
  <c r="C122" i="9"/>
  <c r="AF121" i="9"/>
  <c r="AE121" i="9"/>
  <c r="AA121" i="9"/>
  <c r="Z121" i="9"/>
  <c r="Y121" i="9"/>
  <c r="X121" i="9"/>
  <c r="V121" i="9"/>
  <c r="U121" i="9"/>
  <c r="T121" i="9"/>
  <c r="S121" i="9"/>
  <c r="R121" i="9"/>
  <c r="P121" i="9"/>
  <c r="O121" i="9"/>
  <c r="N121" i="9"/>
  <c r="M121" i="9"/>
  <c r="L121" i="9"/>
  <c r="K121" i="9"/>
  <c r="J121" i="9"/>
  <c r="I121" i="9"/>
  <c r="H121" i="9"/>
  <c r="G121" i="9"/>
  <c r="F121" i="9"/>
  <c r="E121" i="9"/>
  <c r="D121" i="9"/>
  <c r="C121" i="9"/>
  <c r="DS120" i="9"/>
  <c r="DN120" i="9"/>
  <c r="DM120" i="9"/>
  <c r="DL120" i="9"/>
  <c r="DK120" i="9"/>
  <c r="DJ120" i="9"/>
  <c r="DI120" i="9"/>
  <c r="DH120" i="9"/>
  <c r="DG120" i="9"/>
  <c r="DF120" i="9"/>
  <c r="DE120" i="9"/>
  <c r="DD120" i="9"/>
  <c r="DC120" i="9"/>
  <c r="DB120" i="9"/>
  <c r="DA120" i="9"/>
  <c r="CZ120" i="9"/>
  <c r="CY120" i="9"/>
  <c r="CX120" i="9"/>
  <c r="CW120" i="9"/>
  <c r="CV120" i="9"/>
  <c r="CU120" i="9"/>
  <c r="CT120" i="9"/>
  <c r="CS120" i="9"/>
  <c r="CR120" i="9"/>
  <c r="CQ120" i="9"/>
  <c r="CP120" i="9"/>
  <c r="CO120" i="9"/>
  <c r="CN120" i="9"/>
  <c r="CM120" i="9"/>
  <c r="CL120" i="9"/>
  <c r="CK120" i="9"/>
  <c r="CJ120" i="9"/>
  <c r="CI120" i="9"/>
  <c r="CH120" i="9"/>
  <c r="CG120" i="9"/>
  <c r="CF120" i="9"/>
  <c r="CE120" i="9"/>
  <c r="CD120" i="9"/>
  <c r="CC120" i="9"/>
  <c r="CB120" i="9"/>
  <c r="CA120" i="9"/>
  <c r="BZ120" i="9"/>
  <c r="BY120" i="9"/>
  <c r="BX120" i="9"/>
  <c r="BW120" i="9"/>
  <c r="BV120" i="9"/>
  <c r="BR134" i="9" l="1"/>
  <c r="DC134" i="9"/>
  <c r="DC135" i="9" s="1"/>
  <c r="DI134" i="9"/>
  <c r="DI135" i="9" s="1"/>
  <c r="DH134" i="9"/>
  <c r="DH135" i="9" s="1"/>
  <c r="DB134" i="9"/>
  <c r="DA134" i="9" s="1"/>
  <c r="CZ134" i="9" s="1"/>
  <c r="DG134" i="9"/>
  <c r="DF134" i="9" s="1"/>
  <c r="DF135" i="9" s="1"/>
  <c r="BQ134" i="9"/>
  <c r="DE134" i="9"/>
  <c r="DE135" i="9" s="1"/>
  <c r="DL119" i="9"/>
  <c r="DG135" i="9" l="1"/>
  <c r="DB135" i="9"/>
  <c r="DA135" i="9" s="1"/>
  <c r="CZ135" i="9"/>
  <c r="DD134" i="9"/>
  <c r="DD135" i="9" s="1"/>
  <c r="DJ119" i="9"/>
  <c r="DI119" i="9"/>
  <c r="DH119" i="9"/>
  <c r="DG119" i="9"/>
  <c r="DF119" i="9"/>
  <c r="DE119" i="9"/>
  <c r="DD119" i="9"/>
  <c r="DC119" i="9"/>
  <c r="DB119" i="9"/>
  <c r="DA119" i="9"/>
  <c r="CZ119" i="9"/>
  <c r="CY119" i="9"/>
  <c r="CX119" i="9"/>
  <c r="CW119" i="9"/>
  <c r="CV119" i="9"/>
  <c r="CU119" i="9"/>
  <c r="CT119" i="9"/>
  <c r="CS119" i="9"/>
  <c r="CR119" i="9"/>
  <c r="CQ119" i="9"/>
  <c r="CP119" i="9"/>
  <c r="CO119" i="9"/>
  <c r="CN119" i="9"/>
  <c r="CM119" i="9"/>
  <c r="CL119" i="9"/>
  <c r="CK119" i="9"/>
  <c r="CJ119" i="9"/>
  <c r="CI119" i="9"/>
  <c r="CH119" i="9"/>
  <c r="CG119" i="9"/>
  <c r="CF119" i="9"/>
  <c r="CE119" i="9"/>
  <c r="CD119" i="9"/>
  <c r="CC119" i="9"/>
  <c r="CB119" i="9"/>
  <c r="CA119" i="9"/>
  <c r="BZ119" i="9"/>
  <c r="BY119" i="9"/>
  <c r="BX119" i="9"/>
  <c r="BW119" i="9"/>
  <c r="BV119" i="9"/>
  <c r="BU119" i="9"/>
  <c r="BT119" i="9"/>
  <c r="BS119" i="9"/>
  <c r="BR119" i="9"/>
  <c r="BQ119" i="9"/>
  <c r="BP119" i="9"/>
  <c r="BO119" i="9"/>
  <c r="BN119" i="9"/>
  <c r="BM119" i="9"/>
  <c r="BL119" i="9"/>
  <c r="BK119" i="9"/>
  <c r="BJ119" i="9"/>
  <c r="BI119" i="9"/>
  <c r="BH119" i="9"/>
  <c r="BG119" i="9"/>
  <c r="BF119" i="9"/>
  <c r="BE119" i="9"/>
  <c r="BD119" i="9"/>
  <c r="BC119" i="9"/>
  <c r="BB119" i="9"/>
  <c r="BA119" i="9"/>
  <c r="AZ119" i="9"/>
  <c r="AY119" i="9"/>
  <c r="AX119" i="9"/>
  <c r="AW119" i="9"/>
  <c r="AV119" i="9"/>
  <c r="AU119" i="9"/>
  <c r="AT119" i="9"/>
  <c r="AS119" i="9"/>
  <c r="AR119" i="9"/>
  <c r="AQ119" i="9"/>
  <c r="AP119" i="9"/>
  <c r="AO119" i="9"/>
  <c r="AO121" i="9" s="1"/>
  <c r="AN119" i="9"/>
  <c r="AM119" i="9"/>
  <c r="AL119" i="9"/>
  <c r="AK119" i="9"/>
  <c r="AJ119" i="9"/>
  <c r="AJ121" i="9" s="1"/>
  <c r="AI119" i="9"/>
  <c r="AH119" i="9"/>
  <c r="AG119" i="9"/>
  <c r="AB119" i="9"/>
  <c r="AU98" i="9"/>
  <c r="AT98" i="9"/>
  <c r="AS98" i="9"/>
  <c r="AR98" i="9"/>
  <c r="AQ98" i="9"/>
  <c r="AP98" i="9"/>
  <c r="AO98" i="9"/>
  <c r="AN98" i="9"/>
  <c r="AM98" i="9"/>
  <c r="AK98" i="9"/>
  <c r="AJ98" i="9"/>
  <c r="AI98" i="9"/>
  <c r="AH98" i="9"/>
  <c r="AG98" i="9"/>
  <c r="AF98" i="9"/>
  <c r="AE98" i="9"/>
  <c r="AD98" i="9"/>
  <c r="AC98" i="9"/>
  <c r="AB98" i="9"/>
  <c r="AA98" i="9"/>
  <c r="Z98" i="9"/>
  <c r="Y98" i="9"/>
  <c r="X98" i="9"/>
  <c r="U98" i="9"/>
  <c r="T98" i="9"/>
  <c r="S98" i="9"/>
  <c r="R98" i="9"/>
  <c r="P98" i="9"/>
  <c r="O98" i="9"/>
  <c r="N98" i="9"/>
  <c r="M98" i="9"/>
  <c r="K98" i="9"/>
  <c r="J98" i="9"/>
  <c r="I98" i="9"/>
  <c r="H98" i="9"/>
  <c r="AL97" i="9"/>
  <c r="W97" i="9"/>
  <c r="Q97" i="9"/>
  <c r="L97" i="9"/>
  <c r="AN121" i="9" l="1"/>
  <c r="AM121" i="9" s="1"/>
  <c r="AL121" i="9" s="1"/>
  <c r="AK121" i="9" s="1"/>
  <c r="AL96" i="9"/>
  <c r="AL98" i="9" s="1"/>
  <c r="W96" i="9"/>
  <c r="W98" i="9" s="1"/>
  <c r="Q96" i="9"/>
  <c r="Q98" i="9" s="1"/>
  <c r="L96" i="9"/>
  <c r="L98" i="9" s="1"/>
  <c r="AU94" i="9"/>
  <c r="AT94" i="9"/>
  <c r="AS94" i="9"/>
  <c r="AR94" i="9"/>
  <c r="AQ94" i="9"/>
  <c r="AP94" i="9"/>
  <c r="AO94" i="9"/>
  <c r="AN94" i="9"/>
  <c r="AM94" i="9"/>
  <c r="AL94" i="9"/>
  <c r="AK94" i="9"/>
  <c r="AJ94" i="9"/>
  <c r="AI94" i="9"/>
  <c r="AH94" i="9"/>
  <c r="AG94" i="9"/>
  <c r="AF94" i="9"/>
  <c r="AE94" i="9"/>
  <c r="AD94" i="9"/>
  <c r="AC94" i="9"/>
  <c r="AB94" i="9"/>
  <c r="AA94" i="9"/>
  <c r="Z94" i="9"/>
  <c r="Y94" i="9"/>
  <c r="X94" i="9"/>
  <c r="V94" i="9"/>
  <c r="U94" i="9"/>
  <c r="T94" i="9"/>
  <c r="S94" i="9"/>
  <c r="R94" i="9"/>
  <c r="P94" i="9"/>
  <c r="O94" i="9"/>
  <c r="N94" i="9"/>
  <c r="M94" i="9"/>
  <c r="K94" i="9"/>
  <c r="J94" i="9"/>
  <c r="I94" i="9"/>
  <c r="H94" i="9"/>
  <c r="W93" i="9"/>
  <c r="Q93" i="9"/>
  <c r="L93" i="9"/>
  <c r="W92" i="9"/>
  <c r="Q92" i="9"/>
  <c r="L92" i="9"/>
  <c r="AU82" i="9"/>
  <c r="AT82" i="9"/>
  <c r="AS82" i="9"/>
  <c r="AR82" i="9"/>
  <c r="AQ82" i="9"/>
  <c r="AP82" i="9"/>
  <c r="AO82" i="9"/>
  <c r="AN82" i="9"/>
  <c r="AM82" i="9"/>
  <c r="AL82" i="9"/>
  <c r="AK82" i="9"/>
  <c r="AJ82" i="9"/>
  <c r="AI82" i="9"/>
  <c r="AH82" i="9"/>
  <c r="AG82" i="9"/>
  <c r="AF82" i="9"/>
  <c r="AE82" i="9"/>
  <c r="AD82" i="9"/>
  <c r="AC82" i="9"/>
  <c r="AB82" i="9"/>
  <c r="AA82" i="9"/>
  <c r="Z82" i="9"/>
  <c r="Y82" i="9"/>
  <c r="X82" i="9"/>
  <c r="W82" i="9"/>
  <c r="V82" i="9"/>
  <c r="U82" i="9"/>
  <c r="T82" i="9"/>
  <c r="S82" i="9"/>
  <c r="R82" i="9"/>
  <c r="Q82" i="9"/>
  <c r="P82" i="9"/>
  <c r="O82" i="9"/>
  <c r="N82" i="9"/>
  <c r="M82" i="9"/>
  <c r="AQ81" i="9"/>
  <c r="AP81" i="9"/>
  <c r="AO81" i="9"/>
  <c r="AN81" i="9"/>
  <c r="AM81" i="9"/>
  <c r="AL81" i="9"/>
  <c r="AK81" i="9"/>
  <c r="AJ81" i="9"/>
  <c r="AI81" i="9"/>
  <c r="AH81" i="9"/>
  <c r="AG81" i="9"/>
  <c r="AF81" i="9"/>
  <c r="AE81" i="9"/>
  <c r="AD81" i="9"/>
  <c r="AC81" i="9"/>
  <c r="AB81" i="9"/>
  <c r="AA81" i="9"/>
  <c r="Z81" i="9"/>
  <c r="Y81" i="9"/>
  <c r="X81" i="9"/>
  <c r="W81" i="9"/>
  <c r="V81" i="9"/>
  <c r="U81" i="9"/>
  <c r="T81" i="9"/>
  <c r="S81" i="9"/>
  <c r="R81" i="9"/>
  <c r="Q81" i="9"/>
  <c r="P81" i="9"/>
  <c r="O81" i="9"/>
  <c r="N81" i="9"/>
  <c r="M81" i="9"/>
  <c r="DJ78" i="9"/>
  <c r="DH78" i="9"/>
  <c r="DG78" i="9"/>
  <c r="DF78" i="9"/>
  <c r="DE78" i="9"/>
  <c r="DC78" i="9"/>
  <c r="DB78" i="9"/>
  <c r="DA78" i="9"/>
  <c r="CZ78" i="9"/>
  <c r="CX78" i="9"/>
  <c r="CW78" i="9"/>
  <c r="CV78" i="9"/>
  <c r="CU78" i="9"/>
  <c r="CS78" i="9"/>
  <c r="CR78" i="9"/>
  <c r="CQ78" i="9"/>
  <c r="CP78" i="9"/>
  <c r="CN78" i="9"/>
  <c r="CM78" i="9"/>
  <c r="CL78" i="9"/>
  <c r="CK78" i="9"/>
  <c r="CI78" i="9"/>
  <c r="CH78" i="9"/>
  <c r="CG78" i="9"/>
  <c r="CF78" i="9"/>
  <c r="CD78" i="9"/>
  <c r="CC78" i="9"/>
  <c r="CB78" i="9"/>
  <c r="CA78" i="9"/>
  <c r="BY78" i="9"/>
  <c r="BX78" i="9"/>
  <c r="BW78" i="9"/>
  <c r="BV78" i="9"/>
  <c r="BT78" i="9"/>
  <c r="BS78" i="9"/>
  <c r="BR78" i="9"/>
  <c r="BQ78" i="9"/>
  <c r="BO78" i="9"/>
  <c r="BN78" i="9"/>
  <c r="BM78" i="9"/>
  <c r="BL78" i="9"/>
  <c r="BJ78" i="9"/>
  <c r="BI78" i="9"/>
  <c r="BH78" i="9"/>
  <c r="BG78" i="9"/>
  <c r="BE78" i="9"/>
  <c r="BD78" i="9"/>
  <c r="BC78" i="9"/>
  <c r="BB78" i="9"/>
  <c r="AZ78" i="9"/>
  <c r="AY78" i="9"/>
  <c r="AX78" i="9"/>
  <c r="AW78" i="9"/>
  <c r="AU78" i="9"/>
  <c r="AT78" i="9"/>
  <c r="AS78" i="9"/>
  <c r="AR78" i="9"/>
  <c r="AQ78" i="9"/>
  <c r="AP78" i="9"/>
  <c r="AO78" i="9"/>
  <c r="AN78" i="9"/>
  <c r="AM78" i="9"/>
  <c r="AK78" i="9"/>
  <c r="AJ78" i="9"/>
  <c r="AI78" i="9"/>
  <c r="AH78" i="9"/>
  <c r="AF78" i="9"/>
  <c r="AE78" i="9"/>
  <c r="AD78" i="9"/>
  <c r="AC78" i="9"/>
  <c r="AA78" i="9"/>
  <c r="Z78" i="9"/>
  <c r="Y78" i="9"/>
  <c r="X78" i="9"/>
  <c r="U78" i="9"/>
  <c r="T78" i="9"/>
  <c r="S78" i="9"/>
  <c r="R78" i="9"/>
  <c r="P78" i="9"/>
  <c r="O78" i="9"/>
  <c r="N78" i="9"/>
  <c r="M78" i="9"/>
  <c r="DJ77" i="9"/>
  <c r="DH77" i="9"/>
  <c r="DG77" i="9"/>
  <c r="DF77" i="9"/>
  <c r="DE77" i="9"/>
  <c r="DC77" i="9"/>
  <c r="DB77" i="9"/>
  <c r="DA77" i="9"/>
  <c r="CZ77" i="9"/>
  <c r="CX77" i="9"/>
  <c r="CW77" i="9"/>
  <c r="CV77" i="9"/>
  <c r="CU77" i="9"/>
  <c r="CS77" i="9"/>
  <c r="CR77" i="9"/>
  <c r="CQ77" i="9"/>
  <c r="CP77" i="9"/>
  <c r="CN77" i="9"/>
  <c r="CM77" i="9"/>
  <c r="CL77" i="9"/>
  <c r="CK77" i="9"/>
  <c r="CI77" i="9"/>
  <c r="CH77" i="9"/>
  <c r="CG77" i="9"/>
  <c r="CF77" i="9"/>
  <c r="CD77" i="9"/>
  <c r="CC77" i="9"/>
  <c r="CB77" i="9"/>
  <c r="CA77" i="9"/>
  <c r="BY77" i="9"/>
  <c r="BX77" i="9"/>
  <c r="BW77" i="9"/>
  <c r="BV77" i="9"/>
  <c r="BT77" i="9"/>
  <c r="BS77" i="9"/>
  <c r="BR77" i="9"/>
  <c r="BQ77" i="9"/>
  <c r="BO77" i="9"/>
  <c r="BN77" i="9"/>
  <c r="BM77" i="9"/>
  <c r="BL77" i="9"/>
  <c r="BJ77" i="9"/>
  <c r="BI77" i="9"/>
  <c r="BH77" i="9"/>
  <c r="BG77" i="9"/>
  <c r="BE77" i="9"/>
  <c r="BD77" i="9"/>
  <c r="BC77" i="9"/>
  <c r="BB77" i="9"/>
  <c r="AZ77" i="9"/>
  <c r="AY77" i="9"/>
  <c r="AX77" i="9"/>
  <c r="AW77" i="9"/>
  <c r="AU77" i="9"/>
  <c r="AT77" i="9"/>
  <c r="AS77" i="9"/>
  <c r="AR77" i="9"/>
  <c r="AQ77" i="9"/>
  <c r="AP77" i="9"/>
  <c r="AO77" i="9"/>
  <c r="AN77" i="9"/>
  <c r="AM77" i="9"/>
  <c r="AK77" i="9"/>
  <c r="AJ77" i="9"/>
  <c r="AI77" i="9"/>
  <c r="AH77" i="9"/>
  <c r="AF77" i="9"/>
  <c r="AE77" i="9"/>
  <c r="AD77" i="9"/>
  <c r="AC77" i="9"/>
  <c r="AA77" i="9"/>
  <c r="Z77" i="9"/>
  <c r="Y77" i="9"/>
  <c r="X77" i="9"/>
  <c r="U77" i="9"/>
  <c r="T77" i="9"/>
  <c r="S77" i="9"/>
  <c r="R77" i="9"/>
  <c r="P77" i="9"/>
  <c r="O77" i="9"/>
  <c r="N77" i="9"/>
  <c r="M77" i="9"/>
  <c r="L94" i="9" l="1"/>
  <c r="Q94" i="9"/>
  <c r="W94" i="9"/>
  <c r="DJ76" i="9"/>
  <c r="DH76" i="9"/>
  <c r="DG76" i="9"/>
  <c r="DF76" i="9"/>
  <c r="DB76" i="9"/>
  <c r="DA76" i="9"/>
  <c r="CW76" i="9"/>
  <c r="CV76" i="9"/>
  <c r="CU76" i="9"/>
  <c r="CS76" i="9"/>
  <c r="CR76" i="9"/>
  <c r="CQ76" i="9"/>
  <c r="CP76" i="9"/>
  <c r="CN76" i="9"/>
  <c r="CM76" i="9"/>
  <c r="CL76" i="9"/>
  <c r="CK76" i="9"/>
  <c r="CI76" i="9"/>
  <c r="CH76" i="9"/>
  <c r="CG76" i="9"/>
  <c r="CF76" i="9"/>
  <c r="CD76" i="9"/>
  <c r="CC76" i="9"/>
  <c r="CB76" i="9"/>
  <c r="CA76" i="9"/>
  <c r="BY76" i="9"/>
  <c r="BX76" i="9"/>
  <c r="BW76" i="9"/>
  <c r="BV76" i="9"/>
  <c r="BT76" i="9"/>
  <c r="BS76" i="9"/>
  <c r="BR76" i="9"/>
  <c r="BQ76" i="9"/>
  <c r="BO76" i="9"/>
  <c r="BN76" i="9"/>
  <c r="BM76" i="9"/>
  <c r="BL76" i="9"/>
  <c r="BJ76" i="9"/>
  <c r="BI76" i="9"/>
  <c r="BH76" i="9"/>
  <c r="BG76" i="9"/>
  <c r="BE76" i="9"/>
  <c r="BD76" i="9"/>
  <c r="BC76" i="9"/>
  <c r="BB76" i="9"/>
  <c r="AZ76" i="9"/>
  <c r="AY76" i="9"/>
  <c r="AX76" i="9"/>
  <c r="AW76" i="9"/>
  <c r="AV76" i="9"/>
  <c r="AU76" i="9"/>
  <c r="AT76" i="9"/>
  <c r="AS76" i="9"/>
  <c r="AR76" i="9"/>
  <c r="AQ76" i="9"/>
  <c r="AP76" i="9"/>
  <c r="AO76" i="9"/>
  <c r="AN76" i="9"/>
  <c r="AM76" i="9"/>
  <c r="AK76" i="9"/>
  <c r="AJ76" i="9"/>
  <c r="AI76" i="9"/>
  <c r="AH76" i="9"/>
  <c r="AF76" i="9"/>
  <c r="AE76" i="9"/>
  <c r="AD76" i="9"/>
  <c r="AC76" i="9"/>
  <c r="AA76" i="9"/>
  <c r="Z76" i="9"/>
  <c r="Y76" i="9"/>
  <c r="X76" i="9"/>
  <c r="U76" i="9"/>
  <c r="T76" i="9"/>
  <c r="S76" i="9"/>
  <c r="R76" i="9"/>
  <c r="P76" i="9"/>
  <c r="O76" i="9"/>
  <c r="N76" i="9"/>
  <c r="M76" i="9"/>
  <c r="V75" i="9"/>
  <c r="Q75" i="9"/>
  <c r="X74" i="9"/>
  <c r="DJ62" i="9"/>
  <c r="DG62" i="9"/>
  <c r="DF62" i="9"/>
  <c r="DE62" i="9"/>
  <c r="DD62" i="9"/>
  <c r="DB62" i="9"/>
  <c r="DA62" i="9"/>
  <c r="CZ62" i="9"/>
  <c r="CY62" i="9"/>
  <c r="CW62" i="9"/>
  <c r="CV62" i="9"/>
  <c r="CU62" i="9"/>
  <c r="CR62" i="9"/>
  <c r="CQ62" i="9"/>
  <c r="CP62" i="9"/>
  <c r="CK62" i="9"/>
  <c r="CH62" i="9"/>
  <c r="CG62" i="9"/>
  <c r="CF62" i="9"/>
  <c r="CE62" i="9"/>
  <c r="CD62" i="9"/>
  <c r="CC62" i="9"/>
  <c r="CB62" i="9"/>
  <c r="CA62" i="9"/>
  <c r="BY62" i="9"/>
  <c r="BX62" i="9"/>
  <c r="BW62" i="9"/>
  <c r="BV62" i="9"/>
  <c r="BU62" i="9"/>
  <c r="BT62" i="9"/>
  <c r="BS62" i="9"/>
  <c r="BR62" i="9"/>
  <c r="BQ62" i="9"/>
  <c r="BP62" i="9"/>
  <c r="BO62" i="9"/>
  <c r="BN62" i="9"/>
  <c r="BM62" i="9"/>
  <c r="BL62" i="9"/>
  <c r="BK62" i="9"/>
  <c r="BJ62" i="9"/>
  <c r="BI62" i="9"/>
  <c r="BH62" i="9"/>
  <c r="BG62" i="9"/>
  <c r="BF62" i="9"/>
  <c r="BE62" i="9"/>
  <c r="BD62" i="9"/>
  <c r="BC62" i="9"/>
  <c r="BB62" i="9"/>
  <c r="BA62" i="9"/>
  <c r="AV62" i="9"/>
  <c r="CO61" i="9"/>
  <c r="AZ61" i="9"/>
  <c r="AY61" i="9"/>
  <c r="AX61" i="9"/>
  <c r="AW61" i="9"/>
  <c r="AU61" i="9"/>
  <c r="AT61" i="9"/>
  <c r="AS61" i="9"/>
  <c r="AR61" i="9"/>
  <c r="AQ61" i="9"/>
  <c r="AL61" i="9" s="1"/>
  <c r="AP61" i="9"/>
  <c r="AO61" i="9"/>
  <c r="AN61" i="9"/>
  <c r="AM61" i="9"/>
  <c r="AG61" i="9"/>
  <c r="DH60" i="9"/>
  <c r="DC60" i="9"/>
  <c r="CX60" i="9"/>
  <c r="CS60" i="9"/>
  <c r="CL60" i="9"/>
  <c r="CI60" i="9"/>
  <c r="BJ88" i="10" s="1"/>
  <c r="BZ60" i="9"/>
  <c r="AY60" i="9"/>
  <c r="Z88" i="10" s="1"/>
  <c r="AX60" i="9"/>
  <c r="Y88" i="10" s="1"/>
  <c r="AW60" i="9"/>
  <c r="X88" i="10" s="1"/>
  <c r="X92" i="10" s="1"/>
  <c r="AU60" i="9"/>
  <c r="V88" i="10" s="1"/>
  <c r="AT60" i="9"/>
  <c r="U88" i="10" s="1"/>
  <c r="AS60" i="9"/>
  <c r="T88" i="10" s="1"/>
  <c r="AR60" i="9"/>
  <c r="S88" i="10" s="1"/>
  <c r="AQ60" i="9"/>
  <c r="AP60" i="9"/>
  <c r="AO60" i="9"/>
  <c r="AN60" i="9"/>
  <c r="AM60" i="9"/>
  <c r="AL60" i="9"/>
  <c r="AK60" i="9"/>
  <c r="AJ60" i="9"/>
  <c r="AI60" i="9"/>
  <c r="AH60" i="9"/>
  <c r="AG60" i="9"/>
  <c r="AF60" i="9"/>
  <c r="AE60" i="9"/>
  <c r="AD60" i="9"/>
  <c r="AC60" i="9"/>
  <c r="AB60" i="9"/>
  <c r="AA60" i="9"/>
  <c r="Z60" i="9"/>
  <c r="Y60" i="9"/>
  <c r="X60" i="9"/>
  <c r="W60" i="9"/>
  <c r="R88" i="10" s="1"/>
  <c r="U60" i="9"/>
  <c r="P88" i="10" s="1"/>
  <c r="T60" i="9"/>
  <c r="O88" i="10" s="1"/>
  <c r="S60" i="9"/>
  <c r="N88" i="10" s="1"/>
  <c r="R60" i="9"/>
  <c r="M88" i="10" s="1"/>
  <c r="M92" i="10" s="1"/>
  <c r="P60" i="9"/>
  <c r="K88" i="10" s="1"/>
  <c r="K92" i="10" s="1"/>
  <c r="O60" i="9"/>
  <c r="J88" i="10" s="1"/>
  <c r="J92" i="10" s="1"/>
  <c r="N60" i="9"/>
  <c r="I88" i="10" s="1"/>
  <c r="M60" i="9"/>
  <c r="H88" i="10" s="1"/>
  <c r="H92" i="10" s="1"/>
  <c r="K60" i="9"/>
  <c r="F88" i="10" s="1"/>
  <c r="F92" i="10" s="1"/>
  <c r="J60" i="9"/>
  <c r="E88" i="10" s="1"/>
  <c r="I60" i="9"/>
  <c r="D88" i="10" s="1"/>
  <c r="D92" i="10" s="1"/>
  <c r="H60" i="9"/>
  <c r="C88" i="10" s="1"/>
  <c r="C92" i="10" s="1"/>
  <c r="G60" i="9"/>
  <c r="F60" i="9"/>
  <c r="E60" i="9"/>
  <c r="V60" i="9" l="1"/>
  <c r="Q88" i="10" s="1"/>
  <c r="Q103" i="10" s="1"/>
  <c r="Q101" i="10" s="1"/>
  <c r="E103" i="10"/>
  <c r="D103" i="10" s="1"/>
  <c r="C103" i="10" s="1"/>
  <c r="E92" i="10"/>
  <c r="I103" i="10"/>
  <c r="H103" i="10" s="1"/>
  <c r="I92" i="10"/>
  <c r="N103" i="10"/>
  <c r="M103" i="10" s="1"/>
  <c r="N92" i="10"/>
  <c r="O103" i="10"/>
  <c r="O101" i="10" s="1"/>
  <c r="O92" i="10"/>
  <c r="P103" i="10"/>
  <c r="P101" i="10" s="1"/>
  <c r="P92" i="10"/>
  <c r="R103" i="10"/>
  <c r="R92" i="10"/>
  <c r="S103" i="10"/>
  <c r="S92" i="10"/>
  <c r="T103" i="10"/>
  <c r="T101" i="10" s="1"/>
  <c r="T92" i="10"/>
  <c r="U103" i="10"/>
  <c r="U101" i="10" s="1"/>
  <c r="U92" i="10"/>
  <c r="V103" i="10"/>
  <c r="V101" i="10" s="1"/>
  <c r="V92" i="10"/>
  <c r="Y103" i="10"/>
  <c r="Y92" i="10"/>
  <c r="Z103" i="10"/>
  <c r="Z101" i="10" s="1"/>
  <c r="Z92" i="10"/>
  <c r="AZ60" i="9"/>
  <c r="AA88" i="10" s="1"/>
  <c r="BA88" i="10"/>
  <c r="BJ118" i="10"/>
  <c r="BJ92" i="10"/>
  <c r="CJ60" i="9"/>
  <c r="BM88" i="10"/>
  <c r="BT88" i="10"/>
  <c r="BY88" i="10"/>
  <c r="CD88" i="10"/>
  <c r="CD92" i="10" s="1"/>
  <c r="CI88" i="10"/>
  <c r="CI92" i="10" s="1"/>
  <c r="AB215" i="10"/>
  <c r="W215" i="10"/>
  <c r="X215" i="10"/>
  <c r="S87" i="10"/>
  <c r="Y215" i="10"/>
  <c r="T87" i="10"/>
  <c r="Z215" i="10"/>
  <c r="U87" i="10"/>
  <c r="AA215" i="10"/>
  <c r="V87" i="10"/>
  <c r="AC215" i="10"/>
  <c r="X87" i="10"/>
  <c r="AD215" i="10"/>
  <c r="Y87" i="10"/>
  <c r="AE215" i="10"/>
  <c r="Z87" i="10"/>
  <c r="AF215" i="10"/>
  <c r="AA87" i="10"/>
  <c r="BZ215" i="10"/>
  <c r="BV215" i="10"/>
  <c r="BU215" i="10"/>
  <c r="BP87" i="10"/>
  <c r="L60" i="9"/>
  <c r="G88" i="10" s="1"/>
  <c r="G92" i="10" s="1"/>
  <c r="Q60" i="9"/>
  <c r="L88" i="10" s="1"/>
  <c r="L92" i="10" s="1"/>
  <c r="CM60" i="9"/>
  <c r="AB61" i="9"/>
  <c r="V215" i="10"/>
  <c r="AW62" i="9"/>
  <c r="AX62" i="9"/>
  <c r="AY62" i="9"/>
  <c r="BZ62" i="9"/>
  <c r="CX62" i="9"/>
  <c r="DC62" i="9"/>
  <c r="DI62" i="9" s="1"/>
  <c r="DH62" i="9"/>
  <c r="CL88" i="10"/>
  <c r="CM88" i="10"/>
  <c r="CR215" i="10"/>
  <c r="DI59" i="9"/>
  <c r="CX59" i="9"/>
  <c r="BY101" i="10" s="1"/>
  <c r="CJ59" i="9"/>
  <c r="BK101" i="10" s="1"/>
  <c r="CE59" i="9"/>
  <c r="BF101" i="10" s="1"/>
  <c r="BZ59" i="9"/>
  <c r="BA101" i="10" s="1"/>
  <c r="BU59" i="9"/>
  <c r="AV101" i="10" s="1"/>
  <c r="BP59" i="9"/>
  <c r="AQ101" i="10" s="1"/>
  <c r="DL51" i="9"/>
  <c r="DK51" i="9"/>
  <c r="DJ51" i="9"/>
  <c r="DI51" i="9"/>
  <c r="DD51" i="9"/>
  <c r="CW51" i="9"/>
  <c r="CV51" i="9"/>
  <c r="CU51" i="9"/>
  <c r="CT51" i="9"/>
  <c r="CO51" i="9"/>
  <c r="CJ51" i="9"/>
  <c r="CE51" i="9"/>
  <c r="BZ51" i="9"/>
  <c r="Z102" i="10" l="1"/>
  <c r="S101" i="10"/>
  <c r="R101" i="10" s="1"/>
  <c r="CJ62" i="9"/>
  <c r="CI62" i="9" s="1"/>
  <c r="AQ102" i="10"/>
  <c r="Q92" i="10"/>
  <c r="U102" i="10"/>
  <c r="T102" i="10" s="1"/>
  <c r="AZ62" i="9"/>
  <c r="BK102" i="10"/>
  <c r="BP102" i="10"/>
  <c r="BY103" i="10"/>
  <c r="BX103" i="10" s="1"/>
  <c r="BW103" i="10" s="1"/>
  <c r="BV103" i="10" s="1"/>
  <c r="BU103" i="10" s="1"/>
  <c r="BT103" i="10" s="1"/>
  <c r="BS103" i="10" s="1"/>
  <c r="BR103" i="10" s="1"/>
  <c r="BQ103" i="10" s="1"/>
  <c r="BP103" i="10" s="1"/>
  <c r="BO103" i="10" s="1"/>
  <c r="BN103" i="10" s="1"/>
  <c r="BM103" i="10" s="1"/>
  <c r="BL103" i="10" s="1"/>
  <c r="BK103" i="10" s="1"/>
  <c r="BJ103" i="10" s="1"/>
  <c r="BI103" i="10" s="1"/>
  <c r="BH103" i="10" s="1"/>
  <c r="BG103" i="10" s="1"/>
  <c r="BF103" i="10" s="1"/>
  <c r="BE103" i="10" s="1"/>
  <c r="BD103" i="10" s="1"/>
  <c r="BC103" i="10" s="1"/>
  <c r="BB103" i="10" s="1"/>
  <c r="BA103" i="10" s="1"/>
  <c r="AZ103" i="10" s="1"/>
  <c r="AY103" i="10" s="1"/>
  <c r="AX103" i="10" s="1"/>
  <c r="AW103" i="10" s="1"/>
  <c r="AV103" i="10" s="1"/>
  <c r="AU103" i="10" s="1"/>
  <c r="AT103" i="10" s="1"/>
  <c r="AS103" i="10" s="1"/>
  <c r="AR103" i="10" s="1"/>
  <c r="AQ103" i="10" s="1"/>
  <c r="AP103" i="10" s="1"/>
  <c r="AO103" i="10" s="1"/>
  <c r="AN103" i="10" s="1"/>
  <c r="AM103" i="10" s="1"/>
  <c r="BY102" i="10"/>
  <c r="CD102" i="10"/>
  <c r="BN88" i="10"/>
  <c r="CM62" i="9"/>
  <c r="CL62" i="9" s="1"/>
  <c r="CN60" i="9"/>
  <c r="BY118" i="10"/>
  <c r="BY92" i="10"/>
  <c r="BT118" i="10"/>
  <c r="BT92" i="10"/>
  <c r="BM118" i="10"/>
  <c r="BM92" i="10"/>
  <c r="BK88" i="10"/>
  <c r="BK92" i="10" s="1"/>
  <c r="BJ120" i="10"/>
  <c r="BJ116" i="10"/>
  <c r="BA92" i="10"/>
  <c r="BA118" i="10"/>
  <c r="AA103" i="10"/>
  <c r="AA101" i="10" s="1"/>
  <c r="AA92" i="10"/>
  <c r="X103" i="10"/>
  <c r="Y101" i="10"/>
  <c r="Y102" i="10" s="1"/>
  <c r="V102" i="10"/>
  <c r="N101" i="10"/>
  <c r="M101" i="10" s="1"/>
  <c r="CX51" i="9"/>
  <c r="AV102" i="10"/>
  <c r="BA102" i="10"/>
  <c r="BF102" i="10"/>
  <c r="L103" i="10"/>
  <c r="K103" i="10" s="1"/>
  <c r="J103" i="10" s="1"/>
  <c r="J101" i="10" s="1"/>
  <c r="I101" i="10" s="1"/>
  <c r="H101" i="10" s="1"/>
  <c r="G103" i="10"/>
  <c r="F103" i="10" s="1"/>
  <c r="F101" i="10" s="1"/>
  <c r="E101" i="10" s="1"/>
  <c r="D101" i="10" s="1"/>
  <c r="C101" i="10" s="1"/>
  <c r="CN87" i="10"/>
  <c r="CM87" i="10"/>
  <c r="CL87" i="10"/>
  <c r="AZ49" i="9"/>
  <c r="AZ53" i="9" s="1"/>
  <c r="K49" i="9"/>
  <c r="J49" i="9"/>
  <c r="CT45" i="9"/>
  <c r="CS45" i="9"/>
  <c r="CR45" i="9"/>
  <c r="CQ45" i="9"/>
  <c r="CP45" i="9"/>
  <c r="CO45" i="9"/>
  <c r="CN45" i="9"/>
  <c r="CM45" i="9"/>
  <c r="CL45" i="9"/>
  <c r="CK45" i="9"/>
  <c r="CJ45" i="9"/>
  <c r="CI45" i="9"/>
  <c r="BJ185" i="10" s="1"/>
  <c r="BJ191" i="10" s="1"/>
  <c r="CH45" i="9"/>
  <c r="BI185" i="10" s="1"/>
  <c r="BI191" i="10" s="1"/>
  <c r="CG45" i="9"/>
  <c r="BH185" i="10" s="1"/>
  <c r="BH191" i="10" s="1"/>
  <c r="CF45" i="9"/>
  <c r="BG185" i="10" s="1"/>
  <c r="CE45" i="9"/>
  <c r="CD45" i="9"/>
  <c r="BE185" i="10" s="1"/>
  <c r="BE191" i="10" s="1"/>
  <c r="CC45" i="9"/>
  <c r="BD185" i="10" s="1"/>
  <c r="BD191" i="10" s="1"/>
  <c r="CB45" i="9"/>
  <c r="BC185" i="10" s="1"/>
  <c r="BC191" i="10" s="1"/>
  <c r="CA45" i="9"/>
  <c r="BB185" i="10" s="1"/>
  <c r="BZ45" i="9"/>
  <c r="BY45" i="9"/>
  <c r="AZ185" i="10" s="1"/>
  <c r="AZ191" i="10" s="1"/>
  <c r="BX45" i="9"/>
  <c r="AY185" i="10" s="1"/>
  <c r="AY191" i="10" s="1"/>
  <c r="BW45" i="9"/>
  <c r="AX185" i="10" s="1"/>
  <c r="AX191" i="10" s="1"/>
  <c r="BV45" i="9"/>
  <c r="AW185" i="10" s="1"/>
  <c r="BU45" i="9"/>
  <c r="BT45" i="9"/>
  <c r="AU185" i="10" s="1"/>
  <c r="AU191" i="10" s="1"/>
  <c r="BS45" i="9"/>
  <c r="AT185" i="10" s="1"/>
  <c r="AT191" i="10" s="1"/>
  <c r="BR45" i="9"/>
  <c r="AS185" i="10" s="1"/>
  <c r="AS191" i="10" s="1"/>
  <c r="BQ45" i="9"/>
  <c r="AR185" i="10" s="1"/>
  <c r="BP45" i="9"/>
  <c r="BO45" i="9"/>
  <c r="AP185" i="10" s="1"/>
  <c r="AP191" i="10" s="1"/>
  <c r="BN45" i="9"/>
  <c r="AO185" i="10" s="1"/>
  <c r="AO191" i="10" s="1"/>
  <c r="BM45" i="9"/>
  <c r="AN185" i="10" s="1"/>
  <c r="AN191" i="10" s="1"/>
  <c r="BL45" i="9"/>
  <c r="AM185" i="10" s="1"/>
  <c r="BK45" i="9"/>
  <c r="BJ45" i="9"/>
  <c r="AK185" i="10" s="1"/>
  <c r="AK191" i="10" s="1"/>
  <c r="BI45" i="9"/>
  <c r="AJ185" i="10" s="1"/>
  <c r="AJ191" i="10" s="1"/>
  <c r="BH45" i="9"/>
  <c r="AI185" i="10" s="1"/>
  <c r="AI191" i="10" s="1"/>
  <c r="BG45" i="9"/>
  <c r="AH185" i="10" s="1"/>
  <c r="BF45" i="9"/>
  <c r="BE45" i="9"/>
  <c r="AF185" i="10" s="1"/>
  <c r="AF191" i="10" s="1"/>
  <c r="BD45" i="9"/>
  <c r="AE185" i="10" s="1"/>
  <c r="AE191" i="10" s="1"/>
  <c r="BC45" i="9"/>
  <c r="AD185" i="10" s="1"/>
  <c r="AD191" i="10" s="1"/>
  <c r="BB45" i="9"/>
  <c r="AC185" i="10" s="1"/>
  <c r="BA45" i="9"/>
  <c r="AZ45" i="9"/>
  <c r="AA185" i="10" s="1"/>
  <c r="AA191" i="10" s="1"/>
  <c r="AY45" i="9"/>
  <c r="Z185" i="10" s="1"/>
  <c r="Z191" i="10" s="1"/>
  <c r="AX45" i="9"/>
  <c r="Y185" i="10" s="1"/>
  <c r="Y191" i="10" s="1"/>
  <c r="AW45" i="9"/>
  <c r="X185" i="10" s="1"/>
  <c r="AV45" i="9"/>
  <c r="AU45" i="9"/>
  <c r="V185" i="10" s="1"/>
  <c r="AT45" i="9"/>
  <c r="AS45" i="9"/>
  <c r="AR45" i="9"/>
  <c r="DJ44" i="9"/>
  <c r="DE44" i="9"/>
  <c r="DC44" i="9"/>
  <c r="DA44" i="9"/>
  <c r="CY44" i="9"/>
  <c r="AZ43" i="9"/>
  <c r="DJ41" i="9"/>
  <c r="DI41" i="9"/>
  <c r="DD41" i="9"/>
  <c r="CY41" i="9"/>
  <c r="CS41" i="9"/>
  <c r="CO41" i="9"/>
  <c r="CJ41" i="9"/>
  <c r="CB41" i="9"/>
  <c r="BY41" i="9"/>
  <c r="BU41" i="9"/>
  <c r="BP41" i="9"/>
  <c r="BI41" i="9"/>
  <c r="BF41" i="9"/>
  <c r="BA41" i="9"/>
  <c r="AV41" i="9"/>
  <c r="AG41" i="9"/>
  <c r="AB41" i="9"/>
  <c r="W41" i="9"/>
  <c r="Q41" i="9"/>
  <c r="Q121" i="9" s="1"/>
  <c r="DN41" i="9" l="1"/>
  <c r="S102" i="10"/>
  <c r="R102" i="10" s="1"/>
  <c r="BK41" i="9"/>
  <c r="CE41" i="9"/>
  <c r="CT41" i="9"/>
  <c r="AA172" i="10"/>
  <c r="AA173" i="10"/>
  <c r="AZ122" i="9"/>
  <c r="AZ121" i="9"/>
  <c r="AZ55" i="9"/>
  <c r="AZ52" i="9"/>
  <c r="X101" i="10"/>
  <c r="W101" i="10" s="1"/>
  <c r="AD102" i="10"/>
  <c r="AF102" i="10"/>
  <c r="AE102" i="10" s="1"/>
  <c r="AA102" i="10"/>
  <c r="BF115" i="10"/>
  <c r="BB115" i="10"/>
  <c r="BA120" i="10"/>
  <c r="BA116" i="10"/>
  <c r="BN115" i="10"/>
  <c r="BM120" i="10"/>
  <c r="BM116" i="10"/>
  <c r="BT120" i="10"/>
  <c r="BT116" i="10"/>
  <c r="BY120" i="10"/>
  <c r="BY116" i="10"/>
  <c r="BO88" i="10"/>
  <c r="CN62" i="9"/>
  <c r="CO60" i="9"/>
  <c r="BN118" i="10"/>
  <c r="BN92" i="10"/>
  <c r="BZ41" i="9"/>
  <c r="AZ44" i="9"/>
  <c r="DD44" i="9"/>
  <c r="DI44" i="9"/>
  <c r="DN44" i="9"/>
  <c r="G101" i="10"/>
  <c r="G102" i="10" s="1"/>
  <c r="F102" i="10" s="1"/>
  <c r="E102" i="10" s="1"/>
  <c r="D102" i="10" s="1"/>
  <c r="O102" i="10"/>
  <c r="N102" i="10" s="1"/>
  <c r="M102" i="10" s="1"/>
  <c r="L101" i="10"/>
  <c r="W185" i="10"/>
  <c r="W191" i="10" s="1"/>
  <c r="V191" i="10" s="1"/>
  <c r="AV57" i="9"/>
  <c r="AV54" i="9"/>
  <c r="AB185" i="10"/>
  <c r="AB191" i="10" s="1"/>
  <c r="BA57" i="9"/>
  <c r="AZ57" i="9" s="1"/>
  <c r="AY57" i="9" s="1"/>
  <c r="AX57" i="9" s="1"/>
  <c r="AW57" i="9" s="1"/>
  <c r="BA54" i="9"/>
  <c r="AZ54" i="9" s="1"/>
  <c r="AY54" i="9" s="1"/>
  <c r="AX54" i="9" s="1"/>
  <c r="AW54" i="9" s="1"/>
  <c r="AG185" i="10"/>
  <c r="AG191" i="10" s="1"/>
  <c r="BF57" i="9"/>
  <c r="BE57" i="9" s="1"/>
  <c r="BD57" i="9" s="1"/>
  <c r="BC57" i="9" s="1"/>
  <c r="BB57" i="9" s="1"/>
  <c r="BF54" i="9"/>
  <c r="BE54" i="9" s="1"/>
  <c r="BD54" i="9" s="1"/>
  <c r="BC54" i="9" s="1"/>
  <c r="BB54" i="9" s="1"/>
  <c r="AL185" i="10"/>
  <c r="AL191" i="10" s="1"/>
  <c r="BK57" i="9"/>
  <c r="BJ57" i="9" s="1"/>
  <c r="BI57" i="9" s="1"/>
  <c r="BH57" i="9" s="1"/>
  <c r="BG57" i="9" s="1"/>
  <c r="BK54" i="9"/>
  <c r="BJ54" i="9" s="1"/>
  <c r="BI54" i="9" s="1"/>
  <c r="BH54" i="9" s="1"/>
  <c r="BG54" i="9" s="1"/>
  <c r="AQ185" i="10"/>
  <c r="AQ191" i="10" s="1"/>
  <c r="BP57" i="9"/>
  <c r="BO57" i="9" s="1"/>
  <c r="BN57" i="9" s="1"/>
  <c r="BM57" i="9" s="1"/>
  <c r="BL57" i="9" s="1"/>
  <c r="BP54" i="9"/>
  <c r="BO54" i="9" s="1"/>
  <c r="BN54" i="9" s="1"/>
  <c r="BM54" i="9" s="1"/>
  <c r="BL54" i="9" s="1"/>
  <c r="AV185" i="10"/>
  <c r="AV191" i="10" s="1"/>
  <c r="BU57" i="9"/>
  <c r="BT57" i="9" s="1"/>
  <c r="BS57" i="9" s="1"/>
  <c r="BR57" i="9" s="1"/>
  <c r="BQ57" i="9" s="1"/>
  <c r="BU54" i="9"/>
  <c r="BT54" i="9" s="1"/>
  <c r="BS54" i="9" s="1"/>
  <c r="BR54" i="9" s="1"/>
  <c r="BQ54" i="9" s="1"/>
  <c r="BA185" i="10"/>
  <c r="BA191" i="10" s="1"/>
  <c r="BZ57" i="9"/>
  <c r="BY57" i="9" s="1"/>
  <c r="BX57" i="9" s="1"/>
  <c r="BW57" i="9" s="1"/>
  <c r="BV57" i="9" s="1"/>
  <c r="BZ54" i="9"/>
  <c r="BY54" i="9" s="1"/>
  <c r="BX54" i="9" s="1"/>
  <c r="BW54" i="9" s="1"/>
  <c r="BV54" i="9" s="1"/>
  <c r="BF185" i="10"/>
  <c r="BF191" i="10" s="1"/>
  <c r="CE57" i="9"/>
  <c r="CD57" i="9" s="1"/>
  <c r="CC57" i="9" s="1"/>
  <c r="CB57" i="9" s="1"/>
  <c r="CA57" i="9" s="1"/>
  <c r="CE54" i="9"/>
  <c r="CD54" i="9" s="1"/>
  <c r="CC54" i="9" s="1"/>
  <c r="CB54" i="9" s="1"/>
  <c r="CA54" i="9" s="1"/>
  <c r="BK185" i="10"/>
  <c r="BK191" i="10" s="1"/>
  <c r="CJ57" i="9"/>
  <c r="CI57" i="9" s="1"/>
  <c r="CH57" i="9" s="1"/>
  <c r="CG57" i="9" s="1"/>
  <c r="CF57" i="9" s="1"/>
  <c r="CJ54" i="9"/>
  <c r="CI54" i="9" s="1"/>
  <c r="CH54" i="9" s="1"/>
  <c r="CG54" i="9" s="1"/>
  <c r="CF54" i="9" s="1"/>
  <c r="BL185" i="10"/>
  <c r="CK57" i="9"/>
  <c r="CK54" i="9"/>
  <c r="BM185" i="10"/>
  <c r="CL57" i="9"/>
  <c r="CL54" i="9"/>
  <c r="BN185" i="10"/>
  <c r="CM57" i="9"/>
  <c r="CM54" i="9"/>
  <c r="BO185" i="10"/>
  <c r="CN57" i="9"/>
  <c r="CN54" i="9"/>
  <c r="BP185" i="10"/>
  <c r="CO57" i="9"/>
  <c r="BQ185" i="10"/>
  <c r="CP57" i="9"/>
  <c r="CP54" i="9"/>
  <c r="BR185" i="10"/>
  <c r="CQ57" i="9"/>
  <c r="CQ54" i="9"/>
  <c r="BS185" i="10"/>
  <c r="CR57" i="9"/>
  <c r="CR54" i="9"/>
  <c r="BT185" i="10"/>
  <c r="CS57" i="9"/>
  <c r="CS54" i="9"/>
  <c r="BU185" i="10"/>
  <c r="CT57" i="9"/>
  <c r="CO87" i="10"/>
  <c r="X191" i="10"/>
  <c r="AC191" i="10"/>
  <c r="AH191" i="10"/>
  <c r="AM191" i="10"/>
  <c r="AR191" i="10"/>
  <c r="AW191" i="10"/>
  <c r="BB191" i="10"/>
  <c r="BG191" i="10"/>
  <c r="DJ37" i="9"/>
  <c r="DH37" i="9"/>
  <c r="DG37" i="9"/>
  <c r="DF37" i="9"/>
  <c r="DE37" i="9"/>
  <c r="DC37" i="9"/>
  <c r="DB37" i="9"/>
  <c r="DA37" i="9"/>
  <c r="CZ37" i="9"/>
  <c r="CX37" i="9"/>
  <c r="CS37" i="9"/>
  <c r="CN37" i="9"/>
  <c r="CF37" i="9"/>
  <c r="CF126" i="9" s="1"/>
  <c r="CE37" i="9"/>
  <c r="BZ37" i="9"/>
  <c r="BU37" i="9"/>
  <c r="BP37" i="9"/>
  <c r="BI37" i="9"/>
  <c r="BF37" i="9"/>
  <c r="BA37" i="9"/>
  <c r="AV37" i="9"/>
  <c r="AG37" i="9"/>
  <c r="AB37" i="9"/>
  <c r="W37" i="9"/>
  <c r="DI36" i="9"/>
  <c r="DD36" i="9"/>
  <c r="CY36" i="9"/>
  <c r="CT36" i="9"/>
  <c r="CO36" i="9"/>
  <c r="CJ36" i="9"/>
  <c r="CE36" i="9"/>
  <c r="BZ36" i="9"/>
  <c r="BU36" i="9"/>
  <c r="BP36" i="9"/>
  <c r="BK36" i="9"/>
  <c r="BF36" i="9"/>
  <c r="AY36" i="9"/>
  <c r="AW36" i="9"/>
  <c r="AT36" i="9"/>
  <c r="AI36" i="9"/>
  <c r="AH36" i="9"/>
  <c r="AH121" i="9" s="1"/>
  <c r="AG36" i="9"/>
  <c r="AD36" i="9"/>
  <c r="AC36" i="9"/>
  <c r="AB36" i="9"/>
  <c r="W36" i="9"/>
  <c r="CO34" i="9"/>
  <c r="CJ34" i="9"/>
  <c r="CD34" i="9"/>
  <c r="BZ34" i="9"/>
  <c r="BU34" i="9"/>
  <c r="BP34" i="9"/>
  <c r="BK34" i="9"/>
  <c r="BF34" i="9"/>
  <c r="AV34" i="9"/>
  <c r="CO33" i="9"/>
  <c r="CJ33" i="9"/>
  <c r="CE33" i="9"/>
  <c r="BZ33" i="9"/>
  <c r="BU33" i="9"/>
  <c r="BP33" i="9"/>
  <c r="BK33" i="9"/>
  <c r="BF33" i="9"/>
  <c r="BA33" i="9"/>
  <c r="AV33" i="9"/>
  <c r="V29" i="9"/>
  <c r="P29" i="9"/>
  <c r="O29" i="9"/>
  <c r="N29" i="9"/>
  <c r="DI28" i="9"/>
  <c r="DD28" i="9"/>
  <c r="CY28" i="9"/>
  <c r="CT28" i="9"/>
  <c r="CO28" i="9"/>
  <c r="CJ28" i="9"/>
  <c r="CE28" i="9"/>
  <c r="BZ28" i="9"/>
  <c r="BU28" i="9"/>
  <c r="BP28" i="9"/>
  <c r="BK28" i="9"/>
  <c r="BF28" i="9"/>
  <c r="BA28" i="9"/>
  <c r="AV28" i="9"/>
  <c r="AG28" i="9"/>
  <c r="AB28" i="9"/>
  <c r="W28" i="9"/>
  <c r="W78" i="9" s="1"/>
  <c r="Q28" i="9"/>
  <c r="DI27" i="9"/>
  <c r="DD27" i="9"/>
  <c r="CY27" i="9"/>
  <c r="CT27" i="9"/>
  <c r="CO27" i="9"/>
  <c r="CJ27" i="9"/>
  <c r="CE27" i="9"/>
  <c r="BZ27" i="9"/>
  <c r="BU27" i="9"/>
  <c r="BP27" i="9"/>
  <c r="BK27" i="9"/>
  <c r="BF27" i="9"/>
  <c r="BA27" i="9"/>
  <c r="AV27" i="9"/>
  <c r="AG27" i="9"/>
  <c r="AB27" i="9"/>
  <c r="W27" i="9"/>
  <c r="W77" i="9" s="1"/>
  <c r="Q27" i="9"/>
  <c r="L27" i="9"/>
  <c r="DI26" i="9"/>
  <c r="CZ26" i="9"/>
  <c r="CX26" i="9"/>
  <c r="CT26" i="9"/>
  <c r="CO26" i="9"/>
  <c r="CJ26" i="9"/>
  <c r="CE26" i="9"/>
  <c r="BZ26" i="9"/>
  <c r="BU26" i="9"/>
  <c r="BP26" i="9"/>
  <c r="BK26" i="9"/>
  <c r="BF26" i="9"/>
  <c r="BA26" i="9"/>
  <c r="AG26" i="9"/>
  <c r="AB26" i="9"/>
  <c r="W26" i="9"/>
  <c r="Q26" i="9"/>
  <c r="L26" i="9"/>
  <c r="DH24" i="9"/>
  <c r="DG24" i="9"/>
  <c r="DF24" i="9"/>
  <c r="AU24" i="9"/>
  <c r="AT24" i="9"/>
  <c r="AS24" i="9"/>
  <c r="AR24" i="9"/>
  <c r="AQ24" i="9"/>
  <c r="AP24" i="9"/>
  <c r="AO24" i="9"/>
  <c r="AN24" i="9"/>
  <c r="AM24" i="9"/>
  <c r="AL24" i="9"/>
  <c r="AK24" i="9"/>
  <c r="AJ24" i="9"/>
  <c r="AI24" i="9"/>
  <c r="AH24" i="9"/>
  <c r="AF24" i="9"/>
  <c r="AE24" i="9"/>
  <c r="AD24" i="9"/>
  <c r="AC24" i="9"/>
  <c r="AA24" i="9"/>
  <c r="Z24" i="9"/>
  <c r="G24" i="9"/>
  <c r="F24" i="9"/>
  <c r="E24" i="9"/>
  <c r="AG23" i="9"/>
  <c r="Y23" i="9"/>
  <c r="X23" i="9"/>
  <c r="U23" i="9"/>
  <c r="T23" i="9"/>
  <c r="S23" i="9"/>
  <c r="R23" i="9"/>
  <c r="P23" i="9"/>
  <c r="O23" i="9"/>
  <c r="N23" i="9"/>
  <c r="M23" i="9"/>
  <c r="L23" i="9"/>
  <c r="K23" i="9"/>
  <c r="J23" i="9"/>
  <c r="I23" i="9"/>
  <c r="H23" i="9"/>
  <c r="CE126" i="9" l="1"/>
  <c r="CG83" i="10"/>
  <c r="CO54" i="9"/>
  <c r="H102" i="10"/>
  <c r="X102" i="10"/>
  <c r="DN37" i="9"/>
  <c r="W121" i="9"/>
  <c r="AB121" i="9"/>
  <c r="AC102" i="10"/>
  <c r="E67" i="9"/>
  <c r="E66" i="9"/>
  <c r="E65" i="9"/>
  <c r="F67" i="9"/>
  <c r="F66" i="9"/>
  <c r="F65" i="9"/>
  <c r="G67" i="9"/>
  <c r="G66" i="9"/>
  <c r="G65" i="9"/>
  <c r="AC67" i="9"/>
  <c r="AC66" i="9"/>
  <c r="AC65" i="9"/>
  <c r="AD67" i="9"/>
  <c r="AD66" i="9"/>
  <c r="AD65" i="9"/>
  <c r="AE75" i="9"/>
  <c r="AE67" i="9"/>
  <c r="AE66" i="9"/>
  <c r="AE65" i="9"/>
  <c r="AF75" i="9"/>
  <c r="AF67" i="9"/>
  <c r="AF66" i="9"/>
  <c r="AF65" i="9"/>
  <c r="I83" i="10"/>
  <c r="AH75" i="9"/>
  <c r="AH67" i="9"/>
  <c r="AH66" i="9"/>
  <c r="AH65" i="9"/>
  <c r="J83" i="10"/>
  <c r="AI75" i="9"/>
  <c r="AI67" i="9"/>
  <c r="AI66" i="9"/>
  <c r="AI65" i="9"/>
  <c r="K83" i="10"/>
  <c r="AJ75" i="9"/>
  <c r="AJ67" i="9"/>
  <c r="AJ66" i="9"/>
  <c r="AJ65" i="9"/>
  <c r="L83" i="10"/>
  <c r="AK75" i="9"/>
  <c r="AK67" i="9"/>
  <c r="AK66" i="9"/>
  <c r="AK65" i="9"/>
  <c r="M83" i="10"/>
  <c r="AL67" i="9"/>
  <c r="AL66" i="9"/>
  <c r="AL65" i="9"/>
  <c r="N83" i="10"/>
  <c r="AM75" i="9"/>
  <c r="AM67" i="9"/>
  <c r="AM66" i="9"/>
  <c r="AM65" i="9"/>
  <c r="O83" i="10"/>
  <c r="AN75" i="9"/>
  <c r="AN67" i="9"/>
  <c r="AN66" i="9"/>
  <c r="AN65" i="9"/>
  <c r="P83" i="10"/>
  <c r="AO75" i="9"/>
  <c r="AO67" i="9"/>
  <c r="AO66" i="9"/>
  <c r="AO65" i="9"/>
  <c r="Q83" i="10"/>
  <c r="AP75" i="9"/>
  <c r="AP67" i="9"/>
  <c r="AP66" i="9"/>
  <c r="AP65" i="9"/>
  <c r="R83" i="10"/>
  <c r="AQ75" i="9"/>
  <c r="AQ72" i="9"/>
  <c r="AQ67" i="9"/>
  <c r="AQ66" i="9"/>
  <c r="AQ65" i="9"/>
  <c r="S83" i="10"/>
  <c r="AR75" i="9"/>
  <c r="AR67" i="9"/>
  <c r="AR66" i="9"/>
  <c r="AR65" i="9"/>
  <c r="T83" i="10"/>
  <c r="AS75" i="9"/>
  <c r="AS67" i="9"/>
  <c r="AS66" i="9"/>
  <c r="AS65" i="9"/>
  <c r="U83" i="10"/>
  <c r="AT75" i="9"/>
  <c r="AT67" i="9"/>
  <c r="AT66" i="9"/>
  <c r="AT65" i="9"/>
  <c r="V83" i="10"/>
  <c r="AU75" i="9"/>
  <c r="AU67" i="9"/>
  <c r="AU66" i="9"/>
  <c r="AU65" i="9"/>
  <c r="DF67" i="9"/>
  <c r="DF66" i="9"/>
  <c r="DF65" i="9"/>
  <c r="CG174" i="10" s="1"/>
  <c r="CH83" i="10"/>
  <c r="DG67" i="9"/>
  <c r="DG66" i="9"/>
  <c r="DG65" i="9"/>
  <c r="CH174" i="10" s="1"/>
  <c r="CI83" i="10"/>
  <c r="DH67" i="9"/>
  <c r="DH66" i="9"/>
  <c r="DH65" i="9"/>
  <c r="CI174" i="10" s="1"/>
  <c r="CK83" i="10"/>
  <c r="DJ67" i="9"/>
  <c r="DJ66" i="9"/>
  <c r="DJ65" i="9"/>
  <c r="CK174" i="10" s="1"/>
  <c r="V76" i="9"/>
  <c r="Q76" i="9"/>
  <c r="F85" i="10"/>
  <c r="F86" i="10" s="1"/>
  <c r="W76" i="9"/>
  <c r="H85" i="10"/>
  <c r="AL76" i="9"/>
  <c r="AG76" i="9"/>
  <c r="AB85" i="10"/>
  <c r="AB86" i="10" s="1"/>
  <c r="BA76" i="9"/>
  <c r="AG85" i="10"/>
  <c r="AG86" i="10" s="1"/>
  <c r="BF76" i="9"/>
  <c r="AL85" i="10"/>
  <c r="AL86" i="10" s="1"/>
  <c r="BK76" i="9"/>
  <c r="AQ85" i="10"/>
  <c r="AQ86" i="10" s="1"/>
  <c r="BP76" i="9"/>
  <c r="AV85" i="10"/>
  <c r="AV86" i="10" s="1"/>
  <c r="BU76" i="9"/>
  <c r="BA85" i="10"/>
  <c r="BA86" i="10" s="1"/>
  <c r="BZ76" i="9"/>
  <c r="BF85" i="10"/>
  <c r="BF86" i="10" s="1"/>
  <c r="CE76" i="9"/>
  <c r="BK85" i="10"/>
  <c r="BK86" i="10" s="1"/>
  <c r="CJ76" i="9"/>
  <c r="BP85" i="10"/>
  <c r="BP86" i="10" s="1"/>
  <c r="CO76" i="9"/>
  <c r="BU85" i="10"/>
  <c r="BU86" i="10" s="1"/>
  <c r="CT76" i="9"/>
  <c r="BY85" i="10"/>
  <c r="DC76" i="9"/>
  <c r="CX76" i="9"/>
  <c r="CA85" i="10"/>
  <c r="DE76" i="9"/>
  <c r="CZ76" i="9"/>
  <c r="CJ85" i="10"/>
  <c r="CJ86" i="10" s="1"/>
  <c r="V77" i="9"/>
  <c r="Q77" i="9"/>
  <c r="AL77" i="9"/>
  <c r="AG77" i="9"/>
  <c r="AV77" i="9"/>
  <c r="BU77" i="9"/>
  <c r="BZ77" i="9"/>
  <c r="CE77" i="9"/>
  <c r="CJ77" i="9"/>
  <c r="CO77" i="9"/>
  <c r="CT77" i="9"/>
  <c r="CY77" i="9"/>
  <c r="DD77" i="9"/>
  <c r="DI77" i="9"/>
  <c r="V78" i="9"/>
  <c r="Q78" i="9"/>
  <c r="AL78" i="9"/>
  <c r="AG78" i="9"/>
  <c r="AV78" i="9"/>
  <c r="BU78" i="9"/>
  <c r="BZ78" i="9"/>
  <c r="CE78" i="9"/>
  <c r="CJ78" i="9"/>
  <c r="CO78" i="9"/>
  <c r="CT78" i="9"/>
  <c r="CY78" i="9"/>
  <c r="DD78" i="9"/>
  <c r="DI78" i="9"/>
  <c r="N39" i="9"/>
  <c r="O39" i="9"/>
  <c r="P39" i="9"/>
  <c r="AC122" i="9"/>
  <c r="AC121" i="9"/>
  <c r="AD122" i="9"/>
  <c r="AD121" i="9"/>
  <c r="AI122" i="9"/>
  <c r="AH122" i="9" s="1"/>
  <c r="AG122" i="9" s="1"/>
  <c r="AI121" i="9"/>
  <c r="BA36" i="9"/>
  <c r="CY144" i="9"/>
  <c r="CX144" i="9" s="1"/>
  <c r="CW144" i="9" s="1"/>
  <c r="CV144" i="9" s="1"/>
  <c r="CU144" i="9" s="1"/>
  <c r="DD143" i="9"/>
  <c r="DD144" i="9" s="1"/>
  <c r="DC144" i="9" s="1"/>
  <c r="DB144" i="9" s="1"/>
  <c r="DA144" i="9" s="1"/>
  <c r="CZ144" i="9" s="1"/>
  <c r="DI144" i="9"/>
  <c r="DJ126" i="9"/>
  <c r="K101" i="10"/>
  <c r="P102" i="10" s="1"/>
  <c r="Q102" i="10"/>
  <c r="BO115" i="10"/>
  <c r="BN120" i="10"/>
  <c r="BN116" i="10"/>
  <c r="BP88" i="10"/>
  <c r="BP92" i="10" s="1"/>
  <c r="BO92" i="10" s="1"/>
  <c r="CT60" i="9"/>
  <c r="CO62" i="9"/>
  <c r="BB120" i="10"/>
  <c r="BB116" i="10"/>
  <c r="BF120" i="10"/>
  <c r="BF116" i="10"/>
  <c r="AB102" i="10"/>
  <c r="W102" i="10"/>
  <c r="Q23" i="9"/>
  <c r="W23" i="9"/>
  <c r="AB23" i="9"/>
  <c r="AB76" i="9"/>
  <c r="CY26" i="9"/>
  <c r="DD26" i="9"/>
  <c r="AB77" i="9"/>
  <c r="BA77" i="9"/>
  <c r="BF77" i="9"/>
  <c r="BK77" i="9"/>
  <c r="BP77" i="9"/>
  <c r="AB78" i="9"/>
  <c r="BA78" i="9"/>
  <c r="BF78" i="9"/>
  <c r="BK78" i="9"/>
  <c r="BP78" i="9"/>
  <c r="E29" i="9"/>
  <c r="F29" i="9"/>
  <c r="G29" i="9"/>
  <c r="Q29" i="9"/>
  <c r="V79" i="9" s="1"/>
  <c r="Z29" i="9"/>
  <c r="AC29" i="9"/>
  <c r="AD29" i="9"/>
  <c r="AE29" i="9"/>
  <c r="AF29" i="9"/>
  <c r="AH29" i="9"/>
  <c r="AI29" i="9"/>
  <c r="AJ29" i="9"/>
  <c r="AK29" i="9"/>
  <c r="AL29" i="9"/>
  <c r="AM29" i="9"/>
  <c r="AN29" i="9"/>
  <c r="AO29" i="9"/>
  <c r="AP29" i="9"/>
  <c r="AQ29" i="9"/>
  <c r="AR29" i="9"/>
  <c r="AS29" i="9"/>
  <c r="AT29" i="9"/>
  <c r="AU29" i="9"/>
  <c r="DF29" i="9"/>
  <c r="DG29" i="9"/>
  <c r="DH29" i="9"/>
  <c r="DJ29" i="9"/>
  <c r="AG121" i="9"/>
  <c r="AV36" i="9"/>
  <c r="BK37" i="9"/>
  <c r="CJ37" i="9"/>
  <c r="CO37" i="9"/>
  <c r="CT37" i="9"/>
  <c r="CY37" i="9"/>
  <c r="DD37" i="9"/>
  <c r="DI37" i="9"/>
  <c r="N38" i="9"/>
  <c r="O38" i="9"/>
  <c r="P38" i="9"/>
  <c r="V38" i="9"/>
  <c r="DK126" i="9"/>
  <c r="AG22" i="9"/>
  <c r="AG24" i="9" s="1"/>
  <c r="Y22" i="9"/>
  <c r="Y24" i="9" s="1"/>
  <c r="X22" i="9"/>
  <c r="V22" i="9"/>
  <c r="U22" i="9"/>
  <c r="U24" i="9" s="1"/>
  <c r="T22" i="9"/>
  <c r="T24" i="9" s="1"/>
  <c r="S22" i="9"/>
  <c r="R22" i="9"/>
  <c r="R24" i="9" s="1"/>
  <c r="M22" i="9"/>
  <c r="M24" i="9" s="1"/>
  <c r="K22" i="9"/>
  <c r="K24" i="9" s="1"/>
  <c r="J22" i="9"/>
  <c r="J24" i="9" s="1"/>
  <c r="I22" i="9"/>
  <c r="I24" i="9" s="1"/>
  <c r="H22" i="9"/>
  <c r="H24" i="9" s="1"/>
  <c r="H29" i="9" s="1"/>
  <c r="DM20" i="9"/>
  <c r="DL20" i="9"/>
  <c r="DJ20" i="9"/>
  <c r="DH20" i="9"/>
  <c r="DG20" i="9"/>
  <c r="DF20" i="9"/>
  <c r="DE20" i="9"/>
  <c r="DC20" i="9"/>
  <c r="DB20" i="9"/>
  <c r="DA20" i="9"/>
  <c r="CZ20" i="9"/>
  <c r="C20" i="9"/>
  <c r="CK84" i="10" l="1"/>
  <c r="CK76" i="10" s="1"/>
  <c r="W22" i="9"/>
  <c r="AB22" i="9"/>
  <c r="AB24" i="9" s="1"/>
  <c r="AB29" i="9" s="1"/>
  <c r="S84" i="10"/>
  <c r="R84" i="10" s="1"/>
  <c r="U84" i="10"/>
  <c r="P84" i="10"/>
  <c r="N84" i="10"/>
  <c r="M84" i="10" s="1"/>
  <c r="V84" i="10"/>
  <c r="V79" i="10" s="1"/>
  <c r="T84" i="10"/>
  <c r="Q84" i="10"/>
  <c r="O84" i="10"/>
  <c r="X24" i="9"/>
  <c r="Y75" i="9"/>
  <c r="Y29" i="9"/>
  <c r="AD79" i="9" s="1"/>
  <c r="AD75" i="9"/>
  <c r="H83" i="10"/>
  <c r="H84" i="10" s="1"/>
  <c r="AG65" i="9"/>
  <c r="AL75" i="9"/>
  <c r="AG66" i="9"/>
  <c r="AG67" i="9"/>
  <c r="H39" i="9"/>
  <c r="H38" i="9"/>
  <c r="N75" i="9"/>
  <c r="I29" i="9"/>
  <c r="O75" i="9"/>
  <c r="J29" i="9"/>
  <c r="O79" i="9" s="1"/>
  <c r="P75" i="9"/>
  <c r="K29" i="9"/>
  <c r="M75" i="9"/>
  <c r="M29" i="9"/>
  <c r="R75" i="9"/>
  <c r="R29" i="9"/>
  <c r="S24" i="9"/>
  <c r="T75" i="9"/>
  <c r="T29" i="9"/>
  <c r="U75" i="9"/>
  <c r="U29" i="9"/>
  <c r="Z79" i="9" s="1"/>
  <c r="V122" i="9"/>
  <c r="P122" i="9"/>
  <c r="O122" i="9" s="1"/>
  <c r="N122" i="9" s="1"/>
  <c r="DJ68" i="9"/>
  <c r="CK175" i="10" s="1"/>
  <c r="DJ39" i="9"/>
  <c r="DJ38" i="9"/>
  <c r="DH68" i="9"/>
  <c r="DH39" i="9"/>
  <c r="DH38" i="9"/>
  <c r="DG39" i="9"/>
  <c r="DG38" i="9"/>
  <c r="DF68" i="9"/>
  <c r="CG175" i="10" s="1"/>
  <c r="DF39" i="9"/>
  <c r="DF38" i="9"/>
  <c r="AU79" i="9"/>
  <c r="AU68" i="9"/>
  <c r="AT68" i="9" s="1"/>
  <c r="AS68" i="9" s="1"/>
  <c r="AR68" i="9" s="1"/>
  <c r="AQ68" i="9" s="1"/>
  <c r="AP68" i="9" s="1"/>
  <c r="AO68" i="9" s="1"/>
  <c r="AN68" i="9" s="1"/>
  <c r="AM68" i="9" s="1"/>
  <c r="AL68" i="9" s="1"/>
  <c r="AK68" i="9" s="1"/>
  <c r="AJ68" i="9" s="1"/>
  <c r="AI68" i="9" s="1"/>
  <c r="AH68" i="9" s="1"/>
  <c r="AU39" i="9"/>
  <c r="AU38" i="9"/>
  <c r="AT79" i="9"/>
  <c r="AT39" i="9"/>
  <c r="AT71" i="9" s="1"/>
  <c r="AT38" i="9"/>
  <c r="AS79" i="9"/>
  <c r="AS39" i="9"/>
  <c r="AS38" i="9"/>
  <c r="AR79" i="9"/>
  <c r="AR39" i="9"/>
  <c r="AR38" i="9"/>
  <c r="AQ79" i="9"/>
  <c r="AQ39" i="9"/>
  <c r="AQ38" i="9"/>
  <c r="AP79" i="9"/>
  <c r="AP39" i="9"/>
  <c r="AP38" i="9"/>
  <c r="AO79" i="9"/>
  <c r="AO39" i="9"/>
  <c r="AO38" i="9"/>
  <c r="AN79" i="9"/>
  <c r="AN39" i="9"/>
  <c r="AN38" i="9"/>
  <c r="AM79" i="9"/>
  <c r="AM39" i="9"/>
  <c r="AM38" i="9"/>
  <c r="AL39" i="9"/>
  <c r="AL38" i="9"/>
  <c r="AK79" i="9"/>
  <c r="AK39" i="9"/>
  <c r="AK38" i="9"/>
  <c r="AJ79" i="9"/>
  <c r="AJ39" i="9"/>
  <c r="AJ38" i="9"/>
  <c r="AI79" i="9"/>
  <c r="AI39" i="9"/>
  <c r="AI38" i="9"/>
  <c r="AH79" i="9"/>
  <c r="AH39" i="9"/>
  <c r="AH38" i="9"/>
  <c r="AF39" i="9"/>
  <c r="AF38" i="9"/>
  <c r="AE79" i="9"/>
  <c r="AE39" i="9"/>
  <c r="AE38" i="9"/>
  <c r="AD39" i="9"/>
  <c r="AD38" i="9"/>
  <c r="AC39" i="9"/>
  <c r="AC38" i="9"/>
  <c r="AG29" i="9"/>
  <c r="Z39" i="9"/>
  <c r="Z38" i="9"/>
  <c r="Q39" i="9"/>
  <c r="Q38" i="9"/>
  <c r="G39" i="9"/>
  <c r="G38" i="9"/>
  <c r="F39" i="9"/>
  <c r="F38" i="9"/>
  <c r="E39" i="9"/>
  <c r="E38" i="9"/>
  <c r="CE85" i="10"/>
  <c r="CE86" i="10" s="1"/>
  <c r="DD76" i="9"/>
  <c r="BZ85" i="10"/>
  <c r="BU88" i="10"/>
  <c r="BU92" i="10" s="1"/>
  <c r="CT62" i="9"/>
  <c r="CS62" i="9" s="1"/>
  <c r="CT54" i="9"/>
  <c r="BO116" i="10"/>
  <c r="BO120" i="10"/>
  <c r="CJ61" i="10"/>
  <c r="CJ60" i="10"/>
  <c r="CA86" i="10"/>
  <c r="CB86" i="10"/>
  <c r="CC86" i="10"/>
  <c r="CD86" i="10"/>
  <c r="BU61" i="10"/>
  <c r="BU60" i="10"/>
  <c r="BP61" i="10"/>
  <c r="BP60" i="10"/>
  <c r="BK61" i="10"/>
  <c r="BK60" i="10"/>
  <c r="BF61" i="10"/>
  <c r="BF60" i="10"/>
  <c r="BA61" i="10"/>
  <c r="BA60" i="10"/>
  <c r="AV61" i="10"/>
  <c r="AV60" i="10"/>
  <c r="AQ61" i="10"/>
  <c r="AQ60" i="10"/>
  <c r="AL61" i="10"/>
  <c r="AL60" i="10"/>
  <c r="AG61" i="10"/>
  <c r="AG60" i="10"/>
  <c r="AB61" i="10"/>
  <c r="AB60" i="10"/>
  <c r="G85" i="10"/>
  <c r="H86" i="10"/>
  <c r="DI126" i="9"/>
  <c r="DH126" i="9" s="1"/>
  <c r="DD126" i="9"/>
  <c r="DC126" i="9" s="1"/>
  <c r="DB126" i="9" s="1"/>
  <c r="DA126" i="9" s="1"/>
  <c r="CZ126" i="9" s="1"/>
  <c r="CY126" i="9"/>
  <c r="CX126" i="9" s="1"/>
  <c r="CT126" i="9"/>
  <c r="CS126" i="9" s="1"/>
  <c r="CO126" i="9"/>
  <c r="CN126" i="9" s="1"/>
  <c r="CJ126" i="9"/>
  <c r="DI76" i="9"/>
  <c r="CY76" i="9"/>
  <c r="Z75" i="9"/>
  <c r="BR1488" i="31"/>
  <c r="BP1488" i="31"/>
  <c r="BO1488" i="31"/>
  <c r="BN1488" i="31"/>
  <c r="BM1488" i="31"/>
  <c r="BK1488" i="31"/>
  <c r="BJ1488" i="31"/>
  <c r="BI1488" i="31"/>
  <c r="BH1488" i="31"/>
  <c r="BF1488" i="31"/>
  <c r="BE1488" i="31"/>
  <c r="BD1488" i="31"/>
  <c r="BC1488" i="31"/>
  <c r="BA1488" i="31"/>
  <c r="AZ1488" i="31"/>
  <c r="AY1488" i="31"/>
  <c r="AX1488" i="31"/>
  <c r="AV1488" i="31"/>
  <c r="AU1488" i="31"/>
  <c r="AT1488" i="31"/>
  <c r="AS1488" i="31"/>
  <c r="AQ1488" i="31"/>
  <c r="AP1488" i="31"/>
  <c r="AO1488" i="31"/>
  <c r="AN1488" i="31"/>
  <c r="AL1488" i="31"/>
  <c r="AK1488" i="31"/>
  <c r="AJ1488" i="31"/>
  <c r="AI1488" i="31"/>
  <c r="AG1488" i="31"/>
  <c r="AF1488" i="31"/>
  <c r="AE1488" i="31"/>
  <c r="AD1488" i="31"/>
  <c r="AB1488" i="31"/>
  <c r="AA1488" i="31"/>
  <c r="Z1488" i="31"/>
  <c r="Y1488" i="31"/>
  <c r="W1488" i="31"/>
  <c r="V1488" i="31"/>
  <c r="U1488" i="31"/>
  <c r="T1488" i="31"/>
  <c r="R1488" i="31"/>
  <c r="Q1488" i="31"/>
  <c r="P1488" i="31"/>
  <c r="O1488" i="31"/>
  <c r="M1488" i="31"/>
  <c r="L1488" i="31"/>
  <c r="K1488" i="31"/>
  <c r="J1488" i="31"/>
  <c r="H1488" i="31"/>
  <c r="G1488" i="31"/>
  <c r="F1488" i="31"/>
  <c r="E1488" i="31"/>
  <c r="BR1487" i="31"/>
  <c r="BP1487" i="31"/>
  <c r="BO1487" i="31"/>
  <c r="BN1487" i="31"/>
  <c r="BM1487" i="31"/>
  <c r="BK1487" i="31"/>
  <c r="BJ1487" i="31"/>
  <c r="BI1487" i="31"/>
  <c r="BH1487" i="31"/>
  <c r="BF1487" i="31"/>
  <c r="BE1487" i="31"/>
  <c r="BD1487" i="31"/>
  <c r="BC1487" i="31"/>
  <c r="BA1487" i="31"/>
  <c r="AZ1487" i="31"/>
  <c r="AY1487" i="31"/>
  <c r="AX1487" i="31"/>
  <c r="AV1487" i="31"/>
  <c r="AU1487" i="31"/>
  <c r="AT1487" i="31"/>
  <c r="AS1487" i="31"/>
  <c r="AQ1487" i="31"/>
  <c r="AP1487" i="31"/>
  <c r="AO1487" i="31"/>
  <c r="AN1487" i="31"/>
  <c r="AL1487" i="31"/>
  <c r="AK1487" i="31"/>
  <c r="AJ1487" i="31"/>
  <c r="AI1487" i="31"/>
  <c r="AG1487" i="31"/>
  <c r="AF1487" i="31"/>
  <c r="AE1487" i="31"/>
  <c r="AD1487" i="31"/>
  <c r="AB1487" i="31"/>
  <c r="AA1487" i="31"/>
  <c r="Z1487" i="31"/>
  <c r="Y1487" i="31"/>
  <c r="W1487" i="31"/>
  <c r="V1487" i="31"/>
  <c r="U1487" i="31"/>
  <c r="T1487" i="31"/>
  <c r="R1487" i="31"/>
  <c r="Q1487" i="31"/>
  <c r="P1487" i="31"/>
  <c r="O1487" i="31"/>
  <c r="M1487" i="31"/>
  <c r="L1487" i="31"/>
  <c r="K1487" i="31"/>
  <c r="J1487" i="31"/>
  <c r="H1487" i="31"/>
  <c r="G1487" i="31"/>
  <c r="F1487" i="31"/>
  <c r="E1487" i="31"/>
  <c r="BR1482" i="31"/>
  <c r="BP1482" i="31"/>
  <c r="BO1482" i="31"/>
  <c r="BN1482" i="31"/>
  <c r="BM1482" i="31"/>
  <c r="BK1482" i="31"/>
  <c r="BJ1482" i="31"/>
  <c r="BI1482" i="31"/>
  <c r="BI1483" i="31" s="1"/>
  <c r="BH1482" i="31"/>
  <c r="BF1482" i="31"/>
  <c r="BF1483" i="31" s="1"/>
  <c r="BE1482" i="31"/>
  <c r="BE1483" i="31" s="1"/>
  <c r="BD1482" i="31"/>
  <c r="BD1483" i="31" s="1"/>
  <c r="BC1482" i="31"/>
  <c r="BA1482" i="31"/>
  <c r="AZ1482" i="31"/>
  <c r="AY1482" i="31"/>
  <c r="AX1482" i="31"/>
  <c r="AV1482" i="31"/>
  <c r="AU1482" i="31"/>
  <c r="AT1482" i="31"/>
  <c r="AS1482" i="31"/>
  <c r="AQ1482" i="31"/>
  <c r="AP1482" i="31"/>
  <c r="AO1482" i="31"/>
  <c r="AN1482" i="31"/>
  <c r="AL1482" i="31"/>
  <c r="AK1482" i="31"/>
  <c r="AJ1482" i="31"/>
  <c r="AI1482" i="31"/>
  <c r="AG1482" i="31"/>
  <c r="AF1482" i="31"/>
  <c r="AE1482" i="31"/>
  <c r="AD1482" i="31"/>
  <c r="AB1482" i="31"/>
  <c r="AA1482" i="31"/>
  <c r="Z1482" i="31"/>
  <c r="Y1482" i="31"/>
  <c r="W1482" i="31"/>
  <c r="V1482" i="31"/>
  <c r="U1482" i="31"/>
  <c r="T1482" i="31"/>
  <c r="R1482" i="31"/>
  <c r="Q1482" i="31"/>
  <c r="P1482" i="31"/>
  <c r="O1482" i="31"/>
  <c r="M1482" i="31"/>
  <c r="L1482" i="31"/>
  <c r="K1482" i="31"/>
  <c r="J1482" i="31"/>
  <c r="BR1481" i="31"/>
  <c r="BP1481" i="31"/>
  <c r="BO1481" i="31"/>
  <c r="BN1481" i="31"/>
  <c r="BM1481" i="31"/>
  <c r="BK1481" i="31"/>
  <c r="BJ1481" i="31"/>
  <c r="BI1481" i="31"/>
  <c r="BH1481" i="31"/>
  <c r="BF1481" i="31"/>
  <c r="BE1481" i="31"/>
  <c r="BD1481" i="31"/>
  <c r="BC1481" i="31"/>
  <c r="BA1481" i="31"/>
  <c r="AZ1481" i="31"/>
  <c r="AY1481" i="31"/>
  <c r="AX1481" i="31"/>
  <c r="AV1481" i="31"/>
  <c r="AU1481" i="31"/>
  <c r="AT1481" i="31"/>
  <c r="AS1481" i="31"/>
  <c r="AQ1481" i="31"/>
  <c r="AP1481" i="31"/>
  <c r="AO1481" i="31"/>
  <c r="AN1481" i="31"/>
  <c r="AL1481" i="31"/>
  <c r="AK1481" i="31"/>
  <c r="AJ1481" i="31"/>
  <c r="AI1481" i="31"/>
  <c r="AG1481" i="31"/>
  <c r="AF1481" i="31"/>
  <c r="AE1481" i="31"/>
  <c r="AD1481" i="31"/>
  <c r="AB1481" i="31"/>
  <c r="AA1481" i="31"/>
  <c r="Z1481" i="31"/>
  <c r="Y1481" i="31"/>
  <c r="W1481" i="31"/>
  <c r="V1481" i="31"/>
  <c r="U1481" i="31"/>
  <c r="T1481" i="31"/>
  <c r="R1481" i="31"/>
  <c r="Q1481" i="31"/>
  <c r="P1481" i="31"/>
  <c r="O1481" i="31"/>
  <c r="M1481" i="31"/>
  <c r="L1481" i="31"/>
  <c r="K1481" i="31"/>
  <c r="J1481" i="31"/>
  <c r="BR1478" i="31"/>
  <c r="BR1492" i="31" l="1"/>
  <c r="AU1493" i="31"/>
  <c r="AU1494" i="31" s="1"/>
  <c r="AT1493" i="31"/>
  <c r="AT1494" i="31" s="1"/>
  <c r="AY1493" i="31"/>
  <c r="AY1494" i="31" s="1"/>
  <c r="AZ1493" i="31"/>
  <c r="AZ1494" i="31" s="1"/>
  <c r="DJ122" i="9"/>
  <c r="V65" i="10"/>
  <c r="CK59" i="10"/>
  <c r="CK62" i="10" s="1"/>
  <c r="CK68" i="10"/>
  <c r="CK78" i="10"/>
  <c r="CK66" i="10"/>
  <c r="CK70" i="10"/>
  <c r="CK75" i="10"/>
  <c r="CK144" i="10"/>
  <c r="CK65" i="10"/>
  <c r="CK67" i="10"/>
  <c r="CK69" i="10"/>
  <c r="CK73" i="10"/>
  <c r="CK74" i="10"/>
  <c r="CK77" i="10"/>
  <c r="CK79" i="10"/>
  <c r="BW1484" i="31"/>
  <c r="AG75" i="9"/>
  <c r="BI1489" i="31"/>
  <c r="BK1489" i="31"/>
  <c r="E1489" i="31"/>
  <c r="BH1489" i="31"/>
  <c r="BJ1489" i="31"/>
  <c r="G86" i="10"/>
  <c r="BR1489" i="31"/>
  <c r="BR56" i="31"/>
  <c r="DJ88" i="9" s="1"/>
  <c r="DG126" i="9"/>
  <c r="CD61" i="10"/>
  <c r="CD60" i="10"/>
  <c r="CC61" i="10"/>
  <c r="CC60" i="10"/>
  <c r="CB61" i="10"/>
  <c r="CB60" i="10"/>
  <c r="BZ86" i="10"/>
  <c r="CA61" i="10"/>
  <c r="CA60" i="10"/>
  <c r="CE61" i="10"/>
  <c r="CE60" i="10"/>
  <c r="E71" i="9"/>
  <c r="E70" i="9"/>
  <c r="E49" i="9"/>
  <c r="F71" i="9"/>
  <c r="F70" i="9"/>
  <c r="F49" i="9"/>
  <c r="G71" i="9"/>
  <c r="G70" i="9"/>
  <c r="G49" i="9"/>
  <c r="Q122" i="9"/>
  <c r="Z122" i="9"/>
  <c r="AG79" i="9"/>
  <c r="AG68" i="9"/>
  <c r="AF68" i="9" s="1"/>
  <c r="AE68" i="9" s="1"/>
  <c r="AD68" i="9" s="1"/>
  <c r="AC68" i="9" s="1"/>
  <c r="G68" i="9" s="1"/>
  <c r="F68" i="9" s="1"/>
  <c r="E68" i="9" s="1"/>
  <c r="AG39" i="9"/>
  <c r="AG38" i="9"/>
  <c r="AL80" i="9" s="1"/>
  <c r="AC71" i="9"/>
  <c r="AC70" i="9"/>
  <c r="AC49" i="9"/>
  <c r="AD71" i="9"/>
  <c r="AD70" i="9"/>
  <c r="AD49" i="9"/>
  <c r="AE71" i="9"/>
  <c r="AE70" i="9"/>
  <c r="AE49" i="9"/>
  <c r="AF71" i="9"/>
  <c r="AF70" i="9"/>
  <c r="AF49" i="9"/>
  <c r="AH71" i="9"/>
  <c r="AH70" i="9"/>
  <c r="AH49" i="9"/>
  <c r="AI71" i="9"/>
  <c r="AI70" i="9"/>
  <c r="AI49" i="9"/>
  <c r="AJ71" i="9"/>
  <c r="AJ70" i="9"/>
  <c r="AJ49" i="9"/>
  <c r="AK71" i="9"/>
  <c r="AK70" i="9"/>
  <c r="AK49" i="9"/>
  <c r="AL71" i="9"/>
  <c r="AL70" i="9"/>
  <c r="AL49" i="9"/>
  <c r="AM71" i="9"/>
  <c r="AM70" i="9"/>
  <c r="AM49" i="9"/>
  <c r="AN71" i="9"/>
  <c r="AN70" i="9"/>
  <c r="AN49" i="9"/>
  <c r="AO71" i="9"/>
  <c r="AO70" i="9"/>
  <c r="AO49" i="9"/>
  <c r="AP71" i="9"/>
  <c r="AP70" i="9"/>
  <c r="AP49" i="9"/>
  <c r="AQ71" i="9"/>
  <c r="AQ70" i="9"/>
  <c r="AQ49" i="9"/>
  <c r="AR80" i="9"/>
  <c r="AR70" i="9"/>
  <c r="AR49" i="9"/>
  <c r="AR43" i="9"/>
  <c r="AS80" i="9"/>
  <c r="AS70" i="9"/>
  <c r="AS49" i="9"/>
  <c r="AS43" i="9"/>
  <c r="AT80" i="9"/>
  <c r="AT70" i="9"/>
  <c r="AT49" i="9"/>
  <c r="AT43" i="9"/>
  <c r="AZ80" i="9"/>
  <c r="AU80" i="9"/>
  <c r="AU70" i="9"/>
  <c r="AU49" i="9"/>
  <c r="AU43" i="9"/>
  <c r="DF125" i="9"/>
  <c r="DF71" i="9"/>
  <c r="DF70" i="9"/>
  <c r="DF49" i="9"/>
  <c r="DF43" i="9"/>
  <c r="DG125" i="9"/>
  <c r="DG122" i="9"/>
  <c r="DG71" i="9"/>
  <c r="DG70" i="9"/>
  <c r="DG49" i="9"/>
  <c r="DG43" i="9"/>
  <c r="DH125" i="9"/>
  <c r="DH127" i="9" s="1"/>
  <c r="DH122" i="9"/>
  <c r="DH71" i="9"/>
  <c r="DH70" i="9"/>
  <c r="DH49" i="9"/>
  <c r="DH53" i="9" s="1"/>
  <c r="DH43" i="9"/>
  <c r="DG68" i="9"/>
  <c r="CH175" i="10" s="1"/>
  <c r="CI175" i="10"/>
  <c r="DJ125" i="9"/>
  <c r="DJ70" i="9"/>
  <c r="DJ49" i="9"/>
  <c r="DJ43" i="9"/>
  <c r="U79" i="9"/>
  <c r="U39" i="9"/>
  <c r="U38" i="9"/>
  <c r="T79" i="9"/>
  <c r="T39" i="9"/>
  <c r="T38" i="9"/>
  <c r="S75" i="9"/>
  <c r="S29" i="9"/>
  <c r="R79" i="9"/>
  <c r="R39" i="9"/>
  <c r="R38" i="9"/>
  <c r="L29" i="9"/>
  <c r="M79" i="9"/>
  <c r="M39" i="9"/>
  <c r="M38" i="9"/>
  <c r="M80" i="9" s="1"/>
  <c r="K38" i="9"/>
  <c r="P79" i="9"/>
  <c r="I39" i="9"/>
  <c r="I49" i="9" s="1"/>
  <c r="H49" i="9" s="1"/>
  <c r="I38" i="9"/>
  <c r="N80" i="9" s="1"/>
  <c r="N79" i="9"/>
  <c r="Y79" i="9"/>
  <c r="Y39" i="9"/>
  <c r="Y38" i="9"/>
  <c r="AD80" i="9" s="1"/>
  <c r="W24" i="9"/>
  <c r="X75" i="9"/>
  <c r="X29" i="9"/>
  <c r="AC75" i="9"/>
  <c r="AA29" i="9"/>
  <c r="AB39" i="9"/>
  <c r="AB38" i="9"/>
  <c r="AE80" i="9"/>
  <c r="AH80" i="9"/>
  <c r="AI80" i="9"/>
  <c r="AJ80" i="9"/>
  <c r="AK80" i="9"/>
  <c r="AL79" i="9"/>
  <c r="AM80" i="9"/>
  <c r="AN80" i="9"/>
  <c r="AO80" i="9"/>
  <c r="AP80" i="9"/>
  <c r="AQ80" i="9"/>
  <c r="AS71" i="9"/>
  <c r="AR71" i="9" s="1"/>
  <c r="V80" i="9"/>
  <c r="BH1483" i="31"/>
  <c r="BC1483" i="31"/>
  <c r="BM1489" i="31"/>
  <c r="AS1493" i="31"/>
  <c r="AX1493" i="31"/>
  <c r="BH1493" i="31"/>
  <c r="BR1493" i="31"/>
  <c r="BP1478" i="31"/>
  <c r="BO1478" i="31"/>
  <c r="BN1478" i="31"/>
  <c r="BM1478" i="31"/>
  <c r="BR1484" i="31" s="1"/>
  <c r="BK1478" i="31"/>
  <c r="BJ1478" i="31"/>
  <c r="BI1478" i="31"/>
  <c r="BH1478" i="31"/>
  <c r="BF1478" i="31"/>
  <c r="BE1478" i="31"/>
  <c r="BD1478" i="31"/>
  <c r="BC1478" i="31"/>
  <c r="BA1478" i="31"/>
  <c r="AZ1478" i="31"/>
  <c r="AY1478" i="31"/>
  <c r="AX1478" i="31"/>
  <c r="AV1478" i="31"/>
  <c r="AU1478" i="31"/>
  <c r="AT1478" i="31"/>
  <c r="AS1478" i="31"/>
  <c r="AQ1478" i="31"/>
  <c r="AP1478" i="31"/>
  <c r="AO1478" i="31"/>
  <c r="AN1478" i="31"/>
  <c r="AL1478" i="31"/>
  <c r="AK1478" i="31"/>
  <c r="AJ1478" i="31"/>
  <c r="AI1478" i="31"/>
  <c r="AG1478" i="31"/>
  <c r="AF1478" i="31"/>
  <c r="AE1478" i="31"/>
  <c r="AD1478" i="31"/>
  <c r="AB1478" i="31"/>
  <c r="AA1478" i="31"/>
  <c r="Z1478" i="31"/>
  <c r="Y1478" i="31"/>
  <c r="W1478" i="31"/>
  <c r="V1478" i="31"/>
  <c r="U1478" i="31"/>
  <c r="T1478" i="31"/>
  <c r="R1478" i="31"/>
  <c r="Q1478" i="31"/>
  <c r="P1478" i="31"/>
  <c r="O1478" i="31"/>
  <c r="M1478" i="31"/>
  <c r="L1478" i="31"/>
  <c r="K1478" i="31"/>
  <c r="J1478" i="31"/>
  <c r="H1478" i="31"/>
  <c r="G1478" i="31"/>
  <c r="F1478" i="31"/>
  <c r="E1478" i="31"/>
  <c r="BQ1477" i="31"/>
  <c r="BL1477" i="31"/>
  <c r="BG1477" i="31"/>
  <c r="BB1477" i="31"/>
  <c r="AW1477" i="31"/>
  <c r="AR1477" i="31"/>
  <c r="AM1477" i="31"/>
  <c r="AH1477" i="31"/>
  <c r="AC1477" i="31"/>
  <c r="X1477" i="31"/>
  <c r="S1477" i="31"/>
  <c r="N1477" i="31"/>
  <c r="I1477" i="31"/>
  <c r="D1477" i="31"/>
  <c r="BQ1476" i="31"/>
  <c r="BL1476" i="31"/>
  <c r="BG1476" i="31"/>
  <c r="BB1476" i="31"/>
  <c r="AW1476" i="31"/>
  <c r="AR1476" i="31"/>
  <c r="AM1476" i="31"/>
  <c r="AH1476" i="31"/>
  <c r="AC1476" i="31"/>
  <c r="X1476" i="31"/>
  <c r="S1476" i="31"/>
  <c r="N1476" i="31"/>
  <c r="I1476" i="31"/>
  <c r="D1476" i="31"/>
  <c r="BR1471" i="31"/>
  <c r="BP1471" i="31"/>
  <c r="BO1471" i="31"/>
  <c r="BN1471" i="31"/>
  <c r="BM1471" i="31"/>
  <c r="BK1471" i="31"/>
  <c r="BJ1471" i="31"/>
  <c r="BI1471" i="31"/>
  <c r="BI1472" i="31" s="1"/>
  <c r="BH1471" i="31"/>
  <c r="BF1471" i="31"/>
  <c r="BF1472" i="31" s="1"/>
  <c r="BE1471" i="31"/>
  <c r="BE1472" i="31" s="1"/>
  <c r="BD1471" i="31"/>
  <c r="BD1472" i="31" s="1"/>
  <c r="BC1471" i="31"/>
  <c r="BA1471" i="31"/>
  <c r="AZ1471" i="31"/>
  <c r="AY1471" i="31"/>
  <c r="AX1471" i="31"/>
  <c r="BR1470" i="31"/>
  <c r="BP1470" i="31"/>
  <c r="BO1470" i="31"/>
  <c r="BN1470" i="31"/>
  <c r="BM1470" i="31"/>
  <c r="BK1470" i="31"/>
  <c r="BJ1470" i="31"/>
  <c r="BI1470" i="31"/>
  <c r="BH1470" i="31"/>
  <c r="BF1470" i="31"/>
  <c r="BE1470" i="31"/>
  <c r="BD1470" i="31"/>
  <c r="BC1470" i="31"/>
  <c r="BA1470" i="31"/>
  <c r="AZ1470" i="31"/>
  <c r="AY1470" i="31"/>
  <c r="AX1470" i="31"/>
  <c r="BR1467" i="31"/>
  <c r="DJ121" i="9" l="1"/>
  <c r="BH1484" i="31"/>
  <c r="DM1487" i="31"/>
  <c r="BO1484" i="31"/>
  <c r="DH1487" i="31"/>
  <c r="DC1487" i="31"/>
  <c r="CG173" i="10"/>
  <c r="CG172" i="10"/>
  <c r="CS1487" i="31"/>
  <c r="M122" i="9"/>
  <c r="S1481" i="31"/>
  <c r="AC1481" i="31"/>
  <c r="AM1481" i="31"/>
  <c r="AW1481" i="31"/>
  <c r="BG1481" i="31"/>
  <c r="BQ1481" i="31"/>
  <c r="N1482" i="31"/>
  <c r="X1482" i="31"/>
  <c r="AH1482" i="31"/>
  <c r="AR1482" i="31"/>
  <c r="BB1482" i="31"/>
  <c r="BL1482" i="31"/>
  <c r="BW1473" i="31"/>
  <c r="N1481" i="31"/>
  <c r="X1481" i="31"/>
  <c r="AH1481" i="31"/>
  <c r="AR1481" i="31"/>
  <c r="BB1481" i="31"/>
  <c r="BL1481" i="31"/>
  <c r="S1482" i="31"/>
  <c r="AC1482" i="31"/>
  <c r="AM1482" i="31"/>
  <c r="AW1482" i="31"/>
  <c r="BG1482" i="31"/>
  <c r="BQ1482" i="31"/>
  <c r="BY1478" i="31"/>
  <c r="AB122" i="9"/>
  <c r="AA79" i="9"/>
  <c r="AA39" i="9"/>
  <c r="AA38" i="9"/>
  <c r="AF79" i="9"/>
  <c r="X79" i="9"/>
  <c r="X39" i="9"/>
  <c r="X38" i="9"/>
  <c r="AC79" i="9"/>
  <c r="W75" i="9"/>
  <c r="W29" i="9"/>
  <c r="AB75" i="9"/>
  <c r="AA75" i="9" s="1"/>
  <c r="Y122" i="9"/>
  <c r="Y80" i="9"/>
  <c r="J38" i="9"/>
  <c r="K122" i="9"/>
  <c r="P80" i="9"/>
  <c r="L39" i="9"/>
  <c r="Q80" i="9"/>
  <c r="Q79" i="9"/>
  <c r="R122" i="9"/>
  <c r="R80" i="9"/>
  <c r="S79" i="9"/>
  <c r="S39" i="9"/>
  <c r="S38" i="9"/>
  <c r="T122" i="9"/>
  <c r="T80" i="9"/>
  <c r="U122" i="9"/>
  <c r="U80" i="9"/>
  <c r="CK172" i="10"/>
  <c r="CK173" i="10"/>
  <c r="DJ55" i="9"/>
  <c r="DJ52" i="9"/>
  <c r="DJ45" i="9"/>
  <c r="DJ56" i="9"/>
  <c r="DJ53" i="9"/>
  <c r="CI172" i="10"/>
  <c r="CI173" i="10"/>
  <c r="DH121" i="9"/>
  <c r="DH72" i="9"/>
  <c r="DH55" i="9"/>
  <c r="DH52" i="9"/>
  <c r="DH45" i="9"/>
  <c r="CH172" i="10"/>
  <c r="CH173" i="10"/>
  <c r="DG121" i="9"/>
  <c r="DG55" i="9"/>
  <c r="DG52" i="9"/>
  <c r="DG45" i="9"/>
  <c r="DG56" i="9"/>
  <c r="DG53" i="9"/>
  <c r="DF122" i="9"/>
  <c r="DF121" i="9"/>
  <c r="DF72" i="9"/>
  <c r="CG176" i="10" s="1"/>
  <c r="DF55" i="9"/>
  <c r="DF52" i="9"/>
  <c r="DF45" i="9"/>
  <c r="DF56" i="9"/>
  <c r="DF53" i="9"/>
  <c r="DF50" i="9"/>
  <c r="V172" i="10"/>
  <c r="V173" i="10"/>
  <c r="AU122" i="9"/>
  <c r="AU121" i="9"/>
  <c r="AU81" i="9"/>
  <c r="AU72" i="9"/>
  <c r="AU44" i="9"/>
  <c r="AZ81" i="9"/>
  <c r="AU57" i="9"/>
  <c r="AU56" i="9"/>
  <c r="U172" i="10"/>
  <c r="T172" i="10" s="1"/>
  <c r="U173" i="10"/>
  <c r="AT122" i="9"/>
  <c r="AT121" i="9"/>
  <c r="AT81" i="9"/>
  <c r="AT72" i="9"/>
  <c r="AT44" i="9"/>
  <c r="AT57" i="9"/>
  <c r="AT56" i="9"/>
  <c r="T173" i="10"/>
  <c r="AS122" i="9"/>
  <c r="AS121" i="9"/>
  <c r="AR121" i="9" s="1"/>
  <c r="AQ121" i="9" s="1"/>
  <c r="AP121" i="9" s="1"/>
  <c r="AS81" i="9"/>
  <c r="AS72" i="9"/>
  <c r="AS44" i="9"/>
  <c r="AS57" i="9"/>
  <c r="AS56" i="9"/>
  <c r="S172" i="10"/>
  <c r="R172" i="10" s="1"/>
  <c r="Q172" i="10" s="1"/>
  <c r="P172" i="10" s="1"/>
  <c r="O172" i="10" s="1"/>
  <c r="N172" i="10" s="1"/>
  <c r="S173" i="10"/>
  <c r="AR122" i="9"/>
  <c r="AR81" i="9"/>
  <c r="AR72" i="9"/>
  <c r="AR44" i="9"/>
  <c r="AR57" i="9"/>
  <c r="AR56" i="9"/>
  <c r="AQ57" i="9"/>
  <c r="AQ56" i="9"/>
  <c r="AP72" i="9"/>
  <c r="AP56" i="9"/>
  <c r="AO72" i="9"/>
  <c r="AO56" i="9"/>
  <c r="AN72" i="9"/>
  <c r="AN56" i="9"/>
  <c r="AM72" i="9"/>
  <c r="AM57" i="9"/>
  <c r="AM56" i="9"/>
  <c r="AL72" i="9"/>
  <c r="AK72" i="9" s="1"/>
  <c r="AJ72" i="9" s="1"/>
  <c r="AI72" i="9" s="1"/>
  <c r="AH72" i="9" s="1"/>
  <c r="AL57" i="9"/>
  <c r="AL56" i="9"/>
  <c r="AG70" i="9"/>
  <c r="AG49" i="9"/>
  <c r="AG71" i="9"/>
  <c r="BY86" i="10"/>
  <c r="BZ61" i="10"/>
  <c r="BZ60" i="10"/>
  <c r="DF126" i="9"/>
  <c r="DG127" i="9"/>
  <c r="AB49" i="9"/>
  <c r="AG80" i="9"/>
  <c r="Z80" i="9"/>
  <c r="BH1472" i="31"/>
  <c r="D1487" i="31"/>
  <c r="I1481" i="31"/>
  <c r="D1488" i="31"/>
  <c r="I1482" i="31"/>
  <c r="BG1478" i="31"/>
  <c r="BM1484" i="31"/>
  <c r="BC1472" i="31"/>
  <c r="BT1478" i="31"/>
  <c r="D1478" i="31"/>
  <c r="I1478" i="31"/>
  <c r="N1478" i="31"/>
  <c r="S1478" i="31"/>
  <c r="X1478" i="31"/>
  <c r="AC1478" i="31"/>
  <c r="AH1478" i="31"/>
  <c r="AM1478" i="31"/>
  <c r="AR1478" i="31"/>
  <c r="AW1478" i="31"/>
  <c r="BB1478" i="31"/>
  <c r="BN1484" i="31"/>
  <c r="BL1478" i="31"/>
  <c r="BQ1478" i="31"/>
  <c r="AX1494" i="31"/>
  <c r="AS1494" i="31"/>
  <c r="BP1467" i="31"/>
  <c r="BO1467" i="31"/>
  <c r="BN1467" i="31"/>
  <c r="BM1467" i="31"/>
  <c r="BR1473" i="31" s="1"/>
  <c r="BK1467" i="31"/>
  <c r="BJ1467" i="31"/>
  <c r="BI1467" i="31"/>
  <c r="BH1467" i="31"/>
  <c r="BF1467" i="31"/>
  <c r="BE1467" i="31"/>
  <c r="BD1467" i="31"/>
  <c r="BC1467" i="31"/>
  <c r="BA1467" i="31"/>
  <c r="AZ1467" i="31"/>
  <c r="AY1467" i="31"/>
  <c r="AX1467" i="31"/>
  <c r="AV1467" i="31"/>
  <c r="AU1467" i="31"/>
  <c r="AT1467" i="31"/>
  <c r="AS1467" i="31"/>
  <c r="BQ1466" i="31"/>
  <c r="BV1471" i="31" s="1"/>
  <c r="BL1466" i="31"/>
  <c r="BG1466" i="31"/>
  <c r="BB1466" i="31"/>
  <c r="AW1466" i="31"/>
  <c r="BQ1465" i="31"/>
  <c r="BL1465" i="31"/>
  <c r="BG1465" i="31"/>
  <c r="BB1465" i="31"/>
  <c r="AW1465" i="31"/>
  <c r="BR1460" i="31"/>
  <c r="BP1460" i="31"/>
  <c r="BO1460" i="31"/>
  <c r="BN1460" i="31"/>
  <c r="BM1460" i="31"/>
  <c r="BK1460" i="31"/>
  <c r="BJ1460" i="31"/>
  <c r="BI1460" i="31"/>
  <c r="BI1461" i="31" s="1"/>
  <c r="BH1460" i="31"/>
  <c r="BH1461" i="31" s="1"/>
  <c r="BF1460" i="31"/>
  <c r="BF1461" i="31" s="1"/>
  <c r="BE1460" i="31"/>
  <c r="BE1461" i="31" s="1"/>
  <c r="BD1460" i="31"/>
  <c r="BD1461" i="31" s="1"/>
  <c r="BC1460" i="31"/>
  <c r="BC1461" i="31" s="1"/>
  <c r="BA1460" i="31"/>
  <c r="AZ1460" i="31"/>
  <c r="AY1460" i="31"/>
  <c r="AX1460" i="31"/>
  <c r="AX1461" i="31" s="1"/>
  <c r="AV1460" i="31"/>
  <c r="AU1460" i="31"/>
  <c r="AT1460" i="31"/>
  <c r="AS1460" i="31"/>
  <c r="AS1461" i="31" s="1"/>
  <c r="AQ1460" i="31"/>
  <c r="AP1460" i="31"/>
  <c r="AO1460" i="31"/>
  <c r="AN1460" i="31"/>
  <c r="AL1460" i="31"/>
  <c r="AK1460" i="31"/>
  <c r="AJ1460" i="31"/>
  <c r="AI1460" i="31"/>
  <c r="AG1460" i="31"/>
  <c r="AF1460" i="31"/>
  <c r="AE1460" i="31"/>
  <c r="AD1460" i="31"/>
  <c r="AB1460" i="31"/>
  <c r="AA1460" i="31"/>
  <c r="Z1460" i="31"/>
  <c r="Y1460" i="31"/>
  <c r="W1460" i="31"/>
  <c r="V1460" i="31"/>
  <c r="U1460" i="31"/>
  <c r="T1460" i="31"/>
  <c r="R1460" i="31"/>
  <c r="Q1460" i="31"/>
  <c r="P1460" i="31"/>
  <c r="O1460" i="31"/>
  <c r="M1460" i="31"/>
  <c r="L1460" i="31"/>
  <c r="K1460" i="31"/>
  <c r="J1460" i="31"/>
  <c r="BR1459" i="31"/>
  <c r="BP1459" i="31"/>
  <c r="BO1459" i="31"/>
  <c r="BN1459" i="31"/>
  <c r="BM1459" i="31"/>
  <c r="BK1459" i="31"/>
  <c r="BJ1459" i="31"/>
  <c r="BI1459" i="31"/>
  <c r="BH1459" i="31"/>
  <c r="BF1459" i="31"/>
  <c r="BE1459" i="31"/>
  <c r="BD1459" i="31"/>
  <c r="BC1459" i="31"/>
  <c r="BA1459" i="31"/>
  <c r="AZ1459" i="31"/>
  <c r="AY1459" i="31"/>
  <c r="AX1459" i="31"/>
  <c r="AV1459" i="31"/>
  <c r="AU1459" i="31"/>
  <c r="AT1459" i="31"/>
  <c r="AS1459" i="31"/>
  <c r="AQ1459" i="31"/>
  <c r="AP1459" i="31"/>
  <c r="AO1459" i="31"/>
  <c r="AN1459" i="31"/>
  <c r="AL1459" i="31"/>
  <c r="AK1459" i="31"/>
  <c r="AJ1459" i="31"/>
  <c r="AI1459" i="31"/>
  <c r="AG1459" i="31"/>
  <c r="AF1459" i="31"/>
  <c r="AE1459" i="31"/>
  <c r="AD1459" i="31"/>
  <c r="AB1459" i="31"/>
  <c r="AA1459" i="31"/>
  <c r="Z1459" i="31"/>
  <c r="Y1459" i="31"/>
  <c r="W1459" i="31"/>
  <c r="V1459" i="31"/>
  <c r="U1459" i="31"/>
  <c r="T1459" i="31"/>
  <c r="R1459" i="31"/>
  <c r="Q1459" i="31"/>
  <c r="P1459" i="31"/>
  <c r="O1459" i="31"/>
  <c r="M1459" i="31"/>
  <c r="L1459" i="31"/>
  <c r="K1459" i="31"/>
  <c r="J1459" i="31"/>
  <c r="BR1456" i="31"/>
  <c r="BP1456" i="31"/>
  <c r="BO1456" i="31"/>
  <c r="BN1456" i="31"/>
  <c r="BM1456" i="31"/>
  <c r="BK1456" i="31"/>
  <c r="BJ1456" i="31"/>
  <c r="BI1456" i="31"/>
  <c r="BH1456" i="31"/>
  <c r="BF1456" i="31"/>
  <c r="BE1456" i="31"/>
  <c r="BD1456" i="31"/>
  <c r="BC1456" i="31"/>
  <c r="BA1456" i="31"/>
  <c r="AZ1456" i="31"/>
  <c r="AY1456" i="31"/>
  <c r="AX1456" i="31"/>
  <c r="AV1456" i="31"/>
  <c r="AU1456" i="31"/>
  <c r="AT1456" i="31"/>
  <c r="AS1456" i="31"/>
  <c r="AQ1456" i="31"/>
  <c r="AP1456" i="31"/>
  <c r="AO1456" i="31"/>
  <c r="AN1456" i="31"/>
  <c r="AL1456" i="31"/>
  <c r="AK1456" i="31"/>
  <c r="AJ1456" i="31"/>
  <c r="AI1456" i="31"/>
  <c r="AG1456" i="31"/>
  <c r="AF1456" i="31"/>
  <c r="AE1456" i="31"/>
  <c r="AD1456" i="31"/>
  <c r="AB1456" i="31"/>
  <c r="AA1456" i="31"/>
  <c r="Z1456" i="31"/>
  <c r="Y1456" i="31"/>
  <c r="W1456" i="31"/>
  <c r="V1456" i="31"/>
  <c r="U1456" i="31"/>
  <c r="T1456" i="31"/>
  <c r="R1456" i="31"/>
  <c r="Q1456" i="31"/>
  <c r="P1456" i="31"/>
  <c r="O1456" i="31"/>
  <c r="M1456" i="31"/>
  <c r="L1456" i="31"/>
  <c r="K1456" i="31"/>
  <c r="J1456" i="31"/>
  <c r="H1456" i="31"/>
  <c r="G1456" i="31"/>
  <c r="F1456" i="31"/>
  <c r="E1456" i="31"/>
  <c r="D1456" i="31"/>
  <c r="BQ1455" i="31"/>
  <c r="BV1460" i="31" s="1"/>
  <c r="BL1455" i="31"/>
  <c r="BG1455" i="31"/>
  <c r="BB1455" i="31"/>
  <c r="AW1455" i="31"/>
  <c r="AR1455" i="31"/>
  <c r="AM1455" i="31"/>
  <c r="AH1455" i="31"/>
  <c r="AC1455" i="31"/>
  <c r="X1455" i="31"/>
  <c r="S1455" i="31"/>
  <c r="N1455" i="31"/>
  <c r="I1455" i="31"/>
  <c r="BQ1454" i="31"/>
  <c r="BL1454" i="31"/>
  <c r="BG1454" i="31"/>
  <c r="BB1454" i="31"/>
  <c r="AW1454" i="31"/>
  <c r="AR1454" i="31"/>
  <c r="AM1454" i="31"/>
  <c r="AH1454" i="31"/>
  <c r="AC1454" i="31"/>
  <c r="X1454" i="31"/>
  <c r="S1454" i="31"/>
  <c r="N1454" i="31"/>
  <c r="I1454" i="31"/>
  <c r="BR1449" i="31"/>
  <c r="BP1449" i="31"/>
  <c r="BO1449" i="31"/>
  <c r="BN1449" i="31"/>
  <c r="BM1449" i="31"/>
  <c r="BK1449" i="31"/>
  <c r="BJ1449" i="31"/>
  <c r="BI1449" i="31"/>
  <c r="BH1449" i="31"/>
  <c r="BF1449" i="31"/>
  <c r="BF1450" i="31" s="1"/>
  <c r="BE1449" i="31"/>
  <c r="BE1450" i="31" s="1"/>
  <c r="BD1449" i="31"/>
  <c r="BD1450" i="31" s="1"/>
  <c r="BC1449" i="31"/>
  <c r="BA1449" i="31"/>
  <c r="AZ1449" i="31"/>
  <c r="AY1449" i="31"/>
  <c r="AX1449" i="31"/>
  <c r="AV1449" i="31"/>
  <c r="AU1449" i="31"/>
  <c r="AT1449" i="31"/>
  <c r="AS1449" i="31"/>
  <c r="AQ1449" i="31"/>
  <c r="AP1449" i="31"/>
  <c r="AO1449" i="31"/>
  <c r="AN1449" i="31"/>
  <c r="AL1449" i="31"/>
  <c r="AK1449" i="31"/>
  <c r="AJ1449" i="31"/>
  <c r="AI1449" i="31"/>
  <c r="AG1449" i="31"/>
  <c r="AF1449" i="31"/>
  <c r="AE1449" i="31"/>
  <c r="AD1449" i="31"/>
  <c r="AB1449" i="31"/>
  <c r="AA1449" i="31"/>
  <c r="Z1449" i="31"/>
  <c r="Y1449" i="31"/>
  <c r="W1449" i="31"/>
  <c r="V1449" i="31"/>
  <c r="U1449" i="31"/>
  <c r="T1449" i="31"/>
  <c r="R1449" i="31"/>
  <c r="Q1449" i="31"/>
  <c r="P1449" i="31"/>
  <c r="O1449" i="31"/>
  <c r="M1449" i="31"/>
  <c r="L1449" i="31"/>
  <c r="K1449" i="31"/>
  <c r="J1449" i="31"/>
  <c r="BR1448" i="31"/>
  <c r="BP1448" i="31"/>
  <c r="BO1448" i="31"/>
  <c r="BN1448" i="31"/>
  <c r="BM1448" i="31"/>
  <c r="BK1448" i="31"/>
  <c r="BJ1448" i="31"/>
  <c r="BI1448" i="31"/>
  <c r="BH1448" i="31"/>
  <c r="BF1448" i="31"/>
  <c r="BE1448" i="31"/>
  <c r="BD1448" i="31"/>
  <c r="BC1448" i="31"/>
  <c r="BA1448" i="31"/>
  <c r="AZ1448" i="31"/>
  <c r="AY1448" i="31"/>
  <c r="AX1448" i="31"/>
  <c r="AV1448" i="31"/>
  <c r="AU1448" i="31"/>
  <c r="AT1448" i="31"/>
  <c r="AS1448" i="31"/>
  <c r="AQ1448" i="31"/>
  <c r="AP1448" i="31"/>
  <c r="AO1448" i="31"/>
  <c r="AN1448" i="31"/>
  <c r="AL1448" i="31"/>
  <c r="AK1448" i="31"/>
  <c r="AJ1448" i="31"/>
  <c r="AI1448" i="31"/>
  <c r="AG1448" i="31"/>
  <c r="AF1448" i="31"/>
  <c r="AE1448" i="31"/>
  <c r="AD1448" i="31"/>
  <c r="AB1448" i="31"/>
  <c r="AA1448" i="31"/>
  <c r="Z1448" i="31"/>
  <c r="Y1448" i="31"/>
  <c r="W1448" i="31"/>
  <c r="V1448" i="31"/>
  <c r="U1448" i="31"/>
  <c r="T1448" i="31"/>
  <c r="R1448" i="31"/>
  <c r="Q1448" i="31"/>
  <c r="P1448" i="31"/>
  <c r="O1448" i="31"/>
  <c r="M1448" i="31"/>
  <c r="L1448" i="31"/>
  <c r="K1448" i="31"/>
  <c r="J1448" i="31"/>
  <c r="BR1445" i="31"/>
  <c r="CG185" i="10" l="1"/>
  <c r="DM56" i="31"/>
  <c r="FE88" i="9" s="1"/>
  <c r="CX1492" i="31"/>
  <c r="BH1473" i="31"/>
  <c r="BM1473" i="31"/>
  <c r="BR1462" i="31"/>
  <c r="DR1492" i="31"/>
  <c r="BO1473" i="31"/>
  <c r="DM1492" i="31"/>
  <c r="BO1462" i="31"/>
  <c r="DH1492" i="31"/>
  <c r="DH56" i="31"/>
  <c r="DC56" i="31"/>
  <c r="EU88" i="9" s="1"/>
  <c r="O80" i="9"/>
  <c r="BL1456" i="31"/>
  <c r="CS56" i="31"/>
  <c r="AF80" i="9"/>
  <c r="BW1451" i="31"/>
  <c r="BW1462" i="31"/>
  <c r="BG1484" i="31"/>
  <c r="BF1484" i="31" s="1"/>
  <c r="BE1484" i="31" s="1"/>
  <c r="BD1484" i="31" s="1"/>
  <c r="BC1484" i="31" s="1"/>
  <c r="BQ1456" i="31"/>
  <c r="BV1462" i="31" s="1"/>
  <c r="BV1459" i="31"/>
  <c r="BV1470" i="31"/>
  <c r="S1459" i="31"/>
  <c r="AC1459" i="31"/>
  <c r="AM1459" i="31"/>
  <c r="AW1459" i="31"/>
  <c r="BG1459" i="31"/>
  <c r="S1460" i="31"/>
  <c r="AC1460" i="31"/>
  <c r="AM1460" i="31"/>
  <c r="AW1460" i="31"/>
  <c r="BG1460" i="31"/>
  <c r="BG1470" i="31"/>
  <c r="BQ1470" i="31"/>
  <c r="BG1471" i="31"/>
  <c r="BQ1471" i="31"/>
  <c r="AA49" i="9"/>
  <c r="Z49" i="9" s="1"/>
  <c r="Y49" i="9" s="1"/>
  <c r="X49" i="9" s="1"/>
  <c r="L122" i="9"/>
  <c r="J122" i="9"/>
  <c r="I122" i="9" s="1"/>
  <c r="H122" i="9" s="1"/>
  <c r="G122" i="9" s="1"/>
  <c r="F122" i="9" s="1"/>
  <c r="E122" i="9" s="1"/>
  <c r="N1459" i="31"/>
  <c r="X1459" i="31"/>
  <c r="AH1459" i="31"/>
  <c r="AR1459" i="31"/>
  <c r="BB1459" i="31"/>
  <c r="BL1459" i="31"/>
  <c r="N1460" i="31"/>
  <c r="X1460" i="31"/>
  <c r="AH1460" i="31"/>
  <c r="AR1460" i="31"/>
  <c r="BB1460" i="31"/>
  <c r="BB1470" i="31"/>
  <c r="BL1470" i="31"/>
  <c r="BL1471" i="31"/>
  <c r="BY1484" i="31"/>
  <c r="BY1467" i="31"/>
  <c r="BY1456" i="31"/>
  <c r="DE126" i="9"/>
  <c r="DF127" i="9"/>
  <c r="BY61" i="10"/>
  <c r="BY60" i="10"/>
  <c r="AG72" i="9"/>
  <c r="AF72" i="9" s="1"/>
  <c r="AE72" i="9" s="1"/>
  <c r="AD72" i="9" s="1"/>
  <c r="AC72" i="9" s="1"/>
  <c r="G72" i="9" s="1"/>
  <c r="F72" i="9" s="1"/>
  <c r="E72" i="9" s="1"/>
  <c r="AG57" i="9"/>
  <c r="AG56" i="9"/>
  <c r="CG191" i="10"/>
  <c r="DF57" i="9"/>
  <c r="DF54" i="9"/>
  <c r="CH185" i="10"/>
  <c r="CH191" i="10" s="1"/>
  <c r="DG57" i="9"/>
  <c r="DG54" i="9"/>
  <c r="CI185" i="10"/>
  <c r="CI191" i="10" s="1"/>
  <c r="DH57" i="9"/>
  <c r="DH54" i="9"/>
  <c r="DG72" i="9"/>
  <c r="CH176" i="10" s="1"/>
  <c r="CI176" i="10"/>
  <c r="CK185" i="10"/>
  <c r="DJ57" i="9"/>
  <c r="DJ54" i="9"/>
  <c r="S122" i="9"/>
  <c r="S80" i="9"/>
  <c r="W79" i="9"/>
  <c r="W39" i="9"/>
  <c r="W49" i="9" s="1"/>
  <c r="U49" i="9" s="1"/>
  <c r="T49" i="9" s="1"/>
  <c r="S49" i="9" s="1"/>
  <c r="R49" i="9" s="1"/>
  <c r="W38" i="9"/>
  <c r="AB79" i="9"/>
  <c r="X122" i="9"/>
  <c r="X80" i="9"/>
  <c r="AC80" i="9"/>
  <c r="AA122" i="9"/>
  <c r="AA80" i="9"/>
  <c r="BN1462" i="31"/>
  <c r="BM1462" i="31" s="1"/>
  <c r="BB1484" i="31"/>
  <c r="BA1484" i="31" s="1"/>
  <c r="AZ1484" i="31" s="1"/>
  <c r="AY1484" i="31" s="1"/>
  <c r="AX1484" i="31" s="1"/>
  <c r="AW1484" i="31" s="1"/>
  <c r="AV1484" i="31" s="1"/>
  <c r="AU1484" i="31" s="1"/>
  <c r="AT1484" i="31" s="1"/>
  <c r="AS1484" i="31" s="1"/>
  <c r="AR1484" i="31" s="1"/>
  <c r="AQ1484" i="31" s="1"/>
  <c r="AP1484" i="31" s="1"/>
  <c r="AO1484" i="31" s="1"/>
  <c r="AN1484" i="31" s="1"/>
  <c r="AM1484" i="31" s="1"/>
  <c r="AL1484" i="31" s="1"/>
  <c r="AK1484" i="31" s="1"/>
  <c r="AJ1484" i="31" s="1"/>
  <c r="AI1484" i="31" s="1"/>
  <c r="AH1484" i="31" s="1"/>
  <c r="AG1484" i="31" s="1"/>
  <c r="AF1484" i="31" s="1"/>
  <c r="AE1484" i="31" s="1"/>
  <c r="AD1484" i="31" s="1"/>
  <c r="AC1484" i="31" s="1"/>
  <c r="AB1484" i="31" s="1"/>
  <c r="AA1484" i="31" s="1"/>
  <c r="Z1484" i="31" s="1"/>
  <c r="Y1484" i="31" s="1"/>
  <c r="X1484" i="31" s="1"/>
  <c r="W1484" i="31" s="1"/>
  <c r="V1484" i="31" s="1"/>
  <c r="U1484" i="31" s="1"/>
  <c r="T1484" i="31" s="1"/>
  <c r="S1484" i="31" s="1"/>
  <c r="R1484" i="31" s="1"/>
  <c r="Q1484" i="31" s="1"/>
  <c r="P1484" i="31" s="1"/>
  <c r="O1484" i="31" s="1"/>
  <c r="N1484" i="31" s="1"/>
  <c r="M1484" i="31" s="1"/>
  <c r="L1484" i="31" s="1"/>
  <c r="K1484" i="31" s="1"/>
  <c r="J1484" i="31" s="1"/>
  <c r="I1484" i="31" s="1"/>
  <c r="D1489" i="31"/>
  <c r="BC1450" i="31"/>
  <c r="BT1456" i="31"/>
  <c r="I1456" i="31"/>
  <c r="N1456" i="31"/>
  <c r="S1456" i="31"/>
  <c r="X1456" i="31"/>
  <c r="AC1456" i="31"/>
  <c r="AH1456" i="31"/>
  <c r="AM1456" i="31"/>
  <c r="AR1456" i="31"/>
  <c r="AW1456" i="31"/>
  <c r="BB1456" i="31"/>
  <c r="BG1456" i="31"/>
  <c r="I1459" i="31"/>
  <c r="BQ1459" i="31"/>
  <c r="I1460" i="31"/>
  <c r="BL1460" i="31"/>
  <c r="BQ1460" i="31"/>
  <c r="BT1467" i="31"/>
  <c r="AW1467" i="31"/>
  <c r="BB1467" i="31"/>
  <c r="BG1467" i="31"/>
  <c r="BN1473" i="31"/>
  <c r="BL1467" i="31"/>
  <c r="BQ1467" i="31"/>
  <c r="BQ1484" i="31"/>
  <c r="BP1484" i="31" s="1"/>
  <c r="BB1471" i="31"/>
  <c r="BL1484" i="31"/>
  <c r="BK1484" i="31" s="1"/>
  <c r="BJ1484" i="31" s="1"/>
  <c r="BI1484" i="31" s="1"/>
  <c r="BP1445" i="31"/>
  <c r="BO1445" i="31"/>
  <c r="BN1445" i="31"/>
  <c r="BM1445" i="31"/>
  <c r="BR1451" i="31" s="1"/>
  <c r="BK1445" i="31"/>
  <c r="BJ1445" i="31"/>
  <c r="BI1445" i="31"/>
  <c r="BH1445" i="31"/>
  <c r="BF1445" i="31"/>
  <c r="BE1445" i="31"/>
  <c r="BD1445" i="31"/>
  <c r="BC1445" i="31"/>
  <c r="BA1445" i="31"/>
  <c r="AZ1445" i="31"/>
  <c r="AY1445" i="31"/>
  <c r="AX1445" i="31"/>
  <c r="AV1445" i="31"/>
  <c r="AU1445" i="31"/>
  <c r="AT1445" i="31"/>
  <c r="AS1445" i="31"/>
  <c r="AQ1445" i="31"/>
  <c r="AP1445" i="31"/>
  <c r="AO1445" i="31"/>
  <c r="AN1445" i="31"/>
  <c r="AL1445" i="31"/>
  <c r="AK1445" i="31"/>
  <c r="AJ1445" i="31"/>
  <c r="AI1445" i="31"/>
  <c r="AG1445" i="31"/>
  <c r="AF1445" i="31"/>
  <c r="AE1445" i="31"/>
  <c r="AD1445" i="31"/>
  <c r="AB1445" i="31"/>
  <c r="AA1445" i="31"/>
  <c r="Z1445" i="31"/>
  <c r="Y1445" i="31"/>
  <c r="W1445" i="31"/>
  <c r="V1445" i="31"/>
  <c r="U1445" i="31"/>
  <c r="T1445" i="31"/>
  <c r="R1445" i="31"/>
  <c r="Q1445" i="31"/>
  <c r="P1445" i="31"/>
  <c r="O1445" i="31"/>
  <c r="M1445" i="31"/>
  <c r="L1445" i="31"/>
  <c r="K1445" i="31"/>
  <c r="J1445" i="31"/>
  <c r="H1445" i="31"/>
  <c r="G1445" i="31"/>
  <c r="F1445" i="31"/>
  <c r="E1445" i="31"/>
  <c r="D1445" i="31"/>
  <c r="BQ1444" i="31"/>
  <c r="BV1449" i="31" s="1"/>
  <c r="BL1444" i="31"/>
  <c r="BG1444" i="31"/>
  <c r="BB1444" i="31"/>
  <c r="AW1444" i="31"/>
  <c r="AR1444" i="31"/>
  <c r="AM1444" i="31"/>
  <c r="AH1444" i="31"/>
  <c r="AC1444" i="31"/>
  <c r="X1444" i="31"/>
  <c r="S1444" i="31"/>
  <c r="N1444" i="31"/>
  <c r="I1444" i="31"/>
  <c r="BQ1443" i="31"/>
  <c r="BL1443" i="31"/>
  <c r="BG1443" i="31"/>
  <c r="BB1443" i="31"/>
  <c r="AW1443" i="31"/>
  <c r="AR1443" i="31"/>
  <c r="AM1443" i="31"/>
  <c r="AH1443" i="31"/>
  <c r="AC1443" i="31"/>
  <c r="X1443" i="31"/>
  <c r="S1443" i="31"/>
  <c r="N1443" i="31"/>
  <c r="I1443" i="31"/>
  <c r="CX61" i="31" l="1"/>
  <c r="EK88" i="9"/>
  <c r="DM61" i="31"/>
  <c r="EZ88" i="9"/>
  <c r="BO1451" i="31"/>
  <c r="DR56" i="31"/>
  <c r="FJ88" i="9" s="1"/>
  <c r="DH61" i="31"/>
  <c r="CN56" i="31"/>
  <c r="EF88" i="9" s="1"/>
  <c r="CS1492" i="31"/>
  <c r="BQ1462" i="31"/>
  <c r="BP1462" i="31" s="1"/>
  <c r="BV1448" i="31"/>
  <c r="S1448" i="31"/>
  <c r="AC1448" i="31"/>
  <c r="AM1448" i="31"/>
  <c r="AW1448" i="31"/>
  <c r="BG1448" i="31"/>
  <c r="BQ1448" i="31"/>
  <c r="S1449" i="31"/>
  <c r="AC1449" i="31"/>
  <c r="AM1449" i="31"/>
  <c r="AW1449" i="31"/>
  <c r="BG1449" i="31"/>
  <c r="BQ1449" i="31"/>
  <c r="X1448" i="31"/>
  <c r="AH1448" i="31"/>
  <c r="AR1448" i="31"/>
  <c r="BB1448" i="31"/>
  <c r="BL1448" i="31"/>
  <c r="X1449" i="31"/>
  <c r="AH1449" i="31"/>
  <c r="AR1449" i="31"/>
  <c r="BB1449" i="31"/>
  <c r="BL1449" i="31"/>
  <c r="BY1473" i="31"/>
  <c r="BY1462" i="31"/>
  <c r="BY1445" i="31"/>
  <c r="W122" i="9"/>
  <c r="W80" i="9"/>
  <c r="AB80" i="9"/>
  <c r="N1448" i="31"/>
  <c r="I1448" i="31"/>
  <c r="N1449" i="31"/>
  <c r="I1449" i="31"/>
  <c r="BG1445" i="31"/>
  <c r="BM1451" i="31"/>
  <c r="BG1473" i="31"/>
  <c r="BF1473" i="31" s="1"/>
  <c r="BE1473" i="31" s="1"/>
  <c r="BD1473" i="31" s="1"/>
  <c r="BC1473" i="31" s="1"/>
  <c r="BB1473" i="31" s="1"/>
  <c r="BA1473" i="31" s="1"/>
  <c r="AZ1473" i="31" s="1"/>
  <c r="AY1473" i="31" s="1"/>
  <c r="AX1473" i="31" s="1"/>
  <c r="BL1462" i="31"/>
  <c r="BK1462" i="31" s="1"/>
  <c r="BJ1462" i="31" s="1"/>
  <c r="BI1462" i="31" s="1"/>
  <c r="BH1462" i="31" s="1"/>
  <c r="BG1462" i="31" s="1"/>
  <c r="BF1462" i="31" s="1"/>
  <c r="BE1462" i="31" s="1"/>
  <c r="BD1462" i="31" s="1"/>
  <c r="BC1462" i="31" s="1"/>
  <c r="BB1462" i="31" s="1"/>
  <c r="BA1462" i="31" s="1"/>
  <c r="AZ1462" i="31" s="1"/>
  <c r="AY1462" i="31" s="1"/>
  <c r="AX1462" i="31" s="1"/>
  <c r="AW1462" i="31" s="1"/>
  <c r="AV1462" i="31" s="1"/>
  <c r="AU1462" i="31" s="1"/>
  <c r="AT1462" i="31" s="1"/>
  <c r="AS1462" i="31" s="1"/>
  <c r="AR1462" i="31" s="1"/>
  <c r="AQ1462" i="31" s="1"/>
  <c r="AP1462" i="31" s="1"/>
  <c r="AO1462" i="31" s="1"/>
  <c r="AN1462" i="31" s="1"/>
  <c r="AM1462" i="31" s="1"/>
  <c r="AL1462" i="31" s="1"/>
  <c r="AK1462" i="31" s="1"/>
  <c r="AJ1462" i="31" s="1"/>
  <c r="AI1462" i="31" s="1"/>
  <c r="AH1462" i="31" s="1"/>
  <c r="AG1462" i="31" s="1"/>
  <c r="AF1462" i="31" s="1"/>
  <c r="AE1462" i="31" s="1"/>
  <c r="AD1462" i="31" s="1"/>
  <c r="AC1462" i="31" s="1"/>
  <c r="AB1462" i="31" s="1"/>
  <c r="AA1462" i="31" s="1"/>
  <c r="Z1462" i="31" s="1"/>
  <c r="Y1462" i="31" s="1"/>
  <c r="X1462" i="31" s="1"/>
  <c r="W1462" i="31" s="1"/>
  <c r="V1462" i="31" s="1"/>
  <c r="U1462" i="31" s="1"/>
  <c r="T1462" i="31" s="1"/>
  <c r="S1462" i="31" s="1"/>
  <c r="R1462" i="31" s="1"/>
  <c r="Q1462" i="31" s="1"/>
  <c r="P1462" i="31" s="1"/>
  <c r="O1462" i="31" s="1"/>
  <c r="BT1445" i="31"/>
  <c r="I1445" i="31"/>
  <c r="N1445" i="31"/>
  <c r="S1445" i="31"/>
  <c r="X1445" i="31"/>
  <c r="AC1445" i="31"/>
  <c r="AH1445" i="31"/>
  <c r="AM1445" i="31"/>
  <c r="AR1445" i="31"/>
  <c r="AW1445" i="31"/>
  <c r="BB1445" i="31"/>
  <c r="BN1451" i="31"/>
  <c r="BL1445" i="31"/>
  <c r="BQ1445" i="31"/>
  <c r="BQ1473" i="31"/>
  <c r="BP1473" i="31" s="1"/>
  <c r="BL1473" i="31"/>
  <c r="BK1473" i="31" s="1"/>
  <c r="BJ1473" i="31" s="1"/>
  <c r="BI1473" i="31" s="1"/>
  <c r="N1462" i="31"/>
  <c r="M1462" i="31" s="1"/>
  <c r="L1462" i="31" s="1"/>
  <c r="K1462" i="31" s="1"/>
  <c r="J1462" i="31" s="1"/>
  <c r="I1462" i="31"/>
  <c r="BR1438" i="31"/>
  <c r="BP1438" i="31"/>
  <c r="BO1438" i="31"/>
  <c r="BN1438" i="31"/>
  <c r="BM1438" i="31"/>
  <c r="BK1438" i="31"/>
  <c r="BJ1438" i="31"/>
  <c r="BI1438" i="31"/>
  <c r="BH1438" i="31"/>
  <c r="BF1438" i="31"/>
  <c r="BF1439" i="31" s="1"/>
  <c r="BE1438" i="31"/>
  <c r="BE1439" i="31" s="1"/>
  <c r="BD1438" i="31"/>
  <c r="BD1439" i="31" s="1"/>
  <c r="BC1438" i="31"/>
  <c r="BC1439" i="31" s="1"/>
  <c r="BA1438" i="31"/>
  <c r="AZ1438" i="31"/>
  <c r="AY1438" i="31"/>
  <c r="AX1438" i="31"/>
  <c r="AV1438" i="31"/>
  <c r="AU1438" i="31"/>
  <c r="AT1438" i="31"/>
  <c r="AS1438" i="31"/>
  <c r="AQ1438" i="31"/>
  <c r="AP1438" i="31"/>
  <c r="AO1438" i="31"/>
  <c r="AN1438" i="31"/>
  <c r="AL1438" i="31"/>
  <c r="AK1438" i="31"/>
  <c r="AJ1438" i="31"/>
  <c r="AI1438" i="31"/>
  <c r="AG1438" i="31"/>
  <c r="AF1438" i="31"/>
  <c r="AE1438" i="31"/>
  <c r="AD1438" i="31"/>
  <c r="AB1438" i="31"/>
  <c r="AA1438" i="31"/>
  <c r="Z1438" i="31"/>
  <c r="Y1438" i="31"/>
  <c r="W1438" i="31"/>
  <c r="V1438" i="31"/>
  <c r="U1438" i="31"/>
  <c r="T1438" i="31"/>
  <c r="R1438" i="31"/>
  <c r="Q1438" i="31"/>
  <c r="P1438" i="31"/>
  <c r="O1438" i="31"/>
  <c r="M1438" i="31"/>
  <c r="L1438" i="31"/>
  <c r="K1438" i="31"/>
  <c r="J1438" i="31"/>
  <c r="BR1437" i="31"/>
  <c r="BP1437" i="31"/>
  <c r="BO1437" i="31"/>
  <c r="BN1437" i="31"/>
  <c r="BM1437" i="31"/>
  <c r="BK1437" i="31"/>
  <c r="BJ1437" i="31"/>
  <c r="BI1437" i="31"/>
  <c r="BH1437" i="31"/>
  <c r="BF1437" i="31"/>
  <c r="BE1437" i="31"/>
  <c r="BD1437" i="31"/>
  <c r="BC1437" i="31"/>
  <c r="BA1437" i="31"/>
  <c r="AZ1437" i="31"/>
  <c r="AY1437" i="31"/>
  <c r="AX1437" i="31"/>
  <c r="AV1437" i="31"/>
  <c r="AU1437" i="31"/>
  <c r="AT1437" i="31"/>
  <c r="AS1437" i="31"/>
  <c r="AQ1437" i="31"/>
  <c r="AP1437" i="31"/>
  <c r="AO1437" i="31"/>
  <c r="AN1437" i="31"/>
  <c r="AL1437" i="31"/>
  <c r="AK1437" i="31"/>
  <c r="AJ1437" i="31"/>
  <c r="AI1437" i="31"/>
  <c r="AG1437" i="31"/>
  <c r="AF1437" i="31"/>
  <c r="AE1437" i="31"/>
  <c r="AD1437" i="31"/>
  <c r="AB1437" i="31"/>
  <c r="AA1437" i="31"/>
  <c r="Z1437" i="31"/>
  <c r="Y1437" i="31"/>
  <c r="W1437" i="31"/>
  <c r="V1437" i="31"/>
  <c r="U1437" i="31"/>
  <c r="T1437" i="31"/>
  <c r="R1437" i="31"/>
  <c r="Q1437" i="31"/>
  <c r="P1437" i="31"/>
  <c r="O1437" i="31"/>
  <c r="M1437" i="31"/>
  <c r="L1437" i="31"/>
  <c r="K1437" i="31"/>
  <c r="J1437" i="31"/>
  <c r="BR1434" i="31"/>
  <c r="DR61" i="31" l="1"/>
  <c r="CS61" i="31"/>
  <c r="BY1451" i="31"/>
  <c r="BU1470" i="31"/>
  <c r="BG1451" i="31"/>
  <c r="BF1451" i="31" s="1"/>
  <c r="BE1451" i="31" s="1"/>
  <c r="BD1451" i="31" s="1"/>
  <c r="BC1451" i="31" s="1"/>
  <c r="BB1451" i="31" s="1"/>
  <c r="BA1451" i="31" s="1"/>
  <c r="AZ1451" i="31" s="1"/>
  <c r="AY1451" i="31" s="1"/>
  <c r="AX1451" i="31" s="1"/>
  <c r="AW1451" i="31" s="1"/>
  <c r="AV1451" i="31" s="1"/>
  <c r="AU1451" i="31" s="1"/>
  <c r="AT1451" i="31" s="1"/>
  <c r="AS1451" i="31" s="1"/>
  <c r="AR1451" i="31" s="1"/>
  <c r="AQ1451" i="31" s="1"/>
  <c r="AP1451" i="31" s="1"/>
  <c r="AO1451" i="31" s="1"/>
  <c r="AN1451" i="31" s="1"/>
  <c r="AM1451" i="31" s="1"/>
  <c r="AL1451" i="31" s="1"/>
  <c r="AK1451" i="31" s="1"/>
  <c r="AJ1451" i="31" s="1"/>
  <c r="AI1451" i="31" s="1"/>
  <c r="AH1451" i="31" s="1"/>
  <c r="AG1451" i="31" s="1"/>
  <c r="AF1451" i="31" s="1"/>
  <c r="AE1451" i="31" s="1"/>
  <c r="AD1451" i="31" s="1"/>
  <c r="AC1451" i="31" s="1"/>
  <c r="AB1451" i="31" s="1"/>
  <c r="AA1451" i="31" s="1"/>
  <c r="Z1451" i="31" s="1"/>
  <c r="Y1451" i="31" s="1"/>
  <c r="X1451" i="31" s="1"/>
  <c r="W1451" i="31" s="1"/>
  <c r="V1451" i="31" s="1"/>
  <c r="U1451" i="31" s="1"/>
  <c r="T1451" i="31" s="1"/>
  <c r="S1451" i="31" s="1"/>
  <c r="R1451" i="31" s="1"/>
  <c r="Q1451" i="31" s="1"/>
  <c r="P1451" i="31" s="1"/>
  <c r="O1451" i="31" s="1"/>
  <c r="N1451" i="31" s="1"/>
  <c r="M1451" i="31" s="1"/>
  <c r="L1451" i="31" s="1"/>
  <c r="K1451" i="31" s="1"/>
  <c r="J1451" i="31" s="1"/>
  <c r="I1451" i="31" s="1"/>
  <c r="BL1451" i="31"/>
  <c r="BK1451" i="31" s="1"/>
  <c r="BJ1451" i="31" s="1"/>
  <c r="BI1451" i="31" s="1"/>
  <c r="BH1451" i="31" s="1"/>
  <c r="BQ1451" i="31"/>
  <c r="BP1451" i="31" s="1"/>
  <c r="DH56" i="9"/>
  <c r="BP1434" i="31"/>
  <c r="BO1434" i="31"/>
  <c r="BN1434" i="31"/>
  <c r="BM1434" i="31"/>
  <c r="BK1434" i="31"/>
  <c r="BJ1434" i="31"/>
  <c r="BI1434" i="31"/>
  <c r="BH1434" i="31"/>
  <c r="BF1434" i="31"/>
  <c r="BE1434" i="31"/>
  <c r="BD1434" i="31"/>
  <c r="BC1434" i="31"/>
  <c r="BA1434" i="31"/>
  <c r="AZ1434" i="31"/>
  <c r="AY1434" i="31"/>
  <c r="AX1434" i="31"/>
  <c r="AV1434" i="31"/>
  <c r="AU1434" i="31"/>
  <c r="AT1434" i="31"/>
  <c r="AS1434" i="31"/>
  <c r="AQ1434" i="31"/>
  <c r="AP1434" i="31"/>
  <c r="AO1434" i="31"/>
  <c r="AN1434" i="31"/>
  <c r="AL1434" i="31"/>
  <c r="AK1434" i="31"/>
  <c r="AJ1434" i="31"/>
  <c r="AI1434" i="31"/>
  <c r="AG1434" i="31"/>
  <c r="AF1434" i="31"/>
  <c r="AE1434" i="31"/>
  <c r="AD1434" i="31"/>
  <c r="AB1434" i="31"/>
  <c r="AA1434" i="31"/>
  <c r="Z1434" i="31"/>
  <c r="Y1434" i="31"/>
  <c r="W1434" i="31"/>
  <c r="V1434" i="31"/>
  <c r="U1434" i="31"/>
  <c r="T1434" i="31"/>
  <c r="R1434" i="31"/>
  <c r="Q1434" i="31"/>
  <c r="P1434" i="31"/>
  <c r="O1434" i="31"/>
  <c r="M1434" i="31"/>
  <c r="L1434" i="31"/>
  <c r="K1434" i="31"/>
  <c r="J1434" i="31"/>
  <c r="H1434" i="31"/>
  <c r="G1434" i="31"/>
  <c r="F1434" i="31"/>
  <c r="E1434" i="31"/>
  <c r="D1434" i="31"/>
  <c r="BQ1433" i="31"/>
  <c r="BV1438" i="31" s="1"/>
  <c r="BL1433" i="31"/>
  <c r="BG1433" i="31"/>
  <c r="BB1433" i="31"/>
  <c r="AW1433" i="31"/>
  <c r="AR1433" i="31"/>
  <c r="AM1433" i="31"/>
  <c r="AH1433" i="31"/>
  <c r="AC1433" i="31"/>
  <c r="X1433" i="31"/>
  <c r="S1433" i="31"/>
  <c r="N1433" i="31"/>
  <c r="I1433" i="31"/>
  <c r="BO1440" i="31" l="1"/>
  <c r="CA1465" i="31"/>
  <c r="BL1434" i="31"/>
  <c r="BU1448" i="31"/>
  <c r="N1438" i="31"/>
  <c r="I1438" i="31"/>
  <c r="S1438" i="31"/>
  <c r="X1438" i="31"/>
  <c r="AC1438" i="31"/>
  <c r="AH1438" i="31"/>
  <c r="AM1438" i="31"/>
  <c r="AR1438" i="31"/>
  <c r="AW1438" i="31"/>
  <c r="BB1438" i="31"/>
  <c r="BG1438" i="31"/>
  <c r="BL1438" i="31"/>
  <c r="BQ1438" i="31"/>
  <c r="BR1440" i="31"/>
  <c r="BN1440" i="31"/>
  <c r="BM1440" i="31" s="1"/>
  <c r="BQ1434" i="31"/>
  <c r="BQ1432" i="31"/>
  <c r="BV1437" i="31" s="1"/>
  <c r="BL1432" i="31"/>
  <c r="BG1432" i="31"/>
  <c r="BB1432" i="31"/>
  <c r="AW1432" i="31"/>
  <c r="AR1432" i="31"/>
  <c r="AM1432" i="31"/>
  <c r="AH1432" i="31"/>
  <c r="AC1432" i="31"/>
  <c r="X1432" i="31"/>
  <c r="S1432" i="31"/>
  <c r="N1432" i="31"/>
  <c r="I1432" i="31"/>
  <c r="CA1470" i="31" l="1"/>
  <c r="CF1465" i="31"/>
  <c r="CF1470" i="31" s="1"/>
  <c r="CK1465" i="31"/>
  <c r="CP1470" i="31" s="1"/>
  <c r="CA1443" i="31"/>
  <c r="BY1434" i="31"/>
  <c r="N1437" i="31"/>
  <c r="I1437" i="31"/>
  <c r="I1434" i="31"/>
  <c r="S1437" i="31"/>
  <c r="N1434" i="31"/>
  <c r="X1437" i="31"/>
  <c r="S1434" i="31"/>
  <c r="AC1437" i="31"/>
  <c r="X1434" i="31"/>
  <c r="AH1437" i="31"/>
  <c r="AC1434" i="31"/>
  <c r="AM1437" i="31"/>
  <c r="AH1434" i="31"/>
  <c r="AR1437" i="31"/>
  <c r="AM1434" i="31"/>
  <c r="AW1437" i="31"/>
  <c r="AR1434" i="31"/>
  <c r="BB1437" i="31"/>
  <c r="AW1434" i="31"/>
  <c r="BG1437" i="31"/>
  <c r="BB1434" i="31"/>
  <c r="BL1437" i="31"/>
  <c r="BG1434" i="31"/>
  <c r="BL1440" i="31" s="1"/>
  <c r="BK1440" i="31" s="1"/>
  <c r="BJ1440" i="31" s="1"/>
  <c r="BI1440" i="31" s="1"/>
  <c r="BH1440" i="31" s="1"/>
  <c r="BQ1437" i="31"/>
  <c r="BQ1440" i="31"/>
  <c r="BP1440" i="31" s="1"/>
  <c r="BR1427" i="31"/>
  <c r="BP1427" i="31"/>
  <c r="BO1427" i="31"/>
  <c r="BN1427" i="31"/>
  <c r="BM1427" i="31"/>
  <c r="BK1427" i="31"/>
  <c r="BJ1427" i="31"/>
  <c r="BI1427" i="31"/>
  <c r="BH1427" i="31"/>
  <c r="BF1427" i="31"/>
  <c r="BF1428" i="31" s="1"/>
  <c r="BE1427" i="31"/>
  <c r="BE1428" i="31" s="1"/>
  <c r="BD1427" i="31"/>
  <c r="BD1428" i="31" s="1"/>
  <c r="BC1427" i="31"/>
  <c r="BC1428" i="31" s="1"/>
  <c r="BA1427" i="31"/>
  <c r="AZ1427" i="31"/>
  <c r="AY1427" i="31"/>
  <c r="AX1427" i="31"/>
  <c r="AV1427" i="31"/>
  <c r="AU1427" i="31"/>
  <c r="AT1427" i="31"/>
  <c r="AS1427" i="31"/>
  <c r="AQ1427" i="31"/>
  <c r="AP1427" i="31"/>
  <c r="AO1427" i="31"/>
  <c r="AN1427" i="31"/>
  <c r="AL1427" i="31"/>
  <c r="AK1427" i="31"/>
  <c r="AJ1427" i="31"/>
  <c r="AI1427" i="31"/>
  <c r="AG1427" i="31"/>
  <c r="AF1427" i="31"/>
  <c r="AE1427" i="31"/>
  <c r="AD1427" i="31"/>
  <c r="AB1427" i="31"/>
  <c r="AA1427" i="31"/>
  <c r="Z1427" i="31"/>
  <c r="Y1427" i="31"/>
  <c r="W1427" i="31"/>
  <c r="V1427" i="31"/>
  <c r="U1427" i="31"/>
  <c r="T1427" i="31"/>
  <c r="R1427" i="31"/>
  <c r="Q1427" i="31"/>
  <c r="P1427" i="31"/>
  <c r="O1427" i="31"/>
  <c r="M1427" i="31"/>
  <c r="L1427" i="31"/>
  <c r="K1427" i="31"/>
  <c r="J1427" i="31"/>
  <c r="BR1426" i="31"/>
  <c r="BP1426" i="31"/>
  <c r="BO1426" i="31"/>
  <c r="BN1426" i="31"/>
  <c r="BM1426" i="31"/>
  <c r="BK1426" i="31"/>
  <c r="BJ1426" i="31"/>
  <c r="BI1426" i="31"/>
  <c r="BH1426" i="31"/>
  <c r="BF1426" i="31"/>
  <c r="BE1426" i="31"/>
  <c r="BD1426" i="31"/>
  <c r="BC1426" i="31"/>
  <c r="BA1426" i="31"/>
  <c r="AZ1426" i="31"/>
  <c r="AY1426" i="31"/>
  <c r="AX1426" i="31"/>
  <c r="AV1426" i="31"/>
  <c r="AU1426" i="31"/>
  <c r="AT1426" i="31"/>
  <c r="AS1426" i="31"/>
  <c r="AQ1426" i="31"/>
  <c r="AP1426" i="31"/>
  <c r="AO1426" i="31"/>
  <c r="AN1426" i="31"/>
  <c r="AL1426" i="31"/>
  <c r="AK1426" i="31"/>
  <c r="AJ1426" i="31"/>
  <c r="AI1426" i="31"/>
  <c r="AG1426" i="31"/>
  <c r="AF1426" i="31"/>
  <c r="AE1426" i="31"/>
  <c r="AD1426" i="31"/>
  <c r="AB1426" i="31"/>
  <c r="AA1426" i="31"/>
  <c r="Z1426" i="31"/>
  <c r="Y1426" i="31"/>
  <c r="W1426" i="31"/>
  <c r="V1426" i="31"/>
  <c r="U1426" i="31"/>
  <c r="T1426" i="31"/>
  <c r="R1426" i="31"/>
  <c r="Q1426" i="31"/>
  <c r="P1426" i="31"/>
  <c r="O1426" i="31"/>
  <c r="M1426" i="31"/>
  <c r="L1426" i="31"/>
  <c r="K1426" i="31"/>
  <c r="J1426" i="31"/>
  <c r="BR1423" i="31"/>
  <c r="CA1448" i="31" l="1"/>
  <c r="CK1470" i="31"/>
  <c r="CF1443" i="31"/>
  <c r="CF1448" i="31" s="1"/>
  <c r="BW1429" i="31"/>
  <c r="BG1440" i="31"/>
  <c r="BF1440" i="31" s="1"/>
  <c r="BE1440" i="31" s="1"/>
  <c r="BD1440" i="31" s="1"/>
  <c r="BC1440" i="31" s="1"/>
  <c r="BB1440" i="31"/>
  <c r="BA1440" i="31" s="1"/>
  <c r="AZ1440" i="31" s="1"/>
  <c r="AY1440" i="31" s="1"/>
  <c r="AX1440" i="31" s="1"/>
  <c r="AW1440" i="31"/>
  <c r="AV1440" i="31" s="1"/>
  <c r="AU1440" i="31" s="1"/>
  <c r="AT1440" i="31" s="1"/>
  <c r="AS1440" i="31" s="1"/>
  <c r="AR1440" i="31"/>
  <c r="AQ1440" i="31" s="1"/>
  <c r="AP1440" i="31" s="1"/>
  <c r="AO1440" i="31" s="1"/>
  <c r="AN1440" i="31" s="1"/>
  <c r="N1440" i="31"/>
  <c r="M1440" i="31" s="1"/>
  <c r="L1440" i="31" s="1"/>
  <c r="K1440" i="31" s="1"/>
  <c r="J1440" i="31" s="1"/>
  <c r="I1440" i="31"/>
  <c r="AM1440" i="31"/>
  <c r="AL1440" i="31" s="1"/>
  <c r="AK1440" i="31" s="1"/>
  <c r="AJ1440" i="31" s="1"/>
  <c r="AI1440" i="31" s="1"/>
  <c r="AH1440" i="31"/>
  <c r="AG1440" i="31" s="1"/>
  <c r="AF1440" i="31" s="1"/>
  <c r="AE1440" i="31" s="1"/>
  <c r="AD1440" i="31" s="1"/>
  <c r="AC1440" i="31"/>
  <c r="AB1440" i="31" s="1"/>
  <c r="AA1440" i="31" s="1"/>
  <c r="Z1440" i="31" s="1"/>
  <c r="Y1440" i="31" s="1"/>
  <c r="X1440" i="31"/>
  <c r="W1440" i="31" s="1"/>
  <c r="V1440" i="31" s="1"/>
  <c r="U1440" i="31" s="1"/>
  <c r="T1440" i="31" s="1"/>
  <c r="S1440" i="31"/>
  <c r="R1440" i="31" s="1"/>
  <c r="Q1440" i="31" s="1"/>
  <c r="P1440" i="31" s="1"/>
  <c r="O1440" i="31" s="1"/>
  <c r="BP1423" i="31"/>
  <c r="BO1423" i="31"/>
  <c r="BN1423" i="31"/>
  <c r="BM1423" i="31"/>
  <c r="BR1429" i="31" s="1"/>
  <c r="BK1423" i="31"/>
  <c r="BJ1423" i="31"/>
  <c r="BI1423" i="31"/>
  <c r="BH1423" i="31"/>
  <c r="BF1423" i="31"/>
  <c r="BE1423" i="31"/>
  <c r="BD1423" i="31"/>
  <c r="BC1423" i="31"/>
  <c r="BA1423" i="31"/>
  <c r="AZ1423" i="31"/>
  <c r="AY1423" i="31"/>
  <c r="AX1423" i="31"/>
  <c r="AV1423" i="31"/>
  <c r="AU1423" i="31"/>
  <c r="AT1423" i="31"/>
  <c r="AS1423" i="31"/>
  <c r="AQ1423" i="31"/>
  <c r="AP1423" i="31"/>
  <c r="AO1423" i="31"/>
  <c r="AN1423" i="31"/>
  <c r="AL1423" i="31"/>
  <c r="AK1423" i="31"/>
  <c r="AJ1423" i="31"/>
  <c r="AI1423" i="31"/>
  <c r="AG1423" i="31"/>
  <c r="AF1423" i="31"/>
  <c r="AE1423" i="31"/>
  <c r="AD1423" i="31"/>
  <c r="AB1423" i="31"/>
  <c r="AA1423" i="31"/>
  <c r="Z1423" i="31"/>
  <c r="Y1423" i="31"/>
  <c r="W1423" i="31"/>
  <c r="V1423" i="31"/>
  <c r="U1423" i="31"/>
  <c r="T1423" i="31"/>
  <c r="R1423" i="31"/>
  <c r="Q1423" i="31"/>
  <c r="P1423" i="31"/>
  <c r="O1423" i="31"/>
  <c r="M1423" i="31"/>
  <c r="L1423" i="31"/>
  <c r="K1423" i="31"/>
  <c r="J1423" i="31"/>
  <c r="H1423" i="31"/>
  <c r="G1423" i="31"/>
  <c r="F1423" i="31"/>
  <c r="E1423" i="31"/>
  <c r="D1423" i="31"/>
  <c r="BQ1422" i="31"/>
  <c r="BL1422" i="31"/>
  <c r="BG1422" i="31"/>
  <c r="BB1422" i="31"/>
  <c r="AW1422" i="31"/>
  <c r="AR1422" i="31"/>
  <c r="AM1422" i="31"/>
  <c r="AH1422" i="31"/>
  <c r="AC1422" i="31"/>
  <c r="X1422" i="31"/>
  <c r="S1422" i="31"/>
  <c r="N1422" i="31"/>
  <c r="I1422" i="31"/>
  <c r="BQ1421" i="31"/>
  <c r="BL1421" i="31"/>
  <c r="BL1487" i="31" s="1"/>
  <c r="BG1421" i="31"/>
  <c r="BB1421" i="31"/>
  <c r="AW1421" i="31"/>
  <c r="AR1421" i="31"/>
  <c r="AM1421" i="31"/>
  <c r="AH1421" i="31"/>
  <c r="AC1421" i="31"/>
  <c r="X1421" i="31"/>
  <c r="S1421" i="31"/>
  <c r="N1421" i="31"/>
  <c r="N1487" i="31" s="1"/>
  <c r="I1421" i="31"/>
  <c r="AH1487" i="31" l="1"/>
  <c r="S1487" i="31"/>
  <c r="AW1487" i="31"/>
  <c r="AR1487" i="31"/>
  <c r="X1487" i="31"/>
  <c r="BB1487" i="31"/>
  <c r="AM1487" i="31"/>
  <c r="AC1487" i="31"/>
  <c r="BM1429" i="31"/>
  <c r="BO1429" i="31"/>
  <c r="CK1443" i="31"/>
  <c r="CK1448" i="31" s="1"/>
  <c r="CI1487" i="31"/>
  <c r="CF1432" i="31"/>
  <c r="CK1432" i="31"/>
  <c r="CP1437" i="31" s="1"/>
  <c r="CD1487" i="31"/>
  <c r="BQ1487" i="31"/>
  <c r="BV1426" i="31"/>
  <c r="BQ1488" i="31"/>
  <c r="BV1427" i="31"/>
  <c r="BY1488" i="31"/>
  <c r="BY1423" i="31"/>
  <c r="BY1487" i="31"/>
  <c r="I1487" i="31"/>
  <c r="I1426" i="31"/>
  <c r="BG1487" i="31"/>
  <c r="BL1426" i="31"/>
  <c r="I1488" i="31"/>
  <c r="N1427" i="31"/>
  <c r="I1427" i="31"/>
  <c r="N1488" i="31"/>
  <c r="S1427" i="31"/>
  <c r="S1488" i="31"/>
  <c r="X1427" i="31"/>
  <c r="X1488" i="31"/>
  <c r="AC1427" i="31"/>
  <c r="AC1488" i="31"/>
  <c r="AH1427" i="31"/>
  <c r="AH1488" i="31"/>
  <c r="AM1427" i="31"/>
  <c r="AM1488" i="31"/>
  <c r="AR1427" i="31"/>
  <c r="AR1488" i="31"/>
  <c r="AW1427" i="31"/>
  <c r="AW1488" i="31"/>
  <c r="BB1427" i="31"/>
  <c r="BB1488" i="31"/>
  <c r="BG1427" i="31"/>
  <c r="BG1488" i="31"/>
  <c r="BL1427" i="31"/>
  <c r="BL1488" i="31"/>
  <c r="BQ1427" i="31"/>
  <c r="BU1437" i="31"/>
  <c r="BT1423" i="31"/>
  <c r="I1423" i="31"/>
  <c r="N1423" i="31"/>
  <c r="S1423" i="31"/>
  <c r="X1423" i="31"/>
  <c r="AC1423" i="31"/>
  <c r="AH1423" i="31"/>
  <c r="AM1423" i="31"/>
  <c r="AR1423" i="31"/>
  <c r="AW1423" i="31"/>
  <c r="BB1423" i="31"/>
  <c r="BG1423" i="31"/>
  <c r="BN1429" i="31"/>
  <c r="BL1423" i="31"/>
  <c r="BQ1423" i="31"/>
  <c r="BQ1426" i="31"/>
  <c r="BG1426" i="31"/>
  <c r="BB1426" i="31"/>
  <c r="AW1426" i="31"/>
  <c r="AR1426" i="31"/>
  <c r="AM1426" i="31"/>
  <c r="AH1426" i="31"/>
  <c r="AC1426" i="31"/>
  <c r="X1426" i="31"/>
  <c r="S1426" i="31"/>
  <c r="N1426" i="31"/>
  <c r="AM1492" i="31" l="1"/>
  <c r="AL1492" i="31" s="1"/>
  <c r="AK1492" i="31" s="1"/>
  <c r="AJ1492" i="31" s="1"/>
  <c r="AI1492" i="31" s="1"/>
  <c r="CN1492" i="31"/>
  <c r="BQ1492" i="31"/>
  <c r="BP1492" i="31" s="1"/>
  <c r="BO1492" i="31" s="1"/>
  <c r="BN1492" i="31" s="1"/>
  <c r="BM1492" i="31" s="1"/>
  <c r="AW1489" i="31"/>
  <c r="AH1489" i="31"/>
  <c r="CD56" i="31"/>
  <c r="DV88" i="9" s="1"/>
  <c r="S1492" i="31"/>
  <c r="R1492" i="31" s="1"/>
  <c r="Q1492" i="31" s="1"/>
  <c r="P1492" i="31" s="1"/>
  <c r="O1492" i="31" s="1"/>
  <c r="N1489" i="31"/>
  <c r="X1492" i="31"/>
  <c r="W1492" i="31" s="1"/>
  <c r="V1492" i="31" s="1"/>
  <c r="U1492" i="31" s="1"/>
  <c r="T1492" i="31" s="1"/>
  <c r="AR1492" i="31"/>
  <c r="AQ1492" i="31" s="1"/>
  <c r="AP1492" i="31" s="1"/>
  <c r="AO1492" i="31" s="1"/>
  <c r="AN1492" i="31" s="1"/>
  <c r="S1489" i="31"/>
  <c r="AH1492" i="31"/>
  <c r="AG1492" i="31" s="1"/>
  <c r="AF1492" i="31" s="1"/>
  <c r="AE1492" i="31" s="1"/>
  <c r="AD1492" i="31" s="1"/>
  <c r="BB1492" i="31"/>
  <c r="BA1492" i="31" s="1"/>
  <c r="AZ1492" i="31" s="1"/>
  <c r="AY1492" i="31" s="1"/>
  <c r="AX1492" i="31" s="1"/>
  <c r="X1489" i="31"/>
  <c r="AC1492" i="31"/>
  <c r="AB1492" i="31" s="1"/>
  <c r="AA1492" i="31" s="1"/>
  <c r="Z1492" i="31" s="1"/>
  <c r="Y1492" i="31" s="1"/>
  <c r="AC1489" i="31"/>
  <c r="AW1492" i="31"/>
  <c r="AV1492" i="31" s="1"/>
  <c r="AU1492" i="31" s="1"/>
  <c r="AT1492" i="31" s="1"/>
  <c r="AS1492" i="31" s="1"/>
  <c r="CP1443" i="31"/>
  <c r="CI1492" i="31"/>
  <c r="CK1437" i="31"/>
  <c r="CI56" i="31"/>
  <c r="EA88" i="9" s="1"/>
  <c r="CD1492" i="31"/>
  <c r="BQ1489" i="31"/>
  <c r="BQ1493" i="31"/>
  <c r="BP1493" i="31" s="1"/>
  <c r="BO1493" i="31" s="1"/>
  <c r="BN1493" i="31" s="1"/>
  <c r="BM1493" i="31" s="1"/>
  <c r="BL1493" i="31" s="1"/>
  <c r="BK1493" i="31" s="1"/>
  <c r="BJ1493" i="31" s="1"/>
  <c r="BI1493" i="31" s="1"/>
  <c r="BI1494" i="31" s="1"/>
  <c r="BH1494" i="31" s="1"/>
  <c r="BY57" i="31"/>
  <c r="DQ89" i="9" s="1"/>
  <c r="BY56" i="31"/>
  <c r="BY1489" i="31"/>
  <c r="BY1429" i="31"/>
  <c r="BL1429" i="31"/>
  <c r="BK1429" i="31" s="1"/>
  <c r="BJ1429" i="31" s="1"/>
  <c r="BI1429" i="31" s="1"/>
  <c r="BH1429" i="31" s="1"/>
  <c r="BG1429" i="31" s="1"/>
  <c r="BF1429" i="31" s="1"/>
  <c r="BE1429" i="31" s="1"/>
  <c r="BD1429" i="31" s="1"/>
  <c r="BC1429" i="31" s="1"/>
  <c r="BB1429" i="31" s="1"/>
  <c r="BA1429" i="31" s="1"/>
  <c r="AZ1429" i="31" s="1"/>
  <c r="AY1429" i="31" s="1"/>
  <c r="AX1429" i="31" s="1"/>
  <c r="AW1429" i="31" s="1"/>
  <c r="AV1429" i="31" s="1"/>
  <c r="AU1429" i="31" s="1"/>
  <c r="AT1429" i="31" s="1"/>
  <c r="AS1429" i="31" s="1"/>
  <c r="AR1429" i="31" s="1"/>
  <c r="AQ1429" i="31" s="1"/>
  <c r="AP1429" i="31" s="1"/>
  <c r="AO1429" i="31" s="1"/>
  <c r="AN1429" i="31" s="1"/>
  <c r="AM1429" i="31" s="1"/>
  <c r="AL1429" i="31" s="1"/>
  <c r="AK1429" i="31" s="1"/>
  <c r="AJ1429" i="31" s="1"/>
  <c r="AI1429" i="31" s="1"/>
  <c r="AH1429" i="31" s="1"/>
  <c r="AG1429" i="31" s="1"/>
  <c r="AF1429" i="31" s="1"/>
  <c r="AE1429" i="31" s="1"/>
  <c r="AD1429" i="31" s="1"/>
  <c r="AC1429" i="31" s="1"/>
  <c r="AB1429" i="31" s="1"/>
  <c r="AA1429" i="31" s="1"/>
  <c r="Z1429" i="31" s="1"/>
  <c r="Y1429" i="31" s="1"/>
  <c r="X1429" i="31" s="1"/>
  <c r="W1429" i="31" s="1"/>
  <c r="V1429" i="31" s="1"/>
  <c r="U1429" i="31" s="1"/>
  <c r="T1429" i="31" s="1"/>
  <c r="S1429" i="31" s="1"/>
  <c r="R1429" i="31" s="1"/>
  <c r="Q1429" i="31" s="1"/>
  <c r="P1429" i="31" s="1"/>
  <c r="O1429" i="31" s="1"/>
  <c r="N1429" i="31" s="1"/>
  <c r="M1429" i="31" s="1"/>
  <c r="L1429" i="31" s="1"/>
  <c r="K1429" i="31" s="1"/>
  <c r="J1429" i="31" s="1"/>
  <c r="I1429" i="31" s="1"/>
  <c r="N1493" i="31"/>
  <c r="M1493" i="31" s="1"/>
  <c r="L1493" i="31" s="1"/>
  <c r="K1493" i="31" s="1"/>
  <c r="J1493" i="31" s="1"/>
  <c r="I1493" i="31"/>
  <c r="BO1489" i="31"/>
  <c r="BL1492" i="31"/>
  <c r="BK1492" i="31" s="1"/>
  <c r="BJ1492" i="31" s="1"/>
  <c r="BI1492" i="31" s="1"/>
  <c r="BH1492" i="31" s="1"/>
  <c r="BG1489" i="31"/>
  <c r="N1492" i="31"/>
  <c r="M1492" i="31" s="1"/>
  <c r="L1492" i="31" s="1"/>
  <c r="K1492" i="31" s="1"/>
  <c r="J1492" i="31" s="1"/>
  <c r="I1489" i="31"/>
  <c r="I1492" i="31"/>
  <c r="BQ1429" i="31"/>
  <c r="BP1429" i="31" s="1"/>
  <c r="BG1493" i="31"/>
  <c r="BF1493" i="31" s="1"/>
  <c r="AW1493" i="31"/>
  <c r="AV1493" i="31" s="1"/>
  <c r="AV1494" i="31" s="1"/>
  <c r="AR1493" i="31"/>
  <c r="AQ1493" i="31" s="1"/>
  <c r="AP1493" i="31" s="1"/>
  <c r="AO1493" i="31" s="1"/>
  <c r="AN1493" i="31" s="1"/>
  <c r="AM1493" i="31" s="1"/>
  <c r="AL1493" i="31" s="1"/>
  <c r="AK1493" i="31" s="1"/>
  <c r="AJ1493" i="31" s="1"/>
  <c r="AI1493" i="31" s="1"/>
  <c r="AH1493" i="31" s="1"/>
  <c r="AG1493" i="31" s="1"/>
  <c r="AF1493" i="31" s="1"/>
  <c r="AE1493" i="31" s="1"/>
  <c r="AD1493" i="31" s="1"/>
  <c r="AC1493" i="31" s="1"/>
  <c r="AB1493" i="31" s="1"/>
  <c r="AA1493" i="31" s="1"/>
  <c r="Z1493" i="31" s="1"/>
  <c r="Y1493" i="31" s="1"/>
  <c r="X1493" i="31" s="1"/>
  <c r="W1493" i="31" s="1"/>
  <c r="V1493" i="31" s="1"/>
  <c r="U1493" i="31" s="1"/>
  <c r="T1493" i="31" s="1"/>
  <c r="S1493" i="31" s="1"/>
  <c r="R1493" i="31" s="1"/>
  <c r="Q1493" i="31" s="1"/>
  <c r="P1493" i="31" s="1"/>
  <c r="O1493" i="31" s="1"/>
  <c r="BL1489" i="31"/>
  <c r="BB1489" i="31"/>
  <c r="BG1492" i="31"/>
  <c r="BF1492" i="31" s="1"/>
  <c r="BE1492" i="31" s="1"/>
  <c r="BD1492" i="31" s="1"/>
  <c r="BC1492" i="31" s="1"/>
  <c r="AR1489" i="31"/>
  <c r="AM1489" i="31"/>
  <c r="BP1489" i="31" l="1"/>
  <c r="R1489" i="31"/>
  <c r="AV1489" i="31"/>
  <c r="BF1489" i="31"/>
  <c r="AB1489" i="31"/>
  <c r="AL1489" i="31"/>
  <c r="AQ1489" i="31"/>
  <c r="W1489" i="31"/>
  <c r="BA1489" i="31"/>
  <c r="M1489" i="31"/>
  <c r="AG1489" i="31"/>
  <c r="CD61" i="31"/>
  <c r="DQ88" i="9"/>
  <c r="DQ90" i="9" s="1"/>
  <c r="CP1448" i="31"/>
  <c r="CU1443" i="31"/>
  <c r="CI61" i="31"/>
  <c r="CN61" i="31"/>
  <c r="CA1421" i="31"/>
  <c r="BO1495" i="31"/>
  <c r="BN1489" i="31"/>
  <c r="BY58" i="31"/>
  <c r="BQ1495" i="31"/>
  <c r="BE1493" i="31"/>
  <c r="BF1494" i="31"/>
  <c r="H1489" i="31"/>
  <c r="N1495" i="31"/>
  <c r="I1495" i="31"/>
  <c r="BE1489" i="31"/>
  <c r="BU1426" i="31"/>
  <c r="BL1495" i="31"/>
  <c r="BK1495" i="31" l="1"/>
  <c r="AZ1489" i="31"/>
  <c r="AK1489" i="31"/>
  <c r="AU1489" i="31"/>
  <c r="BD1489" i="31"/>
  <c r="AF1489" i="31"/>
  <c r="V1489" i="31"/>
  <c r="AA1489" i="31"/>
  <c r="Q1489" i="31"/>
  <c r="BN1495" i="31"/>
  <c r="BM1495" i="31" s="1"/>
  <c r="G1489" i="31"/>
  <c r="L1489" i="31"/>
  <c r="AP1489" i="31"/>
  <c r="BP1495" i="31"/>
  <c r="CU1448" i="31"/>
  <c r="CZ1448" i="31"/>
  <c r="CA1426" i="31"/>
  <c r="CF1421" i="31"/>
  <c r="CK1421" i="31"/>
  <c r="CP1426" i="31" s="1"/>
  <c r="M1495" i="31"/>
  <c r="BJ1495" i="31"/>
  <c r="BT1487" i="31"/>
  <c r="BD1493" i="31"/>
  <c r="BE1494" i="31"/>
  <c r="BI1495" i="31" l="1"/>
  <c r="AO1489" i="31"/>
  <c r="U1489" i="31"/>
  <c r="AT1489" i="31"/>
  <c r="BY1492" i="31"/>
  <c r="K1489" i="31"/>
  <c r="P1489" i="31"/>
  <c r="AE1489" i="31"/>
  <c r="AJ1489" i="31"/>
  <c r="L1495" i="31"/>
  <c r="F1489" i="31"/>
  <c r="Z1489" i="31"/>
  <c r="BC1489" i="31"/>
  <c r="AY1489" i="31"/>
  <c r="CF1426" i="31"/>
  <c r="CK1426" i="31"/>
  <c r="BC1493" i="31"/>
  <c r="BD1494" i="31"/>
  <c r="BS1487" i="31"/>
  <c r="BT1492" i="31"/>
  <c r="K1495" i="31" l="1"/>
  <c r="O1489" i="31"/>
  <c r="AS1489" i="31"/>
  <c r="BH1495" i="31"/>
  <c r="BG1495" i="31" s="1"/>
  <c r="BF1495" i="31" s="1"/>
  <c r="BE1495" i="31" s="1"/>
  <c r="BD1495" i="31" s="1"/>
  <c r="AI1489" i="31"/>
  <c r="T1489" i="31"/>
  <c r="AX1489" i="31"/>
  <c r="J1489" i="31"/>
  <c r="Y1489" i="31"/>
  <c r="AD1489" i="31"/>
  <c r="AN1489" i="31"/>
  <c r="BS1492" i="31"/>
  <c r="BX1492" i="31"/>
  <c r="BB1493" i="31"/>
  <c r="BA1493" i="31" s="1"/>
  <c r="BA1494" i="31" s="1"/>
  <c r="BC1494" i="31"/>
  <c r="BC1495" i="31" l="1"/>
  <c r="BB1495" i="31" s="1"/>
  <c r="BA1495" i="31" s="1"/>
  <c r="AZ1495" i="31" s="1"/>
  <c r="AY1495" i="31" s="1"/>
  <c r="AX1495" i="31" s="1"/>
  <c r="AW1495" i="31" s="1"/>
  <c r="AV1495" i="31" s="1"/>
  <c r="AU1495" i="31" s="1"/>
  <c r="AT1495" i="31" s="1"/>
  <c r="AS1495" i="31" s="1"/>
  <c r="AR1495" i="31" s="1"/>
  <c r="AQ1495" i="31" s="1"/>
  <c r="AP1495" i="31" s="1"/>
  <c r="AO1495" i="31" s="1"/>
  <c r="AN1495" i="31" s="1"/>
  <c r="AM1495" i="31" s="1"/>
  <c r="AL1495" i="31" s="1"/>
  <c r="AK1495" i="31" s="1"/>
  <c r="AJ1495" i="31" s="1"/>
  <c r="AI1495" i="31" s="1"/>
  <c r="AH1495" i="31" s="1"/>
  <c r="AG1495" i="31" s="1"/>
  <c r="AF1495" i="31" s="1"/>
  <c r="AE1495" i="31" s="1"/>
  <c r="AD1495" i="31" s="1"/>
  <c r="AC1495" i="31" s="1"/>
  <c r="AB1495" i="31" s="1"/>
  <c r="AA1495" i="31" s="1"/>
  <c r="Z1495" i="31" s="1"/>
  <c r="Y1495" i="31" s="1"/>
  <c r="X1495" i="31" s="1"/>
  <c r="W1495" i="31" s="1"/>
  <c r="V1495" i="31" s="1"/>
  <c r="U1495" i="31" s="1"/>
  <c r="T1495" i="31" s="1"/>
  <c r="S1495" i="31" s="1"/>
  <c r="R1495" i="31" s="1"/>
  <c r="Q1495" i="31" s="1"/>
  <c r="P1495" i="31" s="1"/>
  <c r="O1495" i="31" s="1"/>
  <c r="J1495" i="31"/>
  <c r="DS1426" i="31" l="1"/>
  <c r="DT96" i="9" l="1"/>
  <c r="BP886" i="31" l="1"/>
  <c r="BP24" i="31" s="1"/>
  <c r="BO886" i="31"/>
  <c r="BO24" i="31" s="1"/>
  <c r="BN886" i="31"/>
  <c r="BN24" i="31" s="1"/>
  <c r="BM886" i="31"/>
  <c r="BM24" i="31" s="1"/>
  <c r="AU886" i="31"/>
  <c r="AU24" i="31" s="1"/>
  <c r="AT886" i="31"/>
  <c r="AT24" i="31" s="1"/>
  <c r="AS886" i="31"/>
  <c r="AS24" i="31" s="1"/>
  <c r="AQ886" i="31"/>
  <c r="AQ24" i="31" s="1"/>
  <c r="AP886" i="31"/>
  <c r="AP24" i="31" s="1"/>
  <c r="AO886" i="31"/>
  <c r="AO24" i="31" s="1"/>
  <c r="AN886" i="31"/>
  <c r="AN24" i="31" s="1"/>
  <c r="AL886" i="31"/>
  <c r="AL24" i="31" s="1"/>
  <c r="AK886" i="31"/>
  <c r="AK24" i="31" s="1"/>
  <c r="AJ886" i="31"/>
  <c r="AJ24" i="31" s="1"/>
  <c r="AI886" i="31"/>
  <c r="AI24" i="31" s="1"/>
  <c r="AG886" i="31"/>
  <c r="AG24" i="31" s="1"/>
  <c r="AF886" i="31"/>
  <c r="AF24" i="31" s="1"/>
  <c r="AE886" i="31"/>
  <c r="AE24" i="31" s="1"/>
  <c r="AD886" i="31"/>
  <c r="AD24" i="31" s="1"/>
  <c r="AB886" i="31"/>
  <c r="AB24" i="31" s="1"/>
  <c r="AA886" i="31"/>
  <c r="AA24" i="31" s="1"/>
  <c r="Z886" i="31"/>
  <c r="Z24" i="31" s="1"/>
  <c r="Y886" i="31"/>
  <c r="Y24" i="31" s="1"/>
  <c r="W886" i="31"/>
  <c r="W24" i="31" s="1"/>
  <c r="V886" i="31"/>
  <c r="V24" i="31" s="1"/>
  <c r="U886" i="31"/>
  <c r="U24" i="31" s="1"/>
  <c r="T886" i="31"/>
  <c r="T24" i="31" s="1"/>
  <c r="R886" i="31"/>
  <c r="R24" i="31" s="1"/>
  <c r="O886" i="31"/>
  <c r="O24" i="31" s="1"/>
  <c r="H886" i="31"/>
  <c r="H24" i="31" s="1"/>
  <c r="G886" i="31"/>
  <c r="G24" i="31" s="1"/>
  <c r="F886" i="31"/>
  <c r="F24" i="31" s="1"/>
  <c r="E886" i="31"/>
  <c r="E24" i="31" s="1"/>
  <c r="BM885" i="31"/>
  <c r="BM23" i="31" s="1"/>
  <c r="AZ885" i="31"/>
  <c r="AZ23" i="31" s="1"/>
  <c r="AY885" i="31"/>
  <c r="AY23" i="31" s="1"/>
  <c r="AX885" i="31"/>
  <c r="AX23" i="31" s="1"/>
  <c r="AU885" i="31"/>
  <c r="AU23" i="31" s="1"/>
  <c r="AT885" i="31"/>
  <c r="AT23" i="31" s="1"/>
  <c r="AS885" i="31"/>
  <c r="AS23" i="31" s="1"/>
  <c r="AQ885" i="31"/>
  <c r="AQ23" i="31" s="1"/>
  <c r="AP885" i="31"/>
  <c r="AP23" i="31" s="1"/>
  <c r="AO885" i="31"/>
  <c r="AO23" i="31" s="1"/>
  <c r="AN885" i="31"/>
  <c r="AN23" i="31" s="1"/>
  <c r="AL885" i="31"/>
  <c r="AL23" i="31" s="1"/>
  <c r="AK885" i="31"/>
  <c r="AK23" i="31" s="1"/>
  <c r="AJ885" i="31"/>
  <c r="AJ23" i="31" s="1"/>
  <c r="AI885" i="31"/>
  <c r="AI23" i="31" s="1"/>
  <c r="AG885" i="31"/>
  <c r="AG23" i="31" s="1"/>
  <c r="AF885" i="31"/>
  <c r="AF23" i="31" s="1"/>
  <c r="AE885" i="31"/>
  <c r="AE23" i="31" s="1"/>
  <c r="AD885" i="31"/>
  <c r="AD23" i="31" s="1"/>
  <c r="AB885" i="31"/>
  <c r="AB23" i="31" s="1"/>
  <c r="AA885" i="31"/>
  <c r="AA23" i="31" s="1"/>
  <c r="Z885" i="31"/>
  <c r="Z23" i="31" s="1"/>
  <c r="Y885" i="31"/>
  <c r="Y23" i="31" s="1"/>
  <c r="W885" i="31"/>
  <c r="W23" i="31" s="1"/>
  <c r="V885" i="31"/>
  <c r="V23" i="31" s="1"/>
  <c r="U885" i="31"/>
  <c r="U23" i="31" s="1"/>
  <c r="T885" i="31"/>
  <c r="T23" i="31" s="1"/>
  <c r="R885" i="31"/>
  <c r="R23" i="31" s="1"/>
  <c r="Q885" i="31"/>
  <c r="Q23" i="31" s="1"/>
  <c r="O885" i="31"/>
  <c r="O23" i="31" s="1"/>
  <c r="M885" i="31"/>
  <c r="M23" i="31" s="1"/>
  <c r="H885" i="31"/>
  <c r="H23" i="31" s="1"/>
  <c r="G885" i="31"/>
  <c r="G23" i="31" s="1"/>
  <c r="F885" i="31"/>
  <c r="F23" i="31" s="1"/>
  <c r="E885" i="31"/>
  <c r="E23" i="31" s="1"/>
  <c r="AU890" i="31" l="1"/>
  <c r="AS890" i="31"/>
  <c r="AT890" i="31"/>
  <c r="E887" i="31"/>
  <c r="E25" i="31" s="1"/>
  <c r="F887" i="31"/>
  <c r="F25" i="31" s="1"/>
  <c r="G887" i="31"/>
  <c r="G25" i="31" s="1"/>
  <c r="H887" i="31"/>
  <c r="H25" i="31" s="1"/>
  <c r="T891" i="31"/>
  <c r="O887" i="31"/>
  <c r="O25" i="31" s="1"/>
  <c r="W891" i="31"/>
  <c r="R887" i="31"/>
  <c r="R25" i="31" s="1"/>
  <c r="Y891" i="31"/>
  <c r="T887" i="31"/>
  <c r="T25" i="31" s="1"/>
  <c r="AD891" i="31"/>
  <c r="Y887" i="31"/>
  <c r="Y25" i="31" s="1"/>
  <c r="AI891" i="31"/>
  <c r="AD887" i="31"/>
  <c r="AD25" i="31" s="1"/>
  <c r="AL891" i="31"/>
  <c r="AK891" i="31" s="1"/>
  <c r="AJ891" i="31" s="1"/>
  <c r="AG887" i="31"/>
  <c r="AG25" i="31" s="1"/>
  <c r="AN891" i="31"/>
  <c r="AI887" i="31"/>
  <c r="AI25" i="31" s="1"/>
  <c r="AQ891" i="31"/>
  <c r="AP891" i="31" s="1"/>
  <c r="AO891" i="31" s="1"/>
  <c r="AL887" i="31"/>
  <c r="AL25" i="31" s="1"/>
  <c r="AS891" i="31"/>
  <c r="AN887" i="31"/>
  <c r="AN25" i="31" s="1"/>
  <c r="AT891" i="31"/>
  <c r="AO887" i="31"/>
  <c r="AO25" i="31" s="1"/>
  <c r="AU891" i="31"/>
  <c r="AP887" i="31"/>
  <c r="AP25" i="31" s="1"/>
  <c r="AQ887" i="31"/>
  <c r="AQ25" i="31" s="1"/>
  <c r="AS887" i="31"/>
  <c r="AS25" i="31" s="1"/>
  <c r="AT887" i="31"/>
  <c r="AT25" i="31" s="1"/>
  <c r="AU887" i="31"/>
  <c r="AU25" i="31" s="1"/>
  <c r="U887" i="31"/>
  <c r="U25" i="31" s="1"/>
  <c r="V887" i="31"/>
  <c r="V25" i="31" s="1"/>
  <c r="W887" i="31"/>
  <c r="W25" i="31" s="1"/>
  <c r="Z887" i="31"/>
  <c r="Z25" i="31" s="1"/>
  <c r="AA887" i="31"/>
  <c r="AA25" i="31" s="1"/>
  <c r="AB887" i="31"/>
  <c r="AB25" i="31" s="1"/>
  <c r="AE887" i="31"/>
  <c r="AE25" i="31" s="1"/>
  <c r="AF887" i="31"/>
  <c r="AF25" i="31" s="1"/>
  <c r="AJ887" i="31"/>
  <c r="AJ25" i="31" s="1"/>
  <c r="AK887" i="31"/>
  <c r="AK25" i="31" s="1"/>
  <c r="BM887" i="31"/>
  <c r="BM25" i="31" s="1"/>
  <c r="CP880" i="31"/>
  <c r="CP881" i="31" s="1"/>
  <c r="CF880" i="31"/>
  <c r="CA880" i="31"/>
  <c r="BV880" i="31"/>
  <c r="BQ880" i="31"/>
  <c r="BL880" i="31"/>
  <c r="BL881" i="31" s="1"/>
  <c r="CP879" i="31"/>
  <c r="CF879" i="31"/>
  <c r="CA879" i="31"/>
  <c r="BV879" i="31"/>
  <c r="BQ879" i="31"/>
  <c r="BL879" i="31"/>
  <c r="CP876" i="31"/>
  <c r="CF876" i="31"/>
  <c r="CK882" i="31" s="1"/>
  <c r="CA876" i="31"/>
  <c r="BV876" i="31"/>
  <c r="BU876" i="31"/>
  <c r="BT876" i="31"/>
  <c r="BS876" i="31"/>
  <c r="BR876" i="31"/>
  <c r="BQ876" i="31"/>
  <c r="BP876" i="31"/>
  <c r="BO876" i="31"/>
  <c r="BN876" i="31"/>
  <c r="BM876" i="31"/>
  <c r="BL876" i="31"/>
  <c r="BK876" i="31"/>
  <c r="BJ876" i="31"/>
  <c r="BI876" i="31"/>
  <c r="BH876" i="31"/>
  <c r="BB872" i="31"/>
  <c r="AZ872" i="31"/>
  <c r="AY872" i="31"/>
  <c r="AX872" i="31"/>
  <c r="AG872" i="31"/>
  <c r="AF872" i="31"/>
  <c r="AE872" i="31"/>
  <c r="AD872" i="31"/>
  <c r="AC872" i="31"/>
  <c r="X872" i="31"/>
  <c r="S872" i="31"/>
  <c r="BA871" i="31"/>
  <c r="BA870" i="31"/>
  <c r="BA866" i="31"/>
  <c r="AZ866" i="31"/>
  <c r="AY866" i="31"/>
  <c r="AX866" i="31"/>
  <c r="AV866" i="31"/>
  <c r="AU866" i="31"/>
  <c r="AT866" i="31"/>
  <c r="AS866" i="31"/>
  <c r="AS867" i="31" s="1"/>
  <c r="AQ866" i="31"/>
  <c r="AP866" i="31"/>
  <c r="AO866" i="31"/>
  <c r="AN866" i="31"/>
  <c r="BA865" i="31"/>
  <c r="AZ865" i="31"/>
  <c r="AY865" i="31"/>
  <c r="AX865" i="31"/>
  <c r="AV865" i="31"/>
  <c r="AU865" i="31"/>
  <c r="AT865" i="31"/>
  <c r="AS865" i="31"/>
  <c r="AQ865" i="31"/>
  <c r="AP865" i="31"/>
  <c r="AO865" i="31"/>
  <c r="AN865" i="31"/>
  <c r="BA862" i="31"/>
  <c r="AZ862" i="31"/>
  <c r="AY862" i="31"/>
  <c r="AX862" i="31"/>
  <c r="AV862" i="31"/>
  <c r="AU862" i="31"/>
  <c r="AT862" i="31"/>
  <c r="AS862" i="31"/>
  <c r="AQ862" i="31"/>
  <c r="AP862" i="31"/>
  <c r="AO862" i="31"/>
  <c r="AN862" i="31"/>
  <c r="BB861" i="31"/>
  <c r="AW861" i="31"/>
  <c r="AR861" i="31"/>
  <c r="AR866" i="31" s="1"/>
  <c r="BB860" i="31"/>
  <c r="AW860" i="31"/>
  <c r="AR860" i="31"/>
  <c r="AR865" i="31" s="1"/>
  <c r="BA855" i="31"/>
  <c r="AZ855" i="31"/>
  <c r="AY855" i="31"/>
  <c r="AX855" i="31"/>
  <c r="AV855" i="31"/>
  <c r="AU855" i="31"/>
  <c r="AT855" i="31"/>
  <c r="AS855" i="31"/>
  <c r="AQ855" i="31"/>
  <c r="AP855" i="31"/>
  <c r="AO855" i="31"/>
  <c r="AN855" i="31"/>
  <c r="AL855" i="31"/>
  <c r="AK855" i="31"/>
  <c r="AJ855" i="31"/>
  <c r="AI855" i="31"/>
  <c r="AG855" i="31"/>
  <c r="AF855" i="31"/>
  <c r="AE855" i="31"/>
  <c r="AD855" i="31"/>
  <c r="AB855" i="31"/>
  <c r="AA855" i="31"/>
  <c r="Z855" i="31"/>
  <c r="Y855" i="31"/>
  <c r="W855" i="31"/>
  <c r="V855" i="31"/>
  <c r="U855" i="31"/>
  <c r="T855" i="31"/>
  <c r="R855" i="31"/>
  <c r="Q855" i="31"/>
  <c r="P855" i="31"/>
  <c r="O855" i="31"/>
  <c r="M855" i="31"/>
  <c r="L855" i="31"/>
  <c r="K855" i="31"/>
  <c r="J855" i="31"/>
  <c r="BA854" i="31"/>
  <c r="AZ854" i="31"/>
  <c r="AY854" i="31"/>
  <c r="AX854" i="31"/>
  <c r="AV854" i="31"/>
  <c r="AU854" i="31"/>
  <c r="AT854" i="31"/>
  <c r="AS854" i="31"/>
  <c r="AQ854" i="31"/>
  <c r="AP854" i="31"/>
  <c r="AO854" i="31"/>
  <c r="AN854" i="31"/>
  <c r="AL854" i="31"/>
  <c r="AK854" i="31"/>
  <c r="AJ854" i="31"/>
  <c r="AI854" i="31"/>
  <c r="AG854" i="31"/>
  <c r="AF854" i="31"/>
  <c r="AE854" i="31"/>
  <c r="AD854" i="31"/>
  <c r="AB854" i="31"/>
  <c r="AA854" i="31"/>
  <c r="Z854" i="31"/>
  <c r="Y854" i="31"/>
  <c r="W854" i="31"/>
  <c r="V854" i="31"/>
  <c r="U854" i="31"/>
  <c r="T854" i="31"/>
  <c r="R854" i="31"/>
  <c r="Q854" i="31"/>
  <c r="P854" i="31"/>
  <c r="O854" i="31"/>
  <c r="M854" i="31"/>
  <c r="L854" i="31"/>
  <c r="K854" i="31"/>
  <c r="J854" i="31"/>
  <c r="BA851" i="31"/>
  <c r="AZ851" i="31"/>
  <c r="AY851" i="31"/>
  <c r="AX851" i="31"/>
  <c r="AV851" i="31"/>
  <c r="AU851" i="31"/>
  <c r="AT851" i="31"/>
  <c r="AS851" i="31"/>
  <c r="AQ851" i="31"/>
  <c r="AP851" i="31"/>
  <c r="AO851" i="31"/>
  <c r="AN851" i="31"/>
  <c r="AL851" i="31"/>
  <c r="AK851" i="31"/>
  <c r="AJ851" i="31"/>
  <c r="AI851" i="31"/>
  <c r="AG851" i="31"/>
  <c r="AF851" i="31"/>
  <c r="AE851" i="31"/>
  <c r="AD851" i="31"/>
  <c r="AB851" i="31"/>
  <c r="AA851" i="31"/>
  <c r="Z851" i="31"/>
  <c r="Y851" i="31"/>
  <c r="W851" i="31"/>
  <c r="V851" i="31"/>
  <c r="U851" i="31"/>
  <c r="T851" i="31"/>
  <c r="R851" i="31"/>
  <c r="Q851" i="31"/>
  <c r="P851" i="31"/>
  <c r="O851" i="31"/>
  <c r="M851" i="31"/>
  <c r="L851" i="31"/>
  <c r="K851" i="31"/>
  <c r="J851" i="31"/>
  <c r="H851" i="31"/>
  <c r="G851" i="31"/>
  <c r="F851" i="31"/>
  <c r="E851" i="31"/>
  <c r="BB850" i="31"/>
  <c r="AW850" i="31"/>
  <c r="AR850" i="31"/>
  <c r="AM850" i="31"/>
  <c r="AH850" i="31"/>
  <c r="AC850" i="31"/>
  <c r="X850" i="31"/>
  <c r="S850" i="31"/>
  <c r="N850" i="31"/>
  <c r="I850" i="31"/>
  <c r="D850" i="31" s="1"/>
  <c r="BB849" i="31"/>
  <c r="AW849" i="31"/>
  <c r="AR849" i="31"/>
  <c r="AM849" i="31"/>
  <c r="AH849" i="31"/>
  <c r="AC849" i="31"/>
  <c r="X849" i="31"/>
  <c r="S849" i="31"/>
  <c r="N849" i="31"/>
  <c r="I849" i="31"/>
  <c r="AG846" i="31"/>
  <c r="AF846" i="31"/>
  <c r="AE846" i="31"/>
  <c r="AD846" i="31"/>
  <c r="AB846" i="31"/>
  <c r="AA846" i="31"/>
  <c r="Z846" i="31"/>
  <c r="Y846" i="31"/>
  <c r="AG844" i="31"/>
  <c r="AF844" i="31"/>
  <c r="AE844" i="31"/>
  <c r="AD844" i="31"/>
  <c r="AB844" i="31"/>
  <c r="AA844" i="31"/>
  <c r="Z844" i="31"/>
  <c r="Y844" i="31"/>
  <c r="BA843" i="31"/>
  <c r="AG843" i="31"/>
  <c r="AF843" i="31"/>
  <c r="AE843" i="31"/>
  <c r="AD843" i="31"/>
  <c r="AB843" i="31"/>
  <c r="AA843" i="31"/>
  <c r="Z843" i="31"/>
  <c r="Y843" i="31"/>
  <c r="BA840" i="31"/>
  <c r="AZ840" i="31"/>
  <c r="AY840" i="31"/>
  <c r="AX840" i="31"/>
  <c r="AV840" i="31"/>
  <c r="AU840" i="31"/>
  <c r="AT840" i="31"/>
  <c r="AS840" i="31"/>
  <c r="BB839" i="31"/>
  <c r="AW839" i="31"/>
  <c r="BB838" i="31"/>
  <c r="AW838" i="31"/>
  <c r="BB835" i="31"/>
  <c r="BA835" i="31"/>
  <c r="AZ835" i="31"/>
  <c r="AY835" i="31"/>
  <c r="AX835" i="31"/>
  <c r="AW835" i="31"/>
  <c r="AV835" i="31"/>
  <c r="AU835" i="31"/>
  <c r="AT835" i="31"/>
  <c r="AS835" i="31"/>
  <c r="AR835" i="31"/>
  <c r="AP835" i="31"/>
  <c r="AO835" i="31"/>
  <c r="AN835" i="31"/>
  <c r="AM835" i="31"/>
  <c r="AK835" i="31"/>
  <c r="AJ835" i="31"/>
  <c r="AI835" i="31"/>
  <c r="AH835" i="31"/>
  <c r="AF835" i="31"/>
  <c r="AE835" i="31"/>
  <c r="AD835" i="31"/>
  <c r="AC835" i="31"/>
  <c r="AA835" i="31"/>
  <c r="Z835" i="31"/>
  <c r="Y835" i="31"/>
  <c r="X835" i="31"/>
  <c r="V835" i="31"/>
  <c r="U835" i="31"/>
  <c r="T835" i="31"/>
  <c r="S835" i="31"/>
  <c r="Q835" i="31"/>
  <c r="P835" i="31"/>
  <c r="O835" i="31"/>
  <c r="N835" i="31"/>
  <c r="M835" i="31"/>
  <c r="L835" i="31"/>
  <c r="K835" i="31"/>
  <c r="J835" i="31"/>
  <c r="I835" i="31"/>
  <c r="H835" i="31"/>
  <c r="G835" i="31"/>
  <c r="F835" i="31"/>
  <c r="E835" i="31"/>
  <c r="D835" i="31"/>
  <c r="BA831" i="31"/>
  <c r="AZ831" i="31"/>
  <c r="AY831" i="31"/>
  <c r="AX831" i="31"/>
  <c r="AG831" i="31"/>
  <c r="AF831" i="31"/>
  <c r="AE831" i="31"/>
  <c r="AD831" i="31"/>
  <c r="AC831" i="31"/>
  <c r="X831" i="31"/>
  <c r="S831" i="31"/>
  <c r="BB830" i="31"/>
  <c r="BB829" i="31"/>
  <c r="AF827" i="31"/>
  <c r="AE827" i="31"/>
  <c r="AD827" i="31"/>
  <c r="AB827" i="31"/>
  <c r="AA827" i="31"/>
  <c r="Z827" i="31"/>
  <c r="Y827" i="31"/>
  <c r="W827" i="31"/>
  <c r="V827" i="31"/>
  <c r="U827" i="31"/>
  <c r="T827" i="31"/>
  <c r="R827" i="31"/>
  <c r="Q827" i="31"/>
  <c r="P827" i="31"/>
  <c r="O827" i="31"/>
  <c r="M827" i="31"/>
  <c r="L827" i="31"/>
  <c r="K827" i="31"/>
  <c r="J827" i="31"/>
  <c r="H827" i="31"/>
  <c r="G827" i="31"/>
  <c r="F827" i="31"/>
  <c r="E827" i="31"/>
  <c r="D827" i="31"/>
  <c r="AC826" i="31"/>
  <c r="X826" i="31"/>
  <c r="S826" i="31"/>
  <c r="N826" i="31"/>
  <c r="I826" i="31"/>
  <c r="AC825" i="31"/>
  <c r="X825" i="31"/>
  <c r="S825" i="31"/>
  <c r="N825" i="31"/>
  <c r="I825" i="31"/>
  <c r="BA819" i="31"/>
  <c r="AZ819" i="31"/>
  <c r="AY819" i="31"/>
  <c r="AX819" i="31"/>
  <c r="AV819" i="31"/>
  <c r="AU819" i="31"/>
  <c r="AT819" i="31"/>
  <c r="AS819" i="31"/>
  <c r="AQ819" i="31"/>
  <c r="AP819" i="31"/>
  <c r="AO819" i="31"/>
  <c r="AN819" i="31"/>
  <c r="AL819" i="31"/>
  <c r="AK819" i="31"/>
  <c r="AJ819" i="31"/>
  <c r="AI819" i="31"/>
  <c r="AG819" i="31"/>
  <c r="AF819" i="31"/>
  <c r="AE819" i="31"/>
  <c r="AD819" i="31"/>
  <c r="AB819" i="31"/>
  <c r="AA819" i="31"/>
  <c r="Z819" i="31"/>
  <c r="Y819" i="31"/>
  <c r="W819" i="31"/>
  <c r="V819" i="31"/>
  <c r="U819" i="31"/>
  <c r="T819" i="31"/>
  <c r="R819" i="31"/>
  <c r="Q819" i="31"/>
  <c r="P819" i="31"/>
  <c r="O819" i="31"/>
  <c r="M819" i="31"/>
  <c r="L819" i="31"/>
  <c r="K819" i="31"/>
  <c r="J819" i="31"/>
  <c r="BA816" i="31"/>
  <c r="AZ816" i="31"/>
  <c r="AY816" i="31"/>
  <c r="AX816" i="31"/>
  <c r="AV816" i="31"/>
  <c r="AU816" i="31"/>
  <c r="AT816" i="31"/>
  <c r="AS816" i="31"/>
  <c r="AQ816" i="31"/>
  <c r="AP816" i="31"/>
  <c r="AO816" i="31"/>
  <c r="AN816" i="31"/>
  <c r="AL816" i="31"/>
  <c r="AK816" i="31"/>
  <c r="AJ816" i="31"/>
  <c r="AI816" i="31"/>
  <c r="AG816" i="31"/>
  <c r="AF816" i="31"/>
  <c r="AE816" i="31"/>
  <c r="AD816" i="31"/>
  <c r="AB816" i="31"/>
  <c r="AA816" i="31"/>
  <c r="Z816" i="31"/>
  <c r="Y816" i="31"/>
  <c r="W816" i="31"/>
  <c r="V816" i="31"/>
  <c r="U816" i="31"/>
  <c r="T816" i="31"/>
  <c r="R816" i="31"/>
  <c r="Q816" i="31"/>
  <c r="P816" i="31"/>
  <c r="O816" i="31"/>
  <c r="M816" i="31"/>
  <c r="L816" i="31"/>
  <c r="K816" i="31"/>
  <c r="J816" i="31"/>
  <c r="H816" i="31"/>
  <c r="G816" i="31"/>
  <c r="F816" i="31"/>
  <c r="E816" i="31"/>
  <c r="D816" i="31"/>
  <c r="BB815" i="31"/>
  <c r="AW815" i="31"/>
  <c r="AR815" i="31"/>
  <c r="AM815" i="31"/>
  <c r="AH815" i="31"/>
  <c r="AC815" i="31"/>
  <c r="X815" i="31"/>
  <c r="S815" i="31"/>
  <c r="N815" i="31"/>
  <c r="I815" i="31"/>
  <c r="BB814" i="31"/>
  <c r="AW814" i="31"/>
  <c r="AR814" i="31"/>
  <c r="AM814" i="31"/>
  <c r="AH814" i="31"/>
  <c r="AC814" i="31"/>
  <c r="X814" i="31"/>
  <c r="S814" i="31"/>
  <c r="N814" i="31"/>
  <c r="I814" i="31"/>
  <c r="I819" i="31" s="1"/>
  <c r="BA809" i="31"/>
  <c r="AZ809" i="31"/>
  <c r="AY809" i="31"/>
  <c r="AX809" i="31"/>
  <c r="AV809" i="31"/>
  <c r="AU809" i="31"/>
  <c r="AT809" i="31"/>
  <c r="AS809" i="31"/>
  <c r="AQ809" i="31"/>
  <c r="AP809" i="31"/>
  <c r="AO809" i="31"/>
  <c r="AN809" i="31"/>
  <c r="AL809" i="31"/>
  <c r="AK809" i="31"/>
  <c r="AJ809" i="31"/>
  <c r="AI809" i="31"/>
  <c r="AG809" i="31"/>
  <c r="AF809" i="31"/>
  <c r="AE809" i="31"/>
  <c r="AD809" i="31"/>
  <c r="AB809" i="31"/>
  <c r="AA809" i="31"/>
  <c r="Z809" i="31"/>
  <c r="Y809" i="31"/>
  <c r="W809" i="31"/>
  <c r="V809" i="31"/>
  <c r="U809" i="31"/>
  <c r="T809" i="31"/>
  <c r="R809" i="31"/>
  <c r="Q809" i="31"/>
  <c r="P809" i="31"/>
  <c r="O809" i="31"/>
  <c r="M809" i="31"/>
  <c r="L809" i="31"/>
  <c r="K809" i="31"/>
  <c r="J809" i="31"/>
  <c r="BA808" i="31"/>
  <c r="AZ808" i="31"/>
  <c r="AY808" i="31"/>
  <c r="AX808" i="31"/>
  <c r="AV808" i="31"/>
  <c r="AU808" i="31"/>
  <c r="AT808" i="31"/>
  <c r="AS808" i="31"/>
  <c r="AQ808" i="31"/>
  <c r="AP808" i="31"/>
  <c r="AO808" i="31"/>
  <c r="AN808" i="31"/>
  <c r="AL808" i="31"/>
  <c r="AK808" i="31"/>
  <c r="AJ808" i="31"/>
  <c r="AI808" i="31"/>
  <c r="AG808" i="31"/>
  <c r="AF808" i="31"/>
  <c r="AE808" i="31"/>
  <c r="AD808" i="31"/>
  <c r="AB808" i="31"/>
  <c r="AA808" i="31"/>
  <c r="Z808" i="31"/>
  <c r="Y808" i="31"/>
  <c r="W808" i="31"/>
  <c r="V808" i="31"/>
  <c r="U808" i="31"/>
  <c r="T808" i="31"/>
  <c r="R808" i="31"/>
  <c r="Q808" i="31"/>
  <c r="P808" i="31"/>
  <c r="O808" i="31"/>
  <c r="M808" i="31"/>
  <c r="L808" i="31"/>
  <c r="K808" i="31"/>
  <c r="J808" i="31"/>
  <c r="BA805" i="31"/>
  <c r="AZ805" i="31"/>
  <c r="AY805" i="31"/>
  <c r="AX805" i="31"/>
  <c r="AV805" i="31"/>
  <c r="AU805" i="31"/>
  <c r="AT805" i="31"/>
  <c r="AS805" i="31"/>
  <c r="AQ805" i="31"/>
  <c r="AP805" i="31"/>
  <c r="AO805" i="31"/>
  <c r="AN805" i="31"/>
  <c r="AL805" i="31"/>
  <c r="AK805" i="31"/>
  <c r="AJ805" i="31"/>
  <c r="AI805" i="31"/>
  <c r="AG805" i="31"/>
  <c r="AF805" i="31"/>
  <c r="AE805" i="31"/>
  <c r="AD805" i="31"/>
  <c r="AB805" i="31"/>
  <c r="AA805" i="31"/>
  <c r="Z805" i="31"/>
  <c r="Y805" i="31"/>
  <c r="W805" i="31"/>
  <c r="V805" i="31"/>
  <c r="U805" i="31"/>
  <c r="T805" i="31"/>
  <c r="R805" i="31"/>
  <c r="Q805" i="31"/>
  <c r="P805" i="31"/>
  <c r="O805" i="31"/>
  <c r="M805" i="31"/>
  <c r="L805" i="31"/>
  <c r="K805" i="31"/>
  <c r="J805" i="31"/>
  <c r="H805" i="31"/>
  <c r="G805" i="31"/>
  <c r="F805" i="31"/>
  <c r="E805" i="31"/>
  <c r="D805" i="31"/>
  <c r="BB804" i="31"/>
  <c r="AW804" i="31"/>
  <c r="AR804" i="31"/>
  <c r="AM804" i="31"/>
  <c r="AH804" i="31"/>
  <c r="AC804" i="31"/>
  <c r="X804" i="31"/>
  <c r="S804" i="31"/>
  <c r="N804" i="31"/>
  <c r="I804" i="31"/>
  <c r="I809" i="31" s="1"/>
  <c r="BB803" i="31"/>
  <c r="AW803" i="31"/>
  <c r="AR803" i="31"/>
  <c r="AM803" i="31"/>
  <c r="AH803" i="31"/>
  <c r="AC803" i="31"/>
  <c r="X803" i="31"/>
  <c r="S803" i="31"/>
  <c r="N803" i="31"/>
  <c r="I803" i="31"/>
  <c r="I808" i="31" s="1"/>
  <c r="AV797" i="31"/>
  <c r="AU797" i="31"/>
  <c r="AT797" i="31"/>
  <c r="AS797" i="31"/>
  <c r="AQ797" i="31"/>
  <c r="AP797" i="31"/>
  <c r="AO797" i="31"/>
  <c r="AN797" i="31"/>
  <c r="AL797" i="31"/>
  <c r="AK797" i="31"/>
  <c r="AJ797" i="31"/>
  <c r="AI797" i="31"/>
  <c r="AG797" i="31"/>
  <c r="AF797" i="31"/>
  <c r="AE797" i="31"/>
  <c r="AD797" i="31"/>
  <c r="AB797" i="31"/>
  <c r="AA797" i="31"/>
  <c r="Z797" i="31"/>
  <c r="Y797" i="31"/>
  <c r="W797" i="31"/>
  <c r="V797" i="31"/>
  <c r="U797" i="31"/>
  <c r="T797" i="31"/>
  <c r="R797" i="31"/>
  <c r="Q797" i="31"/>
  <c r="P797" i="31"/>
  <c r="O797" i="31"/>
  <c r="M797" i="31"/>
  <c r="L797" i="31"/>
  <c r="K797" i="31"/>
  <c r="J797" i="31"/>
  <c r="AV796" i="31"/>
  <c r="AU796" i="31"/>
  <c r="AT796" i="31"/>
  <c r="AS796" i="31"/>
  <c r="AQ796" i="31"/>
  <c r="AP796" i="31"/>
  <c r="AO796" i="31"/>
  <c r="AN796" i="31"/>
  <c r="AL796" i="31"/>
  <c r="AK796" i="31"/>
  <c r="AJ796" i="31"/>
  <c r="AI796" i="31"/>
  <c r="AG796" i="31"/>
  <c r="AF796" i="31"/>
  <c r="AE796" i="31"/>
  <c r="AD796" i="31"/>
  <c r="AB796" i="31"/>
  <c r="AA796" i="31"/>
  <c r="Z796" i="31"/>
  <c r="Y796" i="31"/>
  <c r="W796" i="31"/>
  <c r="V796" i="31"/>
  <c r="U796" i="31"/>
  <c r="T796" i="31"/>
  <c r="R796" i="31"/>
  <c r="Q796" i="31"/>
  <c r="P796" i="31"/>
  <c r="O796" i="31"/>
  <c r="M796" i="31"/>
  <c r="L796" i="31"/>
  <c r="K796" i="31"/>
  <c r="J796" i="31"/>
  <c r="AV793" i="31"/>
  <c r="AU793" i="31"/>
  <c r="AT793" i="31"/>
  <c r="AS793" i="31"/>
  <c r="AQ793" i="31"/>
  <c r="AP793" i="31"/>
  <c r="AO793" i="31"/>
  <c r="AN793" i="31"/>
  <c r="AL793" i="31"/>
  <c r="AK793" i="31"/>
  <c r="AJ793" i="31"/>
  <c r="AI793" i="31"/>
  <c r="AG793" i="31"/>
  <c r="AF793" i="31"/>
  <c r="AE793" i="31"/>
  <c r="AD793" i="31"/>
  <c r="AB793" i="31"/>
  <c r="AA793" i="31"/>
  <c r="Z793" i="31"/>
  <c r="Y793" i="31"/>
  <c r="W793" i="31"/>
  <c r="V793" i="31"/>
  <c r="U793" i="31"/>
  <c r="T793" i="31"/>
  <c r="R793" i="31"/>
  <c r="Q793" i="31"/>
  <c r="P793" i="31"/>
  <c r="O793" i="31"/>
  <c r="M793" i="31"/>
  <c r="L793" i="31"/>
  <c r="K793" i="31"/>
  <c r="J793" i="31"/>
  <c r="H793" i="31"/>
  <c r="G793" i="31"/>
  <c r="F793" i="31"/>
  <c r="E793" i="31"/>
  <c r="AW792" i="31"/>
  <c r="AR792" i="31"/>
  <c r="AM792" i="31"/>
  <c r="AH792" i="31"/>
  <c r="AC792" i="31"/>
  <c r="X792" i="31"/>
  <c r="S792" i="31"/>
  <c r="N792" i="31"/>
  <c r="I792" i="31"/>
  <c r="AW791" i="31"/>
  <c r="AR791" i="31"/>
  <c r="AM791" i="31"/>
  <c r="AH791" i="31"/>
  <c r="AC791" i="31"/>
  <c r="X791" i="31"/>
  <c r="S791" i="31"/>
  <c r="N791" i="31"/>
  <c r="I791" i="31"/>
  <c r="D791" i="31" s="1"/>
  <c r="AO893" i="31" l="1"/>
  <c r="AW862" i="31"/>
  <c r="N797" i="31"/>
  <c r="X797" i="31"/>
  <c r="AH797" i="31"/>
  <c r="AR797" i="31"/>
  <c r="S805" i="31"/>
  <c r="AC805" i="31"/>
  <c r="AM805" i="31"/>
  <c r="AW805" i="31"/>
  <c r="S816" i="31"/>
  <c r="AC816" i="31"/>
  <c r="AM816" i="31"/>
  <c r="N851" i="31"/>
  <c r="X851" i="31"/>
  <c r="AH851" i="31"/>
  <c r="AR851" i="31"/>
  <c r="BB851" i="31"/>
  <c r="BB855" i="31"/>
  <c r="AP893" i="31"/>
  <c r="CF881" i="31"/>
  <c r="S796" i="31"/>
  <c r="AC796" i="31"/>
  <c r="AW796" i="31"/>
  <c r="I851" i="31"/>
  <c r="S851" i="31"/>
  <c r="AC851" i="31"/>
  <c r="AM851" i="31"/>
  <c r="AW851" i="31"/>
  <c r="N796" i="31"/>
  <c r="X796" i="31"/>
  <c r="AH796" i="31"/>
  <c r="AR796" i="31"/>
  <c r="AW793" i="31"/>
  <c r="D792" i="31"/>
  <c r="D793" i="31" s="1"/>
  <c r="S797" i="31"/>
  <c r="AC797" i="31"/>
  <c r="AM797" i="31"/>
  <c r="AW797" i="31"/>
  <c r="N805" i="31"/>
  <c r="X805" i="31"/>
  <c r="AH805" i="31"/>
  <c r="AR805" i="31"/>
  <c r="BB805" i="31"/>
  <c r="BB809" i="31"/>
  <c r="N816" i="31"/>
  <c r="X816" i="31"/>
  <c r="AH816" i="31"/>
  <c r="AR816" i="31"/>
  <c r="D849" i="31"/>
  <c r="D851" i="31" s="1"/>
  <c r="AM796" i="31"/>
  <c r="CA881" i="31"/>
  <c r="BV881" i="31" s="1"/>
  <c r="BQ881" i="31" s="1"/>
  <c r="AR867" i="31"/>
  <c r="AQ867" i="31" s="1"/>
  <c r="AP867" i="31" s="1"/>
  <c r="AO867" i="31" s="1"/>
  <c r="AN867" i="31" s="1"/>
  <c r="BA885" i="31"/>
  <c r="BA23" i="31" s="1"/>
  <c r="BQ882" i="31"/>
  <c r="BL882" i="31"/>
  <c r="BV882" i="31"/>
  <c r="CA882" i="31"/>
  <c r="CF882" i="31"/>
  <c r="CP882" i="31"/>
  <c r="I793" i="31"/>
  <c r="N793" i="31"/>
  <c r="S793" i="31"/>
  <c r="X793" i="31"/>
  <c r="AC793" i="31"/>
  <c r="AH793" i="31"/>
  <c r="AM793" i="31"/>
  <c r="AR793" i="31"/>
  <c r="I805" i="31"/>
  <c r="N808" i="31"/>
  <c r="S808" i="31"/>
  <c r="X808" i="31"/>
  <c r="AC808" i="31"/>
  <c r="AH808" i="31"/>
  <c r="AM808" i="31"/>
  <c r="AR808" i="31"/>
  <c r="AW808" i="31"/>
  <c r="BB808" i="31"/>
  <c r="N809" i="31"/>
  <c r="S809" i="31"/>
  <c r="X809" i="31"/>
  <c r="AC809" i="31"/>
  <c r="AH809" i="31"/>
  <c r="AM809" i="31"/>
  <c r="AR809" i="31"/>
  <c r="AW809" i="31"/>
  <c r="I816" i="31"/>
  <c r="AW816" i="31"/>
  <c r="BB816" i="31"/>
  <c r="N819" i="31"/>
  <c r="S819" i="31"/>
  <c r="X819" i="31"/>
  <c r="AC819" i="31"/>
  <c r="AH819" i="31"/>
  <c r="AM819" i="31"/>
  <c r="AR819" i="31"/>
  <c r="AW819" i="31"/>
  <c r="BB819" i="31"/>
  <c r="I827" i="31"/>
  <c r="N827" i="31"/>
  <c r="S827" i="31"/>
  <c r="X827" i="31"/>
  <c r="AC827" i="31"/>
  <c r="BB831" i="31"/>
  <c r="R835" i="31"/>
  <c r="W835" i="31"/>
  <c r="AB835" i="31"/>
  <c r="AG835" i="31"/>
  <c r="AL835" i="31"/>
  <c r="AQ835" i="31"/>
  <c r="AW840" i="31"/>
  <c r="BB840" i="31"/>
  <c r="BB843" i="31"/>
  <c r="N854" i="31"/>
  <c r="S854" i="31"/>
  <c r="X854" i="31"/>
  <c r="AC854" i="31"/>
  <c r="AH854" i="31"/>
  <c r="AM854" i="31"/>
  <c r="AR854" i="31"/>
  <c r="AW854" i="31"/>
  <c r="BB854" i="31"/>
  <c r="N855" i="31"/>
  <c r="S855" i="31"/>
  <c r="X855" i="31"/>
  <c r="AC855" i="31"/>
  <c r="AH855" i="31"/>
  <c r="AM855" i="31"/>
  <c r="AR855" i="31"/>
  <c r="AW855" i="31"/>
  <c r="AR862" i="31"/>
  <c r="BB862" i="31"/>
  <c r="AW865" i="31"/>
  <c r="BB865" i="31"/>
  <c r="AW866" i="31"/>
  <c r="BB866" i="31"/>
  <c r="BA872" i="31"/>
  <c r="AU893" i="31"/>
  <c r="AT893" i="31"/>
  <c r="AS893" i="31" s="1"/>
  <c r="AQ893" i="31"/>
  <c r="AN893" i="31"/>
  <c r="BK764" i="31"/>
  <c r="BJ764" i="31"/>
  <c r="BI764" i="31"/>
  <c r="BH764" i="31"/>
  <c r="BF764" i="31"/>
  <c r="BF765" i="31" s="1"/>
  <c r="BE764" i="31"/>
  <c r="BE765" i="31" s="1"/>
  <c r="BD764" i="31"/>
  <c r="BD765" i="31" s="1"/>
  <c r="BC764" i="31"/>
  <c r="BC765" i="31" s="1"/>
  <c r="BA764" i="31"/>
  <c r="AZ764" i="31"/>
  <c r="AY764" i="31"/>
  <c r="AX764" i="31"/>
  <c r="AV764" i="31"/>
  <c r="AU764" i="31"/>
  <c r="AT764" i="31"/>
  <c r="AS764" i="31"/>
  <c r="AQ764" i="31"/>
  <c r="AP764" i="31"/>
  <c r="AO764" i="31"/>
  <c r="AN764" i="31"/>
  <c r="AL764" i="31"/>
  <c r="AK764" i="31"/>
  <c r="AJ764" i="31"/>
  <c r="AI764" i="31"/>
  <c r="AG764" i="31"/>
  <c r="AF764" i="31"/>
  <c r="AE764" i="31"/>
  <c r="AD764" i="31"/>
  <c r="AB764" i="31"/>
  <c r="AA764" i="31"/>
  <c r="Z764" i="31"/>
  <c r="Y764" i="31"/>
  <c r="W764" i="31"/>
  <c r="T764" i="31"/>
  <c r="BK763" i="31"/>
  <c r="BJ763" i="31"/>
  <c r="BI763" i="31"/>
  <c r="BH763" i="31"/>
  <c r="BF763" i="31"/>
  <c r="BE763" i="31"/>
  <c r="BD763" i="31"/>
  <c r="BC763" i="31"/>
  <c r="BA763" i="31"/>
  <c r="AZ763" i="31"/>
  <c r="AY763" i="31"/>
  <c r="AX763" i="31"/>
  <c r="AV763" i="31"/>
  <c r="AU763" i="31"/>
  <c r="AT763" i="31"/>
  <c r="AS763" i="31"/>
  <c r="AQ763" i="31"/>
  <c r="AP763" i="31"/>
  <c r="AO763" i="31"/>
  <c r="AN763" i="31"/>
  <c r="AL763" i="31"/>
  <c r="AK763" i="31"/>
  <c r="AJ763" i="31"/>
  <c r="AI763" i="31"/>
  <c r="AG763" i="31"/>
  <c r="AF763" i="31"/>
  <c r="AE763" i="31"/>
  <c r="AD763" i="31"/>
  <c r="AB763" i="31"/>
  <c r="AA763" i="31"/>
  <c r="Z763" i="31"/>
  <c r="Y763" i="31"/>
  <c r="W763" i="31"/>
  <c r="V763" i="31"/>
  <c r="T763" i="31"/>
  <c r="R763" i="31"/>
  <c r="M763" i="31"/>
  <c r="BK760" i="31"/>
  <c r="BJ760" i="31"/>
  <c r="BI760" i="31"/>
  <c r="BH760" i="31"/>
  <c r="BF760" i="31"/>
  <c r="BE760" i="31"/>
  <c r="BD760" i="31"/>
  <c r="BC760" i="31"/>
  <c r="BA760" i="31"/>
  <c r="AZ760" i="31"/>
  <c r="AY760" i="31"/>
  <c r="AX760" i="31"/>
  <c r="AV760" i="31"/>
  <c r="AU760" i="31"/>
  <c r="AT760" i="31"/>
  <c r="AS760" i="31"/>
  <c r="AQ760" i="31"/>
  <c r="AP760" i="31"/>
  <c r="AO760" i="31"/>
  <c r="AN760" i="31"/>
  <c r="AL760" i="31"/>
  <c r="AK760" i="31"/>
  <c r="AJ760" i="31"/>
  <c r="AI760" i="31"/>
  <c r="AG760" i="31"/>
  <c r="AF760" i="31"/>
  <c r="AE760" i="31"/>
  <c r="AD760" i="31"/>
  <c r="AB760" i="31"/>
  <c r="AA760" i="31"/>
  <c r="Z760" i="31"/>
  <c r="Y760" i="31"/>
  <c r="W760" i="31"/>
  <c r="V760" i="31"/>
  <c r="U760" i="31"/>
  <c r="T760" i="31"/>
  <c r="R760" i="31"/>
  <c r="O760" i="31"/>
  <c r="H760" i="31"/>
  <c r="G760" i="31"/>
  <c r="F760" i="31"/>
  <c r="E760" i="31"/>
  <c r="BL759" i="31"/>
  <c r="BL764" i="31" s="1"/>
  <c r="BB759" i="31"/>
  <c r="AW759" i="31"/>
  <c r="AR759" i="31"/>
  <c r="AM759" i="31"/>
  <c r="AH759" i="31"/>
  <c r="AC759" i="31"/>
  <c r="X759" i="31"/>
  <c r="Q759" i="31"/>
  <c r="Q886" i="31" s="1"/>
  <c r="Q24" i="31" s="1"/>
  <c r="P759" i="31"/>
  <c r="M759" i="31"/>
  <c r="M886" i="31" s="1"/>
  <c r="M24" i="31" s="1"/>
  <c r="L759" i="31"/>
  <c r="L886" i="31" s="1"/>
  <c r="L24" i="31" s="1"/>
  <c r="K759" i="31"/>
  <c r="K886" i="31" s="1"/>
  <c r="K24" i="31" s="1"/>
  <c r="J759" i="31"/>
  <c r="J886" i="31" s="1"/>
  <c r="J24" i="31" s="1"/>
  <c r="I759" i="31"/>
  <c r="D759" i="31"/>
  <c r="BL758" i="31"/>
  <c r="BG758" i="31"/>
  <c r="BG760" i="31" s="1"/>
  <c r="BB758" i="31"/>
  <c r="AW758" i="31"/>
  <c r="AR758" i="31"/>
  <c r="AM758" i="31"/>
  <c r="AH758" i="31"/>
  <c r="AC758" i="31"/>
  <c r="X758" i="31"/>
  <c r="P758" i="31"/>
  <c r="P885" i="31" s="1"/>
  <c r="P23" i="31" s="1"/>
  <c r="L758" i="31"/>
  <c r="L885" i="31" s="1"/>
  <c r="K758" i="31"/>
  <c r="K885" i="31" s="1"/>
  <c r="J758" i="31"/>
  <c r="J885" i="31" s="1"/>
  <c r="I758" i="31"/>
  <c r="D758" i="31"/>
  <c r="BU752" i="31"/>
  <c r="BT752" i="31"/>
  <c r="BS752" i="31"/>
  <c r="BR752" i="31"/>
  <c r="BP752" i="31"/>
  <c r="BO752" i="31"/>
  <c r="BN752" i="31"/>
  <c r="BM752" i="31"/>
  <c r="CA749" i="31"/>
  <c r="BU749" i="31"/>
  <c r="BT749" i="31"/>
  <c r="BS749" i="31"/>
  <c r="BR749" i="31"/>
  <c r="BP749" i="31"/>
  <c r="BO749" i="31"/>
  <c r="BN749" i="31"/>
  <c r="BM749" i="31"/>
  <c r="BK749" i="31"/>
  <c r="BJ749" i="31"/>
  <c r="BI749" i="31"/>
  <c r="BH749" i="31"/>
  <c r="BF749" i="31"/>
  <c r="BE749" i="31"/>
  <c r="BD749" i="31"/>
  <c r="BL748" i="31"/>
  <c r="BG748" i="31"/>
  <c r="BV747" i="31"/>
  <c r="BQ747" i="31"/>
  <c r="BL747" i="31"/>
  <c r="BG747" i="31"/>
  <c r="BD732" i="31"/>
  <c r="BR731" i="31"/>
  <c r="BP731" i="31"/>
  <c r="BO731" i="31"/>
  <c r="BN731" i="31"/>
  <c r="BM731" i="31"/>
  <c r="BK731" i="31"/>
  <c r="BJ731" i="31"/>
  <c r="BI731" i="31"/>
  <c r="BH731" i="31"/>
  <c r="BF731" i="31"/>
  <c r="BF732" i="31" s="1"/>
  <c r="BE731" i="31"/>
  <c r="BE732" i="31" s="1"/>
  <c r="BC731" i="31"/>
  <c r="BA731" i="31"/>
  <c r="AZ731" i="31"/>
  <c r="AY731" i="31"/>
  <c r="AX731" i="31"/>
  <c r="AV731" i="31"/>
  <c r="AU731" i="31"/>
  <c r="AT731" i="31"/>
  <c r="AS731" i="31"/>
  <c r="AQ731" i="31"/>
  <c r="AP731" i="31"/>
  <c r="AO731" i="31"/>
  <c r="AN731" i="31"/>
  <c r="AL731" i="31"/>
  <c r="AK731" i="31"/>
  <c r="AJ731" i="31"/>
  <c r="AI731" i="31"/>
  <c r="AG731" i="31"/>
  <c r="AF731" i="31"/>
  <c r="AE731" i="31"/>
  <c r="AD731" i="31"/>
  <c r="AB731" i="31"/>
  <c r="AA731" i="31"/>
  <c r="Z731" i="31"/>
  <c r="Y731" i="31"/>
  <c r="W731" i="31"/>
  <c r="V731" i="31"/>
  <c r="U731" i="31"/>
  <c r="T731" i="31"/>
  <c r="R731" i="31"/>
  <c r="Q731" i="31"/>
  <c r="P731" i="31"/>
  <c r="O731" i="31"/>
  <c r="M731" i="31"/>
  <c r="L731" i="31"/>
  <c r="K731" i="31"/>
  <c r="J731" i="31"/>
  <c r="BR730" i="31"/>
  <c r="BP730" i="31"/>
  <c r="BO730" i="31"/>
  <c r="BN730" i="31"/>
  <c r="BM730" i="31"/>
  <c r="BK730" i="31"/>
  <c r="BJ730" i="31"/>
  <c r="BI730" i="31"/>
  <c r="BH730" i="31"/>
  <c r="BF730" i="31"/>
  <c r="BE730" i="31"/>
  <c r="BC730" i="31"/>
  <c r="BA730" i="31"/>
  <c r="AZ730" i="31"/>
  <c r="AY730" i="31"/>
  <c r="AX730" i="31"/>
  <c r="AV730" i="31"/>
  <c r="AU730" i="31"/>
  <c r="AT730" i="31"/>
  <c r="AS730" i="31"/>
  <c r="AQ730" i="31"/>
  <c r="AP730" i="31"/>
  <c r="AO730" i="31"/>
  <c r="AN730" i="31"/>
  <c r="AL730" i="31"/>
  <c r="AK730" i="31"/>
  <c r="AJ730" i="31"/>
  <c r="AI730" i="31"/>
  <c r="AG730" i="31"/>
  <c r="AF730" i="31"/>
  <c r="AE730" i="31"/>
  <c r="AD730" i="31"/>
  <c r="AB730" i="31"/>
  <c r="AA730" i="31"/>
  <c r="Z730" i="31"/>
  <c r="Y730" i="31"/>
  <c r="W730" i="31"/>
  <c r="V730" i="31"/>
  <c r="U730" i="31"/>
  <c r="T730" i="31"/>
  <c r="R730" i="31"/>
  <c r="Q730" i="31"/>
  <c r="P730" i="31"/>
  <c r="O730" i="31"/>
  <c r="M730" i="31"/>
  <c r="L730" i="31"/>
  <c r="K730" i="31"/>
  <c r="J730" i="31"/>
  <c r="BR727" i="31"/>
  <c r="BW733" i="31" s="1"/>
  <c r="L890" i="31" l="1"/>
  <c r="L23" i="31"/>
  <c r="J890" i="31"/>
  <c r="J23" i="31"/>
  <c r="K890" i="31"/>
  <c r="K23" i="31"/>
  <c r="CF755" i="31"/>
  <c r="AH857" i="31"/>
  <c r="AG857" i="31" s="1"/>
  <c r="AF857" i="31" s="1"/>
  <c r="AE857" i="31" s="1"/>
  <c r="AD857" i="31" s="1"/>
  <c r="AC857" i="31" s="1"/>
  <c r="AB857" i="31" s="1"/>
  <c r="AA857" i="31" s="1"/>
  <c r="Z857" i="31" s="1"/>
  <c r="Y857" i="31" s="1"/>
  <c r="X857" i="31"/>
  <c r="W857" i="31" s="1"/>
  <c r="V857" i="31" s="1"/>
  <c r="U857" i="31" s="1"/>
  <c r="T857" i="31" s="1"/>
  <c r="S857" i="31" s="1"/>
  <c r="R857" i="31" s="1"/>
  <c r="Q857" i="31" s="1"/>
  <c r="P857" i="31" s="1"/>
  <c r="O857" i="31" s="1"/>
  <c r="N857" i="31" s="1"/>
  <c r="M857" i="31" s="1"/>
  <c r="L857" i="31" s="1"/>
  <c r="K857" i="31" s="1"/>
  <c r="J857" i="31" s="1"/>
  <c r="AW857" i="31"/>
  <c r="AV857" i="31" s="1"/>
  <c r="AU857" i="31" s="1"/>
  <c r="AT857" i="31" s="1"/>
  <c r="AS857" i="31" s="1"/>
  <c r="AM822" i="31"/>
  <c r="AL822" i="31" s="1"/>
  <c r="AK822" i="31" s="1"/>
  <c r="AJ822" i="31" s="1"/>
  <c r="AI822" i="31" s="1"/>
  <c r="BB857" i="31"/>
  <c r="BA857" i="31" s="1"/>
  <c r="AZ857" i="31" s="1"/>
  <c r="AY857" i="31" s="1"/>
  <c r="AX857" i="31" s="1"/>
  <c r="AM857" i="31"/>
  <c r="AL857" i="31" s="1"/>
  <c r="AK857" i="31" s="1"/>
  <c r="AJ857" i="31" s="1"/>
  <c r="AI857" i="31" s="1"/>
  <c r="AR822" i="31"/>
  <c r="AQ822" i="31" s="1"/>
  <c r="AP822" i="31" s="1"/>
  <c r="AO822" i="31" s="1"/>
  <c r="AN822" i="31" s="1"/>
  <c r="AR857" i="31"/>
  <c r="AQ857" i="31" s="1"/>
  <c r="AP857" i="31" s="1"/>
  <c r="AO857" i="31" s="1"/>
  <c r="AN857" i="31" s="1"/>
  <c r="AW799" i="31"/>
  <c r="AV799" i="31" s="1"/>
  <c r="AU799" i="31" s="1"/>
  <c r="AT799" i="31" s="1"/>
  <c r="AS799" i="31" s="1"/>
  <c r="BB811" i="31"/>
  <c r="BA811" i="31" s="1"/>
  <c r="AZ811" i="31" s="1"/>
  <c r="AY811" i="31" s="1"/>
  <c r="AX811" i="31" s="1"/>
  <c r="AW811" i="31" s="1"/>
  <c r="AV811" i="31" s="1"/>
  <c r="AU811" i="31" s="1"/>
  <c r="AT811" i="31" s="1"/>
  <c r="AS811" i="31" s="1"/>
  <c r="AR811" i="31" s="1"/>
  <c r="AQ811" i="31" s="1"/>
  <c r="AP811" i="31" s="1"/>
  <c r="AO811" i="31" s="1"/>
  <c r="AN811" i="31" s="1"/>
  <c r="AM811" i="31" s="1"/>
  <c r="AL811" i="31" s="1"/>
  <c r="AK811" i="31" s="1"/>
  <c r="AJ811" i="31" s="1"/>
  <c r="AI811" i="31" s="1"/>
  <c r="AH811" i="31" s="1"/>
  <c r="AG811" i="31" s="1"/>
  <c r="AF811" i="31" s="1"/>
  <c r="AE811" i="31" s="1"/>
  <c r="AD811" i="31" s="1"/>
  <c r="AC811" i="31" s="1"/>
  <c r="AB811" i="31" s="1"/>
  <c r="AA811" i="31" s="1"/>
  <c r="Z811" i="31" s="1"/>
  <c r="Y811" i="31" s="1"/>
  <c r="X811" i="31" s="1"/>
  <c r="W811" i="31" s="1"/>
  <c r="V811" i="31" s="1"/>
  <c r="U811" i="31" s="1"/>
  <c r="T811" i="31" s="1"/>
  <c r="S811" i="31" s="1"/>
  <c r="R811" i="31" s="1"/>
  <c r="Q811" i="31" s="1"/>
  <c r="P811" i="31" s="1"/>
  <c r="O811" i="31" s="1"/>
  <c r="AC760" i="31"/>
  <c r="S759" i="31"/>
  <c r="X764" i="31" s="1"/>
  <c r="X760" i="31"/>
  <c r="AH760" i="31"/>
  <c r="BL760" i="31"/>
  <c r="BW755" i="31"/>
  <c r="BX755" i="31"/>
  <c r="BY755" i="31"/>
  <c r="BZ755" i="31"/>
  <c r="CA752" i="31"/>
  <c r="O891" i="31"/>
  <c r="J887" i="31"/>
  <c r="J25" i="31" s="1"/>
  <c r="J891" i="31"/>
  <c r="K887" i="31"/>
  <c r="K25" i="31" s="1"/>
  <c r="K891" i="31"/>
  <c r="Q891" i="31"/>
  <c r="L887" i="31"/>
  <c r="L25" i="31" s="1"/>
  <c r="L891" i="31"/>
  <c r="R891" i="31"/>
  <c r="M887" i="31"/>
  <c r="M25" i="31" s="1"/>
  <c r="M891" i="31"/>
  <c r="P886" i="31"/>
  <c r="P24" i="31" s="1"/>
  <c r="V891" i="31"/>
  <c r="Q887" i="31"/>
  <c r="Q25" i="31" s="1"/>
  <c r="AW868" i="31"/>
  <c r="AV868" i="31" s="1"/>
  <c r="AU868" i="31" s="1"/>
  <c r="AT868" i="31" s="1"/>
  <c r="AS868" i="31" s="1"/>
  <c r="AR868" i="31"/>
  <c r="AQ868" i="31" s="1"/>
  <c r="AP868" i="31" s="1"/>
  <c r="AO868" i="31" s="1"/>
  <c r="AN868" i="31" s="1"/>
  <c r="BB846" i="31"/>
  <c r="BA846" i="31" s="1"/>
  <c r="BB822" i="31"/>
  <c r="BA822" i="31" s="1"/>
  <c r="AZ822" i="31" s="1"/>
  <c r="AY822" i="31" s="1"/>
  <c r="AX822" i="31" s="1"/>
  <c r="BC732" i="31"/>
  <c r="BG749" i="31"/>
  <c r="BL749" i="31"/>
  <c r="BQ749" i="31"/>
  <c r="BV749" i="31"/>
  <c r="BL752" i="31"/>
  <c r="BQ752" i="31"/>
  <c r="BV752" i="31"/>
  <c r="N758" i="31"/>
  <c r="S758" i="31"/>
  <c r="N759" i="31"/>
  <c r="D760" i="31"/>
  <c r="I760" i="31"/>
  <c r="J760" i="31"/>
  <c r="K760" i="31"/>
  <c r="L760" i="31"/>
  <c r="M760" i="31"/>
  <c r="P760" i="31"/>
  <c r="Q760" i="31"/>
  <c r="AM760" i="31"/>
  <c r="AR760" i="31"/>
  <c r="AW760" i="31"/>
  <c r="BB760" i="31"/>
  <c r="J763" i="31"/>
  <c r="I763" i="31" s="1"/>
  <c r="K763" i="31"/>
  <c r="L763" i="31"/>
  <c r="O763" i="31"/>
  <c r="P763" i="31"/>
  <c r="Q763" i="31"/>
  <c r="U763" i="31"/>
  <c r="AC763" i="31"/>
  <c r="AH763" i="31"/>
  <c r="AM763" i="31"/>
  <c r="AR763" i="31"/>
  <c r="AW763" i="31"/>
  <c r="BB763" i="31"/>
  <c r="BG763" i="31"/>
  <c r="J764" i="31"/>
  <c r="I764" i="31" s="1"/>
  <c r="K764" i="31"/>
  <c r="L764" i="31"/>
  <c r="M764" i="31"/>
  <c r="V764" i="31"/>
  <c r="U764" i="31" s="1"/>
  <c r="AC764" i="31"/>
  <c r="AH764" i="31"/>
  <c r="AM764" i="31"/>
  <c r="AR764" i="31"/>
  <c r="AW764" i="31"/>
  <c r="BB764" i="31"/>
  <c r="BG764" i="31"/>
  <c r="AR799" i="31"/>
  <c r="AQ799" i="31" s="1"/>
  <c r="AP799" i="31" s="1"/>
  <c r="AO799" i="31" s="1"/>
  <c r="AN799" i="31" s="1"/>
  <c r="AM799" i="31"/>
  <c r="AL799" i="31" s="1"/>
  <c r="AK799" i="31" s="1"/>
  <c r="AJ799" i="31" s="1"/>
  <c r="AI799" i="31" s="1"/>
  <c r="AH799" i="31"/>
  <c r="AG799" i="31" s="1"/>
  <c r="AF799" i="31" s="1"/>
  <c r="AE799" i="31" s="1"/>
  <c r="AD799" i="31" s="1"/>
  <c r="AC799" i="31"/>
  <c r="AB799" i="31" s="1"/>
  <c r="AA799" i="31" s="1"/>
  <c r="Z799" i="31" s="1"/>
  <c r="Y799" i="31" s="1"/>
  <c r="X799" i="31"/>
  <c r="W799" i="31" s="1"/>
  <c r="V799" i="31" s="1"/>
  <c r="U799" i="31" s="1"/>
  <c r="T799" i="31" s="1"/>
  <c r="S799" i="31"/>
  <c r="R799" i="31" s="1"/>
  <c r="Q799" i="31" s="1"/>
  <c r="P799" i="31" s="1"/>
  <c r="O799" i="31" s="1"/>
  <c r="N799" i="31"/>
  <c r="M799" i="31" s="1"/>
  <c r="L799" i="31" s="1"/>
  <c r="K799" i="31" s="1"/>
  <c r="J799" i="31" s="1"/>
  <c r="BB868" i="31"/>
  <c r="BA868" i="31" s="1"/>
  <c r="AZ868" i="31" s="1"/>
  <c r="AY868" i="31" s="1"/>
  <c r="AX868" i="31" s="1"/>
  <c r="AW822" i="31"/>
  <c r="AV822" i="31" s="1"/>
  <c r="AU822" i="31" s="1"/>
  <c r="AT822" i="31" s="1"/>
  <c r="AS822" i="31" s="1"/>
  <c r="N811" i="31"/>
  <c r="M811" i="31" s="1"/>
  <c r="L811" i="31" s="1"/>
  <c r="K811" i="31" s="1"/>
  <c r="J811" i="31" s="1"/>
  <c r="I811" i="31" s="1"/>
  <c r="BP727" i="31"/>
  <c r="BO727" i="31"/>
  <c r="BN727" i="31"/>
  <c r="BM727" i="31"/>
  <c r="BK727" i="31"/>
  <c r="BJ727" i="31"/>
  <c r="BI727" i="31"/>
  <c r="BH727" i="31"/>
  <c r="BF727" i="31"/>
  <c r="BE727" i="31"/>
  <c r="BD727" i="31"/>
  <c r="BC727" i="31"/>
  <c r="BA727" i="31"/>
  <c r="AZ727" i="31"/>
  <c r="AY727" i="31"/>
  <c r="AX727" i="31"/>
  <c r="AV727" i="31"/>
  <c r="AU727" i="31"/>
  <c r="AT727" i="31"/>
  <c r="AS727" i="31"/>
  <c r="AQ727" i="31"/>
  <c r="AP727" i="31"/>
  <c r="AO727" i="31"/>
  <c r="AN727" i="31"/>
  <c r="AL727" i="31"/>
  <c r="AK727" i="31"/>
  <c r="AJ727" i="31"/>
  <c r="AI727" i="31"/>
  <c r="AG727" i="31"/>
  <c r="AF727" i="31"/>
  <c r="AE727" i="31"/>
  <c r="AD727" i="31"/>
  <c r="AB727" i="31"/>
  <c r="AA727" i="31"/>
  <c r="Z727" i="31"/>
  <c r="Y727" i="31"/>
  <c r="W727" i="31"/>
  <c r="V727" i="31"/>
  <c r="U727" i="31"/>
  <c r="T727" i="31"/>
  <c r="R727" i="31"/>
  <c r="Q727" i="31"/>
  <c r="P727" i="31"/>
  <c r="O727" i="31"/>
  <c r="M727" i="31"/>
  <c r="L727" i="31"/>
  <c r="K727" i="31"/>
  <c r="J727" i="31"/>
  <c r="H727" i="31"/>
  <c r="G727" i="31"/>
  <c r="F727" i="31"/>
  <c r="E727" i="31"/>
  <c r="D727" i="31"/>
  <c r="BQ726" i="31"/>
  <c r="BL726" i="31"/>
  <c r="BG726" i="31"/>
  <c r="BB726" i="31"/>
  <c r="AW726" i="31"/>
  <c r="AR726" i="31"/>
  <c r="AM726" i="31"/>
  <c r="AH726" i="31"/>
  <c r="AC726" i="31"/>
  <c r="X726" i="31"/>
  <c r="S726" i="31"/>
  <c r="N726" i="31"/>
  <c r="I726" i="31"/>
  <c r="BQ725" i="31"/>
  <c r="BV730" i="31" s="1"/>
  <c r="BL725" i="31"/>
  <c r="BG725" i="31"/>
  <c r="BB725" i="31"/>
  <c r="AW725" i="31"/>
  <c r="AR725" i="31"/>
  <c r="AM725" i="31"/>
  <c r="AH725" i="31"/>
  <c r="AC725" i="31"/>
  <c r="X725" i="31"/>
  <c r="S725" i="31"/>
  <c r="N725" i="31"/>
  <c r="I725" i="31"/>
  <c r="I730" i="31" s="1"/>
  <c r="BR720" i="31"/>
  <c r="BP720" i="31"/>
  <c r="BO720" i="31"/>
  <c r="BN720" i="31"/>
  <c r="BM720" i="31"/>
  <c r="BK720" i="31"/>
  <c r="BJ720" i="31"/>
  <c r="BI720" i="31"/>
  <c r="BI721" i="31" s="1"/>
  <c r="BH720" i="31"/>
  <c r="BF720" i="31"/>
  <c r="BF721" i="31" s="1"/>
  <c r="BE720" i="31"/>
  <c r="BE721" i="31" s="1"/>
  <c r="BD720" i="31"/>
  <c r="BD721" i="31" s="1"/>
  <c r="BC720" i="31"/>
  <c r="BC721" i="31" s="1"/>
  <c r="BA720" i="31"/>
  <c r="AZ720" i="31"/>
  <c r="AY720" i="31"/>
  <c r="AX720" i="31"/>
  <c r="AV720" i="31"/>
  <c r="AU720" i="31"/>
  <c r="AT720" i="31"/>
  <c r="AS720" i="31"/>
  <c r="AQ720" i="31"/>
  <c r="AP720" i="31"/>
  <c r="AO720" i="31"/>
  <c r="AN720" i="31"/>
  <c r="AL720" i="31"/>
  <c r="AK720" i="31"/>
  <c r="AJ720" i="31"/>
  <c r="AI720" i="31"/>
  <c r="AG720" i="31"/>
  <c r="AF720" i="31"/>
  <c r="AE720" i="31"/>
  <c r="AD720" i="31"/>
  <c r="AB720" i="31"/>
  <c r="AA720" i="31"/>
  <c r="Z720" i="31"/>
  <c r="Y720" i="31"/>
  <c r="W720" i="31"/>
  <c r="V720" i="31"/>
  <c r="U720" i="31"/>
  <c r="T720" i="31"/>
  <c r="R720" i="31"/>
  <c r="Q720" i="31"/>
  <c r="P720" i="31"/>
  <c r="O720" i="31"/>
  <c r="M720" i="31"/>
  <c r="L720" i="31"/>
  <c r="K720" i="31"/>
  <c r="J720" i="31"/>
  <c r="BR719" i="31"/>
  <c r="BP719" i="31"/>
  <c r="BO719" i="31"/>
  <c r="BN719" i="31"/>
  <c r="BM719" i="31"/>
  <c r="BK719" i="31"/>
  <c r="BJ719" i="31"/>
  <c r="BI719" i="31"/>
  <c r="BH719" i="31"/>
  <c r="BF719" i="31"/>
  <c r="BE719" i="31"/>
  <c r="BD719" i="31"/>
  <c r="BC719" i="31"/>
  <c r="BA719" i="31"/>
  <c r="AZ719" i="31"/>
  <c r="AY719" i="31"/>
  <c r="AX719" i="31"/>
  <c r="AV719" i="31"/>
  <c r="AU719" i="31"/>
  <c r="AT719" i="31"/>
  <c r="AS719" i="31"/>
  <c r="AQ719" i="31"/>
  <c r="AP719" i="31"/>
  <c r="AO719" i="31"/>
  <c r="AN719" i="31"/>
  <c r="AL719" i="31"/>
  <c r="AK719" i="31"/>
  <c r="AJ719" i="31"/>
  <c r="AI719" i="31"/>
  <c r="AG719" i="31"/>
  <c r="AF719" i="31"/>
  <c r="AE719" i="31"/>
  <c r="AD719" i="31"/>
  <c r="AB719" i="31"/>
  <c r="AA719" i="31"/>
  <c r="Z719" i="31"/>
  <c r="Y719" i="31"/>
  <c r="W719" i="31"/>
  <c r="V719" i="31"/>
  <c r="U719" i="31"/>
  <c r="T719" i="31"/>
  <c r="R719" i="31"/>
  <c r="Q719" i="31"/>
  <c r="P719" i="31"/>
  <c r="O719" i="31"/>
  <c r="M719" i="31"/>
  <c r="L719" i="31"/>
  <c r="K719" i="31"/>
  <c r="J719" i="31"/>
  <c r="BP716" i="31"/>
  <c r="BO716" i="31"/>
  <c r="BN716" i="31"/>
  <c r="BM716" i="31"/>
  <c r="BK716" i="31"/>
  <c r="BJ716" i="31"/>
  <c r="BI716" i="31"/>
  <c r="BH716" i="31"/>
  <c r="BF716" i="31"/>
  <c r="BE716" i="31"/>
  <c r="BD716" i="31"/>
  <c r="BC716" i="31"/>
  <c r="BA716" i="31"/>
  <c r="AZ716" i="31"/>
  <c r="AY716" i="31"/>
  <c r="AX716" i="31"/>
  <c r="AV716" i="31"/>
  <c r="AU716" i="31"/>
  <c r="AT716" i="31"/>
  <c r="AS716" i="31"/>
  <c r="AQ716" i="31"/>
  <c r="AP716" i="31"/>
  <c r="AO716" i="31"/>
  <c r="AN716" i="31"/>
  <c r="AL716" i="31"/>
  <c r="AK716" i="31"/>
  <c r="AJ716" i="31"/>
  <c r="AI716" i="31"/>
  <c r="AG716" i="31"/>
  <c r="AF716" i="31"/>
  <c r="AE716" i="31"/>
  <c r="AD716" i="31"/>
  <c r="AB716" i="31"/>
  <c r="AA716" i="31"/>
  <c r="Z716" i="31"/>
  <c r="Y716" i="31"/>
  <c r="W716" i="31"/>
  <c r="V716" i="31"/>
  <c r="U716" i="31"/>
  <c r="T716" i="31"/>
  <c r="R716" i="31"/>
  <c r="Q716" i="31"/>
  <c r="P716" i="31"/>
  <c r="O716" i="31"/>
  <c r="M716" i="31"/>
  <c r="L716" i="31"/>
  <c r="K716" i="31"/>
  <c r="J716" i="31"/>
  <c r="H716" i="31"/>
  <c r="G716" i="31"/>
  <c r="F716" i="31"/>
  <c r="E716" i="31"/>
  <c r="BQ715" i="31"/>
  <c r="BL715" i="31"/>
  <c r="BG715" i="31"/>
  <c r="BB715" i="31"/>
  <c r="AW715" i="31"/>
  <c r="AR715" i="31"/>
  <c r="AM715" i="31"/>
  <c r="AH715" i="31"/>
  <c r="AC715" i="31"/>
  <c r="X715" i="31"/>
  <c r="S715" i="31"/>
  <c r="N715" i="31"/>
  <c r="I715" i="31"/>
  <c r="D715" i="31" s="1"/>
  <c r="BQ714" i="31"/>
  <c r="BV719" i="31" s="1"/>
  <c r="BL714" i="31"/>
  <c r="BG714" i="31"/>
  <c r="BB714" i="31"/>
  <c r="AW714" i="31"/>
  <c r="AR714" i="31"/>
  <c r="AM714" i="31"/>
  <c r="AH714" i="31"/>
  <c r="AC714" i="31"/>
  <c r="X714" i="31"/>
  <c r="S714" i="31"/>
  <c r="N714" i="31"/>
  <c r="I714" i="31"/>
  <c r="D714" i="31" s="1"/>
  <c r="I711" i="31"/>
  <c r="BR709" i="31"/>
  <c r="BP709" i="31"/>
  <c r="BO709" i="31"/>
  <c r="BN709" i="31"/>
  <c r="BM709" i="31"/>
  <c r="BK709" i="31"/>
  <c r="BJ709" i="31"/>
  <c r="BI709" i="31"/>
  <c r="BI710" i="31" s="1"/>
  <c r="BH709" i="31"/>
  <c r="BF709" i="31"/>
  <c r="BF710" i="31" s="1"/>
  <c r="BE709" i="31"/>
  <c r="BE710" i="31" s="1"/>
  <c r="BD709" i="31"/>
  <c r="BD710" i="31" s="1"/>
  <c r="BC709" i="31"/>
  <c r="BC710" i="31" s="1"/>
  <c r="BA709" i="31"/>
  <c r="AZ709" i="31"/>
  <c r="AY709" i="31"/>
  <c r="AX709" i="31"/>
  <c r="AV709" i="31"/>
  <c r="AU709" i="31"/>
  <c r="AT709" i="31"/>
  <c r="AS709" i="31"/>
  <c r="AQ709" i="31"/>
  <c r="AP709" i="31"/>
  <c r="AO709" i="31"/>
  <c r="AN709" i="31"/>
  <c r="AL709" i="31"/>
  <c r="AK709" i="31"/>
  <c r="AJ709" i="31"/>
  <c r="AI709" i="31"/>
  <c r="AG709" i="31"/>
  <c r="AF709" i="31"/>
  <c r="AE709" i="31"/>
  <c r="AD709" i="31"/>
  <c r="AB709" i="31"/>
  <c r="AA709" i="31"/>
  <c r="Z709" i="31"/>
  <c r="Y709" i="31"/>
  <c r="W709" i="31"/>
  <c r="V709" i="31"/>
  <c r="U709" i="31"/>
  <c r="T709" i="31"/>
  <c r="R709" i="31"/>
  <c r="Q709" i="31"/>
  <c r="P709" i="31"/>
  <c r="O709" i="31"/>
  <c r="M709" i="31"/>
  <c r="L709" i="31"/>
  <c r="K709" i="31"/>
  <c r="J709" i="31"/>
  <c r="I709" i="31"/>
  <c r="BR708" i="31"/>
  <c r="BP708" i="31"/>
  <c r="BO708" i="31"/>
  <c r="BN708" i="31"/>
  <c r="BM708" i="31"/>
  <c r="BK708" i="31"/>
  <c r="BJ708" i="31"/>
  <c r="BI708" i="31"/>
  <c r="BH708" i="31"/>
  <c r="BF708" i="31"/>
  <c r="BE708" i="31"/>
  <c r="BD708" i="31"/>
  <c r="BC708" i="31"/>
  <c r="BA708" i="31"/>
  <c r="AZ708" i="31"/>
  <c r="AY708" i="31"/>
  <c r="AX708" i="31"/>
  <c r="AV708" i="31"/>
  <c r="AU708" i="31"/>
  <c r="AT708" i="31"/>
  <c r="AS708" i="31"/>
  <c r="AQ708" i="31"/>
  <c r="AP708" i="31"/>
  <c r="AO708" i="31"/>
  <c r="AN708" i="31"/>
  <c r="AL708" i="31"/>
  <c r="AK708" i="31"/>
  <c r="AJ708" i="31"/>
  <c r="AI708" i="31"/>
  <c r="AG708" i="31"/>
  <c r="AF708" i="31"/>
  <c r="AE708" i="31"/>
  <c r="AD708" i="31"/>
  <c r="AB708" i="31"/>
  <c r="AA708" i="31"/>
  <c r="Z708" i="31"/>
  <c r="Y708" i="31"/>
  <c r="W708" i="31"/>
  <c r="V708" i="31"/>
  <c r="U708" i="31"/>
  <c r="T708" i="31"/>
  <c r="R708" i="31"/>
  <c r="Q708" i="31"/>
  <c r="P708" i="31"/>
  <c r="O708" i="31"/>
  <c r="M708" i="31"/>
  <c r="L708" i="31"/>
  <c r="K708" i="31"/>
  <c r="J708" i="31"/>
  <c r="I708" i="31"/>
  <c r="BR705" i="31"/>
  <c r="BP705" i="31"/>
  <c r="BO705" i="31"/>
  <c r="BN705" i="31"/>
  <c r="BM705" i="31"/>
  <c r="BK705" i="31"/>
  <c r="BJ705" i="31"/>
  <c r="BI705" i="31"/>
  <c r="BH705" i="31"/>
  <c r="BF705" i="31"/>
  <c r="BE705" i="31"/>
  <c r="BD705" i="31"/>
  <c r="BC705" i="31"/>
  <c r="BA705" i="31"/>
  <c r="AZ705" i="31"/>
  <c r="AY705" i="31"/>
  <c r="AX705" i="31"/>
  <c r="AV705" i="31"/>
  <c r="AU705" i="31"/>
  <c r="AT705" i="31"/>
  <c r="AS705" i="31"/>
  <c r="AQ705" i="31"/>
  <c r="AP705" i="31"/>
  <c r="AO705" i="31"/>
  <c r="AN705" i="31"/>
  <c r="AL705" i="31"/>
  <c r="AK705" i="31"/>
  <c r="AJ705" i="31"/>
  <c r="AI705" i="31"/>
  <c r="AG705" i="31"/>
  <c r="AF705" i="31"/>
  <c r="AE705" i="31"/>
  <c r="AD705" i="31"/>
  <c r="AB705" i="31"/>
  <c r="AA705" i="31"/>
  <c r="Z705" i="31"/>
  <c r="Y705" i="31"/>
  <c r="W705" i="31"/>
  <c r="V705" i="31"/>
  <c r="U705" i="31"/>
  <c r="T705" i="31"/>
  <c r="R705" i="31"/>
  <c r="Q705" i="31"/>
  <c r="P705" i="31"/>
  <c r="O705" i="31"/>
  <c r="M705" i="31"/>
  <c r="L705" i="31"/>
  <c r="K705" i="31"/>
  <c r="J705" i="31"/>
  <c r="H705" i="31"/>
  <c r="G705" i="31"/>
  <c r="F705" i="31"/>
  <c r="E705" i="31"/>
  <c r="BQ704" i="31"/>
  <c r="BL704" i="31"/>
  <c r="BG704" i="31"/>
  <c r="BB704" i="31"/>
  <c r="AW704" i="31"/>
  <c r="AR704" i="31"/>
  <c r="AM704" i="31"/>
  <c r="AH704" i="31"/>
  <c r="AC704" i="31"/>
  <c r="X704" i="31"/>
  <c r="S704" i="31"/>
  <c r="N704" i="31"/>
  <c r="BQ703" i="31"/>
  <c r="BL703" i="31"/>
  <c r="BG703" i="31"/>
  <c r="BB703" i="31"/>
  <c r="AW703" i="31"/>
  <c r="AR703" i="31"/>
  <c r="AM703" i="31"/>
  <c r="AH703" i="31"/>
  <c r="AC703" i="31"/>
  <c r="X703" i="31"/>
  <c r="S703" i="31"/>
  <c r="N703" i="31"/>
  <c r="BP694" i="31"/>
  <c r="BO694" i="31"/>
  <c r="BN694" i="31"/>
  <c r="BM694" i="31"/>
  <c r="BQ693" i="31"/>
  <c r="BQ692" i="31"/>
  <c r="BO733" i="31" l="1"/>
  <c r="DH716" i="31"/>
  <c r="BH733" i="31"/>
  <c r="DC716" i="31"/>
  <c r="AC766" i="31"/>
  <c r="AB766" i="31" s="1"/>
  <c r="AA766" i="31" s="1"/>
  <c r="Z766" i="31" s="1"/>
  <c r="Y766" i="31" s="1"/>
  <c r="S764" i="31"/>
  <c r="R764" i="31" s="1"/>
  <c r="Q764" i="31" s="1"/>
  <c r="P764" i="31" s="1"/>
  <c r="O764" i="31" s="1"/>
  <c r="BP711" i="31"/>
  <c r="BO722" i="31"/>
  <c r="BO711" i="31"/>
  <c r="BI722" i="31"/>
  <c r="BP722" i="31"/>
  <c r="BL766" i="31"/>
  <c r="BK766" i="31" s="1"/>
  <c r="BJ766" i="31" s="1"/>
  <c r="BI766" i="31" s="1"/>
  <c r="BH766" i="31" s="1"/>
  <c r="BW711" i="31"/>
  <c r="AH766" i="31"/>
  <c r="AG766" i="31" s="1"/>
  <c r="AF766" i="31" s="1"/>
  <c r="AE766" i="31" s="1"/>
  <c r="AD766" i="31" s="1"/>
  <c r="S708" i="31"/>
  <c r="AC708" i="31"/>
  <c r="AM708" i="31"/>
  <c r="X709" i="31"/>
  <c r="AH709" i="31"/>
  <c r="S730" i="31"/>
  <c r="AC730" i="31"/>
  <c r="AM730" i="31"/>
  <c r="AW730" i="31"/>
  <c r="BG730" i="31"/>
  <c r="S731" i="31"/>
  <c r="AC731" i="31"/>
  <c r="AM731" i="31"/>
  <c r="AW731" i="31"/>
  <c r="BG731" i="31"/>
  <c r="BL727" i="31"/>
  <c r="BQ727" i="31"/>
  <c r="BV731" i="31"/>
  <c r="X708" i="31"/>
  <c r="AH708" i="31"/>
  <c r="S709" i="31"/>
  <c r="AC709" i="31"/>
  <c r="AM709" i="31"/>
  <c r="X730" i="31"/>
  <c r="AH730" i="31"/>
  <c r="AR730" i="31"/>
  <c r="BB730" i="31"/>
  <c r="X731" i="31"/>
  <c r="AH731" i="31"/>
  <c r="AR731" i="31"/>
  <c r="BB731" i="31"/>
  <c r="BG766" i="31"/>
  <c r="BF766" i="31" s="1"/>
  <c r="BE766" i="31" s="1"/>
  <c r="BD766" i="31" s="1"/>
  <c r="BC766" i="31" s="1"/>
  <c r="BY727" i="31"/>
  <c r="BY705" i="31"/>
  <c r="BH710" i="31"/>
  <c r="BH722" i="31"/>
  <c r="BH721" i="31"/>
  <c r="BL730" i="31"/>
  <c r="BQ730" i="31"/>
  <c r="I731" i="31"/>
  <c r="BL731" i="31"/>
  <c r="BQ731" i="31"/>
  <c r="X763" i="31"/>
  <c r="S760" i="31"/>
  <c r="X766" i="31" s="1"/>
  <c r="W766" i="31" s="1"/>
  <c r="V766" i="31" s="1"/>
  <c r="U766" i="31" s="1"/>
  <c r="T766" i="31" s="1"/>
  <c r="S763" i="31"/>
  <c r="N760" i="31"/>
  <c r="N766" i="31" s="1"/>
  <c r="M766" i="31" s="1"/>
  <c r="CA755" i="31"/>
  <c r="BV755" i="31"/>
  <c r="BU755" i="31" s="1"/>
  <c r="BT755" i="31" s="1"/>
  <c r="BS755" i="31" s="1"/>
  <c r="BR755" i="31" s="1"/>
  <c r="BQ755" i="31"/>
  <c r="BP755" i="31" s="1"/>
  <c r="BO755" i="31" s="1"/>
  <c r="BN755" i="31" s="1"/>
  <c r="BM755" i="31" s="1"/>
  <c r="BL755" i="31"/>
  <c r="U891" i="31"/>
  <c r="P887" i="31"/>
  <c r="R893" i="31"/>
  <c r="M893" i="31"/>
  <c r="Q893" i="31"/>
  <c r="L893" i="31"/>
  <c r="K893" i="31"/>
  <c r="O893" i="31"/>
  <c r="J893" i="31"/>
  <c r="BS705" i="31"/>
  <c r="BT705" i="31"/>
  <c r="N705" i="31"/>
  <c r="S705" i="31"/>
  <c r="X705" i="31"/>
  <c r="AC705" i="31"/>
  <c r="AH705" i="31"/>
  <c r="AM705" i="31"/>
  <c r="AR705" i="31"/>
  <c r="AW705" i="31"/>
  <c r="BB705" i="31"/>
  <c r="BG705" i="31"/>
  <c r="BL705" i="31"/>
  <c r="BQ705" i="31"/>
  <c r="N708" i="31"/>
  <c r="AR708" i="31"/>
  <c r="AW708" i="31"/>
  <c r="BB708" i="31"/>
  <c r="BG708" i="31"/>
  <c r="BL708" i="31"/>
  <c r="BQ708" i="31"/>
  <c r="N709" i="31"/>
  <c r="AR709" i="31"/>
  <c r="AW709" i="31"/>
  <c r="BB709" i="31"/>
  <c r="BG709" i="31"/>
  <c r="BL709" i="31"/>
  <c r="BQ709" i="31"/>
  <c r="BM711" i="31"/>
  <c r="BN711" i="31"/>
  <c r="BS716" i="31"/>
  <c r="BT716" i="31"/>
  <c r="D716" i="31"/>
  <c r="I716" i="31"/>
  <c r="N716" i="31"/>
  <c r="S716" i="31"/>
  <c r="X716" i="31"/>
  <c r="AC716" i="31"/>
  <c r="AH716" i="31"/>
  <c r="AM716" i="31"/>
  <c r="AR716" i="31"/>
  <c r="AW716" i="31"/>
  <c r="BB716" i="31"/>
  <c r="BG716" i="31"/>
  <c r="BL716" i="31"/>
  <c r="BQ716" i="31"/>
  <c r="N719" i="31"/>
  <c r="S719" i="31"/>
  <c r="X719" i="31"/>
  <c r="AC719" i="31"/>
  <c r="AH719" i="31"/>
  <c r="AM719" i="31"/>
  <c r="AR719" i="31"/>
  <c r="AW719" i="31"/>
  <c r="BB719" i="31"/>
  <c r="BG719" i="31"/>
  <c r="BL719" i="31"/>
  <c r="BQ719" i="31"/>
  <c r="N720" i="31"/>
  <c r="S720" i="31"/>
  <c r="X720" i="31"/>
  <c r="AC720" i="31"/>
  <c r="AH720" i="31"/>
  <c r="AM720" i="31"/>
  <c r="AR720" i="31"/>
  <c r="AW720" i="31"/>
  <c r="BB720" i="31"/>
  <c r="BG720" i="31"/>
  <c r="BL720" i="31"/>
  <c r="BQ720" i="31"/>
  <c r="BM722" i="31"/>
  <c r="BN722" i="31"/>
  <c r="BS727" i="31"/>
  <c r="BX733" i="31" s="1"/>
  <c r="BT727" i="31"/>
  <c r="I727" i="31"/>
  <c r="N727" i="31"/>
  <c r="S727" i="31"/>
  <c r="X727" i="31"/>
  <c r="AC727" i="31"/>
  <c r="AH727" i="31"/>
  <c r="AM727" i="31"/>
  <c r="AR727" i="31"/>
  <c r="AW727" i="31"/>
  <c r="BB727" i="31"/>
  <c r="BG727" i="31"/>
  <c r="BN733" i="31"/>
  <c r="BM733" i="31" s="1"/>
  <c r="BB766" i="31"/>
  <c r="BA766" i="31" s="1"/>
  <c r="AZ766" i="31" s="1"/>
  <c r="AY766" i="31" s="1"/>
  <c r="AX766" i="31" s="1"/>
  <c r="AW766" i="31"/>
  <c r="AV766" i="31" s="1"/>
  <c r="AU766" i="31" s="1"/>
  <c r="AT766" i="31" s="1"/>
  <c r="AS766" i="31" s="1"/>
  <c r="AR766" i="31"/>
  <c r="AQ766" i="31" s="1"/>
  <c r="AP766" i="31" s="1"/>
  <c r="AO766" i="31" s="1"/>
  <c r="AN766" i="31" s="1"/>
  <c r="Q766" i="31"/>
  <c r="P766" i="31"/>
  <c r="O766" i="31" s="1"/>
  <c r="L766" i="31"/>
  <c r="K766" i="31"/>
  <c r="J766" i="31" s="1"/>
  <c r="I766" i="31"/>
  <c r="N731" i="31"/>
  <c r="N730" i="31"/>
  <c r="P891" i="31"/>
  <c r="N764" i="31"/>
  <c r="AM766" i="31"/>
  <c r="AL766" i="31" s="1"/>
  <c r="AK766" i="31" s="1"/>
  <c r="AJ766" i="31" s="1"/>
  <c r="AI766" i="31" s="1"/>
  <c r="N763" i="31"/>
  <c r="BR716" i="31"/>
  <c r="P893" i="31" l="1"/>
  <c r="P25" i="31"/>
  <c r="DM722" i="31"/>
  <c r="DC722" i="31"/>
  <c r="DH722" i="31"/>
  <c r="BY733" i="31"/>
  <c r="CI716" i="31"/>
  <c r="CD716" i="31"/>
  <c r="BR722" i="31"/>
  <c r="BW722" i="31"/>
  <c r="BQ733" i="31"/>
  <c r="BP733" i="31" s="1"/>
  <c r="BT722" i="31"/>
  <c r="BL733" i="31"/>
  <c r="BK733" i="31" s="1"/>
  <c r="BJ733" i="31" s="1"/>
  <c r="BI733" i="31" s="1"/>
  <c r="BT733" i="31"/>
  <c r="BX722" i="31"/>
  <c r="BX711" i="31"/>
  <c r="BY716" i="31"/>
  <c r="BR733" i="31"/>
  <c r="BY711" i="31"/>
  <c r="BS711" i="31"/>
  <c r="BS733" i="31"/>
  <c r="BS722" i="31"/>
  <c r="BQ722" i="31"/>
  <c r="BL722" i="31"/>
  <c r="BK722" i="31" s="1"/>
  <c r="BJ722" i="31" s="1"/>
  <c r="BG722" i="31"/>
  <c r="BF722" i="31" s="1"/>
  <c r="BE722" i="31" s="1"/>
  <c r="BD722" i="31" s="1"/>
  <c r="BC722" i="31" s="1"/>
  <c r="BB722" i="31"/>
  <c r="BA722" i="31" s="1"/>
  <c r="AZ722" i="31" s="1"/>
  <c r="AY722" i="31" s="1"/>
  <c r="AX722" i="31" s="1"/>
  <c r="AW722" i="31"/>
  <c r="AV722" i="31" s="1"/>
  <c r="AU722" i="31" s="1"/>
  <c r="AT722" i="31" s="1"/>
  <c r="AS722" i="31" s="1"/>
  <c r="AR722" i="31"/>
  <c r="AQ722" i="31" s="1"/>
  <c r="AP722" i="31" s="1"/>
  <c r="AO722" i="31" s="1"/>
  <c r="AN722" i="31" s="1"/>
  <c r="BQ711" i="31"/>
  <c r="BL711" i="31"/>
  <c r="BK711" i="31" s="1"/>
  <c r="BJ711" i="31" s="1"/>
  <c r="BI711" i="31" s="1"/>
  <c r="BH711" i="31" s="1"/>
  <c r="BG711" i="31"/>
  <c r="BF711" i="31" s="1"/>
  <c r="BE711" i="31" s="1"/>
  <c r="BD711" i="31" s="1"/>
  <c r="BC711" i="31" s="1"/>
  <c r="BB711" i="31"/>
  <c r="BA711" i="31" s="1"/>
  <c r="AZ711" i="31" s="1"/>
  <c r="AY711" i="31" s="1"/>
  <c r="AX711" i="31" s="1"/>
  <c r="AW711" i="31"/>
  <c r="AV711" i="31" s="1"/>
  <c r="AU711" i="31" s="1"/>
  <c r="AT711" i="31" s="1"/>
  <c r="AS711" i="31" s="1"/>
  <c r="AR711" i="31"/>
  <c r="AQ711" i="31" s="1"/>
  <c r="AP711" i="31" s="1"/>
  <c r="AO711" i="31" s="1"/>
  <c r="AN711" i="31" s="1"/>
  <c r="S711" i="31"/>
  <c r="R711" i="31" s="1"/>
  <c r="Q711" i="31" s="1"/>
  <c r="P711" i="31" s="1"/>
  <c r="O711" i="31" s="1"/>
  <c r="N711" i="31"/>
  <c r="M711" i="31" s="1"/>
  <c r="L711" i="31" s="1"/>
  <c r="K711" i="31" s="1"/>
  <c r="J711" i="31" s="1"/>
  <c r="BG733" i="31"/>
  <c r="BF733" i="31" s="1"/>
  <c r="BE733" i="31" s="1"/>
  <c r="BD733" i="31" s="1"/>
  <c r="BC733" i="31" s="1"/>
  <c r="BB733" i="31"/>
  <c r="BA733" i="31" s="1"/>
  <c r="AZ733" i="31" s="1"/>
  <c r="AY733" i="31" s="1"/>
  <c r="AX733" i="31" s="1"/>
  <c r="AW733" i="31"/>
  <c r="AV733" i="31" s="1"/>
  <c r="AU733" i="31" s="1"/>
  <c r="AT733" i="31" s="1"/>
  <c r="AS733" i="31" s="1"/>
  <c r="AR733" i="31"/>
  <c r="AQ733" i="31" s="1"/>
  <c r="AP733" i="31" s="1"/>
  <c r="AO733" i="31" s="1"/>
  <c r="AN733" i="31" s="1"/>
  <c r="AM733" i="31"/>
  <c r="AL733" i="31" s="1"/>
  <c r="AK733" i="31" s="1"/>
  <c r="AJ733" i="31" s="1"/>
  <c r="AI733" i="31" s="1"/>
  <c r="AH733" i="31"/>
  <c r="AG733" i="31" s="1"/>
  <c r="AF733" i="31" s="1"/>
  <c r="AE733" i="31" s="1"/>
  <c r="AD733" i="31" s="1"/>
  <c r="AC733" i="31" s="1"/>
  <c r="AB733" i="31" s="1"/>
  <c r="AA733" i="31" s="1"/>
  <c r="Z733" i="31" s="1"/>
  <c r="Y733" i="31" s="1"/>
  <c r="X733" i="31" s="1"/>
  <c r="W733" i="31" s="1"/>
  <c r="V733" i="31" s="1"/>
  <c r="U733" i="31" s="1"/>
  <c r="T733" i="31" s="1"/>
  <c r="S733" i="31" s="1"/>
  <c r="R733" i="31" s="1"/>
  <c r="Q733" i="31" s="1"/>
  <c r="P733" i="31" s="1"/>
  <c r="O733" i="31" s="1"/>
  <c r="N733" i="31" s="1"/>
  <c r="M733" i="31" s="1"/>
  <c r="L733" i="31" s="1"/>
  <c r="K733" i="31" s="1"/>
  <c r="J733" i="31" s="1"/>
  <c r="I733" i="31" s="1"/>
  <c r="AM722" i="31"/>
  <c r="AL722" i="31" s="1"/>
  <c r="AK722" i="31" s="1"/>
  <c r="AJ722" i="31" s="1"/>
  <c r="AI722" i="31" s="1"/>
  <c r="AH722" i="31"/>
  <c r="AG722" i="31" s="1"/>
  <c r="AF722" i="31" s="1"/>
  <c r="AE722" i="31" s="1"/>
  <c r="AD722" i="31" s="1"/>
  <c r="AC722" i="31"/>
  <c r="AB722" i="31" s="1"/>
  <c r="AA722" i="31" s="1"/>
  <c r="Z722" i="31" s="1"/>
  <c r="Y722" i="31" s="1"/>
  <c r="X722" i="31"/>
  <c r="W722" i="31" s="1"/>
  <c r="V722" i="31" s="1"/>
  <c r="U722" i="31" s="1"/>
  <c r="T722" i="31" s="1"/>
  <c r="S722" i="31"/>
  <c r="R722" i="31" s="1"/>
  <c r="Q722" i="31" s="1"/>
  <c r="P722" i="31" s="1"/>
  <c r="O722" i="31" s="1"/>
  <c r="N722" i="31"/>
  <c r="M722" i="31" s="1"/>
  <c r="L722" i="31" s="1"/>
  <c r="K722" i="31" s="1"/>
  <c r="J722" i="31" s="1"/>
  <c r="AM711" i="31"/>
  <c r="AL711" i="31" s="1"/>
  <c r="AK711" i="31" s="1"/>
  <c r="AJ711" i="31" s="1"/>
  <c r="AI711" i="31" s="1"/>
  <c r="AH711" i="31" s="1"/>
  <c r="AG711" i="31" s="1"/>
  <c r="AF711" i="31" s="1"/>
  <c r="AE711" i="31" s="1"/>
  <c r="AD711" i="31" s="1"/>
  <c r="AC711" i="31" s="1"/>
  <c r="AB711" i="31" s="1"/>
  <c r="AA711" i="31" s="1"/>
  <c r="Z711" i="31" s="1"/>
  <c r="Y711" i="31" s="1"/>
  <c r="X711" i="31" s="1"/>
  <c r="W711" i="31" s="1"/>
  <c r="V711" i="31" s="1"/>
  <c r="U711" i="31" s="1"/>
  <c r="T711" i="31" s="1"/>
  <c r="S766" i="31"/>
  <c r="R766" i="31" s="1"/>
  <c r="BQ694" i="31"/>
  <c r="CN722" i="31" l="1"/>
  <c r="CD722" i="31"/>
  <c r="CI722" i="31"/>
  <c r="BY722" i="31"/>
  <c r="BU708" i="31"/>
  <c r="BU730" i="31"/>
  <c r="CA725" i="31" l="1"/>
  <c r="CA703" i="31"/>
  <c r="CK703" i="31" l="1"/>
  <c r="CF725" i="31"/>
  <c r="CA730" i="31"/>
  <c r="AV506" i="31"/>
  <c r="AU506" i="31"/>
  <c r="AT506" i="31"/>
  <c r="AS506" i="31"/>
  <c r="AR506" i="31"/>
  <c r="AQ506" i="31"/>
  <c r="AP506" i="31"/>
  <c r="AO506" i="31"/>
  <c r="AN506" i="31"/>
  <c r="AM506" i="31"/>
  <c r="AL506" i="31"/>
  <c r="AK506" i="31"/>
  <c r="AJ506" i="31"/>
  <c r="AI506" i="31"/>
  <c r="AH506" i="31"/>
  <c r="AG506" i="31"/>
  <c r="AF506" i="31"/>
  <c r="AE506" i="31"/>
  <c r="AD506" i="31"/>
  <c r="AV504" i="31"/>
  <c r="AU504" i="31"/>
  <c r="AT504" i="31"/>
  <c r="AS504" i="31"/>
  <c r="AR504" i="31"/>
  <c r="AQ504" i="31"/>
  <c r="AP504" i="31"/>
  <c r="AO504" i="31"/>
  <c r="AN504" i="31"/>
  <c r="AM504" i="31"/>
  <c r="AL504" i="31"/>
  <c r="AK504" i="31"/>
  <c r="AJ504" i="31"/>
  <c r="AI504" i="31"/>
  <c r="AH504" i="31"/>
  <c r="AG504" i="31"/>
  <c r="AF504" i="31"/>
  <c r="AE504" i="31"/>
  <c r="AD504" i="31"/>
  <c r="BT500" i="31"/>
  <c r="BS500" i="31"/>
  <c r="BR500" i="31"/>
  <c r="BP500" i="31"/>
  <c r="BO500" i="31"/>
  <c r="BN500" i="31"/>
  <c r="BM500" i="31"/>
  <c r="BQ499" i="31"/>
  <c r="BU503" i="31"/>
  <c r="BQ498" i="31"/>
  <c r="AV495" i="31"/>
  <c r="AU495" i="31"/>
  <c r="AT495" i="31"/>
  <c r="AS495" i="31"/>
  <c r="AR495" i="31"/>
  <c r="AQ495" i="31"/>
  <c r="AP495" i="31"/>
  <c r="AO495" i="31"/>
  <c r="AN495" i="31"/>
  <c r="AM495" i="31"/>
  <c r="AL495" i="31"/>
  <c r="AK495" i="31"/>
  <c r="AJ495" i="31"/>
  <c r="AI495" i="31"/>
  <c r="AH495" i="31"/>
  <c r="AG495" i="31"/>
  <c r="AF495" i="31"/>
  <c r="AE495" i="31"/>
  <c r="AD495" i="31"/>
  <c r="AV493" i="31"/>
  <c r="AV494" i="31" s="1"/>
  <c r="AU493" i="31"/>
  <c r="AU494" i="31" s="1"/>
  <c r="AT493" i="31"/>
  <c r="AT494" i="31" s="1"/>
  <c r="AS493" i="31"/>
  <c r="AS494" i="31" s="1"/>
  <c r="AR493" i="31"/>
  <c r="AR494" i="31" s="1"/>
  <c r="AQ493" i="31"/>
  <c r="AQ494" i="31" s="1"/>
  <c r="AP493" i="31"/>
  <c r="AP494" i="31" s="1"/>
  <c r="AO493" i="31"/>
  <c r="AO494" i="31" s="1"/>
  <c r="AN493" i="31"/>
  <c r="AN494" i="31" s="1"/>
  <c r="AM493" i="31"/>
  <c r="AM494" i="31" s="1"/>
  <c r="AL493" i="31"/>
  <c r="AL494" i="31" s="1"/>
  <c r="AK493" i="31"/>
  <c r="AK494" i="31" s="1"/>
  <c r="AJ493" i="31"/>
  <c r="AJ494" i="31" s="1"/>
  <c r="AI493" i="31"/>
  <c r="AI494" i="31" s="1"/>
  <c r="AH493" i="31"/>
  <c r="AG493" i="31"/>
  <c r="AF493" i="31"/>
  <c r="AE493" i="31"/>
  <c r="AD493" i="31"/>
  <c r="BR492" i="31"/>
  <c r="BP492" i="31"/>
  <c r="BO492" i="31"/>
  <c r="BN492" i="31"/>
  <c r="BM492" i="31"/>
  <c r="BR489" i="31"/>
  <c r="BW495" i="31" s="1"/>
  <c r="BT506" i="31" l="1"/>
  <c r="BS506" i="31"/>
  <c r="CP703" i="31"/>
  <c r="CP708" i="31" s="1"/>
  <c r="CK725" i="31"/>
  <c r="CF730" i="31"/>
  <c r="BW506" i="31"/>
  <c r="BU504" i="31"/>
  <c r="BX506" i="31"/>
  <c r="BY506" i="31"/>
  <c r="BU500" i="31"/>
  <c r="BQ500" i="31"/>
  <c r="BV503" i="31"/>
  <c r="BV504" i="31"/>
  <c r="BV505" i="31" s="1"/>
  <c r="AV505" i="31" s="1"/>
  <c r="AU505" i="31" s="1"/>
  <c r="AT505" i="31" s="1"/>
  <c r="AS505" i="31" s="1"/>
  <c r="AR505" i="31" s="1"/>
  <c r="AQ505" i="31" s="1"/>
  <c r="AP505" i="31" s="1"/>
  <c r="AO505" i="31" s="1"/>
  <c r="AN505" i="31" s="1"/>
  <c r="AM505" i="31" s="1"/>
  <c r="AL505" i="31" s="1"/>
  <c r="AK505" i="31" s="1"/>
  <c r="AJ505" i="31" s="1"/>
  <c r="AI505" i="31" s="1"/>
  <c r="BP489" i="31"/>
  <c r="BO489" i="31"/>
  <c r="BN489" i="31"/>
  <c r="BM489" i="31"/>
  <c r="BK489" i="31"/>
  <c r="BJ489" i="31"/>
  <c r="BI489" i="31"/>
  <c r="BH489" i="31"/>
  <c r="BQ488" i="31"/>
  <c r="BL488" i="31"/>
  <c r="BQ487" i="31"/>
  <c r="BL487" i="31"/>
  <c r="BR482" i="31"/>
  <c r="BP482" i="31"/>
  <c r="BO482" i="31"/>
  <c r="BN482" i="31"/>
  <c r="BM482" i="31"/>
  <c r="BK482" i="31"/>
  <c r="BJ482" i="31"/>
  <c r="BI482" i="31"/>
  <c r="BI483" i="31" s="1"/>
  <c r="BH482" i="31"/>
  <c r="BF482" i="31"/>
  <c r="BF483" i="31" s="1"/>
  <c r="BE482" i="31"/>
  <c r="BE483" i="31" s="1"/>
  <c r="BD482" i="31"/>
  <c r="BD483" i="31" s="1"/>
  <c r="BA482" i="31"/>
  <c r="AZ482" i="31"/>
  <c r="AY482" i="31"/>
  <c r="AV482" i="31"/>
  <c r="AU482" i="31"/>
  <c r="AT482" i="31"/>
  <c r="AS482" i="31"/>
  <c r="AQ482" i="31"/>
  <c r="AP482" i="31"/>
  <c r="AO482" i="31"/>
  <c r="AN482" i="31"/>
  <c r="AL482" i="31"/>
  <c r="AK482" i="31"/>
  <c r="AJ482" i="31"/>
  <c r="AI482" i="31"/>
  <c r="AG482" i="31"/>
  <c r="AF482" i="31"/>
  <c r="AE482" i="31"/>
  <c r="AD482" i="31"/>
  <c r="BK481" i="31"/>
  <c r="BJ481" i="31"/>
  <c r="BR478" i="31"/>
  <c r="BM495" i="31" l="1"/>
  <c r="CP725" i="31"/>
  <c r="CK730" i="31"/>
  <c r="CA498" i="31"/>
  <c r="CA499" i="31"/>
  <c r="BZ500" i="31"/>
  <c r="BV493" i="31"/>
  <c r="BV492" i="31"/>
  <c r="BQ493" i="31"/>
  <c r="BQ494" i="31" s="1"/>
  <c r="BQ492" i="31"/>
  <c r="BU506" i="31"/>
  <c r="BY489" i="31"/>
  <c r="BH483" i="31"/>
  <c r="BV506" i="31"/>
  <c r="BS489" i="31"/>
  <c r="BT489" i="31"/>
  <c r="BL489" i="31"/>
  <c r="BQ489" i="31"/>
  <c r="BP478" i="31"/>
  <c r="BO478" i="31"/>
  <c r="BN478" i="31"/>
  <c r="BM478" i="31"/>
  <c r="BK478" i="31"/>
  <c r="BJ478" i="31"/>
  <c r="BI478" i="31"/>
  <c r="BH478" i="31"/>
  <c r="BF478" i="31"/>
  <c r="BE478" i="31"/>
  <c r="BD478" i="31"/>
  <c r="BC478" i="31"/>
  <c r="BA478" i="31"/>
  <c r="AZ478" i="31"/>
  <c r="AY478" i="31"/>
  <c r="AV478" i="31"/>
  <c r="AU478" i="31"/>
  <c r="AT478" i="31"/>
  <c r="AS478" i="31"/>
  <c r="AQ478" i="31"/>
  <c r="AP478" i="31"/>
  <c r="AO478" i="31"/>
  <c r="AN478" i="31"/>
  <c r="AL478" i="31"/>
  <c r="AK478" i="31"/>
  <c r="AJ478" i="31"/>
  <c r="AI478" i="31"/>
  <c r="AG478" i="31"/>
  <c r="AF478" i="31"/>
  <c r="AE478" i="31"/>
  <c r="AD478" i="31"/>
  <c r="BQ477" i="31"/>
  <c r="BV482" i="31" s="1"/>
  <c r="BL477" i="31"/>
  <c r="BL466" i="31" s="1"/>
  <c r="BG477" i="31"/>
  <c r="BG466" i="31" s="1"/>
  <c r="AX477" i="31"/>
  <c r="AX466" i="31" s="1"/>
  <c r="AW477" i="31"/>
  <c r="AW466" i="31" s="1"/>
  <c r="AR477" i="31"/>
  <c r="AR466" i="31" s="1"/>
  <c r="AM477" i="31"/>
  <c r="AM466" i="31" s="1"/>
  <c r="AH477" i="31"/>
  <c r="AH482" i="31" s="1"/>
  <c r="BG476" i="31"/>
  <c r="BG465" i="31" s="1"/>
  <c r="BB476" i="31"/>
  <c r="BB465" i="31" s="1"/>
  <c r="AW476" i="31"/>
  <c r="AW465" i="31" s="1"/>
  <c r="BM467" i="31"/>
  <c r="BK466" i="31"/>
  <c r="BJ466" i="31"/>
  <c r="BI466" i="31"/>
  <c r="BH466" i="31"/>
  <c r="BF466" i="31"/>
  <c r="BE466" i="31"/>
  <c r="BD466" i="31"/>
  <c r="BC466" i="31"/>
  <c r="BA466" i="31"/>
  <c r="AZ466" i="31"/>
  <c r="AY466" i="31"/>
  <c r="AV466" i="31"/>
  <c r="AU466" i="31"/>
  <c r="AT466" i="31"/>
  <c r="AS466" i="31"/>
  <c r="AQ466" i="31"/>
  <c r="AP466" i="31"/>
  <c r="AO466" i="31"/>
  <c r="AN466" i="31"/>
  <c r="AL466" i="31"/>
  <c r="AK466" i="31"/>
  <c r="AJ466" i="31"/>
  <c r="AI466" i="31"/>
  <c r="AG466" i="31"/>
  <c r="AF466" i="31"/>
  <c r="AE466" i="31"/>
  <c r="AD466" i="31"/>
  <c r="BR470" i="31"/>
  <c r="BK465" i="31"/>
  <c r="BJ465" i="31"/>
  <c r="BI465" i="31"/>
  <c r="BH465" i="31"/>
  <c r="BF465" i="31"/>
  <c r="BE465" i="31"/>
  <c r="BD465" i="31"/>
  <c r="BC465" i="31"/>
  <c r="BA465" i="31"/>
  <c r="AZ465" i="31"/>
  <c r="AY465" i="31"/>
  <c r="AX465" i="31"/>
  <c r="AV465" i="31"/>
  <c r="AU465" i="31"/>
  <c r="AT465" i="31"/>
  <c r="AS465" i="31"/>
  <c r="AR465" i="31"/>
  <c r="AQ465" i="31"/>
  <c r="AP465" i="31"/>
  <c r="AO465" i="31"/>
  <c r="AN465" i="31"/>
  <c r="AM465" i="31"/>
  <c r="AL465" i="31"/>
  <c r="AK465" i="31"/>
  <c r="AJ465" i="31"/>
  <c r="AI465" i="31"/>
  <c r="AH465" i="31"/>
  <c r="AH470" i="31" s="1"/>
  <c r="AG465" i="31"/>
  <c r="AG470" i="31" s="1"/>
  <c r="AF465" i="31"/>
  <c r="AF470" i="31" s="1"/>
  <c r="AE465" i="31"/>
  <c r="AE470" i="31" s="1"/>
  <c r="AD465" i="31"/>
  <c r="AD470" i="31" s="1"/>
  <c r="BQ466" i="31" l="1"/>
  <c r="BQ471" i="31" s="1"/>
  <c r="BO484" i="31"/>
  <c r="BH484" i="31"/>
  <c r="BE471" i="31"/>
  <c r="BE472" i="31" s="1"/>
  <c r="CP730" i="31"/>
  <c r="CK499" i="31"/>
  <c r="CA503" i="31"/>
  <c r="BZ506" i="31"/>
  <c r="CF498" i="31"/>
  <c r="AY471" i="31"/>
  <c r="AY472" i="31" s="1"/>
  <c r="CA504" i="31"/>
  <c r="CE500" i="31"/>
  <c r="CF499" i="31"/>
  <c r="CF504" i="31" s="1"/>
  <c r="CD478" i="31"/>
  <c r="AI467" i="31"/>
  <c r="AK467" i="31"/>
  <c r="CA500" i="31"/>
  <c r="AJ467" i="31"/>
  <c r="AL467" i="31"/>
  <c r="BA467" i="31"/>
  <c r="AH466" i="31"/>
  <c r="AM471" i="31" s="1"/>
  <c r="AL471" i="31" s="1"/>
  <c r="AK471" i="31" s="1"/>
  <c r="AJ471" i="31" s="1"/>
  <c r="AI471" i="31" s="1"/>
  <c r="AH471" i="31" s="1"/>
  <c r="AG471" i="31" s="1"/>
  <c r="AF471" i="31" s="1"/>
  <c r="AE471" i="31" s="1"/>
  <c r="AD471" i="31" s="1"/>
  <c r="AR471" i="31"/>
  <c r="AS471" i="31"/>
  <c r="AS472" i="31" s="1"/>
  <c r="AU471" i="31"/>
  <c r="AU472" i="31" s="1"/>
  <c r="AW471" i="31"/>
  <c r="AT471" i="31"/>
  <c r="AT472" i="31" s="1"/>
  <c r="AX471" i="31"/>
  <c r="AX472" i="31" s="1"/>
  <c r="AZ471" i="31"/>
  <c r="AZ472" i="31" s="1"/>
  <c r="BL478" i="31"/>
  <c r="BQ478" i="31"/>
  <c r="BR495" i="31"/>
  <c r="BX495" i="31"/>
  <c r="BY495" i="31"/>
  <c r="BS495" i="31"/>
  <c r="AZ467" i="31"/>
  <c r="AY467" i="31" s="1"/>
  <c r="AX467" i="31" s="1"/>
  <c r="AQ471" i="31"/>
  <c r="AP471" i="31" s="1"/>
  <c r="AO471" i="31" s="1"/>
  <c r="AN471" i="31" s="1"/>
  <c r="AV471" i="31"/>
  <c r="AV472" i="31" s="1"/>
  <c r="AW467" i="31"/>
  <c r="AV467" i="31" s="1"/>
  <c r="AU467" i="31" s="1"/>
  <c r="AT467" i="31" s="1"/>
  <c r="AS467" i="31" s="1"/>
  <c r="AR467" i="31" s="1"/>
  <c r="AQ467" i="31" s="1"/>
  <c r="AP467" i="31" s="1"/>
  <c r="AO467" i="31" s="1"/>
  <c r="AN467" i="31" s="1"/>
  <c r="AM467" i="31" s="1"/>
  <c r="BD471" i="31"/>
  <c r="BO885" i="31"/>
  <c r="BO23" i="31" s="1"/>
  <c r="BP885" i="31"/>
  <c r="AR482" i="31"/>
  <c r="AW482" i="31"/>
  <c r="BC482" i="31"/>
  <c r="BC483" i="31" s="1"/>
  <c r="AX482" i="31"/>
  <c r="BL482" i="31"/>
  <c r="BQ482" i="31"/>
  <c r="BQ495" i="31"/>
  <c r="BP495" i="31" s="1"/>
  <c r="BO495" i="31" s="1"/>
  <c r="BN495" i="31" s="1"/>
  <c r="AD467" i="31"/>
  <c r="AD473" i="31" s="1"/>
  <c r="AE467" i="31"/>
  <c r="AF467" i="31"/>
  <c r="AG467" i="31"/>
  <c r="BC467" i="31"/>
  <c r="BD467" i="31"/>
  <c r="BF467" i="31"/>
  <c r="BE467" i="31" s="1"/>
  <c r="BG467" i="31"/>
  <c r="BH467" i="31"/>
  <c r="BM473" i="31" s="1"/>
  <c r="BI467" i="31"/>
  <c r="BJ467" i="31"/>
  <c r="BO467" i="31"/>
  <c r="BN467" i="31" s="1"/>
  <c r="BP467" i="31"/>
  <c r="BR467" i="31"/>
  <c r="BM470" i="31"/>
  <c r="BN470" i="31"/>
  <c r="BO470" i="31"/>
  <c r="BP470" i="31"/>
  <c r="BP471" i="31"/>
  <c r="BO471" i="31" s="1"/>
  <c r="BN471" i="31" s="1"/>
  <c r="BM471" i="31" s="1"/>
  <c r="BL471" i="31" s="1"/>
  <c r="BK471" i="31" s="1"/>
  <c r="BJ471" i="31" s="1"/>
  <c r="BI471" i="31" s="1"/>
  <c r="BH471" i="31" s="1"/>
  <c r="BH472" i="31" s="1"/>
  <c r="BR471" i="31"/>
  <c r="BL476" i="31"/>
  <c r="BB477" i="31"/>
  <c r="BB478" i="31" s="1"/>
  <c r="AH478" i="31"/>
  <c r="AM478" i="31"/>
  <c r="AR478" i="31"/>
  <c r="AW478" i="31"/>
  <c r="AX478" i="31"/>
  <c r="BG478" i="31"/>
  <c r="BN484" i="31"/>
  <c r="BM484" i="31" s="1"/>
  <c r="AM482" i="31"/>
  <c r="BR448" i="31"/>
  <c r="BP448" i="31"/>
  <c r="BO448" i="31"/>
  <c r="BN448" i="31"/>
  <c r="BM448" i="31"/>
  <c r="BK448" i="31"/>
  <c r="BJ448" i="31"/>
  <c r="BI448" i="31"/>
  <c r="BH448" i="31"/>
  <c r="BF448" i="31"/>
  <c r="BF449" i="31" s="1"/>
  <c r="BE448" i="31"/>
  <c r="BE449" i="31" s="1"/>
  <c r="BD448" i="31"/>
  <c r="BD449" i="31" s="1"/>
  <c r="BC448" i="31"/>
  <c r="BC449" i="31" s="1"/>
  <c r="BA448" i="31"/>
  <c r="AZ448" i="31"/>
  <c r="AY448" i="31"/>
  <c r="AX448" i="31"/>
  <c r="AV448" i="31"/>
  <c r="AU448" i="31"/>
  <c r="AT448" i="31"/>
  <c r="AS448" i="31"/>
  <c r="AQ448" i="31"/>
  <c r="AP448" i="31"/>
  <c r="AO448" i="31"/>
  <c r="AN448" i="31"/>
  <c r="AL448" i="31"/>
  <c r="AK448" i="31"/>
  <c r="AJ448" i="31"/>
  <c r="AI448" i="31"/>
  <c r="AG448" i="31"/>
  <c r="AF448" i="31"/>
  <c r="AE448" i="31"/>
  <c r="AD448" i="31"/>
  <c r="AB448" i="31"/>
  <c r="AA448" i="31"/>
  <c r="Z448" i="31"/>
  <c r="Y448" i="31"/>
  <c r="W448" i="31"/>
  <c r="V448" i="31"/>
  <c r="U448" i="31"/>
  <c r="T448" i="31"/>
  <c r="R448" i="31"/>
  <c r="Q448" i="31"/>
  <c r="P448" i="31"/>
  <c r="O448" i="31"/>
  <c r="M448" i="31"/>
  <c r="L448" i="31"/>
  <c r="K448" i="31"/>
  <c r="J448" i="31"/>
  <c r="BR447" i="31"/>
  <c r="BP447" i="31"/>
  <c r="BO447" i="31"/>
  <c r="BN447" i="31"/>
  <c r="BM447" i="31"/>
  <c r="BK447" i="31"/>
  <c r="BJ447" i="31"/>
  <c r="BI447" i="31"/>
  <c r="BH447" i="31"/>
  <c r="BF447" i="31"/>
  <c r="BE447" i="31"/>
  <c r="BD447" i="31"/>
  <c r="BC447" i="31"/>
  <c r="BA447" i="31"/>
  <c r="AZ447" i="31"/>
  <c r="AY447" i="31"/>
  <c r="AX447" i="31"/>
  <c r="AV447" i="31"/>
  <c r="AU447" i="31"/>
  <c r="AT447" i="31"/>
  <c r="AS447" i="31"/>
  <c r="AQ447" i="31"/>
  <c r="AP447" i="31"/>
  <c r="AO447" i="31"/>
  <c r="AN447" i="31"/>
  <c r="AL447" i="31"/>
  <c r="AK447" i="31"/>
  <c r="AJ447" i="31"/>
  <c r="AI447" i="31"/>
  <c r="AG447" i="31"/>
  <c r="AF447" i="31"/>
  <c r="AE447" i="31"/>
  <c r="AD447" i="31"/>
  <c r="AB447" i="31"/>
  <c r="AA447" i="31"/>
  <c r="Z447" i="31"/>
  <c r="Y447" i="31"/>
  <c r="W447" i="31"/>
  <c r="V447" i="31"/>
  <c r="U447" i="31"/>
  <c r="T447" i="31"/>
  <c r="R447" i="31"/>
  <c r="Q447" i="31"/>
  <c r="P447" i="31"/>
  <c r="O447" i="31"/>
  <c r="M447" i="31"/>
  <c r="L447" i="31"/>
  <c r="K447" i="31"/>
  <c r="J447" i="31"/>
  <c r="BR444" i="31"/>
  <c r="BW450" i="31" s="1"/>
  <c r="BP444" i="31"/>
  <c r="BO444" i="31"/>
  <c r="BN444" i="31"/>
  <c r="BM444" i="31"/>
  <c r="BK444" i="31"/>
  <c r="BJ444" i="31"/>
  <c r="BI444" i="31"/>
  <c r="BH444" i="31"/>
  <c r="BF444" i="31"/>
  <c r="BE444" i="31"/>
  <c r="BD444" i="31"/>
  <c r="BC444" i="31"/>
  <c r="BA444" i="31"/>
  <c r="AZ444" i="31"/>
  <c r="AY444" i="31"/>
  <c r="AX444" i="31"/>
  <c r="AV444" i="31"/>
  <c r="AU444" i="31"/>
  <c r="AT444" i="31"/>
  <c r="AS444" i="31"/>
  <c r="AQ444" i="31"/>
  <c r="AP444" i="31"/>
  <c r="AO444" i="31"/>
  <c r="AN444" i="31"/>
  <c r="AL444" i="31"/>
  <c r="AK444" i="31"/>
  <c r="AJ444" i="31"/>
  <c r="AI444" i="31"/>
  <c r="AG444" i="31"/>
  <c r="AF444" i="31"/>
  <c r="AE444" i="31"/>
  <c r="AD444" i="31"/>
  <c r="AB444" i="31"/>
  <c r="AA444" i="31"/>
  <c r="Z444" i="31"/>
  <c r="Y444" i="31"/>
  <c r="W444" i="31"/>
  <c r="V444" i="31"/>
  <c r="U444" i="31"/>
  <c r="T444" i="31"/>
  <c r="R444" i="31"/>
  <c r="Q444" i="31"/>
  <c r="P444" i="31"/>
  <c r="O444" i="31"/>
  <c r="M444" i="31"/>
  <c r="L444" i="31"/>
  <c r="K444" i="31"/>
  <c r="J444" i="31"/>
  <c r="H444" i="31"/>
  <c r="G444" i="31"/>
  <c r="F444" i="31"/>
  <c r="E444" i="31"/>
  <c r="D444" i="31"/>
  <c r="BQ443" i="31"/>
  <c r="BV448" i="31" s="1"/>
  <c r="BL443" i="31"/>
  <c r="BG443" i="31"/>
  <c r="BB443" i="31"/>
  <c r="AW443" i="31"/>
  <c r="AR443" i="31"/>
  <c r="AM443" i="31"/>
  <c r="AH443" i="31"/>
  <c r="AC443" i="31"/>
  <c r="X443" i="31"/>
  <c r="S443" i="31"/>
  <c r="N443" i="31"/>
  <c r="I443" i="31"/>
  <c r="BQ442" i="31"/>
  <c r="BV447" i="31" s="1"/>
  <c r="BL442" i="31"/>
  <c r="BG442" i="31"/>
  <c r="BB442" i="31"/>
  <c r="AW442" i="31"/>
  <c r="AR442" i="31"/>
  <c r="AM442" i="31"/>
  <c r="AH442" i="31"/>
  <c r="AC442" i="31"/>
  <c r="X442" i="31"/>
  <c r="S442" i="31"/>
  <c r="N442" i="31"/>
  <c r="I442" i="31"/>
  <c r="I447" i="31" s="1"/>
  <c r="BR437" i="31"/>
  <c r="BP437" i="31"/>
  <c r="BO437" i="31"/>
  <c r="BN437" i="31"/>
  <c r="BM437" i="31"/>
  <c r="BR433" i="31"/>
  <c r="BW439" i="31" s="1"/>
  <c r="BP433" i="31"/>
  <c r="BO433" i="31"/>
  <c r="BN433" i="31"/>
  <c r="BM433" i="31"/>
  <c r="BK433" i="31"/>
  <c r="BJ433" i="31"/>
  <c r="BI433" i="31"/>
  <c r="BH433" i="31"/>
  <c r="BF433" i="31"/>
  <c r="BE433" i="31"/>
  <c r="BD433" i="31"/>
  <c r="BC433" i="31"/>
  <c r="BA433" i="31"/>
  <c r="AZ433" i="31"/>
  <c r="AY433" i="31"/>
  <c r="AX433" i="31"/>
  <c r="BS433" i="31"/>
  <c r="BQ432" i="31"/>
  <c r="BL432" i="31"/>
  <c r="BG432" i="31"/>
  <c r="BB432" i="31"/>
  <c r="BQ431" i="31"/>
  <c r="BL431" i="31"/>
  <c r="BG431" i="31"/>
  <c r="BB431" i="31"/>
  <c r="BT422" i="31"/>
  <c r="BY428" i="31" s="1"/>
  <c r="BS422" i="31"/>
  <c r="BX428" i="31" s="1"/>
  <c r="BR422" i="31"/>
  <c r="BW428" i="31" s="1"/>
  <c r="BP422" i="31"/>
  <c r="BO422" i="31"/>
  <c r="BN422" i="31"/>
  <c r="BM422" i="31"/>
  <c r="BK422" i="31"/>
  <c r="BJ422" i="31"/>
  <c r="BI422" i="31"/>
  <c r="BH422" i="31"/>
  <c r="BF422" i="31"/>
  <c r="BE422" i="31"/>
  <c r="BD422" i="31"/>
  <c r="BQ421" i="31"/>
  <c r="BL421" i="31"/>
  <c r="BG421" i="31"/>
  <c r="BQ420" i="31"/>
  <c r="BV425" i="31" s="1"/>
  <c r="BG420" i="31"/>
  <c r="BD416" i="31"/>
  <c r="BR415" i="31"/>
  <c r="BP415" i="31"/>
  <c r="BO415" i="31"/>
  <c r="BN415" i="31"/>
  <c r="BM415" i="31"/>
  <c r="BK415" i="31"/>
  <c r="BJ415" i="31"/>
  <c r="BI415" i="31"/>
  <c r="BH415" i="31"/>
  <c r="BF415" i="31"/>
  <c r="BF416" i="31" s="1"/>
  <c r="BE415" i="31"/>
  <c r="BE416" i="31" s="1"/>
  <c r="BC415" i="31"/>
  <c r="BA415" i="31"/>
  <c r="AZ415" i="31"/>
  <c r="AY415" i="31"/>
  <c r="AX415" i="31"/>
  <c r="AV415" i="31"/>
  <c r="AU415" i="31"/>
  <c r="AT415" i="31"/>
  <c r="AS415" i="31"/>
  <c r="AQ415" i="31"/>
  <c r="AP415" i="31"/>
  <c r="AO415" i="31"/>
  <c r="AN415" i="31"/>
  <c r="AL415" i="31"/>
  <c r="AK415" i="31"/>
  <c r="AJ415" i="31"/>
  <c r="AI415" i="31"/>
  <c r="AG415" i="31"/>
  <c r="AF415" i="31"/>
  <c r="AE415" i="31"/>
  <c r="AD415" i="31"/>
  <c r="AB415" i="31"/>
  <c r="AA415" i="31"/>
  <c r="Z415" i="31"/>
  <c r="Y415" i="31"/>
  <c r="W415" i="31"/>
  <c r="V415" i="31"/>
  <c r="U415" i="31"/>
  <c r="T415" i="31"/>
  <c r="R415" i="31"/>
  <c r="Q415" i="31"/>
  <c r="P415" i="31"/>
  <c r="O415" i="31"/>
  <c r="M415" i="31"/>
  <c r="L415" i="31"/>
  <c r="K415" i="31"/>
  <c r="J415" i="31"/>
  <c r="BR414" i="31"/>
  <c r="BP414" i="31"/>
  <c r="BO414" i="31"/>
  <c r="BN414" i="31"/>
  <c r="BM414" i="31"/>
  <c r="BK414" i="31"/>
  <c r="BJ414" i="31"/>
  <c r="BI414" i="31"/>
  <c r="BH414" i="31"/>
  <c r="BF414" i="31"/>
  <c r="BE414" i="31"/>
  <c r="BC414" i="31"/>
  <c r="BA414" i="31"/>
  <c r="AZ414" i="31"/>
  <c r="AY414" i="31"/>
  <c r="AX414" i="31"/>
  <c r="AV414" i="31"/>
  <c r="AU414" i="31"/>
  <c r="AT414" i="31"/>
  <c r="AS414" i="31"/>
  <c r="AQ414" i="31"/>
  <c r="AP414" i="31"/>
  <c r="AO414" i="31"/>
  <c r="AN414" i="31"/>
  <c r="AL414" i="31"/>
  <c r="AK414" i="31"/>
  <c r="AJ414" i="31"/>
  <c r="AI414" i="31"/>
  <c r="AG414" i="31"/>
  <c r="AF414" i="31"/>
  <c r="AE414" i="31"/>
  <c r="AD414" i="31"/>
  <c r="AB414" i="31"/>
  <c r="AA414" i="31"/>
  <c r="Z414" i="31"/>
  <c r="Y414" i="31"/>
  <c r="W414" i="31"/>
  <c r="V414" i="31"/>
  <c r="U414" i="31"/>
  <c r="T414" i="31"/>
  <c r="R414" i="31"/>
  <c r="Q414" i="31"/>
  <c r="P414" i="31"/>
  <c r="O414" i="31"/>
  <c r="M414" i="31"/>
  <c r="L414" i="31"/>
  <c r="K414" i="31"/>
  <c r="J414" i="31"/>
  <c r="BP411" i="31"/>
  <c r="BO411" i="31"/>
  <c r="BN411" i="31"/>
  <c r="BM411" i="31"/>
  <c r="BK411" i="31"/>
  <c r="BJ411" i="31"/>
  <c r="BI411" i="31"/>
  <c r="BH411" i="31"/>
  <c r="BF411" i="31"/>
  <c r="BE411" i="31"/>
  <c r="BD411" i="31"/>
  <c r="BC411" i="31"/>
  <c r="BA411" i="31"/>
  <c r="AZ411" i="31"/>
  <c r="AY411" i="31"/>
  <c r="AX411" i="31"/>
  <c r="AV411" i="31"/>
  <c r="AU411" i="31"/>
  <c r="AT411" i="31"/>
  <c r="AS411" i="31"/>
  <c r="AQ411" i="31"/>
  <c r="AP411" i="31"/>
  <c r="AO411" i="31"/>
  <c r="AN411" i="31"/>
  <c r="AL411" i="31"/>
  <c r="AK411" i="31"/>
  <c r="AJ411" i="31"/>
  <c r="AI411" i="31"/>
  <c r="AG411" i="31"/>
  <c r="AF411" i="31"/>
  <c r="AE411" i="31"/>
  <c r="AD411" i="31"/>
  <c r="AB411" i="31"/>
  <c r="AA411" i="31"/>
  <c r="Z411" i="31"/>
  <c r="Y411" i="31"/>
  <c r="W411" i="31"/>
  <c r="V411" i="31"/>
  <c r="U411" i="31"/>
  <c r="T411" i="31"/>
  <c r="R411" i="31"/>
  <c r="Q411" i="31"/>
  <c r="P411" i="31"/>
  <c r="O411" i="31"/>
  <c r="M411" i="31"/>
  <c r="L411" i="31"/>
  <c r="K411" i="31"/>
  <c r="J411" i="31"/>
  <c r="H411" i="31"/>
  <c r="G411" i="31"/>
  <c r="F411" i="31"/>
  <c r="E411" i="31"/>
  <c r="BQ410" i="31"/>
  <c r="BV415" i="31" s="1"/>
  <c r="BL410" i="31"/>
  <c r="BG410" i="31"/>
  <c r="BB410" i="31"/>
  <c r="AW410" i="31"/>
  <c r="AR410" i="31"/>
  <c r="AM410" i="31"/>
  <c r="AH410" i="31"/>
  <c r="AC410" i="31"/>
  <c r="X410" i="31"/>
  <c r="S410" i="31"/>
  <c r="N410" i="31"/>
  <c r="I410" i="31"/>
  <c r="I415" i="31" s="1"/>
  <c r="BQ409" i="31"/>
  <c r="BL409" i="31"/>
  <c r="BG409" i="31"/>
  <c r="BB409" i="31"/>
  <c r="AW409" i="31"/>
  <c r="AR409" i="31"/>
  <c r="AM409" i="31"/>
  <c r="AH409" i="31"/>
  <c r="AC409" i="31"/>
  <c r="X409" i="31"/>
  <c r="S409" i="31"/>
  <c r="N409" i="31"/>
  <c r="I409" i="31"/>
  <c r="BR404" i="31"/>
  <c r="BP404" i="31"/>
  <c r="BO404" i="31"/>
  <c r="BN404" i="31"/>
  <c r="BM404" i="31"/>
  <c r="BK404" i="31"/>
  <c r="BJ404" i="31"/>
  <c r="BI404" i="31"/>
  <c r="BI405" i="31" s="1"/>
  <c r="BH404" i="31"/>
  <c r="BF404" i="31"/>
  <c r="BF405" i="31" s="1"/>
  <c r="BE404" i="31"/>
  <c r="BE405" i="31" s="1"/>
  <c r="BD404" i="31"/>
  <c r="BD405" i="31" s="1"/>
  <c r="BC404" i="31"/>
  <c r="BC405" i="31" s="1"/>
  <c r="BA404" i="31"/>
  <c r="AZ404" i="31"/>
  <c r="AY404" i="31"/>
  <c r="AX404" i="31"/>
  <c r="AV404" i="31"/>
  <c r="AU404" i="31"/>
  <c r="AT404" i="31"/>
  <c r="AS404" i="31"/>
  <c r="AQ404" i="31"/>
  <c r="AP404" i="31"/>
  <c r="AO404" i="31"/>
  <c r="AN404" i="31"/>
  <c r="AL404" i="31"/>
  <c r="AK404" i="31"/>
  <c r="AJ404" i="31"/>
  <c r="AI404" i="31"/>
  <c r="AG404" i="31"/>
  <c r="AF404" i="31"/>
  <c r="AE404" i="31"/>
  <c r="AD404" i="31"/>
  <c r="AB404" i="31"/>
  <c r="AA404" i="31"/>
  <c r="Z404" i="31"/>
  <c r="Y404" i="31"/>
  <c r="W404" i="31"/>
  <c r="V404" i="31"/>
  <c r="U404" i="31"/>
  <c r="T404" i="31"/>
  <c r="R404" i="31"/>
  <c r="Q404" i="31"/>
  <c r="P404" i="31"/>
  <c r="O404" i="31"/>
  <c r="M404" i="31"/>
  <c r="L404" i="31"/>
  <c r="K404" i="31"/>
  <c r="J404" i="31"/>
  <c r="BR403" i="31"/>
  <c r="BP403" i="31"/>
  <c r="BO403" i="31"/>
  <c r="BN403" i="31"/>
  <c r="BM403" i="31"/>
  <c r="BK403" i="31"/>
  <c r="BJ403" i="31"/>
  <c r="BI403" i="31"/>
  <c r="BH403" i="31"/>
  <c r="BF403" i="31"/>
  <c r="BE403" i="31"/>
  <c r="BD403" i="31"/>
  <c r="BC403" i="31"/>
  <c r="BA403" i="31"/>
  <c r="AZ403" i="31"/>
  <c r="AY403" i="31"/>
  <c r="AX403" i="31"/>
  <c r="AV403" i="31"/>
  <c r="AU403" i="31"/>
  <c r="AT403" i="31"/>
  <c r="AS403" i="31"/>
  <c r="AQ403" i="31"/>
  <c r="AP403" i="31"/>
  <c r="AO403" i="31"/>
  <c r="AN403" i="31"/>
  <c r="AL403" i="31"/>
  <c r="AK403" i="31"/>
  <c r="AJ403" i="31"/>
  <c r="AI403" i="31"/>
  <c r="AG403" i="31"/>
  <c r="AF403" i="31"/>
  <c r="AE403" i="31"/>
  <c r="AD403" i="31"/>
  <c r="AB403" i="31"/>
  <c r="AA403" i="31"/>
  <c r="Z403" i="31"/>
  <c r="Y403" i="31"/>
  <c r="W403" i="31"/>
  <c r="V403" i="31"/>
  <c r="U403" i="31"/>
  <c r="T403" i="31"/>
  <c r="R403" i="31"/>
  <c r="Q403" i="31"/>
  <c r="P403" i="31"/>
  <c r="O403" i="31"/>
  <c r="M403" i="31"/>
  <c r="L403" i="31"/>
  <c r="K403" i="31"/>
  <c r="J403" i="31"/>
  <c r="BR400" i="31"/>
  <c r="BP400" i="31"/>
  <c r="BO400" i="31"/>
  <c r="BN400" i="31"/>
  <c r="BM400" i="31"/>
  <c r="BK400" i="31"/>
  <c r="BJ400" i="31"/>
  <c r="BI400" i="31"/>
  <c r="BH400" i="31"/>
  <c r="BF400" i="31"/>
  <c r="BE400" i="31"/>
  <c r="BD400" i="31"/>
  <c r="BC400" i="31"/>
  <c r="BA400" i="31"/>
  <c r="AZ400" i="31"/>
  <c r="AY400" i="31"/>
  <c r="AX400" i="31"/>
  <c r="AV400" i="31"/>
  <c r="AU400" i="31"/>
  <c r="AT400" i="31"/>
  <c r="AS400" i="31"/>
  <c r="AQ400" i="31"/>
  <c r="AP400" i="31"/>
  <c r="AO400" i="31"/>
  <c r="AN400" i="31"/>
  <c r="AL400" i="31"/>
  <c r="AK400" i="31"/>
  <c r="AJ400" i="31"/>
  <c r="AI400" i="31"/>
  <c r="AG400" i="31"/>
  <c r="AF400" i="31"/>
  <c r="AE400" i="31"/>
  <c r="AD400" i="31"/>
  <c r="AB400" i="31"/>
  <c r="AA400" i="31"/>
  <c r="Z400" i="31"/>
  <c r="Y400" i="31"/>
  <c r="W400" i="31"/>
  <c r="V400" i="31"/>
  <c r="U400" i="31"/>
  <c r="T400" i="31"/>
  <c r="R400" i="31"/>
  <c r="Q400" i="31"/>
  <c r="P400" i="31"/>
  <c r="O400" i="31"/>
  <c r="M400" i="31"/>
  <c r="L400" i="31"/>
  <c r="K400" i="31"/>
  <c r="J400" i="31"/>
  <c r="H400" i="31"/>
  <c r="G400" i="31"/>
  <c r="F400" i="31"/>
  <c r="E400" i="31"/>
  <c r="BQ399" i="31"/>
  <c r="BV404" i="31" s="1"/>
  <c r="BL399" i="31"/>
  <c r="BG399" i="31"/>
  <c r="BB399" i="31"/>
  <c r="AW399" i="31"/>
  <c r="AR399" i="31"/>
  <c r="AM399" i="31"/>
  <c r="AH399" i="31"/>
  <c r="AC399" i="31"/>
  <c r="X399" i="31"/>
  <c r="S399" i="31"/>
  <c r="N399" i="31"/>
  <c r="I399" i="31"/>
  <c r="D399" i="31" s="1"/>
  <c r="D388" i="31" s="1"/>
  <c r="BQ398" i="31"/>
  <c r="BV403" i="31" s="1"/>
  <c r="BL398" i="31"/>
  <c r="BG398" i="31"/>
  <c r="BB398" i="31"/>
  <c r="AW398" i="31"/>
  <c r="AR398" i="31"/>
  <c r="AM398" i="31"/>
  <c r="AH398" i="31"/>
  <c r="AC398" i="31"/>
  <c r="X398" i="31"/>
  <c r="S398" i="31"/>
  <c r="N398" i="31"/>
  <c r="I398" i="31"/>
  <c r="D398" i="31" s="1"/>
  <c r="BT388" i="31"/>
  <c r="BS388" i="31"/>
  <c r="BX393" i="31" s="1"/>
  <c r="BR388" i="31"/>
  <c r="BW393" i="31" s="1"/>
  <c r="BP388" i="31"/>
  <c r="BO388" i="31"/>
  <c r="BN388" i="31"/>
  <c r="BM388" i="31"/>
  <c r="BK388" i="31"/>
  <c r="BJ388" i="31"/>
  <c r="BI388" i="31"/>
  <c r="BH388" i="31"/>
  <c r="BF388" i="31"/>
  <c r="BE388" i="31"/>
  <c r="BD388" i="31"/>
  <c r="BC388" i="31"/>
  <c r="BA388" i="31"/>
  <c r="AZ388" i="31"/>
  <c r="AY388" i="31"/>
  <c r="AX388" i="31"/>
  <c r="AV388" i="31"/>
  <c r="AU388" i="31"/>
  <c r="AT388" i="31"/>
  <c r="AS388" i="31"/>
  <c r="AQ388" i="31"/>
  <c r="AP388" i="31"/>
  <c r="AO388" i="31"/>
  <c r="AN388" i="31"/>
  <c r="AL388" i="31"/>
  <c r="AK388" i="31"/>
  <c r="AJ388" i="31"/>
  <c r="AI388" i="31"/>
  <c r="AG388" i="31"/>
  <c r="AF388" i="31"/>
  <c r="AE388" i="31"/>
  <c r="AD388" i="31"/>
  <c r="AB388" i="31"/>
  <c r="AA388" i="31"/>
  <c r="Z388" i="31"/>
  <c r="Y388" i="31"/>
  <c r="W388" i="31"/>
  <c r="V388" i="31"/>
  <c r="U388" i="31"/>
  <c r="T388" i="31"/>
  <c r="R388" i="31"/>
  <c r="Q388" i="31"/>
  <c r="P388" i="31"/>
  <c r="O388" i="31"/>
  <c r="M388" i="31"/>
  <c r="L388" i="31"/>
  <c r="K388" i="31"/>
  <c r="J388" i="31"/>
  <c r="H388" i="31"/>
  <c r="G388" i="31"/>
  <c r="F388" i="31"/>
  <c r="E388" i="31"/>
  <c r="BT387" i="31"/>
  <c r="BS387" i="31"/>
  <c r="BX392" i="31" s="1"/>
  <c r="BR387" i="31"/>
  <c r="BP387" i="31"/>
  <c r="BO387" i="31"/>
  <c r="BN387" i="31"/>
  <c r="BM387" i="31"/>
  <c r="BK387" i="31"/>
  <c r="BJ387" i="31"/>
  <c r="BI387" i="31"/>
  <c r="BH387" i="31"/>
  <c r="BF387" i="31"/>
  <c r="BE387" i="31"/>
  <c r="BD387" i="31"/>
  <c r="BC387" i="31"/>
  <c r="BA387" i="31"/>
  <c r="AZ387" i="31"/>
  <c r="AY387" i="31"/>
  <c r="AX387" i="31"/>
  <c r="AV387" i="31"/>
  <c r="AU387" i="31"/>
  <c r="AT387" i="31"/>
  <c r="AS387" i="31"/>
  <c r="AQ387" i="31"/>
  <c r="AP387" i="31"/>
  <c r="AO387" i="31"/>
  <c r="AN387" i="31"/>
  <c r="AL387" i="31"/>
  <c r="AK387" i="31"/>
  <c r="AJ387" i="31"/>
  <c r="AI387" i="31"/>
  <c r="AG387" i="31"/>
  <c r="AF387" i="31"/>
  <c r="AE387" i="31"/>
  <c r="AD387" i="31"/>
  <c r="AB387" i="31"/>
  <c r="AA387" i="31"/>
  <c r="Z387" i="31"/>
  <c r="Y387" i="31"/>
  <c r="W387" i="31"/>
  <c r="V387" i="31"/>
  <c r="U387" i="31"/>
  <c r="T387" i="31"/>
  <c r="R387" i="31"/>
  <c r="Q387" i="31"/>
  <c r="P387" i="31"/>
  <c r="O387" i="31"/>
  <c r="M387" i="31"/>
  <c r="L387" i="31"/>
  <c r="K387" i="31"/>
  <c r="J387" i="31"/>
  <c r="H387" i="31"/>
  <c r="G387" i="31"/>
  <c r="F387" i="31"/>
  <c r="E387" i="31"/>
  <c r="BR382" i="31"/>
  <c r="BP382" i="31"/>
  <c r="BO382" i="31"/>
  <c r="BN382" i="31"/>
  <c r="BM382" i="31"/>
  <c r="BK382" i="31"/>
  <c r="BJ382" i="31"/>
  <c r="BI382" i="31"/>
  <c r="BI383" i="31" s="1"/>
  <c r="BH382" i="31"/>
  <c r="BF382" i="31"/>
  <c r="BF383" i="31" s="1"/>
  <c r="BE382" i="31"/>
  <c r="BE383" i="31" s="1"/>
  <c r="BD382" i="31"/>
  <c r="BD383" i="31" s="1"/>
  <c r="BC382" i="31"/>
  <c r="BC383" i="31" s="1"/>
  <c r="BA382" i="31"/>
  <c r="AZ382" i="31"/>
  <c r="AY382" i="31"/>
  <c r="AX382" i="31"/>
  <c r="AV382" i="31"/>
  <c r="AU382" i="31"/>
  <c r="AT382" i="31"/>
  <c r="AS382" i="31"/>
  <c r="AQ382" i="31"/>
  <c r="AP382" i="31"/>
  <c r="AO382" i="31"/>
  <c r="AN382" i="31"/>
  <c r="AL382" i="31"/>
  <c r="AK382" i="31"/>
  <c r="AJ382" i="31"/>
  <c r="AI382" i="31"/>
  <c r="AG382" i="31"/>
  <c r="AF382" i="31"/>
  <c r="AE382" i="31"/>
  <c r="AD382" i="31"/>
  <c r="AB382" i="31"/>
  <c r="AA382" i="31"/>
  <c r="Z382" i="31"/>
  <c r="Y382" i="31"/>
  <c r="W382" i="31"/>
  <c r="V382" i="31"/>
  <c r="U382" i="31"/>
  <c r="T382" i="31"/>
  <c r="R382" i="31"/>
  <c r="Q382" i="31"/>
  <c r="P382" i="31"/>
  <c r="O382" i="31"/>
  <c r="M382" i="31"/>
  <c r="L382" i="31"/>
  <c r="K382" i="31"/>
  <c r="J382" i="31"/>
  <c r="BR381" i="31"/>
  <c r="BP381" i="31"/>
  <c r="BO381" i="31"/>
  <c r="BN381" i="31"/>
  <c r="BM381" i="31"/>
  <c r="BK381" i="31"/>
  <c r="BJ381" i="31"/>
  <c r="BI381" i="31"/>
  <c r="BH381" i="31"/>
  <c r="BF381" i="31"/>
  <c r="BE381" i="31"/>
  <c r="BD381" i="31"/>
  <c r="BC381" i="31"/>
  <c r="BA381" i="31"/>
  <c r="AZ381" i="31"/>
  <c r="AY381" i="31"/>
  <c r="AX381" i="31"/>
  <c r="AV381" i="31"/>
  <c r="AU381" i="31"/>
  <c r="AT381" i="31"/>
  <c r="AS381" i="31"/>
  <c r="AQ381" i="31"/>
  <c r="AP381" i="31"/>
  <c r="AO381" i="31"/>
  <c r="AN381" i="31"/>
  <c r="AL381" i="31"/>
  <c r="AK381" i="31"/>
  <c r="AJ381" i="31"/>
  <c r="AI381" i="31"/>
  <c r="AG381" i="31"/>
  <c r="AF381" i="31"/>
  <c r="AE381" i="31"/>
  <c r="AD381" i="31"/>
  <c r="AB381" i="31"/>
  <c r="AA381" i="31"/>
  <c r="Z381" i="31"/>
  <c r="Y381" i="31"/>
  <c r="W381" i="31"/>
  <c r="V381" i="31"/>
  <c r="U381" i="31"/>
  <c r="T381" i="31"/>
  <c r="R381" i="31"/>
  <c r="Q381" i="31"/>
  <c r="P381" i="31"/>
  <c r="O381" i="31"/>
  <c r="M381" i="31"/>
  <c r="L381" i="31"/>
  <c r="K381" i="31"/>
  <c r="J381" i="31"/>
  <c r="BP887" i="31" l="1"/>
  <c r="BP25" i="31" s="1"/>
  <c r="BP23" i="31"/>
  <c r="BO439" i="31"/>
  <c r="BO450" i="31"/>
  <c r="BO417" i="31"/>
  <c r="N400" i="31"/>
  <c r="X400" i="31"/>
  <c r="AH400" i="31"/>
  <c r="I411" i="31"/>
  <c r="S411" i="31"/>
  <c r="N444" i="31"/>
  <c r="X444" i="31"/>
  <c r="AH444" i="31"/>
  <c r="N411" i="31"/>
  <c r="X411" i="31"/>
  <c r="AH411" i="31"/>
  <c r="S444" i="31"/>
  <c r="AC444" i="31"/>
  <c r="AC411" i="31"/>
  <c r="BP393" i="31"/>
  <c r="CE506" i="31"/>
  <c r="CF503" i="31"/>
  <c r="CP499" i="31"/>
  <c r="CP504" i="31" s="1"/>
  <c r="CI478" i="31"/>
  <c r="CP498" i="31"/>
  <c r="CA506" i="31"/>
  <c r="AH467" i="31"/>
  <c r="AH473" i="31" s="1"/>
  <c r="CK504" i="31"/>
  <c r="CJ500" i="31"/>
  <c r="CK498" i="31"/>
  <c r="CI387" i="31"/>
  <c r="CN392" i="31" s="1"/>
  <c r="BB387" i="31"/>
  <c r="BL387" i="31"/>
  <c r="N388" i="31"/>
  <c r="X388" i="31"/>
  <c r="AH388" i="31"/>
  <c r="BB388" i="31"/>
  <c r="CF500" i="31"/>
  <c r="BI406" i="31"/>
  <c r="BP406" i="31"/>
  <c r="BO406" i="31"/>
  <c r="BW406" i="31"/>
  <c r="BQ388" i="31"/>
  <c r="BL411" i="31"/>
  <c r="BQ411" i="31"/>
  <c r="BL444" i="31"/>
  <c r="AW387" i="31"/>
  <c r="BG387" i="31"/>
  <c r="S388" i="31"/>
  <c r="AC388" i="31"/>
  <c r="AW388" i="31"/>
  <c r="BG388" i="31"/>
  <c r="BN389" i="31"/>
  <c r="BR393" i="31"/>
  <c r="AH387" i="31"/>
  <c r="BQ484" i="31"/>
  <c r="BP484" i="31" s="1"/>
  <c r="AR388" i="31"/>
  <c r="N387" i="31"/>
  <c r="BQ387" i="31"/>
  <c r="BV414" i="31"/>
  <c r="BV436" i="31"/>
  <c r="BV437" i="31"/>
  <c r="BV426" i="31"/>
  <c r="BV427" i="31" s="1"/>
  <c r="X387" i="31"/>
  <c r="AR387" i="31"/>
  <c r="BH389" i="31"/>
  <c r="BJ389" i="31"/>
  <c r="I388" i="31"/>
  <c r="I393" i="31" s="1"/>
  <c r="AM388" i="31"/>
  <c r="BH393" i="31"/>
  <c r="BJ393" i="31"/>
  <c r="I387" i="31"/>
  <c r="S387" i="31"/>
  <c r="AC387" i="31"/>
  <c r="AM387" i="31"/>
  <c r="BC389" i="31"/>
  <c r="BK389" i="31"/>
  <c r="BM389" i="31"/>
  <c r="BT392" i="31"/>
  <c r="BI393" i="31"/>
  <c r="BL388" i="31"/>
  <c r="I400" i="31"/>
  <c r="S400" i="31"/>
  <c r="AC400" i="31"/>
  <c r="D409" i="31"/>
  <c r="D387" i="31" s="1"/>
  <c r="BQ422" i="31"/>
  <c r="BX439" i="31"/>
  <c r="BM393" i="31"/>
  <c r="BW392" i="31"/>
  <c r="BK393" i="31"/>
  <c r="BY433" i="31"/>
  <c r="BY400" i="31"/>
  <c r="BY411" i="31"/>
  <c r="BY387" i="31"/>
  <c r="CD392" i="31" s="1"/>
  <c r="BY478" i="31"/>
  <c r="CD484" i="31" s="1"/>
  <c r="BX478" i="31"/>
  <c r="BW478" i="31"/>
  <c r="BU492" i="31"/>
  <c r="BY388" i="31"/>
  <c r="BS439" i="31"/>
  <c r="BH383" i="31"/>
  <c r="BK392" i="31"/>
  <c r="BJ392" i="31" s="1"/>
  <c r="BI392" i="31" s="1"/>
  <c r="BH392" i="31" s="1"/>
  <c r="BI389" i="31"/>
  <c r="BP392" i="31"/>
  <c r="BO392" i="31" s="1"/>
  <c r="BN392" i="31" s="1"/>
  <c r="BM392" i="31" s="1"/>
  <c r="BS392" i="31"/>
  <c r="BR392" i="31" s="1"/>
  <c r="BO393" i="31"/>
  <c r="BN393" i="31" s="1"/>
  <c r="BH406" i="31"/>
  <c r="BH405" i="31"/>
  <c r="BN417" i="31"/>
  <c r="BM417" i="31" s="1"/>
  <c r="BN439" i="31"/>
  <c r="BM439" i="31" s="1"/>
  <c r="BN450" i="31"/>
  <c r="BM450" i="31" s="1"/>
  <c r="AQ473" i="31"/>
  <c r="AP473" i="31"/>
  <c r="AO473" i="31"/>
  <c r="AN473" i="31"/>
  <c r="BD393" i="31"/>
  <c r="BC393" i="31" s="1"/>
  <c r="BL484" i="31"/>
  <c r="BK484" i="31" s="1"/>
  <c r="BJ484" i="31" s="1"/>
  <c r="BI484" i="31" s="1"/>
  <c r="BG484" i="31"/>
  <c r="BF484" i="31" s="1"/>
  <c r="BE484" i="31" s="1"/>
  <c r="BD484" i="31" s="1"/>
  <c r="BC484" i="31" s="1"/>
  <c r="BB484" i="31"/>
  <c r="BA484" i="31" s="1"/>
  <c r="AZ484" i="31" s="1"/>
  <c r="AY484" i="31" s="1"/>
  <c r="AX484" i="31" s="1"/>
  <c r="AW484" i="31"/>
  <c r="AV484" i="31" s="1"/>
  <c r="AU484" i="31" s="1"/>
  <c r="AT484" i="31" s="1"/>
  <c r="AS484" i="31" s="1"/>
  <c r="AR484" i="31"/>
  <c r="AQ484" i="31" s="1"/>
  <c r="AP484" i="31" s="1"/>
  <c r="AO484" i="31" s="1"/>
  <c r="AN484" i="31" s="1"/>
  <c r="AM484" i="31"/>
  <c r="AL484" i="31" s="1"/>
  <c r="AK484" i="31" s="1"/>
  <c r="AJ484" i="31" s="1"/>
  <c r="AI484" i="31" s="1"/>
  <c r="AH484" i="31"/>
  <c r="AG484" i="31" s="1"/>
  <c r="AF484" i="31" s="1"/>
  <c r="AE484" i="31" s="1"/>
  <c r="AD484" i="31" s="1"/>
  <c r="BG482" i="31"/>
  <c r="BB466" i="31"/>
  <c r="BB467" i="31" s="1"/>
  <c r="BG473" i="31" s="1"/>
  <c r="BF473" i="31" s="1"/>
  <c r="BE473" i="31" s="1"/>
  <c r="BD473" i="31" s="1"/>
  <c r="BC473" i="31" s="1"/>
  <c r="BB473" i="31" s="1"/>
  <c r="BA473" i="31" s="1"/>
  <c r="AZ473" i="31" s="1"/>
  <c r="AY473" i="31" s="1"/>
  <c r="AX473" i="31" s="1"/>
  <c r="AW473" i="31" s="1"/>
  <c r="AV473" i="31" s="1"/>
  <c r="AU473" i="31" s="1"/>
  <c r="AT473" i="31" s="1"/>
  <c r="AS473" i="31" s="1"/>
  <c r="AR473" i="31" s="1"/>
  <c r="BQ476" i="31"/>
  <c r="BV476" i="31" s="1"/>
  <c r="CA476" i="31" s="1"/>
  <c r="BL465" i="31"/>
  <c r="AL473" i="31"/>
  <c r="AG473" i="31"/>
  <c r="AK473" i="31"/>
  <c r="AF473" i="31"/>
  <c r="AJ473" i="31"/>
  <c r="AI473" i="31" s="1"/>
  <c r="AE473" i="31"/>
  <c r="BN885" i="31"/>
  <c r="BO887" i="31"/>
  <c r="BO25" i="31" s="1"/>
  <c r="BC471" i="31"/>
  <c r="BC472" i="31" s="1"/>
  <c r="BD472" i="31"/>
  <c r="BS393" i="31"/>
  <c r="BT393" i="31"/>
  <c r="BO389" i="31"/>
  <c r="BP389" i="31"/>
  <c r="BS400" i="31"/>
  <c r="BT400" i="31"/>
  <c r="D400" i="31"/>
  <c r="AM400" i="31"/>
  <c r="AR400" i="31"/>
  <c r="AW400" i="31"/>
  <c r="BB400" i="31"/>
  <c r="BG400" i="31"/>
  <c r="BL400" i="31"/>
  <c r="BQ400" i="31"/>
  <c r="N403" i="31"/>
  <c r="S403" i="31"/>
  <c r="X403" i="31"/>
  <c r="AC403" i="31"/>
  <c r="AH403" i="31"/>
  <c r="AM403" i="31"/>
  <c r="AR403" i="31"/>
  <c r="AW403" i="31"/>
  <c r="BB403" i="31"/>
  <c r="BG403" i="31"/>
  <c r="BL403" i="31"/>
  <c r="BQ403" i="31"/>
  <c r="N404" i="31"/>
  <c r="S404" i="31"/>
  <c r="X404" i="31"/>
  <c r="AC404" i="31"/>
  <c r="AH404" i="31"/>
  <c r="AM404" i="31"/>
  <c r="AR404" i="31"/>
  <c r="AW404" i="31"/>
  <c r="BB404" i="31"/>
  <c r="BG404" i="31"/>
  <c r="BL404" i="31"/>
  <c r="BQ404" i="31"/>
  <c r="BM406" i="31"/>
  <c r="BN406" i="31"/>
  <c r="BS411" i="31"/>
  <c r="BX417" i="31" s="1"/>
  <c r="AM411" i="31"/>
  <c r="AR411" i="31"/>
  <c r="AW411" i="31"/>
  <c r="BB411" i="31"/>
  <c r="BG411" i="31"/>
  <c r="N414" i="31"/>
  <c r="S414" i="31"/>
  <c r="X414" i="31"/>
  <c r="AC414" i="31"/>
  <c r="AH414" i="31"/>
  <c r="AM414" i="31"/>
  <c r="AR414" i="31"/>
  <c r="AW414" i="31"/>
  <c r="BB414" i="31"/>
  <c r="BG414" i="31"/>
  <c r="BL414" i="31"/>
  <c r="BQ414" i="31"/>
  <c r="N415" i="31"/>
  <c r="S415" i="31"/>
  <c r="X415" i="31"/>
  <c r="AC415" i="31"/>
  <c r="AH415" i="31"/>
  <c r="AM415" i="31"/>
  <c r="AR415" i="31"/>
  <c r="AW415" i="31"/>
  <c r="BB415" i="31"/>
  <c r="BG415" i="31"/>
  <c r="BL415" i="31"/>
  <c r="BQ415" i="31"/>
  <c r="BC416" i="31"/>
  <c r="BG422" i="31"/>
  <c r="BL422" i="31"/>
  <c r="BQ425" i="31"/>
  <c r="BQ426" i="31"/>
  <c r="BQ427" i="31" s="1"/>
  <c r="BB433" i="31"/>
  <c r="BG433" i="31"/>
  <c r="BL433" i="31"/>
  <c r="BQ433" i="31"/>
  <c r="BV439" i="31" s="1"/>
  <c r="BQ436" i="31"/>
  <c r="BQ437" i="31"/>
  <c r="BS444" i="31"/>
  <c r="BX450" i="31" s="1"/>
  <c r="I444" i="31"/>
  <c r="AM444" i="31"/>
  <c r="AR444" i="31"/>
  <c r="AW444" i="31"/>
  <c r="BB444" i="31"/>
  <c r="BG444" i="31"/>
  <c r="BQ444" i="31"/>
  <c r="BV450" i="31" s="1"/>
  <c r="N447" i="31"/>
  <c r="S447" i="31"/>
  <c r="X447" i="31"/>
  <c r="AC447" i="31"/>
  <c r="AH447" i="31"/>
  <c r="AM447" i="31"/>
  <c r="AR447" i="31"/>
  <c r="AW447" i="31"/>
  <c r="BB447" i="31"/>
  <c r="BG447" i="31"/>
  <c r="BL447" i="31"/>
  <c r="BQ447" i="31"/>
  <c r="I448" i="31"/>
  <c r="N448" i="31"/>
  <c r="S448" i="31"/>
  <c r="X448" i="31"/>
  <c r="AC448" i="31"/>
  <c r="AH448" i="31"/>
  <c r="AM448" i="31"/>
  <c r="AR448" i="31"/>
  <c r="AW448" i="31"/>
  <c r="BB448" i="31"/>
  <c r="BG448" i="31"/>
  <c r="BL448" i="31"/>
  <c r="BQ448" i="31"/>
  <c r="BO473" i="31"/>
  <c r="BN473" i="31"/>
  <c r="BJ473" i="31"/>
  <c r="BI473" i="31"/>
  <c r="BH473" i="31" s="1"/>
  <c r="BB482" i="31"/>
  <c r="BT389" i="31"/>
  <c r="BR406" i="31"/>
  <c r="BR411" i="31"/>
  <c r="BS389" i="31"/>
  <c r="BR439" i="31"/>
  <c r="BP378" i="31"/>
  <c r="BO378" i="31"/>
  <c r="BN378" i="31"/>
  <c r="BM378" i="31"/>
  <c r="BK378" i="31"/>
  <c r="BJ378" i="31"/>
  <c r="BI378" i="31"/>
  <c r="BH378" i="31"/>
  <c r="BF378" i="31"/>
  <c r="BE378" i="31"/>
  <c r="BD378" i="31"/>
  <c r="BC378" i="31"/>
  <c r="BA378" i="31"/>
  <c r="AZ378" i="31"/>
  <c r="AY378" i="31"/>
  <c r="AX378" i="31"/>
  <c r="AV378" i="31"/>
  <c r="AU378" i="31"/>
  <c r="AT378" i="31"/>
  <c r="AS378" i="31"/>
  <c r="AQ378" i="31"/>
  <c r="AP378" i="31"/>
  <c r="AO378" i="31"/>
  <c r="AN378" i="31"/>
  <c r="AL378" i="31"/>
  <c r="AK378" i="31"/>
  <c r="AJ378" i="31"/>
  <c r="AI378" i="31"/>
  <c r="AG378" i="31"/>
  <c r="AF378" i="31"/>
  <c r="AE378" i="31"/>
  <c r="AD378" i="31"/>
  <c r="AB378" i="31"/>
  <c r="AA378" i="31"/>
  <c r="Z378" i="31"/>
  <c r="Y378" i="31"/>
  <c r="W378" i="31"/>
  <c r="V378" i="31"/>
  <c r="U378" i="31"/>
  <c r="T378" i="31"/>
  <c r="R378" i="31"/>
  <c r="Q378" i="31"/>
  <c r="P378" i="31"/>
  <c r="O378" i="31"/>
  <c r="M378" i="31"/>
  <c r="L378" i="31"/>
  <c r="K378" i="31"/>
  <c r="J378" i="31"/>
  <c r="H378" i="31"/>
  <c r="G378" i="31"/>
  <c r="F378" i="31"/>
  <c r="E378" i="31"/>
  <c r="BQ377" i="31"/>
  <c r="BV382" i="31" s="1"/>
  <c r="BL377" i="31"/>
  <c r="BL366" i="31" s="1"/>
  <c r="BG377" i="31"/>
  <c r="BG366" i="31" s="1"/>
  <c r="BB377" i="31"/>
  <c r="BB366" i="31" s="1"/>
  <c r="AW377" i="31"/>
  <c r="AW366" i="31" s="1"/>
  <c r="AR377" i="31"/>
  <c r="AR366" i="31" s="1"/>
  <c r="AM377" i="31"/>
  <c r="AM366" i="31" s="1"/>
  <c r="AH377" i="31"/>
  <c r="AH366" i="31" s="1"/>
  <c r="AC377" i="31"/>
  <c r="X377" i="31"/>
  <c r="X366" i="31" s="1"/>
  <c r="S377" i="31"/>
  <c r="N377" i="31"/>
  <c r="N366" i="31" s="1"/>
  <c r="I377" i="31"/>
  <c r="BQ376" i="31"/>
  <c r="BV381" i="31" s="1"/>
  <c r="BL376" i="31"/>
  <c r="BL365" i="31" s="1"/>
  <c r="BG376" i="31"/>
  <c r="BB376" i="31"/>
  <c r="AW376" i="31"/>
  <c r="AR376" i="31"/>
  <c r="AM376" i="31"/>
  <c r="AH376" i="31"/>
  <c r="AC376" i="31"/>
  <c r="X376" i="31"/>
  <c r="S376" i="31"/>
  <c r="N376" i="31"/>
  <c r="I376" i="31"/>
  <c r="D376" i="31" s="1"/>
  <c r="BT366" i="31"/>
  <c r="BS366" i="31"/>
  <c r="BX371" i="31" s="1"/>
  <c r="BR366" i="31"/>
  <c r="BW371" i="31" s="1"/>
  <c r="BP366" i="31"/>
  <c r="BO366" i="31"/>
  <c r="BN366" i="31"/>
  <c r="BM366" i="31"/>
  <c r="BK366" i="31"/>
  <c r="BJ366" i="31"/>
  <c r="BI366" i="31"/>
  <c r="BH366" i="31"/>
  <c r="BF366" i="31"/>
  <c r="BE366" i="31"/>
  <c r="BD366" i="31"/>
  <c r="BC366" i="31"/>
  <c r="BA366" i="31"/>
  <c r="AZ366" i="31"/>
  <c r="AY366" i="31"/>
  <c r="AX366" i="31"/>
  <c r="AV366" i="31"/>
  <c r="AU366" i="31"/>
  <c r="AT366" i="31"/>
  <c r="AS366" i="31"/>
  <c r="AQ366" i="31"/>
  <c r="AP366" i="31"/>
  <c r="AO366" i="31"/>
  <c r="AN366" i="31"/>
  <c r="AL366" i="31"/>
  <c r="AK366" i="31"/>
  <c r="AJ366" i="31"/>
  <c r="AI366" i="31"/>
  <c r="AG366" i="31"/>
  <c r="AF366" i="31"/>
  <c r="AE366" i="31"/>
  <c r="AD366" i="31"/>
  <c r="AB366" i="31"/>
  <c r="AA366" i="31"/>
  <c r="Z366" i="31"/>
  <c r="Y366" i="31"/>
  <c r="W366" i="31"/>
  <c r="V366" i="31"/>
  <c r="U366" i="31"/>
  <c r="T366" i="31"/>
  <c r="R366" i="31"/>
  <c r="Q366" i="31"/>
  <c r="P366" i="31"/>
  <c r="O366" i="31"/>
  <c r="M366" i="31"/>
  <c r="L366" i="31"/>
  <c r="K366" i="31"/>
  <c r="J366" i="31"/>
  <c r="H366" i="31"/>
  <c r="G366" i="31"/>
  <c r="F366" i="31"/>
  <c r="E366" i="31"/>
  <c r="BT365" i="31"/>
  <c r="BS365" i="31"/>
  <c r="BX370" i="31" s="1"/>
  <c r="BR365" i="31"/>
  <c r="BW370" i="31" s="1"/>
  <c r="BP365" i="31"/>
  <c r="BO365" i="31"/>
  <c r="BN365" i="31"/>
  <c r="BM365" i="31"/>
  <c r="BK365" i="31"/>
  <c r="BJ365" i="31"/>
  <c r="BI365" i="31"/>
  <c r="BH365" i="31"/>
  <c r="BF365" i="31"/>
  <c r="BE365" i="31"/>
  <c r="BD365" i="31"/>
  <c r="BC365" i="31"/>
  <c r="BA365" i="31"/>
  <c r="AZ365" i="31"/>
  <c r="AY365" i="31"/>
  <c r="AX365" i="31"/>
  <c r="AV365" i="31"/>
  <c r="AU365" i="31"/>
  <c r="AT365" i="31"/>
  <c r="AS365" i="31"/>
  <c r="AQ365" i="31"/>
  <c r="AP365" i="31"/>
  <c r="AO365" i="31"/>
  <c r="AN365" i="31"/>
  <c r="AL365" i="31"/>
  <c r="AK365" i="31"/>
  <c r="AJ365" i="31"/>
  <c r="AI365" i="31"/>
  <c r="AG365" i="31"/>
  <c r="AF365" i="31"/>
  <c r="AE365" i="31"/>
  <c r="AD365" i="31"/>
  <c r="AB365" i="31"/>
  <c r="AA365" i="31"/>
  <c r="Z365" i="31"/>
  <c r="Y365" i="31"/>
  <c r="W365" i="31"/>
  <c r="V365" i="31"/>
  <c r="U365" i="31"/>
  <c r="T365" i="31"/>
  <c r="R365" i="31"/>
  <c r="Q365" i="31"/>
  <c r="P365" i="31"/>
  <c r="O365" i="31"/>
  <c r="M365" i="31"/>
  <c r="L365" i="31"/>
  <c r="K365" i="31"/>
  <c r="J365" i="31"/>
  <c r="H365" i="31"/>
  <c r="G365" i="31"/>
  <c r="F365" i="31"/>
  <c r="E365" i="31"/>
  <c r="CA345" i="31"/>
  <c r="BT345" i="31"/>
  <c r="BT346" i="31" s="1"/>
  <c r="BS345" i="31"/>
  <c r="BS346" i="31" s="1"/>
  <c r="BR345" i="31"/>
  <c r="BR346" i="31" s="1"/>
  <c r="BP345" i="31"/>
  <c r="BO345" i="31"/>
  <c r="BN345" i="31"/>
  <c r="BM345" i="31"/>
  <c r="BS344" i="31"/>
  <c r="BR344" i="31"/>
  <c r="BP344" i="31"/>
  <c r="BN344" i="31"/>
  <c r="BM344" i="31"/>
  <c r="BV341" i="31"/>
  <c r="BT341" i="31"/>
  <c r="BS341" i="31"/>
  <c r="BR341" i="31"/>
  <c r="BW347" i="31" s="1"/>
  <c r="BP341" i="31"/>
  <c r="BN341" i="31"/>
  <c r="BM341" i="31"/>
  <c r="BM347" i="31" s="1"/>
  <c r="BL341" i="31"/>
  <c r="BG341" i="31"/>
  <c r="BQ340" i="31"/>
  <c r="BL340" i="31"/>
  <c r="BG340" i="31"/>
  <c r="BU344" i="31"/>
  <c r="BO339" i="31"/>
  <c r="BT344" i="31" s="1"/>
  <c r="BL339" i="31"/>
  <c r="BG339" i="31"/>
  <c r="BR334" i="31"/>
  <c r="BP334" i="31"/>
  <c r="BO334" i="31"/>
  <c r="BN334" i="31"/>
  <c r="BM334" i="31"/>
  <c r="BK334" i="31"/>
  <c r="BJ334" i="31"/>
  <c r="BI334" i="31"/>
  <c r="BI335" i="31" s="1"/>
  <c r="BH334" i="31"/>
  <c r="BF334" i="31"/>
  <c r="BF335" i="31" s="1"/>
  <c r="BE334" i="31"/>
  <c r="BE335" i="31" s="1"/>
  <c r="BD334" i="31"/>
  <c r="BD335" i="31" s="1"/>
  <c r="BC334" i="31"/>
  <c r="BC335" i="31" s="1"/>
  <c r="BA334" i="31"/>
  <c r="AZ334" i="31"/>
  <c r="AY334" i="31"/>
  <c r="AX334" i="31"/>
  <c r="BR333" i="31"/>
  <c r="BP333" i="31"/>
  <c r="BO333" i="31"/>
  <c r="BN333" i="31"/>
  <c r="BM333" i="31"/>
  <c r="BK333" i="31"/>
  <c r="BJ333" i="31"/>
  <c r="BI333" i="31"/>
  <c r="BH333" i="31"/>
  <c r="BF333" i="31"/>
  <c r="BE333" i="31"/>
  <c r="BD333" i="31"/>
  <c r="BC333" i="31"/>
  <c r="BA333" i="31"/>
  <c r="AZ333" i="31"/>
  <c r="AY333" i="31"/>
  <c r="AX333" i="31"/>
  <c r="BR330" i="31"/>
  <c r="BP330" i="31"/>
  <c r="BO330" i="31"/>
  <c r="BM330" i="31"/>
  <c r="BK330" i="31"/>
  <c r="BJ330" i="31"/>
  <c r="BI330" i="31"/>
  <c r="BH330" i="31"/>
  <c r="BF330" i="31"/>
  <c r="BE330" i="31"/>
  <c r="BD330" i="31"/>
  <c r="BC330" i="31"/>
  <c r="BA330" i="31"/>
  <c r="AZ330" i="31"/>
  <c r="AY330" i="31"/>
  <c r="AX330" i="31"/>
  <c r="AV330" i="31"/>
  <c r="AU330" i="31"/>
  <c r="AT330" i="31"/>
  <c r="AS330" i="31"/>
  <c r="BQ329" i="31"/>
  <c r="BL329" i="31"/>
  <c r="BG329" i="31"/>
  <c r="BB329" i="31"/>
  <c r="AW329" i="31"/>
  <c r="BQ328" i="31"/>
  <c r="BL328" i="31"/>
  <c r="BG328" i="31"/>
  <c r="BB328" i="31"/>
  <c r="AW328" i="31"/>
  <c r="BR323" i="31"/>
  <c r="BP323" i="31"/>
  <c r="BO323" i="31"/>
  <c r="BN323" i="31"/>
  <c r="BM323" i="31"/>
  <c r="BK323" i="31"/>
  <c r="BJ323" i="31"/>
  <c r="BI323" i="31"/>
  <c r="BI324" i="31" s="1"/>
  <c r="BH323" i="31"/>
  <c r="BF323" i="31"/>
  <c r="BF324" i="31" s="1"/>
  <c r="BE323" i="31"/>
  <c r="BE324" i="31" s="1"/>
  <c r="BD323" i="31"/>
  <c r="BD324" i="31" s="1"/>
  <c r="BC323" i="31"/>
  <c r="BC324" i="31" s="1"/>
  <c r="BR322" i="31"/>
  <c r="BP322" i="31"/>
  <c r="BO322" i="31"/>
  <c r="BN322" i="31"/>
  <c r="BM322" i="31"/>
  <c r="BK322" i="31"/>
  <c r="BJ322" i="31"/>
  <c r="BI322" i="31"/>
  <c r="BH322" i="31"/>
  <c r="BF322" i="31"/>
  <c r="BE322" i="31"/>
  <c r="BD322" i="31"/>
  <c r="BC322" i="31"/>
  <c r="BR319" i="31"/>
  <c r="BP319" i="31"/>
  <c r="BO319" i="31"/>
  <c r="BN319" i="31"/>
  <c r="BM319" i="31"/>
  <c r="BK319" i="31"/>
  <c r="BJ319" i="31"/>
  <c r="BI319" i="31"/>
  <c r="BH319" i="31"/>
  <c r="BF319" i="31"/>
  <c r="BE319" i="31"/>
  <c r="BD319" i="31"/>
  <c r="BC319" i="31"/>
  <c r="BA319" i="31"/>
  <c r="AZ319" i="31"/>
  <c r="AY319" i="31"/>
  <c r="AX319" i="31"/>
  <c r="AW319" i="31"/>
  <c r="BQ318" i="31"/>
  <c r="BL318" i="31"/>
  <c r="BG318" i="31"/>
  <c r="BB318" i="31"/>
  <c r="AV318" i="31"/>
  <c r="AV296" i="31" s="1"/>
  <c r="BQ317" i="31"/>
  <c r="BL317" i="31"/>
  <c r="BG317" i="31"/>
  <c r="BB317" i="31"/>
  <c r="AV317" i="31"/>
  <c r="AV295" i="31" s="1"/>
  <c r="BR312" i="31"/>
  <c r="BP312" i="31"/>
  <c r="BO312" i="31"/>
  <c r="BN312" i="31"/>
  <c r="BM312" i="31"/>
  <c r="BK312" i="31"/>
  <c r="BJ312" i="31"/>
  <c r="BI312" i="31"/>
  <c r="BI313" i="31" s="1"/>
  <c r="BH312" i="31"/>
  <c r="BF312" i="31"/>
  <c r="BF313" i="31" s="1"/>
  <c r="BE312" i="31"/>
  <c r="BE313" i="31" s="1"/>
  <c r="BD312" i="31"/>
  <c r="BD313" i="31" s="1"/>
  <c r="BC312" i="31"/>
  <c r="BC313" i="31" s="1"/>
  <c r="BA312" i="31"/>
  <c r="AZ312" i="31"/>
  <c r="AY312" i="31"/>
  <c r="AX312" i="31"/>
  <c r="AV312" i="31"/>
  <c r="AU312" i="31"/>
  <c r="AT312" i="31"/>
  <c r="AS312" i="31"/>
  <c r="AQ312" i="31"/>
  <c r="AP312" i="31"/>
  <c r="AO312" i="31"/>
  <c r="AN312" i="31"/>
  <c r="AL312" i="31"/>
  <c r="AK312" i="31"/>
  <c r="AJ312" i="31"/>
  <c r="AI312" i="31"/>
  <c r="AG312" i="31"/>
  <c r="AF312" i="31"/>
  <c r="AE312" i="31"/>
  <c r="AD312" i="31"/>
  <c r="AB312" i="31"/>
  <c r="AA312" i="31"/>
  <c r="Z312" i="31"/>
  <c r="Y312" i="31"/>
  <c r="W312" i="31"/>
  <c r="V312" i="31"/>
  <c r="U312" i="31"/>
  <c r="T312" i="31"/>
  <c r="R312" i="31"/>
  <c r="Q312" i="31"/>
  <c r="P312" i="31"/>
  <c r="O312" i="31"/>
  <c r="M312" i="31"/>
  <c r="L312" i="31"/>
  <c r="K312" i="31"/>
  <c r="J312" i="31"/>
  <c r="BR311" i="31"/>
  <c r="BP311" i="31"/>
  <c r="BO311" i="31"/>
  <c r="BN311" i="31"/>
  <c r="BM311" i="31"/>
  <c r="BK311" i="31"/>
  <c r="BJ311" i="31"/>
  <c r="BI311" i="31"/>
  <c r="BH311" i="31"/>
  <c r="BF311" i="31"/>
  <c r="BE311" i="31"/>
  <c r="BD311" i="31"/>
  <c r="BC311" i="31"/>
  <c r="BA311" i="31"/>
  <c r="AZ311" i="31"/>
  <c r="AY311" i="31"/>
  <c r="AX311" i="31"/>
  <c r="AV311" i="31"/>
  <c r="AU311" i="31"/>
  <c r="AT311" i="31"/>
  <c r="AS311" i="31"/>
  <c r="AQ311" i="31"/>
  <c r="AP311" i="31"/>
  <c r="AO311" i="31"/>
  <c r="AN311" i="31"/>
  <c r="AL311" i="31"/>
  <c r="AK311" i="31"/>
  <c r="AJ311" i="31"/>
  <c r="AI311" i="31"/>
  <c r="AG311" i="31"/>
  <c r="AF311" i="31"/>
  <c r="AE311" i="31"/>
  <c r="AD311" i="31"/>
  <c r="AB311" i="31"/>
  <c r="AA311" i="31"/>
  <c r="Z311" i="31"/>
  <c r="Y311" i="31"/>
  <c r="W311" i="31"/>
  <c r="V311" i="31"/>
  <c r="U311" i="31"/>
  <c r="T311" i="31"/>
  <c r="R311" i="31"/>
  <c r="Q311" i="31"/>
  <c r="P311" i="31"/>
  <c r="O311" i="31"/>
  <c r="M311" i="31"/>
  <c r="L311" i="31"/>
  <c r="K311" i="31"/>
  <c r="J311" i="31"/>
  <c r="BR308" i="31"/>
  <c r="BP308" i="31"/>
  <c r="BO308" i="31"/>
  <c r="BN308" i="31"/>
  <c r="BM308" i="31"/>
  <c r="BK308" i="31"/>
  <c r="BJ308" i="31"/>
  <c r="BI308" i="31"/>
  <c r="BH308" i="31"/>
  <c r="BF308" i="31"/>
  <c r="BE308" i="31"/>
  <c r="BD308" i="31"/>
  <c r="BC308" i="31"/>
  <c r="BA308" i="31"/>
  <c r="AZ308" i="31"/>
  <c r="AY308" i="31"/>
  <c r="AX308" i="31"/>
  <c r="AV308" i="31"/>
  <c r="AU308" i="31"/>
  <c r="AT308" i="31"/>
  <c r="AS308" i="31"/>
  <c r="AQ308" i="31"/>
  <c r="AP308" i="31"/>
  <c r="AO308" i="31"/>
  <c r="AN308" i="31"/>
  <c r="AL308" i="31"/>
  <c r="AK308" i="31"/>
  <c r="AJ308" i="31"/>
  <c r="AI308" i="31"/>
  <c r="AG308" i="31"/>
  <c r="AF308" i="31"/>
  <c r="AE308" i="31"/>
  <c r="AD308" i="31"/>
  <c r="AB308" i="31"/>
  <c r="AA308" i="31"/>
  <c r="Z308" i="31"/>
  <c r="Y308" i="31"/>
  <c r="W308" i="31"/>
  <c r="W297" i="31" s="1"/>
  <c r="V308" i="31"/>
  <c r="V297" i="31" s="1"/>
  <c r="U308" i="31"/>
  <c r="U297" i="31" s="1"/>
  <c r="T308" i="31"/>
  <c r="T297" i="31" s="1"/>
  <c r="R308" i="31"/>
  <c r="R297" i="31" s="1"/>
  <c r="Q308" i="31"/>
  <c r="Q297" i="31" s="1"/>
  <c r="P308" i="31"/>
  <c r="P297" i="31" s="1"/>
  <c r="O308" i="31"/>
  <c r="O297" i="31" s="1"/>
  <c r="M308" i="31"/>
  <c r="M297" i="31" s="1"/>
  <c r="L308" i="31"/>
  <c r="L297" i="31" s="1"/>
  <c r="K308" i="31"/>
  <c r="K297" i="31" s="1"/>
  <c r="J308" i="31"/>
  <c r="J297" i="31" s="1"/>
  <c r="H308" i="31"/>
  <c r="H297" i="31" s="1"/>
  <c r="G308" i="31"/>
  <c r="G297" i="31" s="1"/>
  <c r="F308" i="31"/>
  <c r="F297" i="31" s="1"/>
  <c r="E308" i="31"/>
  <c r="E297" i="31" s="1"/>
  <c r="BQ307" i="31"/>
  <c r="BV312" i="31" s="1"/>
  <c r="BL307" i="31"/>
  <c r="BG307" i="31"/>
  <c r="BB307" i="31"/>
  <c r="AW307" i="31"/>
  <c r="AR307" i="31"/>
  <c r="AR296" i="31" s="1"/>
  <c r="AM307" i="31"/>
  <c r="AM296" i="31" s="1"/>
  <c r="AH307" i="31"/>
  <c r="AH296" i="31" s="1"/>
  <c r="AC307" i="31"/>
  <c r="AC296" i="31" s="1"/>
  <c r="X307" i="31"/>
  <c r="X296" i="31" s="1"/>
  <c r="S307" i="31"/>
  <c r="S296" i="31" s="1"/>
  <c r="N307" i="31"/>
  <c r="N296" i="31" s="1"/>
  <c r="I307" i="31"/>
  <c r="D307" i="31" s="1"/>
  <c r="D296" i="31" s="1"/>
  <c r="BQ306" i="31"/>
  <c r="BV311" i="31" s="1"/>
  <c r="BL306" i="31"/>
  <c r="BG306" i="31"/>
  <c r="BB306" i="31"/>
  <c r="AW306" i="31"/>
  <c r="AR306" i="31"/>
  <c r="AR295" i="31" s="1"/>
  <c r="AM306" i="31"/>
  <c r="AM295" i="31" s="1"/>
  <c r="AH306" i="31"/>
  <c r="AH295" i="31" s="1"/>
  <c r="AC306" i="31"/>
  <c r="AC295" i="31" s="1"/>
  <c r="X306" i="31"/>
  <c r="X295" i="31" s="1"/>
  <c r="S306" i="31"/>
  <c r="S295" i="31" s="1"/>
  <c r="N306" i="31"/>
  <c r="N295" i="31" s="1"/>
  <c r="I306" i="31"/>
  <c r="D306" i="31" s="1"/>
  <c r="D295" i="31" s="1"/>
  <c r="BT296" i="31"/>
  <c r="BS296" i="31"/>
  <c r="BR296" i="31"/>
  <c r="BP296" i="31"/>
  <c r="BO296" i="31"/>
  <c r="BN296" i="31"/>
  <c r="BM296" i="31"/>
  <c r="BK296" i="31"/>
  <c r="BJ296" i="31"/>
  <c r="BI296" i="31"/>
  <c r="BH296" i="31"/>
  <c r="BF296" i="31"/>
  <c r="BE296" i="31"/>
  <c r="BD296" i="31"/>
  <c r="BC296" i="31"/>
  <c r="BA296" i="31"/>
  <c r="AZ296" i="31"/>
  <c r="AY296" i="31"/>
  <c r="AX296" i="31"/>
  <c r="AU296" i="31"/>
  <c r="AT296" i="31"/>
  <c r="AS296" i="31"/>
  <c r="AQ296" i="31"/>
  <c r="AP296" i="31"/>
  <c r="AO296" i="31"/>
  <c r="AN296" i="31"/>
  <c r="AL296" i="31"/>
  <c r="AK296" i="31"/>
  <c r="AJ296" i="31"/>
  <c r="AI296" i="31"/>
  <c r="AG296" i="31"/>
  <c r="AF296" i="31"/>
  <c r="AE296" i="31"/>
  <c r="AD296" i="31"/>
  <c r="AB296" i="31"/>
  <c r="AA296" i="31"/>
  <c r="Z296" i="31"/>
  <c r="Y296" i="31"/>
  <c r="W296" i="31"/>
  <c r="V296" i="31"/>
  <c r="U296" i="31"/>
  <c r="T296" i="31"/>
  <c r="R296" i="31"/>
  <c r="Q296" i="31"/>
  <c r="P296" i="31"/>
  <c r="O296" i="31"/>
  <c r="M296" i="31"/>
  <c r="L296" i="31"/>
  <c r="K296" i="31"/>
  <c r="J296" i="31"/>
  <c r="H296" i="31"/>
  <c r="G296" i="31"/>
  <c r="F296" i="31"/>
  <c r="E296" i="31"/>
  <c r="BT295" i="31"/>
  <c r="BS295" i="31"/>
  <c r="BR295" i="31"/>
  <c r="BP295" i="31"/>
  <c r="BN295" i="31"/>
  <c r="BM295" i="31"/>
  <c r="BK295" i="31"/>
  <c r="BJ295" i="31"/>
  <c r="BI295" i="31"/>
  <c r="BH295" i="31"/>
  <c r="BF295" i="31"/>
  <c r="BE295" i="31"/>
  <c r="BD295" i="31"/>
  <c r="BC295" i="31"/>
  <c r="BA295" i="31"/>
  <c r="AZ295" i="31"/>
  <c r="AY295" i="31"/>
  <c r="AX295" i="31"/>
  <c r="AU295" i="31"/>
  <c r="AT295" i="31"/>
  <c r="AS295" i="31"/>
  <c r="AQ295" i="31"/>
  <c r="AP295" i="31"/>
  <c r="AO295" i="31"/>
  <c r="AN295" i="31"/>
  <c r="AL295" i="31"/>
  <c r="AK295" i="31"/>
  <c r="AJ295" i="31"/>
  <c r="AI295" i="31"/>
  <c r="AG295" i="31"/>
  <c r="AF295" i="31"/>
  <c r="AE295" i="31"/>
  <c r="AD295" i="31"/>
  <c r="AB295" i="31"/>
  <c r="AA295" i="31"/>
  <c r="Z295" i="31"/>
  <c r="Y295" i="31"/>
  <c r="W295" i="31"/>
  <c r="V295" i="31"/>
  <c r="U295" i="31"/>
  <c r="T295" i="31"/>
  <c r="R295" i="31"/>
  <c r="Q295" i="31"/>
  <c r="P295" i="31"/>
  <c r="O295" i="31"/>
  <c r="M295" i="31"/>
  <c r="L295" i="31"/>
  <c r="K295" i="31"/>
  <c r="J295" i="31"/>
  <c r="H295" i="31"/>
  <c r="G295" i="31"/>
  <c r="F295" i="31"/>
  <c r="E295" i="31"/>
  <c r="BR280" i="31"/>
  <c r="BP280" i="31"/>
  <c r="BO280" i="31"/>
  <c r="BN280" i="31"/>
  <c r="BM280" i="31"/>
  <c r="BK280" i="31"/>
  <c r="BJ280" i="31"/>
  <c r="BI280" i="31"/>
  <c r="BI281" i="31" s="1"/>
  <c r="BH280" i="31"/>
  <c r="BF280" i="31"/>
  <c r="BF281" i="31" s="1"/>
  <c r="BE280" i="31"/>
  <c r="BE281" i="31" s="1"/>
  <c r="BD280" i="31"/>
  <c r="BD281" i="31" s="1"/>
  <c r="BC280" i="31"/>
  <c r="BC281" i="31" s="1"/>
  <c r="BA280" i="31"/>
  <c r="AZ280" i="31"/>
  <c r="AY280" i="31"/>
  <c r="AX280" i="31"/>
  <c r="AV280" i="31"/>
  <c r="AU280" i="31"/>
  <c r="AT280" i="31"/>
  <c r="AS280" i="31"/>
  <c r="AQ280" i="31"/>
  <c r="AP280" i="31"/>
  <c r="AO280" i="31"/>
  <c r="AN280" i="31"/>
  <c r="AL280" i="31"/>
  <c r="AK280" i="31"/>
  <c r="AJ280" i="31"/>
  <c r="AI280" i="31"/>
  <c r="AG280" i="31"/>
  <c r="AF280" i="31"/>
  <c r="AE280" i="31"/>
  <c r="AD280" i="31"/>
  <c r="AB280" i="31"/>
  <c r="AA280" i="31"/>
  <c r="Z280" i="31"/>
  <c r="Y280" i="31"/>
  <c r="W280" i="31"/>
  <c r="V280" i="31"/>
  <c r="U280" i="31"/>
  <c r="T280" i="31"/>
  <c r="R280" i="31"/>
  <c r="Q280" i="31"/>
  <c r="P280" i="31"/>
  <c r="O280" i="31"/>
  <c r="M280" i="31"/>
  <c r="L280" i="31"/>
  <c r="K280" i="31"/>
  <c r="J280" i="31"/>
  <c r="BR279" i="31"/>
  <c r="BP279" i="31"/>
  <c r="BO279" i="31"/>
  <c r="BN279" i="31"/>
  <c r="BM279" i="31"/>
  <c r="BK279" i="31"/>
  <c r="BJ279" i="31"/>
  <c r="BI279" i="31"/>
  <c r="BH279" i="31"/>
  <c r="BF279" i="31"/>
  <c r="BE279" i="31"/>
  <c r="BD279" i="31"/>
  <c r="BC279" i="31"/>
  <c r="BA279" i="31"/>
  <c r="AZ279" i="31"/>
  <c r="AY279" i="31"/>
  <c r="AX279" i="31"/>
  <c r="AV279" i="31"/>
  <c r="AU279" i="31"/>
  <c r="AT279" i="31"/>
  <c r="AS279" i="31"/>
  <c r="AQ279" i="31"/>
  <c r="AP279" i="31"/>
  <c r="AO279" i="31"/>
  <c r="AN279" i="31"/>
  <c r="AL279" i="31"/>
  <c r="AK279" i="31"/>
  <c r="AJ279" i="31"/>
  <c r="AI279" i="31"/>
  <c r="AG279" i="31"/>
  <c r="AF279" i="31"/>
  <c r="AE279" i="31"/>
  <c r="AD279" i="31"/>
  <c r="AB279" i="31"/>
  <c r="AA279" i="31"/>
  <c r="Z279" i="31"/>
  <c r="Y279" i="31"/>
  <c r="W279" i="31"/>
  <c r="V279" i="31"/>
  <c r="U279" i="31"/>
  <c r="T279" i="31"/>
  <c r="R279" i="31"/>
  <c r="Q279" i="31"/>
  <c r="P279" i="31"/>
  <c r="O279" i="31"/>
  <c r="M279" i="31"/>
  <c r="L279" i="31"/>
  <c r="K279" i="31"/>
  <c r="J279" i="31"/>
  <c r="BR276" i="31"/>
  <c r="BP276" i="31"/>
  <c r="BO276" i="31"/>
  <c r="BN276" i="31"/>
  <c r="BM276" i="31"/>
  <c r="BK276" i="31"/>
  <c r="BJ276" i="31"/>
  <c r="BI276" i="31"/>
  <c r="BH276" i="31"/>
  <c r="BF276" i="31"/>
  <c r="BE276" i="31"/>
  <c r="BD276" i="31"/>
  <c r="BC276" i="31"/>
  <c r="BA276" i="31"/>
  <c r="AZ276" i="31"/>
  <c r="AY276" i="31"/>
  <c r="AX276" i="31"/>
  <c r="AV276" i="31"/>
  <c r="AU276" i="31"/>
  <c r="AT276" i="31"/>
  <c r="AS276" i="31"/>
  <c r="AQ276" i="31"/>
  <c r="AP276" i="31"/>
  <c r="AO276" i="31"/>
  <c r="AN276" i="31"/>
  <c r="AL276" i="31"/>
  <c r="AK276" i="31"/>
  <c r="AJ276" i="31"/>
  <c r="AI276" i="31"/>
  <c r="AG276" i="31"/>
  <c r="AF276" i="31"/>
  <c r="AE276" i="31"/>
  <c r="AD276" i="31"/>
  <c r="AB276" i="31"/>
  <c r="AA276" i="31"/>
  <c r="Z276" i="31"/>
  <c r="Y276" i="31"/>
  <c r="W276" i="31"/>
  <c r="V276" i="31"/>
  <c r="U276" i="31"/>
  <c r="T276" i="31"/>
  <c r="R276" i="31"/>
  <c r="Q276" i="31"/>
  <c r="P276" i="31"/>
  <c r="O276" i="31"/>
  <c r="M276" i="31"/>
  <c r="L276" i="31"/>
  <c r="K276" i="31"/>
  <c r="J276" i="31"/>
  <c r="H276" i="31"/>
  <c r="G276" i="31"/>
  <c r="F276" i="31"/>
  <c r="E276" i="31"/>
  <c r="BQ275" i="31"/>
  <c r="BL275" i="31"/>
  <c r="BG275" i="31"/>
  <c r="BB275" i="31"/>
  <c r="AW275" i="31"/>
  <c r="AR275" i="31"/>
  <c r="AM275" i="31"/>
  <c r="AH275" i="31"/>
  <c r="AC275" i="31"/>
  <c r="X275" i="31"/>
  <c r="S275" i="31"/>
  <c r="N275" i="31"/>
  <c r="I275" i="31"/>
  <c r="I280" i="31" s="1"/>
  <c r="BQ274" i="31"/>
  <c r="BL274" i="31"/>
  <c r="BG274" i="31"/>
  <c r="BB274" i="31"/>
  <c r="AW274" i="31"/>
  <c r="AR274" i="31"/>
  <c r="AM274" i="31"/>
  <c r="AH274" i="31"/>
  <c r="AC274" i="31"/>
  <c r="X274" i="31"/>
  <c r="S274" i="31"/>
  <c r="N274" i="31"/>
  <c r="I274" i="31"/>
  <c r="I279" i="31" s="1"/>
  <c r="BP269" i="31"/>
  <c r="BO269" i="31"/>
  <c r="BN269" i="31"/>
  <c r="BM269" i="31"/>
  <c r="BN887" i="31" l="1"/>
  <c r="BN25" i="31" s="1"/>
  <c r="BN23" i="31"/>
  <c r="BS370" i="31"/>
  <c r="S365" i="31"/>
  <c r="AM365" i="31"/>
  <c r="AM367" i="31" s="1"/>
  <c r="BG365" i="31"/>
  <c r="BG367" i="31" s="1"/>
  <c r="BO384" i="31"/>
  <c r="AC417" i="31"/>
  <c r="AB417" i="31" s="1"/>
  <c r="AA417" i="31" s="1"/>
  <c r="Z417" i="31" s="1"/>
  <c r="Y417" i="31" s="1"/>
  <c r="X417" i="31" s="1"/>
  <c r="W417" i="31" s="1"/>
  <c r="V417" i="31" s="1"/>
  <c r="U417" i="31" s="1"/>
  <c r="T417" i="31" s="1"/>
  <c r="S417" i="31" s="1"/>
  <c r="R417" i="31" s="1"/>
  <c r="Q417" i="31" s="1"/>
  <c r="P417" i="31" s="1"/>
  <c r="O417" i="31" s="1"/>
  <c r="I365" i="31"/>
  <c r="AC365" i="31"/>
  <c r="AW365" i="31"/>
  <c r="AW367" i="31" s="1"/>
  <c r="S276" i="31"/>
  <c r="AC450" i="31"/>
  <c r="AB450" i="31" s="1"/>
  <c r="AA450" i="31" s="1"/>
  <c r="Z450" i="31" s="1"/>
  <c r="Y450" i="31" s="1"/>
  <c r="AH417" i="31"/>
  <c r="AG417" i="31" s="1"/>
  <c r="AF417" i="31" s="1"/>
  <c r="AE417" i="31" s="1"/>
  <c r="AD417" i="31" s="1"/>
  <c r="BI370" i="31"/>
  <c r="AH450" i="31"/>
  <c r="AG450" i="31" s="1"/>
  <c r="AF450" i="31" s="1"/>
  <c r="AE450" i="31" s="1"/>
  <c r="AD450" i="31" s="1"/>
  <c r="L303" i="31"/>
  <c r="BH384" i="31"/>
  <c r="DC330" i="31"/>
  <c r="DC276" i="31"/>
  <c r="N417" i="31"/>
  <c r="M417" i="31" s="1"/>
  <c r="L417" i="31" s="1"/>
  <c r="K417" i="31" s="1"/>
  <c r="J417" i="31" s="1"/>
  <c r="X276" i="31"/>
  <c r="AC276" i="31"/>
  <c r="N276" i="31"/>
  <c r="AH276" i="31"/>
  <c r="X450" i="31"/>
  <c r="W450" i="31" s="1"/>
  <c r="V450" i="31" s="1"/>
  <c r="U450" i="31" s="1"/>
  <c r="T450" i="31" s="1"/>
  <c r="S450" i="31" s="1"/>
  <c r="R450" i="31" s="1"/>
  <c r="Q450" i="31" s="1"/>
  <c r="P450" i="31" s="1"/>
  <c r="O450" i="31" s="1"/>
  <c r="CU504" i="31"/>
  <c r="CU503" i="31"/>
  <c r="CO506" i="31"/>
  <c r="CF506" i="31"/>
  <c r="CK500" i="31"/>
  <c r="CN484" i="31"/>
  <c r="AC406" i="31"/>
  <c r="AB406" i="31" s="1"/>
  <c r="AA406" i="31" s="1"/>
  <c r="Z406" i="31" s="1"/>
  <c r="Y406" i="31" s="1"/>
  <c r="CI484" i="31"/>
  <c r="CN365" i="31"/>
  <c r="CN454" i="31" s="1"/>
  <c r="CS459" i="31" s="1"/>
  <c r="CP500" i="31"/>
  <c r="CK503" i="31"/>
  <c r="CP503" i="31"/>
  <c r="BG393" i="31"/>
  <c r="BF393" i="31" s="1"/>
  <c r="BE393" i="31" s="1"/>
  <c r="BE394" i="31" s="1"/>
  <c r="BL392" i="31"/>
  <c r="BB392" i="31"/>
  <c r="BA392" i="31" s="1"/>
  <c r="AZ392" i="31" s="1"/>
  <c r="AY392" i="31" s="1"/>
  <c r="AX392" i="31" s="1"/>
  <c r="CI392" i="31"/>
  <c r="AM473" i="31"/>
  <c r="AW389" i="31"/>
  <c r="AV389" i="31" s="1"/>
  <c r="AU389" i="31" s="1"/>
  <c r="AT389" i="31" s="1"/>
  <c r="AS389" i="31" s="1"/>
  <c r="BN395" i="31"/>
  <c r="BB389" i="31"/>
  <c r="BA389" i="31" s="1"/>
  <c r="AZ389" i="31" s="1"/>
  <c r="AY389" i="31" s="1"/>
  <c r="AX389" i="31" s="1"/>
  <c r="D411" i="31"/>
  <c r="X406" i="31"/>
  <c r="W406" i="31" s="1"/>
  <c r="V406" i="31" s="1"/>
  <c r="U406" i="31" s="1"/>
  <c r="T406" i="31" s="1"/>
  <c r="S406" i="31" s="1"/>
  <c r="R406" i="31" s="1"/>
  <c r="Q406" i="31" s="1"/>
  <c r="P406" i="31" s="1"/>
  <c r="O406" i="31" s="1"/>
  <c r="N406" i="31" s="1"/>
  <c r="M406" i="31" s="1"/>
  <c r="L406" i="31" s="1"/>
  <c r="K406" i="31" s="1"/>
  <c r="J406" i="31" s="1"/>
  <c r="BQ392" i="31"/>
  <c r="CC484" i="31"/>
  <c r="CJ506" i="31"/>
  <c r="CI330" i="31"/>
  <c r="CI295" i="31"/>
  <c r="CN300" i="31" s="1"/>
  <c r="CI365" i="31"/>
  <c r="CI319" i="31"/>
  <c r="CI276" i="31"/>
  <c r="AQ297" i="31"/>
  <c r="CB484" i="31"/>
  <c r="BB393" i="31"/>
  <c r="BA393" i="31" s="1"/>
  <c r="AZ393" i="31" s="1"/>
  <c r="AY393" i="31" s="1"/>
  <c r="AX393" i="31" s="1"/>
  <c r="BQ393" i="31"/>
  <c r="BY406" i="31"/>
  <c r="CF476" i="31"/>
  <c r="CK476" i="31" s="1"/>
  <c r="CP476" i="31" s="1"/>
  <c r="CD319" i="31"/>
  <c r="CD330" i="31"/>
  <c r="CD276" i="31"/>
  <c r="BQ417" i="31"/>
  <c r="BP417" i="31" s="1"/>
  <c r="BP395" i="31"/>
  <c r="BL389" i="31"/>
  <c r="BO325" i="31"/>
  <c r="BY366" i="31"/>
  <c r="BY371" i="31" s="1"/>
  <c r="CA487" i="31"/>
  <c r="BW484" i="31"/>
  <c r="BP325" i="31"/>
  <c r="BT406" i="31"/>
  <c r="BG389" i="31"/>
  <c r="BF389" i="31" s="1"/>
  <c r="BE389" i="31" s="1"/>
  <c r="BJ395" i="31" s="1"/>
  <c r="BO282" i="31"/>
  <c r="Z297" i="31"/>
  <c r="AB297" i="31"/>
  <c r="AE297" i="31"/>
  <c r="AG297" i="31"/>
  <c r="AJ297" i="31"/>
  <c r="AL297" i="31"/>
  <c r="AO297" i="31"/>
  <c r="BI314" i="31"/>
  <c r="BP314" i="31"/>
  <c r="BI325" i="31"/>
  <c r="BJ282" i="31"/>
  <c r="BP282" i="31"/>
  <c r="Y297" i="31"/>
  <c r="AA297" i="31"/>
  <c r="AD297" i="31"/>
  <c r="AF297" i="31"/>
  <c r="AI297" i="31"/>
  <c r="AK297" i="31"/>
  <c r="AN297" i="31"/>
  <c r="AP297" i="31"/>
  <c r="BW314" i="31"/>
  <c r="BW325" i="31"/>
  <c r="BI336" i="31"/>
  <c r="BX406" i="31"/>
  <c r="AH406" i="31"/>
  <c r="AG406" i="31" s="1"/>
  <c r="AF406" i="31" s="1"/>
  <c r="AE406" i="31" s="1"/>
  <c r="AD406" i="31" s="1"/>
  <c r="BD394" i="31"/>
  <c r="BC394" i="31" s="1"/>
  <c r="AW392" i="31"/>
  <c r="AV392" i="31" s="1"/>
  <c r="AU392" i="31" s="1"/>
  <c r="AT392" i="31" s="1"/>
  <c r="AS392" i="31" s="1"/>
  <c r="AR392" i="31" s="1"/>
  <c r="AQ392" i="31" s="1"/>
  <c r="AP392" i="31" s="1"/>
  <c r="AO392" i="31" s="1"/>
  <c r="AN392" i="31" s="1"/>
  <c r="AM392" i="31" s="1"/>
  <c r="AL392" i="31" s="1"/>
  <c r="AK392" i="31" s="1"/>
  <c r="AJ392" i="31" s="1"/>
  <c r="AI392" i="31" s="1"/>
  <c r="AH392" i="31" s="1"/>
  <c r="AG392" i="31" s="1"/>
  <c r="AF392" i="31" s="1"/>
  <c r="AE392" i="31" s="1"/>
  <c r="AD392" i="31" s="1"/>
  <c r="AC392" i="31" s="1"/>
  <c r="AB392" i="31" s="1"/>
  <c r="AA392" i="31" s="1"/>
  <c r="Z392" i="31" s="1"/>
  <c r="Y392" i="31" s="1"/>
  <c r="X392" i="31" s="1"/>
  <c r="W392" i="31" s="1"/>
  <c r="V392" i="31" s="1"/>
  <c r="U392" i="31" s="1"/>
  <c r="T392" i="31" s="1"/>
  <c r="S392" i="31" s="1"/>
  <c r="R392" i="31" s="1"/>
  <c r="Q392" i="31" s="1"/>
  <c r="P392" i="31" s="1"/>
  <c r="O392" i="31" s="1"/>
  <c r="N392" i="31" s="1"/>
  <c r="M392" i="31" s="1"/>
  <c r="L392" i="31" s="1"/>
  <c r="K392" i="31" s="1"/>
  <c r="J392" i="31" s="1"/>
  <c r="I392" i="31" s="1"/>
  <c r="BG392" i="31"/>
  <c r="BF392" i="31" s="1"/>
  <c r="BE392" i="31" s="1"/>
  <c r="BD392" i="31" s="1"/>
  <c r="BC392" i="31" s="1"/>
  <c r="BL393" i="31"/>
  <c r="BW282" i="31"/>
  <c r="BW336" i="31"/>
  <c r="BR417" i="31"/>
  <c r="BW417" i="31"/>
  <c r="AW393" i="31"/>
  <c r="AV393" i="31" s="1"/>
  <c r="AU393" i="31" s="1"/>
  <c r="AT393" i="31" s="1"/>
  <c r="AS393" i="31" s="1"/>
  <c r="AR393" i="31" s="1"/>
  <c r="AQ393" i="31" s="1"/>
  <c r="AP393" i="31" s="1"/>
  <c r="AP394" i="31" s="1"/>
  <c r="AR389" i="31"/>
  <c r="AQ389" i="31" s="1"/>
  <c r="AP389" i="31" s="1"/>
  <c r="AO389" i="31" s="1"/>
  <c r="AN389" i="31" s="1"/>
  <c r="AM389" i="31" s="1"/>
  <c r="AL389" i="31" s="1"/>
  <c r="AK389" i="31" s="1"/>
  <c r="AJ389" i="31" s="1"/>
  <c r="AI389" i="31" s="1"/>
  <c r="AH389" i="31" s="1"/>
  <c r="AG389" i="31" s="1"/>
  <c r="AF389" i="31" s="1"/>
  <c r="AE389" i="31" s="1"/>
  <c r="AD389" i="31" s="1"/>
  <c r="AC389" i="31" s="1"/>
  <c r="AB389" i="31" s="1"/>
  <c r="AA389" i="31" s="1"/>
  <c r="Z389" i="31" s="1"/>
  <c r="Y389" i="31" s="1"/>
  <c r="X389" i="31" s="1"/>
  <c r="W389" i="31" s="1"/>
  <c r="V389" i="31" s="1"/>
  <c r="U389" i="31" s="1"/>
  <c r="T389" i="31" s="1"/>
  <c r="S389" i="31" s="1"/>
  <c r="R389" i="31" s="1"/>
  <c r="Q389" i="31" s="1"/>
  <c r="P389" i="31" s="1"/>
  <c r="O389" i="31" s="1"/>
  <c r="N389" i="31" s="1"/>
  <c r="M389" i="31" s="1"/>
  <c r="L389" i="31" s="1"/>
  <c r="K389" i="31" s="1"/>
  <c r="J389" i="31" s="1"/>
  <c r="I389" i="31" s="1"/>
  <c r="H389" i="31" s="1"/>
  <c r="G389" i="31" s="1"/>
  <c r="F389" i="31" s="1"/>
  <c r="E389" i="31" s="1"/>
  <c r="D389" i="31" s="1"/>
  <c r="BM454" i="31"/>
  <c r="BM459" i="31" s="1"/>
  <c r="BO295" i="31"/>
  <c r="BO454" i="31" s="1"/>
  <c r="BO459" i="31" s="1"/>
  <c r="BR454" i="31"/>
  <c r="BW459" i="31" s="1"/>
  <c r="BT454" i="31"/>
  <c r="AW295" i="31"/>
  <c r="BG295" i="31"/>
  <c r="AW296" i="31"/>
  <c r="BG296" i="31"/>
  <c r="AS297" i="31"/>
  <c r="AU297" i="31"/>
  <c r="AX297" i="31"/>
  <c r="AZ297" i="31"/>
  <c r="AT297" i="31"/>
  <c r="AV297" i="31"/>
  <c r="AY297" i="31"/>
  <c r="BA297" i="31"/>
  <c r="BP336" i="31"/>
  <c r="N365" i="31"/>
  <c r="N367" i="31" s="1"/>
  <c r="X365" i="31"/>
  <c r="X367" i="31" s="1"/>
  <c r="AH365" i="31"/>
  <c r="AH367" i="31" s="1"/>
  <c r="AR365" i="31"/>
  <c r="AR367" i="31" s="1"/>
  <c r="BB365" i="31"/>
  <c r="BB367" i="31" s="1"/>
  <c r="BO370" i="31"/>
  <c r="I295" i="31"/>
  <c r="BN455" i="31"/>
  <c r="BN460" i="31" s="1"/>
  <c r="BP455" i="31"/>
  <c r="BP460" i="31" s="1"/>
  <c r="BM455" i="31"/>
  <c r="BM460" i="31" s="1"/>
  <c r="BO455" i="31"/>
  <c r="BO460" i="31" s="1"/>
  <c r="BT455" i="31"/>
  <c r="N382" i="31"/>
  <c r="X382" i="31"/>
  <c r="AH382" i="31"/>
  <c r="BL371" i="31"/>
  <c r="BL378" i="31"/>
  <c r="BQ378" i="31"/>
  <c r="BM395" i="31"/>
  <c r="I296" i="31"/>
  <c r="BQ296" i="31"/>
  <c r="BB295" i="31"/>
  <c r="BL295" i="31"/>
  <c r="BQ365" i="31"/>
  <c r="BQ370" i="31" s="1"/>
  <c r="BP370" i="31" s="1"/>
  <c r="I366" i="31"/>
  <c r="R371" i="31"/>
  <c r="S366" i="31"/>
  <c r="AB371" i="31"/>
  <c r="AC366" i="31"/>
  <c r="AL371" i="31"/>
  <c r="AT371" i="31"/>
  <c r="AT372" i="31" s="1"/>
  <c r="AV371" i="31"/>
  <c r="AV372" i="31" s="1"/>
  <c r="AZ371" i="31"/>
  <c r="AZ372" i="31" s="1"/>
  <c r="BR371" i="31"/>
  <c r="BQ366" i="31"/>
  <c r="S381" i="31"/>
  <c r="AC381" i="31"/>
  <c r="AM381" i="31"/>
  <c r="BB296" i="31"/>
  <c r="BL296" i="31"/>
  <c r="D365" i="31"/>
  <c r="BN454" i="31"/>
  <c r="BN459" i="31" s="1"/>
  <c r="BP454" i="31"/>
  <c r="BP459" i="31" s="1"/>
  <c r="BO336" i="31"/>
  <c r="BS347" i="31"/>
  <c r="BR370" i="31"/>
  <c r="BT370" i="31"/>
  <c r="M371" i="31"/>
  <c r="W371" i="31"/>
  <c r="AG371" i="31"/>
  <c r="AQ371" i="31"/>
  <c r="AU371" i="31"/>
  <c r="AU372" i="31" s="1"/>
  <c r="AY371" i="31"/>
  <c r="AY372" i="31" s="1"/>
  <c r="BA371" i="31"/>
  <c r="BA372" i="31" s="1"/>
  <c r="BG371" i="31"/>
  <c r="BM371" i="31"/>
  <c r="BO371" i="31"/>
  <c r="N381" i="31"/>
  <c r="X381" i="31"/>
  <c r="AH381" i="31"/>
  <c r="D377" i="31"/>
  <c r="D366" i="31" s="1"/>
  <c r="S382" i="31"/>
  <c r="AC382" i="31"/>
  <c r="AM382" i="31"/>
  <c r="BO395" i="31"/>
  <c r="BX347" i="31"/>
  <c r="BY347" i="31"/>
  <c r="BW300" i="31"/>
  <c r="BX300" i="31"/>
  <c r="BS454" i="31"/>
  <c r="BX459" i="31" s="1"/>
  <c r="BW301" i="31"/>
  <c r="BR455" i="31"/>
  <c r="BW460" i="31" s="1"/>
  <c r="BX301" i="31"/>
  <c r="BS455" i="31"/>
  <c r="BX460" i="31" s="1"/>
  <c r="BY393" i="31"/>
  <c r="BY330" i="31"/>
  <c r="BY319" i="31"/>
  <c r="BY296" i="31"/>
  <c r="BY301" i="31" s="1"/>
  <c r="BY276" i="31"/>
  <c r="BY308" i="31"/>
  <c r="BY295" i="31"/>
  <c r="CD300" i="31" s="1"/>
  <c r="BY378" i="31"/>
  <c r="BY365" i="31"/>
  <c r="BR389" i="31"/>
  <c r="BR395" i="31" s="1"/>
  <c r="BX395" i="31"/>
  <c r="BR450" i="31"/>
  <c r="BS417" i="31"/>
  <c r="BY392" i="31"/>
  <c r="BY389" i="31"/>
  <c r="BS450" i="31"/>
  <c r="BS406" i="31"/>
  <c r="BI282" i="31"/>
  <c r="BH282" i="31" s="1"/>
  <c r="BH281" i="31"/>
  <c r="BK300" i="31"/>
  <c r="BJ300" i="31" s="1"/>
  <c r="BI300" i="31" s="1"/>
  <c r="BH300" i="31" s="1"/>
  <c r="BF297" i="31"/>
  <c r="BE297" i="31" s="1"/>
  <c r="BD297" i="31" s="1"/>
  <c r="BC297" i="31" s="1"/>
  <c r="BH297" i="31"/>
  <c r="BI297" i="31"/>
  <c r="BJ297" i="31"/>
  <c r="BK297" i="31"/>
  <c r="BR297" i="31"/>
  <c r="BW303" i="31" s="1"/>
  <c r="K303" i="31"/>
  <c r="J303" i="31" s="1"/>
  <c r="BH314" i="31"/>
  <c r="BH313" i="31"/>
  <c r="BH325" i="31"/>
  <c r="BH324" i="31"/>
  <c r="BH336" i="31"/>
  <c r="BH335" i="31"/>
  <c r="BR347" i="31"/>
  <c r="BN370" i="31"/>
  <c r="E367" i="31"/>
  <c r="F367" i="31"/>
  <c r="G367" i="31"/>
  <c r="L371" i="31"/>
  <c r="K371" i="31" s="1"/>
  <c r="J371" i="31" s="1"/>
  <c r="J367" i="31"/>
  <c r="K367" i="31"/>
  <c r="L367" i="31"/>
  <c r="Q371" i="31"/>
  <c r="P371" i="31" s="1"/>
  <c r="O371" i="31" s="1"/>
  <c r="O367" i="31"/>
  <c r="P367" i="31"/>
  <c r="Q367" i="31"/>
  <c r="V371" i="31"/>
  <c r="U371" i="31" s="1"/>
  <c r="T371" i="31" s="1"/>
  <c r="T367" i="31"/>
  <c r="U367" i="31"/>
  <c r="V367" i="31"/>
  <c r="AA371" i="31"/>
  <c r="Z371" i="31" s="1"/>
  <c r="Y371" i="31" s="1"/>
  <c r="Y367" i="31"/>
  <c r="Z367" i="31"/>
  <c r="AA367" i="31"/>
  <c r="AF371" i="31"/>
  <c r="AE371" i="31" s="1"/>
  <c r="AD371" i="31" s="1"/>
  <c r="AD367" i="31"/>
  <c r="AE367" i="31"/>
  <c r="AF367" i="31"/>
  <c r="AK371" i="31"/>
  <c r="AJ371" i="31" s="1"/>
  <c r="AI371" i="31" s="1"/>
  <c r="AI367" i="31"/>
  <c r="AJ367" i="31"/>
  <c r="AK367" i="31"/>
  <c r="AP371" i="31"/>
  <c r="AO371" i="31" s="1"/>
  <c r="AN371" i="31" s="1"/>
  <c r="AN367" i="31"/>
  <c r="AS371" i="31"/>
  <c r="AS367" i="31"/>
  <c r="AX371" i="31"/>
  <c r="AX367" i="31"/>
  <c r="AY367" i="31"/>
  <c r="AZ367" i="31"/>
  <c r="BA367" i="31"/>
  <c r="BF371" i="31"/>
  <c r="BF372" i="31" s="1"/>
  <c r="BC367" i="31"/>
  <c r="BD367" i="31"/>
  <c r="BE367" i="31"/>
  <c r="BF367" i="31"/>
  <c r="BK371" i="31"/>
  <c r="BJ371" i="31" s="1"/>
  <c r="BI371" i="31" s="1"/>
  <c r="BH371" i="31" s="1"/>
  <c r="BH372" i="31" s="1"/>
  <c r="BI367" i="31"/>
  <c r="BN371" i="31"/>
  <c r="BK367" i="31"/>
  <c r="BL367" i="31"/>
  <c r="BN367" i="31"/>
  <c r="BO367" i="31"/>
  <c r="BP367" i="31"/>
  <c r="BR367" i="31"/>
  <c r="BW373" i="31" s="1"/>
  <c r="AM371" i="31"/>
  <c r="AR371" i="31"/>
  <c r="AW371" i="31"/>
  <c r="BE371" i="31"/>
  <c r="BS276" i="31"/>
  <c r="BT276" i="31"/>
  <c r="I276" i="31"/>
  <c r="AM276" i="31"/>
  <c r="AR276" i="31"/>
  <c r="AW276" i="31"/>
  <c r="BB276" i="31"/>
  <c r="BG276" i="31"/>
  <c r="BL276" i="31"/>
  <c r="BQ276" i="31"/>
  <c r="N279" i="31"/>
  <c r="S279" i="31"/>
  <c r="X279" i="31"/>
  <c r="AC279" i="31"/>
  <c r="AH279" i="31"/>
  <c r="AM279" i="31"/>
  <c r="AR279" i="31"/>
  <c r="AW279" i="31"/>
  <c r="BB279" i="31"/>
  <c r="BG279" i="31"/>
  <c r="BL279" i="31"/>
  <c r="BQ279" i="31"/>
  <c r="N280" i="31"/>
  <c r="S280" i="31"/>
  <c r="X280" i="31"/>
  <c r="AC280" i="31"/>
  <c r="AH280" i="31"/>
  <c r="AM280" i="31"/>
  <c r="AR280" i="31"/>
  <c r="AW280" i="31"/>
  <c r="BB280" i="31"/>
  <c r="BG280" i="31"/>
  <c r="BL280" i="31"/>
  <c r="BQ280" i="31"/>
  <c r="BM282" i="31"/>
  <c r="BN282" i="31"/>
  <c r="BS301" i="31"/>
  <c r="BT301" i="31"/>
  <c r="BM297" i="31"/>
  <c r="BN297" i="31"/>
  <c r="BP297" i="31"/>
  <c r="BR301" i="31"/>
  <c r="AV885" i="31"/>
  <c r="AV886" i="31"/>
  <c r="AV24" i="31" s="1"/>
  <c r="AR381" i="31"/>
  <c r="AW381" i="31"/>
  <c r="BB381" i="31"/>
  <c r="BG381" i="31"/>
  <c r="BL381" i="31"/>
  <c r="BQ381" i="31"/>
  <c r="AR382" i="31"/>
  <c r="AW382" i="31"/>
  <c r="BB382" i="31"/>
  <c r="BG382" i="31"/>
  <c r="BL382" i="31"/>
  <c r="BQ382" i="31"/>
  <c r="BL450" i="31"/>
  <c r="BK450" i="31" s="1"/>
  <c r="BJ450" i="31" s="1"/>
  <c r="BI450" i="31" s="1"/>
  <c r="BH450" i="31" s="1"/>
  <c r="BG450" i="31"/>
  <c r="BF450" i="31" s="1"/>
  <c r="BE450" i="31" s="1"/>
  <c r="BD450" i="31" s="1"/>
  <c r="BC450" i="31" s="1"/>
  <c r="BB450" i="31"/>
  <c r="BA450" i="31" s="1"/>
  <c r="AZ450" i="31" s="1"/>
  <c r="AY450" i="31" s="1"/>
  <c r="AX450" i="31" s="1"/>
  <c r="AW450" i="31"/>
  <c r="AV450" i="31" s="1"/>
  <c r="AU450" i="31" s="1"/>
  <c r="AT450" i="31" s="1"/>
  <c r="AS450" i="31" s="1"/>
  <c r="AR450" i="31"/>
  <c r="AQ450" i="31" s="1"/>
  <c r="AP450" i="31" s="1"/>
  <c r="AO450" i="31" s="1"/>
  <c r="AN450" i="31" s="1"/>
  <c r="BQ439" i="31"/>
  <c r="BP439" i="31" s="1"/>
  <c r="BL439" i="31"/>
  <c r="BQ428" i="31"/>
  <c r="BL417" i="31"/>
  <c r="BK417" i="31" s="1"/>
  <c r="BJ417" i="31" s="1"/>
  <c r="BI417" i="31" s="1"/>
  <c r="BH417" i="31" s="1"/>
  <c r="BG417" i="31"/>
  <c r="BF417" i="31" s="1"/>
  <c r="BE417" i="31" s="1"/>
  <c r="BD417" i="31" s="1"/>
  <c r="BC417" i="31" s="1"/>
  <c r="BB417" i="31"/>
  <c r="BA417" i="31" s="1"/>
  <c r="AZ417" i="31" s="1"/>
  <c r="AY417" i="31" s="1"/>
  <c r="AX417" i="31" s="1"/>
  <c r="AW417" i="31"/>
  <c r="AV417" i="31" s="1"/>
  <c r="AU417" i="31" s="1"/>
  <c r="AT417" i="31" s="1"/>
  <c r="AS417" i="31" s="1"/>
  <c r="AR417" i="31"/>
  <c r="AQ417" i="31" s="1"/>
  <c r="AP417" i="31" s="1"/>
  <c r="AO417" i="31" s="1"/>
  <c r="AN417" i="31" s="1"/>
  <c r="BQ406" i="31"/>
  <c r="BL406" i="31"/>
  <c r="BK406" i="31" s="1"/>
  <c r="BJ406" i="31" s="1"/>
  <c r="BG406" i="31"/>
  <c r="BF406" i="31" s="1"/>
  <c r="BE406" i="31" s="1"/>
  <c r="BD406" i="31" s="1"/>
  <c r="BC406" i="31" s="1"/>
  <c r="BB406" i="31"/>
  <c r="BA406" i="31" s="1"/>
  <c r="AZ406" i="31" s="1"/>
  <c r="AY406" i="31" s="1"/>
  <c r="AX406" i="31" s="1"/>
  <c r="AW406" i="31"/>
  <c r="AV406" i="31" s="1"/>
  <c r="AU406" i="31" s="1"/>
  <c r="AT406" i="31" s="1"/>
  <c r="AS406" i="31" s="1"/>
  <c r="AR406" i="31"/>
  <c r="AQ406" i="31" s="1"/>
  <c r="AP406" i="31" s="1"/>
  <c r="AO406" i="31" s="1"/>
  <c r="AN406" i="31" s="1"/>
  <c r="BD389" i="31"/>
  <c r="BI395" i="31" s="1"/>
  <c r="BH395" i="31" s="1"/>
  <c r="BL467" i="31"/>
  <c r="BL470" i="31"/>
  <c r="BK470" i="31" s="1"/>
  <c r="BJ470" i="31" s="1"/>
  <c r="BI470" i="31" s="1"/>
  <c r="BH470" i="31" s="1"/>
  <c r="BG470" i="31" s="1"/>
  <c r="BF470" i="31" s="1"/>
  <c r="BE470" i="31" s="1"/>
  <c r="BD470" i="31" s="1"/>
  <c r="BC470" i="31" s="1"/>
  <c r="BB470" i="31" s="1"/>
  <c r="BA470" i="31" s="1"/>
  <c r="AZ470" i="31" s="1"/>
  <c r="AY470" i="31" s="1"/>
  <c r="AX470" i="31" s="1"/>
  <c r="AW470" i="31" s="1"/>
  <c r="AV470" i="31" s="1"/>
  <c r="AU470" i="31" s="1"/>
  <c r="AT470" i="31" s="1"/>
  <c r="AS470" i="31" s="1"/>
  <c r="AR470" i="31" s="1"/>
  <c r="AQ470" i="31" s="1"/>
  <c r="AP470" i="31" s="1"/>
  <c r="AO470" i="31" s="1"/>
  <c r="AN470" i="31" s="1"/>
  <c r="AM470" i="31" s="1"/>
  <c r="AL470" i="31" s="1"/>
  <c r="AK470" i="31" s="1"/>
  <c r="AJ470" i="31" s="1"/>
  <c r="AI470" i="31" s="1"/>
  <c r="BQ465" i="31"/>
  <c r="BS478" i="31"/>
  <c r="BT478" i="31"/>
  <c r="BG471" i="31"/>
  <c r="BF471" i="31" s="1"/>
  <c r="BF472" i="31" s="1"/>
  <c r="BB471" i="31"/>
  <c r="BA471" i="31" s="1"/>
  <c r="BA472" i="31" s="1"/>
  <c r="AO393" i="31"/>
  <c r="AN393" i="31" s="1"/>
  <c r="AM393" i="31" s="1"/>
  <c r="AL393" i="31" s="1"/>
  <c r="AK393" i="31" s="1"/>
  <c r="BS308" i="31"/>
  <c r="D308" i="31"/>
  <c r="I308" i="31"/>
  <c r="N308" i="31"/>
  <c r="S308" i="31"/>
  <c r="X308" i="31"/>
  <c r="AC308" i="31"/>
  <c r="AH308" i="31"/>
  <c r="AM308" i="31"/>
  <c r="AR308" i="31"/>
  <c r="AW308" i="31"/>
  <c r="BB308" i="31"/>
  <c r="BG308" i="31"/>
  <c r="BL308" i="31"/>
  <c r="BQ308" i="31"/>
  <c r="N311" i="31"/>
  <c r="S311" i="31"/>
  <c r="X311" i="31"/>
  <c r="AC311" i="31"/>
  <c r="AH311" i="31"/>
  <c r="AM311" i="31"/>
  <c r="AR311" i="31"/>
  <c r="AW311" i="31"/>
  <c r="BB311" i="31"/>
  <c r="BG311" i="31"/>
  <c r="BL311" i="31"/>
  <c r="BQ311" i="31"/>
  <c r="N312" i="31"/>
  <c r="S312" i="31"/>
  <c r="X312" i="31"/>
  <c r="AC312" i="31"/>
  <c r="AH312" i="31"/>
  <c r="AM312" i="31"/>
  <c r="AR312" i="31"/>
  <c r="AW312" i="31"/>
  <c r="BB312" i="31"/>
  <c r="BG312" i="31"/>
  <c r="BL312" i="31"/>
  <c r="BQ312" i="31"/>
  <c r="BM314" i="31"/>
  <c r="BN314" i="31"/>
  <c r="BO314" i="31"/>
  <c r="BS319" i="31"/>
  <c r="BT319" i="31"/>
  <c r="BB319" i="31"/>
  <c r="BG319" i="31"/>
  <c r="BL319" i="31"/>
  <c r="BQ319" i="31"/>
  <c r="BB322" i="31"/>
  <c r="BG322" i="31"/>
  <c r="BL322" i="31"/>
  <c r="BQ322" i="31"/>
  <c r="BB323" i="31"/>
  <c r="BG323" i="31"/>
  <c r="BL323" i="31"/>
  <c r="BQ323" i="31"/>
  <c r="BM325" i="31"/>
  <c r="BN325" i="31"/>
  <c r="BS330" i="31"/>
  <c r="BT330" i="31"/>
  <c r="AW330" i="31"/>
  <c r="BB330" i="31"/>
  <c r="BG330" i="31"/>
  <c r="BL330" i="31"/>
  <c r="BQ330" i="31"/>
  <c r="AW333" i="31"/>
  <c r="BB333" i="31"/>
  <c r="BG333" i="31"/>
  <c r="BL333" i="31"/>
  <c r="BQ333" i="31"/>
  <c r="AW334" i="31"/>
  <c r="BB334" i="31"/>
  <c r="BG334" i="31"/>
  <c r="BL334" i="31"/>
  <c r="BQ334" i="31"/>
  <c r="BM336" i="31"/>
  <c r="BN336" i="31"/>
  <c r="BR336" i="31"/>
  <c r="BQ339" i="31"/>
  <c r="BQ344" i="31" s="1"/>
  <c r="BO341" i="31"/>
  <c r="BQ341" i="31" s="1"/>
  <c r="BQ347" i="31" s="1"/>
  <c r="BP347" i="31" s="1"/>
  <c r="BU341" i="31"/>
  <c r="BO344" i="31"/>
  <c r="BQ345" i="31"/>
  <c r="BQ346" i="31" s="1"/>
  <c r="BP346" i="31" s="1"/>
  <c r="BO346" i="31" s="1"/>
  <c r="BN346" i="31" s="1"/>
  <c r="BM346" i="31" s="1"/>
  <c r="BV345" i="31"/>
  <c r="BN347" i="31"/>
  <c r="CA347" i="31"/>
  <c r="BS371" i="31"/>
  <c r="BT371" i="31"/>
  <c r="H367" i="31"/>
  <c r="M367" i="31"/>
  <c r="R367" i="31"/>
  <c r="W367" i="31"/>
  <c r="AB367" i="31"/>
  <c r="AG367" i="31"/>
  <c r="AL367" i="31"/>
  <c r="AO367" i="31"/>
  <c r="AP367" i="31"/>
  <c r="AQ367" i="31"/>
  <c r="AT367" i="31"/>
  <c r="AU367" i="31"/>
  <c r="AV367" i="31"/>
  <c r="BH367" i="31"/>
  <c r="BJ367" i="31"/>
  <c r="BM367" i="31"/>
  <c r="J370" i="31"/>
  <c r="O370" i="31"/>
  <c r="T370" i="31"/>
  <c r="Y370" i="31"/>
  <c r="AD370" i="31"/>
  <c r="AI370" i="31"/>
  <c r="AN370" i="31"/>
  <c r="AS370" i="31"/>
  <c r="AX370" i="31"/>
  <c r="BC370" i="31"/>
  <c r="BH370" i="31"/>
  <c r="BM370" i="31"/>
  <c r="BS378" i="31"/>
  <c r="I378" i="31"/>
  <c r="N378" i="31"/>
  <c r="S378" i="31"/>
  <c r="X378" i="31"/>
  <c r="AC378" i="31"/>
  <c r="AH378" i="31"/>
  <c r="AM378" i="31"/>
  <c r="AR378" i="31"/>
  <c r="AW378" i="31"/>
  <c r="BB378" i="31"/>
  <c r="BG378" i="31"/>
  <c r="BN384" i="31"/>
  <c r="BM384" i="31" s="1"/>
  <c r="AM450" i="31"/>
  <c r="AL450" i="31" s="1"/>
  <c r="AK450" i="31" s="1"/>
  <c r="AJ450" i="31" s="1"/>
  <c r="AI450" i="31" s="1"/>
  <c r="N450" i="31"/>
  <c r="M450" i="31" s="1"/>
  <c r="L450" i="31" s="1"/>
  <c r="K450" i="31" s="1"/>
  <c r="J450" i="31" s="1"/>
  <c r="I450" i="31" s="1"/>
  <c r="AM417" i="31"/>
  <c r="AL417" i="31" s="1"/>
  <c r="AK417" i="31" s="1"/>
  <c r="AJ417" i="31" s="1"/>
  <c r="AI417" i="31" s="1"/>
  <c r="AM406" i="31"/>
  <c r="AL406" i="31" s="1"/>
  <c r="AK406" i="31" s="1"/>
  <c r="AJ406" i="31" s="1"/>
  <c r="AI406" i="31" s="1"/>
  <c r="BQ450" i="31"/>
  <c r="BP450" i="31" s="1"/>
  <c r="BT297" i="31"/>
  <c r="BT367" i="31"/>
  <c r="BR314" i="31"/>
  <c r="BR325" i="31"/>
  <c r="BR378" i="31"/>
  <c r="BW384" i="31" s="1"/>
  <c r="BR282" i="31"/>
  <c r="BS297" i="31"/>
  <c r="BX303" i="31" s="1"/>
  <c r="BS367" i="31"/>
  <c r="BP268" i="31"/>
  <c r="BO268" i="31"/>
  <c r="BN268" i="31"/>
  <c r="BM268" i="31"/>
  <c r="BP265" i="31"/>
  <c r="BP271" i="31" s="1"/>
  <c r="BO265" i="31"/>
  <c r="BO271" i="31" s="1"/>
  <c r="BN265" i="31"/>
  <c r="BM265" i="31"/>
  <c r="BR269" i="31"/>
  <c r="BQ264" i="31"/>
  <c r="BQ269" i="31" s="1"/>
  <c r="BR268" i="31"/>
  <c r="BQ263" i="31"/>
  <c r="S367" i="31" l="1"/>
  <c r="X373" i="31" s="1"/>
  <c r="BA890" i="31"/>
  <c r="AZ890" i="31" s="1"/>
  <c r="AY890" i="31" s="1"/>
  <c r="AX890" i="31" s="1"/>
  <c r="AV23" i="31"/>
  <c r="BL370" i="31"/>
  <c r="BK370" i="31" s="1"/>
  <c r="BJ370" i="31" s="1"/>
  <c r="I367" i="31"/>
  <c r="N373" i="31" s="1"/>
  <c r="AC367" i="31"/>
  <c r="AC373" i="31" s="1"/>
  <c r="DH330" i="31"/>
  <c r="AH282" i="31"/>
  <c r="AG282" i="31" s="1"/>
  <c r="AF282" i="31" s="1"/>
  <c r="AE282" i="31" s="1"/>
  <c r="AD282" i="31" s="1"/>
  <c r="AR370" i="31"/>
  <c r="AQ370" i="31" s="1"/>
  <c r="AP370" i="31" s="1"/>
  <c r="AO370" i="31" s="1"/>
  <c r="AC282" i="31"/>
  <c r="AB282" i="31" s="1"/>
  <c r="AA282" i="31" s="1"/>
  <c r="Z282" i="31" s="1"/>
  <c r="Y282" i="31" s="1"/>
  <c r="X282" i="31" s="1"/>
  <c r="W282" i="31" s="1"/>
  <c r="V282" i="31" s="1"/>
  <c r="U282" i="31" s="1"/>
  <c r="T282" i="31" s="1"/>
  <c r="X370" i="31"/>
  <c r="W370" i="31" s="1"/>
  <c r="V370" i="31" s="1"/>
  <c r="U370" i="31" s="1"/>
  <c r="BG297" i="31"/>
  <c r="DC336" i="31"/>
  <c r="I370" i="31"/>
  <c r="DC282" i="31"/>
  <c r="S282" i="31"/>
  <c r="R282" i="31" s="1"/>
  <c r="Q282" i="31" s="1"/>
  <c r="P282" i="31" s="1"/>
  <c r="O282" i="31" s="1"/>
  <c r="CK506" i="31"/>
  <c r="CU506" i="31"/>
  <c r="BT282" i="31"/>
  <c r="CN282" i="31"/>
  <c r="CN325" i="31"/>
  <c r="CN336" i="31"/>
  <c r="CD282" i="31"/>
  <c r="CI336" i="31"/>
  <c r="CI282" i="31"/>
  <c r="CI325" i="31"/>
  <c r="CI300" i="31"/>
  <c r="CI454" i="31"/>
  <c r="CN459" i="31" s="1"/>
  <c r="CP506" i="31"/>
  <c r="CN370" i="31"/>
  <c r="D367" i="31"/>
  <c r="BG395" i="31"/>
  <c r="BF395" i="31" s="1"/>
  <c r="BE395" i="31" s="1"/>
  <c r="BD395" i="31" s="1"/>
  <c r="BC395" i="31" s="1"/>
  <c r="BB395" i="31" s="1"/>
  <c r="BA395" i="31" s="1"/>
  <c r="AZ395" i="31" s="1"/>
  <c r="AY395" i="31" s="1"/>
  <c r="AX395" i="31" s="1"/>
  <c r="AW395" i="31" s="1"/>
  <c r="AV395" i="31" s="1"/>
  <c r="AU395" i="31" s="1"/>
  <c r="AT395" i="31" s="1"/>
  <c r="AS395" i="31" s="1"/>
  <c r="AR395" i="31" s="1"/>
  <c r="AQ395" i="31" s="1"/>
  <c r="AP395" i="31" s="1"/>
  <c r="AO395" i="31" s="1"/>
  <c r="AN395" i="31" s="1"/>
  <c r="AM395" i="31" s="1"/>
  <c r="AL395" i="31" s="1"/>
  <c r="AK395" i="31" s="1"/>
  <c r="AJ395" i="31" s="1"/>
  <c r="AI395" i="31" s="1"/>
  <c r="AH395" i="31" s="1"/>
  <c r="AG395" i="31" s="1"/>
  <c r="AF395" i="31" s="1"/>
  <c r="AE395" i="31" s="1"/>
  <c r="AD395" i="31" s="1"/>
  <c r="AC395" i="31" s="1"/>
  <c r="AB395" i="31" s="1"/>
  <c r="AA395" i="31" s="1"/>
  <c r="Z395" i="31" s="1"/>
  <c r="Y395" i="31" s="1"/>
  <c r="X395" i="31" s="1"/>
  <c r="W395" i="31" s="1"/>
  <c r="V395" i="31" s="1"/>
  <c r="U395" i="31" s="1"/>
  <c r="T395" i="31" s="1"/>
  <c r="S395" i="31" s="1"/>
  <c r="R395" i="31" s="1"/>
  <c r="Q395" i="31" s="1"/>
  <c r="P395" i="31" s="1"/>
  <c r="O395" i="31" s="1"/>
  <c r="N395" i="31" s="1"/>
  <c r="M395" i="31" s="1"/>
  <c r="L395" i="31" s="1"/>
  <c r="K395" i="31" s="1"/>
  <c r="J395" i="31" s="1"/>
  <c r="I395" i="31" s="1"/>
  <c r="BY455" i="31"/>
  <c r="BY460" i="31" s="1"/>
  <c r="CD336" i="31"/>
  <c r="CD325" i="31"/>
  <c r="BY367" i="31"/>
  <c r="BY373" i="31" s="1"/>
  <c r="CD370" i="31"/>
  <c r="D378" i="31"/>
  <c r="BT300" i="31"/>
  <c r="BS300" i="31" s="1"/>
  <c r="BR300" i="31" s="1"/>
  <c r="BO297" i="31"/>
  <c r="BO303" i="31" s="1"/>
  <c r="BG370" i="31"/>
  <c r="BF370" i="31" s="1"/>
  <c r="BE370" i="31" s="1"/>
  <c r="BD370" i="31" s="1"/>
  <c r="AM370" i="31"/>
  <c r="AL370" i="31" s="1"/>
  <c r="AK370" i="31" s="1"/>
  <c r="AJ370" i="31" s="1"/>
  <c r="S370" i="31"/>
  <c r="R370" i="31" s="1"/>
  <c r="Q370" i="31" s="1"/>
  <c r="P370" i="31" s="1"/>
  <c r="BL373" i="31"/>
  <c r="AX372" i="31"/>
  <c r="CI370" i="31"/>
  <c r="BL395" i="31"/>
  <c r="BK395" i="31" s="1"/>
  <c r="BY454" i="31"/>
  <c r="CA492" i="31"/>
  <c r="BQ384" i="31"/>
  <c r="BP384" i="31" s="1"/>
  <c r="CF487" i="31"/>
  <c r="CF492" i="31" s="1"/>
  <c r="AR373" i="31"/>
  <c r="AW370" i="31"/>
  <c r="AV370" i="31" s="1"/>
  <c r="AU370" i="31" s="1"/>
  <c r="AT370" i="31" s="1"/>
  <c r="AC370" i="31"/>
  <c r="AB370" i="31" s="1"/>
  <c r="AA370" i="31" s="1"/>
  <c r="Z370" i="31" s="1"/>
  <c r="BK373" i="31"/>
  <c r="AZ373" i="31"/>
  <c r="AH371" i="31"/>
  <c r="AC371" i="31"/>
  <c r="S371" i="31"/>
  <c r="CA409" i="31"/>
  <c r="BB300" i="31"/>
  <c r="BA300" i="31" s="1"/>
  <c r="AZ300" i="31" s="1"/>
  <c r="AY300" i="31" s="1"/>
  <c r="AX300" i="31" s="1"/>
  <c r="AW300" i="31" s="1"/>
  <c r="AV300" i="31" s="1"/>
  <c r="AU300" i="31" s="1"/>
  <c r="AT300" i="31" s="1"/>
  <c r="AS300" i="31" s="1"/>
  <c r="AR300" i="31" s="1"/>
  <c r="AQ300" i="31" s="1"/>
  <c r="AP300" i="31" s="1"/>
  <c r="AO300" i="31" s="1"/>
  <c r="AN300" i="31" s="1"/>
  <c r="AM300" i="31" s="1"/>
  <c r="AL300" i="31" s="1"/>
  <c r="AK300" i="31" s="1"/>
  <c r="AJ300" i="31" s="1"/>
  <c r="AI300" i="31" s="1"/>
  <c r="AH300" i="31" s="1"/>
  <c r="AG300" i="31" s="1"/>
  <c r="AF300" i="31" s="1"/>
  <c r="AE300" i="31" s="1"/>
  <c r="AD300" i="31" s="1"/>
  <c r="AC300" i="31" s="1"/>
  <c r="AB300" i="31" s="1"/>
  <c r="AA300" i="31" s="1"/>
  <c r="Z300" i="31" s="1"/>
  <c r="Y300" i="31" s="1"/>
  <c r="X300" i="31" s="1"/>
  <c r="W300" i="31" s="1"/>
  <c r="V300" i="31" s="1"/>
  <c r="U300" i="31" s="1"/>
  <c r="T300" i="31" s="1"/>
  <c r="S300" i="31" s="1"/>
  <c r="R300" i="31" s="1"/>
  <c r="Q300" i="31" s="1"/>
  <c r="P300" i="31" s="1"/>
  <c r="O300" i="31" s="1"/>
  <c r="BA373" i="31"/>
  <c r="AY373" i="31"/>
  <c r="BL300" i="31"/>
  <c r="S297" i="31"/>
  <c r="I297" i="31"/>
  <c r="BT373" i="31"/>
  <c r="BB370" i="31"/>
  <c r="BA370" i="31" s="1"/>
  <c r="AZ370" i="31" s="1"/>
  <c r="AY370" i="31" s="1"/>
  <c r="AH370" i="31"/>
  <c r="AG370" i="31" s="1"/>
  <c r="AF370" i="31" s="1"/>
  <c r="AE370" i="31" s="1"/>
  <c r="N370" i="31"/>
  <c r="M370" i="31" s="1"/>
  <c r="L370" i="31" s="1"/>
  <c r="K370" i="31" s="1"/>
  <c r="BH373" i="31"/>
  <c r="X297" i="31"/>
  <c r="N297" i="31"/>
  <c r="D297" i="31"/>
  <c r="AS372" i="31"/>
  <c r="BG300" i="31"/>
  <c r="BF300" i="31" s="1"/>
  <c r="BE300" i="31" s="1"/>
  <c r="BD300" i="31" s="1"/>
  <c r="BC300" i="31" s="1"/>
  <c r="AW373" i="31"/>
  <c r="I371" i="31"/>
  <c r="BQ367" i="31"/>
  <c r="AM373" i="31"/>
  <c r="BT325" i="31"/>
  <c r="BR460" i="31"/>
  <c r="BR459" i="31"/>
  <c r="BQ455" i="31"/>
  <c r="BQ460" i="31" s="1"/>
  <c r="BM456" i="31"/>
  <c r="BM462" i="31" s="1"/>
  <c r="BQ454" i="31"/>
  <c r="BQ459" i="31" s="1"/>
  <c r="BY297" i="31"/>
  <c r="BY303" i="31" s="1"/>
  <c r="BT336" i="31"/>
  <c r="AO394" i="31"/>
  <c r="AN394" i="31" s="1"/>
  <c r="BL297" i="31"/>
  <c r="BQ371" i="31"/>
  <c r="BP371" i="31" s="1"/>
  <c r="BP456" i="31"/>
  <c r="BO456" i="31"/>
  <c r="BN456" i="31"/>
  <c r="N300" i="31"/>
  <c r="M300" i="31" s="1"/>
  <c r="L300" i="31" s="1"/>
  <c r="K300" i="31" s="1"/>
  <c r="J300" i="31" s="1"/>
  <c r="I300" i="31" s="1"/>
  <c r="X371" i="31"/>
  <c r="N371" i="31"/>
  <c r="BR384" i="31"/>
  <c r="BP303" i="31"/>
  <c r="BN303" i="31"/>
  <c r="BB325" i="31"/>
  <c r="BX336" i="31"/>
  <c r="BX325" i="31"/>
  <c r="BY484" i="31"/>
  <c r="BS484" i="31"/>
  <c r="BY336" i="31"/>
  <c r="BY325" i="31"/>
  <c r="BU422" i="31"/>
  <c r="BY282" i="31"/>
  <c r="BY370" i="31"/>
  <c r="BY300" i="31"/>
  <c r="BR456" i="31"/>
  <c r="BY395" i="31"/>
  <c r="BS373" i="31"/>
  <c r="BR373" i="31" s="1"/>
  <c r="BX373" i="31"/>
  <c r="BS384" i="31"/>
  <c r="BX384" i="31"/>
  <c r="BU347" i="31"/>
  <c r="BZ347" i="31"/>
  <c r="BX314" i="31"/>
  <c r="BU447" i="31"/>
  <c r="BX282" i="31"/>
  <c r="BQ389" i="31"/>
  <c r="BW395" i="31"/>
  <c r="BX484" i="31"/>
  <c r="BS336" i="31"/>
  <c r="BS325" i="31"/>
  <c r="BS314" i="31"/>
  <c r="BS282" i="31"/>
  <c r="BF373" i="31"/>
  <c r="BE373" i="31"/>
  <c r="BD373" i="31"/>
  <c r="BC373" i="31"/>
  <c r="AX373" i="31"/>
  <c r="AS373" i="31"/>
  <c r="AN373" i="31"/>
  <c r="AK373" i="31"/>
  <c r="AJ373" i="31"/>
  <c r="AI373" i="31"/>
  <c r="AF373" i="31"/>
  <c r="AE373" i="31"/>
  <c r="AD373" i="31"/>
  <c r="AA373" i="31"/>
  <c r="Z373" i="31"/>
  <c r="Y373" i="31"/>
  <c r="V373" i="31"/>
  <c r="U373" i="31"/>
  <c r="T373" i="31"/>
  <c r="Q373" i="31"/>
  <c r="P373" i="31"/>
  <c r="O373" i="31"/>
  <c r="L373" i="31"/>
  <c r="K373" i="31"/>
  <c r="J373" i="31"/>
  <c r="BM271" i="31"/>
  <c r="BL384" i="31"/>
  <c r="BK384" i="31" s="1"/>
  <c r="BJ384" i="31" s="1"/>
  <c r="BI384" i="31" s="1"/>
  <c r="BG384" i="31"/>
  <c r="BF384" i="31" s="1"/>
  <c r="BE384" i="31" s="1"/>
  <c r="BD384" i="31" s="1"/>
  <c r="BC384" i="31" s="1"/>
  <c r="BB384" i="31"/>
  <c r="BA384" i="31" s="1"/>
  <c r="AZ384" i="31" s="1"/>
  <c r="AY384" i="31" s="1"/>
  <c r="AX384" i="31" s="1"/>
  <c r="AW384" i="31"/>
  <c r="AV384" i="31" s="1"/>
  <c r="AU384" i="31" s="1"/>
  <c r="AT384" i="31" s="1"/>
  <c r="AS384" i="31" s="1"/>
  <c r="AR384" i="31"/>
  <c r="AQ384" i="31" s="1"/>
  <c r="AP384" i="31" s="1"/>
  <c r="AO384" i="31" s="1"/>
  <c r="AN384" i="31" s="1"/>
  <c r="BV365" i="31"/>
  <c r="BU345" i="31"/>
  <c r="BV346" i="31"/>
  <c r="BV347" i="31"/>
  <c r="BT347" i="31"/>
  <c r="BO347" i="31"/>
  <c r="BV344" i="31"/>
  <c r="BQ295" i="31"/>
  <c r="BQ300" i="31" s="1"/>
  <c r="BP300" i="31" s="1"/>
  <c r="BO300" i="31" s="1"/>
  <c r="BN300" i="31" s="1"/>
  <c r="BM300" i="31" s="1"/>
  <c r="BQ336" i="31"/>
  <c r="BL336" i="31"/>
  <c r="BK336" i="31" s="1"/>
  <c r="BJ336" i="31" s="1"/>
  <c r="BG336" i="31"/>
  <c r="BF336" i="31" s="1"/>
  <c r="BE336" i="31" s="1"/>
  <c r="BD336" i="31" s="1"/>
  <c r="BC336" i="31" s="1"/>
  <c r="BB336" i="31"/>
  <c r="BA336" i="31" s="1"/>
  <c r="AZ336" i="31" s="1"/>
  <c r="AY336" i="31" s="1"/>
  <c r="AX336" i="31" s="1"/>
  <c r="AW336" i="31"/>
  <c r="BQ325" i="31"/>
  <c r="BL325" i="31"/>
  <c r="BK325" i="31" s="1"/>
  <c r="BJ325" i="31" s="1"/>
  <c r="BG325" i="31"/>
  <c r="BF325" i="31" s="1"/>
  <c r="BE325" i="31" s="1"/>
  <c r="BD325" i="31" s="1"/>
  <c r="BC325" i="31" s="1"/>
  <c r="BQ314" i="31"/>
  <c r="BL314" i="31"/>
  <c r="BK314" i="31" s="1"/>
  <c r="BJ314" i="31" s="1"/>
  <c r="BG314" i="31"/>
  <c r="BF314" i="31" s="1"/>
  <c r="BE314" i="31" s="1"/>
  <c r="BD314" i="31" s="1"/>
  <c r="BC314" i="31" s="1"/>
  <c r="BB297" i="31"/>
  <c r="BB314" i="31"/>
  <c r="BA314" i="31" s="1"/>
  <c r="AZ314" i="31" s="1"/>
  <c r="AY314" i="31" s="1"/>
  <c r="AX314" i="31" s="1"/>
  <c r="AW297" i="31"/>
  <c r="AW314" i="31"/>
  <c r="AV314" i="31" s="1"/>
  <c r="AU314" i="31" s="1"/>
  <c r="AT314" i="31" s="1"/>
  <c r="AS314" i="31" s="1"/>
  <c r="AR297" i="31"/>
  <c r="AR314" i="31"/>
  <c r="AQ314" i="31" s="1"/>
  <c r="AP314" i="31" s="1"/>
  <c r="AO314" i="31" s="1"/>
  <c r="AN314" i="31" s="1"/>
  <c r="AM297" i="31"/>
  <c r="AM314" i="31"/>
  <c r="AL314" i="31" s="1"/>
  <c r="AK314" i="31" s="1"/>
  <c r="AJ314" i="31" s="1"/>
  <c r="AI314" i="31" s="1"/>
  <c r="AH297" i="31"/>
  <c r="AH314" i="31"/>
  <c r="AG314" i="31" s="1"/>
  <c r="AF314" i="31" s="1"/>
  <c r="AE314" i="31" s="1"/>
  <c r="AD314" i="31" s="1"/>
  <c r="AC314" i="31" s="1"/>
  <c r="AB314" i="31" s="1"/>
  <c r="AA314" i="31" s="1"/>
  <c r="Z314" i="31" s="1"/>
  <c r="Y314" i="31" s="1"/>
  <c r="X314" i="31" s="1"/>
  <c r="W314" i="31" s="1"/>
  <c r="V314" i="31" s="1"/>
  <c r="U314" i="31" s="1"/>
  <c r="T314" i="31" s="1"/>
  <c r="S314" i="31" s="1"/>
  <c r="R314" i="31" s="1"/>
  <c r="Q314" i="31" s="1"/>
  <c r="P314" i="31" s="1"/>
  <c r="O314" i="31" s="1"/>
  <c r="N314" i="31" s="1"/>
  <c r="M314" i="31" s="1"/>
  <c r="L314" i="31" s="1"/>
  <c r="K314" i="31" s="1"/>
  <c r="J314" i="31" s="1"/>
  <c r="AC297" i="31"/>
  <c r="AJ393" i="31"/>
  <c r="AI393" i="31" s="1"/>
  <c r="AH393" i="31" s="1"/>
  <c r="AG393" i="31" s="1"/>
  <c r="AF393" i="31" s="1"/>
  <c r="AE393" i="31" s="1"/>
  <c r="AD393" i="31" s="1"/>
  <c r="AC393" i="31" s="1"/>
  <c r="AB393" i="31" s="1"/>
  <c r="AA393" i="31" s="1"/>
  <c r="Z393" i="31" s="1"/>
  <c r="Y393" i="31" s="1"/>
  <c r="X393" i="31" s="1"/>
  <c r="W393" i="31" s="1"/>
  <c r="V393" i="31" s="1"/>
  <c r="U393" i="31" s="1"/>
  <c r="T393" i="31" s="1"/>
  <c r="S393" i="31" s="1"/>
  <c r="R393" i="31" s="1"/>
  <c r="Q393" i="31" s="1"/>
  <c r="P393" i="31" s="1"/>
  <c r="O393" i="31" s="1"/>
  <c r="N393" i="31" s="1"/>
  <c r="M393" i="31" s="1"/>
  <c r="L393" i="31" s="1"/>
  <c r="K393" i="31" s="1"/>
  <c r="J393" i="31" s="1"/>
  <c r="AK394" i="31"/>
  <c r="BQ467" i="31"/>
  <c r="BK467" i="31"/>
  <c r="BL473" i="31"/>
  <c r="BU414" i="31"/>
  <c r="AV887" i="31"/>
  <c r="AV25" i="31" s="1"/>
  <c r="AV891" i="31"/>
  <c r="BQ301" i="31"/>
  <c r="BP301" i="31" s="1"/>
  <c r="BO301" i="31" s="1"/>
  <c r="BN301" i="31" s="1"/>
  <c r="BM301" i="31" s="1"/>
  <c r="BL301" i="31" s="1"/>
  <c r="BK301" i="31" s="1"/>
  <c r="BJ301" i="31" s="1"/>
  <c r="BI301" i="31" s="1"/>
  <c r="BH301" i="31" s="1"/>
  <c r="BG301" i="31" s="1"/>
  <c r="BF301" i="31" s="1"/>
  <c r="BE301" i="31" s="1"/>
  <c r="BQ282" i="31"/>
  <c r="BL282" i="31"/>
  <c r="BK282" i="31" s="1"/>
  <c r="BG282" i="31"/>
  <c r="BF282" i="31" s="1"/>
  <c r="BE282" i="31" s="1"/>
  <c r="BD282" i="31" s="1"/>
  <c r="BC282" i="31" s="1"/>
  <c r="BB282" i="31"/>
  <c r="BA282" i="31" s="1"/>
  <c r="AZ282" i="31" s="1"/>
  <c r="AY282" i="31" s="1"/>
  <c r="AX282" i="31" s="1"/>
  <c r="AW282" i="31"/>
  <c r="AV282" i="31" s="1"/>
  <c r="AU282" i="31" s="1"/>
  <c r="AT282" i="31" s="1"/>
  <c r="AS282" i="31" s="1"/>
  <c r="AR282" i="31"/>
  <c r="AQ282" i="31" s="1"/>
  <c r="AP282" i="31" s="1"/>
  <c r="AO282" i="31" s="1"/>
  <c r="AN282" i="31" s="1"/>
  <c r="N282" i="31"/>
  <c r="M282" i="31" s="1"/>
  <c r="L282" i="31" s="1"/>
  <c r="K282" i="31" s="1"/>
  <c r="J282" i="31" s="1"/>
  <c r="I282" i="31"/>
  <c r="BD371" i="31"/>
  <c r="BE372" i="31"/>
  <c r="BN271" i="31"/>
  <c r="BQ265" i="31"/>
  <c r="BQ268" i="31"/>
  <c r="AM384" i="31"/>
  <c r="AL384" i="31" s="1"/>
  <c r="AK384" i="31" s="1"/>
  <c r="AJ384" i="31" s="1"/>
  <c r="AI384" i="31" s="1"/>
  <c r="AH384" i="31"/>
  <c r="AG384" i="31" s="1"/>
  <c r="AF384" i="31" s="1"/>
  <c r="AE384" i="31" s="1"/>
  <c r="AD384" i="31" s="1"/>
  <c r="AC384" i="31" s="1"/>
  <c r="AB384" i="31" s="1"/>
  <c r="AA384" i="31" s="1"/>
  <c r="Z384" i="31" s="1"/>
  <c r="Y384" i="31" s="1"/>
  <c r="X384" i="31" s="1"/>
  <c r="W384" i="31" s="1"/>
  <c r="V384" i="31" s="1"/>
  <c r="U384" i="31" s="1"/>
  <c r="T384" i="31" s="1"/>
  <c r="S384" i="31" s="1"/>
  <c r="R384" i="31" s="1"/>
  <c r="Q384" i="31" s="1"/>
  <c r="P384" i="31" s="1"/>
  <c r="O384" i="31" s="1"/>
  <c r="N384" i="31" s="1"/>
  <c r="M384" i="31" s="1"/>
  <c r="L384" i="31" s="1"/>
  <c r="K384" i="31" s="1"/>
  <c r="J384" i="31" s="1"/>
  <c r="BJ373" i="31"/>
  <c r="BI373" i="31" s="1"/>
  <c r="BG373" i="31"/>
  <c r="AV373" i="31"/>
  <c r="AU373" i="31"/>
  <c r="AT373" i="31"/>
  <c r="AQ373" i="31"/>
  <c r="AL373" i="31"/>
  <c r="AG373" i="31"/>
  <c r="AB373" i="31"/>
  <c r="W373" i="31"/>
  <c r="R373" i="31"/>
  <c r="M373" i="31"/>
  <c r="BQ470" i="31"/>
  <c r="BB373" i="31"/>
  <c r="AP373" i="31"/>
  <c r="AO373" i="31"/>
  <c r="BM303" i="31"/>
  <c r="AM282" i="31"/>
  <c r="AL282" i="31" s="1"/>
  <c r="AK282" i="31" s="1"/>
  <c r="AJ282" i="31" s="1"/>
  <c r="AI282" i="31" s="1"/>
  <c r="S373" i="31" l="1"/>
  <c r="AH373" i="31"/>
  <c r="BL303" i="31"/>
  <c r="BK303" i="31" s="1"/>
  <c r="BJ303" i="31" s="1"/>
  <c r="BI303" i="31" s="1"/>
  <c r="BH303" i="31" s="1"/>
  <c r="I373" i="31"/>
  <c r="DM330" i="31"/>
  <c r="DW328" i="31"/>
  <c r="EB328" i="31" s="1"/>
  <c r="EG328" i="31" s="1"/>
  <c r="DH336" i="31"/>
  <c r="CI459" i="31"/>
  <c r="CK487" i="31"/>
  <c r="I384" i="31"/>
  <c r="BY459" i="31"/>
  <c r="CD459" i="31"/>
  <c r="CJ422" i="31"/>
  <c r="CK420" i="31"/>
  <c r="CP425" i="31" s="1"/>
  <c r="CF409" i="31"/>
  <c r="CF414" i="31" s="1"/>
  <c r="CF465" i="31"/>
  <c r="CJ470" i="31"/>
  <c r="CA414" i="31"/>
  <c r="I303" i="31"/>
  <c r="CE422" i="31"/>
  <c r="CF420" i="31"/>
  <c r="BQ456" i="31"/>
  <c r="CA306" i="31"/>
  <c r="CK306" i="31"/>
  <c r="CA442" i="31"/>
  <c r="BQ373" i="31"/>
  <c r="BP373" i="31" s="1"/>
  <c r="BO373" i="31" s="1"/>
  <c r="BN373" i="31" s="1"/>
  <c r="BM373" i="31" s="1"/>
  <c r="BK473" i="31"/>
  <c r="BQ473" i="31"/>
  <c r="BP473" i="31" s="1"/>
  <c r="BG303" i="31"/>
  <c r="BF303" i="31" s="1"/>
  <c r="BE303" i="31" s="1"/>
  <c r="BD303" i="31" s="1"/>
  <c r="BC303" i="31" s="1"/>
  <c r="BB303" i="31" s="1"/>
  <c r="BA303" i="31" s="1"/>
  <c r="AZ303" i="31" s="1"/>
  <c r="AY303" i="31" s="1"/>
  <c r="AX303" i="31" s="1"/>
  <c r="AW303" i="31" s="1"/>
  <c r="AV303" i="31" s="1"/>
  <c r="AU303" i="31" s="1"/>
  <c r="AT303" i="31" s="1"/>
  <c r="AS303" i="31" s="1"/>
  <c r="AR303" i="31" s="1"/>
  <c r="AQ303" i="31" s="1"/>
  <c r="AP303" i="31" s="1"/>
  <c r="AO303" i="31" s="1"/>
  <c r="AN303" i="31" s="1"/>
  <c r="AM303" i="31" s="1"/>
  <c r="AL303" i="31" s="1"/>
  <c r="AK303" i="31" s="1"/>
  <c r="AJ303" i="31" s="1"/>
  <c r="AI303" i="31" s="1"/>
  <c r="AH303" i="31" s="1"/>
  <c r="AG303" i="31" s="1"/>
  <c r="AF303" i="31" s="1"/>
  <c r="AE303" i="31" s="1"/>
  <c r="AD303" i="31" s="1"/>
  <c r="AC303" i="31" s="1"/>
  <c r="AB303" i="31" s="1"/>
  <c r="AA303" i="31" s="1"/>
  <c r="Z303" i="31" s="1"/>
  <c r="Y303" i="31" s="1"/>
  <c r="X303" i="31" s="1"/>
  <c r="W303" i="31" s="1"/>
  <c r="V303" i="31" s="1"/>
  <c r="U303" i="31" s="1"/>
  <c r="T303" i="31" s="1"/>
  <c r="S303" i="31" s="1"/>
  <c r="R303" i="31" s="1"/>
  <c r="Q303" i="31" s="1"/>
  <c r="P303" i="31" s="1"/>
  <c r="O303" i="31" s="1"/>
  <c r="N303" i="31" s="1"/>
  <c r="M303" i="31" s="1"/>
  <c r="BV422" i="31"/>
  <c r="AJ394" i="31"/>
  <c r="AI394" i="31" s="1"/>
  <c r="CA420" i="31"/>
  <c r="BZ422" i="31"/>
  <c r="BU279" i="31"/>
  <c r="BU322" i="31"/>
  <c r="BU333" i="31"/>
  <c r="BQ395" i="31"/>
  <c r="BQ271" i="31"/>
  <c r="BS269" i="31"/>
  <c r="BC371" i="31"/>
  <c r="BD372" i="31"/>
  <c r="BD301" i="31"/>
  <c r="BC301" i="31" s="1"/>
  <c r="BB301" i="31" s="1"/>
  <c r="BA301" i="31" s="1"/>
  <c r="AZ301" i="31" s="1"/>
  <c r="AY301" i="31" s="1"/>
  <c r="AX301" i="31" s="1"/>
  <c r="AW301" i="31" s="1"/>
  <c r="AV301" i="31" s="1"/>
  <c r="AU301" i="31" s="1"/>
  <c r="AT301" i="31" s="1"/>
  <c r="AS301" i="31" s="1"/>
  <c r="AR301" i="31" s="1"/>
  <c r="AQ301" i="31" s="1"/>
  <c r="AP301" i="31" s="1"/>
  <c r="BE302" i="31"/>
  <c r="AV893" i="31"/>
  <c r="BS470" i="31"/>
  <c r="BU311" i="31"/>
  <c r="BQ297" i="31"/>
  <c r="BV370" i="31"/>
  <c r="BU381" i="31"/>
  <c r="BU365" i="31"/>
  <c r="BU370" i="31" s="1"/>
  <c r="BU470" i="31"/>
  <c r="DM336" i="31" l="1"/>
  <c r="CJ428" i="31"/>
  <c r="CK422" i="31"/>
  <c r="CO428" i="31"/>
  <c r="CP311" i="31"/>
  <c r="CK409" i="31"/>
  <c r="CK414" i="31" s="1"/>
  <c r="CK492" i="31"/>
  <c r="CP492" i="31"/>
  <c r="CF425" i="31"/>
  <c r="CA422" i="31"/>
  <c r="CE428" i="31"/>
  <c r="CK425" i="31"/>
  <c r="CF442" i="31"/>
  <c r="CF447" i="31" s="1"/>
  <c r="BQ462" i="31"/>
  <c r="BP462" i="31" s="1"/>
  <c r="BO462" i="31" s="1"/>
  <c r="BN462" i="31" s="1"/>
  <c r="CA447" i="31"/>
  <c r="CA425" i="31"/>
  <c r="BZ428" i="31"/>
  <c r="CA311" i="31"/>
  <c r="CF422" i="31"/>
  <c r="CA328" i="31"/>
  <c r="CA317" i="31"/>
  <c r="CA274" i="31"/>
  <c r="BV428" i="31"/>
  <c r="BD302" i="31"/>
  <c r="BC302" i="31" s="1"/>
  <c r="BZ295" i="31"/>
  <c r="BQ303" i="31"/>
  <c r="BU300" i="31"/>
  <c r="AO301" i="31"/>
  <c r="AN301" i="31" s="1"/>
  <c r="AM301" i="31" s="1"/>
  <c r="AL301" i="31" s="1"/>
  <c r="AK301" i="31" s="1"/>
  <c r="AP302" i="31"/>
  <c r="BB371" i="31"/>
  <c r="BC372" i="31"/>
  <c r="BS456" i="31"/>
  <c r="BX462" i="31" s="1"/>
  <c r="BS459" i="31"/>
  <c r="CK428" i="31" l="1"/>
  <c r="CK442" i="31"/>
  <c r="CK447" i="31" s="1"/>
  <c r="CP409" i="31"/>
  <c r="CA428" i="31"/>
  <c r="CF428" i="31"/>
  <c r="CF274" i="31"/>
  <c r="CF317" i="31"/>
  <c r="CF322" i="31" s="1"/>
  <c r="CF328" i="31"/>
  <c r="CF333" i="31" s="1"/>
  <c r="CA322" i="31"/>
  <c r="CA295" i="31"/>
  <c r="CE295" i="31"/>
  <c r="CE300" i="31" s="1"/>
  <c r="AO302" i="31"/>
  <c r="AN302" i="31" s="1"/>
  <c r="BZ300" i="31"/>
  <c r="BT456" i="31"/>
  <c r="BT459" i="31"/>
  <c r="AJ301" i="31"/>
  <c r="AI301" i="31" s="1"/>
  <c r="AH301" i="31" s="1"/>
  <c r="AG301" i="31" s="1"/>
  <c r="AF301" i="31" s="1"/>
  <c r="AE301" i="31" s="1"/>
  <c r="AD301" i="31" s="1"/>
  <c r="AC301" i="31" s="1"/>
  <c r="AB301" i="31" s="1"/>
  <c r="AA301" i="31" s="1"/>
  <c r="Z301" i="31" s="1"/>
  <c r="Y301" i="31" s="1"/>
  <c r="X301" i="31" s="1"/>
  <c r="W301" i="31" s="1"/>
  <c r="V301" i="31" s="1"/>
  <c r="U301" i="31" s="1"/>
  <c r="T301" i="31" s="1"/>
  <c r="S301" i="31" s="1"/>
  <c r="R301" i="31" s="1"/>
  <c r="Q301" i="31" s="1"/>
  <c r="P301" i="31" s="1"/>
  <c r="O301" i="31" s="1"/>
  <c r="N301" i="31" s="1"/>
  <c r="M301" i="31" s="1"/>
  <c r="L301" i="31" s="1"/>
  <c r="K301" i="31" s="1"/>
  <c r="J301" i="31" s="1"/>
  <c r="I301" i="31" s="1"/>
  <c r="AK302" i="31"/>
  <c r="BT470" i="31"/>
  <c r="BU268" i="31"/>
  <c r="CF279" i="31" l="1"/>
  <c r="CP414" i="31"/>
  <c r="CP442" i="31"/>
  <c r="CP328" i="31"/>
  <c r="CU333" i="31" s="1"/>
  <c r="CK317" i="31"/>
  <c r="CK322" i="31" s="1"/>
  <c r="CK274" i="31"/>
  <c r="CJ295" i="31"/>
  <c r="CO300" i="31" s="1"/>
  <c r="CK328" i="31"/>
  <c r="AJ302" i="31"/>
  <c r="AI302" i="31" s="1"/>
  <c r="BT269" i="31"/>
  <c r="BV263" i="31"/>
  <c r="BV268" i="31" s="1"/>
  <c r="BT268" i="31"/>
  <c r="BT462" i="31"/>
  <c r="BS462" i="31" s="1"/>
  <c r="BR462" i="31" s="1"/>
  <c r="DC268" i="31" l="1"/>
  <c r="CK295" i="31"/>
  <c r="CK279" i="31"/>
  <c r="CP447" i="31"/>
  <c r="CP317" i="31"/>
  <c r="CK333" i="31"/>
  <c r="CP333" i="31"/>
  <c r="CP274" i="31"/>
  <c r="CJ300" i="31"/>
  <c r="BS268" i="31"/>
  <c r="CU279" i="31" l="1"/>
  <c r="CP279" i="31"/>
  <c r="CP322" i="31"/>
  <c r="CP428" i="31"/>
  <c r="BP253" i="31" l="1"/>
  <c r="BO253" i="31"/>
  <c r="BN253" i="31"/>
  <c r="BM253" i="31"/>
  <c r="BR258" i="31" s="1"/>
  <c r="BQ253" i="31" l="1"/>
  <c r="BP252" i="31"/>
  <c r="BO252" i="31"/>
  <c r="BN252" i="31"/>
  <c r="BM252" i="31"/>
  <c r="BP236" i="31"/>
  <c r="BO236" i="31"/>
  <c r="BN236" i="31"/>
  <c r="BM236" i="31"/>
  <c r="BK236" i="31"/>
  <c r="BJ236" i="31"/>
  <c r="BI236" i="31"/>
  <c r="BH236" i="31"/>
  <c r="BU235" i="31"/>
  <c r="BT235" i="31"/>
  <c r="BS235" i="31"/>
  <c r="BR235" i="31"/>
  <c r="BP235" i="31"/>
  <c r="BO235" i="31"/>
  <c r="BN235" i="31"/>
  <c r="BM235" i="31"/>
  <c r="BK235" i="31"/>
  <c r="BJ235" i="31"/>
  <c r="BI235" i="31"/>
  <c r="BH235" i="31"/>
  <c r="BU232" i="31"/>
  <c r="BT232" i="31"/>
  <c r="BS232" i="31"/>
  <c r="BR232" i="31"/>
  <c r="DD279" i="31" l="1"/>
  <c r="DD333" i="31"/>
  <c r="BW238" i="31"/>
  <c r="BZ238" i="31"/>
  <c r="BY238" i="31"/>
  <c r="BV232" i="31"/>
  <c r="BX238" i="31"/>
  <c r="BQ258" i="31"/>
  <c r="BP258" i="31" s="1"/>
  <c r="BO258" i="31" s="1"/>
  <c r="BN258" i="31" s="1"/>
  <c r="BM258" i="31" s="1"/>
  <c r="BQ252" i="31"/>
  <c r="BP232" i="31"/>
  <c r="BO232" i="31"/>
  <c r="BN232" i="31"/>
  <c r="BM232" i="31"/>
  <c r="BK232" i="31"/>
  <c r="BJ232" i="31"/>
  <c r="BI232" i="31"/>
  <c r="BH232" i="31"/>
  <c r="BG232" i="31"/>
  <c r="BA232" i="31"/>
  <c r="BB232" i="31" s="1"/>
  <c r="BV231" i="31"/>
  <c r="CA236" i="31" s="1"/>
  <c r="BQ231" i="31"/>
  <c r="BL231" i="31"/>
  <c r="BG231" i="31"/>
  <c r="BB231" i="31"/>
  <c r="BV230" i="31"/>
  <c r="BQ230" i="31"/>
  <c r="BL230" i="31"/>
  <c r="BG230" i="31"/>
  <c r="BB230" i="31"/>
  <c r="CA238" i="31" l="1"/>
  <c r="BL232" i="31"/>
  <c r="BT238" i="31"/>
  <c r="BL235" i="31"/>
  <c r="BQ235" i="31"/>
  <c r="BV235" i="31"/>
  <c r="CA235" i="31"/>
  <c r="BL236" i="31"/>
  <c r="BQ236" i="31"/>
  <c r="BV236" i="31"/>
  <c r="BN238" i="31"/>
  <c r="BM238" i="31" s="1"/>
  <c r="BI238" i="31"/>
  <c r="BH238" i="31" s="1"/>
  <c r="BO238" i="31"/>
  <c r="BJ238" i="31"/>
  <c r="BP238" i="31"/>
  <c r="BK238" i="31"/>
  <c r="BS258" i="31"/>
  <c r="BS238" i="31"/>
  <c r="BR238" i="31" s="1"/>
  <c r="BQ232" i="31"/>
  <c r="BQ254" i="31"/>
  <c r="DN333" i="31" l="1"/>
  <c r="BL238" i="31"/>
  <c r="BQ260" i="31"/>
  <c r="BV238" i="31"/>
  <c r="BU238" i="31" s="1"/>
  <c r="BQ238" i="31"/>
  <c r="DY328" i="31" l="1"/>
  <c r="BT258" i="31"/>
  <c r="CA225" i="31"/>
  <c r="BT225" i="31"/>
  <c r="BS225" i="31"/>
  <c r="BR225" i="31"/>
  <c r="BP225" i="31"/>
  <c r="BO225" i="31"/>
  <c r="BN225" i="31"/>
  <c r="BM225" i="31"/>
  <c r="BT224" i="31"/>
  <c r="BS224" i="31"/>
  <c r="BR224" i="31"/>
  <c r="BP224" i="31"/>
  <c r="BO224" i="31"/>
  <c r="BN224" i="31"/>
  <c r="BM224" i="31"/>
  <c r="BT221" i="31"/>
  <c r="BS221" i="31"/>
  <c r="BR221" i="31"/>
  <c r="BP221" i="31"/>
  <c r="BO221" i="31"/>
  <c r="BN221" i="31"/>
  <c r="BM221" i="31"/>
  <c r="BK221" i="31"/>
  <c r="BJ221" i="31"/>
  <c r="BI221" i="31"/>
  <c r="BH221" i="31"/>
  <c r="BF221" i="31"/>
  <c r="BE221" i="31"/>
  <c r="BD221" i="31"/>
  <c r="BC221" i="31"/>
  <c r="BB221" i="31"/>
  <c r="BQ220" i="31"/>
  <c r="BL220" i="31"/>
  <c r="BG220" i="31"/>
  <c r="BQ219" i="31"/>
  <c r="BL219" i="31"/>
  <c r="BG219" i="31"/>
  <c r="BU215" i="31"/>
  <c r="BT215" i="31"/>
  <c r="BS215" i="31"/>
  <c r="BR215" i="31"/>
  <c r="BP215" i="31"/>
  <c r="BO215" i="31"/>
  <c r="BN215" i="31"/>
  <c r="BM215" i="31"/>
  <c r="BK215" i="31"/>
  <c r="BJ215" i="31"/>
  <c r="BI215" i="31"/>
  <c r="BH215" i="31"/>
  <c r="BF215" i="31"/>
  <c r="BE215" i="31"/>
  <c r="BD215" i="31"/>
  <c r="ED328" i="31" l="1"/>
  <c r="EC328" i="31" s="1"/>
  <c r="DX328" i="31"/>
  <c r="CI254" i="31"/>
  <c r="BP227" i="31"/>
  <c r="BW227" i="31"/>
  <c r="BV224" i="31"/>
  <c r="BY254" i="31"/>
  <c r="CD260" i="31" s="1"/>
  <c r="BX227" i="31"/>
  <c r="BY227" i="31"/>
  <c r="BR227" i="31"/>
  <c r="BS227" i="31"/>
  <c r="BT227" i="31"/>
  <c r="BV225" i="31"/>
  <c r="BU225" i="31" s="1"/>
  <c r="BG221" i="31"/>
  <c r="BO227" i="31"/>
  <c r="BN227" i="31" s="1"/>
  <c r="BL221" i="31"/>
  <c r="BQ221" i="31"/>
  <c r="BQ224" i="31"/>
  <c r="BQ225" i="31"/>
  <c r="BQ226" i="31" s="1"/>
  <c r="EC333" i="31" l="1"/>
  <c r="EI328" i="31"/>
  <c r="DX333" i="31"/>
  <c r="CI260" i="31"/>
  <c r="CN260" i="31"/>
  <c r="CS197" i="31"/>
  <c r="CS198" i="31" s="1"/>
  <c r="CI193" i="31"/>
  <c r="CN199" i="31" s="1"/>
  <c r="CD193" i="31"/>
  <c r="BQ227" i="31"/>
  <c r="BL227" i="31"/>
  <c r="BV221" i="31"/>
  <c r="BU211" i="31"/>
  <c r="BT211" i="31"/>
  <c r="BS211" i="31"/>
  <c r="BR211" i="31"/>
  <c r="BP211" i="31"/>
  <c r="BO211" i="31"/>
  <c r="BN211" i="31"/>
  <c r="BM211" i="31"/>
  <c r="BK211" i="31"/>
  <c r="BJ211" i="31"/>
  <c r="BI211" i="31"/>
  <c r="BI212" i="31" s="1"/>
  <c r="AV211" i="31"/>
  <c r="AU211" i="31"/>
  <c r="AT211" i="31"/>
  <c r="AS211" i="31"/>
  <c r="AQ211" i="31"/>
  <c r="AP211" i="31"/>
  <c r="AO211" i="31"/>
  <c r="AN211" i="31"/>
  <c r="AL211" i="31"/>
  <c r="AK211" i="31"/>
  <c r="AJ211" i="31"/>
  <c r="AI211" i="31"/>
  <c r="AG211" i="31"/>
  <c r="AF211" i="31"/>
  <c r="AE211" i="31"/>
  <c r="AD211" i="31"/>
  <c r="AB211" i="31"/>
  <c r="AA211" i="31"/>
  <c r="Z211" i="31"/>
  <c r="Y211" i="31"/>
  <c r="W211" i="31"/>
  <c r="V211" i="31"/>
  <c r="U211" i="31"/>
  <c r="T211" i="31"/>
  <c r="R211" i="31"/>
  <c r="Q211" i="31"/>
  <c r="P211" i="31"/>
  <c r="O211" i="31"/>
  <c r="M211" i="31"/>
  <c r="L211" i="31"/>
  <c r="K211" i="31"/>
  <c r="J211" i="31"/>
  <c r="BU210" i="31"/>
  <c r="BT210" i="31"/>
  <c r="BS210" i="31"/>
  <c r="BR210" i="31"/>
  <c r="BP210" i="31"/>
  <c r="BO210" i="31"/>
  <c r="BN210" i="31"/>
  <c r="BM210" i="31"/>
  <c r="BK210" i="31"/>
  <c r="BJ210" i="31"/>
  <c r="BI210" i="31"/>
  <c r="EJ328" i="31" l="1"/>
  <c r="EH328" i="31"/>
  <c r="CS199" i="31"/>
  <c r="CI199" i="31"/>
  <c r="BU224" i="31"/>
  <c r="BU221" i="31"/>
  <c r="CA221" i="31"/>
  <c r="BV227" i="31"/>
  <c r="BU209" i="31"/>
  <c r="BT209" i="31"/>
  <c r="BR209" i="31"/>
  <c r="BP209" i="31"/>
  <c r="BO209" i="31"/>
  <c r="BN209" i="31"/>
  <c r="BM209" i="31"/>
  <c r="EH333" i="31" l="1"/>
  <c r="CA227" i="31"/>
  <c r="BZ227" i="31"/>
  <c r="BU227" i="31"/>
  <c r="BK209" i="31"/>
  <c r="BJ209" i="31"/>
  <c r="BI209" i="31"/>
  <c r="BU208" i="31" l="1"/>
  <c r="BT208" i="31"/>
  <c r="BR208" i="31"/>
  <c r="BP208" i="31"/>
  <c r="BO208" i="31"/>
  <c r="BN208" i="31"/>
  <c r="BM208" i="31"/>
  <c r="BK208" i="31"/>
  <c r="BJ208" i="31"/>
  <c r="BI208" i="31"/>
  <c r="BH208" i="31"/>
  <c r="BF208" i="31"/>
  <c r="BE208" i="31"/>
  <c r="BD208" i="31"/>
  <c r="BC208" i="31"/>
  <c r="BA208" i="31"/>
  <c r="AZ208" i="31"/>
  <c r="AY208" i="31"/>
  <c r="AX208" i="31"/>
  <c r="AV208" i="31"/>
  <c r="AU208" i="31"/>
  <c r="AT208" i="31"/>
  <c r="AS208" i="31"/>
  <c r="AQ208" i="31"/>
  <c r="AP208" i="31"/>
  <c r="AO208" i="31"/>
  <c r="AN208" i="31"/>
  <c r="AL208" i="31"/>
  <c r="AK208" i="31"/>
  <c r="AJ208" i="31"/>
  <c r="AI208" i="31"/>
  <c r="AG208" i="31"/>
  <c r="AF208" i="31"/>
  <c r="AE208" i="31"/>
  <c r="AD208" i="31"/>
  <c r="AB208" i="31"/>
  <c r="AA208" i="31"/>
  <c r="Z208" i="31"/>
  <c r="Y208" i="31"/>
  <c r="W208" i="31"/>
  <c r="V208" i="31"/>
  <c r="U208" i="31"/>
  <c r="T208" i="31"/>
  <c r="R208" i="31"/>
  <c r="Q208" i="31"/>
  <c r="P208" i="31"/>
  <c r="O208" i="31"/>
  <c r="M208" i="31"/>
  <c r="L208" i="31"/>
  <c r="K208" i="31"/>
  <c r="J208" i="31"/>
  <c r="BT205" i="31"/>
  <c r="BR205" i="31"/>
  <c r="BP205" i="31"/>
  <c r="BO205" i="31"/>
  <c r="BN205" i="31"/>
  <c r="BM205" i="31"/>
  <c r="BK205" i="31"/>
  <c r="BJ205" i="31"/>
  <c r="BI205" i="31"/>
  <c r="BH205" i="31"/>
  <c r="BF205" i="31"/>
  <c r="BE205" i="31"/>
  <c r="BD205" i="31"/>
  <c r="AV205" i="31"/>
  <c r="AU205" i="31"/>
  <c r="AT205" i="31"/>
  <c r="AS205" i="31"/>
  <c r="AQ205" i="31"/>
  <c r="AP205" i="31"/>
  <c r="AO205" i="31"/>
  <c r="AN205" i="31"/>
  <c r="AL205" i="31"/>
  <c r="AK205" i="31"/>
  <c r="AJ205" i="31"/>
  <c r="AI205" i="31"/>
  <c r="AG205" i="31"/>
  <c r="AF205" i="31"/>
  <c r="AE205" i="31"/>
  <c r="AD205" i="31"/>
  <c r="AB205" i="31"/>
  <c r="AA205" i="31"/>
  <c r="Z205" i="31"/>
  <c r="Y205" i="31"/>
  <c r="W205" i="31"/>
  <c r="V205" i="31"/>
  <c r="U205" i="31"/>
  <c r="T205" i="31"/>
  <c r="R205" i="31"/>
  <c r="Q205" i="31"/>
  <c r="P205" i="31"/>
  <c r="O205" i="31"/>
  <c r="M205" i="31"/>
  <c r="L205" i="31"/>
  <c r="K205" i="31"/>
  <c r="J205" i="31"/>
  <c r="H205" i="31"/>
  <c r="G205" i="31"/>
  <c r="F205" i="31"/>
  <c r="E205" i="31"/>
  <c r="BV204" i="31"/>
  <c r="BQ204" i="31"/>
  <c r="BL204" i="31"/>
  <c r="BG204" i="31"/>
  <c r="BB204" i="31"/>
  <c r="BP213" i="31" l="1"/>
  <c r="BO213" i="31"/>
  <c r="BR213" i="31"/>
  <c r="BS213" i="31"/>
  <c r="BV211" i="31"/>
  <c r="CA211" i="31"/>
  <c r="BM213" i="31"/>
  <c r="BN213" i="31"/>
  <c r="BV203" i="31"/>
  <c r="CA210" i="31" s="1"/>
  <c r="BQ203" i="31"/>
  <c r="BL203" i="31"/>
  <c r="BC203" i="31"/>
  <c r="BA203" i="31"/>
  <c r="AZ203" i="31"/>
  <c r="AY203" i="31"/>
  <c r="AX203" i="31"/>
  <c r="AW203" i="31"/>
  <c r="AR203" i="31"/>
  <c r="AM203" i="31"/>
  <c r="AH203" i="31"/>
  <c r="AC203" i="31"/>
  <c r="X203" i="31"/>
  <c r="S203" i="31"/>
  <c r="N203" i="31"/>
  <c r="I203" i="31"/>
  <c r="D203" i="31" s="1"/>
  <c r="BV202" i="31"/>
  <c r="BQ202" i="31"/>
  <c r="BL202" i="31"/>
  <c r="BG202" i="31"/>
  <c r="BB202" i="31"/>
  <c r="AW202" i="31"/>
  <c r="AR202" i="31"/>
  <c r="AM202" i="31"/>
  <c r="AH202" i="31"/>
  <c r="AC202" i="31"/>
  <c r="X202" i="31"/>
  <c r="S202" i="31"/>
  <c r="N202" i="31"/>
  <c r="I202" i="31"/>
  <c r="D202" i="31" s="1"/>
  <c r="D205" i="31" l="1"/>
  <c r="S211" i="31"/>
  <c r="AC211" i="31"/>
  <c r="AM211" i="31"/>
  <c r="N211" i="31"/>
  <c r="X211" i="31"/>
  <c r="AH211" i="31"/>
  <c r="N208" i="31"/>
  <c r="I205" i="31"/>
  <c r="S208" i="31"/>
  <c r="N205" i="31"/>
  <c r="X208" i="31"/>
  <c r="S205" i="31"/>
  <c r="AC208" i="31"/>
  <c r="X205" i="31"/>
  <c r="AH208" i="31"/>
  <c r="AC205" i="31"/>
  <c r="AM208" i="31"/>
  <c r="AH205" i="31"/>
  <c r="AR208" i="31"/>
  <c r="AM205" i="31"/>
  <c r="AW208" i="31"/>
  <c r="AR205" i="31"/>
  <c r="BB208" i="31"/>
  <c r="AW205" i="31"/>
  <c r="BG208" i="31"/>
  <c r="BL208" i="31"/>
  <c r="BQ208" i="31"/>
  <c r="BL205" i="31"/>
  <c r="BV208" i="31"/>
  <c r="BQ205" i="31"/>
  <c r="BV205" i="31"/>
  <c r="AR211" i="31"/>
  <c r="AW211" i="31"/>
  <c r="AX886" i="31"/>
  <c r="AX24" i="31" s="1"/>
  <c r="AX215" i="31"/>
  <c r="BC211" i="31"/>
  <c r="BC212" i="31" s="1"/>
  <c r="AX211" i="31"/>
  <c r="AX205" i="31"/>
  <c r="AY886" i="31"/>
  <c r="AY24" i="31" s="1"/>
  <c r="AY215" i="31"/>
  <c r="BD211" i="31"/>
  <c r="BD212" i="31" s="1"/>
  <c r="AY211" i="31"/>
  <c r="BD210" i="31"/>
  <c r="AY205" i="31"/>
  <c r="AZ886" i="31"/>
  <c r="AZ24" i="31" s="1"/>
  <c r="AZ215" i="31"/>
  <c r="BE211" i="31"/>
  <c r="BE212" i="31" s="1"/>
  <c r="AZ211" i="31"/>
  <c r="BE210" i="31"/>
  <c r="AZ205" i="31"/>
  <c r="BA886" i="31"/>
  <c r="BA24" i="31" s="1"/>
  <c r="BA215" i="31"/>
  <c r="BF211" i="31"/>
  <c r="BF212" i="31" s="1"/>
  <c r="BA211" i="31"/>
  <c r="BF210" i="31"/>
  <c r="BA205" i="31"/>
  <c r="BC215" i="31"/>
  <c r="BH211" i="31"/>
  <c r="BH212" i="31" s="1"/>
  <c r="BH210" i="31"/>
  <c r="BC210" i="31"/>
  <c r="BH209" i="31"/>
  <c r="BC205" i="31"/>
  <c r="BL215" i="31"/>
  <c r="BQ211" i="31"/>
  <c r="BQ209" i="31"/>
  <c r="BQ215" i="31"/>
  <c r="BQ210" i="31"/>
  <c r="BV209" i="31"/>
  <c r="BV215" i="31"/>
  <c r="BV210" i="31"/>
  <c r="BB203" i="31"/>
  <c r="BG203" i="31"/>
  <c r="DD224" i="31" l="1"/>
  <c r="BQ217" i="31"/>
  <c r="BG215" i="31"/>
  <c r="BL211" i="31"/>
  <c r="BG210" i="31"/>
  <c r="BL209" i="31"/>
  <c r="BB215" i="31"/>
  <c r="BG211" i="31"/>
  <c r="BG209" i="31"/>
  <c r="BF209" i="31" s="1"/>
  <c r="BE209" i="31" s="1"/>
  <c r="BD209" i="31" s="1"/>
  <c r="BC209" i="31" s="1"/>
  <c r="BA887" i="31"/>
  <c r="BA25" i="31" s="1"/>
  <c r="BA891" i="31"/>
  <c r="AZ887" i="31"/>
  <c r="AZ25" i="31" s="1"/>
  <c r="AZ891" i="31"/>
  <c r="AY887" i="31"/>
  <c r="AY25" i="31" s="1"/>
  <c r="AY891" i="31"/>
  <c r="BC213" i="31"/>
  <c r="AX213" i="31"/>
  <c r="AX887" i="31"/>
  <c r="AX25" i="31" s="1"/>
  <c r="AX891" i="31"/>
  <c r="BU205" i="31"/>
  <c r="BV213" i="31"/>
  <c r="BQ213" i="31"/>
  <c r="AW213" i="31"/>
  <c r="AV213" i="31" s="1"/>
  <c r="AU213" i="31" s="1"/>
  <c r="AT213" i="31" s="1"/>
  <c r="AS213" i="31" s="1"/>
  <c r="AR213" i="31"/>
  <c r="AQ213" i="31" s="1"/>
  <c r="AP213" i="31" s="1"/>
  <c r="AO213" i="31" s="1"/>
  <c r="AN213" i="31" s="1"/>
  <c r="BL210" i="31"/>
  <c r="BB209" i="31"/>
  <c r="BB211" i="31"/>
  <c r="BG205" i="31"/>
  <c r="BB205" i="31"/>
  <c r="AM213" i="31"/>
  <c r="AL213" i="31" s="1"/>
  <c r="AK213" i="31" s="1"/>
  <c r="AJ213" i="31" s="1"/>
  <c r="AI213" i="31" s="1"/>
  <c r="AH213" i="31"/>
  <c r="AG213" i="31" s="1"/>
  <c r="AF213" i="31" s="1"/>
  <c r="AE213" i="31" s="1"/>
  <c r="AD213" i="31" s="1"/>
  <c r="AC213" i="31" s="1"/>
  <c r="AB213" i="31" s="1"/>
  <c r="AA213" i="31" s="1"/>
  <c r="Z213" i="31" s="1"/>
  <c r="Y213" i="31" s="1"/>
  <c r="X213" i="31" s="1"/>
  <c r="W213" i="31" s="1"/>
  <c r="V213" i="31" s="1"/>
  <c r="U213" i="31" s="1"/>
  <c r="T213" i="31" s="1"/>
  <c r="S213" i="31" s="1"/>
  <c r="R213" i="31" s="1"/>
  <c r="Q213" i="31" s="1"/>
  <c r="P213" i="31" s="1"/>
  <c r="O213" i="31" s="1"/>
  <c r="N213" i="31" s="1"/>
  <c r="M213" i="31" s="1"/>
  <c r="L213" i="31" s="1"/>
  <c r="K213" i="31" s="1"/>
  <c r="J213" i="31" s="1"/>
  <c r="I213" i="31" s="1"/>
  <c r="BU213" i="31" l="1"/>
  <c r="BT213" i="31" s="1"/>
  <c r="BG213" i="31"/>
  <c r="BF213" i="31" s="1"/>
  <c r="BE213" i="31" s="1"/>
  <c r="BD213" i="31" s="1"/>
  <c r="BL213" i="31"/>
  <c r="BK213" i="31" s="1"/>
  <c r="BJ213" i="31" s="1"/>
  <c r="BI213" i="31" s="1"/>
  <c r="BH213" i="31" s="1"/>
  <c r="BA893" i="31"/>
  <c r="AZ893" i="31" s="1"/>
  <c r="AY893" i="31" s="1"/>
  <c r="AX893" i="31" s="1"/>
  <c r="BB213" i="31"/>
  <c r="BA213" i="31" s="1"/>
  <c r="AZ213" i="31" s="1"/>
  <c r="AY213" i="31" s="1"/>
  <c r="BP193" i="31" l="1"/>
  <c r="BO193" i="31"/>
  <c r="BN193" i="31"/>
  <c r="BM193" i="31"/>
  <c r="DN224" i="31" l="1"/>
  <c r="BP254" i="31"/>
  <c r="BO254" i="31" l="1"/>
  <c r="BN254" i="31" s="1"/>
  <c r="BM254" i="31" s="1"/>
  <c r="BP260" i="31"/>
  <c r="BQ192" i="31"/>
  <c r="BK192" i="31"/>
  <c r="BJ192" i="31"/>
  <c r="BI192" i="31"/>
  <c r="BH192" i="31"/>
  <c r="BF192" i="31"/>
  <c r="BE192" i="31"/>
  <c r="BD192" i="31"/>
  <c r="BC192" i="31"/>
  <c r="BA192" i="31"/>
  <c r="AZ192" i="31"/>
  <c r="AY192" i="31"/>
  <c r="AX192" i="31"/>
  <c r="AW192" i="31"/>
  <c r="AV192" i="31"/>
  <c r="AU192" i="31"/>
  <c r="AT192" i="31"/>
  <c r="AS192" i="31"/>
  <c r="AR192" i="31"/>
  <c r="AQ192" i="31"/>
  <c r="AP192" i="31"/>
  <c r="AO192" i="31"/>
  <c r="AN192" i="31"/>
  <c r="AM192" i="31"/>
  <c r="AL192" i="31"/>
  <c r="AK192" i="31"/>
  <c r="AJ192" i="31"/>
  <c r="AI192" i="31"/>
  <c r="AH192" i="31"/>
  <c r="AG192" i="31"/>
  <c r="AF192" i="31"/>
  <c r="AE192" i="31"/>
  <c r="AD192" i="31"/>
  <c r="AC192" i="31"/>
  <c r="AB192" i="31"/>
  <c r="AA192" i="31"/>
  <c r="Z192" i="31"/>
  <c r="Y192" i="31"/>
  <c r="X192" i="31"/>
  <c r="W192" i="31"/>
  <c r="V192" i="31"/>
  <c r="U192" i="31"/>
  <c r="T192" i="31"/>
  <c r="S192" i="31"/>
  <c r="R192" i="31"/>
  <c r="Q192" i="31"/>
  <c r="P192" i="31"/>
  <c r="O192" i="31"/>
  <c r="N192" i="31"/>
  <c r="M192" i="31"/>
  <c r="L192" i="31"/>
  <c r="K192" i="31"/>
  <c r="J192" i="31"/>
  <c r="I192" i="31"/>
  <c r="H192" i="31"/>
  <c r="G192" i="31"/>
  <c r="F192" i="31"/>
  <c r="E192" i="31"/>
  <c r="D192" i="31"/>
  <c r="BO260" i="31" l="1"/>
  <c r="BN260" i="31" s="1"/>
  <c r="AL197" i="31"/>
  <c r="AK197" i="31" s="1"/>
  <c r="AJ197" i="31" s="1"/>
  <c r="AI197" i="31" s="1"/>
  <c r="AH197" i="31" s="1"/>
  <c r="AG197" i="31" s="1"/>
  <c r="AF197" i="31" s="1"/>
  <c r="AE197" i="31" s="1"/>
  <c r="AD197" i="31" s="1"/>
  <c r="AC197" i="31" s="1"/>
  <c r="AB197" i="31" s="1"/>
  <c r="AA197" i="31" s="1"/>
  <c r="Z197" i="31" s="1"/>
  <c r="Y197" i="31" s="1"/>
  <c r="X197" i="31" s="1"/>
  <c r="W197" i="31" s="1"/>
  <c r="V197" i="31" s="1"/>
  <c r="U197" i="31" s="1"/>
  <c r="T197" i="31" s="1"/>
  <c r="S197" i="31" s="1"/>
  <c r="R197" i="31" s="1"/>
  <c r="Q197" i="31" s="1"/>
  <c r="P197" i="31" s="1"/>
  <c r="O197" i="31" s="1"/>
  <c r="N197" i="31" s="1"/>
  <c r="M197" i="31" s="1"/>
  <c r="L197" i="31" s="1"/>
  <c r="K197" i="31" s="1"/>
  <c r="J197" i="31" s="1"/>
  <c r="I197" i="31" s="1"/>
  <c r="AQ197" i="31"/>
  <c r="AP197" i="31" s="1"/>
  <c r="AO197" i="31" s="1"/>
  <c r="AN197" i="31" s="1"/>
  <c r="AM197" i="31" s="1"/>
  <c r="AM198" i="31" s="1"/>
  <c r="AR197" i="31"/>
  <c r="AR198" i="31" s="1"/>
  <c r="AS197" i="31"/>
  <c r="AS198" i="31" s="1"/>
  <c r="AT197" i="31"/>
  <c r="AT198" i="31" s="1"/>
  <c r="AU197" i="31"/>
  <c r="AU198" i="31" s="1"/>
  <c r="AW197" i="31"/>
  <c r="AX197" i="31"/>
  <c r="AX198" i="31" s="1"/>
  <c r="AY197" i="31"/>
  <c r="AY198" i="31" s="1"/>
  <c r="AZ197" i="31"/>
  <c r="AZ198" i="31" s="1"/>
  <c r="BF197" i="31"/>
  <c r="BB192" i="31"/>
  <c r="BH197" i="31"/>
  <c r="BG192" i="31"/>
  <c r="BM197" i="31"/>
  <c r="BM198" i="31" s="1"/>
  <c r="BN197" i="31"/>
  <c r="BO197" i="31"/>
  <c r="BO198" i="31" s="1"/>
  <c r="BP197" i="31"/>
  <c r="BP198" i="31" s="1"/>
  <c r="BL192" i="31"/>
  <c r="BM260" i="31"/>
  <c r="AL198" i="31" l="1"/>
  <c r="AK198" i="31" s="1"/>
  <c r="AJ198" i="31" s="1"/>
  <c r="AI198" i="31" s="1"/>
  <c r="AQ198" i="31"/>
  <c r="AP198" i="31" s="1"/>
  <c r="AO198" i="31" s="1"/>
  <c r="AN198" i="31" s="1"/>
  <c r="BQ197" i="31"/>
  <c r="BQ198" i="31" s="1"/>
  <c r="BL197" i="31"/>
  <c r="BK197" i="31" s="1"/>
  <c r="BJ197" i="31" s="1"/>
  <c r="BI197" i="31" s="1"/>
  <c r="BI198" i="31" s="1"/>
  <c r="BH198" i="31" s="1"/>
  <c r="BG197" i="31"/>
  <c r="BG198" i="31" s="1"/>
  <c r="BE197" i="31"/>
  <c r="BF198" i="31"/>
  <c r="AV197" i="31"/>
  <c r="AV198" i="31" s="1"/>
  <c r="AW198" i="31"/>
  <c r="BB197" i="31"/>
  <c r="BR196" i="31" l="1"/>
  <c r="BR193" i="31"/>
  <c r="BA197" i="31"/>
  <c r="BA198" i="31" s="1"/>
  <c r="BB198" i="31"/>
  <c r="BD197" i="31"/>
  <c r="BE198" i="31"/>
  <c r="BQ191" i="31"/>
  <c r="BK191" i="31"/>
  <c r="BJ191" i="31"/>
  <c r="BI191" i="31"/>
  <c r="BH191" i="31"/>
  <c r="BF191" i="31"/>
  <c r="BF193" i="31" s="1"/>
  <c r="BE191" i="31"/>
  <c r="BE193" i="31" s="1"/>
  <c r="BD191" i="31"/>
  <c r="BD193" i="31" s="1"/>
  <c r="BC191" i="31"/>
  <c r="BA191" i="31"/>
  <c r="BA193" i="31" s="1"/>
  <c r="AZ191" i="31"/>
  <c r="AZ193" i="31" s="1"/>
  <c r="AY191" i="31"/>
  <c r="AY193" i="31" s="1"/>
  <c r="BF199" i="31" l="1"/>
  <c r="BD199" i="31"/>
  <c r="BE199" i="31"/>
  <c r="BB191" i="31"/>
  <c r="BB193" i="31" s="1"/>
  <c r="BC193" i="31"/>
  <c r="BG191" i="31"/>
  <c r="BM196" i="31"/>
  <c r="BH193" i="31"/>
  <c r="BM199" i="31" s="1"/>
  <c r="BN196" i="31"/>
  <c r="BI193" i="31"/>
  <c r="BN199" i="31" s="1"/>
  <c r="BO196" i="31"/>
  <c r="BJ193" i="31"/>
  <c r="BP196" i="31"/>
  <c r="BK193" i="31"/>
  <c r="BP199" i="31" s="1"/>
  <c r="BL191" i="31"/>
  <c r="BQ193" i="31"/>
  <c r="BC197" i="31"/>
  <c r="BC198" i="31" s="1"/>
  <c r="BD198" i="31"/>
  <c r="BR254" i="31"/>
  <c r="BW260" i="31" s="1"/>
  <c r="BR199" i="31"/>
  <c r="AX191" i="31"/>
  <c r="AV191" i="31"/>
  <c r="AV193" i="31" s="1"/>
  <c r="AU191" i="31"/>
  <c r="AU193" i="31" s="1"/>
  <c r="AZ199" i="31" s="1"/>
  <c r="AT191" i="31"/>
  <c r="AT193" i="31" s="1"/>
  <c r="AY199" i="31" s="1"/>
  <c r="AS191" i="31"/>
  <c r="AS193" i="31" s="1"/>
  <c r="AR191" i="31"/>
  <c r="AR193" i="31" s="1"/>
  <c r="AQ191" i="31"/>
  <c r="AQ193" i="31" s="1"/>
  <c r="AP191" i="31"/>
  <c r="AP193" i="31" s="1"/>
  <c r="AO191" i="31"/>
  <c r="AO193" i="31" s="1"/>
  <c r="AN191" i="31"/>
  <c r="AN193" i="31" s="1"/>
  <c r="AM191" i="31"/>
  <c r="AM193" i="31" s="1"/>
  <c r="AL191" i="31"/>
  <c r="AL193" i="31" s="1"/>
  <c r="AK191" i="31"/>
  <c r="AK193" i="31" s="1"/>
  <c r="AJ191" i="31"/>
  <c r="AJ193" i="31" s="1"/>
  <c r="AI191" i="31"/>
  <c r="AG191" i="31"/>
  <c r="AG193" i="31" s="1"/>
  <c r="AF191" i="31"/>
  <c r="AF193" i="31" s="1"/>
  <c r="AE191" i="31"/>
  <c r="AE193" i="31" s="1"/>
  <c r="AD191" i="31"/>
  <c r="AB191" i="31"/>
  <c r="AB193" i="31" s="1"/>
  <c r="AA191" i="31"/>
  <c r="AA193" i="31" s="1"/>
  <c r="Z191" i="31"/>
  <c r="Z193" i="31" s="1"/>
  <c r="Y191" i="31"/>
  <c r="W191" i="31"/>
  <c r="W193" i="31" s="1"/>
  <c r="V191" i="31"/>
  <c r="V193" i="31" s="1"/>
  <c r="U191" i="31"/>
  <c r="U193" i="31" s="1"/>
  <c r="T191" i="31"/>
  <c r="R191" i="31"/>
  <c r="R193" i="31" s="1"/>
  <c r="Q191" i="31"/>
  <c r="Q193" i="31" s="1"/>
  <c r="P191" i="31"/>
  <c r="P193" i="31" s="1"/>
  <c r="O191" i="31"/>
  <c r="M191" i="31"/>
  <c r="M193" i="31" s="1"/>
  <c r="L191" i="31"/>
  <c r="L193" i="31" s="1"/>
  <c r="K191" i="31"/>
  <c r="K193" i="31" s="1"/>
  <c r="J191" i="31"/>
  <c r="H191" i="31"/>
  <c r="H193" i="31" s="1"/>
  <c r="G191" i="31"/>
  <c r="G193" i="31" s="1"/>
  <c r="F191" i="31"/>
  <c r="F193" i="31" s="1"/>
  <c r="E191" i="31"/>
  <c r="AJ199" i="31" l="1"/>
  <c r="M199" i="31"/>
  <c r="AK199" i="31"/>
  <c r="Z199" i="31"/>
  <c r="R199" i="31"/>
  <c r="Q199" i="31"/>
  <c r="AA199" i="31"/>
  <c r="K199" i="31"/>
  <c r="AF199" i="31"/>
  <c r="P199" i="31"/>
  <c r="V199" i="31"/>
  <c r="U199" i="31"/>
  <c r="L199" i="31"/>
  <c r="AE199" i="31"/>
  <c r="W199" i="31"/>
  <c r="AB199" i="31"/>
  <c r="AL199" i="31"/>
  <c r="BO199" i="31"/>
  <c r="AP199" i="31"/>
  <c r="AR199" i="31"/>
  <c r="AT199" i="31"/>
  <c r="AV199" i="31"/>
  <c r="AO199" i="31"/>
  <c r="AQ199" i="31"/>
  <c r="AS199" i="31"/>
  <c r="AU199" i="31"/>
  <c r="D191" i="31"/>
  <c r="D193" i="31" s="1"/>
  <c r="E193" i="31"/>
  <c r="I191" i="31"/>
  <c r="I193" i="31" s="1"/>
  <c r="J193" i="31"/>
  <c r="N191" i="31"/>
  <c r="N193" i="31" s="1"/>
  <c r="O193" i="31"/>
  <c r="S191" i="31"/>
  <c r="S193" i="31" s="1"/>
  <c r="T193" i="31"/>
  <c r="X191" i="31"/>
  <c r="X193" i="31" s="1"/>
  <c r="Y193" i="31"/>
  <c r="AC191" i="31"/>
  <c r="AC193" i="31" s="1"/>
  <c r="AD193" i="31"/>
  <c r="AH191" i="31"/>
  <c r="AH193" i="31" s="1"/>
  <c r="AM199" i="31" s="1"/>
  <c r="AI193" i="31"/>
  <c r="AN199" i="31" s="1"/>
  <c r="AW191" i="31"/>
  <c r="AW193" i="31" s="1"/>
  <c r="BB199" i="31" s="1"/>
  <c r="BA199" i="31" s="1"/>
  <c r="AX193" i="31"/>
  <c r="BC199" i="31" s="1"/>
  <c r="BR260" i="31"/>
  <c r="BQ196" i="31"/>
  <c r="BL193" i="31"/>
  <c r="BQ199" i="31" s="1"/>
  <c r="BL196" i="31"/>
  <c r="BK196" i="31" s="1"/>
  <c r="BJ196" i="31" s="1"/>
  <c r="BI196" i="31" s="1"/>
  <c r="BH196" i="31" s="1"/>
  <c r="BG196" i="31" s="1"/>
  <c r="BF196" i="31" s="1"/>
  <c r="BE196" i="31" s="1"/>
  <c r="BD196" i="31" s="1"/>
  <c r="BC196" i="31" s="1"/>
  <c r="BG193" i="31"/>
  <c r="BB196" i="31" l="1"/>
  <c r="BA196" i="31" s="1"/>
  <c r="AZ196" i="31" s="1"/>
  <c r="AY196" i="31" s="1"/>
  <c r="AX196" i="31" s="1"/>
  <c r="AW196" i="31" s="1"/>
  <c r="AV196" i="31" s="1"/>
  <c r="AU196" i="31" s="1"/>
  <c r="AT196" i="31" s="1"/>
  <c r="AS196" i="31" s="1"/>
  <c r="AR196" i="31" s="1"/>
  <c r="AQ196" i="31" s="1"/>
  <c r="AP196" i="31" s="1"/>
  <c r="AO196" i="31" s="1"/>
  <c r="AN196" i="31" s="1"/>
  <c r="AM196" i="31" s="1"/>
  <c r="AL196" i="31" s="1"/>
  <c r="AK196" i="31" s="1"/>
  <c r="AJ196" i="31" s="1"/>
  <c r="AI196" i="31" s="1"/>
  <c r="AH196" i="31" s="1"/>
  <c r="AG196" i="31" s="1"/>
  <c r="AF196" i="31" s="1"/>
  <c r="AE196" i="31" s="1"/>
  <c r="AD196" i="31" s="1"/>
  <c r="AC196" i="31" s="1"/>
  <c r="AB196" i="31" s="1"/>
  <c r="AA196" i="31" s="1"/>
  <c r="Z196" i="31" s="1"/>
  <c r="Y196" i="31" s="1"/>
  <c r="X196" i="31" s="1"/>
  <c r="W196" i="31" s="1"/>
  <c r="V196" i="31" s="1"/>
  <c r="U196" i="31" s="1"/>
  <c r="T196" i="31" s="1"/>
  <c r="S196" i="31" s="1"/>
  <c r="R196" i="31" s="1"/>
  <c r="Q196" i="31" s="1"/>
  <c r="P196" i="31" s="1"/>
  <c r="O196" i="31" s="1"/>
  <c r="N196" i="31" s="1"/>
  <c r="M196" i="31" s="1"/>
  <c r="L196" i="31" s="1"/>
  <c r="K196" i="31" s="1"/>
  <c r="J196" i="31" s="1"/>
  <c r="I196" i="31" s="1"/>
  <c r="BL199" i="31"/>
  <c r="BK199" i="31" s="1"/>
  <c r="BJ199" i="31" s="1"/>
  <c r="BI199" i="31" s="1"/>
  <c r="BH199" i="31" s="1"/>
  <c r="BG199" i="31"/>
  <c r="AX199" i="31"/>
  <c r="AW199" i="31" s="1"/>
  <c r="AI199" i="31"/>
  <c r="AH199" i="31"/>
  <c r="AG199" i="31" s="1"/>
  <c r="AD199" i="31"/>
  <c r="AC199" i="31"/>
  <c r="Y199" i="31"/>
  <c r="X199" i="31"/>
  <c r="T199" i="31"/>
  <c r="S199" i="31"/>
  <c r="O199" i="31"/>
  <c r="N199" i="31"/>
  <c r="J199" i="31"/>
  <c r="I199" i="31" s="1"/>
  <c r="BV171" i="31"/>
  <c r="BT171" i="31"/>
  <c r="BY177" i="31" s="1"/>
  <c r="BS171" i="31"/>
  <c r="BR171" i="31"/>
  <c r="BW177" i="31" s="1"/>
  <c r="BP171" i="31"/>
  <c r="BO171" i="31"/>
  <c r="BQ170" i="31"/>
  <c r="BQ169" i="31"/>
  <c r="BQ164" i="31"/>
  <c r="BQ165" i="31" s="1"/>
  <c r="BV163" i="31"/>
  <c r="BQ163" i="31"/>
  <c r="BU160" i="31"/>
  <c r="BT160" i="31"/>
  <c r="BS160" i="31"/>
  <c r="BR160" i="31"/>
  <c r="BW166" i="31" s="1"/>
  <c r="BQ160" i="31"/>
  <c r="BP160" i="31"/>
  <c r="BO160" i="31"/>
  <c r="BR142" i="31"/>
  <c r="BP142" i="31"/>
  <c r="BO142" i="31"/>
  <c r="BN142" i="31"/>
  <c r="BM142" i="31"/>
  <c r="BK142" i="31"/>
  <c r="BJ142" i="31"/>
  <c r="BI142" i="31"/>
  <c r="BH142" i="31"/>
  <c r="BF142" i="31"/>
  <c r="BF143" i="31" s="1"/>
  <c r="BE142" i="31"/>
  <c r="BE143" i="31" s="1"/>
  <c r="BD142" i="31"/>
  <c r="BD143" i="31" s="1"/>
  <c r="BR141" i="31"/>
  <c r="BP141" i="31"/>
  <c r="BO141" i="31"/>
  <c r="BN141" i="31"/>
  <c r="BM141" i="31"/>
  <c r="BK141" i="31"/>
  <c r="BJ141" i="31"/>
  <c r="BI141" i="31"/>
  <c r="BH141" i="31"/>
  <c r="BF141" i="31"/>
  <c r="BE141" i="31"/>
  <c r="BD141" i="31"/>
  <c r="BR138" i="31"/>
  <c r="BP138" i="31"/>
  <c r="BO138" i="31"/>
  <c r="BN138" i="31"/>
  <c r="BM138" i="31"/>
  <c r="BK138" i="31"/>
  <c r="BJ138" i="31"/>
  <c r="BI138" i="31"/>
  <c r="BH138" i="31"/>
  <c r="BF138" i="31"/>
  <c r="BE138" i="31"/>
  <c r="BD138" i="31"/>
  <c r="BC138" i="31"/>
  <c r="BA138" i="31"/>
  <c r="AZ138" i="31"/>
  <c r="AY138" i="31"/>
  <c r="AX138" i="31"/>
  <c r="BQ137" i="31"/>
  <c r="BL137" i="31"/>
  <c r="BG137" i="31"/>
  <c r="BB137" i="31"/>
  <c r="BQ136" i="31"/>
  <c r="BL136" i="31"/>
  <c r="BG136" i="31"/>
  <c r="BB136" i="31"/>
  <c r="BR131" i="31"/>
  <c r="BP131" i="31"/>
  <c r="BO131" i="31"/>
  <c r="BN131" i="31"/>
  <c r="BM131" i="31"/>
  <c r="BK131" i="31"/>
  <c r="BJ131" i="31"/>
  <c r="BI131" i="31"/>
  <c r="BI132" i="31" s="1"/>
  <c r="BH131" i="31"/>
  <c r="BH132" i="31" s="1"/>
  <c r="BF131" i="31"/>
  <c r="BF132" i="31" s="1"/>
  <c r="BE131" i="31"/>
  <c r="BE132" i="31" s="1"/>
  <c r="BD131" i="31"/>
  <c r="BD132" i="31" s="1"/>
  <c r="BC131" i="31"/>
  <c r="BC132" i="31" s="1"/>
  <c r="BA131" i="31"/>
  <c r="AZ131" i="31"/>
  <c r="AY131" i="31"/>
  <c r="AX131" i="31"/>
  <c r="AV131" i="31"/>
  <c r="AU131" i="31"/>
  <c r="AT131" i="31"/>
  <c r="AS131" i="31"/>
  <c r="BR130" i="31"/>
  <c r="BP130" i="31"/>
  <c r="BO130" i="31"/>
  <c r="BN130" i="31"/>
  <c r="BM130" i="31"/>
  <c r="BK130" i="31"/>
  <c r="BJ130" i="31"/>
  <c r="BI130" i="31"/>
  <c r="BH130" i="31"/>
  <c r="BF130" i="31"/>
  <c r="BE130" i="31"/>
  <c r="BD130" i="31"/>
  <c r="BC130" i="31"/>
  <c r="BA130" i="31"/>
  <c r="AZ130" i="31"/>
  <c r="AY130" i="31"/>
  <c r="AX130" i="31"/>
  <c r="AV130" i="31"/>
  <c r="AU130" i="31"/>
  <c r="AT130" i="31"/>
  <c r="AS130" i="31"/>
  <c r="BR127" i="31"/>
  <c r="BP127" i="31"/>
  <c r="BO127" i="31"/>
  <c r="BN127" i="31"/>
  <c r="BM127" i="31"/>
  <c r="BK127" i="31"/>
  <c r="BJ127" i="31"/>
  <c r="BI127" i="31"/>
  <c r="BH127" i="31"/>
  <c r="BF127" i="31"/>
  <c r="BE127" i="31"/>
  <c r="BD127" i="31"/>
  <c r="BC127" i="31"/>
  <c r="BA127" i="31"/>
  <c r="AZ127" i="31"/>
  <c r="AY127" i="31"/>
  <c r="AX127" i="31"/>
  <c r="AV127" i="31"/>
  <c r="AU127" i="31"/>
  <c r="AT127" i="31"/>
  <c r="AS127" i="31"/>
  <c r="AQ127" i="31"/>
  <c r="AP127" i="31"/>
  <c r="AO127" i="31"/>
  <c r="AN127" i="31"/>
  <c r="BQ126" i="31"/>
  <c r="BV131" i="31" s="1"/>
  <c r="BL126" i="31"/>
  <c r="BG126" i="31"/>
  <c r="BB126" i="31"/>
  <c r="AW126" i="31"/>
  <c r="AW115" i="31" s="1"/>
  <c r="AR126" i="31"/>
  <c r="BQ125" i="31"/>
  <c r="BL125" i="31"/>
  <c r="BG125" i="31"/>
  <c r="BB125" i="31"/>
  <c r="AW125" i="31"/>
  <c r="AW114" i="31" s="1"/>
  <c r="AR125" i="31"/>
  <c r="BT115" i="31"/>
  <c r="BT181" i="31" s="1"/>
  <c r="BS115" i="31"/>
  <c r="BX120" i="31" s="1"/>
  <c r="BR115" i="31"/>
  <c r="BW120" i="31" s="1"/>
  <c r="BP115" i="31"/>
  <c r="BO115" i="31"/>
  <c r="BN115" i="31"/>
  <c r="BM115" i="31"/>
  <c r="BK115" i="31"/>
  <c r="BJ115" i="31"/>
  <c r="BI115" i="31"/>
  <c r="BH115" i="31"/>
  <c r="BF115" i="31"/>
  <c r="BE115" i="31"/>
  <c r="BD115" i="31"/>
  <c r="BC115" i="31"/>
  <c r="BA115" i="31"/>
  <c r="AZ115" i="31"/>
  <c r="AY115" i="31"/>
  <c r="AX115" i="31"/>
  <c r="AV115" i="31"/>
  <c r="AU115" i="31"/>
  <c r="AT115" i="31"/>
  <c r="AS115" i="31"/>
  <c r="AQ115" i="31"/>
  <c r="AP115" i="31"/>
  <c r="AO115" i="31"/>
  <c r="AN115" i="31"/>
  <c r="BS114" i="31"/>
  <c r="BX119" i="31" s="1"/>
  <c r="BP114" i="31"/>
  <c r="BO114" i="31"/>
  <c r="BN114" i="31"/>
  <c r="BM114" i="31"/>
  <c r="BK114" i="31"/>
  <c r="BJ114" i="31"/>
  <c r="BI114" i="31"/>
  <c r="BH114" i="31"/>
  <c r="BF114" i="31"/>
  <c r="BE114" i="31"/>
  <c r="BD114" i="31"/>
  <c r="BC114" i="31"/>
  <c r="BA114" i="31"/>
  <c r="AZ114" i="31"/>
  <c r="AY114" i="31"/>
  <c r="AX114" i="31"/>
  <c r="AV114" i="31"/>
  <c r="AU114" i="31"/>
  <c r="AT114" i="31"/>
  <c r="AS114" i="31"/>
  <c r="AQ114" i="31"/>
  <c r="AQ119" i="31" s="1"/>
  <c r="AP114" i="31"/>
  <c r="AP119" i="31" s="1"/>
  <c r="AO114" i="31"/>
  <c r="AO119" i="31" s="1"/>
  <c r="AN114" i="31"/>
  <c r="AN119" i="31" s="1"/>
  <c r="BR109" i="31"/>
  <c r="BP109" i="31"/>
  <c r="BO109" i="31"/>
  <c r="BN109" i="31"/>
  <c r="BM109" i="31"/>
  <c r="BK109" i="31"/>
  <c r="BJ109" i="31"/>
  <c r="BI109" i="31"/>
  <c r="BI110" i="31" s="1"/>
  <c r="BH109" i="31"/>
  <c r="BF109" i="31"/>
  <c r="BF110" i="31" s="1"/>
  <c r="BE109" i="31"/>
  <c r="BE110" i="31" s="1"/>
  <c r="BD109" i="31"/>
  <c r="BD110" i="31" s="1"/>
  <c r="BC109" i="31"/>
  <c r="BC110" i="31" s="1"/>
  <c r="BA109" i="31"/>
  <c r="AZ109" i="31"/>
  <c r="AY109" i="31"/>
  <c r="AX109" i="31"/>
  <c r="AV109" i="31"/>
  <c r="AU109" i="31"/>
  <c r="AT109" i="31"/>
  <c r="AS109" i="31"/>
  <c r="AQ109" i="31"/>
  <c r="AP109" i="31"/>
  <c r="AO109" i="31"/>
  <c r="AN109" i="31"/>
  <c r="AL109" i="31"/>
  <c r="AK109" i="31"/>
  <c r="AJ109" i="31"/>
  <c r="AI109" i="31"/>
  <c r="AG109" i="31"/>
  <c r="AF109" i="31"/>
  <c r="AE109" i="31"/>
  <c r="AD109" i="31"/>
  <c r="AB109" i="31"/>
  <c r="AA109" i="31"/>
  <c r="Z109" i="31"/>
  <c r="Y109" i="31"/>
  <c r="W109" i="31"/>
  <c r="V109" i="31"/>
  <c r="U109" i="31"/>
  <c r="T109" i="31"/>
  <c r="R109" i="31"/>
  <c r="Q109" i="31"/>
  <c r="P109" i="31"/>
  <c r="O109" i="31"/>
  <c r="M109" i="31"/>
  <c r="L109" i="31"/>
  <c r="K109" i="31"/>
  <c r="J109" i="31"/>
  <c r="BR108" i="31"/>
  <c r="BO108" i="31"/>
  <c r="BN108" i="31"/>
  <c r="BM108" i="31"/>
  <c r="BK108" i="31"/>
  <c r="BJ108" i="31"/>
  <c r="BI108" i="31"/>
  <c r="BH108" i="31"/>
  <c r="BF108" i="31"/>
  <c r="BE108" i="31"/>
  <c r="BD108" i="31"/>
  <c r="BC108" i="31"/>
  <c r="BA108" i="31"/>
  <c r="AZ108" i="31"/>
  <c r="AY108" i="31"/>
  <c r="AX108" i="31"/>
  <c r="AV108" i="31"/>
  <c r="AU108" i="31"/>
  <c r="AT108" i="31"/>
  <c r="AS108" i="31"/>
  <c r="AQ108" i="31"/>
  <c r="AP108" i="31"/>
  <c r="AO108" i="31"/>
  <c r="AN108" i="31"/>
  <c r="AL108" i="31"/>
  <c r="AK108" i="31"/>
  <c r="AJ108" i="31"/>
  <c r="AI108" i="31"/>
  <c r="AG108" i="31"/>
  <c r="AF108" i="31"/>
  <c r="AE108" i="31"/>
  <c r="AD108" i="31"/>
  <c r="AB108" i="31"/>
  <c r="AA108" i="31"/>
  <c r="Z108" i="31"/>
  <c r="Y108" i="31"/>
  <c r="W108" i="31"/>
  <c r="V108" i="31"/>
  <c r="U108" i="31"/>
  <c r="T108" i="31"/>
  <c r="R108" i="31"/>
  <c r="Q108" i="31"/>
  <c r="P108" i="31"/>
  <c r="O108" i="31"/>
  <c r="M108" i="31"/>
  <c r="L108" i="31"/>
  <c r="K108" i="31"/>
  <c r="J108" i="31"/>
  <c r="BR105" i="31"/>
  <c r="BW111" i="31" s="1"/>
  <c r="BP105" i="31"/>
  <c r="BO105" i="31"/>
  <c r="BN105" i="31"/>
  <c r="BM105" i="31"/>
  <c r="BK105" i="31"/>
  <c r="BJ105" i="31"/>
  <c r="BI105" i="31"/>
  <c r="BH105" i="31"/>
  <c r="BF105" i="31"/>
  <c r="BE105" i="31"/>
  <c r="BD105" i="31"/>
  <c r="BC105" i="31"/>
  <c r="BA105" i="31"/>
  <c r="AZ105" i="31"/>
  <c r="AY105" i="31"/>
  <c r="AX105" i="31"/>
  <c r="AV105" i="31"/>
  <c r="AU105" i="31"/>
  <c r="AT105" i="31"/>
  <c r="AS105" i="31"/>
  <c r="AQ105" i="31"/>
  <c r="AP105" i="31"/>
  <c r="AO105" i="31"/>
  <c r="AN105" i="31"/>
  <c r="AL105" i="31"/>
  <c r="AK105" i="31"/>
  <c r="AJ105" i="31"/>
  <c r="AI105" i="31"/>
  <c r="AG105" i="31"/>
  <c r="AF105" i="31"/>
  <c r="AE105" i="31"/>
  <c r="AD105" i="31"/>
  <c r="AB105" i="31"/>
  <c r="AA105" i="31"/>
  <c r="Z105" i="31"/>
  <c r="Y105" i="31"/>
  <c r="W105" i="31"/>
  <c r="V105" i="31"/>
  <c r="U105" i="31"/>
  <c r="T105" i="31"/>
  <c r="R105" i="31"/>
  <c r="Q105" i="31"/>
  <c r="P105" i="31"/>
  <c r="O105" i="31"/>
  <c r="M105" i="31"/>
  <c r="L105" i="31"/>
  <c r="K105" i="31"/>
  <c r="J105" i="31"/>
  <c r="H105" i="31"/>
  <c r="G105" i="31"/>
  <c r="F105" i="31"/>
  <c r="E105" i="31"/>
  <c r="BQ104" i="31"/>
  <c r="BQ82" i="31" s="1"/>
  <c r="BL104" i="31"/>
  <c r="BL82" i="31" s="1"/>
  <c r="BG104" i="31"/>
  <c r="BG82" i="31" s="1"/>
  <c r="BB104" i="31"/>
  <c r="BB82" i="31" s="1"/>
  <c r="AW104" i="31"/>
  <c r="AW82" i="31" s="1"/>
  <c r="AR104" i="31"/>
  <c r="AR82" i="31" s="1"/>
  <c r="AM104" i="31"/>
  <c r="AM82" i="31" s="1"/>
  <c r="AH104" i="31"/>
  <c r="AH886" i="31" s="1"/>
  <c r="AH24" i="31" s="1"/>
  <c r="AC104" i="31"/>
  <c r="AC886" i="31" s="1"/>
  <c r="AC24" i="31" s="1"/>
  <c r="X104" i="31"/>
  <c r="X886" i="31" s="1"/>
  <c r="X24" i="31" s="1"/>
  <c r="S104" i="31"/>
  <c r="S886" i="31" s="1"/>
  <c r="S24" i="31" s="1"/>
  <c r="N104" i="31"/>
  <c r="N886" i="31" s="1"/>
  <c r="N24" i="31" s="1"/>
  <c r="I104" i="31"/>
  <c r="I886" i="31" s="1"/>
  <c r="I24" i="31" s="1"/>
  <c r="BQ103" i="31"/>
  <c r="BQ81" i="31" s="1"/>
  <c r="BL103" i="31"/>
  <c r="BL81" i="31" s="1"/>
  <c r="BG103" i="31"/>
  <c r="BG81" i="31" s="1"/>
  <c r="BB103" i="31"/>
  <c r="BB81" i="31" s="1"/>
  <c r="AW103" i="31"/>
  <c r="AW81" i="31" s="1"/>
  <c r="AR103" i="31"/>
  <c r="AR81" i="31" s="1"/>
  <c r="AM103" i="31"/>
  <c r="AM81" i="31" s="1"/>
  <c r="AH103" i="31"/>
  <c r="AH885" i="31" s="1"/>
  <c r="AH23" i="31" s="1"/>
  <c r="AC103" i="31"/>
  <c r="AC885" i="31" s="1"/>
  <c r="AC23" i="31" s="1"/>
  <c r="X103" i="31"/>
  <c r="X885" i="31" s="1"/>
  <c r="X23" i="31" s="1"/>
  <c r="S103" i="31"/>
  <c r="S885" i="31" s="1"/>
  <c r="S23" i="31" s="1"/>
  <c r="N103" i="31"/>
  <c r="N885" i="31" s="1"/>
  <c r="N23" i="31" s="1"/>
  <c r="I103" i="31"/>
  <c r="I885" i="31" s="1"/>
  <c r="I23" i="31" s="1"/>
  <c r="BP82" i="31"/>
  <c r="BO82" i="31"/>
  <c r="BN82" i="31"/>
  <c r="BM82" i="31"/>
  <c r="BR87" i="31" s="1"/>
  <c r="BK82" i="31"/>
  <c r="BJ82" i="31"/>
  <c r="BI82" i="31"/>
  <c r="BH82" i="31"/>
  <c r="BF82" i="31"/>
  <c r="BE82" i="31"/>
  <c r="BD82" i="31"/>
  <c r="BC82" i="31"/>
  <c r="BA82" i="31"/>
  <c r="AZ82" i="31"/>
  <c r="AY82" i="31"/>
  <c r="AX82" i="31"/>
  <c r="AV82" i="31"/>
  <c r="AU82" i="31"/>
  <c r="AT82" i="31"/>
  <c r="AS82" i="31"/>
  <c r="AQ82" i="31"/>
  <c r="AP82" i="31"/>
  <c r="AO82" i="31"/>
  <c r="AN82" i="31"/>
  <c r="AL82" i="31"/>
  <c r="AK82" i="31"/>
  <c r="AJ82" i="31"/>
  <c r="AI82" i="31"/>
  <c r="AG82" i="31"/>
  <c r="AF82" i="31"/>
  <c r="AE82" i="31"/>
  <c r="AD82" i="31"/>
  <c r="AB82" i="31"/>
  <c r="AA82" i="31"/>
  <c r="Z82" i="31"/>
  <c r="Y82" i="31"/>
  <c r="W82" i="31"/>
  <c r="V82" i="31"/>
  <c r="U82" i="31"/>
  <c r="T82" i="31"/>
  <c r="R82" i="31"/>
  <c r="Q82" i="31"/>
  <c r="P82" i="31"/>
  <c r="O82" i="31"/>
  <c r="M82" i="31"/>
  <c r="L82" i="31"/>
  <c r="K82" i="31"/>
  <c r="J82" i="31"/>
  <c r="H82" i="31"/>
  <c r="G82" i="31"/>
  <c r="F82" i="31"/>
  <c r="E82" i="31"/>
  <c r="BP81" i="31"/>
  <c r="BO81" i="31"/>
  <c r="BT86" i="31" s="1"/>
  <c r="BN81" i="31"/>
  <c r="BS86" i="31" s="1"/>
  <c r="BM81" i="31"/>
  <c r="BK81" i="31"/>
  <c r="BJ81" i="31"/>
  <c r="BI81" i="31"/>
  <c r="BH81" i="31"/>
  <c r="BF81" i="31"/>
  <c r="BE81" i="31"/>
  <c r="BD81" i="31"/>
  <c r="BC81" i="31"/>
  <c r="BA81" i="31"/>
  <c r="AZ81" i="31"/>
  <c r="AY81" i="31"/>
  <c r="AX81" i="31"/>
  <c r="AV81" i="31"/>
  <c r="AU81" i="31"/>
  <c r="AT81" i="31"/>
  <c r="AS81" i="31"/>
  <c r="AQ81" i="31"/>
  <c r="AP81" i="31"/>
  <c r="AO81" i="31"/>
  <c r="AN81" i="31"/>
  <c r="AL81" i="31"/>
  <c r="AK81" i="31"/>
  <c r="AJ81" i="31"/>
  <c r="AI81" i="31"/>
  <c r="AG81" i="31"/>
  <c r="AF81" i="31"/>
  <c r="AE81" i="31"/>
  <c r="AD81" i="31"/>
  <c r="AB81" i="31"/>
  <c r="AA81" i="31"/>
  <c r="Z81" i="31"/>
  <c r="Y81" i="31"/>
  <c r="W81" i="31"/>
  <c r="V81" i="31"/>
  <c r="U81" i="31"/>
  <c r="T81" i="31"/>
  <c r="R81" i="31"/>
  <c r="Q81" i="31"/>
  <c r="P81" i="31"/>
  <c r="O81" i="31"/>
  <c r="M81" i="31"/>
  <c r="L81" i="31"/>
  <c r="K81" i="31"/>
  <c r="J81" i="31"/>
  <c r="H81" i="31"/>
  <c r="G81" i="31"/>
  <c r="F81" i="31"/>
  <c r="E81" i="31"/>
  <c r="BP76" i="31"/>
  <c r="BO76" i="31"/>
  <c r="BN76" i="31"/>
  <c r="BM76" i="31"/>
  <c r="BP75" i="31"/>
  <c r="BO75" i="31"/>
  <c r="BN75" i="31"/>
  <c r="BM75" i="31"/>
  <c r="BP72" i="31"/>
  <c r="BO72" i="31"/>
  <c r="BO78" i="31" s="1"/>
  <c r="BN72" i="31"/>
  <c r="BN78" i="31" s="1"/>
  <c r="BM72" i="31"/>
  <c r="BM78" i="31" s="1"/>
  <c r="BR76" i="31"/>
  <c r="BQ71" i="31"/>
  <c r="BW75" i="31"/>
  <c r="BQ70" i="31"/>
  <c r="BQ885" i="31" s="1"/>
  <c r="BQ23" i="31" s="1"/>
  <c r="BO133" i="31" l="1"/>
  <c r="BI133" i="31"/>
  <c r="BR111" i="31"/>
  <c r="BH111" i="31"/>
  <c r="BO111" i="31"/>
  <c r="BP133" i="31"/>
  <c r="BP111" i="31"/>
  <c r="CN114" i="31"/>
  <c r="BB115" i="31"/>
  <c r="BB120" i="31" s="1"/>
  <c r="BA120" i="31" s="1"/>
  <c r="AZ120" i="31" s="1"/>
  <c r="AY120" i="31" s="1"/>
  <c r="AX120" i="31" s="1"/>
  <c r="BL115" i="31"/>
  <c r="BG115" i="31"/>
  <c r="BQ171" i="31"/>
  <c r="BX166" i="31"/>
  <c r="BW133" i="31"/>
  <c r="BW144" i="31"/>
  <c r="X82" i="31"/>
  <c r="X81" i="31"/>
  <c r="AR115" i="31"/>
  <c r="AW120" i="31" s="1"/>
  <c r="AW121" i="31" s="1"/>
  <c r="N81" i="31"/>
  <c r="AH81" i="31"/>
  <c r="N82" i="31"/>
  <c r="AH82" i="31"/>
  <c r="BF886" i="31"/>
  <c r="BF24" i="31" s="1"/>
  <c r="AR114" i="31"/>
  <c r="AR119" i="31" s="1"/>
  <c r="BG114" i="31"/>
  <c r="I82" i="31"/>
  <c r="S82" i="31"/>
  <c r="AC82" i="31"/>
  <c r="BL114" i="31"/>
  <c r="BQ115" i="31"/>
  <c r="BB114" i="31"/>
  <c r="N890" i="31"/>
  <c r="M890" i="31" s="1"/>
  <c r="D104" i="31"/>
  <c r="BC119" i="31"/>
  <c r="BE119" i="31"/>
  <c r="AU120" i="31"/>
  <c r="AU121" i="31" s="1"/>
  <c r="BC120" i="31"/>
  <c r="BE120" i="31"/>
  <c r="I81" i="31"/>
  <c r="S81" i="31"/>
  <c r="AC81" i="31"/>
  <c r="BP86" i="31"/>
  <c r="BH87" i="31"/>
  <c r="BJ87" i="31"/>
  <c r="BL87" i="31"/>
  <c r="BN87" i="31"/>
  <c r="BP87" i="31"/>
  <c r="BQ114" i="31"/>
  <c r="BV130" i="31"/>
  <c r="BV141" i="31"/>
  <c r="BP116" i="31"/>
  <c r="BM86" i="31"/>
  <c r="BI87" i="31"/>
  <c r="BO87" i="31"/>
  <c r="BQ87" i="31"/>
  <c r="D103" i="31"/>
  <c r="S890" i="31"/>
  <c r="R890" i="31" s="1"/>
  <c r="Q890" i="31" s="1"/>
  <c r="P890" i="31" s="1"/>
  <c r="O890" i="31" s="1"/>
  <c r="BL105" i="31"/>
  <c r="BD119" i="31"/>
  <c r="BF119" i="31"/>
  <c r="BR119" i="31"/>
  <c r="AT120" i="31"/>
  <c r="AT121" i="31" s="1"/>
  <c r="AV120" i="31"/>
  <c r="AV121" i="31" s="1"/>
  <c r="BD120" i="31"/>
  <c r="BF120" i="31"/>
  <c r="BR120" i="31"/>
  <c r="BL138" i="31"/>
  <c r="BY166" i="31"/>
  <c r="BX177" i="31"/>
  <c r="BZ166" i="31"/>
  <c r="BU166" i="31"/>
  <c r="BM87" i="31"/>
  <c r="BH886" i="31"/>
  <c r="BH24" i="31" s="1"/>
  <c r="BT114" i="31"/>
  <c r="BT180" i="31" s="1"/>
  <c r="BK87" i="31"/>
  <c r="BW86" i="31"/>
  <c r="BR180" i="31"/>
  <c r="BW185" i="31" s="1"/>
  <c r="BX86" i="31"/>
  <c r="BS180" i="31"/>
  <c r="BX185" i="31" s="1"/>
  <c r="BW87" i="31"/>
  <c r="BR181" i="31"/>
  <c r="BW186" i="31" s="1"/>
  <c r="BX87" i="31"/>
  <c r="BS181" i="31"/>
  <c r="BX186" i="31" s="1"/>
  <c r="CK169" i="31"/>
  <c r="CP174" i="31" s="1"/>
  <c r="BY120" i="31"/>
  <c r="BS75" i="31"/>
  <c r="BY105" i="31"/>
  <c r="BY87" i="31"/>
  <c r="BY83" i="31"/>
  <c r="BR116" i="31"/>
  <c r="BW122" i="31" s="1"/>
  <c r="BW119" i="31"/>
  <c r="BY127" i="31"/>
  <c r="BS119" i="31"/>
  <c r="BS120" i="31"/>
  <c r="BQ72" i="31"/>
  <c r="BQ76" i="31"/>
  <c r="BL86" i="31"/>
  <c r="BK86" i="31" s="1"/>
  <c r="BJ86" i="31" s="1"/>
  <c r="BI86" i="31" s="1"/>
  <c r="BH86" i="31" s="1"/>
  <c r="BG86" i="31" s="1"/>
  <c r="BF86" i="31" s="1"/>
  <c r="BE86" i="31" s="1"/>
  <c r="BD86" i="31" s="1"/>
  <c r="BC86" i="31" s="1"/>
  <c r="BO86" i="31"/>
  <c r="BN86" i="31" s="1"/>
  <c r="BR86" i="31"/>
  <c r="BQ86" i="31" s="1"/>
  <c r="E83" i="31"/>
  <c r="F83" i="31"/>
  <c r="G83" i="31"/>
  <c r="H83" i="31"/>
  <c r="J83" i="31"/>
  <c r="K83" i="31"/>
  <c r="L83" i="31"/>
  <c r="M83" i="31"/>
  <c r="O83" i="31"/>
  <c r="P83" i="31"/>
  <c r="Q83" i="31"/>
  <c r="R83" i="31"/>
  <c r="T83" i="31"/>
  <c r="U83" i="31"/>
  <c r="V83" i="31"/>
  <c r="W83" i="31"/>
  <c r="Y83" i="31"/>
  <c r="Z83" i="31"/>
  <c r="AA83" i="31"/>
  <c r="AB83" i="31"/>
  <c r="AD83" i="31"/>
  <c r="AE83" i="31"/>
  <c r="AF83" i="31"/>
  <c r="AG83" i="31"/>
  <c r="AI83" i="31"/>
  <c r="AJ83" i="31"/>
  <c r="AK83" i="31"/>
  <c r="AL83" i="31"/>
  <c r="AN83" i="31"/>
  <c r="AO83" i="31"/>
  <c r="AP83" i="31"/>
  <c r="AQ83" i="31"/>
  <c r="AS83" i="31"/>
  <c r="AT83" i="31"/>
  <c r="AU83" i="31"/>
  <c r="AV83" i="31"/>
  <c r="AX83" i="31"/>
  <c r="AY83" i="31"/>
  <c r="AZ83" i="31"/>
  <c r="BA83" i="31"/>
  <c r="BB83" i="31"/>
  <c r="BG87" i="31"/>
  <c r="BF87" i="31" s="1"/>
  <c r="BE87" i="31" s="1"/>
  <c r="BE88" i="31" s="1"/>
  <c r="BN83" i="31"/>
  <c r="BO83" i="31"/>
  <c r="BP83" i="31"/>
  <c r="BQ83" i="31"/>
  <c r="BW89" i="31"/>
  <c r="BN111" i="31"/>
  <c r="BM111" i="31" s="1"/>
  <c r="BH110" i="31"/>
  <c r="BH133" i="31"/>
  <c r="AM83" i="31"/>
  <c r="AR83" i="31"/>
  <c r="BB86" i="31"/>
  <c r="BA86" i="31" s="1"/>
  <c r="AZ86" i="31" s="1"/>
  <c r="AY86" i="31" s="1"/>
  <c r="AX86" i="31" s="1"/>
  <c r="AW86" i="31" s="1"/>
  <c r="AV86" i="31" s="1"/>
  <c r="AU86" i="31" s="1"/>
  <c r="AT86" i="31" s="1"/>
  <c r="AS86" i="31" s="1"/>
  <c r="AR86" i="31" s="1"/>
  <c r="AQ86" i="31" s="1"/>
  <c r="AP86" i="31" s="1"/>
  <c r="AO86" i="31" s="1"/>
  <c r="AN86" i="31" s="1"/>
  <c r="AW83" i="31"/>
  <c r="BD87" i="31"/>
  <c r="BC87" i="31" s="1"/>
  <c r="BB87" i="31" s="1"/>
  <c r="BA87" i="31" s="1"/>
  <c r="AZ87" i="31" s="1"/>
  <c r="AY87" i="31" s="1"/>
  <c r="AX87" i="31" s="1"/>
  <c r="AW87" i="31" s="1"/>
  <c r="AV87" i="31" s="1"/>
  <c r="AU87" i="31" s="1"/>
  <c r="AT87" i="31" s="1"/>
  <c r="AS87" i="31" s="1"/>
  <c r="AR87" i="31" s="1"/>
  <c r="AQ87" i="31" s="1"/>
  <c r="AP87" i="31" s="1"/>
  <c r="AM885" i="31"/>
  <c r="AR885" i="31"/>
  <c r="AR23" i="31" s="1"/>
  <c r="AW885" i="31"/>
  <c r="AW23" i="31" s="1"/>
  <c r="BB885" i="31"/>
  <c r="BB23" i="31" s="1"/>
  <c r="N891" i="31"/>
  <c r="I887" i="31"/>
  <c r="I25" i="31" s="1"/>
  <c r="S891" i="31"/>
  <c r="N887" i="31"/>
  <c r="N25" i="31" s="1"/>
  <c r="X891" i="31"/>
  <c r="S887" i="31"/>
  <c r="S25" i="31" s="1"/>
  <c r="AC891" i="31"/>
  <c r="AB891" i="31" s="1"/>
  <c r="AA891" i="31" s="1"/>
  <c r="Z891" i="31" s="1"/>
  <c r="X887" i="31"/>
  <c r="X25" i="31" s="1"/>
  <c r="AH891" i="31"/>
  <c r="AG891" i="31" s="1"/>
  <c r="AF891" i="31" s="1"/>
  <c r="AE891" i="31" s="1"/>
  <c r="AC887" i="31"/>
  <c r="AC25" i="31" s="1"/>
  <c r="AH887" i="31"/>
  <c r="AH25" i="31" s="1"/>
  <c r="AM886" i="31"/>
  <c r="AM24" i="31" s="1"/>
  <c r="AR886" i="31"/>
  <c r="AR24" i="31" s="1"/>
  <c r="AW886" i="31"/>
  <c r="AW24" i="31" s="1"/>
  <c r="BB886" i="31"/>
  <c r="BB24" i="31" s="1"/>
  <c r="BU171" i="31"/>
  <c r="BR72" i="31"/>
  <c r="BR75" i="31"/>
  <c r="BQ75" i="31" s="1"/>
  <c r="BP78" i="31"/>
  <c r="BS87" i="31"/>
  <c r="BT87" i="31"/>
  <c r="BC83" i="31"/>
  <c r="BD83" i="31"/>
  <c r="BE83" i="31"/>
  <c r="BF83" i="31"/>
  <c r="BG83" i="31"/>
  <c r="BH83" i="31"/>
  <c r="BI83" i="31"/>
  <c r="BJ83" i="31"/>
  <c r="BK83" i="31"/>
  <c r="BL83" i="31"/>
  <c r="BM83" i="31"/>
  <c r="BS105" i="31"/>
  <c r="BX111" i="31" s="1"/>
  <c r="BT105" i="31"/>
  <c r="I105" i="31"/>
  <c r="N105" i="31"/>
  <c r="S105" i="31"/>
  <c r="X105" i="31"/>
  <c r="AC105" i="31"/>
  <c r="AH105" i="31"/>
  <c r="AM105" i="31"/>
  <c r="AR105" i="31"/>
  <c r="AW105" i="31"/>
  <c r="BB105" i="31"/>
  <c r="BG105" i="31"/>
  <c r="BQ105" i="31"/>
  <c r="N108" i="31"/>
  <c r="S108" i="31"/>
  <c r="X108" i="31"/>
  <c r="AC108" i="31"/>
  <c r="AH108" i="31"/>
  <c r="AM108" i="31"/>
  <c r="AR108" i="31"/>
  <c r="AW108" i="31"/>
  <c r="BB108" i="31"/>
  <c r="BG108" i="31"/>
  <c r="BL108" i="31"/>
  <c r="BQ108" i="31"/>
  <c r="N109" i="31"/>
  <c r="S109" i="31"/>
  <c r="X109" i="31"/>
  <c r="AC109" i="31"/>
  <c r="AH109" i="31"/>
  <c r="AM109" i="31"/>
  <c r="AR109" i="31"/>
  <c r="AW109" i="31"/>
  <c r="BB109" i="31"/>
  <c r="BG109" i="31"/>
  <c r="BL109" i="31"/>
  <c r="BQ109" i="31"/>
  <c r="BT120" i="31"/>
  <c r="AN116" i="31"/>
  <c r="AO116" i="31"/>
  <c r="AP116" i="31"/>
  <c r="AQ116" i="31"/>
  <c r="BA116" i="31"/>
  <c r="BC116" i="31"/>
  <c r="BD116" i="31"/>
  <c r="BE116" i="31"/>
  <c r="BF116" i="31"/>
  <c r="BH116" i="31"/>
  <c r="BI116" i="31"/>
  <c r="BJ116" i="31"/>
  <c r="BK116" i="31"/>
  <c r="BM116" i="31"/>
  <c r="BN116" i="31"/>
  <c r="BO116" i="31"/>
  <c r="BH119" i="31"/>
  <c r="BI119" i="31"/>
  <c r="BJ119" i="31"/>
  <c r="BK119" i="31"/>
  <c r="BM119" i="31"/>
  <c r="BN119" i="31"/>
  <c r="BO119" i="31"/>
  <c r="BP119" i="31"/>
  <c r="AS120" i="31"/>
  <c r="BH120" i="31"/>
  <c r="BI120" i="31"/>
  <c r="BJ120" i="31"/>
  <c r="BK120" i="31"/>
  <c r="BM120" i="31"/>
  <c r="BN120" i="31"/>
  <c r="BO120" i="31"/>
  <c r="BP120" i="31"/>
  <c r="BS127" i="31"/>
  <c r="BT127" i="31"/>
  <c r="AR127" i="31"/>
  <c r="AW127" i="31"/>
  <c r="BB127" i="31"/>
  <c r="BG127" i="31"/>
  <c r="BL127" i="31"/>
  <c r="BQ127" i="31"/>
  <c r="AW130" i="31"/>
  <c r="BB130" i="31"/>
  <c r="BG130" i="31"/>
  <c r="BL130" i="31"/>
  <c r="BQ130" i="31"/>
  <c r="AW131" i="31"/>
  <c r="BB131" i="31"/>
  <c r="BG131" i="31"/>
  <c r="BL131" i="31"/>
  <c r="BQ131" i="31"/>
  <c r="BM133" i="31"/>
  <c r="BN133" i="31"/>
  <c r="BR133" i="31"/>
  <c r="BS138" i="31"/>
  <c r="BT138" i="31"/>
  <c r="BB138" i="31"/>
  <c r="BG138" i="31"/>
  <c r="BQ138" i="31"/>
  <c r="BG141" i="31"/>
  <c r="BL141" i="31"/>
  <c r="BQ141" i="31"/>
  <c r="BG142" i="31"/>
  <c r="BL142" i="31"/>
  <c r="BQ142" i="31"/>
  <c r="BV160" i="31"/>
  <c r="BV164" i="31"/>
  <c r="BQ166" i="31"/>
  <c r="BV174" i="31"/>
  <c r="BV175" i="31"/>
  <c r="BT83" i="31"/>
  <c r="BS83" i="31"/>
  <c r="BS116" i="31"/>
  <c r="AM890" i="31" l="1"/>
  <c r="AL890" i="31" s="1"/>
  <c r="AK890" i="31" s="1"/>
  <c r="AJ890" i="31" s="1"/>
  <c r="AI890" i="31" s="1"/>
  <c r="AH890" i="31" s="1"/>
  <c r="AG890" i="31" s="1"/>
  <c r="AF890" i="31" s="1"/>
  <c r="AE890" i="31" s="1"/>
  <c r="AD890" i="31" s="1"/>
  <c r="AC890" i="31" s="1"/>
  <c r="AB890" i="31" s="1"/>
  <c r="AA890" i="31" s="1"/>
  <c r="Z890" i="31" s="1"/>
  <c r="Y890" i="31" s="1"/>
  <c r="X890" i="31" s="1"/>
  <c r="W890" i="31" s="1"/>
  <c r="V890" i="31" s="1"/>
  <c r="U890" i="31" s="1"/>
  <c r="T890" i="31" s="1"/>
  <c r="AM23" i="31"/>
  <c r="BL116" i="31"/>
  <c r="N83" i="31"/>
  <c r="BG120" i="31"/>
  <c r="BG119" i="31"/>
  <c r="AH83" i="31"/>
  <c r="AM89" i="31" s="1"/>
  <c r="D105" i="31"/>
  <c r="I83" i="31"/>
  <c r="BG116" i="31"/>
  <c r="BL120" i="31"/>
  <c r="BL119" i="31"/>
  <c r="BV177" i="31"/>
  <c r="BY181" i="31"/>
  <c r="BY186" i="31" s="1"/>
  <c r="BT89" i="31"/>
  <c r="AR116" i="31"/>
  <c r="AR122" i="31" s="1"/>
  <c r="BX144" i="31"/>
  <c r="BY180" i="31"/>
  <c r="BX133" i="31"/>
  <c r="BV166" i="31"/>
  <c r="AR120" i="31"/>
  <c r="AQ120" i="31" s="1"/>
  <c r="AP120" i="31" s="1"/>
  <c r="AO120" i="31" s="1"/>
  <c r="AN120" i="31" s="1"/>
  <c r="AM86" i="31"/>
  <c r="AL86" i="31" s="1"/>
  <c r="AK86" i="31" s="1"/>
  <c r="AJ86" i="31" s="1"/>
  <c r="AI86" i="31" s="1"/>
  <c r="AH86" i="31" s="1"/>
  <c r="AG86" i="31" s="1"/>
  <c r="AF86" i="31" s="1"/>
  <c r="AE86" i="31" s="1"/>
  <c r="AD86" i="31" s="1"/>
  <c r="BB89" i="31"/>
  <c r="S83" i="31"/>
  <c r="X83" i="31"/>
  <c r="BT133" i="31"/>
  <c r="BQ119" i="31"/>
  <c r="BQ116" i="31"/>
  <c r="BB119" i="31"/>
  <c r="BA119" i="31" s="1"/>
  <c r="AZ119" i="31" s="1"/>
  <c r="AY119" i="31" s="1"/>
  <c r="AX119" i="31" s="1"/>
  <c r="AW119" i="31" s="1"/>
  <c r="AV119" i="31" s="1"/>
  <c r="AU119" i="31" s="1"/>
  <c r="AT119" i="31" s="1"/>
  <c r="AS119" i="31" s="1"/>
  <c r="AC86" i="31"/>
  <c r="AB86" i="31" s="1"/>
  <c r="AA86" i="31" s="1"/>
  <c r="Z86" i="31" s="1"/>
  <c r="Y86" i="31" s="1"/>
  <c r="X86" i="31" s="1"/>
  <c r="W86" i="31" s="1"/>
  <c r="V86" i="31" s="1"/>
  <c r="U86" i="31" s="1"/>
  <c r="T86" i="31" s="1"/>
  <c r="S86" i="31" s="1"/>
  <c r="R86" i="31" s="1"/>
  <c r="Q86" i="31" s="1"/>
  <c r="P86" i="31" s="1"/>
  <c r="O86" i="31" s="1"/>
  <c r="N86" i="31" s="1"/>
  <c r="M86" i="31" s="1"/>
  <c r="L86" i="31" s="1"/>
  <c r="K86" i="31" s="1"/>
  <c r="J86" i="31" s="1"/>
  <c r="BR89" i="31"/>
  <c r="BP89" i="31"/>
  <c r="BN89" i="31"/>
  <c r="BC89" i="31"/>
  <c r="AC83" i="31"/>
  <c r="BR122" i="31"/>
  <c r="BP122" i="31"/>
  <c r="BQ120" i="31"/>
  <c r="BP182" i="31"/>
  <c r="BP188" i="31" s="1"/>
  <c r="D886" i="31"/>
  <c r="D82" i="31"/>
  <c r="BO182" i="31"/>
  <c r="BO188" i="31" s="1"/>
  <c r="BQ89" i="31"/>
  <c r="BO89" i="31"/>
  <c r="BF89" i="31"/>
  <c r="BD88" i="31"/>
  <c r="BC88" i="31" s="1"/>
  <c r="BW182" i="31"/>
  <c r="BV165" i="31"/>
  <c r="D885" i="31"/>
  <c r="D23" i="31" s="1"/>
  <c r="D81" i="31"/>
  <c r="AR89" i="31"/>
  <c r="BY138" i="31"/>
  <c r="BT111" i="31"/>
  <c r="BR182" i="31"/>
  <c r="CA169" i="31"/>
  <c r="BS122" i="31"/>
  <c r="BX122" i="31"/>
  <c r="BS89" i="31"/>
  <c r="BX89" i="31"/>
  <c r="BS144" i="31"/>
  <c r="BY116" i="31"/>
  <c r="BY86" i="31"/>
  <c r="BY133" i="31"/>
  <c r="BY89" i="31"/>
  <c r="BY111" i="31"/>
  <c r="BS133" i="31"/>
  <c r="BS111" i="31"/>
  <c r="BA89" i="31"/>
  <c r="AZ89" i="31"/>
  <c r="AY89" i="31"/>
  <c r="AX89" i="31"/>
  <c r="AV89" i="31"/>
  <c r="AU89" i="31"/>
  <c r="AT89" i="31"/>
  <c r="AS89" i="31"/>
  <c r="AQ89" i="31"/>
  <c r="AP89" i="31"/>
  <c r="AO89" i="31"/>
  <c r="AN89" i="31"/>
  <c r="AL89" i="31"/>
  <c r="AK89" i="31"/>
  <c r="AJ89" i="31"/>
  <c r="AI89" i="31"/>
  <c r="AG89" i="31"/>
  <c r="AF89" i="31"/>
  <c r="AE89" i="31"/>
  <c r="AD89" i="31"/>
  <c r="AB89" i="31"/>
  <c r="AA89" i="31"/>
  <c r="Z89" i="31"/>
  <c r="Y89" i="31"/>
  <c r="W89" i="31"/>
  <c r="V89" i="31"/>
  <c r="U89" i="31"/>
  <c r="T89" i="31"/>
  <c r="R89" i="31"/>
  <c r="Q89" i="31"/>
  <c r="P89" i="31"/>
  <c r="O89" i="31"/>
  <c r="M89" i="31"/>
  <c r="L89" i="31"/>
  <c r="K89" i="31"/>
  <c r="J89" i="31"/>
  <c r="AW89" i="31"/>
  <c r="BN182" i="31"/>
  <c r="BL144" i="31"/>
  <c r="BK144" i="31" s="1"/>
  <c r="BJ144" i="31" s="1"/>
  <c r="BI144" i="31" s="1"/>
  <c r="BH144" i="31" s="1"/>
  <c r="BG144" i="31"/>
  <c r="BF144" i="31" s="1"/>
  <c r="BE144" i="31" s="1"/>
  <c r="BD144" i="31" s="1"/>
  <c r="BQ133" i="31"/>
  <c r="BL133" i="31"/>
  <c r="BK133" i="31" s="1"/>
  <c r="BJ133" i="31" s="1"/>
  <c r="BG133" i="31"/>
  <c r="BF133" i="31" s="1"/>
  <c r="BE133" i="31" s="1"/>
  <c r="BD133" i="31" s="1"/>
  <c r="BC133" i="31" s="1"/>
  <c r="BB133" i="31"/>
  <c r="BA133" i="31" s="1"/>
  <c r="AZ133" i="31" s="1"/>
  <c r="AY133" i="31" s="1"/>
  <c r="AX133" i="31" s="1"/>
  <c r="AW133" i="31"/>
  <c r="AV133" i="31" s="1"/>
  <c r="AU133" i="31" s="1"/>
  <c r="AT133" i="31" s="1"/>
  <c r="AS133" i="31" s="1"/>
  <c r="BV114" i="31"/>
  <c r="BB116" i="31"/>
  <c r="BH122" i="31"/>
  <c r="AZ116" i="31"/>
  <c r="BF122" i="31"/>
  <c r="AQ122" i="31"/>
  <c r="AP122" i="31"/>
  <c r="AO122" i="31"/>
  <c r="AN122" i="31"/>
  <c r="BL111" i="31"/>
  <c r="BK111" i="31" s="1"/>
  <c r="BJ111" i="31" s="1"/>
  <c r="BI111" i="31" s="1"/>
  <c r="BG111" i="31"/>
  <c r="BF111" i="31" s="1"/>
  <c r="BE111" i="31" s="1"/>
  <c r="BD111" i="31" s="1"/>
  <c r="BC111" i="31" s="1"/>
  <c r="BB111" i="31"/>
  <c r="BA111" i="31" s="1"/>
  <c r="AZ111" i="31" s="1"/>
  <c r="AY111" i="31" s="1"/>
  <c r="AX111" i="31" s="1"/>
  <c r="AW111" i="31"/>
  <c r="AV111" i="31" s="1"/>
  <c r="AU111" i="31" s="1"/>
  <c r="AT111" i="31" s="1"/>
  <c r="AS111" i="31" s="1"/>
  <c r="AR111" i="31"/>
  <c r="AQ111" i="31" s="1"/>
  <c r="AP111" i="31" s="1"/>
  <c r="AO111" i="31" s="1"/>
  <c r="AN111" i="31" s="1"/>
  <c r="BB887" i="31"/>
  <c r="BB25" i="31" s="1"/>
  <c r="BB891" i="31"/>
  <c r="AW887" i="31"/>
  <c r="AW25" i="31" s="1"/>
  <c r="AW891" i="31"/>
  <c r="AR887" i="31"/>
  <c r="AR25" i="31" s="1"/>
  <c r="AR891" i="31"/>
  <c r="AM887" i="31"/>
  <c r="AM25" i="31" s="1"/>
  <c r="AO87" i="31"/>
  <c r="AN87" i="31" s="1"/>
  <c r="AM87" i="31" s="1"/>
  <c r="AL87" i="31" s="1"/>
  <c r="AK87" i="31" s="1"/>
  <c r="AP88" i="31"/>
  <c r="BO122" i="31"/>
  <c r="BN122" i="31"/>
  <c r="BM122" i="31" s="1"/>
  <c r="BK122" i="31"/>
  <c r="BJ122" i="31"/>
  <c r="BI122" i="31"/>
  <c r="AM111" i="31"/>
  <c r="AL111" i="31" s="1"/>
  <c r="AK111" i="31" s="1"/>
  <c r="AJ111" i="31" s="1"/>
  <c r="AI111" i="31" s="1"/>
  <c r="AH111" i="31"/>
  <c r="AG111" i="31" s="1"/>
  <c r="AF111" i="31" s="1"/>
  <c r="AE111" i="31" s="1"/>
  <c r="AD111" i="31" s="1"/>
  <c r="AC111" i="31" s="1"/>
  <c r="AB111" i="31" s="1"/>
  <c r="AA111" i="31" s="1"/>
  <c r="Z111" i="31" s="1"/>
  <c r="Y111" i="31" s="1"/>
  <c r="X111" i="31" s="1"/>
  <c r="W111" i="31" s="1"/>
  <c r="V111" i="31" s="1"/>
  <c r="U111" i="31" s="1"/>
  <c r="T111" i="31" s="1"/>
  <c r="S111" i="31" s="1"/>
  <c r="R111" i="31" s="1"/>
  <c r="Q111" i="31" s="1"/>
  <c r="P111" i="31" s="1"/>
  <c r="O111" i="31" s="1"/>
  <c r="N111" i="31" s="1"/>
  <c r="M111" i="31" s="1"/>
  <c r="L111" i="31" s="1"/>
  <c r="K111" i="31" s="1"/>
  <c r="J111" i="31" s="1"/>
  <c r="BM89" i="31"/>
  <c r="BL89" i="31"/>
  <c r="BK89" i="31" s="1"/>
  <c r="BJ89" i="31"/>
  <c r="BI89" i="31"/>
  <c r="BH89" i="31" s="1"/>
  <c r="AM891" i="31"/>
  <c r="AH893" i="31"/>
  <c r="AG893" i="31" s="1"/>
  <c r="AF893" i="31" s="1"/>
  <c r="AE893" i="31" s="1"/>
  <c r="AD893" i="31" s="1"/>
  <c r="AC893" i="31"/>
  <c r="AB893" i="31" s="1"/>
  <c r="AA893" i="31" s="1"/>
  <c r="Z893" i="31" s="1"/>
  <c r="Y893" i="31" s="1"/>
  <c r="X893" i="31"/>
  <c r="W893" i="31" s="1"/>
  <c r="V893" i="31" s="1"/>
  <c r="U893" i="31" s="1"/>
  <c r="T893" i="31" s="1"/>
  <c r="S893" i="31"/>
  <c r="N893" i="31"/>
  <c r="BB890" i="31"/>
  <c r="AW890" i="31"/>
  <c r="AV890" i="31" s="1"/>
  <c r="AR890" i="31"/>
  <c r="AQ890" i="31" s="1"/>
  <c r="AP890" i="31" s="1"/>
  <c r="AO890" i="31" s="1"/>
  <c r="AN890" i="31" s="1"/>
  <c r="AS121" i="31"/>
  <c r="BQ111" i="31"/>
  <c r="BG89" i="31"/>
  <c r="BE89" i="31"/>
  <c r="BD89" i="31"/>
  <c r="BQ144" i="31"/>
  <c r="BP144" i="31" s="1"/>
  <c r="BO144" i="31" s="1"/>
  <c r="BN144" i="31" s="1"/>
  <c r="BM144" i="31" s="1"/>
  <c r="I891" i="31" l="1"/>
  <c r="D24" i="31"/>
  <c r="BL122" i="31"/>
  <c r="N89" i="31"/>
  <c r="AC89" i="31"/>
  <c r="AR893" i="31"/>
  <c r="BG122" i="31"/>
  <c r="AH89" i="31"/>
  <c r="BY144" i="31"/>
  <c r="CA125" i="31"/>
  <c r="D83" i="31"/>
  <c r="I89" i="31" s="1"/>
  <c r="BW188" i="31"/>
  <c r="X89" i="31"/>
  <c r="AR121" i="31"/>
  <c r="AQ121" i="31" s="1"/>
  <c r="AP121" i="31" s="1"/>
  <c r="AO121" i="31" s="1"/>
  <c r="AN121" i="31" s="1"/>
  <c r="AM893" i="31"/>
  <c r="AL893" i="31" s="1"/>
  <c r="AK893" i="31" s="1"/>
  <c r="AJ893" i="31" s="1"/>
  <c r="AI893" i="31" s="1"/>
  <c r="BQ122" i="31"/>
  <c r="S89" i="31"/>
  <c r="BB893" i="31"/>
  <c r="AO88" i="31"/>
  <c r="AN88" i="31" s="1"/>
  <c r="AW893" i="31"/>
  <c r="I86" i="31"/>
  <c r="I890" i="31"/>
  <c r="D887" i="31"/>
  <c r="CA174" i="31"/>
  <c r="BU141" i="31"/>
  <c r="AJ87" i="31"/>
  <c r="AI87" i="31" s="1"/>
  <c r="AH87" i="31" s="1"/>
  <c r="AG87" i="31" s="1"/>
  <c r="AF87" i="31" s="1"/>
  <c r="AE87" i="31" s="1"/>
  <c r="AD87" i="31" s="1"/>
  <c r="AC87" i="31" s="1"/>
  <c r="AB87" i="31" s="1"/>
  <c r="AA87" i="31" s="1"/>
  <c r="Z87" i="31" s="1"/>
  <c r="Y87" i="31" s="1"/>
  <c r="X87" i="31" s="1"/>
  <c r="W87" i="31" s="1"/>
  <c r="V87" i="31" s="1"/>
  <c r="U87" i="31" s="1"/>
  <c r="T87" i="31" s="1"/>
  <c r="S87" i="31" s="1"/>
  <c r="R87" i="31" s="1"/>
  <c r="Q87" i="31" s="1"/>
  <c r="P87" i="31" s="1"/>
  <c r="O87" i="31" s="1"/>
  <c r="N87" i="31" s="1"/>
  <c r="M87" i="31" s="1"/>
  <c r="L87" i="31" s="1"/>
  <c r="K87" i="31" s="1"/>
  <c r="J87" i="31" s="1"/>
  <c r="I87" i="31" s="1"/>
  <c r="AK88" i="31"/>
  <c r="AY116" i="31"/>
  <c r="BE122" i="31"/>
  <c r="BV119" i="31"/>
  <c r="BU130" i="31"/>
  <c r="BM182" i="31"/>
  <c r="BM188" i="31" s="1"/>
  <c r="BN188" i="31"/>
  <c r="I893" i="31" l="1"/>
  <c r="D25" i="31"/>
  <c r="CP125" i="31"/>
  <c r="CI114" i="31"/>
  <c r="CA130" i="31"/>
  <c r="CF125" i="31"/>
  <c r="CA136" i="31"/>
  <c r="CA141" i="31" s="1"/>
  <c r="BY119" i="31"/>
  <c r="AJ88" i="31"/>
  <c r="AI88" i="31" s="1"/>
  <c r="BT119" i="31"/>
  <c r="BT116" i="31"/>
  <c r="AX116" i="31"/>
  <c r="BD122" i="31"/>
  <c r="BU119" i="31"/>
  <c r="CU130" i="31" l="1"/>
  <c r="CI119" i="31"/>
  <c r="CN119" i="31"/>
  <c r="CF130" i="31"/>
  <c r="CE114" i="31"/>
  <c r="CE119" i="31" s="1"/>
  <c r="CA114" i="31"/>
  <c r="CF136" i="31"/>
  <c r="CF141" i="31" s="1"/>
  <c r="BT122" i="31"/>
  <c r="BY122" i="31"/>
  <c r="BZ119" i="31"/>
  <c r="AW116" i="31"/>
  <c r="BC122" i="31"/>
  <c r="BT75" i="31"/>
  <c r="BR57" i="31"/>
  <c r="DJ89" i="9" s="1"/>
  <c r="DJ90" i="9" s="1"/>
  <c r="BQ57" i="31"/>
  <c r="DI89" i="9" s="1"/>
  <c r="BP57" i="31"/>
  <c r="DH89" i="9" s="1"/>
  <c r="BO57" i="31"/>
  <c r="DG89" i="9" s="1"/>
  <c r="BN57" i="31"/>
  <c r="DF89" i="9" s="1"/>
  <c r="BM57" i="31"/>
  <c r="DE89" i="9" s="1"/>
  <c r="BL57" i="31"/>
  <c r="DD89" i="9" s="1"/>
  <c r="BK57" i="31"/>
  <c r="DC89" i="9" s="1"/>
  <c r="BJ57" i="31"/>
  <c r="DB89" i="9" s="1"/>
  <c r="BI57" i="31"/>
  <c r="DA89" i="9" s="1"/>
  <c r="BH57" i="31"/>
  <c r="CZ89" i="9" s="1"/>
  <c r="BG57" i="31"/>
  <c r="CY89" i="9" s="1"/>
  <c r="BF57" i="31"/>
  <c r="CX89" i="9" s="1"/>
  <c r="BE57" i="31"/>
  <c r="CW89" i="9" s="1"/>
  <c r="BD57" i="31"/>
  <c r="CV89" i="9" s="1"/>
  <c r="BC57" i="31"/>
  <c r="CU89" i="9" s="1"/>
  <c r="BB57" i="31"/>
  <c r="CT89" i="9" s="1"/>
  <c r="BA57" i="31"/>
  <c r="CS89" i="9" s="1"/>
  <c r="AZ57" i="31"/>
  <c r="CR89" i="9" s="1"/>
  <c r="AY57" i="31"/>
  <c r="CQ89" i="9" s="1"/>
  <c r="AX57" i="31"/>
  <c r="CP89" i="9" s="1"/>
  <c r="AW57" i="31"/>
  <c r="CO89" i="9" s="1"/>
  <c r="AV57" i="31"/>
  <c r="CN89" i="9" s="1"/>
  <c r="AU57" i="31"/>
  <c r="CM89" i="9" s="1"/>
  <c r="AT57" i="31"/>
  <c r="CL89" i="9" s="1"/>
  <c r="AS57" i="31"/>
  <c r="CK89" i="9" s="1"/>
  <c r="AR57" i="31"/>
  <c r="CJ89" i="9" s="1"/>
  <c r="AQ57" i="31"/>
  <c r="CI89" i="9" s="1"/>
  <c r="AP57" i="31"/>
  <c r="CH89" i="9" s="1"/>
  <c r="AO57" i="31"/>
  <c r="CG89" i="9" s="1"/>
  <c r="AN57" i="31"/>
  <c r="CF89" i="9" s="1"/>
  <c r="AM57" i="31"/>
  <c r="CE89" i="9" s="1"/>
  <c r="AL57" i="31"/>
  <c r="CD89" i="9" s="1"/>
  <c r="AK57" i="31"/>
  <c r="CC89" i="9" s="1"/>
  <c r="AJ57" i="31"/>
  <c r="CB89" i="9" s="1"/>
  <c r="AI57" i="31"/>
  <c r="CA89" i="9" s="1"/>
  <c r="AH57" i="31"/>
  <c r="BZ89" i="9" s="1"/>
  <c r="AG57" i="31"/>
  <c r="BY89" i="9" s="1"/>
  <c r="AF57" i="31"/>
  <c r="BX89" i="9" s="1"/>
  <c r="AE57" i="31"/>
  <c r="BW89" i="9" s="1"/>
  <c r="AD57" i="31"/>
  <c r="BV89" i="9" s="1"/>
  <c r="AC57" i="31"/>
  <c r="BU89" i="9" s="1"/>
  <c r="AB57" i="31"/>
  <c r="BT89" i="9" s="1"/>
  <c r="AA57" i="31"/>
  <c r="BS89" i="9" s="1"/>
  <c r="Z57" i="31"/>
  <c r="BR89" i="9" s="1"/>
  <c r="Y57" i="31"/>
  <c r="BQ89" i="9" s="1"/>
  <c r="X57" i="31"/>
  <c r="BP89" i="9" s="1"/>
  <c r="W57" i="31"/>
  <c r="BO89" i="9" s="1"/>
  <c r="V57" i="31"/>
  <c r="BN89" i="9" s="1"/>
  <c r="U57" i="31"/>
  <c r="BM89" i="9" s="1"/>
  <c r="T57" i="31"/>
  <c r="BL89" i="9" s="1"/>
  <c r="S57" i="31"/>
  <c r="BK89" i="9" s="1"/>
  <c r="R57" i="31"/>
  <c r="BJ89" i="9" s="1"/>
  <c r="Q57" i="31"/>
  <c r="BI89" i="9" s="1"/>
  <c r="P57" i="31"/>
  <c r="BH89" i="9" s="1"/>
  <c r="O57" i="31"/>
  <c r="BG89" i="9" s="1"/>
  <c r="N57" i="31"/>
  <c r="BF89" i="9" s="1"/>
  <c r="M57" i="31"/>
  <c r="BE89" i="9" s="1"/>
  <c r="L57" i="31"/>
  <c r="BD89" i="9" s="1"/>
  <c r="K57" i="31"/>
  <c r="BC89" i="9" s="1"/>
  <c r="J57" i="31"/>
  <c r="BB89" i="9" s="1"/>
  <c r="I57" i="31"/>
  <c r="BA89" i="9" s="1"/>
  <c r="H57" i="31"/>
  <c r="AZ89" i="9" s="1"/>
  <c r="G57" i="31"/>
  <c r="AY89" i="9" s="1"/>
  <c r="F57" i="31"/>
  <c r="AX89" i="9" s="1"/>
  <c r="E57" i="31"/>
  <c r="AW89" i="9" s="1"/>
  <c r="D57" i="31"/>
  <c r="AV89" i="9" s="1"/>
  <c r="BT56" i="31"/>
  <c r="BS56" i="31"/>
  <c r="BQ56" i="31"/>
  <c r="DI88" i="9" s="1"/>
  <c r="BP56" i="31"/>
  <c r="DH88" i="9" s="1"/>
  <c r="BO56" i="31"/>
  <c r="DG88" i="9" s="1"/>
  <c r="BN56" i="31"/>
  <c r="DF88" i="9" s="1"/>
  <c r="BM56" i="31"/>
  <c r="DE88" i="9" s="1"/>
  <c r="BL56" i="31"/>
  <c r="DD88" i="9" s="1"/>
  <c r="BK56" i="31"/>
  <c r="DC88" i="9" s="1"/>
  <c r="BJ56" i="31"/>
  <c r="DB88" i="9" s="1"/>
  <c r="BI56" i="31"/>
  <c r="DA88" i="9" s="1"/>
  <c r="BH56" i="31"/>
  <c r="CZ88" i="9" s="1"/>
  <c r="BG56" i="31"/>
  <c r="CY88" i="9" s="1"/>
  <c r="BF56" i="31"/>
  <c r="CX88" i="9" s="1"/>
  <c r="BE56" i="31"/>
  <c r="CW88" i="9" s="1"/>
  <c r="BD56" i="31"/>
  <c r="CV88" i="9" s="1"/>
  <c r="BC56" i="31"/>
  <c r="CU88" i="9" s="1"/>
  <c r="BB56" i="31"/>
  <c r="CT88" i="9" s="1"/>
  <c r="BA56" i="31"/>
  <c r="CS88" i="9" s="1"/>
  <c r="AZ56" i="31"/>
  <c r="CR88" i="9" s="1"/>
  <c r="AY56" i="31"/>
  <c r="CQ88" i="9" s="1"/>
  <c r="AX56" i="31"/>
  <c r="CP88" i="9" s="1"/>
  <c r="AW56" i="31"/>
  <c r="CO88" i="9" s="1"/>
  <c r="AV56" i="31"/>
  <c r="CN88" i="9" s="1"/>
  <c r="AU56" i="31"/>
  <c r="CM88" i="9" s="1"/>
  <c r="AT56" i="31"/>
  <c r="CL88" i="9" s="1"/>
  <c r="AS56" i="31"/>
  <c r="CK88" i="9" s="1"/>
  <c r="AR56" i="31"/>
  <c r="CJ88" i="9" s="1"/>
  <c r="AQ56" i="31"/>
  <c r="CI88" i="9" s="1"/>
  <c r="AP56" i="31"/>
  <c r="CH88" i="9" s="1"/>
  <c r="AO56" i="31"/>
  <c r="CG88" i="9" s="1"/>
  <c r="AN56" i="31"/>
  <c r="CF88" i="9" s="1"/>
  <c r="AM56" i="31"/>
  <c r="CE88" i="9" s="1"/>
  <c r="AL56" i="31"/>
  <c r="CD88" i="9" s="1"/>
  <c r="AK56" i="31"/>
  <c r="CC88" i="9" s="1"/>
  <c r="AJ56" i="31"/>
  <c r="CB88" i="9" s="1"/>
  <c r="AI56" i="31"/>
  <c r="CA88" i="9" s="1"/>
  <c r="AH56" i="31"/>
  <c r="BZ88" i="9" s="1"/>
  <c r="AG56" i="31"/>
  <c r="BY88" i="9" s="1"/>
  <c r="AF56" i="31"/>
  <c r="BX88" i="9" s="1"/>
  <c r="AE56" i="31"/>
  <c r="BW88" i="9" s="1"/>
  <c r="AD56" i="31"/>
  <c r="BV88" i="9" s="1"/>
  <c r="AC56" i="31"/>
  <c r="BU88" i="9" s="1"/>
  <c r="AB56" i="31"/>
  <c r="BT88" i="9" s="1"/>
  <c r="AA56" i="31"/>
  <c r="BS88" i="9" s="1"/>
  <c r="Z56" i="31"/>
  <c r="BR88" i="9" s="1"/>
  <c r="Y56" i="31"/>
  <c r="BQ88" i="9" s="1"/>
  <c r="X56" i="31"/>
  <c r="BP88" i="9" s="1"/>
  <c r="W56" i="31"/>
  <c r="BO88" i="9" s="1"/>
  <c r="V56" i="31"/>
  <c r="BN88" i="9" s="1"/>
  <c r="U56" i="31"/>
  <c r="BM88" i="9" s="1"/>
  <c r="T56" i="31"/>
  <c r="BL88" i="9" s="1"/>
  <c r="S56" i="31"/>
  <c r="BK88" i="9" s="1"/>
  <c r="R56" i="31"/>
  <c r="BJ88" i="9" s="1"/>
  <c r="Q56" i="31"/>
  <c r="BI88" i="9" s="1"/>
  <c r="P56" i="31"/>
  <c r="BH88" i="9" s="1"/>
  <c r="O56" i="31"/>
  <c r="BG88" i="9" s="1"/>
  <c r="N56" i="31"/>
  <c r="BF88" i="9" s="1"/>
  <c r="M56" i="31"/>
  <c r="BE88" i="9" s="1"/>
  <c r="L56" i="31"/>
  <c r="BD88" i="9" s="1"/>
  <c r="K56" i="31"/>
  <c r="BC88" i="9" s="1"/>
  <c r="J56" i="31"/>
  <c r="BB88" i="9" s="1"/>
  <c r="I56" i="31"/>
  <c r="BA88" i="9" s="1"/>
  <c r="H56" i="31"/>
  <c r="AZ88" i="9" s="1"/>
  <c r="G56" i="31"/>
  <c r="AY88" i="9" s="1"/>
  <c r="F56" i="31"/>
  <c r="AX88" i="9" s="1"/>
  <c r="E56" i="31"/>
  <c r="AW88" i="9" s="1"/>
  <c r="D56" i="31"/>
  <c r="AV88" i="9" s="1"/>
  <c r="AW90" i="9" l="1"/>
  <c r="BC90" i="9"/>
  <c r="BI90" i="9"/>
  <c r="BO90" i="9"/>
  <c r="BU90" i="9"/>
  <c r="CA90" i="9"/>
  <c r="CG90" i="9"/>
  <c r="CM90" i="9"/>
  <c r="CS90" i="9"/>
  <c r="CY90" i="9"/>
  <c r="DE90" i="9"/>
  <c r="BD90" i="9"/>
  <c r="BP90" i="9"/>
  <c r="BV90" i="9"/>
  <c r="CB90" i="9"/>
  <c r="CN90" i="9"/>
  <c r="CT90" i="9"/>
  <c r="CZ90" i="9"/>
  <c r="AX90" i="9"/>
  <c r="BJ90" i="9"/>
  <c r="CH90" i="9"/>
  <c r="DF90" i="9"/>
  <c r="AV90" i="9"/>
  <c r="BB90" i="9"/>
  <c r="BH90" i="9"/>
  <c r="BN90" i="9"/>
  <c r="BT90" i="9"/>
  <c r="BZ90" i="9"/>
  <c r="CF90" i="9"/>
  <c r="CL90" i="9"/>
  <c r="CR90" i="9"/>
  <c r="CX90" i="9"/>
  <c r="DD90" i="9"/>
  <c r="AZ90" i="9"/>
  <c r="BF90" i="9"/>
  <c r="BL90" i="9"/>
  <c r="BR90" i="9"/>
  <c r="BX90" i="9"/>
  <c r="CD90" i="9"/>
  <c r="CJ90" i="9"/>
  <c r="CP90" i="9"/>
  <c r="CV90" i="9"/>
  <c r="DB90" i="9"/>
  <c r="DH90" i="9"/>
  <c r="BA90" i="9"/>
  <c r="BG90" i="9"/>
  <c r="BM90" i="9"/>
  <c r="BS90" i="9"/>
  <c r="BY90" i="9"/>
  <c r="CE90" i="9"/>
  <c r="CK90" i="9"/>
  <c r="CQ90" i="9"/>
  <c r="CW90" i="9"/>
  <c r="DC90" i="9"/>
  <c r="DI90" i="9"/>
  <c r="AY90" i="9"/>
  <c r="BE90" i="9"/>
  <c r="BK90" i="9"/>
  <c r="BQ90" i="9"/>
  <c r="BW90" i="9"/>
  <c r="CC90" i="9"/>
  <c r="CI90" i="9"/>
  <c r="CO90" i="9"/>
  <c r="CU90" i="9"/>
  <c r="DA90" i="9"/>
  <c r="DG90" i="9"/>
  <c r="BX61" i="31"/>
  <c r="DK88" i="9"/>
  <c r="BY61" i="31"/>
  <c r="DL88" i="9"/>
  <c r="CA119" i="31"/>
  <c r="BL61" i="31"/>
  <c r="AQ62" i="31"/>
  <c r="AS62" i="31"/>
  <c r="AS63" i="31" s="1"/>
  <c r="AU62" i="31"/>
  <c r="AU63" i="31" s="1"/>
  <c r="AW62" i="31"/>
  <c r="AY62" i="31"/>
  <c r="AY63" i="31" s="1"/>
  <c r="BG62" i="31"/>
  <c r="BM62" i="31"/>
  <c r="BO62" i="31"/>
  <c r="BQ62" i="31"/>
  <c r="I61" i="31"/>
  <c r="BO61" i="31"/>
  <c r="AL62" i="31"/>
  <c r="AR62" i="31"/>
  <c r="AT62" i="31"/>
  <c r="AT63" i="31" s="1"/>
  <c r="AV62" i="31"/>
  <c r="AV63" i="31" s="1"/>
  <c r="AX62" i="31"/>
  <c r="AX63" i="31" s="1"/>
  <c r="AZ62" i="31"/>
  <c r="AZ63" i="31" s="1"/>
  <c r="BH62" i="31"/>
  <c r="BH63" i="31" s="1"/>
  <c r="BN62" i="31"/>
  <c r="BP62" i="31"/>
  <c r="BB122" i="31"/>
  <c r="BK61" i="31"/>
  <c r="BJ61" i="31" s="1"/>
  <c r="BI61" i="31" s="1"/>
  <c r="BH61" i="31" s="1"/>
  <c r="BG61" i="31" s="1"/>
  <c r="BF61" i="31" s="1"/>
  <c r="BE61" i="31" s="1"/>
  <c r="BD61" i="31" s="1"/>
  <c r="BC61" i="31" s="1"/>
  <c r="BN61" i="31"/>
  <c r="BM61" i="31" s="1"/>
  <c r="AK62" i="31"/>
  <c r="AJ62" i="31" s="1"/>
  <c r="AI62" i="31" s="1"/>
  <c r="AP62" i="31"/>
  <c r="AO62" i="31" s="1"/>
  <c r="AN62" i="31" s="1"/>
  <c r="AM62" i="31"/>
  <c r="AH62" i="31"/>
  <c r="AG62" i="31" s="1"/>
  <c r="AF62" i="31" s="1"/>
  <c r="AE62" i="31" s="1"/>
  <c r="AD62" i="31" s="1"/>
  <c r="AC62" i="31" s="1"/>
  <c r="AB62" i="31" s="1"/>
  <c r="AA62" i="31" s="1"/>
  <c r="Z62" i="31" s="1"/>
  <c r="Y62" i="31" s="1"/>
  <c r="X62" i="31" s="1"/>
  <c r="BB61" i="31"/>
  <c r="BA61" i="31" s="1"/>
  <c r="AZ61" i="31" s="1"/>
  <c r="AY61" i="31" s="1"/>
  <c r="AX61" i="31" s="1"/>
  <c r="AW61" i="31" s="1"/>
  <c r="AV61" i="31" s="1"/>
  <c r="AU61" i="31" s="1"/>
  <c r="AT61" i="31" s="1"/>
  <c r="AS61" i="31" s="1"/>
  <c r="AR61" i="31" s="1"/>
  <c r="AQ61" i="31" s="1"/>
  <c r="AP61" i="31" s="1"/>
  <c r="AO61" i="31" s="1"/>
  <c r="AN61" i="31" s="1"/>
  <c r="AM61" i="31" s="1"/>
  <c r="AL61" i="31" s="1"/>
  <c r="AK61" i="31" s="1"/>
  <c r="AJ61" i="31" s="1"/>
  <c r="AI61" i="31" s="1"/>
  <c r="AH61" i="31" s="1"/>
  <c r="AG61" i="31" s="1"/>
  <c r="AF61" i="31" s="1"/>
  <c r="AE61" i="31" s="1"/>
  <c r="AD61" i="31" s="1"/>
  <c r="AC61" i="31" s="1"/>
  <c r="AB61" i="31" s="1"/>
  <c r="AA61" i="31" s="1"/>
  <c r="Z61" i="31" s="1"/>
  <c r="Y61" i="31" s="1"/>
  <c r="X61" i="31" s="1"/>
  <c r="W61" i="31" s="1"/>
  <c r="V61" i="31" s="1"/>
  <c r="U61" i="31" s="1"/>
  <c r="T61" i="31" s="1"/>
  <c r="S61" i="31" s="1"/>
  <c r="R61" i="31" s="1"/>
  <c r="Q61" i="31" s="1"/>
  <c r="P61" i="31" s="1"/>
  <c r="O61" i="31" s="1"/>
  <c r="N61" i="31" s="1"/>
  <c r="M61" i="31" s="1"/>
  <c r="L61" i="31" s="1"/>
  <c r="K61" i="31" s="1"/>
  <c r="J61" i="31" s="1"/>
  <c r="BR62" i="31"/>
  <c r="AV116" i="31"/>
  <c r="AW122" i="31"/>
  <c r="BF62" i="31"/>
  <c r="BL62" i="31"/>
  <c r="BK62" i="31" s="1"/>
  <c r="BJ62" i="31" s="1"/>
  <c r="BI62" i="31" s="1"/>
  <c r="BI63" i="31" s="1"/>
  <c r="E58" i="31"/>
  <c r="F58" i="31"/>
  <c r="G58" i="31"/>
  <c r="H58" i="31"/>
  <c r="I58" i="31"/>
  <c r="J58" i="31"/>
  <c r="K58" i="31"/>
  <c r="L58" i="31"/>
  <c r="M58" i="31"/>
  <c r="N58" i="31"/>
  <c r="O58" i="31"/>
  <c r="P58" i="31"/>
  <c r="Q58" i="31"/>
  <c r="R58" i="31"/>
  <c r="BH58" i="31"/>
  <c r="BK58" i="31"/>
  <c r="BL58" i="31"/>
  <c r="BM58" i="31"/>
  <c r="BN58" i="31"/>
  <c r="BO58" i="31"/>
  <c r="BQ58" i="31"/>
  <c r="BR58" i="31"/>
  <c r="BR61" i="31"/>
  <c r="BQ61" i="31" s="1"/>
  <c r="BP61" i="31" s="1"/>
  <c r="BS61" i="31"/>
  <c r="BT61" i="31"/>
  <c r="J62" i="31"/>
  <c r="I62" i="31" s="1"/>
  <c r="K62" i="31"/>
  <c r="L62" i="31"/>
  <c r="M62" i="31"/>
  <c r="N62" i="31"/>
  <c r="O62" i="31"/>
  <c r="P62" i="31"/>
  <c r="Q62" i="31"/>
  <c r="R62" i="31"/>
  <c r="S62" i="31"/>
  <c r="T62" i="31"/>
  <c r="U62" i="31"/>
  <c r="V62" i="31"/>
  <c r="W62" i="31"/>
  <c r="CZ97" i="9"/>
  <c r="CX97" i="9"/>
  <c r="CU97" i="9"/>
  <c r="BU97" i="9"/>
  <c r="BN97" i="9"/>
  <c r="DD96" i="9"/>
  <c r="DA96" i="9"/>
  <c r="CZ96" i="9"/>
  <c r="CY96" i="9"/>
  <c r="CX96" i="9"/>
  <c r="CW96" i="9"/>
  <c r="CV96" i="9"/>
  <c r="CU96" i="9"/>
  <c r="BP35" i="31"/>
  <c r="BO35" i="31"/>
  <c r="BN35" i="31"/>
  <c r="BM35" i="31"/>
  <c r="BB35" i="31"/>
  <c r="CT93" i="9" s="1"/>
  <c r="BA35" i="31"/>
  <c r="CS93" i="9" s="1"/>
  <c r="AZ35" i="31"/>
  <c r="CR93" i="9" s="1"/>
  <c r="AY35" i="31"/>
  <c r="CQ93" i="9" s="1"/>
  <c r="AX35" i="31"/>
  <c r="CP93" i="9" s="1"/>
  <c r="AW35" i="31"/>
  <c r="CO93" i="9" s="1"/>
  <c r="AV35" i="31"/>
  <c r="AU35" i="31"/>
  <c r="AT35" i="31"/>
  <c r="AS35" i="31"/>
  <c r="AR35" i="31"/>
  <c r="CJ93" i="9" s="1"/>
  <c r="AQ35" i="31"/>
  <c r="AP35" i="31"/>
  <c r="AO35" i="31"/>
  <c r="AN35" i="31"/>
  <c r="AM35" i="31"/>
  <c r="CE93" i="9" s="1"/>
  <c r="AL35" i="31"/>
  <c r="AK35" i="31"/>
  <c r="AJ35" i="31"/>
  <c r="AI35" i="31"/>
  <c r="AH35" i="31"/>
  <c r="BZ93" i="9" s="1"/>
  <c r="AG35" i="31"/>
  <c r="AF35" i="31"/>
  <c r="AE35" i="31"/>
  <c r="AD35" i="31"/>
  <c r="AC35" i="31"/>
  <c r="BU93" i="9" s="1"/>
  <c r="AB35" i="31"/>
  <c r="AA35" i="31"/>
  <c r="Z35" i="31"/>
  <c r="Y35" i="31"/>
  <c r="X35" i="31"/>
  <c r="BP93" i="9" s="1"/>
  <c r="W35" i="31"/>
  <c r="V35" i="31"/>
  <c r="U35" i="31"/>
  <c r="T35" i="31"/>
  <c r="S35" i="31"/>
  <c r="BK93" i="9" s="1"/>
  <c r="R35" i="31"/>
  <c r="Q35" i="31"/>
  <c r="P35" i="31"/>
  <c r="O35" i="31"/>
  <c r="N35" i="31"/>
  <c r="M35" i="31"/>
  <c r="L35" i="31"/>
  <c r="K35" i="31"/>
  <c r="J35" i="31"/>
  <c r="I35" i="31"/>
  <c r="H35" i="31"/>
  <c r="G35" i="31"/>
  <c r="F35" i="31"/>
  <c r="E35" i="31"/>
  <c r="D35" i="31"/>
  <c r="BQ34" i="31"/>
  <c r="BP34" i="31"/>
  <c r="BO34" i="31"/>
  <c r="BN34" i="31"/>
  <c r="BM34" i="31"/>
  <c r="BB34" i="31"/>
  <c r="BA34" i="31"/>
  <c r="CS92" i="9" s="1"/>
  <c r="AZ34" i="31"/>
  <c r="CR92" i="9" s="1"/>
  <c r="AY34" i="31"/>
  <c r="AX34" i="31"/>
  <c r="AW34" i="31"/>
  <c r="AV34" i="31"/>
  <c r="CN92" i="9" s="1"/>
  <c r="AU34" i="31"/>
  <c r="CM92" i="9" s="1"/>
  <c r="AT34" i="31"/>
  <c r="CL92" i="9" s="1"/>
  <c r="AS34" i="31"/>
  <c r="CK92" i="9" s="1"/>
  <c r="AR34" i="31"/>
  <c r="CJ92" i="9" s="1"/>
  <c r="AQ34" i="31"/>
  <c r="CI92" i="9" s="1"/>
  <c r="AP34" i="31"/>
  <c r="AO34" i="31"/>
  <c r="CG92" i="9" s="1"/>
  <c r="AN34" i="31"/>
  <c r="AM34" i="31"/>
  <c r="CE92" i="9" s="1"/>
  <c r="AL34" i="31"/>
  <c r="CD92" i="9" s="1"/>
  <c r="AK34" i="31"/>
  <c r="CC92" i="9" s="1"/>
  <c r="AJ34" i="31"/>
  <c r="CB92" i="9" s="1"/>
  <c r="AI34" i="31"/>
  <c r="CA92" i="9" s="1"/>
  <c r="AH34" i="31"/>
  <c r="BZ92" i="9" s="1"/>
  <c r="AG34" i="31"/>
  <c r="BY92" i="9" s="1"/>
  <c r="AF34" i="31"/>
  <c r="BX92" i="9" s="1"/>
  <c r="AE34" i="31"/>
  <c r="BW92" i="9" s="1"/>
  <c r="AD34" i="31"/>
  <c r="BV92" i="9" s="1"/>
  <c r="AC34" i="31"/>
  <c r="BU92" i="9" s="1"/>
  <c r="AB34" i="31"/>
  <c r="BT92" i="9" s="1"/>
  <c r="AA34" i="31"/>
  <c r="BS92" i="9" s="1"/>
  <c r="Z34" i="31"/>
  <c r="BR92" i="9" s="1"/>
  <c r="Y34" i="31"/>
  <c r="BQ92" i="9" s="1"/>
  <c r="X34" i="31"/>
  <c r="BP92" i="9" s="1"/>
  <c r="W34" i="31"/>
  <c r="BO92" i="9" s="1"/>
  <c r="V34" i="31"/>
  <c r="BN92" i="9" s="1"/>
  <c r="U34" i="31"/>
  <c r="BM92" i="9" s="1"/>
  <c r="T34" i="31"/>
  <c r="BL92" i="9" s="1"/>
  <c r="S34" i="31"/>
  <c r="BK92" i="9" s="1"/>
  <c r="R34" i="31"/>
  <c r="Q34" i="31"/>
  <c r="P34" i="31"/>
  <c r="O34" i="31"/>
  <c r="N34" i="31"/>
  <c r="M34" i="31"/>
  <c r="L34" i="31"/>
  <c r="K34" i="31"/>
  <c r="J34" i="31"/>
  <c r="I34" i="31"/>
  <c r="H34" i="31"/>
  <c r="G34" i="31"/>
  <c r="F34" i="31"/>
  <c r="E34" i="31"/>
  <c r="D34" i="31"/>
  <c r="BJ110" i="9"/>
  <c r="BI110" i="9"/>
  <c r="BH110" i="9"/>
  <c r="BG110" i="9"/>
  <c r="BF110" i="9"/>
  <c r="BE110" i="9"/>
  <c r="BD110" i="9"/>
  <c r="BC110" i="9"/>
  <c r="BB110" i="9"/>
  <c r="BA110" i="9"/>
  <c r="AZ110" i="9"/>
  <c r="AY110" i="9"/>
  <c r="AX110" i="9"/>
  <c r="AW110" i="9"/>
  <c r="DE23" i="9"/>
  <c r="DI23" i="9" s="1"/>
  <c r="CT23" i="9"/>
  <c r="CS23" i="9"/>
  <c r="CR23" i="9"/>
  <c r="CD23" i="9"/>
  <c r="BZ23" i="9"/>
  <c r="BX23" i="9"/>
  <c r="BT23" i="9"/>
  <c r="BS23" i="9"/>
  <c r="BR23" i="9"/>
  <c r="BQ23" i="9"/>
  <c r="BB23" i="9"/>
  <c r="BA23" i="9"/>
  <c r="AZ23" i="9"/>
  <c r="AX23" i="9"/>
  <c r="DE22" i="9"/>
  <c r="CQ22" i="9"/>
  <c r="CP22" i="9"/>
  <c r="CD22" i="9"/>
  <c r="CC22" i="9"/>
  <c r="CB22" i="9"/>
  <c r="CA22" i="9"/>
  <c r="BZ22" i="9"/>
  <c r="BW22" i="9"/>
  <c r="BV22" i="9"/>
  <c r="BJ22" i="9"/>
  <c r="BI22" i="9"/>
  <c r="BH22" i="9"/>
  <c r="BG22" i="9"/>
  <c r="BA22" i="9"/>
  <c r="AY22" i="9"/>
  <c r="AW22" i="9"/>
  <c r="AV22" i="9"/>
  <c r="CJ94" i="9" l="1"/>
  <c r="BU94" i="9"/>
  <c r="CS94" i="9"/>
  <c r="BP94" i="9"/>
  <c r="BK94" i="9"/>
  <c r="BZ94" i="9"/>
  <c r="BJ58" i="31"/>
  <c r="BG21" i="31"/>
  <c r="CU98" i="9"/>
  <c r="X51" i="31"/>
  <c r="BI51" i="31"/>
  <c r="BI52" i="31" s="1"/>
  <c r="BO51" i="31"/>
  <c r="BQ51" i="31"/>
  <c r="I31" i="31"/>
  <c r="BU21" i="31"/>
  <c r="BB39" i="31"/>
  <c r="Z40" i="31"/>
  <c r="AB40" i="31"/>
  <c r="AD40" i="31"/>
  <c r="AF40" i="31"/>
  <c r="AJ40" i="31"/>
  <c r="AL40" i="31"/>
  <c r="AN40" i="31"/>
  <c r="AP40" i="31"/>
  <c r="AT40" i="31"/>
  <c r="AV40" i="31"/>
  <c r="AX40" i="31"/>
  <c r="AZ40" i="31"/>
  <c r="I50" i="31"/>
  <c r="CZ98" i="9"/>
  <c r="AI29" i="31"/>
  <c r="AI30" i="31" s="1"/>
  <c r="AM21" i="31"/>
  <c r="S28" i="31"/>
  <c r="BK22" i="9"/>
  <c r="CD24" i="9"/>
  <c r="BE83" i="10" s="1"/>
  <c r="AB29" i="31"/>
  <c r="BU23" i="9"/>
  <c r="AJ29" i="31"/>
  <c r="AJ30" i="31" s="1"/>
  <c r="AL29" i="31"/>
  <c r="AL30" i="31" s="1"/>
  <c r="I39" i="31"/>
  <c r="AS39" i="31"/>
  <c r="AU39" i="31"/>
  <c r="Y40" i="31"/>
  <c r="AA40" i="31"/>
  <c r="AE40" i="31"/>
  <c r="AG40" i="31"/>
  <c r="AI40" i="31"/>
  <c r="AK40" i="31"/>
  <c r="AO40" i="31"/>
  <c r="AQ40" i="31"/>
  <c r="AS40" i="31"/>
  <c r="AU40" i="31"/>
  <c r="AY40" i="31"/>
  <c r="BA40" i="31"/>
  <c r="BJ51" i="31"/>
  <c r="BL51" i="31"/>
  <c r="BN51" i="31"/>
  <c r="BP51" i="31"/>
  <c r="DH110" i="9"/>
  <c r="BT21" i="31"/>
  <c r="DG110" i="9"/>
  <c r="DJ96" i="9"/>
  <c r="DK96" i="9"/>
  <c r="BS21" i="31"/>
  <c r="BR21" i="31"/>
  <c r="DF110" i="9"/>
  <c r="AA29" i="31"/>
  <c r="Z29" i="31" s="1"/>
  <c r="Y29" i="31" s="1"/>
  <c r="X29" i="31" s="1"/>
  <c r="W29" i="31" s="1"/>
  <c r="V29" i="31" s="1"/>
  <c r="U29" i="31" s="1"/>
  <c r="T29" i="31" s="1"/>
  <c r="D36" i="31"/>
  <c r="AR39" i="31"/>
  <c r="AQ39" i="31" s="1"/>
  <c r="AP39" i="31" s="1"/>
  <c r="AO39" i="31" s="1"/>
  <c r="AN39" i="31" s="1"/>
  <c r="AX22" i="9"/>
  <c r="AX24" i="9" s="1"/>
  <c r="DE24" i="9"/>
  <c r="DI22" i="9"/>
  <c r="AW102" i="9"/>
  <c r="AW92" i="9"/>
  <c r="AX102" i="9"/>
  <c r="AX92" i="9"/>
  <c r="AY102" i="9"/>
  <c r="AY92" i="9"/>
  <c r="AZ102" i="9"/>
  <c r="AZ92" i="9"/>
  <c r="BA102" i="9"/>
  <c r="BA92" i="9"/>
  <c r="BB102" i="9"/>
  <c r="BB92" i="9"/>
  <c r="BC102" i="9"/>
  <c r="BC92" i="9"/>
  <c r="BD102" i="9"/>
  <c r="BD92" i="9"/>
  <c r="BE102" i="9"/>
  <c r="BE92" i="9"/>
  <c r="BF102" i="9"/>
  <c r="BF92" i="9"/>
  <c r="BG102" i="9"/>
  <c r="BG92" i="9"/>
  <c r="BH102" i="9"/>
  <c r="BH92" i="9"/>
  <c r="BI102" i="9"/>
  <c r="BI92" i="9"/>
  <c r="BJ102" i="9"/>
  <c r="BJ92" i="9"/>
  <c r="CH92" i="9"/>
  <c r="CQ92" i="9"/>
  <c r="CP92" i="9" s="1"/>
  <c r="CO92" i="9" s="1"/>
  <c r="CO94" i="9" s="1"/>
  <c r="CR94" i="9"/>
  <c r="DE102" i="9"/>
  <c r="DE92" i="9"/>
  <c r="DF102" i="9"/>
  <c r="DF92" i="9"/>
  <c r="DG102" i="9"/>
  <c r="DG92" i="9"/>
  <c r="DH102" i="9"/>
  <c r="DH92" i="9"/>
  <c r="DI92" i="9"/>
  <c r="AW103" i="9"/>
  <c r="AW93" i="9"/>
  <c r="AV93" i="9" s="1"/>
  <c r="AX103" i="9"/>
  <c r="AX93" i="9"/>
  <c r="AY103" i="9"/>
  <c r="AY93" i="9"/>
  <c r="AZ103" i="9"/>
  <c r="AZ93" i="9"/>
  <c r="BA103" i="9"/>
  <c r="BA93" i="9"/>
  <c r="BB103" i="9"/>
  <c r="BB93" i="9"/>
  <c r="BC103" i="9"/>
  <c r="BC93" i="9"/>
  <c r="BD103" i="9"/>
  <c r="BD93" i="9"/>
  <c r="BE103" i="9"/>
  <c r="BE93" i="9"/>
  <c r="BF103" i="9"/>
  <c r="BF93" i="9"/>
  <c r="BG103" i="9"/>
  <c r="BG93" i="9"/>
  <c r="BH103" i="9"/>
  <c r="BH93" i="9"/>
  <c r="BI103" i="9"/>
  <c r="BI93" i="9"/>
  <c r="BJ103" i="9"/>
  <c r="BJ93" i="9"/>
  <c r="DE103" i="9"/>
  <c r="DE93" i="9"/>
  <c r="DF103" i="9"/>
  <c r="DF93" i="9"/>
  <c r="DG103" i="9"/>
  <c r="DG93" i="9"/>
  <c r="DH103" i="9"/>
  <c r="DH93" i="9"/>
  <c r="AY106" i="9"/>
  <c r="AY96" i="9"/>
  <c r="AZ106" i="9"/>
  <c r="AZ96" i="9"/>
  <c r="BI106" i="9"/>
  <c r="BI96" i="9"/>
  <c r="BJ106" i="9"/>
  <c r="BJ96" i="9"/>
  <c r="DF106" i="9"/>
  <c r="DF96" i="9"/>
  <c r="DE96" i="9" s="1"/>
  <c r="AZ107" i="9"/>
  <c r="AZ97" i="9"/>
  <c r="AY97" i="9" s="1"/>
  <c r="AX97" i="9" s="1"/>
  <c r="AW97" i="9" s="1"/>
  <c r="AV97" i="9" s="1"/>
  <c r="BI107" i="9"/>
  <c r="BI97" i="9"/>
  <c r="BH97" i="9" s="1"/>
  <c r="BG97" i="9" s="1"/>
  <c r="BF97" i="9" s="1"/>
  <c r="BE97" i="9" s="1"/>
  <c r="BD97" i="9" s="1"/>
  <c r="BC97" i="9" s="1"/>
  <c r="BB97" i="9" s="1"/>
  <c r="BA97" i="9" s="1"/>
  <c r="BP58" i="31"/>
  <c r="DE112" i="9"/>
  <c r="BR64" i="31"/>
  <c r="BQ64" i="31"/>
  <c r="BI58" i="31"/>
  <c r="BG58" i="31"/>
  <c r="D58" i="31"/>
  <c r="AW112" i="9"/>
  <c r="BE62" i="31"/>
  <c r="BF63" i="31"/>
  <c r="AU116" i="31"/>
  <c r="BA122" i="31"/>
  <c r="AV122" i="31"/>
  <c r="AZ22" i="9"/>
  <c r="AZ24" i="9" s="1"/>
  <c r="T28" i="31"/>
  <c r="U28" i="31"/>
  <c r="V28" i="31"/>
  <c r="W28" i="31"/>
  <c r="AW23" i="9"/>
  <c r="AV23" i="9" s="1"/>
  <c r="AV24" i="9" s="1"/>
  <c r="AY23" i="9"/>
  <c r="AY24" i="9" s="1"/>
  <c r="BA24" i="9"/>
  <c r="S29" i="31"/>
  <c r="R29" i="31" s="1"/>
  <c r="Q29" i="31" s="1"/>
  <c r="P29" i="31" s="1"/>
  <c r="AH29" i="31"/>
  <c r="I28" i="31"/>
  <c r="O29" i="31"/>
  <c r="J31" i="31"/>
  <c r="K31" i="31"/>
  <c r="L31" i="31"/>
  <c r="M31" i="31"/>
  <c r="N31" i="31"/>
  <c r="O31" i="31"/>
  <c r="P31" i="31"/>
  <c r="Q31" i="31"/>
  <c r="R31" i="31"/>
  <c r="CF92" i="9"/>
  <c r="BO93" i="9"/>
  <c r="BN93" i="9" s="1"/>
  <c r="BM93" i="9" s="1"/>
  <c r="BL93" i="9" s="1"/>
  <c r="BL94" i="9" s="1"/>
  <c r="BT93" i="9"/>
  <c r="BS93" i="9" s="1"/>
  <c r="BR93" i="9" s="1"/>
  <c r="BQ93" i="9" s="1"/>
  <c r="BQ94" i="9" s="1"/>
  <c r="BY93" i="9"/>
  <c r="BX93" i="9" s="1"/>
  <c r="BW93" i="9" s="1"/>
  <c r="BV93" i="9" s="1"/>
  <c r="BV94" i="9" s="1"/>
  <c r="CD93" i="9"/>
  <c r="CC93" i="9" s="1"/>
  <c r="CB93" i="9" s="1"/>
  <c r="CA93" i="9" s="1"/>
  <c r="CA94" i="9" s="1"/>
  <c r="CI93" i="9"/>
  <c r="CH93" i="9" s="1"/>
  <c r="CG93" i="9" s="1"/>
  <c r="CF93" i="9" s="1"/>
  <c r="CN93" i="9"/>
  <c r="CM93" i="9" s="1"/>
  <c r="CL93" i="9" s="1"/>
  <c r="CK93" i="9" s="1"/>
  <c r="CK94" i="9" s="1"/>
  <c r="E36" i="31"/>
  <c r="F36" i="31"/>
  <c r="G36" i="31"/>
  <c r="H36" i="31"/>
  <c r="I36" i="31"/>
  <c r="J36" i="31"/>
  <c r="K36" i="31"/>
  <c r="L36" i="31"/>
  <c r="M36" i="31"/>
  <c r="N36" i="31"/>
  <c r="O36" i="31"/>
  <c r="P36" i="31"/>
  <c r="Q36" i="31"/>
  <c r="R36" i="31"/>
  <c r="S36" i="31"/>
  <c r="T36" i="31"/>
  <c r="BL104" i="9" s="1"/>
  <c r="U36" i="31"/>
  <c r="BM104" i="9" s="1"/>
  <c r="V36" i="31"/>
  <c r="BN104" i="9" s="1"/>
  <c r="W36" i="31"/>
  <c r="BO104" i="9" s="1"/>
  <c r="X36" i="31"/>
  <c r="Y36" i="31"/>
  <c r="Z36" i="31"/>
  <c r="AA36" i="31"/>
  <c r="AB36" i="31"/>
  <c r="AC36" i="31"/>
  <c r="AD36" i="31"/>
  <c r="AE36" i="31"/>
  <c r="AF36" i="31"/>
  <c r="AG36" i="31"/>
  <c r="AH36" i="31"/>
  <c r="AI36" i="31"/>
  <c r="AJ36" i="31"/>
  <c r="AK36" i="31"/>
  <c r="AL36" i="31"/>
  <c r="AM36" i="31"/>
  <c r="AN36" i="31"/>
  <c r="AO36" i="31"/>
  <c r="AP36" i="31"/>
  <c r="AQ36" i="31"/>
  <c r="AR36" i="31"/>
  <c r="AS36" i="31"/>
  <c r="AT36" i="31"/>
  <c r="AU36" i="31"/>
  <c r="AV36" i="31"/>
  <c r="AW36" i="31"/>
  <c r="AX36" i="31"/>
  <c r="AY36" i="31"/>
  <c r="AZ36" i="31"/>
  <c r="BA36" i="31"/>
  <c r="BB36" i="31"/>
  <c r="BM36" i="31"/>
  <c r="BN36" i="31"/>
  <c r="BO36" i="31"/>
  <c r="BP36" i="31"/>
  <c r="J39" i="31"/>
  <c r="K39" i="31"/>
  <c r="L39" i="31"/>
  <c r="M39" i="31"/>
  <c r="N39" i="31"/>
  <c r="O39" i="31"/>
  <c r="P39" i="31"/>
  <c r="Q39" i="31"/>
  <c r="R39" i="31"/>
  <c r="S39" i="31"/>
  <c r="T39" i="31"/>
  <c r="U39" i="31"/>
  <c r="V39" i="31"/>
  <c r="W39" i="31"/>
  <c r="X39" i="31"/>
  <c r="AC39" i="31"/>
  <c r="AB39" i="31" s="1"/>
  <c r="AA39" i="31" s="1"/>
  <c r="Z39" i="31" s="1"/>
  <c r="Y39" i="31" s="1"/>
  <c r="AH39" i="31"/>
  <c r="AG39" i="31" s="1"/>
  <c r="AF39" i="31" s="1"/>
  <c r="AE39" i="31" s="1"/>
  <c r="AD39" i="31" s="1"/>
  <c r="AM39" i="31"/>
  <c r="AL39" i="31" s="1"/>
  <c r="AK39" i="31" s="1"/>
  <c r="AJ39" i="31" s="1"/>
  <c r="AI39" i="31" s="1"/>
  <c r="AT39" i="31"/>
  <c r="AV39" i="31"/>
  <c r="BA39" i="31"/>
  <c r="AZ39" i="31" s="1"/>
  <c r="AY39" i="31" s="1"/>
  <c r="AX39" i="31" s="1"/>
  <c r="AW39" i="31" s="1"/>
  <c r="J40" i="31"/>
  <c r="I40" i="31" s="1"/>
  <c r="K40" i="31"/>
  <c r="L40" i="31"/>
  <c r="M40" i="31"/>
  <c r="N40" i="31"/>
  <c r="O40" i="31"/>
  <c r="P40" i="31"/>
  <c r="Q40" i="31"/>
  <c r="R40" i="31"/>
  <c r="S40" i="31"/>
  <c r="T40" i="31"/>
  <c r="U40" i="31"/>
  <c r="V40" i="31"/>
  <c r="W40" i="31"/>
  <c r="X40" i="31"/>
  <c r="AC40" i="31"/>
  <c r="AH40" i="31"/>
  <c r="AM40" i="31"/>
  <c r="AR40" i="31"/>
  <c r="AW40" i="31"/>
  <c r="BB40" i="31"/>
  <c r="AW106" i="9"/>
  <c r="AX106" i="9"/>
  <c r="BA106" i="9"/>
  <c r="BB106" i="9"/>
  <c r="BC106" i="9"/>
  <c r="BD106" i="9"/>
  <c r="BE106" i="9"/>
  <c r="BF106" i="9"/>
  <c r="BG106" i="9"/>
  <c r="BH106" i="9"/>
  <c r="DC96" i="9"/>
  <c r="DB96" i="9" s="1"/>
  <c r="DE106" i="9"/>
  <c r="DG106" i="9"/>
  <c r="DH106" i="9"/>
  <c r="DI96" i="9"/>
  <c r="DH96" i="9" s="1"/>
  <c r="DG96" i="9" s="1"/>
  <c r="AW107" i="9"/>
  <c r="AX107" i="9"/>
  <c r="AY107" i="9"/>
  <c r="BA107" i="9"/>
  <c r="BB107" i="9"/>
  <c r="BC107" i="9"/>
  <c r="BD107" i="9"/>
  <c r="BE107" i="9"/>
  <c r="BF107" i="9"/>
  <c r="BG107" i="9"/>
  <c r="BH107" i="9"/>
  <c r="BJ107" i="9"/>
  <c r="BM97" i="9"/>
  <c r="BL97" i="9" s="1"/>
  <c r="BK97" i="9" s="1"/>
  <c r="BJ97" i="9" s="1"/>
  <c r="BT97" i="9"/>
  <c r="BS97" i="9" s="1"/>
  <c r="BR97" i="9" s="1"/>
  <c r="BQ97" i="9" s="1"/>
  <c r="BP97" i="9" s="1"/>
  <c r="BO97" i="9" s="1"/>
  <c r="CW97" i="9"/>
  <c r="CV97" i="9" s="1"/>
  <c r="CV98" i="9" s="1"/>
  <c r="CY97" i="9"/>
  <c r="CY98" i="9" s="1"/>
  <c r="CX98" i="9" s="1"/>
  <c r="DE107" i="9"/>
  <c r="DF107" i="9"/>
  <c r="DG107" i="9"/>
  <c r="DH107" i="9"/>
  <c r="M50" i="31"/>
  <c r="L50" i="31" s="1"/>
  <c r="K50" i="31" s="1"/>
  <c r="J50" i="31" s="1"/>
  <c r="N50" i="31"/>
  <c r="BI50" i="31"/>
  <c r="BH50" i="31" s="1"/>
  <c r="BJ50" i="31"/>
  <c r="BK50" i="31"/>
  <c r="BL50" i="31"/>
  <c r="BM50" i="31"/>
  <c r="BN50" i="31"/>
  <c r="BR50" i="31"/>
  <c r="BQ50" i="31" s="1"/>
  <c r="BP50" i="31" s="1"/>
  <c r="BO50" i="31" s="1"/>
  <c r="J51" i="31"/>
  <c r="I51" i="31" s="1"/>
  <c r="K51" i="31"/>
  <c r="L51" i="31"/>
  <c r="M51" i="31"/>
  <c r="O51" i="31"/>
  <c r="N51" i="31" s="1"/>
  <c r="P51" i="31"/>
  <c r="Q51" i="31"/>
  <c r="R51" i="31"/>
  <c r="S51" i="31"/>
  <c r="T51" i="31"/>
  <c r="U51" i="31"/>
  <c r="V51" i="31"/>
  <c r="W51" i="31"/>
  <c r="BH51" i="31"/>
  <c r="BH52" i="31" s="1"/>
  <c r="BK51" i="31"/>
  <c r="BM51" i="31"/>
  <c r="DG112" i="9"/>
  <c r="DF112" i="9"/>
  <c r="BJ112" i="9"/>
  <c r="BI112" i="9"/>
  <c r="BH112" i="9"/>
  <c r="BG112" i="9"/>
  <c r="BF112" i="9"/>
  <c r="BE112" i="9"/>
  <c r="BD112" i="9"/>
  <c r="BC112" i="9"/>
  <c r="BB112" i="9"/>
  <c r="BA112" i="9"/>
  <c r="AZ112" i="9"/>
  <c r="AY112" i="9"/>
  <c r="AX112" i="9"/>
  <c r="DH111" i="9"/>
  <c r="DG111" i="9"/>
  <c r="DF111" i="9"/>
  <c r="BJ111" i="9"/>
  <c r="BI111" i="9"/>
  <c r="BH111" i="9"/>
  <c r="BG111" i="9"/>
  <c r="BF111" i="9"/>
  <c r="BE111" i="9"/>
  <c r="BD111" i="9"/>
  <c r="BC111" i="9"/>
  <c r="BB111" i="9"/>
  <c r="BA111" i="9"/>
  <c r="AZ111" i="9"/>
  <c r="AY111" i="9"/>
  <c r="AX111" i="9"/>
  <c r="AW111" i="9"/>
  <c r="DE111" i="9"/>
  <c r="DE110" i="9"/>
  <c r="R28" i="31"/>
  <c r="Q28" i="31" s="1"/>
  <c r="P28" i="31" s="1"/>
  <c r="O28" i="31" s="1"/>
  <c r="CT22" i="9"/>
  <c r="CS22" i="9" s="1"/>
  <c r="CR22" i="9" s="1"/>
  <c r="CR24" i="9" s="1"/>
  <c r="BY23" i="9"/>
  <c r="BZ24" i="9"/>
  <c r="BK111" i="9"/>
  <c r="BK110" i="9"/>
  <c r="BK107" i="9"/>
  <c r="BK103" i="9"/>
  <c r="BK102" i="9"/>
  <c r="BL111" i="9"/>
  <c r="BL110" i="9"/>
  <c r="BL107" i="9"/>
  <c r="BL103" i="9"/>
  <c r="BL102" i="9"/>
  <c r="BM111" i="9"/>
  <c r="BM110" i="9"/>
  <c r="BM107" i="9"/>
  <c r="BM103" i="9"/>
  <c r="BM102" i="9"/>
  <c r="BN111" i="9"/>
  <c r="BN110" i="9"/>
  <c r="BN107" i="9"/>
  <c r="BN103" i="9"/>
  <c r="BN102" i="9"/>
  <c r="BO111" i="9"/>
  <c r="BO110" i="9"/>
  <c r="BO107" i="9"/>
  <c r="BO103" i="9"/>
  <c r="BO102" i="9"/>
  <c r="BP111" i="9"/>
  <c r="BP110" i="9"/>
  <c r="BP107" i="9"/>
  <c r="BP103" i="9"/>
  <c r="BP102" i="9"/>
  <c r="BQ111" i="9"/>
  <c r="BQ110" i="9"/>
  <c r="BQ107" i="9"/>
  <c r="BQ103" i="9"/>
  <c r="BQ102" i="9"/>
  <c r="BR111" i="9"/>
  <c r="BR110" i="9"/>
  <c r="BR107" i="9"/>
  <c r="BR103" i="9"/>
  <c r="BR102" i="9"/>
  <c r="BS111" i="9"/>
  <c r="BS110" i="9"/>
  <c r="BS107" i="9"/>
  <c r="BS103" i="9"/>
  <c r="BS102" i="9"/>
  <c r="BT111" i="9"/>
  <c r="BT110" i="9"/>
  <c r="BT107" i="9"/>
  <c r="BT103" i="9"/>
  <c r="BT102" i="9"/>
  <c r="BU111" i="9"/>
  <c r="BU110" i="9"/>
  <c r="BU107" i="9"/>
  <c r="BU103" i="9"/>
  <c r="BU102" i="9"/>
  <c r="BV111" i="9"/>
  <c r="BV110" i="9"/>
  <c r="BV103" i="9"/>
  <c r="BV102" i="9"/>
  <c r="BW111" i="9"/>
  <c r="BW110" i="9"/>
  <c r="BW103" i="9"/>
  <c r="BW102" i="9"/>
  <c r="BX111" i="9"/>
  <c r="BX110" i="9"/>
  <c r="BX103" i="9"/>
  <c r="BX102" i="9"/>
  <c r="BY111" i="9"/>
  <c r="BY110" i="9"/>
  <c r="BY103" i="9"/>
  <c r="BY102" i="9"/>
  <c r="BZ111" i="9"/>
  <c r="BZ110" i="9"/>
  <c r="BZ103" i="9"/>
  <c r="BZ102" i="9"/>
  <c r="CA111" i="9"/>
  <c r="CA110" i="9"/>
  <c r="CA103" i="9"/>
  <c r="CA102" i="9"/>
  <c r="CB111" i="9"/>
  <c r="CB110" i="9"/>
  <c r="CB103" i="9"/>
  <c r="CB102" i="9"/>
  <c r="CC111" i="9"/>
  <c r="CC110" i="9"/>
  <c r="CC103" i="9"/>
  <c r="CC102" i="9"/>
  <c r="CD111" i="9"/>
  <c r="CD110" i="9"/>
  <c r="CD103" i="9"/>
  <c r="CD102" i="9"/>
  <c r="CP111" i="9"/>
  <c r="CP110" i="9"/>
  <c r="CP103" i="9"/>
  <c r="CP102" i="9"/>
  <c r="CQ111" i="9"/>
  <c r="CQ110" i="9"/>
  <c r="CQ103" i="9"/>
  <c r="CQ102" i="9"/>
  <c r="CR111" i="9"/>
  <c r="CR110" i="9"/>
  <c r="CR103" i="9"/>
  <c r="CR102" i="9"/>
  <c r="CS111" i="9"/>
  <c r="CS110" i="9"/>
  <c r="CS103" i="9"/>
  <c r="CS102" i="9"/>
  <c r="CT111" i="9"/>
  <c r="CT110" i="9"/>
  <c r="CT103" i="9"/>
  <c r="CT102" i="9"/>
  <c r="BK106" i="9"/>
  <c r="BK96" i="9"/>
  <c r="BL106" i="9"/>
  <c r="BL96" i="9"/>
  <c r="BM106" i="9"/>
  <c r="BM96" i="9"/>
  <c r="BN106" i="9"/>
  <c r="BN96" i="9"/>
  <c r="BO106" i="9"/>
  <c r="BO96" i="9"/>
  <c r="BP106" i="9"/>
  <c r="BP96" i="9"/>
  <c r="BQ106" i="9"/>
  <c r="BQ96" i="9"/>
  <c r="BR106" i="9"/>
  <c r="BR96" i="9"/>
  <c r="BS106" i="9"/>
  <c r="BS96" i="9"/>
  <c r="BT106" i="9"/>
  <c r="BT96" i="9"/>
  <c r="BU106" i="9"/>
  <c r="BU96" i="9"/>
  <c r="BV106" i="9"/>
  <c r="BV96" i="9"/>
  <c r="BW106" i="9"/>
  <c r="BW96" i="9"/>
  <c r="BX106" i="9"/>
  <c r="BX96" i="9"/>
  <c r="BY106" i="9"/>
  <c r="BY96" i="9"/>
  <c r="BZ106" i="9"/>
  <c r="BZ96" i="9"/>
  <c r="CA106" i="9"/>
  <c r="CA96" i="9"/>
  <c r="CB106" i="9"/>
  <c r="CB96" i="9"/>
  <c r="CC106" i="9"/>
  <c r="CC96" i="9"/>
  <c r="CD106" i="9"/>
  <c r="CD96" i="9"/>
  <c r="CP106" i="9"/>
  <c r="CP96" i="9"/>
  <c r="CQ106" i="9"/>
  <c r="CQ96" i="9"/>
  <c r="CR106" i="9"/>
  <c r="CR96" i="9"/>
  <c r="CS106" i="9"/>
  <c r="CS96" i="9"/>
  <c r="CT106" i="9"/>
  <c r="CT96" i="9"/>
  <c r="BZ107" i="9"/>
  <c r="BZ97" i="9"/>
  <c r="BY97" i="9" s="1"/>
  <c r="BX97" i="9" s="1"/>
  <c r="BW97" i="9" s="1"/>
  <c r="BV97" i="9" s="1"/>
  <c r="CS107" i="9"/>
  <c r="CS97" i="9"/>
  <c r="CR97" i="9" s="1"/>
  <c r="CQ97" i="9" s="1"/>
  <c r="CP97" i="9" s="1"/>
  <c r="CT107" i="9"/>
  <c r="CT97" i="9"/>
  <c r="BY22" i="9"/>
  <c r="BW23" i="9"/>
  <c r="BV23" i="9" s="1"/>
  <c r="BV24" i="9" s="1"/>
  <c r="CC23" i="9"/>
  <c r="CB23" i="9" s="1"/>
  <c r="CA23" i="9" s="1"/>
  <c r="CA24" i="9" s="1"/>
  <c r="CQ23" i="9"/>
  <c r="CP23" i="9" s="1"/>
  <c r="CP24" i="9" s="1"/>
  <c r="AD29" i="31"/>
  <c r="AC29" i="31" s="1"/>
  <c r="AE29" i="31"/>
  <c r="AF29" i="31"/>
  <c r="AG29" i="31"/>
  <c r="AK29" i="31"/>
  <c r="AK30" i="31" s="1"/>
  <c r="S31" i="31"/>
  <c r="T31" i="31"/>
  <c r="U31" i="31"/>
  <c r="V31" i="31"/>
  <c r="W31" i="31"/>
  <c r="X31" i="31"/>
  <c r="Y31" i="31"/>
  <c r="Z31" i="31"/>
  <c r="AA31" i="31"/>
  <c r="AB31" i="31"/>
  <c r="AC31" i="31"/>
  <c r="AD31" i="31"/>
  <c r="AE31" i="31"/>
  <c r="AF31" i="31"/>
  <c r="AG31" i="31"/>
  <c r="AH31" i="31"/>
  <c r="AI31" i="31"/>
  <c r="AJ31" i="31"/>
  <c r="AK31" i="31"/>
  <c r="AL31" i="31"/>
  <c r="BV107" i="9"/>
  <c r="BW107" i="9"/>
  <c r="BX107" i="9"/>
  <c r="BY107" i="9"/>
  <c r="CA107" i="9"/>
  <c r="CB107" i="9"/>
  <c r="CC107" i="9"/>
  <c r="CD107" i="9"/>
  <c r="CP107" i="9"/>
  <c r="CQ107" i="9"/>
  <c r="CR107" i="9"/>
  <c r="W50" i="31"/>
  <c r="V50" i="31" s="1"/>
  <c r="U50" i="31" s="1"/>
  <c r="T50" i="31" s="1"/>
  <c r="S50" i="31" s="1"/>
  <c r="R50" i="31" s="1"/>
  <c r="Q50" i="31" s="1"/>
  <c r="P50" i="31" s="1"/>
  <c r="O50" i="31" s="1"/>
  <c r="X50" i="31"/>
  <c r="Y50" i="31"/>
  <c r="Z50" i="31"/>
  <c r="AA50" i="31"/>
  <c r="AB50" i="31"/>
  <c r="AC50" i="31"/>
  <c r="AD50" i="31"/>
  <c r="AE50" i="31"/>
  <c r="AF50" i="31"/>
  <c r="AG50" i="31"/>
  <c r="AH50" i="31"/>
  <c r="AI50" i="31"/>
  <c r="AJ50" i="31"/>
  <c r="AK50" i="31"/>
  <c r="AL50" i="31"/>
  <c r="BC50" i="31"/>
  <c r="BD50" i="31"/>
  <c r="BE50" i="31"/>
  <c r="BF50" i="31"/>
  <c r="BG50" i="31"/>
  <c r="AD51" i="31"/>
  <c r="AC51" i="31" s="1"/>
  <c r="AB51" i="31" s="1"/>
  <c r="AA51" i="31" s="1"/>
  <c r="Z51" i="31" s="1"/>
  <c r="Y51" i="31" s="1"/>
  <c r="AE51" i="31"/>
  <c r="AF51" i="31"/>
  <c r="AG51" i="31"/>
  <c r="AH51" i="31"/>
  <c r="AI51" i="31"/>
  <c r="AJ51" i="31"/>
  <c r="AK51" i="31"/>
  <c r="AL51" i="31"/>
  <c r="BC51" i="31"/>
  <c r="BC52" i="31" s="1"/>
  <c r="BD51" i="31"/>
  <c r="BD52" i="31" s="1"/>
  <c r="BE51" i="31"/>
  <c r="BE52" i="31" s="1"/>
  <c r="BF51" i="31"/>
  <c r="BF52" i="31" s="1"/>
  <c r="BG51" i="31"/>
  <c r="BS50" i="31"/>
  <c r="BT1063" i="31" l="1"/>
  <c r="BT1074" i="31"/>
  <c r="BT1069" i="31" s="1"/>
  <c r="BT1070" i="31" s="1"/>
  <c r="BT1052" i="31"/>
  <c r="BT1041" i="31"/>
  <c r="BT1036" i="31" s="1"/>
  <c r="BT1037" i="31" s="1"/>
  <c r="BT1018" i="31"/>
  <c r="BT1007" i="31"/>
  <c r="BT1283" i="31"/>
  <c r="BT1086" i="31"/>
  <c r="BT1191" i="31"/>
  <c r="BT1355" i="31"/>
  <c r="BT1169" i="31"/>
  <c r="BT1310" i="31"/>
  <c r="BT1294" i="31"/>
  <c r="BR1063" i="31"/>
  <c r="BR1052" i="31"/>
  <c r="BR1074" i="31"/>
  <c r="BR1069" i="31" s="1"/>
  <c r="BR1070" i="31" s="1"/>
  <c r="BR1018" i="31"/>
  <c r="BR1007" i="31"/>
  <c r="BR1041" i="31"/>
  <c r="BR1036" i="31" s="1"/>
  <c r="BR1037" i="31" s="1"/>
  <c r="BR1283" i="31"/>
  <c r="BR1169" i="31"/>
  <c r="BR1191" i="31"/>
  <c r="BR1294" i="31"/>
  <c r="BR1086" i="31"/>
  <c r="BR1310" i="31"/>
  <c r="BR1355" i="31"/>
  <c r="BS1191" i="31"/>
  <c r="BS1063" i="31"/>
  <c r="BS1052" i="31"/>
  <c r="BS1074" i="31"/>
  <c r="BS1069" i="31" s="1"/>
  <c r="BS1070" i="31" s="1"/>
  <c r="BS1041" i="31"/>
  <c r="BS1036" i="31" s="1"/>
  <c r="BS1037" i="31" s="1"/>
  <c r="BS1007" i="31"/>
  <c r="BS1018" i="31"/>
  <c r="BS1283" i="31"/>
  <c r="BS1169" i="31"/>
  <c r="BS1355" i="31"/>
  <c r="BS1310" i="31"/>
  <c r="BS1294" i="31"/>
  <c r="BU1283" i="31"/>
  <c r="BU1018" i="31"/>
  <c r="BU1007" i="31"/>
  <c r="BU1191" i="31"/>
  <c r="BU1169" i="31"/>
  <c r="BU1086" i="31"/>
  <c r="BU1355" i="31"/>
  <c r="BU1294" i="31"/>
  <c r="BU1310" i="31"/>
  <c r="AM1201" i="31"/>
  <c r="AM1086" i="31"/>
  <c r="AM1075" i="31"/>
  <c r="AM1042" i="31"/>
  <c r="AM1147" i="31"/>
  <c r="AM1310" i="31"/>
  <c r="AM1191" i="31"/>
  <c r="AM1332" i="31"/>
  <c r="AM905" i="31"/>
  <c r="AM1345" i="31"/>
  <c r="AM916" i="31"/>
  <c r="AM1169" i="31"/>
  <c r="AM1355" i="31"/>
  <c r="AM1180" i="31"/>
  <c r="AM1213" i="31"/>
  <c r="AM1249" i="31"/>
  <c r="AM1272" i="31"/>
  <c r="AM1225" i="31"/>
  <c r="AM1237" i="31"/>
  <c r="AM1261" i="31"/>
  <c r="BG1310" i="31"/>
  <c r="BG916" i="31"/>
  <c r="BG1147" i="31"/>
  <c r="BG905" i="31"/>
  <c r="BG1042" i="31"/>
  <c r="BG1332" i="31"/>
  <c r="BG1075" i="31"/>
  <c r="BG1225" i="31"/>
  <c r="BG1019" i="31"/>
  <c r="BG1201" i="31"/>
  <c r="BG1283" i="31"/>
  <c r="BG1191" i="31"/>
  <c r="BG1249" i="31"/>
  <c r="BG1272" i="31"/>
  <c r="BG1294" i="31"/>
  <c r="BG1237" i="31"/>
  <c r="BG1169" i="31"/>
  <c r="BG1213" i="31"/>
  <c r="BG1053" i="31"/>
  <c r="BG1261" i="31"/>
  <c r="BG1064" i="31"/>
  <c r="BG1008" i="31"/>
  <c r="BG1086" i="31"/>
  <c r="BG1355" i="31"/>
  <c r="BR633" i="31"/>
  <c r="BS633" i="31"/>
  <c r="BU633" i="31"/>
  <c r="BT633" i="31"/>
  <c r="BR493" i="31"/>
  <c r="BT505" i="31"/>
  <c r="BJ114" i="9"/>
  <c r="BI114" i="9"/>
  <c r="BR313" i="31"/>
  <c r="BO64" i="31"/>
  <c r="BG383" i="31"/>
  <c r="BG1450" i="31"/>
  <c r="BG143" i="31"/>
  <c r="BG721" i="31"/>
  <c r="AM313" i="31"/>
  <c r="AL313" i="31" s="1"/>
  <c r="AK313" i="31" s="1"/>
  <c r="AJ313" i="31" s="1"/>
  <c r="AI313" i="31" s="1"/>
  <c r="BG88" i="31"/>
  <c r="BF88" i="31" s="1"/>
  <c r="BG313" i="31"/>
  <c r="BG449" i="31"/>
  <c r="BG1494" i="31"/>
  <c r="AM856" i="31"/>
  <c r="AL856" i="31" s="1"/>
  <c r="AK856" i="31" s="1"/>
  <c r="AJ856" i="31" s="1"/>
  <c r="AI856" i="31" s="1"/>
  <c r="BG52" i="31"/>
  <c r="BG121" i="31"/>
  <c r="BF121" i="31" s="1"/>
  <c r="BE121" i="31" s="1"/>
  <c r="BD121" i="31" s="1"/>
  <c r="BC121" i="31" s="1"/>
  <c r="BG281" i="31"/>
  <c r="BG335" i="31"/>
  <c r="BG405" i="31"/>
  <c r="BG483" i="31"/>
  <c r="BG765" i="31"/>
  <c r="BG1428" i="31"/>
  <c r="BG1472" i="31"/>
  <c r="AM110" i="31"/>
  <c r="AL110" i="31" s="1"/>
  <c r="AK110" i="31" s="1"/>
  <c r="AJ110" i="31" s="1"/>
  <c r="AI110" i="31" s="1"/>
  <c r="AM405" i="31"/>
  <c r="AL405" i="31" s="1"/>
  <c r="AK405" i="31" s="1"/>
  <c r="AJ405" i="31" s="1"/>
  <c r="AI405" i="31" s="1"/>
  <c r="AM721" i="31"/>
  <c r="AL721" i="31" s="1"/>
  <c r="AK721" i="31" s="1"/>
  <c r="AJ721" i="31" s="1"/>
  <c r="AI721" i="31" s="1"/>
  <c r="AM1461" i="31"/>
  <c r="AL1461" i="31" s="1"/>
  <c r="AK1461" i="31" s="1"/>
  <c r="AJ1461" i="31" s="1"/>
  <c r="AI1461" i="31" s="1"/>
  <c r="BR88" i="31"/>
  <c r="BR394" i="31"/>
  <c r="BG63" i="31"/>
  <c r="BG110" i="31"/>
  <c r="BG132" i="31"/>
  <c r="BG212" i="31"/>
  <c r="BG302" i="31"/>
  <c r="BF302" i="31" s="1"/>
  <c r="BG324" i="31"/>
  <c r="BG372" i="31"/>
  <c r="BG394" i="31"/>
  <c r="BF394" i="31" s="1"/>
  <c r="BG416" i="31"/>
  <c r="BG472" i="31"/>
  <c r="BG710" i="31"/>
  <c r="BG732" i="31"/>
  <c r="BG1439" i="31"/>
  <c r="BG1461" i="31"/>
  <c r="BG1483" i="31"/>
  <c r="AM63" i="31"/>
  <c r="AL63" i="31" s="1"/>
  <c r="AK63" i="31" s="1"/>
  <c r="AJ63" i="31" s="1"/>
  <c r="AI63" i="31" s="1"/>
  <c r="AM281" i="31"/>
  <c r="AL281" i="31" s="1"/>
  <c r="AK281" i="31" s="1"/>
  <c r="AJ281" i="31" s="1"/>
  <c r="AI281" i="31" s="1"/>
  <c r="AM383" i="31"/>
  <c r="AL383" i="31" s="1"/>
  <c r="AK383" i="31" s="1"/>
  <c r="AJ383" i="31" s="1"/>
  <c r="AI383" i="31" s="1"/>
  <c r="AM449" i="31"/>
  <c r="AL449" i="31" s="1"/>
  <c r="AK449" i="31" s="1"/>
  <c r="AJ449" i="31" s="1"/>
  <c r="AI449" i="31" s="1"/>
  <c r="AM765" i="31"/>
  <c r="AL765" i="31" s="1"/>
  <c r="AK765" i="31" s="1"/>
  <c r="AJ765" i="31" s="1"/>
  <c r="AI765" i="31" s="1"/>
  <c r="AM1439" i="31"/>
  <c r="AL1439" i="31" s="1"/>
  <c r="AK1439" i="31" s="1"/>
  <c r="AJ1439" i="31" s="1"/>
  <c r="AI1439" i="31" s="1"/>
  <c r="AM1494" i="31"/>
  <c r="AL1494" i="31" s="1"/>
  <c r="AK1494" i="31" s="1"/>
  <c r="AJ1494" i="31" s="1"/>
  <c r="AI1494" i="31" s="1"/>
  <c r="BR461" i="31"/>
  <c r="BQ461" i="31" s="1"/>
  <c r="BP461" i="31" s="1"/>
  <c r="BO461" i="31" s="1"/>
  <c r="BN461" i="31" s="1"/>
  <c r="BM461" i="31" s="1"/>
  <c r="BR438" i="31"/>
  <c r="DE114" i="9"/>
  <c r="DH112" i="9"/>
  <c r="DG108" i="9"/>
  <c r="I64" i="31"/>
  <c r="DH108" i="9"/>
  <c r="DF108" i="9"/>
  <c r="BN64" i="31"/>
  <c r="BM64" i="31" s="1"/>
  <c r="CT104" i="9"/>
  <c r="CP104" i="9"/>
  <c r="CD104" i="9"/>
  <c r="CB104" i="9"/>
  <c r="BZ104" i="9"/>
  <c r="BX104" i="9"/>
  <c r="BV104" i="9"/>
  <c r="BT104" i="9"/>
  <c r="BR104" i="9"/>
  <c r="BP104" i="9"/>
  <c r="CS104" i="9"/>
  <c r="CQ104" i="9"/>
  <c r="CC104" i="9"/>
  <c r="CA104" i="9"/>
  <c r="BY104" i="9"/>
  <c r="BW104" i="9"/>
  <c r="BU104" i="9"/>
  <c r="BS104" i="9"/>
  <c r="BQ104" i="9"/>
  <c r="BK104" i="9"/>
  <c r="CD65" i="9"/>
  <c r="BF108" i="9"/>
  <c r="BR226" i="31"/>
  <c r="BR302" i="31"/>
  <c r="BR472" i="31"/>
  <c r="BR405" i="31"/>
  <c r="BR732" i="31"/>
  <c r="DH114" i="9"/>
  <c r="BR121" i="31"/>
  <c r="BR259" i="31"/>
  <c r="BQ259" i="31" s="1"/>
  <c r="BP259" i="31" s="1"/>
  <c r="BO259" i="31" s="1"/>
  <c r="BN259" i="31" s="1"/>
  <c r="BM259" i="31" s="1"/>
  <c r="BR270" i="31"/>
  <c r="BQ270" i="31" s="1"/>
  <c r="BP270" i="31" s="1"/>
  <c r="BO270" i="31" s="1"/>
  <c r="BN270" i="31" s="1"/>
  <c r="BM270" i="31" s="1"/>
  <c r="BR324" i="31"/>
  <c r="BR372" i="31"/>
  <c r="BR449" i="31"/>
  <c r="BR416" i="31"/>
  <c r="BR383" i="31"/>
  <c r="BR1461" i="31"/>
  <c r="CD67" i="9"/>
  <c r="N29" i="31"/>
  <c r="M29" i="31" s="1"/>
  <c r="L29" i="31" s="1"/>
  <c r="K29" i="31" s="1"/>
  <c r="J29" i="31" s="1"/>
  <c r="I29" i="31" s="1"/>
  <c r="CD29" i="9"/>
  <c r="CD39" i="9" s="1"/>
  <c r="CD66" i="9"/>
  <c r="N28" i="31"/>
  <c r="M28" i="31" s="1"/>
  <c r="L28" i="31" s="1"/>
  <c r="K28" i="31" s="1"/>
  <c r="J28" i="31" s="1"/>
  <c r="AM88" i="31"/>
  <c r="AL88" i="31" s="1"/>
  <c r="AM212" i="31"/>
  <c r="AL212" i="31" s="1"/>
  <c r="AK212" i="31" s="1"/>
  <c r="AJ212" i="31" s="1"/>
  <c r="AI212" i="31" s="1"/>
  <c r="AM302" i="31"/>
  <c r="AL302" i="31" s="1"/>
  <c r="AM372" i="31"/>
  <c r="AL372" i="31" s="1"/>
  <c r="AK372" i="31" s="1"/>
  <c r="AJ372" i="31" s="1"/>
  <c r="AI372" i="31" s="1"/>
  <c r="AM394" i="31"/>
  <c r="AL394" i="31" s="1"/>
  <c r="AM416" i="31"/>
  <c r="AL416" i="31" s="1"/>
  <c r="AK416" i="31" s="1"/>
  <c r="AJ416" i="31" s="1"/>
  <c r="AI416" i="31" s="1"/>
  <c r="AM710" i="31"/>
  <c r="AL710" i="31" s="1"/>
  <c r="AK710" i="31" s="1"/>
  <c r="AJ710" i="31" s="1"/>
  <c r="AI710" i="31" s="1"/>
  <c r="AM732" i="31"/>
  <c r="AL732" i="31" s="1"/>
  <c r="AK732" i="31" s="1"/>
  <c r="AJ732" i="31" s="1"/>
  <c r="AI732" i="31" s="1"/>
  <c r="AM810" i="31"/>
  <c r="AL810" i="31" s="1"/>
  <c r="AK810" i="31" s="1"/>
  <c r="AJ810" i="31" s="1"/>
  <c r="AI810" i="31" s="1"/>
  <c r="AM892" i="31"/>
  <c r="AL892" i="31" s="1"/>
  <c r="AK892" i="31" s="1"/>
  <c r="AJ892" i="31" s="1"/>
  <c r="AI892" i="31" s="1"/>
  <c r="AM1428" i="31"/>
  <c r="AL1428" i="31" s="1"/>
  <c r="AK1428" i="31" s="1"/>
  <c r="AJ1428" i="31" s="1"/>
  <c r="AI1428" i="31" s="1"/>
  <c r="AM1450" i="31"/>
  <c r="AL1450" i="31" s="1"/>
  <c r="AK1450" i="31" s="1"/>
  <c r="AJ1450" i="31" s="1"/>
  <c r="AI1450" i="31" s="1"/>
  <c r="AM1483" i="31"/>
  <c r="AL1483" i="31" s="1"/>
  <c r="AK1483" i="31" s="1"/>
  <c r="AJ1483" i="31" s="1"/>
  <c r="AI1483" i="31" s="1"/>
  <c r="BU505" i="31"/>
  <c r="BU20" i="31"/>
  <c r="BF53" i="31"/>
  <c r="BU346" i="31"/>
  <c r="BU165" i="31"/>
  <c r="AX115" i="9"/>
  <c r="AZ115" i="9"/>
  <c r="BB115" i="9"/>
  <c r="BD115" i="9"/>
  <c r="BH115" i="9"/>
  <c r="BJ115" i="9"/>
  <c r="DG115" i="9"/>
  <c r="CW98" i="9"/>
  <c r="CR104" i="9"/>
  <c r="DG114" i="9"/>
  <c r="DF114" i="9"/>
  <c r="CQ94" i="9"/>
  <c r="CP94" i="9" s="1"/>
  <c r="DE115" i="9"/>
  <c r="AW115" i="9"/>
  <c r="AY115" i="9"/>
  <c r="BA115" i="9"/>
  <c r="BC115" i="9"/>
  <c r="BE115" i="9"/>
  <c r="BG115" i="9"/>
  <c r="BI115" i="9"/>
  <c r="DF115" i="9"/>
  <c r="DH115" i="9"/>
  <c r="BE114" i="9"/>
  <c r="BD114" i="9" s="1"/>
  <c r="BC114" i="9" s="1"/>
  <c r="BB114" i="9" s="1"/>
  <c r="BA114" i="9" s="1"/>
  <c r="AZ114" i="9" s="1"/>
  <c r="AY114" i="9" s="1"/>
  <c r="AX114" i="9" s="1"/>
  <c r="AW114" i="9" s="1"/>
  <c r="BS493" i="31"/>
  <c r="BS505" i="31"/>
  <c r="BT405" i="31"/>
  <c r="BT324" i="31"/>
  <c r="BT313" i="31"/>
  <c r="BT383" i="31"/>
  <c r="BT416" i="31"/>
  <c r="BT438" i="31"/>
  <c r="BT449" i="31"/>
  <c r="BT493" i="31"/>
  <c r="BT334" i="31"/>
  <c r="BT302" i="31"/>
  <c r="BT259" i="31"/>
  <c r="BT121" i="31"/>
  <c r="BT20" i="31"/>
  <c r="BR20" i="31"/>
  <c r="BS732" i="31"/>
  <c r="BS449" i="31"/>
  <c r="BS438" i="31"/>
  <c r="BS416" i="31"/>
  <c r="BS405" i="31"/>
  <c r="BS383" i="31"/>
  <c r="BS313" i="31"/>
  <c r="BS324" i="31"/>
  <c r="BS1478" i="31"/>
  <c r="BS1467" i="31"/>
  <c r="BS1456" i="31"/>
  <c r="BS1445" i="31"/>
  <c r="BS1423" i="31"/>
  <c r="BS302" i="31"/>
  <c r="BS259" i="31"/>
  <c r="BS226" i="31"/>
  <c r="BS121" i="31"/>
  <c r="BS88" i="31"/>
  <c r="BS20" i="31"/>
  <c r="BH114" i="9"/>
  <c r="BG114" i="9" s="1"/>
  <c r="BF114" i="9" s="1"/>
  <c r="Z83" i="10"/>
  <c r="AY75" i="9"/>
  <c r="AY67" i="9"/>
  <c r="AY66" i="9"/>
  <c r="AY65" i="9"/>
  <c r="Z174" i="10" s="1"/>
  <c r="AY29" i="9"/>
  <c r="W83" i="10"/>
  <c r="AV75" i="9"/>
  <c r="AV66" i="9"/>
  <c r="AV65" i="9"/>
  <c r="AV29" i="9"/>
  <c r="DE108" i="9"/>
  <c r="BQ53" i="31"/>
  <c r="BL53" i="31"/>
  <c r="BE108" i="9"/>
  <c r="R53" i="31"/>
  <c r="BD108" i="9"/>
  <c r="Q53" i="31"/>
  <c r="BC108" i="9"/>
  <c r="P53" i="31"/>
  <c r="BB108" i="9"/>
  <c r="O53" i="31"/>
  <c r="BA108" i="9"/>
  <c r="N53" i="31"/>
  <c r="AZ108" i="9"/>
  <c r="M53" i="31"/>
  <c r="AY108" i="9"/>
  <c r="L53" i="31"/>
  <c r="AX108" i="9"/>
  <c r="K53" i="31"/>
  <c r="AW108" i="9"/>
  <c r="J53" i="31"/>
  <c r="DH104" i="9"/>
  <c r="DG104" i="9"/>
  <c r="DF104" i="9"/>
  <c r="DE104" i="9"/>
  <c r="BB42" i="31"/>
  <c r="BA42" i="31"/>
  <c r="AZ42" i="31"/>
  <c r="AY42" i="31"/>
  <c r="AX42" i="31"/>
  <c r="AW42" i="31"/>
  <c r="AV42" i="31"/>
  <c r="AU42" i="31"/>
  <c r="AR42" i="31"/>
  <c r="AQ42" i="31"/>
  <c r="AP42" i="31"/>
  <c r="AO42" i="31"/>
  <c r="AN42" i="31"/>
  <c r="AM42" i="31"/>
  <c r="AL42" i="31"/>
  <c r="AK42" i="31"/>
  <c r="AJ42" i="31"/>
  <c r="AI42" i="31"/>
  <c r="AH42" i="31"/>
  <c r="AG42" i="31"/>
  <c r="AF42" i="31"/>
  <c r="AE42" i="31"/>
  <c r="AD42" i="31"/>
  <c r="AC42" i="31"/>
  <c r="BJ104" i="9"/>
  <c r="W42" i="31"/>
  <c r="BI104" i="9"/>
  <c r="V42" i="31"/>
  <c r="BH104" i="9"/>
  <c r="U42" i="31"/>
  <c r="BG104" i="9"/>
  <c r="T42" i="31"/>
  <c r="BF104" i="9"/>
  <c r="S42" i="31"/>
  <c r="BE104" i="9"/>
  <c r="R42" i="31"/>
  <c r="BD104" i="9"/>
  <c r="Q42" i="31"/>
  <c r="BC104" i="9"/>
  <c r="P42" i="31"/>
  <c r="BB104" i="9"/>
  <c r="O42" i="31"/>
  <c r="BA104" i="9"/>
  <c r="N42" i="31"/>
  <c r="AZ104" i="9"/>
  <c r="M42" i="31"/>
  <c r="AY104" i="9"/>
  <c r="L42" i="31"/>
  <c r="AX104" i="9"/>
  <c r="K42" i="31"/>
  <c r="AW104" i="9"/>
  <c r="J42" i="31"/>
  <c r="AB83" i="10"/>
  <c r="BA75" i="9"/>
  <c r="BA67" i="9"/>
  <c r="BA66" i="9"/>
  <c r="BA65" i="9"/>
  <c r="BA29" i="9"/>
  <c r="AA83" i="10"/>
  <c r="AZ75" i="9"/>
  <c r="AZ72" i="9"/>
  <c r="AZ70" i="9"/>
  <c r="AZ67" i="9"/>
  <c r="AZ66" i="9"/>
  <c r="AZ65" i="9"/>
  <c r="AZ29" i="9"/>
  <c r="AT116" i="31"/>
  <c r="AZ122" i="31"/>
  <c r="AU122" i="31"/>
  <c r="BD62" i="31"/>
  <c r="BE63" i="31"/>
  <c r="BF58" i="31"/>
  <c r="BL64" i="31"/>
  <c r="BP64" i="31"/>
  <c r="BH96" i="9"/>
  <c r="BG96" i="9" s="1"/>
  <c r="BF96" i="9" s="1"/>
  <c r="BE96" i="9" s="1"/>
  <c r="BD96" i="9" s="1"/>
  <c r="BC96" i="9" s="1"/>
  <c r="BB96" i="9" s="1"/>
  <c r="BA96" i="9" s="1"/>
  <c r="BI98" i="9"/>
  <c r="AX96" i="9"/>
  <c r="AW96" i="9" s="1"/>
  <c r="AV96" i="9" s="1"/>
  <c r="AY98" i="9"/>
  <c r="AV92" i="9"/>
  <c r="AV94" i="9" s="1"/>
  <c r="AW94" i="9"/>
  <c r="CF83" i="10"/>
  <c r="CI84" i="10" s="1"/>
  <c r="CI136" i="10" s="1"/>
  <c r="DJ75" i="9"/>
  <c r="DE67" i="9"/>
  <c r="DE66" i="9"/>
  <c r="DE65" i="9"/>
  <c r="CF174" i="10" s="1"/>
  <c r="DE29" i="9"/>
  <c r="DI24" i="9"/>
  <c r="Y83" i="10"/>
  <c r="AX75" i="9"/>
  <c r="AX67" i="9"/>
  <c r="AX66" i="9"/>
  <c r="AX65" i="9"/>
  <c r="Y174" i="10" s="1"/>
  <c r="AX29" i="9"/>
  <c r="BF115" i="9"/>
  <c r="BP53" i="31"/>
  <c r="BO53" i="31"/>
  <c r="BN53" i="31"/>
  <c r="BM53" i="31"/>
  <c r="BK53" i="31"/>
  <c r="BJ53" i="31"/>
  <c r="BI53" i="31"/>
  <c r="BH53" i="31"/>
  <c r="AT42" i="31"/>
  <c r="AS42" i="31"/>
  <c r="AB42" i="31"/>
  <c r="AA42" i="31"/>
  <c r="Z42" i="31"/>
  <c r="Y42" i="31"/>
  <c r="X42" i="31"/>
  <c r="CN94" i="9"/>
  <c r="CM94" i="9"/>
  <c r="CL94" i="9"/>
  <c r="CD94" i="9"/>
  <c r="CC94" i="9"/>
  <c r="CB94" i="9"/>
  <c r="BY94" i="9"/>
  <c r="BX94" i="9"/>
  <c r="BW94" i="9"/>
  <c r="BT94" i="9"/>
  <c r="BS94" i="9"/>
  <c r="BR94" i="9"/>
  <c r="BO94" i="9"/>
  <c r="BN94" i="9"/>
  <c r="BM94" i="9"/>
  <c r="AW24" i="9"/>
  <c r="BJ98" i="9"/>
  <c r="AZ98" i="9"/>
  <c r="DH94" i="9"/>
  <c r="DG94" i="9"/>
  <c r="DF94" i="9"/>
  <c r="DE94" i="9"/>
  <c r="CI94" i="9"/>
  <c r="CH94" i="9" s="1"/>
  <c r="CG94" i="9" s="1"/>
  <c r="CF94" i="9" s="1"/>
  <c r="CE94" i="9" s="1"/>
  <c r="BJ94" i="9"/>
  <c r="BI94" i="9"/>
  <c r="BH94" i="9"/>
  <c r="BG94" i="9"/>
  <c r="BF94" i="9"/>
  <c r="BE94" i="9"/>
  <c r="BD94" i="9"/>
  <c r="BC94" i="9" s="1"/>
  <c r="BB94" i="9" s="1"/>
  <c r="BA94" i="9"/>
  <c r="AZ94" i="9"/>
  <c r="AY94" i="9"/>
  <c r="AX94" i="9"/>
  <c r="I53" i="31"/>
  <c r="I42" i="31"/>
  <c r="BQ83" i="10"/>
  <c r="CP66" i="9"/>
  <c r="CP65" i="9"/>
  <c r="CP29" i="9"/>
  <c r="BB83" i="10"/>
  <c r="CA67" i="9"/>
  <c r="CA66" i="9"/>
  <c r="CA65" i="9"/>
  <c r="CA29" i="9"/>
  <c r="CA75" i="9"/>
  <c r="AW83" i="10"/>
  <c r="BV67" i="9"/>
  <c r="BV66" i="9"/>
  <c r="BV65" i="9"/>
  <c r="AW174" i="10" s="1"/>
  <c r="BV29" i="9"/>
  <c r="CT108" i="9"/>
  <c r="CS108" i="9" s="1"/>
  <c r="BG53" i="31"/>
  <c r="CR108" i="9"/>
  <c r="BE53" i="31"/>
  <c r="CQ108" i="9"/>
  <c r="BD53" i="31"/>
  <c r="CP108" i="9"/>
  <c r="BC53" i="31"/>
  <c r="CD108" i="9"/>
  <c r="CC108" i="9"/>
  <c r="CB108" i="9"/>
  <c r="CA108" i="9"/>
  <c r="BZ108" i="9"/>
  <c r="BY108" i="9"/>
  <c r="AL53" i="31"/>
  <c r="BX108" i="9"/>
  <c r="AK53" i="31"/>
  <c r="BW108" i="9"/>
  <c r="AJ53" i="31"/>
  <c r="BV108" i="9"/>
  <c r="AI53" i="31"/>
  <c r="BU108" i="9"/>
  <c r="AH53" i="31"/>
  <c r="BT108" i="9"/>
  <c r="AG53" i="31"/>
  <c r="BS108" i="9"/>
  <c r="AF53" i="31"/>
  <c r="BR108" i="9"/>
  <c r="AE53" i="31"/>
  <c r="BQ108" i="9"/>
  <c r="AD53" i="31"/>
  <c r="BP108" i="9"/>
  <c r="AC53" i="31"/>
  <c r="AB53" i="31" s="1"/>
  <c r="AA53" i="31" s="1"/>
  <c r="Z53" i="31" s="1"/>
  <c r="Y53" i="31" s="1"/>
  <c r="BO108" i="9"/>
  <c r="W53" i="31"/>
  <c r="BN108" i="9"/>
  <c r="V53" i="31"/>
  <c r="BM108" i="9"/>
  <c r="U53" i="31"/>
  <c r="BL108" i="9"/>
  <c r="T53" i="31"/>
  <c r="BK108" i="9"/>
  <c r="BJ108" i="9" s="1"/>
  <c r="BI108" i="9" s="1"/>
  <c r="BH108" i="9" s="1"/>
  <c r="BG108" i="9" s="1"/>
  <c r="X53" i="31"/>
  <c r="S53" i="31"/>
  <c r="BX22" i="9"/>
  <c r="BX24" i="9" s="1"/>
  <c r="BY24" i="9"/>
  <c r="BA83" i="10"/>
  <c r="BA84" i="10" s="1"/>
  <c r="BZ67" i="9"/>
  <c r="BZ66" i="9"/>
  <c r="BZ65" i="9"/>
  <c r="BA174" i="10" s="1"/>
  <c r="BZ29" i="9"/>
  <c r="BS83" i="10"/>
  <c r="CR67" i="9"/>
  <c r="CR66" i="9"/>
  <c r="CR65" i="9"/>
  <c r="CR29" i="9"/>
  <c r="CQ24" i="9"/>
  <c r="CC24" i="9"/>
  <c r="CB24" i="9"/>
  <c r="BW24" i="9"/>
  <c r="CT98" i="9"/>
  <c r="CS98" i="9" s="1"/>
  <c r="CR98" i="9" s="1"/>
  <c r="CQ98" i="9" s="1"/>
  <c r="CP98" i="9" s="1"/>
  <c r="BZ98" i="9"/>
  <c r="BY98" i="9"/>
  <c r="BX98" i="9" s="1"/>
  <c r="BW98" i="9" s="1"/>
  <c r="BV98" i="9" s="1"/>
  <c r="BU98" i="9" s="1"/>
  <c r="BT98" i="9" s="1"/>
  <c r="BS98" i="9" s="1"/>
  <c r="BR98" i="9" s="1"/>
  <c r="BQ98" i="9" s="1"/>
  <c r="BP98" i="9" s="1"/>
  <c r="BO98" i="9" s="1"/>
  <c r="BN98" i="9" s="1"/>
  <c r="BM98" i="9" s="1"/>
  <c r="BL98" i="9" s="1"/>
  <c r="BK98" i="9" s="1"/>
  <c r="CT115" i="9"/>
  <c r="CS115" i="9" s="1"/>
  <c r="CR115" i="9" s="1"/>
  <c r="CS114" i="9"/>
  <c r="CR114" i="9" s="1"/>
  <c r="CQ114" i="9" s="1"/>
  <c r="CP114" i="9" s="1"/>
  <c r="CQ115" i="9"/>
  <c r="CP115" i="9"/>
  <c r="CD115" i="9"/>
  <c r="CC115" i="9"/>
  <c r="CB115" i="9"/>
  <c r="CA115" i="9"/>
  <c r="BZ115" i="9"/>
  <c r="BY115" i="9"/>
  <c r="BX115" i="9"/>
  <c r="BW115" i="9"/>
  <c r="BV115" i="9"/>
  <c r="BU115" i="9"/>
  <c r="BT115" i="9"/>
  <c r="BS115" i="9"/>
  <c r="BR115" i="9"/>
  <c r="BQ115" i="9"/>
  <c r="BP115" i="9"/>
  <c r="BO115" i="9"/>
  <c r="BN115" i="9"/>
  <c r="BM115" i="9"/>
  <c r="BL115" i="9"/>
  <c r="BK115" i="9"/>
  <c r="CT92" i="9"/>
  <c r="CT94" i="9" s="1"/>
  <c r="BS1076" i="31" l="1"/>
  <c r="BR1076" i="31"/>
  <c r="BT1043" i="31"/>
  <c r="BT1076" i="31"/>
  <c r="BS1043" i="31"/>
  <c r="BR1043" i="31"/>
  <c r="DF116" i="9"/>
  <c r="CP116" i="9"/>
  <c r="CD68" i="9"/>
  <c r="DE116" i="9"/>
  <c r="BF116" i="9"/>
  <c r="CD38" i="9"/>
  <c r="CD71" i="9" s="1"/>
  <c r="DH116" i="9"/>
  <c r="DG116" i="9" s="1"/>
  <c r="BD116" i="9"/>
  <c r="BC116" i="9"/>
  <c r="BE116" i="9"/>
  <c r="BB116" i="9"/>
  <c r="BA116" i="9"/>
  <c r="AZ116" i="9" s="1"/>
  <c r="AY116" i="9" s="1"/>
  <c r="AX116" i="9" s="1"/>
  <c r="AW116" i="9" s="1"/>
  <c r="CQ116" i="9"/>
  <c r="AX98" i="9"/>
  <c r="AW98" i="9" s="1"/>
  <c r="AV98" i="9" s="1"/>
  <c r="BH98" i="9"/>
  <c r="BG98" i="9" s="1"/>
  <c r="BF98" i="9" s="1"/>
  <c r="BE98" i="9" s="1"/>
  <c r="BD98" i="9" s="1"/>
  <c r="BC98" i="9" s="1"/>
  <c r="BB98" i="9" s="1"/>
  <c r="BA98" i="9" s="1"/>
  <c r="BX1429" i="31"/>
  <c r="BX1451" i="31"/>
  <c r="BX1462" i="31"/>
  <c r="BX1473" i="31"/>
  <c r="BX1484" i="31"/>
  <c r="BS1429" i="31"/>
  <c r="BS1451" i="31"/>
  <c r="BS1462" i="31"/>
  <c r="BS1473" i="31"/>
  <c r="BS1484" i="31"/>
  <c r="X83" i="10"/>
  <c r="AW75" i="9"/>
  <c r="AW67" i="9"/>
  <c r="AV67" i="9" s="1"/>
  <c r="AW66" i="9"/>
  <c r="AW65" i="9"/>
  <c r="X174" i="10" s="1"/>
  <c r="W174" i="10" s="1"/>
  <c r="V174" i="10" s="1"/>
  <c r="U174" i="10" s="1"/>
  <c r="T174" i="10" s="1"/>
  <c r="S174" i="10" s="1"/>
  <c r="R174" i="10" s="1"/>
  <c r="Q174" i="10" s="1"/>
  <c r="P174" i="10" s="1"/>
  <c r="O174" i="10" s="1"/>
  <c r="N174" i="10" s="1"/>
  <c r="AW29" i="9"/>
  <c r="AX79" i="9"/>
  <c r="AX68" i="9"/>
  <c r="Y175" i="10" s="1"/>
  <c r="AX39" i="9"/>
  <c r="AX38" i="9"/>
  <c r="CJ83" i="10"/>
  <c r="CJ84" i="10" s="1"/>
  <c r="DI67" i="9"/>
  <c r="DI66" i="9"/>
  <c r="DI65" i="9"/>
  <c r="DI29" i="9"/>
  <c r="DJ79" i="9"/>
  <c r="DE68" i="9"/>
  <c r="CF175" i="10" s="1"/>
  <c r="DE39" i="9"/>
  <c r="DE38" i="9"/>
  <c r="CI144" i="10"/>
  <c r="CI79" i="10"/>
  <c r="CI78" i="10"/>
  <c r="CI77" i="10"/>
  <c r="CI76" i="10"/>
  <c r="CI75" i="10"/>
  <c r="CI74" i="10"/>
  <c r="CI73" i="10"/>
  <c r="CI70" i="10"/>
  <c r="CI69" i="10"/>
  <c r="CI68" i="10"/>
  <c r="CI67" i="10"/>
  <c r="CI66" i="10"/>
  <c r="CI65" i="10"/>
  <c r="CI216" i="10" s="1"/>
  <c r="CI59" i="10"/>
  <c r="BE58" i="31"/>
  <c r="BK64" i="31"/>
  <c r="BC62" i="31"/>
  <c r="BD63" i="31"/>
  <c r="AS116" i="31"/>
  <c r="AS122" i="31" s="1"/>
  <c r="AY122" i="31"/>
  <c r="AT122" i="31"/>
  <c r="AZ79" i="9"/>
  <c r="AZ68" i="9"/>
  <c r="AZ39" i="9"/>
  <c r="BA79" i="9"/>
  <c r="BA68" i="9"/>
  <c r="BA38" i="9"/>
  <c r="AV79" i="9"/>
  <c r="AV68" i="9"/>
  <c r="AV39" i="9"/>
  <c r="AV38" i="9"/>
  <c r="AY79" i="9"/>
  <c r="AY68" i="9"/>
  <c r="AY39" i="9"/>
  <c r="AY38" i="9"/>
  <c r="AX83" i="10"/>
  <c r="BW67" i="9"/>
  <c r="BW66" i="9"/>
  <c r="BW65" i="9"/>
  <c r="BW29" i="9"/>
  <c r="BC83" i="10"/>
  <c r="CB67" i="9"/>
  <c r="CB66" i="9"/>
  <c r="CB65" i="9"/>
  <c r="CB29" i="9"/>
  <c r="CB75" i="9"/>
  <c r="BD83" i="10"/>
  <c r="CC75" i="9"/>
  <c r="CC67" i="9"/>
  <c r="CC66" i="9"/>
  <c r="CC65" i="9"/>
  <c r="CC29" i="9"/>
  <c r="BR83" i="10"/>
  <c r="CQ67" i="9"/>
  <c r="CP67" i="9" s="1"/>
  <c r="CQ66" i="9"/>
  <c r="CQ65" i="9"/>
  <c r="CQ29" i="9"/>
  <c r="CR68" i="9"/>
  <c r="CR39" i="9"/>
  <c r="CR38" i="9"/>
  <c r="BZ68" i="9"/>
  <c r="BZ39" i="9"/>
  <c r="BZ38" i="9"/>
  <c r="BA144" i="10"/>
  <c r="BA136" i="10"/>
  <c r="BA79" i="10"/>
  <c r="BA78" i="10"/>
  <c r="BA77" i="10"/>
  <c r="BA76" i="10"/>
  <c r="BA75" i="10"/>
  <c r="BA74" i="10"/>
  <c r="BA73" i="10"/>
  <c r="BA70" i="10"/>
  <c r="BA69" i="10"/>
  <c r="BA68" i="10"/>
  <c r="BA67" i="10"/>
  <c r="BA66" i="10"/>
  <c r="BA65" i="10"/>
  <c r="BA59" i="10"/>
  <c r="AZ83" i="10"/>
  <c r="BY67" i="9"/>
  <c r="BY66" i="9"/>
  <c r="BY65" i="9"/>
  <c r="AZ174" i="10" s="1"/>
  <c r="BY29" i="9"/>
  <c r="CD75" i="9"/>
  <c r="AY83" i="10"/>
  <c r="BX67" i="9"/>
  <c r="BX66" i="9"/>
  <c r="BX65" i="9"/>
  <c r="BX29" i="9"/>
  <c r="BV68" i="9"/>
  <c r="BV39" i="9"/>
  <c r="BV38" i="9"/>
  <c r="CA68" i="9"/>
  <c r="CA39" i="9"/>
  <c r="CA38" i="9"/>
  <c r="CA79" i="9"/>
  <c r="CP39" i="9"/>
  <c r="CP38" i="9"/>
  <c r="CP68" i="9"/>
  <c r="CR116" i="9"/>
  <c r="CE22" i="9" l="1"/>
  <c r="AM28" i="31"/>
  <c r="AL28" i="31" s="1"/>
  <c r="AK28" i="31" s="1"/>
  <c r="AJ28" i="31" s="1"/>
  <c r="AI28" i="31" s="1"/>
  <c r="AH28" i="31" s="1"/>
  <c r="AG28" i="31" s="1"/>
  <c r="AF28" i="31" s="1"/>
  <c r="AE28" i="31" s="1"/>
  <c r="AD28" i="31" s="1"/>
  <c r="AC28" i="31" s="1"/>
  <c r="AB28" i="31" s="1"/>
  <c r="AA28" i="31" s="1"/>
  <c r="Z28" i="31" s="1"/>
  <c r="Y28" i="31" s="1"/>
  <c r="X28" i="31" s="1"/>
  <c r="AM50" i="31"/>
  <c r="CE96" i="9"/>
  <c r="AY174" i="10"/>
  <c r="CD70" i="9"/>
  <c r="CD43" i="9"/>
  <c r="CD55" i="9" s="1"/>
  <c r="CD49" i="9"/>
  <c r="CD53" i="9" s="1"/>
  <c r="AX174" i="10"/>
  <c r="BB84" i="10"/>
  <c r="BB136" i="10" s="1"/>
  <c r="AX122" i="31"/>
  <c r="BJ64" i="31"/>
  <c r="DJ97" i="9"/>
  <c r="DI97" i="9" s="1"/>
  <c r="DH97" i="9" s="1"/>
  <c r="DG97" i="9" s="1"/>
  <c r="AY80" i="9"/>
  <c r="AY70" i="9"/>
  <c r="AY49" i="9"/>
  <c r="AY43" i="9"/>
  <c r="AV80" i="9"/>
  <c r="AV71" i="9"/>
  <c r="AU71" i="9" s="1"/>
  <c r="AV70" i="9"/>
  <c r="AV49" i="9"/>
  <c r="AV43" i="9"/>
  <c r="BA80" i="9"/>
  <c r="BA49" i="9"/>
  <c r="BA43" i="9"/>
  <c r="BB62" i="31"/>
  <c r="BA62" i="31" s="1"/>
  <c r="BA63" i="31" s="1"/>
  <c r="BC63" i="31"/>
  <c r="BD58" i="31"/>
  <c r="DE125" i="9"/>
  <c r="DE127" i="9" s="1"/>
  <c r="DJ80" i="9"/>
  <c r="DE71" i="9"/>
  <c r="DE70" i="9"/>
  <c r="DE49" i="9"/>
  <c r="DE43" i="9"/>
  <c r="DI68" i="9"/>
  <c r="CJ175" i="10" s="1"/>
  <c r="DI39" i="9"/>
  <c r="DI38" i="9"/>
  <c r="CJ174" i="10"/>
  <c r="CJ79" i="10"/>
  <c r="CJ78" i="10"/>
  <c r="CJ77" i="10"/>
  <c r="CJ76" i="10"/>
  <c r="CJ75" i="10"/>
  <c r="CJ74" i="10"/>
  <c r="CJ73" i="10"/>
  <c r="CJ70" i="10"/>
  <c r="CJ69" i="10"/>
  <c r="CJ68" i="10"/>
  <c r="CJ67" i="10"/>
  <c r="CJ66" i="10"/>
  <c r="CJ65" i="10"/>
  <c r="CJ216" i="10" s="1"/>
  <c r="CJ59" i="10"/>
  <c r="CJ62" i="10" s="1"/>
  <c r="CI62" i="10" s="1"/>
  <c r="AX80" i="9"/>
  <c r="AX70" i="9"/>
  <c r="AX49" i="9"/>
  <c r="AX43" i="9"/>
  <c r="AW79" i="9"/>
  <c r="AW68" i="9"/>
  <c r="X175" i="10" s="1"/>
  <c r="W175" i="10" s="1"/>
  <c r="V175" i="10" s="1"/>
  <c r="U175" i="10" s="1"/>
  <c r="T175" i="10" s="1"/>
  <c r="S175" i="10" s="1"/>
  <c r="R175" i="10" s="1"/>
  <c r="Q175" i="10" s="1"/>
  <c r="P175" i="10" s="1"/>
  <c r="O175" i="10" s="1"/>
  <c r="N175" i="10" s="1"/>
  <c r="AW39" i="9"/>
  <c r="AW38" i="9"/>
  <c r="CP125" i="9"/>
  <c r="CP127" i="9" s="1"/>
  <c r="CP71" i="9"/>
  <c r="CP70" i="9"/>
  <c r="CP49" i="9"/>
  <c r="CP43" i="9"/>
  <c r="CA71" i="9"/>
  <c r="CA70" i="9"/>
  <c r="CA49" i="9"/>
  <c r="CA43" i="9"/>
  <c r="CA80" i="9"/>
  <c r="BV70" i="9"/>
  <c r="BV49" i="9"/>
  <c r="BV43" i="9"/>
  <c r="BX68" i="9"/>
  <c r="BX39" i="9"/>
  <c r="BX38" i="9"/>
  <c r="BY68" i="9"/>
  <c r="BY39" i="9"/>
  <c r="BY38" i="9"/>
  <c r="CD79" i="9"/>
  <c r="BZ71" i="9"/>
  <c r="BZ70" i="9"/>
  <c r="BZ49" i="9"/>
  <c r="BZ43" i="9"/>
  <c r="CR125" i="9"/>
  <c r="CR127" i="9" s="1"/>
  <c r="CR71" i="9"/>
  <c r="CR70" i="9"/>
  <c r="CR49" i="9"/>
  <c r="CR43" i="9"/>
  <c r="CQ68" i="9"/>
  <c r="BR175" i="10" s="1"/>
  <c r="BQ175" i="10" s="1"/>
  <c r="CQ39" i="9"/>
  <c r="CQ38" i="9"/>
  <c r="CC68" i="9"/>
  <c r="CC39" i="9"/>
  <c r="CC38" i="9"/>
  <c r="CC79" i="9"/>
  <c r="BD84" i="10"/>
  <c r="BE84" i="10"/>
  <c r="CB68" i="9"/>
  <c r="CB39" i="9"/>
  <c r="CB38" i="9"/>
  <c r="CB79" i="9"/>
  <c r="BW68" i="9"/>
  <c r="BW39" i="9"/>
  <c r="BW38" i="9"/>
  <c r="AZ84" i="10"/>
  <c r="BC84" i="10"/>
  <c r="CT24" i="9"/>
  <c r="BB144" i="10" l="1"/>
  <c r="CD121" i="9"/>
  <c r="CD52" i="9"/>
  <c r="BE172" i="10"/>
  <c r="CD44" i="9"/>
  <c r="CD72" i="9"/>
  <c r="CD122" i="9"/>
  <c r="BE173" i="10"/>
  <c r="CD56" i="9"/>
  <c r="BB73" i="10"/>
  <c r="BB67" i="10"/>
  <c r="BB77" i="10"/>
  <c r="BB65" i="10"/>
  <c r="BB69" i="10"/>
  <c r="BB75" i="10"/>
  <c r="BB79" i="10"/>
  <c r="BB59" i="10"/>
  <c r="BB66" i="10"/>
  <c r="BB68" i="10"/>
  <c r="BB70" i="10"/>
  <c r="BB74" i="10"/>
  <c r="BB76" i="10"/>
  <c r="BB78" i="10"/>
  <c r="BI64" i="31"/>
  <c r="BR51" i="31"/>
  <c r="AW80" i="9"/>
  <c r="AW70" i="9"/>
  <c r="AW49" i="9"/>
  <c r="AW43" i="9"/>
  <c r="DF97" i="9"/>
  <c r="DE97" i="9" s="1"/>
  <c r="DD97" i="9" s="1"/>
  <c r="DC97" i="9" s="1"/>
  <c r="DB97" i="9" s="1"/>
  <c r="DA97" i="9" s="1"/>
  <c r="DG98" i="9"/>
  <c r="Y173" i="10"/>
  <c r="Y172" i="10"/>
  <c r="AX122" i="9"/>
  <c r="AX121" i="9"/>
  <c r="AX81" i="9"/>
  <c r="AX72" i="9"/>
  <c r="Y176" i="10" s="1"/>
  <c r="AX55" i="9"/>
  <c r="AX82" i="9" s="1"/>
  <c r="AX52" i="9"/>
  <c r="AX44" i="9"/>
  <c r="AX56" i="9"/>
  <c r="AX53" i="9"/>
  <c r="DI125" i="9"/>
  <c r="DI122" i="9"/>
  <c r="DI71" i="9"/>
  <c r="DI70" i="9"/>
  <c r="DI49" i="9"/>
  <c r="DI43" i="9"/>
  <c r="CF173" i="10"/>
  <c r="CF172" i="10"/>
  <c r="DE122" i="9"/>
  <c r="DE121" i="9"/>
  <c r="DJ81" i="9"/>
  <c r="DE72" i="9"/>
  <c r="CF176" i="10" s="1"/>
  <c r="DE55" i="9"/>
  <c r="DE52" i="9"/>
  <c r="DE45" i="9"/>
  <c r="DE56" i="9"/>
  <c r="DE53" i="9"/>
  <c r="DE50" i="9"/>
  <c r="BC58" i="31"/>
  <c r="AB173" i="10"/>
  <c r="AB172" i="10"/>
  <c r="BA122" i="9"/>
  <c r="BA121" i="9"/>
  <c r="BA81" i="9"/>
  <c r="BA72" i="9"/>
  <c r="BA55" i="9"/>
  <c r="BA52" i="9"/>
  <c r="BA44" i="9"/>
  <c r="BA34" i="9" s="1"/>
  <c r="BA56" i="9"/>
  <c r="AZ56" i="9" s="1"/>
  <c r="BA53" i="9"/>
  <c r="W173" i="10"/>
  <c r="W172" i="10"/>
  <c r="AV122" i="9"/>
  <c r="AV121" i="9"/>
  <c r="AV81" i="9"/>
  <c r="AV72" i="9"/>
  <c r="AV55" i="9"/>
  <c r="AV52" i="9"/>
  <c r="AV44" i="9"/>
  <c r="AV56" i="9"/>
  <c r="AV53" i="9"/>
  <c r="Z173" i="10"/>
  <c r="Z172" i="10"/>
  <c r="AY122" i="9"/>
  <c r="AY121" i="9"/>
  <c r="AY81" i="9"/>
  <c r="AY72" i="9"/>
  <c r="AY55" i="9"/>
  <c r="AY82" i="9" s="1"/>
  <c r="AY52" i="9"/>
  <c r="AY44" i="9"/>
  <c r="AY56" i="9"/>
  <c r="AY53" i="9"/>
  <c r="BC144" i="10"/>
  <c r="BC136" i="10"/>
  <c r="BC79" i="10"/>
  <c r="BC78" i="10"/>
  <c r="BC77" i="10"/>
  <c r="BC76" i="10"/>
  <c r="BC75" i="10"/>
  <c r="BC74" i="10"/>
  <c r="BC73" i="10"/>
  <c r="BC70" i="10"/>
  <c r="BC69" i="10"/>
  <c r="BC68" i="10"/>
  <c r="BC67" i="10"/>
  <c r="BC66" i="10"/>
  <c r="BC65" i="10"/>
  <c r="BC59" i="10"/>
  <c r="AZ144" i="10"/>
  <c r="AZ136" i="10"/>
  <c r="AZ79" i="10"/>
  <c r="AZ78" i="10"/>
  <c r="AZ77" i="10"/>
  <c r="AZ76" i="10"/>
  <c r="AZ75" i="10"/>
  <c r="AZ74" i="10"/>
  <c r="AZ73" i="10"/>
  <c r="AZ70" i="10"/>
  <c r="AZ69" i="10"/>
  <c r="AZ68" i="10"/>
  <c r="AZ67" i="10"/>
  <c r="AZ66" i="10"/>
  <c r="AZ65" i="10"/>
  <c r="AZ59" i="10"/>
  <c r="BW70" i="9"/>
  <c r="BW49" i="9"/>
  <c r="BW43" i="9"/>
  <c r="CB71" i="9"/>
  <c r="CB70" i="9"/>
  <c r="CB49" i="9"/>
  <c r="CB43" i="9"/>
  <c r="CB80" i="9"/>
  <c r="BE144" i="10"/>
  <c r="BE136" i="10"/>
  <c r="BE79" i="10"/>
  <c r="BE78" i="10"/>
  <c r="BE77" i="10"/>
  <c r="BE76" i="10"/>
  <c r="BE75" i="10"/>
  <c r="BE74" i="10"/>
  <c r="BE73" i="10"/>
  <c r="BE70" i="10"/>
  <c r="BE69" i="10"/>
  <c r="BE68" i="10"/>
  <c r="BE67" i="10"/>
  <c r="BE66" i="10"/>
  <c r="BE65" i="10"/>
  <c r="BE216" i="10" s="1"/>
  <c r="BE59" i="10"/>
  <c r="BE62" i="10" s="1"/>
  <c r="BD144" i="10"/>
  <c r="BD136" i="10"/>
  <c r="BD79" i="10"/>
  <c r="BD78" i="10"/>
  <c r="BD77" i="10"/>
  <c r="BD76" i="10"/>
  <c r="BD75" i="10"/>
  <c r="BD74" i="10"/>
  <c r="BD73" i="10"/>
  <c r="BD70" i="10"/>
  <c r="BD69" i="10"/>
  <c r="BD68" i="10"/>
  <c r="BD67" i="10"/>
  <c r="BD66" i="10"/>
  <c r="BD65" i="10"/>
  <c r="BD216" i="10" s="1"/>
  <c r="BD59" i="10"/>
  <c r="BD62" i="10" s="1"/>
  <c r="CC80" i="9"/>
  <c r="CC71" i="9"/>
  <c r="CC70" i="9"/>
  <c r="CC49" i="9"/>
  <c r="CC43" i="9"/>
  <c r="CQ125" i="9"/>
  <c r="CQ127" i="9" s="1"/>
  <c r="CQ71" i="9"/>
  <c r="CQ70" i="9"/>
  <c r="CQ49" i="9"/>
  <c r="CQ43" i="9"/>
  <c r="BS173" i="10"/>
  <c r="BS172" i="10"/>
  <c r="CR122" i="9"/>
  <c r="CR121" i="9"/>
  <c r="CR72" i="9"/>
  <c r="CR55" i="9"/>
  <c r="CR52" i="9"/>
  <c r="CR44" i="9"/>
  <c r="CR56" i="9"/>
  <c r="CR53" i="9"/>
  <c r="CR50" i="9"/>
  <c r="BA173" i="10"/>
  <c r="BA172" i="10"/>
  <c r="BZ122" i="9"/>
  <c r="BZ121" i="9"/>
  <c r="BZ72" i="9"/>
  <c r="BZ55" i="9"/>
  <c r="BZ52" i="9"/>
  <c r="BZ44" i="9"/>
  <c r="BZ56" i="9"/>
  <c r="BZ53" i="9"/>
  <c r="BZ50" i="9"/>
  <c r="BY71" i="9"/>
  <c r="BY70" i="9"/>
  <c r="BY49" i="9"/>
  <c r="BY43" i="9"/>
  <c r="CD80" i="9"/>
  <c r="BX70" i="9"/>
  <c r="BX49" i="9"/>
  <c r="BX43" i="9"/>
  <c r="AW173" i="10"/>
  <c r="AW172" i="10"/>
  <c r="BV122" i="9"/>
  <c r="BV121" i="9"/>
  <c r="BV72" i="9"/>
  <c r="AW176" i="10" s="1"/>
  <c r="BV55" i="9"/>
  <c r="BV52" i="9"/>
  <c r="BV44" i="9"/>
  <c r="BV56" i="9"/>
  <c r="BV53" i="9"/>
  <c r="BB173" i="10"/>
  <c r="BB172" i="10"/>
  <c r="CA122" i="9"/>
  <c r="CA121" i="9"/>
  <c r="CA72" i="9"/>
  <c r="CA55" i="9"/>
  <c r="CA52" i="9"/>
  <c r="CA44" i="9"/>
  <c r="CA81" i="9"/>
  <c r="CA56" i="9"/>
  <c r="CA53" i="9"/>
  <c r="BQ173" i="10"/>
  <c r="BQ172" i="10"/>
  <c r="CP122" i="9"/>
  <c r="CP121" i="9"/>
  <c r="CP72" i="9"/>
  <c r="CP55" i="9"/>
  <c r="CP52" i="9"/>
  <c r="CP44" i="9"/>
  <c r="CP56" i="9"/>
  <c r="CP53" i="9"/>
  <c r="CP50" i="9"/>
  <c r="CS24" i="9"/>
  <c r="BU83" i="10"/>
  <c r="CT67" i="9"/>
  <c r="CT66" i="9"/>
  <c r="CT65" i="9"/>
  <c r="CT29" i="9"/>
  <c r="BC62" i="10" l="1"/>
  <c r="BC216" i="10"/>
  <c r="CA82" i="9"/>
  <c r="CA83" i="9" s="1"/>
  <c r="BB62" i="10"/>
  <c r="BA62" i="10" s="1"/>
  <c r="AZ62" i="10" s="1"/>
  <c r="BB216" i="10"/>
  <c r="BA216" i="10" s="1"/>
  <c r="AZ216" i="10" s="1"/>
  <c r="BR53" i="31"/>
  <c r="DF98" i="9"/>
  <c r="DE98" i="9" s="1"/>
  <c r="DD98" i="9" s="1"/>
  <c r="DC98" i="9" s="1"/>
  <c r="DB98" i="9" s="1"/>
  <c r="DA98" i="9" s="1"/>
  <c r="BB58" i="31"/>
  <c r="BH64" i="31"/>
  <c r="CF185" i="10"/>
  <c r="CF191" i="10" s="1"/>
  <c r="DE57" i="9"/>
  <c r="DE54" i="9"/>
  <c r="DJ82" i="9"/>
  <c r="CJ173" i="10"/>
  <c r="CJ172" i="10"/>
  <c r="DI121" i="9"/>
  <c r="DI72" i="9"/>
  <c r="CJ176" i="10" s="1"/>
  <c r="DI55" i="9"/>
  <c r="DI52" i="9"/>
  <c r="DI45" i="9"/>
  <c r="DI53" i="9"/>
  <c r="DI56" i="9"/>
  <c r="X173" i="10"/>
  <c r="X172" i="10"/>
  <c r="AW122" i="9"/>
  <c r="AW121" i="9"/>
  <c r="AW81" i="9"/>
  <c r="AW72" i="9"/>
  <c r="X176" i="10" s="1"/>
  <c r="W176" i="10" s="1"/>
  <c r="V176" i="10" s="1"/>
  <c r="U176" i="10" s="1"/>
  <c r="T176" i="10" s="1"/>
  <c r="S176" i="10" s="1"/>
  <c r="R176" i="10" s="1"/>
  <c r="Q176" i="10" s="1"/>
  <c r="P176" i="10" s="1"/>
  <c r="O176" i="10" s="1"/>
  <c r="N176" i="10" s="1"/>
  <c r="AW55" i="9"/>
  <c r="AW82" i="9" s="1"/>
  <c r="AV82" i="9" s="1"/>
  <c r="AW52" i="9"/>
  <c r="AW44" i="9"/>
  <c r="AW56" i="9"/>
  <c r="AW53" i="9"/>
  <c r="BA82" i="9"/>
  <c r="AZ82" i="9" s="1"/>
  <c r="AY173" i="10"/>
  <c r="AY172" i="10"/>
  <c r="BX122" i="9"/>
  <c r="BX121" i="9"/>
  <c r="BX72" i="9"/>
  <c r="BX55" i="9"/>
  <c r="BX52" i="9"/>
  <c r="BX44" i="9"/>
  <c r="BX56" i="9"/>
  <c r="BX53" i="9"/>
  <c r="AZ173" i="10"/>
  <c r="AZ172" i="10"/>
  <c r="BY122" i="9"/>
  <c r="BY121" i="9"/>
  <c r="BY72" i="9"/>
  <c r="AZ176" i="10" s="1"/>
  <c r="BY55" i="9"/>
  <c r="CD82" i="9" s="1"/>
  <c r="BY52" i="9"/>
  <c r="BY44" i="9"/>
  <c r="CD81" i="9"/>
  <c r="BY56" i="9"/>
  <c r="BY53" i="9"/>
  <c r="BX71" i="9"/>
  <c r="BW71" i="9" s="1"/>
  <c r="BV71" i="9" s="1"/>
  <c r="BY50" i="9"/>
  <c r="BR173" i="10"/>
  <c r="BR172" i="10"/>
  <c r="CQ122" i="9"/>
  <c r="CQ121" i="9"/>
  <c r="CQ72" i="9"/>
  <c r="CQ55" i="9"/>
  <c r="CQ52" i="9"/>
  <c r="CQ44" i="9"/>
  <c r="CQ56" i="9"/>
  <c r="CQ53" i="9"/>
  <c r="CQ50" i="9"/>
  <c r="BD173" i="10"/>
  <c r="BD172" i="10"/>
  <c r="CC122" i="9"/>
  <c r="CC121" i="9"/>
  <c r="CC72" i="9"/>
  <c r="CC55" i="9"/>
  <c r="CC52" i="9"/>
  <c r="CC44" i="9"/>
  <c r="CC81" i="9"/>
  <c r="CC56" i="9"/>
  <c r="CC53" i="9"/>
  <c r="BC173" i="10"/>
  <c r="BC172" i="10"/>
  <c r="CB122" i="9"/>
  <c r="CB121" i="9"/>
  <c r="CB72" i="9"/>
  <c r="CB55" i="9"/>
  <c r="CB52" i="9"/>
  <c r="CB44" i="9"/>
  <c r="CB81" i="9"/>
  <c r="CB56" i="9"/>
  <c r="CB53" i="9"/>
  <c r="AX173" i="10"/>
  <c r="AX172" i="10"/>
  <c r="BW122" i="9"/>
  <c r="BW121" i="9"/>
  <c r="BW72" i="9"/>
  <c r="BW55" i="9"/>
  <c r="BW52" i="9"/>
  <c r="BW44" i="9"/>
  <c r="BW56" i="9"/>
  <c r="BW53" i="9"/>
  <c r="CT68" i="9"/>
  <c r="BU175" i="10" s="1"/>
  <c r="CT39" i="9"/>
  <c r="CT38" i="9"/>
  <c r="BU174" i="10"/>
  <c r="BT83" i="10"/>
  <c r="CS67" i="9"/>
  <c r="CS66" i="9"/>
  <c r="CS65" i="9"/>
  <c r="CS29" i="9"/>
  <c r="AY176" i="10" l="1"/>
  <c r="CC82" i="9"/>
  <c r="CC83" i="9" s="1"/>
  <c r="BX50" i="9"/>
  <c r="BW50" i="9" s="1"/>
  <c r="BV50" i="9" s="1"/>
  <c r="CJ185" i="10"/>
  <c r="DI57" i="9"/>
  <c r="DI54" i="9"/>
  <c r="BA58" i="31"/>
  <c r="BG64" i="31"/>
  <c r="CT112" i="9"/>
  <c r="CB82" i="9"/>
  <c r="CB83" i="9" s="1"/>
  <c r="CD83" i="9"/>
  <c r="AX176" i="10"/>
  <c r="CS68" i="9"/>
  <c r="BT175" i="10" s="1"/>
  <c r="BS175" i="10" s="1"/>
  <c r="CS39" i="9"/>
  <c r="CS38" i="9"/>
  <c r="CT125" i="9"/>
  <c r="CT127" i="9" s="1"/>
  <c r="CT71" i="9"/>
  <c r="CT70" i="9"/>
  <c r="CT49" i="9"/>
  <c r="CT43" i="9"/>
  <c r="BT174" i="10"/>
  <c r="BS174" i="10" s="1"/>
  <c r="BR174" i="10" s="1"/>
  <c r="BQ174" i="10" s="1"/>
  <c r="BF64" i="31" l="1"/>
  <c r="AZ58" i="31"/>
  <c r="CS112" i="9"/>
  <c r="BU173" i="10"/>
  <c r="BU172" i="10"/>
  <c r="CT122" i="9"/>
  <c r="CT121" i="9"/>
  <c r="CT72" i="9"/>
  <c r="BU176" i="10" s="1"/>
  <c r="CT55" i="9"/>
  <c r="CT52" i="9"/>
  <c r="CT44" i="9"/>
  <c r="CT56" i="9"/>
  <c r="CT53" i="9"/>
  <c r="CT50" i="9"/>
  <c r="CS125" i="9"/>
  <c r="CS127" i="9" s="1"/>
  <c r="CS71" i="9"/>
  <c r="CS70" i="9"/>
  <c r="CS49" i="9"/>
  <c r="CS43" i="9"/>
  <c r="AY58" i="31" l="1"/>
  <c r="CR112" i="9"/>
  <c r="BE64" i="31"/>
  <c r="BT173" i="10"/>
  <c r="BT172" i="10"/>
  <c r="CS122" i="9"/>
  <c r="CS121" i="9"/>
  <c r="CS72" i="9"/>
  <c r="BT176" i="10" s="1"/>
  <c r="BS176" i="10" s="1"/>
  <c r="BR176" i="10" s="1"/>
  <c r="BQ176" i="10" s="1"/>
  <c r="CS55" i="9"/>
  <c r="CS52" i="9"/>
  <c r="CS44" i="9"/>
  <c r="CS56" i="9"/>
  <c r="CS53" i="9"/>
  <c r="CS50" i="9"/>
  <c r="BU84" i="10"/>
  <c r="DJ71" i="9"/>
  <c r="BD64" i="31" l="1"/>
  <c r="DJ50" i="9"/>
  <c r="AX58" i="31"/>
  <c r="CQ112" i="9"/>
  <c r="BT84" i="10"/>
  <c r="BU144" i="10"/>
  <c r="BU136" i="10"/>
  <c r="BU79" i="10"/>
  <c r="BU78" i="10"/>
  <c r="BU77" i="10"/>
  <c r="BU76" i="10"/>
  <c r="BU75" i="10"/>
  <c r="BU74" i="10"/>
  <c r="BU73" i="10"/>
  <c r="BU70" i="10"/>
  <c r="BU69" i="10"/>
  <c r="BU68" i="10"/>
  <c r="BU67" i="10"/>
  <c r="BU66" i="10"/>
  <c r="BU65" i="10"/>
  <c r="BU216" i="10" s="1"/>
  <c r="BU59" i="10"/>
  <c r="BU62" i="10" s="1"/>
  <c r="BC64" i="31" l="1"/>
  <c r="AW58" i="31"/>
  <c r="CP112" i="9"/>
  <c r="BT144" i="10"/>
  <c r="BT136" i="10"/>
  <c r="BT79" i="10"/>
  <c r="BT78" i="10"/>
  <c r="BT77" i="10"/>
  <c r="BT76" i="10"/>
  <c r="BT75" i="10"/>
  <c r="BT74" i="10"/>
  <c r="BT73" i="10"/>
  <c r="BT70" i="10"/>
  <c r="BT69" i="10"/>
  <c r="BT68" i="10"/>
  <c r="BT67" i="10"/>
  <c r="BT66" i="10"/>
  <c r="BT65" i="10"/>
  <c r="BT216" i="10" s="1"/>
  <c r="BT59" i="10"/>
  <c r="BT62" i="10" s="1"/>
  <c r="BB64" i="31" l="1"/>
  <c r="AV58" i="31"/>
  <c r="AU58" i="31" l="1"/>
  <c r="AQ58" i="31"/>
  <c r="BA64" i="31"/>
  <c r="AZ64" i="31" l="1"/>
  <c r="AP58" i="31"/>
  <c r="AT58" i="31"/>
  <c r="AV64" i="31"/>
  <c r="AL58" i="31"/>
  <c r="AU64" i="31" l="1"/>
  <c r="AS58" i="31"/>
  <c r="AY64" i="31"/>
  <c r="AO58" i="31"/>
  <c r="AK58" i="31"/>
  <c r="CD112" i="9"/>
  <c r="AQ64" i="31"/>
  <c r="AX64" i="31" l="1"/>
  <c r="AR58" i="31"/>
  <c r="AN58" i="31"/>
  <c r="AT64" i="31"/>
  <c r="AP64" i="31"/>
  <c r="AJ58" i="31"/>
  <c r="CC112" i="9"/>
  <c r="AS64" i="31" l="1"/>
  <c r="AO64" i="31"/>
  <c r="AM58" i="31"/>
  <c r="AW64" i="31"/>
  <c r="AI58" i="31"/>
  <c r="CB112" i="9"/>
  <c r="AN64" i="31" l="1"/>
  <c r="AR64" i="31"/>
  <c r="AH58" i="31"/>
  <c r="CA112" i="9"/>
  <c r="DJ144" i="9"/>
  <c r="CK191" i="10"/>
  <c r="CK216" i="10"/>
  <c r="DJ83" i="9"/>
  <c r="DJ127" i="9"/>
  <c r="DI127" i="9"/>
  <c r="CK136" i="10"/>
  <c r="AM64" i="31" l="1"/>
  <c r="AG58" i="31"/>
  <c r="BZ112" i="9"/>
  <c r="AL64" i="31" l="1"/>
  <c r="AF58" i="31"/>
  <c r="BY112" i="9"/>
  <c r="DK97" i="9"/>
  <c r="DK98" i="9" s="1"/>
  <c r="DJ98" i="9" s="1"/>
  <c r="DI98" i="9" s="1"/>
  <c r="DH98" i="9" s="1"/>
  <c r="BS51" i="31"/>
  <c r="BS52" i="31" s="1"/>
  <c r="BR52" i="31" s="1"/>
  <c r="AK64" i="31" l="1"/>
  <c r="AE58" i="31"/>
  <c r="BX112" i="9"/>
  <c r="BS53" i="31"/>
  <c r="AJ64" i="31" l="1"/>
  <c r="AD58" i="31"/>
  <c r="BW112" i="9"/>
  <c r="AI64" i="31" l="1"/>
  <c r="AC58" i="31"/>
  <c r="BV112" i="9"/>
  <c r="AH64" i="31" l="1"/>
  <c r="AB58" i="31"/>
  <c r="BU112" i="9"/>
  <c r="AG64" i="31" l="1"/>
  <c r="AA58" i="31"/>
  <c r="BT112" i="9"/>
  <c r="AF64" i="31" l="1"/>
  <c r="Z58" i="31"/>
  <c r="BS112" i="9"/>
  <c r="AE64" i="31" l="1"/>
  <c r="Y58" i="31"/>
  <c r="BR112" i="9"/>
  <c r="AD64" i="31" l="1"/>
  <c r="X58" i="31"/>
  <c r="BQ112" i="9"/>
  <c r="DJ72" i="9"/>
  <c r="CK176" i="10" s="1"/>
  <c r="AC64" i="31" l="1"/>
  <c r="W58" i="31"/>
  <c r="AB64" i="31" s="1"/>
  <c r="BP112" i="9"/>
  <c r="V58" i="31" l="1"/>
  <c r="AA64" i="31" s="1"/>
  <c r="BO112" i="9"/>
  <c r="U58" i="31" l="1"/>
  <c r="Z64" i="31" s="1"/>
  <c r="BN112" i="9"/>
  <c r="T58" i="31" l="1"/>
  <c r="Y64" i="31" s="1"/>
  <c r="BM112" i="9"/>
  <c r="S58" i="31" l="1"/>
  <c r="BL112" i="9"/>
  <c r="X64" i="31" l="1"/>
  <c r="W64" i="31" s="1"/>
  <c r="V64" i="31" s="1"/>
  <c r="U64" i="31" s="1"/>
  <c r="T64" i="31" s="1"/>
  <c r="S64" i="31" s="1"/>
  <c r="R64" i="31" s="1"/>
  <c r="Q64" i="31" s="1"/>
  <c r="P64" i="31" s="1"/>
  <c r="O64" i="31" s="1"/>
  <c r="N64" i="31" s="1"/>
  <c r="M64" i="31" s="1"/>
  <c r="L64" i="31" s="1"/>
  <c r="K64" i="31" s="1"/>
  <c r="J64" i="31" s="1"/>
  <c r="BK112" i="9"/>
  <c r="CK148" i="10" l="1"/>
  <c r="CK96" i="10"/>
  <c r="CK98" i="10" s="1"/>
  <c r="DJ134" i="9"/>
  <c r="DJ135" i="9" s="1"/>
  <c r="CJ137" i="10" l="1"/>
  <c r="BQ22" i="9"/>
  <c r="BQ24" i="9" s="1"/>
  <c r="BR22" i="9"/>
  <c r="BR24" i="9" s="1"/>
  <c r="BS22" i="9"/>
  <c r="BS24" i="9" s="1"/>
  <c r="AT83" i="10" s="1"/>
  <c r="BT22" i="9"/>
  <c r="BT24" i="9" s="1"/>
  <c r="CK92" i="10"/>
  <c r="CK143" i="10"/>
  <c r="BQ886" i="31"/>
  <c r="BQ24" i="31" s="1"/>
  <c r="BO22" i="9"/>
  <c r="BO23" i="9"/>
  <c r="BN22" i="9"/>
  <c r="BN23" i="9"/>
  <c r="BM22" i="9"/>
  <c r="BM23" i="9"/>
  <c r="BL23" i="9"/>
  <c r="BL22" i="9"/>
  <c r="BJ23" i="9"/>
  <c r="BJ24" i="9" s="1"/>
  <c r="BI23" i="9"/>
  <c r="BI24" i="9" s="1"/>
  <c r="BH23" i="9"/>
  <c r="BH24" i="9" s="1"/>
  <c r="BG23" i="9"/>
  <c r="BG24" i="9" s="1"/>
  <c r="BE22" i="9"/>
  <c r="BE23" i="9"/>
  <c r="BD22" i="9"/>
  <c r="BD23" i="9"/>
  <c r="BC22" i="9"/>
  <c r="BC23" i="9"/>
  <c r="BB22" i="9"/>
  <c r="AB84" i="10"/>
  <c r="AB59" i="10" s="1"/>
  <c r="AB62" i="10" s="1"/>
  <c r="W84" i="10"/>
  <c r="W59" i="10" s="1"/>
  <c r="W62" i="10" s="1"/>
  <c r="V59" i="10"/>
  <c r="V62" i="10" s="1"/>
  <c r="BA39" i="9"/>
  <c r="BA70" i="9" s="1"/>
  <c r="AZ71" i="9"/>
  <c r="AY71" i="9"/>
  <c r="AX71" i="9"/>
  <c r="AW71" i="9"/>
  <c r="BA83" i="9"/>
  <c r="CU134" i="9"/>
  <c r="CU135" i="9" s="1"/>
  <c r="CV134" i="9"/>
  <c r="CW134" i="9"/>
  <c r="CW135" i="9" s="1"/>
  <c r="CX134" i="9"/>
  <c r="CX135" i="9" s="1"/>
  <c r="BS140" i="9"/>
  <c r="BT140" i="9"/>
  <c r="CZ140" i="9"/>
  <c r="CZ141" i="9" s="1"/>
  <c r="DA140" i="9"/>
  <c r="DA141" i="9" s="1"/>
  <c r="DB140" i="9"/>
  <c r="DB141" i="9" s="1"/>
  <c r="DC140" i="9"/>
  <c r="DC141" i="9" s="1"/>
  <c r="CP134" i="9"/>
  <c r="CQ134" i="9"/>
  <c r="CR134" i="9"/>
  <c r="CS134" i="9"/>
  <c r="CK134" i="9"/>
  <c r="CL134" i="9"/>
  <c r="CM134" i="9"/>
  <c r="CN134" i="9"/>
  <c r="CF134" i="9"/>
  <c r="CG134" i="9"/>
  <c r="CH134" i="9"/>
  <c r="CI134" i="9"/>
  <c r="CA134" i="9"/>
  <c r="CB134" i="9"/>
  <c r="CC134" i="9"/>
  <c r="CD134" i="9"/>
  <c r="BV134" i="9"/>
  <c r="BW134" i="9"/>
  <c r="BX134" i="9"/>
  <c r="BY134" i="9"/>
  <c r="BS134" i="9"/>
  <c r="BT134" i="9"/>
  <c r="CU140" i="9"/>
  <c r="CU141" i="9" s="1"/>
  <c r="CV140" i="9"/>
  <c r="CV141" i="9" s="1"/>
  <c r="CW140" i="9"/>
  <c r="CW141" i="9" s="1"/>
  <c r="CX140" i="9"/>
  <c r="CP140" i="9"/>
  <c r="CQ140" i="9"/>
  <c r="CR140" i="9"/>
  <c r="CS140" i="9"/>
  <c r="CK140" i="9"/>
  <c r="CL140" i="9"/>
  <c r="CM140" i="9"/>
  <c r="CN140" i="9"/>
  <c r="CF140" i="9"/>
  <c r="CG140" i="9"/>
  <c r="CH140" i="9"/>
  <c r="CI140" i="9"/>
  <c r="CA140" i="9"/>
  <c r="CB140" i="9"/>
  <c r="CC140" i="9"/>
  <c r="CD140" i="9"/>
  <c r="BV140" i="9"/>
  <c r="BW140" i="9"/>
  <c r="BX140" i="9"/>
  <c r="BY140" i="9"/>
  <c r="V66" i="10"/>
  <c r="V67" i="10"/>
  <c r="V68" i="10"/>
  <c r="V69" i="10"/>
  <c r="V70" i="10"/>
  <c r="V73" i="10"/>
  <c r="V74" i="10"/>
  <c r="V75" i="10"/>
  <c r="V76" i="10"/>
  <c r="V77" i="10"/>
  <c r="V78" i="10"/>
  <c r="AB174" i="10"/>
  <c r="AA174" i="10"/>
  <c r="AB175" i="10"/>
  <c r="AA175" i="10"/>
  <c r="Z175" i="10"/>
  <c r="AB176" i="10"/>
  <c r="AA176" i="10"/>
  <c r="Z176" i="10"/>
  <c r="V216" i="10"/>
  <c r="CI143" i="10"/>
  <c r="BF23" i="9" l="1"/>
  <c r="AB136" i="10"/>
  <c r="BF22" i="9"/>
  <c r="CJ135" i="10"/>
  <c r="CJ136" i="10" s="1"/>
  <c r="CO134" i="9"/>
  <c r="BU134" i="9"/>
  <c r="DD140" i="9"/>
  <c r="DD141" i="9" s="1"/>
  <c r="CO140" i="9"/>
  <c r="CE134" i="9"/>
  <c r="CJ140" i="9"/>
  <c r="CY140" i="9"/>
  <c r="CY141" i="9" s="1"/>
  <c r="CE140" i="9"/>
  <c r="CJ134" i="9"/>
  <c r="CY134" i="9"/>
  <c r="CY135" i="9" s="1"/>
  <c r="BU140" i="9"/>
  <c r="CV135" i="9"/>
  <c r="BZ134" i="9"/>
  <c r="CX141" i="9"/>
  <c r="BZ140" i="9"/>
  <c r="CT140" i="9"/>
  <c r="CT134" i="9"/>
  <c r="AB70" i="10"/>
  <c r="AB76" i="10"/>
  <c r="AB66" i="10"/>
  <c r="AR83" i="10"/>
  <c r="BQ67" i="9"/>
  <c r="BX75" i="9"/>
  <c r="BS29" i="9"/>
  <c r="BS38" i="9" s="1"/>
  <c r="BS71" i="9" s="1"/>
  <c r="AU83" i="10"/>
  <c r="AY84" i="10" s="1"/>
  <c r="BT67" i="9"/>
  <c r="BT65" i="9"/>
  <c r="AU174" i="10" s="1"/>
  <c r="AS83" i="10"/>
  <c r="BR65" i="9"/>
  <c r="AS174" i="10" s="1"/>
  <c r="AB78" i="10"/>
  <c r="AB74" i="10"/>
  <c r="AB68" i="10"/>
  <c r="BS66" i="9"/>
  <c r="BQ65" i="9"/>
  <c r="AR174" i="10" s="1"/>
  <c r="AB144" i="10"/>
  <c r="AB79" i="10"/>
  <c r="AB77" i="10"/>
  <c r="AB75" i="10"/>
  <c r="AB73" i="10"/>
  <c r="AB69" i="10"/>
  <c r="AB67" i="10"/>
  <c r="BS67" i="9"/>
  <c r="BS65" i="9"/>
  <c r="AT174" i="10" s="1"/>
  <c r="BQ66" i="9"/>
  <c r="BV75" i="9"/>
  <c r="BR67" i="9"/>
  <c r="BQ29" i="9"/>
  <c r="BV79" i="9" s="1"/>
  <c r="W79" i="10"/>
  <c r="W78" i="10"/>
  <c r="W77" i="10"/>
  <c r="W76" i="10"/>
  <c r="W75" i="10"/>
  <c r="W74" i="10"/>
  <c r="W73" i="10"/>
  <c r="W70" i="10"/>
  <c r="W69" i="10"/>
  <c r="W68" i="10"/>
  <c r="W67" i="10"/>
  <c r="W66" i="10"/>
  <c r="BT66" i="9"/>
  <c r="BY75" i="9"/>
  <c r="BR66" i="9"/>
  <c r="BW75" i="9"/>
  <c r="W65" i="10"/>
  <c r="W216" i="10" s="1"/>
  <c r="BR29" i="9"/>
  <c r="BT29" i="9"/>
  <c r="AH83" i="10"/>
  <c r="BG65" i="9"/>
  <c r="AH174" i="10" s="1"/>
  <c r="BG67" i="9"/>
  <c r="BG66" i="9"/>
  <c r="BB24" i="9"/>
  <c r="BG75" i="9" s="1"/>
  <c r="BD24" i="9"/>
  <c r="AE83" i="10" s="1"/>
  <c r="BE24" i="9"/>
  <c r="AF83" i="10" s="1"/>
  <c r="BP23" i="9"/>
  <c r="BP22" i="9"/>
  <c r="BM24" i="9"/>
  <c r="BM29" i="9" s="1"/>
  <c r="BO24" i="9"/>
  <c r="AP83" i="10" s="1"/>
  <c r="BG29" i="9"/>
  <c r="BK23" i="9"/>
  <c r="BK24" i="9" s="1"/>
  <c r="BL24" i="9"/>
  <c r="BU22" i="9"/>
  <c r="BU24" i="9" s="1"/>
  <c r="AI83" i="10"/>
  <c r="BH65" i="9"/>
  <c r="AI174" i="10" s="1"/>
  <c r="BH67" i="9"/>
  <c r="BH29" i="9"/>
  <c r="BH39" i="9" s="1"/>
  <c r="BH66" i="9"/>
  <c r="AK83" i="10"/>
  <c r="BJ29" i="9"/>
  <c r="BJ39" i="9" s="1"/>
  <c r="BJ65" i="9"/>
  <c r="AK174" i="10" s="1"/>
  <c r="BJ67" i="9"/>
  <c r="BJ66" i="9"/>
  <c r="AJ83" i="10"/>
  <c r="BI29" i="9"/>
  <c r="BI65" i="9"/>
  <c r="AJ174" i="10" s="1"/>
  <c r="BI67" i="9"/>
  <c r="BI66" i="9"/>
  <c r="BA71" i="9"/>
  <c r="AB65" i="10"/>
  <c r="AB216" i="10" s="1"/>
  <c r="BC24" i="9"/>
  <c r="AD83" i="10" s="1"/>
  <c r="BN24" i="9"/>
  <c r="BN29" i="9" s="1"/>
  <c r="BQ887" i="31"/>
  <c r="BQ25" i="31" s="1"/>
  <c r="BQ35" i="31"/>
  <c r="BE175" i="10"/>
  <c r="BD175" i="10"/>
  <c r="BC175" i="10"/>
  <c r="BB175" i="10"/>
  <c r="BA175" i="10"/>
  <c r="AZ175" i="10"/>
  <c r="AY175" i="10"/>
  <c r="AX175" i="10"/>
  <c r="AW175" i="10"/>
  <c r="CD97" i="9"/>
  <c r="CD98" i="9" s="1"/>
  <c r="CC97" i="9"/>
  <c r="CC98" i="9" s="1"/>
  <c r="CB97" i="9"/>
  <c r="CB98" i="9" s="1"/>
  <c r="CA97" i="9"/>
  <c r="CA98" i="9" s="1"/>
  <c r="CD114" i="9"/>
  <c r="CD116" i="9" s="1"/>
  <c r="CC114" i="9"/>
  <c r="CC116" i="9" s="1"/>
  <c r="CB114" i="9"/>
  <c r="CB116" i="9" s="1"/>
  <c r="CA114" i="9"/>
  <c r="CA116" i="9" s="1"/>
  <c r="BZ114" i="9"/>
  <c r="BZ116" i="9" s="1"/>
  <c r="BY114" i="9"/>
  <c r="BY116" i="9" s="1"/>
  <c r="BX114" i="9"/>
  <c r="BX116" i="9" s="1"/>
  <c r="BW114" i="9"/>
  <c r="BW116" i="9" s="1"/>
  <c r="BV114" i="9"/>
  <c r="BV116" i="9" s="1"/>
  <c r="BU114" i="9"/>
  <c r="BU116" i="9" s="1"/>
  <c r="BT114" i="9"/>
  <c r="BT116" i="9" s="1"/>
  <c r="BS114" i="9"/>
  <c r="BS116" i="9" s="1"/>
  <c r="BR114" i="9"/>
  <c r="BR116" i="9" s="1"/>
  <c r="BQ114" i="9"/>
  <c r="BQ116" i="9" s="1"/>
  <c r="BP114" i="9"/>
  <c r="BP116" i="9" s="1"/>
  <c r="BO114" i="9"/>
  <c r="BO116" i="9" s="1"/>
  <c r="BN114" i="9"/>
  <c r="BN116" i="9" s="1"/>
  <c r="BM114" i="9"/>
  <c r="BM116" i="9" s="1"/>
  <c r="BL114" i="9"/>
  <c r="BL116" i="9" s="1"/>
  <c r="BK114" i="9"/>
  <c r="BK116" i="9" s="1"/>
  <c r="BJ116" i="9"/>
  <c r="BI116" i="9"/>
  <c r="BH116" i="9"/>
  <c r="BG116" i="9"/>
  <c r="AL52" i="31"/>
  <c r="AK52" i="31"/>
  <c r="AJ52" i="31"/>
  <c r="AI52" i="31"/>
  <c r="BE176" i="10"/>
  <c r="BD176" i="10"/>
  <c r="BC176" i="10"/>
  <c r="BB176" i="10"/>
  <c r="BA176" i="10"/>
  <c r="CD50" i="9"/>
  <c r="CC50" i="9"/>
  <c r="CB50" i="9"/>
  <c r="CA50" i="9"/>
  <c r="BE174" i="10"/>
  <c r="BD174" i="10"/>
  <c r="BC174" i="10"/>
  <c r="BB174" i="10"/>
  <c r="AQ41" i="31"/>
  <c r="AP41" i="31"/>
  <c r="AO41" i="31"/>
  <c r="AN41" i="31"/>
  <c r="AM41" i="31"/>
  <c r="AL41" i="31"/>
  <c r="AK41" i="31"/>
  <c r="AJ41" i="31"/>
  <c r="AI41" i="31"/>
  <c r="AQ63" i="31"/>
  <c r="AP63" i="31"/>
  <c r="AO63" i="31"/>
  <c r="AN63" i="31"/>
  <c r="AQ110" i="31"/>
  <c r="AP110" i="31"/>
  <c r="AO110" i="31"/>
  <c r="AN110" i="31"/>
  <c r="AQ212" i="31"/>
  <c r="AP212" i="31"/>
  <c r="AO212" i="31"/>
  <c r="AN212" i="31"/>
  <c r="AQ281" i="31"/>
  <c r="AP281" i="31"/>
  <c r="AO281" i="31"/>
  <c r="AN281" i="31"/>
  <c r="AQ313" i="31"/>
  <c r="AP313" i="31"/>
  <c r="AO313" i="31"/>
  <c r="AN313" i="31"/>
  <c r="AQ372" i="31"/>
  <c r="AP372" i="31"/>
  <c r="AO372" i="31"/>
  <c r="AN372" i="31"/>
  <c r="AQ383" i="31"/>
  <c r="AP383" i="31"/>
  <c r="AO383" i="31"/>
  <c r="AN383" i="31"/>
  <c r="AQ405" i="31"/>
  <c r="AP405" i="31"/>
  <c r="AO405" i="31"/>
  <c r="AN405" i="31"/>
  <c r="AQ416" i="31"/>
  <c r="AP416" i="31"/>
  <c r="AO416" i="31"/>
  <c r="AN416" i="31"/>
  <c r="AQ449" i="31"/>
  <c r="AP449" i="31"/>
  <c r="AO449" i="31"/>
  <c r="AN449" i="31"/>
  <c r="AQ472" i="31"/>
  <c r="AP472" i="31"/>
  <c r="AO472" i="31"/>
  <c r="AN472" i="31"/>
  <c r="AM472" i="31"/>
  <c r="AL472" i="31"/>
  <c r="AK472" i="31"/>
  <c r="AJ472" i="31"/>
  <c r="AI472" i="31"/>
  <c r="AQ483" i="31"/>
  <c r="AP483" i="31"/>
  <c r="AO483" i="31"/>
  <c r="AN483" i="31"/>
  <c r="AM483" i="31"/>
  <c r="AL483" i="31"/>
  <c r="AK483" i="31"/>
  <c r="AJ483" i="31"/>
  <c r="AI483" i="31"/>
  <c r="AQ710" i="31"/>
  <c r="AP710" i="31"/>
  <c r="AO710" i="31"/>
  <c r="AN710" i="31"/>
  <c r="AQ721" i="31"/>
  <c r="AP721" i="31"/>
  <c r="AO721" i="31"/>
  <c r="AN721" i="31"/>
  <c r="AQ732" i="31"/>
  <c r="AP732" i="31"/>
  <c r="AO732" i="31"/>
  <c r="AN732" i="31"/>
  <c r="AQ765" i="31"/>
  <c r="AP765" i="31"/>
  <c r="AO765" i="31"/>
  <c r="AN765" i="31"/>
  <c r="AQ810" i="31"/>
  <c r="AP810" i="31"/>
  <c r="AO810" i="31"/>
  <c r="AN810" i="31"/>
  <c r="AQ856" i="31"/>
  <c r="AP856" i="31"/>
  <c r="AO856" i="31"/>
  <c r="AN856" i="31"/>
  <c r="AQ892" i="31"/>
  <c r="AP892" i="31"/>
  <c r="AO892" i="31"/>
  <c r="AN892" i="31"/>
  <c r="AQ1428" i="31"/>
  <c r="AP1428" i="31"/>
  <c r="AO1428" i="31"/>
  <c r="AN1428" i="31"/>
  <c r="AQ1439" i="31"/>
  <c r="AP1439" i="31"/>
  <c r="AO1439" i="31"/>
  <c r="AN1439" i="31"/>
  <c r="AQ1450" i="31"/>
  <c r="AP1450" i="31"/>
  <c r="AO1450" i="31"/>
  <c r="AN1450" i="31"/>
  <c r="AQ1461" i="31"/>
  <c r="AP1461" i="31"/>
  <c r="AO1461" i="31"/>
  <c r="AN1461" i="31"/>
  <c r="AQ1483" i="31"/>
  <c r="AP1483" i="31"/>
  <c r="AO1483" i="31"/>
  <c r="AN1483" i="31"/>
  <c r="AQ1494" i="31"/>
  <c r="AP1494" i="31"/>
  <c r="AO1494" i="31"/>
  <c r="AN1494" i="31"/>
  <c r="AV41" i="31"/>
  <c r="AU41" i="31"/>
  <c r="AT41" i="31"/>
  <c r="AS41" i="31"/>
  <c r="AV110" i="31"/>
  <c r="AU110" i="31"/>
  <c r="AT110" i="31"/>
  <c r="AS110" i="31"/>
  <c r="AV212" i="31"/>
  <c r="AU212" i="31"/>
  <c r="AT212" i="31"/>
  <c r="AS212" i="31"/>
  <c r="AV281" i="31"/>
  <c r="AU281" i="31"/>
  <c r="AT281" i="31"/>
  <c r="AS281" i="31"/>
  <c r="AV313" i="31"/>
  <c r="AU313" i="31"/>
  <c r="AT313" i="31"/>
  <c r="AS313" i="31"/>
  <c r="AV383" i="31"/>
  <c r="AU383" i="31"/>
  <c r="AT383" i="31"/>
  <c r="AS383" i="31"/>
  <c r="AV405" i="31"/>
  <c r="AU405" i="31"/>
  <c r="AT405" i="31"/>
  <c r="AS405" i="31"/>
  <c r="AV416" i="31"/>
  <c r="AU416" i="31"/>
  <c r="AT416" i="31"/>
  <c r="AS416" i="31"/>
  <c r="AV449" i="31"/>
  <c r="AU449" i="31"/>
  <c r="AT449" i="31"/>
  <c r="AS449" i="31"/>
  <c r="AV483" i="31"/>
  <c r="AU483" i="31"/>
  <c r="AT483" i="31"/>
  <c r="AS483" i="31"/>
  <c r="AV710" i="31"/>
  <c r="AU710" i="31"/>
  <c r="AT710" i="31"/>
  <c r="AS710" i="31"/>
  <c r="AV721" i="31"/>
  <c r="AU721" i="31"/>
  <c r="AT721" i="31"/>
  <c r="AS721" i="31"/>
  <c r="AV732" i="31"/>
  <c r="AU732" i="31"/>
  <c r="AT732" i="31"/>
  <c r="AS732" i="31"/>
  <c r="AV765" i="31"/>
  <c r="AU765" i="31"/>
  <c r="AT765" i="31"/>
  <c r="AS765" i="31"/>
  <c r="AV810" i="31"/>
  <c r="AU810" i="31"/>
  <c r="AT810" i="31"/>
  <c r="AS810" i="31"/>
  <c r="AV856" i="31"/>
  <c r="AU856" i="31"/>
  <c r="AT856" i="31"/>
  <c r="AS856" i="31"/>
  <c r="AV892" i="31"/>
  <c r="AU892" i="31"/>
  <c r="AT892" i="31"/>
  <c r="AS892" i="31"/>
  <c r="AV1428" i="31"/>
  <c r="AU1428" i="31"/>
  <c r="AT1428" i="31"/>
  <c r="AS1428" i="31"/>
  <c r="AV1439" i="31"/>
  <c r="AU1439" i="31"/>
  <c r="AT1439" i="31"/>
  <c r="AS1439" i="31"/>
  <c r="AV1450" i="31"/>
  <c r="AU1450" i="31"/>
  <c r="AT1450" i="31"/>
  <c r="AS1450" i="31"/>
  <c r="AV1461" i="31"/>
  <c r="AU1461" i="31"/>
  <c r="AT1461" i="31"/>
  <c r="AV1483" i="31"/>
  <c r="AU1483" i="31"/>
  <c r="AT1483" i="31"/>
  <c r="AS1483" i="31"/>
  <c r="BA41" i="31"/>
  <c r="AZ41" i="31"/>
  <c r="AY41" i="31"/>
  <c r="AX41" i="31"/>
  <c r="BA88" i="31"/>
  <c r="AZ88" i="31"/>
  <c r="AY88" i="31"/>
  <c r="AX88" i="31"/>
  <c r="AV88" i="31"/>
  <c r="AU88" i="31"/>
  <c r="AT88" i="31"/>
  <c r="AS88" i="31"/>
  <c r="AQ88" i="31"/>
  <c r="BA110" i="31"/>
  <c r="AZ110" i="31"/>
  <c r="AY110" i="31"/>
  <c r="AX110" i="31"/>
  <c r="BA121" i="31"/>
  <c r="AZ121" i="31"/>
  <c r="AY121" i="31"/>
  <c r="AX121" i="31"/>
  <c r="BA132" i="31"/>
  <c r="AZ132" i="31"/>
  <c r="AY132" i="31"/>
  <c r="AX132" i="31"/>
  <c r="AW132" i="31"/>
  <c r="AV132" i="31"/>
  <c r="AU132" i="31"/>
  <c r="AT132" i="31"/>
  <c r="AS132" i="31"/>
  <c r="BA212" i="31"/>
  <c r="AZ212" i="31"/>
  <c r="AY212" i="31"/>
  <c r="AX212" i="31"/>
  <c r="BA281" i="31"/>
  <c r="AZ281" i="31"/>
  <c r="AY281" i="31"/>
  <c r="AX281" i="31"/>
  <c r="BA302" i="31"/>
  <c r="AZ302" i="31"/>
  <c r="AY302" i="31"/>
  <c r="AX302" i="31"/>
  <c r="AV302" i="31"/>
  <c r="AU302" i="31"/>
  <c r="AT302" i="31"/>
  <c r="AS302" i="31"/>
  <c r="AQ302" i="31"/>
  <c r="BA313" i="31"/>
  <c r="AZ313" i="31"/>
  <c r="AY313" i="31"/>
  <c r="AX313" i="31"/>
  <c r="BA335" i="31"/>
  <c r="AZ335" i="31"/>
  <c r="AY335" i="31"/>
  <c r="AX335" i="31"/>
  <c r="AW335" i="31"/>
  <c r="BA383" i="31"/>
  <c r="AZ383" i="31"/>
  <c r="AY383" i="31"/>
  <c r="AX383" i="31"/>
  <c r="BA394" i="31"/>
  <c r="AZ394" i="31"/>
  <c r="AY394" i="31"/>
  <c r="AX394" i="31"/>
  <c r="AV394" i="31"/>
  <c r="AU394" i="31"/>
  <c r="AT394" i="31"/>
  <c r="AS394" i="31"/>
  <c r="AQ394" i="31"/>
  <c r="BA405" i="31"/>
  <c r="AZ405" i="31"/>
  <c r="AY405" i="31"/>
  <c r="AX405" i="31"/>
  <c r="BA416" i="31"/>
  <c r="AZ416" i="31"/>
  <c r="AY416" i="31"/>
  <c r="AX416" i="31"/>
  <c r="BA449" i="31"/>
  <c r="AZ449" i="31"/>
  <c r="AY449" i="31"/>
  <c r="AX449" i="31"/>
  <c r="BA483" i="31"/>
  <c r="AZ483" i="31"/>
  <c r="AY483" i="31"/>
  <c r="AX483" i="31"/>
  <c r="BA710" i="31"/>
  <c r="AZ710" i="31"/>
  <c r="AY710" i="31"/>
  <c r="AX710" i="31"/>
  <c r="BA721" i="31"/>
  <c r="AZ721" i="31"/>
  <c r="AY721" i="31"/>
  <c r="AX721" i="31"/>
  <c r="BA732" i="31"/>
  <c r="AZ732" i="31"/>
  <c r="AY732" i="31"/>
  <c r="AX732" i="31"/>
  <c r="BA765" i="31"/>
  <c r="AZ765" i="31"/>
  <c r="AY765" i="31"/>
  <c r="AX765" i="31"/>
  <c r="BA810" i="31"/>
  <c r="AZ810" i="31"/>
  <c r="AY810" i="31"/>
  <c r="AX810" i="31"/>
  <c r="BA856" i="31"/>
  <c r="AZ856" i="31"/>
  <c r="AY856" i="31"/>
  <c r="AX856" i="31"/>
  <c r="BA867" i="31"/>
  <c r="AZ867" i="31"/>
  <c r="AY867" i="31"/>
  <c r="AX867" i="31"/>
  <c r="AW867" i="31"/>
  <c r="AV867" i="31"/>
  <c r="AU867" i="31"/>
  <c r="AT867" i="31"/>
  <c r="BA892" i="31"/>
  <c r="AZ892" i="31"/>
  <c r="AY892" i="31"/>
  <c r="AX892" i="31"/>
  <c r="BA1428" i="31"/>
  <c r="AZ1428" i="31"/>
  <c r="AY1428" i="31"/>
  <c r="AX1428" i="31"/>
  <c r="BA1439" i="31"/>
  <c r="AZ1439" i="31"/>
  <c r="AY1439" i="31"/>
  <c r="AX1439" i="31"/>
  <c r="BA1450" i="31"/>
  <c r="AZ1450" i="31"/>
  <c r="AY1450" i="31"/>
  <c r="AX1450" i="31"/>
  <c r="BA1461" i="31"/>
  <c r="AZ1461" i="31"/>
  <c r="AY1461" i="31"/>
  <c r="BA1472" i="31"/>
  <c r="AZ1472" i="31"/>
  <c r="AY1472" i="31"/>
  <c r="AX1472" i="31"/>
  <c r="BA1483" i="31"/>
  <c r="AZ1483" i="31"/>
  <c r="AY1483" i="31"/>
  <c r="AX1483" i="31"/>
  <c r="BF24" i="9" l="1"/>
  <c r="BD75" i="9"/>
  <c r="BM75" i="9"/>
  <c r="AN83" i="10"/>
  <c r="BO29" i="9"/>
  <c r="BO39" i="9" s="1"/>
  <c r="CJ139" i="10"/>
  <c r="CO134" i="10" s="1"/>
  <c r="BU29" i="9"/>
  <c r="BZ79" i="9" s="1"/>
  <c r="AL83" i="10"/>
  <c r="AL84" i="10" s="1"/>
  <c r="BS68" i="9"/>
  <c r="AT175" i="10" s="1"/>
  <c r="BC29" i="9"/>
  <c r="BH79" i="9" s="1"/>
  <c r="BS39" i="9"/>
  <c r="AU84" i="10"/>
  <c r="AU59" i="10" s="1"/>
  <c r="AU62" i="10" s="1"/>
  <c r="AT84" i="10"/>
  <c r="AT59" i="10" s="1"/>
  <c r="AT62" i="10" s="1"/>
  <c r="CE110" i="9"/>
  <c r="AK84" i="10"/>
  <c r="AK59" i="10" s="1"/>
  <c r="AK62" i="10" s="1"/>
  <c r="BS43" i="9"/>
  <c r="BS70" i="9"/>
  <c r="AW84" i="10"/>
  <c r="AW59" i="10" s="1"/>
  <c r="AW62" i="10" s="1"/>
  <c r="BX80" i="9"/>
  <c r="BX79" i="9"/>
  <c r="BS49" i="9"/>
  <c r="BS53" i="9" s="1"/>
  <c r="CE97" i="9"/>
  <c r="CE98" i="9" s="1"/>
  <c r="AX84" i="10"/>
  <c r="AX59" i="10" s="1"/>
  <c r="AX62" i="10" s="1"/>
  <c r="BE29" i="9"/>
  <c r="BJ79" i="9" s="1"/>
  <c r="BD65" i="9"/>
  <c r="AE174" i="10" s="1"/>
  <c r="BR75" i="9"/>
  <c r="AV83" i="10"/>
  <c r="AV84" i="10" s="1"/>
  <c r="AV65" i="10" s="1"/>
  <c r="AV216" i="10" s="1"/>
  <c r="BD29" i="9"/>
  <c r="BD38" i="9" s="1"/>
  <c r="BM65" i="9"/>
  <c r="AN174" i="10" s="1"/>
  <c r="BQ39" i="9"/>
  <c r="BQ38" i="9"/>
  <c r="BQ68" i="9"/>
  <c r="AR175" i="10" s="1"/>
  <c r="BO75" i="9"/>
  <c r="BO65" i="9"/>
  <c r="AP174" i="10" s="1"/>
  <c r="BJ75" i="9"/>
  <c r="BR38" i="9"/>
  <c r="BW79" i="9"/>
  <c r="BR68" i="9"/>
  <c r="AS175" i="10" s="1"/>
  <c r="BR39" i="9"/>
  <c r="BT38" i="9"/>
  <c r="BY79" i="9"/>
  <c r="BT68" i="9"/>
  <c r="AU175" i="10" s="1"/>
  <c r="BT39" i="9"/>
  <c r="BT71" i="9" s="1"/>
  <c r="AO83" i="10"/>
  <c r="BT75" i="9"/>
  <c r="BO66" i="9"/>
  <c r="BO67" i="9"/>
  <c r="BK65" i="9"/>
  <c r="AL174" i="10" s="1"/>
  <c r="BP24" i="9"/>
  <c r="BE65" i="9"/>
  <c r="AF174" i="10" s="1"/>
  <c r="BE67" i="9"/>
  <c r="BE66" i="9"/>
  <c r="BE75" i="9"/>
  <c r="AC83" i="10"/>
  <c r="AC84" i="10" s="1"/>
  <c r="BB65" i="9"/>
  <c r="AC174" i="10" s="1"/>
  <c r="BB67" i="9"/>
  <c r="BB29" i="9"/>
  <c r="BG79" i="9" s="1"/>
  <c r="BB66" i="9"/>
  <c r="BB75" i="9"/>
  <c r="BI75" i="9"/>
  <c r="BD66" i="9"/>
  <c r="BD67" i="9"/>
  <c r="BM66" i="9"/>
  <c r="BM67" i="9"/>
  <c r="AJ84" i="10"/>
  <c r="AJ59" i="10" s="1"/>
  <c r="AJ62" i="10" s="1"/>
  <c r="AM83" i="10"/>
  <c r="BL65" i="9"/>
  <c r="AM174" i="10" s="1"/>
  <c r="BL67" i="9"/>
  <c r="BL29" i="9"/>
  <c r="BL66" i="9"/>
  <c r="BL75" i="9"/>
  <c r="BQ75" i="9"/>
  <c r="BG38" i="9"/>
  <c r="BG68" i="9"/>
  <c r="AH175" i="10" s="1"/>
  <c r="BG39" i="9"/>
  <c r="AI84" i="10"/>
  <c r="AI59" i="10" s="1"/>
  <c r="AI62" i="10" s="1"/>
  <c r="BK29" i="9"/>
  <c r="BK38" i="9" s="1"/>
  <c r="BK66" i="9"/>
  <c r="BK67" i="9"/>
  <c r="BM38" i="9"/>
  <c r="BM68" i="9"/>
  <c r="AN175" i="10" s="1"/>
  <c r="BR79" i="9"/>
  <c r="BM39" i="9"/>
  <c r="BU65" i="9"/>
  <c r="AV174" i="10" s="1"/>
  <c r="BZ75" i="9"/>
  <c r="BU67" i="9"/>
  <c r="BU66" i="9"/>
  <c r="BC65" i="9"/>
  <c r="AD174" i="10" s="1"/>
  <c r="BC67" i="9"/>
  <c r="BC66" i="9"/>
  <c r="BC75" i="9"/>
  <c r="BI68" i="9"/>
  <c r="AJ175" i="10" s="1"/>
  <c r="BI38" i="9"/>
  <c r="BI39" i="9"/>
  <c r="BJ38" i="9"/>
  <c r="BJ68" i="9"/>
  <c r="AK175" i="10" s="1"/>
  <c r="BN65" i="9"/>
  <c r="AO174" i="10" s="1"/>
  <c r="BN67" i="9"/>
  <c r="BS75" i="9"/>
  <c r="BN66" i="9"/>
  <c r="BN75" i="9"/>
  <c r="BH38" i="9"/>
  <c r="BH68" i="9"/>
  <c r="AI175" i="10" s="1"/>
  <c r="BM79" i="9"/>
  <c r="BH75" i="9"/>
  <c r="CE23" i="9"/>
  <c r="CE24" i="9" s="1"/>
  <c r="AM29" i="31"/>
  <c r="AM30" i="31" s="1"/>
  <c r="AR21" i="31"/>
  <c r="BN68" i="9"/>
  <c r="AO175" i="10" s="1"/>
  <c r="BN38" i="9"/>
  <c r="BN39" i="9"/>
  <c r="BN79" i="9"/>
  <c r="BS79" i="9"/>
  <c r="AY65" i="10"/>
  <c r="AY216" i="10" s="1"/>
  <c r="AY59" i="10"/>
  <c r="AY62" i="10" s="1"/>
  <c r="AY66" i="10"/>
  <c r="AY68" i="10"/>
  <c r="AY70" i="10"/>
  <c r="AY74" i="10"/>
  <c r="AY76" i="10"/>
  <c r="AY78" i="10"/>
  <c r="AY136" i="10"/>
  <c r="AY67" i="10"/>
  <c r="AY69" i="10"/>
  <c r="AY73" i="10"/>
  <c r="AY75" i="10"/>
  <c r="AY77" i="10"/>
  <c r="AY79" i="10"/>
  <c r="AY144" i="10"/>
  <c r="AH84" i="10"/>
  <c r="BV21" i="31"/>
  <c r="DI93" i="9"/>
  <c r="DI94" i="9" s="1"/>
  <c r="BQ36" i="31"/>
  <c r="BR63" i="31"/>
  <c r="BT88" i="31"/>
  <c r="BR77" i="31"/>
  <c r="BQ77" i="31"/>
  <c r="BP77" i="31"/>
  <c r="BO77" i="31"/>
  <c r="BN77" i="31"/>
  <c r="BM77" i="31"/>
  <c r="BR78" i="31"/>
  <c r="BQ78" i="31"/>
  <c r="BT372" i="31"/>
  <c r="BS372" i="31"/>
  <c r="BT270" i="31"/>
  <c r="BS270" i="31"/>
  <c r="BR265" i="31"/>
  <c r="BR271" i="31" s="1"/>
  <c r="BT265" i="31"/>
  <c r="BT271" i="31" s="1"/>
  <c r="BS265" i="31"/>
  <c r="BS271" i="31" s="1"/>
  <c r="BT303" i="31"/>
  <c r="BS303" i="31"/>
  <c r="BR303" i="31"/>
  <c r="BT394" i="31"/>
  <c r="BS394" i="31"/>
  <c r="BT378" i="31"/>
  <c r="BY384" i="31" s="1"/>
  <c r="BT395" i="31"/>
  <c r="BS395" i="31"/>
  <c r="BT411" i="31"/>
  <c r="BY417" i="31" s="1"/>
  <c r="BT433" i="31"/>
  <c r="BR473" i="31"/>
  <c r="BT1434" i="31"/>
  <c r="BS1434" i="31"/>
  <c r="BT1488" i="31"/>
  <c r="BS1488" i="31"/>
  <c r="BR1494" i="31"/>
  <c r="BR1495" i="31"/>
  <c r="BT495" i="31"/>
  <c r="BT1484" i="31"/>
  <c r="BT1473" i="31"/>
  <c r="BT1462" i="31"/>
  <c r="BT1451" i="31"/>
  <c r="BT1429" i="31"/>
  <c r="BT711" i="31"/>
  <c r="BR711" i="31"/>
  <c r="BT308" i="31"/>
  <c r="BT144" i="31"/>
  <c r="BR144" i="31"/>
  <c r="BT484" i="31"/>
  <c r="BR484" i="31"/>
  <c r="BY1493" i="31" l="1"/>
  <c r="BX1493" i="31"/>
  <c r="AR1310" i="31"/>
  <c r="AR1042" i="31"/>
  <c r="AR1147" i="31"/>
  <c r="AR1180" i="31"/>
  <c r="AR1201" i="31"/>
  <c r="AR1332" i="31"/>
  <c r="AR1075" i="31"/>
  <c r="AR905" i="31"/>
  <c r="AR1169" i="31"/>
  <c r="AR916" i="31"/>
  <c r="AR1345" i="31"/>
  <c r="AR1191" i="31"/>
  <c r="AR1213" i="31"/>
  <c r="AR1272" i="31"/>
  <c r="AR1086" i="31"/>
  <c r="AR1355" i="31"/>
  <c r="AR1249" i="31"/>
  <c r="AR1225" i="31"/>
  <c r="AR1261" i="31"/>
  <c r="AR1237" i="31"/>
  <c r="BV1074" i="31"/>
  <c r="BV1069" i="31" s="1"/>
  <c r="BV1063" i="31"/>
  <c r="BV1052" i="31"/>
  <c r="BV1041" i="31"/>
  <c r="BV1036" i="31" s="1"/>
  <c r="BV1283" i="31"/>
  <c r="BV1169" i="31"/>
  <c r="BV1201" i="31"/>
  <c r="BV1086" i="31"/>
  <c r="BV1191" i="31"/>
  <c r="BV1355" i="31"/>
  <c r="BV1294" i="31"/>
  <c r="BV633" i="31"/>
  <c r="BF67" i="9"/>
  <c r="BF29" i="9"/>
  <c r="BK79" i="9" s="1"/>
  <c r="BK75" i="9"/>
  <c r="BF65" i="9"/>
  <c r="AG174" i="10" s="1"/>
  <c r="BF75" i="9"/>
  <c r="AG83" i="10"/>
  <c r="AG84" i="10" s="1"/>
  <c r="AG67" i="10" s="1"/>
  <c r="BF66" i="9"/>
  <c r="AR84" i="10"/>
  <c r="AR65" i="10" s="1"/>
  <c r="AR216" i="10" s="1"/>
  <c r="AL59" i="10"/>
  <c r="AL62" i="10" s="1"/>
  <c r="AL136" i="10"/>
  <c r="CJ144" i="10"/>
  <c r="CJ140" i="10"/>
  <c r="AL73" i="10"/>
  <c r="BO79" i="9"/>
  <c r="CE111" i="9"/>
  <c r="CK134" i="10"/>
  <c r="CK137" i="10" s="1"/>
  <c r="CJ150" i="10"/>
  <c r="BS56" i="9"/>
  <c r="AL74" i="10"/>
  <c r="AU77" i="10"/>
  <c r="AL144" i="10"/>
  <c r="AU74" i="10"/>
  <c r="BU68" i="9"/>
  <c r="AV175" i="10" s="1"/>
  <c r="CJ23" i="9"/>
  <c r="BY1440" i="31"/>
  <c r="BU38" i="9"/>
  <c r="CE112" i="9"/>
  <c r="AT65" i="10"/>
  <c r="AT216" i="10" s="1"/>
  <c r="AU67" i="10"/>
  <c r="AU65" i="10"/>
  <c r="AU216" i="10" s="1"/>
  <c r="AI79" i="10"/>
  <c r="AL78" i="10"/>
  <c r="AL68" i="10"/>
  <c r="AL77" i="10"/>
  <c r="AL67" i="10"/>
  <c r="BT79" i="9"/>
  <c r="BO38" i="9"/>
  <c r="BO70" i="9" s="1"/>
  <c r="AL65" i="10"/>
  <c r="AL216" i="10" s="1"/>
  <c r="AT136" i="10"/>
  <c r="AX78" i="10"/>
  <c r="AJ77" i="10"/>
  <c r="AU144" i="10"/>
  <c r="AU73" i="10"/>
  <c r="AU78" i="10"/>
  <c r="AU68" i="10"/>
  <c r="AK136" i="10"/>
  <c r="AL76" i="10"/>
  <c r="AL70" i="10"/>
  <c r="AL66" i="10"/>
  <c r="AL79" i="10"/>
  <c r="AL75" i="10"/>
  <c r="AL69" i="10"/>
  <c r="BO68" i="9"/>
  <c r="AP175" i="10" s="1"/>
  <c r="AT75" i="10"/>
  <c r="AT70" i="10"/>
  <c r="AV67" i="10"/>
  <c r="BU39" i="9"/>
  <c r="BC79" i="9"/>
  <c r="AW65" i="10"/>
  <c r="AW216" i="10" s="1"/>
  <c r="AU79" i="10"/>
  <c r="AU75" i="10"/>
  <c r="AU69" i="10"/>
  <c r="AU136" i="10"/>
  <c r="AU76" i="10"/>
  <c r="AU70" i="10"/>
  <c r="AU66" i="10"/>
  <c r="AK65" i="10"/>
  <c r="AK216" i="10" s="1"/>
  <c r="BP29" i="9"/>
  <c r="BU79" i="9" s="1"/>
  <c r="CE104" i="9"/>
  <c r="BE79" i="9"/>
  <c r="BE39" i="9"/>
  <c r="BE71" i="9" s="1"/>
  <c r="AI76" i="10"/>
  <c r="BD79" i="9"/>
  <c r="AV59" i="10"/>
  <c r="AV62" i="10" s="1"/>
  <c r="AJ74" i="10"/>
  <c r="BC68" i="9"/>
  <c r="AD175" i="10" s="1"/>
  <c r="AW136" i="10"/>
  <c r="AK75" i="10"/>
  <c r="AK70" i="10"/>
  <c r="CE107" i="9"/>
  <c r="AO84" i="10"/>
  <c r="AO65" i="10" s="1"/>
  <c r="AO216" i="10" s="1"/>
  <c r="AT79" i="10"/>
  <c r="AT69" i="10"/>
  <c r="AT76" i="10"/>
  <c r="AT66" i="10"/>
  <c r="AV77" i="10"/>
  <c r="AV74" i="10"/>
  <c r="AX144" i="10"/>
  <c r="BC38" i="9"/>
  <c r="BC70" i="9" s="1"/>
  <c r="BC39" i="9"/>
  <c r="BC71" i="9" s="1"/>
  <c r="AW75" i="10"/>
  <c r="AW70" i="10"/>
  <c r="AK79" i="10"/>
  <c r="AK69" i="10"/>
  <c r="AK76" i="10"/>
  <c r="AK66" i="10"/>
  <c r="AI69" i="10"/>
  <c r="AI66" i="10"/>
  <c r="AE84" i="10"/>
  <c r="AE59" i="10" s="1"/>
  <c r="AE62" i="10" s="1"/>
  <c r="BP65" i="9"/>
  <c r="AQ174" i="10" s="1"/>
  <c r="AT144" i="10"/>
  <c r="AT77" i="10"/>
  <c r="AT73" i="10"/>
  <c r="AT67" i="10"/>
  <c r="AT78" i="10"/>
  <c r="AT74" i="10"/>
  <c r="AT68" i="10"/>
  <c r="AV144" i="10"/>
  <c r="AV73" i="10"/>
  <c r="AV78" i="10"/>
  <c r="AV68" i="10"/>
  <c r="AX73" i="10"/>
  <c r="AX68" i="10"/>
  <c r="AJ67" i="10"/>
  <c r="AJ65" i="10"/>
  <c r="AJ216" i="10" s="1"/>
  <c r="AW79" i="10"/>
  <c r="AW69" i="10"/>
  <c r="AW76" i="10"/>
  <c r="AW66" i="10"/>
  <c r="AK144" i="10"/>
  <c r="AK77" i="10"/>
  <c r="AK73" i="10"/>
  <c r="AK67" i="10"/>
  <c r="AK78" i="10"/>
  <c r="AK74" i="10"/>
  <c r="AK68" i="10"/>
  <c r="BA51" i="31"/>
  <c r="BA52" i="31" s="1"/>
  <c r="AM51" i="31"/>
  <c r="AM52" i="31" s="1"/>
  <c r="AJ144" i="10"/>
  <c r="AJ73" i="10"/>
  <c r="AJ78" i="10"/>
  <c r="AJ68" i="10"/>
  <c r="CE106" i="9"/>
  <c r="BE68" i="9"/>
  <c r="AF175" i="10" s="1"/>
  <c r="BE38" i="9"/>
  <c r="BE70" i="9" s="1"/>
  <c r="AI75" i="10"/>
  <c r="AI136" i="10"/>
  <c r="AI70" i="10"/>
  <c r="AI65" i="10"/>
  <c r="AI216" i="10" s="1"/>
  <c r="BP67" i="9"/>
  <c r="AM31" i="31"/>
  <c r="CE102" i="9"/>
  <c r="CE103" i="9"/>
  <c r="BX81" i="9"/>
  <c r="BS72" i="9"/>
  <c r="AT176" i="10" s="1"/>
  <c r="AT173" i="10"/>
  <c r="BS121" i="9"/>
  <c r="BS55" i="9"/>
  <c r="BX82" i="9" s="1"/>
  <c r="BS44" i="9"/>
  <c r="BS122" i="9"/>
  <c r="BS52" i="9"/>
  <c r="AT172" i="10"/>
  <c r="AX77" i="10"/>
  <c r="AX67" i="10"/>
  <c r="AX74" i="10"/>
  <c r="AX65" i="10"/>
  <c r="AX216" i="10" s="1"/>
  <c r="AJ79" i="10"/>
  <c r="AJ75" i="10"/>
  <c r="AJ69" i="10"/>
  <c r="AJ136" i="10"/>
  <c r="AJ76" i="10"/>
  <c r="AJ70" i="10"/>
  <c r="AJ66" i="10"/>
  <c r="AW144" i="10"/>
  <c r="AW77" i="10"/>
  <c r="AW73" i="10"/>
  <c r="AW67" i="10"/>
  <c r="AW78" i="10"/>
  <c r="AW74" i="10"/>
  <c r="AW68" i="10"/>
  <c r="AI144" i="10"/>
  <c r="AI77" i="10"/>
  <c r="AI73" i="10"/>
  <c r="AI67" i="10"/>
  <c r="AI78" i="10"/>
  <c r="AI74" i="10"/>
  <c r="AI68" i="10"/>
  <c r="BA29" i="31"/>
  <c r="BA30" i="31" s="1"/>
  <c r="BI79" i="9"/>
  <c r="BP75" i="9"/>
  <c r="AQ83" i="10"/>
  <c r="AQ84" i="10" s="1"/>
  <c r="AQ79" i="10" s="1"/>
  <c r="AX79" i="10"/>
  <c r="AX75" i="10"/>
  <c r="AX69" i="10"/>
  <c r="AX136" i="10"/>
  <c r="AX76" i="10"/>
  <c r="AX70" i="10"/>
  <c r="AX66" i="10"/>
  <c r="BD68" i="9"/>
  <c r="AE175" i="10" s="1"/>
  <c r="AS84" i="10"/>
  <c r="AS59" i="10" s="1"/>
  <c r="AS62" i="10" s="1"/>
  <c r="BD39" i="9"/>
  <c r="BD71" i="9" s="1"/>
  <c r="AV79" i="10"/>
  <c r="AV75" i="10"/>
  <c r="AV69" i="10"/>
  <c r="AV136" i="10"/>
  <c r="AV76" i="10"/>
  <c r="AV70" i="10"/>
  <c r="AV66" i="10"/>
  <c r="BK68" i="9"/>
  <c r="AL175" i="10" s="1"/>
  <c r="BU75" i="9"/>
  <c r="BP66" i="9"/>
  <c r="BQ49" i="9"/>
  <c r="BQ71" i="9"/>
  <c r="BV80" i="9"/>
  <c r="BQ70" i="9"/>
  <c r="BQ43" i="9"/>
  <c r="BY80" i="9"/>
  <c r="BT70" i="9"/>
  <c r="BT43" i="9"/>
  <c r="BT49" i="9"/>
  <c r="BR43" i="9"/>
  <c r="BR70" i="9"/>
  <c r="BR71" i="9"/>
  <c r="BR49" i="9"/>
  <c r="BW80" i="9"/>
  <c r="AF84" i="10"/>
  <c r="AF65" i="10" s="1"/>
  <c r="AF216" i="10" s="1"/>
  <c r="AP84" i="10"/>
  <c r="AP59" i="10" s="1"/>
  <c r="AP62" i="10" s="1"/>
  <c r="BK39" i="9"/>
  <c r="BB38" i="9"/>
  <c r="BG80" i="9" s="1"/>
  <c r="BB68" i="9"/>
  <c r="AC175" i="10" s="1"/>
  <c r="BB39" i="9"/>
  <c r="BB71" i="9" s="1"/>
  <c r="BB79" i="9"/>
  <c r="AD84" i="10"/>
  <c r="BV226" i="31"/>
  <c r="BV416" i="31"/>
  <c r="BV494" i="31"/>
  <c r="AC66" i="10"/>
  <c r="AC68" i="10"/>
  <c r="AC70" i="10"/>
  <c r="AC74" i="10"/>
  <c r="AC76" i="10"/>
  <c r="AC78" i="10"/>
  <c r="AC136" i="10"/>
  <c r="AC67" i="10"/>
  <c r="AC69" i="10"/>
  <c r="AC73" i="10"/>
  <c r="AC75" i="10"/>
  <c r="AC77" i="10"/>
  <c r="AC79" i="10"/>
  <c r="AC144" i="10"/>
  <c r="AC65" i="10"/>
  <c r="AC216" i="10" s="1"/>
  <c r="AC59" i="10"/>
  <c r="AC62" i="10" s="1"/>
  <c r="BM49" i="9"/>
  <c r="BM70" i="9"/>
  <c r="BM71" i="9"/>
  <c r="BM43" i="9"/>
  <c r="BR80" i="9"/>
  <c r="AN84" i="10"/>
  <c r="AM84" i="10"/>
  <c r="BG49" i="9"/>
  <c r="BG71" i="9"/>
  <c r="BG43" i="9"/>
  <c r="BG70" i="9"/>
  <c r="BL38" i="9"/>
  <c r="BL39" i="9"/>
  <c r="BL79" i="9"/>
  <c r="BQ79" i="9"/>
  <c r="BL68" i="9"/>
  <c r="AM175" i="10" s="1"/>
  <c r="BD49" i="9"/>
  <c r="BD70" i="9"/>
  <c r="BD43" i="9"/>
  <c r="BD80" i="9"/>
  <c r="BI49" i="9"/>
  <c r="BI70" i="9"/>
  <c r="BI80" i="9"/>
  <c r="BI43" i="9"/>
  <c r="BI71" i="9"/>
  <c r="BH49" i="9"/>
  <c r="BH43" i="9"/>
  <c r="BH71" i="9"/>
  <c r="BH70" i="9"/>
  <c r="BM80" i="9"/>
  <c r="BJ49" i="9"/>
  <c r="BJ70" i="9"/>
  <c r="BJ43" i="9"/>
  <c r="BJ71" i="9"/>
  <c r="BK49" i="9"/>
  <c r="BK71" i="9"/>
  <c r="BK70" i="9"/>
  <c r="BK43" i="9"/>
  <c r="CK106" i="9"/>
  <c r="AH59" i="10"/>
  <c r="AH62" i="10" s="1"/>
  <c r="AH65" i="10"/>
  <c r="AH216" i="10" s="1"/>
  <c r="AH66" i="10"/>
  <c r="AH68" i="10"/>
  <c r="AH70" i="10"/>
  <c r="AH74" i="10"/>
  <c r="AH76" i="10"/>
  <c r="AH78" i="10"/>
  <c r="AH136" i="10"/>
  <c r="AH67" i="10"/>
  <c r="AH69" i="10"/>
  <c r="AH73" i="10"/>
  <c r="AH75" i="10"/>
  <c r="AH77" i="10"/>
  <c r="AH79" i="10"/>
  <c r="AH144" i="10"/>
  <c r="AR110" i="31"/>
  <c r="AR281" i="31"/>
  <c r="AR372" i="31"/>
  <c r="AR405" i="31"/>
  <c r="AR449" i="31"/>
  <c r="AR721" i="31"/>
  <c r="AR765" i="31"/>
  <c r="AR856" i="31"/>
  <c r="AR1439" i="31"/>
  <c r="AR1461" i="31"/>
  <c r="AR1494" i="31"/>
  <c r="AR41" i="31"/>
  <c r="AR63" i="31"/>
  <c r="AR212" i="31"/>
  <c r="AR313" i="31"/>
  <c r="AR383" i="31"/>
  <c r="AR416" i="31"/>
  <c r="AR472" i="31"/>
  <c r="AR483" i="31"/>
  <c r="AR710" i="31"/>
  <c r="AR732" i="31"/>
  <c r="AR810" i="31"/>
  <c r="AR892" i="31"/>
  <c r="AR1428" i="31"/>
  <c r="AR1450" i="31"/>
  <c r="AR1483" i="31"/>
  <c r="AR88" i="31"/>
  <c r="AR302" i="31"/>
  <c r="AR394" i="31"/>
  <c r="CE29" i="9"/>
  <c r="BF83" i="10"/>
  <c r="BF84" i="10" s="1"/>
  <c r="CE67" i="9"/>
  <c r="CE65" i="9"/>
  <c r="BF174" i="10" s="1"/>
  <c r="CE66" i="9"/>
  <c r="CE75" i="9"/>
  <c r="AU29" i="31"/>
  <c r="AU30" i="31" s="1"/>
  <c r="AU51" i="31"/>
  <c r="AU52" i="31" s="1"/>
  <c r="CF23" i="9"/>
  <c r="AN29" i="31"/>
  <c r="AN30" i="31" s="1"/>
  <c r="CG96" i="9"/>
  <c r="AO50" i="31"/>
  <c r="CG22" i="9"/>
  <c r="AO28" i="31"/>
  <c r="CH23" i="9"/>
  <c r="AP29" i="31"/>
  <c r="AP30" i="31" s="1"/>
  <c r="CI96" i="9"/>
  <c r="AQ50" i="31"/>
  <c r="CI22" i="9"/>
  <c r="AQ28" i="31"/>
  <c r="CJ97" i="9"/>
  <c r="AR51" i="31"/>
  <c r="AR52" i="31" s="1"/>
  <c r="CL23" i="9"/>
  <c r="AY29" i="31"/>
  <c r="AY30" i="31" s="1"/>
  <c r="BN43" i="9"/>
  <c r="BN70" i="9"/>
  <c r="BN80" i="9"/>
  <c r="BN49" i="9"/>
  <c r="BN71" i="9"/>
  <c r="BS80" i="9"/>
  <c r="AS51" i="31"/>
  <c r="AS52" i="31" s="1"/>
  <c r="CF97" i="9"/>
  <c r="AN51" i="31"/>
  <c r="AN52" i="31" s="1"/>
  <c r="CH97" i="9"/>
  <c r="AP51" i="31"/>
  <c r="AP52" i="31" s="1"/>
  <c r="CK96" i="9"/>
  <c r="AX50" i="31"/>
  <c r="CK22" i="9"/>
  <c r="AX28" i="31"/>
  <c r="AT50" i="31"/>
  <c r="AT28" i="31"/>
  <c r="CL97" i="9"/>
  <c r="AY51" i="31"/>
  <c r="AY52" i="31" s="1"/>
  <c r="CM96" i="9"/>
  <c r="AZ50" i="31"/>
  <c r="CM22" i="9"/>
  <c r="AZ28" i="31"/>
  <c r="BX1440" i="31"/>
  <c r="BY439" i="31"/>
  <c r="BY314" i="31"/>
  <c r="BS1440" i="31"/>
  <c r="BT1440" i="31"/>
  <c r="BT439" i="31"/>
  <c r="BT417" i="31"/>
  <c r="BT384" i="31"/>
  <c r="DI110" i="9"/>
  <c r="DI111" i="9"/>
  <c r="DI102" i="9"/>
  <c r="DI112" i="9"/>
  <c r="DI106" i="9"/>
  <c r="DI107" i="9"/>
  <c r="DI108" i="9"/>
  <c r="DI104" i="9"/>
  <c r="BV237" i="31"/>
  <c r="BV212" i="31"/>
  <c r="BS212" i="31" s="1"/>
  <c r="BR212" i="31" s="1"/>
  <c r="BV176" i="31"/>
  <c r="BV142" i="31"/>
  <c r="DI103" i="9"/>
  <c r="BU323" i="31"/>
  <c r="BU324" i="31" s="1"/>
  <c r="BU142" i="31"/>
  <c r="BT314" i="31"/>
  <c r="BT1489" i="31"/>
  <c r="BT57" i="31"/>
  <c r="BT471" i="31"/>
  <c r="BT467" i="31"/>
  <c r="BT473" i="31" s="1"/>
  <c r="BT1493" i="31"/>
  <c r="BT1494" i="31" s="1"/>
  <c r="BS1493" i="31"/>
  <c r="BS1494" i="31" s="1"/>
  <c r="BS1489" i="31"/>
  <c r="BS57" i="31"/>
  <c r="BS471" i="31"/>
  <c r="BS467" i="31"/>
  <c r="BS473" i="31" s="1"/>
  <c r="BU1036" i="31" l="1"/>
  <c r="BV1037" i="31"/>
  <c r="BU1069" i="31"/>
  <c r="BV1070" i="31"/>
  <c r="BX62" i="31"/>
  <c r="DK89" i="9"/>
  <c r="DK90" i="9" s="1"/>
  <c r="BY62" i="31"/>
  <c r="DL89" i="9"/>
  <c r="DL90" i="9" s="1"/>
  <c r="AE73" i="10"/>
  <c r="BF39" i="9"/>
  <c r="BF71" i="9" s="1"/>
  <c r="BF79" i="9"/>
  <c r="BF68" i="9"/>
  <c r="AG175" i="10" s="1"/>
  <c r="AE144" i="10"/>
  <c r="AO73" i="10"/>
  <c r="BX83" i="9"/>
  <c r="AR68" i="10"/>
  <c r="BF38" i="9"/>
  <c r="AR69" i="10"/>
  <c r="AR66" i="10"/>
  <c r="AR73" i="10"/>
  <c r="AR144" i="10"/>
  <c r="AR78" i="10"/>
  <c r="AR79" i="10"/>
  <c r="AR76" i="10"/>
  <c r="AR77" i="10"/>
  <c r="AR74" i="10"/>
  <c r="AR75" i="10"/>
  <c r="AR70" i="10"/>
  <c r="AR67" i="10"/>
  <c r="AR59" i="10"/>
  <c r="AR62" i="10" s="1"/>
  <c r="AR136" i="10"/>
  <c r="AG59" i="10"/>
  <c r="AG62" i="10" s="1"/>
  <c r="AG76" i="10"/>
  <c r="AG66" i="10"/>
  <c r="AG75" i="10"/>
  <c r="AG65" i="10"/>
  <c r="AG216" i="10" s="1"/>
  <c r="AG74" i="10"/>
  <c r="AG144" i="10"/>
  <c r="AG73" i="10"/>
  <c r="AG136" i="10"/>
  <c r="AG70" i="10"/>
  <c r="AG79" i="10"/>
  <c r="AG69" i="10"/>
  <c r="AG78" i="10"/>
  <c r="AG68" i="10"/>
  <c r="AG77" i="10"/>
  <c r="CJ143" i="10"/>
  <c r="CJ146" i="10"/>
  <c r="CJ147" i="10" s="1"/>
  <c r="CJ148" i="10" s="1"/>
  <c r="AO78" i="10"/>
  <c r="AR29" i="31"/>
  <c r="AR30" i="31" s="1"/>
  <c r="BU49" i="9"/>
  <c r="BU56" i="9" s="1"/>
  <c r="AF144" i="10"/>
  <c r="CN97" i="9"/>
  <c r="AP65" i="10"/>
  <c r="AP216" i="10" s="1"/>
  <c r="AE75" i="10"/>
  <c r="CE114" i="9"/>
  <c r="BU70" i="9"/>
  <c r="BP79" i="9"/>
  <c r="AW21" i="31"/>
  <c r="BZ80" i="9"/>
  <c r="BU43" i="9"/>
  <c r="BU71" i="9"/>
  <c r="BP39" i="9"/>
  <c r="BP38" i="9"/>
  <c r="BO80" i="9"/>
  <c r="BC43" i="9"/>
  <c r="BH81" i="9" s="1"/>
  <c r="BT80" i="9"/>
  <c r="BO49" i="9"/>
  <c r="BO53" i="9" s="1"/>
  <c r="AO79" i="10"/>
  <c r="AE77" i="10"/>
  <c r="CN23" i="9"/>
  <c r="BH80" i="9"/>
  <c r="BC49" i="9"/>
  <c r="BC56" i="9" s="1"/>
  <c r="BO43" i="9"/>
  <c r="BO55" i="9" s="1"/>
  <c r="BO71" i="9"/>
  <c r="AE70" i="10"/>
  <c r="AO76" i="10"/>
  <c r="AO77" i="10"/>
  <c r="CE138" i="31"/>
  <c r="AQ67" i="10"/>
  <c r="BE43" i="9"/>
  <c r="BJ81" i="9" s="1"/>
  <c r="BP68" i="9"/>
  <c r="AQ175" i="10" s="1"/>
  <c r="AE136" i="10"/>
  <c r="AO66" i="10"/>
  <c r="AO69" i="10"/>
  <c r="AE74" i="10"/>
  <c r="AO74" i="10"/>
  <c r="AO68" i="10"/>
  <c r="BC80" i="9"/>
  <c r="AE66" i="10"/>
  <c r="AE76" i="10"/>
  <c r="AE69" i="10"/>
  <c r="AE79" i="10"/>
  <c r="AO70" i="10"/>
  <c r="AO136" i="10"/>
  <c r="AO75" i="10"/>
  <c r="AE65" i="10"/>
  <c r="AE216" i="10" s="1"/>
  <c r="AE67" i="10"/>
  <c r="AO59" i="10"/>
  <c r="AO62" i="10" s="1"/>
  <c r="AO67" i="10"/>
  <c r="AO144" i="10"/>
  <c r="AE68" i="10"/>
  <c r="CE115" i="9"/>
  <c r="BJ80" i="9"/>
  <c r="BE49" i="9"/>
  <c r="BE53" i="9" s="1"/>
  <c r="AP136" i="10"/>
  <c r="BE80" i="9"/>
  <c r="AP75" i="10"/>
  <c r="AP70" i="10"/>
  <c r="AE78" i="10"/>
  <c r="AS144" i="10"/>
  <c r="AQ74" i="10"/>
  <c r="AQ77" i="10"/>
  <c r="AQ136" i="10"/>
  <c r="AQ68" i="10"/>
  <c r="AQ78" i="10"/>
  <c r="AQ73" i="10"/>
  <c r="AQ144" i="10"/>
  <c r="AQ59" i="10"/>
  <c r="AQ62" i="10" s="1"/>
  <c r="AQ76" i="10"/>
  <c r="AQ70" i="10"/>
  <c r="AQ75" i="10"/>
  <c r="AS78" i="10"/>
  <c r="AF78" i="10"/>
  <c r="AS73" i="10"/>
  <c r="AS68" i="10"/>
  <c r="AF73" i="10"/>
  <c r="AF68" i="10"/>
  <c r="AM53" i="31"/>
  <c r="CE108" i="9"/>
  <c r="AQ65" i="10"/>
  <c r="AQ216" i="10" s="1"/>
  <c r="AQ66" i="10"/>
  <c r="AQ69" i="10"/>
  <c r="AS77" i="10"/>
  <c r="AS67" i="10"/>
  <c r="AS74" i="10"/>
  <c r="AS65" i="10"/>
  <c r="AS216" i="10" s="1"/>
  <c r="AF77" i="10"/>
  <c r="AF67" i="10"/>
  <c r="AF74" i="10"/>
  <c r="AF59" i="10"/>
  <c r="AF62" i="10" s="1"/>
  <c r="AS79" i="10"/>
  <c r="AS75" i="10"/>
  <c r="AS69" i="10"/>
  <c r="AS136" i="10"/>
  <c r="AS76" i="10"/>
  <c r="AS70" i="10"/>
  <c r="AS66" i="10"/>
  <c r="AF79" i="10"/>
  <c r="AF75" i="10"/>
  <c r="AF69" i="10"/>
  <c r="AF136" i="10"/>
  <c r="AF76" i="10"/>
  <c r="AF70" i="10"/>
  <c r="AF66" i="10"/>
  <c r="AP79" i="10"/>
  <c r="AP69" i="10"/>
  <c r="AP76" i="10"/>
  <c r="AP66" i="10"/>
  <c r="BQ55" i="9"/>
  <c r="BV82" i="9" s="1"/>
  <c r="BQ44" i="9"/>
  <c r="BQ122" i="9"/>
  <c r="BQ52" i="9"/>
  <c r="AR172" i="10"/>
  <c r="BV81" i="9"/>
  <c r="BQ72" i="9"/>
  <c r="AR176" i="10" s="1"/>
  <c r="AR173" i="10"/>
  <c r="BQ121" i="9"/>
  <c r="BQ56" i="9"/>
  <c r="BQ53" i="9"/>
  <c r="BR55" i="9"/>
  <c r="BW82" i="9" s="1"/>
  <c r="BR72" i="9"/>
  <c r="AS176" i="10" s="1"/>
  <c r="AS173" i="10"/>
  <c r="BR52" i="9"/>
  <c r="AS172" i="10"/>
  <c r="BR44" i="9"/>
  <c r="BR122" i="9"/>
  <c r="BW81" i="9"/>
  <c r="BR121" i="9"/>
  <c r="BT52" i="9"/>
  <c r="AU172" i="10"/>
  <c r="BT44" i="9"/>
  <c r="BT122" i="9"/>
  <c r="BT55" i="9"/>
  <c r="BY82" i="9" s="1"/>
  <c r="BT121" i="9"/>
  <c r="BY81" i="9"/>
  <c r="BT72" i="9"/>
  <c r="AU176" i="10" s="1"/>
  <c r="AU173" i="10"/>
  <c r="BR53" i="9"/>
  <c r="BR56" i="9"/>
  <c r="BT56" i="9"/>
  <c r="BT53" i="9"/>
  <c r="AP144" i="10"/>
  <c r="AP77" i="10"/>
  <c r="AP73" i="10"/>
  <c r="AP67" i="10"/>
  <c r="AP78" i="10"/>
  <c r="AP74" i="10"/>
  <c r="AP68" i="10"/>
  <c r="AD65" i="10"/>
  <c r="AD216" i="10" s="1"/>
  <c r="AD66" i="10"/>
  <c r="AD70" i="10"/>
  <c r="AD76" i="10"/>
  <c r="AD136" i="10"/>
  <c r="AD69" i="10"/>
  <c r="AD75" i="10"/>
  <c r="AD79" i="10"/>
  <c r="AD59" i="10"/>
  <c r="AD62" i="10" s="1"/>
  <c r="AD68" i="10"/>
  <c r="AD74" i="10"/>
  <c r="AD78" i="10"/>
  <c r="AD67" i="10"/>
  <c r="AD73" i="10"/>
  <c r="AD77" i="10"/>
  <c r="AD144" i="10"/>
  <c r="BB49" i="9"/>
  <c r="BB70" i="9"/>
  <c r="BB80" i="9"/>
  <c r="BB43" i="9"/>
  <c r="BG81" i="9" s="1"/>
  <c r="BU1438" i="31"/>
  <c r="BL70" i="9"/>
  <c r="BQ80" i="9"/>
  <c r="BL71" i="9"/>
  <c r="BL43" i="9"/>
  <c r="BL80" i="9"/>
  <c r="BL49" i="9"/>
  <c r="BG121" i="9"/>
  <c r="BG44" i="9"/>
  <c r="BG122" i="9"/>
  <c r="BG55" i="9"/>
  <c r="BG52" i="9"/>
  <c r="AH172" i="10"/>
  <c r="BG72" i="9"/>
  <c r="AH176" i="10" s="1"/>
  <c r="AH173" i="10"/>
  <c r="AM65" i="10"/>
  <c r="AM216" i="10" s="1"/>
  <c r="AM66" i="10"/>
  <c r="AM70" i="10"/>
  <c r="AM76" i="10"/>
  <c r="AM136" i="10"/>
  <c r="AM69" i="10"/>
  <c r="AM75" i="10"/>
  <c r="AM79" i="10"/>
  <c r="AM59" i="10"/>
  <c r="AM62" i="10" s="1"/>
  <c r="AM68" i="10"/>
  <c r="AM74" i="10"/>
  <c r="AM78" i="10"/>
  <c r="AM67" i="10"/>
  <c r="AM73" i="10"/>
  <c r="AM77" i="10"/>
  <c r="AM144" i="10"/>
  <c r="BM56" i="9"/>
  <c r="BM53" i="9"/>
  <c r="BG56" i="9"/>
  <c r="BG53" i="9"/>
  <c r="AN59" i="10"/>
  <c r="AN62" i="10" s="1"/>
  <c r="AN68" i="10"/>
  <c r="AN74" i="10"/>
  <c r="AN78" i="10"/>
  <c r="AN67" i="10"/>
  <c r="AN73" i="10"/>
  <c r="AN77" i="10"/>
  <c r="AN144" i="10"/>
  <c r="AN65" i="10"/>
  <c r="AN216" i="10" s="1"/>
  <c r="AN66" i="10"/>
  <c r="AN70" i="10"/>
  <c r="AN76" i="10"/>
  <c r="AN136" i="10"/>
  <c r="AN69" i="10"/>
  <c r="AN75" i="10"/>
  <c r="AN79" i="10"/>
  <c r="BR81" i="9"/>
  <c r="BM52" i="9"/>
  <c r="AN172" i="10"/>
  <c r="BM72" i="9"/>
  <c r="AN176" i="10" s="1"/>
  <c r="AN173" i="10"/>
  <c r="BM55" i="9"/>
  <c r="BM121" i="9"/>
  <c r="BM44" i="9"/>
  <c r="BM122" i="9"/>
  <c r="BU1449" i="31"/>
  <c r="BU1467" i="31"/>
  <c r="BU1473" i="31" s="1"/>
  <c r="BU433" i="31"/>
  <c r="BU493" i="31"/>
  <c r="BU1427" i="31"/>
  <c r="BU334" i="31"/>
  <c r="BU709" i="31"/>
  <c r="BU489" i="31"/>
  <c r="BU1423" i="31"/>
  <c r="BU1445" i="31"/>
  <c r="BU1451" i="31" s="1"/>
  <c r="BU1471" i="31"/>
  <c r="BU437" i="31"/>
  <c r="BU438" i="31" s="1"/>
  <c r="BU330" i="31"/>
  <c r="BU705" i="31"/>
  <c r="BV466" i="31"/>
  <c r="BK52" i="9"/>
  <c r="BK122" i="9"/>
  <c r="AL172" i="10"/>
  <c r="BK55" i="9"/>
  <c r="BK72" i="9"/>
  <c r="AL176" i="10" s="1"/>
  <c r="AL173" i="10"/>
  <c r="BK121" i="9"/>
  <c r="BK44" i="9"/>
  <c r="BH56" i="9"/>
  <c r="BH53" i="9"/>
  <c r="BI56" i="9"/>
  <c r="BI53" i="9"/>
  <c r="BD55" i="9"/>
  <c r="BD82" i="9" s="1"/>
  <c r="BD44" i="9"/>
  <c r="BD72" i="9"/>
  <c r="AE176" i="10" s="1"/>
  <c r="BD122" i="9"/>
  <c r="AE173" i="10"/>
  <c r="BD52" i="9"/>
  <c r="BD121" i="9"/>
  <c r="AE172" i="10"/>
  <c r="BD81" i="9"/>
  <c r="BD53" i="9"/>
  <c r="BD56" i="9"/>
  <c r="BK56" i="9"/>
  <c r="BK53" i="9"/>
  <c r="BJ55" i="9"/>
  <c r="BJ44" i="9"/>
  <c r="BJ72" i="9"/>
  <c r="AK176" i="10" s="1"/>
  <c r="BJ122" i="9"/>
  <c r="AK173" i="10"/>
  <c r="BJ52" i="9"/>
  <c r="BJ121" i="9"/>
  <c r="AK172" i="10"/>
  <c r="BJ56" i="9"/>
  <c r="BJ53" i="9"/>
  <c r="BH55" i="9"/>
  <c r="BH44" i="9"/>
  <c r="BH72" i="9"/>
  <c r="AI176" i="10" s="1"/>
  <c r="BH122" i="9"/>
  <c r="AI173" i="10"/>
  <c r="BH52" i="9"/>
  <c r="BH121" i="9"/>
  <c r="AI172" i="10"/>
  <c r="BM81" i="9"/>
  <c r="BI52" i="9"/>
  <c r="BI121" i="9"/>
  <c r="AJ172" i="10"/>
  <c r="BI55" i="9"/>
  <c r="BI81" i="9"/>
  <c r="BI44" i="9"/>
  <c r="BI72" i="9"/>
  <c r="AJ176" i="10" s="1"/>
  <c r="BI122" i="9"/>
  <c r="AJ173" i="10"/>
  <c r="AP53" i="31"/>
  <c r="CG107" i="9"/>
  <c r="CN22" i="9"/>
  <c r="BA28" i="31"/>
  <c r="CN96" i="9"/>
  <c r="BA50" i="31"/>
  <c r="CL106" i="9"/>
  <c r="CH106" i="9"/>
  <c r="AN53" i="31"/>
  <c r="CK23" i="9"/>
  <c r="CK24" i="9" s="1"/>
  <c r="AX29" i="31"/>
  <c r="AX30" i="31" s="1"/>
  <c r="BN55" i="9"/>
  <c r="BN81" i="9"/>
  <c r="BN44" i="9"/>
  <c r="BN72" i="9"/>
  <c r="AO176" i="10" s="1"/>
  <c r="BN122" i="9"/>
  <c r="AO173" i="10"/>
  <c r="BN52" i="9"/>
  <c r="BN121" i="9"/>
  <c r="AO172" i="10"/>
  <c r="BS81" i="9"/>
  <c r="CF22" i="9"/>
  <c r="CF24" i="9" s="1"/>
  <c r="AS28" i="31"/>
  <c r="AN28" i="31"/>
  <c r="CF96" i="9"/>
  <c r="CF98" i="9" s="1"/>
  <c r="AN50" i="31"/>
  <c r="AS50" i="31"/>
  <c r="CM97" i="9"/>
  <c r="CM98" i="9" s="1"/>
  <c r="AZ51" i="31"/>
  <c r="AZ52" i="31" s="1"/>
  <c r="CI97" i="9"/>
  <c r="CI98" i="9" s="1"/>
  <c r="AQ51" i="31"/>
  <c r="AQ52" i="31" s="1"/>
  <c r="AV51" i="31"/>
  <c r="AV52" i="31" s="1"/>
  <c r="CG97" i="9"/>
  <c r="CG98" i="9" s="1"/>
  <c r="AO51" i="31"/>
  <c r="AO52" i="31" s="1"/>
  <c r="AT51" i="31"/>
  <c r="AT52" i="31" s="1"/>
  <c r="CE68" i="9"/>
  <c r="BF175" i="10" s="1"/>
  <c r="CE38" i="9"/>
  <c r="CE39" i="9"/>
  <c r="CE79" i="9"/>
  <c r="CK110" i="9"/>
  <c r="CK102" i="9"/>
  <c r="CK111" i="9"/>
  <c r="CK103" i="9"/>
  <c r="AX31" i="31"/>
  <c r="CK112" i="9"/>
  <c r="CK104" i="9"/>
  <c r="BU1434" i="31"/>
  <c r="BU138" i="31"/>
  <c r="BU144" i="31" s="1"/>
  <c r="BU319" i="31"/>
  <c r="BV115" i="31"/>
  <c r="AV28" i="31"/>
  <c r="AV50" i="31"/>
  <c r="AS29" i="31"/>
  <c r="AS30" i="31" s="1"/>
  <c r="CN106" i="9"/>
  <c r="CL22" i="9"/>
  <c r="CL24" i="9" s="1"/>
  <c r="AY28" i="31"/>
  <c r="CL96" i="9"/>
  <c r="CL98" i="9" s="1"/>
  <c r="AY50" i="31"/>
  <c r="CH22" i="9"/>
  <c r="CH24" i="9" s="1"/>
  <c r="AU28" i="31"/>
  <c r="AP28" i="31"/>
  <c r="CH96" i="9"/>
  <c r="CH98" i="9" s="1"/>
  <c r="AP50" i="31"/>
  <c r="AU50" i="31"/>
  <c r="CK97" i="9"/>
  <c r="CK98" i="9" s="1"/>
  <c r="AX51" i="31"/>
  <c r="AX52" i="31" s="1"/>
  <c r="CK107" i="9"/>
  <c r="BN53" i="9"/>
  <c r="BN56" i="9"/>
  <c r="CM23" i="9"/>
  <c r="CM24" i="9" s="1"/>
  <c r="AZ29" i="31"/>
  <c r="AZ30" i="31" s="1"/>
  <c r="CI23" i="9"/>
  <c r="CI24" i="9" s="1"/>
  <c r="AQ29" i="31"/>
  <c r="AQ30" i="31" s="1"/>
  <c r="AV29" i="31"/>
  <c r="AV30" i="31" s="1"/>
  <c r="CG23" i="9"/>
  <c r="CG24" i="9" s="1"/>
  <c r="AO29" i="31"/>
  <c r="AO30" i="31" s="1"/>
  <c r="AT29" i="31"/>
  <c r="AT30" i="31" s="1"/>
  <c r="BF65" i="10"/>
  <c r="BF216" i="10" s="1"/>
  <c r="BF59" i="10"/>
  <c r="BF62" i="10" s="1"/>
  <c r="BF66" i="10"/>
  <c r="BF68" i="10"/>
  <c r="BF70" i="10"/>
  <c r="BF74" i="10"/>
  <c r="BF76" i="10"/>
  <c r="BF78" i="10"/>
  <c r="BF136" i="10"/>
  <c r="BF69" i="10"/>
  <c r="BF75" i="10"/>
  <c r="BF79" i="10"/>
  <c r="BF67" i="10"/>
  <c r="BF73" i="10"/>
  <c r="BF77" i="10"/>
  <c r="BF144" i="10"/>
  <c r="BU82" i="31"/>
  <c r="BY1495" i="31"/>
  <c r="BV366" i="31"/>
  <c r="BZ138" i="31"/>
  <c r="CA137" i="31"/>
  <c r="BX1495" i="31"/>
  <c r="BZ127" i="31"/>
  <c r="DI115" i="9"/>
  <c r="DI114" i="9"/>
  <c r="BU727" i="31"/>
  <c r="BU731" i="31"/>
  <c r="BU732" i="31" s="1"/>
  <c r="BS58" i="31"/>
  <c r="BS62" i="31"/>
  <c r="BS63" i="31" s="1"/>
  <c r="BS1495" i="31"/>
  <c r="BU411" i="31"/>
  <c r="BU415" i="31"/>
  <c r="BU416" i="31" s="1"/>
  <c r="BU296" i="31"/>
  <c r="BU308" i="31"/>
  <c r="BU312" i="31"/>
  <c r="BU313" i="31" s="1"/>
  <c r="BU366" i="31"/>
  <c r="BU378" i="31"/>
  <c r="BU382" i="31"/>
  <c r="BU383" i="31" s="1"/>
  <c r="BU478" i="31"/>
  <c r="BU482" i="31"/>
  <c r="BU105" i="31"/>
  <c r="BU115" i="31"/>
  <c r="BU127" i="31"/>
  <c r="BU131" i="31"/>
  <c r="BT62" i="31"/>
  <c r="BT63" i="31" s="1"/>
  <c r="BT58" i="31"/>
  <c r="BT1495" i="31"/>
  <c r="AW1158" i="31" l="1"/>
  <c r="AW905" i="31"/>
  <c r="AW1147" i="31"/>
  <c r="AW1180" i="31"/>
  <c r="AW916" i="31"/>
  <c r="AW1310" i="31"/>
  <c r="AW1201" i="31"/>
  <c r="AW1332" i="31"/>
  <c r="AW1075" i="31"/>
  <c r="AW1042" i="31"/>
  <c r="AW1169" i="31"/>
  <c r="AW1008" i="31"/>
  <c r="AW1053" i="31"/>
  <c r="AW1213" i="31"/>
  <c r="AW1191" i="31"/>
  <c r="AW1272" i="31"/>
  <c r="AW1225" i="31"/>
  <c r="AW1249" i="31"/>
  <c r="AW1086" i="31"/>
  <c r="AW1355" i="31"/>
  <c r="AW1237" i="31"/>
  <c r="AW1261" i="31"/>
  <c r="AW1294" i="31"/>
  <c r="BV1076" i="31"/>
  <c r="BU1074" i="31"/>
  <c r="BU1075" i="31" s="1"/>
  <c r="BU1070" i="31"/>
  <c r="BV1043" i="31"/>
  <c r="BU1041" i="31"/>
  <c r="BU1042" i="31" s="1"/>
  <c r="BU1037" i="31"/>
  <c r="BF80" i="9"/>
  <c r="BF43" i="9"/>
  <c r="BF70" i="9"/>
  <c r="BK80" i="9"/>
  <c r="BF49" i="9"/>
  <c r="BF56" i="9" s="1"/>
  <c r="BD83" i="9"/>
  <c r="CE116" i="9"/>
  <c r="BU80" i="9"/>
  <c r="BU711" i="31"/>
  <c r="BP43" i="9"/>
  <c r="AW63" i="31"/>
  <c r="CE144" i="31"/>
  <c r="BT81" i="9"/>
  <c r="BC52" i="9"/>
  <c r="BE44" i="9"/>
  <c r="AD173" i="10"/>
  <c r="BC81" i="9"/>
  <c r="BE56" i="9"/>
  <c r="BE52" i="9"/>
  <c r="AP173" i="10"/>
  <c r="BO52" i="9"/>
  <c r="BP80" i="9"/>
  <c r="BU121" i="9"/>
  <c r="AW1450" i="31"/>
  <c r="AW372" i="31"/>
  <c r="AW732" i="31"/>
  <c r="BU53" i="9"/>
  <c r="AV173" i="10"/>
  <c r="BC72" i="9"/>
  <c r="AD176" i="10" s="1"/>
  <c r="AD172" i="10"/>
  <c r="BU50" i="9"/>
  <c r="BE122" i="9"/>
  <c r="AF172" i="10"/>
  <c r="BE55" i="9"/>
  <c r="BE82" i="9" s="1"/>
  <c r="CN98" i="9"/>
  <c r="BO56" i="9"/>
  <c r="BO81" i="9"/>
  <c r="BO44" i="9"/>
  <c r="BP70" i="9"/>
  <c r="AV172" i="10"/>
  <c r="BU72" i="9"/>
  <c r="AV176" i="10" s="1"/>
  <c r="BU55" i="9"/>
  <c r="BZ82" i="9" s="1"/>
  <c r="AW88" i="31"/>
  <c r="AW721" i="31"/>
  <c r="AW1483" i="31"/>
  <c r="AW383" i="31"/>
  <c r="BU44" i="9"/>
  <c r="BU52" i="9"/>
  <c r="BU122" i="9"/>
  <c r="BZ81" i="9"/>
  <c r="AW394" i="31"/>
  <c r="AW856" i="31"/>
  <c r="AW449" i="31"/>
  <c r="AW110" i="31"/>
  <c r="AW1439" i="31"/>
  <c r="AW892" i="31"/>
  <c r="AW472" i="31"/>
  <c r="AW212" i="31"/>
  <c r="BC53" i="9"/>
  <c r="AW302" i="31"/>
  <c r="AW1494" i="31"/>
  <c r="AW1428" i="31"/>
  <c r="AW765" i="31"/>
  <c r="AW483" i="31"/>
  <c r="AW405" i="31"/>
  <c r="AW281" i="31"/>
  <c r="AW41" i="31"/>
  <c r="AW1461" i="31"/>
  <c r="AW810" i="31"/>
  <c r="AW710" i="31"/>
  <c r="AW416" i="31"/>
  <c r="AW313" i="31"/>
  <c r="BP71" i="9"/>
  <c r="BP49" i="9"/>
  <c r="BP56" i="9" s="1"/>
  <c r="BU495" i="31"/>
  <c r="BV727" i="31"/>
  <c r="CA138" i="31"/>
  <c r="BV138" i="31"/>
  <c r="BC122" i="9"/>
  <c r="BC44" i="9"/>
  <c r="BC55" i="9"/>
  <c r="BC82" i="9" s="1"/>
  <c r="BC121" i="9"/>
  <c r="CN24" i="9"/>
  <c r="AF173" i="10"/>
  <c r="BE72" i="9"/>
  <c r="AF176" i="10" s="1"/>
  <c r="BE81" i="9"/>
  <c r="BE121" i="9"/>
  <c r="BO121" i="9"/>
  <c r="BO72" i="9"/>
  <c r="AP176" i="10" s="1"/>
  <c r="AP172" i="10"/>
  <c r="BO122" i="9"/>
  <c r="BU325" i="31"/>
  <c r="BV330" i="31"/>
  <c r="CA127" i="31"/>
  <c r="CA477" i="31"/>
  <c r="CA126" i="31"/>
  <c r="BY64" i="31"/>
  <c r="BX64" i="31"/>
  <c r="BU181" i="31"/>
  <c r="BV181" i="31" s="1"/>
  <c r="BR82" i="9"/>
  <c r="BR83" i="9" s="1"/>
  <c r="BV1445" i="31"/>
  <c r="BV1434" i="31"/>
  <c r="BV1423" i="31"/>
  <c r="BV1467" i="31"/>
  <c r="BU336" i="31"/>
  <c r="BU439" i="31"/>
  <c r="BU1440" i="31"/>
  <c r="BU1429" i="31"/>
  <c r="BV308" i="31"/>
  <c r="BV478" i="31"/>
  <c r="BV378" i="31"/>
  <c r="BV411" i="31"/>
  <c r="BV705" i="31"/>
  <c r="BV319" i="31"/>
  <c r="BV489" i="31"/>
  <c r="BM82" i="9"/>
  <c r="BM83" i="9" s="1"/>
  <c r="BV83" i="9"/>
  <c r="BW83" i="9"/>
  <c r="BY83" i="9"/>
  <c r="BB56" i="9"/>
  <c r="BB53" i="9"/>
  <c r="BB55" i="9"/>
  <c r="BB82" i="9" s="1"/>
  <c r="BB121" i="9"/>
  <c r="BB81" i="9"/>
  <c r="BB72" i="9"/>
  <c r="AC176" i="10" s="1"/>
  <c r="AC173" i="10"/>
  <c r="BB52" i="9"/>
  <c r="AC172" i="10"/>
  <c r="BB44" i="9"/>
  <c r="BB122" i="9"/>
  <c r="BU111" i="31"/>
  <c r="BV105" i="31"/>
  <c r="BL53" i="9"/>
  <c r="BL56" i="9"/>
  <c r="BL55" i="9"/>
  <c r="BL52" i="9"/>
  <c r="AM172" i="10"/>
  <c r="BL72" i="9"/>
  <c r="AM176" i="10" s="1"/>
  <c r="AM173" i="10"/>
  <c r="BL81" i="9"/>
  <c r="BL121" i="9"/>
  <c r="BL44" i="9"/>
  <c r="BL122" i="9"/>
  <c r="BQ81" i="9"/>
  <c r="BI82" i="9"/>
  <c r="BI83" i="9" s="1"/>
  <c r="BV127" i="31"/>
  <c r="BZ144" i="31"/>
  <c r="BV471" i="31"/>
  <c r="BV472" i="31" s="1"/>
  <c r="BT82" i="9"/>
  <c r="BO82" i="9"/>
  <c r="CK114" i="9"/>
  <c r="CM29" i="9"/>
  <c r="BN83" i="10"/>
  <c r="CM65" i="9"/>
  <c r="BN174" i="10" s="1"/>
  <c r="CM66" i="9"/>
  <c r="CM75" i="9"/>
  <c r="CR75" i="9"/>
  <c r="CM67" i="9"/>
  <c r="CF110" i="9"/>
  <c r="CF102" i="9"/>
  <c r="CF111" i="9"/>
  <c r="CF103" i="9"/>
  <c r="AN31" i="31"/>
  <c r="CF104" i="9"/>
  <c r="AS31" i="31"/>
  <c r="CF112" i="9"/>
  <c r="CF107" i="9"/>
  <c r="CM110" i="9"/>
  <c r="CM102" i="9"/>
  <c r="CM111" i="9"/>
  <c r="CM103" i="9"/>
  <c r="AZ31" i="31"/>
  <c r="CM112" i="9"/>
  <c r="CM104" i="9"/>
  <c r="CM106" i="9"/>
  <c r="CK108" i="9"/>
  <c r="AX53" i="31"/>
  <c r="CH29" i="9"/>
  <c r="BI83" i="10"/>
  <c r="CH66" i="9"/>
  <c r="CH75" i="9"/>
  <c r="CH67" i="9"/>
  <c r="CI110" i="9"/>
  <c r="CI102" i="9"/>
  <c r="CI111" i="9"/>
  <c r="CI103" i="9"/>
  <c r="AQ31" i="31"/>
  <c r="CI104" i="9"/>
  <c r="AV31" i="31"/>
  <c r="CI112" i="9"/>
  <c r="CI106" i="9"/>
  <c r="CN108" i="9"/>
  <c r="BA53" i="31"/>
  <c r="CL108" i="9"/>
  <c r="AY53" i="31"/>
  <c r="BV120" i="31"/>
  <c r="BV121" i="31" s="1"/>
  <c r="BV116" i="31"/>
  <c r="BV122" i="31" s="1"/>
  <c r="CE71" i="9"/>
  <c r="CE43" i="9"/>
  <c r="CE49" i="9"/>
  <c r="CE70" i="9"/>
  <c r="CE125" i="9"/>
  <c r="CE127" i="9" s="1"/>
  <c r="CE80" i="9"/>
  <c r="AQ53" i="31"/>
  <c r="CI108" i="9"/>
  <c r="AV53" i="31"/>
  <c r="CM108" i="9"/>
  <c r="AZ53" i="31"/>
  <c r="CH110" i="9"/>
  <c r="CH102" i="9"/>
  <c r="CH111" i="9"/>
  <c r="CH103" i="9"/>
  <c r="AP31" i="31"/>
  <c r="CH104" i="9"/>
  <c r="AU31" i="31"/>
  <c r="CH112" i="9"/>
  <c r="CH107" i="9"/>
  <c r="CL110" i="9"/>
  <c r="CL102" i="9"/>
  <c r="CL104" i="9"/>
  <c r="CL111" i="9"/>
  <c r="CL103" i="9"/>
  <c r="AY31" i="31"/>
  <c r="CL112" i="9"/>
  <c r="CL107" i="9"/>
  <c r="CG110" i="9"/>
  <c r="CG102" i="9"/>
  <c r="CG111" i="9"/>
  <c r="CG103" i="9"/>
  <c r="AO31" i="31"/>
  <c r="CG104" i="9"/>
  <c r="AT31" i="31"/>
  <c r="CG112" i="9"/>
  <c r="CG106" i="9"/>
  <c r="CF108" i="9"/>
  <c r="AU53" i="31"/>
  <c r="CG29" i="9"/>
  <c r="BH83" i="10"/>
  <c r="CG67" i="9"/>
  <c r="CG66" i="9"/>
  <c r="CG75" i="9"/>
  <c r="CI29" i="9"/>
  <c r="BJ83" i="10"/>
  <c r="CI67" i="9"/>
  <c r="CI66" i="9"/>
  <c r="CI75" i="9"/>
  <c r="CK29" i="9"/>
  <c r="BL83" i="10"/>
  <c r="CK65" i="9"/>
  <c r="BL174" i="10" s="1"/>
  <c r="CK66" i="9"/>
  <c r="CK75" i="9"/>
  <c r="CP75" i="9"/>
  <c r="CK67" i="9"/>
  <c r="CL29" i="9"/>
  <c r="BM83" i="10"/>
  <c r="CL65" i="9"/>
  <c r="BM174" i="10" s="1"/>
  <c r="CL66" i="9"/>
  <c r="CL75" i="9"/>
  <c r="CQ75" i="9"/>
  <c r="CL67" i="9"/>
  <c r="CN110" i="9"/>
  <c r="CN102" i="9"/>
  <c r="CN111" i="9"/>
  <c r="CN103" i="9"/>
  <c r="CN104" i="9"/>
  <c r="BA31" i="31"/>
  <c r="CN112" i="9"/>
  <c r="CN107" i="9"/>
  <c r="AO53" i="31"/>
  <c r="CG108" i="9"/>
  <c r="AT53" i="31"/>
  <c r="CF29" i="9"/>
  <c r="BG83" i="10"/>
  <c r="BG84" i="10" s="1"/>
  <c r="CF66" i="9"/>
  <c r="CF75" i="9"/>
  <c r="CF67" i="9"/>
  <c r="BN82" i="9"/>
  <c r="BN83" i="9" s="1"/>
  <c r="BS82" i="9"/>
  <c r="BS83" i="9" s="1"/>
  <c r="CK115" i="9"/>
  <c r="CI107" i="9"/>
  <c r="CM107" i="9"/>
  <c r="CF106" i="9"/>
  <c r="AS53" i="31"/>
  <c r="CH108" i="9"/>
  <c r="BU276" i="31"/>
  <c r="BU280" i="31"/>
  <c r="BV367" i="31"/>
  <c r="BV373" i="31" s="1"/>
  <c r="BV371" i="31"/>
  <c r="BV372" i="31" s="1"/>
  <c r="BZ478" i="31"/>
  <c r="CA142" i="31"/>
  <c r="BU720" i="31"/>
  <c r="BZ133" i="31"/>
  <c r="BU484" i="31"/>
  <c r="BU384" i="31"/>
  <c r="BU417" i="31"/>
  <c r="BU733" i="31"/>
  <c r="DI116" i="9"/>
  <c r="BT64" i="31"/>
  <c r="BU133" i="31"/>
  <c r="BU116" i="31"/>
  <c r="BU120" i="31"/>
  <c r="BU121" i="31" s="1"/>
  <c r="BU87" i="31"/>
  <c r="BU88" i="31" s="1"/>
  <c r="BU367" i="31"/>
  <c r="BU371" i="31"/>
  <c r="BU372" i="31" s="1"/>
  <c r="BU314" i="31"/>
  <c r="BU297" i="31"/>
  <c r="BU301" i="31"/>
  <c r="BU302" i="31" s="1"/>
  <c r="BS64" i="31"/>
  <c r="BP52" i="9" l="1"/>
  <c r="AG172" i="10"/>
  <c r="BF122" i="9"/>
  <c r="BF72" i="9"/>
  <c r="AG176" i="10" s="1"/>
  <c r="BF121" i="9"/>
  <c r="BF52" i="9"/>
  <c r="BU1076" i="31"/>
  <c r="BU1043" i="31"/>
  <c r="BF81" i="9"/>
  <c r="BK81" i="9"/>
  <c r="BF44" i="9"/>
  <c r="BF55" i="9"/>
  <c r="BF82" i="9" s="1"/>
  <c r="AG173" i="10"/>
  <c r="BF53" i="9"/>
  <c r="BV733" i="31"/>
  <c r="BP44" i="9"/>
  <c r="BU81" i="9"/>
  <c r="BT83" i="9"/>
  <c r="AQ173" i="10"/>
  <c r="BP55" i="9"/>
  <c r="BU82" i="9" s="1"/>
  <c r="BP121" i="9"/>
  <c r="BP81" i="9"/>
  <c r="AQ172" i="10"/>
  <c r="BP122" i="9"/>
  <c r="BP72" i="9"/>
  <c r="AQ176" i="10" s="1"/>
  <c r="CK275" i="31"/>
  <c r="BJ82" i="9"/>
  <c r="BJ83" i="9" s="1"/>
  <c r="CE484" i="31"/>
  <c r="BC83" i="9"/>
  <c r="CA144" i="31"/>
  <c r="BO83" i="9"/>
  <c r="BP53" i="9"/>
  <c r="CA131" i="31"/>
  <c r="CF477" i="31"/>
  <c r="CF482" i="31" s="1"/>
  <c r="CN65" i="9"/>
  <c r="BO174" i="10" s="1"/>
  <c r="BZ83" i="9"/>
  <c r="CJ276" i="31"/>
  <c r="BE83" i="9"/>
  <c r="CA133" i="31"/>
  <c r="BH82" i="9"/>
  <c r="BH83" i="9" s="1"/>
  <c r="CN67" i="9"/>
  <c r="CA478" i="31"/>
  <c r="BV144" i="31"/>
  <c r="CN75" i="9"/>
  <c r="CN29" i="9"/>
  <c r="CN38" i="9" s="1"/>
  <c r="CS75" i="9"/>
  <c r="CN66" i="9"/>
  <c r="BO83" i="10"/>
  <c r="BO84" i="10" s="1"/>
  <c r="CA482" i="31"/>
  <c r="CE276" i="31"/>
  <c r="CF275" i="31"/>
  <c r="CA715" i="31"/>
  <c r="BV276" i="31"/>
  <c r="CE55" i="9"/>
  <c r="BV484" i="31"/>
  <c r="BV1473" i="31"/>
  <c r="BV1429" i="31"/>
  <c r="BV1440" i="31"/>
  <c r="BV133" i="31"/>
  <c r="BV1451" i="31"/>
  <c r="BV495" i="31"/>
  <c r="BV417" i="31"/>
  <c r="BV384" i="31"/>
  <c r="BV314" i="31"/>
  <c r="CH114" i="9"/>
  <c r="BG82" i="9"/>
  <c r="BG83" i="9" s="1"/>
  <c r="BB83" i="9"/>
  <c r="BL82" i="9"/>
  <c r="BL83" i="9" s="1"/>
  <c r="BQ82" i="9"/>
  <c r="BQ83" i="9" s="1"/>
  <c r="CK116" i="9"/>
  <c r="CM114" i="9"/>
  <c r="CO22" i="9"/>
  <c r="BB28" i="31"/>
  <c r="CO96" i="9"/>
  <c r="BB50" i="31"/>
  <c r="CN115" i="9"/>
  <c r="CN114" i="9"/>
  <c r="BM84" i="10"/>
  <c r="BM69" i="10" s="1"/>
  <c r="BJ84" i="10"/>
  <c r="BJ59" i="10" s="1"/>
  <c r="BJ62" i="10" s="1"/>
  <c r="CF38" i="9"/>
  <c r="CF125" i="9" s="1"/>
  <c r="CF127" i="9" s="1"/>
  <c r="CF68" i="9"/>
  <c r="BG175" i="10" s="1"/>
  <c r="CF39" i="9"/>
  <c r="CF79" i="9"/>
  <c r="CO107" i="9"/>
  <c r="CO23" i="9"/>
  <c r="BB29" i="31"/>
  <c r="AW29" i="31"/>
  <c r="AW30" i="31" s="1"/>
  <c r="BB21" i="31"/>
  <c r="CL38" i="9"/>
  <c r="CL68" i="9"/>
  <c r="BM175" i="10" s="1"/>
  <c r="CQ79" i="9"/>
  <c r="CL79" i="9"/>
  <c r="CL39" i="9"/>
  <c r="CK68" i="9"/>
  <c r="BL175" i="10" s="1"/>
  <c r="CK38" i="9"/>
  <c r="CP79" i="9"/>
  <c r="CK79" i="9"/>
  <c r="CK39" i="9"/>
  <c r="CG68" i="9"/>
  <c r="BH175" i="10" s="1"/>
  <c r="CG38" i="9"/>
  <c r="CG125" i="9" s="1"/>
  <c r="CG127" i="9" s="1"/>
  <c r="CG39" i="9"/>
  <c r="CG70" i="9" s="1"/>
  <c r="CG79" i="9"/>
  <c r="CJ106" i="9"/>
  <c r="CE121" i="9"/>
  <c r="CE81" i="9"/>
  <c r="CE44" i="9"/>
  <c r="BF172" i="10"/>
  <c r="CE122" i="9"/>
  <c r="CE72" i="9"/>
  <c r="BF176" i="10" s="1"/>
  <c r="CE52" i="9"/>
  <c r="BF173" i="10"/>
  <c r="CH38" i="9"/>
  <c r="CH125" i="9" s="1"/>
  <c r="CH127" i="9" s="1"/>
  <c r="CH68" i="9"/>
  <c r="BI175" i="10" s="1"/>
  <c r="CH39" i="9"/>
  <c r="CH70" i="9" s="1"/>
  <c r="CH79" i="9"/>
  <c r="CM68" i="9"/>
  <c r="BN175" i="10" s="1"/>
  <c r="CM38" i="9"/>
  <c r="CR79" i="9"/>
  <c r="CM79" i="9"/>
  <c r="CM39" i="9"/>
  <c r="CL115" i="9"/>
  <c r="CH115" i="9"/>
  <c r="CF115" i="9"/>
  <c r="CF114" i="9"/>
  <c r="BG59" i="10"/>
  <c r="BG62" i="10" s="1"/>
  <c r="BG65" i="10"/>
  <c r="BG216" i="10" s="1"/>
  <c r="BG66" i="10"/>
  <c r="BG68" i="10"/>
  <c r="BG70" i="10"/>
  <c r="BG74" i="10"/>
  <c r="BG76" i="10"/>
  <c r="BG78" i="10"/>
  <c r="BG136" i="10"/>
  <c r="BG69" i="10"/>
  <c r="BG75" i="10"/>
  <c r="BG79" i="10"/>
  <c r="BG67" i="10"/>
  <c r="BG73" i="10"/>
  <c r="BG77" i="10"/>
  <c r="BG144" i="10"/>
  <c r="CO97" i="9"/>
  <c r="BB51" i="31"/>
  <c r="AW51" i="31"/>
  <c r="AW52" i="31" s="1"/>
  <c r="CI68" i="9"/>
  <c r="BJ175" i="10" s="1"/>
  <c r="CI38" i="9"/>
  <c r="CI125" i="9" s="1"/>
  <c r="CI127" i="9" s="1"/>
  <c r="CI39" i="9"/>
  <c r="CI79" i="9"/>
  <c r="CJ96" i="9"/>
  <c r="CJ98" i="9" s="1"/>
  <c r="AR50" i="31"/>
  <c r="AW50" i="31"/>
  <c r="CJ22" i="9"/>
  <c r="CJ24" i="9" s="1"/>
  <c r="AW28" i="31"/>
  <c r="AR28" i="31"/>
  <c r="CE56" i="9"/>
  <c r="CE53" i="9"/>
  <c r="CE50" i="9"/>
  <c r="BL84" i="10"/>
  <c r="BH84" i="10"/>
  <c r="CG115" i="9"/>
  <c r="CG114" i="9"/>
  <c r="CL114" i="9"/>
  <c r="CI115" i="9"/>
  <c r="CI114" i="9"/>
  <c r="BI84" i="10"/>
  <c r="CM115" i="9"/>
  <c r="BN84" i="10"/>
  <c r="BU282" i="31"/>
  <c r="BZ276" i="31"/>
  <c r="CA275" i="31"/>
  <c r="CA280" i="31" s="1"/>
  <c r="BZ484" i="31"/>
  <c r="BU303" i="31"/>
  <c r="BU373" i="31"/>
  <c r="BU122" i="31"/>
  <c r="BB1180" i="31" l="1"/>
  <c r="BB1310" i="31"/>
  <c r="BB916" i="31"/>
  <c r="BB1075" i="31"/>
  <c r="BB1213" i="31"/>
  <c r="BB1332" i="31"/>
  <c r="BB905" i="31"/>
  <c r="BB1169" i="31"/>
  <c r="BB1225" i="31"/>
  <c r="BB1201" i="31"/>
  <c r="BB1042" i="31"/>
  <c r="BB1147" i="31"/>
  <c r="BB1191" i="31"/>
  <c r="BB1249" i="31"/>
  <c r="BB1272" i="31"/>
  <c r="BB1008" i="31"/>
  <c r="BB1053" i="31"/>
  <c r="BB1237" i="31"/>
  <c r="BB1294" i="31"/>
  <c r="BB1261" i="31"/>
  <c r="BB1355" i="31"/>
  <c r="BB1086" i="31"/>
  <c r="BF83" i="9"/>
  <c r="BK82" i="9"/>
  <c r="BK83" i="9" s="1"/>
  <c r="BP82" i="9"/>
  <c r="BP83" i="9" s="1"/>
  <c r="CO282" i="31"/>
  <c r="BU83" i="9"/>
  <c r="CJ282" i="31"/>
  <c r="CP477" i="31"/>
  <c r="CP275" i="31"/>
  <c r="CA484" i="31"/>
  <c r="CK280" i="31"/>
  <c r="CF280" i="31"/>
  <c r="CE282" i="31"/>
  <c r="CK276" i="31"/>
  <c r="CN79" i="9"/>
  <c r="CJ478" i="31"/>
  <c r="CO484" i="31" s="1"/>
  <c r="CK477" i="31"/>
  <c r="CF715" i="31"/>
  <c r="CF720" i="31" s="1"/>
  <c r="BR84" i="10"/>
  <c r="BR69" i="10" s="1"/>
  <c r="BQ84" i="10"/>
  <c r="BQ65" i="10" s="1"/>
  <c r="BQ216" i="10" s="1"/>
  <c r="CN68" i="9"/>
  <c r="BO175" i="10" s="1"/>
  <c r="CN39" i="9"/>
  <c r="CS79" i="9"/>
  <c r="BS84" i="10"/>
  <c r="BS65" i="10" s="1"/>
  <c r="BS216" i="10" s="1"/>
  <c r="CF478" i="31"/>
  <c r="CF484" i="31" s="1"/>
  <c r="CF276" i="31"/>
  <c r="CO98" i="9"/>
  <c r="BM67" i="10"/>
  <c r="CH116" i="9"/>
  <c r="BM66" i="10"/>
  <c r="CM116" i="9"/>
  <c r="BM65" i="10"/>
  <c r="BM216" i="10" s="1"/>
  <c r="BM77" i="10"/>
  <c r="BM74" i="10"/>
  <c r="BM76" i="10"/>
  <c r="BM144" i="10"/>
  <c r="BM73" i="10"/>
  <c r="BM78" i="10"/>
  <c r="BM68" i="10"/>
  <c r="BM136" i="10"/>
  <c r="BM70" i="10"/>
  <c r="BM59" i="10"/>
  <c r="BM62" i="10" s="1"/>
  <c r="BM79" i="10"/>
  <c r="BM75" i="10"/>
  <c r="CF116" i="9"/>
  <c r="BJ144" i="10"/>
  <c r="BJ78" i="10"/>
  <c r="BJ79" i="10"/>
  <c r="BJ68" i="10"/>
  <c r="BJ73" i="10"/>
  <c r="BJ69" i="10"/>
  <c r="BJ74" i="10"/>
  <c r="BJ65" i="10"/>
  <c r="BJ216" i="10" s="1"/>
  <c r="CO24" i="9"/>
  <c r="CL116" i="9"/>
  <c r="CI116" i="9"/>
  <c r="BJ77" i="10"/>
  <c r="BJ67" i="10"/>
  <c r="BJ75" i="10"/>
  <c r="BJ136" i="10"/>
  <c r="BJ76" i="10"/>
  <c r="BJ70" i="10"/>
  <c r="BJ66" i="10"/>
  <c r="CN116" i="9"/>
  <c r="BN67" i="10"/>
  <c r="BN69" i="10"/>
  <c r="BN73" i="10"/>
  <c r="BN75" i="10"/>
  <c r="BN77" i="10"/>
  <c r="BN79" i="10"/>
  <c r="BN144" i="10"/>
  <c r="BN59" i="10"/>
  <c r="BN62" i="10" s="1"/>
  <c r="BN66" i="10"/>
  <c r="BN70" i="10"/>
  <c r="BN76" i="10"/>
  <c r="BN136" i="10"/>
  <c r="BN65" i="10"/>
  <c r="BN216" i="10" s="1"/>
  <c r="BN68" i="10"/>
  <c r="BN74" i="10"/>
  <c r="BN78" i="10"/>
  <c r="BI59" i="10"/>
  <c r="BI62" i="10" s="1"/>
  <c r="BI65" i="10"/>
  <c r="BI216" i="10" s="1"/>
  <c r="BI66" i="10"/>
  <c r="BI68" i="10"/>
  <c r="BI70" i="10"/>
  <c r="BI74" i="10"/>
  <c r="BI76" i="10"/>
  <c r="BI78" i="10"/>
  <c r="BI136" i="10"/>
  <c r="BI69" i="10"/>
  <c r="BI75" i="10"/>
  <c r="BI79" i="10"/>
  <c r="BI67" i="10"/>
  <c r="BI73" i="10"/>
  <c r="BI77" i="10"/>
  <c r="BI144" i="10"/>
  <c r="BH59" i="10"/>
  <c r="BH62" i="10" s="1"/>
  <c r="BH65" i="10"/>
  <c r="BH216" i="10" s="1"/>
  <c r="BH66" i="10"/>
  <c r="BH68" i="10"/>
  <c r="BH70" i="10"/>
  <c r="BH74" i="10"/>
  <c r="BH76" i="10"/>
  <c r="BH78" i="10"/>
  <c r="BH136" i="10"/>
  <c r="BH69" i="10"/>
  <c r="BH75" i="10"/>
  <c r="BH79" i="10"/>
  <c r="BH67" i="10"/>
  <c r="BH73" i="10"/>
  <c r="BH77" i="10"/>
  <c r="BH144" i="10"/>
  <c r="CJ29" i="9"/>
  <c r="BK83" i="10"/>
  <c r="BK84" i="10" s="1"/>
  <c r="CJ65" i="9"/>
  <c r="BK174" i="10" s="1"/>
  <c r="CJ75" i="9"/>
  <c r="CJ67" i="9"/>
  <c r="CJ66" i="9"/>
  <c r="CI71" i="9"/>
  <c r="CI43" i="9"/>
  <c r="CI49" i="9"/>
  <c r="CI80" i="9"/>
  <c r="CI70" i="9"/>
  <c r="BB53" i="31"/>
  <c r="CO108" i="9"/>
  <c r="CH71" i="9"/>
  <c r="CH49" i="9"/>
  <c r="CH43" i="9"/>
  <c r="CH80" i="9"/>
  <c r="CG71" i="9"/>
  <c r="CG43" i="9"/>
  <c r="CG49" i="9"/>
  <c r="CG80" i="9"/>
  <c r="BB41" i="31"/>
  <c r="BB88" i="31"/>
  <c r="BB110" i="31"/>
  <c r="BB132" i="31"/>
  <c r="BB212" i="31"/>
  <c r="BB302" i="31"/>
  <c r="BB313" i="31"/>
  <c r="BB383" i="31"/>
  <c r="BB416" i="31"/>
  <c r="BB472" i="31"/>
  <c r="BB710" i="31"/>
  <c r="BB732" i="31"/>
  <c r="BB810" i="31"/>
  <c r="BB867" i="31"/>
  <c r="BB1428" i="31"/>
  <c r="BB1450" i="31"/>
  <c r="BB1483" i="31"/>
  <c r="BB63" i="31"/>
  <c r="BB121" i="31"/>
  <c r="BB281" i="31"/>
  <c r="BB335" i="31"/>
  <c r="BB372" i="31"/>
  <c r="BB394" i="31"/>
  <c r="BB405" i="31"/>
  <c r="BB449" i="31"/>
  <c r="BB483" i="31"/>
  <c r="BB721" i="31"/>
  <c r="BB765" i="31"/>
  <c r="BB856" i="31"/>
  <c r="BB892" i="31"/>
  <c r="BB1439" i="31"/>
  <c r="BB1461" i="31"/>
  <c r="BB1472" i="31"/>
  <c r="BB1494" i="31"/>
  <c r="BL67" i="10"/>
  <c r="BL69" i="10"/>
  <c r="BL73" i="10"/>
  <c r="BL75" i="10"/>
  <c r="BL77" i="10"/>
  <c r="BL79" i="10"/>
  <c r="BL144" i="10"/>
  <c r="BL59" i="10"/>
  <c r="BL62" i="10" s="1"/>
  <c r="BL66" i="10"/>
  <c r="BL70" i="10"/>
  <c r="BL76" i="10"/>
  <c r="BL136" i="10"/>
  <c r="BL65" i="10"/>
  <c r="BL216" i="10" s="1"/>
  <c r="BL68" i="10"/>
  <c r="BL74" i="10"/>
  <c r="BL78" i="10"/>
  <c r="CJ108" i="9"/>
  <c r="AR53" i="31"/>
  <c r="AW53" i="31"/>
  <c r="CM71" i="9"/>
  <c r="CM43" i="9"/>
  <c r="CM70" i="9"/>
  <c r="CM125" i="9"/>
  <c r="CM127" i="9" s="1"/>
  <c r="CM49" i="9"/>
  <c r="CR80" i="9"/>
  <c r="CM80" i="9"/>
  <c r="CE82" i="9"/>
  <c r="CE83" i="9" s="1"/>
  <c r="CJ110" i="9"/>
  <c r="CJ102" i="9"/>
  <c r="CJ111" i="9"/>
  <c r="CJ103" i="9"/>
  <c r="AR31" i="31"/>
  <c r="CJ104" i="9"/>
  <c r="AW31" i="31"/>
  <c r="CJ112" i="9"/>
  <c r="CJ107" i="9"/>
  <c r="CK71" i="9"/>
  <c r="CK43" i="9"/>
  <c r="CK70" i="9"/>
  <c r="CK125" i="9"/>
  <c r="CK127" i="9" s="1"/>
  <c r="CK49" i="9"/>
  <c r="CP80" i="9"/>
  <c r="CK80" i="9"/>
  <c r="CL71" i="9"/>
  <c r="CL43" i="9"/>
  <c r="CL70" i="9"/>
  <c r="CL125" i="9"/>
  <c r="CL127" i="9" s="1"/>
  <c r="CL49" i="9"/>
  <c r="CQ80" i="9"/>
  <c r="CL80" i="9"/>
  <c r="CO110" i="9"/>
  <c r="CO102" i="9"/>
  <c r="CO111" i="9"/>
  <c r="CO103" i="9"/>
  <c r="CO104" i="9"/>
  <c r="BB31" i="31"/>
  <c r="CO112" i="9"/>
  <c r="CO106" i="9"/>
  <c r="CF71" i="9"/>
  <c r="CF49" i="9"/>
  <c r="CF80" i="9"/>
  <c r="CF43" i="9"/>
  <c r="CF70" i="9"/>
  <c r="CN71" i="9"/>
  <c r="CN43" i="9"/>
  <c r="CN70" i="9"/>
  <c r="CN125" i="9"/>
  <c r="CN127" i="9" s="1"/>
  <c r="CN49" i="9"/>
  <c r="CS80" i="9"/>
  <c r="CN80" i="9"/>
  <c r="BO67" i="10"/>
  <c r="BO69" i="10"/>
  <c r="BO73" i="10"/>
  <c r="BO75" i="10"/>
  <c r="BO77" i="10"/>
  <c r="BO79" i="10"/>
  <c r="BO144" i="10"/>
  <c r="BO59" i="10"/>
  <c r="BO62" i="10" s="1"/>
  <c r="BO66" i="10"/>
  <c r="BO70" i="10"/>
  <c r="BO76" i="10"/>
  <c r="BO136" i="10"/>
  <c r="BO65" i="10"/>
  <c r="BO216" i="10" s="1"/>
  <c r="BO68" i="10"/>
  <c r="BO74" i="10"/>
  <c r="BO78" i="10"/>
  <c r="BB30" i="31"/>
  <c r="CG116" i="9"/>
  <c r="BB52" i="31"/>
  <c r="CA276" i="31"/>
  <c r="BZ282" i="31"/>
  <c r="CU280" i="31" l="1"/>
  <c r="CK478" i="31"/>
  <c r="CK484" i="31" s="1"/>
  <c r="BR67" i="10"/>
  <c r="CF282" i="31"/>
  <c r="CJ484" i="31"/>
  <c r="BP83" i="10"/>
  <c r="BP84" i="10" s="1"/>
  <c r="BP67" i="10" s="1"/>
  <c r="CP478" i="31"/>
  <c r="CK715" i="31"/>
  <c r="CK720" i="31" s="1"/>
  <c r="CP280" i="31"/>
  <c r="CP276" i="31"/>
  <c r="CK482" i="31"/>
  <c r="CP482" i="31"/>
  <c r="BS76" i="10"/>
  <c r="BQ79" i="10"/>
  <c r="CK282" i="31"/>
  <c r="BS79" i="10"/>
  <c r="CO29" i="9"/>
  <c r="CO68" i="9" s="1"/>
  <c r="BP175" i="10" s="1"/>
  <c r="BQ76" i="10"/>
  <c r="BR66" i="10"/>
  <c r="BR65" i="10"/>
  <c r="BR216" i="10" s="1"/>
  <c r="BR77" i="10"/>
  <c r="BR74" i="10"/>
  <c r="BR76" i="10"/>
  <c r="BR144" i="10"/>
  <c r="BR73" i="10"/>
  <c r="BR78" i="10"/>
  <c r="BR68" i="10"/>
  <c r="BR136" i="10"/>
  <c r="BR70" i="10"/>
  <c r="BR59" i="10"/>
  <c r="BR62" i="10" s="1"/>
  <c r="BR79" i="10"/>
  <c r="BR75" i="10"/>
  <c r="BS69" i="10"/>
  <c r="BS66" i="10"/>
  <c r="BQ69" i="10"/>
  <c r="BQ66" i="10"/>
  <c r="BS75" i="10"/>
  <c r="BS136" i="10"/>
  <c r="BS70" i="10"/>
  <c r="BS59" i="10"/>
  <c r="BS62" i="10" s="1"/>
  <c r="BQ75" i="10"/>
  <c r="BQ136" i="10"/>
  <c r="BQ70" i="10"/>
  <c r="BQ59" i="10"/>
  <c r="BQ62" i="10" s="1"/>
  <c r="BS144" i="10"/>
  <c r="BS77" i="10"/>
  <c r="BS73" i="10"/>
  <c r="BS67" i="10"/>
  <c r="BS78" i="10"/>
  <c r="BS74" i="10"/>
  <c r="BS68" i="10"/>
  <c r="BQ144" i="10"/>
  <c r="BQ77" i="10"/>
  <c r="BQ73" i="10"/>
  <c r="BQ67" i="10"/>
  <c r="BQ78" i="10"/>
  <c r="BQ74" i="10"/>
  <c r="BQ68" i="10"/>
  <c r="CT75" i="9"/>
  <c r="CO66" i="9"/>
  <c r="CO67" i="9"/>
  <c r="CO75" i="9"/>
  <c r="CO65" i="9"/>
  <c r="BP174" i="10" s="1"/>
  <c r="CN50" i="9"/>
  <c r="CF55" i="9"/>
  <c r="CF82" i="9" s="1"/>
  <c r="CF52" i="9"/>
  <c r="CF122" i="9"/>
  <c r="BG173" i="10"/>
  <c r="CF72" i="9"/>
  <c r="BG176" i="10" s="1"/>
  <c r="CF81" i="9"/>
  <c r="CF44" i="9"/>
  <c r="CF121" i="9"/>
  <c r="BG172" i="10"/>
  <c r="CF56" i="9"/>
  <c r="CF53" i="9"/>
  <c r="CL50" i="9"/>
  <c r="CK50" i="9"/>
  <c r="CM53" i="9"/>
  <c r="CM56" i="9"/>
  <c r="CM121" i="9"/>
  <c r="CM81" i="9"/>
  <c r="CM44" i="9"/>
  <c r="CM122" i="9"/>
  <c r="BN173" i="10"/>
  <c r="CM55" i="9"/>
  <c r="CR81" i="9"/>
  <c r="CM72" i="9"/>
  <c r="BN176" i="10" s="1"/>
  <c r="CM52" i="9"/>
  <c r="BN172" i="10"/>
  <c r="CG56" i="9"/>
  <c r="CG53" i="9"/>
  <c r="CG50" i="9"/>
  <c r="CH55" i="9"/>
  <c r="CH82" i="9" s="1"/>
  <c r="CH52" i="9"/>
  <c r="CH122" i="9"/>
  <c r="BI173" i="10"/>
  <c r="CH72" i="9"/>
  <c r="BI176" i="10" s="1"/>
  <c r="CH81" i="9"/>
  <c r="CH44" i="9"/>
  <c r="CH121" i="9"/>
  <c r="BI172" i="10"/>
  <c r="CH50" i="9"/>
  <c r="CI56" i="9"/>
  <c r="CI53" i="9"/>
  <c r="CI50" i="9"/>
  <c r="CN53" i="9"/>
  <c r="CN56" i="9"/>
  <c r="CN121" i="9"/>
  <c r="CN55" i="9"/>
  <c r="CS81" i="9"/>
  <c r="CN44" i="9"/>
  <c r="CN122" i="9"/>
  <c r="BO173" i="10"/>
  <c r="CN81" i="9"/>
  <c r="CN72" i="9"/>
  <c r="BO176" i="10" s="1"/>
  <c r="CN52" i="9"/>
  <c r="BO172" i="10"/>
  <c r="CF50" i="9"/>
  <c r="CL53" i="9"/>
  <c r="CL56" i="9"/>
  <c r="CL121" i="9"/>
  <c r="CL55" i="9"/>
  <c r="CQ81" i="9"/>
  <c r="CL44" i="9"/>
  <c r="CL122" i="9"/>
  <c r="BM173" i="10"/>
  <c r="CL81" i="9"/>
  <c r="CL72" i="9"/>
  <c r="BM176" i="10" s="1"/>
  <c r="CL52" i="9"/>
  <c r="BM172" i="10"/>
  <c r="CK53" i="9"/>
  <c r="CK56" i="9"/>
  <c r="CK121" i="9"/>
  <c r="CK81" i="9"/>
  <c r="CK44" i="9"/>
  <c r="CK122" i="9"/>
  <c r="BL173" i="10"/>
  <c r="CK55" i="9"/>
  <c r="CP81" i="9"/>
  <c r="CK72" i="9"/>
  <c r="BL176" i="10" s="1"/>
  <c r="CK52" i="9"/>
  <c r="BL172" i="10"/>
  <c r="CM50" i="9"/>
  <c r="CG52" i="9"/>
  <c r="CG122" i="9"/>
  <c r="BH173" i="10"/>
  <c r="CG55" i="9"/>
  <c r="CG82" i="9" s="1"/>
  <c r="CG72" i="9"/>
  <c r="BH176" i="10" s="1"/>
  <c r="CG81" i="9"/>
  <c r="CG44" i="9"/>
  <c r="CG121" i="9"/>
  <c r="BH172" i="10"/>
  <c r="CH56" i="9"/>
  <c r="CH53" i="9"/>
  <c r="CI52" i="9"/>
  <c r="CI122" i="9"/>
  <c r="BJ173" i="10"/>
  <c r="CI55" i="9"/>
  <c r="CI82" i="9" s="1"/>
  <c r="CI72" i="9"/>
  <c r="BJ176" i="10" s="1"/>
  <c r="CI81" i="9"/>
  <c r="CI44" i="9"/>
  <c r="CI121" i="9"/>
  <c r="BJ172" i="10"/>
  <c r="BK59" i="10"/>
  <c r="BK62" i="10" s="1"/>
  <c r="BK65" i="10"/>
  <c r="BK216" i="10" s="1"/>
  <c r="BK66" i="10"/>
  <c r="BK68" i="10"/>
  <c r="BK70" i="10"/>
  <c r="BK74" i="10"/>
  <c r="BK76" i="10"/>
  <c r="BK78" i="10"/>
  <c r="BK136" i="10"/>
  <c r="BK69" i="10"/>
  <c r="BK75" i="10"/>
  <c r="BK79" i="10"/>
  <c r="BK67" i="10"/>
  <c r="BK73" i="10"/>
  <c r="BK77" i="10"/>
  <c r="BK144" i="10"/>
  <c r="CJ38" i="9"/>
  <c r="CJ68" i="9"/>
  <c r="BK175" i="10" s="1"/>
  <c r="CJ79" i="9"/>
  <c r="CJ39" i="9"/>
  <c r="CO114" i="9"/>
  <c r="CO115" i="9"/>
  <c r="CJ115" i="9"/>
  <c r="CJ114" i="9"/>
  <c r="BP70" i="10" l="1"/>
  <c r="BP69" i="10"/>
  <c r="CU282" i="31"/>
  <c r="CU715" i="31"/>
  <c r="BP68" i="10"/>
  <c r="BP79" i="10"/>
  <c r="BP78" i="10"/>
  <c r="BP136" i="10"/>
  <c r="BP59" i="10"/>
  <c r="BP62" i="10" s="1"/>
  <c r="BP75" i="10"/>
  <c r="BP74" i="10"/>
  <c r="BP65" i="10"/>
  <c r="BP216" i="10" s="1"/>
  <c r="BP76" i="10"/>
  <c r="BP66" i="10"/>
  <c r="BP144" i="10"/>
  <c r="BP77" i="10"/>
  <c r="BP73" i="10"/>
  <c r="CP484" i="31"/>
  <c r="CP715" i="31"/>
  <c r="CP282" i="31"/>
  <c r="CO38" i="9"/>
  <c r="CO79" i="9"/>
  <c r="CO39" i="9"/>
  <c r="CT79" i="9"/>
  <c r="CJ116" i="9"/>
  <c r="CJ71" i="9"/>
  <c r="CJ43" i="9"/>
  <c r="CJ49" i="9"/>
  <c r="CJ70" i="9"/>
  <c r="CJ80" i="9"/>
  <c r="CJ125" i="9"/>
  <c r="CJ127" i="9" s="1"/>
  <c r="CP82" i="9"/>
  <c r="CP83" i="9" s="1"/>
  <c r="CK82" i="9"/>
  <c r="CK83" i="9" s="1"/>
  <c r="CL82" i="9"/>
  <c r="CL83" i="9" s="1"/>
  <c r="CQ82" i="9"/>
  <c r="CQ83" i="9" s="1"/>
  <c r="CS82" i="9"/>
  <c r="CS83" i="9" s="1"/>
  <c r="CN82" i="9"/>
  <c r="CN83" i="9" s="1"/>
  <c r="CR82" i="9"/>
  <c r="CR83" i="9" s="1"/>
  <c r="CM82" i="9"/>
  <c r="CM83" i="9" s="1"/>
  <c r="CG83" i="9"/>
  <c r="CO116" i="9"/>
  <c r="CI83" i="9"/>
  <c r="CH83" i="9"/>
  <c r="CF83" i="9"/>
  <c r="CZ720" i="31" l="1"/>
  <c r="CU720" i="31"/>
  <c r="CP720" i="31"/>
  <c r="CO80" i="9"/>
  <c r="CO49" i="9"/>
  <c r="CO53" i="9" s="1"/>
  <c r="CO125" i="9"/>
  <c r="CO127" i="9" s="1"/>
  <c r="CO71" i="9"/>
  <c r="CT80" i="9"/>
  <c r="CO70" i="9"/>
  <c r="CO43" i="9"/>
  <c r="CJ56" i="9"/>
  <c r="CJ53" i="9"/>
  <c r="CJ55" i="9"/>
  <c r="CJ121" i="9"/>
  <c r="CJ52" i="9"/>
  <c r="BK173" i="10"/>
  <c r="CJ72" i="9"/>
  <c r="BK176" i="10" s="1"/>
  <c r="CJ122" i="9"/>
  <c r="CJ81" i="9"/>
  <c r="CJ44" i="9"/>
  <c r="BK172" i="10"/>
  <c r="CJ50" i="9"/>
  <c r="CO56" i="9" l="1"/>
  <c r="CO44" i="9"/>
  <c r="CO121" i="9"/>
  <c r="CO122" i="9"/>
  <c r="BP173" i="10"/>
  <c r="CO50" i="9"/>
  <c r="BP172" i="10"/>
  <c r="CO72" i="9"/>
  <c r="BP176" i="10" s="1"/>
  <c r="CO81" i="9"/>
  <c r="CO52" i="9"/>
  <c r="CT81" i="9"/>
  <c r="CO55" i="9"/>
  <c r="CJ82" i="9"/>
  <c r="CJ83" i="9" s="1"/>
  <c r="CT82" i="9" l="1"/>
  <c r="CT83" i="9" s="1"/>
  <c r="CO82" i="9"/>
  <c r="CO83" i="9" s="1"/>
  <c r="BM181" i="31" l="1"/>
  <c r="BM186" i="31" s="1"/>
  <c r="BM187" i="31" s="1"/>
  <c r="BN181" i="31"/>
  <c r="BO181" i="31"/>
  <c r="BT186" i="31" s="1"/>
  <c r="BT187" i="31" s="1"/>
  <c r="BP181" i="31"/>
  <c r="BS72" i="31"/>
  <c r="BS78" i="31" s="1"/>
  <c r="BT72" i="31"/>
  <c r="BT78" i="31" s="1"/>
  <c r="BS182" i="31"/>
  <c r="BS188" i="31" s="1"/>
  <c r="BT182" i="31"/>
  <c r="BT188" i="31" s="1"/>
  <c r="BM180" i="31"/>
  <c r="BM185" i="31" s="1"/>
  <c r="BN180" i="31"/>
  <c r="BO180" i="31"/>
  <c r="BO185" i="31" s="1"/>
  <c r="BP180" i="31"/>
  <c r="BP185" i="31" s="1"/>
  <c r="BS76" i="31"/>
  <c r="BS77" i="31" s="1"/>
  <c r="BT76" i="31"/>
  <c r="BT77" i="31" s="1"/>
  <c r="BR188" i="31"/>
  <c r="BR186" i="31" l="1"/>
  <c r="BR187" i="31" s="1"/>
  <c r="BO186" i="31"/>
  <c r="BO187" i="31" s="1"/>
  <c r="BR185" i="31"/>
  <c r="BT185" i="31"/>
  <c r="BQ180" i="31"/>
  <c r="BS185" i="31"/>
  <c r="BN185" i="31"/>
  <c r="BQ181" i="31"/>
  <c r="BV186" i="31" s="1"/>
  <c r="BV187" i="31" s="1"/>
  <c r="BN186" i="31"/>
  <c r="BN187" i="31" s="1"/>
  <c r="BP186" i="31"/>
  <c r="BP187" i="31" s="1"/>
  <c r="BS186" i="31"/>
  <c r="BS187" i="31" s="1"/>
  <c r="BQ185" i="31" l="1"/>
  <c r="BQ186" i="31"/>
  <c r="BQ187" i="31" s="1"/>
  <c r="BQ182" i="31"/>
  <c r="BQ188" i="31" l="1"/>
  <c r="BU186" i="31"/>
  <c r="BU187" i="31" s="1"/>
  <c r="BV71" i="31" l="1"/>
  <c r="CA76" i="31" s="1"/>
  <c r="BU76" i="31"/>
  <c r="BU77" i="31" s="1"/>
  <c r="BV76" i="31" l="1"/>
  <c r="BV77" i="31" s="1"/>
  <c r="DN1448" i="31" l="1"/>
  <c r="DN1470" i="31"/>
  <c r="DS1448" i="31" l="1"/>
  <c r="DS1470" i="31"/>
  <c r="BN758" i="31" l="1"/>
  <c r="BN760" i="31" s="1"/>
  <c r="BN766" i="31" s="1"/>
  <c r="BS764" i="31"/>
  <c r="BS765" i="31" s="1"/>
  <c r="DK24" i="9"/>
  <c r="CN48" i="11"/>
  <c r="CN28" i="11"/>
  <c r="CL85" i="10"/>
  <c r="CL86" i="10" s="1"/>
  <c r="BO758" i="31"/>
  <c r="BO763" i="31" s="1"/>
  <c r="BT886" i="31"/>
  <c r="BT24" i="31" s="1"/>
  <c r="CL52" i="10"/>
  <c r="CL36" i="10"/>
  <c r="CL20" i="10"/>
  <c r="DK131" i="9"/>
  <c r="DK133" i="9"/>
  <c r="CL96" i="10"/>
  <c r="CL98" i="10" s="1"/>
  <c r="CL220" i="10"/>
  <c r="BQ758" i="31"/>
  <c r="BQ759" i="31"/>
  <c r="BQ764" i="31" s="1"/>
  <c r="BG886" i="31"/>
  <c r="BF885" i="31"/>
  <c r="BG885" i="31"/>
  <c r="BG23" i="31" s="1"/>
  <c r="CZ23" i="9"/>
  <c r="BI886" i="31"/>
  <c r="BJ886" i="31"/>
  <c r="BK886" i="31"/>
  <c r="BH885" i="31"/>
  <c r="BH23" i="31" s="1"/>
  <c r="BI885" i="31"/>
  <c r="BJ885" i="31"/>
  <c r="BJ23" i="31" s="1"/>
  <c r="BK885" i="31"/>
  <c r="BK23" i="31" s="1"/>
  <c r="BR885" i="31"/>
  <c r="BR886" i="31"/>
  <c r="BR694" i="31"/>
  <c r="BR700" i="31" s="1"/>
  <c r="BT694" i="31"/>
  <c r="BT700" i="31" s="1"/>
  <c r="BM758" i="31"/>
  <c r="BM760" i="31" s="1"/>
  <c r="BP760" i="31"/>
  <c r="BP766" i="31" s="1"/>
  <c r="DK78" i="9"/>
  <c r="DK77" i="9"/>
  <c r="BL886" i="31"/>
  <c r="BL885" i="31"/>
  <c r="BC885" i="31"/>
  <c r="BC886" i="31"/>
  <c r="BC24" i="31" s="1"/>
  <c r="BD885" i="31"/>
  <c r="BD886" i="31"/>
  <c r="BE885" i="31"/>
  <c r="BE23" i="31" s="1"/>
  <c r="BE886" i="31"/>
  <c r="BE24" i="31" s="1"/>
  <c r="CX23" i="9"/>
  <c r="CL97" i="10"/>
  <c r="DK76" i="9"/>
  <c r="BR764" i="31"/>
  <c r="BR765" i="31" s="1"/>
  <c r="BM764" i="31"/>
  <c r="BN764" i="31"/>
  <c r="BO764" i="31"/>
  <c r="BP764" i="31"/>
  <c r="BR698" i="31"/>
  <c r="BR699" i="31" s="1"/>
  <c r="BT698" i="31"/>
  <c r="BT699" i="31" s="1"/>
  <c r="BU191" i="10"/>
  <c r="BT191" i="10"/>
  <c r="BS191" i="10"/>
  <c r="BR191" i="10"/>
  <c r="BQ191" i="10"/>
  <c r="BP191" i="10"/>
  <c r="BO191" i="10"/>
  <c r="BN191" i="10"/>
  <c r="BM191" i="10"/>
  <c r="BL191" i="10"/>
  <c r="BF35" i="31"/>
  <c r="CX93" i="9" s="1"/>
  <c r="CS116" i="9"/>
  <c r="CT114" i="9"/>
  <c r="CT116" i="9" s="1"/>
  <c r="BH35" i="31"/>
  <c r="BF29" i="31"/>
  <c r="BF30" i="31" s="1"/>
  <c r="BM891" i="31"/>
  <c r="BI88" i="31"/>
  <c r="BH88" i="31"/>
  <c r="BI121" i="31"/>
  <c r="BH121" i="31"/>
  <c r="BI143" i="31"/>
  <c r="BH143" i="31"/>
  <c r="BI302" i="31"/>
  <c r="BH302" i="31"/>
  <c r="BI372" i="31"/>
  <c r="BI394" i="31"/>
  <c r="BH394" i="31"/>
  <c r="BI416" i="31"/>
  <c r="BH416" i="31"/>
  <c r="BI449" i="31"/>
  <c r="BH449" i="31"/>
  <c r="BI472" i="31"/>
  <c r="BI732" i="31"/>
  <c r="BH732" i="31"/>
  <c r="BI765" i="31"/>
  <c r="BH765" i="31"/>
  <c r="BI1428" i="31"/>
  <c r="BH1428" i="31"/>
  <c r="BI1439" i="31"/>
  <c r="BH1439" i="31"/>
  <c r="BI1450" i="31"/>
  <c r="BH1450" i="31"/>
  <c r="BF891" i="31"/>
  <c r="BF892" i="31" s="1"/>
  <c r="BT697" i="31"/>
  <c r="BL763" i="31"/>
  <c r="BR697" i="31"/>
  <c r="BP763" i="31"/>
  <c r="BC34" i="31" l="1"/>
  <c r="BC39" i="31" s="1"/>
  <c r="BC23" i="31"/>
  <c r="BN891" i="31"/>
  <c r="BI24" i="31"/>
  <c r="BL34" i="31"/>
  <c r="DD92" i="9" s="1"/>
  <c r="BL23" i="31"/>
  <c r="BQ28" i="31" s="1"/>
  <c r="BL35" i="31"/>
  <c r="BQ40" i="31" s="1"/>
  <c r="BL24" i="31"/>
  <c r="BI23" i="31"/>
  <c r="DA22" i="9" s="1"/>
  <c r="BD35" i="31"/>
  <c r="CV93" i="9" s="1"/>
  <c r="BD24" i="31"/>
  <c r="BF887" i="31"/>
  <c r="BF25" i="31" s="1"/>
  <c r="BF23" i="31"/>
  <c r="BD23" i="31"/>
  <c r="BD28" i="31" s="1"/>
  <c r="BR891" i="31"/>
  <c r="BR892" i="31" s="1"/>
  <c r="BR24" i="31"/>
  <c r="BK24" i="31"/>
  <c r="BP29" i="31" s="1"/>
  <c r="BG24" i="31"/>
  <c r="BG29" i="31" s="1"/>
  <c r="BG30" i="31" s="1"/>
  <c r="BR34" i="31"/>
  <c r="BR39" i="31" s="1"/>
  <c r="BR23" i="31"/>
  <c r="BR28" i="31" s="1"/>
  <c r="BJ35" i="31"/>
  <c r="DB93" i="9" s="1"/>
  <c r="BJ24" i="31"/>
  <c r="CL27" i="10"/>
  <c r="CL91" i="10"/>
  <c r="CL179" i="10"/>
  <c r="DK75" i="9"/>
  <c r="BO760" i="31"/>
  <c r="BO766" i="31" s="1"/>
  <c r="CL41" i="10"/>
  <c r="BH891" i="31"/>
  <c r="BH892" i="31" s="1"/>
  <c r="BK891" i="31"/>
  <c r="BP891" i="31"/>
  <c r="CL83" i="10"/>
  <c r="CL84" i="10" s="1"/>
  <c r="CL144" i="10" s="1"/>
  <c r="CB759" i="31"/>
  <c r="CG764" i="31" s="1"/>
  <c r="BR763" i="31"/>
  <c r="BN763" i="31"/>
  <c r="BM763" i="31"/>
  <c r="BE891" i="31"/>
  <c r="BE892" i="31" s="1"/>
  <c r="BC891" i="31"/>
  <c r="BC892" i="31" s="1"/>
  <c r="BK35" i="31"/>
  <c r="BP40" i="31" s="1"/>
  <c r="BC35" i="31"/>
  <c r="CU93" i="9" s="1"/>
  <c r="BE35" i="31"/>
  <c r="BE40" i="31" s="1"/>
  <c r="BE41" i="31" s="1"/>
  <c r="BN890" i="31"/>
  <c r="BL891" i="31"/>
  <c r="CM184" i="10"/>
  <c r="CL180" i="10"/>
  <c r="CL92" i="10"/>
  <c r="CL192" i="10"/>
  <c r="BF890" i="31"/>
  <c r="BQ891" i="31"/>
  <c r="BR890" i="31"/>
  <c r="BG891" i="31"/>
  <c r="BG892" i="31" s="1"/>
  <c r="BI34" i="31"/>
  <c r="DA92" i="9" s="1"/>
  <c r="BI887" i="31"/>
  <c r="BG35" i="31"/>
  <c r="CY93" i="9" s="1"/>
  <c r="CL169" i="10"/>
  <c r="CL168" i="10"/>
  <c r="CL167" i="10"/>
  <c r="BD890" i="31"/>
  <c r="BP890" i="31"/>
  <c r="BF34" i="31"/>
  <c r="CX92" i="9" s="1"/>
  <c r="CX94" i="9" s="1"/>
  <c r="DK134" i="9"/>
  <c r="DK135" i="9" s="1"/>
  <c r="DK29" i="9"/>
  <c r="BK890" i="31"/>
  <c r="BI890" i="31"/>
  <c r="BH890" i="31"/>
  <c r="BQ890" i="31"/>
  <c r="BM29" i="31"/>
  <c r="BK34" i="31"/>
  <c r="BD34" i="31"/>
  <c r="CV92" i="9" s="1"/>
  <c r="BD887" i="31"/>
  <c r="BL887" i="31"/>
  <c r="BK887" i="31"/>
  <c r="BK25" i="31" s="1"/>
  <c r="BM766" i="31"/>
  <c r="BF40" i="31"/>
  <c r="BF41" i="31" s="1"/>
  <c r="CW23" i="9"/>
  <c r="BE29" i="31"/>
  <c r="BE30" i="31" s="1"/>
  <c r="DC22" i="9"/>
  <c r="BP28" i="31"/>
  <c r="BE887" i="31"/>
  <c r="BE25" i="31" s="1"/>
  <c r="BE890" i="31"/>
  <c r="CU23" i="9"/>
  <c r="BC29" i="31"/>
  <c r="BC30" i="31" s="1"/>
  <c r="BH29" i="31"/>
  <c r="BH30" i="31" s="1"/>
  <c r="BR887" i="31"/>
  <c r="BR25" i="31" s="1"/>
  <c r="BJ34" i="31"/>
  <c r="BO890" i="31"/>
  <c r="BH887" i="31"/>
  <c r="BH25" i="31" s="1"/>
  <c r="BH34" i="31"/>
  <c r="BM890" i="31"/>
  <c r="BJ887" i="31"/>
  <c r="BJ25" i="31" s="1"/>
  <c r="BO891" i="31"/>
  <c r="BJ891" i="31"/>
  <c r="BG887" i="31"/>
  <c r="BG25" i="31" s="1"/>
  <c r="BG890" i="31"/>
  <c r="BT35" i="31"/>
  <c r="CZ93" i="9"/>
  <c r="BM40" i="31"/>
  <c r="BD891" i="31"/>
  <c r="BD892" i="31" s="1"/>
  <c r="BI891" i="31"/>
  <c r="BI892" i="31" s="1"/>
  <c r="BC887" i="31"/>
  <c r="BC25" i="31" s="1"/>
  <c r="BC890" i="31"/>
  <c r="BI35" i="31"/>
  <c r="BQ763" i="31"/>
  <c r="BJ890" i="31"/>
  <c r="BL890" i="31"/>
  <c r="BE34" i="31"/>
  <c r="BT891" i="31"/>
  <c r="BT892" i="31" s="1"/>
  <c r="BG34" i="31"/>
  <c r="BR35" i="31"/>
  <c r="DK65" i="9"/>
  <c r="CL174" i="10" s="1"/>
  <c r="DK66" i="9"/>
  <c r="DK67" i="9"/>
  <c r="BR760" i="31"/>
  <c r="BS763" i="31"/>
  <c r="CL60" i="10"/>
  <c r="CL61" i="10"/>
  <c r="DD93" i="9" l="1"/>
  <c r="CU92" i="9"/>
  <c r="CU94" i="9" s="1"/>
  <c r="DJ92" i="9"/>
  <c r="BD40" i="31"/>
  <c r="BD41" i="31" s="1"/>
  <c r="BQ39" i="31"/>
  <c r="BI28" i="31"/>
  <c r="BN28" i="31"/>
  <c r="CV22" i="9"/>
  <c r="CY23" i="9"/>
  <c r="BL36" i="31"/>
  <c r="BK29" i="31"/>
  <c r="DC23" i="9"/>
  <c r="DC24" i="9" s="1"/>
  <c r="BO40" i="31"/>
  <c r="BJ36" i="31"/>
  <c r="BD893" i="31"/>
  <c r="BD25" i="31"/>
  <c r="CV103" i="9" s="1"/>
  <c r="BI25" i="31"/>
  <c r="DA112" i="9" s="1"/>
  <c r="BQ893" i="31"/>
  <c r="BL25" i="31"/>
  <c r="CL54" i="10"/>
  <c r="CD758" i="31"/>
  <c r="CI763" i="31" s="1"/>
  <c r="CL93" i="10"/>
  <c r="CL73" i="10"/>
  <c r="CL68" i="10"/>
  <c r="CL77" i="10"/>
  <c r="CL70" i="10"/>
  <c r="CL66" i="10"/>
  <c r="CL75" i="10"/>
  <c r="CL79" i="10"/>
  <c r="BC36" i="31"/>
  <c r="BC40" i="31"/>
  <c r="BC41" i="31" s="1"/>
  <c r="BQ760" i="31"/>
  <c r="BG40" i="31"/>
  <c r="BG41" i="31" s="1"/>
  <c r="CL59" i="10"/>
  <c r="CL62" i="10" s="1"/>
  <c r="CL69" i="10"/>
  <c r="CL67" i="10"/>
  <c r="CL78" i="10"/>
  <c r="CL76" i="10"/>
  <c r="CL74" i="10"/>
  <c r="CL136" i="10"/>
  <c r="CL65" i="10"/>
  <c r="CL216" i="10" s="1"/>
  <c r="CL218" i="10"/>
  <c r="CL217" i="10"/>
  <c r="BJ40" i="31"/>
  <c r="CB758" i="31"/>
  <c r="CG763" i="31" s="1"/>
  <c r="DC93" i="9"/>
  <c r="BN39" i="31"/>
  <c r="BK40" i="31"/>
  <c r="BK36" i="31"/>
  <c r="CW93" i="9"/>
  <c r="BH40" i="31"/>
  <c r="BH41" i="31" s="1"/>
  <c r="DC92" i="9"/>
  <c r="BL40" i="31"/>
  <c r="BN893" i="31"/>
  <c r="BI893" i="31"/>
  <c r="BP39" i="31"/>
  <c r="BR29" i="31"/>
  <c r="BR30" i="31" s="1"/>
  <c r="BT759" i="31"/>
  <c r="BT764" i="31" s="1"/>
  <c r="BT765" i="31" s="1"/>
  <c r="BX759" i="31"/>
  <c r="BK39" i="31"/>
  <c r="BF39" i="31"/>
  <c r="BF36" i="31"/>
  <c r="DK38" i="9"/>
  <c r="DK39" i="9"/>
  <c r="DK68" i="9"/>
  <c r="CL175" i="10" s="1"/>
  <c r="DK79" i="9"/>
  <c r="BD36" i="31"/>
  <c r="BP893" i="31"/>
  <c r="CV94" i="9"/>
  <c r="BI39" i="31"/>
  <c r="BD39" i="31"/>
  <c r="DD94" i="9"/>
  <c r="BG36" i="31"/>
  <c r="CY92" i="9"/>
  <c r="CY94" i="9" s="1"/>
  <c r="BL39" i="31"/>
  <c r="BG39" i="31"/>
  <c r="CW92" i="9"/>
  <c r="BE36" i="31"/>
  <c r="BJ39" i="31"/>
  <c r="BE39" i="31"/>
  <c r="DA23" i="9"/>
  <c r="BN29" i="31"/>
  <c r="BH893" i="31"/>
  <c r="BC893" i="31"/>
  <c r="BD29" i="31"/>
  <c r="BD30" i="31" s="1"/>
  <c r="BI29" i="31"/>
  <c r="BI30" i="31" s="1"/>
  <c r="CV23" i="9"/>
  <c r="BL893" i="31"/>
  <c r="BG893" i="31"/>
  <c r="BO893" i="31"/>
  <c r="DB102" i="9"/>
  <c r="BM893" i="31"/>
  <c r="BO28" i="31"/>
  <c r="DB22" i="9"/>
  <c r="BJ28" i="31"/>
  <c r="CW22" i="9"/>
  <c r="CW24" i="9" s="1"/>
  <c r="BE28" i="31"/>
  <c r="DJ93" i="9"/>
  <c r="DJ94" i="9" s="1"/>
  <c r="BR36" i="31"/>
  <c r="BR40" i="31"/>
  <c r="BR41" i="31" s="1"/>
  <c r="BI36" i="31"/>
  <c r="BN40" i="31"/>
  <c r="DA93" i="9"/>
  <c r="DA94" i="9" s="1"/>
  <c r="BH28" i="31"/>
  <c r="BC28" i="31"/>
  <c r="CU22" i="9"/>
  <c r="CU24" i="9" s="1"/>
  <c r="BT40" i="31"/>
  <c r="BT41" i="31" s="1"/>
  <c r="DL93" i="9"/>
  <c r="BL28" i="31"/>
  <c r="CY22" i="9"/>
  <c r="BG28" i="31"/>
  <c r="BO29" i="31"/>
  <c r="DB23" i="9"/>
  <c r="BJ29" i="31"/>
  <c r="BM39" i="31"/>
  <c r="CZ92" i="9"/>
  <c r="CZ94" i="9" s="1"/>
  <c r="BH36" i="31"/>
  <c r="BM28" i="31"/>
  <c r="CZ22" i="9"/>
  <c r="DB92" i="9"/>
  <c r="DB94" i="9" s="1"/>
  <c r="BO39" i="31"/>
  <c r="BR893" i="31"/>
  <c r="BJ893" i="31"/>
  <c r="BE893" i="31"/>
  <c r="BI40" i="31"/>
  <c r="BI41" i="31" s="1"/>
  <c r="BH39" i="31"/>
  <c r="BW759" i="31"/>
  <c r="CB764" i="31" s="1"/>
  <c r="CX22" i="9"/>
  <c r="CX24" i="9" s="1"/>
  <c r="BK28" i="31"/>
  <c r="BF28" i="31"/>
  <c r="BF893" i="31"/>
  <c r="BK893" i="31"/>
  <c r="BR766" i="31"/>
  <c r="CY24" i="9" l="1"/>
  <c r="BQ42" i="31"/>
  <c r="BO42" i="31"/>
  <c r="DA111" i="9"/>
  <c r="DA106" i="9"/>
  <c r="BN31" i="31"/>
  <c r="CV24" i="9"/>
  <c r="DA107" i="9"/>
  <c r="DA102" i="9"/>
  <c r="BN21" i="31"/>
  <c r="BN1063" i="31" s="1"/>
  <c r="BN1058" i="31" s="1"/>
  <c r="DA108" i="9"/>
  <c r="DA110" i="9"/>
  <c r="DA103" i="9"/>
  <c r="CL56" i="10"/>
  <c r="CL181" i="10"/>
  <c r="CD763" i="31"/>
  <c r="BC42" i="31"/>
  <c r="CU104" i="9"/>
  <c r="CP758" i="31"/>
  <c r="CD83" i="10"/>
  <c r="CH84" i="10" s="1"/>
  <c r="CH144" i="10" s="1"/>
  <c r="DC94" i="9"/>
  <c r="CV106" i="9"/>
  <c r="BQ766" i="31"/>
  <c r="DC104" i="9"/>
  <c r="CC764" i="31"/>
  <c r="CC760" i="31"/>
  <c r="CC763" i="31"/>
  <c r="CV108" i="9"/>
  <c r="CV107" i="9"/>
  <c r="CV104" i="9"/>
  <c r="CW94" i="9"/>
  <c r="BF42" i="31"/>
  <c r="BW758" i="31"/>
  <c r="BI31" i="31"/>
  <c r="CV112" i="9"/>
  <c r="BP42" i="31"/>
  <c r="BK42" i="31"/>
  <c r="DC65" i="9"/>
  <c r="CD174" i="10" s="1"/>
  <c r="DC67" i="9"/>
  <c r="CV111" i="9"/>
  <c r="CV102" i="9"/>
  <c r="BD31" i="31"/>
  <c r="CV110" i="9"/>
  <c r="BD42" i="31"/>
  <c r="DH75" i="9"/>
  <c r="DC66" i="9"/>
  <c r="DC29" i="9"/>
  <c r="DC39" i="9" s="1"/>
  <c r="BW764" i="31"/>
  <c r="BX764" i="31"/>
  <c r="BI42" i="31"/>
  <c r="BH42" i="31"/>
  <c r="BX760" i="31"/>
  <c r="DB104" i="9"/>
  <c r="BW21" i="31"/>
  <c r="BU758" i="31"/>
  <c r="BZ763" i="31" s="1"/>
  <c r="BT758" i="31"/>
  <c r="BT763" i="31" s="1"/>
  <c r="CY104" i="9"/>
  <c r="DK71" i="9"/>
  <c r="DK80" i="9"/>
  <c r="DK49" i="9"/>
  <c r="DK122" i="9"/>
  <c r="DK125" i="9"/>
  <c r="DK127" i="9" s="1"/>
  <c r="DK70" i="9"/>
  <c r="DK43" i="9"/>
  <c r="CY103" i="9"/>
  <c r="DC112" i="9"/>
  <c r="DC110" i="9"/>
  <c r="DC111" i="9"/>
  <c r="DC108" i="9"/>
  <c r="BP31" i="31"/>
  <c r="DC107" i="9"/>
  <c r="DC106" i="9"/>
  <c r="DC102" i="9"/>
  <c r="DC103" i="9"/>
  <c r="BP21" i="31"/>
  <c r="CY108" i="9"/>
  <c r="CY106" i="9"/>
  <c r="CY111" i="9"/>
  <c r="DB24" i="9"/>
  <c r="BJ21" i="31"/>
  <c r="CW111" i="9"/>
  <c r="CW106" i="9"/>
  <c r="CW112" i="9"/>
  <c r="BE31" i="31"/>
  <c r="CW107" i="9"/>
  <c r="CW103" i="9"/>
  <c r="BJ31" i="31"/>
  <c r="CW110" i="9"/>
  <c r="CW108" i="9"/>
  <c r="DJ111" i="9"/>
  <c r="DJ110" i="9"/>
  <c r="DJ102" i="9"/>
  <c r="DJ108" i="9"/>
  <c r="BR31" i="31"/>
  <c r="DJ107" i="9"/>
  <c r="DJ106" i="9"/>
  <c r="DJ112" i="9"/>
  <c r="CW29" i="9"/>
  <c r="CW65" i="9"/>
  <c r="BX174" i="10" s="1"/>
  <c r="CW66" i="9"/>
  <c r="CW75" i="9"/>
  <c r="BX83" i="10"/>
  <c r="CW67" i="9"/>
  <c r="BM21" i="31"/>
  <c r="CZ107" i="9"/>
  <c r="CZ110" i="9"/>
  <c r="BM31" i="31"/>
  <c r="CZ112" i="9"/>
  <c r="CZ106" i="9"/>
  <c r="CZ108" i="9"/>
  <c r="CZ111" i="9"/>
  <c r="CZ103" i="9"/>
  <c r="BO21" i="31"/>
  <c r="DB107" i="9"/>
  <c r="DB110" i="9"/>
  <c r="BO31" i="31"/>
  <c r="DB112" i="9"/>
  <c r="DB111" i="9"/>
  <c r="DB106" i="9"/>
  <c r="DB108" i="9"/>
  <c r="DB103" i="9"/>
  <c r="CU111" i="9"/>
  <c r="CU106" i="9"/>
  <c r="CU112" i="9"/>
  <c r="BC31" i="31"/>
  <c r="CU110" i="9"/>
  <c r="BH31" i="31"/>
  <c r="CU107" i="9"/>
  <c r="CU103" i="9"/>
  <c r="CU108" i="9"/>
  <c r="CU102" i="9"/>
  <c r="BQ29" i="31"/>
  <c r="BL29" i="31"/>
  <c r="DD22" i="9"/>
  <c r="CZ24" i="9"/>
  <c r="BM42" i="31"/>
  <c r="CZ104" i="9"/>
  <c r="CU29" i="9"/>
  <c r="CU65" i="9"/>
  <c r="BV174" i="10" s="1"/>
  <c r="CU66" i="9"/>
  <c r="CU75" i="9"/>
  <c r="CU67" i="9"/>
  <c r="BV83" i="10"/>
  <c r="BV84" i="10" s="1"/>
  <c r="DA104" i="9"/>
  <c r="BN42" i="31"/>
  <c r="BR42" i="31"/>
  <c r="DJ104" i="9"/>
  <c r="DA24" i="9"/>
  <c r="DD23" i="9"/>
  <c r="CW104" i="9"/>
  <c r="BE42" i="31"/>
  <c r="BJ42" i="31"/>
  <c r="BL42" i="31"/>
  <c r="BG42" i="31"/>
  <c r="CY112" i="9"/>
  <c r="BG31" i="31"/>
  <c r="CY102" i="9"/>
  <c r="CY110" i="9"/>
  <c r="CY107" i="9"/>
  <c r="CZ102" i="9"/>
  <c r="DJ103" i="9"/>
  <c r="CW102" i="9"/>
  <c r="BW698" i="31"/>
  <c r="BK21" i="31"/>
  <c r="CX111" i="9"/>
  <c r="CX107" i="9"/>
  <c r="CX103" i="9"/>
  <c r="CX110" i="9"/>
  <c r="CX106" i="9"/>
  <c r="CX102" i="9"/>
  <c r="CX104" i="9"/>
  <c r="CX112" i="9"/>
  <c r="BK31" i="31"/>
  <c r="BF31" i="31"/>
  <c r="CX108" i="9"/>
  <c r="CX29" i="9"/>
  <c r="BY83" i="10"/>
  <c r="CX65" i="9"/>
  <c r="BY174" i="10" s="1"/>
  <c r="CX75" i="9"/>
  <c r="CX66" i="9"/>
  <c r="CX67" i="9"/>
  <c r="DC75" i="9"/>
  <c r="BW697" i="31"/>
  <c r="CY65" i="9" l="1"/>
  <c r="CY75" i="9"/>
  <c r="BZ83" i="10"/>
  <c r="BZ84" i="10" s="1"/>
  <c r="BZ74" i="10" s="1"/>
  <c r="CY67" i="9"/>
  <c r="CY66" i="9"/>
  <c r="CY29" i="9"/>
  <c r="CY79" i="9" s="1"/>
  <c r="BN438" i="31"/>
  <c r="CV67" i="9"/>
  <c r="CV29" i="9"/>
  <c r="CV38" i="9" s="1"/>
  <c r="CV75" i="9"/>
  <c r="CV66" i="9"/>
  <c r="CV65" i="9"/>
  <c r="BW174" i="10" s="1"/>
  <c r="BW83" i="10"/>
  <c r="BW84" i="10" s="1"/>
  <c r="BN88" i="31"/>
  <c r="BN394" i="31"/>
  <c r="BN472" i="31"/>
  <c r="DA115" i="9"/>
  <c r="BN63" i="31"/>
  <c r="BN892" i="31"/>
  <c r="DA114" i="9"/>
  <c r="BN198" i="31"/>
  <c r="BN143" i="31"/>
  <c r="BN416" i="31"/>
  <c r="BN52" i="31"/>
  <c r="BN732" i="31"/>
  <c r="BN324" i="31"/>
  <c r="BN237" i="31"/>
  <c r="BN1494" i="31"/>
  <c r="BN765" i="31"/>
  <c r="BN372" i="31"/>
  <c r="BN20" i="31"/>
  <c r="BN30" i="31"/>
  <c r="BN449" i="31"/>
  <c r="BN41" i="31"/>
  <c r="BN121" i="31"/>
  <c r="BN302" i="31"/>
  <c r="BN1461" i="31"/>
  <c r="BN1191" i="31"/>
  <c r="BN1086" i="31"/>
  <c r="BN1294" i="31"/>
  <c r="BN1018" i="31"/>
  <c r="BN1013" i="31" s="1"/>
  <c r="BN1014" i="31" s="1"/>
  <c r="BN1355" i="31"/>
  <c r="BN1007" i="31"/>
  <c r="BN1002" i="31" s="1"/>
  <c r="BN1003" i="31" s="1"/>
  <c r="BN1283" i="31"/>
  <c r="BN1052" i="31"/>
  <c r="BN1047" i="31" s="1"/>
  <c r="BN1048" i="31" s="1"/>
  <c r="BN1147" i="31"/>
  <c r="BM1147" i="31"/>
  <c r="BM1063" i="31"/>
  <c r="BM1058" i="31" s="1"/>
  <c r="BM1052" i="31"/>
  <c r="BM1047" i="31" s="1"/>
  <c r="BM1042" i="31"/>
  <c r="BM1007" i="31"/>
  <c r="BM1002" i="31" s="1"/>
  <c r="BM1018" i="31"/>
  <c r="BM1013" i="31" s="1"/>
  <c r="BM916" i="31"/>
  <c r="BM1294" i="31"/>
  <c r="BM905" i="31"/>
  <c r="BM1075" i="31"/>
  <c r="BM1283" i="31"/>
  <c r="BM1332" i="31"/>
  <c r="BM1213" i="31"/>
  <c r="BM1272" i="31"/>
  <c r="BM1169" i="31"/>
  <c r="BM1225" i="31"/>
  <c r="BM1261" i="31"/>
  <c r="BM1191" i="31"/>
  <c r="BM1086" i="31"/>
  <c r="BM1310" i="31"/>
  <c r="BM1201" i="31"/>
  <c r="BM1355" i="31"/>
  <c r="BJ1169" i="31"/>
  <c r="BJ1042" i="31"/>
  <c r="BJ905" i="31"/>
  <c r="BJ1272" i="31"/>
  <c r="BJ1283" i="31"/>
  <c r="BJ1261" i="31"/>
  <c r="BJ916" i="31"/>
  <c r="BJ1075" i="31"/>
  <c r="BJ1147" i="31"/>
  <c r="BJ1332" i="31"/>
  <c r="BJ1201" i="31"/>
  <c r="BJ1249" i="31"/>
  <c r="BJ1019" i="31"/>
  <c r="BJ1225" i="31"/>
  <c r="BJ1294" i="31"/>
  <c r="BJ1191" i="31"/>
  <c r="BJ1008" i="31"/>
  <c r="BJ1237" i="31"/>
  <c r="BJ1213" i="31"/>
  <c r="BJ1053" i="31"/>
  <c r="BJ1064" i="31"/>
  <c r="BJ1086" i="31"/>
  <c r="BJ1355" i="31"/>
  <c r="BJ1310" i="31"/>
  <c r="BW1309" i="31"/>
  <c r="BW1304" i="31" s="1"/>
  <c r="BW1293" i="31"/>
  <c r="BW1271" i="31"/>
  <c r="BW1266" i="31" s="1"/>
  <c r="BW1282" i="31"/>
  <c r="BW1277" i="31" s="1"/>
  <c r="BW1260" i="31"/>
  <c r="BW1255" i="31" s="1"/>
  <c r="BW1224" i="31"/>
  <c r="BW1219" i="31" s="1"/>
  <c r="BW1212" i="31"/>
  <c r="BW1207" i="31" s="1"/>
  <c r="BW1169" i="31"/>
  <c r="BW1041" i="31"/>
  <c r="BW1036" i="31" s="1"/>
  <c r="BW1063" i="31"/>
  <c r="BW1052" i="31"/>
  <c r="BW1074" i="31"/>
  <c r="BW1069" i="31" s="1"/>
  <c r="BW1018" i="31"/>
  <c r="BW1007" i="31"/>
  <c r="BW1191" i="31"/>
  <c r="BW1355" i="31"/>
  <c r="BO1283" i="31"/>
  <c r="BO1063" i="31"/>
  <c r="BO1058" i="31" s="1"/>
  <c r="BO1052" i="31"/>
  <c r="BO1047" i="31" s="1"/>
  <c r="BO1018" i="31"/>
  <c r="BO1013" i="31" s="1"/>
  <c r="BO1007" i="31"/>
  <c r="BO1002" i="31" s="1"/>
  <c r="BO1147" i="31"/>
  <c r="BO1086" i="31"/>
  <c r="BO1169" i="31"/>
  <c r="BO1201" i="31"/>
  <c r="BO1191" i="31"/>
  <c r="BO1294" i="31"/>
  <c r="BO1355" i="31"/>
  <c r="BK1169" i="31"/>
  <c r="BK1075" i="31"/>
  <c r="BK1063" i="31"/>
  <c r="BK1058" i="31" s="1"/>
  <c r="BK1052" i="31"/>
  <c r="BK1047" i="31" s="1"/>
  <c r="BK1042" i="31"/>
  <c r="BK1018" i="31"/>
  <c r="BK1013" i="31" s="1"/>
  <c r="BK1007" i="31"/>
  <c r="BK1002" i="31" s="1"/>
  <c r="BK905" i="31"/>
  <c r="BK1283" i="31"/>
  <c r="BK1225" i="31"/>
  <c r="BK1086" i="31"/>
  <c r="BK1147" i="31"/>
  <c r="BK916" i="31"/>
  <c r="BK1249" i="31"/>
  <c r="BK1261" i="31"/>
  <c r="BK1332" i="31"/>
  <c r="BK1191" i="31"/>
  <c r="BK1355" i="31"/>
  <c r="BK1272" i="31"/>
  <c r="BK1201" i="31"/>
  <c r="BK1213" i="31"/>
  <c r="BK1237" i="31"/>
  <c r="BK1294" i="31"/>
  <c r="BK1310" i="31"/>
  <c r="BP1283" i="31"/>
  <c r="BP1147" i="31"/>
  <c r="BP1191" i="31"/>
  <c r="BP1294" i="31"/>
  <c r="BP1169" i="31"/>
  <c r="BP1201" i="31"/>
  <c r="BP1086" i="31"/>
  <c r="BP1355" i="31"/>
  <c r="BN1059" i="31"/>
  <c r="BS1058" i="31"/>
  <c r="BS1059" i="31" s="1"/>
  <c r="BW633" i="31"/>
  <c r="CU758" i="31"/>
  <c r="CV114" i="9"/>
  <c r="BW187" i="31"/>
  <c r="BJ30" i="31"/>
  <c r="BT760" i="31"/>
  <c r="BT766" i="31" s="1"/>
  <c r="CC766" i="31"/>
  <c r="CC698" i="31"/>
  <c r="CB760" i="31"/>
  <c r="CB763" i="31"/>
  <c r="CV115" i="9"/>
  <c r="BW110" i="31"/>
  <c r="BW165" i="31"/>
  <c r="BW176" i="31"/>
  <c r="BX763" i="31"/>
  <c r="BW760" i="31"/>
  <c r="BW763" i="31"/>
  <c r="DC68" i="9"/>
  <c r="CD175" i="10" s="1"/>
  <c r="DC38" i="9"/>
  <c r="BW699" i="31"/>
  <c r="DH79" i="9"/>
  <c r="BW765" i="31"/>
  <c r="BU759" i="31"/>
  <c r="DB29" i="9"/>
  <c r="DB79" i="9" s="1"/>
  <c r="BW313" i="31"/>
  <c r="BW383" i="31"/>
  <c r="BW405" i="31"/>
  <c r="BW416" i="31"/>
  <c r="BW438" i="31"/>
  <c r="BW449" i="31"/>
  <c r="BW732" i="31"/>
  <c r="BW259" i="31"/>
  <c r="BW394" i="31"/>
  <c r="BW372" i="31"/>
  <c r="BW461" i="31"/>
  <c r="BW302" i="31"/>
  <c r="BW121" i="31"/>
  <c r="BW88" i="31"/>
  <c r="BW20" i="31"/>
  <c r="DB66" i="9"/>
  <c r="DB65" i="9"/>
  <c r="CC174" i="10" s="1"/>
  <c r="DK50" i="9"/>
  <c r="DK45" i="9"/>
  <c r="DK55" i="9"/>
  <c r="CL172" i="10"/>
  <c r="DK81" i="9"/>
  <c r="DK52" i="9"/>
  <c r="DK72" i="9"/>
  <c r="CL176" i="10" s="1"/>
  <c r="CL173" i="10"/>
  <c r="DK53" i="9"/>
  <c r="DK56" i="9"/>
  <c r="DC115" i="9"/>
  <c r="BP1461" i="31"/>
  <c r="BP121" i="31"/>
  <c r="BP302" i="31"/>
  <c r="BP416" i="31"/>
  <c r="BP732" i="31"/>
  <c r="BP237" i="31"/>
  <c r="BP472" i="31"/>
  <c r="BP41" i="31"/>
  <c r="BP143" i="31"/>
  <c r="BP438" i="31"/>
  <c r="BP20" i="31"/>
  <c r="BP892" i="31"/>
  <c r="BP212" i="31"/>
  <c r="BP372" i="31"/>
  <c r="BP394" i="31"/>
  <c r="BP765" i="31"/>
  <c r="BP52" i="31"/>
  <c r="BP30" i="31"/>
  <c r="BP63" i="31"/>
  <c r="BP449" i="31"/>
  <c r="BP88" i="31"/>
  <c r="BP324" i="31"/>
  <c r="BP1494" i="31"/>
  <c r="BX694" i="31"/>
  <c r="DC114" i="9"/>
  <c r="CY115" i="9"/>
  <c r="CC83" i="10"/>
  <c r="CG84" i="10" s="1"/>
  <c r="CG65" i="10" s="1"/>
  <c r="CG216" i="10" s="1"/>
  <c r="DB67" i="9"/>
  <c r="CZ115" i="9"/>
  <c r="DB75" i="9"/>
  <c r="DG75" i="9"/>
  <c r="BW694" i="31"/>
  <c r="DJ115" i="9"/>
  <c r="CW114" i="9"/>
  <c r="CY114" i="9"/>
  <c r="CH59" i="10"/>
  <c r="CH62" i="10" s="1"/>
  <c r="CH65" i="10"/>
  <c r="CH216" i="10" s="1"/>
  <c r="CH66" i="10"/>
  <c r="CH68" i="10"/>
  <c r="CH70" i="10"/>
  <c r="CH74" i="10"/>
  <c r="CH76" i="10"/>
  <c r="CH78" i="10"/>
  <c r="CH136" i="10"/>
  <c r="CH67" i="10"/>
  <c r="CH73" i="10"/>
  <c r="CH77" i="10"/>
  <c r="CH69" i="10"/>
  <c r="CH75" i="10"/>
  <c r="CH79" i="10"/>
  <c r="DA75" i="9"/>
  <c r="DA67" i="9"/>
  <c r="DA65" i="9"/>
  <c r="CB174" i="10" s="1"/>
  <c r="DF75" i="9"/>
  <c r="DA29" i="9"/>
  <c r="CB83" i="10"/>
  <c r="DA66" i="9"/>
  <c r="BO52" i="31"/>
  <c r="BO88" i="31"/>
  <c r="BO143" i="31"/>
  <c r="BO237" i="31"/>
  <c r="BO324" i="31"/>
  <c r="BO394" i="31"/>
  <c r="BO438" i="31"/>
  <c r="BO472" i="31"/>
  <c r="BO1494" i="31"/>
  <c r="BO1461" i="31"/>
  <c r="BO121" i="31"/>
  <c r="BO302" i="31"/>
  <c r="BO416" i="31"/>
  <c r="BO732" i="31"/>
  <c r="BO765" i="31"/>
  <c r="BO63" i="31"/>
  <c r="BO212" i="31"/>
  <c r="BO372" i="31"/>
  <c r="BO449" i="31"/>
  <c r="BO20" i="31"/>
  <c r="BO892" i="31"/>
  <c r="BO41" i="31"/>
  <c r="BQ21" i="31"/>
  <c r="BM52" i="31"/>
  <c r="BM88" i="31"/>
  <c r="BM121" i="31"/>
  <c r="BM143" i="31"/>
  <c r="BM237" i="31"/>
  <c r="BM302" i="31"/>
  <c r="BM324" i="31"/>
  <c r="BM372" i="31"/>
  <c r="BM394" i="31"/>
  <c r="BM416" i="31"/>
  <c r="BM449" i="31"/>
  <c r="BM483" i="31"/>
  <c r="BM721" i="31"/>
  <c r="BM1439" i="31"/>
  <c r="BM1461" i="31"/>
  <c r="BM1483" i="31"/>
  <c r="BM20" i="31"/>
  <c r="BM63" i="31"/>
  <c r="BM132" i="31"/>
  <c r="BM281" i="31"/>
  <c r="BM335" i="31"/>
  <c r="BM405" i="31"/>
  <c r="BM472" i="31"/>
  <c r="BM732" i="31"/>
  <c r="BM1450" i="31"/>
  <c r="BM1494" i="31"/>
  <c r="BM30" i="31"/>
  <c r="BM765" i="31"/>
  <c r="BM892" i="31"/>
  <c r="BM110" i="31"/>
  <c r="BM212" i="31"/>
  <c r="BM313" i="31"/>
  <c r="BM383" i="31"/>
  <c r="BM438" i="31"/>
  <c r="BM710" i="31"/>
  <c r="BM1428" i="31"/>
  <c r="BM1472" i="31"/>
  <c r="BM41" i="31"/>
  <c r="BJ52" i="31"/>
  <c r="BJ88" i="31"/>
  <c r="BJ121" i="31"/>
  <c r="BJ143" i="31"/>
  <c r="BJ212" i="31"/>
  <c r="BJ302" i="31"/>
  <c r="BJ324" i="31"/>
  <c r="BJ372" i="31"/>
  <c r="BJ383" i="31"/>
  <c r="BJ405" i="31"/>
  <c r="BJ449" i="31"/>
  <c r="BJ710" i="31"/>
  <c r="BJ732" i="31"/>
  <c r="BJ1439" i="31"/>
  <c r="BJ1461" i="31"/>
  <c r="BJ1483" i="31"/>
  <c r="BJ63" i="31"/>
  <c r="BJ132" i="31"/>
  <c r="BJ281" i="31"/>
  <c r="BJ335" i="31"/>
  <c r="BJ394" i="31"/>
  <c r="BJ472" i="31"/>
  <c r="BJ483" i="31"/>
  <c r="BJ765" i="31"/>
  <c r="BJ1450" i="31"/>
  <c r="BJ1494" i="31"/>
  <c r="BJ110" i="31"/>
  <c r="BJ198" i="31"/>
  <c r="BJ313" i="31"/>
  <c r="BJ416" i="31"/>
  <c r="BJ721" i="31"/>
  <c r="BJ1428" i="31"/>
  <c r="BJ1472" i="31"/>
  <c r="BJ41" i="31"/>
  <c r="BJ892" i="31"/>
  <c r="BZ66" i="10"/>
  <c r="BZ78" i="10"/>
  <c r="DD24" i="9"/>
  <c r="BV66" i="10"/>
  <c r="BV68" i="10"/>
  <c r="BV70" i="10"/>
  <c r="BV74" i="10"/>
  <c r="BV76" i="10"/>
  <c r="BV78" i="10"/>
  <c r="BV136" i="10"/>
  <c r="BV65" i="10"/>
  <c r="BV216" i="10" s="1"/>
  <c r="BV67" i="10"/>
  <c r="BV73" i="10"/>
  <c r="BV77" i="10"/>
  <c r="BV144" i="10"/>
  <c r="BV59" i="10"/>
  <c r="BV62" i="10" s="1"/>
  <c r="BV69" i="10"/>
  <c r="BV75" i="10"/>
  <c r="BV79" i="10"/>
  <c r="CU68" i="9"/>
  <c r="BV175" i="10" s="1"/>
  <c r="CU79" i="9"/>
  <c r="CU39" i="9"/>
  <c r="CU38" i="9"/>
  <c r="CA83" i="10"/>
  <c r="DE75" i="9"/>
  <c r="CZ67" i="9"/>
  <c r="CZ29" i="9"/>
  <c r="CZ75" i="9"/>
  <c r="CZ66" i="9"/>
  <c r="CZ65" i="9"/>
  <c r="CA174" i="10" s="1"/>
  <c r="DD112" i="9"/>
  <c r="DD108" i="9"/>
  <c r="DD107" i="9"/>
  <c r="DD106" i="9"/>
  <c r="BL59" i="31"/>
  <c r="DD111" i="9"/>
  <c r="DD110" i="9"/>
  <c r="DD103" i="9"/>
  <c r="DD102" i="9"/>
  <c r="DD104" i="9"/>
  <c r="BL31" i="31"/>
  <c r="CW39" i="9"/>
  <c r="CW38" i="9"/>
  <c r="CW68" i="9"/>
  <c r="BX175" i="10" s="1"/>
  <c r="CW79" i="9"/>
  <c r="BZ174" i="10"/>
  <c r="DB114" i="9"/>
  <c r="CZ114" i="9"/>
  <c r="BO30" i="31"/>
  <c r="CU114" i="9"/>
  <c r="CU115" i="9"/>
  <c r="DB115" i="9"/>
  <c r="DJ114" i="9"/>
  <c r="CW115" i="9"/>
  <c r="CX38" i="9"/>
  <c r="CX68" i="9"/>
  <c r="BY175" i="10" s="1"/>
  <c r="CX79" i="9"/>
  <c r="CX39" i="9"/>
  <c r="DC79" i="9"/>
  <c r="BK41" i="31"/>
  <c r="BK892" i="31"/>
  <c r="BK52" i="31"/>
  <c r="BK63" i="31"/>
  <c r="BK88" i="31"/>
  <c r="BK110" i="31"/>
  <c r="BK121" i="31"/>
  <c r="BK132" i="31"/>
  <c r="BK143" i="31"/>
  <c r="BK198" i="31"/>
  <c r="BK212" i="31"/>
  <c r="BK281" i="31"/>
  <c r="BK302" i="31"/>
  <c r="BK313" i="31"/>
  <c r="BK324" i="31"/>
  <c r="BK335" i="31"/>
  <c r="BK372" i="31"/>
  <c r="BK383" i="31"/>
  <c r="BK394" i="31"/>
  <c r="BK405" i="31"/>
  <c r="BK416" i="31"/>
  <c r="BK449" i="31"/>
  <c r="BK472" i="31"/>
  <c r="BK483" i="31"/>
  <c r="BK710" i="31"/>
  <c r="BK721" i="31"/>
  <c r="BK732" i="31"/>
  <c r="BK765" i="31"/>
  <c r="BK1428" i="31"/>
  <c r="BK1439" i="31"/>
  <c r="BK1450" i="31"/>
  <c r="BK1461" i="31"/>
  <c r="BK1472" i="31"/>
  <c r="BK1483" i="31"/>
  <c r="BK1494" i="31"/>
  <c r="BK30" i="31"/>
  <c r="BL21" i="31"/>
  <c r="CX114" i="9"/>
  <c r="CX115" i="9"/>
  <c r="BZ75" i="10" l="1"/>
  <c r="BZ69" i="10"/>
  <c r="BZ65" i="10"/>
  <c r="BZ216" i="10" s="1"/>
  <c r="BZ136" i="10"/>
  <c r="BZ59" i="10"/>
  <c r="BZ62" i="10" s="1"/>
  <c r="BZ144" i="10"/>
  <c r="BZ67" i="10"/>
  <c r="BZ68" i="10"/>
  <c r="BZ76" i="10"/>
  <c r="BZ77" i="10"/>
  <c r="BZ70" i="10"/>
  <c r="BZ79" i="10"/>
  <c r="BZ73" i="10"/>
  <c r="CY39" i="9"/>
  <c r="CY68" i="9"/>
  <c r="BZ175" i="10" s="1"/>
  <c r="CY38" i="9"/>
  <c r="CV39" i="9"/>
  <c r="CV79" i="9"/>
  <c r="CV68" i="9"/>
  <c r="BW175" i="10" s="1"/>
  <c r="BN1024" i="31"/>
  <c r="BN1029" i="31" s="1"/>
  <c r="BN1030" i="31" s="1"/>
  <c r="DA116" i="9"/>
  <c r="BS1013" i="31"/>
  <c r="BS1014" i="31" s="1"/>
  <c r="BS1020" i="31" s="1"/>
  <c r="BY84" i="10"/>
  <c r="BY68" i="10" s="1"/>
  <c r="CA84" i="10"/>
  <c r="CA65" i="10" s="1"/>
  <c r="CA216" i="10" s="1"/>
  <c r="BX84" i="10"/>
  <c r="BX74" i="10" s="1"/>
  <c r="BS1002" i="31"/>
  <c r="BS1047" i="31"/>
  <c r="BS1048" i="31" s="1"/>
  <c r="BS1054" i="31" s="1"/>
  <c r="BS1065" i="31"/>
  <c r="BN1065" i="31"/>
  <c r="BK1003" i="31"/>
  <c r="BO1014" i="31"/>
  <c r="BT1013" i="31"/>
  <c r="BT1014" i="31" s="1"/>
  <c r="BM1014" i="31"/>
  <c r="BR1013" i="31"/>
  <c r="BW1013" i="31" s="1"/>
  <c r="BK1014" i="31"/>
  <c r="BO1048" i="31"/>
  <c r="BT1047" i="31"/>
  <c r="BT1048" i="31" s="1"/>
  <c r="BW1288" i="31"/>
  <c r="CB1212" i="31"/>
  <c r="BW1208" i="31"/>
  <c r="BW1305" i="31"/>
  <c r="BM1024" i="31"/>
  <c r="BM1003" i="31"/>
  <c r="BR1002" i="31"/>
  <c r="BQ1063" i="31"/>
  <c r="BQ1052" i="31"/>
  <c r="BQ1018" i="31"/>
  <c r="BQ1007" i="31"/>
  <c r="BQ1283" i="31"/>
  <c r="BQ1294" i="31"/>
  <c r="BQ1147" i="31"/>
  <c r="BQ1191" i="31"/>
  <c r="BQ1169" i="31"/>
  <c r="BQ1201" i="31"/>
  <c r="BQ1086" i="31"/>
  <c r="BQ1355" i="31"/>
  <c r="BN1054" i="31"/>
  <c r="BN1009" i="31"/>
  <c r="BO1059" i="31"/>
  <c r="BT1058" i="31"/>
  <c r="BT1059" i="31" s="1"/>
  <c r="BW1070" i="31"/>
  <c r="CB1224" i="31"/>
  <c r="BW1220" i="31"/>
  <c r="BK1048" i="31"/>
  <c r="BW1256" i="31"/>
  <c r="BM1048" i="31"/>
  <c r="BR1047" i="31"/>
  <c r="BR1048" i="31" s="1"/>
  <c r="BL1147" i="31"/>
  <c r="BL1063" i="31"/>
  <c r="BL1058" i="31" s="1"/>
  <c r="BL1052" i="31"/>
  <c r="BL1047" i="31" s="1"/>
  <c r="BL1018" i="31"/>
  <c r="BL1013" i="31" s="1"/>
  <c r="BL1007" i="31"/>
  <c r="BL1002" i="31" s="1"/>
  <c r="BL1332" i="31"/>
  <c r="BL1310" i="31"/>
  <c r="BL1283" i="31"/>
  <c r="BL1042" i="31"/>
  <c r="BL916" i="31"/>
  <c r="BL1075" i="31"/>
  <c r="BL905" i="31"/>
  <c r="BL1261" i="31"/>
  <c r="BL1225" i="31"/>
  <c r="BL1191" i="31"/>
  <c r="BL1213" i="31"/>
  <c r="BL1294" i="31"/>
  <c r="BL1272" i="31"/>
  <c r="BL1169" i="31"/>
  <c r="BL1086" i="31"/>
  <c r="BL1201" i="31"/>
  <c r="BL1355" i="31"/>
  <c r="BN1020" i="31"/>
  <c r="BK1059" i="31"/>
  <c r="BW1278" i="31"/>
  <c r="BM1059" i="31"/>
  <c r="BR1058" i="31"/>
  <c r="BR1059" i="31" s="1"/>
  <c r="BO1024" i="31"/>
  <c r="BO1003" i="31"/>
  <c r="BT1002" i="31"/>
  <c r="BW1037" i="31"/>
  <c r="BW1267" i="31"/>
  <c r="DD29" i="9"/>
  <c r="DD38" i="9" s="1"/>
  <c r="CU763" i="31"/>
  <c r="CZ763" i="31"/>
  <c r="DC49" i="9"/>
  <c r="DC56" i="9" s="1"/>
  <c r="CV116" i="9"/>
  <c r="DB39" i="9"/>
  <c r="DB68" i="9"/>
  <c r="CC175" i="10" s="1"/>
  <c r="DG79" i="9"/>
  <c r="BW700" i="31"/>
  <c r="DC71" i="9"/>
  <c r="BW766" i="31"/>
  <c r="CB766" i="31"/>
  <c r="CC697" i="31"/>
  <c r="BQ30" i="31"/>
  <c r="BQ31" i="31" s="1"/>
  <c r="CG77" i="10"/>
  <c r="DC70" i="9"/>
  <c r="DC43" i="9"/>
  <c r="DC125" i="9"/>
  <c r="DC127" i="9" s="1"/>
  <c r="DH80" i="9"/>
  <c r="BY698" i="31"/>
  <c r="DB38" i="9"/>
  <c r="CG68" i="10"/>
  <c r="CG66" i="10"/>
  <c r="CY116" i="9"/>
  <c r="CG78" i="10"/>
  <c r="CG76" i="10"/>
  <c r="CG144" i="10"/>
  <c r="CG73" i="10"/>
  <c r="CG67" i="10"/>
  <c r="CG74" i="10"/>
  <c r="CG136" i="10"/>
  <c r="CG70" i="10"/>
  <c r="CG59" i="10"/>
  <c r="CG62" i="10" s="1"/>
  <c r="CG79" i="10"/>
  <c r="CG75" i="10"/>
  <c r="CG69" i="10"/>
  <c r="DJ116" i="9"/>
  <c r="CZ116" i="9"/>
  <c r="CL185" i="10"/>
  <c r="CL191" i="10" s="1"/>
  <c r="DK54" i="9"/>
  <c r="DK57" i="9"/>
  <c r="DK82" i="9"/>
  <c r="DK83" i="9" s="1"/>
  <c r="DC116" i="9"/>
  <c r="BV449" i="31"/>
  <c r="BV438" i="31"/>
  <c r="BV732" i="31"/>
  <c r="CC84" i="10"/>
  <c r="CC65" i="10" s="1"/>
  <c r="CC216" i="10" s="1"/>
  <c r="CW116" i="9"/>
  <c r="CU116" i="9"/>
  <c r="CB84" i="10"/>
  <c r="CB65" i="10" s="1"/>
  <c r="CB216" i="10" s="1"/>
  <c r="DB116" i="9"/>
  <c r="DD115" i="9"/>
  <c r="CV43" i="9"/>
  <c r="CV80" i="9"/>
  <c r="CV125" i="9"/>
  <c r="CV127" i="9" s="1"/>
  <c r="CV71" i="9"/>
  <c r="CV49" i="9"/>
  <c r="CV70" i="9"/>
  <c r="CW71" i="9"/>
  <c r="CW49" i="9"/>
  <c r="CW70" i="9"/>
  <c r="CW125" i="9"/>
  <c r="CW127" i="9" s="1"/>
  <c r="CW43" i="9"/>
  <c r="CW80" i="9"/>
  <c r="CU71" i="9"/>
  <c r="CU70" i="9"/>
  <c r="CU43" i="9"/>
  <c r="CU80" i="9"/>
  <c r="CU49" i="9"/>
  <c r="CU125" i="9"/>
  <c r="CU127" i="9" s="1"/>
  <c r="DD65" i="9"/>
  <c r="DD66" i="9"/>
  <c r="DD67" i="9"/>
  <c r="DD75" i="9"/>
  <c r="CE83" i="10"/>
  <c r="CE84" i="10" s="1"/>
  <c r="DI75" i="9"/>
  <c r="DA38" i="9"/>
  <c r="DA39" i="9"/>
  <c r="DA68" i="9"/>
  <c r="CB175" i="10" s="1"/>
  <c r="DA79" i="9"/>
  <c r="DF79" i="9"/>
  <c r="BW66" i="10"/>
  <c r="BW68" i="10"/>
  <c r="BW70" i="10"/>
  <c r="BW74" i="10"/>
  <c r="BW76" i="10"/>
  <c r="BW78" i="10"/>
  <c r="BW136" i="10"/>
  <c r="BW69" i="10"/>
  <c r="BW75" i="10"/>
  <c r="BW79" i="10"/>
  <c r="BW59" i="10"/>
  <c r="BW62" i="10" s="1"/>
  <c r="BW65" i="10"/>
  <c r="BW216" i="10" s="1"/>
  <c r="BW67" i="10"/>
  <c r="BW73" i="10"/>
  <c r="BW77" i="10"/>
  <c r="BW144" i="10"/>
  <c r="CZ38" i="9"/>
  <c r="DE79" i="9"/>
  <c r="CZ39" i="9"/>
  <c r="CZ68" i="9"/>
  <c r="CA175" i="10" s="1"/>
  <c r="CZ79" i="9"/>
  <c r="BQ63" i="31"/>
  <c r="BQ121" i="31"/>
  <c r="BQ212" i="31"/>
  <c r="BQ302" i="31"/>
  <c r="BQ372" i="31"/>
  <c r="BQ416" i="31"/>
  <c r="BQ449" i="31"/>
  <c r="BQ732" i="31"/>
  <c r="BQ88" i="31"/>
  <c r="BQ237" i="31"/>
  <c r="BQ394" i="31"/>
  <c r="BQ472" i="31"/>
  <c r="BQ892" i="31"/>
  <c r="BQ765" i="31"/>
  <c r="BQ52" i="31"/>
  <c r="BQ143" i="31"/>
  <c r="BQ324" i="31"/>
  <c r="BQ438" i="31"/>
  <c r="BQ1461" i="31"/>
  <c r="BQ1494" i="31"/>
  <c r="BQ41" i="31"/>
  <c r="CF84" i="10"/>
  <c r="CD84" i="10"/>
  <c r="CX116" i="9"/>
  <c r="DD114" i="9"/>
  <c r="BL30" i="31"/>
  <c r="BL41" i="31"/>
  <c r="BL1494" i="31"/>
  <c r="BL1483" i="31"/>
  <c r="BL1472" i="31"/>
  <c r="BL1461" i="31"/>
  <c r="BL1450" i="31"/>
  <c r="BL1439" i="31"/>
  <c r="BL1428" i="31"/>
  <c r="BL765" i="31"/>
  <c r="BL732" i="31"/>
  <c r="BL721" i="31"/>
  <c r="BL710" i="31"/>
  <c r="BL483" i="31"/>
  <c r="BL472" i="31"/>
  <c r="BL449" i="31"/>
  <c r="BL437" i="31"/>
  <c r="BL416" i="31"/>
  <c r="BL405" i="31"/>
  <c r="BL394" i="31"/>
  <c r="BL383" i="31"/>
  <c r="BL372" i="31"/>
  <c r="BL335" i="31"/>
  <c r="BL324" i="31"/>
  <c r="BL313" i="31"/>
  <c r="BL302" i="31"/>
  <c r="BL281" i="31"/>
  <c r="BL237" i="31"/>
  <c r="BL212" i="31"/>
  <c r="BL198" i="31"/>
  <c r="BL143" i="31"/>
  <c r="BL132" i="31"/>
  <c r="BL121" i="31"/>
  <c r="BL110" i="31"/>
  <c r="BL88" i="31"/>
  <c r="BL63" i="31"/>
  <c r="BL52" i="31"/>
  <c r="BL892" i="31"/>
  <c r="CX71" i="9"/>
  <c r="CX43" i="9"/>
  <c r="CX49" i="9"/>
  <c r="CX80" i="9"/>
  <c r="CX70" i="9"/>
  <c r="CX125" i="9"/>
  <c r="CX127" i="9" s="1"/>
  <c r="DC80" i="9"/>
  <c r="CY70" i="9" l="1"/>
  <c r="CY80" i="9"/>
  <c r="CY43" i="9"/>
  <c r="CY49" i="9"/>
  <c r="CY56" i="9" s="1"/>
  <c r="CY71" i="9"/>
  <c r="CY125" i="9"/>
  <c r="BN1025" i="31"/>
  <c r="BN1031" i="31" s="1"/>
  <c r="BY74" i="10"/>
  <c r="CA67" i="10"/>
  <c r="BY67" i="10"/>
  <c r="BY66" i="10"/>
  <c r="BY77" i="10"/>
  <c r="CA66" i="10"/>
  <c r="BY144" i="10"/>
  <c r="BY59" i="10"/>
  <c r="BY62" i="10" s="1"/>
  <c r="BY75" i="10"/>
  <c r="BY136" i="10"/>
  <c r="BY73" i="10"/>
  <c r="BY65" i="10"/>
  <c r="BY216" i="10" s="1"/>
  <c r="BY70" i="10"/>
  <c r="BY79" i="10"/>
  <c r="BY78" i="10"/>
  <c r="BY69" i="10"/>
  <c r="CA76" i="10"/>
  <c r="CA77" i="10"/>
  <c r="CA75" i="10"/>
  <c r="CA74" i="10"/>
  <c r="CA144" i="10"/>
  <c r="CA69" i="10"/>
  <c r="CA136" i="10"/>
  <c r="CA68" i="10"/>
  <c r="CA79" i="10"/>
  <c r="CA73" i="10"/>
  <c r="CA59" i="10"/>
  <c r="CA62" i="10" s="1"/>
  <c r="CA78" i="10"/>
  <c r="CA70" i="10"/>
  <c r="BY76" i="10"/>
  <c r="BS1024" i="31"/>
  <c r="BS1029" i="31" s="1"/>
  <c r="BS1030" i="31" s="1"/>
  <c r="BX79" i="10"/>
  <c r="BX75" i="10"/>
  <c r="BX136" i="10"/>
  <c r="BX70" i="10"/>
  <c r="BX68" i="10"/>
  <c r="BX69" i="10"/>
  <c r="BX66" i="10"/>
  <c r="BX67" i="10"/>
  <c r="BX65" i="10"/>
  <c r="BX216" i="10" s="1"/>
  <c r="BX144" i="10"/>
  <c r="BX78" i="10"/>
  <c r="BX59" i="10"/>
  <c r="BX62" i="10" s="1"/>
  <c r="BX77" i="10"/>
  <c r="BX76" i="10"/>
  <c r="BX73" i="10"/>
  <c r="BS1003" i="31"/>
  <c r="BS1009" i="31" s="1"/>
  <c r="BT1024" i="31"/>
  <c r="BT1029" i="31" s="1"/>
  <c r="BT1030" i="31" s="1"/>
  <c r="BT1003" i="31"/>
  <c r="BT1009" i="31" s="1"/>
  <c r="BM1025" i="31"/>
  <c r="BM1029" i="31"/>
  <c r="BM1030" i="31" s="1"/>
  <c r="BW1289" i="31"/>
  <c r="BO1009" i="31"/>
  <c r="BQ1002" i="31"/>
  <c r="BL1003" i="31"/>
  <c r="BR1054" i="31"/>
  <c r="BM1054" i="31"/>
  <c r="BW1311" i="31"/>
  <c r="BW1014" i="31"/>
  <c r="BK1020" i="31"/>
  <c r="BT1020" i="31"/>
  <c r="BO1020" i="31"/>
  <c r="BW1273" i="31"/>
  <c r="BO1029" i="31"/>
  <c r="BO1030" i="31" s="1"/>
  <c r="BO1025" i="31"/>
  <c r="BW1284" i="31"/>
  <c r="BL1014" i="31"/>
  <c r="BQ1013" i="31"/>
  <c r="BW1262" i="31"/>
  <c r="BK1054" i="31"/>
  <c r="BW1076" i="31"/>
  <c r="BK1009" i="31"/>
  <c r="BW1058" i="31"/>
  <c r="BQ1047" i="31"/>
  <c r="BL1048" i="31"/>
  <c r="CB1214" i="31"/>
  <c r="BW1214" i="31"/>
  <c r="BO1054" i="31"/>
  <c r="BT1054" i="31"/>
  <c r="BR1014" i="31"/>
  <c r="BW1043" i="31"/>
  <c r="BQ1058" i="31"/>
  <c r="BL1059" i="31"/>
  <c r="BW1047" i="31"/>
  <c r="BR1024" i="31"/>
  <c r="BR1003" i="31"/>
  <c r="BR1009" i="31" s="1"/>
  <c r="BM1020" i="31"/>
  <c r="BR1065" i="31"/>
  <c r="BM1065" i="31"/>
  <c r="BK1065" i="31"/>
  <c r="CB1226" i="31"/>
  <c r="BW1226" i="31"/>
  <c r="BO1065" i="31"/>
  <c r="BT1065" i="31"/>
  <c r="BM1009" i="31"/>
  <c r="BW1002" i="31"/>
  <c r="DC53" i="9"/>
  <c r="DB49" i="9"/>
  <c r="DB53" i="9" s="1"/>
  <c r="CD172" i="10"/>
  <c r="DC50" i="9"/>
  <c r="DC52" i="9"/>
  <c r="CC694" i="31"/>
  <c r="CH760" i="31"/>
  <c r="CM766" i="31" s="1"/>
  <c r="DB71" i="9"/>
  <c r="DC121" i="9"/>
  <c r="CD173" i="10"/>
  <c r="DH81" i="9"/>
  <c r="DC45" i="9"/>
  <c r="DC72" i="9"/>
  <c r="CD176" i="10" s="1"/>
  <c r="DC122" i="9"/>
  <c r="DC55" i="9"/>
  <c r="DB80" i="9"/>
  <c r="DB70" i="9"/>
  <c r="DG80" i="9"/>
  <c r="DB125" i="9"/>
  <c r="DB127" i="9" s="1"/>
  <c r="DB43" i="9"/>
  <c r="CB73" i="10"/>
  <c r="BY694" i="31"/>
  <c r="BY697" i="31"/>
  <c r="CC59" i="10"/>
  <c r="CC62" i="10" s="1"/>
  <c r="CB144" i="10"/>
  <c r="CC74" i="10"/>
  <c r="CB77" i="10"/>
  <c r="CB67" i="10"/>
  <c r="CC78" i="10"/>
  <c r="CC68" i="10"/>
  <c r="CC136" i="10"/>
  <c r="CC76" i="10"/>
  <c r="CC70" i="10"/>
  <c r="CC66" i="10"/>
  <c r="CB79" i="10"/>
  <c r="CB75" i="10"/>
  <c r="CB69" i="10"/>
  <c r="CB59" i="10"/>
  <c r="CB62" i="10" s="1"/>
  <c r="CC144" i="10"/>
  <c r="CC79" i="10"/>
  <c r="CC77" i="10"/>
  <c r="CC75" i="10"/>
  <c r="CC73" i="10"/>
  <c r="CC69" i="10"/>
  <c r="CC67" i="10"/>
  <c r="CB136" i="10"/>
  <c r="CB78" i="10"/>
  <c r="CB76" i="10"/>
  <c r="CB74" i="10"/>
  <c r="CB70" i="10"/>
  <c r="CB68" i="10"/>
  <c r="CB66" i="10"/>
  <c r="DD116" i="9"/>
  <c r="CD67" i="10"/>
  <c r="CD69" i="10"/>
  <c r="CD73" i="10"/>
  <c r="CD75" i="10"/>
  <c r="CD77" i="10"/>
  <c r="CD79" i="10"/>
  <c r="CD144" i="10"/>
  <c r="CD59" i="10"/>
  <c r="CD62" i="10" s="1"/>
  <c r="CD66" i="10"/>
  <c r="CD70" i="10"/>
  <c r="CD76" i="10"/>
  <c r="CD136" i="10"/>
  <c r="CD65" i="10"/>
  <c r="CD216" i="10" s="1"/>
  <c r="CD68" i="10"/>
  <c r="CD74" i="10"/>
  <c r="CD78" i="10"/>
  <c r="DI79" i="9"/>
  <c r="DD39" i="9"/>
  <c r="DD68" i="9"/>
  <c r="CE175" i="10" s="1"/>
  <c r="DD79" i="9"/>
  <c r="CE174" i="10"/>
  <c r="CU53" i="9"/>
  <c r="CU56" i="9"/>
  <c r="CU45" i="9"/>
  <c r="CU122" i="9"/>
  <c r="CU81" i="9"/>
  <c r="CU121" i="9"/>
  <c r="CU72" i="9"/>
  <c r="BV176" i="10" s="1"/>
  <c r="CU52" i="9"/>
  <c r="BV173" i="10"/>
  <c r="CU55" i="9"/>
  <c r="CU82" i="9" s="1"/>
  <c r="BV172" i="10"/>
  <c r="CW55" i="9"/>
  <c r="CW82" i="9" s="1"/>
  <c r="CW121" i="9"/>
  <c r="CW45" i="9"/>
  <c r="CW81" i="9"/>
  <c r="CW72" i="9"/>
  <c r="BX176" i="10" s="1"/>
  <c r="BX172" i="10"/>
  <c r="CW52" i="9"/>
  <c r="BX173" i="10"/>
  <c r="CW122" i="9"/>
  <c r="CW50" i="9"/>
  <c r="CV53" i="9"/>
  <c r="CV56" i="9"/>
  <c r="CF67" i="10"/>
  <c r="CF69" i="10"/>
  <c r="CF73" i="10"/>
  <c r="CF75" i="10"/>
  <c r="CF77" i="10"/>
  <c r="CF79" i="10"/>
  <c r="CF144" i="10"/>
  <c r="CF68" i="10"/>
  <c r="CF74" i="10"/>
  <c r="CF78" i="10"/>
  <c r="CF65" i="10"/>
  <c r="CF216" i="10" s="1"/>
  <c r="CF59" i="10"/>
  <c r="CF62" i="10" s="1"/>
  <c r="CF66" i="10"/>
  <c r="CF70" i="10"/>
  <c r="CF76" i="10"/>
  <c r="CF136" i="10"/>
  <c r="CZ43" i="9"/>
  <c r="CZ80" i="9"/>
  <c r="CZ70" i="9"/>
  <c r="CZ49" i="9"/>
  <c r="CZ125" i="9"/>
  <c r="CZ127" i="9" s="1"/>
  <c r="CZ71" i="9"/>
  <c r="DE80" i="9"/>
  <c r="DA70" i="9"/>
  <c r="DA125" i="9"/>
  <c r="DA127" i="9" s="1"/>
  <c r="DA71" i="9"/>
  <c r="DA43" i="9"/>
  <c r="DA80" i="9"/>
  <c r="DA49" i="9"/>
  <c r="DF80" i="9"/>
  <c r="CE67" i="10"/>
  <c r="CE69" i="10"/>
  <c r="CE73" i="10"/>
  <c r="CE75" i="10"/>
  <c r="CE77" i="10"/>
  <c r="CE79" i="10"/>
  <c r="CE144" i="10"/>
  <c r="CE59" i="10"/>
  <c r="CE62" i="10" s="1"/>
  <c r="CE66" i="10"/>
  <c r="CE70" i="10"/>
  <c r="CE76" i="10"/>
  <c r="CE136" i="10"/>
  <c r="CE65" i="10"/>
  <c r="CE216" i="10" s="1"/>
  <c r="CE68" i="10"/>
  <c r="CE74" i="10"/>
  <c r="CE78" i="10"/>
  <c r="CU50" i="9"/>
  <c r="CW56" i="9"/>
  <c r="CW53" i="9"/>
  <c r="CV50" i="9"/>
  <c r="CV45" i="9"/>
  <c r="CV122" i="9"/>
  <c r="CV52" i="9"/>
  <c r="CV81" i="9"/>
  <c r="CV72" i="9"/>
  <c r="BW176" i="10" s="1"/>
  <c r="BW172" i="10"/>
  <c r="CV121" i="9"/>
  <c r="BW173" i="10"/>
  <c r="CV55" i="9"/>
  <c r="CV82" i="9" s="1"/>
  <c r="CX53" i="9"/>
  <c r="CX56" i="9"/>
  <c r="CX55" i="9"/>
  <c r="CX81" i="9"/>
  <c r="CX45" i="9"/>
  <c r="CX121" i="9"/>
  <c r="DC81" i="9"/>
  <c r="CX122" i="9"/>
  <c r="CX72" i="9"/>
  <c r="BY176" i="10" s="1"/>
  <c r="CX52" i="9"/>
  <c r="BY172" i="10"/>
  <c r="BY173" i="10"/>
  <c r="CX50" i="9"/>
  <c r="DM51" i="9"/>
  <c r="DG50" i="9"/>
  <c r="DH50" i="9"/>
  <c r="N49" i="9"/>
  <c r="O49" i="9"/>
  <c r="P49" i="9"/>
  <c r="M49" i="9"/>
  <c r="L49" i="9" s="1"/>
  <c r="CY81" i="9" l="1"/>
  <c r="CY52" i="9"/>
  <c r="CY53" i="9"/>
  <c r="BZ172" i="10"/>
  <c r="BZ173" i="10"/>
  <c r="CY55" i="9"/>
  <c r="CY45" i="9"/>
  <c r="CY57" i="9" s="1"/>
  <c r="CY72" i="9"/>
  <c r="BZ176" i="10" s="1"/>
  <c r="CY121" i="9"/>
  <c r="CY122" i="9"/>
  <c r="CY50" i="9"/>
  <c r="CY127" i="9"/>
  <c r="BS1025" i="31"/>
  <c r="BS1031" i="31" s="1"/>
  <c r="BW1020" i="31"/>
  <c r="BR1020" i="31"/>
  <c r="BR1025" i="31"/>
  <c r="BR1031" i="31" s="1"/>
  <c r="BW1059" i="31"/>
  <c r="BQ1014" i="31"/>
  <c r="BQ1020" i="31" s="1"/>
  <c r="BP1013" i="31"/>
  <c r="BO1031" i="31"/>
  <c r="BM1031" i="31"/>
  <c r="BL1020" i="31"/>
  <c r="BR1029" i="31"/>
  <c r="BR1030" i="31" s="1"/>
  <c r="BW1024" i="31"/>
  <c r="BW1003" i="31"/>
  <c r="BW1009" i="31" s="1"/>
  <c r="BW1048" i="31"/>
  <c r="BL1065" i="31"/>
  <c r="BQ1059" i="31"/>
  <c r="BV1058" i="31"/>
  <c r="BP1058" i="31"/>
  <c r="BL1054" i="31"/>
  <c r="BL1009" i="31"/>
  <c r="BW1295" i="31"/>
  <c r="BV1047" i="31"/>
  <c r="BP1047" i="31"/>
  <c r="BQ1048" i="31"/>
  <c r="BQ1024" i="31"/>
  <c r="BP1002" i="31"/>
  <c r="BQ1003" i="31"/>
  <c r="BT1025" i="31"/>
  <c r="CH766" i="31"/>
  <c r="DB45" i="9"/>
  <c r="DB56" i="9"/>
  <c r="CD185" i="10"/>
  <c r="CD191" i="10" s="1"/>
  <c r="DH82" i="9"/>
  <c r="DH83" i="9" s="1"/>
  <c r="DG81" i="9"/>
  <c r="CC700" i="31"/>
  <c r="DC57" i="9"/>
  <c r="DB50" i="9"/>
  <c r="DB121" i="9"/>
  <c r="DC54" i="9"/>
  <c r="CC173" i="10"/>
  <c r="DB81" i="9"/>
  <c r="BY700" i="31"/>
  <c r="CC172" i="10"/>
  <c r="DB55" i="9"/>
  <c r="DB122" i="9"/>
  <c r="DB72" i="9"/>
  <c r="CC176" i="10" s="1"/>
  <c r="DB52" i="9"/>
  <c r="CV83" i="9"/>
  <c r="DI50" i="9"/>
  <c r="Q49" i="9"/>
  <c r="CU83" i="9"/>
  <c r="DA50" i="9"/>
  <c r="CZ50" i="9"/>
  <c r="CZ56" i="9"/>
  <c r="CZ53" i="9"/>
  <c r="CZ45" i="9"/>
  <c r="CZ122" i="9"/>
  <c r="DE81" i="9"/>
  <c r="CZ52" i="9"/>
  <c r="CA172" i="10"/>
  <c r="CZ121" i="9"/>
  <c r="CA173" i="10"/>
  <c r="CZ55" i="9"/>
  <c r="CZ81" i="9"/>
  <c r="CZ72" i="9"/>
  <c r="CA176" i="10" s="1"/>
  <c r="BV185" i="10"/>
  <c r="BV191" i="10" s="1"/>
  <c r="CU54" i="9"/>
  <c r="CU57" i="9"/>
  <c r="CV57" i="9"/>
  <c r="BW185" i="10"/>
  <c r="BW191" i="10" s="1"/>
  <c r="CV54" i="9"/>
  <c r="DA56" i="9"/>
  <c r="DA53" i="9"/>
  <c r="DA55" i="9"/>
  <c r="DF81" i="9"/>
  <c r="DA72" i="9"/>
  <c r="CB176" i="10" s="1"/>
  <c r="DA121" i="9"/>
  <c r="CB173" i="10"/>
  <c r="DA81" i="9"/>
  <c r="DA45" i="9"/>
  <c r="DA52" i="9"/>
  <c r="DA122" i="9"/>
  <c r="CB172" i="10"/>
  <c r="CW57" i="9"/>
  <c r="CW54" i="9"/>
  <c r="BX185" i="10"/>
  <c r="BX191" i="10" s="1"/>
  <c r="DD43" i="9"/>
  <c r="DD49" i="9"/>
  <c r="DD80" i="9"/>
  <c r="DI80" i="9"/>
  <c r="DD125" i="9"/>
  <c r="DD71" i="9"/>
  <c r="DD70" i="9"/>
  <c r="CW83" i="9"/>
  <c r="BY185" i="10"/>
  <c r="BY191" i="10" s="1"/>
  <c r="CX54" i="9"/>
  <c r="CX57" i="9"/>
  <c r="CX82" i="9"/>
  <c r="CX83" i="9" s="1"/>
  <c r="DC82" i="9"/>
  <c r="DC83" i="9" s="1"/>
  <c r="DN126" i="9"/>
  <c r="BZ185" i="10" l="1"/>
  <c r="BZ191" i="10" s="1"/>
  <c r="CY82" i="9"/>
  <c r="CY83" i="9" s="1"/>
  <c r="CY54" i="9"/>
  <c r="BP1003" i="31"/>
  <c r="BU1002" i="31"/>
  <c r="BP1007" i="31"/>
  <c r="BP1008" i="31" s="1"/>
  <c r="BP1014" i="31"/>
  <c r="BU1013" i="31"/>
  <c r="BP1018" i="31"/>
  <c r="BP1019" i="31" s="1"/>
  <c r="BQ1025" i="31"/>
  <c r="BQ1029" i="31"/>
  <c r="BQ1030" i="31" s="1"/>
  <c r="BP1024" i="31"/>
  <c r="BW1025" i="31"/>
  <c r="BQ1054" i="31"/>
  <c r="BQ1065" i="31"/>
  <c r="BW1065" i="31"/>
  <c r="BP1048" i="31"/>
  <c r="BP1052" i="31"/>
  <c r="BP1053" i="31" s="1"/>
  <c r="BP1059" i="31"/>
  <c r="BP1063" i="31"/>
  <c r="BP1064" i="31" s="1"/>
  <c r="BT1031" i="31"/>
  <c r="BU1047" i="31"/>
  <c r="BU1048" i="31" s="1"/>
  <c r="BV1048" i="31"/>
  <c r="BQ1009" i="31"/>
  <c r="BV1059" i="31"/>
  <c r="BU1058" i="31"/>
  <c r="BU1059" i="31" s="1"/>
  <c r="BW1054" i="31"/>
  <c r="BW1029" i="31"/>
  <c r="BW1030" i="31" s="1"/>
  <c r="DB57" i="9"/>
  <c r="DD121" i="9"/>
  <c r="DD127" i="9"/>
  <c r="DB54" i="9"/>
  <c r="CC185" i="10"/>
  <c r="CC191" i="10" s="1"/>
  <c r="DG82" i="9"/>
  <c r="DG83" i="9" s="1"/>
  <c r="DD50" i="9"/>
  <c r="DB82" i="9"/>
  <c r="DB83" i="9" s="1"/>
  <c r="DD56" i="9"/>
  <c r="DD53" i="9"/>
  <c r="DA57" i="9"/>
  <c r="DA54" i="9"/>
  <c r="CB185" i="10"/>
  <c r="CB191" i="10" s="1"/>
  <c r="DI81" i="9"/>
  <c r="DD81" i="9"/>
  <c r="CE173" i="10"/>
  <c r="DD72" i="9"/>
  <c r="CE176" i="10" s="1"/>
  <c r="CE172" i="10"/>
  <c r="DD55" i="9"/>
  <c r="DD45" i="9"/>
  <c r="DD52" i="9"/>
  <c r="DD122" i="9"/>
  <c r="DA82" i="9"/>
  <c r="DA83" i="9" s="1"/>
  <c r="DF82" i="9"/>
  <c r="DF83" i="9" s="1"/>
  <c r="CZ82" i="9"/>
  <c r="CZ83" i="9" s="1"/>
  <c r="DE82" i="9"/>
  <c r="DE83" i="9" s="1"/>
  <c r="CZ54" i="9"/>
  <c r="CZ57" i="9"/>
  <c r="CA185" i="10"/>
  <c r="CA191" i="10" s="1"/>
  <c r="DM126" i="9"/>
  <c r="DL126" i="9"/>
  <c r="BV1065" i="31" l="1"/>
  <c r="BV1054" i="31"/>
  <c r="BQ1031" i="31"/>
  <c r="BU1014" i="31"/>
  <c r="BV1013" i="31"/>
  <c r="BU1065" i="31"/>
  <c r="BP1065" i="31"/>
  <c r="BP1020" i="31"/>
  <c r="BU1063" i="31"/>
  <c r="BU1064" i="31" s="1"/>
  <c r="BW1031" i="31"/>
  <c r="BU1054" i="31"/>
  <c r="BP1054" i="31"/>
  <c r="BP1029" i="31"/>
  <c r="BP1030" i="31" s="1"/>
  <c r="BP1025" i="31"/>
  <c r="BU1003" i="31"/>
  <c r="BV1002" i="31"/>
  <c r="BU1052" i="31"/>
  <c r="BU1053" i="31" s="1"/>
  <c r="BP1009" i="31"/>
  <c r="DD57" i="9"/>
  <c r="CE185" i="10"/>
  <c r="CE191" i="10" s="1"/>
  <c r="DD54" i="9"/>
  <c r="DD82" i="9"/>
  <c r="DD83" i="9" s="1"/>
  <c r="DI82" i="9"/>
  <c r="DI83" i="9" s="1"/>
  <c r="BU1020" i="31" l="1"/>
  <c r="BP1031" i="31"/>
  <c r="BV1014" i="31"/>
  <c r="BV1018" i="31"/>
  <c r="BV1019" i="31" s="1"/>
  <c r="BU1009" i="31"/>
  <c r="BV1024" i="31"/>
  <c r="BV1003" i="31"/>
  <c r="BV1007" i="31"/>
  <c r="BV1008" i="31" s="1"/>
  <c r="DT97" i="9"/>
  <c r="DT98" i="9" s="1"/>
  <c r="BV1009" i="31" l="1"/>
  <c r="BV1020" i="31"/>
  <c r="BV1025" i="31"/>
  <c r="BU1024" i="31"/>
  <c r="BV1029" i="31"/>
  <c r="BV1030" i="31" s="1"/>
  <c r="BU763" i="31"/>
  <c r="BS760" i="31"/>
  <c r="BX766" i="31" s="1"/>
  <c r="BX698" i="31"/>
  <c r="BX697" i="31"/>
  <c r="BU1025" i="31" l="1"/>
  <c r="BU1029" i="31"/>
  <c r="BU1030" i="31" s="1"/>
  <c r="BV1031" i="31"/>
  <c r="BS766" i="31"/>
  <c r="BU764" i="31"/>
  <c r="BU765" i="31" s="1"/>
  <c r="BS694" i="31"/>
  <c r="BX700" i="31" s="1"/>
  <c r="BS697" i="31"/>
  <c r="BS698" i="31"/>
  <c r="BS699" i="31" s="1"/>
  <c r="BV693" i="31"/>
  <c r="BV759" i="31" s="1"/>
  <c r="BS886" i="31"/>
  <c r="BS24" i="31" s="1"/>
  <c r="BU760" i="31"/>
  <c r="BV760" i="31" s="1"/>
  <c r="BU1031" i="31" l="1"/>
  <c r="BV766" i="31"/>
  <c r="BV764" i="31"/>
  <c r="BV765" i="31" s="1"/>
  <c r="BU766" i="31"/>
  <c r="BS35" i="31"/>
  <c r="BS891" i="31"/>
  <c r="BS892" i="31" s="1"/>
  <c r="BV698" i="31"/>
  <c r="BV699" i="31" s="1"/>
  <c r="BS700" i="31"/>
  <c r="BU698" i="31"/>
  <c r="BU699" i="31" s="1"/>
  <c r="BS29" i="31" l="1"/>
  <c r="BS30" i="31" s="1"/>
  <c r="BS40" i="31"/>
  <c r="BS41" i="31" s="1"/>
  <c r="DK93" i="9"/>
  <c r="BX76" i="31" l="1"/>
  <c r="BZ76" i="31" l="1"/>
  <c r="BY76" i="31"/>
  <c r="BW72" i="31" l="1"/>
  <c r="BW76" i="31"/>
  <c r="BW77" i="31" s="1"/>
  <c r="BW78" i="31" l="1"/>
  <c r="BX269" i="31"/>
  <c r="BW269" i="31" l="1"/>
  <c r="BW270" i="31" s="1"/>
  <c r="BX471" i="31"/>
  <c r="BX268" i="31" l="1"/>
  <c r="BX265" i="31" l="1"/>
  <c r="BY456" i="31"/>
  <c r="BY462" i="31" l="1"/>
  <c r="BY268" i="31"/>
  <c r="BX271" i="31"/>
  <c r="BW456" i="31"/>
  <c r="BW462" i="31" l="1"/>
  <c r="BW268" i="31"/>
  <c r="BW265" i="31"/>
  <c r="BX470" i="31"/>
  <c r="BW271" i="31" l="1"/>
  <c r="BX467" i="31"/>
  <c r="CC473" i="31" s="1"/>
  <c r="BX473" i="31" l="1"/>
  <c r="BY467" i="31" l="1"/>
  <c r="BY473" i="31" l="1"/>
  <c r="BW467" i="31"/>
  <c r="CB473" i="31" s="1"/>
  <c r="BW473" i="31" l="1"/>
  <c r="CA166" i="31" l="1"/>
  <c r="CA164" i="31"/>
  <c r="CA208" i="31" l="1"/>
  <c r="BZ215" i="31" l="1"/>
  <c r="BY215" i="31"/>
  <c r="BX215" i="31"/>
  <c r="BX205" i="31"/>
  <c r="BX197" i="31"/>
  <c r="BY205" i="31"/>
  <c r="BZ205" i="31"/>
  <c r="BW205" i="31"/>
  <c r="CD213" i="31" l="1"/>
  <c r="CC213" i="31"/>
  <c r="BY197" i="31"/>
  <c r="BW213" i="31"/>
  <c r="BX213" i="31"/>
  <c r="CA215" i="31"/>
  <c r="BZ213" i="31"/>
  <c r="BY213" i="31"/>
  <c r="CA205" i="31"/>
  <c r="BW197" i="31"/>
  <c r="BW198" i="31" s="1"/>
  <c r="BW886" i="31"/>
  <c r="BX886" i="31"/>
  <c r="CC891" i="31" l="1"/>
  <c r="BX24" i="31"/>
  <c r="BX891" i="31"/>
  <c r="BX35" i="31"/>
  <c r="DP93" i="9" s="1"/>
  <c r="BW891" i="31"/>
  <c r="BW892" i="31" s="1"/>
  <c r="BW35" i="31"/>
  <c r="DO93" i="9" l="1"/>
  <c r="BW40" i="31"/>
  <c r="BW41" i="31" s="1"/>
  <c r="BX40" i="31"/>
  <c r="CA213" i="31" l="1"/>
  <c r="BW885" i="31" l="1"/>
  <c r="BW887" i="31" l="1"/>
  <c r="BW196" i="31"/>
  <c r="BW890" i="31"/>
  <c r="BW193" i="31"/>
  <c r="BW34" i="31"/>
  <c r="BW893" i="31" l="1"/>
  <c r="DO92" i="9"/>
  <c r="DO94" i="9" s="1"/>
  <c r="BW39" i="31"/>
  <c r="BW36" i="31"/>
  <c r="BW199" i="31"/>
  <c r="BS885" i="31"/>
  <c r="BT196" i="31"/>
  <c r="BT885" i="31"/>
  <c r="DL24" i="9"/>
  <c r="BT890" i="31" l="1"/>
  <c r="BT23" i="31"/>
  <c r="BS34" i="31"/>
  <c r="BS36" i="31" s="1"/>
  <c r="BS23" i="31"/>
  <c r="DL65" i="9"/>
  <c r="CM174" i="10" s="1"/>
  <c r="DL66" i="9"/>
  <c r="DL67" i="9"/>
  <c r="DL2" i="9"/>
  <c r="DL4" i="9" s="1"/>
  <c r="DL7" i="9" s="1"/>
  <c r="BW42" i="31"/>
  <c r="DL75" i="9"/>
  <c r="DL29" i="9"/>
  <c r="CM83" i="10"/>
  <c r="CM84" i="10" s="1"/>
  <c r="BS890" i="31"/>
  <c r="BS887" i="31"/>
  <c r="BS25" i="31" s="1"/>
  <c r="BS196" i="31"/>
  <c r="BS193" i="31"/>
  <c r="BT34" i="31"/>
  <c r="BT193" i="31"/>
  <c r="BT887" i="31"/>
  <c r="BT25" i="31" s="1"/>
  <c r="BS42" i="31" l="1"/>
  <c r="DK92" i="9"/>
  <c r="DK94" i="9" s="1"/>
  <c r="BS39" i="31"/>
  <c r="CM144" i="10"/>
  <c r="CM79" i="10"/>
  <c r="CM78" i="10"/>
  <c r="CM77" i="10"/>
  <c r="CM76" i="10"/>
  <c r="CM75" i="10"/>
  <c r="CM74" i="10"/>
  <c r="CM73" i="10"/>
  <c r="CM70" i="10"/>
  <c r="CM69" i="10"/>
  <c r="CM68" i="10"/>
  <c r="CM67" i="10"/>
  <c r="CM66" i="10"/>
  <c r="CM65" i="10"/>
  <c r="CM59" i="10"/>
  <c r="CM136" i="10"/>
  <c r="BT893" i="31"/>
  <c r="BT199" i="31"/>
  <c r="BT254" i="31"/>
  <c r="BT39" i="31"/>
  <c r="DL92" i="9"/>
  <c r="DL94" i="9" s="1"/>
  <c r="BT36" i="31"/>
  <c r="BS254" i="31"/>
  <c r="BS199" i="31"/>
  <c r="BS28" i="31"/>
  <c r="BS893" i="31"/>
  <c r="DL79" i="9"/>
  <c r="DL39" i="9"/>
  <c r="DL68" i="9"/>
  <c r="CM175" i="10" s="1"/>
  <c r="DL38" i="9"/>
  <c r="DL76" i="9"/>
  <c r="CM85" i="10"/>
  <c r="CM86" i="10" s="1"/>
  <c r="DL77" i="9"/>
  <c r="DL78" i="9"/>
  <c r="DL71" i="9" l="1"/>
  <c r="DL50" i="9" s="1"/>
  <c r="BX21" i="31"/>
  <c r="CM61" i="10"/>
  <c r="CM60" i="10"/>
  <c r="DL80" i="9"/>
  <c r="DL70" i="9"/>
  <c r="DL122" i="9"/>
  <c r="DL125" i="9"/>
  <c r="DL127" i="9" s="1"/>
  <c r="DL43" i="9"/>
  <c r="CM97" i="10"/>
  <c r="DL133" i="9"/>
  <c r="DK112" i="9"/>
  <c r="BS31" i="31"/>
  <c r="DK108" i="9"/>
  <c r="DK106" i="9"/>
  <c r="DK107" i="9"/>
  <c r="DK103" i="9"/>
  <c r="DK110" i="9"/>
  <c r="DK111" i="9"/>
  <c r="DK104" i="9"/>
  <c r="DK102" i="9"/>
  <c r="BS260" i="31"/>
  <c r="BT42" i="31"/>
  <c r="BT260" i="31"/>
  <c r="BX1293" i="31" l="1"/>
  <c r="BX1288" i="31" s="1"/>
  <c r="BX1271" i="31"/>
  <c r="BX1266" i="31" s="1"/>
  <c r="BX1282" i="31"/>
  <c r="BX1277" i="31" s="1"/>
  <c r="BX1260" i="31"/>
  <c r="BX1255" i="31" s="1"/>
  <c r="BX1224" i="31"/>
  <c r="BX1219" i="31" s="1"/>
  <c r="BX1212" i="31"/>
  <c r="BX1207" i="31" s="1"/>
  <c r="BX1063" i="31"/>
  <c r="BX1058" i="31" s="1"/>
  <c r="BX1052" i="31"/>
  <c r="BX1047" i="31" s="1"/>
  <c r="BX1074" i="31"/>
  <c r="BX1069" i="31" s="1"/>
  <c r="BX1018" i="31"/>
  <c r="BX1013" i="31" s="1"/>
  <c r="BX1041" i="31"/>
  <c r="BX1036" i="31" s="1"/>
  <c r="BX1007" i="31"/>
  <c r="BX1002" i="31" s="1"/>
  <c r="BX1191" i="31"/>
  <c r="BX1169" i="31"/>
  <c r="BX1355" i="31"/>
  <c r="BX633" i="31"/>
  <c r="BX187" i="31"/>
  <c r="BX20" i="31"/>
  <c r="BX110" i="31"/>
  <c r="BX165" i="31"/>
  <c r="DL5" i="9"/>
  <c r="BX765" i="31"/>
  <c r="BX449" i="31"/>
  <c r="BX313" i="31"/>
  <c r="BX732" i="31"/>
  <c r="BX461" i="31"/>
  <c r="BX416" i="31"/>
  <c r="BX405" i="31"/>
  <c r="BX383" i="31"/>
  <c r="BX259" i="31"/>
  <c r="BX438" i="31"/>
  <c r="BX176" i="31"/>
  <c r="BX394" i="31"/>
  <c r="BX372" i="31"/>
  <c r="BX302" i="31"/>
  <c r="BX121" i="31"/>
  <c r="BX88" i="31"/>
  <c r="BX1494" i="31"/>
  <c r="BX63" i="31"/>
  <c r="BX699" i="31"/>
  <c r="BX77" i="31"/>
  <c r="BX270" i="31"/>
  <c r="BX198" i="31"/>
  <c r="BX892" i="31"/>
  <c r="BX41" i="31"/>
  <c r="CM62" i="10"/>
  <c r="DK115" i="9"/>
  <c r="CO36" i="11"/>
  <c r="DL81" i="9"/>
  <c r="DL52" i="9"/>
  <c r="DL121" i="9"/>
  <c r="DL72" i="9"/>
  <c r="CM176" i="10" s="1"/>
  <c r="DL55" i="9"/>
  <c r="DL45" i="9"/>
  <c r="CM36" i="10"/>
  <c r="DK114" i="9"/>
  <c r="DL49" i="9"/>
  <c r="BX1024" i="31" l="1"/>
  <c r="BX1003" i="31"/>
  <c r="CC1212" i="31"/>
  <c r="BX1208" i="31"/>
  <c r="BX1037" i="31"/>
  <c r="CC1224" i="31"/>
  <c r="BX1220" i="31"/>
  <c r="BX1014" i="31"/>
  <c r="BX1256" i="31"/>
  <c r="BX1070" i="31"/>
  <c r="BX1278" i="31"/>
  <c r="BX1048" i="31"/>
  <c r="BX1267" i="31"/>
  <c r="BX1059" i="31"/>
  <c r="BX1289" i="31"/>
  <c r="DK116" i="9"/>
  <c r="DL8" i="9"/>
  <c r="DL56" i="9"/>
  <c r="DL53" i="9"/>
  <c r="CM41" i="10"/>
  <c r="DL57" i="9"/>
  <c r="DL54" i="9"/>
  <c r="CM185" i="10"/>
  <c r="DL82" i="9"/>
  <c r="DL83" i="9" s="1"/>
  <c r="BX1273" i="31" l="1"/>
  <c r="BX1284" i="31"/>
  <c r="BX1020" i="31"/>
  <c r="CC1214" i="31"/>
  <c r="BX1214" i="31"/>
  <c r="CC1226" i="31"/>
  <c r="BX1226" i="31"/>
  <c r="BX1295" i="31"/>
  <c r="BX1262" i="31"/>
  <c r="BX1009" i="31"/>
  <c r="BX1076" i="31"/>
  <c r="BX1054" i="31"/>
  <c r="BX1065" i="31"/>
  <c r="BX1043" i="31"/>
  <c r="BX1025" i="31"/>
  <c r="BX1029" i="31"/>
  <c r="BX1030" i="31" s="1"/>
  <c r="CO29" i="11"/>
  <c r="BX1031" i="31" l="1"/>
  <c r="BU196" i="31" l="1"/>
  <c r="BV191" i="31"/>
  <c r="BV196" i="31" l="1"/>
  <c r="BX196" i="31" l="1"/>
  <c r="BY196" i="31"/>
  <c r="BY193" i="31"/>
  <c r="CD199" i="31" s="1"/>
  <c r="BX193" i="31"/>
  <c r="CC199" i="31" s="1"/>
  <c r="BX199" i="31" l="1"/>
  <c r="BX260" i="31"/>
  <c r="BY199" i="31"/>
  <c r="BY260" i="31"/>
  <c r="CA252" i="31"/>
  <c r="CA191" i="31" s="1"/>
  <c r="BZ196" i="31" l="1"/>
  <c r="CA196" i="31" l="1"/>
  <c r="CK112" i="10" l="1"/>
  <c r="CM108" i="10"/>
  <c r="CM109" i="10" l="1"/>
  <c r="CM112" i="10"/>
  <c r="CM124" i="10" s="1"/>
  <c r="CN112" i="10" l="1"/>
  <c r="CN124" i="10" s="1"/>
  <c r="CO110" i="10"/>
  <c r="CT108" i="10" s="1"/>
  <c r="CP108" i="10" l="1"/>
  <c r="CO112" i="10"/>
  <c r="CO109" i="10"/>
  <c r="CP112" i="10" l="1"/>
  <c r="CP109" i="10"/>
  <c r="CM123" i="10" l="1"/>
  <c r="CM125" i="10" s="1"/>
  <c r="CN123" i="10" s="1"/>
  <c r="CN125" i="10" s="1"/>
  <c r="CN190" i="10" l="1"/>
  <c r="CN188" i="10"/>
  <c r="CO51" i="10"/>
  <c r="CM190" i="10"/>
  <c r="CM188" i="10"/>
  <c r="CM52" i="10"/>
  <c r="CO48" i="11" l="1"/>
  <c r="CM93" i="10"/>
  <c r="CM180" i="10"/>
  <c r="CM179" i="10"/>
  <c r="CM92" i="10"/>
  <c r="CN184" i="10"/>
  <c r="CM173" i="10"/>
  <c r="CM192" i="10"/>
  <c r="CM191" i="10" s="1"/>
  <c r="CM54" i="10"/>
  <c r="CO190" i="10"/>
  <c r="CO188" i="10"/>
  <c r="CM181" i="10" l="1"/>
  <c r="CO52" i="11"/>
  <c r="CI129" i="10" l="1"/>
  <c r="CH129" i="10"/>
  <c r="CG129" i="10"/>
  <c r="CF129" i="10"/>
  <c r="CM128" i="10"/>
  <c r="DK119" i="9"/>
  <c r="CJ129" i="10" l="1"/>
  <c r="CJ131" i="10" s="1"/>
  <c r="CK128" i="10" s="1"/>
  <c r="CK129" i="10" s="1"/>
  <c r="DK121" i="9"/>
  <c r="CL140" i="10"/>
  <c r="CN29" i="11"/>
  <c r="CL149" i="10"/>
  <c r="CM149" i="10"/>
  <c r="CL143" i="10" l="1"/>
  <c r="CO128" i="10"/>
  <c r="CN36" i="11"/>
  <c r="CN52" i="11" l="1"/>
  <c r="CM146" i="10" l="1"/>
  <c r="CL146" i="10"/>
  <c r="CM147" i="10" l="1"/>
  <c r="CM148" i="10" s="1"/>
  <c r="CL147" i="10"/>
  <c r="CL148" i="10" s="1"/>
  <c r="CO24" i="10" l="1"/>
  <c r="CM220" i="10" l="1"/>
  <c r="CM169" i="10"/>
  <c r="CM96" i="10"/>
  <c r="CM98" i="10" s="1"/>
  <c r="CM216" i="10"/>
  <c r="CM20" i="10"/>
  <c r="DL131" i="9"/>
  <c r="CM27" i="10" l="1"/>
  <c r="DL134" i="9"/>
  <c r="DL135" i="9" s="1"/>
  <c r="CM168" i="10"/>
  <c r="CM167" i="10"/>
  <c r="CM91" i="10"/>
  <c r="CM172" i="10" l="1"/>
  <c r="CM218" i="10"/>
  <c r="CM56" i="10"/>
  <c r="CM217" i="10"/>
  <c r="CI196" i="10"/>
  <c r="CH196" i="10"/>
  <c r="CG196" i="10"/>
  <c r="CF196" i="10"/>
  <c r="CL201" i="10"/>
  <c r="CI116" i="10"/>
  <c r="CJ116" i="10" s="1"/>
  <c r="CJ118" i="10" s="1"/>
  <c r="CJ196" i="10" l="1"/>
  <c r="CJ197" i="10" s="1"/>
  <c r="CO195" i="10" s="1"/>
  <c r="CO115" i="10"/>
  <c r="CK115" i="10"/>
  <c r="CK116" i="10" s="1"/>
  <c r="CJ103" i="10"/>
  <c r="CJ104" i="10" s="1"/>
  <c r="CJ120" i="10"/>
  <c r="CK195" i="10" l="1"/>
  <c r="CK196" i="10" s="1"/>
  <c r="CO196" i="10" s="1"/>
  <c r="CO197" i="10" s="1"/>
  <c r="CJ186" i="10"/>
  <c r="CJ191" i="10" s="1"/>
  <c r="CK120" i="10"/>
  <c r="CP195" i="10" l="1"/>
  <c r="CP196" i="10" s="1"/>
  <c r="CT195" i="10"/>
  <c r="CQ195" i="10"/>
  <c r="CQ196" i="10" s="1"/>
  <c r="CT196" i="10" l="1"/>
  <c r="CT197" i="10" s="1"/>
  <c r="CY195" i="10" s="1"/>
  <c r="DK143" i="9"/>
  <c r="DK144" i="9" s="1"/>
  <c r="CU195" i="10" l="1"/>
  <c r="CU196" i="10" s="1"/>
  <c r="CY196" i="10" l="1"/>
  <c r="CY197" i="10" s="1"/>
  <c r="CZ195" i="10" l="1"/>
  <c r="CZ196" i="10" s="1"/>
  <c r="DD196" i="10" s="1"/>
  <c r="DD195" i="10"/>
  <c r="DD197" i="10" l="1"/>
  <c r="DI195" i="10" s="1"/>
  <c r="DE195" i="10" l="1"/>
  <c r="DE196" i="10" s="1"/>
  <c r="BU716" i="31" l="1"/>
  <c r="BU719" i="31"/>
  <c r="CF714" i="31" l="1"/>
  <c r="BV716" i="31"/>
  <c r="CE716" i="31"/>
  <c r="BZ716" i="31"/>
  <c r="CA714" i="31"/>
  <c r="BU697" i="31"/>
  <c r="BU694" i="31"/>
  <c r="BU722" i="31"/>
  <c r="BV692" i="31"/>
  <c r="BV758" i="31" s="1"/>
  <c r="CA716" i="31" l="1"/>
  <c r="CF719" i="31"/>
  <c r="CK714" i="31"/>
  <c r="BZ722" i="31"/>
  <c r="CE722" i="31"/>
  <c r="CJ716" i="31"/>
  <c r="CF716" i="31"/>
  <c r="BV763" i="31"/>
  <c r="BV697" i="31"/>
  <c r="CA692" i="31"/>
  <c r="BU700" i="31"/>
  <c r="BV694" i="31"/>
  <c r="BZ697" i="31"/>
  <c r="CO722" i="31" l="1"/>
  <c r="CK719" i="31"/>
  <c r="CF722" i="31"/>
  <c r="CJ722" i="31"/>
  <c r="CP714" i="31"/>
  <c r="CK716" i="31"/>
  <c r="BV700" i="31"/>
  <c r="CA697" i="31"/>
  <c r="CU714" i="31" l="1"/>
  <c r="CK722" i="31"/>
  <c r="CP719" i="31"/>
  <c r="CP716" i="31"/>
  <c r="CZ719" i="31" l="1"/>
  <c r="CU719" i="31"/>
  <c r="CU716" i="31"/>
  <c r="CP722" i="31"/>
  <c r="CB50" i="31"/>
  <c r="CZ722" i="31" l="1"/>
  <c r="CU722" i="31"/>
  <c r="BX15" i="31"/>
  <c r="DP97" i="9"/>
  <c r="BX51" i="31"/>
  <c r="BX52" i="31" s="1"/>
  <c r="BX29" i="31"/>
  <c r="BX30" i="31" s="1"/>
  <c r="BX50" i="31"/>
  <c r="DP96" i="9"/>
  <c r="BW50" i="31"/>
  <c r="DO96" i="9"/>
  <c r="DD719" i="31" l="1"/>
  <c r="DP98" i="9"/>
  <c r="BX53" i="31"/>
  <c r="CB51" i="31" l="1"/>
  <c r="DO24" i="9" l="1"/>
  <c r="BW51" i="31"/>
  <c r="BW52" i="31" s="1"/>
  <c r="DO97" i="9"/>
  <c r="DO98" i="9" s="1"/>
  <c r="CB53" i="31" l="1"/>
  <c r="CP83" i="10"/>
  <c r="DO67" i="9"/>
  <c r="DO66" i="9"/>
  <c r="DO65" i="9"/>
  <c r="CP174" i="10" s="1"/>
  <c r="DO78" i="9"/>
  <c r="DO2" i="9"/>
  <c r="DO4" i="9" s="1"/>
  <c r="DO75" i="9"/>
  <c r="BW53" i="31"/>
  <c r="DO77" i="9" l="1"/>
  <c r="DO76" i="9"/>
  <c r="DO29" i="9"/>
  <c r="DO38" i="9" s="1"/>
  <c r="DO68" i="9" l="1"/>
  <c r="CP175" i="10" s="1"/>
  <c r="DO79" i="9"/>
  <c r="DO39" i="9"/>
  <c r="DO71" i="9" l="1"/>
  <c r="DO50" i="9" s="1"/>
  <c r="DO70" i="9"/>
  <c r="DO122" i="9"/>
  <c r="DO80" i="9"/>
  <c r="DO125" i="9"/>
  <c r="DO127" i="9" s="1"/>
  <c r="DO49" i="9"/>
  <c r="DO43" i="9"/>
  <c r="DO55" i="9" l="1"/>
  <c r="DO72" i="9"/>
  <c r="CP176" i="10" s="1"/>
  <c r="DO45" i="9"/>
  <c r="DO81" i="9"/>
  <c r="DO121" i="9"/>
  <c r="DO5" i="9"/>
  <c r="DO57" i="9" l="1"/>
  <c r="CP185" i="10"/>
  <c r="BU890" i="31" l="1"/>
  <c r="BU34" i="31"/>
  <c r="BU75" i="31"/>
  <c r="BU72" i="31"/>
  <c r="BV70" i="31"/>
  <c r="CA75" i="31" s="1"/>
  <c r="BV75" i="31" l="1"/>
  <c r="BV72" i="31"/>
  <c r="CA78" i="31" s="1"/>
  <c r="BU78" i="31"/>
  <c r="BU39" i="31"/>
  <c r="DM92" i="9"/>
  <c r="BV78" i="31" l="1"/>
  <c r="BT197" i="31" l="1"/>
  <c r="BT198" i="31" s="1"/>
  <c r="BS197" i="31"/>
  <c r="BS198" i="31" s="1"/>
  <c r="BR197" i="31"/>
  <c r="BR198" i="31" s="1"/>
  <c r="BU258" i="31" l="1"/>
  <c r="BU259" i="31" s="1"/>
  <c r="BU197" i="31"/>
  <c r="BU198" i="31" s="1"/>
  <c r="BU193" i="31"/>
  <c r="CF253" i="31" l="1"/>
  <c r="CE254" i="31"/>
  <c r="CA253" i="31"/>
  <c r="BU199" i="31"/>
  <c r="BU254" i="31"/>
  <c r="BZ260" i="31" s="1"/>
  <c r="CE260" i="31" l="1"/>
  <c r="CJ254" i="31"/>
  <c r="CF258" i="31"/>
  <c r="CF254" i="31"/>
  <c r="CA258" i="31"/>
  <c r="CA192" i="31"/>
  <c r="CA254" i="31"/>
  <c r="BU260" i="31"/>
  <c r="BZ193" i="31"/>
  <c r="BZ197" i="31"/>
  <c r="CJ260" i="31" l="1"/>
  <c r="CO260" i="31"/>
  <c r="CP253" i="31"/>
  <c r="CU258" i="31" s="1"/>
  <c r="CF260" i="31"/>
  <c r="CA193" i="31"/>
  <c r="BZ199" i="31"/>
  <c r="CP254" i="31" l="1"/>
  <c r="CU260" i="31" l="1"/>
  <c r="BU269" i="31"/>
  <c r="BU270" i="31" s="1"/>
  <c r="BU265" i="31"/>
  <c r="BU448" i="31"/>
  <c r="BU449" i="31" s="1"/>
  <c r="BU444" i="31"/>
  <c r="BT444" i="31"/>
  <c r="BV264" i="31"/>
  <c r="BV269" i="31" l="1"/>
  <c r="BV270" i="31" s="1"/>
  <c r="BV265" i="31"/>
  <c r="BY444" i="31"/>
  <c r="BT450" i="31"/>
  <c r="BU450" i="31"/>
  <c r="BU271" i="31"/>
  <c r="BY450" i="31" l="1"/>
  <c r="BY269" i="31"/>
  <c r="BY265" i="31"/>
  <c r="BY886" i="31"/>
  <c r="BY24" i="31" s="1"/>
  <c r="BV271" i="31"/>
  <c r="BY891" i="31" l="1"/>
  <c r="BY35" i="31"/>
  <c r="BY271" i="31"/>
  <c r="BY40" i="31" l="1"/>
  <c r="DQ93" i="9"/>
  <c r="BU471" i="31" l="1"/>
  <c r="BU467" i="31"/>
  <c r="BU886" i="31"/>
  <c r="CA466" i="31" l="1"/>
  <c r="BZ471" i="31"/>
  <c r="BU887" i="31"/>
  <c r="BU35" i="31"/>
  <c r="BU891" i="31"/>
  <c r="BU892" i="31" s="1"/>
  <c r="BU473" i="31"/>
  <c r="CA471" i="31" l="1"/>
  <c r="BU36" i="31"/>
  <c r="DM93" i="9"/>
  <c r="DM94" i="9" s="1"/>
  <c r="BU40" i="31"/>
  <c r="BU41" i="31" s="1"/>
  <c r="BU893" i="31"/>
  <c r="BU42" i="31" l="1"/>
  <c r="DM24" i="9"/>
  <c r="DN23" i="9"/>
  <c r="DM75" i="9" l="1"/>
  <c r="CN83" i="10"/>
  <c r="CP84" i="10" s="1"/>
  <c r="DM2" i="9"/>
  <c r="DM4" i="9" s="1"/>
  <c r="DM7" i="9" s="1"/>
  <c r="CP136" i="10" l="1"/>
  <c r="CP79" i="10"/>
  <c r="CP78" i="10"/>
  <c r="CP77" i="10"/>
  <c r="CP76" i="10"/>
  <c r="CP75" i="10"/>
  <c r="CP74" i="10"/>
  <c r="CP73" i="10"/>
  <c r="CP70" i="10"/>
  <c r="CP69" i="10"/>
  <c r="CP68" i="10"/>
  <c r="CP67" i="10"/>
  <c r="CP66" i="10"/>
  <c r="CP65" i="10"/>
  <c r="CP216" i="10" s="1"/>
  <c r="CP59" i="10"/>
  <c r="CN84" i="10"/>
  <c r="CN79" i="10" l="1"/>
  <c r="CN78" i="10"/>
  <c r="CN77" i="10"/>
  <c r="CN76" i="10"/>
  <c r="CN75" i="10"/>
  <c r="CN74" i="10"/>
  <c r="CN73" i="10"/>
  <c r="CN70" i="10"/>
  <c r="CN69" i="10"/>
  <c r="CN68" i="10"/>
  <c r="CN67" i="10"/>
  <c r="CN66" i="10"/>
  <c r="CN59" i="10"/>
  <c r="CN144" i="10"/>
  <c r="CO34" i="10"/>
  <c r="CO40" i="10"/>
  <c r="DM66" i="9" l="1"/>
  <c r="DO133" i="9"/>
  <c r="CO39" i="10"/>
  <c r="CO26" i="10"/>
  <c r="CO19" i="10"/>
  <c r="CO35" i="10"/>
  <c r="CO18" i="10"/>
  <c r="CO25" i="10"/>
  <c r="CO21" i="10"/>
  <c r="DM133" i="9"/>
  <c r="CO16" i="10"/>
  <c r="CO33" i="10"/>
  <c r="CO38" i="10"/>
  <c r="DM77" i="9"/>
  <c r="DM78" i="9"/>
  <c r="DM67" i="9"/>
  <c r="CN85" i="10"/>
  <c r="CP86" i="10" s="1"/>
  <c r="DM76" i="9"/>
  <c r="DM29" i="9"/>
  <c r="DM65" i="9"/>
  <c r="CN174" i="10" s="1"/>
  <c r="CP61" i="10" l="1"/>
  <c r="CP60" i="10"/>
  <c r="DM38" i="9"/>
  <c r="DM79" i="9"/>
  <c r="DM39" i="9"/>
  <c r="DM68" i="9"/>
  <c r="CN175" i="10" s="1"/>
  <c r="CN86" i="10"/>
  <c r="DN133" i="9"/>
  <c r="CP62" i="10" l="1"/>
  <c r="DM43" i="9"/>
  <c r="CN61" i="10"/>
  <c r="CN60" i="10"/>
  <c r="CR36" i="11"/>
  <c r="DM49" i="9"/>
  <c r="DM70" i="9"/>
  <c r="DM80" i="9"/>
  <c r="DM122" i="9"/>
  <c r="DM125" i="9"/>
  <c r="DM127" i="9" s="1"/>
  <c r="CR28" i="11"/>
  <c r="CN62" i="10" l="1"/>
  <c r="DM81" i="9"/>
  <c r="DM5" i="9"/>
  <c r="DM55" i="9"/>
  <c r="DM45" i="9"/>
  <c r="DM72" i="9"/>
  <c r="CN176" i="10" s="1"/>
  <c r="DM56" i="9"/>
  <c r="CO17" i="10"/>
  <c r="CN97" i="10"/>
  <c r="CN36" i="10"/>
  <c r="CO32" i="10"/>
  <c r="DM71" i="9"/>
  <c r="DM50" i="9" l="1"/>
  <c r="DN50" i="9" s="1"/>
  <c r="CO36" i="10"/>
  <c r="CN41" i="10"/>
  <c r="CO97" i="10"/>
  <c r="DM57" i="9"/>
  <c r="CN185" i="10"/>
  <c r="DM8" i="9"/>
  <c r="DM82" i="9"/>
  <c r="DM83" i="9" s="1"/>
  <c r="CN52" i="10" l="1"/>
  <c r="CO50" i="10"/>
  <c r="CO41" i="10"/>
  <c r="CN93" i="10" l="1"/>
  <c r="CP149" i="10"/>
  <c r="CO22" i="10"/>
  <c r="CO52" i="10"/>
  <c r="CN54" i="10"/>
  <c r="CN179" i="10"/>
  <c r="CN180" i="10"/>
  <c r="CN192" i="10"/>
  <c r="CN173" i="10"/>
  <c r="CT184" i="10" l="1"/>
  <c r="CN181" i="10"/>
  <c r="CO54" i="10"/>
  <c r="CO179" i="10"/>
  <c r="CO180" i="10"/>
  <c r="CP184" i="10"/>
  <c r="CO192" i="10"/>
  <c r="CQ149" i="10"/>
  <c r="CO93" i="10"/>
  <c r="CO27" i="10" l="1"/>
  <c r="CO181" i="10"/>
  <c r="CO56" i="10" l="1"/>
  <c r="CN20" i="10"/>
  <c r="CN169" i="10"/>
  <c r="CN220" i="10"/>
  <c r="DM131" i="9"/>
  <c r="DM134" i="9" s="1"/>
  <c r="DM135" i="9" s="1"/>
  <c r="CO14" i="10"/>
  <c r="CN96" i="10"/>
  <c r="CN98" i="10" s="1"/>
  <c r="CN65" i="10"/>
  <c r="CN216" i="10" s="1"/>
  <c r="CO218" i="10"/>
  <c r="CN27" i="10" l="1"/>
  <c r="CO20" i="10"/>
  <c r="DN131" i="9"/>
  <c r="CO169" i="10"/>
  <c r="CO220" i="10"/>
  <c r="CO217" i="10"/>
  <c r="CO96" i="10"/>
  <c r="CO98" i="10" s="1"/>
  <c r="DM143" i="9"/>
  <c r="DM144" i="9" s="1"/>
  <c r="CN91" i="10"/>
  <c r="CN167" i="10"/>
  <c r="CN168" i="10"/>
  <c r="CN218" i="10" l="1"/>
  <c r="CN56" i="10"/>
  <c r="CN172" i="10"/>
  <c r="CN217" i="10"/>
  <c r="DN134" i="9"/>
  <c r="DN135" i="9" s="1"/>
  <c r="CO91" i="10"/>
  <c r="CO167" i="10"/>
  <c r="CO168" i="10"/>
  <c r="DN141" i="9" l="1"/>
  <c r="DN143" i="9"/>
  <c r="DN144" i="9" s="1"/>
  <c r="CK42" i="11"/>
  <c r="CL42" i="11" s="1"/>
  <c r="CK43" i="11"/>
  <c r="CL43" i="11" s="1"/>
  <c r="CK45" i="11"/>
  <c r="CJ22" i="11"/>
  <c r="CK26" i="11"/>
  <c r="CL26" i="11" s="1"/>
  <c r="CK25" i="11"/>
  <c r="CL25" i="11" s="1"/>
  <c r="CK12" i="11"/>
  <c r="CL12" i="11" s="1"/>
  <c r="CK23" i="11"/>
  <c r="CL23" i="11" s="1"/>
  <c r="CK24" i="11"/>
  <c r="CL24" i="11" s="1"/>
  <c r="CI206" i="10"/>
  <c r="CJ206" i="10" s="1"/>
  <c r="CJ207" i="10" s="1"/>
  <c r="CJ159" i="10"/>
  <c r="CJ161" i="10" s="1"/>
  <c r="CK158" i="10" s="1"/>
  <c r="CK159" i="10" s="1"/>
  <c r="CI124" i="10"/>
  <c r="CJ124" i="10" s="1"/>
  <c r="CJ125" i="10" s="1"/>
  <c r="CI211" i="10"/>
  <c r="CJ211" i="10" s="1"/>
  <c r="CJ212" i="10" s="1"/>
  <c r="CI154" i="10"/>
  <c r="CJ154" i="10" s="1"/>
  <c r="CJ155" i="10" s="1"/>
  <c r="CF201" i="10"/>
  <c r="CG201" i="10"/>
  <c r="CH201" i="10"/>
  <c r="CI201" i="10"/>
  <c r="CK162" i="10"/>
  <c r="V36" i="10"/>
  <c r="V41" i="10" s="1"/>
  <c r="V54" i="10" s="1"/>
  <c r="U41" i="10"/>
  <c r="U54" i="10" s="1"/>
  <c r="U56" i="10" s="1"/>
  <c r="BJ36" i="10"/>
  <c r="BK36" i="10" s="1"/>
  <c r="BE36" i="10"/>
  <c r="BF36" i="10" s="1"/>
  <c r="AZ36" i="10"/>
  <c r="BA36" i="10" s="1"/>
  <c r="AU36" i="10"/>
  <c r="AV36" i="10" s="1"/>
  <c r="R41" i="10"/>
  <c r="R54" i="10" s="1"/>
  <c r="R56" i="10" s="1"/>
  <c r="M41" i="10"/>
  <c r="M54" i="10" s="1"/>
  <c r="L27" i="10"/>
  <c r="M27" i="10" s="1"/>
  <c r="K27" i="10"/>
  <c r="J27" i="10"/>
  <c r="I27" i="10"/>
  <c r="H27" i="10"/>
  <c r="G27" i="10"/>
  <c r="F27" i="10"/>
  <c r="E27" i="10"/>
  <c r="D27" i="10"/>
  <c r="C27" i="10"/>
  <c r="V22" i="10"/>
  <c r="W22" i="10" s="1"/>
  <c r="BA133" i="10"/>
  <c r="L41" i="10"/>
  <c r="L54" i="10" s="1"/>
  <c r="Q41" i="10"/>
  <c r="Q54" i="10" s="1"/>
  <c r="AW36" i="10"/>
  <c r="AW41" i="10" s="1"/>
  <c r="AX36" i="10"/>
  <c r="AX41" i="10" s="1"/>
  <c r="AY36" i="10"/>
  <c r="AY41" i="10" s="1"/>
  <c r="BB36" i="10"/>
  <c r="BB41" i="10" s="1"/>
  <c r="BC36" i="10"/>
  <c r="BC41" i="10" s="1"/>
  <c r="BD36" i="10"/>
  <c r="BD41" i="10" s="1"/>
  <c r="BG36" i="10"/>
  <c r="BG41" i="10" s="1"/>
  <c r="BH36" i="10"/>
  <c r="BH41" i="10" s="1"/>
  <c r="BH54" i="10" s="1"/>
  <c r="BI36" i="10"/>
  <c r="BI41" i="10" s="1"/>
  <c r="D41" i="10"/>
  <c r="D54" i="10" s="1"/>
  <c r="C41" i="10"/>
  <c r="C54" i="10" s="1"/>
  <c r="E41" i="10"/>
  <c r="E54" i="10" s="1"/>
  <c r="F41" i="10"/>
  <c r="F54" i="10" s="1"/>
  <c r="G41" i="10"/>
  <c r="G54" i="10" s="1"/>
  <c r="H41" i="10"/>
  <c r="H54" i="10" s="1"/>
  <c r="I41" i="10"/>
  <c r="I54" i="10" s="1"/>
  <c r="J41" i="10"/>
  <c r="J54" i="10" s="1"/>
  <c r="K41" i="10"/>
  <c r="K54" i="10" s="1"/>
  <c r="N41" i="10"/>
  <c r="N54" i="10" s="1"/>
  <c r="O41" i="10"/>
  <c r="O54" i="10" s="1"/>
  <c r="P41" i="10"/>
  <c r="P54" i="10" s="1"/>
  <c r="S41" i="10"/>
  <c r="S54" i="10" s="1"/>
  <c r="T41" i="10"/>
  <c r="T54" i="10" s="1"/>
  <c r="AT93" i="10"/>
  <c r="U169" i="10"/>
  <c r="T169" i="10"/>
  <c r="S169" i="10"/>
  <c r="AT169" i="10"/>
  <c r="AS169" i="10"/>
  <c r="AR169" i="10"/>
  <c r="CE201" i="10"/>
  <c r="CD201" i="10"/>
  <c r="CC201" i="10"/>
  <c r="CB201" i="10"/>
  <c r="CA201" i="10"/>
  <c r="L56" i="10" l="1"/>
  <c r="BH169" i="10"/>
  <c r="BJ91" i="10"/>
  <c r="CK22" i="11"/>
  <c r="BJ168" i="10"/>
  <c r="BB168" i="10"/>
  <c r="BB91" i="10"/>
  <c r="AU169" i="10"/>
  <c r="AU167" i="10"/>
  <c r="AY91" i="10"/>
  <c r="AW91" i="10"/>
  <c r="BG91" i="10"/>
  <c r="AZ91" i="10"/>
  <c r="AZ168" i="10"/>
  <c r="CK163" i="10"/>
  <c r="BE168" i="10"/>
  <c r="BI91" i="10"/>
  <c r="BC91" i="10"/>
  <c r="BI169" i="10"/>
  <c r="BE91" i="10"/>
  <c r="BI168" i="10"/>
  <c r="BH167" i="10"/>
  <c r="BD168" i="10"/>
  <c r="AX168" i="10"/>
  <c r="V91" i="10"/>
  <c r="W36" i="10"/>
  <c r="BI167" i="10"/>
  <c r="BD91" i="10"/>
  <c r="AX91" i="10"/>
  <c r="BE41" i="10"/>
  <c r="BH168" i="10"/>
  <c r="BH91" i="10"/>
  <c r="BE169" i="10"/>
  <c r="BE167" i="10"/>
  <c r="BC168" i="10"/>
  <c r="AY168" i="10"/>
  <c r="AW168" i="10"/>
  <c r="AU168" i="10"/>
  <c r="AU91" i="10"/>
  <c r="V168" i="10"/>
  <c r="AU41" i="10"/>
  <c r="CK48" i="11"/>
  <c r="CJ29" i="11"/>
  <c r="CL45" i="11"/>
  <c r="CL162" i="10"/>
  <c r="AV169" i="10"/>
  <c r="AV167" i="10"/>
  <c r="BG168" i="10"/>
  <c r="BD169" i="10"/>
  <c r="BD167" i="10"/>
  <c r="BB169" i="10"/>
  <c r="BB167" i="10"/>
  <c r="AX169" i="10"/>
  <c r="AX167" i="10"/>
  <c r="U93" i="10"/>
  <c r="BJ41" i="10"/>
  <c r="BJ54" i="10" s="1"/>
  <c r="BJ181" i="10" s="1"/>
  <c r="BD54" i="10"/>
  <c r="BD181" i="10" s="1"/>
  <c r="BD93" i="10"/>
  <c r="AV41" i="10"/>
  <c r="Q93" i="10"/>
  <c r="Q56" i="10"/>
  <c r="Q181" i="10"/>
  <c r="BJ169" i="10"/>
  <c r="BJ167" i="10"/>
  <c r="BG169" i="10"/>
  <c r="BG167" i="10"/>
  <c r="BC169" i="10"/>
  <c r="BC167" i="10"/>
  <c r="AZ169" i="10"/>
  <c r="AZ167" i="10"/>
  <c r="AY169" i="10"/>
  <c r="AY167" i="10"/>
  <c r="AW169" i="10"/>
  <c r="AW167" i="10"/>
  <c r="V169" i="10"/>
  <c r="V167" i="10"/>
  <c r="AZ41" i="10"/>
  <c r="AV168" i="10"/>
  <c r="AV91" i="10"/>
  <c r="R181" i="10"/>
  <c r="CJ201" i="10"/>
  <c r="CJ202" i="10" s="1"/>
  <c r="CK200" i="10" s="1"/>
  <c r="CK201" i="10" s="1"/>
  <c r="CO201" i="10" s="1"/>
  <c r="P93" i="10"/>
  <c r="P181" i="10"/>
  <c r="T56" i="10"/>
  <c r="T93" i="10"/>
  <c r="N56" i="10"/>
  <c r="N93" i="10"/>
  <c r="BB54" i="10"/>
  <c r="BB181" i="10" s="1"/>
  <c r="BB93" i="10"/>
  <c r="AX54" i="10"/>
  <c r="AX181" i="10" s="1"/>
  <c r="AX93" i="10"/>
  <c r="AB134" i="10"/>
  <c r="AB137" i="10" s="1"/>
  <c r="BF41" i="10"/>
  <c r="BF167" i="10"/>
  <c r="BF169" i="10"/>
  <c r="BF91" i="10"/>
  <c r="BF168" i="10"/>
  <c r="BH93" i="10"/>
  <c r="R93" i="10"/>
  <c r="S56" i="10"/>
  <c r="S181" i="10"/>
  <c r="S93" i="10"/>
  <c r="O56" i="10"/>
  <c r="O181" i="10"/>
  <c r="O93" i="10"/>
  <c r="K56" i="10"/>
  <c r="K93" i="10"/>
  <c r="J56" i="10"/>
  <c r="J93" i="10"/>
  <c r="H56" i="10"/>
  <c r="H93" i="10"/>
  <c r="F56" i="10"/>
  <c r="F93" i="10"/>
  <c r="C93" i="10"/>
  <c r="C56" i="10"/>
  <c r="BI54" i="10"/>
  <c r="BI93" i="10"/>
  <c r="AW54" i="10"/>
  <c r="AW93" i="10"/>
  <c r="M93" i="10"/>
  <c r="M56" i="10"/>
  <c r="BK91" i="10"/>
  <c r="BK168" i="10"/>
  <c r="BK41" i="10"/>
  <c r="BK167" i="10"/>
  <c r="BK169" i="10"/>
  <c r="V56" i="10"/>
  <c r="V181" i="10"/>
  <c r="V93" i="10"/>
  <c r="CO158" i="10"/>
  <c r="CO159" i="10"/>
  <c r="CJ163" i="10"/>
  <c r="I56" i="10"/>
  <c r="I93" i="10"/>
  <c r="G56" i="10"/>
  <c r="G93" i="10"/>
  <c r="E56" i="10"/>
  <c r="E93" i="10"/>
  <c r="D56" i="10"/>
  <c r="D93" i="10"/>
  <c r="BH56" i="10"/>
  <c r="BH181" i="10"/>
  <c r="BG54" i="10"/>
  <c r="BG93" i="10"/>
  <c r="BC54" i="10"/>
  <c r="BC93" i="10"/>
  <c r="AY54" i="10"/>
  <c r="AY93" i="10"/>
  <c r="BA91" i="10"/>
  <c r="BA168" i="10"/>
  <c r="BA41" i="10"/>
  <c r="BA167" i="10"/>
  <c r="BA169" i="10"/>
  <c r="CO153" i="10"/>
  <c r="CK153" i="10"/>
  <c r="CK154" i="10" s="1"/>
  <c r="CO154" i="10" s="1"/>
  <c r="CO210" i="10"/>
  <c r="CK210" i="10"/>
  <c r="CK211" i="10" s="1"/>
  <c r="CO211" i="10" s="1"/>
  <c r="CK123" i="10"/>
  <c r="CK124" i="10" s="1"/>
  <c r="CO124" i="10" s="1"/>
  <c r="CO123" i="10"/>
  <c r="CO205" i="10"/>
  <c r="CK205" i="10"/>
  <c r="CK206" i="10" s="1"/>
  <c r="CO206" i="10" s="1"/>
  <c r="U181" i="10"/>
  <c r="T181" i="10"/>
  <c r="P56" i="10"/>
  <c r="N181" i="10"/>
  <c r="L93" i="10"/>
  <c r="CL28" i="11"/>
  <c r="CK28" i="11"/>
  <c r="CL22" i="11" l="1"/>
  <c r="CL29" i="11"/>
  <c r="AV93" i="10"/>
  <c r="AV54" i="10"/>
  <c r="W169" i="10"/>
  <c r="CL163" i="10"/>
  <c r="BD56" i="10"/>
  <c r="W41" i="10"/>
  <c r="CO200" i="10"/>
  <c r="CO202" i="10" s="1"/>
  <c r="CJ52" i="11"/>
  <c r="BB56" i="10"/>
  <c r="W91" i="10"/>
  <c r="W167" i="10"/>
  <c r="W168" i="10"/>
  <c r="BF54" i="10"/>
  <c r="BF93" i="10"/>
  <c r="BE54" i="10"/>
  <c r="BE93" i="10"/>
  <c r="CO212" i="10"/>
  <c r="CP210" i="10" s="1"/>
  <c r="CP211" i="10" s="1"/>
  <c r="AU54" i="10"/>
  <c r="AU93" i="10"/>
  <c r="CM162" i="10"/>
  <c r="BJ56" i="10"/>
  <c r="BJ93" i="10"/>
  <c r="CL48" i="11"/>
  <c r="CK29" i="11"/>
  <c r="AX56" i="10"/>
  <c r="CO161" i="10"/>
  <c r="AZ93" i="10"/>
  <c r="AZ54" i="10"/>
  <c r="CO125" i="10"/>
  <c r="CO155" i="10"/>
  <c r="BK54" i="10"/>
  <c r="BK93" i="10"/>
  <c r="AW181" i="10"/>
  <c r="AW56" i="10"/>
  <c r="BI181" i="10"/>
  <c r="BI56" i="10"/>
  <c r="CO207" i="10"/>
  <c r="BA54" i="10"/>
  <c r="BA93" i="10"/>
  <c r="AY181" i="10"/>
  <c r="AY56" i="10"/>
  <c r="BC181" i="10"/>
  <c r="BC56" i="10"/>
  <c r="BG181" i="10"/>
  <c r="BG56" i="10"/>
  <c r="CQ158" i="10"/>
  <c r="AV56" i="10" l="1"/>
  <c r="AV181" i="10"/>
  <c r="BF56" i="10"/>
  <c r="W54" i="10"/>
  <c r="W93" i="10"/>
  <c r="BF181" i="10"/>
  <c r="BE181" i="10"/>
  <c r="BE56" i="10"/>
  <c r="CT210" i="10"/>
  <c r="CN162" i="10"/>
  <c r="AU181" i="10"/>
  <c r="AU56" i="10"/>
  <c r="CM163" i="10"/>
  <c r="CL52" i="11"/>
  <c r="CP153" i="10"/>
  <c r="CP154" i="10" s="1"/>
  <c r="CT153" i="10"/>
  <c r="CP200" i="10"/>
  <c r="CP201" i="10" s="1"/>
  <c r="CT201" i="10" s="1"/>
  <c r="CT200" i="10"/>
  <c r="CP205" i="10"/>
  <c r="CP206" i="10" s="1"/>
  <c r="CT206" i="10" s="1"/>
  <c r="CT205" i="10"/>
  <c r="CP123" i="10"/>
  <c r="CP124" i="10" s="1"/>
  <c r="CT123" i="10"/>
  <c r="CP158" i="10"/>
  <c r="CP159" i="10" s="1"/>
  <c r="CT158" i="10"/>
  <c r="CK52" i="11"/>
  <c r="CO163" i="10"/>
  <c r="AZ56" i="10"/>
  <c r="AZ181" i="10"/>
  <c r="BA56" i="10"/>
  <c r="BA181" i="10"/>
  <c r="CQ153" i="10"/>
  <c r="BK56" i="10"/>
  <c r="BK181" i="10"/>
  <c r="W56" i="10" l="1"/>
  <c r="W181" i="10"/>
  <c r="CN163" i="10"/>
  <c r="CT207" i="10"/>
  <c r="CT202" i="10"/>
  <c r="CY200" i="10" s="1"/>
  <c r="CQ123" i="10"/>
  <c r="DO139" i="9"/>
  <c r="CR210" i="10"/>
  <c r="CU205" i="10" l="1"/>
  <c r="CU206" i="10" s="1"/>
  <c r="CY206" i="10" s="1"/>
  <c r="CY205" i="10"/>
  <c r="CU200" i="10"/>
  <c r="CU201" i="10" s="1"/>
  <c r="CY201" i="10" s="1"/>
  <c r="CY202" i="10" s="1"/>
  <c r="CP190" i="10"/>
  <c r="CP188" i="10"/>
  <c r="DO138" i="9"/>
  <c r="CP36" i="10"/>
  <c r="DP139" i="9"/>
  <c r="CZ200" i="10" l="1"/>
  <c r="DD200" i="10"/>
  <c r="CY207" i="10"/>
  <c r="DD205" i="10" s="1"/>
  <c r="CP41" i="10"/>
  <c r="CQ188" i="10"/>
  <c r="CQ190" i="10"/>
  <c r="DP138" i="9"/>
  <c r="DP140" i="9" s="1"/>
  <c r="DP141" i="9" s="1"/>
  <c r="CR29" i="11"/>
  <c r="DQ139" i="9"/>
  <c r="CQ95" i="10"/>
  <c r="DO140" i="9"/>
  <c r="DO141" i="9" s="1"/>
  <c r="CZ205" i="10" l="1"/>
  <c r="CZ206" i="10" s="1"/>
  <c r="DD206" i="10" s="1"/>
  <c r="DD207" i="10" s="1"/>
  <c r="DI205" i="10" s="1"/>
  <c r="DU138" i="9"/>
  <c r="CR95" i="10"/>
  <c r="DQ138" i="9"/>
  <c r="DQ140" i="9" s="1"/>
  <c r="DQ141" i="9" s="1"/>
  <c r="CT31" i="10"/>
  <c r="DR138" i="9"/>
  <c r="BU81" i="31"/>
  <c r="BU180" i="31" s="1"/>
  <c r="BV111" i="31"/>
  <c r="BV87" i="31"/>
  <c r="BV88" i="31" s="1"/>
  <c r="BV109" i="31"/>
  <c r="BV108" i="31"/>
  <c r="DE205" i="10" l="1"/>
  <c r="DE206" i="10" s="1"/>
  <c r="BV86" i="31"/>
  <c r="DV138" i="9"/>
  <c r="DX138" i="9"/>
  <c r="DW138" i="9"/>
  <c r="DS138" i="9"/>
  <c r="BU86" i="31"/>
  <c r="BU83" i="31"/>
  <c r="BV83" i="31"/>
  <c r="BV180" i="31" l="1"/>
  <c r="BU185" i="31"/>
  <c r="BU182" i="31"/>
  <c r="BU89" i="31"/>
  <c r="BV89" i="31"/>
  <c r="BU188" i="31" l="1"/>
  <c r="BV182" i="31"/>
  <c r="BV185" i="31"/>
  <c r="BV188" i="31" l="1"/>
  <c r="CA260" i="31" l="1"/>
  <c r="BV260" i="31"/>
  <c r="BV258" i="31"/>
  <c r="BV259" i="31" s="1"/>
  <c r="BV192" i="31"/>
  <c r="BV886" i="31" l="1"/>
  <c r="CA197" i="31"/>
  <c r="BV193" i="31"/>
  <c r="BV197" i="31"/>
  <c r="BV198" i="31" s="1"/>
  <c r="BV891" i="31" l="1"/>
  <c r="BV892" i="31" s="1"/>
  <c r="BV35" i="31"/>
  <c r="BV199" i="31"/>
  <c r="CA199" i="31"/>
  <c r="BV40" i="31" l="1"/>
  <c r="BV41" i="31" s="1"/>
  <c r="DN93" i="9"/>
  <c r="CA279" i="31"/>
  <c r="CA282" i="31"/>
  <c r="BV282" i="31"/>
  <c r="BV279" i="31"/>
  <c r="BV280" i="31"/>
  <c r="BV325" i="31" l="1"/>
  <c r="BV323" i="31"/>
  <c r="BV324" i="31" s="1"/>
  <c r="BV322" i="31"/>
  <c r="CP318" i="31" l="1"/>
  <c r="CJ319" i="31"/>
  <c r="CK318" i="31"/>
  <c r="CE319" i="31"/>
  <c r="CF318" i="31"/>
  <c r="BZ319" i="31"/>
  <c r="CA318" i="31"/>
  <c r="BV336" i="31"/>
  <c r="CA333" i="31"/>
  <c r="BV295" i="31"/>
  <c r="CA300" i="31" s="1"/>
  <c r="BV296" i="31"/>
  <c r="BV334" i="31"/>
  <c r="BV333" i="31"/>
  <c r="CO325" i="31" l="1"/>
  <c r="CJ325" i="31"/>
  <c r="CP323" i="31"/>
  <c r="CP319" i="31"/>
  <c r="CA323" i="31"/>
  <c r="CF323" i="31"/>
  <c r="CE325" i="31"/>
  <c r="CK319" i="31"/>
  <c r="CK323" i="31"/>
  <c r="CF329" i="31"/>
  <c r="CF319" i="31"/>
  <c r="CE330" i="31"/>
  <c r="BZ330" i="31"/>
  <c r="CA329" i="31"/>
  <c r="BZ325" i="31"/>
  <c r="CA319" i="31"/>
  <c r="BV300" i="31"/>
  <c r="BV301" i="31"/>
  <c r="BV302" i="31" s="1"/>
  <c r="BV297" i="31"/>
  <c r="CP325" i="31" l="1"/>
  <c r="CP329" i="31"/>
  <c r="CK325" i="31"/>
  <c r="CF334" i="31"/>
  <c r="CF325" i="31"/>
  <c r="CE336" i="31"/>
  <c r="CJ330" i="31"/>
  <c r="CK329" i="31"/>
  <c r="CF330" i="31"/>
  <c r="BZ336" i="31"/>
  <c r="CA330" i="31"/>
  <c r="CA325" i="31"/>
  <c r="CA334" i="31"/>
  <c r="BV303" i="31"/>
  <c r="BV388" i="31"/>
  <c r="BV387" i="31"/>
  <c r="CO336" i="31" l="1"/>
  <c r="CU334" i="31"/>
  <c r="CF336" i="31"/>
  <c r="CJ336" i="31"/>
  <c r="CP330" i="31"/>
  <c r="CK334" i="31"/>
  <c r="CP334" i="31"/>
  <c r="CK330" i="31"/>
  <c r="CA336" i="31"/>
  <c r="BV392" i="31"/>
  <c r="BV389" i="31"/>
  <c r="BU404" i="31"/>
  <c r="BU405" i="31" s="1"/>
  <c r="BU388" i="31"/>
  <c r="BU403" i="31"/>
  <c r="BU400" i="31"/>
  <c r="BV393" i="31"/>
  <c r="BV394" i="31" s="1"/>
  <c r="CU336" i="31" l="1"/>
  <c r="CK336" i="31"/>
  <c r="CP336" i="31"/>
  <c r="CF398" i="31"/>
  <c r="CF387" i="31" s="1"/>
  <c r="CE387" i="31"/>
  <c r="BV400" i="31"/>
  <c r="BU455" i="31"/>
  <c r="BU454" i="31"/>
  <c r="BU392" i="31"/>
  <c r="BU389" i="31"/>
  <c r="BZ387" i="31"/>
  <c r="CA398" i="31"/>
  <c r="BU406" i="31"/>
  <c r="BU393" i="31"/>
  <c r="BU394" i="31" s="1"/>
  <c r="BV395" i="31"/>
  <c r="CF403" i="31" l="1"/>
  <c r="CP398" i="31"/>
  <c r="CE392" i="31"/>
  <c r="CJ387" i="31"/>
  <c r="CO392" i="31" s="1"/>
  <c r="CK398" i="31"/>
  <c r="CA387" i="31"/>
  <c r="CF392" i="31" s="1"/>
  <c r="BV406" i="31"/>
  <c r="BZ392" i="31"/>
  <c r="CA403" i="31"/>
  <c r="BU395" i="31"/>
  <c r="CK387" i="31" l="1"/>
  <c r="CK392" i="31" s="1"/>
  <c r="CK403" i="31"/>
  <c r="CP403" i="31"/>
  <c r="CJ392" i="31"/>
  <c r="CA392" i="31"/>
  <c r="CP387" i="31" l="1"/>
  <c r="CP392" i="31" l="1"/>
  <c r="BT460" i="31" l="1"/>
  <c r="BT461" i="31" s="1"/>
  <c r="BS460" i="31"/>
  <c r="BS461" i="31" s="1"/>
  <c r="BU459" i="31"/>
  <c r="BU460" i="31"/>
  <c r="BU461" i="31" s="1"/>
  <c r="BU456" i="31"/>
  <c r="BV455" i="31"/>
  <c r="BV454" i="31"/>
  <c r="BU462" i="31" l="1"/>
  <c r="CA264" i="31"/>
  <c r="BV456" i="31"/>
  <c r="BV459" i="31"/>
  <c r="BV460" i="31"/>
  <c r="BV461" i="31" s="1"/>
  <c r="BZ269" i="31" l="1"/>
  <c r="CA269" i="31"/>
  <c r="CA263" i="31"/>
  <c r="BZ268" i="31"/>
  <c r="BZ265" i="31"/>
  <c r="BV462" i="31"/>
  <c r="BZ271" i="31" l="1"/>
  <c r="CA265" i="31"/>
  <c r="CA268" i="31"/>
  <c r="CA271" i="31" l="1"/>
  <c r="BV465" i="31" l="1"/>
  <c r="BV470" i="31" l="1"/>
  <c r="BV467" i="31"/>
  <c r="BV885" i="31"/>
  <c r="BV890" i="31" l="1"/>
  <c r="BV887" i="31"/>
  <c r="BV34" i="31"/>
  <c r="BV473" i="31"/>
  <c r="DN92" i="9" l="1"/>
  <c r="DN94" i="9" s="1"/>
  <c r="BV39" i="31"/>
  <c r="BV36" i="31"/>
  <c r="BV893" i="31"/>
  <c r="BV42" i="31" l="1"/>
  <c r="BV711" i="31" l="1"/>
  <c r="CA708" i="31"/>
  <c r="BV709" i="31"/>
  <c r="BV708" i="31"/>
  <c r="CE705" i="31" l="1"/>
  <c r="CA704" i="31"/>
  <c r="BZ705" i="31"/>
  <c r="BZ711" i="31" l="1"/>
  <c r="CE711" i="31"/>
  <c r="CJ705" i="31"/>
  <c r="CA709" i="31"/>
  <c r="CA693" i="31"/>
  <c r="BZ698" i="31"/>
  <c r="BZ694" i="31"/>
  <c r="BZ886" i="31"/>
  <c r="CA705" i="31"/>
  <c r="BV722" i="31"/>
  <c r="CA722" i="31"/>
  <c r="CA719" i="31"/>
  <c r="CA720" i="31"/>
  <c r="BV720" i="31"/>
  <c r="CO711" i="31" l="1"/>
  <c r="CJ711" i="31"/>
  <c r="CA886" i="31"/>
  <c r="CA35" i="31" s="1"/>
  <c r="CA694" i="31"/>
  <c r="BZ700" i="31"/>
  <c r="CA698" i="31"/>
  <c r="CA711" i="31"/>
  <c r="BZ35" i="31"/>
  <c r="BZ891" i="31"/>
  <c r="CA891" i="31" l="1"/>
  <c r="CA40" i="31"/>
  <c r="DR93" i="9"/>
  <c r="BZ40" i="31"/>
  <c r="CA700" i="31"/>
  <c r="DS93" i="9" l="1"/>
  <c r="DN22" i="9" l="1"/>
  <c r="DN24" i="9" s="1"/>
  <c r="BT50" i="31" l="1"/>
  <c r="DN75" i="9"/>
  <c r="CO83" i="10"/>
  <c r="CO84" i="10" s="1"/>
  <c r="DN2" i="9"/>
  <c r="DN4" i="9" s="1"/>
  <c r="DN7" i="9" s="1"/>
  <c r="DN29" i="9"/>
  <c r="CO79" i="10" l="1"/>
  <c r="CO78" i="10"/>
  <c r="CO77" i="10"/>
  <c r="CO76" i="10"/>
  <c r="CO75" i="10"/>
  <c r="CO74" i="10"/>
  <c r="CO73" i="10"/>
  <c r="CO70" i="10"/>
  <c r="CO69" i="10"/>
  <c r="CO68" i="10"/>
  <c r="CO67" i="10"/>
  <c r="CO66" i="10"/>
  <c r="CO59" i="10"/>
  <c r="DL96" i="9"/>
  <c r="DN79" i="9"/>
  <c r="DN68" i="9"/>
  <c r="DN39" i="9"/>
  <c r="DN38" i="9"/>
  <c r="DN78" i="9"/>
  <c r="DN77" i="9"/>
  <c r="CO65" i="10"/>
  <c r="CO216" i="10" s="1"/>
  <c r="DN76" i="9"/>
  <c r="CO85" i="10"/>
  <c r="CO86" i="10" s="1"/>
  <c r="BT29" i="31"/>
  <c r="BT30" i="31" s="1"/>
  <c r="BT51" i="31"/>
  <c r="BT52" i="31" s="1"/>
  <c r="DL97" i="9"/>
  <c r="BT28" i="31"/>
  <c r="DL107" i="9" l="1"/>
  <c r="BY21" i="31"/>
  <c r="DN71" i="9"/>
  <c r="CO61" i="10"/>
  <c r="CO60" i="10"/>
  <c r="DL98" i="9"/>
  <c r="DN70" i="9"/>
  <c r="DN122" i="9"/>
  <c r="DN125" i="9"/>
  <c r="DN80" i="9"/>
  <c r="DN49" i="9"/>
  <c r="DN43" i="9"/>
  <c r="CO175" i="10"/>
  <c r="DL108" i="9"/>
  <c r="BT53" i="31"/>
  <c r="DL112" i="9"/>
  <c r="DL104" i="9"/>
  <c r="DL103" i="9"/>
  <c r="DL102" i="9"/>
  <c r="BT31" i="31"/>
  <c r="DL111" i="9"/>
  <c r="DL110" i="9"/>
  <c r="DL106" i="9"/>
  <c r="BY1293" i="31" l="1"/>
  <c r="BY1288" i="31" s="1"/>
  <c r="BY1309" i="31"/>
  <c r="BY1304" i="31" s="1"/>
  <c r="BY1271" i="31"/>
  <c r="BY1266" i="31" s="1"/>
  <c r="BY1282" i="31"/>
  <c r="BY1277" i="31" s="1"/>
  <c r="BY1260" i="31"/>
  <c r="BY1255" i="31" s="1"/>
  <c r="BY1212" i="31"/>
  <c r="BY1207" i="31" s="1"/>
  <c r="BY1224" i="31"/>
  <c r="BY1219" i="31" s="1"/>
  <c r="BY1063" i="31"/>
  <c r="BY1058" i="31" s="1"/>
  <c r="BY1052" i="31"/>
  <c r="BY1047" i="31" s="1"/>
  <c r="BY1074" i="31"/>
  <c r="BY1069" i="31" s="1"/>
  <c r="BY1041" i="31"/>
  <c r="BY1036" i="31" s="1"/>
  <c r="BY1007" i="31"/>
  <c r="BY1002" i="31" s="1"/>
  <c r="BY1018" i="31"/>
  <c r="BY1013" i="31" s="1"/>
  <c r="BY1169" i="31"/>
  <c r="BY1355" i="31"/>
  <c r="BY1191" i="31"/>
  <c r="BY633" i="31"/>
  <c r="DN127" i="9"/>
  <c r="BY187" i="31"/>
  <c r="BY110" i="31"/>
  <c r="BY165" i="31"/>
  <c r="BY50" i="31"/>
  <c r="BY176" i="31"/>
  <c r="BY449" i="31"/>
  <c r="BY405" i="31"/>
  <c r="BY383" i="31"/>
  <c r="BY313" i="31"/>
  <c r="BY732" i="31"/>
  <c r="BY416" i="31"/>
  <c r="BY438" i="31"/>
  <c r="BY259" i="31"/>
  <c r="BY302" i="31"/>
  <c r="BY372" i="31"/>
  <c r="BY394" i="31"/>
  <c r="BY461" i="31"/>
  <c r="BY88" i="31"/>
  <c r="BY121" i="31"/>
  <c r="BY1494" i="31"/>
  <c r="BY63" i="31"/>
  <c r="BY699" i="31"/>
  <c r="BY77" i="31"/>
  <c r="BY198" i="31"/>
  <c r="BY270" i="31"/>
  <c r="BY892" i="31"/>
  <c r="BY41" i="31"/>
  <c r="BY20" i="31"/>
  <c r="BY3" i="31"/>
  <c r="BY15" i="31" s="1"/>
  <c r="CO62" i="10"/>
  <c r="DL114" i="9"/>
  <c r="DN5" i="9"/>
  <c r="DN55" i="9"/>
  <c r="DN45" i="9"/>
  <c r="DN72" i="9"/>
  <c r="DN81" i="9"/>
  <c r="CO173" i="10"/>
  <c r="CO172" i="10"/>
  <c r="DN56" i="9"/>
  <c r="BU50" i="31"/>
  <c r="DM96" i="9"/>
  <c r="DL115" i="9"/>
  <c r="BY1024" i="31" l="1"/>
  <c r="BY1003" i="31"/>
  <c r="CD1212" i="31"/>
  <c r="BY1208" i="31"/>
  <c r="BY1037" i="31"/>
  <c r="BY1256" i="31"/>
  <c r="BY1070" i="31"/>
  <c r="BY1278" i="31"/>
  <c r="BY1048" i="31"/>
  <c r="BY1267" i="31"/>
  <c r="BY1059" i="31"/>
  <c r="BY1305" i="31"/>
  <c r="BY1014" i="31"/>
  <c r="CD1224" i="31"/>
  <c r="BY1220" i="31"/>
  <c r="BY1289" i="31"/>
  <c r="DQ96" i="9"/>
  <c r="DL116" i="9"/>
  <c r="BY51" i="31"/>
  <c r="BY52" i="31" s="1"/>
  <c r="DQ97" i="9"/>
  <c r="BY29" i="31"/>
  <c r="BY30" i="31" s="1"/>
  <c r="CO176" i="10"/>
  <c r="DN57" i="9"/>
  <c r="CO185" i="10"/>
  <c r="DN82" i="9"/>
  <c r="DN83" i="9" s="1"/>
  <c r="DN8" i="9"/>
  <c r="BV50" i="31"/>
  <c r="DN96" i="9"/>
  <c r="DM97" i="9"/>
  <c r="DM98" i="9" s="1"/>
  <c r="BU51" i="31"/>
  <c r="BU52" i="31" s="1"/>
  <c r="BY1020" i="31" l="1"/>
  <c r="BY1273" i="31"/>
  <c r="BY1295" i="31"/>
  <c r="BY1076" i="31"/>
  <c r="CD1214" i="31"/>
  <c r="BY1214" i="31"/>
  <c r="BY1311" i="31"/>
  <c r="BY1054" i="31"/>
  <c r="CD1226" i="31"/>
  <c r="BY1226" i="31"/>
  <c r="BY1262" i="31"/>
  <c r="BY1065" i="31"/>
  <c r="BY1284" i="31"/>
  <c r="BY1009" i="31"/>
  <c r="BY1043" i="31"/>
  <c r="BY1025" i="31"/>
  <c r="BY1029" i="31"/>
  <c r="BY1030" i="31" s="1"/>
  <c r="DQ98" i="9"/>
  <c r="CA51" i="31"/>
  <c r="BZ51" i="31"/>
  <c r="BY53" i="31"/>
  <c r="DN97" i="9"/>
  <c r="DN98" i="9" s="1"/>
  <c r="BV51" i="31"/>
  <c r="BV52" i="31" s="1"/>
  <c r="DR97" i="9"/>
  <c r="BU53" i="31"/>
  <c r="BY1031" i="31" l="1"/>
  <c r="DS97" i="9"/>
  <c r="BV53" i="31"/>
  <c r="CF1454" i="31" l="1"/>
  <c r="CA1454" i="31"/>
  <c r="BU1460" i="31"/>
  <c r="BU1456" i="31"/>
  <c r="BU1459" i="31"/>
  <c r="CK1454" i="31" l="1"/>
  <c r="CK1459" i="31" s="1"/>
  <c r="CF1459" i="31"/>
  <c r="BU1462" i="31"/>
  <c r="CA1459" i="31"/>
  <c r="CP1454" i="31" l="1"/>
  <c r="CU1459" i="31" s="1"/>
  <c r="CP1459" i="31" l="1"/>
  <c r="BU1481" i="31" l="1"/>
  <c r="BU1487" i="31"/>
  <c r="BU23" i="31" s="1"/>
  <c r="BV1476" i="31"/>
  <c r="BZ1487" i="31" l="1"/>
  <c r="BV1487" i="31"/>
  <c r="BV23" i="31" s="1"/>
  <c r="BV1481" i="31"/>
  <c r="CA1476" i="31"/>
  <c r="BU1492" i="31"/>
  <c r="BU56" i="31"/>
  <c r="DM88" i="9" s="1"/>
  <c r="BZ56" i="31" l="1"/>
  <c r="DR88" i="9" s="1"/>
  <c r="CF1476" i="31"/>
  <c r="CF1481" i="31" s="1"/>
  <c r="BZ1492" i="31"/>
  <c r="CE1487" i="31"/>
  <c r="BU61" i="31"/>
  <c r="BU28" i="31"/>
  <c r="CA1481" i="31"/>
  <c r="BV1492" i="31"/>
  <c r="BV56" i="31"/>
  <c r="DN88" i="9" s="1"/>
  <c r="BZ61" i="31" l="1"/>
  <c r="CU1476" i="31"/>
  <c r="CZ1481" i="31" s="1"/>
  <c r="CT1487" i="31"/>
  <c r="CP1476" i="31"/>
  <c r="CF1487" i="31"/>
  <c r="CJ1487" i="31"/>
  <c r="CK1476" i="31"/>
  <c r="CE1492" i="31"/>
  <c r="CE56" i="31"/>
  <c r="BV28" i="31"/>
  <c r="BV61" i="31"/>
  <c r="CY1492" i="31" l="1"/>
  <c r="CO1492" i="31"/>
  <c r="CJ23" i="31"/>
  <c r="CE61" i="31"/>
  <c r="DW88" i="9"/>
  <c r="CU1487" i="31"/>
  <c r="CU1481" i="31"/>
  <c r="CT56" i="31"/>
  <c r="CT1492" i="31"/>
  <c r="CJ56" i="31"/>
  <c r="CP1481" i="31"/>
  <c r="CJ1492" i="31"/>
  <c r="CK1481" i="31"/>
  <c r="CK1487" i="31"/>
  <c r="CF56" i="31"/>
  <c r="DX88" i="9" s="1"/>
  <c r="CO61" i="31" l="1"/>
  <c r="EB88" i="9"/>
  <c r="CY61" i="31"/>
  <c r="EL88" i="9"/>
  <c r="CZ1492" i="31"/>
  <c r="CU56" i="31"/>
  <c r="EM88" i="9" s="1"/>
  <c r="CT61" i="31"/>
  <c r="CJ61" i="31"/>
  <c r="CK56" i="31"/>
  <c r="EC88" i="9" s="1"/>
  <c r="CK1492" i="31"/>
  <c r="CZ61" i="31" l="1"/>
  <c r="CK61" i="31"/>
  <c r="DD1481" i="31" l="1"/>
  <c r="BU1478" i="31" l="1"/>
  <c r="BU1482" i="31"/>
  <c r="BU1488" i="31"/>
  <c r="BV1477" i="31"/>
  <c r="BU57" i="31" l="1"/>
  <c r="DM89" i="9" s="1"/>
  <c r="DM90" i="9" s="1"/>
  <c r="BU24" i="31"/>
  <c r="BV1482" i="31"/>
  <c r="BV1488" i="31"/>
  <c r="BV24" i="31" s="1"/>
  <c r="BU1493" i="31"/>
  <c r="BU1494" i="31" s="1"/>
  <c r="BU1489" i="31"/>
  <c r="BU25" i="31" s="1"/>
  <c r="BU1484" i="31"/>
  <c r="BV1478" i="31"/>
  <c r="BU58" i="31" l="1"/>
  <c r="BU62" i="31"/>
  <c r="BU63" i="31" s="1"/>
  <c r="DN1481" i="31"/>
  <c r="BV1484" i="31"/>
  <c r="BU1495" i="31"/>
  <c r="BU29" i="31"/>
  <c r="BU30" i="31" s="1"/>
  <c r="BV1489" i="31"/>
  <c r="BV25" i="31" s="1"/>
  <c r="BV1493" i="31"/>
  <c r="BV1494" i="31" s="1"/>
  <c r="BV57" i="31"/>
  <c r="DN89" i="9" s="1"/>
  <c r="DN90" i="9" s="1"/>
  <c r="BU64" i="31" l="1"/>
  <c r="DS1481" i="31"/>
  <c r="BZ21" i="31"/>
  <c r="DM112" i="9"/>
  <c r="BV62" i="31"/>
  <c r="BV63" i="31" s="1"/>
  <c r="BV58" i="31"/>
  <c r="BV1495" i="31"/>
  <c r="DM104" i="9"/>
  <c r="BU31" i="31"/>
  <c r="DM106" i="9"/>
  <c r="DM107" i="9"/>
  <c r="DM103" i="9"/>
  <c r="DM102" i="9"/>
  <c r="DM108" i="9"/>
  <c r="DM110" i="9"/>
  <c r="DM111" i="9"/>
  <c r="BV29" i="31"/>
  <c r="BV30" i="31" s="1"/>
  <c r="BZ1309" i="31" l="1"/>
  <c r="BZ1304" i="31" s="1"/>
  <c r="BZ1293" i="31"/>
  <c r="BZ1288" i="31" s="1"/>
  <c r="BZ1282" i="31"/>
  <c r="BZ1277" i="31" s="1"/>
  <c r="BZ1271" i="31"/>
  <c r="BZ1266" i="31" s="1"/>
  <c r="BZ1260" i="31"/>
  <c r="BZ1255" i="31" s="1"/>
  <c r="BZ1224" i="31"/>
  <c r="BZ1219" i="31" s="1"/>
  <c r="BZ1212" i="31"/>
  <c r="BZ1207" i="31" s="1"/>
  <c r="BZ1169" i="31"/>
  <c r="BZ1063" i="31"/>
  <c r="BZ1058" i="31" s="1"/>
  <c r="BZ1074" i="31"/>
  <c r="BZ1069" i="31" s="1"/>
  <c r="BZ1041" i="31"/>
  <c r="BZ1036" i="31" s="1"/>
  <c r="BZ1018" i="31"/>
  <c r="BZ1013" i="31" s="1"/>
  <c r="BZ1052" i="31"/>
  <c r="BZ1047" i="31" s="1"/>
  <c r="BZ1007" i="31"/>
  <c r="BZ1002" i="31" s="1"/>
  <c r="BZ1355" i="31"/>
  <c r="BZ1191" i="31"/>
  <c r="BZ633" i="31"/>
  <c r="BZ110" i="31"/>
  <c r="BZ77" i="31"/>
  <c r="BZ165" i="31"/>
  <c r="BZ20" i="31"/>
  <c r="BZ176" i="31"/>
  <c r="BZ383" i="31"/>
  <c r="BZ449" i="31"/>
  <c r="BZ405" i="31"/>
  <c r="BZ732" i="31"/>
  <c r="BZ313" i="31"/>
  <c r="BZ438" i="31"/>
  <c r="BZ416" i="31"/>
  <c r="BZ259" i="31"/>
  <c r="BZ210" i="31"/>
  <c r="BZ198" i="31"/>
  <c r="BZ270" i="31"/>
  <c r="BZ699" i="31"/>
  <c r="BZ892" i="31"/>
  <c r="BZ41" i="31"/>
  <c r="BZ52" i="31"/>
  <c r="CA21" i="31"/>
  <c r="DM114" i="9"/>
  <c r="BV64" i="31"/>
  <c r="DN112" i="9"/>
  <c r="DM115" i="9"/>
  <c r="BV31" i="31"/>
  <c r="DN106" i="9"/>
  <c r="DN107" i="9"/>
  <c r="DN104" i="9"/>
  <c r="DN103" i="9"/>
  <c r="DN102" i="9"/>
  <c r="DN108" i="9"/>
  <c r="DN110" i="9"/>
  <c r="DN111" i="9"/>
  <c r="BZ1014" i="31" l="1"/>
  <c r="CA1013" i="31"/>
  <c r="BZ1220" i="31"/>
  <c r="CE1224" i="31"/>
  <c r="CA1219" i="31"/>
  <c r="BZ1037" i="31"/>
  <c r="BZ1043" i="31" s="1"/>
  <c r="CA1036" i="31"/>
  <c r="CA1041" i="31" s="1"/>
  <c r="CA1042" i="31" s="1"/>
  <c r="BZ1256" i="31"/>
  <c r="CA1255" i="31"/>
  <c r="BZ1070" i="31"/>
  <c r="BZ1076" i="31" s="1"/>
  <c r="CA1069" i="31"/>
  <c r="CA1074" i="31" s="1"/>
  <c r="CA1075" i="31" s="1"/>
  <c r="BZ1267" i="31"/>
  <c r="CA1266" i="31"/>
  <c r="BZ1059" i="31"/>
  <c r="BZ1065" i="31" s="1"/>
  <c r="CA1058" i="31"/>
  <c r="CA1063" i="31" s="1"/>
  <c r="CA1064" i="31" s="1"/>
  <c r="BZ1278" i="31"/>
  <c r="CA1277" i="31"/>
  <c r="BZ1024" i="31"/>
  <c r="BZ1029" i="31" s="1"/>
  <c r="BZ1030" i="31" s="1"/>
  <c r="BZ1003" i="31"/>
  <c r="CA1002" i="31"/>
  <c r="BZ1289" i="31"/>
  <c r="CA1288" i="31"/>
  <c r="CA1169" i="31"/>
  <c r="CA1201" i="31"/>
  <c r="CA1355" i="31"/>
  <c r="CA1191" i="31"/>
  <c r="BZ1048" i="31"/>
  <c r="BZ1054" i="31" s="1"/>
  <c r="CA1047" i="31"/>
  <c r="CA1052" i="31" s="1"/>
  <c r="CA1053" i="31" s="1"/>
  <c r="CE1212" i="31"/>
  <c r="BZ1208" i="31"/>
  <c r="CA1207" i="31"/>
  <c r="BZ1305" i="31"/>
  <c r="CA1304" i="31"/>
  <c r="CA633" i="31"/>
  <c r="CA165" i="31"/>
  <c r="CP203" i="31"/>
  <c r="CU210" i="31" s="1"/>
  <c r="CJ197" i="31"/>
  <c r="CJ215" i="31"/>
  <c r="CJ205" i="31"/>
  <c r="CA212" i="31"/>
  <c r="CA209" i="31"/>
  <c r="CA892" i="31"/>
  <c r="CA77" i="31"/>
  <c r="CA41" i="31"/>
  <c r="CA52" i="31"/>
  <c r="CE215" i="31"/>
  <c r="CF215" i="31" s="1"/>
  <c r="CF203" i="31"/>
  <c r="CE205" i="31"/>
  <c r="CF211" i="31"/>
  <c r="CA270" i="31"/>
  <c r="CA259" i="31"/>
  <c r="CA699" i="31"/>
  <c r="CA226" i="31"/>
  <c r="CA483" i="31"/>
  <c r="CA237" i="31"/>
  <c r="CA198" i="31"/>
  <c r="CA443" i="31"/>
  <c r="BZ444" i="31"/>
  <c r="BZ727" i="31"/>
  <c r="CA726" i="31"/>
  <c r="BZ1445" i="31"/>
  <c r="CA1444" i="31"/>
  <c r="CA410" i="31"/>
  <c r="BZ411" i="31"/>
  <c r="BZ388" i="31"/>
  <c r="CA1477" i="31"/>
  <c r="BZ1478" i="31"/>
  <c r="CA399" i="31"/>
  <c r="BZ400" i="31"/>
  <c r="BZ489" i="31"/>
  <c r="CA488" i="31"/>
  <c r="BZ1423" i="31"/>
  <c r="CA1422" i="31"/>
  <c r="BZ1467" i="31"/>
  <c r="CA1466" i="31"/>
  <c r="CA104" i="31"/>
  <c r="BZ82" i="31"/>
  <c r="CA307" i="31"/>
  <c r="CA296" i="31" s="1"/>
  <c r="BZ308" i="31"/>
  <c r="BZ296" i="31"/>
  <c r="BZ433" i="31"/>
  <c r="CA432" i="31"/>
  <c r="BZ1456" i="31"/>
  <c r="CA1455" i="31"/>
  <c r="CA170" i="31"/>
  <c r="BZ171" i="31"/>
  <c r="DN114" i="9"/>
  <c r="DN115" i="9"/>
  <c r="DM116" i="9"/>
  <c r="CA1007" i="31" l="1"/>
  <c r="CA1008" i="31" s="1"/>
  <c r="CA1018" i="31"/>
  <c r="CA1019" i="31" s="1"/>
  <c r="CA1003" i="31"/>
  <c r="BZ1009" i="31"/>
  <c r="CA1014" i="31"/>
  <c r="BZ1020" i="31"/>
  <c r="CA1282" i="31"/>
  <c r="CA1283" i="31" s="1"/>
  <c r="BZ1273" i="31"/>
  <c r="CA1267" i="31"/>
  <c r="CA1037" i="31"/>
  <c r="CA1293" i="31"/>
  <c r="CA1294" i="31" s="1"/>
  <c r="BZ1284" i="31"/>
  <c r="CA1278" i="31"/>
  <c r="CF1224" i="31"/>
  <c r="CA1224" i="31"/>
  <c r="CA1225" i="31" s="1"/>
  <c r="CA1309" i="31"/>
  <c r="CA1310" i="31" s="1"/>
  <c r="CA1048" i="31"/>
  <c r="BZ1295" i="31"/>
  <c r="CA1289" i="31"/>
  <c r="CA1070" i="31"/>
  <c r="BZ1311" i="31"/>
  <c r="CA1305" i="31"/>
  <c r="CA1260" i="31"/>
  <c r="CA1261" i="31" s="1"/>
  <c r="CE1226" i="31"/>
  <c r="BZ1226" i="31"/>
  <c r="CA1220" i="31"/>
  <c r="CF1212" i="31"/>
  <c r="CA1212" i="31"/>
  <c r="CA1213" i="31" s="1"/>
  <c r="CA1059" i="31"/>
  <c r="BZ1262" i="31"/>
  <c r="CA1256" i="31"/>
  <c r="CE1214" i="31"/>
  <c r="BZ1214" i="31"/>
  <c r="CA1208" i="31"/>
  <c r="BZ1025" i="31"/>
  <c r="BZ1031" i="31" s="1"/>
  <c r="CA1024" i="31"/>
  <c r="CA1271" i="31"/>
  <c r="CA1272" i="31" s="1"/>
  <c r="CF210" i="31"/>
  <c r="CO213" i="31"/>
  <c r="CJ213" i="31"/>
  <c r="CJ171" i="31"/>
  <c r="CO177" i="31" s="1"/>
  <c r="CP205" i="31"/>
  <c r="CA82" i="31"/>
  <c r="CA448" i="31"/>
  <c r="CA449" i="31" s="1"/>
  <c r="CA115" i="31"/>
  <c r="CA116" i="31" s="1"/>
  <c r="CA388" i="31"/>
  <c r="BZ177" i="31"/>
  <c r="BZ439" i="31"/>
  <c r="BZ1473" i="31"/>
  <c r="BZ495" i="31"/>
  <c r="BZ406" i="31"/>
  <c r="BZ417" i="31"/>
  <c r="BZ1451" i="31"/>
  <c r="BZ733" i="31"/>
  <c r="CE213" i="31"/>
  <c r="BZ314" i="31"/>
  <c r="CE314" i="31"/>
  <c r="BZ1429" i="31"/>
  <c r="BZ450" i="31"/>
  <c r="CJ433" i="31"/>
  <c r="CO439" i="31" s="1"/>
  <c r="CJ400" i="31"/>
  <c r="CJ727" i="31"/>
  <c r="CO733" i="31" s="1"/>
  <c r="CJ193" i="31"/>
  <c r="CO199" i="31" s="1"/>
  <c r="CJ489" i="31"/>
  <c r="CO495" i="31" s="1"/>
  <c r="CJ444" i="31"/>
  <c r="CO450" i="31" s="1"/>
  <c r="CJ411" i="31"/>
  <c r="CO417" i="31" s="1"/>
  <c r="CJ388" i="31"/>
  <c r="CO393" i="31" s="1"/>
  <c r="CO394" i="31" s="1"/>
  <c r="CJ196" i="31"/>
  <c r="CO766" i="31"/>
  <c r="CE193" i="31"/>
  <c r="CE199" i="31" s="1"/>
  <c r="CA171" i="31"/>
  <c r="CF170" i="31"/>
  <c r="CE171" i="31"/>
  <c r="CE177" i="31" s="1"/>
  <c r="CA1456" i="31"/>
  <c r="BZ1462" i="31"/>
  <c r="BZ301" i="31"/>
  <c r="BZ302" i="31" s="1"/>
  <c r="BZ297" i="31"/>
  <c r="CA312" i="31"/>
  <c r="CA313" i="31" s="1"/>
  <c r="BZ87" i="31"/>
  <c r="BZ88" i="31" s="1"/>
  <c r="BZ181" i="31"/>
  <c r="CA1471" i="31"/>
  <c r="CE1467" i="31"/>
  <c r="CE1473" i="31" s="1"/>
  <c r="CA1423" i="31"/>
  <c r="CA489" i="31"/>
  <c r="CE489" i="31"/>
  <c r="CE495" i="31" s="1"/>
  <c r="CA404" i="31"/>
  <c r="CA405" i="31" s="1"/>
  <c r="CA1482" i="31"/>
  <c r="CA411" i="31"/>
  <c r="CE411" i="31"/>
  <c r="CE417" i="31" s="1"/>
  <c r="CE388" i="31"/>
  <c r="CA1445" i="31"/>
  <c r="CA727" i="31"/>
  <c r="CE727" i="31"/>
  <c r="CE733" i="31" s="1"/>
  <c r="BZ120" i="31"/>
  <c r="BZ121" i="31" s="1"/>
  <c r="BZ116" i="31"/>
  <c r="CA175" i="31"/>
  <c r="CA176" i="31" s="1"/>
  <c r="CA1460" i="31"/>
  <c r="CE1456" i="31"/>
  <c r="CA433" i="31"/>
  <c r="CA437" i="31"/>
  <c r="CA438" i="31" s="1"/>
  <c r="CE433" i="31"/>
  <c r="CA308" i="31"/>
  <c r="CA109" i="31"/>
  <c r="CA110" i="31" s="1"/>
  <c r="CA1467" i="31"/>
  <c r="CA1427" i="31"/>
  <c r="CE1423" i="31"/>
  <c r="CA493" i="31"/>
  <c r="CA494" i="31" s="1"/>
  <c r="CA400" i="31"/>
  <c r="CE400" i="31"/>
  <c r="CA1478" i="31"/>
  <c r="BZ1484" i="31"/>
  <c r="CE1478" i="31"/>
  <c r="BZ393" i="31"/>
  <c r="BZ394" i="31" s="1"/>
  <c r="BZ389" i="31"/>
  <c r="CA415" i="31"/>
  <c r="CA416" i="31" s="1"/>
  <c r="CA1449" i="31"/>
  <c r="CE1445" i="31"/>
  <c r="CA731" i="31"/>
  <c r="CA732" i="31" s="1"/>
  <c r="BZ764" i="31"/>
  <c r="BZ765" i="31" s="1"/>
  <c r="BZ760" i="31"/>
  <c r="CA444" i="31"/>
  <c r="CE444" i="31"/>
  <c r="CE450" i="31" s="1"/>
  <c r="DN116" i="9"/>
  <c r="CA1020" i="31" l="1"/>
  <c r="CA1065" i="31"/>
  <c r="CA1043" i="31"/>
  <c r="CA1054" i="31"/>
  <c r="CA1076" i="31"/>
  <c r="CA1029" i="31"/>
  <c r="CA1030" i="31" s="1"/>
  <c r="CA1009" i="31"/>
  <c r="CF1214" i="31"/>
  <c r="CA1214" i="31"/>
  <c r="CA1295" i="31"/>
  <c r="CA1311" i="31"/>
  <c r="CA1284" i="31"/>
  <c r="CA1273" i="31"/>
  <c r="CA1262" i="31"/>
  <c r="CF1226" i="31"/>
  <c r="CA1226" i="31"/>
  <c r="CA1025" i="31"/>
  <c r="CU213" i="31"/>
  <c r="CO406" i="31"/>
  <c r="CE406" i="31"/>
  <c r="CE439" i="31"/>
  <c r="CJ439" i="31"/>
  <c r="CJ495" i="31"/>
  <c r="CJ417" i="31"/>
  <c r="CJ450" i="31"/>
  <c r="CJ733" i="31"/>
  <c r="CJ766" i="31"/>
  <c r="CJ406" i="31"/>
  <c r="CP170" i="31"/>
  <c r="CU175" i="31" s="1"/>
  <c r="CA450" i="31"/>
  <c r="CA122" i="31"/>
  <c r="CA87" i="31"/>
  <c r="CA88" i="31" s="1"/>
  <c r="CA120" i="31"/>
  <c r="CA121" i="31" s="1"/>
  <c r="CF175" i="31"/>
  <c r="CE1484" i="31"/>
  <c r="CE1451" i="31"/>
  <c r="BZ766" i="31"/>
  <c r="CE766" i="31"/>
  <c r="CE1429" i="31"/>
  <c r="CE1462" i="31"/>
  <c r="CE393" i="31"/>
  <c r="CJ389" i="31"/>
  <c r="CO395" i="31" s="1"/>
  <c r="CJ393" i="31"/>
  <c r="CJ177" i="31"/>
  <c r="CJ199" i="31"/>
  <c r="CA393" i="31"/>
  <c r="CA394" i="31" s="1"/>
  <c r="CA1473" i="31"/>
  <c r="CA439" i="31"/>
  <c r="BZ122" i="31"/>
  <c r="CA1451" i="31"/>
  <c r="CA495" i="31"/>
  <c r="CA1429" i="31"/>
  <c r="CA297" i="31"/>
  <c r="BZ303" i="31"/>
  <c r="CA301" i="31"/>
  <c r="CA302" i="31" s="1"/>
  <c r="CA1462" i="31"/>
  <c r="CA389" i="31"/>
  <c r="BZ395" i="31"/>
  <c r="CA1484" i="31"/>
  <c r="CA406" i="31"/>
  <c r="CA314" i="31"/>
  <c r="CA733" i="31"/>
  <c r="CE389" i="31"/>
  <c r="CE395" i="31" s="1"/>
  <c r="CA417" i="31"/>
  <c r="BZ186" i="31"/>
  <c r="BZ187" i="31" s="1"/>
  <c r="CA181" i="31"/>
  <c r="CA177" i="31"/>
  <c r="CA1031" i="31" l="1"/>
  <c r="CP171" i="31"/>
  <c r="CJ467" i="31"/>
  <c r="CO473" i="31" s="1"/>
  <c r="CJ395" i="31"/>
  <c r="CA186" i="31"/>
  <c r="CA187" i="31" s="1"/>
  <c r="CE467" i="31"/>
  <c r="CA395" i="31"/>
  <c r="CA303" i="31"/>
  <c r="CU177" i="31" l="1"/>
  <c r="CJ473" i="31"/>
  <c r="CJ471" i="31"/>
  <c r="CO101" i="10" l="1"/>
  <c r="CN102" i="10"/>
  <c r="DO59" i="9" l="1"/>
  <c r="CO102" i="10"/>
  <c r="DN59" i="9"/>
  <c r="DP59" i="9" l="1"/>
  <c r="DQ59" i="9" l="1"/>
  <c r="DR59" i="9" l="1"/>
  <c r="CT101" i="10"/>
  <c r="CT102" i="10" l="1"/>
  <c r="CY102" i="10"/>
  <c r="DS59" i="9"/>
  <c r="DX59" i="9" l="1"/>
  <c r="CN103" i="10" l="1"/>
  <c r="CN120" i="10"/>
  <c r="CO120" i="10" s="1"/>
  <c r="CN116" i="10"/>
  <c r="CO116" i="10" s="1"/>
  <c r="CO118" i="10" s="1"/>
  <c r="CT115" i="10" l="1"/>
  <c r="CP115" i="10"/>
  <c r="CO103" i="10"/>
  <c r="CO104" i="10" s="1"/>
  <c r="CP116" i="10" l="1"/>
  <c r="CP120" i="10"/>
  <c r="DM52" i="9"/>
  <c r="DM54" i="9"/>
  <c r="DM53" i="9"/>
  <c r="CN88" i="10"/>
  <c r="CN92" i="10" s="1"/>
  <c r="DM62" i="9"/>
  <c r="CO186" i="10"/>
  <c r="CO191" i="10" s="1"/>
  <c r="CN104" i="10"/>
  <c r="CN186" i="10" l="1"/>
  <c r="CN191" i="10" s="1"/>
  <c r="DN54" i="9"/>
  <c r="DN53" i="9"/>
  <c r="DN62" i="9"/>
  <c r="CO88" i="10"/>
  <c r="CO92" i="10" s="1"/>
  <c r="DN52" i="9"/>
  <c r="DO7" i="9" l="1"/>
  <c r="DO56" i="9"/>
  <c r="CP52" i="10"/>
  <c r="CP93" i="10" l="1"/>
  <c r="CQ184" i="10"/>
  <c r="CP179" i="10"/>
  <c r="CP180" i="10"/>
  <c r="CP173" i="10"/>
  <c r="CP54" i="10"/>
  <c r="CP192" i="10"/>
  <c r="DO8" i="9"/>
  <c r="DO82" i="9"/>
  <c r="DO83" i="9" s="1"/>
  <c r="CP181" i="10" l="1"/>
  <c r="CN128" i="10" l="1"/>
  <c r="CN129" i="10" s="1"/>
  <c r="CM129" i="10"/>
  <c r="CO129" i="10" l="1"/>
  <c r="CO131" i="10" s="1"/>
  <c r="CR128" i="10"/>
  <c r="CQ36" i="11"/>
  <c r="CP128" i="10" l="1"/>
  <c r="CP129" i="10" s="1"/>
  <c r="CT128" i="10"/>
  <c r="CP36" i="11"/>
  <c r="CN135" i="10"/>
  <c r="CN136" i="10" l="1"/>
  <c r="CO135" i="10"/>
  <c r="CO136" i="10" s="1"/>
  <c r="CN138" i="10" l="1"/>
  <c r="CN143" i="10" s="1"/>
  <c r="CN137" i="10" l="1"/>
  <c r="CO137" i="10" s="1"/>
  <c r="CO139" i="10" s="1"/>
  <c r="CT134" i="10" s="1"/>
  <c r="DM119" i="9"/>
  <c r="CO140" i="10" l="1"/>
  <c r="CO144" i="10"/>
  <c r="CO150" i="10"/>
  <c r="DM121" i="9"/>
  <c r="CO146" i="10" l="1"/>
  <c r="CO147" i="10" s="1"/>
  <c r="CO148" i="10" s="1"/>
  <c r="CO143" i="10"/>
  <c r="DN119" i="9"/>
  <c r="CP134" i="10" l="1"/>
  <c r="CP137" i="10" s="1"/>
  <c r="DN121" i="9"/>
  <c r="CP169" i="10" l="1"/>
  <c r="CP20" i="10"/>
  <c r="DO131" i="9"/>
  <c r="CP27" i="10" l="1"/>
  <c r="CP91" i="10"/>
  <c r="DO134" i="9"/>
  <c r="DO135" i="9" s="1"/>
  <c r="CP168" i="10"/>
  <c r="CP167" i="10"/>
  <c r="CP218" i="10" l="1"/>
  <c r="CP217" i="10"/>
  <c r="CP56" i="10"/>
  <c r="CP172" i="10"/>
  <c r="CP28" i="11"/>
  <c r="CP17" i="11" l="1"/>
  <c r="CQ29" i="11" l="1"/>
  <c r="CP29" i="11"/>
  <c r="CP48" i="11" l="1"/>
  <c r="CQ48" i="11"/>
  <c r="CQ52" i="11" l="1"/>
  <c r="CP52" i="11"/>
  <c r="I54" i="11" l="1"/>
  <c r="J53" i="11" s="1"/>
  <c r="J54" i="11" s="1"/>
  <c r="AM29" i="11"/>
  <c r="AN29" i="11" s="1"/>
  <c r="AU29" i="11"/>
  <c r="AV29" i="11"/>
  <c r="AV52" i="11" s="1"/>
  <c r="AW29" i="11"/>
  <c r="AW52" i="11" s="1"/>
  <c r="AZ29" i="11"/>
  <c r="BA29" i="11"/>
  <c r="BA52" i="11" s="1"/>
  <c r="BB29" i="11"/>
  <c r="BB52" i="11" s="1"/>
  <c r="BE29" i="11"/>
  <c r="BE52" i="11" s="1"/>
  <c r="BF29" i="11"/>
  <c r="BF52" i="11" s="1"/>
  <c r="BG29" i="11"/>
  <c r="BG52" i="11" s="1"/>
  <c r="BJ29" i="11"/>
  <c r="BJ52" i="11" s="1"/>
  <c r="BK29" i="11"/>
  <c r="BK52" i="11" s="1"/>
  <c r="BL29" i="11"/>
  <c r="BL52" i="11" s="1"/>
  <c r="CE33" i="11"/>
  <c r="AL52" i="11"/>
  <c r="AK52" i="11"/>
  <c r="E54" i="11"/>
  <c r="F53" i="11" s="1"/>
  <c r="F54" i="11" s="1"/>
  <c r="AM52" i="11" l="1"/>
  <c r="CE36" i="11"/>
  <c r="CE52" i="11" s="1"/>
  <c r="BH29" i="11"/>
  <c r="CF33" i="11"/>
  <c r="AX29" i="11"/>
  <c r="G53" i="11"/>
  <c r="G54" i="11" s="1"/>
  <c r="BC29" i="11"/>
  <c r="AU52" i="11"/>
  <c r="AZ52" i="11"/>
  <c r="BM29" i="11"/>
  <c r="AN52" i="11"/>
  <c r="K53" i="11"/>
  <c r="K54" i="11" s="1"/>
  <c r="O53" i="11"/>
  <c r="O54" i="11" s="1"/>
  <c r="BC52" i="11" l="1"/>
  <c r="BM52" i="11"/>
  <c r="AX52" i="11"/>
  <c r="BH52" i="11"/>
  <c r="CF36" i="11"/>
  <c r="L53" i="11"/>
  <c r="L54" i="11" s="1"/>
  <c r="T53" i="11"/>
  <c r="T54" i="11" s="1"/>
  <c r="CF52" i="11" l="1"/>
  <c r="M53" i="11"/>
  <c r="M54" i="11" s="1"/>
  <c r="Y53" i="11"/>
  <c r="Y54" i="11" s="1"/>
  <c r="U53" i="11"/>
  <c r="U54" i="11" s="1"/>
  <c r="V53" i="11" l="1"/>
  <c r="V54" i="11" s="1"/>
  <c r="Z53" i="11"/>
  <c r="Z54" i="11" s="1"/>
  <c r="AD53" i="11"/>
  <c r="AD54" i="11" s="1"/>
  <c r="N53" i="11"/>
  <c r="N54" i="11" s="1"/>
  <c r="AI53" i="11" l="1"/>
  <c r="AI54" i="11" s="1"/>
  <c r="AE53" i="11"/>
  <c r="AE54" i="11" s="1"/>
  <c r="AA53" i="11"/>
  <c r="AA54" i="11" s="1"/>
  <c r="W53" i="11"/>
  <c r="W54" i="11" s="1"/>
  <c r="P53" i="11"/>
  <c r="P54" i="11" s="1"/>
  <c r="Q53" i="11" l="1"/>
  <c r="Q54" i="11" s="1"/>
  <c r="X53" i="11"/>
  <c r="X54" i="11" s="1"/>
  <c r="AB53" i="11"/>
  <c r="AB54" i="11" s="1"/>
  <c r="AF53" i="11"/>
  <c r="AF54" i="11" s="1"/>
  <c r="AN53" i="11"/>
  <c r="AN54" i="11" s="1"/>
  <c r="AJ53" i="11"/>
  <c r="AJ54" i="11" s="1"/>
  <c r="AS53" i="11" l="1"/>
  <c r="AS54" i="11" s="1"/>
  <c r="AO53" i="11"/>
  <c r="AO54" i="11" s="1"/>
  <c r="AG53" i="11"/>
  <c r="AG54" i="11" s="1"/>
  <c r="AC53" i="11"/>
  <c r="AC54" i="11" s="1"/>
  <c r="R53" i="11"/>
  <c r="R54" i="11" s="1"/>
  <c r="AK53" i="11"/>
  <c r="AK54" i="11" s="1"/>
  <c r="AL53" i="11" l="1"/>
  <c r="AL54" i="11" s="1"/>
  <c r="S53" i="11"/>
  <c r="S54" i="11" s="1"/>
  <c r="AH53" i="11"/>
  <c r="AH54" i="11" s="1"/>
  <c r="AP53" i="11"/>
  <c r="AP54" i="11" s="1"/>
  <c r="AX53" i="11"/>
  <c r="AX54" i="11" s="1"/>
  <c r="AT53" i="11"/>
  <c r="AT54" i="11" s="1"/>
  <c r="AU53" i="11" l="1"/>
  <c r="AU54" i="11" s="1"/>
  <c r="BC53" i="11"/>
  <c r="BC54" i="11" s="1"/>
  <c r="AY53" i="11"/>
  <c r="AY54" i="11" s="1"/>
  <c r="AQ53" i="11"/>
  <c r="AQ54" i="11" s="1"/>
  <c r="AM53" i="11"/>
  <c r="AM54" i="11" s="1"/>
  <c r="AR53" i="11" l="1"/>
  <c r="AR54" i="11" s="1"/>
  <c r="AZ53" i="11"/>
  <c r="AZ54" i="11" s="1"/>
  <c r="BH53" i="11"/>
  <c r="BH54" i="11" s="1"/>
  <c r="BD53" i="11"/>
  <c r="BD54" i="11" s="1"/>
  <c r="AV53" i="11"/>
  <c r="AV54" i="11" s="1"/>
  <c r="AW53" i="11" l="1"/>
  <c r="AW54" i="11" s="1"/>
  <c r="BE53" i="11"/>
  <c r="BE54" i="11" s="1"/>
  <c r="BI53" i="11"/>
  <c r="BI54" i="11" s="1"/>
  <c r="BM53" i="11"/>
  <c r="BM54" i="11" s="1"/>
  <c r="BA53" i="11"/>
  <c r="BA54" i="11" s="1"/>
  <c r="BR53" i="11" l="1"/>
  <c r="BR54" i="11" s="1"/>
  <c r="BN53" i="11"/>
  <c r="BN54" i="11" s="1"/>
  <c r="BB53" i="11"/>
  <c r="BB54" i="11" s="1"/>
  <c r="BJ53" i="11"/>
  <c r="BJ54" i="11" s="1"/>
  <c r="BF53" i="11"/>
  <c r="BF54" i="11" s="1"/>
  <c r="BG53" i="11" l="1"/>
  <c r="BG54" i="11" s="1"/>
  <c r="BK53" i="11"/>
  <c r="BK54" i="11" s="1"/>
  <c r="BW53" i="11"/>
  <c r="BW54" i="11" s="1"/>
  <c r="BS53" i="11"/>
  <c r="BS54" i="11" s="1"/>
  <c r="BO53" i="11"/>
  <c r="BO54" i="11" s="1"/>
  <c r="BP53" i="11" l="1"/>
  <c r="BP54" i="11" s="1"/>
  <c r="CB53" i="11"/>
  <c r="CB54" i="11" s="1"/>
  <c r="BX53" i="11"/>
  <c r="BX54" i="11" s="1"/>
  <c r="BL53" i="11"/>
  <c r="BL54" i="11" s="1"/>
  <c r="BT53" i="11"/>
  <c r="BT54" i="11" s="1"/>
  <c r="BU53" i="11" l="1"/>
  <c r="BU54" i="11" s="1"/>
  <c r="CG53" i="11"/>
  <c r="CG54" i="11" s="1"/>
  <c r="CC53" i="11"/>
  <c r="CC54" i="11" s="1"/>
  <c r="BQ53" i="11"/>
  <c r="BQ54" i="11" s="1"/>
  <c r="BY53" i="11"/>
  <c r="BY54" i="11" s="1"/>
  <c r="CL53" i="11" l="1"/>
  <c r="CL54" i="11" s="1"/>
  <c r="CH53" i="11"/>
  <c r="CH54" i="11" s="1"/>
  <c r="BV53" i="11"/>
  <c r="BV54" i="11" s="1"/>
  <c r="BZ53" i="11"/>
  <c r="BZ54" i="11" s="1"/>
  <c r="CD53" i="11"/>
  <c r="CD54" i="11" s="1"/>
  <c r="CE53" i="11" l="1"/>
  <c r="CE54" i="11" s="1"/>
  <c r="CA53" i="11"/>
  <c r="CA54" i="11" s="1"/>
  <c r="CQ53" i="11"/>
  <c r="CQ54" i="11" s="1"/>
  <c r="CM53" i="11"/>
  <c r="CM54" i="11" s="1"/>
  <c r="CI53" i="11"/>
  <c r="CI54" i="11" s="1"/>
  <c r="CJ53" i="11" l="1"/>
  <c r="CJ54" i="11" s="1"/>
  <c r="CV53" i="11"/>
  <c r="CR53" i="11"/>
  <c r="CF53" i="11"/>
  <c r="CF54" i="11" s="1"/>
  <c r="CN53" i="11"/>
  <c r="CN54" i="11" s="1"/>
  <c r="CO53" i="11" l="1"/>
  <c r="CO54" i="11" s="1"/>
  <c r="CK53" i="11"/>
  <c r="CK54" i="11" s="1"/>
  <c r="CP53" i="11" l="1"/>
  <c r="CP54" i="11" s="1"/>
  <c r="BW1487" i="31" l="1"/>
  <c r="BW1434" i="31"/>
  <c r="CB1492" i="31" l="1"/>
  <c r="BW23" i="31"/>
  <c r="CB1440" i="31"/>
  <c r="BW1440" i="31"/>
  <c r="BW1492" i="31"/>
  <c r="BW56" i="31"/>
  <c r="BW1488" i="31"/>
  <c r="CA1432" i="31"/>
  <c r="CF1437" i="31" s="1"/>
  <c r="CB1493" i="31" l="1"/>
  <c r="BW24" i="31"/>
  <c r="CB61" i="31"/>
  <c r="DO88" i="9"/>
  <c r="CA1437" i="31"/>
  <c r="CA1487" i="31"/>
  <c r="BW1493" i="31"/>
  <c r="BW1494" i="31" s="1"/>
  <c r="BW57" i="31"/>
  <c r="BW61" i="31"/>
  <c r="BW5" i="31"/>
  <c r="BW28" i="31"/>
  <c r="BW1489" i="31"/>
  <c r="BW25" i="31" s="1"/>
  <c r="CF1492" i="31" l="1"/>
  <c r="CB62" i="31"/>
  <c r="DO89" i="9"/>
  <c r="DO90" i="9" s="1"/>
  <c r="CB1495" i="31"/>
  <c r="CA56" i="31"/>
  <c r="DS88" i="9" s="1"/>
  <c r="BW1495" i="31"/>
  <c r="BW62" i="31"/>
  <c r="BW63" i="31" s="1"/>
  <c r="BW58" i="31"/>
  <c r="BW15" i="31"/>
  <c r="BW29" i="31"/>
  <c r="BW30" i="31" s="1"/>
  <c r="CA1492" i="31"/>
  <c r="CB64" i="31" l="1"/>
  <c r="CB21" i="31"/>
  <c r="CA61" i="31"/>
  <c r="CF61" i="31"/>
  <c r="DO111" i="9"/>
  <c r="BW64" i="31"/>
  <c r="DO112" i="9"/>
  <c r="BW16" i="31"/>
  <c r="DO106" i="9"/>
  <c r="BW31" i="31"/>
  <c r="DO103" i="9"/>
  <c r="DO102" i="9"/>
  <c r="DO104" i="9"/>
  <c r="DO108" i="9"/>
  <c r="DO107" i="9"/>
  <c r="DO110" i="9"/>
  <c r="CB1309" i="31" l="1"/>
  <c r="CB1304" i="31" s="1"/>
  <c r="CB1271" i="31"/>
  <c r="CB1266" i="31" s="1"/>
  <c r="CB1282" i="31"/>
  <c r="CB1277" i="31" s="1"/>
  <c r="CB1260" i="31"/>
  <c r="CB1255" i="31" s="1"/>
  <c r="CB1169" i="31"/>
  <c r="CB1074" i="31"/>
  <c r="CB1069" i="31" s="1"/>
  <c r="CB1063" i="31"/>
  <c r="CB1058" i="31" s="1"/>
  <c r="CB1052" i="31"/>
  <c r="CB1047" i="31" s="1"/>
  <c r="CB1007" i="31"/>
  <c r="CB1002" i="31" s="1"/>
  <c r="CB1041" i="31"/>
  <c r="CB1036" i="31" s="1"/>
  <c r="CB1018" i="31"/>
  <c r="CB1013" i="31" s="1"/>
  <c r="CB1191" i="31"/>
  <c r="CB997" i="31"/>
  <c r="CB1355" i="31"/>
  <c r="CB1213" i="31"/>
  <c r="CB1225" i="31"/>
  <c r="CB633" i="31"/>
  <c r="CB20" i="31"/>
  <c r="DO115" i="9"/>
  <c r="CB405" i="31"/>
  <c r="CB143" i="31"/>
  <c r="CB732" i="31"/>
  <c r="CB710" i="31"/>
  <c r="CB259" i="31"/>
  <c r="CB416" i="31"/>
  <c r="CB699" i="31"/>
  <c r="CB438" i="31"/>
  <c r="CB198" i="31"/>
  <c r="CB165" i="31"/>
  <c r="CB176" i="31"/>
  <c r="CB270" i="31"/>
  <c r="CB449" i="31"/>
  <c r="CB383" i="31"/>
  <c r="CB110" i="31"/>
  <c r="CB77" i="31"/>
  <c r="CB121" i="31"/>
  <c r="CB372" i="31"/>
  <c r="CB394" i="31"/>
  <c r="CB765" i="31"/>
  <c r="CB52" i="31"/>
  <c r="CB1494" i="31"/>
  <c r="CB63" i="31"/>
  <c r="CF221" i="31"/>
  <c r="DO114" i="9"/>
  <c r="CP1487" i="31"/>
  <c r="CB1256" i="31" l="1"/>
  <c r="CB1288" i="31"/>
  <c r="CB1070" i="31"/>
  <c r="CB1278" i="31"/>
  <c r="CB1024" i="31"/>
  <c r="CB1003" i="31"/>
  <c r="CB1048" i="31"/>
  <c r="CB1267" i="31"/>
  <c r="CB1014" i="31"/>
  <c r="CB1037" i="31"/>
  <c r="CB1059" i="31"/>
  <c r="CB1315" i="31"/>
  <c r="CB1305" i="31"/>
  <c r="CU1492" i="31"/>
  <c r="CK227" i="31"/>
  <c r="CF227" i="31"/>
  <c r="DO116" i="9"/>
  <c r="CP1492" i="31"/>
  <c r="CP56" i="31"/>
  <c r="EH88" i="9" s="1"/>
  <c r="CB1020" i="31" l="1"/>
  <c r="CB1273" i="31"/>
  <c r="CB1025" i="31"/>
  <c r="CB1029" i="31"/>
  <c r="CB1030" i="31" s="1"/>
  <c r="CB1294" i="31"/>
  <c r="CB1293" i="31" s="1"/>
  <c r="CB1289" i="31"/>
  <c r="CB1076" i="31"/>
  <c r="CB1065" i="31"/>
  <c r="CB1262" i="31"/>
  <c r="CB1311" i="31"/>
  <c r="CB1284" i="31"/>
  <c r="CB1316" i="31"/>
  <c r="CB1009" i="31"/>
  <c r="CB1043" i="31"/>
  <c r="CB1054" i="31"/>
  <c r="CU61" i="31"/>
  <c r="CP61" i="31"/>
  <c r="CB1031" i="31" l="1"/>
  <c r="CB1295" i="31"/>
  <c r="DD1487" i="31" l="1"/>
  <c r="DD56" i="31" l="1"/>
  <c r="EV88" i="9" s="1"/>
  <c r="BY885" i="31" l="1"/>
  <c r="BY23" i="31" s="1"/>
  <c r="BX182" i="31"/>
  <c r="BX885" i="31"/>
  <c r="BX23" i="31" s="1"/>
  <c r="BX5" i="31" l="1"/>
  <c r="CC890" i="31"/>
  <c r="BX188" i="31"/>
  <c r="BX890" i="31"/>
  <c r="BX887" i="31"/>
  <c r="BX25" i="31" s="1"/>
  <c r="BX75" i="31"/>
  <c r="BX34" i="31"/>
  <c r="BZ75" i="31"/>
  <c r="BZ72" i="31"/>
  <c r="BY890" i="31"/>
  <c r="BY34" i="31"/>
  <c r="BY75" i="31"/>
  <c r="BY72" i="31"/>
  <c r="BY887" i="31"/>
  <c r="BY25" i="31" s="1"/>
  <c r="BX28" i="31" l="1"/>
  <c r="BZ78" i="31"/>
  <c r="BY78" i="31"/>
  <c r="CC893" i="31"/>
  <c r="BY28" i="31"/>
  <c r="BY2" i="31"/>
  <c r="BY5" i="31" s="1"/>
  <c r="DQ24" i="9"/>
  <c r="DP24" i="9"/>
  <c r="BY893" i="31"/>
  <c r="BY39" i="31"/>
  <c r="DQ92" i="9"/>
  <c r="DQ94" i="9" s="1"/>
  <c r="BY36" i="31"/>
  <c r="BX39" i="31"/>
  <c r="DP92" i="9"/>
  <c r="DP94" i="9" s="1"/>
  <c r="BX36" i="31"/>
  <c r="BX78" i="31"/>
  <c r="BX893" i="31"/>
  <c r="CD21" i="31" l="1"/>
  <c r="CC21" i="31"/>
  <c r="DQ102" i="9"/>
  <c r="BY4" i="31"/>
  <c r="BY16" i="31" s="1"/>
  <c r="DP66" i="9"/>
  <c r="DP65" i="9"/>
  <c r="CQ174" i="10" s="1"/>
  <c r="DP67" i="9"/>
  <c r="DQ2" i="9"/>
  <c r="DQ4" i="9" s="1"/>
  <c r="DQ66" i="9"/>
  <c r="DQ65" i="9"/>
  <c r="CR174" i="10" s="1"/>
  <c r="DQ67" i="9"/>
  <c r="CR83" i="10"/>
  <c r="DQ75" i="9"/>
  <c r="DP2" i="9"/>
  <c r="DP4" i="9" s="1"/>
  <c r="CQ83" i="10"/>
  <c r="DP75" i="9"/>
  <c r="DP107" i="9"/>
  <c r="DP106" i="9"/>
  <c r="BX16" i="31"/>
  <c r="BX31" i="31"/>
  <c r="DP112" i="9"/>
  <c r="DP103" i="9"/>
  <c r="DP108" i="9"/>
  <c r="DP110" i="9"/>
  <c r="DP111" i="9"/>
  <c r="BX42" i="31"/>
  <c r="DP104" i="9"/>
  <c r="BY42" i="31"/>
  <c r="DQ104" i="9"/>
  <c r="DQ108" i="9"/>
  <c r="DQ107" i="9"/>
  <c r="DQ106" i="9"/>
  <c r="BY31" i="31"/>
  <c r="DQ103" i="9"/>
  <c r="DQ112" i="9"/>
  <c r="DQ110" i="9"/>
  <c r="DQ111" i="9"/>
  <c r="DP102" i="9"/>
  <c r="CC1309" i="31" l="1"/>
  <c r="CC1304" i="31" s="1"/>
  <c r="CC1271" i="31"/>
  <c r="CC1266" i="31" s="1"/>
  <c r="CC1282" i="31"/>
  <c r="CC1277" i="31" s="1"/>
  <c r="CC1260" i="31"/>
  <c r="CC1255" i="31" s="1"/>
  <c r="CC1041" i="31"/>
  <c r="CC1036" i="31" s="1"/>
  <c r="CC1063" i="31"/>
  <c r="CC1058" i="31" s="1"/>
  <c r="CC1052" i="31"/>
  <c r="CC1047" i="31" s="1"/>
  <c r="CC1074" i="31"/>
  <c r="CC1069" i="31" s="1"/>
  <c r="CC1018" i="31"/>
  <c r="CC1013" i="31" s="1"/>
  <c r="CC1007" i="31"/>
  <c r="CC1002" i="31" s="1"/>
  <c r="CC1169" i="31"/>
  <c r="CC997" i="31"/>
  <c r="CC1191" i="31"/>
  <c r="CC1355" i="31"/>
  <c r="CC1213" i="31"/>
  <c r="CC1225" i="31"/>
  <c r="CD1309" i="31"/>
  <c r="CD1304" i="31" s="1"/>
  <c r="CD1271" i="31"/>
  <c r="CD1266" i="31" s="1"/>
  <c r="CD1267" i="31" s="1"/>
  <c r="CD1273" i="31" s="1"/>
  <c r="CD1282" i="31"/>
  <c r="CD1277" i="31" s="1"/>
  <c r="CD1260" i="31"/>
  <c r="CD1255" i="31" s="1"/>
  <c r="CD1169" i="31"/>
  <c r="CD1063" i="31"/>
  <c r="CD1058" i="31" s="1"/>
  <c r="CD1059" i="31" s="1"/>
  <c r="CD1052" i="31"/>
  <c r="CD1047" i="31" s="1"/>
  <c r="CD1048" i="31" s="1"/>
  <c r="CD1074" i="31"/>
  <c r="CD1069" i="31" s="1"/>
  <c r="CD1070" i="31" s="1"/>
  <c r="CD1018" i="31"/>
  <c r="CD1013" i="31" s="1"/>
  <c r="CD1014" i="31" s="1"/>
  <c r="CD1020" i="31" s="1"/>
  <c r="CD1007" i="31"/>
  <c r="CD1002" i="31" s="1"/>
  <c r="CD1041" i="31"/>
  <c r="CD1036" i="31" s="1"/>
  <c r="CD1037" i="31" s="1"/>
  <c r="CD1191" i="31"/>
  <c r="CD997" i="31"/>
  <c r="CD1355" i="31"/>
  <c r="CD1213" i="31"/>
  <c r="CD1225" i="31"/>
  <c r="CC633" i="31"/>
  <c r="CD633" i="31"/>
  <c r="CC743" i="31"/>
  <c r="CC494" i="31"/>
  <c r="CD143" i="31"/>
  <c r="CD405" i="31"/>
  <c r="CD494" i="31"/>
  <c r="CD110" i="31"/>
  <c r="CD416" i="31"/>
  <c r="CD743" i="31"/>
  <c r="CD313" i="31"/>
  <c r="CD449" i="31"/>
  <c r="CD732" i="31"/>
  <c r="CD383" i="31"/>
  <c r="CD438" i="31"/>
  <c r="CD710" i="31"/>
  <c r="CD20" i="31"/>
  <c r="CD270" i="31"/>
  <c r="CD198" i="31"/>
  <c r="CD259" i="31"/>
  <c r="CD699" i="31"/>
  <c r="CD165" i="31"/>
  <c r="CD77" i="31"/>
  <c r="CC732" i="31"/>
  <c r="CC449" i="31"/>
  <c r="CC313" i="31"/>
  <c r="CC198" i="31"/>
  <c r="CC77" i="31"/>
  <c r="CC416" i="31"/>
  <c r="CC405" i="31"/>
  <c r="CC110" i="31"/>
  <c r="CC176" i="31"/>
  <c r="CC270" i="31"/>
  <c r="CC710" i="31"/>
  <c r="CC383" i="31"/>
  <c r="CC892" i="31"/>
  <c r="CC165" i="31"/>
  <c r="CC143" i="31"/>
  <c r="CC302" i="31"/>
  <c r="CC765" i="31"/>
  <c r="CC438" i="31"/>
  <c r="CC372" i="31"/>
  <c r="CC259" i="31"/>
  <c r="CC394" i="31"/>
  <c r="CC461" i="31"/>
  <c r="CC699" i="31"/>
  <c r="CC20" i="31"/>
  <c r="CR85" i="10"/>
  <c r="CV86" i="10" s="1"/>
  <c r="DQ76" i="9"/>
  <c r="DQ29" i="9"/>
  <c r="DQ39" i="9" s="1"/>
  <c r="DQ77" i="9"/>
  <c r="DQ78" i="9"/>
  <c r="DQ114" i="9"/>
  <c r="DP115" i="9"/>
  <c r="DP29" i="9"/>
  <c r="DP68" i="9" s="1"/>
  <c r="CQ175" i="10" s="1"/>
  <c r="DP78" i="9"/>
  <c r="CQ84" i="10"/>
  <c r="CR84" i="10"/>
  <c r="DP77" i="9"/>
  <c r="DQ115" i="9"/>
  <c r="CQ85" i="10"/>
  <c r="DP76" i="9"/>
  <c r="DP114" i="9"/>
  <c r="CC1037" i="31" l="1"/>
  <c r="CD1076" i="31"/>
  <c r="CD1065" i="31"/>
  <c r="CC1024" i="31"/>
  <c r="CC1003" i="31"/>
  <c r="CC1256" i="31"/>
  <c r="CC1288" i="31"/>
  <c r="CD1043" i="31"/>
  <c r="CC1014" i="31"/>
  <c r="CC1278" i="31"/>
  <c r="CD1054" i="31"/>
  <c r="CD1024" i="31"/>
  <c r="CD1003" i="31"/>
  <c r="CD1009" i="31" s="1"/>
  <c r="CD1256" i="31"/>
  <c r="CD1262" i="31" s="1"/>
  <c r="CD1288" i="31"/>
  <c r="CC1070" i="31"/>
  <c r="CC1267" i="31"/>
  <c r="CC1059" i="31"/>
  <c r="CD1315" i="31"/>
  <c r="CD1305" i="31"/>
  <c r="CD1311" i="31" s="1"/>
  <c r="CD1278" i="31"/>
  <c r="CD1284" i="31" s="1"/>
  <c r="CC1048" i="31"/>
  <c r="CC1315" i="31"/>
  <c r="CC1305" i="31"/>
  <c r="CD366" i="31"/>
  <c r="CD378" i="31"/>
  <c r="CD489" i="31"/>
  <c r="CF488" i="31"/>
  <c r="CF493" i="31" s="1"/>
  <c r="CD1434" i="31"/>
  <c r="CD1488" i="31"/>
  <c r="CD1456" i="31"/>
  <c r="CD1478" i="31"/>
  <c r="CD388" i="31"/>
  <c r="CD411" i="31"/>
  <c r="CF410" i="31"/>
  <c r="CD759" i="31"/>
  <c r="CI764" i="31" s="1"/>
  <c r="CD705" i="31"/>
  <c r="CF704" i="31"/>
  <c r="CF709" i="31" s="1"/>
  <c r="CD115" i="31"/>
  <c r="CD138" i="31"/>
  <c r="CF137" i="31"/>
  <c r="CD727" i="31"/>
  <c r="CF726" i="31"/>
  <c r="CF731" i="31" s="1"/>
  <c r="CD433" i="31"/>
  <c r="CF432" i="31"/>
  <c r="CF437" i="31" s="1"/>
  <c r="CD1423" i="31"/>
  <c r="CD1445" i="31"/>
  <c r="CD1467" i="31"/>
  <c r="CD400" i="31"/>
  <c r="CF399" i="31"/>
  <c r="CF404" i="31" s="1"/>
  <c r="CD444" i="31"/>
  <c r="CD450" i="31" s="1"/>
  <c r="CF443" i="31"/>
  <c r="CF448" i="31" s="1"/>
  <c r="CF449" i="31" s="1"/>
  <c r="CV60" i="10"/>
  <c r="CV61" i="10"/>
  <c r="CC1445" i="31"/>
  <c r="CF1444" i="31"/>
  <c r="CF1449" i="31" s="1"/>
  <c r="CC1456" i="31"/>
  <c r="CF1455" i="31"/>
  <c r="CF1460" i="31" s="1"/>
  <c r="CC1423" i="31"/>
  <c r="CF1422" i="31"/>
  <c r="CF1427" i="31" s="1"/>
  <c r="CC1467" i="31"/>
  <c r="CF1466" i="31"/>
  <c r="CF1471" i="31" s="1"/>
  <c r="CC1488" i="31"/>
  <c r="CC1434" i="31"/>
  <c r="CC1478" i="31"/>
  <c r="CC1484" i="31" s="1"/>
  <c r="CF1477" i="31"/>
  <c r="CF1482" i="31" s="1"/>
  <c r="CU86" i="10"/>
  <c r="CU60" i="10" s="1"/>
  <c r="CS86" i="10"/>
  <c r="CR78" i="10"/>
  <c r="CR76" i="10"/>
  <c r="CR74" i="10"/>
  <c r="CR70" i="10"/>
  <c r="CR68" i="10"/>
  <c r="CR66" i="10"/>
  <c r="CR59" i="10"/>
  <c r="CR144" i="10"/>
  <c r="CR79" i="10"/>
  <c r="CR77" i="10"/>
  <c r="CR75" i="10"/>
  <c r="CR73" i="10"/>
  <c r="CR69" i="10"/>
  <c r="CR67" i="10"/>
  <c r="DQ38" i="9"/>
  <c r="DQ68" i="9"/>
  <c r="CR175" i="10" s="1"/>
  <c r="DQ79" i="9"/>
  <c r="DQ116" i="9"/>
  <c r="CQ144" i="10"/>
  <c r="CQ78" i="10"/>
  <c r="CQ76" i="10"/>
  <c r="CQ74" i="10"/>
  <c r="CQ69" i="10"/>
  <c r="CQ67" i="10"/>
  <c r="CQ59" i="10"/>
  <c r="CQ66" i="10"/>
  <c r="CQ79" i="10"/>
  <c r="CQ77" i="10"/>
  <c r="CQ75" i="10"/>
  <c r="CQ73" i="10"/>
  <c r="CQ68" i="10"/>
  <c r="DP116" i="9"/>
  <c r="DP79" i="9"/>
  <c r="DP39" i="9"/>
  <c r="DP38" i="9"/>
  <c r="CQ86" i="10"/>
  <c r="CR86" i="10"/>
  <c r="CC1493" i="31" l="1"/>
  <c r="CC1494" i="31" s="1"/>
  <c r="CC24" i="31"/>
  <c r="CC1284" i="31"/>
  <c r="CC1289" i="31"/>
  <c r="CC1294" i="31"/>
  <c r="CC1293" i="31" s="1"/>
  <c r="CC1273" i="31"/>
  <c r="CD1025" i="31"/>
  <c r="CD1029" i="31"/>
  <c r="CD1030" i="31" s="1"/>
  <c r="CC1262" i="31"/>
  <c r="CC1311" i="31"/>
  <c r="CC1020" i="31"/>
  <c r="CC1054" i="31"/>
  <c r="CC1316" i="31"/>
  <c r="CD1316" i="31"/>
  <c r="CC1076" i="31"/>
  <c r="CC1009" i="31"/>
  <c r="CC1065" i="31"/>
  <c r="CD1289" i="31"/>
  <c r="CD1295" i="31" s="1"/>
  <c r="CD1294" i="31"/>
  <c r="CD1293" i="31" s="1"/>
  <c r="CC1025" i="31"/>
  <c r="CC1029" i="31"/>
  <c r="CC1030" i="31" s="1"/>
  <c r="CC1043" i="31"/>
  <c r="CC1429" i="31"/>
  <c r="CC1451" i="31"/>
  <c r="CD1451" i="31"/>
  <c r="CD733" i="31"/>
  <c r="CD711" i="31"/>
  <c r="CD417" i="31"/>
  <c r="CD1462" i="31"/>
  <c r="CD1440" i="31"/>
  <c r="CC1440" i="31"/>
  <c r="CC1473" i="31"/>
  <c r="CC1462" i="31"/>
  <c r="CD406" i="31"/>
  <c r="CD1473" i="31"/>
  <c r="CD1429" i="31"/>
  <c r="CD439" i="31"/>
  <c r="CD144" i="31"/>
  <c r="CD1484" i="31"/>
  <c r="CD495" i="31"/>
  <c r="CD384" i="31"/>
  <c r="CP726" i="31"/>
  <c r="CI138" i="31"/>
  <c r="CI144" i="31" s="1"/>
  <c r="CI1423" i="31"/>
  <c r="CN1429" i="31" s="1"/>
  <c r="CP432" i="31"/>
  <c r="CP704" i="31"/>
  <c r="CI1456" i="31"/>
  <c r="CP488" i="31"/>
  <c r="CP443" i="31"/>
  <c r="CN366" i="31"/>
  <c r="CN455" i="31" s="1"/>
  <c r="CS460" i="31" s="1"/>
  <c r="CS461" i="31" s="1"/>
  <c r="CP399" i="31"/>
  <c r="CP410" i="31"/>
  <c r="CI1478" i="31"/>
  <c r="CN1484" i="31" s="1"/>
  <c r="CI1467" i="31"/>
  <c r="CN1473" i="31" s="1"/>
  <c r="CI1445" i="31"/>
  <c r="CN1451" i="31" s="1"/>
  <c r="CU61" i="10"/>
  <c r="CF388" i="31"/>
  <c r="CF393" i="31" s="1"/>
  <c r="CF415" i="31"/>
  <c r="CF444" i="31"/>
  <c r="CF450" i="31" s="1"/>
  <c r="CI400" i="31"/>
  <c r="CK399" i="31"/>
  <c r="CI727" i="31"/>
  <c r="CK726" i="31"/>
  <c r="CF138" i="31"/>
  <c r="CI705" i="31"/>
  <c r="CK704" i="31"/>
  <c r="CF411" i="31"/>
  <c r="CF417" i="31" s="1"/>
  <c r="CI388" i="31"/>
  <c r="CN393" i="31" s="1"/>
  <c r="CN394" i="31" s="1"/>
  <c r="CI411" i="31"/>
  <c r="CK410" i="31"/>
  <c r="CI366" i="31"/>
  <c r="CI367" i="31" s="1"/>
  <c r="CI378" i="31"/>
  <c r="CI444" i="31"/>
  <c r="CK443" i="31"/>
  <c r="CF400" i="31"/>
  <c r="CF433" i="31"/>
  <c r="CF439" i="31" s="1"/>
  <c r="CI433" i="31"/>
  <c r="CK432" i="31"/>
  <c r="CF727" i="31"/>
  <c r="CF733" i="31" s="1"/>
  <c r="CF142" i="31"/>
  <c r="CD120" i="31"/>
  <c r="CD121" i="31" s="1"/>
  <c r="CD116" i="31"/>
  <c r="CD122" i="31" s="1"/>
  <c r="CD764" i="31"/>
  <c r="CD765" i="31" s="1"/>
  <c r="CD760" i="31"/>
  <c r="CD389" i="31"/>
  <c r="CF389" i="31" s="1"/>
  <c r="CF395" i="31" s="1"/>
  <c r="CD393" i="31"/>
  <c r="CD394" i="31" s="1"/>
  <c r="CD57" i="31"/>
  <c r="DV89" i="9" s="1"/>
  <c r="DV90" i="9" s="1"/>
  <c r="CD1489" i="31"/>
  <c r="CD1493" i="31"/>
  <c r="CD1494" i="31" s="1"/>
  <c r="CI1434" i="31"/>
  <c r="CI1488" i="31"/>
  <c r="CF489" i="31"/>
  <c r="CF495" i="31" s="1"/>
  <c r="CI489" i="31"/>
  <c r="CK488" i="31"/>
  <c r="CD371" i="31"/>
  <c r="CD372" i="31" s="1"/>
  <c r="CD367" i="31"/>
  <c r="CF1478" i="31"/>
  <c r="CF1484" i="31" s="1"/>
  <c r="CH1434" i="31"/>
  <c r="CH1488" i="31"/>
  <c r="CH1456" i="31"/>
  <c r="CF1445" i="31"/>
  <c r="CF1451" i="31" s="1"/>
  <c r="CF1467" i="31"/>
  <c r="CF1473" i="31" s="1"/>
  <c r="CH1423" i="31"/>
  <c r="CH1478" i="31"/>
  <c r="CM1484" i="31" s="1"/>
  <c r="CC57" i="31"/>
  <c r="DU89" i="9" s="1"/>
  <c r="DU90" i="9" s="1"/>
  <c r="CC1489" i="31"/>
  <c r="CC25" i="31" s="1"/>
  <c r="CH1467" i="31"/>
  <c r="CF1423" i="31"/>
  <c r="CF1429" i="31" s="1"/>
  <c r="CF1456" i="31"/>
  <c r="CF1462" i="31" s="1"/>
  <c r="CH1445" i="31"/>
  <c r="CS61" i="10"/>
  <c r="CS60" i="10"/>
  <c r="CR61" i="10"/>
  <c r="CR60" i="10"/>
  <c r="DQ71" i="9"/>
  <c r="DQ70" i="9"/>
  <c r="DQ80" i="9"/>
  <c r="DQ125" i="9"/>
  <c r="DQ127" i="9" s="1"/>
  <c r="DQ122" i="9"/>
  <c r="CQ61" i="10"/>
  <c r="CQ60" i="10"/>
  <c r="DP71" i="9"/>
  <c r="DP50" i="9" s="1"/>
  <c r="DP80" i="9"/>
  <c r="DP122" i="9"/>
  <c r="DP125" i="9"/>
  <c r="DP127" i="9" s="1"/>
  <c r="DP70" i="9"/>
  <c r="DQ133" i="9"/>
  <c r="CC1031" i="31" l="1"/>
  <c r="CD1031" i="31"/>
  <c r="CC1295" i="31"/>
  <c r="DM1434" i="31"/>
  <c r="DH1445" i="31"/>
  <c r="DM1445" i="31"/>
  <c r="DR1451" i="31" s="1"/>
  <c r="DH1434" i="31"/>
  <c r="DC1445" i="31"/>
  <c r="DC1434" i="31"/>
  <c r="CI393" i="31"/>
  <c r="CI1493" i="31"/>
  <c r="CN1493" i="31"/>
  <c r="CN1494" i="31" s="1"/>
  <c r="CI439" i="31"/>
  <c r="CN439" i="31"/>
  <c r="CI384" i="31"/>
  <c r="CN384" i="31"/>
  <c r="CK727" i="31"/>
  <c r="CN733" i="31"/>
  <c r="CN456" i="31"/>
  <c r="CS462" i="31" s="1"/>
  <c r="CI495" i="31"/>
  <c r="CN495" i="31"/>
  <c r="CI1440" i="31"/>
  <c r="CN1440" i="31"/>
  <c r="CI450" i="31"/>
  <c r="CN450" i="31"/>
  <c r="CI417" i="31"/>
  <c r="CN417" i="31"/>
  <c r="CN711" i="31"/>
  <c r="CN406" i="31"/>
  <c r="CI1462" i="31"/>
  <c r="CN1462" i="31"/>
  <c r="CH1462" i="31"/>
  <c r="CM1462" i="31"/>
  <c r="CH1440" i="31"/>
  <c r="CM1440" i="31"/>
  <c r="CH1451" i="31"/>
  <c r="CM1451" i="31"/>
  <c r="CH1473" i="31"/>
  <c r="CM1473" i="31"/>
  <c r="CH1429" i="31"/>
  <c r="CM1429" i="31"/>
  <c r="CH1493" i="31"/>
  <c r="CM1493" i="31"/>
  <c r="CM1494" i="31" s="1"/>
  <c r="CF406" i="31"/>
  <c r="CI711" i="31"/>
  <c r="CI406" i="31"/>
  <c r="CP404" i="31"/>
  <c r="CI1429" i="31"/>
  <c r="CI1451" i="31"/>
  <c r="CI1484" i="31"/>
  <c r="CI1473" i="31"/>
  <c r="CI733" i="31"/>
  <c r="CP437" i="31"/>
  <c r="CP709" i="31"/>
  <c r="CN138" i="31"/>
  <c r="CN144" i="31" s="1"/>
  <c r="CI760" i="31"/>
  <c r="CK760" i="31" s="1"/>
  <c r="CP489" i="31"/>
  <c r="CP705" i="31"/>
  <c r="CP433" i="31"/>
  <c r="CP727" i="31"/>
  <c r="CP411" i="31"/>
  <c r="CP444" i="31"/>
  <c r="CP400" i="31"/>
  <c r="CN371" i="31"/>
  <c r="CN372" i="31" s="1"/>
  <c r="CN367" i="31"/>
  <c r="CN373" i="31" s="1"/>
  <c r="CH1484" i="31"/>
  <c r="CK493" i="31"/>
  <c r="CP493" i="31"/>
  <c r="CK448" i="31"/>
  <c r="CP448" i="31"/>
  <c r="CK731" i="31"/>
  <c r="CP731" i="31"/>
  <c r="CK415" i="31"/>
  <c r="CP415" i="31"/>
  <c r="CM57" i="31"/>
  <c r="EE89" i="9" s="1"/>
  <c r="EE90" i="9" s="1"/>
  <c r="CC1495" i="31"/>
  <c r="CI371" i="31"/>
  <c r="CK489" i="31"/>
  <c r="CI57" i="31"/>
  <c r="CI1489" i="31"/>
  <c r="CD1495" i="31"/>
  <c r="CK433" i="31"/>
  <c r="CK437" i="31"/>
  <c r="CK444" i="31"/>
  <c r="CK411" i="31"/>
  <c r="CK709" i="31"/>
  <c r="CF144" i="31"/>
  <c r="CK404" i="31"/>
  <c r="CD373" i="31"/>
  <c r="CI373" i="31"/>
  <c r="CD62" i="31"/>
  <c r="CD63" i="31" s="1"/>
  <c r="CD58" i="31"/>
  <c r="CD395" i="31"/>
  <c r="CI389" i="31"/>
  <c r="CK388" i="31"/>
  <c r="CK705" i="31"/>
  <c r="CK400" i="31"/>
  <c r="CC62" i="31"/>
  <c r="CC63" i="31" s="1"/>
  <c r="CC58" i="31"/>
  <c r="CH57" i="31"/>
  <c r="DZ89" i="9" s="1"/>
  <c r="CH1489" i="31"/>
  <c r="CR62" i="10"/>
  <c r="CT28" i="11"/>
  <c r="CQ62" i="10"/>
  <c r="DP49" i="9"/>
  <c r="DP43" i="9"/>
  <c r="CR97" i="10"/>
  <c r="CR36" i="10"/>
  <c r="CS28" i="11"/>
  <c r="CQ97" i="10"/>
  <c r="CQ36" i="10"/>
  <c r="DZ90" i="9" l="1"/>
  <c r="CI62" i="31"/>
  <c r="EA89" i="9"/>
  <c r="EA90" i="9" s="1"/>
  <c r="DM1440" i="31"/>
  <c r="DM1451" i="31"/>
  <c r="DH1478" i="31"/>
  <c r="DH1423" i="31"/>
  <c r="DH1456" i="31"/>
  <c r="DH1451" i="31"/>
  <c r="DC1451" i="31"/>
  <c r="DH1440" i="31"/>
  <c r="DC1456" i="31"/>
  <c r="DC1478" i="31"/>
  <c r="DC1423" i="31"/>
  <c r="DC1440" i="31"/>
  <c r="CU759" i="31"/>
  <c r="CK733" i="31"/>
  <c r="CM62" i="31"/>
  <c r="CM63" i="31" s="1"/>
  <c r="CI766" i="31"/>
  <c r="CN766" i="31"/>
  <c r="CK389" i="31"/>
  <c r="CN395" i="31"/>
  <c r="CN1495" i="31"/>
  <c r="CR62" i="31"/>
  <c r="CR63" i="31" s="1"/>
  <c r="CS1488" i="31"/>
  <c r="CM1495" i="31"/>
  <c r="CP450" i="31"/>
  <c r="CP406" i="31"/>
  <c r="CP711" i="31"/>
  <c r="CP417" i="31"/>
  <c r="CP439" i="31"/>
  <c r="CP495" i="31"/>
  <c r="CP733" i="31"/>
  <c r="CI1495" i="31"/>
  <c r="CP759" i="31"/>
  <c r="CN57" i="31"/>
  <c r="EF89" i="9" s="1"/>
  <c r="EF90" i="9" s="1"/>
  <c r="CM58" i="31"/>
  <c r="CH1495" i="31"/>
  <c r="CI395" i="31"/>
  <c r="CK417" i="31"/>
  <c r="CK450" i="31"/>
  <c r="CK495" i="31"/>
  <c r="CK406" i="31"/>
  <c r="CP388" i="31"/>
  <c r="CD64" i="31"/>
  <c r="CK439" i="31"/>
  <c r="CK393" i="31"/>
  <c r="CI58" i="31"/>
  <c r="CH58" i="31"/>
  <c r="CC64" i="31"/>
  <c r="CH62" i="31"/>
  <c r="CU28" i="11"/>
  <c r="CR41" i="10"/>
  <c r="CQ41" i="10"/>
  <c r="DP45" i="9"/>
  <c r="DP55" i="9"/>
  <c r="DP121" i="9"/>
  <c r="DP5" i="9"/>
  <c r="DP81" i="9"/>
  <c r="DP72" i="9"/>
  <c r="CQ176" i="10" s="1"/>
  <c r="CS29" i="11"/>
  <c r="CX1493" i="31" l="1"/>
  <c r="CX1494" i="31" s="1"/>
  <c r="DM1423" i="31"/>
  <c r="DM1456" i="31"/>
  <c r="DM1478" i="31"/>
  <c r="DH1467" i="31"/>
  <c r="DM760" i="31"/>
  <c r="DH1484" i="31"/>
  <c r="DE1478" i="31"/>
  <c r="DH1462" i="31"/>
  <c r="DH1429" i="31"/>
  <c r="DC1429" i="31"/>
  <c r="DH760" i="31"/>
  <c r="DH766" i="31" s="1"/>
  <c r="DH1488" i="31"/>
  <c r="DC1467" i="31"/>
  <c r="DC1473" i="31" s="1"/>
  <c r="CZ764" i="31"/>
  <c r="DC1488" i="31"/>
  <c r="DC1484" i="31"/>
  <c r="CK395" i="31"/>
  <c r="CR64" i="31"/>
  <c r="CU760" i="31"/>
  <c r="CZ766" i="31" s="1"/>
  <c r="CU764" i="31"/>
  <c r="CS1493" i="31"/>
  <c r="CS1494" i="31" s="1"/>
  <c r="CS57" i="31"/>
  <c r="CS1489" i="31"/>
  <c r="CP760" i="31"/>
  <c r="CN58" i="31"/>
  <c r="CN62" i="31"/>
  <c r="CN63" i="31" s="1"/>
  <c r="CM64" i="31"/>
  <c r="CI64" i="31"/>
  <c r="CP389" i="31"/>
  <c r="CP393" i="31"/>
  <c r="CH64" i="31"/>
  <c r="CQ185" i="10"/>
  <c r="CX1495" i="31" l="1"/>
  <c r="CX62" i="31"/>
  <c r="CX63" i="31" s="1"/>
  <c r="EK89" i="9"/>
  <c r="EK90" i="9" s="1"/>
  <c r="DM1484" i="31"/>
  <c r="DM1462" i="31"/>
  <c r="DM1429" i="31"/>
  <c r="DE1484" i="31"/>
  <c r="DM1467" i="31"/>
  <c r="DM1488" i="31"/>
  <c r="DM766" i="31"/>
  <c r="DH1473" i="31"/>
  <c r="DH1493" i="31"/>
  <c r="DH1494" i="31" s="1"/>
  <c r="DH57" i="31"/>
  <c r="EZ89" i="9" s="1"/>
  <c r="EZ90" i="9" s="1"/>
  <c r="DH1489" i="31"/>
  <c r="DC57" i="31"/>
  <c r="DC1493" i="31"/>
  <c r="DC1494" i="31" s="1"/>
  <c r="DC1489" i="31"/>
  <c r="CS1495" i="31"/>
  <c r="CU766" i="31"/>
  <c r="CS62" i="31"/>
  <c r="CS63" i="31" s="1"/>
  <c r="CS58" i="31"/>
  <c r="CN64" i="31"/>
  <c r="CP395" i="31"/>
  <c r="CX64" i="31" l="1"/>
  <c r="DC58" i="31"/>
  <c r="EU89" i="9"/>
  <c r="EU90" i="9" s="1"/>
  <c r="DM1473" i="31"/>
  <c r="DM1493" i="31"/>
  <c r="DM1494" i="31" s="1"/>
  <c r="DM1489" i="31"/>
  <c r="DM57" i="31"/>
  <c r="FE89" i="9" s="1"/>
  <c r="FE90" i="9" s="1"/>
  <c r="DH62" i="31"/>
  <c r="DH63" i="31" s="1"/>
  <c r="DH1495" i="31"/>
  <c r="DH58" i="31"/>
  <c r="DC62" i="31"/>
  <c r="DC63" i="31" s="1"/>
  <c r="DC1495" i="31"/>
  <c r="CS64" i="31"/>
  <c r="DH64" i="31" l="1"/>
  <c r="DM62" i="31"/>
  <c r="DM63" i="31" s="1"/>
  <c r="DM1495" i="31"/>
  <c r="DM58" i="31"/>
  <c r="DM64" i="31" l="1"/>
  <c r="CQ115" i="10" l="1"/>
  <c r="CQ52" i="10" l="1"/>
  <c r="CP103" i="10"/>
  <c r="CP104" i="10" s="1"/>
  <c r="CP186" i="10" l="1"/>
  <c r="CP191" i="10" s="1"/>
  <c r="CQ180" i="10"/>
  <c r="CQ179" i="10"/>
  <c r="CR184" i="10"/>
  <c r="CQ173" i="10"/>
  <c r="CQ93" i="10"/>
  <c r="CQ192" i="10"/>
  <c r="CQ54" i="10"/>
  <c r="CQ181" i="10" l="1"/>
  <c r="CQ87" i="10"/>
  <c r="DP7" i="9"/>
  <c r="DP56" i="9"/>
  <c r="DP57" i="9"/>
  <c r="DO52" i="9"/>
  <c r="CP88" i="10"/>
  <c r="CP92" i="10" s="1"/>
  <c r="DO54" i="9"/>
  <c r="DO53" i="9"/>
  <c r="CR48" i="11"/>
  <c r="CR52" i="11" l="1"/>
  <c r="DP82" i="9"/>
  <c r="DP83" i="9" s="1"/>
  <c r="DP8" i="9"/>
  <c r="CR54" i="11" l="1"/>
  <c r="CS53" i="11" l="1"/>
  <c r="CP143" i="10" l="1"/>
  <c r="CP144" i="10" l="1"/>
  <c r="CP150" i="10"/>
  <c r="CQ134" i="10"/>
  <c r="CP146" i="10"/>
  <c r="CP147" i="10" l="1"/>
  <c r="CP148" i="10" l="1"/>
  <c r="CQ169" i="10" l="1"/>
  <c r="CQ220" i="10"/>
  <c r="CQ96" i="10"/>
  <c r="CQ98" i="10" s="1"/>
  <c r="CQ65" i="10"/>
  <c r="CQ216" i="10" s="1"/>
  <c r="CQ20" i="10"/>
  <c r="DP131" i="9"/>
  <c r="CQ27" i="10" l="1"/>
  <c r="CQ91" i="10"/>
  <c r="CQ168" i="10"/>
  <c r="CQ167" i="10"/>
  <c r="CQ218" i="10" l="1"/>
  <c r="CQ56" i="10"/>
  <c r="CQ172" i="10"/>
  <c r="CQ217" i="10"/>
  <c r="DO143" i="9"/>
  <c r="DO144" i="9" s="1"/>
  <c r="DP133" i="9" l="1"/>
  <c r="DP134" i="9" l="1"/>
  <c r="CQ70" i="10"/>
  <c r="DP143" i="9" l="1"/>
  <c r="DP144" i="9" s="1"/>
  <c r="DP135" i="9"/>
  <c r="CR108" i="10" l="1"/>
  <c r="CR112" i="10" s="1"/>
  <c r="CQ109" i="10"/>
  <c r="CQ112" i="10"/>
  <c r="CQ120" i="10" l="1"/>
  <c r="DP53" i="9" l="1"/>
  <c r="DP54" i="9"/>
  <c r="CQ88" i="10"/>
  <c r="CQ92" i="10" s="1"/>
  <c r="DP52" i="9"/>
  <c r="CQ103" i="10"/>
  <c r="CQ104" i="10" s="1"/>
  <c r="CQ186" i="10" l="1"/>
  <c r="CQ191" i="10" s="1"/>
  <c r="CS48" i="11" l="1"/>
  <c r="CQ116" i="10" l="1"/>
  <c r="DQ7" i="9" l="1"/>
  <c r="CR87" i="10"/>
  <c r="CQ124" i="10" l="1"/>
  <c r="CR123" i="10"/>
  <c r="CR124" i="10" s="1"/>
  <c r="CR190" i="10" l="1"/>
  <c r="CR188" i="10"/>
  <c r="CS36" i="11" l="1"/>
  <c r="CS52" i="11" l="1"/>
  <c r="CS54" i="11" l="1"/>
  <c r="CT53" i="11" l="1"/>
  <c r="CQ136" i="10" l="1"/>
  <c r="CQ150" i="10" l="1"/>
  <c r="CR134" i="10"/>
  <c r="CQ137" i="10"/>
  <c r="CQ142" i="10" l="1"/>
  <c r="CQ143" i="10"/>
  <c r="CQ146" i="10"/>
  <c r="CQ147" i="10" l="1"/>
  <c r="CQ148" i="10" s="1"/>
  <c r="CR153" i="10" l="1"/>
  <c r="CQ154" i="10"/>
  <c r="CQ163" i="10" l="1"/>
  <c r="CQ159" i="10"/>
  <c r="CR158" i="10"/>
  <c r="CC81" i="31" l="1"/>
  <c r="CC180" i="31" s="1"/>
  <c r="CH81" i="31"/>
  <c r="CE82" i="31"/>
  <c r="CC82" i="31"/>
  <c r="CC87" i="31" s="1"/>
  <c r="CC88" i="31" s="1"/>
  <c r="CC105" i="31"/>
  <c r="CB105" i="31"/>
  <c r="CC86" i="31" l="1"/>
  <c r="CC111" i="31"/>
  <c r="CM86" i="31"/>
  <c r="CH180" i="31"/>
  <c r="CH185" i="31" s="1"/>
  <c r="CM82" i="31"/>
  <c r="CE87" i="31"/>
  <c r="CC83" i="31"/>
  <c r="CC89" i="31" s="1"/>
  <c r="CH86" i="31"/>
  <c r="CC185" i="31"/>
  <c r="CH75" i="31"/>
  <c r="CB111" i="31"/>
  <c r="CH105" i="31"/>
  <c r="CH82" i="31"/>
  <c r="CJ82" i="31"/>
  <c r="CJ87" i="31" l="1"/>
  <c r="CO87" i="31"/>
  <c r="CO88" i="31" s="1"/>
  <c r="CM181" i="31"/>
  <c r="CR186" i="31" s="1"/>
  <c r="CR187" i="31" s="1"/>
  <c r="CH111" i="31"/>
  <c r="CM111" i="31"/>
  <c r="CH87" i="31"/>
  <c r="CM87" i="31"/>
  <c r="CM88" i="31" s="1"/>
  <c r="CM83" i="31"/>
  <c r="CH83" i="31"/>
  <c r="CH89" i="31" s="1"/>
  <c r="CC34" i="31"/>
  <c r="CM182" i="31" l="1"/>
  <c r="CM89" i="31"/>
  <c r="CC39" i="31"/>
  <c r="DU92" i="9"/>
  <c r="CF92" i="31"/>
  <c r="CK97" i="31" s="1"/>
  <c r="CB81" i="31"/>
  <c r="CR182" i="31" l="1"/>
  <c r="CW188" i="31" s="1"/>
  <c r="CG86" i="31"/>
  <c r="CB180" i="31"/>
  <c r="CB86" i="31"/>
  <c r="CF97" i="31"/>
  <c r="CU182" i="31" l="1"/>
  <c r="CZ188" i="31" s="1"/>
  <c r="CR188" i="31"/>
  <c r="CR72" i="31"/>
  <c r="CW78" i="31" s="1"/>
  <c r="CR76" i="31"/>
  <c r="CR77" i="31" s="1"/>
  <c r="CB185" i="31"/>
  <c r="CB94" i="31"/>
  <c r="CG100" i="31" s="1"/>
  <c r="CF93" i="31"/>
  <c r="CK98" i="31" s="1"/>
  <c r="CR35" i="31" l="1"/>
  <c r="CB181" i="31"/>
  <c r="CB87" i="31"/>
  <c r="CB88" i="31" s="1"/>
  <c r="CF98" i="31"/>
  <c r="CF94" i="31"/>
  <c r="CB83" i="31"/>
  <c r="EJ93" i="9" l="1"/>
  <c r="EJ94" i="9" s="1"/>
  <c r="CR36" i="31"/>
  <c r="CK100" i="31"/>
  <c r="CB186" i="31"/>
  <c r="CB187" i="31" s="1"/>
  <c r="CB89" i="31"/>
  <c r="CF100" i="31"/>
  <c r="CB171" i="31" l="1"/>
  <c r="CF169" i="31"/>
  <c r="CF171" i="31" l="1"/>
  <c r="CF177" i="31" s="1"/>
  <c r="CK174" i="31"/>
  <c r="CF174" i="31"/>
  <c r="CF114" i="31"/>
  <c r="CB177" i="31"/>
  <c r="CF119" i="31" l="1"/>
  <c r="CB182" i="31" l="1"/>
  <c r="CB188" i="31" l="1"/>
  <c r="CH115" i="31" l="1"/>
  <c r="CH127" i="31"/>
  <c r="CC127" i="31"/>
  <c r="CC115" i="31"/>
  <c r="CM133" i="31" l="1"/>
  <c r="CH181" i="31"/>
  <c r="CH182" i="31" s="1"/>
  <c r="CM120" i="31"/>
  <c r="CM121" i="31" s="1"/>
  <c r="CH133" i="31"/>
  <c r="CC133" i="31"/>
  <c r="CC120" i="31"/>
  <c r="CC121" i="31" s="1"/>
  <c r="CC181" i="31"/>
  <c r="CC116" i="31"/>
  <c r="CC122" i="31" s="1"/>
  <c r="CH120" i="31"/>
  <c r="CH116" i="31"/>
  <c r="CM122" i="31" s="1"/>
  <c r="CH186" i="31" l="1"/>
  <c r="CC186" i="31"/>
  <c r="CC187" i="31" s="1"/>
  <c r="CC182" i="31"/>
  <c r="CH122" i="31"/>
  <c r="CC72" i="31"/>
  <c r="CC78" i="31" s="1"/>
  <c r="DM127" i="31" l="1"/>
  <c r="DH127" i="31"/>
  <c r="DC127" i="31"/>
  <c r="CS127" i="31"/>
  <c r="CX133" i="31" s="1"/>
  <c r="CC188" i="31"/>
  <c r="CH188" i="31"/>
  <c r="CI127" i="31"/>
  <c r="CD127" i="31"/>
  <c r="DM133" i="31" l="1"/>
  <c r="DH133" i="31"/>
  <c r="DC133" i="31"/>
  <c r="CU127" i="31"/>
  <c r="CS133" i="31"/>
  <c r="CN133" i="31"/>
  <c r="CI133" i="31"/>
  <c r="CM76" i="31"/>
  <c r="CM77" i="31" s="1"/>
  <c r="CM72" i="31"/>
  <c r="CR78" i="31" s="1"/>
  <c r="CD133" i="31"/>
  <c r="CH76" i="31"/>
  <c r="CH72" i="31"/>
  <c r="CZ133" i="31" l="1"/>
  <c r="CH78" i="31"/>
  <c r="CM78" i="31"/>
  <c r="CP126" i="31" l="1"/>
  <c r="CU131" i="31" s="1"/>
  <c r="CJ127" i="31"/>
  <c r="CE127" i="31"/>
  <c r="CE115" i="31"/>
  <c r="CO133" i="31" l="1"/>
  <c r="CJ133" i="31"/>
  <c r="CP127" i="31"/>
  <c r="CE133" i="31"/>
  <c r="CE120" i="31"/>
  <c r="CE181" i="31"/>
  <c r="CE116" i="31"/>
  <c r="CE122" i="31" s="1"/>
  <c r="CU133" i="31" l="1"/>
  <c r="CE186" i="31"/>
  <c r="CB127" i="31"/>
  <c r="CF126" i="31"/>
  <c r="CF115" i="31" l="1"/>
  <c r="CF131" i="31"/>
  <c r="CB133" i="31"/>
  <c r="CF127" i="31"/>
  <c r="CB72" i="31"/>
  <c r="CF71" i="31"/>
  <c r="CF76" i="31" s="1"/>
  <c r="CF133" i="31" l="1"/>
  <c r="CF120" i="31"/>
  <c r="CF116" i="31"/>
  <c r="CF122" i="31" s="1"/>
  <c r="CB78" i="31"/>
  <c r="CF202" i="31" l="1"/>
  <c r="CK208" i="31" l="1"/>
  <c r="CF191" i="31"/>
  <c r="CF208" i="31"/>
  <c r="CB205" i="31"/>
  <c r="CF196" i="31" l="1"/>
  <c r="CB213" i="31"/>
  <c r="CF205" i="31"/>
  <c r="CF213" i="31" l="1"/>
  <c r="CB232" i="31" l="1"/>
  <c r="CF231" i="31"/>
  <c r="CF236" i="31" l="1"/>
  <c r="CF192" i="31"/>
  <c r="CB238" i="31"/>
  <c r="CB193" i="31"/>
  <c r="CF232" i="31"/>
  <c r="CF238" i="31" l="1"/>
  <c r="CF197" i="31"/>
  <c r="CF193" i="31"/>
  <c r="CB199" i="31"/>
  <c r="CF199" i="31" l="1"/>
  <c r="CC308" i="31" l="1"/>
  <c r="CC314" i="31" l="1"/>
  <c r="CH296" i="31"/>
  <c r="CH308" i="31"/>
  <c r="CM314" i="31" l="1"/>
  <c r="CH301" i="31"/>
  <c r="CM301" i="31"/>
  <c r="CM302" i="31" s="1"/>
  <c r="CH314" i="31"/>
  <c r="CH455" i="31"/>
  <c r="CM460" i="31" s="1"/>
  <c r="CM461" i="31" s="1"/>
  <c r="CH297" i="31"/>
  <c r="CM303" i="31" s="1"/>
  <c r="CC265" i="31"/>
  <c r="CC271" i="31" s="1"/>
  <c r="CH303" i="31" l="1"/>
  <c r="CH265" i="31"/>
  <c r="CH269" i="31"/>
  <c r="CC35" i="31"/>
  <c r="CH271" i="31" l="1"/>
  <c r="CM271" i="31"/>
  <c r="CC40" i="31"/>
  <c r="CC41" i="31" s="1"/>
  <c r="DU93" i="9"/>
  <c r="DU94" i="9" s="1"/>
  <c r="CC36" i="31"/>
  <c r="CC42" i="31" l="1"/>
  <c r="CD296" i="31"/>
  <c r="CD301" i="31" l="1"/>
  <c r="CD302" i="31" s="1"/>
  <c r="CD297" i="31"/>
  <c r="CD303" i="31" s="1"/>
  <c r="CD455" i="31"/>
  <c r="CD308" i="31"/>
  <c r="CD314" i="31" l="1"/>
  <c r="CD456" i="31"/>
  <c r="CD460" i="31"/>
  <c r="CD461" i="31" s="1"/>
  <c r="CI308" i="31"/>
  <c r="CI296" i="31"/>
  <c r="CN301" i="31" s="1"/>
  <c r="CN302" i="31" s="1"/>
  <c r="CN314" i="31" l="1"/>
  <c r="CI314" i="31"/>
  <c r="CD462" i="31"/>
  <c r="CI455" i="31"/>
  <c r="CN460" i="31" s="1"/>
  <c r="CN461" i="31" s="1"/>
  <c r="CI297" i="31"/>
  <c r="CN303" i="31" s="1"/>
  <c r="CI301" i="31"/>
  <c r="CD265" i="31"/>
  <c r="CD271" i="31" l="1"/>
  <c r="CI456" i="31"/>
  <c r="CI460" i="31"/>
  <c r="CI303" i="31"/>
  <c r="CI265" i="31"/>
  <c r="CI462" i="31" l="1"/>
  <c r="CN462" i="31"/>
  <c r="CI271" i="31"/>
  <c r="CN271" i="31"/>
  <c r="CE296" i="31"/>
  <c r="CK307" i="31" l="1"/>
  <c r="CE301" i="31"/>
  <c r="CJ296" i="31"/>
  <c r="CO301" i="31" s="1"/>
  <c r="CO302" i="31" s="1"/>
  <c r="CJ308" i="31"/>
  <c r="CE297" i="31"/>
  <c r="CE303" i="31" s="1"/>
  <c r="CO314" i="31" l="1"/>
  <c r="CJ314" i="31"/>
  <c r="CP307" i="31"/>
  <c r="CJ297" i="31"/>
  <c r="CO303" i="31" s="1"/>
  <c r="CK296" i="31"/>
  <c r="CJ301" i="31"/>
  <c r="CK308" i="31"/>
  <c r="CB265" i="31"/>
  <c r="CB886" i="31"/>
  <c r="CB24" i="31" s="1"/>
  <c r="DC269" i="31" l="1"/>
  <c r="DC270" i="31" s="1"/>
  <c r="DC265" i="31"/>
  <c r="CP308" i="31"/>
  <c r="CP312" i="31"/>
  <c r="CK297" i="31"/>
  <c r="CJ303" i="31"/>
  <c r="CB891" i="31"/>
  <c r="CB892" i="31" s="1"/>
  <c r="CB271" i="31"/>
  <c r="CB35" i="31"/>
  <c r="DC271" i="31" l="1"/>
  <c r="CP314" i="31"/>
  <c r="CB29" i="31"/>
  <c r="CB30" i="31" s="1"/>
  <c r="CB40" i="31"/>
  <c r="CB41" i="31" s="1"/>
  <c r="DT93" i="9"/>
  <c r="CB705" i="31"/>
  <c r="CG711" i="31" l="1"/>
  <c r="CB711" i="31"/>
  <c r="CF705" i="31"/>
  <c r="CF703" i="31"/>
  <c r="CK711" i="31" l="1"/>
  <c r="CF711" i="31"/>
  <c r="CK708" i="31"/>
  <c r="CF708" i="31"/>
  <c r="CF737" i="31" l="1"/>
  <c r="CF742" i="31" l="1"/>
  <c r="CE744" i="31" l="1"/>
  <c r="CE694" i="31"/>
  <c r="CE700" i="31" s="1"/>
  <c r="CB738" i="31" l="1"/>
  <c r="CF738" i="31" l="1"/>
  <c r="CF744" i="31" l="1"/>
  <c r="CF736" i="31" l="1"/>
  <c r="CF741" i="31" l="1"/>
  <c r="CB694" i="31"/>
  <c r="CB885" i="31"/>
  <c r="CB23" i="31" s="1"/>
  <c r="CB890" i="31" l="1"/>
  <c r="CB700" i="31"/>
  <c r="CB34" i="31"/>
  <c r="CB887" i="31"/>
  <c r="CB25" i="31" s="1"/>
  <c r="CB28" i="31" l="1"/>
  <c r="CB39" i="31"/>
  <c r="DT92" i="9"/>
  <c r="DT94" i="9" s="1"/>
  <c r="CB893" i="31"/>
  <c r="DT24" i="9"/>
  <c r="CB36" i="31"/>
  <c r="CG21" i="31" l="1"/>
  <c r="CU83" i="10"/>
  <c r="DT75" i="9"/>
  <c r="DT67" i="9"/>
  <c r="DT66" i="9"/>
  <c r="DT65" i="9"/>
  <c r="CU174" i="10" s="1"/>
  <c r="CB42" i="31"/>
  <c r="DT104" i="9"/>
  <c r="DT111" i="9"/>
  <c r="DT110" i="9"/>
  <c r="DT112" i="9"/>
  <c r="DT106" i="9"/>
  <c r="DT107" i="9"/>
  <c r="DT108" i="9"/>
  <c r="DT103" i="9"/>
  <c r="DT102" i="9"/>
  <c r="CB31" i="31"/>
  <c r="CG1309" i="31" l="1"/>
  <c r="CG1304" i="31" s="1"/>
  <c r="CG1282" i="31"/>
  <c r="CG1277" i="31" s="1"/>
  <c r="CG1260" i="31"/>
  <c r="CG1255" i="31" s="1"/>
  <c r="CG1271" i="31"/>
  <c r="CG1266" i="31" s="1"/>
  <c r="CG1074" i="31"/>
  <c r="CG1069" i="31" s="1"/>
  <c r="CG1063" i="31"/>
  <c r="CG1058" i="31" s="1"/>
  <c r="CG1052" i="31"/>
  <c r="CG1047" i="31" s="1"/>
  <c r="CG1041" i="31"/>
  <c r="CG1036" i="31" s="1"/>
  <c r="CG1018" i="31"/>
  <c r="CG1013" i="31" s="1"/>
  <c r="CG1007" i="31"/>
  <c r="CG1002" i="31" s="1"/>
  <c r="CG1191" i="31"/>
  <c r="CG1225" i="31"/>
  <c r="CG1213" i="31"/>
  <c r="CG951" i="31"/>
  <c r="CG1169" i="31"/>
  <c r="CG939" i="31"/>
  <c r="CG963" i="31"/>
  <c r="CG1237" i="31"/>
  <c r="CG1249" i="31"/>
  <c r="CG927" i="31"/>
  <c r="CG1355" i="31"/>
  <c r="CG633" i="31"/>
  <c r="CG176" i="31"/>
  <c r="CG165" i="31"/>
  <c r="CG20" i="31"/>
  <c r="CG154" i="31"/>
  <c r="CG143" i="31"/>
  <c r="CG313" i="31"/>
  <c r="CG416" i="31"/>
  <c r="CG383" i="31"/>
  <c r="CG449" i="31"/>
  <c r="CG765" i="31"/>
  <c r="CG259" i="31"/>
  <c r="CG405" i="31"/>
  <c r="CG494" i="31"/>
  <c r="CG732" i="31"/>
  <c r="CG110" i="31"/>
  <c r="CG438" i="31"/>
  <c r="CG710" i="31"/>
  <c r="CG99" i="31"/>
  <c r="CG1494" i="31"/>
  <c r="CG394" i="31"/>
  <c r="CG63" i="31"/>
  <c r="DT115" i="9"/>
  <c r="DT114" i="9"/>
  <c r="CG372" i="31"/>
  <c r="DT29" i="9"/>
  <c r="CG1059" i="31" l="1"/>
  <c r="CL1058" i="31"/>
  <c r="CL1069" i="31"/>
  <c r="CG1070" i="31"/>
  <c r="CG1024" i="31"/>
  <c r="CL1002" i="31"/>
  <c r="CG1003" i="31"/>
  <c r="CL1266" i="31"/>
  <c r="CG1267" i="31"/>
  <c r="CG1014" i="31"/>
  <c r="CL1013" i="31"/>
  <c r="CG1288" i="31"/>
  <c r="CG1256" i="31"/>
  <c r="CL1255" i="31"/>
  <c r="CL1036" i="31"/>
  <c r="CG1037" i="31"/>
  <c r="CG1278" i="31"/>
  <c r="CL1277" i="31"/>
  <c r="CL1047" i="31"/>
  <c r="CG1048" i="31"/>
  <c r="CG1315" i="31"/>
  <c r="CL1304" i="31"/>
  <c r="CG1305" i="31"/>
  <c r="DT79" i="9"/>
  <c r="DT68" i="9"/>
  <c r="CU175" i="10" s="1"/>
  <c r="DT116" i="9"/>
  <c r="DT39" i="9"/>
  <c r="DT38" i="9"/>
  <c r="CL1315" i="31" l="1"/>
  <c r="CL1320" i="31" s="1"/>
  <c r="CL1321" i="31" s="1"/>
  <c r="CQ1304" i="31"/>
  <c r="CQ1305" i="31" s="1"/>
  <c r="CL1305" i="31"/>
  <c r="CG1284" i="31"/>
  <c r="CG1262" i="31"/>
  <c r="CG1076" i="31"/>
  <c r="CG1289" i="31"/>
  <c r="CL1267" i="31"/>
  <c r="CQ1266" i="31"/>
  <c r="CQ1267" i="31" s="1"/>
  <c r="CQ1069" i="31"/>
  <c r="CL1070" i="31"/>
  <c r="CG1054" i="31"/>
  <c r="CQ1013" i="31"/>
  <c r="CL1014" i="31"/>
  <c r="CG1009" i="31"/>
  <c r="CQ1047" i="31"/>
  <c r="CL1048" i="31"/>
  <c r="CQ1036" i="31"/>
  <c r="CL1037" i="31"/>
  <c r="CG1020" i="31"/>
  <c r="CQ1058" i="31"/>
  <c r="CL1059" i="31"/>
  <c r="CL1065" i="31" s="1"/>
  <c r="CG1316" i="31"/>
  <c r="CG1320" i="31"/>
  <c r="CG1321" i="31" s="1"/>
  <c r="CG1311" i="31"/>
  <c r="CL1288" i="31"/>
  <c r="CL1293" i="31" s="1"/>
  <c r="CL1294" i="31" s="1"/>
  <c r="CL1256" i="31"/>
  <c r="CQ1255" i="31"/>
  <c r="CQ1002" i="31"/>
  <c r="CL1024" i="31"/>
  <c r="CL1029" i="31" s="1"/>
  <c r="CL1030" i="31" s="1"/>
  <c r="CL1003" i="31"/>
  <c r="CG1065" i="31"/>
  <c r="CG1043" i="31"/>
  <c r="CQ1277" i="31"/>
  <c r="CQ1278" i="31" s="1"/>
  <c r="CL1278" i="31"/>
  <c r="CG1273" i="31"/>
  <c r="CG1025" i="31"/>
  <c r="CG1029" i="31"/>
  <c r="CG1030" i="31" s="1"/>
  <c r="DT41" i="9"/>
  <c r="DT125" i="9"/>
  <c r="DT127" i="9" s="1"/>
  <c r="DT80" i="9"/>
  <c r="DT70" i="9"/>
  <c r="DT122" i="9"/>
  <c r="CQ1288" i="31" l="1"/>
  <c r="CQ1289" i="31" s="1"/>
  <c r="CQ1256" i="31"/>
  <c r="CQ1262" i="31" s="1"/>
  <c r="CG1322" i="31"/>
  <c r="CL1020" i="31"/>
  <c r="CV1069" i="31"/>
  <c r="CQ1070" i="31"/>
  <c r="CV1036" i="31"/>
  <c r="CQ1037" i="31"/>
  <c r="CQ1043" i="31" s="1"/>
  <c r="CQ1311" i="31"/>
  <c r="CL1311" i="31"/>
  <c r="CL1009" i="31"/>
  <c r="CG1031" i="31"/>
  <c r="CL1289" i="31"/>
  <c r="CL1295" i="31" s="1"/>
  <c r="CV1013" i="31"/>
  <c r="CQ1014" i="31"/>
  <c r="CL1076" i="31"/>
  <c r="CL1262" i="31"/>
  <c r="CQ1024" i="31"/>
  <c r="CV1002" i="31"/>
  <c r="CQ1003" i="31"/>
  <c r="CQ1273" i="31"/>
  <c r="CL1273" i="31"/>
  <c r="CL1284" i="31"/>
  <c r="CQ1284" i="31"/>
  <c r="CL1025" i="31"/>
  <c r="CL1031" i="31" s="1"/>
  <c r="CQ1059" i="31"/>
  <c r="CQ1065" i="31" s="1"/>
  <c r="CV1058" i="31"/>
  <c r="CV1047" i="31"/>
  <c r="CQ1048" i="31"/>
  <c r="CL1043" i="31"/>
  <c r="CL1054" i="31"/>
  <c r="CQ1315" i="31"/>
  <c r="CQ1316" i="31" s="1"/>
  <c r="CL1316" i="31"/>
  <c r="CL1322" i="31" s="1"/>
  <c r="DT71" i="9"/>
  <c r="DT50" i="9" s="1"/>
  <c r="DT49" i="9"/>
  <c r="DT43" i="9"/>
  <c r="CQ1293" i="31" l="1"/>
  <c r="CQ1294" i="31" s="1"/>
  <c r="DA1047" i="31"/>
  <c r="DA1048" i="31" s="1"/>
  <c r="CV1048" i="31"/>
  <c r="DA1002" i="31"/>
  <c r="CV1024" i="31"/>
  <c r="CV1003" i="31"/>
  <c r="CQ1295" i="31"/>
  <c r="DA1036" i="31"/>
  <c r="DA1037" i="31" s="1"/>
  <c r="CV1037" i="31"/>
  <c r="CQ1020" i="31"/>
  <c r="DA1069" i="31"/>
  <c r="DA1070" i="31" s="1"/>
  <c r="CV1070" i="31"/>
  <c r="CQ1009" i="31"/>
  <c r="CQ1025" i="31"/>
  <c r="CQ1031" i="31" s="1"/>
  <c r="CV1014" i="31"/>
  <c r="DA1013" i="31"/>
  <c r="DA1014" i="31" s="1"/>
  <c r="DA1058" i="31"/>
  <c r="DA1059" i="31" s="1"/>
  <c r="CV1059" i="31"/>
  <c r="CQ1322" i="31"/>
  <c r="CQ1029" i="31"/>
  <c r="CQ1030" i="31" s="1"/>
  <c r="CQ1054" i="31"/>
  <c r="CQ1076" i="31"/>
  <c r="DT72" i="9"/>
  <c r="CU176" i="10" s="1"/>
  <c r="DT81" i="9"/>
  <c r="DT45" i="9"/>
  <c r="DA1043" i="31" l="1"/>
  <c r="DA1076" i="31"/>
  <c r="DA1054" i="31"/>
  <c r="DA1065" i="31"/>
  <c r="CV1065" i="31"/>
  <c r="CV1076" i="31"/>
  <c r="CV1054" i="31"/>
  <c r="CV1020" i="31"/>
  <c r="DA1020" i="31"/>
  <c r="CV1009" i="31"/>
  <c r="CV1025" i="31"/>
  <c r="CV1031" i="31" s="1"/>
  <c r="DA1024" i="31"/>
  <c r="DA1025" i="31" s="1"/>
  <c r="DA1003" i="31"/>
  <c r="DA1009" i="31" s="1"/>
  <c r="CV1029" i="31"/>
  <c r="CV1030" i="31" s="1"/>
  <c r="CV1043" i="31"/>
  <c r="CU185" i="10"/>
  <c r="DA1029" i="31" l="1"/>
  <c r="DA1030" i="31" s="1"/>
  <c r="DA1031" i="31"/>
  <c r="BY182" i="31" l="1"/>
  <c r="BY188" i="31" s="1"/>
  <c r="BY185" i="31"/>
  <c r="CD72" i="31" l="1"/>
  <c r="CD78" i="31" s="1"/>
  <c r="BZ470" i="31" l="1"/>
  <c r="CA465" i="31"/>
  <c r="BZ467" i="31"/>
  <c r="CE473" i="31" s="1"/>
  <c r="BZ885" i="31"/>
  <c r="BZ23" i="31" s="1"/>
  <c r="CA885" i="31" l="1"/>
  <c r="CF470" i="31"/>
  <c r="BZ890" i="31"/>
  <c r="BZ887" i="31"/>
  <c r="BZ34" i="31"/>
  <c r="BZ473" i="31"/>
  <c r="CA467" i="31"/>
  <c r="CA470" i="31"/>
  <c r="CA890" i="31" l="1"/>
  <c r="CA23" i="31"/>
  <c r="CA34" i="31"/>
  <c r="CA887" i="31"/>
  <c r="CA893" i="31" s="1"/>
  <c r="BZ39" i="31"/>
  <c r="DR92" i="9"/>
  <c r="DR94" i="9" s="1"/>
  <c r="BZ36" i="31"/>
  <c r="CA473" i="31"/>
  <c r="BZ893" i="31"/>
  <c r="CA36" i="31" l="1"/>
  <c r="CA39" i="31"/>
  <c r="DS92" i="9"/>
  <c r="DS94" i="9" s="1"/>
  <c r="BZ42" i="31"/>
  <c r="CA42" i="31" l="1"/>
  <c r="CI467" i="31" l="1"/>
  <c r="CN473" i="31" s="1"/>
  <c r="CD467" i="31"/>
  <c r="CF466" i="31"/>
  <c r="CF471" i="31" s="1"/>
  <c r="CD473" i="31" l="1"/>
  <c r="CI473" i="31"/>
  <c r="CF467" i="31"/>
  <c r="CF473" i="31" l="1"/>
  <c r="CA759" i="31" l="1"/>
  <c r="CA764" i="31" s="1"/>
  <c r="CA765" i="31" s="1"/>
  <c r="BY760" i="31" l="1"/>
  <c r="CA758" i="31"/>
  <c r="BY766" i="31" l="1"/>
  <c r="CD766" i="31"/>
  <c r="CA760" i="31"/>
  <c r="CA763" i="31"/>
  <c r="CA766" i="31" l="1"/>
  <c r="BY764" i="31" l="1"/>
  <c r="BY765" i="31" s="1"/>
  <c r="CF759" i="31"/>
  <c r="CF764" i="31" s="1"/>
  <c r="BY763" i="31"/>
  <c r="CF758" i="31" l="1"/>
  <c r="CF763" i="31" s="1"/>
  <c r="CF692" i="31" l="1"/>
  <c r="CF697" i="31" s="1"/>
  <c r="CD694" i="31"/>
  <c r="CD700" i="31" s="1"/>
  <c r="CD885" i="31"/>
  <c r="CF760" i="31"/>
  <c r="CF693" i="31"/>
  <c r="CF698" i="31" s="1"/>
  <c r="CD886" i="31"/>
  <c r="CD891" i="31" l="1"/>
  <c r="CD892" i="31" s="1"/>
  <c r="CD24" i="31"/>
  <c r="CD890" i="31"/>
  <c r="CD23" i="31"/>
  <c r="CF766" i="31"/>
  <c r="CD35" i="31"/>
  <c r="CD34" i="31"/>
  <c r="CD887" i="31"/>
  <c r="CD25" i="31" s="1"/>
  <c r="CF694" i="31"/>
  <c r="CD893" i="31" l="1"/>
  <c r="CF700" i="31"/>
  <c r="DV92" i="9"/>
  <c r="CD40" i="31"/>
  <c r="CD41" i="31" s="1"/>
  <c r="DV93" i="9"/>
  <c r="CD39" i="31"/>
  <c r="CD36" i="31"/>
  <c r="CD42" i="31" l="1"/>
  <c r="DV94" i="9"/>
  <c r="DQ50" i="9" l="1"/>
  <c r="DQ43" i="9"/>
  <c r="DQ5" i="9" l="1"/>
  <c r="DQ72" i="9"/>
  <c r="CR176" i="10" s="1"/>
  <c r="DQ81" i="9"/>
  <c r="DQ55" i="9"/>
  <c r="DQ45" i="9"/>
  <c r="DQ49" i="9"/>
  <c r="DQ56" i="9" l="1"/>
  <c r="DQ57" i="9"/>
  <c r="CR185" i="10"/>
  <c r="DQ8" i="9"/>
  <c r="DQ82" i="9"/>
  <c r="DQ83" i="9" s="1"/>
  <c r="CR52" i="10" l="1"/>
  <c r="CS184" i="10" l="1"/>
  <c r="CR93" i="10"/>
  <c r="CR179" i="10"/>
  <c r="CR180" i="10"/>
  <c r="CR192" i="10"/>
  <c r="CR54" i="10"/>
  <c r="CR173" i="10"/>
  <c r="CR181" i="10" l="1"/>
  <c r="CR96" i="10" l="1"/>
  <c r="CR98" i="10" s="1"/>
  <c r="CR65" i="10"/>
  <c r="CR216" i="10" s="1"/>
  <c r="CR220" i="10"/>
  <c r="CR169" i="10"/>
  <c r="CR20" i="10"/>
  <c r="DQ131" i="9"/>
  <c r="CR27" i="10" l="1"/>
  <c r="DQ134" i="9"/>
  <c r="DQ135" i="9" s="1"/>
  <c r="CR167" i="10"/>
  <c r="CR91" i="10"/>
  <c r="CR168" i="10"/>
  <c r="CR56" i="10" l="1"/>
  <c r="CR172" i="10"/>
  <c r="CR217" i="10"/>
  <c r="CR218" i="10"/>
  <c r="DQ143" i="9"/>
  <c r="DQ144" i="9" s="1"/>
  <c r="CR109" i="10" l="1"/>
  <c r="CS123" i="10"/>
  <c r="CS124" i="10" s="1"/>
  <c r="CT51" i="10" l="1"/>
  <c r="CY190" i="10" l="1"/>
  <c r="CY188" i="10"/>
  <c r="CU190" i="10"/>
  <c r="CU188" i="10"/>
  <c r="CT190" i="10"/>
  <c r="CT188" i="10"/>
  <c r="CS103" i="10" l="1"/>
  <c r="CR120" i="10"/>
  <c r="CT120" i="10" s="1"/>
  <c r="CR103" i="10"/>
  <c r="CR104" i="10" s="1"/>
  <c r="CT116" i="10" l="1"/>
  <c r="CT118" i="10" s="1"/>
  <c r="CR186" i="10"/>
  <c r="CR191" i="10" s="1"/>
  <c r="DQ60" i="9"/>
  <c r="DR60" i="9"/>
  <c r="CY115" i="10" l="1"/>
  <c r="CT103" i="10"/>
  <c r="CT104" i="10" s="1"/>
  <c r="CU115" i="10"/>
  <c r="CU120" i="10" s="1"/>
  <c r="CY120" i="10" s="1"/>
  <c r="CS88" i="10"/>
  <c r="DR62" i="9"/>
  <c r="DQ52" i="9"/>
  <c r="DQ54" i="9"/>
  <c r="DQ62" i="9"/>
  <c r="DQ53" i="9"/>
  <c r="CR88" i="10"/>
  <c r="CR92" i="10" s="1"/>
  <c r="DS60" i="9"/>
  <c r="CT48" i="11"/>
  <c r="CT186" i="10" l="1"/>
  <c r="CT88" i="10"/>
  <c r="CS104" i="10"/>
  <c r="DS61" i="9"/>
  <c r="DX215" i="10" l="1"/>
  <c r="CS186" i="10"/>
  <c r="DD215" i="10"/>
  <c r="CZ215" i="10"/>
  <c r="CT87" i="10"/>
  <c r="DS62" i="9"/>
  <c r="DT56" i="9" l="1"/>
  <c r="DT57" i="9"/>
  <c r="DT55" i="9"/>
  <c r="DT82" i="9" l="1"/>
  <c r="DT83" i="9" s="1"/>
  <c r="CR129" i="10" l="1"/>
  <c r="CT129" i="10" s="1"/>
  <c r="CT131" i="10" s="1"/>
  <c r="CU128" i="10" l="1"/>
  <c r="CU129" i="10" s="1"/>
  <c r="CY128" i="10"/>
  <c r="CR150" i="10"/>
  <c r="CR140" i="10"/>
  <c r="CR149" i="10"/>
  <c r="CR146" i="10" l="1"/>
  <c r="CR147" i="10" s="1"/>
  <c r="CR148" i="10" s="1"/>
  <c r="CY129" i="10"/>
  <c r="CY131" i="10" s="1"/>
  <c r="CZ128" i="10" s="1"/>
  <c r="CZ129" i="10" s="1"/>
  <c r="CR142" i="10"/>
  <c r="DD128" i="10" l="1"/>
  <c r="DA128" i="10"/>
  <c r="DA129" i="10" s="1"/>
  <c r="DD129" i="10" s="1"/>
  <c r="CT23" i="10"/>
  <c r="CR154" i="10"/>
  <c r="CT154" i="10" s="1"/>
  <c r="CT155" i="10" s="1"/>
  <c r="DD131" i="10" l="1"/>
  <c r="CU153" i="10"/>
  <c r="CU154" i="10" s="1"/>
  <c r="CY153" i="10"/>
  <c r="DE128" i="10" l="1"/>
  <c r="DE129" i="10" s="1"/>
  <c r="DI128" i="10"/>
  <c r="CY154" i="10"/>
  <c r="CY155" i="10" s="1"/>
  <c r="CZ153" i="10" l="1"/>
  <c r="CZ154" i="10" s="1"/>
  <c r="DD154" i="10" s="1"/>
  <c r="DD153" i="10"/>
  <c r="DD155" i="10" l="1"/>
  <c r="DI153" i="10" s="1"/>
  <c r="CR163" i="10"/>
  <c r="CR159" i="10"/>
  <c r="CT159" i="10" s="1"/>
  <c r="CT161" i="10" s="1"/>
  <c r="CY158" i="10" l="1"/>
  <c r="CU158" i="10"/>
  <c r="DE153" i="10"/>
  <c r="DE154" i="10" s="1"/>
  <c r="CT163" i="10"/>
  <c r="CR211" i="10" l="1"/>
  <c r="CT211" i="10" s="1"/>
  <c r="CT212" i="10" s="1"/>
  <c r="CU210" i="10" l="1"/>
  <c r="CU211" i="10" s="1"/>
  <c r="CY211" i="10" s="1"/>
  <c r="CY210" i="10"/>
  <c r="DR139" i="9"/>
  <c r="DR140" i="9" s="1"/>
  <c r="CT37" i="10"/>
  <c r="CY212" i="10" l="1"/>
  <c r="DD210" i="10" s="1"/>
  <c r="CT95" i="10"/>
  <c r="DS139" i="9"/>
  <c r="CZ210" i="10" l="1"/>
  <c r="CZ211" i="10" s="1"/>
  <c r="DD211" i="10" s="1"/>
  <c r="DD212" i="10" s="1"/>
  <c r="DI210" i="10" s="1"/>
  <c r="DT140" i="9"/>
  <c r="DT141" i="9" s="1"/>
  <c r="DY139" i="9"/>
  <c r="DS140" i="9"/>
  <c r="DE210" i="10" l="1"/>
  <c r="DE211" i="10" s="1"/>
  <c r="DZ139" i="9"/>
  <c r="DU139" i="9"/>
  <c r="DU140" i="9" s="1"/>
  <c r="DU141" i="9" s="1"/>
  <c r="EA139" i="9" l="1"/>
  <c r="DW139" i="9"/>
  <c r="DX139" i="9"/>
  <c r="DX140" i="9" s="1"/>
  <c r="DV139" i="9"/>
  <c r="EE139" i="9" l="1"/>
  <c r="DW140" i="9"/>
  <c r="DD37" i="10"/>
  <c r="DV140" i="9"/>
  <c r="DV141" i="9" s="1"/>
  <c r="ED139" i="9" l="1"/>
  <c r="EC139" i="9"/>
  <c r="CT29" i="11" l="1"/>
  <c r="CR138" i="10"/>
  <c r="EF139" i="9" l="1"/>
  <c r="DI37" i="10"/>
  <c r="CR143" i="10"/>
  <c r="DQ119" i="9"/>
  <c r="EH139" i="9" l="1"/>
  <c r="DQ121" i="9"/>
  <c r="CT36" i="11"/>
  <c r="CR135" i="10"/>
  <c r="CR136" i="10" l="1"/>
  <c r="CR137" i="10"/>
  <c r="CT52" i="11"/>
  <c r="CT54" i="11" l="1"/>
  <c r="CU53" i="11" l="1"/>
  <c r="CA376" i="31" l="1"/>
  <c r="CA365" i="31" l="1"/>
  <c r="CF376" i="31"/>
  <c r="CF365" i="31" s="1"/>
  <c r="CA381" i="31"/>
  <c r="BZ365" i="31"/>
  <c r="BZ454" i="31" s="1"/>
  <c r="CF381" i="31" l="1"/>
  <c r="CF370" i="31"/>
  <c r="CE365" i="31"/>
  <c r="BZ459" i="31"/>
  <c r="CA454" i="31"/>
  <c r="BZ370" i="31"/>
  <c r="CK376" i="31" l="1"/>
  <c r="CK381" i="31" s="1"/>
  <c r="CE370" i="31"/>
  <c r="CE454" i="31"/>
  <c r="CE459" i="31" s="1"/>
  <c r="CJ365" i="31"/>
  <c r="CA459" i="31"/>
  <c r="CA370" i="31"/>
  <c r="CJ454" i="31" l="1"/>
  <c r="CO459" i="31" s="1"/>
  <c r="CO370" i="31"/>
  <c r="CK365" i="31"/>
  <c r="CK370" i="31" s="1"/>
  <c r="CJ370" i="31"/>
  <c r="CF263" i="31"/>
  <c r="CJ459" i="31" l="1"/>
  <c r="CJ268" i="31"/>
  <c r="CF268" i="31"/>
  <c r="CK377" i="31" l="1"/>
  <c r="CJ366" i="31"/>
  <c r="CJ378" i="31"/>
  <c r="CO384" i="31" s="1"/>
  <c r="CF377" i="31"/>
  <c r="CE378" i="31"/>
  <c r="CE366" i="31"/>
  <c r="CE455" i="31" s="1"/>
  <c r="CA377" i="31"/>
  <c r="BZ366" i="31"/>
  <c r="BZ455" i="31" s="1"/>
  <c r="BZ378" i="31"/>
  <c r="CJ455" i="31" l="1"/>
  <c r="CO460" i="31" s="1"/>
  <c r="CO461" i="31" s="1"/>
  <c r="CO371" i="31"/>
  <c r="CO372" i="31" s="1"/>
  <c r="CE460" i="31"/>
  <c r="CE456" i="31"/>
  <c r="CK378" i="31"/>
  <c r="CJ384" i="31"/>
  <c r="CA366" i="31"/>
  <c r="CF382" i="31"/>
  <c r="CK382" i="31"/>
  <c r="CF366" i="31"/>
  <c r="BZ384" i="31"/>
  <c r="CE384" i="31"/>
  <c r="CJ371" i="31"/>
  <c r="CE371" i="31"/>
  <c r="CJ367" i="31"/>
  <c r="CK366" i="31"/>
  <c r="BZ460" i="31"/>
  <c r="BZ461" i="31" s="1"/>
  <c r="BZ456" i="31"/>
  <c r="CA455" i="31"/>
  <c r="BZ371" i="31"/>
  <c r="BZ372" i="31" s="1"/>
  <c r="BZ367" i="31"/>
  <c r="CE367" i="31"/>
  <c r="CA378" i="31"/>
  <c r="CA382" i="31"/>
  <c r="CA383" i="31" s="1"/>
  <c r="CF378" i="31"/>
  <c r="CJ460" i="31" l="1"/>
  <c r="CK367" i="31"/>
  <c r="CO373" i="31"/>
  <c r="CK384" i="31"/>
  <c r="CE462" i="31"/>
  <c r="CF384" i="31"/>
  <c r="CE373" i="31"/>
  <c r="CF367" i="31"/>
  <c r="CF371" i="31"/>
  <c r="CK371" i="31"/>
  <c r="CJ373" i="31"/>
  <c r="CA460" i="31"/>
  <c r="CA461" i="31" s="1"/>
  <c r="BZ462" i="31"/>
  <c r="CA456" i="31"/>
  <c r="BZ373" i="31"/>
  <c r="CA367" i="31"/>
  <c r="CA384" i="31"/>
  <c r="CA371" i="31"/>
  <c r="CA372" i="31" s="1"/>
  <c r="CF373" i="31" l="1"/>
  <c r="CK373" i="31"/>
  <c r="CE886" i="31"/>
  <c r="CE265" i="31"/>
  <c r="CE271" i="31" s="1"/>
  <c r="CF264" i="31"/>
  <c r="CF269" i="31" s="1"/>
  <c r="CJ456" i="31"/>
  <c r="CJ269" i="31"/>
  <c r="CA462" i="31"/>
  <c r="CA373" i="31"/>
  <c r="CJ462" i="31" l="1"/>
  <c r="CO462" i="31"/>
  <c r="CE35" i="31"/>
  <c r="CE40" i="31" s="1"/>
  <c r="CE891" i="31"/>
  <c r="CF265" i="31"/>
  <c r="CF886" i="31"/>
  <c r="CF891" i="31" s="1"/>
  <c r="CJ265" i="31"/>
  <c r="CO271" i="31" s="1"/>
  <c r="CF35" i="31" l="1"/>
  <c r="CF271" i="31"/>
  <c r="DW93" i="9"/>
  <c r="CJ271" i="31"/>
  <c r="CF40" i="31" l="1"/>
  <c r="DX93" i="9"/>
  <c r="BZ50" i="31" l="1"/>
  <c r="BZ28" i="31"/>
  <c r="BZ5" i="31" l="1"/>
  <c r="DR96" i="9"/>
  <c r="DR98" i="9" s="1"/>
  <c r="DS96" i="9"/>
  <c r="DS98" i="9" s="1"/>
  <c r="CA28" i="31" l="1"/>
  <c r="BZ53" i="31"/>
  <c r="CA5" i="31"/>
  <c r="CA50" i="31"/>
  <c r="CA53" i="31" l="1"/>
  <c r="CA1433" i="31" l="1"/>
  <c r="BZ1434" i="31"/>
  <c r="BZ1438" i="31"/>
  <c r="BZ1488" i="31"/>
  <c r="BZ24" i="31" s="1"/>
  <c r="CA1434" i="31" l="1"/>
  <c r="CA1440" i="31" s="1"/>
  <c r="CE1434" i="31"/>
  <c r="CE1440" i="31" s="1"/>
  <c r="CF1433" i="31"/>
  <c r="CF1438" i="31" s="1"/>
  <c r="BZ29" i="31"/>
  <c r="BZ30" i="31" s="1"/>
  <c r="BZ15" i="31"/>
  <c r="CE1488" i="31"/>
  <c r="CE24" i="31" s="1"/>
  <c r="BZ1493" i="31"/>
  <c r="BZ1494" i="31" s="1"/>
  <c r="BZ57" i="31"/>
  <c r="DR89" i="9" s="1"/>
  <c r="DR90" i="9" s="1"/>
  <c r="BZ1489" i="31"/>
  <c r="BZ25" i="31" s="1"/>
  <c r="BZ1440" i="31"/>
  <c r="CA1488" i="31"/>
  <c r="CA24" i="31" s="1"/>
  <c r="CA1438" i="31"/>
  <c r="CA57" i="31" l="1"/>
  <c r="CF1434" i="31"/>
  <c r="CF1440" i="31" s="1"/>
  <c r="CF1488" i="31"/>
  <c r="CF24" i="31" s="1"/>
  <c r="CE57" i="31"/>
  <c r="CE1489" i="31"/>
  <c r="DR24" i="9"/>
  <c r="BZ1495" i="31"/>
  <c r="CA1493" i="31"/>
  <c r="CA1494" i="31" s="1"/>
  <c r="CA1489" i="31"/>
  <c r="CA25" i="31" s="1"/>
  <c r="BZ62" i="31"/>
  <c r="BZ63" i="31" s="1"/>
  <c r="BZ58" i="31"/>
  <c r="CE1493" i="31"/>
  <c r="CA15" i="31"/>
  <c r="CA29" i="31"/>
  <c r="CA30" i="31" s="1"/>
  <c r="CE62" i="31" l="1"/>
  <c r="DW89" i="9"/>
  <c r="DW90" i="9" s="1"/>
  <c r="CA62" i="31"/>
  <c r="CA63" i="31" s="1"/>
  <c r="DS89" i="9"/>
  <c r="DS90" i="9" s="1"/>
  <c r="CA58" i="31"/>
  <c r="CS83" i="10"/>
  <c r="CU84" i="10" s="1"/>
  <c r="CF1493" i="31"/>
  <c r="CE21" i="31"/>
  <c r="CE1495" i="31"/>
  <c r="DR111" i="9"/>
  <c r="CF1489" i="31"/>
  <c r="CA1495" i="31"/>
  <c r="DR104" i="9"/>
  <c r="DR102" i="9"/>
  <c r="DR108" i="9"/>
  <c r="DR106" i="9"/>
  <c r="DR110" i="9"/>
  <c r="DR103" i="9"/>
  <c r="DR107" i="9"/>
  <c r="BZ16" i="31"/>
  <c r="BZ31" i="31"/>
  <c r="DR75" i="9"/>
  <c r="DR2" i="9"/>
  <c r="DR4" i="9" s="1"/>
  <c r="DR7" i="9" s="1"/>
  <c r="CF57" i="31"/>
  <c r="CE58" i="31"/>
  <c r="BZ64" i="31"/>
  <c r="DR112" i="9"/>
  <c r="CE1225" i="31" l="1"/>
  <c r="CE1213" i="31"/>
  <c r="CE1309" i="31"/>
  <c r="CE1304" i="31" s="1"/>
  <c r="CE1271" i="31"/>
  <c r="CE1266" i="31" s="1"/>
  <c r="CE1282" i="31"/>
  <c r="CE1277" i="31" s="1"/>
  <c r="CE1260" i="31"/>
  <c r="CE1255" i="31" s="1"/>
  <c r="CE1063" i="31"/>
  <c r="CE1058" i="31" s="1"/>
  <c r="CE1052" i="31"/>
  <c r="CE1047" i="31" s="1"/>
  <c r="CE1074" i="31"/>
  <c r="CE1069" i="31" s="1"/>
  <c r="CE1041" i="31"/>
  <c r="CE1036" i="31" s="1"/>
  <c r="CE1007" i="31"/>
  <c r="CE1002" i="31" s="1"/>
  <c r="CE1018" i="31"/>
  <c r="CE1013" i="31" s="1"/>
  <c r="CE997" i="31"/>
  <c r="CE1169" i="31"/>
  <c r="CE1355" i="31"/>
  <c r="CE1191" i="31"/>
  <c r="CF62" i="31"/>
  <c r="DX89" i="9"/>
  <c r="DX90" i="9" s="1"/>
  <c r="CE633" i="31"/>
  <c r="CF21" i="31"/>
  <c r="CA64" i="31"/>
  <c r="CE64" i="31"/>
  <c r="CE63" i="31"/>
  <c r="CE20" i="31"/>
  <c r="CS84" i="10"/>
  <c r="CS79" i="10" s="1"/>
  <c r="CF1495" i="31"/>
  <c r="CE383" i="31"/>
  <c r="CE494" i="31"/>
  <c r="CE416" i="31"/>
  <c r="CE438" i="31"/>
  <c r="CE449" i="31"/>
  <c r="CE699" i="31"/>
  <c r="CE710" i="31"/>
  <c r="CE405" i="31"/>
  <c r="CE732" i="31"/>
  <c r="CE270" i="31"/>
  <c r="CE110" i="31"/>
  <c r="CE313" i="31"/>
  <c r="CE176" i="31"/>
  <c r="CE210" i="31"/>
  <c r="CE165" i="31"/>
  <c r="CE198" i="31"/>
  <c r="CE77" i="31"/>
  <c r="CE143" i="31"/>
  <c r="CE765" i="31"/>
  <c r="CE259" i="31"/>
  <c r="CE394" i="31"/>
  <c r="CE88" i="31"/>
  <c r="CE121" i="31"/>
  <c r="CE187" i="31"/>
  <c r="CE302" i="31"/>
  <c r="CE742" i="31"/>
  <c r="CE461" i="31"/>
  <c r="CE372" i="31"/>
  <c r="CE892" i="31"/>
  <c r="CE41" i="31"/>
  <c r="CE1494" i="31"/>
  <c r="CU144" i="10"/>
  <c r="CU79" i="10"/>
  <c r="CU77" i="10"/>
  <c r="CU75" i="10"/>
  <c r="CU73" i="10"/>
  <c r="CU69" i="10"/>
  <c r="CU67" i="10"/>
  <c r="CU65" i="10"/>
  <c r="CU216" i="10" s="1"/>
  <c r="CU78" i="10"/>
  <c r="CU76" i="10"/>
  <c r="CU74" i="10"/>
  <c r="CU70" i="10"/>
  <c r="CU68" i="10"/>
  <c r="CU66" i="10"/>
  <c r="CU59" i="10"/>
  <c r="CU62" i="10" s="1"/>
  <c r="DS111" i="9"/>
  <c r="DR115" i="9"/>
  <c r="DR114" i="9"/>
  <c r="CF58" i="31"/>
  <c r="DS106" i="9"/>
  <c r="CA31" i="31"/>
  <c r="DS102" i="9"/>
  <c r="DS107" i="9"/>
  <c r="DS103" i="9"/>
  <c r="CA16" i="31"/>
  <c r="DS104" i="9"/>
  <c r="DS108" i="9"/>
  <c r="DS110" i="9"/>
  <c r="DS112" i="9"/>
  <c r="DS75" i="9"/>
  <c r="DS2" i="9"/>
  <c r="DS4" i="9" s="1"/>
  <c r="DS7" i="9" s="1"/>
  <c r="CF1225" i="31" l="1"/>
  <c r="CF1213" i="31"/>
  <c r="CF1063" i="31"/>
  <c r="CF1074" i="31"/>
  <c r="CF1052" i="31"/>
  <c r="CF1041" i="31"/>
  <c r="CF1169" i="31"/>
  <c r="CF1191" i="31"/>
  <c r="CF1201" i="31"/>
  <c r="CF1355" i="31"/>
  <c r="CE1048" i="31"/>
  <c r="CF1047" i="31"/>
  <c r="CF1048" i="31" s="1"/>
  <c r="CE1059" i="31"/>
  <c r="CF1058" i="31"/>
  <c r="CF1059" i="31" s="1"/>
  <c r="CE1014" i="31"/>
  <c r="CF1013" i="31"/>
  <c r="CE1256" i="31"/>
  <c r="CE1288" i="31"/>
  <c r="CF1255" i="31"/>
  <c r="CE1024" i="31"/>
  <c r="CE1029" i="31" s="1"/>
  <c r="CE1030" i="31" s="1"/>
  <c r="CE1003" i="31"/>
  <c r="CF1002" i="31"/>
  <c r="CE1278" i="31"/>
  <c r="CF1277" i="31"/>
  <c r="CE1037" i="31"/>
  <c r="CF1036" i="31"/>
  <c r="CE1267" i="31"/>
  <c r="CF1266" i="31"/>
  <c r="CE1070" i="31"/>
  <c r="CF1069" i="31"/>
  <c r="CF1070" i="31" s="1"/>
  <c r="CE1315" i="31"/>
  <c r="CE1305" i="31"/>
  <c r="CF1304" i="31"/>
  <c r="CF132" i="31"/>
  <c r="CF633" i="31"/>
  <c r="CS67" i="10"/>
  <c r="CS69" i="10"/>
  <c r="CS70" i="10"/>
  <c r="CS76" i="10"/>
  <c r="CS74" i="10"/>
  <c r="CS75" i="10"/>
  <c r="CS66" i="10"/>
  <c r="CS65" i="10"/>
  <c r="CS216" i="10" s="1"/>
  <c r="CS77" i="10"/>
  <c r="CS59" i="10"/>
  <c r="CS62" i="10" s="1"/>
  <c r="CS73" i="10"/>
  <c r="CF64" i="31"/>
  <c r="CF1494" i="31"/>
  <c r="CS68" i="10"/>
  <c r="CS78" i="10"/>
  <c r="CS144" i="10"/>
  <c r="CF710" i="31"/>
  <c r="CF416" i="31"/>
  <c r="CF405" i="31"/>
  <c r="CF383" i="31"/>
  <c r="CF372" i="31"/>
  <c r="CF237" i="31"/>
  <c r="CF121" i="31"/>
  <c r="CF765" i="31"/>
  <c r="CF699" i="31"/>
  <c r="CF494" i="31"/>
  <c r="CF483" i="31"/>
  <c r="CF212" i="31"/>
  <c r="CF209" i="31"/>
  <c r="CF732" i="31"/>
  <c r="CF176" i="31"/>
  <c r="CF226" i="31"/>
  <c r="CF892" i="31"/>
  <c r="CF270" i="31"/>
  <c r="CF198" i="31"/>
  <c r="CF259" i="31"/>
  <c r="CF438" i="31"/>
  <c r="CF394" i="31"/>
  <c r="CF77" i="31"/>
  <c r="CF99" i="31"/>
  <c r="CF143" i="31"/>
  <c r="CF743" i="31"/>
  <c r="CF165" i="31"/>
  <c r="CF41" i="31"/>
  <c r="CF63" i="31"/>
  <c r="DS114" i="9"/>
  <c r="DS115" i="9"/>
  <c r="DR116" i="9"/>
  <c r="DS76" i="9"/>
  <c r="DS78" i="9"/>
  <c r="DS77" i="9"/>
  <c r="CF1076" i="31" l="1"/>
  <c r="CF1282" i="31"/>
  <c r="CF1283" i="31" s="1"/>
  <c r="CF1054" i="31"/>
  <c r="CE1076" i="31"/>
  <c r="CE1054" i="31"/>
  <c r="CF1271" i="31"/>
  <c r="CF1272" i="31" s="1"/>
  <c r="CF1007" i="31"/>
  <c r="CF1008" i="31" s="1"/>
  <c r="CF1018" i="31"/>
  <c r="CF1019" i="31" s="1"/>
  <c r="CF1309" i="31"/>
  <c r="CF1310" i="31" s="1"/>
  <c r="CF1065" i="31"/>
  <c r="CE1043" i="31"/>
  <c r="CF1260" i="31"/>
  <c r="CF1261" i="31" s="1"/>
  <c r="CE1065" i="31"/>
  <c r="CE1316" i="31"/>
  <c r="CF1315" i="31"/>
  <c r="CE1025" i="31"/>
  <c r="CE1031" i="31" s="1"/>
  <c r="CF1024" i="31"/>
  <c r="CE1284" i="31"/>
  <c r="CF1278" i="31"/>
  <c r="CE1294" i="31"/>
  <c r="CE1293" i="31" s="1"/>
  <c r="CE1289" i="31"/>
  <c r="CF1288" i="31"/>
  <c r="CF1293" i="31" s="1"/>
  <c r="CF1294" i="31" s="1"/>
  <c r="CE1262" i="31"/>
  <c r="CF1256" i="31"/>
  <c r="CE1273" i="31"/>
  <c r="CF1267" i="31"/>
  <c r="CE1311" i="31"/>
  <c r="CF1305" i="31"/>
  <c r="CF1037" i="31"/>
  <c r="CE1009" i="31"/>
  <c r="CF1003" i="31"/>
  <c r="CE1020" i="31"/>
  <c r="CF1014" i="31"/>
  <c r="CF207" i="31"/>
  <c r="DS116" i="9"/>
  <c r="DR65" i="9"/>
  <c r="CS174" i="10" s="1"/>
  <c r="DR76" i="9"/>
  <c r="DR29" i="9"/>
  <c r="CT33" i="10"/>
  <c r="CT38" i="10"/>
  <c r="CT18" i="10"/>
  <c r="CT35" i="10"/>
  <c r="CT19" i="10"/>
  <c r="CT66" i="10" s="1"/>
  <c r="CT40" i="10"/>
  <c r="CT76" i="10" s="1"/>
  <c r="DR66" i="9"/>
  <c r="DR77" i="9"/>
  <c r="DS79" i="9"/>
  <c r="DS39" i="9"/>
  <c r="DS38" i="9"/>
  <c r="DR78" i="9"/>
  <c r="DR67" i="9"/>
  <c r="CT39" i="10"/>
  <c r="CT75" i="10" s="1"/>
  <c r="CT16" i="10"/>
  <c r="CT25" i="10"/>
  <c r="DR133" i="9"/>
  <c r="CT21" i="10"/>
  <c r="CT34" i="10"/>
  <c r="CT26" i="10"/>
  <c r="CT67" i="10" s="1"/>
  <c r="CF1020" i="31" l="1"/>
  <c r="CF1273" i="31"/>
  <c r="CF1009" i="31"/>
  <c r="CF1284" i="31"/>
  <c r="CF1262" i="31"/>
  <c r="CF1043" i="31"/>
  <c r="CF1029" i="31"/>
  <c r="CF1030" i="31" s="1"/>
  <c r="CF1311" i="31"/>
  <c r="CE1295" i="31"/>
  <c r="CF1289" i="31"/>
  <c r="CF1295" i="31" s="1"/>
  <c r="CF1025" i="31"/>
  <c r="CF1316" i="31"/>
  <c r="CT70" i="10"/>
  <c r="CT69" i="10"/>
  <c r="CT77" i="10"/>
  <c r="DS70" i="9"/>
  <c r="DS71" i="9"/>
  <c r="CT68" i="10"/>
  <c r="CT74" i="10"/>
  <c r="CT73" i="10"/>
  <c r="CT59" i="10"/>
  <c r="CT78" i="10"/>
  <c r="DS133" i="9"/>
  <c r="DS80" i="9"/>
  <c r="DS125" i="9"/>
  <c r="DS122" i="9"/>
  <c r="DR79" i="9"/>
  <c r="DR68" i="9"/>
  <c r="CS175" i="10" s="1"/>
  <c r="DR39" i="9"/>
  <c r="DR38" i="9"/>
  <c r="CF1031" i="31" l="1"/>
  <c r="DS127" i="9"/>
  <c r="CW28" i="11"/>
  <c r="DR70" i="9"/>
  <c r="DR80" i="9"/>
  <c r="DR125" i="9"/>
  <c r="DR127" i="9" s="1"/>
  <c r="DR122" i="9"/>
  <c r="DR49" i="9"/>
  <c r="DR56" i="9" l="1"/>
  <c r="DR53" i="9"/>
  <c r="DS49" i="9"/>
  <c r="CT17" i="10"/>
  <c r="CU36" i="10"/>
  <c r="DR71" i="9"/>
  <c r="DR50" i="9" s="1"/>
  <c r="DR43" i="9"/>
  <c r="CS36" i="10"/>
  <c r="CT32" i="10"/>
  <c r="CS41" i="10" l="1"/>
  <c r="CS169" i="10"/>
  <c r="CT79" i="10"/>
  <c r="CT61" i="10"/>
  <c r="CU169" i="10"/>
  <c r="CU41" i="10"/>
  <c r="CT60" i="10"/>
  <c r="CT97" i="10"/>
  <c r="DR55" i="9"/>
  <c r="DS53" i="9"/>
  <c r="DS56" i="9"/>
  <c r="CT36" i="10"/>
  <c r="DR52" i="9"/>
  <c r="DR5" i="9"/>
  <c r="DR81" i="9"/>
  <c r="DR72" i="9"/>
  <c r="CS176" i="10" s="1"/>
  <c r="DS43" i="9"/>
  <c r="DR45" i="9"/>
  <c r="DS50" i="9"/>
  <c r="CT41" i="10" l="1"/>
  <c r="CS185" i="10"/>
  <c r="DS72" i="9"/>
  <c r="CT176" i="10" s="1"/>
  <c r="CT62" i="10"/>
  <c r="DR57" i="9"/>
  <c r="DR54" i="9"/>
  <c r="DS45" i="9"/>
  <c r="DR8" i="9"/>
  <c r="DR82" i="9"/>
  <c r="DR83" i="9" s="1"/>
  <c r="DS81" i="9"/>
  <c r="DS5" i="9"/>
  <c r="DS52" i="9"/>
  <c r="DS55" i="9"/>
  <c r="CT185" i="10" l="1"/>
  <c r="DS8" i="9"/>
  <c r="DS82" i="9"/>
  <c r="DS83" i="9" s="1"/>
  <c r="CT50" i="10"/>
  <c r="CS52" i="10"/>
  <c r="DS54" i="9"/>
  <c r="DS57" i="9"/>
  <c r="CT22" i="10"/>
  <c r="CS192" i="10" l="1"/>
  <c r="CS191" i="10" s="1"/>
  <c r="CS180" i="10"/>
  <c r="CS179" i="10"/>
  <c r="CS93" i="10"/>
  <c r="CS92" i="10"/>
  <c r="CS173" i="10"/>
  <c r="CT52" i="10"/>
  <c r="CS54" i="10"/>
  <c r="CT54" i="10" l="1"/>
  <c r="CS181" i="10"/>
  <c r="CY184" i="10"/>
  <c r="CU184" i="10"/>
  <c r="CT93" i="10"/>
  <c r="CT192" i="10"/>
  <c r="CT191" i="10" s="1"/>
  <c r="CT180" i="10"/>
  <c r="CT179" i="10"/>
  <c r="CT92" i="10"/>
  <c r="CT173" i="10"/>
  <c r="CT181" i="10" l="1"/>
  <c r="CS20" i="10" l="1"/>
  <c r="CT14" i="10"/>
  <c r="DR131" i="9"/>
  <c r="DR134" i="9" s="1"/>
  <c r="CS27" i="10" l="1"/>
  <c r="CT220" i="10"/>
  <c r="CT169" i="10"/>
  <c r="CT65" i="10"/>
  <c r="CT216" i="10" s="1"/>
  <c r="CT96" i="10"/>
  <c r="CT98" i="10" s="1"/>
  <c r="CS168" i="10"/>
  <c r="CS167" i="10"/>
  <c r="CS91" i="10"/>
  <c r="CT20" i="10"/>
  <c r="DS131" i="9"/>
  <c r="DT134" i="9" s="1"/>
  <c r="DT135" i="9" s="1"/>
  <c r="CT27" i="10" l="1"/>
  <c r="CS218" i="10"/>
  <c r="CS217" i="10"/>
  <c r="CS172" i="10"/>
  <c r="CS56" i="10"/>
  <c r="CT168" i="10"/>
  <c r="CT167" i="10"/>
  <c r="CT91" i="10"/>
  <c r="DS134" i="9"/>
  <c r="CT56" i="10" l="1"/>
  <c r="CT172" i="10"/>
  <c r="CT218" i="10"/>
  <c r="CT217" i="10"/>
  <c r="CT110" i="10" l="1"/>
  <c r="CS109" i="10"/>
  <c r="CS112" i="10"/>
  <c r="CU108" i="10" l="1"/>
  <c r="CU112" i="10" s="1"/>
  <c r="CY108" i="10"/>
  <c r="CT109" i="10"/>
  <c r="CT112" i="10"/>
  <c r="CT124" i="10"/>
  <c r="CT125" i="10" s="1"/>
  <c r="CY112" i="10" l="1"/>
  <c r="CY109" i="10"/>
  <c r="CU123" i="10"/>
  <c r="CU124" i="10" s="1"/>
  <c r="CY124" i="10" s="1"/>
  <c r="CY123" i="10"/>
  <c r="CY125" i="10" l="1"/>
  <c r="CU52" i="10"/>
  <c r="CV184" i="10" l="1"/>
  <c r="CU179" i="10"/>
  <c r="CU192" i="10"/>
  <c r="CU180" i="10"/>
  <c r="CU93" i="10"/>
  <c r="CU173" i="10"/>
  <c r="CU54" i="10"/>
  <c r="CU181" i="10" l="1"/>
  <c r="CS140" i="10"/>
  <c r="CS146" i="10" l="1"/>
  <c r="CS147" i="10" s="1"/>
  <c r="CS148" i="10" s="1"/>
  <c r="CT138" i="10" l="1"/>
  <c r="DS119" i="9" s="1"/>
  <c r="DS121" i="9" l="1"/>
  <c r="CS138" i="10" l="1"/>
  <c r="CS143" i="10" l="1"/>
  <c r="DR119" i="9"/>
  <c r="DR121" i="9" l="1"/>
  <c r="CS135" i="10" l="1"/>
  <c r="CT135" i="10" s="1"/>
  <c r="CT136" i="10" s="1"/>
  <c r="CS136" i="10" l="1"/>
  <c r="CS137" i="10"/>
  <c r="CT137" i="10" l="1"/>
  <c r="CT139" i="10" s="1"/>
  <c r="CU134" i="10" l="1"/>
  <c r="CY134" i="10"/>
  <c r="CT150" i="10"/>
  <c r="CT144" i="10"/>
  <c r="CT140" i="10"/>
  <c r="CT143" i="10" l="1"/>
  <c r="CT146" i="10"/>
  <c r="CT147" i="10" s="1"/>
  <c r="CT148" i="10" l="1"/>
  <c r="CU167" i="10" l="1"/>
  <c r="CU168" i="10"/>
  <c r="CU91" i="10"/>
  <c r="CU217" i="10" l="1"/>
  <c r="CU218" i="10"/>
  <c r="CU172" i="10"/>
  <c r="CU56" i="10"/>
  <c r="CU17" i="11"/>
  <c r="CV29" i="11"/>
  <c r="CU29" i="11" l="1"/>
  <c r="CU48" i="11" l="1"/>
  <c r="CV48" i="11"/>
  <c r="CV52" i="11" l="1"/>
  <c r="CV54" i="11" s="1"/>
  <c r="DA53" i="11" s="1"/>
  <c r="CU52" i="11"/>
  <c r="CW53" i="11" l="1"/>
  <c r="CU54" i="11"/>
  <c r="DS141" i="9" l="1"/>
  <c r="DR142" i="9"/>
  <c r="DR141" i="9" l="1"/>
  <c r="BZ81" i="31"/>
  <c r="BZ83" i="31" s="1"/>
  <c r="BZ89" i="31" s="1"/>
  <c r="CA103" i="31"/>
  <c r="BZ105" i="31"/>
  <c r="BZ108" i="31"/>
  <c r="CA81" i="31" l="1"/>
  <c r="CA105" i="31"/>
  <c r="CA108" i="31"/>
  <c r="BZ180" i="31"/>
  <c r="CA180" i="31" s="1"/>
  <c r="CE81" i="31"/>
  <c r="BZ111" i="31"/>
  <c r="CE105" i="31"/>
  <c r="CE111" i="31" s="1"/>
  <c r="BZ86" i="31"/>
  <c r="CA83" i="31" l="1"/>
  <c r="CA89" i="31" s="1"/>
  <c r="CA86" i="31"/>
  <c r="CA111" i="31"/>
  <c r="CE180" i="31"/>
  <c r="CE86" i="31"/>
  <c r="BZ182" i="31"/>
  <c r="CA182" i="31" s="1"/>
  <c r="CA185" i="31"/>
  <c r="BZ185" i="31"/>
  <c r="CE83" i="31"/>
  <c r="CE89" i="31" s="1"/>
  <c r="CJ81" i="31"/>
  <c r="CO86" i="31" s="1"/>
  <c r="CJ105" i="31"/>
  <c r="CJ111" i="31" l="1"/>
  <c r="CO111" i="31"/>
  <c r="CJ83" i="31"/>
  <c r="CE182" i="31"/>
  <c r="CE188" i="31" s="1"/>
  <c r="CE185" i="31"/>
  <c r="CA188" i="31"/>
  <c r="BZ188" i="31"/>
  <c r="CE885" i="31"/>
  <c r="CE23" i="31" s="1"/>
  <c r="CJ86" i="31"/>
  <c r="CF70" i="31"/>
  <c r="CE72" i="31"/>
  <c r="CE78" i="31" s="1"/>
  <c r="CJ89" i="31" l="1"/>
  <c r="CO89" i="31"/>
  <c r="CE34" i="31"/>
  <c r="CE890" i="31"/>
  <c r="CF885" i="31"/>
  <c r="CF75" i="31"/>
  <c r="CE887" i="31"/>
  <c r="CF72" i="31"/>
  <c r="CF890" i="31" l="1"/>
  <c r="CF23" i="31"/>
  <c r="CE893" i="31"/>
  <c r="CE25" i="31"/>
  <c r="CE39" i="31"/>
  <c r="CF887" i="31"/>
  <c r="CE36" i="31"/>
  <c r="CF34" i="31"/>
  <c r="DW92" i="9"/>
  <c r="DW94" i="9" s="1"/>
  <c r="CF78" i="31"/>
  <c r="CJ75" i="31"/>
  <c r="CF893" i="31" l="1"/>
  <c r="CF25" i="31"/>
  <c r="CE42" i="31"/>
  <c r="DX92" i="9"/>
  <c r="DX94" i="9" s="1"/>
  <c r="CF39" i="31"/>
  <c r="CF36" i="31"/>
  <c r="CF42" i="31" l="1"/>
  <c r="CB295" i="31" l="1"/>
  <c r="CG300" i="31" s="1"/>
  <c r="CF306" i="31"/>
  <c r="CB311" i="31"/>
  <c r="CF311" i="31" l="1"/>
  <c r="CF295" i="31"/>
  <c r="CF300" i="31" s="1"/>
  <c r="CK311" i="31"/>
  <c r="CB454" i="31"/>
  <c r="CB300" i="31"/>
  <c r="CK300" i="31" l="1"/>
  <c r="CB459" i="31"/>
  <c r="CF454" i="31"/>
  <c r="CF459" i="31" l="1"/>
  <c r="CG268" i="31"/>
  <c r="CK263" i="31"/>
  <c r="CK268" i="31" s="1"/>
  <c r="CP295" i="31"/>
  <c r="CP300" i="31" l="1"/>
  <c r="CB296" i="31" l="1"/>
  <c r="CB301" i="31" s="1"/>
  <c r="CB302" i="31" s="1"/>
  <c r="CF307" i="31"/>
  <c r="CB308" i="31"/>
  <c r="CB312" i="31"/>
  <c r="CB313" i="31" s="1"/>
  <c r="CB314" i="31" l="1"/>
  <c r="CG314" i="31"/>
  <c r="CK312" i="31"/>
  <c r="CF312" i="31"/>
  <c r="CF313" i="31" s="1"/>
  <c r="CF296" i="31"/>
  <c r="CF301" i="31" s="1"/>
  <c r="CF302" i="31" s="1"/>
  <c r="CB297" i="31"/>
  <c r="CG301" i="31"/>
  <c r="CG302" i="31" s="1"/>
  <c r="CB455" i="31"/>
  <c r="CF308" i="31"/>
  <c r="CK301" i="31" l="1"/>
  <c r="CK314" i="31"/>
  <c r="CF314" i="31"/>
  <c r="CG303" i="31"/>
  <c r="CF297" i="31"/>
  <c r="CF303" i="31" s="1"/>
  <c r="CB303" i="31"/>
  <c r="CP296" i="31"/>
  <c r="CB460" i="31"/>
  <c r="CB461" i="31" s="1"/>
  <c r="CF455" i="31"/>
  <c r="CB456" i="31"/>
  <c r="CP301" i="31" l="1"/>
  <c r="CF460" i="31"/>
  <c r="CF461" i="31" s="1"/>
  <c r="CK303" i="31"/>
  <c r="CG269" i="31"/>
  <c r="CG270" i="31" s="1"/>
  <c r="CK264" i="31"/>
  <c r="CK269" i="31" s="1"/>
  <c r="CG265" i="31"/>
  <c r="CL271" i="31" s="1"/>
  <c r="CP297" i="31"/>
  <c r="CB462" i="31"/>
  <c r="CF456" i="31"/>
  <c r="CF462" i="31" s="1"/>
  <c r="CP303" i="31" l="1"/>
  <c r="CG271" i="31"/>
  <c r="CK265" i="31"/>
  <c r="CK271" i="31" s="1"/>
  <c r="CB494" i="31" l="1"/>
  <c r="CV51" i="31" l="1"/>
  <c r="CV52" i="31" s="1"/>
  <c r="ED97" i="9"/>
  <c r="CQ51" i="31" l="1"/>
  <c r="CQ52" i="31" s="1"/>
  <c r="EI97" i="9"/>
  <c r="CE50" i="31" l="1"/>
  <c r="CE28" i="31" l="1"/>
  <c r="CD28" i="31"/>
  <c r="DV96" i="9"/>
  <c r="CD50" i="31"/>
  <c r="DW96" i="9"/>
  <c r="CO50" i="31" l="1"/>
  <c r="CH50" i="31"/>
  <c r="DU96" i="9"/>
  <c r="CC50" i="31"/>
  <c r="CC28" i="31"/>
  <c r="CI50" i="31"/>
  <c r="EA96" i="9"/>
  <c r="CY50" i="31" l="1"/>
  <c r="EJ96" i="9"/>
  <c r="DZ96" i="9"/>
  <c r="CJ50" i="31"/>
  <c r="EB96" i="9"/>
  <c r="CF5" i="31"/>
  <c r="CF28" i="31"/>
  <c r="CF50" i="31"/>
  <c r="DX96" i="9"/>
  <c r="EL96" i="9" l="1"/>
  <c r="EE96" i="9"/>
  <c r="CT50" i="31"/>
  <c r="CR50" i="31"/>
  <c r="CN50" i="31"/>
  <c r="CM50" i="31"/>
  <c r="CE51" i="31" l="1"/>
  <c r="CE52" i="31" s="1"/>
  <c r="CE29" i="31"/>
  <c r="CE30" i="31" s="1"/>
  <c r="CC29" i="31" l="1"/>
  <c r="CC30" i="31" s="1"/>
  <c r="CD29" i="31"/>
  <c r="CD30" i="31" s="1"/>
  <c r="DV97" i="9"/>
  <c r="DV98" i="9" s="1"/>
  <c r="CD51" i="31"/>
  <c r="CD52" i="31" s="1"/>
  <c r="DU97" i="9"/>
  <c r="DU98" i="9" s="1"/>
  <c r="CI51" i="31"/>
  <c r="EA97" i="9"/>
  <c r="EA98" i="9" s="1"/>
  <c r="CC51" i="31"/>
  <c r="CC52" i="31" s="1"/>
  <c r="DW97" i="9"/>
  <c r="DW98" i="9" s="1"/>
  <c r="DU24" i="9"/>
  <c r="DW24" i="9"/>
  <c r="CJ21" i="31" l="1"/>
  <c r="CH21" i="31"/>
  <c r="CH187" i="31" s="1"/>
  <c r="CV83" i="10"/>
  <c r="CV84" i="10" s="1"/>
  <c r="CV68" i="10" s="1"/>
  <c r="CX83" i="10"/>
  <c r="CE53" i="31"/>
  <c r="CI21" i="31"/>
  <c r="CF29" i="31"/>
  <c r="CF30" i="31" s="1"/>
  <c r="CE31" i="31"/>
  <c r="CD31" i="31"/>
  <c r="DV110" i="9"/>
  <c r="DV111" i="9"/>
  <c r="DV112" i="9"/>
  <c r="DV102" i="9"/>
  <c r="DV103" i="9"/>
  <c r="DV104" i="9"/>
  <c r="DV106" i="9"/>
  <c r="CD53" i="31"/>
  <c r="DV108" i="9"/>
  <c r="DV107" i="9"/>
  <c r="CI53" i="31"/>
  <c r="DV24" i="9"/>
  <c r="DU75" i="9"/>
  <c r="DU66" i="9"/>
  <c r="DU67" i="9"/>
  <c r="DU65" i="9"/>
  <c r="CV174" i="10" s="1"/>
  <c r="DU108" i="9"/>
  <c r="DU112" i="9"/>
  <c r="DU110" i="9"/>
  <c r="DU104" i="9"/>
  <c r="DU102" i="9"/>
  <c r="DU111" i="9"/>
  <c r="DU103" i="9"/>
  <c r="DU106" i="9"/>
  <c r="DU107" i="9"/>
  <c r="CC31" i="31"/>
  <c r="DW75" i="9"/>
  <c r="DW106" i="9"/>
  <c r="DW104" i="9"/>
  <c r="DW112" i="9"/>
  <c r="DW103" i="9"/>
  <c r="DW102" i="9"/>
  <c r="DW110" i="9"/>
  <c r="DW111" i="9"/>
  <c r="DW107" i="9"/>
  <c r="CC53" i="31"/>
  <c r="CF51" i="31"/>
  <c r="CF52" i="31" s="1"/>
  <c r="DX97" i="9"/>
  <c r="DX98" i="9" s="1"/>
  <c r="DW108" i="9"/>
  <c r="CI1309" i="31" l="1"/>
  <c r="CI1304" i="31" s="1"/>
  <c r="CI1271" i="31"/>
  <c r="CI1266" i="31" s="1"/>
  <c r="CI1282" i="31"/>
  <c r="CI1277" i="31" s="1"/>
  <c r="CI1260" i="31"/>
  <c r="CI1255" i="31" s="1"/>
  <c r="CI1213" i="31"/>
  <c r="CI1169" i="31"/>
  <c r="CI1041" i="31"/>
  <c r="CI1036" i="31" s="1"/>
  <c r="CI1063" i="31"/>
  <c r="CI1058" i="31" s="1"/>
  <c r="CI1052" i="31"/>
  <c r="CI1047" i="31" s="1"/>
  <c r="CI1074" i="31"/>
  <c r="CI1069" i="31" s="1"/>
  <c r="CI1018" i="31"/>
  <c r="CI1013" i="31" s="1"/>
  <c r="CI1007" i="31"/>
  <c r="CI1002" i="31" s="1"/>
  <c r="CI951" i="31"/>
  <c r="CI927" i="31"/>
  <c r="CI1249" i="31"/>
  <c r="CI1191" i="31"/>
  <c r="CI1225" i="31"/>
  <c r="CI963" i="31"/>
  <c r="CI939" i="31"/>
  <c r="CI1237" i="31"/>
  <c r="CI1355" i="31"/>
  <c r="CJ1309" i="31"/>
  <c r="CJ1304" i="31" s="1"/>
  <c r="CJ1271" i="31"/>
  <c r="CJ1266" i="31" s="1"/>
  <c r="CJ1282" i="31"/>
  <c r="CJ1277" i="31" s="1"/>
  <c r="CJ1260" i="31"/>
  <c r="CJ1255" i="31" s="1"/>
  <c r="CJ1213" i="31"/>
  <c r="CJ1169" i="31"/>
  <c r="CJ1063" i="31"/>
  <c r="CJ1058" i="31" s="1"/>
  <c r="CJ1052" i="31"/>
  <c r="CJ1047" i="31" s="1"/>
  <c r="CJ1074" i="31"/>
  <c r="CJ1069" i="31" s="1"/>
  <c r="CJ1018" i="31"/>
  <c r="CJ1013" i="31" s="1"/>
  <c r="CJ996" i="31"/>
  <c r="CJ991" i="31" s="1"/>
  <c r="CJ1007" i="31"/>
  <c r="CJ1002" i="31" s="1"/>
  <c r="CJ1041" i="31"/>
  <c r="CJ1036" i="31" s="1"/>
  <c r="CJ974" i="31"/>
  <c r="CJ969" i="31" s="1"/>
  <c r="CJ1237" i="31"/>
  <c r="CJ1191" i="31"/>
  <c r="CJ927" i="31"/>
  <c r="CJ1355" i="31"/>
  <c r="CH1309" i="31"/>
  <c r="CH1304" i="31" s="1"/>
  <c r="CH1271" i="31"/>
  <c r="CH1266" i="31" s="1"/>
  <c r="CH1282" i="31"/>
  <c r="CH1277" i="31" s="1"/>
  <c r="CH1260" i="31"/>
  <c r="CH1255" i="31" s="1"/>
  <c r="CH1169" i="31"/>
  <c r="CH1074" i="31"/>
  <c r="CH1069" i="31" s="1"/>
  <c r="CH1063" i="31"/>
  <c r="CH1058" i="31" s="1"/>
  <c r="CH1052" i="31"/>
  <c r="CH1047" i="31" s="1"/>
  <c r="CH1041" i="31"/>
  <c r="CH1036" i="31" s="1"/>
  <c r="CH1007" i="31"/>
  <c r="CH1002" i="31" s="1"/>
  <c r="CH1018" i="31"/>
  <c r="CH1013" i="31" s="1"/>
  <c r="CH1225" i="31"/>
  <c r="CH927" i="31"/>
  <c r="CH1191" i="31"/>
  <c r="CH1237" i="31"/>
  <c r="CH939" i="31"/>
  <c r="CH963" i="31"/>
  <c r="CH1213" i="31"/>
  <c r="CH951" i="31"/>
  <c r="CH1249" i="31"/>
  <c r="CH1355" i="31"/>
  <c r="CI633" i="31"/>
  <c r="CJ633" i="31"/>
  <c r="CH633" i="31"/>
  <c r="CJ494" i="31"/>
  <c r="CH176" i="31"/>
  <c r="CJ438" i="31"/>
  <c r="CV75" i="10"/>
  <c r="CV70" i="10"/>
  <c r="CV74" i="10"/>
  <c r="CV77" i="10"/>
  <c r="CH383" i="31"/>
  <c r="CH143" i="31"/>
  <c r="CJ198" i="31"/>
  <c r="CJ313" i="31"/>
  <c r="CH20" i="31"/>
  <c r="CH1494" i="31"/>
  <c r="CH438" i="31"/>
  <c r="CH765" i="31"/>
  <c r="CJ372" i="31"/>
  <c r="CJ259" i="31"/>
  <c r="CH302" i="31"/>
  <c r="CH88" i="31"/>
  <c r="CH372" i="31"/>
  <c r="CH110" i="31"/>
  <c r="CH416" i="31"/>
  <c r="CH710" i="31"/>
  <c r="CH449" i="31"/>
  <c r="CJ88" i="31"/>
  <c r="CJ482" i="31"/>
  <c r="CJ732" i="31"/>
  <c r="CJ20" i="31"/>
  <c r="CK21" i="31"/>
  <c r="CH270" i="31"/>
  <c r="CH77" i="31"/>
  <c r="CH121" i="31"/>
  <c r="CH63" i="31"/>
  <c r="CH198" i="31"/>
  <c r="CH394" i="31"/>
  <c r="CH99" i="31"/>
  <c r="CH313" i="31"/>
  <c r="CH259" i="31"/>
  <c r="CH743" i="31"/>
  <c r="CH165" i="31"/>
  <c r="CH494" i="31"/>
  <c r="CH154" i="31"/>
  <c r="CH405" i="31"/>
  <c r="CH732" i="31"/>
  <c r="CJ270" i="31"/>
  <c r="CJ302" i="31"/>
  <c r="CJ394" i="31"/>
  <c r="CJ99" i="31"/>
  <c r="CJ416" i="31"/>
  <c r="CJ405" i="31"/>
  <c r="CJ710" i="31"/>
  <c r="CJ383" i="31"/>
  <c r="CJ765" i="31"/>
  <c r="CJ461" i="31"/>
  <c r="CJ154" i="31"/>
  <c r="CJ743" i="31"/>
  <c r="CJ449" i="31"/>
  <c r="CJ110" i="31"/>
  <c r="CI20" i="31"/>
  <c r="CV65" i="10"/>
  <c r="CV216" i="10" s="1"/>
  <c r="CV76" i="10"/>
  <c r="CV67" i="10"/>
  <c r="CV144" i="10"/>
  <c r="CV78" i="10"/>
  <c r="CV69" i="10"/>
  <c r="CV79" i="10"/>
  <c r="CV66" i="10"/>
  <c r="CV59" i="10"/>
  <c r="CV62" i="10" s="1"/>
  <c r="CV73" i="10"/>
  <c r="CF31" i="31"/>
  <c r="CI176" i="31"/>
  <c r="CU1422" i="31"/>
  <c r="CJ1423" i="31"/>
  <c r="CO1429" i="31" s="1"/>
  <c r="CK1422" i="31"/>
  <c r="CJ1467" i="31"/>
  <c r="CO1473" i="31" s="1"/>
  <c r="CK1466" i="31"/>
  <c r="CK1433" i="31"/>
  <c r="CJ1434" i="31"/>
  <c r="CO1440" i="31" s="1"/>
  <c r="CJ1488" i="31"/>
  <c r="CJ1478" i="31"/>
  <c r="CO1484" i="31" s="1"/>
  <c r="CK1477" i="31"/>
  <c r="CJ1445" i="31"/>
  <c r="CO1451" i="31" s="1"/>
  <c r="CK1444" i="31"/>
  <c r="CU1455" i="31"/>
  <c r="CZ1460" i="31" s="1"/>
  <c r="CJ1456" i="31"/>
  <c r="CO1462" i="31" s="1"/>
  <c r="CK1455" i="31"/>
  <c r="CI52" i="31"/>
  <c r="CI710" i="31"/>
  <c r="CI494" i="31"/>
  <c r="CI449" i="31"/>
  <c r="CI416" i="31"/>
  <c r="CI405" i="31"/>
  <c r="CI383" i="31"/>
  <c r="CI270" i="31"/>
  <c r="CI110" i="31"/>
  <c r="CI143" i="31"/>
  <c r="CI259" i="31"/>
  <c r="CI198" i="31"/>
  <c r="CI732" i="31"/>
  <c r="CI743" i="31"/>
  <c r="CI165" i="31"/>
  <c r="CI438" i="31"/>
  <c r="CI313" i="31"/>
  <c r="CI154" i="31"/>
  <c r="CI765" i="31"/>
  <c r="CI99" i="31"/>
  <c r="CI1494" i="31"/>
  <c r="CI394" i="31"/>
  <c r="CI63" i="31"/>
  <c r="CI372" i="31"/>
  <c r="CI302" i="31"/>
  <c r="CI461" i="31"/>
  <c r="CW83" i="10"/>
  <c r="DV75" i="9"/>
  <c r="DV66" i="9"/>
  <c r="DV67" i="9"/>
  <c r="DV65" i="9"/>
  <c r="CW174" i="10" s="1"/>
  <c r="DV114" i="9"/>
  <c r="DV115" i="9"/>
  <c r="DU114" i="9"/>
  <c r="DU115" i="9"/>
  <c r="DU29" i="9"/>
  <c r="DW114" i="9"/>
  <c r="DW115" i="9"/>
  <c r="DX103" i="9"/>
  <c r="DX102" i="9"/>
  <c r="DX106" i="9"/>
  <c r="DX112" i="9"/>
  <c r="DX110" i="9"/>
  <c r="DX104" i="9"/>
  <c r="DX111" i="9"/>
  <c r="DX107" i="9"/>
  <c r="CF53" i="31"/>
  <c r="DX108" i="9"/>
  <c r="CK362" i="31" l="1"/>
  <c r="CO1493" i="31"/>
  <c r="CO1494" i="31" s="1"/>
  <c r="CK1063" i="31"/>
  <c r="CK1052" i="31"/>
  <c r="CK1074" i="31"/>
  <c r="CK1041" i="31"/>
  <c r="CK1036" i="31" s="1"/>
  <c r="CK916" i="31"/>
  <c r="CK951" i="31"/>
  <c r="CK939" i="31"/>
  <c r="CK1213" i="31"/>
  <c r="CK1249" i="31"/>
  <c r="CK1169" i="31"/>
  <c r="CK1237" i="31"/>
  <c r="CK1086" i="31"/>
  <c r="CK1098" i="31"/>
  <c r="CK1225" i="31"/>
  <c r="CK1332" i="31"/>
  <c r="CK905" i="31"/>
  <c r="CK963" i="31"/>
  <c r="CK1191" i="31"/>
  <c r="CK927" i="31"/>
  <c r="CK1201" i="31"/>
  <c r="CK1355" i="31"/>
  <c r="CH1059" i="31"/>
  <c r="CM1058" i="31"/>
  <c r="CK1058" i="31"/>
  <c r="CH1305" i="31"/>
  <c r="CH1315" i="31"/>
  <c r="CM1304" i="31"/>
  <c r="CK1304" i="31"/>
  <c r="CK1309" i="31" s="1"/>
  <c r="CK1310" i="31" s="1"/>
  <c r="CO1069" i="31"/>
  <c r="CJ1070" i="31"/>
  <c r="CJ1278" i="31"/>
  <c r="CJ1284" i="31" s="1"/>
  <c r="CO1277" i="31"/>
  <c r="CO1278" i="31" s="1"/>
  <c r="CI1024" i="31"/>
  <c r="CN1002" i="31"/>
  <c r="CI1003" i="31"/>
  <c r="CI1009" i="31" s="1"/>
  <c r="CM1069" i="31"/>
  <c r="CH1070" i="31"/>
  <c r="CK1069" i="31"/>
  <c r="CK969" i="31"/>
  <c r="CJ970" i="31"/>
  <c r="CO969" i="31"/>
  <c r="CO1047" i="31"/>
  <c r="CJ1048" i="31"/>
  <c r="CJ1267" i="31"/>
  <c r="CJ1273" i="31" s="1"/>
  <c r="CO1266" i="31"/>
  <c r="CO1267" i="31" s="1"/>
  <c r="CI1014" i="31"/>
  <c r="CI1020" i="31" s="1"/>
  <c r="CN1013" i="31"/>
  <c r="CH1014" i="31"/>
  <c r="CM1013" i="31"/>
  <c r="CK1013" i="31"/>
  <c r="CO1036" i="31"/>
  <c r="CJ1037" i="31"/>
  <c r="CO1058" i="31"/>
  <c r="CJ1059" i="31"/>
  <c r="CJ1315" i="31"/>
  <c r="CJ1320" i="31" s="1"/>
  <c r="CJ1321" i="31" s="1"/>
  <c r="CO1304" i="31"/>
  <c r="CJ1305" i="31"/>
  <c r="CJ1311" i="31" s="1"/>
  <c r="CN1069" i="31"/>
  <c r="CI1070" i="31"/>
  <c r="CI1288" i="31"/>
  <c r="CI1256" i="31"/>
  <c r="CI1262" i="31" s="1"/>
  <c r="CN1255" i="31"/>
  <c r="CH1024" i="31"/>
  <c r="CM1002" i="31"/>
  <c r="CH1003" i="31"/>
  <c r="CK1002" i="31"/>
  <c r="CH1288" i="31"/>
  <c r="CH1256" i="31"/>
  <c r="CM1255" i="31"/>
  <c r="CK1255" i="31"/>
  <c r="CO1002" i="31"/>
  <c r="CJ1003" i="31"/>
  <c r="CJ1009" i="31" s="1"/>
  <c r="CN1047" i="31"/>
  <c r="CI1048" i="31"/>
  <c r="CI1278" i="31"/>
  <c r="CI1284" i="31" s="1"/>
  <c r="CN1277" i="31"/>
  <c r="CN1278" i="31" s="1"/>
  <c r="CM1036" i="31"/>
  <c r="CH1037" i="31"/>
  <c r="CH1278" i="31"/>
  <c r="CM1277" i="31"/>
  <c r="CK1277" i="31"/>
  <c r="CJ1024" i="31"/>
  <c r="CJ1029" i="31" s="1"/>
  <c r="CJ1030" i="31" s="1"/>
  <c r="CK991" i="31"/>
  <c r="CJ992" i="31"/>
  <c r="CO991" i="31"/>
  <c r="CI1059" i="31"/>
  <c r="CN1058" i="31"/>
  <c r="CN1266" i="31"/>
  <c r="CN1267" i="31" s="1"/>
  <c r="CI1267" i="31"/>
  <c r="CI1273" i="31" s="1"/>
  <c r="CM1047" i="31"/>
  <c r="CH1048" i="31"/>
  <c r="CK1047" i="31"/>
  <c r="CM1266" i="31"/>
  <c r="CH1267" i="31"/>
  <c r="CK1266" i="31"/>
  <c r="CJ1014" i="31"/>
  <c r="CJ1020" i="31" s="1"/>
  <c r="CO1013" i="31"/>
  <c r="CJ1288" i="31"/>
  <c r="CO1255" i="31"/>
  <c r="CJ1256" i="31"/>
  <c r="CJ1262" i="31" s="1"/>
  <c r="CI1037" i="31"/>
  <c r="CN1036" i="31"/>
  <c r="CI1315" i="31"/>
  <c r="CN1304" i="31"/>
  <c r="CI1305" i="31"/>
  <c r="CI1311" i="31" s="1"/>
  <c r="CZ1427" i="31"/>
  <c r="CK633" i="31"/>
  <c r="CK383" i="31"/>
  <c r="CK754" i="31"/>
  <c r="CK281" i="31"/>
  <c r="CK335" i="31"/>
  <c r="CK324" i="31"/>
  <c r="CK416" i="31"/>
  <c r="CU1433" i="31"/>
  <c r="CU1466" i="31"/>
  <c r="CU1444" i="31"/>
  <c r="CU1477" i="31"/>
  <c r="CZ1482" i="31" s="1"/>
  <c r="CK154" i="31"/>
  <c r="CK721" i="31"/>
  <c r="CK449" i="31"/>
  <c r="CK394" i="31"/>
  <c r="CK313" i="31"/>
  <c r="CK372" i="31"/>
  <c r="CK226" i="31"/>
  <c r="CK505" i="31"/>
  <c r="CK483" i="31"/>
  <c r="CK346" i="31"/>
  <c r="CK710" i="31"/>
  <c r="CK405" i="31"/>
  <c r="CK732" i="31"/>
  <c r="CK99" i="31"/>
  <c r="CK270" i="31"/>
  <c r="CK438" i="31"/>
  <c r="CK494" i="31"/>
  <c r="CK302" i="31"/>
  <c r="CT1488" i="31"/>
  <c r="CJ1462" i="31"/>
  <c r="CK1456" i="31"/>
  <c r="CJ1451" i="31"/>
  <c r="CK1445" i="31"/>
  <c r="CJ1484" i="31"/>
  <c r="CK1478" i="31"/>
  <c r="CP1433" i="31"/>
  <c r="CK1434" i="31"/>
  <c r="CJ1440" i="31"/>
  <c r="CK1471" i="31"/>
  <c r="CK1472" i="31" s="1"/>
  <c r="CP1467" i="31"/>
  <c r="CP1466" i="31"/>
  <c r="CJ1429" i="31"/>
  <c r="CK1423" i="31"/>
  <c r="CK1460" i="31"/>
  <c r="CK1461" i="31" s="1"/>
  <c r="CP1456" i="31"/>
  <c r="CP1455" i="31"/>
  <c r="CP1460" i="31" s="1"/>
  <c r="CK1449" i="31"/>
  <c r="CK1450" i="31" s="1"/>
  <c r="CP1444" i="31"/>
  <c r="CK1482" i="31"/>
  <c r="CK1483" i="31" s="1"/>
  <c r="CP1478" i="31"/>
  <c r="CP1477" i="31"/>
  <c r="CJ1493" i="31"/>
  <c r="CJ1494" i="31" s="1"/>
  <c r="CJ57" i="31"/>
  <c r="CJ1489" i="31"/>
  <c r="CK1438" i="31"/>
  <c r="CK1439" i="31" s="1"/>
  <c r="CK1488" i="31"/>
  <c r="CJ1473" i="31"/>
  <c r="CK1467" i="31"/>
  <c r="CK1427" i="31"/>
  <c r="CK1428" i="31" s="1"/>
  <c r="CP1423" i="31"/>
  <c r="CP1422" i="31"/>
  <c r="CJ160" i="31"/>
  <c r="CI160" i="31"/>
  <c r="CI115" i="31"/>
  <c r="CW84" i="10"/>
  <c r="CW144" i="10" s="1"/>
  <c r="CX84" i="10"/>
  <c r="DU116" i="9"/>
  <c r="DV116" i="9"/>
  <c r="DV29" i="9"/>
  <c r="DV39" i="9" s="1"/>
  <c r="DU79" i="9"/>
  <c r="DU68" i="9"/>
  <c r="CV175" i="10" s="1"/>
  <c r="DU39" i="9"/>
  <c r="DW116" i="9"/>
  <c r="DU38" i="9"/>
  <c r="DX114" i="9"/>
  <c r="DU133" i="9"/>
  <c r="DX2" i="9"/>
  <c r="DX4" i="9" s="1"/>
  <c r="DX115" i="9"/>
  <c r="CO1284" i="31" l="1"/>
  <c r="CY1493" i="31"/>
  <c r="CY1494" i="31" s="1"/>
  <c r="CO1273" i="31"/>
  <c r="CO1495" i="31"/>
  <c r="CK1260" i="31"/>
  <c r="CK1261" i="31" s="1"/>
  <c r="CK1018" i="31"/>
  <c r="CK1019" i="31" s="1"/>
  <c r="CJ1054" i="31"/>
  <c r="CK1282" i="31"/>
  <c r="CK1283" i="31" s="1"/>
  <c r="CK1007" i="31"/>
  <c r="CK1008" i="31" s="1"/>
  <c r="CJ1065" i="31"/>
  <c r="CJ1076" i="31"/>
  <c r="CJ1043" i="31"/>
  <c r="CK1271" i="31"/>
  <c r="CK1272" i="31" s="1"/>
  <c r="CH1273" i="31"/>
  <c r="CK1267" i="31"/>
  <c r="CN1273" i="31"/>
  <c r="CJ1025" i="31"/>
  <c r="CN1284" i="31"/>
  <c r="CR1002" i="31"/>
  <c r="CM1024" i="31"/>
  <c r="CM1029" i="31" s="1"/>
  <c r="CM1030" i="31" s="1"/>
  <c r="CM1003" i="31"/>
  <c r="CP1002" i="31"/>
  <c r="CP1007" i="31" s="1"/>
  <c r="CS1069" i="31"/>
  <c r="CN1070" i="31"/>
  <c r="CN1076" i="31" s="1"/>
  <c r="CJ976" i="31"/>
  <c r="CK970" i="31"/>
  <c r="CS1002" i="31"/>
  <c r="CN1024" i="31"/>
  <c r="CN1003" i="31"/>
  <c r="CN1009" i="31" s="1"/>
  <c r="CK1315" i="31"/>
  <c r="CK1320" i="31" s="1"/>
  <c r="CK1321" i="31" s="1"/>
  <c r="CH1065" i="31"/>
  <c r="CO1288" i="31"/>
  <c r="CO1289" i="31" s="1"/>
  <c r="CO1256" i="31"/>
  <c r="CO1262" i="31" s="1"/>
  <c r="CR1266" i="31"/>
  <c r="CR1267" i="31" s="1"/>
  <c r="CM1267" i="31"/>
  <c r="CP1266" i="31"/>
  <c r="CP1271" i="31" s="1"/>
  <c r="CN1059" i="31"/>
  <c r="CS1058" i="31"/>
  <c r="CM1288" i="31"/>
  <c r="CM1293" i="31" s="1"/>
  <c r="CM1294" i="31" s="1"/>
  <c r="CM1256" i="31"/>
  <c r="CR1255" i="31"/>
  <c r="CR1256" i="31" s="1"/>
  <c r="CP1255" i="31"/>
  <c r="CP1260" i="31" s="1"/>
  <c r="CH1025" i="31"/>
  <c r="CH1029" i="31"/>
  <c r="CH1030" i="31" s="1"/>
  <c r="CK1024" i="31"/>
  <c r="CT1036" i="31"/>
  <c r="CO1037" i="31"/>
  <c r="CK974" i="31"/>
  <c r="CK975" i="31" s="1"/>
  <c r="CI1025" i="31"/>
  <c r="CI1029" i="31"/>
  <c r="CI1030" i="31" s="1"/>
  <c r="CM1315" i="31"/>
  <c r="CM1320" i="31" s="1"/>
  <c r="CM1321" i="31" s="1"/>
  <c r="CR1304" i="31"/>
  <c r="CR1305" i="31" s="1"/>
  <c r="CM1305" i="31"/>
  <c r="CM1311" i="31" s="1"/>
  <c r="CP1304" i="31"/>
  <c r="CP1309" i="31" s="1"/>
  <c r="CN1315" i="31"/>
  <c r="CN1316" i="31" s="1"/>
  <c r="CN1305" i="31"/>
  <c r="CN1311" i="31" s="1"/>
  <c r="CJ1289" i="31"/>
  <c r="CK1048" i="31"/>
  <c r="CI1065" i="31"/>
  <c r="CM1278" i="31"/>
  <c r="CR1277" i="31"/>
  <c r="CR1278" i="31" s="1"/>
  <c r="CP1277" i="31"/>
  <c r="CP1282" i="31" s="1"/>
  <c r="CI1054" i="31"/>
  <c r="CH1262" i="31"/>
  <c r="CK1256" i="31"/>
  <c r="CN1288" i="31"/>
  <c r="CN1289" i="31" s="1"/>
  <c r="CN1256" i="31"/>
  <c r="CN1262" i="31" s="1"/>
  <c r="CO1315" i="31"/>
  <c r="CO1316" i="31" s="1"/>
  <c r="CO1305" i="31"/>
  <c r="CO1311" i="31" s="1"/>
  <c r="CK1070" i="31"/>
  <c r="CH1316" i="31"/>
  <c r="CH1320" i="31"/>
  <c r="CH1321" i="31" s="1"/>
  <c r="CK1037" i="31"/>
  <c r="CI1316" i="31"/>
  <c r="CI1320" i="31"/>
  <c r="CI1321" i="31" s="1"/>
  <c r="CO1014" i="31"/>
  <c r="CO1020" i="31" s="1"/>
  <c r="CT1013" i="31"/>
  <c r="CH1054" i="31"/>
  <c r="CO1024" i="31"/>
  <c r="CO1029" i="31" s="1"/>
  <c r="CO1030" i="31" s="1"/>
  <c r="CT991" i="31"/>
  <c r="CO992" i="31"/>
  <c r="CP991" i="31"/>
  <c r="CH1284" i="31"/>
  <c r="CK1278" i="31"/>
  <c r="CS1047" i="31"/>
  <c r="CN1048" i="31"/>
  <c r="CH1289" i="31"/>
  <c r="CK1288" i="31"/>
  <c r="CJ1316" i="31"/>
  <c r="CM1014" i="31"/>
  <c r="CR1013" i="31"/>
  <c r="CP1013" i="31"/>
  <c r="CH1076" i="31"/>
  <c r="CH1311" i="31"/>
  <c r="CK1305" i="31"/>
  <c r="CS1036" i="31"/>
  <c r="CN1037" i="31"/>
  <c r="CN1043" i="31" s="1"/>
  <c r="CR1047" i="31"/>
  <c r="CM1048" i="31"/>
  <c r="CJ998" i="31"/>
  <c r="CK992" i="31"/>
  <c r="CH1043" i="31"/>
  <c r="CI1289" i="31"/>
  <c r="CH1020" i="31"/>
  <c r="CK1014" i="31"/>
  <c r="CT1047" i="31"/>
  <c r="CO1048" i="31"/>
  <c r="CO1054" i="31" s="1"/>
  <c r="CR1069" i="31"/>
  <c r="CM1070" i="31"/>
  <c r="CM1076" i="31" s="1"/>
  <c r="CK1059" i="31"/>
  <c r="CI1043" i="31"/>
  <c r="CK996" i="31"/>
  <c r="CK997" i="31" s="1"/>
  <c r="CR1036" i="31"/>
  <c r="CM1037" i="31"/>
  <c r="CT1002" i="31"/>
  <c r="CO1003" i="31"/>
  <c r="CO1009" i="31" s="1"/>
  <c r="CH1009" i="31"/>
  <c r="CK1003" i="31"/>
  <c r="CI1076" i="31"/>
  <c r="CO1059" i="31"/>
  <c r="CO1065" i="31" s="1"/>
  <c r="CT1058" i="31"/>
  <c r="CN1014" i="31"/>
  <c r="CN1020" i="31" s="1"/>
  <c r="CS1013" i="31"/>
  <c r="CT969" i="31"/>
  <c r="CO970" i="31"/>
  <c r="CP969" i="31"/>
  <c r="CP974" i="31" s="1"/>
  <c r="CT1069" i="31"/>
  <c r="CO1070" i="31"/>
  <c r="CM1059" i="31"/>
  <c r="CM1065" i="31" s="1"/>
  <c r="CR1058" i="31"/>
  <c r="CO62" i="31"/>
  <c r="CO63" i="31" s="1"/>
  <c r="EB89" i="9"/>
  <c r="EB90" i="9" s="1"/>
  <c r="CU1427" i="31"/>
  <c r="CZ1438" i="31"/>
  <c r="CZ1449" i="31"/>
  <c r="CZ1471" i="31"/>
  <c r="CU1449" i="31"/>
  <c r="CU1445" i="31"/>
  <c r="CZ1451" i="31" s="1"/>
  <c r="CJ166" i="31"/>
  <c r="CO166" i="31"/>
  <c r="CJ1495" i="31"/>
  <c r="CI166" i="31"/>
  <c r="CN166" i="31"/>
  <c r="CU1471" i="31"/>
  <c r="CU1423" i="31"/>
  <c r="CZ1429" i="31" s="1"/>
  <c r="CU1482" i="31"/>
  <c r="CU1467" i="31"/>
  <c r="CZ1473" i="31" s="1"/>
  <c r="CU1488" i="31"/>
  <c r="CU1460" i="31"/>
  <c r="CU1434" i="31"/>
  <c r="CZ1440" i="31" s="1"/>
  <c r="CU1478" i="31"/>
  <c r="CZ1484" i="31" s="1"/>
  <c r="CU1456" i="31"/>
  <c r="CZ1462" i="31" s="1"/>
  <c r="CP1438" i="31"/>
  <c r="CU1438" i="31"/>
  <c r="CT1493" i="31"/>
  <c r="CT1494" i="31" s="1"/>
  <c r="CT57" i="31"/>
  <c r="CT1489" i="31"/>
  <c r="CW73" i="10"/>
  <c r="CW66" i="10"/>
  <c r="CW76" i="10"/>
  <c r="CP1427" i="31"/>
  <c r="CK1473" i="31"/>
  <c r="CP1473" i="31"/>
  <c r="CK1489" i="31"/>
  <c r="CK1493" i="31"/>
  <c r="CK1494" i="31" s="1"/>
  <c r="CJ58" i="31"/>
  <c r="CK57" i="31"/>
  <c r="EC89" i="9" s="1"/>
  <c r="CJ62" i="31"/>
  <c r="CJ63" i="31" s="1"/>
  <c r="CP1482" i="31"/>
  <c r="CP1449" i="31"/>
  <c r="CP1471" i="31"/>
  <c r="CK1440" i="31"/>
  <c r="CP1434" i="31"/>
  <c r="CK1484" i="31"/>
  <c r="CP1484" i="31"/>
  <c r="CK1451" i="31"/>
  <c r="CO51" i="31"/>
  <c r="CO52" i="31" s="1"/>
  <c r="CP1445" i="31"/>
  <c r="CP1451" i="31" s="1"/>
  <c r="CK1429" i="31"/>
  <c r="CP1429" i="31"/>
  <c r="CP1488" i="31"/>
  <c r="CK1462" i="31"/>
  <c r="CP1462" i="31"/>
  <c r="CI120" i="31"/>
  <c r="CI121" i="31" s="1"/>
  <c r="CI116" i="31"/>
  <c r="CP159" i="31"/>
  <c r="CN115" i="31"/>
  <c r="CN116" i="31" s="1"/>
  <c r="CW59" i="10"/>
  <c r="CW62" i="10" s="1"/>
  <c r="CW68" i="10"/>
  <c r="CW79" i="10"/>
  <c r="CW74" i="10"/>
  <c r="CW67" i="10"/>
  <c r="CW77" i="10"/>
  <c r="CW70" i="10"/>
  <c r="CW69" i="10"/>
  <c r="CW136" i="10"/>
  <c r="DV38" i="9"/>
  <c r="CW65" i="10"/>
  <c r="CW216" i="10" s="1"/>
  <c r="CW75" i="10"/>
  <c r="CW78" i="10"/>
  <c r="CX144" i="10"/>
  <c r="CX78" i="10"/>
  <c r="CX76" i="10"/>
  <c r="CX74" i="10"/>
  <c r="CX70" i="10"/>
  <c r="CX68" i="10"/>
  <c r="CX66" i="10"/>
  <c r="CX59" i="10"/>
  <c r="CX79" i="10"/>
  <c r="CX77" i="10"/>
  <c r="CX75" i="10"/>
  <c r="CX73" i="10"/>
  <c r="CX69" i="10"/>
  <c r="CX67" i="10"/>
  <c r="CX65" i="10"/>
  <c r="CX216" i="10" s="1"/>
  <c r="CX136" i="10"/>
  <c r="DV133" i="9"/>
  <c r="DV79" i="9"/>
  <c r="DV68" i="9"/>
  <c r="CW175" i="10" s="1"/>
  <c r="DU122" i="9"/>
  <c r="DU125" i="9"/>
  <c r="DU127" i="9" s="1"/>
  <c r="DU80" i="9"/>
  <c r="DU70" i="9"/>
  <c r="CX28" i="11"/>
  <c r="CY36" i="11"/>
  <c r="DX116" i="9"/>
  <c r="CV36" i="10"/>
  <c r="DW133" i="9"/>
  <c r="DX133" i="9"/>
  <c r="CO1293" i="31" l="1"/>
  <c r="CO1294" i="31" s="1"/>
  <c r="CY1495" i="31"/>
  <c r="CZ1493" i="31"/>
  <c r="CO1295" i="31"/>
  <c r="CK1076" i="31"/>
  <c r="CK1054" i="31"/>
  <c r="CK1043" i="31"/>
  <c r="CK1311" i="31"/>
  <c r="CO1322" i="31"/>
  <c r="CJ1322" i="31"/>
  <c r="CK1284" i="31"/>
  <c r="CK1273" i="31"/>
  <c r="CK1020" i="31"/>
  <c r="CK1065" i="31"/>
  <c r="CK1029" i="31"/>
  <c r="CK1030" i="31" s="1"/>
  <c r="CJ1031" i="31"/>
  <c r="CO1043" i="31"/>
  <c r="CP1018" i="31"/>
  <c r="CK1009" i="31"/>
  <c r="CO1320" i="31"/>
  <c r="CO1321" i="31" s="1"/>
  <c r="CK1262" i="31"/>
  <c r="CO1076" i="31"/>
  <c r="CN1295" i="31"/>
  <c r="CN1320" i="31"/>
  <c r="CN1321" i="31" s="1"/>
  <c r="CY1069" i="31"/>
  <c r="CY1070" i="31" s="1"/>
  <c r="CT1070" i="31"/>
  <c r="CT1059" i="31"/>
  <c r="CY1058" i="31"/>
  <c r="CY1059" i="31" s="1"/>
  <c r="CW1069" i="31"/>
  <c r="CR1070" i="31"/>
  <c r="CR1076" i="31" s="1"/>
  <c r="CX1047" i="31"/>
  <c r="CS1048" i="31"/>
  <c r="CS1054" i="31" s="1"/>
  <c r="CO1025" i="31"/>
  <c r="CN1322" i="31"/>
  <c r="CI1322" i="31"/>
  <c r="CR1311" i="31"/>
  <c r="CP1305" i="31"/>
  <c r="CP1311" i="31" s="1"/>
  <c r="CX1069" i="31"/>
  <c r="CS1070" i="31"/>
  <c r="CS1076" i="31" s="1"/>
  <c r="CY1002" i="31"/>
  <c r="CY1003" i="31" s="1"/>
  <c r="CT1003" i="31"/>
  <c r="CT1009" i="31" s="1"/>
  <c r="CW1047" i="31"/>
  <c r="CR1048" i="31"/>
  <c r="CH1031" i="31"/>
  <c r="CK1025" i="31"/>
  <c r="CS1059" i="31"/>
  <c r="CS1065" i="31" s="1"/>
  <c r="CX1058" i="31"/>
  <c r="CN1025" i="31"/>
  <c r="CN1031" i="31" s="1"/>
  <c r="CO976" i="31"/>
  <c r="CP970" i="31"/>
  <c r="CY1047" i="31"/>
  <c r="CY1048" i="31" s="1"/>
  <c r="CT1048" i="31"/>
  <c r="CM1054" i="31"/>
  <c r="CM1284" i="31"/>
  <c r="CR1284" i="31"/>
  <c r="CP1278" i="31"/>
  <c r="CP1284" i="31" s="1"/>
  <c r="CR1315" i="31"/>
  <c r="CR1316" i="31" s="1"/>
  <c r="CM1316" i="31"/>
  <c r="CM1322" i="31" s="1"/>
  <c r="CP1315" i="31"/>
  <c r="CP1320" i="31" s="1"/>
  <c r="CX1002" i="31"/>
  <c r="CS1024" i="31"/>
  <c r="CS1003" i="31"/>
  <c r="CS1009" i="31" s="1"/>
  <c r="CM1009" i="31"/>
  <c r="CP1003" i="31"/>
  <c r="CW1058" i="31"/>
  <c r="CR1059" i="31"/>
  <c r="CY969" i="31"/>
  <c r="CU969" i="31"/>
  <c r="CT970" i="31"/>
  <c r="CW1036" i="31"/>
  <c r="CR1037" i="31"/>
  <c r="CM1043" i="31"/>
  <c r="CX1036" i="31"/>
  <c r="CS1037" i="31"/>
  <c r="CP1024" i="31"/>
  <c r="CP1029" i="31" s="1"/>
  <c r="CT1014" i="31"/>
  <c r="CT1020" i="31" s="1"/>
  <c r="CY1013" i="31"/>
  <c r="CY1014" i="31" s="1"/>
  <c r="CY1036" i="31"/>
  <c r="CY1037" i="31" s="1"/>
  <c r="CT1037" i="31"/>
  <c r="CP976" i="31"/>
  <c r="CK976" i="31"/>
  <c r="CM1025" i="31"/>
  <c r="CS1014" i="31"/>
  <c r="CS1020" i="31" s="1"/>
  <c r="CX1013" i="31"/>
  <c r="CK998" i="31"/>
  <c r="CW1013" i="31"/>
  <c r="CR1014" i="31"/>
  <c r="CU1013" i="31"/>
  <c r="CU1018" i="31" s="1"/>
  <c r="CK1289" i="31"/>
  <c r="CO998" i="31"/>
  <c r="CP992" i="31"/>
  <c r="CP998" i="31" s="1"/>
  <c r="CN1065" i="31"/>
  <c r="CN1029" i="31"/>
  <c r="CN1030" i="31" s="1"/>
  <c r="CM1262" i="31"/>
  <c r="CR1262" i="31"/>
  <c r="CP1256" i="31"/>
  <c r="CP1262" i="31" s="1"/>
  <c r="CM1273" i="31"/>
  <c r="CR1273" i="31"/>
  <c r="CP1267" i="31"/>
  <c r="CP1273" i="31" s="1"/>
  <c r="CW1002" i="31"/>
  <c r="CR1024" i="31"/>
  <c r="CR1029" i="31" s="1"/>
  <c r="CR1030" i="31" s="1"/>
  <c r="CR1003" i="31"/>
  <c r="CU1002" i="31"/>
  <c r="CU1007" i="31" s="1"/>
  <c r="CP996" i="31"/>
  <c r="CN1293" i="31"/>
  <c r="CN1294" i="31" s="1"/>
  <c r="CM1020" i="31"/>
  <c r="CP1014" i="31"/>
  <c r="CT1024" i="31"/>
  <c r="CT1029" i="31" s="1"/>
  <c r="CT1030" i="31" s="1"/>
  <c r="CY991" i="31"/>
  <c r="CU991" i="31"/>
  <c r="CT992" i="31"/>
  <c r="CH1322" i="31"/>
  <c r="CN1054" i="31"/>
  <c r="CI1031" i="31"/>
  <c r="CM1289" i="31"/>
  <c r="CM1295" i="31" s="1"/>
  <c r="CR1288" i="31"/>
  <c r="CR1289" i="31" s="1"/>
  <c r="CP1288" i="31"/>
  <c r="CP1293" i="31" s="1"/>
  <c r="CK1316" i="31"/>
  <c r="EC90" i="9"/>
  <c r="CY62" i="31"/>
  <c r="CY63" i="31" s="1"/>
  <c r="EL89" i="9"/>
  <c r="EL90" i="9" s="1"/>
  <c r="CO64" i="31"/>
  <c r="CT62" i="31"/>
  <c r="CT63" i="31" s="1"/>
  <c r="DV80" i="9"/>
  <c r="CP1493" i="31"/>
  <c r="CU1493" i="31"/>
  <c r="CU1440" i="31"/>
  <c r="CU1473" i="31"/>
  <c r="CU1429" i="31"/>
  <c r="CU1462" i="31"/>
  <c r="CU1451" i="31"/>
  <c r="CU1484" i="31"/>
  <c r="CU1489" i="31"/>
  <c r="CU57" i="31"/>
  <c r="CT1495" i="31"/>
  <c r="CT58" i="31"/>
  <c r="CX29" i="11"/>
  <c r="DV122" i="9"/>
  <c r="CJ51" i="31"/>
  <c r="CJ52" i="31" s="1"/>
  <c r="EB97" i="9"/>
  <c r="EB98" i="9" s="1"/>
  <c r="CJ64" i="31"/>
  <c r="CK58" i="31"/>
  <c r="CP57" i="31"/>
  <c r="EH89" i="9" s="1"/>
  <c r="CP1489" i="31"/>
  <c r="CP1440" i="31"/>
  <c r="CK62" i="31"/>
  <c r="CK63" i="31" s="1"/>
  <c r="CK1495" i="31"/>
  <c r="DV125" i="9"/>
  <c r="DV127" i="9" s="1"/>
  <c r="CN120" i="31"/>
  <c r="CN121" i="31" s="1"/>
  <c r="CJ76" i="31"/>
  <c r="CJ77" i="31" s="1"/>
  <c r="CJ72" i="31"/>
  <c r="CO78" i="31" s="1"/>
  <c r="CP160" i="31"/>
  <c r="CN122" i="31"/>
  <c r="CI122" i="31"/>
  <c r="DV41" i="9"/>
  <c r="DV70" i="9"/>
  <c r="CX62" i="10"/>
  <c r="DU71" i="9"/>
  <c r="DU50" i="9" s="1"/>
  <c r="CV41" i="10"/>
  <c r="CV169" i="10"/>
  <c r="CY28" i="11"/>
  <c r="DU43" i="9"/>
  <c r="DU49" i="9"/>
  <c r="DX39" i="9"/>
  <c r="DW78" i="9"/>
  <c r="DW67" i="9"/>
  <c r="DW66" i="9"/>
  <c r="DW77" i="9"/>
  <c r="DW76" i="9"/>
  <c r="DW65" i="9"/>
  <c r="CX174" i="10" s="1"/>
  <c r="DW29" i="9"/>
  <c r="CW36" i="10"/>
  <c r="CY1054" i="31" l="1"/>
  <c r="CY1043" i="31"/>
  <c r="CT1054" i="31"/>
  <c r="CY1065" i="31"/>
  <c r="CY1076" i="31"/>
  <c r="CO1031" i="31"/>
  <c r="CP1020" i="31"/>
  <c r="CT1065" i="31"/>
  <c r="CT1076" i="31"/>
  <c r="CK1322" i="31"/>
  <c r="CP1009" i="31"/>
  <c r="CT1043" i="31"/>
  <c r="CK1031" i="31"/>
  <c r="CR1295" i="31"/>
  <c r="CP1289" i="31"/>
  <c r="CP1295" i="31" s="1"/>
  <c r="CT998" i="31"/>
  <c r="CU992" i="31"/>
  <c r="CR1025" i="31"/>
  <c r="CR1031" i="31" s="1"/>
  <c r="DB1013" i="31"/>
  <c r="DB1014" i="31" s="1"/>
  <c r="CW1014" i="31"/>
  <c r="CZ1013" i="31"/>
  <c r="CZ1018" i="31" s="1"/>
  <c r="CY1020" i="31"/>
  <c r="DC1036" i="31"/>
  <c r="DC1037" i="31" s="1"/>
  <c r="CX1037" i="31"/>
  <c r="CX1043" i="31" s="1"/>
  <c r="CY970" i="31"/>
  <c r="CZ969" i="31"/>
  <c r="CZ974" i="31" s="1"/>
  <c r="CS1025" i="31"/>
  <c r="CS1031" i="31" s="1"/>
  <c r="CS1029" i="31"/>
  <c r="CS1030" i="31" s="1"/>
  <c r="CM1031" i="31"/>
  <c r="DB1069" i="31"/>
  <c r="DB1070" i="31" s="1"/>
  <c r="CW1070" i="31"/>
  <c r="CW1076" i="31" s="1"/>
  <c r="CU1024" i="31"/>
  <c r="CU1029" i="31" s="1"/>
  <c r="CW1024" i="31"/>
  <c r="CW1029" i="31" s="1"/>
  <c r="CW1030" i="31" s="1"/>
  <c r="DB1002" i="31"/>
  <c r="CW1003" i="31"/>
  <c r="CZ1002" i="31"/>
  <c r="CZ1007" i="31" s="1"/>
  <c r="DC1002" i="31"/>
  <c r="CX1024" i="31"/>
  <c r="CX1029" i="31" s="1"/>
  <c r="CX1030" i="31" s="1"/>
  <c r="CX1003" i="31"/>
  <c r="DC1069" i="31"/>
  <c r="DC1070" i="31" s="1"/>
  <c r="CX1070" i="31"/>
  <c r="CX1076" i="31" s="1"/>
  <c r="CY1024" i="31"/>
  <c r="CY1029" i="31" s="1"/>
  <c r="CY1030" i="31" s="1"/>
  <c r="CZ991" i="31"/>
  <c r="CY992" i="31"/>
  <c r="CP1025" i="31"/>
  <c r="CP1031" i="31" s="1"/>
  <c r="CW1059" i="31"/>
  <c r="DB1058" i="31"/>
  <c r="DB1059" i="31" s="1"/>
  <c r="CR1043" i="31"/>
  <c r="DC1058" i="31"/>
  <c r="DC1059" i="31" s="1"/>
  <c r="CX1059" i="31"/>
  <c r="CX1065" i="31" s="1"/>
  <c r="DB1047" i="31"/>
  <c r="DB1048" i="31" s="1"/>
  <c r="CW1048" i="31"/>
  <c r="CT1025" i="31"/>
  <c r="DC1013" i="31"/>
  <c r="DC1014" i="31" s="1"/>
  <c r="CX1014" i="31"/>
  <c r="CU996" i="31"/>
  <c r="DB1036" i="31"/>
  <c r="DB1037" i="31" s="1"/>
  <c r="CW1037" i="31"/>
  <c r="CW1043" i="31" s="1"/>
  <c r="DC1047" i="31"/>
  <c r="DC1048" i="31" s="1"/>
  <c r="CX1048" i="31"/>
  <c r="CT976" i="31"/>
  <c r="CU970" i="31"/>
  <c r="CR1322" i="31"/>
  <c r="CP1316" i="31"/>
  <c r="CP1322" i="31" s="1"/>
  <c r="CY1009" i="31"/>
  <c r="CR1054" i="31"/>
  <c r="CR1009" i="31"/>
  <c r="CU1003" i="31"/>
  <c r="CU1009" i="31" s="1"/>
  <c r="CR1020" i="31"/>
  <c r="CU1014" i="31"/>
  <c r="CR1065" i="31"/>
  <c r="CS1043" i="31"/>
  <c r="CU974" i="31"/>
  <c r="EH90" i="9"/>
  <c r="CZ62" i="31"/>
  <c r="EM89" i="9"/>
  <c r="CZ1495" i="31"/>
  <c r="CY64" i="31"/>
  <c r="CP62" i="31"/>
  <c r="CO53" i="31"/>
  <c r="CU62" i="31"/>
  <c r="CU58" i="31"/>
  <c r="CP1495" i="31"/>
  <c r="CU1495" i="31"/>
  <c r="CT64" i="31"/>
  <c r="CK64" i="31"/>
  <c r="CP58" i="31"/>
  <c r="CJ53" i="31"/>
  <c r="CJ78" i="31"/>
  <c r="CW41" i="10"/>
  <c r="CW169" i="10"/>
  <c r="DX80" i="9"/>
  <c r="DX70" i="9"/>
  <c r="DU81" i="9"/>
  <c r="DU72" i="9"/>
  <c r="CV176" i="10" s="1"/>
  <c r="DU45" i="9"/>
  <c r="DX125" i="9"/>
  <c r="DW39" i="9"/>
  <c r="DW79" i="9"/>
  <c r="DW68" i="9"/>
  <c r="CX175" i="10" s="1"/>
  <c r="DW38" i="9"/>
  <c r="CZ64" i="31" l="1"/>
  <c r="CU1020" i="31"/>
  <c r="CT1031" i="31"/>
  <c r="DB1054" i="31"/>
  <c r="DC1054" i="31"/>
  <c r="DC1043" i="31"/>
  <c r="CW1054" i="31"/>
  <c r="DB1076" i="31"/>
  <c r="CY998" i="31"/>
  <c r="CZ992" i="31"/>
  <c r="CZ998" i="31" s="1"/>
  <c r="CW1009" i="31"/>
  <c r="CZ1003" i="31"/>
  <c r="CZ1009" i="31" s="1"/>
  <c r="DC1020" i="31"/>
  <c r="CX1020" i="31"/>
  <c r="CX1054" i="31"/>
  <c r="CZ1024" i="31"/>
  <c r="CZ1029" i="31" s="1"/>
  <c r="CX1009" i="31"/>
  <c r="DB1024" i="31"/>
  <c r="DB1025" i="31" s="1"/>
  <c r="DB1003" i="31"/>
  <c r="DB1009" i="31" s="1"/>
  <c r="CY976" i="31"/>
  <c r="CZ970" i="31"/>
  <c r="CZ976" i="31" s="1"/>
  <c r="DB1065" i="31"/>
  <c r="CY1025" i="31"/>
  <c r="CY1031" i="31" s="1"/>
  <c r="CX1025" i="31"/>
  <c r="CW1025" i="31"/>
  <c r="CW1020" i="31"/>
  <c r="DB1020" i="31"/>
  <c r="CZ1014" i="31"/>
  <c r="CU976" i="31"/>
  <c r="DC1076" i="31"/>
  <c r="DC1024" i="31"/>
  <c r="DC1025" i="31" s="1"/>
  <c r="DC1003" i="31"/>
  <c r="DC1009" i="31" s="1"/>
  <c r="CZ996" i="31"/>
  <c r="DB1043" i="31"/>
  <c r="DC1065" i="31"/>
  <c r="CW1065" i="31"/>
  <c r="CU1025" i="31"/>
  <c r="CU1031" i="31" s="1"/>
  <c r="CU998" i="31"/>
  <c r="EM90" i="9"/>
  <c r="EF97" i="9"/>
  <c r="EF98" i="9" s="1"/>
  <c r="CU64" i="31"/>
  <c r="DW41" i="9"/>
  <c r="CV185" i="10"/>
  <c r="DX127" i="9"/>
  <c r="CP64" i="31"/>
  <c r="CN51" i="31"/>
  <c r="CN52" i="31" s="1"/>
  <c r="DW80" i="9"/>
  <c r="DW70" i="9"/>
  <c r="DW125" i="9"/>
  <c r="DW127" i="9" s="1"/>
  <c r="DW122" i="9"/>
  <c r="CX36" i="10"/>
  <c r="CZ1020" i="31" l="1"/>
  <c r="DB1031" i="31"/>
  <c r="DC1031" i="31"/>
  <c r="DC1029" i="31"/>
  <c r="DC1030" i="31" s="1"/>
  <c r="CX1031" i="31"/>
  <c r="DB1029" i="31"/>
  <c r="DB1030" i="31" s="1"/>
  <c r="CZ1025" i="31"/>
  <c r="CW1031" i="31"/>
  <c r="DX41" i="9"/>
  <c r="CN53" i="31"/>
  <c r="CX41" i="10"/>
  <c r="CX169" i="10"/>
  <c r="CZ1031" i="31" l="1"/>
  <c r="DX71" i="9"/>
  <c r="DT143" i="9" l="1"/>
  <c r="DT144" i="9" s="1"/>
  <c r="DR136" i="9" l="1"/>
  <c r="DR143" i="9" s="1"/>
  <c r="DR144" i="9" s="1"/>
  <c r="DS136" i="9" l="1"/>
  <c r="DS143" i="9" s="1"/>
  <c r="DS144" i="9" s="1"/>
  <c r="DS135" i="9" l="1"/>
  <c r="CU109" i="10" l="1"/>
  <c r="CU103" i="10" l="1"/>
  <c r="CU104" i="10" s="1"/>
  <c r="DT60" i="9"/>
  <c r="CU116" i="10"/>
  <c r="CU186" i="10" l="1"/>
  <c r="CU191" i="10" s="1"/>
  <c r="DT54" i="9"/>
  <c r="CU88" i="10"/>
  <c r="CU92" i="10" s="1"/>
  <c r="DT53" i="9"/>
  <c r="DT52" i="9"/>
  <c r="DT62" i="9"/>
  <c r="CW48" i="11"/>
  <c r="CV52" i="10" l="1"/>
  <c r="CV54" i="10" l="1"/>
  <c r="CW184" i="10"/>
  <c r="CV179" i="10"/>
  <c r="CV192" i="10"/>
  <c r="CV180" i="10"/>
  <c r="CV93" i="10"/>
  <c r="CV173" i="10"/>
  <c r="CV181" i="10" l="1"/>
  <c r="CV20" i="10"/>
  <c r="DU131" i="9"/>
  <c r="CV27" i="10" l="1"/>
  <c r="CV168" i="10"/>
  <c r="CV91" i="10"/>
  <c r="CV167" i="10"/>
  <c r="DU134" i="9"/>
  <c r="DU135" i="9" s="1"/>
  <c r="CV218" i="10" l="1"/>
  <c r="CV217" i="10"/>
  <c r="CV172" i="10"/>
  <c r="CV56" i="10"/>
  <c r="DU143" i="9"/>
  <c r="DU144" i="9" s="1"/>
  <c r="CU140" i="10" l="1"/>
  <c r="CU146" i="10" l="1"/>
  <c r="CU147" i="10" s="1"/>
  <c r="CU148" i="10" s="1"/>
  <c r="CU142" i="10"/>
  <c r="CW29" i="11" l="1"/>
  <c r="CU135" i="10"/>
  <c r="CU136" i="10" l="1"/>
  <c r="CW36" i="11"/>
  <c r="CW52" i="11" l="1"/>
  <c r="CW54" i="11" l="1"/>
  <c r="CX53" i="11" l="1"/>
  <c r="DX120" i="9" l="1"/>
  <c r="CU160" i="10"/>
  <c r="CU159" i="10" s="1"/>
  <c r="CU138" i="10" l="1"/>
  <c r="DT119" i="9" s="1"/>
  <c r="DT120" i="9"/>
  <c r="CU162" i="10"/>
  <c r="CY159" i="10"/>
  <c r="CY161" i="10" s="1"/>
  <c r="DD158" i="10" s="1"/>
  <c r="CV162" i="10" l="1"/>
  <c r="CU137" i="10"/>
  <c r="CU143" i="10"/>
  <c r="CY163" i="10"/>
  <c r="CZ158" i="10"/>
  <c r="CZ159" i="10" s="1"/>
  <c r="DD159" i="10" s="1"/>
  <c r="DT121" i="9"/>
  <c r="CU163" i="10"/>
  <c r="CW162" i="10" l="1"/>
  <c r="CV163" i="10"/>
  <c r="DD161" i="10"/>
  <c r="DI158" i="10" s="1"/>
  <c r="CX162" i="10" l="1"/>
  <c r="DE158" i="10"/>
  <c r="DE159" i="10" s="1"/>
  <c r="CW163" i="10"/>
  <c r="DD163" i="10"/>
  <c r="CX163" i="10" l="1"/>
  <c r="DI24" i="10" l="1"/>
  <c r="CG81" i="31" l="1"/>
  <c r="CG180" i="31" l="1"/>
  <c r="CL185" i="31" s="1"/>
  <c r="CL86" i="31"/>
  <c r="CG105" i="31"/>
  <c r="CL111" i="31" s="1"/>
  <c r="CG111" i="31" l="1"/>
  <c r="CG185" i="31"/>
  <c r="CG82" i="31"/>
  <c r="CG87" i="31" l="1"/>
  <c r="CG88" i="31" s="1"/>
  <c r="CL87" i="31"/>
  <c r="CL88" i="31" s="1"/>
  <c r="CL75" i="31"/>
  <c r="CL885" i="31"/>
  <c r="CL23" i="31" s="1"/>
  <c r="CG83" i="31"/>
  <c r="CG89" i="31" l="1"/>
  <c r="CL89" i="31"/>
  <c r="CL34" i="31"/>
  <c r="CK125" i="31"/>
  <c r="CK126" i="31"/>
  <c r="CP131" i="31" s="1"/>
  <c r="ED92" i="9" l="1"/>
  <c r="CP130" i="31"/>
  <c r="CK131" i="31"/>
  <c r="CK132" i="31" s="1"/>
  <c r="CK130" i="31"/>
  <c r="CG127" i="31"/>
  <c r="CL133" i="31" l="1"/>
  <c r="CG133" i="31"/>
  <c r="CK127" i="31"/>
  <c r="CP133" i="31" l="1"/>
  <c r="CK133" i="31"/>
  <c r="DI130" i="31" l="1"/>
  <c r="CG119" i="31"/>
  <c r="CG138" i="31"/>
  <c r="CL144" i="31" s="1"/>
  <c r="CG144" i="31" l="1"/>
  <c r="CG75" i="31"/>
  <c r="CG160" i="31" l="1"/>
  <c r="CL166" i="31" s="1"/>
  <c r="CG166" i="31" l="1"/>
  <c r="CK160" i="31"/>
  <c r="CP166" i="31" s="1"/>
  <c r="CK159" i="31"/>
  <c r="CP164" i="31" s="1"/>
  <c r="CK166" i="31" l="1"/>
  <c r="CK164" i="31"/>
  <c r="CK165" i="31" s="1"/>
  <c r="CG171" i="31" l="1"/>
  <c r="CL177" i="31" s="1"/>
  <c r="CG177" i="31" l="1"/>
  <c r="CG115" i="31"/>
  <c r="CL120" i="31" s="1"/>
  <c r="CL121" i="31" s="1"/>
  <c r="CK171" i="31"/>
  <c r="CP177" i="31" s="1"/>
  <c r="CK170" i="31"/>
  <c r="CP175" i="31" s="1"/>
  <c r="CG72" i="31" l="1"/>
  <c r="CG78" i="31" s="1"/>
  <c r="CG181" i="31"/>
  <c r="CL186" i="31" s="1"/>
  <c r="CL187" i="31" s="1"/>
  <c r="CG76" i="31"/>
  <c r="CG77" i="31" s="1"/>
  <c r="CG120" i="31"/>
  <c r="CG121" i="31" s="1"/>
  <c r="CG116" i="31"/>
  <c r="CL122" i="31" s="1"/>
  <c r="CK175" i="31"/>
  <c r="CK176" i="31" s="1"/>
  <c r="CK177" i="31"/>
  <c r="CG186" i="31" l="1"/>
  <c r="CG187" i="31" s="1"/>
  <c r="CG182" i="31"/>
  <c r="CL188" i="31" s="1"/>
  <c r="CG122" i="31"/>
  <c r="CL76" i="31" l="1"/>
  <c r="CL77" i="31" s="1"/>
  <c r="CL886" i="31"/>
  <c r="CL24" i="31" s="1"/>
  <c r="CL72" i="31"/>
  <c r="CG188" i="31"/>
  <c r="CL78" i="31" l="1"/>
  <c r="CQ78" i="31"/>
  <c r="CL35" i="31"/>
  <c r="ED93" i="9" s="1"/>
  <c r="ED94" i="9" s="1"/>
  <c r="CL887" i="31"/>
  <c r="CL25" i="31" s="1"/>
  <c r="CL36" i="31" l="1"/>
  <c r="CK252" i="31" l="1"/>
  <c r="CP257" i="31" l="1"/>
  <c r="CK253" i="31" l="1"/>
  <c r="CP258" i="31" s="1"/>
  <c r="CK254" i="31"/>
  <c r="CP260" i="31" s="1"/>
  <c r="CK260" i="31" l="1"/>
  <c r="CK258" i="31"/>
  <c r="CK259" i="31" s="1"/>
  <c r="CP211" i="31" l="1"/>
  <c r="CK212" i="31" l="1"/>
  <c r="CG196" i="31"/>
  <c r="CK203" i="31"/>
  <c r="CG205" i="31"/>
  <c r="CK205" i="31" l="1"/>
  <c r="CP210" i="31"/>
  <c r="CK210" i="31"/>
  <c r="CK209" i="31" s="1"/>
  <c r="CK207" i="31" s="1"/>
  <c r="CL213" i="31"/>
  <c r="CG213" i="31"/>
  <c r="CK191" i="31"/>
  <c r="CK215" i="31"/>
  <c r="CP213" i="31" l="1"/>
  <c r="CK196" i="31"/>
  <c r="CK213" i="31"/>
  <c r="CP215" i="31"/>
  <c r="CP191" i="31"/>
  <c r="CU196" i="31" s="1"/>
  <c r="CP196" i="31" l="1"/>
  <c r="CG232" i="31" l="1"/>
  <c r="CL238" i="31" l="1"/>
  <c r="CG238" i="31"/>
  <c r="CG197" i="31"/>
  <c r="CG198" i="31" s="1"/>
  <c r="CK232" i="31"/>
  <c r="CK231" i="31"/>
  <c r="CP236" i="31" s="1"/>
  <c r="CP238" i="31" l="1"/>
  <c r="CG193" i="31"/>
  <c r="CL199" i="31" s="1"/>
  <c r="CK192" i="31"/>
  <c r="CK236" i="31"/>
  <c r="CK237" i="31" s="1"/>
  <c r="CK238" i="31"/>
  <c r="CG199" i="31" l="1"/>
  <c r="CK197" i="31"/>
  <c r="CK198" i="31" s="1"/>
  <c r="CK193" i="31"/>
  <c r="CK199" i="31" s="1"/>
  <c r="CP192" i="31"/>
  <c r="CU197" i="31" s="1"/>
  <c r="CP193" i="31" l="1"/>
  <c r="CU199" i="31" s="1"/>
  <c r="CP197" i="31"/>
  <c r="CP199" i="31" l="1"/>
  <c r="CG467" i="31" l="1"/>
  <c r="CL473" i="31" s="1"/>
  <c r="CG473" i="31" l="1"/>
  <c r="CK467" i="31"/>
  <c r="CK470" i="31"/>
  <c r="CP470" i="31"/>
  <c r="CP471" i="31"/>
  <c r="CK471" i="31"/>
  <c r="CK472" i="31" s="1"/>
  <c r="CP467" i="31"/>
  <c r="CU473" i="31" l="1"/>
  <c r="CK473" i="31"/>
  <c r="CP473" i="31"/>
  <c r="CJ698" i="31" l="1"/>
  <c r="CJ699" i="31" s="1"/>
  <c r="CP736" i="31"/>
  <c r="CH886" i="31"/>
  <c r="CH24" i="31" s="1"/>
  <c r="CJ738" i="31"/>
  <c r="CI738" i="31"/>
  <c r="CJ886" i="31"/>
  <c r="CK737" i="31"/>
  <c r="CH738" i="31"/>
  <c r="CH698" i="31"/>
  <c r="CH699" i="31" s="1"/>
  <c r="CK736" i="31"/>
  <c r="CG738" i="31"/>
  <c r="CI698" i="31"/>
  <c r="CI699" i="31" s="1"/>
  <c r="CO891" i="31" l="1"/>
  <c r="CO892" i="31" s="1"/>
  <c r="CJ24" i="31"/>
  <c r="DW736" i="31"/>
  <c r="EB736" i="31" s="1"/>
  <c r="EG736" i="31" s="1"/>
  <c r="CO744" i="31"/>
  <c r="CU736" i="31"/>
  <c r="CJ744" i="31"/>
  <c r="CI744" i="31"/>
  <c r="CN744" i="31"/>
  <c r="CH744" i="31"/>
  <c r="CM744" i="31"/>
  <c r="CS697" i="31"/>
  <c r="CL744" i="31"/>
  <c r="CP741" i="31"/>
  <c r="CJ35" i="31"/>
  <c r="CP737" i="31"/>
  <c r="CP742" i="31" s="1"/>
  <c r="CG744" i="31"/>
  <c r="CK742" i="31"/>
  <c r="CK743" i="31" s="1"/>
  <c r="CJ891" i="31"/>
  <c r="CJ892" i="31" s="1"/>
  <c r="CI694" i="31"/>
  <c r="CN700" i="31" s="1"/>
  <c r="CI697" i="31"/>
  <c r="CK738" i="31"/>
  <c r="CJ697" i="31"/>
  <c r="CJ694" i="31"/>
  <c r="CJ34" i="31"/>
  <c r="CK741" i="31"/>
  <c r="CH694" i="31"/>
  <c r="CM700" i="31" s="1"/>
  <c r="CH697" i="31"/>
  <c r="CH885" i="31"/>
  <c r="CH23" i="31" s="1"/>
  <c r="CH891" i="31"/>
  <c r="CH892" i="31" s="1"/>
  <c r="CH35" i="31"/>
  <c r="CU741" i="31" l="1"/>
  <c r="CZ741" i="31"/>
  <c r="CO39" i="31"/>
  <c r="CJ700" i="31"/>
  <c r="CO700" i="31"/>
  <c r="EB93" i="9"/>
  <c r="CO40" i="31"/>
  <c r="CO41" i="31" s="1"/>
  <c r="CU737" i="31"/>
  <c r="CZ742" i="31" s="1"/>
  <c r="CO29" i="31"/>
  <c r="CO30" i="31" s="1"/>
  <c r="CI700" i="31"/>
  <c r="CJ40" i="31"/>
  <c r="CJ41" i="31" s="1"/>
  <c r="CP738" i="31"/>
  <c r="CJ29" i="31"/>
  <c r="CJ30" i="31" s="1"/>
  <c r="CH40" i="31"/>
  <c r="CH41" i="31" s="1"/>
  <c r="DZ93" i="9"/>
  <c r="CH890" i="31"/>
  <c r="CH34" i="31"/>
  <c r="CK744" i="31"/>
  <c r="CH887" i="31"/>
  <c r="CH25" i="31" s="1"/>
  <c r="CH700" i="31"/>
  <c r="CJ890" i="31"/>
  <c r="CJ887" i="31"/>
  <c r="CJ25" i="31" s="1"/>
  <c r="DH697" i="31" l="1"/>
  <c r="DM697" i="31"/>
  <c r="DH694" i="31"/>
  <c r="DH738" i="31"/>
  <c r="DC738" i="31"/>
  <c r="CO893" i="31"/>
  <c r="CO28" i="31"/>
  <c r="CP744" i="31"/>
  <c r="CU738" i="31"/>
  <c r="CZ744" i="31" s="1"/>
  <c r="CU742" i="31"/>
  <c r="CS698" i="31"/>
  <c r="CS699" i="31" s="1"/>
  <c r="CJ28" i="31"/>
  <c r="EB24" i="9"/>
  <c r="CJ39" i="31"/>
  <c r="EB92" i="9"/>
  <c r="EB94" i="9" s="1"/>
  <c r="CJ36" i="31"/>
  <c r="DZ92" i="9"/>
  <c r="DZ94" i="9" s="1"/>
  <c r="CH39" i="31"/>
  <c r="CH36" i="31"/>
  <c r="CJ893" i="31"/>
  <c r="CH893" i="31"/>
  <c r="CH28" i="31"/>
  <c r="DH698" i="31" l="1"/>
  <c r="DH699" i="31" s="1"/>
  <c r="DM738" i="31"/>
  <c r="DH744" i="31"/>
  <c r="DC694" i="31"/>
  <c r="EG75" i="9"/>
  <c r="DC744" i="31"/>
  <c r="CS700" i="31"/>
  <c r="CO42" i="31"/>
  <c r="CO31" i="31"/>
  <c r="CO20" i="31"/>
  <c r="CU744" i="31"/>
  <c r="DC83" i="10"/>
  <c r="CJ42" i="31"/>
  <c r="EB104" i="9"/>
  <c r="EB75" i="9"/>
  <c r="EB106" i="9"/>
  <c r="EB108" i="9"/>
  <c r="CJ31" i="31"/>
  <c r="EB107" i="9"/>
  <c r="EB110" i="9"/>
  <c r="EB111" i="9"/>
  <c r="EB112" i="9"/>
  <c r="EB103" i="9"/>
  <c r="CH42" i="31"/>
  <c r="EB102" i="9"/>
  <c r="DM694" i="31" l="1"/>
  <c r="DM744" i="31"/>
  <c r="DM698" i="31"/>
  <c r="DM699" i="31" s="1"/>
  <c r="DH700" i="31"/>
  <c r="DC700" i="31"/>
  <c r="EB114" i="9"/>
  <c r="EB115" i="9"/>
  <c r="DM700" i="31" l="1"/>
  <c r="EB116" i="9"/>
  <c r="DN741" i="31" l="1"/>
  <c r="DY736" i="31" l="1"/>
  <c r="CG697" i="31"/>
  <c r="CG885" i="31"/>
  <c r="CK692" i="31"/>
  <c r="CG766" i="31"/>
  <c r="CP763" i="31"/>
  <c r="ED736" i="31" l="1"/>
  <c r="EC736" i="31" s="1"/>
  <c r="CL890" i="31"/>
  <c r="CG23" i="31"/>
  <c r="DX736" i="31"/>
  <c r="CK764" i="31"/>
  <c r="CK765" i="31" s="1"/>
  <c r="CP764" i="31"/>
  <c r="CK697" i="31"/>
  <c r="CG698" i="31"/>
  <c r="CG699" i="31" s="1"/>
  <c r="CG886" i="31"/>
  <c r="CK693" i="31"/>
  <c r="CG34" i="31"/>
  <c r="CG890" i="31"/>
  <c r="CG694" i="31"/>
  <c r="CL700" i="31" s="1"/>
  <c r="CK763" i="31"/>
  <c r="CL891" i="31" l="1"/>
  <c r="CL892" i="31" s="1"/>
  <c r="CG24" i="31"/>
  <c r="EI736" i="31"/>
  <c r="DX741" i="31"/>
  <c r="CL39" i="31"/>
  <c r="CP766" i="31"/>
  <c r="CP693" i="31"/>
  <c r="CU698" i="31" s="1"/>
  <c r="CG700" i="31"/>
  <c r="CK694" i="31"/>
  <c r="CK698" i="31"/>
  <c r="CK699" i="31" s="1"/>
  <c r="CG39" i="31"/>
  <c r="DY92" i="9"/>
  <c r="CG891" i="31"/>
  <c r="CG892" i="31" s="1"/>
  <c r="CG35" i="31"/>
  <c r="CL40" i="31" s="1"/>
  <c r="CL41" i="31" s="1"/>
  <c r="CG887" i="31"/>
  <c r="CG25" i="31" s="1"/>
  <c r="CK766" i="31"/>
  <c r="CP692" i="31"/>
  <c r="EJ736" i="31" l="1"/>
  <c r="EK736" i="31" s="1"/>
  <c r="EL736" i="31" s="1"/>
  <c r="EM736" i="31" s="1"/>
  <c r="EH736" i="31"/>
  <c r="CU697" i="31"/>
  <c r="CL893" i="31"/>
  <c r="CP698" i="31"/>
  <c r="CG893" i="31"/>
  <c r="CG36" i="31"/>
  <c r="DY93" i="9"/>
  <c r="DY94" i="9" s="1"/>
  <c r="CG40" i="31"/>
  <c r="CG41" i="31" s="1"/>
  <c r="CK700" i="31"/>
  <c r="CP694" i="31"/>
  <c r="CP697" i="31"/>
  <c r="EH741" i="31" l="1"/>
  <c r="CU700" i="31"/>
  <c r="CL42" i="31"/>
  <c r="CG42" i="31"/>
  <c r="CP700" i="31"/>
  <c r="DE697" i="31" l="1"/>
  <c r="DJ697" i="31" l="1"/>
  <c r="CG28" i="31" l="1"/>
  <c r="CG50" i="31"/>
  <c r="CL20" i="31" l="1"/>
  <c r="CG51" i="31"/>
  <c r="CG52" i="31" s="1"/>
  <c r="CL51" i="31"/>
  <c r="CL52" i="31" s="1"/>
  <c r="CL29" i="31"/>
  <c r="CL30" i="31" s="1"/>
  <c r="CG53" i="31"/>
  <c r="CG31" i="31"/>
  <c r="DY97" i="9"/>
  <c r="DY24" i="9"/>
  <c r="CG29" i="31"/>
  <c r="CG30" i="31" s="1"/>
  <c r="DY96" i="9"/>
  <c r="EC96" i="9"/>
  <c r="ED75" i="9" l="1"/>
  <c r="DY67" i="9"/>
  <c r="DY65" i="9"/>
  <c r="DY29" i="9"/>
  <c r="DY66" i="9"/>
  <c r="DY98" i="9"/>
  <c r="DY75" i="9"/>
  <c r="CZ83" i="10"/>
  <c r="CZ84" i="10" s="1"/>
  <c r="DY103" i="9"/>
  <c r="DY112" i="9"/>
  <c r="DY104" i="9"/>
  <c r="DY111" i="9"/>
  <c r="DY102" i="9"/>
  <c r="DY110" i="9"/>
  <c r="DY107" i="9"/>
  <c r="DY106" i="9"/>
  <c r="CK50" i="31"/>
  <c r="DY108" i="9"/>
  <c r="DY68" i="9" l="1"/>
  <c r="ED79" i="9"/>
  <c r="CZ79" i="10"/>
  <c r="CZ77" i="10"/>
  <c r="CZ75" i="10"/>
  <c r="CZ73" i="10"/>
  <c r="CZ68" i="10"/>
  <c r="CZ66" i="10"/>
  <c r="CZ59" i="10"/>
  <c r="CZ78" i="10"/>
  <c r="CZ76" i="10"/>
  <c r="CZ74" i="10"/>
  <c r="CZ69" i="10"/>
  <c r="CZ67" i="10"/>
  <c r="CZ65" i="10"/>
  <c r="CZ216" i="10" s="1"/>
  <c r="CZ144" i="10"/>
  <c r="DY115" i="9"/>
  <c r="DY114" i="9"/>
  <c r="DY116" i="9" l="1"/>
  <c r="DB28" i="11" l="1"/>
  <c r="CZ174" i="10" l="1"/>
  <c r="DY76" i="9" l="1"/>
  <c r="CZ85" i="10"/>
  <c r="CZ86" i="10" l="1"/>
  <c r="CZ61" i="10" l="1"/>
  <c r="CZ60" i="10"/>
  <c r="CZ62" i="10" l="1"/>
  <c r="CZ97" i="10"/>
  <c r="DY77" i="9" l="1"/>
  <c r="DY78" i="9" l="1"/>
  <c r="DY79" i="9" l="1"/>
  <c r="DY39" i="9"/>
  <c r="DY38" i="9"/>
  <c r="CZ175" i="10"/>
  <c r="DY122" i="9" l="1"/>
  <c r="ED80" i="9"/>
  <c r="DY71" i="9"/>
  <c r="DY50" i="9" s="1"/>
  <c r="DY70" i="9"/>
  <c r="DY80" i="9"/>
  <c r="DY125" i="9"/>
  <c r="DY49" i="9" l="1"/>
  <c r="DY43" i="9"/>
  <c r="DY127" i="9"/>
  <c r="DY72" i="9" l="1"/>
  <c r="CZ176" i="10" s="1"/>
  <c r="ED81" i="9"/>
  <c r="DY45" i="9"/>
  <c r="DY81" i="9"/>
  <c r="DY57" i="9" l="1"/>
  <c r="CZ185" i="10"/>
  <c r="DY138" i="9" l="1"/>
  <c r="DY140" i="9" s="1"/>
  <c r="DZ138" i="9" l="1"/>
  <c r="CZ95" i="10"/>
  <c r="CZ36" i="10"/>
  <c r="DA95" i="10"/>
  <c r="EE138" i="9" l="1"/>
  <c r="ED138" i="9"/>
  <c r="EA138" i="9"/>
  <c r="EB140" i="9" s="1"/>
  <c r="CZ41" i="10"/>
  <c r="DD31" i="10"/>
  <c r="DB95" i="10"/>
  <c r="EE140" i="9" l="1"/>
  <c r="EE141" i="9" s="1"/>
  <c r="EA140" i="9"/>
  <c r="DD95" i="10"/>
  <c r="DD96" i="10" s="1"/>
  <c r="DD98" i="10" s="1"/>
  <c r="EC138" i="9"/>
  <c r="ED140" i="9" s="1"/>
  <c r="ED141" i="9" s="1"/>
  <c r="EF138" i="9" l="1"/>
  <c r="DI31" i="10"/>
  <c r="EC140" i="9"/>
  <c r="DZ140" i="9"/>
  <c r="DZ141" i="9" s="1"/>
  <c r="EH138" i="9" l="1"/>
  <c r="EH140" i="9" s="1"/>
  <c r="EH141" i="9" s="1"/>
  <c r="DI95" i="10"/>
  <c r="EF140" i="9"/>
  <c r="EG140" i="9"/>
  <c r="EG141" i="9" s="1"/>
  <c r="EM140" i="9" l="1"/>
  <c r="DD23" i="10" l="1"/>
  <c r="DI23" i="10" l="1"/>
  <c r="DD24" i="10" l="1"/>
  <c r="CH51" i="31" l="1"/>
  <c r="CH52" i="31" s="1"/>
  <c r="DZ97" i="9"/>
  <c r="DZ98" i="9" s="1"/>
  <c r="CH29" i="31"/>
  <c r="CH30" i="31" s="1"/>
  <c r="DZ24" i="9"/>
  <c r="CM20" i="31" l="1"/>
  <c r="DZ66" i="9"/>
  <c r="DZ67" i="9"/>
  <c r="DZ65" i="9"/>
  <c r="DA174" i="10" s="1"/>
  <c r="DZ75" i="9"/>
  <c r="DA83" i="10"/>
  <c r="DZ103" i="9"/>
  <c r="DZ112" i="9"/>
  <c r="DZ104" i="9"/>
  <c r="DZ102" i="9"/>
  <c r="DZ110" i="9"/>
  <c r="DZ106" i="9"/>
  <c r="CH31" i="31"/>
  <c r="DZ111" i="9"/>
  <c r="DZ107" i="9"/>
  <c r="CK51" i="31"/>
  <c r="CK52" i="31" s="1"/>
  <c r="EC97" i="9"/>
  <c r="CH53" i="31"/>
  <c r="DZ108" i="9"/>
  <c r="DZ114" i="9" l="1"/>
  <c r="CK53" i="31"/>
  <c r="DA84" i="10"/>
  <c r="DZ78" i="9"/>
  <c r="EC98" i="9"/>
  <c r="DZ115" i="9"/>
  <c r="DZ29" i="9"/>
  <c r="DZ68" i="9" s="1"/>
  <c r="DZ76" i="9"/>
  <c r="DA85" i="10"/>
  <c r="DZ77" i="9"/>
  <c r="EE97" i="9" l="1"/>
  <c r="CR51" i="31"/>
  <c r="CR52" i="31" s="1"/>
  <c r="EJ97" i="9"/>
  <c r="EJ98" i="9" s="1"/>
  <c r="DA73" i="10"/>
  <c r="DA75" i="10"/>
  <c r="DA77" i="10"/>
  <c r="DA66" i="10"/>
  <c r="DA68" i="10"/>
  <c r="DA70" i="10"/>
  <c r="DA74" i="10"/>
  <c r="DA76" i="10"/>
  <c r="DA78" i="10"/>
  <c r="DA67" i="10"/>
  <c r="DA69" i="10"/>
  <c r="DA59" i="10"/>
  <c r="CM51" i="31"/>
  <c r="CM52" i="31" s="1"/>
  <c r="DZ116" i="9"/>
  <c r="DA86" i="10"/>
  <c r="DZ79" i="9"/>
  <c r="DA175" i="10"/>
  <c r="DZ39" i="9"/>
  <c r="DZ38" i="9"/>
  <c r="CW20" i="31" l="1"/>
  <c r="EH97" i="9"/>
  <c r="EE98" i="9"/>
  <c r="CP51" i="31"/>
  <c r="EJ110" i="9"/>
  <c r="EJ111" i="9"/>
  <c r="EJ112" i="9"/>
  <c r="EJ102" i="9"/>
  <c r="EJ103" i="9"/>
  <c r="EJ104" i="9"/>
  <c r="EJ106" i="9"/>
  <c r="CR53" i="31"/>
  <c r="EJ108" i="9"/>
  <c r="EJ107" i="9"/>
  <c r="DZ122" i="9"/>
  <c r="DA60" i="10"/>
  <c r="DA61" i="10"/>
  <c r="DZ71" i="9"/>
  <c r="DZ50" i="9" s="1"/>
  <c r="DZ70" i="9"/>
  <c r="CM53" i="31"/>
  <c r="DZ80" i="9"/>
  <c r="DZ125" i="9"/>
  <c r="DZ127" i="9" s="1"/>
  <c r="EJ114" i="9" l="1"/>
  <c r="EJ115" i="9"/>
  <c r="DA62" i="10"/>
  <c r="DC28" i="11"/>
  <c r="DZ43" i="9"/>
  <c r="DZ49" i="9"/>
  <c r="DA79" i="10"/>
  <c r="DA36" i="10"/>
  <c r="DA97" i="10"/>
  <c r="EJ116" i="9" l="1"/>
  <c r="DZ72" i="9"/>
  <c r="DA176" i="10" s="1"/>
  <c r="DZ81" i="9"/>
  <c r="DZ45" i="9"/>
  <c r="DA41" i="10"/>
  <c r="DA185" i="10" l="1"/>
  <c r="DA215" i="10" l="1"/>
  <c r="DU57" i="9"/>
  <c r="DU56" i="9"/>
  <c r="DU55" i="9"/>
  <c r="DU82" i="9" s="1"/>
  <c r="DU83" i="9" s="1"/>
  <c r="CV109" i="10" l="1"/>
  <c r="CV112" i="10"/>
  <c r="DU60" i="9" l="1"/>
  <c r="CV103" i="10"/>
  <c r="CV104" i="10" s="1"/>
  <c r="CV116" i="10"/>
  <c r="CV186" i="10" l="1"/>
  <c r="CV191" i="10" s="1"/>
  <c r="DU54" i="9"/>
  <c r="CV88" i="10"/>
  <c r="CV92" i="10" s="1"/>
  <c r="DU53" i="9"/>
  <c r="DU52" i="9"/>
  <c r="DU62" i="9"/>
  <c r="CX48" i="11" l="1"/>
  <c r="CY48" i="11" l="1"/>
  <c r="CV140" i="10" l="1"/>
  <c r="CW140" i="10" l="1"/>
  <c r="CV146" i="10"/>
  <c r="CV142" i="10"/>
  <c r="CW142" i="10" l="1"/>
  <c r="CW146" i="10"/>
  <c r="CW143" i="10"/>
  <c r="CV147" i="10"/>
  <c r="CV148" i="10" s="1"/>
  <c r="CW147" i="10" l="1"/>
  <c r="CW148" i="10" s="1"/>
  <c r="CV138" i="10"/>
  <c r="DU119" i="9" s="1"/>
  <c r="DU121" i="9" l="1"/>
  <c r="CV143" i="10"/>
  <c r="CX36" i="11"/>
  <c r="CV135" i="10"/>
  <c r="CY135" i="10" s="1"/>
  <c r="CY136" i="10" s="1"/>
  <c r="CV136" i="10" l="1"/>
  <c r="CV137" i="10"/>
  <c r="CY137" i="10" s="1"/>
  <c r="CY139" i="10" s="1"/>
  <c r="CX52" i="11"/>
  <c r="CZ134" i="10" l="1"/>
  <c r="DD134" i="10"/>
  <c r="CY144" i="10"/>
  <c r="CY150" i="10"/>
  <c r="CX54" i="11"/>
  <c r="CY53" i="11" l="1"/>
  <c r="CY140" i="10" l="1"/>
  <c r="DX119" i="9"/>
  <c r="CY146" i="10" l="1"/>
  <c r="CY147" i="10" s="1"/>
  <c r="CY148" i="10" s="1"/>
  <c r="CY143" i="10"/>
  <c r="DW119" i="9"/>
  <c r="CY142" i="10"/>
  <c r="CZ146" i="10" l="1"/>
  <c r="CZ150" i="10"/>
  <c r="CZ149" i="10"/>
  <c r="CX142" i="10"/>
  <c r="DA149" i="10" l="1"/>
  <c r="CZ147" i="10"/>
  <c r="CZ148" i="10" l="1"/>
  <c r="CI82" i="31" l="1"/>
  <c r="CI181" i="31" s="1"/>
  <c r="CI81" i="31"/>
  <c r="CI180" i="31" s="1"/>
  <c r="CD180" i="31"/>
  <c r="CD105" i="31"/>
  <c r="CF103" i="31"/>
  <c r="CF108" i="31" s="1"/>
  <c r="CK104" i="31"/>
  <c r="CD181" i="31"/>
  <c r="CF104" i="31"/>
  <c r="CF109" i="31" s="1"/>
  <c r="CF110" i="31" s="1"/>
  <c r="CI105" i="31"/>
  <c r="CK103" i="31"/>
  <c r="CI83" i="31" l="1"/>
  <c r="CK83" i="31" s="1"/>
  <c r="CK105" i="31"/>
  <c r="CD111" i="31"/>
  <c r="CI111" i="31"/>
  <c r="CP103" i="31"/>
  <c r="CN105" i="31"/>
  <c r="CN111" i="31" s="1"/>
  <c r="CP104" i="31"/>
  <c r="CD185" i="31"/>
  <c r="CF180" i="31"/>
  <c r="CF185" i="31" s="1"/>
  <c r="CD186" i="31"/>
  <c r="CD187" i="31" s="1"/>
  <c r="CD182" i="31"/>
  <c r="CF181" i="31"/>
  <c r="CF186" i="31" s="1"/>
  <c r="CF187" i="31" s="1"/>
  <c r="CK81" i="31"/>
  <c r="CF82" i="31"/>
  <c r="CK109" i="31"/>
  <c r="CK110" i="31" s="1"/>
  <c r="CF105" i="31"/>
  <c r="CF111" i="31" s="1"/>
  <c r="CD87" i="31"/>
  <c r="CD88" i="31" s="1"/>
  <c r="CD83" i="31"/>
  <c r="CI87" i="31"/>
  <c r="CI88" i="31" s="1"/>
  <c r="CK108" i="31"/>
  <c r="CF81" i="31"/>
  <c r="CF86" i="31" s="1"/>
  <c r="CI86" i="31"/>
  <c r="CD86" i="31"/>
  <c r="CK82" i="31"/>
  <c r="CP108" i="31" l="1"/>
  <c r="CP109" i="31"/>
  <c r="CP105" i="31"/>
  <c r="CF83" i="31"/>
  <c r="CF89" i="31" s="1"/>
  <c r="CF87" i="31"/>
  <c r="CF88" i="31" s="1"/>
  <c r="CD188" i="31"/>
  <c r="CF182" i="31"/>
  <c r="CF188" i="31" s="1"/>
  <c r="CK86" i="31"/>
  <c r="CD89" i="31"/>
  <c r="CI89" i="31"/>
  <c r="CK111" i="31"/>
  <c r="CK87" i="31"/>
  <c r="CK88" i="31" s="1"/>
  <c r="CP111" i="31" l="1"/>
  <c r="CK70" i="31"/>
  <c r="CI75" i="31"/>
  <c r="CI885" i="31"/>
  <c r="CI23" i="31" s="1"/>
  <c r="CI76" i="31"/>
  <c r="CI77" i="31" s="1"/>
  <c r="CK71" i="31"/>
  <c r="CI72" i="31"/>
  <c r="CI886" i="31"/>
  <c r="CI24" i="31" s="1"/>
  <c r="CK89" i="31"/>
  <c r="CI34" i="31" l="1"/>
  <c r="CI890" i="31"/>
  <c r="CK75" i="31"/>
  <c r="CK885" i="31"/>
  <c r="CK23" i="31" s="1"/>
  <c r="CI891" i="31"/>
  <c r="CI892" i="31" s="1"/>
  <c r="CI35" i="31"/>
  <c r="CI887" i="31"/>
  <c r="CI25" i="31" s="1"/>
  <c r="CK76" i="31"/>
  <c r="CK77" i="31" s="1"/>
  <c r="CK886" i="31"/>
  <c r="CK24" i="31" s="1"/>
  <c r="CK72" i="31"/>
  <c r="CI78" i="31"/>
  <c r="CK890" i="31" l="1"/>
  <c r="CI28" i="31"/>
  <c r="EA92" i="9"/>
  <c r="CI39" i="31"/>
  <c r="CK34" i="31"/>
  <c r="CK887" i="31"/>
  <c r="CK25" i="31" s="1"/>
  <c r="CK891" i="31"/>
  <c r="CK892" i="31" s="1"/>
  <c r="CI893" i="31"/>
  <c r="CK78" i="31"/>
  <c r="CI29" i="31"/>
  <c r="CI30" i="31" s="1"/>
  <c r="CP21" i="31"/>
  <c r="CI40" i="31"/>
  <c r="CI41" i="31" s="1"/>
  <c r="CI36" i="31"/>
  <c r="EA93" i="9"/>
  <c r="CK35" i="31"/>
  <c r="CP362" i="31" l="1"/>
  <c r="CP1063" i="31"/>
  <c r="CP1058" i="31" s="1"/>
  <c r="CP1052" i="31"/>
  <c r="CP1047" i="31" s="1"/>
  <c r="CP1074" i="31"/>
  <c r="CP1069" i="31" s="1"/>
  <c r="CP1041" i="31"/>
  <c r="CP1036" i="31" s="1"/>
  <c r="CP1213" i="31"/>
  <c r="CP951" i="31"/>
  <c r="CP1169" i="31"/>
  <c r="CP963" i="31"/>
  <c r="CP1249" i="31"/>
  <c r="CP916" i="31"/>
  <c r="CP1086" i="31"/>
  <c r="CP1225" i="31"/>
  <c r="CP1098" i="31"/>
  <c r="CP1237" i="31"/>
  <c r="CP927" i="31"/>
  <c r="CP1201" i="31"/>
  <c r="CP1355" i="31"/>
  <c r="CP1332" i="31"/>
  <c r="CP939" i="31"/>
  <c r="CP905" i="31"/>
  <c r="CP1261" i="31"/>
  <c r="CP1019" i="31"/>
  <c r="CP1008" i="31"/>
  <c r="CP1283" i="31"/>
  <c r="CP1272" i="31"/>
  <c r="CP975" i="31"/>
  <c r="CP1294" i="31"/>
  <c r="CP1030" i="31"/>
  <c r="CP1310" i="31"/>
  <c r="CP997" i="31"/>
  <c r="CP1321" i="31"/>
  <c r="CP633" i="31"/>
  <c r="CN20" i="31"/>
  <c r="CP754" i="31"/>
  <c r="CP154" i="31"/>
  <c r="CP346" i="31"/>
  <c r="CP226" i="31"/>
  <c r="CP505" i="31"/>
  <c r="CP483" i="31"/>
  <c r="CP281" i="31"/>
  <c r="CP721" i="31"/>
  <c r="CP324" i="31"/>
  <c r="CP335" i="31"/>
  <c r="CP438" i="31"/>
  <c r="CP405" i="31"/>
  <c r="CP416" i="31"/>
  <c r="CP732" i="31"/>
  <c r="CP449" i="31"/>
  <c r="CP494" i="31"/>
  <c r="CP710" i="31"/>
  <c r="CP1483" i="31"/>
  <c r="CP1472" i="31"/>
  <c r="CP1428" i="31"/>
  <c r="CP1461" i="31"/>
  <c r="CP1450" i="31"/>
  <c r="CP394" i="31"/>
  <c r="CP313" i="31"/>
  <c r="CP1439" i="31"/>
  <c r="CP63" i="31"/>
  <c r="CP1494" i="31"/>
  <c r="CP302" i="31"/>
  <c r="CP132" i="31"/>
  <c r="CP165" i="31"/>
  <c r="CP176" i="31"/>
  <c r="CP259" i="31"/>
  <c r="CP212" i="31"/>
  <c r="CP209" i="31"/>
  <c r="CP237" i="31"/>
  <c r="CP198" i="31"/>
  <c r="CP472" i="31"/>
  <c r="CP743" i="31"/>
  <c r="CP765" i="31"/>
  <c r="CP699" i="31"/>
  <c r="CP52" i="31"/>
  <c r="CP110" i="31"/>
  <c r="EA94" i="9"/>
  <c r="EA24" i="9"/>
  <c r="CK39" i="31"/>
  <c r="EC92" i="9"/>
  <c r="CK28" i="31"/>
  <c r="CK5" i="31"/>
  <c r="EC93" i="9"/>
  <c r="CK40" i="31"/>
  <c r="CK41" i="31" s="1"/>
  <c r="EA104" i="9"/>
  <c r="CK36" i="31"/>
  <c r="CI42" i="31"/>
  <c r="CK29" i="31"/>
  <c r="CK30" i="31" s="1"/>
  <c r="CK893" i="31"/>
  <c r="EA103" i="9"/>
  <c r="EA107" i="9"/>
  <c r="EA112" i="9"/>
  <c r="EA110" i="9"/>
  <c r="CI31" i="31"/>
  <c r="EA108" i="9"/>
  <c r="EA106" i="9"/>
  <c r="EA111" i="9"/>
  <c r="EA102" i="9"/>
  <c r="CP1037" i="31" l="1"/>
  <c r="CP1070" i="31"/>
  <c r="CP1048" i="31"/>
  <c r="CP1059" i="31"/>
  <c r="CP20" i="31"/>
  <c r="EA75" i="9"/>
  <c r="EA65" i="9"/>
  <c r="DB174" i="10" s="1"/>
  <c r="EA67" i="9"/>
  <c r="EA66" i="9"/>
  <c r="EA76" i="9"/>
  <c r="DB83" i="10"/>
  <c r="EA115" i="9"/>
  <c r="EA114" i="9"/>
  <c r="CK42" i="31"/>
  <c r="EC104" i="9"/>
  <c r="EC94" i="9"/>
  <c r="EC112" i="9"/>
  <c r="EC108" i="9"/>
  <c r="EC111" i="9"/>
  <c r="EC103" i="9"/>
  <c r="CK31" i="31"/>
  <c r="EC107" i="9"/>
  <c r="EC106" i="9"/>
  <c r="EC110" i="9"/>
  <c r="EC102" i="9"/>
  <c r="EA29" i="9"/>
  <c r="EA77" i="9"/>
  <c r="EC24" i="9"/>
  <c r="CP1065" i="31" l="1"/>
  <c r="CP1054" i="31"/>
  <c r="CP1076" i="31"/>
  <c r="CP1043" i="31"/>
  <c r="EH75" i="9"/>
  <c r="DB84" i="10"/>
  <c r="DB136" i="10" s="1"/>
  <c r="DC84" i="10"/>
  <c r="DC68" i="10" s="1"/>
  <c r="DE84" i="10"/>
  <c r="DD83" i="10"/>
  <c r="DD84" i="10" s="1"/>
  <c r="DD65" i="10" s="1"/>
  <c r="DD216" i="10" s="1"/>
  <c r="EC67" i="9"/>
  <c r="EC66" i="9"/>
  <c r="EC65" i="9"/>
  <c r="EA116" i="9"/>
  <c r="DB85" i="10"/>
  <c r="DF86" i="10" s="1"/>
  <c r="EA78" i="9"/>
  <c r="EC114" i="9"/>
  <c r="EC75" i="9"/>
  <c r="EC2" i="9"/>
  <c r="EC4" i="9" s="1"/>
  <c r="EA39" i="9"/>
  <c r="EA79" i="9"/>
  <c r="EA68" i="9"/>
  <c r="DB175" i="10" s="1"/>
  <c r="EA38" i="9"/>
  <c r="EC115" i="9"/>
  <c r="DD26" i="10"/>
  <c r="DD34" i="10"/>
  <c r="DD40" i="10"/>
  <c r="DD19" i="10"/>
  <c r="DB68" i="10" l="1"/>
  <c r="DD66" i="10"/>
  <c r="DB67" i="10"/>
  <c r="DB144" i="10"/>
  <c r="DB77" i="10"/>
  <c r="DB78" i="10"/>
  <c r="DD73" i="10"/>
  <c r="DB73" i="10"/>
  <c r="DB74" i="10"/>
  <c r="DC75" i="10"/>
  <c r="DC79" i="10"/>
  <c r="DC67" i="10"/>
  <c r="DC66" i="10"/>
  <c r="DC74" i="10"/>
  <c r="DF61" i="10"/>
  <c r="DF60" i="10"/>
  <c r="DC78" i="10"/>
  <c r="DD76" i="10"/>
  <c r="DD67" i="10"/>
  <c r="DB79" i="10"/>
  <c r="DB75" i="10"/>
  <c r="DB69" i="10"/>
  <c r="DB65" i="10"/>
  <c r="DB216" i="10" s="1"/>
  <c r="DB59" i="10"/>
  <c r="DB76" i="10"/>
  <c r="DB70" i="10"/>
  <c r="DB66" i="10"/>
  <c r="DC73" i="10"/>
  <c r="DC77" i="10"/>
  <c r="DC65" i="10"/>
  <c r="DC216" i="10" s="1"/>
  <c r="DC69" i="10"/>
  <c r="DC76" i="10"/>
  <c r="DC144" i="10"/>
  <c r="DC59" i="10"/>
  <c r="DE86" i="10"/>
  <c r="DE60" i="10" s="1"/>
  <c r="DE79" i="10"/>
  <c r="DE75" i="10"/>
  <c r="DE69" i="10"/>
  <c r="DE65" i="10"/>
  <c r="DE216" i="10" s="1"/>
  <c r="DE78" i="10"/>
  <c r="DE74" i="10"/>
  <c r="DE68" i="10"/>
  <c r="DE73" i="10"/>
  <c r="DE59" i="10"/>
  <c r="DE76" i="10"/>
  <c r="DE66" i="10"/>
  <c r="DE136" i="10"/>
  <c r="DE77" i="10"/>
  <c r="DE67" i="10"/>
  <c r="DE70" i="10"/>
  <c r="DE144" i="10"/>
  <c r="EA71" i="9"/>
  <c r="EA50" i="9" s="1"/>
  <c r="EA122" i="9"/>
  <c r="DB86" i="10"/>
  <c r="DB61" i="10" s="1"/>
  <c r="DC86" i="10"/>
  <c r="DD174" i="10"/>
  <c r="DD39" i="10"/>
  <c r="DD75" i="10" s="1"/>
  <c r="DD18" i="10"/>
  <c r="DD25" i="10"/>
  <c r="DD16" i="10"/>
  <c r="EA80" i="9"/>
  <c r="EA125" i="9"/>
  <c r="EA127" i="9" s="1"/>
  <c r="EA70" i="9"/>
  <c r="EC77" i="9"/>
  <c r="EC78" i="9"/>
  <c r="DB97" i="10"/>
  <c r="DD38" i="10"/>
  <c r="DD33" i="10"/>
  <c r="DD78" i="10" s="1"/>
  <c r="DD35" i="10"/>
  <c r="EC29" i="9"/>
  <c r="EC76" i="9"/>
  <c r="EC116" i="9"/>
  <c r="DB36" i="10"/>
  <c r="DE61" i="10" l="1"/>
  <c r="DE62" i="10" s="1"/>
  <c r="EC68" i="9"/>
  <c r="DD175" i="10" s="1"/>
  <c r="EH79" i="9"/>
  <c r="DD69" i="10"/>
  <c r="DD77" i="10"/>
  <c r="DD74" i="10"/>
  <c r="DD68" i="10"/>
  <c r="DB60" i="10"/>
  <c r="DB62" i="10" s="1"/>
  <c r="DC60" i="10"/>
  <c r="DC61" i="10"/>
  <c r="DD59" i="10"/>
  <c r="EA43" i="9"/>
  <c r="EA49" i="9"/>
  <c r="DB41" i="10"/>
  <c r="DD36" i="11"/>
  <c r="EB76" i="9"/>
  <c r="EB65" i="9"/>
  <c r="DC174" i="10" s="1"/>
  <c r="EB29" i="9"/>
  <c r="EG79" i="9" s="1"/>
  <c r="EC79" i="9"/>
  <c r="EC38" i="9"/>
  <c r="EC39" i="9"/>
  <c r="DD28" i="11"/>
  <c r="EB78" i="9"/>
  <c r="EB67" i="9"/>
  <c r="EB77" i="9"/>
  <c r="EB66" i="9"/>
  <c r="EH80" i="9" l="1"/>
  <c r="DE28" i="11"/>
  <c r="EA121" i="9"/>
  <c r="DC62" i="10"/>
  <c r="EC70" i="9"/>
  <c r="EA72" i="9"/>
  <c r="DB176" i="10" s="1"/>
  <c r="EA45" i="9"/>
  <c r="EB39" i="9"/>
  <c r="EB38" i="9"/>
  <c r="EB79" i="9"/>
  <c r="EB68" i="9"/>
  <c r="DC175" i="10" s="1"/>
  <c r="EC125" i="9"/>
  <c r="EC80" i="9"/>
  <c r="EC122" i="9"/>
  <c r="EG80" i="9" l="1"/>
  <c r="DE29" i="11"/>
  <c r="EB41" i="9"/>
  <c r="EB122" i="9"/>
  <c r="EC127" i="9"/>
  <c r="DB185" i="10"/>
  <c r="EB80" i="9"/>
  <c r="EB125" i="9"/>
  <c r="EB70" i="9"/>
  <c r="DD29" i="11"/>
  <c r="DE52" i="11" l="1"/>
  <c r="EC41" i="9"/>
  <c r="DC36" i="10"/>
  <c r="DD17" i="10"/>
  <c r="DD32" i="10"/>
  <c r="EB43" i="9"/>
  <c r="EB49" i="9"/>
  <c r="EB127" i="9"/>
  <c r="EB71" i="9"/>
  <c r="EB50" i="9" s="1"/>
  <c r="EG81" i="9" l="1"/>
  <c r="EC71" i="9"/>
  <c r="EC49" i="9"/>
  <c r="EC43" i="9"/>
  <c r="DD60" i="10"/>
  <c r="DD97" i="10"/>
  <c r="DD79" i="10"/>
  <c r="DD61" i="10"/>
  <c r="DC41" i="10"/>
  <c r="DC169" i="10"/>
  <c r="DD36" i="10"/>
  <c r="EC50" i="9"/>
  <c r="EB45" i="9"/>
  <c r="EB72" i="9"/>
  <c r="DC176" i="10" s="1"/>
  <c r="EH81" i="9" l="1"/>
  <c r="EH84" i="9" s="1"/>
  <c r="EC5" i="9"/>
  <c r="EC45" i="9"/>
  <c r="EC72" i="9"/>
  <c r="DD176" i="10" s="1"/>
  <c r="DC185" i="10"/>
  <c r="DD169" i="10"/>
  <c r="DD62" i="10"/>
  <c r="DD41" i="10"/>
  <c r="DD185" i="10" l="1"/>
  <c r="DV49" i="9" l="1"/>
  <c r="DV71" i="9"/>
  <c r="DV50" i="9" s="1"/>
  <c r="DV43" i="9"/>
  <c r="DV45" i="9" l="1"/>
  <c r="DV81" i="9"/>
  <c r="DV121" i="9"/>
  <c r="DV56" i="9"/>
  <c r="CW52" i="10"/>
  <c r="EA81" i="9"/>
  <c r="DV72" i="9"/>
  <c r="CW176" i="10" s="1"/>
  <c r="DV55" i="9"/>
  <c r="DV82" i="9" s="1"/>
  <c r="DV83" i="9" l="1"/>
  <c r="CX184" i="10"/>
  <c r="CW179" i="10"/>
  <c r="CW192" i="10"/>
  <c r="CW180" i="10"/>
  <c r="CW93" i="10"/>
  <c r="CW173" i="10"/>
  <c r="DV57" i="9"/>
  <c r="CW185" i="10"/>
  <c r="CW54" i="10"/>
  <c r="CY29" i="11"/>
  <c r="CW181" i="10" l="1"/>
  <c r="CY52" i="11"/>
  <c r="DV131" i="9" l="1"/>
  <c r="DV134" i="9" s="1"/>
  <c r="DV135" i="9" s="1"/>
  <c r="CY54" i="11"/>
  <c r="CZ53" i="11" s="1"/>
  <c r="CW20" i="10" l="1"/>
  <c r="CW27" i="10" l="1"/>
  <c r="CW168" i="10"/>
  <c r="CW91" i="10"/>
  <c r="CW167" i="10"/>
  <c r="CW217" i="10" l="1"/>
  <c r="CW218" i="10"/>
  <c r="CW172" i="10"/>
  <c r="CW56" i="10"/>
  <c r="DV143" i="9"/>
  <c r="DV144" i="9" l="1"/>
  <c r="CW109" i="10"/>
  <c r="DA108" i="10" l="1"/>
  <c r="DA109" i="10" s="1"/>
  <c r="CZ123" i="10" l="1"/>
  <c r="CZ124" i="10" s="1"/>
  <c r="DD123" i="10"/>
  <c r="DA112" i="10"/>
  <c r="DB108" i="10"/>
  <c r="DB109" i="10" s="1"/>
  <c r="DA123" i="10" l="1"/>
  <c r="DB112" i="10"/>
  <c r="DB123" i="10" l="1"/>
  <c r="DB124" i="10" s="1"/>
  <c r="DA124" i="10"/>
  <c r="CZ190" i="10"/>
  <c r="CZ188" i="10"/>
  <c r="DA188" i="10" l="1"/>
  <c r="DA190" i="10"/>
  <c r="DD124" i="10"/>
  <c r="DD125" i="10" l="1"/>
  <c r="DI123" i="10" s="1"/>
  <c r="DB188" i="10"/>
  <c r="DB190" i="10"/>
  <c r="DD51" i="10"/>
  <c r="DE123" i="10" l="1"/>
  <c r="DE124" i="10" s="1"/>
  <c r="DE190" i="10"/>
  <c r="DE188" i="10"/>
  <c r="DD190" i="10"/>
  <c r="DD188" i="10"/>
  <c r="DV60" i="9" l="1"/>
  <c r="CW103" i="10"/>
  <c r="CW104" i="10" s="1"/>
  <c r="CW116" i="10"/>
  <c r="CW186" i="10" l="1"/>
  <c r="CW191" i="10" s="1"/>
  <c r="CW88" i="10"/>
  <c r="CW92" i="10" s="1"/>
  <c r="DV53" i="9"/>
  <c r="DV54" i="9"/>
  <c r="DV52" i="9"/>
  <c r="DV62" i="9"/>
  <c r="DW43" i="9" l="1"/>
  <c r="DW49" i="9"/>
  <c r="DX49" i="9" s="1"/>
  <c r="DW71" i="9"/>
  <c r="DW50" i="9" s="1"/>
  <c r="DX43" i="9" l="1"/>
  <c r="DX50" i="9"/>
  <c r="EB81" i="9"/>
  <c r="DW45" i="9"/>
  <c r="DW121" i="9"/>
  <c r="DW81" i="9"/>
  <c r="DW72" i="9"/>
  <c r="CX176" i="10" s="1"/>
  <c r="DX72" i="9" l="1"/>
  <c r="CY176" i="10" s="1"/>
  <c r="DX121" i="9"/>
  <c r="DX81" i="9"/>
  <c r="CY173" i="10"/>
  <c r="EC81" i="9"/>
  <c r="DX5" i="9"/>
  <c r="DX45" i="9"/>
  <c r="CX185" i="10"/>
  <c r="CY185" i="10" l="1"/>
  <c r="CX52" i="10"/>
  <c r="CX192" i="10" l="1"/>
  <c r="CX93" i="10"/>
  <c r="CX180" i="10"/>
  <c r="CX179" i="10"/>
  <c r="CX173" i="10"/>
  <c r="CX54" i="10"/>
  <c r="CX181" i="10" l="1"/>
  <c r="CZ184" i="10"/>
  <c r="CY218" i="10" l="1"/>
  <c r="CY217" i="10"/>
  <c r="CY172" i="10"/>
  <c r="CY56" i="10"/>
  <c r="CX20" i="10" l="1"/>
  <c r="DX131" i="9"/>
  <c r="DX134" i="9" s="1"/>
  <c r="DW131" i="9"/>
  <c r="DW134" i="9" s="1"/>
  <c r="DW135" i="9" s="1"/>
  <c r="CX27" i="10" l="1"/>
  <c r="CX168" i="10"/>
  <c r="CX167" i="10"/>
  <c r="CX91" i="10"/>
  <c r="CX218" i="10" l="1"/>
  <c r="CX217" i="10"/>
  <c r="CX172" i="10"/>
  <c r="CX56" i="10"/>
  <c r="DW56" i="9" l="1"/>
  <c r="DW57" i="9"/>
  <c r="DW55" i="9"/>
  <c r="DX61" i="9"/>
  <c r="DI215" i="10" l="1"/>
  <c r="DE215" i="10"/>
  <c r="CY87" i="10"/>
  <c r="DX7" i="9"/>
  <c r="DX55" i="9"/>
  <c r="DW82" i="9"/>
  <c r="DW83" i="9" s="1"/>
  <c r="DX56" i="9"/>
  <c r="DX57" i="9"/>
  <c r="DX82" i="9" l="1"/>
  <c r="DX83" i="9" s="1"/>
  <c r="DX8" i="9"/>
  <c r="DW144" i="9" l="1"/>
  <c r="DX144" i="9"/>
  <c r="DW141" i="9"/>
  <c r="DX136" i="9"/>
  <c r="DX135" i="9" s="1"/>
  <c r="DX142" i="9" l="1"/>
  <c r="DX141" i="9" s="1"/>
  <c r="DA29" i="11" l="1"/>
  <c r="CZ28" i="11"/>
  <c r="CZ29" i="11" l="1"/>
  <c r="CZ47" i="11" l="1"/>
  <c r="DA48" i="11"/>
  <c r="DA52" i="11" l="1"/>
  <c r="CZ48" i="11"/>
  <c r="CZ50" i="11" l="1"/>
  <c r="DA54" i="11" l="1"/>
  <c r="DF53" i="11" s="1"/>
  <c r="CZ52" i="11"/>
  <c r="CZ54" i="11" l="1"/>
  <c r="DB53" i="11"/>
  <c r="CX103" i="10" l="1"/>
  <c r="DW60" i="9"/>
  <c r="CX116" i="10"/>
  <c r="CY116" i="10" s="1"/>
  <c r="CY118" i="10" s="1"/>
  <c r="CZ115" i="10" l="1"/>
  <c r="DD115" i="10"/>
  <c r="DW53" i="9"/>
  <c r="DW62" i="9"/>
  <c r="DW52" i="9"/>
  <c r="DW54" i="9"/>
  <c r="CX88" i="10"/>
  <c r="CX92" i="10" s="1"/>
  <c r="DX60" i="9"/>
  <c r="CY103" i="10"/>
  <c r="CY104" i="10" s="1"/>
  <c r="CY186" i="10" l="1"/>
  <c r="CY191" i="10" s="1"/>
  <c r="CX104" i="10"/>
  <c r="DX62" i="9"/>
  <c r="DX54" i="9"/>
  <c r="DX53" i="9"/>
  <c r="CY88" i="10"/>
  <c r="CY92" i="10" s="1"/>
  <c r="DX52" i="9"/>
  <c r="CX186" i="10" l="1"/>
  <c r="CX191" i="10" s="1"/>
  <c r="CZ87" i="10" l="1"/>
  <c r="DY56" i="9"/>
  <c r="DY55" i="9"/>
  <c r="CZ52" i="10"/>
  <c r="CZ54" i="10" l="1"/>
  <c r="DY82" i="9"/>
  <c r="DY83" i="9" s="1"/>
  <c r="ED82" i="9"/>
  <c r="ED83" i="9" s="1"/>
  <c r="CZ180" i="10"/>
  <c r="DA184" i="10"/>
  <c r="CZ192" i="10"/>
  <c r="CZ179" i="10"/>
  <c r="CZ173" i="10"/>
  <c r="CZ27" i="10" l="1"/>
  <c r="CZ93" i="10"/>
  <c r="CZ181" i="10"/>
  <c r="DY131" i="9" l="1"/>
  <c r="CZ96" i="10" l="1"/>
  <c r="CZ98" i="10" s="1"/>
  <c r="CZ169" i="10"/>
  <c r="CZ20" i="10"/>
  <c r="CZ167" i="10" l="1"/>
  <c r="CZ91" i="10"/>
  <c r="CZ168" i="10"/>
  <c r="CG456" i="31" l="1"/>
  <c r="CG459" i="31"/>
  <c r="CG460" i="31"/>
  <c r="CG461" i="31" s="1"/>
  <c r="CG462" i="31" l="1"/>
  <c r="DY141" i="9" l="1"/>
  <c r="CZ103" i="10" l="1"/>
  <c r="CZ104" i="10" s="1"/>
  <c r="CZ116" i="10"/>
  <c r="CZ120" i="10"/>
  <c r="DY60" i="9" s="1"/>
  <c r="DB48" i="11"/>
  <c r="DY52" i="9" l="1"/>
  <c r="CZ186" i="10"/>
  <c r="CZ191" i="10" s="1"/>
  <c r="DY53" i="9"/>
  <c r="DY54" i="9"/>
  <c r="DY62" i="9"/>
  <c r="CZ88" i="10"/>
  <c r="CZ92" i="10" s="1"/>
  <c r="DC48" i="11" l="1"/>
  <c r="DA87" i="10" l="1"/>
  <c r="DZ55" i="9"/>
  <c r="DZ56" i="9"/>
  <c r="DZ57" i="9"/>
  <c r="DZ82" i="9" l="1"/>
  <c r="DZ83" i="9" s="1"/>
  <c r="DA20" i="10" l="1"/>
  <c r="DA96" i="10"/>
  <c r="DA98" i="10" s="1"/>
  <c r="DA169" i="10"/>
  <c r="DA220" i="10"/>
  <c r="DA65" i="10"/>
  <c r="DA216" i="10" s="1"/>
  <c r="DA91" i="10" l="1"/>
  <c r="DA167" i="10"/>
  <c r="DA168" i="10"/>
  <c r="CZ138" i="10" l="1"/>
  <c r="DB29" i="11"/>
  <c r="CZ135" i="10"/>
  <c r="CZ143" i="10" l="1"/>
  <c r="DY119" i="9"/>
  <c r="CZ137" i="10"/>
  <c r="CZ136" i="10"/>
  <c r="DY121" i="9" l="1"/>
  <c r="DB36" i="11"/>
  <c r="DB52" i="11" s="1"/>
  <c r="DB54" i="11" s="1"/>
  <c r="DC53" i="11" l="1"/>
  <c r="DY133" i="9" l="1"/>
  <c r="CZ70" i="10"/>
  <c r="CZ202" i="10"/>
  <c r="DA200" i="10" s="1"/>
  <c r="DA201" i="10" s="1"/>
  <c r="CZ217" i="10" l="1"/>
  <c r="CZ201" i="10"/>
  <c r="DY134" i="9"/>
  <c r="DY135" i="9" s="1"/>
  <c r="CZ56" i="10"/>
  <c r="CZ218" i="10"/>
  <c r="CZ172" i="10"/>
  <c r="CK455" i="31" l="1"/>
  <c r="CK460" i="31" s="1"/>
  <c r="CK461" i="31" s="1"/>
  <c r="CH456" i="31"/>
  <c r="CK454" i="31"/>
  <c r="CH460" i="31"/>
  <c r="CH461" i="31" s="1"/>
  <c r="CH459" i="31"/>
  <c r="CH462" i="31" l="1"/>
  <c r="CM462" i="31"/>
  <c r="CK459" i="31"/>
  <c r="CK456" i="31"/>
  <c r="CM886" i="31" l="1"/>
  <c r="CM885" i="31"/>
  <c r="CK462" i="31"/>
  <c r="CR890" i="31" l="1"/>
  <c r="CM23" i="31"/>
  <c r="CR891" i="31"/>
  <c r="CR892" i="31" s="1"/>
  <c r="CM24" i="31"/>
  <c r="CM34" i="31"/>
  <c r="CM890" i="31"/>
  <c r="CM891" i="31"/>
  <c r="CM892" i="31" s="1"/>
  <c r="CM35" i="31"/>
  <c r="CM887" i="31"/>
  <c r="CM25" i="31" s="1"/>
  <c r="CR28" i="31" l="1"/>
  <c r="CR29" i="31"/>
  <c r="CR30" i="31" s="1"/>
  <c r="EE93" i="9"/>
  <c r="CR40" i="31"/>
  <c r="CR41" i="31" s="1"/>
  <c r="CR893" i="31"/>
  <c r="EE92" i="9"/>
  <c r="CR39" i="31"/>
  <c r="CM39" i="31"/>
  <c r="CM893" i="31"/>
  <c r="CM29" i="31"/>
  <c r="CM30" i="31" s="1"/>
  <c r="CM28" i="31"/>
  <c r="CM40" i="31"/>
  <c r="CM41" i="31" s="1"/>
  <c r="CM36" i="31"/>
  <c r="CR20" i="31" l="1"/>
  <c r="EE94" i="9"/>
  <c r="CR31" i="31"/>
  <c r="CR42" i="31"/>
  <c r="EE107" i="9"/>
  <c r="EE104" i="9"/>
  <c r="EE102" i="9"/>
  <c r="EE111" i="9"/>
  <c r="EE108" i="9"/>
  <c r="EE106" i="9"/>
  <c r="EE103" i="9"/>
  <c r="EE110" i="9"/>
  <c r="EE112" i="9"/>
  <c r="EE24" i="9"/>
  <c r="CM42" i="31"/>
  <c r="CM31" i="31"/>
  <c r="EJ75" i="9" l="1"/>
  <c r="DF83" i="10"/>
  <c r="EE67" i="9"/>
  <c r="EE65" i="9"/>
  <c r="DF174" i="10" s="1"/>
  <c r="EE75" i="9"/>
  <c r="EE66" i="9"/>
  <c r="EE114" i="9"/>
  <c r="EE115" i="9"/>
  <c r="DF84" i="10" l="1"/>
  <c r="EE116" i="9"/>
  <c r="EE29" i="9"/>
  <c r="EJ79" i="9" s="1"/>
  <c r="DF144" i="10" l="1"/>
  <c r="DF77" i="10"/>
  <c r="DF73" i="10"/>
  <c r="DF67" i="10"/>
  <c r="DF59" i="10"/>
  <c r="DF62" i="10" s="1"/>
  <c r="DF79" i="10"/>
  <c r="DF75" i="10"/>
  <c r="DF69" i="10"/>
  <c r="DF65" i="10"/>
  <c r="DF216" i="10" s="1"/>
  <c r="DF68" i="10"/>
  <c r="DF74" i="10"/>
  <c r="DF78" i="10"/>
  <c r="DF66" i="10"/>
  <c r="DF70" i="10"/>
  <c r="DF76" i="10"/>
  <c r="EE79" i="9"/>
  <c r="EE68" i="9"/>
  <c r="DF175" i="10" s="1"/>
  <c r="DZ143" i="9" l="1"/>
  <c r="DZ144" i="9" s="1"/>
  <c r="DC36" i="11" l="1"/>
  <c r="DA135" i="10"/>
  <c r="DA136" i="10" l="1"/>
  <c r="DA138" i="10" l="1"/>
  <c r="DC29" i="11"/>
  <c r="DZ119" i="9" l="1"/>
  <c r="DC52" i="11"/>
  <c r="DZ121" i="9" l="1"/>
  <c r="DC54" i="11"/>
  <c r="DD53" i="11" l="1"/>
  <c r="DA139" i="10" l="1"/>
  <c r="DA144" i="10" l="1"/>
  <c r="DB134" i="10"/>
  <c r="DB137" i="10" s="1"/>
  <c r="DA137" i="10"/>
  <c r="DA150" i="10"/>
  <c r="DA140" i="10"/>
  <c r="DA143" i="10" l="1"/>
  <c r="DA142" i="10"/>
  <c r="DA146" i="10"/>
  <c r="DA147" i="10" s="1"/>
  <c r="DA148" i="10" l="1"/>
  <c r="DD22" i="10" l="1"/>
  <c r="DA52" i="10" l="1"/>
  <c r="DA103" i="10"/>
  <c r="DA104" i="10" s="1"/>
  <c r="DA120" i="10"/>
  <c r="DZ60" i="9" s="1"/>
  <c r="DA116" i="10"/>
  <c r="DA192" i="10" l="1"/>
  <c r="DA54" i="10"/>
  <c r="DA179" i="10"/>
  <c r="DA180" i="10"/>
  <c r="DA173" i="10"/>
  <c r="DB184" i="10"/>
  <c r="EA60" i="9"/>
  <c r="DB103" i="10"/>
  <c r="DB104" i="10" s="1"/>
  <c r="DZ54" i="9"/>
  <c r="DA88" i="10"/>
  <c r="DA92" i="10" s="1"/>
  <c r="DZ53" i="9"/>
  <c r="DZ52" i="9"/>
  <c r="DZ62" i="9"/>
  <c r="DA186" i="10"/>
  <c r="DA27" i="10" l="1"/>
  <c r="DA93" i="10"/>
  <c r="DA191" i="10"/>
  <c r="EA62" i="9"/>
  <c r="DA181" i="10"/>
  <c r="DB186" i="10"/>
  <c r="EA52" i="9"/>
  <c r="EA53" i="9"/>
  <c r="EA54" i="9"/>
  <c r="DB88" i="10"/>
  <c r="DA56" i="10" l="1"/>
  <c r="DA172" i="10"/>
  <c r="DA217" i="10"/>
  <c r="DA218" i="10"/>
  <c r="EA57" i="9"/>
  <c r="EA56" i="9"/>
  <c r="DB87" i="10"/>
  <c r="EA55" i="9"/>
  <c r="EA82" i="9" s="1"/>
  <c r="EA83" i="9" s="1"/>
  <c r="DD48" i="11"/>
  <c r="DB52" i="10"/>
  <c r="DC184" i="10" l="1"/>
  <c r="DD52" i="11"/>
  <c r="EB57" i="9"/>
  <c r="EB56" i="9"/>
  <c r="EB55" i="9"/>
  <c r="EC61" i="9"/>
  <c r="DB173" i="10"/>
  <c r="DB92" i="10"/>
  <c r="DB179" i="10"/>
  <c r="DB180" i="10"/>
  <c r="DB192" i="10"/>
  <c r="DB191" i="10" s="1"/>
  <c r="DB54" i="10"/>
  <c r="DJ215" i="10" l="1"/>
  <c r="DB27" i="10"/>
  <c r="DB93" i="10"/>
  <c r="EB82" i="9"/>
  <c r="EB83" i="9" s="1"/>
  <c r="EG82" i="9"/>
  <c r="EG83" i="9" s="1"/>
  <c r="DD87" i="10"/>
  <c r="DD54" i="11"/>
  <c r="DD50" i="10"/>
  <c r="DC52" i="10"/>
  <c r="DB181" i="10"/>
  <c r="EC7" i="9"/>
  <c r="EC57" i="9"/>
  <c r="EC56" i="9"/>
  <c r="EC55" i="9"/>
  <c r="EH82" i="9" l="1"/>
  <c r="EH83" i="9" s="1"/>
  <c r="DE53" i="11"/>
  <c r="DE54" i="11" s="1"/>
  <c r="DC192" i="10"/>
  <c r="DC180" i="10"/>
  <c r="DC179" i="10"/>
  <c r="DC173" i="10"/>
  <c r="DC54" i="10"/>
  <c r="EC82" i="9"/>
  <c r="EC83" i="9" s="1"/>
  <c r="EC8" i="9"/>
  <c r="DD52" i="10"/>
  <c r="DC27" i="10" l="1"/>
  <c r="DC93" i="10"/>
  <c r="DI184" i="10"/>
  <c r="DE184" i="10"/>
  <c r="DC181" i="10"/>
  <c r="DD192" i="10"/>
  <c r="DD173" i="10"/>
  <c r="DD180" i="10"/>
  <c r="DD179" i="10"/>
  <c r="DD54" i="10"/>
  <c r="DB96" i="10"/>
  <c r="DB98" i="10" s="1"/>
  <c r="DB169" i="10"/>
  <c r="DB20" i="10"/>
  <c r="DD93" i="10" l="1"/>
  <c r="DD181" i="10"/>
  <c r="DC218" i="10"/>
  <c r="DC217" i="10"/>
  <c r="DC172" i="10"/>
  <c r="DC56" i="10"/>
  <c r="DB91" i="10"/>
  <c r="DB167" i="10"/>
  <c r="DB168" i="10"/>
  <c r="DB172" i="10" l="1"/>
  <c r="DB217" i="10"/>
  <c r="DB56" i="10"/>
  <c r="DB218" i="10"/>
  <c r="DC20" i="10"/>
  <c r="DC91" i="10" l="1"/>
  <c r="DC168" i="10"/>
  <c r="DC167" i="10"/>
  <c r="EC131" i="9"/>
  <c r="DD20" i="10"/>
  <c r="DD168" i="10" l="1"/>
  <c r="DD167" i="10"/>
  <c r="DD91" i="10"/>
  <c r="CI182" i="31" l="1"/>
  <c r="CI186" i="31"/>
  <c r="CI187" i="31" s="1"/>
  <c r="CI185" i="31"/>
  <c r="CN76" i="31" l="1"/>
  <c r="CN77" i="31" s="1"/>
  <c r="CI188" i="31"/>
  <c r="CN886" i="31" l="1"/>
  <c r="CN24" i="31" s="1"/>
  <c r="CN75" i="31"/>
  <c r="CN885" i="31"/>
  <c r="CN78" i="31"/>
  <c r="CN23" i="31" l="1"/>
  <c r="CN891" i="31"/>
  <c r="CN892" i="31" s="1"/>
  <c r="CN35" i="31"/>
  <c r="CN40" i="31" s="1"/>
  <c r="CN41" i="31" s="1"/>
  <c r="CN887" i="31"/>
  <c r="CN25" i="31" s="1"/>
  <c r="CN29" i="31"/>
  <c r="CN30" i="31" s="1"/>
  <c r="CN890" i="31"/>
  <c r="CN34" i="31"/>
  <c r="EF102" i="9" l="1"/>
  <c r="EF93" i="9"/>
  <c r="EF92" i="9"/>
  <c r="CN893" i="31"/>
  <c r="CN36" i="31"/>
  <c r="CN28" i="31"/>
  <c r="EF24" i="9"/>
  <c r="CN39" i="31"/>
  <c r="DG83" i="10" l="1"/>
  <c r="EF75" i="9"/>
  <c r="EF67" i="9"/>
  <c r="EF66" i="9"/>
  <c r="EF65" i="9"/>
  <c r="DG174" i="10" s="1"/>
  <c r="EF111" i="9"/>
  <c r="EF106" i="9"/>
  <c r="EF94" i="9"/>
  <c r="EF107" i="9"/>
  <c r="EF103" i="9"/>
  <c r="EF108" i="9"/>
  <c r="EF112" i="9"/>
  <c r="EF110" i="9"/>
  <c r="EF104" i="9"/>
  <c r="CN31" i="31"/>
  <c r="CS20" i="31"/>
  <c r="CN42" i="31"/>
  <c r="DG84" i="10" l="1"/>
  <c r="DH84" i="10"/>
  <c r="EF114" i="9"/>
  <c r="EF115" i="9"/>
  <c r="EF29" i="9"/>
  <c r="EF79" i="9" s="1"/>
  <c r="EF116" i="9" l="1"/>
  <c r="DH136" i="10"/>
  <c r="DH70" i="10"/>
  <c r="DH79" i="10"/>
  <c r="DH69" i="10"/>
  <c r="DH78" i="10"/>
  <c r="DH77" i="10"/>
  <c r="DH67" i="10"/>
  <c r="DH66" i="10"/>
  <c r="DH144" i="10"/>
  <c r="DH73" i="10"/>
  <c r="DH68" i="10"/>
  <c r="DH76" i="10"/>
  <c r="DH65" i="10"/>
  <c r="DH216" i="10" s="1"/>
  <c r="DH74" i="10"/>
  <c r="DH75" i="10"/>
  <c r="DH59" i="10"/>
  <c r="DG79" i="10"/>
  <c r="DG78" i="10"/>
  <c r="DG69" i="10"/>
  <c r="DG70" i="10"/>
  <c r="DG74" i="10"/>
  <c r="DG66" i="10"/>
  <c r="DG68" i="10"/>
  <c r="DG73" i="10"/>
  <c r="DG75" i="10"/>
  <c r="DG65" i="10"/>
  <c r="DG216" i="10" s="1"/>
  <c r="DG67" i="10"/>
  <c r="DG144" i="10"/>
  <c r="DG59" i="10"/>
  <c r="DG62" i="10" s="1"/>
  <c r="DG77" i="10"/>
  <c r="DG76" i="10"/>
  <c r="EF68" i="9"/>
  <c r="DG175" i="10" s="1"/>
  <c r="EF38" i="9"/>
  <c r="EF39" i="9"/>
  <c r="DH62" i="10" l="1"/>
  <c r="EF125" i="9"/>
  <c r="EF127" i="9" s="1"/>
  <c r="EF122" i="9"/>
  <c r="EF80" i="9"/>
  <c r="EF70" i="9"/>
  <c r="EF71" i="9"/>
  <c r="EF50" i="9" s="1"/>
  <c r="EA143" i="9"/>
  <c r="EA144" i="9" s="1"/>
  <c r="EA141" i="9"/>
  <c r="CK137" i="31" l="1"/>
  <c r="CJ138" i="31"/>
  <c r="CJ115" i="31"/>
  <c r="CJ114" i="31"/>
  <c r="CK136" i="31"/>
  <c r="CJ142" i="31"/>
  <c r="CJ143" i="31" s="1"/>
  <c r="CJ141" i="31"/>
  <c r="CK115" i="31" l="1"/>
  <c r="CO120" i="31"/>
  <c r="CO121" i="31" s="1"/>
  <c r="CJ180" i="31"/>
  <c r="CO185" i="31" s="1"/>
  <c r="CO119" i="31"/>
  <c r="CJ144" i="31"/>
  <c r="CO144" i="31"/>
  <c r="CK114" i="31"/>
  <c r="CJ120" i="31"/>
  <c r="CJ121" i="31" s="1"/>
  <c r="CJ181" i="31"/>
  <c r="CO186" i="31" s="1"/>
  <c r="CO187" i="31" s="1"/>
  <c r="CK142" i="31"/>
  <c r="CK143" i="31" s="1"/>
  <c r="CP138" i="31"/>
  <c r="CP137" i="31"/>
  <c r="CP142" i="31" s="1"/>
  <c r="CP136" i="31"/>
  <c r="CK141" i="31"/>
  <c r="CJ116" i="31"/>
  <c r="CO122" i="31" s="1"/>
  <c r="CJ119" i="31"/>
  <c r="CK138" i="31"/>
  <c r="CK120" i="31" l="1"/>
  <c r="CK121" i="31" s="1"/>
  <c r="CK180" i="31"/>
  <c r="CJ185" i="31"/>
  <c r="CK119" i="31"/>
  <c r="CJ186" i="31"/>
  <c r="CJ187" i="31" s="1"/>
  <c r="CJ182" i="31"/>
  <c r="CO188" i="31" s="1"/>
  <c r="CK181" i="31"/>
  <c r="CK144" i="31"/>
  <c r="CP144" i="31"/>
  <c r="CP114" i="31"/>
  <c r="CJ122" i="31"/>
  <c r="CK116" i="31"/>
  <c r="CP143" i="31"/>
  <c r="CP141" i="31"/>
  <c r="CP115" i="31"/>
  <c r="CK185" i="31" l="1"/>
  <c r="CK186" i="31"/>
  <c r="CK187" i="31" s="1"/>
  <c r="CJ188" i="31"/>
  <c r="CK182" i="31"/>
  <c r="CP120" i="31"/>
  <c r="CP121" i="31" s="1"/>
  <c r="CK122" i="31"/>
  <c r="CP116" i="31"/>
  <c r="CP119" i="31"/>
  <c r="CT886" i="31" l="1"/>
  <c r="CT24" i="31" s="1"/>
  <c r="CT885" i="31"/>
  <c r="CT23" i="31" s="1"/>
  <c r="CK188" i="31"/>
  <c r="CP122" i="31"/>
  <c r="CT887" i="31" l="1"/>
  <c r="CT25" i="31" s="1"/>
  <c r="CT891" i="31"/>
  <c r="CT892" i="31" s="1"/>
  <c r="CT35" i="31"/>
  <c r="EL93" i="9" s="1"/>
  <c r="CT34" i="31"/>
  <c r="CT890" i="31"/>
  <c r="CT40" i="31" l="1"/>
  <c r="CT41" i="31" s="1"/>
  <c r="CT893" i="31"/>
  <c r="CT39" i="31"/>
  <c r="EL92" i="9"/>
  <c r="EL94" i="9" s="1"/>
  <c r="CT28" i="31"/>
  <c r="CT36" i="31"/>
  <c r="CT20" i="31" l="1"/>
  <c r="CT42" i="31"/>
  <c r="CJ176" i="31" l="1"/>
  <c r="DC103" i="10" l="1"/>
  <c r="EB60" i="9"/>
  <c r="DC116" i="10"/>
  <c r="DC88" i="10" l="1"/>
  <c r="DC92" i="10" s="1"/>
  <c r="DD116" i="10"/>
  <c r="DD118" i="10" s="1"/>
  <c r="EB53" i="9"/>
  <c r="EB54" i="9"/>
  <c r="EB62" i="9"/>
  <c r="EB52" i="9"/>
  <c r="DE115" i="10" l="1"/>
  <c r="DI115" i="10"/>
  <c r="DD103" i="10"/>
  <c r="DD120" i="10"/>
  <c r="EC60" i="9" s="1"/>
  <c r="DE116" i="10" l="1"/>
  <c r="DE120" i="10"/>
  <c r="EC62" i="9"/>
  <c r="EC53" i="9"/>
  <c r="EC54" i="9"/>
  <c r="DD88" i="10"/>
  <c r="DD92" i="10" s="1"/>
  <c r="EC52" i="9"/>
  <c r="EC119" i="9" l="1"/>
  <c r="EC121" i="9" l="1"/>
  <c r="DC138" i="10" l="1"/>
  <c r="EB119" i="9" l="1"/>
  <c r="DC143" i="10"/>
  <c r="EB121" i="9" l="1"/>
  <c r="DF52" i="11" l="1"/>
  <c r="DF54" i="11" s="1"/>
  <c r="DK53" i="11" s="1"/>
  <c r="DF9" i="11"/>
  <c r="DC135" i="10"/>
  <c r="DD135" i="10" l="1"/>
  <c r="DD136" i="10" s="1"/>
  <c r="DC136" i="10"/>
  <c r="DC137" i="10"/>
  <c r="DD137" i="10" l="1"/>
  <c r="DD139" i="10" s="1"/>
  <c r="DI134" i="10" s="1"/>
  <c r="DE134" i="10" l="1"/>
  <c r="DE137" i="10" s="1"/>
  <c r="DD144" i="10"/>
  <c r="DD150" i="10"/>
  <c r="DD140" i="10"/>
  <c r="DD143" i="10" l="1"/>
  <c r="DD142" i="10"/>
  <c r="DD146" i="10"/>
  <c r="DD147" i="10" s="1"/>
  <c r="DD148" i="10" l="1"/>
  <c r="DG53" i="11" l="1"/>
  <c r="EC141" i="9" l="1"/>
  <c r="EB141" i="9"/>
  <c r="EB143" i="9"/>
  <c r="EB144" i="9" s="1"/>
  <c r="EC143" i="9"/>
  <c r="EC144" i="9" s="1"/>
  <c r="EB59" i="9" l="1"/>
  <c r="DD101" i="10"/>
  <c r="DC102" i="10"/>
  <c r="DI101" i="10" l="1"/>
  <c r="DD102" i="10"/>
  <c r="DD104" i="10"/>
  <c r="EC59" i="9"/>
  <c r="DN102" i="10" l="1"/>
  <c r="DC104" i="10"/>
  <c r="EH59" i="9"/>
  <c r="DI102" i="10"/>
  <c r="DD186" i="10"/>
  <c r="DD191" i="10" s="1"/>
  <c r="DC186" i="10" l="1"/>
  <c r="DC191" i="10" s="1"/>
  <c r="EB133" i="9"/>
  <c r="DD21" i="10"/>
  <c r="DC202" i="10"/>
  <c r="DC201" i="10" s="1"/>
  <c r="DD201" i="10" s="1"/>
  <c r="DD202" i="10" s="1"/>
  <c r="DI200" i="10" s="1"/>
  <c r="DC70" i="10"/>
  <c r="DD27" i="10" l="1"/>
  <c r="DE200" i="10"/>
  <c r="DE201" i="10" s="1"/>
  <c r="EC133" i="9"/>
  <c r="DD70" i="10"/>
  <c r="DD172" i="10" l="1"/>
  <c r="DD217" i="10"/>
  <c r="DD56" i="10"/>
  <c r="DD218" i="10"/>
  <c r="EC134" i="9"/>
  <c r="EC135" i="9" s="1"/>
  <c r="CL384" i="31" l="1"/>
  <c r="CL366" i="31"/>
  <c r="CL365" i="31"/>
  <c r="CP378" i="31"/>
  <c r="CL381" i="31"/>
  <c r="CP376" i="31"/>
  <c r="CL382" i="31"/>
  <c r="CL383" i="31" s="1"/>
  <c r="CP377" i="31"/>
  <c r="CP365" i="31" l="1"/>
  <c r="CL455" i="31"/>
  <c r="CL460" i="31" s="1"/>
  <c r="CL461" i="31" s="1"/>
  <c r="CL370" i="31"/>
  <c r="CL454" i="31"/>
  <c r="CP366" i="31"/>
  <c r="CL367" i="31"/>
  <c r="CL371" i="31"/>
  <c r="CL372" i="31" s="1"/>
  <c r="CP382" i="31"/>
  <c r="CP383" i="31" s="1"/>
  <c r="CP381" i="31"/>
  <c r="CP384" i="31"/>
  <c r="CQ459" i="31" l="1"/>
  <c r="CP370" i="31"/>
  <c r="CP455" i="31"/>
  <c r="CU460" i="31" s="1"/>
  <c r="CQ886" i="31"/>
  <c r="CL373" i="31"/>
  <c r="CP367" i="31"/>
  <c r="CL459" i="31"/>
  <c r="CL456" i="31"/>
  <c r="CP454" i="31"/>
  <c r="CU459" i="31" s="1"/>
  <c r="CP371" i="31"/>
  <c r="CP372" i="31" s="1"/>
  <c r="CV891" i="31" l="1"/>
  <c r="CV892" i="31" s="1"/>
  <c r="CQ24" i="31"/>
  <c r="CQ269" i="31"/>
  <c r="CQ270" i="31" s="1"/>
  <c r="CP460" i="31"/>
  <c r="CP461" i="31" s="1"/>
  <c r="CP264" i="31"/>
  <c r="CP373" i="31"/>
  <c r="CQ35" i="31"/>
  <c r="CV40" i="31" s="1"/>
  <c r="CV41" i="31" s="1"/>
  <c r="CQ891" i="31"/>
  <c r="CQ892" i="31" s="1"/>
  <c r="CQ268" i="31"/>
  <c r="CQ265" i="31"/>
  <c r="CQ885" i="31"/>
  <c r="CQ23" i="31" s="1"/>
  <c r="CL462" i="31"/>
  <c r="CP456" i="31"/>
  <c r="CP459" i="31"/>
  <c r="CP263" i="31"/>
  <c r="CU268" i="31" s="1"/>
  <c r="CV890" i="31" l="1"/>
  <c r="CQ34" i="31"/>
  <c r="CV29" i="31"/>
  <c r="CV30" i="31" s="1"/>
  <c r="CU265" i="31"/>
  <c r="CZ271" i="31" s="1"/>
  <c r="CV271" i="31"/>
  <c r="CP269" i="31"/>
  <c r="CP270" i="31" s="1"/>
  <c r="CU269" i="31"/>
  <c r="CQ271" i="31"/>
  <c r="CQ887" i="31"/>
  <c r="CQ25" i="31" s="1"/>
  <c r="CQ890" i="31"/>
  <c r="CQ29" i="31"/>
  <c r="CQ30" i="31" s="1"/>
  <c r="CQ40" i="31"/>
  <c r="CQ41" i="31" s="1"/>
  <c r="EI93" i="9"/>
  <c r="CP462" i="31"/>
  <c r="CP268" i="31"/>
  <c r="CP265" i="31"/>
  <c r="CU271" i="31" l="1"/>
  <c r="CQ893" i="31"/>
  <c r="CV893" i="31"/>
  <c r="CV39" i="31"/>
  <c r="CQ39" i="31"/>
  <c r="EI92" i="9"/>
  <c r="CQ36" i="31"/>
  <c r="CP271" i="31"/>
  <c r="DE268" i="31" l="1"/>
  <c r="CV42" i="31"/>
  <c r="EI94" i="9"/>
  <c r="CQ42" i="31"/>
  <c r="CL28" i="31" l="1"/>
  <c r="ED96" i="9"/>
  <c r="ED98" i="9" s="1"/>
  <c r="CQ20" i="31"/>
  <c r="CL50" i="31"/>
  <c r="ED106" i="9"/>
  <c r="ED112" i="9"/>
  <c r="ED110" i="9"/>
  <c r="ED104" i="9"/>
  <c r="ED102" i="9"/>
  <c r="ED111" i="9"/>
  <c r="ED103" i="9"/>
  <c r="ED107" i="9"/>
  <c r="CL31" i="31"/>
  <c r="EH96" i="9"/>
  <c r="EH98" i="9" s="1"/>
  <c r="ED108" i="9" l="1"/>
  <c r="CL53" i="31"/>
  <c r="ED114" i="9"/>
  <c r="ED115" i="9"/>
  <c r="CP50" i="31"/>
  <c r="CV50" i="31" l="1"/>
  <c r="ED116" i="9"/>
  <c r="DI34" i="10"/>
  <c r="DI19" i="10"/>
  <c r="DI26" i="10"/>
  <c r="DI40" i="10"/>
  <c r="EG133" i="9"/>
  <c r="DI33" i="10"/>
  <c r="DI39" i="10"/>
  <c r="CP53" i="31"/>
  <c r="DI75" i="10" l="1"/>
  <c r="DI67" i="10"/>
  <c r="DI78" i="10"/>
  <c r="DI66" i="10"/>
  <c r="DI76" i="10"/>
  <c r="DI73" i="10"/>
  <c r="CV28" i="31"/>
  <c r="CV20" i="31"/>
  <c r="CQ50" i="31"/>
  <c r="EI96" i="9"/>
  <c r="CV53" i="31"/>
  <c r="CQ28" i="31"/>
  <c r="EI24" i="9"/>
  <c r="DI18" i="10"/>
  <c r="DI16" i="10"/>
  <c r="DI21" i="10"/>
  <c r="DI35" i="10"/>
  <c r="DI38" i="10"/>
  <c r="DI25" i="10"/>
  <c r="DI74" i="10" l="1"/>
  <c r="DI68" i="10"/>
  <c r="DI69" i="10"/>
  <c r="DI77" i="10"/>
  <c r="DI59" i="10"/>
  <c r="EH133" i="9"/>
  <c r="DI70" i="10"/>
  <c r="DJ83" i="10"/>
  <c r="EI65" i="9"/>
  <c r="DJ174" i="10" s="1"/>
  <c r="EI67" i="9"/>
  <c r="EI66" i="9"/>
  <c r="EI106" i="9"/>
  <c r="CV31" i="31"/>
  <c r="EI75" i="9"/>
  <c r="EI108" i="9"/>
  <c r="CQ53" i="31"/>
  <c r="EI98" i="9"/>
  <c r="EI110" i="9"/>
  <c r="EI112" i="9"/>
  <c r="EI103" i="9"/>
  <c r="EI104" i="9"/>
  <c r="CQ31" i="31"/>
  <c r="EI111" i="9"/>
  <c r="EI107" i="9"/>
  <c r="EI102" i="9"/>
  <c r="DJ36" i="11"/>
  <c r="DG12" i="11"/>
  <c r="DZ133" i="9"/>
  <c r="DE36" i="10"/>
  <c r="DK84" i="10" l="1"/>
  <c r="DJ84" i="10"/>
  <c r="EI115" i="9"/>
  <c r="EI78" i="9"/>
  <c r="EI76" i="9"/>
  <c r="EI29" i="9"/>
  <c r="EI114" i="9"/>
  <c r="EI77" i="9"/>
  <c r="DH12" i="11"/>
  <c r="DI12" i="11" s="1"/>
  <c r="DI29" i="11" s="1"/>
  <c r="DE169" i="10"/>
  <c r="DE52" i="10"/>
  <c r="DE41" i="10"/>
  <c r="DZ134" i="9"/>
  <c r="DZ135" i="9" s="1"/>
  <c r="DI52" i="11" l="1"/>
  <c r="DJ79" i="10"/>
  <c r="DJ67" i="10"/>
  <c r="DJ76" i="10"/>
  <c r="DJ59" i="10"/>
  <c r="DJ62" i="10" s="1"/>
  <c r="DJ77" i="10"/>
  <c r="DJ65" i="10"/>
  <c r="DJ216" i="10" s="1"/>
  <c r="DJ74" i="10"/>
  <c r="DJ75" i="10"/>
  <c r="DJ144" i="10"/>
  <c r="DJ69" i="10"/>
  <c r="DJ73" i="10"/>
  <c r="DJ78" i="10"/>
  <c r="DJ66" i="10"/>
  <c r="EI68" i="9"/>
  <c r="DJ175" i="10" s="1"/>
  <c r="EI38" i="9"/>
  <c r="DJ12" i="11"/>
  <c r="EI116" i="9"/>
  <c r="EI79" i="9"/>
  <c r="EI39" i="9"/>
  <c r="DH29" i="11"/>
  <c r="DF184" i="10"/>
  <c r="DF191" i="10" s="1"/>
  <c r="DE192" i="10"/>
  <c r="DE191" i="10" s="1"/>
  <c r="DE179" i="10"/>
  <c r="DE173" i="10"/>
  <c r="DE180" i="10"/>
  <c r="DE54" i="10"/>
  <c r="DE93" i="10" l="1"/>
  <c r="EI43" i="9"/>
  <c r="EI70" i="9"/>
  <c r="EI71" i="9"/>
  <c r="EI122" i="9"/>
  <c r="EI80" i="9"/>
  <c r="EI125" i="9"/>
  <c r="EI127" i="9" s="1"/>
  <c r="DE181" i="10"/>
  <c r="EI55" i="9" l="1"/>
  <c r="EI72" i="9"/>
  <c r="DJ176" i="10" s="1"/>
  <c r="EI44" i="9"/>
  <c r="DJ173" i="10"/>
  <c r="EI81" i="9"/>
  <c r="EI84" i="9" s="1"/>
  <c r="ED131" i="9"/>
  <c r="EE39" i="9" l="1"/>
  <c r="EE38" i="9"/>
  <c r="EJ80" i="9" l="1"/>
  <c r="EE122" i="9"/>
  <c r="EE80" i="9"/>
  <c r="EE70" i="9"/>
  <c r="EE125" i="9"/>
  <c r="EE127" i="9" s="1"/>
  <c r="EE71" i="9"/>
  <c r="EE50" i="9" s="1"/>
  <c r="EH50" i="9" s="1"/>
  <c r="EE43" i="9" l="1"/>
  <c r="EE49" i="9"/>
  <c r="EJ81" i="9" l="1"/>
  <c r="EJ84" i="9" s="1"/>
  <c r="DF173" i="10"/>
  <c r="DF172" i="10"/>
  <c r="EE55" i="9"/>
  <c r="EJ82" i="9" s="1"/>
  <c r="EE44" i="9"/>
  <c r="EE72" i="9"/>
  <c r="DF176" i="10" s="1"/>
  <c r="EE81" i="9"/>
  <c r="EJ83" i="9" l="1"/>
  <c r="EF43" i="9" l="1"/>
  <c r="EF49" i="9"/>
  <c r="DG173" i="10" l="1"/>
  <c r="DG172" i="10"/>
  <c r="EF44" i="9"/>
  <c r="EH44" i="9" s="1"/>
  <c r="EF81" i="9"/>
  <c r="EF72" i="9"/>
  <c r="DG176" i="10" s="1"/>
  <c r="EH45" i="9" l="1"/>
  <c r="EH57" i="9" l="1"/>
  <c r="ED60" i="9" l="1"/>
  <c r="ED62" i="9" l="1"/>
  <c r="DE88" i="10"/>
  <c r="DE92" i="10" s="1"/>
  <c r="ED52" i="9"/>
  <c r="ED54" i="9"/>
  <c r="ED53" i="9"/>
  <c r="DG48" i="11" l="1"/>
  <c r="EE57" i="9"/>
  <c r="EE56" i="9"/>
  <c r="EE82" i="9"/>
  <c r="EE83" i="9" s="1"/>
  <c r="EE131" i="9" l="1"/>
  <c r="ED133" i="9" l="1"/>
  <c r="ED134" i="9" l="1"/>
  <c r="ED135" i="9" s="1"/>
  <c r="DG28" i="11" l="1"/>
  <c r="DJ28" i="11" l="1"/>
  <c r="DG29" i="11"/>
  <c r="DG36" i="11"/>
  <c r="DG52" i="11" l="1"/>
  <c r="DG54" i="11" l="1"/>
  <c r="DH53" i="11" l="1"/>
  <c r="DE20" i="10" l="1"/>
  <c r="DE27" i="10" l="1"/>
  <c r="DE172" i="10"/>
  <c r="DE218" i="10"/>
  <c r="DE56" i="10"/>
  <c r="DE217" i="10"/>
  <c r="DE91" i="10"/>
  <c r="DE168" i="10"/>
  <c r="DE167" i="10"/>
  <c r="CM75" i="31" l="1"/>
  <c r="CM188" i="31"/>
  <c r="CM185" i="31"/>
  <c r="CM186" i="31"/>
  <c r="CM187" i="31" s="1"/>
  <c r="EE143" i="9" l="1"/>
  <c r="EE144" i="9" s="1"/>
  <c r="DI110" i="10" l="1"/>
  <c r="DN108" i="10" l="1"/>
  <c r="DJ108" i="10"/>
  <c r="DI109" i="10"/>
  <c r="DI112" i="10"/>
  <c r="DH112" i="10"/>
  <c r="DJ112" i="10" l="1"/>
  <c r="DJ109" i="10"/>
  <c r="DN109" i="10"/>
  <c r="DN112" i="10"/>
  <c r="DI51" i="10" l="1"/>
  <c r="DH190" i="10"/>
  <c r="DH188" i="10"/>
  <c r="DJ188" i="10" l="1"/>
  <c r="DJ190" i="10"/>
  <c r="DI188" i="10"/>
  <c r="DI190" i="10"/>
  <c r="DH48" i="11" l="1"/>
  <c r="EG60" i="9" l="1"/>
  <c r="EG62" i="9" l="1"/>
  <c r="DH88" i="10"/>
  <c r="EG52" i="9"/>
  <c r="EG53" i="9"/>
  <c r="EG54" i="9"/>
  <c r="EF56" i="9"/>
  <c r="EF57" i="9"/>
  <c r="EF55" i="9"/>
  <c r="EF82" i="9" s="1"/>
  <c r="EF83" i="9" s="1"/>
  <c r="DM215" i="10"/>
  <c r="DJ48" i="11" l="1"/>
  <c r="EI57" i="9"/>
  <c r="DK48" i="11"/>
  <c r="DH184" i="10"/>
  <c r="DK52" i="11" l="1"/>
  <c r="DK54" i="11" s="1"/>
  <c r="DP53" i="11"/>
  <c r="DP54" i="11" s="1"/>
  <c r="DL53" i="11"/>
  <c r="DL54" i="11" s="1"/>
  <c r="EI82" i="9"/>
  <c r="EI83" i="9" s="1"/>
  <c r="DM53" i="11" l="1"/>
  <c r="DM54" i="11" s="1"/>
  <c r="DQ53" i="11"/>
  <c r="DQ54" i="11" s="1"/>
  <c r="DU53" i="11"/>
  <c r="DR53" i="11" l="1"/>
  <c r="DR54" i="11" s="1"/>
  <c r="DS53" i="11" s="1"/>
  <c r="DS54" i="11" s="1"/>
  <c r="DN53" i="11"/>
  <c r="EF131" i="9"/>
  <c r="DF135" i="10" l="1"/>
  <c r="DF137" i="10" l="1"/>
  <c r="DF136" i="10"/>
  <c r="EE119" i="9"/>
  <c r="EE121" i="9" l="1"/>
  <c r="DH36" i="11" l="1"/>
  <c r="DH52" i="11" s="1"/>
  <c r="DH54" i="11" l="1"/>
  <c r="DI53" i="11" s="1"/>
  <c r="DI54" i="11" s="1"/>
  <c r="EF134" i="9" l="1"/>
  <c r="EE134" i="9" l="1"/>
  <c r="EE135" i="9" s="1"/>
  <c r="CN81" i="31" l="1"/>
  <c r="CN180" i="31" s="1"/>
  <c r="CS185" i="31" s="1"/>
  <c r="CN94" i="31"/>
  <c r="CN100" i="31" s="1"/>
  <c r="CN82" i="31"/>
  <c r="CP92" i="31"/>
  <c r="CP81" i="31" s="1"/>
  <c r="CP93" i="31"/>
  <c r="CN98" i="31"/>
  <c r="CN99" i="31" s="1"/>
  <c r="CN97" i="31"/>
  <c r="CN83" i="31" l="1"/>
  <c r="CN89" i="31" s="1"/>
  <c r="CN181" i="31"/>
  <c r="CN185" i="31"/>
  <c r="CP180" i="31"/>
  <c r="CU185" i="31" s="1"/>
  <c r="CP86" i="31"/>
  <c r="CP98" i="31"/>
  <c r="CP99" i="31" s="1"/>
  <c r="CP82" i="31"/>
  <c r="CP97" i="31"/>
  <c r="CP94" i="31"/>
  <c r="CN86" i="31"/>
  <c r="CN87" i="31"/>
  <c r="CN88" i="31" s="1"/>
  <c r="CN182" i="31" l="1"/>
  <c r="CS188" i="31" s="1"/>
  <c r="CS186" i="31"/>
  <c r="CS187" i="31" s="1"/>
  <c r="CP70" i="31"/>
  <c r="CP185" i="31"/>
  <c r="CN186" i="31"/>
  <c r="CN187" i="31" s="1"/>
  <c r="CP181" i="31"/>
  <c r="CU186" i="31" s="1"/>
  <c r="CP83" i="31"/>
  <c r="CP87" i="31"/>
  <c r="CP88" i="31" s="1"/>
  <c r="CP100" i="31"/>
  <c r="CP182" i="31" l="1"/>
  <c r="CU188" i="31" s="1"/>
  <c r="CN188" i="31"/>
  <c r="CP75" i="31"/>
  <c r="CU75" i="31"/>
  <c r="CP885" i="31"/>
  <c r="CP23" i="31" s="1"/>
  <c r="CP71" i="31"/>
  <c r="CS75" i="31"/>
  <c r="CP186" i="31"/>
  <c r="CP187" i="31" s="1"/>
  <c r="CP89" i="31"/>
  <c r="CP188" i="31" l="1"/>
  <c r="CP72" i="31"/>
  <c r="CP78" i="31" s="1"/>
  <c r="CU76" i="31"/>
  <c r="CP34" i="31"/>
  <c r="CP890" i="31"/>
  <c r="CP76" i="31"/>
  <c r="CP77" i="31" s="1"/>
  <c r="CP886" i="31"/>
  <c r="CP24" i="31" s="1"/>
  <c r="CS72" i="31"/>
  <c r="CX78" i="31" s="1"/>
  <c r="CS76" i="31"/>
  <c r="CS77" i="31" s="1"/>
  <c r="CP891" i="31" l="1"/>
  <c r="CP892" i="31" s="1"/>
  <c r="CU72" i="31"/>
  <c r="DC76" i="31"/>
  <c r="DC77" i="31" s="1"/>
  <c r="DC72" i="31"/>
  <c r="DC75" i="31"/>
  <c r="DE70" i="31"/>
  <c r="DE75" i="31" s="1"/>
  <c r="CS78" i="31"/>
  <c r="CP39" i="31"/>
  <c r="EH92" i="9"/>
  <c r="CP887" i="31"/>
  <c r="CP25" i="31" s="1"/>
  <c r="CP35" i="31"/>
  <c r="CP40" i="31" s="1"/>
  <c r="CP41" i="31" s="1"/>
  <c r="CP28" i="31"/>
  <c r="CP5" i="31"/>
  <c r="DJ70" i="31" l="1"/>
  <c r="CU78" i="31"/>
  <c r="CZ78" i="31"/>
  <c r="CU21" i="31"/>
  <c r="EH93" i="9"/>
  <c r="EH94" i="9" s="1"/>
  <c r="CP893" i="31"/>
  <c r="CP36" i="31"/>
  <c r="CP29" i="31"/>
  <c r="CP30" i="31" s="1"/>
  <c r="CU362" i="31" l="1"/>
  <c r="CU1041" i="31"/>
  <c r="CU1036" i="31" s="1"/>
  <c r="CU1063" i="31"/>
  <c r="CU1058" i="31" s="1"/>
  <c r="CU1052" i="31"/>
  <c r="CU1047" i="31" s="1"/>
  <c r="CU1074" i="31"/>
  <c r="CU1069" i="31" s="1"/>
  <c r="CU1201" i="31"/>
  <c r="CU916" i="31"/>
  <c r="CU963" i="31"/>
  <c r="CU905" i="31"/>
  <c r="CU1249" i="31"/>
  <c r="CU1086" i="31"/>
  <c r="CU1008" i="31"/>
  <c r="CU1019" i="31"/>
  <c r="CU975" i="31"/>
  <c r="CU997" i="31"/>
  <c r="CU1030" i="31"/>
  <c r="CU633" i="31"/>
  <c r="CU209" i="31"/>
  <c r="CU505" i="31"/>
  <c r="CU63" i="31"/>
  <c r="EH102" i="9"/>
  <c r="CP31" i="31"/>
  <c r="CU1450" i="31"/>
  <c r="CU472" i="31"/>
  <c r="CU346" i="31"/>
  <c r="CU237" i="31"/>
  <c r="CU226" i="31"/>
  <c r="CU281" i="31"/>
  <c r="CU259" i="31"/>
  <c r="CU335" i="31"/>
  <c r="CU212" i="31"/>
  <c r="CU176" i="31"/>
  <c r="CU132" i="31"/>
  <c r="CU198" i="31"/>
  <c r="CU461" i="31"/>
  <c r="CU270" i="31"/>
  <c r="CU187" i="31"/>
  <c r="CU77" i="31"/>
  <c r="EH112" i="9"/>
  <c r="EH107" i="9"/>
  <c r="CU1461" i="31"/>
  <c r="CU1494" i="31"/>
  <c r="CU1483" i="31"/>
  <c r="CU754" i="31"/>
  <c r="EH110" i="9"/>
  <c r="CU1428" i="31"/>
  <c r="CU743" i="31"/>
  <c r="CU1472" i="31"/>
  <c r="CU721" i="31"/>
  <c r="CU1439" i="31"/>
  <c r="CP42" i="31"/>
  <c r="EH103" i="9"/>
  <c r="EH106" i="9"/>
  <c r="EH108" i="9"/>
  <c r="EH111" i="9"/>
  <c r="CU20" i="31"/>
  <c r="CU765" i="31"/>
  <c r="CU699" i="31"/>
  <c r="EH104" i="9"/>
  <c r="CU1070" i="31" l="1"/>
  <c r="CU1048" i="31"/>
  <c r="CU1059" i="31"/>
  <c r="CU1037" i="31"/>
  <c r="EH114" i="9"/>
  <c r="EH115" i="9"/>
  <c r="CU1043" i="31" l="1"/>
  <c r="CU1065" i="31"/>
  <c r="CU1054" i="31"/>
  <c r="CU1076" i="31"/>
  <c r="EH116" i="9"/>
  <c r="DI175" i="10"/>
  <c r="DH174" i="10"/>
  <c r="DH175" i="10" l="1"/>
  <c r="DI176" i="10" l="1"/>
  <c r="DI32" i="10" l="1"/>
  <c r="DH36" i="10"/>
  <c r="DI17" i="10"/>
  <c r="DI185" i="10"/>
  <c r="DI60" i="10" l="1"/>
  <c r="DI97" i="10"/>
  <c r="DI79" i="10"/>
  <c r="DI61" i="10"/>
  <c r="DH176" i="10"/>
  <c r="DH41" i="10"/>
  <c r="DI36" i="10"/>
  <c r="DI62" i="10" l="1"/>
  <c r="DH185" i="10"/>
  <c r="DI41" i="10"/>
  <c r="DH52" i="10" l="1"/>
  <c r="DI50" i="10"/>
  <c r="DH192" i="10" l="1"/>
  <c r="DH180" i="10"/>
  <c r="DI52" i="10"/>
  <c r="DH54" i="10"/>
  <c r="DH92" i="10"/>
  <c r="DH173" i="10"/>
  <c r="DH179" i="10"/>
  <c r="DH93" i="10" l="1"/>
  <c r="DJ184" i="10"/>
  <c r="DJ191" i="10" s="1"/>
  <c r="DI173" i="10"/>
  <c r="DN184" i="10"/>
  <c r="DI180" i="10"/>
  <c r="DI179" i="10"/>
  <c r="DI54" i="10"/>
  <c r="DI192" i="10"/>
  <c r="DH181" i="10"/>
  <c r="DI93" i="10" l="1"/>
  <c r="DI181" i="10"/>
  <c r="EF135" i="9"/>
  <c r="EF141" i="9" l="1"/>
  <c r="EF144" i="9"/>
  <c r="DJ53" i="11" l="1"/>
  <c r="DG138" i="10"/>
  <c r="DG135" i="10"/>
  <c r="DG143" i="10" l="1"/>
  <c r="DG136" i="10"/>
  <c r="DI135" i="10"/>
  <c r="EF119" i="9"/>
  <c r="DI136" i="10" l="1"/>
  <c r="EF121" i="9"/>
  <c r="EG119" i="9" l="1"/>
  <c r="EG121" i="9" l="1"/>
  <c r="DI22" i="10" l="1"/>
  <c r="EG131" i="9"/>
  <c r="EG134" i="9" s="1"/>
  <c r="EG135" i="9" s="1"/>
  <c r="DH169" i="10" l="1"/>
  <c r="DH20" i="10"/>
  <c r="DI14" i="10"/>
  <c r="EH131" i="9" l="1"/>
  <c r="EH134" i="9" s="1"/>
  <c r="EH135" i="9" s="1"/>
  <c r="DI220" i="10"/>
  <c r="DI65" i="10"/>
  <c r="DI216" i="10" s="1"/>
  <c r="DI96" i="10"/>
  <c r="DI98" i="10" s="1"/>
  <c r="DH91" i="10"/>
  <c r="DH27" i="10"/>
  <c r="DI169" i="10"/>
  <c r="DI20" i="10"/>
  <c r="DH168" i="10"/>
  <c r="DH167" i="10"/>
  <c r="DI91" i="10" l="1"/>
  <c r="DI27" i="10"/>
  <c r="DH218" i="10"/>
  <c r="DH217" i="10"/>
  <c r="DH172" i="10"/>
  <c r="DH56" i="10"/>
  <c r="DI99" i="10"/>
  <c r="DI167" i="10"/>
  <c r="DI168" i="10"/>
  <c r="DI56" i="10" l="1"/>
  <c r="DI218" i="10"/>
  <c r="DI172" i="10"/>
  <c r="DI217" i="10"/>
  <c r="DJ27" i="11" l="1"/>
  <c r="DJ29" i="11"/>
  <c r="DJ52" i="11" l="1"/>
  <c r="DJ54" i="11" l="1"/>
  <c r="CQ460" i="31" l="1"/>
  <c r="CQ461" i="31" s="1"/>
  <c r="CQ456" i="31" l="1"/>
  <c r="CV462" i="31" s="1"/>
  <c r="CU456" i="31" l="1"/>
  <c r="CQ462" i="31"/>
  <c r="CU462" i="31" l="1"/>
  <c r="CZ462" i="31"/>
  <c r="CX50" i="31" l="1"/>
  <c r="EK96" i="9" l="1"/>
  <c r="CS50" i="31"/>
  <c r="EU96" i="9" l="1"/>
  <c r="EM96" i="9"/>
  <c r="CZ50" i="31"/>
  <c r="CU50" i="31"/>
  <c r="CT29" i="31" l="1"/>
  <c r="CT30" i="31" s="1"/>
  <c r="CX51" i="31"/>
  <c r="CX52" i="31" s="1"/>
  <c r="CY51" i="31" l="1"/>
  <c r="CY52" i="31" s="1"/>
  <c r="CT51" i="31"/>
  <c r="CT52" i="31" s="1"/>
  <c r="EL97" i="9"/>
  <c r="EL98" i="9" s="1"/>
  <c r="CZ51" i="31"/>
  <c r="CS51" i="31"/>
  <c r="CS52" i="31" s="1"/>
  <c r="CX53" i="31"/>
  <c r="EK97" i="9"/>
  <c r="EK98" i="9" s="1"/>
  <c r="EL75" i="9"/>
  <c r="DM83" i="10"/>
  <c r="CT53" i="31" l="1"/>
  <c r="CY20" i="31"/>
  <c r="CY53" i="31"/>
  <c r="EL106" i="9"/>
  <c r="EL111" i="9"/>
  <c r="EL103" i="9"/>
  <c r="EL104" i="9"/>
  <c r="EL112" i="9"/>
  <c r="EL110" i="9"/>
  <c r="EL102" i="9"/>
  <c r="CT31" i="31"/>
  <c r="EL108" i="9"/>
  <c r="EL107" i="9"/>
  <c r="EM97" i="9"/>
  <c r="EM98" i="9" s="1"/>
  <c r="CS53" i="31"/>
  <c r="CU51" i="31"/>
  <c r="CU52" i="31" s="1"/>
  <c r="CZ53" i="31" l="1"/>
  <c r="EL115" i="9"/>
  <c r="EL114" i="9"/>
  <c r="CU53" i="31"/>
  <c r="EL116" i="9" l="1"/>
  <c r="EO133" i="9"/>
  <c r="DP146" i="10" l="1"/>
  <c r="DP150" i="10"/>
  <c r="DP147" i="10" l="1"/>
  <c r="DP148" i="10" s="1"/>
  <c r="DC78" i="31" l="1"/>
  <c r="EN92" i="9" l="1"/>
  <c r="EN93" i="9" l="1"/>
  <c r="EN94" i="9" s="1"/>
  <c r="EO96" i="9" l="1"/>
  <c r="DB50" i="31"/>
  <c r="CW50" i="31"/>
  <c r="DC50" i="31" l="1"/>
  <c r="EV96" i="9" l="1"/>
  <c r="DD50" i="31"/>
  <c r="EO97" i="9" l="1"/>
  <c r="EO98" i="9" s="1"/>
  <c r="DB51" i="31"/>
  <c r="DB52" i="31" s="1"/>
  <c r="CW51" i="31"/>
  <c r="CW52" i="31" s="1"/>
  <c r="DB53" i="31" l="1"/>
  <c r="CW53" i="31"/>
  <c r="EU97" i="9" l="1"/>
  <c r="EU98" i="9" s="1"/>
  <c r="DC47" i="31"/>
  <c r="DC51" i="31"/>
  <c r="DC52" i="31" s="1"/>
  <c r="DC53" i="31" l="1"/>
  <c r="EN111" i="9" l="1"/>
  <c r="EN110" i="9"/>
  <c r="EN107" i="9"/>
  <c r="EN108" i="9"/>
  <c r="EN106" i="9"/>
  <c r="EN103" i="9"/>
  <c r="EN102" i="9"/>
  <c r="EN104" i="9"/>
  <c r="EN112" i="9" l="1"/>
  <c r="EN114" i="9"/>
  <c r="EN75" i="9"/>
  <c r="EN115" i="9"/>
  <c r="EN116" i="9" l="1"/>
  <c r="EN76" i="9"/>
  <c r="EN77" i="9"/>
  <c r="EN79" i="9" l="1"/>
  <c r="EN125" i="9" l="1"/>
  <c r="EN127" i="9" s="1"/>
  <c r="EN80" i="9"/>
  <c r="CW1487" i="31"/>
  <c r="DB1492" i="31" l="1"/>
  <c r="CW56" i="31"/>
  <c r="EO88" i="9" s="1"/>
  <c r="CW1492" i="31"/>
  <c r="CW1489" i="31"/>
  <c r="EO90" i="9" l="1"/>
  <c r="DB1495" i="31"/>
  <c r="DB61" i="31"/>
  <c r="EN81" i="9"/>
  <c r="EN84" i="9" s="1"/>
  <c r="CW61" i="31"/>
  <c r="CW58" i="31"/>
  <c r="CW1495" i="31"/>
  <c r="DB64" i="31" l="1"/>
  <c r="CW64" i="31"/>
  <c r="DC1462" i="31" l="1"/>
  <c r="DC1492" i="31"/>
  <c r="DD61" i="31" l="1"/>
  <c r="DD1492" i="31"/>
  <c r="DC61" i="31"/>
  <c r="DC64" i="31" l="1"/>
  <c r="DG124" i="10" l="1"/>
  <c r="DI124" i="10" s="1"/>
  <c r="DG154" i="10"/>
  <c r="DI154" i="10" s="1"/>
  <c r="DG211" i="10"/>
  <c r="DI211" i="10" s="1"/>
  <c r="DI212" i="10" s="1"/>
  <c r="DG206" i="10"/>
  <c r="DI206" i="10" s="1"/>
  <c r="DI207" i="10" s="1"/>
  <c r="DG201" i="10"/>
  <c r="DI201" i="10" s="1"/>
  <c r="DI202" i="10" s="1"/>
  <c r="DG196" i="10"/>
  <c r="DI196" i="10" s="1"/>
  <c r="DI197" i="10" s="1"/>
  <c r="DG137" i="10"/>
  <c r="DI137" i="10" s="1"/>
  <c r="DG116" i="10"/>
  <c r="DI116" i="10" s="1"/>
  <c r="EE60" i="9"/>
  <c r="DG191" i="10"/>
  <c r="DG129" i="10"/>
  <c r="DI129" i="10" s="1"/>
  <c r="DG120" i="10"/>
  <c r="EF60" i="9" s="1"/>
  <c r="DG159" i="10"/>
  <c r="DI159" i="10" s="1"/>
  <c r="DI118" i="10" l="1"/>
  <c r="DI161" i="10"/>
  <c r="DN158" i="10" s="1"/>
  <c r="DI155" i="10"/>
  <c r="DJ153" i="10" s="1"/>
  <c r="DJ154" i="10" s="1"/>
  <c r="DI131" i="10"/>
  <c r="DN128" i="10" s="1"/>
  <c r="DN195" i="10"/>
  <c r="DJ195" i="10"/>
  <c r="DJ196" i="10" s="1"/>
  <c r="DN196" i="10" s="1"/>
  <c r="DN205" i="10"/>
  <c r="DJ205" i="10"/>
  <c r="DJ206" i="10" s="1"/>
  <c r="DN200" i="10"/>
  <c r="DJ200" i="10"/>
  <c r="DN210" i="10"/>
  <c r="DJ210" i="10"/>
  <c r="DJ211" i="10" s="1"/>
  <c r="DI125" i="10"/>
  <c r="DI139" i="10"/>
  <c r="DI144" i="10" s="1"/>
  <c r="EF52" i="9"/>
  <c r="EF53" i="9"/>
  <c r="EF54" i="9"/>
  <c r="EF62" i="9"/>
  <c r="DG88" i="10"/>
  <c r="DG92" i="10" s="1"/>
  <c r="EE62" i="9"/>
  <c r="DF88" i="10"/>
  <c r="DF92" i="10" s="1"/>
  <c r="EE52" i="9"/>
  <c r="EE53" i="9"/>
  <c r="EE54" i="9"/>
  <c r="DI103" i="10" l="1"/>
  <c r="DI104" i="10" s="1"/>
  <c r="DI120" i="10"/>
  <c r="EH60" i="9" s="1"/>
  <c r="DI163" i="10"/>
  <c r="DJ158" i="10"/>
  <c r="DN115" i="10"/>
  <c r="DJ115" i="10"/>
  <c r="DN153" i="10"/>
  <c r="DJ128" i="10"/>
  <c r="DJ129" i="10" s="1"/>
  <c r="DN129" i="10" s="1"/>
  <c r="DI150" i="10"/>
  <c r="DI140" i="10"/>
  <c r="DN123" i="10"/>
  <c r="DJ123" i="10"/>
  <c r="DJ124" i="10" s="1"/>
  <c r="DJ134" i="10"/>
  <c r="DN134" i="10"/>
  <c r="DN197" i="10"/>
  <c r="DI186" i="10"/>
  <c r="DI191" i="10" s="1"/>
  <c r="DH104" i="10"/>
  <c r="DI146" i="10" l="1"/>
  <c r="EH62" i="9"/>
  <c r="EH53" i="9"/>
  <c r="EH52" i="9"/>
  <c r="DI88" i="10"/>
  <c r="DI92" i="10" s="1"/>
  <c r="EH54" i="9"/>
  <c r="DS195" i="10"/>
  <c r="DO195" i="10"/>
  <c r="DO196" i="10" s="1"/>
  <c r="DS196" i="10" s="1"/>
  <c r="DJ116" i="10"/>
  <c r="DN116" i="10" s="1"/>
  <c r="DJ120" i="10"/>
  <c r="EI60" i="9" s="1"/>
  <c r="DI143" i="10"/>
  <c r="DI142" i="10"/>
  <c r="DN131" i="10"/>
  <c r="DS128" i="10" s="1"/>
  <c r="DI147" i="10"/>
  <c r="DI148" i="10" s="1"/>
  <c r="DH186" i="10"/>
  <c r="DH191" i="10" s="1"/>
  <c r="EJ60" i="9"/>
  <c r="EI138" i="9"/>
  <c r="EI139" i="9"/>
  <c r="EJ62" i="9" l="1"/>
  <c r="EI62" i="9"/>
  <c r="DO128" i="10"/>
  <c r="DO129" i="10" s="1"/>
  <c r="DS129" i="10" s="1"/>
  <c r="DS131" i="10" s="1"/>
  <c r="DT128" i="10" s="1"/>
  <c r="DT129" i="10" s="1"/>
  <c r="EI52" i="9"/>
  <c r="DN118" i="10"/>
  <c r="EI54" i="9"/>
  <c r="DJ88" i="10"/>
  <c r="DJ92" i="10" s="1"/>
  <c r="DS197" i="10"/>
  <c r="DK88" i="10"/>
  <c r="EJ54" i="9"/>
  <c r="EJ52" i="9"/>
  <c r="EI140" i="9"/>
  <c r="EK60" i="9"/>
  <c r="DO115" i="10" l="1"/>
  <c r="EK62" i="9"/>
  <c r="DT195" i="10"/>
  <c r="DT196" i="10" s="1"/>
  <c r="DX195" i="10"/>
  <c r="DN120" i="10"/>
  <c r="EM60" i="9" s="1"/>
  <c r="DN103" i="10"/>
  <c r="DN104" i="10" s="1"/>
  <c r="DS115" i="10"/>
  <c r="DV195" i="10"/>
  <c r="DO116" i="10"/>
  <c r="DS116" i="10" s="1"/>
  <c r="DO120" i="10"/>
  <c r="EN60" i="9" s="1"/>
  <c r="DL88" i="10"/>
  <c r="DL92" i="10" s="1"/>
  <c r="DJ54" i="10"/>
  <c r="DM120" i="10"/>
  <c r="EL60" i="9" s="1"/>
  <c r="DM104" i="10" l="1"/>
  <c r="DJ93" i="10"/>
  <c r="EL62" i="9"/>
  <c r="EM62" i="9"/>
  <c r="DN88" i="10"/>
  <c r="DN92" i="10" s="1"/>
  <c r="DV196" i="10"/>
  <c r="DX196" i="10" s="1"/>
  <c r="DX197" i="10" s="1"/>
  <c r="DS118" i="10"/>
  <c r="EN52" i="9"/>
  <c r="EN62" i="9"/>
  <c r="DO88" i="10"/>
  <c r="DO92" i="10" s="1"/>
  <c r="EN54" i="9"/>
  <c r="EN53" i="9"/>
  <c r="DJ181" i="10"/>
  <c r="EL52" i="9"/>
  <c r="EL54" i="9"/>
  <c r="DM88" i="10"/>
  <c r="DM92" i="10" s="1"/>
  <c r="EN82" i="9"/>
  <c r="EN83" i="9" s="1"/>
  <c r="DM186" i="10"/>
  <c r="DT115" i="10" l="1"/>
  <c r="DT116" i="10" s="1"/>
  <c r="DY195" i="10"/>
  <c r="DY196" i="10" s="1"/>
  <c r="EC196" i="10" s="1"/>
  <c r="EC195" i="10"/>
  <c r="DS120" i="10"/>
  <c r="ER60" i="9" s="1"/>
  <c r="DT120" i="10"/>
  <c r="DS103" i="10"/>
  <c r="DN186" i="10"/>
  <c r="DN87" i="10"/>
  <c r="DM87" i="10"/>
  <c r="ER62" i="9" l="1"/>
  <c r="EC197" i="10"/>
  <c r="EH195" i="10" s="1"/>
  <c r="EE195" i="10"/>
  <c r="DQ87" i="10"/>
  <c r="EI131" i="9"/>
  <c r="ED195" i="10" l="1"/>
  <c r="ED196" i="10" s="1"/>
  <c r="EF195" i="10"/>
  <c r="EE196" i="10"/>
  <c r="EI134" i="9"/>
  <c r="EI136" i="9" s="1"/>
  <c r="EI142" i="9" s="1"/>
  <c r="EG195" i="10" l="1"/>
  <c r="EG196" i="10" s="1"/>
  <c r="EF196" i="10"/>
  <c r="EI141" i="9"/>
  <c r="EI143" i="9"/>
  <c r="EI144" i="9" s="1"/>
  <c r="EH196" i="10" l="1"/>
  <c r="EH197" i="10" s="1"/>
  <c r="EM195" i="10" s="1"/>
  <c r="EK195" i="10"/>
  <c r="DK220" i="10"/>
  <c r="DK65" i="10"/>
  <c r="DK216" i="10" s="1"/>
  <c r="EJ131" i="9"/>
  <c r="EI195" i="10" l="1"/>
  <c r="EI196" i="10" s="1"/>
  <c r="DK59" i="10"/>
  <c r="DK60" i="10" l="1"/>
  <c r="DK66" i="10"/>
  <c r="DK139" i="10"/>
  <c r="DL134" i="10" s="1"/>
  <c r="DK144" i="10" l="1"/>
  <c r="DK140" i="10"/>
  <c r="DK150" i="10"/>
  <c r="DK142" i="10" l="1"/>
  <c r="DK146" i="10"/>
  <c r="DK147" i="10" l="1"/>
  <c r="DK148" i="10" s="1"/>
  <c r="DK155" i="10" l="1"/>
  <c r="DK154" i="10" l="1"/>
  <c r="DL153" i="10"/>
  <c r="DL154" i="10" s="1"/>
  <c r="DK161" i="10"/>
  <c r="DL158" i="10" s="1"/>
  <c r="DN154" i="10" l="1"/>
  <c r="DN155" i="10" s="1"/>
  <c r="DS153" i="10" s="1"/>
  <c r="DK159" i="10"/>
  <c r="DO153" i="10" l="1"/>
  <c r="DO154" i="10" s="1"/>
  <c r="DS154" i="10" s="1"/>
  <c r="DS155" i="10" s="1"/>
  <c r="DT153" i="10" l="1"/>
  <c r="DT154" i="10" s="1"/>
  <c r="DX153" i="10"/>
  <c r="DU153" i="10" l="1"/>
  <c r="DU154" i="10" s="1"/>
  <c r="DV158" i="10" l="1"/>
  <c r="DV159" i="10" s="1"/>
  <c r="DV153" i="10"/>
  <c r="DV154" i="10" s="1"/>
  <c r="DX154" i="10" s="1"/>
  <c r="DX155" i="10" s="1"/>
  <c r="DK69" i="10"/>
  <c r="DK67" i="10"/>
  <c r="EJ138" i="9"/>
  <c r="DK207" i="10"/>
  <c r="DY153" i="10" l="1"/>
  <c r="DY154" i="10" s="1"/>
  <c r="EC153" i="10"/>
  <c r="DK206" i="10"/>
  <c r="DL205" i="10"/>
  <c r="DL206" i="10" s="1"/>
  <c r="EC154" i="10" l="1"/>
  <c r="EC155" i="10" s="1"/>
  <c r="DN206" i="10"/>
  <c r="DN207" i="10" s="1"/>
  <c r="EL138" i="9"/>
  <c r="EK138" i="9"/>
  <c r="EH153" i="10" l="1"/>
  <c r="ED153" i="10"/>
  <c r="ED154" i="10" s="1"/>
  <c r="DO205" i="10"/>
  <c r="DO206" i="10" s="1"/>
  <c r="DS206" i="10" s="1"/>
  <c r="DS205" i="10"/>
  <c r="DX24" i="10"/>
  <c r="DS207" i="10" l="1"/>
  <c r="DT205" i="10" l="1"/>
  <c r="DT206" i="10" s="1"/>
  <c r="DX206" i="10" s="1"/>
  <c r="DX205" i="10"/>
  <c r="EO138" i="9"/>
  <c r="DK79" i="10"/>
  <c r="DK61" i="10"/>
  <c r="DK62" i="10" s="1"/>
  <c r="DK78" i="10"/>
  <c r="DK73" i="10"/>
  <c r="DK36" i="10"/>
  <c r="DK77" i="10"/>
  <c r="DX207" i="10" l="1"/>
  <c r="EC205" i="10" s="1"/>
  <c r="DS31" i="10"/>
  <c r="ES138" i="9"/>
  <c r="DK169" i="10"/>
  <c r="DK95" i="10"/>
  <c r="DK96" i="10" s="1"/>
  <c r="DK98" i="10" s="1"/>
  <c r="EJ139" i="9"/>
  <c r="EJ140" i="9" s="1"/>
  <c r="DK212" i="10"/>
  <c r="DL210" i="10" s="1"/>
  <c r="DL211" i="10" s="1"/>
  <c r="DY205" i="10" l="1"/>
  <c r="DY206" i="10" s="1"/>
  <c r="EC206" i="10" s="1"/>
  <c r="EC207" i="10" s="1"/>
  <c r="FC138" i="9"/>
  <c r="J128" i="204"/>
  <c r="EX138" i="9"/>
  <c r="D128" i="204"/>
  <c r="ER138" i="9"/>
  <c r="DS95" i="10"/>
  <c r="F128" i="204"/>
  <c r="ET138" i="9"/>
  <c r="H128" i="204"/>
  <c r="DK211" i="10"/>
  <c r="DN211" i="10" s="1"/>
  <c r="DN212" i="10" s="1"/>
  <c r="EH205" i="10" l="1"/>
  <c r="ED205" i="10"/>
  <c r="ED206" i="10" s="1"/>
  <c r="EF205" i="10"/>
  <c r="EF206" i="10" s="1"/>
  <c r="EG205" i="10"/>
  <c r="EG206" i="10" s="1"/>
  <c r="K128" i="204"/>
  <c r="EY138" i="9"/>
  <c r="K121" i="204"/>
  <c r="DO210" i="10"/>
  <c r="DO211" i="10" s="1"/>
  <c r="DS211" i="10" s="1"/>
  <c r="DS210" i="10"/>
  <c r="E121" i="204"/>
  <c r="E135" i="204" s="1"/>
  <c r="D135" i="204"/>
  <c r="G121" i="204"/>
  <c r="F135" i="204"/>
  <c r="I121" i="204"/>
  <c r="G128" i="204"/>
  <c r="EV138" i="9"/>
  <c r="EU138" i="9"/>
  <c r="EK139" i="9"/>
  <c r="EL139" i="9"/>
  <c r="EH206" i="10" l="1"/>
  <c r="EH207" i="10" s="1"/>
  <c r="EH31" i="10"/>
  <c r="FE138" i="9"/>
  <c r="FF138" i="9"/>
  <c r="K135" i="204"/>
  <c r="L121" i="204"/>
  <c r="M128" i="204"/>
  <c r="EC31" i="10"/>
  <c r="FA138" i="9"/>
  <c r="L128" i="204"/>
  <c r="EZ138" i="9"/>
  <c r="D112" i="204"/>
  <c r="D114" i="204" s="1"/>
  <c r="DS212" i="10"/>
  <c r="DX210" i="10" s="1"/>
  <c r="I128" i="204"/>
  <c r="J121" i="204" s="1"/>
  <c r="J135" i="204" s="1"/>
  <c r="EW138" i="9"/>
  <c r="G135" i="204"/>
  <c r="H121" i="204"/>
  <c r="H135" i="204" s="1"/>
  <c r="EL140" i="9"/>
  <c r="EK140" i="9"/>
  <c r="EI205" i="10" l="1"/>
  <c r="EI206" i="10" s="1"/>
  <c r="EM205" i="10"/>
  <c r="O128" i="204"/>
  <c r="P121" i="204" s="1"/>
  <c r="FG138" i="9"/>
  <c r="L135" i="204"/>
  <c r="M121" i="204"/>
  <c r="M135" i="204" s="1"/>
  <c r="FB138" i="9"/>
  <c r="N128" i="204"/>
  <c r="O121" i="204" s="1"/>
  <c r="DT210" i="10"/>
  <c r="DT211" i="10" s="1"/>
  <c r="DX211" i="10" s="1"/>
  <c r="DX212" i="10" s="1"/>
  <c r="I135" i="204"/>
  <c r="N121" i="204"/>
  <c r="F129" i="204"/>
  <c r="F136" i="204" s="1"/>
  <c r="F140" i="204" s="1"/>
  <c r="ES139" i="9"/>
  <c r="ER139" i="9"/>
  <c r="ER140" i="9" s="1"/>
  <c r="EO139" i="9"/>
  <c r="DP179" i="10"/>
  <c r="DP180" i="10"/>
  <c r="O135" i="204" l="1"/>
  <c r="DY210" i="10"/>
  <c r="DY211" i="10" s="1"/>
  <c r="EC211" i="10" s="1"/>
  <c r="EC210" i="10"/>
  <c r="N135" i="204"/>
  <c r="EP140" i="9"/>
  <c r="EO140" i="9"/>
  <c r="ES140" i="9"/>
  <c r="ET139" i="9"/>
  <c r="G129" i="204"/>
  <c r="G136" i="204" s="1"/>
  <c r="G140" i="204" s="1"/>
  <c r="H129" i="204"/>
  <c r="H136" i="204" s="1"/>
  <c r="H140" i="204" s="1"/>
  <c r="DK74" i="10"/>
  <c r="EC212" i="10" l="1"/>
  <c r="EV139" i="9"/>
  <c r="DW95" i="10"/>
  <c r="EU139" i="9"/>
  <c r="DV95" i="10"/>
  <c r="ET140" i="9"/>
  <c r="ET142" i="9" s="1"/>
  <c r="DK75" i="10"/>
  <c r="DK41" i="10"/>
  <c r="DK76" i="10"/>
  <c r="EH210" i="10" l="1"/>
  <c r="ED210" i="10"/>
  <c r="ED211" i="10" s="1"/>
  <c r="I129" i="204"/>
  <c r="EW139" i="9"/>
  <c r="EW140" i="9" s="1"/>
  <c r="DX95" i="10"/>
  <c r="EV140" i="9"/>
  <c r="EV142" i="9" s="1"/>
  <c r="EU140" i="9"/>
  <c r="EU142" i="9" s="1"/>
  <c r="DK190" i="10"/>
  <c r="DK188" i="10"/>
  <c r="DK52" i="10"/>
  <c r="DK125" i="10"/>
  <c r="I136" i="204" l="1"/>
  <c r="J122" i="204"/>
  <c r="DL184" i="10"/>
  <c r="DL191" i="10" s="1"/>
  <c r="DK124" i="10"/>
  <c r="DL123" i="10"/>
  <c r="DL124" i="10" s="1"/>
  <c r="DK54" i="10"/>
  <c r="DK92" i="10"/>
  <c r="DK192" i="10"/>
  <c r="DK191" i="10" s="1"/>
  <c r="DK173" i="10"/>
  <c r="DK179" i="10"/>
  <c r="DK180" i="10"/>
  <c r="DK93" i="10" l="1"/>
  <c r="DN124" i="10"/>
  <c r="DN125" i="10" s="1"/>
  <c r="DS123" i="10" s="1"/>
  <c r="DK181" i="10"/>
  <c r="DM190" i="10"/>
  <c r="DM188" i="10"/>
  <c r="DO123" i="10" l="1"/>
  <c r="DO124" i="10" s="1"/>
  <c r="DS124" i="10" s="1"/>
  <c r="DS125" i="10" s="1"/>
  <c r="DT123" i="10" s="1"/>
  <c r="DT124" i="10" s="1"/>
  <c r="DN188" i="10"/>
  <c r="DN190" i="10"/>
  <c r="DK135" i="10" l="1"/>
  <c r="DK138" i="10"/>
  <c r="DK143" i="10" s="1"/>
  <c r="DJ135" i="10"/>
  <c r="DJ136" i="10" s="1"/>
  <c r="EJ119" i="9" l="1"/>
  <c r="DK136" i="10"/>
  <c r="DK137" i="10"/>
  <c r="EJ121" i="9" l="1"/>
  <c r="DJ20" i="10" l="1"/>
  <c r="DJ97" i="10"/>
  <c r="DJ68" i="10"/>
  <c r="DJ168" i="10" l="1"/>
  <c r="DJ27" i="10"/>
  <c r="DJ91" i="10"/>
  <c r="DJ167" i="10"/>
  <c r="DK97" i="10"/>
  <c r="DK20" i="10"/>
  <c r="DK68" i="10"/>
  <c r="DK168" i="10" l="1"/>
  <c r="DK167" i="10"/>
  <c r="DK27" i="10"/>
  <c r="DJ218" i="10"/>
  <c r="DJ56" i="10"/>
  <c r="DJ217" i="10"/>
  <c r="DJ172" i="10"/>
  <c r="DK91" i="10"/>
  <c r="DJ202" i="10"/>
  <c r="DJ201" i="10" s="1"/>
  <c r="DJ70" i="10"/>
  <c r="DK217" i="10" l="1"/>
  <c r="DK218" i="10"/>
  <c r="DK56" i="10"/>
  <c r="DK172" i="10"/>
  <c r="DK200" i="10"/>
  <c r="DK70" i="10"/>
  <c r="DK202" i="10"/>
  <c r="DK201" i="10" l="1"/>
  <c r="DL200" i="10"/>
  <c r="DL201" i="10" s="1"/>
  <c r="DN201" i="10" l="1"/>
  <c r="DN202" i="10" s="1"/>
  <c r="DS200" i="10" l="1"/>
  <c r="DO200" i="10"/>
  <c r="DO201" i="10" s="1"/>
  <c r="DS201" i="10" s="1"/>
  <c r="DJ75" i="31"/>
  <c r="DS202" i="10" l="1"/>
  <c r="DT200" i="10" l="1"/>
  <c r="DT201" i="10" s="1"/>
  <c r="DX201" i="10" s="1"/>
  <c r="DX200" i="10"/>
  <c r="DX202" i="10" l="1"/>
  <c r="DY200" i="10" s="1"/>
  <c r="DY201" i="10" s="1"/>
  <c r="EC201" i="10" s="1"/>
  <c r="EC200" i="10" l="1"/>
  <c r="EC202" i="10" s="1"/>
  <c r="DE465" i="31"/>
  <c r="DE470" i="31" s="1"/>
  <c r="EH200" i="10" l="1"/>
  <c r="ED200" i="10"/>
  <c r="ED201" i="10" s="1"/>
  <c r="DN503" i="31" l="1"/>
  <c r="EI498" i="31" l="1"/>
  <c r="CS236" i="31"/>
  <c r="CS520" i="31"/>
  <c r="CS517" i="31"/>
  <c r="CX523" i="31" s="1"/>
  <c r="EJ498" i="31" l="1"/>
  <c r="EH498" i="31"/>
  <c r="CU517" i="31"/>
  <c r="CS523" i="31"/>
  <c r="EK498" i="31" l="1"/>
  <c r="EH503" i="31"/>
  <c r="CZ523" i="31"/>
  <c r="CU523" i="31"/>
  <c r="EL498" i="31" l="1"/>
  <c r="EM498" i="31" l="1"/>
  <c r="CS639" i="31"/>
  <c r="CS638" i="31"/>
  <c r="EN498" i="31" l="1"/>
  <c r="CU639" i="31"/>
  <c r="CU638" i="31"/>
  <c r="CU681" i="31"/>
  <c r="CS886" i="31"/>
  <c r="CS24" i="31" s="1"/>
  <c r="CS885" i="31"/>
  <c r="CS23" i="31" s="1"/>
  <c r="EO498" i="31" l="1"/>
  <c r="CU683" i="31"/>
  <c r="CU886" i="31"/>
  <c r="CU24" i="31" s="1"/>
  <c r="CU682" i="31"/>
  <c r="CS887" i="31"/>
  <c r="CS25" i="31" s="1"/>
  <c r="CU885" i="31"/>
  <c r="CS35" i="31"/>
  <c r="CS891" i="31"/>
  <c r="CS892" i="31" s="1"/>
  <c r="CS890" i="31"/>
  <c r="CS34" i="31"/>
  <c r="EP498" i="31" l="1"/>
  <c r="CU890" i="31"/>
  <c r="CU23" i="31"/>
  <c r="CS893" i="31"/>
  <c r="CU891" i="31"/>
  <c r="CU892" i="31" s="1"/>
  <c r="CU35" i="31"/>
  <c r="EM93" i="9" s="1"/>
  <c r="CZ21" i="31"/>
  <c r="CU34" i="31"/>
  <c r="EK93" i="9"/>
  <c r="CS40" i="31"/>
  <c r="CS41" i="31" s="1"/>
  <c r="CU887" i="31"/>
  <c r="CX20" i="31"/>
  <c r="CS29" i="31"/>
  <c r="CS30" i="31" s="1"/>
  <c r="EK103" i="9"/>
  <c r="EK102" i="9"/>
  <c r="CS39" i="31"/>
  <c r="EK92" i="9"/>
  <c r="CS28" i="31"/>
  <c r="EK24" i="9"/>
  <c r="CS31" i="31"/>
  <c r="EK106" i="9"/>
  <c r="EK112" i="9"/>
  <c r="EK108" i="9"/>
  <c r="EK107" i="9"/>
  <c r="EK110" i="9"/>
  <c r="EK111" i="9"/>
  <c r="CU29" i="31"/>
  <c r="CU30" i="31" s="1"/>
  <c r="CS36" i="31"/>
  <c r="CZ362" i="31" l="1"/>
  <c r="EQ498" i="31"/>
  <c r="CU893" i="31"/>
  <c r="CU25" i="31"/>
  <c r="EM107" i="9" s="1"/>
  <c r="CZ1074" i="31"/>
  <c r="CZ1069" i="31" s="1"/>
  <c r="CZ1063" i="31"/>
  <c r="CZ1058" i="31" s="1"/>
  <c r="CZ1052" i="31"/>
  <c r="CZ1047" i="31" s="1"/>
  <c r="CZ1041" i="31"/>
  <c r="CZ1036" i="31" s="1"/>
  <c r="CZ916" i="31"/>
  <c r="CZ963" i="31"/>
  <c r="CZ905" i="31"/>
  <c r="CZ1086" i="31"/>
  <c r="CZ1201" i="31"/>
  <c r="CZ1019" i="31"/>
  <c r="CZ1008" i="31"/>
  <c r="CZ975" i="31"/>
  <c r="CZ1030" i="31"/>
  <c r="CZ997" i="31"/>
  <c r="CZ633" i="31"/>
  <c r="CZ505" i="31"/>
  <c r="CZ1428" i="31"/>
  <c r="CZ52" i="31"/>
  <c r="CZ765" i="31"/>
  <c r="CZ212" i="31"/>
  <c r="CZ1439" i="31"/>
  <c r="CZ132" i="31"/>
  <c r="CU36" i="31"/>
  <c r="CZ544" i="31"/>
  <c r="CZ187" i="31"/>
  <c r="CZ198" i="31"/>
  <c r="CZ1494" i="31"/>
  <c r="CZ655" i="31"/>
  <c r="CZ176" i="31"/>
  <c r="CZ237" i="31"/>
  <c r="CZ346" i="31"/>
  <c r="CZ472" i="31"/>
  <c r="CZ699" i="31"/>
  <c r="CZ1450" i="31"/>
  <c r="CU40" i="31"/>
  <c r="CU41" i="31" s="1"/>
  <c r="EM92" i="9"/>
  <c r="EM94" i="9" s="1"/>
  <c r="CU39" i="31"/>
  <c r="CZ77" i="31"/>
  <c r="CZ677" i="31"/>
  <c r="CZ721" i="31"/>
  <c r="CZ1472" i="31"/>
  <c r="CZ666" i="31"/>
  <c r="CZ281" i="31"/>
  <c r="CZ63" i="31"/>
  <c r="CZ461" i="31"/>
  <c r="CZ209" i="31"/>
  <c r="CZ743" i="31"/>
  <c r="CZ270" i="31"/>
  <c r="CZ335" i="31"/>
  <c r="CZ754" i="31"/>
  <c r="CZ1461" i="31"/>
  <c r="CZ248" i="31"/>
  <c r="CZ1483" i="31"/>
  <c r="CZ259" i="31"/>
  <c r="CU28" i="31"/>
  <c r="CZ226" i="31"/>
  <c r="DL83" i="10"/>
  <c r="EK67" i="9"/>
  <c r="EK72" i="9"/>
  <c r="DL176" i="10" s="1"/>
  <c r="EK66" i="9"/>
  <c r="EK65" i="9"/>
  <c r="DL174" i="10" s="1"/>
  <c r="EK70" i="9"/>
  <c r="EK94" i="9"/>
  <c r="EK115" i="9"/>
  <c r="EK114" i="9"/>
  <c r="EK75" i="9"/>
  <c r="CS42" i="31"/>
  <c r="EK104" i="9"/>
  <c r="ER498" i="31" l="1"/>
  <c r="CZ1037" i="31"/>
  <c r="CZ1048" i="31"/>
  <c r="CZ1059" i="31"/>
  <c r="CZ1070" i="31"/>
  <c r="CU42" i="31"/>
  <c r="EM112" i="9"/>
  <c r="EM106" i="9"/>
  <c r="DL84" i="10"/>
  <c r="DP84" i="10"/>
  <c r="DO84" i="10"/>
  <c r="EM103" i="9"/>
  <c r="CZ20" i="31"/>
  <c r="EM102" i="9"/>
  <c r="EM111" i="9"/>
  <c r="EM104" i="9"/>
  <c r="CU31" i="31"/>
  <c r="EM108" i="9"/>
  <c r="EM110" i="9"/>
  <c r="EK116" i="9"/>
  <c r="EK29" i="9"/>
  <c r="DD755" i="31"/>
  <c r="EK78" i="9"/>
  <c r="EK77" i="9"/>
  <c r="EM2" i="9"/>
  <c r="EM4" i="9" s="1"/>
  <c r="EM7" i="9" s="1"/>
  <c r="DN83" i="10"/>
  <c r="DN84" i="10" s="1"/>
  <c r="DM84" i="10"/>
  <c r="EK76" i="9"/>
  <c r="ES498" i="31" l="1"/>
  <c r="CZ1076" i="31"/>
  <c r="CZ1065" i="31"/>
  <c r="CZ1054" i="31"/>
  <c r="CZ1043" i="31"/>
  <c r="EM115" i="9"/>
  <c r="EM114" i="9"/>
  <c r="DO69" i="10"/>
  <c r="DO79" i="10"/>
  <c r="DO65" i="10"/>
  <c r="DO216" i="10" s="1"/>
  <c r="DO144" i="10"/>
  <c r="DO76" i="10"/>
  <c r="DO75" i="10"/>
  <c r="DO59" i="10"/>
  <c r="DO68" i="10"/>
  <c r="DO74" i="10"/>
  <c r="DO78" i="10"/>
  <c r="DO73" i="10"/>
  <c r="DO67" i="10"/>
  <c r="DO70" i="10"/>
  <c r="DO136" i="10"/>
  <c r="DO66" i="10"/>
  <c r="DO77" i="10"/>
  <c r="DP144" i="10"/>
  <c r="DP73" i="10"/>
  <c r="DP69" i="10"/>
  <c r="DP70" i="10"/>
  <c r="DP59" i="10"/>
  <c r="DP78" i="10"/>
  <c r="DP67" i="10"/>
  <c r="DP68" i="10"/>
  <c r="DP74" i="10"/>
  <c r="DP75" i="10"/>
  <c r="DP76" i="10"/>
  <c r="DP66" i="10"/>
  <c r="DP65" i="10"/>
  <c r="DP77" i="10"/>
  <c r="DP79" i="10"/>
  <c r="DL68" i="10"/>
  <c r="DL78" i="10"/>
  <c r="DL69" i="10"/>
  <c r="DL79" i="10"/>
  <c r="DL70" i="10"/>
  <c r="DL144" i="10"/>
  <c r="DL73" i="10"/>
  <c r="DL59" i="10"/>
  <c r="DL62" i="10" s="1"/>
  <c r="DL74" i="10"/>
  <c r="DL65" i="10"/>
  <c r="DL216" i="10" s="1"/>
  <c r="DL75" i="10"/>
  <c r="DL66" i="10"/>
  <c r="DL67" i="10"/>
  <c r="DL77" i="10"/>
  <c r="DL76" i="10"/>
  <c r="DM144" i="10"/>
  <c r="DM78" i="10"/>
  <c r="DM73" i="10"/>
  <c r="DM69" i="10"/>
  <c r="DM67" i="10"/>
  <c r="DM65" i="10"/>
  <c r="DM79" i="10"/>
  <c r="DM77" i="10"/>
  <c r="DM74" i="10"/>
  <c r="DM68" i="10"/>
  <c r="DM66" i="10"/>
  <c r="DM75" i="10"/>
  <c r="DM59" i="10"/>
  <c r="DM70" i="10"/>
  <c r="DM76" i="10"/>
  <c r="DN75" i="10"/>
  <c r="DN70" i="10"/>
  <c r="DN66" i="10"/>
  <c r="DN59" i="10"/>
  <c r="DN79" i="10"/>
  <c r="DN77" i="10"/>
  <c r="DN68" i="10"/>
  <c r="DN65" i="10"/>
  <c r="DN78" i="10"/>
  <c r="DN73" i="10"/>
  <c r="DN69" i="10"/>
  <c r="DN67" i="10"/>
  <c r="DN76" i="10"/>
  <c r="DN74" i="10"/>
  <c r="EK79" i="9"/>
  <c r="EK68" i="9"/>
  <c r="DL175" i="10" s="1"/>
  <c r="EK37" i="9"/>
  <c r="DD341" i="31"/>
  <c r="DN85" i="10"/>
  <c r="DN86" i="10" s="1"/>
  <c r="EK80" i="9"/>
  <c r="EM116" i="9" l="1"/>
  <c r="EK122" i="9"/>
  <c r="DE341" i="31"/>
  <c r="DD347" i="31"/>
  <c r="EK39" i="9"/>
  <c r="EM37" i="9"/>
  <c r="EK126" i="9"/>
  <c r="DN61" i="10"/>
  <c r="DN60" i="10"/>
  <c r="DN175" i="10"/>
  <c r="EK125" i="9"/>
  <c r="EK81" i="9"/>
  <c r="EK84" i="9" s="1"/>
  <c r="EK52" i="9"/>
  <c r="EL76" i="9"/>
  <c r="EL65" i="9"/>
  <c r="DM85" i="10"/>
  <c r="DP86" i="10" s="1"/>
  <c r="EL77" i="9"/>
  <c r="EL66" i="9"/>
  <c r="EL78" i="9"/>
  <c r="EL67" i="9"/>
  <c r="DJ347" i="31" l="1"/>
  <c r="DE347" i="31"/>
  <c r="DP61" i="10"/>
  <c r="DP60" i="10"/>
  <c r="EK127" i="9"/>
  <c r="DO86" i="10"/>
  <c r="EM126" i="9"/>
  <c r="EM38" i="9"/>
  <c r="EM39" i="9"/>
  <c r="DN62" i="10"/>
  <c r="DM174" i="10"/>
  <c r="DM86" i="10"/>
  <c r="EL79" i="9"/>
  <c r="EL68" i="9"/>
  <c r="DM175" i="10" s="1"/>
  <c r="EK82" i="9"/>
  <c r="EK83" i="9" s="1"/>
  <c r="EA133" i="9"/>
  <c r="DP62" i="10" l="1"/>
  <c r="EM80" i="9"/>
  <c r="EM125" i="9"/>
  <c r="EM127" i="9" s="1"/>
  <c r="EM43" i="9"/>
  <c r="EM70" i="9"/>
  <c r="EM122" i="9"/>
  <c r="EM71" i="9"/>
  <c r="DO61" i="10"/>
  <c r="DO60" i="10"/>
  <c r="DM61" i="10"/>
  <c r="DM60" i="10"/>
  <c r="EJ134" i="9"/>
  <c r="EJ136" i="9" s="1"/>
  <c r="EJ142" i="9" s="1"/>
  <c r="EB134" i="9"/>
  <c r="EB135" i="9" s="1"/>
  <c r="EA134" i="9"/>
  <c r="EA135" i="9" s="1"/>
  <c r="EM5" i="9" l="1"/>
  <c r="EM52" i="9"/>
  <c r="DO62" i="10"/>
  <c r="EM55" i="9"/>
  <c r="EM72" i="9"/>
  <c r="EM81" i="9"/>
  <c r="EM84" i="9" s="1"/>
  <c r="DM62" i="10"/>
  <c r="EJ141" i="9"/>
  <c r="EJ143" i="9"/>
  <c r="EJ144" i="9" s="1"/>
  <c r="EM82" i="9" l="1"/>
  <c r="EM83" i="9" s="1"/>
  <c r="DP181" i="10" l="1"/>
  <c r="DP218" i="10" l="1"/>
  <c r="DP172" i="10"/>
  <c r="DP169" i="10" l="1"/>
  <c r="DP216" i="10"/>
  <c r="DP220" i="10"/>
  <c r="DP217" i="10"/>
  <c r="EK57" i="9"/>
  <c r="EK54" i="9"/>
  <c r="EK44" i="9"/>
  <c r="EM44" i="9" s="1"/>
  <c r="EM45" i="9" s="1"/>
  <c r="EM54" i="9" l="1"/>
  <c r="EM57" i="9"/>
  <c r="DP168" i="10"/>
  <c r="DP167" i="10"/>
  <c r="DM184" i="10"/>
  <c r="EK131" i="9" l="1"/>
  <c r="EK134" i="9" l="1"/>
  <c r="EK136" i="9" s="1"/>
  <c r="EK142" i="9" l="1"/>
  <c r="EK143" i="9" l="1"/>
  <c r="EK144" i="9" s="1"/>
  <c r="EK141" i="9"/>
  <c r="DL135" i="10" l="1"/>
  <c r="DL136" i="10" l="1"/>
  <c r="DM146" i="10" l="1"/>
  <c r="DN29" i="11" l="1"/>
  <c r="DN52" i="11" l="1"/>
  <c r="DN54" i="11" l="1"/>
  <c r="DO53" i="11" s="1"/>
  <c r="DO54" i="11" s="1"/>
  <c r="DN149" i="10" l="1"/>
  <c r="DM150" i="10" l="1"/>
  <c r="DM149" i="10"/>
  <c r="DM147" i="10" l="1"/>
  <c r="DM148" i="10" s="1"/>
  <c r="EL70" i="9" l="1"/>
  <c r="EL122" i="9"/>
  <c r="EL125" i="9"/>
  <c r="EL127" i="9" s="1"/>
  <c r="EL80" i="9"/>
  <c r="DN176" i="10" l="1"/>
  <c r="DN185" i="10" l="1"/>
  <c r="EL71" i="9"/>
  <c r="EL50" i="9" s="1"/>
  <c r="EL81" i="9" l="1"/>
  <c r="EL84" i="9" s="1"/>
  <c r="EL72" i="9"/>
  <c r="DM176" i="10" s="1"/>
  <c r="EM8" i="9" l="1"/>
  <c r="DM185" i="10"/>
  <c r="EL82" i="9"/>
  <c r="EL83" i="9" s="1"/>
  <c r="DM179" i="10" l="1"/>
  <c r="DM180" i="10"/>
  <c r="DM192" i="10"/>
  <c r="DM191" i="10" s="1"/>
  <c r="DM173" i="10"/>
  <c r="DN180" i="10" l="1"/>
  <c r="DN179" i="10"/>
  <c r="DN192" i="10"/>
  <c r="DN191" i="10" s="1"/>
  <c r="DN173" i="10"/>
  <c r="DM181" i="10"/>
  <c r="DM56" i="10"/>
  <c r="DM218" i="10" l="1"/>
  <c r="DM172" i="10"/>
  <c r="DN181" i="10"/>
  <c r="DN56" i="10"/>
  <c r="DN218" i="10" l="1"/>
  <c r="DN172" i="10"/>
  <c r="DM169" i="10"/>
  <c r="DM217" i="10"/>
  <c r="DM220" i="10"/>
  <c r="DM216" i="10"/>
  <c r="EL131" i="9"/>
  <c r="EL134" i="9" s="1"/>
  <c r="EL136" i="9" s="1"/>
  <c r="EM131" i="9"/>
  <c r="EM134" i="9" l="1"/>
  <c r="EN134" i="9"/>
  <c r="EN136" i="9" s="1"/>
  <c r="EL142" i="9"/>
  <c r="EM136" i="9"/>
  <c r="DM167" i="10"/>
  <c r="DM168" i="10"/>
  <c r="DN220" i="10"/>
  <c r="DN169" i="10"/>
  <c r="DN217" i="10"/>
  <c r="EM142" i="9" l="1"/>
  <c r="EM141" i="9" s="1"/>
  <c r="EN142" i="9"/>
  <c r="EN143" i="9" s="1"/>
  <c r="EN144" i="9" s="1"/>
  <c r="EL143" i="9"/>
  <c r="EL144" i="9" s="1"/>
  <c r="EM135" i="9"/>
  <c r="DN168" i="10"/>
  <c r="DN167" i="10"/>
  <c r="DN216" i="10"/>
  <c r="EM143" i="9" l="1"/>
  <c r="EM144" i="9" s="1"/>
  <c r="EN141" i="9"/>
  <c r="EL49" i="9" l="1"/>
  <c r="EL53" i="9" s="1"/>
  <c r="EK51" i="9"/>
  <c r="EJ51" i="9" l="1"/>
  <c r="EK50" i="9"/>
  <c r="EL56" i="9"/>
  <c r="EK49" i="9"/>
  <c r="EI51" i="9" l="1"/>
  <c r="EI50" i="9" s="1"/>
  <c r="EJ50" i="9"/>
  <c r="EJ49" i="9"/>
  <c r="EK53" i="9"/>
  <c r="EK56" i="9"/>
  <c r="EM51" i="9" l="1"/>
  <c r="FA51" i="9" s="1"/>
  <c r="EZ51" i="9" s="1"/>
  <c r="EJ56" i="9"/>
  <c r="EJ53" i="9"/>
  <c r="EI49" i="9"/>
  <c r="EM49" i="9" l="1"/>
  <c r="EM53" i="9" s="1"/>
  <c r="EV51" i="9"/>
  <c r="EU51" i="9" s="1"/>
  <c r="ET51" i="9" s="1"/>
  <c r="ES51" i="9" s="1"/>
  <c r="EY51" i="9"/>
  <c r="EM50" i="9"/>
  <c r="EI56" i="9"/>
  <c r="EI53" i="9"/>
  <c r="EM56" i="9" l="1"/>
  <c r="EX51" i="9"/>
  <c r="ES50" i="9"/>
  <c r="ES49" i="9"/>
  <c r="ES56" i="9" s="1"/>
  <c r="ET50" i="9"/>
  <c r="EL141" i="9" l="1"/>
  <c r="DN138" i="10" l="1"/>
  <c r="EM119" i="9" s="1"/>
  <c r="DM138" i="10"/>
  <c r="DM135" i="10"/>
  <c r="DN135" i="10" s="1"/>
  <c r="DN136" i="10" s="1"/>
  <c r="DM143" i="10" l="1"/>
  <c r="EL119" i="9"/>
  <c r="DM136" i="10"/>
  <c r="DM137" i="10"/>
  <c r="EM121" i="9"/>
  <c r="DN99" i="10" l="1"/>
  <c r="EL121" i="9"/>
  <c r="EO131" i="9" l="1"/>
  <c r="EO134" i="9" l="1"/>
  <c r="EO136" i="9" s="1"/>
  <c r="EP134" i="9"/>
  <c r="EO142" i="9" l="1"/>
  <c r="EO143" i="9" s="1"/>
  <c r="EO144" i="9" s="1"/>
  <c r="EO141" i="9" l="1"/>
  <c r="CW639" i="31" l="1"/>
  <c r="DB645" i="31" s="1"/>
  <c r="CW638" i="31"/>
  <c r="DB642" i="31" l="1"/>
  <c r="DB643" i="31"/>
  <c r="DB644" i="31" s="1"/>
  <c r="CW886" i="31"/>
  <c r="CW24" i="31" s="1"/>
  <c r="CW885" i="31"/>
  <c r="CW23" i="31" s="1"/>
  <c r="CW34" i="31" l="1"/>
  <c r="CW890" i="31"/>
  <c r="CW887" i="31"/>
  <c r="CW25" i="31" s="1"/>
  <c r="CW35" i="31"/>
  <c r="CW891" i="31"/>
  <c r="CW892" i="31" s="1"/>
  <c r="CW28" i="31" l="1"/>
  <c r="CW893" i="31"/>
  <c r="CW29" i="31"/>
  <c r="CW30" i="31" s="1"/>
  <c r="CW39" i="31"/>
  <c r="EO92" i="9"/>
  <c r="EO93" i="9"/>
  <c r="CW36" i="31"/>
  <c r="CW40" i="31"/>
  <c r="CW41" i="31" s="1"/>
  <c r="DB20" i="31" l="1"/>
  <c r="EO102" i="9"/>
  <c r="CW42" i="31"/>
  <c r="EO104" i="9"/>
  <c r="EO106" i="9"/>
  <c r="CW31" i="31"/>
  <c r="EO107" i="9"/>
  <c r="EO111" i="9"/>
  <c r="EO108" i="9"/>
  <c r="EO112" i="9"/>
  <c r="EO110" i="9"/>
  <c r="EO103" i="9"/>
  <c r="EO94" i="9"/>
  <c r="EO114" i="9" l="1"/>
  <c r="EO115" i="9"/>
  <c r="EO75" i="9"/>
  <c r="EO116" i="9" l="1"/>
  <c r="EO76" i="9"/>
  <c r="EO77" i="9"/>
  <c r="EO79" i="9" l="1"/>
  <c r="EO80" i="9"/>
  <c r="EO125" i="9"/>
  <c r="EO127" i="9" s="1"/>
  <c r="EO122" i="9"/>
  <c r="EO81" i="9" l="1"/>
  <c r="EO84" i="9" s="1"/>
  <c r="EO52" i="9"/>
  <c r="EO55" i="9"/>
  <c r="EO82" i="9" s="1"/>
  <c r="EO41" i="9"/>
  <c r="EO71" i="9" l="1"/>
  <c r="EO50" i="9" s="1"/>
  <c r="EO83" i="9"/>
  <c r="EO49" i="9"/>
  <c r="EO56" i="9" l="1"/>
  <c r="EO53" i="9"/>
  <c r="EO57" i="9" l="1"/>
  <c r="EO54" i="9"/>
  <c r="EO44" i="9"/>
  <c r="ER44" i="9" s="1"/>
  <c r="DG182" i="31" l="1"/>
  <c r="DB75" i="31"/>
  <c r="DB76" i="31"/>
  <c r="DB77" i="31" s="1"/>
  <c r="DG188" i="31" l="1"/>
  <c r="DG72" i="31"/>
  <c r="DG75" i="31"/>
  <c r="DG76" i="31"/>
  <c r="DG77" i="31" s="1"/>
  <c r="DB885" i="31"/>
  <c r="DB23" i="31" s="1"/>
  <c r="DB72" i="31"/>
  <c r="DG78" i="31" l="1"/>
  <c r="DB78" i="31"/>
  <c r="DP138" i="10" l="1"/>
  <c r="EO119" i="9" s="1"/>
  <c r="DP135" i="10"/>
  <c r="DP137" i="10" l="1"/>
  <c r="DP143" i="10"/>
  <c r="DP136" i="10"/>
  <c r="EO121" i="9" l="1"/>
  <c r="CX639" i="31" l="1"/>
  <c r="CX645" i="31" s="1"/>
  <c r="DC638" i="31" l="1"/>
  <c r="DH643" i="31" l="1"/>
  <c r="DH644" i="31" s="1"/>
  <c r="CX885" i="31"/>
  <c r="CX23" i="31" s="1"/>
  <c r="CX638" i="31"/>
  <c r="DM639" i="31" l="1"/>
  <c r="DM643" i="31"/>
  <c r="DM644" i="31" s="1"/>
  <c r="DM683" i="31"/>
  <c r="DR689" i="31" s="1"/>
  <c r="DH683" i="31"/>
  <c r="DM642" i="31"/>
  <c r="DC643" i="31"/>
  <c r="DC644" i="31" s="1"/>
  <c r="CX643" i="31"/>
  <c r="CX644" i="31" s="1"/>
  <c r="CX886" i="31"/>
  <c r="CX24" i="31" s="1"/>
  <c r="CX34" i="31"/>
  <c r="CX890" i="31"/>
  <c r="EP22" i="9"/>
  <c r="CX642" i="31"/>
  <c r="DC683" i="31"/>
  <c r="DM645" i="31" l="1"/>
  <c r="DH689" i="31"/>
  <c r="DM689" i="31"/>
  <c r="DH642" i="31"/>
  <c r="DC642" i="31"/>
  <c r="EP92" i="9"/>
  <c r="DC689" i="31"/>
  <c r="DC639" i="31"/>
  <c r="CX28" i="31"/>
  <c r="CX891" i="31"/>
  <c r="CX892" i="31" s="1"/>
  <c r="CX35" i="31"/>
  <c r="EP93" i="9" s="1"/>
  <c r="CX887" i="31"/>
  <c r="CX25" i="31" s="1"/>
  <c r="CX39" i="31"/>
  <c r="DR642" i="31" l="1"/>
  <c r="DH645" i="31"/>
  <c r="DC645" i="31"/>
  <c r="EP23" i="9"/>
  <c r="EP24" i="9" s="1"/>
  <c r="EP94" i="9"/>
  <c r="CX893" i="31"/>
  <c r="CX36" i="31"/>
  <c r="CX40" i="31"/>
  <c r="CX41" i="31" s="1"/>
  <c r="CX29" i="31"/>
  <c r="CX30" i="31" s="1"/>
  <c r="DC20" i="31" l="1"/>
  <c r="EP66" i="9"/>
  <c r="EP72" i="9"/>
  <c r="DQ176" i="10" s="1"/>
  <c r="EP65" i="9"/>
  <c r="DQ174" i="10" s="1"/>
  <c r="EP29" i="9"/>
  <c r="EP68" i="9" s="1"/>
  <c r="DQ175" i="10" s="1"/>
  <c r="EP75" i="9"/>
  <c r="EP84" i="9" s="1"/>
  <c r="EP70" i="9"/>
  <c r="EP67" i="9"/>
  <c r="EP104" i="9"/>
  <c r="EP108" i="9"/>
  <c r="EP103" i="9"/>
  <c r="EP112" i="9"/>
  <c r="EP107" i="9"/>
  <c r="EP111" i="9"/>
  <c r="EP106" i="9"/>
  <c r="EP110" i="9"/>
  <c r="EP102" i="9"/>
  <c r="DQ83" i="10"/>
  <c r="DQ84" i="10" s="1"/>
  <c r="CX42" i="31"/>
  <c r="CX31" i="31"/>
  <c r="EP79" i="9" l="1"/>
  <c r="DQ73" i="10"/>
  <c r="DQ77" i="10"/>
  <c r="DQ66" i="10"/>
  <c r="DQ70" i="10"/>
  <c r="DQ79" i="10"/>
  <c r="DQ65" i="10"/>
  <c r="DQ216" i="10" s="1"/>
  <c r="DQ74" i="10"/>
  <c r="DQ78" i="10"/>
  <c r="DQ67" i="10"/>
  <c r="DQ59" i="10"/>
  <c r="DQ144" i="10"/>
  <c r="DQ75" i="10"/>
  <c r="DQ68" i="10"/>
  <c r="DQ76" i="10"/>
  <c r="DQ69" i="10"/>
  <c r="DQ136" i="10"/>
  <c r="EP114" i="9"/>
  <c r="EP115" i="9"/>
  <c r="DQ85" i="10"/>
  <c r="DT86" i="10" l="1"/>
  <c r="DT60" i="10" s="1"/>
  <c r="DU86" i="10"/>
  <c r="EP116" i="9"/>
  <c r="DQ86" i="10"/>
  <c r="DQ61" i="10" s="1"/>
  <c r="DR86" i="10"/>
  <c r="DT61" i="10" l="1"/>
  <c r="DU60" i="10"/>
  <c r="DU61" i="10"/>
  <c r="DQ60" i="10"/>
  <c r="DQ62" i="10" s="1"/>
  <c r="DR60" i="10"/>
  <c r="DR61" i="10"/>
  <c r="EP37" i="9" l="1"/>
  <c r="EP126" i="9" l="1"/>
  <c r="EP127" i="9" s="1"/>
  <c r="EP122" i="9"/>
  <c r="EP39" i="9"/>
  <c r="EP41" i="9" l="1"/>
  <c r="ER41" i="9" l="1"/>
  <c r="EP49" i="9"/>
  <c r="EP71" i="9"/>
  <c r="EP50" i="9" s="1"/>
  <c r="ER50" i="9" s="1"/>
  <c r="EP56" i="9" l="1"/>
  <c r="DT53" i="11" l="1"/>
  <c r="DQ56" i="10" l="1"/>
  <c r="EP136" i="9"/>
  <c r="EP142" i="9" l="1"/>
  <c r="EP143" i="9" s="1"/>
  <c r="EP144" i="9" s="1"/>
  <c r="EP141" i="9" l="1"/>
  <c r="DE196" i="31" l="1"/>
  <c r="DA886" i="31" l="1"/>
  <c r="DA24" i="31" s="1"/>
  <c r="DA887" i="31" l="1"/>
  <c r="DA25" i="31" s="1"/>
  <c r="DB34" i="31"/>
  <c r="DB890" i="31"/>
  <c r="DC467" i="31"/>
  <c r="DC473" i="31" s="1"/>
  <c r="DC885" i="31"/>
  <c r="DC23" i="31" s="1"/>
  <c r="DA473" i="31"/>
  <c r="DB473" i="31"/>
  <c r="DB470" i="31"/>
  <c r="DB471" i="31"/>
  <c r="DB886" i="31"/>
  <c r="DB24" i="31" s="1"/>
  <c r="DA35" i="31"/>
  <c r="DA891" i="31"/>
  <c r="DA892" i="31" s="1"/>
  <c r="DA29" i="31" l="1"/>
  <c r="DA30" i="31" s="1"/>
  <c r="DF20" i="31"/>
  <c r="DB39" i="31"/>
  <c r="ES93" i="9"/>
  <c r="DA40" i="31"/>
  <c r="DA41" i="31" s="1"/>
  <c r="DB28" i="31"/>
  <c r="DC34" i="31"/>
  <c r="DC890" i="31"/>
  <c r="DB891" i="31"/>
  <c r="DB892" i="31" s="1"/>
  <c r="DB887" i="31"/>
  <c r="DB25" i="31" s="1"/>
  <c r="DB35" i="31"/>
  <c r="ET92" i="9"/>
  <c r="DA31" i="31" l="1"/>
  <c r="DB40" i="31"/>
  <c r="DB41" i="31" s="1"/>
  <c r="DB29" i="31"/>
  <c r="DB30" i="31" s="1"/>
  <c r="ET24" i="9"/>
  <c r="DC39" i="31"/>
  <c r="EU92" i="9"/>
  <c r="ET93" i="9"/>
  <c r="ET94" i="9" s="1"/>
  <c r="DB36" i="31"/>
  <c r="DB893" i="31"/>
  <c r="DG20" i="31"/>
  <c r="DC28" i="31"/>
  <c r="DU83" i="10" l="1"/>
  <c r="ET65" i="9"/>
  <c r="DU174" i="10" s="1"/>
  <c r="ET70" i="9"/>
  <c r="ET66" i="9"/>
  <c r="ET67" i="9"/>
  <c r="ET72" i="9"/>
  <c r="DU176" i="10" s="1"/>
  <c r="DB42" i="31"/>
  <c r="ET75" i="9"/>
  <c r="DB31" i="31"/>
  <c r="ET106" i="9"/>
  <c r="ET112" i="9"/>
  <c r="ET110" i="9"/>
  <c r="ET108" i="9"/>
  <c r="ET107" i="9"/>
  <c r="ET111" i="9"/>
  <c r="ET102" i="9"/>
  <c r="ET103" i="9"/>
  <c r="ET104" i="9"/>
  <c r="ET78" i="9" l="1"/>
  <c r="ET29" i="9"/>
  <c r="ET76" i="9"/>
  <c r="ET114" i="9"/>
  <c r="ET115" i="9"/>
  <c r="ET77" i="9"/>
  <c r="ET37" i="9" l="1"/>
  <c r="ET68" i="9"/>
  <c r="DU175" i="10" s="1"/>
  <c r="ET79" i="9"/>
  <c r="ET116" i="9"/>
  <c r="ET39" i="9" l="1"/>
  <c r="ET126" i="9"/>
  <c r="ET125" i="9"/>
  <c r="ET122" i="9"/>
  <c r="ET80" i="9"/>
  <c r="ET127" i="9" l="1"/>
  <c r="ET49" i="9"/>
  <c r="ET81" i="9" l="1"/>
  <c r="ET84" i="9" s="1"/>
  <c r="EP60" i="9" l="1"/>
  <c r="DQ103" i="10"/>
  <c r="DQ104" i="10" s="1"/>
  <c r="DQ186" i="10" l="1"/>
  <c r="DQ191" i="10" s="1"/>
  <c r="EP62" i="9"/>
  <c r="DQ88" i="10"/>
  <c r="DQ92" i="10" s="1"/>
  <c r="EP54" i="9"/>
  <c r="EP53" i="9"/>
  <c r="EP52" i="9"/>
  <c r="CY689" i="31" l="1"/>
  <c r="CY639" i="31"/>
  <c r="CZ639" i="31" s="1"/>
  <c r="CY686" i="31"/>
  <c r="CY687" i="31"/>
  <c r="CY688" i="31" s="1"/>
  <c r="CY638" i="31"/>
  <c r="CY886" i="31" s="1"/>
  <c r="CY24" i="31" s="1"/>
  <c r="CY885" i="31"/>
  <c r="CY23" i="31" s="1"/>
  <c r="CZ638" i="31" l="1"/>
  <c r="CZ643" i="31" s="1"/>
  <c r="CZ644" i="31" s="1"/>
  <c r="CY891" i="31"/>
  <c r="CY892" i="31" s="1"/>
  <c r="CY35" i="31"/>
  <c r="EQ93" i="9" s="1"/>
  <c r="CY887" i="31"/>
  <c r="CY25" i="31" s="1"/>
  <c r="CY34" i="31"/>
  <c r="EQ92" i="9" s="1"/>
  <c r="CY890" i="31"/>
  <c r="EQ22" i="9"/>
  <c r="ER22" i="9" s="1"/>
  <c r="CY642" i="31"/>
  <c r="CY643" i="31"/>
  <c r="CY644" i="31" s="1"/>
  <c r="CZ683" i="31"/>
  <c r="CZ645" i="31"/>
  <c r="CY645" i="31"/>
  <c r="CZ682" i="31" l="1"/>
  <c r="DE687" i="31" s="1"/>
  <c r="CZ886" i="31"/>
  <c r="EQ94" i="9"/>
  <c r="EQ23" i="9"/>
  <c r="ER23" i="9" s="1"/>
  <c r="ER24" i="9" s="1"/>
  <c r="CZ681" i="31"/>
  <c r="DE686" i="31" s="1"/>
  <c r="CZ642" i="31"/>
  <c r="CZ885" i="31"/>
  <c r="CZ23" i="31" s="1"/>
  <c r="CZ689" i="31"/>
  <c r="CY893" i="31"/>
  <c r="CY39" i="31"/>
  <c r="CY36" i="31"/>
  <c r="CY40" i="31"/>
  <c r="CY41" i="31" s="1"/>
  <c r="CY28" i="31"/>
  <c r="CY29" i="31"/>
  <c r="CY30" i="31" s="1"/>
  <c r="CZ687" i="31" l="1"/>
  <c r="CZ688" i="31" s="1"/>
  <c r="CZ35" i="31"/>
  <c r="ER93" i="9" s="1"/>
  <c r="CZ24" i="31"/>
  <c r="CZ29" i="31" s="1"/>
  <c r="CZ30" i="31" s="1"/>
  <c r="CZ891" i="31"/>
  <c r="CZ892" i="31" s="1"/>
  <c r="CZ887" i="31"/>
  <c r="DS83" i="10"/>
  <c r="DS84" i="10" s="1"/>
  <c r="DD20" i="31"/>
  <c r="EQ24" i="9"/>
  <c r="EQ112" i="9"/>
  <c r="EQ110" i="9"/>
  <c r="EQ104" i="9"/>
  <c r="EQ102" i="9"/>
  <c r="EQ111" i="9"/>
  <c r="EQ103" i="9"/>
  <c r="EQ106" i="9"/>
  <c r="EQ107" i="9"/>
  <c r="EQ108" i="9"/>
  <c r="ER29" i="9"/>
  <c r="ER75" i="9"/>
  <c r="ER66" i="9"/>
  <c r="ER67" i="9"/>
  <c r="ER65" i="9"/>
  <c r="DS174" i="10" s="1"/>
  <c r="CY42" i="31"/>
  <c r="CY31" i="31"/>
  <c r="CZ890" i="31"/>
  <c r="CZ34" i="31"/>
  <c r="CZ686" i="31"/>
  <c r="EQ70" i="9" l="1"/>
  <c r="CZ40" i="31"/>
  <c r="CZ41" i="31" s="1"/>
  <c r="DE21" i="31"/>
  <c r="CZ893" i="31"/>
  <c r="CZ25" i="31"/>
  <c r="ER102" i="9" s="1"/>
  <c r="EQ72" i="9"/>
  <c r="DR176" i="10" s="1"/>
  <c r="EQ67" i="9"/>
  <c r="EQ65" i="9"/>
  <c r="DR174" i="10" s="1"/>
  <c r="DR83" i="10"/>
  <c r="DR84" i="10" s="1"/>
  <c r="DR76" i="10" s="1"/>
  <c r="EQ66" i="9"/>
  <c r="EQ29" i="9"/>
  <c r="EQ37" i="9" s="1"/>
  <c r="EQ75" i="9"/>
  <c r="EQ84" i="9" s="1"/>
  <c r="CZ36" i="31"/>
  <c r="ER92" i="9"/>
  <c r="ER94" i="9" s="1"/>
  <c r="DE466" i="31"/>
  <c r="DE471" i="31" s="1"/>
  <c r="EQ114" i="9"/>
  <c r="ER68" i="9"/>
  <c r="DS175" i="10" s="1"/>
  <c r="ER79" i="9"/>
  <c r="EQ115" i="9"/>
  <c r="DE638" i="31"/>
  <c r="CZ28" i="31"/>
  <c r="CZ39" i="31"/>
  <c r="DE215" i="31"/>
  <c r="DE258" i="31" l="1"/>
  <c r="DE362" i="31"/>
  <c r="DE721" i="31"/>
  <c r="DE655" i="31"/>
  <c r="DE1450" i="31"/>
  <c r="DE1052" i="31"/>
  <c r="DE1047" i="31" s="1"/>
  <c r="DE1048" i="31" s="1"/>
  <c r="DE677" i="31"/>
  <c r="DE335" i="31"/>
  <c r="DE1018" i="31"/>
  <c r="DE1013" i="31" s="1"/>
  <c r="DD1013" i="31" s="1"/>
  <c r="DE461" i="31"/>
  <c r="DE754" i="31"/>
  <c r="DE187" i="31"/>
  <c r="DE765" i="31"/>
  <c r="DE209" i="31"/>
  <c r="DE1063" i="31"/>
  <c r="DE1058" i="31" s="1"/>
  <c r="DE1059" i="31" s="1"/>
  <c r="DE237" i="31"/>
  <c r="DE544" i="31"/>
  <c r="DE688" i="31"/>
  <c r="DE1461" i="31"/>
  <c r="DE554" i="31"/>
  <c r="DE132" i="31"/>
  <c r="DE1074" i="31"/>
  <c r="DE1069" i="31" s="1"/>
  <c r="DD1069" i="31" s="1"/>
  <c r="DE743" i="31"/>
  <c r="DE1472" i="31"/>
  <c r="DE472" i="31"/>
  <c r="DE176" i="31"/>
  <c r="DE226" i="31"/>
  <c r="DE281" i="31"/>
  <c r="DE633" i="31"/>
  <c r="DE505" i="31"/>
  <c r="DE666" i="31"/>
  <c r="DE346" i="31"/>
  <c r="DE1483" i="31"/>
  <c r="DE1428" i="31"/>
  <c r="DE1439" i="31"/>
  <c r="DE974" i="31"/>
  <c r="DE969" i="31" s="1"/>
  <c r="DD969" i="31" s="1"/>
  <c r="DE1007" i="31"/>
  <c r="DE1002" i="31" s="1"/>
  <c r="DE1003" i="31" s="1"/>
  <c r="DE996" i="31"/>
  <c r="DE991" i="31" s="1"/>
  <c r="DE992" i="31" s="1"/>
  <c r="DE1041" i="31"/>
  <c r="DE1036" i="31" s="1"/>
  <c r="DE1037" i="31" s="1"/>
  <c r="DE20" i="31"/>
  <c r="ER112" i="9"/>
  <c r="ER103" i="9"/>
  <c r="ER111" i="9"/>
  <c r="ER108" i="9"/>
  <c r="ER106" i="9"/>
  <c r="ER110" i="9"/>
  <c r="CZ31" i="31"/>
  <c r="ER107" i="9"/>
  <c r="ER104" i="9"/>
  <c r="DT84" i="10"/>
  <c r="DT74" i="10" s="1"/>
  <c r="DU84" i="10"/>
  <c r="DU78" i="10" s="1"/>
  <c r="CZ42" i="31"/>
  <c r="EQ79" i="9"/>
  <c r="DR73" i="10"/>
  <c r="DR69" i="10"/>
  <c r="DR65" i="10"/>
  <c r="DR216" i="10" s="1"/>
  <c r="DR144" i="10"/>
  <c r="DR70" i="10"/>
  <c r="DR66" i="10"/>
  <c r="DR67" i="10"/>
  <c r="DR74" i="10"/>
  <c r="DR77" i="10"/>
  <c r="DR78" i="10"/>
  <c r="DR68" i="10"/>
  <c r="DR75" i="10"/>
  <c r="DR59" i="10"/>
  <c r="DR62" i="10" s="1"/>
  <c r="DR79" i="10"/>
  <c r="EQ68" i="9"/>
  <c r="DR175" i="10" s="1"/>
  <c r="EQ122" i="9"/>
  <c r="EQ126" i="9"/>
  <c r="EQ127" i="9" s="1"/>
  <c r="ER37" i="9"/>
  <c r="EQ116" i="9"/>
  <c r="EQ39" i="9"/>
  <c r="DD500" i="31"/>
  <c r="DE885" i="31"/>
  <c r="DE642" i="31"/>
  <c r="DD1423" i="31"/>
  <c r="DD225" i="31"/>
  <c r="DD221" i="31"/>
  <c r="DD280" i="31"/>
  <c r="DD276" i="31"/>
  <c r="DD460" i="31"/>
  <c r="ER2" i="9"/>
  <c r="ER4" i="9" s="1"/>
  <c r="ER7" i="9" s="1"/>
  <c r="DD672" i="31"/>
  <c r="DD175" i="31"/>
  <c r="DD171" i="31"/>
  <c r="DI177" i="31" s="1"/>
  <c r="DD1434" i="31"/>
  <c r="DD1488" i="31"/>
  <c r="DS34" i="10"/>
  <c r="DS73" i="10" s="1"/>
  <c r="EQ133" i="9"/>
  <c r="DS40" i="10"/>
  <c r="DS76" i="10" s="1"/>
  <c r="DD236" i="31"/>
  <c r="DD232" i="31"/>
  <c r="DE643" i="31"/>
  <c r="DE644" i="31" s="1"/>
  <c r="DD330" i="31"/>
  <c r="DD334" i="31"/>
  <c r="DD127" i="31"/>
  <c r="DE269" i="31"/>
  <c r="DE270" i="31" s="1"/>
  <c r="DD661" i="31"/>
  <c r="DD1445" i="31"/>
  <c r="DE1445" i="31" s="1"/>
  <c r="DD720" i="31"/>
  <c r="DD716" i="31"/>
  <c r="DD1456" i="31"/>
  <c r="DD1482" i="31"/>
  <c r="DE467" i="31"/>
  <c r="DD215" i="31"/>
  <c r="DD205" i="31"/>
  <c r="DD683" i="31"/>
  <c r="DD885" i="31"/>
  <c r="DD23" i="31" s="1"/>
  <c r="DD1467" i="31"/>
  <c r="DD638" i="31"/>
  <c r="DD650" i="31"/>
  <c r="DD738" i="31"/>
  <c r="DE698" i="31"/>
  <c r="DE699" i="31" s="1"/>
  <c r="DE1014" i="31" l="1"/>
  <c r="DE1020" i="31" s="1"/>
  <c r="DD1058" i="31"/>
  <c r="DD1059" i="31" s="1"/>
  <c r="DD1065" i="31" s="1"/>
  <c r="DD1047" i="31"/>
  <c r="DD1052" i="31" s="1"/>
  <c r="DD1053" i="31" s="1"/>
  <c r="DE1070" i="31"/>
  <c r="DE1076" i="31" s="1"/>
  <c r="DD991" i="31"/>
  <c r="DD996" i="31" s="1"/>
  <c r="DD997" i="31" s="1"/>
  <c r="DD1002" i="31"/>
  <c r="DD1003" i="31" s="1"/>
  <c r="DD1009" i="31" s="1"/>
  <c r="DE970" i="31"/>
  <c r="DE976" i="31" s="1"/>
  <c r="DE1024" i="31"/>
  <c r="DE1029" i="31" s="1"/>
  <c r="DE1030" i="31" s="1"/>
  <c r="DD1036" i="31"/>
  <c r="DD1041" i="31" s="1"/>
  <c r="DD1042" i="31" s="1"/>
  <c r="DE1065" i="31"/>
  <c r="DE1009" i="31"/>
  <c r="DE1054" i="31"/>
  <c r="DE1043" i="31"/>
  <c r="DD1074" i="31"/>
  <c r="DD1075" i="31" s="1"/>
  <c r="DD1070" i="31"/>
  <c r="DD1076" i="31" s="1"/>
  <c r="DD974" i="31"/>
  <c r="DD975" i="31" s="1"/>
  <c r="DD970" i="31"/>
  <c r="DD976" i="31" s="1"/>
  <c r="DD1018" i="31"/>
  <c r="DD1019" i="31" s="1"/>
  <c r="DD1014" i="31"/>
  <c r="DD1020" i="31" s="1"/>
  <c r="DE998" i="31"/>
  <c r="ER115" i="9"/>
  <c r="ER114" i="9"/>
  <c r="DE205" i="31"/>
  <c r="DE1467" i="31"/>
  <c r="DE1473" i="31" s="1"/>
  <c r="DE1456" i="31"/>
  <c r="DE1462" i="31" s="1"/>
  <c r="DE1434" i="31"/>
  <c r="DE1440" i="31" s="1"/>
  <c r="DE276" i="31"/>
  <c r="DE1423" i="31"/>
  <c r="DE1429" i="31" s="1"/>
  <c r="DE1451" i="31"/>
  <c r="DT67" i="10"/>
  <c r="DT69" i="10"/>
  <c r="DT77" i="10"/>
  <c r="DT75" i="10"/>
  <c r="DT66" i="10"/>
  <c r="DT68" i="10"/>
  <c r="DT65" i="10"/>
  <c r="DT216" i="10" s="1"/>
  <c r="DT70" i="10"/>
  <c r="DT73" i="10"/>
  <c r="DT78" i="10"/>
  <c r="DT136" i="10"/>
  <c r="DT79" i="10"/>
  <c r="DT59" i="10"/>
  <c r="DT62" i="10" s="1"/>
  <c r="DT144" i="10"/>
  <c r="DT76" i="10"/>
  <c r="DU74" i="10"/>
  <c r="DU69" i="10"/>
  <c r="DU77" i="10"/>
  <c r="DU65" i="10"/>
  <c r="DU216" i="10" s="1"/>
  <c r="DU76" i="10"/>
  <c r="DU70" i="10"/>
  <c r="DU66" i="10"/>
  <c r="DU79" i="10"/>
  <c r="DU75" i="10"/>
  <c r="DU144" i="10"/>
  <c r="DU68" i="10"/>
  <c r="DU59" i="10"/>
  <c r="DU62" i="10" s="1"/>
  <c r="DU73" i="10"/>
  <c r="DE330" i="31"/>
  <c r="DE500" i="31"/>
  <c r="DE171" i="31"/>
  <c r="DE127" i="31"/>
  <c r="DE672" i="31"/>
  <c r="DE650" i="31"/>
  <c r="DD689" i="31"/>
  <c r="DE683" i="31"/>
  <c r="DE689" i="31" s="1"/>
  <c r="DE716" i="31"/>
  <c r="DE738" i="31"/>
  <c r="DE661" i="31"/>
  <c r="DE232" i="31"/>
  <c r="DU67" i="10"/>
  <c r="DE473" i="31"/>
  <c r="DD213" i="31"/>
  <c r="DD238" i="31"/>
  <c r="DD177" i="31"/>
  <c r="DD1429" i="31"/>
  <c r="DD1484" i="31"/>
  <c r="DD744" i="31"/>
  <c r="DD643" i="31"/>
  <c r="DD644" i="31" s="1"/>
  <c r="DD1473" i="31"/>
  <c r="DD1462" i="31"/>
  <c r="DD133" i="31"/>
  <c r="DD1440" i="31"/>
  <c r="DD678" i="31"/>
  <c r="DD506" i="31"/>
  <c r="DD667" i="31"/>
  <c r="DD1451" i="31"/>
  <c r="DE34" i="31"/>
  <c r="ER126" i="9"/>
  <c r="ER39" i="9"/>
  <c r="ER38" i="9"/>
  <c r="DS26" i="10"/>
  <c r="DS67" i="10" s="1"/>
  <c r="DS25" i="10"/>
  <c r="DD656" i="31"/>
  <c r="DD639" i="31"/>
  <c r="DS33" i="10"/>
  <c r="DS78" i="10" s="1"/>
  <c r="DS21" i="10"/>
  <c r="DD1493" i="31"/>
  <c r="DD1494" i="31" s="1"/>
  <c r="DD57" i="31"/>
  <c r="EV89" i="9" s="1"/>
  <c r="EV90" i="9" s="1"/>
  <c r="DD1489" i="31"/>
  <c r="DE890" i="31"/>
  <c r="DD722" i="31"/>
  <c r="DD336" i="31"/>
  <c r="DS39" i="10"/>
  <c r="DS75" i="10" s="1"/>
  <c r="DS16" i="10"/>
  <c r="DS18" i="10"/>
  <c r="DD282" i="31"/>
  <c r="DD642" i="31"/>
  <c r="DS35" i="10"/>
  <c r="DS19" i="10"/>
  <c r="DS66" i="10" s="1"/>
  <c r="DS38" i="10"/>
  <c r="DD269" i="31"/>
  <c r="DD270" i="31" s="1"/>
  <c r="DD227" i="31"/>
  <c r="DS77" i="10" l="1"/>
  <c r="DS69" i="10"/>
  <c r="DS74" i="10"/>
  <c r="DD1063" i="31"/>
  <c r="DD1064" i="31" s="1"/>
  <c r="DD1048" i="31"/>
  <c r="DD1054" i="31" s="1"/>
  <c r="DD992" i="31"/>
  <c r="DD998" i="31" s="1"/>
  <c r="DD1007" i="31"/>
  <c r="DD1008" i="31" s="1"/>
  <c r="DE1025" i="31"/>
  <c r="DE1031" i="31" s="1"/>
  <c r="DD1024" i="31"/>
  <c r="DD1025" i="31" s="1"/>
  <c r="DD1031" i="31" s="1"/>
  <c r="DD1037" i="31"/>
  <c r="DD1043" i="31" s="1"/>
  <c r="ER116" i="9"/>
  <c r="DE213" i="31"/>
  <c r="DE238" i="31"/>
  <c r="DE678" i="31"/>
  <c r="DE667" i="31"/>
  <c r="DE133" i="31"/>
  <c r="DJ133" i="31"/>
  <c r="DE722" i="31"/>
  <c r="DE656" i="31"/>
  <c r="DE639" i="31"/>
  <c r="DE177" i="31"/>
  <c r="DE744" i="31"/>
  <c r="DE506" i="31"/>
  <c r="DE336" i="31"/>
  <c r="DE282" i="31"/>
  <c r="DD645" i="31"/>
  <c r="DS59" i="10"/>
  <c r="ER133" i="9"/>
  <c r="DS70" i="10"/>
  <c r="DS68" i="10"/>
  <c r="DE39" i="31"/>
  <c r="ER49" i="9"/>
  <c r="ER122" i="9"/>
  <c r="ER71" i="9"/>
  <c r="ER70" i="9"/>
  <c r="ER125" i="9"/>
  <c r="ER127" i="9" s="1"/>
  <c r="ER43" i="9"/>
  <c r="ER80" i="9"/>
  <c r="DD1495" i="31"/>
  <c r="EW92" i="9"/>
  <c r="DD58" i="31"/>
  <c r="DD62" i="31"/>
  <c r="DD63" i="31" s="1"/>
  <c r="DD1029" i="31" l="1"/>
  <c r="DD1030" i="31" s="1"/>
  <c r="DE645" i="31"/>
  <c r="ER55" i="9"/>
  <c r="ER81" i="9"/>
  <c r="ER84" i="9" s="1"/>
  <c r="ER45" i="9"/>
  <c r="ER72" i="9"/>
  <c r="DS176" i="10" s="1"/>
  <c r="ER56" i="9"/>
  <c r="DD64" i="31"/>
  <c r="EV97" i="9"/>
  <c r="EV98" i="9" s="1"/>
  <c r="DD47" i="31"/>
  <c r="DD51" i="31"/>
  <c r="DD52" i="31" s="1"/>
  <c r="DS185" i="10" l="1"/>
  <c r="ER57" i="9"/>
  <c r="ER82" i="9"/>
  <c r="ER83" i="9" s="1"/>
  <c r="ER5" i="9"/>
  <c r="ER119" i="9"/>
  <c r="DD53" i="31"/>
  <c r="ER121" i="9" l="1"/>
  <c r="DS17" i="10"/>
  <c r="DR36" i="10"/>
  <c r="DS32" i="10"/>
  <c r="ER8" i="9"/>
  <c r="DR169" i="10" l="1"/>
  <c r="DS60" i="10"/>
  <c r="DS97" i="10"/>
  <c r="DS61" i="10"/>
  <c r="DS79" i="10"/>
  <c r="DS36" i="10"/>
  <c r="DR41" i="10"/>
  <c r="DS62" i="10" l="1"/>
  <c r="DS41" i="10"/>
  <c r="DR52" i="10"/>
  <c r="DS50" i="10"/>
  <c r="DR192" i="10" l="1"/>
  <c r="DR180" i="10"/>
  <c r="DR179" i="10"/>
  <c r="DR173" i="10"/>
  <c r="DR54" i="10"/>
  <c r="DS52" i="10"/>
  <c r="DS22" i="10"/>
  <c r="DR181" i="10" l="1"/>
  <c r="DR93" i="10"/>
  <c r="DT184" i="10"/>
  <c r="DS192" i="10"/>
  <c r="DS180" i="10"/>
  <c r="DS179" i="10"/>
  <c r="DS173" i="10"/>
  <c r="DX184" i="10"/>
  <c r="DS54" i="10"/>
  <c r="DS181" i="10" l="1"/>
  <c r="DS93" i="10"/>
  <c r="EQ131" i="9"/>
  <c r="EQ134" i="9" s="1"/>
  <c r="EQ136" i="9" s="1"/>
  <c r="EQ142" i="9" l="1"/>
  <c r="ER142" i="9" s="1"/>
  <c r="ER136" i="9"/>
  <c r="DR20" i="10"/>
  <c r="DS14" i="10"/>
  <c r="EQ143" i="9" l="1"/>
  <c r="EQ144" i="9" s="1"/>
  <c r="D125" i="204"/>
  <c r="DS169" i="10"/>
  <c r="DS220" i="10"/>
  <c r="DS96" i="10"/>
  <c r="DS65" i="10"/>
  <c r="DS216" i="10" s="1"/>
  <c r="DR27" i="10"/>
  <c r="DR168" i="10"/>
  <c r="DR167" i="10"/>
  <c r="DR91" i="10"/>
  <c r="ER143" i="9"/>
  <c r="D150" i="204" s="1"/>
  <c r="ER131" i="9"/>
  <c r="ER134" i="9" s="1"/>
  <c r="ER135" i="9" s="1"/>
  <c r="D143" i="204" s="1"/>
  <c r="ER141" i="9"/>
  <c r="D144" i="204" s="1"/>
  <c r="D140" i="204" s="1"/>
  <c r="EQ141" i="9"/>
  <c r="DS20" i="10"/>
  <c r="DR56" i="10"/>
  <c r="DR172" i="10" l="1"/>
  <c r="DR218" i="10"/>
  <c r="DR217" i="10"/>
  <c r="DS27" i="10"/>
  <c r="DS91" i="10"/>
  <c r="DS168" i="10"/>
  <c r="DS167" i="10"/>
  <c r="DS98" i="10"/>
  <c r="DS99" i="10"/>
  <c r="D132" i="204"/>
  <c r="D139" i="204" s="1"/>
  <c r="D141" i="204" s="1"/>
  <c r="E118" i="204"/>
  <c r="ER144" i="9"/>
  <c r="DS56" i="10"/>
  <c r="DS218" i="10" l="1"/>
  <c r="DS172" i="10"/>
  <c r="DS217" i="10"/>
  <c r="D152" i="204"/>
  <c r="DX108" i="10" l="1"/>
  <c r="EQ60" i="9" l="1"/>
  <c r="DR88" i="10" l="1"/>
  <c r="DR92" i="10" s="1"/>
  <c r="EQ62" i="9"/>
  <c r="EQ52" i="9"/>
  <c r="EQ54" i="9"/>
  <c r="EQ53" i="9"/>
  <c r="DS88" i="10" l="1"/>
  <c r="DS92" i="10" s="1"/>
  <c r="DX115" i="10"/>
  <c r="ES60" i="9" l="1"/>
  <c r="ER54" i="9"/>
  <c r="ER52" i="9"/>
  <c r="ER53" i="9"/>
  <c r="DT88" i="10" l="1"/>
  <c r="ES62" i="9"/>
  <c r="DV115" i="10"/>
  <c r="DV116" i="10" s="1"/>
  <c r="ET60" i="9"/>
  <c r="ET62" i="9" l="1"/>
  <c r="DU88" i="10"/>
  <c r="DV103" i="10"/>
  <c r="DV104" i="10" s="1"/>
  <c r="DV120" i="10"/>
  <c r="EU60" i="9" s="1"/>
  <c r="DW115" i="10"/>
  <c r="ET53" i="9"/>
  <c r="ET52" i="9"/>
  <c r="ET54" i="9"/>
  <c r="EU62" i="9" l="1"/>
  <c r="DV88" i="10"/>
  <c r="DV186" i="10"/>
  <c r="ET57" i="9"/>
  <c r="ET56" i="9"/>
  <c r="ET55" i="9"/>
  <c r="ET82" i="9" l="1"/>
  <c r="ET83" i="9" s="1"/>
  <c r="DV87" i="10"/>
  <c r="EB215" i="10" l="1"/>
  <c r="DW87" i="10"/>
  <c r="DX87" i="10" l="1"/>
  <c r="DX123" i="10" l="1"/>
  <c r="DX128" i="10" l="1"/>
  <c r="DV128" i="10"/>
  <c r="DT12" i="11"/>
  <c r="DT14" i="11"/>
  <c r="DT15" i="11"/>
  <c r="DV129" i="10" l="1"/>
  <c r="DX129" i="10" s="1"/>
  <c r="DR138" i="10"/>
  <c r="DR143" i="10" s="1"/>
  <c r="DX131" i="10" l="1"/>
  <c r="EQ119" i="9"/>
  <c r="DY128" i="10" l="1"/>
  <c r="DY129" i="10" s="1"/>
  <c r="EC128" i="10"/>
  <c r="EQ121" i="9"/>
  <c r="DT16" i="11"/>
  <c r="EC129" i="10" l="1"/>
  <c r="EC131" i="10" s="1"/>
  <c r="DT17" i="11"/>
  <c r="DT18" i="11"/>
  <c r="DT22" i="11"/>
  <c r="EH128" i="10" l="1"/>
  <c r="ED128" i="10"/>
  <c r="ED129" i="10" s="1"/>
  <c r="EE128" i="10"/>
  <c r="DT23" i="11"/>
  <c r="DT24" i="11"/>
  <c r="DT25" i="11"/>
  <c r="DT26" i="11"/>
  <c r="DT27" i="11"/>
  <c r="EF128" i="10" l="1"/>
  <c r="EE129" i="10"/>
  <c r="DT28" i="11"/>
  <c r="DU28" i="11" s="1"/>
  <c r="EG128" i="10" l="1"/>
  <c r="EG129" i="10" s="1"/>
  <c r="EF129" i="10"/>
  <c r="DT29" i="11"/>
  <c r="DU29" i="11"/>
  <c r="EH129" i="10" l="1"/>
  <c r="EH131" i="10" s="1"/>
  <c r="EI128" i="10" s="1"/>
  <c r="EI129" i="10" s="1"/>
  <c r="EK128" i="10"/>
  <c r="DT32" i="11"/>
  <c r="DR135" i="10" l="1"/>
  <c r="EM128" i="10"/>
  <c r="DR137" i="10"/>
  <c r="DS135" i="10"/>
  <c r="DR136" i="10"/>
  <c r="DS136" i="10" l="1"/>
  <c r="DT33" i="11"/>
  <c r="DT34" i="11"/>
  <c r="DU36" i="11" l="1"/>
  <c r="DT35" i="11"/>
  <c r="DT36" i="11" l="1"/>
  <c r="DT39" i="11" l="1"/>
  <c r="DT40" i="11"/>
  <c r="DT41" i="11" l="1"/>
  <c r="DT42" i="11"/>
  <c r="DT43" i="11"/>
  <c r="DT44" i="11"/>
  <c r="DT45" i="11"/>
  <c r="DT46" i="11" l="1"/>
  <c r="DU48" i="11"/>
  <c r="DT47" i="11"/>
  <c r="DT48" i="11" l="1"/>
  <c r="DT50" i="11"/>
  <c r="DU52" i="11"/>
  <c r="DU54" i="11" s="1"/>
  <c r="DT52" i="11" l="1"/>
  <c r="DT54" i="11" s="1"/>
  <c r="DZ53" i="11"/>
  <c r="DV53" i="11"/>
  <c r="EQ59" i="9" l="1"/>
  <c r="DS101" i="10"/>
  <c r="FF59" i="9" l="1"/>
  <c r="FA59" i="9"/>
  <c r="DX101" i="10"/>
  <c r="ER59" i="9"/>
  <c r="DS104" i="10"/>
  <c r="DS102" i="10"/>
  <c r="EV59" i="9"/>
  <c r="DR104" i="10" l="1"/>
  <c r="DX102" i="10"/>
  <c r="EC102" i="10"/>
  <c r="DS186" i="10"/>
  <c r="DS191" i="10" s="1"/>
  <c r="DR186" i="10" l="1"/>
  <c r="DR191" i="10" s="1"/>
  <c r="DA243" i="31"/>
  <c r="DF249" i="31" l="1"/>
  <c r="DA249" i="31"/>
  <c r="DD196" i="31"/>
  <c r="DD243" i="31"/>
  <c r="DA193" i="31"/>
  <c r="DA890" i="31"/>
  <c r="DA34" i="31"/>
  <c r="DF199" i="31" l="1"/>
  <c r="DE243" i="31"/>
  <c r="DD249" i="31"/>
  <c r="DA199" i="31"/>
  <c r="DA39" i="31"/>
  <c r="ES92" i="9"/>
  <c r="ES94" i="9" s="1"/>
  <c r="DA36" i="31"/>
  <c r="DA893" i="31"/>
  <c r="DE249" i="31" l="1"/>
  <c r="DA42" i="31"/>
  <c r="ES106" i="9"/>
  <c r="ES110" i="9"/>
  <c r="ES108" i="9"/>
  <c r="ES103" i="9"/>
  <c r="ES107" i="9"/>
  <c r="ES102" i="9"/>
  <c r="ES104" i="9"/>
  <c r="ES112" i="9"/>
  <c r="ES111" i="9"/>
  <c r="ES115" i="9" l="1"/>
  <c r="ES114" i="9"/>
  <c r="ES116" i="9" l="1"/>
  <c r="ES39" i="9"/>
  <c r="DV48" i="11" l="1"/>
  <c r="ES125" i="9"/>
  <c r="ES127" i="9" s="1"/>
  <c r="ES122" i="9"/>
  <c r="ET133" i="9"/>
  <c r="DT36" i="10" l="1"/>
  <c r="DV28" i="11"/>
  <c r="DU36" i="10"/>
  <c r="DU169" i="10" l="1"/>
  <c r="DT169" i="10"/>
  <c r="DU41" i="10"/>
  <c r="DT41" i="10"/>
  <c r="DV134" i="10"/>
  <c r="DV137" i="10" s="1"/>
  <c r="ES52" i="9"/>
  <c r="ES55" i="9"/>
  <c r="ES53" i="9"/>
  <c r="ES82" i="9" l="1"/>
  <c r="ES83" i="9" s="1"/>
  <c r="ES54" i="9" l="1"/>
  <c r="DT52" i="10" l="1"/>
  <c r="DU184" i="10" l="1"/>
  <c r="DT54" i="10"/>
  <c r="DT192" i="10"/>
  <c r="DT191" i="10" s="1"/>
  <c r="DT180" i="10"/>
  <c r="DT179" i="10"/>
  <c r="DT173" i="10"/>
  <c r="DT92" i="10"/>
  <c r="E125" i="204"/>
  <c r="DT181" i="10" l="1"/>
  <c r="DT93" i="10"/>
  <c r="F118" i="204"/>
  <c r="E132" i="204"/>
  <c r="E139" i="204" s="1"/>
  <c r="DT20" i="10"/>
  <c r="DT168" i="10" l="1"/>
  <c r="DT91" i="10"/>
  <c r="DT167" i="10"/>
  <c r="ES131" i="9"/>
  <c r="FG141" i="9" l="1"/>
  <c r="DI520" i="31"/>
  <c r="O144" i="204" l="1"/>
  <c r="FL141" i="9"/>
  <c r="P144" i="204" s="1"/>
  <c r="DD509" i="31"/>
  <c r="FX141" i="9" l="1"/>
  <c r="Q144" i="204" s="1"/>
  <c r="GC141" i="9" l="1"/>
  <c r="R144" i="204" s="1"/>
  <c r="S144" i="204" l="1"/>
  <c r="GJ141" i="9" l="1"/>
  <c r="T144" i="204"/>
  <c r="EW59" i="9"/>
  <c r="U144" i="204" l="1"/>
  <c r="GK141" i="9"/>
  <c r="FB59" i="9"/>
  <c r="GL141" i="9" l="1"/>
  <c r="V144" i="204"/>
  <c r="DU112" i="10"/>
  <c r="W144" i="204" l="1"/>
  <c r="GM141" i="9"/>
  <c r="X144" i="204" s="1"/>
  <c r="DV108" i="10"/>
  <c r="DV109" i="10" s="1"/>
  <c r="DV112" i="10" l="1"/>
  <c r="DW108" i="10"/>
  <c r="DW109" i="10" s="1"/>
  <c r="DV123" i="10"/>
  <c r="DV124" i="10" s="1"/>
  <c r="DU52" i="10" l="1"/>
  <c r="DW112" i="10"/>
  <c r="DX110" i="10"/>
  <c r="DU192" i="10" l="1"/>
  <c r="DU191" i="10" s="1"/>
  <c r="DU180" i="10"/>
  <c r="DU179" i="10"/>
  <c r="DU173" i="10"/>
  <c r="DU92" i="10"/>
  <c r="EC108" i="10"/>
  <c r="DY108" i="10"/>
  <c r="DY109" i="10" s="1"/>
  <c r="DW48" i="11"/>
  <c r="DV188" i="10"/>
  <c r="DV190" i="10"/>
  <c r="DX112" i="10"/>
  <c r="DX109" i="10"/>
  <c r="DV184" i="10"/>
  <c r="DU54" i="10"/>
  <c r="DU93" i="10" l="1"/>
  <c r="DU181" i="10"/>
  <c r="DY112" i="10"/>
  <c r="EA108" i="10" l="1"/>
  <c r="EA109" i="10" s="1"/>
  <c r="EB108" i="10" l="1"/>
  <c r="EA112" i="10"/>
  <c r="EB109" i="10" l="1"/>
  <c r="EB112" i="10"/>
  <c r="EC110" i="10"/>
  <c r="ED108" i="10" s="1"/>
  <c r="ED109" i="10" s="1"/>
  <c r="EH108" i="10" l="1"/>
  <c r="EC112" i="10"/>
  <c r="EE108" i="10"/>
  <c r="EE110" i="10" s="1"/>
  <c r="EC109" i="10"/>
  <c r="ED112" i="10" l="1"/>
  <c r="EE112" i="10"/>
  <c r="EF108" i="10"/>
  <c r="EF110" i="10" s="1"/>
  <c r="EG108" i="10" l="1"/>
  <c r="EF112" i="10"/>
  <c r="EG112" i="10" l="1"/>
  <c r="EI108" i="10" l="1"/>
  <c r="EH109" i="10"/>
  <c r="EH112" i="10"/>
  <c r="EM108" i="10"/>
  <c r="DV29" i="11" l="1"/>
  <c r="DV36" i="11" l="1"/>
  <c r="DV52" i="11" l="1"/>
  <c r="DV54" i="11" l="1"/>
  <c r="DT56" i="10"/>
  <c r="DT27" i="10"/>
  <c r="ES133" i="9"/>
  <c r="ES134" i="9" s="1"/>
  <c r="ES136" i="9" s="1"/>
  <c r="ES142" i="9" s="1"/>
  <c r="DW53" i="11" l="1"/>
  <c r="DT218" i="10"/>
  <c r="DT217" i="10"/>
  <c r="DT172" i="10"/>
  <c r="EW142" i="9"/>
  <c r="EW141" i="9" s="1"/>
  <c r="I144" i="204" s="1"/>
  <c r="I140" i="204" s="1"/>
  <c r="ES141" i="9"/>
  <c r="E144" i="204" s="1"/>
  <c r="E140" i="204" s="1"/>
  <c r="E141" i="204" s="1"/>
  <c r="ES143" i="9"/>
  <c r="ES144" i="9" l="1"/>
  <c r="E150" i="204"/>
  <c r="E152" i="204" s="1"/>
  <c r="EE200" i="10" l="1"/>
  <c r="DU20" i="10"/>
  <c r="F125" i="204"/>
  <c r="ET131" i="9"/>
  <c r="EF200" i="10" l="1"/>
  <c r="EE201" i="10"/>
  <c r="DU168" i="10"/>
  <c r="DU91" i="10"/>
  <c r="DU167" i="10"/>
  <c r="DU27" i="10"/>
  <c r="DU56" i="10"/>
  <c r="ET134" i="9"/>
  <c r="ET136" i="9" s="1"/>
  <c r="ET143" i="9" s="1"/>
  <c r="G118" i="204"/>
  <c r="F132" i="204"/>
  <c r="EG200" i="10" l="1"/>
  <c r="EG201" i="10" s="1"/>
  <c r="EF201" i="10"/>
  <c r="DU218" i="10"/>
  <c r="DU172" i="10"/>
  <c r="DU217" i="10"/>
  <c r="F139" i="204"/>
  <c r="F141" i="204" s="1"/>
  <c r="ET144" i="9"/>
  <c r="F150" i="204"/>
  <c r="EH201" i="10" l="1"/>
  <c r="EH202" i="10" s="1"/>
  <c r="EM200" i="10" s="1"/>
  <c r="F152" i="204"/>
  <c r="EW120" i="9"/>
  <c r="FB120" i="9"/>
  <c r="DQ160" i="10"/>
  <c r="DQ138" i="10" s="1"/>
  <c r="EI200" i="10" l="1"/>
  <c r="EI202" i="10" s="1"/>
  <c r="DQ143" i="10"/>
  <c r="DQ137" i="10"/>
  <c r="EP119" i="9"/>
  <c r="ES120" i="9"/>
  <c r="EP120" i="9"/>
  <c r="DQ159" i="10"/>
  <c r="DO160" i="10"/>
  <c r="EG160" i="10" l="1"/>
  <c r="EE160" i="10"/>
  <c r="EF160" i="10"/>
  <c r="EN120" i="9"/>
  <c r="DL160" i="10"/>
  <c r="DO162" i="10"/>
  <c r="DO138" i="10"/>
  <c r="FG120" i="9"/>
  <c r="ES119" i="9"/>
  <c r="EP121" i="9"/>
  <c r="FF120" i="9" l="1"/>
  <c r="EG138" i="10"/>
  <c r="FK120" i="9"/>
  <c r="FE120" i="9"/>
  <c r="EF138" i="10"/>
  <c r="EE138" i="10"/>
  <c r="FD120" i="9"/>
  <c r="ED160" i="10"/>
  <c r="ED162" i="10" s="1"/>
  <c r="DO163" i="10"/>
  <c r="DP162" i="10"/>
  <c r="DL159" i="10"/>
  <c r="DL138" i="10"/>
  <c r="EK120" i="9"/>
  <c r="DJ160" i="10"/>
  <c r="FL120" i="9"/>
  <c r="ES121" i="9"/>
  <c r="DV162" i="10"/>
  <c r="DO143" i="10"/>
  <c r="EN119" i="9"/>
  <c r="ED163" i="10" l="1"/>
  <c r="DW162" i="10"/>
  <c r="FS120" i="9"/>
  <c r="FR120" i="9"/>
  <c r="EA160" i="10"/>
  <c r="EZ120" i="9" s="1"/>
  <c r="FC120" i="9"/>
  <c r="FJ120" i="9"/>
  <c r="EK138" i="10"/>
  <c r="FI120" i="9"/>
  <c r="EI160" i="10"/>
  <c r="EI138" i="10" s="1"/>
  <c r="EE162" i="10"/>
  <c r="EN121" i="9"/>
  <c r="EI120" i="9"/>
  <c r="DJ138" i="10"/>
  <c r="DJ162" i="10"/>
  <c r="DJ159" i="10"/>
  <c r="DP163" i="10"/>
  <c r="DQ162" i="10"/>
  <c r="DV163" i="10"/>
  <c r="DL137" i="10"/>
  <c r="DL143" i="10"/>
  <c r="EK119" i="9"/>
  <c r="DW163" i="10" l="1"/>
  <c r="EF162" i="10"/>
  <c r="FP120" i="9"/>
  <c r="FQ120" i="9"/>
  <c r="DY160" i="10"/>
  <c r="DY138" i="10" s="1"/>
  <c r="DY143" i="10" s="1"/>
  <c r="EA159" i="10"/>
  <c r="EA138" i="10"/>
  <c r="EA137" i="10" s="1"/>
  <c r="FH120" i="9"/>
  <c r="EI162" i="10"/>
  <c r="EG162" i="10"/>
  <c r="DN159" i="10"/>
  <c r="DN161" i="10" s="1"/>
  <c r="DJ143" i="10"/>
  <c r="EI119" i="9"/>
  <c r="DJ137" i="10"/>
  <c r="EK121" i="9"/>
  <c r="DQ163" i="10"/>
  <c r="DR162" i="10"/>
  <c r="DJ163" i="10"/>
  <c r="DK162" i="10"/>
  <c r="FO120" i="9" l="1"/>
  <c r="DY162" i="10"/>
  <c r="EX120" i="9"/>
  <c r="EJ162" i="10"/>
  <c r="DR163" i="10"/>
  <c r="DK163" i="10"/>
  <c r="DL162" i="10"/>
  <c r="DN163" i="10"/>
  <c r="DO158" i="10"/>
  <c r="DO159" i="10" s="1"/>
  <c r="DS158" i="10"/>
  <c r="DN137" i="10"/>
  <c r="DN139" i="10" s="1"/>
  <c r="EI121" i="9"/>
  <c r="EJ163" i="10" l="1"/>
  <c r="DY163" i="10"/>
  <c r="DZ162" i="10"/>
  <c r="EK162" i="10"/>
  <c r="DM162" i="10"/>
  <c r="DL163" i="10"/>
  <c r="DS159" i="10"/>
  <c r="DS161" i="10" s="1"/>
  <c r="DN144" i="10"/>
  <c r="DN150" i="10"/>
  <c r="DN140" i="10"/>
  <c r="DS134" i="10"/>
  <c r="DO134" i="10"/>
  <c r="DO137" i="10" s="1"/>
  <c r="EL162" i="10" l="1"/>
  <c r="EA162" i="10"/>
  <c r="DZ163" i="10"/>
  <c r="EA163" i="10"/>
  <c r="DT158" i="10"/>
  <c r="DT159" i="10" s="1"/>
  <c r="DX159" i="10" s="1"/>
  <c r="DX158" i="10"/>
  <c r="DS163" i="10"/>
  <c r="DS137" i="10"/>
  <c r="DM163" i="10"/>
  <c r="DN142" i="10"/>
  <c r="DN143" i="10"/>
  <c r="DN146" i="10"/>
  <c r="DN147" i="10" s="1"/>
  <c r="EB162" i="10" l="1"/>
  <c r="EL163" i="10"/>
  <c r="EB163" i="10"/>
  <c r="DX161" i="10"/>
  <c r="DS139" i="10"/>
  <c r="DN148" i="10"/>
  <c r="DX163" i="10" l="1"/>
  <c r="EC158" i="10"/>
  <c r="EC157" i="10" s="1"/>
  <c r="DY158" i="10"/>
  <c r="DY159" i="10" s="1"/>
  <c r="EC159" i="10" s="1"/>
  <c r="DT134" i="10"/>
  <c r="DT137" i="10" s="1"/>
  <c r="DX134" i="10"/>
  <c r="DS140" i="10"/>
  <c r="DS150" i="10"/>
  <c r="DS144" i="10"/>
  <c r="EC161" i="10" l="1"/>
  <c r="EH158" i="10" s="1"/>
  <c r="EH157" i="10" s="1"/>
  <c r="DS146" i="10"/>
  <c r="DS147" i="10" s="1"/>
  <c r="DS143" i="10"/>
  <c r="DS142" i="10"/>
  <c r="EC163" i="10" l="1"/>
  <c r="ED158" i="10"/>
  <c r="ED159" i="10" s="1"/>
  <c r="EE158" i="10"/>
  <c r="EE159" i="10" s="1"/>
  <c r="DS148" i="10"/>
  <c r="EF158" i="10" l="1"/>
  <c r="EF159" i="10" s="1"/>
  <c r="EE163" i="10"/>
  <c r="EF163" i="10" l="1"/>
  <c r="EG158" i="10"/>
  <c r="EG159" i="10" s="1"/>
  <c r="EH159" i="10" s="1"/>
  <c r="EH161" i="10" s="1"/>
  <c r="EM158" i="10" s="1"/>
  <c r="EM157" i="10" s="1"/>
  <c r="EH163" i="10" l="1"/>
  <c r="EI158" i="10"/>
  <c r="EI159" i="10" s="1"/>
  <c r="EG163" i="10"/>
  <c r="EH24" i="10"/>
  <c r="DF171" i="31" l="1"/>
  <c r="DK177" i="31" l="1"/>
  <c r="DJ171" i="31"/>
  <c r="DJ177" i="31" s="1"/>
  <c r="DF177" i="31"/>
  <c r="DF72" i="31" l="1"/>
  <c r="DK78" i="31" s="1"/>
  <c r="DF76" i="31"/>
  <c r="DF77" i="31" s="1"/>
  <c r="DF78" i="31" l="1"/>
  <c r="DF471" i="31" l="1"/>
  <c r="DF472" i="31" s="1"/>
  <c r="DG517" i="31"/>
  <c r="DL523" i="31" s="1"/>
  <c r="DG515" i="31"/>
  <c r="DF517" i="31"/>
  <c r="DK523" i="31" s="1"/>
  <c r="DG521" i="31"/>
  <c r="DH521" i="31"/>
  <c r="DM471" i="31"/>
  <c r="DM472" i="31" s="1"/>
  <c r="DF521" i="31"/>
  <c r="DF515" i="31"/>
  <c r="DF523" i="31" l="1"/>
  <c r="DH523" i="31"/>
  <c r="DM523" i="31"/>
  <c r="DI523" i="31"/>
  <c r="DG523" i="31"/>
  <c r="DH471" i="31"/>
  <c r="DH472" i="31" s="1"/>
  <c r="DF467" i="31"/>
  <c r="DF473" i="31" s="1"/>
  <c r="DF886" i="31"/>
  <c r="DF24" i="31" s="1"/>
  <c r="DI521" i="31"/>
  <c r="DF35" i="31" l="1"/>
  <c r="DF891" i="31"/>
  <c r="DF892" i="31" s="1"/>
  <c r="DG769" i="31"/>
  <c r="DG758" i="31" l="1"/>
  <c r="DL763" i="31" s="1"/>
  <c r="EX93" i="9"/>
  <c r="DF40" i="31"/>
  <c r="DF41" i="31" s="1"/>
  <c r="DG771" i="31"/>
  <c r="DI771" i="31" l="1"/>
  <c r="DG763" i="31"/>
  <c r="DF769" i="31"/>
  <c r="DI769" i="31" l="1"/>
  <c r="DI758" i="31" s="1"/>
  <c r="DI760" i="31" s="1"/>
  <c r="DF771" i="31"/>
  <c r="DF758" i="31" l="1"/>
  <c r="DL694" i="31"/>
  <c r="DL697" i="31"/>
  <c r="DF760" i="31" l="1"/>
  <c r="DF766" i="31" s="1"/>
  <c r="DF697" i="31"/>
  <c r="DF694" i="31"/>
  <c r="DF885" i="31"/>
  <c r="DF23" i="31" s="1"/>
  <c r="DK766" i="31" l="1"/>
  <c r="DK694" i="31"/>
  <c r="DK697" i="31"/>
  <c r="DF890" i="31"/>
  <c r="DF34" i="31"/>
  <c r="DF887" i="31"/>
  <c r="DF25" i="31" s="1"/>
  <c r="DF700" i="31"/>
  <c r="DK700" i="31" l="1"/>
  <c r="DF36" i="31"/>
  <c r="EX92" i="9"/>
  <c r="DF39" i="31"/>
  <c r="DF893" i="31"/>
  <c r="EX94" i="9" l="1"/>
  <c r="DF42" i="31"/>
  <c r="EC24" i="10" l="1"/>
  <c r="J129" i="204" l="1"/>
  <c r="J136" i="204" s="1"/>
  <c r="J140" i="204" s="1"/>
  <c r="DY95" i="10"/>
  <c r="EX139" i="9"/>
  <c r="EA44" i="11"/>
  <c r="EB44" i="11" l="1"/>
  <c r="EX140" i="9"/>
  <c r="EX142" i="9" s="1"/>
  <c r="EC44" i="11" l="1"/>
  <c r="K129" i="204"/>
  <c r="K136" i="204" s="1"/>
  <c r="K140" i="204" s="1"/>
  <c r="EY139" i="9"/>
  <c r="ED44" i="11" l="1"/>
  <c r="EY140" i="9"/>
  <c r="EY142" i="9" s="1"/>
  <c r="L129" i="204" l="1"/>
  <c r="L136" i="204" s="1"/>
  <c r="L140" i="204" s="1"/>
  <c r="EZ139" i="9"/>
  <c r="EA95" i="10"/>
  <c r="EZ140" i="9" l="1"/>
  <c r="EZ142" i="9" s="1"/>
  <c r="EC37" i="10" l="1"/>
  <c r="M129" i="204"/>
  <c r="M136" i="204" s="1"/>
  <c r="M140" i="204" s="1"/>
  <c r="FA139" i="9"/>
  <c r="FA140" i="9" s="1"/>
  <c r="FA142" i="9" s="1"/>
  <c r="N129" i="204" l="1"/>
  <c r="N136" i="204" s="1"/>
  <c r="N140" i="204" s="1"/>
  <c r="FB139" i="9"/>
  <c r="FB140" i="9" s="1"/>
  <c r="FB142" i="9" s="1"/>
  <c r="EC95" i="10"/>
  <c r="EE210" i="10"/>
  <c r="EE211" i="10" s="1"/>
  <c r="FC139" i="9" l="1"/>
  <c r="FD140" i="9" s="1"/>
  <c r="FD142" i="9" l="1"/>
  <c r="FC140" i="9"/>
  <c r="FC142" i="9" s="1"/>
  <c r="DD471" i="31" l="1"/>
  <c r="DG470" i="31" l="1"/>
  <c r="DG467" i="31"/>
  <c r="DL473" i="31" s="1"/>
  <c r="DG471" i="31"/>
  <c r="DG472" i="31" s="1"/>
  <c r="DG473" i="31" l="1"/>
  <c r="DB766" i="31"/>
  <c r="DB764" i="31"/>
  <c r="DB765" i="31" s="1"/>
  <c r="DB763" i="31"/>
  <c r="DD698" i="31" l="1"/>
  <c r="DD699" i="31" s="1"/>
  <c r="DG697" i="31"/>
  <c r="DG885" i="31"/>
  <c r="DG23" i="31" s="1"/>
  <c r="DD763" i="31"/>
  <c r="DD760" i="31"/>
  <c r="DE760" i="31" s="1"/>
  <c r="DD764" i="31"/>
  <c r="DD765" i="31" s="1"/>
  <c r="DG760" i="31"/>
  <c r="DL766" i="31" s="1"/>
  <c r="DG694" i="31"/>
  <c r="DL700" i="31" s="1"/>
  <c r="DG766" i="31" l="1"/>
  <c r="DE766" i="31"/>
  <c r="DG700" i="31"/>
  <c r="DD766" i="31"/>
  <c r="DG890" i="31"/>
  <c r="DG34" i="31"/>
  <c r="DG698" i="31"/>
  <c r="DG699" i="31" s="1"/>
  <c r="DG886" i="31"/>
  <c r="DG24" i="31" s="1"/>
  <c r="DD694" i="31"/>
  <c r="DE694" i="31" s="1"/>
  <c r="DD697" i="31"/>
  <c r="DE700" i="31" l="1"/>
  <c r="DG39" i="31"/>
  <c r="EY92" i="9"/>
  <c r="DD700" i="31"/>
  <c r="DG891" i="31"/>
  <c r="DG892" i="31" s="1"/>
  <c r="DG887" i="31"/>
  <c r="DG25" i="31" s="1"/>
  <c r="DG35" i="31"/>
  <c r="DI697" i="31"/>
  <c r="DG28" i="31"/>
  <c r="EY22" i="9"/>
  <c r="DL20" i="31" l="1"/>
  <c r="DG893" i="31"/>
  <c r="EY23" i="9"/>
  <c r="EY24" i="9" s="1"/>
  <c r="DG29" i="31"/>
  <c r="DG30" i="31" s="1"/>
  <c r="EY93" i="9"/>
  <c r="EY94" i="9" s="1"/>
  <c r="DG40" i="31"/>
  <c r="DG41" i="31" s="1"/>
  <c r="DG36" i="31"/>
  <c r="DZ83" i="10" l="1"/>
  <c r="EY66" i="9"/>
  <c r="EY70" i="9"/>
  <c r="EY65" i="9"/>
  <c r="DZ174" i="10" s="1"/>
  <c r="EY72" i="9"/>
  <c r="DZ176" i="10" s="1"/>
  <c r="EY67" i="9"/>
  <c r="EY103" i="9"/>
  <c r="EY75" i="9"/>
  <c r="EY104" i="9"/>
  <c r="DG42" i="31"/>
  <c r="EY108" i="9"/>
  <c r="EY106" i="9"/>
  <c r="EY110" i="9"/>
  <c r="EY111" i="9"/>
  <c r="EY112" i="9"/>
  <c r="DG31" i="31"/>
  <c r="EY107" i="9"/>
  <c r="EY102" i="9"/>
  <c r="EY115" i="9" l="1"/>
  <c r="EY76" i="9"/>
  <c r="EY78" i="9"/>
  <c r="EY114" i="9"/>
  <c r="EY29" i="9"/>
  <c r="EY77" i="9"/>
  <c r="EY37" i="9" l="1"/>
  <c r="EY68" i="9"/>
  <c r="DZ175" i="10" s="1"/>
  <c r="EY116" i="9"/>
  <c r="EY79" i="9"/>
  <c r="EY126" i="9" l="1"/>
  <c r="EY80" i="9"/>
  <c r="EY125" i="9"/>
  <c r="EY122" i="9"/>
  <c r="EY127" i="9" l="1"/>
  <c r="DC254" i="31"/>
  <c r="DC260" i="31" s="1"/>
  <c r="DD258" i="31"/>
  <c r="DE253" i="31"/>
  <c r="DC886" i="31"/>
  <c r="DC24" i="31" s="1"/>
  <c r="DC891" i="31" l="1"/>
  <c r="DC892" i="31" s="1"/>
  <c r="DC35" i="31"/>
  <c r="DC887" i="31"/>
  <c r="DH197" i="31"/>
  <c r="DH198" i="31" s="1"/>
  <c r="DC197" i="31"/>
  <c r="DC198" i="31" s="1"/>
  <c r="DC193" i="31"/>
  <c r="DD197" i="31"/>
  <c r="DD198" i="31" s="1"/>
  <c r="DE197" i="31"/>
  <c r="DE198" i="31" s="1"/>
  <c r="DC25" i="31" l="1"/>
  <c r="DE193" i="31"/>
  <c r="DE199" i="31" s="1"/>
  <c r="DC893" i="31"/>
  <c r="DD199" i="31"/>
  <c r="EU93" i="9"/>
  <c r="EU94" i="9" s="1"/>
  <c r="DC40" i="31"/>
  <c r="DC41" i="31" s="1"/>
  <c r="DC36" i="31"/>
  <c r="DC199" i="31"/>
  <c r="DH199" i="31"/>
  <c r="DC29" i="31"/>
  <c r="DC30" i="31" s="1"/>
  <c r="DH20" i="31" l="1"/>
  <c r="DC42" i="31"/>
  <c r="EU104" i="9"/>
  <c r="EU24" i="9"/>
  <c r="DC31" i="31"/>
  <c r="EU107" i="9"/>
  <c r="EU106" i="9"/>
  <c r="EU112" i="9"/>
  <c r="EU102" i="9"/>
  <c r="EU111" i="9"/>
  <c r="EU108" i="9"/>
  <c r="EU110" i="9"/>
  <c r="EU103" i="9"/>
  <c r="EU65" i="9" l="1"/>
  <c r="DV174" i="10" s="1"/>
  <c r="EU70" i="9"/>
  <c r="EU67" i="9"/>
  <c r="EU72" i="9"/>
  <c r="EU66" i="9"/>
  <c r="EU114" i="9"/>
  <c r="EU115" i="9"/>
  <c r="EU75" i="9"/>
  <c r="DV83" i="10"/>
  <c r="DV84" i="10" s="1"/>
  <c r="DV74" i="10" l="1"/>
  <c r="DV78" i="10"/>
  <c r="DV68" i="10"/>
  <c r="DV144" i="10"/>
  <c r="DV75" i="10"/>
  <c r="DV79" i="10"/>
  <c r="DV69" i="10"/>
  <c r="DV136" i="10"/>
  <c r="DV76" i="10"/>
  <c r="DV66" i="10"/>
  <c r="DV70" i="10"/>
  <c r="DV73" i="10"/>
  <c r="DV77" i="10"/>
  <c r="DV67" i="10"/>
  <c r="DV59" i="10"/>
  <c r="EU116" i="9"/>
  <c r="EU76" i="9"/>
  <c r="DV85" i="10"/>
  <c r="DV86" i="10" s="1"/>
  <c r="EU77" i="9"/>
  <c r="EU29" i="9"/>
  <c r="EU78" i="9"/>
  <c r="DV60" i="10" l="1"/>
  <c r="DV61" i="10"/>
  <c r="EU37" i="9"/>
  <c r="EU68" i="9"/>
  <c r="DV175" i="10" s="1"/>
  <c r="EU79" i="9"/>
  <c r="EU133" i="9"/>
  <c r="EU39" i="9" l="1"/>
  <c r="DV62" i="10"/>
  <c r="EU126" i="9"/>
  <c r="DX28" i="11"/>
  <c r="EU80" i="9"/>
  <c r="EU125" i="9"/>
  <c r="EU122" i="9"/>
  <c r="DV36" i="10"/>
  <c r="DX48" i="11"/>
  <c r="DV97" i="10"/>
  <c r="DZ28" i="11" l="1"/>
  <c r="EU127" i="9"/>
  <c r="DV41" i="10"/>
  <c r="DZ29" i="11" l="1"/>
  <c r="EU81" i="9"/>
  <c r="EU84" i="9" s="1"/>
  <c r="DV176" i="10"/>
  <c r="EU52" i="9"/>
  <c r="EU82" i="9" l="1"/>
  <c r="EU83" i="9" s="1"/>
  <c r="EU54" i="9"/>
  <c r="DV185" i="10"/>
  <c r="DV52" i="10" l="1"/>
  <c r="DV180" i="10" l="1"/>
  <c r="DV92" i="10"/>
  <c r="DV192" i="10"/>
  <c r="DV191" i="10" s="1"/>
  <c r="DW184" i="10"/>
  <c r="DV179" i="10"/>
  <c r="DV54" i="10"/>
  <c r="DV173" i="10"/>
  <c r="DV93" i="10" l="1"/>
  <c r="DV181" i="10"/>
  <c r="DU140" i="10" l="1"/>
  <c r="DU142" i="10" l="1"/>
  <c r="DU146" i="10"/>
  <c r="DU147" i="10" s="1"/>
  <c r="DU148" i="10" s="1"/>
  <c r="DV149" i="10"/>
  <c r="DW29" i="11"/>
  <c r="DU138" i="10"/>
  <c r="DU143" i="10" l="1"/>
  <c r="ET119" i="9"/>
  <c r="ET121" i="9" l="1"/>
  <c r="DU135" i="10"/>
  <c r="DX135" i="10" s="1"/>
  <c r="DU136" i="10" l="1"/>
  <c r="DU137" i="10"/>
  <c r="DX137" i="10" s="1"/>
  <c r="DX139" i="10" s="1"/>
  <c r="DY134" i="10" l="1"/>
  <c r="DY137" i="10" s="1"/>
  <c r="EC137" i="10" s="1"/>
  <c r="EC134" i="10"/>
  <c r="DX150" i="10"/>
  <c r="DW36" i="11"/>
  <c r="EC139" i="10" l="1"/>
  <c r="ED134" i="10" s="1"/>
  <c r="DW52" i="11"/>
  <c r="EH134" i="10" l="1"/>
  <c r="DW54" i="11"/>
  <c r="DX53" i="11" l="1"/>
  <c r="DV169" i="10" l="1"/>
  <c r="DV20" i="10"/>
  <c r="DV65" i="10"/>
  <c r="DV216" i="10" s="1"/>
  <c r="G125" i="204"/>
  <c r="EU131" i="9"/>
  <c r="DV96" i="10"/>
  <c r="DV98" i="10" s="1"/>
  <c r="EU134" i="9" l="1"/>
  <c r="EU136" i="9" s="1"/>
  <c r="EU143" i="9" s="1"/>
  <c r="H118" i="204"/>
  <c r="G132" i="204"/>
  <c r="G139" i="204" s="1"/>
  <c r="G141" i="204" s="1"/>
  <c r="DV56" i="10"/>
  <c r="DV168" i="10"/>
  <c r="DV167" i="10"/>
  <c r="DV91" i="10"/>
  <c r="DV27" i="10"/>
  <c r="DV217" i="10" l="1"/>
  <c r="DV218" i="10"/>
  <c r="EU144" i="9"/>
  <c r="G150" i="204"/>
  <c r="G152" i="204" s="1"/>
  <c r="DV172" i="10"/>
  <c r="EU50" i="9" l="1"/>
  <c r="EU121" i="9" l="1"/>
  <c r="EU49" i="9"/>
  <c r="EU53" i="9" l="1"/>
  <c r="EU56" i="9"/>
  <c r="DD186" i="31" l="1"/>
  <c r="DD187" i="31" s="1"/>
  <c r="DH76" i="31" l="1"/>
  <c r="DH77" i="31" s="1"/>
  <c r="DD76" i="31"/>
  <c r="DD77" i="31" s="1"/>
  <c r="DD886" i="31"/>
  <c r="DD24" i="31" s="1"/>
  <c r="DD891" i="31" l="1"/>
  <c r="DD892" i="31" s="1"/>
  <c r="DD35" i="31"/>
  <c r="DM76" i="31" l="1"/>
  <c r="DM77" i="31" s="1"/>
  <c r="EV93" i="9"/>
  <c r="DD40" i="31"/>
  <c r="DD41" i="31" s="1"/>
  <c r="DD29" i="31"/>
  <c r="DD30" i="31" s="1"/>
  <c r="EW23" i="9" l="1"/>
  <c r="DC182" i="31" l="1"/>
  <c r="DM182" i="31" l="1"/>
  <c r="DR188" i="31" s="1"/>
  <c r="DH182" i="31"/>
  <c r="DD182" i="31"/>
  <c r="DI188" i="31" s="1"/>
  <c r="DD185" i="31"/>
  <c r="DC188" i="31"/>
  <c r="DM188" i="31" l="1"/>
  <c r="DW75" i="31"/>
  <c r="DR75" i="31"/>
  <c r="DH188" i="31"/>
  <c r="DJ182" i="31"/>
  <c r="DM75" i="31"/>
  <c r="DM72" i="31"/>
  <c r="DE182" i="31"/>
  <c r="DD75" i="31"/>
  <c r="DD72" i="31"/>
  <c r="DH72" i="31"/>
  <c r="DH75" i="31"/>
  <c r="DD188" i="31"/>
  <c r="DJ188" i="31" l="1"/>
  <c r="DM78" i="31"/>
  <c r="DE188" i="31"/>
  <c r="DI75" i="31"/>
  <c r="DD78" i="31"/>
  <c r="DH78" i="31"/>
  <c r="DC258" i="31" l="1"/>
  <c r="DD459" i="31" l="1"/>
  <c r="DD456" i="31"/>
  <c r="DE456" i="31" l="1"/>
  <c r="DE462" i="31" s="1"/>
  <c r="DI462" i="31"/>
  <c r="DD268" i="31"/>
  <c r="DD265" i="31"/>
  <c r="DE265" i="31" s="1"/>
  <c r="DE271" i="31" s="1"/>
  <c r="DD462" i="31"/>
  <c r="DD271" i="31" l="1"/>
  <c r="DM470" i="31" l="1"/>
  <c r="DM467" i="31"/>
  <c r="DD470" i="31"/>
  <c r="DD467" i="31"/>
  <c r="DH467" i="31"/>
  <c r="DH470" i="31"/>
  <c r="DM473" i="31" l="1"/>
  <c r="DI470" i="31"/>
  <c r="DH473" i="31"/>
  <c r="DD473" i="31"/>
  <c r="DD890" i="31"/>
  <c r="DD887" i="31"/>
  <c r="DD25" i="31" s="1"/>
  <c r="DD34" i="31"/>
  <c r="DD28" i="31" l="1"/>
  <c r="DD39" i="31"/>
  <c r="EV92" i="9"/>
  <c r="DD36" i="31"/>
  <c r="DD893" i="31"/>
  <c r="DI20" i="31" l="1"/>
  <c r="EV102" i="9"/>
  <c r="EV24" i="9"/>
  <c r="EW22" i="9"/>
  <c r="DD42" i="31"/>
  <c r="EV104" i="9"/>
  <c r="EV108" i="9"/>
  <c r="EV106" i="9"/>
  <c r="EV107" i="9"/>
  <c r="EV112" i="9"/>
  <c r="EV103" i="9"/>
  <c r="DD31" i="31"/>
  <c r="EV110" i="9"/>
  <c r="EV111" i="9"/>
  <c r="EV94" i="9"/>
  <c r="EV115" i="9" l="1"/>
  <c r="EV114" i="9"/>
  <c r="EW24" i="9"/>
  <c r="EV75" i="9"/>
  <c r="DW83" i="10"/>
  <c r="EW65" i="9" l="1"/>
  <c r="DX174" i="10" s="1"/>
  <c r="EW67" i="9"/>
  <c r="EW66" i="9"/>
  <c r="EV116" i="9"/>
  <c r="DW84" i="10"/>
  <c r="DW144" i="10" s="1"/>
  <c r="EW75" i="9"/>
  <c r="EW2" i="9"/>
  <c r="EW4" i="9" s="1"/>
  <c r="EW7" i="9" s="1"/>
  <c r="DX83" i="10"/>
  <c r="DX84" i="10" s="1"/>
  <c r="DX78" i="10" l="1"/>
  <c r="DX76" i="10"/>
  <c r="DX74" i="10"/>
  <c r="DX79" i="10"/>
  <c r="DX77" i="10"/>
  <c r="DX75" i="10"/>
  <c r="DX73" i="10"/>
  <c r="DX136" i="10"/>
  <c r="DX144" i="10"/>
  <c r="DW59" i="10"/>
  <c r="DW78" i="10"/>
  <c r="DW76" i="10"/>
  <c r="DW74" i="10"/>
  <c r="DW70" i="10"/>
  <c r="DW68" i="10"/>
  <c r="DW66" i="10"/>
  <c r="DW79" i="10"/>
  <c r="DW77" i="10"/>
  <c r="DW75" i="10"/>
  <c r="DW73" i="10"/>
  <c r="DW69" i="10"/>
  <c r="DW67" i="10"/>
  <c r="DW65" i="10"/>
  <c r="DW216" i="10" s="1"/>
  <c r="DW136" i="10"/>
  <c r="EW29" i="9"/>
  <c r="EW77" i="9"/>
  <c r="EW78" i="9"/>
  <c r="EW76" i="9"/>
  <c r="DX85" i="10"/>
  <c r="DX86" i="10" s="1"/>
  <c r="EW68" i="9" l="1"/>
  <c r="DX175" i="10" s="1"/>
  <c r="EW79" i="9"/>
  <c r="EW70" i="9"/>
  <c r="EV76" i="9"/>
  <c r="EV65" i="9"/>
  <c r="DW174" i="10" s="1"/>
  <c r="DW85" i="10"/>
  <c r="EV29" i="9"/>
  <c r="DX16" i="10"/>
  <c r="EV67" i="9"/>
  <c r="EV78" i="9"/>
  <c r="DX18" i="10"/>
  <c r="DX26" i="10"/>
  <c r="DX67" i="10" s="1"/>
  <c r="DX19" i="10"/>
  <c r="DX66" i="10" s="1"/>
  <c r="EV77" i="9"/>
  <c r="EV66" i="9"/>
  <c r="DX25" i="10"/>
  <c r="EV133" i="9"/>
  <c r="DX21" i="10"/>
  <c r="DX70" i="10" l="1"/>
  <c r="DX68" i="10"/>
  <c r="DX69" i="10"/>
  <c r="EV37" i="9"/>
  <c r="EW125" i="9"/>
  <c r="EW80" i="9"/>
  <c r="EW133" i="9"/>
  <c r="DW86" i="10"/>
  <c r="DX59" i="10"/>
  <c r="EV79" i="9"/>
  <c r="EV68" i="9"/>
  <c r="DW175" i="10" s="1"/>
  <c r="DW60" i="10" l="1"/>
  <c r="DW61" i="10"/>
  <c r="EW37" i="9"/>
  <c r="EV126" i="9"/>
  <c r="EV39" i="9"/>
  <c r="EW72" i="9"/>
  <c r="DX176" i="10" s="1"/>
  <c r="EW49" i="9"/>
  <c r="EW81" i="9"/>
  <c r="EW84" i="9" s="1"/>
  <c r="EV49" i="9"/>
  <c r="EW45" i="9"/>
  <c r="EW5" i="9"/>
  <c r="EW55" i="9"/>
  <c r="EV80" i="9"/>
  <c r="EV70" i="9"/>
  <c r="EV122" i="9"/>
  <c r="EV125" i="9"/>
  <c r="EW8" i="9" l="1"/>
  <c r="EV127" i="9"/>
  <c r="DW62" i="10"/>
  <c r="EW126" i="9"/>
  <c r="EW39" i="9"/>
  <c r="EW122" i="9"/>
  <c r="EW56" i="9"/>
  <c r="EW57" i="9"/>
  <c r="DX185" i="10"/>
  <c r="EW82" i="9"/>
  <c r="EW83" i="9" s="1"/>
  <c r="EV71" i="9"/>
  <c r="EV50" i="9" s="1"/>
  <c r="EV72" i="9"/>
  <c r="DW176" i="10" s="1"/>
  <c r="DX17" i="10"/>
  <c r="DW97" i="10"/>
  <c r="EV56" i="9"/>
  <c r="DW36" i="10"/>
  <c r="DX91" i="10" l="1"/>
  <c r="EW127" i="9"/>
  <c r="EV81" i="9"/>
  <c r="EV84" i="9" s="1"/>
  <c r="EV55" i="9"/>
  <c r="DW41" i="10"/>
  <c r="DX60" i="10"/>
  <c r="DX97" i="10"/>
  <c r="DX61" i="10"/>
  <c r="EV82" i="9" l="1"/>
  <c r="EV83" i="9" s="1"/>
  <c r="EV57" i="9"/>
  <c r="DW185" i="10"/>
  <c r="DX62" i="10"/>
  <c r="DW123" i="10" l="1"/>
  <c r="DW190" i="10" l="1"/>
  <c r="DW188" i="10"/>
  <c r="DW52" i="10"/>
  <c r="DW180" i="10" l="1"/>
  <c r="DW179" i="10"/>
  <c r="DW173" i="10"/>
  <c r="DW54" i="10"/>
  <c r="DW192" i="10"/>
  <c r="DX188" i="10"/>
  <c r="DX190" i="10"/>
  <c r="DW93" i="10" l="1"/>
  <c r="DW181" i="10"/>
  <c r="DX180" i="10"/>
  <c r="DX179" i="10"/>
  <c r="DY184" i="10"/>
  <c r="EC184" i="10"/>
  <c r="DX54" i="10"/>
  <c r="DX192" i="10"/>
  <c r="DX173" i="10"/>
  <c r="DZ48" i="11"/>
  <c r="DX181" i="10" l="1"/>
  <c r="DX93" i="10"/>
  <c r="DX36" i="11" l="1"/>
  <c r="DZ36" i="11" l="1"/>
  <c r="DX29" i="11" l="1"/>
  <c r="DX52" i="11" l="1"/>
  <c r="DX54" i="11" l="1"/>
  <c r="DY53" i="11" l="1"/>
  <c r="DV142" i="10" l="1"/>
  <c r="DV150" i="10" l="1"/>
  <c r="DV146" i="10"/>
  <c r="DV143" i="10"/>
  <c r="DV147" i="10" l="1"/>
  <c r="DV148" i="10" l="1"/>
  <c r="EW119" i="9"/>
  <c r="DX141" i="10"/>
  <c r="DX140" i="10" l="1"/>
  <c r="DX149" i="10"/>
  <c r="EW121" i="9"/>
  <c r="EV119" i="9"/>
  <c r="DW140" i="10"/>
  <c r="DW146" i="10" l="1"/>
  <c r="DX142" i="10"/>
  <c r="DW147" i="10"/>
  <c r="DW148" i="10" s="1"/>
  <c r="DW143" i="10"/>
  <c r="DX143" i="10"/>
  <c r="DX146" i="10"/>
  <c r="DW142" i="10"/>
  <c r="EV121" i="9"/>
  <c r="DX147" i="10" l="1"/>
  <c r="DX148" i="10" s="1"/>
  <c r="DX22" i="10"/>
  <c r="DX23" i="10" l="1"/>
  <c r="EE153" i="10" l="1"/>
  <c r="EE154" i="10" s="1"/>
  <c r="EF153" i="10" l="1"/>
  <c r="EF154" i="10" s="1"/>
  <c r="EG153" i="10" l="1"/>
  <c r="EC23" i="10"/>
  <c r="EH23" i="10" l="1"/>
  <c r="EG154" i="10"/>
  <c r="EH154" i="10" s="1"/>
  <c r="EH155" i="10" s="1"/>
  <c r="EM153" i="10" s="1"/>
  <c r="EI153" i="10" l="1"/>
  <c r="EI154" i="10" s="1"/>
  <c r="DE76" i="31"/>
  <c r="DE77" i="31" s="1"/>
  <c r="DE886" i="31"/>
  <c r="DE891" i="31" l="1"/>
  <c r="DE892" i="31" s="1"/>
  <c r="DE35" i="31"/>
  <c r="DE887" i="31"/>
  <c r="DE72" i="31"/>
  <c r="DE893" i="31" l="1"/>
  <c r="DE78" i="31"/>
  <c r="DE40" i="31"/>
  <c r="DE41" i="31" s="1"/>
  <c r="EW93" i="9"/>
  <c r="DE36" i="31"/>
  <c r="DE42" i="31" l="1"/>
  <c r="EW94" i="9"/>
  <c r="DO268" i="31" l="1"/>
  <c r="DJ268" i="31"/>
  <c r="DE51" i="31" l="1"/>
  <c r="DE52" i="31" s="1"/>
  <c r="EW97" i="9"/>
  <c r="DE47" i="31"/>
  <c r="DE50" i="31"/>
  <c r="EW96" i="9"/>
  <c r="DE53" i="31" l="1"/>
  <c r="EW98" i="9"/>
  <c r="DF28" i="31" l="1"/>
  <c r="DK50" i="31"/>
  <c r="DF50" i="31" l="1"/>
  <c r="EX96" i="9"/>
  <c r="DF29" i="31"/>
  <c r="DF30" i="31" s="1"/>
  <c r="EX24" i="9"/>
  <c r="DF51" i="31"/>
  <c r="DF52" i="31" s="1"/>
  <c r="DF47" i="31"/>
  <c r="EX97" i="9"/>
  <c r="DK20" i="31" l="1"/>
  <c r="EX98" i="9"/>
  <c r="EX67" i="9"/>
  <c r="EX66" i="9"/>
  <c r="EX65" i="9"/>
  <c r="DF31" i="31"/>
  <c r="EX106" i="9"/>
  <c r="EX110" i="9"/>
  <c r="EX103" i="9"/>
  <c r="EX102" i="9"/>
  <c r="EX107" i="9"/>
  <c r="EX112" i="9"/>
  <c r="EX104" i="9"/>
  <c r="EX111" i="9"/>
  <c r="EX75" i="9"/>
  <c r="DY83" i="10"/>
  <c r="DZ84" i="10" s="1"/>
  <c r="DF53" i="31"/>
  <c r="EX108" i="9"/>
  <c r="DZ59" i="10" l="1"/>
  <c r="DZ136" i="10"/>
  <c r="DZ76" i="10"/>
  <c r="DZ74" i="10"/>
  <c r="DZ69" i="10"/>
  <c r="DZ77" i="10"/>
  <c r="DZ78" i="10"/>
  <c r="DZ73" i="10"/>
  <c r="DZ68" i="10"/>
  <c r="DZ65" i="10"/>
  <c r="DZ216" i="10" s="1"/>
  <c r="DZ70" i="10"/>
  <c r="DZ66" i="10"/>
  <c r="DZ67" i="10"/>
  <c r="DZ144" i="10"/>
  <c r="DZ75" i="10"/>
  <c r="DZ79" i="10"/>
  <c r="DY174" i="10"/>
  <c r="EX115" i="9"/>
  <c r="EX114" i="9"/>
  <c r="DY84" i="10"/>
  <c r="EX77" i="9"/>
  <c r="EX29" i="9"/>
  <c r="DY85" i="10"/>
  <c r="EX76" i="9"/>
  <c r="EX78" i="9"/>
  <c r="EX37" i="9" l="1"/>
  <c r="EA86" i="10"/>
  <c r="EB86" i="10"/>
  <c r="DZ86" i="10"/>
  <c r="DY78" i="10"/>
  <c r="DY74" i="10"/>
  <c r="DY67" i="10"/>
  <c r="DY77" i="10"/>
  <c r="DY73" i="10"/>
  <c r="DY66" i="10"/>
  <c r="DY59" i="10"/>
  <c r="DY76" i="10"/>
  <c r="DY69" i="10"/>
  <c r="DY65" i="10"/>
  <c r="DY144" i="10"/>
  <c r="DY79" i="10"/>
  <c r="DY75" i="10"/>
  <c r="DY68" i="10"/>
  <c r="DY136" i="10"/>
  <c r="EX116" i="9"/>
  <c r="DY86" i="10"/>
  <c r="EX68" i="9"/>
  <c r="DY175" i="10" s="1"/>
  <c r="EX79" i="9"/>
  <c r="DZ60" i="10" l="1"/>
  <c r="DZ61" i="10"/>
  <c r="EB60" i="10"/>
  <c r="EB61" i="10"/>
  <c r="EA60" i="10"/>
  <c r="EA61" i="10"/>
  <c r="EX126" i="9"/>
  <c r="DY60" i="10"/>
  <c r="DY61" i="10"/>
  <c r="EY133" i="9"/>
  <c r="EX70" i="9"/>
  <c r="EX122" i="9"/>
  <c r="EX80" i="9"/>
  <c r="EX125" i="9"/>
  <c r="DZ62" i="10" l="1"/>
  <c r="EX127" i="9"/>
  <c r="DY62" i="10"/>
  <c r="EA28" i="11"/>
  <c r="DY97" i="10"/>
  <c r="EB28" i="11"/>
  <c r="DY36" i="10"/>
  <c r="EA36" i="11"/>
  <c r="DZ36" i="10"/>
  <c r="DZ169" i="10" l="1"/>
  <c r="EE28" i="11"/>
  <c r="EX81" i="9"/>
  <c r="EX84" i="9" s="1"/>
  <c r="EX72" i="9"/>
  <c r="DY176" i="10" s="1"/>
  <c r="DY41" i="10"/>
  <c r="DZ41" i="10"/>
  <c r="EE29" i="11" l="1"/>
  <c r="DY185" i="10"/>
  <c r="DE1487" i="31" l="1"/>
  <c r="DE23" i="31" s="1"/>
  <c r="DE1488" i="31"/>
  <c r="DE24" i="31" s="1"/>
  <c r="DE1493" i="31" l="1"/>
  <c r="DE1494" i="31" s="1"/>
  <c r="DJ21" i="31"/>
  <c r="DE57" i="31"/>
  <c r="EW89" i="9" s="1"/>
  <c r="DJ1487" i="31"/>
  <c r="DE1492" i="31"/>
  <c r="DE56" i="31"/>
  <c r="EW88" i="9" s="1"/>
  <c r="DE1489" i="31"/>
  <c r="DE25" i="31" l="1"/>
  <c r="EW111" i="9" s="1"/>
  <c r="DJ1074" i="31"/>
  <c r="DJ1069" i="31" s="1"/>
  <c r="DJ1063" i="31"/>
  <c r="DJ1058" i="31" s="1"/>
  <c r="DJ1052" i="31"/>
  <c r="DJ1047" i="31" s="1"/>
  <c r="DJ1041" i="31"/>
  <c r="DJ1036" i="31" s="1"/>
  <c r="DJ1007" i="31"/>
  <c r="DJ1002" i="31" s="1"/>
  <c r="DJ974" i="31"/>
  <c r="DJ969" i="31" s="1"/>
  <c r="DJ1018" i="31"/>
  <c r="DJ1013" i="31" s="1"/>
  <c r="DJ996" i="31"/>
  <c r="DJ991" i="31" s="1"/>
  <c r="EW90" i="9"/>
  <c r="DJ633" i="31"/>
  <c r="DJ1450" i="31"/>
  <c r="DJ1483" i="31"/>
  <c r="DJ1428" i="31"/>
  <c r="DJ1461" i="31"/>
  <c r="DJ1472" i="31"/>
  <c r="DJ1439" i="31"/>
  <c r="DJ346" i="31"/>
  <c r="DJ281" i="31"/>
  <c r="DJ666" i="31"/>
  <c r="DJ544" i="31"/>
  <c r="DJ505" i="31"/>
  <c r="DJ743" i="31"/>
  <c r="DJ209" i="31"/>
  <c r="DJ655" i="31"/>
  <c r="DJ677" i="31"/>
  <c r="DJ754" i="31"/>
  <c r="DJ226" i="31"/>
  <c r="DJ187" i="31"/>
  <c r="DJ721" i="31"/>
  <c r="DJ335" i="31"/>
  <c r="DJ237" i="31"/>
  <c r="DJ555" i="31"/>
  <c r="DJ132" i="31"/>
  <c r="DJ176" i="31"/>
  <c r="DJ1492" i="31"/>
  <c r="DE61" i="31"/>
  <c r="DO1487" i="31"/>
  <c r="DE29" i="31"/>
  <c r="DE30" i="31" s="1"/>
  <c r="DE1495" i="31"/>
  <c r="DI1487" i="31"/>
  <c r="DI23" i="31" s="1"/>
  <c r="DE28" i="31"/>
  <c r="DJ56" i="31"/>
  <c r="FB88" i="9" s="1"/>
  <c r="DE62" i="31"/>
  <c r="DE63" i="31" s="1"/>
  <c r="DE58" i="31"/>
  <c r="DJ970" i="31" l="1"/>
  <c r="DJ1003" i="31"/>
  <c r="DJ1037" i="31"/>
  <c r="DJ1048" i="31"/>
  <c r="DJ1024" i="31"/>
  <c r="DJ1029" i="31" s="1"/>
  <c r="DJ1030" i="31" s="1"/>
  <c r="DJ992" i="31"/>
  <c r="DJ1059" i="31"/>
  <c r="DJ1014" i="31"/>
  <c r="DJ1070" i="31"/>
  <c r="DS1487" i="31"/>
  <c r="DJ20" i="31"/>
  <c r="DN1487" i="31"/>
  <c r="DN1459" i="31"/>
  <c r="DJ71" i="31"/>
  <c r="DN127" i="31"/>
  <c r="DI341" i="31"/>
  <c r="DI347" i="31" s="1"/>
  <c r="DJ1488" i="31"/>
  <c r="DJ466" i="31"/>
  <c r="DO56" i="31"/>
  <c r="FG88" i="9" s="1"/>
  <c r="DO1492" i="31"/>
  <c r="EW102" i="9"/>
  <c r="EW108" i="9"/>
  <c r="EW104" i="9"/>
  <c r="DE31" i="31"/>
  <c r="EW103" i="9"/>
  <c r="EW107" i="9"/>
  <c r="EW106" i="9"/>
  <c r="DT1487" i="31"/>
  <c r="EW110" i="9"/>
  <c r="EW112" i="9"/>
  <c r="DE64" i="31"/>
  <c r="DI1492" i="31"/>
  <c r="DI56" i="31"/>
  <c r="FA88" i="9" s="1"/>
  <c r="DJ61" i="31"/>
  <c r="DN1492" i="31" l="1"/>
  <c r="DJ1054" i="31"/>
  <c r="DJ1043" i="31"/>
  <c r="DJ1076" i="31"/>
  <c r="DJ1009" i="31"/>
  <c r="DJ1020" i="31"/>
  <c r="DJ1065" i="31"/>
  <c r="DJ1025" i="31"/>
  <c r="DJ998" i="31"/>
  <c r="DJ976" i="31"/>
  <c r="DS1459" i="31"/>
  <c r="DT1492" i="31"/>
  <c r="DN56" i="31"/>
  <c r="DS1492" i="31"/>
  <c r="DS56" i="31"/>
  <c r="FK88" i="9" s="1"/>
  <c r="DO61" i="31"/>
  <c r="DJ698" i="31"/>
  <c r="DJ699" i="31" s="1"/>
  <c r="DI654" i="31"/>
  <c r="DI655" i="31" s="1"/>
  <c r="DI650" i="31"/>
  <c r="DJ650" i="31" s="1"/>
  <c r="DI1472" i="31"/>
  <c r="DI1467" i="31"/>
  <c r="DJ1493" i="31"/>
  <c r="DJ1494" i="31" s="1"/>
  <c r="DJ57" i="31"/>
  <c r="FB89" i="9" s="1"/>
  <c r="DJ1489" i="31"/>
  <c r="DI131" i="31"/>
  <c r="DI132" i="31" s="1"/>
  <c r="DJ471" i="31"/>
  <c r="DJ472" i="31" s="1"/>
  <c r="DO221" i="31"/>
  <c r="DJ269" i="31"/>
  <c r="DJ270" i="31" s="1"/>
  <c r="DO171" i="31"/>
  <c r="DI677" i="31"/>
  <c r="DI672" i="31"/>
  <c r="DO127" i="31"/>
  <c r="DI665" i="31"/>
  <c r="DI666" i="31" s="1"/>
  <c r="DI661" i="31"/>
  <c r="DJ661" i="31" s="1"/>
  <c r="DJ667" i="31" s="1"/>
  <c r="DI1445" i="31"/>
  <c r="DI1450" i="31"/>
  <c r="DI1461" i="31"/>
  <c r="DI1456" i="31"/>
  <c r="DJ76" i="31"/>
  <c r="DJ77" i="31" s="1"/>
  <c r="DI743" i="31"/>
  <c r="DI738" i="31"/>
  <c r="DI330" i="31"/>
  <c r="DI1483" i="31"/>
  <c r="DI1478" i="31"/>
  <c r="DI505" i="31"/>
  <c r="DI500" i="31"/>
  <c r="DI226" i="31"/>
  <c r="DI221" i="31"/>
  <c r="DI1439" i="31"/>
  <c r="DI1434" i="31"/>
  <c r="DI1488" i="31"/>
  <c r="DO341" i="31"/>
  <c r="DJ72" i="31"/>
  <c r="DI1428" i="31"/>
  <c r="DI1423" i="31"/>
  <c r="EW114" i="9"/>
  <c r="EW115" i="9"/>
  <c r="DT56" i="31"/>
  <c r="FL88" i="9" s="1"/>
  <c r="DI61" i="31"/>
  <c r="DI227" i="31" l="1"/>
  <c r="DO347" i="31"/>
  <c r="DO227" i="31"/>
  <c r="DJ1031" i="31"/>
  <c r="FB90" i="9"/>
  <c r="FF88" i="9"/>
  <c r="DT61" i="31"/>
  <c r="DJ1423" i="31"/>
  <c r="DI1429" i="31"/>
  <c r="DI1484" i="31"/>
  <c r="DJ1478" i="31"/>
  <c r="DJ1456" i="31"/>
  <c r="DI1462" i="31"/>
  <c r="DJ656" i="31"/>
  <c r="DJ1445" i="31"/>
  <c r="DJ500" i="31"/>
  <c r="DI506" i="31"/>
  <c r="DJ330" i="31"/>
  <c r="DI336" i="31"/>
  <c r="DJ738" i="31"/>
  <c r="DI744" i="31"/>
  <c r="DJ672" i="31"/>
  <c r="DI678" i="31"/>
  <c r="DJ1467" i="31"/>
  <c r="DI1473" i="31"/>
  <c r="DJ1434" i="31"/>
  <c r="DI1440" i="31"/>
  <c r="DS61" i="31"/>
  <c r="DN61" i="31"/>
  <c r="DJ1495" i="31"/>
  <c r="DO177" i="31"/>
  <c r="DT539" i="31"/>
  <c r="DI133" i="31"/>
  <c r="DI667" i="31"/>
  <c r="DT341" i="31"/>
  <c r="DY347" i="31" s="1"/>
  <c r="DI76" i="31"/>
  <c r="DI77" i="31" s="1"/>
  <c r="DI72" i="31"/>
  <c r="DJ62" i="31"/>
  <c r="DJ63" i="31" s="1"/>
  <c r="DJ58" i="31"/>
  <c r="EW116" i="9"/>
  <c r="DN341" i="31"/>
  <c r="DN345" i="31"/>
  <c r="DN346" i="31" s="1"/>
  <c r="DI1493" i="31"/>
  <c r="DI1494" i="31" s="1"/>
  <c r="DI57" i="31"/>
  <c r="FA89" i="9" s="1"/>
  <c r="FA90" i="9" s="1"/>
  <c r="DI1489" i="31"/>
  <c r="DO133" i="31"/>
  <c r="DN221" i="31"/>
  <c r="DN225" i="31"/>
  <c r="DN226" i="31" s="1"/>
  <c r="DI1451" i="31"/>
  <c r="DJ78" i="31"/>
  <c r="DT221" i="31"/>
  <c r="DI656" i="31"/>
  <c r="DY227" i="31" l="1"/>
  <c r="DJ1473" i="31"/>
  <c r="DJ678" i="31"/>
  <c r="DJ1451" i="31"/>
  <c r="DJ1440" i="31"/>
  <c r="DJ336" i="31"/>
  <c r="DJ1462" i="31"/>
  <c r="DJ1484" i="31"/>
  <c r="DJ1429" i="31"/>
  <c r="DJ744" i="31"/>
  <c r="DJ506" i="31"/>
  <c r="DN347" i="31"/>
  <c r="DT347" i="31"/>
  <c r="DI62" i="31"/>
  <c r="DI63" i="31" s="1"/>
  <c r="DI58" i="31"/>
  <c r="DI78" i="31"/>
  <c r="DT227" i="31"/>
  <c r="DN227" i="31"/>
  <c r="DI1495" i="31"/>
  <c r="DJ64" i="31"/>
  <c r="DI64" i="31" l="1"/>
  <c r="EJ347" i="31" l="1"/>
  <c r="EK347" i="31" l="1"/>
  <c r="EL347" i="31" l="1"/>
  <c r="EM347" i="31" l="1"/>
  <c r="DJ192" i="31" l="1"/>
  <c r="DJ197" i="31" l="1"/>
  <c r="DJ198" i="31" s="1"/>
  <c r="DI232" i="31" l="1"/>
  <c r="DJ232" i="31" l="1"/>
  <c r="DI238" i="31"/>
  <c r="DI196" i="31"/>
  <c r="DT232" i="31"/>
  <c r="DY238" i="31" l="1"/>
  <c r="DJ238" i="31"/>
  <c r="DY14" i="11" l="1"/>
  <c r="DY17" i="11"/>
  <c r="DZ52" i="11"/>
  <c r="DZ54" i="11" l="1"/>
  <c r="DY29" i="11"/>
  <c r="DY52" i="11" l="1"/>
  <c r="EE53" i="11"/>
  <c r="DX14" i="10"/>
  <c r="EA53" i="11"/>
  <c r="DX220" i="10" l="1"/>
  <c r="DX65" i="10"/>
  <c r="DX216" i="10" s="1"/>
  <c r="DY54" i="11"/>
  <c r="DX169" i="10"/>
  <c r="DX20" i="10"/>
  <c r="DX96" i="10"/>
  <c r="DX98" i="10" s="1"/>
  <c r="I125" i="204"/>
  <c r="EW131" i="9"/>
  <c r="J118" i="204" l="1"/>
  <c r="N118" i="204"/>
  <c r="DX56" i="10"/>
  <c r="DX168" i="10"/>
  <c r="DX167" i="10"/>
  <c r="DX27" i="10"/>
  <c r="EW134" i="9"/>
  <c r="EW136" i="9" s="1"/>
  <c r="DX218" i="10" l="1"/>
  <c r="DX217" i="10"/>
  <c r="DX172" i="10"/>
  <c r="DW96" i="10"/>
  <c r="DW98" i="10" s="1"/>
  <c r="DW169" i="10"/>
  <c r="EV131" i="9"/>
  <c r="EV134" i="9" s="1"/>
  <c r="EV136" i="9" s="1"/>
  <c r="EV143" i="9" s="1"/>
  <c r="H125" i="204"/>
  <c r="EV144" i="9" l="1"/>
  <c r="H150" i="204"/>
  <c r="EW143" i="9"/>
  <c r="I118" i="204"/>
  <c r="I132" i="204" s="1"/>
  <c r="I139" i="204" s="1"/>
  <c r="I141" i="204" s="1"/>
  <c r="H132" i="204"/>
  <c r="H139" i="204" s="1"/>
  <c r="H141" i="204" s="1"/>
  <c r="DW168" i="10"/>
  <c r="DW56" i="10"/>
  <c r="DW91" i="10"/>
  <c r="DW27" i="10"/>
  <c r="DW167" i="10"/>
  <c r="DW218" i="10" l="1"/>
  <c r="DW217" i="10"/>
  <c r="EW144" i="9"/>
  <c r="I150" i="204"/>
  <c r="I152" i="204" s="1"/>
  <c r="DW172" i="10"/>
  <c r="H152" i="204"/>
  <c r="DW103" i="10"/>
  <c r="DW104" i="10" s="1"/>
  <c r="DW120" i="10"/>
  <c r="EV60" i="9" s="1"/>
  <c r="DW116" i="10"/>
  <c r="DX116" i="10" s="1"/>
  <c r="DX118" i="10" s="1"/>
  <c r="EC115" i="10" l="1"/>
  <c r="DX104" i="10"/>
  <c r="DX103" i="10"/>
  <c r="DX120" i="10"/>
  <c r="EW60" i="9" s="1"/>
  <c r="DY115" i="10"/>
  <c r="DY116" i="10" s="1"/>
  <c r="EV52" i="9"/>
  <c r="EV62" i="9"/>
  <c r="EV53" i="9"/>
  <c r="DW88" i="10"/>
  <c r="DW92" i="10" s="1"/>
  <c r="EV54" i="9"/>
  <c r="DX186" i="10"/>
  <c r="DX191" i="10" s="1"/>
  <c r="DW186" i="10"/>
  <c r="DW191" i="10" s="1"/>
  <c r="EW62" i="9" l="1"/>
  <c r="EW53" i="9"/>
  <c r="EW54" i="9"/>
  <c r="EW52" i="9"/>
  <c r="DX88" i="10"/>
  <c r="DX92" i="10" s="1"/>
  <c r="EX57" i="9" l="1"/>
  <c r="EX55" i="9"/>
  <c r="DY87" i="10"/>
  <c r="EX82" i="9" l="1"/>
  <c r="EX83" i="9" s="1"/>
  <c r="DW124" i="10" l="1"/>
  <c r="DX124" i="10" s="1"/>
  <c r="DX125" i="10" s="1"/>
  <c r="DY123" i="10" l="1"/>
  <c r="DY124" i="10" s="1"/>
  <c r="EC123" i="10"/>
  <c r="DY190" i="10" l="1"/>
  <c r="DY188" i="10"/>
  <c r="DY52" i="10"/>
  <c r="EA123" i="10"/>
  <c r="DZ184" i="10" l="1"/>
  <c r="DY173" i="10"/>
  <c r="DY179" i="10"/>
  <c r="DY192" i="10"/>
  <c r="DY180" i="10"/>
  <c r="DY54" i="10"/>
  <c r="EA48" i="11"/>
  <c r="DY181" i="10" l="1"/>
  <c r="DY93" i="10"/>
  <c r="DI346" i="31" l="1"/>
  <c r="DI539" i="31" l="1"/>
  <c r="DJ539" i="31" l="1"/>
  <c r="DI545" i="31"/>
  <c r="DI471" i="31"/>
  <c r="DI472" i="31" s="1"/>
  <c r="DI467" i="31"/>
  <c r="DJ545" i="31" l="1"/>
  <c r="DI473" i="31"/>
  <c r="DI716" i="31"/>
  <c r="DI721" i="31"/>
  <c r="DJ716" i="31" l="1"/>
  <c r="DI722" i="31"/>
  <c r="DI698" i="31"/>
  <c r="DI699" i="31" s="1"/>
  <c r="DI694" i="31"/>
  <c r="DJ694" i="31" s="1"/>
  <c r="DJ700" i="31" s="1"/>
  <c r="DJ722" i="31" l="1"/>
  <c r="DI700" i="31"/>
  <c r="EX119" i="9" l="1"/>
  <c r="EA29" i="11" l="1"/>
  <c r="EA52" i="11" l="1"/>
  <c r="EA54" i="11" l="1"/>
  <c r="EB53" i="11" l="1"/>
  <c r="DY169" i="10" l="1"/>
  <c r="DY220" i="10"/>
  <c r="DY20" i="10"/>
  <c r="DY96" i="10"/>
  <c r="DY98" i="10" s="1"/>
  <c r="DY216" i="10"/>
  <c r="J125" i="204"/>
  <c r="EX131" i="9"/>
  <c r="K118" i="204" l="1"/>
  <c r="J132" i="204"/>
  <c r="J139" i="204" s="1"/>
  <c r="J141" i="204" s="1"/>
  <c r="DY168" i="10"/>
  <c r="DY167" i="10"/>
  <c r="EX50" i="9" l="1"/>
  <c r="EX49" i="9" l="1"/>
  <c r="EX121" i="9"/>
  <c r="EX56" i="9" l="1"/>
  <c r="DY27" i="10" l="1"/>
  <c r="DY56" i="10"/>
  <c r="EX133" i="9"/>
  <c r="EX134" i="9" s="1"/>
  <c r="EX136" i="9" s="1"/>
  <c r="EX143" i="9" s="1"/>
  <c r="DY70" i="10"/>
  <c r="EB36" i="11"/>
  <c r="DY217" i="10" l="1"/>
  <c r="DY172" i="10"/>
  <c r="DY218" i="10"/>
  <c r="EX144" i="9"/>
  <c r="J150" i="204"/>
  <c r="J152" i="204" s="1"/>
  <c r="DY120" i="10"/>
  <c r="EX60" i="9" s="1"/>
  <c r="DY103" i="10"/>
  <c r="DY104" i="10" s="1"/>
  <c r="EX62" i="9" l="1"/>
  <c r="EY60" i="9"/>
  <c r="EA115" i="10"/>
  <c r="DY186" i="10"/>
  <c r="DY191" i="10" s="1"/>
  <c r="EX54" i="9"/>
  <c r="EX53" i="9"/>
  <c r="DY88" i="10"/>
  <c r="DY92" i="10" s="1"/>
  <c r="EX52" i="9"/>
  <c r="DZ88" i="10" l="1"/>
  <c r="EY62" i="9"/>
  <c r="EB48" i="11" l="1"/>
  <c r="EF215" i="10"/>
  <c r="DI215" i="31" l="1"/>
  <c r="DI205" i="31"/>
  <c r="DI213" i="31" l="1"/>
  <c r="DJ205" i="31"/>
  <c r="DI197" i="31"/>
  <c r="DI198" i="31" s="1"/>
  <c r="DJ213" i="31" l="1"/>
  <c r="DI199" i="31"/>
  <c r="DN171" i="31" l="1"/>
  <c r="DK243" i="31"/>
  <c r="DK193" i="31"/>
  <c r="DN177" i="31" l="1"/>
  <c r="DK249" i="31"/>
  <c r="DP249" i="31"/>
  <c r="DK199" i="31"/>
  <c r="DK197" i="31"/>
  <c r="DK198" i="31" s="1"/>
  <c r="DN247" i="31" l="1"/>
  <c r="DN248" i="31" s="1"/>
  <c r="DK500" i="31"/>
  <c r="DP506" i="31" s="1"/>
  <c r="DK471" i="31"/>
  <c r="DK472" i="31" s="1"/>
  <c r="DK506" i="31" l="1"/>
  <c r="DK650" i="31" l="1"/>
  <c r="DP656" i="31" s="1"/>
  <c r="DK656" i="31" l="1"/>
  <c r="DK643" i="31"/>
  <c r="DK644" i="31" s="1"/>
  <c r="DK886" i="31"/>
  <c r="DK24" i="31" s="1"/>
  <c r="DK35" i="31" l="1"/>
  <c r="DK16" i="31" s="1"/>
  <c r="DK891" i="31"/>
  <c r="DK892" i="31" s="1"/>
  <c r="DK40" i="31" l="1"/>
  <c r="DK41" i="31" s="1"/>
  <c r="FC93" i="9"/>
  <c r="DK47" i="31" l="1"/>
  <c r="DK51" i="31" l="1"/>
  <c r="DK52" i="31" s="1"/>
  <c r="FC97" i="9"/>
  <c r="FC98" i="9" s="1"/>
  <c r="FC23" i="9"/>
  <c r="DK29" i="31"/>
  <c r="DK30" i="31" s="1"/>
  <c r="DK53" i="31"/>
  <c r="DH268" i="31" l="1"/>
  <c r="DH885" i="31"/>
  <c r="DH23" i="31" s="1"/>
  <c r="DH276" i="31"/>
  <c r="DH265" i="31"/>
  <c r="DH271" i="31" l="1"/>
  <c r="DM276" i="31"/>
  <c r="DH282" i="31"/>
  <c r="DH886" i="31"/>
  <c r="DH24" i="31" s="1"/>
  <c r="DH269" i="31"/>
  <c r="DH270" i="31" s="1"/>
  <c r="DI276" i="31"/>
  <c r="DH890" i="31"/>
  <c r="DH34" i="31"/>
  <c r="DM282" i="31" l="1"/>
  <c r="DI282" i="31"/>
  <c r="DJ276" i="31"/>
  <c r="DN279" i="31"/>
  <c r="DH891" i="31"/>
  <c r="DH892" i="31" s="1"/>
  <c r="DH887" i="31"/>
  <c r="DH25" i="31" s="1"/>
  <c r="DH35" i="31"/>
  <c r="DH39" i="31"/>
  <c r="EZ92" i="9"/>
  <c r="DJ282" i="31" l="1"/>
  <c r="DH893" i="31"/>
  <c r="EZ93" i="9"/>
  <c r="DH40" i="31"/>
  <c r="DH41" i="31" s="1"/>
  <c r="DH36" i="31"/>
  <c r="EZ94" i="9" l="1"/>
  <c r="DH42" i="31"/>
  <c r="EY81" i="9" l="1"/>
  <c r="EY84" i="9" s="1"/>
  <c r="EY52" i="9"/>
  <c r="EY55" i="9"/>
  <c r="EY41" i="9"/>
  <c r="EY54" i="9"/>
  <c r="FD82" i="9" l="1"/>
  <c r="FD83" i="9" s="1"/>
  <c r="EY71" i="9"/>
  <c r="EY57" i="9"/>
  <c r="EY82" i="9"/>
  <c r="EY83" i="9" s="1"/>
  <c r="EY49" i="9"/>
  <c r="EY50" i="9" l="1"/>
  <c r="EY53" i="9"/>
  <c r="EY56" i="9"/>
  <c r="DZ52" i="10"/>
  <c r="EA184" i="10" l="1"/>
  <c r="DZ192" i="10"/>
  <c r="DZ191" i="10" s="1"/>
  <c r="DZ180" i="10"/>
  <c r="DZ179" i="10"/>
  <c r="DZ173" i="10"/>
  <c r="DZ92" i="10"/>
  <c r="DZ54" i="10"/>
  <c r="DZ93" i="10" l="1"/>
  <c r="DZ181" i="10"/>
  <c r="DO50" i="31" l="1"/>
  <c r="FB96" i="9"/>
  <c r="DJ50" i="31"/>
  <c r="FG96" i="9"/>
  <c r="FS106" i="9"/>
  <c r="FL96" i="9" l="1"/>
  <c r="FS96" i="9" s="1"/>
  <c r="DT50" i="31"/>
  <c r="DJ51" i="31" l="1"/>
  <c r="DJ52" i="31" s="1"/>
  <c r="FB97" i="9"/>
  <c r="DJ47" i="31"/>
  <c r="DJ53" i="31" l="1"/>
  <c r="FB98" i="9"/>
  <c r="DH29" i="31" l="1"/>
  <c r="DH30" i="31" s="1"/>
  <c r="EZ23" i="9"/>
  <c r="DH51" i="31"/>
  <c r="DH52" i="31" s="1"/>
  <c r="EZ97" i="9"/>
  <c r="FF97" i="9" l="1"/>
  <c r="DM51" i="31"/>
  <c r="DM52" i="31" s="1"/>
  <c r="FE97" i="9"/>
  <c r="FA97" i="9"/>
  <c r="DI51" i="31"/>
  <c r="DI52" i="31" s="1"/>
  <c r="DN51" i="31" l="1"/>
  <c r="DN52" i="31" s="1"/>
  <c r="DI50" i="31" l="1"/>
  <c r="FA96" i="9"/>
  <c r="FA98" i="9" s="1"/>
  <c r="DI47" i="31"/>
  <c r="DH28" i="31" l="1"/>
  <c r="EZ22" i="9"/>
  <c r="DH50" i="31"/>
  <c r="EZ96" i="9"/>
  <c r="DH47" i="31"/>
  <c r="DI53" i="31"/>
  <c r="DM20" i="31"/>
  <c r="DW50" i="31" l="1"/>
  <c r="FQ106" i="9"/>
  <c r="FJ96" i="9"/>
  <c r="FQ96" i="9" s="1"/>
  <c r="DM50" i="31"/>
  <c r="DR50" i="31"/>
  <c r="DM47" i="31"/>
  <c r="FE96" i="9"/>
  <c r="EZ103" i="9"/>
  <c r="EZ102" i="9"/>
  <c r="DH31" i="31"/>
  <c r="EZ112" i="9"/>
  <c r="EZ107" i="9"/>
  <c r="EZ104" i="9"/>
  <c r="EZ110" i="9"/>
  <c r="EZ111" i="9"/>
  <c r="DH53" i="31"/>
  <c r="EZ108" i="9"/>
  <c r="EZ106" i="9"/>
  <c r="EZ24" i="9"/>
  <c r="EZ98" i="9"/>
  <c r="EA83" i="10" l="1"/>
  <c r="EA84" i="10" s="1"/>
  <c r="DM53" i="31"/>
  <c r="EZ72" i="9"/>
  <c r="EA176" i="10" s="1"/>
  <c r="EZ67" i="9"/>
  <c r="EZ66" i="9"/>
  <c r="EZ70" i="9"/>
  <c r="EZ65" i="9"/>
  <c r="EA174" i="10" s="1"/>
  <c r="EZ115" i="9"/>
  <c r="EZ75" i="9"/>
  <c r="FE98" i="9"/>
  <c r="FF96" i="9"/>
  <c r="FF98" i="9" s="1"/>
  <c r="DN47" i="31"/>
  <c r="DN50" i="31"/>
  <c r="EZ114" i="9"/>
  <c r="EZ116" i="9" l="1"/>
  <c r="EA144" i="10"/>
  <c r="EA65" i="10"/>
  <c r="EA216" i="10" s="1"/>
  <c r="EA136" i="10"/>
  <c r="EA77" i="10"/>
  <c r="EA70" i="10"/>
  <c r="EA79" i="10"/>
  <c r="EA68" i="10"/>
  <c r="EA73" i="10"/>
  <c r="EA66" i="10"/>
  <c r="EA69" i="10"/>
  <c r="EA67" i="10"/>
  <c r="EA59" i="10"/>
  <c r="EA62" i="10" s="1"/>
  <c r="EA78" i="10"/>
  <c r="EA76" i="10"/>
  <c r="EA75" i="10"/>
  <c r="EA74" i="10"/>
  <c r="EZ29" i="9"/>
  <c r="EZ77" i="9"/>
  <c r="DN53" i="31"/>
  <c r="EZ76" i="9"/>
  <c r="EZ78" i="9"/>
  <c r="EZ37" i="9" l="1"/>
  <c r="EZ79" i="9"/>
  <c r="EZ68" i="9"/>
  <c r="EA175" i="10" s="1"/>
  <c r="EZ133" i="9" l="1"/>
  <c r="EA36" i="10"/>
  <c r="EA169" i="10" l="1"/>
  <c r="EA41" i="10"/>
  <c r="EC36" i="11"/>
  <c r="EB29" i="11" l="1"/>
  <c r="EB52" i="11" l="1"/>
  <c r="EB54" i="11" l="1"/>
  <c r="EC53" i="11" l="1"/>
  <c r="DZ20" i="10" l="1"/>
  <c r="K125" i="204"/>
  <c r="EY131" i="9"/>
  <c r="DZ167" i="10" l="1"/>
  <c r="DZ168" i="10"/>
  <c r="L118" i="204"/>
  <c r="K132" i="204"/>
  <c r="K139" i="204" s="1"/>
  <c r="K141" i="204" s="1"/>
  <c r="DZ56" i="10"/>
  <c r="DZ27" i="10"/>
  <c r="EY134" i="9"/>
  <c r="EY136" i="9" s="1"/>
  <c r="EY143" i="9" s="1"/>
  <c r="DZ217" i="10" l="1"/>
  <c r="DZ172" i="10"/>
  <c r="DZ218" i="10"/>
  <c r="EY144" i="9"/>
  <c r="K150" i="204"/>
  <c r="K152" i="204" s="1"/>
  <c r="DN133" i="31" l="1"/>
  <c r="DN131" i="31"/>
  <c r="DN132" i="31" s="1"/>
  <c r="DN130" i="31"/>
  <c r="DK515" i="31" l="1"/>
  <c r="DN520" i="31" l="1"/>
  <c r="DO511" i="31"/>
  <c r="DK470" i="31"/>
  <c r="DK467" i="31"/>
  <c r="DN517" i="31"/>
  <c r="DO509" i="31" l="1"/>
  <c r="DN523" i="31"/>
  <c r="DO517" i="31"/>
  <c r="DO465" i="31"/>
  <c r="DK887" i="31"/>
  <c r="DK25" i="31" s="1"/>
  <c r="DK890" i="31"/>
  <c r="DK34" i="31"/>
  <c r="DK15" i="31" s="1"/>
  <c r="DK473" i="31"/>
  <c r="DN470" i="31"/>
  <c r="DP20" i="31" l="1"/>
  <c r="DK39" i="31"/>
  <c r="DK36" i="31"/>
  <c r="FC92" i="9"/>
  <c r="DK28" i="31"/>
  <c r="FC22" i="9"/>
  <c r="DK893" i="31"/>
  <c r="DK17" i="31" l="1"/>
  <c r="FC102" i="9"/>
  <c r="FC24" i="9"/>
  <c r="FC94" i="9"/>
  <c r="DK42" i="31"/>
  <c r="FC104" i="9"/>
  <c r="FC106" i="9"/>
  <c r="DK31" i="31"/>
  <c r="FC112" i="9"/>
  <c r="FC103" i="9"/>
  <c r="FC107" i="9"/>
  <c r="FC110" i="9"/>
  <c r="FC111" i="9"/>
  <c r="FC108" i="9"/>
  <c r="ED83" i="10" l="1"/>
  <c r="FC72" i="9"/>
  <c r="ED176" i="10" s="1"/>
  <c r="FC67" i="9"/>
  <c r="FC66" i="9"/>
  <c r="FC65" i="9"/>
  <c r="ED174" i="10" s="1"/>
  <c r="FC114" i="9"/>
  <c r="FC75" i="9"/>
  <c r="FC115" i="9"/>
  <c r="FC116" i="9" l="1"/>
  <c r="FC29" i="9"/>
  <c r="FC77" i="9"/>
  <c r="FC78" i="9"/>
  <c r="FC76" i="9"/>
  <c r="FC68" i="9" l="1"/>
  <c r="ED175" i="10" s="1"/>
  <c r="FC38" i="9"/>
  <c r="FC79" i="9"/>
  <c r="FC122" i="9" l="1"/>
  <c r="FC41" i="9"/>
  <c r="FC70" i="9"/>
  <c r="FC125" i="9"/>
  <c r="FC127" i="9" s="1"/>
  <c r="FC80" i="9"/>
  <c r="FC71" i="9" l="1"/>
  <c r="FC50" i="9" s="1"/>
  <c r="FC49" i="9"/>
  <c r="DH456" i="31"/>
  <c r="DH462" i="31" s="1"/>
  <c r="DH460" i="31"/>
  <c r="DH461" i="31" s="1"/>
  <c r="DH459" i="31"/>
  <c r="DM885" i="31" l="1"/>
  <c r="DM23" i="31" s="1"/>
  <c r="FC81" i="9"/>
  <c r="FC84" i="9" s="1"/>
  <c r="DI268" i="31"/>
  <c r="DI265" i="31"/>
  <c r="DJ265" i="31" s="1"/>
  <c r="DJ271" i="31" s="1"/>
  <c r="DM268" i="31"/>
  <c r="DI269" i="31"/>
  <c r="DI270" i="31" s="1"/>
  <c r="DM456" i="31"/>
  <c r="DR462" i="31" s="1"/>
  <c r="DM890" i="31" l="1"/>
  <c r="DM34" i="31"/>
  <c r="DM15" i="31" s="1"/>
  <c r="DM265" i="31"/>
  <c r="DM462" i="31"/>
  <c r="DI271" i="31"/>
  <c r="DM269" i="31"/>
  <c r="DM270" i="31" s="1"/>
  <c r="DM886" i="31"/>
  <c r="DM24" i="31" s="1"/>
  <c r="DM39" i="31" l="1"/>
  <c r="FE92" i="9"/>
  <c r="FE22" i="9"/>
  <c r="DM28" i="31"/>
  <c r="DM271" i="31"/>
  <c r="DM887" i="31"/>
  <c r="DM25" i="31" s="1"/>
  <c r="DM891" i="31"/>
  <c r="DM892" i="31" s="1"/>
  <c r="DM35" i="31"/>
  <c r="DM16" i="31" s="1"/>
  <c r="DN268" i="31"/>
  <c r="DM29" i="31" l="1"/>
  <c r="DM30" i="31" s="1"/>
  <c r="FE23" i="9"/>
  <c r="DM893" i="31"/>
  <c r="DR20" i="31"/>
  <c r="DM36" i="31"/>
  <c r="DM40" i="31"/>
  <c r="DM41" i="31" s="1"/>
  <c r="FE93" i="9"/>
  <c r="DM17" i="31" l="1"/>
  <c r="FE103" i="9"/>
  <c r="FE104" i="9"/>
  <c r="DM42" i="31"/>
  <c r="FE24" i="9"/>
  <c r="FE94" i="9"/>
  <c r="FE107" i="9"/>
  <c r="DM31" i="31"/>
  <c r="FE112" i="9"/>
  <c r="FE106" i="9"/>
  <c r="FE110" i="9"/>
  <c r="FE111" i="9"/>
  <c r="FE108" i="9"/>
  <c r="FE102" i="9"/>
  <c r="FE66" i="9" l="1"/>
  <c r="FE67" i="9"/>
  <c r="FE65" i="9"/>
  <c r="EF174" i="10" s="1"/>
  <c r="FE114" i="9"/>
  <c r="FE75" i="9"/>
  <c r="EF83" i="10"/>
  <c r="FE115" i="9"/>
  <c r="FE116" i="9" l="1"/>
  <c r="FE29" i="9"/>
  <c r="FE78" i="9"/>
  <c r="FE76" i="9"/>
  <c r="EF85" i="10"/>
  <c r="FE77" i="9"/>
  <c r="FE68" i="9" l="1"/>
  <c r="EF175" i="10" s="1"/>
  <c r="FE79" i="9"/>
  <c r="EZ119" i="9" l="1"/>
  <c r="EY119" i="9"/>
  <c r="EA146" i="10" l="1"/>
  <c r="EY121" i="9"/>
  <c r="EA147" i="10" l="1"/>
  <c r="EA148" i="10" s="1"/>
  <c r="EA143" i="10"/>
  <c r="EZ80" i="9" l="1"/>
  <c r="EZ125" i="9"/>
  <c r="EZ122" i="9" l="1"/>
  <c r="EZ126" i="9"/>
  <c r="EZ127" i="9" s="1"/>
  <c r="EZ81" i="9" l="1"/>
  <c r="EZ84" i="9" s="1"/>
  <c r="EZ55" i="9"/>
  <c r="EZ41" i="9"/>
  <c r="EZ71" i="9" l="1"/>
  <c r="EZ50" i="9"/>
  <c r="EC29" i="11"/>
  <c r="EA52" i="10"/>
  <c r="EZ57" i="9"/>
  <c r="EZ82" i="9"/>
  <c r="EZ83" i="9" s="1"/>
  <c r="EZ121" i="9"/>
  <c r="EZ49" i="9"/>
  <c r="EA173" i="10" l="1"/>
  <c r="EA192" i="10"/>
  <c r="EA180" i="10"/>
  <c r="EA179" i="10"/>
  <c r="EA54" i="10"/>
  <c r="EB184" i="10"/>
  <c r="EZ56" i="9"/>
  <c r="EA181" i="10" l="1"/>
  <c r="EA93" i="10"/>
  <c r="EA20" i="10" l="1"/>
  <c r="EA96" i="10"/>
  <c r="EA98" i="10" s="1"/>
  <c r="EZ131" i="9"/>
  <c r="L125" i="204"/>
  <c r="EA168" i="10" l="1"/>
  <c r="EA167" i="10"/>
  <c r="EA56" i="10"/>
  <c r="EA27" i="10"/>
  <c r="M118" i="204"/>
  <c r="L132" i="204"/>
  <c r="L139" i="204" s="1"/>
  <c r="L141" i="204" s="1"/>
  <c r="EZ134" i="9"/>
  <c r="EZ136" i="9" s="1"/>
  <c r="EZ143" i="9" s="1"/>
  <c r="EA172" i="10" l="1"/>
  <c r="EA218" i="10"/>
  <c r="EA217" i="10"/>
  <c r="EZ144" i="9"/>
  <c r="L150" i="204"/>
  <c r="L152" i="204" s="1"/>
  <c r="DN758" i="31" l="1"/>
  <c r="DO758" i="31" s="1"/>
  <c r="DJ520" i="31" l="1"/>
  <c r="DO520" i="31"/>
  <c r="DJ517" i="31"/>
  <c r="DJ509" i="31"/>
  <c r="DJ465" i="31"/>
  <c r="DJ470" i="31" s="1"/>
  <c r="DJ467" i="31" l="1"/>
  <c r="DJ523" i="31"/>
  <c r="DO523" i="31"/>
  <c r="DO470" i="31"/>
  <c r="DJ473" i="31" l="1"/>
  <c r="EC48" i="11" l="1"/>
  <c r="EC52" i="11" l="1"/>
  <c r="EC54" i="11"/>
  <c r="ED53" i="11" l="1"/>
  <c r="EA103" i="10" l="1"/>
  <c r="EA104" i="10" s="1"/>
  <c r="EA116" i="10"/>
  <c r="EA120" i="10"/>
  <c r="EZ60" i="9" s="1"/>
  <c r="EA186" i="10" l="1"/>
  <c r="EA191" i="10" s="1"/>
  <c r="EA88" i="10"/>
  <c r="EA92" i="10" s="1"/>
  <c r="EZ62" i="9"/>
  <c r="EZ53" i="9"/>
  <c r="EZ54" i="9"/>
  <c r="EZ52" i="9"/>
  <c r="EG215" i="10" l="1"/>
  <c r="EC87" i="10" l="1"/>
  <c r="EA124" i="10" l="1"/>
  <c r="EC124" i="10" s="1"/>
  <c r="EC125" i="10" s="1"/>
  <c r="EH123" i="10" l="1"/>
  <c r="ED123" i="10"/>
  <c r="ED124" i="10" s="1"/>
  <c r="EB190" i="10"/>
  <c r="EB188" i="10"/>
  <c r="EC51" i="10"/>
  <c r="ED188" i="10" l="1"/>
  <c r="ED190" i="10"/>
  <c r="EC190" i="10"/>
  <c r="EC188" i="10"/>
  <c r="EE123" i="10" l="1"/>
  <c r="EE124" i="10" s="1"/>
  <c r="EF123" i="10" l="1"/>
  <c r="EF124" i="10" s="1"/>
  <c r="EE188" i="10" l="1"/>
  <c r="EE190" i="10"/>
  <c r="EG123" i="10"/>
  <c r="EG124" i="10" s="1"/>
  <c r="EH124" i="10" s="1"/>
  <c r="EH125" i="10" s="1"/>
  <c r="EM123" i="10" s="1"/>
  <c r="EI123" i="10" l="1"/>
  <c r="EI124" i="10" s="1"/>
  <c r="EH51" i="10"/>
  <c r="EF190" i="10"/>
  <c r="EF188" i="10"/>
  <c r="EG190" i="10"/>
  <c r="EG188" i="10"/>
  <c r="EH188" i="10" l="1"/>
  <c r="EH190" i="10"/>
  <c r="DJ191" i="31" l="1"/>
  <c r="DJ193" i="31" s="1"/>
  <c r="DJ196" i="31" l="1"/>
  <c r="DJ199" i="31"/>
  <c r="DN215" i="31"/>
  <c r="DN205" i="31" l="1"/>
  <c r="DN208" i="31"/>
  <c r="DN213" i="31" l="1"/>
  <c r="DJ455" i="31" l="1"/>
  <c r="DO460" i="31" s="1"/>
  <c r="DJ456" i="31"/>
  <c r="DI461" i="31"/>
  <c r="DJ462" i="31" l="1"/>
  <c r="DJ460" i="31"/>
  <c r="DJ461" i="31" s="1"/>
  <c r="DI642" i="31" l="1"/>
  <c r="DI681" i="31"/>
  <c r="DJ681" i="31" s="1"/>
  <c r="DJ637" i="31" s="1"/>
  <c r="DI34" i="31"/>
  <c r="DI686" i="31" l="1"/>
  <c r="DI890" i="31"/>
  <c r="FA92" i="9"/>
  <c r="DI39" i="31"/>
  <c r="DJ686" i="31"/>
  <c r="FA22" i="9" l="1"/>
  <c r="DI28" i="31"/>
  <c r="DJ885" i="31"/>
  <c r="DJ23" i="31" s="1"/>
  <c r="DJ642" i="31"/>
  <c r="DJ34" i="31" l="1"/>
  <c r="DJ890" i="31"/>
  <c r="FB22" i="9"/>
  <c r="FB92" i="9" l="1"/>
  <c r="DJ39" i="31"/>
  <c r="DJ28" i="31"/>
  <c r="DI643" i="31" l="1"/>
  <c r="DI644" i="31" s="1"/>
  <c r="DI682" i="31"/>
  <c r="DJ682" i="31" s="1"/>
  <c r="DI886" i="31"/>
  <c r="DI24" i="31" s="1"/>
  <c r="DI687" i="31" l="1"/>
  <c r="DI688" i="31" s="1"/>
  <c r="DI683" i="31"/>
  <c r="DJ687" i="31"/>
  <c r="DJ688" i="31" s="1"/>
  <c r="DI891" i="31"/>
  <c r="DI892" i="31" s="1"/>
  <c r="FA23" i="9"/>
  <c r="FA24" i="9" s="1"/>
  <c r="DI29" i="31"/>
  <c r="DI30" i="31" s="1"/>
  <c r="DJ638" i="31"/>
  <c r="DI887" i="31"/>
  <c r="DI25" i="31" s="1"/>
  <c r="DI35" i="31"/>
  <c r="DI689" i="31" l="1"/>
  <c r="DJ683" i="31"/>
  <c r="DJ689" i="31" s="1"/>
  <c r="DI893" i="31"/>
  <c r="DJ886" i="31"/>
  <c r="DJ24" i="31" s="1"/>
  <c r="DJ643" i="31"/>
  <c r="DJ644" i="31" s="1"/>
  <c r="DI645" i="31"/>
  <c r="FA93" i="9"/>
  <c r="FA94" i="9" s="1"/>
  <c r="DI36" i="31"/>
  <c r="DI40" i="31"/>
  <c r="DI41" i="31" s="1"/>
  <c r="FB23" i="9"/>
  <c r="DJ639" i="31" l="1"/>
  <c r="FA103" i="9"/>
  <c r="DN20" i="31"/>
  <c r="FB24" i="9"/>
  <c r="EB83" i="10"/>
  <c r="FA104" i="9"/>
  <c r="DI42" i="31"/>
  <c r="FA102" i="9"/>
  <c r="FA106" i="9"/>
  <c r="FA107" i="9"/>
  <c r="FA108" i="9"/>
  <c r="FA110" i="9"/>
  <c r="FA111" i="9"/>
  <c r="FA112" i="9"/>
  <c r="DI31" i="31"/>
  <c r="FA75" i="9"/>
  <c r="DO21" i="31"/>
  <c r="DJ891" i="31"/>
  <c r="DJ892" i="31" s="1"/>
  <c r="DJ35" i="31"/>
  <c r="DJ887" i="31"/>
  <c r="DJ25" i="31" s="1"/>
  <c r="DJ645" i="31" l="1"/>
  <c r="DO1041" i="31"/>
  <c r="DO1036" i="31" s="1"/>
  <c r="DO1063" i="31"/>
  <c r="DO1058" i="31" s="1"/>
  <c r="DO1052" i="31"/>
  <c r="DO1047" i="31" s="1"/>
  <c r="DO1074" i="31"/>
  <c r="DO1069" i="31" s="1"/>
  <c r="DO1018" i="31"/>
  <c r="DO1013" i="31" s="1"/>
  <c r="DO996" i="31"/>
  <c r="DO991" i="31" s="1"/>
  <c r="DO1007" i="31"/>
  <c r="DO1002" i="31" s="1"/>
  <c r="DO974" i="31"/>
  <c r="DO969" i="31" s="1"/>
  <c r="DO633" i="31"/>
  <c r="DO281" i="31"/>
  <c r="DO544" i="31"/>
  <c r="DO226" i="31"/>
  <c r="DO335" i="31"/>
  <c r="DO346" i="31"/>
  <c r="DO754" i="31"/>
  <c r="DO655" i="31"/>
  <c r="DO677" i="31"/>
  <c r="DO721" i="31"/>
  <c r="DO237" i="31"/>
  <c r="DO743" i="31"/>
  <c r="DO461" i="31"/>
  <c r="DO1439" i="31"/>
  <c r="DO1450" i="31"/>
  <c r="DO1483" i="31"/>
  <c r="DO1472" i="31"/>
  <c r="DO1461" i="31"/>
  <c r="DO1428" i="31"/>
  <c r="DO176" i="31"/>
  <c r="DO504" i="31"/>
  <c r="DO248" i="31"/>
  <c r="DO554" i="31"/>
  <c r="FB70" i="9"/>
  <c r="EB84" i="10"/>
  <c r="EB144" i="10" s="1"/>
  <c r="ED84" i="10"/>
  <c r="FA114" i="9"/>
  <c r="FA115" i="9"/>
  <c r="FB93" i="9"/>
  <c r="DJ36" i="31"/>
  <c r="DJ40" i="31"/>
  <c r="DJ41" i="31" s="1"/>
  <c r="EC83" i="10"/>
  <c r="EC84" i="10" s="1"/>
  <c r="FB2" i="9"/>
  <c r="FB4" i="9" s="1"/>
  <c r="FB7" i="9" s="1"/>
  <c r="FB75" i="9"/>
  <c r="DJ29" i="31"/>
  <c r="DJ30" i="31" s="1"/>
  <c r="DJ893" i="31"/>
  <c r="DO20" i="31"/>
  <c r="DO1024" i="31" l="1"/>
  <c r="DO1029" i="31" s="1"/>
  <c r="DO1030" i="31" s="1"/>
  <c r="DO992" i="31"/>
  <c r="DO1014" i="31"/>
  <c r="DO1070" i="31"/>
  <c r="DO970" i="31"/>
  <c r="DO1048" i="31"/>
  <c r="DO1003" i="31"/>
  <c r="DO1059" i="31"/>
  <c r="DO1037" i="31"/>
  <c r="DJ42" i="31"/>
  <c r="DO738" i="31"/>
  <c r="DO1478" i="31"/>
  <c r="DO1456" i="31"/>
  <c r="DO1423" i="31"/>
  <c r="DO330" i="31"/>
  <c r="DO276" i="31"/>
  <c r="DO456" i="31"/>
  <c r="DO650" i="31"/>
  <c r="DO500" i="31"/>
  <c r="DO466" i="31"/>
  <c r="DO1434" i="31"/>
  <c r="DO1488" i="31"/>
  <c r="DO716" i="31"/>
  <c r="DO1467" i="31"/>
  <c r="DO539" i="31"/>
  <c r="DO672" i="31"/>
  <c r="DO1445" i="31"/>
  <c r="EB79" i="10"/>
  <c r="EB76" i="10"/>
  <c r="EB74" i="10"/>
  <c r="EB136" i="10"/>
  <c r="EB69" i="10"/>
  <c r="EB73" i="10"/>
  <c r="EB75" i="10"/>
  <c r="EB65" i="10"/>
  <c r="EB78" i="10"/>
  <c r="EB68" i="10"/>
  <c r="EB59" i="10"/>
  <c r="EB62" i="10" s="1"/>
  <c r="EB67" i="10"/>
  <c r="EB66" i="10"/>
  <c r="EB77" i="10"/>
  <c r="EB70" i="10"/>
  <c r="FB103" i="9"/>
  <c r="ED144" i="10"/>
  <c r="ED69" i="10"/>
  <c r="ED59" i="10"/>
  <c r="ED66" i="10"/>
  <c r="ED77" i="10"/>
  <c r="ED67" i="10"/>
  <c r="ED65" i="10"/>
  <c r="ED216" i="10" s="1"/>
  <c r="ED78" i="10"/>
  <c r="ED79" i="10"/>
  <c r="ED68" i="10"/>
  <c r="ED74" i="10"/>
  <c r="ED75" i="10"/>
  <c r="ED73" i="10"/>
  <c r="ED76" i="10"/>
  <c r="ED70" i="10"/>
  <c r="EC136" i="10"/>
  <c r="EC144" i="10"/>
  <c r="FA116" i="9"/>
  <c r="FB104" i="9"/>
  <c r="FB102" i="9"/>
  <c r="FB106" i="9"/>
  <c r="FB107" i="9"/>
  <c r="FB108" i="9"/>
  <c r="FB110" i="9"/>
  <c r="FB111" i="9"/>
  <c r="FB112" i="9"/>
  <c r="DJ31" i="31"/>
  <c r="EC33" i="10"/>
  <c r="EC34" i="10"/>
  <c r="EC40" i="10"/>
  <c r="FB94" i="9"/>
  <c r="DO336" i="31" l="1"/>
  <c r="DO545" i="31"/>
  <c r="DO1054" i="31"/>
  <c r="DO1043" i="31"/>
  <c r="DO1076" i="31"/>
  <c r="DO1020" i="31"/>
  <c r="DO1065" i="31"/>
  <c r="DO1009" i="31"/>
  <c r="DO976" i="31"/>
  <c r="DO998" i="31"/>
  <c r="DO1025" i="31"/>
  <c r="DO462" i="31"/>
  <c r="DN1449" i="31"/>
  <c r="DN1450" i="31" s="1"/>
  <c r="DN1445" i="31"/>
  <c r="DN676" i="31"/>
  <c r="DN677" i="31" s="1"/>
  <c r="DN672" i="31"/>
  <c r="DN678" i="31" s="1"/>
  <c r="DO1473" i="31"/>
  <c r="DO722" i="31"/>
  <c r="DO1493" i="31"/>
  <c r="DO1494" i="31" s="1"/>
  <c r="DO1489" i="31"/>
  <c r="DO57" i="31"/>
  <c r="FG89" i="9" s="1"/>
  <c r="DN504" i="31"/>
  <c r="DN505" i="31" s="1"/>
  <c r="DN500" i="31"/>
  <c r="DT276" i="31"/>
  <c r="DN1423" i="31"/>
  <c r="DN1429" i="31" s="1"/>
  <c r="DN1460" i="31"/>
  <c r="DN1461" i="31" s="1"/>
  <c r="DN1456" i="31"/>
  <c r="DN1462" i="31" s="1"/>
  <c r="DN1478" i="31"/>
  <c r="DN1484" i="31" s="1"/>
  <c r="DN1482" i="31"/>
  <c r="DN1483" i="31" s="1"/>
  <c r="DT1445" i="31"/>
  <c r="DT545" i="31"/>
  <c r="DN1471" i="31"/>
  <c r="DN1472" i="31" s="1"/>
  <c r="DN1467" i="31"/>
  <c r="DN1473" i="31" s="1"/>
  <c r="DO1440" i="31"/>
  <c r="DT500" i="31"/>
  <c r="DY506" i="31" s="1"/>
  <c r="DN654" i="31"/>
  <c r="DN655" i="31" s="1"/>
  <c r="DN650" i="31"/>
  <c r="DN656" i="31" s="1"/>
  <c r="DO269" i="31"/>
  <c r="DO270" i="31" s="1"/>
  <c r="DO265" i="31"/>
  <c r="DT1423" i="31"/>
  <c r="DT1478" i="31"/>
  <c r="DN742" i="31"/>
  <c r="DN743" i="31" s="1"/>
  <c r="DN738" i="31"/>
  <c r="DN744" i="31" s="1"/>
  <c r="DT672" i="31"/>
  <c r="DY678" i="31" s="1"/>
  <c r="DN543" i="31"/>
  <c r="DN544" i="31" s="1"/>
  <c r="DN539" i="31"/>
  <c r="DN720" i="31"/>
  <c r="DN721" i="31" s="1"/>
  <c r="DN716" i="31"/>
  <c r="DT1434" i="31"/>
  <c r="DT1488" i="31"/>
  <c r="DO471" i="31"/>
  <c r="DO472" i="31" s="1"/>
  <c r="DO467" i="31"/>
  <c r="DT650" i="31"/>
  <c r="DN280" i="31"/>
  <c r="DN281" i="31" s="1"/>
  <c r="DN276" i="31"/>
  <c r="DN330" i="31"/>
  <c r="DN334" i="31"/>
  <c r="DN335" i="31" s="1"/>
  <c r="DO1429" i="31"/>
  <c r="DO1462" i="31"/>
  <c r="DO1484" i="31"/>
  <c r="DO744" i="31"/>
  <c r="DO1451" i="31"/>
  <c r="DO678" i="31"/>
  <c r="DT1467" i="31"/>
  <c r="DN1434" i="31"/>
  <c r="DN1440" i="31" s="1"/>
  <c r="DN1488" i="31"/>
  <c r="DO506" i="31"/>
  <c r="DO656" i="31"/>
  <c r="DN456" i="31"/>
  <c r="DN462" i="31" s="1"/>
  <c r="DO282" i="31"/>
  <c r="DY329" i="31"/>
  <c r="DT330" i="31"/>
  <c r="DT1456" i="31"/>
  <c r="DY737" i="31"/>
  <c r="DT738" i="31"/>
  <c r="ED62" i="10"/>
  <c r="FB115" i="9"/>
  <c r="FA66" i="9"/>
  <c r="FA77" i="9"/>
  <c r="EC39" i="10"/>
  <c r="EC38" i="10"/>
  <c r="EC18" i="10"/>
  <c r="EC73" i="10"/>
  <c r="EC78" i="10"/>
  <c r="EC35" i="10"/>
  <c r="FB114" i="9"/>
  <c r="FC133" i="9"/>
  <c r="FA65" i="9"/>
  <c r="FA76" i="9"/>
  <c r="FA29" i="9"/>
  <c r="FA37" i="9" s="1"/>
  <c r="FA67" i="9"/>
  <c r="FA78" i="9"/>
  <c r="EC26" i="10"/>
  <c r="EC25" i="10"/>
  <c r="EC21" i="10"/>
  <c r="FA133" i="9"/>
  <c r="EC76" i="10"/>
  <c r="EC16" i="10"/>
  <c r="EC19" i="10"/>
  <c r="DO1031" i="31" l="1"/>
  <c r="FG90" i="9"/>
  <c r="DT1484" i="31"/>
  <c r="DT1473" i="31"/>
  <c r="DT1462" i="31"/>
  <c r="DT1451" i="31"/>
  <c r="DS1449" i="31"/>
  <c r="DS1450" i="31" s="1"/>
  <c r="DT1440" i="31"/>
  <c r="DT1429" i="31"/>
  <c r="DT336" i="31"/>
  <c r="DT506" i="31"/>
  <c r="DT722" i="31"/>
  <c r="DT282" i="31"/>
  <c r="DN265" i="31"/>
  <c r="DN271" i="31" s="1"/>
  <c r="DN269" i="31"/>
  <c r="DN270" i="31" s="1"/>
  <c r="DT57" i="31"/>
  <c r="FL89" i="9" s="1"/>
  <c r="DT1489" i="31"/>
  <c r="DN545" i="31"/>
  <c r="DO271" i="31"/>
  <c r="DT1493" i="31"/>
  <c r="DN57" i="31"/>
  <c r="DN1493" i="31"/>
  <c r="DN1494" i="31" s="1"/>
  <c r="DN1489" i="31"/>
  <c r="DN336" i="31"/>
  <c r="DO473" i="31"/>
  <c r="FG97" i="9"/>
  <c r="DO47" i="31"/>
  <c r="DO51" i="31"/>
  <c r="DO52" i="31" s="1"/>
  <c r="DN506" i="31"/>
  <c r="DO62" i="31"/>
  <c r="DO63" i="31" s="1"/>
  <c r="DO58" i="31"/>
  <c r="DS1445" i="31"/>
  <c r="DN471" i="31"/>
  <c r="DN472" i="31" s="1"/>
  <c r="DN473" i="31"/>
  <c r="DO1495" i="31"/>
  <c r="DN1451" i="31"/>
  <c r="DY330" i="31"/>
  <c r="DN722" i="31"/>
  <c r="DY738" i="31"/>
  <c r="DT744" i="31"/>
  <c r="DN282" i="31"/>
  <c r="DT656" i="31"/>
  <c r="DT678" i="31"/>
  <c r="FB37" i="9"/>
  <c r="FA126" i="9"/>
  <c r="FB116" i="9"/>
  <c r="EC70" i="10"/>
  <c r="FB133" i="9"/>
  <c r="EB174" i="10"/>
  <c r="EC68" i="10"/>
  <c r="ED48" i="11"/>
  <c r="EC141" i="10"/>
  <c r="FB119" i="9"/>
  <c r="EC66" i="10"/>
  <c r="EC59" i="10"/>
  <c r="FB80" i="9"/>
  <c r="FB125" i="9"/>
  <c r="EC67" i="10"/>
  <c r="EC77" i="10"/>
  <c r="EC75" i="10"/>
  <c r="FA68" i="9"/>
  <c r="EB175" i="10" s="1"/>
  <c r="FA79" i="9"/>
  <c r="EC69" i="10"/>
  <c r="EC74" i="10"/>
  <c r="ED52" i="11" l="1"/>
  <c r="ED54" i="11" s="1"/>
  <c r="EC140" i="10"/>
  <c r="FL90" i="9"/>
  <c r="FF89" i="9"/>
  <c r="DT51" i="31"/>
  <c r="FS107" i="9"/>
  <c r="DT1495" i="31"/>
  <c r="DS1451" i="31"/>
  <c r="FB122" i="9"/>
  <c r="DO64" i="31"/>
  <c r="DT62" i="31"/>
  <c r="DT58" i="31"/>
  <c r="FL97" i="9"/>
  <c r="FS97" i="9" s="1"/>
  <c r="DT47" i="31"/>
  <c r="FG98" i="9"/>
  <c r="DN62" i="31"/>
  <c r="DN63" i="31" s="1"/>
  <c r="DN58" i="31"/>
  <c r="DY336" i="31"/>
  <c r="DO54" i="31"/>
  <c r="DO53" i="31"/>
  <c r="DN1495" i="31"/>
  <c r="DY744" i="31"/>
  <c r="EC143" i="10"/>
  <c r="EC146" i="10"/>
  <c r="FB126" i="9"/>
  <c r="FB127" i="9" s="1"/>
  <c r="EC149" i="10"/>
  <c r="FA70" i="9"/>
  <c r="FA122" i="9"/>
  <c r="FA125" i="9"/>
  <c r="FA127" i="9" s="1"/>
  <c r="FA80" i="9"/>
  <c r="EC150" i="10"/>
  <c r="EE36" i="11"/>
  <c r="EB140" i="10"/>
  <c r="FA119" i="9"/>
  <c r="EE48" i="11"/>
  <c r="EB142" i="10" l="1"/>
  <c r="EC142" i="10"/>
  <c r="FS108" i="9"/>
  <c r="FF90" i="9"/>
  <c r="DT53" i="31"/>
  <c r="FL98" i="9"/>
  <c r="DT64" i="31"/>
  <c r="DN64" i="31"/>
  <c r="EE52" i="11"/>
  <c r="EB143" i="10"/>
  <c r="EB146" i="10"/>
  <c r="EC147" i="10"/>
  <c r="EC148" i="10" s="1"/>
  <c r="FA55" i="9"/>
  <c r="FA72" i="9"/>
  <c r="EB176" i="10" s="1"/>
  <c r="FA81" i="9"/>
  <c r="FA84" i="9" s="1"/>
  <c r="EC32" i="10"/>
  <c r="EB36" i="10"/>
  <c r="EB149" i="10"/>
  <c r="EC17" i="10"/>
  <c r="EB150" i="10"/>
  <c r="EC91" i="10" l="1"/>
  <c r="EB147" i="10"/>
  <c r="EB148" i="10" s="1"/>
  <c r="EF28" i="11"/>
  <c r="EC97" i="10"/>
  <c r="EC36" i="10"/>
  <c r="EC79" i="10"/>
  <c r="EB185" i="10"/>
  <c r="FA57" i="9"/>
  <c r="EC22" i="10"/>
  <c r="ED36" i="10"/>
  <c r="EB41" i="10"/>
  <c r="FA82" i="9"/>
  <c r="FA83" i="9" s="1"/>
  <c r="ED169" i="10" l="1"/>
  <c r="EC50" i="10"/>
  <c r="EB52" i="10"/>
  <c r="EC41" i="10"/>
  <c r="ED41" i="10"/>
  <c r="EC52" i="10" l="1"/>
  <c r="EB54" i="10"/>
  <c r="EB179" i="10"/>
  <c r="EB192" i="10"/>
  <c r="EB180" i="10"/>
  <c r="EB173" i="10"/>
  <c r="EH184" i="10" l="1"/>
  <c r="EB93" i="10"/>
  <c r="ED184" i="10"/>
  <c r="ED191" i="10" s="1"/>
  <c r="EB181" i="10"/>
  <c r="EC54" i="10"/>
  <c r="EC180" i="10"/>
  <c r="EC179" i="10"/>
  <c r="EC192" i="10"/>
  <c r="EC93" i="10" l="1"/>
  <c r="EC181" i="10"/>
  <c r="EB20" i="10" l="1"/>
  <c r="EB216" i="10"/>
  <c r="EB169" i="10"/>
  <c r="EB220" i="10"/>
  <c r="M125" i="204"/>
  <c r="M132" i="204" s="1"/>
  <c r="M139" i="204" s="1"/>
  <c r="M141" i="204" s="1"/>
  <c r="FA131" i="9"/>
  <c r="FA134" i="9" s="1"/>
  <c r="FA136" i="9" s="1"/>
  <c r="FA143" i="9" s="1"/>
  <c r="M150" i="204" l="1"/>
  <c r="M152" i="204" s="1"/>
  <c r="FA144" i="9"/>
  <c r="EB27" i="10"/>
  <c r="EB56" i="10"/>
  <c r="EB168" i="10"/>
  <c r="EB167" i="10"/>
  <c r="EB55" i="10" l="1"/>
  <c r="EB218" i="10"/>
  <c r="EB172" i="10"/>
  <c r="EB217" i="10"/>
  <c r="DJ758" i="31"/>
  <c r="DO763" i="31" s="1"/>
  <c r="DJ759" i="31"/>
  <c r="DJ760" i="31"/>
  <c r="DI763" i="31"/>
  <c r="DI764" i="31"/>
  <c r="DI765" i="31" s="1"/>
  <c r="DI766" i="31"/>
  <c r="DJ764" i="31" l="1"/>
  <c r="DJ765" i="31" s="1"/>
  <c r="DO764" i="31"/>
  <c r="DO765" i="31" s="1"/>
  <c r="DJ766" i="31"/>
  <c r="DJ763" i="31"/>
  <c r="DO697" i="31" l="1"/>
  <c r="DN763" i="31"/>
  <c r="DO698" i="31"/>
  <c r="DO699" i="31" s="1"/>
  <c r="DN764" i="31"/>
  <c r="DN765" i="31" s="1"/>
  <c r="DN760" i="31"/>
  <c r="DO760" i="31" s="1"/>
  <c r="DO694" i="31"/>
  <c r="DO766" i="31" l="1"/>
  <c r="DN697" i="31"/>
  <c r="DN766" i="31"/>
  <c r="DN698" i="31"/>
  <c r="DN699" i="31" s="1"/>
  <c r="DN694" i="31"/>
  <c r="DO700" i="31"/>
  <c r="DQ720" i="31" l="1"/>
  <c r="DQ665" i="31"/>
  <c r="DV737" i="31"/>
  <c r="DV329" i="31"/>
  <c r="DN700" i="31"/>
  <c r="EA329" i="31" l="1"/>
  <c r="EA737" i="31"/>
  <c r="DQ127" i="31"/>
  <c r="DV330" i="31"/>
  <c r="DV738" i="31"/>
  <c r="DV243" i="31"/>
  <c r="DQ539" i="31"/>
  <c r="DV232" i="31"/>
  <c r="DQ171" i="31"/>
  <c r="DQ650" i="31"/>
  <c r="DV656" i="31" s="1"/>
  <c r="DQ276" i="31"/>
  <c r="DQ232" i="31"/>
  <c r="DQ341" i="31"/>
  <c r="DQ672" i="31"/>
  <c r="DV678" i="31" s="1"/>
  <c r="DQ550" i="31"/>
  <c r="DQ1478" i="31"/>
  <c r="DV1484" i="31" s="1"/>
  <c r="DQ716" i="31"/>
  <c r="DQ1423" i="31"/>
  <c r="DV1429" i="31" s="1"/>
  <c r="DQ221" i="31"/>
  <c r="DQ1467" i="31"/>
  <c r="DV1473" i="31" s="1"/>
  <c r="DQ683" i="31"/>
  <c r="DV689" i="31" s="1"/>
  <c r="DQ1434" i="31"/>
  <c r="DV1440" i="31" s="1"/>
  <c r="DQ1488" i="31"/>
  <c r="DQ243" i="31"/>
  <c r="DQ500" i="31"/>
  <c r="DV506" i="31" s="1"/>
  <c r="DQ330" i="31"/>
  <c r="DQ738" i="31"/>
  <c r="DQ1456" i="31"/>
  <c r="DV1462" i="31" s="1"/>
  <c r="DV227" i="31" l="1"/>
  <c r="EF329" i="31"/>
  <c r="EF330" i="31" s="1"/>
  <c r="EF737" i="31"/>
  <c r="EF738" i="31" s="1"/>
  <c r="EA330" i="31"/>
  <c r="EA738" i="31"/>
  <c r="EA238" i="31"/>
  <c r="EA249" i="31"/>
  <c r="DV1493" i="31"/>
  <c r="DV1494" i="31" s="1"/>
  <c r="DQ24" i="31"/>
  <c r="DV249" i="31"/>
  <c r="DV238" i="31"/>
  <c r="DQ556" i="31"/>
  <c r="DV556" i="31"/>
  <c r="DQ347" i="31"/>
  <c r="DV347" i="31"/>
  <c r="DQ282" i="31"/>
  <c r="DV282" i="31"/>
  <c r="DQ177" i="31"/>
  <c r="DV177" i="31"/>
  <c r="DV190" i="31"/>
  <c r="DQ545" i="31"/>
  <c r="DV545" i="31"/>
  <c r="DQ133" i="31"/>
  <c r="DV133" i="31"/>
  <c r="DQ1462" i="31"/>
  <c r="DQ1440" i="31"/>
  <c r="DQ1473" i="31"/>
  <c r="DQ1484" i="31"/>
  <c r="DQ1429" i="31"/>
  <c r="DQ336" i="31"/>
  <c r="DQ678" i="31"/>
  <c r="DQ744" i="31"/>
  <c r="DQ689" i="31"/>
  <c r="DQ227" i="31"/>
  <c r="DQ506" i="31"/>
  <c r="DQ238" i="31"/>
  <c r="DQ249" i="31"/>
  <c r="DV57" i="31"/>
  <c r="FN89" i="9" s="1"/>
  <c r="FN90" i="9" s="1"/>
  <c r="DV744" i="31"/>
  <c r="DV336" i="31"/>
  <c r="DV643" i="31"/>
  <c r="DV644" i="31" s="1"/>
  <c r="DQ656" i="31"/>
  <c r="DQ639" i="31"/>
  <c r="DQ645" i="31" s="1"/>
  <c r="DQ643" i="31"/>
  <c r="DQ644" i="31" s="1"/>
  <c r="DQ193" i="31"/>
  <c r="DQ197" i="31"/>
  <c r="DQ198" i="31" s="1"/>
  <c r="DQ269" i="31"/>
  <c r="DQ270" i="31" s="1"/>
  <c r="DQ1489" i="31"/>
  <c r="DQ1493" i="31"/>
  <c r="DQ1494" i="31" s="1"/>
  <c r="DQ57" i="31"/>
  <c r="FI89" i="9" s="1"/>
  <c r="DQ722" i="31"/>
  <c r="EF336" i="31" l="1"/>
  <c r="EF744" i="31"/>
  <c r="EA336" i="31"/>
  <c r="EA744" i="31"/>
  <c r="DV1495" i="31"/>
  <c r="FI90" i="9"/>
  <c r="DQ199" i="31"/>
  <c r="DV199" i="31"/>
  <c r="DV62" i="31"/>
  <c r="DV63" i="31" s="1"/>
  <c r="DV645" i="31"/>
  <c r="DV58" i="31"/>
  <c r="DQ1495" i="31"/>
  <c r="DQ62" i="31"/>
  <c r="DQ63" i="31" s="1"/>
  <c r="DQ58" i="31"/>
  <c r="FP107" i="9"/>
  <c r="DV64" i="31" l="1"/>
  <c r="FI97" i="9"/>
  <c r="DQ47" i="31"/>
  <c r="DQ51" i="31"/>
  <c r="DQ52" i="31" s="1"/>
  <c r="DQ64" i="31"/>
  <c r="FP108" i="9" l="1"/>
  <c r="FI98" i="9"/>
  <c r="FP97" i="9"/>
  <c r="DQ53" i="31"/>
  <c r="EE134" i="10"/>
  <c r="EE137" i="10" s="1"/>
  <c r="FB41" i="9" l="1"/>
  <c r="FA49" i="9"/>
  <c r="FA71" i="9"/>
  <c r="FA121" i="9"/>
  <c r="FB49" i="9" l="1"/>
  <c r="FB56" i="9" s="1"/>
  <c r="FB71" i="9"/>
  <c r="FB43" i="9"/>
  <c r="FA56" i="9"/>
  <c r="FB45" i="9" l="1"/>
  <c r="FB55" i="9"/>
  <c r="FB5" i="9"/>
  <c r="EC173" i="10"/>
  <c r="FB81" i="9"/>
  <c r="FB84" i="9" s="1"/>
  <c r="FB72" i="9"/>
  <c r="EC176" i="10" s="1"/>
  <c r="FB121" i="9"/>
  <c r="FB50" i="9"/>
  <c r="EC185" i="10"/>
  <c r="FB57" i="9"/>
  <c r="FB8" i="9" l="1"/>
  <c r="FB82" i="9"/>
  <c r="FA50" i="9"/>
  <c r="FB83" i="9" l="1"/>
  <c r="EE54" i="11" l="1"/>
  <c r="EF53" i="11" l="1"/>
  <c r="EJ53" i="11"/>
  <c r="EC14" i="10"/>
  <c r="EC65" i="10" l="1"/>
  <c r="EC220" i="10"/>
  <c r="EC20" i="10"/>
  <c r="EC96" i="10"/>
  <c r="EC169" i="10"/>
  <c r="N125" i="204"/>
  <c r="FB131" i="9"/>
  <c r="EC27" i="10" l="1"/>
  <c r="EC98" i="10"/>
  <c r="O118" i="204"/>
  <c r="N132" i="204"/>
  <c r="N139" i="204" s="1"/>
  <c r="N141" i="204" s="1"/>
  <c r="EC168" i="10"/>
  <c r="EC56" i="10"/>
  <c r="EC167" i="10"/>
  <c r="FB134" i="9"/>
  <c r="FB136" i="9" s="1"/>
  <c r="FB143" i="9" s="1"/>
  <c r="EC216" i="10"/>
  <c r="N150" i="204" l="1"/>
  <c r="N152" i="204" s="1"/>
  <c r="FB144" i="9"/>
  <c r="EC55" i="10"/>
  <c r="EC218" i="10"/>
  <c r="EC172" i="10"/>
  <c r="EC217" i="10"/>
  <c r="EC85" i="10" l="1"/>
  <c r="EC86" i="10" s="1"/>
  <c r="FB65" i="9"/>
  <c r="FB76" i="9"/>
  <c r="EC174" i="10" l="1"/>
  <c r="EC61" i="10"/>
  <c r="EC60" i="10"/>
  <c r="EC62" i="10" l="1"/>
  <c r="FB29" i="9"/>
  <c r="FB66" i="9"/>
  <c r="FB67" i="9"/>
  <c r="FB77" i="9"/>
  <c r="FB78" i="9"/>
  <c r="FB79" i="9" l="1"/>
  <c r="FB68" i="9"/>
  <c r="EC175" i="10" s="1"/>
  <c r="FB39" i="9"/>
  <c r="DN249" i="31" l="1"/>
  <c r="DI249" i="31"/>
  <c r="DJ243" i="31"/>
  <c r="DO249" i="31" l="1"/>
  <c r="DJ249" i="31"/>
  <c r="DD254" i="31" l="1"/>
  <c r="DD260" i="31" s="1"/>
  <c r="DE254" i="31"/>
  <c r="DE260" i="31" l="1"/>
  <c r="FA60" i="9" l="1"/>
  <c r="EB103" i="10"/>
  <c r="EB104" i="10" s="1"/>
  <c r="EB116" i="10"/>
  <c r="EC116" i="10" s="1"/>
  <c r="EC118" i="10" s="1"/>
  <c r="EB186" i="10" l="1"/>
  <c r="EB191" i="10" s="1"/>
  <c r="EC104" i="10"/>
  <c r="EB88" i="10"/>
  <c r="EB92" i="10" s="1"/>
  <c r="FA53" i="9"/>
  <c r="FA52" i="9"/>
  <c r="FA62" i="9"/>
  <c r="FA54" i="9"/>
  <c r="EC120" i="10" l="1"/>
  <c r="FB60" i="9" s="1"/>
  <c r="EH115" i="10"/>
  <c r="ED115" i="10"/>
  <c r="EC103" i="10"/>
  <c r="EC186" i="10"/>
  <c r="EC191" i="10" s="1"/>
  <c r="ED116" i="10" l="1"/>
  <c r="ED120" i="10"/>
  <c r="FC60" i="9" s="1"/>
  <c r="FB62" i="9"/>
  <c r="FB54" i="9"/>
  <c r="EC88" i="10"/>
  <c r="EC92" i="10" s="1"/>
  <c r="FB52" i="9"/>
  <c r="FB53" i="9"/>
  <c r="EE115" i="10"/>
  <c r="EE116" i="10" s="1"/>
  <c r="FC62" i="9" l="1"/>
  <c r="ED88" i="10"/>
  <c r="ED92" i="10" s="1"/>
  <c r="FC54" i="9"/>
  <c r="FC53" i="9"/>
  <c r="FC52" i="9"/>
  <c r="EE103" i="10"/>
  <c r="EE104" i="10" s="1"/>
  <c r="EE120" i="10"/>
  <c r="FD60" i="9" s="1"/>
  <c r="EF115" i="10"/>
  <c r="EF116" i="10" s="1"/>
  <c r="EI103" i="10" l="1"/>
  <c r="EJ115" i="10"/>
  <c r="EJ116" i="10" s="1"/>
  <c r="FD54" i="9"/>
  <c r="FD52" i="9"/>
  <c r="FD62" i="9"/>
  <c r="FC57" i="9"/>
  <c r="FC56" i="9"/>
  <c r="FC55" i="9"/>
  <c r="EF120" i="10"/>
  <c r="FE60" i="9" s="1"/>
  <c r="EF103" i="10"/>
  <c r="EF104" i="10" s="1"/>
  <c r="EG115" i="10"/>
  <c r="EG116" i="10" s="1"/>
  <c r="EH116" i="10" s="1"/>
  <c r="EH118" i="10" s="1"/>
  <c r="EF48" i="11"/>
  <c r="EJ215" i="10"/>
  <c r="EE88" i="10"/>
  <c r="EE186" i="10"/>
  <c r="FE62" i="9" l="1"/>
  <c r="EH120" i="10"/>
  <c r="FG60" i="9" s="1"/>
  <c r="EM115" i="10"/>
  <c r="EI115" i="10"/>
  <c r="EH103" i="10"/>
  <c r="EJ120" i="10"/>
  <c r="FI60" i="9" s="1"/>
  <c r="EJ103" i="10"/>
  <c r="EK115" i="10"/>
  <c r="FC82" i="9"/>
  <c r="FC83" i="9" s="1"/>
  <c r="EF186" i="10"/>
  <c r="EE87" i="10"/>
  <c r="EG103" i="10"/>
  <c r="EG104" i="10" s="1"/>
  <c r="EG120" i="10"/>
  <c r="FF60" i="9" s="1"/>
  <c r="ED54" i="10"/>
  <c r="EE184" i="10"/>
  <c r="EF88" i="10"/>
  <c r="EK215" i="10"/>
  <c r="FI62" i="9" l="1"/>
  <c r="FP60" i="9"/>
  <c r="EJ88" i="10" s="1"/>
  <c r="EI116" i="10"/>
  <c r="EI120" i="10"/>
  <c r="FH60" i="9" s="1"/>
  <c r="EK120" i="10"/>
  <c r="FJ60" i="9" s="1"/>
  <c r="EK116" i="10"/>
  <c r="EH88" i="10"/>
  <c r="EK103" i="10"/>
  <c r="EL115" i="10"/>
  <c r="EL116" i="10" s="1"/>
  <c r="ED181" i="10"/>
  <c r="ED93" i="10"/>
  <c r="EH104" i="10"/>
  <c r="EG88" i="10"/>
  <c r="EF87" i="10"/>
  <c r="EG186" i="10"/>
  <c r="EH186" i="10" l="1"/>
  <c r="FJ62" i="9"/>
  <c r="FQ60" i="9"/>
  <c r="EK88" i="10" s="1"/>
  <c r="FO60" i="9"/>
  <c r="EI88" i="10" s="1"/>
  <c r="FP62" i="9"/>
  <c r="FP54" i="9"/>
  <c r="EM116" i="10"/>
  <c r="FH62" i="9"/>
  <c r="ED20" i="10"/>
  <c r="FC131" i="9"/>
  <c r="FG59" i="9"/>
  <c r="FO54" i="9" l="1"/>
  <c r="FO62" i="9"/>
  <c r="FO53" i="9"/>
  <c r="FQ62" i="9"/>
  <c r="FQ53" i="9"/>
  <c r="FQ54" i="9"/>
  <c r="EM101" i="10"/>
  <c r="ED167" i="10"/>
  <c r="ED168" i="10"/>
  <c r="ED27" i="10"/>
  <c r="ED56" i="10"/>
  <c r="FC134" i="9"/>
  <c r="FC136" i="9" s="1"/>
  <c r="FC143" i="9" s="1"/>
  <c r="FC144" i="9" s="1"/>
  <c r="ER102" i="10" l="1"/>
  <c r="EM102" i="10"/>
  <c r="FX59" i="9"/>
  <c r="FL59" i="9"/>
  <c r="EL102" i="10"/>
  <c r="FK59" i="9"/>
  <c r="FR59" i="9" s="1"/>
  <c r="FH59" i="9"/>
  <c r="FO59" i="9" s="1"/>
  <c r="EI104" i="10"/>
  <c r="EI102" i="10"/>
  <c r="FI59" i="9"/>
  <c r="FP59" i="9" s="1"/>
  <c r="EJ104" i="10"/>
  <c r="EJ102" i="10"/>
  <c r="EK102" i="10"/>
  <c r="FJ59" i="9"/>
  <c r="FQ59" i="9" s="1"/>
  <c r="EK104" i="10"/>
  <c r="ED217" i="10"/>
  <c r="ED172" i="10"/>
  <c r="ED218" i="10"/>
  <c r="ED55" i="10"/>
  <c r="FS59" i="9" l="1"/>
  <c r="EK186" i="10"/>
  <c r="EJ186" i="10"/>
  <c r="EI186" i="10"/>
  <c r="FZ59" i="9" l="1"/>
  <c r="GA59" i="9" s="1"/>
  <c r="GB59" i="9" s="1"/>
  <c r="DK664" i="31"/>
  <c r="DN642" i="31" l="1"/>
  <c r="DK661" i="31" l="1"/>
  <c r="DP667" i="31" s="1"/>
  <c r="DK665" i="31"/>
  <c r="EX101" i="10" l="1"/>
  <c r="DK667" i="31"/>
  <c r="DK645" i="31"/>
  <c r="GD59" i="9" l="1"/>
  <c r="GE59" i="9" s="1"/>
  <c r="GF59" i="9" s="1"/>
  <c r="EX102" i="10"/>
  <c r="DN639" i="31"/>
  <c r="DN643" i="31"/>
  <c r="DN644" i="31" s="1"/>
  <c r="EZ101" i="10" l="1"/>
  <c r="DN645" i="31"/>
  <c r="FA101" i="10" l="1"/>
  <c r="EZ102" i="10"/>
  <c r="EF29" i="11"/>
  <c r="ED138" i="10"/>
  <c r="FC119" i="9" s="1"/>
  <c r="FA102" i="10" l="1"/>
  <c r="GG59" i="9"/>
  <c r="FB101" i="10"/>
  <c r="FC121" i="9"/>
  <c r="ED143" i="10"/>
  <c r="FC101" i="10" l="1"/>
  <c r="FB102" i="10"/>
  <c r="GH59" i="9"/>
  <c r="ED135" i="10"/>
  <c r="EF36" i="11"/>
  <c r="FD101" i="10" l="1"/>
  <c r="GJ59" i="9"/>
  <c r="GI59" i="9"/>
  <c r="FE101" i="10"/>
  <c r="ED137" i="10"/>
  <c r="EH135" i="10"/>
  <c r="EF52" i="11"/>
  <c r="ED136" i="10"/>
  <c r="FF101" i="10" l="1"/>
  <c r="GK59" i="9"/>
  <c r="EF54" i="11"/>
  <c r="GL59" i="9" l="1"/>
  <c r="FG101" i="10"/>
  <c r="EG53" i="11"/>
  <c r="GM59" i="9" l="1"/>
  <c r="EF210" i="10"/>
  <c r="EF211" i="10" s="1"/>
  <c r="EE95" i="10"/>
  <c r="EG210" i="10" l="1"/>
  <c r="EG211" i="10" s="1"/>
  <c r="EH211" i="10" s="1"/>
  <c r="EH212" i="10" s="1"/>
  <c r="EI210" i="10" l="1"/>
  <c r="EI211" i="10" s="1"/>
  <c r="EM210" i="10"/>
  <c r="FE139" i="9"/>
  <c r="EF95" i="10"/>
  <c r="FE140" i="9" l="1"/>
  <c r="FE142" i="9" s="1"/>
  <c r="FF139" i="9" l="1"/>
  <c r="FF140" i="9" s="1"/>
  <c r="FF142" i="9" s="1"/>
  <c r="EH37" i="10" l="1"/>
  <c r="EG95" i="10"/>
  <c r="EH95" i="10" l="1"/>
  <c r="O129" i="204"/>
  <c r="O136" i="204" s="1"/>
  <c r="O140" i="204" s="1"/>
  <c r="FG139" i="9"/>
  <c r="FG140" i="9" l="1"/>
  <c r="FG142" i="9" s="1"/>
  <c r="DP127" i="31" l="1"/>
  <c r="DU133" i="31" s="1"/>
  <c r="DP133" i="31" l="1"/>
  <c r="DP171" i="31"/>
  <c r="DU177" i="31" s="1"/>
  <c r="DP182" i="31"/>
  <c r="DU188" i="31" s="1"/>
  <c r="DP75" i="31"/>
  <c r="DP188" i="31" l="1"/>
  <c r="DP177" i="31"/>
  <c r="DP72" i="31"/>
  <c r="DP76" i="31"/>
  <c r="DP77" i="31" s="1"/>
  <c r="DP78" i="31" l="1"/>
  <c r="DU78" i="31"/>
  <c r="DP196" i="31"/>
  <c r="DP197" i="31" l="1"/>
  <c r="DP198" i="31" s="1"/>
  <c r="DP193" i="31" l="1"/>
  <c r="DP199" i="31" l="1"/>
  <c r="DU199" i="31"/>
  <c r="DP276" i="31"/>
  <c r="DP282" i="31" l="1"/>
  <c r="DP462" i="31"/>
  <c r="DP269" i="31" l="1"/>
  <c r="DP270" i="31" s="1"/>
  <c r="DP265" i="31"/>
  <c r="DP268" i="31"/>
  <c r="DP271" i="31" l="1"/>
  <c r="DP539" i="31"/>
  <c r="DU545" i="31" s="1"/>
  <c r="DS536" i="31" l="1"/>
  <c r="DT536" i="31" s="1"/>
  <c r="DS524" i="31"/>
  <c r="DP545" i="31"/>
  <c r="DU51" i="31" l="1"/>
  <c r="DU52" i="31" s="1"/>
  <c r="FO107" i="9"/>
  <c r="DP51" i="31"/>
  <c r="DP52" i="31" s="1"/>
  <c r="FH97" i="9"/>
  <c r="FO97" i="9" s="1"/>
  <c r="FO106" i="9" l="1"/>
  <c r="FR106" i="9"/>
  <c r="DP50" i="31" l="1"/>
  <c r="DU50" i="31"/>
  <c r="FK96" i="9"/>
  <c r="FR96" i="9" s="1"/>
  <c r="FH96" i="9"/>
  <c r="FO96" i="9" s="1"/>
  <c r="FO98" i="9" s="1"/>
  <c r="DP47" i="31"/>
  <c r="DS50" i="31"/>
  <c r="EI110" i="10"/>
  <c r="EJ108" i="10" s="1"/>
  <c r="EJ110" i="10" s="1"/>
  <c r="FO108" i="9" l="1"/>
  <c r="DU53" i="31"/>
  <c r="FH98" i="9"/>
  <c r="DP53" i="31"/>
  <c r="EK108" i="10"/>
  <c r="EK110" i="10" s="1"/>
  <c r="EK112" i="10" s="1"/>
  <c r="EJ112" i="10"/>
  <c r="EI112" i="10"/>
  <c r="EL108" i="10" l="1"/>
  <c r="EL112" i="10" s="1"/>
  <c r="EJ200" i="10" l="1"/>
  <c r="EJ202" i="10" s="1"/>
  <c r="EK200" i="10" s="1"/>
  <c r="EK202" i="10" s="1"/>
  <c r="EL200" i="10" s="1"/>
  <c r="EL201" i="10" s="1"/>
  <c r="EM201" i="10" s="1"/>
  <c r="EM202" i="10" s="1"/>
  <c r="EN200" i="10" s="1"/>
  <c r="EN202" i="10" s="1"/>
  <c r="ER200" i="10" l="1"/>
  <c r="ER202" i="10" s="1"/>
  <c r="EO200" i="10"/>
  <c r="EO202" i="10" s="1"/>
  <c r="EI188" i="10"/>
  <c r="EJ190" i="10"/>
  <c r="EK123" i="10"/>
  <c r="EJ188" i="10"/>
  <c r="EI190" i="10"/>
  <c r="ES200" i="10" l="1"/>
  <c r="ES202" i="10" s="1"/>
  <c r="ET200" i="10" s="1"/>
  <c r="ET202" i="10" s="1"/>
  <c r="EU200" i="10" s="1"/>
  <c r="EU202" i="10" s="1"/>
  <c r="EV200" i="10" s="1"/>
  <c r="EV202" i="10" s="1"/>
  <c r="EW200" i="10"/>
  <c r="EW202" i="10" s="1"/>
  <c r="EX200" i="10" s="1"/>
  <c r="EX202" i="10" s="1"/>
  <c r="EY200" i="10" s="1"/>
  <c r="EY202" i="10" s="1"/>
  <c r="EP200" i="10"/>
  <c r="EP202" i="10" s="1"/>
  <c r="EQ200" i="10" s="1"/>
  <c r="EQ202" i="10" s="1"/>
  <c r="EZ200" i="10" l="1"/>
  <c r="EZ202" i="10" s="1"/>
  <c r="FA200" i="10" s="1"/>
  <c r="FA202" i="10" s="1"/>
  <c r="FB200" i="10"/>
  <c r="FB202" i="10" s="1"/>
  <c r="FC200" i="10" s="1"/>
  <c r="FC202" i="10" s="1"/>
  <c r="FD200" i="10" s="1"/>
  <c r="FD202" i="10" s="1"/>
  <c r="FE200" i="10" s="1"/>
  <c r="FE202" i="10" s="1"/>
  <c r="FF200" i="10" s="1"/>
  <c r="FF202" i="10" s="1"/>
  <c r="FG200" i="10" s="1"/>
  <c r="FG202" i="10" s="1"/>
  <c r="EK188" i="10"/>
  <c r="EK190" i="10"/>
  <c r="EM118" i="10" l="1"/>
  <c r="EN120" i="10" l="1"/>
  <c r="FM60" i="9" s="1"/>
  <c r="EO115" i="10"/>
  <c r="EO116" i="10" s="1"/>
  <c r="EL103" i="10"/>
  <c r="EL104" i="10" s="1"/>
  <c r="EM120" i="10"/>
  <c r="FL60" i="9" s="1"/>
  <c r="ER115" i="10"/>
  <c r="EM103" i="10"/>
  <c r="EL120" i="10"/>
  <c r="FK60" i="9" s="1"/>
  <c r="EL186" i="10" l="1"/>
  <c r="FR60" i="9"/>
  <c r="EL88" i="10" s="1"/>
  <c r="FS60" i="9"/>
  <c r="FT60" i="9"/>
  <c r="FM54" i="9"/>
  <c r="FM62" i="9"/>
  <c r="FK62" i="9"/>
  <c r="EM104" i="10"/>
  <c r="EO103" i="10"/>
  <c r="EO104" i="10" s="1"/>
  <c r="EO120" i="10"/>
  <c r="FN60" i="9" s="1"/>
  <c r="FU60" i="9" s="1"/>
  <c r="FL61" i="9"/>
  <c r="FR54" i="9" l="1"/>
  <c r="EN215" i="10"/>
  <c r="EN88" i="10"/>
  <c r="EM186" i="10"/>
  <c r="FR62" i="9"/>
  <c r="EO88" i="10"/>
  <c r="FV60" i="9"/>
  <c r="FS62" i="9"/>
  <c r="EM88" i="10"/>
  <c r="FT62" i="9"/>
  <c r="FT54" i="9"/>
  <c r="FU54" i="9"/>
  <c r="FU62" i="9"/>
  <c r="FU53" i="9"/>
  <c r="FN62" i="9"/>
  <c r="FN54" i="9"/>
  <c r="FN52" i="9"/>
  <c r="FL62" i="9"/>
  <c r="EO186" i="10"/>
  <c r="EP88" i="10" l="1"/>
  <c r="EP92" i="10" s="1"/>
  <c r="FV62" i="9"/>
  <c r="FW62" i="9" s="1"/>
  <c r="FV54" i="9"/>
  <c r="EO215" i="10" l="1"/>
  <c r="EI163" i="10" l="1"/>
  <c r="EK158" i="10" l="1"/>
  <c r="FH139" i="9" l="1"/>
  <c r="EK205" i="10"/>
  <c r="EK210" i="10"/>
  <c r="FI138" i="9"/>
  <c r="FH138" i="9"/>
  <c r="EI95" i="10"/>
  <c r="FH140" i="9" l="1"/>
  <c r="FH142" i="9" s="1"/>
  <c r="FI139" i="9"/>
  <c r="FJ138" i="9" l="1"/>
  <c r="EM37" i="10"/>
  <c r="FI140" i="9"/>
  <c r="EK95" i="10"/>
  <c r="FJ139" i="9"/>
  <c r="FK139" i="9"/>
  <c r="FJ140" i="9" l="1"/>
  <c r="FJ142" i="9" s="1"/>
  <c r="FM139" i="9"/>
  <c r="FN139" i="9"/>
  <c r="FI142" i="9"/>
  <c r="FL139" i="9"/>
  <c r="P129" i="204"/>
  <c r="P136" i="204" s="1"/>
  <c r="EK153" i="10" l="1"/>
  <c r="DL75" i="31" l="1"/>
  <c r="DL180" i="31"/>
  <c r="DQ185" i="31" s="1"/>
  <c r="DL885" i="31"/>
  <c r="DL34" i="31" l="1"/>
  <c r="DL15" i="31" s="1"/>
  <c r="DL23" i="31"/>
  <c r="DO180" i="31"/>
  <c r="DN75" i="31"/>
  <c r="DL185" i="31"/>
  <c r="DL890" i="31"/>
  <c r="FD92" i="9" l="1"/>
  <c r="DL39" i="31"/>
  <c r="DQ75" i="31"/>
  <c r="DO70" i="31"/>
  <c r="DO185" i="31"/>
  <c r="FD22" i="9"/>
  <c r="DL28" i="31"/>
  <c r="DO75" i="31" l="1"/>
  <c r="DV75" i="31" l="1"/>
  <c r="DL72" i="31"/>
  <c r="DL78" i="31" s="1"/>
  <c r="DL76" i="31"/>
  <c r="DL77" i="31" s="1"/>
  <c r="DL181" i="31"/>
  <c r="DL886" i="31"/>
  <c r="DL24" i="31" s="1"/>
  <c r="DO181" i="31" l="1"/>
  <c r="DO186" i="31" s="1"/>
  <c r="DO187" i="31" s="1"/>
  <c r="DQ186" i="31"/>
  <c r="DQ187" i="31" s="1"/>
  <c r="DS75" i="31"/>
  <c r="DL186" i="31"/>
  <c r="DL187" i="31" s="1"/>
  <c r="DL891" i="31"/>
  <c r="DL892" i="31" s="1"/>
  <c r="FD23" i="9"/>
  <c r="DL29" i="31"/>
  <c r="DL30" i="31" s="1"/>
  <c r="DN182" i="31"/>
  <c r="DL182" i="31"/>
  <c r="DL35" i="31"/>
  <c r="DL16" i="31" s="1"/>
  <c r="DL887" i="31"/>
  <c r="DL25" i="31" s="1"/>
  <c r="DO182" i="31" l="1"/>
  <c r="DO71" i="31"/>
  <c r="DO72" i="31" s="1"/>
  <c r="DV76" i="31"/>
  <c r="DV77" i="31" s="1"/>
  <c r="FD93" i="9"/>
  <c r="FD94" i="9" s="1"/>
  <c r="DN188" i="31"/>
  <c r="DQ20" i="31"/>
  <c r="DL893" i="31"/>
  <c r="DL40" i="31"/>
  <c r="DL41" i="31" s="1"/>
  <c r="DL36" i="31"/>
  <c r="DL188" i="31"/>
  <c r="DQ182" i="31"/>
  <c r="DN72" i="31"/>
  <c r="DN76" i="31"/>
  <c r="DN77" i="31" s="1"/>
  <c r="FD24" i="9"/>
  <c r="DL17" i="31" l="1"/>
  <c r="DQ188" i="31"/>
  <c r="DV188" i="31"/>
  <c r="DO188" i="31"/>
  <c r="DO76" i="31"/>
  <c r="DO77" i="31" s="1"/>
  <c r="DV72" i="31"/>
  <c r="EA78" i="31" s="1"/>
  <c r="DO78" i="31"/>
  <c r="FD104" i="9"/>
  <c r="FD111" i="9"/>
  <c r="FD110" i="9"/>
  <c r="FD107" i="9"/>
  <c r="FD106" i="9"/>
  <c r="FD112" i="9"/>
  <c r="FD108" i="9"/>
  <c r="FD102" i="9"/>
  <c r="FD103" i="9"/>
  <c r="FD75" i="9"/>
  <c r="FD72" i="9"/>
  <c r="FD67" i="9"/>
  <c r="FD65" i="9"/>
  <c r="EE174" i="10" s="1"/>
  <c r="FD66" i="9"/>
  <c r="DL42" i="31"/>
  <c r="DL31" i="31"/>
  <c r="DN78" i="31"/>
  <c r="DQ72" i="31"/>
  <c r="DQ78" i="31" s="1"/>
  <c r="EE83" i="10"/>
  <c r="DV78" i="31" l="1"/>
  <c r="FD84" i="9"/>
  <c r="FD114" i="9"/>
  <c r="FD115" i="9"/>
  <c r="FD29" i="9"/>
  <c r="EE84" i="10"/>
  <c r="EF84" i="10"/>
  <c r="EE85" i="10"/>
  <c r="EE78" i="10" l="1"/>
  <c r="EE74" i="10"/>
  <c r="EE67" i="10"/>
  <c r="EE59" i="10"/>
  <c r="EE77" i="10"/>
  <c r="EE73" i="10"/>
  <c r="EE66" i="10"/>
  <c r="EE76" i="10"/>
  <c r="EE69" i="10"/>
  <c r="EE144" i="10"/>
  <c r="EE136" i="10"/>
  <c r="EE75" i="10"/>
  <c r="EE68" i="10"/>
  <c r="EF78" i="10"/>
  <c r="EF76" i="10"/>
  <c r="EF74" i="10"/>
  <c r="EF69" i="10"/>
  <c r="EF67" i="10"/>
  <c r="EF144" i="10"/>
  <c r="EF136" i="10"/>
  <c r="EF77" i="10"/>
  <c r="EF75" i="10"/>
  <c r="EF73" i="10"/>
  <c r="EF68" i="10"/>
  <c r="EF66" i="10"/>
  <c r="EF59" i="10"/>
  <c r="FD116" i="9"/>
  <c r="FD79" i="9"/>
  <c r="FD68" i="9"/>
  <c r="EE175" i="10" s="1"/>
  <c r="EF86" i="10"/>
  <c r="EE86" i="10"/>
  <c r="EE61" i="10" l="1"/>
  <c r="EE60" i="10"/>
  <c r="EF61" i="10"/>
  <c r="EF60" i="10"/>
  <c r="EE62" i="10" l="1"/>
  <c r="EF62" i="10"/>
  <c r="EH36" i="11"/>
  <c r="EH48" i="11"/>
  <c r="EE97" i="10"/>
  <c r="EH28" i="11"/>
  <c r="EF97" i="10"/>
  <c r="EE36" i="10"/>
  <c r="EE79" i="10"/>
  <c r="EG36" i="11"/>
  <c r="EG28" i="11"/>
  <c r="EE146" i="10"/>
  <c r="EF36" i="10"/>
  <c r="EF79" i="10"/>
  <c r="EG48" i="11"/>
  <c r="EE41" i="10" l="1"/>
  <c r="EF41" i="10"/>
  <c r="EF146" i="10"/>
  <c r="EE176" i="10" l="1"/>
  <c r="EE185" i="10" l="1"/>
  <c r="EE52" i="10" l="1"/>
  <c r="EF52" i="10" l="1"/>
  <c r="EE54" i="10"/>
  <c r="EE92" i="10"/>
  <c r="EE179" i="10"/>
  <c r="EE180" i="10"/>
  <c r="EF184" i="10"/>
  <c r="EE173" i="10"/>
  <c r="EE192" i="10"/>
  <c r="EE191" i="10" s="1"/>
  <c r="EE93" i="10" l="1"/>
  <c r="EE181" i="10"/>
  <c r="EF92" i="10"/>
  <c r="EF54" i="10"/>
  <c r="EF192" i="10"/>
  <c r="EF179" i="10"/>
  <c r="EF180" i="10"/>
  <c r="EG184" i="10"/>
  <c r="EF93" i="10" l="1"/>
  <c r="EF181" i="10"/>
  <c r="DR665" i="31"/>
  <c r="DR720" i="31"/>
  <c r="DW76" i="31" l="1"/>
  <c r="DW77" i="31" s="1"/>
  <c r="DR1456" i="31"/>
  <c r="DR672" i="31"/>
  <c r="DW678" i="31" s="1"/>
  <c r="DR550" i="31"/>
  <c r="DR341" i="31"/>
  <c r="DW347" i="31" s="1"/>
  <c r="DR1478" i="31"/>
  <c r="DR1434" i="31"/>
  <c r="DR1488" i="31"/>
  <c r="DR738" i="31"/>
  <c r="DR539" i="31"/>
  <c r="DW545" i="31" s="1"/>
  <c r="DR330" i="31"/>
  <c r="DR1467" i="31"/>
  <c r="DR1423" i="31"/>
  <c r="DR716" i="31"/>
  <c r="DR650" i="31"/>
  <c r="DW656" i="31" s="1"/>
  <c r="DR500" i="31"/>
  <c r="DW506" i="31" s="1"/>
  <c r="DR276" i="31"/>
  <c r="DR127" i="31"/>
  <c r="DW133" i="31" s="1"/>
  <c r="DR243" i="31"/>
  <c r="DW249" i="31" s="1"/>
  <c r="DR232" i="31"/>
  <c r="DW238" i="31" s="1"/>
  <c r="DR221" i="31"/>
  <c r="DR171" i="31"/>
  <c r="DW177" i="31" s="1"/>
  <c r="DW282" i="31" l="1"/>
  <c r="DR336" i="31"/>
  <c r="DW227" i="31"/>
  <c r="DR556" i="31"/>
  <c r="DW556" i="31"/>
  <c r="DW233" i="31"/>
  <c r="DW69" i="31"/>
  <c r="DR1429" i="31"/>
  <c r="DR1440" i="31"/>
  <c r="DR1462" i="31"/>
  <c r="DR1484" i="31"/>
  <c r="DR1473" i="31"/>
  <c r="DU233" i="31"/>
  <c r="DV233" i="31"/>
  <c r="DR133" i="31"/>
  <c r="DR545" i="31"/>
  <c r="DR678" i="31"/>
  <c r="DR656" i="31"/>
  <c r="DR249" i="31"/>
  <c r="DR227" i="31"/>
  <c r="DR744" i="31"/>
  <c r="DR506" i="31"/>
  <c r="DR177" i="31"/>
  <c r="DR238" i="31"/>
  <c r="DS1482" i="31"/>
  <c r="DS1483" i="31" s="1"/>
  <c r="DS1471" i="31"/>
  <c r="DS1472" i="31" s="1"/>
  <c r="DS1460" i="31"/>
  <c r="DS1461" i="31" s="1"/>
  <c r="DS1427" i="31"/>
  <c r="DS1428" i="31" s="1"/>
  <c r="DW72" i="31"/>
  <c r="EB78" i="31" s="1"/>
  <c r="DR347" i="31"/>
  <c r="DS221" i="31"/>
  <c r="DS232" i="31"/>
  <c r="DX238" i="31" s="1"/>
  <c r="DS127" i="31"/>
  <c r="DR643" i="31"/>
  <c r="DR644" i="31" s="1"/>
  <c r="DR639" i="31"/>
  <c r="DS720" i="31"/>
  <c r="DS721" i="31" s="1"/>
  <c r="DS1478" i="31"/>
  <c r="DR282" i="31"/>
  <c r="DS650" i="31"/>
  <c r="DS1467" i="31"/>
  <c r="DR57" i="31"/>
  <c r="FJ89" i="9" s="1"/>
  <c r="DR1489" i="31"/>
  <c r="DR1493" i="31"/>
  <c r="DR1494" i="31" s="1"/>
  <c r="DR193" i="31"/>
  <c r="DR197" i="31"/>
  <c r="DR198" i="31" s="1"/>
  <c r="DS171" i="31"/>
  <c r="DS276" i="31"/>
  <c r="DS500" i="31"/>
  <c r="DR722" i="31"/>
  <c r="DS738" i="31"/>
  <c r="DS744" i="31" s="1"/>
  <c r="DS1488" i="31"/>
  <c r="DS1434" i="31"/>
  <c r="DR76" i="31"/>
  <c r="DR77" i="31" s="1"/>
  <c r="DR72" i="31"/>
  <c r="DR78" i="31" s="1"/>
  <c r="DR269" i="31"/>
  <c r="DR270" i="31" s="1"/>
  <c r="DS1423" i="31"/>
  <c r="DS330" i="31"/>
  <c r="DS341" i="31"/>
  <c r="DX347" i="31" s="1"/>
  <c r="DS672" i="31"/>
  <c r="DX678" i="31" s="1"/>
  <c r="DS1456" i="31"/>
  <c r="DX227" i="31" l="1"/>
  <c r="DS506" i="31"/>
  <c r="DX506" i="31"/>
  <c r="DX282" i="31"/>
  <c r="DS177" i="31"/>
  <c r="DX177" i="31"/>
  <c r="DS656" i="31"/>
  <c r="DX656" i="31"/>
  <c r="DS133" i="31"/>
  <c r="DR645" i="31"/>
  <c r="DW645" i="31"/>
  <c r="DR199" i="31"/>
  <c r="DW199" i="31"/>
  <c r="FJ90" i="9"/>
  <c r="DS336" i="31"/>
  <c r="DS227" i="31"/>
  <c r="DS347" i="31"/>
  <c r="DS678" i="31"/>
  <c r="DS545" i="31"/>
  <c r="DS1484" i="31"/>
  <c r="DS1473" i="31"/>
  <c r="DS1462" i="31"/>
  <c r="DS1440" i="31"/>
  <c r="DS1429" i="31"/>
  <c r="DW78" i="31"/>
  <c r="DR58" i="31"/>
  <c r="DR62" i="31"/>
  <c r="DR63" i="31" s="1"/>
  <c r="DS722" i="31"/>
  <c r="DS57" i="31"/>
  <c r="FK89" i="9" s="1"/>
  <c r="FK90" i="9" s="1"/>
  <c r="DS1493" i="31"/>
  <c r="DS1494" i="31" s="1"/>
  <c r="DS1489" i="31"/>
  <c r="DS269" i="31"/>
  <c r="DS270" i="31" s="1"/>
  <c r="DS282" i="31"/>
  <c r="DR1495" i="31"/>
  <c r="DS76" i="31"/>
  <c r="DS77" i="31" s="1"/>
  <c r="DS72" i="31"/>
  <c r="FQ107" i="9" l="1"/>
  <c r="DS78" i="31"/>
  <c r="DS1495" i="31"/>
  <c r="FJ97" i="9"/>
  <c r="FQ97" i="9" s="1"/>
  <c r="DR51" i="31"/>
  <c r="DR52" i="31" s="1"/>
  <c r="DR47" i="31"/>
  <c r="FR107" i="9"/>
  <c r="DS58" i="31"/>
  <c r="DS62" i="31"/>
  <c r="DS63" i="31" s="1"/>
  <c r="DR64" i="31"/>
  <c r="FQ108" i="9" l="1"/>
  <c r="FJ98" i="9"/>
  <c r="FK97" i="9"/>
  <c r="DS51" i="31"/>
  <c r="DS52" i="31" s="1"/>
  <c r="DS47" i="31"/>
  <c r="DR53" i="31"/>
  <c r="DS64" i="31"/>
  <c r="FR108" i="9" l="1"/>
  <c r="FK98" i="9"/>
  <c r="FR97" i="9"/>
  <c r="FR98" i="9" s="1"/>
  <c r="DS53" i="31"/>
  <c r="DO254" i="31" l="1"/>
  <c r="DN196" i="31" l="1"/>
  <c r="DN885" i="31"/>
  <c r="DN34" i="31" l="1"/>
  <c r="DN39" i="31" s="1"/>
  <c r="DN23" i="31"/>
  <c r="FF22" i="9" s="1"/>
  <c r="DN890" i="31"/>
  <c r="FF92" i="9" l="1"/>
  <c r="DN15" i="31"/>
  <c r="DN28" i="31"/>
  <c r="EI254" i="31" l="1"/>
  <c r="EI259" i="31" l="1"/>
  <c r="EH254" i="31"/>
  <c r="EJ254" i="31"/>
  <c r="EJ259" i="31" s="1"/>
  <c r="EH259" i="31" l="1"/>
  <c r="EH260" i="31"/>
  <c r="EK254" i="31"/>
  <c r="EK259" i="31" s="1"/>
  <c r="EL254" i="31" l="1"/>
  <c r="EL259" i="31" s="1"/>
  <c r="EN254" i="31" l="1"/>
  <c r="EN259" i="31" s="1"/>
  <c r="EM254" i="31"/>
  <c r="EM259" i="31" s="1"/>
  <c r="EE143" i="10"/>
  <c r="FD119" i="9"/>
  <c r="EF143" i="10"/>
  <c r="FE119" i="9"/>
  <c r="EE149" i="10" l="1"/>
  <c r="EF134" i="10"/>
  <c r="EF137" i="10" s="1"/>
  <c r="EE150" i="10"/>
  <c r="EG29" i="11"/>
  <c r="EH29" i="11"/>
  <c r="EE147" i="10" l="1"/>
  <c r="EE148" i="10" s="1"/>
  <c r="EH52" i="11"/>
  <c r="EG52" i="11"/>
  <c r="EG134" i="10"/>
  <c r="EG137" i="10" s="1"/>
  <c r="EF150" i="10"/>
  <c r="EF149" i="10"/>
  <c r="EG54" i="11" l="1"/>
  <c r="EH53" i="11" s="1"/>
  <c r="EH54" i="11" s="1"/>
  <c r="EF147" i="10"/>
  <c r="EF148" i="10" s="1"/>
  <c r="EE65" i="10" l="1"/>
  <c r="EE216" i="10" s="1"/>
  <c r="EE96" i="10"/>
  <c r="EE98" i="10" s="1"/>
  <c r="EE169" i="10"/>
  <c r="EE220" i="10"/>
  <c r="FD131" i="9"/>
  <c r="EI53" i="11"/>
  <c r="EE167" i="10" l="1"/>
  <c r="EE168" i="10"/>
  <c r="EF20" i="10"/>
  <c r="EF65" i="10"/>
  <c r="EF216" i="10" s="1"/>
  <c r="EF96" i="10"/>
  <c r="EF98" i="10" s="1"/>
  <c r="EF169" i="10"/>
  <c r="EF220" i="10"/>
  <c r="FE131" i="9"/>
  <c r="EF167" i="10" l="1"/>
  <c r="EF168" i="10"/>
  <c r="DQ471" i="31" l="1"/>
  <c r="DQ472" i="31" s="1"/>
  <c r="DS521" i="31"/>
  <c r="DS522" i="31" s="1"/>
  <c r="DR471" i="31"/>
  <c r="DR472" i="31" s="1"/>
  <c r="DP471" i="31"/>
  <c r="DP472" i="31" s="1"/>
  <c r="DS471" i="31" l="1"/>
  <c r="DS472" i="31" s="1"/>
  <c r="DT515" i="31" l="1"/>
  <c r="DS515" i="31" l="1"/>
  <c r="DP515" i="31"/>
  <c r="DQ515" i="31"/>
  <c r="DR515" i="31"/>
  <c r="DP517" i="31" l="1"/>
  <c r="DQ517" i="31"/>
  <c r="DQ523" i="31" l="1"/>
  <c r="DV523" i="31"/>
  <c r="DP523" i="31"/>
  <c r="DQ470" i="31"/>
  <c r="DQ467" i="31"/>
  <c r="DV473" i="31" s="1"/>
  <c r="DP467" i="31"/>
  <c r="DP470" i="31"/>
  <c r="DP473" i="31" l="1"/>
  <c r="DQ473" i="31"/>
  <c r="EE56" i="10" l="1"/>
  <c r="EE27" i="10"/>
  <c r="EE70" i="10"/>
  <c r="FD133" i="9"/>
  <c r="EE218" i="10" l="1"/>
  <c r="FD134" i="9"/>
  <c r="FD136" i="9" s="1"/>
  <c r="FD143" i="9" s="1"/>
  <c r="FD144" i="9" s="1"/>
  <c r="EE217" i="10"/>
  <c r="EE55" i="10"/>
  <c r="EE172" i="10"/>
  <c r="EF56" i="10"/>
  <c r="EF27" i="10"/>
  <c r="FE133" i="9"/>
  <c r="EF70" i="10"/>
  <c r="EF55" i="10" l="1"/>
  <c r="EF218" i="10"/>
  <c r="FE134" i="9"/>
  <c r="FE136" i="9" s="1"/>
  <c r="FE143" i="9" s="1"/>
  <c r="FE144" i="9" s="1"/>
  <c r="EF217" i="10"/>
  <c r="FE70" i="9" l="1"/>
  <c r="FE80" i="9"/>
  <c r="FE125" i="9"/>
  <c r="FE37" i="9"/>
  <c r="FE122" i="9" l="1"/>
  <c r="FE126" i="9"/>
  <c r="FE127" i="9" s="1"/>
  <c r="EF173" i="10" l="1"/>
  <c r="EF172" i="10"/>
  <c r="FE52" i="9"/>
  <c r="FE81" i="9"/>
  <c r="FE84" i="9" s="1"/>
  <c r="FE72" i="9"/>
  <c r="EF176" i="10" s="1"/>
  <c r="FE55" i="9"/>
  <c r="FE82" i="9" s="1"/>
  <c r="FE41" i="9"/>
  <c r="FE71" i="9" l="1"/>
  <c r="FE50" i="9" s="1"/>
  <c r="FE83" i="9"/>
  <c r="FE49" i="9"/>
  <c r="FE121" i="9"/>
  <c r="FE57" i="9"/>
  <c r="EF185" i="10"/>
  <c r="EF191" i="10" s="1"/>
  <c r="FE54" i="9"/>
  <c r="FE56" i="9" l="1"/>
  <c r="FE53" i="9"/>
  <c r="FD80" i="9"/>
  <c r="FD125" i="9"/>
  <c r="FD70" i="9"/>
  <c r="FD41" i="9"/>
  <c r="FD37" i="9"/>
  <c r="FG41" i="9" l="1"/>
  <c r="FD121" i="9"/>
  <c r="FD126" i="9"/>
  <c r="FD127" i="9" s="1"/>
  <c r="FD122" i="9"/>
  <c r="FD49" i="9"/>
  <c r="FD71" i="9"/>
  <c r="FD50" i="9" s="1"/>
  <c r="FD56" i="9" l="1"/>
  <c r="FD53" i="9"/>
  <c r="DY263" i="31" l="1"/>
  <c r="ED360" i="31"/>
  <c r="ED268" i="31" l="1"/>
  <c r="DR763" i="31"/>
  <c r="DR697" i="31" l="1"/>
  <c r="DP697" i="31" l="1"/>
  <c r="DP885" i="31"/>
  <c r="DP23" i="31" s="1"/>
  <c r="DU23" i="31" l="1"/>
  <c r="DU697" i="31"/>
  <c r="DP890" i="31"/>
  <c r="DP34" i="31"/>
  <c r="DP15" i="31" l="1"/>
  <c r="DP9" i="31" s="1"/>
  <c r="FO102" i="9"/>
  <c r="FO114" i="9" s="1"/>
  <c r="DU34" i="31"/>
  <c r="DU890" i="31"/>
  <c r="FH92" i="9"/>
  <c r="FO92" i="9" s="1"/>
  <c r="DP39" i="31"/>
  <c r="DP28" i="31"/>
  <c r="FH22" i="9"/>
  <c r="FT102" i="9" l="1"/>
  <c r="FT114" i="9" s="1"/>
  <c r="DU15" i="31"/>
  <c r="FM92" i="9"/>
  <c r="FT92" i="9" s="1"/>
  <c r="DU39" i="31"/>
  <c r="ED361" i="31" l="1"/>
  <c r="ED363" i="31" l="1"/>
  <c r="DR764" i="31" l="1"/>
  <c r="DR765" i="31" s="1"/>
  <c r="DR698" i="31"/>
  <c r="DR699" i="31" s="1"/>
  <c r="DR694" i="31"/>
  <c r="DR886" i="31"/>
  <c r="DR24" i="31" s="1"/>
  <c r="DP698" i="31"/>
  <c r="DP699" i="31" s="1"/>
  <c r="DP694" i="31"/>
  <c r="DP886" i="31"/>
  <c r="DP24" i="31" s="1"/>
  <c r="DR700" i="31" l="1"/>
  <c r="DW700" i="31"/>
  <c r="DP700" i="31"/>
  <c r="DR760" i="31"/>
  <c r="DR891" i="31"/>
  <c r="DR892" i="31" s="1"/>
  <c r="DR35" i="31"/>
  <c r="FQ103" i="9" s="1"/>
  <c r="FQ115" i="9" s="1"/>
  <c r="DP891" i="31"/>
  <c r="DP892" i="31" s="1"/>
  <c r="DP887" i="31"/>
  <c r="DP25" i="31" s="1"/>
  <c r="DP35" i="31"/>
  <c r="DP16" i="31" l="1"/>
  <c r="DP10" i="31" s="1"/>
  <c r="FO103" i="9"/>
  <c r="FO115" i="9" s="1"/>
  <c r="DR766" i="31"/>
  <c r="DR16" i="31"/>
  <c r="DR10" i="31" s="1"/>
  <c r="FJ23" i="9"/>
  <c r="DR29" i="31"/>
  <c r="DR30" i="31" s="1"/>
  <c r="FJ93" i="9"/>
  <c r="FQ93" i="9" s="1"/>
  <c r="DR40" i="31"/>
  <c r="DR41" i="31" s="1"/>
  <c r="DP893" i="31"/>
  <c r="DU20" i="31"/>
  <c r="DP29" i="31"/>
  <c r="DP30" i="31" s="1"/>
  <c r="FH23" i="9"/>
  <c r="FH24" i="9" s="1"/>
  <c r="DP40" i="31"/>
  <c r="DP41" i="31" s="1"/>
  <c r="DP36" i="31"/>
  <c r="FH93" i="9"/>
  <c r="FO104" i="9" l="1"/>
  <c r="FH94" i="9"/>
  <c r="FO93" i="9"/>
  <c r="DP17" i="31"/>
  <c r="DP11" i="31" s="1"/>
  <c r="FH103" i="9"/>
  <c r="FH72" i="9"/>
  <c r="FH67" i="9"/>
  <c r="FH70" i="9"/>
  <c r="FH65" i="9"/>
  <c r="EI174" i="10" s="1"/>
  <c r="FH66" i="9"/>
  <c r="FH75" i="9"/>
  <c r="FH104" i="9"/>
  <c r="DP42" i="31"/>
  <c r="FH112" i="9"/>
  <c r="FH107" i="9"/>
  <c r="FH108" i="9"/>
  <c r="FH102" i="9"/>
  <c r="FH106" i="9"/>
  <c r="DP31" i="31"/>
  <c r="FH110" i="9"/>
  <c r="FH111" i="9"/>
  <c r="FH115" i="9" l="1"/>
  <c r="FH76" i="9"/>
  <c r="FH114" i="9"/>
  <c r="FH78" i="9"/>
  <c r="FH29" i="9"/>
  <c r="FH77" i="9"/>
  <c r="FH69" i="9" l="1"/>
  <c r="FH68" i="9"/>
  <c r="EI175" i="10" s="1"/>
  <c r="FH37" i="9"/>
  <c r="FH116" i="9"/>
  <c r="FH79" i="9"/>
  <c r="FH126" i="9" l="1"/>
  <c r="FH80" i="9"/>
  <c r="FH122" i="9"/>
  <c r="FH125" i="9"/>
  <c r="FH127" i="9" l="1"/>
  <c r="FH49" i="9"/>
  <c r="FH56" i="9" s="1"/>
  <c r="FH81" i="9" l="1"/>
  <c r="FH84" i="9" s="1"/>
  <c r="EI176" i="10"/>
  <c r="FH52" i="9"/>
  <c r="FH53" i="9"/>
  <c r="FH55" i="9"/>
  <c r="FH82" i="9" l="1"/>
  <c r="FH83" i="9" s="1"/>
  <c r="FH57" i="9"/>
  <c r="EI185" i="10"/>
  <c r="FH54" i="9"/>
  <c r="DO232" i="31"/>
  <c r="DO238" i="31" l="1"/>
  <c r="DT238" i="31"/>
  <c r="DO192" i="31"/>
  <c r="DO197" i="31" l="1"/>
  <c r="DO198" i="31" s="1"/>
  <c r="DN236" i="31"/>
  <c r="DN237" i="31" s="1"/>
  <c r="DN232" i="31"/>
  <c r="DS238" i="31" l="1"/>
  <c r="DN193" i="31"/>
  <c r="DN197" i="31"/>
  <c r="DN198" i="31" s="1"/>
  <c r="DN886" i="31"/>
  <c r="DN24" i="31" s="1"/>
  <c r="DN238" i="31"/>
  <c r="DN199" i="31" l="1"/>
  <c r="DN887" i="31"/>
  <c r="DN25" i="31" s="1"/>
  <c r="DN891" i="31"/>
  <c r="DN892" i="31" s="1"/>
  <c r="DN35" i="31"/>
  <c r="DN16" i="31" s="1"/>
  <c r="DN40" i="31" l="1"/>
  <c r="DN41" i="31" s="1"/>
  <c r="DN36" i="31"/>
  <c r="FF93" i="9"/>
  <c r="FF94" i="9" s="1"/>
  <c r="DN893" i="31"/>
  <c r="DS20" i="31"/>
  <c r="DN29" i="31"/>
  <c r="DN30" i="31" s="1"/>
  <c r="FF23" i="9"/>
  <c r="FF24" i="9" s="1"/>
  <c r="DN17" i="31" l="1"/>
  <c r="FG24" i="9"/>
  <c r="FF75" i="9"/>
  <c r="EG83" i="10"/>
  <c r="DN42" i="31"/>
  <c r="FF104" i="9"/>
  <c r="FF106" i="9"/>
  <c r="FF107" i="9"/>
  <c r="FF108" i="9"/>
  <c r="FF112" i="9"/>
  <c r="DN31" i="31"/>
  <c r="FF102" i="9"/>
  <c r="FF110" i="9"/>
  <c r="FF111" i="9"/>
  <c r="FF103" i="9"/>
  <c r="FG65" i="9" l="1"/>
  <c r="FG67" i="9"/>
  <c r="FG66" i="9"/>
  <c r="FF115" i="9"/>
  <c r="FG76" i="9"/>
  <c r="EH85" i="10"/>
  <c r="EH86" i="10" s="1"/>
  <c r="FG78" i="9"/>
  <c r="FF114" i="9"/>
  <c r="EI84" i="10"/>
  <c r="EG84" i="10"/>
  <c r="FG77" i="9"/>
  <c r="EI136" i="10" l="1"/>
  <c r="EI76" i="10"/>
  <c r="EI70" i="10"/>
  <c r="EI66" i="10"/>
  <c r="EI78" i="10"/>
  <c r="EI68" i="10"/>
  <c r="EI144" i="10"/>
  <c r="EI75" i="10"/>
  <c r="EI69" i="10"/>
  <c r="EI74" i="10"/>
  <c r="EI77" i="10"/>
  <c r="EI73" i="10"/>
  <c r="EI67" i="10"/>
  <c r="EI59" i="10"/>
  <c r="EG136" i="10"/>
  <c r="EG76" i="10"/>
  <c r="EG70" i="10"/>
  <c r="EG66" i="10"/>
  <c r="EG69" i="10"/>
  <c r="EG78" i="10"/>
  <c r="EG74" i="10"/>
  <c r="EG68" i="10"/>
  <c r="EG75" i="10"/>
  <c r="EG77" i="10"/>
  <c r="EG73" i="10"/>
  <c r="EG67" i="10"/>
  <c r="EG59" i="10"/>
  <c r="FF116" i="9"/>
  <c r="FF66" i="9"/>
  <c r="FF77" i="9"/>
  <c r="FF67" i="9"/>
  <c r="FF78" i="9"/>
  <c r="FF76" i="9"/>
  <c r="FF65" i="9"/>
  <c r="EG174" i="10" s="1"/>
  <c r="EG85" i="10"/>
  <c r="FF29" i="9"/>
  <c r="EH40" i="10"/>
  <c r="EH34" i="10"/>
  <c r="EH39" i="10" l="1"/>
  <c r="EH26" i="10"/>
  <c r="EH18" i="10"/>
  <c r="FF79" i="9"/>
  <c r="FF68" i="9"/>
  <c r="EG175" i="10" s="1"/>
  <c r="EH33" i="10"/>
  <c r="FF133" i="9"/>
  <c r="EH21" i="10"/>
  <c r="EI86" i="10"/>
  <c r="EG86" i="10"/>
  <c r="EH35" i="10"/>
  <c r="EH19" i="10"/>
  <c r="EH38" i="10"/>
  <c r="EH25" i="10"/>
  <c r="EI61" i="10" l="1"/>
  <c r="EI60" i="10"/>
  <c r="EG61" i="10"/>
  <c r="EG60" i="10"/>
  <c r="FG133" i="9"/>
  <c r="EI28" i="11"/>
  <c r="EJ28" i="11" l="1"/>
  <c r="FF70" i="9" l="1"/>
  <c r="FF125" i="9"/>
  <c r="FF80" i="9"/>
  <c r="FG38" i="9"/>
  <c r="FF37" i="9"/>
  <c r="FG71" i="9" l="1"/>
  <c r="FG50" i="9"/>
  <c r="FG37" i="9"/>
  <c r="FF126" i="9"/>
  <c r="FF127" i="9" s="1"/>
  <c r="FF122" i="9"/>
  <c r="FG125" i="9"/>
  <c r="FG80" i="9"/>
  <c r="FG122" i="9" l="1"/>
  <c r="FG126" i="9"/>
  <c r="FG127" i="9" s="1"/>
  <c r="FG43" i="9"/>
  <c r="FG49" i="9"/>
  <c r="FF49" i="9" l="1"/>
  <c r="FF71" i="9"/>
  <c r="FF50" i="9" s="1"/>
  <c r="FG5" i="9"/>
  <c r="FG81" i="9"/>
  <c r="FG52" i="9"/>
  <c r="FG45" i="9"/>
  <c r="FG53" i="9"/>
  <c r="FG54" i="9" l="1"/>
  <c r="FF53" i="9"/>
  <c r="FF81" i="9"/>
  <c r="FF84" i="9" s="1"/>
  <c r="FF52" i="9"/>
  <c r="FF72" i="9"/>
  <c r="EG176" i="10" s="1"/>
  <c r="FF54" i="9" l="1"/>
  <c r="EG185" i="10"/>
  <c r="EH50" i="10" l="1"/>
  <c r="EG52" i="10"/>
  <c r="EH52" i="10" l="1"/>
  <c r="EG92" i="10"/>
  <c r="EG179" i="10"/>
  <c r="EG180" i="10"/>
  <c r="EG192" i="10"/>
  <c r="EG191" i="10" s="1"/>
  <c r="EG173" i="10"/>
  <c r="EM184" i="10" l="1"/>
  <c r="EH92" i="10"/>
  <c r="EI184" i="10"/>
  <c r="EH179" i="10"/>
  <c r="EH192" i="10"/>
  <c r="EH191" i="10" s="1"/>
  <c r="EH180" i="10"/>
  <c r="FF57" i="9" l="1"/>
  <c r="EG87" i="10"/>
  <c r="FF56" i="9"/>
  <c r="FF55" i="9"/>
  <c r="FF62" i="9"/>
  <c r="FF82" i="9" l="1"/>
  <c r="FF83" i="9" s="1"/>
  <c r="EH87" i="10"/>
  <c r="FG62" i="9"/>
  <c r="FG57" i="9"/>
  <c r="FG55" i="9"/>
  <c r="FG56" i="9"/>
  <c r="FG82" i="9" l="1"/>
  <c r="FG83" i="9" s="1"/>
  <c r="FG8" i="9"/>
  <c r="DO132" i="31" l="1"/>
  <c r="DN210" i="31"/>
  <c r="DN209" i="31" s="1"/>
  <c r="DO191" i="31"/>
  <c r="DO205" i="31"/>
  <c r="DO215" i="31"/>
  <c r="DO210" i="31"/>
  <c r="DO209" i="31" s="1"/>
  <c r="DO208" i="31"/>
  <c r="DO213" i="31" l="1"/>
  <c r="DO196" i="31"/>
  <c r="DO193" i="31"/>
  <c r="DS215" i="31" l="1"/>
  <c r="DO199" i="31"/>
  <c r="DS205" i="31"/>
  <c r="DX213" i="31" l="1"/>
  <c r="DS213" i="31"/>
  <c r="DS196" i="31"/>
  <c r="FG72" i="9" l="1"/>
  <c r="FG2" i="9"/>
  <c r="FG4" i="9" s="1"/>
  <c r="FG7" i="9" s="1"/>
  <c r="FG70" i="9"/>
  <c r="FG75" i="9"/>
  <c r="FG84" i="9" s="1"/>
  <c r="EH83" i="10"/>
  <c r="EH84" i="10" s="1"/>
  <c r="FG29" i="9"/>
  <c r="FG69" i="9" l="1"/>
  <c r="EH66" i="10"/>
  <c r="EH78" i="10"/>
  <c r="EH75" i="10"/>
  <c r="EH70" i="10"/>
  <c r="EH77" i="10"/>
  <c r="EH68" i="10"/>
  <c r="EH67" i="10"/>
  <c r="EH69" i="10"/>
  <c r="EH76" i="10"/>
  <c r="EH74" i="10"/>
  <c r="EH73" i="10"/>
  <c r="FG79" i="9"/>
  <c r="FG39" i="9"/>
  <c r="FG68" i="9"/>
  <c r="FH133" i="9" l="1"/>
  <c r="EI36" i="11" l="1"/>
  <c r="EK28" i="11" l="1"/>
  <c r="EK48" i="11"/>
  <c r="EJ36" i="11"/>
  <c r="EK29" i="11" l="1"/>
  <c r="EI29" i="11"/>
  <c r="EJ29" i="11" l="1"/>
  <c r="EH22" i="10"/>
  <c r="EG65" i="10" l="1"/>
  <c r="EG216" i="10" s="1"/>
  <c r="EG220" i="10"/>
  <c r="EG96" i="10"/>
  <c r="EG98" i="10" s="1"/>
  <c r="FF131" i="9"/>
  <c r="FF134" i="9" s="1"/>
  <c r="FF136" i="9" s="1"/>
  <c r="FF143" i="9" s="1"/>
  <c r="FF144" i="9" s="1"/>
  <c r="DN664" i="31" l="1"/>
  <c r="DN681" i="31"/>
  <c r="DO659" i="31"/>
  <c r="DO681" i="31" l="1"/>
  <c r="DO637" i="31" s="1"/>
  <c r="DO664" i="31"/>
  <c r="DT659" i="31"/>
  <c r="DN686" i="31"/>
  <c r="DO686" i="31" l="1"/>
  <c r="DO885" i="31"/>
  <c r="DO642" i="31"/>
  <c r="DY659" i="31"/>
  <c r="DS659" i="31"/>
  <c r="DS681" i="31" l="1"/>
  <c r="DX686" i="31" s="1"/>
  <c r="DO23" i="31"/>
  <c r="DX659" i="31"/>
  <c r="DX664" i="31" s="1"/>
  <c r="DS664" i="31"/>
  <c r="DO890" i="31"/>
  <c r="DO34" i="31"/>
  <c r="DO15" i="31" s="1"/>
  <c r="DS686" i="31" l="1"/>
  <c r="DT681" i="31"/>
  <c r="DT637" i="31" s="1"/>
  <c r="DT642" i="31" s="1"/>
  <c r="DO28" i="31"/>
  <c r="FG22" i="9"/>
  <c r="FG92" i="9"/>
  <c r="DO39" i="31"/>
  <c r="DS642" i="31"/>
  <c r="DT686" i="31" l="1"/>
  <c r="DY686" i="31"/>
  <c r="DN666" i="31" l="1"/>
  <c r="DN665" i="31"/>
  <c r="DN661" i="31"/>
  <c r="DS667" i="31" s="1"/>
  <c r="DN682" i="31"/>
  <c r="DO682" i="31" s="1"/>
  <c r="DO660" i="31"/>
  <c r="DO665" i="31" l="1"/>
  <c r="DO666" i="31" s="1"/>
  <c r="DO683" i="31"/>
  <c r="DO687" i="31"/>
  <c r="DO688" i="31" s="1"/>
  <c r="DN667" i="31"/>
  <c r="DO638" i="31"/>
  <c r="DO661" i="31"/>
  <c r="DN683" i="31"/>
  <c r="DN687" i="31"/>
  <c r="DN688" i="31" s="1"/>
  <c r="DO886" i="31" l="1"/>
  <c r="DO667" i="31"/>
  <c r="DO689" i="31"/>
  <c r="DN689" i="31"/>
  <c r="DO643" i="31"/>
  <c r="DO644" i="31" s="1"/>
  <c r="DO639" i="31"/>
  <c r="DO24" i="31" l="1"/>
  <c r="DO891" i="31"/>
  <c r="DO892" i="31" s="1"/>
  <c r="DO887" i="31"/>
  <c r="DO25" i="31" s="1"/>
  <c r="DO35" i="31"/>
  <c r="DO645" i="31"/>
  <c r="DT21" i="31" l="1"/>
  <c r="DO16" i="31"/>
  <c r="FG93" i="9"/>
  <c r="DO40" i="31"/>
  <c r="DO41" i="31" s="1"/>
  <c r="DO36" i="31"/>
  <c r="DS643" i="31"/>
  <c r="DS644" i="31" s="1"/>
  <c r="DS639" i="31"/>
  <c r="DO893" i="31"/>
  <c r="FG23" i="9"/>
  <c r="DO29" i="31"/>
  <c r="DO30" i="31" s="1"/>
  <c r="DS645" i="31" l="1"/>
  <c r="DX645" i="31"/>
  <c r="DT1063" i="31"/>
  <c r="DT1058" i="31" s="1"/>
  <c r="DT1052" i="31"/>
  <c r="DT1047" i="31" s="1"/>
  <c r="DT1074" i="31"/>
  <c r="DT1069" i="31" s="1"/>
  <c r="DT1018" i="31"/>
  <c r="DT1013" i="31" s="1"/>
  <c r="DT996" i="31"/>
  <c r="DT991" i="31" s="1"/>
  <c r="DY991" i="31" s="1"/>
  <c r="DT1007" i="31"/>
  <c r="DT1002" i="31" s="1"/>
  <c r="DT974" i="31"/>
  <c r="DT969" i="31" s="1"/>
  <c r="DT1041" i="31"/>
  <c r="DT1036" i="31" s="1"/>
  <c r="DO42" i="31"/>
  <c r="DT633" i="31"/>
  <c r="DP633" i="31" s="1"/>
  <c r="DP632" i="31" s="1"/>
  <c r="DT504" i="31"/>
  <c r="DT346" i="31"/>
  <c r="DT248" i="31"/>
  <c r="DT1450" i="31"/>
  <c r="DT281" i="31"/>
  <c r="DT1428" i="31"/>
  <c r="DT743" i="31"/>
  <c r="DW743" i="31" s="1"/>
  <c r="DW742" i="31" s="1"/>
  <c r="DW737" i="31" s="1"/>
  <c r="DT677" i="31"/>
  <c r="DT1439" i="31"/>
  <c r="DT754" i="31"/>
  <c r="DT226" i="31"/>
  <c r="DT655" i="31"/>
  <c r="DT335" i="31"/>
  <c r="DT1461" i="31"/>
  <c r="DT544" i="31"/>
  <c r="DT1483" i="31"/>
  <c r="DT1472" i="31"/>
  <c r="DT237" i="31"/>
  <c r="DT720" i="31"/>
  <c r="DT665" i="31"/>
  <c r="DT660" i="31" s="1"/>
  <c r="DT52" i="31"/>
  <c r="DT1494" i="31"/>
  <c r="DT63" i="31"/>
  <c r="DT20" i="31"/>
  <c r="DO17" i="31"/>
  <c r="FG94" i="9"/>
  <c r="FG102" i="9"/>
  <c r="FG108" i="9"/>
  <c r="FG107" i="9"/>
  <c r="FG106" i="9"/>
  <c r="DO31" i="31"/>
  <c r="FG112" i="9"/>
  <c r="FG111" i="9"/>
  <c r="FG110" i="9"/>
  <c r="FG104" i="9"/>
  <c r="FG103" i="9"/>
  <c r="EB737" i="31" l="1"/>
  <c r="EG737" i="31" s="1"/>
  <c r="EG738" i="31" s="1"/>
  <c r="DT1037" i="31"/>
  <c r="DT1043" i="31" s="1"/>
  <c r="DY1036" i="31"/>
  <c r="DT1048" i="31"/>
  <c r="DT1054" i="31" s="1"/>
  <c r="DY1047" i="31"/>
  <c r="DT1059" i="31"/>
  <c r="DT1065" i="31" s="1"/>
  <c r="DY1058" i="31"/>
  <c r="DT1070" i="31"/>
  <c r="DT1076" i="31" s="1"/>
  <c r="DY1069" i="31"/>
  <c r="DT1003" i="31"/>
  <c r="DT1009" i="31" s="1"/>
  <c r="DY1002" i="31"/>
  <c r="DT1014" i="31"/>
  <c r="DT1020" i="31" s="1"/>
  <c r="DY1013" i="31"/>
  <c r="DT970" i="31"/>
  <c r="DT976" i="31" s="1"/>
  <c r="DY969" i="31"/>
  <c r="DY992" i="31"/>
  <c r="DT1024" i="31"/>
  <c r="DT992" i="31"/>
  <c r="DT998" i="31" s="1"/>
  <c r="DW738" i="31"/>
  <c r="DX737" i="31"/>
  <c r="DT661" i="31"/>
  <c r="DS660" i="31"/>
  <c r="DY660" i="31"/>
  <c r="DU276" i="31"/>
  <c r="FG114" i="9"/>
  <c r="FG115" i="9"/>
  <c r="EB738" i="31" l="1"/>
  <c r="EG744" i="31" s="1"/>
  <c r="DU262" i="31"/>
  <c r="DY1003" i="31"/>
  <c r="DY1009" i="31" s="1"/>
  <c r="DY970" i="31"/>
  <c r="DY976" i="31" s="1"/>
  <c r="DY1048" i="31"/>
  <c r="ED1054" i="31" s="1"/>
  <c r="ED1047" i="31"/>
  <c r="ED1048" i="31" s="1"/>
  <c r="DY1070" i="31"/>
  <c r="ED1076" i="31" s="1"/>
  <c r="ED1069" i="31"/>
  <c r="ED1070" i="31" s="1"/>
  <c r="DY1014" i="31"/>
  <c r="DY1020" i="31" s="1"/>
  <c r="DY1059" i="31"/>
  <c r="ED1065" i="31" s="1"/>
  <c r="ED1058" i="31"/>
  <c r="ED1059" i="31" s="1"/>
  <c r="DY1037" i="31"/>
  <c r="ED1043" i="31" s="1"/>
  <c r="ED1036" i="31"/>
  <c r="ED1037" i="31" s="1"/>
  <c r="DY998" i="31"/>
  <c r="DY1024" i="31"/>
  <c r="DT1025" i="31"/>
  <c r="DT1031" i="31" s="1"/>
  <c r="DT1029" i="31"/>
  <c r="DT1030" i="31" s="1"/>
  <c r="DZ282" i="31"/>
  <c r="DW744" i="31"/>
  <c r="DU282" i="31"/>
  <c r="DU269" i="31"/>
  <c r="DU270" i="31" s="1"/>
  <c r="DU265" i="31"/>
  <c r="DX660" i="31"/>
  <c r="DY661" i="31"/>
  <c r="DS682" i="31"/>
  <c r="DX687" i="31" s="1"/>
  <c r="DX688" i="31" s="1"/>
  <c r="DS666" i="31"/>
  <c r="DS665" i="31"/>
  <c r="DS661" i="31"/>
  <c r="DX738" i="31"/>
  <c r="DX742" i="31"/>
  <c r="DX743" i="31" s="1"/>
  <c r="FG116" i="9"/>
  <c r="EB744" i="31" l="1"/>
  <c r="DY1065" i="31"/>
  <c r="DY1043" i="31"/>
  <c r="DY1054" i="31"/>
  <c r="DY1076" i="31"/>
  <c r="DY1025" i="31"/>
  <c r="DY1031" i="31" s="1"/>
  <c r="DY1029" i="31"/>
  <c r="DY1030" i="31" s="1"/>
  <c r="DX628" i="31"/>
  <c r="DU271" i="31"/>
  <c r="DZ271" i="31"/>
  <c r="DX744" i="31"/>
  <c r="DT682" i="31"/>
  <c r="DY687" i="31" s="1"/>
  <c r="DY688" i="31" s="1"/>
  <c r="DS687" i="31"/>
  <c r="DS688" i="31" s="1"/>
  <c r="DS683" i="31"/>
  <c r="DX667" i="31"/>
  <c r="DX665" i="31"/>
  <c r="DX666" i="31"/>
  <c r="DX661" i="31"/>
  <c r="EC634" i="31" l="1"/>
  <c r="DX634" i="31"/>
  <c r="DS689" i="31"/>
  <c r="DX689" i="31"/>
  <c r="DT687" i="31"/>
  <c r="DT688" i="31" s="1"/>
  <c r="DT683" i="31"/>
  <c r="DY689" i="31" s="1"/>
  <c r="DT638" i="31"/>
  <c r="DT689" i="31" l="1"/>
  <c r="DT643" i="31"/>
  <c r="DT644" i="31" s="1"/>
  <c r="DT639" i="31"/>
  <c r="DW636" i="31" l="1"/>
  <c r="DT645" i="31"/>
  <c r="DX636" i="31"/>
  <c r="DQ456" i="31" l="1"/>
  <c r="DQ268" i="31"/>
  <c r="DQ462" i="31" l="1"/>
  <c r="DV462" i="31"/>
  <c r="DQ265" i="31"/>
  <c r="DV271" i="31" s="1"/>
  <c r="DR265" i="31"/>
  <c r="DR268" i="31"/>
  <c r="DR271" i="31" l="1"/>
  <c r="DW271" i="31"/>
  <c r="DW262" i="31"/>
  <c r="DQ271" i="31"/>
  <c r="DS268" i="31"/>
  <c r="DS265" i="31"/>
  <c r="DS271" i="31" l="1"/>
  <c r="DX271" i="31"/>
  <c r="DR517" i="31"/>
  <c r="DW523" i="31" s="1"/>
  <c r="DR523" i="31" l="1"/>
  <c r="DR467" i="31"/>
  <c r="DW473" i="31" s="1"/>
  <c r="DR885" i="31"/>
  <c r="DR23" i="31" s="1"/>
  <c r="DR470" i="31"/>
  <c r="DS470" i="31" l="1"/>
  <c r="DR473" i="31"/>
  <c r="DR34" i="31"/>
  <c r="DR887" i="31"/>
  <c r="DR25" i="31" s="1"/>
  <c r="DR890" i="31"/>
  <c r="DS467" i="31"/>
  <c r="DX473" i="31" s="1"/>
  <c r="DR15" i="31" l="1"/>
  <c r="DR9" i="31" s="1"/>
  <c r="FQ102" i="9"/>
  <c r="FQ114" i="9" s="1"/>
  <c r="DR28" i="31"/>
  <c r="FJ22" i="9"/>
  <c r="FJ24" i="9" s="1"/>
  <c r="DS473" i="31"/>
  <c r="DR36" i="31"/>
  <c r="DR893" i="31"/>
  <c r="DR39" i="31"/>
  <c r="FJ92" i="9"/>
  <c r="FQ104" i="9" l="1"/>
  <c r="FJ94" i="9"/>
  <c r="FQ92" i="9"/>
  <c r="FJ72" i="9"/>
  <c r="FJ70" i="9"/>
  <c r="FJ67" i="9"/>
  <c r="FJ66" i="9"/>
  <c r="FJ65" i="9"/>
  <c r="EK174" i="10" s="1"/>
  <c r="DR17" i="31"/>
  <c r="DR11" i="31" s="1"/>
  <c r="FJ107" i="9"/>
  <c r="FJ103" i="9"/>
  <c r="FJ111" i="9"/>
  <c r="FJ102" i="9"/>
  <c r="FJ112" i="9"/>
  <c r="FJ106" i="9"/>
  <c r="FJ108" i="9"/>
  <c r="DR31" i="31"/>
  <c r="FJ110" i="9"/>
  <c r="FJ104" i="9"/>
  <c r="DR42" i="31"/>
  <c r="FJ75" i="9"/>
  <c r="FJ115" i="9" l="1"/>
  <c r="FJ114" i="9"/>
  <c r="FJ77" i="9"/>
  <c r="FJ78" i="9"/>
  <c r="FJ29" i="9"/>
  <c r="FJ76" i="9"/>
  <c r="FJ69" i="9" l="1"/>
  <c r="FJ37" i="9"/>
  <c r="FJ68" i="9"/>
  <c r="EK175" i="10" s="1"/>
  <c r="FJ116" i="9"/>
  <c r="FJ79" i="9"/>
  <c r="FJ126" i="9" l="1"/>
  <c r="FJ80" i="9"/>
  <c r="FJ122" i="9"/>
  <c r="FJ125" i="9"/>
  <c r="FJ127" i="9" l="1"/>
  <c r="FJ81" i="9"/>
  <c r="FJ84" i="9" s="1"/>
  <c r="EK176" i="10"/>
  <c r="FJ52" i="9"/>
  <c r="FJ49" i="9"/>
  <c r="FJ56" i="9" s="1"/>
  <c r="FJ82" i="9" l="1"/>
  <c r="FJ83" i="9" s="1"/>
  <c r="FJ53" i="9"/>
  <c r="EK185" i="10" l="1"/>
  <c r="FJ54" i="9"/>
  <c r="FJ57" i="9"/>
  <c r="DT192" i="31" l="1"/>
  <c r="DT243" i="31"/>
  <c r="DY249" i="31" l="1"/>
  <c r="DT197" i="31"/>
  <c r="DT198" i="31" s="1"/>
  <c r="DT249" i="31"/>
  <c r="DS193" i="31" l="1"/>
  <c r="DX199" i="31" s="1"/>
  <c r="DS197" i="31"/>
  <c r="DS198" i="31" s="1"/>
  <c r="DS199" i="31" l="1"/>
  <c r="DZ233" i="31" l="1"/>
  <c r="EJ236" i="31"/>
  <c r="EI52" i="10" l="1"/>
  <c r="EJ184" i="10" l="1"/>
  <c r="EI173" i="10"/>
  <c r="EI179" i="10"/>
  <c r="EI92" i="10"/>
  <c r="EI192" i="10"/>
  <c r="EI191" i="10" s="1"/>
  <c r="EI180" i="10"/>
  <c r="EI41" i="11" l="1"/>
  <c r="EI48" i="11" s="1"/>
  <c r="EJ48" i="11"/>
  <c r="EI52" i="11" l="1"/>
  <c r="EJ52" i="11"/>
  <c r="EJ54" i="11" l="1"/>
  <c r="EI54" i="11"/>
  <c r="EK53" i="11" l="1"/>
  <c r="EH14" i="10"/>
  <c r="EO53" i="11"/>
  <c r="EH220" i="10" l="1"/>
  <c r="EH65" i="10"/>
  <c r="EH216" i="10" s="1"/>
  <c r="EH96" i="10"/>
  <c r="EH98" i="10" s="1"/>
  <c r="FG131" i="9"/>
  <c r="O125" i="204"/>
  <c r="P118" i="204" l="1"/>
  <c r="O132" i="204"/>
  <c r="O139" i="204" s="1"/>
  <c r="O141" i="204" s="1"/>
  <c r="FG134" i="9"/>
  <c r="FG136" i="9" s="1"/>
  <c r="FG143" i="9" s="1"/>
  <c r="O150" i="204" l="1"/>
  <c r="O152" i="204" s="1"/>
  <c r="FG144" i="9"/>
  <c r="EG62" i="10" l="1"/>
  <c r="EH16" i="10"/>
  <c r="EH59" i="10" l="1"/>
  <c r="EG97" i="10"/>
  <c r="EG20" i="10"/>
  <c r="EH17" i="10"/>
  <c r="EG79" i="10"/>
  <c r="EG36" i="10"/>
  <c r="EH32" i="10"/>
  <c r="EH91" i="10" l="1"/>
  <c r="EH20" i="10"/>
  <c r="EG27" i="10"/>
  <c r="EG167" i="10"/>
  <c r="EG168" i="10"/>
  <c r="EG169" i="10"/>
  <c r="EG41" i="10"/>
  <c r="EH60" i="10"/>
  <c r="EH61" i="10"/>
  <c r="EH79" i="10"/>
  <c r="EH36" i="10"/>
  <c r="EH97" i="10"/>
  <c r="EH27" i="10" l="1"/>
  <c r="EH41" i="10"/>
  <c r="EH169" i="10"/>
  <c r="EH62" i="10"/>
  <c r="EG217" i="10"/>
  <c r="EG172" i="10"/>
  <c r="EG218" i="10"/>
  <c r="EI62" i="10"/>
  <c r="EH167" i="10"/>
  <c r="EG54" i="10"/>
  <c r="EH168" i="10"/>
  <c r="EH218" i="10" l="1"/>
  <c r="EG55" i="10"/>
  <c r="EH217" i="10"/>
  <c r="EI97" i="10"/>
  <c r="EG181" i="10"/>
  <c r="EG93" i="10"/>
  <c r="EG56" i="10"/>
  <c r="EH54" i="10"/>
  <c r="EI36" i="10"/>
  <c r="EI79" i="10"/>
  <c r="EI41" i="10" l="1"/>
  <c r="EH93" i="10"/>
  <c r="EH181" i="10"/>
  <c r="EH56" i="10"/>
  <c r="EH55" i="10"/>
  <c r="EI54" i="10" l="1"/>
  <c r="EI93" i="10" l="1"/>
  <c r="EI181" i="10"/>
  <c r="EH136" i="10" l="1"/>
  <c r="EG149" i="10" l="1"/>
  <c r="EH141" i="10" l="1"/>
  <c r="FG119" i="9"/>
  <c r="FG121" i="9" l="1"/>
  <c r="EH149" i="10"/>
  <c r="EM141" i="10"/>
  <c r="FF119" i="9"/>
  <c r="EM149" i="10" l="1"/>
  <c r="FF121" i="9"/>
  <c r="EG144" i="10"/>
  <c r="EG150" i="10"/>
  <c r="EG140" i="10"/>
  <c r="EH137" i="10"/>
  <c r="EH139" i="10" s="1"/>
  <c r="EG142" i="10" l="1"/>
  <c r="EI134" i="10"/>
  <c r="EI137" i="10" s="1"/>
  <c r="EM134" i="10"/>
  <c r="EG143" i="10"/>
  <c r="EH144" i="10"/>
  <c r="EH150" i="10"/>
  <c r="EH140" i="10"/>
  <c r="EG146" i="10"/>
  <c r="EH142" i="10" l="1"/>
  <c r="EH143" i="10"/>
  <c r="EH146" i="10"/>
  <c r="EG147" i="10"/>
  <c r="EG148" i="10" s="1"/>
  <c r="EH147" i="10" l="1"/>
  <c r="EH148" i="10" s="1"/>
  <c r="DS1651" i="31" l="1"/>
  <c r="DT1651" i="31"/>
  <c r="DT1653" i="31" s="1"/>
  <c r="DS697" i="31" l="1"/>
  <c r="DS763" i="31" l="1"/>
  <c r="DS885" i="31"/>
  <c r="DS890" i="31" l="1"/>
  <c r="DS23" i="31"/>
  <c r="DS28" i="31" s="1"/>
  <c r="DS34" i="31"/>
  <c r="DS15" i="31" l="1"/>
  <c r="DS9" i="31" s="1"/>
  <c r="FR102" i="9"/>
  <c r="FR114" i="9" s="1"/>
  <c r="FK92" i="9"/>
  <c r="FR92" i="9" s="1"/>
  <c r="DS39" i="31"/>
  <c r="FK22" i="9"/>
  <c r="DT1648" i="31"/>
  <c r="EI140" i="10" l="1"/>
  <c r="FH119" i="9"/>
  <c r="EI142" i="10" l="1"/>
  <c r="FO119" i="9"/>
  <c r="EI146" i="10"/>
  <c r="EI143" i="10"/>
  <c r="EI150" i="10"/>
  <c r="FH121" i="9"/>
  <c r="EI149" i="10"/>
  <c r="EK52" i="11" l="1"/>
  <c r="EI147" i="10"/>
  <c r="EI148" i="10" s="1"/>
  <c r="EK54" i="11" l="1"/>
  <c r="EL53" i="11" l="1"/>
  <c r="EI220" i="10" l="1"/>
  <c r="EI20" i="10"/>
  <c r="EI169" i="10"/>
  <c r="FH131" i="9"/>
  <c r="EI65" i="10"/>
  <c r="EI216" i="10" s="1"/>
  <c r="EI96" i="10"/>
  <c r="EI98" i="10" s="1"/>
  <c r="FH134" i="9" l="1"/>
  <c r="FH136" i="9" s="1"/>
  <c r="FH143" i="9" s="1"/>
  <c r="FH144" i="9" s="1"/>
  <c r="EI168" i="10"/>
  <c r="EI56" i="10"/>
  <c r="EI167" i="10"/>
  <c r="EI27" i="10"/>
  <c r="EI218" i="10" l="1"/>
  <c r="EI55" i="10"/>
  <c r="EI172" i="10"/>
  <c r="EI217" i="10"/>
  <c r="DS1648" i="31" l="1"/>
  <c r="DS1652" i="31"/>
  <c r="DS1653" i="31" s="1"/>
  <c r="DS764" i="31" l="1"/>
  <c r="DS765" i="31" s="1"/>
  <c r="DS760" i="31"/>
  <c r="DS698" i="31"/>
  <c r="DS699" i="31" s="1"/>
  <c r="DS694" i="31"/>
  <c r="DX700" i="31" s="1"/>
  <c r="DS886" i="31"/>
  <c r="DS24" i="31" s="1"/>
  <c r="DS766" i="31" l="1"/>
  <c r="DS891" i="31"/>
  <c r="DS892" i="31" s="1"/>
  <c r="DS887" i="31"/>
  <c r="DS25" i="31" s="1"/>
  <c r="DS35" i="31"/>
  <c r="DS700" i="31"/>
  <c r="DS16" i="31" l="1"/>
  <c r="DS10" i="31" s="1"/>
  <c r="FR103" i="9"/>
  <c r="FR115" i="9" s="1"/>
  <c r="DS36" i="31"/>
  <c r="FK93" i="9"/>
  <c r="FR93" i="9" s="1"/>
  <c r="DS40" i="31"/>
  <c r="DS41" i="31" s="1"/>
  <c r="DS893" i="31"/>
  <c r="FK112" i="9"/>
  <c r="DS29" i="31"/>
  <c r="DS30" i="31" s="1"/>
  <c r="FK23" i="9"/>
  <c r="DS17" i="31" l="1"/>
  <c r="DS11" i="31" s="1"/>
  <c r="FR104" i="9"/>
  <c r="FK107" i="9"/>
  <c r="FK108" i="9"/>
  <c r="FK102" i="9"/>
  <c r="DS31" i="31"/>
  <c r="FK110" i="9"/>
  <c r="FK106" i="9"/>
  <c r="FK111" i="9"/>
  <c r="FK94" i="9"/>
  <c r="FK24" i="9"/>
  <c r="FK104" i="9"/>
  <c r="DS42" i="31"/>
  <c r="FK103" i="9"/>
  <c r="FK75" i="9" l="1"/>
  <c r="FK115" i="9"/>
  <c r="FK114" i="9"/>
  <c r="FK116" i="9" l="1"/>
  <c r="DP335" i="31" l="1"/>
  <c r="DP743" i="31"/>
  <c r="DP1472" i="31"/>
  <c r="DP1483" i="31"/>
  <c r="DQ697" i="31" l="1"/>
  <c r="DT758" i="31"/>
  <c r="DT763" i="31" s="1"/>
  <c r="DQ885" i="31"/>
  <c r="DQ23" i="31" s="1"/>
  <c r="DQ763" i="31" l="1"/>
  <c r="DQ890" i="31"/>
  <c r="DQ34" i="31"/>
  <c r="DQ15" i="31" l="1"/>
  <c r="DQ9" i="31" s="1"/>
  <c r="FP102" i="9"/>
  <c r="FP114" i="9" s="1"/>
  <c r="DQ28" i="31"/>
  <c r="FI22" i="9"/>
  <c r="DQ39" i="31"/>
  <c r="FI92" i="9"/>
  <c r="FP92" i="9" s="1"/>
  <c r="DT697" i="31" l="1"/>
  <c r="DQ694" i="31" l="1"/>
  <c r="DT694" i="31" s="1"/>
  <c r="DQ698" i="31"/>
  <c r="DQ699" i="31" s="1"/>
  <c r="DQ760" i="31" l="1"/>
  <c r="DQ764" i="31"/>
  <c r="DQ765" i="31" s="1"/>
  <c r="DQ29" i="31"/>
  <c r="DQ30" i="31" s="1"/>
  <c r="FI23" i="9"/>
  <c r="FI24" i="9" s="1"/>
  <c r="DQ891" i="31"/>
  <c r="DQ892" i="31" s="1"/>
  <c r="DQ887" i="31"/>
  <c r="DQ25" i="31" s="1"/>
  <c r="DQ35" i="31"/>
  <c r="DQ700" i="31"/>
  <c r="DQ16" i="31" l="1"/>
  <c r="DQ10" i="31" s="1"/>
  <c r="FP103" i="9"/>
  <c r="FP115" i="9" s="1"/>
  <c r="FL24" i="9"/>
  <c r="DQ766" i="31"/>
  <c r="FI67" i="9"/>
  <c r="FI65" i="9"/>
  <c r="EJ174" i="10" s="1"/>
  <c r="FI66" i="9"/>
  <c r="DQ40" i="31"/>
  <c r="DQ41" i="31" s="1"/>
  <c r="DQ36" i="31"/>
  <c r="FI93" i="9"/>
  <c r="FI75" i="9"/>
  <c r="DQ893" i="31"/>
  <c r="DV20" i="31"/>
  <c r="FL65" i="9" l="1"/>
  <c r="FL67" i="9"/>
  <c r="FL66" i="9"/>
  <c r="FI94" i="9"/>
  <c r="FP93" i="9"/>
  <c r="DQ17" i="31"/>
  <c r="DQ11" i="31" s="1"/>
  <c r="FP104" i="9"/>
  <c r="EM84" i="10"/>
  <c r="EL84" i="10"/>
  <c r="EL144" i="10" s="1"/>
  <c r="FI29" i="9"/>
  <c r="FI106" i="9"/>
  <c r="DQ31" i="31"/>
  <c r="FI102" i="9"/>
  <c r="FI112" i="9"/>
  <c r="FI108" i="9"/>
  <c r="FI110" i="9"/>
  <c r="FI107" i="9"/>
  <c r="FI111" i="9"/>
  <c r="FI77" i="9"/>
  <c r="FI103" i="9"/>
  <c r="FI78" i="9"/>
  <c r="FI76" i="9"/>
  <c r="EK84" i="10"/>
  <c r="EJ84" i="10"/>
  <c r="DQ42" i="31"/>
  <c r="FI104" i="9"/>
  <c r="EM174" i="10" l="1"/>
  <c r="FI69" i="9"/>
  <c r="FI37" i="9"/>
  <c r="EM67" i="10"/>
  <c r="EM136" i="10"/>
  <c r="EM59" i="10"/>
  <c r="EM66" i="10"/>
  <c r="EM69" i="10"/>
  <c r="EL76" i="10"/>
  <c r="EL136" i="10"/>
  <c r="EL78" i="10"/>
  <c r="EL74" i="10"/>
  <c r="EL75" i="10"/>
  <c r="EL77" i="10"/>
  <c r="EL69" i="10"/>
  <c r="EL66" i="10"/>
  <c r="EL59" i="10"/>
  <c r="EL79" i="10"/>
  <c r="EL65" i="10"/>
  <c r="EL216" i="10" s="1"/>
  <c r="EL73" i="10"/>
  <c r="EL86" i="10"/>
  <c r="EL60" i="10" s="1"/>
  <c r="EN86" i="10"/>
  <c r="EL67" i="10"/>
  <c r="FI79" i="9"/>
  <c r="EK144" i="10"/>
  <c r="EK77" i="10"/>
  <c r="EK70" i="10"/>
  <c r="EK78" i="10"/>
  <c r="EK59" i="10"/>
  <c r="EK66" i="10"/>
  <c r="EK67" i="10"/>
  <c r="EK75" i="10"/>
  <c r="EK68" i="10"/>
  <c r="EK76" i="10"/>
  <c r="EK69" i="10"/>
  <c r="EK74" i="10"/>
  <c r="EK73" i="10"/>
  <c r="EK136" i="10"/>
  <c r="EJ74" i="10"/>
  <c r="EJ66" i="10"/>
  <c r="EJ144" i="10"/>
  <c r="EJ73" i="10"/>
  <c r="EM34" i="10" s="1"/>
  <c r="EJ69" i="10"/>
  <c r="EJ78" i="10"/>
  <c r="EJ70" i="10"/>
  <c r="EJ59" i="10"/>
  <c r="EJ77" i="10"/>
  <c r="EJ76" i="10"/>
  <c r="EJ68" i="10"/>
  <c r="EJ75" i="10"/>
  <c r="EJ67" i="10"/>
  <c r="EJ136" i="10"/>
  <c r="FI68" i="9"/>
  <c r="EJ175" i="10" s="1"/>
  <c r="FI114" i="9"/>
  <c r="FI115" i="9"/>
  <c r="EK86" i="10"/>
  <c r="EJ86" i="10"/>
  <c r="FI70" i="9"/>
  <c r="FI80" i="9"/>
  <c r="FI125" i="9"/>
  <c r="FI122" i="9" l="1"/>
  <c r="FI126" i="9"/>
  <c r="FI127" i="9" s="1"/>
  <c r="EM73" i="10"/>
  <c r="EL61" i="10"/>
  <c r="EL62" i="10" s="1"/>
  <c r="EN61" i="10"/>
  <c r="EN60" i="10"/>
  <c r="EM33" i="10"/>
  <c r="EM38" i="10"/>
  <c r="EJ60" i="10"/>
  <c r="EJ61" i="10"/>
  <c r="EK60" i="10"/>
  <c r="EK61" i="10"/>
  <c r="EM40" i="10"/>
  <c r="EM76" i="10" s="1"/>
  <c r="FI116" i="9"/>
  <c r="FI133" i="9"/>
  <c r="EM39" i="10"/>
  <c r="EM75" i="10" s="1"/>
  <c r="FI81" i="9"/>
  <c r="FI84" i="9" s="1"/>
  <c r="FI52" i="9"/>
  <c r="FI55" i="9"/>
  <c r="FN82" i="9" s="1"/>
  <c r="FN83" i="9" s="1"/>
  <c r="FI72" i="9"/>
  <c r="EJ176" i="10" s="1"/>
  <c r="EM35" i="10"/>
  <c r="FJ133" i="9"/>
  <c r="EM77" i="10" l="1"/>
  <c r="EM74" i="10"/>
  <c r="EM78" i="10"/>
  <c r="EJ62" i="10"/>
  <c r="EM48" i="11"/>
  <c r="EM28" i="11"/>
  <c r="EK62" i="10"/>
  <c r="EK97" i="10"/>
  <c r="EL28" i="11"/>
  <c r="EL48" i="11"/>
  <c r="EM36" i="11"/>
  <c r="EK79" i="10"/>
  <c r="EK36" i="10"/>
  <c r="FI82" i="9"/>
  <c r="FI83" i="9" s="1"/>
  <c r="EJ79" i="10"/>
  <c r="EJ36" i="10"/>
  <c r="FI54" i="9"/>
  <c r="FI57" i="9"/>
  <c r="EJ185" i="10"/>
  <c r="EL29" i="11" l="1"/>
  <c r="EJ52" i="10"/>
  <c r="FL75" i="9"/>
  <c r="FL2" i="9"/>
  <c r="FL4" i="9" s="1"/>
  <c r="FL7" i="9" s="1"/>
  <c r="EK41" i="10"/>
  <c r="EJ41" i="10"/>
  <c r="EJ92" i="10" l="1"/>
  <c r="FL29" i="9"/>
  <c r="FL76" i="9"/>
  <c r="EK52" i="10"/>
  <c r="FL78" i="9"/>
  <c r="EK184" i="10"/>
  <c r="EJ180" i="10"/>
  <c r="EJ179" i="10"/>
  <c r="EJ54" i="10"/>
  <c r="EJ192" i="10"/>
  <c r="EJ191" i="10" s="1"/>
  <c r="EJ173" i="10"/>
  <c r="FL77" i="9"/>
  <c r="EL184" i="10" l="1"/>
  <c r="EJ93" i="10"/>
  <c r="FL69" i="9"/>
  <c r="FL68" i="9"/>
  <c r="FL79" i="9"/>
  <c r="FK66" i="9"/>
  <c r="FK77" i="9"/>
  <c r="EK179" i="10"/>
  <c r="EK173" i="10"/>
  <c r="EK180" i="10"/>
  <c r="EK54" i="10"/>
  <c r="EK92" i="10"/>
  <c r="EK192" i="10"/>
  <c r="EK191" i="10" s="1"/>
  <c r="FK76" i="9"/>
  <c r="FK65" i="9"/>
  <c r="EL174" i="10" s="1"/>
  <c r="FK29" i="9"/>
  <c r="EJ181" i="10"/>
  <c r="FK78" i="9"/>
  <c r="FK67" i="9"/>
  <c r="FK69" i="9" l="1"/>
  <c r="EM175" i="10"/>
  <c r="FK79" i="9"/>
  <c r="FK68" i="9"/>
  <c r="EL175" i="10" s="1"/>
  <c r="EK181" i="10"/>
  <c r="EK93" i="10"/>
  <c r="FI119" i="9" l="1"/>
  <c r="FP119" i="9" l="1"/>
  <c r="EM32" i="10"/>
  <c r="EK134" i="10"/>
  <c r="EM29" i="11"/>
  <c r="EM61" i="10" l="1"/>
  <c r="EM62" i="10" s="1"/>
  <c r="EM79" i="10"/>
  <c r="EL52" i="11"/>
  <c r="EM52" i="11"/>
  <c r="EL54" i="11" l="1"/>
  <c r="EM53" i="11" l="1"/>
  <c r="EM54" i="11" s="1"/>
  <c r="EJ220" i="10" l="1"/>
  <c r="EJ20" i="10"/>
  <c r="EJ169" i="10"/>
  <c r="EJ65" i="10"/>
  <c r="EJ216" i="10" s="1"/>
  <c r="FI131" i="9"/>
  <c r="EN53" i="11"/>
  <c r="FI134" i="9" l="1"/>
  <c r="FI136" i="9" s="1"/>
  <c r="FI143" i="9" s="1"/>
  <c r="FI144" i="9" s="1"/>
  <c r="EK220" i="10"/>
  <c r="EK169" i="10"/>
  <c r="EK20" i="10"/>
  <c r="EK65" i="10"/>
  <c r="EK216" i="10" s="1"/>
  <c r="EK96" i="10"/>
  <c r="EK98" i="10" s="1"/>
  <c r="FJ131" i="9"/>
  <c r="EJ168" i="10"/>
  <c r="EJ167" i="10"/>
  <c r="EJ56" i="10"/>
  <c r="EJ27" i="10"/>
  <c r="EK56" i="10" l="1"/>
  <c r="EK168" i="10"/>
  <c r="EK167" i="10"/>
  <c r="EK27" i="10"/>
  <c r="FJ134" i="9"/>
  <c r="FJ136" i="9" s="1"/>
  <c r="FJ143" i="9" s="1"/>
  <c r="FJ144" i="9" s="1"/>
  <c r="EJ218" i="10"/>
  <c r="EJ55" i="10"/>
  <c r="EJ172" i="10"/>
  <c r="EJ217" i="10"/>
  <c r="EK172" i="10" l="1"/>
  <c r="EK218" i="10"/>
  <c r="EK55" i="10"/>
  <c r="EK217" i="10"/>
  <c r="FI49" i="9" l="1"/>
  <c r="FI53" i="9" s="1"/>
  <c r="FI121" i="9"/>
  <c r="FI71" i="9"/>
  <c r="FI50" i="9" s="1"/>
  <c r="FI56" i="9" l="1"/>
  <c r="DQ335" i="31" l="1"/>
  <c r="DW329" i="31" l="1"/>
  <c r="EB329" i="31" l="1"/>
  <c r="DW330" i="31"/>
  <c r="DX329" i="31"/>
  <c r="EG329" i="31" l="1"/>
  <c r="EG330" i="31" s="1"/>
  <c r="EB330" i="31"/>
  <c r="DX334" i="31"/>
  <c r="DX335" i="31" s="1"/>
  <c r="DX330" i="31"/>
  <c r="DW336" i="31"/>
  <c r="EB336" i="31" l="1"/>
  <c r="EG336" i="31"/>
  <c r="DX336" i="31"/>
  <c r="DU517" i="31" l="1"/>
  <c r="DU515" i="31"/>
  <c r="DU464" i="31" l="1"/>
  <c r="DU523" i="31"/>
  <c r="DU471" i="31"/>
  <c r="DU472" i="31" s="1"/>
  <c r="DU467" i="31"/>
  <c r="DU473" i="31" l="1"/>
  <c r="EK124" i="10" l="1"/>
  <c r="EM124" i="10" s="1"/>
  <c r="EM125" i="10" s="1"/>
  <c r="EN123" i="10" s="1"/>
  <c r="EN124" i="10" s="1"/>
  <c r="EM51" i="10" l="1"/>
  <c r="ER123" i="10"/>
  <c r="EN188" i="10" l="1"/>
  <c r="EN190" i="10"/>
  <c r="EM188" i="10"/>
  <c r="EM190" i="10"/>
  <c r="EK129" i="10" l="1"/>
  <c r="EM129" i="10" s="1"/>
  <c r="EM131" i="10" s="1"/>
  <c r="EN128" i="10" s="1"/>
  <c r="EN129" i="10" s="1"/>
  <c r="FJ119" i="9"/>
  <c r="FJ121" i="9" l="1"/>
  <c r="FQ119" i="9"/>
  <c r="EO128" i="10"/>
  <c r="ER128" i="10"/>
  <c r="EK149" i="10"/>
  <c r="EK150" i="10"/>
  <c r="EK137" i="10"/>
  <c r="EM137" i="10" l="1"/>
  <c r="EK146" i="10"/>
  <c r="EK143" i="10"/>
  <c r="EM139" i="10" l="1"/>
  <c r="EK147" i="10"/>
  <c r="EK148" i="10" s="1"/>
  <c r="EN36" i="11"/>
  <c r="EN134" i="10" l="1"/>
  <c r="ER134" i="10"/>
  <c r="EM150" i="10"/>
  <c r="EM144" i="10"/>
  <c r="EM140" i="10"/>
  <c r="EO36" i="11"/>
  <c r="EM142" i="10" l="1"/>
  <c r="EM143" i="10"/>
  <c r="EM146" i="10"/>
  <c r="EM147" i="10" s="1"/>
  <c r="EM148" i="10" s="1"/>
  <c r="FL119" i="9"/>
  <c r="FS119" i="9" l="1"/>
  <c r="FK119" i="9"/>
  <c r="FR119" i="9" l="1"/>
  <c r="EK154" i="10" l="1"/>
  <c r="EM154" i="10" s="1"/>
  <c r="EM155" i="10" s="1"/>
  <c r="EN153" i="10" s="1"/>
  <c r="EN154" i="10" s="1"/>
  <c r="ER153" i="10" l="1"/>
  <c r="EQ153" i="10" l="1"/>
  <c r="ER23" i="10" l="1"/>
  <c r="EK159" i="10" l="1"/>
  <c r="EM159" i="10" s="1"/>
  <c r="EM161" i="10" s="1"/>
  <c r="EK163" i="10"/>
  <c r="EM163" i="10" l="1"/>
  <c r="EN158" i="10"/>
  <c r="ER158" i="10"/>
  <c r="EK196" i="10" l="1"/>
  <c r="EM196" i="10" s="1"/>
  <c r="EM197" i="10" s="1"/>
  <c r="EN195" i="10" s="1"/>
  <c r="EN196" i="10" s="1"/>
  <c r="ER195" i="10" l="1"/>
  <c r="EQ195" i="10"/>
  <c r="EQ196" i="10" s="1"/>
  <c r="ER196" i="10" s="1"/>
  <c r="EK206" i="10"/>
  <c r="EM206" i="10" s="1"/>
  <c r="EM207" i="10" s="1"/>
  <c r="EN205" i="10" s="1"/>
  <c r="EN206" i="10" s="1"/>
  <c r="ER197" i="10" l="1"/>
  <c r="EW195" i="10" s="1"/>
  <c r="ER205" i="10"/>
  <c r="EM31" i="10"/>
  <c r="EL36" i="10"/>
  <c r="FK138" i="9"/>
  <c r="FK140" i="9" s="1"/>
  <c r="FK142" i="9" s="1"/>
  <c r="EM91" i="10" l="1"/>
  <c r="ES195" i="10"/>
  <c r="ES196" i="10" s="1"/>
  <c r="EW196" i="10" s="1"/>
  <c r="EW197" i="10" s="1"/>
  <c r="EX195" i="10" s="1"/>
  <c r="EX196" i="10" s="1"/>
  <c r="EM95" i="10"/>
  <c r="EL41" i="10"/>
  <c r="FL138" i="9"/>
  <c r="P128" i="204"/>
  <c r="EM36" i="10"/>
  <c r="EN48" i="11"/>
  <c r="EZ195" i="10" l="1"/>
  <c r="EZ197" i="10" s="1"/>
  <c r="FA195" i="10" s="1"/>
  <c r="FA197" i="10" s="1"/>
  <c r="FB195" i="10"/>
  <c r="FB197" i="10" s="1"/>
  <c r="FC195" i="10" s="1"/>
  <c r="FC197" i="10" s="1"/>
  <c r="FD195" i="10" s="1"/>
  <c r="FD197" i="10" s="1"/>
  <c r="FE195" i="10" s="1"/>
  <c r="FE197" i="10" s="1"/>
  <c r="FF195" i="10" s="1"/>
  <c r="FF197" i="10" s="1"/>
  <c r="FG195" i="10" s="1"/>
  <c r="FG197" i="10" s="1"/>
  <c r="FN138" i="9"/>
  <c r="FM138" i="9"/>
  <c r="EQ205" i="10"/>
  <c r="EQ206" i="10" s="1"/>
  <c r="ER206" i="10" s="1"/>
  <c r="ER207" i="10" s="1"/>
  <c r="EM41" i="10"/>
  <c r="P135" i="204"/>
  <c r="P140" i="204" s="1"/>
  <c r="Q121" i="204"/>
  <c r="EO48" i="11"/>
  <c r="FL140" i="9"/>
  <c r="FL142" i="9" s="1"/>
  <c r="EO95" i="10"/>
  <c r="ES205" i="10" l="1"/>
  <c r="ES206" i="10" s="1"/>
  <c r="EW206" i="10" s="1"/>
  <c r="EW205" i="10"/>
  <c r="FM140" i="9"/>
  <c r="FM142" i="9" s="1"/>
  <c r="FN140" i="9"/>
  <c r="FN142" i="9" s="1"/>
  <c r="FV138" i="9"/>
  <c r="ER31" i="10"/>
  <c r="FW138" i="9"/>
  <c r="EW207" i="10" l="1"/>
  <c r="EX205" i="10" s="1"/>
  <c r="EX206" i="10" s="1"/>
  <c r="FA206" i="10" s="1"/>
  <c r="ET43" i="11"/>
  <c r="ET42" i="11"/>
  <c r="FX138" i="9"/>
  <c r="Q128" i="204"/>
  <c r="Q135" i="204" s="1"/>
  <c r="FB205" i="10" l="1"/>
  <c r="FB207" i="10" s="1"/>
  <c r="FC205" i="10" s="1"/>
  <c r="FC207" i="10" s="1"/>
  <c r="FC31" i="10" s="1"/>
  <c r="FZ138" i="9"/>
  <c r="R121" i="204"/>
  <c r="FD205" i="10" l="1"/>
  <c r="FD207" i="10" s="1"/>
  <c r="FD31" i="10" s="1"/>
  <c r="GA138" i="9"/>
  <c r="GD138" i="9"/>
  <c r="EZ205" i="10"/>
  <c r="EZ207" i="10" s="1"/>
  <c r="GI138" i="9"/>
  <c r="T128" i="204"/>
  <c r="U121" i="204" s="1"/>
  <c r="EK211" i="10"/>
  <c r="EM211" i="10" s="1"/>
  <c r="EM212" i="10" s="1"/>
  <c r="EN210" i="10" s="1"/>
  <c r="EN211" i="10" s="1"/>
  <c r="GE138" i="9" l="1"/>
  <c r="FE205" i="10"/>
  <c r="FE207" i="10" s="1"/>
  <c r="FE31" i="10" s="1"/>
  <c r="FA205" i="10"/>
  <c r="FA207" i="10" s="1"/>
  <c r="FA31" i="10" s="1"/>
  <c r="EZ31" i="10"/>
  <c r="GB138" i="9"/>
  <c r="U128" i="204"/>
  <c r="FF43" i="11"/>
  <c r="FF42" i="11"/>
  <c r="GJ138" i="9"/>
  <c r="ER210" i="10"/>
  <c r="FK125" i="9"/>
  <c r="FK80" i="9"/>
  <c r="FK37" i="9"/>
  <c r="FK70" i="9"/>
  <c r="GF138" i="9" l="1"/>
  <c r="FL37" i="9"/>
  <c r="FF205" i="10"/>
  <c r="FF207" i="10" s="1"/>
  <c r="FG205" i="10" s="1"/>
  <c r="FG207" i="10" s="1"/>
  <c r="FG31" i="10" s="1"/>
  <c r="GC138" i="9"/>
  <c r="R128" i="204"/>
  <c r="S121" i="204" s="1"/>
  <c r="FB42" i="11"/>
  <c r="FB43" i="11"/>
  <c r="FB31" i="10"/>
  <c r="GG138" i="9"/>
  <c r="FC43" i="11"/>
  <c r="FC42" i="11"/>
  <c r="U135" i="204"/>
  <c r="V121" i="204"/>
  <c r="V128" i="204"/>
  <c r="FG42" i="11"/>
  <c r="GK138" i="9"/>
  <c r="FG43" i="11"/>
  <c r="EQ210" i="10"/>
  <c r="EQ211" i="10" s="1"/>
  <c r="ER211" i="10" s="1"/>
  <c r="ER212" i="10" s="1"/>
  <c r="EW210" i="10" s="1"/>
  <c r="FL126" i="9"/>
  <c r="FL39" i="9"/>
  <c r="FK126" i="9"/>
  <c r="FK127" i="9" s="1"/>
  <c r="FK122" i="9"/>
  <c r="GM138" i="9" l="1"/>
  <c r="FF31" i="10"/>
  <c r="X128" i="204"/>
  <c r="R135" i="204"/>
  <c r="FD43" i="11"/>
  <c r="FD42" i="11"/>
  <c r="S128" i="204"/>
  <c r="GH138" i="9"/>
  <c r="FE43" i="11"/>
  <c r="FE42" i="11"/>
  <c r="ES210" i="10"/>
  <c r="ES211" i="10" s="1"/>
  <c r="EW211" i="10" s="1"/>
  <c r="EW212" i="10" s="1"/>
  <c r="EX210" i="10" s="1"/>
  <c r="EX211" i="10" s="1"/>
  <c r="FB211" i="10" s="1"/>
  <c r="V135" i="204"/>
  <c r="W121" i="204"/>
  <c r="FV139" i="9"/>
  <c r="FW139" i="9"/>
  <c r="ER37" i="10"/>
  <c r="EQ95" i="10"/>
  <c r="FL80" i="9"/>
  <c r="FL70" i="9"/>
  <c r="FL125" i="9"/>
  <c r="FL127" i="9" s="1"/>
  <c r="FL122" i="9"/>
  <c r="FK81" i="9"/>
  <c r="FK84" i="9" s="1"/>
  <c r="FK72" i="9"/>
  <c r="EL176" i="10" s="1"/>
  <c r="FK55" i="9"/>
  <c r="FK52" i="9"/>
  <c r="FK41" i="9"/>
  <c r="FI42" i="11" l="1"/>
  <c r="FK49" i="9"/>
  <c r="FK56" i="9" s="1"/>
  <c r="FD211" i="10"/>
  <c r="FF211" i="10"/>
  <c r="FG211" i="10"/>
  <c r="FC211" i="10"/>
  <c r="FE211" i="10"/>
  <c r="W128" i="204"/>
  <c r="X121" i="204" s="1"/>
  <c r="X135" i="204" s="1"/>
  <c r="GL138" i="9"/>
  <c r="FH42" i="11"/>
  <c r="FI43" i="11"/>
  <c r="FH43" i="11"/>
  <c r="FB210" i="10"/>
  <c r="FB212" i="10" s="1"/>
  <c r="FC210" i="10" s="1"/>
  <c r="T121" i="204"/>
  <c r="T135" i="204" s="1"/>
  <c r="S135" i="204"/>
  <c r="ET45" i="11"/>
  <c r="ET44" i="11"/>
  <c r="FW140" i="9"/>
  <c r="FW142" i="9" s="1"/>
  <c r="FV140" i="9"/>
  <c r="FV142" i="9" s="1"/>
  <c r="Q129" i="204"/>
  <c r="Q136" i="204" s="1"/>
  <c r="Q140" i="204" s="1"/>
  <c r="FX139" i="9"/>
  <c r="ER95" i="10"/>
  <c r="FZ139" i="9"/>
  <c r="FL41" i="9"/>
  <c r="FK82" i="9"/>
  <c r="FK83" i="9" s="1"/>
  <c r="FK121" i="9"/>
  <c r="FK71" i="9"/>
  <c r="FK50" i="9" s="1"/>
  <c r="FL43" i="9" l="1"/>
  <c r="FK53" i="9"/>
  <c r="FC212" i="10"/>
  <c r="W135" i="204"/>
  <c r="FY143" i="9"/>
  <c r="FY144" i="9" s="1"/>
  <c r="FY140" i="9"/>
  <c r="FY141" i="9" s="1"/>
  <c r="FZ140" i="9"/>
  <c r="FZ142" i="9" s="1"/>
  <c r="FZ143" i="9" s="1"/>
  <c r="FZ144" i="9" s="1"/>
  <c r="GA139" i="9"/>
  <c r="GA140" i="9" s="1"/>
  <c r="GA142" i="9" s="1"/>
  <c r="GA143" i="9" s="1"/>
  <c r="GA144" i="9" s="1"/>
  <c r="FX140" i="9"/>
  <c r="FX142" i="9" s="1"/>
  <c r="FL49" i="9"/>
  <c r="FL53" i="9" s="1"/>
  <c r="FL71" i="9"/>
  <c r="FL5" i="9"/>
  <c r="FL55" i="9"/>
  <c r="FL64" i="9" s="1"/>
  <c r="FL81" i="9"/>
  <c r="FL84" i="9" s="1"/>
  <c r="FL52" i="9"/>
  <c r="FL121" i="9"/>
  <c r="FL72" i="9"/>
  <c r="GD139" i="9" l="1"/>
  <c r="EZ210" i="10"/>
  <c r="EZ212" i="10" s="1"/>
  <c r="GE139" i="9"/>
  <c r="EM176" i="10"/>
  <c r="GB139" i="9"/>
  <c r="FL56" i="9"/>
  <c r="FL82" i="9"/>
  <c r="FL83" i="9" s="1"/>
  <c r="FL50" i="9"/>
  <c r="FL8" i="9"/>
  <c r="GE140" i="9" l="1"/>
  <c r="GE141" i="9" s="1"/>
  <c r="EZ37" i="10"/>
  <c r="FA210" i="10"/>
  <c r="FA212" i="10" s="1"/>
  <c r="FA37" i="10" s="1"/>
  <c r="GC139" i="9"/>
  <c r="GD140" i="9" s="1"/>
  <c r="GD141" i="9" s="1"/>
  <c r="GG141" i="9" s="1"/>
  <c r="R129" i="204"/>
  <c r="R136" i="204" s="1"/>
  <c r="R140" i="204" s="1"/>
  <c r="GB140" i="9"/>
  <c r="GB142" i="9" s="1"/>
  <c r="GC142" i="9" s="1"/>
  <c r="GF139" i="9" l="1"/>
  <c r="GF140" i="9" s="1"/>
  <c r="GF142" i="9" s="1"/>
  <c r="GE143" i="9"/>
  <c r="GE144" i="9" s="1"/>
  <c r="FB45" i="11"/>
  <c r="FB44" i="11"/>
  <c r="EZ95" i="10"/>
  <c r="FB37" i="10"/>
  <c r="FC45" i="11"/>
  <c r="GG139" i="9"/>
  <c r="FC44" i="11"/>
  <c r="FA95" i="10"/>
  <c r="GC140" i="9"/>
  <c r="FK57" i="9"/>
  <c r="FK54" i="9"/>
  <c r="FK44" i="9"/>
  <c r="FL44" i="9" s="1"/>
  <c r="FD45" i="11" l="1"/>
  <c r="S129" i="204"/>
  <c r="S136" i="204" s="1"/>
  <c r="S140" i="204" s="1"/>
  <c r="GH139" i="9"/>
  <c r="FB95" i="10"/>
  <c r="GG140" i="9"/>
  <c r="FD44" i="11"/>
  <c r="EL52" i="10"/>
  <c r="EM50" i="10"/>
  <c r="FL45" i="9"/>
  <c r="EM185" i="10" l="1"/>
  <c r="GG142" i="9"/>
  <c r="GH142" i="9" s="1"/>
  <c r="GH140" i="9"/>
  <c r="EL192" i="10"/>
  <c r="EL191" i="10" s="1"/>
  <c r="EL92" i="10"/>
  <c r="FL54" i="9"/>
  <c r="FL57" i="9"/>
  <c r="EM52" i="10"/>
  <c r="EL54" i="10"/>
  <c r="EL180" i="10"/>
  <c r="EL179" i="10"/>
  <c r="EL173" i="10"/>
  <c r="EL93" i="10" l="1"/>
  <c r="EN184" i="10"/>
  <c r="EM192" i="10"/>
  <c r="EM191" i="10" s="1"/>
  <c r="EM92" i="10"/>
  <c r="EL181" i="10"/>
  <c r="EM179" i="10"/>
  <c r="ER184" i="10"/>
  <c r="EM173" i="10"/>
  <c r="EM180" i="10"/>
  <c r="EM54" i="10"/>
  <c r="EM93" i="10" l="1"/>
  <c r="EM181" i="10"/>
  <c r="DY215" i="31" l="1"/>
  <c r="DT215" i="31"/>
  <c r="DT205" i="31"/>
  <c r="DT191" i="31"/>
  <c r="DT208" i="31"/>
  <c r="DT210" i="31"/>
  <c r="DT209" i="31" s="1"/>
  <c r="DT212" i="31" l="1"/>
  <c r="DY212" i="31"/>
  <c r="DY213" i="31"/>
  <c r="DT213" i="31"/>
  <c r="DY191" i="31"/>
  <c r="EI202" i="31"/>
  <c r="DT193" i="31"/>
  <c r="DT196" i="31"/>
  <c r="EH202" i="31" l="1"/>
  <c r="EH208" i="31" s="1"/>
  <c r="DY196" i="31"/>
  <c r="EI203" i="31"/>
  <c r="EJ202" i="31"/>
  <c r="DT199" i="31"/>
  <c r="DW215" i="31"/>
  <c r="EH203" i="31" l="1"/>
  <c r="DW190" i="31"/>
  <c r="EI215" i="31"/>
  <c r="EI205" i="31"/>
  <c r="EJ203" i="31"/>
  <c r="EJ215" i="31" s="1"/>
  <c r="EK202" i="31"/>
  <c r="DX215" i="31"/>
  <c r="EH210" i="31" l="1"/>
  <c r="EH209" i="31"/>
  <c r="EH215" i="31"/>
  <c r="EH205" i="31"/>
  <c r="EI213" i="31"/>
  <c r="EK203" i="31"/>
  <c r="EJ205" i="31"/>
  <c r="EL202" i="31"/>
  <c r="EH213" i="31" l="1"/>
  <c r="EK205" i="31"/>
  <c r="EL203" i="31"/>
  <c r="EK215" i="31"/>
  <c r="EJ213" i="31"/>
  <c r="EM202" i="31"/>
  <c r="EK213" i="31" l="1"/>
  <c r="EL205" i="31"/>
  <c r="EM203" i="31"/>
  <c r="EL215" i="31"/>
  <c r="EN202" i="31"/>
  <c r="EL213" i="31" l="1"/>
  <c r="EN203" i="31"/>
  <c r="EM215" i="31"/>
  <c r="EM205" i="31"/>
  <c r="EO202" i="31"/>
  <c r="EN205" i="31" l="1"/>
  <c r="EN215" i="31"/>
  <c r="EO203" i="31"/>
  <c r="EM213" i="31"/>
  <c r="EP202" i="31"/>
  <c r="EP203" i="31" l="1"/>
  <c r="EP205" i="31" s="1"/>
  <c r="EO215" i="31"/>
  <c r="EN213" i="31"/>
  <c r="EO205" i="31"/>
  <c r="EQ202" i="31"/>
  <c r="EQ203" i="31" l="1"/>
  <c r="EP215" i="31"/>
  <c r="EO213" i="31"/>
  <c r="EP213" i="31"/>
  <c r="ER202" i="31"/>
  <c r="EQ205" i="31" l="1"/>
  <c r="ER203" i="31"/>
  <c r="EQ215" i="31"/>
  <c r="ES202" i="31"/>
  <c r="EQ213" i="31" l="1"/>
  <c r="ES203" i="31"/>
  <c r="ER215" i="31"/>
  <c r="ER205" i="31"/>
  <c r="ET202" i="31"/>
  <c r="ES205" i="31" l="1"/>
  <c r="ER213" i="31"/>
  <c r="ET203" i="31"/>
  <c r="EU203" i="31" s="1"/>
  <c r="EV203" i="31" s="1"/>
  <c r="EW203" i="31" s="1"/>
  <c r="ES215" i="31"/>
  <c r="EU202" i="31"/>
  <c r="ES213" i="31" l="1"/>
  <c r="ET205" i="31"/>
  <c r="ET213" i="31" s="1"/>
  <c r="EU205" i="31"/>
  <c r="EV202" i="31"/>
  <c r="EU213" i="31" l="1"/>
  <c r="EW202" i="31"/>
  <c r="EV205" i="31"/>
  <c r="EV213" i="31" l="1"/>
  <c r="EW205" i="31"/>
  <c r="EW213" i="31" l="1"/>
  <c r="DS185" i="31" l="1"/>
  <c r="DS182" i="31"/>
  <c r="DS186" i="31"/>
  <c r="DS187" i="31" s="1"/>
  <c r="DT70" i="31"/>
  <c r="DT181" i="31"/>
  <c r="DY186" i="31" s="1"/>
  <c r="DY187" i="31" s="1"/>
  <c r="DS188" i="31" l="1"/>
  <c r="DX188" i="31"/>
  <c r="DT182" i="31"/>
  <c r="DY188" i="31" s="1"/>
  <c r="DT185" i="31"/>
  <c r="DT186" i="31"/>
  <c r="DT187" i="31" s="1"/>
  <c r="DT188" i="31" l="1"/>
  <c r="EH185" i="31" l="1"/>
  <c r="EJ180" i="31"/>
  <c r="EK180" i="31" l="1"/>
  <c r="EL180" i="31" l="1"/>
  <c r="EM180" i="31" l="1"/>
  <c r="EN180" i="31" s="1"/>
  <c r="EO180" i="31" s="1"/>
  <c r="EP180" i="31" l="1"/>
  <c r="DT177" i="31"/>
  <c r="DT174" i="31"/>
  <c r="DT175" i="31"/>
  <c r="DT176" i="31" s="1"/>
  <c r="EQ180" i="31" l="1"/>
  <c r="ER180" i="31" l="1"/>
  <c r="DT72" i="31"/>
  <c r="DT75" i="31"/>
  <c r="DT133" i="31"/>
  <c r="DT130" i="31"/>
  <c r="DT71" i="31"/>
  <c r="DT131" i="31"/>
  <c r="DT132" i="31" s="1"/>
  <c r="ES180" i="31" l="1"/>
  <c r="DT78" i="31"/>
  <c r="DT76" i="31"/>
  <c r="DT77" i="31" s="1"/>
  <c r="DX76" i="31" l="1"/>
  <c r="DX77" i="31" s="1"/>
  <c r="DX127" i="31"/>
  <c r="DX133" i="31" l="1"/>
  <c r="DX69" i="31"/>
  <c r="DX75" i="31"/>
  <c r="DX72" i="31"/>
  <c r="DX78" i="31" l="1"/>
  <c r="DS456" i="31" l="1"/>
  <c r="DT455" i="31"/>
  <c r="DT460" i="31" s="1"/>
  <c r="DT461" i="31" s="1"/>
  <c r="DT454" i="31"/>
  <c r="DS462" i="31" l="1"/>
  <c r="DX462" i="31"/>
  <c r="DT264" i="31"/>
  <c r="DT269" i="31" s="1"/>
  <c r="DT270" i="31" s="1"/>
  <c r="DT456" i="31"/>
  <c r="DT462" i="31" s="1"/>
  <c r="DT459" i="31"/>
  <c r="DT263" i="31"/>
  <c r="DT268" i="31" s="1"/>
  <c r="DT265" i="31" l="1"/>
  <c r="DT271" i="31" l="1"/>
  <c r="DX262" i="31" l="1"/>
  <c r="DS520" i="31" l="1"/>
  <c r="DS517" i="31"/>
  <c r="DX523" i="31" s="1"/>
  <c r="DS509" i="31"/>
  <c r="DT511" i="31"/>
  <c r="DT509" i="31" l="1"/>
  <c r="DT517" i="31"/>
  <c r="DT520" i="31"/>
  <c r="DS523" i="31"/>
  <c r="DT523" i="31" l="1"/>
  <c r="DT548" i="31" l="1"/>
  <c r="DY553" i="31" s="1"/>
  <c r="DT553" i="31" l="1"/>
  <c r="DT465" i="31"/>
  <c r="DT470" i="31" s="1"/>
  <c r="DT885" i="31" l="1"/>
  <c r="DT890" i="31" l="1"/>
  <c r="DT23" i="31"/>
  <c r="FL22" i="9" s="1"/>
  <c r="DT34" i="31"/>
  <c r="DT15" i="31" l="1"/>
  <c r="FS102" i="9"/>
  <c r="FS114" i="9" s="1"/>
  <c r="FL92" i="9"/>
  <c r="DT39" i="31"/>
  <c r="DT28" i="31"/>
  <c r="EJ548" i="31"/>
  <c r="FS92" i="9" l="1"/>
  <c r="EK548" i="31"/>
  <c r="EL548" i="31" l="1"/>
  <c r="EM548" i="31" l="1"/>
  <c r="EN548" i="31" l="1"/>
  <c r="EO548" i="31" s="1"/>
  <c r="EP548" i="31" l="1"/>
  <c r="DS550" i="31"/>
  <c r="DT549" i="31"/>
  <c r="DY554" i="31" s="1"/>
  <c r="DY555" i="31" s="1"/>
  <c r="EQ548" i="31" l="1"/>
  <c r="DS556" i="31"/>
  <c r="DX556" i="31"/>
  <c r="DT550" i="31"/>
  <c r="DT554" i="31"/>
  <c r="DT555" i="31" s="1"/>
  <c r="DT466" i="31"/>
  <c r="DT467" i="31" s="1"/>
  <c r="ER548" i="31" l="1"/>
  <c r="DY556" i="31"/>
  <c r="DT556" i="31"/>
  <c r="DT471" i="31"/>
  <c r="DT472" i="31" s="1"/>
  <c r="DT473" i="31"/>
  <c r="ES548" i="31" l="1"/>
  <c r="EJ549" i="31"/>
  <c r="EJ550" i="31" l="1"/>
  <c r="EK549" i="31"/>
  <c r="EK550" i="31" l="1"/>
  <c r="EL549" i="31"/>
  <c r="EJ556" i="31"/>
  <c r="EK556" i="31" l="1"/>
  <c r="EM549" i="31"/>
  <c r="EL550" i="31"/>
  <c r="EL556" i="31" l="1"/>
  <c r="EM550" i="31"/>
  <c r="EN549" i="31"/>
  <c r="EO549" i="31" s="1"/>
  <c r="EP549" i="31" l="1"/>
  <c r="EO550" i="31"/>
  <c r="EM556" i="31"/>
  <c r="EN550" i="31"/>
  <c r="EO556" i="31" l="1"/>
  <c r="EQ549" i="31"/>
  <c r="EP550" i="31"/>
  <c r="EN556" i="31"/>
  <c r="EP556" i="31" l="1"/>
  <c r="ER549" i="31"/>
  <c r="EQ550" i="31"/>
  <c r="EQ556" i="31" l="1"/>
  <c r="ES549" i="31"/>
  <c r="ES550" i="31" s="1"/>
  <c r="ER550" i="31"/>
  <c r="ER556" i="31" l="1"/>
  <c r="ES556" i="31"/>
  <c r="DT759" i="31" l="1"/>
  <c r="DP764" i="31"/>
  <c r="DP765" i="31" s="1"/>
  <c r="DP760" i="31"/>
  <c r="DT760" i="31" l="1"/>
  <c r="DP766" i="31"/>
  <c r="DT764" i="31"/>
  <c r="DT765" i="31" s="1"/>
  <c r="DT886" i="31" l="1"/>
  <c r="DT24" i="31" s="1"/>
  <c r="DT698" i="31"/>
  <c r="DT699" i="31" s="1"/>
  <c r="DT766" i="31"/>
  <c r="DU698" i="31"/>
  <c r="DU699" i="31" s="1"/>
  <c r="DU694" i="31"/>
  <c r="DY694" i="31" s="1"/>
  <c r="DY700" i="31" l="1"/>
  <c r="DU700" i="31"/>
  <c r="DU35" i="31"/>
  <c r="DU891" i="31"/>
  <c r="DU892" i="31" s="1"/>
  <c r="DU887" i="31"/>
  <c r="DT700" i="31"/>
  <c r="DT887" i="31"/>
  <c r="DT25" i="31" s="1"/>
  <c r="DT891" i="31"/>
  <c r="DT892" i="31" s="1"/>
  <c r="DT35" i="31"/>
  <c r="FS103" i="9" l="1"/>
  <c r="FS115" i="9" s="1"/>
  <c r="DU25" i="31"/>
  <c r="DZ20" i="31" s="1"/>
  <c r="FT103" i="9"/>
  <c r="FT115" i="9" s="1"/>
  <c r="DT16" i="31"/>
  <c r="FL93" i="9"/>
  <c r="FS93" i="9" s="1"/>
  <c r="DT40" i="31"/>
  <c r="DT41" i="31" s="1"/>
  <c r="DT36" i="31"/>
  <c r="FM93" i="9"/>
  <c r="FT93" i="9" s="1"/>
  <c r="DU40" i="31"/>
  <c r="DU41" i="31" s="1"/>
  <c r="DU16" i="31"/>
  <c r="DU36" i="31"/>
  <c r="DT893" i="31"/>
  <c r="FL23" i="9"/>
  <c r="DT29" i="31"/>
  <c r="DT30" i="31" s="1"/>
  <c r="DU893" i="31"/>
  <c r="FS104" i="9" l="1"/>
  <c r="FM108" i="9"/>
  <c r="FL112" i="9"/>
  <c r="FT104" i="9"/>
  <c r="FM104" i="9"/>
  <c r="DU42" i="31"/>
  <c r="FM94" i="9"/>
  <c r="DU17" i="31"/>
  <c r="FL94" i="9"/>
  <c r="FL111" i="9"/>
  <c r="FL107" i="9"/>
  <c r="DT31" i="31"/>
  <c r="FL106" i="9"/>
  <c r="FL110" i="9"/>
  <c r="FL102" i="9"/>
  <c r="FL108" i="9"/>
  <c r="FL103" i="9"/>
  <c r="DT42" i="31"/>
  <c r="DT17" i="31"/>
  <c r="FL104" i="9"/>
  <c r="FL114" i="9" l="1"/>
  <c r="FL115" i="9"/>
  <c r="FL116" i="9" l="1"/>
  <c r="FX126" i="9" l="1"/>
  <c r="EN16" i="11" l="1"/>
  <c r="EN17" i="11"/>
  <c r="EN18" i="11"/>
  <c r="EN19" i="11"/>
  <c r="EN20" i="11"/>
  <c r="EN22" i="11"/>
  <c r="EN23" i="11"/>
  <c r="EN24" i="11"/>
  <c r="EN25" i="11" l="1"/>
  <c r="EN26" i="11"/>
  <c r="EN27" i="11"/>
  <c r="EO28" i="11"/>
  <c r="EO29" i="11" l="1"/>
  <c r="EN28" i="11"/>
  <c r="EO52" i="11" l="1"/>
  <c r="EN29" i="11"/>
  <c r="EN52" i="11" l="1"/>
  <c r="EO54" i="11"/>
  <c r="EN54" i="11"/>
  <c r="EM14" i="10" l="1"/>
  <c r="EP53" i="11"/>
  <c r="EP54" i="11" s="1"/>
  <c r="EQ53" i="11" s="1"/>
  <c r="EQ54" i="11" s="1"/>
  <c r="ER53" i="11" s="1"/>
  <c r="ER54" i="11" s="1"/>
  <c r="ET53" i="11"/>
  <c r="EM65" i="10" l="1"/>
  <c r="EM216" i="10" s="1"/>
  <c r="EM96" i="10"/>
  <c r="EM98" i="10" s="1"/>
  <c r="EM169" i="10"/>
  <c r="P125" i="204"/>
  <c r="P132" i="204" s="1"/>
  <c r="P139" i="204" s="1"/>
  <c r="P141" i="204" s="1"/>
  <c r="FL131" i="9"/>
  <c r="EM220" i="10"/>
  <c r="FK131" i="9"/>
  <c r="EL169" i="10"/>
  <c r="Q118" i="204" l="1"/>
  <c r="ER108" i="10"/>
  <c r="EM109" i="10"/>
  <c r="EM112" i="10"/>
  <c r="EO123" i="10" l="1"/>
  <c r="ER110" i="10" l="1"/>
  <c r="EW108" i="10" s="1"/>
  <c r="EO112" i="10"/>
  <c r="EW112" i="10" l="1"/>
  <c r="EW109" i="10"/>
  <c r="EQ112" i="10"/>
  <c r="ER109" i="10"/>
  <c r="ER112" i="10"/>
  <c r="EX108" i="10" l="1"/>
  <c r="EX109" i="10" s="1"/>
  <c r="FB108" i="10"/>
  <c r="EO190" i="10"/>
  <c r="EO188" i="10" l="1"/>
  <c r="EZ108" i="10" l="1"/>
  <c r="EZ109" i="10" s="1"/>
  <c r="FK133" i="9"/>
  <c r="FK134" i="9" s="1"/>
  <c r="FK136" i="9" s="1"/>
  <c r="FK143" i="9" s="1"/>
  <c r="FK144" i="9" s="1"/>
  <c r="EM21" i="10"/>
  <c r="EL70" i="10"/>
  <c r="EM70" i="10" l="1"/>
  <c r="FL133" i="9"/>
  <c r="FL134" i="9" l="1"/>
  <c r="FL136" i="9" s="1"/>
  <c r="FL143" i="9" s="1"/>
  <c r="FL144" i="9" l="1"/>
  <c r="P150" i="204"/>
  <c r="P152" i="204" s="1"/>
  <c r="EL97" i="10" l="1"/>
  <c r="EL20" i="10"/>
  <c r="EL68" i="10"/>
  <c r="EM18" i="10"/>
  <c r="EM97" i="10" l="1"/>
  <c r="EM20" i="10"/>
  <c r="EM68" i="10"/>
  <c r="EL56" i="10"/>
  <c r="EL27" i="10"/>
  <c r="EL168" i="10"/>
  <c r="EL167" i="10"/>
  <c r="EM56" i="10" l="1"/>
  <c r="EM27" i="10"/>
  <c r="EM168" i="10"/>
  <c r="EM167" i="10"/>
  <c r="EL217" i="10"/>
  <c r="EL218" i="10"/>
  <c r="EL55" i="10"/>
  <c r="EL172" i="10"/>
  <c r="EM217" i="10" l="1"/>
  <c r="EM55" i="10"/>
  <c r="EM218" i="10"/>
  <c r="EM172" i="10"/>
  <c r="DU714" i="31"/>
  <c r="DU715" i="31"/>
  <c r="DU716" i="31" l="1"/>
  <c r="DU56" i="31" l="1"/>
  <c r="FM88" i="9" s="1"/>
  <c r="DU61" i="31" l="1"/>
  <c r="FM22" i="9" l="1"/>
  <c r="DU28" i="31"/>
  <c r="FM23" i="9" l="1"/>
  <c r="FM24" i="9" s="1"/>
  <c r="DU57" i="31"/>
  <c r="FM89" i="9" s="1"/>
  <c r="FM90" i="9" s="1"/>
  <c r="DU29" i="31"/>
  <c r="DU30" i="31" s="1"/>
  <c r="EN84" i="10" l="1"/>
  <c r="EN77" i="10" s="1"/>
  <c r="DU62" i="31"/>
  <c r="DU63" i="31" s="1"/>
  <c r="FM70" i="9"/>
  <c r="FM67" i="9"/>
  <c r="FM65" i="9"/>
  <c r="EN174" i="10" s="1"/>
  <c r="FM66" i="9"/>
  <c r="FM72" i="9"/>
  <c r="EN176" i="10" s="1"/>
  <c r="DU58" i="31"/>
  <c r="FM75" i="9"/>
  <c r="FM112" i="9" l="1"/>
  <c r="EN69" i="10"/>
  <c r="EN59" i="10"/>
  <c r="EN62" i="10" s="1"/>
  <c r="EN74" i="10"/>
  <c r="EN75" i="10"/>
  <c r="EN76" i="10"/>
  <c r="EN67" i="10"/>
  <c r="EN79" i="10"/>
  <c r="EN70" i="10"/>
  <c r="EN73" i="10"/>
  <c r="EN68" i="10"/>
  <c r="EN66" i="10"/>
  <c r="EN144" i="10"/>
  <c r="EN65" i="10"/>
  <c r="EN216" i="10" s="1"/>
  <c r="EN78" i="10"/>
  <c r="DU64" i="31"/>
  <c r="FM106" i="9"/>
  <c r="FM103" i="9"/>
  <c r="FM107" i="9"/>
  <c r="FM102" i="9"/>
  <c r="FM110" i="9"/>
  <c r="DU31" i="31"/>
  <c r="FM111" i="9"/>
  <c r="FM78" i="9"/>
  <c r="FM77" i="9"/>
  <c r="FM29" i="9"/>
  <c r="FM76" i="9"/>
  <c r="FM69" i="9" l="1"/>
  <c r="FM37" i="9"/>
  <c r="FM68" i="9"/>
  <c r="EN175" i="10" s="1"/>
  <c r="FM114" i="9"/>
  <c r="FM115" i="9"/>
  <c r="FM133" i="9"/>
  <c r="FM79" i="9"/>
  <c r="FM126" i="9" l="1"/>
  <c r="FM116" i="9"/>
  <c r="EN36" i="10"/>
  <c r="FM80" i="9"/>
  <c r="FM125" i="9"/>
  <c r="FM122" i="9"/>
  <c r="EN169" i="10" l="1"/>
  <c r="FM127" i="9"/>
  <c r="EN41" i="10"/>
  <c r="FM81" i="9"/>
  <c r="FM84" i="9" s="1"/>
  <c r="FM52" i="9" l="1"/>
  <c r="FM82" i="9"/>
  <c r="FM83" i="9" s="1"/>
  <c r="EN52" i="10" l="1"/>
  <c r="EN92" i="10" l="1"/>
  <c r="EN179" i="10"/>
  <c r="EN180" i="10"/>
  <c r="EN173" i="10"/>
  <c r="EN192" i="10"/>
  <c r="EN191" i="10" s="1"/>
  <c r="EN54" i="10"/>
  <c r="EO184" i="10"/>
  <c r="EN181" i="10" l="1"/>
  <c r="EN93" i="10"/>
  <c r="EN20" i="10" l="1"/>
  <c r="FM131" i="9"/>
  <c r="EN168" i="10" l="1"/>
  <c r="EN167" i="10"/>
  <c r="EN27" i="10"/>
  <c r="EN56" i="10"/>
  <c r="FM134" i="9"/>
  <c r="FM136" i="9" s="1"/>
  <c r="FM143" i="9" s="1"/>
  <c r="FM144" i="9" s="1"/>
  <c r="EN218" i="10" l="1"/>
  <c r="EN172" i="10"/>
  <c r="EN217" i="10"/>
  <c r="EN55" i="10"/>
  <c r="FU107" i="9" l="1"/>
  <c r="FN97" i="9" l="1"/>
  <c r="FU97" i="9" s="1"/>
  <c r="FU106" i="9"/>
  <c r="DV51" i="31"/>
  <c r="DV52" i="31" s="1"/>
  <c r="FN96" i="9" l="1"/>
  <c r="DV47" i="31"/>
  <c r="FW96" i="9"/>
  <c r="DV50" i="31"/>
  <c r="FX96" i="9"/>
  <c r="EA53" i="31" l="1"/>
  <c r="FU108" i="9"/>
  <c r="FN98" i="9"/>
  <c r="FU96" i="9"/>
  <c r="FS98" i="9"/>
  <c r="DV53" i="31"/>
  <c r="DX50" i="31"/>
  <c r="DY50" i="31"/>
  <c r="FP98" i="9" l="1"/>
  <c r="FU98" i="9"/>
  <c r="FQ98" i="9" l="1"/>
  <c r="FM49" i="9" l="1"/>
  <c r="FM71" i="9"/>
  <c r="FM50" i="9" s="1"/>
  <c r="FM56" i="9" l="1"/>
  <c r="FM53" i="9"/>
  <c r="DY1647" i="31" l="1"/>
  <c r="DX1648" i="31"/>
  <c r="DX1652" i="31"/>
  <c r="DY1652" i="31" l="1"/>
  <c r="DY1648" i="31"/>
  <c r="DX1653" i="31"/>
  <c r="DY1653" i="31" l="1"/>
  <c r="DV886" i="31" l="1"/>
  <c r="DV698" i="31"/>
  <c r="DV699" i="31" s="1"/>
  <c r="DV697" i="31"/>
  <c r="DV24" i="31" l="1"/>
  <c r="EA891" i="31"/>
  <c r="EA892" i="31" s="1"/>
  <c r="DV700" i="31"/>
  <c r="DV35" i="31"/>
  <c r="EA40" i="31" s="1"/>
  <c r="EA41" i="31" s="1"/>
  <c r="DV891" i="31"/>
  <c r="DV892" i="31" s="1"/>
  <c r="EA29" i="31" l="1"/>
  <c r="EA30" i="31" s="1"/>
  <c r="FU103" i="9"/>
  <c r="FU115" i="9" s="1"/>
  <c r="DV16" i="31"/>
  <c r="FN93" i="9"/>
  <c r="FU93" i="9" s="1"/>
  <c r="DV40" i="31"/>
  <c r="DV41" i="31" s="1"/>
  <c r="FN23" i="9"/>
  <c r="DV29" i="31"/>
  <c r="DV30" i="31" s="1"/>
  <c r="DV515" i="31" l="1"/>
  <c r="DV508" i="31" l="1"/>
  <c r="DV887" i="31" l="1"/>
  <c r="DV890" i="31"/>
  <c r="FU102" i="9"/>
  <c r="FU114" i="9" s="1"/>
  <c r="DV25" i="31" l="1"/>
  <c r="EA893" i="31"/>
  <c r="FN92" i="9"/>
  <c r="DV36" i="31"/>
  <c r="DV15" i="31"/>
  <c r="DV39" i="31"/>
  <c r="DV893" i="31"/>
  <c r="DV28" i="31"/>
  <c r="FN22" i="9"/>
  <c r="FN24" i="9" s="1"/>
  <c r="EA31" i="31" l="1"/>
  <c r="EA20" i="31"/>
  <c r="FN108" i="9"/>
  <c r="FN112" i="9"/>
  <c r="EA42" i="31"/>
  <c r="FU104" i="9"/>
  <c r="FN104" i="9"/>
  <c r="FN94" i="9"/>
  <c r="FU92" i="9"/>
  <c r="FN110" i="9"/>
  <c r="FN111" i="9"/>
  <c r="FN107" i="9"/>
  <c r="FN106" i="9"/>
  <c r="FN103" i="9"/>
  <c r="FN102" i="9"/>
  <c r="FN72" i="9"/>
  <c r="FN67" i="9"/>
  <c r="FN29" i="9"/>
  <c r="FN66" i="9"/>
  <c r="FN65" i="9"/>
  <c r="EO174" i="10" s="1"/>
  <c r="FN75" i="9"/>
  <c r="FN84" i="9" s="1"/>
  <c r="EO84" i="10"/>
  <c r="DV31" i="31"/>
  <c r="DV17" i="31"/>
  <c r="DV42" i="31"/>
  <c r="FN69" i="9" l="1"/>
  <c r="EO144" i="10"/>
  <c r="EO78" i="10"/>
  <c r="EO69" i="10"/>
  <c r="EO66" i="10"/>
  <c r="EO65" i="10"/>
  <c r="EO77" i="10"/>
  <c r="EO68" i="10"/>
  <c r="EO79" i="10"/>
  <c r="EO76" i="10"/>
  <c r="EO67" i="10"/>
  <c r="EO59" i="10"/>
  <c r="EO75" i="10"/>
  <c r="EO73" i="10"/>
  <c r="EO74" i="10"/>
  <c r="FN115" i="9"/>
  <c r="FN114" i="9"/>
  <c r="FN79" i="9"/>
  <c r="FN68" i="9"/>
  <c r="EO86" i="10"/>
  <c r="EO61" i="10" l="1"/>
  <c r="EO60" i="10"/>
  <c r="FN116" i="9"/>
  <c r="EO175" i="10"/>
  <c r="EO62" i="10" l="1"/>
  <c r="EO97" i="10"/>
  <c r="EO36" i="10"/>
  <c r="EO41" i="10" l="1"/>
  <c r="EO176" i="10" l="1"/>
  <c r="EO185" i="10" l="1"/>
  <c r="EO52" i="10" l="1"/>
  <c r="EP184" i="10" l="1"/>
  <c r="EP191" i="10" s="1"/>
  <c r="EO54" i="10"/>
  <c r="EO192" i="10"/>
  <c r="EO191" i="10" s="1"/>
  <c r="EO173" i="10"/>
  <c r="EO179" i="10"/>
  <c r="EO180" i="10"/>
  <c r="EO92" i="10"/>
  <c r="EO93" i="10" l="1"/>
  <c r="EO181" i="10"/>
  <c r="FN38" i="9" l="1"/>
  <c r="FN155" i="9" s="1"/>
  <c r="FN125" i="9" l="1"/>
  <c r="FN80" i="9"/>
  <c r="FN37" i="9"/>
  <c r="FN49" i="9"/>
  <c r="FN56" i="9" s="1"/>
  <c r="FN70" i="9"/>
  <c r="FN71" i="9"/>
  <c r="FN50" i="9" s="1"/>
  <c r="FN122" i="9" l="1"/>
  <c r="FN53" i="9"/>
  <c r="FN126" i="9"/>
  <c r="FN127" i="9" s="1"/>
  <c r="DY575" i="31" l="1"/>
  <c r="DT572" i="31" l="1"/>
  <c r="DY578" i="31" s="1"/>
  <c r="DT1498" i="31"/>
  <c r="FN131" i="9" l="1"/>
  <c r="EO169" i="10"/>
  <c r="EO96" i="10"/>
  <c r="EO98" i="10" s="1"/>
  <c r="EO216" i="10"/>
  <c r="EO20" i="10"/>
  <c r="EO220" i="10"/>
  <c r="EO168" i="10" l="1"/>
  <c r="EO167" i="10"/>
  <c r="EO27" i="10" l="1"/>
  <c r="FN133" i="9"/>
  <c r="EO56" i="10"/>
  <c r="EO70" i="10"/>
  <c r="EO172" i="10" l="1"/>
  <c r="FN134" i="9"/>
  <c r="FN136" i="9" s="1"/>
  <c r="FN143" i="9" s="1"/>
  <c r="FN144" i="9" s="1"/>
  <c r="EO217" i="10"/>
  <c r="EO55" i="10"/>
  <c r="EO218" i="10"/>
  <c r="EN116" i="10" l="1"/>
  <c r="EQ115" i="10"/>
  <c r="EQ116" i="10" s="1"/>
  <c r="ER116" i="10" l="1"/>
  <c r="EQ103" i="10"/>
  <c r="EQ104" i="10" s="1"/>
  <c r="EQ120" i="10"/>
  <c r="FW60" i="9" s="1"/>
  <c r="EQ88" i="10" l="1"/>
  <c r="ER117" i="10"/>
  <c r="ER118" i="10" s="1"/>
  <c r="EW115" i="10" s="1"/>
  <c r="EW118" i="10" s="1"/>
  <c r="ER104" i="10"/>
  <c r="FQ52" i="9"/>
  <c r="FZ60" i="9"/>
  <c r="EQ186" i="10"/>
  <c r="ET88" i="10" l="1"/>
  <c r="ET92" i="10" s="1"/>
  <c r="EW103" i="10"/>
  <c r="EW120" i="10"/>
  <c r="GA60" i="9"/>
  <c r="FZ62" i="9"/>
  <c r="ER120" i="10"/>
  <c r="ER103" i="10"/>
  <c r="ER186" i="10"/>
  <c r="FO52" i="9"/>
  <c r="FY60" i="9"/>
  <c r="FP52" i="9"/>
  <c r="ET39" i="11"/>
  <c r="EQ215" i="10"/>
  <c r="GA62" i="9" l="1"/>
  <c r="EU88" i="10"/>
  <c r="EU92" i="10" s="1"/>
  <c r="ES88" i="10"/>
  <c r="FY62" i="9"/>
  <c r="FR52" i="9"/>
  <c r="ER215" i="10"/>
  <c r="EU106" i="10"/>
  <c r="GC60" i="9" l="1"/>
  <c r="GB60" i="9"/>
  <c r="FT52" i="9"/>
  <c r="EV106" i="10"/>
  <c r="EW106" i="10" s="1"/>
  <c r="EV88" i="10" l="1"/>
  <c r="EV92" i="10" s="1"/>
  <c r="EX106" i="10"/>
  <c r="FB106" i="10"/>
  <c r="GC61" i="9"/>
  <c r="EW88" i="10"/>
  <c r="EW92" i="10" s="1"/>
  <c r="GB62" i="9"/>
  <c r="FU52" i="9"/>
  <c r="EW87" i="10" l="1"/>
  <c r="EW215" i="10"/>
  <c r="EO124" i="10" l="1"/>
  <c r="EQ123" i="10" l="1"/>
  <c r="EQ124" i="10" s="1"/>
  <c r="ER124" i="10" s="1"/>
  <c r="ER125" i="10" s="1"/>
  <c r="EW123" i="10" s="1"/>
  <c r="ES123" i="10" l="1"/>
  <c r="ES124" i="10" s="1"/>
  <c r="EW124" i="10" s="1"/>
  <c r="EW125" i="10" s="1"/>
  <c r="EX123" i="10" s="1"/>
  <c r="EX124" i="10" s="1"/>
  <c r="ER51" i="10"/>
  <c r="EW190" i="10" l="1"/>
  <c r="EW188" i="10"/>
  <c r="ES190" i="10"/>
  <c r="ES188" i="10"/>
  <c r="EQ188" i="10"/>
  <c r="EQ190" i="10"/>
  <c r="ER190" i="10"/>
  <c r="ER188" i="10"/>
  <c r="FB123" i="10" l="1"/>
  <c r="FB125" i="10" s="1"/>
  <c r="FC123" i="10" s="1"/>
  <c r="FC125" i="10" s="1"/>
  <c r="FC51" i="10" s="1"/>
  <c r="ET40" i="11"/>
  <c r="FD123" i="10" l="1"/>
  <c r="FD125" i="10" s="1"/>
  <c r="FD51" i="10" s="1"/>
  <c r="FF40" i="11" s="1"/>
  <c r="EZ123" i="10"/>
  <c r="EZ125" i="10" s="1"/>
  <c r="FD188" i="10" l="1"/>
  <c r="FE123" i="10"/>
  <c r="FE125" i="10" s="1"/>
  <c r="FE51" i="10" s="1"/>
  <c r="FG40" i="11" s="1"/>
  <c r="FD190" i="10"/>
  <c r="FA123" i="10"/>
  <c r="FA125" i="10" s="1"/>
  <c r="FA51" i="10" s="1"/>
  <c r="EZ51" i="10"/>
  <c r="FE190" i="10" l="1"/>
  <c r="FF123" i="10"/>
  <c r="FF125" i="10" s="1"/>
  <c r="FF51" i="10" s="1"/>
  <c r="FF190" i="10" s="1"/>
  <c r="FE188" i="10"/>
  <c r="EZ190" i="10"/>
  <c r="EZ188" i="10"/>
  <c r="FB40" i="11"/>
  <c r="FA188" i="10"/>
  <c r="FA190" i="10"/>
  <c r="FB51" i="10"/>
  <c r="FC40" i="11"/>
  <c r="FF188" i="10" l="1"/>
  <c r="FH40" i="11"/>
  <c r="FG123" i="10"/>
  <c r="FG125" i="10" s="1"/>
  <c r="FG51" i="10" s="1"/>
  <c r="FG190" i="10" s="1"/>
  <c r="FD40" i="11"/>
  <c r="FB190" i="10"/>
  <c r="FB188" i="10"/>
  <c r="FC190" i="10"/>
  <c r="FC188" i="10"/>
  <c r="FE40" i="11"/>
  <c r="EO129" i="10"/>
  <c r="EQ128" i="10"/>
  <c r="FI40" i="11" l="1"/>
  <c r="FG188" i="10"/>
  <c r="FO94" i="9"/>
  <c r="FO116" i="9" l="1"/>
  <c r="FQ94" i="9"/>
  <c r="FP94" i="9" l="1"/>
  <c r="FQ116" i="9" l="1"/>
  <c r="FP116" i="9" l="1"/>
  <c r="FS94" i="9" l="1"/>
  <c r="FT94" i="9" l="1"/>
  <c r="FU94" i="9"/>
  <c r="FR94" i="9"/>
  <c r="FT116" i="9" l="1"/>
  <c r="FS116" i="9"/>
  <c r="FR116" i="9"/>
  <c r="FU116" i="9" l="1"/>
  <c r="FP126" i="9" l="1"/>
  <c r="FP38" i="9" l="1"/>
  <c r="FP71" i="9" s="1"/>
  <c r="FP50" i="9" s="1"/>
  <c r="FP70" i="9" l="1"/>
  <c r="FP122" i="9"/>
  <c r="FP49" i="9"/>
  <c r="FP125" i="9"/>
  <c r="FP127" i="9" s="1"/>
  <c r="FU80" i="9"/>
  <c r="FP56" i="9" l="1"/>
  <c r="FP53" i="9"/>
  <c r="FR126" i="9"/>
  <c r="FS37" i="9"/>
  <c r="FS39" i="9" l="1"/>
  <c r="FS126" i="9"/>
  <c r="FS41" i="9"/>
  <c r="FR38" i="9"/>
  <c r="FR70" i="9" s="1"/>
  <c r="FS38" i="9" l="1"/>
  <c r="FR125" i="9"/>
  <c r="FR127" i="9" s="1"/>
  <c r="FR49" i="9"/>
  <c r="FR122" i="9"/>
  <c r="FR71" i="9"/>
  <c r="FR50" i="9" s="1"/>
  <c r="FS70" i="9" l="1"/>
  <c r="FS71" i="9"/>
  <c r="FS125" i="9"/>
  <c r="FS127" i="9" s="1"/>
  <c r="FS49" i="9"/>
  <c r="FS56" i="9" s="1"/>
  <c r="FS43" i="9"/>
  <c r="FS122" i="9"/>
  <c r="FR56" i="9"/>
  <c r="FR53" i="9"/>
  <c r="FS5" i="9" l="1"/>
  <c r="ET173" i="10"/>
  <c r="ET172" i="10"/>
  <c r="FS53" i="9"/>
  <c r="FS50" i="9"/>
  <c r="FS52" i="9"/>
  <c r="FS55" i="9"/>
  <c r="FS72" i="9"/>
  <c r="FS45" i="9"/>
  <c r="FT126" i="9"/>
  <c r="ET176" i="10" l="1"/>
  <c r="FS54" i="9"/>
  <c r="ET185" i="10"/>
  <c r="FS8" i="9"/>
  <c r="FS57" i="9"/>
  <c r="FW126" i="9"/>
  <c r="FT38" i="9"/>
  <c r="FT49" i="9" l="1"/>
  <c r="FT56" i="9" s="1"/>
  <c r="FT71" i="9"/>
  <c r="FT50" i="9" s="1"/>
  <c r="FT125" i="9"/>
  <c r="FT70" i="9"/>
  <c r="FT80" i="9"/>
  <c r="FT122" i="9"/>
  <c r="FT53" i="9" l="1"/>
  <c r="FT127" i="9"/>
  <c r="EN135" i="10" l="1"/>
  <c r="EO135" i="10"/>
  <c r="ER135" i="10" l="1"/>
  <c r="EN136" i="10"/>
  <c r="EO136" i="10"/>
  <c r="FQ121" i="9" l="1"/>
  <c r="FO121" i="9" l="1"/>
  <c r="FS121" i="9" l="1"/>
  <c r="FP121" i="9"/>
  <c r="FR121" i="9"/>
  <c r="DW886" i="31" l="1"/>
  <c r="DX886" i="31"/>
  <c r="DW35" i="31" l="1"/>
  <c r="EB40" i="31" s="1"/>
  <c r="EB41" i="31" s="1"/>
  <c r="EB891" i="31"/>
  <c r="EB892" i="31" s="1"/>
  <c r="DW891" i="31"/>
  <c r="DW892" i="31" s="1"/>
  <c r="DX35" i="31"/>
  <c r="DX891" i="31"/>
  <c r="DX892" i="31" s="1"/>
  <c r="FV93" i="9" l="1"/>
  <c r="DW40" i="31"/>
  <c r="DW41" i="31" s="1"/>
  <c r="DW16" i="31"/>
  <c r="DX40" i="31"/>
  <c r="DX41" i="31" s="1"/>
  <c r="DX16" i="31"/>
  <c r="FW93" i="9"/>
  <c r="FZ120" i="9" l="1"/>
  <c r="GC120" i="9"/>
  <c r="GA120" i="9" l="1"/>
  <c r="GB120" i="9"/>
  <c r="GI120" i="9" l="1"/>
  <c r="GJ120" i="9"/>
  <c r="EQ158" i="10" l="1"/>
  <c r="FV143" i="9" l="1"/>
  <c r="FV144" i="9" s="1"/>
  <c r="ER24" i="10" l="1"/>
  <c r="FW143" i="9" l="1"/>
  <c r="FW144" i="9" s="1"/>
  <c r="FX143" i="9" l="1"/>
  <c r="FX144" i="9" s="1"/>
  <c r="Q150" i="204" l="1"/>
  <c r="DZ1244" i="31" l="1"/>
  <c r="EE1250" i="31" s="1"/>
  <c r="DZ946" i="31"/>
  <c r="DZ1105" i="31"/>
  <c r="EE1111" i="31" s="1"/>
  <c r="DZ1080" i="31"/>
  <c r="EE1085" i="31" s="1"/>
  <c r="DZ1195" i="31"/>
  <c r="DZ1232" i="31"/>
  <c r="EE1238" i="31" s="1"/>
  <c r="DZ1093" i="31"/>
  <c r="EE1099" i="31" s="1"/>
  <c r="EE1200" i="31" l="1"/>
  <c r="ED946" i="31"/>
  <c r="EE952" i="31"/>
  <c r="ED1080" i="31"/>
  <c r="ED1081" i="31" s="1"/>
  <c r="ED1105" i="31"/>
  <c r="ED1093" i="31"/>
  <c r="ED1232" i="31"/>
  <c r="ED1244" i="31"/>
  <c r="DZ1200" i="31"/>
  <c r="DZ1099" i="31"/>
  <c r="DZ1250" i="31"/>
  <c r="DZ1238" i="31"/>
  <c r="DZ934" i="31"/>
  <c r="DZ921" i="31"/>
  <c r="EE926" i="31" s="1"/>
  <c r="DZ1135" i="31"/>
  <c r="DZ952" i="31"/>
  <c r="DZ1196" i="31"/>
  <c r="DZ1327" i="31"/>
  <c r="DZ1081" i="31"/>
  <c r="DZ1085" i="31"/>
  <c r="DZ1111" i="31"/>
  <c r="EE1202" i="31" l="1"/>
  <c r="EE1087" i="31"/>
  <c r="ED952" i="31"/>
  <c r="ED1085" i="31"/>
  <c r="EE1333" i="31"/>
  <c r="ED934" i="31"/>
  <c r="ED940" i="31" s="1"/>
  <c r="EE940" i="31"/>
  <c r="DZ926" i="31"/>
  <c r="ED1250" i="31"/>
  <c r="ED1238" i="31"/>
  <c r="ED1099" i="31"/>
  <c r="ED1111" i="31"/>
  <c r="ED1087" i="31"/>
  <c r="ED1327" i="31"/>
  <c r="DZ940" i="31"/>
  <c r="DZ1333" i="31"/>
  <c r="DZ1349" i="31"/>
  <c r="DZ1202" i="31"/>
  <c r="DZ922" i="31"/>
  <c r="DZ1087" i="31"/>
  <c r="EE928" i="31" l="1"/>
  <c r="ED1349" i="31"/>
  <c r="EE1354" i="31"/>
  <c r="ED1333" i="31"/>
  <c r="DZ928" i="31"/>
  <c r="ED1354" i="31"/>
  <c r="DZ1393" i="31"/>
  <c r="DZ1354" i="31"/>
  <c r="DZ1350" i="31"/>
  <c r="DZ46" i="31"/>
  <c r="DW46" i="31"/>
  <c r="EB51" i="31" s="1"/>
  <c r="EB52" i="31" s="1"/>
  <c r="DW24" i="31"/>
  <c r="EE1361" i="31" l="1"/>
  <c r="EE1357" i="31"/>
  <c r="DZ1370" i="31"/>
  <c r="DZ1086" i="31" s="1"/>
  <c r="ED1350" i="31"/>
  <c r="EB29" i="31"/>
  <c r="EB30" i="31" s="1"/>
  <c r="DZ1388" i="31"/>
  <c r="DZ1394" i="31"/>
  <c r="DZ1389" i="31"/>
  <c r="DZ1390" i="31"/>
  <c r="DZ1391" i="31"/>
  <c r="DZ1392" i="31"/>
  <c r="DZ1387" i="31"/>
  <c r="DZ1386" i="31"/>
  <c r="FZ97" i="9"/>
  <c r="FZ98" i="9" s="1"/>
  <c r="DZ47" i="31"/>
  <c r="FY97" i="9"/>
  <c r="FY98" i="9" s="1"/>
  <c r="DZ1365" i="31"/>
  <c r="DZ1357" i="31"/>
  <c r="DZ1364" i="31"/>
  <c r="DW47" i="31"/>
  <c r="DW29" i="31"/>
  <c r="DW30" i="31" s="1"/>
  <c r="DZ51" i="31"/>
  <c r="DZ52" i="31" s="1"/>
  <c r="DW51" i="31"/>
  <c r="DW52" i="31" s="1"/>
  <c r="FV97" i="9"/>
  <c r="FV98" i="9" s="1"/>
  <c r="DZ1097" i="31" l="1"/>
  <c r="ED1370" i="31"/>
  <c r="ED1365" i="31"/>
  <c r="ED1357" i="31"/>
  <c r="ED1364" i="31"/>
  <c r="DZ1374" i="31"/>
  <c r="DZ1088" i="31"/>
  <c r="DW53" i="31"/>
  <c r="EB53" i="31"/>
  <c r="DZ53" i="31"/>
  <c r="DZ1366" i="31"/>
  <c r="ED1366" i="31" l="1"/>
  <c r="DY1361" i="31" l="1"/>
  <c r="DX46" i="31" l="1"/>
  <c r="DX1393" i="31"/>
  <c r="DX24" i="31"/>
  <c r="DX1364" i="31" l="1"/>
  <c r="DX1389" i="31"/>
  <c r="DY1389" i="31" s="1"/>
  <c r="DX1386" i="31"/>
  <c r="DY1386" i="31" s="1"/>
  <c r="DX1391" i="31"/>
  <c r="DY1391" i="31" s="1"/>
  <c r="DX1388" i="31"/>
  <c r="DY1388" i="31" s="1"/>
  <c r="DX1387" i="31"/>
  <c r="DY1387" i="31" s="1"/>
  <c r="DX1392" i="31"/>
  <c r="DY1392" i="31" s="1"/>
  <c r="DX1394" i="31"/>
  <c r="DX1390" i="31"/>
  <c r="DY1390" i="31" s="1"/>
  <c r="DX47" i="31"/>
  <c r="FW97" i="9"/>
  <c r="FW98" i="9" s="1"/>
  <c r="DX51" i="31"/>
  <c r="DX52" i="31" s="1"/>
  <c r="DY1393" i="31"/>
  <c r="DY46" i="31"/>
  <c r="DX29" i="31"/>
  <c r="DX30" i="31" s="1"/>
  <c r="DX1365" i="31"/>
  <c r="EC1407" i="31" l="1"/>
  <c r="EC1373" i="31" s="1"/>
  <c r="DY1378" i="31"/>
  <c r="DY1379" i="31"/>
  <c r="DY1364" i="31"/>
  <c r="DY1394" i="31"/>
  <c r="DY1382" i="31"/>
  <c r="DY1377" i="31"/>
  <c r="FX97" i="9"/>
  <c r="DY51" i="31"/>
  <c r="DY52" i="31" s="1"/>
  <c r="DY47" i="31"/>
  <c r="DY1381" i="31"/>
  <c r="DY1365" i="31"/>
  <c r="DY1380" i="31"/>
  <c r="DX53" i="31"/>
  <c r="DY1383" i="31"/>
  <c r="DX1366" i="31"/>
  <c r="FX98" i="9" l="1"/>
  <c r="DY53" i="31"/>
  <c r="DY1406" i="31"/>
  <c r="DY1407" i="31" s="1"/>
  <c r="DY1366" i="31"/>
  <c r="DW464" i="31" l="1"/>
  <c r="DW23" i="31" l="1"/>
  <c r="DW887" i="31"/>
  <c r="EB893" i="31" s="1"/>
  <c r="DW890" i="31"/>
  <c r="FV24" i="9" l="1"/>
  <c r="EB28" i="31"/>
  <c r="DW28" i="31"/>
  <c r="DW15" i="31"/>
  <c r="FV92" i="9"/>
  <c r="FV94" i="9" s="1"/>
  <c r="DW39" i="31"/>
  <c r="DW36" i="31"/>
  <c r="DW893" i="31"/>
  <c r="DW25" i="31"/>
  <c r="EB42" i="31" l="1"/>
  <c r="EB31" i="31"/>
  <c r="EB20" i="31"/>
  <c r="FV67" i="9"/>
  <c r="FV65" i="9"/>
  <c r="FV29" i="9"/>
  <c r="FV38" i="9" s="1"/>
  <c r="EP83" i="10"/>
  <c r="EP84" i="10" s="1"/>
  <c r="EP79" i="10" s="1"/>
  <c r="FV66" i="9"/>
  <c r="FV106" i="9"/>
  <c r="FV103" i="9"/>
  <c r="FV108" i="9"/>
  <c r="FV107" i="9"/>
  <c r="DW31" i="31"/>
  <c r="FV102" i="9"/>
  <c r="DW42" i="31"/>
  <c r="FV104" i="9"/>
  <c r="DW17" i="31"/>
  <c r="FV75" i="9"/>
  <c r="FV68" i="9" l="1"/>
  <c r="EP69" i="10"/>
  <c r="EP77" i="10"/>
  <c r="EP73" i="10"/>
  <c r="EP76" i="10"/>
  <c r="EP66" i="10"/>
  <c r="EP136" i="10"/>
  <c r="EP74" i="10"/>
  <c r="EP65" i="10"/>
  <c r="EP216" i="10" s="1"/>
  <c r="EP67" i="10"/>
  <c r="EP75" i="10"/>
  <c r="EP144" i="10"/>
  <c r="EP70" i="10"/>
  <c r="EP68" i="10"/>
  <c r="EP59" i="10"/>
  <c r="EP62" i="10" s="1"/>
  <c r="EP78" i="10"/>
  <c r="FV69" i="9"/>
  <c r="FV115" i="9"/>
  <c r="FV76" i="9"/>
  <c r="FV78" i="9"/>
  <c r="FV77" i="9"/>
  <c r="FV114" i="9"/>
  <c r="FV116" i="9" l="1"/>
  <c r="FV79" i="9"/>
  <c r="FV133" i="9"/>
  <c r="EQ184" i="10" l="1"/>
  <c r="DX569" i="31" l="1"/>
  <c r="EQ134" i="10" l="1"/>
  <c r="ES53" i="11" l="1"/>
  <c r="FV131" i="9" l="1"/>
  <c r="FV134" i="9" l="1"/>
  <c r="FV135" i="9" s="1"/>
  <c r="GB96" i="9" l="1"/>
  <c r="GC96" i="9" l="1"/>
  <c r="DZ515" i="31" l="1"/>
  <c r="DZ508" i="31"/>
  <c r="DZ517" i="31" l="1"/>
  <c r="DZ520" i="31"/>
  <c r="EE523" i="31" l="1"/>
  <c r="DZ523" i="31"/>
  <c r="DY508" i="31" l="1"/>
  <c r="DY515" i="31"/>
  <c r="DY511" i="31"/>
  <c r="DY520" i="31" l="1"/>
  <c r="DY509" i="31"/>
  <c r="DY517" i="31"/>
  <c r="DX885" i="31"/>
  <c r="DX464" i="31"/>
  <c r="DY523" i="31" l="1"/>
  <c r="DX34" i="31"/>
  <c r="DX23" i="31"/>
  <c r="DX887" i="31"/>
  <c r="DX890" i="31"/>
  <c r="DX893" i="31" l="1"/>
  <c r="DX25" i="31"/>
  <c r="EC20" i="31" s="1"/>
  <c r="DX28" i="31"/>
  <c r="FW24" i="9"/>
  <c r="DX39" i="31"/>
  <c r="DX15" i="31"/>
  <c r="FW92" i="9"/>
  <c r="FW94" i="9" s="1"/>
  <c r="DX36" i="31"/>
  <c r="FW29" i="9" l="1"/>
  <c r="FW75" i="9"/>
  <c r="EQ83" i="10"/>
  <c r="ES84" i="10" s="1"/>
  <c r="FW102" i="9"/>
  <c r="FW103" i="9"/>
  <c r="DX31" i="31"/>
  <c r="FW107" i="9"/>
  <c r="FW106" i="9"/>
  <c r="FW108" i="9"/>
  <c r="FW104" i="9"/>
  <c r="DX42" i="31"/>
  <c r="DX17" i="31"/>
  <c r="FW69" i="9" l="1"/>
  <c r="ES77" i="10"/>
  <c r="ES79" i="10"/>
  <c r="ES78" i="10"/>
  <c r="ES136" i="10"/>
  <c r="ES76" i="10"/>
  <c r="ES66" i="10"/>
  <c r="ES59" i="10"/>
  <c r="ES70" i="10"/>
  <c r="ES69" i="10"/>
  <c r="ES74" i="10"/>
  <c r="ES67" i="10"/>
  <c r="ES144" i="10"/>
  <c r="ES75" i="10"/>
  <c r="ES65" i="10"/>
  <c r="ES216" i="10" s="1"/>
  <c r="ES73" i="10"/>
  <c r="FW115" i="9"/>
  <c r="EQ84" i="10"/>
  <c r="FW114" i="9"/>
  <c r="EQ77" i="10" l="1"/>
  <c r="EQ69" i="10"/>
  <c r="EQ144" i="10"/>
  <c r="EQ76" i="10"/>
  <c r="EQ67" i="10"/>
  <c r="EQ75" i="10"/>
  <c r="EQ66" i="10"/>
  <c r="EQ74" i="10"/>
  <c r="EQ73" i="10"/>
  <c r="EQ78" i="10"/>
  <c r="EQ70" i="10"/>
  <c r="EQ59" i="10"/>
  <c r="EQ136" i="10"/>
  <c r="FW116" i="9"/>
  <c r="ER34" i="10" l="1"/>
  <c r="ER40" i="10"/>
  <c r="ER16" i="10"/>
  <c r="ER33" i="10"/>
  <c r="ER39" i="10"/>
  <c r="ER35" i="10"/>
  <c r="ER25" i="10"/>
  <c r="FW133" i="9"/>
  <c r="ER21" i="10"/>
  <c r="ER19" i="10"/>
  <c r="ER38" i="10"/>
  <c r="ER26" i="10"/>
  <c r="ET33" i="11"/>
  <c r="ES28" i="11" l="1"/>
  <c r="ES36" i="11"/>
  <c r="ET32" i="11"/>
  <c r="FX133" i="9"/>
  <c r="ET47" i="11"/>
  <c r="ES48" i="11"/>
  <c r="ET35" i="11"/>
  <c r="ET28" i="11" l="1"/>
  <c r="ET48" i="11"/>
  <c r="ET36" i="11"/>
  <c r="ER22" i="10" l="1"/>
  <c r="DY133" i="31" l="1"/>
  <c r="DY130" i="31"/>
  <c r="DY131" i="31"/>
  <c r="DY132" i="31" s="1"/>
  <c r="EI125" i="31" l="1"/>
  <c r="EH125" i="31" l="1"/>
  <c r="EJ125" i="31"/>
  <c r="EH130" i="31" l="1"/>
  <c r="EK125" i="31"/>
  <c r="EL125" i="31" l="1"/>
  <c r="EM125" i="31" l="1"/>
  <c r="EN125" i="31" l="1"/>
  <c r="EO125" i="31" l="1"/>
  <c r="EP125" i="31"/>
  <c r="EQ125" i="31" l="1"/>
  <c r="DY177" i="31"/>
  <c r="DY70" i="31"/>
  <c r="DY72" i="31"/>
  <c r="DY174" i="31"/>
  <c r="DY175" i="31"/>
  <c r="DY176" i="31" s="1"/>
  <c r="DY71" i="31"/>
  <c r="ER125" i="31" l="1"/>
  <c r="ED75" i="31"/>
  <c r="DY78" i="31"/>
  <c r="DY76" i="31"/>
  <c r="DY77" i="31" s="1"/>
  <c r="EI169" i="31"/>
  <c r="EH169" i="31" s="1"/>
  <c r="EH70" i="31" s="1"/>
  <c r="DY75" i="31"/>
  <c r="ES125" i="31" l="1"/>
  <c r="EH174" i="31"/>
  <c r="EI70" i="31"/>
  <c r="EJ169" i="31"/>
  <c r="EH75" i="31" l="1"/>
  <c r="EJ70" i="31"/>
  <c r="EJ75" i="31" s="1"/>
  <c r="EK169" i="31"/>
  <c r="EI75" i="31"/>
  <c r="EK70" i="31" l="1"/>
  <c r="EK75" i="31" s="1"/>
  <c r="EL169" i="31"/>
  <c r="EL70" i="31" l="1"/>
  <c r="EL75" i="31" s="1"/>
  <c r="EM169" i="31"/>
  <c r="EM70" i="31" l="1"/>
  <c r="EM75" i="31" s="1"/>
  <c r="EN169" i="31"/>
  <c r="EO169" i="31" s="1"/>
  <c r="EP169" i="31" l="1"/>
  <c r="EO70" i="31"/>
  <c r="EN70" i="31"/>
  <c r="EO75" i="31" l="1"/>
  <c r="EQ169" i="31"/>
  <c r="EP70" i="31"/>
  <c r="EN75" i="31"/>
  <c r="ER169" i="31" l="1"/>
  <c r="EQ70" i="31"/>
  <c r="EP75" i="31"/>
  <c r="DY253" i="31"/>
  <c r="ES169" i="31" l="1"/>
  <c r="ES70" i="31" s="1"/>
  <c r="ER70" i="31"/>
  <c r="ER75" i="31" s="1"/>
  <c r="EQ75" i="31"/>
  <c r="DY192" i="31"/>
  <c r="DY254" i="31"/>
  <c r="DX190" i="31"/>
  <c r="ED259" i="31" l="1"/>
  <c r="ES75" i="31"/>
  <c r="DY193" i="31"/>
  <c r="DY197" i="31"/>
  <c r="DY198" i="31" s="1"/>
  <c r="DY199" i="31" l="1"/>
  <c r="DY280" i="31" l="1"/>
  <c r="DY281" i="31" s="1"/>
  <c r="DY279" i="31"/>
  <c r="DY282" i="31"/>
  <c r="DY264" i="31" l="1"/>
  <c r="DY268" i="31"/>
  <c r="DY460" i="31"/>
  <c r="DY461" i="31" s="1"/>
  <c r="DY459" i="31"/>
  <c r="DY462" i="31"/>
  <c r="ED269" i="31" l="1"/>
  <c r="DY269" i="31"/>
  <c r="DY270" i="31" s="1"/>
  <c r="EI454" i="31"/>
  <c r="EI263" i="31" s="1"/>
  <c r="DY265" i="31"/>
  <c r="EJ454" i="31" l="1"/>
  <c r="EH454" i="31"/>
  <c r="EH263" i="31" s="1"/>
  <c r="DY271" i="31"/>
  <c r="EK454" i="31" l="1"/>
  <c r="EH459" i="31"/>
  <c r="EL454" i="31" l="1"/>
  <c r="EM454" i="31" s="1"/>
  <c r="EN454" i="31" l="1"/>
  <c r="EO454" i="31" l="1"/>
  <c r="EP454" i="31" l="1"/>
  <c r="EQ454" i="31" s="1"/>
  <c r="ER454" i="31" l="1"/>
  <c r="ES454" i="31" l="1"/>
  <c r="DY465" i="31"/>
  <c r="DY466" i="31"/>
  <c r="DY542" i="31"/>
  <c r="DY540" i="31"/>
  <c r="DY541" i="31"/>
  <c r="DY543" i="31"/>
  <c r="DY544" i="31" s="1"/>
  <c r="DY545" i="31"/>
  <c r="DY471" i="31" l="1"/>
  <c r="DY472" i="31" s="1"/>
  <c r="EI537" i="31"/>
  <c r="DY470" i="31"/>
  <c r="DY467" i="31"/>
  <c r="EH537" i="31" l="1"/>
  <c r="EH536" i="31" s="1"/>
  <c r="DY473" i="31"/>
  <c r="EJ537" i="31"/>
  <c r="EH542" i="31" l="1"/>
  <c r="EK537" i="31"/>
  <c r="EL537" i="31" l="1"/>
  <c r="EM537" i="31" l="1"/>
  <c r="EN537" i="31" l="1"/>
  <c r="EO537" i="31" l="1"/>
  <c r="EP537" i="31" l="1"/>
  <c r="EQ537" i="31" l="1"/>
  <c r="DY638" i="31"/>
  <c r="DY637" i="31"/>
  <c r="DY654" i="31"/>
  <c r="DY655" i="31" s="1"/>
  <c r="DY653" i="31"/>
  <c r="DY656" i="31"/>
  <c r="ER537" i="31" l="1"/>
  <c r="DY642" i="31"/>
  <c r="DY885" i="31"/>
  <c r="DY643" i="31"/>
  <c r="DY644" i="31" s="1"/>
  <c r="DY886" i="31"/>
  <c r="DY639" i="31"/>
  <c r="ES537" i="31" l="1"/>
  <c r="DY645" i="31"/>
  <c r="DY24" i="31"/>
  <c r="DY35" i="31"/>
  <c r="DY891" i="31"/>
  <c r="DY892" i="31" s="1"/>
  <c r="DY887" i="31"/>
  <c r="DY23" i="31"/>
  <c r="DY890" i="31"/>
  <c r="DY34" i="31"/>
  <c r="ET537" i="31" l="1"/>
  <c r="FX93" i="9"/>
  <c r="DY16" i="31"/>
  <c r="DY40" i="31"/>
  <c r="DY41" i="31" s="1"/>
  <c r="DY36" i="31"/>
  <c r="DY29" i="31"/>
  <c r="DY30" i="31" s="1"/>
  <c r="DY28" i="31"/>
  <c r="DY893" i="31"/>
  <c r="DY25" i="31"/>
  <c r="DY39" i="31"/>
  <c r="FX92" i="9"/>
  <c r="DY15" i="31"/>
  <c r="EU537" i="31" l="1"/>
  <c r="FX102" i="9"/>
  <c r="FX94" i="9"/>
  <c r="FX24" i="9"/>
  <c r="FX107" i="9"/>
  <c r="DY31" i="31"/>
  <c r="FX106" i="9"/>
  <c r="FX108" i="9"/>
  <c r="FX104" i="9"/>
  <c r="DY17" i="31"/>
  <c r="DY42" i="31"/>
  <c r="FX103" i="9"/>
  <c r="EV537" i="31" l="1"/>
  <c r="FX114" i="9"/>
  <c r="FX65" i="9"/>
  <c r="FX67" i="9"/>
  <c r="FX66" i="9"/>
  <c r="FX2" i="9"/>
  <c r="FX4" i="9" s="1"/>
  <c r="FX7" i="9" s="1"/>
  <c r="ER83" i="10"/>
  <c r="ER84" i="10" s="1"/>
  <c r="FX115" i="9"/>
  <c r="EY174" i="10" l="1"/>
  <c r="EW537" i="31"/>
  <c r="FX116" i="9"/>
  <c r="ER136" i="10"/>
  <c r="ER174" i="10"/>
  <c r="ER59" i="10"/>
  <c r="ER77" i="10"/>
  <c r="ER74" i="10"/>
  <c r="ER78" i="10"/>
  <c r="ER75" i="10"/>
  <c r="ER70" i="10"/>
  <c r="ER66" i="10"/>
  <c r="ER69" i="10"/>
  <c r="ER67" i="10"/>
  <c r="ER76" i="10"/>
  <c r="ER73" i="10"/>
  <c r="FX77" i="9"/>
  <c r="FX29" i="9"/>
  <c r="FX76" i="9"/>
  <c r="ER85" i="10"/>
  <c r="ER86" i="10" s="1"/>
  <c r="FX78" i="9"/>
  <c r="FX75" i="9"/>
  <c r="FX68" i="9" l="1"/>
  <c r="FX69" i="9"/>
  <c r="FX38" i="9"/>
  <c r="FX79" i="9"/>
  <c r="FX39" i="9"/>
  <c r="FW66" i="9"/>
  <c r="FW77" i="9"/>
  <c r="FW78" i="9"/>
  <c r="FW67" i="9"/>
  <c r="EQ85" i="10"/>
  <c r="EU86" i="10" s="1"/>
  <c r="FW76" i="9"/>
  <c r="FW65" i="9"/>
  <c r="EY175" i="10" l="1"/>
  <c r="EQ174" i="10"/>
  <c r="EX174" i="10"/>
  <c r="EU60" i="10"/>
  <c r="EU61" i="10"/>
  <c r="ES86" i="10"/>
  <c r="ES61" i="10" s="1"/>
  <c r="ET86" i="10"/>
  <c r="FX71" i="9"/>
  <c r="FX70" i="9"/>
  <c r="ER175" i="10"/>
  <c r="EQ86" i="10"/>
  <c r="FW38" i="9"/>
  <c r="FW68" i="9"/>
  <c r="FW79" i="9"/>
  <c r="FX122" i="9"/>
  <c r="FX155" i="9"/>
  <c r="FX43" i="9"/>
  <c r="FX80" i="9"/>
  <c r="FX125" i="9"/>
  <c r="EY173" i="10" l="1"/>
  <c r="EY172" i="10"/>
  <c r="EQ175" i="10"/>
  <c r="EX175" i="10"/>
  <c r="FX72" i="9"/>
  <c r="ES60" i="10"/>
  <c r="ES62" i="10" s="1"/>
  <c r="ET60" i="10"/>
  <c r="ET61" i="10"/>
  <c r="EQ61" i="10"/>
  <c r="EQ60" i="10"/>
  <c r="FX50" i="9"/>
  <c r="FW49" i="9"/>
  <c r="FX49" i="9"/>
  <c r="FW125" i="9"/>
  <c r="FW127" i="9" s="1"/>
  <c r="FW122" i="9"/>
  <c r="FW70" i="9"/>
  <c r="FW155" i="9"/>
  <c r="FW80" i="9"/>
  <c r="FX52" i="9"/>
  <c r="FX5" i="9"/>
  <c r="FX81" i="9"/>
  <c r="FX84" i="9" s="1"/>
  <c r="FX127" i="9"/>
  <c r="EY176" i="10" l="1"/>
  <c r="EQ62" i="10"/>
  <c r="FW43" i="9"/>
  <c r="ER17" i="10"/>
  <c r="FW56" i="9"/>
  <c r="FW53" i="9"/>
  <c r="FX53" i="9"/>
  <c r="FX56" i="9"/>
  <c r="ER32" i="10"/>
  <c r="EQ36" i="10"/>
  <c r="EQ79" i="10"/>
  <c r="ER176" i="10"/>
  <c r="FW71" i="9"/>
  <c r="FW50" i="9" s="1"/>
  <c r="FW44" i="9" l="1"/>
  <c r="EX173" i="10"/>
  <c r="EX172" i="10"/>
  <c r="ER91" i="10"/>
  <c r="FW81" i="9"/>
  <c r="FW84" i="9" s="1"/>
  <c r="FW55" i="9"/>
  <c r="FW82" i="9" s="1"/>
  <c r="FW52" i="9"/>
  <c r="FW72" i="9"/>
  <c r="EQ41" i="10"/>
  <c r="FW47" i="9"/>
  <c r="EQ185" i="10"/>
  <c r="FW54" i="9"/>
  <c r="FW57" i="9"/>
  <c r="ER60" i="10"/>
  <c r="ER79" i="10"/>
  <c r="ER61" i="10"/>
  <c r="ER36" i="10"/>
  <c r="EQ176" i="10" l="1"/>
  <c r="EX176" i="10"/>
  <c r="FW83" i="9"/>
  <c r="ER62" i="10"/>
  <c r="ER41" i="10"/>
  <c r="EQ52" i="10"/>
  <c r="ER50" i="10"/>
  <c r="ES29" i="11"/>
  <c r="FX47" i="9"/>
  <c r="ET29" i="11" l="1"/>
  <c r="ES52" i="11"/>
  <c r="ER52" i="10"/>
  <c r="EQ180" i="10"/>
  <c r="EQ92" i="10"/>
  <c r="EQ192" i="10"/>
  <c r="EQ191" i="10" s="1"/>
  <c r="EQ54" i="10"/>
  <c r="EQ179" i="10"/>
  <c r="EQ173" i="10"/>
  <c r="ES184" i="10" l="1"/>
  <c r="EW184" i="10"/>
  <c r="EQ181" i="10"/>
  <c r="EQ93" i="10"/>
  <c r="ET52" i="11"/>
  <c r="ER54" i="10"/>
  <c r="ER92" i="10"/>
  <c r="ER180" i="10"/>
  <c r="ER179" i="10"/>
  <c r="ER192" i="10"/>
  <c r="ER173" i="10"/>
  <c r="ES54" i="11"/>
  <c r="ET54" i="11" l="1"/>
  <c r="EY53" i="11" s="1"/>
  <c r="ER93" i="10"/>
  <c r="ER181" i="10"/>
  <c r="EU53" i="11" l="1"/>
  <c r="EQ169" i="10"/>
  <c r="EQ220" i="10"/>
  <c r="EQ96" i="10"/>
  <c r="EQ98" i="10" s="1"/>
  <c r="ER14" i="10"/>
  <c r="FW131" i="9"/>
  <c r="FW134" i="9" s="1"/>
  <c r="FW135" i="9" s="1"/>
  <c r="EQ65" i="10"/>
  <c r="EQ216" i="10" s="1"/>
  <c r="Q125" i="204" l="1"/>
  <c r="FX131" i="9"/>
  <c r="FY134" i="9" s="1"/>
  <c r="FY135" i="9" s="1"/>
  <c r="ER65" i="10"/>
  <c r="ER216" i="10" s="1"/>
  <c r="ER96" i="10"/>
  <c r="ER98" i="10" s="1"/>
  <c r="ER220" i="10"/>
  <c r="ER169" i="10"/>
  <c r="FX134" i="9" l="1"/>
  <c r="FX135" i="9" s="1"/>
  <c r="Q143" i="204" s="1"/>
  <c r="R118" i="204"/>
  <c r="Q132" i="204"/>
  <c r="Q139" i="204" l="1"/>
  <c r="Q141" i="204" s="1"/>
  <c r="Q152" i="204" s="1"/>
  <c r="DY763" i="31" l="1"/>
  <c r="DV758" i="31"/>
  <c r="EA763" i="31" s="1"/>
  <c r="DW758" i="31"/>
  <c r="EB763" i="31" s="1"/>
  <c r="DU758" i="31"/>
  <c r="DZ697" i="31" l="1"/>
  <c r="DX758" i="31"/>
  <c r="DU763" i="31"/>
  <c r="DW763" i="31"/>
  <c r="DV763" i="31"/>
  <c r="EC763" i="31" l="1"/>
  <c r="DZ763" i="31"/>
  <c r="DX763" i="31"/>
  <c r="DY764" i="31" l="1"/>
  <c r="DY765" i="31" s="1"/>
  <c r="DY757" i="31"/>
  <c r="DW759" i="31"/>
  <c r="EB764" i="31" s="1"/>
  <c r="EB765" i="31" s="1"/>
  <c r="DV759" i="31"/>
  <c r="DU759" i="31"/>
  <c r="DV760" i="31" l="1"/>
  <c r="EA764" i="31"/>
  <c r="EA765" i="31" s="1"/>
  <c r="DX759" i="31"/>
  <c r="DW760" i="31"/>
  <c r="DW764" i="31"/>
  <c r="DU764" i="31"/>
  <c r="DU760" i="31"/>
  <c r="DU691" i="31" s="1"/>
  <c r="DV764" i="31"/>
  <c r="EB766" i="31" l="1"/>
  <c r="DW691" i="31"/>
  <c r="DW695" i="31" s="1"/>
  <c r="EA766" i="31"/>
  <c r="DV691" i="31"/>
  <c r="DV695" i="31" s="1"/>
  <c r="DV765" i="31"/>
  <c r="DV766" i="31"/>
  <c r="DX764" i="31"/>
  <c r="DX765" i="31" s="1"/>
  <c r="EC764" i="31"/>
  <c r="EC765" i="31" s="1"/>
  <c r="DX760" i="31"/>
  <c r="DZ760" i="31"/>
  <c r="EE766" i="31" s="1"/>
  <c r="DW765" i="31"/>
  <c r="DW766" i="31"/>
  <c r="DU765" i="31"/>
  <c r="DU766" i="31"/>
  <c r="DU695" i="31"/>
  <c r="DZ764" i="31"/>
  <c r="DZ765" i="31" s="1"/>
  <c r="DX766" i="31" l="1"/>
  <c r="EC766" i="31"/>
  <c r="DZ766" i="31"/>
  <c r="DZ694" i="31"/>
  <c r="EE700" i="31" s="1"/>
  <c r="DZ698" i="31"/>
  <c r="DZ699" i="31" s="1"/>
  <c r="DY766" i="31"/>
  <c r="ED694" i="31" l="1"/>
  <c r="DZ700" i="31"/>
  <c r="ED700" i="31" l="1"/>
  <c r="DZ572" i="31" l="1"/>
  <c r="EE578" i="31" l="1"/>
  <c r="DZ578" i="31"/>
  <c r="ED572" i="31"/>
  <c r="DZ470" i="31"/>
  <c r="DZ467" i="31"/>
  <c r="DZ885" i="31"/>
  <c r="DZ471" i="31"/>
  <c r="DZ472" i="31" s="1"/>
  <c r="EE473" i="31" l="1"/>
  <c r="ED578" i="31"/>
  <c r="DZ890" i="31"/>
  <c r="DZ34" i="31"/>
  <c r="DZ23" i="31"/>
  <c r="DZ891" i="31"/>
  <c r="DZ892" i="31" s="1"/>
  <c r="DZ35" i="31"/>
  <c r="DZ24" i="31"/>
  <c r="DZ887" i="31"/>
  <c r="DZ473" i="31"/>
  <c r="FY93" i="9" l="1"/>
  <c r="FY92" i="9"/>
  <c r="DZ29" i="31"/>
  <c r="DZ30" i="31" s="1"/>
  <c r="DZ28" i="31"/>
  <c r="DZ15" i="31"/>
  <c r="DZ39" i="31"/>
  <c r="DZ40" i="31"/>
  <c r="DZ41" i="31" s="1"/>
  <c r="DZ16" i="31"/>
  <c r="DZ36" i="31"/>
  <c r="DZ893" i="31"/>
  <c r="DZ25" i="31"/>
  <c r="EE20" i="31" s="1"/>
  <c r="FY94" i="9" l="1"/>
  <c r="FY102" i="9"/>
  <c r="FY104" i="9"/>
  <c r="FY108" i="9"/>
  <c r="FY107" i="9"/>
  <c r="FY106" i="9"/>
  <c r="FY103" i="9"/>
  <c r="DZ17" i="31"/>
  <c r="DZ42" i="31"/>
  <c r="DZ31" i="31"/>
  <c r="FY114" i="9" l="1"/>
  <c r="FY115" i="9"/>
  <c r="FY66" i="9"/>
  <c r="FY65" i="9"/>
  <c r="FY67" i="9"/>
  <c r="FY75" i="9"/>
  <c r="FY116" i="9" l="1"/>
  <c r="FY76" i="9"/>
  <c r="FY78" i="9"/>
  <c r="FY77" i="9"/>
  <c r="FY29" i="9"/>
  <c r="GD79" i="9" l="1"/>
  <c r="FY38" i="9"/>
  <c r="FY68" i="9"/>
  <c r="FY69" i="9"/>
  <c r="FY79" i="9"/>
  <c r="GD80" i="9" l="1"/>
  <c r="FY125" i="9"/>
  <c r="FY127" i="9" s="1"/>
  <c r="FY122" i="9"/>
  <c r="EU48" i="11"/>
  <c r="FY71" i="9"/>
  <c r="FY50" i="9" s="1"/>
  <c r="FY70" i="9"/>
  <c r="ES36" i="10"/>
  <c r="EU36" i="11"/>
  <c r="FY80" i="9"/>
  <c r="ES169" i="10" l="1"/>
  <c r="FY49" i="9"/>
  <c r="FY53" i="9" s="1"/>
  <c r="FY43" i="9"/>
  <c r="ES41" i="10"/>
  <c r="GD81" i="9" l="1"/>
  <c r="GD84" i="9" s="1"/>
  <c r="FY72" i="9"/>
  <c r="FY56" i="9"/>
  <c r="FY81" i="9"/>
  <c r="FY84" i="9" s="1"/>
  <c r="FY55" i="9"/>
  <c r="FY52" i="9"/>
  <c r="GD82" i="9" l="1"/>
  <c r="GD83" i="9" s="1"/>
  <c r="FY82" i="9"/>
  <c r="FY83" i="9" s="1"/>
  <c r="ES52" i="10" l="1"/>
  <c r="ET184" i="10" l="1"/>
  <c r="ET191" i="10" s="1"/>
  <c r="ES192" i="10"/>
  <c r="ES191" i="10" s="1"/>
  <c r="ES173" i="10"/>
  <c r="ES180" i="10"/>
  <c r="ES179" i="10"/>
  <c r="ES92" i="10"/>
  <c r="ES54" i="10"/>
  <c r="ES93" i="10" l="1"/>
  <c r="ES181" i="10"/>
  <c r="EQ97" i="10" l="1"/>
  <c r="EQ20" i="10"/>
  <c r="EQ68" i="10"/>
  <c r="ER18" i="10"/>
  <c r="EQ168" i="10" l="1"/>
  <c r="EQ27" i="10"/>
  <c r="EQ167" i="10"/>
  <c r="EQ56" i="10"/>
  <c r="ER20" i="10"/>
  <c r="ER97" i="10"/>
  <c r="ER68" i="10"/>
  <c r="EQ57" i="10" l="1"/>
  <c r="EQ218" i="10"/>
  <c r="EQ55" i="10"/>
  <c r="EQ217" i="10"/>
  <c r="EQ172" i="10"/>
  <c r="ER56" i="10"/>
  <c r="ER168" i="10"/>
  <c r="ER167" i="10"/>
  <c r="ER27" i="10"/>
  <c r="ER55" i="10" l="1"/>
  <c r="ER57" i="10"/>
  <c r="ER172" i="10"/>
  <c r="ER218" i="10"/>
  <c r="ER217" i="10"/>
  <c r="EU28" i="11" l="1"/>
  <c r="EY28" i="11" l="1"/>
  <c r="EY29" i="11" l="1"/>
  <c r="EQ129" i="10"/>
  <c r="ER129" i="10" s="1"/>
  <c r="ER131" i="10" s="1"/>
  <c r="EW128" i="10" s="1"/>
  <c r="EY52" i="11" l="1"/>
  <c r="ES128" i="10"/>
  <c r="ES129" i="10" s="1"/>
  <c r="EW129" i="10" s="1"/>
  <c r="EW131" i="10" s="1"/>
  <c r="EX128" i="10" s="1"/>
  <c r="EX129" i="10" s="1"/>
  <c r="EY54" i="11" l="1"/>
  <c r="EZ53" i="11" s="1"/>
  <c r="EZ54" i="11" s="1"/>
  <c r="FA53" i="11" s="1"/>
  <c r="FA54" i="11" s="1"/>
  <c r="EQ149" i="10"/>
  <c r="EQ150" i="10"/>
  <c r="FB53" i="11" l="1"/>
  <c r="EZ128" i="10"/>
  <c r="EZ131" i="10" s="1"/>
  <c r="FA128" i="10" s="1"/>
  <c r="FA131" i="10" s="1"/>
  <c r="FB128" i="10"/>
  <c r="FB131" i="10" s="1"/>
  <c r="FC128" i="10" s="1"/>
  <c r="FC131" i="10" s="1"/>
  <c r="FD128" i="10" s="1"/>
  <c r="FD131" i="10" s="1"/>
  <c r="FE128" i="10" s="1"/>
  <c r="FE131" i="10" s="1"/>
  <c r="FF128" i="10" s="1"/>
  <c r="FF131" i="10" s="1"/>
  <c r="FG128" i="10" s="1"/>
  <c r="FG131" i="10" s="1"/>
  <c r="EQ142" i="10"/>
  <c r="EQ146" i="10"/>
  <c r="EQ147" i="10" l="1"/>
  <c r="EQ148" i="10" s="1"/>
  <c r="EQ154" i="10" l="1"/>
  <c r="ER154" i="10" s="1"/>
  <c r="ER155" i="10" s="1"/>
  <c r="ES153" i="10" l="1"/>
  <c r="ES154" i="10" s="1"/>
  <c r="EW154" i="10" s="1"/>
  <c r="EW153" i="10"/>
  <c r="EW155" i="10" l="1"/>
  <c r="FB153" i="10" l="1"/>
  <c r="EX153" i="10"/>
  <c r="EX154" i="10" s="1"/>
  <c r="FB154" i="10" s="1"/>
  <c r="EZ153" i="10"/>
  <c r="EZ155" i="10" s="1"/>
  <c r="FB155" i="10" l="1"/>
  <c r="FC153" i="10" s="1"/>
  <c r="FC155" i="10" s="1"/>
  <c r="FA153" i="10"/>
  <c r="FA155" i="10" s="1"/>
  <c r="FA23" i="10" s="1"/>
  <c r="FB23" i="10" s="1"/>
  <c r="EZ23" i="10"/>
  <c r="FD153" i="10" l="1"/>
  <c r="FD155" i="10" s="1"/>
  <c r="FC23" i="10"/>
  <c r="EO160" i="10"/>
  <c r="EP160" i="10"/>
  <c r="FV120" i="9" s="1"/>
  <c r="EQ163" i="10"/>
  <c r="EN163" i="10"/>
  <c r="EO163" i="10"/>
  <c r="EN160" i="10"/>
  <c r="EP163" i="10"/>
  <c r="FE153" i="10" l="1"/>
  <c r="FE155" i="10" s="1"/>
  <c r="FD23" i="10"/>
  <c r="EN138" i="10"/>
  <c r="EN143" i="10" s="1"/>
  <c r="ER160" i="10"/>
  <c r="EP138" i="10"/>
  <c r="EP137" i="10" s="1"/>
  <c r="EP159" i="10"/>
  <c r="EN159" i="10"/>
  <c r="FM120" i="9"/>
  <c r="FT120" i="9" s="1"/>
  <c r="FN120" i="9"/>
  <c r="FU120" i="9" s="1"/>
  <c r="EO138" i="10"/>
  <c r="EO159" i="10"/>
  <c r="FF153" i="10" l="1"/>
  <c r="FF155" i="10" s="1"/>
  <c r="FE23" i="10"/>
  <c r="FM119" i="9"/>
  <c r="FT119" i="9" s="1"/>
  <c r="EN137" i="10"/>
  <c r="FV119" i="9"/>
  <c r="EP143" i="10"/>
  <c r="FN119" i="9"/>
  <c r="EO137" i="10"/>
  <c r="EO143" i="10"/>
  <c r="FT121" i="9" l="1"/>
  <c r="FF23" i="10"/>
  <c r="FG153" i="10"/>
  <c r="FG155" i="10" s="1"/>
  <c r="FG23" i="10" s="1"/>
  <c r="FM121" i="9"/>
  <c r="FN121" i="9"/>
  <c r="FU119" i="9"/>
  <c r="FU121" i="9" l="1"/>
  <c r="FY119" i="9" l="1"/>
  <c r="FY121" i="9" l="1"/>
  <c r="EU29" i="11"/>
  <c r="EU52" i="11" l="1"/>
  <c r="EU54" i="11" l="1"/>
  <c r="EV53" i="11" s="1"/>
  <c r="EV54" i="11" s="1"/>
  <c r="EW53" i="11" s="1"/>
  <c r="EW54" i="11" s="1"/>
  <c r="EX53" i="11" l="1"/>
  <c r="EX54" i="11" s="1"/>
  <c r="DZ176" i="31" l="1"/>
  <c r="ES97" i="10"/>
  <c r="ES20" i="10"/>
  <c r="ES68" i="10"/>
  <c r="ES27" i="10" l="1"/>
  <c r="ES168" i="10"/>
  <c r="ES167" i="10"/>
  <c r="ES172" i="10"/>
  <c r="ES217" i="10"/>
  <c r="ES218" i="10"/>
  <c r="ES57" i="10"/>
  <c r="ES55" i="10"/>
  <c r="ES56" i="10"/>
  <c r="FZ93" i="9" l="1"/>
  <c r="FZ92" i="9" l="1"/>
  <c r="FZ94" i="9" s="1"/>
  <c r="FZ106" i="9" l="1"/>
  <c r="FZ107" i="9"/>
  <c r="FZ108" i="9"/>
  <c r="FZ103" i="9"/>
  <c r="FZ104" i="9"/>
  <c r="FZ102" i="9"/>
  <c r="FZ24" i="9"/>
  <c r="GA24" i="9"/>
  <c r="GE75" i="9" l="1"/>
  <c r="EU83" i="10"/>
  <c r="GF75" i="9"/>
  <c r="GA66" i="9"/>
  <c r="GA65" i="9"/>
  <c r="GA29" i="9"/>
  <c r="GA75" i="9"/>
  <c r="GA67" i="9"/>
  <c r="ET83" i="10"/>
  <c r="ET84" i="10" s="1"/>
  <c r="ET144" i="10" s="1"/>
  <c r="FZ114" i="9"/>
  <c r="FZ115" i="9"/>
  <c r="FZ75" i="9"/>
  <c r="FZ67" i="9"/>
  <c r="FZ66" i="9"/>
  <c r="FZ65" i="9"/>
  <c r="GF79" i="9" l="1"/>
  <c r="EU84" i="10"/>
  <c r="ET74" i="10"/>
  <c r="ET136" i="10"/>
  <c r="ET65" i="10"/>
  <c r="ET216" i="10" s="1"/>
  <c r="ET68" i="10"/>
  <c r="ET75" i="10"/>
  <c r="ET76" i="10"/>
  <c r="ET78" i="10"/>
  <c r="ET69" i="10"/>
  <c r="ET73" i="10"/>
  <c r="ET59" i="10"/>
  <c r="ET62" i="10" s="1"/>
  <c r="ET66" i="10"/>
  <c r="ET77" i="10"/>
  <c r="GA79" i="9"/>
  <c r="GA38" i="9"/>
  <c r="GA69" i="9"/>
  <c r="GA68" i="9"/>
  <c r="ET67" i="10"/>
  <c r="ET70" i="10"/>
  <c r="ET79" i="10"/>
  <c r="FZ116" i="9"/>
  <c r="FZ29" i="9"/>
  <c r="FZ133" i="9"/>
  <c r="GE79" i="9" l="1"/>
  <c r="GA43" i="9"/>
  <c r="GF80" i="9"/>
  <c r="EU73" i="10"/>
  <c r="EU68" i="10"/>
  <c r="EU66" i="10"/>
  <c r="EU77" i="10"/>
  <c r="EU76" i="10"/>
  <c r="EU59" i="10"/>
  <c r="EU62" i="10" s="1"/>
  <c r="EU70" i="10"/>
  <c r="EU67" i="10"/>
  <c r="EU74" i="10"/>
  <c r="EU79" i="10"/>
  <c r="EU65" i="10"/>
  <c r="EU216" i="10" s="1"/>
  <c r="EU69" i="10"/>
  <c r="EU144" i="10"/>
  <c r="EU75" i="10"/>
  <c r="EU78" i="10"/>
  <c r="FZ68" i="9"/>
  <c r="FZ38" i="9"/>
  <c r="FZ79" i="9"/>
  <c r="FZ69" i="9"/>
  <c r="GA133" i="9"/>
  <c r="GE80" i="9" l="1"/>
  <c r="GF81" i="9"/>
  <c r="GF84" i="9" s="1"/>
  <c r="GA122" i="9"/>
  <c r="GA125" i="9"/>
  <c r="GA127" i="9" s="1"/>
  <c r="GA80" i="9"/>
  <c r="GA70" i="9"/>
  <c r="GA71" i="9"/>
  <c r="GA50" i="9" s="1"/>
  <c r="FZ43" i="9"/>
  <c r="FZ125" i="9"/>
  <c r="FZ127" i="9" s="1"/>
  <c r="FZ122" i="9"/>
  <c r="FZ80" i="9"/>
  <c r="FZ71" i="9"/>
  <c r="FZ50" i="9" s="1"/>
  <c r="FZ70" i="9"/>
  <c r="GA49" i="9"/>
  <c r="GA53" i="9" s="1"/>
  <c r="EI572" i="31"/>
  <c r="EH1556" i="31"/>
  <c r="EH1555" i="31"/>
  <c r="GE81" i="9" l="1"/>
  <c r="GE84" i="9" s="1"/>
  <c r="EI578" i="31"/>
  <c r="GA72" i="9"/>
  <c r="EH1560" i="31"/>
  <c r="EH1557" i="31"/>
  <c r="EH1561" i="31"/>
  <c r="FZ81" i="9"/>
  <c r="FZ84" i="9" s="1"/>
  <c r="FZ72" i="9"/>
  <c r="FZ44" i="9"/>
  <c r="GA56" i="9"/>
  <c r="EI1561" i="31"/>
  <c r="EJ572" i="31"/>
  <c r="EI1557" i="31"/>
  <c r="EI1560" i="31"/>
  <c r="GA55" i="9" l="1"/>
  <c r="EH1562" i="31"/>
  <c r="EJ578" i="31"/>
  <c r="GA52" i="9"/>
  <c r="EJ1560" i="31"/>
  <c r="EJ1557" i="31"/>
  <c r="EI1562" i="31"/>
  <c r="EJ1561" i="31"/>
  <c r="GF82" i="9" l="1"/>
  <c r="GF83" i="9" s="1"/>
  <c r="FZ57" i="9"/>
  <c r="FZ54" i="9"/>
  <c r="EK572" i="31"/>
  <c r="EJ1562" i="31"/>
  <c r="EK578" i="31" l="1"/>
  <c r="EM572" i="31"/>
  <c r="EL572" i="31"/>
  <c r="EK1561" i="31"/>
  <c r="EJ775" i="31"/>
  <c r="EK1560" i="31"/>
  <c r="EK1557" i="31"/>
  <c r="EO576" i="31"/>
  <c r="EL578" i="31" l="1"/>
  <c r="EM578" i="31"/>
  <c r="EL1561" i="31"/>
  <c r="EL1560" i="31"/>
  <c r="EL1557" i="31"/>
  <c r="EM1561" i="31"/>
  <c r="EM1560" i="31"/>
  <c r="EM1557" i="31"/>
  <c r="EK1562" i="31"/>
  <c r="EO1556" i="31"/>
  <c r="EN1561" i="31"/>
  <c r="EN1560" i="31"/>
  <c r="EO1555" i="31"/>
  <c r="EN1557" i="31"/>
  <c r="EO575" i="31" l="1"/>
  <c r="EL1562" i="31"/>
  <c r="EK775" i="31"/>
  <c r="EO1561" i="31"/>
  <c r="EP1556" i="31"/>
  <c r="EN572" i="31"/>
  <c r="EM1562" i="31"/>
  <c r="EO572" i="31"/>
  <c r="EO1557" i="31"/>
  <c r="EO1560" i="31"/>
  <c r="EP1555" i="31"/>
  <c r="EN1562" i="31"/>
  <c r="EN578" i="31" l="1"/>
  <c r="EO578" i="31"/>
  <c r="EO775" i="31"/>
  <c r="EP575" i="31"/>
  <c r="EP576" i="31"/>
  <c r="EQ1555" i="31"/>
  <c r="EP1557" i="31"/>
  <c r="EP1560" i="31"/>
  <c r="EQ1556" i="31"/>
  <c r="EP1561" i="31"/>
  <c r="EP572" i="31"/>
  <c r="EO1562" i="31"/>
  <c r="EP578" i="31" l="1"/>
  <c r="EP775" i="31"/>
  <c r="ER1555" i="31"/>
  <c r="EQ1557" i="31"/>
  <c r="EQ1560" i="31"/>
  <c r="EO774" i="31"/>
  <c r="ER1556" i="31"/>
  <c r="EQ1561" i="31"/>
  <c r="EP1562" i="31"/>
  <c r="EQ775" i="31" l="1"/>
  <c r="EP774" i="31"/>
  <c r="EQ575" i="31"/>
  <c r="ER576" i="31"/>
  <c r="EQ576" i="31"/>
  <c r="EO776" i="31"/>
  <c r="EQ1562" i="31"/>
  <c r="EQ572" i="31"/>
  <c r="ES576" i="31"/>
  <c r="ER1557" i="31"/>
  <c r="ER1560" i="31"/>
  <c r="ES1555" i="31"/>
  <c r="ER1561" i="31"/>
  <c r="ES1556" i="31"/>
  <c r="EQ578" i="31" l="1"/>
  <c r="EQ774" i="31"/>
  <c r="ER775" i="31"/>
  <c r="ER575" i="31"/>
  <c r="ES575" i="31"/>
  <c r="ES1557" i="31"/>
  <c r="ES1560" i="31"/>
  <c r="ET1555" i="31"/>
  <c r="EP776" i="31"/>
  <c r="ER1562" i="31"/>
  <c r="ET571" i="31"/>
  <c r="ET576" i="31" s="1"/>
  <c r="ER572" i="31"/>
  <c r="ET570" i="31"/>
  <c r="ET465" i="31" s="1"/>
  <c r="ES572" i="31"/>
  <c r="ES1561" i="31"/>
  <c r="ET1556" i="31"/>
  <c r="ER578" i="31" l="1"/>
  <c r="ES578" i="31"/>
  <c r="ER774" i="31"/>
  <c r="ET575" i="31"/>
  <c r="EU570" i="31"/>
  <c r="EU465" i="31" s="1"/>
  <c r="ET572" i="31"/>
  <c r="ET578" i="31" s="1"/>
  <c r="EQ776" i="31"/>
  <c r="ET1557" i="31"/>
  <c r="ET1560" i="31"/>
  <c r="EU1555" i="31"/>
  <c r="ET1561" i="31"/>
  <c r="EU1556" i="31"/>
  <c r="EU571" i="31"/>
  <c r="EU576" i="31" s="1"/>
  <c r="ES1562" i="31"/>
  <c r="EU575" i="31" l="1"/>
  <c r="EU470" i="31"/>
  <c r="EV1556" i="31"/>
  <c r="EU1561" i="31"/>
  <c r="EV570" i="31"/>
  <c r="EV465" i="31" s="1"/>
  <c r="EU572" i="31"/>
  <c r="EU578" i="31" s="1"/>
  <c r="EV571" i="31"/>
  <c r="EV576" i="31" s="1"/>
  <c r="EU1560" i="31"/>
  <c r="EV1555" i="31"/>
  <c r="EU1557" i="31"/>
  <c r="ER776" i="31"/>
  <c r="ET1562" i="31"/>
  <c r="EV575" i="31" l="1"/>
  <c r="EV470" i="31"/>
  <c r="EW571" i="31"/>
  <c r="EW576" i="31" s="1"/>
  <c r="EW1556" i="31"/>
  <c r="EV1561" i="31"/>
  <c r="EV1557" i="31"/>
  <c r="EV1560" i="31"/>
  <c r="EW1555" i="31"/>
  <c r="EU1562" i="31"/>
  <c r="EW570" i="31"/>
  <c r="EW465" i="31" s="1"/>
  <c r="EV572" i="31"/>
  <c r="EV578" i="31" s="1"/>
  <c r="EW575" i="31" l="1"/>
  <c r="EW470" i="31"/>
  <c r="EW1561" i="31"/>
  <c r="EW1557" i="31"/>
  <c r="EW1560" i="31"/>
  <c r="EW572" i="31"/>
  <c r="EW578" i="31" s="1"/>
  <c r="EV1562" i="31"/>
  <c r="EW1562" i="31" l="1"/>
  <c r="FY45" i="9" l="1"/>
  <c r="FY57" i="9" l="1"/>
  <c r="FY54" i="9"/>
  <c r="FY47" i="9"/>
  <c r="FV71" i="9" l="1"/>
  <c r="FV50" i="9" s="1"/>
  <c r="FV125" i="9"/>
  <c r="FV70" i="9"/>
  <c r="FV155" i="9"/>
  <c r="FV80" i="9"/>
  <c r="FV122" i="9"/>
  <c r="FV49" i="9"/>
  <c r="FV53" i="9" s="1"/>
  <c r="FV43" i="9"/>
  <c r="FV121" i="9" l="1"/>
  <c r="GA81" i="9"/>
  <c r="GA84" i="9" s="1"/>
  <c r="FV44" i="9"/>
  <c r="FX44" i="9" s="1"/>
  <c r="FX45" i="9" s="1"/>
  <c r="FV127" i="9"/>
  <c r="FV52" i="9"/>
  <c r="FV55" i="9"/>
  <c r="GA82" i="9" s="1"/>
  <c r="FV81" i="9"/>
  <c r="FV84" i="9" s="1"/>
  <c r="FV72" i="9"/>
  <c r="FV56" i="9"/>
  <c r="EY185" i="10" l="1"/>
  <c r="EY191" i="10" s="1"/>
  <c r="GA83" i="9"/>
  <c r="FV82" i="9"/>
  <c r="FV83" i="9" s="1"/>
  <c r="FX55" i="9"/>
  <c r="ER185" i="10"/>
  <c r="ER191" i="10" s="1"/>
  <c r="FX57" i="9"/>
  <c r="FX54" i="9"/>
  <c r="FX8" i="9" l="1"/>
  <c r="FX82" i="9"/>
  <c r="FX83" i="9" s="1"/>
  <c r="FZ52" i="9" l="1"/>
  <c r="FZ55" i="9"/>
  <c r="GE82" i="9" l="1"/>
  <c r="GE83" i="9" s="1"/>
  <c r="FZ82" i="9"/>
  <c r="FZ83" i="9" s="1"/>
  <c r="FZ49" i="9"/>
  <c r="FZ53" i="9" l="1"/>
  <c r="FZ56" i="9"/>
  <c r="EH279" i="31" l="1"/>
  <c r="EH268" i="31" l="1"/>
  <c r="EI268" i="31"/>
  <c r="FZ119" i="9" l="1"/>
  <c r="FZ121" i="9" l="1"/>
  <c r="FZ131" i="9" l="1"/>
  <c r="FZ134" i="9" l="1"/>
  <c r="FZ135" i="9" s="1"/>
  <c r="EH1079" i="31" l="1"/>
  <c r="EH1084" i="31" s="1"/>
  <c r="EH1132" i="31"/>
  <c r="EN347" i="31" l="1"/>
  <c r="EO347" i="31"/>
  <c r="EP347" i="31" l="1"/>
  <c r="EQ347" i="31" l="1"/>
  <c r="ER347" i="31" l="1"/>
  <c r="EB517" i="31" l="1"/>
  <c r="EB509" i="31"/>
  <c r="EG523" i="31" l="1"/>
  <c r="EB523" i="31"/>
  <c r="EC470" i="31"/>
  <c r="EC517" i="31"/>
  <c r="EC520" i="31"/>
  <c r="EC890" i="31" l="1"/>
  <c r="EC34" i="31"/>
  <c r="EC23" i="31"/>
  <c r="EC523" i="31"/>
  <c r="EC39" i="31" l="1"/>
  <c r="EC15" i="31"/>
  <c r="GB92" i="9"/>
  <c r="EC28" i="31"/>
  <c r="GC22" i="9" l="1"/>
  <c r="EN749" i="31" l="1"/>
  <c r="EO755" i="31" l="1"/>
  <c r="EN755" i="31"/>
  <c r="EN1103" i="31" l="1"/>
  <c r="EN1079" i="31" s="1"/>
  <c r="EN1084" i="31" l="1"/>
  <c r="GC33" i="9" l="1"/>
  <c r="GA57" i="9" l="1"/>
  <c r="GA54" i="9"/>
  <c r="GA47" i="9"/>
  <c r="GA44" i="9"/>
  <c r="ED21" i="31" l="1"/>
  <c r="ED1373" i="31"/>
  <c r="ED566" i="31" l="1"/>
  <c r="ED754" i="31"/>
  <c r="ED20" i="31"/>
  <c r="ED504" i="31"/>
  <c r="ED765" i="31"/>
  <c r="ED677" i="31"/>
  <c r="ED237" i="31"/>
  <c r="ED281" i="31"/>
  <c r="ED655" i="31"/>
  <c r="ED248" i="31"/>
  <c r="ED555" i="31"/>
  <c r="ED346" i="31"/>
  <c r="ED544" i="31"/>
  <c r="ED633" i="31"/>
  <c r="ED699" i="31"/>
  <c r="ED461" i="31"/>
  <c r="ED362" i="31"/>
  <c r="ED270" i="31"/>
  <c r="ED132" i="31"/>
  <c r="ED209" i="31"/>
  <c r="ED176" i="31"/>
  <c r="ED187" i="31"/>
  <c r="ED1018" i="31"/>
  <c r="ED1013" i="31" s="1"/>
  <c r="ED1014" i="31" s="1"/>
  <c r="ED1020" i="31" s="1"/>
  <c r="ED996" i="31"/>
  <c r="ED991" i="31" s="1"/>
  <c r="ED974" i="31"/>
  <c r="ED969" i="31" s="1"/>
  <c r="ED970" i="31" s="1"/>
  <c r="ED976" i="31" s="1"/>
  <c r="ED1007" i="31"/>
  <c r="ED1002" i="31" s="1"/>
  <c r="ED1003" i="31" s="1"/>
  <c r="ED1009" i="31" s="1"/>
  <c r="EI1047" i="31"/>
  <c r="EI1036" i="31"/>
  <c r="ED334" i="31"/>
  <c r="ED329" i="31" s="1"/>
  <c r="EI1069" i="31"/>
  <c r="ED171" i="31"/>
  <c r="EI538" i="31"/>
  <c r="EI126" i="31"/>
  <c r="EH126" i="31" s="1"/>
  <c r="ED742" i="31"/>
  <c r="ED737" i="31" s="1"/>
  <c r="EI953" i="31"/>
  <c r="EH1124" i="31"/>
  <c r="EI1112" i="31"/>
  <c r="EI455" i="31"/>
  <c r="EI737" i="31" l="1"/>
  <c r="EI738" i="31" s="1"/>
  <c r="ED330" i="31"/>
  <c r="ED177" i="31"/>
  <c r="EI969" i="31"/>
  <c r="EI970" i="31" s="1"/>
  <c r="EI976" i="31" s="1"/>
  <c r="ED1024" i="31"/>
  <c r="ED992" i="31"/>
  <c r="ED998" i="31" s="1"/>
  <c r="EI1002" i="31"/>
  <c r="EI1003" i="31" s="1"/>
  <c r="EI991" i="31"/>
  <c r="EJ991" i="31" s="1"/>
  <c r="EK991" i="31" s="1"/>
  <c r="EC650" i="31"/>
  <c r="EC456" i="31"/>
  <c r="ED738" i="31"/>
  <c r="EC737" i="31"/>
  <c r="EI329" i="31"/>
  <c r="EH329" i="31" s="1"/>
  <c r="EI127" i="31"/>
  <c r="EC329" i="31"/>
  <c r="EC330" i="31" s="1"/>
  <c r="ED182" i="31"/>
  <c r="EI170" i="31"/>
  <c r="EJ170" i="31" s="1"/>
  <c r="EC171" i="31"/>
  <c r="EJ126" i="31"/>
  <c r="EK126" i="31" s="1"/>
  <c r="EI1048" i="31"/>
  <c r="EJ1047" i="31"/>
  <c r="EJ1048" i="31" s="1"/>
  <c r="EI1058" i="31"/>
  <c r="ED71" i="31"/>
  <c r="EI1013" i="31"/>
  <c r="EI499" i="31"/>
  <c r="EC127" i="31"/>
  <c r="ED127" i="31"/>
  <c r="ED265" i="31"/>
  <c r="EC221" i="31"/>
  <c r="EC225" i="31"/>
  <c r="EC226" i="31" s="1"/>
  <c r="EJ1036" i="31"/>
  <c r="EI1037" i="31"/>
  <c r="EH538" i="31"/>
  <c r="EI539" i="31"/>
  <c r="EJ538" i="31"/>
  <c r="EH127" i="31"/>
  <c r="EI1136" i="31"/>
  <c r="EI1251" i="31"/>
  <c r="EI1100" i="31"/>
  <c r="EI1334" i="31"/>
  <c r="EJ455" i="31"/>
  <c r="EH455" i="31"/>
  <c r="EI456" i="31"/>
  <c r="EI1239" i="31"/>
  <c r="EI1124" i="31"/>
  <c r="EJ1069" i="31"/>
  <c r="EI1070" i="31"/>
  <c r="ED336" i="31" l="1"/>
  <c r="EH737" i="31"/>
  <c r="EH742" i="31" s="1"/>
  <c r="EH743" i="31" s="1"/>
  <c r="EJ737" i="31"/>
  <c r="EJ738" i="31" s="1"/>
  <c r="ED76" i="31"/>
  <c r="ED77" i="31" s="1"/>
  <c r="EI500" i="31"/>
  <c r="EJ992" i="31"/>
  <c r="ED271" i="31"/>
  <c r="EJ969" i="31"/>
  <c r="EJ970" i="31" s="1"/>
  <c r="EJ976" i="31" s="1"/>
  <c r="EC656" i="31"/>
  <c r="EC133" i="31"/>
  <c r="ED133" i="31"/>
  <c r="ED188" i="31"/>
  <c r="EI1024" i="31"/>
  <c r="EI1025" i="31" s="1"/>
  <c r="EJ1002" i="31"/>
  <c r="EJ1003" i="31" s="1"/>
  <c r="ED1025" i="31"/>
  <c r="ED1031" i="31" s="1"/>
  <c r="ED1029" i="31"/>
  <c r="ED1030" i="31" s="1"/>
  <c r="EI992" i="31"/>
  <c r="EI998" i="31" s="1"/>
  <c r="EI1009" i="31"/>
  <c r="EI282" i="31"/>
  <c r="EI545" i="31"/>
  <c r="EC460" i="31"/>
  <c r="EC461" i="31" s="1"/>
  <c r="EK1047" i="31"/>
  <c r="EL1047" i="31" s="1"/>
  <c r="ED744" i="31"/>
  <c r="EC738" i="31"/>
  <c r="EC742" i="31"/>
  <c r="EI1043" i="31"/>
  <c r="EC643" i="31"/>
  <c r="EC644" i="31" s="1"/>
  <c r="EJ127" i="31"/>
  <c r="EC504" i="31"/>
  <c r="EC505" i="31" s="1"/>
  <c r="EC672" i="31"/>
  <c r="EI650" i="31"/>
  <c r="EC500" i="31"/>
  <c r="EC280" i="31"/>
  <c r="EC281" i="31" s="1"/>
  <c r="EJ329" i="31"/>
  <c r="EJ330" i="31" s="1"/>
  <c r="EI330" i="31"/>
  <c r="EC175" i="31"/>
  <c r="EC176" i="31" s="1"/>
  <c r="EH131" i="31"/>
  <c r="EH132" i="31" s="1"/>
  <c r="EH170" i="31"/>
  <c r="EH71" i="31" s="1"/>
  <c r="EH72" i="31" s="1"/>
  <c r="EI171" i="31"/>
  <c r="EC182" i="31"/>
  <c r="EC186" i="31"/>
  <c r="EC187" i="31" s="1"/>
  <c r="EI1054" i="31"/>
  <c r="EI133" i="31"/>
  <c r="EC334" i="31"/>
  <c r="EC335" i="31" s="1"/>
  <c r="ED72" i="31"/>
  <c r="EJ499" i="31"/>
  <c r="ED471" i="31"/>
  <c r="ED472" i="31" s="1"/>
  <c r="EJ1054" i="31"/>
  <c r="EH499" i="31"/>
  <c r="EC539" i="31"/>
  <c r="EI1014" i="31"/>
  <c r="EJ1013" i="31"/>
  <c r="EJ1058" i="31"/>
  <c r="EI1059" i="31"/>
  <c r="EH334" i="31"/>
  <c r="EH335" i="31" s="1"/>
  <c r="EH330" i="31"/>
  <c r="EI462" i="31"/>
  <c r="EH186" i="31"/>
  <c r="EH187" i="31" s="1"/>
  <c r="EH182" i="31"/>
  <c r="EI182" i="31" s="1"/>
  <c r="EI1076" i="31"/>
  <c r="EH460" i="31"/>
  <c r="EH461" i="31" s="1"/>
  <c r="EH456" i="31"/>
  <c r="EC193" i="31"/>
  <c r="EC197" i="31"/>
  <c r="EC198" i="31" s="1"/>
  <c r="EI744" i="31"/>
  <c r="EK1036" i="31"/>
  <c r="EJ1037" i="31"/>
  <c r="EJ1043" i="31" s="1"/>
  <c r="EK455" i="31"/>
  <c r="EJ456" i="31"/>
  <c r="EK992" i="31"/>
  <c r="EL991" i="31"/>
  <c r="EJ171" i="31"/>
  <c r="EK170" i="31"/>
  <c r="EJ539" i="31"/>
  <c r="EK538" i="31"/>
  <c r="EH280" i="31"/>
  <c r="EH281" i="31" s="1"/>
  <c r="EC227" i="31"/>
  <c r="EC177" i="31"/>
  <c r="EL126" i="31"/>
  <c r="EK127" i="31"/>
  <c r="EC336" i="31"/>
  <c r="EK1069" i="31"/>
  <c r="EJ1070" i="31"/>
  <c r="EJ1076" i="31" s="1"/>
  <c r="EI941" i="31"/>
  <c r="EH133" i="31"/>
  <c r="EH543" i="31"/>
  <c r="EH544" i="31" s="1"/>
  <c r="EH539" i="31"/>
  <c r="EC462" i="31"/>
  <c r="EH678" i="31" l="1"/>
  <c r="EI336" i="31"/>
  <c r="EH336" i="31"/>
  <c r="EH738" i="31"/>
  <c r="EK737" i="31"/>
  <c r="EL737" i="31" s="1"/>
  <c r="EI506" i="31"/>
  <c r="EH500" i="31"/>
  <c r="EH462" i="31"/>
  <c r="EK969" i="31"/>
  <c r="EK970" i="31" s="1"/>
  <c r="EK976" i="31" s="1"/>
  <c r="EI1029" i="31"/>
  <c r="EI1030" i="31" s="1"/>
  <c r="EJ133" i="31"/>
  <c r="EI177" i="31"/>
  <c r="EJ282" i="31"/>
  <c r="EC678" i="31"/>
  <c r="EC545" i="31"/>
  <c r="EJ545" i="31"/>
  <c r="EK1002" i="31"/>
  <c r="EL1002" i="31" s="1"/>
  <c r="EJ1024" i="31"/>
  <c r="EJ1029" i="31" s="1"/>
  <c r="EJ1030" i="31" s="1"/>
  <c r="EJ998" i="31"/>
  <c r="EI1020" i="31"/>
  <c r="EK998" i="31"/>
  <c r="EI1031" i="31"/>
  <c r="EJ1009" i="31"/>
  <c r="EK1048" i="31"/>
  <c r="EC744" i="31"/>
  <c r="EC269" i="31"/>
  <c r="EC270" i="31" s="1"/>
  <c r="EC639" i="31"/>
  <c r="EC506" i="31"/>
  <c r="EC265" i="31"/>
  <c r="EC282" i="31"/>
  <c r="EH175" i="31"/>
  <c r="EH176" i="31" s="1"/>
  <c r="EI656" i="31"/>
  <c r="EH171" i="31"/>
  <c r="EH650" i="31"/>
  <c r="EC188" i="31"/>
  <c r="EJ336" i="31"/>
  <c r="EH188" i="31"/>
  <c r="ED78" i="31"/>
  <c r="EH545" i="31"/>
  <c r="EH282" i="31"/>
  <c r="EA468" i="31"/>
  <c r="EC467" i="31"/>
  <c r="EC471" i="31"/>
  <c r="EC472" i="31" s="1"/>
  <c r="EH504" i="31"/>
  <c r="EH505" i="31" s="1"/>
  <c r="EK499" i="31"/>
  <c r="EJ500" i="31"/>
  <c r="EC76" i="31"/>
  <c r="EC77" i="31" s="1"/>
  <c r="EC886" i="31"/>
  <c r="EJ1059" i="31"/>
  <c r="EK1058" i="31"/>
  <c r="EI1065" i="31"/>
  <c r="EH76" i="31"/>
  <c r="EH77" i="31" s="1"/>
  <c r="EC72" i="31"/>
  <c r="EJ1014" i="31"/>
  <c r="EK1013" i="31"/>
  <c r="EJ177" i="31"/>
  <c r="EL127" i="31"/>
  <c r="EM126" i="31"/>
  <c r="EC199" i="31"/>
  <c r="EJ462" i="31"/>
  <c r="EL170" i="31"/>
  <c r="EK171" i="31"/>
  <c r="EK456" i="31"/>
  <c r="EL455" i="31"/>
  <c r="EL992" i="31"/>
  <c r="EM991" i="31"/>
  <c r="EL538" i="31"/>
  <c r="EK539" i="31"/>
  <c r="EK133" i="31"/>
  <c r="EL1069" i="31"/>
  <c r="EK1070" i="31"/>
  <c r="EK1076" i="31" s="1"/>
  <c r="EJ656" i="31"/>
  <c r="EM1047" i="31"/>
  <c r="EL1048" i="31"/>
  <c r="EL1036" i="31"/>
  <c r="EK1037" i="31"/>
  <c r="EK1043" i="31" s="1"/>
  <c r="EJ744" i="31"/>
  <c r="EK1054" i="31"/>
  <c r="EH744" i="31" l="1"/>
  <c r="EK738" i="31"/>
  <c r="EK744" i="31" s="1"/>
  <c r="EK462" i="31"/>
  <c r="EH506" i="31"/>
  <c r="EL969" i="31"/>
  <c r="EL970" i="31" s="1"/>
  <c r="EL976" i="31" s="1"/>
  <c r="EH177" i="31"/>
  <c r="EK1003" i="31"/>
  <c r="EK1009" i="31" s="1"/>
  <c r="EC645" i="31"/>
  <c r="EH656" i="31"/>
  <c r="EK1024" i="31"/>
  <c r="EK1029" i="31" s="1"/>
  <c r="EK1030" i="31" s="1"/>
  <c r="EJ1025" i="31"/>
  <c r="EJ1031" i="31" s="1"/>
  <c r="EL998" i="31"/>
  <c r="EJ1020" i="31"/>
  <c r="EC271" i="31"/>
  <c r="EC46" i="31"/>
  <c r="EC51" i="31" s="1"/>
  <c r="EC52" i="31" s="1"/>
  <c r="EC1393" i="31"/>
  <c r="EC1394" i="31" s="1"/>
  <c r="EC473" i="31"/>
  <c r="EL1013" i="31"/>
  <c r="EM1013" i="31" s="1"/>
  <c r="EH78" i="31"/>
  <c r="EC891" i="31"/>
  <c r="EC892" i="31" s="1"/>
  <c r="EL499" i="31"/>
  <c r="EK500" i="31"/>
  <c r="EJ506" i="31"/>
  <c r="EC78" i="31"/>
  <c r="EK1014" i="31"/>
  <c r="EC887" i="31"/>
  <c r="EC24" i="31"/>
  <c r="EJ1065" i="31"/>
  <c r="EC35" i="31"/>
  <c r="EL1058" i="31"/>
  <c r="EK1059" i="31"/>
  <c r="EK177" i="31"/>
  <c r="EL456" i="31"/>
  <c r="EM455" i="31"/>
  <c r="EM170" i="31"/>
  <c r="EL171" i="31"/>
  <c r="EL738" i="31"/>
  <c r="EM737" i="31"/>
  <c r="EM738" i="31" s="1"/>
  <c r="EN991" i="31"/>
  <c r="EM992" i="31"/>
  <c r="EM127" i="31"/>
  <c r="EN126" i="31"/>
  <c r="EO126" i="31" s="1"/>
  <c r="EN1047" i="31"/>
  <c r="EN1048" i="31" s="1"/>
  <c r="EM1048" i="31"/>
  <c r="EM1054" i="31" s="1"/>
  <c r="EM1002" i="31"/>
  <c r="EL1003" i="31"/>
  <c r="EK545" i="31"/>
  <c r="EM1069" i="31"/>
  <c r="EL1070" i="31"/>
  <c r="EL1076" i="31" s="1"/>
  <c r="EM1036" i="31"/>
  <c r="EL1037" i="31"/>
  <c r="EL1043" i="31" s="1"/>
  <c r="EL539" i="31"/>
  <c r="EM538" i="31"/>
  <c r="EL1054" i="31"/>
  <c r="EL133" i="31"/>
  <c r="EM969" i="31" l="1"/>
  <c r="EM970" i="31" s="1"/>
  <c r="EM976" i="31" s="1"/>
  <c r="EL462" i="31"/>
  <c r="EP126" i="31"/>
  <c r="EO127" i="31"/>
  <c r="EM499" i="31"/>
  <c r="EK1025" i="31"/>
  <c r="EK1031" i="31" s="1"/>
  <c r="EL744" i="31"/>
  <c r="EM133" i="31"/>
  <c r="EL177" i="31"/>
  <c r="EL545" i="31"/>
  <c r="EL1009" i="31"/>
  <c r="EK1020" i="31"/>
  <c r="EM998" i="31"/>
  <c r="GB97" i="9"/>
  <c r="GB98" i="9" s="1"/>
  <c r="EC47" i="31"/>
  <c r="EL1024" i="31"/>
  <c r="ED1393" i="31"/>
  <c r="EC1389" i="31"/>
  <c r="ED1389" i="31" s="1"/>
  <c r="ED46" i="31"/>
  <c r="EC1387" i="31"/>
  <c r="ED1387" i="31" s="1"/>
  <c r="EC1388" i="31"/>
  <c r="ED1388" i="31" s="1"/>
  <c r="EC1390" i="31"/>
  <c r="ED1390" i="31" s="1"/>
  <c r="EC1392" i="31"/>
  <c r="ED1392" i="31" s="1"/>
  <c r="EC1391" i="31"/>
  <c r="ED1391" i="31" s="1"/>
  <c r="EC1386" i="31"/>
  <c r="ED1386" i="31" s="1"/>
  <c r="EL1014" i="31"/>
  <c r="EL1020" i="31" s="1"/>
  <c r="EC25" i="31"/>
  <c r="GB107" i="9" s="1"/>
  <c r="EC29" i="31"/>
  <c r="EC30" i="31" s="1"/>
  <c r="EK506" i="31"/>
  <c r="EL500" i="31"/>
  <c r="EC893" i="31"/>
  <c r="GB93" i="9"/>
  <c r="GB94" i="9" s="1"/>
  <c r="EC16" i="31"/>
  <c r="EC40" i="31"/>
  <c r="EC41" i="31" s="1"/>
  <c r="EC36" i="31"/>
  <c r="EK1065" i="31"/>
  <c r="EL1059" i="31"/>
  <c r="EL1065" i="31" s="1"/>
  <c r="EM1058" i="31"/>
  <c r="GC23" i="9"/>
  <c r="GB24" i="9"/>
  <c r="EN170" i="31"/>
  <c r="EM171" i="31"/>
  <c r="EN992" i="31"/>
  <c r="EN998" i="31" s="1"/>
  <c r="EM456" i="31"/>
  <c r="EN455" i="31"/>
  <c r="EN1013" i="31"/>
  <c r="EN1014" i="31" s="1"/>
  <c r="EM1014" i="31"/>
  <c r="EN538" i="31"/>
  <c r="EM539" i="31"/>
  <c r="EN127" i="31"/>
  <c r="EM1024" i="31"/>
  <c r="EM1003" i="31"/>
  <c r="EN1002" i="31"/>
  <c r="EN1003" i="31" s="1"/>
  <c r="EN1036" i="31"/>
  <c r="EN1037" i="31" s="1"/>
  <c r="EM1037" i="31"/>
  <c r="EN1069" i="31"/>
  <c r="EN1070" i="31" s="1"/>
  <c r="EM1070" i="31"/>
  <c r="EN1054" i="31"/>
  <c r="EM744" i="31"/>
  <c r="EN969" i="31" l="1"/>
  <c r="EN970" i="31" s="1"/>
  <c r="EN976" i="31" s="1"/>
  <c r="EV83" i="10"/>
  <c r="EY84" i="10" s="1"/>
  <c r="ED51" i="31"/>
  <c r="ED52" i="31" s="1"/>
  <c r="EN456" i="31"/>
  <c r="EO455" i="31"/>
  <c r="EM462" i="31"/>
  <c r="EN171" i="31"/>
  <c r="EO170" i="31"/>
  <c r="EO133" i="31"/>
  <c r="EQ126" i="31"/>
  <c r="EP127" i="31"/>
  <c r="EM500" i="31"/>
  <c r="EN499" i="31"/>
  <c r="GB29" i="9"/>
  <c r="EN133" i="31"/>
  <c r="EM177" i="31"/>
  <c r="EN1009" i="31"/>
  <c r="EM1009" i="31"/>
  <c r="EL1025" i="31"/>
  <c r="EL1029" i="31"/>
  <c r="EL1030" i="31" s="1"/>
  <c r="ED1378" i="31"/>
  <c r="EN1020" i="31"/>
  <c r="EM1020" i="31"/>
  <c r="EM1029" i="31"/>
  <c r="EM1030" i="31" s="1"/>
  <c r="EC53" i="31"/>
  <c r="ED1383" i="31"/>
  <c r="ED1380" i="31"/>
  <c r="EE1377" i="31" s="1"/>
  <c r="EE1406" i="31" s="1"/>
  <c r="ED1382" i="31"/>
  <c r="ED1394" i="31"/>
  <c r="ED1381" i="31"/>
  <c r="ED1377" i="31"/>
  <c r="ED1379" i="31"/>
  <c r="GC97" i="9"/>
  <c r="ED47" i="31"/>
  <c r="GB102" i="9"/>
  <c r="GB106" i="9"/>
  <c r="GB108" i="9"/>
  <c r="GB103" i="9"/>
  <c r="GB115" i="9" s="1"/>
  <c r="EC31" i="31"/>
  <c r="EL506" i="31"/>
  <c r="EC42" i="31"/>
  <c r="EC17" i="31"/>
  <c r="EN1058" i="31"/>
  <c r="EN1059" i="31" s="1"/>
  <c r="EM1059" i="31"/>
  <c r="EM1065" i="31" s="1"/>
  <c r="GB104" i="9"/>
  <c r="EN1076" i="31"/>
  <c r="EN1043" i="31"/>
  <c r="EN1024" i="31"/>
  <c r="EN1025" i="31" s="1"/>
  <c r="EM1025" i="31"/>
  <c r="EO538" i="31"/>
  <c r="EN539" i="31"/>
  <c r="GC24" i="9"/>
  <c r="EM1043" i="31"/>
  <c r="EM1076" i="31"/>
  <c r="EC1374" i="31"/>
  <c r="ED1374" i="31" s="1"/>
  <c r="EM545" i="31"/>
  <c r="GB75" i="9"/>
  <c r="EY78" i="10" l="1"/>
  <c r="EY69" i="10"/>
  <c r="EY74" i="10"/>
  <c r="EY70" i="10"/>
  <c r="EY76" i="10"/>
  <c r="EY59" i="10"/>
  <c r="EY62" i="10" s="1"/>
  <c r="EY79" i="10"/>
  <c r="EY144" i="10"/>
  <c r="EY66" i="10"/>
  <c r="EY77" i="10"/>
  <c r="EY75" i="10"/>
  <c r="EY68" i="10"/>
  <c r="EY67" i="10"/>
  <c r="EY73" i="10"/>
  <c r="EY65" i="10"/>
  <c r="EY216" i="10" s="1"/>
  <c r="EV84" i="10"/>
  <c r="EV67" i="10" s="1"/>
  <c r="EX84" i="10"/>
  <c r="EW83" i="10"/>
  <c r="EW84" i="10" s="1"/>
  <c r="EW59" i="10" s="1"/>
  <c r="GC67" i="9"/>
  <c r="GC66" i="9"/>
  <c r="GC65" i="9"/>
  <c r="EN177" i="31"/>
  <c r="EN462" i="31"/>
  <c r="EP455" i="31"/>
  <c r="EO456" i="31"/>
  <c r="EP170" i="31"/>
  <c r="EO171" i="31"/>
  <c r="ER126" i="31"/>
  <c r="EQ127" i="31"/>
  <c r="EP133" i="31"/>
  <c r="EN500" i="31"/>
  <c r="EO499" i="31"/>
  <c r="EM506" i="31"/>
  <c r="EN545" i="31"/>
  <c r="EN1029" i="31"/>
  <c r="EN1030" i="31" s="1"/>
  <c r="EN1031" i="31"/>
  <c r="EM1031" i="31"/>
  <c r="EL1031" i="31"/>
  <c r="ED53" i="31"/>
  <c r="ED1406" i="31"/>
  <c r="ED1407" i="31" s="1"/>
  <c r="GC98" i="9"/>
  <c r="GB114" i="9"/>
  <c r="GB116" i="9" s="1"/>
  <c r="EN1065" i="31"/>
  <c r="EE1370" i="31"/>
  <c r="EE1407" i="31"/>
  <c r="EE1373" i="31" s="1"/>
  <c r="GC2" i="9"/>
  <c r="GC4" i="9" s="1"/>
  <c r="GC7" i="9" s="1"/>
  <c r="GC75" i="9"/>
  <c r="EP538" i="31"/>
  <c r="EO539" i="31"/>
  <c r="EV65" i="10" l="1"/>
  <c r="EV216" i="10" s="1"/>
  <c r="EV68" i="10"/>
  <c r="EV79" i="10"/>
  <c r="EV77" i="10"/>
  <c r="EV73" i="10"/>
  <c r="EV69" i="10"/>
  <c r="EV78" i="10"/>
  <c r="EV66" i="10"/>
  <c r="EV76" i="10"/>
  <c r="EV75" i="10"/>
  <c r="EV59" i="10"/>
  <c r="EV62" i="10" s="1"/>
  <c r="EV70" i="10"/>
  <c r="EV144" i="10"/>
  <c r="EV74" i="10"/>
  <c r="EX136" i="10"/>
  <c r="EX78" i="10"/>
  <c r="EX75" i="10"/>
  <c r="EX70" i="10"/>
  <c r="EX67" i="10"/>
  <c r="EX65" i="10"/>
  <c r="EX216" i="10" s="1"/>
  <c r="EX68" i="10"/>
  <c r="EX77" i="10"/>
  <c r="EX59" i="10"/>
  <c r="EX62" i="10" s="1"/>
  <c r="EX79" i="10"/>
  <c r="EX69" i="10"/>
  <c r="EX66" i="10"/>
  <c r="EX73" i="10"/>
  <c r="EX76" i="10"/>
  <c r="EX74" i="10"/>
  <c r="EW68" i="10"/>
  <c r="EW70" i="10"/>
  <c r="EW78" i="10"/>
  <c r="EW75" i="10"/>
  <c r="EW77" i="10"/>
  <c r="EW69" i="10"/>
  <c r="EW73" i="10"/>
  <c r="EW67" i="10"/>
  <c r="EW74" i="10"/>
  <c r="EW76" i="10"/>
  <c r="EW65" i="10"/>
  <c r="EW216" i="10" s="1"/>
  <c r="EW79" i="10"/>
  <c r="EW66" i="10"/>
  <c r="EW174" i="10"/>
  <c r="EW85" i="10"/>
  <c r="EW86" i="10" s="1"/>
  <c r="EO462" i="31"/>
  <c r="EQ455" i="31"/>
  <c r="EP456" i="31"/>
  <c r="EO177" i="31"/>
  <c r="EQ170" i="31"/>
  <c r="EP171" i="31"/>
  <c r="ES126" i="31"/>
  <c r="ER127" i="31"/>
  <c r="EQ133" i="31"/>
  <c r="EN506" i="31"/>
  <c r="EO500" i="31"/>
  <c r="EP499" i="31"/>
  <c r="EF1377" i="31"/>
  <c r="EF1406" i="31" s="1"/>
  <c r="EF1370" i="31" s="1"/>
  <c r="GC29" i="9"/>
  <c r="GC77" i="9"/>
  <c r="GC76" i="9"/>
  <c r="GC78" i="9"/>
  <c r="GB133" i="9"/>
  <c r="EH1377" i="31"/>
  <c r="EP539" i="31"/>
  <c r="EQ538" i="31"/>
  <c r="EO545" i="31"/>
  <c r="GC69" i="9" l="1"/>
  <c r="GC68" i="9"/>
  <c r="EW60" i="10"/>
  <c r="EW61" i="10"/>
  <c r="EP462" i="31"/>
  <c r="ER455" i="31"/>
  <c r="EQ456" i="31"/>
  <c r="ER170" i="31"/>
  <c r="EQ171" i="31"/>
  <c r="EP177" i="31"/>
  <c r="ES127" i="31"/>
  <c r="ER133" i="31"/>
  <c r="EO506" i="31"/>
  <c r="EQ499" i="31"/>
  <c r="EP500" i="31"/>
  <c r="EF1407" i="31"/>
  <c r="EF1373" i="31" s="1"/>
  <c r="EP545" i="31"/>
  <c r="GC38" i="9"/>
  <c r="GC39" i="9"/>
  <c r="GC79" i="9"/>
  <c r="GB66" i="9"/>
  <c r="GB77" i="9"/>
  <c r="ER538" i="31"/>
  <c r="EQ539" i="31"/>
  <c r="GB65" i="9"/>
  <c r="EV174" i="10" s="1"/>
  <c r="GB76" i="9"/>
  <c r="EH1406" i="31"/>
  <c r="EH1370" i="31" s="1"/>
  <c r="GB78" i="9"/>
  <c r="GB67" i="9"/>
  <c r="GC133" i="9"/>
  <c r="GC70" i="9" l="1"/>
  <c r="EW175" i="10"/>
  <c r="EW62" i="10"/>
  <c r="EQ462" i="31"/>
  <c r="ES455" i="31"/>
  <c r="ER456" i="31"/>
  <c r="EQ177" i="31"/>
  <c r="ES170" i="31"/>
  <c r="ES171" i="31" s="1"/>
  <c r="ER171" i="31"/>
  <c r="ES133" i="31"/>
  <c r="EP506" i="31"/>
  <c r="EQ500" i="31"/>
  <c r="ER499" i="31"/>
  <c r="EQ545" i="31"/>
  <c r="EI1370" i="31"/>
  <c r="EH1407" i="31"/>
  <c r="EH1373" i="31" s="1"/>
  <c r="EI1361" i="31"/>
  <c r="EZ73" i="10"/>
  <c r="GC80" i="9"/>
  <c r="GC122" i="9"/>
  <c r="GC125" i="9"/>
  <c r="GB68" i="9"/>
  <c r="EV175" i="10" s="1"/>
  <c r="GB69" i="9"/>
  <c r="GB38" i="9"/>
  <c r="GB79" i="9"/>
  <c r="EZ76" i="10"/>
  <c r="ER539" i="31"/>
  <c r="ES538" i="31"/>
  <c r="EI1224" i="31" l="1"/>
  <c r="EI1212" i="31"/>
  <c r="ES456" i="31"/>
  <c r="ER462" i="31"/>
  <c r="ER177" i="31"/>
  <c r="ES177" i="31"/>
  <c r="ER500" i="31"/>
  <c r="ES499" i="31"/>
  <c r="EQ506" i="31"/>
  <c r="ER545" i="31"/>
  <c r="EZ78" i="10"/>
  <c r="GB70" i="9"/>
  <c r="GB80" i="9"/>
  <c r="GB122" i="9"/>
  <c r="GB125" i="9"/>
  <c r="GB127" i="9" s="1"/>
  <c r="EZ75" i="10"/>
  <c r="EH1121" i="31"/>
  <c r="EH1116" i="31" s="1"/>
  <c r="EH1117" i="31" s="1"/>
  <c r="EZ66" i="10"/>
  <c r="EZ67" i="10"/>
  <c r="EZ68" i="10"/>
  <c r="EZ77" i="10"/>
  <c r="GC127" i="9"/>
  <c r="FA73" i="10"/>
  <c r="EZ70" i="10"/>
  <c r="EI938" i="31"/>
  <c r="EI1109" i="31"/>
  <c r="EI1104" i="31" s="1"/>
  <c r="EI1236" i="31"/>
  <c r="EI950" i="31"/>
  <c r="EI1133" i="31"/>
  <c r="EI1128" i="31" s="1"/>
  <c r="EI1331" i="31"/>
  <c r="EI1248" i="31"/>
  <c r="EI1097" i="31"/>
  <c r="EI1092" i="31" s="1"/>
  <c r="FA76" i="10"/>
  <c r="ET538" i="31"/>
  <c r="ET466" i="31" s="1"/>
  <c r="ET467" i="31" s="1"/>
  <c r="ES539" i="31"/>
  <c r="ES462" i="31" l="1"/>
  <c r="ES500" i="31"/>
  <c r="ER506" i="31"/>
  <c r="ES545" i="31"/>
  <c r="GB49" i="9"/>
  <c r="GB56" i="9" s="1"/>
  <c r="EI933" i="31"/>
  <c r="FA78" i="10"/>
  <c r="FA67" i="10"/>
  <c r="FA66" i="10"/>
  <c r="EH1128" i="31"/>
  <c r="EJ1128" i="31"/>
  <c r="EI1129" i="31"/>
  <c r="EJ1136" i="31" s="1"/>
  <c r="GB71" i="9"/>
  <c r="GB50" i="9" s="1"/>
  <c r="FA77" i="10"/>
  <c r="EU538" i="31"/>
  <c r="EU466" i="31" s="1"/>
  <c r="EU467" i="31" s="1"/>
  <c r="ET539" i="31"/>
  <c r="ET545" i="31" s="1"/>
  <c r="EH1123" i="31"/>
  <c r="FA75" i="10"/>
  <c r="EI1326" i="31"/>
  <c r="EI945" i="31"/>
  <c r="FA70" i="10"/>
  <c r="EI1121" i="31"/>
  <c r="GB43" i="9"/>
  <c r="EJ1092" i="31"/>
  <c r="EH1092" i="31"/>
  <c r="EI1093" i="31"/>
  <c r="EI1243" i="31"/>
  <c r="EI1231" i="31"/>
  <c r="EH1104" i="31"/>
  <c r="EI1105" i="31"/>
  <c r="EJ1104" i="31"/>
  <c r="FA68" i="10"/>
  <c r="EI1116" i="31"/>
  <c r="ES506" i="31" l="1"/>
  <c r="EV173" i="10"/>
  <c r="EV172" i="10"/>
  <c r="EI1080" i="31"/>
  <c r="EJ1112" i="31"/>
  <c r="EU473" i="31"/>
  <c r="EU471" i="31"/>
  <c r="EU472" i="31" s="1"/>
  <c r="GB53" i="9"/>
  <c r="EI1099" i="31"/>
  <c r="EJ945" i="31"/>
  <c r="EJ946" i="31" s="1"/>
  <c r="EI946" i="31"/>
  <c r="EJ953" i="31" s="1"/>
  <c r="EH945" i="31"/>
  <c r="EK1104" i="31"/>
  <c r="EJ1105" i="31"/>
  <c r="EH1080" i="31"/>
  <c r="EH1093" i="31"/>
  <c r="EH1099" i="31" s="1"/>
  <c r="EH1097" i="31"/>
  <c r="EJ1326" i="31"/>
  <c r="EI1327" i="31"/>
  <c r="EH1326" i="31"/>
  <c r="EU539" i="31"/>
  <c r="EV538" i="31"/>
  <c r="EV466" i="31" s="1"/>
  <c r="EV467" i="31" s="1"/>
  <c r="EH1231" i="31"/>
  <c r="EI1232" i="31"/>
  <c r="EJ1239" i="31" s="1"/>
  <c r="EJ1231" i="31"/>
  <c r="EJ1100" i="31"/>
  <c r="EJ933" i="31"/>
  <c r="EI934" i="31"/>
  <c r="EI921" i="31"/>
  <c r="EH933" i="31"/>
  <c r="EJ1093" i="31"/>
  <c r="EK1092" i="31"/>
  <c r="EI1111" i="31"/>
  <c r="EH1243" i="31"/>
  <c r="EJ1243" i="31"/>
  <c r="EI1244" i="31"/>
  <c r="EJ1251" i="31" s="1"/>
  <c r="EI1135" i="31"/>
  <c r="EH1133" i="31"/>
  <c r="EH1134" i="31" s="1"/>
  <c r="EH1136" i="31" s="1"/>
  <c r="EH1129" i="31"/>
  <c r="EH1135" i="31" s="1"/>
  <c r="EJ1116" i="31"/>
  <c r="EI1117" i="31"/>
  <c r="EH1105" i="31"/>
  <c r="EH1111" i="31" s="1"/>
  <c r="EH1109" i="31"/>
  <c r="GB52" i="9"/>
  <c r="GB72" i="9"/>
  <c r="EV176" i="10" s="1"/>
  <c r="GB81" i="9"/>
  <c r="GB84" i="9" s="1"/>
  <c r="GB55" i="9"/>
  <c r="EK1128" i="31"/>
  <c r="EJ1129" i="31"/>
  <c r="EK1136" i="31" s="1"/>
  <c r="EH1098" i="31" l="1"/>
  <c r="EH1100" i="31" s="1"/>
  <c r="EI1085" i="31"/>
  <c r="EI1081" i="31"/>
  <c r="EJ1124" i="31"/>
  <c r="EJ1080" i="31"/>
  <c r="EK1100" i="31"/>
  <c r="EV473" i="31"/>
  <c r="EV471" i="31"/>
  <c r="EV472" i="31" s="1"/>
  <c r="EJ1334" i="31"/>
  <c r="EH1110" i="31"/>
  <c r="EH1112" i="31" s="1"/>
  <c r="EK1093" i="31"/>
  <c r="EL1092" i="31"/>
  <c r="EH1327" i="31"/>
  <c r="EH1331" i="31"/>
  <c r="EH1332" i="31" s="1"/>
  <c r="EH1334" i="31" s="1"/>
  <c r="EH1081" i="31"/>
  <c r="EH1085" i="31"/>
  <c r="EH1086" i="31" s="1"/>
  <c r="EH1088" i="31" s="1"/>
  <c r="EI1123" i="31"/>
  <c r="EK933" i="31"/>
  <c r="EJ934" i="31"/>
  <c r="EK941" i="31" s="1"/>
  <c r="EJ921" i="31"/>
  <c r="EJ926" i="31" s="1"/>
  <c r="EJ927" i="31" s="1"/>
  <c r="EH950" i="31"/>
  <c r="EH946" i="31"/>
  <c r="EH952" i="31" s="1"/>
  <c r="GB82" i="9"/>
  <c r="GB83" i="9" s="1"/>
  <c r="EJ1099" i="31"/>
  <c r="EH921" i="31"/>
  <c r="EH938" i="31"/>
  <c r="EH939" i="31" s="1"/>
  <c r="EH941" i="31" s="1"/>
  <c r="EH934" i="31"/>
  <c r="EH940" i="31" s="1"/>
  <c r="EK1231" i="31"/>
  <c r="EJ1232" i="31"/>
  <c r="EK1239" i="31" s="1"/>
  <c r="EJ1111" i="31"/>
  <c r="EI1250" i="31"/>
  <c r="EV539" i="31"/>
  <c r="EV545" i="31" s="1"/>
  <c r="EW538" i="31"/>
  <c r="EW466" i="31" s="1"/>
  <c r="EW467" i="31" s="1"/>
  <c r="EI1333" i="31"/>
  <c r="EI952" i="31"/>
  <c r="EI1238" i="31"/>
  <c r="EK1326" i="31"/>
  <c r="EJ1327" i="31"/>
  <c r="EK1112" i="31"/>
  <c r="EK945" i="31"/>
  <c r="EK953" i="31"/>
  <c r="EI940" i="31"/>
  <c r="EJ1135" i="31"/>
  <c r="EK1116" i="31"/>
  <c r="EJ1117" i="31"/>
  <c r="EL1128" i="31"/>
  <c r="EK1129" i="31"/>
  <c r="EL1136" i="31" s="1"/>
  <c r="EK1243" i="31"/>
  <c r="EJ1244" i="31"/>
  <c r="EK1251" i="31" s="1"/>
  <c r="EI922" i="31"/>
  <c r="EI926" i="31"/>
  <c r="EH1244" i="31"/>
  <c r="EH1250" i="31" s="1"/>
  <c r="EH1248" i="31"/>
  <c r="EH1249" i="31" s="1"/>
  <c r="EH1251" i="31" s="1"/>
  <c r="EJ941" i="31"/>
  <c r="EH1232" i="31"/>
  <c r="EH1238" i="31" s="1"/>
  <c r="EH1236" i="31"/>
  <c r="EH1237" i="31" s="1"/>
  <c r="EK1105" i="31"/>
  <c r="EL1104" i="31"/>
  <c r="EU545" i="31"/>
  <c r="EH951" i="31" l="1"/>
  <c r="EH953" i="31" s="1"/>
  <c r="EI1086" i="31"/>
  <c r="EI1087" i="31"/>
  <c r="EJ1085" i="31"/>
  <c r="EJ1086" i="31" s="1"/>
  <c r="EJ1088" i="31" s="1"/>
  <c r="EJ1081" i="31"/>
  <c r="EK1080" i="31"/>
  <c r="EL1100" i="31"/>
  <c r="EW473" i="31"/>
  <c r="EW471" i="31"/>
  <c r="EW472" i="31" s="1"/>
  <c r="EK1334" i="31"/>
  <c r="EH1239" i="31"/>
  <c r="EH1087" i="31"/>
  <c r="EH1333" i="31"/>
  <c r="EJ929" i="31"/>
  <c r="EW539" i="31"/>
  <c r="EJ922" i="31"/>
  <c r="EK1099" i="31"/>
  <c r="EK1111" i="31"/>
  <c r="EJ1250" i="31"/>
  <c r="EJ1123" i="31"/>
  <c r="EJ952" i="31"/>
  <c r="EJ1333" i="31"/>
  <c r="EL1243" i="31"/>
  <c r="EK1244" i="31"/>
  <c r="EL1251" i="31" s="1"/>
  <c r="EL945" i="31"/>
  <c r="EK946" i="31"/>
  <c r="EL953" i="31" s="1"/>
  <c r="EL1326" i="31"/>
  <c r="EK1327" i="31"/>
  <c r="EH922" i="31"/>
  <c r="EH926" i="31"/>
  <c r="EH927" i="31" s="1"/>
  <c r="EH929" i="31" s="1"/>
  <c r="EJ940" i="31"/>
  <c r="EL1112" i="31"/>
  <c r="EI927" i="31"/>
  <c r="EK1135" i="31"/>
  <c r="EK1117" i="31"/>
  <c r="EL1116" i="31"/>
  <c r="EL1080" i="31" s="1"/>
  <c r="EJ1238" i="31"/>
  <c r="EL933" i="31"/>
  <c r="EK934" i="31"/>
  <c r="EL941" i="31" s="1"/>
  <c r="EK921" i="31"/>
  <c r="EK926" i="31" s="1"/>
  <c r="EL1105" i="31"/>
  <c r="EL1111" i="31" s="1"/>
  <c r="EM1104" i="31"/>
  <c r="EI928" i="31"/>
  <c r="EM1128" i="31"/>
  <c r="EL1129" i="31"/>
  <c r="EL1135" i="31" s="1"/>
  <c r="EK1124" i="31"/>
  <c r="EL1231" i="31"/>
  <c r="EK1232" i="31"/>
  <c r="EL1239" i="31" s="1"/>
  <c r="EL1093" i="31"/>
  <c r="EL1099" i="31" s="1"/>
  <c r="EM1092" i="31"/>
  <c r="EI1088" i="31" l="1"/>
  <c r="EL1085" i="31"/>
  <c r="EL1086" i="31" s="1"/>
  <c r="EK1081" i="31"/>
  <c r="EK1085" i="31"/>
  <c r="EJ1087" i="31"/>
  <c r="EL1124" i="31"/>
  <c r="EJ928" i="31"/>
  <c r="EL1334" i="31"/>
  <c r="EH928" i="31"/>
  <c r="EM1136" i="31"/>
  <c r="EK927" i="31"/>
  <c r="EK929" i="31" s="1"/>
  <c r="EM1105" i="31"/>
  <c r="EM1111" i="31" s="1"/>
  <c r="EN1104" i="31"/>
  <c r="EN1105" i="31" s="1"/>
  <c r="EM1100" i="31"/>
  <c r="EM1093" i="31"/>
  <c r="EM1099" i="31" s="1"/>
  <c r="EN1092" i="31"/>
  <c r="EN1128" i="31"/>
  <c r="EN1129" i="31" s="1"/>
  <c r="EM1129" i="31"/>
  <c r="EM1135" i="31" s="1"/>
  <c r="EL1117" i="31"/>
  <c r="EL1123" i="31" s="1"/>
  <c r="EM1116" i="31"/>
  <c r="EK922" i="31"/>
  <c r="EK1250" i="31"/>
  <c r="EK940" i="31"/>
  <c r="EK1333" i="31"/>
  <c r="EK952" i="31"/>
  <c r="EM1243" i="31"/>
  <c r="EL1244" i="31"/>
  <c r="EL1250" i="31" s="1"/>
  <c r="EI929" i="31"/>
  <c r="EL1081" i="31"/>
  <c r="EK1238" i="31"/>
  <c r="EK1123" i="31"/>
  <c r="EM1231" i="31"/>
  <c r="EL1232" i="31"/>
  <c r="EL1238" i="31" s="1"/>
  <c r="EM1112" i="31"/>
  <c r="EL921" i="31"/>
  <c r="EM933" i="31"/>
  <c r="EL934" i="31"/>
  <c r="EL940" i="31" s="1"/>
  <c r="EM1326" i="31"/>
  <c r="EL1327" i="31"/>
  <c r="EM945" i="31"/>
  <c r="EL946" i="31"/>
  <c r="EL952" i="31" s="1"/>
  <c r="EW545" i="31"/>
  <c r="EL1088" i="31" l="1"/>
  <c r="EK1087" i="31"/>
  <c r="EK1086" i="31"/>
  <c r="EM1334" i="31"/>
  <c r="EK928" i="31"/>
  <c r="EM953" i="31"/>
  <c r="EN1100" i="31"/>
  <c r="EN1136" i="31"/>
  <c r="EM1251" i="31"/>
  <c r="EM1124" i="31"/>
  <c r="EN1112" i="31"/>
  <c r="EM1239" i="31"/>
  <c r="EN1111" i="31"/>
  <c r="GA131" i="9"/>
  <c r="EM941" i="31"/>
  <c r="EN1093" i="31"/>
  <c r="EN1099" i="31" s="1"/>
  <c r="EN945" i="31"/>
  <c r="EN946" i="31" s="1"/>
  <c r="EM946" i="31"/>
  <c r="EM952" i="31" s="1"/>
  <c r="EL1087" i="31"/>
  <c r="EM1117" i="31"/>
  <c r="EM1123" i="31" s="1"/>
  <c r="EN1116" i="31"/>
  <c r="EN1117" i="31" s="1"/>
  <c r="EN1243" i="31"/>
  <c r="EN1244" i="31" s="1"/>
  <c r="EM1244" i="31"/>
  <c r="EM1250" i="31" s="1"/>
  <c r="EN933" i="31"/>
  <c r="EM934" i="31"/>
  <c r="EM940" i="31" s="1"/>
  <c r="EM921" i="31"/>
  <c r="EM926" i="31" s="1"/>
  <c r="EM927" i="31" s="1"/>
  <c r="EL922" i="31"/>
  <c r="EL926" i="31"/>
  <c r="EL927" i="31" s="1"/>
  <c r="EL929" i="31" s="1"/>
  <c r="EN1231" i="31"/>
  <c r="EM1232" i="31"/>
  <c r="EM1238" i="31" s="1"/>
  <c r="EL1333" i="31"/>
  <c r="EN1326" i="31"/>
  <c r="EM1327" i="31"/>
  <c r="EN1135" i="31"/>
  <c r="EM1080" i="31"/>
  <c r="EK1088" i="31" l="1"/>
  <c r="EL928" i="31"/>
  <c r="EN941" i="31"/>
  <c r="EN953" i="31"/>
  <c r="EM929" i="31"/>
  <c r="EM1333" i="31"/>
  <c r="EN1327" i="31"/>
  <c r="EN1250" i="31"/>
  <c r="EN1239" i="31"/>
  <c r="EN921" i="31"/>
  <c r="EN922" i="31" s="1"/>
  <c r="EN934" i="31"/>
  <c r="EN940" i="31" s="1"/>
  <c r="EN1232" i="31"/>
  <c r="EN1238" i="31" s="1"/>
  <c r="EN1123" i="31"/>
  <c r="EM1081" i="31"/>
  <c r="EM1085" i="31"/>
  <c r="EM1086" i="31" s="1"/>
  <c r="EM1088" i="31" s="1"/>
  <c r="EN1334" i="31"/>
  <c r="EM922" i="31"/>
  <c r="EN1251" i="31"/>
  <c r="EN1124" i="31"/>
  <c r="EN952" i="31"/>
  <c r="EN1080" i="31"/>
  <c r="EN1081" i="31" s="1"/>
  <c r="GA134" i="9"/>
  <c r="GA135" i="9" s="1"/>
  <c r="EN928" i="31" l="1"/>
  <c r="EN1333" i="31"/>
  <c r="EN1085" i="31"/>
  <c r="EN1086" i="31" s="1"/>
  <c r="EN1088" i="31" s="1"/>
  <c r="EN1087" i="31"/>
  <c r="EM1087" i="31"/>
  <c r="EM928" i="31"/>
  <c r="EN926" i="31"/>
  <c r="EN927" i="31" s="1"/>
  <c r="EN929" i="31" s="1"/>
  <c r="GB44" i="9" l="1"/>
  <c r="GB47" i="9"/>
  <c r="GB54" i="9"/>
  <c r="GB57" i="9"/>
  <c r="GC44" i="9" l="1"/>
  <c r="GC47" i="9"/>
  <c r="FB184" i="10" l="1"/>
  <c r="ED470" i="31" l="1"/>
  <c r="ED509" i="31"/>
  <c r="ED517" i="31"/>
  <c r="ED520" i="31"/>
  <c r="ED523" i="31" l="1"/>
  <c r="ED467" i="31"/>
  <c r="ED473" i="31" l="1"/>
  <c r="EC683" i="31" l="1"/>
  <c r="EH689" i="31" s="1"/>
  <c r="EC689" i="31" l="1"/>
  <c r="ED638" i="31"/>
  <c r="ED686" i="31"/>
  <c r="ED687" i="31"/>
  <c r="ED688" i="31" s="1"/>
  <c r="ED689" i="31"/>
  <c r="ED642" i="31" l="1"/>
  <c r="ED639" i="31"/>
  <c r="ED643" i="31"/>
  <c r="ED644" i="31" s="1"/>
  <c r="ED645" i="31" l="1"/>
  <c r="EI758" i="31" l="1"/>
  <c r="EH758" i="31" l="1"/>
  <c r="EH692" i="31" s="1"/>
  <c r="EI692" i="31"/>
  <c r="EJ758" i="31"/>
  <c r="EH763" i="31" l="1"/>
  <c r="EI697" i="31"/>
  <c r="EK758" i="31"/>
  <c r="EH697" i="31"/>
  <c r="EL758" i="31" l="1"/>
  <c r="EM758" i="31" l="1"/>
  <c r="EI759" i="31"/>
  <c r="EI693" i="31" s="1"/>
  <c r="EI694" i="31" s="1"/>
  <c r="ED760" i="31"/>
  <c r="ED766" i="31" l="1"/>
  <c r="EJ759" i="31"/>
  <c r="EJ693" i="31" s="1"/>
  <c r="EI760" i="31"/>
  <c r="EN758" i="31"/>
  <c r="EN692" i="31" s="1"/>
  <c r="EH759" i="31"/>
  <c r="EH693" i="31" s="1"/>
  <c r="EH694" i="31" s="1"/>
  <c r="EI698" i="31"/>
  <c r="EI699" i="31" s="1"/>
  <c r="EJ760" i="31" l="1"/>
  <c r="EJ766" i="31" s="1"/>
  <c r="EO758" i="31"/>
  <c r="EO692" i="31" s="1"/>
  <c r="EK759" i="31"/>
  <c r="EJ698" i="31"/>
  <c r="EJ699" i="31" s="1"/>
  <c r="EI766" i="31"/>
  <c r="EH760" i="31"/>
  <c r="EH764" i="31"/>
  <c r="EH695" i="31"/>
  <c r="EI700" i="31"/>
  <c r="EK760" i="31" l="1"/>
  <c r="EK766" i="31" s="1"/>
  <c r="EL759" i="31"/>
  <c r="EO697" i="31"/>
  <c r="EP758" i="31"/>
  <c r="EP692" i="31" s="1"/>
  <c r="EH700" i="31"/>
  <c r="EH698" i="31"/>
  <c r="EH699" i="31" s="1"/>
  <c r="EH766" i="31"/>
  <c r="EH765" i="31"/>
  <c r="EL760" i="31" l="1"/>
  <c r="EL766" i="31" s="1"/>
  <c r="EP697" i="31"/>
  <c r="EM759" i="31"/>
  <c r="EQ758" i="31"/>
  <c r="EQ692" i="31" s="1"/>
  <c r="EM760" i="31" l="1"/>
  <c r="EM766" i="31" s="1"/>
  <c r="EN759" i="31"/>
  <c r="EQ697" i="31"/>
  <c r="ER758" i="31"/>
  <c r="ER692" i="31" s="1"/>
  <c r="EO759" i="31" l="1"/>
  <c r="EO693" i="31" s="1"/>
  <c r="EO694" i="31" s="1"/>
  <c r="EN693" i="31"/>
  <c r="EN694" i="31" s="1"/>
  <c r="ER697" i="31"/>
  <c r="EN760" i="31"/>
  <c r="EN766" i="31" s="1"/>
  <c r="ES758" i="31"/>
  <c r="ES692" i="31" s="1"/>
  <c r="EP759" i="31" l="1"/>
  <c r="EP693" i="31" s="1"/>
  <c r="EP694" i="31" s="1"/>
  <c r="EP700" i="31" s="1"/>
  <c r="EO700" i="31"/>
  <c r="EO760" i="31"/>
  <c r="EO766" i="31" s="1"/>
  <c r="EO698" i="31"/>
  <c r="EO699" i="31" s="1"/>
  <c r="ES697" i="31"/>
  <c r="EQ759" i="31" l="1"/>
  <c r="EQ693" i="31" s="1"/>
  <c r="EQ694" i="31" s="1"/>
  <c r="EQ700" i="31" s="1"/>
  <c r="EP760" i="31"/>
  <c r="EP766" i="31" s="1"/>
  <c r="EP698" i="31"/>
  <c r="EP699" i="31" s="1"/>
  <c r="ER759" i="31" l="1"/>
  <c r="ER693" i="31" s="1"/>
  <c r="ER694" i="31" s="1"/>
  <c r="ER700" i="31" s="1"/>
  <c r="EQ760" i="31"/>
  <c r="EQ766" i="31" s="1"/>
  <c r="EQ698" i="31"/>
  <c r="EQ699" i="31" s="1"/>
  <c r="ER760" i="31"/>
  <c r="ES759" i="31"/>
  <c r="ER766" i="31" l="1"/>
  <c r="ES760" i="31"/>
  <c r="ES766" i="31" s="1"/>
  <c r="ES693" i="31"/>
  <c r="ES694" i="31" s="1"/>
  <c r="ER698" i="31"/>
  <c r="ER699" i="31" s="1"/>
  <c r="ES698" i="31" l="1"/>
  <c r="ES699" i="31" s="1"/>
  <c r="ES700" i="31"/>
  <c r="ED191" i="31"/>
  <c r="ED224" i="31"/>
  <c r="ED196" i="31" l="1"/>
  <c r="ED885" i="31"/>
  <c r="ED23" i="31" l="1"/>
  <c r="ED890" i="31"/>
  <c r="ED34" i="31"/>
  <c r="GC92" i="9" l="1"/>
  <c r="ED39" i="31"/>
  <c r="ED28" i="31"/>
  <c r="ED221" i="31" l="1"/>
  <c r="ED192" i="31"/>
  <c r="ED225" i="31"/>
  <c r="ED226" i="31" s="1"/>
  <c r="EI227" i="31" l="1"/>
  <c r="ED886" i="31"/>
  <c r="ED197" i="31"/>
  <c r="ED198" i="31" s="1"/>
  <c r="ED193" i="31"/>
  <c r="EJ221" i="31"/>
  <c r="ED227" i="31"/>
  <c r="ED35" i="31" l="1"/>
  <c r="GC93" i="9" s="1"/>
  <c r="ED24" i="31"/>
  <c r="ED891" i="31"/>
  <c r="ED892" i="31" s="1"/>
  <c r="ED887" i="31"/>
  <c r="EJ227" i="31"/>
  <c r="EH221" i="31"/>
  <c r="ED199" i="31"/>
  <c r="EH227" i="31" l="1"/>
  <c r="ED29" i="31"/>
  <c r="ED30" i="31" s="1"/>
  <c r="ED40" i="31"/>
  <c r="ED41" i="31" s="1"/>
  <c r="ED893" i="31"/>
  <c r="ED36" i="31"/>
  <c r="ED25" i="31"/>
  <c r="EK221" i="31"/>
  <c r="GC94" i="9"/>
  <c r="GC108" i="9" l="1"/>
  <c r="GC102" i="9"/>
  <c r="GC107" i="9"/>
  <c r="ED42" i="31"/>
  <c r="GC104" i="9"/>
  <c r="GC106" i="9"/>
  <c r="ED31" i="31"/>
  <c r="GC103" i="9"/>
  <c r="EK227" i="31"/>
  <c r="EL221" i="31"/>
  <c r="GC114" i="9" l="1"/>
  <c r="GC115" i="9"/>
  <c r="EM221" i="31"/>
  <c r="EL227" i="31"/>
  <c r="GC116" i="9" l="1"/>
  <c r="EM227" i="31"/>
  <c r="EN221" i="31"/>
  <c r="EN227" i="31" l="1"/>
  <c r="EO221" i="31"/>
  <c r="EO227" i="31" l="1"/>
  <c r="EP221" i="31"/>
  <c r="EQ221" i="31" l="1"/>
  <c r="EP227" i="31"/>
  <c r="EQ227" i="31" l="1"/>
  <c r="ER221" i="31"/>
  <c r="ES221" i="31"/>
  <c r="ER227" i="31" l="1"/>
  <c r="ES227" i="31"/>
  <c r="EI670" i="31" l="1"/>
  <c r="EH637" i="31" l="1"/>
  <c r="EH642" i="31" s="1"/>
  <c r="EI671" i="31" l="1"/>
  <c r="EH638" i="31"/>
  <c r="EH639" i="31" s="1"/>
  <c r="EI672" i="31" l="1"/>
  <c r="EH645" i="31"/>
  <c r="EH643" i="31"/>
  <c r="EH644" i="31" s="1"/>
  <c r="EH515" i="31" l="1"/>
  <c r="EI515" i="31" l="1"/>
  <c r="EI520" i="31" l="1"/>
  <c r="EI517" i="31"/>
  <c r="EJ515" i="31"/>
  <c r="EJ511" i="31"/>
  <c r="EI523" i="31" l="1"/>
  <c r="EH517" i="31"/>
  <c r="EH520" i="31"/>
  <c r="EJ520" i="31"/>
  <c r="EJ517" i="31"/>
  <c r="EK511" i="31"/>
  <c r="EK515" i="31"/>
  <c r="EK520" i="31" l="1"/>
  <c r="EK517" i="31"/>
  <c r="EL511" i="31"/>
  <c r="EL515" i="31"/>
  <c r="EJ523" i="31"/>
  <c r="EH523" i="31"/>
  <c r="EK523" i="31" l="1"/>
  <c r="EL517" i="31"/>
  <c r="EL520" i="31"/>
  <c r="EM511" i="31"/>
  <c r="EM515" i="31"/>
  <c r="EL523" i="31" l="1"/>
  <c r="EN511" i="31"/>
  <c r="EN515" i="31"/>
  <c r="EM520" i="31"/>
  <c r="EM517" i="31"/>
  <c r="EM523" i="31" l="1"/>
  <c r="EO511" i="31"/>
  <c r="EO515" i="31"/>
  <c r="EN520" i="31"/>
  <c r="EN517" i="31"/>
  <c r="EP511" i="31" l="1"/>
  <c r="EP515" i="31"/>
  <c r="EO520" i="31"/>
  <c r="EO517" i="31"/>
  <c r="EN523" i="31"/>
  <c r="EP520" i="31" l="1"/>
  <c r="EO523" i="31"/>
  <c r="EQ515" i="31"/>
  <c r="EQ511" i="31"/>
  <c r="EP517" i="31"/>
  <c r="EQ520" i="31" l="1"/>
  <c r="EQ517" i="31"/>
  <c r="EP523" i="31"/>
  <c r="ER511" i="31"/>
  <c r="ER515" i="31"/>
  <c r="EQ523" i="31" l="1"/>
  <c r="ES511" i="31"/>
  <c r="ES515" i="31"/>
  <c r="ER520" i="31"/>
  <c r="ER517" i="31"/>
  <c r="ER523" i="31" l="1"/>
  <c r="ES520" i="31"/>
  <c r="ES517" i="31"/>
  <c r="ES523" i="31" l="1"/>
  <c r="EI1206" i="31" l="1"/>
  <c r="EH1206" i="31" s="1"/>
  <c r="EH1211" i="31" s="1"/>
  <c r="EI1215" i="31"/>
  <c r="EJ1206" i="31" l="1"/>
  <c r="EK1206" i="31" l="1"/>
  <c r="EL1206" i="31" l="1"/>
  <c r="EM1206" i="31" s="1"/>
  <c r="EN1206" i="31" s="1"/>
  <c r="EE46" i="31" l="1"/>
  <c r="GD97" i="9" l="1"/>
  <c r="GD98" i="9" s="1"/>
  <c r="EE51" i="31"/>
  <c r="EE52" i="31" s="1"/>
  <c r="EE47" i="31"/>
  <c r="EE1393" i="31"/>
  <c r="EE53" i="31" l="1"/>
  <c r="EE1386" i="31"/>
  <c r="EE1392" i="31"/>
  <c r="EE1394" i="31"/>
  <c r="EE1391" i="31"/>
  <c r="EE1389" i="31"/>
  <c r="EE1388" i="31"/>
  <c r="EE1390" i="31"/>
  <c r="EE1387" i="31"/>
  <c r="EF1393" i="31"/>
  <c r="EF1387" i="31" l="1"/>
  <c r="EF1386" i="31"/>
  <c r="EF1392" i="31"/>
  <c r="EF1394" i="31"/>
  <c r="EF1390" i="31"/>
  <c r="EF1389" i="31"/>
  <c r="EF1388" i="31"/>
  <c r="EF1391" i="31"/>
  <c r="EE1374" i="31" l="1"/>
  <c r="EF1374" i="31" l="1"/>
  <c r="EI1218" i="31" l="1"/>
  <c r="EI1227" i="31"/>
  <c r="EI1194" i="31" l="1"/>
  <c r="EJ1218" i="31"/>
  <c r="EH1218" i="31"/>
  <c r="EI1199" i="31" l="1"/>
  <c r="EI1348" i="31"/>
  <c r="EH1223" i="31"/>
  <c r="EH1194" i="31"/>
  <c r="EJ1194" i="31"/>
  <c r="EK1218" i="31"/>
  <c r="EI45" i="31" l="1"/>
  <c r="EI1352" i="31"/>
  <c r="EH1199" i="31"/>
  <c r="EH1348" i="31"/>
  <c r="EK1194" i="31"/>
  <c r="EK1199" i="31" s="1"/>
  <c r="EL1218" i="31"/>
  <c r="EI1193" i="31"/>
  <c r="EJ1348" i="31"/>
  <c r="EJ1199" i="31"/>
  <c r="EM1218" i="31" l="1"/>
  <c r="EL1194" i="31"/>
  <c r="EL1199" i="31" s="1"/>
  <c r="EH45" i="31"/>
  <c r="EH1352" i="31"/>
  <c r="EK1348" i="31"/>
  <c r="GH96" i="9"/>
  <c r="EI50" i="31"/>
  <c r="EJ45" i="31"/>
  <c r="EJ1352" i="31"/>
  <c r="GI96" i="9" l="1"/>
  <c r="GG96" i="9"/>
  <c r="EH50" i="31"/>
  <c r="EJ50" i="31"/>
  <c r="EK45" i="31"/>
  <c r="EL1348" i="31"/>
  <c r="EK1352" i="31"/>
  <c r="EM1194" i="31"/>
  <c r="EM1199" i="31" s="1"/>
  <c r="EN1218" i="31"/>
  <c r="EL45" i="31" l="1"/>
  <c r="EL50" i="31" s="1"/>
  <c r="EN1194" i="31"/>
  <c r="EL1352" i="31"/>
  <c r="EM1348" i="31"/>
  <c r="GJ96" i="9"/>
  <c r="EK50" i="31"/>
  <c r="EN1348" i="31" l="1"/>
  <c r="EN1352" i="31" s="1"/>
  <c r="EM45" i="31"/>
  <c r="EM50" i="31" s="1"/>
  <c r="GK96" i="9"/>
  <c r="EN1199" i="31"/>
  <c r="EM1352" i="31"/>
  <c r="EN45" i="31" l="1"/>
  <c r="GL96" i="9"/>
  <c r="GM96" i="9" l="1"/>
  <c r="EN50" i="31"/>
  <c r="EI1219" i="31"/>
  <c r="EI1220" i="31" l="1"/>
  <c r="EJ1227" i="31" s="1"/>
  <c r="EJ1219" i="31"/>
  <c r="EH1219" i="31"/>
  <c r="EK1219" i="31" l="1"/>
  <c r="EL1219" i="31" s="1"/>
  <c r="EJ1220" i="31"/>
  <c r="EJ1226" i="31" s="1"/>
  <c r="EI1226" i="31"/>
  <c r="EH1220" i="31"/>
  <c r="EH1226" i="31" s="1"/>
  <c r="EH1224" i="31"/>
  <c r="EH1225" i="31" s="1"/>
  <c r="EH1227" i="31" s="1"/>
  <c r="EK1220" i="31" l="1"/>
  <c r="EL1227" i="31" s="1"/>
  <c r="EK1227" i="31"/>
  <c r="EM1219" i="31"/>
  <c r="EL1220" i="31"/>
  <c r="EL1226" i="31" l="1"/>
  <c r="EK1226" i="31"/>
  <c r="EN1219" i="31"/>
  <c r="EN1220" i="31" s="1"/>
  <c r="EM1220" i="31"/>
  <c r="EM1226" i="31" s="1"/>
  <c r="EM1227" i="31"/>
  <c r="EN1226" i="31" l="1"/>
  <c r="EN1227" i="31"/>
  <c r="EI1207" i="31" l="1"/>
  <c r="EI1208" i="31" s="1"/>
  <c r="EJ1207" i="31" l="1"/>
  <c r="EK1207" i="31" s="1"/>
  <c r="EH1207" i="31"/>
  <c r="EH1195" i="31" s="1"/>
  <c r="EH1349" i="31" s="1"/>
  <c r="EI1195" i="31"/>
  <c r="EI1349" i="31" s="1"/>
  <c r="EI1393" i="31" s="1"/>
  <c r="EI1214" i="31"/>
  <c r="EJ1215" i="31"/>
  <c r="EJ1208" i="31" l="1"/>
  <c r="EJ1214" i="31" s="1"/>
  <c r="EJ1195" i="31"/>
  <c r="EK1195" i="31"/>
  <c r="EK1349" i="31" s="1"/>
  <c r="EL1207" i="31"/>
  <c r="EL1195" i="31" s="1"/>
  <c r="EI1354" i="31"/>
  <c r="EI1355" i="31" s="1"/>
  <c r="EK1208" i="31"/>
  <c r="EL1215" i="31" s="1"/>
  <c r="EI1196" i="31"/>
  <c r="EI1200" i="31"/>
  <c r="EH1212" i="31"/>
  <c r="EH1213" i="31" s="1"/>
  <c r="EH1215" i="31" s="1"/>
  <c r="EH46" i="31"/>
  <c r="EH47" i="31" s="1"/>
  <c r="EH1200" i="31"/>
  <c r="EH1201" i="31" s="1"/>
  <c r="EH1203" i="31" s="1"/>
  <c r="EH1196" i="31"/>
  <c r="EH1208" i="31"/>
  <c r="EH1214" i="31" s="1"/>
  <c r="EH1393" i="31"/>
  <c r="EH1391" i="31" s="1"/>
  <c r="EI1391" i="31" s="1"/>
  <c r="EI1382" i="31" s="1"/>
  <c r="EH1354" i="31"/>
  <c r="EH1355" i="31" s="1"/>
  <c r="EI1350" i="31"/>
  <c r="EH1350" i="31"/>
  <c r="EI46" i="31"/>
  <c r="EI51" i="31" s="1"/>
  <c r="EI52" i="31" s="1"/>
  <c r="EH1357" i="31" l="1"/>
  <c r="EH1358" i="31" s="1"/>
  <c r="EH1359" i="31" s="1"/>
  <c r="EH1202" i="31"/>
  <c r="EK1215" i="31"/>
  <c r="EJ1349" i="31"/>
  <c r="EJ46" i="31" s="1"/>
  <c r="EI1201" i="31"/>
  <c r="EI1203" i="31" s="1"/>
  <c r="EJ1200" i="31"/>
  <c r="EJ1201" i="31" s="1"/>
  <c r="EJ1203" i="31" s="1"/>
  <c r="EK1200" i="31"/>
  <c r="EK1201" i="31" s="1"/>
  <c r="EK1196" i="31"/>
  <c r="EH51" i="31"/>
  <c r="EH52" i="31" s="1"/>
  <c r="GG97" i="9"/>
  <c r="GG98" i="9" s="1"/>
  <c r="EL1208" i="31"/>
  <c r="EL1214" i="31" s="1"/>
  <c r="EH1388" i="31"/>
  <c r="EI1388" i="31" s="1"/>
  <c r="EI1379" i="31" s="1"/>
  <c r="EJ1196" i="31"/>
  <c r="EH1392" i="31"/>
  <c r="EI1392" i="31" s="1"/>
  <c r="EI1383" i="31" s="1"/>
  <c r="EI1202" i="31"/>
  <c r="EK1214" i="31"/>
  <c r="EH1365" i="31"/>
  <c r="EM1207" i="31"/>
  <c r="EM1195" i="31" s="1"/>
  <c r="EM1200" i="31" s="1"/>
  <c r="EM1201" i="31" s="1"/>
  <c r="EI1365" i="31"/>
  <c r="EI1394" i="31"/>
  <c r="EH1390" i="31"/>
  <c r="EI1390" i="31" s="1"/>
  <c r="EI1381" i="31" s="1"/>
  <c r="EH1389" i="31"/>
  <c r="EI1389" i="31" s="1"/>
  <c r="EI1380" i="31" s="1"/>
  <c r="EH1387" i="31"/>
  <c r="EI1387" i="31" s="1"/>
  <c r="EI1378" i="31" s="1"/>
  <c r="EH1386" i="31"/>
  <c r="EI1386" i="31" s="1"/>
  <c r="EI1377" i="31" s="1"/>
  <c r="EH1394" i="31"/>
  <c r="EH1364" i="31"/>
  <c r="EI47" i="31"/>
  <c r="EI1357" i="31"/>
  <c r="GH97" i="9"/>
  <c r="GH98" i="9" s="1"/>
  <c r="EI1364" i="31"/>
  <c r="EK46" i="31"/>
  <c r="EK1393" i="31"/>
  <c r="EK1350" i="31"/>
  <c r="EL1196" i="31"/>
  <c r="EL1349" i="31"/>
  <c r="EH53" i="31"/>
  <c r="EL1200" i="31"/>
  <c r="EL1201" i="31" s="1"/>
  <c r="EK1365" i="31" l="1"/>
  <c r="EJ1350" i="31"/>
  <c r="EJ1393" i="31"/>
  <c r="EJ1354" i="31"/>
  <c r="EJ1355" i="31" s="1"/>
  <c r="EK1354" i="31"/>
  <c r="EK1355" i="31" s="1"/>
  <c r="EH1366" i="31"/>
  <c r="EJ1202" i="31"/>
  <c r="EL1203" i="31"/>
  <c r="EK1203" i="31"/>
  <c r="EN1207" i="31"/>
  <c r="EN1208" i="31" s="1"/>
  <c r="EM1208" i="31"/>
  <c r="EM1214" i="31" s="1"/>
  <c r="EK1202" i="31"/>
  <c r="EM1215" i="31"/>
  <c r="EI1406" i="31"/>
  <c r="EI1407" i="31" s="1"/>
  <c r="EI1373" i="31" s="1"/>
  <c r="EI1366" i="31"/>
  <c r="EI53" i="31"/>
  <c r="EH1374" i="31"/>
  <c r="EI1374" i="31" s="1"/>
  <c r="EI1358" i="31" s="1"/>
  <c r="EI1359" i="31" s="1"/>
  <c r="EM1203" i="31"/>
  <c r="EL1350" i="31"/>
  <c r="EL46" i="31"/>
  <c r="EL51" i="31" s="1"/>
  <c r="EL52" i="31" s="1"/>
  <c r="EM1196" i="31"/>
  <c r="EM1349" i="31"/>
  <c r="EM1354" i="31" s="1"/>
  <c r="EM1355" i="31" s="1"/>
  <c r="GI97" i="9"/>
  <c r="GI98" i="9" s="1"/>
  <c r="EK51" i="31"/>
  <c r="EK52" i="31" s="1"/>
  <c r="EJ47" i="31"/>
  <c r="EJ51" i="31"/>
  <c r="EJ52" i="31" s="1"/>
  <c r="EL1202" i="31"/>
  <c r="EL1354" i="31"/>
  <c r="EL1355" i="31" s="1"/>
  <c r="GJ97" i="9"/>
  <c r="GJ98" i="9" s="1"/>
  <c r="EK47" i="31"/>
  <c r="EK1364" i="31"/>
  <c r="EK1366" i="31" l="1"/>
  <c r="EL1357" i="31"/>
  <c r="EL1358" i="31" s="1"/>
  <c r="EL1359" i="31" s="1"/>
  <c r="EM1202" i="31"/>
  <c r="EJ1364" i="31"/>
  <c r="EJ1365" i="31"/>
  <c r="EJ1357" i="31"/>
  <c r="EJ1358" i="31" s="1"/>
  <c r="EK1357" i="31"/>
  <c r="EN1215" i="31"/>
  <c r="EN1214" i="31"/>
  <c r="EN1195" i="31"/>
  <c r="EN1196" i="31" s="1"/>
  <c r="GK97" i="9"/>
  <c r="GK98" i="9" s="1"/>
  <c r="EL47" i="31"/>
  <c r="EK53" i="31"/>
  <c r="EJ53" i="31"/>
  <c r="EL1364" i="31"/>
  <c r="EM1350" i="31"/>
  <c r="EM46" i="31"/>
  <c r="EM51" i="31" s="1"/>
  <c r="EM52" i="31" s="1"/>
  <c r="EJ1366" i="31"/>
  <c r="EL1365" i="31"/>
  <c r="EM1365" i="31" l="1"/>
  <c r="EK1358" i="31"/>
  <c r="EK1359" i="31" s="1"/>
  <c r="EL53" i="31"/>
  <c r="EN1349" i="31"/>
  <c r="EN1354" i="31" s="1"/>
  <c r="EN1355" i="31" s="1"/>
  <c r="EN1200" i="31"/>
  <c r="EN1201" i="31" s="1"/>
  <c r="EN1203" i="31" s="1"/>
  <c r="EN1202" i="31"/>
  <c r="EM1357" i="31"/>
  <c r="EM1358" i="31" s="1"/>
  <c r="EM1359" i="31" s="1"/>
  <c r="EJ1359" i="31"/>
  <c r="EL1366" i="31"/>
  <c r="GL97" i="9"/>
  <c r="GL98" i="9" s="1"/>
  <c r="EM47" i="31"/>
  <c r="EM1364" i="31"/>
  <c r="EM1366" i="31" l="1"/>
  <c r="EN46" i="31"/>
  <c r="GM97" i="9" s="1"/>
  <c r="GM98" i="9" s="1"/>
  <c r="EN1350" i="31"/>
  <c r="EM53" i="31"/>
  <c r="EN1357" i="31" l="1"/>
  <c r="EN1358" i="31" s="1"/>
  <c r="EN1359" i="31" s="1"/>
  <c r="EN1365" i="31"/>
  <c r="EN51" i="31"/>
  <c r="EN52" i="31" s="1"/>
  <c r="EN47" i="31"/>
  <c r="EN1364" i="31"/>
  <c r="EN53" i="31" l="1"/>
  <c r="EN1366" i="31"/>
  <c r="EU143" i="10" l="1"/>
  <c r="EU135" i="10"/>
  <c r="EU136" i="10" s="1"/>
  <c r="GA119" i="9" l="1"/>
  <c r="EU137" i="10"/>
  <c r="GA121" i="9" l="1"/>
  <c r="GB131" i="9" l="1"/>
  <c r="GB134" i="9" s="1"/>
  <c r="GB136" i="9" s="1"/>
  <c r="GC131" i="9" l="1"/>
  <c r="R125" i="204"/>
  <c r="GB143" i="9"/>
  <c r="GC136" i="9"/>
  <c r="R132" i="204" l="1"/>
  <c r="R139" i="204" s="1"/>
  <c r="R141" i="204" s="1"/>
  <c r="S118" i="204"/>
  <c r="GC143" i="9"/>
  <c r="GB144" i="9"/>
  <c r="GC134" i="9"/>
  <c r="GC144" i="9" l="1"/>
  <c r="R150" i="204"/>
  <c r="R152" i="204" s="1"/>
  <c r="EV138" i="10"/>
  <c r="GB119" i="9" s="1"/>
  <c r="EW138" i="10"/>
  <c r="FD53" i="11"/>
  <c r="EV135" i="10"/>
  <c r="GB121" i="9" l="1"/>
  <c r="EV143" i="10"/>
  <c r="EV136" i="10"/>
  <c r="EW135" i="10"/>
  <c r="EV137" i="10"/>
  <c r="GD119" i="9"/>
  <c r="GC119" i="9"/>
  <c r="GD121" i="9" l="1"/>
  <c r="EW136" i="10"/>
  <c r="EH240" i="31" l="1"/>
  <c r="EI241" i="31"/>
  <c r="EI242" i="31"/>
  <c r="EE885" i="31" l="1"/>
  <c r="EE34" i="31" l="1"/>
  <c r="EE23" i="31"/>
  <c r="EE28" i="31" s="1"/>
  <c r="EE890" i="31"/>
  <c r="EE39" i="31" l="1"/>
  <c r="GD92" i="9"/>
  <c r="GC49" i="9" l="1"/>
  <c r="GC53" i="9" s="1"/>
  <c r="GC71" i="9"/>
  <c r="GC43" i="9"/>
  <c r="GC50" i="9" l="1"/>
  <c r="GC52" i="9"/>
  <c r="GC121" i="9"/>
  <c r="GC5" i="9"/>
  <c r="GC81" i="9"/>
  <c r="GC84" i="9" s="1"/>
  <c r="GC72" i="9"/>
  <c r="GC55" i="9"/>
  <c r="EW173" i="10"/>
  <c r="EW172" i="10"/>
  <c r="GC45" i="9"/>
  <c r="GC56" i="9"/>
  <c r="GC57" i="9" l="1"/>
  <c r="GC54" i="9"/>
  <c r="EW185" i="10"/>
  <c r="EW191" i="10" s="1"/>
  <c r="GC8" i="9"/>
  <c r="GC82" i="9"/>
  <c r="EW176" i="10"/>
  <c r="GC83" i="9" l="1"/>
  <c r="EX103" i="10" l="1"/>
  <c r="EX104" i="10" s="1"/>
  <c r="EX186" i="10" l="1"/>
  <c r="EX191" i="10" s="1"/>
  <c r="EX105" i="10"/>
  <c r="EX100" i="10" s="1"/>
  <c r="EZ115" i="10" l="1"/>
  <c r="EY106" i="10" l="1"/>
  <c r="EZ106" i="10" s="1"/>
  <c r="FA106" i="10" s="1"/>
  <c r="FX120" i="9" l="1"/>
  <c r="ER138" i="10"/>
  <c r="FX119" i="9" s="1"/>
  <c r="ER162" i="10"/>
  <c r="ER141" i="10" l="1"/>
  <c r="EW162" i="10"/>
  <c r="EQ159" i="10"/>
  <c r="ER159" i="10" s="1"/>
  <c r="ER161" i="10" s="1"/>
  <c r="EQ138" i="10"/>
  <c r="FW120" i="9"/>
  <c r="FX121" i="9"/>
  <c r="EW141" i="10" l="1"/>
  <c r="ER149" i="10"/>
  <c r="EQ143" i="10"/>
  <c r="FW119" i="9"/>
  <c r="EQ137" i="10"/>
  <c r="ER137" i="10" s="1"/>
  <c r="ER139" i="10" s="1"/>
  <c r="ES158" i="10"/>
  <c r="ES159" i="10" s="1"/>
  <c r="EW159" i="10" s="1"/>
  <c r="ER163" i="10"/>
  <c r="EW158" i="10"/>
  <c r="EX141" i="10" l="1"/>
  <c r="EW149" i="10"/>
  <c r="EW161" i="10"/>
  <c r="EX158" i="10" s="1"/>
  <c r="EX159" i="10" s="1"/>
  <c r="FW121" i="9"/>
  <c r="ER150" i="10"/>
  <c r="ES134" i="10"/>
  <c r="ES137" i="10" s="1"/>
  <c r="EW137" i="10" s="1"/>
  <c r="ER144" i="10"/>
  <c r="EW134" i="10"/>
  <c r="ER140" i="10"/>
  <c r="EX140" i="10" l="1"/>
  <c r="EX149" i="10"/>
  <c r="FB158" i="10"/>
  <c r="EW163" i="10"/>
  <c r="ER143" i="10"/>
  <c r="ER142" i="10"/>
  <c r="ER146" i="10"/>
  <c r="EW139" i="10"/>
  <c r="EX134" i="10" s="1"/>
  <c r="EX137" i="10" s="1"/>
  <c r="EW144" i="10" l="1"/>
  <c r="EW150" i="10"/>
  <c r="FB134" i="10"/>
  <c r="EW140" i="10"/>
  <c r="ER147" i="10"/>
  <c r="ER148" i="10" s="1"/>
  <c r="EZ158" i="10" l="1"/>
  <c r="EW143" i="10"/>
  <c r="FB143" i="10" s="1"/>
  <c r="FC143" i="10" s="1"/>
  <c r="FD143" i="10" s="1"/>
  <c r="FE143" i="10" s="1"/>
  <c r="FF143" i="10" s="1"/>
  <c r="FG143" i="10" s="1"/>
  <c r="EW146" i="10"/>
  <c r="EW147" i="10" s="1"/>
  <c r="EW142" i="10"/>
  <c r="EW148" i="10" l="1"/>
  <c r="EI264" i="31" l="1"/>
  <c r="EI265" i="31" s="1"/>
  <c r="EI287" i="31" l="1"/>
  <c r="EH264" i="31"/>
  <c r="EH265" i="31" s="1"/>
  <c r="EI269" i="31" l="1"/>
  <c r="EI270" i="31" s="1"/>
  <c r="EE886" i="31"/>
  <c r="EH287" i="31"/>
  <c r="EE35" i="31" l="1"/>
  <c r="EE24" i="31"/>
  <c r="EE29" i="31" s="1"/>
  <c r="EE30" i="31" s="1"/>
  <c r="EE891" i="31"/>
  <c r="EE892" i="31" s="1"/>
  <c r="EE887" i="31"/>
  <c r="EE25" i="31" s="1"/>
  <c r="EH271" i="31"/>
  <c r="EH269" i="31"/>
  <c r="EH270" i="31" s="1"/>
  <c r="EI271" i="31"/>
  <c r="EE31" i="31" l="1"/>
  <c r="GD106" i="9"/>
  <c r="GD107" i="9"/>
  <c r="GD108" i="9"/>
  <c r="GD102" i="9"/>
  <c r="GD93" i="9"/>
  <c r="GD94" i="9" s="1"/>
  <c r="GD103" i="9"/>
  <c r="EE40" i="31"/>
  <c r="EE41" i="31" s="1"/>
  <c r="EE36" i="31"/>
  <c r="EE893" i="31"/>
  <c r="GD115" i="9" l="1"/>
  <c r="GD114" i="9"/>
  <c r="EE42" i="31"/>
  <c r="GD104" i="9"/>
  <c r="EZ83" i="10"/>
  <c r="GD116" i="9" l="1"/>
  <c r="EZ85" i="10"/>
  <c r="EZ84" i="10"/>
  <c r="EZ86" i="10" l="1"/>
  <c r="EZ175" i="10"/>
  <c r="EZ38" i="10"/>
  <c r="EZ19" i="10"/>
  <c r="EZ33" i="10"/>
  <c r="EZ25" i="10"/>
  <c r="EZ34" i="10"/>
  <c r="EZ40" i="10"/>
  <c r="EZ18" i="10"/>
  <c r="EZ16" i="10"/>
  <c r="EZ135" i="10"/>
  <c r="FB32" i="11" s="1"/>
  <c r="EZ35" i="10"/>
  <c r="EZ21" i="10"/>
  <c r="EZ39" i="10"/>
  <c r="EZ26" i="10"/>
  <c r="GD133" i="9"/>
  <c r="GF133" i="9" l="1"/>
  <c r="GE133" i="9"/>
  <c r="FB33" i="11"/>
  <c r="FB25" i="11"/>
  <c r="EX150" i="10"/>
  <c r="EX144" i="10"/>
  <c r="FB27" i="11"/>
  <c r="FB35" i="11"/>
  <c r="FB22" i="11"/>
  <c r="FB47" i="11"/>
  <c r="FB16" i="11"/>
  <c r="EX142" i="10"/>
  <c r="EX146" i="10"/>
  <c r="EX143" i="10"/>
  <c r="EZ17" i="10"/>
  <c r="EZ32" i="10"/>
  <c r="FB28" i="11" l="1"/>
  <c r="EZ36" i="10"/>
  <c r="FB24" i="11"/>
  <c r="EZ79" i="10"/>
  <c r="EZ140" i="10"/>
  <c r="EZ91" i="10"/>
  <c r="FB23" i="11"/>
  <c r="EZ97" i="10"/>
  <c r="EZ134" i="10"/>
  <c r="EX147" i="10"/>
  <c r="EX148" i="10" s="1"/>
  <c r="FB36" i="11"/>
  <c r="EZ41" i="10" l="1"/>
  <c r="EZ146" i="10"/>
  <c r="EJ264" i="31" l="1"/>
  <c r="EJ269" i="31" l="1"/>
  <c r="EJ270" i="31" s="1"/>
  <c r="EJ263" i="31" l="1"/>
  <c r="EJ265" i="31" s="1"/>
  <c r="EL264" i="31"/>
  <c r="EJ268" i="31" l="1"/>
  <c r="EJ290" i="31"/>
  <c r="EJ287" i="31"/>
  <c r="EJ292" i="31" l="1"/>
  <c r="EJ271" i="31"/>
  <c r="EK263" i="31"/>
  <c r="EK290" i="31" l="1"/>
  <c r="EM264" i="31"/>
  <c r="EL263" i="31"/>
  <c r="EL265" i="31" s="1"/>
  <c r="EM291" i="31" l="1"/>
  <c r="EK268" i="31"/>
  <c r="EL287" i="31"/>
  <c r="EL268" i="31"/>
  <c r="EL290" i="31"/>
  <c r="EM263" i="31"/>
  <c r="EM265" i="31" s="1"/>
  <c r="EM268" i="31" l="1"/>
  <c r="EM269" i="31"/>
  <c r="EM270" i="31" s="1"/>
  <c r="EM290" i="31"/>
  <c r="EM287" i="31"/>
  <c r="EN263" i="31"/>
  <c r="EO264" i="31"/>
  <c r="EN268" i="31" l="1"/>
  <c r="EM292" i="31"/>
  <c r="EM271" i="31"/>
  <c r="EN290" i="31"/>
  <c r="EK264" i="31"/>
  <c r="EK265" i="31" s="1"/>
  <c r="EO263" i="31"/>
  <c r="EO265" i="31" s="1"/>
  <c r="EP263" i="31"/>
  <c r="EP268" i="31" l="1"/>
  <c r="EK287" i="31"/>
  <c r="EL291" i="31"/>
  <c r="EN264" i="31"/>
  <c r="EN265" i="31" s="1"/>
  <c r="EO268" i="31"/>
  <c r="EP290" i="31"/>
  <c r="EO287" i="31"/>
  <c r="EO290" i="31"/>
  <c r="EQ264" i="31"/>
  <c r="EP264" i="31"/>
  <c r="EP265" i="31" s="1"/>
  <c r="EP287" i="31" l="1"/>
  <c r="EP292" i="31" s="1"/>
  <c r="EN291" i="31"/>
  <c r="EO291" i="31"/>
  <c r="EN287" i="31"/>
  <c r="EQ291" i="31"/>
  <c r="EL269" i="31"/>
  <c r="EL270" i="31" s="1"/>
  <c r="EK269" i="31"/>
  <c r="EK270" i="31" s="1"/>
  <c r="EL292" i="31"/>
  <c r="EK292" i="31"/>
  <c r="EP291" i="31"/>
  <c r="EQ263" i="31"/>
  <c r="EQ265" i="31" s="1"/>
  <c r="ER264" i="31"/>
  <c r="EQ269" i="31" l="1"/>
  <c r="EQ270" i="31" s="1"/>
  <c r="EP271" i="31"/>
  <c r="EP269" i="31"/>
  <c r="EP270" i="31" s="1"/>
  <c r="EL271" i="31"/>
  <c r="EK271" i="31"/>
  <c r="ER291" i="31"/>
  <c r="ER269" i="31"/>
  <c r="ER270" i="31" s="1"/>
  <c r="EO292" i="31"/>
  <c r="EN292" i="31"/>
  <c r="EQ268" i="31"/>
  <c r="EO269" i="31"/>
  <c r="EO270" i="31" s="1"/>
  <c r="EN269" i="31"/>
  <c r="EN270" i="31" s="1"/>
  <c r="EQ287" i="31"/>
  <c r="EQ290" i="31"/>
  <c r="ER263" i="31"/>
  <c r="ER265" i="31" s="1"/>
  <c r="ES264" i="31"/>
  <c r="EQ271" i="31" l="1"/>
  <c r="EO271" i="31"/>
  <c r="EN271" i="31"/>
  <c r="EQ292" i="31"/>
  <c r="ES291" i="31"/>
  <c r="ES269" i="31"/>
  <c r="ES270" i="31" s="1"/>
  <c r="ER268" i="31"/>
  <c r="ER287" i="31"/>
  <c r="ER292" i="31" s="1"/>
  <c r="ER290" i="31"/>
  <c r="ES263" i="31"/>
  <c r="ES265" i="31" s="1"/>
  <c r="ES271" i="31" l="1"/>
  <c r="ER271" i="31"/>
  <c r="ES268" i="31"/>
  <c r="ES287" i="31"/>
  <c r="ES292" i="31" s="1"/>
  <c r="ES290" i="31"/>
  <c r="EK620" i="31" l="1"/>
  <c r="EL620" i="31" l="1"/>
  <c r="EM620" i="31" l="1"/>
  <c r="EN620" i="31" l="1"/>
  <c r="EO620" i="31" l="1"/>
  <c r="EP620" i="31" l="1"/>
  <c r="EQ620" i="31" l="1"/>
  <c r="ER620" i="31" l="1"/>
  <c r="ES620" i="31"/>
  <c r="EN617" i="31" l="1"/>
  <c r="EM617" i="31"/>
  <c r="EL621" i="31" l="1"/>
  <c r="EL617" i="31"/>
  <c r="EK621" i="31"/>
  <c r="EK617" i="31"/>
  <c r="EJ617" i="31"/>
  <c r="EN623" i="31"/>
  <c r="EN621" i="31"/>
  <c r="EM621" i="31"/>
  <c r="EK592" i="31"/>
  <c r="EL623" i="31" l="1"/>
  <c r="EO621" i="31"/>
  <c r="EO617" i="31"/>
  <c r="EO623" i="31" s="1"/>
  <c r="EK623" i="31"/>
  <c r="EM623" i="31"/>
  <c r="EK609" i="31" l="1"/>
  <c r="EJ592" i="31"/>
  <c r="EP621" i="31"/>
  <c r="EP617" i="31"/>
  <c r="EP623" i="31" s="1"/>
  <c r="EK593" i="31"/>
  <c r="EM592" i="31"/>
  <c r="EJ597" i="31" l="1"/>
  <c r="EK597" i="31"/>
  <c r="EJ593" i="31"/>
  <c r="EJ598" i="31" s="1"/>
  <c r="EJ606" i="31"/>
  <c r="ES621" i="31"/>
  <c r="ES617" i="31"/>
  <c r="ER617" i="31"/>
  <c r="ER621" i="31"/>
  <c r="EK610" i="31"/>
  <c r="EK606" i="31"/>
  <c r="EQ621" i="31"/>
  <c r="EQ617" i="31"/>
  <c r="EQ623" i="31" s="1"/>
  <c r="EK594" i="31" l="1"/>
  <c r="EJ594" i="31"/>
  <c r="EK599" i="31" s="1"/>
  <c r="EK598" i="31"/>
  <c r="EM609" i="31"/>
  <c r="EL592" i="31"/>
  <c r="ER623" i="31"/>
  <c r="EN592" i="31"/>
  <c r="EN597" i="31" s="1"/>
  <c r="EL609" i="31"/>
  <c r="EM593" i="31"/>
  <c r="EK612" i="31"/>
  <c r="ES623" i="31"/>
  <c r="EO592" i="31"/>
  <c r="EJ599" i="31" l="1"/>
  <c r="EO597" i="31"/>
  <c r="EL597" i="31"/>
  <c r="EM597" i="31"/>
  <c r="EL610" i="31"/>
  <c r="EL593" i="31"/>
  <c r="EL598" i="31" s="1"/>
  <c r="EL606" i="31"/>
  <c r="EO609" i="31"/>
  <c r="EN609" i="31"/>
  <c r="EM610" i="31"/>
  <c r="EM606" i="31"/>
  <c r="EP592" i="31"/>
  <c r="EP597" i="31" s="1"/>
  <c r="EM594" i="31" l="1"/>
  <c r="EM598" i="31"/>
  <c r="EL594" i="31"/>
  <c r="EN610" i="31"/>
  <c r="EN593" i="31"/>
  <c r="EN598" i="31" s="1"/>
  <c r="EL612" i="31"/>
  <c r="EN606" i="31"/>
  <c r="EM612" i="31"/>
  <c r="EO593" i="31"/>
  <c r="EP609" i="31"/>
  <c r="EQ592" i="31"/>
  <c r="EQ597" i="31" s="1"/>
  <c r="EO598" i="31" l="1"/>
  <c r="EL599" i="31"/>
  <c r="EM599" i="31"/>
  <c r="EN594" i="31"/>
  <c r="EN612" i="31"/>
  <c r="EO610" i="31"/>
  <c r="EO606" i="31"/>
  <c r="EO594" i="31" s="1"/>
  <c r="EP593" i="31"/>
  <c r="EP598" i="31" s="1"/>
  <c r="EQ609" i="31"/>
  <c r="EN599" i="31" l="1"/>
  <c r="EO599" i="31"/>
  <c r="ER592" i="31"/>
  <c r="ER597" i="31" s="1"/>
  <c r="EO612" i="31"/>
  <c r="EP610" i="31"/>
  <c r="EP606" i="31"/>
  <c r="EP594" i="31" s="1"/>
  <c r="EQ593" i="31"/>
  <c r="EQ598" i="31" s="1"/>
  <c r="ES592" i="31"/>
  <c r="ES597" i="31" l="1"/>
  <c r="EP599" i="31"/>
  <c r="ES609" i="31"/>
  <c r="EQ610" i="31"/>
  <c r="EQ606" i="31"/>
  <c r="EQ594" i="31" s="1"/>
  <c r="ER609" i="31"/>
  <c r="EP612" i="31"/>
  <c r="ES593" i="31"/>
  <c r="EQ599" i="31" l="1"/>
  <c r="ER610" i="31"/>
  <c r="ER593" i="31"/>
  <c r="ER598" i="31" s="1"/>
  <c r="ES610" i="31"/>
  <c r="ER606" i="31"/>
  <c r="ER594" i="31" s="1"/>
  <c r="ET606" i="31"/>
  <c r="EQ612" i="31"/>
  <c r="ES606" i="31"/>
  <c r="ES594" i="31" s="1"/>
  <c r="ES599" i="31" l="1"/>
  <c r="ES598" i="31"/>
  <c r="ER599" i="31"/>
  <c r="ER612" i="31"/>
  <c r="ES612" i="31"/>
  <c r="EJ466" i="31" l="1"/>
  <c r="EJ587" i="31" l="1"/>
  <c r="EK587" i="31"/>
  <c r="EL587" i="31" l="1"/>
  <c r="EH582" i="31"/>
  <c r="EK466" i="31"/>
  <c r="EL466" i="31"/>
  <c r="EM587" i="31"/>
  <c r="EI466" i="31"/>
  <c r="EK565" i="31" l="1"/>
  <c r="EJ565" i="31"/>
  <c r="EL565" i="31"/>
  <c r="EI565" i="31"/>
  <c r="EH560" i="31"/>
  <c r="EH466" i="31" s="1"/>
  <c r="EM466" i="31"/>
  <c r="EH471" i="31" l="1"/>
  <c r="EH472" i="31" s="1"/>
  <c r="EM565" i="31"/>
  <c r="EL471" i="31"/>
  <c r="EL472" i="31" s="1"/>
  <c r="EK471" i="31"/>
  <c r="EK472" i="31" s="1"/>
  <c r="EI471" i="31"/>
  <c r="EI472" i="31" s="1"/>
  <c r="EJ471" i="31"/>
  <c r="EJ472" i="31" s="1"/>
  <c r="EH565" i="31"/>
  <c r="EH566" i="31" s="1"/>
  <c r="EM471" i="31" l="1"/>
  <c r="EM472" i="31" s="1"/>
  <c r="EO582" i="31"/>
  <c r="EP582" i="31" s="1"/>
  <c r="EQ582" i="31" s="1"/>
  <c r="ER582" i="31" s="1"/>
  <c r="ES582" i="31" s="1"/>
  <c r="EN587" i="31"/>
  <c r="EN466" i="31"/>
  <c r="EN471" i="31" l="1"/>
  <c r="EN472" i="31" s="1"/>
  <c r="EN565" i="31"/>
  <c r="EO560" i="31"/>
  <c r="EO466" i="31" s="1"/>
  <c r="EP560" i="31" l="1"/>
  <c r="EP466" i="31" s="1"/>
  <c r="EO471" i="31"/>
  <c r="EO472" i="31" s="1"/>
  <c r="EQ560" i="31" l="1"/>
  <c r="EQ466" i="31" s="1"/>
  <c r="ER560" i="31" l="1"/>
  <c r="ER466" i="31" s="1"/>
  <c r="EQ471" i="31"/>
  <c r="EQ472" i="31" s="1"/>
  <c r="EP471" i="31"/>
  <c r="EP472" i="31" s="1"/>
  <c r="ES560" i="31" l="1"/>
  <c r="ES466" i="31" s="1"/>
  <c r="ET471" i="31" l="1"/>
  <c r="ET472" i="31" s="1"/>
  <c r="ER471" i="31"/>
  <c r="ER472" i="31" s="1"/>
  <c r="ES471" i="31" l="1"/>
  <c r="ES472" i="31" s="1"/>
  <c r="EI465" i="31" l="1"/>
  <c r="EI467" i="31" s="1"/>
  <c r="EI564" i="31"/>
  <c r="EH559" i="31"/>
  <c r="EI561" i="31"/>
  <c r="EH581" i="31"/>
  <c r="EH583" i="31" s="1"/>
  <c r="EI583" i="31"/>
  <c r="EH465" i="31" l="1"/>
  <c r="EH467" i="31" s="1"/>
  <c r="EJ465" i="31"/>
  <c r="EJ467" i="31" s="1"/>
  <c r="EI470" i="31"/>
  <c r="EI473" i="31"/>
  <c r="EH564" i="31"/>
  <c r="EH561" i="31"/>
  <c r="EJ564" i="31"/>
  <c r="EJ561" i="31"/>
  <c r="EJ586" i="31"/>
  <c r="EJ583" i="31"/>
  <c r="EI567" i="31"/>
  <c r="EJ470" i="31" l="1"/>
  <c r="EJ473" i="31"/>
  <c r="EH567" i="31"/>
  <c r="EH473" i="31"/>
  <c r="EH470" i="31"/>
  <c r="EJ589" i="31"/>
  <c r="EJ567" i="31"/>
  <c r="EK465" i="31" l="1"/>
  <c r="EK467" i="31" s="1"/>
  <c r="EK564" i="31"/>
  <c r="EK561" i="31"/>
  <c r="EK583" i="31"/>
  <c r="EK586" i="31"/>
  <c r="EM465" i="31" l="1"/>
  <c r="EM467" i="31" s="1"/>
  <c r="EL465" i="31"/>
  <c r="EL467" i="31" s="1"/>
  <c r="EO559" i="31"/>
  <c r="EK470" i="31"/>
  <c r="EN564" i="31"/>
  <c r="EN561" i="31"/>
  <c r="EM564" i="31"/>
  <c r="EM561" i="31"/>
  <c r="EL564" i="31"/>
  <c r="EL561" i="31"/>
  <c r="EN465" i="31"/>
  <c r="EN467" i="31" s="1"/>
  <c r="EK589" i="31"/>
  <c r="EL586" i="31"/>
  <c r="EL583" i="31"/>
  <c r="EK567" i="31"/>
  <c r="EM586" i="31"/>
  <c r="EM583" i="31"/>
  <c r="EN470" i="31" l="1"/>
  <c r="EK473" i="31"/>
  <c r="EO561" i="31"/>
  <c r="EP559" i="31"/>
  <c r="EL470" i="31"/>
  <c r="EM470" i="31"/>
  <c r="EM589" i="31"/>
  <c r="EL589" i="31"/>
  <c r="EN583" i="31"/>
  <c r="EO581" i="31"/>
  <c r="EO465" i="31" s="1"/>
  <c r="EO467" i="31" s="1"/>
  <c r="EN586" i="31"/>
  <c r="EL567" i="31"/>
  <c r="EM567" i="31"/>
  <c r="EN567" i="31"/>
  <c r="EN473" i="31" l="1"/>
  <c r="EO470" i="31"/>
  <c r="EQ559" i="31"/>
  <c r="EP561" i="31"/>
  <c r="EO567" i="31"/>
  <c r="EL473" i="31"/>
  <c r="EM473" i="31"/>
  <c r="EO583" i="31"/>
  <c r="EO589" i="31" s="1"/>
  <c r="EP581" i="31"/>
  <c r="EP465" i="31" s="1"/>
  <c r="EP467" i="31" s="1"/>
  <c r="EN589" i="31"/>
  <c r="EP473" i="31" l="1"/>
  <c r="EP470" i="31"/>
  <c r="EQ561" i="31"/>
  <c r="ER559" i="31"/>
  <c r="EP567" i="31"/>
  <c r="EO473" i="31"/>
  <c r="EQ581" i="31"/>
  <c r="EQ465" i="31" s="1"/>
  <c r="EQ467" i="31" s="1"/>
  <c r="EP583" i="31"/>
  <c r="EP589" i="31" s="1"/>
  <c r="ER561" i="31" l="1"/>
  <c r="ES559" i="31"/>
  <c r="EQ567" i="31"/>
  <c r="EQ470" i="31"/>
  <c r="EQ583" i="31"/>
  <c r="EQ589" i="31" s="1"/>
  <c r="ER581" i="31"/>
  <c r="ER465" i="31" s="1"/>
  <c r="ER467" i="31" s="1"/>
  <c r="ER473" i="31" l="1"/>
  <c r="ER470" i="31"/>
  <c r="EQ473" i="31"/>
  <c r="ES561" i="31"/>
  <c r="ER567" i="31"/>
  <c r="ER583" i="31"/>
  <c r="ER589" i="31" s="1"/>
  <c r="ES581" i="31"/>
  <c r="ES583" i="31" s="1"/>
  <c r="ES465" i="31" l="1"/>
  <c r="ES467" i="31" s="1"/>
  <c r="ES589" i="31"/>
  <c r="ES567" i="31"/>
  <c r="ET470" i="31" l="1"/>
  <c r="ES470" i="31"/>
  <c r="ET473" i="31" l="1"/>
  <c r="ES473" i="31"/>
  <c r="EL191" i="31" l="1"/>
  <c r="EK191" i="31" l="1"/>
  <c r="EM246" i="31" l="1"/>
  <c r="EM191" i="31"/>
  <c r="EM196" i="31" s="1"/>
  <c r="EL246" i="31"/>
  <c r="EK243" i="31"/>
  <c r="EL196" i="31" l="1"/>
  <c r="EL248" i="31" l="1"/>
  <c r="EL247" i="31" s="1"/>
  <c r="EL243" i="31"/>
  <c r="EN246" i="31" l="1"/>
  <c r="EN191" i="31"/>
  <c r="EL249" i="31"/>
  <c r="EN248" i="31"/>
  <c r="EN247" i="31" s="1"/>
  <c r="EM248" i="31"/>
  <c r="EM247" i="31" s="1"/>
  <c r="EO242" i="31"/>
  <c r="EN243" i="31"/>
  <c r="EM243" i="31"/>
  <c r="EN249" i="31" l="1"/>
  <c r="EM249" i="31"/>
  <c r="EN196" i="31"/>
  <c r="EP242" i="31"/>
  <c r="EQ242" i="31" l="1"/>
  <c r="ER242" i="31" l="1"/>
  <c r="ES242" i="31" l="1"/>
  <c r="ET242" i="31" l="1"/>
  <c r="EU242" i="31" s="1"/>
  <c r="EV242" i="31" s="1"/>
  <c r="EI191" i="31" l="1"/>
  <c r="EI246" i="31" l="1"/>
  <c r="EH191" i="31" l="1"/>
  <c r="EI196" i="31"/>
  <c r="EH196" i="31" l="1"/>
  <c r="EH885" i="31"/>
  <c r="EH890" i="31" l="1"/>
  <c r="EH34" i="31"/>
  <c r="EH23" i="31"/>
  <c r="EH28" i="31" l="1"/>
  <c r="GG22" i="9"/>
  <c r="EI247" i="31"/>
  <c r="EI248" i="31" s="1"/>
  <c r="EI243" i="31"/>
  <c r="GG92" i="9"/>
  <c r="EH39" i="31"/>
  <c r="EI249" i="31" l="1"/>
  <c r="EJ191" i="31"/>
  <c r="EJ246" i="31" l="1"/>
  <c r="EK246" i="31"/>
  <c r="EK196" i="31" l="1"/>
  <c r="EJ196" i="31"/>
  <c r="EK248" i="31" l="1"/>
  <c r="EK247" i="31" s="1"/>
  <c r="EJ248" i="31"/>
  <c r="EJ247" i="31" s="1"/>
  <c r="EJ243" i="31"/>
  <c r="EK249" i="31" l="1"/>
  <c r="EJ249" i="31"/>
  <c r="FD210" i="10" l="1"/>
  <c r="FD212" i="10" s="1"/>
  <c r="FC37" i="10"/>
  <c r="FC95" i="10" l="1"/>
  <c r="GI139" i="9"/>
  <c r="GI140" i="9" s="1"/>
  <c r="GI142" i="9" s="1"/>
  <c r="FD37" i="10"/>
  <c r="FE210" i="10"/>
  <c r="FE212" i="10" s="1"/>
  <c r="FE44" i="11"/>
  <c r="T129" i="204"/>
  <c r="T136" i="204" s="1"/>
  <c r="T140" i="204" s="1"/>
  <c r="FE45" i="11"/>
  <c r="FF210" i="10" l="1"/>
  <c r="FF212" i="10" s="1"/>
  <c r="FE37" i="10"/>
  <c r="U129" i="204"/>
  <c r="U136" i="204" s="1"/>
  <c r="U140" i="204" s="1"/>
  <c r="FF45" i="11"/>
  <c r="FD95" i="10"/>
  <c r="FF44" i="11"/>
  <c r="GJ139" i="9"/>
  <c r="GJ140" i="9" l="1"/>
  <c r="GJ142" i="9" s="1"/>
  <c r="V129" i="204"/>
  <c r="V136" i="204" s="1"/>
  <c r="V140" i="204" s="1"/>
  <c r="FE95" i="10"/>
  <c r="FG44" i="11"/>
  <c r="FG45" i="11"/>
  <c r="GK139" i="9"/>
  <c r="FF37" i="10"/>
  <c r="FG210" i="10"/>
  <c r="FG212" i="10" s="1"/>
  <c r="FG37" i="10" s="1"/>
  <c r="GM139" i="9" l="1"/>
  <c r="FI44" i="11"/>
  <c r="FI45" i="11"/>
  <c r="FG95" i="10"/>
  <c r="X129" i="204"/>
  <c r="X136" i="204" s="1"/>
  <c r="X140" i="204" s="1"/>
  <c r="GL139" i="9"/>
  <c r="GM140" i="9" s="1"/>
  <c r="GM142" i="9" s="1"/>
  <c r="FH45" i="11"/>
  <c r="FF95" i="10"/>
  <c r="W129" i="204"/>
  <c r="W136" i="204" s="1"/>
  <c r="W140" i="204" s="1"/>
  <c r="FH44" i="11"/>
  <c r="GK140" i="9"/>
  <c r="GK142" i="9" s="1"/>
  <c r="GL140" i="9" l="1"/>
  <c r="GL142" i="9" s="1"/>
  <c r="GH126" i="9" l="1"/>
  <c r="EZ176" i="10" l="1"/>
  <c r="EZ185" i="10" l="1"/>
  <c r="FB12" i="11"/>
  <c r="EX96" i="10" l="1"/>
  <c r="EX98" i="10" s="1"/>
  <c r="EZ184" i="10"/>
  <c r="EX56" i="10" l="1"/>
  <c r="GD131" i="9"/>
  <c r="EX55" i="10" l="1"/>
  <c r="EX57" i="10"/>
  <c r="GD134" i="9"/>
  <c r="GD135" i="9" s="1"/>
  <c r="GE135" i="9" s="1"/>
  <c r="GF135" i="9" s="1"/>
  <c r="EO241" i="31" l="1"/>
  <c r="EO243" i="31" l="1"/>
  <c r="EO249" i="31" s="1"/>
  <c r="EO191" i="31"/>
  <c r="EP241" i="31"/>
  <c r="EP191" i="31" s="1"/>
  <c r="EQ241" i="31" l="1"/>
  <c r="EQ191" i="31" s="1"/>
  <c r="EP243" i="31"/>
  <c r="EP196" i="31"/>
  <c r="EO196" i="31"/>
  <c r="EP249" i="31" l="1"/>
  <c r="ER241" i="31"/>
  <c r="ER191" i="31" s="1"/>
  <c r="EQ243" i="31"/>
  <c r="ES241" i="31" l="1"/>
  <c r="ES191" i="31" s="1"/>
  <c r="ER243" i="31"/>
  <c r="ER249" i="31" s="1"/>
  <c r="EQ196" i="31"/>
  <c r="EQ249" i="31"/>
  <c r="ES196" i="31" l="1"/>
  <c r="ES243" i="31"/>
  <c r="ET241" i="31"/>
  <c r="ER196" i="31"/>
  <c r="EU241" i="31" l="1"/>
  <c r="ET243" i="31"/>
  <c r="ES249" i="31"/>
  <c r="EV241" i="31" l="1"/>
  <c r="EV243" i="31" s="1"/>
  <c r="EU243" i="31"/>
  <c r="ET249" i="31"/>
  <c r="EV249" i="31" l="1"/>
  <c r="EU249" i="31"/>
  <c r="EJ1567" i="31" l="1"/>
  <c r="EJ1677" i="31"/>
  <c r="EJ1679" i="31" s="1"/>
  <c r="EJ1572" i="31" l="1"/>
  <c r="EJ1682" i="31"/>
  <c r="EK1677" i="31"/>
  <c r="EK1678" i="31"/>
  <c r="EK1567" i="31" l="1"/>
  <c r="EM1677" i="31"/>
  <c r="EK1682" i="31"/>
  <c r="EJ1684" i="31"/>
  <c r="EJ769" i="31"/>
  <c r="EJ1689" i="31"/>
  <c r="EK1679" i="31"/>
  <c r="EK1683" i="31"/>
  <c r="EM1678" i="31"/>
  <c r="EM1679" i="31" l="1"/>
  <c r="EM1567" i="31"/>
  <c r="EK1690" i="31"/>
  <c r="EK770" i="31"/>
  <c r="EJ1686" i="31"/>
  <c r="EJ771" i="31"/>
  <c r="EJ1691" i="31"/>
  <c r="EK1684" i="31"/>
  <c r="EK1689" i="31"/>
  <c r="EK769" i="31"/>
  <c r="EL1677" i="31"/>
  <c r="EJ774" i="31"/>
  <c r="EJ692" i="31"/>
  <c r="EK1572" i="31"/>
  <c r="EL1678" i="31"/>
  <c r="EL1679" i="31" l="1"/>
  <c r="EL1567" i="31"/>
  <c r="EM1682" i="31"/>
  <c r="EM1683" i="31"/>
  <c r="EJ697" i="31"/>
  <c r="EJ694" i="31"/>
  <c r="EK692" i="31"/>
  <c r="EK774" i="31"/>
  <c r="EK1686" i="31"/>
  <c r="EK771" i="31"/>
  <c r="EK776" i="31" s="1"/>
  <c r="EK1691" i="31"/>
  <c r="EL1682" i="31"/>
  <c r="EK693" i="31"/>
  <c r="EJ776" i="31"/>
  <c r="EL1683" i="31"/>
  <c r="EN1690" i="31" l="1"/>
  <c r="EM770" i="31"/>
  <c r="EM1684" i="31"/>
  <c r="EM769" i="31"/>
  <c r="EN1689" i="31"/>
  <c r="EM1572" i="31"/>
  <c r="EK694" i="31"/>
  <c r="EK700" i="31" s="1"/>
  <c r="EK698" i="31"/>
  <c r="EK699" i="31" s="1"/>
  <c r="EM1689" i="31"/>
  <c r="EL1689" i="31"/>
  <c r="EL1684" i="31"/>
  <c r="EL769" i="31"/>
  <c r="EJ700" i="31"/>
  <c r="EM1690" i="31"/>
  <c r="EL770" i="31"/>
  <c r="EL1690" i="31"/>
  <c r="EK697" i="31"/>
  <c r="EL1572" i="31"/>
  <c r="EN774" i="31" l="1"/>
  <c r="EM692" i="31"/>
  <c r="EM1686" i="31"/>
  <c r="EM771" i="31"/>
  <c r="EN776" i="31" s="1"/>
  <c r="EN1691" i="31"/>
  <c r="EN775" i="31"/>
  <c r="EM693" i="31"/>
  <c r="EM775" i="31"/>
  <c r="EL693" i="31"/>
  <c r="EL775" i="31"/>
  <c r="EM774" i="31"/>
  <c r="EL692" i="31"/>
  <c r="EL774" i="31"/>
  <c r="EL1686" i="31"/>
  <c r="EL1691" i="31"/>
  <c r="EL771" i="31"/>
  <c r="EM1691" i="31"/>
  <c r="EN697" i="31" l="1"/>
  <c r="EM694" i="31"/>
  <c r="EN700" i="31" s="1"/>
  <c r="EN698" i="31"/>
  <c r="EN699" i="31" s="1"/>
  <c r="EL694" i="31"/>
  <c r="EM698" i="31"/>
  <c r="EM699" i="31" s="1"/>
  <c r="EL698" i="31"/>
  <c r="EL699" i="31" s="1"/>
  <c r="EM776" i="31"/>
  <c r="EL776" i="31"/>
  <c r="EM697" i="31"/>
  <c r="EL697" i="31"/>
  <c r="EM700" i="31" l="1"/>
  <c r="EL700" i="31"/>
  <c r="GK135" i="9" l="1"/>
  <c r="GL135" i="9" s="1"/>
  <c r="GM135" i="9" s="1"/>
  <c r="T143" i="204" l="1"/>
  <c r="GD143" i="9"/>
  <c r="GD144" i="9" s="1"/>
  <c r="U143" i="204"/>
  <c r="V143" i="204" l="1"/>
  <c r="W143" i="204" l="1"/>
  <c r="X143" i="204" l="1"/>
  <c r="FA174" i="10"/>
  <c r="GE131" i="9" l="1"/>
  <c r="GE134" i="9" l="1"/>
  <c r="EY135" i="10" l="1"/>
  <c r="EY136" i="10" s="1"/>
  <c r="GG120" i="9" l="1"/>
  <c r="EZ161" i="10" l="1"/>
  <c r="EZ24" i="10" s="1"/>
  <c r="FA158" i="10" l="1"/>
  <c r="FA161" i="10" s="1"/>
  <c r="FA24" i="10" s="1"/>
  <c r="FB24" i="10" l="1"/>
  <c r="EJ681" i="31" l="1"/>
  <c r="EI686" i="31"/>
  <c r="EK681" i="31" l="1"/>
  <c r="EL681" i="31" l="1"/>
  <c r="EM681" i="31" l="1"/>
  <c r="EN681" i="31" l="1"/>
  <c r="EO681" i="31" l="1"/>
  <c r="EP681" i="31" l="1"/>
  <c r="EQ681" i="31" l="1"/>
  <c r="ER681" i="31" l="1"/>
  <c r="ES681" i="31" l="1"/>
  <c r="EJ682" i="31" l="1"/>
  <c r="EJ683" i="31" s="1"/>
  <c r="EJ689" i="31" s="1"/>
  <c r="EI687" i="31"/>
  <c r="EI688" i="31" s="1"/>
  <c r="EI689" i="31"/>
  <c r="EK682" i="31" l="1"/>
  <c r="EK683" i="31" l="1"/>
  <c r="EL682" i="31"/>
  <c r="EK689" i="31" l="1"/>
  <c r="EM682" i="31"/>
  <c r="EL683" i="31"/>
  <c r="EL689" i="31" l="1"/>
  <c r="EN682" i="31"/>
  <c r="EM683" i="31"/>
  <c r="EO682" i="31" l="1"/>
  <c r="EN683" i="31"/>
  <c r="EM689" i="31"/>
  <c r="EN689" i="31" l="1"/>
  <c r="EP682" i="31"/>
  <c r="EO683" i="31"/>
  <c r="EP683" i="31" l="1"/>
  <c r="EQ682" i="31"/>
  <c r="EO689" i="31"/>
  <c r="EP689" i="31" l="1"/>
  <c r="EQ683" i="31"/>
  <c r="ER682" i="31"/>
  <c r="ER683" i="31" l="1"/>
  <c r="ES682" i="31"/>
  <c r="EQ689" i="31"/>
  <c r="ES683" i="31" l="1"/>
  <c r="ER689" i="31"/>
  <c r="ES689" i="31" l="1"/>
  <c r="EI637" i="31"/>
  <c r="EI885" i="31" s="1"/>
  <c r="EI638" i="31"/>
  <c r="EJ670" i="31"/>
  <c r="EK670" i="31" s="1"/>
  <c r="EJ671" i="31"/>
  <c r="EI675" i="31"/>
  <c r="EI676" i="31"/>
  <c r="EI677" i="31" s="1"/>
  <c r="EI678" i="31"/>
  <c r="EI642" i="31" l="1"/>
  <c r="EI639" i="31"/>
  <c r="EJ637" i="31"/>
  <c r="EJ885" i="31" s="1"/>
  <c r="EJ890" i="31" s="1"/>
  <c r="EI34" i="31"/>
  <c r="EJ672" i="31"/>
  <c r="EJ638" i="31"/>
  <c r="EJ643" i="31" s="1"/>
  <c r="EJ644" i="31" s="1"/>
  <c r="EI23" i="31"/>
  <c r="EI890" i="31"/>
  <c r="EK637" i="31"/>
  <c r="EL670" i="31"/>
  <c r="EI643" i="31"/>
  <c r="EI644" i="31" s="1"/>
  <c r="EK671" i="31"/>
  <c r="EI645" i="31"/>
  <c r="EJ639" i="31" l="1"/>
  <c r="EJ23" i="31"/>
  <c r="GI22" i="9" s="1"/>
  <c r="EJ642" i="31"/>
  <c r="EJ34" i="31"/>
  <c r="EJ15" i="31" s="1"/>
  <c r="EK885" i="31"/>
  <c r="EK642" i="31"/>
  <c r="EL637" i="31"/>
  <c r="EM670" i="31"/>
  <c r="GH92" i="9"/>
  <c r="EI39" i="31"/>
  <c r="EI15" i="31"/>
  <c r="GH22" i="9"/>
  <c r="EI28" i="31"/>
  <c r="EK672" i="31"/>
  <c r="EL671" i="31"/>
  <c r="EK638" i="31"/>
  <c r="EK639" i="31" s="1"/>
  <c r="EJ678" i="31"/>
  <c r="EJ39" i="31" l="1"/>
  <c r="GI92" i="9"/>
  <c r="EK645" i="31"/>
  <c r="EJ645" i="31"/>
  <c r="EJ28" i="31"/>
  <c r="EN670" i="31"/>
  <c r="EM637" i="31"/>
  <c r="EM642" i="31" s="1"/>
  <c r="EL885" i="31"/>
  <c r="EL890" i="31" s="1"/>
  <c r="EL638" i="31"/>
  <c r="EL643" i="31" s="1"/>
  <c r="EL644" i="31" s="1"/>
  <c r="EL672" i="31"/>
  <c r="EM671" i="31"/>
  <c r="EK678" i="31"/>
  <c r="EK643" i="31"/>
  <c r="EK644" i="31" s="1"/>
  <c r="EK23" i="31"/>
  <c r="EK34" i="31"/>
  <c r="EK890" i="31"/>
  <c r="EL642" i="31"/>
  <c r="EN669" i="31" l="1"/>
  <c r="EO670" i="31"/>
  <c r="EN637" i="31"/>
  <c r="EN642" i="31" s="1"/>
  <c r="GJ92" i="9"/>
  <c r="EK15" i="31"/>
  <c r="EK39" i="31"/>
  <c r="GJ22" i="9"/>
  <c r="EK28" i="31"/>
  <c r="EL34" i="31"/>
  <c r="EL39" i="31" s="1"/>
  <c r="EL23" i="31"/>
  <c r="EN671" i="31"/>
  <c r="EM638" i="31"/>
  <c r="EM639" i="31" s="1"/>
  <c r="EM672" i="31"/>
  <c r="EL678" i="31"/>
  <c r="EL639" i="31"/>
  <c r="EM885" i="31"/>
  <c r="EM890" i="31" s="1"/>
  <c r="EO671" i="31" l="1"/>
  <c r="EN672" i="31"/>
  <c r="EN638" i="31"/>
  <c r="EN643" i="31" s="1"/>
  <c r="EN644" i="31" s="1"/>
  <c r="GK22" i="9"/>
  <c r="EO637" i="31"/>
  <c r="EO642" i="31" s="1"/>
  <c r="EP670" i="31"/>
  <c r="EM645" i="31"/>
  <c r="EL645" i="31"/>
  <c r="GK92" i="9"/>
  <c r="EL15" i="31"/>
  <c r="EM23" i="31"/>
  <c r="EM28" i="31" s="1"/>
  <c r="EM34" i="31"/>
  <c r="EM39" i="31" s="1"/>
  <c r="EM643" i="31"/>
  <c r="EM644" i="31" s="1"/>
  <c r="EM678" i="31"/>
  <c r="EL28" i="31"/>
  <c r="EN885" i="31"/>
  <c r="EN639" i="31" l="1"/>
  <c r="GL22" i="9"/>
  <c r="EN678" i="31"/>
  <c r="EP637" i="31"/>
  <c r="EP642" i="31" s="1"/>
  <c r="EQ670" i="31"/>
  <c r="EP671" i="31"/>
  <c r="EO672" i="31"/>
  <c r="EO638" i="31"/>
  <c r="EO885" i="31"/>
  <c r="GL92" i="9"/>
  <c r="EM15" i="31"/>
  <c r="EN23" i="31"/>
  <c r="GM22" i="9" s="1"/>
  <c r="EN34" i="31"/>
  <c r="EN890" i="31"/>
  <c r="EN645" i="31" l="1"/>
  <c r="EN28" i="31"/>
  <c r="EQ637" i="31"/>
  <c r="EQ642" i="31" s="1"/>
  <c r="ER670" i="31"/>
  <c r="EO643" i="31"/>
  <c r="EO644" i="31" s="1"/>
  <c r="EO678" i="31"/>
  <c r="EP885" i="31"/>
  <c r="EP890" i="31" s="1"/>
  <c r="EP672" i="31"/>
  <c r="EP638" i="31"/>
  <c r="EP639" i="31" s="1"/>
  <c r="EQ671" i="31"/>
  <c r="EO34" i="31"/>
  <c r="GM92" i="9"/>
  <c r="EN15" i="31"/>
  <c r="EO890" i="31"/>
  <c r="EN39" i="31"/>
  <c r="EO639" i="31"/>
  <c r="EP645" i="31" l="1"/>
  <c r="EO645" i="31"/>
  <c r="EP678" i="31"/>
  <c r="ER637" i="31"/>
  <c r="ES670" i="31"/>
  <c r="ES637" i="31" s="1"/>
  <c r="EP34" i="31"/>
  <c r="EQ885" i="31"/>
  <c r="EQ890" i="31" s="1"/>
  <c r="EO39" i="31"/>
  <c r="EQ672" i="31"/>
  <c r="ER671" i="31"/>
  <c r="EQ638" i="31"/>
  <c r="EP643" i="31"/>
  <c r="EP644" i="31" s="1"/>
  <c r="EQ34" i="31" l="1"/>
  <c r="EQ39" i="31" s="1"/>
  <c r="EP39" i="31"/>
  <c r="ER638" i="31"/>
  <c r="ER643" i="31" s="1"/>
  <c r="ER644" i="31" s="1"/>
  <c r="ER672" i="31"/>
  <c r="ES671" i="31"/>
  <c r="EQ678" i="31"/>
  <c r="EQ639" i="31"/>
  <c r="ES642" i="31"/>
  <c r="ER885" i="31"/>
  <c r="EQ643" i="31"/>
  <c r="EQ644" i="31" s="1"/>
  <c r="ER642" i="31"/>
  <c r="ES885" i="31"/>
  <c r="ES34" i="31" s="1"/>
  <c r="ER639" i="31" l="1"/>
  <c r="ER645" i="31" s="1"/>
  <c r="ER34" i="31"/>
  <c r="ES39" i="31" s="1"/>
  <c r="ES890" i="31"/>
  <c r="ER678" i="31"/>
  <c r="EQ645" i="31"/>
  <c r="ES638" i="31"/>
  <c r="ES672" i="31"/>
  <c r="ER890" i="31"/>
  <c r="ER39" i="31" l="1"/>
  <c r="ES639" i="31"/>
  <c r="ES645" i="31" s="1"/>
  <c r="ES643" i="31"/>
  <c r="ES644" i="31" s="1"/>
  <c r="ES678" i="31"/>
  <c r="EZ87" i="10" l="1"/>
  <c r="EZ105" i="10"/>
  <c r="EZ100" i="10" s="1"/>
  <c r="EZ215" i="10"/>
  <c r="EI72" i="31" l="1"/>
  <c r="EI188" i="31"/>
  <c r="EI71" i="31"/>
  <c r="EI76" i="31" s="1"/>
  <c r="EI77" i="31" s="1"/>
  <c r="EJ181" i="31"/>
  <c r="EJ182" i="31" s="1"/>
  <c r="EI186" i="31"/>
  <c r="EI187" i="31"/>
  <c r="EI78" i="31" l="1"/>
  <c r="EJ188" i="31"/>
  <c r="EJ72" i="31"/>
  <c r="EK181" i="31"/>
  <c r="EJ71" i="31"/>
  <c r="EJ76" i="31" l="1"/>
  <c r="EJ77" i="31" s="1"/>
  <c r="EL181" i="31"/>
  <c r="EK182" i="31"/>
  <c r="EK71" i="31"/>
  <c r="EK76" i="31" s="1"/>
  <c r="EK77" i="31" s="1"/>
  <c r="EJ78" i="31"/>
  <c r="EK72" i="31" l="1"/>
  <c r="EK188" i="31"/>
  <c r="EL182" i="31"/>
  <c r="EM181" i="31"/>
  <c r="EL71" i="31"/>
  <c r="EL76" i="31" s="1"/>
  <c r="EL77" i="31" s="1"/>
  <c r="EL72" i="31" l="1"/>
  <c r="EL188" i="31"/>
  <c r="EN181" i="31"/>
  <c r="EM71" i="31"/>
  <c r="EM76" i="31" s="1"/>
  <c r="EM77" i="31" s="1"/>
  <c r="EM182" i="31"/>
  <c r="EK78" i="31"/>
  <c r="EL78" i="31" l="1"/>
  <c r="EN182" i="31"/>
  <c r="EN71" i="31"/>
  <c r="EN76" i="31" s="1"/>
  <c r="EN77" i="31" s="1"/>
  <c r="EO181" i="31"/>
  <c r="EM72" i="31"/>
  <c r="EM188" i="31"/>
  <c r="EM78" i="31" l="1"/>
  <c r="EN188" i="31"/>
  <c r="EP181" i="31"/>
  <c r="EO182" i="31"/>
  <c r="EO71" i="31"/>
  <c r="EO76" i="31" s="1"/>
  <c r="EO77" i="31" s="1"/>
  <c r="EN72" i="31"/>
  <c r="EO72" i="31" l="1"/>
  <c r="EO78" i="31" s="1"/>
  <c r="EO188" i="31"/>
  <c r="EP71" i="31"/>
  <c r="EQ181" i="31"/>
  <c r="EP182" i="31"/>
  <c r="EN78" i="31"/>
  <c r="EP188" i="31" l="1"/>
  <c r="EP72" i="31"/>
  <c r="ER181" i="31"/>
  <c r="EQ182" i="31"/>
  <c r="EQ71" i="31"/>
  <c r="EP76" i="31"/>
  <c r="EP77" i="31" s="1"/>
  <c r="EQ188" i="31" l="1"/>
  <c r="ES181" i="31"/>
  <c r="ER182" i="31"/>
  <c r="ER71" i="31"/>
  <c r="ER76" i="31" s="1"/>
  <c r="ER77" i="31" s="1"/>
  <c r="EP78" i="31"/>
  <c r="EQ72" i="31"/>
  <c r="EQ78" i="31" s="1"/>
  <c r="EQ76" i="31"/>
  <c r="EQ77" i="31" s="1"/>
  <c r="ER188" i="31" l="1"/>
  <c r="ER72" i="31"/>
  <c r="ES71" i="31"/>
  <c r="ES182" i="31"/>
  <c r="ES72" i="31" l="1"/>
  <c r="ES78" i="31" s="1"/>
  <c r="ES188" i="31"/>
  <c r="ER78" i="31"/>
  <c r="ES76" i="31"/>
  <c r="ES77" i="31" s="1"/>
  <c r="EH192" i="31"/>
  <c r="EH886" i="31" s="1"/>
  <c r="EJ231" i="31"/>
  <c r="EK231" i="31" s="1"/>
  <c r="EH891" i="31" l="1"/>
  <c r="EH892" i="31" s="1"/>
  <c r="EH24" i="31"/>
  <c r="EH29" i="31" s="1"/>
  <c r="EH30" i="31" s="1"/>
  <c r="EH887" i="31"/>
  <c r="EK232" i="31"/>
  <c r="EL231" i="31"/>
  <c r="EK192" i="31"/>
  <c r="EI192" i="31"/>
  <c r="EH35" i="31"/>
  <c r="EJ232" i="31"/>
  <c r="EJ192" i="31"/>
  <c r="EH193" i="31"/>
  <c r="EH199" i="31" s="1"/>
  <c r="EH194" i="31"/>
  <c r="EH197" i="31"/>
  <c r="EH198" i="31" s="1"/>
  <c r="EH893" i="31" l="1"/>
  <c r="GG23" i="9"/>
  <c r="GG24" i="9" s="1"/>
  <c r="EH25" i="31"/>
  <c r="GG107" i="9" s="1"/>
  <c r="EK193" i="31"/>
  <c r="EK886" i="31"/>
  <c r="EK197" i="31"/>
  <c r="EK198" i="31" s="1"/>
  <c r="EJ193" i="31"/>
  <c r="EJ886" i="31"/>
  <c r="GG93" i="9"/>
  <c r="GG94" i="9" s="1"/>
  <c r="EH40" i="31"/>
  <c r="EH41" i="31" s="1"/>
  <c r="EH36" i="31"/>
  <c r="EL232" i="31"/>
  <c r="EL192" i="31"/>
  <c r="EM231" i="31"/>
  <c r="EJ238" i="31"/>
  <c r="EK238" i="31"/>
  <c r="EJ197" i="31"/>
  <c r="EJ198" i="31" s="1"/>
  <c r="EI197" i="31"/>
  <c r="EI198" i="31" s="1"/>
  <c r="EI193" i="31"/>
  <c r="EI886" i="31"/>
  <c r="EL238" i="31" l="1"/>
  <c r="GG26" i="9"/>
  <c r="GG102" i="9"/>
  <c r="GG108" i="9"/>
  <c r="GG106" i="9"/>
  <c r="GG114" i="9" s="1"/>
  <c r="FA83" i="10"/>
  <c r="FA84" i="10" s="1"/>
  <c r="FA34" i="10" s="1"/>
  <c r="FB34" i="10" s="1"/>
  <c r="EH31" i="31"/>
  <c r="GG103" i="9"/>
  <c r="GG115" i="9" s="1"/>
  <c r="EK887" i="31"/>
  <c r="EK35" i="31"/>
  <c r="EK24" i="31"/>
  <c r="EL193" i="31"/>
  <c r="EL886" i="31"/>
  <c r="EL891" i="31" s="1"/>
  <c r="EL892" i="31" s="1"/>
  <c r="EL197" i="31"/>
  <c r="EL198" i="31" s="1"/>
  <c r="GG104" i="9"/>
  <c r="EH42" i="31"/>
  <c r="EM232" i="31"/>
  <c r="EN231" i="31"/>
  <c r="EM192" i="31"/>
  <c r="EM197" i="31" s="1"/>
  <c r="EM198" i="31" s="1"/>
  <c r="EK891" i="31"/>
  <c r="EK892" i="31" s="1"/>
  <c r="EJ887" i="31"/>
  <c r="EJ35" i="31"/>
  <c r="EJ24" i="31"/>
  <c r="FA85" i="10"/>
  <c r="FA86" i="10" s="1"/>
  <c r="GG76" i="9"/>
  <c r="GH26" i="9"/>
  <c r="EJ199" i="31"/>
  <c r="EI199" i="31"/>
  <c r="EI891" i="31"/>
  <c r="EI892" i="31" s="1"/>
  <c r="EJ891" i="31"/>
  <c r="EJ892" i="31" s="1"/>
  <c r="EI887" i="31"/>
  <c r="EI35" i="31"/>
  <c r="EI24" i="31"/>
  <c r="EK199" i="31"/>
  <c r="EL199" i="31" l="1"/>
  <c r="FA39" i="10"/>
  <c r="FB39" i="10" s="1"/>
  <c r="FA40" i="10"/>
  <c r="FB40" i="10" s="1"/>
  <c r="FA26" i="10"/>
  <c r="FB26" i="10" s="1"/>
  <c r="FA19" i="10"/>
  <c r="FB19" i="10" s="1"/>
  <c r="FA33" i="10"/>
  <c r="FB33" i="10" s="1"/>
  <c r="FA18" i="10"/>
  <c r="FA21" i="10"/>
  <c r="FA25" i="10"/>
  <c r="FA38" i="10"/>
  <c r="FA16" i="10"/>
  <c r="FA35" i="10"/>
  <c r="FA135" i="10"/>
  <c r="FB135" i="10" s="1"/>
  <c r="GG116" i="9"/>
  <c r="EJ29" i="31"/>
  <c r="EJ30" i="31" s="1"/>
  <c r="EI29" i="31"/>
  <c r="EI30" i="31" s="1"/>
  <c r="GH23" i="9"/>
  <c r="GH24" i="9" s="1"/>
  <c r="FA17" i="10"/>
  <c r="FA32" i="10"/>
  <c r="EJ25" i="31"/>
  <c r="GI103" i="9" s="1"/>
  <c r="EK893" i="31"/>
  <c r="EJ40" i="31"/>
  <c r="EJ41" i="31" s="1"/>
  <c r="EI40" i="31"/>
  <c r="EI41" i="31" s="1"/>
  <c r="GH93" i="9"/>
  <c r="GH94" i="9" s="1"/>
  <c r="EI16" i="31"/>
  <c r="EI36" i="31"/>
  <c r="FB21" i="10"/>
  <c r="GH76" i="9"/>
  <c r="EK29" i="31"/>
  <c r="EK30" i="31" s="1"/>
  <c r="GI23" i="9"/>
  <c r="GI24" i="9" s="1"/>
  <c r="EK25" i="31"/>
  <c r="GJ103" i="9" s="1"/>
  <c r="EK40" i="31"/>
  <c r="EK41" i="31" s="1"/>
  <c r="GI93" i="9"/>
  <c r="GI94" i="9" s="1"/>
  <c r="EJ16" i="31"/>
  <c r="EJ36" i="31"/>
  <c r="EM193" i="31"/>
  <c r="EM886" i="31"/>
  <c r="EL35" i="31"/>
  <c r="EL40" i="31" s="1"/>
  <c r="EL41" i="31" s="1"/>
  <c r="EL887" i="31"/>
  <c r="EL24" i="31"/>
  <c r="GJ23" i="9"/>
  <c r="GJ24" i="9" s="1"/>
  <c r="EI25" i="31"/>
  <c r="GH103" i="9" s="1"/>
  <c r="EI893" i="31"/>
  <c r="EJ893" i="31"/>
  <c r="EM238" i="31"/>
  <c r="EO231" i="31"/>
  <c r="EN232" i="31"/>
  <c r="EN192" i="31"/>
  <c r="EN197" i="31" s="1"/>
  <c r="EN198" i="31" s="1"/>
  <c r="FB73" i="10"/>
  <c r="FC73" i="10" s="1"/>
  <c r="EK16" i="31"/>
  <c r="GJ93" i="9"/>
  <c r="GJ94" i="9" s="1"/>
  <c r="EK36" i="31"/>
  <c r="FB18" i="10" l="1"/>
  <c r="FC47" i="11"/>
  <c r="GG133" i="9"/>
  <c r="GH65" i="9"/>
  <c r="FB38" i="10"/>
  <c r="FB74" i="10" s="1"/>
  <c r="FC74" i="10" s="1"/>
  <c r="EL893" i="31"/>
  <c r="EN238" i="31"/>
  <c r="FC35" i="11"/>
  <c r="FB25" i="10"/>
  <c r="FC25" i="11"/>
  <c r="FD25" i="11" s="1"/>
  <c r="FB76" i="10"/>
  <c r="FC76" i="10" s="1"/>
  <c r="FD76" i="10" s="1"/>
  <c r="FB16" i="10"/>
  <c r="FC27" i="11"/>
  <c r="FC32" i="11"/>
  <c r="FB35" i="10"/>
  <c r="FC22" i="11"/>
  <c r="FC16" i="11"/>
  <c r="FA97" i="10"/>
  <c r="FA91" i="10"/>
  <c r="GI104" i="9"/>
  <c r="EJ17" i="31"/>
  <c r="EK42" i="31"/>
  <c r="GK23" i="9"/>
  <c r="GK24" i="9" s="1"/>
  <c r="EJ42" i="31"/>
  <c r="EI42" i="31"/>
  <c r="GH104" i="9"/>
  <c r="EI17" i="31"/>
  <c r="FB66" i="10"/>
  <c r="FC66" i="10" s="1"/>
  <c r="GJ28" i="9"/>
  <c r="GJ27" i="9"/>
  <c r="GJ2" i="9"/>
  <c r="GJ4" i="9" s="1"/>
  <c r="GJ75" i="9"/>
  <c r="FD83" i="10"/>
  <c r="FD84" i="10" s="1"/>
  <c r="GJ26" i="9"/>
  <c r="EL25" i="31"/>
  <c r="GK103" i="9" s="1"/>
  <c r="FD73" i="10"/>
  <c r="EK17" i="31"/>
  <c r="GJ104" i="9"/>
  <c r="FB136" i="10"/>
  <c r="FB140" i="10"/>
  <c r="EL29" i="31"/>
  <c r="EL30" i="31" s="1"/>
  <c r="GK93" i="9"/>
  <c r="GK94" i="9" s="1"/>
  <c r="EL16" i="31"/>
  <c r="EL36" i="31"/>
  <c r="FC83" i="10"/>
  <c r="FC84" i="10" s="1"/>
  <c r="GI27" i="9"/>
  <c r="GI28" i="9"/>
  <c r="GI75" i="9"/>
  <c r="GI2" i="9"/>
  <c r="GI4" i="9" s="1"/>
  <c r="GI26" i="9"/>
  <c r="FB68" i="10"/>
  <c r="FB67" i="10"/>
  <c r="FC67" i="10" s="1"/>
  <c r="GI106" i="9"/>
  <c r="GI107" i="9"/>
  <c r="GI115" i="9" s="1"/>
  <c r="GI108" i="9"/>
  <c r="EK31" i="31"/>
  <c r="GI102" i="9"/>
  <c r="FD47" i="11"/>
  <c r="GH2" i="9"/>
  <c r="GH4" i="9" s="1"/>
  <c r="GH75" i="9"/>
  <c r="GH27" i="9"/>
  <c r="GH28" i="9"/>
  <c r="FB69" i="10"/>
  <c r="FB78" i="10"/>
  <c r="FC78" i="10" s="1"/>
  <c r="FB70" i="10"/>
  <c r="GH133" i="9"/>
  <c r="FA36" i="10"/>
  <c r="FB32" i="10"/>
  <c r="FC24" i="11"/>
  <c r="FD24" i="11" s="1"/>
  <c r="FA79" i="10"/>
  <c r="FB75" i="10"/>
  <c r="FC75" i="10" s="1"/>
  <c r="EM887" i="31"/>
  <c r="EM24" i="31"/>
  <c r="EM29" i="31" s="1"/>
  <c r="EM30" i="31" s="1"/>
  <c r="EM35" i="31"/>
  <c r="EM40" i="31" s="1"/>
  <c r="EM41" i="31" s="1"/>
  <c r="EO232" i="31"/>
  <c r="EO238" i="31" s="1"/>
  <c r="EO192" i="31"/>
  <c r="EO197" i="31" s="1"/>
  <c r="EO198" i="31" s="1"/>
  <c r="EP231" i="31"/>
  <c r="GH106" i="9"/>
  <c r="GH107" i="9"/>
  <c r="GH115" i="9" s="1"/>
  <c r="EI31" i="31"/>
  <c r="EJ31" i="31"/>
  <c r="GH108" i="9"/>
  <c r="GH102" i="9"/>
  <c r="EM891" i="31"/>
  <c r="EM892" i="31" s="1"/>
  <c r="EM199" i="31"/>
  <c r="EN193" i="31"/>
  <c r="EN886" i="31"/>
  <c r="FB59" i="10"/>
  <c r="GJ106" i="9"/>
  <c r="GJ102" i="9"/>
  <c r="GJ108" i="9"/>
  <c r="GJ107" i="9"/>
  <c r="GJ115" i="9" s="1"/>
  <c r="FC23" i="11"/>
  <c r="FD23" i="11" s="1"/>
  <c r="FB17" i="10"/>
  <c r="FC28" i="11" l="1"/>
  <c r="FD22" i="11"/>
  <c r="EL42" i="31"/>
  <c r="EM893" i="31"/>
  <c r="FD35" i="11"/>
  <c r="FD27" i="11"/>
  <c r="FD32" i="11"/>
  <c r="FB77" i="10"/>
  <c r="FC77" i="10" s="1"/>
  <c r="FD77" i="10" s="1"/>
  <c r="FD16" i="11"/>
  <c r="GJ114" i="9"/>
  <c r="GJ116" i="9" s="1"/>
  <c r="EL31" i="31"/>
  <c r="GI29" i="9"/>
  <c r="FB97" i="10"/>
  <c r="FB91" i="10"/>
  <c r="GH114" i="9"/>
  <c r="GH116" i="9" s="1"/>
  <c r="FA41" i="10"/>
  <c r="FD67" i="10"/>
  <c r="FC26" i="10"/>
  <c r="FB146" i="10"/>
  <c r="FD16" i="10"/>
  <c r="FD18" i="10"/>
  <c r="FD25" i="10"/>
  <c r="FD21" i="10"/>
  <c r="FD135" i="10"/>
  <c r="GI78" i="9"/>
  <c r="GJ77" i="9"/>
  <c r="FC19" i="10"/>
  <c r="FD66" i="10"/>
  <c r="FC39" i="10"/>
  <c r="FD75" i="10"/>
  <c r="FD28" i="11"/>
  <c r="FD85" i="10"/>
  <c r="FD86" i="10" s="1"/>
  <c r="GJ76" i="9"/>
  <c r="GG27" i="9"/>
  <c r="GH77" i="9"/>
  <c r="GL93" i="9"/>
  <c r="GL94" i="9" s="1"/>
  <c r="EM16" i="31"/>
  <c r="EM36" i="31"/>
  <c r="GL23" i="9"/>
  <c r="GL24" i="9" s="1"/>
  <c r="GI76" i="9"/>
  <c r="FC85" i="10"/>
  <c r="FC86" i="10" s="1"/>
  <c r="GI77" i="9"/>
  <c r="GK107" i="9"/>
  <c r="GK115" i="9" s="1"/>
  <c r="GK106" i="9"/>
  <c r="GK102" i="9"/>
  <c r="GK108" i="9"/>
  <c r="GJ78" i="9"/>
  <c r="FE76" i="10"/>
  <c r="FD40" i="10"/>
  <c r="EN199" i="31"/>
  <c r="EM25" i="31"/>
  <c r="GL103" i="9" s="1"/>
  <c r="GH29" i="9"/>
  <c r="FC25" i="10"/>
  <c r="FC21" i="10"/>
  <c r="FC16" i="10"/>
  <c r="FC18" i="10"/>
  <c r="FC135" i="10"/>
  <c r="EL17" i="31"/>
  <c r="GK104" i="9"/>
  <c r="FC38" i="10"/>
  <c r="FD74" i="10"/>
  <c r="FD34" i="10"/>
  <c r="FE73" i="10"/>
  <c r="FC40" i="10"/>
  <c r="EP192" i="31"/>
  <c r="EP232" i="31"/>
  <c r="EP238" i="31" s="1"/>
  <c r="EQ231" i="31"/>
  <c r="FD78" i="10"/>
  <c r="FC33" i="10"/>
  <c r="FB60" i="10"/>
  <c r="EN887" i="31"/>
  <c r="EN24" i="31"/>
  <c r="GM23" i="9" s="1"/>
  <c r="GM24" i="9" s="1"/>
  <c r="EN35" i="31"/>
  <c r="EN40" i="31" s="1"/>
  <c r="EN41" i="31" s="1"/>
  <c r="EO193" i="31"/>
  <c r="EO886" i="31"/>
  <c r="EO891" i="31" s="1"/>
  <c r="EO892" i="31" s="1"/>
  <c r="EN891" i="31"/>
  <c r="EN892" i="31" s="1"/>
  <c r="FB36" i="10"/>
  <c r="FB61" i="10"/>
  <c r="FB79" i="10"/>
  <c r="GG28" i="9"/>
  <c r="GH78" i="9"/>
  <c r="GI114" i="9"/>
  <c r="GI116" i="9" s="1"/>
  <c r="FC34" i="10"/>
  <c r="GJ29" i="9"/>
  <c r="GK2" i="9"/>
  <c r="GK4" i="9" s="1"/>
  <c r="GK28" i="9"/>
  <c r="GK27" i="9"/>
  <c r="GK75" i="9"/>
  <c r="FE83" i="10"/>
  <c r="FE84" i="10" s="1"/>
  <c r="GK26" i="9"/>
  <c r="FC140" i="10" l="1"/>
  <c r="EM42" i="31"/>
  <c r="EN893" i="31"/>
  <c r="FC35" i="10"/>
  <c r="GI69" i="9"/>
  <c r="GI68" i="9"/>
  <c r="GI79" i="9"/>
  <c r="FB62" i="10"/>
  <c r="EM31" i="31"/>
  <c r="GK29" i="9"/>
  <c r="FC146" i="10"/>
  <c r="FC138" i="10"/>
  <c r="FD140" i="10"/>
  <c r="EP193" i="31"/>
  <c r="EP199" i="31" s="1"/>
  <c r="EP886" i="31"/>
  <c r="EP891" i="31" s="1"/>
  <c r="EP892" i="31" s="1"/>
  <c r="FD26" i="10"/>
  <c r="FE67" i="10"/>
  <c r="EO887" i="31"/>
  <c r="EO893" i="31" s="1"/>
  <c r="EO35" i="31"/>
  <c r="EO40" i="31" s="1"/>
  <c r="EO41" i="31" s="1"/>
  <c r="FD35" i="10"/>
  <c r="FE77" i="10"/>
  <c r="EN29" i="31"/>
  <c r="EN30" i="31" s="1"/>
  <c r="FD17" i="10"/>
  <c r="FD32" i="10"/>
  <c r="FE47" i="11"/>
  <c r="FE25" i="11"/>
  <c r="FD19" i="10"/>
  <c r="FE66" i="10"/>
  <c r="GG78" i="9"/>
  <c r="GG67" i="9"/>
  <c r="FD33" i="10"/>
  <c r="FE78" i="10"/>
  <c r="FF22" i="11"/>
  <c r="FE22" i="11"/>
  <c r="FC32" i="10"/>
  <c r="FC17" i="10"/>
  <c r="GG77" i="9"/>
  <c r="GG66" i="9"/>
  <c r="EO199" i="31"/>
  <c r="FF32" i="11"/>
  <c r="GL27" i="9"/>
  <c r="GL75" i="9"/>
  <c r="GL26" i="9"/>
  <c r="GL28" i="9"/>
  <c r="GL2" i="9"/>
  <c r="GL4" i="9" s="1"/>
  <c r="FF83" i="10"/>
  <c r="FF84" i="10" s="1"/>
  <c r="FD39" i="10"/>
  <c r="FF47" i="11" s="1"/>
  <c r="FE75" i="10"/>
  <c r="GK76" i="9"/>
  <c r="FE85" i="10"/>
  <c r="FE86" i="10" s="1"/>
  <c r="GK77" i="9"/>
  <c r="EP197" i="31"/>
  <c r="EP198" i="31" s="1"/>
  <c r="EN36" i="31"/>
  <c r="EN16" i="31"/>
  <c r="GM93" i="9"/>
  <c r="GM94" i="9" s="1"/>
  <c r="FE34" i="10"/>
  <c r="FF73" i="10"/>
  <c r="FF35" i="11"/>
  <c r="GI133" i="9"/>
  <c r="FE35" i="11"/>
  <c r="GH69" i="9"/>
  <c r="GH79" i="9"/>
  <c r="GH39" i="9"/>
  <c r="GG29" i="9"/>
  <c r="GH68" i="9"/>
  <c r="GH38" i="9"/>
  <c r="FE40" i="10"/>
  <c r="FF76" i="10"/>
  <c r="GL104" i="9"/>
  <c r="EM17" i="31"/>
  <c r="GK78" i="9"/>
  <c r="GJ79" i="9"/>
  <c r="GJ69" i="9"/>
  <c r="GJ68" i="9"/>
  <c r="FE16" i="11"/>
  <c r="GJ133" i="9"/>
  <c r="FE16" i="10"/>
  <c r="FE18" i="10"/>
  <c r="FE21" i="10"/>
  <c r="FE25" i="10"/>
  <c r="FE135" i="10"/>
  <c r="GM28" i="9"/>
  <c r="GM2" i="9"/>
  <c r="GM4" i="9" s="1"/>
  <c r="GM27" i="9"/>
  <c r="GM75" i="9"/>
  <c r="GM26" i="9"/>
  <c r="FG83" i="10"/>
  <c r="FG84" i="10" s="1"/>
  <c r="EQ232" i="31"/>
  <c r="EQ192" i="31"/>
  <c r="ER231" i="31"/>
  <c r="FB41" i="10"/>
  <c r="EN25" i="31"/>
  <c r="GM103" i="9" s="1"/>
  <c r="FD38" i="10"/>
  <c r="FE74" i="10"/>
  <c r="FE32" i="11"/>
  <c r="GL102" i="9"/>
  <c r="GL107" i="9"/>
  <c r="GL115" i="9" s="1"/>
  <c r="GL108" i="9"/>
  <c r="GL106" i="9"/>
  <c r="GK114" i="9"/>
  <c r="GK116" i="9" s="1"/>
  <c r="FE33" i="11"/>
  <c r="EN42" i="31" l="1"/>
  <c r="FE27" i="11"/>
  <c r="FE28" i="11" s="1"/>
  <c r="FG35" i="11"/>
  <c r="FC175" i="10"/>
  <c r="GL114" i="9"/>
  <c r="GL116" i="9" s="1"/>
  <c r="GK79" i="9"/>
  <c r="GK69" i="9"/>
  <c r="GK68" i="9"/>
  <c r="FF27" i="11"/>
  <c r="FF33" i="11"/>
  <c r="FD91" i="10"/>
  <c r="FD97" i="10"/>
  <c r="GM29" i="9"/>
  <c r="FF25" i="11"/>
  <c r="GM78" i="9"/>
  <c r="FF23" i="11"/>
  <c r="FE23" i="11"/>
  <c r="EN31" i="31"/>
  <c r="EQ886" i="31"/>
  <c r="EQ891" i="31" s="1"/>
  <c r="EQ892" i="31" s="1"/>
  <c r="EQ193" i="31"/>
  <c r="EQ199" i="31" s="1"/>
  <c r="FF16" i="11"/>
  <c r="GG79" i="9"/>
  <c r="GG69" i="9"/>
  <c r="GG68" i="9"/>
  <c r="FA175" i="10" s="1"/>
  <c r="GG38" i="9"/>
  <c r="GL78" i="9"/>
  <c r="FE24" i="11"/>
  <c r="FC36" i="10"/>
  <c r="FC79" i="10"/>
  <c r="FC97" i="10"/>
  <c r="FG22" i="11"/>
  <c r="FE35" i="10"/>
  <c r="FF77" i="10"/>
  <c r="FF34" i="10"/>
  <c r="FG73" i="10"/>
  <c r="FG34" i="10" s="1"/>
  <c r="GM104" i="9"/>
  <c r="EN17" i="31"/>
  <c r="FF25" i="10"/>
  <c r="FF18" i="10"/>
  <c r="FF21" i="10"/>
  <c r="FF16" i="10"/>
  <c r="FF135" i="10"/>
  <c r="GL76" i="9"/>
  <c r="FF85" i="10"/>
  <c r="FF86" i="10" s="1"/>
  <c r="FC91" i="10"/>
  <c r="EP887" i="31"/>
  <c r="EP893" i="31" s="1"/>
  <c r="EP35" i="31"/>
  <c r="EP40" i="31" s="1"/>
  <c r="EP41" i="31" s="1"/>
  <c r="ER232" i="31"/>
  <c r="ER192" i="31"/>
  <c r="ES231" i="31"/>
  <c r="FG32" i="11"/>
  <c r="EQ238" i="31"/>
  <c r="GM77" i="9"/>
  <c r="FD175" i="10"/>
  <c r="FG76" i="10"/>
  <c r="FG40" i="10" s="1"/>
  <c r="FF40" i="10"/>
  <c r="GL29" i="9"/>
  <c r="FE33" i="10"/>
  <c r="FF78" i="10"/>
  <c r="FD79" i="10"/>
  <c r="FF24" i="11"/>
  <c r="FD36" i="10"/>
  <c r="EO36" i="31"/>
  <c r="FD146" i="10"/>
  <c r="FD138" i="10"/>
  <c r="FE140" i="10"/>
  <c r="FF74" i="10"/>
  <c r="FE38" i="10"/>
  <c r="FE36" i="11"/>
  <c r="GM106" i="9"/>
  <c r="GM107" i="9"/>
  <c r="GM115" i="9" s="1"/>
  <c r="GM102" i="9"/>
  <c r="GM108" i="9"/>
  <c r="FE17" i="10"/>
  <c r="FE32" i="10"/>
  <c r="FE19" i="10"/>
  <c r="FF66" i="10"/>
  <c r="EQ197" i="31"/>
  <c r="EQ198" i="31" s="1"/>
  <c r="FE15" i="11"/>
  <c r="GI119" i="9"/>
  <c r="FG85" i="10"/>
  <c r="FG86" i="10" s="1"/>
  <c r="GM76" i="9"/>
  <c r="FF75" i="10"/>
  <c r="FE39" i="10"/>
  <c r="FG47" i="11" s="1"/>
  <c r="FG16" i="10"/>
  <c r="FG25" i="10"/>
  <c r="FG21" i="10"/>
  <c r="FG18" i="10"/>
  <c r="FG135" i="10"/>
  <c r="FI32" i="11" s="1"/>
  <c r="GK133" i="9"/>
  <c r="GH122" i="9"/>
  <c r="GH70" i="9"/>
  <c r="GH41" i="9"/>
  <c r="GH80" i="9"/>
  <c r="GH125" i="9"/>
  <c r="GH127" i="9" s="1"/>
  <c r="GL77" i="9"/>
  <c r="FE26" i="10"/>
  <c r="FG33" i="11" s="1"/>
  <c r="FF67" i="10"/>
  <c r="FH35" i="11" l="1"/>
  <c r="FE175" i="10"/>
  <c r="FF36" i="11"/>
  <c r="FG25" i="11"/>
  <c r="GM114" i="9"/>
  <c r="GM116" i="9" s="1"/>
  <c r="FF28" i="11"/>
  <c r="GM68" i="9"/>
  <c r="FG175" i="10" s="1"/>
  <c r="FG27" i="11"/>
  <c r="GM69" i="9"/>
  <c r="FE91" i="10"/>
  <c r="FG17" i="10"/>
  <c r="FG32" i="10"/>
  <c r="ER193" i="31"/>
  <c r="ER886" i="31"/>
  <c r="ER891" i="31" s="1"/>
  <c r="ER892" i="31" s="1"/>
  <c r="FG74" i="10"/>
  <c r="FG38" i="10" s="1"/>
  <c r="FF38" i="10"/>
  <c r="FF32" i="10"/>
  <c r="FF17" i="10"/>
  <c r="FE97" i="10"/>
  <c r="FE146" i="10"/>
  <c r="FF140" i="10"/>
  <c r="FE138" i="10"/>
  <c r="GL79" i="9"/>
  <c r="GL69" i="9"/>
  <c r="GL68" i="9"/>
  <c r="FH32" i="11"/>
  <c r="EO42" i="31"/>
  <c r="EQ35" i="31"/>
  <c r="EQ887" i="31"/>
  <c r="GG41" i="9"/>
  <c r="GH49" i="9"/>
  <c r="GJ119" i="9"/>
  <c r="FF15" i="11"/>
  <c r="FG78" i="10"/>
  <c r="FG33" i="10" s="1"/>
  <c r="FF33" i="10"/>
  <c r="FG36" i="11"/>
  <c r="GH43" i="9"/>
  <c r="FF39" i="10"/>
  <c r="FH47" i="11" s="1"/>
  <c r="FG75" i="10"/>
  <c r="FG39" i="10" s="1"/>
  <c r="FF19" i="10"/>
  <c r="FH25" i="11" s="1"/>
  <c r="FG66" i="10"/>
  <c r="FG19" i="10" s="1"/>
  <c r="FD41" i="10"/>
  <c r="FI22" i="11"/>
  <c r="ER238" i="31"/>
  <c r="FF35" i="10"/>
  <c r="FG77" i="10"/>
  <c r="FG35" i="10" s="1"/>
  <c r="GG122" i="9"/>
  <c r="GG125" i="9"/>
  <c r="GG127" i="9" s="1"/>
  <c r="GG80" i="9"/>
  <c r="GG70" i="9"/>
  <c r="FH22" i="11"/>
  <c r="ER197" i="31"/>
  <c r="ER198" i="31" s="1"/>
  <c r="GM79" i="9"/>
  <c r="FF26" i="10"/>
  <c r="FH33" i="11" s="1"/>
  <c r="FG67" i="10"/>
  <c r="FG26" i="10" s="1"/>
  <c r="FG23" i="11"/>
  <c r="EP36" i="31"/>
  <c r="GM133" i="9"/>
  <c r="FG24" i="11"/>
  <c r="FE36" i="10"/>
  <c r="FE79" i="10"/>
  <c r="ES192" i="31"/>
  <c r="ES197" i="31" s="1"/>
  <c r="ES198" i="31" s="1"/>
  <c r="ES232" i="31"/>
  <c r="FI35" i="11"/>
  <c r="GL133" i="9"/>
  <c r="FC41" i="10"/>
  <c r="FG16" i="11"/>
  <c r="GG43" i="9" l="1"/>
  <c r="GG72" i="9" s="1"/>
  <c r="FA176" i="10" s="1"/>
  <c r="FH23" i="11"/>
  <c r="FH16" i="11"/>
  <c r="FG28" i="11"/>
  <c r="FH27" i="11"/>
  <c r="FH28" i="11" s="1"/>
  <c r="GG49" i="9"/>
  <c r="FG91" i="10"/>
  <c r="ES238" i="31"/>
  <c r="FG36" i="10"/>
  <c r="FG79" i="10"/>
  <c r="FI24" i="11"/>
  <c r="FG97" i="10"/>
  <c r="GK119" i="9"/>
  <c r="FG15" i="11"/>
  <c r="ES193" i="31"/>
  <c r="ES199" i="31" s="1"/>
  <c r="ES886" i="31"/>
  <c r="ES891" i="31" s="1"/>
  <c r="ES892" i="31" s="1"/>
  <c r="FH36" i="11"/>
  <c r="FI16" i="11"/>
  <c r="FI27" i="11"/>
  <c r="EQ36" i="31"/>
  <c r="EQ42" i="31" s="1"/>
  <c r="FF91" i="10"/>
  <c r="GH72" i="9"/>
  <c r="GH81" i="9"/>
  <c r="GH84" i="9" s="1"/>
  <c r="GH45" i="9"/>
  <c r="GH5" i="9"/>
  <c r="FI33" i="11"/>
  <c r="FI36" i="11" s="1"/>
  <c r="GG45" i="9"/>
  <c r="GG81" i="9"/>
  <c r="GG84" i="9" s="1"/>
  <c r="FI25" i="11"/>
  <c r="GG71" i="9"/>
  <c r="GG50" i="9" s="1"/>
  <c r="FF175" i="10"/>
  <c r="FI23" i="11"/>
  <c r="ER887" i="31"/>
  <c r="ER893" i="31" s="1"/>
  <c r="ER35" i="31"/>
  <c r="FE41" i="10"/>
  <c r="FF97" i="10"/>
  <c r="FG140" i="10"/>
  <c r="FF146" i="10"/>
  <c r="FF138" i="10"/>
  <c r="EQ40" i="31"/>
  <c r="EQ41" i="31" s="1"/>
  <c r="EQ893" i="31"/>
  <c r="FI47" i="11"/>
  <c r="ER199" i="31"/>
  <c r="EP42" i="31"/>
  <c r="FF36" i="10"/>
  <c r="FF79" i="10"/>
  <c r="FH24" i="11"/>
  <c r="GL119" i="9" l="1"/>
  <c r="FH15" i="11"/>
  <c r="GH47" i="9"/>
  <c r="FD12" i="11" s="1"/>
  <c r="FG41" i="10"/>
  <c r="ER36" i="31"/>
  <c r="ER42" i="31" s="1"/>
  <c r="FA185" i="10"/>
  <c r="GG47" i="9"/>
  <c r="FC12" i="11" s="1"/>
  <c r="ER40" i="31"/>
  <c r="ER41" i="31" s="1"/>
  <c r="FF41" i="10"/>
  <c r="FG146" i="10"/>
  <c r="FG138" i="10"/>
  <c r="FI15" i="11" s="1"/>
  <c r="FI28" i="11"/>
  <c r="ES35" i="31"/>
  <c r="ES36" i="31" s="1"/>
  <c r="ES887" i="31"/>
  <c r="ES893" i="31" s="1"/>
  <c r="ES42" i="31" l="1"/>
  <c r="ES40" i="31"/>
  <c r="ES41" i="31" s="1"/>
  <c r="EX112" i="10" l="1"/>
  <c r="EY108" i="10"/>
  <c r="FA108" i="10"/>
  <c r="EZ112" i="10"/>
  <c r="EZ117" i="10" s="1"/>
  <c r="EZ118" i="10" s="1"/>
  <c r="FA115" i="10" l="1"/>
  <c r="EZ120" i="10"/>
  <c r="EZ103" i="10"/>
  <c r="EZ104" i="10" s="1"/>
  <c r="EY112" i="10"/>
  <c r="EY109" i="10"/>
  <c r="GF62" i="9" l="1"/>
  <c r="GG62" i="9" s="1"/>
  <c r="EZ88" i="10"/>
  <c r="GF52" i="9"/>
  <c r="GF53" i="9"/>
  <c r="GF54" i="9"/>
  <c r="FB39" i="11"/>
  <c r="EZ186" i="10"/>
  <c r="EZ50" i="10" s="1"/>
  <c r="EZ52" i="10" l="1"/>
  <c r="FB48" i="11"/>
  <c r="EZ192" i="10" l="1"/>
  <c r="EZ191" i="10" s="1"/>
  <c r="EZ92" i="10"/>
  <c r="EZ173" i="10"/>
  <c r="EZ179" i="10"/>
  <c r="EZ54" i="10"/>
  <c r="EZ180" i="10"/>
  <c r="FA184" i="10"/>
  <c r="EZ181" i="10" l="1"/>
  <c r="EZ93" i="10"/>
  <c r="FA110" i="10"/>
  <c r="FA112" i="10" s="1"/>
  <c r="FA117" i="10" s="1"/>
  <c r="FA118" i="10" s="1"/>
  <c r="FA120" i="10" s="1"/>
  <c r="GG60" i="9" s="1"/>
  <c r="FB110" i="10" l="1"/>
  <c r="FB109" i="10" s="1"/>
  <c r="FA103" i="10"/>
  <c r="FA104" i="10" s="1"/>
  <c r="GG53" i="9"/>
  <c r="FA88" i="10"/>
  <c r="GG54" i="9"/>
  <c r="GG52" i="9"/>
  <c r="GG61" i="9"/>
  <c r="GH61" i="9" l="1"/>
  <c r="FB112" i="10"/>
  <c r="FB117" i="10" s="1"/>
  <c r="FB118" i="10" s="1"/>
  <c r="FC115" i="10" s="1"/>
  <c r="FC108" i="10"/>
  <c r="FC110" i="10" s="1"/>
  <c r="GG55" i="9"/>
  <c r="FA105" i="10"/>
  <c r="FA100" i="10" s="1"/>
  <c r="FA87" i="10"/>
  <c r="FA215" i="10"/>
  <c r="GG56" i="9"/>
  <c r="GG57" i="9"/>
  <c r="FB104" i="10"/>
  <c r="FA186" i="10"/>
  <c r="FA50" i="10" s="1"/>
  <c r="FC39" i="11"/>
  <c r="FB120" i="10" l="1"/>
  <c r="GH60" i="9" s="1"/>
  <c r="FB103" i="10"/>
  <c r="FD108" i="10"/>
  <c r="FD110" i="10" s="1"/>
  <c r="FC112" i="10"/>
  <c r="FC117" i="10" s="1"/>
  <c r="FC118" i="10" s="1"/>
  <c r="GG82" i="9"/>
  <c r="GG83" i="9" s="1"/>
  <c r="GH53" i="9"/>
  <c r="GH54" i="9"/>
  <c r="GH52" i="9"/>
  <c r="FA52" i="10"/>
  <c r="FB50" i="10"/>
  <c r="FB186" i="10"/>
  <c r="FD39" i="11"/>
  <c r="FC48" i="11"/>
  <c r="FD115" i="10" l="1"/>
  <c r="FD118" i="10" s="1"/>
  <c r="FE115" i="10" s="1"/>
  <c r="FC103" i="10"/>
  <c r="FC104" i="10" s="1"/>
  <c r="FC120" i="10"/>
  <c r="GI60" i="9" s="1"/>
  <c r="FE108" i="10"/>
  <c r="FE110" i="10" s="1"/>
  <c r="FD112" i="10"/>
  <c r="FD117" i="10" s="1"/>
  <c r="FA54" i="10"/>
  <c r="FA180" i="10"/>
  <c r="FA179" i="10"/>
  <c r="FA92" i="10"/>
  <c r="FA192" i="10"/>
  <c r="FA191" i="10" s="1"/>
  <c r="FA173" i="10"/>
  <c r="GH7" i="9"/>
  <c r="GH56" i="9"/>
  <c r="GH55" i="9"/>
  <c r="GH57" i="9"/>
  <c r="FD48" i="11"/>
  <c r="FB52" i="10"/>
  <c r="FE39" i="11" l="1"/>
  <c r="FC186" i="10"/>
  <c r="GI61" i="9"/>
  <c r="FC88" i="10"/>
  <c r="FD103" i="10"/>
  <c r="FD104" i="10" s="1"/>
  <c r="FD120" i="10"/>
  <c r="GJ60" i="9" s="1"/>
  <c r="FF108" i="10"/>
  <c r="FF110" i="10" s="1"/>
  <c r="FE112" i="10"/>
  <c r="FE117" i="10" s="1"/>
  <c r="FE118" i="10" s="1"/>
  <c r="GH82" i="9"/>
  <c r="GH83" i="9" s="1"/>
  <c r="GH8" i="9"/>
  <c r="FB180" i="10"/>
  <c r="FB54" i="10"/>
  <c r="FC184" i="10"/>
  <c r="FB92" i="10"/>
  <c r="FB179" i="10"/>
  <c r="FB192" i="10"/>
  <c r="FB191" i="10" s="1"/>
  <c r="FA93" i="10"/>
  <c r="FA181" i="10"/>
  <c r="FE48" i="11"/>
  <c r="FC215" i="10"/>
  <c r="FC87" i="10"/>
  <c r="GI7" i="9"/>
  <c r="FD88" i="10" l="1"/>
  <c r="GJ61" i="9"/>
  <c r="FD215" i="10" s="1"/>
  <c r="FF39" i="11"/>
  <c r="FD186" i="10"/>
  <c r="FF115" i="10"/>
  <c r="FE103" i="10"/>
  <c r="FE104" i="10" s="1"/>
  <c r="FE120" i="10"/>
  <c r="GK60" i="9" s="1"/>
  <c r="FF112" i="10"/>
  <c r="FF117" i="10" s="1"/>
  <c r="FG108" i="10"/>
  <c r="FG110" i="10" s="1"/>
  <c r="FG112" i="10" s="1"/>
  <c r="FG117" i="10" s="1"/>
  <c r="FB93" i="10"/>
  <c r="FB181" i="10"/>
  <c r="FE88" i="10" l="1"/>
  <c r="GJ7" i="9"/>
  <c r="FG39" i="11"/>
  <c r="GK61" i="9"/>
  <c r="FD87" i="10"/>
  <c r="FE186" i="10"/>
  <c r="FF48" i="11"/>
  <c r="FF118" i="10"/>
  <c r="FE87" i="10"/>
  <c r="FG48" i="11"/>
  <c r="GK7" i="9" l="1"/>
  <c r="FE215" i="10"/>
  <c r="FG115" i="10"/>
  <c r="FG118" i="10" s="1"/>
  <c r="FF103" i="10"/>
  <c r="FF104" i="10" s="1"/>
  <c r="FF120" i="10"/>
  <c r="GL60" i="9" s="1"/>
  <c r="GL61" i="9" l="1"/>
  <c r="FF88" i="10"/>
  <c r="FF186" i="10"/>
  <c r="FH39" i="11"/>
  <c r="FG120" i="10"/>
  <c r="GM60" i="9" s="1"/>
  <c r="FG103" i="10"/>
  <c r="FG104" i="10" s="1"/>
  <c r="FH48" i="11" l="1"/>
  <c r="FI39" i="11"/>
  <c r="FG186" i="10"/>
  <c r="FG88" i="10"/>
  <c r="GM61" i="9"/>
  <c r="GL7" i="9"/>
  <c r="FF87" i="10"/>
  <c r="FF215" i="10"/>
  <c r="GE120" i="9"/>
  <c r="FB160" i="10"/>
  <c r="FB159" i="10"/>
  <c r="EZ162" i="10"/>
  <c r="EY138" i="10"/>
  <c r="EZ138" i="10" s="1"/>
  <c r="FA162" i="10" l="1"/>
  <c r="FI48" i="11"/>
  <c r="GM7" i="9"/>
  <c r="FG215" i="10"/>
  <c r="FG87" i="10"/>
  <c r="FB161" i="10"/>
  <c r="FC158" i="10" s="1"/>
  <c r="FC161" i="10" s="1"/>
  <c r="FC24" i="10" s="1"/>
  <c r="EY143" i="10"/>
  <c r="GE119" i="9"/>
  <c r="GF119" i="9"/>
  <c r="EZ141" i="10"/>
  <c r="EZ143" i="10"/>
  <c r="EZ139" i="10"/>
  <c r="EZ163" i="10"/>
  <c r="FA163" i="10"/>
  <c r="FB162" i="10"/>
  <c r="GH120" i="9"/>
  <c r="FB15" i="11"/>
  <c r="EY137" i="10"/>
  <c r="FA137" i="10" s="1"/>
  <c r="FD158" i="10" l="1"/>
  <c r="FD161" i="10" s="1"/>
  <c r="FB163" i="10"/>
  <c r="GF121" i="9"/>
  <c r="FA140" i="10"/>
  <c r="FC33" i="11"/>
  <c r="GE121" i="9"/>
  <c r="FB29" i="11"/>
  <c r="EZ150" i="10"/>
  <c r="EZ144" i="10"/>
  <c r="FA134" i="10"/>
  <c r="EZ22" i="10"/>
  <c r="FD24" i="10"/>
  <c r="FE158" i="10"/>
  <c r="FE161" i="10" s="1"/>
  <c r="FC162" i="10"/>
  <c r="EZ142" i="10"/>
  <c r="EZ149" i="10"/>
  <c r="EZ147" i="10" l="1"/>
  <c r="EZ148" i="10" s="1"/>
  <c r="FA138" i="10"/>
  <c r="FA139" i="10" s="1"/>
  <c r="FC36" i="11"/>
  <c r="FD33" i="11"/>
  <c r="FB52" i="11"/>
  <c r="FA146" i="10"/>
  <c r="FD162" i="10"/>
  <c r="FC163" i="10"/>
  <c r="FE24" i="10"/>
  <c r="FF158" i="10"/>
  <c r="FF161" i="10" s="1"/>
  <c r="FA143" i="10" l="1"/>
  <c r="FB54" i="11"/>
  <c r="FD36" i="11"/>
  <c r="FA22" i="10"/>
  <c r="FA150" i="10"/>
  <c r="FA144" i="10"/>
  <c r="FF24" i="10"/>
  <c r="FG158" i="10"/>
  <c r="FG161" i="10" s="1"/>
  <c r="FE162" i="10"/>
  <c r="FD163" i="10"/>
  <c r="GG119" i="9"/>
  <c r="FC15" i="11"/>
  <c r="FB138" i="10"/>
  <c r="FA141" i="10"/>
  <c r="FF162" i="10" l="1"/>
  <c r="FE163" i="10"/>
  <c r="FC29" i="11"/>
  <c r="FD15" i="11"/>
  <c r="GG121" i="9"/>
  <c r="FB139" i="10"/>
  <c r="GH119" i="9"/>
  <c r="FB141" i="10"/>
  <c r="FG24" i="10"/>
  <c r="EZ14" i="10"/>
  <c r="FC53" i="11"/>
  <c r="FB22" i="10"/>
  <c r="FA149" i="10"/>
  <c r="FA147" i="10" s="1"/>
  <c r="FA148" i="10" s="1"/>
  <c r="FA142" i="10"/>
  <c r="FB142" i="10" l="1"/>
  <c r="FC141" i="10"/>
  <c r="FB149" i="10"/>
  <c r="FB150" i="10"/>
  <c r="FB144" i="10"/>
  <c r="FC134" i="10"/>
  <c r="FC139" i="10" s="1"/>
  <c r="FC52" i="11"/>
  <c r="FD29" i="11"/>
  <c r="GH121" i="9"/>
  <c r="EZ65" i="10"/>
  <c r="EZ216" i="10" s="1"/>
  <c r="EZ20" i="10"/>
  <c r="GF131" i="9"/>
  <c r="EZ96" i="10"/>
  <c r="EZ98" i="10" s="1"/>
  <c r="EZ220" i="10"/>
  <c r="EZ169" i="10"/>
  <c r="FG162" i="10"/>
  <c r="FF163" i="10"/>
  <c r="FD141" i="10" l="1"/>
  <c r="FC149" i="10"/>
  <c r="FC142" i="10"/>
  <c r="FC54" i="11"/>
  <c r="FG163" i="10"/>
  <c r="EZ27" i="10"/>
  <c r="EZ167" i="10"/>
  <c r="EZ56" i="10"/>
  <c r="EZ168" i="10"/>
  <c r="FB147" i="10"/>
  <c r="FB148" i="10" s="1"/>
  <c r="GF134" i="9"/>
  <c r="FC150" i="10"/>
  <c r="FC22" i="10"/>
  <c r="FD134" i="10"/>
  <c r="FD139" i="10" s="1"/>
  <c r="FC144" i="10"/>
  <c r="FD52" i="11"/>
  <c r="GG135" i="9" l="1"/>
  <c r="GH135" i="9" s="1"/>
  <c r="S143" i="204" s="1"/>
  <c r="GF136" i="9"/>
  <c r="GF143" i="9" s="1"/>
  <c r="GF144" i="9" s="1"/>
  <c r="FC147" i="10"/>
  <c r="FC148" i="10" s="1"/>
  <c r="FE141" i="10"/>
  <c r="FD149" i="10"/>
  <c r="FD142" i="10"/>
  <c r="EZ172" i="10"/>
  <c r="EZ218" i="10"/>
  <c r="EZ57" i="10"/>
  <c r="EZ55" i="10"/>
  <c r="EZ217" i="10"/>
  <c r="FD150" i="10"/>
  <c r="FD144" i="10"/>
  <c r="FD22" i="10"/>
  <c r="FE134" i="10"/>
  <c r="FE139" i="10" s="1"/>
  <c r="FD54" i="11"/>
  <c r="FA14" i="10"/>
  <c r="FD147" i="10" l="1"/>
  <c r="FD148" i="10" s="1"/>
  <c r="GG131" i="9"/>
  <c r="GG134" i="9" s="1"/>
  <c r="GG136" i="9" s="1"/>
  <c r="FA96" i="10"/>
  <c r="FA98" i="10" s="1"/>
  <c r="FA220" i="10"/>
  <c r="FA169" i="10"/>
  <c r="FA65" i="10"/>
  <c r="FA216" i="10" s="1"/>
  <c r="FA20" i="10"/>
  <c r="FE53" i="11"/>
  <c r="FB14" i="10"/>
  <c r="FE144" i="10"/>
  <c r="FE22" i="10"/>
  <c r="FF134" i="10"/>
  <c r="FF139" i="10" s="1"/>
  <c r="FE150" i="10"/>
  <c r="FE142" i="10"/>
  <c r="FE149" i="10"/>
  <c r="FF141" i="10"/>
  <c r="FB96" i="10" l="1"/>
  <c r="FB98" i="10" s="1"/>
  <c r="FB65" i="10"/>
  <c r="FB216" i="10" s="1"/>
  <c r="FB220" i="10"/>
  <c r="GH131" i="9"/>
  <c r="FB169" i="10"/>
  <c r="FB20" i="10"/>
  <c r="S125" i="204"/>
  <c r="FA167" i="10"/>
  <c r="FA56" i="10"/>
  <c r="FA27" i="10"/>
  <c r="FA168" i="10"/>
  <c r="FE147" i="10"/>
  <c r="FE148" i="10" s="1"/>
  <c r="FF142" i="10"/>
  <c r="FG141" i="10"/>
  <c r="FF149" i="10"/>
  <c r="FF150" i="10"/>
  <c r="FF144" i="10"/>
  <c r="FF22" i="10"/>
  <c r="FG134" i="10"/>
  <c r="FG139" i="10" s="1"/>
  <c r="GH136" i="9"/>
  <c r="GH143" i="9" s="1"/>
  <c r="GG143" i="9"/>
  <c r="GG144" i="9" s="1"/>
  <c r="GH134" i="9" l="1"/>
  <c r="FG142" i="10"/>
  <c r="FG149" i="10"/>
  <c r="T118" i="204"/>
  <c r="S132" i="204"/>
  <c r="S139" i="204" s="1"/>
  <c r="S141" i="204" s="1"/>
  <c r="S150" i="204"/>
  <c r="GH144" i="9"/>
  <c r="FG150" i="10"/>
  <c r="FG144" i="10"/>
  <c r="FG22" i="10"/>
  <c r="FB56" i="10"/>
  <c r="FB167" i="10"/>
  <c r="FB27" i="10"/>
  <c r="FB168" i="10"/>
  <c r="FF147" i="10"/>
  <c r="FF148" i="10" s="1"/>
  <c r="FA218" i="10"/>
  <c r="FA55" i="10"/>
  <c r="FA57" i="10"/>
  <c r="FA172" i="10"/>
  <c r="FA217" i="10"/>
  <c r="S152" i="204" l="1"/>
  <c r="FG147" i="10"/>
  <c r="FG148" i="10" s="1"/>
  <c r="FB57" i="10"/>
  <c r="FB218" i="10"/>
  <c r="FB55" i="10"/>
  <c r="FB217" i="10"/>
  <c r="FC14" i="10" l="1"/>
  <c r="FD14" i="10"/>
  <c r="FE14" i="10"/>
  <c r="FF14" i="10"/>
  <c r="FG14" i="10"/>
  <c r="FC20" i="10"/>
  <c r="FD20" i="10"/>
  <c r="FE20" i="10"/>
  <c r="FF20" i="10"/>
  <c r="FG20" i="10"/>
  <c r="FC27" i="10"/>
  <c r="FD27" i="10"/>
  <c r="FE27" i="10"/>
  <c r="FF27" i="10"/>
  <c r="FG27" i="10"/>
  <c r="FC50" i="10"/>
  <c r="FD50" i="10"/>
  <c r="FE50" i="10"/>
  <c r="FF50" i="10"/>
  <c r="FG50" i="10"/>
  <c r="FC52" i="10"/>
  <c r="FD52" i="10"/>
  <c r="FE52" i="10"/>
  <c r="FF52" i="10"/>
  <c r="FG52" i="10"/>
  <c r="FC54" i="10"/>
  <c r="FD54" i="10"/>
  <c r="FE54" i="10"/>
  <c r="FF54" i="10"/>
  <c r="FG54" i="10"/>
  <c r="FC55" i="10"/>
  <c r="FD55" i="10"/>
  <c r="FE55" i="10"/>
  <c r="FF55" i="10"/>
  <c r="FG55" i="10"/>
  <c r="FC56" i="10"/>
  <c r="FD56" i="10"/>
  <c r="FE56" i="10"/>
  <c r="FF56" i="10"/>
  <c r="FG56" i="10"/>
  <c r="FC57" i="10"/>
  <c r="FD57" i="10"/>
  <c r="FE57" i="10"/>
  <c r="FF57" i="10"/>
  <c r="FG57" i="10"/>
  <c r="FC65" i="10"/>
  <c r="FD65" i="10"/>
  <c r="FE65" i="10"/>
  <c r="FF65" i="10"/>
  <c r="FG65" i="10"/>
  <c r="FC92" i="10"/>
  <c r="FD92" i="10"/>
  <c r="FE92" i="10"/>
  <c r="FF92" i="10"/>
  <c r="FG92" i="10"/>
  <c r="FC93" i="10"/>
  <c r="FD93" i="10"/>
  <c r="FE93" i="10"/>
  <c r="FF93" i="10"/>
  <c r="FG93" i="10"/>
  <c r="FC96" i="10"/>
  <c r="FD96" i="10"/>
  <c r="FE96" i="10"/>
  <c r="FF96" i="10"/>
  <c r="FG96" i="10"/>
  <c r="FC98" i="10"/>
  <c r="FD98" i="10"/>
  <c r="FE98" i="10"/>
  <c r="FF98" i="10"/>
  <c r="FG98" i="10"/>
  <c r="FC167" i="10"/>
  <c r="FD167" i="10"/>
  <c r="FE167" i="10"/>
  <c r="FF167" i="10"/>
  <c r="FG167" i="10"/>
  <c r="FC168" i="10"/>
  <c r="FD168" i="10"/>
  <c r="FE168" i="10"/>
  <c r="FF168" i="10"/>
  <c r="FG168" i="10"/>
  <c r="FC169" i="10"/>
  <c r="FD169" i="10"/>
  <c r="FE169" i="10"/>
  <c r="FF169" i="10"/>
  <c r="FG169" i="10"/>
  <c r="FC172" i="10"/>
  <c r="FD172" i="10"/>
  <c r="FE172" i="10"/>
  <c r="FF172" i="10"/>
  <c r="FG172" i="10"/>
  <c r="FC173" i="10"/>
  <c r="FD173" i="10"/>
  <c r="FE173" i="10"/>
  <c r="FF173" i="10"/>
  <c r="FG173" i="10"/>
  <c r="FC176" i="10"/>
  <c r="FD176" i="10"/>
  <c r="FE176" i="10"/>
  <c r="FF176" i="10"/>
  <c r="FG176" i="10"/>
  <c r="FC179" i="10"/>
  <c r="FD179" i="10"/>
  <c r="FE179" i="10"/>
  <c r="FF179" i="10"/>
  <c r="FG179" i="10"/>
  <c r="FC180" i="10"/>
  <c r="FD180" i="10"/>
  <c r="FE180" i="10"/>
  <c r="FF180" i="10"/>
  <c r="FG180" i="10"/>
  <c r="FC181" i="10"/>
  <c r="FD181" i="10"/>
  <c r="FE181" i="10"/>
  <c r="FF181" i="10"/>
  <c r="FG181" i="10"/>
  <c r="FD184" i="10"/>
  <c r="FE184" i="10"/>
  <c r="FF184" i="10"/>
  <c r="FG184" i="10"/>
  <c r="FC185" i="10"/>
  <c r="FD185" i="10"/>
  <c r="FE185" i="10"/>
  <c r="FF185" i="10"/>
  <c r="FG185" i="10"/>
  <c r="FC191" i="10"/>
  <c r="FD191" i="10"/>
  <c r="FE191" i="10"/>
  <c r="FF191" i="10"/>
  <c r="FG191" i="10"/>
  <c r="FC192" i="10"/>
  <c r="FD192" i="10"/>
  <c r="FE192" i="10"/>
  <c r="FF192" i="10"/>
  <c r="FG192" i="10"/>
  <c r="FC216" i="10"/>
  <c r="FD216" i="10"/>
  <c r="FE216" i="10"/>
  <c r="FF216" i="10"/>
  <c r="FG216" i="10"/>
  <c r="FC217" i="10"/>
  <c r="FD217" i="10"/>
  <c r="FE217" i="10"/>
  <c r="FF217" i="10"/>
  <c r="FG217" i="10"/>
  <c r="FC218" i="10"/>
  <c r="FD218" i="10"/>
  <c r="FE218" i="10"/>
  <c r="FF218" i="10"/>
  <c r="FG218" i="10"/>
  <c r="FC220" i="10"/>
  <c r="FD220" i="10"/>
  <c r="FE220" i="10"/>
  <c r="FF220" i="10"/>
  <c r="FG220" i="10"/>
  <c r="FE12" i="11"/>
  <c r="FF12" i="11"/>
  <c r="FG12" i="11"/>
  <c r="FH12" i="11"/>
  <c r="FI12" i="11"/>
  <c r="FE29" i="11"/>
  <c r="FF29" i="11"/>
  <c r="FG29" i="11"/>
  <c r="FH29" i="11"/>
  <c r="FI29" i="11"/>
  <c r="FE52" i="11"/>
  <c r="FF52" i="11"/>
  <c r="FG52" i="11"/>
  <c r="FH52" i="11"/>
  <c r="FI52" i="11"/>
  <c r="FF53" i="11"/>
  <c r="FG53" i="11"/>
  <c r="FH53" i="11"/>
  <c r="FI53" i="11"/>
  <c r="FE54" i="11"/>
  <c r="FF54" i="11"/>
  <c r="FG54" i="11"/>
  <c r="FH54" i="11"/>
  <c r="FI54" i="11"/>
  <c r="U118" i="204"/>
  <c r="V118" i="204"/>
  <c r="W118" i="204"/>
  <c r="X118" i="204"/>
  <c r="T125" i="204"/>
  <c r="U125" i="204"/>
  <c r="V125" i="204"/>
  <c r="W125" i="204"/>
  <c r="X125" i="204"/>
  <c r="T132" i="204"/>
  <c r="U132" i="204"/>
  <c r="V132" i="204"/>
  <c r="W132" i="204"/>
  <c r="X132" i="204"/>
  <c r="T139" i="204"/>
  <c r="U139" i="204"/>
  <c r="V139" i="204"/>
  <c r="W139" i="204"/>
  <c r="X139" i="204"/>
  <c r="T141" i="204"/>
  <c r="U141" i="204"/>
  <c r="V141" i="204"/>
  <c r="W141" i="204"/>
  <c r="X141" i="204"/>
  <c r="T150" i="204"/>
  <c r="U150" i="204"/>
  <c r="V150" i="204"/>
  <c r="W150" i="204"/>
  <c r="X150" i="204"/>
  <c r="T152" i="204"/>
  <c r="U152" i="204"/>
  <c r="V152" i="204"/>
  <c r="W152" i="204"/>
  <c r="X152" i="204"/>
  <c r="GI5" i="9"/>
  <c r="GJ5" i="9"/>
  <c r="GK5" i="9"/>
  <c r="GL5" i="9"/>
  <c r="GM5" i="9"/>
  <c r="GI8" i="9"/>
  <c r="GJ8" i="9"/>
  <c r="GK8" i="9"/>
  <c r="GL8" i="9"/>
  <c r="GM8" i="9"/>
  <c r="GI36" i="9"/>
  <c r="GJ36" i="9"/>
  <c r="GK36" i="9"/>
  <c r="GL36" i="9"/>
  <c r="GM36" i="9"/>
  <c r="GI38" i="9"/>
  <c r="GJ38" i="9"/>
  <c r="GK38" i="9"/>
  <c r="GL38" i="9"/>
  <c r="GM38" i="9"/>
  <c r="GI39" i="9"/>
  <c r="GJ39" i="9"/>
  <c r="GK39" i="9"/>
  <c r="GL39" i="9"/>
  <c r="GM39" i="9"/>
  <c r="GI41" i="9"/>
  <c r="GJ41" i="9"/>
  <c r="GK41" i="9"/>
  <c r="GL41" i="9"/>
  <c r="GM41" i="9"/>
  <c r="GI43" i="9"/>
  <c r="GJ43" i="9"/>
  <c r="GK43" i="9"/>
  <c r="GL43" i="9"/>
  <c r="GM43" i="9"/>
  <c r="GI45" i="9"/>
  <c r="GJ45" i="9"/>
  <c r="GK45" i="9"/>
  <c r="GL45" i="9"/>
  <c r="GM45" i="9"/>
  <c r="GI47" i="9"/>
  <c r="GJ47" i="9"/>
  <c r="GK47" i="9"/>
  <c r="GL47" i="9"/>
  <c r="GM47" i="9"/>
  <c r="GI49" i="9"/>
  <c r="GJ49" i="9"/>
  <c r="GK49" i="9"/>
  <c r="GL49" i="9"/>
  <c r="GM49" i="9"/>
  <c r="GI52" i="9"/>
  <c r="GJ52" i="9"/>
  <c r="GK52" i="9"/>
  <c r="GL52" i="9"/>
  <c r="GM52" i="9"/>
  <c r="GI53" i="9"/>
  <c r="GJ53" i="9"/>
  <c r="GK53" i="9"/>
  <c r="GL53" i="9"/>
  <c r="GM53" i="9"/>
  <c r="GI54" i="9"/>
  <c r="GJ54" i="9"/>
  <c r="GK54" i="9"/>
  <c r="GL54" i="9"/>
  <c r="GM54" i="9"/>
  <c r="GI55" i="9"/>
  <c r="GJ55" i="9"/>
  <c r="GK55" i="9"/>
  <c r="GL55" i="9"/>
  <c r="GM55" i="9"/>
  <c r="GI56" i="9"/>
  <c r="GJ56" i="9"/>
  <c r="GK56" i="9"/>
  <c r="GL56" i="9"/>
  <c r="GM56" i="9"/>
  <c r="GI57" i="9"/>
  <c r="GJ57" i="9"/>
  <c r="GK57" i="9"/>
  <c r="GL57" i="9"/>
  <c r="GM57" i="9"/>
  <c r="GI70" i="9"/>
  <c r="GJ70" i="9"/>
  <c r="GK70" i="9"/>
  <c r="GL70" i="9"/>
  <c r="GM70" i="9"/>
  <c r="GI72" i="9"/>
  <c r="GJ72" i="9"/>
  <c r="GK72" i="9"/>
  <c r="GL72" i="9"/>
  <c r="GM72" i="9"/>
  <c r="GI80" i="9"/>
  <c r="GJ80" i="9"/>
  <c r="GK80" i="9"/>
  <c r="GL80" i="9"/>
  <c r="GM80" i="9"/>
  <c r="GI81" i="9"/>
  <c r="GJ81" i="9"/>
  <c r="GK81" i="9"/>
  <c r="GL81" i="9"/>
  <c r="GM81" i="9"/>
  <c r="GI82" i="9"/>
  <c r="GJ82" i="9"/>
  <c r="GK82" i="9"/>
  <c r="GL82" i="9"/>
  <c r="GM82" i="9"/>
  <c r="GI83" i="9"/>
  <c r="GJ83" i="9"/>
  <c r="GK83" i="9"/>
  <c r="GL83" i="9"/>
  <c r="GM83" i="9"/>
  <c r="GI84" i="9"/>
  <c r="GJ84" i="9"/>
  <c r="GK84" i="9"/>
  <c r="GL84" i="9"/>
  <c r="GM84" i="9"/>
  <c r="GI121" i="9"/>
  <c r="GJ121" i="9"/>
  <c r="GK121" i="9"/>
  <c r="GL121" i="9"/>
  <c r="GM121" i="9"/>
  <c r="GI122" i="9"/>
  <c r="GJ122" i="9"/>
  <c r="GK122" i="9"/>
  <c r="GL122" i="9"/>
  <c r="GM122" i="9"/>
  <c r="GI125" i="9"/>
  <c r="GJ125" i="9"/>
  <c r="GK125" i="9"/>
  <c r="GL125" i="9"/>
  <c r="GM125" i="9"/>
  <c r="GI126" i="9"/>
  <c r="GJ126" i="9"/>
  <c r="GK126" i="9"/>
  <c r="GL126" i="9"/>
  <c r="GM126" i="9"/>
  <c r="GI127" i="9"/>
  <c r="GJ127" i="9"/>
  <c r="GK127" i="9"/>
  <c r="GL127" i="9"/>
  <c r="GM127" i="9"/>
  <c r="GI131" i="9"/>
  <c r="GJ131" i="9"/>
  <c r="GK131" i="9"/>
  <c r="GL131" i="9"/>
  <c r="GM131" i="9"/>
  <c r="GI134" i="9"/>
  <c r="GJ134" i="9"/>
  <c r="GK134" i="9"/>
  <c r="GL134" i="9"/>
  <c r="GM134" i="9"/>
  <c r="GI136" i="9"/>
  <c r="GJ136" i="9"/>
  <c r="GK136" i="9"/>
  <c r="GL136" i="9"/>
  <c r="GM136" i="9"/>
  <c r="GI143" i="9"/>
  <c r="GJ143" i="9"/>
  <c r="GK143" i="9"/>
  <c r="GL143" i="9"/>
  <c r="GM143" i="9"/>
  <c r="GI144" i="9"/>
  <c r="GJ144" i="9"/>
  <c r="GK144" i="9"/>
  <c r="GL144" i="9"/>
  <c r="GM14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Person0450, Person0312 </author>
    <author>Person1056, Person0202 </author>
    <author>Person1216, Person0289 B </author>
    <author>Person1276, Person0967 W </author>
    <author>Person1266, Person0521 </author>
    <author>Person0136, Person0241 </author>
    <author>Person0883, Person1205 </author>
    <author>Author10</author>
    <author>Person1262, Person0405 G </author>
    <author>Person1237, Person0230 </author>
    <author>Person0380, Person1113 </author>
    <author>Person0299, Person1247 </author>
    <author>Person0375, Person0226 </author>
    <author>Person0939, Person0588 </author>
    <author>Author17</author>
    <author>Author18</author>
    <author>Author19</author>
    <author>Author20</author>
    <author>Author21</author>
    <author>Author22</author>
    <author>Author23</author>
    <author>Author24</author>
    <author>Author25</author>
    <author>Author26</author>
    <author>Person0313, Person0138 M </author>
    <author>Author28</author>
    <author>Author29</author>
    <author>Person0126, Person0469 </author>
    <author>Author31</author>
    <author>Author32</author>
    <author>Person0615, Person0536 </author>
    <author>Author34</author>
    <author>Person0253, Person0895 </author>
    <author>Author36</author>
    <author>Author37</author>
    <author>Author38</author>
    <author>Author39</author>
    <author>Author40</author>
    <author>Author41</author>
    <author>Author42</author>
    <author>Author43</author>
    <author>Author44</author>
    <author>Author45</author>
    <author>Author46</author>
    <author>Author47</author>
    <author>Author48</author>
    <author>Author49</author>
    <author>Author50</author>
    <author>Author51</author>
    <author>Author52</author>
    <author>Author53</author>
    <author>Author54</author>
    <author>Author55</author>
    <author>Author56</author>
    <author>Author57</author>
    <author>Author58</author>
    <author>Author59</author>
    <author>Author60</author>
    <author>Author61</author>
    <author>Author62</author>
    <author>Author63</author>
    <author>Author64</author>
    <author>Author65</author>
    <author>Author66</author>
    <author>Author67</author>
    <author>Author68</author>
    <author>Author69</author>
    <author>Author70</author>
    <author>Author71</author>
    <author>Author72</author>
    <author>Author73</author>
    <author>Author74</author>
    <author>Author75</author>
    <author>Author76</author>
    <author>Author77</author>
    <author>Author78</author>
    <author>Author79</author>
    <author>Author80</author>
    <author>Author81</author>
    <author>Author82</author>
    <author>Author83</author>
    <author>Author84</author>
    <author>Author85</author>
    <author>Author86</author>
    <author>Author87</author>
    <author>Author88</author>
    <author>Author89</author>
    <author>Author90</author>
    <author>Author91</author>
    <author>Author92</author>
    <author>Author93</author>
    <author>Author94</author>
    <author>Author95</author>
    <author>Author96</author>
  </authors>
  <commentList>
    <comment ref="BB4" authorId="0" shapeId="0" xr:uid="{00000000-0006-0000-0200-000001000000}">
      <text>
        <r>
          <rPr>
            <b/>
            <sz val="8"/>
            <color indexed="81"/>
            <rFont val="Tahoma"/>
            <family val="2"/>
          </rPr>
          <t>Author:</t>
        </r>
        <r>
          <rPr>
            <sz val="8"/>
            <color indexed="81"/>
            <rFont val="Tahoma"/>
            <family val="2"/>
          </rPr>
          <t xml:space="preserve">
4.15.2008 guidance 5.5-6.5% (4.5% FX)</t>
        </r>
      </text>
    </comment>
    <comment ref="BG4" authorId="0" shapeId="0" xr:uid="{00000000-0006-0000-0200-000002000000}">
      <text>
        <r>
          <rPr>
            <b/>
            <sz val="8"/>
            <color indexed="81"/>
            <rFont val="Tahoma"/>
            <family val="2"/>
          </rPr>
          <t>Author:</t>
        </r>
        <r>
          <rPr>
            <sz val="8"/>
            <color indexed="81"/>
            <rFont val="Tahoma"/>
            <family val="2"/>
          </rPr>
          <t xml:space="preserve">
guidance 7.14.2009 CC growth of (1%)-1% or $63-$64bn, consistent with previous guidance. If FX remained at last week's level throughout remainder of 2009, using EUR as example (1.35), then neg impact of 4% or $2.5bn. SO reported of (3%)-(5%) or $61bn-$62bn.
guidance 1.20.2009 (1%)-1% $63-$64bn CC, assuming average rates of 2008 (EUR at 1.47, which accounts for 50% of OUS exposure). If exchange rates were to remain as of last week (EUR mid Jan 1.35), then sales growth neg impact of 4% or 2.4bn, so reported </t>
        </r>
        <r>
          <rPr>
            <b/>
            <sz val="8"/>
            <color indexed="81"/>
            <rFont val="Tahoma"/>
            <family val="2"/>
          </rPr>
          <t xml:space="preserve">(5%)-(3%) or $61-$62bn
</t>
        </r>
      </text>
    </comment>
    <comment ref="BL4" authorId="0" shapeId="0" xr:uid="{00000000-0006-0000-0200-000003000000}">
      <text>
        <r>
          <rPr>
            <b/>
            <sz val="8"/>
            <color indexed="81"/>
            <rFont val="Tahoma"/>
            <family val="2"/>
          </rPr>
          <t>Author:</t>
        </r>
        <r>
          <rPr>
            <sz val="8"/>
            <color indexed="81"/>
            <rFont val="Tahoma"/>
            <family val="2"/>
          </rPr>
          <t xml:space="preserve">
7.20.2010 guidance: +1% FY, $62.5bn with FX negligible. (moved from EUR only reported to weighted currency basket) assumed EUR at 1.29
1.26.2010 guidance
$64-$65bn, assuming mid Jan EUR rates of 1.42. CC would be $63-$64bn.</t>
        </r>
      </text>
    </comment>
    <comment ref="BV20" authorId="1" shapeId="0" xr:uid="{00000000-0006-0000-0200-000004000000}">
      <text>
        <r>
          <rPr>
            <b/>
            <sz val="8"/>
            <color indexed="81"/>
            <rFont val="Tahoma"/>
            <family val="2"/>
          </rPr>
          <t>Author:</t>
        </r>
        <r>
          <rPr>
            <sz val="8"/>
            <color indexed="81"/>
            <rFont val="Tahoma"/>
            <family val="2"/>
          </rPr>
          <t xml:space="preserve">
4.17.12: FX impact total sales neg 2%
$QCC: growth rate would decrease by nearly 3%.</t>
        </r>
      </text>
    </comment>
    <comment ref="CP20" authorId="2" shapeId="0" xr:uid="{00000000-0006-0000-0200-000005000000}">
      <text>
        <r>
          <rPr>
            <b/>
            <sz val="9"/>
            <color indexed="81"/>
            <rFont val="Tahoma"/>
            <family val="2"/>
          </rPr>
          <t>Author:</t>
        </r>
        <r>
          <rPr>
            <sz val="9"/>
            <color indexed="81"/>
            <rFont val="Tahoma"/>
            <family val="2"/>
          </rPr>
          <t xml:space="preserve">
7/19/2016: maintained -1% negative FX impact
4/19/16: negative impact of 1% from 1.5% previously</t>
        </r>
      </text>
    </comment>
    <comment ref="CU20" authorId="3" shapeId="0" xr:uid="{00000000-0006-0000-0200-000006000000}">
      <text>
        <r>
          <rPr>
            <b/>
            <sz val="9"/>
            <color indexed="81"/>
            <rFont val="Tahoma"/>
            <family val="2"/>
          </rPr>
          <t>Author:</t>
        </r>
        <r>
          <rPr>
            <sz val="9"/>
            <color indexed="81"/>
            <rFont val="Tahoma"/>
            <family val="2"/>
          </rPr>
          <t xml:space="preserve">
1/24/17-- FX tracker as of 1/9/17 has impact to int'l sales of -1.7%; but company said guidance implies 1% fx headwind</t>
        </r>
      </text>
    </comment>
    <comment ref="CZ20" authorId="2" shapeId="0" xr:uid="{00000000-0006-0000-0200-000007000000}">
      <text>
        <r>
          <rPr>
            <b/>
            <sz val="9"/>
            <color indexed="81"/>
            <rFont val="Tahoma"/>
            <family val="2"/>
          </rPr>
          <t>Author:</t>
        </r>
        <r>
          <rPr>
            <sz val="9"/>
            <color indexed="81"/>
            <rFont val="Tahoma"/>
            <family val="2"/>
          </rPr>
          <t xml:space="preserve">
3Q18: implied 0.5% FX, op growth of 5.5%-6.0%
2Q18: Implied 0.8% FX, op growth of 4.5%-5.5%
1Q18: approx 2% FX, operational growth of 4%-5%
4Q17: 3.5%-4.5% operational growth, 5.5%-6.% reported growth implying 2% FX benefit</t>
        </r>
      </text>
    </comment>
    <comment ref="DE20" authorId="4" shapeId="0" xr:uid="{00000000-0006-0000-0200-000008000000}">
      <text>
        <r>
          <rPr>
            <b/>
            <sz val="9"/>
            <color indexed="81"/>
            <rFont val="Tahoma"/>
            <family val="2"/>
          </rPr>
          <t>Author:</t>
        </r>
        <r>
          <rPr>
            <sz val="9"/>
            <color indexed="81"/>
            <rFont val="Tahoma"/>
            <family val="2"/>
          </rPr>
          <t xml:space="preserve">
3q19 - guide implies -2.3% impact
1H 19 - guide implies 2% impact</t>
        </r>
      </text>
    </comment>
    <comment ref="DJ20" authorId="4" shapeId="0" xr:uid="{00000000-0006-0000-0200-000009000000}">
      <text>
        <r>
          <rPr>
            <b/>
            <sz val="9"/>
            <color indexed="81"/>
            <rFont val="Tahoma"/>
            <family val="2"/>
          </rPr>
          <t>Author:</t>
        </r>
        <r>
          <rPr>
            <sz val="9"/>
            <color indexed="81"/>
            <rFont val="Tahoma"/>
            <family val="2"/>
          </rPr>
          <t xml:space="preserve">
guide imples -1.3% impact</t>
        </r>
      </text>
    </comment>
    <comment ref="CU21" authorId="3" shapeId="0" xr:uid="{00000000-0006-0000-0200-00000A000000}">
      <text>
        <r>
          <rPr>
            <b/>
            <sz val="9"/>
            <color indexed="81"/>
            <rFont val="Tahoma"/>
            <family val="2"/>
          </rPr>
          <t>Author:</t>
        </r>
        <r>
          <rPr>
            <sz val="9"/>
            <color indexed="81"/>
            <rFont val="Tahoma"/>
            <family val="2"/>
          </rPr>
          <t xml:space="preserve">
1/24/17-- FX tracker as of 1/9/17 has impact to int'l sales of -3.4%</t>
        </r>
      </text>
    </comment>
    <comment ref="DV21" authorId="5" shapeId="0" xr:uid="{3E657ACD-A134-4025-8828-B0EA0ADF428D}">
      <text>
        <r>
          <rPr>
            <b/>
            <sz val="9"/>
            <color indexed="81"/>
            <rFont val="Tahoma"/>
            <family val="2"/>
          </rPr>
          <t>Author:</t>
        </r>
        <r>
          <rPr>
            <sz val="9"/>
            <color indexed="81"/>
            <rFont val="Tahoma"/>
            <family val="2"/>
          </rPr>
          <t xml:space="preserve">
-2.8% including COVID-19 Vaccine</t>
        </r>
      </text>
    </comment>
    <comment ref="EF23" authorId="6" shapeId="0" xr:uid="{25179079-BC10-4762-896D-82FFDDC36847}">
      <text>
        <r>
          <rPr>
            <b/>
            <sz val="9"/>
            <color indexed="81"/>
            <rFont val="Tahoma"/>
            <family val="2"/>
          </rPr>
          <t>Author:</t>
        </r>
        <r>
          <rPr>
            <sz val="9"/>
            <color indexed="81"/>
            <rFont val="Tahoma"/>
            <family val="2"/>
          </rPr>
          <t xml:space="preserve">
rounding- $9,161</t>
        </r>
      </text>
    </comment>
    <comment ref="EF24" authorId="6" shapeId="0" xr:uid="{0DF302AC-71C8-4C82-9AC0-D5563AFE30E2}">
      <text>
        <r>
          <rPr>
            <b/>
            <sz val="9"/>
            <color indexed="81"/>
            <rFont val="Tahoma"/>
            <family val="2"/>
          </rPr>
          <t>Author:</t>
        </r>
        <r>
          <rPr>
            <sz val="9"/>
            <color indexed="81"/>
            <rFont val="Tahoma"/>
            <family val="2"/>
          </rPr>
          <t xml:space="preserve">
rounding- $6,041</t>
        </r>
      </text>
    </comment>
    <comment ref="BB25" authorId="0" shapeId="0" xr:uid="{00000000-0006-0000-0200-00000B000000}">
      <text>
        <r>
          <rPr>
            <b/>
            <sz val="8"/>
            <color indexed="81"/>
            <rFont val="Tahoma"/>
            <family val="2"/>
          </rPr>
          <t>Author:</t>
        </r>
        <r>
          <rPr>
            <sz val="8"/>
            <color indexed="81"/>
            <rFont val="Tahoma"/>
            <family val="2"/>
          </rPr>
          <t xml:space="preserve">
4.15.2008 guidance 5.5-6.5% (4.5% FX)</t>
        </r>
      </text>
    </comment>
    <comment ref="BG25" authorId="0" shapeId="0" xr:uid="{00000000-0006-0000-0200-00000C000000}">
      <text>
        <r>
          <rPr>
            <b/>
            <sz val="8"/>
            <color indexed="81"/>
            <rFont val="Tahoma"/>
            <family val="2"/>
          </rPr>
          <t>Author:</t>
        </r>
        <r>
          <rPr>
            <sz val="8"/>
            <color indexed="81"/>
            <rFont val="Tahoma"/>
            <family val="2"/>
          </rPr>
          <t xml:space="preserve">
guidance 7.14.2009 CC growth of (1%)-1% or $63-$64bn, consistent with previous guidance. If FX remained at last week's level throughout remainder of 2009, using EUR as example (1.35), then neg impact of 4% or $2.5bn. SO reported of (3%)-(5%) or $61bn-$62bn.
guidance 1.20.2009 (1%)-1% $63-$64bn CC, assuming average rates of 2008 (EUR at 1.47, which accounts for 50% of OUS exposure). If exchange rates were to remain as of last week (EUR mid Jan 1.35), then sales growth neg impact of 4% or 2.4bn, so reported </t>
        </r>
        <r>
          <rPr>
            <b/>
            <sz val="8"/>
            <color indexed="81"/>
            <rFont val="Tahoma"/>
            <family val="2"/>
          </rPr>
          <t xml:space="preserve">(5%)-(3%) or $61-$62bn
</t>
        </r>
      </text>
    </comment>
    <comment ref="BL25" authorId="0" shapeId="0" xr:uid="{00000000-0006-0000-0200-00000D000000}">
      <text>
        <r>
          <rPr>
            <b/>
            <sz val="8"/>
            <color indexed="81"/>
            <rFont val="Tahoma"/>
            <family val="2"/>
          </rPr>
          <t>Author:</t>
        </r>
        <r>
          <rPr>
            <sz val="8"/>
            <color indexed="81"/>
            <rFont val="Tahoma"/>
            <family val="2"/>
          </rPr>
          <t xml:space="preserve">
7.20.2010 guidance: +1% FY, $62.5bn with FX negligible. (moved from EUR only reported to weighted currency basket) assumed EUR at 1.29
1.26.2010 guidance
$64-$65bn, assuming mid Jan EUR rates of 1.42. CC would be $63-$64bn.</t>
        </r>
      </text>
    </comment>
    <comment ref="CK25" authorId="7" shapeId="0" xr:uid="{00000000-0006-0000-0200-00000E000000}">
      <text>
        <r>
          <rPr>
            <b/>
            <sz val="9"/>
            <color indexed="81"/>
            <rFont val="Tahoma"/>
            <family val="2"/>
          </rPr>
          <t>Author:</t>
        </r>
        <r>
          <rPr>
            <sz val="9"/>
            <color indexed="81"/>
            <rFont val="Tahoma"/>
            <family val="2"/>
          </rPr>
          <t xml:space="preserve">
7.14.15:  $70-$71bn w/FX
1/20/15: constant currency at $75-$76 bn (+1-2% operationally), projected sales growth could decline by 5.5% and revenue would be $71-$72bn</t>
        </r>
      </text>
    </comment>
    <comment ref="CP25" authorId="2" shapeId="0" xr:uid="{00000000-0006-0000-0200-00000F000000}">
      <text>
        <r>
          <rPr>
            <b/>
            <sz val="9"/>
            <color indexed="81"/>
            <rFont val="Tahoma"/>
            <family val="2"/>
          </rPr>
          <t>Author:</t>
        </r>
        <r>
          <rPr>
            <sz val="9"/>
            <color indexed="81"/>
            <rFont val="Tahoma"/>
            <family val="2"/>
          </rPr>
          <t xml:space="preserve">
7/19/2016: $71.5-$72.2bn</t>
        </r>
      </text>
    </comment>
    <comment ref="CZ25" authorId="8" shapeId="0" xr:uid="{00000000-0006-0000-0200-000010000000}">
      <text>
        <r>
          <rPr>
            <b/>
            <sz val="9"/>
            <color indexed="81"/>
            <rFont val="Tahoma"/>
            <family val="2"/>
          </rPr>
          <t>Author:</t>
        </r>
        <r>
          <rPr>
            <sz val="9"/>
            <color indexed="81"/>
            <rFont val="Tahoma"/>
            <family val="2"/>
          </rPr>
          <t xml:space="preserve">
3Q18: $81.0 - $81.4bn, op growth of 5.5%-6.0%
2Q18: $80.5 - $81.3bn, op growth of 4.5-5.5%
1Q18: $81.0bn - $81.8bn
includes impact of grx for Product0321 and Tracleer as well as Remicade biosimilars
4Q17: $80.6bn - $81.4bn</t>
        </r>
      </text>
    </comment>
    <comment ref="DA25" authorId="9" shapeId="0" xr:uid="{00000000-0006-0000-0200-000011000000}">
      <text>
        <r>
          <rPr>
            <b/>
            <sz val="9"/>
            <color indexed="81"/>
            <rFont val="Tahoma"/>
            <family val="2"/>
          </rPr>
          <t>Author:</t>
        </r>
        <r>
          <rPr>
            <sz val="9"/>
            <color indexed="81"/>
            <rFont val="Tahoma"/>
            <family val="2"/>
          </rPr>
          <t xml:space="preserve">
Worldwide sales were $20 billion for the first quarter of 2019, an increase of 0.1% versus the first quarter of 2018.
Operational sales growth, which excludes the effect of translational currency, increased 3.9% as currency had a negative impact of 3.8 points. In the U.S., sales increased 1.8%. In regions outside the U.S., our reported growth declined by 1.7%. OUS operational sales growth was 6%, with currency negatively impacting our reported OUS results by 7.7 points. Excluding the net impact of acquisitions and divestitures, adjusted operational sales growth was 5.5% worldwide: 3.1% in the U.S. and 7.9% outside the U.S.</t>
        </r>
      </text>
    </comment>
    <comment ref="DE25" authorId="10" shapeId="0" xr:uid="{00000000-0006-0000-0200-000012000000}">
      <text>
        <r>
          <rPr>
            <b/>
            <sz val="9"/>
            <color indexed="81"/>
            <rFont val="Tahoma"/>
            <family val="2"/>
          </rPr>
          <t>Author:</t>
        </r>
        <r>
          <rPr>
            <sz val="9"/>
            <color indexed="81"/>
            <rFont val="Tahoma"/>
            <family val="2"/>
          </rPr>
          <t xml:space="preserve">
3Q19: 81.8-82.3
2Q19: $80.8-$81.6 reported
1Q19: $80.4 - 81.2bn reported, assume F/X neg impact of -$1.6bn (-2% FX)
The negative impact of translational currency, however, has increased, but we plan to absorb that impact with the strength of our operational sales outlook I just referenced. Therefore, our expectation for total reported sales in 2019 remains the same.
4Q18: 80.4 - 81.2bn reported, assumes F/X of -1.5% (-$1.2bn)</t>
        </r>
      </text>
    </comment>
    <comment ref="DJ25" authorId="9" shapeId="0" xr:uid="{00000000-0006-0000-0200-000013000000}">
      <text>
        <r>
          <rPr>
            <b/>
            <sz val="9"/>
            <color indexed="81"/>
            <rFont val="Tahoma"/>
            <family val="2"/>
          </rPr>
          <t>Author:</t>
        </r>
        <r>
          <rPr>
            <sz val="9"/>
            <color indexed="81"/>
            <rFont val="Tahoma"/>
            <family val="2"/>
          </rPr>
          <t xml:space="preserve">
Cons 84.65, 84.6
FS 84.6</t>
        </r>
      </text>
    </comment>
    <comment ref="DO25" authorId="9" shapeId="0" xr:uid="{00000000-0006-0000-0200-000014000000}">
      <text>
        <r>
          <rPr>
            <b/>
            <sz val="9"/>
            <color indexed="81"/>
            <rFont val="Tahoma"/>
            <family val="2"/>
          </rPr>
          <t>Author:</t>
        </r>
        <r>
          <rPr>
            <sz val="9"/>
            <color indexed="81"/>
            <rFont val="Tahoma"/>
            <family val="2"/>
          </rPr>
          <t xml:space="preserve">
2Q21: 93.8B-94.6B incl vax
1Q21: $90.6B - $91.6B
4Q20: $90.5bn - $91.7bn
Cons 84.65, 84.6
FS 84.6</t>
        </r>
      </text>
    </comment>
    <comment ref="DT25" authorId="11" shapeId="0" xr:uid="{00000000-0006-0000-0200-000015000000}">
      <text>
        <r>
          <rPr>
            <b/>
            <sz val="9"/>
            <color indexed="81"/>
            <rFont val="Tahoma"/>
            <family val="2"/>
          </rPr>
          <t>Author:</t>
        </r>
        <r>
          <rPr>
            <sz val="9"/>
            <color indexed="81"/>
            <rFont val="Tahoma"/>
            <family val="2"/>
          </rPr>
          <t xml:space="preserve">
Guidance 
3Q22: ex-covid, $93.0bn-$93.5bn
2Q22: ex-covid, $93.3bn-$94.3bn
1Q22 base business: $94.8bn-$95.8bn (covid guidance suspended)
4Q21 base business: $95.9bn-$96.9bn
4Q21 incl. covid vax: $98.9bn-$100.4bn </t>
        </r>
      </text>
    </comment>
    <comment ref="DY25" authorId="5" shapeId="0" xr:uid="{D5F42ACE-CF25-44DB-8A96-6B1231571533}">
      <text>
        <r>
          <rPr>
            <b/>
            <sz val="9"/>
            <color indexed="81"/>
            <rFont val="Tahoma"/>
            <family val="2"/>
          </rPr>
          <t>Author:</t>
        </r>
        <r>
          <rPr>
            <sz val="9"/>
            <color indexed="81"/>
            <rFont val="Tahoma"/>
            <family val="2"/>
          </rPr>
          <t xml:space="preserve">
Guidance (Est. reported sales, ex- Covid)
2Q23 Update: $83.2-84.0bn ex-Covid (Reported)
1Q23: $97.9bn-$98.9bn
4Q22: $96.9bn-$97.9bn
</t>
        </r>
      </text>
    </comment>
    <comment ref="CK28" authorId="7" shapeId="0" xr:uid="{00000000-0006-0000-0200-000016000000}">
      <text>
        <r>
          <rPr>
            <b/>
            <sz val="9"/>
            <color indexed="81"/>
            <rFont val="Tahoma"/>
            <family val="2"/>
          </rPr>
          <t>Author:</t>
        </r>
        <r>
          <rPr>
            <sz val="9"/>
            <color indexed="81"/>
            <rFont val="Tahoma"/>
            <family val="2"/>
          </rPr>
          <t xml:space="preserve">
1/20/2015: operational sales increase of 1 to 2% for 2015, $75 to $76 bn</t>
        </r>
      </text>
    </comment>
    <comment ref="CK30" authorId="7" shapeId="0" xr:uid="{00000000-0006-0000-0200-000017000000}">
      <text>
        <r>
          <rPr>
            <b/>
            <sz val="9"/>
            <color indexed="81"/>
            <rFont val="Tahoma"/>
            <family val="2"/>
          </rPr>
          <t>Author:</t>
        </r>
        <r>
          <rPr>
            <sz val="9"/>
            <color indexed="81"/>
            <rFont val="Tahoma"/>
            <family val="2"/>
          </rPr>
          <t xml:space="preserve">
1/20/2015: operational sales increase of 1 to 2% for 2015, $75 to $76 bn</t>
        </r>
      </text>
    </comment>
    <comment ref="BB31" authorId="0" shapeId="0" xr:uid="{00000000-0006-0000-0200-000018000000}">
      <text>
        <r>
          <rPr>
            <b/>
            <sz val="8"/>
            <color indexed="81"/>
            <rFont val="Tahoma"/>
            <family val="2"/>
          </rPr>
          <t>Author:</t>
        </r>
        <r>
          <rPr>
            <sz val="8"/>
            <color indexed="81"/>
            <rFont val="Tahoma"/>
            <family val="2"/>
          </rPr>
          <t xml:space="preserve">
4.15.2008 guidance 5.5-6.5% (4.5% FX)
7.15.2008 guidance 5.5-6.5% (4.5% FX)</t>
        </r>
      </text>
    </comment>
    <comment ref="BM31" authorId="1" shapeId="0" xr:uid="{00000000-0006-0000-0200-000019000000}">
      <text>
        <r>
          <rPr>
            <b/>
            <sz val="8"/>
            <color indexed="81"/>
            <rFont val="Tahoma"/>
            <family val="2"/>
          </rPr>
          <t xml:space="preserve">Author:
</t>
        </r>
        <r>
          <rPr>
            <sz val="8"/>
            <color indexed="81"/>
            <rFont val="Tahoma"/>
            <family val="2"/>
          </rPr>
          <t xml:space="preserve">
US operational growth was 1.4% - currency growth rates impacted current results by 2.2 points </t>
        </r>
      </text>
    </comment>
    <comment ref="CK31" authorId="7" shapeId="0" xr:uid="{00000000-0006-0000-0200-00001A000000}">
      <text>
        <r>
          <rPr>
            <b/>
            <sz val="9"/>
            <color indexed="81"/>
            <rFont val="Tahoma"/>
            <family val="2"/>
          </rPr>
          <t xml:space="preserve">Author:
</t>
        </r>
        <r>
          <rPr>
            <sz val="9"/>
            <color indexed="81"/>
            <rFont val="Tahoma"/>
            <family val="2"/>
          </rPr>
          <t>1/20/2015: excluding HepC, mid-point of guidance =6%</t>
        </r>
      </text>
    </comment>
    <comment ref="CP31" authorId="2" shapeId="0" xr:uid="{00000000-0006-0000-0200-00001B000000}">
      <text>
        <r>
          <rPr>
            <b/>
            <sz val="9"/>
            <color indexed="81"/>
            <rFont val="Tahoma"/>
            <family val="2"/>
          </rPr>
          <t>Author:</t>
        </r>
        <r>
          <rPr>
            <sz val="9"/>
            <color indexed="81"/>
            <rFont val="Tahoma"/>
            <family val="2"/>
          </rPr>
          <t xml:space="preserve">
7/19/2016: reported sales growth of 2-3% and operational sales growth of 3-4%</t>
        </r>
      </text>
    </comment>
    <comment ref="DJ31" authorId="4" shapeId="0" xr:uid="{00000000-0006-0000-0200-00001C000000}">
      <text>
        <r>
          <rPr>
            <b/>
            <sz val="9"/>
            <color indexed="81"/>
            <rFont val="Tahoma"/>
            <family val="2"/>
          </rPr>
          <t>Author:</t>
        </r>
        <r>
          <rPr>
            <sz val="9"/>
            <color indexed="81"/>
            <rFont val="Tahoma"/>
            <family val="2"/>
          </rPr>
          <t xml:space="preserve">
continued above-market performance in our Pharmaceutical
segment, driven by continued strong growth from key products such as Product0118, Product0194, Product0404, PRODUCT0387 and Product0137
due to increased penetration and new indications</t>
        </r>
      </text>
    </comment>
    <comment ref="DO31" authorId="4" shapeId="0" xr:uid="{00000000-0006-0000-0200-00001D000000}">
      <text>
        <r>
          <rPr>
            <b/>
            <sz val="9"/>
            <color indexed="81"/>
            <rFont val="Tahoma"/>
            <family val="2"/>
          </rPr>
          <t>Author:</t>
        </r>
        <r>
          <rPr>
            <sz val="9"/>
            <color indexed="81"/>
            <rFont val="Tahoma"/>
            <family val="2"/>
          </rPr>
          <t xml:space="preserve">
continued above-market performance in our Pharmaceutical
segment, driven by continued strong growth from key products such as Product0118, Product0194, Product0404, PRODUCT0387 and Product0137
due to increased penetration and new indications</t>
        </r>
      </text>
    </comment>
    <comment ref="ED31" authorId="5" shapeId="0" xr:uid="{010AF0F8-1BA5-4253-8DBB-C6E3212126B4}">
      <text>
        <r>
          <rPr>
            <b/>
            <sz val="9"/>
            <color indexed="81"/>
            <rFont val="Tahoma"/>
            <family val="2"/>
          </rPr>
          <t>Author:</t>
        </r>
        <r>
          <rPr>
            <sz val="9"/>
            <color indexed="81"/>
            <rFont val="Tahoma"/>
            <family val="2"/>
          </rPr>
          <t xml:space="preserve">
2023 EBR: Growth of 5.0-6.0% (ex-COVID)
</t>
        </r>
      </text>
    </comment>
    <comment ref="EI31" authorId="5" shapeId="0" xr:uid="{28B7810E-7FEC-4E9E-83CB-B936058468FB}">
      <text>
        <r>
          <rPr>
            <b/>
            <sz val="9"/>
            <color indexed="81"/>
            <rFont val="Tahoma"/>
            <family val="2"/>
          </rPr>
          <t>Author:</t>
        </r>
        <r>
          <rPr>
            <sz val="9"/>
            <color indexed="81"/>
            <rFont val="Tahoma"/>
            <family val="2"/>
          </rPr>
          <t xml:space="preserve">
2023 EBR: &gt;3% operational growth following Product0387 biosimilar entry</t>
        </r>
      </text>
    </comment>
    <comment ref="CV35" authorId="8" shapeId="0" xr:uid="{00000000-0006-0000-0200-00001E000000}">
      <text>
        <r>
          <rPr>
            <b/>
            <sz val="9"/>
            <color indexed="81"/>
            <rFont val="Tahoma"/>
            <family val="2"/>
          </rPr>
          <t>Author:</t>
        </r>
        <r>
          <rPr>
            <sz val="9"/>
            <color indexed="81"/>
            <rFont val="Tahoma"/>
            <family val="2"/>
          </rPr>
          <t xml:space="preserve">
1Q18: positive impact due to timing oftenders in Europe</t>
        </r>
      </text>
    </comment>
    <comment ref="DB36" authorId="10" shapeId="0" xr:uid="{00000000-0006-0000-0200-00001F000000}">
      <text>
        <r>
          <rPr>
            <b/>
            <sz val="9"/>
            <color indexed="81"/>
            <rFont val="Tahoma"/>
            <family val="2"/>
          </rPr>
          <t>Author:</t>
        </r>
        <r>
          <rPr>
            <sz val="9"/>
            <color indexed="81"/>
            <rFont val="Tahoma"/>
            <family val="2"/>
          </rPr>
          <t xml:space="preserve">
2Q19 qualitative factor guide - (from transcript)
We also expect that currency will still be a headwind in the second quarter, but not as significant as experienced in the first quarter. And finally, looking back, the second quarter of 2018 represented the highest sales quarter in the year, so you might anticipate a more challenging year-over-year comparison, particularly as we expect some of the generic and biosimilar erosion in the Pharmaceutical segment to potentially accelerate. </t>
        </r>
      </text>
    </comment>
    <comment ref="DE36" authorId="9" shapeId="0" xr:uid="{00000000-0006-0000-0200-000020000000}">
      <text>
        <r>
          <rPr>
            <b/>
            <sz val="9"/>
            <color indexed="81"/>
            <rFont val="Tahoma"/>
            <family val="2"/>
          </rPr>
          <t>Author:</t>
        </r>
        <r>
          <rPr>
            <sz val="9"/>
            <color indexed="81"/>
            <rFont val="Tahoma"/>
            <family val="2"/>
          </rPr>
          <t xml:space="preserve">
Cons 40.9, 41.28</t>
        </r>
      </text>
    </comment>
    <comment ref="DJ36" authorId="9" shapeId="0" xr:uid="{00000000-0006-0000-0200-000021000000}">
      <text>
        <r>
          <rPr>
            <b/>
            <sz val="9"/>
            <color indexed="81"/>
            <rFont val="Tahoma"/>
            <family val="2"/>
          </rPr>
          <t>Author:</t>
        </r>
        <r>
          <rPr>
            <sz val="9"/>
            <color indexed="81"/>
            <rFont val="Tahoma"/>
            <family val="2"/>
          </rPr>
          <t xml:space="preserve">
Cons 43.2, 43.6</t>
        </r>
      </text>
    </comment>
    <comment ref="DA39" authorId="10" shapeId="0" xr:uid="{00000000-0006-0000-0200-000023000000}">
      <text>
        <r>
          <rPr>
            <b/>
            <sz val="9"/>
            <color indexed="81"/>
            <rFont val="Tahoma"/>
            <family val="2"/>
          </rPr>
          <t>Author:</t>
        </r>
        <r>
          <rPr>
            <sz val="9"/>
            <color indexed="81"/>
            <rFont val="Tahoma"/>
            <family val="2"/>
          </rPr>
          <t xml:space="preserve">
sales aided by 1-time fav pricing adjustments worth ~200 bps (prior period adj in the Q for Product0387 and Product0203; and prior year comp for Remicade that was highlighted in 1Q18
 The price pricing adjustment impacted U.S. growth by just over 300 basis points reducing our U.S. growth to approximately 1%. This slower growth was primarily driven by our first full quarter of generic competition for Product0478. </t>
        </r>
      </text>
    </comment>
    <comment ref="DJ42" authorId="9" shapeId="0" xr:uid="{00000000-0006-0000-0200-000024000000}">
      <text>
        <r>
          <rPr>
            <b/>
            <sz val="9"/>
            <color indexed="81"/>
            <rFont val="Tahoma"/>
            <family val="2"/>
          </rPr>
          <t>Author:</t>
        </r>
        <r>
          <rPr>
            <sz val="9"/>
            <color indexed="81"/>
            <rFont val="Tahoma"/>
            <family val="2"/>
          </rPr>
          <t xml:space="preserve">
3Q19 above mkt of 4%</t>
        </r>
      </text>
    </comment>
    <comment ref="DO42" authorId="9" shapeId="0" xr:uid="{00000000-0006-0000-0200-000025000000}">
      <text>
        <r>
          <rPr>
            <b/>
            <sz val="9"/>
            <color indexed="81"/>
            <rFont val="Tahoma"/>
            <family val="2"/>
          </rPr>
          <t>Author:</t>
        </r>
        <r>
          <rPr>
            <sz val="9"/>
            <color indexed="81"/>
            <rFont val="Tahoma"/>
            <family val="2"/>
          </rPr>
          <t xml:space="preserve">
3Q19 above mkt of 4%</t>
        </r>
      </text>
    </comment>
    <comment ref="CV47" authorId="8" shapeId="0" xr:uid="{00000000-0006-0000-0200-000026000000}">
      <text>
        <r>
          <rPr>
            <b/>
            <sz val="9"/>
            <color indexed="81"/>
            <rFont val="Tahoma"/>
            <family val="2"/>
          </rPr>
          <t>Author:</t>
        </r>
        <r>
          <rPr>
            <sz val="9"/>
            <color indexed="81"/>
            <rFont val="Tahoma"/>
            <family val="2"/>
          </rPr>
          <t xml:space="preserve">
1Q18: expect MD&amp;D to continue to accelerate</t>
        </r>
      </text>
    </comment>
    <comment ref="DE47" authorId="9" shapeId="0" xr:uid="{00000000-0006-0000-0200-000027000000}">
      <text>
        <r>
          <rPr>
            <b/>
            <sz val="9"/>
            <color indexed="81"/>
            <rFont val="Tahoma"/>
            <family val="2"/>
          </rPr>
          <t>Author:</t>
        </r>
        <r>
          <rPr>
            <sz val="9"/>
            <color indexed="81"/>
            <rFont val="Tahoma"/>
            <family val="2"/>
          </rPr>
          <t xml:space="preserve">
Cons 25.9, 25.8</t>
        </r>
      </text>
    </comment>
    <comment ref="DJ47" authorId="9" shapeId="0" xr:uid="{00000000-0006-0000-0200-000028000000}">
      <text>
        <r>
          <rPr>
            <b/>
            <sz val="9"/>
            <color indexed="81"/>
            <rFont val="Tahoma"/>
            <family val="2"/>
          </rPr>
          <t>Author:</t>
        </r>
        <r>
          <rPr>
            <sz val="9"/>
            <color indexed="81"/>
            <rFont val="Tahoma"/>
            <family val="2"/>
          </rPr>
          <t xml:space="preserve">
Cons 26.7, 26.6</t>
        </r>
      </text>
    </comment>
    <comment ref="DJ53" authorId="9" shapeId="0" xr:uid="{00000000-0006-0000-0200-000029000000}">
      <text>
        <r>
          <rPr>
            <b/>
            <sz val="9"/>
            <color indexed="81"/>
            <rFont val="Tahoma"/>
            <family val="2"/>
          </rPr>
          <t>Author:</t>
        </r>
        <r>
          <rPr>
            <sz val="9"/>
            <color indexed="81"/>
            <rFont val="Tahoma"/>
            <family val="2"/>
          </rPr>
          <t xml:space="preserve">
continued acceleration of sales growth in Medical Devices generated by recent
launches and improved execution</t>
        </r>
      </text>
    </comment>
    <comment ref="DO54" authorId="12" shapeId="0" xr:uid="{00000000-0006-0000-0200-00002A000000}">
      <text>
        <r>
          <rPr>
            <b/>
            <sz val="9"/>
            <color indexed="81"/>
            <rFont val="Tahoma"/>
            <family val="2"/>
          </rPr>
          <t>Author:</t>
        </r>
        <r>
          <rPr>
            <sz val="9"/>
            <color indexed="81"/>
            <rFont val="Tahoma"/>
            <family val="2"/>
          </rPr>
          <t xml:space="preserve">
2021 growth vs 2019</t>
        </r>
      </text>
    </comment>
    <comment ref="BK58" authorId="1" shapeId="0" xr:uid="{00000000-0006-0000-0200-00002B000000}">
      <text>
        <r>
          <rPr>
            <b/>
            <sz val="8"/>
            <color indexed="81"/>
            <rFont val="Tahoma"/>
            <family val="2"/>
          </rPr>
          <t>Author:</t>
        </r>
        <r>
          <rPr>
            <sz val="8"/>
            <color indexed="81"/>
            <rFont val="Tahoma"/>
            <family val="2"/>
          </rPr>
          <t xml:space="preserve">
1.26.11 Product suspension impacted 4Q OTC sales by $300m </t>
        </r>
      </text>
    </comment>
    <comment ref="BL58" authorId="1" shapeId="0" xr:uid="{00000000-0006-0000-0200-00002C000000}">
      <text>
        <r>
          <rPr>
            <b/>
            <sz val="8"/>
            <color indexed="81"/>
            <rFont val="Tahoma"/>
            <family val="2"/>
          </rPr>
          <t>Author:</t>
        </r>
        <r>
          <rPr>
            <sz val="8"/>
            <color indexed="81"/>
            <rFont val="Tahoma"/>
            <family val="2"/>
          </rPr>
          <t xml:space="preserve">
1.26.11 Product suspension impacted  2010 by $900m</t>
        </r>
      </text>
    </comment>
    <comment ref="CV58" authorId="8" shapeId="0" xr:uid="{00000000-0006-0000-0200-00002D000000}">
      <text>
        <r>
          <rPr>
            <b/>
            <sz val="9"/>
            <color indexed="81"/>
            <rFont val="Tahoma"/>
            <family val="2"/>
          </rPr>
          <t>Author:</t>
        </r>
        <r>
          <rPr>
            <sz val="9"/>
            <color indexed="81"/>
            <rFont val="Tahoma"/>
            <family val="2"/>
          </rPr>
          <t xml:space="preserve">
1Q18: expect Consumer to continue to accelerate</t>
        </r>
      </text>
    </comment>
    <comment ref="DE58" authorId="9" shapeId="0" xr:uid="{00000000-0006-0000-0200-00002E000000}">
      <text>
        <r>
          <rPr>
            <b/>
            <sz val="9"/>
            <color indexed="81"/>
            <rFont val="Tahoma"/>
            <family val="2"/>
          </rPr>
          <t>Author:</t>
        </r>
        <r>
          <rPr>
            <sz val="9"/>
            <color indexed="81"/>
            <rFont val="Tahoma"/>
            <family val="2"/>
          </rPr>
          <t xml:space="preserve">
Cons 14.2, 13.99</t>
        </r>
      </text>
    </comment>
    <comment ref="DJ58" authorId="9" shapeId="0" xr:uid="{00000000-0006-0000-0200-00002F000000}">
      <text>
        <r>
          <rPr>
            <b/>
            <sz val="9"/>
            <color indexed="81"/>
            <rFont val="Tahoma"/>
            <family val="2"/>
          </rPr>
          <t>Author:</t>
        </r>
        <r>
          <rPr>
            <sz val="9"/>
            <color indexed="81"/>
            <rFont val="Tahoma"/>
            <family val="2"/>
          </rPr>
          <t xml:space="preserve">
And in the Consumer Health business, we will continue to grow above the market in the U.S. while executing the SKU rationalization
program to position the segment for benchmark profitability. Given these factors, we expect adjusted operational sales growth for the
full year of between 5.0% and 6.0% or 5.5% at the midpoint.</t>
        </r>
      </text>
    </comment>
    <comment ref="BM64" authorId="1" shapeId="0" xr:uid="{00000000-0006-0000-0200-000030000000}">
      <text>
        <r>
          <rPr>
            <b/>
            <sz val="8"/>
            <color indexed="81"/>
            <rFont val="Tahoma"/>
            <family val="2"/>
          </rPr>
          <t>Author:</t>
        </r>
        <r>
          <rPr>
            <sz val="8"/>
            <color indexed="81"/>
            <rFont val="Tahoma"/>
            <family val="2"/>
          </rPr>
          <t xml:space="preserve">
1Q11: On op basis, sales declined by 4% (impact of Fx was positive 1.9 points)
Excluding the impact of lower OTC revs, op sales declined appx 1%</t>
        </r>
      </text>
    </comment>
    <comment ref="DJ64" authorId="9" shapeId="0" xr:uid="{00000000-0006-0000-0200-000031000000}">
      <text>
        <r>
          <rPr>
            <b/>
            <sz val="9"/>
            <color indexed="81"/>
            <rFont val="Tahoma"/>
            <family val="2"/>
          </rPr>
          <t>Author:</t>
        </r>
        <r>
          <rPr>
            <sz val="9"/>
            <color indexed="81"/>
            <rFont val="Tahoma"/>
            <family val="2"/>
          </rPr>
          <t xml:space="preserve">
3Q19 competitive with mkt of 3%</t>
        </r>
      </text>
    </comment>
    <comment ref="DO64" authorId="9" shapeId="0" xr:uid="{00000000-0006-0000-0200-000032000000}">
      <text>
        <r>
          <rPr>
            <b/>
            <sz val="9"/>
            <color indexed="81"/>
            <rFont val="Tahoma"/>
            <family val="2"/>
          </rPr>
          <t>Author:</t>
        </r>
        <r>
          <rPr>
            <sz val="9"/>
            <color indexed="81"/>
            <rFont val="Tahoma"/>
            <family val="2"/>
          </rPr>
          <t xml:space="preserve">
3Q19 competitive with mkt of 3%</t>
        </r>
      </text>
    </comment>
    <comment ref="DH70" authorId="13" shapeId="0" xr:uid="{00000000-0006-0000-0200-000033000000}">
      <text>
        <r>
          <rPr>
            <b/>
            <sz val="9"/>
            <color indexed="81"/>
            <rFont val="Tahoma"/>
            <family val="2"/>
          </rPr>
          <t>Author:</t>
        </r>
        <r>
          <rPr>
            <sz val="9"/>
            <color indexed="81"/>
            <rFont val="Tahoma"/>
            <family val="2"/>
          </rPr>
          <t xml:space="preserve">
</t>
        </r>
      </text>
    </comment>
    <comment ref="DK70" authorId="13" shapeId="0" xr:uid="{00000000-0006-0000-0200-000034000000}">
      <text>
        <r>
          <rPr>
            <b/>
            <sz val="9"/>
            <color indexed="81"/>
            <rFont val="Tahoma"/>
            <family val="2"/>
          </rPr>
          <t>Author:</t>
        </r>
        <r>
          <rPr>
            <sz val="9"/>
            <color indexed="81"/>
            <rFont val="Tahoma"/>
            <family val="2"/>
          </rPr>
          <t xml:space="preserve">
PR includes $100mn of COVID-19 vaccine here
(We include in Pipeline/Other Pharma, below)
</t>
        </r>
      </text>
    </comment>
    <comment ref="DM70" authorId="11" shapeId="0" xr:uid="{00000000-0006-0000-0200-000035000000}">
      <text>
        <r>
          <rPr>
            <b/>
            <sz val="9"/>
            <color indexed="81"/>
            <rFont val="Tahoma"/>
            <family val="2"/>
          </rPr>
          <t>Author:</t>
        </r>
        <r>
          <rPr>
            <sz val="9"/>
            <color indexed="81"/>
            <rFont val="Tahoma"/>
            <family val="2"/>
          </rPr>
          <t xml:space="preserve">
Exclude COVID-19 Vax sales here. We include in Pipeline/Other Pharma below</t>
        </r>
      </text>
    </comment>
    <comment ref="DN70" authorId="11" shapeId="0" xr:uid="{00000000-0006-0000-0200-000036000000}">
      <text>
        <r>
          <rPr>
            <b/>
            <sz val="9"/>
            <color indexed="81"/>
            <rFont val="Tahoma"/>
            <family val="2"/>
          </rPr>
          <t>Author:</t>
        </r>
        <r>
          <rPr>
            <sz val="9"/>
            <color indexed="81"/>
            <rFont val="Tahoma"/>
            <family val="2"/>
          </rPr>
          <t xml:space="preserve">
Exclude COVID-19 Vax sales here. We include in Pipeline/Other Pharma below</t>
        </r>
      </text>
    </comment>
    <comment ref="DP70" authorId="11" shapeId="0" xr:uid="{00000000-0006-0000-0200-000037000000}">
      <text>
        <r>
          <rPr>
            <b/>
            <sz val="9"/>
            <color indexed="81"/>
            <rFont val="Tahoma"/>
            <family val="2"/>
          </rPr>
          <t>Author:</t>
        </r>
        <r>
          <rPr>
            <sz val="9"/>
            <color indexed="81"/>
            <rFont val="Tahoma"/>
            <family val="2"/>
          </rPr>
          <t xml:space="preserve">
Exclude COVID-19 Vax sales here. We include in Pipeline/Other Pharma below</t>
        </r>
      </text>
    </comment>
    <comment ref="DQ70" authorId="11" shapeId="0" xr:uid="{00000000-0006-0000-0200-000038000000}">
      <text>
        <r>
          <rPr>
            <b/>
            <sz val="9"/>
            <color indexed="81"/>
            <rFont val="Tahoma"/>
            <family val="2"/>
          </rPr>
          <t>Author:</t>
        </r>
        <r>
          <rPr>
            <sz val="9"/>
            <color indexed="81"/>
            <rFont val="Tahoma"/>
            <family val="2"/>
          </rPr>
          <t xml:space="preserve">
Excluding covid-19 sales</t>
        </r>
      </text>
    </comment>
    <comment ref="DG71" authorId="13" shapeId="0" xr:uid="{00000000-0006-0000-0200-000039000000}">
      <text>
        <r>
          <rPr>
            <b/>
            <sz val="9"/>
            <color indexed="81"/>
            <rFont val="Tahoma"/>
            <family val="2"/>
          </rPr>
          <t>Author:</t>
        </r>
        <r>
          <rPr>
            <sz val="9"/>
            <color indexed="81"/>
            <rFont val="Tahoma"/>
            <family val="2"/>
          </rPr>
          <t xml:space="preserve">
</t>
        </r>
      </text>
    </comment>
    <comment ref="DR71" authorId="11" shapeId="0" xr:uid="{CABDD78A-0CEE-4C62-8F31-D91D293AE620}">
      <text>
        <r>
          <rPr>
            <b/>
            <sz val="9"/>
            <color indexed="81"/>
            <rFont val="Tahoma"/>
            <family val="2"/>
          </rPr>
          <t>Author:</t>
        </r>
        <r>
          <rPr>
            <sz val="9"/>
            <color indexed="81"/>
            <rFont val="Tahoma"/>
            <family val="2"/>
          </rPr>
          <t xml:space="preserve">
Excluding covid sales</t>
        </r>
      </text>
    </comment>
    <comment ref="DS71" authorId="14" shapeId="0" xr:uid="{F16493A4-8A25-4606-BB11-6E92ED97DDF0}">
      <text>
        <r>
          <rPr>
            <b/>
            <sz val="9"/>
            <color indexed="81"/>
            <rFont val="Tahoma"/>
            <family val="2"/>
          </rPr>
          <t>Author:</t>
        </r>
        <r>
          <rPr>
            <sz val="9"/>
            <color indexed="81"/>
            <rFont val="Tahoma"/>
            <family val="2"/>
          </rPr>
          <t xml:space="preserve">
ex-COVID vax sales</t>
        </r>
      </text>
    </comment>
    <comment ref="DU71" authorId="5" shapeId="0" xr:uid="{9F3D1903-E711-47C1-BEAA-39F951615FA1}">
      <text>
        <r>
          <rPr>
            <b/>
            <sz val="9"/>
            <color indexed="81"/>
            <rFont val="Tahoma"/>
            <family val="2"/>
          </rPr>
          <t>Author:</t>
        </r>
        <r>
          <rPr>
            <sz val="9"/>
            <color indexed="81"/>
            <rFont val="Tahoma"/>
            <family val="2"/>
          </rPr>
          <t xml:space="preserve">
Excludes COVID-19 vaccine sales</t>
        </r>
      </text>
    </comment>
    <comment ref="DV71" authorId="5" shapeId="0" xr:uid="{090BEB47-DEA1-4C55-803B-3ADB15D638E5}">
      <text>
        <r>
          <rPr>
            <b/>
            <sz val="9"/>
            <color indexed="81"/>
            <rFont val="Tahoma"/>
            <family val="2"/>
          </rPr>
          <t>Author:</t>
        </r>
        <r>
          <rPr>
            <sz val="9"/>
            <color indexed="81"/>
            <rFont val="Tahoma"/>
            <family val="2"/>
          </rPr>
          <t xml:space="preserve">
Excludes COVID-19 vaccine sales</t>
        </r>
      </text>
    </comment>
    <comment ref="DW71" authorId="5" shapeId="0" xr:uid="{345F928B-C0B3-435C-B941-1A7FB9424930}">
      <text>
        <r>
          <rPr>
            <b/>
            <sz val="9"/>
            <color indexed="81"/>
            <rFont val="Tahoma"/>
            <family val="2"/>
          </rPr>
          <t>Author:</t>
        </r>
        <r>
          <rPr>
            <sz val="9"/>
            <color indexed="81"/>
            <rFont val="Tahoma"/>
            <family val="2"/>
          </rPr>
          <t xml:space="preserve">
Excludes COVID-19 vaccine sales</t>
        </r>
      </text>
    </comment>
    <comment ref="EB71" authorId="15" shapeId="0" xr:uid="{E8511A69-7C7B-4F26-BEF3-3730324DBAB3}">
      <text>
        <r>
          <rPr>
            <b/>
            <sz val="9"/>
            <color indexed="81"/>
            <rFont val="Tahoma"/>
            <family val="2"/>
          </rPr>
          <t>Author:</t>
        </r>
        <r>
          <rPr>
            <sz val="9"/>
            <color indexed="81"/>
            <rFont val="Tahoma"/>
            <family val="2"/>
          </rPr>
          <t xml:space="preserve">
3q24: excludes covid</t>
        </r>
      </text>
    </comment>
    <comment ref="DE72" authorId="10" shapeId="0" xr:uid="{00000000-0006-0000-0200-00003A000000}">
      <text>
        <r>
          <rPr>
            <b/>
            <sz val="9"/>
            <color indexed="81"/>
            <rFont val="Tahoma"/>
            <family val="2"/>
          </rPr>
          <t>Author:</t>
        </r>
        <r>
          <rPr>
            <sz val="9"/>
            <color indexed="81"/>
            <rFont val="Tahoma"/>
            <family val="2"/>
          </rPr>
          <t xml:space="preserve">
cons 3.3</t>
        </r>
      </text>
    </comment>
    <comment ref="DZ72" authorId="15" shapeId="0" xr:uid="{7A8A5694-2192-449C-9D34-3670875AB4F2}">
      <text>
        <r>
          <rPr>
            <b/>
            <sz val="9"/>
            <color indexed="81"/>
            <rFont val="Tahoma"/>
            <family val="2"/>
          </rPr>
          <t>Author:</t>
        </r>
        <r>
          <rPr>
            <sz val="9"/>
            <color indexed="81"/>
            <rFont val="Tahoma"/>
            <family val="2"/>
          </rPr>
          <t xml:space="preserve">
1Q24: excludes COVID-19 sales </t>
        </r>
      </text>
    </comment>
    <comment ref="EG72" authorId="6" shapeId="0" xr:uid="{A886C3B7-07D5-47C2-AE8F-537267A4213E}">
      <text>
        <r>
          <rPr>
            <sz val="9"/>
            <color indexed="81"/>
            <rFont val="Tahoma"/>
            <family val="2"/>
          </rPr>
          <t xml:space="preserve">rounding. 
</t>
        </r>
      </text>
    </comment>
    <comment ref="DA75" authorId="10" shapeId="0" xr:uid="{00000000-0006-0000-0200-00003B000000}">
      <text>
        <r>
          <rPr>
            <b/>
            <sz val="9"/>
            <color indexed="81"/>
            <rFont val="Tahoma"/>
            <family val="2"/>
          </rPr>
          <t>Author:</t>
        </r>
        <r>
          <rPr>
            <sz val="9"/>
            <color indexed="81"/>
            <rFont val="Tahoma"/>
            <family val="2"/>
          </rPr>
          <t xml:space="preserve">
symtuza and Product0204 launch offset by Prezista comp / LOE in certain countires</t>
        </r>
      </text>
    </comment>
    <comment ref="DF75" authorId="10" shapeId="0" xr:uid="{00000000-0006-0000-0200-00003C000000}">
      <text>
        <r>
          <rPr>
            <b/>
            <sz val="9"/>
            <color indexed="81"/>
            <rFont val="Tahoma"/>
            <family val="2"/>
          </rPr>
          <t>Author:</t>
        </r>
        <r>
          <rPr>
            <sz val="9"/>
            <color indexed="81"/>
            <rFont val="Tahoma"/>
            <family val="2"/>
          </rPr>
          <t xml:space="preserve">
symtuza and Product0204 launch offset by Prezista comp / LOE in certain countires</t>
        </r>
      </text>
    </comment>
    <comment ref="DU77" authorId="5" shapeId="0" xr:uid="{E30FE506-2DAC-47B9-9D47-33FBCAD7E5B1}">
      <text>
        <r>
          <rPr>
            <b/>
            <sz val="9"/>
            <color indexed="81"/>
            <rFont val="Tahoma"/>
            <family val="2"/>
          </rPr>
          <t>Author:</t>
        </r>
        <r>
          <rPr>
            <sz val="9"/>
            <color indexed="81"/>
            <rFont val="Tahoma"/>
            <family val="2"/>
          </rPr>
          <t xml:space="preserve">
-6.4% as per 1Q23 PR</t>
        </r>
      </text>
    </comment>
    <comment ref="BI83" authorId="16" shapeId="0" xr:uid="{00000000-0006-0000-0200-00003D000000}">
      <text>
        <r>
          <rPr>
            <b/>
            <sz val="8"/>
            <color indexed="81"/>
            <rFont val="Tahoma"/>
            <family val="2"/>
          </rPr>
          <t>Author:</t>
        </r>
        <r>
          <rPr>
            <sz val="8"/>
            <color indexed="81"/>
            <rFont val="Tahoma"/>
            <family val="2"/>
          </rPr>
          <t xml:space="preserve">
infective market down 9% for the quarter, lower than expected flu, etc. **double check 9% in transcript***</t>
        </r>
      </text>
    </comment>
    <comment ref="BJ83" authorId="17" shapeId="0" xr:uid="{00000000-0006-0000-0200-00003E000000}">
      <text>
        <r>
          <rPr>
            <b/>
            <sz val="8"/>
            <color indexed="81"/>
            <rFont val="Tahoma"/>
            <family val="2"/>
          </rPr>
          <t>Author:</t>
        </r>
        <r>
          <rPr>
            <sz val="8"/>
            <color indexed="81"/>
            <rFont val="Tahoma"/>
            <family val="2"/>
          </rPr>
          <t xml:space="preserve">
anti-infective mkt down 4% in this qtr due to lower respiratory illness and flu</t>
        </r>
      </text>
    </comment>
    <comment ref="B91" authorId="0" shapeId="0" xr:uid="{00000000-0006-0000-0200-00003F000000}">
      <text>
        <r>
          <rPr>
            <b/>
            <sz val="8"/>
            <color indexed="81"/>
            <rFont val="Tahoma"/>
            <family val="2"/>
          </rPr>
          <t>Author:</t>
        </r>
        <r>
          <rPr>
            <sz val="8"/>
            <color indexed="81"/>
            <rFont val="Tahoma"/>
            <family val="2"/>
          </rPr>
          <t xml:space="preserve">
avail oral and IV. Anti-bacterial. </t>
        </r>
      </text>
    </comment>
    <comment ref="B102" authorId="0" shapeId="0" xr:uid="{00000000-0006-0000-0200-000040000000}">
      <text>
        <r>
          <rPr>
            <b/>
            <sz val="8"/>
            <color indexed="81"/>
            <rFont val="Tahoma"/>
            <family val="2"/>
          </rPr>
          <t>Author:</t>
        </r>
        <r>
          <rPr>
            <sz val="8"/>
            <color indexed="81"/>
            <rFont val="Tahoma"/>
            <family val="2"/>
          </rPr>
          <t xml:space="preserve">
avail oral and IV. Anti-bacterial. </t>
        </r>
      </text>
    </comment>
    <comment ref="C103" authorId="0" shapeId="0" xr:uid="{00000000-0006-0000-0200-000041000000}">
      <text>
        <r>
          <rPr>
            <b/>
            <sz val="8"/>
            <color indexed="81"/>
            <rFont val="Tahoma"/>
            <family val="2"/>
          </rPr>
          <t>Author:</t>
        </r>
        <r>
          <rPr>
            <sz val="8"/>
            <color indexed="81"/>
            <rFont val="Tahoma"/>
            <family val="2"/>
          </rPr>
          <t xml:space="preserve">
Levaquin</t>
        </r>
      </text>
    </comment>
    <comment ref="BJ105" authorId="18" shapeId="0" xr:uid="{00000000-0006-0000-0200-000042000000}">
      <text>
        <r>
          <rPr>
            <b/>
            <sz val="8"/>
            <color indexed="81"/>
            <rFont val="Tahoma"/>
            <family val="2"/>
          </rPr>
          <t>Author:</t>
        </r>
        <r>
          <rPr>
            <sz val="8"/>
            <color indexed="81"/>
            <rFont val="Tahoma"/>
            <family val="2"/>
          </rPr>
          <t xml:space="preserve">
due to the decline in the market and increased penetration of generics. The US anti-infective market is estimated to be down
approximately 4% in the quarter due to a lower incidence of respiratory illness and flu</t>
        </r>
      </text>
    </comment>
    <comment ref="BB108" authorId="19" shapeId="0" xr:uid="{00000000-0006-0000-0200-000043000000}">
      <text>
        <r>
          <rPr>
            <b/>
            <sz val="8"/>
            <color indexed="81"/>
            <rFont val="Tahoma"/>
            <family val="2"/>
          </rPr>
          <t>Author:</t>
        </r>
        <r>
          <rPr>
            <sz val="8"/>
            <color indexed="81"/>
            <rFont val="Tahoma"/>
            <family val="2"/>
          </rPr>
          <t xml:space="preserve">
US patent expiry only in 2010</t>
        </r>
      </text>
    </comment>
    <comment ref="BN108" authorId="1" shapeId="0" xr:uid="{00000000-0006-0000-0200-000044000000}">
      <text>
        <r>
          <rPr>
            <b/>
            <sz val="8"/>
            <color indexed="81"/>
            <rFont val="Tahoma"/>
            <family val="2"/>
          </rPr>
          <t xml:space="preserve">Author: </t>
        </r>
        <r>
          <rPr>
            <sz val="8"/>
            <color indexed="81"/>
            <rFont val="Tahoma"/>
            <family val="2"/>
          </rPr>
          <t xml:space="preserve">Levaquin US exclusivity expected to expire on June 20 this year. </t>
        </r>
      </text>
    </comment>
    <comment ref="BQ108" authorId="0" shapeId="0" xr:uid="{00000000-0006-0000-0200-000045000000}">
      <text>
        <r>
          <rPr>
            <b/>
            <sz val="8"/>
            <color indexed="81"/>
            <rFont val="Tahoma"/>
            <family val="2"/>
          </rPr>
          <t>Author:</t>
        </r>
        <r>
          <rPr>
            <sz val="8"/>
            <color indexed="81"/>
            <rFont val="Tahoma"/>
            <family val="2"/>
          </rPr>
          <t xml:space="preserve">
Product0217 expiry 6/20/2011</t>
        </r>
      </text>
    </comment>
    <comment ref="BQ109" authorId="0" shapeId="0" xr:uid="{00000000-0006-0000-0200-000046000000}">
      <text>
        <r>
          <rPr>
            <b/>
            <sz val="8"/>
            <color indexed="81"/>
            <rFont val="Tahoma"/>
            <family val="2"/>
          </rPr>
          <t>Author:</t>
        </r>
        <r>
          <rPr>
            <sz val="8"/>
            <color indexed="81"/>
            <rFont val="Tahoma"/>
            <family val="2"/>
          </rPr>
          <t xml:space="preserve">
Product0160 expiry</t>
        </r>
      </text>
    </comment>
    <comment ref="BM111" authorId="1" shapeId="0" xr:uid="{00000000-0006-0000-0200-000047000000}">
      <text>
        <r>
          <rPr>
            <b/>
            <sz val="8"/>
            <color indexed="81"/>
            <rFont val="Tahoma"/>
            <family val="2"/>
          </rPr>
          <t>Author:</t>
        </r>
        <r>
          <rPr>
            <sz val="8"/>
            <color indexed="81"/>
            <rFont val="Tahoma"/>
            <family val="2"/>
          </rPr>
          <t xml:space="preserve">
Sales of LEVAQUIN, our anti-infective , were up 16.9% on an operational basis when compared to the same period a year ago.
US anti-infective market was estimated to be up over 8 % in the quarter
due to higher incidence of respiratory illness and flu.
US marketing exclusivity for LEVAQUIN will expire on June 20
this year.</t>
        </r>
      </text>
    </comment>
    <comment ref="B124" authorId="20" shapeId="0" xr:uid="{0B9401DE-0A9D-45D2-92A3-B5D629BB7FFF}">
      <text>
        <t>[Threaded comment]
Your version of Excel allows you to read this threaded comment; however, any edits to it will get removed if the file is opened in a newer version of Excel. Learn more: https://example.com/
Comment:
    HIV</t>
      </text>
    </comment>
    <comment ref="B125" authorId="0" shapeId="0" xr:uid="{00000000-0006-0000-0200-000048000000}">
      <text>
        <r>
          <rPr>
            <b/>
            <sz val="8"/>
            <color indexed="81"/>
            <rFont val="Tahoma"/>
            <family val="2"/>
          </rPr>
          <t>Author:</t>
        </r>
        <r>
          <rPr>
            <sz val="8"/>
            <color indexed="81"/>
            <rFont val="Tahoma"/>
            <family val="2"/>
          </rPr>
          <t xml:space="preserve">
PI for treatment experienced (PIII for treatment naïve). Once a day dosing bosted with Product0266. US PI market $2bn growing at 8% YoY, despite PI not typically being used in first-line. Came out of Company2763</t>
        </r>
      </text>
    </comment>
    <comment ref="CJ125" authorId="2" shapeId="0" xr:uid="{00000000-0006-0000-0200-00004A000000}">
      <text>
        <r>
          <rPr>
            <b/>
            <sz val="9"/>
            <color indexed="81"/>
            <rFont val="Tahoma"/>
            <family val="2"/>
          </rPr>
          <t>Author:</t>
        </r>
        <r>
          <rPr>
            <sz val="9"/>
            <color indexed="81"/>
            <rFont val="Tahoma"/>
            <family val="2"/>
          </rPr>
          <t xml:space="preserve">
increased sales with introduction of Product0307</t>
        </r>
      </text>
    </comment>
    <comment ref="CZ125" authorId="8" shapeId="0" xr:uid="{00000000-0006-0000-0200-00004B000000}">
      <text>
        <r>
          <rPr>
            <b/>
            <sz val="9"/>
            <color indexed="81"/>
            <rFont val="Tahoma"/>
            <family val="2"/>
          </rPr>
          <t>Author:</t>
        </r>
        <r>
          <rPr>
            <sz val="9"/>
            <color indexed="81"/>
            <rFont val="Tahoma"/>
            <family val="2"/>
          </rPr>
          <t xml:space="preserve">
1Q18: reiterated
4Q17 call: do not expect generic competition in 2018</t>
        </r>
      </text>
    </comment>
    <comment ref="C126" authorId="10" shapeId="0" xr:uid="{00000000-0006-0000-0200-00004C000000}">
      <text>
        <r>
          <rPr>
            <b/>
            <sz val="9"/>
            <color indexed="81"/>
            <rFont val="Tahoma"/>
            <family val="2"/>
          </rPr>
          <t>Author:</t>
        </r>
        <r>
          <rPr>
            <sz val="9"/>
            <color indexed="81"/>
            <rFont val="Tahoma"/>
            <family val="2"/>
          </rPr>
          <t xml:space="preserve">
most countries lost patent Feb 2019 (IR 4/17/19)</t>
        </r>
      </text>
    </comment>
    <comment ref="BL127" authorId="1" shapeId="0" xr:uid="{00000000-0006-0000-0200-00004D000000}">
      <text>
        <r>
          <rPr>
            <b/>
            <sz val="8"/>
            <color indexed="81"/>
            <rFont val="Tahoma"/>
            <family val="2"/>
          </rPr>
          <t>Author:</t>
        </r>
        <r>
          <rPr>
            <sz val="8"/>
            <color indexed="81"/>
            <rFont val="Tahoma"/>
            <family val="2"/>
          </rPr>
          <t xml:space="preserve">
1.26.11 Mgmt confirmed that both prezista and intelence over $1bn </t>
        </r>
      </text>
    </comment>
    <comment ref="BM130" authorId="1" shapeId="0" xr:uid="{00000000-0006-0000-0200-00004E000000}">
      <text>
        <r>
          <rPr>
            <b/>
            <sz val="8"/>
            <color indexed="81"/>
            <rFont val="Tahoma"/>
            <family val="2"/>
          </rPr>
          <t>Author:</t>
        </r>
        <r>
          <rPr>
            <sz val="8"/>
            <color indexed="81"/>
            <rFont val="Tahoma"/>
            <family val="2"/>
          </rPr>
          <t xml:space="preserve">
Grew operationally 41.9% with similar results both in and outside the US due to very
strong momentum in share. </t>
        </r>
      </text>
    </comment>
    <comment ref="BX130" authorId="21" shapeId="0" xr:uid="{00000000-0006-0000-0200-00004F000000}">
      <text>
        <r>
          <rPr>
            <b/>
            <sz val="9"/>
            <color indexed="81"/>
            <rFont val="Tahoma"/>
            <family val="2"/>
          </rPr>
          <t>Author:</t>
        </r>
        <r>
          <rPr>
            <sz val="9"/>
            <color indexed="81"/>
            <rFont val="Tahoma"/>
            <family val="2"/>
          </rPr>
          <t xml:space="preserve">
"Prezista is doing very well, our sales team is doing an excellent job and the product has become quite frankly a mainstay in HIV therapy so really we saw pretty strong market share growth sequentially"</t>
        </r>
      </text>
    </comment>
    <comment ref="EB130" authorId="5" shapeId="0" xr:uid="{BFFDA89B-B23F-4C2D-8A5D-23FE0D6E54B8}">
      <text>
        <r>
          <rPr>
            <b/>
            <sz val="9"/>
            <color indexed="81"/>
            <rFont val="Tahoma"/>
            <family val="2"/>
          </rPr>
          <t>Author:</t>
        </r>
        <r>
          <rPr>
            <sz val="9"/>
            <color indexed="81"/>
            <rFont val="Tahoma"/>
            <family val="2"/>
          </rPr>
          <t xml:space="preserve">
Patent expiry 8/16/2024 (oral suspension formulation)</t>
        </r>
      </text>
    </comment>
    <comment ref="EG130" authorId="5" shapeId="0" xr:uid="{2C336E54-7173-4267-91CD-8E37446AEAAE}">
      <text>
        <r>
          <rPr>
            <b/>
            <sz val="9"/>
            <color indexed="81"/>
            <rFont val="Tahoma"/>
            <family val="2"/>
          </rPr>
          <t>Author:</t>
        </r>
        <r>
          <rPr>
            <sz val="9"/>
            <color indexed="81"/>
            <rFont val="Tahoma"/>
            <family val="2"/>
          </rPr>
          <t xml:space="preserve">
Patent expiry 8/16/2024 (oral suspension formulation)</t>
        </r>
      </text>
    </comment>
    <comment ref="EK130" authorId="5" shapeId="0" xr:uid="{AD1A3A6A-83DD-4A87-83B6-7D7CE7782044}">
      <text>
        <r>
          <rPr>
            <b/>
            <sz val="9"/>
            <color indexed="81"/>
            <rFont val="Tahoma"/>
            <family val="2"/>
          </rPr>
          <t>Author:</t>
        </r>
        <r>
          <rPr>
            <sz val="9"/>
            <color indexed="81"/>
            <rFont val="Tahoma"/>
            <family val="2"/>
          </rPr>
          <t xml:space="preserve">
Patent expiry 6/26/2027 (oral tablet formulation)</t>
        </r>
      </text>
    </comment>
    <comment ref="BH132" authorId="22" shapeId="0" xr:uid="{00000000-0006-0000-0200-000050000000}">
      <text>
        <r>
          <rPr>
            <b/>
            <sz val="8"/>
            <color indexed="81"/>
            <rFont val="Tahoma"/>
            <family val="2"/>
          </rPr>
          <t>Author:</t>
        </r>
        <r>
          <rPr>
            <sz val="8"/>
            <color indexed="81"/>
            <rFont val="Tahoma"/>
            <family val="2"/>
          </rPr>
          <t xml:space="preserve">
very strong momentum in share</t>
        </r>
      </text>
    </comment>
    <comment ref="DU132" authorId="5" shapeId="0" xr:uid="{759BFB53-F09B-4D4E-874C-52195AD6D75C}">
      <text>
        <r>
          <rPr>
            <b/>
            <sz val="9"/>
            <color indexed="81"/>
            <rFont val="Tahoma"/>
            <family val="2"/>
          </rPr>
          <t>Author:</t>
        </r>
        <r>
          <rPr>
            <sz val="9"/>
            <color indexed="81"/>
            <rFont val="Tahoma"/>
            <family val="2"/>
          </rPr>
          <t xml:space="preserve">
As per 1Q23 PR</t>
        </r>
      </text>
    </comment>
    <comment ref="DV132" authorId="5" shapeId="0" xr:uid="{972A3339-915C-443A-AE48-1CD0BE06CEFE}">
      <text>
        <r>
          <rPr>
            <b/>
            <sz val="9"/>
            <color indexed="81"/>
            <rFont val="Tahoma"/>
            <family val="2"/>
          </rPr>
          <t>Author:</t>
        </r>
        <r>
          <rPr>
            <sz val="9"/>
            <color indexed="81"/>
            <rFont val="Tahoma"/>
            <family val="2"/>
          </rPr>
          <t xml:space="preserve">
As per 2Q23 PR</t>
        </r>
      </text>
    </comment>
    <comment ref="DW132" authorId="5" shapeId="0" xr:uid="{92B2E74A-C213-498A-ACCB-1491AEF609F9}">
      <text>
        <r>
          <rPr>
            <b/>
            <sz val="9"/>
            <color indexed="81"/>
            <rFont val="Tahoma"/>
            <family val="2"/>
          </rPr>
          <t>Author:</t>
        </r>
        <r>
          <rPr>
            <sz val="9"/>
            <color indexed="81"/>
            <rFont val="Tahoma"/>
            <family val="2"/>
          </rPr>
          <t xml:space="preserve">
As per 3Q23 PR</t>
        </r>
      </text>
    </comment>
    <comment ref="B135" authorId="0" shapeId="0" xr:uid="{00000000-0006-0000-0200-000051000000}">
      <text>
        <r>
          <rPr>
            <b/>
            <sz val="8"/>
            <color indexed="81"/>
            <rFont val="Tahoma"/>
            <family val="2"/>
          </rPr>
          <t>Author:</t>
        </r>
        <r>
          <rPr>
            <sz val="8"/>
            <color indexed="81"/>
            <rFont val="Tahoma"/>
            <family val="2"/>
          </rPr>
          <t xml:space="preserve">
NNRTI for treatment experienced patients, launched 1/2008, failed non-inferiority test in early-line therapy. however, received accelerated approval (24 wk data from Duet-1 and Duet-2) and is only approved NNRTI to show antiviral activity in treatment-experienced adult patients HIV resistant  to another NNRTI or other ARV. Suspect typically paired with Prezista (currently in trials). NNRTI market roughly $900mn, growing 5% YOY. </t>
        </r>
        <r>
          <rPr>
            <b/>
            <sz val="8"/>
            <color indexed="81"/>
            <rFont val="Tahoma"/>
            <family val="2"/>
          </rPr>
          <t xml:space="preserve">Ticker0018 should acquire NRTI technology, to offer combo pill because shift to once a day single pill combo NRTI/NNRTI combo.
</t>
        </r>
        <r>
          <rPr>
            <sz val="8"/>
            <color indexed="81"/>
            <rFont val="Tahoma"/>
            <family val="2"/>
          </rPr>
          <t>EU filing occured July 2007. 
8.26.2009 Included occurence of skin infections and liver hypersensitivity to label. The occurence of fatal skin infections (epidermal necrolysis, Stevens-Company1437, and erythema multiforme) and hepatic failures have been discussed in the letter and included in the label. Notably, there is a low incidence (&lt;0.1%) of these issues, and since this is a post-marketing study and causality is difficult to establish. It is possible that NNRTI's could enduce hypersensitivity to what would be pre-existing conditions or markers. If you compare Intelence reports to the existing label for Product0393 (Company0320) Product0393 also is contraindicated in patients with previously demonstrated hypersensitivity (eg, Stevens-Company1437 syndrome, erythema multiforme, or toxic skin eruptions). The difference there is previously demonstrated. Company0300 NNRTI Product0447 actually has a black box warning on its label for hepatotoxicity and skin reactions (unlike Product0393). So, overall, the labelling change for Intelence is a modest negative (given the low incidence) and sounds like a modest positive for Product0393 given Product0394 best risk profile per labels.</t>
        </r>
        <r>
          <rPr>
            <sz val="8"/>
            <color indexed="81"/>
            <rFont val="Tahoma"/>
            <family val="2"/>
          </rPr>
          <t xml:space="preserve">
</t>
        </r>
      </text>
    </comment>
    <comment ref="BD136" authorId="0" shapeId="0" xr:uid="{00000000-0006-0000-0200-000052000000}">
      <text>
        <r>
          <rPr>
            <b/>
            <sz val="8"/>
            <color indexed="81"/>
            <rFont val="Tahoma"/>
            <family val="2"/>
          </rPr>
          <t>Author:</t>
        </r>
        <r>
          <rPr>
            <sz val="8"/>
            <color indexed="81"/>
            <rFont val="Tahoma"/>
            <family val="2"/>
          </rPr>
          <t xml:space="preserve">
20, flat QOQ. Little smaller OUS</t>
        </r>
      </text>
    </comment>
    <comment ref="BI138" authorId="0" shapeId="0" xr:uid="{00000000-0006-0000-0200-000053000000}">
      <text>
        <r>
          <rPr>
            <b/>
            <sz val="8"/>
            <color indexed="81"/>
            <rFont val="Tahoma"/>
            <family val="2"/>
          </rPr>
          <t>Author:</t>
        </r>
        <r>
          <rPr>
            <sz val="8"/>
            <color indexed="81"/>
            <rFont val="Tahoma"/>
            <family val="2"/>
          </rPr>
          <t xml:space="preserve">
rule 200mn so must be lighter, consider intelence a launch product</t>
        </r>
      </text>
    </comment>
    <comment ref="BH141" authorId="0" shapeId="0" xr:uid="{00000000-0006-0000-0200-000054000000}">
      <text>
        <r>
          <rPr>
            <b/>
            <sz val="8"/>
            <color indexed="81"/>
            <rFont val="Tahoma"/>
            <family val="2"/>
          </rPr>
          <t>Author:</t>
        </r>
        <r>
          <rPr>
            <sz val="8"/>
            <color indexed="81"/>
            <rFont val="Tahoma"/>
            <family val="2"/>
          </rPr>
          <t xml:space="preserve">
20%</t>
        </r>
      </text>
    </comment>
    <comment ref="BH142" authorId="0" shapeId="0" xr:uid="{00000000-0006-0000-0200-000055000000}">
      <text>
        <r>
          <rPr>
            <b/>
            <sz val="8"/>
            <color indexed="81"/>
            <rFont val="Tahoma"/>
            <family val="2"/>
          </rPr>
          <t>Author:</t>
        </r>
        <r>
          <rPr>
            <sz val="8"/>
            <color indexed="81"/>
            <rFont val="Tahoma"/>
            <family val="2"/>
          </rPr>
          <t xml:space="preserve">
120%</t>
        </r>
      </text>
    </comment>
    <comment ref="BH144" authorId="1" shapeId="0" xr:uid="{00000000-0006-0000-0200-000056000000}">
      <text>
        <r>
          <rPr>
            <b/>
            <sz val="8"/>
            <color indexed="81"/>
            <rFont val="Tahoma"/>
            <family val="2"/>
          </rPr>
          <t>Author:</t>
        </r>
        <r>
          <rPr>
            <sz val="8"/>
            <color indexed="81"/>
            <rFont val="Tahoma"/>
            <family val="2"/>
          </rPr>
          <t xml:space="preserve">
INTELENCE, an NNRTI for the treatment of HIV, grew operationally
25.1% due to an increase in market share.</t>
        </r>
      </text>
    </comment>
    <comment ref="CE147" authorId="21" shapeId="0" xr:uid="{00000000-0006-0000-0200-000057000000}">
      <text>
        <r>
          <rPr>
            <b/>
            <sz val="9"/>
            <color indexed="81"/>
            <rFont val="Tahoma"/>
            <family val="2"/>
          </rPr>
          <t>Author:</t>
        </r>
        <r>
          <rPr>
            <sz val="9"/>
            <color indexed="81"/>
            <rFont val="Tahoma"/>
            <family val="2"/>
          </rPr>
          <t xml:space="preserve">
4/9/14:  ABBV and Company1079 will both launch all oral regimens</t>
        </r>
      </text>
    </comment>
    <comment ref="CE148" authorId="21" shapeId="0" xr:uid="{00000000-0006-0000-0200-000058000000}">
      <text>
        <r>
          <rPr>
            <b/>
            <sz val="9"/>
            <color indexed="81"/>
            <rFont val="Tahoma"/>
            <family val="2"/>
          </rPr>
          <t>Author:</t>
        </r>
        <r>
          <rPr>
            <sz val="9"/>
            <color indexed="81"/>
            <rFont val="Tahoma"/>
            <family val="2"/>
          </rPr>
          <t xml:space="preserve">
4/9/14:  ABBV and Company1079 will both launch all oral regimens</t>
        </r>
      </text>
    </comment>
    <comment ref="CG148" authorId="23" shapeId="0" xr:uid="{00000000-0006-0000-0200-000059000000}">
      <text>
        <r>
          <rPr>
            <b/>
            <sz val="9"/>
            <color indexed="81"/>
            <rFont val="Tahoma"/>
            <family val="2"/>
          </rPr>
          <t>Author:</t>
        </r>
        <r>
          <rPr>
            <sz val="9"/>
            <color indexed="81"/>
            <rFont val="Tahoma"/>
            <family val="2"/>
          </rPr>
          <t xml:space="preserve">
4.14.15: still launching in some ex-US continues and Product0181 just got pricing in some countries until April</t>
        </r>
      </text>
    </comment>
    <comment ref="CB149" authorId="7" shapeId="0" xr:uid="{00000000-0006-0000-0200-00005A000000}">
      <text>
        <r>
          <rPr>
            <b/>
            <sz val="9"/>
            <color indexed="81"/>
            <rFont val="Tahoma"/>
            <family val="2"/>
          </rPr>
          <t>Author:</t>
        </r>
        <r>
          <rPr>
            <sz val="9"/>
            <color indexed="81"/>
            <rFont val="Tahoma"/>
            <family val="2"/>
          </rPr>
          <t xml:space="preserve">
20% stocking</t>
        </r>
      </text>
    </comment>
    <comment ref="BO159" authorId="1" shapeId="0" xr:uid="{00000000-0006-0000-0200-00005B000000}">
      <text>
        <r>
          <rPr>
            <b/>
            <sz val="8"/>
            <color indexed="81"/>
            <rFont val="Tahoma"/>
            <family val="2"/>
          </rPr>
          <t>Author:</t>
        </r>
        <r>
          <rPr>
            <sz val="8"/>
            <color indexed="81"/>
            <rFont val="Tahoma"/>
            <family val="2"/>
          </rPr>
          <t xml:space="preserve">
7.22.11 Received positive EU opinion on Product0199 from EMA</t>
        </r>
      </text>
    </comment>
    <comment ref="BP159" authorId="24" shapeId="0" xr:uid="{00000000-0006-0000-0200-00005C000000}">
      <text>
        <r>
          <rPr>
            <b/>
            <sz val="8"/>
            <color indexed="81"/>
            <rFont val="Tahoma"/>
            <family val="2"/>
          </rPr>
          <t>Author:</t>
        </r>
        <r>
          <rPr>
            <sz val="8"/>
            <color indexed="81"/>
            <rFont val="Tahoma"/>
            <family val="2"/>
          </rPr>
          <t xml:space="preserve">
4Q11 CC: Added 2.5% to OUS business.</t>
        </r>
      </text>
    </comment>
    <comment ref="BR159" authorId="22" shapeId="0" xr:uid="{00000000-0006-0000-0200-00005D000000}">
      <text>
        <r>
          <rPr>
            <b/>
            <sz val="8"/>
            <color indexed="81"/>
            <rFont val="Tahoma"/>
            <family val="2"/>
          </rPr>
          <t>Author:</t>
        </r>
        <r>
          <rPr>
            <sz val="8"/>
            <color indexed="81"/>
            <rFont val="Tahoma"/>
            <family val="2"/>
          </rPr>
          <t xml:space="preserve">
added nearly 5% of growth to total intl'l pharma sales</t>
        </r>
      </text>
    </comment>
    <comment ref="BS159" authorId="21" shapeId="0" xr:uid="{00000000-0006-0000-0200-00005E000000}">
      <text>
        <r>
          <rPr>
            <b/>
            <sz val="8"/>
            <color indexed="81"/>
            <rFont val="Tahoma"/>
            <family val="2"/>
          </rPr>
          <t>Author:</t>
        </r>
        <r>
          <rPr>
            <sz val="8"/>
            <color indexed="81"/>
            <rFont val="Tahoma"/>
            <family val="2"/>
          </rPr>
          <t xml:space="preserve">
added 3.5% of the 7% int. pharma growth (or half of $203M)</t>
        </r>
      </text>
    </comment>
    <comment ref="BT159" authorId="21" shapeId="0" xr:uid="{00000000-0006-0000-0200-00005F000000}">
      <text>
        <r>
          <rPr>
            <b/>
            <sz val="8"/>
            <color indexed="81"/>
            <rFont val="Tahoma"/>
            <family val="2"/>
          </rPr>
          <t>Author:</t>
        </r>
        <r>
          <rPr>
            <sz val="8"/>
            <color indexed="81"/>
            <rFont val="Tahoma"/>
            <family val="2"/>
          </rPr>
          <t xml:space="preserve">
CONTRIBUTED 3.3% TO YTD OUS PHARMACEUTICAL OPERATIONAL GROWTH</t>
        </r>
      </text>
    </comment>
    <comment ref="BU159" authorId="25" shapeId="0" xr:uid="{00000000-0006-0000-0200-000060000000}">
      <text>
        <r>
          <rPr>
            <b/>
            <sz val="8"/>
            <color indexed="81"/>
            <rFont val="Tahoma"/>
            <family val="2"/>
          </rPr>
          <t>Author:</t>
        </r>
        <r>
          <rPr>
            <sz val="8"/>
            <color indexed="81"/>
            <rFont val="Tahoma"/>
            <family val="2"/>
          </rPr>
          <t xml:space="preserve">
Company1325 sales nearly
doubled when compared to the third quarter of 2012</t>
        </r>
      </text>
    </comment>
    <comment ref="BY159" authorId="21" shapeId="0" xr:uid="{00000000-0006-0000-0200-000061000000}">
      <text>
        <r>
          <rPr>
            <b/>
            <sz val="9"/>
            <color indexed="81"/>
            <rFont val="Tahoma"/>
            <family val="2"/>
          </rPr>
          <t>Author:</t>
        </r>
        <r>
          <rPr>
            <sz val="9"/>
            <color indexed="81"/>
            <rFont val="Tahoma"/>
            <family val="2"/>
          </rPr>
          <t xml:space="preserve">
patient warehousing, patient enrollment in clinical trials</t>
        </r>
      </text>
    </comment>
    <comment ref="B169" authorId="0" shapeId="0" xr:uid="{5B357865-1F64-4501-95B8-EF8E124FF7EA}">
      <text>
        <r>
          <rPr>
            <b/>
            <sz val="8"/>
            <color indexed="81"/>
            <rFont val="Tahoma"/>
            <family val="2"/>
          </rPr>
          <t>Author:</t>
        </r>
        <r>
          <rPr>
            <sz val="8"/>
            <color indexed="81"/>
            <rFont val="Tahoma"/>
            <family val="2"/>
          </rPr>
          <t xml:space="preserve">
PI for treatment experienced (PIII for treatment naïve). Once a day dosing bosted with Product0266. US PI market $2bn growing at 8% YoY, despite PI not typically being used in first-line. Came out of Company2763</t>
        </r>
      </text>
    </comment>
    <comment ref="C169" authorId="8" shapeId="0" xr:uid="{00000000-0006-0000-0200-000062000000}">
      <text>
        <r>
          <rPr>
            <b/>
            <sz val="9"/>
            <color indexed="81"/>
            <rFont val="Tahoma"/>
            <family val="2"/>
          </rPr>
          <t>Author:</t>
        </r>
        <r>
          <rPr>
            <sz val="9"/>
            <color indexed="81"/>
            <rFont val="Tahoma"/>
            <family val="2"/>
          </rPr>
          <t xml:space="preserve">
apr 2023</t>
        </r>
      </text>
    </comment>
    <comment ref="DU176" authorId="5" shapeId="0" xr:uid="{8075847B-396B-46DD-BBDE-4B1D146A773C}">
      <text>
        <r>
          <rPr>
            <b/>
            <sz val="9"/>
            <color indexed="81"/>
            <rFont val="Tahoma"/>
            <family val="2"/>
          </rPr>
          <t>Author:</t>
        </r>
        <r>
          <rPr>
            <sz val="9"/>
            <color indexed="81"/>
            <rFont val="Tahoma"/>
            <family val="2"/>
          </rPr>
          <t xml:space="preserve">
As per 1Q23 PR</t>
        </r>
      </text>
    </comment>
    <comment ref="DV176" authorId="5" shapeId="0" xr:uid="{A1794AC4-8740-4FD0-8A98-AB004A61DDDD}">
      <text>
        <r>
          <rPr>
            <b/>
            <sz val="9"/>
            <color indexed="81"/>
            <rFont val="Tahoma"/>
            <family val="2"/>
          </rPr>
          <t>Author:</t>
        </r>
        <r>
          <rPr>
            <sz val="9"/>
            <color indexed="81"/>
            <rFont val="Tahoma"/>
            <family val="2"/>
          </rPr>
          <t xml:space="preserve">
As per 2Q23 PR</t>
        </r>
      </text>
    </comment>
    <comment ref="DW176" authorId="5" shapeId="0" xr:uid="{B5227BAA-1F93-4670-8048-3CC520AACD85}">
      <text>
        <r>
          <rPr>
            <b/>
            <sz val="9"/>
            <color indexed="81"/>
            <rFont val="Tahoma"/>
            <family val="2"/>
          </rPr>
          <t>Author:</t>
        </r>
        <r>
          <rPr>
            <sz val="9"/>
            <color indexed="81"/>
            <rFont val="Tahoma"/>
            <family val="2"/>
          </rPr>
          <t xml:space="preserve">
As per 3Q23 PR</t>
        </r>
      </text>
    </comment>
    <comment ref="DV187" authorId="5" shapeId="0" xr:uid="{A8D515F7-60E2-4277-9C5F-E17F73A45B57}">
      <text>
        <r>
          <rPr>
            <b/>
            <sz val="9"/>
            <color indexed="81"/>
            <rFont val="Tahoma"/>
            <family val="2"/>
          </rPr>
          <t>Author:</t>
        </r>
        <r>
          <rPr>
            <sz val="9"/>
            <color indexed="81"/>
            <rFont val="Tahoma"/>
            <family val="2"/>
          </rPr>
          <t xml:space="preserve">
-7.1% headwind per 2Q23 PR</t>
        </r>
      </text>
    </comment>
    <comment ref="DW187" authorId="5" shapeId="0" xr:uid="{3E1FF082-FBD0-45E0-91C9-1545C7D16DD2}">
      <text>
        <r>
          <rPr>
            <b/>
            <sz val="9"/>
            <color indexed="81"/>
            <rFont val="Tahoma"/>
            <family val="2"/>
          </rPr>
          <t>Author:</t>
        </r>
        <r>
          <rPr>
            <sz val="9"/>
            <color indexed="81"/>
            <rFont val="Tahoma"/>
            <family val="2"/>
          </rPr>
          <t xml:space="preserve">
As per 3Q23 PR</t>
        </r>
      </text>
    </comment>
    <comment ref="DH191" authorId="13" shapeId="0" xr:uid="{00000000-0006-0000-0200-000064000000}">
      <text>
        <r>
          <rPr>
            <b/>
            <sz val="9"/>
            <color indexed="81"/>
            <rFont val="Tahoma"/>
            <family val="2"/>
          </rPr>
          <t>Author:</t>
        </r>
        <r>
          <rPr>
            <sz val="9"/>
            <color indexed="81"/>
            <rFont val="Tahoma"/>
            <family val="2"/>
          </rPr>
          <t xml:space="preserve">
</t>
        </r>
      </text>
    </comment>
    <comment ref="EF191" authorId="6" shapeId="0" xr:uid="{AC624003-A1AC-4535-A82B-E024D6B3DB80}">
      <text>
        <r>
          <rPr>
            <b/>
            <sz val="9"/>
            <color indexed="81"/>
            <rFont val="Tahoma"/>
            <family val="2"/>
          </rPr>
          <t>Author:</t>
        </r>
        <r>
          <rPr>
            <sz val="9"/>
            <color indexed="81"/>
            <rFont val="Tahoma"/>
            <family val="2"/>
          </rPr>
          <t xml:space="preserve">
rounding</t>
        </r>
      </text>
    </comment>
    <comment ref="DG192" authorId="13" shapeId="0" xr:uid="{00000000-0006-0000-0200-000065000000}">
      <text>
        <r>
          <rPr>
            <b/>
            <sz val="9"/>
            <color indexed="81"/>
            <rFont val="Tahoma"/>
            <family val="2"/>
          </rPr>
          <t>Author:</t>
        </r>
        <r>
          <rPr>
            <sz val="9"/>
            <color indexed="81"/>
            <rFont val="Tahoma"/>
            <family val="2"/>
          </rPr>
          <t xml:space="preserve">
</t>
        </r>
      </text>
    </comment>
    <comment ref="EF192" authorId="6" shapeId="0" xr:uid="{6F1D8EE5-C176-4052-9286-17B65D407F48}">
      <text>
        <r>
          <rPr>
            <b/>
            <sz val="9"/>
            <color indexed="81"/>
            <rFont val="Tahoma"/>
            <family val="2"/>
          </rPr>
          <t>Author:</t>
        </r>
        <r>
          <rPr>
            <sz val="9"/>
            <color indexed="81"/>
            <rFont val="Tahoma"/>
            <family val="2"/>
          </rPr>
          <t xml:space="preserve">
rounding</t>
        </r>
      </text>
    </comment>
    <comment ref="DJ193" authorId="9" shapeId="0" xr:uid="{00000000-0006-0000-0200-000066000000}">
      <text>
        <r>
          <rPr>
            <b/>
            <sz val="9"/>
            <color indexed="81"/>
            <rFont val="Tahoma"/>
            <family val="2"/>
          </rPr>
          <t>Author:</t>
        </r>
        <r>
          <rPr>
            <sz val="9"/>
            <color indexed="81"/>
            <rFont val="Tahoma"/>
            <family val="2"/>
          </rPr>
          <t xml:space="preserve">
Cons 13.7, 14.0</t>
        </r>
      </text>
    </comment>
    <comment ref="DO193" authorId="9" shapeId="0" xr:uid="{00000000-0006-0000-0200-000067000000}">
      <text>
        <r>
          <rPr>
            <b/>
            <sz val="9"/>
            <color indexed="81"/>
            <rFont val="Tahoma"/>
            <family val="2"/>
          </rPr>
          <t>Author:</t>
        </r>
        <r>
          <rPr>
            <sz val="9"/>
            <color indexed="81"/>
            <rFont val="Tahoma"/>
            <family val="2"/>
          </rPr>
          <t xml:space="preserve">
Cons 14.2, 14.6</t>
        </r>
      </text>
    </comment>
    <comment ref="DP198" authorId="11" shapeId="0" xr:uid="{00000000-0006-0000-0200-000068000000}">
      <text>
        <r>
          <rPr>
            <b/>
            <sz val="9"/>
            <color indexed="81"/>
            <rFont val="Tahoma"/>
            <family val="2"/>
          </rPr>
          <t>Author:</t>
        </r>
        <r>
          <rPr>
            <sz val="9"/>
            <color indexed="81"/>
            <rFont val="Tahoma"/>
            <family val="2"/>
          </rPr>
          <t xml:space="preserve">
FX -6% per PR</t>
        </r>
      </text>
    </comment>
    <comment ref="DU198" authorId="5" shapeId="0" xr:uid="{74925769-5E3D-4D08-80CE-F03EE0DEC1DB}">
      <text>
        <r>
          <rPr>
            <b/>
            <sz val="9"/>
            <color indexed="81"/>
            <rFont val="Tahoma"/>
            <family val="2"/>
          </rPr>
          <t>Author:</t>
        </r>
        <r>
          <rPr>
            <sz val="9"/>
            <color indexed="81"/>
            <rFont val="Tahoma"/>
            <family val="2"/>
          </rPr>
          <t xml:space="preserve">
-6.8% Currency adj. as per PR</t>
        </r>
      </text>
    </comment>
    <comment ref="DV198" authorId="5" shapeId="0" xr:uid="{5D8E00A8-6A8C-4141-8E25-C12C831F6CCB}">
      <text>
        <r>
          <rPr>
            <b/>
            <sz val="9"/>
            <color indexed="81"/>
            <rFont val="Tahoma"/>
            <family val="2"/>
          </rPr>
          <t>Author:</t>
        </r>
        <r>
          <rPr>
            <sz val="9"/>
            <color indexed="81"/>
            <rFont val="Tahoma"/>
            <family val="2"/>
          </rPr>
          <t xml:space="preserve">
As per 2Q23 PR</t>
        </r>
      </text>
    </comment>
    <comment ref="DW198" authorId="5" shapeId="0" xr:uid="{77FAC50A-F314-4823-9E71-37E1E5AE345F}">
      <text>
        <r>
          <rPr>
            <b/>
            <sz val="9"/>
            <color indexed="81"/>
            <rFont val="Tahoma"/>
            <family val="2"/>
          </rPr>
          <t>Author:</t>
        </r>
        <r>
          <rPr>
            <sz val="9"/>
            <color indexed="81"/>
            <rFont val="Tahoma"/>
            <family val="2"/>
          </rPr>
          <t xml:space="preserve">
As per 3Q23 PR</t>
        </r>
      </text>
    </comment>
    <comment ref="B201" authorId="0" shapeId="0" xr:uid="{00000000-0006-0000-0200-000069000000}">
      <text>
        <r>
          <rPr>
            <b/>
            <sz val="8"/>
            <color indexed="81"/>
            <rFont val="Tahoma"/>
            <family val="2"/>
          </rPr>
          <t>Author:</t>
        </r>
        <r>
          <rPr>
            <sz val="8"/>
            <color indexed="81"/>
            <rFont val="Tahoma"/>
            <family val="2"/>
          </rPr>
          <t xml:space="preserve">
chimeric, prone to immune reaction and antibody formation, dose creep. Get more info on Company2293 R788 oral (dosed BID) shown high efficacy in RA despite signal for neutropenia at most effective dose. </t>
        </r>
      </text>
    </comment>
    <comment ref="AZ202" authorId="0" shapeId="0" xr:uid="{00000000-0006-0000-0200-00006A000000}">
      <text>
        <r>
          <rPr>
            <b/>
            <sz val="8"/>
            <color indexed="81"/>
            <rFont val="Tahoma"/>
            <family val="2"/>
          </rPr>
          <t>Author:</t>
        </r>
        <r>
          <rPr>
            <sz val="8"/>
            <color indexed="81"/>
            <rFont val="Tahoma"/>
            <family val="2"/>
          </rPr>
          <t xml:space="preserve">
Inventory build from 1Q has been depleted. Underlying demand in anti-TNF space up 30% </t>
        </r>
      </text>
    </comment>
    <comment ref="CM202" authorId="2" shapeId="0" xr:uid="{00000000-0006-0000-0200-00006B000000}">
      <text>
        <r>
          <rPr>
            <b/>
            <sz val="9"/>
            <color indexed="81"/>
            <rFont val="Tahoma"/>
            <family val="2"/>
          </rPr>
          <t>Author:</t>
        </r>
        <r>
          <rPr>
            <sz val="9"/>
            <color indexed="81"/>
            <rFont val="Tahoma"/>
            <family val="2"/>
          </rPr>
          <t xml:space="preserve">
includes $83mn benefit from GTN adjustments</t>
        </r>
      </text>
    </comment>
    <comment ref="CP202" authorId="2" shapeId="0" xr:uid="{00000000-0006-0000-0200-00006C000000}">
      <text>
        <r>
          <rPr>
            <b/>
            <sz val="9"/>
            <color indexed="81"/>
            <rFont val="Tahoma"/>
            <family val="2"/>
          </rPr>
          <t>Author:</t>
        </r>
        <r>
          <rPr>
            <sz val="9"/>
            <color indexed="81"/>
            <rFont val="Tahoma"/>
            <family val="2"/>
          </rPr>
          <t xml:space="preserve">
1.26.2016: no biosimilar Remicade included in guidance</t>
        </r>
      </text>
    </comment>
    <comment ref="CV202" authorId="8" shapeId="0" xr:uid="{00000000-0006-0000-0200-00006D000000}">
      <text>
        <r>
          <rPr>
            <b/>
            <sz val="9"/>
            <color indexed="81"/>
            <rFont val="Tahoma"/>
            <family val="2"/>
          </rPr>
          <t>Author:</t>
        </r>
        <r>
          <rPr>
            <sz val="9"/>
            <color indexed="81"/>
            <rFont val="Tahoma"/>
            <family val="2"/>
          </rPr>
          <t xml:space="preserve">
1Q18: driven by price erosion and one-time pricing adjustment realted to major payer's delayed rebate claims</t>
        </r>
      </text>
    </comment>
    <comment ref="CX202" authorId="8" shapeId="0" xr:uid="{00000000-0006-0000-0200-00006E000000}">
      <text>
        <r>
          <rPr>
            <b/>
            <sz val="9"/>
            <color indexed="81"/>
            <rFont val="Tahoma"/>
            <family val="2"/>
          </rPr>
          <t>Author:</t>
        </r>
        <r>
          <rPr>
            <sz val="9"/>
            <color indexed="81"/>
            <rFont val="Tahoma"/>
            <family val="2"/>
          </rPr>
          <t xml:space="preserve">
93% of volume share</t>
        </r>
      </text>
    </comment>
    <comment ref="DA202" authorId="10" shapeId="0" xr:uid="{00000000-0006-0000-0200-00006F000000}">
      <text>
        <r>
          <rPr>
            <b/>
            <sz val="9"/>
            <color indexed="81"/>
            <rFont val="Tahoma"/>
            <family val="2"/>
          </rPr>
          <t>Author:</t>
        </r>
        <r>
          <rPr>
            <sz val="9"/>
            <color indexed="81"/>
            <rFont val="Tahoma"/>
            <family val="2"/>
          </rPr>
          <t xml:space="preserve">
retaining ~92% volume share</t>
        </r>
      </text>
    </comment>
    <comment ref="B203" authorId="0" shapeId="0" xr:uid="{00000000-0006-0000-0200-000070000000}">
      <text>
        <r>
          <rPr>
            <b/>
            <sz val="8"/>
            <color indexed="81"/>
            <rFont val="Tahoma"/>
            <family val="2"/>
          </rPr>
          <t xml:space="preserve">Author:
</t>
        </r>
        <r>
          <rPr>
            <sz val="8"/>
            <color indexed="81"/>
            <rFont val="Tahoma"/>
            <family val="2"/>
          </rPr>
          <t>Reported as U.S. sales following 1Q12 reporting reclassfication</t>
        </r>
        <r>
          <rPr>
            <b/>
            <sz val="8"/>
            <color indexed="81"/>
            <rFont val="Tahoma"/>
            <family val="2"/>
          </rPr>
          <t xml:space="preserve">
Author1:</t>
        </r>
        <r>
          <rPr>
            <sz val="8"/>
            <color indexed="81"/>
            <rFont val="Tahoma"/>
            <family val="2"/>
          </rPr>
          <t xml:space="preserve">
Exports to SGP tend to be larger of two numbers in cell
</t>
        </r>
      </text>
    </comment>
    <comment ref="BH203" authorId="22" shapeId="0" xr:uid="{00000000-0006-0000-0200-000071000000}">
      <text>
        <r>
          <rPr>
            <b/>
            <sz val="8"/>
            <color indexed="81"/>
            <rFont val="Tahoma"/>
            <family val="2"/>
          </rPr>
          <t>Author:</t>
        </r>
        <r>
          <rPr>
            <sz val="8"/>
            <color indexed="81"/>
            <rFont val="Tahoma"/>
            <family val="2"/>
          </rPr>
          <t xml:space="preserve">
strong mkt growth and some inventory building </t>
        </r>
      </text>
    </comment>
    <comment ref="BO203" authorId="1" shapeId="0" xr:uid="{00000000-0006-0000-0200-000072000000}">
      <text>
        <r>
          <rPr>
            <b/>
            <sz val="8"/>
            <color indexed="81"/>
            <rFont val="Tahoma"/>
            <family val="2"/>
          </rPr>
          <t>Author:</t>
        </r>
        <r>
          <rPr>
            <sz val="8"/>
            <color indexed="81"/>
            <rFont val="Tahoma"/>
            <family val="2"/>
          </rPr>
          <t xml:space="preserve">
70% of territories, includes costs of sales + Ticker0018 profit split</t>
        </r>
      </text>
    </comment>
    <comment ref="CC203" authorId="21" shapeId="0" xr:uid="{00000000-0006-0000-0200-000073000000}">
      <text>
        <r>
          <rPr>
            <b/>
            <sz val="9"/>
            <color indexed="81"/>
            <rFont val="Tahoma"/>
            <family val="2"/>
          </rPr>
          <t>Author:</t>
        </r>
        <r>
          <rPr>
            <sz val="9"/>
            <color indexed="81"/>
            <rFont val="Tahoma"/>
            <family val="2"/>
          </rPr>
          <t xml:space="preserve">
7.15.14: $40mn of inventory build sales to Mitsubishi Company2730 and Company1802</t>
        </r>
      </text>
    </comment>
    <comment ref="CH203" authorId="21" shapeId="0" xr:uid="{00000000-0006-0000-0200-000074000000}">
      <text>
        <r>
          <rPr>
            <b/>
            <sz val="9"/>
            <color indexed="81"/>
            <rFont val="Tahoma"/>
            <family val="2"/>
          </rPr>
          <t>Author:</t>
        </r>
        <r>
          <rPr>
            <sz val="9"/>
            <color indexed="81"/>
            <rFont val="Tahoma"/>
            <family val="2"/>
          </rPr>
          <t xml:space="preserve">
7.14.15:  1% pharma inventory destocking was due to Remicade</t>
        </r>
      </text>
    </comment>
    <comment ref="CN203" authorId="2" shapeId="0" xr:uid="{00000000-0006-0000-0200-000075000000}">
      <text>
        <r>
          <rPr>
            <b/>
            <sz val="9"/>
            <color indexed="81"/>
            <rFont val="Tahoma"/>
            <family val="2"/>
          </rPr>
          <t>Author:</t>
        </r>
        <r>
          <rPr>
            <sz val="9"/>
            <color indexed="81"/>
            <rFont val="Tahoma"/>
            <family val="2"/>
          </rPr>
          <t xml:space="preserve">
10.18.2016: $55mn of current inventory build and $110mn impact from lower inv levels in 3Q15</t>
        </r>
      </text>
    </comment>
    <comment ref="BO204" authorId="1" shapeId="0" xr:uid="{00000000-0006-0000-0200-000076000000}">
      <text>
        <r>
          <rPr>
            <b/>
            <sz val="8"/>
            <color indexed="81"/>
            <rFont val="Tahoma"/>
            <family val="2"/>
          </rPr>
          <t>Author:</t>
        </r>
        <r>
          <rPr>
            <sz val="8"/>
            <color indexed="81"/>
            <rFont val="Tahoma"/>
            <family val="2"/>
          </rPr>
          <t xml:space="preserve">
30% relinquished territories to Ticker0018</t>
        </r>
      </text>
    </comment>
    <comment ref="CJ204" authorId="2" shapeId="0" xr:uid="{00000000-0006-0000-0200-000077000000}">
      <text>
        <r>
          <rPr>
            <b/>
            <sz val="9"/>
            <color indexed="81"/>
            <rFont val="Tahoma"/>
            <family val="2"/>
          </rPr>
          <t>Author:</t>
        </r>
        <r>
          <rPr>
            <sz val="9"/>
            <color indexed="81"/>
            <rFont val="Tahoma"/>
            <family val="2"/>
          </rPr>
          <t xml:space="preserve">
lower sales to distribution partner</t>
        </r>
      </text>
    </comment>
    <comment ref="EC204" authorId="15" shapeId="0" xr:uid="{0C14C796-E989-4844-98F8-67A5C8BD3FC2}">
      <text>
        <r>
          <rPr>
            <b/>
            <sz val="9"/>
            <color indexed="81"/>
            <rFont val="Tahoma"/>
            <family val="2"/>
          </rPr>
          <t>Author:</t>
        </r>
        <r>
          <rPr>
            <sz val="9"/>
            <color indexed="81"/>
            <rFont val="Tahoma"/>
            <family val="2"/>
          </rPr>
          <t xml:space="preserve">
3q24 eps: return of distribution rights</t>
        </r>
      </text>
    </comment>
    <comment ref="BD205" authorId="0" shapeId="0" xr:uid="{00000000-0006-0000-0200-000078000000}">
      <text>
        <r>
          <rPr>
            <b/>
            <sz val="8"/>
            <color indexed="81"/>
            <rFont val="Tahoma"/>
            <family val="2"/>
          </rPr>
          <t>Author:</t>
        </r>
        <r>
          <rPr>
            <sz val="8"/>
            <color indexed="81"/>
            <rFont val="Tahoma"/>
            <family val="2"/>
          </rPr>
          <t xml:space="preserve">
930.2</t>
        </r>
      </text>
    </comment>
    <comment ref="BJ205" authorId="18" shapeId="0" xr:uid="{00000000-0006-0000-0200-000079000000}">
      <text>
        <r>
          <rPr>
            <b/>
            <sz val="8"/>
            <color indexed="81"/>
            <rFont val="Tahoma"/>
            <family val="2"/>
          </rPr>
          <t>Author:</t>
        </r>
        <r>
          <rPr>
            <sz val="8"/>
            <color indexed="81"/>
            <rFont val="Tahoma"/>
            <family val="2"/>
          </rPr>
          <t xml:space="preserve">
Sales growth in the US was 4.3% due to strong market growth partially
offset by lower market share in an increasingly competitive marketplace. Strong market growth and an increase in inventory
levels contributed to an increase in export sales of 75.5%.</t>
        </r>
      </text>
    </comment>
    <comment ref="DO205" authorId="26" shapeId="0" xr:uid="{00000000-0006-0000-0200-00007A000000}">
      <text>
        <r>
          <rPr>
            <b/>
            <sz val="9"/>
            <color indexed="81"/>
            <rFont val="Tahoma"/>
            <family val="2"/>
          </rPr>
          <t>Author:</t>
        </r>
        <r>
          <rPr>
            <sz val="9"/>
            <color indexed="81"/>
            <rFont val="Tahoma"/>
            <family val="2"/>
          </rPr>
          <t xml:space="preserve">
Cons: 3.1</t>
        </r>
      </text>
    </comment>
    <comment ref="BK208" authorId="1" shapeId="0" xr:uid="{00000000-0006-0000-0200-00007C000000}">
      <text>
        <r>
          <rPr>
            <b/>
            <sz val="8"/>
            <color indexed="81"/>
            <rFont val="Tahoma"/>
            <family val="2"/>
          </rPr>
          <t>Author:</t>
        </r>
        <r>
          <rPr>
            <sz val="8"/>
            <color indexed="81"/>
            <rFont val="Tahoma"/>
            <family val="2"/>
          </rPr>
          <t xml:space="preserve">
1.26.11 Sales were down due to lower market share in an increasingly competitive marketplace, healthcare reform, and the impact of the 53rd week partially offset by strong market growth.</t>
        </r>
      </text>
    </comment>
    <comment ref="BW208" authorId="21" shapeId="0" xr:uid="{00000000-0006-0000-0200-00007D000000}">
      <text>
        <r>
          <rPr>
            <b/>
            <sz val="8"/>
            <color indexed="81"/>
            <rFont val="Tahoma"/>
            <family val="2"/>
          </rPr>
          <t>Author:</t>
        </r>
        <r>
          <rPr>
            <sz val="8"/>
            <color indexed="81"/>
            <rFont val="Tahoma"/>
            <family val="2"/>
          </rPr>
          <t xml:space="preserve">
4.16.13 operational growth, excluding medicaid rebates is 4%</t>
        </r>
      </text>
    </comment>
    <comment ref="CL208" authorId="2" shapeId="0" xr:uid="{00000000-0006-0000-0200-00007E000000}">
      <text>
        <r>
          <rPr>
            <b/>
            <sz val="9"/>
            <color indexed="81"/>
            <rFont val="Tahoma"/>
            <family val="2"/>
          </rPr>
          <t>Author:</t>
        </r>
        <r>
          <rPr>
            <sz val="9"/>
            <color indexed="81"/>
            <rFont val="Tahoma"/>
            <family val="2"/>
          </rPr>
          <t xml:space="preserve">
underlying growth of 11.8%; 3% benefit from managed medicaid rebates </t>
        </r>
      </text>
    </comment>
    <comment ref="CQ208" authorId="2" shapeId="0" xr:uid="{00000000-0006-0000-0200-00007F000000}">
      <text>
        <r>
          <rPr>
            <b/>
            <sz val="9"/>
            <color indexed="81"/>
            <rFont val="Tahoma"/>
            <family val="2"/>
          </rPr>
          <t>Author:</t>
        </r>
        <r>
          <rPr>
            <sz val="9"/>
            <color indexed="81"/>
            <rFont val="Tahoma"/>
            <family val="2"/>
          </rPr>
          <t xml:space="preserve">
+2% excl GTN adj in 1Q16; bigger discounts and vol growth at 5%</t>
        </r>
      </text>
    </comment>
    <comment ref="CR208" authorId="2" shapeId="0" xr:uid="{00000000-0006-0000-0200-000080000000}">
      <text>
        <r>
          <rPr>
            <b/>
            <sz val="9"/>
            <color indexed="81"/>
            <rFont val="Tahoma"/>
            <family val="2"/>
          </rPr>
          <t>Author:</t>
        </r>
        <r>
          <rPr>
            <sz val="9"/>
            <color indexed="81"/>
            <rFont val="Tahoma"/>
            <family val="2"/>
          </rPr>
          <t xml:space="preserve">
108mn benefit in 2Q16; underlying -5% growth</t>
        </r>
      </text>
    </comment>
    <comment ref="CV208" authorId="3" shapeId="0" xr:uid="{00000000-0006-0000-0200-000081000000}">
      <text>
        <r>
          <rPr>
            <b/>
            <sz val="9"/>
            <color indexed="81"/>
            <rFont val="Tahoma"/>
            <family val="2"/>
          </rPr>
          <t>Author:</t>
        </r>
        <r>
          <rPr>
            <sz val="9"/>
            <color indexed="81"/>
            <rFont val="Tahoma"/>
            <family val="2"/>
          </rPr>
          <t xml:space="preserve">
1Q18 call- excluding negative impact from prior period pricing adjustment related to major payer's delayed submission of rebate claims would have been down ~16% yoy in the US</t>
        </r>
      </text>
    </comment>
    <comment ref="CW208" authorId="8" shapeId="0" xr:uid="{00000000-0006-0000-0200-000082000000}">
      <text>
        <r>
          <rPr>
            <b/>
            <sz val="9"/>
            <color indexed="81"/>
            <rFont val="Tahoma"/>
            <family val="2"/>
          </rPr>
          <t>Author:</t>
        </r>
        <r>
          <rPr>
            <sz val="9"/>
            <color indexed="81"/>
            <rFont val="Tahoma"/>
            <family val="2"/>
          </rPr>
          <t xml:space="preserve">
2Q18: due to increased discounts/rebates and biosimilar competition</t>
        </r>
      </text>
    </comment>
    <comment ref="CX208" authorId="8" shapeId="0" xr:uid="{00000000-0006-0000-0200-000083000000}">
      <text>
        <r>
          <rPr>
            <b/>
            <sz val="9"/>
            <color indexed="81"/>
            <rFont val="Tahoma"/>
            <family val="2"/>
          </rPr>
          <t>Author:</t>
        </r>
        <r>
          <rPr>
            <sz val="9"/>
            <color indexed="81"/>
            <rFont val="Tahoma"/>
            <family val="2"/>
          </rPr>
          <t xml:space="preserve">
primarily declining due to price</t>
        </r>
      </text>
    </comment>
    <comment ref="CZ208" authorId="2" shapeId="0" xr:uid="{00000000-0006-0000-0200-000084000000}">
      <text>
        <r>
          <rPr>
            <b/>
            <sz val="9"/>
            <color indexed="81"/>
            <rFont val="Tahoma"/>
            <family val="2"/>
          </rPr>
          <t>Author:</t>
        </r>
        <r>
          <rPr>
            <sz val="9"/>
            <color indexed="81"/>
            <rFont val="Tahoma"/>
            <family val="2"/>
          </rPr>
          <t xml:space="preserve">
2Q18: contracting for 2019 could accelerate price discounts that accrue in 4Q</t>
        </r>
      </text>
    </comment>
    <comment ref="DA208" authorId="10" shapeId="0" xr:uid="{00000000-0006-0000-0200-000085000000}">
      <text>
        <r>
          <rPr>
            <b/>
            <sz val="9"/>
            <color indexed="81"/>
            <rFont val="Tahoma"/>
            <family val="2"/>
          </rPr>
          <t>Author:</t>
        </r>
        <r>
          <rPr>
            <sz val="9"/>
            <color indexed="81"/>
            <rFont val="Tahoma"/>
            <family val="2"/>
          </rPr>
          <t xml:space="preserve">
The previously mentioned prior period of pricing adjustments for REMICADE and PRODUCT0387 had a favorable impact on their growth by about 400 and 500 basis points, respectively, resulting in underlying global performance of a 23% decline in REMICADE and 31% growth of PRODUCT0387.</t>
        </r>
      </text>
    </comment>
    <comment ref="BY209" authorId="21" shapeId="0" xr:uid="{00000000-0006-0000-0200-000086000000}">
      <text>
        <r>
          <rPr>
            <b/>
            <sz val="9"/>
            <color indexed="81"/>
            <rFont val="Tahoma"/>
            <family val="2"/>
          </rPr>
          <t>Author:</t>
        </r>
        <r>
          <rPr>
            <sz val="9"/>
            <color indexed="81"/>
            <rFont val="Tahoma"/>
            <family val="2"/>
          </rPr>
          <t xml:space="preserve">
biosimilars will impact Ticker0018 share of EU sales starting in August, 2013</t>
        </r>
      </text>
    </comment>
    <comment ref="CB209" authorId="21" shapeId="0" xr:uid="{00000000-0006-0000-0200-000087000000}">
      <text>
        <r>
          <rPr>
            <b/>
            <sz val="9"/>
            <color indexed="81"/>
            <rFont val="Tahoma"/>
            <family val="2"/>
          </rPr>
          <t>Author:</t>
        </r>
        <r>
          <rPr>
            <sz val="9"/>
            <color indexed="81"/>
            <rFont val="Tahoma"/>
            <family val="2"/>
          </rPr>
          <t xml:space="preserve">
biosimilars will impact Ticker0018 share of EU sales starting in August, 2013</t>
        </r>
      </text>
    </comment>
    <comment ref="BK211" authorId="1" shapeId="0" xr:uid="{00000000-0006-0000-0200-000088000000}">
      <text>
        <r>
          <rPr>
            <b/>
            <sz val="8"/>
            <color indexed="81"/>
            <rFont val="Tahoma"/>
            <family val="2"/>
          </rPr>
          <t>Author: 1.26.11 E</t>
        </r>
        <r>
          <rPr>
            <sz val="8"/>
            <color indexed="81"/>
            <rFont val="Tahoma"/>
            <family val="2"/>
          </rPr>
          <t>xport sales grew 1.6% impacted by a reduction in inventory levels in the quarter. Excluding this impact, sales were up double Digits</t>
        </r>
        <r>
          <rPr>
            <sz val="8"/>
            <color indexed="81"/>
            <rFont val="Tahoma"/>
            <family val="2"/>
          </rPr>
          <t xml:space="preserve">
</t>
        </r>
      </text>
    </comment>
    <comment ref="BM211" authorId="1" shapeId="0" xr:uid="{00000000-0006-0000-0200-000089000000}">
      <text>
        <r>
          <rPr>
            <b/>
            <sz val="8"/>
            <color indexed="81"/>
            <rFont val="Tahoma"/>
            <family val="2"/>
          </rPr>
          <t>Author:</t>
        </r>
        <r>
          <rPr>
            <sz val="8"/>
            <color indexed="81"/>
            <rFont val="Tahoma"/>
            <family val="2"/>
          </rPr>
          <t xml:space="preserve">
Reflects DD market growth and expected increase in 2011 to 42% from 40% for contribution income</t>
        </r>
      </text>
    </comment>
    <comment ref="CD212" authorId="21" shapeId="0" xr:uid="{00000000-0006-0000-0200-00008A000000}">
      <text>
        <r>
          <rPr>
            <b/>
            <sz val="9"/>
            <color indexed="81"/>
            <rFont val="Tahoma"/>
            <family val="2"/>
          </rPr>
          <t>Author:</t>
        </r>
        <r>
          <rPr>
            <sz val="9"/>
            <color indexed="81"/>
            <rFont val="Tahoma"/>
            <family val="2"/>
          </rPr>
          <t xml:space="preserve">
10.14.14: small impact of biosimilars international ex-EU</t>
        </r>
      </text>
    </comment>
    <comment ref="CG212" authorId="23" shapeId="0" xr:uid="{00000000-0006-0000-0200-00008B000000}">
      <text>
        <r>
          <rPr>
            <b/>
            <sz val="9"/>
            <color indexed="81"/>
            <rFont val="Tahoma"/>
            <family val="2"/>
          </rPr>
          <t>Author:</t>
        </r>
        <r>
          <rPr>
            <sz val="9"/>
            <color indexed="81"/>
            <rFont val="Tahoma"/>
            <family val="2"/>
          </rPr>
          <t xml:space="preserve">
4.14.15: lower revenue to distrubutions - but could mean a number of things</t>
        </r>
      </text>
    </comment>
    <comment ref="CH212" authorId="21" shapeId="0" xr:uid="{00000000-0006-0000-0200-00008C000000}">
      <text>
        <r>
          <rPr>
            <b/>
            <sz val="9"/>
            <color indexed="81"/>
            <rFont val="Tahoma"/>
            <family val="2"/>
          </rPr>
          <t>Author:</t>
        </r>
        <r>
          <rPr>
            <sz val="9"/>
            <color indexed="81"/>
            <rFont val="Tahoma"/>
            <family val="2"/>
          </rPr>
          <t xml:space="preserve">
1/20/15 Ticker0018 says Remicade biosimilar impact early 2015</t>
        </r>
      </text>
    </comment>
    <comment ref="DP212" authorId="11" shapeId="0" xr:uid="{00000000-0006-0000-0200-00008D000000}">
      <text>
        <r>
          <rPr>
            <b/>
            <sz val="9"/>
            <color indexed="81"/>
            <rFont val="Tahoma"/>
            <family val="2"/>
          </rPr>
          <t>Author:</t>
        </r>
        <r>
          <rPr>
            <sz val="9"/>
            <color indexed="81"/>
            <rFont val="Tahoma"/>
            <family val="2"/>
          </rPr>
          <t xml:space="preserve">
FX -1.6% per PR</t>
        </r>
      </text>
    </comment>
    <comment ref="DQ212" authorId="11" shapeId="0" xr:uid="{00000000-0006-0000-0200-00008E000000}">
      <text>
        <r>
          <rPr>
            <b/>
            <sz val="9"/>
            <color indexed="81"/>
            <rFont val="Tahoma"/>
            <family val="2"/>
          </rPr>
          <t>Author:</t>
        </r>
        <r>
          <rPr>
            <sz val="9"/>
            <color indexed="81"/>
            <rFont val="Tahoma"/>
            <family val="2"/>
          </rPr>
          <t xml:space="preserve">
FX -5.2% per PR</t>
        </r>
      </text>
    </comment>
    <comment ref="DR212" authorId="11" shapeId="0" xr:uid="{780A7024-F62E-4D77-825C-AF414890FFEA}">
      <text>
        <r>
          <rPr>
            <b/>
            <sz val="9"/>
            <color indexed="81"/>
            <rFont val="Tahoma"/>
            <family val="2"/>
          </rPr>
          <t>Author:</t>
        </r>
        <r>
          <rPr>
            <sz val="9"/>
            <color indexed="81"/>
            <rFont val="Tahoma"/>
            <family val="2"/>
          </rPr>
          <t xml:space="preserve">
FX -5.0% per PR</t>
        </r>
      </text>
    </comment>
    <comment ref="DS212" authorId="14" shapeId="0" xr:uid="{EA940024-A99F-4794-A18D-FC7CE5EBBDDF}">
      <text>
        <r>
          <rPr>
            <b/>
            <sz val="9"/>
            <color indexed="81"/>
            <rFont val="Tahoma"/>
            <family val="2"/>
          </rPr>
          <t>Author:</t>
        </r>
        <r>
          <rPr>
            <sz val="9"/>
            <color indexed="81"/>
            <rFont val="Tahoma"/>
            <family val="2"/>
          </rPr>
          <t xml:space="preserve">
4.6% FX per PR</t>
        </r>
      </text>
    </comment>
    <comment ref="DU212" authorId="5" shapeId="0" xr:uid="{299CA526-5EF0-438B-80EF-C30DC9899E0A}">
      <text>
        <r>
          <rPr>
            <b/>
            <sz val="9"/>
            <color indexed="81"/>
            <rFont val="Tahoma"/>
            <family val="2"/>
          </rPr>
          <t>Author:</t>
        </r>
        <r>
          <rPr>
            <sz val="9"/>
            <color indexed="81"/>
            <rFont val="Tahoma"/>
            <family val="2"/>
          </rPr>
          <t xml:space="preserve">
-4.4% Currency adj. as per PR</t>
        </r>
      </text>
    </comment>
    <comment ref="DV212" authorId="5" shapeId="0" xr:uid="{FAE84FBD-C56C-4B33-A21A-B37A0EDB54D7}">
      <text>
        <r>
          <rPr>
            <b/>
            <sz val="9"/>
            <color indexed="81"/>
            <rFont val="Tahoma"/>
            <family val="2"/>
          </rPr>
          <t>Author:</t>
        </r>
        <r>
          <rPr>
            <sz val="9"/>
            <color indexed="81"/>
            <rFont val="Tahoma"/>
            <family val="2"/>
          </rPr>
          <t xml:space="preserve">
As per 2Q23 PR</t>
        </r>
      </text>
    </comment>
    <comment ref="DW212" authorId="5" shapeId="0" xr:uid="{E0FA5F81-0175-450F-8383-3CC8E8510BE8}">
      <text>
        <r>
          <rPr>
            <b/>
            <sz val="9"/>
            <color indexed="81"/>
            <rFont val="Tahoma"/>
            <family val="2"/>
          </rPr>
          <t>Author:</t>
        </r>
        <r>
          <rPr>
            <sz val="9"/>
            <color indexed="81"/>
            <rFont val="Tahoma"/>
            <family val="2"/>
          </rPr>
          <t xml:space="preserve">
As per 3Q23 PR</t>
        </r>
      </text>
    </comment>
    <comment ref="B218" authorId="16" shapeId="0" xr:uid="{00000000-0006-0000-0200-00008F000000}">
      <text>
        <r>
          <rPr>
            <b/>
            <sz val="8"/>
            <color indexed="81"/>
            <rFont val="Tahoma"/>
            <family val="2"/>
          </rPr>
          <t>Author:</t>
        </r>
        <r>
          <rPr>
            <sz val="8"/>
            <color indexed="81"/>
            <rFont val="Tahoma"/>
            <family val="2"/>
          </rPr>
          <t xml:space="preserve">
humnan, monoclonal Ab targeting TNF-alpha, marketed by MRK in EU
submitted sNDA Sept 27, 2010 to expand label to include inhibiting progression of structural damage, inducing major clinical response and maintenance of reducing signs and sympotoms and improving physical function in mod and severe active rheumatoid arthrisis. data from 3 pivotal P3 trials submitted
</t>
        </r>
      </text>
    </comment>
    <comment ref="C219" authorId="8" shapeId="0" xr:uid="{00000000-0006-0000-0200-000090000000}">
      <text>
        <r>
          <rPr>
            <b/>
            <sz val="9"/>
            <color indexed="81"/>
            <rFont val="Tahoma"/>
            <family val="2"/>
          </rPr>
          <t>Author:</t>
        </r>
        <r>
          <rPr>
            <sz val="9"/>
            <color indexed="81"/>
            <rFont val="Tahoma"/>
            <family val="2"/>
          </rPr>
          <t xml:space="preserve">
should be Feb 2024</t>
        </r>
      </text>
    </comment>
    <comment ref="BE219" authorId="0" shapeId="0" xr:uid="{00000000-0006-0000-0200-000091000000}">
      <text>
        <r>
          <rPr>
            <b/>
            <sz val="8"/>
            <color indexed="81"/>
            <rFont val="Tahoma"/>
            <family val="2"/>
          </rPr>
          <t>Author:</t>
        </r>
        <r>
          <rPr>
            <sz val="8"/>
            <color indexed="81"/>
            <rFont val="Tahoma"/>
            <family val="2"/>
          </rPr>
          <t xml:space="preserve">
share Q3 average $ market share of 0.7% up from 2Q 0.2%. IMS health.</t>
        </r>
      </text>
    </comment>
    <comment ref="BX219" authorId="21" shapeId="0" xr:uid="{00000000-0006-0000-0200-000092000000}">
      <text>
        <r>
          <rPr>
            <b/>
            <sz val="9"/>
            <color indexed="81"/>
            <rFont val="Tahoma"/>
            <family val="2"/>
          </rPr>
          <t>Author:</t>
        </r>
        <r>
          <rPr>
            <sz val="9"/>
            <color indexed="81"/>
            <rFont val="Tahoma"/>
            <family val="2"/>
          </rPr>
          <t xml:space="preserve">
increased market share, market growth</t>
        </r>
      </text>
    </comment>
    <comment ref="CJ219" authorId="2" shapeId="0" xr:uid="{00000000-0006-0000-0200-000093000000}">
      <text>
        <r>
          <rPr>
            <b/>
            <sz val="9"/>
            <color indexed="81"/>
            <rFont val="Tahoma"/>
            <family val="2"/>
          </rPr>
          <t>Author:</t>
        </r>
        <r>
          <rPr>
            <sz val="9"/>
            <color indexed="81"/>
            <rFont val="Tahoma"/>
            <family val="2"/>
          </rPr>
          <t xml:space="preserve">
increased penetration for Product0372 Aria</t>
        </r>
      </text>
    </comment>
    <comment ref="CM219" authorId="2" shapeId="0" xr:uid="{00000000-0006-0000-0200-000094000000}">
      <text>
        <r>
          <rPr>
            <b/>
            <sz val="9"/>
            <color indexed="81"/>
            <rFont val="Tahoma"/>
            <family val="2"/>
          </rPr>
          <t>Author:</t>
        </r>
        <r>
          <rPr>
            <sz val="9"/>
            <color indexed="81"/>
            <rFont val="Tahoma"/>
            <family val="2"/>
          </rPr>
          <t xml:space="preserve">
included $22mn benefit from GTN adjustments</t>
        </r>
      </text>
    </comment>
    <comment ref="CO219" authorId="2" shapeId="0" xr:uid="{00000000-0006-0000-0200-000095000000}">
      <text>
        <r>
          <rPr>
            <b/>
            <sz val="9"/>
            <color indexed="81"/>
            <rFont val="Tahoma"/>
            <family val="2"/>
          </rPr>
          <t>Author:</t>
        </r>
        <r>
          <rPr>
            <sz val="9"/>
            <color indexed="81"/>
            <rFont val="Tahoma"/>
            <family val="2"/>
          </rPr>
          <t xml:space="preserve">
shipping days impact</t>
        </r>
      </text>
    </comment>
    <comment ref="B220" authorId="0" shapeId="0" xr:uid="{00000000-0006-0000-0200-000096000000}">
      <text>
        <r>
          <rPr>
            <b/>
            <sz val="8"/>
            <color indexed="81"/>
            <rFont val="Tahoma"/>
            <family val="2"/>
          </rPr>
          <t>Author:</t>
        </r>
        <r>
          <rPr>
            <sz val="8"/>
            <color indexed="81"/>
            <rFont val="Tahoma"/>
            <family val="2"/>
          </rPr>
          <t xml:space="preserve">
simponi EU</t>
        </r>
      </text>
    </comment>
    <comment ref="C220" authorId="8" shapeId="0" xr:uid="{00000000-0006-0000-0200-000097000000}">
      <text>
        <r>
          <rPr>
            <b/>
            <sz val="9"/>
            <color indexed="81"/>
            <rFont val="Tahoma"/>
            <family val="2"/>
          </rPr>
          <t>Author:</t>
        </r>
        <r>
          <rPr>
            <sz val="9"/>
            <color indexed="81"/>
            <rFont val="Tahoma"/>
            <family val="2"/>
          </rPr>
          <t xml:space="preserve">
April 2025</t>
        </r>
      </text>
    </comment>
    <comment ref="BL220" authorId="27" shapeId="0" xr:uid="{00000000-0006-0000-0200-000098000000}">
      <text>
        <r>
          <rPr>
            <b/>
            <sz val="8"/>
            <color indexed="81"/>
            <rFont val="Tahoma"/>
            <family val="2"/>
          </rPr>
          <t>Author:</t>
        </r>
        <r>
          <rPr>
            <sz val="8"/>
            <color indexed="81"/>
            <rFont val="Tahoma"/>
            <family val="2"/>
          </rPr>
          <t xml:space="preserve">
Receives 40% royalty </t>
        </r>
      </text>
    </comment>
    <comment ref="BM220" authorId="1" shapeId="0" xr:uid="{00000000-0006-0000-0200-000099000000}">
      <text>
        <r>
          <rPr>
            <b/>
            <sz val="8"/>
            <color indexed="81"/>
            <rFont val="Tahoma"/>
            <family val="2"/>
          </rPr>
          <t>Author:</t>
        </r>
        <r>
          <rPr>
            <sz val="8"/>
            <color indexed="81"/>
            <rFont val="Tahoma"/>
            <family val="2"/>
          </rPr>
          <t xml:space="preserve">
Success in international launches led to signficant growth in export sales</t>
        </r>
      </text>
    </comment>
    <comment ref="BQ220" authorId="27" shapeId="0" xr:uid="{00000000-0006-0000-0200-00009A000000}">
      <text>
        <r>
          <rPr>
            <b/>
            <sz val="8"/>
            <color indexed="81"/>
            <rFont val="Tahoma"/>
            <family val="2"/>
          </rPr>
          <t>Author:</t>
        </r>
        <r>
          <rPr>
            <sz val="8"/>
            <color indexed="81"/>
            <rFont val="Tahoma"/>
            <family val="2"/>
          </rPr>
          <t xml:space="preserve">
Product0173/Remicade royalty increases to 42% from 40%</t>
        </r>
      </text>
    </comment>
    <comment ref="BV220" authorId="27" shapeId="0" xr:uid="{00000000-0006-0000-0200-00009B000000}">
      <text>
        <r>
          <rPr>
            <b/>
            <sz val="8"/>
            <color indexed="81"/>
            <rFont val="Tahoma"/>
            <family val="2"/>
          </rPr>
          <t>Author:</t>
        </r>
        <r>
          <rPr>
            <sz val="8"/>
            <color indexed="81"/>
            <rFont val="Tahoma"/>
            <family val="2"/>
          </rPr>
          <t xml:space="preserve">
Product0173/Remicade royalty increases to 45% from 42%</t>
        </r>
      </text>
    </comment>
    <comment ref="BX220" authorId="21" shapeId="0" xr:uid="{00000000-0006-0000-0200-00009C000000}">
      <text>
        <r>
          <rPr>
            <b/>
            <sz val="9"/>
            <color indexed="81"/>
            <rFont val="Tahoma"/>
            <family val="2"/>
          </rPr>
          <t>Author:</t>
        </r>
        <r>
          <rPr>
            <sz val="9"/>
            <color indexed="81"/>
            <rFont val="Tahoma"/>
            <family val="2"/>
          </rPr>
          <t xml:space="preserve">
increased market share</t>
        </r>
      </text>
    </comment>
    <comment ref="BY220" authorId="21" shapeId="0" xr:uid="{00000000-0006-0000-0200-00009D000000}">
      <text>
        <r>
          <rPr>
            <b/>
            <sz val="9"/>
            <color indexed="81"/>
            <rFont val="Tahoma"/>
            <family val="2"/>
          </rPr>
          <t>Author:</t>
        </r>
        <r>
          <rPr>
            <sz val="9"/>
            <color indexed="81"/>
            <rFont val="Tahoma"/>
            <family val="2"/>
          </rPr>
          <t xml:space="preserve">
9/12/13:  Simponi IV approved in EU</t>
        </r>
      </text>
    </comment>
    <comment ref="CA220" authorId="27" shapeId="0" xr:uid="{00000000-0006-0000-0200-00009E000000}">
      <text>
        <r>
          <rPr>
            <b/>
            <sz val="8"/>
            <color indexed="81"/>
            <rFont val="Tahoma"/>
            <family val="2"/>
          </rPr>
          <t>Author:</t>
        </r>
        <r>
          <rPr>
            <sz val="8"/>
            <color indexed="81"/>
            <rFont val="Tahoma"/>
            <family val="2"/>
          </rPr>
          <t xml:space="preserve">
Product0173/Remicade royalty increases to 50% from 50%</t>
        </r>
      </text>
    </comment>
    <comment ref="CO220" authorId="2" shapeId="0" xr:uid="{00000000-0006-0000-0200-00009F000000}">
      <text>
        <r>
          <rPr>
            <b/>
            <sz val="9"/>
            <color indexed="81"/>
            <rFont val="Tahoma"/>
            <family val="2"/>
          </rPr>
          <t>Author:</t>
        </r>
        <r>
          <rPr>
            <sz val="9"/>
            <color indexed="81"/>
            <rFont val="Tahoma"/>
            <family val="2"/>
          </rPr>
          <t xml:space="preserve">
timing of inv purchases from Japanese partner - mitsubishi</t>
        </r>
      </text>
    </comment>
    <comment ref="CU220" authorId="27" shapeId="0" xr:uid="{00000000-0006-0000-0200-0000A0000000}">
      <text>
        <r>
          <rPr>
            <b/>
            <sz val="8"/>
            <color indexed="81"/>
            <rFont val="Tahoma"/>
            <family val="2"/>
          </rPr>
          <t>Author:</t>
        </r>
        <r>
          <rPr>
            <sz val="8"/>
            <color indexed="81"/>
            <rFont val="Tahoma"/>
            <family val="2"/>
          </rPr>
          <t xml:space="preserve">
Product0173/Remicade royalty increases to 50% ongoing</t>
        </r>
      </text>
    </comment>
    <comment ref="EC220" authorId="15" shapeId="0" xr:uid="{21CBDA43-E259-41A4-9A3B-2588AB0E3661}">
      <text>
        <r>
          <rPr>
            <b/>
            <sz val="9"/>
            <color indexed="81"/>
            <rFont val="Tahoma"/>
            <family val="2"/>
          </rPr>
          <t>Author:</t>
        </r>
        <r>
          <rPr>
            <sz val="9"/>
            <color indexed="81"/>
            <rFont val="Tahoma"/>
            <family val="2"/>
          </rPr>
          <t xml:space="preserve">
3Q24 eps: return of distribution rights in EU</t>
        </r>
      </text>
    </comment>
    <comment ref="BL221" authorId="1" shapeId="0" xr:uid="{00000000-0006-0000-0200-0000A5000000}">
      <text>
        <r>
          <rPr>
            <b/>
            <sz val="8"/>
            <color indexed="81"/>
            <rFont val="Tahoma"/>
            <family val="2"/>
          </rPr>
          <t>Author:</t>
        </r>
        <r>
          <rPr>
            <sz val="8"/>
            <color indexed="81"/>
            <rFont val="Tahoma"/>
            <family val="2"/>
          </rPr>
          <t xml:space="preserve">
1.26.11. Simponi and Product0387 combined is &gt;$600mn</t>
        </r>
      </text>
    </comment>
    <comment ref="DO221" authorId="26" shapeId="0" xr:uid="{00000000-0006-0000-0200-0000A6000000}">
      <text>
        <r>
          <rPr>
            <b/>
            <sz val="9"/>
            <color indexed="81"/>
            <rFont val="Tahoma"/>
            <family val="2"/>
          </rPr>
          <t>Author:</t>
        </r>
        <r>
          <rPr>
            <sz val="9"/>
            <color indexed="81"/>
            <rFont val="Tahoma"/>
            <family val="2"/>
          </rPr>
          <t xml:space="preserve">
Cons: 2.4bn</t>
        </r>
      </text>
    </comment>
    <comment ref="BW224" authorId="21" shapeId="0" xr:uid="{00000000-0006-0000-0200-0000A8000000}">
      <text>
        <r>
          <rPr>
            <b/>
            <sz val="8"/>
            <color indexed="81"/>
            <rFont val="Tahoma"/>
            <family val="2"/>
          </rPr>
          <t>Author:</t>
        </r>
        <r>
          <rPr>
            <sz val="8"/>
            <color indexed="81"/>
            <rFont val="Tahoma"/>
            <family val="2"/>
          </rPr>
          <t xml:space="preserve">
4.16.13 operational growth, excluding medicaid rebates is 22%</t>
        </r>
      </text>
    </comment>
    <comment ref="CL224" authorId="2" shapeId="0" xr:uid="{00000000-0006-0000-0200-0000A9000000}">
      <text>
        <r>
          <rPr>
            <b/>
            <sz val="9"/>
            <color indexed="81"/>
            <rFont val="Tahoma"/>
            <family val="2"/>
          </rPr>
          <t>Author:</t>
        </r>
        <r>
          <rPr>
            <sz val="9"/>
            <color indexed="81"/>
            <rFont val="Tahoma"/>
            <family val="2"/>
          </rPr>
          <t xml:space="preserve">
GTN benefit of 16%</t>
        </r>
      </text>
    </comment>
    <comment ref="CQ224" authorId="2" shapeId="0" xr:uid="{00000000-0006-0000-0200-0000AA000000}">
      <text>
        <r>
          <rPr>
            <b/>
            <sz val="9"/>
            <color indexed="81"/>
            <rFont val="Tahoma"/>
            <family val="2"/>
          </rPr>
          <t>Author:</t>
        </r>
        <r>
          <rPr>
            <sz val="9"/>
            <color indexed="81"/>
            <rFont val="Tahoma"/>
            <family val="2"/>
          </rPr>
          <t xml:space="preserve">
20% excl PPA last 1Q with a base of $191mn</t>
        </r>
      </text>
    </comment>
    <comment ref="CR224" authorId="2" shapeId="0" xr:uid="{00000000-0006-0000-0200-0000AB000000}">
      <text>
        <r>
          <rPr>
            <b/>
            <sz val="9"/>
            <color indexed="81"/>
            <rFont val="Tahoma"/>
            <family val="2"/>
          </rPr>
          <t>Author:</t>
        </r>
        <r>
          <rPr>
            <sz val="9"/>
            <color indexed="81"/>
            <rFont val="Tahoma"/>
            <family val="2"/>
          </rPr>
          <t xml:space="preserve">
$22mn benefit in 2Q16
underlying implied growth of 21%</t>
        </r>
      </text>
    </comment>
    <comment ref="CD226" authorId="21" shapeId="0" xr:uid="{00000000-0006-0000-0200-0000AC000000}">
      <text>
        <r>
          <rPr>
            <b/>
            <sz val="9"/>
            <color indexed="81"/>
            <rFont val="Tahoma"/>
            <family val="2"/>
          </rPr>
          <t>Author:</t>
        </r>
        <r>
          <rPr>
            <sz val="9"/>
            <color indexed="81"/>
            <rFont val="Tahoma"/>
            <family val="2"/>
          </rPr>
          <t xml:space="preserve">
10.14.14:  tough comp</t>
        </r>
      </text>
    </comment>
    <comment ref="CJ226" authorId="2" shapeId="0" xr:uid="{00000000-0006-0000-0200-0000AD000000}">
      <text>
        <r>
          <rPr>
            <b/>
            <sz val="9"/>
            <color indexed="81"/>
            <rFont val="Tahoma"/>
            <family val="2"/>
          </rPr>
          <t>Author:</t>
        </r>
        <r>
          <rPr>
            <sz val="9"/>
            <color indexed="81"/>
            <rFont val="Tahoma"/>
            <family val="2"/>
          </rPr>
          <t xml:space="preserve">
lower sales to distribution partner</t>
        </r>
      </text>
    </comment>
    <comment ref="DP226" authorId="11" shapeId="0" xr:uid="{00000000-0006-0000-0200-0000AE000000}">
      <text>
        <r>
          <rPr>
            <b/>
            <sz val="9"/>
            <color indexed="81"/>
            <rFont val="Tahoma"/>
            <family val="2"/>
          </rPr>
          <t>Author:</t>
        </r>
        <r>
          <rPr>
            <sz val="9"/>
            <color indexed="81"/>
            <rFont val="Tahoma"/>
            <family val="2"/>
          </rPr>
          <t xml:space="preserve">
FX -5.7% per PR</t>
        </r>
      </text>
    </comment>
    <comment ref="DU226" authorId="5" shapeId="0" xr:uid="{6F69D43E-8457-4886-9C79-FFB95FA984C2}">
      <text>
        <r>
          <rPr>
            <b/>
            <sz val="9"/>
            <color indexed="81"/>
            <rFont val="Tahoma"/>
            <family val="2"/>
          </rPr>
          <t>Author:</t>
        </r>
        <r>
          <rPr>
            <sz val="9"/>
            <color indexed="81"/>
            <rFont val="Tahoma"/>
            <family val="2"/>
          </rPr>
          <t xml:space="preserve">
-7.9% Currency adj. as per PR</t>
        </r>
      </text>
    </comment>
    <comment ref="DV226" authorId="5" shapeId="0" xr:uid="{10E65FC9-4C8E-4509-B318-4EE0189386F5}">
      <text>
        <r>
          <rPr>
            <b/>
            <sz val="9"/>
            <color indexed="81"/>
            <rFont val="Tahoma"/>
            <family val="2"/>
          </rPr>
          <t>Author:</t>
        </r>
        <r>
          <rPr>
            <sz val="9"/>
            <color indexed="81"/>
            <rFont val="Tahoma"/>
            <family val="2"/>
          </rPr>
          <t xml:space="preserve">
As per 2Q23 PR</t>
        </r>
      </text>
    </comment>
    <comment ref="DW226" authorId="5" shapeId="0" xr:uid="{9B115EC4-6661-4A13-AC3C-ED67C54D94A4}">
      <text>
        <r>
          <rPr>
            <b/>
            <sz val="9"/>
            <color indexed="81"/>
            <rFont val="Tahoma"/>
            <family val="2"/>
          </rPr>
          <t>Author:</t>
        </r>
        <r>
          <rPr>
            <sz val="9"/>
            <color indexed="81"/>
            <rFont val="Tahoma"/>
            <family val="2"/>
          </rPr>
          <t xml:space="preserve">
As per 3Q23 PR</t>
        </r>
      </text>
    </comment>
    <comment ref="DX226" authorId="5" shapeId="0" xr:uid="{5553D4BE-F16E-4740-86E3-11A6B667A401}">
      <text>
        <r>
          <rPr>
            <b/>
            <sz val="9"/>
            <color indexed="81"/>
            <rFont val="Tahoma"/>
            <family val="2"/>
          </rPr>
          <t>Author:</t>
        </r>
        <r>
          <rPr>
            <sz val="9"/>
            <color indexed="81"/>
            <rFont val="Tahoma"/>
            <family val="2"/>
          </rPr>
          <t xml:space="preserve">
As per 4Q23 PR</t>
        </r>
      </text>
    </comment>
    <comment ref="CW227" authorId="8" shapeId="0" xr:uid="{00000000-0006-0000-0200-0000AF000000}">
      <text>
        <r>
          <rPr>
            <b/>
            <sz val="9"/>
            <color indexed="81"/>
            <rFont val="Tahoma"/>
            <family val="2"/>
          </rPr>
          <t>Author:</t>
        </r>
        <r>
          <rPr>
            <sz val="9"/>
            <color indexed="81"/>
            <rFont val="Tahoma"/>
            <family val="2"/>
          </rPr>
          <t xml:space="preserve">
2Q18: strength across major regions for expanded indications</t>
        </r>
      </text>
    </comment>
    <comment ref="B229" authorId="16" shapeId="0" xr:uid="{00000000-0006-0000-0200-0000B0000000}">
      <text>
        <r>
          <rPr>
            <b/>
            <sz val="8"/>
            <color indexed="81"/>
            <rFont val="Tahoma"/>
            <family val="2"/>
          </rPr>
          <t>Author:</t>
        </r>
        <r>
          <rPr>
            <sz val="8"/>
            <color indexed="81"/>
            <rFont val="Tahoma"/>
            <family val="2"/>
          </rPr>
          <t xml:space="preserve">
human IL-12,23 atnagonist approved for adult mod to severe plaque psoriasis, </t>
        </r>
      </text>
    </comment>
    <comment ref="BF230" authorId="28" shapeId="0" xr:uid="{00000000-0006-0000-0200-0000B1000000}">
      <text>
        <r>
          <rPr>
            <b/>
            <sz val="8"/>
            <color indexed="81"/>
            <rFont val="Tahoma"/>
            <family val="2"/>
          </rPr>
          <t>Author:</t>
        </r>
        <r>
          <rPr>
            <sz val="8"/>
            <color indexed="81"/>
            <rFont val="Tahoma"/>
            <family val="2"/>
          </rPr>
          <t xml:space="preserve">
5/27: PDUFA extended 3 months to October 2009.
9/25 approval (2 days) fully ready to roll out</t>
        </r>
      </text>
    </comment>
    <comment ref="CM230" authorId="2" shapeId="0" xr:uid="{00000000-0006-0000-0200-0000B2000000}">
      <text>
        <r>
          <rPr>
            <b/>
            <sz val="9"/>
            <color indexed="81"/>
            <rFont val="Tahoma"/>
            <family val="2"/>
          </rPr>
          <t>Author:</t>
        </r>
        <r>
          <rPr>
            <sz val="9"/>
            <color indexed="81"/>
            <rFont val="Tahoma"/>
            <family val="2"/>
          </rPr>
          <t xml:space="preserve">
included $42mn benefit from GTN adjustments</t>
        </r>
      </text>
    </comment>
    <comment ref="DB230" authorId="29" shapeId="0" xr:uid="{00000000-0006-0000-0200-0000B3000000}">
      <text>
        <r>
          <rPr>
            <b/>
            <sz val="9"/>
            <color indexed="81"/>
            <rFont val="Tahoma"/>
            <family val="2"/>
          </rPr>
          <t>Author:</t>
        </r>
        <r>
          <rPr>
            <sz val="9"/>
            <color indexed="81"/>
            <rFont val="Tahoma"/>
            <family val="2"/>
          </rPr>
          <t xml:space="preserve">
rounding</t>
        </r>
      </text>
    </comment>
    <comment ref="DN230" authorId="4" shapeId="0" xr:uid="{00000000-0006-0000-0200-0000B4000000}">
      <text>
        <r>
          <rPr>
            <b/>
            <sz val="9"/>
            <color indexed="81"/>
            <rFont val="Tahoma"/>
            <family val="2"/>
          </rPr>
          <t>Author:</t>
        </r>
        <r>
          <rPr>
            <sz val="9"/>
            <color indexed="81"/>
            <rFont val="Tahoma"/>
            <family val="2"/>
          </rPr>
          <t xml:space="preserve">
700bps of growth headwind due to adjustments for rebates and allowances in 4q20 and 4q21</t>
        </r>
      </text>
    </comment>
    <comment ref="DQ230" authorId="4" shapeId="0" xr:uid="{1BA705B3-0D1D-44AE-86F5-2765EC7A8C17}">
      <text>
        <r>
          <rPr>
            <b/>
            <sz val="9"/>
            <color indexed="81"/>
            <rFont val="Tahoma"/>
            <family val="2"/>
          </rPr>
          <t>Author:</t>
        </r>
        <r>
          <rPr>
            <sz val="9"/>
            <color indexed="81"/>
            <rFont val="Tahoma"/>
            <family val="2"/>
          </rPr>
          <t xml:space="preserve">
unfavorable adjustment impacting WW growth by  400bps </t>
        </r>
      </text>
    </comment>
    <comment ref="DR230" authorId="4" shapeId="0" xr:uid="{C8D8654F-FC73-4752-A16C-490BE7F28D2D}">
      <text>
        <r>
          <rPr>
            <b/>
            <sz val="9"/>
            <color indexed="81"/>
            <rFont val="Tahoma"/>
            <family val="2"/>
          </rPr>
          <t>Author:</t>
        </r>
        <r>
          <rPr>
            <sz val="9"/>
            <color indexed="81"/>
            <rFont val="Tahoma"/>
            <family val="2"/>
          </rPr>
          <t xml:space="preserve">
unfavorable adjustment worth ~600bps to WW growth</t>
        </r>
      </text>
    </comment>
    <comment ref="DS230" authorId="4" shapeId="0" xr:uid="{8B66B084-D01A-4A8D-89AE-72788014A4B0}">
      <text>
        <r>
          <rPr>
            <b/>
            <sz val="9"/>
            <color indexed="81"/>
            <rFont val="Tahoma"/>
            <family val="2"/>
          </rPr>
          <t>Author:</t>
        </r>
        <r>
          <rPr>
            <sz val="9"/>
            <color indexed="81"/>
            <rFont val="Tahoma"/>
            <family val="2"/>
          </rPr>
          <t xml:space="preserve">
favorable adjustment worth 460bps to WW growth</t>
        </r>
      </text>
    </comment>
    <comment ref="BE231" authorId="0" shapeId="0" xr:uid="{00000000-0006-0000-0200-0000B5000000}">
      <text>
        <r>
          <rPr>
            <b/>
            <sz val="8"/>
            <color indexed="81"/>
            <rFont val="Tahoma"/>
            <family val="2"/>
          </rPr>
          <t>Author:</t>
        </r>
        <r>
          <rPr>
            <sz val="8"/>
            <color indexed="81"/>
            <rFont val="Tahoma"/>
            <family val="2"/>
          </rPr>
          <t xml:space="preserve">
patient share stelara #1 biologic for new patient share, new to biologic. 
Month 7 stelara share over 14.3%, compared to Product0191 7%. 
Canada, EU (all markets but some awaiting reimbursement, such as) UK germ fin den aust and neth). </t>
        </r>
      </text>
    </comment>
    <comment ref="EB231" authorId="15" shapeId="0" xr:uid="{7A109CC0-241B-4F1D-B7E5-628088CBAEB4}">
      <text>
        <r>
          <rPr>
            <b/>
            <sz val="9"/>
            <color indexed="81"/>
            <rFont val="Tahoma"/>
            <family val="2"/>
          </rPr>
          <t>Author:</t>
        </r>
        <r>
          <rPr>
            <sz val="9"/>
            <color indexed="81"/>
            <rFont val="Tahoma"/>
            <family val="2"/>
          </rPr>
          <t xml:space="preserve">
2Q24 EPS: limited OUS sales with bump up in 4Q
3Q24: EU Biosims entered in July (i.e. halfway through the q)
4Q more aggressive than 3Q
</t>
        </r>
      </text>
    </comment>
    <comment ref="EG231" authorId="15" shapeId="0" xr:uid="{0BD80BBE-8E15-4340-B739-3AB4A9FEDCF1}">
      <text>
        <r>
          <rPr>
            <b/>
            <sz val="9"/>
            <color indexed="81"/>
            <rFont val="Tahoma"/>
            <family val="2"/>
          </rPr>
          <t>Author:</t>
        </r>
        <r>
          <rPr>
            <sz val="9"/>
            <color indexed="81"/>
            <rFont val="Tahoma"/>
            <family val="2"/>
          </rPr>
          <t xml:space="preserve">
2Q24 EPS: limited OUS sales with bump up in 4Q
3Q24: EU Biosims entered in July (i.e. halfway through the q)
4Q more aggressive than 3Q
</t>
        </r>
      </text>
    </comment>
    <comment ref="A232" authorId="16" shapeId="0" xr:uid="{00000000-0006-0000-0200-0000B6000000}">
      <text>
        <r>
          <rPr>
            <b/>
            <sz val="8"/>
            <color indexed="81"/>
            <rFont val="Tahoma"/>
            <family val="2"/>
          </rPr>
          <t>Author:</t>
        </r>
        <r>
          <rPr>
            <sz val="8"/>
            <color indexed="81"/>
            <rFont val="Tahoma"/>
            <family val="2"/>
          </rPr>
          <t xml:space="preserve">
human IL-12,23 atnagonist approved for adult mod to severe plaque psoriasis, </t>
        </r>
      </text>
    </comment>
    <comment ref="DE232" authorId="9" shapeId="0" xr:uid="{00000000-0006-0000-0200-0000B7000000}">
      <text>
        <r>
          <rPr>
            <b/>
            <sz val="9"/>
            <color indexed="81"/>
            <rFont val="Tahoma"/>
            <family val="2"/>
          </rPr>
          <t>Author:</t>
        </r>
        <r>
          <rPr>
            <sz val="9"/>
            <color indexed="81"/>
            <rFont val="Tahoma"/>
            <family val="2"/>
          </rPr>
          <t xml:space="preserve">
Cons 5.9, 6.2</t>
        </r>
      </text>
    </comment>
    <comment ref="BW235" authorId="21" shapeId="0" xr:uid="{00000000-0006-0000-0200-0000B8000000}">
      <text>
        <r>
          <rPr>
            <b/>
            <sz val="8"/>
            <color indexed="81"/>
            <rFont val="Tahoma"/>
            <family val="2"/>
          </rPr>
          <t>Author:</t>
        </r>
        <r>
          <rPr>
            <sz val="8"/>
            <color indexed="81"/>
            <rFont val="Tahoma"/>
            <family val="2"/>
          </rPr>
          <t xml:space="preserve">
4.16.13 operational growth, excluding medicaid rebates is 57%</t>
        </r>
      </text>
    </comment>
    <comment ref="CL235" authorId="2" shapeId="0" xr:uid="{00000000-0006-0000-0200-0000B9000000}">
      <text>
        <r>
          <rPr>
            <b/>
            <sz val="9"/>
            <color indexed="81"/>
            <rFont val="Tahoma"/>
            <family val="2"/>
          </rPr>
          <t>Author:</t>
        </r>
        <r>
          <rPr>
            <sz val="9"/>
            <color indexed="81"/>
            <rFont val="Tahoma"/>
            <family val="2"/>
          </rPr>
          <t xml:space="preserve">
24% underlying growth; 16% benefit from managed medicaid rebates </t>
        </r>
      </text>
    </comment>
    <comment ref="CQ235" authorId="2" shapeId="0" xr:uid="{00000000-0006-0000-0200-0000BA000000}">
      <text>
        <r>
          <rPr>
            <b/>
            <sz val="9"/>
            <color indexed="81"/>
            <rFont val="Tahoma"/>
            <family val="2"/>
          </rPr>
          <t>Author:</t>
        </r>
        <r>
          <rPr>
            <sz val="9"/>
            <color indexed="81"/>
            <rFont val="Tahoma"/>
            <family val="2"/>
          </rPr>
          <t xml:space="preserve">
40% growth excl 1Q PPA benefit in 2016</t>
        </r>
      </text>
    </comment>
    <comment ref="CR235" authorId="2" shapeId="0" xr:uid="{00000000-0006-0000-0200-0000BB000000}">
      <text>
        <r>
          <rPr>
            <b/>
            <sz val="9"/>
            <color indexed="81"/>
            <rFont val="Tahoma"/>
            <family val="2"/>
          </rPr>
          <t>Author:</t>
        </r>
        <r>
          <rPr>
            <sz val="9"/>
            <color indexed="81"/>
            <rFont val="Tahoma"/>
            <family val="2"/>
          </rPr>
          <t xml:space="preserve">
$39mn benefit in 2Q; 21.5% underlying growth; CD uptake - conversion from remicade
</t>
        </r>
      </text>
    </comment>
    <comment ref="DA235" authorId="10" shapeId="0" xr:uid="{00000000-0006-0000-0200-0000BC000000}">
      <text>
        <r>
          <rPr>
            <b/>
            <sz val="9"/>
            <color indexed="81"/>
            <rFont val="Tahoma"/>
            <family val="2"/>
          </rPr>
          <t>Author:</t>
        </r>
        <r>
          <rPr>
            <sz val="9"/>
            <color indexed="81"/>
            <rFont val="Tahoma"/>
            <family val="2"/>
          </rPr>
          <t xml:space="preserve">
+400 bp impact due to prior period adjustmetns; op growth ~31%
US CD market share +8% yoy</t>
        </r>
      </text>
    </comment>
    <comment ref="DE235" authorId="4" shapeId="0" xr:uid="{00000000-0006-0000-0200-0000BD000000}">
      <text>
        <r>
          <rPr>
            <b/>
            <sz val="9"/>
            <color indexed="81"/>
            <rFont val="Tahoma"/>
            <family val="2"/>
          </rPr>
          <t>Author:</t>
        </r>
        <r>
          <rPr>
            <sz val="9"/>
            <color indexed="81"/>
            <rFont val="Tahoma"/>
            <family val="2"/>
          </rPr>
          <t xml:space="preserve">
UC approval</t>
        </r>
      </text>
    </comment>
    <comment ref="DP237" authorId="11" shapeId="0" xr:uid="{00000000-0006-0000-0200-0000BE000000}">
      <text>
        <r>
          <rPr>
            <b/>
            <sz val="9"/>
            <color indexed="81"/>
            <rFont val="Tahoma"/>
            <family val="2"/>
          </rPr>
          <t>Author:</t>
        </r>
        <r>
          <rPr>
            <sz val="9"/>
            <color indexed="81"/>
            <rFont val="Tahoma"/>
            <family val="2"/>
          </rPr>
          <t xml:space="preserve">
FX -6.6% per PR</t>
        </r>
      </text>
    </comment>
    <comment ref="DQ237" authorId="11" shapeId="0" xr:uid="{00000000-0006-0000-0200-0000BF000000}">
      <text>
        <r>
          <rPr>
            <b/>
            <sz val="9"/>
            <color indexed="81"/>
            <rFont val="Tahoma"/>
            <family val="2"/>
          </rPr>
          <t>Author:</t>
        </r>
        <r>
          <rPr>
            <sz val="9"/>
            <color indexed="81"/>
            <rFont val="Tahoma"/>
            <family val="2"/>
          </rPr>
          <t xml:space="preserve">
FX -12.4% per PR</t>
        </r>
      </text>
    </comment>
    <comment ref="DR237" authorId="11" shapeId="0" xr:uid="{1CEA1A5B-815D-4D5A-8BF7-C9853BE59F10}">
      <text>
        <r>
          <rPr>
            <b/>
            <sz val="9"/>
            <color indexed="81"/>
            <rFont val="Tahoma"/>
            <family val="2"/>
          </rPr>
          <t>Author:</t>
        </r>
        <r>
          <rPr>
            <sz val="9"/>
            <color indexed="81"/>
            <rFont val="Tahoma"/>
            <family val="2"/>
          </rPr>
          <t xml:space="preserve">
FX -14.8% per PR</t>
        </r>
      </text>
    </comment>
    <comment ref="DS237" authorId="14" shapeId="0" xr:uid="{CE7B0EE2-4EF8-4FB7-BBBF-BA52EDF10EEA}">
      <text>
        <r>
          <rPr>
            <b/>
            <sz val="9"/>
            <color indexed="81"/>
            <rFont val="Tahoma"/>
            <family val="2"/>
          </rPr>
          <t>Author:</t>
        </r>
        <r>
          <rPr>
            <sz val="9"/>
            <color indexed="81"/>
            <rFont val="Tahoma"/>
            <family val="2"/>
          </rPr>
          <t xml:space="preserve">
-11.6% FX per PR</t>
        </r>
      </text>
    </comment>
    <comment ref="DU237" authorId="5" shapeId="0" xr:uid="{F83D00BA-D857-4888-8F72-72258778E3D7}">
      <text>
        <r>
          <rPr>
            <b/>
            <sz val="9"/>
            <color indexed="81"/>
            <rFont val="Tahoma"/>
            <family val="2"/>
          </rPr>
          <t>Author:</t>
        </r>
        <r>
          <rPr>
            <sz val="9"/>
            <color indexed="81"/>
            <rFont val="Tahoma"/>
            <family val="2"/>
          </rPr>
          <t xml:space="preserve">
-6.9% Currency adj. as per PR</t>
        </r>
      </text>
    </comment>
    <comment ref="DV237" authorId="5" shapeId="0" xr:uid="{AE04F5DF-EEB5-42D7-9A74-09B5953767F5}">
      <text>
        <r>
          <rPr>
            <b/>
            <sz val="9"/>
            <color indexed="81"/>
            <rFont val="Tahoma"/>
            <family val="2"/>
          </rPr>
          <t>Author:</t>
        </r>
        <r>
          <rPr>
            <sz val="9"/>
            <color indexed="81"/>
            <rFont val="Tahoma"/>
            <family val="2"/>
          </rPr>
          <t xml:space="preserve">
-1.1% Currency adj. as per PR</t>
        </r>
      </text>
    </comment>
    <comment ref="DW237" authorId="5" shapeId="0" xr:uid="{95F7E11B-C9A7-42F2-956F-2C9115846865}">
      <text>
        <r>
          <rPr>
            <b/>
            <sz val="9"/>
            <color indexed="81"/>
            <rFont val="Tahoma"/>
            <family val="2"/>
          </rPr>
          <t>Author:</t>
        </r>
        <r>
          <rPr>
            <sz val="9"/>
            <color indexed="81"/>
            <rFont val="Tahoma"/>
            <family val="2"/>
          </rPr>
          <t xml:space="preserve">
As per 3Q23 PR</t>
        </r>
      </text>
    </comment>
    <comment ref="DX237" authorId="5" shapeId="0" xr:uid="{7B9CAEDA-AD8D-44EE-9415-4E209673E700}">
      <text>
        <r>
          <rPr>
            <b/>
            <sz val="9"/>
            <color indexed="81"/>
            <rFont val="Tahoma"/>
            <family val="2"/>
          </rPr>
          <t>Author:</t>
        </r>
        <r>
          <rPr>
            <sz val="9"/>
            <color indexed="81"/>
            <rFont val="Tahoma"/>
            <family val="2"/>
          </rPr>
          <t xml:space="preserve">
As per 3Q23 PR</t>
        </r>
      </text>
    </comment>
    <comment ref="DA238" authorId="10" shapeId="0" xr:uid="{00000000-0006-0000-0200-0000C0000000}">
      <text>
        <r>
          <rPr>
            <b/>
            <sz val="9"/>
            <color indexed="81"/>
            <rFont val="Tahoma"/>
            <family val="2"/>
          </rPr>
          <t>Author:</t>
        </r>
        <r>
          <rPr>
            <sz val="9"/>
            <color indexed="81"/>
            <rFont val="Tahoma"/>
            <family val="2"/>
          </rPr>
          <t xml:space="preserve">
growth driven by CD indication
prior period of pricing adjustments for REMICADE and PRODUCT0387 had a favorable impact on their growth by about 400 and 500 basis points, respectively, resulting in underlying global performance of a 23% decline in REMICADE and 31% growth of PRODUCT0387.</t>
        </r>
      </text>
    </comment>
    <comment ref="CS241" authorId="10" shapeId="0" xr:uid="{00000000-0006-0000-0200-0000C2000000}">
      <text>
        <r>
          <rPr>
            <b/>
            <sz val="9"/>
            <color indexed="81"/>
            <rFont val="Tahoma"/>
            <family val="2"/>
          </rPr>
          <t>Author:</t>
        </r>
        <r>
          <rPr>
            <sz val="9"/>
            <color indexed="81"/>
            <rFont val="Tahoma"/>
            <family val="2"/>
          </rPr>
          <t xml:space="preserve">
not reported but 4Q17 / FY17 were reclassified in 4Q18 results</t>
        </r>
      </text>
    </comment>
    <comment ref="CU241" authorId="10" shapeId="0" xr:uid="{00000000-0006-0000-0200-0000C3000000}">
      <text>
        <r>
          <rPr>
            <b/>
            <sz val="9"/>
            <color indexed="81"/>
            <rFont val="Tahoma"/>
            <family val="2"/>
          </rPr>
          <t>Author:</t>
        </r>
        <r>
          <rPr>
            <sz val="9"/>
            <color indexed="81"/>
            <rFont val="Tahoma"/>
            <family val="2"/>
          </rPr>
          <t xml:space="preserve">
62</t>
        </r>
      </text>
    </comment>
    <comment ref="CX241" authorId="8" shapeId="0" xr:uid="{00000000-0006-0000-0200-0000C4000000}">
      <text>
        <r>
          <rPr>
            <b/>
            <sz val="9"/>
            <color indexed="81"/>
            <rFont val="Tahoma"/>
            <family val="2"/>
          </rPr>
          <t>Author:</t>
        </r>
        <r>
          <rPr>
            <sz val="9"/>
            <color indexed="81"/>
            <rFont val="Tahoma"/>
            <family val="2"/>
          </rPr>
          <t xml:space="preserve">
5.8% share of the psoriasis market</t>
        </r>
      </text>
    </comment>
    <comment ref="CY241" authorId="10" shapeId="0" xr:uid="{00000000-0006-0000-0200-0000C5000000}">
      <text>
        <r>
          <rPr>
            <b/>
            <sz val="9"/>
            <color indexed="81"/>
            <rFont val="Tahoma"/>
            <family val="2"/>
          </rPr>
          <t>Author:</t>
        </r>
        <r>
          <rPr>
            <sz val="9"/>
            <color indexed="81"/>
            <rFont val="Tahoma"/>
            <family val="2"/>
          </rPr>
          <t xml:space="preserve">
reclassified in FY2018 Financials for prior period (allocated from Other immunology)</t>
        </r>
      </text>
    </comment>
    <comment ref="DA241" authorId="10" shapeId="0" xr:uid="{00000000-0006-0000-0200-0000C6000000}">
      <text>
        <r>
          <rPr>
            <b/>
            <sz val="9"/>
            <color indexed="81"/>
            <rFont val="Tahoma"/>
            <family val="2"/>
          </rPr>
          <t>Author:</t>
        </r>
        <r>
          <rPr>
            <sz val="9"/>
            <color indexed="81"/>
            <rFont val="Tahoma"/>
            <family val="2"/>
          </rPr>
          <t xml:space="preserve">
~6.9% share of the psoriasis market in the US (+4pts yoy)</t>
        </r>
      </text>
    </comment>
    <comment ref="DQ241" authorId="4" shapeId="0" xr:uid="{CA32DF3C-EA26-412E-ACD6-31C259D6F4D0}">
      <text>
        <r>
          <rPr>
            <b/>
            <sz val="9"/>
            <color indexed="81"/>
            <rFont val="Tahoma"/>
            <family val="2"/>
          </rPr>
          <t>Author:</t>
        </r>
        <r>
          <rPr>
            <sz val="9"/>
            <color indexed="81"/>
            <rFont val="Tahoma"/>
            <family val="2"/>
          </rPr>
          <t xml:space="preserve">
unfavorable adjustment of 750bps to WW growth</t>
        </r>
      </text>
    </comment>
    <comment ref="DS241" authorId="4" shapeId="0" xr:uid="{7D1DDD03-1C52-44B5-9057-2F25F7964559}">
      <text>
        <r>
          <rPr>
            <b/>
            <sz val="9"/>
            <color indexed="81"/>
            <rFont val="Tahoma"/>
            <family val="2"/>
          </rPr>
          <t>Author:</t>
        </r>
        <r>
          <rPr>
            <sz val="9"/>
            <color indexed="81"/>
            <rFont val="Tahoma"/>
            <family val="2"/>
          </rPr>
          <t xml:space="preserve">
unfavorable adjustmetn worth 1,150bps to WW growth</t>
        </r>
      </text>
    </comment>
    <comment ref="DT241" authorId="9" shapeId="0" xr:uid="{00000000-0006-0000-0200-0000C7000000}">
      <text>
        <r>
          <rPr>
            <b/>
            <sz val="9"/>
            <color indexed="81"/>
            <rFont val="Tahoma"/>
            <family val="2"/>
          </rPr>
          <t>Author:</t>
        </r>
        <r>
          <rPr>
            <sz val="9"/>
            <color indexed="81"/>
            <rFont val="Tahoma"/>
            <family val="2"/>
          </rPr>
          <t xml:space="preserve">
CD</t>
        </r>
      </text>
    </comment>
    <comment ref="CV243" authorId="8" shapeId="0" xr:uid="{00000000-0006-0000-0200-0000C9000000}">
      <text>
        <r>
          <rPr>
            <b/>
            <sz val="9"/>
            <color indexed="81"/>
            <rFont val="Tahoma"/>
            <family val="2"/>
          </rPr>
          <t>Author:</t>
        </r>
        <r>
          <rPr>
            <sz val="9"/>
            <color indexed="81"/>
            <rFont val="Tahoma"/>
            <family val="2"/>
          </rPr>
          <t xml:space="preserve">
1Q18: $72mn</t>
        </r>
      </text>
    </comment>
    <comment ref="CW243" authorId="8" shapeId="0" xr:uid="{00000000-0006-0000-0200-0000CA000000}">
      <text>
        <r>
          <rPr>
            <b/>
            <sz val="9"/>
            <color indexed="81"/>
            <rFont val="Tahoma"/>
            <family val="2"/>
          </rPr>
          <t>Author:</t>
        </r>
        <r>
          <rPr>
            <sz val="9"/>
            <color indexed="81"/>
            <rFont val="Tahoma"/>
            <family val="2"/>
          </rPr>
          <t xml:space="preserve">
2Q18: $126mn</t>
        </r>
      </text>
    </comment>
    <comment ref="CX243" authorId="8" shapeId="0" xr:uid="{00000000-0006-0000-0200-0000CB000000}">
      <text>
        <r>
          <rPr>
            <b/>
            <sz val="9"/>
            <color indexed="81"/>
            <rFont val="Tahoma"/>
            <family val="2"/>
          </rPr>
          <t>Author:</t>
        </r>
        <r>
          <rPr>
            <sz val="9"/>
            <color indexed="81"/>
            <rFont val="Tahoma"/>
            <family val="2"/>
          </rPr>
          <t xml:space="preserve">
3Q18: 171mn</t>
        </r>
      </text>
    </comment>
    <comment ref="DE243" authorId="10" shapeId="0" xr:uid="{00000000-0006-0000-0200-0000CC000000}">
      <text>
        <r>
          <rPr>
            <b/>
            <sz val="9"/>
            <color indexed="81"/>
            <rFont val="Tahoma"/>
            <family val="2"/>
          </rPr>
          <t>Author:</t>
        </r>
        <r>
          <rPr>
            <sz val="9"/>
            <color indexed="81"/>
            <rFont val="Tahoma"/>
            <family val="2"/>
          </rPr>
          <t xml:space="preserve">
cons 963</t>
        </r>
      </text>
    </comment>
    <comment ref="DT243" authorId="9" shapeId="0" xr:uid="{00000000-0006-0000-0200-0000CD000000}">
      <text>
        <r>
          <rPr>
            <b/>
            <sz val="9"/>
            <color indexed="81"/>
            <rFont val="Tahoma"/>
            <family val="2"/>
          </rPr>
          <t>Author:</t>
        </r>
        <r>
          <rPr>
            <sz val="9"/>
            <color indexed="81"/>
            <rFont val="Tahoma"/>
            <family val="2"/>
          </rPr>
          <t xml:space="preserve">
Cons 2.1</t>
        </r>
      </text>
    </comment>
    <comment ref="DA248" authorId="10" shapeId="0" xr:uid="{00000000-0006-0000-0200-0000CE000000}">
      <text>
        <r>
          <rPr>
            <b/>
            <sz val="9"/>
            <color indexed="81"/>
            <rFont val="Tahoma"/>
            <family val="2"/>
          </rPr>
          <t>Author:</t>
        </r>
        <r>
          <rPr>
            <sz val="9"/>
            <color indexed="81"/>
            <rFont val="Tahoma"/>
            <family val="2"/>
          </rPr>
          <t xml:space="preserve">
* not material</t>
        </r>
      </text>
    </comment>
    <comment ref="DP248" authorId="11" shapeId="0" xr:uid="{00000000-0006-0000-0200-0000CF000000}">
      <text>
        <r>
          <rPr>
            <b/>
            <sz val="9"/>
            <color indexed="81"/>
            <rFont val="Tahoma"/>
            <family val="2"/>
          </rPr>
          <t>Author:</t>
        </r>
        <r>
          <rPr>
            <sz val="9"/>
            <color indexed="81"/>
            <rFont val="Tahoma"/>
            <family val="2"/>
          </rPr>
          <t xml:space="preserve">
FX -9.1% per PR</t>
        </r>
      </text>
    </comment>
    <comment ref="DQ248" authorId="11" shapeId="0" xr:uid="{00000000-0006-0000-0200-0000D0000000}">
      <text>
        <r>
          <rPr>
            <b/>
            <sz val="9"/>
            <color indexed="81"/>
            <rFont val="Tahoma"/>
            <family val="2"/>
          </rPr>
          <t>Author:</t>
        </r>
        <r>
          <rPr>
            <sz val="9"/>
            <color indexed="81"/>
            <rFont val="Tahoma"/>
            <family val="2"/>
          </rPr>
          <t xml:space="preserve">
FX -16.3% per PR</t>
        </r>
      </text>
    </comment>
    <comment ref="DR248" authorId="11" shapeId="0" xr:uid="{90CD2DDE-0715-4019-96CF-0EE9B217567C}">
      <text>
        <r>
          <rPr>
            <b/>
            <sz val="9"/>
            <color indexed="81"/>
            <rFont val="Tahoma"/>
            <family val="2"/>
          </rPr>
          <t>Author:</t>
        </r>
        <r>
          <rPr>
            <sz val="9"/>
            <color indexed="81"/>
            <rFont val="Tahoma"/>
            <family val="2"/>
          </rPr>
          <t xml:space="preserve">
FX -19.9% per PR</t>
        </r>
      </text>
    </comment>
    <comment ref="DS248" authorId="14" shapeId="0" xr:uid="{7B771655-1322-4EB4-A784-B4CD52807B77}">
      <text>
        <r>
          <rPr>
            <b/>
            <sz val="9"/>
            <color indexed="81"/>
            <rFont val="Tahoma"/>
            <family val="2"/>
          </rPr>
          <t>Author:</t>
        </r>
        <r>
          <rPr>
            <sz val="9"/>
            <color indexed="81"/>
            <rFont val="Tahoma"/>
            <family val="2"/>
          </rPr>
          <t xml:space="preserve">
-17.0% FX per PR</t>
        </r>
      </text>
    </comment>
    <comment ref="DU248" authorId="5" shapeId="0" xr:uid="{591563EB-67C0-4AF9-A3D8-77DD306BD31D}">
      <text>
        <r>
          <rPr>
            <b/>
            <sz val="9"/>
            <color indexed="81"/>
            <rFont val="Tahoma"/>
            <family val="2"/>
          </rPr>
          <t>Author:</t>
        </r>
        <r>
          <rPr>
            <sz val="9"/>
            <color indexed="81"/>
            <rFont val="Tahoma"/>
            <family val="2"/>
          </rPr>
          <t xml:space="preserve">
-7.6% Currency adj. as per PR</t>
        </r>
      </text>
    </comment>
    <comment ref="DV248" authorId="5" shapeId="0" xr:uid="{4BA2D09D-84E9-48AC-A4DD-A6F962E30912}">
      <text>
        <r>
          <rPr>
            <b/>
            <sz val="9"/>
            <color indexed="81"/>
            <rFont val="Tahoma"/>
            <family val="2"/>
          </rPr>
          <t>Author:</t>
        </r>
        <r>
          <rPr>
            <sz val="9"/>
            <color indexed="81"/>
            <rFont val="Tahoma"/>
            <family val="2"/>
          </rPr>
          <t xml:space="preserve">
-1.6% Currency adj. as per PR</t>
        </r>
      </text>
    </comment>
    <comment ref="DW248" authorId="5" shapeId="0" xr:uid="{310A14F9-58B8-4C7E-9678-AB50C38C2AD1}">
      <text>
        <r>
          <rPr>
            <b/>
            <sz val="9"/>
            <color indexed="81"/>
            <rFont val="Tahoma"/>
            <family val="2"/>
          </rPr>
          <t>Author:</t>
        </r>
        <r>
          <rPr>
            <sz val="9"/>
            <color indexed="81"/>
            <rFont val="Tahoma"/>
            <family val="2"/>
          </rPr>
          <t xml:space="preserve">
As per 3Q23 PR</t>
        </r>
      </text>
    </comment>
    <comment ref="DG264" authorId="13" shapeId="0" xr:uid="{00000000-0006-0000-0200-0000D1000000}">
      <text>
        <r>
          <rPr>
            <b/>
            <sz val="9"/>
            <color indexed="81"/>
            <rFont val="Tahoma"/>
            <family val="2"/>
          </rPr>
          <t>Author:</t>
        </r>
        <r>
          <rPr>
            <sz val="9"/>
            <color indexed="81"/>
            <rFont val="Tahoma"/>
            <family val="2"/>
          </rPr>
          <t xml:space="preserve">
</t>
        </r>
      </text>
    </comment>
    <comment ref="DE265" authorId="10" shapeId="0" xr:uid="{00000000-0006-0000-0200-0000D2000000}">
      <text>
        <r>
          <rPr>
            <b/>
            <sz val="9"/>
            <color indexed="81"/>
            <rFont val="Tahoma"/>
            <family val="2"/>
          </rPr>
          <t>Author:</t>
        </r>
        <r>
          <rPr>
            <sz val="9"/>
            <color indexed="81"/>
            <rFont val="Tahoma"/>
            <family val="2"/>
          </rPr>
          <t xml:space="preserve">
cons 6.2</t>
        </r>
      </text>
    </comment>
    <comment ref="BW268" authorId="21" shapeId="0" xr:uid="{00000000-0006-0000-0200-0000D3000000}">
      <text>
        <r>
          <rPr>
            <b/>
            <sz val="8"/>
            <color indexed="81"/>
            <rFont val="Tahoma"/>
            <family val="2"/>
          </rPr>
          <t>Author:</t>
        </r>
        <r>
          <rPr>
            <sz val="8"/>
            <color indexed="81"/>
            <rFont val="Tahoma"/>
            <family val="2"/>
          </rPr>
          <t xml:space="preserve">
4.16.13 Excluding the managed Medicaid adjustment, which is primarily related to Product0401 and CONCERTA, US sales declined approximately 2%, impacted
by generic competition primarily for CONCERTA and Product0123</t>
        </r>
      </text>
    </comment>
    <comment ref="DU270" authorId="5" shapeId="0" xr:uid="{9FE448AE-90AC-4BB3-8968-D347211A50AD}">
      <text>
        <r>
          <rPr>
            <b/>
            <sz val="9"/>
            <color indexed="81"/>
            <rFont val="Tahoma"/>
            <family val="2"/>
          </rPr>
          <t>Author:</t>
        </r>
        <r>
          <rPr>
            <sz val="9"/>
            <color indexed="81"/>
            <rFont val="Tahoma"/>
            <family val="2"/>
          </rPr>
          <t xml:space="preserve">
-5.0% Currency adj. as per PR</t>
        </r>
      </text>
    </comment>
    <comment ref="DV270" authorId="5" shapeId="0" xr:uid="{70604911-9C34-4D0E-B1B5-6CEAB649B22C}">
      <text>
        <r>
          <rPr>
            <b/>
            <sz val="9"/>
            <color indexed="81"/>
            <rFont val="Tahoma"/>
            <family val="2"/>
          </rPr>
          <t>Author:</t>
        </r>
        <r>
          <rPr>
            <sz val="9"/>
            <color indexed="81"/>
            <rFont val="Tahoma"/>
            <family val="2"/>
          </rPr>
          <t xml:space="preserve">
As per 2Q23 PR</t>
        </r>
      </text>
    </comment>
    <comment ref="DW270" authorId="5" shapeId="0" xr:uid="{C1F3A19D-375F-4CEA-B109-04222C4C07C2}">
      <text>
        <r>
          <rPr>
            <b/>
            <sz val="9"/>
            <color indexed="81"/>
            <rFont val="Tahoma"/>
            <family val="2"/>
          </rPr>
          <t>Author:</t>
        </r>
        <r>
          <rPr>
            <sz val="9"/>
            <color indexed="81"/>
            <rFont val="Tahoma"/>
            <family val="2"/>
          </rPr>
          <t xml:space="preserve">
As per 3Q23 PR</t>
        </r>
      </text>
    </comment>
    <comment ref="DX270" authorId="5" shapeId="0" xr:uid="{EEB845A8-9424-4A09-8349-3EFF62B58EFB}">
      <text>
        <r>
          <rPr>
            <b/>
            <sz val="9"/>
            <color indexed="81"/>
            <rFont val="Tahoma"/>
            <family val="2"/>
          </rPr>
          <t>Author:</t>
        </r>
        <r>
          <rPr>
            <sz val="9"/>
            <color indexed="81"/>
            <rFont val="Tahoma"/>
            <family val="2"/>
          </rPr>
          <t xml:space="preserve">
As per 4Q23 PR</t>
        </r>
      </text>
    </comment>
    <comment ref="B273" authorId="0" shapeId="0" xr:uid="{00000000-0006-0000-0200-0000D4000000}">
      <text>
        <r>
          <rPr>
            <b/>
            <sz val="8"/>
            <color indexed="81"/>
            <rFont val="Tahoma"/>
            <family val="2"/>
          </rPr>
          <t>Author:</t>
        </r>
        <r>
          <rPr>
            <sz val="8"/>
            <color indexed="81"/>
            <rFont val="Tahoma"/>
            <family val="2"/>
          </rPr>
          <t xml:space="preserve">
1.14.2009
Extended release methylphenidate-based product dosed once daily. Citizens petition granted to extend exclusivity to 2012. Product0026 XR (market leader) loses pediatric exclusivity Jan 21, 2009. Settled with Company0366 for April, 1, 2009 launch and Product0043 for Jan 1, 2010 launch. Newer methylphenidate -based products gaining share. Both Product0028 XR and Concerta are 1x/day meds. Sounds like patient share for concerta where well-tolerated and effective will be sticky. 
Comparison with Product0028 XR-once daily extended release amphetamine based. Are amphetamines and methyphenidates interchangeable?Both amphetamine salts have same MoA. 1) Product0028 XR makes patients a bit less jumpy (check if trial evidence). 2) Methylphenidate XR is current generic for Concerta, and is 1-2 tiers lower. Private payors often require generic failure prior to Concerta or Product0028 XR. 3) If Concerta well-tolerated and effective in patient, Person1226 wouldn't switch. Unlike schizophrenia, not as many disease eruptions that may be perceived as treatment failure and hence opportunity to switch meds (when in fact just volatile nature of disease).  4) Private payors not allowed to require that docs switch to generic Product0027 XR if patient already being treated and insured for Concerta. </t>
        </r>
      </text>
    </comment>
    <comment ref="B274" authorId="24" shapeId="0" xr:uid="{00000000-0006-0000-0200-0000D5000000}">
      <text>
        <r>
          <rPr>
            <b/>
            <sz val="8"/>
            <color indexed="81"/>
            <rFont val="Tahoma"/>
            <family val="2"/>
          </rPr>
          <t>Author:</t>
        </r>
        <r>
          <rPr>
            <sz val="8"/>
            <color indexed="81"/>
            <rFont val="Tahoma"/>
            <family val="2"/>
          </rPr>
          <t xml:space="preserve">
COM Expired 3/04</t>
        </r>
      </text>
    </comment>
    <comment ref="BL274" authorId="0" shapeId="0" xr:uid="{00000000-0006-0000-0200-0000D6000000}">
      <text>
        <r>
          <rPr>
            <b/>
            <sz val="8"/>
            <color indexed="81"/>
            <rFont val="Tahoma"/>
            <family val="2"/>
          </rPr>
          <t>Author:</t>
        </r>
        <r>
          <rPr>
            <sz val="8"/>
            <color indexed="81"/>
            <rFont val="Tahoma"/>
            <family val="2"/>
          </rPr>
          <t xml:space="preserve">
1.26.2010-mgmt 2010 guidance assumes no generic Concerta launch</t>
        </r>
      </text>
    </comment>
    <comment ref="CJ274" authorId="2" shapeId="0" xr:uid="{00000000-0006-0000-0200-0000D7000000}">
      <text>
        <r>
          <rPr>
            <b/>
            <sz val="9"/>
            <color indexed="81"/>
            <rFont val="Tahoma"/>
            <family val="2"/>
          </rPr>
          <t>Author:</t>
        </r>
        <r>
          <rPr>
            <sz val="9"/>
            <color indexed="81"/>
            <rFont val="Tahoma"/>
            <family val="2"/>
          </rPr>
          <t xml:space="preserve">
benefit from reclassification of generics</t>
        </r>
      </text>
    </comment>
    <comment ref="CV274" authorId="8" shapeId="0" xr:uid="{00000000-0006-0000-0200-0000D8000000}">
      <text>
        <r>
          <rPr>
            <b/>
            <sz val="9"/>
            <color indexed="81"/>
            <rFont val="Tahoma"/>
            <family val="2"/>
          </rPr>
          <t>Author:</t>
        </r>
        <r>
          <rPr>
            <sz val="9"/>
            <color indexed="81"/>
            <rFont val="Tahoma"/>
            <family val="2"/>
          </rPr>
          <t xml:space="preserve">
negative price due to generic competition</t>
        </r>
      </text>
    </comment>
    <comment ref="C275" authorId="8" shapeId="0" xr:uid="{00000000-0006-0000-0200-0000D9000000}">
      <text>
        <r>
          <rPr>
            <b/>
            <sz val="9"/>
            <color indexed="81"/>
            <rFont val="Tahoma"/>
            <family val="2"/>
          </rPr>
          <t>Author:</t>
        </r>
        <r>
          <rPr>
            <sz val="9"/>
            <color indexed="81"/>
            <rFont val="Tahoma"/>
            <family val="2"/>
          </rPr>
          <t xml:space="preserve">
may 2019</t>
        </r>
      </text>
    </comment>
    <comment ref="AZ275" authorId="0" shapeId="0" xr:uid="{00000000-0006-0000-0200-0000DA000000}">
      <text>
        <r>
          <rPr>
            <b/>
            <sz val="8"/>
            <color indexed="81"/>
            <rFont val="Tahoma"/>
            <family val="2"/>
          </rPr>
          <t>Author:</t>
        </r>
        <r>
          <rPr>
            <sz val="8"/>
            <color indexed="81"/>
            <rFont val="Tahoma"/>
            <family val="2"/>
          </rPr>
          <t xml:space="preserve">
10.14.2008 includes 135mn reserve reversal regarding pricing cuts in Canada that never occurred.  Represents accruals over several years (not double digits). If assume 5 years then 135/5 then almost 7mn per quarter </t>
        </r>
      </text>
    </comment>
    <comment ref="BD276" authorId="0" shapeId="0" xr:uid="{00000000-0006-0000-0200-0000DB000000}">
      <text>
        <r>
          <rPr>
            <b/>
            <sz val="8"/>
            <color indexed="81"/>
            <rFont val="Tahoma"/>
            <family val="2"/>
          </rPr>
          <t>Author:</t>
        </r>
        <r>
          <rPr>
            <sz val="8"/>
            <color indexed="81"/>
            <rFont val="Tahoma"/>
            <family val="2"/>
          </rPr>
          <t xml:space="preserve">
cons 295.4</t>
        </r>
      </text>
    </comment>
    <comment ref="BG279" authorId="0" shapeId="0" xr:uid="{00000000-0006-0000-0200-0000DC000000}">
      <text>
        <r>
          <rPr>
            <b/>
            <sz val="8"/>
            <color indexed="81"/>
            <rFont val="Tahoma"/>
            <family val="2"/>
          </rPr>
          <t>Author:</t>
        </r>
        <r>
          <rPr>
            <sz val="8"/>
            <color indexed="81"/>
            <rFont val="Tahoma"/>
            <family val="2"/>
          </rPr>
          <t xml:space="preserve">
Product0028 XR generic (Company0366) launch date 4/1/2009. Also facing more methyphenidate competition. CP still in place so Company2560 is supplying Company2758 with product. They do the same for Company1366 in October if CP is still blocking approvals. Those are the only 2 with that arrangement.
Watson is stating that they may launch generic Concerta XR at risk in 2009/2010. Ticker0018 stated that they don't have generic entry in model for 2009. </t>
        </r>
      </text>
    </comment>
    <comment ref="BH279" authorId="22" shapeId="0" xr:uid="{00000000-0006-0000-0200-0000DD000000}">
      <text>
        <r>
          <rPr>
            <b/>
            <sz val="8"/>
            <color indexed="81"/>
            <rFont val="Tahoma"/>
            <family val="2"/>
          </rPr>
          <t>Author:</t>
        </r>
        <r>
          <rPr>
            <sz val="8"/>
            <color indexed="81"/>
            <rFont val="Tahoma"/>
            <family val="2"/>
          </rPr>
          <t xml:space="preserve">
big Medicaid impact</t>
        </r>
      </text>
    </comment>
    <comment ref="BL279" authorId="0" shapeId="0" xr:uid="{00000000-0006-0000-0200-0000DE000000}">
      <text>
        <r>
          <rPr>
            <b/>
            <sz val="8"/>
            <color indexed="81"/>
            <rFont val="Tahoma"/>
            <family val="2"/>
          </rPr>
          <t>Author:</t>
        </r>
        <r>
          <rPr>
            <sz val="8"/>
            <color indexed="81"/>
            <rFont val="Tahoma"/>
            <family val="2"/>
          </rPr>
          <t xml:space="preserve">
Product0043 pharma to launch generic 1/1/2010 (looks like other generics still in legalities).  </t>
        </r>
      </text>
    </comment>
    <comment ref="BN279" authorId="22" shapeId="0" xr:uid="{00000000-0006-0000-0200-0000DF000000}">
      <text>
        <r>
          <rPr>
            <b/>
            <sz val="8"/>
            <color indexed="81"/>
            <rFont val="Tahoma"/>
            <family val="2"/>
          </rPr>
          <t>Author:</t>
        </r>
        <r>
          <rPr>
            <sz val="8"/>
            <color indexed="81"/>
            <rFont val="Tahoma"/>
            <family val="2"/>
          </rPr>
          <t xml:space="preserve">
11/2/10: Ticker0018 settles with Watson to launch generic in May 2011 in US, with Ticker0018 supplying drug through 2014
IR says expects a "normal generic erosion" and generics to launch quickly and expects generics from other companies</t>
        </r>
      </text>
    </comment>
    <comment ref="BT279" authorId="1" shapeId="0" xr:uid="{00000000-0006-0000-0200-0000E0000000}">
      <text>
        <r>
          <rPr>
            <b/>
            <sz val="8"/>
            <color indexed="81"/>
            <rFont val="Tahoma"/>
            <family val="2"/>
          </rPr>
          <t>Author:</t>
        </r>
        <r>
          <rPr>
            <sz val="8"/>
            <color indexed="81"/>
            <rFont val="Tahoma"/>
            <family val="2"/>
          </rPr>
          <t xml:space="preserve">
Mid-2012 - Concerta Margins for WPI move 50%</t>
        </r>
      </text>
    </comment>
    <comment ref="CA279" authorId="22" shapeId="0" xr:uid="{00000000-0006-0000-0200-0000E1000000}">
      <text>
        <r>
          <rPr>
            <b/>
            <sz val="8"/>
            <color indexed="81"/>
            <rFont val="Tahoma"/>
            <family val="2"/>
          </rPr>
          <t>Author:</t>
        </r>
        <r>
          <rPr>
            <sz val="8"/>
            <color indexed="81"/>
            <rFont val="Tahoma"/>
            <family val="2"/>
          </rPr>
          <t xml:space="preserve">
assume more generics</t>
        </r>
      </text>
    </comment>
    <comment ref="BB280" authorId="0" shapeId="0" xr:uid="{00000000-0006-0000-0200-0000E2000000}">
      <text>
        <r>
          <rPr>
            <b/>
            <sz val="8"/>
            <color indexed="81"/>
            <rFont val="Tahoma"/>
            <family val="2"/>
          </rPr>
          <t>Author:</t>
        </r>
        <r>
          <rPr>
            <sz val="8"/>
            <color indexed="81"/>
            <rFont val="Tahoma"/>
            <family val="2"/>
          </rPr>
          <t xml:space="preserve">
Canada pricing increases caused reversal of sales reserve. </t>
        </r>
      </text>
    </comment>
    <comment ref="BG281" authorId="0" shapeId="0" xr:uid="{00000000-0006-0000-0200-0000E3000000}">
      <text>
        <r>
          <rPr>
            <b/>
            <sz val="8"/>
            <color indexed="81"/>
            <rFont val="Tahoma"/>
            <family val="2"/>
          </rPr>
          <t>Author:</t>
        </r>
        <r>
          <rPr>
            <sz val="8"/>
            <color indexed="81"/>
            <rFont val="Tahoma"/>
            <family val="2"/>
          </rPr>
          <t xml:space="preserve">
reflecting 2008 reserve reversal</t>
        </r>
      </text>
    </comment>
    <comment ref="DU281" authorId="5" shapeId="0" xr:uid="{E1687200-91CE-4F72-ABB1-4E7938858A2E}">
      <text>
        <r>
          <rPr>
            <b/>
            <sz val="9"/>
            <color indexed="81"/>
            <rFont val="Tahoma"/>
            <family val="2"/>
          </rPr>
          <t>Author:</t>
        </r>
        <r>
          <rPr>
            <sz val="9"/>
            <color indexed="81"/>
            <rFont val="Tahoma"/>
            <family val="2"/>
          </rPr>
          <t xml:space="preserve">
-8.8% Currency adj. as per PR</t>
        </r>
      </text>
    </comment>
    <comment ref="DV281" authorId="5" shapeId="0" xr:uid="{3DC568D8-714E-4F44-9868-327CD5347FD4}">
      <text>
        <r>
          <rPr>
            <b/>
            <sz val="9"/>
            <color indexed="81"/>
            <rFont val="Tahoma"/>
            <family val="2"/>
          </rPr>
          <t>Author:</t>
        </r>
        <r>
          <rPr>
            <sz val="9"/>
            <color indexed="81"/>
            <rFont val="Tahoma"/>
            <family val="2"/>
          </rPr>
          <t xml:space="preserve">
As per 2Q23 PR</t>
        </r>
      </text>
    </comment>
    <comment ref="DW281" authorId="5" shapeId="0" xr:uid="{2D70873B-F25A-45AA-9D89-113EDE6477AC}">
      <text>
        <r>
          <rPr>
            <b/>
            <sz val="9"/>
            <color indexed="81"/>
            <rFont val="Tahoma"/>
            <family val="2"/>
          </rPr>
          <t>Author:</t>
        </r>
        <r>
          <rPr>
            <sz val="9"/>
            <color indexed="81"/>
            <rFont val="Tahoma"/>
            <family val="2"/>
          </rPr>
          <t xml:space="preserve">
As per 3Q23 PR</t>
        </r>
      </text>
    </comment>
    <comment ref="CK285" authorId="7" shapeId="0" xr:uid="{7901BB59-065E-4CF7-BFC4-32221DE11EAB}">
      <text>
        <r>
          <rPr>
            <b/>
            <sz val="9"/>
            <color indexed="81"/>
            <rFont val="Tahoma"/>
            <family val="2"/>
          </rPr>
          <t>Author:</t>
        </r>
        <r>
          <rPr>
            <sz val="9"/>
            <color indexed="81"/>
            <rFont val="Tahoma"/>
            <family val="2"/>
          </rPr>
          <t xml:space="preserve">
2/17/15: two P2 studies expected to readout in 2015</t>
        </r>
      </text>
    </comment>
    <comment ref="DB286" authorId="8" shapeId="0" xr:uid="{4E3747B6-4915-4CBB-A25D-4769F8858E56}">
      <text>
        <r>
          <rPr>
            <b/>
            <sz val="9"/>
            <color indexed="81"/>
            <rFont val="Tahoma"/>
            <family val="2"/>
          </rPr>
          <t>Author:</t>
        </r>
        <r>
          <rPr>
            <sz val="9"/>
            <color indexed="81"/>
            <rFont val="Tahoma"/>
            <family val="2"/>
          </rPr>
          <t xml:space="preserve">
EU filed Oct 2018</t>
        </r>
      </text>
    </comment>
    <comment ref="BG290" authorId="0" shapeId="0" xr:uid="{A441ECEF-5157-4373-8814-130B13CBB9B4}">
      <text>
        <r>
          <rPr>
            <b/>
            <sz val="8"/>
            <color indexed="81"/>
            <rFont val="Tahoma"/>
            <family val="2"/>
          </rPr>
          <t>Author:</t>
        </r>
        <r>
          <rPr>
            <sz val="8"/>
            <color indexed="81"/>
            <rFont val="Tahoma"/>
            <family val="2"/>
          </rPr>
          <t xml:space="preserve">
Product0028 XR generic (Company0366) launch date 4/1/2009. Also facing more methyphenidate competition. CP still in place so Company2560 is supplying Company2758 with product. They do the same for Company1366 in October if CP is still blocking approvals. Those are the only 2 with that arrangement.
Watson is stating that they may launch generic Concerta XR at risk in 2009/2010. Ticker0018 stated that they don't have generic entry in model for 2009. </t>
        </r>
      </text>
    </comment>
    <comment ref="BH290" authorId="22" shapeId="0" xr:uid="{4FCDA2E8-CAB5-441B-8342-25A2D4A03E0C}">
      <text>
        <r>
          <rPr>
            <b/>
            <sz val="8"/>
            <color indexed="81"/>
            <rFont val="Tahoma"/>
            <family val="2"/>
          </rPr>
          <t>Author:</t>
        </r>
        <r>
          <rPr>
            <sz val="8"/>
            <color indexed="81"/>
            <rFont val="Tahoma"/>
            <family val="2"/>
          </rPr>
          <t xml:space="preserve">
big Medicaid impact</t>
        </r>
      </text>
    </comment>
    <comment ref="BL290" authorId="0" shapeId="0" xr:uid="{EC36D5C5-4A37-48C1-A8BE-FF06948DCA81}">
      <text>
        <r>
          <rPr>
            <b/>
            <sz val="8"/>
            <color indexed="81"/>
            <rFont val="Tahoma"/>
            <family val="2"/>
          </rPr>
          <t>Author:</t>
        </r>
        <r>
          <rPr>
            <sz val="8"/>
            <color indexed="81"/>
            <rFont val="Tahoma"/>
            <family val="2"/>
          </rPr>
          <t xml:space="preserve">
Product0043 pharma to launch generic 1/1/2010 (looks like other generics still in legalities).  </t>
        </r>
      </text>
    </comment>
    <comment ref="BN290" authorId="22" shapeId="0" xr:uid="{577E6E5A-18BE-4891-B726-8D5DCA0F2C7E}">
      <text>
        <r>
          <rPr>
            <b/>
            <sz val="8"/>
            <color indexed="81"/>
            <rFont val="Tahoma"/>
            <family val="2"/>
          </rPr>
          <t>Author:</t>
        </r>
        <r>
          <rPr>
            <sz val="8"/>
            <color indexed="81"/>
            <rFont val="Tahoma"/>
            <family val="2"/>
          </rPr>
          <t xml:space="preserve">
11/2/10: Ticker0018 settles with Watson to launch generic in May 2011 in US, with Ticker0018 supplying drug through 2014
IR says expects a "normal generic erosion" and generics to launch quickly and expects generics from other companies</t>
        </r>
      </text>
    </comment>
    <comment ref="BT290" authorId="1" shapeId="0" xr:uid="{2FCE8F9F-D82B-4656-A59A-613EE10FBE41}">
      <text>
        <r>
          <rPr>
            <b/>
            <sz val="8"/>
            <color indexed="81"/>
            <rFont val="Tahoma"/>
            <family val="2"/>
          </rPr>
          <t>Author:</t>
        </r>
        <r>
          <rPr>
            <sz val="8"/>
            <color indexed="81"/>
            <rFont val="Tahoma"/>
            <family val="2"/>
          </rPr>
          <t xml:space="preserve">
Mid-2012 - Concerta Margins for WPI move 50%</t>
        </r>
      </text>
    </comment>
    <comment ref="CA290" authorId="22" shapeId="0" xr:uid="{9113D575-C1E7-4779-A81C-012EAC99F7CD}">
      <text>
        <r>
          <rPr>
            <b/>
            <sz val="8"/>
            <color indexed="81"/>
            <rFont val="Tahoma"/>
            <family val="2"/>
          </rPr>
          <t>Author:</t>
        </r>
        <r>
          <rPr>
            <sz val="8"/>
            <color indexed="81"/>
            <rFont val="Tahoma"/>
            <family val="2"/>
          </rPr>
          <t xml:space="preserve">
assume more generics</t>
        </r>
      </text>
    </comment>
    <comment ref="BB291" authorId="0" shapeId="0" xr:uid="{9D54FA79-EE1E-4511-9DB0-CB1DDE8D351B}">
      <text>
        <r>
          <rPr>
            <b/>
            <sz val="8"/>
            <color indexed="81"/>
            <rFont val="Tahoma"/>
            <family val="2"/>
          </rPr>
          <t>Author:</t>
        </r>
        <r>
          <rPr>
            <sz val="8"/>
            <color indexed="81"/>
            <rFont val="Tahoma"/>
            <family val="2"/>
          </rPr>
          <t xml:space="preserve">
Canada pricing increases caused reversal of sales reserve. </t>
        </r>
      </text>
    </comment>
    <comment ref="C306" authorId="0" shapeId="0" xr:uid="{00000000-0006-0000-0200-0000E4000000}">
      <text>
        <r>
          <rPr>
            <b/>
            <sz val="8"/>
            <color indexed="81"/>
            <rFont val="Tahoma"/>
            <family val="2"/>
          </rPr>
          <t>Author:</t>
        </r>
        <r>
          <rPr>
            <sz val="8"/>
            <color indexed="81"/>
            <rFont val="Tahoma"/>
            <family val="2"/>
          </rPr>
          <t xml:space="preserve">
Invega 10/2009, expecting Person0455 Person1171 to 2013</t>
        </r>
      </text>
    </comment>
    <comment ref="BB306" authorId="30" shapeId="0" xr:uid="{00000000-0006-0000-0200-0000E5000000}">
      <text>
        <r>
          <rPr>
            <b/>
            <sz val="8"/>
            <color indexed="81"/>
            <rFont val="Tahoma"/>
            <family val="2"/>
          </rPr>
          <t>Author:</t>
        </r>
        <r>
          <rPr>
            <sz val="8"/>
            <color indexed="81"/>
            <rFont val="Tahoma"/>
            <family val="2"/>
          </rPr>
          <t xml:space="preserve">
Composition of matter patent expires 12/29/2007
</t>
        </r>
      </text>
    </comment>
    <comment ref="BI306" authorId="0" shapeId="0" xr:uid="{00000000-0006-0000-0200-0000E6000000}">
      <text>
        <r>
          <rPr>
            <b/>
            <sz val="8"/>
            <color indexed="81"/>
            <rFont val="Tahoma"/>
            <family val="2"/>
          </rPr>
          <t>Author:</t>
        </r>
        <r>
          <rPr>
            <sz val="8"/>
            <color indexed="81"/>
            <rFont val="Tahoma"/>
            <family val="2"/>
          </rPr>
          <t xml:space="preserve">
believe return proces largely complete</t>
        </r>
      </text>
    </comment>
    <comment ref="BD308" authorId="0" shapeId="0" xr:uid="{00000000-0006-0000-0200-0000E7000000}">
      <text>
        <r>
          <rPr>
            <b/>
            <sz val="8"/>
            <color indexed="81"/>
            <rFont val="Tahoma"/>
            <family val="2"/>
          </rPr>
          <t>Author:</t>
        </r>
        <r>
          <rPr>
            <sz val="8"/>
            <color indexed="81"/>
            <rFont val="Tahoma"/>
            <family val="2"/>
          </rPr>
          <t xml:space="preserve">
228 cons</t>
        </r>
      </text>
    </comment>
    <comment ref="AZ311" authorId="0" shapeId="0" xr:uid="{00000000-0006-0000-0200-0000E8000000}">
      <text>
        <r>
          <rPr>
            <b/>
            <sz val="8"/>
            <color indexed="81"/>
            <rFont val="Tahoma"/>
            <family val="2"/>
          </rPr>
          <t>Author:</t>
        </r>
        <r>
          <rPr>
            <sz val="8"/>
            <color indexed="81"/>
            <rFont val="Tahoma"/>
            <family val="2"/>
          </rPr>
          <t xml:space="preserve">
Risperdal in the US declined 77% YoY and international Risperdal declined 38% on an operational basis; the US Risperdal revenue numbers includes sales for the company's generic version of Risperdal. The entry of generics in the US beginning in July, as well as strengthening generic competition outside the US, are driving significant erosion in the franchise. We anticipate similar declines in Risperdal revenues for the next three quarters.</t>
        </r>
      </text>
    </comment>
    <comment ref="BB311" authorId="30" shapeId="0" xr:uid="{00000000-0006-0000-0200-0000E9000000}">
      <text>
        <r>
          <rPr>
            <b/>
            <sz val="8"/>
            <color indexed="81"/>
            <rFont val="Tahoma"/>
            <family val="2"/>
          </rPr>
          <t>Author:</t>
        </r>
        <r>
          <rPr>
            <sz val="8"/>
            <color indexed="81"/>
            <rFont val="Tahoma"/>
            <family val="2"/>
          </rPr>
          <t xml:space="preserve">
Composition of matter patent expires 12/29/07; assumes 6 mos pediatric excl, so generics in 2H2008</t>
        </r>
      </text>
    </comment>
    <comment ref="B316" authorId="0" shapeId="0" xr:uid="{00000000-0006-0000-0200-0000EA000000}">
      <text>
        <r>
          <rPr>
            <b/>
            <sz val="8"/>
            <color indexed="81"/>
            <rFont val="Tahoma"/>
            <family val="2"/>
          </rPr>
          <t>Author:</t>
        </r>
        <r>
          <rPr>
            <sz val="8"/>
            <color indexed="81"/>
            <rFont val="Tahoma"/>
            <family val="2"/>
          </rPr>
          <t xml:space="preserve">
1.14.2009 Invega not making good uptake b/Author34 OROS delivery system for more uniform bioavailability and ER for 1x/daily dosing doesn't significantly improve side-affect profile relative to oral Risperdal (viewed as potent and reasonably tolerable). Once a day dosing compares to Risperdal favorably (50% of patients dosed BID). Also, Invega has modest positive as uniform pricing across dose range (Risperdal pricing scales with dose &amp; lower pricing for non-schizo indications).  Invega unlikely to surpass 10% US script share by 2015. Overall, really need more compelling efficacy/tolerability advantage for docs to risk switching patients. 
No H2H vs Product0349, but adverse events similar (movement disorders, weight gain, tachycardi all more common with invega than placebo.) direct comparison to Product0481, recurrence of psychotic symptoms were similar, but results for movement disorders favored Product0481. 
Oral breakdown by indication roughly 41% Schiz., 29% other, 30% affective psychoses. 
What will be impact from FDA bipolar mania indication filing in 2008 (expected approval in 2009)? </t>
        </r>
      </text>
    </comment>
    <comment ref="C317" authorId="0" shapeId="0" xr:uid="{00000000-0006-0000-0200-0000EB000000}">
      <text>
        <r>
          <rPr>
            <b/>
            <sz val="8"/>
            <color indexed="81"/>
            <rFont val="Tahoma"/>
            <family val="2"/>
          </rPr>
          <t>Author:</t>
        </r>
        <r>
          <rPr>
            <sz val="8"/>
            <color indexed="81"/>
            <rFont val="Tahoma"/>
            <family val="2"/>
          </rPr>
          <t xml:space="preserve">
Two exclusivity dates, first 10/27/2010 (maintenance of treatment of schizophrenia) and second 12/19/2011 (new chemical entity). Expecting Person0455-Person1171 extension to mid-2012 excluding pediatric extension.
12/08/2010: Ticker0018 believes 11/2013 </t>
        </r>
      </text>
    </comment>
    <comment ref="BI317" authorId="16" shapeId="0" xr:uid="{00000000-0006-0000-0200-0000EC000000}">
      <text>
        <r>
          <rPr>
            <b/>
            <sz val="8"/>
            <color indexed="81"/>
            <rFont val="Tahoma"/>
            <family val="2"/>
          </rPr>
          <t>Author:</t>
        </r>
        <r>
          <rPr>
            <sz val="8"/>
            <color indexed="81"/>
            <rFont val="Tahoma"/>
            <family val="2"/>
          </rPr>
          <t xml:space="preserve">
Company1390 did not include in their pharma rev total</t>
        </r>
      </text>
    </comment>
    <comment ref="CH317" authorId="21" shapeId="0" xr:uid="{00000000-0006-0000-0200-0000ED000000}">
      <text>
        <r>
          <rPr>
            <b/>
            <sz val="9"/>
            <color indexed="81"/>
            <rFont val="Tahoma"/>
            <family val="2"/>
          </rPr>
          <t>Author:</t>
        </r>
        <r>
          <rPr>
            <sz val="9"/>
            <color indexed="81"/>
            <rFont val="Tahoma"/>
            <family val="2"/>
          </rPr>
          <t xml:space="preserve">
9.25.15:  Company0046 launches generic version of Invega</t>
        </r>
      </text>
    </comment>
    <comment ref="BP318" authorId="1" shapeId="0" xr:uid="{00000000-0006-0000-0200-0000EE000000}">
      <text>
        <r>
          <rPr>
            <b/>
            <sz val="8"/>
            <color indexed="81"/>
            <rFont val="Tahoma"/>
            <family val="2"/>
          </rPr>
          <t>Author:</t>
        </r>
        <r>
          <rPr>
            <sz val="8"/>
            <color indexed="81"/>
            <rFont val="Tahoma"/>
            <family val="2"/>
          </rPr>
          <t xml:space="preserve">
4QCC: Approval in Japan</t>
        </r>
      </text>
    </comment>
    <comment ref="CK319" authorId="23" shapeId="0" xr:uid="{00000000-0006-0000-0200-0000EF000000}">
      <text>
        <r>
          <rPr>
            <b/>
            <sz val="9"/>
            <color indexed="81"/>
            <rFont val="Tahoma"/>
            <family val="2"/>
          </rPr>
          <t>Author:</t>
        </r>
        <r>
          <rPr>
            <sz val="9"/>
            <color indexed="81"/>
            <rFont val="Tahoma"/>
            <family val="2"/>
          </rPr>
          <t xml:space="preserve">
4.14.15: guidance assumes generic entrant for invega in 2015</t>
        </r>
      </text>
    </comment>
    <comment ref="BE322" authorId="0" shapeId="0" xr:uid="{00000000-0006-0000-0200-0000F0000000}">
      <text>
        <r>
          <rPr>
            <b/>
            <sz val="8"/>
            <color indexed="81"/>
            <rFont val="Tahoma"/>
            <family val="2"/>
          </rPr>
          <t>Author:</t>
        </r>
        <r>
          <rPr>
            <sz val="8"/>
            <color indexed="81"/>
            <rFont val="Tahoma"/>
            <family val="2"/>
          </rPr>
          <t xml:space="preserve">
-16.4% due to inventory redux and modest decline in share</t>
        </r>
      </text>
    </comment>
    <comment ref="BF322" authorId="0" shapeId="0" xr:uid="{00000000-0006-0000-0200-0000F1000000}">
      <text>
        <r>
          <rPr>
            <b/>
            <sz val="8"/>
            <color indexed="81"/>
            <rFont val="Tahoma"/>
            <family val="2"/>
          </rPr>
          <t>Author:</t>
        </r>
        <r>
          <rPr>
            <sz val="8"/>
            <color indexed="81"/>
            <rFont val="Tahoma"/>
            <family val="2"/>
          </rPr>
          <t xml:space="preserve">
assuming share loss but less inventory destocking than 3Q</t>
        </r>
      </text>
    </comment>
    <comment ref="BV322" authorId="22" shapeId="0" xr:uid="{00000000-0006-0000-0200-0000F2000000}">
      <text>
        <r>
          <rPr>
            <b/>
            <sz val="8"/>
            <color indexed="81"/>
            <rFont val="Tahoma"/>
            <family val="2"/>
          </rPr>
          <t>Author:</t>
        </r>
        <r>
          <rPr>
            <sz val="8"/>
            <color indexed="81"/>
            <rFont val="Tahoma"/>
            <family val="2"/>
          </rPr>
          <t xml:space="preserve">
expires Oct 2012</t>
        </r>
      </text>
    </comment>
    <comment ref="CH322" authorId="21" shapeId="0" xr:uid="{00000000-0006-0000-0200-0000F3000000}">
      <text>
        <r>
          <rPr>
            <b/>
            <sz val="9"/>
            <color indexed="81"/>
            <rFont val="Tahoma"/>
            <family val="2"/>
          </rPr>
          <t>Author:</t>
        </r>
        <r>
          <rPr>
            <sz val="9"/>
            <color indexed="81"/>
            <rFont val="Tahoma"/>
            <family val="2"/>
          </rPr>
          <t xml:space="preserve">
1/20/15:  Ticker0018 says generic entrant coming 1H15
</t>
        </r>
      </text>
    </comment>
    <comment ref="CI322" authorId="21" shapeId="0" xr:uid="{00000000-0006-0000-0200-0000F4000000}">
      <text>
        <r>
          <rPr>
            <b/>
            <sz val="9"/>
            <color indexed="81"/>
            <rFont val="Tahoma"/>
            <family val="2"/>
          </rPr>
          <t>Author:</t>
        </r>
        <r>
          <rPr>
            <sz val="9"/>
            <color indexed="81"/>
            <rFont val="Tahoma"/>
            <family val="2"/>
          </rPr>
          <t xml:space="preserve">
1/20/15:  Ticker0018 says generic entrant coming 1H15
</t>
        </r>
      </text>
    </comment>
    <comment ref="BM325" authorId="1" shapeId="0" xr:uid="{00000000-0006-0000-0200-0000F5000000}">
      <text>
        <r>
          <rPr>
            <b/>
            <sz val="8"/>
            <color indexed="81"/>
            <rFont val="Tahoma"/>
            <family val="2"/>
          </rPr>
          <t xml:space="preserve">Author:
</t>
        </r>
        <r>
          <rPr>
            <sz val="8"/>
            <color indexed="81"/>
            <rFont val="Tahoma"/>
            <family val="2"/>
          </rPr>
          <t>Grew operationally 10.1% due to very strong growth
outside the US with the recent approval in Japan.</t>
        </r>
      </text>
    </comment>
    <comment ref="B327" authorId="0" shapeId="0" xr:uid="{00000000-0006-0000-0200-0000F6000000}">
      <text>
        <r>
          <rPr>
            <b/>
            <sz val="8"/>
            <color indexed="81"/>
            <rFont val="Tahoma"/>
            <family val="2"/>
          </rPr>
          <t>Author:</t>
        </r>
        <r>
          <rPr>
            <sz val="8"/>
            <color indexed="81"/>
            <rFont val="Tahoma"/>
            <family val="2"/>
          </rPr>
          <t xml:space="preserve">
Given superior dosing regime, assuming that new Rx's will go to palmitate. 
Ticker0018 cancelled 1x/4wk dosing clinical program, so only program will be existing 1x/2wk</t>
        </r>
      </text>
    </comment>
    <comment ref="C328" authorId="8" shapeId="0" xr:uid="{00000000-0006-0000-0200-0000F7000000}">
      <text>
        <r>
          <rPr>
            <b/>
            <sz val="9"/>
            <color indexed="81"/>
            <rFont val="Tahoma"/>
            <family val="2"/>
          </rPr>
          <t>Author:</t>
        </r>
        <r>
          <rPr>
            <sz val="9"/>
            <color indexed="81"/>
            <rFont val="Tahoma"/>
            <family val="2"/>
          </rPr>
          <t xml:space="preserve">
Company0071 2023
may 2020</t>
        </r>
      </text>
    </comment>
    <comment ref="BB328" authorId="31" shapeId="0" xr:uid="{00000000-0006-0000-0200-0000F8000000}">
      <text>
        <r>
          <rPr>
            <b/>
            <sz val="8"/>
            <color indexed="81"/>
            <rFont val="Tahoma"/>
            <family val="2"/>
          </rPr>
          <t>Author:</t>
        </r>
        <r>
          <rPr>
            <sz val="8"/>
            <color indexed="81"/>
            <rFont val="Tahoma"/>
            <family val="2"/>
          </rPr>
          <t xml:space="preserve">
Paliperidone palmitate enters, likely end of year</t>
        </r>
      </text>
    </comment>
    <comment ref="BG328" authorId="31" shapeId="0" xr:uid="{00000000-0006-0000-0200-0000F9000000}">
      <text>
        <r>
          <rPr>
            <b/>
            <sz val="8"/>
            <color indexed="81"/>
            <rFont val="Tahoma"/>
            <family val="2"/>
          </rPr>
          <t>Author:</t>
        </r>
        <r>
          <rPr>
            <sz val="8"/>
            <color indexed="81"/>
            <rFont val="Tahoma"/>
            <family val="2"/>
          </rPr>
          <t xml:space="preserve">
Paliperidone palmitate is $100 mn</t>
        </r>
      </text>
    </comment>
    <comment ref="CZ328" authorId="8" shapeId="0" xr:uid="{00000000-0006-0000-0200-0000FA000000}">
      <text>
        <r>
          <rPr>
            <b/>
            <sz val="9"/>
            <color indexed="81"/>
            <rFont val="Tahoma"/>
            <family val="2"/>
          </rPr>
          <t>Author:</t>
        </r>
        <r>
          <rPr>
            <sz val="9"/>
            <color indexed="81"/>
            <rFont val="Tahoma"/>
            <family val="2"/>
          </rPr>
          <t xml:space="preserve">
1Q18: reiterated
4Q17 call: do not expect generic competition in 2018</t>
        </r>
      </text>
    </comment>
    <comment ref="C329" authorId="8" shapeId="0" xr:uid="{00000000-0006-0000-0200-0000FB000000}">
      <text>
        <r>
          <rPr>
            <b/>
            <sz val="9"/>
            <color indexed="81"/>
            <rFont val="Tahoma"/>
            <family val="2"/>
          </rPr>
          <t>Author:</t>
        </r>
        <r>
          <rPr>
            <sz val="9"/>
            <color indexed="81"/>
            <rFont val="Tahoma"/>
            <family val="2"/>
          </rPr>
          <t xml:space="preserve">
apr 2021</t>
        </r>
      </text>
    </comment>
    <comment ref="CK330" authorId="23" shapeId="0" xr:uid="{00000000-0006-0000-0200-0000FC000000}">
      <text>
        <r>
          <rPr>
            <b/>
            <sz val="9"/>
            <color indexed="81"/>
            <rFont val="Tahoma"/>
            <family val="2"/>
          </rPr>
          <t>Author:</t>
        </r>
        <r>
          <rPr>
            <sz val="9"/>
            <color indexed="81"/>
            <rFont val="Tahoma"/>
            <family val="2"/>
          </rPr>
          <t xml:space="preserve">
4.14.15: guidance assumes no generic </t>
        </r>
      </text>
    </comment>
    <comment ref="CP330" authorId="23" shapeId="0" xr:uid="{00000000-0006-0000-0200-0000FD000000}">
      <text>
        <r>
          <rPr>
            <b/>
            <sz val="9"/>
            <color indexed="81"/>
            <rFont val="Tahoma"/>
            <family val="2"/>
          </rPr>
          <t>Author:</t>
        </r>
        <r>
          <rPr>
            <sz val="9"/>
            <color indexed="81"/>
            <rFont val="Tahoma"/>
            <family val="2"/>
          </rPr>
          <t xml:space="preserve">
1.26.2016: reiterated for 2016 guidance
4.14.15: guidance assumes no generic </t>
        </r>
      </text>
    </comment>
    <comment ref="BM336" authorId="1" shapeId="0" xr:uid="{00000000-0006-0000-0200-0000FE000000}">
      <text>
        <r>
          <rPr>
            <b/>
            <sz val="8"/>
            <color indexed="81"/>
            <rFont val="Tahoma"/>
            <family val="2"/>
          </rPr>
          <t>Author:</t>
        </r>
        <r>
          <rPr>
            <sz val="8"/>
            <color indexed="81"/>
            <rFont val="Tahoma"/>
            <family val="2"/>
          </rPr>
          <t xml:space="preserve">
Achieved 5.5% operational growth</t>
        </r>
      </text>
    </comment>
    <comment ref="B338" authorId="0" shapeId="0" xr:uid="{18F8C279-C0DC-45A5-9480-047554D75098}">
      <text>
        <r>
          <rPr>
            <b/>
            <sz val="8"/>
            <color indexed="81"/>
            <rFont val="Tahoma"/>
            <family val="2"/>
          </rPr>
          <t>Author:</t>
        </r>
        <r>
          <rPr>
            <sz val="8"/>
            <color indexed="81"/>
            <rFont val="Tahoma"/>
            <family val="2"/>
          </rPr>
          <t xml:space="preserve">
1.14.2009
Extended release methylphenidate-based product dosed once daily. Citizens petition granted to extend exclusivity to 2012. Product0026 XR (market leader) loses pediatric exclusivity Jan 21, 2009. Settled with Company0366 for April, 1, 2009 launch and Product0043 for Jan 1, 2010 launch. Newer methylphenidate -based products gaining share. Both Product0028 XR and Concerta are 1x/day meds. Sounds like patient share for concerta where well-tolerated and effective will be sticky. 
Comparison with Product0028 XR-once daily extended release amphetamine based. Are amphetamines and methyphenidates interchangeable?Both amphetamine salts have same MoA. 1) Product0028 XR makes patients a bit less jumpy (check if trial evidence). 2) Methylphenidate XR is current generic for Concerta, and is 1-2 tiers lower. Private payors often require generic failure prior to Concerta or Product0028 XR. 3) If Concerta well-tolerated and effective in patient, Person1226 wouldn't switch. Unlike schizophrenia, not as many disease eruptions that may be perceived as treatment failure and hence opportunity to switch meds (when in fact just volatile nature of disease).  4) Private payors not allowed to require that docs switch to generic Product0027 XR if patient already being treated and insured for Concerta. </t>
        </r>
      </text>
    </comment>
    <comment ref="B339" authorId="24" shapeId="0" xr:uid="{69594A56-EE3D-4E1A-89D1-5CA08CC8E8E9}">
      <text>
        <r>
          <rPr>
            <b/>
            <sz val="8"/>
            <color indexed="81"/>
            <rFont val="Tahoma"/>
            <family val="2"/>
          </rPr>
          <t>Author:</t>
        </r>
        <r>
          <rPr>
            <sz val="8"/>
            <color indexed="81"/>
            <rFont val="Tahoma"/>
            <family val="2"/>
          </rPr>
          <t xml:space="preserve">
COM Expired 3/04</t>
        </r>
      </text>
    </comment>
    <comment ref="C339" authorId="8" shapeId="0" xr:uid="{00000000-0006-0000-0200-000000010000}">
      <text>
        <r>
          <rPr>
            <b/>
            <sz val="9"/>
            <color indexed="81"/>
            <rFont val="Tahoma"/>
            <family val="2"/>
          </rPr>
          <t>Author:</t>
        </r>
        <r>
          <rPr>
            <sz val="9"/>
            <color indexed="81"/>
            <rFont val="Tahoma"/>
            <family val="2"/>
          </rPr>
          <t xml:space="preserve">
may 2019
Company0071 2018 10-K
Our Product0259 technology patent portfolio, licensed to Company1426 in relation to INVEGA SUSTENNA/Product0466 and INVEGA TRINZA/Product0405, contains a number of granted patents and pending patent applications throughout the world, including in the U.S. and in countries outside of the U.S. The latest of the patents subject to our license agreement with Company1426 covering INVEGA SUSTENNA/Product0466 expires in 2030 in the U.S. and certain other countries and in 2022 in the EU. The latest to expire of the licensed patents covering INVEGA TRINZA/Product0405 in the U.S. expired in 2017 and in the EU will expire in 2022. In addition, Company1426 has other patents not subject to our license agreement, including one that covers INVEGA SUSTENNA in the U.S. and expires in 2031 and one that covers INVEGA TRINZA in the U.S. and expires in 2036.
Sustenna US July 2024
Trinza US May 2030</t>
        </r>
      </text>
    </comment>
    <comment ref="BE339" authorId="0" shapeId="0" xr:uid="{00000000-0006-0000-0200-000001010000}">
      <text>
        <r>
          <rPr>
            <b/>
            <sz val="8"/>
            <color indexed="81"/>
            <rFont val="Tahoma"/>
            <family val="2"/>
          </rPr>
          <t>Author:</t>
        </r>
        <r>
          <rPr>
            <sz val="8"/>
            <color indexed="81"/>
            <rFont val="Tahoma"/>
            <family val="2"/>
          </rPr>
          <t xml:space="preserve">
stocking 4 week usual demand. </t>
        </r>
      </text>
    </comment>
    <comment ref="BO339" authorId="24" shapeId="0" xr:uid="{00000000-0006-0000-0200-000002010000}">
      <text>
        <r>
          <rPr>
            <b/>
            <sz val="8"/>
            <color indexed="81"/>
            <rFont val="Tahoma"/>
            <family val="2"/>
          </rPr>
          <t>Author:</t>
        </r>
        <r>
          <rPr>
            <sz val="8"/>
            <color indexed="81"/>
            <rFont val="Tahoma"/>
            <family val="2"/>
          </rPr>
          <t xml:space="preserve">
up 25%</t>
        </r>
      </text>
    </comment>
    <comment ref="CH339" authorId="9" shapeId="0" xr:uid="{00000000-0006-0000-0200-000003010000}">
      <text>
        <r>
          <rPr>
            <b/>
            <sz val="9"/>
            <color indexed="81"/>
            <rFont val="Tahoma"/>
            <family val="2"/>
          </rPr>
          <t>Author:</t>
        </r>
        <r>
          <rPr>
            <sz val="9"/>
            <color indexed="81"/>
            <rFont val="Tahoma"/>
            <family val="2"/>
          </rPr>
          <t xml:space="preserve">
May 2015 Trinza (q3m) approved)</t>
        </r>
      </text>
    </comment>
    <comment ref="CM339" authorId="2" shapeId="0" xr:uid="{00000000-0006-0000-0200-000004010000}">
      <text>
        <r>
          <rPr>
            <b/>
            <sz val="9"/>
            <color indexed="81"/>
            <rFont val="Tahoma"/>
            <family val="2"/>
          </rPr>
          <t>Author:</t>
        </r>
        <r>
          <rPr>
            <sz val="9"/>
            <color indexed="81"/>
            <rFont val="Tahoma"/>
            <family val="2"/>
          </rPr>
          <t xml:space="preserve">
includes strong growth in invega trinza </t>
        </r>
      </text>
    </comment>
    <comment ref="CZ339" authorId="8" shapeId="0" xr:uid="{00000000-0006-0000-0200-000005010000}">
      <text>
        <r>
          <rPr>
            <b/>
            <sz val="9"/>
            <color indexed="81"/>
            <rFont val="Tahoma"/>
            <family val="2"/>
          </rPr>
          <t>Author:</t>
        </r>
        <r>
          <rPr>
            <sz val="9"/>
            <color indexed="81"/>
            <rFont val="Tahoma"/>
            <family val="2"/>
          </rPr>
          <t xml:space="preserve">
1Q18: reiterated
4Q17 call: do not expect generic competition in 2018</t>
        </r>
      </text>
    </comment>
    <comment ref="DJ339" authorId="9" shapeId="0" xr:uid="{00000000-0006-0000-0200-000006010000}">
      <text>
        <r>
          <rPr>
            <b/>
            <sz val="9"/>
            <color indexed="81"/>
            <rFont val="Tahoma"/>
            <family val="2"/>
          </rPr>
          <t>Author:</t>
        </r>
        <r>
          <rPr>
            <sz val="9"/>
            <color indexed="81"/>
            <rFont val="Tahoma"/>
            <family val="2"/>
          </rPr>
          <t xml:space="preserve">
q6m dosing approval</t>
        </r>
      </text>
    </comment>
    <comment ref="C340" authorId="9" shapeId="0" xr:uid="{00000000-0006-0000-0200-000007010000}">
      <text>
        <r>
          <rPr>
            <b/>
            <sz val="9"/>
            <color indexed="81"/>
            <rFont val="Tahoma"/>
            <family val="2"/>
          </rPr>
          <t>Author:</t>
        </r>
        <r>
          <rPr>
            <sz val="9"/>
            <color indexed="81"/>
            <rFont val="Tahoma"/>
            <family val="2"/>
          </rPr>
          <t xml:space="preserve">
Company0071 10-K 2022 EU for Sustenna March 2026 and Trinza May 2030</t>
        </r>
      </text>
    </comment>
    <comment ref="BM341" authorId="1" shapeId="0" xr:uid="{00000000-0006-0000-0200-000008010000}">
      <text>
        <r>
          <rPr>
            <b/>
            <sz val="8"/>
            <color indexed="81"/>
            <rFont val="Tahoma"/>
            <family val="2"/>
          </rPr>
          <t>Author:</t>
        </r>
        <r>
          <rPr>
            <sz val="8"/>
            <color indexed="81"/>
            <rFont val="Tahoma"/>
            <family val="2"/>
          </rPr>
          <t xml:space="preserve">
Increase due to market share growth</t>
        </r>
      </text>
    </comment>
    <comment ref="BR341" authorId="22" shapeId="0" xr:uid="{00000000-0006-0000-0200-000009010000}">
      <text>
        <r>
          <rPr>
            <b/>
            <sz val="8"/>
            <color indexed="81"/>
            <rFont val="Tahoma"/>
            <family val="2"/>
          </rPr>
          <t>Author:</t>
        </r>
        <r>
          <rPr>
            <sz val="8"/>
            <color indexed="81"/>
            <rFont val="Tahoma"/>
            <family val="2"/>
          </rPr>
          <t xml:space="preserve">
increased market share</t>
        </r>
      </text>
    </comment>
    <comment ref="CK341" authorId="23" shapeId="0" xr:uid="{00000000-0006-0000-0200-00000A010000}">
      <text>
        <r>
          <rPr>
            <b/>
            <sz val="9"/>
            <color indexed="81"/>
            <rFont val="Tahoma"/>
            <family val="2"/>
          </rPr>
          <t>Author:</t>
        </r>
        <r>
          <rPr>
            <sz val="9"/>
            <color indexed="81"/>
            <rFont val="Tahoma"/>
            <family val="2"/>
          </rPr>
          <t xml:space="preserve">
4.14.15: guidance assumes no generic for invega sustenna</t>
        </r>
      </text>
    </comment>
    <comment ref="CP341" authorId="2" shapeId="0" xr:uid="{00000000-0006-0000-0200-00000B010000}">
      <text>
        <r>
          <rPr>
            <b/>
            <sz val="9"/>
            <color indexed="81"/>
            <rFont val="Tahoma"/>
            <family val="2"/>
          </rPr>
          <t>Author:</t>
        </r>
        <r>
          <rPr>
            <sz val="9"/>
            <color indexed="81"/>
            <rFont val="Tahoma"/>
            <family val="2"/>
          </rPr>
          <t xml:space="preserve">
1.26.2016: guidance assumes no generic for invega sustenna</t>
        </r>
      </text>
    </comment>
    <comment ref="DE341" authorId="10" shapeId="0" xr:uid="{00000000-0006-0000-0200-00000C010000}">
      <text>
        <r>
          <rPr>
            <b/>
            <sz val="9"/>
            <color indexed="81"/>
            <rFont val="Tahoma"/>
            <family val="2"/>
          </rPr>
          <t>Author:</t>
        </r>
        <r>
          <rPr>
            <sz val="9"/>
            <color indexed="81"/>
            <rFont val="Tahoma"/>
            <family val="2"/>
          </rPr>
          <t xml:space="preserve">
cons 3.2</t>
        </r>
      </text>
    </comment>
    <comment ref="DJ341" authorId="10" shapeId="0" xr:uid="{00000000-0006-0000-0200-00000D010000}">
      <text>
        <r>
          <rPr>
            <b/>
            <sz val="9"/>
            <color indexed="81"/>
            <rFont val="Tahoma"/>
            <family val="2"/>
          </rPr>
          <t>Author:</t>
        </r>
        <r>
          <rPr>
            <sz val="9"/>
            <color indexed="81"/>
            <rFont val="Tahoma"/>
            <family val="2"/>
          </rPr>
          <t xml:space="preserve">
cons 3.3</t>
        </r>
      </text>
    </comment>
    <comment ref="DO341" authorId="26" shapeId="0" xr:uid="{00000000-0006-0000-0200-00000E010000}">
      <text>
        <r>
          <rPr>
            <b/>
            <sz val="9"/>
            <color indexed="81"/>
            <rFont val="Tahoma"/>
            <family val="2"/>
          </rPr>
          <t>Author:</t>
        </r>
        <r>
          <rPr>
            <sz val="9"/>
            <color indexed="81"/>
            <rFont val="Tahoma"/>
            <family val="2"/>
          </rPr>
          <t xml:space="preserve">
Cons: 4.0bn</t>
        </r>
      </text>
    </comment>
    <comment ref="DT341" authorId="26" shapeId="0" xr:uid="{00000000-0006-0000-0200-00000F010000}">
      <text>
        <r>
          <rPr>
            <b/>
            <sz val="9"/>
            <color indexed="81"/>
            <rFont val="Tahoma"/>
            <family val="2"/>
          </rPr>
          <t>Author:</t>
        </r>
        <r>
          <rPr>
            <sz val="9"/>
            <color indexed="81"/>
            <rFont val="Tahoma"/>
            <family val="2"/>
          </rPr>
          <t xml:space="preserve">
Cons: 4.2bn</t>
        </r>
      </text>
    </comment>
    <comment ref="CA344" authorId="0" shapeId="0" xr:uid="{00000000-0006-0000-0200-000010010000}">
      <text>
        <r>
          <rPr>
            <b/>
            <sz val="8"/>
            <color indexed="81"/>
            <rFont val="Tahoma"/>
            <family val="2"/>
          </rPr>
          <t>Author:</t>
        </r>
        <r>
          <rPr>
            <sz val="8"/>
            <color indexed="81"/>
            <rFont val="Tahoma"/>
            <family val="2"/>
          </rPr>
          <t xml:space="preserve">
assuming that risperdal consta going generic retards growth of palmitate</t>
        </r>
      </text>
    </comment>
    <comment ref="DA344" authorId="10" shapeId="0" xr:uid="{00000000-0006-0000-0200-000011010000}">
      <text>
        <r>
          <rPr>
            <b/>
            <sz val="9"/>
            <color indexed="81"/>
            <rFont val="Tahoma"/>
            <family val="2"/>
          </rPr>
          <t>Author:</t>
        </r>
        <r>
          <rPr>
            <sz val="9"/>
            <color indexed="81"/>
            <rFont val="Tahoma"/>
            <family val="2"/>
          </rPr>
          <t xml:space="preserve">
LA injectables - growing 17% with higher market share driven by increased new patient starts and strong persistency.</t>
        </r>
      </text>
    </comment>
    <comment ref="DU346" authorId="5" shapeId="0" xr:uid="{8789B202-D4CF-49EC-8130-446263A1B939}">
      <text>
        <r>
          <rPr>
            <b/>
            <sz val="9"/>
            <color indexed="81"/>
            <rFont val="Tahoma"/>
            <family val="2"/>
          </rPr>
          <t>Author:</t>
        </r>
        <r>
          <rPr>
            <sz val="9"/>
            <color indexed="81"/>
            <rFont val="Tahoma"/>
            <family val="2"/>
          </rPr>
          <t xml:space="preserve">
-5.7% Currency adj. as per PR</t>
        </r>
      </text>
    </comment>
    <comment ref="DV346" authorId="5" shapeId="0" xr:uid="{9EDD28FB-52FF-4652-B606-850F5C7384BD}">
      <text>
        <r>
          <rPr>
            <b/>
            <sz val="9"/>
            <color indexed="81"/>
            <rFont val="Tahoma"/>
            <family val="2"/>
          </rPr>
          <t>Author:</t>
        </r>
        <r>
          <rPr>
            <sz val="9"/>
            <color indexed="81"/>
            <rFont val="Tahoma"/>
            <family val="2"/>
          </rPr>
          <t xml:space="preserve">
As per 2Q23 PR</t>
        </r>
      </text>
    </comment>
    <comment ref="DW346" authorId="5" shapeId="0" xr:uid="{B882304A-50E6-4091-81BA-E8793B43BAAC}">
      <text>
        <r>
          <rPr>
            <b/>
            <sz val="9"/>
            <color indexed="81"/>
            <rFont val="Tahoma"/>
            <family val="2"/>
          </rPr>
          <t>Author:</t>
        </r>
        <r>
          <rPr>
            <sz val="9"/>
            <color indexed="81"/>
            <rFont val="Tahoma"/>
            <family val="2"/>
          </rPr>
          <t xml:space="preserve">
As per 3Q23 PR</t>
        </r>
      </text>
    </comment>
    <comment ref="B349" authorId="8" shapeId="0" xr:uid="{00000000-0006-0000-0200-0000F2030000}">
      <text>
        <r>
          <rPr>
            <b/>
            <sz val="9"/>
            <color indexed="81"/>
            <rFont val="Tahoma"/>
            <family val="2"/>
          </rPr>
          <t>Author:</t>
        </r>
        <r>
          <rPr>
            <sz val="9"/>
            <color indexed="81"/>
            <rFont val="Tahoma"/>
            <family val="2"/>
          </rPr>
          <t xml:space="preserve">
$2bn peak</t>
        </r>
      </text>
    </comment>
    <comment ref="CK350" authorId="7" shapeId="0" xr:uid="{00000000-0006-0000-0200-0000F3030000}">
      <text>
        <r>
          <rPr>
            <b/>
            <sz val="9"/>
            <color indexed="81"/>
            <rFont val="Tahoma"/>
            <family val="2"/>
          </rPr>
          <t>Author:</t>
        </r>
        <r>
          <rPr>
            <sz val="9"/>
            <color indexed="81"/>
            <rFont val="Tahoma"/>
            <family val="2"/>
          </rPr>
          <t xml:space="preserve">
2/17/15: two P2 studies expected to readout in 2015</t>
        </r>
      </text>
    </comment>
    <comment ref="DB351" authorId="8" shapeId="0" xr:uid="{00000000-0006-0000-0200-0000F7030000}">
      <text>
        <r>
          <rPr>
            <b/>
            <sz val="9"/>
            <color indexed="81"/>
            <rFont val="Tahoma"/>
            <family val="2"/>
          </rPr>
          <t>Author:</t>
        </r>
        <r>
          <rPr>
            <sz val="9"/>
            <color indexed="81"/>
            <rFont val="Tahoma"/>
            <family val="2"/>
          </rPr>
          <t xml:space="preserve">
EU filed Oct 2018</t>
        </r>
      </text>
    </comment>
    <comment ref="DA355" authorId="10" shapeId="0" xr:uid="{00000000-0006-0000-0200-0000F9030000}">
      <text>
        <r>
          <rPr>
            <b/>
            <sz val="9"/>
            <color indexed="81"/>
            <rFont val="Tahoma"/>
            <family val="2"/>
          </rPr>
          <t>Author:</t>
        </r>
        <r>
          <rPr>
            <sz val="9"/>
            <color indexed="81"/>
            <rFont val="Tahoma"/>
            <family val="2"/>
          </rPr>
          <t xml:space="preserve">
March 4th PDUFA</t>
        </r>
      </text>
    </comment>
    <comment ref="DB356" authorId="10" shapeId="0" xr:uid="{00000000-0006-0000-0200-0000FA030000}">
      <text>
        <r>
          <rPr>
            <b/>
            <sz val="9"/>
            <color indexed="81"/>
            <rFont val="Tahoma"/>
            <family val="2"/>
          </rPr>
          <t>Author:</t>
        </r>
        <r>
          <rPr>
            <sz val="9"/>
            <color indexed="81"/>
            <rFont val="Tahoma"/>
            <family val="2"/>
          </rPr>
          <t xml:space="preserve">
submitted MAA 10/18/2019</t>
        </r>
      </text>
    </comment>
    <comment ref="C357" authorId="7" shapeId="0" xr:uid="{00000000-0006-0000-0200-0000FD030000}">
      <text>
        <r>
          <rPr>
            <b/>
            <sz val="9"/>
            <color indexed="81"/>
            <rFont val="Tahoma"/>
            <family val="2"/>
          </rPr>
          <t>Author:</t>
        </r>
        <r>
          <rPr>
            <sz val="9"/>
            <color indexed="81"/>
            <rFont val="Tahoma"/>
            <family val="2"/>
          </rPr>
          <t xml:space="preserve">
2/10/15: 3 phase 2 trials</t>
        </r>
      </text>
    </comment>
    <comment ref="DT357" authorId="10" shapeId="0" xr:uid="{00000000-0006-0000-0200-000000040000}">
      <text>
        <r>
          <rPr>
            <b/>
            <sz val="9"/>
            <color indexed="81"/>
            <rFont val="Tahoma"/>
            <family val="2"/>
          </rPr>
          <t>Author:</t>
        </r>
        <r>
          <rPr>
            <sz val="9"/>
            <color indexed="81"/>
            <rFont val="Tahoma"/>
            <family val="2"/>
          </rPr>
          <t xml:space="preserve">
cons 560</t>
        </r>
      </text>
    </comment>
    <comment ref="EK357" authorId="5" shapeId="0" xr:uid="{43217F62-E0CF-4913-9F27-C8398596A06C}">
      <text>
        <r>
          <rPr>
            <b/>
            <sz val="9"/>
            <color indexed="81"/>
            <rFont val="Tahoma"/>
            <family val="2"/>
          </rPr>
          <t>Author:</t>
        </r>
        <r>
          <rPr>
            <sz val="9"/>
            <color indexed="81"/>
            <rFont val="Tahoma"/>
            <family val="2"/>
          </rPr>
          <t xml:space="preserve">
2023 EBR: ~$2.4bn. Highlights 50% higher than current market est of ~$1.6bn</t>
        </r>
      </text>
    </comment>
    <comment ref="DU362" authorId="5" shapeId="0" xr:uid="{4FC70160-DD07-481E-A3A3-4EF25E7F4412}">
      <text>
        <r>
          <rPr>
            <b/>
            <sz val="9"/>
            <color indexed="81"/>
            <rFont val="Tahoma"/>
            <family val="2"/>
          </rPr>
          <t>Author:</t>
        </r>
        <r>
          <rPr>
            <sz val="9"/>
            <color indexed="81"/>
            <rFont val="Tahoma"/>
            <family val="2"/>
          </rPr>
          <t xml:space="preserve">
-5.7% Currency adj. as per PR</t>
        </r>
      </text>
    </comment>
    <comment ref="DV362" authorId="5" shapeId="0" xr:uid="{2090B610-BFBB-4632-BE73-C116716B3C31}">
      <text>
        <r>
          <rPr>
            <b/>
            <sz val="9"/>
            <color indexed="81"/>
            <rFont val="Tahoma"/>
            <family val="2"/>
          </rPr>
          <t>Author:</t>
        </r>
        <r>
          <rPr>
            <sz val="9"/>
            <color indexed="81"/>
            <rFont val="Tahoma"/>
            <family val="2"/>
          </rPr>
          <t xml:space="preserve">
As per 2Q23 PR</t>
        </r>
      </text>
    </comment>
    <comment ref="DW362" authorId="5" shapeId="0" xr:uid="{8D16A843-FBD3-4825-989D-EDE881F58D7E}">
      <text>
        <r>
          <rPr>
            <b/>
            <sz val="9"/>
            <color indexed="81"/>
            <rFont val="Tahoma"/>
            <family val="2"/>
          </rPr>
          <t>Author:</t>
        </r>
        <r>
          <rPr>
            <sz val="9"/>
            <color indexed="81"/>
            <rFont val="Tahoma"/>
            <family val="2"/>
          </rPr>
          <t xml:space="preserve">
As per 3Q23 PR</t>
        </r>
      </text>
    </comment>
    <comment ref="B375" authorId="0" shapeId="0" xr:uid="{00000000-0006-0000-0200-000012010000}">
      <text>
        <r>
          <rPr>
            <b/>
            <sz val="8"/>
            <color indexed="81"/>
            <rFont val="Tahoma"/>
            <family val="2"/>
          </rPr>
          <t>Author:</t>
        </r>
        <r>
          <rPr>
            <sz val="8"/>
            <color indexed="81"/>
            <rFont val="Tahoma"/>
            <family val="2"/>
          </rPr>
          <t xml:space="preserve">
1.14.2009-Migraines make up 70% of scripts, with epilepsy at 16%, and psychotic affective at 6%. Franchise Likely going to get hit very hard at Ticker0018, given that 1) there will be a gap between Product0422 patent expiration and Product0098 approval (4Q 2009). 2) Product0098 migraine indication dropped due to lack of efficacy. 3) Field becoming genericized, with Product0197 for acute migraines, and Product0208 and Product0126 in epilepsy. </t>
        </r>
      </text>
    </comment>
    <comment ref="BC376" authorId="0" shapeId="0" xr:uid="{00000000-0006-0000-0200-000013010000}">
      <text>
        <r>
          <rPr>
            <b/>
            <sz val="8"/>
            <color indexed="81"/>
            <rFont val="Tahoma"/>
            <family val="2"/>
          </rPr>
          <t>Author:</t>
        </r>
        <r>
          <rPr>
            <sz val="8"/>
            <color indexed="81"/>
            <rFont val="Tahoma"/>
            <family val="2"/>
          </rPr>
          <t xml:space="preserve">
Expecting generecism earliest 3.17.2009, likely by end of March, so not much generic risk in 1Q </t>
        </r>
      </text>
    </comment>
    <comment ref="BG376" authorId="31" shapeId="0" xr:uid="{00000000-0006-0000-0200-000014010000}">
      <text>
        <r>
          <rPr>
            <b/>
            <sz val="8"/>
            <color indexed="81"/>
            <rFont val="Tahoma"/>
            <family val="2"/>
          </rPr>
          <t>Author:</t>
        </r>
        <r>
          <rPr>
            <sz val="8"/>
            <color indexed="81"/>
            <rFont val="Tahoma"/>
            <family val="2"/>
          </rPr>
          <t xml:space="preserve">
Generics beginning in March 2009</t>
        </r>
      </text>
    </comment>
    <comment ref="BE377" authorId="0" shapeId="0" xr:uid="{00000000-0006-0000-0200-000015010000}">
      <text>
        <r>
          <rPr>
            <b/>
            <sz val="8"/>
            <color indexed="81"/>
            <rFont val="Tahoma"/>
            <family val="2"/>
          </rPr>
          <t>Author:</t>
        </r>
        <r>
          <rPr>
            <sz val="8"/>
            <color indexed="81"/>
            <rFont val="Tahoma"/>
            <family val="2"/>
          </rPr>
          <t xml:space="preserve">
Assuming genericism in EU by end of September
</t>
        </r>
      </text>
    </comment>
    <comment ref="BD378" authorId="0" shapeId="0" xr:uid="{00000000-0006-0000-0200-000016010000}">
      <text>
        <r>
          <rPr>
            <b/>
            <sz val="8"/>
            <color indexed="81"/>
            <rFont val="Tahoma"/>
            <family val="2"/>
          </rPr>
          <t>Author:</t>
        </r>
        <r>
          <rPr>
            <sz val="8"/>
            <color indexed="81"/>
            <rFont val="Tahoma"/>
            <family val="2"/>
          </rPr>
          <t xml:space="preserve">
cons 228</t>
        </r>
      </text>
    </comment>
    <comment ref="BG381" authorId="30" shapeId="0" xr:uid="{00000000-0006-0000-0200-000017010000}">
      <text>
        <r>
          <rPr>
            <b/>
            <sz val="8"/>
            <color indexed="81"/>
            <rFont val="Tahoma"/>
            <family val="2"/>
          </rPr>
          <t>Author:</t>
        </r>
        <r>
          <rPr>
            <sz val="8"/>
            <color indexed="81"/>
            <rFont val="Tahoma"/>
            <family val="2"/>
          </rPr>
          <t xml:space="preserve">
Composition of matter patent expires in 9/26/2008
7.17.2007 Even if pediatric exclusivity extends patent to March 2009, the Product0098 filing (sometime 2008) may not be early enough to have a sifficient overlap</t>
        </r>
      </text>
    </comment>
    <comment ref="BG382" authorId="31" shapeId="0" xr:uid="{00000000-0006-0000-0200-000018010000}">
      <text>
        <r>
          <rPr>
            <b/>
            <sz val="8"/>
            <color indexed="81"/>
            <rFont val="Tahoma"/>
            <family val="2"/>
          </rPr>
          <t>Author:</t>
        </r>
        <r>
          <rPr>
            <sz val="8"/>
            <color indexed="81"/>
            <rFont val="Tahoma"/>
            <family val="2"/>
          </rPr>
          <t xml:space="preserve">
Sept 2009 compoesition of matter patent expires in EU
</t>
        </r>
      </text>
    </comment>
    <comment ref="B397" authorId="0" shapeId="0" xr:uid="{00000000-0006-0000-0200-000019010000}">
      <text>
        <r>
          <rPr>
            <b/>
            <sz val="8"/>
            <color indexed="81"/>
            <rFont val="Tahoma"/>
            <family val="2"/>
          </rPr>
          <t>Author:</t>
        </r>
        <r>
          <rPr>
            <sz val="8"/>
            <color indexed="81"/>
            <rFont val="Tahoma"/>
            <family val="2"/>
          </rPr>
          <t xml:space="preserve">
Transdermal patch for generic fentanyl delivery, for chronic moderate to acute pain. Sales declines have not been as severe as with most off-patent drugs due to the fact that these are controlled substances, and generics don't have the same impact. Ticker0018 has an agreement with Company2532 to market authorized generic. There are several other fentanyl generics
available as well.</t>
        </r>
      </text>
    </comment>
    <comment ref="BR403" authorId="1" shapeId="0" xr:uid="{00000000-0006-0000-0200-00001A010000}">
      <text>
        <r>
          <rPr>
            <b/>
            <sz val="8"/>
            <color indexed="81"/>
            <rFont val="Tahoma"/>
            <family val="2"/>
          </rPr>
          <t>Author:</t>
        </r>
        <r>
          <rPr>
            <sz val="8"/>
            <color indexed="81"/>
            <rFont val="Tahoma"/>
            <family val="2"/>
          </rPr>
          <t xml:space="preserve">
No reason why 4mn quarter prior- stepped up to be in line with quarter prior</t>
        </r>
      </text>
    </comment>
    <comment ref="B408" authorId="0" shapeId="0" xr:uid="{00000000-0006-0000-0200-00001B010000}">
      <text>
        <r>
          <rPr>
            <b/>
            <sz val="8"/>
            <color indexed="81"/>
            <rFont val="Tahoma"/>
            <family val="2"/>
          </rPr>
          <t>Author:</t>
        </r>
        <r>
          <rPr>
            <sz val="8"/>
            <color indexed="81"/>
            <rFont val="Tahoma"/>
            <family val="2"/>
          </rPr>
          <t xml:space="preserve">
Central acting opioid analgesic for moderate to severe pain, actions at µ-opioid receptor and nonadrenergic and serotonergic systems. Company1166 licensed Tramadol as Product0436/Product0436 ER. Product0436 ER made with Product0380 technology, steadily releases pain throughout day (does this mean dosing 1x/day?). While Tramadol much different chem strucuture than other opioids, closest chemical relative is tapentadol (also developed by Company1166 and member of same chemical class). </t>
        </r>
      </text>
    </comment>
    <comment ref="C409" authorId="24" shapeId="0" xr:uid="{00000000-0006-0000-0200-00001C010000}">
      <text>
        <r>
          <rPr>
            <b/>
            <sz val="8"/>
            <color indexed="81"/>
            <rFont val="Tahoma"/>
            <family val="2"/>
          </rPr>
          <t>Author:</t>
        </r>
        <r>
          <rPr>
            <sz val="8"/>
            <color indexed="81"/>
            <rFont val="Tahoma"/>
            <family val="2"/>
          </rPr>
          <t xml:space="preserve">
9.29.11: Product0436/Product0435 patent expired but Product0436 ER is 5/2014</t>
        </r>
      </text>
    </comment>
    <comment ref="BD409" authorId="0" shapeId="0" xr:uid="{00000000-0006-0000-0200-00001D010000}">
      <text>
        <r>
          <rPr>
            <b/>
            <sz val="8"/>
            <color indexed="81"/>
            <rFont val="Tahoma"/>
            <family val="2"/>
          </rPr>
          <t>Author:</t>
        </r>
        <r>
          <rPr>
            <sz val="8"/>
            <color indexed="81"/>
            <rFont val="Tahoma"/>
            <family val="2"/>
          </rPr>
          <t xml:space="preserve">
70%</t>
        </r>
      </text>
    </comment>
    <comment ref="BB411" authorId="0" shapeId="0" xr:uid="{00000000-0006-0000-0200-00001E010000}">
      <text>
        <r>
          <rPr>
            <b/>
            <sz val="8"/>
            <color indexed="81"/>
            <rFont val="Tahoma"/>
            <family val="2"/>
          </rPr>
          <t>Author:</t>
        </r>
        <r>
          <rPr>
            <sz val="8"/>
            <color indexed="81"/>
            <rFont val="Tahoma"/>
            <family val="2"/>
          </rPr>
          <t xml:space="preserve">
includes ER</t>
        </r>
      </text>
    </comment>
    <comment ref="BD411" authorId="0" shapeId="0" xr:uid="{00000000-0006-0000-0200-00001F010000}">
      <text>
        <r>
          <rPr>
            <b/>
            <sz val="8"/>
            <color indexed="81"/>
            <rFont val="Tahoma"/>
            <family val="2"/>
          </rPr>
          <t>Author:</t>
        </r>
        <r>
          <rPr>
            <sz val="8"/>
            <color indexed="81"/>
            <rFont val="Tahoma"/>
            <family val="2"/>
          </rPr>
          <t xml:space="preserve">
reported down 6% CC down .1%
Product0436 ER launched late 2006. Out of launch mode. Has hit steady state, growing minorly. </t>
        </r>
      </text>
    </comment>
    <comment ref="BH414" authorId="0" shapeId="0" xr:uid="{00000000-0006-0000-0200-000020010000}">
      <text>
        <r>
          <rPr>
            <b/>
            <sz val="8"/>
            <color indexed="81"/>
            <rFont val="Tahoma"/>
            <family val="2"/>
          </rPr>
          <t>Author:</t>
        </r>
        <r>
          <rPr>
            <sz val="8"/>
            <color indexed="81"/>
            <rFont val="Tahoma"/>
            <family val="2"/>
          </rPr>
          <t xml:space="preserve">
20% decline. Generic competition launched at risk in UE</t>
        </r>
      </text>
    </comment>
    <comment ref="BL414" authorId="0" shapeId="0" xr:uid="{00000000-0006-0000-0200-000021010000}">
      <text>
        <r>
          <rPr>
            <b/>
            <sz val="8"/>
            <color indexed="81"/>
            <rFont val="Tahoma"/>
            <family val="2"/>
          </rPr>
          <t>Author:</t>
        </r>
        <r>
          <rPr>
            <sz val="8"/>
            <color indexed="81"/>
            <rFont val="Tahoma"/>
            <family val="2"/>
          </rPr>
          <t xml:space="preserve">
assuming flat organic with remainder due to cannibalization from Product0267</t>
        </r>
      </text>
    </comment>
    <comment ref="CF414" authorId="0" shapeId="0" xr:uid="{00000000-0006-0000-0200-000022010000}">
      <text>
        <r>
          <rPr>
            <b/>
            <sz val="8"/>
            <color indexed="81"/>
            <rFont val="Tahoma"/>
            <family val="2"/>
          </rPr>
          <t>Author:</t>
        </r>
        <r>
          <rPr>
            <sz val="8"/>
            <color indexed="81"/>
            <rFont val="Tahoma"/>
            <family val="2"/>
          </rPr>
          <t xml:space="preserve">
Generic 5/10/2014, although generics have launched at rsk</t>
        </r>
      </text>
    </comment>
    <comment ref="BH415" authorId="0" shapeId="0" xr:uid="{00000000-0006-0000-0200-000023010000}">
      <text>
        <r>
          <rPr>
            <b/>
            <sz val="8"/>
            <color indexed="81"/>
            <rFont val="Tahoma"/>
            <family val="2"/>
          </rPr>
          <t>Author:</t>
        </r>
        <r>
          <rPr>
            <sz val="8"/>
            <color indexed="81"/>
            <rFont val="Tahoma"/>
            <family val="2"/>
          </rPr>
          <t xml:space="preserve">
positive mid single digit</t>
        </r>
      </text>
    </comment>
    <comment ref="CF415" authorId="0" shapeId="0" xr:uid="{00000000-0006-0000-0200-000024010000}">
      <text>
        <r>
          <rPr>
            <b/>
            <sz val="8"/>
            <color indexed="81"/>
            <rFont val="Tahoma"/>
            <family val="2"/>
          </rPr>
          <t>Author:</t>
        </r>
        <r>
          <rPr>
            <sz val="8"/>
            <color indexed="81"/>
            <rFont val="Tahoma"/>
            <family val="2"/>
          </rPr>
          <t xml:space="preserve">
assuming generic same year as US</t>
        </r>
      </text>
    </comment>
    <comment ref="BD416" authorId="0" shapeId="0" xr:uid="{00000000-0006-0000-0200-000025010000}">
      <text>
        <r>
          <rPr>
            <b/>
            <sz val="8"/>
            <color indexed="81"/>
            <rFont val="Tahoma"/>
            <family val="2"/>
          </rPr>
          <t>Author:</t>
        </r>
        <r>
          <rPr>
            <sz val="8"/>
            <color indexed="81"/>
            <rFont val="Tahoma"/>
            <family val="2"/>
          </rPr>
          <t xml:space="preserve">
+3%</t>
        </r>
      </text>
    </comment>
    <comment ref="B419" authorId="0" shapeId="0" xr:uid="{00000000-0006-0000-0200-000026010000}">
      <text>
        <r>
          <rPr>
            <b/>
            <sz val="8"/>
            <color indexed="81"/>
            <rFont val="Tahoma"/>
            <family val="2"/>
          </rPr>
          <t>Author:</t>
        </r>
        <r>
          <rPr>
            <sz val="8"/>
            <color indexed="81"/>
            <rFont val="Tahoma"/>
            <family val="2"/>
          </rPr>
          <t xml:space="preserve">
1.14.2008 mu-opiod receptor agonist and norepinephrine reuptake inhibitor, pain reduction comparable to oxycodone with decreased side effects (constipation). Developed by Company1166 (same as Product0436) with Ticker0018, filed under NDA, first new drug in class in more than 25 yrs. See "tapentadol opportunity" chart. 
Tamper resistant formulation in pipeline. 
sNDA for ER/long acting in chronic pain to come likely 2010, current program is for IR/short acting. Approved 11.24.2008, DEA classification scheduled 60-90 days after. US program only . Total US pain market is $18bn (opioids $8bn, anti-migraine $2.5, Cox-2s $4.4, NSAIDs $1.9bn, Other, $1.5bn). Tapentadol in chronic&amp; acute moderate-to-severe segment of opioid market which totals $6bn (Fentanyl $1.6bn, Oxycodone, $1.9, Morphine $0.9, Hydromorphone $0.7, Other $0.7). Oxycodone was the comparator in Tapentadol trials. Morphine share may also be available to take.</t>
        </r>
      </text>
    </comment>
    <comment ref="BE420" authorId="28" shapeId="0" xr:uid="{00000000-0006-0000-0200-000027010000}">
      <text>
        <r>
          <rPr>
            <b/>
            <sz val="8"/>
            <color indexed="81"/>
            <rFont val="Tahoma"/>
            <family val="2"/>
          </rPr>
          <t>Author:</t>
        </r>
        <r>
          <rPr>
            <sz val="8"/>
            <color indexed="81"/>
            <rFont val="Tahoma"/>
            <family val="2"/>
          </rPr>
          <t xml:space="preserve">
5/27: received Schedule 2; launched June 23.  Similar efficacy to oxycodon with less GI issues.  ER file later this year. Expect ER approval 3Q2010.
US Canada and Japan
OROS tamper resistant bioequivalent strategy. </t>
        </r>
      </text>
    </comment>
    <comment ref="BH420" authorId="0" shapeId="0" xr:uid="{00000000-0006-0000-0200-000028010000}">
      <text>
        <r>
          <rPr>
            <b/>
            <sz val="8"/>
            <color indexed="81"/>
            <rFont val="Tahoma"/>
            <family val="2"/>
          </rPr>
          <t>Author:</t>
        </r>
        <r>
          <rPr>
            <sz val="8"/>
            <color indexed="81"/>
            <rFont val="Tahoma"/>
            <family val="2"/>
          </rPr>
          <t xml:space="preserve">
5.5% of dollar market share. 0.5% growth from 4Q</t>
        </r>
      </text>
    </comment>
    <comment ref="BI420" authorId="0" shapeId="0" xr:uid="{00000000-0006-0000-0200-000029010000}">
      <text>
        <r>
          <rPr>
            <b/>
            <sz val="8"/>
            <color indexed="81"/>
            <rFont val="Tahoma"/>
            <family val="2"/>
          </rPr>
          <t>Author:</t>
        </r>
        <r>
          <rPr>
            <sz val="8"/>
            <color indexed="81"/>
            <rFont val="Tahoma"/>
            <family val="2"/>
          </rPr>
          <t xml:space="preserve">
7.3% dollar share 2Q</t>
        </r>
      </text>
    </comment>
    <comment ref="BL420" authorId="0" shapeId="0" xr:uid="{00000000-0006-0000-0200-00002A010000}">
      <text>
        <r>
          <rPr>
            <b/>
            <sz val="8"/>
            <color indexed="81"/>
            <rFont val="Tahoma"/>
            <family val="2"/>
          </rPr>
          <t>Author:</t>
        </r>
        <r>
          <rPr>
            <sz val="8"/>
            <color indexed="81"/>
            <rFont val="Tahoma"/>
            <family val="2"/>
          </rPr>
          <t xml:space="preserve">
ER formulation delayed; received CRL</t>
        </r>
      </text>
    </comment>
    <comment ref="CH420" authorId="7" shapeId="0" xr:uid="{00000000-0006-0000-0200-00002B010000}">
      <text>
        <r>
          <rPr>
            <b/>
            <sz val="9"/>
            <color indexed="81"/>
            <rFont val="Tahoma"/>
            <family val="2"/>
          </rPr>
          <t>Author:</t>
        </r>
        <r>
          <rPr>
            <sz val="9"/>
            <color indexed="81"/>
            <rFont val="Tahoma"/>
            <family val="2"/>
          </rPr>
          <t xml:space="preserve">
4/2/15: deal closed
1/15/15: divested US rights to Product0267, Product0267 ER, and Product0267 oral solution-- DEAL CLOSES 2Q15</t>
        </r>
      </text>
    </comment>
    <comment ref="BI421" authorId="0" shapeId="0" xr:uid="{00000000-0006-0000-0200-00002C010000}">
      <text>
        <r>
          <rPr>
            <b/>
            <sz val="8"/>
            <color indexed="81"/>
            <rFont val="Tahoma"/>
            <family val="2"/>
          </rPr>
          <t>Author:</t>
        </r>
        <r>
          <rPr>
            <sz val="8"/>
            <color indexed="81"/>
            <rFont val="Tahoma"/>
            <family val="2"/>
          </rPr>
          <t xml:space="preserve">
</t>
        </r>
      </text>
    </comment>
    <comment ref="BD431" authorId="0" shapeId="0" xr:uid="{00000000-0006-0000-0200-00002D010000}">
      <text>
        <r>
          <rPr>
            <b/>
            <sz val="8"/>
            <color indexed="81"/>
            <rFont val="Tahoma"/>
            <family val="2"/>
          </rPr>
          <t>Author:</t>
        </r>
        <r>
          <rPr>
            <sz val="8"/>
            <color indexed="81"/>
            <rFont val="Tahoma"/>
            <family val="2"/>
          </rPr>
          <t xml:space="preserve">
Still in discussions with FDA </t>
        </r>
      </text>
    </comment>
    <comment ref="BE431" authorId="0" shapeId="0" xr:uid="{00000000-0006-0000-0200-00002E010000}">
      <text>
        <r>
          <rPr>
            <b/>
            <sz val="8"/>
            <color indexed="81"/>
            <rFont val="Tahoma"/>
            <family val="2"/>
          </rPr>
          <t>Author:</t>
        </r>
        <r>
          <rPr>
            <sz val="8"/>
            <color indexed="81"/>
            <rFont val="Tahoma"/>
            <family val="2"/>
          </rPr>
          <t xml:space="preserve">
meet with FDA later this year. Safety database larger than initial filing, June 4th review, that data is additive to what initially filed with. </t>
        </r>
      </text>
    </comment>
    <comment ref="C432" authorId="24" shapeId="0" xr:uid="{00000000-0006-0000-0200-00002F010000}">
      <text>
        <r>
          <rPr>
            <b/>
            <sz val="8"/>
            <color indexed="81"/>
            <rFont val="Tahoma"/>
            <family val="2"/>
          </rPr>
          <t>Author:</t>
        </r>
        <r>
          <rPr>
            <sz val="8"/>
            <color indexed="81"/>
            <rFont val="Tahoma"/>
            <family val="2"/>
          </rPr>
          <t xml:space="preserve">
Method of use. 
Comp matter expired</t>
        </r>
      </text>
    </comment>
    <comment ref="BD432" authorId="0" shapeId="0" xr:uid="{00000000-0006-0000-0200-000030010000}">
      <text>
        <r>
          <rPr>
            <b/>
            <sz val="8"/>
            <color indexed="81"/>
            <rFont val="Tahoma"/>
            <family val="2"/>
          </rPr>
          <t>Author:</t>
        </r>
        <r>
          <rPr>
            <sz val="8"/>
            <color indexed="81"/>
            <rFont val="Tahoma"/>
            <family val="2"/>
          </rPr>
          <t xml:space="preserve">
really small finland sweden austria portugal germany spain italy</t>
        </r>
      </text>
    </comment>
    <comment ref="BE432" authorId="0" shapeId="0" xr:uid="{00000000-0006-0000-0200-000031010000}">
      <text>
        <r>
          <rPr>
            <b/>
            <sz val="8"/>
            <color indexed="81"/>
            <rFont val="Tahoma"/>
            <family val="2"/>
          </rPr>
          <t>Author:</t>
        </r>
        <r>
          <rPr>
            <sz val="8"/>
            <color indexed="81"/>
            <rFont val="Tahoma"/>
            <family val="2"/>
          </rPr>
          <t xml:space="preserve">
approval in only a few countries</t>
        </r>
      </text>
    </comment>
    <comment ref="BG432" authorId="0" shapeId="0" xr:uid="{00000000-0006-0000-0200-000032010000}">
      <text>
        <r>
          <rPr>
            <b/>
            <sz val="8"/>
            <color indexed="81"/>
            <rFont val="Tahoma"/>
            <family val="2"/>
          </rPr>
          <t>Author:</t>
        </r>
        <r>
          <rPr>
            <sz val="8"/>
            <color indexed="81"/>
            <rFont val="Tahoma"/>
            <family val="2"/>
          </rPr>
          <t xml:space="preserve">
39 cons</t>
        </r>
      </text>
    </comment>
    <comment ref="BL432" authorId="0" shapeId="0" xr:uid="{00000000-0006-0000-0200-000033010000}">
      <text>
        <r>
          <rPr>
            <b/>
            <sz val="8"/>
            <color indexed="81"/>
            <rFont val="Tahoma"/>
            <family val="2"/>
          </rPr>
          <t>Author:</t>
        </r>
        <r>
          <rPr>
            <sz val="8"/>
            <color indexed="81"/>
            <rFont val="Tahoma"/>
            <family val="2"/>
          </rPr>
          <t xml:space="preserve">
84</t>
        </r>
      </text>
    </comment>
    <comment ref="BQ432" authorId="0" shapeId="0" xr:uid="{00000000-0006-0000-0200-000034010000}">
      <text>
        <r>
          <rPr>
            <b/>
            <sz val="8"/>
            <color indexed="81"/>
            <rFont val="Tahoma"/>
            <family val="2"/>
          </rPr>
          <t>Author:</t>
        </r>
        <r>
          <rPr>
            <sz val="8"/>
            <color indexed="81"/>
            <rFont val="Tahoma"/>
            <family val="2"/>
          </rPr>
          <t xml:space="preserve">
126</t>
        </r>
      </text>
    </comment>
    <comment ref="BT432" authorId="21" shapeId="0" xr:uid="{00000000-0006-0000-0200-000035010000}">
      <text>
        <r>
          <rPr>
            <b/>
            <sz val="8"/>
            <color indexed="81"/>
            <rFont val="Tahoma"/>
            <family val="2"/>
          </rPr>
          <t>Author:</t>
        </r>
        <r>
          <rPr>
            <sz val="8"/>
            <color indexed="81"/>
            <rFont val="Tahoma"/>
            <family val="2"/>
          </rPr>
          <t xml:space="preserve">
7.30.2012
• Company1047 Pharmaceuticals has completed an agreement whereby Company0086 and Company1426 will transfer worldwide rights for Product0309 to Company1047. </t>
        </r>
      </text>
    </comment>
    <comment ref="BT438" authorId="21" shapeId="0" xr:uid="{00000000-0006-0000-0200-000036010000}">
      <text>
        <r>
          <rPr>
            <b/>
            <sz val="8"/>
            <color indexed="81"/>
            <rFont val="Tahoma"/>
            <family val="2"/>
          </rPr>
          <t>Author:</t>
        </r>
        <r>
          <rPr>
            <sz val="8"/>
            <color indexed="81"/>
            <rFont val="Tahoma"/>
            <family val="2"/>
          </rPr>
          <t xml:space="preserve">
7.30.2012
• Company1047 Pharmaceuticals has completed an agreement whereby Company0086 and Company1426 will transfer worldwide rights for Product0309 to Company1047. </t>
        </r>
      </text>
    </comment>
    <comment ref="B441" authorId="0" shapeId="0" xr:uid="{00000000-0006-0000-0200-000037010000}">
      <text>
        <r>
          <rPr>
            <b/>
            <sz val="8"/>
            <color indexed="81"/>
            <rFont val="Tahoma"/>
            <family val="2"/>
          </rPr>
          <t>Author:</t>
        </r>
        <r>
          <rPr>
            <sz val="8"/>
            <color indexed="81"/>
            <rFont val="Tahoma"/>
            <family val="2"/>
          </rPr>
          <t xml:space="preserve">
Alzheimers indication
Per sanochemia presentation; Product0337 (galantamine) product advantage-purity, availability, and consistency of API quality vis-à-vis biological galantamine. Additional fn of galantamine as nicotinic receptor modulator. </t>
        </r>
      </text>
    </comment>
    <comment ref="C442" authorId="0" shapeId="0" xr:uid="{00000000-0006-0000-0200-000038010000}">
      <text>
        <r>
          <rPr>
            <b/>
            <sz val="8"/>
            <color indexed="81"/>
            <rFont val="Tahoma"/>
            <family val="2"/>
          </rPr>
          <t>Author:</t>
        </r>
        <r>
          <rPr>
            <sz val="8"/>
            <color indexed="81"/>
            <rFont val="Tahoma"/>
            <family val="2"/>
          </rPr>
          <t xml:space="preserve">
12/14/2008 is method of use, while formulation goes to 2014, and patenting of improved manufacturing process could mean patent protection until 2027</t>
        </r>
      </text>
    </comment>
    <comment ref="BA442" authorId="0" shapeId="0" xr:uid="{00000000-0006-0000-0200-000039010000}">
      <text>
        <r>
          <rPr>
            <b/>
            <sz val="8"/>
            <color indexed="81"/>
            <rFont val="Tahoma"/>
            <family val="2"/>
          </rPr>
          <t>Author:</t>
        </r>
        <r>
          <rPr>
            <sz val="8"/>
            <color indexed="81"/>
            <rFont val="Tahoma"/>
            <family val="2"/>
          </rPr>
          <t xml:space="preserve">
Patent expired</t>
        </r>
      </text>
    </comment>
    <comment ref="C443" authorId="0" shapeId="0" xr:uid="{00000000-0006-0000-0200-00003A010000}">
      <text>
        <r>
          <rPr>
            <b/>
            <sz val="8"/>
            <color indexed="81"/>
            <rFont val="Tahoma"/>
            <family val="2"/>
          </rPr>
          <t>Author:</t>
        </r>
        <r>
          <rPr>
            <sz val="8"/>
            <color indexed="81"/>
            <rFont val="Tahoma"/>
            <family val="2"/>
          </rPr>
          <t xml:space="preserve">
patent extension. Lose exclusivity in UK in march 2010. Ticker0018 co-marketing in UK</t>
        </r>
      </text>
    </comment>
    <comment ref="BD443" authorId="0" shapeId="0" xr:uid="{00000000-0006-0000-0200-00003B010000}">
      <text>
        <r>
          <rPr>
            <b/>
            <sz val="8"/>
            <color indexed="81"/>
            <rFont val="Tahoma"/>
            <family val="2"/>
          </rPr>
          <t>Author:</t>
        </r>
        <r>
          <rPr>
            <sz val="8"/>
            <color indexed="81"/>
            <rFont val="Tahoma"/>
            <family val="2"/>
          </rPr>
          <t xml:space="preserve">
flat Qoq</t>
        </r>
      </text>
    </comment>
    <comment ref="BB444" authorId="0" shapeId="0" xr:uid="{00000000-0006-0000-0200-00003C010000}">
      <text>
        <r>
          <rPr>
            <b/>
            <sz val="8"/>
            <color indexed="81"/>
            <rFont val="Tahoma"/>
            <family val="2"/>
          </rPr>
          <t>Author:</t>
        </r>
        <r>
          <rPr>
            <sz val="8"/>
            <color indexed="81"/>
            <rFont val="Tahoma"/>
            <family val="2"/>
          </rPr>
          <t xml:space="preserve">
32 mn in royalty reported by Company2560. It's 50% of their other royalty income. </t>
        </r>
      </text>
    </comment>
    <comment ref="BA447" authorId="31" shapeId="0" xr:uid="{00000000-0006-0000-0200-00003D010000}">
      <text>
        <r>
          <rPr>
            <b/>
            <sz val="8"/>
            <color indexed="81"/>
            <rFont val="Tahoma"/>
            <family val="2"/>
          </rPr>
          <t>Author:
patent expires Dec 2008</t>
        </r>
      </text>
    </comment>
    <comment ref="BB447" authorId="31" shapeId="0" xr:uid="{00000000-0006-0000-0200-00003E010000}">
      <text>
        <r>
          <rPr>
            <b/>
            <sz val="8"/>
            <color indexed="81"/>
            <rFont val="Tahoma"/>
            <family val="2"/>
          </rPr>
          <t>Author:
patent expires Dec 2008</t>
        </r>
      </text>
    </comment>
    <comment ref="DA454" authorId="10" shapeId="0" xr:uid="{00000000-0006-0000-0200-00003F010000}">
      <text>
        <r>
          <rPr>
            <b/>
            <sz val="9"/>
            <color indexed="81"/>
            <rFont val="Tahoma"/>
            <family val="2"/>
          </rPr>
          <t>Author:</t>
        </r>
        <r>
          <rPr>
            <sz val="9"/>
            <color indexed="81"/>
            <rFont val="Tahoma"/>
            <family val="2"/>
          </rPr>
          <t xml:space="preserve">
Product0385 approved in March 2019; 800 centers certified/approved to date</t>
        </r>
      </text>
    </comment>
    <comment ref="DU454" authorId="5" shapeId="0" xr:uid="{AB2A0BD7-63A0-4378-AFA6-9E53BF260DF1}">
      <text>
        <r>
          <rPr>
            <b/>
            <sz val="9"/>
            <color indexed="81"/>
            <rFont val="Tahoma"/>
            <family val="2"/>
          </rPr>
          <t>Author:</t>
        </r>
        <r>
          <rPr>
            <sz val="9"/>
            <color indexed="81"/>
            <rFont val="Tahoma"/>
            <family val="2"/>
          </rPr>
          <t xml:space="preserve">
1Q23: Now includes Risperdal Consta</t>
        </r>
      </text>
    </comment>
    <comment ref="DU461" authorId="5" shapeId="0" xr:uid="{F593BAD9-68D1-464A-A31F-1AA07E57F3FC}">
      <text>
        <r>
          <rPr>
            <b/>
            <sz val="9"/>
            <color indexed="81"/>
            <rFont val="Tahoma"/>
            <family val="2"/>
          </rPr>
          <t>Author:</t>
        </r>
        <r>
          <rPr>
            <sz val="9"/>
            <color indexed="81"/>
            <rFont val="Tahoma"/>
            <family val="2"/>
          </rPr>
          <t xml:space="preserve">
-3.1% Currency adj. as per PR</t>
        </r>
      </text>
    </comment>
    <comment ref="DV461" authorId="5" shapeId="0" xr:uid="{0E68ADB7-F509-4673-8E01-6E00E834E5F4}">
      <text>
        <r>
          <rPr>
            <b/>
            <sz val="9"/>
            <color indexed="81"/>
            <rFont val="Tahoma"/>
            <family val="2"/>
          </rPr>
          <t>Author:</t>
        </r>
        <r>
          <rPr>
            <sz val="9"/>
            <color indexed="81"/>
            <rFont val="Tahoma"/>
            <family val="2"/>
          </rPr>
          <t xml:space="preserve">
As per 2Q23 PR</t>
        </r>
      </text>
    </comment>
    <comment ref="DW461" authorId="5" shapeId="0" xr:uid="{0B76D1A4-54B7-43AE-B5B5-B70D2E48B28C}">
      <text>
        <r>
          <rPr>
            <b/>
            <sz val="9"/>
            <color indexed="81"/>
            <rFont val="Tahoma"/>
            <family val="2"/>
          </rPr>
          <t>Author:</t>
        </r>
        <r>
          <rPr>
            <sz val="9"/>
            <color indexed="81"/>
            <rFont val="Tahoma"/>
            <family val="2"/>
          </rPr>
          <t xml:space="preserve">
As per 3Q23 PR</t>
        </r>
      </text>
    </comment>
    <comment ref="DX461" authorId="5" shapeId="0" xr:uid="{E6CEAF32-0B67-4608-870C-4660B1531161}">
      <text>
        <r>
          <rPr>
            <b/>
            <sz val="9"/>
            <color indexed="81"/>
            <rFont val="Tahoma"/>
            <family val="2"/>
          </rPr>
          <t>Author:</t>
        </r>
        <r>
          <rPr>
            <sz val="9"/>
            <color indexed="81"/>
            <rFont val="Tahoma"/>
            <family val="2"/>
          </rPr>
          <t xml:space="preserve">
As per 2Q23 PR</t>
        </r>
      </text>
    </comment>
    <comment ref="DG466" authorId="13" shapeId="0" xr:uid="{00000000-0006-0000-0200-000040010000}">
      <text>
        <r>
          <rPr>
            <b/>
            <sz val="9"/>
            <color indexed="81"/>
            <rFont val="Tahoma"/>
            <family val="2"/>
          </rPr>
          <t>Author:</t>
        </r>
        <r>
          <rPr>
            <sz val="9"/>
            <color indexed="81"/>
            <rFont val="Tahoma"/>
            <family val="2"/>
          </rPr>
          <t xml:space="preserve">
</t>
        </r>
      </text>
    </comment>
    <comment ref="DE467" authorId="10" shapeId="0" xr:uid="{00000000-0006-0000-0200-000041010000}">
      <text>
        <r>
          <rPr>
            <b/>
            <sz val="9"/>
            <color indexed="81"/>
            <rFont val="Tahoma"/>
            <family val="2"/>
          </rPr>
          <t>Author:</t>
        </r>
        <r>
          <rPr>
            <sz val="9"/>
            <color indexed="81"/>
            <rFont val="Tahoma"/>
            <family val="2"/>
          </rPr>
          <t xml:space="preserve">
cons 10.1</t>
        </r>
      </text>
    </comment>
    <comment ref="DJ467" authorId="10" shapeId="0" xr:uid="{00000000-0006-0000-0200-000042010000}">
      <text>
        <r>
          <rPr>
            <b/>
            <sz val="9"/>
            <color indexed="81"/>
            <rFont val="Tahoma"/>
            <family val="2"/>
          </rPr>
          <t>Author:</t>
        </r>
        <r>
          <rPr>
            <sz val="9"/>
            <color indexed="81"/>
            <rFont val="Tahoma"/>
            <family val="2"/>
          </rPr>
          <t xml:space="preserve">
cons 11.5</t>
        </r>
      </text>
    </comment>
    <comment ref="DO467" authorId="10" shapeId="0" xr:uid="{00000000-0006-0000-0200-000043010000}">
      <text>
        <r>
          <rPr>
            <b/>
            <sz val="9"/>
            <color indexed="81"/>
            <rFont val="Tahoma"/>
            <family val="2"/>
          </rPr>
          <t>Author:</t>
        </r>
        <r>
          <rPr>
            <sz val="9"/>
            <color indexed="81"/>
            <rFont val="Tahoma"/>
            <family val="2"/>
          </rPr>
          <t xml:space="preserve">
cons 13.2</t>
        </r>
      </text>
    </comment>
    <comment ref="DT467" authorId="10" shapeId="0" xr:uid="{00000000-0006-0000-0200-000044010000}">
      <text>
        <r>
          <rPr>
            <b/>
            <sz val="9"/>
            <color indexed="81"/>
            <rFont val="Tahoma"/>
            <family val="2"/>
          </rPr>
          <t>Author:</t>
        </r>
        <r>
          <rPr>
            <sz val="9"/>
            <color indexed="81"/>
            <rFont val="Tahoma"/>
            <family val="2"/>
          </rPr>
          <t xml:space="preserve">
cons 14.2</t>
        </r>
      </text>
    </comment>
    <comment ref="DV472" authorId="5" shapeId="0" xr:uid="{6E0C669B-6BAB-4C02-A582-1E0B4F790D7C}">
      <text>
        <r>
          <rPr>
            <b/>
            <sz val="9"/>
            <color indexed="81"/>
            <rFont val="Tahoma"/>
            <family val="2"/>
          </rPr>
          <t>Author:</t>
        </r>
        <r>
          <rPr>
            <sz val="9"/>
            <color indexed="81"/>
            <rFont val="Tahoma"/>
            <family val="2"/>
          </rPr>
          <t xml:space="preserve">
As per 2Q23 PR</t>
        </r>
      </text>
    </comment>
    <comment ref="DW472" authorId="5" shapeId="0" xr:uid="{6CC42324-E118-4C11-987D-50DB45701F88}">
      <text>
        <r>
          <rPr>
            <b/>
            <sz val="9"/>
            <color indexed="81"/>
            <rFont val="Tahoma"/>
            <family val="2"/>
          </rPr>
          <t>Author:</t>
        </r>
        <r>
          <rPr>
            <sz val="9"/>
            <color indexed="81"/>
            <rFont val="Tahoma"/>
            <family val="2"/>
          </rPr>
          <t xml:space="preserve">
As per 3Q23 PR</t>
        </r>
      </text>
    </comment>
    <comment ref="B475" authorId="0" shapeId="0" xr:uid="{00000000-0006-0000-0200-000045010000}">
      <text>
        <r>
          <rPr>
            <b/>
            <sz val="8"/>
            <color indexed="81"/>
            <rFont val="Tahoma"/>
            <family val="2"/>
          </rPr>
          <t>Author:</t>
        </r>
        <r>
          <rPr>
            <sz val="8"/>
            <color indexed="81"/>
            <rFont val="Tahoma"/>
            <family val="2"/>
          </rPr>
          <t xml:space="preserve">
Proteosome inhibitor indicated for second-line treatment of multiple myeloma (54,000 prevalent and 17,000 incident US patients, with 60% being on therapy at any time) and all-line mantle cell lymphoma. first-line MM should have come by end of 2008 (COMPANY2908-not eligible for stem cell/Company1080 for stem cell trials looked good). 
OUS marketing rights licensed from Company1819 for which Company1390 pays a royalty of roughly 20%. US co-marketing agreement where Company1818 books revenues and Company1390 receives distribution fee.  
Product0443 acts by reactivating apoptosis of tumor cells, retarding cell cycle
acceleration, and influencing the tumor micro-environment (through increased
cytokine release / sensitivity).
Product0443 vs Product0346 efficacy (although no H2H), but Product0345 better administration as oral vs Product0443 IV. In the setting of mono and dual therapy, Product0345 has demonstrated lower incidence of peripheral neuropathy (thereby making it more suitable for maintenance therapy). However, this difference might be reduced when Product0443 used in combination therapy w/ 2 or 3 others and if the dose is modified. Product0443 may pose lower risk of thromboembolic events than Product0345. 
</t>
        </r>
      </text>
    </comment>
    <comment ref="C476" authorId="0" shapeId="0" xr:uid="{00000000-0006-0000-0200-000046010000}">
      <text>
        <r>
          <rPr>
            <b/>
            <sz val="8"/>
            <color indexed="81"/>
            <rFont val="Tahoma"/>
            <family val="2"/>
          </rPr>
          <t>Author:</t>
        </r>
        <r>
          <rPr>
            <sz val="8"/>
            <color indexed="81"/>
            <rFont val="Tahoma"/>
            <family val="2"/>
          </rPr>
          <t xml:space="preserve">
Orphan drug exclusivity out to 3/25/2012</t>
        </r>
      </text>
    </comment>
    <comment ref="B477" authorId="0" shapeId="0" xr:uid="{00000000-0006-0000-0200-000047010000}">
      <text>
        <r>
          <rPr>
            <b/>
            <sz val="8"/>
            <color indexed="81"/>
            <rFont val="Tahoma"/>
            <family val="2"/>
          </rPr>
          <t>Author:</t>
        </r>
        <r>
          <rPr>
            <sz val="8"/>
            <color indexed="81"/>
            <rFont val="Tahoma"/>
            <family val="2"/>
          </rPr>
          <t xml:space="preserve">
Proteosome inhibitor indicated for second-line treatment of multiple myeloma (54,000 prevalent and 17,000 incident US patients, with 60% being on therapy at any time) and all-line mantle cell lymphoma. first-line MM should have come by end of 2008 (COMPANY2908-not eligible for stem cell/Company1080 for stem cell trials looked good). 
OUS marketing rights licensed from Company1819 for which Company1390 pays a royalty of roughly 20%. US co-marketing agreement where Company1818 books revenues and Company1390 receives distribution fee.  
Product0443 acts by reactivating apoptosis of tumor cells, retarding cell cycle
acceleration, and influencing the tumor micro-environment (through increased
cytokine release / sensitivity).
Product0443 vs Product0346 efficacy (although no H2H), but Product0345 better administration as oral vs Product0443 IV. In the setting of mono and dual therapy, Product0345 has demonstrated lower incidence of peripheral neuropathy (thereby making it more suitable for maintenance therapy). However, this difference might be reduced when Product0443 used in combination therapy w/ 2 or 3 others and if the dose is modified. Product0443 may pose lower risk of thromboembolic events than Product0345. 
</t>
        </r>
      </text>
    </comment>
    <comment ref="C477" authorId="22" shapeId="0" xr:uid="{00000000-0006-0000-0200-000048010000}">
      <text>
        <r>
          <rPr>
            <b/>
            <sz val="8"/>
            <color indexed="81"/>
            <rFont val="Tahoma"/>
            <family val="2"/>
          </rPr>
          <t>Author:</t>
        </r>
        <r>
          <rPr>
            <sz val="8"/>
            <color indexed="81"/>
            <rFont val="Tahoma"/>
            <family val="2"/>
          </rPr>
          <t xml:space="preserve">
Oct 2015 EU composition of matter expires, but Person0455 Person1171 type extension to 2019 in most EU countries</t>
        </r>
      </text>
    </comment>
    <comment ref="BJ478" authorId="18" shapeId="0" xr:uid="{00000000-0006-0000-0200-000049010000}">
      <text>
        <r>
          <rPr>
            <b/>
            <sz val="8"/>
            <color indexed="81"/>
            <rFont val="Tahoma"/>
            <family val="2"/>
          </rPr>
          <t>Author:</t>
        </r>
        <r>
          <rPr>
            <sz val="8"/>
            <color indexed="81"/>
            <rFont val="Tahoma"/>
            <family val="2"/>
          </rPr>
          <t xml:space="preserve">
timing of shipments related to tenders impacted the rate of growth in the quarter.</t>
        </r>
      </text>
    </comment>
    <comment ref="CF481" authorId="0" shapeId="0" xr:uid="{00000000-0006-0000-0200-00004A010000}">
      <text>
        <r>
          <rPr>
            <b/>
            <sz val="8"/>
            <color indexed="81"/>
            <rFont val="Tahoma"/>
            <family val="2"/>
          </rPr>
          <t>Author:</t>
        </r>
        <r>
          <rPr>
            <sz val="8"/>
            <color indexed="81"/>
            <rFont val="Tahoma"/>
            <family val="2"/>
          </rPr>
          <t xml:space="preserve">
loses patent protection</t>
        </r>
      </text>
    </comment>
    <comment ref="BW482" authorId="21" shapeId="0" xr:uid="{00000000-0006-0000-0200-00004B010000}">
      <text>
        <r>
          <rPr>
            <b/>
            <sz val="8"/>
            <color indexed="81"/>
            <rFont val="Tahoma"/>
            <family val="2"/>
          </rPr>
          <t>Author:</t>
        </r>
        <r>
          <rPr>
            <sz val="8"/>
            <color indexed="81"/>
            <rFont val="Tahoma"/>
            <family val="2"/>
          </rPr>
          <t xml:space="preserve">
4.16.13 As I mentioned last quarter, timing of tender business negatively impacted the growth rate in the first quarter of 2013. Excluding the timing of the
tender business, operational growth was over 20%.</t>
        </r>
      </text>
    </comment>
    <comment ref="BX483" authorId="21" shapeId="0" xr:uid="{00000000-0006-0000-0200-00004C010000}">
      <text>
        <r>
          <rPr>
            <b/>
            <sz val="9"/>
            <color indexed="81"/>
            <rFont val="Tahoma"/>
            <family val="2"/>
          </rPr>
          <t>Author:</t>
        </r>
        <r>
          <rPr>
            <sz val="9"/>
            <color indexed="81"/>
            <rFont val="Tahoma"/>
            <family val="2"/>
          </rPr>
          <t xml:space="preserve">
"The first recommendations for the use of Product0443 as retreatment in adults who previously responded to the treatment with the same medicine, the second recommendation was for use in induction combination therapy for certain adult patients"</t>
        </r>
      </text>
    </comment>
    <comment ref="CD483" authorId="21" shapeId="0" xr:uid="{00000000-0006-0000-0200-00004D010000}">
      <text>
        <r>
          <rPr>
            <b/>
            <sz val="9"/>
            <color indexed="81"/>
            <rFont val="Tahoma"/>
            <family val="2"/>
          </rPr>
          <t>Author:</t>
        </r>
        <r>
          <rPr>
            <sz val="9"/>
            <color indexed="81"/>
            <rFont val="Tahoma"/>
            <family val="2"/>
          </rPr>
          <t xml:space="preserve">
10.14.14:  delayed orders</t>
        </r>
      </text>
    </comment>
    <comment ref="BM484" authorId="1" shapeId="0" xr:uid="{00000000-0006-0000-0200-00004E010000}">
      <text>
        <r>
          <rPr>
            <b/>
            <sz val="8"/>
            <color indexed="81"/>
            <rFont val="Tahoma"/>
            <family val="2"/>
          </rPr>
          <t>Author:</t>
        </r>
        <r>
          <rPr>
            <sz val="8"/>
            <color indexed="81"/>
            <rFont val="Tahoma"/>
            <family val="2"/>
          </rPr>
          <t xml:space="preserve">
Product0444 treatment for multiple myeloma. Commercialization rights in Europe and ROW. Operational sales growth was 5.6%. Slower sales in Europe due to price pressure and increased competition were also offset by strong growth in other regions. 
</t>
        </r>
      </text>
    </comment>
    <comment ref="BP484" authorId="1" shapeId="0" xr:uid="{00000000-0006-0000-0200-00004F010000}">
      <text>
        <r>
          <rPr>
            <b/>
            <sz val="8"/>
            <color indexed="81"/>
            <rFont val="Tahoma"/>
            <family val="2"/>
          </rPr>
          <t>Author:</t>
        </r>
        <r>
          <rPr>
            <sz val="8"/>
            <color indexed="81"/>
            <rFont val="Tahoma"/>
            <family val="2"/>
          </rPr>
          <t xml:space="preserve">
4QCC: Strong growth OUS</t>
        </r>
      </text>
    </comment>
    <comment ref="BT484" authorId="21" shapeId="0" xr:uid="{00000000-0006-0000-0200-000050010000}">
      <text>
        <r>
          <rPr>
            <b/>
            <sz val="8"/>
            <color indexed="81"/>
            <rFont val="Tahoma"/>
            <family val="2"/>
          </rPr>
          <t>Author:</t>
        </r>
        <r>
          <rPr>
            <sz val="8"/>
            <color indexed="81"/>
            <rFont val="Tahoma"/>
            <family val="2"/>
          </rPr>
          <t xml:space="preserve">
approved for subQ in EU and Canada</t>
        </r>
      </text>
    </comment>
    <comment ref="BK488" authorId="22" shapeId="0" xr:uid="{00000000-0006-0000-0200-000051010000}">
      <text>
        <r>
          <rPr>
            <b/>
            <sz val="8"/>
            <color indexed="81"/>
            <rFont val="Tahoma"/>
            <family val="2"/>
          </rPr>
          <t>Author:</t>
        </r>
        <r>
          <rPr>
            <sz val="8"/>
            <color indexed="81"/>
            <rFont val="Tahoma"/>
            <family val="2"/>
          </rPr>
          <t xml:space="preserve">
received rights back to Product0094 at end of Dec from MRK</t>
        </r>
      </text>
    </comment>
    <comment ref="BH489" authorId="22" shapeId="0" xr:uid="{00000000-0006-0000-0200-000052010000}">
      <text>
        <r>
          <rPr>
            <b/>
            <sz val="8"/>
            <color indexed="81"/>
            <rFont val="Tahoma"/>
            <family val="2"/>
          </rPr>
          <t>Author:</t>
        </r>
        <r>
          <rPr>
            <sz val="8"/>
            <color indexed="81"/>
            <rFont val="Tahoma"/>
            <family val="2"/>
          </rPr>
          <t xml:space="preserve">
first qtr broken out, launched 1995?</t>
        </r>
      </text>
    </comment>
    <comment ref="BU489" authorId="1" shapeId="0" xr:uid="{00000000-0006-0000-0200-000053010000}">
      <text>
        <r>
          <rPr>
            <b/>
            <sz val="8"/>
            <color indexed="81"/>
            <rFont val="Tahoma"/>
            <family val="2"/>
          </rPr>
          <t>Author: 4QCC: No supply until later this year</t>
        </r>
      </text>
    </comment>
    <comment ref="BO492" authorId="1" shapeId="0" xr:uid="{00000000-0006-0000-0200-000054010000}">
      <text>
        <r>
          <rPr>
            <b/>
            <sz val="8"/>
            <color indexed="81"/>
            <rFont val="Tahoma"/>
            <family val="2"/>
          </rPr>
          <t>Author:</t>
        </r>
        <r>
          <rPr>
            <sz val="8"/>
            <color indexed="81"/>
            <rFont val="Tahoma"/>
            <family val="2"/>
          </rPr>
          <t xml:space="preserve">
Supply disruptions expect in next couple months</t>
        </r>
      </text>
    </comment>
    <comment ref="BR492" authorId="1" shapeId="0" xr:uid="{00000000-0006-0000-0200-000055010000}">
      <text>
        <r>
          <rPr>
            <b/>
            <sz val="8"/>
            <color indexed="81"/>
            <rFont val="Tahoma"/>
            <family val="2"/>
          </rPr>
          <t>Author:</t>
        </r>
        <r>
          <rPr>
            <sz val="8"/>
            <color indexed="81"/>
            <rFont val="Tahoma"/>
            <family val="2"/>
          </rPr>
          <t xml:space="preserve">
Expect supply to slowly ramp up to normal levels</t>
        </r>
      </text>
    </comment>
    <comment ref="CF492" authorId="1" shapeId="0" xr:uid="{00000000-0006-0000-0200-000056010000}">
      <text>
        <r>
          <rPr>
            <b/>
            <sz val="8"/>
            <color indexed="81"/>
            <rFont val="Tahoma"/>
            <family val="2"/>
          </rPr>
          <t>Author:</t>
        </r>
        <r>
          <rPr>
            <sz val="8"/>
            <color indexed="81"/>
            <rFont val="Tahoma"/>
            <family val="2"/>
          </rPr>
          <t xml:space="preserve">
Product0130 expires May 17, 2014</t>
        </r>
      </text>
    </comment>
    <comment ref="C498" authorId="8" shapeId="0" xr:uid="{00000000-0006-0000-0200-000057010000}">
      <text>
        <r>
          <rPr>
            <b/>
            <sz val="9"/>
            <color indexed="81"/>
            <rFont val="Tahoma"/>
            <family val="2"/>
          </rPr>
          <t>Author:</t>
        </r>
        <r>
          <rPr>
            <sz val="9"/>
            <color indexed="81"/>
            <rFont val="Tahoma"/>
            <family val="2"/>
          </rPr>
          <t xml:space="preserve">
IP loss in Aug 2027 but invalidated for Oct 2018</t>
        </r>
      </text>
    </comment>
    <comment ref="BN498" authorId="24" shapeId="0" xr:uid="{00000000-0006-0000-0200-000058010000}">
      <text>
        <r>
          <rPr>
            <b/>
            <sz val="8"/>
            <color indexed="81"/>
            <rFont val="Tahoma"/>
            <family val="2"/>
          </rPr>
          <t>Author:</t>
        </r>
        <r>
          <rPr>
            <sz val="8"/>
            <color indexed="81"/>
            <rFont val="Tahoma"/>
            <family val="2"/>
          </rPr>
          <t xml:space="preserve">
Announced in reporting recast</t>
        </r>
        <r>
          <rPr>
            <b/>
            <sz val="8"/>
            <color indexed="81"/>
            <rFont val="Tahoma"/>
            <family val="2"/>
          </rPr>
          <t xml:space="preserve">
Author25:</t>
        </r>
        <r>
          <rPr>
            <sz val="8"/>
            <color indexed="81"/>
            <rFont val="Tahoma"/>
            <family val="2"/>
          </rPr>
          <t xml:space="preserve">
1% of WW Pharma Sales</t>
        </r>
      </text>
    </comment>
    <comment ref="BO498" authorId="24" shapeId="0" xr:uid="{00000000-0006-0000-0200-000059010000}">
      <text>
        <r>
          <rPr>
            <b/>
            <sz val="8"/>
            <color indexed="81"/>
            <rFont val="Tahoma"/>
            <family val="2"/>
          </rPr>
          <t xml:space="preserve">Author:
</t>
        </r>
        <r>
          <rPr>
            <sz val="8"/>
            <color indexed="81"/>
            <rFont val="Tahoma"/>
            <family val="2"/>
          </rPr>
          <t xml:space="preserve">anounced in reporting recast
</t>
        </r>
        <r>
          <rPr>
            <b/>
            <sz val="8"/>
            <color indexed="81"/>
            <rFont val="Tahoma"/>
            <family val="2"/>
          </rPr>
          <t xml:space="preserve">
Author25:</t>
        </r>
        <r>
          <rPr>
            <sz val="8"/>
            <color indexed="81"/>
            <rFont val="Tahoma"/>
            <family val="2"/>
          </rPr>
          <t xml:space="preserve">
CC: "1.5 points of growth to our pharmaceutical business compared to the same quarter last year."</t>
        </r>
      </text>
    </comment>
    <comment ref="BP498" authorId="25" shapeId="0" xr:uid="{00000000-0006-0000-0200-00005A010000}">
      <text>
        <r>
          <rPr>
            <b/>
            <sz val="8"/>
            <color indexed="81"/>
            <rFont val="Tahoma"/>
            <family val="2"/>
          </rPr>
          <t>Author:</t>
        </r>
        <r>
          <rPr>
            <sz val="8"/>
            <color indexed="81"/>
            <rFont val="Tahoma"/>
            <family val="2"/>
          </rPr>
          <t xml:space="preserve">
Announced in reporting recast</t>
        </r>
      </text>
    </comment>
    <comment ref="CM498" authorId="2" shapeId="0" xr:uid="{00000000-0006-0000-0200-00005B010000}">
      <text>
        <r>
          <rPr>
            <b/>
            <sz val="9"/>
            <color indexed="81"/>
            <rFont val="Tahoma"/>
            <family val="2"/>
          </rPr>
          <t>Author:</t>
        </r>
        <r>
          <rPr>
            <sz val="9"/>
            <color indexed="81"/>
            <rFont val="Tahoma"/>
            <family val="2"/>
          </rPr>
          <t xml:space="preserve">
$21mn of GTN benefit</t>
        </r>
      </text>
    </comment>
    <comment ref="CZ498" authorId="8" shapeId="0" xr:uid="{00000000-0006-0000-0200-00005C010000}">
      <text>
        <r>
          <rPr>
            <b/>
            <sz val="9"/>
            <color indexed="81"/>
            <rFont val="Tahoma"/>
            <family val="2"/>
          </rPr>
          <t>Author:</t>
        </r>
        <r>
          <rPr>
            <sz val="9"/>
            <color indexed="81"/>
            <rFont val="Tahoma"/>
            <family val="2"/>
          </rPr>
          <t xml:space="preserve">
1Q18 and 4Q17 call: do not expect generic competition in 2018</t>
        </r>
      </text>
    </comment>
    <comment ref="DM498" authorId="26" shapeId="0" xr:uid="{00000000-0006-0000-0200-00005D010000}">
      <text>
        <r>
          <rPr>
            <b/>
            <sz val="9"/>
            <color indexed="81"/>
            <rFont val="Tahoma"/>
            <family val="2"/>
          </rPr>
          <t>Author:</t>
        </r>
        <r>
          <rPr>
            <sz val="9"/>
            <color indexed="81"/>
            <rFont val="Tahoma"/>
            <family val="2"/>
          </rPr>
          <t xml:space="preserve">
drop, trending lower</t>
        </r>
      </text>
    </comment>
    <comment ref="BM499" authorId="25" shapeId="0" xr:uid="{00000000-0006-0000-0200-00005E010000}">
      <text>
        <r>
          <rPr>
            <b/>
            <sz val="8"/>
            <color indexed="81"/>
            <rFont val="Tahoma"/>
            <family val="2"/>
          </rPr>
          <t>Author:</t>
        </r>
        <r>
          <rPr>
            <sz val="8"/>
            <color indexed="81"/>
            <rFont val="Tahoma"/>
            <family val="2"/>
          </rPr>
          <t xml:space="preserve">
Announced in reporting recast</t>
        </r>
      </text>
    </comment>
    <comment ref="BN499" authorId="25" shapeId="0" xr:uid="{00000000-0006-0000-0200-00005F010000}">
      <text>
        <r>
          <rPr>
            <b/>
            <sz val="8"/>
            <color indexed="81"/>
            <rFont val="Tahoma"/>
            <family val="2"/>
          </rPr>
          <t>Author:</t>
        </r>
        <r>
          <rPr>
            <sz val="8"/>
            <color indexed="81"/>
            <rFont val="Tahoma"/>
            <family val="2"/>
          </rPr>
          <t xml:space="preserve">
Announced in reporting recast</t>
        </r>
      </text>
    </comment>
    <comment ref="BO499" authorId="1" shapeId="0" xr:uid="{00000000-0006-0000-0200-000060010000}">
      <text>
        <r>
          <rPr>
            <b/>
            <sz val="8"/>
            <color indexed="81"/>
            <rFont val="Tahoma"/>
            <family val="2"/>
          </rPr>
          <t>Author:</t>
        </r>
        <r>
          <rPr>
            <sz val="8"/>
            <color indexed="81"/>
            <rFont val="Tahoma"/>
            <family val="2"/>
          </rPr>
          <t xml:space="preserve">
Announced in reporting recast</t>
        </r>
        <r>
          <rPr>
            <b/>
            <sz val="8"/>
            <color indexed="81"/>
            <rFont val="Tahoma"/>
            <family val="2"/>
          </rPr>
          <t xml:space="preserve">
Author2:</t>
        </r>
        <r>
          <rPr>
            <sz val="8"/>
            <color indexed="81"/>
            <rFont val="Tahoma"/>
            <family val="2"/>
          </rPr>
          <t xml:space="preserve">
Received EU Company0492 opinion 7.21.11; Ticker0018 holds EU rights </t>
        </r>
      </text>
    </comment>
    <comment ref="BP499" authorId="1" shapeId="0" xr:uid="{00000000-0006-0000-0200-000061010000}">
      <text>
        <r>
          <rPr>
            <b/>
            <sz val="8"/>
            <color indexed="81"/>
            <rFont val="Tahoma"/>
            <family val="2"/>
          </rPr>
          <t>Author:</t>
        </r>
        <r>
          <rPr>
            <sz val="8"/>
            <color indexed="81"/>
            <rFont val="Tahoma"/>
            <family val="2"/>
          </rPr>
          <t xml:space="preserve">
Announced in reporting recast</t>
        </r>
        <r>
          <rPr>
            <b/>
            <sz val="8"/>
            <color indexed="81"/>
            <rFont val="Tahoma"/>
            <family val="2"/>
          </rPr>
          <t xml:space="preserve">
Author2:</t>
        </r>
        <r>
          <rPr>
            <sz val="8"/>
            <color indexed="81"/>
            <rFont val="Tahoma"/>
            <family val="2"/>
          </rPr>
          <t xml:space="preserve">
Received EU approval Sept 7, 2011</t>
        </r>
      </text>
    </comment>
    <comment ref="DE499" authorId="9" shapeId="0" xr:uid="{00000000-0006-0000-0200-000062010000}">
      <text>
        <r>
          <rPr>
            <b/>
            <sz val="9"/>
            <color indexed="81"/>
            <rFont val="Tahoma"/>
            <family val="2"/>
          </rPr>
          <t>Author:</t>
        </r>
        <r>
          <rPr>
            <sz val="9"/>
            <color indexed="81"/>
            <rFont val="Tahoma"/>
            <family val="2"/>
          </rPr>
          <t xml:space="preserve">
Cons 1.9</t>
        </r>
      </text>
    </comment>
    <comment ref="DM499" authorId="26" shapeId="0" xr:uid="{00000000-0006-0000-0200-000063010000}">
      <text>
        <r>
          <rPr>
            <b/>
            <sz val="9"/>
            <color indexed="81"/>
            <rFont val="Tahoma"/>
            <family val="2"/>
          </rPr>
          <t>Author:</t>
        </r>
        <r>
          <rPr>
            <sz val="9"/>
            <color indexed="81"/>
            <rFont val="Tahoma"/>
            <family val="2"/>
          </rPr>
          <t xml:space="preserve">
drop, trending lower</t>
        </r>
      </text>
    </comment>
    <comment ref="DS499" authorId="11" shapeId="0" xr:uid="{C00B157E-11A2-4E35-B43C-526993F2E3FB}">
      <text>
        <r>
          <rPr>
            <b/>
            <sz val="9"/>
            <color indexed="81"/>
            <rFont val="Tahoma"/>
            <family val="2"/>
          </rPr>
          <t>Author:</t>
        </r>
        <r>
          <rPr>
            <sz val="9"/>
            <color indexed="81"/>
            <rFont val="Tahoma"/>
            <family val="2"/>
          </rPr>
          <t xml:space="preserve">
LOE in EMEA during September</t>
        </r>
      </text>
    </comment>
    <comment ref="DT499" authorId="26" shapeId="0" xr:uid="{00000000-0006-0000-0200-000064010000}">
      <text>
        <r>
          <rPr>
            <b/>
            <sz val="9"/>
            <color indexed="81"/>
            <rFont val="Tahoma"/>
            <family val="2"/>
          </rPr>
          <t>Author:</t>
        </r>
        <r>
          <rPr>
            <sz val="9"/>
            <color indexed="81"/>
            <rFont val="Tahoma"/>
            <family val="2"/>
          </rPr>
          <t xml:space="preserve">
off patent</t>
        </r>
      </text>
    </comment>
    <comment ref="BP500" authorId="24" shapeId="0" xr:uid="{00000000-0006-0000-0200-000065010000}">
      <text>
        <r>
          <rPr>
            <b/>
            <sz val="8"/>
            <color indexed="81"/>
            <rFont val="Tahoma"/>
            <family val="2"/>
          </rPr>
          <t>Author:</t>
        </r>
        <r>
          <rPr>
            <sz val="8"/>
            <color indexed="81"/>
            <rFont val="Tahoma"/>
            <family val="2"/>
          </rPr>
          <t xml:space="preserve">
4QCC: "2.5 points of growth to our pharmaceutical business compared to the same quarter last year."</t>
        </r>
      </text>
    </comment>
    <comment ref="CV500" authorId="8" shapeId="0" xr:uid="{00000000-0006-0000-0200-000066010000}">
      <text>
        <r>
          <rPr>
            <b/>
            <sz val="9"/>
            <color indexed="81"/>
            <rFont val="Tahoma"/>
            <family val="2"/>
          </rPr>
          <t>Author:</t>
        </r>
        <r>
          <rPr>
            <sz val="9"/>
            <color indexed="81"/>
            <rFont val="Tahoma"/>
            <family val="2"/>
          </rPr>
          <t xml:space="preserve">
Demand and share expansion driven by February 2018 metastatic high-risk CRPC approval based on Product0210 data</t>
        </r>
      </text>
    </comment>
    <comment ref="CW500" authorId="8" shapeId="0" xr:uid="{00000000-0006-0000-0200-000067010000}">
      <text>
        <r>
          <rPr>
            <b/>
            <sz val="9"/>
            <color indexed="81"/>
            <rFont val="Tahoma"/>
            <family val="2"/>
          </rPr>
          <t>Author:</t>
        </r>
        <r>
          <rPr>
            <sz val="9"/>
            <color indexed="81"/>
            <rFont val="Tahoma"/>
            <family val="2"/>
          </rPr>
          <t xml:space="preserve">
2Q18: driven by Product0210 data and market growth</t>
        </r>
      </text>
    </comment>
    <comment ref="DE500" authorId="10" shapeId="0" xr:uid="{00000000-0006-0000-0200-000068010000}">
      <text>
        <r>
          <rPr>
            <b/>
            <sz val="9"/>
            <color indexed="81"/>
            <rFont val="Tahoma"/>
            <family val="2"/>
          </rPr>
          <t>Author:</t>
        </r>
        <r>
          <rPr>
            <sz val="9"/>
            <color indexed="81"/>
            <rFont val="Tahoma"/>
            <family val="2"/>
          </rPr>
          <t xml:space="preserve">
cons 2.4</t>
        </r>
      </text>
    </comment>
    <comment ref="DO500" authorId="26" shapeId="0" xr:uid="{00000000-0006-0000-0200-000069010000}">
      <text>
        <r>
          <rPr>
            <b/>
            <sz val="9"/>
            <color indexed="81"/>
            <rFont val="Tahoma"/>
            <family val="2"/>
          </rPr>
          <t>Author:</t>
        </r>
        <r>
          <rPr>
            <sz val="9"/>
            <color indexed="81"/>
            <rFont val="Tahoma"/>
            <family val="2"/>
          </rPr>
          <t xml:space="preserve">
Cons: 2.5bn</t>
        </r>
      </text>
    </comment>
    <comment ref="CZ503" authorId="21" shapeId="0" xr:uid="{00000000-0006-0000-0200-00006B010000}">
      <text>
        <r>
          <rPr>
            <b/>
            <sz val="9"/>
            <color indexed="81"/>
            <rFont val="Tahoma"/>
            <family val="2"/>
          </rPr>
          <t>Author:</t>
        </r>
        <r>
          <rPr>
            <sz val="9"/>
            <color indexed="81"/>
            <rFont val="Tahoma"/>
            <family val="2"/>
          </rPr>
          <t xml:space="preserve">
3.5.16:  30 month stay ends Oct. 2018</t>
        </r>
      </text>
    </comment>
    <comment ref="DU505" authorId="5" shapeId="0" xr:uid="{0B03ECDD-AE42-43E5-95ED-9F6680D87675}">
      <text>
        <r>
          <rPr>
            <b/>
            <sz val="9"/>
            <color indexed="81"/>
            <rFont val="Tahoma"/>
            <family val="2"/>
          </rPr>
          <t>Author:</t>
        </r>
        <r>
          <rPr>
            <sz val="9"/>
            <color indexed="81"/>
            <rFont val="Tahoma"/>
            <family val="2"/>
          </rPr>
          <t xml:space="preserve">
-3.8% Currency adj. as per PR</t>
        </r>
      </text>
    </comment>
    <comment ref="DV505" authorId="5" shapeId="0" xr:uid="{C71A0574-7BD2-407D-A9E3-02504A23FDC7}">
      <text>
        <r>
          <rPr>
            <b/>
            <sz val="9"/>
            <color indexed="81"/>
            <rFont val="Tahoma"/>
            <family val="2"/>
          </rPr>
          <t>Author:</t>
        </r>
        <r>
          <rPr>
            <sz val="9"/>
            <color indexed="81"/>
            <rFont val="Tahoma"/>
            <family val="2"/>
          </rPr>
          <t xml:space="preserve">
As per 2Q23 PR</t>
        </r>
      </text>
    </comment>
    <comment ref="DW505" authorId="5" shapeId="0" xr:uid="{EFBDE264-9771-45C0-9B92-FC733135EFA7}">
      <text>
        <r>
          <rPr>
            <b/>
            <sz val="9"/>
            <color indexed="81"/>
            <rFont val="Tahoma"/>
            <family val="2"/>
          </rPr>
          <t>Author:</t>
        </r>
        <r>
          <rPr>
            <sz val="9"/>
            <color indexed="81"/>
            <rFont val="Tahoma"/>
            <family val="2"/>
          </rPr>
          <t xml:space="preserve">
As per 3Q23 PR</t>
        </r>
      </text>
    </comment>
    <comment ref="CO509" authorId="2" shapeId="0" xr:uid="{00000000-0006-0000-0200-00006C010000}">
      <text>
        <r>
          <rPr>
            <b/>
            <sz val="9"/>
            <color indexed="81"/>
            <rFont val="Tahoma"/>
            <family val="2"/>
          </rPr>
          <t>Author:</t>
        </r>
        <r>
          <rPr>
            <sz val="9"/>
            <color indexed="81"/>
            <rFont val="Tahoma"/>
            <family val="2"/>
          </rPr>
          <t xml:space="preserve">
one time high service costs in collaboration</t>
        </r>
      </text>
    </comment>
    <comment ref="DM509" authorId="26" shapeId="0" xr:uid="{00000000-0006-0000-0200-00006D010000}">
      <text>
        <r>
          <rPr>
            <b/>
            <sz val="9"/>
            <color indexed="81"/>
            <rFont val="Tahoma"/>
            <family val="2"/>
          </rPr>
          <t>Author:</t>
        </r>
        <r>
          <rPr>
            <sz val="9"/>
            <color indexed="81"/>
            <rFont val="Tahoma"/>
            <family val="2"/>
          </rPr>
          <t xml:space="preserve">
normally 44% but lowering as we don't have ABBV sales and revs trending lower</t>
        </r>
      </text>
    </comment>
    <comment ref="CJ510" authorId="21" shapeId="0" xr:uid="{00000000-0006-0000-0200-00006E010000}">
      <text>
        <r>
          <rPr>
            <b/>
            <sz val="9"/>
            <color indexed="81"/>
            <rFont val="Tahoma"/>
            <family val="2"/>
          </rPr>
          <t>Author:</t>
        </r>
        <r>
          <rPr>
            <sz val="9"/>
            <color indexed="81"/>
            <rFont val="Tahoma"/>
            <family val="2"/>
          </rPr>
          <t xml:space="preserve">
10.13.15:  1L Company0516 data presented at Company0143</t>
        </r>
      </text>
    </comment>
    <comment ref="CV510" authorId="8" shapeId="0" xr:uid="{00000000-0006-0000-0200-00006F010000}">
      <text>
        <r>
          <rPr>
            <b/>
            <sz val="9"/>
            <color indexed="81"/>
            <rFont val="Tahoma"/>
            <family val="2"/>
          </rPr>
          <t>Author:</t>
        </r>
        <r>
          <rPr>
            <sz val="9"/>
            <color indexed="81"/>
            <rFont val="Tahoma"/>
            <family val="2"/>
          </rPr>
          <t xml:space="preserve">
updated from ABBV
</t>
        </r>
      </text>
    </comment>
    <comment ref="DH510" authorId="12" shapeId="0" xr:uid="{00000000-0006-0000-0200-000070010000}">
      <text>
        <r>
          <rPr>
            <b/>
            <sz val="9"/>
            <color indexed="81"/>
            <rFont val="Tahoma"/>
            <family val="2"/>
          </rPr>
          <t>Author:</t>
        </r>
        <r>
          <rPr>
            <sz val="9"/>
            <color indexed="81"/>
            <rFont val="Tahoma"/>
            <family val="2"/>
          </rPr>
          <t xml:space="preserve">
Update when ABBV reports</t>
        </r>
      </text>
    </comment>
    <comment ref="DI510" authorId="13" shapeId="0" xr:uid="{00000000-0006-0000-0200-000071010000}">
      <text>
        <r>
          <rPr>
            <b/>
            <sz val="9"/>
            <color indexed="81"/>
            <rFont val="Tahoma"/>
            <family val="2"/>
          </rPr>
          <t>Author:</t>
        </r>
        <r>
          <rPr>
            <sz val="9"/>
            <color indexed="81"/>
            <rFont val="Tahoma"/>
            <family val="2"/>
          </rPr>
          <t xml:space="preserve">
update when abbv reports</t>
        </r>
      </text>
    </comment>
    <comment ref="DV510" authorId="5" shapeId="0" xr:uid="{AA0C31D5-9A32-4D26-B25F-3BA5E2AE504A}">
      <text>
        <r>
          <rPr>
            <b/>
            <sz val="9"/>
            <color indexed="81"/>
            <rFont val="Tahoma"/>
            <family val="2"/>
          </rPr>
          <t>Author:</t>
        </r>
        <r>
          <rPr>
            <sz val="9"/>
            <color indexed="81"/>
            <rFont val="Tahoma"/>
            <family val="2"/>
          </rPr>
          <t xml:space="preserve">
Per ABBV Model</t>
        </r>
      </text>
    </comment>
    <comment ref="C511" authorId="8" shapeId="0" xr:uid="{00000000-0006-0000-0200-000073010000}">
      <text>
        <r>
          <rPr>
            <b/>
            <sz val="9"/>
            <color indexed="81"/>
            <rFont val="Tahoma"/>
            <family val="2"/>
          </rPr>
          <t>Author:</t>
        </r>
        <r>
          <rPr>
            <sz val="9"/>
            <color indexed="81"/>
            <rFont val="Tahoma"/>
            <family val="2"/>
          </rPr>
          <t xml:space="preserve">
nov 2027 w/ PTE</t>
        </r>
      </text>
    </comment>
    <comment ref="CE511" authorId="7" shapeId="0" xr:uid="{00000000-0006-0000-0200-000074010000}">
      <text>
        <r>
          <rPr>
            <b/>
            <sz val="9"/>
            <color indexed="81"/>
            <rFont val="Tahoma"/>
            <family val="2"/>
          </rPr>
          <t>Author:</t>
        </r>
        <r>
          <rPr>
            <sz val="9"/>
            <color indexed="81"/>
            <rFont val="Tahoma"/>
            <family val="2"/>
          </rPr>
          <t xml:space="preserve">
1/20/15: mentioned in transcript</t>
        </r>
      </text>
    </comment>
    <comment ref="CF511" authorId="7" shapeId="0" xr:uid="{00000000-0006-0000-0200-000075010000}">
      <text>
        <r>
          <rPr>
            <b/>
            <sz val="9"/>
            <color indexed="81"/>
            <rFont val="Tahoma"/>
            <family val="2"/>
          </rPr>
          <t>Author:</t>
        </r>
        <r>
          <rPr>
            <sz val="9"/>
            <color indexed="81"/>
            <rFont val="Tahoma"/>
            <family val="2"/>
          </rPr>
          <t xml:space="preserve">
1/20/15: mentioned in transcript</t>
        </r>
      </text>
    </comment>
    <comment ref="CV511" authorId="8" shapeId="0" xr:uid="{00000000-0006-0000-0200-000076010000}">
      <text>
        <r>
          <rPr>
            <b/>
            <sz val="9"/>
            <color indexed="81"/>
            <rFont val="Tahoma"/>
            <family val="2"/>
          </rPr>
          <t>Author:</t>
        </r>
        <r>
          <rPr>
            <sz val="9"/>
            <color indexed="81"/>
            <rFont val="Tahoma"/>
            <family val="2"/>
          </rPr>
          <t xml:space="preserve">
1Q18: driven by share in 1L Company0516</t>
        </r>
      </text>
    </comment>
    <comment ref="CW511" authorId="8" shapeId="0" xr:uid="{00000000-0006-0000-0200-000077010000}">
      <text>
        <r>
          <rPr>
            <b/>
            <sz val="9"/>
            <color indexed="81"/>
            <rFont val="Tahoma"/>
            <family val="2"/>
          </rPr>
          <t>Author:</t>
        </r>
        <r>
          <rPr>
            <sz val="9"/>
            <color indexed="81"/>
            <rFont val="Tahoma"/>
            <family val="2"/>
          </rPr>
          <t xml:space="preserve">
2Q18: US new and total patient share leader for 1L and 2L Company0516 and 2L MCL</t>
        </r>
      </text>
    </comment>
    <comment ref="C513" authorId="8" shapeId="0" xr:uid="{00000000-0006-0000-0200-000078010000}">
      <text>
        <r>
          <rPr>
            <b/>
            <sz val="9"/>
            <color indexed="81"/>
            <rFont val="Tahoma"/>
            <family val="2"/>
          </rPr>
          <t>Author:</t>
        </r>
        <r>
          <rPr>
            <sz val="9"/>
            <color indexed="81"/>
            <rFont val="Tahoma"/>
            <family val="2"/>
          </rPr>
          <t xml:space="preserve">
oct 2026</t>
        </r>
      </text>
    </comment>
    <comment ref="CE517" authorId="7" shapeId="0" xr:uid="{00000000-0006-0000-0200-000079010000}">
      <text>
        <r>
          <rPr>
            <b/>
            <sz val="9"/>
            <color indexed="81"/>
            <rFont val="Tahoma"/>
            <family val="2"/>
          </rPr>
          <t>Author:</t>
        </r>
        <r>
          <rPr>
            <sz val="9"/>
            <color indexed="81"/>
            <rFont val="Tahoma"/>
            <family val="2"/>
          </rPr>
          <t xml:space="preserve">
1/20/15: mentioned in transcript</t>
        </r>
      </text>
    </comment>
    <comment ref="CF517" authorId="7" shapeId="0" xr:uid="{00000000-0006-0000-0200-00007A010000}">
      <text>
        <r>
          <rPr>
            <b/>
            <sz val="9"/>
            <color indexed="81"/>
            <rFont val="Tahoma"/>
            <family val="2"/>
          </rPr>
          <t>Author:</t>
        </r>
        <r>
          <rPr>
            <sz val="9"/>
            <color indexed="81"/>
            <rFont val="Tahoma"/>
            <family val="2"/>
          </rPr>
          <t xml:space="preserve">
1/20/15: mentioned in transcript</t>
        </r>
      </text>
    </comment>
    <comment ref="DE517" authorId="10" shapeId="0" xr:uid="{00000000-0006-0000-0200-00007B010000}">
      <text>
        <r>
          <rPr>
            <b/>
            <sz val="9"/>
            <color indexed="81"/>
            <rFont val="Tahoma"/>
            <family val="2"/>
          </rPr>
          <t>Author:</t>
        </r>
        <r>
          <rPr>
            <sz val="9"/>
            <color indexed="81"/>
            <rFont val="Tahoma"/>
            <family val="2"/>
          </rPr>
          <t xml:space="preserve">
cons 3.3</t>
        </r>
      </text>
    </comment>
    <comment ref="DO517" authorId="10" shapeId="0" xr:uid="{00000000-0006-0000-0200-00007C010000}">
      <text>
        <r>
          <rPr>
            <b/>
            <sz val="9"/>
            <color indexed="81"/>
            <rFont val="Tahoma"/>
            <family val="2"/>
          </rPr>
          <t>Author:</t>
        </r>
        <r>
          <rPr>
            <sz val="9"/>
            <color indexed="81"/>
            <rFont val="Tahoma"/>
            <family val="2"/>
          </rPr>
          <t xml:space="preserve">
cons 4.4</t>
        </r>
      </text>
    </comment>
    <comment ref="DA520" authorId="10" shapeId="0" xr:uid="{00000000-0006-0000-0200-00007D010000}">
      <text>
        <r>
          <rPr>
            <b/>
            <sz val="9"/>
            <color indexed="81"/>
            <rFont val="Tahoma"/>
            <family val="2"/>
          </rPr>
          <t>Author:</t>
        </r>
        <r>
          <rPr>
            <sz val="9"/>
            <color indexed="81"/>
            <rFont val="Tahoma"/>
            <family val="2"/>
          </rPr>
          <t xml:space="preserve">
n the U.S., based on fourth quarter data, across all indications and lines of therapy, Product0194 gained approximately 2 points of market share and is the new patient and total patient share leader in chronic lymphocytic leukemia which gained over 5 points of market share in line 1 therapy</t>
        </r>
      </text>
    </comment>
    <comment ref="DF520" authorId="10" shapeId="0" xr:uid="{00000000-0006-0000-0200-00007E010000}">
      <text>
        <r>
          <rPr>
            <b/>
            <sz val="9"/>
            <color indexed="81"/>
            <rFont val="Tahoma"/>
            <family val="2"/>
          </rPr>
          <t>Author:</t>
        </r>
        <r>
          <rPr>
            <sz val="9"/>
            <color indexed="81"/>
            <rFont val="Tahoma"/>
            <family val="2"/>
          </rPr>
          <t xml:space="preserve">
n the U.S., based on fourth quarter data, across all indications and lines of therapy, Product0194 gained approximately 2 points of market share and is the new patient and total patient share leader in chronic lymphocytic leukemia which gained over 5 points of market share in line 1 therapy</t>
        </r>
      </text>
    </comment>
    <comment ref="EJ520" authorId="5" shapeId="0" xr:uid="{ACA190FD-E741-41B2-BA12-4F67BA791C56}">
      <text>
        <r>
          <rPr>
            <b/>
            <sz val="9"/>
            <color indexed="81"/>
            <rFont val="Tahoma"/>
            <family val="2"/>
          </rPr>
          <t>Author:</t>
        </r>
        <r>
          <rPr>
            <sz val="9"/>
            <color indexed="81"/>
            <rFont val="Tahoma"/>
            <family val="2"/>
          </rPr>
          <t xml:space="preserve">
IRA Impacts</t>
        </r>
      </text>
    </comment>
    <comment ref="DU522" authorId="5" shapeId="0" xr:uid="{4ED90240-F78A-4313-ABEF-15E678BDCAFA}">
      <text>
        <r>
          <rPr>
            <b/>
            <sz val="9"/>
            <color indexed="81"/>
            <rFont val="Tahoma"/>
            <family val="2"/>
          </rPr>
          <t>Author:</t>
        </r>
        <r>
          <rPr>
            <sz val="9"/>
            <color indexed="81"/>
            <rFont val="Tahoma"/>
            <family val="2"/>
          </rPr>
          <t xml:space="preserve">
-4.9% Currency adj. as per PR</t>
        </r>
      </text>
    </comment>
    <comment ref="DV522" authorId="5" shapeId="0" xr:uid="{2F21F25F-1049-4907-A7E8-F22FE2FDC16F}">
      <text>
        <r>
          <rPr>
            <b/>
            <sz val="9"/>
            <color indexed="81"/>
            <rFont val="Tahoma"/>
            <family val="2"/>
          </rPr>
          <t>Author:</t>
        </r>
        <r>
          <rPr>
            <sz val="9"/>
            <color indexed="81"/>
            <rFont val="Tahoma"/>
            <family val="2"/>
          </rPr>
          <t xml:space="preserve">
As per 2Q23 PR</t>
        </r>
      </text>
    </comment>
    <comment ref="DW522" authorId="5" shapeId="0" xr:uid="{18F15ADD-5E0E-4382-A218-0A94B10DA066}">
      <text>
        <r>
          <rPr>
            <b/>
            <sz val="9"/>
            <color indexed="81"/>
            <rFont val="Tahoma"/>
            <family val="2"/>
          </rPr>
          <t>Author:</t>
        </r>
        <r>
          <rPr>
            <sz val="9"/>
            <color indexed="81"/>
            <rFont val="Tahoma"/>
            <family val="2"/>
          </rPr>
          <t xml:space="preserve">
As per 3Q23 PR</t>
        </r>
      </text>
    </comment>
    <comment ref="DX522" authorId="5" shapeId="0" xr:uid="{555EBC82-CCF2-40DC-A87E-BAC94CF17D90}">
      <text>
        <r>
          <rPr>
            <b/>
            <sz val="9"/>
            <color indexed="81"/>
            <rFont val="Tahoma"/>
            <family val="2"/>
          </rPr>
          <t>Author:</t>
        </r>
        <r>
          <rPr>
            <sz val="9"/>
            <color indexed="81"/>
            <rFont val="Tahoma"/>
            <family val="2"/>
          </rPr>
          <t xml:space="preserve">
As per 3Q23 PR</t>
        </r>
      </text>
    </comment>
    <comment ref="B526" authorId="7" shapeId="0" xr:uid="{00000000-0006-0000-0200-00007F010000}">
      <text>
        <r>
          <rPr>
            <b/>
            <sz val="9"/>
            <color indexed="81"/>
            <rFont val="Tahoma"/>
            <family val="2"/>
          </rPr>
          <t>Author:</t>
        </r>
        <r>
          <rPr>
            <sz val="9"/>
            <color indexed="81"/>
            <rFont val="Tahoma"/>
            <family val="2"/>
          </rPr>
          <t xml:space="preserve">
4/23/14: approved in US for Company1661</t>
        </r>
      </text>
    </comment>
    <comment ref="B527" authorId="7" shapeId="0" xr:uid="{00000000-0006-0000-0200-000080010000}">
      <text>
        <r>
          <rPr>
            <b/>
            <sz val="9"/>
            <color indexed="81"/>
            <rFont val="Tahoma"/>
            <family val="2"/>
          </rPr>
          <t>Author:</t>
        </r>
        <r>
          <rPr>
            <sz val="9"/>
            <color indexed="81"/>
            <rFont val="Tahoma"/>
            <family val="2"/>
          </rPr>
          <t xml:space="preserve">
6/5/14: approved in EU for Company1661</t>
        </r>
      </text>
    </comment>
    <comment ref="C537" authorId="12" shapeId="0" xr:uid="{00000000-0006-0000-0200-000081010000}">
      <text>
        <r>
          <rPr>
            <b/>
            <sz val="9"/>
            <color indexed="81"/>
            <rFont val="Tahoma"/>
            <family val="2"/>
          </rPr>
          <t>Author:</t>
        </r>
        <r>
          <rPr>
            <sz val="9"/>
            <color indexed="81"/>
            <rFont val="Tahoma"/>
            <family val="2"/>
          </rPr>
          <t xml:space="preserve">
Product0157 SQ 2036</t>
        </r>
      </text>
    </comment>
    <comment ref="CL537" authorId="2" shapeId="0" xr:uid="{00000000-0006-0000-0200-000082010000}">
      <text>
        <r>
          <rPr>
            <b/>
            <sz val="9"/>
            <color indexed="81"/>
            <rFont val="Tahoma"/>
            <family val="2"/>
          </rPr>
          <t>Author:</t>
        </r>
        <r>
          <rPr>
            <sz val="9"/>
            <color indexed="81"/>
            <rFont val="Tahoma"/>
            <family val="2"/>
          </rPr>
          <t xml:space="preserve">
4/19/16 - 2% of 2015 1Q US pharma</t>
        </r>
      </text>
    </comment>
    <comment ref="CM537" authorId="2" shapeId="0" xr:uid="{00000000-0006-0000-0200-000083010000}">
      <text>
        <r>
          <rPr>
            <b/>
            <sz val="9"/>
            <color indexed="81"/>
            <rFont val="Tahoma"/>
            <family val="2"/>
          </rPr>
          <t>Author:</t>
        </r>
        <r>
          <rPr>
            <sz val="9"/>
            <color indexed="81"/>
            <rFont val="Tahoma"/>
            <family val="2"/>
          </rPr>
          <t xml:space="preserve">
3% of US pharma growth of 13.2%</t>
        </r>
      </text>
    </comment>
    <comment ref="CN537" authorId="32" shapeId="0" xr:uid="{00000000-0006-0000-0200-000084010000}">
      <text>
        <r>
          <rPr>
            <sz val="8"/>
            <color indexed="81"/>
            <rFont val="Tahoma"/>
            <family val="2"/>
          </rPr>
          <t>Author: 'above expectations'</t>
        </r>
      </text>
    </comment>
    <comment ref="CV537" authorId="8" shapeId="0" xr:uid="{00000000-0006-0000-0200-000085010000}">
      <text>
        <r>
          <rPr>
            <b/>
            <sz val="9"/>
            <color indexed="81"/>
            <rFont val="Tahoma"/>
            <family val="2"/>
          </rPr>
          <t>Author:</t>
        </r>
        <r>
          <rPr>
            <sz val="9"/>
            <color indexed="81"/>
            <rFont val="Tahoma"/>
            <family val="2"/>
          </rPr>
          <t xml:space="preserve">
1Q18: US launch uptake of the 1 prior line indication is resulting in share gains</t>
        </r>
      </text>
    </comment>
    <comment ref="CY537" authorId="2" shapeId="0" xr:uid="{00000000-0006-0000-0200-000086010000}">
      <text>
        <r>
          <rPr>
            <b/>
            <sz val="9"/>
            <color indexed="81"/>
            <rFont val="Tahoma"/>
            <family val="2"/>
          </rPr>
          <t>Author:</t>
        </r>
        <r>
          <rPr>
            <sz val="9"/>
            <color indexed="81"/>
            <rFont val="Tahoma"/>
            <family val="2"/>
          </rPr>
          <t xml:space="preserve">
approval of 1L D-VMP</t>
        </r>
      </text>
    </comment>
    <comment ref="CZ537" authorId="8" shapeId="0" xr:uid="{00000000-0006-0000-0200-000087010000}">
      <text>
        <r>
          <rPr>
            <b/>
            <sz val="9"/>
            <color indexed="81"/>
            <rFont val="Tahoma"/>
            <family val="2"/>
          </rPr>
          <t>Author:</t>
        </r>
        <r>
          <rPr>
            <sz val="9"/>
            <color indexed="81"/>
            <rFont val="Tahoma"/>
            <family val="2"/>
          </rPr>
          <t xml:space="preserve">
Genmab CEO: Product0124 peak sales of $9B which could stretch to $13B if the monoclonal antibody works in solid tumors</t>
        </r>
      </text>
    </comment>
    <comment ref="DA537" authorId="10" shapeId="0" xr:uid="{00000000-0006-0000-0200-000088010000}">
      <text>
        <r>
          <rPr>
            <b/>
            <sz val="9"/>
            <color indexed="81"/>
            <rFont val="Tahoma"/>
            <family val="2"/>
          </rPr>
          <t>Author:</t>
        </r>
        <r>
          <rPr>
            <sz val="9"/>
            <color indexed="81"/>
            <rFont val="Tahoma"/>
            <family val="2"/>
          </rPr>
          <t xml:space="preserve">
submit 1L MM-TE (Cassiopeia; D-VTd regimen); 1L MM-TI (MAIA; D-Rd regimen) sBLA filed </t>
        </r>
      </text>
    </comment>
    <comment ref="DB537" authorId="10" shapeId="0" xr:uid="{00000000-0006-0000-0200-000089010000}">
      <text>
        <r>
          <rPr>
            <b/>
            <sz val="9"/>
            <color indexed="81"/>
            <rFont val="Tahoma"/>
            <family val="2"/>
          </rPr>
          <t>Author:</t>
        </r>
        <r>
          <rPr>
            <sz val="9"/>
            <color indexed="81"/>
            <rFont val="Tahoma"/>
            <family val="2"/>
          </rPr>
          <t xml:space="preserve">
Genmab @ Company1416 - Then we expect data in the first half of this year on a very important Phase III COLUMBA trial, which is giving us more insight into the safety and efficacy of the subcutaneous formulation of daratumumab, and that may be a potential turbo booster of use of daratumumab in 2020.</t>
        </r>
      </text>
    </comment>
    <comment ref="DD537" authorId="2" shapeId="0" xr:uid="{00000000-0006-0000-0200-00008A010000}">
      <text>
        <r>
          <rPr>
            <b/>
            <sz val="9"/>
            <color indexed="81"/>
            <rFont val="Tahoma"/>
            <family val="2"/>
          </rPr>
          <t>Author:</t>
        </r>
        <r>
          <rPr>
            <sz val="9"/>
            <color indexed="81"/>
            <rFont val="Tahoma"/>
            <family val="2"/>
          </rPr>
          <t xml:space="preserve">
approval of 1L DRd</t>
        </r>
      </text>
    </comment>
    <comment ref="CV538" authorId="8" shapeId="0" xr:uid="{00000000-0006-0000-0200-00008C010000}">
      <text>
        <r>
          <rPr>
            <b/>
            <sz val="9"/>
            <color indexed="81"/>
            <rFont val="Tahoma"/>
            <family val="2"/>
          </rPr>
          <t>Author:</t>
        </r>
        <r>
          <rPr>
            <sz val="9"/>
            <color indexed="81"/>
            <rFont val="Tahoma"/>
            <family val="2"/>
          </rPr>
          <t xml:space="preserve">
1Q18: increasing penetration in EMEA</t>
        </r>
      </text>
    </comment>
    <comment ref="CX538" authorId="2" shapeId="0" xr:uid="{00000000-0006-0000-0200-00008D010000}">
      <text>
        <r>
          <rPr>
            <b/>
            <sz val="9"/>
            <color indexed="81"/>
            <rFont val="Tahoma"/>
            <family val="2"/>
          </rPr>
          <t>Author:</t>
        </r>
        <r>
          <rPr>
            <sz val="9"/>
            <color indexed="81"/>
            <rFont val="Tahoma"/>
            <family val="2"/>
          </rPr>
          <t xml:space="preserve">
excl one time accrual adj, sales was $194mn</t>
        </r>
      </text>
    </comment>
    <comment ref="DB538" authorId="9" shapeId="0" xr:uid="{00000000-0006-0000-0200-00008E010000}">
      <text>
        <r>
          <rPr>
            <b/>
            <sz val="9"/>
            <color indexed="81"/>
            <rFont val="Tahoma"/>
            <family val="2"/>
          </rPr>
          <t>Author:</t>
        </r>
        <r>
          <rPr>
            <sz val="9"/>
            <color indexed="81"/>
            <rFont val="Tahoma"/>
            <family val="2"/>
          </rPr>
          <t xml:space="preserve">
$80mn 1x benefit from pricing/reimb</t>
        </r>
      </text>
    </comment>
    <comment ref="CN539" authorId="2" shapeId="0" xr:uid="{00000000-0006-0000-0200-00008F010000}">
      <text>
        <r>
          <rPr>
            <b/>
            <sz val="9"/>
            <color indexed="81"/>
            <rFont val="Tahoma"/>
            <family val="2"/>
          </rPr>
          <t>Author:</t>
        </r>
        <r>
          <rPr>
            <sz val="9"/>
            <color indexed="81"/>
            <rFont val="Tahoma"/>
            <family val="2"/>
          </rPr>
          <t xml:space="preserve">
2% of WW pharma growth = ~$150mn</t>
        </r>
      </text>
    </comment>
    <comment ref="CP539" authorId="2" shapeId="0" xr:uid="{00000000-0006-0000-0200-000090010000}">
      <text>
        <r>
          <rPr>
            <b/>
            <sz val="9"/>
            <color indexed="81"/>
            <rFont val="Tahoma"/>
            <family val="2"/>
          </rPr>
          <t>Author:</t>
        </r>
        <r>
          <rPr>
            <sz val="9"/>
            <color indexed="81"/>
            <rFont val="Tahoma"/>
            <family val="2"/>
          </rPr>
          <t xml:space="preserve">
$450-$490mn as per genmab</t>
        </r>
      </text>
    </comment>
    <comment ref="CW539" authorId="8" shapeId="0" xr:uid="{00000000-0006-0000-0200-000091010000}">
      <text>
        <r>
          <rPr>
            <b/>
            <sz val="9"/>
            <color indexed="81"/>
            <rFont val="Tahoma"/>
            <family val="2"/>
          </rPr>
          <t>Author:</t>
        </r>
        <r>
          <rPr>
            <sz val="9"/>
            <color indexed="81"/>
            <rFont val="Tahoma"/>
            <family val="2"/>
          </rPr>
          <t xml:space="preserve">
2Q18: strong uptake in US and EU, especially 1 prior line setting</t>
        </r>
      </text>
    </comment>
    <comment ref="DE539" authorId="10" shapeId="0" xr:uid="{00000000-0006-0000-0200-000092010000}">
      <text>
        <r>
          <rPr>
            <b/>
            <sz val="9"/>
            <color indexed="81"/>
            <rFont val="Tahoma"/>
            <family val="2"/>
          </rPr>
          <t>Author:</t>
        </r>
        <r>
          <rPr>
            <sz val="9"/>
            <color indexed="81"/>
            <rFont val="Tahoma"/>
            <family val="2"/>
          </rPr>
          <t xml:space="preserve">
cons 2.8
Genmab FY results -
Our projected revenue for 2019 primarily consists of Product0118 royalties of DKK 2,685 million, </t>
        </r>
        <r>
          <rPr>
            <b/>
            <sz val="9"/>
            <color indexed="81"/>
            <rFont val="Tahoma"/>
            <family val="2"/>
          </rPr>
          <t>based on estimated net sales of USD 3.0 billion.</t>
        </r>
      </text>
    </comment>
    <comment ref="DO539" authorId="12" shapeId="0" xr:uid="{00000000-0006-0000-0200-000093010000}">
      <text>
        <r>
          <rPr>
            <b/>
            <sz val="9"/>
            <color indexed="81"/>
            <rFont val="Tahoma"/>
            <family val="2"/>
          </rPr>
          <t>Author:</t>
        </r>
        <r>
          <rPr>
            <sz val="9"/>
            <color indexed="81"/>
            <rFont val="Tahoma"/>
            <family val="2"/>
          </rPr>
          <t xml:space="preserve">
Genmab 4Q20: $5.2-$5.6bn</t>
        </r>
      </text>
    </comment>
    <comment ref="DA542" authorId="10" shapeId="0" xr:uid="{00000000-0006-0000-0200-000094010000}">
      <text>
        <r>
          <rPr>
            <b/>
            <sz val="9"/>
            <color indexed="81"/>
            <rFont val="Tahoma"/>
            <family val="2"/>
          </rPr>
          <t>Author:</t>
        </r>
        <r>
          <rPr>
            <sz val="9"/>
            <color indexed="81"/>
            <rFont val="Tahoma"/>
            <family val="2"/>
          </rPr>
          <t xml:space="preserve">
 a 4-point increase in U.S. market share across all lines of therapy.</t>
        </r>
      </text>
    </comment>
    <comment ref="EM542" authorId="4" shapeId="0" xr:uid="{00000000-0006-0000-0200-000095010000}">
      <text>
        <r>
          <rPr>
            <b/>
            <sz val="9"/>
            <color indexed="81"/>
            <rFont val="Tahoma"/>
            <family val="2"/>
          </rPr>
          <t>Author:</t>
        </r>
        <r>
          <rPr>
            <sz val="9"/>
            <color indexed="81"/>
            <rFont val="Tahoma"/>
            <family val="2"/>
          </rPr>
          <t xml:space="preserve">
IV formulation goes LOE</t>
        </r>
      </text>
    </comment>
    <comment ref="CX543" authorId="8" shapeId="0" xr:uid="{00000000-0006-0000-0200-000096010000}">
      <text>
        <r>
          <rPr>
            <b/>
            <sz val="9"/>
            <color indexed="81"/>
            <rFont val="Tahoma"/>
            <family val="2"/>
          </rPr>
          <t>Author:</t>
        </r>
        <r>
          <rPr>
            <sz val="9"/>
            <color indexed="81"/>
            <rFont val="Tahoma"/>
            <family val="2"/>
          </rPr>
          <t xml:space="preserve">
volume growth was offset by one-time adj. related to accruals for retroactive reimbursement matters negatively impacting sales by 16% implying sales of $194mn for the Q</t>
        </r>
      </text>
    </comment>
    <comment ref="DA543" authorId="10" shapeId="0" xr:uid="{00000000-0006-0000-0200-000097010000}">
      <text>
        <r>
          <rPr>
            <b/>
            <sz val="9"/>
            <color indexed="81"/>
            <rFont val="Tahoma"/>
            <family val="2"/>
          </rPr>
          <t>Author:</t>
        </r>
        <r>
          <rPr>
            <sz val="9"/>
            <color indexed="81"/>
            <rFont val="Tahoma"/>
            <family val="2"/>
          </rPr>
          <t xml:space="preserve">
Outside thus, Product0118 grew 18% and is experiencing increased penetration and share gains across Latin America, the Asia-Pacific region and in the 40 EMEA countries where it's commercially available with 9 new markets added this quarter.</t>
        </r>
      </text>
    </comment>
    <comment ref="DU544" authorId="5" shapeId="0" xr:uid="{53721033-E164-4BD8-A537-7F7C8D4098C3}">
      <text>
        <r>
          <rPr>
            <b/>
            <sz val="9"/>
            <color indexed="81"/>
            <rFont val="Tahoma"/>
            <family val="2"/>
          </rPr>
          <t>Author:</t>
        </r>
        <r>
          <rPr>
            <sz val="9"/>
            <color indexed="81"/>
            <rFont val="Tahoma"/>
            <family val="2"/>
          </rPr>
          <t xml:space="preserve">
-7.6% Currency adj. as per PR</t>
        </r>
      </text>
    </comment>
    <comment ref="DV544" authorId="5" shapeId="0" xr:uid="{05E07F6D-DCFF-4013-89C4-BE83260746CC}">
      <text>
        <r>
          <rPr>
            <b/>
            <sz val="9"/>
            <color indexed="81"/>
            <rFont val="Tahoma"/>
            <family val="2"/>
          </rPr>
          <t>Author:</t>
        </r>
        <r>
          <rPr>
            <sz val="9"/>
            <color indexed="81"/>
            <rFont val="Tahoma"/>
            <family val="2"/>
          </rPr>
          <t xml:space="preserve">
As per 2Q23 PR</t>
        </r>
      </text>
    </comment>
    <comment ref="DW544" authorId="5" shapeId="0" xr:uid="{064A936F-ABB6-48D7-955D-80367503FDB0}">
      <text>
        <r>
          <rPr>
            <b/>
            <sz val="9"/>
            <color indexed="81"/>
            <rFont val="Tahoma"/>
            <family val="2"/>
          </rPr>
          <t>Author:</t>
        </r>
        <r>
          <rPr>
            <sz val="9"/>
            <color indexed="81"/>
            <rFont val="Tahoma"/>
            <family val="2"/>
          </rPr>
          <t xml:space="preserve">
As per 3Q23 PR</t>
        </r>
      </text>
    </comment>
    <comment ref="DX544" authorId="5" shapeId="0" xr:uid="{F7E501A1-0F2D-4279-8E34-8FF01028F56A}">
      <text>
        <r>
          <rPr>
            <b/>
            <sz val="9"/>
            <color indexed="81"/>
            <rFont val="Tahoma"/>
            <family val="2"/>
          </rPr>
          <t>Author:</t>
        </r>
        <r>
          <rPr>
            <sz val="9"/>
            <color indexed="81"/>
            <rFont val="Tahoma"/>
            <family val="2"/>
          </rPr>
          <t xml:space="preserve">
As per 3Q23 PR</t>
        </r>
      </text>
    </comment>
    <comment ref="EO544" authorId="4" shapeId="0" xr:uid="{00000000-0006-0000-0200-000098010000}">
      <text>
        <r>
          <rPr>
            <b/>
            <sz val="9"/>
            <color indexed="81"/>
            <rFont val="Tahoma"/>
            <family val="2"/>
          </rPr>
          <t>Author:</t>
        </r>
        <r>
          <rPr>
            <sz val="9"/>
            <color indexed="81"/>
            <rFont val="Tahoma"/>
            <family val="2"/>
          </rPr>
          <t xml:space="preserve">
IV LOE</t>
        </r>
      </text>
    </comment>
    <comment ref="CZ548" authorId="10" shapeId="0" xr:uid="{00000000-0006-0000-0200-000099010000}">
      <text>
        <r>
          <rPr>
            <b/>
            <sz val="9"/>
            <color indexed="81"/>
            <rFont val="Tahoma"/>
            <family val="2"/>
          </rPr>
          <t>Author:</t>
        </r>
        <r>
          <rPr>
            <sz val="9"/>
            <color indexed="81"/>
            <rFont val="Tahoma"/>
            <family val="2"/>
          </rPr>
          <t xml:space="preserve">
strong uptake with urologist; &gt;80% payer access</t>
        </r>
      </text>
    </comment>
    <comment ref="DA548" authorId="10" shapeId="0" xr:uid="{00000000-0006-0000-0200-00009A010000}">
      <text>
        <r>
          <rPr>
            <b/>
            <sz val="9"/>
            <color indexed="81"/>
            <rFont val="Tahoma"/>
            <family val="2"/>
          </rPr>
          <t>Author:</t>
        </r>
        <r>
          <rPr>
            <sz val="9"/>
            <color indexed="81"/>
            <rFont val="Tahoma"/>
            <family val="2"/>
          </rPr>
          <t xml:space="preserve">
Results from the PRODUCT0419 study will be submitted for presentation at an upcoming medical congress. Applications seeking regulatory approval of Product0137 supported by data from the Phase 3 PRODUCT0419 study are planned for 2019.
~35K patients (G7 estimates)
+4pt gain in market share</t>
        </r>
      </text>
    </comment>
    <comment ref="DB548" authorId="10" shapeId="0" xr:uid="{00000000-0006-0000-0200-00009B010000}">
      <text>
        <r>
          <rPr>
            <b/>
            <sz val="9"/>
            <color indexed="81"/>
            <rFont val="Tahoma"/>
            <family val="2"/>
          </rPr>
          <t>Author:</t>
        </r>
        <r>
          <rPr>
            <sz val="9"/>
            <color indexed="81"/>
            <rFont val="Tahoma"/>
            <family val="2"/>
          </rPr>
          <t xml:space="preserve">
Product0147 + ADT + Product0483 + prednisone label expansion in chemo-naïve mCRPC; filing expected 2019</t>
        </r>
      </text>
    </comment>
    <comment ref="DJ548" authorId="10" shapeId="0" xr:uid="{00000000-0006-0000-0200-00009C010000}">
      <text>
        <r>
          <rPr>
            <b/>
            <sz val="9"/>
            <color indexed="81"/>
            <rFont val="Tahoma"/>
            <family val="2"/>
          </rPr>
          <t>Author:</t>
        </r>
        <r>
          <rPr>
            <sz val="9"/>
            <color indexed="81"/>
            <rFont val="Tahoma"/>
            <family val="2"/>
          </rPr>
          <t xml:space="preserve">
potential label expansion to mHSPC ~35k pts in G7 (PRODUCT0419 study)</t>
        </r>
      </text>
    </comment>
    <comment ref="DO548" authorId="10" shapeId="0" xr:uid="{00000000-0006-0000-0200-00009D010000}">
      <text>
        <r>
          <rPr>
            <b/>
            <sz val="9"/>
            <color indexed="81"/>
            <rFont val="Tahoma"/>
            <family val="2"/>
          </rPr>
          <t>Author:</t>
        </r>
        <r>
          <rPr>
            <sz val="9"/>
            <color indexed="81"/>
            <rFont val="Tahoma"/>
            <family val="2"/>
          </rPr>
          <t xml:space="preserve">
potential label expansion to localized prostate cancer ~600k pts in G7; filing expected 2021 </t>
        </r>
      </text>
    </comment>
    <comment ref="DA549" authorId="10" shapeId="0" xr:uid="{00000000-0006-0000-0200-00009E010000}">
      <text>
        <r>
          <rPr>
            <b/>
            <sz val="9"/>
            <color indexed="81"/>
            <rFont val="Tahoma"/>
            <family val="2"/>
          </rPr>
          <t>Author:</t>
        </r>
        <r>
          <rPr>
            <sz val="9"/>
            <color indexed="81"/>
            <rFont val="Tahoma"/>
            <family val="2"/>
          </rPr>
          <t xml:space="preserve">
4Q18 earnings - EU approval expected in nmCRPC ~70k pts in G7</t>
        </r>
      </text>
    </comment>
    <comment ref="CV550" authorId="8" shapeId="0" xr:uid="{00000000-0006-0000-0200-00009F010000}">
      <text>
        <r>
          <rPr>
            <b/>
            <sz val="9"/>
            <color indexed="81"/>
            <rFont val="Tahoma"/>
            <family val="2"/>
          </rPr>
          <t>Author:</t>
        </r>
        <r>
          <rPr>
            <sz val="9"/>
            <color indexed="81"/>
            <rFont val="Tahoma"/>
            <family val="2"/>
          </rPr>
          <t xml:space="preserve">
approved in February with 80% of rx coming from urologists</t>
        </r>
      </text>
    </comment>
    <comment ref="DE550" authorId="9" shapeId="0" xr:uid="{00000000-0006-0000-0200-0000A0010000}">
      <text>
        <r>
          <rPr>
            <b/>
            <sz val="9"/>
            <color indexed="81"/>
            <rFont val="Tahoma"/>
            <family val="2"/>
          </rPr>
          <t>Author:</t>
        </r>
        <r>
          <rPr>
            <sz val="9"/>
            <color indexed="81"/>
            <rFont val="Tahoma"/>
            <family val="2"/>
          </rPr>
          <t xml:space="preserve">
Cons 209</t>
        </r>
      </text>
    </comment>
    <comment ref="DO550" authorId="9" shapeId="0" xr:uid="{00000000-0006-0000-0200-0000A1010000}">
      <text>
        <r>
          <rPr>
            <b/>
            <sz val="9"/>
            <color indexed="81"/>
            <rFont val="Tahoma"/>
            <family val="2"/>
          </rPr>
          <t>Author:</t>
        </r>
        <r>
          <rPr>
            <sz val="9"/>
            <color indexed="81"/>
            <rFont val="Tahoma"/>
            <family val="2"/>
          </rPr>
          <t xml:space="preserve">
Cons 696</t>
        </r>
      </text>
    </comment>
    <comment ref="DU555" authorId="5" shapeId="0" xr:uid="{6075ACF1-F975-4A41-B1A1-35FA08BB5B39}">
      <text>
        <r>
          <rPr>
            <b/>
            <sz val="9"/>
            <color indexed="81"/>
            <rFont val="Tahoma"/>
            <family val="2"/>
          </rPr>
          <t>Author:</t>
        </r>
        <r>
          <rPr>
            <sz val="9"/>
            <color indexed="81"/>
            <rFont val="Tahoma"/>
            <family val="2"/>
          </rPr>
          <t xml:space="preserve">
-9.8% Currency adj. as per PR</t>
        </r>
      </text>
    </comment>
    <comment ref="DV555" authorId="5" shapeId="0" xr:uid="{B9F7145F-43F6-4D2A-AAAA-9130F9C25403}">
      <text>
        <r>
          <rPr>
            <b/>
            <sz val="9"/>
            <color indexed="81"/>
            <rFont val="Tahoma"/>
            <family val="2"/>
          </rPr>
          <t>Author:</t>
        </r>
        <r>
          <rPr>
            <sz val="9"/>
            <color indexed="81"/>
            <rFont val="Tahoma"/>
            <family val="2"/>
          </rPr>
          <t xml:space="preserve">
As per 2Q23 PR</t>
        </r>
      </text>
    </comment>
    <comment ref="DW555" authorId="5" shapeId="0" xr:uid="{AE31A4BD-8A60-4185-A613-DF8C87C3D295}">
      <text>
        <r>
          <rPr>
            <b/>
            <sz val="9"/>
            <color indexed="81"/>
            <rFont val="Tahoma"/>
            <family val="2"/>
          </rPr>
          <t>Author:</t>
        </r>
        <r>
          <rPr>
            <sz val="9"/>
            <color indexed="81"/>
            <rFont val="Tahoma"/>
            <family val="2"/>
          </rPr>
          <t xml:space="preserve">
As per 3Q23 PR</t>
        </r>
      </text>
    </comment>
    <comment ref="DX555" authorId="5" shapeId="0" xr:uid="{0B927853-C1E4-4B72-A5A3-7D95B8B04D50}">
      <text>
        <r>
          <rPr>
            <b/>
            <sz val="9"/>
            <color indexed="81"/>
            <rFont val="Tahoma"/>
            <family val="2"/>
          </rPr>
          <t>Author:</t>
        </r>
        <r>
          <rPr>
            <sz val="9"/>
            <color indexed="81"/>
            <rFont val="Tahoma"/>
            <family val="2"/>
          </rPr>
          <t xml:space="preserve">
As per 3Q23 PR</t>
        </r>
      </text>
    </comment>
    <comment ref="CZ559" authorId="10" shapeId="0" xr:uid="{732380BA-F204-48CD-8E33-6171F192D1D1}">
      <text>
        <r>
          <rPr>
            <b/>
            <sz val="9"/>
            <color indexed="81"/>
            <rFont val="Tahoma"/>
            <family val="2"/>
          </rPr>
          <t>Author:</t>
        </r>
        <r>
          <rPr>
            <sz val="9"/>
            <color indexed="81"/>
            <rFont val="Tahoma"/>
            <family val="2"/>
          </rPr>
          <t xml:space="preserve">
strong uptake with urologist; &gt;80% payer access</t>
        </r>
      </text>
    </comment>
    <comment ref="DA559" authorId="10" shapeId="0" xr:uid="{861771E1-0F5C-4279-B1E3-1A18775FCA4F}">
      <text>
        <r>
          <rPr>
            <b/>
            <sz val="9"/>
            <color indexed="81"/>
            <rFont val="Tahoma"/>
            <family val="2"/>
          </rPr>
          <t>Author:</t>
        </r>
        <r>
          <rPr>
            <sz val="9"/>
            <color indexed="81"/>
            <rFont val="Tahoma"/>
            <family val="2"/>
          </rPr>
          <t xml:space="preserve">
Results from the PRODUCT0419 study will be submitted for presentation at an upcoming medical congress. Applications seeking regulatory approval of Product0137 supported by data from the Phase 3 PRODUCT0419 study are planned for 2019.
~35K patients (G7 estimates)
+4pt gain in market share</t>
        </r>
      </text>
    </comment>
    <comment ref="DB559" authorId="10" shapeId="0" xr:uid="{969B1BD8-6C6E-42F2-930B-3A3B6776611F}">
      <text>
        <r>
          <rPr>
            <b/>
            <sz val="9"/>
            <color indexed="81"/>
            <rFont val="Tahoma"/>
            <family val="2"/>
          </rPr>
          <t>Author:</t>
        </r>
        <r>
          <rPr>
            <sz val="9"/>
            <color indexed="81"/>
            <rFont val="Tahoma"/>
            <family val="2"/>
          </rPr>
          <t xml:space="preserve">
Product0147 + ADT + Product0483 + prednisone label expansion in chemo-naïve mCRPC; filing expected 2019</t>
        </r>
      </text>
    </comment>
    <comment ref="DJ559" authorId="10" shapeId="0" xr:uid="{85E7F4BF-3265-400F-A429-5128B0BD0240}">
      <text>
        <r>
          <rPr>
            <b/>
            <sz val="9"/>
            <color indexed="81"/>
            <rFont val="Tahoma"/>
            <family val="2"/>
          </rPr>
          <t>Author:</t>
        </r>
        <r>
          <rPr>
            <sz val="9"/>
            <color indexed="81"/>
            <rFont val="Tahoma"/>
            <family val="2"/>
          </rPr>
          <t xml:space="preserve">
potential label expansion to mHSPC ~35k pts in G7 (PRODUCT0419 study)</t>
        </r>
      </text>
    </comment>
    <comment ref="DO559" authorId="10" shapeId="0" xr:uid="{3A5F852C-9BC8-4974-B7EE-A65813B973B5}">
      <text>
        <r>
          <rPr>
            <b/>
            <sz val="9"/>
            <color indexed="81"/>
            <rFont val="Tahoma"/>
            <family val="2"/>
          </rPr>
          <t>Author:</t>
        </r>
        <r>
          <rPr>
            <sz val="9"/>
            <color indexed="81"/>
            <rFont val="Tahoma"/>
            <family val="2"/>
          </rPr>
          <t xml:space="preserve">
potential label expansion to localized prostate cancer ~600k pts in G7; filing expected 2021 </t>
        </r>
      </text>
    </comment>
    <comment ref="DA560" authorId="10" shapeId="0" xr:uid="{B21E585D-CFE7-4246-9E08-C26EEF8D47B6}">
      <text>
        <r>
          <rPr>
            <b/>
            <sz val="9"/>
            <color indexed="81"/>
            <rFont val="Tahoma"/>
            <family val="2"/>
          </rPr>
          <t>Author:</t>
        </r>
        <r>
          <rPr>
            <sz val="9"/>
            <color indexed="81"/>
            <rFont val="Tahoma"/>
            <family val="2"/>
          </rPr>
          <t xml:space="preserve">
4Q18 earnings - EU approval expected in nmCRPC ~70k pts in G7</t>
        </r>
      </text>
    </comment>
    <comment ref="CV561" authorId="8" shapeId="0" xr:uid="{8D97E799-A627-4110-8AEA-140C2A5E1087}">
      <text>
        <r>
          <rPr>
            <b/>
            <sz val="9"/>
            <color indexed="81"/>
            <rFont val="Tahoma"/>
            <family val="2"/>
          </rPr>
          <t>Author:</t>
        </r>
        <r>
          <rPr>
            <sz val="9"/>
            <color indexed="81"/>
            <rFont val="Tahoma"/>
            <family val="2"/>
          </rPr>
          <t xml:space="preserve">
approved in February with 80% of rx coming from urologists</t>
        </r>
      </text>
    </comment>
    <comment ref="DE561" authorId="9" shapeId="0" xr:uid="{3BA16116-2719-4AA9-8A54-2A5EB4473AB4}">
      <text>
        <r>
          <rPr>
            <b/>
            <sz val="9"/>
            <color indexed="81"/>
            <rFont val="Tahoma"/>
            <family val="2"/>
          </rPr>
          <t>Author:</t>
        </r>
        <r>
          <rPr>
            <sz val="9"/>
            <color indexed="81"/>
            <rFont val="Tahoma"/>
            <family val="2"/>
          </rPr>
          <t xml:space="preserve">
Cons 209</t>
        </r>
      </text>
    </comment>
    <comment ref="DO561" authorId="9" shapeId="0" xr:uid="{260412B7-ABD0-4EA7-8FF2-332FCF68E5D9}">
      <text>
        <r>
          <rPr>
            <b/>
            <sz val="9"/>
            <color indexed="81"/>
            <rFont val="Tahoma"/>
            <family val="2"/>
          </rPr>
          <t>Author:</t>
        </r>
        <r>
          <rPr>
            <sz val="9"/>
            <color indexed="81"/>
            <rFont val="Tahoma"/>
            <family val="2"/>
          </rPr>
          <t xml:space="preserve">
Cons 696</t>
        </r>
      </text>
    </comment>
    <comment ref="DP570" authorId="4" shapeId="0" xr:uid="{00000000-0006-0000-0200-0000EB030000}">
      <text>
        <r>
          <rPr>
            <b/>
            <sz val="9"/>
            <color indexed="81"/>
            <rFont val="Tahoma"/>
            <family val="2"/>
          </rPr>
          <t>Author:</t>
        </r>
        <r>
          <rPr>
            <sz val="9"/>
            <color indexed="81"/>
            <rFont val="Tahoma"/>
            <family val="2"/>
          </rPr>
          <t xml:space="preserve">
not reported</t>
        </r>
      </text>
    </comment>
    <comment ref="DQ570" authorId="4" shapeId="0" xr:uid="{00000000-0006-0000-0200-0000EC030000}">
      <text>
        <r>
          <rPr>
            <sz val="9"/>
            <color indexed="81"/>
            <rFont val="Tahoma"/>
            <family val="2"/>
          </rPr>
          <t>per legn 6k</t>
        </r>
      </text>
    </comment>
    <comment ref="DR570" authorId="11" shapeId="0" xr:uid="{F4414FEC-3E29-4355-AC41-40746EF13279}">
      <text>
        <r>
          <rPr>
            <sz val="9"/>
            <color indexed="81"/>
            <rFont val="Tahoma"/>
            <family val="2"/>
          </rPr>
          <t>per LEGN 6k</t>
        </r>
      </text>
    </comment>
    <comment ref="DS570" authorId="4" shapeId="0" xr:uid="{8414F0BE-8EA2-4E86-9B6D-338B6D40034F}">
      <text>
        <r>
          <rPr>
            <b/>
            <sz val="9"/>
            <color indexed="81"/>
            <rFont val="Tahoma"/>
            <family val="2"/>
          </rPr>
          <t>Author:</t>
        </r>
        <r>
          <rPr>
            <sz val="9"/>
            <color indexed="81"/>
            <rFont val="Tahoma"/>
            <family val="2"/>
          </rPr>
          <t xml:space="preserve">
per LEGN 6k</t>
        </r>
      </text>
    </comment>
    <comment ref="DW570" authorId="5" shapeId="0" xr:uid="{8BA08046-3E0B-4410-A3EF-EAF09DCA0D03}">
      <text>
        <r>
          <rPr>
            <b/>
            <sz val="9"/>
            <color indexed="81"/>
            <rFont val="Tahoma"/>
            <family val="2"/>
          </rPr>
          <t>Author:</t>
        </r>
        <r>
          <rPr>
            <sz val="9"/>
            <color indexed="81"/>
            <rFont val="Tahoma"/>
            <family val="2"/>
          </rPr>
          <t xml:space="preserve">
LEGN 2Q23: Expect step-ups in 3Q and 4Q (2Q step-up did not fully capture a quarter's worth of step-up). Added 35 more treatment centers in 2Q to 54 active sites in the US</t>
        </r>
      </text>
    </comment>
    <comment ref="DX570" authorId="5" shapeId="0" xr:uid="{5BE4B951-C3E9-4DC1-B34B-66882272F227}">
      <text>
        <r>
          <rPr>
            <b/>
            <sz val="9"/>
            <color indexed="81"/>
            <rFont val="Tahoma"/>
            <family val="2"/>
          </rPr>
          <t>Author:</t>
        </r>
        <r>
          <rPr>
            <sz val="9"/>
            <color indexed="81"/>
            <rFont val="Tahoma"/>
            <family val="2"/>
          </rPr>
          <t xml:space="preserve">
- Belgium (Gent) facility expected to come online at the end of 2023.</t>
        </r>
      </text>
    </comment>
    <comment ref="DZ570" authorId="5" shapeId="0" xr:uid="{0A84AFBA-5C68-4937-AA84-B4BAD73B70E2}">
      <text>
        <r>
          <rPr>
            <b/>
            <sz val="9"/>
            <color indexed="81"/>
            <rFont val="Tahoma"/>
            <family val="2"/>
          </rPr>
          <t>Author:</t>
        </r>
        <r>
          <rPr>
            <sz val="9"/>
            <color indexed="81"/>
            <rFont val="Tahoma"/>
            <family val="2"/>
          </rPr>
          <t xml:space="preserve">
- Belgium (Gent) facility expected to come online at the end of 2023.</t>
        </r>
      </text>
    </comment>
    <comment ref="EB570" authorId="5" shapeId="0" xr:uid="{EEB384AD-CBCA-46BE-A86A-C3901697D428}">
      <text>
        <r>
          <rPr>
            <b/>
            <sz val="9"/>
            <color indexed="81"/>
            <rFont val="Tahoma"/>
            <family val="2"/>
          </rPr>
          <t>Author:</t>
        </r>
        <r>
          <rPr>
            <sz val="9"/>
            <color indexed="81"/>
            <rFont val="Tahoma"/>
            <family val="2"/>
          </rPr>
          <t xml:space="preserve">
Assumes NVS facilities come online</t>
        </r>
      </text>
    </comment>
    <comment ref="EE570" authorId="5" shapeId="0" xr:uid="{638200B0-792A-4BCD-99E5-AE82EF8A77AB}">
      <text>
        <r>
          <rPr>
            <b/>
            <sz val="9"/>
            <color indexed="81"/>
            <rFont val="Tahoma"/>
            <family val="2"/>
          </rPr>
          <t>Author:</t>
        </r>
        <r>
          <rPr>
            <sz val="9"/>
            <color indexed="81"/>
            <rFont val="Tahoma"/>
            <family val="2"/>
          </rPr>
          <t xml:space="preserve">
- Belgium (Gent) facility expected to come online at the end of 2023.</t>
        </r>
      </text>
    </comment>
    <comment ref="EB571" authorId="15" shapeId="0" xr:uid="{2C2F5E16-7DA8-4DCD-86D0-657D37CC54EB}">
      <text>
        <r>
          <rPr>
            <b/>
            <sz val="9"/>
            <color indexed="81"/>
            <rFont val="Tahoma"/>
            <family val="2"/>
          </rPr>
          <t>Author:</t>
        </r>
        <r>
          <rPr>
            <sz val="9"/>
            <color indexed="81"/>
            <rFont val="Tahoma"/>
            <family val="2"/>
          </rPr>
          <t xml:space="preserve">
2Q24: pulls from a market model</t>
        </r>
      </text>
    </comment>
    <comment ref="EK572" authorId="5" shapeId="0" xr:uid="{627BB773-753A-4F87-B10C-C206CCE8EDAE}">
      <text>
        <r>
          <rPr>
            <b/>
            <sz val="9"/>
            <color indexed="81"/>
            <rFont val="Tahoma"/>
            <family val="2"/>
          </rPr>
          <t>Author:</t>
        </r>
        <r>
          <rPr>
            <sz val="9"/>
            <color indexed="81"/>
            <rFont val="Tahoma"/>
            <family val="2"/>
          </rPr>
          <t xml:space="preserve">
2023 EBR: $4.5bn - 25% higher than current market est of ~$3.6bn</t>
        </r>
      </text>
    </comment>
    <comment ref="CZ581" authorId="10" shapeId="0" xr:uid="{2087DE93-E5BF-4C3D-A247-DAB95003B9EF}">
      <text>
        <r>
          <rPr>
            <b/>
            <sz val="9"/>
            <color indexed="81"/>
            <rFont val="Tahoma"/>
            <family val="2"/>
          </rPr>
          <t>Author:</t>
        </r>
        <r>
          <rPr>
            <sz val="9"/>
            <color indexed="81"/>
            <rFont val="Tahoma"/>
            <family val="2"/>
          </rPr>
          <t xml:space="preserve">
strong uptake with urologist; &gt;80% payer access</t>
        </r>
      </text>
    </comment>
    <comment ref="DA581" authorId="10" shapeId="0" xr:uid="{05682103-3D15-4C8E-A5C5-76AEE0CF3819}">
      <text>
        <r>
          <rPr>
            <b/>
            <sz val="9"/>
            <color indexed="81"/>
            <rFont val="Tahoma"/>
            <family val="2"/>
          </rPr>
          <t>Author:</t>
        </r>
        <r>
          <rPr>
            <sz val="9"/>
            <color indexed="81"/>
            <rFont val="Tahoma"/>
            <family val="2"/>
          </rPr>
          <t xml:space="preserve">
Results from the PRODUCT0419 study will be submitted for presentation at an upcoming medical congress. Applications seeking regulatory approval of Product0137 supported by data from the Phase 3 PRODUCT0419 study are planned for 2019.
~35K patients (G7 estimates)
+4pt gain in market share</t>
        </r>
      </text>
    </comment>
    <comment ref="DB581" authorId="10" shapeId="0" xr:uid="{715C2E2C-6403-400E-B97A-29F0743F1A3C}">
      <text>
        <r>
          <rPr>
            <b/>
            <sz val="9"/>
            <color indexed="81"/>
            <rFont val="Tahoma"/>
            <family val="2"/>
          </rPr>
          <t>Author:</t>
        </r>
        <r>
          <rPr>
            <sz val="9"/>
            <color indexed="81"/>
            <rFont val="Tahoma"/>
            <family val="2"/>
          </rPr>
          <t xml:space="preserve">
Product0147 + ADT + Product0483 + prednisone label expansion in chemo-naïve mCRPC; filing expected 2019</t>
        </r>
      </text>
    </comment>
    <comment ref="DJ581" authorId="10" shapeId="0" xr:uid="{EF7ABED2-9AEF-4103-81C2-22DB87F5EB09}">
      <text>
        <r>
          <rPr>
            <b/>
            <sz val="9"/>
            <color indexed="81"/>
            <rFont val="Tahoma"/>
            <family val="2"/>
          </rPr>
          <t>Author:</t>
        </r>
        <r>
          <rPr>
            <sz val="9"/>
            <color indexed="81"/>
            <rFont val="Tahoma"/>
            <family val="2"/>
          </rPr>
          <t xml:space="preserve">
potential label expansion to mHSPC ~35k pts in G7 (PRODUCT0419 study)</t>
        </r>
      </text>
    </comment>
    <comment ref="DO581" authorId="10" shapeId="0" xr:uid="{8186F336-BC03-473D-88DD-2B7DE7CD053C}">
      <text>
        <r>
          <rPr>
            <b/>
            <sz val="9"/>
            <color indexed="81"/>
            <rFont val="Tahoma"/>
            <family val="2"/>
          </rPr>
          <t>Author:</t>
        </r>
        <r>
          <rPr>
            <sz val="9"/>
            <color indexed="81"/>
            <rFont val="Tahoma"/>
            <family val="2"/>
          </rPr>
          <t xml:space="preserve">
potential label expansion to localized prostate cancer ~600k pts in G7; filing expected 2021 </t>
        </r>
      </text>
    </comment>
    <comment ref="DA582" authorId="10" shapeId="0" xr:uid="{5E29B378-AC12-4F44-924B-E24FCD4D842B}">
      <text>
        <r>
          <rPr>
            <b/>
            <sz val="9"/>
            <color indexed="81"/>
            <rFont val="Tahoma"/>
            <family val="2"/>
          </rPr>
          <t>Author:</t>
        </r>
        <r>
          <rPr>
            <sz val="9"/>
            <color indexed="81"/>
            <rFont val="Tahoma"/>
            <family val="2"/>
          </rPr>
          <t xml:space="preserve">
4Q18 earnings - EU approval expected in nmCRPC ~70k pts in G7</t>
        </r>
      </text>
    </comment>
    <comment ref="CV583" authorId="8" shapeId="0" xr:uid="{7CD00E7B-E23A-427E-B431-0DDD2E5E5575}">
      <text>
        <r>
          <rPr>
            <b/>
            <sz val="9"/>
            <color indexed="81"/>
            <rFont val="Tahoma"/>
            <family val="2"/>
          </rPr>
          <t>Author:</t>
        </r>
        <r>
          <rPr>
            <sz val="9"/>
            <color indexed="81"/>
            <rFont val="Tahoma"/>
            <family val="2"/>
          </rPr>
          <t xml:space="preserve">
approved in February with 80% of rx coming from urologists</t>
        </r>
      </text>
    </comment>
    <comment ref="DE583" authorId="9" shapeId="0" xr:uid="{41C1C847-3B81-471F-9EEF-62F3C33DE4D6}">
      <text>
        <r>
          <rPr>
            <b/>
            <sz val="9"/>
            <color indexed="81"/>
            <rFont val="Tahoma"/>
            <family val="2"/>
          </rPr>
          <t>Author:</t>
        </r>
        <r>
          <rPr>
            <sz val="9"/>
            <color indexed="81"/>
            <rFont val="Tahoma"/>
            <family val="2"/>
          </rPr>
          <t xml:space="preserve">
Cons 209</t>
        </r>
      </text>
    </comment>
    <comment ref="DO583" authorId="9" shapeId="0" xr:uid="{F6563579-A1A1-4B71-A69E-BB9ACC5B8F6A}">
      <text>
        <r>
          <rPr>
            <b/>
            <sz val="9"/>
            <color indexed="81"/>
            <rFont val="Tahoma"/>
            <family val="2"/>
          </rPr>
          <t>Author:</t>
        </r>
        <r>
          <rPr>
            <sz val="9"/>
            <color indexed="81"/>
            <rFont val="Tahoma"/>
            <family val="2"/>
          </rPr>
          <t xml:space="preserve">
Cons 696</t>
        </r>
      </text>
    </comment>
    <comment ref="DP609" authorId="4" shapeId="0" xr:uid="{00B878DD-84AB-4C2E-B10A-11A67EC62454}">
      <text>
        <r>
          <rPr>
            <b/>
            <sz val="9"/>
            <color indexed="81"/>
            <rFont val="Tahoma"/>
            <family val="2"/>
          </rPr>
          <t>Author:</t>
        </r>
        <r>
          <rPr>
            <sz val="9"/>
            <color indexed="81"/>
            <rFont val="Tahoma"/>
            <family val="2"/>
          </rPr>
          <t xml:space="preserve">
not reported</t>
        </r>
      </text>
    </comment>
    <comment ref="DP620" authorId="4" shapeId="0" xr:uid="{7F139BEE-764D-4B3E-9BC0-B657414CC0D2}">
      <text>
        <r>
          <rPr>
            <b/>
            <sz val="9"/>
            <color indexed="81"/>
            <rFont val="Tahoma"/>
            <family val="2"/>
          </rPr>
          <t>Author:</t>
        </r>
        <r>
          <rPr>
            <sz val="9"/>
            <color indexed="81"/>
            <rFont val="Tahoma"/>
            <family val="2"/>
          </rPr>
          <t xml:space="preserve">
not reported</t>
        </r>
      </text>
    </comment>
    <comment ref="CB626" authorId="7" shapeId="0" xr:uid="{00000000-0006-0000-0200-0000A2010000}">
      <text>
        <r>
          <rPr>
            <b/>
            <sz val="9"/>
            <color indexed="81"/>
            <rFont val="Tahoma"/>
            <family val="2"/>
          </rPr>
          <t>Author:</t>
        </r>
        <r>
          <rPr>
            <sz val="9"/>
            <color indexed="81"/>
            <rFont val="Tahoma"/>
            <family val="2"/>
          </rPr>
          <t xml:space="preserve">
1/12/15: changed formula to include Siltuximab
</t>
        </r>
      </text>
    </comment>
    <comment ref="CJ626" authorId="2" shapeId="0" xr:uid="{00000000-0006-0000-0200-0000A3010000}">
      <text>
        <r>
          <rPr>
            <b/>
            <sz val="9"/>
            <color indexed="81"/>
            <rFont val="Tahoma"/>
            <family val="2"/>
          </rPr>
          <t>Author:</t>
        </r>
        <r>
          <rPr>
            <sz val="9"/>
            <color indexed="81"/>
            <rFont val="Tahoma"/>
            <family val="2"/>
          </rPr>
          <t xml:space="preserve">
Launched Product0475 - approved in 3Q</t>
        </r>
      </text>
    </comment>
    <comment ref="DW626" authorId="5" shapeId="0" xr:uid="{36B926E0-2F89-42DC-A77E-A423663783F8}">
      <text>
        <r>
          <rPr>
            <sz val="9"/>
            <color indexed="81"/>
            <rFont val="Tahoma"/>
            <family val="2"/>
          </rPr>
          <t>Unreported Oncology product sales recorded in pipeline</t>
        </r>
      </text>
    </comment>
    <comment ref="CB627" authorId="7" shapeId="0" xr:uid="{00000000-0006-0000-0200-0000A4010000}">
      <text>
        <r>
          <rPr>
            <b/>
            <sz val="9"/>
            <color indexed="81"/>
            <rFont val="Tahoma"/>
            <family val="2"/>
          </rPr>
          <t>Author:</t>
        </r>
        <r>
          <rPr>
            <sz val="9"/>
            <color indexed="81"/>
            <rFont val="Tahoma"/>
            <family val="2"/>
          </rPr>
          <t xml:space="preserve">
1/12/15: changed formula to include Siltuximab</t>
        </r>
      </text>
    </comment>
    <comment ref="CQ627" authorId="8" shapeId="0" xr:uid="{00000000-0006-0000-0200-0000A5010000}">
      <text>
        <r>
          <rPr>
            <b/>
            <sz val="9"/>
            <color indexed="81"/>
            <rFont val="Tahoma"/>
            <family val="2"/>
          </rPr>
          <t>Author:</t>
        </r>
        <r>
          <rPr>
            <sz val="9"/>
            <color indexed="81"/>
            <rFont val="Tahoma"/>
            <family val="2"/>
          </rPr>
          <t xml:space="preserve">
includes Product0443</t>
        </r>
      </text>
    </comment>
    <comment ref="CR627" authorId="8" shapeId="0" xr:uid="{00000000-0006-0000-0200-0000A6010000}">
      <text>
        <r>
          <rPr>
            <b/>
            <sz val="9"/>
            <color indexed="81"/>
            <rFont val="Tahoma"/>
            <family val="2"/>
          </rPr>
          <t>Author:</t>
        </r>
        <r>
          <rPr>
            <sz val="9"/>
            <color indexed="81"/>
            <rFont val="Tahoma"/>
            <family val="2"/>
          </rPr>
          <t xml:space="preserve">
includes Product0443</t>
        </r>
      </text>
    </comment>
    <comment ref="CS627" authorId="8" shapeId="0" xr:uid="{00000000-0006-0000-0200-0000A7010000}">
      <text>
        <r>
          <rPr>
            <b/>
            <sz val="9"/>
            <color indexed="81"/>
            <rFont val="Tahoma"/>
            <family val="2"/>
          </rPr>
          <t>Author:</t>
        </r>
        <r>
          <rPr>
            <sz val="9"/>
            <color indexed="81"/>
            <rFont val="Tahoma"/>
            <family val="2"/>
          </rPr>
          <t xml:space="preserve">
includes Product0443 of $273mn</t>
        </r>
      </text>
    </comment>
    <comment ref="CT627" authorId="8" shapeId="0" xr:uid="{00000000-0006-0000-0200-0000A8010000}">
      <text>
        <r>
          <rPr>
            <b/>
            <sz val="9"/>
            <color indexed="81"/>
            <rFont val="Tahoma"/>
            <family val="2"/>
          </rPr>
          <t>Author:</t>
        </r>
        <r>
          <rPr>
            <sz val="9"/>
            <color indexed="81"/>
            <rFont val="Tahoma"/>
            <family val="2"/>
          </rPr>
          <t xml:space="preserve">
includes Product0443</t>
        </r>
      </text>
    </comment>
    <comment ref="CX627" authorId="8" shapeId="0" xr:uid="{00000000-0006-0000-0200-0000A9010000}">
      <text>
        <r>
          <rPr>
            <b/>
            <sz val="9"/>
            <color indexed="81"/>
            <rFont val="Tahoma"/>
            <family val="2"/>
          </rPr>
          <t>Author:</t>
        </r>
        <r>
          <rPr>
            <sz val="9"/>
            <color indexed="81"/>
            <rFont val="Tahoma"/>
            <family val="2"/>
          </rPr>
          <t xml:space="preserve">
$271mn is Product0443</t>
        </r>
      </text>
    </comment>
    <comment ref="CY627" authorId="8" shapeId="0" xr:uid="{00000000-0006-0000-0200-0000AA010000}">
      <text>
        <r>
          <rPr>
            <b/>
            <sz val="9"/>
            <color indexed="81"/>
            <rFont val="Tahoma"/>
            <family val="2"/>
          </rPr>
          <t>Author:</t>
        </r>
        <r>
          <rPr>
            <sz val="9"/>
            <color indexed="81"/>
            <rFont val="Tahoma"/>
            <family val="2"/>
          </rPr>
          <t xml:space="preserve">
252 is Product0443</t>
        </r>
      </text>
    </comment>
    <comment ref="DA627" authorId="10" shapeId="0" xr:uid="{00000000-0006-0000-0200-0000AB010000}">
      <text>
        <r>
          <rPr>
            <b/>
            <sz val="9"/>
            <color indexed="81"/>
            <rFont val="Tahoma"/>
            <family val="2"/>
          </rPr>
          <t>Author:</t>
        </r>
        <r>
          <rPr>
            <sz val="9"/>
            <color indexed="81"/>
            <rFont val="Tahoma"/>
            <family val="2"/>
          </rPr>
          <t xml:space="preserve">
include Product0443 of 282</t>
        </r>
      </text>
    </comment>
    <comment ref="DA631" authorId="10" shapeId="0" xr:uid="{00000000-0006-0000-0200-0000AC010000}">
      <text>
        <r>
          <rPr>
            <b/>
            <sz val="9"/>
            <color indexed="81"/>
            <rFont val="Tahoma"/>
            <family val="2"/>
          </rPr>
          <t>Author:</t>
        </r>
        <r>
          <rPr>
            <sz val="9"/>
            <color indexed="81"/>
            <rFont val="Tahoma"/>
            <family val="2"/>
          </rPr>
          <t xml:space="preserve">
Product0137 which gained 4 points of market share with the penetration of prescribers split evenly among urology and oncology practices. Further, we are very pleased to have received approval for Product0059 last week for the treatment of adults with locally or advanced metastatic urothelial cancer. Product0059 is the first FGFR kinase inhibitor approved by the FDA. </t>
        </r>
      </text>
    </comment>
    <comment ref="DB633" authorId="9" shapeId="0" xr:uid="{00000000-0006-0000-0200-0000AD010000}">
      <text>
        <r>
          <rPr>
            <b/>
            <sz val="9"/>
            <color indexed="81"/>
            <rFont val="Tahoma"/>
            <family val="2"/>
          </rPr>
          <t>Author:</t>
        </r>
        <r>
          <rPr>
            <sz val="9"/>
            <color indexed="81"/>
            <rFont val="Tahoma"/>
            <family val="2"/>
          </rPr>
          <t xml:space="preserve">
Product0443 generic entry</t>
        </r>
      </text>
    </comment>
    <comment ref="DU633" authorId="5" shapeId="0" xr:uid="{2198637F-D482-4DD6-AA5B-83B59A415C76}">
      <text>
        <r>
          <rPr>
            <b/>
            <sz val="9"/>
            <color indexed="81"/>
            <rFont val="Tahoma"/>
            <family val="2"/>
          </rPr>
          <t>Author:</t>
        </r>
        <r>
          <rPr>
            <sz val="9"/>
            <color indexed="81"/>
            <rFont val="Tahoma"/>
            <family val="2"/>
          </rPr>
          <t xml:space="preserve">
-9.8% Currency adj. as per PR</t>
        </r>
      </text>
    </comment>
    <comment ref="DV633" authorId="5" shapeId="0" xr:uid="{DAD477B0-1068-4A12-97E0-51DAEC4928CC}">
      <text>
        <r>
          <rPr>
            <b/>
            <sz val="9"/>
            <color indexed="81"/>
            <rFont val="Tahoma"/>
            <family val="2"/>
          </rPr>
          <t>Author:</t>
        </r>
        <r>
          <rPr>
            <sz val="9"/>
            <color indexed="81"/>
            <rFont val="Tahoma"/>
            <family val="2"/>
          </rPr>
          <t xml:space="preserve">
As per 2Q23 PR</t>
        </r>
      </text>
    </comment>
    <comment ref="DU644" authorId="5" shapeId="0" xr:uid="{27EABBF0-01FC-4BF6-8ACD-7E810644CE92}">
      <text>
        <r>
          <rPr>
            <b/>
            <sz val="9"/>
            <color indexed="81"/>
            <rFont val="Tahoma"/>
            <family val="2"/>
          </rPr>
          <t>Author:</t>
        </r>
        <r>
          <rPr>
            <sz val="9"/>
            <color indexed="81"/>
            <rFont val="Tahoma"/>
            <family val="2"/>
          </rPr>
          <t xml:space="preserve">
-8.0% Currency adj. as per PR</t>
        </r>
      </text>
    </comment>
    <comment ref="DV644" authorId="5" shapeId="0" xr:uid="{B5E0A72B-08A9-49E4-9EFE-7B98B12D8E62}">
      <text>
        <r>
          <rPr>
            <b/>
            <sz val="9"/>
            <color indexed="81"/>
            <rFont val="Tahoma"/>
            <family val="2"/>
          </rPr>
          <t>Author:</t>
        </r>
        <r>
          <rPr>
            <sz val="9"/>
            <color indexed="81"/>
            <rFont val="Tahoma"/>
            <family val="2"/>
          </rPr>
          <t xml:space="preserve">
As per 2Q23 PR</t>
        </r>
      </text>
    </comment>
    <comment ref="DW644" authorId="5" shapeId="0" xr:uid="{9203DD63-14DB-46D2-914B-2D49909CA4D4}">
      <text>
        <r>
          <rPr>
            <b/>
            <sz val="9"/>
            <color indexed="81"/>
            <rFont val="Tahoma"/>
            <family val="2"/>
          </rPr>
          <t>Author:</t>
        </r>
        <r>
          <rPr>
            <sz val="9"/>
            <color indexed="81"/>
            <rFont val="Tahoma"/>
            <family val="2"/>
          </rPr>
          <t xml:space="preserve">
As per 3Q23 PR</t>
        </r>
      </text>
    </comment>
    <comment ref="DX644" authorId="5" shapeId="0" xr:uid="{D8830496-3C21-4ABB-ABDC-089D039697E7}">
      <text>
        <r>
          <rPr>
            <b/>
            <sz val="9"/>
            <color indexed="81"/>
            <rFont val="Tahoma"/>
            <family val="2"/>
          </rPr>
          <t>Author:</t>
        </r>
        <r>
          <rPr>
            <sz val="9"/>
            <color indexed="81"/>
            <rFont val="Tahoma"/>
            <family val="2"/>
          </rPr>
          <t xml:space="preserve">
As per 4Q23 PR</t>
        </r>
      </text>
    </comment>
    <comment ref="C648" authorId="10" shapeId="0" xr:uid="{00000000-0006-0000-0200-0000AE010000}">
      <text>
        <r>
          <rPr>
            <b/>
            <sz val="9"/>
            <color indexed="81"/>
            <rFont val="Tahoma"/>
            <family val="2"/>
          </rPr>
          <t>Author:</t>
        </r>
        <r>
          <rPr>
            <sz val="9"/>
            <color indexed="81"/>
            <rFont val="Tahoma"/>
            <family val="2"/>
          </rPr>
          <t xml:space="preserve">
Dec 2025 (IR 4/17/2019)</t>
        </r>
      </text>
    </comment>
    <comment ref="C649" authorId="10" shapeId="0" xr:uid="{00000000-0006-0000-0200-0000AF010000}">
      <text>
        <r>
          <rPr>
            <b/>
            <sz val="9"/>
            <color indexed="81"/>
            <rFont val="Tahoma"/>
            <family val="2"/>
          </rPr>
          <t>Author:</t>
        </r>
        <r>
          <rPr>
            <sz val="9"/>
            <color indexed="81"/>
            <rFont val="Tahoma"/>
            <family val="2"/>
          </rPr>
          <t xml:space="preserve">
Dec 2026 (IR 4/17/2019)</t>
        </r>
      </text>
    </comment>
    <comment ref="CV650" authorId="8" shapeId="0" xr:uid="{00000000-0006-0000-0200-0000B0010000}">
      <text>
        <r>
          <rPr>
            <b/>
            <sz val="9"/>
            <color indexed="81"/>
            <rFont val="Tahoma"/>
            <family val="2"/>
          </rPr>
          <t>Author:</t>
        </r>
        <r>
          <rPr>
            <sz val="9"/>
            <color indexed="81"/>
            <rFont val="Tahoma"/>
            <family val="2"/>
          </rPr>
          <t xml:space="preserve">
1Q18: new-to-brand share on the ERA category in the U.S. of 48% and in Europe of 60%</t>
        </r>
      </text>
    </comment>
    <comment ref="DU655" authorId="5" shapeId="0" xr:uid="{3774FCD7-AA2F-4907-BA62-53C11C10F807}">
      <text>
        <r>
          <rPr>
            <b/>
            <sz val="9"/>
            <color indexed="81"/>
            <rFont val="Tahoma"/>
            <family val="2"/>
          </rPr>
          <t>Author:</t>
        </r>
        <r>
          <rPr>
            <sz val="9"/>
            <color indexed="81"/>
            <rFont val="Tahoma"/>
            <family val="2"/>
          </rPr>
          <t xml:space="preserve">
-7.7% Currency adj. as per PR</t>
        </r>
      </text>
    </comment>
    <comment ref="DV655" authorId="5" shapeId="0" xr:uid="{916BFDCF-157E-45DE-AEEE-7A46B7419E76}">
      <text>
        <r>
          <rPr>
            <b/>
            <sz val="9"/>
            <color indexed="81"/>
            <rFont val="Tahoma"/>
            <family val="2"/>
          </rPr>
          <t>Author:</t>
        </r>
        <r>
          <rPr>
            <sz val="9"/>
            <color indexed="81"/>
            <rFont val="Tahoma"/>
            <family val="2"/>
          </rPr>
          <t xml:space="preserve">
As per 2Q23 PR</t>
        </r>
      </text>
    </comment>
    <comment ref="DW655" authorId="5" shapeId="0" xr:uid="{C91B6D22-6389-4D53-9238-B8054AAA7E3A}">
      <text>
        <r>
          <rPr>
            <b/>
            <sz val="9"/>
            <color indexed="81"/>
            <rFont val="Tahoma"/>
            <family val="2"/>
          </rPr>
          <t>Author:</t>
        </r>
        <r>
          <rPr>
            <sz val="9"/>
            <color indexed="81"/>
            <rFont val="Tahoma"/>
            <family val="2"/>
          </rPr>
          <t xml:space="preserve">
As per 3Q23 PR</t>
        </r>
      </text>
    </comment>
    <comment ref="C659" authorId="8" shapeId="0" xr:uid="{00000000-0006-0000-0200-0000B1010000}">
      <text>
        <r>
          <rPr>
            <b/>
            <sz val="9"/>
            <color indexed="81"/>
            <rFont val="Tahoma"/>
            <family val="2"/>
          </rPr>
          <t>Author:</t>
        </r>
        <r>
          <rPr>
            <sz val="9"/>
            <color indexed="81"/>
            <rFont val="Tahoma"/>
            <family val="2"/>
          </rPr>
          <t xml:space="preserve">
nov 2015</t>
        </r>
      </text>
    </comment>
    <comment ref="CZ659" authorId="8" shapeId="0" xr:uid="{00000000-0006-0000-0200-0000B2010000}">
      <text>
        <r>
          <rPr>
            <b/>
            <sz val="9"/>
            <color indexed="81"/>
            <rFont val="Tahoma"/>
            <family val="2"/>
          </rPr>
          <t>Author:</t>
        </r>
        <r>
          <rPr>
            <sz val="9"/>
            <color indexed="81"/>
            <rFont val="Tahoma"/>
            <family val="2"/>
          </rPr>
          <t xml:space="preserve">
4Q17 call: generic entry in 2018</t>
        </r>
      </text>
    </comment>
    <comment ref="DF659" authorId="4" shapeId="0" xr:uid="{00000000-0006-0000-0200-0000B3010000}">
      <text>
        <r>
          <rPr>
            <b/>
            <sz val="9"/>
            <color indexed="81"/>
            <rFont val="Tahoma"/>
            <family val="2"/>
          </rPr>
          <t>Author:</t>
        </r>
        <r>
          <rPr>
            <sz val="9"/>
            <color indexed="81"/>
            <rFont val="Tahoma"/>
            <family val="2"/>
          </rPr>
          <t xml:space="preserve">
Ticker0018 no longer reports tracleer standalone</t>
        </r>
      </text>
    </comment>
    <comment ref="DG659" authorId="4" shapeId="0" xr:uid="{00000000-0006-0000-0200-0000B4010000}">
      <text>
        <r>
          <rPr>
            <b/>
            <sz val="9"/>
            <color indexed="81"/>
            <rFont val="Tahoma"/>
            <family val="2"/>
          </rPr>
          <t>Author:</t>
        </r>
        <r>
          <rPr>
            <sz val="9"/>
            <color indexed="81"/>
            <rFont val="Tahoma"/>
            <family val="2"/>
          </rPr>
          <t xml:space="preserve">
not reported by jnj</t>
        </r>
      </text>
    </comment>
    <comment ref="DH659" authorId="13" shapeId="0" xr:uid="{00000000-0006-0000-0200-0000B5010000}">
      <text>
        <r>
          <rPr>
            <b/>
            <sz val="9"/>
            <color indexed="81"/>
            <rFont val="Tahoma"/>
            <family val="2"/>
          </rPr>
          <t>Author:</t>
        </r>
        <r>
          <rPr>
            <sz val="9"/>
            <color indexed="81"/>
            <rFont val="Tahoma"/>
            <family val="2"/>
          </rPr>
          <t xml:space="preserve">
Don't give
</t>
        </r>
      </text>
    </comment>
    <comment ref="DI659" authorId="13" shapeId="0" xr:uid="{00000000-0006-0000-0200-0000B6010000}">
      <text>
        <r>
          <rPr>
            <b/>
            <sz val="9"/>
            <color indexed="81"/>
            <rFont val="Tahoma"/>
            <family val="2"/>
          </rPr>
          <t>Author:</t>
        </r>
        <r>
          <rPr>
            <sz val="9"/>
            <color indexed="81"/>
            <rFont val="Tahoma"/>
            <family val="2"/>
          </rPr>
          <t xml:space="preserve">
not reported</t>
        </r>
      </text>
    </comment>
    <comment ref="DK659" authorId="13" shapeId="0" xr:uid="{00000000-0006-0000-0200-0000B7010000}">
      <text>
        <r>
          <rPr>
            <b/>
            <sz val="9"/>
            <color indexed="81"/>
            <rFont val="Tahoma"/>
            <family val="2"/>
          </rPr>
          <t>Author:</t>
        </r>
        <r>
          <rPr>
            <sz val="9"/>
            <color indexed="81"/>
            <rFont val="Tahoma"/>
            <family val="2"/>
          </rPr>
          <t xml:space="preserve">
No longer reported - included in "Other" below</t>
        </r>
      </text>
    </comment>
    <comment ref="C660" authorId="8" shapeId="0" xr:uid="{00000000-0006-0000-0200-0000B8010000}">
      <text>
        <r>
          <rPr>
            <b/>
            <sz val="9"/>
            <color indexed="81"/>
            <rFont val="Tahoma"/>
            <family val="2"/>
          </rPr>
          <t>Author:</t>
        </r>
        <r>
          <rPr>
            <sz val="9"/>
            <color indexed="81"/>
            <rFont val="Tahoma"/>
            <family val="2"/>
          </rPr>
          <t xml:space="preserve">
aug 2017</t>
        </r>
      </text>
    </comment>
    <comment ref="CV661" authorId="8" shapeId="0" xr:uid="{00000000-0006-0000-0200-0000B9010000}">
      <text>
        <r>
          <rPr>
            <b/>
            <sz val="9"/>
            <color indexed="81"/>
            <rFont val="Tahoma"/>
            <family val="2"/>
          </rPr>
          <t>Author:</t>
        </r>
        <r>
          <rPr>
            <sz val="9"/>
            <color indexed="81"/>
            <rFont val="Tahoma"/>
            <family val="2"/>
          </rPr>
          <t xml:space="preserve">
1Q18: expect acceleration of grx erosion going into rest of 2018</t>
        </r>
      </text>
    </comment>
    <comment ref="C670" authorId="10" shapeId="0" xr:uid="{00000000-0006-0000-0200-0000BA010000}">
      <text>
        <r>
          <rPr>
            <b/>
            <sz val="9"/>
            <color indexed="81"/>
            <rFont val="Tahoma"/>
            <family val="2"/>
          </rPr>
          <t>Author:</t>
        </r>
        <r>
          <rPr>
            <sz val="9"/>
            <color indexed="81"/>
            <rFont val="Tahoma"/>
            <family val="2"/>
          </rPr>
          <t xml:space="preserve">
April 2023 (IR 4/17/2019)</t>
        </r>
      </text>
    </comment>
    <comment ref="C671" authorId="10" shapeId="0" xr:uid="{00000000-0006-0000-0200-0000BB010000}">
      <text>
        <r>
          <rPr>
            <b/>
            <sz val="9"/>
            <color indexed="81"/>
            <rFont val="Tahoma"/>
            <family val="2"/>
          </rPr>
          <t>Author:</t>
        </r>
        <r>
          <rPr>
            <sz val="9"/>
            <color indexed="81"/>
            <rFont val="Tahoma"/>
            <family val="2"/>
          </rPr>
          <t xml:space="preserve">
April 2027 (IR 4/17/2019)</t>
        </r>
      </text>
    </comment>
    <comment ref="DA675" authorId="10" shapeId="0" xr:uid="{00000000-0006-0000-0200-0000BC010000}">
      <text>
        <r>
          <rPr>
            <b/>
            <sz val="9"/>
            <color indexed="81"/>
            <rFont val="Tahoma"/>
            <family val="2"/>
          </rPr>
          <t>Author:</t>
        </r>
        <r>
          <rPr>
            <sz val="9"/>
            <color indexed="81"/>
            <rFont val="Tahoma"/>
            <family val="2"/>
          </rPr>
          <t xml:space="preserve">
 we're seeing with Product0433 is really coming from a few different areas: continued share gains, but also greater market penetration and earlier use. I believe as we put our commercial capabilities across these assets and with Product0433 being the newest one, we continue to get approval and get not only registration but access to reimbursement for the asset globally, which is having a lift. We're selling the product in as really the first oral PRA and really trying to drive earlier and earlier usage in the PAH treatment continuum because we believe the best thing for patients is more aggressive treatment and earlier on in therapy, and so it's really showing in the results that we've seen and with that 43% growth.</t>
        </r>
      </text>
    </comment>
    <comment ref="DU677" authorId="5" shapeId="0" xr:uid="{7BEA09FA-5AF5-4BD4-95D7-CEBF61ED4A30}">
      <text>
        <r>
          <rPr>
            <b/>
            <sz val="9"/>
            <color indexed="81"/>
            <rFont val="Tahoma"/>
            <family val="2"/>
          </rPr>
          <t>Author:</t>
        </r>
        <r>
          <rPr>
            <sz val="9"/>
            <color indexed="81"/>
            <rFont val="Tahoma"/>
            <family val="2"/>
          </rPr>
          <t xml:space="preserve">
-6.1% Currency adj. as per PR</t>
        </r>
      </text>
    </comment>
    <comment ref="DW677" authorId="5" shapeId="0" xr:uid="{E8E87CD2-D3D1-4F91-A9D2-B4019F2C923E}">
      <text>
        <r>
          <rPr>
            <b/>
            <sz val="9"/>
            <color indexed="81"/>
            <rFont val="Tahoma"/>
            <family val="2"/>
          </rPr>
          <t>Author:</t>
        </r>
        <r>
          <rPr>
            <sz val="9"/>
            <color indexed="81"/>
            <rFont val="Tahoma"/>
            <family val="2"/>
          </rPr>
          <t xml:space="preserve">
As per 3Q23 PR</t>
        </r>
      </text>
    </comment>
    <comment ref="DU688" authorId="5" shapeId="0" xr:uid="{EC370F9F-D32C-457E-A6A3-D0B48E394FC4}">
      <text>
        <r>
          <rPr>
            <b/>
            <sz val="9"/>
            <color indexed="81"/>
            <rFont val="Tahoma"/>
            <family val="2"/>
          </rPr>
          <t>Author:</t>
        </r>
        <r>
          <rPr>
            <sz val="9"/>
            <color indexed="81"/>
            <rFont val="Tahoma"/>
            <family val="2"/>
          </rPr>
          <t xml:space="preserve">
-10.8% Currency adj. as per PR</t>
        </r>
      </text>
    </comment>
    <comment ref="DV688" authorId="5" shapeId="0" xr:uid="{F0F9ABD8-8290-4A1D-A094-FA883754D9BC}">
      <text>
        <r>
          <rPr>
            <b/>
            <sz val="9"/>
            <color indexed="81"/>
            <rFont val="Tahoma"/>
            <family val="2"/>
          </rPr>
          <t>Author:</t>
        </r>
        <r>
          <rPr>
            <sz val="9"/>
            <color indexed="81"/>
            <rFont val="Tahoma"/>
            <family val="2"/>
          </rPr>
          <t xml:space="preserve">
As per 2Q23 PR</t>
        </r>
      </text>
    </comment>
    <comment ref="DW688" authorId="5" shapeId="0" xr:uid="{AAC1F201-F019-4D58-9C57-77CB0AF09331}">
      <text>
        <r>
          <rPr>
            <b/>
            <sz val="9"/>
            <color indexed="81"/>
            <rFont val="Tahoma"/>
            <family val="2"/>
          </rPr>
          <t>Author:</t>
        </r>
        <r>
          <rPr>
            <sz val="9"/>
            <color indexed="81"/>
            <rFont val="Tahoma"/>
            <family val="2"/>
          </rPr>
          <t xml:space="preserve">
As per 3Q23 PR</t>
        </r>
      </text>
    </comment>
    <comment ref="DK692" authorId="13" shapeId="0" xr:uid="{00000000-0006-0000-0200-0000BD010000}">
      <text>
        <r>
          <rPr>
            <b/>
            <sz val="9"/>
            <color indexed="81"/>
            <rFont val="Tahoma"/>
            <family val="2"/>
          </rPr>
          <t>Author:</t>
        </r>
        <r>
          <rPr>
            <sz val="9"/>
            <color indexed="81"/>
            <rFont val="Tahoma"/>
            <family val="2"/>
          </rPr>
          <t xml:space="preserve">
Includes $100mn of COVID-19 vaccine</t>
        </r>
      </text>
    </comment>
    <comment ref="DL692" authorId="26" shapeId="0" xr:uid="{00000000-0006-0000-0200-0000BE010000}">
      <text>
        <r>
          <rPr>
            <b/>
            <sz val="9"/>
            <color indexed="81"/>
            <rFont val="Tahoma"/>
            <family val="2"/>
          </rPr>
          <t>Author:</t>
        </r>
        <r>
          <rPr>
            <sz val="9"/>
            <color indexed="81"/>
            <rFont val="Tahoma"/>
            <family val="2"/>
          </rPr>
          <t xml:space="preserve">
includes covid vaccine sales</t>
        </r>
      </text>
    </comment>
    <comment ref="DM692" authorId="11" shapeId="0" xr:uid="{00000000-0006-0000-0200-0000BF010000}">
      <text>
        <r>
          <rPr>
            <b/>
            <sz val="9"/>
            <color indexed="81"/>
            <rFont val="Tahoma"/>
            <family val="2"/>
          </rPr>
          <t>Author:</t>
        </r>
        <r>
          <rPr>
            <sz val="9"/>
            <color indexed="81"/>
            <rFont val="Tahoma"/>
            <family val="2"/>
          </rPr>
          <t xml:space="preserve">
includes covid vaccine sales</t>
        </r>
      </text>
    </comment>
    <comment ref="DQ692" authorId="11" shapeId="0" xr:uid="{00000000-0006-0000-0200-0000C0010000}">
      <text>
        <r>
          <rPr>
            <b/>
            <sz val="9"/>
            <color indexed="81"/>
            <rFont val="Tahoma"/>
            <family val="2"/>
          </rPr>
          <t>Author:</t>
        </r>
        <r>
          <rPr>
            <sz val="9"/>
            <color indexed="81"/>
            <rFont val="Tahoma"/>
            <family val="2"/>
          </rPr>
          <t xml:space="preserve">
Including covid vacines sales here</t>
        </r>
      </text>
    </comment>
    <comment ref="DU692" authorId="5" shapeId="0" xr:uid="{CE4AC145-D9CE-4E74-9B36-8A28836D6429}">
      <text>
        <r>
          <rPr>
            <b/>
            <sz val="9"/>
            <color indexed="81"/>
            <rFont val="Tahoma"/>
            <family val="2"/>
          </rPr>
          <t>Author:</t>
        </r>
        <r>
          <rPr>
            <sz val="9"/>
            <color indexed="81"/>
            <rFont val="Tahoma"/>
            <family val="2"/>
          </rPr>
          <t xml:space="preserve">
No US COVID-19 vaccine sales</t>
        </r>
      </text>
    </comment>
    <comment ref="DV692" authorId="5" shapeId="0" xr:uid="{22B68B17-4A31-4B40-B9B2-762AB5D65E72}">
      <text>
        <r>
          <rPr>
            <b/>
            <sz val="9"/>
            <color indexed="81"/>
            <rFont val="Tahoma"/>
            <family val="2"/>
          </rPr>
          <t>Author:</t>
        </r>
        <r>
          <rPr>
            <sz val="9"/>
            <color indexed="81"/>
            <rFont val="Tahoma"/>
            <family val="2"/>
          </rPr>
          <t xml:space="preserve">
No US COVID-19 vaccine sales</t>
        </r>
      </text>
    </comment>
    <comment ref="DW692" authorId="5" shapeId="0" xr:uid="{E9F03893-A042-4C1C-9739-17E6B5F0F055}">
      <text>
        <r>
          <rPr>
            <b/>
            <sz val="9"/>
            <color indexed="81"/>
            <rFont val="Tahoma"/>
            <family val="2"/>
          </rPr>
          <t>Author:</t>
        </r>
        <r>
          <rPr>
            <sz val="9"/>
            <color indexed="81"/>
            <rFont val="Tahoma"/>
            <family val="2"/>
          </rPr>
          <t xml:space="preserve">
No US COVID-19 vaccine sales</t>
        </r>
      </text>
    </comment>
    <comment ref="DZ692" authorId="5" shapeId="0" xr:uid="{8B3E6C5E-FC41-4F39-94C4-EAB2659BC4E7}">
      <text>
        <r>
          <rPr>
            <b/>
            <sz val="9"/>
            <color indexed="81"/>
            <rFont val="Tahoma"/>
            <family val="2"/>
          </rPr>
          <t>Author:</t>
        </r>
        <r>
          <rPr>
            <sz val="9"/>
            <color indexed="81"/>
            <rFont val="Tahoma"/>
            <family val="2"/>
          </rPr>
          <t xml:space="preserve">
No US COVID-19 vaccine sales</t>
        </r>
      </text>
    </comment>
    <comment ref="DG693" authorId="13" shapeId="0" xr:uid="{00000000-0006-0000-0200-0000C1010000}">
      <text>
        <r>
          <rPr>
            <b/>
            <sz val="9"/>
            <color indexed="81"/>
            <rFont val="Tahoma"/>
            <family val="2"/>
          </rPr>
          <t>Author:</t>
        </r>
        <r>
          <rPr>
            <sz val="9"/>
            <color indexed="81"/>
            <rFont val="Tahoma"/>
            <family val="2"/>
          </rPr>
          <t xml:space="preserve">
</t>
        </r>
      </text>
    </comment>
    <comment ref="DL693" authorId="26" shapeId="0" xr:uid="{00000000-0006-0000-0200-0000C2010000}">
      <text>
        <r>
          <rPr>
            <b/>
            <sz val="9"/>
            <color indexed="81"/>
            <rFont val="Tahoma"/>
            <family val="2"/>
          </rPr>
          <t>Author:</t>
        </r>
        <r>
          <rPr>
            <sz val="9"/>
            <color indexed="81"/>
            <rFont val="Tahoma"/>
            <family val="2"/>
          </rPr>
          <t xml:space="preserve">
includes covid vaccine sales</t>
        </r>
      </text>
    </comment>
    <comment ref="DS693" authorId="14" shapeId="0" xr:uid="{22B64096-D219-4480-AC4F-CA42CED80034}">
      <text>
        <r>
          <rPr>
            <b/>
            <sz val="9"/>
            <color indexed="81"/>
            <rFont val="Tahoma"/>
            <family val="2"/>
          </rPr>
          <t>Author:</t>
        </r>
        <r>
          <rPr>
            <sz val="9"/>
            <color indexed="81"/>
            <rFont val="Tahoma"/>
            <family val="2"/>
          </rPr>
          <t xml:space="preserve">
incl covid vax</t>
        </r>
      </text>
    </comment>
    <comment ref="DU693" authorId="5" shapeId="0" xr:uid="{FA250024-8C00-47DA-ACAC-9C9E4050C3E7}">
      <text>
        <r>
          <rPr>
            <b/>
            <sz val="9"/>
            <color indexed="81"/>
            <rFont val="Tahoma"/>
            <family val="2"/>
          </rPr>
          <t>Author:</t>
        </r>
        <r>
          <rPr>
            <sz val="9"/>
            <color indexed="81"/>
            <rFont val="Tahoma"/>
            <family val="2"/>
          </rPr>
          <t xml:space="preserve">
Includes COVID-19 vaccine sales</t>
        </r>
      </text>
    </comment>
    <comment ref="DV693" authorId="5" shapeId="0" xr:uid="{FD7D069B-62A7-4D3C-93B0-41D41C732F96}">
      <text>
        <r>
          <rPr>
            <b/>
            <sz val="9"/>
            <color indexed="81"/>
            <rFont val="Tahoma"/>
            <family val="2"/>
          </rPr>
          <t>Author:</t>
        </r>
        <r>
          <rPr>
            <sz val="9"/>
            <color indexed="81"/>
            <rFont val="Tahoma"/>
            <family val="2"/>
          </rPr>
          <t xml:space="preserve">
Includes COVID-19 vaccine sales</t>
        </r>
      </text>
    </comment>
    <comment ref="DW693" authorId="5" shapeId="0" xr:uid="{B5B6C5CE-4C8F-4A94-811E-D41E49A79610}">
      <text>
        <r>
          <rPr>
            <b/>
            <sz val="9"/>
            <color indexed="81"/>
            <rFont val="Tahoma"/>
            <family val="2"/>
          </rPr>
          <t>Author:</t>
        </r>
        <r>
          <rPr>
            <sz val="9"/>
            <color indexed="81"/>
            <rFont val="Tahoma"/>
            <family val="2"/>
          </rPr>
          <t xml:space="preserve">
Includes COVID-19 vaccine sales</t>
        </r>
      </text>
    </comment>
    <comment ref="DY693" authorId="5" shapeId="0" xr:uid="{A59ACE40-199D-46DC-8BB9-E4AC06289465}">
      <text>
        <r>
          <rPr>
            <b/>
            <sz val="9"/>
            <color indexed="81"/>
            <rFont val="Tahoma"/>
            <family val="2"/>
          </rPr>
          <t>Author:</t>
        </r>
        <r>
          <rPr>
            <sz val="9"/>
            <color indexed="81"/>
            <rFont val="Tahoma"/>
            <family val="2"/>
          </rPr>
          <t xml:space="preserve">
1Q23 call: No more COVID-19 sales going forward as all contractual obligations have been fulfilled</t>
        </r>
      </text>
    </comment>
    <comment ref="DZ693" authorId="15" shapeId="0" xr:uid="{B88F532D-677F-4FBD-9B21-D471C1718011}">
      <text>
        <r>
          <rPr>
            <b/>
            <sz val="9"/>
            <color indexed="81"/>
            <rFont val="Tahoma"/>
            <family val="2"/>
          </rPr>
          <t>Author:</t>
        </r>
        <r>
          <rPr>
            <sz val="9"/>
            <color indexed="81"/>
            <rFont val="Tahoma"/>
            <family val="2"/>
          </rPr>
          <t xml:space="preserve">
1Q24: includes COVID-19 sales </t>
        </r>
      </text>
    </comment>
    <comment ref="DU699" authorId="5" shapeId="0" xr:uid="{7EDCA664-2D3C-4B9B-A091-A47936807775}">
      <text>
        <r>
          <rPr>
            <b/>
            <sz val="9"/>
            <color indexed="81"/>
            <rFont val="Tahoma"/>
            <family val="2"/>
          </rPr>
          <t>Author:</t>
        </r>
        <r>
          <rPr>
            <sz val="9"/>
            <color indexed="81"/>
            <rFont val="Tahoma"/>
            <family val="2"/>
          </rPr>
          <t xml:space="preserve">
-4.5% Currency adj. as per PR</t>
        </r>
      </text>
    </comment>
    <comment ref="B702" authorId="0" shapeId="0" xr:uid="{00000000-0006-0000-0200-0000C3010000}">
      <text>
        <r>
          <rPr>
            <b/>
            <sz val="8"/>
            <color indexed="81"/>
            <rFont val="Tahoma"/>
            <family val="2"/>
          </rPr>
          <t xml:space="preserve">Author:
</t>
        </r>
        <r>
          <rPr>
            <sz val="8"/>
            <color indexed="81"/>
            <rFont val="Tahoma"/>
            <family val="2"/>
          </rPr>
          <t xml:space="preserve">PPI space not very differentiated except for Product0264 (viewed as having  Company0301 efficacy). Space to get pressured as Product0308 goes generic in 2009, and Product0322 in 2010. OUS pressured as Product0264 goes generic in 2010 (not generic in US until 2015). Additionally, generic omneprazole (Product0310) and Product0322 (Company2758 launched at risk 12/2007)  in US market likely to gain share. Ticker0018 currently in H2H trial with Product0264. </t>
        </r>
      </text>
    </comment>
    <comment ref="B703" authorId="0" shapeId="0" xr:uid="{00000000-0006-0000-0200-0000C4010000}">
      <text>
        <r>
          <rPr>
            <b/>
            <sz val="8"/>
            <color indexed="81"/>
            <rFont val="Tahoma"/>
            <family val="2"/>
          </rPr>
          <t>Author:</t>
        </r>
        <r>
          <rPr>
            <sz val="8"/>
            <color indexed="81"/>
            <rFont val="Tahoma"/>
            <family val="2"/>
          </rPr>
          <t xml:space="preserve">
Company1366, Watson filed PIV. Company1366 is first to file. Once court releases decision Q1 2010. 6 monhts esclusivity period, but CP would block ANDA period, but exclusivity period wouold still count, so perhaps over before CP addressed (maybe end 2010, early 2011). </t>
        </r>
      </text>
    </comment>
    <comment ref="C703" authorId="33" shapeId="0" xr:uid="{00000000-0006-0000-0200-0000C5010000}">
      <text>
        <r>
          <rPr>
            <b/>
            <sz val="8"/>
            <color indexed="81"/>
            <rFont val="Tahoma"/>
            <family val="2"/>
          </rPr>
          <t xml:space="preserve">Author22 12/11/2012
</t>
        </r>
        <r>
          <rPr>
            <sz val="8"/>
            <color indexed="81"/>
            <rFont val="Tahoma"/>
            <family val="2"/>
          </rPr>
          <t>6 month pediatric extension to 11/8/2013</t>
        </r>
        <r>
          <rPr>
            <b/>
            <sz val="8"/>
            <color indexed="81"/>
            <rFont val="Tahoma"/>
            <family val="2"/>
          </rPr>
          <t xml:space="preserve">
c:</t>
        </r>
        <r>
          <rPr>
            <sz val="8"/>
            <color indexed="81"/>
            <rFont val="Tahoma"/>
            <family val="2"/>
          </rPr>
          <t xml:space="preserve">
'552 patent expires May 8, 2013</t>
        </r>
      </text>
    </comment>
    <comment ref="BB703" authorId="31" shapeId="0" xr:uid="{00000000-0006-0000-0200-0000C6010000}">
      <text>
        <r>
          <rPr>
            <b/>
            <sz val="8"/>
            <color indexed="81"/>
            <rFont val="Tahoma"/>
            <family val="2"/>
          </rPr>
          <t>Author:</t>
        </r>
        <r>
          <rPr>
            <sz val="8"/>
            <color indexed="81"/>
            <rFont val="Tahoma"/>
            <family val="2"/>
          </rPr>
          <t xml:space="preserve">
Assumes that composition of matter patent expires in 2008</t>
        </r>
      </text>
    </comment>
    <comment ref="BF703" authorId="0" shapeId="0" xr:uid="{00000000-0006-0000-0200-0000C7010000}">
      <text>
        <r>
          <rPr>
            <b/>
            <sz val="8"/>
            <color indexed="81"/>
            <rFont val="Tahoma"/>
            <family val="2"/>
          </rPr>
          <t>Author:</t>
        </r>
        <r>
          <rPr>
            <sz val="8"/>
            <color indexed="81"/>
            <rFont val="Tahoma"/>
            <family val="2"/>
          </rPr>
          <t xml:space="preserve">
assuming flat share in 4Q </t>
        </r>
      </text>
    </comment>
    <comment ref="BY703" authorId="21" shapeId="0" xr:uid="{00000000-0006-0000-0200-0000C8010000}">
      <text>
        <r>
          <rPr>
            <b/>
            <sz val="9"/>
            <color indexed="81"/>
            <rFont val="Tahoma"/>
            <family val="2"/>
          </rPr>
          <t>Author:</t>
        </r>
        <r>
          <rPr>
            <sz val="9"/>
            <color indexed="81"/>
            <rFont val="Tahoma"/>
            <family val="2"/>
          </rPr>
          <t xml:space="preserve">
9/12/13:  Product0021 patent expires in Nov. but wholesaler destocking begins in anticipation</t>
        </r>
      </text>
    </comment>
    <comment ref="BF704" authorId="0" shapeId="0" xr:uid="{00000000-0006-0000-0200-0000C9010000}">
      <text>
        <r>
          <rPr>
            <b/>
            <sz val="8"/>
            <color indexed="81"/>
            <rFont val="Tahoma"/>
            <family val="2"/>
          </rPr>
          <t>Author:</t>
        </r>
        <r>
          <rPr>
            <sz val="8"/>
            <color indexed="81"/>
            <rFont val="Tahoma"/>
            <family val="2"/>
          </rPr>
          <t xml:space="preserve">
Assuming continued share loss OUS</t>
        </r>
      </text>
    </comment>
    <comment ref="BD705" authorId="0" shapeId="0" xr:uid="{00000000-0006-0000-0200-0000CA010000}">
      <text>
        <r>
          <rPr>
            <b/>
            <sz val="8"/>
            <color indexed="81"/>
            <rFont val="Tahoma"/>
            <family val="2"/>
          </rPr>
          <t>Author:</t>
        </r>
        <r>
          <rPr>
            <sz val="8"/>
            <color indexed="81"/>
            <rFont val="Tahoma"/>
            <family val="2"/>
          </rPr>
          <t xml:space="preserve">
cons 268.67</t>
        </r>
      </text>
    </comment>
    <comment ref="BG708" authorId="0" shapeId="0" xr:uid="{00000000-0006-0000-0200-0000CB010000}">
      <text>
        <r>
          <rPr>
            <b/>
            <sz val="8"/>
            <color indexed="81"/>
            <rFont val="Tahoma"/>
            <family val="2"/>
          </rPr>
          <t>Author:</t>
        </r>
        <r>
          <rPr>
            <sz val="8"/>
            <color indexed="81"/>
            <rFont val="Tahoma"/>
            <family val="2"/>
          </rPr>
          <t xml:space="preserve">
Product0308 goes generic</t>
        </r>
      </text>
    </comment>
    <comment ref="CA708" authorId="0" shapeId="0" xr:uid="{00000000-0006-0000-0200-0000CC010000}">
      <text>
        <r>
          <rPr>
            <b/>
            <sz val="8"/>
            <color indexed="81"/>
            <rFont val="Tahoma"/>
            <family val="2"/>
          </rPr>
          <t>Author:</t>
        </r>
        <r>
          <rPr>
            <sz val="8"/>
            <color indexed="81"/>
            <rFont val="Tahoma"/>
            <family val="2"/>
          </rPr>
          <t xml:space="preserve">
Product0021 goes generic 5/8/2013
</t>
        </r>
      </text>
    </comment>
    <comment ref="CK708" authorId="0" shapeId="0" xr:uid="{00000000-0006-0000-0200-0000CD010000}">
      <text>
        <r>
          <rPr>
            <b/>
            <sz val="8"/>
            <color indexed="81"/>
            <rFont val="Tahoma"/>
            <family val="2"/>
          </rPr>
          <t>Author:</t>
        </r>
        <r>
          <rPr>
            <sz val="8"/>
            <color indexed="81"/>
            <rFont val="Tahoma"/>
            <family val="2"/>
          </rPr>
          <t xml:space="preserve">
Product0264 goes generic</t>
        </r>
      </text>
    </comment>
    <comment ref="BP709" authorId="1" shapeId="0" xr:uid="{00000000-0006-0000-0200-0000CE010000}">
      <text>
        <r>
          <rPr>
            <b/>
            <sz val="8"/>
            <color indexed="81"/>
            <rFont val="Tahoma"/>
            <family val="2"/>
          </rPr>
          <t>Author:</t>
        </r>
        <r>
          <rPr>
            <sz val="8"/>
            <color indexed="81"/>
            <rFont val="Tahoma"/>
            <family val="2"/>
          </rPr>
          <t xml:space="preserve">
4QCC: Up due to strong growth across major regions</t>
        </r>
      </text>
    </comment>
    <comment ref="BL710" authorId="0" shapeId="0" xr:uid="{00000000-0006-0000-0200-0000CF010000}">
      <text>
        <r>
          <rPr>
            <b/>
            <sz val="8"/>
            <color indexed="81"/>
            <rFont val="Tahoma"/>
            <family val="2"/>
          </rPr>
          <t>Author:</t>
        </r>
        <r>
          <rPr>
            <sz val="8"/>
            <color indexed="81"/>
            <rFont val="Tahoma"/>
            <family val="2"/>
          </rPr>
          <t xml:space="preserve">
Product0264 goes generic</t>
        </r>
      </text>
    </comment>
    <comment ref="BV710" authorId="0" shapeId="0" xr:uid="{00000000-0006-0000-0200-0000D0010000}">
      <text>
        <r>
          <rPr>
            <b/>
            <sz val="8"/>
            <color indexed="81"/>
            <rFont val="Tahoma"/>
            <family val="2"/>
          </rPr>
          <t>Author:</t>
        </r>
        <r>
          <rPr>
            <sz val="8"/>
            <color indexed="81"/>
            <rFont val="Tahoma"/>
            <family val="2"/>
          </rPr>
          <t xml:space="preserve">
Product0290 goes generic 11/2012</t>
        </r>
      </text>
    </comment>
    <comment ref="BM711" authorId="1" shapeId="0" xr:uid="{00000000-0006-0000-0200-0000D1010000}">
      <text>
        <r>
          <rPr>
            <b/>
            <sz val="8"/>
            <color indexed="81"/>
            <rFont val="Tahoma"/>
            <family val="2"/>
          </rPr>
          <t>Author:</t>
        </r>
        <r>
          <rPr>
            <sz val="8"/>
            <color indexed="81"/>
            <rFont val="Tahoma"/>
            <family val="2"/>
          </rPr>
          <t xml:space="preserve">
Co marketed 
On an operational basis , sales were down 8.6% due to increased penetration of generics
in the category.
</t>
        </r>
      </text>
    </comment>
    <comment ref="B713" authorId="0" shapeId="0" xr:uid="{00000000-0006-0000-0200-0000D2010000}">
      <text>
        <r>
          <rPr>
            <b/>
            <sz val="8"/>
            <color indexed="81"/>
            <rFont val="Tahoma"/>
            <family val="2"/>
          </rPr>
          <t>Author:</t>
        </r>
        <r>
          <rPr>
            <sz val="8"/>
            <color indexed="81"/>
            <rFont val="Tahoma"/>
            <family val="2"/>
          </rPr>
          <t xml:space="preserve">
1) Waiting on Risk Map (REMS) strategy from FDA, no timing, in discussions with manufacturers. 
2)New FDA labeling occured 11-19-2008 (using Product0055 b/Author34 Procrit n/a) 
a) Breast, non-small cell lung, head and neck, lymphoid, and cervical cancers black boxked as shortened overall survival and/or increased risk of tumor progression/recurrence. This is compared to prior label which stated when targeted to hemoglobin level of </t>
        </r>
        <r>
          <rPr>
            <sz val="8"/>
            <color indexed="81"/>
            <rFont val="Arial"/>
            <family val="2"/>
          </rPr>
          <t>≥</t>
        </r>
        <r>
          <rPr>
            <sz val="8"/>
            <color indexed="81"/>
            <rFont val="Tahoma"/>
            <family val="2"/>
          </rPr>
          <t>12g/dl</t>
        </r>
        <r>
          <rPr>
            <sz val="9.1999999999999993"/>
            <color indexed="81"/>
            <rFont val="Tahoma"/>
            <family val="2"/>
          </rPr>
          <t xml:space="preserve">
b</t>
        </r>
        <r>
          <rPr>
            <sz val="8"/>
            <color indexed="81"/>
            <rFont val="Tahoma"/>
            <family val="2"/>
          </rPr>
          <t xml:space="preserve">) Added language stating ESAs not indicated for myelosuppressive therapy when anticipated outcome is cure. </t>
        </r>
        <r>
          <rPr>
            <sz val="8"/>
            <color indexed="81"/>
            <rFont val="Tahoma"/>
            <family val="2"/>
          </rPr>
          <t xml:space="preserve">
3) Issues with tumor progression and ischemic events reduced use by docs. Medicare mandated ESA use in chemotherapy-induced anemia (50% procrit sales) should be narrowly targeted toward avoidance of transfusion, not reestablishment of QoL via nearly normal HG levels. As such, Reimbursement withheld for target above 10g/dl vs prior for 10-12 g/dl. Medicare no longer reimbursing for ESA use in anemia of cancer where chemo not used. 
Primary uses-
a) anemia of cancer w/ chemo (50%)
b) CKD pre-dialysis (prevented from marketing for dialysis per terms of Company0098 agreement) (35%)
Author34) Company1674, other (15%)
4) ON 7/30/2007, CMS made NCD limiting useage to </t>
        </r>
        <r>
          <rPr>
            <sz val="8"/>
            <color indexed="81"/>
            <rFont val="Arial"/>
            <family val="2"/>
          </rPr>
          <t xml:space="preserve">≤10g/dl, no AOC w/o chemo, did not address Company1674 (given that local Medicare carriers make determinations on ESA uses not covered by the NCD, likely that coverage for Company1674 will continue due to high unmet need). Expecting possible NCD on ESAs for CKD or bundling proposition, which may start as early as 2010 if approved (not reimbursed by drug at 106% of average cost, but by patient). 
5) Company2299 Product0246 has permanent injunction in US, but biotech team expects launch of biosimilars for Product0144 and Product0262 in 2013. 
6) After March 2008 Company1962 meeting, Manufacturers no longer able to DTC advertise nor rebate to physicians
bundling of infusion
</t>
        </r>
      </text>
    </comment>
    <comment ref="BY714" authorId="21" shapeId="0" xr:uid="{00000000-0006-0000-0200-0000D3010000}">
      <text>
        <r>
          <rPr>
            <b/>
            <sz val="9"/>
            <color indexed="81"/>
            <rFont val="Tahoma"/>
            <family val="2"/>
          </rPr>
          <t>Author:</t>
        </r>
        <r>
          <rPr>
            <sz val="9"/>
            <color indexed="81"/>
            <rFont val="Tahoma"/>
            <family val="2"/>
          </rPr>
          <t xml:space="preserve">
9/12/13:  Procrit patent expired but there are no biosimilars</t>
        </r>
      </text>
    </comment>
    <comment ref="CX714" authorId="3" shapeId="0" xr:uid="{00000000-0006-0000-0200-0000D4010000}">
      <text>
        <r>
          <rPr>
            <b/>
            <sz val="9"/>
            <color indexed="81"/>
            <rFont val="Tahoma"/>
            <family val="2"/>
          </rPr>
          <t>Author:</t>
        </r>
        <r>
          <rPr>
            <sz val="9"/>
            <color indexed="81"/>
            <rFont val="Tahoma"/>
            <family val="2"/>
          </rPr>
          <t xml:space="preserve">
 On May 15, FDA approved the first biosimilar of Product0144®/Procrit® (epoetin alfa) for the treatment of anemia caused by chronic kidney disease and chemotherapy – developed by Company2162/Company1261 and called Product0343 (epoetin alfa-epbx). </t>
        </r>
      </text>
    </comment>
    <comment ref="CZ714" authorId="8" shapeId="0" xr:uid="{00000000-0006-0000-0200-0000D5010000}">
      <text>
        <r>
          <rPr>
            <b/>
            <sz val="9"/>
            <color indexed="81"/>
            <rFont val="Tahoma"/>
            <family val="2"/>
          </rPr>
          <t>Author:</t>
        </r>
        <r>
          <rPr>
            <sz val="9"/>
            <color indexed="81"/>
            <rFont val="Tahoma"/>
            <family val="2"/>
          </rPr>
          <t xml:space="preserve">
4Q17 call: generic entry in 2018</t>
        </r>
      </text>
    </comment>
    <comment ref="DP714" authorId="11" shapeId="0" xr:uid="{00000000-0006-0000-0200-0000D6010000}">
      <text>
        <r>
          <rPr>
            <b/>
            <sz val="9"/>
            <color indexed="81"/>
            <rFont val="Tahoma"/>
            <family val="2"/>
          </rPr>
          <t>Author:</t>
        </r>
        <r>
          <rPr>
            <sz val="9"/>
            <color indexed="81"/>
            <rFont val="Tahoma"/>
            <family val="2"/>
          </rPr>
          <t xml:space="preserve">
Not reported</t>
        </r>
      </text>
    </comment>
    <comment ref="DQ714" authorId="11" shapeId="0" xr:uid="{00000000-0006-0000-0200-0000D7010000}">
      <text>
        <r>
          <rPr>
            <b/>
            <sz val="9"/>
            <color indexed="81"/>
            <rFont val="Tahoma"/>
            <family val="2"/>
          </rPr>
          <t>Author:</t>
        </r>
        <r>
          <rPr>
            <sz val="9"/>
            <color indexed="81"/>
            <rFont val="Tahoma"/>
            <family val="2"/>
          </rPr>
          <t xml:space="preserve">
Note reported</t>
        </r>
      </text>
    </comment>
    <comment ref="DR714" authorId="11" shapeId="0" xr:uid="{2F208785-94B4-4A88-BBC2-D0A1860C3903}">
      <text>
        <r>
          <rPr>
            <b/>
            <sz val="9"/>
            <color indexed="81"/>
            <rFont val="Tahoma"/>
            <family val="2"/>
          </rPr>
          <t>Author:</t>
        </r>
        <r>
          <rPr>
            <sz val="9"/>
            <color indexed="81"/>
            <rFont val="Tahoma"/>
            <family val="2"/>
          </rPr>
          <t xml:space="preserve">
Not reported</t>
        </r>
      </text>
    </comment>
    <comment ref="C715" authorId="0" shapeId="0" xr:uid="{00000000-0006-0000-0200-0000D8010000}">
      <text>
        <r>
          <rPr>
            <b/>
            <sz val="8"/>
            <color indexed="81"/>
            <rFont val="Tahoma"/>
            <family val="2"/>
          </rPr>
          <t>Author:</t>
        </r>
        <r>
          <rPr>
            <sz val="8"/>
            <color indexed="81"/>
            <rFont val="Tahoma"/>
            <family val="2"/>
          </rPr>
          <t xml:space="preserve">
generic share 4-5
27% share Product0145 
38% Company0098 
neorecorman</t>
        </r>
      </text>
    </comment>
    <comment ref="DM715" authorId="26" shapeId="0" xr:uid="{00000000-0006-0000-0200-0000D9010000}">
      <text>
        <r>
          <rPr>
            <b/>
            <sz val="9"/>
            <color indexed="81"/>
            <rFont val="Tahoma"/>
            <family val="2"/>
          </rPr>
          <t>Author:</t>
        </r>
        <r>
          <rPr>
            <sz val="9"/>
            <color indexed="81"/>
            <rFont val="Tahoma"/>
            <family val="2"/>
          </rPr>
          <t xml:space="preserve">
raise, trending better</t>
        </r>
      </text>
    </comment>
    <comment ref="BD716" authorId="0" shapeId="0" xr:uid="{00000000-0006-0000-0200-0000DA010000}">
      <text>
        <r>
          <rPr>
            <b/>
            <sz val="8"/>
            <color indexed="81"/>
            <rFont val="Tahoma"/>
            <family val="2"/>
          </rPr>
          <t>Author:</t>
        </r>
        <r>
          <rPr>
            <sz val="8"/>
            <color indexed="81"/>
            <rFont val="Tahoma"/>
            <family val="2"/>
          </rPr>
          <t xml:space="preserve">
558 cons</t>
        </r>
      </text>
    </comment>
    <comment ref="BJ716" authorId="18" shapeId="0" xr:uid="{00000000-0006-0000-0200-0000DB010000}">
      <text>
        <r>
          <rPr>
            <b/>
            <sz val="8"/>
            <color indexed="81"/>
            <rFont val="Tahoma"/>
            <family val="2"/>
          </rPr>
          <t>Author:</t>
        </r>
        <r>
          <rPr>
            <sz val="8"/>
            <color indexed="81"/>
            <rFont val="Tahoma"/>
            <family val="2"/>
          </rPr>
          <t xml:space="preserve">
increased competition and a slowdown in certain European markets</t>
        </r>
      </text>
    </comment>
    <comment ref="CK716" authorId="23" shapeId="0" xr:uid="{00000000-0006-0000-0200-0000DC010000}">
      <text>
        <r>
          <rPr>
            <b/>
            <sz val="9"/>
            <color indexed="81"/>
            <rFont val="Tahoma"/>
            <family val="2"/>
          </rPr>
          <t>Author:</t>
        </r>
        <r>
          <rPr>
            <sz val="9"/>
            <color indexed="81"/>
            <rFont val="Tahoma"/>
            <family val="2"/>
          </rPr>
          <t xml:space="preserve">
4.14.15: guidance assumings no biosimilar competition in 2015</t>
        </r>
      </text>
    </comment>
    <comment ref="CV716" authorId="8" shapeId="0" xr:uid="{00000000-0006-0000-0200-0000DD010000}">
      <text>
        <r>
          <rPr>
            <b/>
            <sz val="9"/>
            <color indexed="81"/>
            <rFont val="Tahoma"/>
            <family val="2"/>
          </rPr>
          <t>Author:</t>
        </r>
        <r>
          <rPr>
            <sz val="9"/>
            <color indexed="81"/>
            <rFont val="Tahoma"/>
            <family val="2"/>
          </rPr>
          <t xml:space="preserve">
1Q18: expect acceleration of grx erosion going into rest of 2018</t>
        </r>
      </text>
    </comment>
    <comment ref="BF719" authorId="0" shapeId="0" xr:uid="{00000000-0006-0000-0200-0000DE010000}">
      <text>
        <r>
          <rPr>
            <b/>
            <sz val="8"/>
            <color indexed="81"/>
            <rFont val="Tahoma"/>
            <family val="2"/>
          </rPr>
          <t>Author:</t>
        </r>
        <r>
          <rPr>
            <sz val="8"/>
            <color indexed="81"/>
            <rFont val="Tahoma"/>
            <family val="2"/>
          </rPr>
          <t xml:space="preserve">
Expecting continued volume declines (3Q was -9% volume decline YoY). Tougher YoY comp in 4Q, and expect modest share gains.</t>
        </r>
      </text>
    </comment>
    <comment ref="BV719" authorId="0" shapeId="0" xr:uid="{00000000-0006-0000-0200-0000DF010000}">
      <text>
        <r>
          <rPr>
            <b/>
            <sz val="8"/>
            <color indexed="81"/>
            <rFont val="Tahoma"/>
            <family val="2"/>
          </rPr>
          <t xml:space="preserve">Author:
</t>
        </r>
        <r>
          <rPr>
            <sz val="8"/>
            <color indexed="81"/>
            <rFont val="Tahoma"/>
            <family val="2"/>
          </rPr>
          <t xml:space="preserve">biosimilars not likely until 2014 but continue decline on lower utilization
</t>
        </r>
        <r>
          <rPr>
            <b/>
            <sz val="8"/>
            <color indexed="81"/>
            <rFont val="Tahoma"/>
            <family val="2"/>
          </rPr>
          <t xml:space="preserve">
Author1:</t>
        </r>
        <r>
          <rPr>
            <sz val="8"/>
            <color indexed="81"/>
            <rFont val="Tahoma"/>
            <family val="2"/>
          </rPr>
          <t xml:space="preserve">
Biotech team expects US launch of biosimilars for Product0144 and Product0262.</t>
        </r>
      </text>
    </comment>
    <comment ref="BW719" authorId="21" shapeId="0" xr:uid="{00000000-0006-0000-0200-0000E0010000}">
      <text>
        <r>
          <rPr>
            <b/>
            <sz val="8"/>
            <color indexed="81"/>
            <rFont val="Tahoma"/>
            <family val="2"/>
          </rPr>
          <t>Author:</t>
        </r>
        <r>
          <rPr>
            <sz val="8"/>
            <color indexed="81"/>
            <rFont val="Tahoma"/>
            <family val="2"/>
          </rPr>
          <t xml:space="preserve">
4.16.13 PROCRIT results were impacted by the managed Medicaid adjustment.</t>
        </r>
      </text>
    </comment>
    <comment ref="BX719" authorId="21" shapeId="0" xr:uid="{00000000-0006-0000-0200-0000E1010000}">
      <text>
        <r>
          <rPr>
            <b/>
            <sz val="9"/>
            <color indexed="81"/>
            <rFont val="Tahoma"/>
            <family val="2"/>
          </rPr>
          <t>Author:</t>
        </r>
        <r>
          <rPr>
            <sz val="9"/>
            <color indexed="81"/>
            <rFont val="Tahoma"/>
            <family val="2"/>
          </rPr>
          <t xml:space="preserve">
"Procrit sales declined 18.1% due primarily to a market decline."</t>
        </r>
      </text>
    </comment>
    <comment ref="CA719" authorId="0" shapeId="0" xr:uid="{00000000-0006-0000-0200-0000E2010000}">
      <text>
        <r>
          <rPr>
            <b/>
            <sz val="8"/>
            <color indexed="81"/>
            <rFont val="Tahoma"/>
            <family val="2"/>
          </rPr>
          <t xml:space="preserve">Author:
</t>
        </r>
        <r>
          <rPr>
            <sz val="8"/>
            <color indexed="81"/>
            <rFont val="Tahoma"/>
            <family val="2"/>
          </rPr>
          <t xml:space="preserve">Patent expires in Aug, may or may not be substitutable biosimilars
</t>
        </r>
        <r>
          <rPr>
            <b/>
            <sz val="8"/>
            <color indexed="81"/>
            <rFont val="Tahoma"/>
            <family val="2"/>
          </rPr>
          <t xml:space="preserve">
Author1:</t>
        </r>
        <r>
          <rPr>
            <sz val="8"/>
            <color indexed="81"/>
            <rFont val="Tahoma"/>
            <family val="2"/>
          </rPr>
          <t xml:space="preserve">
Procrit goes generic</t>
        </r>
      </text>
    </comment>
    <comment ref="CR719" authorId="2" shapeId="0" xr:uid="{00000000-0006-0000-0200-0000E3010000}">
      <text>
        <r>
          <rPr>
            <b/>
            <sz val="9"/>
            <color indexed="81"/>
            <rFont val="Tahoma"/>
            <family val="2"/>
          </rPr>
          <t>Author:</t>
        </r>
        <r>
          <rPr>
            <sz val="9"/>
            <color indexed="81"/>
            <rFont val="Tahoma"/>
            <family val="2"/>
          </rPr>
          <t xml:space="preserve">
$46mn of benefit in 2Q</t>
        </r>
      </text>
    </comment>
    <comment ref="BF721" authorId="0" shapeId="0" xr:uid="{00000000-0006-0000-0200-0000E4010000}">
      <text>
        <r>
          <rPr>
            <b/>
            <sz val="8"/>
            <color indexed="81"/>
            <rFont val="Tahoma"/>
            <family val="2"/>
          </rPr>
          <t>Author:</t>
        </r>
        <r>
          <rPr>
            <sz val="8"/>
            <color indexed="81"/>
            <rFont val="Tahoma"/>
            <family val="2"/>
          </rPr>
          <t xml:space="preserve">
Continued competition</t>
        </r>
      </text>
    </comment>
    <comment ref="BM722" authorId="1" shapeId="0" xr:uid="{00000000-0006-0000-0200-0000E5010000}">
      <text>
        <r>
          <rPr>
            <b/>
            <sz val="8"/>
            <color indexed="81"/>
            <rFont val="Tahoma"/>
            <family val="2"/>
          </rPr>
          <t>Author:</t>
        </r>
        <r>
          <rPr>
            <sz val="8"/>
            <color indexed="81"/>
            <rFont val="Tahoma"/>
            <family val="2"/>
          </rPr>
          <t xml:space="preserve">
Procrit/Product0145 declined operationally by 24.6%
Procrit down 34.5%. Product0145 down 12.3% operationally.
Softening of the market + inc. competition has contributed to lower sales results.
Procrit impacted by reduction in retail inventory.
Concerta increased 8.8% operationally in 1Q compared to same period last year due to strong market growth, offset by lower market share. 
Last quarter, we have announced a supply and distribution agreement with Watson Laboratories to distribute CONCERTA in the US effective May 1, 2011
</t>
        </r>
      </text>
    </comment>
    <comment ref="BO722" authorId="1" shapeId="0" xr:uid="{00000000-0006-0000-0200-0000E6010000}">
      <text>
        <r>
          <rPr>
            <b/>
            <sz val="8"/>
            <color indexed="81"/>
            <rFont val="Tahoma"/>
            <family val="2"/>
          </rPr>
          <t>Author:</t>
        </r>
        <r>
          <rPr>
            <sz val="8"/>
            <color indexed="81"/>
            <rFont val="Tahoma"/>
            <family val="2"/>
          </rPr>
          <t xml:space="preserve">
Product0318 down 13.7%, Product0143 down 5.4% due to competition in EU. Offset by strong growth in major regions</t>
        </r>
      </text>
    </comment>
    <comment ref="B724" authorId="0" shapeId="0" xr:uid="{00000000-0006-0000-0200-0000E7010000}">
      <text>
        <r>
          <rPr>
            <b/>
            <sz val="8"/>
            <color indexed="81"/>
            <rFont val="Tahoma"/>
            <family val="2"/>
          </rPr>
          <t>Author:</t>
        </r>
        <r>
          <rPr>
            <sz val="8"/>
            <color indexed="81"/>
            <rFont val="Tahoma"/>
            <family val="2"/>
          </rPr>
          <t xml:space="preserve">
Author1:
Ortho Tri-Cyclen Lo (45%) lower levels of estrogen confer better side affect profile than standard Ortho Tricyclen, Ortho Evra, and Other not one product &gt;500mn. Not sell any new product, not liable, and not re-launch until earliest 12/2015. Patent ortho tri-cyclen lo 2019, tricyclen generic, ortho evra 2015 patent (30%). Rest is other small players mostly generic. 
The November 2005 labeling change for Product0278, warning against high levels of estrogen delivery, continues to weigh on hormonal contraceptive sales trends with the Evra franchise down significantly YoY. As a result, Product0278 sales were down 30% YoY in the US; Product0278 currently has roughly 3.5% share, which is in-line with the share in the 3Q. Alternatively, Product0279 Lo declined 10% YoY with share stabilizing at the 10.5% level.
</t>
        </r>
        <r>
          <rPr>
            <b/>
            <sz val="8"/>
            <color indexed="81"/>
            <rFont val="Tahoma"/>
            <family val="2"/>
          </rPr>
          <t xml:space="preserve">Market information
</t>
        </r>
        <r>
          <rPr>
            <sz val="8"/>
            <color indexed="81"/>
            <rFont val="Tahoma"/>
            <family val="2"/>
          </rPr>
          <t>Market 2009 low SD negative growth US. Losing 1/10 of point for Rx. havent made large change in marketing practices. share loss from Evra stabilizing.</t>
        </r>
      </text>
    </comment>
    <comment ref="BD725" authorId="0" shapeId="0" xr:uid="{00000000-0006-0000-0200-0000E8010000}">
      <text>
        <r>
          <rPr>
            <b/>
            <sz val="8"/>
            <color indexed="81"/>
            <rFont val="Tahoma"/>
            <family val="2"/>
          </rPr>
          <t>Author:</t>
        </r>
        <r>
          <rPr>
            <sz val="8"/>
            <color indexed="81"/>
            <rFont val="Tahoma"/>
            <family val="2"/>
          </rPr>
          <t xml:space="preserve">
US 70%</t>
        </r>
      </text>
    </comment>
    <comment ref="BE725" authorId="0" shapeId="0" xr:uid="{00000000-0006-0000-0200-0000E9010000}">
      <text>
        <r>
          <rPr>
            <b/>
            <sz val="8"/>
            <color indexed="81"/>
            <rFont val="Tahoma"/>
            <family val="2"/>
          </rPr>
          <t>Author:</t>
        </r>
        <r>
          <rPr>
            <sz val="8"/>
            <color indexed="81"/>
            <rFont val="Tahoma"/>
            <family val="2"/>
          </rPr>
          <t xml:space="preserve">
ortho tricylcen lo 6 monhts of product. Possibly Q4. Reached settlement didn’t have to recall product.</t>
        </r>
      </text>
    </comment>
    <comment ref="BE726" authorId="0" shapeId="0" xr:uid="{00000000-0006-0000-0200-0000EA010000}">
      <text>
        <r>
          <rPr>
            <b/>
            <sz val="8"/>
            <color indexed="81"/>
            <rFont val="Tahoma"/>
            <family val="2"/>
          </rPr>
          <t>Author:</t>
        </r>
        <r>
          <rPr>
            <sz val="8"/>
            <color indexed="81"/>
            <rFont val="Tahoma"/>
            <family val="2"/>
          </rPr>
          <t xml:space="preserve">
</t>
        </r>
      </text>
    </comment>
    <comment ref="BD727" authorId="0" shapeId="0" xr:uid="{00000000-0006-0000-0200-0000EB010000}">
      <text>
        <r>
          <rPr>
            <b/>
            <sz val="8"/>
            <color indexed="81"/>
            <rFont val="Tahoma"/>
            <family val="2"/>
          </rPr>
          <t>Author:</t>
        </r>
        <r>
          <rPr>
            <sz val="8"/>
            <color indexed="81"/>
            <rFont val="Tahoma"/>
            <family val="2"/>
          </rPr>
          <t xml:space="preserve">
WW reported +5%
10% CC</t>
        </r>
      </text>
    </comment>
    <comment ref="BF730" authorId="0" shapeId="0" xr:uid="{00000000-0006-0000-0200-0000EC010000}">
      <text>
        <r>
          <rPr>
            <b/>
            <sz val="8"/>
            <color indexed="81"/>
            <rFont val="Tahoma"/>
            <family val="2"/>
          </rPr>
          <t>Author:</t>
        </r>
        <r>
          <rPr>
            <sz val="8"/>
            <color indexed="81"/>
            <rFont val="Tahoma"/>
            <family val="2"/>
          </rPr>
          <t xml:space="preserve">
while generics impacted 3Q US by -21pts, there was stocking, so assuming inventory wear down in 4Q.</t>
        </r>
      </text>
    </comment>
    <comment ref="CK730" authorId="0" shapeId="0" xr:uid="{00000000-0006-0000-0200-0000ED010000}">
      <text>
        <r>
          <rPr>
            <b/>
            <sz val="8"/>
            <color indexed="81"/>
            <rFont val="Tahoma"/>
            <family val="2"/>
          </rPr>
          <t>Author:</t>
        </r>
        <r>
          <rPr>
            <sz val="8"/>
            <color indexed="81"/>
            <rFont val="Tahoma"/>
            <family val="2"/>
          </rPr>
          <t xml:space="preserve">
Settlement with Company2640 out to 12/2015</t>
        </r>
      </text>
    </comment>
    <comment ref="BI733" authorId="0" shapeId="0" xr:uid="{00000000-0006-0000-0200-0000EE010000}">
      <text>
        <r>
          <rPr>
            <b/>
            <sz val="8"/>
            <color indexed="81"/>
            <rFont val="Tahoma"/>
            <family val="2"/>
          </rPr>
          <t>Author:</t>
        </r>
        <r>
          <rPr>
            <sz val="8"/>
            <color indexed="81"/>
            <rFont val="Tahoma"/>
            <family val="2"/>
          </rPr>
          <t xml:space="preserve">
-5%</t>
        </r>
      </text>
    </comment>
    <comment ref="C736" authorId="2" shapeId="0" xr:uid="{00000000-0006-0000-0200-0000EF010000}">
      <text>
        <r>
          <rPr>
            <b/>
            <sz val="9"/>
            <color indexed="81"/>
            <rFont val="Tahoma"/>
            <family val="2"/>
          </rPr>
          <t>Author:</t>
        </r>
        <r>
          <rPr>
            <sz val="9"/>
            <color indexed="81"/>
            <rFont val="Tahoma"/>
            <family val="2"/>
          </rPr>
          <t xml:space="preserve">
composition of matter patent
</t>
        </r>
      </text>
    </comment>
    <comment ref="CN736" authorId="2" shapeId="0" xr:uid="{00000000-0006-0000-0200-0000F0010000}">
      <text>
        <r>
          <rPr>
            <b/>
            <sz val="9"/>
            <color indexed="81"/>
            <rFont val="Tahoma"/>
            <family val="2"/>
          </rPr>
          <t>Author:</t>
        </r>
        <r>
          <rPr>
            <sz val="9"/>
            <color indexed="81"/>
            <rFont val="Tahoma"/>
            <family val="2"/>
          </rPr>
          <t xml:space="preserve">
higher discounts in certain copa arrangements to be scaled back and revert to growth; some inventory drawdown now normalised</t>
        </r>
      </text>
    </comment>
    <comment ref="CQ736" authorId="2" shapeId="0" xr:uid="{00000000-0006-0000-0200-0000F1010000}">
      <text>
        <r>
          <rPr>
            <b/>
            <sz val="9"/>
            <color indexed="81"/>
            <rFont val="Tahoma"/>
            <family val="2"/>
          </rPr>
          <t>Author:</t>
        </r>
        <r>
          <rPr>
            <sz val="9"/>
            <color indexed="81"/>
            <rFont val="Tahoma"/>
            <family val="2"/>
          </rPr>
          <t xml:space="preserve">
mix due to increased utilization in medicaid and discounts to managed care</t>
        </r>
      </text>
    </comment>
    <comment ref="C737" authorId="8" shapeId="0" xr:uid="{00000000-0006-0000-0200-0000F2010000}">
      <text>
        <r>
          <rPr>
            <b/>
            <sz val="9"/>
            <color indexed="81"/>
            <rFont val="Tahoma"/>
            <family val="2"/>
          </rPr>
          <t>Author:</t>
        </r>
        <r>
          <rPr>
            <sz val="9"/>
            <color indexed="81"/>
            <rFont val="Tahoma"/>
            <family val="2"/>
          </rPr>
          <t xml:space="preserve">
nov 2028</t>
        </r>
      </text>
    </comment>
    <comment ref="DM737" authorId="26" shapeId="0" xr:uid="{00000000-0006-0000-0200-0000F3010000}">
      <text>
        <r>
          <rPr>
            <b/>
            <sz val="9"/>
            <color indexed="81"/>
            <rFont val="Tahoma"/>
            <family val="2"/>
          </rPr>
          <t>Author:</t>
        </r>
        <r>
          <rPr>
            <sz val="9"/>
            <color indexed="81"/>
            <rFont val="Tahoma"/>
            <family val="2"/>
          </rPr>
          <t xml:space="preserve">
raise, trending better</t>
        </r>
      </text>
    </comment>
    <comment ref="CB738" authorId="7" shapeId="0" xr:uid="{00000000-0006-0000-0200-0000F4010000}">
      <text>
        <r>
          <rPr>
            <b/>
            <sz val="9"/>
            <color indexed="81"/>
            <rFont val="Tahoma"/>
            <family val="2"/>
          </rPr>
          <t>Author:</t>
        </r>
        <r>
          <rPr>
            <sz val="9"/>
            <color indexed="81"/>
            <rFont val="Tahoma"/>
            <family val="2"/>
          </rPr>
          <t xml:space="preserve">
04.15.14:
2.5% of US pharma sales growth</t>
        </r>
      </text>
    </comment>
    <comment ref="B746" authorId="16" shapeId="0" xr:uid="{00000000-0006-0000-0200-0000F5010000}">
      <text>
        <r>
          <rPr>
            <b/>
            <sz val="8"/>
            <color indexed="81"/>
            <rFont val="Tahoma"/>
            <family val="2"/>
          </rPr>
          <t>Author:</t>
        </r>
        <r>
          <rPr>
            <sz val="8"/>
            <color indexed="81"/>
            <rFont val="Tahoma"/>
            <family val="2"/>
          </rPr>
          <t xml:space="preserve">
oral anti-coagulant manu by Company0371 and if approved, will be marketed by Company2022, 1st avail orally active direct coagulation Factor Xa inhibitor. Approved in Canada and EU. FDA ruled in May '09 that more data is needed but no additional trials. </t>
        </r>
      </text>
    </comment>
    <comment ref="C747" authorId="2" shapeId="0" xr:uid="{00000000-0006-0000-0200-0000F6010000}">
      <text>
        <r>
          <rPr>
            <b/>
            <sz val="9"/>
            <color indexed="81"/>
            <rFont val="Tahoma"/>
            <family val="2"/>
          </rPr>
          <t>Author:</t>
        </r>
        <r>
          <rPr>
            <sz val="9"/>
            <color indexed="81"/>
            <rFont val="Tahoma"/>
            <family val="2"/>
          </rPr>
          <t xml:space="preserve">
composition of matter; originally December 2020 but extension was approved in 2015</t>
        </r>
      </text>
    </comment>
    <comment ref="BT747" authorId="21" shapeId="0" xr:uid="{00000000-0006-0000-0200-0000F7010000}">
      <text>
        <r>
          <rPr>
            <b/>
            <sz val="8"/>
            <color indexed="81"/>
            <rFont val="Tahoma"/>
            <family val="2"/>
          </rPr>
          <t>Author:</t>
        </r>
        <r>
          <rPr>
            <sz val="8"/>
            <color indexed="81"/>
            <rFont val="Tahoma"/>
            <family val="2"/>
          </rPr>
          <t xml:space="preserve">
CONTRIBUTED 1.6% TO YTD US PHARMACEUTICAL GROWTH</t>
        </r>
      </text>
    </comment>
    <comment ref="BU747" authorId="25" shapeId="0" xr:uid="{00000000-0006-0000-0200-0000F8010000}">
      <text>
        <r>
          <rPr>
            <b/>
            <sz val="8"/>
            <color indexed="81"/>
            <rFont val="Tahoma"/>
            <family val="2"/>
          </rPr>
          <t>Author:</t>
        </r>
        <r>
          <rPr>
            <sz val="8"/>
            <color indexed="81"/>
            <rFont val="Tahoma"/>
            <family val="2"/>
          </rPr>
          <t xml:space="preserve">
1.23.13 Ticker0018 says Product0471 was just under $100 mn in 4Q12.  Ticker0018 will start reporting actual sales figures in 2013.</t>
        </r>
      </text>
    </comment>
    <comment ref="CM747" authorId="2" shapeId="0" xr:uid="{00000000-0006-0000-0200-0000F9010000}">
      <text>
        <r>
          <rPr>
            <b/>
            <sz val="9"/>
            <color indexed="81"/>
            <rFont val="Tahoma"/>
            <family val="2"/>
          </rPr>
          <t>Author:</t>
        </r>
        <r>
          <rPr>
            <sz val="9"/>
            <color indexed="81"/>
            <rFont val="Tahoma"/>
            <family val="2"/>
          </rPr>
          <t xml:space="preserve">
GTN adjustments </t>
        </r>
      </text>
    </comment>
    <comment ref="CV747" authorId="8" shapeId="0" xr:uid="{00000000-0006-0000-0200-0000FA010000}">
      <text>
        <r>
          <rPr>
            <b/>
            <sz val="9"/>
            <color indexed="81"/>
            <rFont val="Tahoma"/>
            <family val="2"/>
          </rPr>
          <t>Author:</t>
        </r>
        <r>
          <rPr>
            <sz val="9"/>
            <color indexed="81"/>
            <rFont val="Tahoma"/>
            <family val="2"/>
          </rPr>
          <t xml:space="preserve">
1Q18: driven by inventory build end of 4th Q and seasonal factors.</t>
        </r>
      </text>
    </comment>
    <comment ref="CX747" authorId="2" shapeId="0" xr:uid="{00000000-0006-0000-0200-0000FB010000}">
      <text>
        <r>
          <rPr>
            <b/>
            <sz val="9"/>
            <color indexed="81"/>
            <rFont val="Tahoma"/>
            <family val="2"/>
          </rPr>
          <t>Author:</t>
        </r>
        <r>
          <rPr>
            <sz val="9"/>
            <color indexed="81"/>
            <rFont val="Tahoma"/>
            <family val="2"/>
          </rPr>
          <t xml:space="preserve">
$650mn excl prior year adj.</t>
        </r>
      </text>
    </comment>
    <comment ref="DA747" authorId="9" shapeId="0" xr:uid="{00000000-0006-0000-0200-0000FC010000}">
      <text>
        <r>
          <rPr>
            <b/>
            <sz val="9"/>
            <color indexed="81"/>
            <rFont val="Tahoma"/>
            <family val="2"/>
          </rPr>
          <t>Author:</t>
        </r>
        <r>
          <rPr>
            <sz val="9"/>
            <color indexed="81"/>
            <rFont val="Tahoma"/>
            <family val="2"/>
          </rPr>
          <t xml:space="preserve">
Donut hole impact</t>
        </r>
      </text>
    </comment>
    <comment ref="DM747" authorId="26" shapeId="0" xr:uid="{00000000-0006-0000-0200-0000FD010000}">
      <text>
        <r>
          <rPr>
            <b/>
            <sz val="9"/>
            <color indexed="81"/>
            <rFont val="Tahoma"/>
            <family val="2"/>
          </rPr>
          <t>Author:</t>
        </r>
        <r>
          <rPr>
            <sz val="9"/>
            <color indexed="81"/>
            <rFont val="Tahoma"/>
            <family val="2"/>
          </rPr>
          <t xml:space="preserve">
lower, trending worse, Product0142 and Factor Xla entry</t>
        </r>
      </text>
    </comment>
    <comment ref="DE749" authorId="9" shapeId="0" xr:uid="{00000000-0006-0000-0200-0000FE010000}">
      <text>
        <r>
          <rPr>
            <b/>
            <sz val="9"/>
            <color indexed="81"/>
            <rFont val="Tahoma"/>
            <family val="2"/>
          </rPr>
          <t>Author:</t>
        </r>
        <r>
          <rPr>
            <sz val="9"/>
            <color indexed="81"/>
            <rFont val="Tahoma"/>
            <family val="2"/>
          </rPr>
          <t xml:space="preserve">
Cons 2.6, 2.5</t>
        </r>
      </text>
    </comment>
    <comment ref="CL752" authorId="2" shapeId="0" xr:uid="{00000000-0006-0000-0200-0000FF010000}">
      <text>
        <r>
          <rPr>
            <b/>
            <sz val="9"/>
            <color indexed="81"/>
            <rFont val="Tahoma"/>
            <family val="2"/>
          </rPr>
          <t>Author:</t>
        </r>
        <r>
          <rPr>
            <sz val="9"/>
            <color indexed="81"/>
            <rFont val="Tahoma"/>
            <family val="2"/>
          </rPr>
          <t xml:space="preserve">
15% underlying growth; 4% benefit from managed Medicaid</t>
        </r>
      </text>
    </comment>
    <comment ref="CR752" authorId="2" shapeId="0" xr:uid="{00000000-0006-0000-0200-000000020000}">
      <text>
        <r>
          <rPr>
            <b/>
            <sz val="9"/>
            <color indexed="81"/>
            <rFont val="Tahoma"/>
            <family val="2"/>
          </rPr>
          <t>Author:</t>
        </r>
        <r>
          <rPr>
            <sz val="9"/>
            <color indexed="81"/>
            <rFont val="Tahoma"/>
            <family val="2"/>
          </rPr>
          <t xml:space="preserve">
$41mn benefit in 1Q, underlying growth of 9.2%</t>
        </r>
      </text>
    </comment>
    <comment ref="CX752" authorId="8" shapeId="0" xr:uid="{00000000-0006-0000-0200-000001020000}">
      <text>
        <r>
          <rPr>
            <b/>
            <sz val="9"/>
            <color indexed="81"/>
            <rFont val="Tahoma"/>
            <family val="2"/>
          </rPr>
          <t>Author:</t>
        </r>
        <r>
          <rPr>
            <sz val="9"/>
            <color indexed="81"/>
            <rFont val="Tahoma"/>
            <family val="2"/>
          </rPr>
          <t xml:space="preserve">
share growth offset by rebates and 6 points of negative impact from prior adjustments. Excl that growth would have been 2.5%</t>
        </r>
      </text>
    </comment>
    <comment ref="CY752" authorId="3" shapeId="0" xr:uid="{00000000-0006-0000-0200-000002020000}">
      <text>
        <r>
          <rPr>
            <b/>
            <sz val="9"/>
            <color indexed="81"/>
            <rFont val="Tahoma"/>
            <family val="2"/>
          </rPr>
          <t>Author:</t>
        </r>
        <r>
          <rPr>
            <sz val="9"/>
            <color indexed="81"/>
            <rFont val="Tahoma"/>
            <family val="2"/>
          </rPr>
          <t xml:space="preserve">
CV approval expected in 4Q</t>
        </r>
      </text>
    </comment>
    <comment ref="DA752" authorId="10" shapeId="0" xr:uid="{00000000-0006-0000-0200-000003020000}">
      <text>
        <r>
          <rPr>
            <b/>
            <sz val="9"/>
            <color indexed="81"/>
            <rFont val="Tahoma"/>
            <family val="2"/>
          </rPr>
          <t>Author:</t>
        </r>
        <r>
          <rPr>
            <sz val="9"/>
            <color indexed="81"/>
            <rFont val="Tahoma"/>
            <family val="2"/>
          </rPr>
          <t xml:space="preserve">
Product0463 continues to increase TRX share growth. However, this growth was offset by the increase in the legislative rate for -- from 50% to 70%, along with the higher Medicare and utilization resulting in overall decline in Product0463 of 6% this quarter
Also a greater percentage of patients that were in Medicare and Medicaid, which are the most heavily discounted channels.</t>
        </r>
      </text>
    </comment>
    <comment ref="DD752" authorId="10" shapeId="0" xr:uid="{00000000-0006-0000-0200-000004020000}">
      <text>
        <r>
          <rPr>
            <b/>
            <sz val="9"/>
            <color indexed="81"/>
            <rFont val="Tahoma"/>
            <family val="2"/>
          </rPr>
          <t>Author:</t>
        </r>
        <r>
          <rPr>
            <sz val="9"/>
            <color indexed="81"/>
            <rFont val="Tahoma"/>
            <family val="2"/>
          </rPr>
          <t xml:space="preserve">
filed an sNDA at the end of December based on our Mariner and Magellan trials, and we look forward to hopefully getting approval and being able to launch that indication in the U.S. in 2019. </t>
        </r>
      </text>
    </comment>
    <comment ref="B757" authorId="0" shapeId="0" xr:uid="{00000000-0006-0000-0200-000006020000}">
      <text>
        <r>
          <rPr>
            <b/>
            <sz val="8"/>
            <color indexed="81"/>
            <rFont val="Tahoma"/>
            <family val="2"/>
          </rPr>
          <t>Author:</t>
        </r>
        <r>
          <rPr>
            <sz val="8"/>
            <color indexed="81"/>
            <rFont val="Tahoma"/>
            <family val="2"/>
          </rPr>
          <t xml:space="preserve">
Sporanox generic now fairly large biggest other went generic 2003. Product0207 and Product0130 10/2009 comp matter method of use (loading 3/2009). Product0207 EU 2 patents later of which 10/2010 (have supplemental expiry certificates 6/2011-6/2012). Product0249 US generic $250mn, lot of little small legacy products majority of which are steady state flat.</t>
        </r>
      </text>
    </comment>
    <comment ref="BB758" authorId="31" shapeId="0" xr:uid="{00000000-0006-0000-0200-000007020000}">
      <text>
        <r>
          <rPr>
            <b/>
            <sz val="8"/>
            <color indexed="81"/>
            <rFont val="Tahoma"/>
            <family val="2"/>
          </rPr>
          <t>Author:</t>
        </r>
        <r>
          <rPr>
            <sz val="8"/>
            <color indexed="81"/>
            <rFont val="Tahoma"/>
            <family val="2"/>
          </rPr>
          <t xml:space="preserve">
product launches include:
RWJ33369 $100M
</t>
        </r>
      </text>
    </comment>
    <comment ref="BM758" authorId="24" shapeId="0" xr:uid="{00000000-0006-0000-0200-000008020000}">
      <text>
        <r>
          <rPr>
            <b/>
            <sz val="8"/>
            <color indexed="81"/>
            <rFont val="Tahoma"/>
            <family val="2"/>
          </rPr>
          <t>Author:</t>
        </r>
        <r>
          <rPr>
            <sz val="8"/>
            <color indexed="81"/>
            <rFont val="Tahoma"/>
            <family val="2"/>
          </rPr>
          <t xml:space="preserve">
balancing item for total pharma sales</t>
        </r>
      </text>
    </comment>
    <comment ref="BB759" authorId="31" shapeId="0" xr:uid="{00000000-0006-0000-0200-00000A020000}">
      <text>
        <r>
          <rPr>
            <b/>
            <sz val="8"/>
            <color indexed="81"/>
            <rFont val="Tahoma"/>
            <family val="2"/>
          </rPr>
          <t>Author:</t>
        </r>
        <r>
          <rPr>
            <sz val="8"/>
            <color indexed="81"/>
            <rFont val="Tahoma"/>
            <family val="2"/>
          </rPr>
          <t xml:space="preserve">
product launches include:
RWJ33369 $10M
</t>
        </r>
      </text>
    </comment>
    <comment ref="BF763" authorId="0" shapeId="0" xr:uid="{00000000-0006-0000-0200-00000C020000}">
      <text>
        <r>
          <rPr>
            <b/>
            <sz val="8"/>
            <color indexed="81"/>
            <rFont val="Tahoma"/>
            <family val="2"/>
          </rPr>
          <t>Author:</t>
        </r>
        <r>
          <rPr>
            <sz val="8"/>
            <color indexed="81"/>
            <rFont val="Tahoma"/>
            <family val="2"/>
          </rPr>
          <t xml:space="preserve">
Product0130 goes generic 10/2009</t>
        </r>
      </text>
    </comment>
    <comment ref="CC763" authorId="7" shapeId="0" xr:uid="{00000000-0006-0000-0200-00000D020000}">
      <text>
        <r>
          <rPr>
            <b/>
            <sz val="9"/>
            <color indexed="81"/>
            <rFont val="Tahoma"/>
            <family val="2"/>
          </rPr>
          <t>Author:</t>
        </r>
        <r>
          <rPr>
            <sz val="9"/>
            <color indexed="81"/>
            <rFont val="Tahoma"/>
            <family val="2"/>
          </rPr>
          <t xml:space="preserve">
siltuximab and dacogen other new products have entered</t>
        </r>
      </text>
    </comment>
    <comment ref="B802" authorId="0" shapeId="0" xr:uid="{00000000-0006-0000-0200-00000E020000}">
      <text>
        <r>
          <rPr>
            <b/>
            <sz val="8"/>
            <color indexed="81"/>
            <rFont val="Tahoma"/>
            <family val="2"/>
          </rPr>
          <t>Author:</t>
        </r>
        <r>
          <rPr>
            <sz val="8"/>
            <color indexed="81"/>
            <rFont val="Tahoma"/>
            <family val="2"/>
          </rPr>
          <t xml:space="preserve">
Ortho Tri-Cyclen Lo (60%) lower levels of estrogen confer better side affect profile than standard Ortho Tricyclen, Ortho Evra, and Other 
The November 2005 labeling change for Product0278, warning against high levels of estrogen delivery, continues to weigh on hormonal contraceptive sales trends with the Evra franchise down significantly YoY. As a result, Product0278 sales were down 30% YoY in the US; Product0278 currently has roughly 3.5% share, which is in-line with the share in the 3Q. Alternatively, Product0279 Lo declined 10% YoY with share stabilizing at the 10.5% level.
</t>
        </r>
      </text>
    </comment>
    <comment ref="BD803" authorId="0" shapeId="0" xr:uid="{00000000-0006-0000-0200-00000F020000}">
      <text>
        <r>
          <rPr>
            <b/>
            <sz val="8"/>
            <color indexed="81"/>
            <rFont val="Tahoma"/>
            <family val="2"/>
          </rPr>
          <t>Author:</t>
        </r>
        <r>
          <rPr>
            <sz val="8"/>
            <color indexed="81"/>
            <rFont val="Tahoma"/>
            <family val="2"/>
          </rPr>
          <t xml:space="preserve">
US 70%</t>
        </r>
      </text>
    </comment>
    <comment ref="BD805" authorId="0" shapeId="0" xr:uid="{00000000-0006-0000-0200-000010020000}">
      <text>
        <r>
          <rPr>
            <b/>
            <sz val="8"/>
            <color indexed="81"/>
            <rFont val="Tahoma"/>
            <family val="2"/>
          </rPr>
          <t>Author:</t>
        </r>
        <r>
          <rPr>
            <sz val="8"/>
            <color indexed="81"/>
            <rFont val="Tahoma"/>
            <family val="2"/>
          </rPr>
          <t xml:space="preserve">
WW reported +5%
10% CC</t>
        </r>
      </text>
    </comment>
    <comment ref="B813" authorId="0" shapeId="0" xr:uid="{00000000-0006-0000-0200-000011020000}">
      <text>
        <r>
          <rPr>
            <b/>
            <sz val="8"/>
            <color indexed="81"/>
            <rFont val="Tahoma"/>
            <family val="2"/>
          </rPr>
          <t>Author:</t>
        </r>
        <r>
          <rPr>
            <sz val="8"/>
            <color indexed="81"/>
            <rFont val="Tahoma"/>
            <family val="2"/>
          </rPr>
          <t xml:space="preserve">
IV drug for CHF
Nov. 2010 ASCEND-HF study result shows no diff from placebo in either primary endpoint (reduction in re-hospitalization due to heart failure 30 days after treatment, or reduction in heart failure symptoms measured by self-assessment.</t>
        </r>
      </text>
    </comment>
    <comment ref="C814" authorId="0" shapeId="0" xr:uid="{00000000-0006-0000-0200-000012020000}">
      <text>
        <r>
          <rPr>
            <b/>
            <sz val="8"/>
            <color indexed="81"/>
            <rFont val="Tahoma"/>
            <family val="2"/>
          </rPr>
          <t>Author:</t>
        </r>
        <r>
          <rPr>
            <sz val="8"/>
            <color indexed="81"/>
            <rFont val="Tahoma"/>
            <family val="2"/>
          </rPr>
          <t xml:space="preserve">
applied for Person0455-Person1171 extension</t>
        </r>
      </text>
    </comment>
    <comment ref="BG819" authorId="0" shapeId="0" xr:uid="{00000000-0006-0000-0200-000013020000}">
      <text>
        <r>
          <rPr>
            <b/>
            <sz val="8"/>
            <color indexed="81"/>
            <rFont val="Tahoma"/>
            <family val="2"/>
          </rPr>
          <t>Author:</t>
        </r>
        <r>
          <rPr>
            <sz val="8"/>
            <color indexed="81"/>
            <rFont val="Tahoma"/>
            <family val="2"/>
          </rPr>
          <t xml:space="preserve">
Patent expires 5/2009</t>
        </r>
      </text>
    </comment>
    <comment ref="B837" authorId="0" shapeId="0" xr:uid="{00000000-0006-0000-0200-000014020000}">
      <text>
        <r>
          <rPr>
            <b/>
            <sz val="8"/>
            <color indexed="81"/>
            <rFont val="Tahoma"/>
            <family val="2"/>
          </rPr>
          <t xml:space="preserve">Author:
</t>
        </r>
        <r>
          <rPr>
            <sz val="8"/>
            <color indexed="81"/>
            <rFont val="Tahoma"/>
            <family val="2"/>
          </rPr>
          <t xml:space="preserve">Injection for gram +/- infections in complicated intra-abdominal and urinary tracts, also received fast track approval for use in nosocomial pneumonia. 
</t>
        </r>
      </text>
    </comment>
    <comment ref="B848" authorId="0" shapeId="0" xr:uid="{00000000-0006-0000-0200-000015020000}">
      <text>
        <r>
          <rPr>
            <b/>
            <sz val="8"/>
            <color indexed="81"/>
            <rFont val="Tahoma"/>
            <family val="2"/>
          </rPr>
          <t>Author:</t>
        </r>
        <r>
          <rPr>
            <sz val="8"/>
            <color indexed="81"/>
            <rFont val="Tahoma"/>
            <family val="2"/>
          </rPr>
          <t xml:space="preserve">
Anti-fungal</t>
        </r>
      </text>
    </comment>
    <comment ref="CF854" authorId="0" shapeId="0" xr:uid="{00000000-0006-0000-0200-000016020000}">
      <text>
        <r>
          <rPr>
            <b/>
            <sz val="8"/>
            <color indexed="81"/>
            <rFont val="Tahoma"/>
            <family val="2"/>
          </rPr>
          <t>Author:</t>
        </r>
        <r>
          <rPr>
            <sz val="8"/>
            <color indexed="81"/>
            <rFont val="Tahoma"/>
            <family val="2"/>
          </rPr>
          <t xml:space="preserve">
sporanox goes off patent 5/27/2014</t>
        </r>
      </text>
    </comment>
    <comment ref="B859" authorId="0" shapeId="0" xr:uid="{00000000-0006-0000-0200-000017020000}">
      <text>
        <r>
          <rPr>
            <b/>
            <sz val="8"/>
            <color indexed="81"/>
            <rFont val="Tahoma"/>
            <family val="2"/>
          </rPr>
          <t>Author:</t>
        </r>
        <r>
          <rPr>
            <sz val="8"/>
            <color indexed="81"/>
            <rFont val="Tahoma"/>
            <family val="2"/>
          </rPr>
          <t xml:space="preserve">
hydromorphone market, uses OROS delivery method for CR. Received EU approval in May 2006, US outlicensed to Company1938 in April 2007 (received approvable letter in 10/2000). </t>
        </r>
      </text>
    </comment>
    <comment ref="B864" authorId="0" shapeId="0" xr:uid="{00000000-0006-0000-0200-000018020000}">
      <text>
        <r>
          <rPr>
            <b/>
            <sz val="8"/>
            <color indexed="81"/>
            <rFont val="Tahoma"/>
            <family val="2"/>
          </rPr>
          <t>Author:</t>
        </r>
        <r>
          <rPr>
            <sz val="8"/>
            <color indexed="81"/>
            <rFont val="Tahoma"/>
            <family val="2"/>
          </rPr>
          <t xml:space="preserve">
hydromorphone market, uses OROS delivery method for CR. Received EU approval in May 2006, US outlicensed to Company1938 in April 2007 (received approvable letter in 10/2000). </t>
        </r>
      </text>
    </comment>
    <comment ref="B873" authorId="0" shapeId="0" xr:uid="{00000000-0006-0000-0200-000019020000}">
      <text>
        <r>
          <rPr>
            <b/>
            <sz val="8"/>
            <color indexed="81"/>
            <rFont val="Tahoma"/>
            <family val="2"/>
          </rPr>
          <t>Author:</t>
        </r>
        <r>
          <rPr>
            <sz val="8"/>
            <color indexed="81"/>
            <rFont val="Tahoma"/>
            <family val="2"/>
          </rPr>
          <t xml:space="preserve">
That's probably max, Company0011 max for Product0273 was $650 (gram +/gram- turned generic mid 2007). Competitive market, although likely get some traction because it is a broad reaching antibiotic, could get more traction if proposed F2010 IPPS includes MRSA as an HAC. </t>
        </r>
      </text>
    </comment>
    <comment ref="BC874" authorId="22" shapeId="0" xr:uid="{00000000-0006-0000-0200-00001A020000}">
      <text>
        <r>
          <rPr>
            <b/>
            <sz val="8"/>
            <color indexed="81"/>
            <rFont val="Tahoma"/>
            <family val="2"/>
          </rPr>
          <t>Author:</t>
        </r>
        <r>
          <rPr>
            <sz val="8"/>
            <color indexed="81"/>
            <rFont val="Tahoma"/>
            <family val="2"/>
          </rPr>
          <t xml:space="preserve">
Off the market</t>
        </r>
      </text>
    </comment>
    <comment ref="BD874" authorId="22" shapeId="0" xr:uid="{00000000-0006-0000-0200-00001B020000}">
      <text>
        <r>
          <rPr>
            <b/>
            <sz val="8"/>
            <color indexed="81"/>
            <rFont val="Tahoma"/>
            <family val="2"/>
          </rPr>
          <t>Author:</t>
        </r>
        <r>
          <rPr>
            <sz val="8"/>
            <color indexed="81"/>
            <rFont val="Tahoma"/>
            <family val="2"/>
          </rPr>
          <t xml:space="preserve">
Off the market</t>
        </r>
      </text>
    </comment>
    <comment ref="BE874" authorId="22" shapeId="0" xr:uid="{00000000-0006-0000-0200-00001C020000}">
      <text>
        <r>
          <rPr>
            <b/>
            <sz val="8"/>
            <color indexed="81"/>
            <rFont val="Tahoma"/>
            <family val="2"/>
          </rPr>
          <t>Author:</t>
        </r>
        <r>
          <rPr>
            <sz val="8"/>
            <color indexed="81"/>
            <rFont val="Tahoma"/>
            <family val="2"/>
          </rPr>
          <t xml:space="preserve">
Off the market</t>
        </r>
      </text>
    </comment>
    <comment ref="BF874" authorId="22" shapeId="0" xr:uid="{00000000-0006-0000-0200-00001D020000}">
      <text>
        <r>
          <rPr>
            <b/>
            <sz val="8"/>
            <color indexed="81"/>
            <rFont val="Tahoma"/>
            <family val="2"/>
          </rPr>
          <t>Author:</t>
        </r>
        <r>
          <rPr>
            <sz val="8"/>
            <color indexed="81"/>
            <rFont val="Tahoma"/>
            <family val="2"/>
          </rPr>
          <t xml:space="preserve">
Off the market</t>
        </r>
      </text>
    </comment>
    <comment ref="BG874" authorId="22" shapeId="0" xr:uid="{00000000-0006-0000-0200-00001E020000}">
      <text>
        <r>
          <rPr>
            <b/>
            <sz val="8"/>
            <color indexed="81"/>
            <rFont val="Tahoma"/>
            <family val="2"/>
          </rPr>
          <t>Author:</t>
        </r>
        <r>
          <rPr>
            <sz val="8"/>
            <color indexed="81"/>
            <rFont val="Tahoma"/>
            <family val="2"/>
          </rPr>
          <t xml:space="preserve">
Off the market</t>
        </r>
      </text>
    </comment>
    <comment ref="BH874" authorId="22" shapeId="0" xr:uid="{00000000-0006-0000-0200-00001F020000}">
      <text>
        <r>
          <rPr>
            <b/>
            <sz val="8"/>
            <color indexed="81"/>
            <rFont val="Tahoma"/>
            <family val="2"/>
          </rPr>
          <t>Author:</t>
        </r>
        <r>
          <rPr>
            <sz val="8"/>
            <color indexed="81"/>
            <rFont val="Tahoma"/>
            <family val="2"/>
          </rPr>
          <t xml:space="preserve">
Off the market</t>
        </r>
      </text>
    </comment>
    <comment ref="BC875" authorId="22" shapeId="0" xr:uid="{00000000-0006-0000-0200-000020020000}">
      <text>
        <r>
          <rPr>
            <b/>
            <sz val="8"/>
            <color indexed="81"/>
            <rFont val="Tahoma"/>
            <family val="2"/>
          </rPr>
          <t>Author:</t>
        </r>
        <r>
          <rPr>
            <sz val="8"/>
            <color indexed="81"/>
            <rFont val="Tahoma"/>
            <family val="2"/>
          </rPr>
          <t xml:space="preserve">
Off the market</t>
        </r>
      </text>
    </comment>
    <comment ref="BD875" authorId="22" shapeId="0" xr:uid="{00000000-0006-0000-0200-000021020000}">
      <text>
        <r>
          <rPr>
            <b/>
            <sz val="8"/>
            <color indexed="81"/>
            <rFont val="Tahoma"/>
            <family val="2"/>
          </rPr>
          <t>Author:</t>
        </r>
        <r>
          <rPr>
            <sz val="8"/>
            <color indexed="81"/>
            <rFont val="Tahoma"/>
            <family val="2"/>
          </rPr>
          <t xml:space="preserve">
Off the market</t>
        </r>
      </text>
    </comment>
    <comment ref="BE875" authorId="22" shapeId="0" xr:uid="{00000000-0006-0000-0200-000022020000}">
      <text>
        <r>
          <rPr>
            <b/>
            <sz val="8"/>
            <color indexed="81"/>
            <rFont val="Tahoma"/>
            <family val="2"/>
          </rPr>
          <t>Author:</t>
        </r>
        <r>
          <rPr>
            <sz val="8"/>
            <color indexed="81"/>
            <rFont val="Tahoma"/>
            <family val="2"/>
          </rPr>
          <t xml:space="preserve">
Off the market</t>
        </r>
      </text>
    </comment>
    <comment ref="BF875" authorId="22" shapeId="0" xr:uid="{00000000-0006-0000-0200-000023020000}">
      <text>
        <r>
          <rPr>
            <b/>
            <sz val="8"/>
            <color indexed="81"/>
            <rFont val="Tahoma"/>
            <family val="2"/>
          </rPr>
          <t>Author:</t>
        </r>
        <r>
          <rPr>
            <sz val="8"/>
            <color indexed="81"/>
            <rFont val="Tahoma"/>
            <family val="2"/>
          </rPr>
          <t xml:space="preserve">
Off the market</t>
        </r>
      </text>
    </comment>
    <comment ref="BG875" authorId="22" shapeId="0" xr:uid="{00000000-0006-0000-0200-000024020000}">
      <text>
        <r>
          <rPr>
            <b/>
            <sz val="8"/>
            <color indexed="81"/>
            <rFont val="Tahoma"/>
            <family val="2"/>
          </rPr>
          <t>Author:</t>
        </r>
        <r>
          <rPr>
            <sz val="8"/>
            <color indexed="81"/>
            <rFont val="Tahoma"/>
            <family val="2"/>
          </rPr>
          <t xml:space="preserve">
Off the market</t>
        </r>
      </text>
    </comment>
    <comment ref="BC876" authorId="22" shapeId="0" xr:uid="{00000000-0006-0000-0200-000025020000}">
      <text>
        <r>
          <rPr>
            <b/>
            <sz val="8"/>
            <color indexed="81"/>
            <rFont val="Tahoma"/>
            <family val="2"/>
          </rPr>
          <t>Author:</t>
        </r>
        <r>
          <rPr>
            <sz val="8"/>
            <color indexed="81"/>
            <rFont val="Tahoma"/>
            <family val="2"/>
          </rPr>
          <t xml:space="preserve">
Off the market</t>
        </r>
      </text>
    </comment>
    <comment ref="BD876" authorId="22" shapeId="0" xr:uid="{00000000-0006-0000-0200-000026020000}">
      <text>
        <r>
          <rPr>
            <b/>
            <sz val="8"/>
            <color indexed="81"/>
            <rFont val="Tahoma"/>
            <family val="2"/>
          </rPr>
          <t>Author:</t>
        </r>
        <r>
          <rPr>
            <sz val="8"/>
            <color indexed="81"/>
            <rFont val="Tahoma"/>
            <family val="2"/>
          </rPr>
          <t xml:space="preserve">
Off the market</t>
        </r>
      </text>
    </comment>
    <comment ref="BE876" authorId="22" shapeId="0" xr:uid="{00000000-0006-0000-0200-000027020000}">
      <text>
        <r>
          <rPr>
            <b/>
            <sz val="8"/>
            <color indexed="81"/>
            <rFont val="Tahoma"/>
            <family val="2"/>
          </rPr>
          <t>Author:</t>
        </r>
        <r>
          <rPr>
            <sz val="8"/>
            <color indexed="81"/>
            <rFont val="Tahoma"/>
            <family val="2"/>
          </rPr>
          <t xml:space="preserve">
Off the market</t>
        </r>
      </text>
    </comment>
    <comment ref="BF876" authorId="22" shapeId="0" xr:uid="{00000000-0006-0000-0200-000028020000}">
      <text>
        <r>
          <rPr>
            <b/>
            <sz val="8"/>
            <color indexed="81"/>
            <rFont val="Tahoma"/>
            <family val="2"/>
          </rPr>
          <t>Author:</t>
        </r>
        <r>
          <rPr>
            <sz val="8"/>
            <color indexed="81"/>
            <rFont val="Tahoma"/>
            <family val="2"/>
          </rPr>
          <t xml:space="preserve">
Off the market</t>
        </r>
      </text>
    </comment>
    <comment ref="BG876" authorId="22" shapeId="0" xr:uid="{00000000-0006-0000-0200-000029020000}">
      <text>
        <r>
          <rPr>
            <b/>
            <sz val="8"/>
            <color indexed="81"/>
            <rFont val="Tahoma"/>
            <family val="2"/>
          </rPr>
          <t>Author:</t>
        </r>
        <r>
          <rPr>
            <sz val="8"/>
            <color indexed="81"/>
            <rFont val="Tahoma"/>
            <family val="2"/>
          </rPr>
          <t xml:space="preserve">
Off the market</t>
        </r>
      </text>
    </comment>
    <comment ref="DI887" authorId="12" shapeId="0" xr:uid="{00000000-0006-0000-0200-00002A020000}">
      <text>
        <r>
          <rPr>
            <b/>
            <sz val="9"/>
            <color indexed="81"/>
            <rFont val="Tahoma"/>
            <family val="2"/>
          </rPr>
          <t>Author:</t>
        </r>
        <r>
          <rPr>
            <sz val="9"/>
            <color indexed="81"/>
            <rFont val="Tahoma"/>
            <family val="2"/>
          </rPr>
          <t xml:space="preserve">
Cons 11.4</t>
        </r>
      </text>
    </comment>
    <comment ref="DO887" authorId="12" shapeId="0" xr:uid="{00000000-0006-0000-0200-00002B020000}">
      <text>
        <r>
          <rPr>
            <b/>
            <sz val="9"/>
            <color indexed="81"/>
            <rFont val="Tahoma"/>
            <family val="2"/>
          </rPr>
          <t>Author:</t>
        </r>
        <r>
          <rPr>
            <sz val="9"/>
            <color indexed="81"/>
            <rFont val="Tahoma"/>
            <family val="2"/>
          </rPr>
          <t xml:space="preserve">
Cons 47.7</t>
        </r>
      </text>
    </comment>
    <comment ref="EB887" authorId="15" shapeId="0" xr:uid="{DF05FA08-2842-4E98-9536-5E88BFCC0F84}">
      <text>
        <r>
          <rPr>
            <b/>
            <sz val="9"/>
            <color indexed="81"/>
            <rFont val="Tahoma"/>
            <family val="2"/>
          </rPr>
          <t>Author:</t>
        </r>
        <r>
          <rPr>
            <sz val="9"/>
            <color indexed="81"/>
            <rFont val="Tahoma"/>
            <family val="2"/>
          </rPr>
          <t xml:space="preserve">
off by 3</t>
        </r>
      </text>
    </comment>
    <comment ref="EG887" authorId="15" shapeId="0" xr:uid="{4D5378B9-10CD-495E-B99B-AD4F1BD29498}">
      <text>
        <r>
          <rPr>
            <b/>
            <sz val="9"/>
            <color indexed="81"/>
            <rFont val="Tahoma"/>
            <family val="2"/>
          </rPr>
          <t>Author:</t>
        </r>
        <r>
          <rPr>
            <sz val="9"/>
            <color indexed="81"/>
            <rFont val="Tahoma"/>
            <family val="2"/>
          </rPr>
          <t xml:space="preserve">
off by 3</t>
        </r>
      </text>
    </comment>
    <comment ref="DA890" authorId="10" shapeId="0" xr:uid="{00000000-0006-0000-0200-00002C020000}">
      <text>
        <r>
          <rPr>
            <b/>
            <sz val="9"/>
            <color indexed="81"/>
            <rFont val="Tahoma"/>
            <family val="2"/>
          </rPr>
          <t>Author:</t>
        </r>
        <r>
          <rPr>
            <sz val="9"/>
            <color indexed="81"/>
            <rFont val="Tahoma"/>
            <family val="2"/>
          </rPr>
          <t xml:space="preserve">
This slower growth was primarily driven by our first full quarter of generic competition for Product0478.
300bp improvement from prior period adj </t>
        </r>
      </text>
    </comment>
    <comment ref="DA893" authorId="10" shapeId="0" xr:uid="{00000000-0006-0000-0200-00002D020000}">
      <text>
        <r>
          <rPr>
            <b/>
            <sz val="9"/>
            <color indexed="81"/>
            <rFont val="Tahoma"/>
            <family val="2"/>
          </rPr>
          <t>Author:</t>
        </r>
        <r>
          <rPr>
            <sz val="9"/>
            <color indexed="81"/>
            <rFont val="Tahoma"/>
            <family val="2"/>
          </rPr>
          <t xml:space="preserve">
200bp improvement from prior period adjustments</t>
        </r>
      </text>
    </comment>
    <comment ref="DO893" authorId="12" shapeId="0" xr:uid="{00000000-0006-0000-0200-00002E020000}">
      <text>
        <r>
          <rPr>
            <b/>
            <sz val="9"/>
            <color indexed="81"/>
            <rFont val="Tahoma"/>
            <family val="2"/>
          </rPr>
          <t>Author:</t>
        </r>
        <r>
          <rPr>
            <sz val="9"/>
            <color indexed="81"/>
            <rFont val="Tahoma"/>
            <family val="2"/>
          </rPr>
          <t xml:space="preserve">
3Q20: Deliver above mkt growth</t>
        </r>
      </text>
    </comment>
    <comment ref="B897" authorId="0" shapeId="0" xr:uid="{75643B83-46BF-4B58-8028-6802802D5978}">
      <text>
        <r>
          <rPr>
            <b/>
            <sz val="8"/>
            <color indexed="81"/>
            <rFont val="Tahoma"/>
            <family val="2"/>
          </rPr>
          <t>Author:</t>
        </r>
        <r>
          <rPr>
            <sz val="8"/>
            <color indexed="81"/>
            <rFont val="Tahoma"/>
            <family val="2"/>
          </rPr>
          <t xml:space="preserve">
CGM partnership with Company0798 (royalty?). How continuously monitors glucose? Target filing date 2009, 510(k)? . Is the meter and pump one contained unit? How does this differ from Company1676 Product0245 device?
The continuous glucose monitor is not intended for day-to-day monitoring or long-term self-care and it is not a replacement for standard blood sugar monitoring. It is only intended for use to discover trends in glucose levels. </t>
        </r>
        <r>
          <rPr>
            <b/>
            <sz val="8"/>
            <color indexed="81"/>
            <rFont val="Tahoma"/>
            <family val="2"/>
          </rPr>
          <t>Does this mean still have to continue pricks to get blood even with CGM?</t>
        </r>
        <r>
          <rPr>
            <sz val="8"/>
            <color indexed="81"/>
            <rFont val="Tahoma"/>
            <family val="2"/>
          </rPr>
          <t xml:space="preserve">
The main advantage of continuous glucose monitoring is that it can help identify fluctuations and trends that would otherwise go unnoticed with standard HbA1c tests
Pricing decreases for testing strips
</t>
        </r>
      </text>
    </comment>
    <comment ref="CM898" authorId="2" shapeId="0" xr:uid="{1285FA69-96B4-4816-8261-93E382BC018C}">
      <text>
        <r>
          <rPr>
            <b/>
            <sz val="9"/>
            <color indexed="81"/>
            <rFont val="Tahoma"/>
            <family val="2"/>
          </rPr>
          <t>Author:</t>
        </r>
        <r>
          <rPr>
            <sz val="9"/>
            <color indexed="81"/>
            <rFont val="Tahoma"/>
            <family val="2"/>
          </rPr>
          <t xml:space="preserve">
20% SMBG price decline</t>
        </r>
      </text>
    </comment>
    <comment ref="CN898" authorId="2" shapeId="0" xr:uid="{65C5812A-1353-4965-8F88-FF8858A33A74}">
      <text>
        <r>
          <rPr>
            <b/>
            <sz val="9"/>
            <color indexed="81"/>
            <rFont val="Tahoma"/>
            <family val="2"/>
          </rPr>
          <t>Author:</t>
        </r>
        <r>
          <rPr>
            <sz val="9"/>
            <color indexed="81"/>
            <rFont val="Tahoma"/>
            <family val="2"/>
          </rPr>
          <t xml:space="preserve">
7% due to price decline and PY resevre release; ID -10% due to competitive pressures</t>
        </r>
      </text>
    </comment>
    <comment ref="CN899" authorId="2" shapeId="0" xr:uid="{8EB759C5-F5D4-4582-89C8-8788254877AB}">
      <text>
        <r>
          <rPr>
            <b/>
            <sz val="9"/>
            <color indexed="81"/>
            <rFont val="Tahoma"/>
            <family val="2"/>
          </rPr>
          <t>Author:</t>
        </r>
        <r>
          <rPr>
            <sz val="9"/>
            <color indexed="81"/>
            <rFont val="Tahoma"/>
            <family val="2"/>
          </rPr>
          <t xml:space="preserve">
due to reduction in inv levels form category slowdown in China</t>
        </r>
      </text>
    </comment>
    <comment ref="BX903" authorId="21" shapeId="0" xr:uid="{34E0765E-45FB-4DFF-9093-C214B4C92E65}">
      <text>
        <r>
          <rPr>
            <b/>
            <sz val="9"/>
            <color indexed="81"/>
            <rFont val="Tahoma"/>
            <family val="2"/>
          </rPr>
          <t>Author:</t>
        </r>
        <r>
          <rPr>
            <sz val="9"/>
            <color indexed="81"/>
            <rFont val="Tahoma"/>
            <family val="2"/>
          </rPr>
          <t xml:space="preserve">
"The diabetes care business operational sales declined 11.8% in the Second Quarter of 2013 with the US business down 23.1% due to the impact
of lower price, competitive pressures and softness in the retail market."</t>
        </r>
      </text>
    </comment>
    <comment ref="BM906" authorId="1" shapeId="0" xr:uid="{37104695-EF51-4B83-AFA0-7593A6524C13}">
      <text>
        <r>
          <rPr>
            <b/>
            <sz val="8"/>
            <color indexed="81"/>
            <rFont val="Tahoma"/>
            <family val="2"/>
          </rPr>
          <t>Author:</t>
        </r>
        <r>
          <rPr>
            <sz val="8"/>
            <color indexed="81"/>
            <rFont val="Tahoma"/>
            <family val="2"/>
          </rPr>
          <t xml:space="preserve">
Diabetes franchise was up 6% operationally in the first quarter of 2011, with the US business up 7.2% and the business outside the US up 4.9% operationally.
Increased market share was the major driver of growth.
</t>
        </r>
      </text>
    </comment>
    <comment ref="B908" authorId="0" shapeId="0" xr:uid="{D9741E3A-233B-4E43-805D-7AB7FC46633F}">
      <text>
        <r>
          <rPr>
            <b/>
            <sz val="8"/>
            <color indexed="81"/>
            <rFont val="Tahoma"/>
            <family val="2"/>
          </rPr>
          <t>Author:</t>
        </r>
        <r>
          <rPr>
            <sz val="8"/>
            <color indexed="81"/>
            <rFont val="Tahoma"/>
            <family val="2"/>
          </rPr>
          <t xml:space="preserve">
transfusion technology and rogam sales; clinical laboratories and ECI products
Diagnostics (breakdown between donor screening, immunohematology, clinical labs) trying to get more molecular prostate cancer, T.cruzi ELISA test, cellsearch tumor cell CTC test?
2009 estimate
US clin labs $4.2bn (2% CAGR) share constant ~12%, $13bn WW market share &lt;10%. BEC Company2250 competitors 
donor screening US market $275mn (2% CAGR) market leader &gt;70% (have grown share last few quarters), WW market $700mn WW share ~40%. major compeitors Company0011 (reagents seeing positive)
Immunohematology (boston biomedical consulstants) $430mn US, just little under 50% (~9%), WW $1.1bn share ~40%. Major immucor (duopoly)
(price increases manual to automated seeing on average pricing increases)
Bit of tailwind in ortho clinical diagnostics
Submissions 
Pree
Upcoming submissions (everything is submission)
2010-Product0171 Product0313 (prostate 2010 submission  US)
2010-Pre-eclampsia INtl (submission OUS)
2011 Summitt Sampler Project
2011-Pre-eclampsia US
2011-Breast Prognostic
Don Person0589 suggested business run for cashPreviously orth clinical diagnostics</t>
        </r>
      </text>
    </comment>
    <comment ref="AY911" authorId="0" shapeId="0" xr:uid="{31AC6A39-6873-4B7E-A8FC-71C1DC1D2173}">
      <text>
        <r>
          <rPr>
            <b/>
            <sz val="8"/>
            <color indexed="81"/>
            <rFont val="Tahoma"/>
            <family val="2"/>
          </rPr>
          <t>Author:</t>
        </r>
        <r>
          <rPr>
            <sz val="8"/>
            <color indexed="81"/>
            <rFont val="Tahoma"/>
            <family val="2"/>
          </rPr>
          <t xml:space="preserve">
Restated to include portion of sales previously reported in the "Other" category</t>
        </r>
      </text>
    </comment>
    <comment ref="BH914" authorId="22" shapeId="0" xr:uid="{4E04B69E-6B90-4D53-A1DA-1FD509E68847}">
      <text>
        <r>
          <rPr>
            <b/>
            <sz val="8"/>
            <color indexed="81"/>
            <rFont val="Tahoma"/>
            <family val="2"/>
          </rPr>
          <t>Author:</t>
        </r>
        <r>
          <rPr>
            <sz val="8"/>
            <color indexed="81"/>
            <rFont val="Tahoma"/>
            <family val="2"/>
          </rPr>
          <t xml:space="preserve">
still see modest to negative 1% in price</t>
        </r>
      </text>
    </comment>
    <comment ref="BK914" authorId="22" shapeId="0" xr:uid="{894A6CED-AE85-4AAB-8661-90ECCF32E073}">
      <text>
        <r>
          <rPr>
            <b/>
            <sz val="8"/>
            <color indexed="81"/>
            <rFont val="Tahoma"/>
            <family val="2"/>
          </rPr>
          <t>Author:</t>
        </r>
        <r>
          <rPr>
            <sz val="8"/>
            <color indexed="81"/>
            <rFont val="Tahoma"/>
            <family val="2"/>
          </rPr>
          <t xml:space="preserve">
Growth was driven
by the success of the Product0441 5600 and 3600</t>
        </r>
      </text>
    </comment>
    <comment ref="BM917" authorId="1" shapeId="0" xr:uid="{8245BA68-6CA9-4315-B842-4E07849B0C83}">
      <text>
        <r>
          <rPr>
            <b/>
            <sz val="8"/>
            <color indexed="81"/>
            <rFont val="Tahoma"/>
            <family val="2"/>
          </rPr>
          <t>Author:</t>
        </r>
        <r>
          <rPr>
            <sz val="8"/>
            <color indexed="81"/>
            <rFont val="Tahoma"/>
            <family val="2"/>
          </rPr>
          <t xml:space="preserve">
Company2021 Diagnostics declined 2.5% on an operational basis in the first quarter.
Sales
in the US declined 8 % while sales outside the US were up 4.1% on an operational basis.
Timing of
shipments as well as lower sales and donor screening due to the move to selective testing in the US for Shagas disease
This was partially offset by the continued strong growth in clinical labs due to the strength of the Product0441 5600 and 3600 platforms.</t>
        </r>
      </text>
    </comment>
    <comment ref="B919" authorId="25" shapeId="0" xr:uid="{9D8EF8EA-1937-4F37-A8D5-59B891472AF0}">
      <text>
        <r>
          <rPr>
            <b/>
            <sz val="8"/>
            <color indexed="81"/>
            <rFont val="Tahoma"/>
            <family val="2"/>
          </rPr>
          <t xml:space="preserve">Author:
</t>
        </r>
        <r>
          <rPr>
            <sz val="8"/>
            <color indexed="81"/>
            <rFont val="Tahoma"/>
            <family val="2"/>
          </rPr>
          <t>General Surgery includes the endo-mechanical, hernia, sutures and women’s health businesses previously part of Company0931 and Company0931 Company0918</t>
        </r>
      </text>
    </comment>
    <comment ref="B931" authorId="25" shapeId="0" xr:uid="{EED8EE9B-6FEA-4CF0-969F-9CE729DC7A93}">
      <text>
        <r>
          <rPr>
            <b/>
            <sz val="8"/>
            <color indexed="81"/>
            <rFont val="Tahoma"/>
            <family val="2"/>
          </rPr>
          <t xml:space="preserve">Author:
</t>
        </r>
        <r>
          <rPr>
            <sz val="8"/>
            <color indexed="81"/>
            <rFont val="Tahoma"/>
            <family val="2"/>
          </rPr>
          <t>General Surgery includes the endo-mechanical, hernia, sutures and women’s health businesses previously part of Company0931 and Company0931 Company0918</t>
        </r>
      </text>
    </comment>
    <comment ref="B943" authorId="25" shapeId="0" xr:uid="{5A3F5789-92F5-4B8F-A44E-39C5B771C534}">
      <text>
        <r>
          <rPr>
            <b/>
            <sz val="8"/>
            <color indexed="81"/>
            <rFont val="Tahoma"/>
            <family val="2"/>
          </rPr>
          <t xml:space="preserve">Author:
</t>
        </r>
        <r>
          <rPr>
            <sz val="8"/>
            <color indexed="81"/>
            <rFont val="Tahoma"/>
            <family val="2"/>
          </rPr>
          <t>General Surgery includes the endo-mechanical, hernia, sutures and women’s health businesses previously part of Company0931 and Company0931 Company0918</t>
        </r>
      </text>
    </comment>
    <comment ref="EI946" authorId="34" shapeId="0" xr:uid="{981355DB-7262-4BDE-8E67-583552977A24}">
      <text>
        <r>
          <rPr>
            <b/>
            <sz val="9"/>
            <color indexed="81"/>
            <rFont val="Tahoma"/>
            <family val="2"/>
          </rPr>
          <t>Author:</t>
        </r>
        <r>
          <rPr>
            <sz val="9"/>
            <color indexed="81"/>
            <rFont val="Tahoma"/>
            <family val="2"/>
          </rPr>
          <t xml:space="preserve">
(1Q25) Ticker0015 assumes $50mn headwind from business transformation</t>
        </r>
      </text>
    </comment>
    <comment ref="EJ946" authorId="34" shapeId="0" xr:uid="{A83F1504-C255-4B46-BA77-D6D3976347ED}">
      <text>
        <r>
          <rPr>
            <b/>
            <sz val="9"/>
            <color indexed="81"/>
            <rFont val="Tahoma"/>
            <family val="2"/>
          </rPr>
          <t>Author:</t>
        </r>
        <r>
          <rPr>
            <sz val="9"/>
            <color indexed="81"/>
            <rFont val="Tahoma"/>
            <family val="2"/>
          </rPr>
          <t xml:space="preserve">
(1Q25) Ticker0015 assumes $125mn headwind from business transformation</t>
        </r>
      </text>
    </comment>
    <comment ref="EK946" authorId="34" shapeId="0" xr:uid="{03B889BC-AEF7-421C-A551-921004B1A119}">
      <text>
        <r>
          <rPr>
            <b/>
            <sz val="9"/>
            <color indexed="81"/>
            <rFont val="Tahoma"/>
            <family val="2"/>
          </rPr>
          <t>Author:</t>
        </r>
        <r>
          <rPr>
            <sz val="9"/>
            <color indexed="81"/>
            <rFont val="Tahoma"/>
            <family val="2"/>
          </rPr>
          <t xml:space="preserve">
(1Q25) Ticker0015 assumes $250mn headwind from business transformation</t>
        </r>
      </text>
    </comment>
    <comment ref="B955" authorId="25" shapeId="0" xr:uid="{AC33CD9D-15A0-410F-8C2F-C576E6141050}">
      <text>
        <r>
          <rPr>
            <b/>
            <sz val="8"/>
            <color indexed="81"/>
            <rFont val="Tahoma"/>
            <family val="2"/>
          </rPr>
          <t xml:space="preserve">Author:
</t>
        </r>
        <r>
          <rPr>
            <sz val="8"/>
            <color indexed="81"/>
            <rFont val="Tahoma"/>
            <family val="2"/>
          </rPr>
          <t>General Surgery includes the endo-mechanical, hernia, sutures and women’s health businesses previously part of Company0931 and Company0931 Company0918</t>
        </r>
      </text>
    </comment>
    <comment ref="B967" authorId="25" shapeId="0" xr:uid="{536784BF-0B6F-4E87-A1C7-72CD0D9D88B9}">
      <text>
        <r>
          <rPr>
            <b/>
            <sz val="8"/>
            <color indexed="81"/>
            <rFont val="Tahoma"/>
            <family val="2"/>
          </rPr>
          <t xml:space="preserve">Author:
</t>
        </r>
        <r>
          <rPr>
            <sz val="8"/>
            <color indexed="81"/>
            <rFont val="Tahoma"/>
            <family val="2"/>
          </rPr>
          <t>General Surgery includes the endo-mechanical, hernia, sutures and women’s health businesses previously part of Company0931 and Company0931 Company0918</t>
        </r>
      </text>
    </comment>
    <comment ref="B978" authorId="25" shapeId="0" xr:uid="{94B5F40F-F77A-4498-AED3-75AB81ABD71E}">
      <text>
        <r>
          <rPr>
            <b/>
            <sz val="8"/>
            <color indexed="81"/>
            <rFont val="Tahoma"/>
            <family val="2"/>
          </rPr>
          <t>Author:</t>
        </r>
        <r>
          <rPr>
            <sz val="8"/>
            <color indexed="81"/>
            <rFont val="Tahoma"/>
            <family val="2"/>
          </rPr>
          <t xml:space="preserve">
Infection Prevention/Other includes the Advanced Sterilization Products business previously part of Company0931 Company0918</t>
        </r>
      </text>
    </comment>
    <comment ref="CB979" authorId="7" shapeId="0" xr:uid="{9B9820D0-19E4-4766-95C3-935EDE0461E8}">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0" authorId="7" shapeId="0" xr:uid="{C4C9CA1E-7AAD-4067-A4ED-6D62FC5C3D5A}">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1" authorId="7" shapeId="0" xr:uid="{6173CCC2-3917-4510-ADB3-7E7634F0B797}">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4" authorId="7" shapeId="0" xr:uid="{BE6FB600-02A7-482E-9979-466A9E260E76}">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5" authorId="7" shapeId="0" xr:uid="{CA40A233-93EA-4372-9963-BD1BF8F04AC0}">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6" authorId="7" shapeId="0" xr:uid="{843DAA0D-A051-4937-9C94-D68457BED307}">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CB987" authorId="7" shapeId="0" xr:uid="{14263D8F-6DB0-4FBC-8BFC-61ABF677B46D}">
      <text>
        <r>
          <rPr>
            <b/>
            <sz val="9"/>
            <color indexed="81"/>
            <rFont val="Tahoma"/>
            <family val="2"/>
          </rPr>
          <t>Author:</t>
        </r>
        <r>
          <rPr>
            <sz val="9"/>
            <color indexed="81"/>
            <rFont val="Tahoma"/>
            <family val="2"/>
          </rPr>
          <t xml:space="preserve">
as of 1Q14 10Q:
"(5) Infection Prevention now reflected in Specialty Surgery/Other, previously reported independently"</t>
        </r>
      </text>
    </comment>
    <comment ref="B989" authorId="25" shapeId="0" xr:uid="{26948CC1-419F-4B5F-95ED-083BB79E6D46}">
      <text>
        <r>
          <rPr>
            <b/>
            <sz val="8"/>
            <color indexed="81"/>
            <rFont val="Tahoma"/>
            <family val="2"/>
          </rPr>
          <t>Author:</t>
        </r>
        <r>
          <rPr>
            <sz val="8"/>
            <color indexed="81"/>
            <rFont val="Tahoma"/>
            <family val="2"/>
          </rPr>
          <t xml:space="preserve">
Specialty Surgery includes the Company0189, biosurgery, energy, Mentor and Company2595 businesses previously part of Company0931 and Company0931 Company0918</t>
        </r>
      </text>
    </comment>
    <comment ref="B1034" authorId="0" shapeId="0" xr:uid="{229BC863-0172-4B32-B03F-9B34E802EDB3}">
      <text>
        <r>
          <rPr>
            <b/>
            <sz val="8"/>
            <color indexed="81"/>
            <rFont val="Tahoma"/>
            <family val="2"/>
          </rPr>
          <t>Author:</t>
        </r>
        <r>
          <rPr>
            <sz val="8"/>
            <color indexed="81"/>
            <rFont val="Tahoma"/>
            <family val="2"/>
          </rPr>
          <t xml:space="preserve">
Fibrin filed by end of year?
Pricing flat to slightly positive
Product0324 BLA filing 2H 2010.</t>
        </r>
      </text>
    </comment>
    <comment ref="BJ1035" authorId="22" shapeId="0" xr:uid="{C36F6653-3ECE-469A-A722-DE40538EF84D}">
      <text>
        <r>
          <rPr>
            <b/>
            <sz val="8"/>
            <color indexed="81"/>
            <rFont val="Tahoma"/>
            <family val="2"/>
          </rPr>
          <t>Author:</t>
        </r>
        <r>
          <rPr>
            <sz val="8"/>
            <color indexed="81"/>
            <rFont val="Tahoma"/>
            <family val="2"/>
          </rPr>
          <t xml:space="preserve">
Fibrin pad BLA filing 2H2010</t>
        </r>
      </text>
    </comment>
    <comment ref="AY1037" authorId="0" shapeId="0" xr:uid="{384E905F-6250-4343-BF8D-68C43817AEB4}">
      <text>
        <r>
          <rPr>
            <b/>
            <sz val="8"/>
            <color indexed="81"/>
            <rFont val="Tahoma"/>
            <family val="2"/>
          </rPr>
          <t>Author:</t>
        </r>
        <r>
          <rPr>
            <sz val="8"/>
            <color indexed="81"/>
            <rFont val="Tahoma"/>
            <family val="2"/>
          </rPr>
          <t xml:space="preserve">
Restated to include portion of sales previously reported in the "Other" category</t>
        </r>
      </text>
    </comment>
    <comment ref="BM1043" authorId="1" shapeId="0" xr:uid="{B6A1D24A-1547-445A-BF9C-2008444344BC}">
      <text>
        <r>
          <rPr>
            <b/>
            <sz val="8"/>
            <color indexed="81"/>
            <rFont val="Tahoma"/>
            <family val="2"/>
          </rPr>
          <t>Author:</t>
        </r>
        <r>
          <rPr>
            <sz val="8"/>
            <color indexed="81"/>
            <rFont val="Tahoma"/>
            <family val="2"/>
          </rPr>
          <t xml:space="preserve">
Company0931 worldwide sales grew operationally by 2.3%, with the US up 1.2% and sales outside the US up 3.3% operationally.</t>
        </r>
      </text>
    </comment>
    <comment ref="BD1046" authorId="0" shapeId="0" xr:uid="{40ECBA22-606B-4274-9353-EADB81074A56}">
      <text>
        <r>
          <rPr>
            <b/>
            <sz val="8"/>
            <color indexed="81"/>
            <rFont val="Tahoma"/>
            <family val="2"/>
          </rPr>
          <t>Author:</t>
        </r>
        <r>
          <rPr>
            <sz val="8"/>
            <color indexed="81"/>
            <rFont val="Tahoma"/>
            <family val="2"/>
          </rPr>
          <t xml:space="preserve">
just over 70%</t>
        </r>
      </text>
    </comment>
    <comment ref="BJ1046" authorId="17" shapeId="0" xr:uid="{7DFBE3E9-2188-4666-8FD8-ABCF420E62AA}">
      <text>
        <r>
          <rPr>
            <b/>
            <sz val="8"/>
            <color indexed="81"/>
            <rFont val="Tahoma"/>
            <family val="2"/>
          </rPr>
          <t>Author:</t>
        </r>
        <r>
          <rPr>
            <sz val="8"/>
            <color indexed="81"/>
            <rFont val="Tahoma"/>
            <family val="2"/>
          </rPr>
          <t xml:space="preserve">
US sales down 3%</t>
        </r>
      </text>
    </comment>
    <comment ref="BJ1047" authorId="17" shapeId="0" xr:uid="{54D3CF6C-FACC-4068-8AF4-61C35E1E35B1}">
      <text>
        <r>
          <rPr>
            <b/>
            <sz val="8"/>
            <color indexed="81"/>
            <rFont val="Tahoma"/>
            <family val="2"/>
          </rPr>
          <t>Author:</t>
        </r>
        <r>
          <rPr>
            <sz val="8"/>
            <color indexed="81"/>
            <rFont val="Tahoma"/>
            <family val="2"/>
          </rPr>
          <t xml:space="preserve">
OUS up 8.4% op.</t>
        </r>
      </text>
    </comment>
    <comment ref="BC1048" authorId="0" shapeId="0" xr:uid="{3F762132-DDDB-46D8-8A96-535F41763F7A}">
      <text>
        <r>
          <rPr>
            <b/>
            <sz val="8"/>
            <color indexed="81"/>
            <rFont val="Tahoma"/>
            <family val="2"/>
          </rPr>
          <t>Author:</t>
        </r>
        <r>
          <rPr>
            <sz val="8"/>
            <color indexed="81"/>
            <rFont val="Tahoma"/>
            <family val="2"/>
          </rPr>
          <t xml:space="preserve">
Mentor and Product0276 added 2 points of growth on non operational basis</t>
        </r>
      </text>
    </comment>
    <comment ref="BD1048" authorId="0" shapeId="0" xr:uid="{49BE791F-A624-4EE0-A76D-3C8C02214C00}">
      <text>
        <r>
          <rPr>
            <b/>
            <sz val="8"/>
            <color indexed="81"/>
            <rFont val="Tahoma"/>
            <family val="2"/>
          </rPr>
          <t>Author:</t>
        </r>
        <r>
          <rPr>
            <sz val="8"/>
            <color indexed="81"/>
            <rFont val="Tahoma"/>
            <family val="2"/>
          </rPr>
          <t xml:space="preserve">
roughly same level total sales as last year</t>
        </r>
      </text>
    </comment>
    <comment ref="BJ1048" authorId="17" shapeId="0" xr:uid="{60858A9D-2324-492E-8159-D5744E6CB414}">
      <text>
        <r>
          <rPr>
            <b/>
            <sz val="8"/>
            <color indexed="81"/>
            <rFont val="Tahoma"/>
            <family val="2"/>
          </rPr>
          <t>Author:</t>
        </r>
        <r>
          <rPr>
            <sz val="8"/>
            <color indexed="81"/>
            <rFont val="Tahoma"/>
            <family val="2"/>
          </rPr>
          <t xml:space="preserve">
Net op. growth of 3.3%</t>
        </r>
      </text>
    </comment>
    <comment ref="B1056" authorId="0" shapeId="0" xr:uid="{679E4471-294A-4891-9854-F33EA3BF2DC8}">
      <text>
        <r>
          <rPr>
            <b/>
            <sz val="8"/>
            <color indexed="81"/>
            <rFont val="Tahoma"/>
            <family val="2"/>
          </rPr>
          <t>Author:</t>
        </r>
        <r>
          <rPr>
            <sz val="8"/>
            <color indexed="81"/>
            <rFont val="Tahoma"/>
            <family val="2"/>
          </rPr>
          <t xml:space="preserve">
US split </t>
        </r>
      </text>
    </comment>
    <comment ref="BB1057" authorId="0" shapeId="0" xr:uid="{6B89B746-FDBC-439B-A3A0-4DBBC192465A}">
      <text>
        <r>
          <rPr>
            <b/>
            <sz val="8"/>
            <color indexed="81"/>
            <rFont val="Tahoma"/>
            <family val="2"/>
          </rPr>
          <t>Author:</t>
        </r>
        <r>
          <rPr>
            <sz val="8"/>
            <color indexed="81"/>
            <rFont val="Tahoma"/>
            <family val="2"/>
          </rPr>
          <t xml:space="preserve">
find US </t>
        </r>
      </text>
    </comment>
    <comment ref="AX1058" authorId="0" shapeId="0" xr:uid="{C2AE7D07-7386-4F98-B16C-243BE8B55904}">
      <text>
        <r>
          <rPr>
            <b/>
            <sz val="8"/>
            <color indexed="81"/>
            <rFont val="Tahoma"/>
            <family val="2"/>
          </rPr>
          <t>Author:</t>
        </r>
        <r>
          <rPr>
            <sz val="8"/>
            <color indexed="81"/>
            <rFont val="Tahoma"/>
            <family val="2"/>
          </rPr>
          <t xml:space="preserve">
biosurg 6.1, immuno9.0, prod dev 2.6</t>
        </r>
      </text>
    </comment>
    <comment ref="AY1058" authorId="0" shapeId="0" xr:uid="{A0331328-506D-4D5D-9D6C-773A19CF545F}">
      <text>
        <r>
          <rPr>
            <b/>
            <sz val="8"/>
            <color indexed="81"/>
            <rFont val="Tahoma"/>
            <family val="2"/>
          </rPr>
          <t>Author:</t>
        </r>
        <r>
          <rPr>
            <sz val="8"/>
            <color indexed="81"/>
            <rFont val="Tahoma"/>
            <family val="2"/>
          </rPr>
          <t xml:space="preserve">
biosurg 8.4, immuno 9.8, prod dev 1.0</t>
        </r>
      </text>
    </comment>
    <comment ref="AZ1058" authorId="0" shapeId="0" xr:uid="{76796823-2155-4989-97EE-AC5B30D1F827}">
      <text>
        <r>
          <rPr>
            <b/>
            <sz val="8"/>
            <color indexed="81"/>
            <rFont val="Tahoma"/>
            <family val="2"/>
          </rPr>
          <t>Author:</t>
        </r>
        <r>
          <rPr>
            <sz val="8"/>
            <color indexed="81"/>
            <rFont val="Tahoma"/>
            <family val="2"/>
          </rPr>
          <t xml:space="preserve">
biosurg 9.5, immuno 10.1, prod dev 1.7</t>
        </r>
      </text>
    </comment>
    <comment ref="BA1059" authorId="0" shapeId="0" xr:uid="{9CFCB6DF-71B5-42A7-8819-BF90E9273285}">
      <text>
        <r>
          <rPr>
            <b/>
            <sz val="8"/>
            <color indexed="81"/>
            <rFont val="Tahoma"/>
            <family val="2"/>
          </rPr>
          <t>Author:</t>
        </r>
        <r>
          <rPr>
            <sz val="8"/>
            <color indexed="81"/>
            <rFont val="Tahoma"/>
            <family val="2"/>
          </rPr>
          <t xml:space="preserve">
23</t>
        </r>
      </text>
    </comment>
    <comment ref="BD1059" authorId="0" shapeId="0" xr:uid="{2B7B5E18-4927-42A3-B27F-3E7C76686B57}">
      <text>
        <r>
          <rPr>
            <b/>
            <sz val="8"/>
            <color indexed="81"/>
            <rFont val="Tahoma"/>
            <family val="2"/>
          </rPr>
          <t>Author:</t>
        </r>
        <r>
          <rPr>
            <sz val="8"/>
            <color indexed="81"/>
            <rFont val="Tahoma"/>
            <family val="2"/>
          </rPr>
          <t xml:space="preserve">
biosurg operational growth. Not apples to apples vs 2Q 2008, additional 3rd party sales from Product0276 to other. Included when acquired. Couple points off so like 16-18%
Also other products non-Product0276. Didn't </t>
        </r>
      </text>
    </comment>
    <comment ref="BD1062" authorId="0" shapeId="0" xr:uid="{70CAE436-E95E-4FCF-9E18-2A127C8AB53C}">
      <text>
        <r>
          <rPr>
            <b/>
            <sz val="8"/>
            <color indexed="81"/>
            <rFont val="Tahoma"/>
            <family val="2"/>
          </rPr>
          <t>Author:</t>
        </r>
        <r>
          <rPr>
            <sz val="8"/>
            <color indexed="81"/>
            <rFont val="Tahoma"/>
            <family val="2"/>
          </rPr>
          <t xml:space="preserve">
biosurgical wound management 13%</t>
        </r>
      </text>
    </comment>
    <comment ref="BD1063" authorId="0" shapeId="0" xr:uid="{B5484868-0737-4227-A5FB-AB7490377C9A}">
      <text>
        <r>
          <rPr>
            <b/>
            <sz val="8"/>
            <color indexed="81"/>
            <rFont val="Tahoma"/>
            <family val="2"/>
          </rPr>
          <t>Author:</t>
        </r>
        <r>
          <rPr>
            <sz val="8"/>
            <color indexed="81"/>
            <rFont val="Tahoma"/>
            <family val="2"/>
          </rPr>
          <t xml:space="preserve">
20%</t>
        </r>
      </text>
    </comment>
    <comment ref="BD1064" authorId="0" shapeId="0" xr:uid="{13730C3A-727D-4987-A0A5-1AA7E49D831E}">
      <text>
        <r>
          <rPr>
            <b/>
            <sz val="8"/>
            <color indexed="81"/>
            <rFont val="Tahoma"/>
            <family val="2"/>
          </rPr>
          <t>Author:</t>
        </r>
        <r>
          <rPr>
            <sz val="8"/>
            <color indexed="81"/>
            <rFont val="Tahoma"/>
            <family val="2"/>
          </rPr>
          <t xml:space="preserve">
8%</t>
        </r>
      </text>
    </comment>
    <comment ref="BD1065" authorId="0" shapeId="0" xr:uid="{B87B4285-8634-4C1C-BB23-232B60C636A4}">
      <text>
        <r>
          <rPr>
            <b/>
            <sz val="8"/>
            <color indexed="81"/>
            <rFont val="Tahoma"/>
            <family val="2"/>
          </rPr>
          <t>Author:</t>
        </r>
        <r>
          <rPr>
            <sz val="8"/>
            <color indexed="81"/>
            <rFont val="Tahoma"/>
            <family val="2"/>
          </rPr>
          <t xml:space="preserve">
WW CC 18%</t>
        </r>
      </text>
    </comment>
    <comment ref="B1067" authorId="0" shapeId="0" xr:uid="{B17B87C4-94A2-4921-BEBA-859C2EE1B122}">
      <text>
        <r>
          <rPr>
            <b/>
            <sz val="8"/>
            <color indexed="81"/>
            <rFont val="Tahoma"/>
            <family val="2"/>
          </rPr>
          <t>Author:</t>
        </r>
        <r>
          <rPr>
            <sz val="8"/>
            <color indexed="81"/>
            <rFont val="Tahoma"/>
            <family val="2"/>
          </rPr>
          <t xml:space="preserve">
Company0931 Company0917-Filed with FDA. Recently had Panel 5/28 voted in favor for approval. Launch/approval minimal moderate propofol sedation during screening diagnostic procedures colorectal cancer, upper GI tract (EGD) cancer. 38mn min mod sedation proceedures annually (WW or US?). Gastroentereroly  16mn $750mn. Product0363 reduce overall cost to system, takes procedures out of hospital into outpatient. Don't need anesthesiologist licensed on site. People don't get screening because of assumption of pain associated becuase outpatient setting not appropriate treatment. 
Patients still awake. 
Control was midazolam+fentanyl or meparadine. replace gastroenterologist use lower potency drugs such as those, now can use higher potency propofol. do patients have discomfort with these lower potency drugs. GE still don't have CRNAs or anesthesiologists. 
Computer assisted device monitoring vital signs and then replicates anesthesiologist. PMA pivotal data, n=1000, area under curve for oxygen desaturation. 
Follow on indications in other settings potential follow setting  
data presented digestive disease week. 
pricing modest tailwind.
</t>
        </r>
      </text>
    </comment>
    <comment ref="BM1076" authorId="1" shapeId="0" xr:uid="{CC39E1F7-C7E8-4E8F-93E7-FBD542858BDD}">
      <text>
        <r>
          <rPr>
            <b/>
            <sz val="8"/>
            <color indexed="81"/>
            <rFont val="Tahoma"/>
            <family val="2"/>
          </rPr>
          <t>Author:</t>
        </r>
        <r>
          <rPr>
            <sz val="8"/>
            <color indexed="81"/>
            <rFont val="Tahoma"/>
            <family val="2"/>
          </rPr>
          <t xml:space="preserve">
Growth was negatively impacted by the divestiture of the breast care business. Excluding this impact worldwide sales grew approximately
5%.</t>
        </r>
      </text>
    </comment>
    <comment ref="B1078" authorId="8" shapeId="0" xr:uid="{7BEC4B7B-CA8C-406E-A47B-CD1F94C163A7}">
      <text>
        <r>
          <rPr>
            <b/>
            <sz val="9"/>
            <color indexed="81"/>
            <rFont val="Tahoma"/>
            <family val="2"/>
          </rPr>
          <t>Author:</t>
        </r>
        <r>
          <rPr>
            <sz val="9"/>
            <color indexed="81"/>
            <rFont val="Tahoma"/>
            <family val="2"/>
          </rPr>
          <t xml:space="preserve">
All sales related to the Product0103 business (previously included in Spine &amp; Other in Orthopaedics) were reclassified to
Interventional Solutions (previously referred to as Cardiovascular). </t>
        </r>
      </text>
    </comment>
    <comment ref="CJ1079" authorId="21" shapeId="0" xr:uid="{6FC03B71-ED10-4A43-965E-520A7CE010C1}">
      <text>
        <r>
          <rPr>
            <b/>
            <sz val="9"/>
            <color indexed="81"/>
            <rFont val="Tahoma"/>
            <family val="2"/>
          </rPr>
          <t>Author:</t>
        </r>
        <r>
          <rPr>
            <sz val="9"/>
            <color indexed="81"/>
            <rFont val="Tahoma"/>
            <family val="2"/>
          </rPr>
          <t xml:space="preserve">
10.5.15:  Company0695 divestiture closed, $780mn in 2014 revenue</t>
        </r>
      </text>
    </comment>
    <comment ref="CJ1080" authorId="21" shapeId="0" xr:uid="{10419B32-3A50-4FAD-9CD6-86102806CC18}">
      <text>
        <r>
          <rPr>
            <b/>
            <sz val="9"/>
            <color indexed="81"/>
            <rFont val="Tahoma"/>
            <family val="2"/>
          </rPr>
          <t>Author:</t>
        </r>
        <r>
          <rPr>
            <sz val="9"/>
            <color indexed="81"/>
            <rFont val="Tahoma"/>
            <family val="2"/>
          </rPr>
          <t xml:space="preserve">
10.5.15:  Company0695 divestiture closed, $780mn in 2014 revenue</t>
        </r>
      </text>
    </comment>
    <comment ref="B1090" authorId="8" shapeId="0" xr:uid="{6F7FB979-F141-4337-AD2B-A6D438422C76}">
      <text>
        <r>
          <rPr>
            <b/>
            <sz val="9"/>
            <color indexed="81"/>
            <rFont val="Tahoma"/>
            <family val="2"/>
          </rPr>
          <t>Author:</t>
        </r>
        <r>
          <rPr>
            <sz val="9"/>
            <color indexed="81"/>
            <rFont val="Tahoma"/>
            <family val="2"/>
          </rPr>
          <t xml:space="preserve">
All sales related to the Product0103 business (previously included in Spine &amp; Other in Orthopaedics) were reclassified to
Interventional Solutions (previously referred to as Cardiovascular). </t>
        </r>
      </text>
    </comment>
    <comment ref="CJ1091" authorId="21" shapeId="0" xr:uid="{0D256AAB-1DB9-4132-8A5E-BEE2E2655BF3}">
      <text>
        <r>
          <rPr>
            <b/>
            <sz val="9"/>
            <color indexed="81"/>
            <rFont val="Tahoma"/>
            <family val="2"/>
          </rPr>
          <t>Author:</t>
        </r>
        <r>
          <rPr>
            <sz val="9"/>
            <color indexed="81"/>
            <rFont val="Tahoma"/>
            <family val="2"/>
          </rPr>
          <t xml:space="preserve">
10.5.15:  Company0695 divestiture closed, $780mn in 2014 revenue</t>
        </r>
      </text>
    </comment>
    <comment ref="CJ1092" authorId="21" shapeId="0" xr:uid="{7DE8F554-488A-48A4-8927-463A7A47DE32}">
      <text>
        <r>
          <rPr>
            <b/>
            <sz val="9"/>
            <color indexed="81"/>
            <rFont val="Tahoma"/>
            <family val="2"/>
          </rPr>
          <t>Author:</t>
        </r>
        <r>
          <rPr>
            <sz val="9"/>
            <color indexed="81"/>
            <rFont val="Tahoma"/>
            <family val="2"/>
          </rPr>
          <t xml:space="preserve">
10.5.15:  Company0695 divestiture closed, $780mn in 2014 revenue</t>
        </r>
      </text>
    </comment>
    <comment ref="B1102" authorId="34" shapeId="0" xr:uid="{B5ECF8D8-AEBF-44CC-B9D9-3BDB73EBD64D}">
      <text>
        <r>
          <rPr>
            <b/>
            <sz val="9"/>
            <color indexed="81"/>
            <rFont val="Tahoma"/>
            <family val="2"/>
          </rPr>
          <t>Author:</t>
        </r>
        <r>
          <rPr>
            <sz val="9"/>
            <color indexed="81"/>
            <rFont val="Tahoma"/>
            <family val="2"/>
          </rPr>
          <t xml:space="preserve">
revenue beginning partial 4Q22</t>
        </r>
      </text>
    </comment>
    <comment ref="B1103" authorId="35" shapeId="0" xr:uid="{A9F5BDA9-E688-44B6-B845-EB049BD2E41F}">
      <text>
        <t>[Threaded comment]
Your version of Excel allows you to read this threaded comment; however, any edits to it will get removed if the file is opened in a newer version of Excel. Learn more: https://example.com/
Comment:
    US Product0198 + allocation of "service &amp; other"
Reply:
    Historical Company0188 figures for comparison purposes; not included in results until 4Q22, where recorded ~$31Mn in US Revenue</t>
      </text>
    </comment>
    <comment ref="B1104" authorId="36" shapeId="0" xr:uid="{68B7F178-6100-4926-96BC-D422609A31EA}">
      <text>
        <t xml:space="preserve">[Threaded comment]
Your version of Excel allows you to read this threaded comment; however, any edits to it will get removed if the file is opened in a newer version of Excel. Learn more: https://example.com/
Comment:
    Company1954 Product0198 + allocation of "service &amp; other"
Reply:
    Historical Company0188 figures for comparison purposes; not included in results until 4Q22, where recorded ~$31Mn in US Revenue
</t>
      </text>
    </comment>
    <comment ref="B1105" authorId="37" shapeId="0" xr:uid="{87BCDB74-21C9-4781-9D35-7E470F12472C}">
      <text>
        <t xml:space="preserve">[Threaded comment]
Your version of Excel allows you to read this threaded comment; however, any edits to it will get removed if the file is opened in a newer version of Excel. Learn more: https://example.com/
Comment:
    Historical Company0188 figures for comparison purposes; not included in results until 4Q22, where recorded ~$31Mn in US Revenue
</t>
      </text>
    </comment>
    <comment ref="DJ1115" authorId="38" shapeId="0" xr:uid="{52075C83-C7EA-4359-85B1-27EFCE731A12}">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K1115" authorId="39" shapeId="0" xr:uid="{DC0BE9FA-237A-44A3-B465-97F12F931DCF}">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L1115" authorId="40" shapeId="0" xr:uid="{06ADBD24-9E61-41A5-8193-573C9BC93ACE}">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M1115" authorId="41" shapeId="0" xr:uid="{3C40EF1F-7442-4524-B4B0-BADA93E9E544}">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N1115" authorId="42" shapeId="0" xr:uid="{EE823869-D180-4BD1-9F31-E9C37E3AF83A}">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O1115" authorId="43" shapeId="0" xr:uid="{4AE0E7F4-F273-4BE4-8F81-05171DA36EEC}">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P1115" authorId="44" shapeId="0" xr:uid="{69CF813A-6F2D-4377-9216-2C9033569515}">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Q1115" authorId="45" shapeId="0" xr:uid="{F9C4C53A-A9AF-4085-952C-5FD1D453D769}">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R1115" authorId="46" shapeId="0" xr:uid="{9C3404DD-8C29-4110-83B4-B0DB1FF69DAA}">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S1115" authorId="47" shapeId="0" xr:uid="{A1842C8D-C9B6-4077-AE12-D749A1B4B1E3}">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T1115" authorId="48" shapeId="0" xr:uid="{5AEE087F-689F-4662-B268-21FE2D5DD46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U1115" authorId="49" shapeId="0" xr:uid="{94061B1F-21A7-4BFD-B41D-EE99E7C2A65D}">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V1115" authorId="50" shapeId="0" xr:uid="{3A504A20-8876-46FA-9710-13B03B12763E}">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W1115" authorId="51" shapeId="0" xr:uid="{86B48491-AB01-4F7C-A7EF-AC01B25300DE}">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X1115" authorId="52" shapeId="0" xr:uid="{34DEDEBD-B3EF-4A3E-B5D2-C94981455498}">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Y1115" authorId="53" shapeId="0" xr:uid="{540641C0-8B9A-4F36-A2F6-DDBDE4437AB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Z1115" authorId="54" shapeId="0" xr:uid="{8C734A4D-C3EB-4571-A20E-459225B77951}">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EA1115" authorId="55" shapeId="0" xr:uid="{B0BDE00E-46CD-48E8-916B-0670E8C3DE9A}">
      <text>
        <t>[Threaded comment]
Your version of Excel allows you to read this threaded comment; however, any edits to it will get removed if the file is opened in a newer version of Excel. Learn more: https://example.com/
Comment:
    May 31, 2024 close</t>
      </text>
    </comment>
    <comment ref="EB1115" authorId="56" shapeId="0" xr:uid="{98ECE944-F8AC-4E9B-A830-58DB86C02861}">
      <text>
        <t>[Threaded comment]
Your version of Excel allows you to read this threaded comment; however, any edits to it will get removed if the file is opened in a newer version of Excel. Learn more: https://example.com/
Comment:
    May 31, 2024 close</t>
      </text>
    </comment>
    <comment ref="DJ1116" authorId="57" shapeId="0" xr:uid="{DA899639-32CB-4B73-BB30-BCE0B265C5CE}">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K1116" authorId="58" shapeId="0" xr:uid="{68D97223-738F-4F97-B2E6-16F4112AC831}">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L1116" authorId="59" shapeId="0" xr:uid="{BAD92192-55C3-4D9A-91BD-7CBE671D968B}">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M1116" authorId="60" shapeId="0" xr:uid="{ACCAF5EC-64FB-4CB5-A62B-AC4C207BBD5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N1116" authorId="61" shapeId="0" xr:uid="{0E604068-CCD1-4699-8AAF-FACFC1D29B3F}">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O1116" authorId="62" shapeId="0" xr:uid="{41E0F5A7-9D8A-4264-A42D-F532A85B9E9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P1116" authorId="63" shapeId="0" xr:uid="{855FA566-239F-4731-BEAC-11612A4A01F7}">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Q1116" authorId="64" shapeId="0" xr:uid="{73B4DA8A-A886-463F-8C92-64C7E2083CB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R1116" authorId="65" shapeId="0" xr:uid="{A83BCA0D-23CF-492B-B441-2950EE619D9F}">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S1116" authorId="66" shapeId="0" xr:uid="{01D90D8E-3E53-41EC-A44F-B502A2D13906}">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T1116" authorId="67" shapeId="0" xr:uid="{07FC10F0-0446-4B58-A774-0414B8C7835B}">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U1116" authorId="68" shapeId="0" xr:uid="{81D2F7AD-6F1E-4D4B-9D99-6CA8078E3002}">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V1116" authorId="69" shapeId="0" xr:uid="{2E760691-D292-4084-8EA1-460FE23D1E9D}">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W1116" authorId="70" shapeId="0" xr:uid="{BF7B214E-17E4-4B39-80F2-9D3B7481A91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X1116" authorId="71" shapeId="0" xr:uid="{38A38C09-9EA0-4A26-B843-0733E61CCF84}">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Y1116" authorId="72" shapeId="0" xr:uid="{4DA7BD6E-21B2-4159-9286-9C8BD0A23083}">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Z1116" authorId="73" shapeId="0" xr:uid="{49A54C3B-68A5-4B93-85EF-0C8B28089017}">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EA1116" authorId="74" shapeId="0" xr:uid="{765C4469-7AD8-450F-8091-707FF470D47F}">
      <text>
        <t>[Threaded comment]
Your version of Excel allows you to read this threaded comment; however, any edits to it will get removed if the file is opened in a newer version of Excel. Learn more: https://example.com/
Comment:
    May 31, 2024 close</t>
      </text>
    </comment>
    <comment ref="EB1116" authorId="75" shapeId="0" xr:uid="{D57315A8-C005-466E-AE12-DD9E709B271A}">
      <text>
        <t>[Threaded comment]
Your version of Excel allows you to read this threaded comment; however, any edits to it will get removed if the file is opened in a newer version of Excel. Learn more: https://example.com/
Comment:
    May 31, 2024 close</t>
      </text>
    </comment>
    <comment ref="DJ1117" authorId="76" shapeId="0" xr:uid="{210236E3-7024-444C-A68C-96DF4E52BA53}">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K1117" authorId="77" shapeId="0" xr:uid="{503883EC-F7CC-4165-A566-AD23C4A04E5D}">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L1117" authorId="78" shapeId="0" xr:uid="{C6F8FDE3-3BDC-4436-9AB0-5FB496673B1D}">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M1117" authorId="79" shapeId="0" xr:uid="{FC2039AF-EA08-4071-9F7D-7CCAFB4899C3}">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N1117" authorId="80" shapeId="0" xr:uid="{844D6D67-8F89-456F-8E8A-8A8AC061D6C2}">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O1117" authorId="81" shapeId="0" xr:uid="{1259748A-87EA-4A26-9946-31860BE2F986}">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P1117" authorId="82" shapeId="0" xr:uid="{70E8B8BE-4BBF-4F05-BA51-D003C8B8E605}">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Q1117" authorId="83" shapeId="0" xr:uid="{CA90F903-D8F3-4BCF-A829-2E635B90C8F1}">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R1117" authorId="84" shapeId="0" xr:uid="{A6A7015C-016D-4F94-B235-5C7199DD51D9}">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S1117" authorId="85" shapeId="0" xr:uid="{B97D07EC-5F92-4376-B9A3-AA774C5C85C0}">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T1117" authorId="86" shapeId="0" xr:uid="{65006D38-219C-4D1F-9A4B-6BD4937F3DF2}">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U1117" authorId="87" shapeId="0" xr:uid="{20D6ED08-23F6-445C-872D-B0B1BEF1AE1E}">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V1117" authorId="88" shapeId="0" xr:uid="{C8E35CEE-4A05-44CE-BC79-66A86B06B2AF}">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W1117" authorId="89" shapeId="0" xr:uid="{08D69DFC-3378-476A-BF3D-73B254C23FD8}">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X1117" authorId="90" shapeId="0" xr:uid="{1CEA35A2-DC6F-4F86-A40F-4A280AFDC171}">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Y1117" authorId="91" shapeId="0" xr:uid="{33D84220-E740-4744-8F9E-E41E89F328B9}">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DZ1117" authorId="92" shapeId="0" xr:uid="{436DD133-6C34-4289-A12E-5D29393BCDD3}">
      <text>
        <t>[Threaded comment]
Your version of Excel allows you to read this threaded comment; however, any edits to it will get removed if the file is opened in a newer version of Excel. Learn more: https://example.com/
Comment:
    Pre-acquisition close for modeling purposes</t>
      </text>
    </comment>
    <comment ref="EA1117" authorId="93" shapeId="0" xr:uid="{A4E7BCDB-A6B7-40F2-AAB3-E3B03E186DB7}">
      <text>
        <t>[Threaded comment]
Your version of Excel allows you to read this threaded comment; however, any edits to it will get removed if the file is opened in a newer version of Excel. Learn more: https://example.com/
Comment:
    May 31, 2024 close</t>
      </text>
    </comment>
    <comment ref="BI1140" authorId="16" shapeId="0" xr:uid="{1C3F3E09-F2C7-4D7A-81FF-CE206BEE59D0}">
      <text>
        <r>
          <rPr>
            <b/>
            <sz val="8"/>
            <color indexed="81"/>
            <rFont val="Tahoma"/>
            <family val="2"/>
          </rPr>
          <t>Author:</t>
        </r>
        <r>
          <rPr>
            <sz val="8"/>
            <color indexed="81"/>
            <rFont val="Tahoma"/>
            <family val="2"/>
          </rPr>
          <t xml:space="preserve">
given in conference call
</t>
        </r>
      </text>
    </comment>
    <comment ref="BJ1140" authorId="18" shapeId="0" xr:uid="{21F7ED6A-3BD1-421D-9F9D-A7FF24BED61A}">
      <text>
        <r>
          <rPr>
            <b/>
            <sz val="8"/>
            <color indexed="81"/>
            <rFont val="Tahoma"/>
            <family val="2"/>
          </rPr>
          <t>Author:</t>
        </r>
        <r>
          <rPr>
            <sz val="8"/>
            <color indexed="81"/>
            <rFont val="Tahoma"/>
            <family val="2"/>
          </rPr>
          <t xml:space="preserve">
provided on conf call</t>
        </r>
      </text>
    </comment>
    <comment ref="BK1140" authorId="18" shapeId="0" xr:uid="{1915B130-E85A-4683-B670-E4B995D4D1FD}">
      <text>
        <r>
          <rPr>
            <b/>
            <sz val="8"/>
            <color indexed="81"/>
            <rFont val="Tahoma"/>
            <family val="2"/>
          </rPr>
          <t>Author:</t>
        </r>
        <r>
          <rPr>
            <sz val="8"/>
            <color indexed="81"/>
            <rFont val="Tahoma"/>
            <family val="2"/>
          </rPr>
          <t xml:space="preserve">
provided on conf call</t>
        </r>
      </text>
    </comment>
    <comment ref="BL1140" authorId="1" shapeId="0" xr:uid="{7364C251-C16B-43F1-97AA-B56DCF5128A8}">
      <text>
        <r>
          <rPr>
            <b/>
            <sz val="8"/>
            <color indexed="81"/>
            <rFont val="Tahoma"/>
            <family val="2"/>
          </rPr>
          <t>Author:</t>
        </r>
        <r>
          <rPr>
            <sz val="8"/>
            <color indexed="81"/>
            <rFont val="Tahoma"/>
            <family val="2"/>
          </rPr>
          <t xml:space="preserve">
1.26.11  Impacted by lower sales of CYPHER, our Product0374 stent,
partially offset by the strong growth in Company0394 Company2991 business
</t>
        </r>
      </text>
    </comment>
    <comment ref="BM1140" authorId="24" shapeId="0" xr:uid="{E51B2B9E-102E-46AC-9D8F-3EF8D0ACFFFA}">
      <text>
        <r>
          <rPr>
            <b/>
            <sz val="8"/>
            <color indexed="81"/>
            <rFont val="Tahoma"/>
            <family val="2"/>
          </rPr>
          <t>Author:</t>
        </r>
        <r>
          <rPr>
            <sz val="8"/>
            <color indexed="81"/>
            <rFont val="Tahoma"/>
            <family val="2"/>
          </rPr>
          <t xml:space="preserve">
down 41% op
</t>
        </r>
      </text>
    </comment>
    <comment ref="BI1141" authorId="16" shapeId="0" xr:uid="{6B331D72-B591-46D2-848B-7A06B902B7D7}">
      <text>
        <r>
          <rPr>
            <b/>
            <sz val="8"/>
            <color indexed="81"/>
            <rFont val="Tahoma"/>
            <family val="2"/>
          </rPr>
          <t>Author:</t>
        </r>
        <r>
          <rPr>
            <sz val="8"/>
            <color indexed="81"/>
            <rFont val="Tahoma"/>
            <family val="2"/>
          </rPr>
          <t xml:space="preserve">
given in conference call
</t>
        </r>
      </text>
    </comment>
    <comment ref="BJ1141" authorId="18" shapeId="0" xr:uid="{7B545BDC-08EB-4828-8EBD-5F7F2F19BD9F}">
      <text>
        <r>
          <rPr>
            <b/>
            <sz val="8"/>
            <color indexed="81"/>
            <rFont val="Tahoma"/>
            <family val="2"/>
          </rPr>
          <t>Author:</t>
        </r>
        <r>
          <rPr>
            <sz val="8"/>
            <color indexed="81"/>
            <rFont val="Tahoma"/>
            <family val="2"/>
          </rPr>
          <t xml:space="preserve">
provided on conf call</t>
        </r>
      </text>
    </comment>
    <comment ref="BK1141" authorId="18" shapeId="0" xr:uid="{2ABC80BF-377B-4929-A69D-4346ED5D7D6F}">
      <text>
        <r>
          <rPr>
            <b/>
            <sz val="8"/>
            <color indexed="81"/>
            <rFont val="Tahoma"/>
            <family val="2"/>
          </rPr>
          <t>Author:</t>
        </r>
        <r>
          <rPr>
            <sz val="8"/>
            <color indexed="81"/>
            <rFont val="Tahoma"/>
            <family val="2"/>
          </rPr>
          <t xml:space="preserve">
provided on conf call</t>
        </r>
      </text>
    </comment>
    <comment ref="BM1141" authorId="24" shapeId="0" xr:uid="{E0C4CABA-BAB3-4531-AD71-E10438ADC3ED}">
      <text>
        <r>
          <rPr>
            <b/>
            <sz val="8"/>
            <color indexed="81"/>
            <rFont val="Tahoma"/>
            <family val="2"/>
          </rPr>
          <t>Author:</t>
        </r>
        <r>
          <rPr>
            <sz val="8"/>
            <color indexed="81"/>
            <rFont val="Tahoma"/>
            <family val="2"/>
          </rPr>
          <t xml:space="preserve">
down 41% op
</t>
        </r>
      </text>
    </comment>
    <comment ref="BE1142" authorId="22" shapeId="0" xr:uid="{95667AE7-AE1B-4708-8413-08F3822CDEF2}">
      <text>
        <r>
          <rPr>
            <b/>
            <sz val="8"/>
            <color indexed="81"/>
            <rFont val="Tahoma"/>
            <family val="2"/>
          </rPr>
          <t>Author:</t>
        </r>
        <r>
          <rPr>
            <sz val="8"/>
            <color indexed="81"/>
            <rFont val="Tahoma"/>
            <family val="2"/>
          </rPr>
          <t xml:space="preserve">
210M according to call</t>
        </r>
      </text>
    </comment>
    <comment ref="BJ1142" authorId="17" shapeId="0" xr:uid="{C937CB2E-DC46-4620-A477-CD8EA008BF1D}">
      <text>
        <r>
          <rPr>
            <b/>
            <sz val="8"/>
            <color indexed="81"/>
            <rFont val="Tahoma"/>
            <family val="2"/>
          </rPr>
          <t>Author:</t>
        </r>
        <r>
          <rPr>
            <sz val="8"/>
            <color indexed="81"/>
            <rFont val="Tahoma"/>
            <family val="2"/>
          </rPr>
          <t xml:space="preserve">
Down six points from 3Q 2009</t>
        </r>
      </text>
    </comment>
    <comment ref="BN1142" authorId="1" shapeId="0" xr:uid="{7F99CCD7-B819-431D-8E3B-33E9239896CF}">
      <text>
        <r>
          <rPr>
            <b/>
            <sz val="8"/>
            <color indexed="81"/>
            <rFont val="Tahoma"/>
            <family val="2"/>
          </rPr>
          <t>Author:</t>
        </r>
        <r>
          <rPr>
            <sz val="8"/>
            <color indexed="81"/>
            <rFont val="Tahoma"/>
            <family val="2"/>
          </rPr>
          <t xml:space="preserve">
Approx $65mn in cypher sales</t>
        </r>
      </text>
    </comment>
    <comment ref="B1150" authorId="0" shapeId="0" xr:uid="{7E42F223-0A82-4920-BD60-0CDF4837A3FB}">
      <text>
        <r>
          <rPr>
            <b/>
            <sz val="8"/>
            <color indexed="81"/>
            <rFont val="Tahoma"/>
            <family val="2"/>
          </rPr>
          <t>Author:</t>
        </r>
        <r>
          <rPr>
            <sz val="8"/>
            <color indexed="81"/>
            <rFont val="Tahoma"/>
            <family val="2"/>
          </rPr>
          <t xml:space="preserve">
acquired via Person0249.
Haven't submitted pivotal to EU for submission yet. Probably take out of 3Q. Do you need a full year before submitting. Still expecting submission for CE Mark 2009 EU data called Product0255 I (results from 6 months presented May, started enrolling October 2008, 6 month results April looks like right up against wire to get approved in 2009., US 2011 clinical trials commenced Product0255  , Japan clinical trials filing TBD.   
Product0255 II global trial results part of PMA US 
Product0255 III US/Canada pivotal trial for PMA (primary endpoint TLF at 12-months) 
Product0255 II primary endpoint TLF at 12-months. 
Product0255 II Product0255 Product0473 
Product0255 III compared to Cypher stent control arm. Non-randomized single arm trial. not head to head. Dual anti-platelett therapy. 
Have had discussion with FDA. </t>
        </r>
      </text>
    </comment>
    <comment ref="BJ1150" authorId="22" shapeId="0" xr:uid="{9CD33A68-F220-4AE3-800B-EF738136E848}">
      <text>
        <r>
          <rPr>
            <b/>
            <sz val="8"/>
            <color indexed="81"/>
            <rFont val="Tahoma"/>
            <family val="2"/>
          </rPr>
          <t>Author:</t>
        </r>
        <r>
          <rPr>
            <sz val="8"/>
            <color indexed="81"/>
            <rFont val="Tahoma"/>
            <family val="2"/>
          </rPr>
          <t xml:space="preserve">
</t>
        </r>
        <r>
          <rPr>
            <b/>
            <sz val="8"/>
            <color indexed="81"/>
            <rFont val="Tahoma"/>
            <family val="2"/>
          </rPr>
          <t>10.19.2010:</t>
        </r>
        <r>
          <rPr>
            <sz val="8"/>
            <color indexed="81"/>
            <rFont val="Tahoma"/>
            <family val="2"/>
          </rPr>
          <t xml:space="preserve"> Company1390 announces that it is suspending enrollment for Product0255 2 to improve the balloon catheter. Product0255 2 began limited patient enrollment in Aug, and will be restarted once improvements are made.
Submitted to EU at end of 1Q on RES-1 trial. Company1390 will not launch in any market prior to start of Product0255 2 (12 mo trial). 
US submisson requires data from Product0255 2</t>
        </r>
      </text>
    </comment>
    <comment ref="BN1152" authorId="22" shapeId="0" xr:uid="{5F28C99E-B9B9-410B-99DB-27A5C4FFB52F}">
      <text>
        <r>
          <rPr>
            <b/>
            <sz val="8"/>
            <color indexed="81"/>
            <rFont val="Tahoma"/>
            <family val="2"/>
          </rPr>
          <t>Author:</t>
        </r>
        <r>
          <rPr>
            <sz val="8"/>
            <color indexed="81"/>
            <rFont val="Tahoma"/>
            <family val="2"/>
          </rPr>
          <t xml:space="preserve">
Assume it takes 6 mo (Nov-Apr) to finalize balloon catheter and restart Product0255 2</t>
        </r>
      </text>
    </comment>
    <comment ref="B1161" authorId="0" shapeId="0" xr:uid="{E9FF9570-88C2-4D1D-AA1C-94254EF2CF04}">
      <text>
        <r>
          <rPr>
            <b/>
            <sz val="8"/>
            <color indexed="81"/>
            <rFont val="Tahoma"/>
            <family val="2"/>
          </rPr>
          <t>Author:</t>
        </r>
        <r>
          <rPr>
            <sz val="8"/>
            <color indexed="81"/>
            <rFont val="Tahoma"/>
            <family val="2"/>
          </rPr>
          <t xml:space="preserve">
AF affects 2.2 mn people in US 10mm WW(76K treated with ablation as of June 2008 md&amp;d analyst day). Antiarrhythmic drug therapy is currently the first-line option, 35% experience recurrent/persistent AF despite best anti-arrythmic drug (AAD) therapy, and &gt;30% patients discontinue drugs b/Author34 adverse reactions. Data shows equivalence in rhythm&amp;rate control b/w ablation and drug therapy, but 25-35% who are rate controlled with drug therapy continue to have activity limiting symptoms.
- </t>
        </r>
        <r>
          <rPr>
            <b/>
            <sz val="8"/>
            <color indexed="81"/>
            <rFont val="Tahoma"/>
            <family val="2"/>
          </rPr>
          <t>KOLs</t>
        </r>
        <r>
          <rPr>
            <sz val="8"/>
            <color indexed="81"/>
            <rFont val="Tahoma"/>
            <family val="2"/>
          </rPr>
          <t xml:space="preserve"> include Person0447 and Person1229. 
-Company1390 sponsoring </t>
        </r>
        <r>
          <rPr>
            <b/>
            <sz val="8"/>
            <color indexed="81"/>
            <rFont val="Tahoma"/>
            <family val="2"/>
          </rPr>
          <t xml:space="preserve">RAAFT study (n=400) </t>
        </r>
        <r>
          <rPr>
            <sz val="8"/>
            <color indexed="81"/>
            <rFont val="Tahoma"/>
            <family val="2"/>
          </rPr>
          <t xml:space="preserve"> (per FDA study completion expected 12/2009).  </t>
        </r>
        <r>
          <rPr>
            <u/>
            <sz val="8"/>
            <color indexed="81"/>
            <rFont val="Tahoma"/>
            <family val="2"/>
          </rPr>
          <t>The purpose</t>
        </r>
        <r>
          <rPr>
            <sz val="8"/>
            <color indexed="81"/>
            <rFont val="Tahoma"/>
            <family val="2"/>
          </rPr>
          <t xml:space="preserve"> of this study is to determine whether catheter-based pulmonary vein isolation is superior to antiarrhythmic drugs as first line therapy in patients with symptomatic paroxysmal recurrent atrial fibrillation not previously treated with therapeutic doses of antiarrhythmic drugs.(Pulmonary vein antrum isolation: Research has shown that almost all atrial fibrillation signals come from the four pulmonary veins. ) </t>
        </r>
        <r>
          <rPr>
            <u/>
            <sz val="8"/>
            <color indexed="81"/>
            <rFont val="Tahoma"/>
            <family val="2"/>
          </rPr>
          <t>Primary efficacy</t>
        </r>
        <r>
          <rPr>
            <sz val="8"/>
            <color indexed="81"/>
            <rFont val="Tahoma"/>
            <family val="2"/>
          </rPr>
          <t>=Time to first recurrence of electrocardiographically documented symptomatic atrial fibrillation lasting &gt;30 seconds during Follow-up Period.</t>
        </r>
        <r>
          <rPr>
            <u/>
            <sz val="8"/>
            <color indexed="81"/>
            <rFont val="Tahoma"/>
            <family val="2"/>
          </rPr>
          <t>Primary Safety:</t>
        </r>
        <r>
          <rPr>
            <sz val="8"/>
            <color indexed="81"/>
            <rFont val="Tahoma"/>
            <family val="2"/>
          </rPr>
          <t xml:space="preserve"> Ablation Arm: Severe (&gt;70%) PV stenosis at 3 and 12 month follow-up. Thromboembolic event with residual sequelae, TIA, pericarditis, myocardial infarction, diaphragmatic paralysis, procedural complication requiring intervention and death.</t>
        </r>
        <r>
          <rPr>
            <u/>
            <sz val="8"/>
            <color indexed="81"/>
            <rFont val="Tahoma"/>
            <family val="2"/>
          </rPr>
          <t>Primary Safety</t>
        </r>
        <r>
          <rPr>
            <sz val="8"/>
            <color indexed="81"/>
            <rFont val="Tahoma"/>
            <family val="2"/>
          </rPr>
          <t xml:space="preserve">: AAD Arm: Torsade de Pointes, syncope, bradycardia requiring pacemaker, other pro-arrhythmic events, any other significant adverse events leading to drug discontinuation. Bleeding complications associated with OAC therapy.
Afib ablation WW 76K procedures, 20mn patients mostly over 65 WW suffer from AF, US $280mn annually, 900 Eps who perform AF ablation. EP market expect $3bn 2012. major players Ticker0018, Company2492. 
First approved Atrial Fibrillation US. Other ablation catheters approved atrial flutter ventricular tacchyarrhimal.  
</t>
        </r>
      </text>
    </comment>
    <comment ref="BC1162" authorId="0" shapeId="0" xr:uid="{A376F01F-6677-49A2-9902-9CBC4633E009}">
      <text>
        <r>
          <rPr>
            <b/>
            <sz val="8"/>
            <color indexed="81"/>
            <rFont val="Tahoma"/>
            <family val="2"/>
          </rPr>
          <t>Author:</t>
        </r>
        <r>
          <rPr>
            <sz val="8"/>
            <color indexed="81"/>
            <rFont val="Tahoma"/>
            <family val="2"/>
          </rPr>
          <t xml:space="preserve">
45%</t>
        </r>
      </text>
    </comment>
    <comment ref="BD1162" authorId="0" shapeId="0" xr:uid="{12906C47-7BE8-4A13-8E70-75FE826DBB91}">
      <text>
        <r>
          <rPr>
            <b/>
            <sz val="8"/>
            <color indexed="81"/>
            <rFont val="Tahoma"/>
            <family val="2"/>
          </rPr>
          <t>Author:</t>
        </r>
        <r>
          <rPr>
            <sz val="8"/>
            <color indexed="81"/>
            <rFont val="Tahoma"/>
            <family val="2"/>
          </rPr>
          <t xml:space="preserve">
45%
little low 69</t>
        </r>
      </text>
    </comment>
    <comment ref="BM1162" authorId="24" shapeId="0" xr:uid="{9BEE05AE-3B97-4474-9CF5-3C022EED6E54}">
      <text>
        <r>
          <rPr>
            <b/>
            <sz val="8"/>
            <color indexed="81"/>
            <rFont val="Tahoma"/>
            <family val="2"/>
          </rPr>
          <t>Author:</t>
        </r>
        <r>
          <rPr>
            <sz val="8"/>
            <color indexed="81"/>
            <rFont val="Tahoma"/>
            <family val="2"/>
          </rPr>
          <t xml:space="preserve">
up 18%</t>
        </r>
      </text>
    </comment>
    <comment ref="BM1163" authorId="24" shapeId="0" xr:uid="{D06BE40C-7C3F-4066-BB6C-CBF10FA18EDC}">
      <text>
        <r>
          <rPr>
            <b/>
            <sz val="8"/>
            <color indexed="81"/>
            <rFont val="Tahoma"/>
            <family val="2"/>
          </rPr>
          <t>Author:</t>
        </r>
        <r>
          <rPr>
            <sz val="8"/>
            <color indexed="81"/>
            <rFont val="Tahoma"/>
            <family val="2"/>
          </rPr>
          <t xml:space="preserve">
up 18%</t>
        </r>
      </text>
    </comment>
    <comment ref="BO1164" authorId="24" shapeId="0" xr:uid="{1D372A8B-D26A-4E8D-9FC6-E6D41D3686D9}">
      <text>
        <r>
          <rPr>
            <b/>
            <sz val="8"/>
            <color indexed="81"/>
            <rFont val="Tahoma"/>
            <family val="2"/>
          </rPr>
          <t>Author:</t>
        </r>
        <r>
          <rPr>
            <sz val="8"/>
            <color indexed="81"/>
            <rFont val="Tahoma"/>
            <family val="2"/>
          </rPr>
          <t xml:space="preserve">
up 12% op</t>
        </r>
      </text>
    </comment>
    <comment ref="BP1164" authorId="24" shapeId="0" xr:uid="{32C78130-D3C4-45D1-8E73-E635846CB186}">
      <text>
        <r>
          <rPr>
            <b/>
            <sz val="8"/>
            <color indexed="81"/>
            <rFont val="Tahoma"/>
            <family val="2"/>
          </rPr>
          <t>Author:</t>
        </r>
        <r>
          <rPr>
            <sz val="8"/>
            <color indexed="81"/>
            <rFont val="Tahoma"/>
            <family val="2"/>
          </rPr>
          <t xml:space="preserve">
up 11% impact
on disposables utilization due to the breadth of the installed base of Product0083 3 complemented by new launches
made strong contributions to the results.</t>
        </r>
      </text>
    </comment>
    <comment ref="BC1167" authorId="0" shapeId="0" xr:uid="{40AB1458-677A-40F3-B237-612AAA447159}">
      <text>
        <r>
          <rPr>
            <b/>
            <sz val="8"/>
            <color indexed="81"/>
            <rFont val="Tahoma"/>
            <family val="2"/>
          </rPr>
          <t>Author:</t>
        </r>
        <r>
          <rPr>
            <sz val="8"/>
            <color indexed="81"/>
            <rFont val="Tahoma"/>
            <family val="2"/>
          </rPr>
          <t xml:space="preserve">
17%</t>
        </r>
      </text>
    </comment>
    <comment ref="BD1167" authorId="0" shapeId="0" xr:uid="{382C75A9-7804-46DD-8F95-A62161FB82EF}">
      <text>
        <r>
          <rPr>
            <b/>
            <sz val="8"/>
            <color indexed="81"/>
            <rFont val="Tahoma"/>
            <family val="2"/>
          </rPr>
          <t>Author:</t>
        </r>
        <r>
          <rPr>
            <sz val="8"/>
            <color indexed="81"/>
            <rFont val="Tahoma"/>
            <family val="2"/>
          </rPr>
          <t xml:space="preserve">
9%</t>
        </r>
      </text>
    </comment>
    <comment ref="BH1167" authorId="0" shapeId="0" xr:uid="{1C49CB37-128D-4A9A-972C-97A747F7B659}">
      <text>
        <r>
          <rPr>
            <b/>
            <sz val="8"/>
            <color indexed="81"/>
            <rFont val="Tahoma"/>
            <family val="2"/>
          </rPr>
          <t>Author:</t>
        </r>
        <r>
          <rPr>
            <sz val="8"/>
            <color indexed="81"/>
            <rFont val="Tahoma"/>
            <family val="2"/>
          </rPr>
          <t xml:space="preserve">
US recovering </t>
        </r>
      </text>
    </comment>
    <comment ref="BC1168" authorId="0" shapeId="0" xr:uid="{DCC526C1-AA33-47B2-90CB-451A941CAB25}">
      <text>
        <r>
          <rPr>
            <b/>
            <sz val="8"/>
            <color indexed="81"/>
            <rFont val="Tahoma"/>
            <family val="2"/>
          </rPr>
          <t>Author:</t>
        </r>
        <r>
          <rPr>
            <sz val="8"/>
            <color indexed="81"/>
            <rFont val="Tahoma"/>
            <family val="2"/>
          </rPr>
          <t xml:space="preserve">
4%</t>
        </r>
      </text>
    </comment>
    <comment ref="BD1168" authorId="0" shapeId="0" xr:uid="{98CA074F-775D-4102-B797-3DC14FC8EA92}">
      <text>
        <r>
          <rPr>
            <b/>
            <sz val="8"/>
            <color indexed="81"/>
            <rFont val="Tahoma"/>
            <family val="2"/>
          </rPr>
          <t>Author:</t>
        </r>
        <r>
          <rPr>
            <sz val="8"/>
            <color indexed="81"/>
            <rFont val="Tahoma"/>
            <family val="2"/>
          </rPr>
          <t xml:space="preserve">
3%</t>
        </r>
      </text>
    </comment>
    <comment ref="BC1169" authorId="0" shapeId="0" xr:uid="{570F01BF-432F-4178-B3F1-CA62FF407378}">
      <text>
        <r>
          <rPr>
            <b/>
            <sz val="8"/>
            <color indexed="81"/>
            <rFont val="Tahoma"/>
            <family val="2"/>
          </rPr>
          <t>Author:</t>
        </r>
        <r>
          <rPr>
            <sz val="8"/>
            <color indexed="81"/>
            <rFont val="Tahoma"/>
            <family val="2"/>
          </rPr>
          <t xml:space="preserve">
14%</t>
        </r>
      </text>
    </comment>
    <comment ref="BD1169" authorId="0" shapeId="0" xr:uid="{0CC6822F-48A4-4F0C-8F8F-EBEEABCD02C1}">
      <text>
        <r>
          <rPr>
            <b/>
            <sz val="8"/>
            <color indexed="81"/>
            <rFont val="Tahoma"/>
            <family val="2"/>
          </rPr>
          <t>Author:</t>
        </r>
        <r>
          <rPr>
            <sz val="8"/>
            <color indexed="81"/>
            <rFont val="Tahoma"/>
            <family val="2"/>
          </rPr>
          <t xml:space="preserve">
13%</t>
        </r>
      </text>
    </comment>
    <comment ref="BE1169" authorId="0" shapeId="0" xr:uid="{6C418C21-35F7-4C00-88D7-D0141D2DE331}">
      <text>
        <r>
          <rPr>
            <b/>
            <sz val="8"/>
            <color indexed="81"/>
            <rFont val="Tahoma"/>
            <family val="2"/>
          </rPr>
          <t>Author:</t>
        </r>
        <r>
          <rPr>
            <sz val="8"/>
            <color indexed="81"/>
            <rFont val="Tahoma"/>
            <family val="2"/>
          </rPr>
          <t xml:space="preserve">
13%</t>
        </r>
      </text>
    </comment>
    <comment ref="BH1170" authorId="0" shapeId="0" xr:uid="{51EFAF6F-CD52-4944-90FA-A58C7B10DC4F}">
      <text>
        <r>
          <rPr>
            <b/>
            <sz val="8"/>
            <color indexed="81"/>
            <rFont val="Tahoma"/>
            <family val="2"/>
          </rPr>
          <t>Author:</t>
        </r>
        <r>
          <rPr>
            <sz val="8"/>
            <color indexed="81"/>
            <rFont val="Tahoma"/>
            <family val="2"/>
          </rPr>
          <t xml:space="preserve">
WW high-teens growth reported. CC</t>
        </r>
      </text>
    </comment>
    <comment ref="BI1170" authorId="0" shapeId="0" xr:uid="{8473AB76-DD7A-449A-8AC2-DDAF24DD6F68}">
      <text>
        <r>
          <rPr>
            <b/>
            <sz val="8"/>
            <color indexed="81"/>
            <rFont val="Tahoma"/>
            <family val="2"/>
          </rPr>
          <t>Author:</t>
        </r>
        <r>
          <rPr>
            <sz val="8"/>
            <color indexed="81"/>
            <rFont val="Tahoma"/>
            <family val="2"/>
          </rPr>
          <t xml:space="preserve">
20%</t>
        </r>
      </text>
    </comment>
    <comment ref="BJ1170" authorId="17" shapeId="0" xr:uid="{5C7A3BA3-6E93-4E8F-A2BC-65C12BD639E2}">
      <text>
        <r>
          <rPr>
            <b/>
            <sz val="8"/>
            <color indexed="81"/>
            <rFont val="Tahoma"/>
            <family val="2"/>
          </rPr>
          <t>Author:</t>
        </r>
        <r>
          <rPr>
            <sz val="8"/>
            <color indexed="81"/>
            <rFont val="Tahoma"/>
            <family val="2"/>
          </rPr>
          <t xml:space="preserve">
DD op growth  in the qtr due to inc. mkt share</t>
        </r>
      </text>
    </comment>
    <comment ref="BK1170" authorId="1" shapeId="0" xr:uid="{C661C73B-51B7-483A-8745-74C15618B407}">
      <text>
        <r>
          <rPr>
            <b/>
            <sz val="8"/>
            <color indexed="81"/>
            <rFont val="Tahoma"/>
            <family val="2"/>
          </rPr>
          <t>Author:</t>
        </r>
        <r>
          <rPr>
            <sz val="8"/>
            <color indexed="81"/>
            <rFont val="Tahoma"/>
            <family val="2"/>
          </rPr>
          <t xml:space="preserve">
1.26.11 
achieved strong double-digit operational growth in the quarter due to
increased market share.
</t>
        </r>
      </text>
    </comment>
    <comment ref="BR1170" authorId="22" shapeId="0" xr:uid="{3C97B8C9-BA51-40C0-A5E0-66E515FFFA30}">
      <text>
        <r>
          <rPr>
            <b/>
            <sz val="8"/>
            <color indexed="81"/>
            <rFont val="Tahoma"/>
            <family val="2"/>
          </rPr>
          <t>Author:</t>
        </r>
        <r>
          <rPr>
            <sz val="8"/>
            <color indexed="81"/>
            <rFont val="Tahoma"/>
            <family val="2"/>
          </rPr>
          <t xml:space="preserve">
operational sales of 12%</t>
        </r>
      </text>
    </comment>
    <comment ref="B1172" authorId="28" shapeId="0" xr:uid="{10659501-D239-4128-B7AE-0401B1AAF925}">
      <text>
        <r>
          <rPr>
            <b/>
            <sz val="8"/>
            <color indexed="81"/>
            <rFont val="Tahoma"/>
            <family val="2"/>
          </rPr>
          <t>Author:</t>
        </r>
        <r>
          <rPr>
            <sz val="8"/>
            <color indexed="81"/>
            <rFont val="Tahoma"/>
            <family val="2"/>
          </rPr>
          <t xml:space="preserve">
Check if Endovascular or Neurovascular</t>
        </r>
      </text>
    </comment>
    <comment ref="BH1185" authorId="94" shapeId="0" xr:uid="{764B722D-1523-4E0A-BD09-97C36D521D9B}">
      <text>
        <r>
          <rPr>
            <b/>
            <sz val="8"/>
            <color indexed="81"/>
            <rFont val="Tahoma"/>
            <family val="2"/>
          </rPr>
          <t>Author:</t>
        </r>
        <r>
          <rPr>
            <sz val="8"/>
            <color indexed="81"/>
            <rFont val="Tahoma"/>
            <family val="2"/>
          </rPr>
          <t xml:space="preserve">
Increased by 20</t>
        </r>
      </text>
    </comment>
    <comment ref="B1193" authorId="0" shapeId="0" xr:uid="{609504BA-B497-473A-9702-22061C917936}">
      <text>
        <r>
          <rPr>
            <b/>
            <sz val="8"/>
            <color indexed="81"/>
            <rFont val="Tahoma"/>
            <family val="2"/>
          </rPr>
          <t>Author:</t>
        </r>
        <r>
          <rPr>
            <sz val="8"/>
            <color indexed="81"/>
            <rFont val="Tahoma"/>
            <family val="2"/>
          </rPr>
          <t xml:space="preserve">
acquired Company0795
1998
not strong signal between any of them, but they all generally follow the same pattern</t>
        </r>
      </text>
    </comment>
    <comment ref="AY1194" authorId="0" shapeId="0" xr:uid="{7EBFC725-E5F9-4758-9C82-87ABC84D5071}">
      <text>
        <r>
          <rPr>
            <b/>
            <sz val="8"/>
            <color indexed="81"/>
            <rFont val="Tahoma"/>
            <family val="2"/>
          </rPr>
          <t>Author:</t>
        </r>
        <r>
          <rPr>
            <sz val="8"/>
            <color indexed="81"/>
            <rFont val="Tahoma"/>
            <family val="2"/>
          </rPr>
          <t xml:space="preserve">
New products (COMPANY0150 hip) at Company0003 launch should benefit 2Q </t>
        </r>
      </text>
    </comment>
    <comment ref="BC1194" authorId="0" shapeId="0" xr:uid="{529CB0AC-1B55-4995-871F-0F5BFA0E6D6D}">
      <text>
        <r>
          <rPr>
            <b/>
            <sz val="8"/>
            <color indexed="81"/>
            <rFont val="Tahoma"/>
            <family val="2"/>
          </rPr>
          <t>Author:</t>
        </r>
        <r>
          <rPr>
            <sz val="8"/>
            <color indexed="81"/>
            <rFont val="Tahoma"/>
            <family val="2"/>
          </rPr>
          <t xml:space="preserve">
New products (COMPANY0150 hip) at Company0003 launch should benefit 2Q </t>
        </r>
      </text>
    </comment>
    <comment ref="BD1194" authorId="0" shapeId="0" xr:uid="{E4DF344E-1513-4016-BAFF-D7106EB8BF74}">
      <text>
        <r>
          <rPr>
            <b/>
            <sz val="8"/>
            <color indexed="81"/>
            <rFont val="Tahoma"/>
            <family val="2"/>
          </rPr>
          <t>Author:</t>
        </r>
        <r>
          <rPr>
            <sz val="8"/>
            <color indexed="81"/>
            <rFont val="Tahoma"/>
            <family val="2"/>
          </rPr>
          <t xml:space="preserve">
New products (COMPANY0150 hip) at Company0003 launch should benefit 2Q </t>
        </r>
      </text>
    </comment>
    <comment ref="BN1201" authorId="1" shapeId="0" xr:uid="{A2651655-78B3-444B-8980-E81E33D7CFB1}">
      <text>
        <r>
          <rPr>
            <b/>
            <sz val="8"/>
            <color indexed="81"/>
            <rFont val="Tahoma"/>
            <family val="2"/>
          </rPr>
          <t>Author:</t>
        </r>
        <r>
          <rPr>
            <sz val="8"/>
            <color indexed="81"/>
            <rFont val="Tahoma"/>
            <family val="2"/>
          </rPr>
          <t xml:space="preserve">
Operational y/y</t>
        </r>
      </text>
    </comment>
    <comment ref="BM1202" authorId="1" shapeId="0" xr:uid="{E917694F-E9F8-442B-A1CD-6640496A9FF1}">
      <text>
        <r>
          <rPr>
            <b/>
            <sz val="8"/>
            <color indexed="81"/>
            <rFont val="Tahoma"/>
            <family val="2"/>
          </rPr>
          <t>Author:</t>
        </r>
        <r>
          <rPr>
            <sz val="8"/>
            <color indexed="81"/>
            <rFont val="Tahoma"/>
            <family val="2"/>
          </rPr>
          <t xml:space="preserve">
Company0795 franchise had operational growth of 1.7%. US down 0.4% and business ex-US growing by 4.2% operationally
Low single-digit
pressure on pricing continued as a result of the economic trends, with positive mix mitigating some of the impact.
Incremental
sales from the acquisition of Company1815 contributed to the growth in the quarter.
Rate of growth was negatively impacted by
very strong results in the first-quarter last year,</t>
        </r>
      </text>
    </comment>
    <comment ref="B1205" authorId="0" shapeId="0" xr:uid="{20C116DB-830E-42E3-9E5E-DBA73BE29FE9}">
      <text>
        <r>
          <rPr>
            <b/>
            <sz val="8"/>
            <color indexed="81"/>
            <rFont val="Tahoma"/>
            <family val="2"/>
          </rPr>
          <t>Author:</t>
        </r>
        <r>
          <rPr>
            <sz val="8"/>
            <color indexed="81"/>
            <rFont val="Tahoma"/>
            <family val="2"/>
          </rPr>
          <t xml:space="preserve">
COMPANY0150 hip resurfacing-not yet been launched. COMPANY0150 XL bearing has been launched not the hip resurf yet. No approval launch yet, PMA submitted 3Q 2007. 
Complete Pinnacle ceramic on metal hip. Advisory panel to review PMA. Most advanced cup system, and addition of ceramic on metal articulation. </t>
        </r>
      </text>
    </comment>
    <comment ref="AZ1206" authorId="0" shapeId="0" xr:uid="{611D0674-C5FF-40C5-B601-770F6A204435}">
      <text>
        <r>
          <rPr>
            <b/>
            <sz val="8"/>
            <color indexed="81"/>
            <rFont val="Tahoma"/>
            <family val="2"/>
          </rPr>
          <t>Author:</t>
        </r>
        <r>
          <rPr>
            <sz val="8"/>
            <color indexed="81"/>
            <rFont val="Tahoma"/>
            <family val="2"/>
          </rPr>
          <t xml:space="preserve">
55%</t>
        </r>
      </text>
    </comment>
    <comment ref="BA1206" authorId="0" shapeId="0" xr:uid="{628B9CDA-9450-43D1-B6F9-4E3154C992AD}">
      <text>
        <r>
          <rPr>
            <b/>
            <sz val="8"/>
            <color indexed="81"/>
            <rFont val="Tahoma"/>
            <family val="2"/>
          </rPr>
          <t>Author:</t>
        </r>
        <r>
          <rPr>
            <sz val="8"/>
            <color indexed="81"/>
            <rFont val="Tahoma"/>
            <family val="2"/>
          </rPr>
          <t xml:space="preserve">
about 57% </t>
        </r>
      </text>
    </comment>
    <comment ref="BC1206" authorId="0" shapeId="0" xr:uid="{CD8A9DCE-5FC8-4FB8-94D6-3A006803A39F}">
      <text>
        <r>
          <rPr>
            <b/>
            <sz val="8"/>
            <color indexed="81"/>
            <rFont val="Tahoma"/>
            <family val="2"/>
          </rPr>
          <t>Author:</t>
        </r>
        <r>
          <rPr>
            <sz val="8"/>
            <color indexed="81"/>
            <rFont val="Tahoma"/>
            <family val="2"/>
          </rPr>
          <t xml:space="preserve">
60%</t>
        </r>
      </text>
    </comment>
    <comment ref="BD1206" authorId="0" shapeId="0" xr:uid="{A498BC90-F0A3-4355-AD7F-24815C4D2660}">
      <text>
        <r>
          <rPr>
            <b/>
            <sz val="8"/>
            <color indexed="81"/>
            <rFont val="Tahoma"/>
            <family val="2"/>
          </rPr>
          <t>Author:</t>
        </r>
        <r>
          <rPr>
            <sz val="8"/>
            <color indexed="81"/>
            <rFont val="Tahoma"/>
            <family val="2"/>
          </rPr>
          <t xml:space="preserve">
in ball park 60%`</t>
        </r>
      </text>
    </comment>
    <comment ref="BH1206" authorId="0" shapeId="0" xr:uid="{19213953-4FA0-4C1A-B816-94F4B00D8A65}">
      <text>
        <r>
          <rPr>
            <b/>
            <sz val="8"/>
            <color indexed="81"/>
            <rFont val="Tahoma"/>
            <family val="2"/>
          </rPr>
          <t>Author:</t>
        </r>
        <r>
          <rPr>
            <sz val="8"/>
            <color indexed="81"/>
            <rFont val="Tahoma"/>
            <family val="2"/>
          </rPr>
          <t xml:space="preserve">
stop selling COMPANY0150 MOM line. MoM.</t>
        </r>
      </text>
    </comment>
    <comment ref="BI1206" authorId="16" shapeId="0" xr:uid="{EE5E5A63-C8EE-4C6A-9032-59D2DC113CDF}">
      <text>
        <r>
          <rPr>
            <b/>
            <sz val="8"/>
            <color indexed="81"/>
            <rFont val="Tahoma"/>
            <family val="2"/>
          </rPr>
          <t xml:space="preserve">Author:2% growth given on confer. Call
</t>
        </r>
      </text>
    </comment>
    <comment ref="BJ1206" authorId="18" shapeId="0" xr:uid="{1593A38E-B51E-4696-B102-9C04BE2661AB}">
      <text>
        <r>
          <rPr>
            <b/>
            <sz val="8"/>
            <color indexed="81"/>
            <rFont val="Tahoma"/>
            <family val="2"/>
          </rPr>
          <t>Author:</t>
        </r>
        <r>
          <rPr>
            <sz val="8"/>
            <color indexed="81"/>
            <rFont val="Tahoma"/>
            <family val="2"/>
          </rPr>
          <t xml:space="preserve">
US down 1% due to lower vol in M-on-M biz and price</t>
        </r>
      </text>
    </comment>
    <comment ref="BK1206" authorId="24" shapeId="0" xr:uid="{CFF7CE7D-47E3-4835-9ADB-278E3D424534}">
      <text>
        <r>
          <rPr>
            <b/>
            <sz val="8"/>
            <color indexed="81"/>
            <rFont val="Tahoma"/>
            <family val="2"/>
          </rPr>
          <t>Author:</t>
        </r>
        <r>
          <rPr>
            <sz val="8"/>
            <color indexed="81"/>
            <rFont val="Tahoma"/>
            <family val="2"/>
          </rPr>
          <t xml:space="preserve">
decline 12% due to lower volume in the metal-on-metal
bearing business and intensified pressure on the price net of mix
</t>
        </r>
      </text>
    </comment>
    <comment ref="BM1206" authorId="24" shapeId="0" xr:uid="{37FE1DA7-ACD4-4F87-9357-E44315B8B9D0}">
      <text>
        <r>
          <rPr>
            <b/>
            <sz val="8"/>
            <color indexed="81"/>
            <rFont val="Tahoma"/>
            <family val="2"/>
          </rPr>
          <t>Author:</t>
        </r>
        <r>
          <rPr>
            <sz val="8"/>
            <color indexed="81"/>
            <rFont val="Tahoma"/>
            <family val="2"/>
          </rPr>
          <t xml:space="preserve">
down 6% due to lower volume of metal-on-metal bearings and continued pricing pressure</t>
        </r>
      </text>
    </comment>
    <comment ref="BN1206" authorId="24" shapeId="0" xr:uid="{562256E6-5D89-4A99-86C8-10444D0DB2FD}">
      <text>
        <r>
          <rPr>
            <b/>
            <sz val="8"/>
            <color indexed="81"/>
            <rFont val="Tahoma"/>
            <family val="2"/>
          </rPr>
          <t>Author:</t>
        </r>
        <r>
          <rPr>
            <sz val="8"/>
            <color indexed="81"/>
            <rFont val="Tahoma"/>
            <family val="2"/>
          </rPr>
          <t xml:space="preserve">
down 7.2%</t>
        </r>
      </text>
    </comment>
    <comment ref="BO1206" authorId="24" shapeId="0" xr:uid="{67DC33F6-0AF4-432C-982B-ABDBA6494BA1}">
      <text>
        <r>
          <rPr>
            <b/>
            <sz val="8"/>
            <color indexed="81"/>
            <rFont val="Tahoma"/>
            <family val="2"/>
          </rPr>
          <t>Author:</t>
        </r>
        <r>
          <rPr>
            <sz val="8"/>
            <color indexed="81"/>
            <rFont val="Tahoma"/>
            <family val="2"/>
          </rPr>
          <t xml:space="preserve">
down 4.3%</t>
        </r>
      </text>
    </comment>
    <comment ref="BP1206" authorId="24" shapeId="0" xr:uid="{2C5DD0E5-BE92-482A-B974-7F2E091F7C35}">
      <text>
        <r>
          <rPr>
            <b/>
            <sz val="8"/>
            <color indexed="81"/>
            <rFont val="Tahoma"/>
            <family val="2"/>
          </rPr>
          <t>Author:</t>
        </r>
        <r>
          <rPr>
            <sz val="8"/>
            <color indexed="81"/>
            <rFont val="Tahoma"/>
            <family val="2"/>
          </rPr>
          <t xml:space="preserve">
dwn 0.5%</t>
        </r>
      </text>
    </comment>
    <comment ref="BR1206" authorId="25" shapeId="0" xr:uid="{2BFFD191-05B3-428B-B7EA-73E2407BA85F}">
      <text>
        <r>
          <rPr>
            <b/>
            <sz val="8"/>
            <color indexed="81"/>
            <rFont val="Tahoma"/>
            <family val="2"/>
          </rPr>
          <t>Author:</t>
        </r>
        <r>
          <rPr>
            <sz val="8"/>
            <color indexed="81"/>
            <rFont val="Tahoma"/>
            <family val="2"/>
          </rPr>
          <t xml:space="preserve">
From call -.6%</t>
        </r>
      </text>
    </comment>
    <comment ref="BU1206" authorId="25" shapeId="0" xr:uid="{C99831BC-0933-459B-8A04-1A50DE3CC057}">
      <text>
        <r>
          <rPr>
            <b/>
            <sz val="8"/>
            <color indexed="81"/>
            <rFont val="Tahoma"/>
            <family val="2"/>
          </rPr>
          <t>Author:</t>
        </r>
        <r>
          <rPr>
            <sz val="8"/>
            <color indexed="81"/>
            <rFont val="Tahoma"/>
            <family val="2"/>
          </rPr>
          <t xml:space="preserve">
need additonal growth chart jnj sends out later</t>
        </r>
      </text>
    </comment>
    <comment ref="BI1207" authorId="16" shapeId="0" xr:uid="{10E735CE-CFF9-403F-9E9E-ADA5BB6FB6B5}">
      <text>
        <r>
          <rPr>
            <b/>
            <sz val="8"/>
            <color indexed="81"/>
            <rFont val="Tahoma"/>
            <family val="2"/>
          </rPr>
          <t>Author:</t>
        </r>
        <r>
          <rPr>
            <sz val="8"/>
            <color indexed="81"/>
            <rFont val="Tahoma"/>
            <family val="2"/>
          </rPr>
          <t xml:space="preserve">
12% growth ex currency on confer, call
</t>
        </r>
      </text>
    </comment>
    <comment ref="BJ1207" authorId="17" shapeId="0" xr:uid="{CF5429EA-865C-4E0D-B0D2-26D642AA4729}">
      <text>
        <r>
          <rPr>
            <b/>
            <sz val="8"/>
            <color indexed="81"/>
            <rFont val="Tahoma"/>
            <family val="2"/>
          </rPr>
          <t>Author:</t>
        </r>
        <r>
          <rPr>
            <sz val="8"/>
            <color indexed="81"/>
            <rFont val="Tahoma"/>
            <family val="2"/>
          </rPr>
          <t xml:space="preserve">
OUS growth at 6.5% operational; 4.7% reported</t>
        </r>
      </text>
    </comment>
    <comment ref="BK1207" authorId="24" shapeId="0" xr:uid="{8B11B320-049F-4F5E-B470-AB8C64AE64D1}">
      <text>
        <r>
          <rPr>
            <b/>
            <sz val="8"/>
            <color indexed="81"/>
            <rFont val="Tahoma"/>
            <family val="2"/>
          </rPr>
          <t>Author:</t>
        </r>
        <r>
          <rPr>
            <sz val="8"/>
            <color indexed="81"/>
            <rFont val="Tahoma"/>
            <family val="2"/>
          </rPr>
          <t xml:space="preserve">
up 1% op.</t>
        </r>
      </text>
    </comment>
    <comment ref="BM1207" authorId="24" shapeId="0" xr:uid="{0E8CA74B-57D8-41EF-97C8-A1F87DE84148}">
      <text>
        <r>
          <rPr>
            <b/>
            <sz val="8"/>
            <color indexed="81"/>
            <rFont val="Tahoma"/>
            <family val="2"/>
          </rPr>
          <t>Author:</t>
        </r>
        <r>
          <rPr>
            <sz val="8"/>
            <color indexed="81"/>
            <rFont val="Tahoma"/>
            <family val="2"/>
          </rPr>
          <t xml:space="preserve">
op up 3%</t>
        </r>
      </text>
    </comment>
    <comment ref="BN1207" authorId="24" shapeId="0" xr:uid="{C14F8003-125D-492B-BF24-166EF37B0442}">
      <text>
        <r>
          <rPr>
            <b/>
            <sz val="8"/>
            <color indexed="81"/>
            <rFont val="Tahoma"/>
            <family val="2"/>
          </rPr>
          <t>Author:</t>
        </r>
        <r>
          <rPr>
            <sz val="8"/>
            <color indexed="81"/>
            <rFont val="Tahoma"/>
            <family val="2"/>
          </rPr>
          <t xml:space="preserve">
Up 1.2% op</t>
        </r>
      </text>
    </comment>
    <comment ref="BO1207" authorId="24" shapeId="0" xr:uid="{B14E21E1-3B09-4BD4-9610-B1AEEE7FC96A}">
      <text>
        <r>
          <rPr>
            <b/>
            <sz val="8"/>
            <color indexed="81"/>
            <rFont val="Tahoma"/>
            <family val="2"/>
          </rPr>
          <t>Author:</t>
        </r>
        <r>
          <rPr>
            <sz val="8"/>
            <color indexed="81"/>
            <rFont val="Tahoma"/>
            <family val="2"/>
          </rPr>
          <t xml:space="preserve">
up 7.6% op
</t>
        </r>
      </text>
    </comment>
    <comment ref="BP1207" authorId="24" shapeId="0" xr:uid="{2C15E502-2CC7-4EAD-94E4-795FC9D86A4D}">
      <text>
        <r>
          <rPr>
            <b/>
            <sz val="8"/>
            <color indexed="81"/>
            <rFont val="Tahoma"/>
            <family val="2"/>
          </rPr>
          <t>Author:</t>
        </r>
        <r>
          <rPr>
            <sz val="8"/>
            <color indexed="81"/>
            <rFont val="Tahoma"/>
            <family val="2"/>
          </rPr>
          <t xml:space="preserve">
OUS up 2.8%</t>
        </r>
      </text>
    </comment>
    <comment ref="BJ1208" authorId="17" shapeId="0" xr:uid="{72277165-1F81-4BFE-BD6E-90D92FB1FA35}">
      <text>
        <r>
          <rPr>
            <b/>
            <sz val="8"/>
            <color indexed="81"/>
            <rFont val="Tahoma"/>
            <family val="2"/>
          </rPr>
          <t>Author:</t>
        </r>
        <r>
          <rPr>
            <sz val="8"/>
            <color indexed="81"/>
            <rFont val="Tahoma"/>
            <family val="2"/>
          </rPr>
          <t xml:space="preserve">
WW growth 3% operational</t>
        </r>
      </text>
    </comment>
    <comment ref="BF1211" authorId="0" shapeId="0" xr:uid="{40E9D329-F37D-47A5-93C1-8FDBC76A4DB6}">
      <text>
        <r>
          <rPr>
            <b/>
            <sz val="8"/>
            <color indexed="81"/>
            <rFont val="Tahoma"/>
            <family val="2"/>
          </rPr>
          <t>Author:</t>
        </r>
        <r>
          <rPr>
            <sz val="8"/>
            <color indexed="81"/>
            <rFont val="Tahoma"/>
            <family val="2"/>
          </rPr>
          <t xml:space="preserve">
hips for 4Q</t>
        </r>
      </text>
    </comment>
    <comment ref="BH1211" authorId="0" shapeId="0" xr:uid="{468529BE-0F04-42A5-BDDD-10470195BC21}">
      <text>
        <r>
          <rPr>
            <b/>
            <sz val="8"/>
            <color indexed="81"/>
            <rFont val="Tahoma"/>
            <family val="2"/>
          </rPr>
          <t>Author:</t>
        </r>
        <r>
          <rPr>
            <sz val="8"/>
            <color indexed="81"/>
            <rFont val="Tahoma"/>
            <family val="2"/>
          </rPr>
          <t xml:space="preserve">
share gains in 4Q US and WW</t>
        </r>
      </text>
    </comment>
    <comment ref="BQ1211" authorId="1" shapeId="0" xr:uid="{A8EA1B3E-D039-4E36-A9F0-D41AA5357205}">
      <text>
        <r>
          <rPr>
            <b/>
            <sz val="8"/>
            <color indexed="81"/>
            <rFont val="Tahoma"/>
            <family val="2"/>
          </rPr>
          <t>Author:</t>
        </r>
        <r>
          <rPr>
            <sz val="8"/>
            <color indexed="81"/>
            <rFont val="Tahoma"/>
            <family val="2"/>
          </rPr>
          <t xml:space="preserve">
12.10.10 volume expectations 2% to 3% for hips in Europe similar to US. 
2.20.11: Lowered in line with D Person0970 RECON model to reflect Company0795 loss in mkt sh</t>
        </r>
      </text>
    </comment>
    <comment ref="CD1211" authorId="21" shapeId="0" xr:uid="{32CC1F99-C68A-4A12-8D2E-E2C468E0455E}">
      <text>
        <r>
          <rPr>
            <b/>
            <sz val="9"/>
            <color indexed="81"/>
            <rFont val="Tahoma"/>
            <family val="2"/>
          </rPr>
          <t>Author:</t>
        </r>
        <r>
          <rPr>
            <sz val="9"/>
            <color indexed="81"/>
            <rFont val="Tahoma"/>
            <family val="2"/>
          </rPr>
          <t xml:space="preserve">
10.14.14: from transcript, market grew 3%, Ticker0018 grew faster</t>
        </r>
      </text>
    </comment>
    <comment ref="BE1212" authorId="0" shapeId="0" xr:uid="{CFD92234-16BE-4CE6-AA83-0D8A37CC7D5B}">
      <text>
        <r>
          <rPr>
            <b/>
            <sz val="8"/>
            <color indexed="81"/>
            <rFont val="Tahoma"/>
            <family val="2"/>
          </rPr>
          <t>Author:</t>
        </r>
        <r>
          <rPr>
            <sz val="8"/>
            <color indexed="81"/>
            <rFont val="Tahoma"/>
            <family val="2"/>
          </rPr>
          <t xml:space="preserve">
reported -1%</t>
        </r>
      </text>
    </comment>
    <comment ref="BD1213" authorId="0" shapeId="0" xr:uid="{03DBE05D-D2EC-463E-B45C-846443EA4590}">
      <text>
        <r>
          <rPr>
            <b/>
            <sz val="8"/>
            <color indexed="81"/>
            <rFont val="Tahoma"/>
            <family val="2"/>
          </rPr>
          <t>Author:</t>
        </r>
        <r>
          <rPr>
            <sz val="8"/>
            <color indexed="81"/>
            <rFont val="Tahoma"/>
            <family val="2"/>
          </rPr>
          <t xml:space="preserve">
+3%</t>
        </r>
      </text>
    </comment>
    <comment ref="BE1214" authorId="0" shapeId="0" xr:uid="{AEECFD6C-C30E-4695-8847-10DC21B55AF4}">
      <text>
        <r>
          <rPr>
            <b/>
            <sz val="8"/>
            <color indexed="81"/>
            <rFont val="Tahoma"/>
            <family val="2"/>
          </rPr>
          <t>Author:</t>
        </r>
        <r>
          <rPr>
            <sz val="8"/>
            <color indexed="81"/>
            <rFont val="Tahoma"/>
            <family val="2"/>
          </rPr>
          <t xml:space="preserve">
4% reported</t>
        </r>
      </text>
    </comment>
    <comment ref="BM1214" authorId="1" shapeId="0" xr:uid="{2C8D5B96-B0A6-442F-B3BA-02C0737AFBB4}">
      <text>
        <r>
          <rPr>
            <b/>
            <sz val="8"/>
            <color indexed="81"/>
            <rFont val="Tahoma"/>
            <family val="2"/>
          </rPr>
          <t>Author:</t>
        </r>
        <r>
          <rPr>
            <sz val="8"/>
            <color indexed="81"/>
            <rFont val="Tahoma"/>
            <family val="2"/>
          </rPr>
          <t xml:space="preserve">
Operationally , hips were down 2% on a worldwide
basis, with the US down 6% and sales outside the US up 3%.
Lower volume of metal-on-metal bearings
and continued pricing pressure.
On a sequential basis, hips grew approximately 4% in the US and 8% operationally outside the
US. 
Mix positively impacted the sequential trends as well as the success of the cementless systems. </t>
        </r>
      </text>
    </comment>
    <comment ref="BR1214" authorId="22" shapeId="0" xr:uid="{1F91D3E5-2A8F-4CED-8EE6-876ECBA4288B}">
      <text>
        <r>
          <rPr>
            <b/>
            <sz val="8"/>
            <color indexed="81"/>
            <rFont val="Tahoma"/>
            <family val="2"/>
          </rPr>
          <t>Author:</t>
        </r>
        <r>
          <rPr>
            <sz val="8"/>
            <color indexed="81"/>
            <rFont val="Tahoma"/>
            <family val="2"/>
          </rPr>
          <t xml:space="preserve">
up 1% WW operationally</t>
        </r>
      </text>
    </comment>
    <comment ref="B1217" authorId="0" shapeId="0" xr:uid="{659B0259-5CDA-4DBB-AC11-403495BC4522}">
      <text>
        <r>
          <rPr>
            <b/>
            <sz val="8"/>
            <color indexed="81"/>
            <rFont val="Tahoma"/>
            <family val="2"/>
          </rPr>
          <t>Author:</t>
        </r>
        <r>
          <rPr>
            <sz val="8"/>
            <color indexed="81"/>
            <rFont val="Tahoma"/>
            <family val="2"/>
          </rPr>
          <t xml:space="preserve">
Product0370 femur, PS femur, target the high demand patient improving function walking deep flexing, patella and femural function, fixed and mobile bearing system. Lug and non-lug (non-lug allows more precision). More active younger patient population. </t>
        </r>
      </text>
    </comment>
    <comment ref="AZ1218" authorId="0" shapeId="0" xr:uid="{6C2C6986-90CB-4A95-8CC2-9F98D073EF3F}">
      <text>
        <r>
          <rPr>
            <b/>
            <sz val="8"/>
            <color indexed="81"/>
            <rFont val="Tahoma"/>
            <family val="2"/>
          </rPr>
          <t>Author:</t>
        </r>
        <r>
          <rPr>
            <sz val="8"/>
            <color indexed="81"/>
            <rFont val="Tahoma"/>
            <family val="2"/>
          </rPr>
          <t xml:space="preserve">
57%</t>
        </r>
      </text>
    </comment>
    <comment ref="BA1218" authorId="0" shapeId="0" xr:uid="{2E8A4808-945F-4BAD-BA62-C91C23F8C931}">
      <text>
        <r>
          <rPr>
            <b/>
            <sz val="8"/>
            <color indexed="81"/>
            <rFont val="Tahoma"/>
            <family val="2"/>
          </rPr>
          <t>Author:</t>
        </r>
        <r>
          <rPr>
            <sz val="8"/>
            <color indexed="81"/>
            <rFont val="Tahoma"/>
            <family val="2"/>
          </rPr>
          <t xml:space="preserve">
about 57% </t>
        </r>
      </text>
    </comment>
    <comment ref="BC1218" authorId="0" shapeId="0" xr:uid="{8697A2F5-BD76-4035-9D79-D36DFB8DA817}">
      <text>
        <r>
          <rPr>
            <b/>
            <sz val="8"/>
            <color indexed="81"/>
            <rFont val="Tahoma"/>
            <family val="2"/>
          </rPr>
          <t>Author:</t>
        </r>
        <r>
          <rPr>
            <sz val="8"/>
            <color indexed="81"/>
            <rFont val="Tahoma"/>
            <family val="2"/>
          </rPr>
          <t xml:space="preserve">
60%</t>
        </r>
      </text>
    </comment>
    <comment ref="BD1218" authorId="0" shapeId="0" xr:uid="{B0A72CC3-A8E7-4954-9E5E-323174401CA3}">
      <text>
        <r>
          <rPr>
            <b/>
            <sz val="8"/>
            <color indexed="81"/>
            <rFont val="Tahoma"/>
            <family val="2"/>
          </rPr>
          <t>Author:</t>
        </r>
        <r>
          <rPr>
            <sz val="8"/>
            <color indexed="81"/>
            <rFont val="Tahoma"/>
            <family val="2"/>
          </rPr>
          <t xml:space="preserve">
200US
150OUS
both hips and knees just under 60% US</t>
        </r>
      </text>
    </comment>
    <comment ref="BH1218" authorId="0" shapeId="0" xr:uid="{82A7FDA5-E14F-4B3E-BF28-F17D8AC85666}">
      <text>
        <r>
          <rPr>
            <b/>
            <sz val="8"/>
            <color indexed="81"/>
            <rFont val="Tahoma"/>
            <family val="2"/>
          </rPr>
          <t>Author:</t>
        </r>
        <r>
          <rPr>
            <sz val="8"/>
            <color indexed="81"/>
            <rFont val="Tahoma"/>
            <family val="2"/>
          </rPr>
          <t xml:space="preserve">
slight decline from 21.1% 20.9% in 4Q. </t>
        </r>
      </text>
    </comment>
    <comment ref="BI1218" authorId="16" shapeId="0" xr:uid="{4C2FB816-E605-48CB-8C98-68EBE272DDF0}">
      <text>
        <r>
          <rPr>
            <b/>
            <sz val="8"/>
            <color indexed="81"/>
            <rFont val="Tahoma"/>
            <family val="2"/>
          </rPr>
          <t>Author:</t>
        </r>
        <r>
          <rPr>
            <sz val="8"/>
            <color indexed="81"/>
            <rFont val="Tahoma"/>
            <family val="2"/>
          </rPr>
          <t xml:space="preserve">
 5% Us growth, op?</t>
        </r>
      </text>
    </comment>
    <comment ref="BJ1218" authorId="18" shapeId="0" xr:uid="{42D1875E-8D72-4E90-BA75-AFBD928C32B3}">
      <text>
        <r>
          <rPr>
            <b/>
            <sz val="8"/>
            <color indexed="81"/>
            <rFont val="Tahoma"/>
            <family val="2"/>
          </rPr>
          <t>Author:</t>
        </r>
        <r>
          <rPr>
            <sz val="8"/>
            <color indexed="81"/>
            <rFont val="Tahoma"/>
            <family val="2"/>
          </rPr>
          <t xml:space="preserve">
2%</t>
        </r>
      </text>
    </comment>
    <comment ref="BK1218" authorId="24" shapeId="0" xr:uid="{81D7BD5A-37E4-4037-8E09-682A8E913199}">
      <text>
        <r>
          <rPr>
            <b/>
            <sz val="8"/>
            <color indexed="81"/>
            <rFont val="Tahoma"/>
            <family val="2"/>
          </rPr>
          <t>Author:</t>
        </r>
        <r>
          <rPr>
            <sz val="8"/>
            <color indexed="81"/>
            <rFont val="Tahoma"/>
            <family val="2"/>
          </rPr>
          <t xml:space="preserve">
down 4% op. Slower
growth in revision procedures and continued price pressure impacted sales.
</t>
        </r>
      </text>
    </comment>
    <comment ref="BM1218" authorId="24" shapeId="0" xr:uid="{1627CEB6-4681-4DD3-9D70-7172A1AD29B6}">
      <text>
        <r>
          <rPr>
            <b/>
            <sz val="8"/>
            <color indexed="81"/>
            <rFont val="Tahoma"/>
            <family val="2"/>
          </rPr>
          <t>Author:</t>
        </r>
        <r>
          <rPr>
            <sz val="8"/>
            <color indexed="81"/>
            <rFont val="Tahoma"/>
            <family val="2"/>
          </rPr>
          <t xml:space="preserve">
down 6%</t>
        </r>
      </text>
    </comment>
    <comment ref="BN1218" authorId="24" shapeId="0" xr:uid="{D1BFF63B-65FE-495D-BBAE-DCE6D490A588}">
      <text>
        <r>
          <rPr>
            <b/>
            <sz val="8"/>
            <color indexed="81"/>
            <rFont val="Tahoma"/>
            <family val="2"/>
          </rPr>
          <t>Author:</t>
        </r>
        <r>
          <rPr>
            <sz val="8"/>
            <color indexed="81"/>
            <rFont val="Tahoma"/>
            <family val="2"/>
          </rPr>
          <t xml:space="preserve">
down 4.6%</t>
        </r>
      </text>
    </comment>
    <comment ref="BO1218" authorId="24" shapeId="0" xr:uid="{1559675F-66D4-4A91-B663-46A2CF6BA6B9}">
      <text>
        <r>
          <rPr>
            <b/>
            <sz val="8"/>
            <color indexed="81"/>
            <rFont val="Tahoma"/>
            <family val="2"/>
          </rPr>
          <t>Author:</t>
        </r>
        <r>
          <rPr>
            <sz val="8"/>
            <color indexed="81"/>
            <rFont val="Tahoma"/>
            <family val="2"/>
          </rPr>
          <t xml:space="preserve">
down 6.7%</t>
        </r>
      </text>
    </comment>
    <comment ref="BP1218" authorId="24" shapeId="0" xr:uid="{240AC062-4320-4A04-9693-E6F431FA0AB0}">
      <text>
        <r>
          <rPr>
            <b/>
            <sz val="8"/>
            <color indexed="81"/>
            <rFont val="Tahoma"/>
            <family val="2"/>
          </rPr>
          <t>Author:</t>
        </r>
        <r>
          <rPr>
            <sz val="8"/>
            <color indexed="81"/>
            <rFont val="Tahoma"/>
            <family val="2"/>
          </rPr>
          <t xml:space="preserve">
dwn 4.6%</t>
        </r>
      </text>
    </comment>
    <comment ref="BR1218" authorId="25" shapeId="0" xr:uid="{4A1DBB3B-FA3A-471C-ADEE-BE9BF75DA285}">
      <text>
        <r>
          <rPr>
            <b/>
            <sz val="8"/>
            <color indexed="81"/>
            <rFont val="Tahoma"/>
            <family val="2"/>
          </rPr>
          <t>Author:</t>
        </r>
        <r>
          <rPr>
            <sz val="8"/>
            <color indexed="81"/>
            <rFont val="Tahoma"/>
            <family val="2"/>
          </rPr>
          <t xml:space="preserve">
2.3% YoY grwth</t>
        </r>
      </text>
    </comment>
    <comment ref="BU1218" authorId="25" shapeId="0" xr:uid="{A0B4E6EC-36CF-4FD3-968F-F0CBF0DAED15}">
      <text>
        <r>
          <rPr>
            <b/>
            <sz val="8"/>
            <color indexed="81"/>
            <rFont val="Tahoma"/>
            <family val="2"/>
          </rPr>
          <t>Author:</t>
        </r>
        <r>
          <rPr>
            <sz val="8"/>
            <color indexed="81"/>
            <rFont val="Tahoma"/>
            <family val="2"/>
          </rPr>
          <t xml:space="preserve">
Knees worldwide increased 4% on an operational basis with the U.S. up 7% driven by fixed-bearing and revision
platforms. </t>
        </r>
      </text>
    </comment>
    <comment ref="BI1219" authorId="16" shapeId="0" xr:uid="{F8C16C01-CD78-419D-BB3F-A64E860842A8}">
      <text>
        <r>
          <rPr>
            <b/>
            <sz val="8"/>
            <color indexed="81"/>
            <rFont val="Tahoma"/>
            <family val="2"/>
          </rPr>
          <t>Author:</t>
        </r>
        <r>
          <rPr>
            <sz val="8"/>
            <color indexed="81"/>
            <rFont val="Tahoma"/>
            <family val="2"/>
          </rPr>
          <t xml:space="preserve">
7% growth, op?</t>
        </r>
      </text>
    </comment>
    <comment ref="BJ1219" authorId="18" shapeId="0" xr:uid="{7A1BF753-CC47-40CF-84E9-D9F540755CA8}">
      <text>
        <r>
          <rPr>
            <b/>
            <sz val="8"/>
            <color indexed="81"/>
            <rFont val="Tahoma"/>
            <family val="2"/>
          </rPr>
          <t>Author:</t>
        </r>
        <r>
          <rPr>
            <sz val="8"/>
            <color indexed="81"/>
            <rFont val="Tahoma"/>
            <family val="2"/>
          </rPr>
          <t xml:space="preserve">
4% operational; 1.7% reported</t>
        </r>
      </text>
    </comment>
    <comment ref="BK1219" authorId="24" shapeId="0" xr:uid="{F49F8708-8098-4107-A546-5B04CF76F534}">
      <text>
        <r>
          <rPr>
            <b/>
            <sz val="8"/>
            <color indexed="81"/>
            <rFont val="Tahoma"/>
            <family val="2"/>
          </rPr>
          <t>Author:</t>
        </r>
        <r>
          <rPr>
            <sz val="8"/>
            <color indexed="81"/>
            <rFont val="Tahoma"/>
            <family val="2"/>
          </rPr>
          <t xml:space="preserve">
down 3 % op.</t>
        </r>
      </text>
    </comment>
    <comment ref="BM1219" authorId="24" shapeId="0" xr:uid="{C0B1F8A3-F4FA-43B5-A599-07B8B33AEDF1}">
      <text>
        <r>
          <rPr>
            <b/>
            <sz val="8"/>
            <color indexed="81"/>
            <rFont val="Tahoma"/>
            <family val="2"/>
          </rPr>
          <t>Author:</t>
        </r>
        <r>
          <rPr>
            <sz val="8"/>
            <color indexed="81"/>
            <rFont val="Tahoma"/>
            <family val="2"/>
          </rPr>
          <t xml:space="preserve">
down 1%</t>
        </r>
      </text>
    </comment>
    <comment ref="BN1219" authorId="24" shapeId="0" xr:uid="{1D34938B-44F2-4477-BE62-236C03994D5E}">
      <text>
        <r>
          <rPr>
            <b/>
            <sz val="8"/>
            <color indexed="81"/>
            <rFont val="Tahoma"/>
            <family val="2"/>
          </rPr>
          <t>Author:</t>
        </r>
        <r>
          <rPr>
            <sz val="8"/>
            <color indexed="81"/>
            <rFont val="Tahoma"/>
            <family val="2"/>
          </rPr>
          <t xml:space="preserve">
down 3.6%</t>
        </r>
      </text>
    </comment>
    <comment ref="BO1219" authorId="24" shapeId="0" xr:uid="{2FC3DFE3-8891-407E-B879-C32A07C2288B}">
      <text>
        <r>
          <rPr>
            <b/>
            <sz val="8"/>
            <color indexed="81"/>
            <rFont val="Tahoma"/>
            <family val="2"/>
          </rPr>
          <t>Author:</t>
        </r>
        <r>
          <rPr>
            <sz val="8"/>
            <color indexed="81"/>
            <rFont val="Tahoma"/>
            <family val="2"/>
          </rPr>
          <t xml:space="preserve">
down 0.6% op</t>
        </r>
      </text>
    </comment>
    <comment ref="BP1219" authorId="24" shapeId="0" xr:uid="{CD2AAF17-D67D-4BEA-AC02-254E48C102D6}">
      <text>
        <r>
          <rPr>
            <b/>
            <sz val="8"/>
            <color indexed="81"/>
            <rFont val="Tahoma"/>
            <family val="2"/>
          </rPr>
          <t>Author:</t>
        </r>
        <r>
          <rPr>
            <sz val="8"/>
            <color indexed="81"/>
            <rFont val="Tahoma"/>
            <family val="2"/>
          </rPr>
          <t xml:space="preserve">
Dwn 0.3%</t>
        </r>
      </text>
    </comment>
    <comment ref="BR1219" authorId="25" shapeId="0" xr:uid="{323ED687-8DC9-4407-BB69-EBF32F6830A5}">
      <text>
        <r>
          <rPr>
            <b/>
            <sz val="8"/>
            <color indexed="81"/>
            <rFont val="Tahoma"/>
            <family val="2"/>
          </rPr>
          <t>Author:</t>
        </r>
        <r>
          <rPr>
            <sz val="8"/>
            <color indexed="81"/>
            <rFont val="Tahoma"/>
            <family val="2"/>
          </rPr>
          <t xml:space="preserve">
-1.4% YoY grwth</t>
        </r>
      </text>
    </comment>
    <comment ref="BJ1220" authorId="18" shapeId="0" xr:uid="{3297582F-FD07-4A25-A786-8D68DAA94F6F}">
      <text>
        <r>
          <rPr>
            <b/>
            <sz val="8"/>
            <color indexed="81"/>
            <rFont val="Tahoma"/>
            <family val="2"/>
          </rPr>
          <t>Author:</t>
        </r>
        <r>
          <rPr>
            <sz val="8"/>
            <color indexed="81"/>
            <rFont val="Tahoma"/>
            <family val="2"/>
          </rPr>
          <t xml:space="preserve">
3% ww</t>
        </r>
      </text>
    </comment>
    <comment ref="BQ1223" authorId="1" shapeId="0" xr:uid="{11A466DF-272F-414C-BC3C-995466FEA12B}">
      <text>
        <r>
          <rPr>
            <b/>
            <sz val="8"/>
            <color indexed="81"/>
            <rFont val="Tahoma"/>
            <family val="2"/>
          </rPr>
          <t>Author:</t>
        </r>
        <r>
          <rPr>
            <sz val="8"/>
            <color indexed="81"/>
            <rFont val="Tahoma"/>
            <family val="2"/>
          </rPr>
          <t xml:space="preserve">
12.10.10 3-4% for hips is reasonable going forward for Europe </t>
        </r>
      </text>
    </comment>
    <comment ref="BR1223" authorId="22" shapeId="0" xr:uid="{608A6640-362A-43B9-A51C-2B38A1D73815}">
      <text>
        <r>
          <rPr>
            <b/>
            <sz val="8"/>
            <color indexed="81"/>
            <rFont val="Tahoma"/>
            <family val="2"/>
          </rPr>
          <t>Author:</t>
        </r>
        <r>
          <rPr>
            <sz val="8"/>
            <color indexed="81"/>
            <rFont val="Tahoma"/>
            <family val="2"/>
          </rPr>
          <t xml:space="preserve">
US up 2%</t>
        </r>
      </text>
    </comment>
    <comment ref="CD1223" authorId="21" shapeId="0" xr:uid="{D2C4CE26-6D6A-4752-9C73-13B8FFD48D1D}">
      <text>
        <r>
          <rPr>
            <b/>
            <sz val="9"/>
            <color indexed="81"/>
            <rFont val="Tahoma"/>
            <family val="2"/>
          </rPr>
          <t>Author:</t>
        </r>
        <r>
          <rPr>
            <sz val="9"/>
            <color indexed="81"/>
            <rFont val="Tahoma"/>
            <family val="2"/>
          </rPr>
          <t xml:space="preserve">
10.14.14: from transcript, market grew 4%, Ticker0018 grew faster</t>
        </r>
      </text>
    </comment>
    <comment ref="BE1224" authorId="0" shapeId="0" xr:uid="{912B9F29-C902-4C32-845D-7B7DF3DDE4F6}">
      <text>
        <r>
          <rPr>
            <b/>
            <sz val="8"/>
            <color indexed="81"/>
            <rFont val="Tahoma"/>
            <family val="2"/>
          </rPr>
          <t>Author:</t>
        </r>
        <r>
          <rPr>
            <sz val="8"/>
            <color indexed="81"/>
            <rFont val="Tahoma"/>
            <family val="2"/>
          </rPr>
          <t xml:space="preserve">
%-3</t>
        </r>
      </text>
    </comment>
    <comment ref="BD1225" authorId="0" shapeId="0" xr:uid="{C03B424C-4D60-4746-B27B-FF5C2DFC52AB}">
      <text>
        <r>
          <rPr>
            <b/>
            <sz val="8"/>
            <color indexed="81"/>
            <rFont val="Tahoma"/>
            <family val="2"/>
          </rPr>
          <t>Author:</t>
        </r>
        <r>
          <rPr>
            <sz val="8"/>
            <color indexed="81"/>
            <rFont val="Tahoma"/>
            <family val="2"/>
          </rPr>
          <t xml:space="preserve">
+2%</t>
        </r>
      </text>
    </comment>
    <comment ref="BE1225" authorId="0" shapeId="0" xr:uid="{40B22E21-0EEF-463A-B164-7509975BE210}">
      <text>
        <r>
          <rPr>
            <b/>
            <sz val="8"/>
            <color indexed="81"/>
            <rFont val="Tahoma"/>
            <family val="2"/>
          </rPr>
          <t>Author:</t>
        </r>
        <r>
          <rPr>
            <sz val="8"/>
            <color indexed="81"/>
            <rFont val="Tahoma"/>
            <family val="2"/>
          </rPr>
          <t xml:space="preserve">
+3%</t>
        </r>
      </text>
    </comment>
    <comment ref="BM1225" authorId="1" shapeId="0" xr:uid="{7F90ECFD-0FBA-4C1F-BC89-A472A8DF898B}">
      <text>
        <r>
          <rPr>
            <b/>
            <sz val="8"/>
            <color indexed="81"/>
            <rFont val="Tahoma"/>
            <family val="2"/>
          </rPr>
          <t>Author:</t>
        </r>
        <r>
          <rPr>
            <sz val="8"/>
            <color indexed="81"/>
            <rFont val="Tahoma"/>
            <family val="2"/>
          </rPr>
          <t xml:space="preserve">
Outside the US on an operational basis knees were up 5% sequentially due to the
success of the Product0370 Fixed Bearing Knee</t>
        </r>
      </text>
    </comment>
    <comment ref="BR1225" authorId="22" shapeId="0" xr:uid="{1B7656DF-C82E-40F2-A926-57B0CBDB69D4}">
      <text>
        <r>
          <rPr>
            <b/>
            <sz val="8"/>
            <color indexed="81"/>
            <rFont val="Tahoma"/>
            <family val="2"/>
          </rPr>
          <t>Author:</t>
        </r>
        <r>
          <rPr>
            <sz val="8"/>
            <color indexed="81"/>
            <rFont val="Tahoma"/>
            <family val="2"/>
          </rPr>
          <t xml:space="preserve">
operationally up 1%</t>
        </r>
      </text>
    </comment>
    <comment ref="BC1226" authorId="0" shapeId="0" xr:uid="{2777E474-C985-4992-A962-C23739A530E5}">
      <text>
        <r>
          <rPr>
            <b/>
            <sz val="8"/>
            <color indexed="81"/>
            <rFont val="Tahoma"/>
            <family val="2"/>
          </rPr>
          <t>Author:</t>
        </r>
        <r>
          <rPr>
            <sz val="8"/>
            <color indexed="81"/>
            <rFont val="Tahoma"/>
            <family val="2"/>
          </rPr>
          <t xml:space="preserve">
WW CC +3% (-.069=-.039)</t>
        </r>
      </text>
    </comment>
    <comment ref="BE1226" authorId="0" shapeId="0" xr:uid="{F18EA586-0896-463F-B5CF-31D42B5B1BB0}">
      <text>
        <r>
          <rPr>
            <b/>
            <sz val="8"/>
            <color indexed="81"/>
            <rFont val="Tahoma"/>
            <family val="2"/>
          </rPr>
          <t>Author:</t>
        </r>
        <r>
          <rPr>
            <sz val="8"/>
            <color indexed="81"/>
            <rFont val="Tahoma"/>
            <family val="2"/>
          </rPr>
          <t xml:space="preserve">
reported 2%</t>
        </r>
      </text>
    </comment>
    <comment ref="BM1226" authorId="1" shapeId="0" xr:uid="{A8A81F44-72DA-446F-8786-70051DC26873}">
      <text>
        <r>
          <rPr>
            <b/>
            <sz val="8"/>
            <color indexed="81"/>
            <rFont val="Tahoma"/>
            <family val="2"/>
          </rPr>
          <t>Author:</t>
        </r>
        <r>
          <rPr>
            <sz val="8"/>
            <color indexed="81"/>
            <rFont val="Tahoma"/>
            <family val="2"/>
          </rPr>
          <t xml:space="preserve">
Knees declined 4% on an
operational basis, with the US down 6% and sales outside the US down 1%. On a sequential basis, knees were up 1% in the US.
Continued softness in the market continues to temper the rate of growth.</t>
        </r>
      </text>
    </comment>
    <comment ref="BR1226" authorId="22" shapeId="0" xr:uid="{552745C4-4FB9-4970-8088-793DC6E3CF40}">
      <text>
        <r>
          <rPr>
            <b/>
            <sz val="8"/>
            <color indexed="81"/>
            <rFont val="Tahoma"/>
            <family val="2"/>
          </rPr>
          <t>Author:</t>
        </r>
        <r>
          <rPr>
            <sz val="8"/>
            <color indexed="81"/>
            <rFont val="Tahoma"/>
            <family val="2"/>
          </rPr>
          <t xml:space="preserve">
increased 2% operationally WW</t>
        </r>
      </text>
    </comment>
    <comment ref="B1229" authorId="0" shapeId="0" xr:uid="{CE043F3D-4394-4A24-B6F7-E76BB731E78C}">
      <text>
        <r>
          <rPr>
            <b/>
            <sz val="8"/>
            <color indexed="81"/>
            <rFont val="Tahoma"/>
            <family val="2"/>
          </rPr>
          <t>Author:</t>
        </r>
        <r>
          <rPr>
            <sz val="8"/>
            <color indexed="81"/>
            <rFont val="Tahoma"/>
            <family val="2"/>
          </rPr>
          <t xml:space="preserve">
Discover cervical disc. Has not been submitted. Pivotal trial not completed. Second generation artifical disc. Minimal artifact Company1742 imaging. Currently enrolling don't have in pipeline not file by 2010. 
Confidence:Vertebroplasty and kyphoplasty? Controlled delivery of highly viscous cement. Seamless mixing. Reduces radiation exposure because shorter procedure time. (launched Q2 2008 According to the National Osteoporosis Foundation (Company1889), more than 550,000 people get vertebral compression fractures in the United States each year and more than 10 million Americans have osteoporosis. )</t>
        </r>
      </text>
    </comment>
    <comment ref="AZ1230" authorId="0" shapeId="0" xr:uid="{3AB5A511-2F57-409C-8658-43E37BCBA4C3}">
      <text>
        <r>
          <rPr>
            <b/>
            <sz val="8"/>
            <color indexed="81"/>
            <rFont val="Tahoma"/>
            <family val="2"/>
          </rPr>
          <t>Author:</t>
        </r>
        <r>
          <rPr>
            <sz val="8"/>
            <color indexed="81"/>
            <rFont val="Tahoma"/>
            <family val="2"/>
          </rPr>
          <t xml:space="preserve">
65%</t>
        </r>
      </text>
    </comment>
    <comment ref="BA1230" authorId="0" shapeId="0" xr:uid="{968B4833-55DE-4F2E-A7E9-C80720C9F75B}">
      <text>
        <r>
          <rPr>
            <b/>
            <sz val="8"/>
            <color indexed="81"/>
            <rFont val="Tahoma"/>
            <family val="2"/>
          </rPr>
          <t>Author:</t>
        </r>
        <r>
          <rPr>
            <sz val="8"/>
            <color indexed="81"/>
            <rFont val="Tahoma"/>
            <family val="2"/>
          </rPr>
          <t xml:space="preserve">
67%</t>
        </r>
      </text>
    </comment>
    <comment ref="BC1230" authorId="0" shapeId="0" xr:uid="{3D2B092D-3E02-406D-86A7-3932F257D113}">
      <text>
        <r>
          <rPr>
            <b/>
            <sz val="8"/>
            <color indexed="81"/>
            <rFont val="Tahoma"/>
            <family val="2"/>
          </rPr>
          <t>Author:</t>
        </r>
        <r>
          <rPr>
            <sz val="8"/>
            <color indexed="81"/>
            <rFont val="Tahoma"/>
            <family val="2"/>
          </rPr>
          <t xml:space="preserve">
almost 70%</t>
        </r>
      </text>
    </comment>
    <comment ref="BD1230" authorId="0" shapeId="0" xr:uid="{3EB97BAD-A142-412F-AAE0-3FE1B3628F85}">
      <text>
        <r>
          <rPr>
            <b/>
            <sz val="8"/>
            <color indexed="81"/>
            <rFont val="Tahoma"/>
            <family val="2"/>
          </rPr>
          <t>Author:</t>
        </r>
        <r>
          <rPr>
            <sz val="8"/>
            <color indexed="81"/>
            <rFont val="Tahoma"/>
            <family val="2"/>
          </rPr>
          <t xml:space="preserve">
65% US</t>
        </r>
      </text>
    </comment>
    <comment ref="BE1230" authorId="0" shapeId="0" xr:uid="{9DAD6508-9FC6-4CD0-A55E-0404421D0003}">
      <text>
        <r>
          <rPr>
            <b/>
            <sz val="8"/>
            <color indexed="81"/>
            <rFont val="Tahoma"/>
            <family val="2"/>
          </rPr>
          <t>Author:</t>
        </r>
        <r>
          <rPr>
            <sz val="8"/>
            <color indexed="81"/>
            <rFont val="Tahoma"/>
            <family val="2"/>
          </rPr>
          <t xml:space="preserve">
Confidence came in 3Q 2008 so tougher comp</t>
        </r>
      </text>
    </comment>
    <comment ref="BH1230" authorId="0" shapeId="0" xr:uid="{36862F42-C2DE-4455-944D-F476557DBD92}">
      <text>
        <r>
          <rPr>
            <b/>
            <sz val="8"/>
            <color indexed="81"/>
            <rFont val="Tahoma"/>
            <family val="2"/>
          </rPr>
          <t>Author:</t>
        </r>
        <r>
          <rPr>
            <sz val="8"/>
            <color indexed="81"/>
            <rFont val="Tahoma"/>
            <family val="2"/>
          </rPr>
          <t xml:space="preserve">
10% to 10.3% in 4Q share</t>
        </r>
      </text>
    </comment>
    <comment ref="BI1230" authorId="16" shapeId="0" xr:uid="{20381D35-4ADF-47B0-9B04-6022C9DDE216}">
      <text>
        <r>
          <rPr>
            <b/>
            <sz val="8"/>
            <color indexed="81"/>
            <rFont val="Tahoma"/>
            <family val="2"/>
          </rPr>
          <t>Author:</t>
        </r>
        <r>
          <rPr>
            <sz val="8"/>
            <color indexed="81"/>
            <rFont val="Tahoma"/>
            <family val="2"/>
          </rPr>
          <t xml:space="preserve">
-4% US op</t>
        </r>
      </text>
    </comment>
    <comment ref="BJ1230" authorId="17" shapeId="0" xr:uid="{511FD10F-C7E4-4ECF-BAF9-A3F7CBBF2503}">
      <text>
        <r>
          <rPr>
            <b/>
            <sz val="8"/>
            <color indexed="81"/>
            <rFont val="Tahoma"/>
            <family val="2"/>
          </rPr>
          <t>Author:</t>
        </r>
        <r>
          <rPr>
            <sz val="8"/>
            <color indexed="81"/>
            <rFont val="Tahoma"/>
            <family val="2"/>
          </rPr>
          <t xml:space="preserve">
US down 3% op</t>
        </r>
      </text>
    </comment>
    <comment ref="BK1230" authorId="17" shapeId="0" xr:uid="{F0F987CA-11DC-4F3A-94B4-9349CA90B4D4}">
      <text>
        <r>
          <rPr>
            <b/>
            <sz val="8"/>
            <color indexed="81"/>
            <rFont val="Tahoma"/>
            <family val="2"/>
          </rPr>
          <t>Author:</t>
        </r>
        <r>
          <rPr>
            <sz val="8"/>
            <color indexed="81"/>
            <rFont val="Tahoma"/>
            <family val="2"/>
          </rPr>
          <t xml:space="preserve">
US down 8% op</t>
        </r>
      </text>
    </comment>
    <comment ref="BM1230" authorId="24" shapeId="0" xr:uid="{02488767-C48C-4FD4-8812-A8C7EEF7BB02}">
      <text>
        <r>
          <rPr>
            <b/>
            <sz val="8"/>
            <color indexed="81"/>
            <rFont val="Tahoma"/>
            <family val="2"/>
          </rPr>
          <t>Author:</t>
        </r>
        <r>
          <rPr>
            <sz val="8"/>
            <color indexed="81"/>
            <rFont val="Tahoma"/>
            <family val="2"/>
          </rPr>
          <t xml:space="preserve">
down 1% op</t>
        </r>
      </text>
    </comment>
    <comment ref="BN1230" authorId="24" shapeId="0" xr:uid="{5F282F34-3765-4B1E-8631-886CE59F63D4}">
      <text>
        <r>
          <rPr>
            <b/>
            <sz val="8"/>
            <color indexed="81"/>
            <rFont val="Tahoma"/>
            <family val="2"/>
          </rPr>
          <t>Author:</t>
        </r>
        <r>
          <rPr>
            <sz val="8"/>
            <color indexed="81"/>
            <rFont val="Tahoma"/>
            <family val="2"/>
          </rPr>
          <t xml:space="preserve">
down 4.4% op</t>
        </r>
      </text>
    </comment>
    <comment ref="BO1230" authorId="24" shapeId="0" xr:uid="{0E7F2A82-00B8-46F2-BF13-B3F295A6374A}">
      <text>
        <r>
          <rPr>
            <b/>
            <sz val="8"/>
            <color indexed="81"/>
            <rFont val="Tahoma"/>
            <family val="2"/>
          </rPr>
          <t>Author:</t>
        </r>
        <r>
          <rPr>
            <sz val="8"/>
            <color indexed="81"/>
            <rFont val="Tahoma"/>
            <family val="2"/>
          </rPr>
          <t xml:space="preserve">
down 3.2%</t>
        </r>
      </text>
    </comment>
    <comment ref="BP1230" authorId="24" shapeId="0" xr:uid="{B86361AB-0432-4309-A9F4-5001A29B5245}">
      <text>
        <r>
          <rPr>
            <b/>
            <sz val="8"/>
            <color indexed="81"/>
            <rFont val="Tahoma"/>
            <family val="2"/>
          </rPr>
          <t>Author:</t>
        </r>
        <r>
          <rPr>
            <sz val="8"/>
            <color indexed="81"/>
            <rFont val="Tahoma"/>
            <family val="2"/>
          </rPr>
          <t xml:space="preserve">
dwn 7%</t>
        </r>
      </text>
    </comment>
    <comment ref="BR1230" authorId="25" shapeId="0" xr:uid="{E56529D8-BE61-4D8F-B964-14342433ED10}">
      <text>
        <r>
          <rPr>
            <b/>
            <sz val="8"/>
            <color indexed="81"/>
            <rFont val="Tahoma"/>
            <family val="2"/>
          </rPr>
          <t>Author:</t>
        </r>
        <r>
          <rPr>
            <sz val="8"/>
            <color indexed="81"/>
            <rFont val="Tahoma"/>
            <family val="2"/>
          </rPr>
          <t xml:space="preserve">
-7.7% growth</t>
        </r>
      </text>
    </comment>
    <comment ref="BU1230" authorId="25" shapeId="0" xr:uid="{6FACA95E-9548-4485-AC82-5566855D4D3E}">
      <text>
        <r>
          <rPr>
            <b/>
            <sz val="8"/>
            <color indexed="81"/>
            <rFont val="Tahoma"/>
            <family val="2"/>
          </rPr>
          <t>Author:</t>
        </r>
        <r>
          <rPr>
            <sz val="8"/>
            <color indexed="81"/>
            <rFont val="Tahoma"/>
            <family val="2"/>
          </rPr>
          <t xml:space="preserve">
Including the Synthes business in both periods, worldwide spine was down 3% on operational bases with the U.S. down approximately 7% impacted by continued softness in the market as well as the restructuring of the commercial sales organization.</t>
        </r>
      </text>
    </comment>
    <comment ref="BI1231" authorId="16" shapeId="0" xr:uid="{390DB88C-C486-4541-BFDC-A5347ED37CF3}">
      <text>
        <r>
          <rPr>
            <b/>
            <sz val="8"/>
            <color indexed="81"/>
            <rFont val="Tahoma"/>
            <family val="2"/>
          </rPr>
          <t>Author:</t>
        </r>
        <r>
          <rPr>
            <sz val="8"/>
            <color indexed="81"/>
            <rFont val="Tahoma"/>
            <family val="2"/>
          </rPr>
          <t xml:space="preserve">
7% up op?</t>
        </r>
      </text>
    </comment>
    <comment ref="BJ1231" authorId="17" shapeId="0" xr:uid="{0D7E42E6-C959-4523-A3A6-76DC50C371AB}">
      <text>
        <r>
          <rPr>
            <b/>
            <sz val="8"/>
            <color indexed="81"/>
            <rFont val="Tahoma"/>
            <family val="2"/>
          </rPr>
          <t>Author:</t>
        </r>
        <r>
          <rPr>
            <sz val="8"/>
            <color indexed="81"/>
            <rFont val="Tahoma"/>
            <family val="2"/>
          </rPr>
          <t xml:space="preserve">
Up 7% op., 5% reported</t>
        </r>
      </text>
    </comment>
    <comment ref="BK1231" authorId="17" shapeId="0" xr:uid="{03C774AE-4BFC-4407-B924-ABD8AEE7C3D3}">
      <text>
        <r>
          <rPr>
            <b/>
            <sz val="8"/>
            <color indexed="81"/>
            <rFont val="Tahoma"/>
            <family val="2"/>
          </rPr>
          <t>Author:</t>
        </r>
        <r>
          <rPr>
            <sz val="8"/>
            <color indexed="81"/>
            <rFont val="Tahoma"/>
            <family val="2"/>
          </rPr>
          <t xml:space="preserve">
Up 4% op.</t>
        </r>
      </text>
    </comment>
    <comment ref="BM1231" authorId="24" shapeId="0" xr:uid="{A668132F-A323-4F7A-A92A-3EE24DE1F82F}">
      <text>
        <r>
          <rPr>
            <b/>
            <sz val="8"/>
            <color indexed="81"/>
            <rFont val="Tahoma"/>
            <family val="2"/>
          </rPr>
          <t>Author:</t>
        </r>
        <r>
          <rPr>
            <sz val="8"/>
            <color indexed="81"/>
            <rFont val="Tahoma"/>
            <family val="2"/>
          </rPr>
          <t xml:space="preserve">
up 6% op</t>
        </r>
      </text>
    </comment>
    <comment ref="BN1231" authorId="24" shapeId="0" xr:uid="{24B05A10-88DD-4A18-A3AA-FF247F73AACB}">
      <text>
        <r>
          <rPr>
            <b/>
            <sz val="8"/>
            <color indexed="81"/>
            <rFont val="Tahoma"/>
            <family val="2"/>
          </rPr>
          <t>Author:</t>
        </r>
        <r>
          <rPr>
            <sz val="8"/>
            <color indexed="81"/>
            <rFont val="Tahoma"/>
            <family val="2"/>
          </rPr>
          <t xml:space="preserve">
up 7.9% op</t>
        </r>
      </text>
    </comment>
    <comment ref="BO1231" authorId="24" shapeId="0" xr:uid="{E5EC0AEE-D649-4A04-AD8D-395CD4CB0806}">
      <text>
        <r>
          <rPr>
            <b/>
            <sz val="8"/>
            <color indexed="81"/>
            <rFont val="Tahoma"/>
            <family val="2"/>
          </rPr>
          <t>Author:</t>
        </r>
        <r>
          <rPr>
            <sz val="8"/>
            <color indexed="81"/>
            <rFont val="Tahoma"/>
            <family val="2"/>
          </rPr>
          <t xml:space="preserve">
up 9.6% op</t>
        </r>
      </text>
    </comment>
    <comment ref="BP1231" authorId="24" shapeId="0" xr:uid="{B16D296F-C691-4716-BF4D-50015152B127}">
      <text>
        <r>
          <rPr>
            <b/>
            <sz val="8"/>
            <color indexed="81"/>
            <rFont val="Tahoma"/>
            <family val="2"/>
          </rPr>
          <t>Author:</t>
        </r>
        <r>
          <rPr>
            <sz val="8"/>
            <color indexed="81"/>
            <rFont val="Tahoma"/>
            <family val="2"/>
          </rPr>
          <t xml:space="preserve">
up 5.1%</t>
        </r>
      </text>
    </comment>
    <comment ref="BR1231" authorId="25" shapeId="0" xr:uid="{31580846-A208-4576-A756-32E0FB6E50F6}">
      <text>
        <r>
          <rPr>
            <b/>
            <sz val="8"/>
            <color indexed="81"/>
            <rFont val="Tahoma"/>
            <family val="2"/>
          </rPr>
          <t>Author:</t>
        </r>
        <r>
          <rPr>
            <sz val="8"/>
            <color indexed="81"/>
            <rFont val="Tahoma"/>
            <family val="2"/>
          </rPr>
          <t xml:space="preserve">
4.5% grwth</t>
        </r>
      </text>
    </comment>
    <comment ref="BU1231" authorId="25" shapeId="0" xr:uid="{8AB5A1EE-B1FA-4317-A20E-3386F89748C0}">
      <text>
        <r>
          <rPr>
            <b/>
            <sz val="8"/>
            <color indexed="81"/>
            <rFont val="Tahoma"/>
            <family val="2"/>
          </rPr>
          <t>Author:</t>
        </r>
        <r>
          <rPr>
            <sz val="8"/>
            <color indexed="81"/>
            <rFont val="Tahoma"/>
            <family val="2"/>
          </rPr>
          <t xml:space="preserve">
Outside the U.S., sales grew approximately 4% operationally.</t>
        </r>
      </text>
    </comment>
    <comment ref="BC1232" authorId="0" shapeId="0" xr:uid="{0CF5B48F-F166-45EF-84DC-3769EA85A2E7}">
      <text>
        <r>
          <rPr>
            <b/>
            <sz val="8"/>
            <color indexed="81"/>
            <rFont val="Tahoma"/>
            <family val="2"/>
          </rPr>
          <t>Author:</t>
        </r>
        <r>
          <rPr>
            <sz val="8"/>
            <color indexed="81"/>
            <rFont val="Tahoma"/>
            <family val="2"/>
          </rPr>
          <t xml:space="preserve">
215</t>
        </r>
      </text>
    </comment>
    <comment ref="BD1232" authorId="0" shapeId="0" xr:uid="{4B75C110-F351-4A1E-B398-26D9B2D6A0B7}">
      <text>
        <r>
          <rPr>
            <b/>
            <sz val="8"/>
            <color indexed="81"/>
            <rFont val="Tahoma"/>
            <family val="2"/>
          </rPr>
          <t>Author:</t>
        </r>
        <r>
          <rPr>
            <sz val="8"/>
            <color indexed="81"/>
            <rFont val="Tahoma"/>
            <family val="2"/>
          </rPr>
          <t xml:space="preserve">
230</t>
        </r>
      </text>
    </comment>
    <comment ref="BH1232" authorId="0" shapeId="0" xr:uid="{0CA9371E-5734-4ADD-B9CE-855748D1F5D7}">
      <text>
        <r>
          <rPr>
            <b/>
            <sz val="8"/>
            <color indexed="81"/>
            <rFont val="Tahoma"/>
            <family val="2"/>
          </rPr>
          <t>Author:</t>
        </r>
        <r>
          <rPr>
            <sz val="8"/>
            <color indexed="81"/>
            <rFont val="Tahoma"/>
            <family val="2"/>
          </rPr>
          <t xml:space="preserve">
11.8% to 12.2%</t>
        </r>
      </text>
    </comment>
    <comment ref="BJ1232" authorId="18" shapeId="0" xr:uid="{85464093-A363-47B8-A8DE-B2680ACFB3BD}">
      <text>
        <r>
          <rPr>
            <b/>
            <sz val="8"/>
            <color indexed="81"/>
            <rFont val="Tahoma"/>
            <family val="2"/>
          </rPr>
          <t>Author:</t>
        </r>
        <r>
          <rPr>
            <sz val="8"/>
            <color indexed="81"/>
            <rFont val="Tahoma"/>
            <family val="2"/>
          </rPr>
          <t xml:space="preserve">
flat operationally</t>
        </r>
      </text>
    </comment>
    <comment ref="BH1235" authorId="22" shapeId="0" xr:uid="{81D5324A-3CE1-4CEC-B5DC-2352A7A3361E}">
      <text>
        <r>
          <rPr>
            <b/>
            <sz val="8"/>
            <color indexed="81"/>
            <rFont val="Tahoma"/>
            <family val="2"/>
          </rPr>
          <t>Author:</t>
        </r>
        <r>
          <rPr>
            <sz val="8"/>
            <color indexed="81"/>
            <rFont val="Tahoma"/>
            <family val="2"/>
          </rPr>
          <t xml:space="preserve">
pricing pressure in US</t>
        </r>
      </text>
    </comment>
    <comment ref="BE1236" authorId="0" shapeId="0" xr:uid="{B270F255-C91A-4DCD-928C-07D714508AF4}">
      <text>
        <r>
          <rPr>
            <b/>
            <sz val="8"/>
            <color indexed="81"/>
            <rFont val="Tahoma"/>
            <family val="2"/>
          </rPr>
          <t>Author:</t>
        </r>
        <r>
          <rPr>
            <sz val="8"/>
            <color indexed="81"/>
            <rFont val="Tahoma"/>
            <family val="2"/>
          </rPr>
          <t xml:space="preserve">
9%</t>
        </r>
      </text>
    </comment>
    <comment ref="BD1237" authorId="0" shapeId="0" xr:uid="{7D76D200-663B-4C7A-AA48-C9EED2CC747C}">
      <text>
        <r>
          <rPr>
            <b/>
            <sz val="8"/>
            <color indexed="81"/>
            <rFont val="Tahoma"/>
            <family val="2"/>
          </rPr>
          <t>Author:</t>
        </r>
        <r>
          <rPr>
            <sz val="8"/>
            <color indexed="81"/>
            <rFont val="Tahoma"/>
            <family val="2"/>
          </rPr>
          <t xml:space="preserve">
+10</t>
        </r>
      </text>
    </comment>
    <comment ref="BC1238" authorId="0" shapeId="0" xr:uid="{24EDBA5B-BF7A-4044-8397-AAA755859720}">
      <text>
        <r>
          <rPr>
            <b/>
            <sz val="8"/>
            <color indexed="81"/>
            <rFont val="Tahoma"/>
            <family val="2"/>
          </rPr>
          <t>Author:</t>
        </r>
        <r>
          <rPr>
            <sz val="8"/>
            <color indexed="81"/>
            <rFont val="Tahoma"/>
            <family val="2"/>
          </rPr>
          <t xml:space="preserve">
spine 13% CC</t>
        </r>
      </text>
    </comment>
    <comment ref="BE1238" authorId="0" shapeId="0" xr:uid="{52728456-E8FD-4009-9413-1CABD17291F1}">
      <text>
        <r>
          <rPr>
            <b/>
            <sz val="8"/>
            <color indexed="81"/>
            <rFont val="Tahoma"/>
            <family val="2"/>
          </rPr>
          <t>Author:</t>
        </r>
        <r>
          <rPr>
            <sz val="8"/>
            <color indexed="81"/>
            <rFont val="Tahoma"/>
            <family val="2"/>
          </rPr>
          <t xml:space="preserve">
%9 reported</t>
        </r>
      </text>
    </comment>
    <comment ref="B1241" authorId="0" shapeId="0" xr:uid="{BDDAEE4E-5F22-418E-ADCD-51CEEC615976}">
      <text>
        <r>
          <rPr>
            <b/>
            <sz val="8"/>
            <color indexed="81"/>
            <rFont val="Tahoma"/>
            <family val="2"/>
          </rPr>
          <t>Author:</t>
        </r>
        <r>
          <rPr>
            <sz val="8"/>
            <color indexed="81"/>
            <rFont val="Tahoma"/>
            <family val="2"/>
          </rPr>
          <t xml:space="preserve">
Discover cervical disc. Has not been submitted. Pivotal trial not completed. Second generation artifical disc. Minimal artifact Company1742 imaging. Currently enrolling don't have in pipeline not file by 2010. 
Confidence:Vertebroplasty and kyphoplasty? Controlled delivery of highly viscous cement. Seamless mixing. Reduces radiation exposure because shorter procedure time. (launched Q2 2008 According to the National Osteoporosis Foundation (Company1889), more than 550,000 people get vertebral compression fractures in the United States each year and more than 10 million Americans have osteoporosis. )</t>
        </r>
      </text>
    </comment>
    <comment ref="AZ1242" authorId="0" shapeId="0" xr:uid="{83F0F831-FF3D-45FE-8060-E8E05BED5CFD}">
      <text>
        <r>
          <rPr>
            <b/>
            <sz val="8"/>
            <color indexed="81"/>
            <rFont val="Tahoma"/>
            <family val="2"/>
          </rPr>
          <t>Author:</t>
        </r>
        <r>
          <rPr>
            <sz val="8"/>
            <color indexed="81"/>
            <rFont val="Tahoma"/>
            <family val="2"/>
          </rPr>
          <t xml:space="preserve">
65%</t>
        </r>
      </text>
    </comment>
    <comment ref="BA1242" authorId="0" shapeId="0" xr:uid="{3106D5AD-0740-4F8A-A949-57B9CFB0A812}">
      <text>
        <r>
          <rPr>
            <b/>
            <sz val="8"/>
            <color indexed="81"/>
            <rFont val="Tahoma"/>
            <family val="2"/>
          </rPr>
          <t>Author:</t>
        </r>
        <r>
          <rPr>
            <sz val="8"/>
            <color indexed="81"/>
            <rFont val="Tahoma"/>
            <family val="2"/>
          </rPr>
          <t xml:space="preserve">
67%</t>
        </r>
      </text>
    </comment>
    <comment ref="BC1242" authorId="0" shapeId="0" xr:uid="{0B3CD199-AC55-4643-AC70-027FBC9CDA64}">
      <text>
        <r>
          <rPr>
            <b/>
            <sz val="8"/>
            <color indexed="81"/>
            <rFont val="Tahoma"/>
            <family val="2"/>
          </rPr>
          <t>Author:</t>
        </r>
        <r>
          <rPr>
            <sz val="8"/>
            <color indexed="81"/>
            <rFont val="Tahoma"/>
            <family val="2"/>
          </rPr>
          <t xml:space="preserve">
almost 70%</t>
        </r>
      </text>
    </comment>
    <comment ref="BD1242" authorId="0" shapeId="0" xr:uid="{B8B78EE4-4CFF-48F9-AE44-52BD8110F99B}">
      <text>
        <r>
          <rPr>
            <b/>
            <sz val="8"/>
            <color indexed="81"/>
            <rFont val="Tahoma"/>
            <family val="2"/>
          </rPr>
          <t>Author:</t>
        </r>
        <r>
          <rPr>
            <sz val="8"/>
            <color indexed="81"/>
            <rFont val="Tahoma"/>
            <family val="2"/>
          </rPr>
          <t xml:space="preserve">
65% US</t>
        </r>
      </text>
    </comment>
    <comment ref="BE1242" authorId="0" shapeId="0" xr:uid="{3AB7EEF6-AF7D-4A3D-82BF-54CDA4D9FE43}">
      <text>
        <r>
          <rPr>
            <b/>
            <sz val="8"/>
            <color indexed="81"/>
            <rFont val="Tahoma"/>
            <family val="2"/>
          </rPr>
          <t>Author:</t>
        </r>
        <r>
          <rPr>
            <sz val="8"/>
            <color indexed="81"/>
            <rFont val="Tahoma"/>
            <family val="2"/>
          </rPr>
          <t xml:space="preserve">
Confidence came in 3Q 2008 so tougher comp</t>
        </r>
      </text>
    </comment>
    <comment ref="BH1242" authorId="0" shapeId="0" xr:uid="{B564CE67-663A-4C76-BBF3-C304244E4721}">
      <text>
        <r>
          <rPr>
            <b/>
            <sz val="8"/>
            <color indexed="81"/>
            <rFont val="Tahoma"/>
            <family val="2"/>
          </rPr>
          <t>Author:</t>
        </r>
        <r>
          <rPr>
            <sz val="8"/>
            <color indexed="81"/>
            <rFont val="Tahoma"/>
            <family val="2"/>
          </rPr>
          <t xml:space="preserve">
10% to 10.3% in 4Q share</t>
        </r>
      </text>
    </comment>
    <comment ref="BI1242" authorId="16" shapeId="0" xr:uid="{339C4F2E-074E-434E-BCF8-7901C43D334F}">
      <text>
        <r>
          <rPr>
            <b/>
            <sz val="8"/>
            <color indexed="81"/>
            <rFont val="Tahoma"/>
            <family val="2"/>
          </rPr>
          <t>Author:</t>
        </r>
        <r>
          <rPr>
            <sz val="8"/>
            <color indexed="81"/>
            <rFont val="Tahoma"/>
            <family val="2"/>
          </rPr>
          <t xml:space="preserve">
-4% US op</t>
        </r>
      </text>
    </comment>
    <comment ref="BJ1242" authorId="17" shapeId="0" xr:uid="{1FEFD00F-3D8E-48E7-8CA8-C6C50AB70167}">
      <text>
        <r>
          <rPr>
            <b/>
            <sz val="8"/>
            <color indexed="81"/>
            <rFont val="Tahoma"/>
            <family val="2"/>
          </rPr>
          <t>Author:</t>
        </r>
        <r>
          <rPr>
            <sz val="8"/>
            <color indexed="81"/>
            <rFont val="Tahoma"/>
            <family val="2"/>
          </rPr>
          <t xml:space="preserve">
US down 3% op</t>
        </r>
      </text>
    </comment>
    <comment ref="BK1242" authorId="17" shapeId="0" xr:uid="{1FE10AFD-0563-4F37-A8AE-8BB44CC09932}">
      <text>
        <r>
          <rPr>
            <b/>
            <sz val="8"/>
            <color indexed="81"/>
            <rFont val="Tahoma"/>
            <family val="2"/>
          </rPr>
          <t>Author:</t>
        </r>
        <r>
          <rPr>
            <sz val="8"/>
            <color indexed="81"/>
            <rFont val="Tahoma"/>
            <family val="2"/>
          </rPr>
          <t xml:space="preserve">
US down 8% op</t>
        </r>
      </text>
    </comment>
    <comment ref="BI1243" authorId="16" shapeId="0" xr:uid="{6537AB1C-ADF4-44AC-9D3F-9DDE1D742892}">
      <text>
        <r>
          <rPr>
            <b/>
            <sz val="8"/>
            <color indexed="81"/>
            <rFont val="Tahoma"/>
            <family val="2"/>
          </rPr>
          <t>Author:</t>
        </r>
        <r>
          <rPr>
            <sz val="8"/>
            <color indexed="81"/>
            <rFont val="Tahoma"/>
            <family val="2"/>
          </rPr>
          <t xml:space="preserve">
7% up op?</t>
        </r>
      </text>
    </comment>
    <comment ref="BJ1243" authorId="17" shapeId="0" xr:uid="{16E3DB74-8FF4-4F56-94BB-2AE230650703}">
      <text>
        <r>
          <rPr>
            <b/>
            <sz val="8"/>
            <color indexed="81"/>
            <rFont val="Tahoma"/>
            <family val="2"/>
          </rPr>
          <t>Author:</t>
        </r>
        <r>
          <rPr>
            <sz val="8"/>
            <color indexed="81"/>
            <rFont val="Tahoma"/>
            <family val="2"/>
          </rPr>
          <t xml:space="preserve">
Up 7% op., 5% reported</t>
        </r>
      </text>
    </comment>
    <comment ref="BK1243" authorId="17" shapeId="0" xr:uid="{891B8CBC-819E-40F1-9772-E6F19031E82F}">
      <text>
        <r>
          <rPr>
            <b/>
            <sz val="8"/>
            <color indexed="81"/>
            <rFont val="Tahoma"/>
            <family val="2"/>
          </rPr>
          <t>Author:</t>
        </r>
        <r>
          <rPr>
            <sz val="8"/>
            <color indexed="81"/>
            <rFont val="Tahoma"/>
            <family val="2"/>
          </rPr>
          <t xml:space="preserve">
Up 4% op.</t>
        </r>
      </text>
    </comment>
    <comment ref="BC1244" authorId="0" shapeId="0" xr:uid="{FBB6CD7B-B7FD-41BF-9F11-D30ACAF86F2E}">
      <text>
        <r>
          <rPr>
            <b/>
            <sz val="8"/>
            <color indexed="81"/>
            <rFont val="Tahoma"/>
            <family val="2"/>
          </rPr>
          <t>Author:</t>
        </r>
        <r>
          <rPr>
            <sz val="8"/>
            <color indexed="81"/>
            <rFont val="Tahoma"/>
            <family val="2"/>
          </rPr>
          <t xml:space="preserve">
215</t>
        </r>
      </text>
    </comment>
    <comment ref="BD1244" authorId="0" shapeId="0" xr:uid="{275DEFA5-1AB2-46CD-8EB6-52C18016AF0A}">
      <text>
        <r>
          <rPr>
            <b/>
            <sz val="8"/>
            <color indexed="81"/>
            <rFont val="Tahoma"/>
            <family val="2"/>
          </rPr>
          <t>Author:</t>
        </r>
        <r>
          <rPr>
            <sz val="8"/>
            <color indexed="81"/>
            <rFont val="Tahoma"/>
            <family val="2"/>
          </rPr>
          <t xml:space="preserve">
230</t>
        </r>
      </text>
    </comment>
    <comment ref="BH1244" authorId="0" shapeId="0" xr:uid="{AA68D8B8-2742-4578-A7A5-FCB5D03010E2}">
      <text>
        <r>
          <rPr>
            <b/>
            <sz val="8"/>
            <color indexed="81"/>
            <rFont val="Tahoma"/>
            <family val="2"/>
          </rPr>
          <t>Author:</t>
        </r>
        <r>
          <rPr>
            <sz val="8"/>
            <color indexed="81"/>
            <rFont val="Tahoma"/>
            <family val="2"/>
          </rPr>
          <t xml:space="preserve">
11.8% to 12.2%</t>
        </r>
      </text>
    </comment>
    <comment ref="BJ1244" authorId="18" shapeId="0" xr:uid="{5D97AA87-DC0A-4F71-AAE4-3076F218AD69}">
      <text>
        <r>
          <rPr>
            <b/>
            <sz val="8"/>
            <color indexed="81"/>
            <rFont val="Tahoma"/>
            <family val="2"/>
          </rPr>
          <t>Author:</t>
        </r>
        <r>
          <rPr>
            <sz val="8"/>
            <color indexed="81"/>
            <rFont val="Tahoma"/>
            <family val="2"/>
          </rPr>
          <t xml:space="preserve">
flat operationally</t>
        </r>
      </text>
    </comment>
    <comment ref="BH1247" authorId="22" shapeId="0" xr:uid="{0CF4141C-1E11-490B-9CAF-E8DCE06D41F7}">
      <text>
        <r>
          <rPr>
            <b/>
            <sz val="8"/>
            <color indexed="81"/>
            <rFont val="Tahoma"/>
            <family val="2"/>
          </rPr>
          <t>Author:</t>
        </r>
        <r>
          <rPr>
            <sz val="8"/>
            <color indexed="81"/>
            <rFont val="Tahoma"/>
            <family val="2"/>
          </rPr>
          <t xml:space="preserve">
pricing pressure in US</t>
        </r>
      </text>
    </comment>
    <comment ref="BE1248" authorId="0" shapeId="0" xr:uid="{6B42208B-DF03-4696-8B10-22935BF88F80}">
      <text>
        <r>
          <rPr>
            <b/>
            <sz val="8"/>
            <color indexed="81"/>
            <rFont val="Tahoma"/>
            <family val="2"/>
          </rPr>
          <t>Author:</t>
        </r>
        <r>
          <rPr>
            <sz val="8"/>
            <color indexed="81"/>
            <rFont val="Tahoma"/>
            <family val="2"/>
          </rPr>
          <t xml:space="preserve">
9%</t>
        </r>
      </text>
    </comment>
    <comment ref="BD1249" authorId="0" shapeId="0" xr:uid="{F84C00FA-36FE-46D3-9F48-1D19EE809173}">
      <text>
        <r>
          <rPr>
            <b/>
            <sz val="8"/>
            <color indexed="81"/>
            <rFont val="Tahoma"/>
            <family val="2"/>
          </rPr>
          <t>Author:</t>
        </r>
        <r>
          <rPr>
            <sz val="8"/>
            <color indexed="81"/>
            <rFont val="Tahoma"/>
            <family val="2"/>
          </rPr>
          <t xml:space="preserve">
+10</t>
        </r>
      </text>
    </comment>
    <comment ref="BC1250" authorId="0" shapeId="0" xr:uid="{E80A5677-BF6A-459D-8234-29F11B49427E}">
      <text>
        <r>
          <rPr>
            <b/>
            <sz val="8"/>
            <color indexed="81"/>
            <rFont val="Tahoma"/>
            <family val="2"/>
          </rPr>
          <t>Author:</t>
        </r>
        <r>
          <rPr>
            <sz val="8"/>
            <color indexed="81"/>
            <rFont val="Tahoma"/>
            <family val="2"/>
          </rPr>
          <t xml:space="preserve">
spine 13% CC</t>
        </r>
      </text>
    </comment>
    <comment ref="BE1250" authorId="0" shapeId="0" xr:uid="{B127FF54-CDF7-47ED-B59E-1AA92ED2DC2E}">
      <text>
        <r>
          <rPr>
            <b/>
            <sz val="8"/>
            <color indexed="81"/>
            <rFont val="Tahoma"/>
            <family val="2"/>
          </rPr>
          <t>Author:</t>
        </r>
        <r>
          <rPr>
            <sz val="8"/>
            <color indexed="81"/>
            <rFont val="Tahoma"/>
            <family val="2"/>
          </rPr>
          <t xml:space="preserve">
%9 reported</t>
        </r>
      </text>
    </comment>
    <comment ref="B1253" authorId="0" shapeId="0" xr:uid="{CE7982B5-F4D9-4D75-8315-3F008DDA9F94}">
      <text>
        <r>
          <rPr>
            <b/>
            <sz val="8"/>
            <color indexed="81"/>
            <rFont val="Tahoma"/>
            <family val="2"/>
          </rPr>
          <t>Author:</t>
        </r>
        <r>
          <rPr>
            <sz val="8"/>
            <color indexed="81"/>
            <rFont val="Tahoma"/>
            <family val="2"/>
          </rPr>
          <t xml:space="preserve">
Discover cervical disc. Has not been submitted. Pivotal trial not completed. Second generation artifical disc. Minimal artifact Company1742 imaging. Currently enrolling don't have in pipeline not file by 2010. 
Confidence:Vertebroplasty and kyphoplasty? Controlled delivery of highly viscous cement. Seamless mixing. Reduces radiation exposure because shorter procedure time. (launched Q2 2008 According to the National Osteoporosis Foundation (Company1889), more than 550,000 people get vertebral compression fractures in the United States each year and more than 10 million Americans have osteoporosis. )</t>
        </r>
      </text>
    </comment>
    <comment ref="AZ1254" authorId="0" shapeId="0" xr:uid="{8F51143D-22D5-4A06-942D-7C222F9AE68F}">
      <text>
        <r>
          <rPr>
            <b/>
            <sz val="8"/>
            <color indexed="81"/>
            <rFont val="Tahoma"/>
            <family val="2"/>
          </rPr>
          <t>Author:</t>
        </r>
        <r>
          <rPr>
            <sz val="8"/>
            <color indexed="81"/>
            <rFont val="Tahoma"/>
            <family val="2"/>
          </rPr>
          <t xml:space="preserve">
65%</t>
        </r>
      </text>
    </comment>
    <comment ref="BA1254" authorId="0" shapeId="0" xr:uid="{5E8EB753-C499-4443-A2F4-E136D9A996E2}">
      <text>
        <r>
          <rPr>
            <b/>
            <sz val="8"/>
            <color indexed="81"/>
            <rFont val="Tahoma"/>
            <family val="2"/>
          </rPr>
          <t>Author:</t>
        </r>
        <r>
          <rPr>
            <sz val="8"/>
            <color indexed="81"/>
            <rFont val="Tahoma"/>
            <family val="2"/>
          </rPr>
          <t xml:space="preserve">
67%</t>
        </r>
      </text>
    </comment>
    <comment ref="BC1254" authorId="0" shapeId="0" xr:uid="{73D4268E-7D8B-4ACA-A72C-D61A09DEE68D}">
      <text>
        <r>
          <rPr>
            <b/>
            <sz val="8"/>
            <color indexed="81"/>
            <rFont val="Tahoma"/>
            <family val="2"/>
          </rPr>
          <t>Author:</t>
        </r>
        <r>
          <rPr>
            <sz val="8"/>
            <color indexed="81"/>
            <rFont val="Tahoma"/>
            <family val="2"/>
          </rPr>
          <t xml:space="preserve">
almost 70%</t>
        </r>
      </text>
    </comment>
    <comment ref="BD1254" authorId="0" shapeId="0" xr:uid="{052F965A-8B5B-40D6-9362-09FFB2BEBA34}">
      <text>
        <r>
          <rPr>
            <b/>
            <sz val="8"/>
            <color indexed="81"/>
            <rFont val="Tahoma"/>
            <family val="2"/>
          </rPr>
          <t>Author:</t>
        </r>
        <r>
          <rPr>
            <sz val="8"/>
            <color indexed="81"/>
            <rFont val="Tahoma"/>
            <family val="2"/>
          </rPr>
          <t xml:space="preserve">
65% US</t>
        </r>
      </text>
    </comment>
    <comment ref="BE1254" authorId="0" shapeId="0" xr:uid="{F2B3C94D-DD2A-472B-B784-D2A92B798F3F}">
      <text>
        <r>
          <rPr>
            <b/>
            <sz val="8"/>
            <color indexed="81"/>
            <rFont val="Tahoma"/>
            <family val="2"/>
          </rPr>
          <t>Author:</t>
        </r>
        <r>
          <rPr>
            <sz val="8"/>
            <color indexed="81"/>
            <rFont val="Tahoma"/>
            <family val="2"/>
          </rPr>
          <t xml:space="preserve">
Confidence came in 3Q 2008 so tougher comp</t>
        </r>
      </text>
    </comment>
    <comment ref="BH1254" authorId="0" shapeId="0" xr:uid="{5919CDE4-4002-442F-B765-FC040C406D92}">
      <text>
        <r>
          <rPr>
            <b/>
            <sz val="8"/>
            <color indexed="81"/>
            <rFont val="Tahoma"/>
            <family val="2"/>
          </rPr>
          <t>Author:</t>
        </r>
        <r>
          <rPr>
            <sz val="8"/>
            <color indexed="81"/>
            <rFont val="Tahoma"/>
            <family val="2"/>
          </rPr>
          <t xml:space="preserve">
10% to 10.3% in 4Q share</t>
        </r>
      </text>
    </comment>
    <comment ref="BI1254" authorId="16" shapeId="0" xr:uid="{498F56EE-C865-4A09-B475-4FE6B1245C63}">
      <text>
        <r>
          <rPr>
            <b/>
            <sz val="8"/>
            <color indexed="81"/>
            <rFont val="Tahoma"/>
            <family val="2"/>
          </rPr>
          <t>Author:</t>
        </r>
        <r>
          <rPr>
            <sz val="8"/>
            <color indexed="81"/>
            <rFont val="Tahoma"/>
            <family val="2"/>
          </rPr>
          <t xml:space="preserve">
-4% US op</t>
        </r>
      </text>
    </comment>
    <comment ref="BJ1254" authorId="17" shapeId="0" xr:uid="{DA901C56-0065-416F-83B2-8EBB2F1C8B69}">
      <text>
        <r>
          <rPr>
            <b/>
            <sz val="8"/>
            <color indexed="81"/>
            <rFont val="Tahoma"/>
            <family val="2"/>
          </rPr>
          <t>Author:</t>
        </r>
        <r>
          <rPr>
            <sz val="8"/>
            <color indexed="81"/>
            <rFont val="Tahoma"/>
            <family val="2"/>
          </rPr>
          <t xml:space="preserve">
US down 3% op</t>
        </r>
      </text>
    </comment>
    <comment ref="BK1254" authorId="17" shapeId="0" xr:uid="{386D8C1F-578E-438D-A924-729316B35DD0}">
      <text>
        <r>
          <rPr>
            <b/>
            <sz val="8"/>
            <color indexed="81"/>
            <rFont val="Tahoma"/>
            <family val="2"/>
          </rPr>
          <t>Author:</t>
        </r>
        <r>
          <rPr>
            <sz val="8"/>
            <color indexed="81"/>
            <rFont val="Tahoma"/>
            <family val="2"/>
          </rPr>
          <t xml:space="preserve">
US down 8% op</t>
        </r>
      </text>
    </comment>
    <comment ref="BM1254" authorId="24" shapeId="0" xr:uid="{D7C85F46-F868-4D3C-991D-20E38D87CAD6}">
      <text>
        <r>
          <rPr>
            <b/>
            <sz val="8"/>
            <color indexed="81"/>
            <rFont val="Tahoma"/>
            <family val="2"/>
          </rPr>
          <t>Author:</t>
        </r>
        <r>
          <rPr>
            <sz val="8"/>
            <color indexed="81"/>
            <rFont val="Tahoma"/>
            <family val="2"/>
          </rPr>
          <t xml:space="preserve">
down 1% op</t>
        </r>
      </text>
    </comment>
    <comment ref="BN1254" authorId="24" shapeId="0" xr:uid="{C53A9E1C-44B8-4402-A55B-4DD4F27C4286}">
      <text>
        <r>
          <rPr>
            <b/>
            <sz val="8"/>
            <color indexed="81"/>
            <rFont val="Tahoma"/>
            <family val="2"/>
          </rPr>
          <t>Author:</t>
        </r>
        <r>
          <rPr>
            <sz val="8"/>
            <color indexed="81"/>
            <rFont val="Tahoma"/>
            <family val="2"/>
          </rPr>
          <t xml:space="preserve">
down 4.4% op</t>
        </r>
      </text>
    </comment>
    <comment ref="BO1254" authorId="24" shapeId="0" xr:uid="{65BB4C59-8703-4605-B4F7-243BBD3682B8}">
      <text>
        <r>
          <rPr>
            <b/>
            <sz val="8"/>
            <color indexed="81"/>
            <rFont val="Tahoma"/>
            <family val="2"/>
          </rPr>
          <t>Author:</t>
        </r>
        <r>
          <rPr>
            <sz val="8"/>
            <color indexed="81"/>
            <rFont val="Tahoma"/>
            <family val="2"/>
          </rPr>
          <t xml:space="preserve">
down 3.2%</t>
        </r>
      </text>
    </comment>
    <comment ref="BP1254" authorId="24" shapeId="0" xr:uid="{56F54070-2213-4C80-B682-D96DD9539F81}">
      <text>
        <r>
          <rPr>
            <b/>
            <sz val="8"/>
            <color indexed="81"/>
            <rFont val="Tahoma"/>
            <family val="2"/>
          </rPr>
          <t>Author:</t>
        </r>
        <r>
          <rPr>
            <sz val="8"/>
            <color indexed="81"/>
            <rFont val="Tahoma"/>
            <family val="2"/>
          </rPr>
          <t xml:space="preserve">
dwn 7%</t>
        </r>
      </text>
    </comment>
    <comment ref="BR1254" authorId="25" shapeId="0" xr:uid="{BB955387-81C3-4168-BA2C-122FF14E6EB1}">
      <text>
        <r>
          <rPr>
            <b/>
            <sz val="8"/>
            <color indexed="81"/>
            <rFont val="Tahoma"/>
            <family val="2"/>
          </rPr>
          <t>Author:</t>
        </r>
        <r>
          <rPr>
            <sz val="8"/>
            <color indexed="81"/>
            <rFont val="Tahoma"/>
            <family val="2"/>
          </rPr>
          <t xml:space="preserve">
-7.7% growth</t>
        </r>
      </text>
    </comment>
    <comment ref="BU1254" authorId="25" shapeId="0" xr:uid="{3E1A0E34-87E1-4649-B537-4D07FD697FD9}">
      <text>
        <r>
          <rPr>
            <b/>
            <sz val="8"/>
            <color indexed="81"/>
            <rFont val="Tahoma"/>
            <family val="2"/>
          </rPr>
          <t>Author:</t>
        </r>
        <r>
          <rPr>
            <sz val="8"/>
            <color indexed="81"/>
            <rFont val="Tahoma"/>
            <family val="2"/>
          </rPr>
          <t xml:space="preserve">
Including the Synthes business in both periods, worldwide spine was down 3% on operational bases with the U.S. down approximately 7% impacted by continued softness in the market as well as the restructuring of the commercial sales organization.</t>
        </r>
      </text>
    </comment>
    <comment ref="BI1255" authorId="16" shapeId="0" xr:uid="{73B22EB7-F8DC-4732-B822-FB5A2E6F07AB}">
      <text>
        <r>
          <rPr>
            <b/>
            <sz val="8"/>
            <color indexed="81"/>
            <rFont val="Tahoma"/>
            <family val="2"/>
          </rPr>
          <t>Author:</t>
        </r>
        <r>
          <rPr>
            <sz val="8"/>
            <color indexed="81"/>
            <rFont val="Tahoma"/>
            <family val="2"/>
          </rPr>
          <t xml:space="preserve">
7% up op?</t>
        </r>
      </text>
    </comment>
    <comment ref="BJ1255" authorId="17" shapeId="0" xr:uid="{A27A43AD-4FAF-46CA-8E96-18153EE1EA40}">
      <text>
        <r>
          <rPr>
            <b/>
            <sz val="8"/>
            <color indexed="81"/>
            <rFont val="Tahoma"/>
            <family val="2"/>
          </rPr>
          <t>Author:</t>
        </r>
        <r>
          <rPr>
            <sz val="8"/>
            <color indexed="81"/>
            <rFont val="Tahoma"/>
            <family val="2"/>
          </rPr>
          <t xml:space="preserve">
Up 7% op., 5% reported</t>
        </r>
      </text>
    </comment>
    <comment ref="BK1255" authorId="17" shapeId="0" xr:uid="{7F50ECDF-FB63-4CF6-AA69-37C1A407D32F}">
      <text>
        <r>
          <rPr>
            <b/>
            <sz val="8"/>
            <color indexed="81"/>
            <rFont val="Tahoma"/>
            <family val="2"/>
          </rPr>
          <t>Author:</t>
        </r>
        <r>
          <rPr>
            <sz val="8"/>
            <color indexed="81"/>
            <rFont val="Tahoma"/>
            <family val="2"/>
          </rPr>
          <t xml:space="preserve">
Up 4% op.</t>
        </r>
      </text>
    </comment>
    <comment ref="BM1255" authorId="24" shapeId="0" xr:uid="{1F9991F9-4CF2-478A-B54A-8AE3CC01F9DF}">
      <text>
        <r>
          <rPr>
            <b/>
            <sz val="8"/>
            <color indexed="81"/>
            <rFont val="Tahoma"/>
            <family val="2"/>
          </rPr>
          <t>Author:</t>
        </r>
        <r>
          <rPr>
            <sz val="8"/>
            <color indexed="81"/>
            <rFont val="Tahoma"/>
            <family val="2"/>
          </rPr>
          <t xml:space="preserve">
up 6% op</t>
        </r>
      </text>
    </comment>
    <comment ref="BN1255" authorId="24" shapeId="0" xr:uid="{F761B682-09BA-4B42-96C1-4EBDDDDAB736}">
      <text>
        <r>
          <rPr>
            <b/>
            <sz val="8"/>
            <color indexed="81"/>
            <rFont val="Tahoma"/>
            <family val="2"/>
          </rPr>
          <t>Author:</t>
        </r>
        <r>
          <rPr>
            <sz val="8"/>
            <color indexed="81"/>
            <rFont val="Tahoma"/>
            <family val="2"/>
          </rPr>
          <t xml:space="preserve">
up 7.9% op</t>
        </r>
      </text>
    </comment>
    <comment ref="BO1255" authorId="24" shapeId="0" xr:uid="{CC76AB4E-511E-4D17-BFFB-C6152313B6AC}">
      <text>
        <r>
          <rPr>
            <b/>
            <sz val="8"/>
            <color indexed="81"/>
            <rFont val="Tahoma"/>
            <family val="2"/>
          </rPr>
          <t>Author:</t>
        </r>
        <r>
          <rPr>
            <sz val="8"/>
            <color indexed="81"/>
            <rFont val="Tahoma"/>
            <family val="2"/>
          </rPr>
          <t xml:space="preserve">
up 9.6% op</t>
        </r>
      </text>
    </comment>
    <comment ref="BP1255" authorId="24" shapeId="0" xr:uid="{4B1EE5D9-F6C7-4580-B11B-C595974EC878}">
      <text>
        <r>
          <rPr>
            <b/>
            <sz val="8"/>
            <color indexed="81"/>
            <rFont val="Tahoma"/>
            <family val="2"/>
          </rPr>
          <t>Author:</t>
        </r>
        <r>
          <rPr>
            <sz val="8"/>
            <color indexed="81"/>
            <rFont val="Tahoma"/>
            <family val="2"/>
          </rPr>
          <t xml:space="preserve">
up 5.1%</t>
        </r>
      </text>
    </comment>
    <comment ref="BR1255" authorId="25" shapeId="0" xr:uid="{F98241EB-D01D-4299-B03D-7CB4DB59BBDE}">
      <text>
        <r>
          <rPr>
            <b/>
            <sz val="8"/>
            <color indexed="81"/>
            <rFont val="Tahoma"/>
            <family val="2"/>
          </rPr>
          <t>Author:</t>
        </r>
        <r>
          <rPr>
            <sz val="8"/>
            <color indexed="81"/>
            <rFont val="Tahoma"/>
            <family val="2"/>
          </rPr>
          <t xml:space="preserve">
4.5% grwth</t>
        </r>
      </text>
    </comment>
    <comment ref="BU1255" authorId="25" shapeId="0" xr:uid="{AF9144FA-12DF-4D61-93B2-2FB4043E016B}">
      <text>
        <r>
          <rPr>
            <b/>
            <sz val="8"/>
            <color indexed="81"/>
            <rFont val="Tahoma"/>
            <family val="2"/>
          </rPr>
          <t>Author:</t>
        </r>
        <r>
          <rPr>
            <sz val="8"/>
            <color indexed="81"/>
            <rFont val="Tahoma"/>
            <family val="2"/>
          </rPr>
          <t xml:space="preserve">
Outside the U.S., sales grew approximately 4% operationally.</t>
        </r>
      </text>
    </comment>
    <comment ref="BC1256" authorId="0" shapeId="0" xr:uid="{25DB65E3-0260-4A49-A336-43E734881162}">
      <text>
        <r>
          <rPr>
            <b/>
            <sz val="8"/>
            <color indexed="81"/>
            <rFont val="Tahoma"/>
            <family val="2"/>
          </rPr>
          <t>Author:</t>
        </r>
        <r>
          <rPr>
            <sz val="8"/>
            <color indexed="81"/>
            <rFont val="Tahoma"/>
            <family val="2"/>
          </rPr>
          <t xml:space="preserve">
215</t>
        </r>
      </text>
    </comment>
    <comment ref="BD1256" authorId="0" shapeId="0" xr:uid="{0BA1760D-B99D-478F-97C9-F2D7598FE788}">
      <text>
        <r>
          <rPr>
            <b/>
            <sz val="8"/>
            <color indexed="81"/>
            <rFont val="Tahoma"/>
            <family val="2"/>
          </rPr>
          <t>Author:</t>
        </r>
        <r>
          <rPr>
            <sz val="8"/>
            <color indexed="81"/>
            <rFont val="Tahoma"/>
            <family val="2"/>
          </rPr>
          <t xml:space="preserve">
230</t>
        </r>
      </text>
    </comment>
    <comment ref="BH1256" authorId="0" shapeId="0" xr:uid="{20EA30EB-7B48-4550-8781-8BBB36FCEAFC}">
      <text>
        <r>
          <rPr>
            <b/>
            <sz val="8"/>
            <color indexed="81"/>
            <rFont val="Tahoma"/>
            <family val="2"/>
          </rPr>
          <t>Author:</t>
        </r>
        <r>
          <rPr>
            <sz val="8"/>
            <color indexed="81"/>
            <rFont val="Tahoma"/>
            <family val="2"/>
          </rPr>
          <t xml:space="preserve">
11.8% to 12.2%</t>
        </r>
      </text>
    </comment>
    <comment ref="BJ1256" authorId="18" shapeId="0" xr:uid="{2FCCBD2A-2E31-4114-987A-A7798EB3E9FB}">
      <text>
        <r>
          <rPr>
            <b/>
            <sz val="8"/>
            <color indexed="81"/>
            <rFont val="Tahoma"/>
            <family val="2"/>
          </rPr>
          <t>Author:</t>
        </r>
        <r>
          <rPr>
            <sz val="8"/>
            <color indexed="81"/>
            <rFont val="Tahoma"/>
            <family val="2"/>
          </rPr>
          <t xml:space="preserve">
flat operationally</t>
        </r>
      </text>
    </comment>
    <comment ref="BL1256" authorId="1" shapeId="0" xr:uid="{CE4057B5-6EE2-4138-B357-E6A28AD644AB}">
      <text>
        <r>
          <rPr>
            <b/>
            <sz val="8"/>
            <color indexed="81"/>
            <rFont val="Tahoma"/>
            <family val="2"/>
          </rPr>
          <t>Author:</t>
        </r>
        <r>
          <rPr>
            <sz val="8"/>
            <color indexed="81"/>
            <rFont val="Tahoma"/>
            <family val="2"/>
          </rPr>
          <t xml:space="preserve">
1.26.11 Pricing pressure in the category and softness in procedural volumes impacted the growth in the US
</t>
        </r>
      </text>
    </comment>
    <comment ref="BH1259" authorId="22" shapeId="0" xr:uid="{7626233E-5A38-4A35-82A9-41332FF20C4E}">
      <text>
        <r>
          <rPr>
            <b/>
            <sz val="8"/>
            <color indexed="81"/>
            <rFont val="Tahoma"/>
            <family val="2"/>
          </rPr>
          <t>Author:</t>
        </r>
        <r>
          <rPr>
            <sz val="8"/>
            <color indexed="81"/>
            <rFont val="Tahoma"/>
            <family val="2"/>
          </rPr>
          <t xml:space="preserve">
pricing pressure in US</t>
        </r>
      </text>
    </comment>
    <comment ref="BR1259" authorId="22" shapeId="0" xr:uid="{1639CD28-2EBE-40FD-8B6F-B8435AE83F78}">
      <text>
        <r>
          <rPr>
            <b/>
            <sz val="8"/>
            <color indexed="81"/>
            <rFont val="Tahoma"/>
            <family val="2"/>
          </rPr>
          <t>Author:</t>
        </r>
        <r>
          <rPr>
            <sz val="8"/>
            <color indexed="81"/>
            <rFont val="Tahoma"/>
            <family val="2"/>
          </rPr>
          <t xml:space="preserve">
down 8% operationally due to price</t>
        </r>
      </text>
    </comment>
    <comment ref="BE1260" authorId="0" shapeId="0" xr:uid="{4A4A84A3-EF9D-4017-A058-272E87054193}">
      <text>
        <r>
          <rPr>
            <b/>
            <sz val="8"/>
            <color indexed="81"/>
            <rFont val="Tahoma"/>
            <family val="2"/>
          </rPr>
          <t>Author:</t>
        </r>
        <r>
          <rPr>
            <sz val="8"/>
            <color indexed="81"/>
            <rFont val="Tahoma"/>
            <family val="2"/>
          </rPr>
          <t xml:space="preserve">
9%</t>
        </r>
      </text>
    </comment>
    <comment ref="BD1261" authorId="0" shapeId="0" xr:uid="{0D9CDA59-E2DD-432B-A4C2-BE8EB4D8A848}">
      <text>
        <r>
          <rPr>
            <b/>
            <sz val="8"/>
            <color indexed="81"/>
            <rFont val="Tahoma"/>
            <family val="2"/>
          </rPr>
          <t>Author:</t>
        </r>
        <r>
          <rPr>
            <sz val="8"/>
            <color indexed="81"/>
            <rFont val="Tahoma"/>
            <family val="2"/>
          </rPr>
          <t xml:space="preserve">
+10</t>
        </r>
      </text>
    </comment>
    <comment ref="BR1261" authorId="22" shapeId="0" xr:uid="{2D209AC3-8D07-47FB-A288-891B2C52B537}">
      <text>
        <r>
          <rPr>
            <b/>
            <sz val="8"/>
            <color indexed="81"/>
            <rFont val="Tahoma"/>
            <family val="2"/>
          </rPr>
          <t>Author:</t>
        </r>
        <r>
          <rPr>
            <sz val="8"/>
            <color indexed="81"/>
            <rFont val="Tahoma"/>
            <family val="2"/>
          </rPr>
          <t xml:space="preserve">
up 5% operationally ex US</t>
        </r>
      </text>
    </comment>
    <comment ref="BC1262" authorId="0" shapeId="0" xr:uid="{8CD15269-771D-4B85-8DC4-D52AA00204D8}">
      <text>
        <r>
          <rPr>
            <b/>
            <sz val="8"/>
            <color indexed="81"/>
            <rFont val="Tahoma"/>
            <family val="2"/>
          </rPr>
          <t>Author:</t>
        </r>
        <r>
          <rPr>
            <sz val="8"/>
            <color indexed="81"/>
            <rFont val="Tahoma"/>
            <family val="2"/>
          </rPr>
          <t xml:space="preserve">
spine 13% CC</t>
        </r>
      </text>
    </comment>
    <comment ref="BE1262" authorId="0" shapeId="0" xr:uid="{33CCF1E4-4090-4DF0-8EE0-3FD464BE85CB}">
      <text>
        <r>
          <rPr>
            <b/>
            <sz val="8"/>
            <color indexed="81"/>
            <rFont val="Tahoma"/>
            <family val="2"/>
          </rPr>
          <t>Author:</t>
        </r>
        <r>
          <rPr>
            <sz val="8"/>
            <color indexed="81"/>
            <rFont val="Tahoma"/>
            <family val="2"/>
          </rPr>
          <t xml:space="preserve">
%9 reported</t>
        </r>
      </text>
    </comment>
    <comment ref="BQ1262" authorId="1" shapeId="0" xr:uid="{30E99477-CC72-43C7-9EEF-963DBFB747E9}">
      <text>
        <r>
          <rPr>
            <b/>
            <sz val="8"/>
            <color indexed="81"/>
            <rFont val="Tahoma"/>
            <family val="2"/>
          </rPr>
          <t>Author:</t>
        </r>
        <r>
          <rPr>
            <sz val="8"/>
            <color indexed="81"/>
            <rFont val="Tahoma"/>
            <family val="2"/>
          </rPr>
          <t xml:space="preserve">
12.10.10 Driving 0-2% growth rate for the overall spine market</t>
        </r>
      </text>
    </comment>
    <comment ref="BR1262" authorId="22" shapeId="0" xr:uid="{FCE4CE37-CBC6-49F3-A339-FE5486EEAFCD}">
      <text>
        <r>
          <rPr>
            <b/>
            <sz val="8"/>
            <color indexed="81"/>
            <rFont val="Tahoma"/>
            <family val="2"/>
          </rPr>
          <t>Author:</t>
        </r>
        <r>
          <rPr>
            <sz val="8"/>
            <color indexed="81"/>
            <rFont val="Tahoma"/>
            <family val="2"/>
          </rPr>
          <t xml:space="preserve">
down 3% operationally</t>
        </r>
      </text>
    </comment>
    <comment ref="AZ1265" authorId="0" shapeId="0" xr:uid="{C0384617-7465-48DC-9E6E-682D311F71DF}">
      <text>
        <r>
          <rPr>
            <b/>
            <sz val="8"/>
            <color indexed="81"/>
            <rFont val="Tahoma"/>
            <family val="2"/>
          </rPr>
          <t>Author:</t>
        </r>
        <r>
          <rPr>
            <sz val="8"/>
            <color indexed="81"/>
            <rFont val="Tahoma"/>
            <family val="2"/>
          </rPr>
          <t xml:space="preserve">
45% Company1823 50%</t>
        </r>
      </text>
    </comment>
    <comment ref="BA1265" authorId="0" shapeId="0" xr:uid="{7337AF26-404A-4CDE-B5A7-CFD50BF96C89}">
      <text>
        <r>
          <rPr>
            <b/>
            <sz val="8"/>
            <color indexed="81"/>
            <rFont val="Tahoma"/>
            <family val="2"/>
          </rPr>
          <t>Author:</t>
        </r>
        <r>
          <rPr>
            <sz val="8"/>
            <color indexed="81"/>
            <rFont val="Tahoma"/>
            <family val="2"/>
          </rPr>
          <t xml:space="preserve">
just over 50% </t>
        </r>
      </text>
    </comment>
    <comment ref="BC1265" authorId="0" shapeId="0" xr:uid="{912F37DD-36F6-4645-9B19-52730B28F8BF}">
      <text>
        <r>
          <rPr>
            <b/>
            <sz val="8"/>
            <color indexed="81"/>
            <rFont val="Tahoma"/>
            <family val="2"/>
          </rPr>
          <t>Author:</t>
        </r>
        <r>
          <rPr>
            <sz val="8"/>
            <color indexed="81"/>
            <rFont val="Tahoma"/>
            <family val="2"/>
          </rPr>
          <t xml:space="preserve">
about 50% </t>
        </r>
      </text>
    </comment>
    <comment ref="BD1265" authorId="0" shapeId="0" xr:uid="{E391034D-EDBC-4FFB-8619-EFE14AF5C455}">
      <text>
        <r>
          <rPr>
            <b/>
            <sz val="8"/>
            <color indexed="81"/>
            <rFont val="Tahoma"/>
            <family val="2"/>
          </rPr>
          <t>Author:</t>
        </r>
        <r>
          <rPr>
            <sz val="8"/>
            <color indexed="81"/>
            <rFont val="Tahoma"/>
            <family val="2"/>
          </rPr>
          <t xml:space="preserve">
50/50%</t>
        </r>
      </text>
    </comment>
    <comment ref="BJ1265" authorId="18" shapeId="0" xr:uid="{871BC105-627D-4D3E-9A87-91F0FC2BCFB9}">
      <text>
        <r>
          <rPr>
            <b/>
            <sz val="8"/>
            <color indexed="81"/>
            <rFont val="Tahoma"/>
            <family val="2"/>
          </rPr>
          <t>Author:</t>
        </r>
        <r>
          <rPr>
            <sz val="8"/>
            <color indexed="81"/>
            <rFont val="Tahoma"/>
            <family val="2"/>
          </rPr>
          <t xml:space="preserve">
11% in US</t>
        </r>
      </text>
    </comment>
    <comment ref="BN1265" authorId="24" shapeId="0" xr:uid="{4ABB95D2-3EEF-4832-AC08-68F5259512B1}">
      <text>
        <r>
          <rPr>
            <b/>
            <sz val="8"/>
            <color indexed="81"/>
            <rFont val="Tahoma"/>
            <family val="2"/>
          </rPr>
          <t>Author:</t>
        </r>
        <r>
          <rPr>
            <sz val="8"/>
            <color indexed="81"/>
            <rFont val="Tahoma"/>
            <family val="2"/>
          </rPr>
          <t xml:space="preserve">
up 13.5% op</t>
        </r>
      </text>
    </comment>
    <comment ref="BO1265" authorId="24" shapeId="0" xr:uid="{4608E59D-9381-4225-BBED-95F391D868C4}">
      <text>
        <r>
          <rPr>
            <b/>
            <sz val="8"/>
            <color indexed="81"/>
            <rFont val="Tahoma"/>
            <family val="2"/>
          </rPr>
          <t>Author:</t>
        </r>
        <r>
          <rPr>
            <sz val="8"/>
            <color indexed="81"/>
            <rFont val="Tahoma"/>
            <family val="2"/>
          </rPr>
          <t xml:space="preserve">
up 1.6% 
</t>
        </r>
      </text>
    </comment>
    <comment ref="BP1265" authorId="24" shapeId="0" xr:uid="{DAA53566-B44B-4F4E-8AA7-08C20051EEF7}">
      <text>
        <r>
          <rPr>
            <b/>
            <sz val="8"/>
            <color indexed="81"/>
            <rFont val="Tahoma"/>
            <family val="2"/>
          </rPr>
          <t>Author:</t>
        </r>
        <r>
          <rPr>
            <sz val="8"/>
            <color indexed="81"/>
            <rFont val="Tahoma"/>
            <family val="2"/>
          </rPr>
          <t xml:space="preserve">
up 10.6%</t>
        </r>
      </text>
    </comment>
    <comment ref="BU1265" authorId="25" shapeId="0" xr:uid="{45ABB47E-0A0C-401B-8786-60F842DF5DF4}">
      <text>
        <r>
          <rPr>
            <b/>
            <sz val="8"/>
            <color indexed="81"/>
            <rFont val="Tahoma"/>
            <family val="2"/>
          </rPr>
          <t>Author:</t>
        </r>
        <r>
          <rPr>
            <sz val="8"/>
            <color indexed="81"/>
            <rFont val="Tahoma"/>
            <family val="2"/>
          </rPr>
          <t xml:space="preserve">
need additonal growth chart jnj sends out later</t>
        </r>
      </text>
    </comment>
    <comment ref="BJ1266" authorId="18" shapeId="0" xr:uid="{FA31ACB1-2D8D-49CE-B7C0-C65AA1805EE0}">
      <text>
        <r>
          <rPr>
            <b/>
            <sz val="8"/>
            <color indexed="81"/>
            <rFont val="Tahoma"/>
            <family val="2"/>
          </rPr>
          <t>Author:</t>
        </r>
        <r>
          <rPr>
            <sz val="8"/>
            <color indexed="81"/>
            <rFont val="Tahoma"/>
            <family val="2"/>
          </rPr>
          <t xml:space="preserve">
OUS 3% operationally, flat reported</t>
        </r>
      </text>
    </comment>
    <comment ref="BN1266" authorId="24" shapeId="0" xr:uid="{8F99CFDF-034E-43E8-9536-3A8656B64416}">
      <text>
        <r>
          <rPr>
            <b/>
            <sz val="8"/>
            <color indexed="81"/>
            <rFont val="Tahoma"/>
            <family val="2"/>
          </rPr>
          <t>Author:</t>
        </r>
        <r>
          <rPr>
            <sz val="8"/>
            <color indexed="81"/>
            <rFont val="Tahoma"/>
            <family val="2"/>
          </rPr>
          <t xml:space="preserve">
up 4.9% op</t>
        </r>
      </text>
    </comment>
    <comment ref="BO1266" authorId="24" shapeId="0" xr:uid="{C2409874-E8A7-422C-9C3D-CF4058AB846B}">
      <text>
        <r>
          <rPr>
            <b/>
            <sz val="8"/>
            <color indexed="81"/>
            <rFont val="Tahoma"/>
            <family val="2"/>
          </rPr>
          <t>Author:</t>
        </r>
        <r>
          <rPr>
            <sz val="8"/>
            <color indexed="81"/>
            <rFont val="Tahoma"/>
            <family val="2"/>
          </rPr>
          <t xml:space="preserve">
up 0.8% op</t>
        </r>
      </text>
    </comment>
    <comment ref="BP1266" authorId="24" shapeId="0" xr:uid="{641B7292-B079-456E-89CB-2FED216323AD}">
      <text>
        <r>
          <rPr>
            <b/>
            <sz val="8"/>
            <color indexed="81"/>
            <rFont val="Tahoma"/>
            <family val="2"/>
          </rPr>
          <t>Author:</t>
        </r>
        <r>
          <rPr>
            <sz val="8"/>
            <color indexed="81"/>
            <rFont val="Tahoma"/>
            <family val="2"/>
          </rPr>
          <t xml:space="preserve">
up 5.4%</t>
        </r>
      </text>
    </comment>
    <comment ref="BJ1267" authorId="18" shapeId="0" xr:uid="{C21CE419-16D0-4655-ABCC-6329F67FFAF7}">
      <text>
        <r>
          <rPr>
            <b/>
            <sz val="8"/>
            <color indexed="81"/>
            <rFont val="Tahoma"/>
            <family val="2"/>
          </rPr>
          <t>Author:</t>
        </r>
        <r>
          <rPr>
            <sz val="8"/>
            <color indexed="81"/>
            <rFont val="Tahoma"/>
            <family val="2"/>
          </rPr>
          <t xml:space="preserve">
7% operationally total</t>
        </r>
      </text>
    </comment>
    <comment ref="BE1270" authorId="0" shapeId="0" xr:uid="{DAEE8376-1621-411E-A2C9-E2221EDAF02D}">
      <text>
        <r>
          <rPr>
            <b/>
            <sz val="8"/>
            <color indexed="81"/>
            <rFont val="Tahoma"/>
            <family val="2"/>
          </rPr>
          <t>Author:</t>
        </r>
        <r>
          <rPr>
            <sz val="8"/>
            <color indexed="81"/>
            <rFont val="Tahoma"/>
            <family val="2"/>
          </rPr>
          <t xml:space="preserve">
13%</t>
        </r>
      </text>
    </comment>
    <comment ref="BM1270" authorId="22" shapeId="0" xr:uid="{F1225333-55B0-4929-8B85-B45C94F83824}">
      <text>
        <r>
          <rPr>
            <b/>
            <sz val="8"/>
            <color indexed="81"/>
            <rFont val="Tahoma"/>
            <family val="2"/>
          </rPr>
          <t>Author:</t>
        </r>
        <r>
          <rPr>
            <sz val="8"/>
            <color indexed="81"/>
            <rFont val="Tahoma"/>
            <family val="2"/>
          </rPr>
          <t xml:space="preserve">
8.5%</t>
        </r>
      </text>
    </comment>
    <comment ref="BE1271" authorId="0" shapeId="0" xr:uid="{968E876E-A09B-48A2-B458-1481C4594614}">
      <text>
        <r>
          <rPr>
            <b/>
            <sz val="8"/>
            <color indexed="81"/>
            <rFont val="Tahoma"/>
            <family val="2"/>
          </rPr>
          <t>Author:</t>
        </r>
        <r>
          <rPr>
            <sz val="8"/>
            <color indexed="81"/>
            <rFont val="Tahoma"/>
            <family val="2"/>
          </rPr>
          <t xml:space="preserve">
6% </t>
        </r>
      </text>
    </comment>
    <comment ref="BM1271" authorId="22" shapeId="0" xr:uid="{CA96975E-76D2-4D6B-BC01-924547EAA247}">
      <text>
        <r>
          <rPr>
            <b/>
            <sz val="8"/>
            <color indexed="81"/>
            <rFont val="Tahoma"/>
            <family val="2"/>
          </rPr>
          <t>Author:</t>
        </r>
        <r>
          <rPr>
            <sz val="8"/>
            <color indexed="81"/>
            <rFont val="Tahoma"/>
            <family val="2"/>
          </rPr>
          <t xml:space="preserve">
4.3% reported</t>
        </r>
      </text>
    </comment>
    <comment ref="BD1272" authorId="0" shapeId="0" xr:uid="{C3C3066C-5E61-47A5-A30C-67A14DB1CBA4}">
      <text>
        <r>
          <rPr>
            <b/>
            <sz val="8"/>
            <color indexed="81"/>
            <rFont val="Tahoma"/>
            <family val="2"/>
          </rPr>
          <t>Author:</t>
        </r>
        <r>
          <rPr>
            <sz val="8"/>
            <color indexed="81"/>
            <rFont val="Tahoma"/>
            <family val="2"/>
          </rPr>
          <t xml:space="preserve">
+9%
</t>
        </r>
      </text>
    </comment>
    <comment ref="BE1272" authorId="0" shapeId="0" xr:uid="{89924A0E-CF56-410C-BF50-FD3B84ED9DF8}">
      <text>
        <r>
          <rPr>
            <b/>
            <sz val="8"/>
            <color indexed="81"/>
            <rFont val="Tahoma"/>
            <family val="2"/>
          </rPr>
          <t>Author:</t>
        </r>
        <r>
          <rPr>
            <sz val="8"/>
            <color indexed="81"/>
            <rFont val="Tahoma"/>
            <family val="2"/>
          </rPr>
          <t xml:space="preserve">
+13%</t>
        </r>
      </text>
    </comment>
    <comment ref="BM1272" authorId="22" shapeId="0" xr:uid="{C7FF4E47-7222-4A1C-BD8C-CD059156522E}">
      <text>
        <r>
          <rPr>
            <b/>
            <sz val="8"/>
            <color indexed="81"/>
            <rFont val="Tahoma"/>
            <family val="2"/>
          </rPr>
          <t>Author:</t>
        </r>
        <r>
          <rPr>
            <sz val="8"/>
            <color indexed="81"/>
            <rFont val="Tahoma"/>
            <family val="2"/>
          </rPr>
          <t xml:space="preserve">
1.6% op</t>
        </r>
      </text>
    </comment>
    <comment ref="BC1273" authorId="0" shapeId="0" xr:uid="{5F9CA339-C2A3-464C-A1A1-90CAA29C8D26}">
      <text>
        <r>
          <rPr>
            <b/>
            <sz val="8"/>
            <color indexed="81"/>
            <rFont val="Tahoma"/>
            <family val="2"/>
          </rPr>
          <t>Author:</t>
        </r>
        <r>
          <rPr>
            <sz val="8"/>
            <color indexed="81"/>
            <rFont val="Tahoma"/>
            <family val="2"/>
          </rPr>
          <t xml:space="preserve">
11% WW CC</t>
        </r>
      </text>
    </comment>
    <comment ref="BE1273" authorId="0" shapeId="0" xr:uid="{78705BC4-2CD2-439C-81B8-7A750FFE27B0}">
      <text>
        <r>
          <rPr>
            <b/>
            <sz val="8"/>
            <color indexed="81"/>
            <rFont val="Tahoma"/>
            <family val="2"/>
          </rPr>
          <t>Author:</t>
        </r>
        <r>
          <rPr>
            <sz val="8"/>
            <color indexed="81"/>
            <rFont val="Tahoma"/>
            <family val="2"/>
          </rPr>
          <t xml:space="preserve">
13% ops
9% reported</t>
        </r>
      </text>
    </comment>
    <comment ref="B1275" authorId="0" shapeId="0" xr:uid="{D29D8D17-197C-43A7-99EE-8031C812F3B7}">
      <text>
        <r>
          <rPr>
            <b/>
            <sz val="8"/>
            <color indexed="81"/>
            <rFont val="Tahoma"/>
            <family val="2"/>
          </rPr>
          <t>Author:</t>
        </r>
        <r>
          <rPr>
            <sz val="8"/>
            <color indexed="81"/>
            <rFont val="Tahoma"/>
            <family val="2"/>
          </rPr>
          <t xml:space="preserve">
Company1390 provided restated quarters back through 2008 as if global neuroscience had existed during that time for apples to apples YoY comps. Our model reflects this change.
2Q 2009 Product0110 and Neurovascular division of Company0695 combined into global neuroscience division within Company0795.
1Q US growth 7% OUS 9%, WW 8% addressable market. </t>
        </r>
      </text>
    </comment>
    <comment ref="AX1276" authorId="0" shapeId="0" xr:uid="{C6FF825F-F89C-42CE-9259-077A0A489696}">
      <text>
        <r>
          <rPr>
            <b/>
            <sz val="8"/>
            <color indexed="81"/>
            <rFont val="Tahoma"/>
            <family val="2"/>
          </rPr>
          <t>Author:</t>
        </r>
        <r>
          <rPr>
            <sz val="8"/>
            <color indexed="81"/>
            <rFont val="Tahoma"/>
            <family val="2"/>
          </rPr>
          <t xml:space="preserve">
Restated to included neurovascular from Company0695 (the smaller of the two numbers)
</t>
        </r>
      </text>
    </comment>
    <comment ref="AY1276" authorId="0" shapeId="0" xr:uid="{1D8987D5-9DFC-40CA-ABE2-7BA1CEF3A783}">
      <text>
        <r>
          <rPr>
            <b/>
            <sz val="8"/>
            <color indexed="81"/>
            <rFont val="Tahoma"/>
            <family val="2"/>
          </rPr>
          <t>Author:</t>
        </r>
        <r>
          <rPr>
            <sz val="8"/>
            <color indexed="81"/>
            <rFont val="Tahoma"/>
            <family val="2"/>
          </rPr>
          <t xml:space="preserve">
Restated to included neurovascular from Company0695 (the smaller of the two numbers)
</t>
        </r>
      </text>
    </comment>
    <comment ref="AZ1276" authorId="0" shapeId="0" xr:uid="{7F59B07E-C04C-4990-A859-08E7F96C2B40}">
      <text>
        <r>
          <rPr>
            <b/>
            <sz val="8"/>
            <color indexed="81"/>
            <rFont val="Tahoma"/>
            <family val="2"/>
          </rPr>
          <t>Author:</t>
        </r>
        <r>
          <rPr>
            <sz val="8"/>
            <color indexed="81"/>
            <rFont val="Tahoma"/>
            <family val="2"/>
          </rPr>
          <t xml:space="preserve">
Restated to included neurovascular from Company0695 (the smaller of the two numbers)
</t>
        </r>
      </text>
    </comment>
    <comment ref="BA1276" authorId="0" shapeId="0" xr:uid="{469A7A3B-FCAA-457F-B168-B60146745523}">
      <text>
        <r>
          <rPr>
            <b/>
            <sz val="8"/>
            <color indexed="81"/>
            <rFont val="Tahoma"/>
            <family val="2"/>
          </rPr>
          <t>Author:</t>
        </r>
        <r>
          <rPr>
            <sz val="8"/>
            <color indexed="81"/>
            <rFont val="Tahoma"/>
            <family val="2"/>
          </rPr>
          <t xml:space="preserve">
Restated to included neurovascular from Company0695 (the smaller of the two numbers)
Just Product0110 was 45% </t>
        </r>
      </text>
    </comment>
    <comment ref="BC1276" authorId="0" shapeId="0" xr:uid="{31938876-EB46-4E36-89D5-3A30B1073620}">
      <text>
        <r>
          <rPr>
            <b/>
            <sz val="8"/>
            <color indexed="81"/>
            <rFont val="Tahoma"/>
            <family val="2"/>
          </rPr>
          <t>Author:</t>
        </r>
        <r>
          <rPr>
            <sz val="8"/>
            <color indexed="81"/>
            <rFont val="Tahoma"/>
            <family val="2"/>
          </rPr>
          <t xml:space="preserve">
about 45%</t>
        </r>
      </text>
    </comment>
    <comment ref="BD1276" authorId="0" shapeId="0" xr:uid="{54FCA408-B703-48F8-8AF0-78693605A3BA}">
      <text>
        <r>
          <rPr>
            <b/>
            <sz val="8"/>
            <color indexed="81"/>
            <rFont val="Tahoma"/>
            <family val="2"/>
          </rPr>
          <t>Author:</t>
        </r>
        <r>
          <rPr>
            <sz val="8"/>
            <color indexed="81"/>
            <rFont val="Tahoma"/>
            <family val="2"/>
          </rPr>
          <t xml:space="preserve">
little over 40%</t>
        </r>
      </text>
    </comment>
    <comment ref="AX1277" authorId="0" shapeId="0" xr:uid="{846D5B97-68D9-4819-90CA-5F473E1AA783}">
      <text>
        <r>
          <rPr>
            <b/>
            <sz val="8"/>
            <color indexed="81"/>
            <rFont val="Tahoma"/>
            <family val="2"/>
          </rPr>
          <t>Author:</t>
        </r>
        <r>
          <rPr>
            <sz val="8"/>
            <color indexed="81"/>
            <rFont val="Tahoma"/>
            <family val="2"/>
          </rPr>
          <t xml:space="preserve">
Restated to included neurovascular from Company0695 (the smaller of the two numbers)
</t>
        </r>
      </text>
    </comment>
    <comment ref="AY1277" authorId="0" shapeId="0" xr:uid="{A704CC5A-9F45-4084-9F9D-7FF63A7D5F38}">
      <text>
        <r>
          <rPr>
            <b/>
            <sz val="8"/>
            <color indexed="81"/>
            <rFont val="Tahoma"/>
            <family val="2"/>
          </rPr>
          <t>Author:</t>
        </r>
        <r>
          <rPr>
            <sz val="8"/>
            <color indexed="81"/>
            <rFont val="Tahoma"/>
            <family val="2"/>
          </rPr>
          <t xml:space="preserve">
Restated to included neurovascular from Company0695 (the smaller of the two numbers)
</t>
        </r>
      </text>
    </comment>
    <comment ref="AZ1277" authorId="0" shapeId="0" xr:uid="{654ABE73-46B2-43B3-83B1-D92BF855E695}">
      <text>
        <r>
          <rPr>
            <b/>
            <sz val="8"/>
            <color indexed="81"/>
            <rFont val="Tahoma"/>
            <family val="2"/>
          </rPr>
          <t>Author:</t>
        </r>
        <r>
          <rPr>
            <sz val="8"/>
            <color indexed="81"/>
            <rFont val="Tahoma"/>
            <family val="2"/>
          </rPr>
          <t xml:space="preserve">
Restated to included neurovascular from Company0695 (the smaller of the two numbers)
</t>
        </r>
      </text>
    </comment>
    <comment ref="BA1277" authorId="0" shapeId="0" xr:uid="{32F0C215-C8BC-4F5C-9F00-A23E69F87A03}">
      <text>
        <r>
          <rPr>
            <b/>
            <sz val="8"/>
            <color indexed="81"/>
            <rFont val="Tahoma"/>
            <family val="2"/>
          </rPr>
          <t>Author:</t>
        </r>
        <r>
          <rPr>
            <sz val="8"/>
            <color indexed="81"/>
            <rFont val="Tahoma"/>
            <family val="2"/>
          </rPr>
          <t xml:space="preserve">
Restated to included neurovascular from Company0695 (the smaller of the two numbers)
</t>
        </r>
      </text>
    </comment>
    <comment ref="BE1281" authorId="0" shapeId="0" xr:uid="{27E03E4F-05DF-494F-8CCA-B23DCC344C0F}">
      <text>
        <r>
          <rPr>
            <b/>
            <sz val="8"/>
            <color indexed="81"/>
            <rFont val="Tahoma"/>
            <family val="2"/>
          </rPr>
          <t>Author:</t>
        </r>
        <r>
          <rPr>
            <sz val="8"/>
            <color indexed="81"/>
            <rFont val="Tahoma"/>
            <family val="2"/>
          </rPr>
          <t xml:space="preserve">
-3%</t>
        </r>
      </text>
    </comment>
    <comment ref="BE1282" authorId="0" shapeId="0" xr:uid="{C86026C6-9037-4599-9AF4-0060D87130D5}">
      <text>
        <r>
          <rPr>
            <b/>
            <sz val="8"/>
            <color indexed="81"/>
            <rFont val="Tahoma"/>
            <family val="2"/>
          </rPr>
          <t>Author:</t>
        </r>
        <r>
          <rPr>
            <sz val="8"/>
            <color indexed="81"/>
            <rFont val="Tahoma"/>
            <family val="2"/>
          </rPr>
          <t xml:space="preserve">
7%</t>
        </r>
      </text>
    </comment>
    <comment ref="BE1283" authorId="0" shapeId="0" xr:uid="{8E55E3D1-739C-4EE5-B366-DBE08D24D4DD}">
      <text>
        <r>
          <rPr>
            <b/>
            <sz val="8"/>
            <color indexed="81"/>
            <rFont val="Tahoma"/>
            <family val="2"/>
          </rPr>
          <t>Author:</t>
        </r>
        <r>
          <rPr>
            <sz val="8"/>
            <color indexed="81"/>
            <rFont val="Tahoma"/>
            <family val="2"/>
          </rPr>
          <t xml:space="preserve">
10% ops</t>
        </r>
      </text>
    </comment>
    <comment ref="BE1284" authorId="0" shapeId="0" xr:uid="{34E41B23-A071-4A6A-8001-87D2DD721809}">
      <text>
        <r>
          <rPr>
            <b/>
            <sz val="8"/>
            <color indexed="81"/>
            <rFont val="Tahoma"/>
            <family val="2"/>
          </rPr>
          <t>Author:</t>
        </r>
        <r>
          <rPr>
            <sz val="8"/>
            <color indexed="81"/>
            <rFont val="Tahoma"/>
            <family val="2"/>
          </rPr>
          <t xml:space="preserve">
WW ops 4% , reported 2%</t>
        </r>
      </text>
    </comment>
    <comment ref="BQ1284" authorId="22" shapeId="0" xr:uid="{ECD4386E-975E-4FDB-B4EA-2AC946AF392C}">
      <text>
        <r>
          <rPr>
            <b/>
            <sz val="8"/>
            <color indexed="81"/>
            <rFont val="Tahoma"/>
            <family val="2"/>
          </rPr>
          <t>Author:</t>
        </r>
        <r>
          <rPr>
            <sz val="8"/>
            <color indexed="81"/>
            <rFont val="Tahoma"/>
            <family val="2"/>
          </rPr>
          <t xml:space="preserve">
increased 2011 by ~$100mn for Company1815 acquisition (closed in Sep 28, 2011)… a wash in 4Q bc divested Company0189
Person0293 says 10% growth rate biz; "stent" for brain aneurysm</t>
        </r>
      </text>
    </comment>
    <comment ref="BS1287" authorId="21" shapeId="0" xr:uid="{5E8B714A-50D1-4880-BE72-F532FD9E70A0}">
      <text>
        <r>
          <rPr>
            <b/>
            <sz val="8"/>
            <color indexed="81"/>
            <rFont val="Tahoma"/>
            <family val="2"/>
          </rPr>
          <t>Author:</t>
        </r>
        <r>
          <rPr>
            <sz val="8"/>
            <color indexed="81"/>
            <rFont val="Tahoma"/>
            <family val="2"/>
          </rPr>
          <t xml:space="preserve">
back out Synthes one time, do not copy this</t>
        </r>
      </text>
    </comment>
    <comment ref="BS1288" authorId="21" shapeId="0" xr:uid="{B60D6BCF-36B5-44B1-8747-F7953DB8CE9B}">
      <text>
        <r>
          <rPr>
            <b/>
            <sz val="8"/>
            <color indexed="81"/>
            <rFont val="Tahoma"/>
            <family val="2"/>
          </rPr>
          <t>Author:</t>
        </r>
        <r>
          <rPr>
            <sz val="8"/>
            <color indexed="81"/>
            <rFont val="Tahoma"/>
            <family val="2"/>
          </rPr>
          <t xml:space="preserve">
back out Synthes one time, do not copy this</t>
        </r>
      </text>
    </comment>
    <comment ref="BE1292" authorId="0" shapeId="0" xr:uid="{8349F9A1-0EF8-47E6-B41B-D115F6EB866D}">
      <text>
        <r>
          <rPr>
            <b/>
            <sz val="8"/>
            <color indexed="81"/>
            <rFont val="Tahoma"/>
            <family val="2"/>
          </rPr>
          <t>Author:</t>
        </r>
        <r>
          <rPr>
            <sz val="8"/>
            <color indexed="81"/>
            <rFont val="Tahoma"/>
            <family val="2"/>
          </rPr>
          <t xml:space="preserve">
</t>
        </r>
      </text>
    </comment>
    <comment ref="BQ1298" authorId="1" shapeId="0" xr:uid="{E8A217DA-531F-4B49-ABEF-680E2F2AEA22}">
      <text>
        <r>
          <rPr>
            <b/>
            <sz val="8"/>
            <color indexed="81"/>
            <rFont val="Tahoma"/>
            <family val="2"/>
          </rPr>
          <t>Author:</t>
        </r>
        <r>
          <rPr>
            <sz val="8"/>
            <color indexed="81"/>
            <rFont val="Tahoma"/>
            <family val="2"/>
          </rPr>
          <t xml:space="preserve">
in press release</t>
        </r>
      </text>
    </comment>
    <comment ref="BQ1303" authorId="1" shapeId="0" xr:uid="{869DBEAE-21B9-409B-8A7A-4653A79DDA3D}">
      <text>
        <r>
          <rPr>
            <b/>
            <sz val="8"/>
            <color indexed="81"/>
            <rFont val="Tahoma"/>
            <family val="2"/>
          </rPr>
          <t>Author:</t>
        </r>
        <r>
          <rPr>
            <sz val="8"/>
            <color indexed="81"/>
            <rFont val="Tahoma"/>
            <family val="2"/>
          </rPr>
          <t xml:space="preserve">
annual filings
</t>
        </r>
      </text>
    </comment>
    <comment ref="BS1303" authorId="1" shapeId="0" xr:uid="{46F3DBE9-858E-4FE6-8D56-6D8C0F8BEBA1}">
      <text>
        <r>
          <rPr>
            <b/>
            <sz val="8"/>
            <color indexed="81"/>
            <rFont val="Tahoma"/>
            <family val="2"/>
          </rPr>
          <t>Author:  3.7% of MD&amp;D growth
Author2:</t>
        </r>
        <r>
          <rPr>
            <sz val="8"/>
            <color indexed="81"/>
            <rFont val="Tahoma"/>
            <family val="2"/>
          </rPr>
          <t xml:space="preserve">
1/2 month revenue</t>
        </r>
      </text>
    </comment>
    <comment ref="BT1303" authorId="21" shapeId="0" xr:uid="{3CF1E75B-4417-4CA1-AB2A-D8814CB4C676}">
      <text>
        <r>
          <rPr>
            <b/>
            <sz val="8"/>
            <color indexed="81"/>
            <rFont val="Tahoma"/>
            <family val="2"/>
          </rPr>
          <t>Author:</t>
        </r>
        <r>
          <rPr>
            <sz val="8"/>
            <color indexed="81"/>
            <rFont val="Tahoma"/>
            <family val="2"/>
          </rPr>
          <t xml:space="preserve">
backed into by Person1230 et al</t>
        </r>
      </text>
    </comment>
    <comment ref="BV1303" authorId="21" shapeId="0" xr:uid="{1B27087E-487A-456F-A639-98B0301766D8}">
      <text>
        <r>
          <rPr>
            <b/>
            <sz val="8"/>
            <color indexed="81"/>
            <rFont val="Tahoma"/>
            <family val="2"/>
          </rPr>
          <t>Author:</t>
        </r>
        <r>
          <rPr>
            <sz val="8"/>
            <color indexed="81"/>
            <rFont val="Tahoma"/>
            <family val="2"/>
          </rPr>
          <t xml:space="preserve">
formulas need to be corrected for Synthes</t>
        </r>
      </text>
    </comment>
    <comment ref="BS1304" authorId="21" shapeId="0" xr:uid="{A52623E2-214E-4598-AD6A-F13B1DA6695F}">
      <text>
        <r>
          <rPr>
            <b/>
            <sz val="8"/>
            <color indexed="81"/>
            <rFont val="Tahoma"/>
            <family val="2"/>
          </rPr>
          <t>Author:</t>
        </r>
        <r>
          <rPr>
            <sz val="8"/>
            <color indexed="81"/>
            <rFont val="Tahoma"/>
            <family val="2"/>
          </rPr>
          <t xml:space="preserve">
2.3% of MD&amp;D growth</t>
        </r>
      </text>
    </comment>
    <comment ref="BT1304" authorId="21" shapeId="0" xr:uid="{722F7F49-1C6E-418A-B198-D434FE5DA18A}">
      <text>
        <r>
          <rPr>
            <b/>
            <sz val="8"/>
            <color indexed="81"/>
            <rFont val="Tahoma"/>
            <family val="2"/>
          </rPr>
          <t>Author:</t>
        </r>
        <r>
          <rPr>
            <sz val="8"/>
            <color indexed="81"/>
            <rFont val="Tahoma"/>
            <family val="2"/>
          </rPr>
          <t xml:space="preserve">
backed into by Person1230 et al</t>
        </r>
      </text>
    </comment>
    <comment ref="BV1304" authorId="21" shapeId="0" xr:uid="{0A78E83D-5034-4F91-829F-7CCC863C370A}">
      <text>
        <r>
          <rPr>
            <b/>
            <sz val="8"/>
            <color indexed="81"/>
            <rFont val="Tahoma"/>
            <family val="2"/>
          </rPr>
          <t>Author:</t>
        </r>
        <r>
          <rPr>
            <sz val="8"/>
            <color indexed="81"/>
            <rFont val="Tahoma"/>
            <family val="2"/>
          </rPr>
          <t xml:space="preserve">
formulas need to be corrected for Synthes</t>
        </r>
      </text>
    </comment>
    <comment ref="BS1305" authorId="21" shapeId="0" xr:uid="{05652593-91CB-4CAB-BEC1-148C80AEF8CD}">
      <text>
        <r>
          <rPr>
            <b/>
            <sz val="8"/>
            <color indexed="81"/>
            <rFont val="Tahoma"/>
            <family val="2"/>
          </rPr>
          <t>Author:</t>
        </r>
        <r>
          <rPr>
            <sz val="8"/>
            <color indexed="81"/>
            <rFont val="Tahoma"/>
            <family val="2"/>
          </rPr>
          <t xml:space="preserve">
2.9% of MD&amp;D growth</t>
        </r>
      </text>
    </comment>
    <comment ref="BU1305" authorId="25" shapeId="0" xr:uid="{11D8FD5A-45EC-4ED0-ACD9-41947D8EEA3F}">
      <text>
        <r>
          <rPr>
            <b/>
            <sz val="8"/>
            <color indexed="81"/>
            <rFont val="Tahoma"/>
            <family val="2"/>
          </rPr>
          <t>Author:</t>
        </r>
        <r>
          <rPr>
            <sz val="8"/>
            <color indexed="81"/>
            <rFont val="Tahoma"/>
            <family val="2"/>
          </rPr>
          <t xml:space="preserve">
Sales excluding the net impact of Synthes were up 0.8% on an operational basis with U.S. sales down 2.2% and sales outside the U.S. up 3.2% on an operational basis.</t>
        </r>
      </text>
    </comment>
    <comment ref="BS1314" authorId="21" shapeId="0" xr:uid="{19C54810-A91D-4284-9EA9-7683B0E40CFB}">
      <text>
        <r>
          <rPr>
            <b/>
            <sz val="8"/>
            <color indexed="81"/>
            <rFont val="Tahoma"/>
            <family val="2"/>
          </rPr>
          <t>Author:</t>
        </r>
        <r>
          <rPr>
            <sz val="8"/>
            <color indexed="81"/>
            <rFont val="Tahoma"/>
            <family val="2"/>
          </rPr>
          <t xml:space="preserve">
back out Synthes one time, do not copy this</t>
        </r>
      </text>
    </comment>
    <comment ref="BS1315" authorId="21" shapeId="0" xr:uid="{5CCA428A-8183-4FD4-A7FA-EBBFD34C9A0E}">
      <text>
        <r>
          <rPr>
            <b/>
            <sz val="8"/>
            <color indexed="81"/>
            <rFont val="Tahoma"/>
            <family val="2"/>
          </rPr>
          <t>Author:</t>
        </r>
        <r>
          <rPr>
            <sz val="8"/>
            <color indexed="81"/>
            <rFont val="Tahoma"/>
            <family val="2"/>
          </rPr>
          <t xml:space="preserve">
back out Synthes one time, do not copy this</t>
        </r>
      </text>
    </comment>
    <comment ref="BE1319" authorId="0" shapeId="0" xr:uid="{12E64A13-A7B1-4E16-B5A1-EA7CEA9DC78A}">
      <text>
        <r>
          <rPr>
            <b/>
            <sz val="8"/>
            <color indexed="81"/>
            <rFont val="Tahoma"/>
            <family val="2"/>
          </rPr>
          <t>Author:</t>
        </r>
        <r>
          <rPr>
            <sz val="8"/>
            <color indexed="81"/>
            <rFont val="Tahoma"/>
            <family val="2"/>
          </rPr>
          <t xml:space="preserve">
</t>
        </r>
      </text>
    </comment>
    <comment ref="B1324" authorId="0" shapeId="0" xr:uid="{2DFE837D-06B2-4F22-9EE1-5ED2DA374CCF}">
      <text>
        <r>
          <rPr>
            <b/>
            <sz val="8"/>
            <color indexed="81"/>
            <rFont val="Tahoma"/>
            <family val="2"/>
          </rPr>
          <t>Author:</t>
        </r>
        <r>
          <rPr>
            <sz val="8"/>
            <color indexed="81"/>
            <rFont val="Tahoma"/>
            <family val="2"/>
          </rPr>
          <t xml:space="preserve">
1day SIH EU Product0023 Product0426 launched 2008 October. Planned for US TBD.   
Allergy (project apollo) lens not submitted. 
CL younger patients (8&amp;above), better self image glasses during sports. Doesn't look like has to do anything with FDA
pricing pressure especially OUS. Discounting in contact lens category 
Interested </t>
        </r>
      </text>
    </comment>
    <comment ref="CQ1325" authorId="2" shapeId="0" xr:uid="{169A7330-2123-4170-B5FE-194EE8D8E481}">
      <text>
        <r>
          <rPr>
            <b/>
            <sz val="9"/>
            <color indexed="81"/>
            <rFont val="Tahoma"/>
            <family val="2"/>
          </rPr>
          <t>Author:</t>
        </r>
        <r>
          <rPr>
            <sz val="9"/>
            <color indexed="81"/>
            <rFont val="Tahoma"/>
            <family val="2"/>
          </rPr>
          <t xml:space="preserve">
assume 40mn from AMO</t>
        </r>
      </text>
    </comment>
    <comment ref="CR1325" authorId="2" shapeId="0" xr:uid="{5F622B3E-C9B7-466C-979B-AB2FEDE3431B}">
      <text>
        <r>
          <rPr>
            <b/>
            <sz val="9"/>
            <color indexed="81"/>
            <rFont val="Tahoma"/>
            <family val="2"/>
          </rPr>
          <t>Author:</t>
        </r>
        <r>
          <rPr>
            <sz val="9"/>
            <color indexed="81"/>
            <rFont val="Tahoma"/>
            <family val="2"/>
          </rPr>
          <t xml:space="preserve">
~90-95mn of AMO</t>
        </r>
      </text>
    </comment>
    <comment ref="CQ1326" authorId="2" shapeId="0" xr:uid="{2D573403-C4E3-42C2-92B3-3C1D82CF8054}">
      <text>
        <r>
          <rPr>
            <b/>
            <sz val="9"/>
            <color indexed="81"/>
            <rFont val="Tahoma"/>
            <family val="2"/>
          </rPr>
          <t>Author:</t>
        </r>
        <r>
          <rPr>
            <sz val="9"/>
            <color indexed="81"/>
            <rFont val="Tahoma"/>
            <family val="2"/>
          </rPr>
          <t xml:space="preserve">
assume 70mn from AMO</t>
        </r>
      </text>
    </comment>
    <comment ref="CR1326" authorId="2" shapeId="0" xr:uid="{D68A4424-6A60-43C3-918C-883B951D261A}">
      <text>
        <r>
          <rPr>
            <b/>
            <sz val="9"/>
            <color indexed="81"/>
            <rFont val="Tahoma"/>
            <family val="2"/>
          </rPr>
          <t>Author:</t>
        </r>
        <r>
          <rPr>
            <sz val="9"/>
            <color indexed="81"/>
            <rFont val="Tahoma"/>
            <family val="2"/>
          </rPr>
          <t xml:space="preserve">
assume $200mn from AMO</t>
        </r>
      </text>
    </comment>
    <comment ref="BF1327" authorId="0" shapeId="0" xr:uid="{88CB60D6-7ED4-4010-BC7B-9085490C4759}">
      <text>
        <r>
          <rPr>
            <b/>
            <sz val="8"/>
            <color indexed="81"/>
            <rFont val="Tahoma"/>
            <family val="2"/>
          </rPr>
          <t>Author:</t>
        </r>
        <r>
          <rPr>
            <sz val="8"/>
            <color indexed="81"/>
            <rFont val="Tahoma"/>
            <family val="2"/>
          </rPr>
          <t xml:space="preserve">
1%</t>
        </r>
      </text>
    </comment>
    <comment ref="BL1327" authorId="0" shapeId="0" xr:uid="{75FCE746-F130-47CC-9B69-A87B0C788BCE}">
      <text>
        <r>
          <rPr>
            <b/>
            <sz val="8"/>
            <color indexed="81"/>
            <rFont val="Tahoma"/>
            <family val="2"/>
          </rPr>
          <t>Author:</t>
        </r>
        <r>
          <rPr>
            <sz val="8"/>
            <color indexed="81"/>
            <rFont val="Tahoma"/>
            <family val="2"/>
          </rPr>
          <t xml:space="preserve">
3-5%</t>
        </r>
      </text>
    </comment>
    <comment ref="CQ1327" authorId="2" shapeId="0" xr:uid="{00AB10EC-7DB1-4049-92C3-01A9A5F18DA3}">
      <text>
        <r>
          <rPr>
            <b/>
            <sz val="9"/>
            <color indexed="81"/>
            <rFont val="Tahoma"/>
            <family val="2"/>
          </rPr>
          <t>Author:</t>
        </r>
        <r>
          <rPr>
            <sz val="9"/>
            <color indexed="81"/>
            <rFont val="Tahoma"/>
            <family val="2"/>
          </rPr>
          <t xml:space="preserve">
includes one month of amo acq = 1.3bn/12 = 115mn</t>
        </r>
      </text>
    </comment>
    <comment ref="CR1327" authorId="2" shapeId="0" xr:uid="{38237E65-F9E0-4016-9794-071DDFEC2764}">
      <text>
        <r>
          <rPr>
            <b/>
            <sz val="9"/>
            <color indexed="81"/>
            <rFont val="Tahoma"/>
            <family val="2"/>
          </rPr>
          <t>Author:</t>
        </r>
        <r>
          <rPr>
            <sz val="9"/>
            <color indexed="81"/>
            <rFont val="Tahoma"/>
            <family val="2"/>
          </rPr>
          <t xml:space="preserve">
includes AMO acquisition which closed in 1Q = $1.1bn in 2015. assume $300mn run rate</t>
        </r>
      </text>
    </comment>
    <comment ref="BF1330" authorId="0" shapeId="0" xr:uid="{E073B388-25B6-480E-B8E4-DC7A4563FFCD}">
      <text>
        <r>
          <rPr>
            <b/>
            <sz val="8"/>
            <color indexed="81"/>
            <rFont val="Tahoma"/>
            <family val="2"/>
          </rPr>
          <t>Author:</t>
        </r>
        <r>
          <rPr>
            <sz val="8"/>
            <color indexed="81"/>
            <rFont val="Tahoma"/>
            <family val="2"/>
          </rPr>
          <t xml:space="preserve">
4% US growth</t>
        </r>
      </text>
    </comment>
    <comment ref="BH1330" authorId="0" shapeId="0" xr:uid="{953E6C56-F456-4C84-BF03-1F9948CBA7DC}">
      <text>
        <r>
          <rPr>
            <b/>
            <sz val="8"/>
            <color indexed="81"/>
            <rFont val="Tahoma"/>
            <family val="2"/>
          </rPr>
          <t>Author:</t>
        </r>
        <r>
          <rPr>
            <sz val="8"/>
            <color indexed="81"/>
            <rFont val="Tahoma"/>
            <family val="2"/>
          </rPr>
          <t xml:space="preserve">
US market growth 4%</t>
        </r>
      </text>
    </comment>
    <comment ref="BI1330" authorId="0" shapeId="0" xr:uid="{17BC08D6-D41D-4D2A-B2AF-3648BA11ADF0}">
      <text>
        <r>
          <rPr>
            <b/>
            <sz val="8"/>
            <color indexed="81"/>
            <rFont val="Tahoma"/>
            <family val="2"/>
          </rPr>
          <t>Author:</t>
        </r>
        <r>
          <rPr>
            <sz val="8"/>
            <color indexed="81"/>
            <rFont val="Tahoma"/>
            <family val="2"/>
          </rPr>
          <t xml:space="preserve">
US market growth 4%</t>
        </r>
      </text>
    </comment>
    <comment ref="BM1333" authorId="1" shapeId="0" xr:uid="{C4E359A3-FA5C-4471-8AB8-95F044D74EBE}">
      <text>
        <r>
          <rPr>
            <b/>
            <sz val="8"/>
            <color indexed="81"/>
            <rFont val="Tahoma"/>
            <family val="2"/>
          </rPr>
          <t xml:space="preserve">Author:
</t>
        </r>
        <r>
          <rPr>
            <sz val="8"/>
            <color indexed="81"/>
            <rFont val="Tahoma"/>
            <family val="2"/>
          </rPr>
          <t xml:space="preserve">
Vision Care franchise achieved operational sales growth of 4.7% in the first quarter compared to the same period last year
Sales in the US increased 2.8% while sales outside
the US increased 5.9% on an operational basis
Product0002 Product0425 and the astigmatism lenses were strong contributors to the quarter. </t>
        </r>
      </text>
    </comment>
    <comment ref="BT1348" authorId="21" shapeId="0" xr:uid="{8023C745-3A03-4003-A602-F52CF55AC439}">
      <text>
        <r>
          <rPr>
            <b/>
            <sz val="8"/>
            <color indexed="81"/>
            <rFont val="Tahoma"/>
            <family val="2"/>
          </rPr>
          <t>Author:</t>
        </r>
        <r>
          <rPr>
            <sz val="8"/>
            <color indexed="81"/>
            <rFont val="Tahoma"/>
            <family val="2"/>
          </rPr>
          <t xml:space="preserve">
formulas need to be corrected for Synthes</t>
        </r>
      </text>
    </comment>
    <comment ref="BT1349" authorId="21" shapeId="0" xr:uid="{4906A7E3-469A-4E62-8A73-370B5A8CFF94}">
      <text>
        <r>
          <rPr>
            <b/>
            <sz val="8"/>
            <color indexed="81"/>
            <rFont val="Tahoma"/>
            <family val="2"/>
          </rPr>
          <t>Author:</t>
        </r>
        <r>
          <rPr>
            <sz val="8"/>
            <color indexed="81"/>
            <rFont val="Tahoma"/>
            <family val="2"/>
          </rPr>
          <t xml:space="preserve">
formulas need to be corrected for Synthes</t>
        </r>
      </text>
    </comment>
    <comment ref="BT1350" authorId="21" shapeId="0" xr:uid="{388A4570-A8CD-44E1-86D8-EBA0D2AD4996}">
      <text>
        <r>
          <rPr>
            <b/>
            <sz val="8"/>
            <color indexed="81"/>
            <rFont val="Tahoma"/>
            <family val="2"/>
          </rPr>
          <t>Author:</t>
        </r>
        <r>
          <rPr>
            <sz val="8"/>
            <color indexed="81"/>
            <rFont val="Tahoma"/>
            <family val="2"/>
          </rPr>
          <t xml:space="preserve">
formulas need to be corrected for Synthes</t>
        </r>
      </text>
    </comment>
    <comment ref="BL1357" authorId="1" shapeId="0" xr:uid="{D760D114-D565-4A4F-B6A2-5284AD6F9AA3}">
      <text>
        <r>
          <rPr>
            <b/>
            <sz val="8"/>
            <color indexed="81"/>
            <rFont val="Tahoma"/>
            <family val="2"/>
          </rPr>
          <t>Author:</t>
        </r>
        <r>
          <rPr>
            <sz val="8"/>
            <color indexed="81"/>
            <rFont val="Tahoma"/>
            <family val="2"/>
          </rPr>
          <t xml:space="preserve">
1.25.11  In the MD&amp;D market, we think the market grew at about 4% overall for 2010, and  6% 1H10 ; 3% 2H10; 
in that 3%, the back-half half = 3Q was a little stronger than 4Q 
</t>
        </r>
      </text>
    </comment>
    <comment ref="EA1361" authorId="34" shapeId="0" xr:uid="{07695EDB-A840-4820-98D7-93D6A0DEAFE9}">
      <text>
        <r>
          <rPr>
            <b/>
            <sz val="9"/>
            <color indexed="81"/>
            <rFont val="Tahoma"/>
            <family val="2"/>
          </rPr>
          <t>Author:</t>
        </r>
        <r>
          <rPr>
            <sz val="9"/>
            <color indexed="81"/>
            <rFont val="Tahoma"/>
            <family val="2"/>
          </rPr>
          <t xml:space="preserve">
accounts for Company2508 add -Company0189 divest</t>
        </r>
      </text>
    </comment>
    <comment ref="EB1361" authorId="34" shapeId="0" xr:uid="{4B5C24FD-A978-44ED-B228-25195DE3A018}">
      <text>
        <r>
          <rPr>
            <b/>
            <sz val="9"/>
            <color indexed="81"/>
            <rFont val="Tahoma"/>
            <family val="2"/>
          </rPr>
          <t>Author:</t>
        </r>
        <r>
          <rPr>
            <sz val="9"/>
            <color indexed="81"/>
            <rFont val="Tahoma"/>
            <family val="2"/>
          </rPr>
          <t xml:space="preserve">
accounts for Company2508 add -Company0189 divest</t>
        </r>
      </text>
    </comment>
    <comment ref="EE1361" authorId="34" shapeId="0" xr:uid="{8024CCDB-4884-42E3-9D0B-4CB305F20FAA}">
      <text>
        <r>
          <rPr>
            <b/>
            <sz val="9"/>
            <color indexed="81"/>
            <rFont val="Tahoma"/>
            <family val="2"/>
          </rPr>
          <t>Author:</t>
        </r>
        <r>
          <rPr>
            <sz val="9"/>
            <color indexed="81"/>
            <rFont val="Tahoma"/>
            <family val="2"/>
          </rPr>
          <t xml:space="preserve">
accounts for Company2508 add -Company0189 divest</t>
        </r>
      </text>
    </comment>
    <comment ref="CN1421" authorId="2" shapeId="0" xr:uid="{00000000-0006-0000-0200-000096030000}">
      <text>
        <r>
          <rPr>
            <b/>
            <sz val="9"/>
            <color indexed="81"/>
            <rFont val="Tahoma"/>
            <family val="2"/>
          </rPr>
          <t>Author:</t>
        </r>
        <r>
          <rPr>
            <sz val="9"/>
            <color indexed="81"/>
            <rFont val="Tahoma"/>
            <family val="2"/>
          </rPr>
          <t xml:space="preserve">
includes $87mn from purchase of Product0449($350mn annual sales) and Product0261; inventory burn for neutrogena</t>
        </r>
      </text>
    </comment>
    <comment ref="CQ1421" authorId="2" shapeId="0" xr:uid="{00000000-0006-0000-0200-000097030000}">
      <text>
        <r>
          <rPr>
            <b/>
            <sz val="9"/>
            <color indexed="81"/>
            <rFont val="Tahoma"/>
            <family val="2"/>
          </rPr>
          <t>Author:</t>
        </r>
        <r>
          <rPr>
            <sz val="9"/>
            <color indexed="81"/>
            <rFont val="Tahoma"/>
            <family val="2"/>
          </rPr>
          <t xml:space="preserve">
Includes $98mn for Product0449</t>
        </r>
      </text>
    </comment>
    <comment ref="CR1421" authorId="2" shapeId="0" xr:uid="{00000000-0006-0000-0200-000098030000}">
      <text>
        <r>
          <rPr>
            <b/>
            <sz val="9"/>
            <color indexed="81"/>
            <rFont val="Tahoma"/>
            <family val="2"/>
          </rPr>
          <t>Author:</t>
        </r>
        <r>
          <rPr>
            <sz val="9"/>
            <color indexed="81"/>
            <rFont val="Tahoma"/>
            <family val="2"/>
          </rPr>
          <t xml:space="preserve">
includes $95mn of Product0449</t>
        </r>
      </text>
    </comment>
    <comment ref="CU1421" authorId="2" shapeId="0" xr:uid="{00000000-0006-0000-0200-000099030000}">
      <text>
        <r>
          <rPr>
            <b/>
            <sz val="9"/>
            <color indexed="81"/>
            <rFont val="Tahoma"/>
            <family val="2"/>
          </rPr>
          <t>Author:</t>
        </r>
        <r>
          <rPr>
            <sz val="9"/>
            <color indexed="81"/>
            <rFont val="Tahoma"/>
            <family val="2"/>
          </rPr>
          <t xml:space="preserve">
includes $350mn from purchase of Product0449($350mn annual sales and $400mn for 2017)</t>
        </r>
      </text>
    </comment>
    <comment ref="CW1423" authorId="2" shapeId="0" xr:uid="{00000000-0006-0000-0200-00009A030000}">
      <text>
        <r>
          <rPr>
            <b/>
            <sz val="9"/>
            <color indexed="81"/>
            <rFont val="Tahoma"/>
            <family val="2"/>
          </rPr>
          <t>Author:</t>
        </r>
        <r>
          <rPr>
            <sz val="9"/>
            <color indexed="81"/>
            <rFont val="Tahoma"/>
            <family val="2"/>
          </rPr>
          <t xml:space="preserve">
impacted by the Q1 seasonal inventory build of approximately $20 million with 300 basis points in the U.S. related to sun protection products stocking. This is primarily reflected in NEUTROGENA. </t>
        </r>
      </text>
    </comment>
    <comment ref="DE1423" authorId="9" shapeId="0" xr:uid="{00000000-0006-0000-0200-00009B030000}">
      <text>
        <r>
          <rPr>
            <b/>
            <sz val="9"/>
            <color indexed="81"/>
            <rFont val="Tahoma"/>
            <family val="2"/>
          </rPr>
          <t>Author:</t>
        </r>
        <r>
          <rPr>
            <sz val="9"/>
            <color indexed="81"/>
            <rFont val="Tahoma"/>
            <family val="2"/>
          </rPr>
          <t xml:space="preserve">
Cons 4.6</t>
        </r>
      </text>
    </comment>
    <comment ref="DO1423" authorId="26" shapeId="0" xr:uid="{00000000-0006-0000-0200-00009C030000}">
      <text>
        <r>
          <rPr>
            <b/>
            <sz val="9"/>
            <color indexed="81"/>
            <rFont val="Tahoma"/>
            <family val="2"/>
          </rPr>
          <t>Author:</t>
        </r>
        <r>
          <rPr>
            <sz val="9"/>
            <color indexed="81"/>
            <rFont val="Tahoma"/>
            <family val="2"/>
          </rPr>
          <t xml:space="preserve">
Cons: 4.8bn</t>
        </r>
      </text>
    </comment>
    <comment ref="DT1423" authorId="26" shapeId="0" xr:uid="{00000000-0006-0000-0200-00009D030000}">
      <text>
        <r>
          <rPr>
            <b/>
            <sz val="9"/>
            <color indexed="81"/>
            <rFont val="Tahoma"/>
            <family val="2"/>
          </rPr>
          <t>Author:</t>
        </r>
        <r>
          <rPr>
            <sz val="9"/>
            <color indexed="81"/>
            <rFont val="Tahoma"/>
            <family val="2"/>
          </rPr>
          <t xml:space="preserve">
Cons: 5.0bn</t>
        </r>
      </text>
    </comment>
    <comment ref="CJ1426" authorId="2" shapeId="0" xr:uid="{00000000-0006-0000-0200-00009E030000}">
      <text>
        <r>
          <rPr>
            <b/>
            <sz val="9"/>
            <color indexed="81"/>
            <rFont val="Tahoma"/>
            <family val="2"/>
          </rPr>
          <t>Author:</t>
        </r>
        <r>
          <rPr>
            <sz val="9"/>
            <color indexed="81"/>
            <rFont val="Tahoma"/>
            <family val="2"/>
          </rPr>
          <t xml:space="preserve">
US impacted negatively by timing of shipments and inventory builds</t>
        </r>
      </text>
    </comment>
    <comment ref="CW1426" authorId="2" shapeId="0" xr:uid="{00000000-0006-0000-0200-00009F030000}">
      <text>
        <r>
          <rPr>
            <b/>
            <sz val="9"/>
            <color indexed="81"/>
            <rFont val="Tahoma"/>
            <family val="2"/>
          </rPr>
          <t>Author:</t>
        </r>
        <r>
          <rPr>
            <sz val="9"/>
            <color indexed="81"/>
            <rFont val="Tahoma"/>
            <family val="2"/>
          </rPr>
          <t xml:space="preserve">
would be 1.2% ex de-stocking</t>
        </r>
      </text>
    </comment>
    <comment ref="AX1427" authorId="0" shapeId="0" xr:uid="{00000000-0006-0000-0200-0000A0030000}">
      <text>
        <r>
          <rPr>
            <b/>
            <sz val="8"/>
            <color indexed="81"/>
            <rFont val="Tahoma"/>
            <family val="2"/>
          </rPr>
          <t>Author:</t>
        </r>
        <r>
          <rPr>
            <sz val="8"/>
            <color indexed="81"/>
            <rFont val="Tahoma"/>
            <family val="2"/>
          </rPr>
          <t xml:space="preserve">
ROC down 1% 1Q </t>
        </r>
      </text>
    </comment>
    <comment ref="AY1427" authorId="0" shapeId="0" xr:uid="{00000000-0006-0000-0200-0000A1030000}">
      <text>
        <r>
          <rPr>
            <b/>
            <sz val="8"/>
            <color indexed="81"/>
            <rFont val="Tahoma"/>
            <family val="2"/>
          </rPr>
          <t>Author:</t>
        </r>
        <r>
          <rPr>
            <sz val="8"/>
            <color indexed="81"/>
            <rFont val="Tahoma"/>
            <family val="2"/>
          </rPr>
          <t xml:space="preserve">
Roc Down a lot more than a point in 2Q not a distributor or inventory issue so not likely to come back. </t>
        </r>
      </text>
    </comment>
    <comment ref="DU1428" authorId="5" shapeId="0" xr:uid="{9CCE6642-4A74-4CDC-8D51-075A6D88F530}">
      <text>
        <r>
          <rPr>
            <b/>
            <sz val="9"/>
            <color indexed="81"/>
            <rFont val="Tahoma"/>
            <family val="2"/>
          </rPr>
          <t>Author:</t>
        </r>
        <r>
          <rPr>
            <sz val="9"/>
            <color indexed="81"/>
            <rFont val="Tahoma"/>
            <family val="2"/>
          </rPr>
          <t xml:space="preserve">
As per 1Q23 PR</t>
        </r>
      </text>
    </comment>
    <comment ref="DV1428" authorId="5" shapeId="0" xr:uid="{DDD8634A-C400-4081-B377-569305D5D775}">
      <text>
        <r>
          <rPr>
            <b/>
            <sz val="9"/>
            <color indexed="81"/>
            <rFont val="Tahoma"/>
            <family val="2"/>
          </rPr>
          <t>Author:</t>
        </r>
        <r>
          <rPr>
            <sz val="9"/>
            <color indexed="81"/>
            <rFont val="Tahoma"/>
            <family val="2"/>
          </rPr>
          <t xml:space="preserve">
As per 2Q23 PR</t>
        </r>
      </text>
    </comment>
    <comment ref="BJ1429" authorId="18" shapeId="0" xr:uid="{00000000-0006-0000-0200-0000A2030000}">
      <text>
        <r>
          <rPr>
            <b/>
            <sz val="8"/>
            <color indexed="81"/>
            <rFont val="Tahoma"/>
            <family val="2"/>
          </rPr>
          <t>Author:</t>
        </r>
        <r>
          <rPr>
            <sz val="8"/>
            <color indexed="81"/>
            <rFont val="Tahoma"/>
            <family val="2"/>
          </rPr>
          <t xml:space="preserve">
began implementing enhancements to equipment that will continue into the fourth quarter. This has resulted in a temporary reduction of shipments for certain products</t>
        </r>
      </text>
    </comment>
    <comment ref="BM1429" authorId="1" shapeId="0" xr:uid="{00000000-0006-0000-0200-0000A3030000}">
      <text>
        <r>
          <rPr>
            <b/>
            <sz val="8"/>
            <color indexed="81"/>
            <rFont val="Tahoma"/>
            <family val="2"/>
          </rPr>
          <t>Author:</t>
        </r>
        <r>
          <rPr>
            <sz val="8"/>
            <color indexed="81"/>
            <rFont val="Tahoma"/>
            <family val="2"/>
          </rPr>
          <t xml:space="preserve">
1Q11: 
Was impacted by manufacturing improvements due to enhancements to equipment and manufacturing processes
Skin care declined by 3.7% in 1Q11. Shipments and retail inventories are expected to normalize toward the end of 2Q11</t>
        </r>
      </text>
    </comment>
    <comment ref="BO1429" authorId="1" shapeId="0" xr:uid="{00000000-0006-0000-0200-0000A4030000}">
      <text>
        <r>
          <rPr>
            <b/>
            <sz val="8"/>
            <color indexed="81"/>
            <rFont val="Tahoma"/>
            <family val="2"/>
          </rPr>
          <t>Author:</t>
        </r>
        <r>
          <rPr>
            <sz val="8"/>
            <color indexed="81"/>
            <rFont val="Tahoma"/>
            <family val="2"/>
          </rPr>
          <t xml:space="preserve">
skin care business grew 13.2% on an operational basis in the third quarter</t>
        </r>
      </text>
    </comment>
    <comment ref="DA1429" authorId="10" shapeId="0" xr:uid="{00000000-0006-0000-0200-0000A5030000}">
      <text>
        <r>
          <rPr>
            <b/>
            <sz val="9"/>
            <color indexed="81"/>
            <rFont val="Tahoma"/>
            <family val="2"/>
          </rPr>
          <t>Author:</t>
        </r>
        <r>
          <rPr>
            <sz val="9"/>
            <color indexed="81"/>
            <rFont val="Tahoma"/>
            <family val="2"/>
          </rPr>
          <t xml:space="preserve">
NEUTROGENA in the U.S. is growing share across all major categories, including facial cleansing and moisturizing treatment, acne treatment and sun protection, while OUS sales growth was strong across multiple regions driven by new launches. Product0269 and MAUI Product0231 brands continue to expect strong growth and mature markets in addition to benefiting from new market expansions</t>
        </r>
      </text>
    </comment>
    <comment ref="DO1434" authorId="26" shapeId="0" xr:uid="{00000000-0006-0000-0200-0000A6030000}">
      <text>
        <r>
          <rPr>
            <b/>
            <sz val="9"/>
            <color indexed="81"/>
            <rFont val="Tahoma"/>
            <family val="2"/>
          </rPr>
          <t>Author:</t>
        </r>
        <r>
          <rPr>
            <sz val="9"/>
            <color indexed="81"/>
            <rFont val="Tahoma"/>
            <family val="2"/>
          </rPr>
          <t xml:space="preserve">
Cons:  1.6bn</t>
        </r>
      </text>
    </comment>
    <comment ref="DT1434" authorId="26" shapeId="0" xr:uid="{00000000-0006-0000-0200-0000A7030000}">
      <text>
        <r>
          <rPr>
            <b/>
            <sz val="9"/>
            <color indexed="81"/>
            <rFont val="Tahoma"/>
            <family val="2"/>
          </rPr>
          <t>Author:</t>
        </r>
        <r>
          <rPr>
            <sz val="9"/>
            <color indexed="81"/>
            <rFont val="Tahoma"/>
            <family val="2"/>
          </rPr>
          <t xml:space="preserve">
Cons: 1.7bn</t>
        </r>
      </text>
    </comment>
    <comment ref="CX1437" authorId="8" shapeId="0" xr:uid="{00000000-0006-0000-0200-0000A8030000}">
      <text>
        <r>
          <rPr>
            <b/>
            <sz val="9"/>
            <color indexed="81"/>
            <rFont val="Tahoma"/>
            <family val="2"/>
          </rPr>
          <t>Author:</t>
        </r>
        <r>
          <rPr>
            <sz val="9"/>
            <color indexed="81"/>
            <rFont val="Tahoma"/>
            <family val="2"/>
          </rPr>
          <t xml:space="preserve">
relaunch of baby portfolio, restocking of retail inventory helped this q</t>
        </r>
      </text>
    </comment>
    <comment ref="DA1437" authorId="10" shapeId="0" xr:uid="{00000000-0006-0000-0200-0000A9030000}">
      <text>
        <r>
          <rPr>
            <b/>
            <sz val="9"/>
            <color indexed="81"/>
            <rFont val="Tahoma"/>
            <family val="2"/>
          </rPr>
          <t>Author:</t>
        </r>
        <r>
          <rPr>
            <sz val="9"/>
            <color indexed="81"/>
            <rFont val="Tahoma"/>
            <family val="2"/>
          </rPr>
          <t xml:space="preserve">
U.S. declines occurred primarily in Product0011, driven by channel shift and market softness</t>
        </r>
      </text>
    </comment>
    <comment ref="DA1438" authorId="10" shapeId="0" xr:uid="{00000000-0006-0000-0200-0000AA030000}">
      <text>
        <r>
          <rPr>
            <b/>
            <sz val="9"/>
            <color indexed="81"/>
            <rFont val="Tahoma"/>
            <family val="2"/>
          </rPr>
          <t>Author:</t>
        </r>
        <r>
          <rPr>
            <sz val="9"/>
            <color indexed="81"/>
            <rFont val="Tahoma"/>
            <family val="2"/>
          </rPr>
          <t xml:space="preserve">
declines outside thus are primarily due to retail destocking as the Company1439 baby relaunch expense into new markets. The Company1439 baby brand has been relaunched in 4 key markets and is growing in 3 of these markets: China, India and Canada.</t>
        </r>
      </text>
    </comment>
    <comment ref="BM1440" authorId="1" shapeId="0" xr:uid="{00000000-0006-0000-0200-0000AB030000}">
      <text>
        <r>
          <rPr>
            <b/>
            <sz val="8"/>
            <color indexed="81"/>
            <rFont val="Tahoma"/>
            <family val="2"/>
          </rPr>
          <t>Author:</t>
        </r>
        <r>
          <rPr>
            <sz val="8"/>
            <color indexed="81"/>
            <rFont val="Tahoma"/>
            <family val="2"/>
          </rPr>
          <t xml:space="preserve">
1Q11: Operational growth of 3.1% due to growth in cleanser, wipes, and powders OUS and US. </t>
        </r>
      </text>
    </comment>
    <comment ref="DO1445" authorId="26" shapeId="0" xr:uid="{00000000-0006-0000-0200-0000AC030000}">
      <text>
        <r>
          <rPr>
            <b/>
            <sz val="9"/>
            <color indexed="81"/>
            <rFont val="Tahoma"/>
            <family val="2"/>
          </rPr>
          <t>Author:</t>
        </r>
        <r>
          <rPr>
            <sz val="9"/>
            <color indexed="81"/>
            <rFont val="Tahoma"/>
            <family val="2"/>
          </rPr>
          <t xml:space="preserve">
Cons: 960mn</t>
        </r>
      </text>
    </comment>
    <comment ref="DT1445" authorId="26" shapeId="0" xr:uid="{00000000-0006-0000-0200-0000AD030000}">
      <text>
        <r>
          <rPr>
            <b/>
            <sz val="9"/>
            <color indexed="81"/>
            <rFont val="Tahoma"/>
            <family val="2"/>
          </rPr>
          <t>Author:</t>
        </r>
        <r>
          <rPr>
            <sz val="9"/>
            <color indexed="81"/>
            <rFont val="Tahoma"/>
            <family val="2"/>
          </rPr>
          <t xml:space="preserve">
Cons: 981mn</t>
        </r>
      </text>
    </comment>
    <comment ref="BP1448" authorId="1" shapeId="0" xr:uid="{00000000-0006-0000-0200-0000AE030000}">
      <text>
        <r>
          <rPr>
            <b/>
            <sz val="8"/>
            <color indexed="81"/>
            <rFont val="Tahoma"/>
            <family val="2"/>
          </rPr>
          <t>Author:</t>
        </r>
        <r>
          <rPr>
            <sz val="8"/>
            <color indexed="81"/>
            <rFont val="Tahoma"/>
            <family val="2"/>
          </rPr>
          <t xml:space="preserve">
decline this quarter was primarily due to the impact of divestitures of certain brands</t>
        </r>
      </text>
    </comment>
    <comment ref="CQ1450" authorId="2" shapeId="0" xr:uid="{00000000-0006-0000-0200-0000AF030000}">
      <text>
        <r>
          <rPr>
            <b/>
            <sz val="9"/>
            <color indexed="81"/>
            <rFont val="Tahoma"/>
            <family val="2"/>
          </rPr>
          <t>Author:</t>
        </r>
        <r>
          <rPr>
            <sz val="9"/>
            <color indexed="81"/>
            <rFont val="Tahoma"/>
            <family val="2"/>
          </rPr>
          <t xml:space="preserve">
Venezuela</t>
        </r>
      </text>
    </comment>
    <comment ref="CR1450" authorId="2" shapeId="0" xr:uid="{00000000-0006-0000-0200-0000B0030000}">
      <text>
        <r>
          <rPr>
            <b/>
            <sz val="9"/>
            <color indexed="81"/>
            <rFont val="Tahoma"/>
            <family val="2"/>
          </rPr>
          <t>Author:</t>
        </r>
        <r>
          <rPr>
            <sz val="9"/>
            <color indexed="81"/>
            <rFont val="Tahoma"/>
            <family val="2"/>
          </rPr>
          <t xml:space="preserve">
impact from venezuela</t>
        </r>
      </text>
    </comment>
    <comment ref="BJ1451" authorId="18" shapeId="0" xr:uid="{00000000-0006-0000-0200-0000B1030000}">
      <text>
        <r>
          <rPr>
            <b/>
            <sz val="8"/>
            <color indexed="81"/>
            <rFont val="Tahoma"/>
            <family val="2"/>
          </rPr>
          <t>Author:</t>
        </r>
        <r>
          <rPr>
            <sz val="8"/>
            <color indexed="81"/>
            <rFont val="Tahoma"/>
            <family val="2"/>
          </rPr>
          <t xml:space="preserve">
increased competitive pressures</t>
        </r>
      </text>
    </comment>
    <comment ref="BM1451" authorId="1" shapeId="0" xr:uid="{00000000-0006-0000-0200-0000B2030000}">
      <text>
        <r>
          <rPr>
            <b/>
            <sz val="8"/>
            <color indexed="81"/>
            <rFont val="Tahoma"/>
            <family val="2"/>
          </rPr>
          <t>Author:</t>
        </r>
        <r>
          <rPr>
            <sz val="8"/>
            <color indexed="81"/>
            <rFont val="Tahoma"/>
            <family val="2"/>
          </rPr>
          <t xml:space="preserve">
1Q11: Declined 4% on operational basis </t>
        </r>
      </text>
    </comment>
    <comment ref="BR1451" authorId="22" shapeId="0" xr:uid="{00000000-0006-0000-0200-0000B3030000}">
      <text>
        <r>
          <rPr>
            <b/>
            <sz val="8"/>
            <color indexed="81"/>
            <rFont val="Tahoma"/>
            <family val="2"/>
          </rPr>
          <t>Author:</t>
        </r>
        <r>
          <rPr>
            <sz val="8"/>
            <color indexed="81"/>
            <rFont val="Tahoma"/>
            <family val="2"/>
          </rPr>
          <t xml:space="preserve">
divestitures of certain brands</t>
        </r>
      </text>
    </comment>
    <comment ref="B1453" authorId="0" shapeId="0" xr:uid="{00000000-0006-0000-0200-0000B4030000}">
      <text>
        <r>
          <rPr>
            <b/>
            <sz val="8"/>
            <color indexed="81"/>
            <rFont val="Tahoma"/>
            <family val="2"/>
          </rPr>
          <t>Author:</t>
        </r>
        <r>
          <rPr>
            <sz val="8"/>
            <color indexed="81"/>
            <rFont val="Tahoma"/>
            <family val="2"/>
          </rPr>
          <t xml:space="preserve">
Previously Company1778, changed 1Q 2007</t>
        </r>
      </text>
    </comment>
    <comment ref="BH1454" authorId="22" shapeId="0" xr:uid="{00000000-0006-0000-0200-0000B5030000}">
      <text>
        <r>
          <rPr>
            <b/>
            <sz val="8"/>
            <color indexed="81"/>
            <rFont val="Tahoma"/>
            <family val="2"/>
          </rPr>
          <t>Author:</t>
        </r>
        <r>
          <rPr>
            <sz val="8"/>
            <color indexed="81"/>
            <rFont val="Tahoma"/>
            <family val="2"/>
          </rPr>
          <t xml:space="preserve">
Tylenol recall of moldy product</t>
        </r>
      </text>
    </comment>
    <comment ref="BI1454" authorId="0" shapeId="0" xr:uid="{00000000-0006-0000-0200-0000B6030000}">
      <text>
        <r>
          <rPr>
            <b/>
            <sz val="8"/>
            <color indexed="81"/>
            <rFont val="Tahoma"/>
            <family val="2"/>
          </rPr>
          <t>Author:</t>
        </r>
        <r>
          <rPr>
            <sz val="8"/>
            <color indexed="81"/>
            <rFont val="Tahoma"/>
            <family val="2"/>
          </rPr>
          <t xml:space="preserve">
impact 2Q haven't resolved entirely. 650mn average per year sold in the U.S., Trinidad and Tobago, Bermuda, and Puerto Rico. Fort Washington plant shut down (impacted childrens liquid tylenol, extra strength, benadryl, etc.) Plant unlikely to be back online in 2010. taking $160mn out of model
4.20.10 conf call: $600m Company1778 recall  impact for 2010, mostly due to fort washington plan closure. stated that Product0250, Product0293 revenue at Lancaster plan that got 483 notice is "not very significant and don't break out". Observations by FDA are specific to taht facility</t>
        </r>
      </text>
    </comment>
    <comment ref="CN1454" authorId="2" shapeId="0" xr:uid="{00000000-0006-0000-0200-0000B7030000}">
      <text>
        <r>
          <rPr>
            <b/>
            <sz val="9"/>
            <color indexed="81"/>
            <rFont val="Tahoma"/>
            <family val="2"/>
          </rPr>
          <t>Author:</t>
        </r>
        <r>
          <rPr>
            <sz val="9"/>
            <color indexed="81"/>
            <rFont val="Tahoma"/>
            <family val="2"/>
          </rPr>
          <t xml:space="preserve">
excludes $63mn from sales of OTC API ($250mn annual sales); weak allergy season in upper respiratory</t>
        </r>
      </text>
    </comment>
    <comment ref="CO1454" authorId="2" shapeId="0" xr:uid="{00000000-0006-0000-0200-0000B8030000}">
      <text>
        <r>
          <rPr>
            <b/>
            <sz val="9"/>
            <color indexed="81"/>
            <rFont val="Tahoma"/>
            <family val="2"/>
          </rPr>
          <t>Author:</t>
        </r>
        <r>
          <rPr>
            <sz val="9"/>
            <color indexed="81"/>
            <rFont val="Tahoma"/>
            <family val="2"/>
          </rPr>
          <t xml:space="preserve">
excludes $63mn from sales of OTC API ($250mn annual sales)</t>
        </r>
      </text>
    </comment>
    <comment ref="CQ1454" authorId="2" shapeId="0" xr:uid="{00000000-0006-0000-0200-0000B9030000}">
      <text>
        <r>
          <rPr>
            <b/>
            <sz val="9"/>
            <color indexed="81"/>
            <rFont val="Tahoma"/>
            <family val="2"/>
          </rPr>
          <t>Author:</t>
        </r>
        <r>
          <rPr>
            <sz val="9"/>
            <color indexed="81"/>
            <rFont val="Tahoma"/>
            <family val="2"/>
          </rPr>
          <t xml:space="preserve">
excludes $63mn from sales of OTC API ($250mn annual sales)</t>
        </r>
      </text>
    </comment>
    <comment ref="CR1454" authorId="2" shapeId="0" xr:uid="{00000000-0006-0000-0200-0000BA030000}">
      <text>
        <r>
          <rPr>
            <b/>
            <sz val="9"/>
            <color indexed="81"/>
            <rFont val="Tahoma"/>
            <family val="2"/>
          </rPr>
          <t>Author:</t>
        </r>
        <r>
          <rPr>
            <sz val="9"/>
            <color indexed="81"/>
            <rFont val="Tahoma"/>
            <family val="2"/>
          </rPr>
          <t xml:space="preserve">
excludes $63mn from sales of OTC API ($250mn annual sales)</t>
        </r>
      </text>
    </comment>
    <comment ref="DQ1455" authorId="4" shapeId="0" xr:uid="{00000000-0006-0000-0200-0000BB030000}">
      <text>
        <r>
          <rPr>
            <sz val="9"/>
            <color indexed="81"/>
            <rFont val="Tahoma"/>
            <family val="2"/>
          </rPr>
          <t xml:space="preserve">
reclassified ~$100mn a quarter from pharma </t>
        </r>
      </text>
    </comment>
    <comment ref="DO1456" authorId="26" shapeId="0" xr:uid="{00000000-0006-0000-0200-0000BC030000}">
      <text>
        <r>
          <rPr>
            <b/>
            <sz val="9"/>
            <color indexed="81"/>
            <rFont val="Tahoma"/>
            <family val="2"/>
          </rPr>
          <t>Author:</t>
        </r>
        <r>
          <rPr>
            <sz val="9"/>
            <color indexed="81"/>
            <rFont val="Tahoma"/>
            <family val="2"/>
          </rPr>
          <t xml:space="preserve">
Cons: 4.8b</t>
        </r>
      </text>
    </comment>
    <comment ref="DT1456" authorId="11" shapeId="0" xr:uid="{00000000-0006-0000-0200-0000BD030000}">
      <text>
        <r>
          <rPr>
            <b/>
            <sz val="9"/>
            <color indexed="81"/>
            <rFont val="Tahoma"/>
            <family val="2"/>
          </rPr>
          <t>Author:</t>
        </r>
        <r>
          <rPr>
            <sz val="9"/>
            <color indexed="81"/>
            <rFont val="Tahoma"/>
            <family val="2"/>
          </rPr>
          <t xml:space="preserve">
1Q22 move OTC products unver pharma to consumer health, $100mn per quarter</t>
        </r>
      </text>
    </comment>
    <comment ref="BJ1459" authorId="18" shapeId="0" xr:uid="{00000000-0006-0000-0200-0000BE030000}">
      <text>
        <r>
          <rPr>
            <b/>
            <sz val="8"/>
            <color indexed="81"/>
            <rFont val="Tahoma"/>
            <family val="2"/>
          </rPr>
          <t>Author:</t>
        </r>
        <r>
          <rPr>
            <sz val="8"/>
            <color indexed="81"/>
            <rFont val="Tahoma"/>
            <family val="2"/>
          </rPr>
          <t xml:space="preserve">
began shipping a small amount of product</t>
        </r>
      </text>
    </comment>
    <comment ref="BL1459" authorId="0" shapeId="0" xr:uid="{00000000-0006-0000-0200-0000BF030000}">
      <text>
        <r>
          <rPr>
            <b/>
            <sz val="8"/>
            <color indexed="81"/>
            <rFont val="Tahoma"/>
            <family val="2"/>
          </rPr>
          <t>actual OTC impact was $900 m in 2010, $300 m in 4Q
5 cent impact in 3Q; 15-20 cents for 2010 for Company1778 issues and EU Austerity was 15 to 20 cents, with the majority of that related to Company1778.</t>
        </r>
      </text>
    </comment>
    <comment ref="BQ1459" authorId="22" shapeId="0" xr:uid="{00000000-0006-0000-0200-0000C0030000}">
      <text>
        <r>
          <rPr>
            <b/>
            <sz val="8"/>
            <color indexed="81"/>
            <rFont val="Tahoma"/>
            <family val="2"/>
          </rPr>
          <t>Author:</t>
        </r>
        <r>
          <rPr>
            <sz val="8"/>
            <color indexed="81"/>
            <rFont val="Tahoma"/>
            <family val="2"/>
          </rPr>
          <t xml:space="preserve">
</t>
        </r>
        <r>
          <rPr>
            <b/>
            <sz val="8"/>
            <color indexed="81"/>
            <rFont val="Tahoma"/>
            <family val="2"/>
          </rPr>
          <t>3.14.11:</t>
        </r>
        <r>
          <rPr>
            <sz val="8"/>
            <color indexed="81"/>
            <rFont val="Tahoma"/>
            <family val="2"/>
          </rPr>
          <t xml:space="preserve"> FDA issues consent decree against Company1779 3 US plants. Prevents Fort Washington from manufacturing/shipping drugs until FDA signoff. Puerto Rico and Pennsylania plants are also impacted but can still ship product. </t>
        </r>
        <r>
          <rPr>
            <b/>
            <sz val="8"/>
            <color indexed="81"/>
            <rFont val="Tahoma"/>
            <family val="2"/>
          </rPr>
          <t>Ticker0018 IR says 2H2011 ramp now unlikely. Reviewing guidance impact.</t>
        </r>
        <r>
          <rPr>
            <sz val="8"/>
            <color indexed="81"/>
            <rFont val="Tahoma"/>
            <family val="2"/>
          </rPr>
          <t xml:space="preserve">
</t>
        </r>
        <r>
          <rPr>
            <b/>
            <sz val="8"/>
            <color indexed="81"/>
            <rFont val="Tahoma"/>
            <family val="2"/>
          </rPr>
          <t xml:space="preserve">1.25.11: </t>
        </r>
        <r>
          <rPr>
            <sz val="8"/>
            <color indexed="81"/>
            <rFont val="Tahoma"/>
            <family val="2"/>
          </rPr>
          <t xml:space="preserve">Ticker0018 begins shipping small level of product in 4Q10, with expected ramp in 2H2011
</t>
        </r>
        <r>
          <rPr>
            <b/>
            <sz val="8"/>
            <color indexed="81"/>
            <rFont val="Tahoma"/>
            <family val="2"/>
          </rPr>
          <t>10.19.10:</t>
        </r>
        <r>
          <rPr>
            <sz val="8"/>
            <color indexed="81"/>
            <rFont val="Tahoma"/>
            <family val="2"/>
          </rPr>
          <t xml:space="preserve"> Ticker0018 begins shipping small level of product in 3Q10, with expected ramp in 1H2011, ramp up to nromal levels by mid year
Fort Washinton plant not operational until late 2011 but finding alternate manuf locations</t>
        </r>
      </text>
    </comment>
    <comment ref="BV1459" authorId="22" shapeId="0" xr:uid="{00000000-0006-0000-0200-0000C1030000}">
      <text>
        <r>
          <rPr>
            <b/>
            <sz val="8"/>
            <color indexed="81"/>
            <rFont val="Tahoma"/>
            <family val="2"/>
          </rPr>
          <t>Author:</t>
        </r>
        <r>
          <rPr>
            <sz val="8"/>
            <color indexed="81"/>
            <rFont val="Tahoma"/>
            <family val="2"/>
          </rPr>
          <t xml:space="preserve">
4.17.2012: Now assume half of products to come back by 2012 and remaining half by 2013</t>
        </r>
      </text>
    </comment>
    <comment ref="CA1459" authorId="22" shapeId="0" xr:uid="{00000000-0006-0000-0200-0000C2030000}">
      <text>
        <r>
          <rPr>
            <b/>
            <sz val="8"/>
            <color indexed="81"/>
            <rFont val="Tahoma"/>
            <family val="2"/>
          </rPr>
          <t>Author:</t>
        </r>
        <r>
          <rPr>
            <sz val="8"/>
            <color indexed="81"/>
            <rFont val="Tahoma"/>
            <family val="2"/>
          </rPr>
          <t xml:space="preserve">
7.16.13
Person1232 Person1228 says "75% of OTC brands will be returned to retailers later this year" and the remaining 25% in 2014
4.17.2012: Now assume half of products to come back by 2012 and remaining half by 2013</t>
        </r>
      </text>
    </comment>
    <comment ref="CR1459" authorId="2" shapeId="0" xr:uid="{00000000-0006-0000-0200-0000C3030000}">
      <text>
        <r>
          <rPr>
            <b/>
            <sz val="9"/>
            <color indexed="81"/>
            <rFont val="Tahoma"/>
            <family val="2"/>
          </rPr>
          <t>Author:</t>
        </r>
        <r>
          <rPr>
            <sz val="9"/>
            <color indexed="81"/>
            <rFont val="Tahoma"/>
            <family val="2"/>
          </rPr>
          <t xml:space="preserve">
build up in Product0482 retail inventory</t>
        </r>
      </text>
    </comment>
    <comment ref="DA1459" authorId="10" shapeId="0" xr:uid="{00000000-0006-0000-0200-0000C4030000}">
      <text>
        <r>
          <rPr>
            <b/>
            <sz val="9"/>
            <color indexed="81"/>
            <rFont val="Tahoma"/>
            <family val="2"/>
          </rPr>
          <t>Author:</t>
        </r>
        <r>
          <rPr>
            <sz val="9"/>
            <color indexed="81"/>
            <rFont val="Tahoma"/>
            <family val="2"/>
          </rPr>
          <t xml:space="preserve">
U.S., OTC share growth is well outpacing the category led by TYLENOL, which grew by over 15% including 10% consumption growth driven by rapid-release gel and TYLENOL arthritis products. The balanced growth </t>
        </r>
        <r>
          <rPr>
            <b/>
            <sz val="9"/>
            <color indexed="81"/>
            <rFont val="Tahoma"/>
            <family val="2"/>
          </rPr>
          <t>was mainly associated with inventory builds as a result of the prior year's supply constraints driven by Hurricane Person0738</t>
        </r>
      </text>
    </comment>
    <comment ref="BM1461" authorId="1" shapeId="0" xr:uid="{00000000-0006-0000-0200-0000C5030000}">
      <text>
        <r>
          <rPr>
            <b/>
            <sz val="8"/>
            <color indexed="81"/>
            <rFont val="Tahoma"/>
            <family val="2"/>
          </rPr>
          <t>Author:</t>
        </r>
        <r>
          <rPr>
            <sz val="8"/>
            <color indexed="81"/>
            <rFont val="Tahoma"/>
            <family val="2"/>
          </rPr>
          <t xml:space="preserve">
1Q11: Sales for OTC/Nutritionals OUS were up 6.9% on operations basis</t>
        </r>
      </text>
    </comment>
    <comment ref="CJ1461" authorId="2" shapeId="0" xr:uid="{00000000-0006-0000-0200-0000C6030000}">
      <text>
        <r>
          <rPr>
            <b/>
            <sz val="9"/>
            <color indexed="81"/>
            <rFont val="Tahoma"/>
            <family val="2"/>
          </rPr>
          <t>Author:</t>
        </r>
        <r>
          <rPr>
            <sz val="9"/>
            <color indexed="81"/>
            <rFont val="Tahoma"/>
            <family val="2"/>
          </rPr>
          <t xml:space="preserve">
OUS growth driven y upper respiratory incl. inv build and anti smoking product re-launches</t>
        </r>
      </text>
    </comment>
    <comment ref="DA1461" authorId="10" shapeId="0" xr:uid="{00000000-0006-0000-0200-0000C7030000}">
      <text>
        <r>
          <rPr>
            <b/>
            <sz val="9"/>
            <color indexed="81"/>
            <rFont val="Tahoma"/>
            <family val="2"/>
          </rPr>
          <t>Author:</t>
        </r>
        <r>
          <rPr>
            <sz val="9"/>
            <color indexed="81"/>
            <rFont val="Tahoma"/>
            <family val="2"/>
          </rPr>
          <t xml:space="preserve">
OUS grew almost 3% with strong sales in Asia driven by the strong performance at Product0256 Product0330 in our smoking cessation portfolio, Product0233 for pediatric analgesics; and Product0334 for allergy. Growth was partially offset by declines in our upper respiratory brands due to soft cold cough flu season in northern Europe and Russia.</t>
        </r>
      </text>
    </comment>
    <comment ref="BM1462" authorId="1" shapeId="0" xr:uid="{00000000-0006-0000-0200-0000C8030000}">
      <text>
        <r>
          <rPr>
            <b/>
            <sz val="8"/>
            <color indexed="81"/>
            <rFont val="Tahoma"/>
            <family val="2"/>
          </rPr>
          <t>Author:</t>
        </r>
        <r>
          <rPr>
            <sz val="8"/>
            <color indexed="81"/>
            <rFont val="Tahoma"/>
            <family val="2"/>
          </rPr>
          <t xml:space="preserve">
OTC Pharma + Nutritionals declined 8% on op basis. Shipments expected in latter part of 2011
Will not open Fort Washington facility until first completed remediation efforts. Broader portfolio of products expected in 2012</t>
        </r>
      </text>
    </comment>
    <comment ref="BP1462" authorId="1" shapeId="0" xr:uid="{00000000-0006-0000-0200-0000C9030000}">
      <text>
        <r>
          <rPr>
            <b/>
            <sz val="8"/>
            <color indexed="81"/>
            <rFont val="Tahoma"/>
            <family val="2"/>
          </rPr>
          <t>Author:</t>
        </r>
        <r>
          <rPr>
            <sz val="8"/>
            <color indexed="81"/>
            <rFont val="Tahoma"/>
            <family val="2"/>
          </rPr>
          <t xml:space="preserve">
3Q11: products previously produced at the Fort Washington facility, Company1778 continues to work on
the re-siting of these products to other facilities. Company1778 is making progress on the validations at these sites, and expects a
modest amount of certain products to ship in late 2011.We anticipate the balance of the portfolio of key selected products will continue to be reintroduced throughout 2012.</t>
        </r>
      </text>
    </comment>
    <comment ref="BR1462" authorId="1" shapeId="0" xr:uid="{00000000-0006-0000-0200-0000CA030000}">
      <text>
        <r>
          <rPr>
            <b/>
            <sz val="8"/>
            <color indexed="81"/>
            <rFont val="Tahoma"/>
            <family val="2"/>
          </rPr>
          <t>Author:</t>
        </r>
        <r>
          <rPr>
            <sz val="8"/>
            <color indexed="81"/>
            <rFont val="Tahoma"/>
            <family val="2"/>
          </rPr>
          <t xml:space="preserve">
4QCC: Expects to fully return to OTC market mid-2012 with the latest by end of 2012</t>
        </r>
      </text>
    </comment>
    <comment ref="DO1467" authorId="26" shapeId="0" xr:uid="{00000000-0006-0000-0200-0000CB030000}">
      <text>
        <r>
          <rPr>
            <b/>
            <sz val="9"/>
            <color indexed="81"/>
            <rFont val="Tahoma"/>
            <family val="2"/>
          </rPr>
          <t>Author:</t>
        </r>
        <r>
          <rPr>
            <sz val="9"/>
            <color indexed="81"/>
            <rFont val="Tahoma"/>
            <family val="2"/>
          </rPr>
          <t xml:space="preserve">
Cons 1.7bn</t>
        </r>
      </text>
    </comment>
    <comment ref="DT1467" authorId="26" shapeId="0" xr:uid="{00000000-0006-0000-0200-0000CC030000}">
      <text>
        <r>
          <rPr>
            <b/>
            <sz val="9"/>
            <color indexed="81"/>
            <rFont val="Tahoma"/>
            <family val="2"/>
          </rPr>
          <t>Author:</t>
        </r>
        <r>
          <rPr>
            <sz val="9"/>
            <color indexed="81"/>
            <rFont val="Tahoma"/>
            <family val="2"/>
          </rPr>
          <t xml:space="preserve">
Cons: 1.7bn</t>
        </r>
      </text>
    </comment>
    <comment ref="BM1470" authorId="1" shapeId="0" xr:uid="{00000000-0006-0000-0200-0000CD030000}">
      <text>
        <r>
          <rPr>
            <b/>
            <sz val="8"/>
            <color indexed="81"/>
            <rFont val="Tahoma"/>
            <family val="2"/>
          </rPr>
          <t>Author:</t>
        </r>
        <r>
          <rPr>
            <sz val="8"/>
            <color indexed="81"/>
            <rFont val="Tahoma"/>
            <family val="2"/>
          </rPr>
          <t xml:space="preserve">
Impact from competition, prviate label</t>
        </r>
      </text>
    </comment>
    <comment ref="BM1471" authorId="1" shapeId="0" xr:uid="{00000000-0006-0000-0200-0000CE030000}">
      <text>
        <r>
          <rPr>
            <b/>
            <sz val="8"/>
            <color indexed="81"/>
            <rFont val="Tahoma"/>
            <family val="2"/>
          </rPr>
          <t>Author:</t>
        </r>
        <r>
          <rPr>
            <sz val="8"/>
            <color indexed="81"/>
            <rFont val="Tahoma"/>
            <family val="2"/>
          </rPr>
          <t xml:space="preserve">
Driven by strong growth for Product0220</t>
        </r>
      </text>
    </comment>
    <comment ref="BM1473" authorId="1" shapeId="0" xr:uid="{00000000-0006-0000-0200-0000CF030000}">
      <text>
        <r>
          <rPr>
            <b/>
            <sz val="8"/>
            <color indexed="81"/>
            <rFont val="Tahoma"/>
            <family val="2"/>
          </rPr>
          <t>Author:</t>
        </r>
        <r>
          <rPr>
            <sz val="8"/>
            <color indexed="81"/>
            <rFont val="Tahoma"/>
            <family val="2"/>
          </rPr>
          <t xml:space="preserve">
1Q11: Sales were flat on operational business</t>
        </r>
      </text>
    </comment>
    <comment ref="CH1478" authorId="21" shapeId="0" xr:uid="{00000000-0006-0000-0200-0000D0030000}">
      <text>
        <r>
          <rPr>
            <b/>
            <sz val="9"/>
            <color indexed="81"/>
            <rFont val="Tahoma"/>
            <family val="2"/>
          </rPr>
          <t>Author:</t>
        </r>
        <r>
          <rPr>
            <sz val="9"/>
            <color indexed="81"/>
            <rFont val="Tahoma"/>
            <family val="2"/>
          </rPr>
          <t xml:space="preserve">
9.25.15:  Product0383 divestiture is complete, $340mn in 2014 sales</t>
        </r>
      </text>
    </comment>
    <comment ref="DO1478" authorId="26" shapeId="0" xr:uid="{00000000-0006-0000-0200-0000D1030000}">
      <text>
        <r>
          <rPr>
            <b/>
            <sz val="9"/>
            <color indexed="81"/>
            <rFont val="Tahoma"/>
            <family val="2"/>
          </rPr>
          <t>Author:</t>
        </r>
        <r>
          <rPr>
            <sz val="9"/>
            <color indexed="81"/>
            <rFont val="Tahoma"/>
            <family val="2"/>
          </rPr>
          <t xml:space="preserve">
Cons: 744mn</t>
        </r>
      </text>
    </comment>
    <comment ref="DT1478" authorId="26" shapeId="0" xr:uid="{00000000-0006-0000-0200-0000D2030000}">
      <text>
        <r>
          <rPr>
            <b/>
            <sz val="9"/>
            <color indexed="81"/>
            <rFont val="Tahoma"/>
            <family val="2"/>
          </rPr>
          <t>Author:</t>
        </r>
        <r>
          <rPr>
            <sz val="9"/>
            <color indexed="81"/>
            <rFont val="Tahoma"/>
            <family val="2"/>
          </rPr>
          <t xml:space="preserve">
Cons: 759mn</t>
        </r>
      </text>
    </comment>
    <comment ref="CI1481" authorId="21" shapeId="0" xr:uid="{00000000-0006-0000-0200-0000D3030000}">
      <text>
        <r>
          <rPr>
            <b/>
            <sz val="9"/>
            <color indexed="81"/>
            <rFont val="Tahoma"/>
            <family val="2"/>
          </rPr>
          <t>Author:</t>
        </r>
        <r>
          <rPr>
            <sz val="9"/>
            <color indexed="81"/>
            <rFont val="Tahoma"/>
            <family val="2"/>
          </rPr>
          <t xml:space="preserve">
9.25.15:  Product0383 divestiture is complete, $340mn in 2014 sales</t>
        </r>
      </text>
    </comment>
    <comment ref="CJ1481" authorId="21" shapeId="0" xr:uid="{00000000-0006-0000-0200-0000D4030000}">
      <text>
        <r>
          <rPr>
            <b/>
            <sz val="9"/>
            <color indexed="81"/>
            <rFont val="Tahoma"/>
            <family val="2"/>
          </rPr>
          <t>Author:</t>
        </r>
        <r>
          <rPr>
            <sz val="9"/>
            <color indexed="81"/>
            <rFont val="Tahoma"/>
            <family val="2"/>
          </rPr>
          <t xml:space="preserve">
9.25.15:  Product0383 divestiture is complete, $340mn in 2014 sales</t>
        </r>
      </text>
    </comment>
    <comment ref="CI1483" authorId="21" shapeId="0" xr:uid="{00000000-0006-0000-0200-0000D5030000}">
      <text>
        <r>
          <rPr>
            <b/>
            <sz val="9"/>
            <color indexed="81"/>
            <rFont val="Tahoma"/>
            <family val="2"/>
          </rPr>
          <t>Author:</t>
        </r>
        <r>
          <rPr>
            <sz val="9"/>
            <color indexed="81"/>
            <rFont val="Tahoma"/>
            <family val="2"/>
          </rPr>
          <t xml:space="preserve">
9.25.15:  Product0383 divestiture is complete, $340mn in 2014 sales</t>
        </r>
      </text>
    </comment>
    <comment ref="CJ1483" authorId="21" shapeId="0" xr:uid="{00000000-0006-0000-0200-0000D6030000}">
      <text>
        <r>
          <rPr>
            <b/>
            <sz val="9"/>
            <color indexed="81"/>
            <rFont val="Tahoma"/>
            <family val="2"/>
          </rPr>
          <t>Author:</t>
        </r>
        <r>
          <rPr>
            <sz val="9"/>
            <color indexed="81"/>
            <rFont val="Tahoma"/>
            <family val="2"/>
          </rPr>
          <t xml:space="preserve">
9.25.15:  Product0383 divestiture is complete, $340mn in 2014 sales</t>
        </r>
      </text>
    </comment>
    <comment ref="BM1484" authorId="1" shapeId="0" xr:uid="{00000000-0006-0000-0200-0000D7030000}">
      <text>
        <r>
          <rPr>
            <b/>
            <sz val="8"/>
            <color indexed="81"/>
            <rFont val="Tahoma"/>
            <family val="2"/>
          </rPr>
          <t>Author:</t>
        </r>
        <r>
          <rPr>
            <sz val="8"/>
            <color indexed="81"/>
            <rFont val="Tahoma"/>
            <family val="2"/>
          </rPr>
          <t xml:space="preserve">
Down 8.4% on operational basis due to increased competition and divestiture of Product0325 announced in 4Q10</t>
        </r>
      </text>
    </comment>
    <comment ref="BR1484" authorId="22" shapeId="0" xr:uid="{00000000-0006-0000-0200-0000D8030000}">
      <text>
        <r>
          <rPr>
            <b/>
            <sz val="8"/>
            <color indexed="81"/>
            <rFont val="Tahoma"/>
            <family val="2"/>
          </rPr>
          <t>Author:</t>
        </r>
        <r>
          <rPr>
            <sz val="8"/>
            <color indexed="81"/>
            <rFont val="Tahoma"/>
            <family val="2"/>
          </rPr>
          <t xml:space="preserve">
new product launches</t>
        </r>
      </text>
    </comment>
    <comment ref="DE1489" authorId="9" shapeId="0" xr:uid="{00000000-0006-0000-0200-0000D9030000}">
      <text>
        <r>
          <rPr>
            <b/>
            <sz val="9"/>
            <color indexed="81"/>
            <rFont val="Tahoma"/>
            <family val="2"/>
          </rPr>
          <t>Author:</t>
        </r>
        <r>
          <rPr>
            <sz val="9"/>
            <color indexed="81"/>
            <rFont val="Tahoma"/>
            <family val="2"/>
          </rPr>
          <t xml:space="preserve">
Cons 14.22</t>
        </r>
      </text>
    </comment>
    <comment ref="DH1489" authorId="12" shapeId="0" xr:uid="{00000000-0006-0000-0200-0000DA030000}">
      <text>
        <r>
          <rPr>
            <b/>
            <sz val="9"/>
            <color indexed="81"/>
            <rFont val="Tahoma"/>
            <family val="2"/>
          </rPr>
          <t>Author:</t>
        </r>
        <r>
          <rPr>
            <sz val="9"/>
            <color indexed="81"/>
            <rFont val="Tahoma"/>
            <family val="2"/>
          </rPr>
          <t xml:space="preserve">
Cons 3424</t>
        </r>
      </text>
    </comment>
    <comment ref="DI1489" authorId="12" shapeId="0" xr:uid="{00000000-0006-0000-0200-0000DB030000}">
      <text>
        <r>
          <rPr>
            <b/>
            <sz val="9"/>
            <color indexed="81"/>
            <rFont val="Tahoma"/>
            <family val="2"/>
          </rPr>
          <t>Author:</t>
        </r>
        <r>
          <rPr>
            <sz val="9"/>
            <color indexed="81"/>
            <rFont val="Tahoma"/>
            <family val="2"/>
          </rPr>
          <t xml:space="preserve">
Cons 3622</t>
        </r>
      </text>
    </comment>
    <comment ref="DJ1489" authorId="12" shapeId="0" xr:uid="{00000000-0006-0000-0200-0000DC030000}">
      <text>
        <r>
          <rPr>
            <b/>
            <sz val="9"/>
            <color indexed="81"/>
            <rFont val="Tahoma"/>
            <family val="2"/>
          </rPr>
          <t>Author:</t>
        </r>
        <r>
          <rPr>
            <sz val="9"/>
            <color indexed="81"/>
            <rFont val="Tahoma"/>
            <family val="2"/>
          </rPr>
          <t xml:space="preserve">
Cons 13.97</t>
        </r>
      </text>
    </comment>
    <comment ref="DO1489" authorId="12" shapeId="0" xr:uid="{00000000-0006-0000-0200-0000DD030000}">
      <text>
        <r>
          <rPr>
            <b/>
            <sz val="9"/>
            <color indexed="81"/>
            <rFont val="Tahoma"/>
            <family val="2"/>
          </rPr>
          <t>Author:</t>
        </r>
        <r>
          <rPr>
            <sz val="9"/>
            <color indexed="81"/>
            <rFont val="Tahoma"/>
            <family val="2"/>
          </rPr>
          <t xml:space="preserve">
Cons 14.34</t>
        </r>
      </text>
    </comment>
    <comment ref="DA1495" authorId="10" shapeId="0" xr:uid="{00000000-0006-0000-0200-0000DE030000}">
      <text>
        <r>
          <rPr>
            <b/>
            <sz val="9"/>
            <color indexed="81"/>
            <rFont val="Tahoma"/>
            <family val="2"/>
          </rPr>
          <t>Author:</t>
        </r>
        <r>
          <rPr>
            <sz val="9"/>
            <color indexed="81"/>
            <rFont val="Tahoma"/>
            <family val="2"/>
          </rPr>
          <t xml:space="preserve">
Reported: WW (2.4)%, U.S. 0.2%, Int’l (4.2)%
Operational1: WW 2.2%, U.S. 0.2%, Int’l 3.7%
The overall market growth in the categories we participate in slowed to slightly over 1%. Excluding the net impact of acquisitions and divestitures, adjusted operational sales growth was 0.7%. In addition to growing share in key brands, such as TYLENOL and NEUTROGENA, Consumer continues to grow share in the e-commerce channel, outpacing category growth rates in that channel with strong double-digit growth across all regions. </t>
        </r>
      </text>
    </comment>
    <comment ref="DF1495" authorId="10" shapeId="0" xr:uid="{00000000-0006-0000-0200-0000DF030000}">
      <text>
        <r>
          <rPr>
            <b/>
            <sz val="9"/>
            <color indexed="81"/>
            <rFont val="Tahoma"/>
            <family val="2"/>
          </rPr>
          <t>Author:</t>
        </r>
        <r>
          <rPr>
            <sz val="9"/>
            <color indexed="81"/>
            <rFont val="Tahoma"/>
            <family val="2"/>
          </rPr>
          <t xml:space="preserve">
Reported: WW (2.4)%, U.S. 0.2%, Int’l (4.2)%
Operational1: WW 2.2%, U.S. 0.2%, Int’l 3.7%
The overall market growth in the categories we participate in slowed to slightly over 1%. Excluding the net impact of acquisitions and divestitures, adjusted operational sales growth was 0.7%. In addition to growing share in key brands, such as TYLENOL and NEUTROGENA, Consumer continues to grow share in the e-commerce channel, outpacing category growth rates in that channel with strong double-digit growth across all regions. </t>
        </r>
      </text>
    </comment>
    <comment ref="DO1495" authorId="12" shapeId="0" xr:uid="{00000000-0006-0000-0200-0000E0030000}">
      <text>
        <r>
          <rPr>
            <b/>
            <sz val="9"/>
            <color indexed="81"/>
            <rFont val="Tahoma"/>
            <family val="2"/>
          </rPr>
          <t>Author:</t>
        </r>
        <r>
          <rPr>
            <sz val="9"/>
            <color indexed="81"/>
            <rFont val="Tahoma"/>
            <family val="2"/>
          </rPr>
          <t xml:space="preserve">
3Q20: Grow competitively with the market</t>
        </r>
      </text>
    </comment>
    <comment ref="B1502" authorId="8" shapeId="0" xr:uid="{00000000-0006-0000-0200-0000E1030000}">
      <text>
        <r>
          <rPr>
            <b/>
            <sz val="9"/>
            <color indexed="81"/>
            <rFont val="Tahoma"/>
            <family val="2"/>
          </rPr>
          <t>Author:</t>
        </r>
        <r>
          <rPr>
            <sz val="9"/>
            <color indexed="81"/>
            <rFont val="Tahoma"/>
            <family val="2"/>
          </rPr>
          <t xml:space="preserve">
$1bn peak</t>
        </r>
      </text>
    </comment>
    <comment ref="C1503" authorId="8" shapeId="0" xr:uid="{00000000-0006-0000-0200-0000E2030000}">
      <text>
        <r>
          <rPr>
            <b/>
            <sz val="9"/>
            <color indexed="81"/>
            <rFont val="Tahoma"/>
            <family val="2"/>
          </rPr>
          <t>Author:</t>
        </r>
        <r>
          <rPr>
            <sz val="9"/>
            <color indexed="81"/>
            <rFont val="Tahoma"/>
            <family val="2"/>
          </rPr>
          <t xml:space="preserve">
Phase II Cholangiocarcinoma; Gastric cancer; Multiple myeloma; Non-small cell lung cancer; Oesophageal cancer; Urogenital cancer
Phase I/II Hepatocellular carcinoma; Lymphoma; Solid tumours
Phase I Breast cancer; Cancer</t>
        </r>
      </text>
    </comment>
    <comment ref="DL1503" authorId="26" shapeId="0" xr:uid="{00000000-0006-0000-0200-0000E3030000}">
      <text>
        <r>
          <rPr>
            <b/>
            <sz val="9"/>
            <color indexed="81"/>
            <rFont val="Tahoma"/>
            <family val="2"/>
          </rPr>
          <t>Author:</t>
        </r>
        <r>
          <rPr>
            <sz val="9"/>
            <color indexed="81"/>
            <rFont val="Tahoma"/>
            <family val="2"/>
          </rPr>
          <t xml:space="preserve">
not broken out in PR</t>
        </r>
      </text>
    </comment>
    <comment ref="DN1503" authorId="11" shapeId="0" xr:uid="{00000000-0006-0000-0200-0000E4030000}">
      <text>
        <r>
          <rPr>
            <b/>
            <sz val="9"/>
            <color indexed="81"/>
            <rFont val="Tahoma"/>
            <family val="2"/>
          </rPr>
          <t>Author:</t>
        </r>
        <r>
          <rPr>
            <sz val="9"/>
            <color indexed="81"/>
            <rFont val="Tahoma"/>
            <family val="2"/>
          </rPr>
          <t xml:space="preserve">
not broken out in PR</t>
        </r>
      </text>
    </comment>
    <comment ref="DE1504" authorId="8" shapeId="0" xr:uid="{00000000-0006-0000-0200-0000E5030000}">
      <text>
        <r>
          <rPr>
            <b/>
            <sz val="9"/>
            <color indexed="81"/>
            <rFont val="Tahoma"/>
            <family val="2"/>
          </rPr>
          <t>Author:</t>
        </r>
        <r>
          <rPr>
            <sz val="9"/>
            <color indexed="81"/>
            <rFont val="Tahoma"/>
            <family val="2"/>
          </rPr>
          <t xml:space="preserve">
pushed out EU sales to 2020 given it is only UR in US, phase 2b in EU.</t>
        </r>
      </text>
    </comment>
    <comment ref="B1512" authorId="8" shapeId="0" xr:uid="{00000000-0006-0000-0200-0000E6030000}">
      <text>
        <r>
          <rPr>
            <b/>
            <sz val="9"/>
            <color indexed="81"/>
            <rFont val="Tahoma"/>
            <family val="2"/>
          </rPr>
          <t>Author:</t>
        </r>
        <r>
          <rPr>
            <sz val="9"/>
            <color indexed="81"/>
            <rFont val="Tahoma"/>
            <family val="2"/>
          </rPr>
          <t xml:space="preserve">
$1bn peak</t>
        </r>
      </text>
    </comment>
    <comment ref="C1513" authorId="8" shapeId="0" xr:uid="{00000000-0006-0000-0200-0000E7030000}">
      <text>
        <r>
          <rPr>
            <b/>
            <sz val="9"/>
            <color indexed="81"/>
            <rFont val="Tahoma"/>
            <family val="2"/>
          </rPr>
          <t>Author:</t>
        </r>
        <r>
          <rPr>
            <sz val="9"/>
            <color indexed="81"/>
            <rFont val="Tahoma"/>
            <family val="2"/>
          </rPr>
          <t xml:space="preserve">
Marketed Fallopian tube cancer; Ovarian cancer; Peritoneal cancer
Phase III Breast cancer
Phase II Non-small cell lung cancer; Prostate cancer
Phase I Person0359 sarcoma; Solid tumours</t>
        </r>
      </text>
    </comment>
    <comment ref="DL1513" authorId="26" shapeId="0" xr:uid="{00000000-0006-0000-0200-0000E8030000}">
      <text>
        <r>
          <rPr>
            <b/>
            <sz val="9"/>
            <color indexed="81"/>
            <rFont val="Tahoma"/>
            <family val="2"/>
          </rPr>
          <t>Author:</t>
        </r>
        <r>
          <rPr>
            <sz val="9"/>
            <color indexed="81"/>
            <rFont val="Tahoma"/>
            <family val="2"/>
          </rPr>
          <t xml:space="preserve">
Not broken out in PR</t>
        </r>
      </text>
    </comment>
    <comment ref="DN1513" authorId="11" shapeId="0" xr:uid="{00000000-0006-0000-0200-0000E9030000}">
      <text>
        <r>
          <rPr>
            <b/>
            <sz val="9"/>
            <color indexed="81"/>
            <rFont val="Tahoma"/>
            <family val="2"/>
          </rPr>
          <t>Author:</t>
        </r>
        <r>
          <rPr>
            <sz val="9"/>
            <color indexed="81"/>
            <rFont val="Tahoma"/>
            <family val="2"/>
          </rPr>
          <t xml:space="preserve">
not broken out in PR</t>
        </r>
      </text>
    </comment>
    <comment ref="C1520" authorId="3" shapeId="0" xr:uid="{00000000-0006-0000-0200-0000EA030000}">
      <text>
        <r>
          <rPr>
            <b/>
            <sz val="9"/>
            <color indexed="81"/>
            <rFont val="Tahoma"/>
            <family val="2"/>
          </rPr>
          <t>Author:</t>
        </r>
        <r>
          <rPr>
            <sz val="9"/>
            <color indexed="81"/>
            <rFont val="Tahoma"/>
            <family val="2"/>
          </rPr>
          <t xml:space="preserve">
primary completion of ph2 study is oct 10, 2019</t>
        </r>
      </text>
    </comment>
    <comment ref="B1522" authorId="11" shapeId="0" xr:uid="{35DCA1D5-723A-4AE3-99C2-2B4F0904AB8E}">
      <text>
        <r>
          <rPr>
            <b/>
            <sz val="9"/>
            <color indexed="81"/>
            <rFont val="Tahoma"/>
            <family val="2"/>
          </rPr>
          <t>Author:</t>
        </r>
        <r>
          <rPr>
            <sz val="9"/>
            <color indexed="81"/>
            <rFont val="Tahoma"/>
            <family val="2"/>
          </rPr>
          <t xml:space="preserve">
Product0352</t>
        </r>
      </text>
    </comment>
    <comment ref="DP1523" authorId="4" shapeId="0" xr:uid="{76C4E6B8-9E26-426F-A0DF-26AECDDEC616}">
      <text>
        <r>
          <rPr>
            <b/>
            <sz val="9"/>
            <color indexed="81"/>
            <rFont val="Tahoma"/>
            <family val="2"/>
          </rPr>
          <t>Author:</t>
        </r>
        <r>
          <rPr>
            <sz val="9"/>
            <color indexed="81"/>
            <rFont val="Tahoma"/>
            <family val="2"/>
          </rPr>
          <t xml:space="preserve">
not reported</t>
        </r>
      </text>
    </comment>
    <comment ref="C1530" authorId="13" shapeId="0" xr:uid="{408A7208-58CD-41A8-958A-5EBEB5694251}">
      <text>
        <r>
          <rPr>
            <b/>
            <sz val="9"/>
            <color indexed="81"/>
            <rFont val="Tahoma"/>
            <family val="2"/>
          </rPr>
          <t>Author:</t>
        </r>
        <r>
          <rPr>
            <sz val="9"/>
            <color indexed="81"/>
            <rFont val="Tahoma"/>
            <family val="2"/>
          </rPr>
          <t xml:space="preserve">
https://example.com/</t>
        </r>
      </text>
    </comment>
    <comment ref="C1535" authorId="13" shapeId="0" xr:uid="{FD31395E-C81C-4E65-BE19-6D3DB6C5870B}">
      <text>
        <r>
          <rPr>
            <b/>
            <sz val="9"/>
            <color indexed="81"/>
            <rFont val="Tahoma"/>
            <family val="2"/>
          </rPr>
          <t>Author:</t>
        </r>
        <r>
          <rPr>
            <sz val="9"/>
            <color indexed="81"/>
            <rFont val="Tahoma"/>
            <family val="2"/>
          </rPr>
          <t xml:space="preserve">
https://example.com/</t>
        </r>
      </text>
    </comment>
    <comment ref="C1540" authorId="13" shapeId="0" xr:uid="{94ED0BD7-49A6-470E-B4F4-6A4AFD7382C4}">
      <text>
        <r>
          <rPr>
            <b/>
            <sz val="9"/>
            <color indexed="81"/>
            <rFont val="Tahoma"/>
            <family val="2"/>
          </rPr>
          <t>Author:</t>
        </r>
        <r>
          <rPr>
            <sz val="9"/>
            <color indexed="81"/>
            <rFont val="Tahoma"/>
            <family val="2"/>
          </rPr>
          <t xml:space="preserve">
https://example.com/</t>
        </r>
      </text>
    </comment>
    <comment ref="EK1550" authorId="5" shapeId="0" xr:uid="{68D6827A-0E61-415D-8DFA-81E177EBD208}">
      <text>
        <r>
          <rPr>
            <b/>
            <sz val="9"/>
            <color indexed="81"/>
            <rFont val="Tahoma"/>
            <family val="2"/>
          </rPr>
          <t>Author:</t>
        </r>
        <r>
          <rPr>
            <sz val="9"/>
            <color indexed="81"/>
            <rFont val="Tahoma"/>
            <family val="2"/>
          </rPr>
          <t xml:space="preserve">
2023 EBR: $2.6bn - 2x higher vs. current market est of $1.3bn (unclear whether includes all indications)</t>
        </r>
      </text>
    </comment>
    <comment ref="B1554" authorId="95" shapeId="0" xr:uid="{AA165B2C-9033-4E58-87CF-403D614D052D}">
      <text>
        <t>[Threaded comment]
Your version of Excel allows you to read this threaded comment; however, any edits to it will get removed if the file is opened in a newer version of Excel. Learn more: https://example.com/
Comment:
    Working estimates - NOTE - estimates in these italicized rows do NOT feed into published revenue forecasts. See OTHER ONCOLOGY</t>
      </text>
    </comment>
    <comment ref="C1562" authorId="13" shapeId="0" xr:uid="{00000000-0006-0000-0200-0000F0030000}">
      <text>
        <r>
          <rPr>
            <b/>
            <sz val="9"/>
            <color indexed="81"/>
            <rFont val="Tahoma"/>
            <family val="2"/>
          </rPr>
          <t>Author:</t>
        </r>
        <r>
          <rPr>
            <sz val="9"/>
            <color indexed="81"/>
            <rFont val="Tahoma"/>
            <family val="2"/>
          </rPr>
          <t xml:space="preserve">
https://example.com/</t>
        </r>
      </text>
    </comment>
    <comment ref="EK1562" authorId="5" shapeId="0" xr:uid="{1BD90E60-56BC-404F-9182-EA11ECC9DEDF}">
      <text>
        <r>
          <rPr>
            <b/>
            <sz val="9"/>
            <color indexed="81"/>
            <rFont val="Tahoma"/>
            <family val="2"/>
          </rPr>
          <t>Author:</t>
        </r>
        <r>
          <rPr>
            <sz val="9"/>
            <color indexed="81"/>
            <rFont val="Tahoma"/>
            <family val="2"/>
          </rPr>
          <t xml:space="preserve">
2023 EBR: 
- Product0407: $1.4bn (2x higher vs. current est of $0.7bn)
- Product0416: $1.8bn (25% higher vs. current est of $1.3bn)</t>
        </r>
      </text>
    </comment>
    <comment ref="C1570" authorId="5" shapeId="0" xr:uid="{F3DF9F14-317C-48D3-A558-4F57E8BB092E}">
      <text>
        <r>
          <rPr>
            <b/>
            <sz val="9"/>
            <color indexed="81"/>
            <rFont val="Tahoma"/>
            <family val="2"/>
          </rPr>
          <t>Author:</t>
        </r>
        <r>
          <rPr>
            <sz val="9"/>
            <color indexed="81"/>
            <rFont val="Tahoma"/>
            <family val="2"/>
          </rPr>
          <t xml:space="preserve">
Blended PoS, not applied</t>
        </r>
      </text>
    </comment>
    <comment ref="C1572" authorId="13" shapeId="0" xr:uid="{D859B7DC-4537-4C34-9FA7-D0E75694ACEF}">
      <text>
        <r>
          <rPr>
            <b/>
            <sz val="9"/>
            <color indexed="81"/>
            <rFont val="Tahoma"/>
            <family val="2"/>
          </rPr>
          <t>Author:</t>
        </r>
        <r>
          <rPr>
            <sz val="9"/>
            <color indexed="81"/>
            <rFont val="Tahoma"/>
            <family val="2"/>
          </rPr>
          <t xml:space="preserve">
https://example.com/</t>
        </r>
      </text>
    </comment>
    <comment ref="B1590" authorId="13" shapeId="0" xr:uid="{00000000-0006-0000-0200-0000F1030000}">
      <text>
        <r>
          <rPr>
            <b/>
            <sz val="9"/>
            <color indexed="81"/>
            <rFont val="Tahoma"/>
            <family val="2"/>
          </rPr>
          <t>Author:</t>
        </r>
        <r>
          <rPr>
            <sz val="9"/>
            <color indexed="81"/>
            <rFont val="Tahoma"/>
            <family val="2"/>
          </rPr>
          <t xml:space="preserve">
2.6bn peak (unadjusted) 2035
[Person0421 model]</t>
        </r>
      </text>
    </comment>
    <comment ref="B1602" authorId="8" shapeId="0" xr:uid="{00000000-0006-0000-0200-000001040000}">
      <text>
        <r>
          <rPr>
            <b/>
            <sz val="9"/>
            <color indexed="81"/>
            <rFont val="Tahoma"/>
            <family val="2"/>
          </rPr>
          <t>Author:</t>
        </r>
        <r>
          <rPr>
            <sz val="9"/>
            <color indexed="81"/>
            <rFont val="Tahoma"/>
            <family val="2"/>
          </rPr>
          <t xml:space="preserve">
$750mn peak</t>
        </r>
      </text>
    </comment>
    <comment ref="B1604" authorId="6" shapeId="0" xr:uid="{5F36196C-CAA9-488A-84D9-C19961628D3D}">
      <text>
        <r>
          <rPr>
            <b/>
            <sz val="9"/>
            <color indexed="81"/>
            <rFont val="Tahoma"/>
            <family val="2"/>
          </rPr>
          <t>Author:</t>
        </r>
        <r>
          <rPr>
            <sz val="9"/>
            <color indexed="81"/>
            <rFont val="Tahoma"/>
            <family val="2"/>
          </rPr>
          <t xml:space="preserve">
During the fiscal year 2024, the Company completed the divestiture of Company0189 resulting in approximately $0.3 billion in
proceeds and the divestiture of Product0301 outside of the U.S. resulting in approximately $0.2 billion in proceeds. All other
divestitures were not material.
</t>
        </r>
      </text>
    </comment>
    <comment ref="B1609" authorId="6" shapeId="0" xr:uid="{F1E6BDA5-52DA-4F85-8270-B86CBAA57401}">
      <text>
        <r>
          <rPr>
            <b/>
            <sz val="9"/>
            <color indexed="81"/>
            <rFont val="Tahoma"/>
            <family val="2"/>
          </rPr>
          <t>Author:</t>
        </r>
        <r>
          <rPr>
            <sz val="9"/>
            <color indexed="81"/>
            <rFont val="Tahoma"/>
            <family val="2"/>
          </rPr>
          <t xml:space="preserve">
During the fiscal year 2024, the Company completed the divestiture of Company0189 resulting in approximately $0.3 billion in
proceeds and the divestiture of Product0301 outside of the U.S. resulting in approximately $0.2 billion in proceeds. All other
divestitures were not material.
</t>
        </r>
      </text>
    </comment>
    <comment ref="B1612" authorId="8" shapeId="0" xr:uid="{00000000-0006-0000-0200-000005040000}">
      <text>
        <r>
          <rPr>
            <b/>
            <sz val="9"/>
            <color indexed="81"/>
            <rFont val="Tahoma"/>
            <family val="2"/>
          </rPr>
          <t>Author:</t>
        </r>
        <r>
          <rPr>
            <sz val="9"/>
            <color indexed="81"/>
            <rFont val="Tahoma"/>
            <family val="2"/>
          </rPr>
          <t xml:space="preserve">
$500mn peak</t>
        </r>
      </text>
    </comment>
    <comment ref="B1624" authorId="8" shapeId="0" xr:uid="{00000000-0006-0000-0200-000007040000}">
      <text>
        <r>
          <rPr>
            <b/>
            <sz val="9"/>
            <color indexed="81"/>
            <rFont val="Tahoma"/>
            <family val="2"/>
          </rPr>
          <t>Author:</t>
        </r>
        <r>
          <rPr>
            <sz val="9"/>
            <color indexed="81"/>
            <rFont val="Tahoma"/>
            <family val="2"/>
          </rPr>
          <t xml:space="preserve">
$500mn peak</t>
        </r>
      </text>
    </comment>
    <comment ref="C1637" authorId="13" shapeId="0" xr:uid="{00000000-0006-0000-0200-000008040000}">
      <text>
        <r>
          <rPr>
            <b/>
            <sz val="9"/>
            <color indexed="81"/>
            <rFont val="Tahoma"/>
            <family val="2"/>
          </rPr>
          <t>Author:</t>
        </r>
        <r>
          <rPr>
            <sz val="9"/>
            <color indexed="81"/>
            <rFont val="Tahoma"/>
            <family val="2"/>
          </rPr>
          <t xml:space="preserve">
https://example.com/</t>
        </r>
      </text>
    </comment>
    <comment ref="C1643" authorId="6" shapeId="0" xr:uid="{118ABAFE-D215-4550-A248-A0E4F22194F0}">
      <text>
        <r>
          <rPr>
            <b/>
            <sz val="9"/>
            <color indexed="81"/>
            <rFont val="Tahoma"/>
            <family val="2"/>
          </rPr>
          <t>Author:</t>
        </r>
        <r>
          <rPr>
            <sz val="9"/>
            <color indexed="81"/>
            <rFont val="Tahoma"/>
            <family val="2"/>
          </rPr>
          <t xml:space="preserve">
https://example.com/</t>
        </r>
      </text>
    </comment>
    <comment ref="DO1648" authorId="26" shapeId="0" xr:uid="{00000000-0006-0000-0200-000009040000}">
      <text>
        <r>
          <rPr>
            <b/>
            <sz val="9"/>
            <color indexed="81"/>
            <rFont val="Tahoma"/>
            <family val="2"/>
          </rPr>
          <t xml:space="preserve">Author:
</t>
        </r>
        <r>
          <rPr>
            <i/>
            <sz val="9"/>
            <color indexed="81"/>
            <rFont val="Tahoma"/>
            <family val="2"/>
          </rPr>
          <t>Guidance</t>
        </r>
        <r>
          <rPr>
            <b/>
            <sz val="9"/>
            <color indexed="81"/>
            <rFont val="Tahoma"/>
            <family val="2"/>
          </rPr>
          <t xml:space="preserve">
</t>
        </r>
        <r>
          <rPr>
            <sz val="9"/>
            <color indexed="81"/>
            <rFont val="Tahoma"/>
            <family val="2"/>
          </rPr>
          <t xml:space="preserve">
2Q21: ~2.5bn implied sales</t>
        </r>
      </text>
    </comment>
    <comment ref="DT1648" authorId="11" shapeId="0" xr:uid="{00000000-0006-0000-0200-00000A040000}">
      <text>
        <r>
          <rPr>
            <b/>
            <sz val="9"/>
            <color indexed="81"/>
            <rFont val="Tahoma"/>
            <family val="2"/>
          </rPr>
          <t>Author:</t>
        </r>
        <r>
          <rPr>
            <sz val="9"/>
            <color indexed="81"/>
            <rFont val="Tahoma"/>
            <family val="2"/>
          </rPr>
          <t xml:space="preserve">
Guidance
4Q21: $3-3.5bn</t>
        </r>
      </text>
    </comment>
    <comment ref="B1666" authorId="8" shapeId="0" xr:uid="{4A9ABC7F-13EC-465F-806D-9168A562FA14}">
      <text>
        <r>
          <rPr>
            <b/>
            <sz val="9"/>
            <color indexed="81"/>
            <rFont val="Tahoma"/>
            <family val="2"/>
          </rPr>
          <t>Author:</t>
        </r>
        <r>
          <rPr>
            <sz val="9"/>
            <color indexed="81"/>
            <rFont val="Tahoma"/>
            <family val="2"/>
          </rPr>
          <t xml:space="preserve">
$1bn peak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Person1276, Person0967 W </author>
    <author>Author97</author>
    <author>Author2</author>
    <author>Author1</author>
    <author>Author95</author>
    <author>Author25</author>
    <author>Author26</author>
    <author>Author24</author>
    <author>Person0136, Person0241 </author>
    <author>Person0450, Person0312 </author>
    <author>Person0615, Person0536 </author>
    <author>Person0883, Person1205 </author>
    <author>Person0380, Person1113 </author>
    <author>Person1216, Person0289 B </author>
    <author>Person0299, Person1247 </author>
    <author>Person1237, Person0230 </author>
    <author>Person0375, Person0226 </author>
    <author>Person1266, Person0521 </author>
    <author>Author22</author>
    <author>Author10</author>
    <author>Person1056, Person0202 </author>
    <author>Person1262, Person0405 G </author>
    <author>Person0939, Person0588 </author>
    <author>Author20</author>
    <author>Author34</author>
    <author>Person0525, Person0813 </author>
    <author>Author99</author>
    <author>Author19</author>
    <author>Author100</author>
    <author>Author23</author>
    <author>Author17</author>
    <author>Author32</author>
    <author>Person0313, Person0138 M </author>
    <author>Author101</author>
    <author>Author18</author>
  </authors>
  <commentList>
    <comment ref="FO19" authorId="0" shapeId="0" xr:uid="{3E707E1B-DA19-4909-B3A8-AF7C34B358D1}">
      <text>
        <r>
          <rPr>
            <b/>
            <sz val="9"/>
            <color indexed="81"/>
            <rFont val="Tahoma"/>
            <family val="2"/>
          </rPr>
          <t>Author:</t>
        </r>
        <r>
          <rPr>
            <sz val="9"/>
            <color indexed="81"/>
            <rFont val="Tahoma"/>
            <family val="2"/>
          </rPr>
          <t xml:space="preserve">
Restated financials following Consumer Health business split-off</t>
        </r>
      </text>
    </comment>
    <comment ref="BB21" authorId="1" shapeId="0" xr:uid="{00000000-0006-0000-0900-000001000000}">
      <text>
        <r>
          <rPr>
            <b/>
            <sz val="8"/>
            <color indexed="81"/>
            <rFont val="Tahoma"/>
            <family val="2"/>
          </rPr>
          <t>Author:</t>
        </r>
        <r>
          <rPr>
            <sz val="8"/>
            <color indexed="81"/>
            <rFont val="Tahoma"/>
            <family val="2"/>
          </rPr>
          <t xml:space="preserve">
actual AZA revs</t>
        </r>
      </text>
    </comment>
    <comment ref="DI23" authorId="2" shapeId="0" xr:uid="{00000000-0006-0000-0900-000002000000}">
      <text>
        <r>
          <rPr>
            <b/>
            <sz val="8"/>
            <color indexed="81"/>
            <rFont val="Tahoma"/>
            <family val="2"/>
          </rPr>
          <t>Author:</t>
        </r>
        <r>
          <rPr>
            <sz val="8"/>
            <color indexed="81"/>
            <rFont val="Tahoma"/>
            <family val="2"/>
          </rPr>
          <t xml:space="preserve">
1.26.11: 4Q11 call expected &gt; 2x $100 mn impact we saw in 2010</t>
        </r>
      </text>
    </comment>
    <comment ref="DN23" authorId="2" shapeId="0" xr:uid="{00000000-0006-0000-0900-000003000000}">
      <text>
        <r>
          <rPr>
            <b/>
            <sz val="8"/>
            <color indexed="81"/>
            <rFont val="Tahoma"/>
            <family val="2"/>
          </rPr>
          <t>Author:</t>
        </r>
        <r>
          <rPr>
            <sz val="8"/>
            <color indexed="81"/>
            <rFont val="Tahoma"/>
            <family val="2"/>
          </rPr>
          <t xml:space="preserve">
1.26.11: 4Q11 call expected &gt; 2x $100 mn impact we saw in 2010</t>
        </r>
      </text>
    </comment>
    <comment ref="CV24" authorId="3" shapeId="0" xr:uid="{00000000-0006-0000-0900-000004000000}">
      <text>
        <r>
          <rPr>
            <b/>
            <sz val="8"/>
            <color indexed="81"/>
            <rFont val="Tahoma"/>
            <family val="2"/>
          </rPr>
          <t>Author:</t>
        </r>
        <r>
          <rPr>
            <sz val="8"/>
            <color indexed="81"/>
            <rFont val="Tahoma"/>
            <family val="2"/>
          </rPr>
          <t xml:space="preserve">
cons. 15022.18</t>
        </r>
      </text>
    </comment>
    <comment ref="CZ24" authorId="4" shapeId="0" xr:uid="{00000000-0006-0000-0900-000005000000}">
      <text>
        <r>
          <rPr>
            <b/>
            <sz val="8"/>
            <color indexed="81"/>
            <rFont val="Tahoma"/>
            <family val="2"/>
          </rPr>
          <t>Author:</t>
        </r>
        <r>
          <rPr>
            <sz val="8"/>
            <color indexed="81"/>
            <rFont val="Tahoma"/>
            <family val="2"/>
          </rPr>
          <t xml:space="preserve">
04.20.2010 Negatively impacted $60Mn due to HC Reform</t>
        </r>
      </text>
    </comment>
    <comment ref="DD24" authorId="4" shapeId="0" xr:uid="{00000000-0006-0000-0900-000006000000}">
      <text>
        <r>
          <rPr>
            <b/>
            <sz val="8"/>
            <color indexed="81"/>
            <rFont val="Tahoma"/>
            <family val="2"/>
          </rPr>
          <t xml:space="preserve">Author: </t>
        </r>
        <r>
          <rPr>
            <sz val="8"/>
            <color indexed="81"/>
            <rFont val="Tahoma"/>
            <family val="2"/>
          </rPr>
          <t xml:space="preserve">1.25.11 HC reform impact was about 3% vs industry of 2%
10.19.2010: lowered to flat operational sales on constant currency (implied $62bn)
04.20.2010 Operational sales increase on a constant currency basis of 2-3% for the year.This would resullt in sales for 2010 of $63B to $64B on a constant currency basis
Negatively impacted by $400mn to $500mn HC Reform
If currency rates remain same,sales growth 1% positive - approx $500mn thus sa;es growth 3-4% giving $63.5 to 64.5B
</t>
        </r>
      </text>
    </comment>
    <comment ref="DI24" authorId="2" shapeId="0" xr:uid="{00000000-0006-0000-0900-000007000000}">
      <text>
        <r>
          <rPr>
            <b/>
            <sz val="8"/>
            <color indexed="81"/>
            <rFont val="Tahoma"/>
            <family val="2"/>
          </rPr>
          <t xml:space="preserve">Author: 
</t>
        </r>
        <r>
          <rPr>
            <sz val="8"/>
            <color indexed="81"/>
            <rFont val="Tahoma"/>
            <family val="2"/>
          </rPr>
          <t xml:space="preserve">10.18.11: $65 bn with FX impact. expects reported sales growth to be between approximately 5% and 6% for the year
on constant currency basis: approx. 63.5 bn; operational sales to increase on a constant currency basis of between 2.5% and 3.5%.
</t>
        </r>
        <r>
          <rPr>
            <b/>
            <sz val="8"/>
            <color indexed="81"/>
            <rFont val="Tahoma"/>
            <family val="2"/>
          </rPr>
          <t xml:space="preserve">
</t>
        </r>
        <r>
          <rPr>
            <sz val="8"/>
            <color indexed="81"/>
            <rFont val="Tahoma"/>
            <family val="2"/>
          </rPr>
          <t>7.19.2011:</t>
        </r>
        <r>
          <rPr>
            <b/>
            <sz val="8"/>
            <color indexed="81"/>
            <rFont val="Tahoma"/>
            <family val="2"/>
          </rPr>
          <t xml:space="preserve"> 65.5 bn</t>
        </r>
        <r>
          <rPr>
            <sz val="8"/>
            <color indexed="81"/>
            <rFont val="Tahoma"/>
            <family val="2"/>
          </rPr>
          <t xml:space="preserve"> with FX impact;  expects reported sales growth to be between approximately 5.5% and 6.5% for the year
on constant currency basis: approx. 63.5 bn; operational sales to increase on a constant currency basis of between 2.5% and 3.5%.
</t>
        </r>
        <r>
          <rPr>
            <b/>
            <sz val="8"/>
            <color indexed="81"/>
            <rFont val="Tahoma"/>
            <family val="2"/>
          </rPr>
          <t xml:space="preserve">
</t>
        </r>
        <r>
          <rPr>
            <sz val="8"/>
            <color indexed="81"/>
            <rFont val="Tahoma"/>
            <family val="2"/>
          </rPr>
          <t xml:space="preserve">4.19.2011: 65.5 bn with FX impact;  expects reported sales growth to be between approximately </t>
        </r>
        <r>
          <rPr>
            <b/>
            <sz val="8"/>
            <color indexed="81"/>
            <rFont val="Tahoma"/>
            <family val="2"/>
          </rPr>
          <t>5.5% and 6.5%</t>
        </r>
        <r>
          <rPr>
            <sz val="8"/>
            <color indexed="81"/>
            <rFont val="Tahoma"/>
            <family val="2"/>
          </rPr>
          <t xml:space="preserve"> for the year
on constant currency basis: approx. 63.5 bn; operational sales to increase on a constant currency basis of between 2.5% and 3.5%.</t>
        </r>
        <r>
          <rPr>
            <b/>
            <sz val="8"/>
            <color indexed="81"/>
            <rFont val="Tahoma"/>
            <family val="2"/>
          </rPr>
          <t xml:space="preserve">
</t>
        </r>
        <r>
          <rPr>
            <sz val="8"/>
            <color indexed="81"/>
            <rFont val="Tahoma"/>
            <family val="2"/>
          </rPr>
          <t>1.25.11
Expect ~$63bn (assuming constant currency)
expect $64bn with currency impact (1.35 euro)
HC reform impact 4-4.5%</t>
        </r>
      </text>
    </comment>
    <comment ref="DN24" authorId="5" shapeId="0" xr:uid="{00000000-0006-0000-0900-000008000000}">
      <text>
        <r>
          <rPr>
            <b/>
            <sz val="8"/>
            <color indexed="81"/>
            <rFont val="Tahoma"/>
            <family val="2"/>
          </rPr>
          <t xml:space="preserve">Author:
10.16.12 </t>
        </r>
        <r>
          <rPr>
            <sz val="8"/>
            <color indexed="81"/>
            <rFont val="Tahoma"/>
            <family val="2"/>
          </rPr>
          <t xml:space="preserve">~$67.0 - $67.6 bn with FX impact of -3% to -4%
</t>
        </r>
        <r>
          <rPr>
            <b/>
            <sz val="8"/>
            <color indexed="81"/>
            <rFont val="Tahoma"/>
            <family val="2"/>
          </rPr>
          <t xml:space="preserve">
7.17.12 </t>
        </r>
        <r>
          <rPr>
            <sz val="8"/>
            <color indexed="81"/>
            <rFont val="Tahoma"/>
            <family val="2"/>
          </rPr>
          <t>~$66.7 - $67.3 bn with FX impact of -3%</t>
        </r>
        <r>
          <rPr>
            <b/>
            <sz val="8"/>
            <color indexed="81"/>
            <rFont val="Tahoma"/>
            <family val="2"/>
          </rPr>
          <t xml:space="preserve">
</t>
        </r>
        <r>
          <rPr>
            <sz val="8"/>
            <color indexed="81"/>
            <rFont val="Tahoma"/>
            <family val="2"/>
          </rPr>
          <t xml:space="preserve">
</t>
        </r>
        <r>
          <rPr>
            <b/>
            <sz val="8"/>
            <color indexed="81"/>
            <rFont val="Tahoma"/>
            <family val="2"/>
          </rPr>
          <t xml:space="preserve">4.17.12: </t>
        </r>
        <r>
          <rPr>
            <sz val="8"/>
            <color indexed="81"/>
            <rFont val="Tahoma"/>
            <family val="2"/>
          </rPr>
          <t xml:space="preserve">~$66.5 bn with FX impact, 2-3% growth.
$68 bn constant currency (4-5% op growth, same as before)
1.24.12: $66-$66.5 bn with FX impact, a growth of 1-2%.
$67.7-$68.3 bn on a constant currency basis (growth of 4-5% op).
</t>
        </r>
      </text>
    </comment>
    <comment ref="DS24" authorId="6" shapeId="0" xr:uid="{00000000-0006-0000-0900-000009000000}">
      <text>
        <r>
          <rPr>
            <b/>
            <sz val="8"/>
            <color indexed="81"/>
            <rFont val="Tahoma"/>
            <family val="2"/>
          </rPr>
          <t>olson</t>
        </r>
        <r>
          <rPr>
            <sz val="8"/>
            <color indexed="81"/>
            <rFont val="Tahoma"/>
            <family val="2"/>
          </rPr>
          <t>Author:
10.15.13: $70.3 - $70.9 bn
7.16.13: $70.0 - $70.6 bn on higher operational growth but worse FX
would be $71.3bn - $71.9bn on 6-7% operational growth, -2% FX</t>
        </r>
        <r>
          <rPr>
            <b/>
            <sz val="8"/>
            <color indexed="81"/>
            <rFont val="Tahoma"/>
            <family val="2"/>
          </rPr>
          <t xml:space="preserve">
</t>
        </r>
        <r>
          <rPr>
            <sz val="8"/>
            <color indexed="81"/>
            <rFont val="Tahoma"/>
            <family val="2"/>
          </rPr>
          <t>4.16.13: $70.4 - $71.1 bn</t>
        </r>
        <r>
          <rPr>
            <b/>
            <sz val="8"/>
            <color indexed="81"/>
            <rFont val="Tahoma"/>
            <family val="2"/>
          </rPr>
          <t xml:space="preserve">
</t>
        </r>
        <r>
          <rPr>
            <sz val="8"/>
            <color indexed="81"/>
            <rFont val="Tahoma"/>
            <family val="2"/>
          </rPr>
          <t xml:space="preserve">
1.22.13: Operational growth: 5.2% - 6.2%
               Operational sales: $70.7bn - $71.4bn
               Reported growth: 5.5% - 6.2%
               Reported sales: $70.9bn - $71.6bn
</t>
        </r>
      </text>
    </comment>
    <comment ref="DX24" authorId="7" shapeId="0" xr:uid="{00000000-0006-0000-0900-00000A000000}">
      <text>
        <r>
          <rPr>
            <b/>
            <sz val="9"/>
            <color indexed="81"/>
            <rFont val="Tahoma"/>
            <family val="2"/>
          </rPr>
          <t xml:space="preserve">Author:
</t>
        </r>
        <r>
          <rPr>
            <sz val="9"/>
            <color indexed="81"/>
            <rFont val="Tahoma"/>
            <family val="2"/>
          </rPr>
          <t>10.14.14: $74 to  $75 bn (including FX)</t>
        </r>
        <r>
          <rPr>
            <b/>
            <sz val="9"/>
            <color indexed="81"/>
            <rFont val="Tahoma"/>
            <family val="2"/>
          </rPr>
          <t xml:space="preserve">
</t>
        </r>
        <r>
          <rPr>
            <sz val="9"/>
            <color indexed="81"/>
            <rFont val="Tahoma"/>
            <family val="2"/>
          </rPr>
          <t>7.15.14: $74.1-74.9 bn</t>
        </r>
        <r>
          <rPr>
            <b/>
            <sz val="9"/>
            <color indexed="81"/>
            <rFont val="Tahoma"/>
            <family val="2"/>
          </rPr>
          <t xml:space="preserve">
</t>
        </r>
        <r>
          <rPr>
            <sz val="9"/>
            <color indexed="81"/>
            <rFont val="Tahoma"/>
            <family val="2"/>
          </rPr>
          <t>4.15.14:</t>
        </r>
        <r>
          <rPr>
            <b/>
            <sz val="9"/>
            <color indexed="81"/>
            <rFont val="Tahoma"/>
            <family val="2"/>
          </rPr>
          <t xml:space="preserve"> $</t>
        </r>
        <r>
          <rPr>
            <sz val="9"/>
            <color indexed="81"/>
            <rFont val="Tahoma"/>
            <family val="2"/>
          </rPr>
          <t>74.5-75.3 bn</t>
        </r>
        <r>
          <rPr>
            <b/>
            <sz val="9"/>
            <color indexed="81"/>
            <rFont val="Tahoma"/>
            <family val="2"/>
          </rPr>
          <t xml:space="preserve">
Author24:</t>
        </r>
        <r>
          <rPr>
            <sz val="9"/>
            <color indexed="81"/>
            <rFont val="Tahoma"/>
            <family val="2"/>
          </rPr>
          <t xml:space="preserve">
1.21.14: $73.5-74.3 bn (3.2%-4.2%) if Fx remain where they were as of last week</t>
        </r>
      </text>
    </comment>
    <comment ref="EC24" authorId="8" shapeId="0" xr:uid="{00000000-0006-0000-0900-00000B000000}">
      <text>
        <r>
          <rPr>
            <b/>
            <sz val="9"/>
            <color indexed="81"/>
            <rFont val="Tahoma"/>
            <family val="2"/>
          </rPr>
          <t xml:space="preserve">Author:
</t>
        </r>
        <r>
          <rPr>
            <sz val="9"/>
            <color indexed="81"/>
            <rFont val="Tahoma"/>
            <family val="2"/>
          </rPr>
          <t>10.13.15:  reiterate</t>
        </r>
        <r>
          <rPr>
            <b/>
            <sz val="9"/>
            <color indexed="81"/>
            <rFont val="Tahoma"/>
            <family val="2"/>
          </rPr>
          <t xml:space="preserve">
</t>
        </r>
        <r>
          <rPr>
            <sz val="9"/>
            <color indexed="81"/>
            <rFont val="Tahoma"/>
            <family val="2"/>
          </rPr>
          <t>7.14.15:  reiterate
4.14.15:  our estimate is $70-$71bn revenue guidance (-5% to -6% growth incl. FX)
4.14.15: reiterated  constant currency at $75-$76 bn (+1-2% operationally), if currency remained as of last week - decrease by 7% growth
1/20/15: constant currency at $75-$76 bn (+1-2% operationally), projected sales growth could decline by 5.5% and revenue would be $71-$72bn</t>
        </r>
      </text>
    </comment>
    <comment ref="EH24" authorId="9" shapeId="0" xr:uid="{00000000-0006-0000-0900-00000C000000}">
      <text>
        <r>
          <rPr>
            <sz val="9"/>
            <color indexed="81"/>
            <rFont val="Tahoma"/>
            <family val="2"/>
          </rPr>
          <t>Author: reiterated
7.19.2016: $71.5bn - $72.2bn
4.19.2016: $71.2-$71.9bn
1.26.2015: $70.8-$71.5bn</t>
        </r>
      </text>
    </comment>
    <comment ref="EM24" authorId="10" shapeId="0" xr:uid="{00000000-0006-0000-0900-00000D000000}">
      <text>
        <r>
          <rPr>
            <sz val="9"/>
            <color indexed="81"/>
            <rFont val="Tahoma"/>
            <family val="2"/>
          </rPr>
          <t>Author: $76.1bn-$76.5bn
07142017: updated guidance to include Company0164 $75.4-76.1bn
01 24 17: $74.1-74.8bn</t>
        </r>
      </text>
    </comment>
    <comment ref="ER24" authorId="11" shapeId="0" xr:uid="{00000000-0006-0000-0900-00000E000000}">
      <text>
        <r>
          <rPr>
            <b/>
            <sz val="9"/>
            <color indexed="81"/>
            <rFont val="Tahoma"/>
            <family val="2"/>
          </rPr>
          <t>Author:</t>
        </r>
        <r>
          <rPr>
            <sz val="9"/>
            <color indexed="81"/>
            <rFont val="Tahoma"/>
            <family val="2"/>
          </rPr>
          <t xml:space="preserve">
</t>
        </r>
        <r>
          <rPr>
            <b/>
            <sz val="9"/>
            <color indexed="81"/>
            <rFont val="Tahoma"/>
            <family val="2"/>
          </rPr>
          <t>3Q18:</t>
        </r>
        <r>
          <rPr>
            <sz val="9"/>
            <color indexed="81"/>
            <rFont val="Tahoma"/>
            <family val="2"/>
          </rPr>
          <t xml:space="preserve"> $81.0bn - $81.4bn, op growth of 5.5%-6.0% ($80.6-81.0bn op revenue)
2Q18: $80.5bn - $81.3bn
1Q18: $81.0bn - $81.8bn
4Q17: $80.6bn - $81.4bn</t>
        </r>
      </text>
    </comment>
    <comment ref="EW24" authorId="11" shapeId="0" xr:uid="{00000000-0006-0000-0900-00000F000000}">
      <text>
        <r>
          <rPr>
            <b/>
            <sz val="9"/>
            <color indexed="81"/>
            <rFont val="Tahoma"/>
            <family val="2"/>
          </rPr>
          <t>Author:</t>
        </r>
        <r>
          <rPr>
            <sz val="9"/>
            <color indexed="81"/>
            <rFont val="Tahoma"/>
            <family val="2"/>
          </rPr>
          <t xml:space="preserve">
Cons 81.1
3Q19: 81.8-82.3bn
2Q19 80.8-81.6bn reported
1Q19: $80.4 - 81.2bn reported, assume F/X neg impact of -$1.6bn (-2% FX)
The negative impact of translational currency, however, has increased, but we plan to absorb that impact with the strength of our operational sales outlook I just referenced. Therefore, our expectation for total reported sales in 2019 remains the same.
4Q18: 80.4 - 81.2bn reported, assumes F/X of -1.5% (-$1.2bn)</t>
        </r>
      </text>
    </comment>
    <comment ref="EZ24" authorId="12" shapeId="0" xr:uid="{00000000-0006-0000-0900-000010000000}">
      <text>
        <r>
          <rPr>
            <b/>
            <sz val="9"/>
            <color indexed="81"/>
            <rFont val="Tahoma"/>
            <family val="2"/>
          </rPr>
          <t>Author:</t>
        </r>
        <r>
          <rPr>
            <sz val="9"/>
            <color indexed="81"/>
            <rFont val="Tahoma"/>
            <family val="2"/>
          </rPr>
          <t xml:space="preserve">
Cons 20.08</t>
        </r>
      </text>
    </comment>
    <comment ref="FB24" authorId="13" shapeId="0" xr:uid="{00000000-0006-0000-0900-000011000000}">
      <text>
        <r>
          <rPr>
            <b/>
            <sz val="9"/>
            <color indexed="81"/>
            <rFont val="Tahoma"/>
            <family val="2"/>
          </rPr>
          <t>Author:</t>
        </r>
        <r>
          <rPr>
            <sz val="9"/>
            <color indexed="81"/>
            <rFont val="Tahoma"/>
            <family val="2"/>
          </rPr>
          <t xml:space="preserve">
Guidance:
3Q20: $81.2-82.0bn
2Q20: $79.9-81.4bn
1Q20: $77.5-80.5bn
4Q19: $85.4-86.2bn
Cons: $80.77bn</t>
        </r>
      </text>
    </comment>
    <comment ref="FG24" authorId="14" shapeId="0" xr:uid="{00000000-0006-0000-0900-000012000000}">
      <text>
        <r>
          <rPr>
            <b/>
            <sz val="9"/>
            <color indexed="81"/>
            <rFont val="Tahoma"/>
            <family val="2"/>
          </rPr>
          <t>Author:</t>
        </r>
        <r>
          <rPr>
            <sz val="9"/>
            <color indexed="81"/>
            <rFont val="Tahoma"/>
            <family val="2"/>
          </rPr>
          <t xml:space="preserve">
Guidance
3Q21: 94.1-94.6 - includes vax
2Q21: 93.8B-$94.6B, includes vax
2Q21: $91.3B-$92.1B, excludes vax
1Q21: $90.6B - $91.6bn, excludes vax
4Q20: $90.5bn - $91.7bn, excludes vax (we model $7.4bn)
</t>
        </r>
      </text>
    </comment>
    <comment ref="FL24" authorId="15" shapeId="0" xr:uid="{00000000-0006-0000-0900-000013000000}">
      <text>
        <r>
          <rPr>
            <b/>
            <sz val="9"/>
            <color indexed="81"/>
            <rFont val="Tahoma"/>
            <family val="2"/>
          </rPr>
          <t>Author:</t>
        </r>
        <r>
          <rPr>
            <sz val="9"/>
            <color indexed="81"/>
            <rFont val="Tahoma"/>
            <family val="2"/>
          </rPr>
          <t xml:space="preserve">
Guidance 
3Q22: ex-covid, $93.0bn-$93.5bn
2Q22: ex-covid, $93.3bn-$94.3bn
1Q22 base business: $94.8bn-$95.8bn (covid guidance suspended)
4Q21 base business: $95.9bn-$96.9bn
4Q21 incl. covid vax: $98.9bn-$100.4bn 
</t>
        </r>
      </text>
    </comment>
    <comment ref="FX24" authorId="16" shapeId="0" xr:uid="{5BEB640F-A1E7-404E-AA9C-7800A01FB90B}">
      <text>
        <r>
          <rPr>
            <b/>
            <sz val="9"/>
            <color indexed="81"/>
            <rFont val="Tahoma"/>
            <family val="2"/>
          </rPr>
          <t>Author:</t>
        </r>
        <r>
          <rPr>
            <sz val="9"/>
            <color indexed="81"/>
            <rFont val="Tahoma"/>
            <family val="2"/>
          </rPr>
          <t xml:space="preserve">
Guidance
3Q23 Update: $83.6-84.0bn ex-Covid (Reported)
2Q23 Update: $83.2-84.0bn ex-Covid (Reported)
2Q23: $99.3-100.3bn ex-COVID (Operational)
1Q23: $97.9bn-$98.9bn ex-COVID
4Q22: $96.9bn - $97.9bn ex-COVID
</t>
        </r>
      </text>
    </comment>
    <comment ref="GC24" authorId="0" shapeId="0" xr:uid="{CCE614A2-2653-4369-90D4-8F6A1DF546FA}">
      <text>
        <r>
          <rPr>
            <sz val="9"/>
            <color indexed="81"/>
            <rFont val="Tahoma"/>
            <family val="2"/>
          </rPr>
          <t xml:space="preserve">Author: 88.4-88.8bn (5.1-5.6% growth)
2Q24:
250mn sales disruption between 2H24-FY25
2024 guidance reit :
($88.0-88.4bn
5.5-6% growth)
1Q24:
$88.0-88.4bn
5.5-6% growth
</t>
        </r>
        <r>
          <rPr>
            <sz val="9"/>
            <color indexed="81"/>
            <rFont val="Tahoma"/>
            <family val="2"/>
          </rPr>
          <t>4Q23: $87.8-88.6bn</t>
        </r>
      </text>
    </comment>
    <comment ref="GH24" authorId="17" shapeId="0" xr:uid="{6A98121C-C7E8-4D2B-AA50-9C3DDCF394BA}">
      <text>
        <r>
          <rPr>
            <sz val="9"/>
            <color indexed="81"/>
            <rFont val="Tahoma"/>
            <family val="2"/>
          </rPr>
          <t xml:space="preserve">
$93.5bn- $93.9bn</t>
        </r>
      </text>
    </comment>
    <comment ref="EA26" authorId="18" shapeId="0" xr:uid="{00000000-0006-0000-0900-000014000000}">
      <text>
        <r>
          <rPr>
            <b/>
            <sz val="9"/>
            <color indexed="81"/>
            <rFont val="Tahoma"/>
            <family val="2"/>
          </rPr>
          <t>Author:</t>
        </r>
        <r>
          <rPr>
            <sz val="9"/>
            <color indexed="81"/>
            <rFont val="Tahoma"/>
            <family val="2"/>
          </rPr>
          <t xml:space="preserve">
10.14.2015:  should be $310mn, not $639mn, the other $329mn goes into OIE</t>
        </r>
      </text>
    </comment>
    <comment ref="EB26" authorId="10" shapeId="0" xr:uid="{00000000-0006-0000-0900-000015000000}">
      <text>
        <r>
          <rPr>
            <b/>
            <sz val="9"/>
            <color indexed="81"/>
            <rFont val="Tahoma"/>
            <family val="2"/>
          </rPr>
          <t>Author:</t>
        </r>
        <r>
          <rPr>
            <sz val="9"/>
            <color indexed="81"/>
            <rFont val="Tahoma"/>
            <family val="2"/>
          </rPr>
          <t xml:space="preserve">
02/25/16: Use 1.2bn of amortizable intangible assets in Cogs for full year less prev. adjustments pg 47 (43) </t>
        </r>
      </text>
    </comment>
    <comment ref="EE26" authorId="9" shapeId="0" xr:uid="{00000000-0006-0000-0900-000016000000}">
      <text>
        <r>
          <rPr>
            <b/>
            <sz val="9"/>
            <color indexed="81"/>
            <rFont val="Tahoma"/>
            <family val="2"/>
          </rPr>
          <t>Author:</t>
        </r>
        <r>
          <rPr>
            <sz val="9"/>
            <color indexed="81"/>
            <rFont val="Tahoma"/>
            <family val="2"/>
          </rPr>
          <t xml:space="preserve">
7/19/2016</t>
        </r>
      </text>
    </comment>
    <comment ref="EW26" authorId="19" shapeId="0" xr:uid="{00000000-0006-0000-0900-000017000000}">
      <text>
        <r>
          <rPr>
            <b/>
            <sz val="9"/>
            <color indexed="81"/>
            <rFont val="Tahoma"/>
            <family val="2"/>
          </rPr>
          <t>Author:</t>
        </r>
        <r>
          <rPr>
            <sz val="9"/>
            <color indexed="81"/>
            <rFont val="Tahoma"/>
            <family val="2"/>
          </rPr>
          <t xml:space="preserve">
Cons 23.6</t>
        </r>
      </text>
    </comment>
    <comment ref="DV27" authorId="18" shapeId="0" xr:uid="{00000000-0006-0000-0900-000018000000}">
      <text>
        <r>
          <rPr>
            <b/>
            <sz val="9"/>
            <color indexed="81"/>
            <rFont val="Tahoma"/>
            <family val="2"/>
          </rPr>
          <t>Author:</t>
        </r>
        <r>
          <rPr>
            <sz val="9"/>
            <color indexed="81"/>
            <rFont val="Tahoma"/>
            <family val="2"/>
          </rPr>
          <t xml:space="preserve">
10.17.14: $220mn branded drug user fee adjustment</t>
        </r>
      </text>
    </comment>
    <comment ref="ER27" authorId="20" shapeId="0" xr:uid="{00000000-0006-0000-0900-000019000000}">
      <text>
        <r>
          <rPr>
            <b/>
            <sz val="9"/>
            <color indexed="81"/>
            <rFont val="Tahoma"/>
            <family val="2"/>
          </rPr>
          <t>Author:</t>
        </r>
        <r>
          <rPr>
            <sz val="9"/>
            <color indexed="81"/>
            <rFont val="Tahoma"/>
            <family val="2"/>
          </rPr>
          <t xml:space="preserve">
Company0164 integration- previously had SG&amp;A of $21.49bn. Company0164 as a standlonw had $601mn of SGA in 2018E, but expect $150mn carved out for the NewCo. So we only raise SG&amp;A by approx. $450mn. </t>
        </r>
      </text>
    </comment>
    <comment ref="EW27" authorId="19" shapeId="0" xr:uid="{00000000-0006-0000-0900-00001A000000}">
      <text>
        <r>
          <rPr>
            <b/>
            <sz val="9"/>
            <color indexed="81"/>
            <rFont val="Tahoma"/>
            <family val="2"/>
          </rPr>
          <t>Author:</t>
        </r>
        <r>
          <rPr>
            <sz val="9"/>
            <color indexed="81"/>
            <rFont val="Tahoma"/>
            <family val="2"/>
          </rPr>
          <t xml:space="preserve">
Cons 21.8</t>
        </r>
      </text>
    </comment>
    <comment ref="DQ28" authorId="18" shapeId="0" xr:uid="{00000000-0006-0000-0900-00001B000000}">
      <text>
        <r>
          <rPr>
            <b/>
            <sz val="9"/>
            <color indexed="81"/>
            <rFont val="Tahoma"/>
            <family val="2"/>
          </rPr>
          <t>Author:</t>
        </r>
        <r>
          <rPr>
            <sz val="9"/>
            <color indexed="81"/>
            <rFont val="Tahoma"/>
            <family val="2"/>
          </rPr>
          <t xml:space="preserve">
$75 mn to Company2052 for ibrutinib</t>
        </r>
      </text>
    </comment>
    <comment ref="ER28" authorId="20" shapeId="0" xr:uid="{00000000-0006-0000-0900-00001C000000}">
      <text>
        <r>
          <rPr>
            <sz val="9"/>
            <color indexed="81"/>
            <rFont val="Tahoma"/>
            <family val="2"/>
          </rPr>
          <t>Author: will increase R&amp;D to limit op margin to the 100bp improvement</t>
        </r>
        <r>
          <rPr>
            <b/>
            <sz val="9"/>
            <color indexed="81"/>
            <rFont val="Tahoma"/>
            <family val="2"/>
          </rPr>
          <t xml:space="preserve">
Person1056, Person0202 :</t>
        </r>
        <r>
          <rPr>
            <sz val="9"/>
            <color indexed="81"/>
            <rFont val="Tahoma"/>
            <family val="2"/>
          </rPr>
          <t xml:space="preserve">
Company0164 integration- previously had R&amp;D of $9.76bn. Company0164 as a standlonw had $550mn of SGA in 2018E, but expect $330mn carved out for the NewCo. So we only raise SG&amp;A by approx. $200mn. </t>
        </r>
      </text>
    </comment>
    <comment ref="ES28" authorId="21" shapeId="0" xr:uid="{00000000-0006-0000-0900-00001D000000}">
      <text>
        <r>
          <rPr>
            <b/>
            <sz val="9"/>
            <color indexed="81"/>
            <rFont val="Tahoma"/>
            <family val="2"/>
          </rPr>
          <t>Author:</t>
        </r>
        <r>
          <rPr>
            <sz val="9"/>
            <color indexed="81"/>
            <rFont val="Tahoma"/>
            <family val="2"/>
          </rPr>
          <t xml:space="preserve">
This increase was primarily driven by higher pharmaceutical milestone payments including the $300 million milestone payment to argenx associated with our worldwide license and collaboration agreement as well as higher investments in our overall portfolio</t>
        </r>
      </text>
    </comment>
    <comment ref="EW28" authorId="19" shapeId="0" xr:uid="{00000000-0006-0000-0900-00001E000000}">
      <text>
        <r>
          <rPr>
            <b/>
            <sz val="9"/>
            <color indexed="81"/>
            <rFont val="Tahoma"/>
            <family val="2"/>
          </rPr>
          <t>Author:</t>
        </r>
        <r>
          <rPr>
            <sz val="9"/>
            <color indexed="81"/>
            <rFont val="Tahoma"/>
            <family val="2"/>
          </rPr>
          <t xml:space="preserve">
Cons 10.9
2Q19 - R&amp;D higher in 2H19</t>
        </r>
      </text>
    </comment>
    <comment ref="FN28" authorId="0" shapeId="0" xr:uid="{88A79B6F-1128-439B-93B2-1C1D77C0A113}">
      <text>
        <r>
          <rPr>
            <b/>
            <sz val="9"/>
            <color indexed="81"/>
            <rFont val="Tahoma"/>
            <family val="2"/>
          </rPr>
          <t>Author:</t>
        </r>
        <r>
          <rPr>
            <sz val="9"/>
            <color indexed="81"/>
            <rFont val="Tahoma"/>
            <family val="2"/>
          </rPr>
          <t xml:space="preserve">
5/2/2023 Company0454 Deal: $245mn upfront "charge will largely apply to the second quarter"</t>
        </r>
      </text>
    </comment>
    <comment ref="CV29" authorId="3" shapeId="0" xr:uid="{00000000-0006-0000-0900-00001F000000}">
      <text>
        <r>
          <rPr>
            <b/>
            <sz val="8"/>
            <color indexed="81"/>
            <rFont val="Tahoma"/>
            <family val="2"/>
          </rPr>
          <t>Author:</t>
        </r>
        <r>
          <rPr>
            <sz val="8"/>
            <color indexed="81"/>
            <rFont val="Tahoma"/>
            <family val="2"/>
          </rPr>
          <t xml:space="preserve">
cons 4082.85</t>
        </r>
      </text>
    </comment>
    <comment ref="DI29" authorId="2" shapeId="0" xr:uid="{00000000-0006-0000-0900-000020000000}">
      <text>
        <r>
          <rPr>
            <b/>
            <sz val="8"/>
            <color indexed="81"/>
            <rFont val="Tahoma"/>
            <family val="2"/>
          </rPr>
          <t>Author: 1.25.11</t>
        </r>
        <r>
          <rPr>
            <sz val="8"/>
            <color indexed="81"/>
            <rFont val="Tahoma"/>
            <family val="2"/>
          </rPr>
          <t xml:space="preserve">
1-1.5% sales HC reform impact fee, non tax deductible - $0.06 impact</t>
        </r>
      </text>
    </comment>
    <comment ref="EC29" authorId="8" shapeId="0" xr:uid="{00000000-0006-0000-0900-000021000000}">
      <text>
        <r>
          <rPr>
            <b/>
            <sz val="9"/>
            <color indexed="81"/>
            <rFont val="Tahoma"/>
            <family val="2"/>
          </rPr>
          <t>Author:</t>
        </r>
        <r>
          <rPr>
            <sz val="9"/>
            <color indexed="81"/>
            <rFont val="Tahoma"/>
            <family val="2"/>
          </rPr>
          <t xml:space="preserve">
1/20/15: "targeting $1bn in operating savings over next 3 years"</t>
        </r>
      </text>
    </comment>
    <comment ref="EH29" authorId="8" shapeId="0" xr:uid="{00000000-0006-0000-0900-000022000000}">
      <text>
        <r>
          <rPr>
            <sz val="9"/>
            <color indexed="81"/>
            <rFont val="Tahoma"/>
            <family val="2"/>
          </rPr>
          <t>Author: lower spedning in 2H than last year
4.19.2016: Spend more heavily weighter in 2H
1/20/15: "targeting $1bn in operating savings over next 3 years"</t>
        </r>
      </text>
    </comment>
    <comment ref="EM29" authorId="8" shapeId="0" xr:uid="{00000000-0006-0000-0900-000023000000}">
      <text>
        <r>
          <rPr>
            <b/>
            <sz val="9"/>
            <color indexed="81"/>
            <rFont val="Tahoma"/>
            <family val="2"/>
          </rPr>
          <t>Author:</t>
        </r>
        <r>
          <rPr>
            <sz val="9"/>
            <color indexed="81"/>
            <rFont val="Tahoma"/>
            <family val="2"/>
          </rPr>
          <t xml:space="preserve">
1/20/15: "targeting $1bn in operating savings over next 3 years"</t>
        </r>
      </text>
    </comment>
    <comment ref="GC29" authorId="22" shapeId="0" xr:uid="{9EAC613F-8617-4168-94F7-6D2A6A6B6D9A}">
      <text>
        <r>
          <rPr>
            <sz val="9"/>
            <color indexed="81"/>
            <rFont val="Tahoma"/>
            <family val="2"/>
          </rPr>
          <t>Author: 200bps decline in pre-tax operating margins
2Q24: 120bps decline in pre-tax operating margins</t>
        </r>
      </text>
    </comment>
    <comment ref="BZ36" authorId="23" shapeId="0" xr:uid="{00000000-0006-0000-0900-000024000000}">
      <text>
        <r>
          <rPr>
            <b/>
            <sz val="8"/>
            <color indexed="81"/>
            <rFont val="Tahoma"/>
            <family val="2"/>
          </rPr>
          <t>Author:</t>
        </r>
        <r>
          <rPr>
            <sz val="8"/>
            <color indexed="81"/>
            <rFont val="Tahoma"/>
            <family val="2"/>
          </rPr>
          <t xml:space="preserve">
4/13: closer to low end of 25 to 50 M int exp guidance
7/13: $40 to 50M in interest expense
10/12: breakeven to 20M gain</t>
        </r>
      </text>
    </comment>
    <comment ref="CO36" authorId="3" shapeId="0" xr:uid="{00000000-0006-0000-0900-000025000000}">
      <text>
        <r>
          <rPr>
            <b/>
            <sz val="8"/>
            <color indexed="81"/>
            <rFont val="Tahoma"/>
            <family val="2"/>
          </rPr>
          <t>Author:</t>
        </r>
        <r>
          <rPr>
            <sz val="8"/>
            <color indexed="81"/>
            <rFont val="Tahoma"/>
            <family val="2"/>
          </rPr>
          <t xml:space="preserve">
125-175 per 3Q</t>
        </r>
      </text>
    </comment>
    <comment ref="CT36" authorId="24" shapeId="0" xr:uid="{00000000-0006-0000-0900-000026000000}">
      <text>
        <r>
          <rPr>
            <b/>
            <sz val="8"/>
            <color indexed="81"/>
            <rFont val="Tahoma"/>
            <family val="2"/>
          </rPr>
          <t>Author:</t>
        </r>
        <r>
          <rPr>
            <sz val="8"/>
            <color indexed="81"/>
            <rFont val="Tahoma"/>
            <family val="2"/>
          </rPr>
          <t xml:space="preserve">
1/22/2008 guid: $0 to modest int inc
7.15.2008 guidance net expense of $50-$100mn
</t>
        </r>
      </text>
    </comment>
    <comment ref="CY36" authorId="24" shapeId="0" xr:uid="{00000000-0006-0000-0900-000027000000}">
      <text>
        <r>
          <rPr>
            <b/>
            <sz val="8"/>
            <color indexed="81"/>
            <rFont val="Tahoma"/>
            <family val="2"/>
          </rPr>
          <t>Author:</t>
        </r>
        <r>
          <rPr>
            <sz val="8"/>
            <color indexed="81"/>
            <rFont val="Tahoma"/>
            <family val="2"/>
          </rPr>
          <t xml:space="preserve">
1/22/2008 guid: $0 to modest int inc
7.15.2008 guidance net expense of $50-$100mn
</t>
        </r>
      </text>
    </comment>
    <comment ref="DD36" authorId="3" shapeId="0" xr:uid="{00000000-0006-0000-0900-000028000000}">
      <text>
        <r>
          <rPr>
            <b/>
            <sz val="8"/>
            <color indexed="81"/>
            <rFont val="Tahoma"/>
            <family val="2"/>
          </rPr>
          <t>Author:</t>
        </r>
        <r>
          <rPr>
            <sz val="8"/>
            <color indexed="81"/>
            <rFont val="Tahoma"/>
            <family val="2"/>
          </rPr>
          <t xml:space="preserve">
1.26.2010 guidance for net interest expense of 350-400
10.19.2010 - reit 300-400
4.20.2010 guidance for net interest expense of $300mn to $400mn
</t>
        </r>
      </text>
    </comment>
    <comment ref="DI36" authorId="2" shapeId="0" xr:uid="{00000000-0006-0000-0900-000029000000}">
      <text>
        <r>
          <rPr>
            <b/>
            <sz val="8"/>
            <color indexed="81"/>
            <rFont val="Tahoma"/>
            <family val="2"/>
          </rPr>
          <t>Author:</t>
        </r>
        <r>
          <rPr>
            <sz val="8"/>
            <color indexed="81"/>
            <rFont val="Tahoma"/>
            <family val="2"/>
          </rPr>
          <t xml:space="preserve">
10.18.2011: $400-$500 mn
7.19.2011: $400-$500 mn
4.19.2011: $300-$400 mn 
1.25.11: $300-$400mn</t>
        </r>
      </text>
    </comment>
    <comment ref="DN36" authorId="5" shapeId="0" xr:uid="{00000000-0006-0000-0900-00002A000000}">
      <text>
        <r>
          <rPr>
            <b/>
            <sz val="8"/>
            <color indexed="81"/>
            <rFont val="Tahoma"/>
            <family val="2"/>
          </rPr>
          <t xml:space="preserve">Author:
</t>
        </r>
        <r>
          <rPr>
            <sz val="8"/>
            <color indexed="81"/>
            <rFont val="Tahoma"/>
            <family val="2"/>
          </rPr>
          <t xml:space="preserve">
</t>
        </r>
        <r>
          <rPr>
            <b/>
            <sz val="8"/>
            <color indexed="81"/>
            <rFont val="Tahoma"/>
            <family val="2"/>
          </rPr>
          <t>4.17.12: $500-$550 mn</t>
        </r>
        <r>
          <rPr>
            <sz val="8"/>
            <color indexed="81"/>
            <rFont val="Tahoma"/>
            <family val="2"/>
          </rPr>
          <t xml:space="preserve">
1.24.12: $500-$550 mn</t>
        </r>
      </text>
    </comment>
    <comment ref="DS36" authorId="6" shapeId="0" xr:uid="{00000000-0006-0000-0900-00002B000000}">
      <text>
        <r>
          <rPr>
            <b/>
            <sz val="8"/>
            <color indexed="81"/>
            <rFont val="Tahoma"/>
            <family val="2"/>
          </rPr>
          <t>Author:</t>
        </r>
        <r>
          <rPr>
            <sz val="8"/>
            <color indexed="81"/>
            <rFont val="Tahoma"/>
            <family val="2"/>
          </rPr>
          <t xml:space="preserve">
10.15.13: $350-$400 mn
7.16.13: $400-$450mn
1.22.13: $450-$500mn</t>
        </r>
      </text>
    </comment>
    <comment ref="DX36" authorId="7" shapeId="0" xr:uid="{00000000-0006-0000-0900-00002C000000}">
      <text>
        <r>
          <rPr>
            <b/>
            <sz val="9"/>
            <color indexed="81"/>
            <rFont val="Tahoma"/>
            <family val="2"/>
          </rPr>
          <t>Author:</t>
        </r>
        <r>
          <rPr>
            <sz val="9"/>
            <color indexed="81"/>
            <rFont val="Tahoma"/>
            <family val="2"/>
          </rPr>
          <t xml:space="preserve">
10.14.14: reiterate
1.21.14: net interest expense $400- 500 mn</t>
        </r>
      </text>
    </comment>
    <comment ref="EC36" authorId="8" shapeId="0" xr:uid="{00000000-0006-0000-0900-00002D000000}">
      <text>
        <r>
          <rPr>
            <b/>
            <sz val="9"/>
            <color indexed="81"/>
            <rFont val="Tahoma"/>
            <family val="2"/>
          </rPr>
          <t>Author:</t>
        </r>
        <r>
          <rPr>
            <sz val="9"/>
            <color indexed="81"/>
            <rFont val="Tahoma"/>
            <family val="2"/>
          </rPr>
          <t xml:space="preserve">
10.13.15:  $450-$500 mn
7.14:15: reiterate
4.14.15: $450-$550 mn
1/20/15: "consider modelling net int. exp of $450mn to $550mn + "net other int and exp gain of $1.5 to $1.6bn"</t>
        </r>
      </text>
    </comment>
    <comment ref="EH36" authorId="9" shapeId="0" xr:uid="{00000000-0006-0000-0900-00002E000000}">
      <text>
        <r>
          <rPr>
            <sz val="9"/>
            <color indexed="81"/>
            <rFont val="Tahoma"/>
            <family val="2"/>
          </rPr>
          <t>Author: $400-450mn
7.19.2016: $400-500mn
1.26.2016: $450-$550mn</t>
        </r>
      </text>
    </comment>
    <comment ref="EM36" authorId="20" shapeId="0" xr:uid="{00000000-0006-0000-0900-00002F000000}">
      <text>
        <r>
          <rPr>
            <sz val="9"/>
            <color indexed="81"/>
            <rFont val="Tahoma"/>
            <family val="2"/>
          </rPr>
          <t xml:space="preserve">Author: re-iterated 2Q17
2Q17: net interest expense of $600-700mn
4Q16 call-- net interest expense of $500-600mn </t>
        </r>
      </text>
    </comment>
    <comment ref="ER36" authorId="11" shapeId="0" xr:uid="{00000000-0006-0000-0900-000030000000}">
      <text>
        <r>
          <rPr>
            <b/>
            <sz val="9"/>
            <color indexed="81"/>
            <rFont val="Tahoma"/>
            <family val="2"/>
          </rPr>
          <t>Author:</t>
        </r>
        <r>
          <rPr>
            <sz val="9"/>
            <color indexed="81"/>
            <rFont val="Tahoma"/>
            <family val="2"/>
          </rPr>
          <t xml:space="preserve">
3Q18: $450-500mn
1Q18: $600 - $700mn
4Q17: net interest expense of $700-800mn</t>
        </r>
      </text>
    </comment>
    <comment ref="EW36" authorId="19" shapeId="0" xr:uid="{00000000-0006-0000-0900-000031000000}">
      <text>
        <r>
          <rPr>
            <b/>
            <sz val="9"/>
            <color indexed="81"/>
            <rFont val="Tahoma"/>
            <family val="2"/>
          </rPr>
          <t>Author:</t>
        </r>
        <r>
          <rPr>
            <sz val="9"/>
            <color indexed="81"/>
            <rFont val="Tahoma"/>
            <family val="2"/>
          </rPr>
          <t xml:space="preserve">
3Q19: $50-100mn income
2Q19: For net interest expense, we are lowering the range to between $0 million and $100 million due to the favorability
1Q19: reit above
4Q18: Net interest expense $100-$200mn, expect lower levels of debt and higher anticipated interest income
</t>
        </r>
      </text>
    </comment>
    <comment ref="FB36" authorId="13" shapeId="0" xr:uid="{00000000-0006-0000-0900-000032000000}">
      <text>
        <r>
          <rPr>
            <b/>
            <sz val="9"/>
            <color indexed="81"/>
            <rFont val="Tahoma"/>
            <family val="2"/>
          </rPr>
          <t xml:space="preserve">Author:
</t>
        </r>
        <r>
          <rPr>
            <sz val="9"/>
            <color indexed="81"/>
            <rFont val="Tahoma"/>
            <family val="2"/>
          </rPr>
          <t>3Q20: 100-150mn expense</t>
        </r>
        <r>
          <rPr>
            <b/>
            <sz val="9"/>
            <color indexed="81"/>
            <rFont val="Tahoma"/>
            <family val="2"/>
          </rPr>
          <t xml:space="preserve">
</t>
        </r>
        <r>
          <rPr>
            <sz val="9"/>
            <color indexed="81"/>
            <rFont val="Tahoma"/>
            <family val="2"/>
          </rPr>
          <t>2q20: reit</t>
        </r>
        <r>
          <rPr>
            <b/>
            <sz val="9"/>
            <color indexed="81"/>
            <rFont val="Tahoma"/>
            <family val="2"/>
          </rPr>
          <t xml:space="preserve">
</t>
        </r>
        <r>
          <rPr>
            <sz val="9"/>
            <color indexed="81"/>
            <rFont val="Tahoma"/>
            <family val="2"/>
          </rPr>
          <t>1q20</t>
        </r>
        <r>
          <rPr>
            <b/>
            <sz val="9"/>
            <color indexed="81"/>
            <rFont val="Tahoma"/>
            <family val="2"/>
          </rPr>
          <t xml:space="preserve">: </t>
        </r>
        <r>
          <rPr>
            <sz val="9"/>
            <color indexed="81"/>
            <rFont val="Tahoma"/>
            <family val="2"/>
          </rPr>
          <t>50-150mn of expense</t>
        </r>
      </text>
    </comment>
    <comment ref="FG36" authorId="13" shapeId="0" xr:uid="{00000000-0006-0000-0900-000033000000}">
      <text>
        <r>
          <rPr>
            <b/>
            <sz val="9"/>
            <color indexed="81"/>
            <rFont val="Tahoma"/>
            <family val="2"/>
          </rPr>
          <t xml:space="preserve">Author:
</t>
        </r>
        <r>
          <rPr>
            <sz val="9"/>
            <color indexed="81"/>
            <rFont val="Tahoma"/>
            <family val="2"/>
          </rPr>
          <t>3Q20: 100-150mn expense</t>
        </r>
        <r>
          <rPr>
            <b/>
            <sz val="9"/>
            <color indexed="81"/>
            <rFont val="Tahoma"/>
            <family val="2"/>
          </rPr>
          <t xml:space="preserve">
</t>
        </r>
        <r>
          <rPr>
            <sz val="9"/>
            <color indexed="81"/>
            <rFont val="Tahoma"/>
            <family val="2"/>
          </rPr>
          <t>2q20: reit</t>
        </r>
        <r>
          <rPr>
            <b/>
            <sz val="9"/>
            <color indexed="81"/>
            <rFont val="Tahoma"/>
            <family val="2"/>
          </rPr>
          <t xml:space="preserve">
</t>
        </r>
        <r>
          <rPr>
            <sz val="9"/>
            <color indexed="81"/>
            <rFont val="Tahoma"/>
            <family val="2"/>
          </rPr>
          <t>1q20</t>
        </r>
        <r>
          <rPr>
            <b/>
            <sz val="9"/>
            <color indexed="81"/>
            <rFont val="Tahoma"/>
            <family val="2"/>
          </rPr>
          <t xml:space="preserve">: </t>
        </r>
        <r>
          <rPr>
            <sz val="9"/>
            <color indexed="81"/>
            <rFont val="Tahoma"/>
            <family val="2"/>
          </rPr>
          <t>50-150mn of expense</t>
        </r>
      </text>
    </comment>
    <comment ref="FL36" authorId="15" shapeId="0" xr:uid="{00000000-0006-0000-0900-000034000000}">
      <text>
        <r>
          <rPr>
            <b/>
            <sz val="9"/>
            <color indexed="81"/>
            <rFont val="Tahoma"/>
            <family val="2"/>
          </rPr>
          <t>Author:</t>
        </r>
        <r>
          <rPr>
            <sz val="9"/>
            <color indexed="81"/>
            <rFont val="Tahoma"/>
            <family val="2"/>
          </rPr>
          <t xml:space="preserve">
3Q22: $175-$200mn
2Q22: $0
1Q22: reiterate 
4Q21:0 -100mn expense
</t>
        </r>
      </text>
    </comment>
    <comment ref="FX36" authorId="16" shapeId="0" xr:uid="{F2482633-82AD-4F71-87E8-F97EE228F154}">
      <text>
        <r>
          <rPr>
            <b/>
            <sz val="9"/>
            <color indexed="81"/>
            <rFont val="Tahoma"/>
            <family val="2"/>
          </rPr>
          <t>Author:</t>
        </r>
        <r>
          <rPr>
            <sz val="9"/>
            <color indexed="81"/>
            <rFont val="Tahoma"/>
            <family val="2"/>
          </rPr>
          <t xml:space="preserve">
Guidance
3Q23 Update: ($300-400mn) - interest income
2Q23 Update: ($100-200mn) - interest income
2Q23: $150-250mn (reducing due to interest income on net proceeds from Company1510 separation)
1Q23: $250-350mn
4Q22: $250mn-$350mn</t>
        </r>
      </text>
    </comment>
    <comment ref="GC36" authorId="0" shapeId="0" xr:uid="{0BBC696E-2718-4BCC-BE8C-E06E9D72A129}">
      <text>
        <r>
          <rPr>
            <b/>
            <sz val="9"/>
            <color indexed="81"/>
            <rFont val="Tahoma"/>
            <family val="2"/>
          </rPr>
          <t>Author:</t>
        </r>
        <r>
          <rPr>
            <sz val="9"/>
            <color indexed="81"/>
            <rFont val="Tahoma"/>
            <family val="2"/>
          </rPr>
          <t xml:space="preserve">
4Q23: $450-550mn
</t>
        </r>
        <r>
          <rPr>
            <b/>
            <sz val="9"/>
            <color indexed="81"/>
            <rFont val="Tahoma"/>
            <family val="2"/>
          </rPr>
          <t>Person0939, Person0939 </t>
        </r>
        <r>
          <rPr>
            <sz val="9"/>
            <color indexed="81"/>
            <rFont val="Tahoma"/>
            <family val="2"/>
          </rPr>
          <t xml:space="preserve">
1q24: $550-650mn
2Q24: $300-400mn
3Q24: 450-550mn</t>
        </r>
      </text>
    </comment>
    <comment ref="GH36" authorId="17" shapeId="0" xr:uid="{24BAB4FC-17FC-48F9-AD80-B1A9AF6AD507}">
      <text>
        <r>
          <rPr>
            <sz val="9"/>
            <color indexed="81"/>
            <rFont val="Tahoma"/>
            <family val="2"/>
          </rPr>
          <t xml:space="preserve">
$0-$50mn expense</t>
        </r>
      </text>
    </comment>
    <comment ref="B37" authorId="25" shapeId="0" xr:uid="{6D47060F-A494-4AD9-8D58-DD69631070D6}">
      <text>
        <r>
          <rPr>
            <sz val="9"/>
            <color indexed="81"/>
            <rFont val="Tahoma"/>
            <family val="2"/>
          </rPr>
          <t>includes royalties received from collaborative partners</t>
        </r>
      </text>
    </comment>
    <comment ref="BH37" authorId="1" shapeId="0" xr:uid="{00000000-0006-0000-0900-000035000000}">
      <text>
        <r>
          <rPr>
            <b/>
            <sz val="8"/>
            <color indexed="81"/>
            <rFont val="Tahoma"/>
            <family val="2"/>
          </rPr>
          <t>Author:</t>
        </r>
        <r>
          <rPr>
            <sz val="8"/>
            <color indexed="81"/>
            <rFont val="Tahoma"/>
            <family val="2"/>
          </rPr>
          <t xml:space="preserve">
exc charge
</t>
        </r>
      </text>
    </comment>
    <comment ref="BI37" authorId="1" shapeId="0" xr:uid="{00000000-0006-0000-0900-000036000000}">
      <text>
        <r>
          <rPr>
            <b/>
            <sz val="8"/>
            <color indexed="81"/>
            <rFont val="Tahoma"/>
            <family val="2"/>
          </rPr>
          <t>Author:</t>
        </r>
        <r>
          <rPr>
            <sz val="8"/>
            <color indexed="81"/>
            <rFont val="Tahoma"/>
            <family val="2"/>
          </rPr>
          <t xml:space="preserve">
exc charge
</t>
        </r>
      </text>
    </comment>
    <comment ref="BN37" authorId="26" shapeId="0" xr:uid="{00000000-0006-0000-0900-000037000000}">
      <text>
        <r>
          <rPr>
            <b/>
            <sz val="8"/>
            <color indexed="81"/>
            <rFont val="Tahoma"/>
            <family val="2"/>
          </rPr>
          <t>Author:</t>
        </r>
        <r>
          <rPr>
            <sz val="8"/>
            <color indexed="81"/>
            <rFont val="Tahoma"/>
            <family val="2"/>
          </rPr>
          <t xml:space="preserve">
Includes $150M arbitration settlement with Company0227</t>
        </r>
      </text>
    </comment>
    <comment ref="BO37" authorId="1" shapeId="0" xr:uid="{00000000-0006-0000-0900-000038000000}">
      <text>
        <r>
          <rPr>
            <b/>
            <sz val="8"/>
            <color indexed="81"/>
            <rFont val="Tahoma"/>
            <family val="2"/>
          </rPr>
          <t>Author:</t>
        </r>
        <r>
          <rPr>
            <sz val="8"/>
            <color indexed="81"/>
            <rFont val="Tahoma"/>
            <family val="2"/>
          </rPr>
          <t xml:space="preserve">
includes $85 mm charge for legal fees associated with Company0227 case</t>
        </r>
      </text>
    </comment>
    <comment ref="BS37" authorId="23" shapeId="0" xr:uid="{00000000-0006-0000-0900-000039000000}">
      <text>
        <r>
          <rPr>
            <b/>
            <sz val="8"/>
            <color indexed="81"/>
            <rFont val="Tahoma"/>
            <family val="2"/>
          </rPr>
          <t>Author:</t>
        </r>
        <r>
          <rPr>
            <sz val="8"/>
            <color indexed="81"/>
            <rFont val="Tahoma"/>
            <family val="2"/>
          </rPr>
          <t xml:space="preserve">
Royalty income range 200M$ to 300M$</t>
        </r>
      </text>
    </comment>
    <comment ref="BT37" authorId="27" shapeId="0" xr:uid="{00000000-0006-0000-0900-00003A000000}">
      <text>
        <r>
          <rPr>
            <sz val="8"/>
            <color indexed="81"/>
            <rFont val="Tahoma"/>
            <family val="2"/>
          </rPr>
          <t>Company1168 settlement of $425 mm goes into this line. 4Q 2003 had a $230 mm gain or $142 mm after tax</t>
        </r>
      </text>
    </comment>
    <comment ref="BX37" authorId="23" shapeId="0" xr:uid="{00000000-0006-0000-0900-00003B000000}">
      <text>
        <r>
          <rPr>
            <b/>
            <sz val="8"/>
            <color indexed="81"/>
            <rFont val="Tahoma"/>
            <family val="2"/>
          </rPr>
          <t>Author:</t>
        </r>
        <r>
          <rPr>
            <sz val="8"/>
            <color indexed="81"/>
            <rFont val="Tahoma"/>
            <family val="2"/>
          </rPr>
          <t xml:space="preserve">
7/13: Breakeven</t>
        </r>
      </text>
    </comment>
    <comment ref="BY37" authorId="23" shapeId="0" xr:uid="{00000000-0006-0000-0900-00003C000000}">
      <text>
        <r>
          <rPr>
            <b/>
            <sz val="8"/>
            <color indexed="81"/>
            <rFont val="Tahoma"/>
            <family val="2"/>
          </rPr>
          <t>Author:</t>
        </r>
        <r>
          <rPr>
            <sz val="8"/>
            <color indexed="81"/>
            <rFont val="Tahoma"/>
            <family val="2"/>
          </rPr>
          <t xml:space="preserve">
7/13: Breakeven
10/12: Breakeven</t>
        </r>
      </text>
    </comment>
    <comment ref="BZ37" authorId="23" shapeId="0" xr:uid="{00000000-0006-0000-0900-00003D000000}">
      <text>
        <r>
          <rPr>
            <b/>
            <sz val="8"/>
            <color indexed="81"/>
            <rFont val="Tahoma"/>
            <family val="2"/>
          </rPr>
          <t>Author:</t>
        </r>
        <r>
          <rPr>
            <sz val="8"/>
            <color indexed="81"/>
            <rFont val="Tahoma"/>
            <family val="2"/>
          </rPr>
          <t xml:space="preserve">
7/13: 76M$</t>
        </r>
      </text>
    </comment>
    <comment ref="CC37" authorId="23" shapeId="0" xr:uid="{00000000-0006-0000-0900-00003E000000}">
      <text>
        <r>
          <rPr>
            <b/>
            <sz val="8"/>
            <color indexed="81"/>
            <rFont val="Tahoma"/>
            <family val="2"/>
          </rPr>
          <t>Author:</t>
        </r>
        <r>
          <rPr>
            <sz val="8"/>
            <color indexed="81"/>
            <rFont val="Tahoma"/>
            <family val="2"/>
          </rPr>
          <t xml:space="preserve">
7/13: Breakeven</t>
        </r>
      </text>
    </comment>
    <comment ref="CD37" authorId="23" shapeId="0" xr:uid="{00000000-0006-0000-0900-00003F000000}">
      <text>
        <r>
          <rPr>
            <b/>
            <sz val="8"/>
            <color indexed="81"/>
            <rFont val="Tahoma"/>
            <family val="2"/>
          </rPr>
          <t>Author:</t>
        </r>
        <r>
          <rPr>
            <sz val="8"/>
            <color indexed="81"/>
            <rFont val="Tahoma"/>
            <family val="2"/>
          </rPr>
          <t xml:space="preserve">
7/13: Breakeven
10/12: Breakeven</t>
        </r>
      </text>
    </comment>
    <comment ref="CF37" authorId="28" shapeId="0" xr:uid="{00000000-0006-0000-0900-000040000000}">
      <text>
        <r>
          <rPr>
            <b/>
            <sz val="8"/>
            <color indexed="81"/>
            <rFont val="Tahoma"/>
            <family val="2"/>
          </rPr>
          <t>Author:</t>
        </r>
        <r>
          <rPr>
            <sz val="8"/>
            <color indexed="81"/>
            <rFont val="Tahoma"/>
            <family val="2"/>
          </rPr>
          <t xml:space="preserve">
Includes $622 mm from the Company1066 termination fee</t>
        </r>
      </text>
    </comment>
    <comment ref="CK37" authorId="28" shapeId="0" xr:uid="{00000000-0006-0000-0900-000041000000}">
      <text>
        <r>
          <rPr>
            <b/>
            <sz val="8"/>
            <color indexed="81"/>
            <rFont val="Tahoma"/>
            <family val="2"/>
          </rPr>
          <t>Author:</t>
        </r>
        <r>
          <rPr>
            <sz val="8"/>
            <color indexed="81"/>
            <rFont val="Tahoma"/>
            <family val="2"/>
          </rPr>
          <t xml:space="preserve">
Includes $175 mn from asset sales</t>
        </r>
      </text>
    </comment>
    <comment ref="CO37" authorId="3" shapeId="0" xr:uid="{00000000-0006-0000-0900-000042000000}">
      <text>
        <r>
          <rPr>
            <b/>
            <sz val="8"/>
            <color indexed="81"/>
            <rFont val="Tahoma"/>
            <family val="2"/>
          </rPr>
          <t>Author:</t>
        </r>
        <r>
          <rPr>
            <sz val="8"/>
            <color indexed="81"/>
            <rFont val="Tahoma"/>
            <family val="2"/>
          </rPr>
          <t xml:space="preserve">
250-300 per 3Q</t>
        </r>
      </text>
    </comment>
    <comment ref="CT37" authorId="24" shapeId="0" xr:uid="{00000000-0006-0000-0900-000043000000}">
      <text>
        <r>
          <rPr>
            <b/>
            <sz val="8"/>
            <color indexed="81"/>
            <rFont val="Tahoma"/>
            <family val="2"/>
          </rPr>
          <t>Author:</t>
        </r>
        <r>
          <rPr>
            <sz val="8"/>
            <color indexed="81"/>
            <rFont val="Tahoma"/>
            <family val="2"/>
          </rPr>
          <t xml:space="preserve">
1/22/2008 guid: $150-$200 mn
7.15.2008 guid for income of $250-$300 (inc $200mn payment to Ticker0018 from Company0227 royalty)</t>
        </r>
      </text>
    </comment>
    <comment ref="CY37" authorId="24" shapeId="0" xr:uid="{00000000-0006-0000-0900-000044000000}">
      <text>
        <r>
          <rPr>
            <b/>
            <sz val="8"/>
            <color indexed="81"/>
            <rFont val="Tahoma"/>
            <family val="2"/>
          </rPr>
          <t>Author:</t>
        </r>
        <r>
          <rPr>
            <sz val="8"/>
            <color indexed="81"/>
            <rFont val="Tahoma"/>
            <family val="2"/>
          </rPr>
          <t xml:space="preserve">
1/22/2008 guid: $150-$200 mn
7.15.2008 guid for income of $250-$300 (inc $200mn payment to Ticker0018 from Company0227 royalty)</t>
        </r>
      </text>
    </comment>
    <comment ref="DD37" authorId="3" shapeId="0" xr:uid="{00000000-0006-0000-0900-000045000000}">
      <text>
        <r>
          <rPr>
            <b/>
            <sz val="8"/>
            <color indexed="81"/>
            <rFont val="Tahoma"/>
            <family val="2"/>
          </rPr>
          <t xml:space="preserve">Author: </t>
        </r>
        <r>
          <rPr>
            <sz val="8"/>
            <color indexed="81"/>
            <rFont val="Tahoma"/>
            <family val="2"/>
          </rPr>
          <t xml:space="preserve">
10.19.2010 raised to 450-550
4.20.2010 guidance no change,$200mn to $300mn excl affect of Boston Scientific litigation
1.26.2010 guidance 200-300 gain</t>
        </r>
      </text>
    </comment>
    <comment ref="DG37" authorId="5" shapeId="0" xr:uid="{00000000-0006-0000-0900-000046000000}">
      <text>
        <r>
          <rPr>
            <b/>
            <sz val="8"/>
            <color indexed="81"/>
            <rFont val="Tahoma"/>
            <family val="2"/>
          </rPr>
          <t>Author:</t>
        </r>
        <r>
          <rPr>
            <sz val="8"/>
            <color indexed="81"/>
            <rFont val="Tahoma"/>
            <family val="2"/>
          </rPr>
          <t xml:space="preserve">
$316 mn currency option adjustment
</t>
        </r>
      </text>
    </comment>
    <comment ref="DI37" authorId="2" shapeId="0" xr:uid="{00000000-0006-0000-0900-000047000000}">
      <text>
        <r>
          <rPr>
            <b/>
            <sz val="8"/>
            <color indexed="81"/>
            <rFont val="Tahoma"/>
            <family val="2"/>
          </rPr>
          <t>Author:</t>
        </r>
        <r>
          <rPr>
            <sz val="8"/>
            <color indexed="81"/>
            <rFont val="Tahoma"/>
            <family val="2"/>
          </rPr>
          <t xml:space="preserve">
10.18.2011: $1.1-$1 bn
7.19.2011: $800-$900 mn
4.19.2011: $700-$800 mn
1.25.11: Assume same levels as 2010 $600-$700mn</t>
        </r>
      </text>
    </comment>
    <comment ref="DJ37" authorId="29" shapeId="0" xr:uid="{00000000-0006-0000-0900-000048000000}">
      <text>
        <r>
          <rPr>
            <b/>
            <sz val="8"/>
            <color indexed="81"/>
            <rFont val="Tahoma"/>
            <family val="2"/>
          </rPr>
          <t>Author:</t>
        </r>
        <r>
          <rPr>
            <sz val="8"/>
            <color indexed="81"/>
            <rFont val="Tahoma"/>
            <family val="2"/>
          </rPr>
          <t xml:space="preserve">
includes $357 mn for Bystolic divestiture</t>
        </r>
      </text>
    </comment>
    <comment ref="DN37" authorId="29" shapeId="0" xr:uid="{00000000-0006-0000-0900-000049000000}">
      <text>
        <r>
          <rPr>
            <b/>
            <sz val="8"/>
            <color indexed="81"/>
            <rFont val="Tahoma"/>
            <family val="2"/>
          </rPr>
          <t>10.16.12
revised to $1000 to $1100M
7.17.12
reiterate $900 to $1000M
Author23:</t>
        </r>
        <r>
          <rPr>
            <sz val="8"/>
            <color indexed="81"/>
            <rFont val="Tahoma"/>
            <family val="2"/>
          </rPr>
          <t xml:space="preserve">
</t>
        </r>
        <r>
          <rPr>
            <b/>
            <sz val="8"/>
            <color indexed="81"/>
            <rFont val="Tahoma"/>
            <family val="2"/>
          </rPr>
          <t>Author: $900-$1000 mn, includes $357 for bystolic divestiture</t>
        </r>
        <r>
          <rPr>
            <sz val="8"/>
            <color indexed="81"/>
            <rFont val="Tahoma"/>
            <family val="2"/>
          </rPr>
          <t xml:space="preserve">
1.24.12: $900-$1000 mn or lower level than 2011
1.25.11: usu 0.5bn on annual basis
Includes amortization of synthes</t>
        </r>
      </text>
    </comment>
    <comment ref="DO37" authorId="18" shapeId="0" xr:uid="{00000000-0006-0000-0900-00004A000000}">
      <text>
        <r>
          <rPr>
            <b/>
            <sz val="8"/>
            <color indexed="81"/>
            <rFont val="Tahoma"/>
            <family val="2"/>
          </rPr>
          <t>Author:</t>
        </r>
        <r>
          <rPr>
            <sz val="8"/>
            <color indexed="81"/>
            <rFont val="Tahoma"/>
            <family val="2"/>
          </rPr>
          <t xml:space="preserve">
charge for Venezuelan currency devaluation</t>
        </r>
      </text>
    </comment>
    <comment ref="DP37" authorId="18" shapeId="0" xr:uid="{00000000-0006-0000-0900-00004B000000}">
      <text>
        <r>
          <rPr>
            <b/>
            <sz val="8"/>
            <color indexed="81"/>
            <rFont val="Tahoma"/>
            <family val="2"/>
          </rPr>
          <t>Author:</t>
        </r>
        <r>
          <rPr>
            <sz val="8"/>
            <color indexed="81"/>
            <rFont val="Tahoma"/>
            <family val="2"/>
          </rPr>
          <t xml:space="preserve">
$213 mn gain on sale of Company0912 stake</t>
        </r>
      </text>
    </comment>
    <comment ref="DQ37" authorId="18" shapeId="0" xr:uid="{00000000-0006-0000-0900-00004C000000}">
      <text>
        <r>
          <rPr>
            <b/>
            <sz val="9"/>
            <color indexed="81"/>
            <rFont val="Tahoma"/>
            <family val="2"/>
          </rPr>
          <t>Author:</t>
        </r>
        <r>
          <rPr>
            <sz val="9"/>
            <color indexed="81"/>
            <rFont val="Tahoma"/>
            <family val="2"/>
          </rPr>
          <t xml:space="preserve">
nothing unusual this quarter, maybe should smooth it out</t>
        </r>
      </text>
    </comment>
    <comment ref="DR37" authorId="18" shapeId="0" xr:uid="{00000000-0006-0000-0900-00004D000000}">
      <text>
        <r>
          <rPr>
            <b/>
            <sz val="9"/>
            <color indexed="81"/>
            <rFont val="Tahoma"/>
            <family val="2"/>
          </rPr>
          <t>Author:</t>
        </r>
        <r>
          <rPr>
            <sz val="9"/>
            <color indexed="81"/>
            <rFont val="Tahoma"/>
            <family val="2"/>
          </rPr>
          <t xml:space="preserve">
1/12/14:  completed sale of Product0462 Health to Company0919</t>
        </r>
      </text>
    </comment>
    <comment ref="DS37" authorId="6" shapeId="0" xr:uid="{00000000-0006-0000-0900-00004E000000}">
      <text>
        <r>
          <rPr>
            <b/>
            <sz val="8"/>
            <color indexed="81"/>
            <rFont val="Tahoma"/>
            <family val="2"/>
          </rPr>
          <t>Author:</t>
        </r>
        <r>
          <rPr>
            <sz val="8"/>
            <color indexed="81"/>
            <rFont val="Tahoma"/>
            <family val="2"/>
          </rPr>
          <t xml:space="preserve">
10.15.13: $500-$600 mn
7.16.13 reiterate
1.22.13: $750-$850mn</t>
        </r>
      </text>
    </comment>
    <comment ref="DX37" authorId="7" shapeId="0" xr:uid="{00000000-0006-0000-0900-00004F000000}">
      <text>
        <r>
          <rPr>
            <b/>
            <sz val="9"/>
            <color indexed="81"/>
            <rFont val="Tahoma"/>
            <family val="2"/>
          </rPr>
          <t>Author:</t>
        </r>
        <r>
          <rPr>
            <sz val="9"/>
            <color indexed="81"/>
            <rFont val="Tahoma"/>
            <family val="2"/>
          </rPr>
          <t xml:space="preserve">
10.14.14: net gain of $300 to $400 mn
1.21.14: net gain of $600-700 mn</t>
        </r>
      </text>
    </comment>
    <comment ref="DZ37" authorId="18" shapeId="0" xr:uid="{00000000-0006-0000-0900-000050000000}">
      <text>
        <r>
          <rPr>
            <b/>
            <sz val="9"/>
            <color indexed="81"/>
            <rFont val="Tahoma"/>
            <family val="2"/>
          </rPr>
          <t>Author:</t>
        </r>
        <r>
          <rPr>
            <sz val="9"/>
            <color indexed="81"/>
            <rFont val="Tahoma"/>
            <family val="2"/>
          </rPr>
          <t xml:space="preserve">
7.8.15:  estimated gain from sale of Product0267</t>
        </r>
      </text>
    </comment>
    <comment ref="EA37" authorId="18" shapeId="0" xr:uid="{00000000-0006-0000-0900-000051000000}">
      <text>
        <r>
          <rPr>
            <b/>
            <sz val="9"/>
            <color indexed="81"/>
            <rFont val="Tahoma"/>
            <family val="2"/>
          </rPr>
          <t>Author:</t>
        </r>
        <r>
          <rPr>
            <sz val="9"/>
            <color indexed="81"/>
            <rFont val="Tahoma"/>
            <family val="2"/>
          </rPr>
          <t xml:space="preserve">
9.25.15:  estimated gain from sale of Product0383</t>
        </r>
      </text>
    </comment>
    <comment ref="EB37" authorId="18" shapeId="0" xr:uid="{00000000-0006-0000-0900-000052000000}">
      <text>
        <r>
          <rPr>
            <b/>
            <sz val="9"/>
            <color indexed="81"/>
            <rFont val="Tahoma"/>
            <family val="2"/>
          </rPr>
          <t>Author:</t>
        </r>
        <r>
          <rPr>
            <sz val="9"/>
            <color indexed="81"/>
            <rFont val="Tahoma"/>
            <family val="2"/>
          </rPr>
          <t xml:space="preserve">
10.8.15: estimated gain from sale of Company0695</t>
        </r>
      </text>
    </comment>
    <comment ref="EC37" authorId="8" shapeId="0" xr:uid="{00000000-0006-0000-0900-000053000000}">
      <text>
        <r>
          <rPr>
            <b/>
            <sz val="9"/>
            <color indexed="81"/>
            <rFont val="Tahoma"/>
            <family val="2"/>
          </rPr>
          <t>Author:</t>
        </r>
        <r>
          <rPr>
            <sz val="9"/>
            <color indexed="81"/>
            <rFont val="Tahoma"/>
            <family val="2"/>
          </rPr>
          <t xml:space="preserve">
10.13.15:  $2.3bn to $2.4bn
7.14.15:  $2.2bn to $2.3bn
4.14.15: aprox 2-2.1 bn which includes gain from divestiture of Product0267
1/20/15: "consider modelling net int. exp of $450mn to $550mn + "net other int and exp gain of $1.5 to $1.6bn" --incl. Product0267 sale</t>
        </r>
      </text>
    </comment>
    <comment ref="EH37" authorId="9" shapeId="0" xr:uid="{00000000-0006-0000-0900-000054000000}">
      <text>
        <r>
          <rPr>
            <sz val="9"/>
            <color indexed="81"/>
            <rFont val="Tahoma"/>
            <family val="2"/>
          </rPr>
          <t>Author: $750 - $850
7.19.2016: $900mn to $1.1bn
$1.1-$1.2bn</t>
        </r>
      </text>
    </comment>
    <comment ref="EL37" authorId="9" shapeId="0" xr:uid="{00000000-0006-0000-0900-000055000000}">
      <text>
        <r>
          <rPr>
            <b/>
            <sz val="9"/>
            <color indexed="81"/>
            <rFont val="Tahoma"/>
            <family val="2"/>
          </rPr>
          <t>Author:</t>
        </r>
        <r>
          <rPr>
            <sz val="9"/>
            <color indexed="81"/>
            <rFont val="Tahoma"/>
            <family val="2"/>
          </rPr>
          <t xml:space="preserve">
$848mn of OI</t>
        </r>
      </text>
    </comment>
    <comment ref="EM37" authorId="20" shapeId="0" xr:uid="{00000000-0006-0000-0900-000056000000}">
      <text>
        <r>
          <rPr>
            <b/>
            <sz val="9"/>
            <color indexed="81"/>
            <rFont val="Tahoma"/>
            <family val="2"/>
          </rPr>
          <t>Author:</t>
        </r>
        <r>
          <rPr>
            <sz val="9"/>
            <color indexed="81"/>
            <rFont val="Tahoma"/>
            <family val="2"/>
          </rPr>
          <t xml:space="preserve">
2Q17: $1.6-$1.8bn
4Q16 call-- other income/expense of $1.1-1.3bn is higher yoy due to certain activities that were not completed in 2016</t>
        </r>
      </text>
    </comment>
    <comment ref="ER37" authorId="11" shapeId="0" xr:uid="{00000000-0006-0000-0900-000057000000}">
      <text>
        <r>
          <rPr>
            <b/>
            <sz val="9"/>
            <color indexed="81"/>
            <rFont val="Tahoma"/>
            <family val="2"/>
          </rPr>
          <t>Author:</t>
        </r>
        <r>
          <rPr>
            <sz val="9"/>
            <color indexed="81"/>
            <rFont val="Tahoma"/>
            <family val="2"/>
          </rPr>
          <t xml:space="preserve">
3Q18: $1.5bn - $1.7bn
1Q18: $1.5bn - $1.7bn
4Q17: $1.7bn - $2.0bn</t>
        </r>
      </text>
    </comment>
    <comment ref="ES37" authorId="21" shapeId="0" xr:uid="{00000000-0006-0000-0900-000058000000}">
      <text>
        <r>
          <rPr>
            <b/>
            <sz val="9"/>
            <color indexed="81"/>
            <rFont val="Tahoma"/>
            <family val="2"/>
          </rPr>
          <t>Author:</t>
        </r>
        <r>
          <rPr>
            <sz val="9"/>
            <color indexed="81"/>
            <rFont val="Tahoma"/>
            <family val="2"/>
          </rPr>
          <t xml:space="preserve">
Largest item is closing of Adv Sterilization divest which has closed and will be reflected in 2Q19 results</t>
        </r>
      </text>
    </comment>
    <comment ref="ET37" authorId="21" shapeId="0" xr:uid="{00000000-0006-0000-0900-000059000000}">
      <text>
        <r>
          <rPr>
            <b/>
            <sz val="9"/>
            <color indexed="81"/>
            <rFont val="Tahoma"/>
            <family val="2"/>
          </rPr>
          <t>Author:</t>
        </r>
        <r>
          <rPr>
            <sz val="9"/>
            <color indexed="81"/>
            <rFont val="Tahoma"/>
            <family val="2"/>
          </rPr>
          <t xml:space="preserve">
Adv Sterilization closed April 1,2019</t>
        </r>
      </text>
    </comment>
    <comment ref="EW37" authorId="19" shapeId="0" xr:uid="{00000000-0006-0000-0900-00005A000000}">
      <text>
        <r>
          <rPr>
            <b/>
            <sz val="9"/>
            <color indexed="81"/>
            <rFont val="Tahoma"/>
            <family val="2"/>
          </rPr>
          <t xml:space="preserve">Author:
</t>
        </r>
        <r>
          <rPr>
            <sz val="9"/>
            <color indexed="81"/>
            <rFont val="Tahoma"/>
            <family val="2"/>
          </rPr>
          <t>3Q19: 2.75-2.85</t>
        </r>
        <r>
          <rPr>
            <b/>
            <sz val="9"/>
            <color indexed="81"/>
            <rFont val="Tahoma"/>
            <family val="2"/>
          </rPr>
          <t xml:space="preserve">
</t>
        </r>
        <r>
          <rPr>
            <sz val="9"/>
            <color indexed="81"/>
            <rFont val="Tahoma"/>
            <family val="2"/>
          </rPr>
          <t>2Q19: $2.7-2.9bn
4Q18: $2-$2.3bn
1Q19: $2.4 - 2.7bn
3Q19: $2.75-$2.85bn</t>
        </r>
      </text>
    </comment>
    <comment ref="FB37" authorId="13" shapeId="0" xr:uid="{00000000-0006-0000-0900-00005B000000}">
      <text>
        <r>
          <rPr>
            <b/>
            <sz val="9"/>
            <color indexed="81"/>
            <rFont val="Tahoma"/>
            <family val="2"/>
          </rPr>
          <t>Author:</t>
        </r>
        <r>
          <rPr>
            <sz val="9"/>
            <color indexed="81"/>
            <rFont val="Tahoma"/>
            <family val="2"/>
          </rPr>
          <t xml:space="preserve">
3Q20: 0.8bn-0.9bn
1q20: 0.8bn-1bn
4q19: 1.5-1.7bn</t>
        </r>
      </text>
    </comment>
    <comment ref="FG37" authorId="13" shapeId="0" xr:uid="{00000000-0006-0000-0900-00005C000000}">
      <text>
        <r>
          <rPr>
            <b/>
            <sz val="9"/>
            <color indexed="81"/>
            <rFont val="Tahoma"/>
            <family val="2"/>
          </rPr>
          <t>Author:</t>
        </r>
        <r>
          <rPr>
            <sz val="9"/>
            <color indexed="81"/>
            <rFont val="Tahoma"/>
            <family val="2"/>
          </rPr>
          <t xml:space="preserve">
3Q20: 0.8bn-0.9bn
1q20: 0.8bn-1bn
4q19: 1.5-1.7bn</t>
        </r>
      </text>
    </comment>
    <comment ref="FL37" authorId="15" shapeId="0" xr:uid="{00000000-0006-0000-0900-00005D000000}">
      <text>
        <r>
          <rPr>
            <b/>
            <sz val="9"/>
            <color indexed="81"/>
            <rFont val="Tahoma"/>
            <family val="2"/>
          </rPr>
          <t>Author:</t>
        </r>
        <r>
          <rPr>
            <sz val="9"/>
            <color indexed="81"/>
            <rFont val="Tahoma"/>
            <family val="2"/>
          </rPr>
          <t xml:space="preserve">
3Q22: $1.7bn-$1.8bn due to year-to-date trends on favorable employee benefit-related items
2Q22: $1.4-$1.5bn
1Q22: reiterate 
4Q21: 1.2-1.4bn generally consistent with 2021 levels
</t>
        </r>
      </text>
    </comment>
    <comment ref="FX37" authorId="16" shapeId="0" xr:uid="{ACD24427-A53E-444F-A51F-C57DF98D86FA}">
      <text>
        <r>
          <rPr>
            <b/>
            <sz val="9"/>
            <color indexed="81"/>
            <rFont val="Tahoma"/>
            <family val="2"/>
          </rPr>
          <t>Author:</t>
        </r>
        <r>
          <rPr>
            <sz val="9"/>
            <color indexed="81"/>
            <rFont val="Tahoma"/>
            <family val="2"/>
          </rPr>
          <t xml:space="preserve">
Guidance
3Q23 Update: Reit
2Q23 Update: $1.7-1.9bn
2Q23: $1.6-1.8bn (reducing to account for NCI in Company1510)
1Q23: $1.9bn-$2.1bn
4Q22: $1.9bn-$2.1bn
</t>
        </r>
      </text>
    </comment>
    <comment ref="GA37" authorId="22" shapeId="0" xr:uid="{F7081EA8-6E96-48FA-AFC3-6E0DAFCAF1CE}">
      <text>
        <r>
          <rPr>
            <b/>
            <sz val="9"/>
            <color indexed="81"/>
            <rFont val="Tahoma"/>
            <family val="2"/>
          </rPr>
          <t>Author:</t>
        </r>
        <r>
          <rPr>
            <sz val="9"/>
            <color indexed="81"/>
            <rFont val="Tahoma"/>
            <family val="2"/>
          </rPr>
          <t xml:space="preserve">
pre 3q call: Company1079 $320mn income</t>
        </r>
      </text>
    </comment>
    <comment ref="GC37" authorId="0" shapeId="0" xr:uid="{05E6BA14-DCAD-4534-A46C-146A136C2DD2}">
      <text>
        <r>
          <rPr>
            <b/>
            <sz val="9"/>
            <color indexed="81"/>
            <rFont val="Tahoma"/>
            <family val="2"/>
          </rPr>
          <t>Author:</t>
        </r>
        <r>
          <rPr>
            <sz val="9"/>
            <color indexed="81"/>
            <rFont val="Tahoma"/>
            <family val="2"/>
          </rPr>
          <t xml:space="preserve">
4Q23: $1.2-1.4bn
</t>
        </r>
        <r>
          <rPr>
            <b/>
            <sz val="9"/>
            <color indexed="81"/>
            <rFont val="Tahoma"/>
            <family val="2"/>
          </rPr>
          <t>Person0939, Person0588 :</t>
        </r>
        <r>
          <rPr>
            <sz val="9"/>
            <color indexed="81"/>
            <rFont val="Tahoma"/>
            <family val="2"/>
          </rPr>
          <t xml:space="preserve">
1Q24: maintain
2Q24: 1.5-1.7bn
3Q24: 1.9-2.1</t>
        </r>
      </text>
    </comment>
    <comment ref="GH37" authorId="17" shapeId="0" xr:uid="{89659FFD-E27A-4596-8F7D-7BA63567F206}">
      <text>
        <r>
          <rPr>
            <sz val="9"/>
            <color indexed="81"/>
            <rFont val="Tahoma"/>
            <family val="2"/>
          </rPr>
          <t xml:space="preserve">$1.1- $1.3bn net other income, excludes intangible amortization expense and special items. 
</t>
        </r>
      </text>
    </comment>
    <comment ref="CF38" authorId="28" shapeId="0" xr:uid="{00000000-0006-0000-0900-00005E000000}">
      <text>
        <r>
          <rPr>
            <b/>
            <sz val="8"/>
            <color indexed="81"/>
            <rFont val="Tahoma"/>
            <family val="2"/>
          </rPr>
          <t>Author:</t>
        </r>
        <r>
          <rPr>
            <sz val="8"/>
            <color indexed="81"/>
            <rFont val="Tahoma"/>
            <family val="2"/>
          </rPr>
          <t xml:space="preserve">
We have subtracted $622 mm from the Company1066 termination fee</t>
        </r>
      </text>
    </comment>
    <comment ref="CK38" authorId="28" shapeId="0" xr:uid="{00000000-0006-0000-0900-00005F000000}">
      <text>
        <r>
          <rPr>
            <b/>
            <sz val="8"/>
            <color indexed="81"/>
            <rFont val="Tahoma"/>
            <family val="2"/>
          </rPr>
          <t>Author:</t>
        </r>
        <r>
          <rPr>
            <sz val="8"/>
            <color indexed="81"/>
            <rFont val="Tahoma"/>
            <family val="2"/>
          </rPr>
          <t xml:space="preserve">
We have subtracted $622 mm from the Company1066 termination fee</t>
        </r>
      </text>
    </comment>
    <comment ref="EP38" authorId="11" shapeId="0" xr:uid="{00000000-0006-0000-0900-000060000000}">
      <text>
        <r>
          <rPr>
            <b/>
            <sz val="9"/>
            <color indexed="81"/>
            <rFont val="Tahoma"/>
            <family val="2"/>
          </rPr>
          <t>Author:</t>
        </r>
        <r>
          <rPr>
            <sz val="9"/>
            <color indexed="81"/>
            <rFont val="Tahoma"/>
            <family val="2"/>
          </rPr>
          <t xml:space="preserve">
45% Pharma, 27% MDD, 17% consumer</t>
        </r>
      </text>
    </comment>
    <comment ref="GC38" authorId="22" shapeId="0" xr:uid="{88BFAF78-D3EE-4A8F-AE7B-51B147D23D1D}">
      <text>
        <r>
          <rPr>
            <b/>
            <sz val="9"/>
            <color indexed="81"/>
            <rFont val="Tahoma"/>
            <family val="2"/>
          </rPr>
          <t>Author:</t>
        </r>
        <r>
          <rPr>
            <sz val="9"/>
            <color indexed="81"/>
            <rFont val="Tahoma"/>
            <family val="2"/>
          </rPr>
          <t xml:space="preserve">
2Q24: 120bps decline in pre-tax operating margins</t>
        </r>
      </text>
    </comment>
    <comment ref="BH41" authorId="1" shapeId="0" xr:uid="{00000000-0006-0000-0900-000061000000}">
      <text>
        <r>
          <rPr>
            <b/>
            <sz val="8"/>
            <color indexed="81"/>
            <rFont val="Tahoma"/>
            <family val="2"/>
          </rPr>
          <t>Author:</t>
        </r>
        <r>
          <rPr>
            <sz val="8"/>
            <color indexed="81"/>
            <rFont val="Tahoma"/>
            <family val="2"/>
          </rPr>
          <t xml:space="preserve">
exc charge
</t>
        </r>
      </text>
    </comment>
    <comment ref="BI41" authorId="1" shapeId="0" xr:uid="{00000000-0006-0000-0900-000062000000}">
      <text>
        <r>
          <rPr>
            <b/>
            <sz val="8"/>
            <color indexed="81"/>
            <rFont val="Tahoma"/>
            <family val="2"/>
          </rPr>
          <t>Author:</t>
        </r>
        <r>
          <rPr>
            <sz val="8"/>
            <color indexed="81"/>
            <rFont val="Tahoma"/>
            <family val="2"/>
          </rPr>
          <t xml:space="preserve">
exc charge
</t>
        </r>
      </text>
    </comment>
    <comment ref="BN41" authorId="26" shapeId="0" xr:uid="{00000000-0006-0000-0900-000063000000}">
      <text>
        <r>
          <rPr>
            <b/>
            <sz val="8"/>
            <color indexed="81"/>
            <rFont val="Tahoma"/>
            <family val="2"/>
          </rPr>
          <t>Author:</t>
        </r>
        <r>
          <rPr>
            <sz val="8"/>
            <color indexed="81"/>
            <rFont val="Tahoma"/>
            <family val="2"/>
          </rPr>
          <t xml:space="preserve">
Pro forma tax was $726M</t>
        </r>
      </text>
    </comment>
    <comment ref="BO41" authorId="23" shapeId="0" xr:uid="{00000000-0006-0000-0900-000064000000}">
      <text>
        <r>
          <rPr>
            <b/>
            <sz val="8"/>
            <color indexed="81"/>
            <rFont val="Tahoma"/>
            <family val="2"/>
          </rPr>
          <t>Author:</t>
        </r>
        <r>
          <rPr>
            <sz val="8"/>
            <color indexed="81"/>
            <rFont val="Tahoma"/>
            <family val="2"/>
          </rPr>
          <t xml:space="preserve">
Proforma is 496</t>
        </r>
      </text>
    </comment>
    <comment ref="BT41" authorId="23" shapeId="0" xr:uid="{00000000-0006-0000-0900-000065000000}">
      <text>
        <r>
          <rPr>
            <b/>
            <sz val="8"/>
            <color indexed="81"/>
            <rFont val="Tahoma"/>
            <family val="2"/>
          </rPr>
          <t>Author:</t>
        </r>
        <r>
          <rPr>
            <sz val="8"/>
            <color indexed="81"/>
            <rFont val="Tahoma"/>
            <family val="2"/>
          </rPr>
          <t xml:space="preserve">
poforma number is 441</t>
        </r>
      </text>
    </comment>
    <comment ref="BY41" authorId="23" shapeId="0" xr:uid="{00000000-0006-0000-0900-000066000000}">
      <text>
        <r>
          <rPr>
            <b/>
            <sz val="8"/>
            <color indexed="81"/>
            <rFont val="Tahoma"/>
            <family val="2"/>
          </rPr>
          <t>Author:</t>
        </r>
        <r>
          <rPr>
            <sz val="8"/>
            <color indexed="81"/>
            <rFont val="Tahoma"/>
            <family val="2"/>
          </rPr>
          <t xml:space="preserve">
Excludes one time cosr of tax repatriation</t>
        </r>
      </text>
    </comment>
    <comment ref="CZ41" authorId="30" shapeId="0" xr:uid="{00000000-0006-0000-0900-000067000000}">
      <text>
        <r>
          <rPr>
            <b/>
            <sz val="8"/>
            <color indexed="81"/>
            <rFont val="Tahoma"/>
            <family val="2"/>
          </rPr>
          <t>Author:</t>
        </r>
        <r>
          <rPr>
            <sz val="8"/>
            <color indexed="81"/>
            <rFont val="Tahoma"/>
            <family val="2"/>
          </rPr>
          <t xml:space="preserve">
calculate using non-gaap pre-tax income * non gaap tax rate</t>
        </r>
      </text>
    </comment>
    <comment ref="ED41" authorId="9" shapeId="0" xr:uid="{00000000-0006-0000-0900-000068000000}">
      <text>
        <r>
          <rPr>
            <b/>
            <sz val="9"/>
            <color indexed="81"/>
            <rFont val="Tahoma"/>
            <family val="2"/>
          </rPr>
          <t>Author:</t>
        </r>
        <r>
          <rPr>
            <sz val="9"/>
            <color indexed="81"/>
            <rFont val="Tahoma"/>
            <family val="2"/>
          </rPr>
          <t xml:space="preserve">
restated for change in ESOS tax rules
</t>
        </r>
      </text>
    </comment>
    <comment ref="EC43" authorId="8" shapeId="0" xr:uid="{00000000-0006-0000-0900-000069000000}">
      <text>
        <r>
          <rPr>
            <b/>
            <sz val="9"/>
            <color indexed="81"/>
            <rFont val="Tahoma"/>
            <family val="2"/>
          </rPr>
          <t>Author:</t>
        </r>
        <r>
          <rPr>
            <sz val="9"/>
            <color indexed="81"/>
            <rFont val="Tahoma"/>
            <family val="2"/>
          </rPr>
          <t xml:space="preserve">
1/20/15: beginning in 2015, we will exclude intangible amortization + special items for adj. earnings -- ~$1.3bn pretax basis, or $0.32 per share, vs. $0.42 in 2014</t>
        </r>
      </text>
    </comment>
    <comment ref="EW43" authorId="19" shapeId="0" xr:uid="{00000000-0006-0000-0900-00006A000000}">
      <text>
        <r>
          <rPr>
            <b/>
            <sz val="9"/>
            <color indexed="81"/>
            <rFont val="Tahoma"/>
            <family val="2"/>
          </rPr>
          <t>Author:</t>
        </r>
        <r>
          <rPr>
            <sz val="9"/>
            <color indexed="81"/>
            <rFont val="Tahoma"/>
            <family val="2"/>
          </rPr>
          <t xml:space="preserve">
Cons 23.16</t>
        </r>
      </text>
    </comment>
    <comment ref="CX44" authorId="29" shapeId="0" xr:uid="{00000000-0006-0000-0900-00006B000000}">
      <text>
        <r>
          <rPr>
            <b/>
            <sz val="8"/>
            <color indexed="81"/>
            <rFont val="Tahoma"/>
            <family val="2"/>
          </rPr>
          <t>Author:</t>
        </r>
        <r>
          <rPr>
            <sz val="8"/>
            <color indexed="81"/>
            <rFont val="Tahoma"/>
            <family val="2"/>
          </rPr>
          <t xml:space="preserve">
restructuring charge for new cost cutting program; guided to be $1.1-1.3bn</t>
        </r>
      </text>
    </comment>
    <comment ref="DF44" authorId="2" shapeId="0" xr:uid="{00000000-0006-0000-0900-00006C000000}">
      <text>
        <r>
          <rPr>
            <b/>
            <sz val="8"/>
            <color indexed="81"/>
            <rFont val="Tahoma"/>
            <family val="2"/>
          </rPr>
          <t>Author:</t>
        </r>
        <r>
          <rPr>
            <sz val="8"/>
            <color indexed="81"/>
            <rFont val="Tahoma"/>
            <family val="2"/>
          </rPr>
          <t xml:space="preserve">
6.15.11 after-tax restx charge in range of $500-$600 mn in 2Q11 as a result of restructuring plans announced by Company0695 </t>
        </r>
      </text>
    </comment>
    <comment ref="DG44" authorId="2" shapeId="0" xr:uid="{00000000-0006-0000-0900-00006D000000}">
      <text>
        <r>
          <rPr>
            <b/>
            <sz val="8"/>
            <color indexed="81"/>
            <rFont val="Tahoma"/>
            <family val="2"/>
          </rPr>
          <t xml:space="preserve">Author:
</t>
        </r>
        <r>
          <rPr>
            <sz val="8"/>
            <color indexed="81"/>
            <rFont val="Tahoma"/>
            <family val="2"/>
          </rPr>
          <t xml:space="preserve">
$500 mn payment from MRK from MRK/Ticker0018 settlement</t>
        </r>
      </text>
    </comment>
    <comment ref="DJ44" authorId="29" shapeId="0" xr:uid="{00000000-0006-0000-0900-00006E000000}">
      <text>
        <r>
          <rPr>
            <b/>
            <sz val="8"/>
            <color indexed="81"/>
            <rFont val="Tahoma"/>
            <family val="2"/>
          </rPr>
          <t>Author:</t>
        </r>
        <r>
          <rPr>
            <sz val="8"/>
            <color indexed="81"/>
            <rFont val="Tahoma"/>
            <family val="2"/>
          </rPr>
          <t xml:space="preserve">
FX gain related to Synthes transaction</t>
        </r>
      </text>
    </comment>
    <comment ref="DK44" authorId="2" shapeId="0" xr:uid="{00000000-0006-0000-0900-00006F000000}">
      <text>
        <r>
          <rPr>
            <b/>
            <sz val="8"/>
            <color indexed="81"/>
            <rFont val="Tahoma"/>
            <family val="2"/>
          </rPr>
          <t>Author:</t>
        </r>
        <r>
          <rPr>
            <sz val="8"/>
            <color indexed="81"/>
            <rFont val="Tahoma"/>
            <family val="2"/>
          </rPr>
          <t xml:space="preserve">
Expects $1.1 bn in charges related to restructuring and intergration costs, inventory step-up</t>
        </r>
      </text>
    </comment>
    <comment ref="DR44" authorId="18" shapeId="0" xr:uid="{00000000-0006-0000-0900-000070000000}">
      <text>
        <r>
          <rPr>
            <b/>
            <sz val="9"/>
            <color indexed="81"/>
            <rFont val="Tahoma"/>
            <family val="2"/>
          </rPr>
          <t>Author:</t>
        </r>
        <r>
          <rPr>
            <sz val="9"/>
            <color indexed="81"/>
            <rFont val="Tahoma"/>
            <family val="2"/>
          </rPr>
          <t xml:space="preserve">
11.7.13: Ticker0018 to pay $485 mn criminal and $1.72 bn civil settlement for Risperdal marketing</t>
        </r>
      </text>
    </comment>
    <comment ref="FM44" authorId="0" shapeId="0" xr:uid="{11F326BD-BB7C-41F6-9356-559D55C58430}">
      <text>
        <r>
          <rPr>
            <b/>
            <sz val="9"/>
            <color indexed="81"/>
            <rFont val="Tahoma"/>
            <family val="2"/>
          </rPr>
          <t>Author:</t>
        </r>
        <r>
          <rPr>
            <sz val="9"/>
            <color indexed="81"/>
            <rFont val="Tahoma"/>
            <family val="2"/>
          </rPr>
          <t xml:space="preserve">
Updated for New $6.9Bn talc litigation exposure</t>
        </r>
      </text>
    </comment>
    <comment ref="FT44" authorId="0" shapeId="0" xr:uid="{FC7A77FB-DA5D-4325-9F50-E15E2517C9C5}">
      <text>
        <r>
          <rPr>
            <b/>
            <sz val="9"/>
            <color indexed="81"/>
            <rFont val="Tahoma"/>
            <family val="2"/>
          </rPr>
          <t>Author:</t>
        </r>
        <r>
          <rPr>
            <sz val="9"/>
            <color indexed="81"/>
            <rFont val="Tahoma"/>
            <family val="2"/>
          </rPr>
          <t xml:space="preserve">
$6.9Bn talc litigation exposure</t>
        </r>
      </text>
    </comment>
    <comment ref="B50" authorId="3" shapeId="0" xr:uid="{00000000-0006-0000-0900-000071000000}">
      <text>
        <r>
          <rPr>
            <b/>
            <sz val="8"/>
            <color indexed="81"/>
            <rFont val="Tahoma"/>
            <family val="2"/>
          </rPr>
          <t>Author:</t>
        </r>
        <r>
          <rPr>
            <sz val="8"/>
            <color indexed="81"/>
            <rFont val="Tahoma"/>
            <family val="2"/>
          </rPr>
          <t xml:space="preserve">
strip out ESO</t>
        </r>
      </text>
    </comment>
    <comment ref="CJ55" authorId="31" shapeId="0" xr:uid="{00000000-0006-0000-0900-000072000000}">
      <text>
        <r>
          <rPr>
            <b/>
            <sz val="8"/>
            <color indexed="81"/>
            <rFont val="Tahoma"/>
            <family val="2"/>
          </rPr>
          <t>Author:</t>
        </r>
        <r>
          <rPr>
            <sz val="8"/>
            <color indexed="81"/>
            <rFont val="Tahoma"/>
            <family val="2"/>
          </rPr>
          <t xml:space="preserve">
7/18 guid: reaffirm $3.65-$3.72; not above $3.70</t>
        </r>
      </text>
    </comment>
    <comment ref="CO55" authorId="3" shapeId="0" xr:uid="{00000000-0006-0000-0900-000073000000}">
      <text>
        <r>
          <rPr>
            <b/>
            <sz val="8"/>
            <color indexed="81"/>
            <rFont val="Tahoma"/>
            <family val="2"/>
          </rPr>
          <t>Author:</t>
        </r>
        <r>
          <rPr>
            <sz val="8"/>
            <color indexed="81"/>
            <rFont val="Tahoma"/>
            <family val="2"/>
          </rPr>
          <t xml:space="preserve">
$4.10-4.13 per 3Q</t>
        </r>
      </text>
    </comment>
    <comment ref="CT55" authorId="3" shapeId="0" xr:uid="{00000000-0006-0000-0900-000074000000}">
      <text>
        <r>
          <rPr>
            <b/>
            <sz val="8"/>
            <color indexed="81"/>
            <rFont val="Tahoma"/>
            <family val="2"/>
          </rPr>
          <t xml:space="preserve">Author:
</t>
        </r>
        <r>
          <rPr>
            <sz val="8"/>
            <color indexed="81"/>
            <rFont val="Tahoma"/>
            <family val="2"/>
          </rPr>
          <t>4.15.2008 $4.40-$4.45
7.15.2008 $4.45-$4.50</t>
        </r>
      </text>
    </comment>
    <comment ref="CV55" authorId="3" shapeId="0" xr:uid="{00000000-0006-0000-0900-000075000000}">
      <text>
        <r>
          <rPr>
            <b/>
            <sz val="8"/>
            <color indexed="81"/>
            <rFont val="Tahoma"/>
            <family val="2"/>
          </rPr>
          <t>Author:</t>
        </r>
        <r>
          <rPr>
            <sz val="8"/>
            <color indexed="81"/>
            <rFont val="Tahoma"/>
            <family val="2"/>
          </rPr>
          <t xml:space="preserve">
consensus 1.11</t>
        </r>
      </text>
    </comment>
    <comment ref="CY55" authorId="3" shapeId="0" xr:uid="{00000000-0006-0000-0900-000076000000}">
      <text>
        <r>
          <rPr>
            <b/>
            <sz val="8"/>
            <color indexed="81"/>
            <rFont val="Tahoma"/>
            <family val="2"/>
          </rPr>
          <t>Author:</t>
        </r>
        <r>
          <rPr>
            <sz val="8"/>
            <color indexed="81"/>
            <rFont val="Tahoma"/>
            <family val="2"/>
          </rPr>
          <t xml:space="preserve">
10.13.2009 - $4.54-4.59, CC of $4.65-$4.70 (avg USD/EUR of 1.39 for 2009, EPS negatively impacted by ~2% or $0.11, $0.04 better than $0.15 predicted earlier in year). Expect $0.06-$0.07 dilutive impact from Company0699, Company0912, Company0705 in 4Q. 
7.14.2009 guidance for midpt of $4.45-$4.55, with EPS negative 3% impact, so CC of $4.60-$4.70. Expect $0.04-$0.06 of dilution from Company0912 and Company0699 in 2H 2009. Guidance includes the dilution from these deals.
1.20.2009 guidance $4.60-$4.70 1%-3% CC on avg 2008 rates. If rates remained as if they were last week, then neg impact by (3%) or $0.15, for reported EPS of $4.45-$4.55. 
4.17.2008 guidance is to grow earnings faster than sales.
GAAP reported. </t>
        </r>
      </text>
    </comment>
    <comment ref="DD55" authorId="3" shapeId="0" xr:uid="{00000000-0006-0000-0900-000077000000}">
      <text>
        <r>
          <rPr>
            <b/>
            <sz val="8"/>
            <color indexed="81"/>
            <rFont val="Tahoma"/>
            <family val="2"/>
          </rPr>
          <t xml:space="preserve">Author:
</t>
        </r>
        <r>
          <rPr>
            <sz val="8"/>
            <color indexed="81"/>
            <rFont val="Tahoma"/>
            <family val="2"/>
          </rPr>
          <t xml:space="preserve">10.19.2010: raised to $4.70-4.80, on FX (oper 2-4% growth); comfortable with midpt of range
</t>
        </r>
        <r>
          <rPr>
            <b/>
            <sz val="8"/>
            <color indexed="81"/>
            <rFont val="Tahoma"/>
            <family val="2"/>
          </rPr>
          <t xml:space="preserve">
</t>
        </r>
        <r>
          <rPr>
            <sz val="8"/>
            <color indexed="81"/>
            <rFont val="Tahoma"/>
            <family val="2"/>
          </rPr>
          <t>7.20.2010 guidance of $4.65-$4.75 to reflect impact of recalls</t>
        </r>
        <r>
          <rPr>
            <b/>
            <sz val="8"/>
            <color indexed="81"/>
            <rFont val="Tahoma"/>
            <family val="2"/>
          </rPr>
          <t xml:space="preserve">
</t>
        </r>
        <r>
          <rPr>
            <sz val="8"/>
            <color indexed="81"/>
            <rFont val="Tahoma"/>
            <family val="2"/>
          </rPr>
          <t>4.20.2010 guidance of $4.80 to $4.90 on an operational basis including HC Reform impact
HC Reform negative affect of $0.10 per share
CFO guides to lower end of range due to HC reform</t>
        </r>
        <r>
          <rPr>
            <b/>
            <sz val="8"/>
            <color indexed="81"/>
            <rFont val="Tahoma"/>
            <family val="2"/>
          </rPr>
          <t xml:space="preserve">
</t>
        </r>
        <r>
          <rPr>
            <sz val="8"/>
            <color indexed="81"/>
            <rFont val="Tahoma"/>
            <family val="2"/>
          </rPr>
          <t xml:space="preserve">
1.26.2010 guidance inc FX (EUR at 1.42) reported of $4.85-$4.95, preferred midpoint of that. Exc FX call for $4.80-$4.90. This means that every 2% of topline FX delivers 1% of EPS change for 2010
</t>
        </r>
      </text>
    </comment>
    <comment ref="DI55" authorId="5" shapeId="0" xr:uid="{00000000-0006-0000-0900-000078000000}">
      <text>
        <r>
          <rPr>
            <b/>
            <sz val="8"/>
            <color indexed="81"/>
            <rFont val="Tahoma"/>
            <family val="2"/>
          </rPr>
          <t>Author:</t>
        </r>
        <r>
          <rPr>
            <sz val="8"/>
            <color indexed="81"/>
            <rFont val="Tahoma"/>
            <family val="2"/>
          </rPr>
          <t xml:space="preserve">
10.18.2011: $4.95-$5.00 (includes currency benefit of 12 cents);
$4.83-$4.88 (ex-currency)
7.19.2011: $4.90-$5.00 (includes currency benefit of 16 cents);
$4.74-$4.84 (ex-currency)
4.19.2011: $4.90-$5.00 (includes currency benefit of 16 cents assuming euro/dollar rate at $1.44);
$4.74-$4.84 (ex-currency)
10 cent guidance increase : 8 cents fx/ 2 cents operational
1.25.2011: $4.80 to $4.90 (includes currency benefit of 8 cents assuming mid-Jan 11 rates); Ticker0018 guides to midpt
$4.72-$4.82 (ex-currency)
HC reform fee impact $0.06
Does not include Company0705 deal expected to close 1Q11 (3-5 dilution for 2011). FX rate of 1.35 euro
Does not assume additional share repos
</t>
        </r>
      </text>
    </comment>
    <comment ref="DN55" authorId="5" shapeId="0" xr:uid="{00000000-0006-0000-0900-000079000000}">
      <text>
        <r>
          <rPr>
            <b/>
            <sz val="8"/>
            <color indexed="81"/>
            <rFont val="Tahoma"/>
            <family val="2"/>
          </rPr>
          <t xml:space="preserve">Author:
10.16.12 </t>
        </r>
        <r>
          <rPr>
            <sz val="8"/>
            <color indexed="81"/>
            <rFont val="Tahoma"/>
            <family val="2"/>
          </rPr>
          <t>$5.05 - $5.10</t>
        </r>
        <r>
          <rPr>
            <b/>
            <sz val="8"/>
            <color indexed="81"/>
            <rFont val="Tahoma"/>
            <family val="2"/>
          </rPr>
          <t xml:space="preserve">
7.17.12</t>
        </r>
        <r>
          <rPr>
            <sz val="8"/>
            <color indexed="81"/>
            <rFont val="Tahoma"/>
            <family val="2"/>
          </rPr>
          <t xml:space="preserve"> $5.00 - $5.07
</t>
        </r>
        <r>
          <rPr>
            <b/>
            <sz val="8"/>
            <color indexed="81"/>
            <rFont val="Tahoma"/>
            <family val="2"/>
          </rPr>
          <t xml:space="preserve">
4.17.12: </t>
        </r>
        <r>
          <rPr>
            <sz val="8"/>
            <color indexed="81"/>
            <rFont val="Tahoma"/>
            <family val="2"/>
          </rPr>
          <t>$5.07-$5.17 (neg FX impact of 11 cents)
On operation basis: $5.18-$5.28</t>
        </r>
        <r>
          <rPr>
            <b/>
            <sz val="8"/>
            <color indexed="81"/>
            <rFont val="Tahoma"/>
            <family val="2"/>
          </rPr>
          <t xml:space="preserve">
</t>
        </r>
        <r>
          <rPr>
            <sz val="8"/>
            <color indexed="81"/>
            <rFont val="Tahoma"/>
            <family val="2"/>
          </rPr>
          <t xml:space="preserve">
1.24.12: $5.05-$5.15 (negative FX impact of 13 cents). 
On operation basis: $5.18-$5.28, agrowth of 3.5-5.5%.</t>
        </r>
      </text>
    </comment>
    <comment ref="DS55" authorId="6" shapeId="0" xr:uid="{00000000-0006-0000-0900-00007A000000}">
      <text>
        <r>
          <rPr>
            <b/>
            <sz val="8"/>
            <color indexed="81"/>
            <rFont val="Tahoma"/>
            <family val="2"/>
          </rPr>
          <t>Author:</t>
        </r>
        <r>
          <rPr>
            <sz val="8"/>
            <color indexed="81"/>
            <rFont val="Tahoma"/>
            <family val="2"/>
          </rPr>
          <t xml:space="preserve">
10.15.13:  $5.44 - $5.49 raised and narrowed
7.16.13:  $5.40 - $5.47 revised upwards
4.16.13:  $5.35 - $5.45 reaffirmed
1.22.13:  
Operational EPS: $5.30 - $5.40
Operational Growth: 4% - 6%  
Reported EPS: $5.35 - $5.45
Reported growth: 5% - 7%</t>
        </r>
      </text>
    </comment>
    <comment ref="DX55" authorId="7" shapeId="0" xr:uid="{00000000-0006-0000-0900-00007B000000}">
      <text>
        <r>
          <rPr>
            <b/>
            <sz val="9"/>
            <color indexed="81"/>
            <rFont val="Tahoma"/>
            <family val="2"/>
          </rPr>
          <t>Author:</t>
        </r>
        <r>
          <rPr>
            <sz val="9"/>
            <color indexed="81"/>
            <rFont val="Tahoma"/>
            <family val="2"/>
          </rPr>
          <t xml:space="preserve">
1/20/15: $0.20 per share improvement from Product0272, even after re-investment
10.14.14: $5.92-$5.97
7.15.14: $5.85-5.92
4.15.14: $5.80-$5.90</t>
        </r>
        <r>
          <rPr>
            <b/>
            <sz val="9"/>
            <color indexed="81"/>
            <rFont val="Tahoma"/>
            <family val="2"/>
          </rPr>
          <t xml:space="preserve">
Author24:</t>
        </r>
        <r>
          <rPr>
            <sz val="9"/>
            <color indexed="81"/>
            <rFont val="Tahoma"/>
            <family val="2"/>
          </rPr>
          <t xml:space="preserve">
1.21.14: $5.75-5.85, current spot rate guidance</t>
        </r>
      </text>
    </comment>
    <comment ref="EC55" authorId="8" shapeId="0" xr:uid="{00000000-0006-0000-0900-00007C000000}">
      <text>
        <r>
          <rPr>
            <b/>
            <sz val="9"/>
            <color indexed="81"/>
            <rFont val="Tahoma"/>
            <family val="2"/>
          </rPr>
          <t>Author:</t>
        </r>
        <r>
          <rPr>
            <sz val="9"/>
            <color indexed="81"/>
            <rFont val="Tahoma"/>
            <family val="2"/>
          </rPr>
          <t xml:space="preserve">
10.13.15:  $6.15 to $6.20
7.14.15: $6.10 to $6.20
4.14.15: 6.04-6.19 per share reflecting FX.  6.64-6.79 on constant currency increased by 10 cents per shar
1/20/15: $6.12 to $6.27 per share reflecting FX headwind, $6.54 to $6.69 excl. intangibles and special items...only excl spec items - $6.22 to $6.37
"Beginning in 2015, adjusted earnings excludes after-tax intangible amortization expense in addition to special items. After-tax intangible amortization for 2014 is $0.42 per share and for 2015 is ~$0.32 per share"</t>
        </r>
      </text>
    </comment>
    <comment ref="EH55" authorId="9" shapeId="0" xr:uid="{00000000-0006-0000-0900-00007D000000}">
      <text>
        <r>
          <rPr>
            <sz val="9"/>
            <color indexed="81"/>
            <rFont val="Tahoma"/>
            <family val="2"/>
          </rPr>
          <t>Author: $6.68 - $6.73
7.19.2016: $6.63-$6.73; FX impact still $0.03
4.19.2016: $6.53-$6.68; FX impact now $0.03 from $0.10
1.26.2016: $6.43-$6.58</t>
        </r>
      </text>
    </comment>
    <comment ref="EM55" authorId="10" shapeId="0" xr:uid="{00000000-0006-0000-0900-00007E000000}">
      <text>
        <r>
          <rPr>
            <sz val="9"/>
            <color indexed="81"/>
            <rFont val="Tahoma"/>
            <family val="2"/>
          </rPr>
          <t>Author: $7.25-$7.30
2Q17: $7.12-$7.22
post 1Q17- $7.00-$7.15
01 24 17: $6.93-7.08</t>
        </r>
      </text>
    </comment>
    <comment ref="ER55" authorId="11" shapeId="0" xr:uid="{00000000-0006-0000-0900-00007F000000}">
      <text>
        <r>
          <rPr>
            <b/>
            <sz val="9"/>
            <color indexed="81"/>
            <rFont val="Tahoma"/>
            <family val="2"/>
          </rPr>
          <t>Author:</t>
        </r>
        <r>
          <rPr>
            <sz val="9"/>
            <color indexed="81"/>
            <rFont val="Tahoma"/>
            <family val="2"/>
          </rPr>
          <t xml:space="preserve">
</t>
        </r>
        <r>
          <rPr>
            <b/>
            <sz val="9"/>
            <color indexed="81"/>
            <rFont val="Tahoma"/>
            <family val="2"/>
          </rPr>
          <t>3Q18</t>
        </r>
        <r>
          <rPr>
            <sz val="9"/>
            <color indexed="81"/>
            <rFont val="Tahoma"/>
            <family val="2"/>
          </rPr>
          <t>: $8.13 - $8.18, op growth of 9.3%-10.0%, $0.15 benefit from FX
2Q18: $8.07 - $8.17, op 
growth of 8.5%-9.9%
4Q17: $8.00 - $8.20</t>
        </r>
      </text>
    </comment>
    <comment ref="EW55" authorId="11" shapeId="0" xr:uid="{00000000-0006-0000-0900-000080000000}">
      <text>
        <r>
          <rPr>
            <b/>
            <sz val="9"/>
            <color indexed="81"/>
            <rFont val="Tahoma"/>
            <family val="2"/>
          </rPr>
          <t>Author:</t>
        </r>
        <r>
          <rPr>
            <sz val="9"/>
            <color indexed="81"/>
            <rFont val="Tahoma"/>
            <family val="2"/>
          </rPr>
          <t xml:space="preserve">
3Q19: $8.62-$8.67
Cons $8.61
2Q19: $8.53-$8.63 adj EPS reported
1Q19: $8.73 - $8.83 Adj OP EPS; adj EPS reported </t>
        </r>
        <r>
          <rPr>
            <b/>
            <sz val="9"/>
            <color indexed="81"/>
            <rFont val="Tahoma"/>
            <family val="2"/>
          </rPr>
          <t>$8.53 - $8.63</t>
        </r>
        <r>
          <rPr>
            <sz val="9"/>
            <color indexed="81"/>
            <rFont val="Tahoma"/>
            <family val="2"/>
          </rPr>
          <t xml:space="preserve"> (FX neg impact $0.20) (midtpoint $8.58)
4Q18: $8.65-8.80 ex FX; reported: $8.50-8.65 includes F/X ($0.15) or (1.8%)
</t>
        </r>
      </text>
    </comment>
    <comment ref="FB55" authorId="19" shapeId="0" xr:uid="{00000000-0006-0000-0900-000081000000}">
      <text>
        <r>
          <rPr>
            <b/>
            <sz val="9"/>
            <color indexed="81"/>
            <rFont val="Tahoma"/>
            <family val="2"/>
          </rPr>
          <t>Author:</t>
        </r>
        <r>
          <rPr>
            <sz val="9"/>
            <color indexed="81"/>
            <rFont val="Tahoma"/>
            <family val="2"/>
          </rPr>
          <t xml:space="preserve">
3q20 guide: $7.95-8.05
2q20 guide: $7.75-7.95
1q20 guide: 7.50-7.90</t>
        </r>
        <r>
          <rPr>
            <b/>
            <sz val="9"/>
            <color indexed="81"/>
            <rFont val="Tahoma"/>
            <family val="2"/>
          </rPr>
          <t xml:space="preserve">
</t>
        </r>
        <r>
          <rPr>
            <sz val="9"/>
            <color indexed="81"/>
            <rFont val="Tahoma"/>
            <family val="2"/>
          </rPr>
          <t>4q19 guide 8.95-9.10
Cons $7.89</t>
        </r>
      </text>
    </comment>
    <comment ref="FG55" authorId="19" shapeId="0" xr:uid="{00000000-0006-0000-0900-000082000000}">
      <text>
        <r>
          <rPr>
            <b/>
            <sz val="9"/>
            <color indexed="81"/>
            <rFont val="Tahoma"/>
            <family val="2"/>
          </rPr>
          <t>Author:</t>
        </r>
        <r>
          <rPr>
            <sz val="9"/>
            <color indexed="81"/>
            <rFont val="Tahoma"/>
            <family val="2"/>
          </rPr>
          <t xml:space="preserve">
Guidance:
3Q21: $9.77-$9.82
2Q21: $9.60-$9.70
1Q21: $9.42 - $9.57
4Q20: $9.40 - $9.60
Company1728 $0.10-$0.15 dilutive
Ticker0015 $9.19 July 2020
Cons $9.03</t>
        </r>
      </text>
    </comment>
    <comment ref="FL55" authorId="15" shapeId="0" xr:uid="{00000000-0006-0000-0900-000083000000}">
      <text>
        <r>
          <rPr>
            <b/>
            <sz val="9"/>
            <color indexed="81"/>
            <rFont val="Tahoma"/>
            <family val="2"/>
          </rPr>
          <t>Author:</t>
        </r>
        <r>
          <rPr>
            <sz val="9"/>
            <color indexed="81"/>
            <rFont val="Tahoma"/>
            <family val="2"/>
          </rPr>
          <t xml:space="preserve">
Guidance
3Q22: $10.02-$10.07
2Q22: $10.00-$10.10
1Q22: $10.15-$10.35
4Q21: $10.4-$10.6
</t>
        </r>
      </text>
    </comment>
    <comment ref="FX55" authorId="0" shapeId="0" xr:uid="{77C3619F-B110-4823-AD21-32F6DAEE411C}">
      <text>
        <r>
          <rPr>
            <b/>
            <sz val="9"/>
            <color indexed="81"/>
            <rFont val="Tahoma"/>
            <family val="2"/>
          </rPr>
          <t>Author:</t>
        </r>
        <r>
          <rPr>
            <sz val="9"/>
            <color indexed="81"/>
            <rFont val="Tahoma"/>
            <family val="2"/>
          </rPr>
          <t xml:space="preserve">
Guidance:
2023 EBR: $9.85-$9.91 (10.6% growth at midpoint); ($0.17 impact from Company1595)
3Q23 Update: $10.07-10.13 (Adj. Reported EPS)
2Q23 Update: $10.00-10.10 (Adj. Reported EPS)
2Q23: $10.70-10.80 (Adj. Reported EPS)
</t>
        </r>
        <r>
          <rPr>
            <u/>
            <sz val="9"/>
            <color indexed="81"/>
            <rFont val="Tahoma"/>
            <family val="2"/>
          </rPr>
          <t>5/2/2023 Company0454 Deal:</t>
        </r>
        <r>
          <rPr>
            <sz val="9"/>
            <color indexed="81"/>
            <rFont val="Tahoma"/>
            <family val="2"/>
          </rPr>
          <t xml:space="preserve"> ~$0.10 negative impact to '23/'24 EPS - (FY23 guidance still maintaned)
</t>
        </r>
        <r>
          <rPr>
            <u/>
            <sz val="9"/>
            <color indexed="81"/>
            <rFont val="Tahoma"/>
            <family val="2"/>
          </rPr>
          <t>1Q23:</t>
        </r>
        <r>
          <rPr>
            <sz val="9"/>
            <color indexed="81"/>
            <rFont val="Tahoma"/>
            <family val="2"/>
          </rPr>
          <t xml:space="preserve"> $10.50-$10.60 (constant currency); $10.60-10.70 (FX-adj.)
</t>
        </r>
        <r>
          <rPr>
            <u/>
            <sz val="9"/>
            <color indexed="81"/>
            <rFont val="Tahoma"/>
            <family val="2"/>
          </rPr>
          <t>4Q22:</t>
        </r>
        <r>
          <rPr>
            <sz val="9"/>
            <color indexed="81"/>
            <rFont val="Tahoma"/>
            <family val="2"/>
          </rPr>
          <t xml:space="preserve"> $10.45-$10.65</t>
        </r>
      </text>
    </comment>
    <comment ref="GC55" authorId="0" shapeId="0" xr:uid="{9EF6438D-580C-45EC-AF87-0BC52C82BCFA}">
      <text>
        <r>
          <rPr>
            <b/>
            <sz val="9"/>
            <color indexed="81"/>
            <rFont val="Tahoma"/>
            <family val="2"/>
          </rPr>
          <t>Author:</t>
        </r>
        <r>
          <rPr>
            <sz val="9"/>
            <color indexed="81"/>
            <rFont val="Tahoma"/>
            <family val="2"/>
          </rPr>
          <t xml:space="preserve">
4Q23: reiterated
2023 EBR: $10.55-$10.75 - 7.3% growth (midpoint); Company1595 impact of ($0.15)
1Q24: $10.57-10.72 
6.6-8.1% growth
</t>
        </r>
        <r>
          <rPr>
            <b/>
            <sz val="9"/>
            <color indexed="81"/>
            <rFont val="Tahoma"/>
            <family val="2"/>
          </rPr>
          <t xml:space="preserve">KR: </t>
        </r>
        <r>
          <rPr>
            <sz val="9"/>
            <color indexed="81"/>
            <rFont val="Tahoma"/>
            <family val="2"/>
          </rPr>
          <t xml:space="preserve">
2Q24: 15 cent EPS impact in FY24 /
$9.97-10.07 ; 0.5-1.5% growth
3Q24: 
$9.88 - $9.98 / $9.93 
(0.4)% - 0.6% / 0.1%
</t>
        </r>
      </text>
    </comment>
    <comment ref="GH55" authorId="17" shapeId="0" xr:uid="{411D1A4D-06EA-4EFF-91B5-90786F743E43}">
      <text>
        <r>
          <rPr>
            <b/>
            <sz val="9"/>
            <color indexed="81"/>
            <rFont val="Tahoma"/>
            <family val="2"/>
          </rPr>
          <t>Author:</t>
        </r>
        <r>
          <rPr>
            <sz val="9"/>
            <color indexed="81"/>
            <rFont val="Tahoma"/>
            <family val="2"/>
          </rPr>
          <t xml:space="preserve">
$10.80- $10.90</t>
        </r>
      </text>
    </comment>
    <comment ref="GI55" authorId="17" shapeId="0" xr:uid="{DA3EDF30-B357-4C56-9BF8-97CC53C75CB3}">
      <text>
        <r>
          <rPr>
            <sz val="9"/>
            <color indexed="81"/>
            <rFont val="Tahoma"/>
            <family val="2"/>
          </rPr>
          <t xml:space="preserve">sees 5c upside to $11.39.
</t>
        </r>
      </text>
    </comment>
    <comment ref="BN56" authorId="1" shapeId="0" xr:uid="{00000000-0006-0000-0900-000084000000}">
      <text>
        <r>
          <rPr>
            <b/>
            <sz val="8"/>
            <color indexed="81"/>
            <rFont val="Tahoma"/>
            <family val="2"/>
          </rPr>
          <t>Author:</t>
        </r>
        <r>
          <rPr>
            <sz val="8"/>
            <color indexed="81"/>
            <rFont val="Tahoma"/>
            <family val="2"/>
          </rPr>
          <t xml:space="preserve">
pro forma was $0.60</t>
        </r>
      </text>
    </comment>
    <comment ref="BO56" authorId="1" shapeId="0" xr:uid="{00000000-0006-0000-0900-000085000000}">
      <text>
        <r>
          <rPr>
            <b/>
            <sz val="8"/>
            <color indexed="81"/>
            <rFont val="Tahoma"/>
            <family val="2"/>
          </rPr>
          <t>Author:</t>
        </r>
        <r>
          <rPr>
            <sz val="8"/>
            <color indexed="81"/>
            <rFont val="Tahoma"/>
            <family val="2"/>
          </rPr>
          <t xml:space="preserve">
pro forma $0.48 </t>
        </r>
      </text>
    </comment>
    <comment ref="BS56" authorId="1" shapeId="0" xr:uid="{00000000-0006-0000-0900-000086000000}">
      <text>
        <r>
          <rPr>
            <b/>
            <sz val="8"/>
            <color indexed="81"/>
            <rFont val="Tahoma"/>
            <family val="2"/>
          </rPr>
          <t>Author:</t>
        </r>
        <r>
          <rPr>
            <sz val="8"/>
            <color indexed="81"/>
            <rFont val="Tahoma"/>
            <family val="2"/>
          </rPr>
          <t xml:space="preserve">
easier comp due to one-time charge in 3Q02</t>
        </r>
      </text>
    </comment>
    <comment ref="BT56" authorId="1" shapeId="0" xr:uid="{00000000-0006-0000-0900-000087000000}">
      <text>
        <r>
          <rPr>
            <b/>
            <sz val="8"/>
            <color indexed="81"/>
            <rFont val="Tahoma"/>
            <family val="2"/>
          </rPr>
          <t>Author:</t>
        </r>
        <r>
          <rPr>
            <sz val="8"/>
            <color indexed="81"/>
            <rFont val="Tahoma"/>
            <family val="2"/>
          </rPr>
          <t xml:space="preserve">
easier comp due to one time charge in 4Q02</t>
        </r>
      </text>
    </comment>
    <comment ref="BZ56" authorId="23" shapeId="0" xr:uid="{00000000-0006-0000-0900-000088000000}">
      <text>
        <r>
          <rPr>
            <b/>
            <sz val="8"/>
            <color indexed="81"/>
            <rFont val="Tahoma"/>
            <family val="2"/>
          </rPr>
          <t>Author:</t>
        </r>
        <r>
          <rPr>
            <sz val="8"/>
            <color indexed="81"/>
            <rFont val="Tahoma"/>
            <family val="2"/>
          </rPr>
          <t xml:space="preserve">
4/13: $3.00
7/13: $3.03
10/12: $3.05 to $3.07</t>
        </r>
      </text>
    </comment>
    <comment ref="CE56" authorId="23" shapeId="0" xr:uid="{00000000-0006-0000-0900-000089000000}">
      <text>
        <r>
          <rPr>
            <b/>
            <sz val="8"/>
            <color indexed="81"/>
            <rFont val="Tahoma"/>
            <family val="2"/>
          </rPr>
          <t>Author:</t>
        </r>
        <r>
          <rPr>
            <sz val="8"/>
            <color indexed="81"/>
            <rFont val="Tahoma"/>
            <family val="2"/>
          </rPr>
          <t xml:space="preserve">
12/13: $3.38
1/25:  10%  growth to ra range of $3.38 to $3.41
3/19: $3.41-3.43
7/19: $3.44-$3.47
10/19: $3.48-$3.50</t>
        </r>
      </text>
    </comment>
    <comment ref="BT57" authorId="27" shapeId="0" xr:uid="{00000000-0006-0000-0900-00008A000000}">
      <text>
        <r>
          <rPr>
            <sz val="8"/>
            <color indexed="81"/>
            <rFont val="Tahoma"/>
            <family val="2"/>
          </rPr>
          <t>Rounds to $0.61, but the company reports $0.62, which is hard coded</t>
        </r>
      </text>
    </comment>
    <comment ref="BY57" authorId="27" shapeId="0" xr:uid="{00000000-0006-0000-0900-00008B000000}">
      <text>
        <r>
          <rPr>
            <sz val="8"/>
            <color indexed="81"/>
            <rFont val="Tahoma"/>
            <family val="2"/>
          </rPr>
          <t xml:space="preserve">Tough comp due to gain on Company1168 arbitration settlement in 4Q 2003
</t>
        </r>
      </text>
    </comment>
    <comment ref="CD57" authorId="27" shapeId="0" xr:uid="{00000000-0006-0000-0900-00008C000000}">
      <text>
        <r>
          <rPr>
            <sz val="8"/>
            <color indexed="81"/>
            <rFont val="Tahoma"/>
            <family val="2"/>
          </rPr>
          <t xml:space="preserve">Tough comp due to gain on Company1168 arbitration settlement in 4Q 2003
</t>
        </r>
      </text>
    </comment>
    <comment ref="DD57" authorId="4" shapeId="0" xr:uid="{00000000-0006-0000-0900-00008D000000}">
      <text>
        <r>
          <rPr>
            <b/>
            <sz val="8"/>
            <color indexed="81"/>
            <rFont val="Tahoma"/>
            <family val="2"/>
          </rPr>
          <t>Author:</t>
        </r>
        <r>
          <rPr>
            <sz val="8"/>
            <color indexed="81"/>
            <rFont val="Tahoma"/>
            <family val="2"/>
          </rPr>
          <t xml:space="preserve">
04.20.2010 guidance of $4.80 to $4.90</t>
        </r>
      </text>
    </comment>
    <comment ref="FD59" authorId="14" shapeId="0" xr:uid="{00000000-0006-0000-0900-00008E000000}">
      <text>
        <r>
          <rPr>
            <b/>
            <sz val="9"/>
            <color indexed="81"/>
            <rFont val="Tahoma"/>
            <family val="2"/>
          </rPr>
          <t>Author:</t>
        </r>
        <r>
          <rPr>
            <sz val="9"/>
            <color indexed="81"/>
            <rFont val="Tahoma"/>
            <family val="2"/>
          </rPr>
          <t xml:space="preserve">
1Q21: 5.0% increase in the quarterly dividend, from $1.01 per share to $1.06 per share. Payable on June 8, 2021 to shareholders of record as of the close of business on May 25, 2021.</t>
        </r>
      </text>
    </comment>
    <comment ref="DM60" authorId="6" shapeId="0" xr:uid="{00000000-0006-0000-0900-00008F000000}">
      <text>
        <r>
          <rPr>
            <b/>
            <sz val="8"/>
            <color indexed="81"/>
            <rFont val="Tahoma"/>
            <family val="2"/>
          </rPr>
          <t>Author:</t>
        </r>
        <r>
          <rPr>
            <sz val="8"/>
            <color indexed="81"/>
            <rFont val="Tahoma"/>
            <family val="2"/>
          </rPr>
          <t xml:space="preserve">
fill in once 10-Q comes out</t>
        </r>
      </text>
    </comment>
    <comment ref="DN60" authorId="6" shapeId="0" xr:uid="{00000000-0006-0000-0900-000090000000}">
      <text>
        <r>
          <rPr>
            <b/>
            <sz val="8"/>
            <color indexed="81"/>
            <rFont val="Tahoma"/>
            <family val="2"/>
          </rPr>
          <t>Author:</t>
        </r>
        <r>
          <rPr>
            <sz val="8"/>
            <color indexed="81"/>
            <rFont val="Tahoma"/>
            <family val="2"/>
          </rPr>
          <t xml:space="preserve">
fill in once 10-Q comes out</t>
        </r>
      </text>
    </comment>
    <comment ref="DS60" authorId="6" shapeId="0" xr:uid="{00000000-0006-0000-0900-000091000000}">
      <text>
        <r>
          <rPr>
            <b/>
            <sz val="8"/>
            <color indexed="81"/>
            <rFont val="Tahoma"/>
            <family val="2"/>
          </rPr>
          <t>Author:</t>
        </r>
        <r>
          <rPr>
            <sz val="8"/>
            <color indexed="81"/>
            <rFont val="Tahoma"/>
            <family val="2"/>
          </rPr>
          <t xml:space="preserve">
1.22.13: Shares out will raise in 1st half as Ticker0018 cannot repurchase until Synthes repurchase is completed in the middle of the year</t>
        </r>
      </text>
    </comment>
    <comment ref="CO61" authorId="3" shapeId="0" xr:uid="{00000000-0006-0000-0900-000092000000}">
      <text>
        <r>
          <rPr>
            <b/>
            <sz val="8"/>
            <color indexed="81"/>
            <rFont val="Tahoma"/>
            <family val="2"/>
          </rPr>
          <t>Author:</t>
        </r>
        <r>
          <rPr>
            <sz val="8"/>
            <color indexed="81"/>
            <rFont val="Tahoma"/>
            <family val="2"/>
          </rPr>
          <t xml:space="preserve">
offset comp program. 
7.17.2007 assuming 1/3 of $10bn share repo done in 2007. (at $63 average share price that's 52.38 mn shares)</t>
        </r>
      </text>
    </comment>
    <comment ref="CT61" authorId="3" shapeId="0" xr:uid="{00000000-0006-0000-0900-000093000000}">
      <text>
        <r>
          <rPr>
            <b/>
            <sz val="8"/>
            <color indexed="81"/>
            <rFont val="Tahoma"/>
            <family val="2"/>
          </rPr>
          <t>Author:</t>
        </r>
        <r>
          <rPr>
            <sz val="8"/>
            <color indexed="81"/>
            <rFont val="Tahoma"/>
            <family val="2"/>
          </rPr>
          <t xml:space="preserve">
7.17.2007 assuming remaining 2/3 of $10bn share repo done in 2008. (at $63 average share price that's 105.71 mn shares)</t>
        </r>
      </text>
    </comment>
    <comment ref="CV61" authorId="3" shapeId="0" xr:uid="{00000000-0006-0000-0900-000094000000}">
      <text>
        <r>
          <rPr>
            <b/>
            <sz val="8"/>
            <color indexed="81"/>
            <rFont val="Tahoma"/>
            <family val="2"/>
          </rPr>
          <t>Author:</t>
        </r>
        <r>
          <rPr>
            <sz val="8"/>
            <color indexed="81"/>
            <rFont val="Tahoma"/>
            <family val="2"/>
          </rPr>
          <t xml:space="preserve">
repurchased $300mn during 2Q. 1.1bn of 10bn repo program remain, will complete slower than previously anticipated due to deals. </t>
        </r>
      </text>
    </comment>
    <comment ref="CY61" authorId="3" shapeId="0" xr:uid="{00000000-0006-0000-0900-000095000000}">
      <text>
        <r>
          <rPr>
            <b/>
            <sz val="8"/>
            <color indexed="81"/>
            <rFont val="Tahoma"/>
            <family val="2"/>
          </rPr>
          <t>Author:</t>
        </r>
        <r>
          <rPr>
            <sz val="8"/>
            <color indexed="81"/>
            <rFont val="Tahoma"/>
            <family val="2"/>
          </rPr>
          <t xml:space="preserve">
7.14.2009 guidance is for repurchase program to slow</t>
        </r>
      </text>
    </comment>
    <comment ref="DI61" authorId="29" shapeId="0" xr:uid="{00000000-0006-0000-0900-000096000000}">
      <text>
        <r>
          <rPr>
            <b/>
            <sz val="8"/>
            <color indexed="81"/>
            <rFont val="Tahoma"/>
            <family val="2"/>
          </rPr>
          <t>Author:</t>
        </r>
        <r>
          <rPr>
            <sz val="8"/>
            <color indexed="81"/>
            <rFont val="Tahoma"/>
            <family val="2"/>
          </rPr>
          <t xml:space="preserve">
</t>
        </r>
        <r>
          <rPr>
            <b/>
            <sz val="8"/>
            <color indexed="81"/>
            <rFont val="Tahoma"/>
            <family val="2"/>
          </rPr>
          <t xml:space="preserve">1.25.11: </t>
        </r>
        <r>
          <rPr>
            <sz val="8"/>
            <color indexed="81"/>
            <rFont val="Tahoma"/>
            <family val="2"/>
          </rPr>
          <t>2011 guidance assumes no share repurchases</t>
        </r>
      </text>
    </comment>
    <comment ref="DQ61" authorId="18" shapeId="0" xr:uid="{00000000-0006-0000-0900-000097000000}">
      <text>
        <r>
          <rPr>
            <b/>
            <sz val="9"/>
            <color indexed="81"/>
            <rFont val="Tahoma"/>
            <family val="2"/>
          </rPr>
          <t>Author:</t>
        </r>
        <r>
          <rPr>
            <sz val="9"/>
            <color indexed="81"/>
            <rFont val="Tahoma"/>
            <family val="2"/>
          </rPr>
          <t xml:space="preserve">
COMPANY0150 program completed in Sept, Ticker0018 may now repurchase shares in he open market</t>
        </r>
      </text>
    </comment>
    <comment ref="EW61" authorId="19" shapeId="0" xr:uid="{00000000-0006-0000-0900-000098000000}">
      <text>
        <r>
          <rPr>
            <b/>
            <sz val="9"/>
            <color indexed="81"/>
            <rFont val="Tahoma"/>
            <family val="2"/>
          </rPr>
          <t>Author:</t>
        </r>
        <r>
          <rPr>
            <sz val="9"/>
            <color indexed="81"/>
            <rFont val="Tahoma"/>
            <family val="2"/>
          </rPr>
          <t xml:space="preserve">
Cons 2690</t>
        </r>
      </text>
    </comment>
    <comment ref="FB61" authorId="19" shapeId="0" xr:uid="{00000000-0006-0000-0900-000099000000}">
      <text>
        <r>
          <rPr>
            <b/>
            <sz val="9"/>
            <color indexed="81"/>
            <rFont val="Tahoma"/>
            <family val="2"/>
          </rPr>
          <t>Author:</t>
        </r>
        <r>
          <rPr>
            <sz val="9"/>
            <color indexed="81"/>
            <rFont val="Tahoma"/>
            <family val="2"/>
          </rPr>
          <t xml:space="preserve">
Cons 2672</t>
        </r>
      </text>
    </comment>
    <comment ref="FG61" authorId="14" shapeId="0" xr:uid="{00000000-0006-0000-0900-00009A000000}">
      <text>
        <r>
          <rPr>
            <b/>
            <sz val="9"/>
            <color indexed="81"/>
            <rFont val="Tahoma"/>
            <family val="2"/>
          </rPr>
          <t>Author:</t>
        </r>
        <r>
          <rPr>
            <sz val="9"/>
            <color indexed="81"/>
            <rFont val="Tahoma"/>
            <family val="2"/>
          </rPr>
          <t xml:space="preserve">
1Q21: Cons 2665</t>
        </r>
      </text>
    </comment>
    <comment ref="FJ61" authorId="13" shapeId="0" xr:uid="{7E0F725D-046D-4DB1-A235-D9E855C12621}">
      <text>
        <r>
          <rPr>
            <b/>
            <sz val="9"/>
            <color indexed="81"/>
            <rFont val="Tahoma"/>
            <family val="2"/>
          </rPr>
          <t>Author:</t>
        </r>
        <r>
          <rPr>
            <sz val="9"/>
            <color indexed="81"/>
            <rFont val="Tahoma"/>
            <family val="2"/>
          </rPr>
          <t xml:space="preserve">
2629.2 shares of common stock as of 7/22</t>
        </r>
      </text>
    </comment>
    <comment ref="FX61" authorId="0" shapeId="0" xr:uid="{A8BCDF27-1253-441F-9B30-4A53864873EC}">
      <text>
        <r>
          <rPr>
            <b/>
            <sz val="9"/>
            <color indexed="81"/>
            <rFont val="Tahoma"/>
            <family val="2"/>
          </rPr>
          <t>Author:</t>
        </r>
        <r>
          <rPr>
            <sz val="9"/>
            <color indexed="81"/>
            <rFont val="Tahoma"/>
            <family val="2"/>
          </rPr>
          <t xml:space="preserve">
Guidance
3Q23 Update: Reit
2Q23 Update: ~2,557.2mn</t>
        </r>
      </text>
    </comment>
    <comment ref="GC61" authorId="0" shapeId="0" xr:uid="{9825EC07-EB5A-4F18-87E6-AF0DCAFA5095}">
      <text>
        <r>
          <rPr>
            <b/>
            <sz val="9"/>
            <color indexed="81"/>
            <rFont val="Tahoma"/>
            <family val="2"/>
          </rPr>
          <t>Author:</t>
        </r>
        <r>
          <rPr>
            <sz val="9"/>
            <color indexed="81"/>
            <rFont val="Tahoma"/>
            <family val="2"/>
          </rPr>
          <t xml:space="preserve">
4Q23: ~2,435mn</t>
        </r>
      </text>
    </comment>
    <comment ref="DR62" authorId="18" shapeId="0" xr:uid="{00000000-0006-0000-0900-00009B000000}">
      <text>
        <r>
          <rPr>
            <b/>
            <sz val="9"/>
            <color indexed="81"/>
            <rFont val="Tahoma"/>
            <family val="2"/>
          </rPr>
          <t>Author:</t>
        </r>
        <r>
          <rPr>
            <sz val="9"/>
            <color indexed="81"/>
            <rFont val="Tahoma"/>
            <family val="2"/>
          </rPr>
          <t xml:space="preserve">
10/15/13: end of COMPANY0150 allows Ticker0018 to repurchase enough stock to offset dilution from employee stock options</t>
        </r>
      </text>
    </comment>
    <comment ref="DY62" authorId="8" shapeId="0" xr:uid="{00000000-0006-0000-0900-00009C000000}">
      <text>
        <r>
          <rPr>
            <b/>
            <sz val="9"/>
            <color indexed="81"/>
            <rFont val="Tahoma"/>
            <family val="2"/>
          </rPr>
          <t>Author:</t>
        </r>
        <r>
          <rPr>
            <sz val="9"/>
            <color indexed="81"/>
            <rFont val="Tahoma"/>
            <family val="2"/>
          </rPr>
          <t xml:space="preserve">
estimate subject to change upon 1Q15 actuals reported…future qtrs linked</t>
        </r>
      </text>
    </comment>
    <comment ref="FG64" authorId="32" shapeId="0" xr:uid="{00000000-0006-0000-0900-00009D000000}">
      <text>
        <r>
          <rPr>
            <b/>
            <sz val="9"/>
            <color indexed="81"/>
            <rFont val="Tahoma"/>
            <family val="2"/>
          </rPr>
          <t>Author:</t>
        </r>
        <r>
          <rPr>
            <sz val="9"/>
            <color indexed="81"/>
            <rFont val="Tahoma"/>
            <family val="2"/>
          </rPr>
          <t xml:space="preserve">
Gross margin ex vax</t>
        </r>
      </text>
    </comment>
    <comment ref="DE65" authorId="2" shapeId="0" xr:uid="{00000000-0006-0000-0900-00009E000000}">
      <text>
        <r>
          <rPr>
            <b/>
            <sz val="8"/>
            <color indexed="81"/>
            <rFont val="Tahoma"/>
            <family val="2"/>
          </rPr>
          <t>Author:</t>
        </r>
        <r>
          <rPr>
            <sz val="8"/>
            <color indexed="81"/>
            <rFont val="Tahoma"/>
            <family val="2"/>
          </rPr>
          <t xml:space="preserve">
29.5% due to ongoing remediation work in OTC business</t>
        </r>
      </text>
    </comment>
    <comment ref="DM65" authorId="2" shapeId="0" xr:uid="{00000000-0006-0000-0900-00009F000000}">
      <text>
        <r>
          <rPr>
            <b/>
            <sz val="8"/>
            <color indexed="81"/>
            <rFont val="Tahoma"/>
            <family val="2"/>
          </rPr>
          <t>Author:</t>
        </r>
        <r>
          <rPr>
            <sz val="8"/>
            <color indexed="81"/>
            <rFont val="Tahoma"/>
            <family val="2"/>
          </rPr>
          <t xml:space="preserve">
Invega /Product0021 expiry</t>
        </r>
      </text>
    </comment>
    <comment ref="DN65" authorId="29" shapeId="0" xr:uid="{00000000-0006-0000-0900-0000A0000000}">
      <text>
        <r>
          <rPr>
            <b/>
            <sz val="8"/>
            <color indexed="81"/>
            <rFont val="Tahoma"/>
            <family val="2"/>
          </rPr>
          <t>Author:</t>
        </r>
        <r>
          <rPr>
            <sz val="8"/>
            <color indexed="81"/>
            <rFont val="Tahoma"/>
            <family val="2"/>
          </rPr>
          <t xml:space="preserve">
4.17.12: GM to not be at low pt in 1Q, under pressure for remaining of yr. End slightly better than 2011.
 Full yr of Company0705, remediation costs booked in COGS, significant pricing declines</t>
        </r>
      </text>
    </comment>
    <comment ref="DS65" authorId="6" shapeId="0" xr:uid="{00000000-0006-0000-0900-0000A1000000}">
      <text>
        <r>
          <rPr>
            <b/>
            <sz val="8"/>
            <color indexed="81"/>
            <rFont val="Tahoma"/>
            <family val="2"/>
          </rPr>
          <t>Author:</t>
        </r>
        <r>
          <rPr>
            <sz val="8"/>
            <color indexed="81"/>
            <rFont val="Tahoma"/>
            <family val="2"/>
          </rPr>
          <t xml:space="preserve">
1.22.13: Some improvement in the COGS line in 2013</t>
        </r>
      </text>
    </comment>
    <comment ref="DU65" authorId="18" shapeId="0" xr:uid="{00000000-0006-0000-0900-0000A2000000}">
      <text>
        <r>
          <rPr>
            <b/>
            <sz val="9"/>
            <color indexed="81"/>
            <rFont val="Tahoma"/>
            <family val="2"/>
          </rPr>
          <t>Author:</t>
        </r>
        <r>
          <rPr>
            <sz val="9"/>
            <color indexed="81"/>
            <rFont val="Tahoma"/>
            <family val="2"/>
          </rPr>
          <t xml:space="preserve">
7.15.14: the negative impact of the Japanese Yen to gross margins which we said was about 60 basis points for the year, obviously we saw most of that in the Second Quarter</t>
        </r>
      </text>
    </comment>
    <comment ref="DX65" authorId="18" shapeId="0" xr:uid="{00000000-0006-0000-0900-0000A3000000}">
      <text>
        <r>
          <rPr>
            <b/>
            <sz val="9"/>
            <color indexed="81"/>
            <rFont val="Tahoma"/>
            <family val="2"/>
          </rPr>
          <t>Author:</t>
        </r>
        <r>
          <rPr>
            <sz val="9"/>
            <color indexed="81"/>
            <rFont val="Tahoma"/>
            <family val="2"/>
          </rPr>
          <t xml:space="preserve">
10.15.13:  we expect the impact of devaluation of the yen to be a significant headwind in 2014. We estimate this headwind to negatively impact gross margin in 2014 by approximately 60 basis points. Of course, as we complete our planning for 2014, we will look for ways to mitigate this impact as much as possible.</t>
        </r>
      </text>
    </comment>
    <comment ref="EC65" authorId="8" shapeId="0" xr:uid="{00000000-0006-0000-0900-0000A4000000}">
      <text>
        <r>
          <rPr>
            <b/>
            <sz val="9"/>
            <color indexed="81"/>
            <rFont val="Tahoma"/>
            <family val="2"/>
          </rPr>
          <t>Author:</t>
        </r>
        <r>
          <rPr>
            <sz val="9"/>
            <color indexed="81"/>
            <rFont val="Tahoma"/>
            <family val="2"/>
          </rPr>
          <t xml:space="preserve">
7.14.15:  reiterate
4.14.15:  negative currency impact yoy of 60-70 bp
1/20/2014: impact gross profit by 50 to 70 bps in 2015</t>
        </r>
      </text>
    </comment>
    <comment ref="EH65" authorId="9" shapeId="0" xr:uid="{00000000-0006-0000-0900-0000A5000000}">
      <text>
        <r>
          <rPr>
            <b/>
            <sz val="9"/>
            <color indexed="81"/>
            <rFont val="Tahoma"/>
            <family val="2"/>
          </rPr>
          <t>Author:</t>
        </r>
        <r>
          <rPr>
            <sz val="9"/>
            <color indexed="81"/>
            <rFont val="Tahoma"/>
            <family val="2"/>
          </rPr>
          <t xml:space="preserve">
1.26.2016: negative currency impact of 60 to 80bps to gross margin compared to 2015; reiterated at 2Q earnings on 7.19.2016</t>
        </r>
      </text>
    </comment>
    <comment ref="EL65" authorId="9" shapeId="0" xr:uid="{00000000-0006-0000-0900-0000A6000000}">
      <text>
        <r>
          <rPr>
            <b/>
            <sz val="9"/>
            <color indexed="81"/>
            <rFont val="Tahoma"/>
            <family val="2"/>
          </rPr>
          <t>Author:</t>
        </r>
        <r>
          <rPr>
            <sz val="9"/>
            <color indexed="81"/>
            <rFont val="Tahoma"/>
            <family val="2"/>
          </rPr>
          <t xml:space="preserve">
COGS is 80bps higher</t>
        </r>
      </text>
    </comment>
    <comment ref="EM65" authorId="20" shapeId="0" xr:uid="{00000000-0006-0000-0900-0000A7000000}">
      <text>
        <r>
          <rPr>
            <b/>
            <sz val="9"/>
            <color indexed="81"/>
            <rFont val="Tahoma"/>
            <family val="2"/>
          </rPr>
          <t>Author:</t>
        </r>
        <r>
          <rPr>
            <sz val="9"/>
            <color indexed="81"/>
            <rFont val="Tahoma"/>
            <family val="2"/>
          </rPr>
          <t xml:space="preserve">
4Q16 call-- 20-30bps fx impact to GM compared to 2016. </t>
        </r>
      </text>
    </comment>
    <comment ref="EN65" authorId="11" shapeId="0" xr:uid="{00000000-0006-0000-0900-0000A8000000}">
      <text>
        <r>
          <rPr>
            <b/>
            <sz val="9"/>
            <color indexed="81"/>
            <rFont val="Tahoma"/>
            <family val="2"/>
          </rPr>
          <t>Author:</t>
        </r>
        <r>
          <rPr>
            <sz val="9"/>
            <color indexed="81"/>
            <rFont val="Tahoma"/>
            <family val="2"/>
          </rPr>
          <t xml:space="preserve">
1Q18: COGS down 140bps due to product mix and supply chain efficiency</t>
        </r>
      </text>
    </comment>
    <comment ref="EP65" authorId="11" shapeId="0" xr:uid="{00000000-0006-0000-0900-0000A9000000}">
      <text>
        <r>
          <rPr>
            <b/>
            <sz val="9"/>
            <color indexed="81"/>
            <rFont val="Tahoma"/>
            <family val="2"/>
          </rPr>
          <t>Author:</t>
        </r>
        <r>
          <rPr>
            <sz val="9"/>
            <color indexed="81"/>
            <rFont val="Tahoma"/>
            <family val="2"/>
          </rPr>
          <t xml:space="preserve">
driven by favourable mix and Company0193 step up charge</t>
        </r>
      </text>
    </comment>
    <comment ref="ES65" authorId="21" shapeId="0" xr:uid="{00000000-0006-0000-0900-0000AA000000}">
      <text>
        <r>
          <rPr>
            <b/>
            <sz val="9"/>
            <color indexed="81"/>
            <rFont val="Tahoma"/>
            <family val="2"/>
          </rPr>
          <t>Author:</t>
        </r>
        <r>
          <rPr>
            <sz val="9"/>
            <color indexed="81"/>
            <rFont val="Tahoma"/>
            <family val="2"/>
          </rPr>
          <t xml:space="preserve">
Both cost of products sold and selling, marketing and administrative margins for the quarter slightly improved primarily driven by favorable segment mix.</t>
        </r>
      </text>
    </comment>
    <comment ref="FJ65" authorId="15" shapeId="0" xr:uid="{70256FCD-F628-4FA4-9E04-F1B4B3B1291D}">
      <text>
        <r>
          <rPr>
            <b/>
            <sz val="9"/>
            <color indexed="81"/>
            <rFont val="Tahoma"/>
            <family val="2"/>
          </rPr>
          <t>Author:</t>
        </r>
        <r>
          <rPr>
            <sz val="9"/>
            <color indexed="81"/>
            <rFont val="Tahoma"/>
            <family val="2"/>
          </rPr>
          <t xml:space="preserve">
Company1830 HC conferene: "product supply issue has largely abated with some very limited instances. It's really about the cost in the P&amp;L. That would probably be better in Q4 than what we're seeing currently in Q3."
3Q22 EPS call: gross margin erosion in comparison to 3Q21 due to both currency and higher input costs</t>
        </r>
      </text>
    </comment>
    <comment ref="FM65" authorId="0" shapeId="0" xr:uid="{5A96DA47-139B-49A6-9EF8-575652764F01}">
      <text>
        <r>
          <rPr>
            <b/>
            <sz val="9"/>
            <color indexed="81"/>
            <rFont val="Tahoma"/>
            <family val="2"/>
          </rPr>
          <t>Author:</t>
        </r>
        <r>
          <rPr>
            <sz val="9"/>
            <color indexed="81"/>
            <rFont val="Tahoma"/>
            <family val="2"/>
          </rPr>
          <t xml:space="preserve">
 • Inventory was built at higher cost in 2022 and expected to flow into 1H23 (GM margin pressure)
Confirmed in Company0701 Conference - 1H23 will see a slight erosion in GM, then 2H23 will resume steady state</t>
        </r>
      </text>
    </comment>
    <comment ref="FN65" authorId="0" shapeId="0" xr:uid="{85ADD25B-680F-47E5-B47E-33482BCED12E}">
      <text>
        <r>
          <rPr>
            <b/>
            <sz val="9"/>
            <color indexed="81"/>
            <rFont val="Tahoma"/>
            <family val="2"/>
          </rPr>
          <t>Author:</t>
        </r>
        <r>
          <rPr>
            <sz val="9"/>
            <color indexed="81"/>
            <rFont val="Tahoma"/>
            <family val="2"/>
          </rPr>
          <t xml:space="preserve">
 • Inventory was built at higher cost in 2022 and expected to flow into 1H23 (GM margin pressure)
Confirmed in Company0701 Conference - 1H23 will see a slight erosion in GM, then 2H23 will resume steady state</t>
        </r>
      </text>
    </comment>
    <comment ref="FW65" authorId="0" shapeId="0" xr:uid="{04333C04-226E-42D9-A4CF-70E716F3D8C6}">
      <text>
        <r>
          <rPr>
            <b/>
            <sz val="9"/>
            <color indexed="81"/>
            <rFont val="Tahoma"/>
            <family val="2"/>
          </rPr>
          <t>Author:</t>
        </r>
        <r>
          <rPr>
            <sz val="9"/>
            <color indexed="81"/>
            <rFont val="Tahoma"/>
            <family val="2"/>
          </rPr>
          <t xml:space="preserve">
4Q23: Impact of Company1595 acquisition</t>
        </r>
      </text>
    </comment>
    <comment ref="FY65" authorId="0" shapeId="0" xr:uid="{D9A1AB7E-CDC3-4984-9A93-BA6F08579551}">
      <text>
        <r>
          <rPr>
            <b/>
            <sz val="9"/>
            <color indexed="81"/>
            <rFont val="Tahoma"/>
            <family val="2"/>
          </rPr>
          <t>Author:</t>
        </r>
        <r>
          <rPr>
            <sz val="9"/>
            <color indexed="81"/>
            <rFont val="Tahoma"/>
            <family val="2"/>
          </rPr>
          <t xml:space="preserve">
4Q23: Impact of Company1595 acquisition</t>
        </r>
      </text>
    </comment>
    <comment ref="FZ65" authorId="0" shapeId="0" xr:uid="{AD8277FD-F2FC-498D-B8E8-C9D2E3750EC5}">
      <text>
        <r>
          <rPr>
            <b/>
            <sz val="9"/>
            <color indexed="81"/>
            <rFont val="Tahoma"/>
            <family val="2"/>
          </rPr>
          <t>Author:</t>
        </r>
        <r>
          <rPr>
            <sz val="9"/>
            <color indexed="81"/>
            <rFont val="Tahoma"/>
            <family val="2"/>
          </rPr>
          <t xml:space="preserve">
4Q23: Impact of Company1595 acquisition</t>
        </r>
      </text>
    </comment>
    <comment ref="GA65" authorId="0" shapeId="0" xr:uid="{C46E0215-B0B9-42B4-88C7-24E17B268CC9}">
      <text>
        <r>
          <rPr>
            <b/>
            <sz val="9"/>
            <color indexed="81"/>
            <rFont val="Tahoma"/>
            <family val="2"/>
          </rPr>
          <t>Author:</t>
        </r>
        <r>
          <rPr>
            <sz val="9"/>
            <color indexed="81"/>
            <rFont val="Tahoma"/>
            <family val="2"/>
          </rPr>
          <t xml:space="preserve">
4Q23: Impact of Company1595 acquisition</t>
        </r>
      </text>
    </comment>
    <comment ref="DE66" authorId="2" shapeId="0" xr:uid="{00000000-0006-0000-0900-0000AC000000}">
      <text>
        <r>
          <rPr>
            <b/>
            <sz val="8"/>
            <color indexed="81"/>
            <rFont val="Tahoma"/>
            <family val="2"/>
          </rPr>
          <t>Author:</t>
        </r>
        <r>
          <rPr>
            <sz val="8"/>
            <color indexed="81"/>
            <rFont val="Tahoma"/>
            <family val="2"/>
          </rPr>
          <t xml:space="preserve">
1Q11 CC: up 80bp vs last year investment in MD&amp;D</t>
        </r>
      </text>
    </comment>
    <comment ref="DN66" authorId="29" shapeId="0" xr:uid="{00000000-0006-0000-0900-0000AD000000}">
      <text>
        <r>
          <rPr>
            <b/>
            <sz val="8"/>
            <color indexed="81"/>
            <rFont val="Tahoma"/>
            <family val="2"/>
          </rPr>
          <t>Author:</t>
        </r>
        <r>
          <rPr>
            <sz val="8"/>
            <color indexed="81"/>
            <rFont val="Tahoma"/>
            <family val="2"/>
          </rPr>
          <t xml:space="preserve">
4.17.12: Lower SG&amp;A driving much of the pre tax op mgn improvemetn YoY</t>
        </r>
      </text>
    </comment>
    <comment ref="DS66" authorId="6" shapeId="0" xr:uid="{00000000-0006-0000-0900-0000AE000000}">
      <text>
        <r>
          <rPr>
            <b/>
            <sz val="8"/>
            <color indexed="81"/>
            <rFont val="Tahoma"/>
            <family val="2"/>
          </rPr>
          <t>Author:</t>
        </r>
        <r>
          <rPr>
            <sz val="8"/>
            <color indexed="81"/>
            <rFont val="Tahoma"/>
            <family val="2"/>
          </rPr>
          <t xml:space="preserve">
1.22.13: Some operating margin improvement again in the SG&amp;A line</t>
        </r>
      </text>
    </comment>
    <comment ref="DE67" authorId="2" shapeId="0" xr:uid="{00000000-0006-0000-0900-0000AF000000}">
      <text>
        <r>
          <rPr>
            <b/>
            <sz val="8"/>
            <color indexed="81"/>
            <rFont val="Tahoma"/>
            <family val="2"/>
          </rPr>
          <t>Author:</t>
        </r>
        <r>
          <rPr>
            <sz val="8"/>
            <color indexed="81"/>
            <rFont val="Tahoma"/>
            <family val="2"/>
          </rPr>
          <t xml:space="preserve">
1Q11: Up because of timing of milestone payments</t>
        </r>
      </text>
    </comment>
    <comment ref="DN67" authorId="29" shapeId="0" xr:uid="{00000000-0006-0000-0900-0000B0000000}">
      <text>
        <r>
          <rPr>
            <b/>
            <sz val="8"/>
            <color indexed="81"/>
            <rFont val="Tahoma"/>
            <family val="2"/>
          </rPr>
          <t>Author:</t>
        </r>
        <r>
          <rPr>
            <sz val="8"/>
            <color indexed="81"/>
            <rFont val="Tahoma"/>
            <family val="2"/>
          </rPr>
          <t xml:space="preserve">
4.17.12: Little bit lower R&amp;D but higher after 1Q due to no milestone pmts in 1Q</t>
        </r>
      </text>
    </comment>
    <comment ref="DS67" authorId="6" shapeId="0" xr:uid="{00000000-0006-0000-0900-0000B1000000}">
      <text>
        <r>
          <rPr>
            <b/>
            <sz val="8"/>
            <color indexed="81"/>
            <rFont val="Tahoma"/>
            <family val="2"/>
          </rPr>
          <t>Author:</t>
        </r>
        <r>
          <rPr>
            <sz val="8"/>
            <color indexed="81"/>
            <rFont val="Tahoma"/>
            <family val="2"/>
          </rPr>
          <t xml:space="preserve">
1.22.13: R&amp;D to be similar in 2013 relative to 2012
Person1247, we did see actually in 2013 a pretty dramatic reduction in SG&amp;A costs. Sorry in 2012. Now,
in 2013, we won't have as significant of an overall pre-tax margin expansion as we saw in 2012. But we will still
expand these operating margins, some again in the SG&amp;A line, not so much in the R&amp;D line but we will see cost
improvements kick in, in the COGS line and 2013.
</t>
        </r>
      </text>
    </comment>
    <comment ref="EP67" authorId="11" shapeId="0" xr:uid="{00000000-0006-0000-0900-0000B2000000}">
      <text>
        <r>
          <rPr>
            <b/>
            <sz val="9"/>
            <color indexed="81"/>
            <rFont val="Tahoma"/>
            <family val="2"/>
          </rPr>
          <t>Author:</t>
        </r>
        <r>
          <rPr>
            <sz val="9"/>
            <color indexed="81"/>
            <rFont val="Tahoma"/>
            <family val="2"/>
          </rPr>
          <t xml:space="preserve">
lower yoy due to timing of investments</t>
        </r>
      </text>
    </comment>
    <comment ref="ER67" authorId="11" shapeId="0" xr:uid="{00000000-0006-0000-0900-0000B3000000}">
      <text>
        <r>
          <rPr>
            <b/>
            <sz val="9"/>
            <color indexed="81"/>
            <rFont val="Tahoma"/>
            <family val="2"/>
          </rPr>
          <t>Author:</t>
        </r>
        <r>
          <rPr>
            <sz val="9"/>
            <color indexed="81"/>
            <rFont val="Tahoma"/>
            <family val="2"/>
          </rPr>
          <t xml:space="preserve">
1Q18: due to tax reform, $30bn investment in US Capex and R&amp;D 2018-2021 (&gt;15% increase over previously expected)</t>
        </r>
      </text>
    </comment>
    <comment ref="EV67" authorId="13" shapeId="0" xr:uid="{00000000-0006-0000-0900-0000B4000000}">
      <text>
        <r>
          <rPr>
            <b/>
            <sz val="9"/>
            <color indexed="81"/>
            <rFont val="Tahoma"/>
            <family val="2"/>
          </rPr>
          <t>Author:</t>
        </r>
        <r>
          <rPr>
            <sz val="9"/>
            <color indexed="81"/>
            <rFont val="Tahoma"/>
            <family val="2"/>
          </rPr>
          <t xml:space="preserve">
. With EPS, we are looking at the back half as investing more heavily in R&amp;D as we've consistently done for a number of years now.</t>
        </r>
      </text>
    </comment>
    <comment ref="FG67" authorId="12" shapeId="0" xr:uid="{00000000-0006-0000-0900-0000B5000000}">
      <text>
        <r>
          <rPr>
            <b/>
            <sz val="9"/>
            <color indexed="81"/>
            <rFont val="Tahoma"/>
            <family val="2"/>
          </rPr>
          <t>Author:</t>
        </r>
        <r>
          <rPr>
            <sz val="9"/>
            <color indexed="81"/>
            <rFont val="Tahoma"/>
            <family val="2"/>
          </rPr>
          <t xml:space="preserve">
3Q20: ~14% of sales, ex-vax</t>
        </r>
      </text>
    </comment>
    <comment ref="GC67" authorId="0" shapeId="0" xr:uid="{AE72075C-D228-49D2-9302-7BA3243936B2}">
      <text>
        <r>
          <rPr>
            <sz val="9"/>
            <color indexed="81"/>
            <rFont val="Tahoma"/>
            <family val="2"/>
          </rPr>
          <t>In 3Q24, 30bps increase excluding IPR&amp;D ($1.25bn)</t>
        </r>
      </text>
    </comment>
    <comment ref="DF68" authorId="2" shapeId="0" xr:uid="{00000000-0006-0000-0900-0000B6000000}">
      <text>
        <r>
          <rPr>
            <b/>
            <sz val="8"/>
            <color indexed="81"/>
            <rFont val="Tahoma"/>
            <family val="2"/>
          </rPr>
          <t>Author:</t>
        </r>
        <r>
          <rPr>
            <sz val="8"/>
            <color indexed="81"/>
            <rFont val="Tahoma"/>
            <family val="2"/>
          </rPr>
          <t xml:space="preserve">
Increased expenses associated with Company0705 acquisition, new product launches</t>
        </r>
      </text>
    </comment>
    <comment ref="DI68" authorId="2" shapeId="0" xr:uid="{00000000-0006-0000-0900-0000B7000000}">
      <text>
        <r>
          <rPr>
            <b/>
            <sz val="8"/>
            <color indexed="81"/>
            <rFont val="Tahoma"/>
            <family val="2"/>
          </rPr>
          <t xml:space="preserve">Author: 1.25.11. HC reform, EU austerity, pricing conditions, negative impact pre-tax op margins of 0.5-1%
</t>
        </r>
      </text>
    </comment>
    <comment ref="DN68" authorId="5" shapeId="0" xr:uid="{00000000-0006-0000-0900-0000B8000000}">
      <text>
        <r>
          <rPr>
            <b/>
            <sz val="8"/>
            <color indexed="81"/>
            <rFont val="Tahoma"/>
            <family val="2"/>
          </rPr>
          <t xml:space="preserve">Author:
4.17.12: </t>
        </r>
        <r>
          <rPr>
            <sz val="8"/>
            <color indexed="81"/>
            <rFont val="Tahoma"/>
            <family val="2"/>
          </rPr>
          <t>increase by 100-150 basis points (mostly from SG&amp;A and little bit lower R&amp;D)</t>
        </r>
        <r>
          <rPr>
            <b/>
            <sz val="8"/>
            <color indexed="81"/>
            <rFont val="Tahoma"/>
            <family val="2"/>
          </rPr>
          <t xml:space="preserve">
</t>
        </r>
        <r>
          <rPr>
            <sz val="8"/>
            <color indexed="81"/>
            <rFont val="Tahoma"/>
            <family val="2"/>
          </rPr>
          <t xml:space="preserve">
1.24.12: increase by 100-150 basis points</t>
        </r>
      </text>
    </comment>
    <comment ref="DS68" authorId="6" shapeId="0" xr:uid="{00000000-0006-0000-0900-0000B9000000}">
      <text>
        <r>
          <rPr>
            <b/>
            <sz val="8"/>
            <color indexed="81"/>
            <rFont val="Tahoma"/>
            <family val="2"/>
          </rPr>
          <t>Author:</t>
        </r>
        <r>
          <rPr>
            <sz val="8"/>
            <color indexed="81"/>
            <rFont val="Tahoma"/>
            <family val="2"/>
          </rPr>
          <t xml:space="preserve">
10.15.13: operating margins will improve by &gt;100bp vs 2012
1.22.13: "Operating margins will show a slight improvement in 2013 over 2012 levels."</t>
        </r>
      </text>
    </comment>
    <comment ref="DW68" authorId="8" shapeId="0" xr:uid="{00000000-0006-0000-0900-0000BA000000}">
      <text>
        <r>
          <rPr>
            <b/>
            <sz val="9"/>
            <color indexed="81"/>
            <rFont val="Tahoma"/>
            <family val="2"/>
          </rPr>
          <t>Author:</t>
        </r>
        <r>
          <rPr>
            <sz val="9"/>
            <color indexed="81"/>
            <rFont val="Tahoma"/>
            <family val="2"/>
          </rPr>
          <t xml:space="preserve">
1/20/15: 60bp decline from 4Q13 due to timing of investments</t>
        </r>
      </text>
    </comment>
    <comment ref="DX68" authorId="7" shapeId="0" xr:uid="{00000000-0006-0000-0900-0000BB000000}">
      <text>
        <r>
          <rPr>
            <b/>
            <sz val="9"/>
            <color indexed="81"/>
            <rFont val="Tahoma"/>
            <family val="2"/>
          </rPr>
          <t>Author:</t>
        </r>
        <r>
          <rPr>
            <sz val="9"/>
            <color indexed="81"/>
            <rFont val="Tahoma"/>
            <family val="2"/>
          </rPr>
          <t xml:space="preserve">
1.20.15 "190bp improvement, with more than 50% coming from Product0272"
7.15.14:  our pretax operating margins will show a stronger improvement in 2014 over 2013 levels than we previously expected
1.21.14: pre-tax operating margins will show a slight improvement in 2014 over 2013 
levels</t>
        </r>
      </text>
    </comment>
    <comment ref="EC68" authorId="8" shapeId="0" xr:uid="{00000000-0006-0000-0900-0000BC000000}">
      <text>
        <r>
          <rPr>
            <b/>
            <sz val="9"/>
            <color indexed="81"/>
            <rFont val="Tahoma"/>
            <family val="2"/>
          </rPr>
          <t>Author:</t>
        </r>
        <r>
          <rPr>
            <sz val="9"/>
            <color indexed="81"/>
            <rFont val="Tahoma"/>
            <family val="2"/>
          </rPr>
          <t xml:space="preserve">
1/20/15: in 2014, more than 95bp of operating margin improvement was from Product0272 ('more than half of 190bp improvement')</t>
        </r>
      </text>
    </comment>
    <comment ref="EH68" authorId="9" shapeId="0" xr:uid="{00000000-0006-0000-0900-0000BD000000}">
      <text>
        <r>
          <rPr>
            <b/>
            <sz val="9"/>
            <color indexed="81"/>
            <rFont val="Tahoma"/>
            <family val="2"/>
          </rPr>
          <t>Author:</t>
        </r>
        <r>
          <rPr>
            <sz val="9"/>
            <color indexed="81"/>
            <rFont val="Tahoma"/>
            <family val="2"/>
          </rPr>
          <t xml:space="preserve">
7.19.2016: reiterated
1.26.2016: pre-tax op margins to increase more than 200bps</t>
        </r>
      </text>
    </comment>
    <comment ref="EM68" authorId="9" shapeId="0" xr:uid="{00000000-0006-0000-0900-0000BE000000}">
      <text>
        <r>
          <rPr>
            <b/>
            <sz val="9"/>
            <color indexed="81"/>
            <rFont val="Tahoma"/>
            <family val="2"/>
          </rPr>
          <t>Author:</t>
        </r>
        <r>
          <rPr>
            <sz val="9"/>
            <color indexed="81"/>
            <rFont val="Tahoma"/>
            <family val="2"/>
          </rPr>
          <t xml:space="preserve">
pre-tax OM decline 140bps</t>
        </r>
      </text>
    </comment>
    <comment ref="ER68" authorId="11" shapeId="0" xr:uid="{00000000-0006-0000-0900-0000BF000000}">
      <text>
        <r>
          <rPr>
            <b/>
            <sz val="9"/>
            <color indexed="81"/>
            <rFont val="Tahoma"/>
            <family val="2"/>
          </rPr>
          <t>Author:</t>
        </r>
        <r>
          <rPr>
            <sz val="9"/>
            <color indexed="81"/>
            <rFont val="Tahoma"/>
            <family val="2"/>
          </rPr>
          <t xml:space="preserve">
3Q18: FY improvement of "at least" 150bps</t>
        </r>
      </text>
    </comment>
    <comment ref="FG68" authorId="13" shapeId="0" xr:uid="{00000000-0006-0000-0900-0000C0000000}">
      <text>
        <r>
          <rPr>
            <b/>
            <sz val="9"/>
            <color indexed="81"/>
            <rFont val="Tahoma"/>
            <family val="2"/>
          </rPr>
          <t>Author:</t>
        </r>
        <r>
          <rPr>
            <sz val="9"/>
            <color indexed="81"/>
            <rFont val="Tahoma"/>
            <family val="2"/>
          </rPr>
          <t xml:space="preserve">
2Q21: Reit
4Q20: "&gt;200 bps improvement" but ex-vax
3q20: op margin in line with 2019 of 31.3%
2q20: noted on call that op margins would be above 2020</t>
        </r>
      </text>
    </comment>
    <comment ref="FL68" authorId="15" shapeId="0" xr:uid="{00000000-0006-0000-0900-0000C1000000}">
      <text>
        <r>
          <rPr>
            <b/>
            <sz val="9"/>
            <color indexed="81"/>
            <rFont val="Tahoma"/>
            <family val="2"/>
          </rPr>
          <t>Author:</t>
        </r>
        <r>
          <rPr>
            <sz val="9"/>
            <color indexed="81"/>
            <rFont val="Tahoma"/>
            <family val="2"/>
          </rPr>
          <t xml:space="preserve">
3Q22: ~50bps decline
2Q22: approximately flat
1Q22: reiterate 
4Q21: ~50bps improvement
</t>
        </r>
      </text>
    </comment>
    <comment ref="FX68" authorId="16" shapeId="0" xr:uid="{58E81BBC-278C-45FD-8934-6E3F3D448BF3}">
      <text>
        <r>
          <rPr>
            <b/>
            <sz val="9"/>
            <color indexed="81"/>
            <rFont val="Tahoma"/>
            <family val="2"/>
          </rPr>
          <t>Author:</t>
        </r>
        <r>
          <rPr>
            <sz val="9"/>
            <color indexed="81"/>
            <rFont val="Tahoma"/>
            <family val="2"/>
          </rPr>
          <t xml:space="preserve">
Guidance
2023 EBR: Flat to FY22
3Q23 Update: Reit
2Q23 Update: Improvement of ~50bps
2Q23: Slight improvement YoY (increasing due to expense mgmt)
1Q23: Approximately flat YoY
4Q22: Approximately flat YoY</t>
        </r>
      </text>
    </comment>
    <comment ref="GC68" authorId="0" shapeId="0" xr:uid="{6941AB1E-D323-49EF-B5C9-224AC3DB3D37}">
      <text>
        <r>
          <rPr>
            <b/>
            <sz val="9"/>
            <color indexed="81"/>
            <rFont val="Tahoma"/>
            <family val="2"/>
          </rPr>
          <t>Author:</t>
        </r>
        <r>
          <rPr>
            <sz val="9"/>
            <color indexed="81"/>
            <rFont val="Tahoma"/>
            <family val="2"/>
          </rPr>
          <t xml:space="preserve">
4Q23: 50bps improvement vs. FY23
2Q24: 120bps decline</t>
        </r>
      </text>
    </comment>
    <comment ref="EH70" authorId="9" shapeId="0" xr:uid="{00000000-0006-0000-0900-0000C2000000}">
      <text>
        <r>
          <rPr>
            <b/>
            <sz val="9"/>
            <color indexed="81"/>
            <rFont val="Tahoma"/>
            <family val="2"/>
          </rPr>
          <t>Author:</t>
        </r>
        <r>
          <rPr>
            <sz val="9"/>
            <color indexed="81"/>
            <rFont val="Tahoma"/>
            <family val="2"/>
          </rPr>
          <t xml:space="preserve">
7.19.2016: Can still improve over last year despite lower one time gains</t>
        </r>
      </text>
    </comment>
    <comment ref="ER70" authorId="9" shapeId="0" xr:uid="{00000000-0006-0000-0900-0000C3000000}">
      <text>
        <r>
          <rPr>
            <b/>
            <sz val="9"/>
            <color indexed="81"/>
            <rFont val="Tahoma"/>
            <family val="2"/>
          </rPr>
          <t>Author:</t>
        </r>
        <r>
          <rPr>
            <sz val="9"/>
            <color indexed="81"/>
            <rFont val="Tahoma"/>
            <family val="2"/>
          </rPr>
          <t xml:space="preserve">
1Q18: increase 150bps
4Q17: pre tax OM to increase 100bps</t>
        </r>
      </text>
    </comment>
    <comment ref="GC70" authorId="22" shapeId="0" xr:uid="{2DE25A54-4EFB-4C1E-8508-58B7E4840A44}">
      <text>
        <r>
          <rPr>
            <b/>
            <sz val="9"/>
            <color indexed="81"/>
            <rFont val="Tahoma"/>
            <family val="2"/>
          </rPr>
          <t>Author:</t>
        </r>
        <r>
          <rPr>
            <sz val="9"/>
            <color indexed="81"/>
            <rFont val="Tahoma"/>
            <family val="2"/>
          </rPr>
          <t xml:space="preserve">
2Q24: 120bps decline in pre-tax operating margins
(previous model had pretax income margin at 35%)</t>
        </r>
      </text>
    </comment>
    <comment ref="BZ71" authorId="23" shapeId="0" xr:uid="{00000000-0006-0000-0900-0000C4000000}">
      <text>
        <r>
          <rPr>
            <b/>
            <sz val="8"/>
            <color indexed="81"/>
            <rFont val="Tahoma"/>
            <family val="2"/>
          </rPr>
          <t>Author:</t>
        </r>
        <r>
          <rPr>
            <sz val="8"/>
            <color indexed="81"/>
            <rFont val="Tahoma"/>
            <family val="2"/>
          </rPr>
          <t xml:space="preserve">
4/13: 28.0 to 28.5
7/13: 28 to 28.5</t>
        </r>
      </text>
    </comment>
    <comment ref="CE71" authorId="23" shapeId="0" xr:uid="{00000000-0006-0000-0900-0000C5000000}">
      <text>
        <r>
          <rPr>
            <b/>
            <sz val="8"/>
            <color indexed="81"/>
            <rFont val="Tahoma"/>
            <family val="2"/>
          </rPr>
          <t>Author:</t>
        </r>
        <r>
          <rPr>
            <sz val="8"/>
            <color indexed="81"/>
            <rFont val="Tahoma"/>
            <family val="2"/>
          </rPr>
          <t xml:space="preserve">
4/13: 28.0 to 28.5
7/13: 28 to 28.5</t>
        </r>
      </text>
    </comment>
    <comment ref="CJ71" authorId="31" shapeId="0" xr:uid="{00000000-0006-0000-0900-0000C6000000}">
      <text>
        <r>
          <rPr>
            <b/>
            <sz val="8"/>
            <color indexed="81"/>
            <rFont val="Tahoma"/>
            <family val="2"/>
          </rPr>
          <t>Author:</t>
        </r>
        <r>
          <rPr>
            <sz val="8"/>
            <color indexed="81"/>
            <rFont val="Tahoma"/>
            <family val="2"/>
          </rPr>
          <t xml:space="preserve">
7/18 guid: 24.5%</t>
        </r>
      </text>
    </comment>
    <comment ref="CO71" authorId="3" shapeId="0" xr:uid="{00000000-0006-0000-0900-0000C7000000}">
      <text>
        <r>
          <rPr>
            <b/>
            <sz val="8"/>
            <color indexed="81"/>
            <rFont val="Tahoma"/>
            <family val="2"/>
          </rPr>
          <t>Author:</t>
        </r>
        <r>
          <rPr>
            <sz val="8"/>
            <color indexed="81"/>
            <rFont val="Tahoma"/>
            <family val="2"/>
          </rPr>
          <t xml:space="preserve">
23.5%-24%</t>
        </r>
      </text>
    </comment>
    <comment ref="CT71" authorId="24" shapeId="0" xr:uid="{00000000-0006-0000-0900-0000C8000000}">
      <text>
        <r>
          <rPr>
            <b/>
            <sz val="8"/>
            <color indexed="81"/>
            <rFont val="Tahoma"/>
            <family val="2"/>
          </rPr>
          <t>Author:</t>
        </r>
        <r>
          <rPr>
            <sz val="8"/>
            <color indexed="81"/>
            <rFont val="Tahoma"/>
            <family val="2"/>
          </rPr>
          <t xml:space="preserve">
1.22.2008 guid: 24.0%-24.5%</t>
        </r>
      </text>
    </comment>
    <comment ref="CY71" authorId="3" shapeId="0" xr:uid="{00000000-0006-0000-0900-0000C9000000}">
      <text>
        <r>
          <rPr>
            <b/>
            <sz val="8"/>
            <color indexed="81"/>
            <rFont val="Tahoma"/>
            <family val="2"/>
          </rPr>
          <t>Author:</t>
        </r>
        <r>
          <rPr>
            <sz val="8"/>
            <color indexed="81"/>
            <rFont val="Tahoma"/>
            <family val="2"/>
          </rPr>
          <t xml:space="preserve">
1.20.2009 guidance 24-25%, due to lower pharma mix
7.14.2009 guid 24-25%
10.13.2009 23-23.5%</t>
        </r>
      </text>
    </comment>
    <comment ref="DC71" authorId="2" shapeId="0" xr:uid="{00000000-0006-0000-0900-0000CA000000}">
      <text>
        <r>
          <rPr>
            <b/>
            <sz val="8"/>
            <color indexed="81"/>
            <rFont val="Tahoma"/>
            <family val="2"/>
          </rPr>
          <t>Author:</t>
        </r>
        <r>
          <rPr>
            <sz val="8"/>
            <color indexed="81"/>
            <rFont val="Tahoma"/>
            <family val="2"/>
          </rPr>
          <t xml:space="preserve">
1.25.11- obtained R&amp;D tax credit in 4Q10</t>
        </r>
      </text>
    </comment>
    <comment ref="DI71" authorId="2" shapeId="0" xr:uid="{00000000-0006-0000-0900-0000CB000000}">
      <text>
        <r>
          <rPr>
            <b/>
            <sz val="8"/>
            <color indexed="81"/>
            <rFont val="Tahoma"/>
            <family val="2"/>
          </rPr>
          <t>Author:</t>
        </r>
        <r>
          <rPr>
            <sz val="8"/>
            <color indexed="81"/>
            <rFont val="Tahoma"/>
            <family val="2"/>
          </rPr>
          <t xml:space="preserve">
10.18.2011: 21-22%
7.19.2011: 21-22%
4.19.2011: 22-23%
1.25.11: 22-23%, implementing tax strategies</t>
        </r>
      </text>
    </comment>
    <comment ref="DN71" authorId="5" shapeId="0" xr:uid="{00000000-0006-0000-0900-0000CC000000}">
      <text>
        <r>
          <rPr>
            <b/>
            <sz val="8"/>
            <color indexed="81"/>
            <rFont val="Tahoma"/>
            <family val="2"/>
          </rPr>
          <t xml:space="preserve">Author:
1.8.13 </t>
        </r>
        <r>
          <rPr>
            <sz val="8"/>
            <color indexed="81"/>
            <rFont val="Tahoma"/>
            <family val="2"/>
          </rPr>
          <t xml:space="preserve">R&amp;D tax credit excluded from 4Q12 (it was in guidance)
</t>
        </r>
        <r>
          <rPr>
            <b/>
            <sz val="8"/>
            <color indexed="81"/>
            <rFont val="Tahoma"/>
            <family val="2"/>
          </rPr>
          <t xml:space="preserve">
Author25:
4.17.12: </t>
        </r>
        <r>
          <rPr>
            <sz val="8"/>
            <color indexed="81"/>
            <rFont val="Tahoma"/>
            <family val="2"/>
          </rPr>
          <t>21-22% (lumpiness from R&amp;D 
tax credit)
1.24.12: 21-22%; The effective tax rate for 2012 includes an assumption that the federal R&amp;D tax credit will be renewed by congress and reflects changes in the mix
of business.</t>
        </r>
      </text>
    </comment>
    <comment ref="DO71" authorId="18" shapeId="0" xr:uid="{00000000-0006-0000-0900-0000CD000000}">
      <text>
        <r>
          <rPr>
            <b/>
            <sz val="8"/>
            <color indexed="81"/>
            <rFont val="Tahoma"/>
            <family val="2"/>
          </rPr>
          <t>Author:</t>
        </r>
        <r>
          <rPr>
            <sz val="8"/>
            <color indexed="81"/>
            <rFont val="Tahoma"/>
            <family val="2"/>
          </rPr>
          <t xml:space="preserve">
2012 R&amp;D tax credit pushed into 1Q13</t>
        </r>
      </text>
    </comment>
    <comment ref="DS71" authorId="6" shapeId="0" xr:uid="{00000000-0006-0000-0900-0000CE000000}">
      <text>
        <r>
          <rPr>
            <b/>
            <sz val="8"/>
            <color indexed="81"/>
            <rFont val="Tahoma"/>
            <family val="2"/>
          </rPr>
          <t>Author:</t>
        </r>
        <r>
          <rPr>
            <sz val="8"/>
            <color indexed="81"/>
            <rFont val="Tahoma"/>
            <family val="2"/>
          </rPr>
          <t xml:space="preserve">
10.15.13: 19-19.5% tax rate, slightly lower than prior
7.16.13 19-20% tax rate, slightly lower than prior guidance
1.22.13: 20% effective tax rate, will pursue opportunities in this area to improve upon rate throughout the year</t>
        </r>
      </text>
    </comment>
    <comment ref="DX71" authorId="7" shapeId="0" xr:uid="{00000000-0006-0000-0900-0000CF000000}">
      <text>
        <r>
          <rPr>
            <b/>
            <sz val="9"/>
            <color indexed="81"/>
            <rFont val="Tahoma"/>
            <family val="2"/>
          </rPr>
          <t xml:space="preserve">Author:
</t>
        </r>
        <r>
          <rPr>
            <sz val="9"/>
            <color indexed="81"/>
            <rFont val="Tahoma"/>
            <family val="2"/>
          </rPr>
          <t>10.14.14: 20-21%</t>
        </r>
        <r>
          <rPr>
            <b/>
            <sz val="9"/>
            <color indexed="81"/>
            <rFont val="Tahoma"/>
            <family val="2"/>
          </rPr>
          <t xml:space="preserve">
</t>
        </r>
        <r>
          <rPr>
            <sz val="9"/>
            <color indexed="81"/>
            <rFont val="Tahoma"/>
            <family val="2"/>
          </rPr>
          <t>4.15.14:  19-20%</t>
        </r>
        <r>
          <rPr>
            <b/>
            <sz val="9"/>
            <color indexed="81"/>
            <rFont val="Tahoma"/>
            <family val="2"/>
          </rPr>
          <t xml:space="preserve">
</t>
        </r>
        <r>
          <rPr>
            <sz val="9"/>
            <color indexed="81"/>
            <rFont val="Tahoma"/>
            <family val="2"/>
          </rPr>
          <t xml:space="preserve">
1.21.14: 18.5%-19%
</t>
        </r>
      </text>
    </comment>
    <comment ref="EC71" authorId="8" shapeId="0" xr:uid="{00000000-0006-0000-0900-0000D0000000}">
      <text>
        <r>
          <rPr>
            <b/>
            <sz val="9"/>
            <color indexed="81"/>
            <rFont val="Tahoma"/>
            <family val="2"/>
          </rPr>
          <t>Author:</t>
        </r>
        <r>
          <rPr>
            <sz val="9"/>
            <color indexed="81"/>
            <rFont val="Tahoma"/>
            <family val="2"/>
          </rPr>
          <t xml:space="preserve">
7.14.15:  reiterate
4.14.15: 21-22% assuming R&amp;D tax credit is approved.  If not approved 0.5% negative impact
1/20/15: 20 to 21%, negative impact of 0.5% if R&amp;D tax credit not approved</t>
        </r>
      </text>
    </comment>
    <comment ref="EH71" authorId="9" shapeId="0" xr:uid="{00000000-0006-0000-0900-0000D1000000}">
      <text>
        <r>
          <rPr>
            <sz val="9"/>
            <color indexed="81"/>
            <rFont val="Tahoma"/>
            <family val="2"/>
          </rPr>
          <t>Author: 18%-18.5%
7.19.2016: 18.5%-19%
4.19.2016: 19-20%
1.26.2016: effective tax rate in the range of 19.5%-20.5%</t>
        </r>
      </text>
    </comment>
    <comment ref="EM71" authorId="9" shapeId="0" xr:uid="{00000000-0006-0000-0900-0000D2000000}">
      <text>
        <r>
          <rPr>
            <b/>
            <sz val="9"/>
            <color indexed="81"/>
            <rFont val="Tahoma"/>
            <family val="2"/>
          </rPr>
          <t>Author:</t>
        </r>
        <r>
          <rPr>
            <sz val="9"/>
            <color indexed="81"/>
            <rFont val="Tahoma"/>
            <family val="2"/>
          </rPr>
          <t xml:space="preserve">
7.18.2017: 19-20%</t>
        </r>
      </text>
    </comment>
    <comment ref="ER71" authorId="11" shapeId="0" xr:uid="{00000000-0006-0000-0900-0000D3000000}">
      <text>
        <r>
          <rPr>
            <b/>
            <sz val="9"/>
            <color indexed="81"/>
            <rFont val="Tahoma"/>
            <family val="2"/>
          </rPr>
          <t>Author:</t>
        </r>
        <r>
          <rPr>
            <sz val="9"/>
            <color indexed="81"/>
            <rFont val="Tahoma"/>
            <family val="2"/>
          </rPr>
          <t xml:space="preserve">
3Q18: 17.5-18.0%
2Q18: 17-18%
1Q18: reiterated
4Q17: 16.5% - 18%</t>
        </r>
      </text>
    </comment>
    <comment ref="EW71" authorId="13" shapeId="0" xr:uid="{00000000-0006-0000-0900-0000D4000000}">
      <text>
        <r>
          <rPr>
            <b/>
            <sz val="9"/>
            <color indexed="81"/>
            <rFont val="Tahoma"/>
            <family val="2"/>
          </rPr>
          <t>Author:</t>
        </r>
        <r>
          <rPr>
            <sz val="9"/>
            <color indexed="81"/>
            <rFont val="Tahoma"/>
            <family val="2"/>
          </rPr>
          <t xml:space="preserve">
17-18% guide</t>
        </r>
      </text>
    </comment>
    <comment ref="FB71" authorId="14" shapeId="0" xr:uid="{00000000-0006-0000-0900-0000D5000000}">
      <text>
        <r>
          <rPr>
            <b/>
            <sz val="9"/>
            <color indexed="81"/>
            <rFont val="Tahoma"/>
            <family val="2"/>
          </rPr>
          <t>Author:</t>
        </r>
        <r>
          <rPr>
            <sz val="9"/>
            <color indexed="81"/>
            <rFont val="Tahoma"/>
            <family val="2"/>
          </rPr>
          <t xml:space="preserve">
3q20: 17-17.5%
2Q20: 16.5%-17.5%
1Q20: 16.5%-18%
4Q19: 17.5% - 18.5%</t>
        </r>
      </text>
    </comment>
    <comment ref="FG71" authorId="14" shapeId="0" xr:uid="{00000000-0006-0000-0900-0000D6000000}">
      <text>
        <r>
          <rPr>
            <b/>
            <sz val="9"/>
            <color indexed="81"/>
            <rFont val="Tahoma"/>
            <family val="2"/>
          </rPr>
          <t>Author:</t>
        </r>
        <r>
          <rPr>
            <sz val="9"/>
            <color indexed="81"/>
            <rFont val="Tahoma"/>
            <family val="2"/>
          </rPr>
          <t xml:space="preserve">
2Q21: 16-17%
1Q21: reit
4Q20: 16.5% - 17.5%</t>
        </r>
      </text>
    </comment>
    <comment ref="FL71" authorId="15" shapeId="0" xr:uid="{00000000-0006-0000-0900-0000D7000000}">
      <text>
        <r>
          <rPr>
            <b/>
            <sz val="9"/>
            <color indexed="81"/>
            <rFont val="Tahoma"/>
            <family val="2"/>
          </rPr>
          <t xml:space="preserve">Author:
</t>
        </r>
        <r>
          <rPr>
            <sz val="9"/>
            <color indexed="81"/>
            <rFont val="Tahoma"/>
            <family val="2"/>
          </rPr>
          <t xml:space="preserve">3Q22: reiterate </t>
        </r>
        <r>
          <rPr>
            <b/>
            <sz val="9"/>
            <color indexed="81"/>
            <rFont val="Tahoma"/>
            <family val="2"/>
          </rPr>
          <t xml:space="preserve">
</t>
        </r>
        <r>
          <rPr>
            <sz val="9"/>
            <color indexed="81"/>
            <rFont val="Tahoma"/>
            <family val="2"/>
          </rPr>
          <t xml:space="preserve">2Q22: 15.0%-15.5%
1Q22: reiterate
4Q21: 15.5%-16.5%
 </t>
        </r>
      </text>
    </comment>
    <comment ref="FX71" authorId="16" shapeId="0" xr:uid="{CE7229FF-83E2-4DE9-BC9A-43A5C8E0B157}">
      <text>
        <r>
          <rPr>
            <b/>
            <sz val="9"/>
            <color indexed="81"/>
            <rFont val="Tahoma"/>
            <family val="2"/>
          </rPr>
          <t>Author:</t>
        </r>
        <r>
          <rPr>
            <sz val="9"/>
            <color indexed="81"/>
            <rFont val="Tahoma"/>
            <family val="2"/>
          </rPr>
          <t xml:space="preserve">
Guidance
3Q23 Update: 15.0-15.5%
2Q23 Update: 15.0-16.0%
2Q23: 15.5-16.5%
1Q23: 15.5%-16.5%
4Q22: 15.5%-16.5%
</t>
        </r>
      </text>
    </comment>
    <comment ref="GC71" authorId="0" shapeId="0" xr:uid="{F70B5722-503E-422C-9D7E-FDA1FBA9A447}">
      <text>
        <r>
          <rPr>
            <b/>
            <sz val="9"/>
            <color indexed="81"/>
            <rFont val="Tahoma"/>
            <family val="2"/>
          </rPr>
          <t>Author:</t>
        </r>
        <r>
          <rPr>
            <sz val="9"/>
            <color indexed="81"/>
            <rFont val="Tahoma"/>
            <family val="2"/>
          </rPr>
          <t xml:space="preserve">
4Q23: 16-17%
2023 EBR: Flat to 2023 levels (Company1595 acquisition to see ~50 bps dilution)
2q24: 17.5-18.5%
3Q24: decrease pre tax margins by 200bps</t>
        </r>
      </text>
    </comment>
    <comment ref="GH71" authorId="17" shapeId="0" xr:uid="{F773D253-5B71-49DE-8C19-DA43727C2E0B}">
      <text>
        <r>
          <rPr>
            <sz val="9"/>
            <color indexed="81"/>
            <rFont val="Tahoma"/>
            <family val="2"/>
          </rPr>
          <t xml:space="preserve">
17.50%- 18.0%, up 50bps vs. 2Q25 guidance per recently enacted OBBBA</t>
        </r>
      </text>
    </comment>
    <comment ref="DI72" authorId="2" shapeId="0" xr:uid="{00000000-0006-0000-0900-0000D8000000}">
      <text>
        <r>
          <rPr>
            <b/>
            <sz val="8"/>
            <color indexed="81"/>
            <rFont val="Tahoma"/>
            <family val="2"/>
          </rPr>
          <t>Author:</t>
        </r>
        <r>
          <rPr>
            <sz val="8"/>
            <color indexed="81"/>
            <rFont val="Tahoma"/>
            <family val="2"/>
          </rPr>
          <t xml:space="preserve">
1.25.11 - Net margin to contract by at least 0.5% vs. 2010</t>
        </r>
      </text>
    </comment>
    <comment ref="DN72" authorId="5" shapeId="0" xr:uid="{00000000-0006-0000-0900-0000D9000000}">
      <text>
        <r>
          <rPr>
            <b/>
            <sz val="8"/>
            <color indexed="81"/>
            <rFont val="Tahoma"/>
            <family val="2"/>
          </rPr>
          <t>Author:</t>
        </r>
        <r>
          <rPr>
            <sz val="8"/>
            <color indexed="81"/>
            <rFont val="Tahoma"/>
            <family val="2"/>
          </rPr>
          <t xml:space="preserve">
1.24.12: Flat</t>
        </r>
      </text>
    </comment>
    <comment ref="DS72" authorId="6" shapeId="0" xr:uid="{00000000-0006-0000-0900-0000DA000000}">
      <text>
        <r>
          <rPr>
            <b/>
            <sz val="8"/>
            <color indexed="81"/>
            <rFont val="Tahoma"/>
            <family val="2"/>
          </rPr>
          <t>Author:</t>
        </r>
        <r>
          <rPr>
            <sz val="8"/>
            <color indexed="81"/>
            <rFont val="Tahoma"/>
            <family val="2"/>
          </rPr>
          <t xml:space="preserve">
10.15.13: operating margins will improve by &gt;100bp vs 2012
1.22.13: "Operating margins will show a slight improvement in 2013 over 2012 levels."</t>
        </r>
      </text>
    </comment>
    <comment ref="DX72" authorId="7" shapeId="0" xr:uid="{00000000-0006-0000-0900-0000DB000000}">
      <text>
        <r>
          <rPr>
            <b/>
            <sz val="9"/>
            <color indexed="81"/>
            <rFont val="Tahoma"/>
            <family val="2"/>
          </rPr>
          <t>Author:</t>
        </r>
        <r>
          <rPr>
            <sz val="9"/>
            <color indexed="81"/>
            <rFont val="Tahoma"/>
            <family val="2"/>
          </rPr>
          <t xml:space="preserve">
1.21.14: net income margin will be approx flat with the prior year</t>
        </r>
      </text>
    </comment>
    <comment ref="FE74" authorId="32" shapeId="0" xr:uid="{00000000-0006-0000-0900-0000DC000000}">
      <text>
        <r>
          <rPr>
            <b/>
            <sz val="9"/>
            <color indexed="81"/>
            <rFont val="Tahoma"/>
            <family val="2"/>
          </rPr>
          <t>Author:</t>
        </r>
        <r>
          <rPr>
            <sz val="9"/>
            <color indexed="81"/>
            <rFont val="Tahoma"/>
            <family val="2"/>
          </rPr>
          <t xml:space="preserve">
op margin excluding vaccine, guided to 200bp improvement vs. 2020 of 30%</t>
        </r>
      </text>
    </comment>
    <comment ref="FF74" authorId="32" shapeId="0" xr:uid="{00000000-0006-0000-0900-0000DD000000}">
      <text>
        <r>
          <rPr>
            <b/>
            <sz val="9"/>
            <color indexed="81"/>
            <rFont val="Tahoma"/>
            <family val="2"/>
          </rPr>
          <t>Author:</t>
        </r>
        <r>
          <rPr>
            <sz val="9"/>
            <color indexed="81"/>
            <rFont val="Tahoma"/>
            <family val="2"/>
          </rPr>
          <t xml:space="preserve">
op margin excluding vaccine, guided to 200bp improvement vs. 2020 of 30%</t>
        </r>
      </text>
    </comment>
    <comment ref="FG74" authorId="32" shapeId="0" xr:uid="{00000000-0006-0000-0900-0000DE000000}">
      <text>
        <r>
          <rPr>
            <b/>
            <sz val="9"/>
            <color indexed="81"/>
            <rFont val="Tahoma"/>
            <family val="2"/>
          </rPr>
          <t>Author:</t>
        </r>
        <r>
          <rPr>
            <sz val="9"/>
            <color indexed="81"/>
            <rFont val="Tahoma"/>
            <family val="2"/>
          </rPr>
          <t xml:space="preserve">
op margin excluding vaccine, guided to 200bp improvement vs. 2020 of 30%</t>
        </r>
      </text>
    </comment>
    <comment ref="FT75" authorId="22" shapeId="0" xr:uid="{F926E65D-46CD-4146-9983-468705BDF35C}">
      <text>
        <r>
          <rPr>
            <b/>
            <sz val="9"/>
            <color indexed="81"/>
            <rFont val="Tahoma"/>
            <family val="2"/>
          </rPr>
          <t>Author:</t>
        </r>
        <r>
          <rPr>
            <sz val="9"/>
            <color indexed="81"/>
            <rFont val="Tahoma"/>
            <family val="2"/>
          </rPr>
          <t xml:space="preserve">
derived from plugs up above </t>
        </r>
      </text>
    </comment>
    <comment ref="FX75" authorId="0" shapeId="0" xr:uid="{BA6B20E4-B9F8-414D-92A7-7EF9F1980D5E}">
      <text>
        <r>
          <rPr>
            <b/>
            <sz val="9"/>
            <color indexed="81"/>
            <rFont val="Tahoma"/>
            <family val="2"/>
          </rPr>
          <t>Author:</t>
        </r>
        <r>
          <rPr>
            <sz val="9"/>
            <color indexed="81"/>
            <rFont val="Tahoma"/>
            <family val="2"/>
          </rPr>
          <t xml:space="preserve">
Guidance - Est. Reported Sales, ex. Covid (back-out Covid sales from figures)
2023 EBR: 7.2-7.7%
3Q23 Update: 7.5-8.0%
2Q23 Update: 7.0-8.0%
2Q23: 6.0-7.0%
1Q23: 5.5-6.5%
4Q22: 4.5-5.5%</t>
        </r>
      </text>
    </comment>
    <comment ref="GC75" authorId="22" shapeId="0" xr:uid="{C1970C48-CA45-4804-8B76-F03EAE1FD3A5}">
      <text>
        <r>
          <rPr>
            <b/>
            <sz val="9"/>
            <color indexed="81"/>
            <rFont val="Tahoma"/>
            <family val="2"/>
          </rPr>
          <t>Author:</t>
        </r>
        <r>
          <rPr>
            <sz val="9"/>
            <color indexed="81"/>
            <rFont val="Tahoma"/>
            <family val="2"/>
          </rPr>
          <t xml:space="preserve">
2Q24 EPS: 4.7-5.2% growth</t>
        </r>
      </text>
    </comment>
    <comment ref="GI75" authorId="17" shapeId="0" xr:uid="{BB638487-0AE8-42A6-AD91-E7F2AF4F9664}">
      <text>
        <r>
          <rPr>
            <b/>
            <sz val="9"/>
            <color indexed="81"/>
            <rFont val="Tahoma"/>
            <family val="2"/>
          </rPr>
          <t>Author: FY26 reported sales growth to exceed 5%.</t>
        </r>
      </text>
    </comment>
    <comment ref="DE76" authorId="2" shapeId="0" xr:uid="{00000000-0006-0000-0900-0000DF000000}">
      <text>
        <r>
          <rPr>
            <b/>
            <sz val="8"/>
            <color indexed="81"/>
            <rFont val="Tahoma"/>
            <family val="2"/>
          </rPr>
          <t>Author:</t>
        </r>
        <r>
          <rPr>
            <sz val="8"/>
            <color indexed="81"/>
            <rFont val="Tahoma"/>
            <family val="2"/>
          </rPr>
          <t xml:space="preserve">
1Q11: On op basis sales were up 1.8%, currency hasd positive impact of 1.7%</t>
        </r>
      </text>
    </comment>
    <comment ref="DI76" authorId="2" shapeId="0" xr:uid="{00000000-0006-0000-0900-0000E0000000}">
      <text>
        <r>
          <rPr>
            <b/>
            <sz val="8"/>
            <color indexed="81"/>
            <rFont val="Tahoma"/>
            <family val="2"/>
          </rPr>
          <t>Author:</t>
        </r>
        <r>
          <rPr>
            <sz val="8"/>
            <color indexed="81"/>
            <rFont val="Tahoma"/>
            <family val="2"/>
          </rPr>
          <t xml:space="preserve">
</t>
        </r>
        <r>
          <rPr>
            <b/>
            <sz val="8"/>
            <color indexed="81"/>
            <rFont val="Tahoma"/>
            <family val="2"/>
          </rPr>
          <t xml:space="preserve">10.18.11: $65 bn with FX impact. expects reported sales growth to be between approximately 5% and 6% for the year
on constant currency basis: approx. 63.5 bn; operational sales to increase on a constant currency basis of between 2.5% and 3.5%.
5.5 - 6.5% 
</t>
        </r>
        <r>
          <rPr>
            <sz val="8"/>
            <color indexed="81"/>
            <rFont val="Tahoma"/>
            <family val="2"/>
          </rPr>
          <t xml:space="preserve">3.5-4.5% growth using Jan 20 rates; this includes watson concerta and generic levaquin 
2-3% growth ex-currency </t>
        </r>
      </text>
    </comment>
    <comment ref="GC82" authorId="22" shapeId="0" xr:uid="{E082DDB2-FA6F-4AE9-98D3-CF77CD5383FD}">
      <text>
        <r>
          <rPr>
            <b/>
            <sz val="9"/>
            <color indexed="81"/>
            <rFont val="Tahoma"/>
            <family val="2"/>
          </rPr>
          <t>Author:</t>
        </r>
        <r>
          <rPr>
            <sz val="9"/>
            <color indexed="81"/>
            <rFont val="Tahoma"/>
            <family val="2"/>
          </rPr>
          <t xml:space="preserve">
2Q24: 0.5-1.5% growth</t>
        </r>
      </text>
    </comment>
    <comment ref="FB84" authorId="13" shapeId="0" xr:uid="{00000000-0006-0000-0900-0000E1000000}">
      <text>
        <r>
          <rPr>
            <b/>
            <sz val="9"/>
            <color indexed="81"/>
            <rFont val="Tahoma"/>
            <family val="2"/>
          </rPr>
          <t>Author:</t>
        </r>
        <r>
          <rPr>
            <sz val="9"/>
            <color indexed="81"/>
            <rFont val="Tahoma"/>
            <family val="2"/>
          </rPr>
          <t xml:space="preserve">
3q19 Earnings call: 
With respect to the income ratio to sales growth ratio, I'd say that's a little bit early to comment on. I would expect to see some moderating more back towards around sales growth</t>
        </r>
      </text>
    </comment>
    <comment ref="B124" authorId="3" shapeId="0" xr:uid="{00000000-0006-0000-0900-0000E2000000}">
      <text>
        <r>
          <rPr>
            <b/>
            <sz val="8"/>
            <color indexed="81"/>
            <rFont val="Tahoma"/>
            <family val="2"/>
          </rPr>
          <t>Author:</t>
        </r>
        <r>
          <rPr>
            <sz val="8"/>
            <color indexed="81"/>
            <rFont val="Tahoma"/>
            <family val="2"/>
          </rPr>
          <t xml:space="preserve">
Per SEC filings
Adjusted for non-continuing expenses</t>
        </r>
      </text>
    </comment>
    <comment ref="B134" authorId="33" shapeId="0" xr:uid="{00000000-0006-0000-0900-0000E3000000}">
      <text>
        <r>
          <rPr>
            <b/>
            <sz val="8"/>
            <color indexed="81"/>
            <rFont val="Tahoma"/>
            <family val="2"/>
          </rPr>
          <t>Author:</t>
        </r>
        <r>
          <rPr>
            <sz val="8"/>
            <color indexed="81"/>
            <rFont val="Tahoma"/>
            <family val="2"/>
          </rPr>
          <t xml:space="preserve">
being caclulated incorrectly and inconsistently.  Should be: average of a given quarter's (Cash &amp; Equivalents + ST investments) and the previous QUARTER's value.
</t>
        </r>
        <r>
          <rPr>
            <b/>
            <sz val="8"/>
            <color indexed="81"/>
            <rFont val="Tahoma"/>
            <family val="2"/>
          </rPr>
          <t>Sinu:
done</t>
        </r>
      </text>
    </comment>
    <comment ref="CK135" authorId="33" shapeId="0" xr:uid="{00000000-0006-0000-0900-0000E4000000}">
      <text>
        <r>
          <rPr>
            <b/>
            <sz val="8"/>
            <color indexed="81"/>
            <rFont val="Tahoma"/>
            <family val="2"/>
          </rPr>
          <t>Author:</t>
        </r>
        <r>
          <rPr>
            <sz val="8"/>
            <color indexed="81"/>
            <rFont val="Tahoma"/>
            <family val="2"/>
          </rPr>
          <t xml:space="preserve">
annualized (therefore x4)</t>
        </r>
      </text>
    </comment>
    <comment ref="DM135" authorId="6" shapeId="0" xr:uid="{00000000-0006-0000-0900-0000E5000000}">
      <text>
        <r>
          <rPr>
            <b/>
            <sz val="8"/>
            <color indexed="81"/>
            <rFont val="Tahoma"/>
            <family val="2"/>
          </rPr>
          <t>Author:</t>
        </r>
        <r>
          <rPr>
            <sz val="8"/>
            <color indexed="81"/>
            <rFont val="Tahoma"/>
            <family val="2"/>
          </rPr>
          <t xml:space="preserve">
update once 10-Q comes out</t>
        </r>
      </text>
    </comment>
    <comment ref="CZ136" authorId="34" shapeId="0" xr:uid="{00000000-0006-0000-0900-0000E6000000}">
      <text>
        <r>
          <rPr>
            <b/>
            <sz val="8"/>
            <color indexed="81"/>
            <rFont val="Tahoma"/>
            <family val="2"/>
          </rPr>
          <t xml:space="preserve">Author:
</t>
        </r>
        <r>
          <rPr>
            <sz val="8"/>
            <color indexed="81"/>
            <rFont val="Tahoma"/>
            <family val="2"/>
          </rPr>
          <t>Interest Income/ Expense brkup from 10Q; PR gives only net figure.</t>
        </r>
      </text>
    </comment>
    <comment ref="DH136" authorId="5" shapeId="0" xr:uid="{00000000-0006-0000-0900-0000E7000000}">
      <text>
        <r>
          <rPr>
            <b/>
            <sz val="8"/>
            <color indexed="81"/>
            <rFont val="Tahoma"/>
            <family val="2"/>
          </rPr>
          <t>Author:</t>
        </r>
        <r>
          <rPr>
            <sz val="8"/>
            <color indexed="81"/>
            <rFont val="Tahoma"/>
            <family val="2"/>
          </rPr>
          <t xml:space="preserve">
10Q/10K</t>
        </r>
      </text>
    </comment>
    <comment ref="DQ136" authorId="18" shapeId="0" xr:uid="{00000000-0006-0000-0900-0000E8000000}">
      <text>
        <r>
          <rPr>
            <b/>
            <sz val="9"/>
            <color indexed="81"/>
            <rFont val="Tahoma"/>
            <family val="2"/>
          </rPr>
          <t>Author:</t>
        </r>
        <r>
          <rPr>
            <sz val="9"/>
            <color indexed="81"/>
            <rFont val="Tahoma"/>
            <family val="2"/>
          </rPr>
          <t xml:space="preserve">
11.7.13:  from 10Q</t>
        </r>
      </text>
    </comment>
    <comment ref="DX136" authorId="8" shapeId="0" xr:uid="{00000000-0006-0000-0900-0000E9000000}">
      <text>
        <r>
          <rPr>
            <b/>
            <sz val="9"/>
            <color indexed="81"/>
            <rFont val="Tahoma"/>
            <family val="2"/>
          </rPr>
          <t>Author:</t>
        </r>
        <r>
          <rPr>
            <sz val="9"/>
            <color indexed="81"/>
            <rFont val="Tahoma"/>
            <family val="2"/>
          </rPr>
          <t xml:space="preserve">
1/20/15: verify in 10Q, backed into</t>
        </r>
      </text>
    </comment>
    <comment ref="EA136" authorId="18" shapeId="0" xr:uid="{00000000-0006-0000-0900-0000EA000000}">
      <text>
        <r>
          <rPr>
            <b/>
            <sz val="9"/>
            <color indexed="81"/>
            <rFont val="Tahoma"/>
            <family val="2"/>
          </rPr>
          <t>Author:</t>
        </r>
        <r>
          <rPr>
            <sz val="9"/>
            <color indexed="81"/>
            <rFont val="Tahoma"/>
            <family val="2"/>
          </rPr>
          <t xml:space="preserve">
10.13.15:  estimate for now, get from 10-Q later</t>
        </r>
      </text>
    </comment>
    <comment ref="ED136" authorId="9" shapeId="0" xr:uid="{00000000-0006-0000-0900-0000EB000000}">
      <text>
        <r>
          <rPr>
            <b/>
            <sz val="9"/>
            <color indexed="81"/>
            <rFont val="Tahoma"/>
            <family val="2"/>
          </rPr>
          <t>Author:</t>
        </r>
        <r>
          <rPr>
            <sz val="9"/>
            <color indexed="81"/>
            <rFont val="Tahoma"/>
            <family val="2"/>
          </rPr>
          <t xml:space="preserve">
estimate - need to get from 10Q</t>
        </r>
      </text>
    </comment>
    <comment ref="EF136" authorId="9" shapeId="0" xr:uid="{00000000-0006-0000-0900-0000EC000000}">
      <text>
        <r>
          <rPr>
            <b/>
            <sz val="9"/>
            <color indexed="81"/>
            <rFont val="Tahoma"/>
            <family val="2"/>
          </rPr>
          <t>Author:</t>
        </r>
        <r>
          <rPr>
            <sz val="9"/>
            <color indexed="81"/>
            <rFont val="Tahoma"/>
            <family val="2"/>
          </rPr>
          <t xml:space="preserve">
estimate - need to get from 10Q</t>
        </r>
      </text>
    </comment>
    <comment ref="P140" authorId="33" shapeId="0" xr:uid="{00000000-0006-0000-0900-0000ED000000}">
      <text>
        <r>
          <rPr>
            <b/>
            <sz val="8"/>
            <color indexed="81"/>
            <rFont val="Tahoma"/>
            <family val="2"/>
          </rPr>
          <t>Author:
this is the correct formula: note how ST and LT debt are added for each period… these sums are then averaged.
Please replicate for years through 2002.  Then refer to how 2002 is done for the quarters</t>
        </r>
      </text>
    </comment>
    <comment ref="BP140" authorId="33" shapeId="0" xr:uid="{00000000-0006-0000-0900-0000EE000000}">
      <text>
        <r>
          <rPr>
            <b/>
            <sz val="8"/>
            <color indexed="81"/>
            <rFont val="Tahoma"/>
            <family val="2"/>
          </rPr>
          <t>Author:</t>
        </r>
        <r>
          <rPr>
            <sz val="8"/>
            <color indexed="81"/>
            <rFont val="Tahoma"/>
            <family val="2"/>
          </rPr>
          <t xml:space="preserve">
I have done these in pink. Please do same for entire row…
double check by looking back at the B/S and eyeballing it - should be close to what you see when you add the ST and LT debt (plus or minus)</t>
        </r>
      </text>
    </comment>
    <comment ref="DM141" authorId="6" shapeId="0" xr:uid="{00000000-0006-0000-0900-0000EF000000}">
      <text>
        <r>
          <rPr>
            <b/>
            <sz val="8"/>
            <color indexed="81"/>
            <rFont val="Tahoma"/>
            <family val="2"/>
          </rPr>
          <t>Author:</t>
        </r>
        <r>
          <rPr>
            <sz val="8"/>
            <color indexed="81"/>
            <rFont val="Tahoma"/>
            <family val="2"/>
          </rPr>
          <t xml:space="preserve">
update once 10-q comes out</t>
        </r>
      </text>
    </comment>
    <comment ref="DR141" authorId="6" shapeId="0" xr:uid="{00000000-0006-0000-0900-0000F0000000}">
      <text>
        <r>
          <rPr>
            <b/>
            <sz val="8"/>
            <color indexed="81"/>
            <rFont val="Tahoma"/>
            <family val="2"/>
          </rPr>
          <t>Author:</t>
        </r>
        <r>
          <rPr>
            <sz val="8"/>
            <color indexed="81"/>
            <rFont val="Tahoma"/>
            <family val="2"/>
          </rPr>
          <t xml:space="preserve">
update once 10-q comes out</t>
        </r>
      </text>
    </comment>
    <comment ref="EB141" authorId="6" shapeId="0" xr:uid="{00000000-0006-0000-0900-0000F1000000}">
      <text>
        <r>
          <rPr>
            <b/>
            <sz val="8"/>
            <color indexed="81"/>
            <rFont val="Tahoma"/>
            <family val="2"/>
          </rPr>
          <t>Author:</t>
        </r>
        <r>
          <rPr>
            <sz val="8"/>
            <color indexed="81"/>
            <rFont val="Tahoma"/>
            <family val="2"/>
          </rPr>
          <t xml:space="preserve">
update once 10-q comes out</t>
        </r>
      </text>
    </comment>
    <comment ref="DQ142" authorId="18" shapeId="0" xr:uid="{00000000-0006-0000-0900-0000F2000000}">
      <text>
        <r>
          <rPr>
            <b/>
            <sz val="9"/>
            <color indexed="81"/>
            <rFont val="Tahoma"/>
            <family val="2"/>
          </rPr>
          <t>Author:</t>
        </r>
        <r>
          <rPr>
            <sz val="9"/>
            <color indexed="81"/>
            <rFont val="Tahoma"/>
            <family val="2"/>
          </rPr>
          <t xml:space="preserve">
11.7.13:  from 10Q</t>
        </r>
      </text>
    </comment>
    <comment ref="DX142" authorId="8" shapeId="0" xr:uid="{00000000-0006-0000-0900-0000F3000000}">
      <text>
        <r>
          <rPr>
            <b/>
            <sz val="9"/>
            <color indexed="81"/>
            <rFont val="Tahoma"/>
            <family val="2"/>
          </rPr>
          <t>Author:</t>
        </r>
        <r>
          <rPr>
            <sz val="9"/>
            <color indexed="81"/>
            <rFont val="Tahoma"/>
            <family val="2"/>
          </rPr>
          <t xml:space="preserve">
1/20/15: verify in 10Q, backed into</t>
        </r>
      </text>
    </comment>
    <comment ref="EA142" authorId="7" shapeId="0" xr:uid="{00000000-0006-0000-0900-0000F4000000}">
      <text>
        <r>
          <rPr>
            <b/>
            <sz val="9"/>
            <color indexed="81"/>
            <rFont val="Tahoma"/>
            <family val="2"/>
          </rPr>
          <t>Author:</t>
        </r>
        <r>
          <rPr>
            <sz val="9"/>
            <color indexed="81"/>
            <rFont val="Tahoma"/>
            <family val="2"/>
          </rPr>
          <t xml:space="preserve">
10.13.15: plugged - assuming number is in 10-Q when that is released</t>
        </r>
      </text>
    </comment>
    <comment ref="ED142" authorId="7" shapeId="0" xr:uid="{00000000-0006-0000-0900-0000F5000000}">
      <text>
        <r>
          <rPr>
            <b/>
            <sz val="9"/>
            <color indexed="81"/>
            <rFont val="Tahoma"/>
            <family val="2"/>
          </rPr>
          <t>Author:</t>
        </r>
        <r>
          <rPr>
            <sz val="9"/>
            <color indexed="81"/>
            <rFont val="Tahoma"/>
            <family val="2"/>
          </rPr>
          <t xml:space="preserve">
10.13.15: plugged - assuming number is in 10-Q when that is released</t>
        </r>
      </text>
    </comment>
    <comment ref="EF142" authorId="7" shapeId="0" xr:uid="{00000000-0006-0000-0900-0000F6000000}">
      <text>
        <r>
          <rPr>
            <b/>
            <sz val="9"/>
            <color indexed="81"/>
            <rFont val="Tahoma"/>
            <family val="2"/>
          </rPr>
          <t>Author:</t>
        </r>
        <r>
          <rPr>
            <sz val="9"/>
            <color indexed="81"/>
            <rFont val="Tahoma"/>
            <family val="2"/>
          </rPr>
          <t xml:space="preserve">
10.13.15: plugged - assuming number is in 10-Q when that is released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Author2</author>
    <author>Author102</author>
    <author>Author20</author>
    <author>Author1</author>
    <author>Author23</author>
    <author>Person1276, Person0967 W </author>
    <author>Person0883, Person1205 </author>
    <author>Author22</author>
    <author>Person0136, Person0241 </author>
    <author>Person0615, Person0536 </author>
    <author>Author25</author>
    <author>Author95</author>
    <author>Author26</author>
    <author>Person0375, Person0226 </author>
    <author>Author24</author>
  </authors>
  <commentList>
    <comment ref="CJ14" authorId="0" shapeId="0" xr:uid="{00000000-0006-0000-0A00-000001000000}">
      <text>
        <r>
          <rPr>
            <b/>
            <sz val="8"/>
            <color indexed="81"/>
            <rFont val="Tahoma"/>
            <family val="2"/>
          </rPr>
          <t>Author:</t>
        </r>
        <r>
          <rPr>
            <sz val="8"/>
            <color indexed="81"/>
            <rFont val="Tahoma"/>
            <family val="2"/>
          </rPr>
          <t xml:space="preserve">
$32.2 bn</t>
        </r>
      </text>
    </comment>
    <comment ref="AE16" authorId="1" shapeId="0" xr:uid="{00000000-0006-0000-0A00-000002000000}">
      <text>
        <r>
          <rPr>
            <b/>
            <sz val="8"/>
            <color indexed="81"/>
            <rFont val="Tahoma"/>
            <family val="2"/>
          </rPr>
          <t>Author:</t>
        </r>
        <r>
          <rPr>
            <sz val="8"/>
            <color indexed="81"/>
            <rFont val="Tahoma"/>
            <family val="2"/>
          </rPr>
          <t xml:space="preserve">
less $439 for doubtfull</t>
        </r>
      </text>
    </comment>
    <comment ref="AF16" authorId="1" shapeId="0" xr:uid="{00000000-0006-0000-0A00-000003000000}">
      <text>
        <r>
          <rPr>
            <b/>
            <sz val="8"/>
            <color indexed="81"/>
            <rFont val="Tahoma"/>
            <family val="2"/>
          </rPr>
          <t>Author:</t>
        </r>
        <r>
          <rPr>
            <sz val="8"/>
            <color indexed="81"/>
            <rFont val="Tahoma"/>
            <family val="2"/>
          </rPr>
          <t xml:space="preserve">
less $182 for doubtfull</t>
        </r>
      </text>
    </comment>
    <comment ref="AI16" authorId="1" shapeId="0" xr:uid="{00000000-0006-0000-0A00-000004000000}">
      <text>
        <r>
          <rPr>
            <b/>
            <sz val="8"/>
            <color indexed="81"/>
            <rFont val="Tahoma"/>
            <family val="2"/>
          </rPr>
          <t>Author:</t>
        </r>
        <r>
          <rPr>
            <sz val="8"/>
            <color indexed="81"/>
            <rFont val="Tahoma"/>
            <family val="2"/>
          </rPr>
          <t xml:space="preserve">
less $460 for doubtfull accts</t>
        </r>
      </text>
    </comment>
    <comment ref="AJ16" authorId="1" shapeId="0" xr:uid="{00000000-0006-0000-0A00-000005000000}">
      <text>
        <r>
          <rPr>
            <b/>
            <sz val="8"/>
            <color indexed="81"/>
            <rFont val="Tahoma"/>
            <family val="2"/>
          </rPr>
          <t>Author:</t>
        </r>
        <r>
          <rPr>
            <sz val="8"/>
            <color indexed="81"/>
            <rFont val="Tahoma"/>
            <family val="2"/>
          </rPr>
          <t xml:space="preserve">
less $480 for doubtfull accts</t>
        </r>
      </text>
    </comment>
    <comment ref="AK16" authorId="1" shapeId="0" xr:uid="{00000000-0006-0000-0A00-000006000000}">
      <text>
        <r>
          <rPr>
            <b/>
            <sz val="8"/>
            <color indexed="81"/>
            <rFont val="Tahoma"/>
            <family val="2"/>
          </rPr>
          <t>Author:</t>
        </r>
        <r>
          <rPr>
            <sz val="8"/>
            <color indexed="81"/>
            <rFont val="Tahoma"/>
            <family val="2"/>
          </rPr>
          <t xml:space="preserve">
less $197 for doubtfull accts</t>
        </r>
      </text>
    </comment>
    <comment ref="AM16" authorId="1" shapeId="0" xr:uid="{00000000-0006-0000-0A00-000007000000}">
      <text>
        <r>
          <rPr>
            <b/>
            <sz val="8"/>
            <color indexed="81"/>
            <rFont val="Tahoma"/>
            <family val="2"/>
          </rPr>
          <t>Author:</t>
        </r>
        <r>
          <rPr>
            <sz val="8"/>
            <color indexed="81"/>
            <rFont val="Tahoma"/>
            <family val="2"/>
          </rPr>
          <t xml:space="preserve">
less $203 for doubtfull accts</t>
        </r>
      </text>
    </comment>
    <comment ref="AN16" authorId="1" shapeId="0" xr:uid="{00000000-0006-0000-0A00-000008000000}">
      <text>
        <r>
          <rPr>
            <b/>
            <sz val="8"/>
            <color indexed="81"/>
            <rFont val="Tahoma"/>
            <family val="2"/>
          </rPr>
          <t>Author:</t>
        </r>
        <r>
          <rPr>
            <sz val="8"/>
            <color indexed="81"/>
            <rFont val="Tahoma"/>
            <family val="2"/>
          </rPr>
          <t xml:space="preserve">
less $200 for doubtfull accts</t>
        </r>
      </text>
    </comment>
    <comment ref="AO16" authorId="1" shapeId="0" xr:uid="{00000000-0006-0000-0A00-000009000000}">
      <text>
        <r>
          <rPr>
            <b/>
            <sz val="8"/>
            <color indexed="81"/>
            <rFont val="Tahoma"/>
            <family val="2"/>
          </rPr>
          <t>Author:</t>
        </r>
        <r>
          <rPr>
            <sz val="8"/>
            <color indexed="81"/>
            <rFont val="Tahoma"/>
            <family val="2"/>
          </rPr>
          <t xml:space="preserve">
less $194 for doubtfull accts</t>
        </r>
      </text>
    </comment>
    <comment ref="AP16" authorId="1" shapeId="0" xr:uid="{00000000-0006-0000-0A00-00000A000000}">
      <text>
        <r>
          <rPr>
            <b/>
            <sz val="8"/>
            <color indexed="81"/>
            <rFont val="Tahoma"/>
            <family val="2"/>
          </rPr>
          <t>Author:</t>
        </r>
        <r>
          <rPr>
            <sz val="8"/>
            <color indexed="81"/>
            <rFont val="Tahoma"/>
            <family val="2"/>
          </rPr>
          <t xml:space="preserve">
less $191 for doubtfull accts</t>
        </r>
      </text>
    </comment>
    <comment ref="AR16" authorId="1" shapeId="0" xr:uid="{00000000-0006-0000-0A00-00000B000000}">
      <text>
        <r>
          <rPr>
            <b/>
            <sz val="8"/>
            <color indexed="81"/>
            <rFont val="Tahoma"/>
            <family val="2"/>
          </rPr>
          <t>Author:</t>
        </r>
        <r>
          <rPr>
            <sz val="8"/>
            <color indexed="81"/>
            <rFont val="Tahoma"/>
            <family val="2"/>
          </rPr>
          <t xml:space="preserve">
less $188 for doubtfull accts</t>
        </r>
      </text>
    </comment>
    <comment ref="AS16" authorId="2" shapeId="0" xr:uid="{00000000-0006-0000-0A00-00000C000000}">
      <text>
        <r>
          <rPr>
            <b/>
            <sz val="8"/>
            <color indexed="81"/>
            <rFont val="Tahoma"/>
            <family val="2"/>
          </rPr>
          <t>Author:</t>
        </r>
        <r>
          <rPr>
            <sz val="8"/>
            <color indexed="81"/>
            <rFont val="Tahoma"/>
            <family val="2"/>
          </rPr>
          <t xml:space="preserve">
Less 188M$ for doubtful</t>
        </r>
      </text>
    </comment>
    <comment ref="AT16" authorId="2" shapeId="0" xr:uid="{00000000-0006-0000-0A00-00000D000000}">
      <text>
        <r>
          <rPr>
            <b/>
            <sz val="8"/>
            <color indexed="81"/>
            <rFont val="Tahoma"/>
            <family val="2"/>
          </rPr>
          <t>Author:</t>
        </r>
        <r>
          <rPr>
            <sz val="8"/>
            <color indexed="81"/>
            <rFont val="Tahoma"/>
            <family val="2"/>
          </rPr>
          <t xml:space="preserve">
Less 190M$ for doubtful</t>
        </r>
      </text>
    </comment>
    <comment ref="AU16" authorId="2" shapeId="0" xr:uid="{00000000-0006-0000-0A00-00000E000000}">
      <text>
        <r>
          <rPr>
            <b/>
            <sz val="8"/>
            <color indexed="81"/>
            <rFont val="Tahoma"/>
            <family val="2"/>
          </rPr>
          <t>Author:</t>
        </r>
        <r>
          <rPr>
            <sz val="8"/>
            <color indexed="81"/>
            <rFont val="Tahoma"/>
            <family val="2"/>
          </rPr>
          <t xml:space="preserve">
Less allowance of $192M</t>
        </r>
      </text>
    </comment>
    <comment ref="BG16" authorId="3" shapeId="0" xr:uid="{00000000-0006-0000-0A00-00000F000000}">
      <text>
        <r>
          <rPr>
            <b/>
            <sz val="8"/>
            <color indexed="81"/>
            <rFont val="Tahoma"/>
            <family val="2"/>
          </rPr>
          <t>Author:</t>
        </r>
        <r>
          <rPr>
            <sz val="8"/>
            <color indexed="81"/>
            <rFont val="Tahoma"/>
            <family val="2"/>
          </rPr>
          <t xml:space="preserve">
less allowances for doubtful accounts $162 (2005, $164)</t>
        </r>
      </text>
    </comment>
    <comment ref="AU22" authorId="2" shapeId="0" xr:uid="{00000000-0006-0000-0A00-000010000000}">
      <text>
        <r>
          <rPr>
            <b/>
            <sz val="8"/>
            <color indexed="81"/>
            <rFont val="Tahoma"/>
            <family val="2"/>
          </rPr>
          <t>Author:</t>
        </r>
        <r>
          <rPr>
            <sz val="8"/>
            <color indexed="81"/>
            <rFont val="Tahoma"/>
            <family val="2"/>
          </rPr>
          <t xml:space="preserve">
Gross 17052 less acc depn 7206</t>
        </r>
      </text>
    </comment>
    <comment ref="BV22" authorId="3" shapeId="0" xr:uid="{00000000-0006-0000-0A00-000011000000}">
      <text>
        <r>
          <rPr>
            <b/>
            <sz val="8"/>
            <color indexed="81"/>
            <rFont val="Tahoma"/>
            <family val="2"/>
          </rPr>
          <t>Author:</t>
        </r>
        <r>
          <rPr>
            <sz val="8"/>
            <color indexed="81"/>
            <rFont val="Tahoma"/>
            <family val="2"/>
          </rPr>
          <t xml:space="preserve">
-13268 accum dep</t>
        </r>
      </text>
    </comment>
    <comment ref="BW22" authorId="3" shapeId="0" xr:uid="{00000000-0006-0000-0A00-000012000000}">
      <text>
        <r>
          <rPr>
            <b/>
            <sz val="8"/>
            <color indexed="81"/>
            <rFont val="Tahoma"/>
            <family val="2"/>
          </rPr>
          <t>Author:</t>
        </r>
        <r>
          <rPr>
            <sz val="8"/>
            <color indexed="81"/>
            <rFont val="Tahoma"/>
            <family val="2"/>
          </rPr>
          <t xml:space="preserve">
accum dep -13909</t>
        </r>
      </text>
    </comment>
    <comment ref="CD33" authorId="4" shapeId="0" xr:uid="{00000000-0006-0000-0A00-000013000000}">
      <text>
        <r>
          <rPr>
            <b/>
            <sz val="8"/>
            <color indexed="81"/>
            <rFont val="Tahoma"/>
            <family val="2"/>
          </rPr>
          <t>Author:</t>
        </r>
        <r>
          <rPr>
            <sz val="8"/>
            <color indexed="81"/>
            <rFont val="Tahoma"/>
            <family val="2"/>
          </rPr>
          <t xml:space="preserve">
accrued liab exp</t>
        </r>
      </text>
    </comment>
    <comment ref="CJ37" authorId="0" shapeId="0" xr:uid="{00000000-0006-0000-0A00-000014000000}">
      <text>
        <r>
          <rPr>
            <b/>
            <sz val="8"/>
            <color indexed="81"/>
            <rFont val="Tahoma"/>
            <family val="2"/>
          </rPr>
          <t>Author:</t>
        </r>
        <r>
          <rPr>
            <sz val="8"/>
            <color indexed="81"/>
            <rFont val="Tahoma"/>
            <family val="2"/>
          </rPr>
          <t xml:space="preserve">
$19.6 bn in debt</t>
        </r>
      </text>
    </comment>
    <comment ref="EP37" authorId="5" shapeId="0" xr:uid="{82D63981-A183-4B4E-B5FA-B2E5F9D0AA70}">
      <text>
        <r>
          <rPr>
            <b/>
            <sz val="9"/>
            <color indexed="81"/>
            <rFont val="Tahoma"/>
            <family val="2"/>
          </rPr>
          <t>Author:</t>
        </r>
        <r>
          <rPr>
            <sz val="9"/>
            <color indexed="81"/>
            <rFont val="Tahoma"/>
            <family val="2"/>
          </rPr>
          <t xml:space="preserve">
Subtracts out Company1510 Debt</t>
        </r>
      </text>
    </comment>
    <comment ref="DM38" authorId="6" shapeId="0" xr:uid="{00000000-0006-0000-0A00-000015000000}">
      <text>
        <r>
          <rPr>
            <b/>
            <sz val="9"/>
            <color indexed="81"/>
            <rFont val="Tahoma"/>
            <family val="2"/>
          </rPr>
          <t>Author:</t>
        </r>
        <r>
          <rPr>
            <sz val="9"/>
            <color indexed="81"/>
            <rFont val="Tahoma"/>
            <family val="2"/>
          </rPr>
          <t xml:space="preserve">
Includes long-term taxes payable (tax reform) of $8,472mn</t>
        </r>
      </text>
    </comment>
    <comment ref="CL45" authorId="0" shapeId="0" xr:uid="{00000000-0006-0000-0A00-000016000000}">
      <text>
        <r>
          <rPr>
            <b/>
            <sz val="8"/>
            <color indexed="81"/>
            <rFont val="Tahoma"/>
            <family val="2"/>
          </rPr>
          <t>Author:</t>
        </r>
        <r>
          <rPr>
            <sz val="8"/>
            <color indexed="81"/>
            <rFont val="Tahoma"/>
            <family val="2"/>
          </rPr>
          <t xml:space="preserve">
proforma adjustment s-4</t>
        </r>
      </text>
    </comment>
    <comment ref="BH49" authorId="3" shapeId="0" xr:uid="{00000000-0006-0000-0A00-000017000000}">
      <text>
        <r>
          <rPr>
            <b/>
            <sz val="8"/>
            <color indexed="81"/>
            <rFont val="Tahoma"/>
            <family val="2"/>
          </rPr>
          <t>Author:</t>
        </r>
        <r>
          <rPr>
            <sz val="8"/>
            <color indexed="81"/>
            <rFont val="Tahoma"/>
            <family val="2"/>
          </rPr>
          <t xml:space="preserve">
Note 8 on 10Q reports figure includes Net Earnings. Why not in Retained Earnings?</t>
        </r>
      </text>
    </comment>
    <comment ref="CG101" authorId="4" shapeId="0" xr:uid="{00000000-0006-0000-0A00-000018000000}">
      <text>
        <r>
          <rPr>
            <b/>
            <sz val="8"/>
            <color indexed="81"/>
            <rFont val="Tahoma"/>
            <family val="2"/>
          </rPr>
          <t>Author:</t>
        </r>
        <r>
          <rPr>
            <sz val="8"/>
            <color indexed="81"/>
            <rFont val="Tahoma"/>
            <family val="2"/>
          </rPr>
          <t xml:space="preserve">
announced 4/28</t>
        </r>
      </text>
    </comment>
    <comment ref="CH101" authorId="0" shapeId="0" xr:uid="{00000000-0006-0000-0A00-000019000000}">
      <text>
        <r>
          <rPr>
            <b/>
            <sz val="8"/>
            <color indexed="81"/>
            <rFont val="Tahoma"/>
            <family val="2"/>
          </rPr>
          <t>Author:</t>
        </r>
        <r>
          <rPr>
            <sz val="8"/>
            <color indexed="81"/>
            <rFont val="Tahoma"/>
            <family val="2"/>
          </rPr>
          <t xml:space="preserve">
Announced 7/18/11
$0.57</t>
        </r>
      </text>
    </comment>
    <comment ref="CL101" authorId="0" shapeId="0" xr:uid="{00000000-0006-0000-0A00-00001A000000}">
      <text>
        <r>
          <rPr>
            <b/>
            <sz val="8"/>
            <color indexed="81"/>
            <rFont val="Tahoma"/>
            <family val="2"/>
          </rPr>
          <t>Author:</t>
        </r>
        <r>
          <rPr>
            <sz val="8"/>
            <color indexed="81"/>
            <rFont val="Tahoma"/>
            <family val="2"/>
          </rPr>
          <t xml:space="preserve">
Raised dividend to 61 cents payable of June 12, 2012</t>
        </r>
      </text>
    </comment>
    <comment ref="CQ101" authorId="7" shapeId="0" xr:uid="{00000000-0006-0000-0A00-00001B000000}">
      <text>
        <r>
          <rPr>
            <b/>
            <sz val="8"/>
            <color indexed="81"/>
            <rFont val="Tahoma"/>
            <family val="2"/>
          </rPr>
          <t>Author:</t>
        </r>
        <r>
          <rPr>
            <sz val="8"/>
            <color indexed="81"/>
            <rFont val="Tahoma"/>
            <family val="2"/>
          </rPr>
          <t xml:space="preserve">
4/25/13: raised dividend to $0.66 payable on June 11, 2013</t>
        </r>
      </text>
    </comment>
    <comment ref="CV101" authorId="7" shapeId="0" xr:uid="{00000000-0006-0000-0A00-00001C000000}">
      <text>
        <r>
          <rPr>
            <b/>
            <sz val="9"/>
            <color indexed="81"/>
            <rFont val="Tahoma"/>
            <family val="2"/>
          </rPr>
          <t>Author:</t>
        </r>
        <r>
          <rPr>
            <sz val="9"/>
            <color indexed="81"/>
            <rFont val="Tahoma"/>
            <family val="2"/>
          </rPr>
          <t xml:space="preserve">
4.24.14:
dividend increased to $0.70 payable on June 10, 2014</t>
        </r>
      </text>
    </comment>
    <comment ref="CX101" authorId="8" shapeId="0" xr:uid="{00000000-0006-0000-0A00-00001D000000}">
      <text>
        <r>
          <rPr>
            <b/>
            <sz val="9"/>
            <color indexed="81"/>
            <rFont val="Tahoma"/>
            <family val="2"/>
          </rPr>
          <t>Author:</t>
        </r>
        <r>
          <rPr>
            <sz val="9"/>
            <color indexed="81"/>
            <rFont val="Tahoma"/>
            <family val="2"/>
          </rPr>
          <t xml:space="preserve">
10/19/14: announced as of 10/16/14</t>
        </r>
      </text>
    </comment>
    <comment ref="DA101" authorId="7" shapeId="0" xr:uid="{00000000-0006-0000-0A00-00001E000000}">
      <text>
        <r>
          <rPr>
            <b/>
            <sz val="9"/>
            <color indexed="81"/>
            <rFont val="Tahoma"/>
            <family val="2"/>
          </rPr>
          <t>Author:</t>
        </r>
        <r>
          <rPr>
            <sz val="9"/>
            <color indexed="81"/>
            <rFont val="Tahoma"/>
            <family val="2"/>
          </rPr>
          <t xml:space="preserve">
4.24.15:
dividend increased to $0.75 payable on June 9, 2015</t>
        </r>
      </text>
    </comment>
    <comment ref="DF101" authorId="9" shapeId="0" xr:uid="{00000000-0006-0000-0A00-00001F000000}">
      <text>
        <r>
          <rPr>
            <b/>
            <sz val="9"/>
            <color indexed="81"/>
            <rFont val="Tahoma"/>
            <family val="2"/>
          </rPr>
          <t>Author:</t>
        </r>
        <r>
          <rPr>
            <sz val="9"/>
            <color indexed="81"/>
            <rFont val="Tahoma"/>
            <family val="2"/>
          </rPr>
          <t xml:space="preserve">
04 28 16:  6.7% increase in the quarterly dividend rate, from $0.75 per share to $0.80 per share.
https://example.com/</t>
        </r>
      </text>
    </comment>
    <comment ref="CL116" authorId="0" shapeId="0" xr:uid="{00000000-0006-0000-0A00-000020000000}">
      <text>
        <r>
          <rPr>
            <b/>
            <sz val="8"/>
            <color indexed="81"/>
            <rFont val="Tahoma"/>
            <family val="2"/>
          </rPr>
          <t>Author:</t>
        </r>
        <r>
          <rPr>
            <sz val="8"/>
            <color indexed="81"/>
            <rFont val="Tahoma"/>
            <family val="2"/>
          </rPr>
          <t xml:space="preserve">
Issue shares</t>
        </r>
      </text>
    </comment>
    <comment ref="CJ117" authorId="4" shapeId="0" xr:uid="{00000000-0006-0000-0A00-000021000000}">
      <text>
        <r>
          <rPr>
            <b/>
            <sz val="8"/>
            <color indexed="81"/>
            <rFont val="Tahoma"/>
            <family val="2"/>
          </rPr>
          <t>Author:</t>
        </r>
        <r>
          <rPr>
            <sz val="8"/>
            <color indexed="81"/>
            <rFont val="Tahoma"/>
            <family val="2"/>
          </rPr>
          <t xml:space="preserve">
no share buybacks in 2011 guidance</t>
        </r>
      </text>
    </comment>
    <comment ref="CL117" authorId="0" shapeId="0" xr:uid="{00000000-0006-0000-0A00-000022000000}">
      <text>
        <r>
          <rPr>
            <b/>
            <sz val="8"/>
            <color indexed="81"/>
            <rFont val="Tahoma"/>
            <family val="2"/>
          </rPr>
          <t>Author:</t>
        </r>
        <r>
          <rPr>
            <sz val="8"/>
            <color indexed="81"/>
            <rFont val="Tahoma"/>
            <family val="2"/>
          </rPr>
          <t xml:space="preserve">
Buyback of $203.7 mn shares</t>
        </r>
      </text>
    </comment>
    <comment ref="CX117" authorId="7" shapeId="0" xr:uid="{00000000-0006-0000-0A00-000023000000}">
      <text>
        <r>
          <rPr>
            <b/>
            <sz val="9"/>
            <color indexed="81"/>
            <rFont val="Tahoma"/>
            <family val="2"/>
          </rPr>
          <t>Author:</t>
        </r>
        <r>
          <rPr>
            <sz val="9"/>
            <color indexed="81"/>
            <rFont val="Tahoma"/>
            <family val="2"/>
          </rPr>
          <t xml:space="preserve">
7.15.14: step up share repruchases with proceeds from OCD divestiture
</t>
        </r>
      </text>
    </comment>
    <comment ref="CE124" authorId="0" shapeId="0" xr:uid="{00000000-0006-0000-0A00-000024000000}">
      <text>
        <r>
          <rPr>
            <b/>
            <sz val="8"/>
            <color indexed="81"/>
            <rFont val="Tahoma"/>
            <family val="2"/>
          </rPr>
          <t>Author:</t>
        </r>
        <r>
          <rPr>
            <sz val="8"/>
            <color indexed="81"/>
            <rFont val="Tahoma"/>
            <family val="2"/>
          </rPr>
          <t xml:space="preserve">
1.25.11 guided to $1.1bn in repurchases in 2010</t>
        </r>
      </text>
    </comment>
    <comment ref="CL124" authorId="0" shapeId="0" xr:uid="{00000000-0006-0000-0A00-000025000000}">
      <text>
        <r>
          <rPr>
            <b/>
            <sz val="8"/>
            <color indexed="81"/>
            <rFont val="Tahoma"/>
            <family val="2"/>
          </rPr>
          <t xml:space="preserve">Author:
</t>
        </r>
        <r>
          <rPr>
            <sz val="8"/>
            <color indexed="81"/>
            <rFont val="Tahoma"/>
            <family val="2"/>
          </rPr>
          <t>Accelerated share repurchase</t>
        </r>
      </text>
    </comment>
    <comment ref="EQ124" authorId="5" shapeId="0" xr:uid="{127B685F-4481-4A4D-9E2A-BE98F93F3F92}">
      <text>
        <r>
          <rPr>
            <b/>
            <sz val="9"/>
            <color indexed="81"/>
            <rFont val="Tahoma"/>
            <family val="2"/>
          </rPr>
          <t>Author:</t>
        </r>
        <r>
          <rPr>
            <sz val="9"/>
            <color indexed="81"/>
            <rFont val="Tahoma"/>
            <family val="2"/>
          </rPr>
          <t xml:space="preserve">
Shares were exchanged in split-off, not repurchased</t>
        </r>
      </text>
    </comment>
    <comment ref="EV124" authorId="5" shapeId="0" xr:uid="{CEC97B5F-7FA6-4638-8923-CB2268F96F51}">
      <text>
        <r>
          <rPr>
            <b/>
            <sz val="9"/>
            <color indexed="81"/>
            <rFont val="Tahoma"/>
            <family val="2"/>
          </rPr>
          <t>Author:</t>
        </r>
        <r>
          <rPr>
            <sz val="9"/>
            <color indexed="81"/>
            <rFont val="Tahoma"/>
            <family val="2"/>
          </rPr>
          <t xml:space="preserve">
Shares were exchanged in split-off, not repurchased</t>
        </r>
      </text>
    </comment>
    <comment ref="CL135" authorId="0" shapeId="0" xr:uid="{00000000-0006-0000-0A00-000026000000}">
      <text>
        <r>
          <rPr>
            <b/>
            <sz val="8"/>
            <color indexed="81"/>
            <rFont val="Tahoma"/>
            <family val="2"/>
          </rPr>
          <t>Author:</t>
        </r>
        <r>
          <rPr>
            <sz val="8"/>
            <color indexed="81"/>
            <rFont val="Tahoma"/>
            <family val="2"/>
          </rPr>
          <t xml:space="preserve">
Synthes step-up</t>
        </r>
      </text>
    </comment>
    <comment ref="EP137" authorId="5" shapeId="0" xr:uid="{B081784F-1DBE-48D5-90F4-20D1F73324C4}">
      <text>
        <r>
          <rPr>
            <sz val="9"/>
            <color indexed="81"/>
            <rFont val="Tahoma"/>
            <family val="2"/>
          </rPr>
          <t>Related to split-off of Company1510 - see Company1510 2Q23 10-Q</t>
        </r>
      </text>
    </comment>
    <comment ref="CL154" authorId="0" shapeId="0" xr:uid="{00000000-0006-0000-0A00-000027000000}">
      <text>
        <r>
          <rPr>
            <b/>
            <sz val="8"/>
            <color indexed="81"/>
            <rFont val="Tahoma"/>
            <family val="2"/>
          </rPr>
          <t>Author:</t>
        </r>
        <r>
          <rPr>
            <sz val="8"/>
            <color indexed="81"/>
            <rFont val="Tahoma"/>
            <family val="2"/>
          </rPr>
          <t xml:space="preserve">
Goodwill fr Synthes deal
</t>
        </r>
      </text>
    </comment>
    <comment ref="EP154" authorId="5" shapeId="0" xr:uid="{1EA78E02-0694-493F-A5FA-B1099243C3BC}">
      <text>
        <r>
          <rPr>
            <sz val="9"/>
            <color indexed="81"/>
            <rFont val="Tahoma"/>
            <family val="2"/>
          </rPr>
          <t>Related to split-off of Company1510 - see Company1510 2Q23 10-Q</t>
        </r>
      </text>
    </comment>
    <comment ref="EU154" authorId="5" shapeId="0" xr:uid="{DD7F5049-FE58-4E4A-B5B4-59B30571545A}">
      <text>
        <r>
          <rPr>
            <sz val="9"/>
            <color indexed="81"/>
            <rFont val="Tahoma"/>
            <family val="2"/>
          </rPr>
          <t>Related to split-off of Company1510 - see Company1510 2Q23 10-Q</t>
        </r>
      </text>
    </comment>
    <comment ref="EP157" authorId="5" shapeId="0" xr:uid="{7C5EF580-C6DC-44FD-9EC8-6A07D8AF330C}">
      <text>
        <r>
          <rPr>
            <b/>
            <sz val="9"/>
            <color indexed="81"/>
            <rFont val="Tahoma"/>
            <family val="2"/>
          </rPr>
          <t>Author:</t>
        </r>
        <r>
          <rPr>
            <sz val="9"/>
            <color indexed="81"/>
            <rFont val="Tahoma"/>
            <family val="2"/>
          </rPr>
          <t xml:space="preserve">
Change in gross intangibles and goodwill</t>
        </r>
      </text>
    </comment>
    <comment ref="EQ157" authorId="5" shapeId="0" xr:uid="{7587711C-5EF0-44D9-8B77-1FD703A6E7F9}">
      <text>
        <r>
          <rPr>
            <b/>
            <sz val="9"/>
            <color indexed="81"/>
            <rFont val="Tahoma"/>
            <family val="2"/>
          </rPr>
          <t>Author:</t>
        </r>
        <r>
          <rPr>
            <sz val="9"/>
            <color indexed="81"/>
            <rFont val="Tahoma"/>
            <family val="2"/>
          </rPr>
          <t xml:space="preserve">
Change in net intangibles and goodwill</t>
        </r>
      </text>
    </comment>
    <comment ref="EU157" authorId="5" shapeId="0" xr:uid="{A0428D24-A46F-4F1D-909D-872743E87598}">
      <text>
        <r>
          <rPr>
            <b/>
            <sz val="9"/>
            <color indexed="81"/>
            <rFont val="Tahoma"/>
            <family val="2"/>
          </rPr>
          <t>Author:</t>
        </r>
        <r>
          <rPr>
            <sz val="9"/>
            <color indexed="81"/>
            <rFont val="Tahoma"/>
            <family val="2"/>
          </rPr>
          <t xml:space="preserve">
Change in gross intangibles and goodwill</t>
        </r>
      </text>
    </comment>
    <comment ref="EV157" authorId="5" shapeId="0" xr:uid="{46D8E28D-EB7C-4B30-B139-8D2176A41C2D}">
      <text>
        <r>
          <rPr>
            <b/>
            <sz val="9"/>
            <color indexed="81"/>
            <rFont val="Tahoma"/>
            <family val="2"/>
          </rPr>
          <t>Author:</t>
        </r>
        <r>
          <rPr>
            <sz val="9"/>
            <color indexed="81"/>
            <rFont val="Tahoma"/>
            <family val="2"/>
          </rPr>
          <t xml:space="preserve">
Change in net intangibles and goodwill</t>
        </r>
      </text>
    </comment>
    <comment ref="CL159" authorId="0" shapeId="0" xr:uid="{00000000-0006-0000-0A00-000028000000}">
      <text>
        <r>
          <rPr>
            <b/>
            <sz val="8"/>
            <color indexed="81"/>
            <rFont val="Tahoma"/>
            <family val="2"/>
          </rPr>
          <t>Author:</t>
        </r>
        <r>
          <rPr>
            <sz val="8"/>
            <color indexed="81"/>
            <rFont val="Tahoma"/>
            <family val="2"/>
          </rPr>
          <t xml:space="preserve">
Intangibles from Synthes</t>
        </r>
      </text>
    </comment>
    <comment ref="EP159" authorId="5" shapeId="0" xr:uid="{CE2DE2C7-6B17-4639-8A34-61ED1B2EAED3}">
      <text>
        <r>
          <rPr>
            <b/>
            <sz val="9"/>
            <color indexed="81"/>
            <rFont val="Tahoma"/>
            <family val="2"/>
          </rPr>
          <t>Author:</t>
        </r>
        <r>
          <rPr>
            <sz val="9"/>
            <color indexed="81"/>
            <rFont val="Tahoma"/>
            <family val="2"/>
          </rPr>
          <t xml:space="preserve">
Change in net intangibles and goodwill</t>
        </r>
      </text>
    </comment>
    <comment ref="EU159" authorId="5" shapeId="0" xr:uid="{0631868E-DDE7-4CF0-A766-130E92386AC7}">
      <text>
        <r>
          <rPr>
            <b/>
            <sz val="9"/>
            <color indexed="81"/>
            <rFont val="Tahoma"/>
            <family val="2"/>
          </rPr>
          <t>Author:</t>
        </r>
        <r>
          <rPr>
            <sz val="9"/>
            <color indexed="81"/>
            <rFont val="Tahoma"/>
            <family val="2"/>
          </rPr>
          <t xml:space="preserve">
Change in net intangibles and goodwill</t>
        </r>
      </text>
    </comment>
    <comment ref="BU160" authorId="10" shapeId="0" xr:uid="{00000000-0006-0000-0A00-000029000000}">
      <text>
        <r>
          <rPr>
            <b/>
            <sz val="8"/>
            <color indexed="81"/>
            <rFont val="Tahoma"/>
            <family val="2"/>
          </rPr>
          <t>Author:</t>
        </r>
        <r>
          <rPr>
            <sz val="8"/>
            <color indexed="81"/>
            <rFont val="Tahoma"/>
            <family val="2"/>
          </rPr>
          <t xml:space="preserve">
per 2010 10K page 59
2008 $788 mn as amortization expense</t>
        </r>
      </text>
    </comment>
    <comment ref="BZ160" authorId="10" shapeId="0" xr:uid="{00000000-0006-0000-0A00-00002A000000}">
      <text>
        <r>
          <rPr>
            <b/>
            <sz val="8"/>
            <color indexed="81"/>
            <rFont val="Tahoma"/>
            <family val="2"/>
          </rPr>
          <t>Author:</t>
        </r>
        <r>
          <rPr>
            <sz val="8"/>
            <color indexed="81"/>
            <rFont val="Tahoma"/>
            <family val="2"/>
          </rPr>
          <t xml:space="preserve">
per 2010 10K page 59
2009 $675 mn as amortization expense</t>
        </r>
      </text>
    </comment>
    <comment ref="CE160" authorId="11" shapeId="0" xr:uid="{00000000-0006-0000-0A00-00002B000000}">
      <text>
        <r>
          <rPr>
            <b/>
            <sz val="8"/>
            <color indexed="81"/>
            <rFont val="Tahoma"/>
            <family val="2"/>
          </rPr>
          <t>Author:</t>
        </r>
        <r>
          <rPr>
            <sz val="8"/>
            <color indexed="81"/>
            <rFont val="Tahoma"/>
            <family val="2"/>
          </rPr>
          <t xml:space="preserve">
Per 2010 10K amortization expense was $748 mn
per 2009 10K estimated amort 700
</t>
        </r>
      </text>
    </comment>
    <comment ref="CO160" authorId="12" shapeId="0" xr:uid="{00000000-0006-0000-0A00-00002C000000}">
      <text>
        <r>
          <rPr>
            <b/>
            <sz val="8"/>
            <color indexed="81"/>
            <rFont val="Tahoma"/>
            <family val="2"/>
          </rPr>
          <t>Author:</t>
        </r>
        <r>
          <rPr>
            <sz val="8"/>
            <color indexed="81"/>
            <rFont val="Tahoma"/>
            <family val="2"/>
          </rPr>
          <t xml:space="preserve">
Per 2011 10-K guidance Pg 68</t>
        </r>
      </text>
    </comment>
    <comment ref="CT160" authorId="12" shapeId="0" xr:uid="{00000000-0006-0000-0A00-00002D000000}">
      <text>
        <r>
          <rPr>
            <b/>
            <sz val="8"/>
            <color indexed="81"/>
            <rFont val="Tahoma"/>
            <family val="2"/>
          </rPr>
          <t>Author:</t>
        </r>
        <r>
          <rPr>
            <sz val="8"/>
            <color indexed="81"/>
            <rFont val="Tahoma"/>
            <family val="2"/>
          </rPr>
          <t xml:space="preserve">
2.28.13 1350mn
Per 2011 10-K guidance Pg 68</t>
        </r>
      </text>
    </comment>
    <comment ref="CY160" authorId="12" shapeId="0" xr:uid="{00000000-0006-0000-0A00-00002E000000}">
      <text>
        <r>
          <rPr>
            <b/>
            <sz val="8"/>
            <color indexed="81"/>
            <rFont val="Tahoma"/>
            <family val="2"/>
          </rPr>
          <t>Author:</t>
        </r>
        <r>
          <rPr>
            <sz val="8"/>
            <color indexed="81"/>
            <rFont val="Tahoma"/>
            <family val="2"/>
          </rPr>
          <t xml:space="preserve">
2.28.13 1350mn
Per 2011 10-K guidance Pg 68</t>
        </r>
      </text>
    </comment>
    <comment ref="DD160" authorId="12" shapeId="0" xr:uid="{00000000-0006-0000-0A00-00002F000000}">
      <text>
        <r>
          <rPr>
            <b/>
            <sz val="8"/>
            <color indexed="81"/>
            <rFont val="Tahoma"/>
            <family val="2"/>
          </rPr>
          <t>Author:</t>
        </r>
        <r>
          <rPr>
            <sz val="8"/>
            <color indexed="81"/>
            <rFont val="Tahoma"/>
            <family val="2"/>
          </rPr>
          <t xml:space="preserve">
2.28.13 1350mn
Per 2011 10-K guidance Pg 68</t>
        </r>
      </text>
    </comment>
    <comment ref="DI160" authorId="12" shapeId="0" xr:uid="{00000000-0006-0000-0A00-000030000000}">
      <text>
        <r>
          <rPr>
            <b/>
            <sz val="8"/>
            <color indexed="81"/>
            <rFont val="Tahoma"/>
            <family val="2"/>
          </rPr>
          <t>Author:</t>
        </r>
        <r>
          <rPr>
            <sz val="8"/>
            <color indexed="81"/>
            <rFont val="Tahoma"/>
            <family val="2"/>
          </rPr>
          <t xml:space="preserve">
2.28.13 1350mn
Per 2011 10-K guidance Pg 68</t>
        </r>
      </text>
    </comment>
    <comment ref="DN160" authorId="12" shapeId="0" xr:uid="{00000000-0006-0000-0A00-000031000000}">
      <text>
        <r>
          <rPr>
            <b/>
            <sz val="8"/>
            <color indexed="81"/>
            <rFont val="Tahoma"/>
            <family val="2"/>
          </rPr>
          <t>Author:</t>
        </r>
        <r>
          <rPr>
            <sz val="8"/>
            <color indexed="81"/>
            <rFont val="Tahoma"/>
            <family val="2"/>
          </rPr>
          <t xml:space="preserve">
2.28.13 1350mn
Per 2011 10-K guidance Pg 68</t>
        </r>
      </text>
    </comment>
    <comment ref="DS160" authorId="12" shapeId="0" xr:uid="{00000000-0006-0000-0A00-000032000000}">
      <text>
        <r>
          <rPr>
            <b/>
            <sz val="8"/>
            <color indexed="81"/>
            <rFont val="Tahoma"/>
            <family val="2"/>
          </rPr>
          <t>Author:</t>
        </r>
        <r>
          <rPr>
            <sz val="8"/>
            <color indexed="81"/>
            <rFont val="Tahoma"/>
            <family val="2"/>
          </rPr>
          <t xml:space="preserve">
2.28.13 1350mn
Per 2011 10-K guidance Pg 68</t>
        </r>
      </text>
    </comment>
    <comment ref="DX160" authorId="12" shapeId="0" xr:uid="{00000000-0006-0000-0A00-000033000000}">
      <text>
        <r>
          <rPr>
            <b/>
            <sz val="8"/>
            <color indexed="81"/>
            <rFont val="Tahoma"/>
            <family val="2"/>
          </rPr>
          <t>Author:</t>
        </r>
        <r>
          <rPr>
            <sz val="8"/>
            <color indexed="81"/>
            <rFont val="Tahoma"/>
            <family val="2"/>
          </rPr>
          <t xml:space="preserve">
2.28.13 1350mn
Per 2011 10-K guidance Pg 68</t>
        </r>
      </text>
    </comment>
    <comment ref="EC160" authorId="12" shapeId="0" xr:uid="{00000000-0006-0000-0A00-000034000000}">
      <text>
        <r>
          <rPr>
            <b/>
            <sz val="8"/>
            <color indexed="81"/>
            <rFont val="Tahoma"/>
            <family val="2"/>
          </rPr>
          <t>Author:</t>
        </r>
        <r>
          <rPr>
            <sz val="8"/>
            <color indexed="81"/>
            <rFont val="Tahoma"/>
            <family val="2"/>
          </rPr>
          <t xml:space="preserve">
2.28.13 1350mn
Per 2011 10-K guidance Pg 68</t>
        </r>
      </text>
    </comment>
    <comment ref="B162" authorId="13" shapeId="0" xr:uid="{476B8B29-A910-49C0-B556-79238E901333}">
      <text>
        <r>
          <rPr>
            <b/>
            <sz val="9"/>
            <color indexed="81"/>
            <rFont val="Tahoma"/>
            <family val="2"/>
          </rPr>
          <t>Author:</t>
        </r>
        <r>
          <rPr>
            <sz val="9"/>
            <color indexed="81"/>
            <rFont val="Tahoma"/>
            <family val="2"/>
          </rPr>
          <t xml:space="preserve">
accumulated depreciation and amortization</t>
        </r>
      </text>
    </comment>
    <comment ref="EN164" authorId="5" shapeId="0" xr:uid="{2152A36E-E557-44C6-9554-1857F5F0FB82}">
      <text>
        <r>
          <rPr>
            <sz val="9"/>
            <color indexed="81"/>
            <rFont val="Tahoma"/>
            <family val="2"/>
          </rPr>
          <t>Total accumulated depreciation as of FY22</t>
        </r>
      </text>
    </comment>
    <comment ref="ES164" authorId="5" shapeId="0" xr:uid="{4CA6FBF9-4AEA-45E8-AC94-29EE7490907C}">
      <text>
        <r>
          <rPr>
            <sz val="9"/>
            <color indexed="81"/>
            <rFont val="Tahoma"/>
            <family val="2"/>
          </rPr>
          <t>Total accumulated depreciation as of FY22</t>
        </r>
      </text>
    </comment>
    <comment ref="CM211" authorId="0" shapeId="0" xr:uid="{00000000-0006-0000-0A00-000035000000}">
      <text>
        <r>
          <rPr>
            <b/>
            <sz val="8"/>
            <color indexed="81"/>
            <rFont val="Tahoma"/>
            <family val="2"/>
          </rPr>
          <t>Author:</t>
        </r>
        <r>
          <rPr>
            <sz val="8"/>
            <color indexed="81"/>
            <rFont val="Tahoma"/>
            <family val="2"/>
          </rPr>
          <t xml:space="preserve">
Aug 15 maturity</t>
        </r>
      </text>
    </comment>
    <comment ref="CQ211" authorId="12" shapeId="0" xr:uid="{00000000-0006-0000-0A00-000036000000}">
      <text>
        <r>
          <rPr>
            <b/>
            <sz val="8"/>
            <color indexed="81"/>
            <rFont val="Tahoma"/>
            <family val="2"/>
          </rPr>
          <t>Author:</t>
        </r>
        <r>
          <rPr>
            <sz val="8"/>
            <color indexed="81"/>
            <rFont val="Tahoma"/>
            <family val="2"/>
          </rPr>
          <t xml:space="preserve">
May maturity</t>
        </r>
      </text>
    </comment>
    <comment ref="CS211" authorId="14" shapeId="0" xr:uid="{00000000-0006-0000-0A00-000037000000}">
      <text>
        <r>
          <rPr>
            <b/>
            <sz val="9"/>
            <color indexed="81"/>
            <rFont val="Tahoma"/>
            <family val="2"/>
          </rPr>
          <t>Author:</t>
        </r>
        <r>
          <rPr>
            <sz val="9"/>
            <color indexed="81"/>
            <rFont val="Tahoma"/>
            <family val="2"/>
          </rPr>
          <t xml:space="preserve">
1.21.14: completed a $3.5 bn debt offering - to lock in some attractive LT rates</t>
        </r>
      </text>
    </comment>
    <comment ref="CV211" authorId="12" shapeId="0" xr:uid="{00000000-0006-0000-0A00-000038000000}">
      <text>
        <r>
          <rPr>
            <b/>
            <sz val="8"/>
            <color indexed="81"/>
            <rFont val="Tahoma"/>
            <family val="2"/>
          </rPr>
          <t>Author:</t>
        </r>
        <r>
          <rPr>
            <sz val="8"/>
            <color indexed="81"/>
            <rFont val="Tahoma"/>
            <family val="2"/>
          </rPr>
          <t xml:space="preserve">
May maturity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Author19</author>
    <author>Author22</author>
    <author>Person1216, Person0289 B </author>
    <author>Author103</author>
    <author>Person0136, Person0241 </author>
    <author>Author23</author>
    <author>Author2</author>
    <author>Author102</author>
  </authors>
  <commentList>
    <comment ref="Z12" authorId="0" shapeId="0" xr:uid="{00000000-0006-0000-0B00-000001000000}">
      <text>
        <r>
          <rPr>
            <b/>
            <sz val="8"/>
            <color indexed="81"/>
            <rFont val="Tahoma"/>
            <family val="2"/>
          </rPr>
          <t>Author:</t>
        </r>
        <r>
          <rPr>
            <sz val="8"/>
            <color indexed="81"/>
            <rFont val="Tahoma"/>
            <family val="2"/>
          </rPr>
          <t xml:space="preserve">
Numbers updated from 2000 financial statements from here forward</t>
        </r>
      </text>
    </comment>
    <comment ref="CR17" authorId="1" shapeId="0" xr:uid="{00000000-0006-0000-0B00-000002000000}">
      <text>
        <r>
          <rPr>
            <b/>
            <sz val="8"/>
            <color indexed="81"/>
            <rFont val="Tahoma"/>
            <family val="2"/>
          </rPr>
          <t>Author:</t>
        </r>
        <r>
          <rPr>
            <sz val="8"/>
            <color indexed="81"/>
            <rFont val="Tahoma"/>
            <family val="2"/>
          </rPr>
          <t xml:space="preserve">
Venezuelan currency devaluation</t>
        </r>
      </text>
    </comment>
    <comment ref="CS17" authorId="1" shapeId="0" xr:uid="{00000000-0006-0000-0B00-000003000000}">
      <text>
        <r>
          <rPr>
            <b/>
            <sz val="8"/>
            <color indexed="81"/>
            <rFont val="Tahoma"/>
            <family val="2"/>
          </rPr>
          <t>Author:</t>
        </r>
        <r>
          <rPr>
            <sz val="8"/>
            <color indexed="81"/>
            <rFont val="Tahoma"/>
            <family val="2"/>
          </rPr>
          <t xml:space="preserve">
Venezuelan currency devaluation</t>
        </r>
      </text>
    </comment>
    <comment ref="CR18" authorId="1" shapeId="0" xr:uid="{00000000-0006-0000-0B00-000004000000}">
      <text>
        <r>
          <rPr>
            <b/>
            <sz val="8"/>
            <color indexed="81"/>
            <rFont val="Tahoma"/>
            <family val="2"/>
          </rPr>
          <t>Author:</t>
        </r>
        <r>
          <rPr>
            <sz val="8"/>
            <color indexed="81"/>
            <rFont val="Tahoma"/>
            <family val="2"/>
          </rPr>
          <t xml:space="preserve">
asset write down</t>
        </r>
      </text>
    </comment>
    <comment ref="CS18" authorId="1" shapeId="0" xr:uid="{00000000-0006-0000-0B00-000005000000}">
      <text>
        <r>
          <rPr>
            <b/>
            <sz val="8"/>
            <color indexed="81"/>
            <rFont val="Tahoma"/>
            <family val="2"/>
          </rPr>
          <t>Author:</t>
        </r>
        <r>
          <rPr>
            <sz val="8"/>
            <color indexed="81"/>
            <rFont val="Tahoma"/>
            <family val="2"/>
          </rPr>
          <t xml:space="preserve">
asset write down</t>
        </r>
      </text>
    </comment>
    <comment ref="DD18" authorId="1" shapeId="0" xr:uid="{00000000-0006-0000-0B00-000006000000}">
      <text>
        <r>
          <rPr>
            <b/>
            <sz val="9"/>
            <color indexed="81"/>
            <rFont val="Tahoma"/>
            <family val="2"/>
          </rPr>
          <t>Author:</t>
        </r>
        <r>
          <rPr>
            <sz val="9"/>
            <color indexed="81"/>
            <rFont val="Tahoma"/>
            <family val="2"/>
          </rPr>
          <t xml:space="preserve">
11.16.15:  adding 2 for accounts receivable allowances</t>
        </r>
      </text>
    </comment>
    <comment ref="EA18" authorId="2" shapeId="0" xr:uid="{00000000-0006-0000-0B00-000007000000}">
      <text>
        <r>
          <rPr>
            <b/>
            <sz val="9"/>
            <color indexed="81"/>
            <rFont val="Tahoma"/>
            <family val="2"/>
          </rPr>
          <t>Author:</t>
        </r>
        <r>
          <rPr>
            <sz val="9"/>
            <color indexed="81"/>
            <rFont val="Tahoma"/>
            <family val="2"/>
          </rPr>
          <t xml:space="preserve">
includes 983mn of contingent consideration reversal</t>
        </r>
      </text>
    </comment>
    <comment ref="AG22" authorId="3" shapeId="0" xr:uid="{00000000-0006-0000-0B00-000008000000}">
      <text>
        <r>
          <rPr>
            <b/>
            <sz val="8"/>
            <color indexed="81"/>
            <rFont val="Tahoma"/>
            <family val="2"/>
          </rPr>
          <t>Author:</t>
        </r>
        <r>
          <rPr>
            <sz val="8"/>
            <color indexed="81"/>
            <rFont val="Tahoma"/>
            <family val="2"/>
          </rPr>
          <t xml:space="preserve">
Includes $25 million in increased accounts receivable reserves</t>
        </r>
      </text>
    </comment>
    <comment ref="CY25" authorId="4" shapeId="0" xr:uid="{00000000-0006-0000-0B00-000009000000}">
      <text>
        <r>
          <rPr>
            <b/>
            <sz val="9"/>
            <color indexed="81"/>
            <rFont val="Tahoma"/>
            <family val="2"/>
          </rPr>
          <t>Author:</t>
        </r>
        <r>
          <rPr>
            <sz val="9"/>
            <color indexed="81"/>
            <rFont val="Tahoma"/>
            <family val="2"/>
          </rPr>
          <t xml:space="preserve">
1/11/15: added "Net gain of sale of assets/businesses" here</t>
        </r>
      </text>
    </comment>
    <comment ref="CV29" authorId="1" shapeId="0" xr:uid="{00000000-0006-0000-0B00-00000A000000}">
      <text>
        <r>
          <rPr>
            <b/>
            <sz val="9"/>
            <color indexed="81"/>
            <rFont val="Tahoma"/>
            <family val="2"/>
          </rPr>
          <t>Author:</t>
        </r>
        <r>
          <rPr>
            <sz val="9"/>
            <color indexed="81"/>
            <rFont val="Tahoma"/>
            <family val="2"/>
          </rPr>
          <t xml:space="preserve">
7.16.13
"for the first half of the year, free cash flow is a little over $6 billion. So we expect to be well north of $12 billion for the year, which is where we ended last year's free cash flow. So I think we'll see '13 overall free cash flow generation better than we saw in '12. And we're off to a good start already.
Assuming $3bn in CapEx, Cash Flow from Ops should be around over $15 bn in 2013.</t>
        </r>
      </text>
    </comment>
    <comment ref="DA29" authorId="4" shapeId="0" xr:uid="{00000000-0006-0000-0B00-00000B000000}">
      <text>
        <r>
          <rPr>
            <b/>
            <sz val="9"/>
            <color indexed="81"/>
            <rFont val="Tahoma"/>
            <family val="2"/>
          </rPr>
          <t>Author:</t>
        </r>
        <r>
          <rPr>
            <sz val="9"/>
            <color indexed="81"/>
            <rFont val="Tahoma"/>
            <family val="2"/>
          </rPr>
          <t xml:space="preserve">
within 95%-105% of net income
"dominic caruso- "Thanks for the comments on free cash flow. Our teams do a great job of managing, not only the P&amp;L, but also the cash generation. If you look at our history, our free cash flow essentially equates to our earnings, within a band of somewhere between 95% to 105%. So if you're modeling it within that range, that's about what we should expect."
"</t>
        </r>
      </text>
    </comment>
    <comment ref="CA34" authorId="5" shapeId="0" xr:uid="{00000000-0006-0000-0B00-00000C000000}">
      <text>
        <r>
          <rPr>
            <b/>
            <sz val="8"/>
            <color indexed="81"/>
            <rFont val="Tahoma"/>
            <family val="2"/>
          </rPr>
          <t>Author:</t>
        </r>
        <r>
          <rPr>
            <sz val="8"/>
            <color indexed="81"/>
            <rFont val="Tahoma"/>
            <family val="2"/>
          </rPr>
          <t xml:space="preserve">
Company0705 deal</t>
        </r>
      </text>
    </comment>
    <comment ref="CN34" authorId="6" shapeId="0" xr:uid="{00000000-0006-0000-0B00-00000D000000}">
      <text>
        <r>
          <rPr>
            <b/>
            <sz val="8"/>
            <color indexed="81"/>
            <rFont val="Tahoma"/>
            <family val="2"/>
          </rPr>
          <t>Author:</t>
        </r>
        <r>
          <rPr>
            <sz val="8"/>
            <color indexed="81"/>
            <rFont val="Tahoma"/>
            <family val="2"/>
          </rPr>
          <t xml:space="preserve">
Acquisition of Synthes</t>
        </r>
      </text>
    </comment>
    <comment ref="X46" authorId="7" shapeId="0" xr:uid="{00000000-0006-0000-0B00-00000E000000}">
      <text>
        <r>
          <rPr>
            <b/>
            <sz val="8"/>
            <color indexed="81"/>
            <rFont val="Tahoma"/>
            <family val="2"/>
          </rPr>
          <t>Author:</t>
        </r>
        <r>
          <rPr>
            <sz val="8"/>
            <color indexed="81"/>
            <rFont val="Tahoma"/>
            <family val="2"/>
          </rPr>
          <t xml:space="preserve">
includes "issuances of common stock"</t>
        </r>
      </text>
    </comment>
    <comment ref="AC46" authorId="7" shapeId="0" xr:uid="{00000000-0006-0000-0B00-00000F000000}">
      <text>
        <r>
          <rPr>
            <b/>
            <sz val="8"/>
            <color indexed="81"/>
            <rFont val="Tahoma"/>
            <family val="2"/>
          </rPr>
          <t>Author:</t>
        </r>
        <r>
          <rPr>
            <sz val="8"/>
            <color indexed="81"/>
            <rFont val="Tahoma"/>
            <family val="2"/>
          </rPr>
          <t xml:space="preserve">
includes "issuances of common stock"</t>
        </r>
      </text>
    </comment>
    <comment ref="AH46" authorId="7" shapeId="0" xr:uid="{00000000-0006-0000-0B00-000010000000}">
      <text>
        <r>
          <rPr>
            <b/>
            <sz val="8"/>
            <color indexed="81"/>
            <rFont val="Tahoma"/>
            <family val="2"/>
          </rPr>
          <t>Author:</t>
        </r>
        <r>
          <rPr>
            <sz val="8"/>
            <color indexed="81"/>
            <rFont val="Tahoma"/>
            <family val="2"/>
          </rPr>
          <t xml:space="preserve">
includes "issuances of common stock"</t>
        </r>
      </text>
    </comment>
    <comment ref="AM46" authorId="7" shapeId="0" xr:uid="{00000000-0006-0000-0B00-000011000000}">
      <text>
        <r>
          <rPr>
            <b/>
            <sz val="8"/>
            <color indexed="81"/>
            <rFont val="Tahoma"/>
            <family val="2"/>
          </rPr>
          <t>Author:</t>
        </r>
        <r>
          <rPr>
            <sz val="8"/>
            <color indexed="81"/>
            <rFont val="Tahoma"/>
            <family val="2"/>
          </rPr>
          <t xml:space="preserve">
includes "issuances of common stock"</t>
        </r>
      </text>
    </comment>
    <comment ref="AR46" authorId="7" shapeId="0" xr:uid="{00000000-0006-0000-0B00-000012000000}">
      <text>
        <r>
          <rPr>
            <b/>
            <sz val="8"/>
            <color indexed="81"/>
            <rFont val="Tahoma"/>
            <family val="2"/>
          </rPr>
          <t>Author:</t>
        </r>
        <r>
          <rPr>
            <sz val="8"/>
            <color indexed="81"/>
            <rFont val="Tahoma"/>
            <family val="2"/>
          </rPr>
          <t xml:space="preserve">
includes "issuances of common stock"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Person1256, Person0289 </author>
    <author>Person1266, Person0521 </author>
  </authors>
  <commentList>
    <comment ref="D8" authorId="0" shapeId="0" xr:uid="{ECF9FF81-825D-428C-91E0-19AB9625D114}">
      <text>
        <r>
          <rPr>
            <sz val="9"/>
            <color indexed="81"/>
            <rFont val="Tahoma"/>
            <family val="2"/>
          </rPr>
          <t xml:space="preserve">
https://example.com/)04776-5/fulltext#:~:text=Extrapolated%20to%20the%202020%20US%20Census%20estimate,colitis%2C%20and%201.011%20million%20with%20Crohn's%20disease.
1.2M for UC, 1.0M for CD
CS: Note, data provided by Company0137 from their consultants claims based data cites 2020 US of 943k - with MILD 162k (=17%); MODERATE 435k (=46%) and SEVERE 346k (37%)</t>
        </r>
      </text>
    </comment>
    <comment ref="E8" authorId="1" shapeId="0" xr:uid="{9B60A9FD-E442-47DE-B3CF-702A62B0120F}">
      <text>
        <r>
          <rPr>
            <sz val="9"/>
            <color indexed="81"/>
            <rFont val="Tahoma"/>
            <family val="2"/>
          </rPr>
          <t xml:space="preserve">
Company2268 estimates 926K patients in the US</t>
        </r>
      </text>
    </comment>
    <comment ref="E9" authorId="1" shapeId="0" xr:uid="{C8D4AB86-FE36-4112-BF89-18CF05E9F955}">
      <text>
        <r>
          <rPr>
            <sz val="9"/>
            <color indexed="81"/>
            <rFont val="Tahoma"/>
            <family val="2"/>
          </rPr>
          <t xml:space="preserve">
Assumes growth in line with est rate of US population</t>
        </r>
      </text>
    </comment>
    <comment ref="C12" authorId="1" shapeId="0" xr:uid="{8124F6B7-42CD-4CA7-BF39-02E2DC09812F}">
      <text>
        <r>
          <rPr>
            <sz val="9"/>
            <color indexed="81"/>
            <rFont val="Tahoma"/>
            <family val="2"/>
          </rPr>
          <t xml:space="preserve">
DRG Data 2019 - references analysis by Company2583</t>
        </r>
      </text>
    </comment>
    <comment ref="C24" authorId="1" shapeId="0" xr:uid="{DEDC07D9-B907-4107-AA28-A37F658C59D6}">
      <text>
        <r>
          <rPr>
            <b/>
            <sz val="9"/>
            <color indexed="81"/>
            <rFont val="Tahoma"/>
            <family val="2"/>
          </rPr>
          <t xml:space="preserve">Author://https://example.com/
</t>
        </r>
        <r>
          <rPr>
            <sz val="9"/>
            <color indexed="81"/>
            <rFont val="Tahoma"/>
            <family val="2"/>
          </rPr>
          <t xml:space="preserve">
</t>
        </r>
      </text>
    </comment>
    <comment ref="C25" authorId="1" shapeId="0" xr:uid="{2BEA7973-9E27-4DE9-8E5B-BACC96D9936C}">
      <text>
        <r>
          <rPr>
            <sz val="9"/>
            <color indexed="81"/>
            <rFont val="Tahoma"/>
            <family val="2"/>
          </rPr>
          <t xml:space="preserve">
KOL diligence indicates that 65-75% of patients are in remission</t>
        </r>
      </text>
    </comment>
    <comment ref="H28" authorId="0" shapeId="0" xr:uid="{7053F44D-DA3F-4B23-B260-8ED5328BCFEC}">
      <text>
        <r>
          <rPr>
            <sz val="9"/>
            <color indexed="81"/>
            <rFont val="Tahoma"/>
            <family val="2"/>
          </rPr>
          <t xml:space="preserve">
Product0387 biosimilar available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Person1256, Person0289 </author>
    <author>Person1266, Person0521 </author>
    <author>Person0753, Person0257 </author>
  </authors>
  <commentList>
    <comment ref="D8" authorId="0" shapeId="0" xr:uid="{6BFD923B-9E92-4B87-A12D-E09CAC41C071}">
      <text>
        <r>
          <rPr>
            <sz val="9"/>
            <color indexed="81"/>
            <rFont val="Tahoma"/>
            <family val="2"/>
          </rPr>
          <t xml:space="preserve">
https://example.com/)04776-5/fulltext#:~:text=Extrapolated%20to%20the%202020%20US%20Census%20estimate,colitis%2C%20and%201.011%20million%20with%20Crohn's%20disease.
1.2M for UC, 1.0M for CD
CS: Note, data provided by Company0137 from their consultants claims based data cites 2020 US of 943k - with MILD 162k (=17%); MODERATE 435k (=46%) and SEVERE 346k (37%)</t>
        </r>
      </text>
    </comment>
    <comment ref="E9" authorId="1" shapeId="0" xr:uid="{BAF7FA5C-0D0C-4E5D-A508-203C1E8E2028}">
      <text>
        <r>
          <rPr>
            <sz val="9"/>
            <color indexed="81"/>
            <rFont val="Tahoma"/>
            <family val="2"/>
          </rPr>
          <t xml:space="preserve">
Assumes growth in line with est rate of US population</t>
        </r>
      </text>
    </comment>
    <comment ref="C13" authorId="2" shapeId="0" xr:uid="{3817B2B4-D4B3-43B9-A462-83F9FA56ABFD}">
      <text>
        <r>
          <rPr>
            <sz val="9"/>
            <color indexed="81"/>
            <rFont val="Tahoma"/>
            <family val="2"/>
          </rPr>
          <t xml:space="preserve">
increasing form 52% (cited in 2002 publication - Person0672 et. al) to 60% to reflect greater adoption of biologic therapy in CD due to the advent of available options in line with KOL feedback. </t>
        </r>
      </text>
    </comment>
    <comment ref="C15" authorId="2" shapeId="0" xr:uid="{10094257-14A5-4B7F-946D-2E6BA2DD5150}">
      <text>
        <r>
          <rPr>
            <sz val="9"/>
            <color indexed="81"/>
            <rFont val="Tahoma"/>
            <family val="2"/>
          </rPr>
          <t xml:space="preserve">
35-45% of patients on TNF. Current stelara use range between 25% - 35% per multiple KOLs.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Person1266, Person0521 </author>
  </authors>
  <commentList>
    <comment ref="D4" authorId="0" shapeId="0" xr:uid="{508007DA-8E71-4F4C-BF8C-9D2DC4466644}">
      <text>
        <r>
          <rPr>
            <b/>
            <sz val="9"/>
            <color indexed="81"/>
            <rFont val="Tahoma"/>
            <family val="2"/>
          </rPr>
          <t>FY24 Historicals, assuming all 2024 sales from PsO.</t>
        </r>
      </text>
    </comment>
    <comment ref="D5" authorId="0" shapeId="0" xr:uid="{87BB6346-FEF1-41B6-AED0-52C7C1825A48}">
      <text>
        <r>
          <rPr>
            <b/>
            <sz val="9"/>
            <color indexed="81"/>
            <rFont val="Tahoma"/>
            <family val="2"/>
          </rPr>
          <t>FY24 Historicals, assuming all 2024 sales from PsO.</t>
        </r>
      </text>
    </comment>
  </commentList>
</comments>
</file>

<file path=xl/sharedStrings.xml><?xml version="1.0" encoding="utf-8"?>
<sst xmlns="http://schemas.openxmlformats.org/spreadsheetml/2006/main" count="2651" uniqueCount="1110">
  <si>
    <t>Sales Model</t>
  </si>
  <si>
    <t>Gross PP&amp;E</t>
  </si>
  <si>
    <t>Simponi</t>
  </si>
  <si>
    <t>Product0387</t>
  </si>
  <si>
    <t>Prezista</t>
  </si>
  <si>
    <t xml:space="preserve">Sales </t>
  </si>
  <si>
    <t>Net Earnings</t>
  </si>
  <si>
    <t>In-process R&amp;D</t>
  </si>
  <si>
    <t>Pretax Income (cont ops)</t>
  </si>
  <si>
    <t>Remicade</t>
  </si>
  <si>
    <t>Product0342</t>
  </si>
  <si>
    <t>1Q07</t>
  </si>
  <si>
    <t>1Q05</t>
  </si>
  <si>
    <t>Total Sales</t>
  </si>
  <si>
    <t>Company0795</t>
  </si>
  <si>
    <t>2Q03</t>
  </si>
  <si>
    <t>3Q03</t>
  </si>
  <si>
    <t>Product0260</t>
  </si>
  <si>
    <t>Product0443</t>
  </si>
  <si>
    <t>Worldwide</t>
  </si>
  <si>
    <t>Other</t>
  </si>
  <si>
    <t>Balance Sheet</t>
  </si>
  <si>
    <t>Short-term debt</t>
  </si>
  <si>
    <t>Long-term debt</t>
  </si>
  <si>
    <t>Quick Ratio</t>
  </si>
  <si>
    <t>Current Ratio</t>
  </si>
  <si>
    <t>Cash Cycle</t>
  </si>
  <si>
    <t>NA</t>
  </si>
  <si>
    <t>Ticker0018</t>
  </si>
  <si>
    <t xml:space="preserve"> </t>
  </si>
  <si>
    <t>Total Debt</t>
  </si>
  <si>
    <t>Company1438</t>
  </si>
  <si>
    <t>SG&amp;A</t>
  </si>
  <si>
    <t>R&amp;D</t>
  </si>
  <si>
    <t>Product0128</t>
  </si>
  <si>
    <t>Mentor</t>
  </si>
  <si>
    <t>Mentor, % YoY growth</t>
  </si>
  <si>
    <t>Diluted EPS (cont ops, excl ESO)</t>
  </si>
  <si>
    <t>Interest income</t>
  </si>
  <si>
    <t xml:space="preserve">Company0931  </t>
  </si>
  <si>
    <t>2Q07</t>
  </si>
  <si>
    <t>Total current assets</t>
  </si>
  <si>
    <t>2Q05</t>
  </si>
  <si>
    <t>Marketable securities, non-current</t>
  </si>
  <si>
    <t>PP&amp;E, net of depreciation</t>
  </si>
  <si>
    <t>Wound Care, % YoY growth</t>
  </si>
  <si>
    <t>3Q04</t>
  </si>
  <si>
    <t>4Q04</t>
  </si>
  <si>
    <t>Prepaid expenses and other receivables</t>
  </si>
  <si>
    <t>Accumulated Depreciation</t>
  </si>
  <si>
    <t>Useful life (gross PPE/dep expense)</t>
  </si>
  <si>
    <t>PPE Asset turns</t>
  </si>
  <si>
    <t>Goodwill</t>
  </si>
  <si>
    <t>Goodwill, BOP</t>
  </si>
  <si>
    <t>Additions (Impairment)</t>
  </si>
  <si>
    <t>Goodwill, EOP</t>
  </si>
  <si>
    <t>MD&amp;D Excise tax</t>
  </si>
  <si>
    <t>Net Intangibles, BOP</t>
  </si>
  <si>
    <t>Amortization expense</t>
  </si>
  <si>
    <t>Net Intangibles, EOP</t>
  </si>
  <si>
    <t>Ratio Analysis</t>
  </si>
  <si>
    <t>Liquidity Ratios</t>
  </si>
  <si>
    <t>Profitability Ratios</t>
  </si>
  <si>
    <t>ROA</t>
  </si>
  <si>
    <t>Leverage Ratios</t>
  </si>
  <si>
    <t>Total Debt/Equity</t>
  </si>
  <si>
    <t>Total Debt/Capital</t>
  </si>
  <si>
    <t>Opening Balance</t>
  </si>
  <si>
    <t>(Add) Net Income</t>
  </si>
  <si>
    <t>(Less) Total Dividend Paid</t>
  </si>
  <si>
    <t>Net Issuance</t>
  </si>
  <si>
    <t>Change in AOCI</t>
  </si>
  <si>
    <t>Restricted Stock</t>
  </si>
  <si>
    <t>Closing Balance</t>
  </si>
  <si>
    <t>Net Margin</t>
  </si>
  <si>
    <t>Shares</t>
  </si>
  <si>
    <t>ST Investments</t>
  </si>
  <si>
    <t>ST Investments, BOP</t>
  </si>
  <si>
    <t>+/- Purchase(Sale) of Securities</t>
  </si>
  <si>
    <t>ST Investments, EOP</t>
  </si>
  <si>
    <t>LT Investments</t>
  </si>
  <si>
    <t>LT Investments, BOP</t>
  </si>
  <si>
    <t>LT Investments, EOP</t>
  </si>
  <si>
    <t>Short-term Debt</t>
  </si>
  <si>
    <t>Additions (repayment)</t>
  </si>
  <si>
    <t>Long-term Debt</t>
  </si>
  <si>
    <t>Share repurchases</t>
  </si>
  <si>
    <t>Change in shares</t>
  </si>
  <si>
    <t>Cash as % of sales</t>
  </si>
  <si>
    <t>Cash as % assets</t>
  </si>
  <si>
    <t>Debt as % of assets</t>
  </si>
  <si>
    <t>Excess cash flow</t>
  </si>
  <si>
    <t>Treasury Stock</t>
  </si>
  <si>
    <t>Treasury Stock, BOP</t>
  </si>
  <si>
    <t>+ Shares Repurchased (issued)</t>
  </si>
  <si>
    <t>Treasury Stock, EOP</t>
  </si>
  <si>
    <t>Additional Paid in Capital</t>
  </si>
  <si>
    <t>APIC, BOP</t>
  </si>
  <si>
    <t>+Proceeds from Stock Option Ex</t>
  </si>
  <si>
    <t>-Stock Compensation Expense</t>
  </si>
  <si>
    <t>APIC, EOP</t>
  </si>
  <si>
    <t>PP &amp; E</t>
  </si>
  <si>
    <t>PP&amp;E net, (BOP)</t>
  </si>
  <si>
    <t>+ Capex</t>
  </si>
  <si>
    <t>Capex % Sales</t>
  </si>
  <si>
    <t>- Disposals/Impairment</t>
  </si>
  <si>
    <t>- Depreciation Expense</t>
  </si>
  <si>
    <t>PP&amp;E Net, (EOP)</t>
  </si>
  <si>
    <t>Gross PPE</t>
  </si>
  <si>
    <t>EU 2019</t>
  </si>
  <si>
    <t>Net Income (cont ops, exc ESO))</t>
  </si>
  <si>
    <t>Diluted EPS (cont ops, inc ESO)</t>
  </si>
  <si>
    <t>Net Income (GAAP, inc ESO)</t>
  </si>
  <si>
    <t>Basic EPS (cont ops, inc ESO)</t>
  </si>
  <si>
    <t>Basic EPS (GAAP)</t>
  </si>
  <si>
    <t>Basic EPS (cont ops, exc ESO)</t>
  </si>
  <si>
    <t>Diluted EPS (GAAP)</t>
  </si>
  <si>
    <t>Product0267 (tapentadol), % YoY growth</t>
  </si>
  <si>
    <t>Shares outstanding (diluted)</t>
  </si>
  <si>
    <t>Product0462 Health</t>
  </si>
  <si>
    <t>Company0931 Company0917 Surgery</t>
  </si>
  <si>
    <t>Baby &amp; Kids care</t>
  </si>
  <si>
    <t>2Q08</t>
  </si>
  <si>
    <t>Net Debt</t>
  </si>
  <si>
    <t>Person0249, % YoY growth</t>
  </si>
  <si>
    <t>Total International, % YoY growth (ex-currency)</t>
  </si>
  <si>
    <t>growth</t>
  </si>
  <si>
    <t>Product0205 (Product0127 CR), % YoY growth</t>
  </si>
  <si>
    <t>Anti-virals, % YoY growth</t>
  </si>
  <si>
    <t>Product0443, % YoY growth</t>
  </si>
  <si>
    <t>Intelence (TMC125), % YoY growth</t>
  </si>
  <si>
    <t>Diabetes Care, % YoY growth</t>
  </si>
  <si>
    <t>Total U.S, % YoY growth</t>
  </si>
  <si>
    <t>Total International, % YoY growth</t>
  </si>
  <si>
    <t>Company0931 , % YoY growth</t>
  </si>
  <si>
    <t>Company0931 Company0917 Surgery, % YoY growth</t>
  </si>
  <si>
    <t>Neurovascular, % YoY growth</t>
  </si>
  <si>
    <t>Other Company0695, % YoY growth</t>
  </si>
  <si>
    <t>Other Company0795, % YoY growth</t>
  </si>
  <si>
    <t>Global Neuroscience, % YoY growth</t>
  </si>
  <si>
    <t>3Q09</t>
  </si>
  <si>
    <t>4Q09</t>
  </si>
  <si>
    <t>ESO expense (pre-tax)</t>
  </si>
  <si>
    <t>ESO expense (post-tax)</t>
  </si>
  <si>
    <t>4Q07</t>
  </si>
  <si>
    <t>1Q08</t>
  </si>
  <si>
    <t>Wound Care, other</t>
  </si>
  <si>
    <t>4Q03</t>
  </si>
  <si>
    <t>Diluted shares outstanding</t>
  </si>
  <si>
    <t>Cash &amp; Equivalents</t>
  </si>
  <si>
    <t>Depreciation</t>
  </si>
  <si>
    <t>Other (inc. Company1390 Medical)</t>
  </si>
  <si>
    <t>Check</t>
  </si>
  <si>
    <t>US</t>
  </si>
  <si>
    <t>Oncology</t>
  </si>
  <si>
    <t>Income Statement</t>
  </si>
  <si>
    <t xml:space="preserve">U.S. </t>
  </si>
  <si>
    <t>International (ex-currency)</t>
  </si>
  <si>
    <t>Cypher, % YoY growth</t>
  </si>
  <si>
    <t>1Q99</t>
  </si>
  <si>
    <t>2Q99</t>
  </si>
  <si>
    <t>3Q99</t>
  </si>
  <si>
    <t>4Q99</t>
  </si>
  <si>
    <t>1Q00</t>
  </si>
  <si>
    <t>2Q00</t>
  </si>
  <si>
    <t>3Q00</t>
  </si>
  <si>
    <t>4Q00</t>
  </si>
  <si>
    <t>1Q01</t>
  </si>
  <si>
    <t>2Q01</t>
  </si>
  <si>
    <t>3Q01</t>
  </si>
  <si>
    <t>4Q01</t>
  </si>
  <si>
    <t>4Q08</t>
  </si>
  <si>
    <t>1Q10</t>
  </si>
  <si>
    <t>3Q02</t>
  </si>
  <si>
    <t>4Q02</t>
  </si>
  <si>
    <t>CONSUMER</t>
  </si>
  <si>
    <t>1Q03</t>
  </si>
  <si>
    <t>Pharma</t>
  </si>
  <si>
    <t>Shareholder's Equity</t>
  </si>
  <si>
    <t>Book Value Per Share</t>
  </si>
  <si>
    <t>Tax rate</t>
  </si>
  <si>
    <t>Source: Company reports and our estimates.</t>
  </si>
  <si>
    <t>Sales Breakdown</t>
  </si>
  <si>
    <t xml:space="preserve">   Total</t>
  </si>
  <si>
    <t>Total International</t>
  </si>
  <si>
    <t>Company0695</t>
  </si>
  <si>
    <t>Consumer</t>
  </si>
  <si>
    <t xml:space="preserve">  U.S. </t>
  </si>
  <si>
    <t>Total</t>
  </si>
  <si>
    <t>Phase III</t>
  </si>
  <si>
    <t>3Q05</t>
  </si>
  <si>
    <t>Other, % YoY growth</t>
  </si>
  <si>
    <t>LT Debt/Equity</t>
  </si>
  <si>
    <t>ROE</t>
  </si>
  <si>
    <t>Interest expense</t>
  </si>
  <si>
    <t>Concerta</t>
  </si>
  <si>
    <t>4Q93</t>
  </si>
  <si>
    <t>Deferred taxes, current</t>
  </si>
  <si>
    <t>Deferred taxes, non-current</t>
  </si>
  <si>
    <t>Interest Income/Expense</t>
  </si>
  <si>
    <t>Investments</t>
  </si>
  <si>
    <t>Average cash balance</t>
  </si>
  <si>
    <t>Interest Income Rate</t>
  </si>
  <si>
    <t>Average debt balance</t>
  </si>
  <si>
    <t>Interest expense rate</t>
  </si>
  <si>
    <t xml:space="preserve">Interest expense </t>
  </si>
  <si>
    <t>Net interest expense check</t>
  </si>
  <si>
    <t>Net interest expense</t>
  </si>
  <si>
    <t>Deferred taxes on income</t>
  </si>
  <si>
    <t>Anti-Infectives , % YoY growth</t>
  </si>
  <si>
    <t>Product0128, % YoY growth</t>
  </si>
  <si>
    <t>Anti-psychotics, % YoY growth</t>
  </si>
  <si>
    <t xml:space="preserve">   International (ex-currency)</t>
  </si>
  <si>
    <t xml:space="preserve">   Risperdal, % YoY growth</t>
  </si>
  <si>
    <t xml:space="preserve">   Invega, % YoY growth</t>
  </si>
  <si>
    <t>Risperdal Consta, % YoY growth</t>
  </si>
  <si>
    <t>Sporanox, % YoY growth</t>
  </si>
  <si>
    <t>Anti-Migraine/Epileptics, % YoY growth</t>
  </si>
  <si>
    <t>Product0422, % YoY growth</t>
  </si>
  <si>
    <t>Adjustments to reconcile net earnings to cash flows</t>
  </si>
  <si>
    <t>Cumulative effect of accounting changes</t>
  </si>
  <si>
    <t>Dep. and amort of property and intangibles</t>
  </si>
  <si>
    <t>Tax deferrals</t>
  </si>
  <si>
    <t>(Increase)/ decrease in inventories</t>
  </si>
  <si>
    <t>4Q06</t>
  </si>
  <si>
    <t>Changes in assets and liabilities, net of acq's</t>
  </si>
  <si>
    <t>Increase in accounts receivable</t>
  </si>
  <si>
    <t>(Decrease) increase in accounts payable</t>
  </si>
  <si>
    <t>Decrease (increase) in other assets</t>
  </si>
  <si>
    <t>Increase in other liabilities</t>
  </si>
  <si>
    <t>Changes in other assets and liabilities</t>
  </si>
  <si>
    <t>Net cash flows from operating activities</t>
  </si>
  <si>
    <t>Cash dividends declared per share</t>
  </si>
  <si>
    <t>Shares outstanding (basic)</t>
  </si>
  <si>
    <t>Dilution</t>
  </si>
  <si>
    <t>International</t>
  </si>
  <si>
    <t>Cost of Goods Sold</t>
  </si>
  <si>
    <t>Operating Income</t>
  </si>
  <si>
    <t>Latin American operations</t>
  </si>
  <si>
    <t>Other income (expense)</t>
  </si>
  <si>
    <t>Non-recurring items, net of tax</t>
  </si>
  <si>
    <t>Shares Outstanding</t>
  </si>
  <si>
    <t xml:space="preserve">Patent </t>
  </si>
  <si>
    <t>Growth Rate</t>
  </si>
  <si>
    <t>Share Price, EOP</t>
  </si>
  <si>
    <t>Avg. Share Price</t>
  </si>
  <si>
    <t>Shares Outstanding, BOP</t>
  </si>
  <si>
    <t>+Additional Shares</t>
  </si>
  <si>
    <t>-Shares Repurchased</t>
  </si>
  <si>
    <t>Shares Outstanding, EOP</t>
  </si>
  <si>
    <t>Avg. Basic Shares</t>
  </si>
  <si>
    <t xml:space="preserve">Total Sales </t>
  </si>
  <si>
    <t>Total sales % growth</t>
  </si>
  <si>
    <t xml:space="preserve">Int'l </t>
  </si>
  <si>
    <t>Int'l (ex-currency)</t>
  </si>
  <si>
    <t xml:space="preserve">FX impact </t>
  </si>
  <si>
    <t xml:space="preserve">  International (ex-currency)</t>
  </si>
  <si>
    <t>Product0021/Product0290, % YoY growth</t>
  </si>
  <si>
    <t>Product0145/Procrit, % YoY growth</t>
  </si>
  <si>
    <t>Hormonal Contraceptives, % YoY growth</t>
  </si>
  <si>
    <t>Product0320/Product0306, % YoY growth</t>
  </si>
  <si>
    <t>Product0160/Levaquin, % YoY growth</t>
  </si>
  <si>
    <t>EBIT</t>
  </si>
  <si>
    <t>EBITDA</t>
  </si>
  <si>
    <t>Cash flows from operating activities</t>
  </si>
  <si>
    <t>3Q07</t>
  </si>
  <si>
    <t>Hormonal Contraceptives</t>
  </si>
  <si>
    <t>1Q04</t>
  </si>
  <si>
    <t>YE2001 Cash $3758</t>
  </si>
  <si>
    <t>YE2002 Cash $2894</t>
  </si>
  <si>
    <t>Accumulated amortization</t>
  </si>
  <si>
    <t>Net Income (cont ops, incl ESO)</t>
  </si>
  <si>
    <t xml:space="preserve">Restructuring expense, other </t>
  </si>
  <si>
    <t>Risperdal Consta</t>
  </si>
  <si>
    <t>2Q09</t>
  </si>
  <si>
    <t>1Q09</t>
  </si>
  <si>
    <t>Accrued liabilities</t>
  </si>
  <si>
    <t>Accrued salaries, wages and commissions</t>
  </si>
  <si>
    <t>Taxes on income</t>
  </si>
  <si>
    <t>Total current liabilities</t>
  </si>
  <si>
    <t>Deferred tax liability</t>
  </si>
  <si>
    <t>Certificates of extra compensation</t>
  </si>
  <si>
    <t>Other liabilities</t>
  </si>
  <si>
    <t>Stockholders' Equity</t>
  </si>
  <si>
    <t>Preferred stock - without par value</t>
  </si>
  <si>
    <t>Common stock, $1.00 par</t>
  </si>
  <si>
    <t>Sales</t>
  </si>
  <si>
    <t>Domestic</t>
  </si>
  <si>
    <t>Other assets</t>
  </si>
  <si>
    <t>Total assets</t>
  </si>
  <si>
    <t>Liabilities and Stockholders' Equity</t>
  </si>
  <si>
    <t>Current Liabilities</t>
  </si>
  <si>
    <t>Loans and notes payable</t>
  </si>
  <si>
    <t>Accounts payable</t>
  </si>
  <si>
    <t>CHECKSUM</t>
  </si>
  <si>
    <t>Cash Conversion Cycle</t>
  </si>
  <si>
    <t>A/R Days</t>
  </si>
  <si>
    <t>Inventory Days</t>
  </si>
  <si>
    <t>Accounts Payable Days</t>
  </si>
  <si>
    <t>IS Drivers</t>
  </si>
  <si>
    <t>PPE Asset Turns</t>
  </si>
  <si>
    <t>Sales LTM</t>
  </si>
  <si>
    <t xml:space="preserve">Cost Of Sales </t>
  </si>
  <si>
    <t>Cost Of Sales LTM</t>
  </si>
  <si>
    <t>Basic shares outstanding</t>
  </si>
  <si>
    <t>Working Capital Summary</t>
  </si>
  <si>
    <t>Net Working Capital</t>
  </si>
  <si>
    <t>Debt/Total Capital</t>
  </si>
  <si>
    <t>Non-cash working capital</t>
  </si>
  <si>
    <t>Net Cash (Debt)</t>
  </si>
  <si>
    <t>Dividend Schedule</t>
  </si>
  <si>
    <t>Dividend paid per share</t>
  </si>
  <si>
    <t>Outstanding Shares</t>
  </si>
  <si>
    <t>Total Dividend Paid</t>
  </si>
  <si>
    <t>Share Price</t>
  </si>
  <si>
    <t>Share Price, BOP</t>
  </si>
  <si>
    <t>Stock based compensation</t>
  </si>
  <si>
    <t>1Q02</t>
  </si>
  <si>
    <t>2Q02</t>
  </si>
  <si>
    <t>Analgesics, % YoY growth</t>
  </si>
  <si>
    <t>Product0436/Product0435, % YoY growth</t>
  </si>
  <si>
    <t>Product0131, % YoY growth</t>
  </si>
  <si>
    <t>Expirations</t>
  </si>
  <si>
    <t>Pharmaceuticals</t>
  </si>
  <si>
    <t>Repurchase of common stock (inc chg treasury stock)</t>
  </si>
  <si>
    <t>Current Assets</t>
  </si>
  <si>
    <t>Cash &amp; equivalents</t>
  </si>
  <si>
    <t>Marketable securities, at cost</t>
  </si>
  <si>
    <t>Accounts receivable, less allowances</t>
  </si>
  <si>
    <t>Inventories</t>
  </si>
  <si>
    <t>Assets</t>
  </si>
  <si>
    <t>Cash flows from investing activities</t>
  </si>
  <si>
    <t>Additions to property, plant, and equipment</t>
  </si>
  <si>
    <t>Proceeds from the disposal of assets</t>
  </si>
  <si>
    <t>Acquisition of businesses, net of cash required</t>
  </si>
  <si>
    <t>Other, principally marketable securities</t>
  </si>
  <si>
    <t>Net cash used by investing activities</t>
  </si>
  <si>
    <t>Cash flows from financing activities</t>
  </si>
  <si>
    <t>Dividends to stockholders</t>
  </si>
  <si>
    <t>Loans to ESOP</t>
  </si>
  <si>
    <t>Proceeds from short-term debt</t>
  </si>
  <si>
    <t>Retirement of short-term debt</t>
  </si>
  <si>
    <t>Product0205 (Product0127 CR)</t>
  </si>
  <si>
    <t>Proceeds from long-term debt</t>
  </si>
  <si>
    <t>Retirement of long-term debt</t>
  </si>
  <si>
    <t>Proceeds from exercise of stock options</t>
  </si>
  <si>
    <t>Net cash used by financing activities</t>
  </si>
  <si>
    <t>Effect of exchange rates on cash and equivalents</t>
  </si>
  <si>
    <t>(Decrease) increase in cash and equivalents</t>
  </si>
  <si>
    <t>Cash and equivalents, beginning of year</t>
  </si>
  <si>
    <t>Cash and equivalents, end of year</t>
  </si>
  <si>
    <t>Total U.S</t>
  </si>
  <si>
    <t>Total Consumer</t>
  </si>
  <si>
    <t>Diagnostics</t>
  </si>
  <si>
    <t>1Q06</t>
  </si>
  <si>
    <t>2Q06</t>
  </si>
  <si>
    <t>3Q06</t>
  </si>
  <si>
    <t>4Q05</t>
  </si>
  <si>
    <t>Cash Ratio</t>
  </si>
  <si>
    <t>Pretax Income (GAAP)</t>
  </si>
  <si>
    <t>Non-recurring items, pre-tax</t>
  </si>
  <si>
    <t>Taxes (cont ops)</t>
  </si>
  <si>
    <t>Operating Income (cont ops)</t>
  </si>
  <si>
    <t>Company0394 Company2991, % YoY growth</t>
  </si>
  <si>
    <t>Spine, % YoY growth</t>
  </si>
  <si>
    <t>Company1823, % YoY growth</t>
  </si>
  <si>
    <t>Product0276</t>
  </si>
  <si>
    <t>Product0276, % YoY growth</t>
  </si>
  <si>
    <t>Skin Care, % YoY growth</t>
  </si>
  <si>
    <t>Baby &amp; Kids, % YoY growth</t>
  </si>
  <si>
    <t>Product0462 health, % YoY growth</t>
  </si>
  <si>
    <t>OTC nutritionals, % YoY growth</t>
  </si>
  <si>
    <t>Oral care, % YoY growth</t>
  </si>
  <si>
    <t>Total Consumer, % YoY growth</t>
  </si>
  <si>
    <t>Asset Drivers, % sales</t>
  </si>
  <si>
    <t xml:space="preserve">Cash &amp; ST Inv </t>
  </si>
  <si>
    <t xml:space="preserve">Prepaid Expenses </t>
  </si>
  <si>
    <t xml:space="preserve">LT investment securities </t>
  </si>
  <si>
    <t>Liabilities Drivers, % sales</t>
  </si>
  <si>
    <t xml:space="preserve">Accounts Payable </t>
  </si>
  <si>
    <t>Gross intangibles</t>
  </si>
  <si>
    <t>Intangibles</t>
  </si>
  <si>
    <t>2Q91</t>
  </si>
  <si>
    <t>3Q91</t>
  </si>
  <si>
    <t>4Q91</t>
  </si>
  <si>
    <t>3Q92</t>
  </si>
  <si>
    <t>4Q92</t>
  </si>
  <si>
    <t>Total Liabilities</t>
  </si>
  <si>
    <t>Net PP&amp;E</t>
  </si>
  <si>
    <t>AP-48 (discontinued)</t>
  </si>
  <si>
    <t>Company3058</t>
  </si>
  <si>
    <t>Company1388</t>
  </si>
  <si>
    <t>2Q04</t>
  </si>
  <si>
    <t>Product0309 (dapoxetine), % YoY growth</t>
  </si>
  <si>
    <t>Reported EBT by segment</t>
  </si>
  <si>
    <t>Total adjusted EBT</t>
  </si>
  <si>
    <t>Reported non-op income/(expense)</t>
  </si>
  <si>
    <t>Total adjusted EBIT</t>
  </si>
  <si>
    <t>Immunology</t>
  </si>
  <si>
    <t>Intangibles write down</t>
  </si>
  <si>
    <t>Analgesics</t>
  </si>
  <si>
    <t>Note receivable from ESOP</t>
  </si>
  <si>
    <t>Cumulative currency adjustments</t>
  </si>
  <si>
    <t>Other comprehensive income</t>
  </si>
  <si>
    <t>Accumulated other Comprehensive income</t>
  </si>
  <si>
    <t>Common held in treasury</t>
  </si>
  <si>
    <t>Total stockholders' equity</t>
  </si>
  <si>
    <t>Total liabilities &amp; equity</t>
  </si>
  <si>
    <t>Gross Margin</t>
  </si>
  <si>
    <t>Operating Margin</t>
  </si>
  <si>
    <t>Product0471</t>
  </si>
  <si>
    <t>Product0320/Product0306</t>
  </si>
  <si>
    <t xml:space="preserve">  International</t>
  </si>
  <si>
    <t xml:space="preserve">  Worldwide</t>
  </si>
  <si>
    <t>Risperdal</t>
  </si>
  <si>
    <t>Sporanox</t>
  </si>
  <si>
    <t xml:space="preserve">   U.S. </t>
  </si>
  <si>
    <t xml:space="preserve">   International</t>
  </si>
  <si>
    <t xml:space="preserve">   Worldwide</t>
  </si>
  <si>
    <t>Oral Care</t>
  </si>
  <si>
    <t>OTC/Nutritionals</t>
  </si>
  <si>
    <t>U.S.</t>
  </si>
  <si>
    <t>MD&amp;D</t>
  </si>
  <si>
    <t>Total Worldwide</t>
  </si>
  <si>
    <t>Business mix of sales, % total</t>
  </si>
  <si>
    <t>Amortization</t>
  </si>
  <si>
    <t>1Q98</t>
  </si>
  <si>
    <t>2Q98</t>
  </si>
  <si>
    <t>3Q98</t>
  </si>
  <si>
    <t>4Q98</t>
  </si>
  <si>
    <t>1Q97</t>
  </si>
  <si>
    <t>2Q97</t>
  </si>
  <si>
    <t>3Q97</t>
  </si>
  <si>
    <t>4Q97</t>
  </si>
  <si>
    <t>1Q96</t>
  </si>
  <si>
    <t>2Q96</t>
  </si>
  <si>
    <t>3Q96</t>
  </si>
  <si>
    <t>4Q96</t>
  </si>
  <si>
    <t>1Q95</t>
  </si>
  <si>
    <t>2Q95</t>
  </si>
  <si>
    <t>3Q95</t>
  </si>
  <si>
    <t>4Q95</t>
  </si>
  <si>
    <t>1Q94</t>
  </si>
  <si>
    <t>2Q94</t>
  </si>
  <si>
    <t>3Q94</t>
  </si>
  <si>
    <t>4Q94</t>
  </si>
  <si>
    <t>1Q93</t>
  </si>
  <si>
    <t>2Q93</t>
  </si>
  <si>
    <t>3Q93</t>
  </si>
  <si>
    <t>1Q92</t>
  </si>
  <si>
    <t>2Q92</t>
  </si>
  <si>
    <t>1Q91</t>
  </si>
  <si>
    <t>Total WorldWide</t>
  </si>
  <si>
    <t>Consumer sales % growth</t>
  </si>
  <si>
    <t>3Q08</t>
  </si>
  <si>
    <t>Diluted EPS (cont ops, incl ESO)</t>
  </si>
  <si>
    <t>Diabetes Care</t>
  </si>
  <si>
    <t>Product0102, % YoY growth</t>
  </si>
  <si>
    <t>Product0260, % YoY growth</t>
  </si>
  <si>
    <t>Product0337 (Product0340), % YoY growth</t>
  </si>
  <si>
    <t>Interest income, net (expense)</t>
  </si>
  <si>
    <t>Product0102 PIPELINE</t>
  </si>
  <si>
    <t>2Q10</t>
  </si>
  <si>
    <t>NM</t>
  </si>
  <si>
    <t>Vision Care</t>
  </si>
  <si>
    <t>3Q10</t>
  </si>
  <si>
    <t>4Q10</t>
  </si>
  <si>
    <t>11/2012 (EU)</t>
  </si>
  <si>
    <t>Synthes</t>
  </si>
  <si>
    <t>3Q11</t>
  </si>
  <si>
    <t>4Q11</t>
  </si>
  <si>
    <t>1Q11</t>
  </si>
  <si>
    <t>$ millions</t>
  </si>
  <si>
    <t>Specialty</t>
  </si>
  <si>
    <t>Product0130/Product0094, % YoY growth</t>
  </si>
  <si>
    <t>Product0130/Product0094 (chemotherapy)</t>
  </si>
  <si>
    <t>- Disposals</t>
  </si>
  <si>
    <t>Adjusted Gross PP&amp;E</t>
  </si>
  <si>
    <t>Consensus</t>
  </si>
  <si>
    <t>Revenues orig</t>
  </si>
  <si>
    <t>Revenues chg</t>
  </si>
  <si>
    <t>NI orig</t>
  </si>
  <si>
    <t>NI shld chg</t>
  </si>
  <si>
    <t>NI below</t>
  </si>
  <si>
    <t>EPS orig</t>
  </si>
  <si>
    <t>EPS shld chg</t>
  </si>
  <si>
    <t>EPS below</t>
  </si>
  <si>
    <t>Currency - Do not Delete</t>
  </si>
  <si>
    <t>2Q11</t>
  </si>
  <si>
    <t>2014 (EU)</t>
  </si>
  <si>
    <t>US Patent delisted</t>
  </si>
  <si>
    <t>Growth</t>
  </si>
  <si>
    <t>Diagnostics, % YoY growth</t>
  </si>
  <si>
    <t>Orthopaedics</t>
  </si>
  <si>
    <t>Ortho clinical diagnostics</t>
  </si>
  <si>
    <t>Infection Prevention/Other, % YoY growth</t>
  </si>
  <si>
    <t xml:space="preserve">Specialty Surgery </t>
  </si>
  <si>
    <t>General Surgery, % YoY growth</t>
  </si>
  <si>
    <t>Specialty Surgery, % YoY growth</t>
  </si>
  <si>
    <t>Infection Prevention/Other</t>
  </si>
  <si>
    <t>Specialty surgery\</t>
  </si>
  <si>
    <t>DO NOT DELETE (Previous REPORTING STRUCTURE)</t>
  </si>
  <si>
    <t>Part of Company0917 Endos Surgery</t>
  </si>
  <si>
    <t>Other Specialty Surgery</t>
  </si>
  <si>
    <t>Other Specialty Surgery % YoY growth</t>
  </si>
  <si>
    <t>Product0263 (consolidated into Cardiovascular)</t>
  </si>
  <si>
    <t>Neurovascular (consolidated into Cardiovascular)</t>
  </si>
  <si>
    <t>Other Immunology</t>
  </si>
  <si>
    <t>Product0199 - Product0413 (Hep Author34), % YoY growth</t>
  </si>
  <si>
    <t xml:space="preserve">Infectious Diseases </t>
  </si>
  <si>
    <t>Risperdal Consta (anti-psychotics)</t>
  </si>
  <si>
    <t>Risperdal (anti-psychotics)</t>
  </si>
  <si>
    <t>Anti-psychotics (Neuroscience)</t>
  </si>
  <si>
    <t>Neuroscience</t>
  </si>
  <si>
    <t>Other Neuroscience</t>
  </si>
  <si>
    <t>Product0422 (anti migrane/epileptics)</t>
  </si>
  <si>
    <t>Product0309 - dapoxetine (Neuroscience)</t>
  </si>
  <si>
    <t>Product0337 - Product0340 (Neuroscience)</t>
  </si>
  <si>
    <t>Mentor (Specialty)</t>
  </si>
  <si>
    <t>Product0276  (Specialty)</t>
  </si>
  <si>
    <t>Cypher (Cardiovascular)</t>
  </si>
  <si>
    <t>Company0394 Company2991 (Cardiovascular)</t>
  </si>
  <si>
    <t>Other Company0695 (Cardiovascular)</t>
  </si>
  <si>
    <t>Hips (Orthopaedics)</t>
  </si>
  <si>
    <t>Knees (Orthopaedics)</t>
  </si>
  <si>
    <t>Spine (Orthopaedics)</t>
  </si>
  <si>
    <t>Global Neuroscience (Orthopaedics)</t>
  </si>
  <si>
    <t>Other Company0795 (Orthopaedics)</t>
  </si>
  <si>
    <t>Product0199 (antivirals)</t>
  </si>
  <si>
    <t>Intelence (TMC125) (antivirals)</t>
  </si>
  <si>
    <t>Anti-virals (infectious)</t>
  </si>
  <si>
    <t>Anti-Infectives (infectious)</t>
  </si>
  <si>
    <t>Product0160/Levaquin (anti-infectives)</t>
  </si>
  <si>
    <t>Invega (anti-psychotics)</t>
  </si>
  <si>
    <t>Product0131 (analgesics)</t>
  </si>
  <si>
    <t>Product0436/Product0435 (analgesics)</t>
  </si>
  <si>
    <t>Product0267 (tapentadol) (analgesics)</t>
  </si>
  <si>
    <t>Product0021/Product0290 (other)</t>
  </si>
  <si>
    <t>Product0145/Procrit (other)</t>
  </si>
  <si>
    <t>Hormonal contraceptives (other)</t>
  </si>
  <si>
    <t>Other products</t>
  </si>
  <si>
    <t>Hormonal contraceptives, % YoY growth</t>
  </si>
  <si>
    <t>na</t>
  </si>
  <si>
    <t>Product0483</t>
  </si>
  <si>
    <t>1Q12</t>
  </si>
  <si>
    <t>% of total</t>
  </si>
  <si>
    <t>US Exports</t>
  </si>
  <si>
    <t>US Exports (ex-currency)</t>
  </si>
  <si>
    <t>% US of North America</t>
  </si>
  <si>
    <t>Synthes, % YoY growth</t>
  </si>
  <si>
    <t>N/A</t>
  </si>
  <si>
    <t>2Q12</t>
  </si>
  <si>
    <t>PP&amp;E Net (check)</t>
  </si>
  <si>
    <t>Surgical Care</t>
  </si>
  <si>
    <t>3Q12</t>
  </si>
  <si>
    <t>Specialty surgery</t>
  </si>
  <si>
    <t>4Q12</t>
  </si>
  <si>
    <t>North America (as reported by legacy)</t>
  </si>
  <si>
    <t>Rest of the World (as reported by legacy)</t>
  </si>
  <si>
    <t xml:space="preserve">  Worldwide (as reported by legacy)</t>
  </si>
  <si>
    <t>EBIT &amp; EBITDA Framework</t>
  </si>
  <si>
    <t>Company1823 (Sports medicine orthopaedics)</t>
  </si>
  <si>
    <t>Product0203 (canagliflozin)</t>
  </si>
  <si>
    <t>Product0375 (bedquiline)</t>
  </si>
  <si>
    <t>Product0203 (canagliflozin), % YoY growth</t>
  </si>
  <si>
    <t>Euro</t>
  </si>
  <si>
    <t>1Q13</t>
  </si>
  <si>
    <t>2Q13</t>
  </si>
  <si>
    <t>3Q13</t>
  </si>
  <si>
    <t>UK</t>
  </si>
  <si>
    <t>Japan</t>
  </si>
  <si>
    <t>4Q13</t>
  </si>
  <si>
    <t>Product0272 - Product0371 (Hep Author34 - antivirals)</t>
  </si>
  <si>
    <t>Product0272 - Product0371 (Hep Author34 - antivirals), % YoY growth</t>
  </si>
  <si>
    <t>Product0272</t>
  </si>
  <si>
    <t>1Q14</t>
  </si>
  <si>
    <t>2Q14</t>
  </si>
  <si>
    <t>3Q14</t>
  </si>
  <si>
    <t>US (unadjusted)</t>
  </si>
  <si>
    <t>Int'l (unadjusted)</t>
  </si>
  <si>
    <t>Total (unadjusted)</t>
  </si>
  <si>
    <t>US (risk-adjusted)</t>
  </si>
  <si>
    <t>Int'l (risk-adjusted)</t>
  </si>
  <si>
    <t>Total (risk-adjusted)</t>
  </si>
  <si>
    <t>Int'l</t>
  </si>
  <si>
    <t>Phase 3</t>
  </si>
  <si>
    <t>Product0395 (Siltuximab)</t>
  </si>
  <si>
    <t>4Q14</t>
  </si>
  <si>
    <t>1Q15</t>
  </si>
  <si>
    <t xml:space="preserve">  International (reported by Ticker0018)</t>
  </si>
  <si>
    <t xml:space="preserve">  Worldwide (Ticker0018 share as reported)</t>
  </si>
  <si>
    <t xml:space="preserve">  Worldwide (not reported)</t>
  </si>
  <si>
    <t>Product0196</t>
  </si>
  <si>
    <t>Invega Sustenna</t>
  </si>
  <si>
    <t>1Q16E</t>
  </si>
  <si>
    <t>2Q15</t>
  </si>
  <si>
    <t>3Q15</t>
  </si>
  <si>
    <t>Product0124</t>
  </si>
  <si>
    <t>Worldwide FX Revenue Impact</t>
  </si>
  <si>
    <t>Trauma (Orthopaedics)</t>
  </si>
  <si>
    <t>Surgery</t>
  </si>
  <si>
    <t>Advanced</t>
  </si>
  <si>
    <t>General</t>
  </si>
  <si>
    <t>Specialty, % YoY growth</t>
  </si>
  <si>
    <t>Synthes ex-trauma (Orthopaedics)</t>
  </si>
  <si>
    <t>Synthes ex-trauma, % YoY growth</t>
  </si>
  <si>
    <t>4Q15</t>
  </si>
  <si>
    <t>Oct. 2022</t>
  </si>
  <si>
    <t>Venezuela Adjustment</t>
  </si>
  <si>
    <t>1Q16</t>
  </si>
  <si>
    <t xml:space="preserve">  U.S.</t>
  </si>
  <si>
    <t xml:space="preserve">  Total</t>
  </si>
  <si>
    <t>Other Oncology</t>
  </si>
  <si>
    <t>2Q16</t>
  </si>
  <si>
    <t>3Q16</t>
  </si>
  <si>
    <t>Product0203</t>
  </si>
  <si>
    <t>Procrit</t>
  </si>
  <si>
    <t>Total Ticker0018 Sales</t>
  </si>
  <si>
    <t>Total Ticker0018 Sales - US</t>
  </si>
  <si>
    <t>Pharma - US</t>
  </si>
  <si>
    <t>4Q16</t>
  </si>
  <si>
    <t>Skin Care / Beauty</t>
  </si>
  <si>
    <t>1Q17</t>
  </si>
  <si>
    <t>2Q17</t>
  </si>
  <si>
    <t>Product0277</t>
  </si>
  <si>
    <t>Tracleer</t>
  </si>
  <si>
    <t>Tracleer, % YoY growth</t>
  </si>
  <si>
    <t>Product0439</t>
  </si>
  <si>
    <t>Product0424</t>
  </si>
  <si>
    <t>3Q17</t>
  </si>
  <si>
    <t>2025E</t>
  </si>
  <si>
    <t>Product0296 Ticker0018-3872 (Influenza A)</t>
  </si>
  <si>
    <t>4Q2016A</t>
  </si>
  <si>
    <t>4Q2017E
Ticker0015</t>
  </si>
  <si>
    <t>Product0141</t>
  </si>
  <si>
    <t>4Q17</t>
  </si>
  <si>
    <t>FGFR inhibitor</t>
  </si>
  <si>
    <t>PARP-1 inhibitor</t>
  </si>
  <si>
    <t>Ovarian cancer</t>
  </si>
  <si>
    <t>S1P receptor</t>
  </si>
  <si>
    <t>Relapsing MS</t>
  </si>
  <si>
    <t>Influenza A</t>
  </si>
  <si>
    <t>Protease inhib.</t>
  </si>
  <si>
    <t>Paliperidone palmitate 6 month longacting injectable</t>
  </si>
  <si>
    <t>Schizophrenia</t>
  </si>
  <si>
    <t>D2 / S2 receptor</t>
  </si>
  <si>
    <t>1Q18</t>
  </si>
  <si>
    <t>2Q18</t>
  </si>
  <si>
    <t>Spine &amp; Other (Orthopaedics) - 1Q17-2Q17 restated</t>
  </si>
  <si>
    <t>Niraparib (Product0479)</t>
  </si>
  <si>
    <t>erdafitinib</t>
  </si>
  <si>
    <t>niraparib</t>
  </si>
  <si>
    <t>Product0300</t>
  </si>
  <si>
    <t>Product0296</t>
  </si>
  <si>
    <t>paliperidone</t>
  </si>
  <si>
    <t>Urothelial Cancer</t>
  </si>
  <si>
    <t>3Q18</t>
  </si>
  <si>
    <t>Product0147</t>
  </si>
  <si>
    <t>Apr-19 (Product0443)</t>
  </si>
  <si>
    <t>Product0347 (long acting Product0141)</t>
  </si>
  <si>
    <t>HIV</t>
  </si>
  <si>
    <t>Phase 2/3</t>
  </si>
  <si>
    <t>Product0054</t>
  </si>
  <si>
    <t>Resistant</t>
  </si>
  <si>
    <t>Hypertension</t>
  </si>
  <si>
    <t>4Q18</t>
  </si>
  <si>
    <t>April 2025</t>
  </si>
  <si>
    <t>App(US), Ph2b(EU)</t>
  </si>
  <si>
    <t>Intangible assets, net</t>
  </si>
  <si>
    <t>2023</t>
  </si>
  <si>
    <t>Apr 2021</t>
  </si>
  <si>
    <t>May 2019 EU</t>
  </si>
  <si>
    <t>Total long-term debt</t>
  </si>
  <si>
    <t>Less current portion</t>
  </si>
  <si>
    <t>Subtotal</t>
  </si>
  <si>
    <t>3.500% Notes due 2048</t>
  </si>
  <si>
    <t>3.75% Notes due 2047</t>
  </si>
  <si>
    <t>3.70% Notes due 2046</t>
  </si>
  <si>
    <t>4.50% Notes due 2043</t>
  </si>
  <si>
    <t>4.85% Notes due 2041</t>
  </si>
  <si>
    <t>4.50% Debentures due 2040</t>
  </si>
  <si>
    <t>3.400% Notes due 2038</t>
  </si>
  <si>
    <t>5.85% Debentures due 2038</t>
  </si>
  <si>
    <t>3.625% Notes due 2037</t>
  </si>
  <si>
    <t>5.95% Notes due 2037</t>
  </si>
  <si>
    <t>3.55% Notes due 2036</t>
  </si>
  <si>
    <t>4.375% Notes due 2033</t>
  </si>
  <si>
    <t>4.95% Debentures due 2033</t>
  </si>
  <si>
    <t>6.95% Notes due 2029</t>
  </si>
  <si>
    <t>2.900% Notes due 2028</t>
  </si>
  <si>
    <t>2.95% Notes due 2027</t>
  </si>
  <si>
    <t>2.45% Notes due 2026</t>
  </si>
  <si>
    <t>2.625% Notes due 2025</t>
  </si>
  <si>
    <t>2.05% Notes due 2023</t>
  </si>
  <si>
    <t>3.375% Notes due 2023</t>
  </si>
  <si>
    <t>6.73% Debentures due 2023</t>
  </si>
  <si>
    <t>2.25% Notes due 2022</t>
  </si>
  <si>
    <t>1.65% Notes due 2021</t>
  </si>
  <si>
    <t>2.45% Notes due 2021</t>
  </si>
  <si>
    <t>3.55% Notes due 2021</t>
  </si>
  <si>
    <t>1.950% Notes due 2020</t>
  </si>
  <si>
    <t>2.95% Debentures due 2020</t>
  </si>
  <si>
    <t>3% Zero Coupon Convertible Subordinated Debentures due 2020</t>
  </si>
  <si>
    <t>1.125% Notes due 2019</t>
  </si>
  <si>
    <t>0.89% Notes due 2019</t>
  </si>
  <si>
    <t>1.875% Notes due 2019</t>
  </si>
  <si>
    <t>1.65% Notes due 2018</t>
  </si>
  <si>
    <t>5.15% Debentures due 2018</t>
  </si>
  <si>
    <t>4.75% Notes due 2019 (1B Euro 1.14)(2)/(1B Euro 1.1947)(3)</t>
  </si>
  <si>
    <t>0.250% Notes due 2022 (1B Euro 1.14)(2)/(1B Euro 1.1947)(3)</t>
  </si>
  <si>
    <t>0.650% Notes due 2024 (750MM Euro 1.14)(2)/(750MM Euro 1.1947)(3)</t>
  </si>
  <si>
    <t>5.50% Notes due 2024 (500MM GBP 1.2636)(2)/(500MM GBP 1.3444)(3)</t>
  </si>
  <si>
    <t>1.150% Notes due 2028 (750MM Euro 1.14)(2)/(750MM Euro 1.1947)(3)</t>
  </si>
  <si>
    <t>1.650% Notes due 2035 (1.5B Euro 1.14)(2)/(1.5B Euro 1.1947)(3)</t>
  </si>
  <si>
    <t>Debt Schedule</t>
  </si>
  <si>
    <t>Average interest rate  (based on notional amount)</t>
  </si>
  <si>
    <t>Debt and Interest Schedule</t>
  </si>
  <si>
    <t>Company1437 and Company1437</t>
  </si>
  <si>
    <t>Repayment, net</t>
  </si>
  <si>
    <t>Nov 2015</t>
  </si>
  <si>
    <t>Aug 2017</t>
  </si>
  <si>
    <t>Average interest rate on debt</t>
  </si>
  <si>
    <t>Long term debt</t>
  </si>
  <si>
    <t>Long term debt, BOP</t>
  </si>
  <si>
    <t>Long term debt, EOP</t>
  </si>
  <si>
    <t>Interest analysis, BOP</t>
  </si>
  <si>
    <t>Cash and cash equivalents</t>
  </si>
  <si>
    <t>Short-term investments</t>
  </si>
  <si>
    <t>Short term debt</t>
  </si>
  <si>
    <t>Interest analysis, EOP</t>
  </si>
  <si>
    <t>Interest analysis, Average</t>
  </si>
  <si>
    <t>Income statement items</t>
  </si>
  <si>
    <t>Interest expense (income)</t>
  </si>
  <si>
    <t>Cash interest rate</t>
  </si>
  <si>
    <t>Debt interest rate</t>
  </si>
  <si>
    <t>Quarterly adjustments</t>
  </si>
  <si>
    <t>Model: interest expense (income)</t>
  </si>
  <si>
    <t>delta</t>
  </si>
  <si>
    <t>2024-2030</t>
  </si>
  <si>
    <t>2026-2030</t>
  </si>
  <si>
    <t>Aug 2022</t>
  </si>
  <si>
    <t>1Q19</t>
  </si>
  <si>
    <t>1Q20E</t>
  </si>
  <si>
    <t>2Q20E</t>
  </si>
  <si>
    <t>3Q20E</t>
  </si>
  <si>
    <t>4Q20E</t>
  </si>
  <si>
    <t>2Q19</t>
  </si>
  <si>
    <t>Amortization of Intangible Assets</t>
  </si>
  <si>
    <t>3Q19</t>
  </si>
  <si>
    <t>Earnings Growth/Sales Growth Ratio</t>
  </si>
  <si>
    <t>Gain on sale of assets/businesses</t>
  </si>
  <si>
    <t>Bad Debt Allowances</t>
  </si>
  <si>
    <t>4Q19</t>
  </si>
  <si>
    <t>1Q20</t>
  </si>
  <si>
    <t>2Q20</t>
  </si>
  <si>
    <t>Europe</t>
  </si>
  <si>
    <t>China</t>
  </si>
  <si>
    <t>Interventional Solutions</t>
  </si>
  <si>
    <t>Nipocalimab</t>
  </si>
  <si>
    <t>nipocalimab</t>
  </si>
  <si>
    <t>Phase2/3</t>
  </si>
  <si>
    <t>Autoimmune</t>
  </si>
  <si>
    <t>Ad26.COV2</t>
  </si>
  <si>
    <t>COVID-19</t>
  </si>
  <si>
    <t>Ad26.COV2 (COVID-19)</t>
  </si>
  <si>
    <t>Halted</t>
  </si>
  <si>
    <t>3Q20</t>
  </si>
  <si>
    <t>4Q20</t>
  </si>
  <si>
    <t>1Q21</t>
  </si>
  <si>
    <t>2Q21</t>
  </si>
  <si>
    <t>3Q21</t>
  </si>
  <si>
    <t>4Q21</t>
  </si>
  <si>
    <t>sales</t>
  </si>
  <si>
    <t>Orthopedics</t>
  </si>
  <si>
    <t>OUS</t>
  </si>
  <si>
    <t>US Sales</t>
  </si>
  <si>
    <t>Product0301</t>
  </si>
  <si>
    <t>Pharma Valuation</t>
  </si>
  <si>
    <t>Company1150 &amp; Co.</t>
  </si>
  <si>
    <t>SUMMARY DATA</t>
  </si>
  <si>
    <t>Company Name:</t>
  </si>
  <si>
    <t>Ticker:</t>
  </si>
  <si>
    <t>Date of last update:</t>
  </si>
  <si>
    <t>QUICK LINKS</t>
  </si>
  <si>
    <t>Cash Flows</t>
  </si>
  <si>
    <t>COLOR CODE</t>
  </si>
  <si>
    <t>Blue</t>
  </si>
  <si>
    <t>Hardcoded data</t>
  </si>
  <si>
    <t>Green</t>
  </si>
  <si>
    <t>Links to other tabs</t>
  </si>
  <si>
    <t>Black</t>
  </si>
  <si>
    <t>Formula within sheet</t>
  </si>
  <si>
    <t>($ in millions)</t>
  </si>
  <si>
    <t>Statement of Cash Flows</t>
  </si>
  <si>
    <t xml:space="preserve">Consolidated Valuation </t>
  </si>
  <si>
    <t>Product0101</t>
  </si>
  <si>
    <t>Product0352</t>
  </si>
  <si>
    <t>Product0244</t>
  </si>
  <si>
    <t>Product0385</t>
  </si>
  <si>
    <t>1Q22</t>
  </si>
  <si>
    <t>2Q22</t>
  </si>
  <si>
    <t>3Q22</t>
  </si>
  <si>
    <t>4Q22</t>
  </si>
  <si>
    <t>RSV (old adults)</t>
  </si>
  <si>
    <t>1Q23</t>
  </si>
  <si>
    <t>2Q23</t>
  </si>
  <si>
    <t>3Q23</t>
  </si>
  <si>
    <t>4Q23</t>
  </si>
  <si>
    <t>Product0067</t>
  </si>
  <si>
    <t>Product0352 - Indications ex-1L EGFR+ mNSCLC</t>
  </si>
  <si>
    <t>Product0352 - 1L+ EGFR Setting</t>
  </si>
  <si>
    <t>Product0352 Total</t>
  </si>
  <si>
    <t>Mid 2025</t>
  </si>
  <si>
    <t>RSV</t>
  </si>
  <si>
    <t>Product0408</t>
  </si>
  <si>
    <t>x</t>
  </si>
  <si>
    <t>Electrophysiology</t>
  </si>
  <si>
    <t>Other Interventional Solutions</t>
  </si>
  <si>
    <t>TAR-200</t>
  </si>
  <si>
    <t>POS</t>
  </si>
  <si>
    <t>MedTech</t>
  </si>
  <si>
    <t>US Oncology</t>
  </si>
  <si>
    <t>Intl Oncology</t>
  </si>
  <si>
    <t>MM Bispecifics</t>
  </si>
  <si>
    <t>1L Product0041</t>
  </si>
  <si>
    <t>PAH Portfolio (Company0193)</t>
  </si>
  <si>
    <t>2026E</t>
  </si>
  <si>
    <t>2027E</t>
  </si>
  <si>
    <t>Infectious Diseases</t>
  </si>
  <si>
    <t xml:space="preserve">$ mn, except per share data </t>
  </si>
  <si>
    <t>August 2024</t>
  </si>
  <si>
    <t>US (risk-adj. for NDMM indications)</t>
  </si>
  <si>
    <t>International (risk-adj. for NDMM indications)</t>
  </si>
  <si>
    <t>Non-controlling Interest</t>
  </si>
  <si>
    <t>% change</t>
  </si>
  <si>
    <t>Pharma Revenues ex-COVID</t>
  </si>
  <si>
    <t>Restated (excl. Consumer Health)</t>
  </si>
  <si>
    <t>un-risk adj.</t>
  </si>
  <si>
    <t>risk adj.</t>
  </si>
  <si>
    <t>Pulmonary Hypertension</t>
  </si>
  <si>
    <t>Total MedTech</t>
  </si>
  <si>
    <t>Pipeline</t>
  </si>
  <si>
    <t>2.25% Notes due 2050</t>
  </si>
  <si>
    <t>2.45% Notes due 2060</t>
  </si>
  <si>
    <t>0.55% Notes due 2025</t>
  </si>
  <si>
    <t>0.95% Notes due 2027</t>
  </si>
  <si>
    <t>1.30% Notes Due 2030</t>
  </si>
  <si>
    <t>2.10% Notes Due 2040</t>
  </si>
  <si>
    <t>Worldwide (ex-currency)</t>
  </si>
  <si>
    <t>IS RESTATED</t>
  </si>
  <si>
    <t xml:space="preserve">  Worldwide (ex-currency)</t>
  </si>
  <si>
    <t>Geographic Mix</t>
  </si>
  <si>
    <t>% US Revenue</t>
  </si>
  <si>
    <t>% International Revenue</t>
  </si>
  <si>
    <t>FX</t>
  </si>
  <si>
    <t>Total Company1954 % Impact</t>
  </si>
  <si>
    <t>WW Impact</t>
  </si>
  <si>
    <t xml:space="preserve">   Projected Impact, % </t>
  </si>
  <si>
    <t xml:space="preserve">   Actual Impact, %</t>
  </si>
  <si>
    <t>Currency Exposure</t>
  </si>
  <si>
    <t>Yen</t>
  </si>
  <si>
    <t>UK Pound</t>
  </si>
  <si>
    <t xml:space="preserve">   Chinese Yuan</t>
  </si>
  <si>
    <t xml:space="preserve">   Canadian Dollar</t>
  </si>
  <si>
    <t xml:space="preserve">   Austrailian Dollar</t>
  </si>
  <si>
    <t xml:space="preserve">   Other</t>
  </si>
  <si>
    <t>Implied Estimated Sales</t>
  </si>
  <si>
    <t>Canada</t>
  </si>
  <si>
    <t>Australia</t>
  </si>
  <si>
    <t>Total Company1954 Sales</t>
  </si>
  <si>
    <t>Currency Impact, % VALUES</t>
  </si>
  <si>
    <t>Company1954 % Impact</t>
  </si>
  <si>
    <t>WW % Impact</t>
  </si>
  <si>
    <t>Currency Impact, % LINKS</t>
  </si>
  <si>
    <t>Now Excludes Consumer Health</t>
  </si>
  <si>
    <t>Retained earnings and APIC</t>
  </si>
  <si>
    <t>Add new debt (cum.)</t>
  </si>
  <si>
    <t>1Q24</t>
  </si>
  <si>
    <t>2Q24</t>
  </si>
  <si>
    <t>3Q24</t>
  </si>
  <si>
    <t>4Q24</t>
  </si>
  <si>
    <t>FactSet</t>
  </si>
  <si>
    <t>Valpha</t>
  </si>
  <si>
    <t>Additions/Write-offs</t>
  </si>
  <si>
    <t>Discontinued operations, net of tax</t>
  </si>
  <si>
    <t>Net Income (GAAP, inc ESO and disc. ops)</t>
  </si>
  <si>
    <t>Adjusted Income Before Tax by Segment</t>
  </si>
  <si>
    <t>Consumer Health</t>
  </si>
  <si>
    <t>Unallocated</t>
  </si>
  <si>
    <t>Immunology, % growth</t>
  </si>
  <si>
    <t>Remicade, % growth</t>
  </si>
  <si>
    <t>Simponi % growth</t>
  </si>
  <si>
    <t>Product0387 % growth</t>
  </si>
  <si>
    <t>Product0424 % growth</t>
  </si>
  <si>
    <t>Other Immunology % growth</t>
  </si>
  <si>
    <t>Neuroscience, % growth</t>
  </si>
  <si>
    <t>Concerta, % growth</t>
  </si>
  <si>
    <t>Other, % growth</t>
  </si>
  <si>
    <t>Product0483 % growth</t>
  </si>
  <si>
    <t>Ticker0018-2113</t>
  </si>
  <si>
    <t>2L+ Product0041</t>
  </si>
  <si>
    <t>2028E</t>
  </si>
  <si>
    <t>Medical Technology</t>
  </si>
  <si>
    <t>person@example.com</t>
  </si>
  <si>
    <t>Person0896</t>
  </si>
  <si>
    <t>MEDTECH</t>
  </si>
  <si>
    <t>INNOVATIVE MEDICINES - PIPELINE AND NEW PRODUCTS</t>
  </si>
  <si>
    <t>2029E</t>
  </si>
  <si>
    <t>Product0407</t>
  </si>
  <si>
    <t>Product0303</t>
  </si>
  <si>
    <t>2030E</t>
  </si>
  <si>
    <t>Var</t>
  </si>
  <si>
    <t xml:space="preserve">  Ticker0018 share of U.S. sales (~40% of gross profit)</t>
  </si>
  <si>
    <t>2022A</t>
  </si>
  <si>
    <t>Excludes Consumer Health --&gt;</t>
  </si>
  <si>
    <t>+1 917.343.8573 (New York)</t>
  </si>
  <si>
    <t>TOTAL SALES</t>
  </si>
  <si>
    <t>Patents</t>
  </si>
  <si>
    <t xml:space="preserve">MedTech sales % growth </t>
  </si>
  <si>
    <t>Infectious Diseases  % growth</t>
  </si>
  <si>
    <t>Prezista % growth</t>
  </si>
  <si>
    <t xml:space="preserve">  US </t>
  </si>
  <si>
    <t>Product0141 % growth</t>
  </si>
  <si>
    <t>Other Infectious Diseases</t>
  </si>
  <si>
    <t>Other Infectious Diseases % growth</t>
  </si>
  <si>
    <t xml:space="preserve">  US</t>
  </si>
  <si>
    <t xml:space="preserve">  US Exports</t>
  </si>
  <si>
    <t>Invega franchise</t>
  </si>
  <si>
    <t>Invega franchise, % growth</t>
  </si>
  <si>
    <t>Oncology, % growth</t>
  </si>
  <si>
    <t xml:space="preserve">  US (sales as reported by ABBV)</t>
  </si>
  <si>
    <t xml:space="preserve">  US (Ticker0018 share as reported)</t>
  </si>
  <si>
    <t>Product0124, % growth</t>
  </si>
  <si>
    <t>Product0147, % growth</t>
  </si>
  <si>
    <t>Product0101 % growth</t>
  </si>
  <si>
    <t>Other Oncology, % growth</t>
  </si>
  <si>
    <t>Product0277, % growth</t>
  </si>
  <si>
    <t>Product0439, % growth</t>
  </si>
  <si>
    <t>Other Pharmaceuticals, % growth</t>
  </si>
  <si>
    <t>Product0471, % growth</t>
  </si>
  <si>
    <t>Other products, % growth</t>
  </si>
  <si>
    <t xml:space="preserve">   US</t>
  </si>
  <si>
    <t>Advanced, % growth</t>
  </si>
  <si>
    <t>General, % growth</t>
  </si>
  <si>
    <t>Electrophysiology, % growth</t>
  </si>
  <si>
    <t>Heart Pumps (Company0008)</t>
  </si>
  <si>
    <t>Heart Pumps, % growth</t>
  </si>
  <si>
    <t>Total Other Interventional Solutions, % growth</t>
  </si>
  <si>
    <t>Research</t>
  </si>
  <si>
    <t>Margins</t>
  </si>
  <si>
    <t>Innovative Medicine</t>
  </si>
  <si>
    <t>Total US</t>
  </si>
  <si>
    <t>Growth %</t>
  </si>
  <si>
    <t xml:space="preserve">  US  (Includes US exports of Remicade)</t>
  </si>
  <si>
    <t xml:space="preserve"> % growth</t>
  </si>
  <si>
    <t>Surgery, % growth</t>
  </si>
  <si>
    <t>Orthopedics, % growth</t>
  </si>
  <si>
    <t>Hips, % growth</t>
  </si>
  <si>
    <t>Knees, % growth</t>
  </si>
  <si>
    <t>Trauma, % growth</t>
  </si>
  <si>
    <t>Spine &amp; Other, % growth</t>
  </si>
  <si>
    <t>Vision Care, % growth</t>
  </si>
  <si>
    <t>Total US,  % growth</t>
  </si>
  <si>
    <t>Total US, % growth, Adj. Operational</t>
  </si>
  <si>
    <t>Total International, % growth</t>
  </si>
  <si>
    <t>Total International, % growth (ex-currency)</t>
  </si>
  <si>
    <t>Total MedTech, % growth</t>
  </si>
  <si>
    <t>Total MedTech, growth (ex-currency)</t>
  </si>
  <si>
    <t>Total MedTech, growth Adj. Operational</t>
  </si>
  <si>
    <t>New Products, % Growth</t>
  </si>
  <si>
    <t>Innovative Medicine sales % growth</t>
  </si>
  <si>
    <t>INNOVATIVE MEDICINE</t>
  </si>
  <si>
    <t>Person0293</t>
  </si>
  <si>
    <t>person@example.com</t>
  </si>
  <si>
    <t>+1 212.357.4617 (San Francisco)</t>
  </si>
  <si>
    <t>EBIT Margin</t>
  </si>
  <si>
    <t>M&amp;A Impact</t>
  </si>
  <si>
    <t>Intravascular lithotripsy (Company2508)</t>
  </si>
  <si>
    <t>Company1357, % growth</t>
  </si>
  <si>
    <t>Cardiovascular (1Q17-3Q17 restated)</t>
  </si>
  <si>
    <t>Total Cardiovascular, % growth</t>
  </si>
  <si>
    <t>Product0385, % growth</t>
  </si>
  <si>
    <t>3Q25E</t>
  </si>
  <si>
    <t>4Q25E</t>
  </si>
  <si>
    <t>($ and Numbers in millions, except per share data)</t>
  </si>
  <si>
    <t>Pretax Income Margin</t>
  </si>
  <si>
    <t xml:space="preserve">   Australian Dollar</t>
  </si>
  <si>
    <t>Total International, % growth, Adj. Operational</t>
  </si>
  <si>
    <t>Pulmonary Hypertension, % growth</t>
  </si>
  <si>
    <t>Cardiovascular / Metabolism / Other</t>
  </si>
  <si>
    <t>Ticker0018-2113 Risk-adjusted</t>
  </si>
  <si>
    <t>Royalty</t>
  </si>
  <si>
    <t>Phase 2b / 3</t>
  </si>
  <si>
    <t>Now Commercial</t>
  </si>
  <si>
    <t>Total Innovative Medicine, Currently Commercial</t>
  </si>
  <si>
    <t>Phase II Investigational Compounds (excludes ones that are also in Phase III for additional indications)</t>
  </si>
  <si>
    <t>Product0365</t>
  </si>
  <si>
    <t>Ticker0018-0683</t>
  </si>
  <si>
    <t>Product0336 Gene Therapy</t>
  </si>
  <si>
    <t>Product0238</t>
  </si>
  <si>
    <t>Product0077</t>
  </si>
  <si>
    <t>VAC52416</t>
  </si>
  <si>
    <t>Already Modeled</t>
  </si>
  <si>
    <t>Tar-200</t>
  </si>
  <si>
    <t>Number of Phase III Investigational Compounds (Not Modelled Separately)</t>
  </si>
  <si>
    <t>Number of Phase II Investigational Compounds (Not Modelled Separately)</t>
  </si>
  <si>
    <t>2035 Revenue ($mn) in 2035 Per Investigational Compound Estimate+A1</t>
  </si>
  <si>
    <t>2035 Revenue ($mn) in 2035 Per Investigational Compound Estimate (unadjusted)</t>
  </si>
  <si>
    <t>Phase II Revenue in 2035 (unadjusted)</t>
  </si>
  <si>
    <t>Phase II Revenue in 2035 (risk-adjusted)</t>
  </si>
  <si>
    <t>Total Adjusted</t>
  </si>
  <si>
    <t>Total Adjusted Sales In 2035</t>
  </si>
  <si>
    <t>US % of Total</t>
  </si>
  <si>
    <t>OUS % of Total</t>
  </si>
  <si>
    <t>OUS 2035 Sales</t>
  </si>
  <si>
    <t>Total Unadjusted</t>
  </si>
  <si>
    <t>Total Unadjusted Sales In 2035</t>
  </si>
  <si>
    <t xml:space="preserve">MM Bispecifics (Product0408+ D411) </t>
  </si>
  <si>
    <t>Now Comercial</t>
  </si>
  <si>
    <t xml:space="preserve">Now Commercial, part of Invega franchise </t>
  </si>
  <si>
    <t xml:space="preserve">Commercial Now, Part of Other Infectious Disease </t>
  </si>
  <si>
    <t>Vaccines (not included in pipeline sales)</t>
  </si>
  <si>
    <t>Anti-infectives (not included in pipeline sales)</t>
  </si>
  <si>
    <t>Neuroscience (not included in pipeline sales)</t>
  </si>
  <si>
    <t>Cardiovascular (not included in pipeline sales)</t>
  </si>
  <si>
    <t>Phase 3 Pipeline Modeled Separately (Ticker0018-2113, Tar-200, Nipocalimab)</t>
  </si>
  <si>
    <t>Additional Phaes III and II Assets Modeled As a Whole</t>
  </si>
  <si>
    <t>Person1173 POS</t>
  </si>
  <si>
    <t>Phase 3 Pipeline Modeled Separately, adjusted</t>
  </si>
  <si>
    <t>Other Phase III and II Assets Modeled In Aggregate, adjusted</t>
  </si>
  <si>
    <t>Tar Platform (Tar-200 &amp; Tar 210), unadjusted</t>
  </si>
  <si>
    <t>Tar Platform (Tar-200 &amp; Tar 210), adjusted</t>
  </si>
  <si>
    <t>Ticker0018-2113 - PsO unadjusted</t>
  </si>
  <si>
    <t>Ticker0018-2113 - UC Unadjusted</t>
  </si>
  <si>
    <t>Risk Adjusted By Indications</t>
  </si>
  <si>
    <t>Product0408, % growth</t>
  </si>
  <si>
    <t>Product0407, % growth</t>
  </si>
  <si>
    <t>Product0352, % growth</t>
  </si>
  <si>
    <t>Product0215</t>
  </si>
  <si>
    <t>Product0215, % growth</t>
  </si>
  <si>
    <t>Product0097</t>
  </si>
  <si>
    <t>Product0097, % growth</t>
  </si>
  <si>
    <t>Person0813 Person0525</t>
  </si>
  <si>
    <t>US Pharmaceuticals</t>
  </si>
  <si>
    <t>+1 415.249.7412 (San Francisco)</t>
  </si>
  <si>
    <t>Person0091, CFA</t>
  </si>
  <si>
    <t>+1 212.902.0691 (New York)</t>
  </si>
  <si>
    <t>person@example.com</t>
  </si>
  <si>
    <t>Person0522</t>
  </si>
  <si>
    <t>+1 212.357.9930 (New York)</t>
  </si>
  <si>
    <t>person@example.com</t>
  </si>
  <si>
    <t>1Q25</t>
  </si>
  <si>
    <t>Product0352 + Product0215</t>
  </si>
  <si>
    <t>Product0352 + Product0215, % growth</t>
  </si>
  <si>
    <t>PsO US</t>
  </si>
  <si>
    <t>PsO Intl</t>
  </si>
  <si>
    <t>PsO WW</t>
  </si>
  <si>
    <t>IBD US</t>
  </si>
  <si>
    <t>IBD Intl</t>
  </si>
  <si>
    <t>IBD WW</t>
  </si>
  <si>
    <t>Product0404 US</t>
  </si>
  <si>
    <t>Product0404 INTL</t>
  </si>
  <si>
    <t>Product0404 WW</t>
  </si>
  <si>
    <t>Crohn's Disease Market Model</t>
  </si>
  <si>
    <t>2021A</t>
  </si>
  <si>
    <t>2023A</t>
  </si>
  <si>
    <t>2024A</t>
  </si>
  <si>
    <t>US Market</t>
  </si>
  <si>
    <t>Prevalent CD patients</t>
  </si>
  <si>
    <t>% Growth</t>
  </si>
  <si>
    <t>Prevalence by Disease Severity</t>
  </si>
  <si>
    <t xml:space="preserve">   Mild/ Remission</t>
  </si>
  <si>
    <t xml:space="preserve">   Moderate-Severe</t>
  </si>
  <si>
    <t>Remission on TNF+immunomodulator</t>
  </si>
  <si>
    <t>Not in remission with TNF+immunomodulator</t>
  </si>
  <si>
    <t>Patients escalate to non TNF biologics, not in optimal control %</t>
  </si>
  <si>
    <t>TAM for further escalation need</t>
  </si>
  <si>
    <t>Patients on Product0424</t>
  </si>
  <si>
    <t>Product0424 market share (base)</t>
  </si>
  <si>
    <t>New to drug</t>
  </si>
  <si>
    <t>On drug prior</t>
  </si>
  <si>
    <t xml:space="preserve">Product0424 patients </t>
  </si>
  <si>
    <t>Adherence (%)</t>
  </si>
  <si>
    <t>WAC per year of treatment ($)</t>
  </si>
  <si>
    <t>% WAC change</t>
  </si>
  <si>
    <t>Net price (per year) $</t>
  </si>
  <si>
    <t>% Gross-to-net margin</t>
  </si>
  <si>
    <t>Total US Market in CD Sales ($mn)</t>
  </si>
  <si>
    <t>YoY Growth</t>
  </si>
  <si>
    <t>% of global sales</t>
  </si>
  <si>
    <t>ex-US Market</t>
  </si>
  <si>
    <t>YoY growth</t>
  </si>
  <si>
    <t>Global Sales - unadjusted ($mn)</t>
  </si>
  <si>
    <t>Ulcerative Colitis (UC) Market Model</t>
  </si>
  <si>
    <t>Prevalent UC patients</t>
  </si>
  <si>
    <t xml:space="preserve">   Mild</t>
  </si>
  <si>
    <t xml:space="preserve">   Moderate</t>
  </si>
  <si>
    <t xml:space="preserve">   Severe</t>
  </si>
  <si>
    <t>Prevalence by Patients on Treatments</t>
  </si>
  <si>
    <t>Total patients on treatment</t>
  </si>
  <si>
    <t>Patients Not in Remission on Conventional Treatments</t>
  </si>
  <si>
    <t xml:space="preserve">   Total Moderate/Severe Patients Not in Remission via conventional Tx</t>
  </si>
  <si>
    <t>Patients escalate to biosimilars Tx and,  not in optimal control %</t>
  </si>
  <si>
    <t>Product0424 patients</t>
  </si>
  <si>
    <t>Total US Market in UC Sales ($mn)</t>
  </si>
  <si>
    <t xml:space="preserve">Patients on Product0424 </t>
  </si>
  <si>
    <t xml:space="preserve">Product0424 market share </t>
  </si>
  <si>
    <t>2Q25</t>
  </si>
  <si>
    <t>3Q25</t>
  </si>
  <si>
    <t>10.14.2025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</si>
</sst>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1">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quot;£&quot;#,##0.00"/>
    <numFmt numFmtId="165" formatCode="_-* #,##0_-;\-* #,##0_-;_-* &quot;-&quot;_-;_-@_-"/>
    <numFmt numFmtId="166" formatCode="_-* #,##0.00_-;\-* #,##0.00_-;_-* &quot;-&quot;??_-;_-@_-"/>
    <numFmt numFmtId="167" formatCode="[Blue]&quot;$&quot;#,##0_);[Blue]\(&quot;$&quot;#,##0\)"/>
    <numFmt numFmtId="168" formatCode="[Blue]#,##0_);[Blue]\(#,##0\)"/>
    <numFmt numFmtId="169" formatCode="0.0%"/>
    <numFmt numFmtId="170" formatCode="[Blue]#,##0.0_);[Blue]\(#,##0.0\)"/>
    <numFmt numFmtId="171" formatCode="&quot;$&quot;#,##0.0_);[Red]\(&quot;$&quot;#,##0.0\)"/>
    <numFmt numFmtId="172" formatCode="[Blue]&quot;$&quot;#,##0_);[Red]\(&quot;$&quot;#,##0\)"/>
    <numFmt numFmtId="173" formatCode="#,##0.0_);[Red]\(#,##0.0\)"/>
    <numFmt numFmtId="174" formatCode="0.0"/>
    <numFmt numFmtId="175" formatCode="General_)"/>
    <numFmt numFmtId="176" formatCode="#,##0.0"/>
    <numFmt numFmtId="177" formatCode="#,##0.0_);\(#,##0.0\)"/>
    <numFmt numFmtId="178" formatCode="0.000%"/>
    <numFmt numFmtId="179" formatCode="0_);\(0\)"/>
    <numFmt numFmtId="180" formatCode="&quot;$&quot;#,##0.0_);\(&quot;$&quot;#,##0.0\)"/>
    <numFmt numFmtId="181" formatCode="#,##0.00000"/>
    <numFmt numFmtId="182" formatCode="&quot;$&quot;#,##0\ ;\(&quot;$&quot;#,##0\)"/>
    <numFmt numFmtId="183" formatCode="&quot;$&quot;#,##0.000_);\(&quot;$&quot;#,##0.000\)"/>
    <numFmt numFmtId="184" formatCode="#,##0.0_);[Blue]\(#,##0.0\)"/>
    <numFmt numFmtId="185" formatCode="_(* #,##0.0_);_(* \(#,##0.0\);_(* &quot;-&quot;??_);_(@_)"/>
    <numFmt numFmtId="186" formatCode="#,##0.000_);\(#,##0.000\)"/>
    <numFmt numFmtId="187" formatCode="#,##0_);[Blue]\(#,##0\)"/>
    <numFmt numFmtId="188" formatCode="_(&quot;$&quot;* #,##0_);_(&quot;$&quot;* \(#,##0\);_(&quot;$&quot;* &quot;-&quot;??_);_(@_)"/>
    <numFmt numFmtId="189" formatCode="_(* #,##0_);_(* \(#,##0\);_(* &quot;-&quot;??_);_(@_)"/>
    <numFmt numFmtId="190" formatCode="0_);[Red]\(0\)"/>
    <numFmt numFmtId="191" formatCode="#,##0;\(#,##0\)"/>
    <numFmt numFmtId="192" formatCode="#,##0.0000_);\(#,##0.0000\)"/>
    <numFmt numFmtId="193" formatCode="0\A"/>
    <numFmt numFmtId="194" formatCode="\$0.00;\(\$0.00\)"/>
    <numFmt numFmtId="195" formatCode="0.0&quot;  &quot;"/>
    <numFmt numFmtId="196" formatCode="_-* #,##0_-;\(#,##0\);_-* &quot;–&quot;_-;_-@_-"/>
    <numFmt numFmtId="197" formatCode="#,##0;\(#,##0\);\–;@"/>
    <numFmt numFmtId="198" formatCode="\$\ #,##0;&quot;£&quot;\ \-#,##0"/>
    <numFmt numFmtId="199" formatCode="\¥#,##0.00_);\(\¥#,##0.00\)"/>
    <numFmt numFmtId="200" formatCode="#,##0.000_);[Red]\(#,##0.000\)"/>
    <numFmt numFmtId="201" formatCode="&quot;$&quot;#,##0.000_);[Red]\(&quot;$&quot;#,##0.000\)"/>
    <numFmt numFmtId="202" formatCode="#,##0.0000_);[Red]\(#,##0.0000\)"/>
    <numFmt numFmtId="203" formatCode="0.0\x"/>
    <numFmt numFmtId="204" formatCode="#,##0.000"/>
    <numFmt numFmtId="205" formatCode="#,##0.0\ ;\(#,##0.0\)"/>
    <numFmt numFmtId="206" formatCode="#,##0.0\ \ \ ;\(#,##0.0\)\ \ "/>
    <numFmt numFmtId="207" formatCode="&quot;$&quot;_(#,##0.00_);&quot;$&quot;\(#,##0.00\)"/>
    <numFmt numFmtId="208" formatCode="#,##0.0_)\x;\(#,##0.0\)\x"/>
    <numFmt numFmtId="209" formatCode="#,##0.0_)_x;\(#,##0.0\)_x"/>
    <numFmt numFmtId="210" formatCode="0.0_)\%;\(0.0\)\%"/>
    <numFmt numFmtId="211" formatCode="#,##0.0_)_%;\(#,##0.0\)_%"/>
    <numFmt numFmtId="212" formatCode="_-&quot;$&quot;* #,##0.00_-;\-&quot;$&quot;* #,##0.00_-;_-&quot;$&quot;* &quot;-&quot;??_-;_-@_-"/>
    <numFmt numFmtId="213" formatCode="0.00_)"/>
    <numFmt numFmtId="214" formatCode="_-* #,##0.000_-;\-* #,##0.000_-;_-* &quot;-&quot;??_-;_-@_-"/>
    <numFmt numFmtId="215" formatCode="[Blue]General"/>
    <numFmt numFmtId="216" formatCode="[Magenta]General"/>
    <numFmt numFmtId="217" formatCode="[Red]General"/>
    <numFmt numFmtId="218" formatCode="0.0000"/>
    <numFmt numFmtId="219" formatCode="&quot;$&quot;#,##0.000\ ;\(&quot;$&quot;#,##0.000\)"/>
    <numFmt numFmtId="220" formatCode="0.0%_);\(0.0%\)"/>
    <numFmt numFmtId="221" formatCode="0.00%_);[Red]\(0.00%\)"/>
    <numFmt numFmtId="222" formatCode="_(* 0%_);_(* \(0%\);_(* &quot;- &quot;_);_(@_)"/>
    <numFmt numFmtId="223" formatCode="mm/dd/yy_)"/>
    <numFmt numFmtId="224" formatCode="_(* #,##0_);_(* \(#,##0\);_(* &quot;- &quot;_);_(@_)"/>
    <numFmt numFmtId="225" formatCode="0.0_)\%;\(0.0\)\%;0.0_)\%;@_)_%"/>
    <numFmt numFmtId="226" formatCode="#,##0.0_)_%;\(#,##0.0\)_%;0.0_)_%;@_)_%"/>
    <numFmt numFmtId="227" formatCode="#,##0.0_);\(#,##0.0\);#,##0.0_);@_)"/>
    <numFmt numFmtId="228" formatCode="&quot;$&quot;#,##0;[Red]\-&quot;$&quot;#,##0"/>
    <numFmt numFmtId="229" formatCode="&quot;$&quot;_(#,##0.00_);&quot;$&quot;\(#,##0.00\);&quot;$&quot;_(0.00_);@_)"/>
    <numFmt numFmtId="230" formatCode="#,##0.00_);\(#,##0.00\);0.00_);@_)"/>
    <numFmt numFmtId="231" formatCode="\€_(#,##0.00_);\€\(#,##0.00\);\€_(0.00_);@_)"/>
    <numFmt numFmtId="232" formatCode="&quot;$&quot;#,##0.00;\-&quot;$&quot;#,##0.00"/>
    <numFmt numFmtId="233" formatCode="#,##0_)\x;\(#,##0\)\x;0_)\x;@_)_x"/>
    <numFmt numFmtId="234" formatCode="&quot;$&quot;#,##0.00;[Red]\-&quot;$&quot;#,##0.00"/>
    <numFmt numFmtId="235" formatCode="#,##0_)_x;\(#,##0\)_x;0_)_x;@_)_x"/>
    <numFmt numFmtId="236" formatCode="_-&quot;$&quot;* #,##0_-;\-&quot;$&quot;* #,##0_-;_-&quot;$&quot;* &quot;-&quot;_-;_-@_-"/>
    <numFmt numFmtId="237" formatCode="\£\ #,##0_);[Red]\(\£\ #,##0\)"/>
    <numFmt numFmtId="238" formatCode="\¥\ #,##0_);[Red]\(\¥\ #,##0\)"/>
    <numFmt numFmtId="239" formatCode="0_)"/>
    <numFmt numFmtId="240" formatCode="\A\ &quot;$&quot;#,##0.00\ ;\(\A\ &quot;$&quot;#,##0.00\)"/>
    <numFmt numFmtId="241" formatCode="_(* #,##0.0,,_);_(* \(#,##0.0,,\);_(* &quot;-&quot;?_);_(@_)"/>
    <numFmt numFmtId="242" formatCode="&quot;$&quot;#,##0\ ;&quot;$&quot;\(#,##0\);\-\-_)"/>
    <numFmt numFmtId="243" formatCode="#,##0_);\(#,##0\);\ \-\-\-_)"/>
    <numFmt numFmtId="244" formatCode="#,##0.000000_);\(#,##0.000000\)"/>
    <numFmt numFmtId="245" formatCode="0.000_)"/>
    <numFmt numFmtId="246" formatCode="#,##0.0;[Red]\(#,##0.0\)"/>
    <numFmt numFmtId="247" formatCode="#,##0.0\x"/>
    <numFmt numFmtId="248" formatCode="#,##0.0\A"/>
    <numFmt numFmtId="249" formatCode="_(* #,##0_);_(* \(#,##0\);_(* &quot;----&quot;_);_(@_)"/>
    <numFmt numFmtId="250" formatCode="_(* #,##0.00_);_(* \(#,##0.00\);_(* &quot;-----&quot;_);_(@_)"/>
    <numFmt numFmtId="251" formatCode="mmm\ d\,\ yyyy\ "/>
    <numFmt numFmtId="252" formatCode="yyyy"/>
    <numFmt numFmtId="253" formatCode="_(* #,##0.00_);_(* \(#,##0.00\);_(* &quot;---&quot;_);_(@_)"/>
    <numFmt numFmtId="254" formatCode="&quot;$&quot;#,##0.00&quot;A&quot;;[Red]\(&quot;$&quot;#,##0.00\)&quot;A&quot;"/>
    <numFmt numFmtId="255" formatCode="&quot;$&quot;#,##0.00&quot;E&quot;;[Red]\(&quot;$&quot;#,##0.00\)&quot;E&quot;"/>
    <numFmt numFmtId="256" formatCode="_([$€-2]* #,##0.00_);_([$€-2]* \(#,##0.00\);_([$€-2]* &quot;-&quot;??_)"/>
    <numFmt numFmtId="257" formatCode="\F\F\r\ \ #,##0.00_);\F\F\r\ \ \(#,##0.00\)"/>
    <numFmt numFmtId="258" formatCode="0.0%_);[Red]\(0.0%\)"/>
    <numFmt numFmtId="259" formatCode="0.00%;\(0.00%\)"/>
    <numFmt numFmtId="260" formatCode="_(* #,##0.0_);_(* \(#,##0.0\);_(* &quot;----&quot;_);_(@_)"/>
    <numFmt numFmtId="261" formatCode="###0"/>
    <numFmt numFmtId="262" formatCode="#,##0.0\%_);\(#,##0.0\%\);#,##0.0\%_);@_)"/>
    <numFmt numFmtId="263" formatCode="0.0_)"/>
    <numFmt numFmtId="264" formatCode="00\ &quot;days&quot;"/>
    <numFmt numFmtId="265" formatCode="0\ &quot;years&quot;"/>
    <numFmt numFmtId="266" formatCode="_(* #,##0.00_);_(* \(#,##0.00\);_(* &quot;-&quot;_);_(@_)"/>
    <numFmt numFmtId="273" formatCode="_(* #,##0.0_);_(* \(#,##0.0\);_(* &quot;-&quot;?_);_(@_)"/>
    <numFmt numFmtId="274" formatCode="[Black]#,##0_);[Blue]\(#,##0\)"/>
    <numFmt numFmtId="276" formatCode="#,##0.0000000000_);\(#,##0.0000000000\)"/>
    <numFmt numFmtId="277" formatCode="&quot;$&quot;#,##0.00"/>
    <numFmt numFmtId="278" formatCode="&quot;$&quot;#,##0.0\ \ \ ;\(&quot;$&quot;#,##0.0\)\ \ "/>
    <numFmt numFmtId="279" formatCode="&quot;$&quot;#,##0"/>
    <numFmt numFmtId="280" formatCode="mmm\-yyyy"/>
    <numFmt numFmtId="281" formatCode="0.0%_);\(0.0%\);0.0%_);@_)"/>
    <numFmt numFmtId="284" formatCode="mm/dd/yyyy"/>
    <numFmt numFmtId="285" formatCode="\ð\%"/>
    <numFmt numFmtId="286" formatCode="0.000"/>
    <numFmt numFmtId="287" formatCode="&quot;US$&quot;&quot;$&quot;#,##0.00_);\(&quot;$&quot;#,##0.00\)"/>
    <numFmt numFmtId="288" formatCode="#,##0.0_)\x;\(#,##0.0\)\x;0.0_)\x;@_)_x"/>
    <numFmt numFmtId="289" formatCode="#,##0.0_)_x;\(#,##0.0\)_x;0.0_)_x;@_)_x"/>
    <numFmt numFmtId="290" formatCode="#,##0\ ;\(#,##0\)"/>
    <numFmt numFmtId="291" formatCode="&quot;cash&quot;;\(#,##0.0\)"/>
    <numFmt numFmtId="292" formatCode="#,##0\ ;\(#,##0\);\-\ \ \ \ \ "/>
    <numFmt numFmtId="293" formatCode="#,##0\ ;\(#,##0\);\–\ \ \ \ \ "/>
    <numFmt numFmtId="294" formatCode="d\-mmm\-yy\ h:mm"/>
    <numFmt numFmtId="295" formatCode="&quot;$&quot;#,##0.00_)\ \ ;\(&quot;$&quot;#,##0.00\)\ \ "/>
    <numFmt numFmtId="296" formatCode="&quot;C&quot;&quot;$&quot;#,##0.00_);[Red]\(&quot;C&quot;&quot;$&quot;#,##0.00\)"/>
    <numFmt numFmtId="297" formatCode="&quot;$&quot;#,##0.00_);&quot;$&quot;\ \(#,##0.00\);&quot;$&quot;\ &quot;-&quot;??_);_(@_)"/>
    <numFmt numFmtId="298" formatCode="_(* #,##0.0_%_);_(* \(#,##0.0_%\);_(* &quot; - &quot;_%_);_(@_)"/>
    <numFmt numFmtId="299" formatCode="_(* #,##0.0%_);_(* \(#,##0.0%\);_(* &quot; - &quot;\%_);_(@_)"/>
    <numFmt numFmtId="300" formatCode="_(* #,##0_);_(* \(#,##0\);_(* &quot; - &quot;_);_(@_)"/>
    <numFmt numFmtId="301" formatCode="_(* #,##0.0_);_(* \(#,##0.0\);_(* &quot; - &quot;_);_(@_)"/>
    <numFmt numFmtId="302" formatCode="_(* #,##0.00_);_(* \(#,##0.00\);_(* &quot; - &quot;_);_(@_)"/>
    <numFmt numFmtId="303" formatCode="_(* #,##0.000_);_(* \(#,##0.000\);_(* &quot; - &quot;_);_(@_)"/>
    <numFmt numFmtId="304" formatCode="#,##0;\(#,##0\);&quot;-&quot;"/>
    <numFmt numFmtId="305" formatCode="[Blue]#,##0.00\ ;[Blue]\(#,##0.00\);[Blue]**"/>
    <numFmt numFmtId="306" formatCode="[Black]#,##0.0\ ;[Black]\(#,##0.0\);[Black]**"/>
    <numFmt numFmtId="307" formatCode="0.0\ \ \ ;\(0.0\)\ \ \ "/>
    <numFmt numFmtId="308" formatCode="mmmm\ d\,\ yy\ \ \ \ h:mm"/>
    <numFmt numFmtId="309" formatCode="mmm\ dd\,\ yy\ \ \ \ h:mm"/>
    <numFmt numFmtId="310" formatCode="&quot;$&quot;#,##0.0_)\ \ ;\(&quot;$&quot;#,##0.0\)\ \ "/>
    <numFmt numFmtId="311" formatCode="0.0\ \x\ \ \ \ ;&quot;NM      &quot;;\ 0.0\ \x\ \ \ \ "/>
    <numFmt numFmtId="312" formatCode="0.0%_)\ \ ;\(0.0%\)\ \ "/>
    <numFmt numFmtId="313" formatCode="#,##0.0\x_);[Red]\(#,##0.0\x\)"/>
    <numFmt numFmtId="314" formatCode="_(* #,##0.000000_);_(* \(#,##0.000000\);_(* &quot;-&quot;??_);_(@_)"/>
    <numFmt numFmtId="315" formatCode="#,##0.00_)\ \ ;\(#,##0.00\)\ \ "/>
    <numFmt numFmtId="316" formatCode="###,000_);\(###,000\)"/>
    <numFmt numFmtId="317" formatCode="0.0*100"/>
    <numFmt numFmtId="318" formatCode="#,###,_);\(#,###,\);&quot;–  &quot;\ \ \ \ \ "/>
    <numFmt numFmtId="319" formatCode="[Blue]#,##0.0\ ;[Blue]\(#,##0.0\);[Blue]**"/>
    <numFmt numFmtId="320" formatCode="_(* #,##0_);_(* \(#,##0\);_(* &quot;-&quot;?_);_(@_)"/>
    <numFmt numFmtId="321" formatCode="&quot;Sfr&quot;#,##0_);\(&quot;Sfr&quot;#,##0\)"/>
    <numFmt numFmtId="322" formatCode="#,##0.00;;;[White]General"/>
    <numFmt numFmtId="323" formatCode="_(&quot;CHF&quot;* #,##0.0_);_(&quot;CHF&quot;* \(#,##0.0\);_(&quot;CHF&quot;* &quot;-&quot;??_);_(@_)"/>
    <numFmt numFmtId="326" formatCode="0.0\x_);\(0.0\x\);0.0\x_);@_)"/>
    <numFmt numFmtId="327" formatCode="####&quot;E&quot;"/>
    <numFmt numFmtId="328" formatCode="0%_);\(0%\);0%_);@_)"/>
    <numFmt numFmtId="329" formatCode="&quot;$&quot;#,##0.00_);\(&quot;$&quot;#,##0.00\);&quot;$&quot;#,##0.00_);@_)"/>
    <numFmt numFmtId="330" formatCode="&quot;$&quot;#,##0_);\(&quot;$&quot;#,##0\);&quot;$&quot;#,##0_);@_)"/>
    <numFmt numFmtId="331" formatCode="0.00%_);\(0.00%\);0.00%_);@_)"/>
    <numFmt numFmtId="333" formatCode="#,##0_);\(#,##0\);#,##0_);@_)"/>
    <numFmt numFmtId="335" formatCode="&quot;$&quot;#,##0.0_);\(&quot;$&quot;#,##0.0\);&quot;$&quot;#,##0.0_);@_)"/>
    <numFmt numFmtId="337" formatCode="&quot;$&quot;#,##0.0000_);[Red]\(&quot;$&quot;#,##0.0000\)"/>
    <numFmt numFmtId="339" formatCode="&quot;$&quot;#,##0.000000_);[Red]\(&quot;$&quot;#,##0.000000\)"/>
    <numFmt numFmtId="340" formatCode="#,##0.00000000000_);\(#,##0.00000000000\)"/>
    <numFmt numFmtId="341" formatCode="&quot;$&quot;0.0"/>
    <numFmt numFmtId="342" formatCode="0.0000000000000000%"/>
    <numFmt numFmtId="344" formatCode="0.0000%"/>
    <numFmt numFmtId="345" formatCode="#,##0.0000000_);\(#,##0.0000000\)"/>
    <numFmt numFmtId="346" formatCode="0.000000%_);\(0.000000%\);0.000000%_);@_)"/>
    <numFmt numFmtId="347" formatCode="0.00000%"/>
    <numFmt numFmtId="348" formatCode="0.000000%"/>
    <numFmt numFmtId="349" formatCode="0.0%;\(0.0%\)"/>
    <numFmt numFmtId="350" formatCode="0.0\ &quot;years&quot;"/>
    <numFmt numFmtId="352" formatCode="0.0_);\(0.0\)"/>
    <numFmt numFmtId="353" formatCode="#,##0;\ \(#,##0\);&quot;--&quot;"/>
  </numFmts>
  <fonts count="398">
    <font>
      <sz val="10"/>
      <name val="Helv"/>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color theme="1"/>
      <name val="Arial"/>
      <family val="2"/>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8"/>
      <name val="Arial"/>
      <family val="2"/>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color theme="1"/>
      <name val="Arial"/>
      <family val="2"/>
    </font>
    <font>
      <b/>
      <sz val="10"/>
      <name val="MS Sans Serif"/>
      <family val="2"/>
    </font>
    <font>
      <sz val="10"/>
      <name val="MS Sans Serif"/>
      <family val="2"/>
    </font>
    <font>
      <b/>
      <sz val="9"/>
      <name val="Arial"/>
      <family val="2"/>
    </font>
    <font>
      <sz val="9"/>
      <name val="Arial"/>
      <family val="2"/>
    </font>
    <font>
      <u/>
      <sz val="8"/>
      <name val="Helvetica"/>
      <family val="2"/>
    </font>
    <font>
      <sz val="10"/>
      <name val="Arial"/>
      <family val="2"/>
    </font>
    <font>
      <b/>
      <sz val="10"/>
      <name val="Arial"/>
      <family val="2"/>
    </font>
    <font>
      <sz val="10"/>
      <name val="Arial"/>
      <family val="2"/>
    </font>
    <font>
      <sz val="8"/>
      <name val="Arial"/>
      <family val="2"/>
    </font>
    <font>
      <u/>
      <sz val="8"/>
      <name val="Arial"/>
      <family val="2"/>
    </font>
    <font>
      <b/>
      <sz val="8"/>
      <name val="Arial"/>
      <family val="2"/>
    </font>
    <font>
      <b/>
      <i/>
      <sz val="8"/>
      <name val="Arial"/>
      <family val="2"/>
    </font>
    <font>
      <sz val="8"/>
      <color indexed="10"/>
      <name val="Arial"/>
      <family val="2"/>
    </font>
    <font>
      <sz val="10"/>
      <color indexed="12"/>
      <name val="Arial"/>
      <family val="2"/>
    </font>
    <font>
      <sz val="10"/>
      <name val="System"/>
      <family val="2"/>
    </font>
    <font>
      <b/>
      <sz val="18"/>
      <name val="System"/>
      <family val="2"/>
    </font>
    <font>
      <b/>
      <sz val="12"/>
      <name val="System"/>
      <family val="2"/>
    </font>
    <font>
      <i/>
      <sz val="8"/>
      <name val="Arial"/>
      <family val="2"/>
    </font>
    <font>
      <sz val="8"/>
      <color indexed="9"/>
      <name val="Arial"/>
      <family val="2"/>
    </font>
    <font>
      <sz val="8"/>
      <color indexed="81"/>
      <name val="Tahoma"/>
      <family val="2"/>
    </font>
    <font>
      <b/>
      <sz val="8"/>
      <color indexed="81"/>
      <name val="Tahoma"/>
      <family val="2"/>
    </font>
    <font>
      <sz val="8"/>
      <color indexed="12"/>
      <name val="Arial"/>
      <family val="2"/>
    </font>
    <font>
      <sz val="7"/>
      <name val="Arial"/>
      <family val="2"/>
    </font>
    <font>
      <u/>
      <sz val="10"/>
      <color indexed="12"/>
      <name val="Helv"/>
    </font>
    <font>
      <b/>
      <sz val="12"/>
      <name val="Arial"/>
      <family val="2"/>
    </font>
    <font>
      <sz val="12"/>
      <name val="Arial"/>
      <family val="2"/>
    </font>
    <font>
      <sz val="10"/>
      <color indexed="8"/>
      <name val="Arial"/>
      <family val="2"/>
    </font>
    <font>
      <sz val="11"/>
      <name val="Arial"/>
      <family val="2"/>
    </font>
    <font>
      <sz val="10"/>
      <name val="Helv"/>
    </font>
    <font>
      <sz val="8"/>
      <name val="Helv"/>
    </font>
    <font>
      <b/>
      <sz val="10"/>
      <name val="Helv"/>
    </font>
    <font>
      <sz val="10"/>
      <name val="GS TheSans"/>
      <family val="2"/>
    </font>
    <font>
      <b/>
      <sz val="10"/>
      <color indexed="18"/>
      <name val="Arial"/>
      <family val="2"/>
    </font>
    <font>
      <b/>
      <sz val="10"/>
      <name val="Arial"/>
      <family val="2"/>
    </font>
    <font>
      <b/>
      <sz val="10"/>
      <color indexed="18"/>
      <name val="Arial"/>
      <family val="2"/>
    </font>
    <font>
      <sz val="10"/>
      <color indexed="8"/>
      <name val="MS Sans Serif"/>
      <family val="2"/>
    </font>
    <font>
      <b/>
      <sz val="8"/>
      <color indexed="8"/>
      <name val="Arial"/>
      <family val="2"/>
    </font>
    <font>
      <sz val="8"/>
      <name val="Arial"/>
      <family val="2"/>
    </font>
    <font>
      <sz val="9"/>
      <color indexed="8"/>
      <name val="Times New Roman"/>
      <family val="1"/>
    </font>
    <font>
      <b/>
      <sz val="10"/>
      <color indexed="8"/>
      <name val="Times New Roman"/>
      <family val="1"/>
    </font>
    <font>
      <sz val="9"/>
      <color indexed="9"/>
      <name val="Times New Roman"/>
      <family val="1"/>
    </font>
    <font>
      <b/>
      <sz val="24"/>
      <name val="Times New Roman"/>
      <family val="1"/>
    </font>
    <font>
      <sz val="9"/>
      <name val="Times New Roman"/>
      <family val="1"/>
    </font>
    <font>
      <b/>
      <sz val="8.5"/>
      <color indexed="17"/>
      <name val="Arial"/>
      <family val="2"/>
    </font>
    <font>
      <sz val="7"/>
      <name val="Arial"/>
      <family val="2"/>
    </font>
    <font>
      <b/>
      <sz val="7"/>
      <color indexed="17"/>
      <name val="Arial"/>
      <family val="2"/>
    </font>
    <font>
      <sz val="8.5"/>
      <color indexed="8"/>
      <name val="Arial"/>
      <family val="2"/>
    </font>
    <font>
      <sz val="10"/>
      <color indexed="10"/>
      <name val="Times New Roman"/>
      <family val="1"/>
    </font>
    <font>
      <b/>
      <sz val="14"/>
      <name val="Arial"/>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8.5"/>
      <color indexed="17"/>
      <name val="Arial"/>
      <family val="2"/>
    </font>
    <font>
      <b/>
      <sz val="10"/>
      <name val="Times New Roman"/>
      <family val="1"/>
    </font>
    <font>
      <b/>
      <sz val="8"/>
      <color indexed="23"/>
      <name val="Arial"/>
      <family val="2"/>
    </font>
    <font>
      <b/>
      <sz val="8"/>
      <name val="Helv"/>
    </font>
    <font>
      <sz val="8"/>
      <color indexed="12"/>
      <name val="Helv"/>
    </font>
    <font>
      <b/>
      <sz val="12"/>
      <name val="Helv"/>
    </font>
    <font>
      <sz val="8"/>
      <color indexed="49"/>
      <name val="Times New Roman"/>
      <family val="1"/>
    </font>
    <font>
      <sz val="8"/>
      <color indexed="17"/>
      <name val="Times New Roman"/>
      <family val="1"/>
    </font>
    <font>
      <sz val="10"/>
      <name val="Palatino"/>
      <family val="1"/>
    </font>
    <font>
      <sz val="10"/>
      <name val="Times New Roman"/>
      <family val="1"/>
    </font>
    <font>
      <u/>
      <sz val="8.4"/>
      <color indexed="12"/>
      <name val="Arial"/>
      <family val="2"/>
    </font>
    <font>
      <sz val="12"/>
      <name val="MS ??"/>
      <family val="1"/>
      <charset val="128"/>
    </font>
    <font>
      <sz val="12"/>
      <name val="Palatino"/>
      <family val="1"/>
    </font>
    <font>
      <b/>
      <sz val="22"/>
      <color indexed="18"/>
      <name val="Arial"/>
      <family val="2"/>
    </font>
    <font>
      <b/>
      <sz val="14"/>
      <color indexed="18"/>
      <name val="Arial"/>
      <family val="2"/>
    </font>
    <font>
      <sz val="9"/>
      <color indexed="8"/>
      <name val="Arial"/>
      <family val="2"/>
    </font>
    <font>
      <b/>
      <u val="singleAccounting"/>
      <sz val="10"/>
      <color indexed="18"/>
      <name val="Arial"/>
      <family val="2"/>
    </font>
    <font>
      <sz val="12"/>
      <name val="times new roman"/>
      <family val="1"/>
    </font>
    <font>
      <sz val="8"/>
      <name val="Times New Roman"/>
      <family val="1"/>
    </font>
    <font>
      <sz val="12"/>
      <name val="Arial MT"/>
    </font>
    <font>
      <sz val="8"/>
      <color indexed="8"/>
      <name val="Times New Roman"/>
      <family val="1"/>
    </font>
    <font>
      <b/>
      <sz val="18"/>
      <name val="Helv"/>
    </font>
    <font>
      <sz val="14"/>
      <name val="Helv"/>
    </font>
    <font>
      <b/>
      <sz val="14"/>
      <name val="Helv"/>
    </font>
    <font>
      <sz val="8"/>
      <name val="Tms Rmn"/>
    </font>
    <font>
      <sz val="9"/>
      <name val="Times New Roman"/>
      <family val="1"/>
    </font>
    <font>
      <sz val="10"/>
      <name val="Courier"/>
      <family val="3"/>
    </font>
    <font>
      <i/>
      <sz val="8"/>
      <color indexed="16"/>
      <name val="Arial"/>
      <family val="2"/>
    </font>
    <font>
      <i/>
      <sz val="8"/>
      <color indexed="54"/>
      <name val="Arial"/>
      <family val="2"/>
    </font>
    <font>
      <i/>
      <sz val="9"/>
      <color indexed="16"/>
      <name val="Arial"/>
      <family val="2"/>
    </font>
    <font>
      <b/>
      <sz val="11"/>
      <name val="Arial"/>
      <family val="2"/>
    </font>
    <font>
      <b/>
      <sz val="12"/>
      <color indexed="10"/>
      <name val="Palatino"/>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8"/>
      <color indexed="18"/>
      <name val="Times New Roman"/>
      <family val="1"/>
    </font>
    <font>
      <sz val="10"/>
      <name val="Times New Roman"/>
      <family val="1"/>
    </font>
    <font>
      <b/>
      <sz val="8"/>
      <name val="Arial"/>
      <family val="2"/>
    </font>
    <font>
      <b/>
      <sz val="12"/>
      <name val="Palatino"/>
      <family val="1"/>
    </font>
    <font>
      <b/>
      <sz val="10"/>
      <name val="Palatino"/>
      <family val="1"/>
    </font>
    <font>
      <b/>
      <u/>
      <sz val="10"/>
      <name val="Palatino"/>
      <family val="1"/>
    </font>
    <font>
      <b/>
      <sz val="12"/>
      <name val="Times New Roman"/>
      <family val="1"/>
    </font>
    <font>
      <sz val="8"/>
      <name val="Times New Roman"/>
      <family val="1"/>
    </font>
    <font>
      <sz val="10"/>
      <color indexed="8"/>
      <name val="TMSRMN"/>
    </font>
    <font>
      <b/>
      <sz val="18"/>
      <color indexed="22"/>
      <name val="Arial"/>
      <family val="2"/>
    </font>
    <font>
      <b/>
      <sz val="12"/>
      <color indexed="22"/>
      <name val="Arial"/>
      <family val="2"/>
    </font>
    <font>
      <sz val="10"/>
      <color indexed="18"/>
      <name val="Times New Roman"/>
      <family val="1"/>
    </font>
    <font>
      <sz val="6"/>
      <name val="Arial Narrow"/>
      <family val="2"/>
    </font>
    <font>
      <sz val="10"/>
      <name val="Geneva"/>
      <family val="2"/>
    </font>
    <font>
      <sz val="11"/>
      <name val="Tms Rmn"/>
      <family val="1"/>
    </font>
    <font>
      <sz val="9"/>
      <name val="Arial Narrow"/>
      <family val="2"/>
    </font>
    <font>
      <sz val="10"/>
      <name val="BERNHARD"/>
    </font>
    <font>
      <sz val="10"/>
      <color indexed="12"/>
      <name val="Geneva"/>
      <family val="2"/>
    </font>
    <font>
      <sz val="11"/>
      <color indexed="12"/>
      <name val="Book Antiqua"/>
      <family val="1"/>
    </font>
    <font>
      <b/>
      <sz val="8"/>
      <name val="Times New Roman"/>
      <family val="1"/>
    </font>
    <font>
      <sz val="9"/>
      <color indexed="12"/>
      <name val="Times New Roman"/>
      <family val="1"/>
    </font>
    <font>
      <sz val="10"/>
      <color indexed="22"/>
      <name val="Arial"/>
      <family val="2"/>
    </font>
    <font>
      <b/>
      <i/>
      <sz val="14"/>
      <name val="Tms Rmn"/>
    </font>
    <font>
      <sz val="7"/>
      <name val="Palatino"/>
      <family val="1"/>
    </font>
    <font>
      <i/>
      <sz val="8"/>
      <color indexed="17"/>
      <name val="Times New Roman"/>
      <family val="1"/>
    </font>
    <font>
      <sz val="8"/>
      <color indexed="21"/>
      <name val="Arial"/>
      <family val="2"/>
    </font>
    <font>
      <sz val="6"/>
      <color indexed="16"/>
      <name val="Palatino"/>
      <family val="1"/>
    </font>
    <font>
      <i/>
      <sz val="14"/>
      <name val="Palatino"/>
      <family val="1"/>
    </font>
    <font>
      <b/>
      <sz val="6"/>
      <name val="Palatino"/>
      <family val="1"/>
    </font>
    <font>
      <b/>
      <sz val="7"/>
      <color indexed="8"/>
      <name val="Tms Rmn"/>
    </font>
    <font>
      <sz val="7"/>
      <color indexed="8"/>
      <name val="Tms Rmn"/>
    </font>
    <font>
      <u/>
      <sz val="8"/>
      <color indexed="12"/>
      <name val="Helvetica"/>
      <family val="2"/>
    </font>
    <font>
      <u/>
      <sz val="10"/>
      <color indexed="12"/>
      <name val="Arial"/>
      <family val="2"/>
    </font>
    <font>
      <i/>
      <sz val="8"/>
      <name val="Tms Rmn"/>
    </font>
    <font>
      <sz val="8"/>
      <color indexed="10"/>
      <name val="Times New Roman"/>
      <family val="1"/>
    </font>
    <font>
      <b/>
      <i/>
      <sz val="16"/>
      <name val="Helv"/>
    </font>
    <font>
      <i/>
      <sz val="10"/>
      <name val="Helv"/>
    </font>
    <font>
      <sz val="8"/>
      <name val="Dutch"/>
    </font>
    <font>
      <b/>
      <sz val="9"/>
      <color indexed="8"/>
      <name val="Helvetica 65"/>
      <family val="2"/>
    </font>
    <font>
      <sz val="9"/>
      <color indexed="8"/>
      <name val="Helvetica 45"/>
      <family val="2"/>
    </font>
    <font>
      <b/>
      <sz val="8"/>
      <color indexed="8"/>
      <name val="Helvetica 65"/>
    </font>
    <font>
      <sz val="8"/>
      <name val="Helvetica 65"/>
      <family val="2"/>
    </font>
    <font>
      <b/>
      <sz val="13.5"/>
      <name val="MS Sans Serif"/>
      <family val="2"/>
    </font>
    <font>
      <sz val="12"/>
      <name val="times new roman"/>
      <family val="1"/>
    </font>
    <font>
      <b/>
      <sz val="26"/>
      <name val="Times New Roman"/>
      <family val="1"/>
    </font>
    <font>
      <b/>
      <sz val="18"/>
      <name val="Times New Roman"/>
      <family val="1"/>
    </font>
    <font>
      <sz val="10"/>
      <color indexed="16"/>
      <name val="Helvetica-Black"/>
    </font>
    <font>
      <b/>
      <sz val="10"/>
      <name val="Times New Roman"/>
      <family val="1"/>
    </font>
    <font>
      <sz val="10"/>
      <name val="Palatino"/>
      <family val="1"/>
    </font>
    <font>
      <sz val="10"/>
      <color indexed="8"/>
      <name val="Times New Roman"/>
      <family val="1"/>
    </font>
    <font>
      <b/>
      <i/>
      <sz val="12"/>
      <name val="Times New Roman"/>
      <family val="1"/>
    </font>
    <font>
      <b/>
      <i/>
      <sz val="10"/>
      <name val="Century Gothic"/>
      <family val="2"/>
    </font>
    <font>
      <sz val="10"/>
      <name val="Arial MT"/>
    </font>
    <font>
      <sz val="7"/>
      <name val="Times New Roman"/>
      <family val="1"/>
    </font>
    <font>
      <sz val="7"/>
      <color indexed="17"/>
      <name val="Times New Roman"/>
      <family val="1"/>
    </font>
    <font>
      <sz val="9"/>
      <color indexed="21"/>
      <name val="Helvetica-Black"/>
    </font>
    <font>
      <b/>
      <sz val="9"/>
      <name val="Palatino"/>
      <family val="1"/>
    </font>
    <font>
      <sz val="9"/>
      <name val="Helvetica-Black"/>
    </font>
    <font>
      <sz val="8"/>
      <name val="Helvetica-Narrow"/>
      <family val="2"/>
    </font>
    <font>
      <b/>
      <sz val="7"/>
      <name val="Helvetica-Narrow"/>
      <family val="2"/>
    </font>
    <font>
      <i/>
      <sz val="8"/>
      <name val="Times New Roman"/>
      <family val="1"/>
    </font>
    <font>
      <b/>
      <sz val="10"/>
      <color indexed="16"/>
      <name val="Times New Roman"/>
      <family val="1"/>
    </font>
    <font>
      <b/>
      <sz val="8"/>
      <color indexed="18"/>
      <name val="Times New Roman"/>
      <family val="1"/>
    </font>
    <font>
      <u/>
      <sz val="10"/>
      <name val="Helv"/>
    </font>
    <font>
      <sz val="8"/>
      <color indexed="16"/>
      <name val="Helv"/>
    </font>
    <font>
      <sz val="9.1999999999999993"/>
      <color indexed="81"/>
      <name val="Tahoma"/>
      <family val="2"/>
    </font>
    <font>
      <sz val="8"/>
      <color indexed="8"/>
      <name val="Arial"/>
      <family val="2"/>
    </font>
    <font>
      <i/>
      <sz val="8"/>
      <color indexed="8"/>
      <name val="Arial"/>
      <family val="2"/>
    </font>
    <font>
      <b/>
      <u/>
      <sz val="8"/>
      <color indexed="8"/>
      <name val="Arial"/>
      <family val="2"/>
    </font>
    <font>
      <b/>
      <i/>
      <sz val="8"/>
      <color indexed="8"/>
      <name val="Arial"/>
      <family val="2"/>
    </font>
    <font>
      <b/>
      <sz val="8"/>
      <color indexed="9"/>
      <name val="Arial"/>
      <family val="2"/>
    </font>
    <font>
      <sz val="8"/>
      <color indexed="81"/>
      <name val="Arial"/>
      <family val="2"/>
    </font>
    <font>
      <b/>
      <sz val="8"/>
      <color indexed="12"/>
      <name val="Arial"/>
      <family val="2"/>
    </font>
    <font>
      <b/>
      <sz val="7"/>
      <name val="Arial"/>
      <family val="2"/>
    </font>
    <font>
      <b/>
      <u/>
      <sz val="8"/>
      <name val="Arial"/>
      <family val="2"/>
    </font>
    <font>
      <sz val="10"/>
      <name val="CG Times (WN)"/>
    </font>
    <font>
      <sz val="8"/>
      <color indexed="55"/>
      <name val="Arial"/>
      <family val="2"/>
    </font>
    <font>
      <sz val="10"/>
      <color indexed="10"/>
      <name val="Arial"/>
      <family val="2"/>
    </font>
    <font>
      <sz val="12"/>
      <name val="Palatino"/>
      <family val="1"/>
    </font>
    <font>
      <b/>
      <sz val="22"/>
      <color indexed="18"/>
      <name val="Arial"/>
      <family val="2"/>
    </font>
    <font>
      <b/>
      <sz val="14"/>
      <color indexed="18"/>
      <name val="Arial"/>
      <family val="2"/>
    </font>
    <font>
      <sz val="9"/>
      <color indexed="8"/>
      <name val="Arial"/>
      <family val="2"/>
    </font>
    <font>
      <b/>
      <u val="singleAccounting"/>
      <sz val="10"/>
      <color indexed="18"/>
      <name val="Arial"/>
      <family val="2"/>
    </font>
    <font>
      <sz val="10"/>
      <name val="MS Sans Serif"/>
      <family val="2"/>
    </font>
    <font>
      <sz val="10"/>
      <color indexed="9"/>
      <name val="Arial"/>
      <family val="2"/>
    </font>
    <font>
      <sz val="10"/>
      <color indexed="20"/>
      <name val="Arial"/>
      <family val="2"/>
    </font>
    <font>
      <sz val="8"/>
      <color indexed="12"/>
      <name val="Arial"/>
      <family val="2"/>
    </font>
    <font>
      <b/>
      <sz val="10"/>
      <color indexed="8"/>
      <name val="Times New Roman"/>
      <family val="1"/>
    </font>
    <font>
      <b/>
      <sz val="10"/>
      <color indexed="52"/>
      <name val="Arial"/>
      <family val="2"/>
    </font>
    <font>
      <b/>
      <sz val="10"/>
      <color indexed="9"/>
      <name val="Arial"/>
      <family val="2"/>
    </font>
    <font>
      <i/>
      <sz val="10"/>
      <color indexed="23"/>
      <name val="Arial"/>
      <family val="2"/>
    </font>
    <font>
      <sz val="10"/>
      <color indexed="17"/>
      <name val="Arial"/>
      <family val="2"/>
    </font>
    <font>
      <b/>
      <sz val="11"/>
      <color indexed="62"/>
      <name val="Arial"/>
      <family val="2"/>
    </font>
    <font>
      <sz val="10"/>
      <color indexed="52"/>
      <name val="Arial"/>
      <family val="2"/>
    </font>
    <font>
      <sz val="10"/>
      <color indexed="60"/>
      <name val="Arial"/>
      <family val="2"/>
    </font>
    <font>
      <b/>
      <sz val="10"/>
      <color indexed="34"/>
      <name val="Arial"/>
      <family val="2"/>
    </font>
    <font>
      <sz val="10"/>
      <color indexed="8"/>
      <name val="Times New Roman"/>
      <family val="1"/>
    </font>
    <font>
      <b/>
      <sz val="8.5"/>
      <color indexed="8"/>
      <name val="Arial"/>
      <family val="2"/>
    </font>
    <font>
      <sz val="8"/>
      <color indexed="48"/>
      <name val="Arial"/>
      <family val="2"/>
    </font>
    <font>
      <u/>
      <sz val="8"/>
      <color indexed="81"/>
      <name val="Tahoma"/>
      <family val="2"/>
    </font>
    <font>
      <sz val="9"/>
      <name val="Helv"/>
    </font>
    <font>
      <b/>
      <sz val="9"/>
      <name val="Helv"/>
    </font>
    <font>
      <sz val="9"/>
      <name val="Arial Narrow"/>
      <family val="2"/>
    </font>
    <font>
      <sz val="8"/>
      <name val="Helvetica"/>
      <family val="2"/>
    </font>
    <font>
      <b/>
      <u/>
      <sz val="10"/>
      <name val="Arial"/>
      <family val="2"/>
    </font>
    <font>
      <b/>
      <sz val="10"/>
      <color indexed="8"/>
      <name val="Times New Roman"/>
      <family val="1"/>
    </font>
    <font>
      <sz val="8"/>
      <name val="Arial"/>
      <family val="2"/>
    </font>
    <font>
      <sz val="10"/>
      <color indexed="8"/>
      <name val="Times New Roman"/>
      <family val="1"/>
    </font>
    <font>
      <u/>
      <sz val="10"/>
      <color indexed="12"/>
      <name val="CG Times (WN)"/>
    </font>
    <font>
      <b/>
      <sz val="8"/>
      <color theme="0"/>
      <name val="Arial"/>
      <family val="2"/>
    </font>
    <font>
      <b/>
      <sz val="8"/>
      <color theme="4"/>
      <name val="Arial"/>
      <family val="2"/>
    </font>
    <font>
      <sz val="8"/>
      <color rgb="FFFF0000"/>
      <name val="Arial"/>
      <family val="2"/>
    </font>
    <font>
      <b/>
      <sz val="8"/>
      <color rgb="FFFF0000"/>
      <name val="Arial"/>
      <family val="2"/>
    </font>
    <font>
      <sz val="10"/>
      <color rgb="FFFF0000"/>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34"/>
      <name val="Calibri"/>
      <family val="2"/>
    </font>
    <font>
      <b/>
      <sz val="18"/>
      <color indexed="62"/>
      <name val="Cambria"/>
      <family val="2"/>
    </font>
    <font>
      <b/>
      <sz val="11"/>
      <color indexed="8"/>
      <name val="Calibri"/>
      <family val="2"/>
    </font>
    <font>
      <sz val="11"/>
      <color indexed="10"/>
      <name val="Calibri"/>
      <family val="2"/>
    </font>
    <font>
      <sz val="8"/>
      <color rgb="FF0000FF"/>
      <name val="Arial"/>
      <family val="2"/>
    </font>
    <font>
      <sz val="8"/>
      <color theme="1"/>
      <name val="Arial"/>
      <family val="2"/>
    </font>
    <font>
      <sz val="12"/>
      <name val="Tms Rmn"/>
    </font>
    <font>
      <b/>
      <sz val="8"/>
      <color theme="1"/>
      <name val="Arial"/>
      <family val="2"/>
    </font>
    <font>
      <u/>
      <sz val="8"/>
      <color theme="1"/>
      <name val="Arial"/>
      <family val="2"/>
    </font>
    <font>
      <b/>
      <u/>
      <sz val="9"/>
      <name val="Arial"/>
      <family val="2"/>
    </font>
    <font>
      <sz val="8"/>
      <color theme="0"/>
      <name val="Arial"/>
      <family val="2"/>
    </font>
    <font>
      <b/>
      <sz val="8"/>
      <color theme="0" tint="-0.499984740745262"/>
      <name val="Arial"/>
      <family val="2"/>
    </font>
    <font>
      <sz val="8"/>
      <color theme="0" tint="-0.499984740745262"/>
      <name val="Arial"/>
      <family val="2"/>
    </font>
    <font>
      <b/>
      <i/>
      <sz val="8"/>
      <color theme="0" tint="-0.499984740745262"/>
      <name val="Arial"/>
      <family val="2"/>
    </font>
    <font>
      <i/>
      <sz val="8"/>
      <color theme="0" tint="-0.499984740745262"/>
      <name val="Arial"/>
      <family val="2"/>
    </font>
    <font>
      <b/>
      <sz val="8"/>
      <color theme="1" tint="0.34998626667073579"/>
      <name val="Arial"/>
      <family val="2"/>
    </font>
    <font>
      <sz val="8"/>
      <color theme="1" tint="0.34998626667073579"/>
      <name val="Arial"/>
      <family val="2"/>
    </font>
    <font>
      <b/>
      <i/>
      <sz val="8"/>
      <color theme="1" tint="0.34998626667073579"/>
      <name val="Arial"/>
      <family val="2"/>
    </font>
    <font>
      <i/>
      <sz val="8"/>
      <color theme="1" tint="0.34998626667073579"/>
      <name val="Arial"/>
      <family val="2"/>
    </font>
    <font>
      <b/>
      <u/>
      <sz val="8"/>
      <color theme="0"/>
      <name val="Arial"/>
      <family val="2"/>
    </font>
    <font>
      <b/>
      <sz val="8"/>
      <color rgb="FF0000FF"/>
      <name val="Arial"/>
      <family val="2"/>
    </font>
    <font>
      <u/>
      <sz val="8"/>
      <color rgb="FF0000FF"/>
      <name val="Arial"/>
      <family val="2"/>
    </font>
    <font>
      <sz val="8"/>
      <color theme="3"/>
      <name val="Arial"/>
      <family val="2"/>
    </font>
    <font>
      <sz val="10"/>
      <name val="Helvetica"/>
      <family val="2"/>
    </font>
    <font>
      <sz val="10"/>
      <name val="Tms Rmn"/>
    </font>
    <font>
      <sz val="8"/>
      <name val="Times"/>
      <family val="1"/>
    </font>
    <font>
      <sz val="9"/>
      <color indexed="12"/>
      <name val="Arial"/>
      <family val="2"/>
    </font>
    <font>
      <sz val="7"/>
      <name val="Ariel"/>
    </font>
    <font>
      <sz val="11"/>
      <name val="Times New Roman"/>
      <family val="1"/>
    </font>
    <font>
      <sz val="8"/>
      <name val="Palatino"/>
      <family val="1"/>
    </font>
    <font>
      <sz val="24"/>
      <name val="MS Sans Serif"/>
      <family val="2"/>
    </font>
    <font>
      <sz val="14"/>
      <name val="Palatino"/>
      <family val="1"/>
    </font>
    <font>
      <sz val="16"/>
      <name val="Palatino"/>
      <family val="1"/>
    </font>
    <font>
      <sz val="32"/>
      <name val="Helvetica-Black"/>
    </font>
    <font>
      <b/>
      <sz val="9.5"/>
      <color indexed="10"/>
      <name val="MS Sans Serif"/>
      <family val="2"/>
    </font>
    <font>
      <sz val="10"/>
      <color indexed="12"/>
      <name val="Book Antiqua"/>
      <family val="1"/>
    </font>
    <font>
      <b/>
      <u val="singleAccounting"/>
      <sz val="9"/>
      <name val="Times New Roman"/>
      <family val="1"/>
    </font>
    <font>
      <b/>
      <i/>
      <sz val="9.5"/>
      <name val="Times New Roman"/>
      <family val="1"/>
    </font>
    <font>
      <b/>
      <sz val="16"/>
      <name val="Arial"/>
      <family val="2"/>
    </font>
    <font>
      <sz val="6"/>
      <color indexed="23"/>
      <name val="Helvetica-Black"/>
    </font>
    <font>
      <sz val="9.5"/>
      <color indexed="23"/>
      <name val="Helvetica-Black"/>
    </font>
    <font>
      <sz val="6"/>
      <name val="Palatino"/>
      <family val="1"/>
    </font>
    <font>
      <sz val="6"/>
      <color indexed="12"/>
      <name val="Palatino"/>
      <family val="1"/>
    </font>
    <font>
      <b/>
      <sz val="8"/>
      <name val="Palatino"/>
      <family val="1"/>
    </font>
    <font>
      <b/>
      <sz val="11"/>
      <name val="Book Antiqua"/>
      <family val="1"/>
    </font>
    <font>
      <sz val="10"/>
      <name val="Helvetica-Black"/>
    </font>
    <font>
      <sz val="28"/>
      <name val="Helvetica-Black"/>
    </font>
    <font>
      <sz val="18"/>
      <name val="Palatino"/>
      <family val="1"/>
    </font>
    <font>
      <sz val="8"/>
      <color indexed="12"/>
      <name val="Palatino"/>
      <family val="1"/>
    </font>
    <font>
      <sz val="10"/>
      <name val="Book Antiqua"/>
      <family val="1"/>
    </font>
    <font>
      <sz val="8"/>
      <name val="Book Antiqua"/>
      <family val="1"/>
    </font>
    <font>
      <b/>
      <sz val="20"/>
      <color indexed="8"/>
      <name val="Helvetica"/>
      <family val="2"/>
    </font>
    <font>
      <sz val="10"/>
      <name val="GillSans Light"/>
      <family val="2"/>
    </font>
    <font>
      <b/>
      <sz val="12"/>
      <name val="MS Sans Serif"/>
      <family val="2"/>
    </font>
    <font>
      <u/>
      <sz val="11"/>
      <name val="Times New Roman"/>
      <family val="1"/>
    </font>
    <font>
      <sz val="12"/>
      <color indexed="8"/>
      <name val="Times New Roman"/>
      <family val="1"/>
    </font>
    <font>
      <b/>
      <sz val="10"/>
      <color indexed="8"/>
      <name val="Arial"/>
      <family val="2"/>
    </font>
    <font>
      <i/>
      <sz val="10"/>
      <color indexed="8"/>
      <name val="Arial"/>
      <family val="2"/>
    </font>
    <font>
      <sz val="9"/>
      <name val="Palatino"/>
      <family val="1"/>
    </font>
    <font>
      <sz val="12"/>
      <color indexed="8"/>
      <name val="Palatino"/>
      <family val="1"/>
    </font>
    <font>
      <sz val="11"/>
      <name val="Helvetica-Black"/>
    </font>
    <font>
      <sz val="11"/>
      <color indexed="8"/>
      <name val="Helvetica-Black"/>
    </font>
    <font>
      <b/>
      <sz val="18"/>
      <color theme="3"/>
      <name val="Univers LT Std 65 Bold"/>
      <family val="2"/>
      <scheme val="major"/>
    </font>
    <font>
      <u/>
      <sz val="8"/>
      <name val="Tms Rmn"/>
    </font>
    <font>
      <sz val="10"/>
      <color indexed="12"/>
      <name val="Palatino"/>
      <family val="1"/>
    </font>
    <font>
      <b/>
      <sz val="18"/>
      <name val="Arial"/>
      <family val="2"/>
    </font>
    <font>
      <sz val="18"/>
      <name val="Helvetica-Black"/>
    </font>
    <font>
      <b/>
      <sz val="15"/>
      <color theme="3"/>
      <name val="Univers LT Std 55"/>
      <family val="2"/>
      <scheme val="minor"/>
    </font>
    <font>
      <b/>
      <sz val="13"/>
      <color theme="3"/>
      <name val="Univers LT Std 55"/>
      <family val="2"/>
      <scheme val="minor"/>
    </font>
    <font>
      <b/>
      <sz val="11"/>
      <color theme="3"/>
      <name val="Univers LT Std 55"/>
      <family val="2"/>
      <scheme val="minor"/>
    </font>
    <font>
      <sz val="11"/>
      <color rgb="FF006100"/>
      <name val="Univers LT Std 55"/>
      <family val="2"/>
      <scheme val="minor"/>
    </font>
    <font>
      <sz val="11"/>
      <color rgb="FF9C0006"/>
      <name val="Univers LT Std 55"/>
      <family val="2"/>
      <scheme val="minor"/>
    </font>
    <font>
      <sz val="11"/>
      <color rgb="FF9C6500"/>
      <name val="Univers LT Std 55"/>
      <family val="2"/>
      <scheme val="minor"/>
    </font>
    <font>
      <sz val="11"/>
      <color rgb="FF3F3F76"/>
      <name val="Univers LT Std 55"/>
      <family val="2"/>
      <scheme val="minor"/>
    </font>
    <font>
      <b/>
      <sz val="11"/>
      <color rgb="FF3F3F3F"/>
      <name val="Univers LT Std 55"/>
      <family val="2"/>
      <scheme val="minor"/>
    </font>
    <font>
      <b/>
      <sz val="11"/>
      <color rgb="FFFA7D00"/>
      <name val="Univers LT Std 55"/>
      <family val="2"/>
      <scheme val="minor"/>
    </font>
    <font>
      <sz val="11"/>
      <color rgb="FFFA7D00"/>
      <name val="Univers LT Std 55"/>
      <family val="2"/>
      <scheme val="minor"/>
    </font>
    <font>
      <b/>
      <sz val="11"/>
      <color theme="0"/>
      <name val="Univers LT Std 55"/>
      <family val="2"/>
      <scheme val="minor"/>
    </font>
    <font>
      <sz val="11"/>
      <color rgb="FFFF0000"/>
      <name val="Univers LT Std 55"/>
      <family val="2"/>
      <scheme val="minor"/>
    </font>
    <font>
      <i/>
      <sz val="11"/>
      <color rgb="FF7F7F7F"/>
      <name val="Univers LT Std 55"/>
      <family val="2"/>
      <scheme val="minor"/>
    </font>
    <font>
      <b/>
      <sz val="11"/>
      <color theme="1"/>
      <name val="Univers LT Std 55"/>
      <family val="2"/>
      <scheme val="minor"/>
    </font>
    <font>
      <sz val="11"/>
      <color theme="0"/>
      <name val="Univers LT Std 55"/>
      <family val="2"/>
      <scheme val="minor"/>
    </font>
    <font>
      <sz val="11"/>
      <color theme="1"/>
      <name val="Univers LT Std 55"/>
      <family val="2"/>
    </font>
    <font>
      <i/>
      <sz val="8"/>
      <color rgb="FF0000FF"/>
      <name val="Arial"/>
      <family val="2"/>
    </font>
    <font>
      <sz val="8"/>
      <color rgb="FF002060"/>
      <name val="Arial"/>
      <family val="2"/>
    </font>
    <font>
      <b/>
      <sz val="9"/>
      <color indexed="81"/>
      <name val="Tahoma"/>
      <family val="2"/>
    </font>
    <font>
      <sz val="8"/>
      <name val="Tahoma"/>
      <family val="2"/>
    </font>
    <font>
      <b/>
      <sz val="12"/>
      <name val="Tms Rmn"/>
    </font>
    <font>
      <b/>
      <sz val="10"/>
      <name val="Bookman"/>
      <family val="1"/>
    </font>
    <font>
      <b/>
      <sz val="14"/>
      <name val="Book Antiqua"/>
      <family val="1"/>
    </font>
    <font>
      <i/>
      <sz val="7"/>
      <name val="Book Antiqua"/>
      <family val="1"/>
    </font>
    <font>
      <sz val="10"/>
      <color indexed="72"/>
      <name val="System"/>
      <family val="2"/>
    </font>
    <font>
      <sz val="8"/>
      <name val="Helv"/>
      <family val="2"/>
    </font>
    <font>
      <b/>
      <sz val="14"/>
      <name val="Bookman"/>
      <family val="1"/>
    </font>
    <font>
      <b/>
      <sz val="10"/>
      <color rgb="FFFFFFFF"/>
      <name val="Helv"/>
    </font>
    <font>
      <sz val="9"/>
      <color indexed="81"/>
      <name val="Tahoma"/>
      <family val="2"/>
    </font>
    <font>
      <b/>
      <sz val="8"/>
      <color theme="0" tint="-0.249977111117893"/>
      <name val="Arial"/>
      <family val="2"/>
    </font>
    <font>
      <sz val="8"/>
      <color theme="0" tint="-0.249977111117893"/>
      <name val="Arial"/>
      <family val="2"/>
    </font>
    <font>
      <b/>
      <i/>
      <sz val="8"/>
      <color theme="0" tint="-0.249977111117893"/>
      <name val="Arial"/>
      <family val="2"/>
    </font>
    <font>
      <i/>
      <sz val="8"/>
      <color theme="0" tint="-0.249977111117893"/>
      <name val="Arial"/>
      <family val="2"/>
    </font>
    <font>
      <b/>
      <i/>
      <sz val="8"/>
      <color theme="0"/>
      <name val="Arial"/>
      <family val="2"/>
    </font>
    <font>
      <sz val="8"/>
      <color rgb="FF3333FF"/>
      <name val="Arial"/>
      <family val="2"/>
    </font>
    <font>
      <u/>
      <sz val="11"/>
      <color theme="10"/>
      <name val="Univers LT Std 55"/>
      <family val="2"/>
      <scheme val="minor"/>
    </font>
    <font>
      <b/>
      <sz val="10"/>
      <color theme="0"/>
      <name val="Helv"/>
    </font>
    <font>
      <b/>
      <i/>
      <sz val="8"/>
      <color rgb="FF1E13F5"/>
      <name val="Arial"/>
      <family val="2"/>
    </font>
    <font>
      <b/>
      <u/>
      <sz val="8"/>
      <color theme="1"/>
      <name val="Arial"/>
      <family val="2"/>
    </font>
    <font>
      <sz val="8"/>
      <color theme="5"/>
      <name val="Arial"/>
      <family val="2"/>
    </font>
    <font>
      <sz val="8"/>
      <color rgb="FF008000"/>
      <name val="Arial"/>
      <family val="2"/>
    </font>
    <font>
      <sz val="8"/>
      <color indexed="17"/>
      <name val="Arial"/>
      <family val="2"/>
    </font>
    <font>
      <b/>
      <sz val="8"/>
      <name val="Book Antiqua"/>
      <family val="1"/>
    </font>
    <font>
      <b/>
      <sz val="12"/>
      <color indexed="16"/>
      <name val="Arial"/>
      <family val="2"/>
    </font>
    <font>
      <b/>
      <u/>
      <sz val="14"/>
      <name val="Book Antiqua"/>
      <family val="1"/>
    </font>
    <font>
      <b/>
      <sz val="10"/>
      <name val="Book Antiqua"/>
      <family val="1"/>
    </font>
    <font>
      <b/>
      <i/>
      <sz val="8"/>
      <color rgb="FFFF0000"/>
      <name val="Arial"/>
      <family val="2"/>
    </font>
    <font>
      <b/>
      <i/>
      <sz val="8"/>
      <color rgb="FF0000FF"/>
      <name val="Arial"/>
      <family val="2"/>
    </font>
    <font>
      <sz val="8"/>
      <color rgb="FF7030A0"/>
      <name val="Arial"/>
      <family val="2"/>
    </font>
    <font>
      <sz val="11"/>
      <color indexed="8"/>
      <name val="Calibri"/>
      <family val="2"/>
      <charset val="1"/>
    </font>
    <font>
      <i/>
      <sz val="9"/>
      <color indexed="81"/>
      <name val="Tahoma"/>
      <family val="2"/>
    </font>
    <font>
      <u/>
      <sz val="8"/>
      <color theme="0"/>
      <name val="Arial"/>
      <family val="2"/>
    </font>
    <font>
      <b/>
      <sz val="10"/>
      <name val="CG Times (WN)"/>
    </font>
    <font>
      <sz val="8"/>
      <name val="CG Times (WN)"/>
    </font>
    <font>
      <sz val="8"/>
      <color rgb="FF00B050"/>
      <name val="Arial"/>
      <family val="2"/>
    </font>
    <font>
      <u/>
      <sz val="8"/>
      <color rgb="FF00B050"/>
      <name val="Arial"/>
      <family val="2"/>
    </font>
    <font>
      <sz val="8"/>
      <color theme="0" tint="-0.34998626667073579"/>
      <name val="Arial"/>
      <family val="2"/>
    </font>
    <font>
      <u/>
      <sz val="9"/>
      <color indexed="81"/>
      <name val="Tahoma"/>
      <family val="2"/>
    </font>
    <font>
      <i/>
      <sz val="8"/>
      <color theme="1"/>
      <name val="Arial"/>
      <family val="2"/>
    </font>
    <font>
      <i/>
      <u/>
      <sz val="8"/>
      <name val="Arial"/>
      <family val="2"/>
    </font>
    <font>
      <i/>
      <sz val="8"/>
      <color rgb="FF008000"/>
      <name val="Arial"/>
      <family val="2"/>
    </font>
    <font>
      <i/>
      <sz val="8"/>
      <color rgb="FFC00000"/>
      <name val="Arial"/>
      <family val="2"/>
    </font>
    <font>
      <sz val="8"/>
      <color rgb="FFC00000"/>
      <name val="Arial"/>
      <family val="2"/>
    </font>
    <font>
      <sz val="9"/>
      <color rgb="FF0000FF"/>
      <name val="Arial"/>
      <family val="2"/>
    </font>
    <font>
      <i/>
      <sz val="8"/>
      <color theme="0" tint="-0.34998626667073579"/>
      <name val="Arial"/>
      <family val="2"/>
    </font>
    <font>
      <sz val="9"/>
      <color theme="1"/>
      <name val="Arial"/>
      <family val="2"/>
    </font>
    <font>
      <b/>
      <i/>
      <u/>
      <sz val="8"/>
      <name val="Arial"/>
      <family val="2"/>
    </font>
    <font>
      <b/>
      <sz val="8"/>
      <color rgb="FF1E13F5"/>
      <name val="Arial"/>
      <family val="2"/>
    </font>
    <font>
      <sz val="8"/>
      <color rgb="FF92D050"/>
      <name val="Arial"/>
      <family val="2"/>
    </font>
    <font>
      <b/>
      <sz val="9"/>
      <color theme="1"/>
      <name val="Arial"/>
      <family val="2"/>
    </font>
    <font>
      <u/>
      <sz val="11"/>
      <color theme="1"/>
      <name val="Univers LT Std 55"/>
      <family val="2"/>
      <scheme val="minor"/>
    </font>
    <font>
      <sz val="11"/>
      <color rgb="FF0055FE"/>
      <name val="Univers LT Std 55"/>
      <family val="2"/>
      <scheme val="minor"/>
    </font>
    <font>
      <sz val="8"/>
      <color rgb="FF000000"/>
      <name val="Arial"/>
      <family val="2"/>
    </font>
    <font>
      <sz val="11"/>
      <color theme="1"/>
      <name val="Calibri"/>
      <family val="2"/>
    </font>
    <font>
      <b/>
      <sz val="14"/>
      <color rgb="FF000000"/>
      <name val="Arial"/>
      <family val="2"/>
    </font>
    <font>
      <b/>
      <sz val="10"/>
      <color rgb="FF000000"/>
      <name val="Arial"/>
      <family val="2"/>
    </font>
    <font>
      <b/>
      <sz val="8"/>
      <color rgb="FFFFFFFF"/>
      <name val="Arial"/>
      <family val="2"/>
    </font>
    <font>
      <b/>
      <sz val="8"/>
      <color rgb="FF000000"/>
      <name val="Arial"/>
      <family val="2"/>
    </font>
    <font>
      <sz val="8"/>
      <color rgb="FF1E72B0"/>
      <name val="Arial"/>
      <family val="2"/>
    </font>
    <font>
      <b/>
      <sz val="8"/>
      <color rgb="FF1E72B0"/>
      <name val="Arial"/>
      <family val="2"/>
    </font>
    <font>
      <sz val="8"/>
      <color rgb="FF0055FE"/>
      <name val="Arial"/>
      <family val="2"/>
    </font>
    <font>
      <sz val="8"/>
      <color rgb="FF0070C0"/>
      <name val="Arial"/>
      <family val="2"/>
    </font>
    <font>
      <sz val="8"/>
      <color rgb="FF078549"/>
      <name val="Arial"/>
      <family val="2"/>
    </font>
    <font>
      <i/>
      <sz val="8"/>
      <color rgb="FF000000"/>
      <name val="Arial"/>
      <family val="2"/>
    </font>
  </fonts>
  <fills count="112">
    <fill>
      <patternFill patternType="none"/>
    </fill>
    <fill>
      <patternFill patternType="gray125"/>
    </fill>
    <fill>
      <patternFill patternType="solid">
        <fgColor indexed="43"/>
      </patternFill>
    </fill>
    <fill>
      <patternFill patternType="solid">
        <fgColor indexed="30"/>
      </patternFill>
    </fill>
    <fill>
      <patternFill patternType="solid">
        <fgColor indexed="47"/>
      </patternFill>
    </fill>
    <fill>
      <patternFill patternType="solid">
        <fgColor indexed="38"/>
      </patternFill>
    </fill>
    <fill>
      <patternFill patternType="solid">
        <fgColor indexed="28"/>
      </patternFill>
    </fill>
    <fill>
      <patternFill patternType="solid">
        <fgColor indexed="26"/>
      </patternFill>
    </fill>
    <fill>
      <patternFill patternType="solid">
        <fgColor indexed="33"/>
      </patternFill>
    </fill>
    <fill>
      <patternFill patternType="solid">
        <fgColor indexed="22"/>
        <bgColor indexed="64"/>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28"/>
        <bgColor indexed="64"/>
      </patternFill>
    </fill>
    <fill>
      <patternFill patternType="solid">
        <fgColor indexed="24"/>
      </patternFill>
    </fill>
    <fill>
      <patternFill patternType="solid">
        <fgColor indexed="10"/>
      </patternFill>
    </fill>
    <fill>
      <patternFill patternType="solid">
        <fgColor indexed="57"/>
      </patternFill>
    </fill>
    <fill>
      <patternFill patternType="solid">
        <fgColor indexed="54"/>
      </patternFill>
    </fill>
    <fill>
      <patternFill patternType="solid">
        <fgColor indexed="49"/>
      </patternFill>
    </fill>
    <fill>
      <patternFill patternType="solid">
        <fgColor indexed="53"/>
      </patternFill>
    </fill>
    <fill>
      <patternFill patternType="gray0625">
        <fgColor indexed="10"/>
        <bgColor indexed="9"/>
      </patternFill>
    </fill>
    <fill>
      <patternFill patternType="solid">
        <fgColor indexed="27"/>
        <bgColor indexed="64"/>
      </patternFill>
    </fill>
    <fill>
      <patternFill patternType="solid">
        <fgColor indexed="26"/>
        <bgColor indexed="64"/>
      </patternFill>
    </fill>
    <fill>
      <patternFill patternType="solid">
        <fgColor indexed="45"/>
      </patternFill>
    </fill>
    <fill>
      <patternFill patternType="lightGray">
        <fgColor indexed="14"/>
        <bgColor indexed="9"/>
      </patternFill>
    </fill>
    <fill>
      <patternFill patternType="solid">
        <fgColor indexed="27"/>
      </patternFill>
    </fill>
    <fill>
      <patternFill patternType="lightGray">
        <fgColor indexed="12"/>
        <bgColor indexed="9"/>
      </patternFill>
    </fill>
    <fill>
      <patternFill patternType="solid">
        <fgColor indexed="42"/>
      </patternFill>
    </fill>
    <fill>
      <patternFill patternType="solid">
        <fgColor indexed="11"/>
        <bgColor indexed="9"/>
      </patternFill>
    </fill>
    <fill>
      <patternFill patternType="solid">
        <fgColor indexed="8"/>
        <bgColor indexed="64"/>
      </patternFill>
    </fill>
    <fill>
      <patternFill patternType="lightGray">
        <fgColor indexed="38"/>
        <bgColor indexed="23"/>
      </patternFill>
    </fill>
    <fill>
      <patternFill patternType="solid">
        <fgColor indexed="41"/>
        <bgColor indexed="64"/>
      </patternFill>
    </fill>
    <fill>
      <patternFill patternType="solid">
        <fgColor indexed="44"/>
        <bgColor indexed="64"/>
      </patternFill>
    </fill>
    <fill>
      <patternFill patternType="mediumGray">
        <fgColor indexed="22"/>
      </patternFill>
    </fill>
    <fill>
      <patternFill patternType="solid">
        <fgColor indexed="63"/>
        <bgColor indexed="64"/>
      </patternFill>
    </fill>
    <fill>
      <patternFill patternType="lightGray">
        <fgColor indexed="22"/>
        <bgColor indexed="9"/>
      </patternFill>
    </fill>
    <fill>
      <patternFill patternType="solid">
        <fgColor indexed="8"/>
      </patternFill>
    </fill>
    <fill>
      <patternFill patternType="lightGray">
        <fgColor indexed="8"/>
      </patternFill>
    </fill>
    <fill>
      <patternFill patternType="solid">
        <fgColor indexed="16"/>
        <bgColor indexed="64"/>
      </patternFill>
    </fill>
    <fill>
      <patternFill patternType="lightGray"/>
    </fill>
    <fill>
      <patternFill patternType="solid">
        <fgColor indexed="9"/>
        <bgColor indexed="64"/>
      </patternFill>
    </fill>
    <fill>
      <patternFill patternType="solid">
        <fgColor theme="4"/>
        <bgColor indexed="64"/>
      </patternFill>
    </fill>
    <fill>
      <patternFill patternType="solid">
        <fgColor theme="2"/>
        <bgColor indexed="64"/>
      </patternFill>
    </fill>
    <fill>
      <patternFill patternType="solid">
        <fgColor theme="8"/>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indexed="9"/>
        <bgColor indexed="8"/>
      </patternFill>
    </fill>
    <fill>
      <patternFill patternType="solid">
        <fgColor rgb="FFFFFF00"/>
        <bgColor indexed="64"/>
      </patternFill>
    </fill>
    <fill>
      <patternFill patternType="solid">
        <fgColor theme="3"/>
        <bgColor indexed="64"/>
      </patternFill>
    </fill>
    <fill>
      <patternFill patternType="solid">
        <fgColor theme="5"/>
        <bgColor indexed="64"/>
      </patternFill>
    </fill>
    <fill>
      <patternFill patternType="solid">
        <fgColor rgb="FFFFFFCC"/>
        <bgColor indexed="64"/>
      </patternFill>
    </fill>
    <fill>
      <patternFill patternType="solid">
        <fgColor rgb="FFCFB7FF"/>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3" tint="0.79998168889431442"/>
        <bgColor indexed="64"/>
      </patternFill>
    </fill>
    <fill>
      <patternFill patternType="solid">
        <fgColor theme="2" tint="-9.9978637043366805E-2"/>
        <bgColor indexed="64"/>
      </patternFill>
    </fill>
    <fill>
      <patternFill patternType="lightGray">
        <fgColor indexed="12"/>
      </patternFill>
    </fill>
    <fill>
      <patternFill patternType="solid">
        <fgColor indexed="22"/>
      </patternFill>
    </fill>
    <fill>
      <patternFill patternType="solid">
        <fgColor indexed="13"/>
        <bgColor indexed="64"/>
      </patternFill>
    </fill>
    <fill>
      <patternFill patternType="lightGray">
        <fgColor indexed="1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theme="7"/>
        <bgColor indexed="64"/>
      </patternFill>
    </fill>
    <fill>
      <patternFill patternType="lightGray">
        <fgColor indexed="15"/>
      </patternFill>
    </fill>
    <fill>
      <patternFill patternType="solid">
        <fgColor theme="4" tint="0.59999389629810485"/>
        <bgColor indexed="64"/>
      </patternFill>
    </fill>
    <fill>
      <patternFill patternType="solid">
        <fgColor rgb="FF00B050"/>
        <bgColor indexed="64"/>
      </patternFill>
    </fill>
    <fill>
      <patternFill patternType="solid">
        <fgColor rgb="FF002060"/>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0000"/>
        <bgColor indexed="64"/>
      </patternFill>
    </fill>
    <fill>
      <patternFill patternType="solid">
        <fgColor theme="6"/>
        <bgColor indexed="64"/>
      </patternFill>
    </fill>
    <fill>
      <patternFill patternType="solid">
        <fgColor rgb="FFBE3232"/>
        <bgColor indexed="64"/>
      </patternFill>
    </fill>
    <fill>
      <patternFill patternType="solid">
        <fgColor rgb="FF8FE2FF"/>
        <bgColor indexed="64"/>
      </patternFill>
    </fill>
    <fill>
      <patternFill patternType="solid">
        <fgColor theme="4"/>
        <bgColor rgb="FF000000"/>
      </patternFill>
    </fill>
    <fill>
      <patternFill patternType="solid">
        <fgColor theme="9"/>
        <bgColor rgb="FF000000"/>
      </patternFill>
    </fill>
    <fill>
      <patternFill patternType="solid">
        <fgColor theme="0"/>
        <bgColor rgb="FF000000"/>
      </patternFill>
    </fill>
    <fill>
      <patternFill patternType="solid">
        <fgColor rgb="FFD5ECFF"/>
        <bgColor rgb="FF000000"/>
      </patternFill>
    </fill>
    <fill>
      <patternFill patternType="solid">
        <fgColor theme="0" tint="-4.9989318521683403E-2"/>
        <bgColor rgb="FF000000"/>
      </patternFill>
    </fill>
    <fill>
      <patternFill patternType="solid">
        <fgColor theme="6" tint="0.59999389629810485"/>
        <bgColor indexed="64"/>
      </patternFill>
    </fill>
  </fills>
  <borders count="673">
    <border>
      <left/>
      <right/>
      <top/>
      <bottom/>
      <diagonal/>
    </border>
    <border>
      <left/>
      <right/>
      <top style="hair">
        <color indexed="8"/>
      </top>
      <bottom style="hair">
        <color indexed="8"/>
      </bottom>
      <diagonal/>
    </border>
    <border>
      <left/>
      <right/>
      <top/>
      <bottom style="medium">
        <color indexed="18"/>
      </bottom>
      <diagonal/>
    </border>
    <border>
      <left style="medium">
        <color indexed="64"/>
      </left>
      <right style="medium">
        <color indexed="64"/>
      </right>
      <top/>
      <bottom/>
      <diagonal/>
    </border>
    <border>
      <left/>
      <right/>
      <top style="thin">
        <color indexed="64"/>
      </top>
      <bottom/>
      <diagonal/>
    </border>
    <border>
      <left style="medium">
        <color indexed="64"/>
      </left>
      <right style="medium">
        <color indexed="64"/>
      </right>
      <top/>
      <bottom style="thick">
        <color indexed="37"/>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9"/>
      </left>
      <right style="thin">
        <color indexed="9"/>
      </right>
      <top style="thin">
        <color indexed="9"/>
      </top>
      <bottom style="thin">
        <color indexed="9"/>
      </bottom>
      <diagonal/>
    </border>
    <border>
      <left/>
      <right/>
      <top/>
      <bottom style="thin">
        <color indexed="64"/>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34"/>
      </left>
      <right style="double">
        <color indexed="34"/>
      </right>
      <top style="double">
        <color indexed="34"/>
      </top>
      <bottom style="double">
        <color indexed="34"/>
      </bottom>
      <diagonal/>
    </border>
    <border>
      <left/>
      <right style="thin">
        <color indexed="8"/>
      </right>
      <top style="thin">
        <color indexed="8"/>
      </top>
      <bottom/>
      <diagonal/>
    </border>
    <border>
      <left/>
      <right/>
      <top/>
      <bottom style="dotted">
        <color indexed="64"/>
      </bottom>
      <diagonal/>
    </border>
    <border>
      <left/>
      <right/>
      <top style="medium">
        <color indexed="64"/>
      </top>
      <bottom style="medium">
        <color indexed="64"/>
      </bottom>
      <diagonal/>
    </border>
    <border>
      <left/>
      <right/>
      <top/>
      <bottom style="hair">
        <color indexed="64"/>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64"/>
      </left>
      <right style="thin">
        <color indexed="64"/>
      </right>
      <top/>
      <bottom/>
      <diagonal/>
    </border>
    <border>
      <left style="thin">
        <color indexed="34"/>
      </left>
      <right style="thin">
        <color indexed="34"/>
      </right>
      <top style="thin">
        <color indexed="34"/>
      </top>
      <bottom style="thin">
        <color indexed="3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n">
        <color indexed="64"/>
      </left>
      <right style="thin">
        <color indexed="64"/>
      </right>
      <top/>
      <bottom style="thin">
        <color indexed="64"/>
      </bottom>
      <diagonal/>
    </border>
    <border>
      <left/>
      <right/>
      <top/>
      <bottom style="thin">
        <color indexed="8"/>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top/>
      <bottom/>
      <diagonal/>
    </border>
    <border>
      <left/>
      <right/>
      <top/>
      <bottom style="thick">
        <color indexed="18"/>
      </bottom>
      <diagonal/>
    </border>
    <border>
      <left/>
      <right/>
      <top style="hair">
        <color indexed="64"/>
      </top>
      <bottom/>
      <diagonal/>
    </border>
    <border>
      <left/>
      <right/>
      <top style="double">
        <color indexed="8"/>
      </top>
      <bottom/>
      <diagonal/>
    </border>
    <border>
      <left style="thin">
        <color indexed="64"/>
      </left>
      <right/>
      <top/>
      <bottom style="thin">
        <color indexed="64"/>
      </bottom>
      <diagonal/>
    </border>
    <border>
      <left style="hair">
        <color indexed="64"/>
      </left>
      <right style="hair">
        <color indexed="64"/>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style="thin">
        <color indexed="64"/>
      </bottom>
      <diagonal/>
    </border>
    <border>
      <left/>
      <right style="thin">
        <color indexed="64"/>
      </right>
      <top style="double">
        <color indexed="64"/>
      </top>
      <bottom style="thin">
        <color indexed="64"/>
      </bottom>
      <diagonal/>
    </border>
    <border>
      <left/>
      <right/>
      <top style="thin">
        <color auto="1"/>
      </top>
      <bottom/>
      <diagonal/>
    </border>
    <border>
      <left/>
      <right/>
      <top style="double">
        <color indexed="64"/>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right/>
      <top/>
      <bottom style="thick">
        <color indexed="24"/>
      </bottom>
      <diagonal/>
    </border>
    <border>
      <left/>
      <right/>
      <top/>
      <bottom style="thick">
        <color indexed="31"/>
      </bottom>
      <diagonal/>
    </border>
    <border>
      <left/>
      <right/>
      <top/>
      <bottom style="medium">
        <color indexed="26"/>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right style="thin">
        <color indexed="64"/>
      </right>
      <top style="thin">
        <color indexed="64"/>
      </top>
      <bottom/>
      <diagonal/>
    </border>
    <border>
      <left/>
      <right/>
      <top/>
      <bottom style="thin">
        <color auto="1"/>
      </bottom>
      <diagonal/>
    </border>
    <border>
      <left/>
      <right/>
      <top/>
      <bottom style="thin">
        <color indexed="44"/>
      </bottom>
      <diagonal/>
    </border>
    <border>
      <left/>
      <right/>
      <top/>
      <bottom style="thin">
        <color indexed="45"/>
      </bottom>
      <diagonal/>
    </border>
    <border>
      <left/>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n">
        <color indexed="44"/>
      </bottom>
      <diagonal/>
    </border>
    <border>
      <left/>
      <right/>
      <top/>
      <bottom style="thin">
        <color indexed="45"/>
      </bottom>
      <diagonal/>
    </border>
    <border>
      <left/>
      <right/>
      <top/>
      <bottom style="thin">
        <color indexed="8"/>
      </bottom>
      <diagonal/>
    </border>
    <border>
      <left/>
      <right/>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8"/>
      </left>
      <right style="thin">
        <color indexed="8"/>
      </right>
      <top style="thin">
        <color indexed="8"/>
      </top>
      <bottom style="thin">
        <color indexed="8"/>
      </bottom>
      <diagonal/>
    </border>
    <border>
      <left/>
      <right/>
      <top style="medium">
        <color indexed="23"/>
      </top>
      <bottom style="medium">
        <color indexed="23"/>
      </bottom>
      <diagonal/>
    </border>
    <border>
      <left/>
      <right/>
      <top style="medium">
        <color auto="1"/>
      </top>
      <bottom/>
      <diagonal/>
    </border>
    <border>
      <left style="thick">
        <color indexed="64"/>
      </left>
      <right style="thin">
        <color indexed="64"/>
      </right>
      <top/>
      <bottom/>
      <diagonal/>
    </border>
    <border>
      <left/>
      <right style="hair">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hair">
        <color indexed="64"/>
      </left>
      <right/>
      <top style="thin">
        <color indexed="64"/>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style="thick">
        <color indexed="9"/>
      </left>
      <right style="thick">
        <color indexed="9"/>
      </right>
      <top/>
      <bottom style="double">
        <color indexed="64"/>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auto="1"/>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auto="1"/>
      </right>
      <top style="thin">
        <color auto="1"/>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auto="1"/>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auto="1"/>
      </right>
      <top style="thin">
        <color auto="1"/>
      </top>
      <bottom/>
      <diagonal/>
    </border>
    <border>
      <left/>
      <right style="thin">
        <color indexed="64"/>
      </right>
      <top/>
      <bottom style="double">
        <color indexed="64"/>
      </bottom>
      <diagonal/>
    </border>
    <border>
      <left/>
      <right/>
      <top style="thin">
        <color auto="1"/>
      </top>
      <bottom style="thin">
        <color indexed="64"/>
      </bottom>
      <diagonal/>
    </border>
    <border>
      <left/>
      <right/>
      <top style="medium">
        <color rgb="FF000000"/>
      </top>
      <bottom/>
      <diagonal/>
    </border>
    <border>
      <left/>
      <right/>
      <top/>
      <bottom style="medium">
        <color rgb="FF000000"/>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hair">
        <color indexed="8"/>
      </top>
      <bottom style="hair">
        <color indexed="8"/>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hair">
        <color indexed="8"/>
      </top>
      <bottom style="hair">
        <color indexed="8"/>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style="thin">
        <color indexed="64"/>
      </left>
      <right style="thin">
        <color auto="1"/>
      </right>
      <top/>
      <bottom style="thin">
        <color auto="1"/>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right/>
      <top/>
      <bottom style="thin">
        <color indexed="44"/>
      </bottom>
      <diagonal/>
    </border>
    <border>
      <left/>
      <right/>
      <top/>
      <bottom style="thin">
        <color indexed="45"/>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auto="1"/>
      </right>
      <top style="thin">
        <color auto="1"/>
      </top>
      <bottom/>
      <diagonal/>
    </border>
    <border>
      <left style="thin">
        <color indexed="64"/>
      </left>
      <right style="thin">
        <color indexed="64"/>
      </right>
      <top style="thin">
        <color auto="1"/>
      </top>
      <bottom style="thin">
        <color auto="1"/>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bottom style="thin">
        <color indexed="44"/>
      </bottom>
      <diagonal/>
    </border>
    <border>
      <left/>
      <right/>
      <top/>
      <bottom style="thin">
        <color indexed="45"/>
      </bottom>
      <diagonal/>
    </border>
    <border>
      <left/>
      <right/>
      <top/>
      <bottom style="thin">
        <color indexed="64"/>
      </bottom>
      <diagonal/>
    </border>
    <border>
      <left/>
      <right/>
      <top style="thin">
        <color indexed="64"/>
      </top>
      <bottom style="thin">
        <color indexed="64"/>
      </bottom>
      <diagonal/>
    </border>
    <border>
      <left/>
      <right/>
      <top style="thin">
        <color indexed="8"/>
      </top>
      <bottom style="thin">
        <color indexed="8"/>
      </bottom>
      <diagonal/>
    </border>
    <border>
      <left style="thin">
        <color indexed="64"/>
      </left>
      <right style="thin">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right/>
      <top style="thin">
        <color indexed="64"/>
      </top>
      <bottom/>
      <diagonal/>
    </border>
    <border>
      <left style="thin">
        <color auto="1"/>
      </left>
      <right style="thin">
        <color auto="1"/>
      </right>
      <top style="thin">
        <color auto="1"/>
      </top>
      <bottom/>
      <diagonal/>
    </border>
    <border>
      <left/>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auto="1"/>
      </top>
      <bottom style="thin">
        <color auto="1"/>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style="thin">
        <color indexed="24"/>
      </top>
      <bottom style="double">
        <color indexed="2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auto="1"/>
      </top>
      <bottom style="thin">
        <color auto="1"/>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style="double">
        <color indexed="64"/>
      </bottom>
      <diagonal/>
    </border>
    <border>
      <left style="hair">
        <color indexed="64"/>
      </left>
      <right style="thin">
        <color indexed="64"/>
      </right>
      <top style="double">
        <color indexed="64"/>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hair">
        <color indexed="64"/>
      </right>
      <top style="double">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thin">
        <color auto="1"/>
      </bottom>
      <diagonal/>
    </border>
    <border>
      <left style="hair">
        <color indexed="64"/>
      </left>
      <right/>
      <top style="double">
        <color indexed="64"/>
      </top>
      <bottom style="thin">
        <color indexed="64"/>
      </bottom>
      <diagonal/>
    </border>
    <border>
      <left/>
      <right style="hair">
        <color indexed="64"/>
      </right>
      <top style="thin">
        <color auto="1"/>
      </top>
      <bottom/>
      <diagonal/>
    </border>
    <border>
      <left/>
      <right style="hair">
        <color indexed="64"/>
      </right>
      <top/>
      <bottom style="double">
        <color indexed="64"/>
      </bottom>
      <diagonal/>
    </border>
    <border>
      <left/>
      <right/>
      <top/>
      <bottom style="medium">
        <color auto="1"/>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top style="hair">
        <color theme="0" tint="-0.24994659260841701"/>
      </top>
      <bottom style="medium">
        <color auto="1"/>
      </bottom>
      <diagonal/>
    </border>
    <border>
      <left/>
      <right/>
      <top style="hair">
        <color theme="0" tint="-0.24994659260841701"/>
      </top>
      <bottom/>
      <diagonal/>
    </border>
    <border>
      <left/>
      <right/>
      <top style="thin">
        <color auto="1"/>
      </top>
      <bottom/>
      <diagonal/>
    </border>
    <border>
      <left style="thin">
        <color indexed="64"/>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thin">
        <color indexed="64"/>
      </right>
      <top style="thin">
        <color auto="1"/>
      </top>
      <bottom style="thin">
        <color indexed="64"/>
      </bottom>
      <diagonal/>
    </border>
    <border>
      <left style="hair">
        <color indexed="64"/>
      </left>
      <right style="thin">
        <color indexed="64"/>
      </right>
      <top style="thin">
        <color auto="1"/>
      </top>
      <bottom/>
      <diagonal/>
    </border>
    <border>
      <left style="medium">
        <color indexed="64"/>
      </left>
      <right style="medium">
        <color indexed="64"/>
      </right>
      <top style="medium">
        <color indexed="64"/>
      </top>
      <bottom/>
      <diagonal/>
    </border>
    <border>
      <left/>
      <right style="hair">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2756">
    <xf numFmtId="0" fontId="0" fillId="0" borderId="0"/>
    <xf numFmtId="205" fontId="30" fillId="0" borderId="0"/>
    <xf numFmtId="0" fontId="30" fillId="0" borderId="0"/>
    <xf numFmtId="205" fontId="30" fillId="0" borderId="0"/>
    <xf numFmtId="219" fontId="56" fillId="0" borderId="0"/>
    <xf numFmtId="220" fontId="90" fillId="0" borderId="0" applyFont="0" applyFill="0" applyBorder="0" applyAlignment="0" applyProtection="0"/>
    <xf numFmtId="221" fontId="91" fillId="0" borderId="0"/>
    <xf numFmtId="0" fontId="90" fillId="0" borderId="0" applyFont="0" applyFill="0" applyBorder="0" applyAlignment="0" applyProtection="0"/>
    <xf numFmtId="220" fontId="90" fillId="0" borderId="0" applyFont="0" applyFill="0" applyBorder="0" applyAlignment="0" applyProtection="0"/>
    <xf numFmtId="222" fontId="92" fillId="0" borderId="0" applyFont="0" applyFill="0" applyBorder="0" applyAlignment="0" applyProtection="0">
      <alignment horizontal="right"/>
    </xf>
    <xf numFmtId="223" fontId="32" fillId="0" borderId="0" applyFont="0" applyFill="0" applyBorder="0" applyAlignment="0" applyProtection="0"/>
    <xf numFmtId="224" fontId="92" fillId="0" borderId="0" applyFont="0" applyFill="0" applyBorder="0" applyAlignment="0" applyProtection="0"/>
    <xf numFmtId="213" fontId="32" fillId="0" borderId="0" applyFont="0" applyFill="0" applyBorder="0" applyAlignment="0" applyProtection="0"/>
    <xf numFmtId="220" fontId="93" fillId="0" borderId="0" applyFont="0" applyFill="0" applyBorder="0" applyAlignment="0" applyProtection="0">
      <alignment horizontal="right"/>
    </xf>
    <xf numFmtId="164" fontId="32" fillId="0" borderId="0" applyFont="0" applyFill="0" applyBorder="0" applyAlignment="0" applyProtection="0"/>
    <xf numFmtId="165" fontId="34" fillId="0" borderId="0" applyFont="0" applyFill="0" applyBorder="0" applyAlignment="0" applyProtection="0"/>
    <xf numFmtId="0" fontId="94" fillId="0" borderId="0" applyNumberFormat="0" applyFill="0" applyBorder="0" applyAlignment="0" applyProtection="0">
      <alignment vertical="top"/>
      <protection locked="0"/>
    </xf>
    <xf numFmtId="0" fontId="95" fillId="0" borderId="0"/>
    <xf numFmtId="225" fontId="32" fillId="0" borderId="0" applyFont="0" applyFill="0" applyBorder="0" applyAlignment="0" applyProtection="0"/>
    <xf numFmtId="0" fontId="32" fillId="0" borderId="0" applyFont="0" applyFill="0" applyBorder="0" applyAlignment="0" applyProtection="0"/>
    <xf numFmtId="225" fontId="32" fillId="0" borderId="0" applyFont="0" applyFill="0" applyBorder="0" applyAlignment="0" applyProtection="0"/>
    <xf numFmtId="226" fontId="32" fillId="0" borderId="0" applyFont="0" applyFill="0" applyBorder="0" applyAlignment="0" applyProtection="0"/>
    <xf numFmtId="0" fontId="32" fillId="0" borderId="0" applyFont="0" applyFill="0" applyBorder="0" applyAlignment="0" applyProtection="0"/>
    <xf numFmtId="226" fontId="32" fillId="0" borderId="0" applyFont="0" applyFill="0" applyBorder="0" applyAlignment="0" applyProtection="0"/>
    <xf numFmtId="177" fontId="32" fillId="0" borderId="0" applyFont="0" applyFill="0" applyBorder="0" applyAlignment="0" applyProtection="0"/>
    <xf numFmtId="0"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0"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0"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0"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0" fontId="32" fillId="0" borderId="0" applyFont="0" applyFill="0" applyBorder="0" applyAlignment="0" applyProtection="0"/>
    <xf numFmtId="17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0"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0"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0"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0" fontId="32" fillId="0" borderId="0" applyFont="0" applyFill="0" applyBorder="0" applyAlignment="0" applyProtection="0"/>
    <xf numFmtId="207"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 fontId="30" fillId="0" borderId="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231" fontId="32" fillId="0" borderId="0" applyFont="0" applyFill="0" applyBorder="0" applyAlignment="0" applyProtection="0"/>
    <xf numFmtId="0" fontId="32" fillId="0" borderId="0" applyFont="0" applyFill="0" applyBorder="0" applyAlignment="0" applyProtection="0"/>
    <xf numFmtId="231" fontId="32" fillId="0" borderId="0" applyFont="0" applyFill="0" applyBorder="0" applyAlignment="0" applyProtection="0"/>
    <xf numFmtId="0" fontId="32" fillId="0" borderId="0" applyFon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199" fillId="0" borderId="0" applyNumberFormat="0" applyFill="0" applyBorder="0" applyAlignment="0" applyProtection="0"/>
    <xf numFmtId="0" fontId="97" fillId="0" borderId="0" applyNumberFormat="0" applyFill="0" applyBorder="0" applyAlignment="0" applyProtection="0"/>
    <xf numFmtId="0" fontId="32" fillId="2" borderId="0" applyNumberFormat="0" applyFon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198" fillId="0" borderId="0" applyNumberFormat="0" applyAlignment="0" applyProtection="0"/>
    <xf numFmtId="0" fontId="96"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0" fontId="198" fillId="0" borderId="0" applyNumberFormat="0" applyAlignment="0" applyProtection="0"/>
    <xf numFmtId="0" fontId="96" fillId="0" borderId="0" applyNumberFormat="0" applyAlignment="0" applyProtection="0"/>
    <xf numFmtId="3" fontId="30" fillId="0" borderId="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0"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0" fontId="32" fillId="0" borderId="0" applyFont="0" applyFill="0" applyBorder="0" applyAlignment="0" applyProtection="0"/>
    <xf numFmtId="233"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0"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0" fontId="32" fillId="0" borderId="0" applyFont="0" applyFill="0" applyBorder="0" applyAlignment="0" applyProtection="0"/>
    <xf numFmtId="208"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0" fontId="32" fillId="0" borderId="0" applyFont="0" applyFill="0" applyBorder="0" applyProtection="0">
      <alignment horizontal="right"/>
    </xf>
    <xf numFmtId="235" fontId="32" fillId="0" borderId="0" applyFont="0" applyFill="0" applyBorder="0" applyProtection="0">
      <alignment horizontal="right"/>
    </xf>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0" fontId="32" fillId="0" borderId="0" applyFont="0" applyFill="0" applyBorder="0" applyProtection="0">
      <alignment horizontal="right"/>
    </xf>
    <xf numFmtId="235" fontId="32" fillId="0" borderId="0" applyFont="0" applyFill="0" applyBorder="0" applyProtection="0">
      <alignment horizontal="right"/>
    </xf>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0"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0" fontId="32" fillId="0" borderId="0" applyFont="0" applyFill="0" applyBorder="0" applyAlignment="0" applyProtection="0"/>
    <xf numFmtId="209"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0" fontId="32" fillId="0" borderId="0" applyFont="0" applyFill="0" applyBorder="0" applyAlignment="0" applyProtection="0"/>
    <xf numFmtId="21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0"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200" fillId="0" borderId="0" applyNumberFormat="0" applyFill="0" applyBorder="0" applyProtection="0">
      <alignment vertical="top"/>
    </xf>
    <xf numFmtId="0" fontId="98" fillId="0" borderId="0" applyNumberFormat="0" applyFill="0" applyBorder="0" applyProtection="0">
      <alignment vertical="top"/>
    </xf>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201" fillId="0" borderId="1" applyNumberFormat="0" applyFill="0" applyAlignment="0" applyProtection="0"/>
    <xf numFmtId="0" fontId="99" fillId="0" borderId="1" applyNumberFormat="0" applyFill="0" applyAlignment="0" applyProtection="0"/>
    <xf numFmtId="0" fontId="61"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61"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0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60"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42" fontId="93" fillId="0" borderId="0" applyFont="0" applyFill="0" applyBorder="0" applyAlignment="0" applyProtection="0"/>
    <xf numFmtId="237" fontId="101" fillId="0" borderId="0" applyFont="0" applyFill="0" applyBorder="0" applyAlignment="0" applyProtection="0"/>
    <xf numFmtId="189" fontId="102" fillId="0" borderId="0"/>
    <xf numFmtId="238" fontId="101" fillId="0" borderId="0" applyFont="0" applyFill="0" applyBorder="0" applyAlignment="0" applyProtection="0"/>
    <xf numFmtId="0" fontId="93" fillId="0" borderId="0"/>
    <xf numFmtId="0" fontId="93" fillId="0" borderId="0"/>
    <xf numFmtId="239" fontId="28" fillId="0" borderId="0"/>
    <xf numFmtId="9" fontId="32" fillId="0" borderId="0"/>
    <xf numFmtId="174" fontId="28" fillId="0" borderId="0"/>
    <xf numFmtId="169" fontId="28" fillId="0" borderId="0"/>
    <xf numFmtId="0" fontId="28" fillId="0" borderId="0"/>
    <xf numFmtId="2" fontId="28" fillId="0" borderId="0"/>
    <xf numFmtId="10" fontId="28" fillId="0" borderId="0"/>
    <xf numFmtId="0" fontId="28" fillId="0" borderId="0"/>
    <xf numFmtId="239" fontId="203" fillId="0" borderId="0"/>
    <xf numFmtId="239" fontId="28" fillId="0" borderId="0"/>
    <xf numFmtId="239" fontId="203" fillId="0" borderId="0"/>
    <xf numFmtId="239" fontId="28" fillId="0" borderId="0"/>
    <xf numFmtId="239" fontId="203" fillId="0" borderId="0"/>
    <xf numFmtId="239" fontId="28" fillId="0" borderId="0"/>
    <xf numFmtId="239" fontId="28" fillId="0" borderId="0"/>
    <xf numFmtId="239" fontId="203" fillId="0" borderId="0"/>
    <xf numFmtId="239" fontId="28" fillId="0" borderId="0"/>
    <xf numFmtId="239" fontId="203" fillId="0" borderId="0"/>
    <xf numFmtId="239" fontId="203" fillId="0" borderId="0"/>
    <xf numFmtId="239" fontId="28" fillId="0" borderId="0"/>
    <xf numFmtId="239" fontId="28" fillId="0" borderId="0"/>
    <xf numFmtId="239" fontId="203" fillId="0" borderId="0"/>
    <xf numFmtId="239" fontId="28" fillId="0" borderId="0"/>
    <xf numFmtId="239" fontId="203" fillId="0" borderId="0"/>
    <xf numFmtId="239" fontId="28" fillId="0" borderId="0"/>
    <xf numFmtId="0" fontId="53" fillId="3"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2" borderId="0" applyNumberFormat="0" applyBorder="0" applyAlignment="0" applyProtection="0"/>
    <xf numFmtId="0" fontId="53" fillId="5" borderId="0" applyNumberFormat="0" applyBorder="0" applyAlignment="0" applyProtection="0"/>
    <xf numFmtId="0" fontId="53" fillId="5" borderId="0" applyNumberFormat="0" applyBorder="0" applyAlignment="0" applyProtection="0"/>
    <xf numFmtId="0" fontId="53" fillId="3"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2"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0" fontId="204" fillId="2" borderId="0" applyNumberFormat="0" applyBorder="0" applyAlignment="0" applyProtection="0"/>
    <xf numFmtId="0" fontId="204" fillId="8"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37" fontId="103" fillId="0" borderId="0">
      <alignment horizontal="center"/>
    </xf>
    <xf numFmtId="177" fontId="104" fillId="0" borderId="0">
      <alignment vertical="center"/>
    </xf>
    <xf numFmtId="0" fontId="104" fillId="0" borderId="0">
      <alignment vertical="center"/>
    </xf>
    <xf numFmtId="177" fontId="85" fillId="0" borderId="0">
      <alignment horizontal="center"/>
    </xf>
    <xf numFmtId="0" fontId="85" fillId="0" borderId="0">
      <alignment horizontal="center"/>
    </xf>
    <xf numFmtId="177" fontId="167" fillId="0" borderId="0">
      <alignment horizontal="center"/>
    </xf>
    <xf numFmtId="177" fontId="85" fillId="0" borderId="0">
      <alignment horizontal="center"/>
    </xf>
    <xf numFmtId="177" fontId="167" fillId="0" borderId="0">
      <alignment horizontal="center"/>
    </xf>
    <xf numFmtId="177" fontId="85" fillId="0" borderId="0">
      <alignment horizontal="center"/>
    </xf>
    <xf numFmtId="177" fontId="167" fillId="0" borderId="0">
      <alignment horizontal="center"/>
    </xf>
    <xf numFmtId="177" fontId="85" fillId="0" borderId="0">
      <alignment horizontal="center"/>
    </xf>
    <xf numFmtId="177" fontId="85" fillId="0" borderId="0">
      <alignment horizontal="center"/>
    </xf>
    <xf numFmtId="177" fontId="167" fillId="0" borderId="0">
      <alignment horizontal="center"/>
    </xf>
    <xf numFmtId="177" fontId="85" fillId="0" borderId="0">
      <alignment horizontal="center"/>
    </xf>
    <xf numFmtId="177" fontId="167" fillId="0" borderId="0">
      <alignment horizontal="center"/>
    </xf>
    <xf numFmtId="177" fontId="167" fillId="0" borderId="0">
      <alignment horizontal="center"/>
    </xf>
    <xf numFmtId="177" fontId="85" fillId="0" borderId="0">
      <alignment horizontal="center"/>
    </xf>
    <xf numFmtId="177" fontId="85" fillId="0" borderId="0">
      <alignment horizontal="center"/>
    </xf>
    <xf numFmtId="177" fontId="167" fillId="0" borderId="0">
      <alignment horizontal="center"/>
    </xf>
    <xf numFmtId="177" fontId="85" fillId="0" borderId="0">
      <alignment horizontal="center"/>
    </xf>
    <xf numFmtId="177" fontId="167" fillId="0" borderId="0">
      <alignment horizontal="center"/>
    </xf>
    <xf numFmtId="177" fontId="85" fillId="0" borderId="0">
      <alignment horizontal="center"/>
    </xf>
    <xf numFmtId="177" fontId="104" fillId="0" borderId="0">
      <alignment vertical="center"/>
    </xf>
    <xf numFmtId="37" fontId="105" fillId="0" borderId="0"/>
    <xf numFmtId="37" fontId="106" fillId="0" borderId="0"/>
    <xf numFmtId="37" fontId="107" fillId="0" borderId="0"/>
    <xf numFmtId="240" fontId="108" fillId="0" borderId="0"/>
    <xf numFmtId="185" fontId="102" fillId="0" borderId="0"/>
    <xf numFmtId="177" fontId="54" fillId="9" borderId="0" applyFont="0" applyBorder="0"/>
    <xf numFmtId="0" fontId="54" fillId="9" borderId="0" applyFont="0" applyBorder="0"/>
    <xf numFmtId="177" fontId="54" fillId="9" borderId="0" applyFont="0" applyBorder="0"/>
    <xf numFmtId="0" fontId="109" fillId="10" borderId="0"/>
    <xf numFmtId="0" fontId="69" fillId="10" borderId="0"/>
    <xf numFmtId="0" fontId="69" fillId="10" borderId="0"/>
    <xf numFmtId="177" fontId="54" fillId="11" borderId="0" applyNumberFormat="0" applyFont="0" applyBorder="0" applyAlignment="0" applyProtection="0"/>
    <xf numFmtId="177" fontId="110" fillId="12" borderId="0" applyNumberFormat="0" applyFont="0" applyBorder="0" applyAlignment="0" applyProtection="0"/>
    <xf numFmtId="177" fontId="35" fillId="13" borderId="0" applyBorder="0"/>
    <xf numFmtId="0" fontId="35" fillId="13" borderId="0" applyBorder="0"/>
    <xf numFmtId="177" fontId="35" fillId="13" borderId="0" applyBorder="0"/>
    <xf numFmtId="177" fontId="34" fillId="0" borderId="3" applyNumberFormat="0" applyBorder="0" applyAlignment="0" applyProtection="0"/>
    <xf numFmtId="177" fontId="32" fillId="0" borderId="3" applyNumberFormat="0" applyBorder="0" applyAlignment="0" applyProtection="0"/>
    <xf numFmtId="176" fontId="48" fillId="0" borderId="0" applyBorder="0">
      <alignment horizontal="right"/>
    </xf>
    <xf numFmtId="0" fontId="48" fillId="0" borderId="0" applyBorder="0">
      <alignment horizontal="right"/>
    </xf>
    <xf numFmtId="176" fontId="48" fillId="0" borderId="0" applyBorder="0">
      <alignment horizontal="right"/>
    </xf>
    <xf numFmtId="176" fontId="35" fillId="0" borderId="3" applyBorder="0">
      <alignment horizontal="right"/>
    </xf>
    <xf numFmtId="0" fontId="35" fillId="0" borderId="3" applyBorder="0">
      <alignment horizontal="right"/>
    </xf>
    <xf numFmtId="176" fontId="35" fillId="0" borderId="3" applyBorder="0">
      <alignment horizontal="right"/>
    </xf>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4"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4"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69" fontId="111" fillId="0" borderId="0" applyBorder="0">
      <alignment horizontal="right"/>
    </xf>
    <xf numFmtId="169" fontId="112" fillId="0" borderId="3" applyBorder="0">
      <alignment horizontal="right"/>
    </xf>
    <xf numFmtId="0" fontId="112" fillId="0" borderId="3" applyBorder="0">
      <alignment horizontal="right"/>
    </xf>
    <xf numFmtId="169" fontId="112" fillId="0" borderId="3" applyBorder="0">
      <alignment horizontal="right"/>
    </xf>
    <xf numFmtId="0" fontId="111" fillId="0" borderId="0" applyBorder="0">
      <alignment horizontal="right"/>
    </xf>
    <xf numFmtId="169" fontId="111" fillId="0" borderId="0" applyBorder="0">
      <alignment horizontal="right"/>
    </xf>
    <xf numFmtId="177" fontId="113" fillId="0" borderId="0">
      <alignment horizontal="left" indent="1"/>
    </xf>
    <xf numFmtId="0" fontId="113" fillId="0" borderId="0">
      <alignment horizontal="left" indent="1"/>
    </xf>
    <xf numFmtId="177" fontId="113" fillId="0" borderId="0">
      <alignment horizontal="left" indent="1"/>
    </xf>
    <xf numFmtId="177" fontId="114" fillId="0" borderId="4" applyBorder="0"/>
    <xf numFmtId="0" fontId="114" fillId="0" borderId="4" applyBorder="0"/>
    <xf numFmtId="177" fontId="114" fillId="0" borderId="4" applyBorder="0"/>
    <xf numFmtId="177" fontId="54" fillId="14" borderId="3" applyNumberFormat="0" applyFont="0" applyBorder="0" applyAlignment="0" applyProtection="0"/>
    <xf numFmtId="176" fontId="29" fillId="15" borderId="4" applyBorder="0">
      <alignment horizontal="right"/>
    </xf>
    <xf numFmtId="0" fontId="29" fillId="15" borderId="4" applyBorder="0">
      <alignment horizontal="right"/>
    </xf>
    <xf numFmtId="176" fontId="29" fillId="15" borderId="4" applyBorder="0">
      <alignment horizontal="right"/>
    </xf>
    <xf numFmtId="176" fontId="29" fillId="0" borderId="4" applyBorder="0">
      <alignment horizontal="right"/>
    </xf>
    <xf numFmtId="0" fontId="29" fillId="0" borderId="4" applyBorder="0">
      <alignment horizontal="right"/>
    </xf>
    <xf numFmtId="176" fontId="29" fillId="0" borderId="4" applyBorder="0">
      <alignment horizontal="right"/>
    </xf>
    <xf numFmtId="177" fontId="30" fillId="0" borderId="3" applyNumberFormat="0" applyBorder="0" applyAlignment="0" applyProtection="0"/>
    <xf numFmtId="0" fontId="29" fillId="9" borderId="5" applyBorder="0">
      <alignment horizontal="center"/>
    </xf>
    <xf numFmtId="0" fontId="37" fillId="16" borderId="6">
      <alignment horizontal="right" indent="1"/>
    </xf>
    <xf numFmtId="0" fontId="204" fillId="17" borderId="0" applyNumberFormat="0" applyBorder="0" applyAlignment="0" applyProtection="0"/>
    <xf numFmtId="0" fontId="204" fillId="18" borderId="0" applyNumberFormat="0" applyBorder="0" applyAlignment="0" applyProtection="0"/>
    <xf numFmtId="0" fontId="204" fillId="19" borderId="0" applyNumberFormat="0" applyBorder="0" applyAlignment="0" applyProtection="0"/>
    <xf numFmtId="0" fontId="204" fillId="20" borderId="0" applyNumberFormat="0" applyBorder="0" applyAlignment="0" applyProtection="0"/>
    <xf numFmtId="0" fontId="204" fillId="21" borderId="0" applyNumberFormat="0" applyBorder="0" applyAlignment="0" applyProtection="0"/>
    <xf numFmtId="0" fontId="204" fillId="22" borderId="0" applyNumberFormat="0" applyBorder="0" applyAlignment="0" applyProtection="0"/>
    <xf numFmtId="191" fontId="65" fillId="23" borderId="0" applyNumberFormat="0" applyFont="0" applyBorder="0" applyAlignment="0">
      <alignment horizontal="right"/>
    </xf>
    <xf numFmtId="193" fontId="66" fillId="23" borderId="7" applyFont="0">
      <alignment horizontal="right"/>
    </xf>
    <xf numFmtId="3" fontId="115" fillId="24" borderId="8" applyBorder="0">
      <protection locked="0"/>
    </xf>
    <xf numFmtId="0" fontId="64" fillId="0" borderId="0" applyNumberFormat="0" applyFill="0" applyBorder="0" applyAlignment="0" applyProtection="0"/>
    <xf numFmtId="0" fontId="35" fillId="0" borderId="0" applyNumberFormat="0" applyFill="0" applyBorder="0" applyAlignment="0" applyProtection="0"/>
    <xf numFmtId="0" fontId="116" fillId="0" borderId="0" applyNumberFormat="0" applyAlignment="0"/>
    <xf numFmtId="0" fontId="117" fillId="0" borderId="0" applyNumberFormat="0" applyAlignment="0"/>
    <xf numFmtId="0" fontId="118" fillId="0" borderId="0" applyNumberFormat="0" applyAlignment="0"/>
    <xf numFmtId="0" fontId="119" fillId="0" borderId="0" applyNumberFormat="0" applyAlignment="0"/>
    <xf numFmtId="5" fontId="52" fillId="0" borderId="9">
      <alignment horizontal="right"/>
    </xf>
    <xf numFmtId="0" fontId="35" fillId="0" borderId="10" applyNumberFormat="0" applyFill="0" applyAlignment="0" applyProtection="0"/>
    <xf numFmtId="9" fontId="96" fillId="25" borderId="6" applyNumberFormat="0" applyFont="0" applyAlignment="0" applyProtection="0"/>
    <xf numFmtId="0" fontId="205" fillId="26" borderId="0" applyNumberFormat="0" applyBorder="0" applyAlignment="0" applyProtection="0"/>
    <xf numFmtId="221" fontId="120" fillId="0" borderId="0"/>
    <xf numFmtId="200" fontId="102" fillId="0" borderId="0" applyFill="0" applyBorder="0" applyAlignment="0" applyProtection="0">
      <protection locked="0"/>
    </xf>
    <xf numFmtId="186" fontId="108" fillId="0" borderId="0"/>
    <xf numFmtId="183" fontId="108" fillId="0" borderId="0"/>
    <xf numFmtId="169" fontId="121" fillId="0" borderId="0"/>
    <xf numFmtId="169" fontId="93" fillId="0" borderId="0"/>
    <xf numFmtId="241" fontId="121" fillId="0" borderId="0"/>
    <xf numFmtId="241" fontId="93" fillId="0" borderId="0"/>
    <xf numFmtId="189" fontId="32" fillId="0" borderId="0"/>
    <xf numFmtId="0" fontId="67" fillId="0" borderId="0" applyNumberFormat="0" applyFill="0" applyBorder="0" applyAlignment="0"/>
    <xf numFmtId="215" fontId="55" fillId="0" borderId="0"/>
    <xf numFmtId="242" fontId="32" fillId="0" borderId="0"/>
    <xf numFmtId="171" fontId="121" fillId="0" borderId="0"/>
    <xf numFmtId="171" fontId="93" fillId="0" borderId="0"/>
    <xf numFmtId="188" fontId="32" fillId="0" borderId="0"/>
    <xf numFmtId="243" fontId="121" fillId="0" borderId="0"/>
    <xf numFmtId="243" fontId="93" fillId="0" borderId="0"/>
    <xf numFmtId="180" fontId="121" fillId="0" borderId="0"/>
    <xf numFmtId="180" fontId="93" fillId="0" borderId="0"/>
    <xf numFmtId="0" fontId="55" fillId="0" borderId="0"/>
    <xf numFmtId="177" fontId="122" fillId="0" borderId="0"/>
    <xf numFmtId="177" fontId="37" fillId="0" borderId="0"/>
    <xf numFmtId="0" fontId="123" fillId="0" borderId="0" applyNumberFormat="0"/>
    <xf numFmtId="0" fontId="124" fillId="0" borderId="11"/>
    <xf numFmtId="0" fontId="125" fillId="0" borderId="0" applyNumberFormat="0"/>
    <xf numFmtId="0" fontId="126" fillId="0" borderId="11" applyNumberFormat="0" applyFill="0" applyAlignment="0" applyProtection="0"/>
    <xf numFmtId="0" fontId="122" fillId="0" borderId="0"/>
    <xf numFmtId="37" fontId="89" fillId="0" borderId="9" applyNumberFormat="0" applyFont="0" applyFill="0" applyAlignment="0" applyProtection="0"/>
    <xf numFmtId="0" fontId="127" fillId="0" borderId="9" applyNumberFormat="0" applyFont="0" applyFill="0" applyAlignment="0" applyProtection="0"/>
    <xf numFmtId="0" fontId="102" fillId="0" borderId="9" applyNumberFormat="0" applyFont="0" applyFill="0" applyAlignment="0" applyProtection="0"/>
    <xf numFmtId="0" fontId="127" fillId="0" borderId="12" applyNumberFormat="0" applyFont="0" applyFill="0" applyAlignment="0" applyProtection="0"/>
    <xf numFmtId="0" fontId="102" fillId="0" borderId="12" applyNumberFormat="0" applyFont="0" applyFill="0" applyAlignment="0" applyProtection="0"/>
    <xf numFmtId="37" fontId="89" fillId="0" borderId="4" applyNumberFormat="0" applyFont="0" applyFill="0" applyAlignment="0" applyProtection="0"/>
    <xf numFmtId="244" fontId="128" fillId="0" borderId="0" applyFont="0" applyFill="0" applyBorder="0" applyAlignment="0" applyProtection="0"/>
    <xf numFmtId="0" fontId="101" fillId="0" borderId="0" applyFont="0" applyFill="0" applyBorder="0" applyAlignment="0" applyProtection="0"/>
    <xf numFmtId="0" fontId="66" fillId="0" borderId="0"/>
    <xf numFmtId="0" fontId="207" fillId="0" borderId="0"/>
    <xf numFmtId="0" fontId="66" fillId="0" borderId="0"/>
    <xf numFmtId="0" fontId="207" fillId="0" borderId="0"/>
    <xf numFmtId="0" fontId="66" fillId="0" borderId="0"/>
    <xf numFmtId="0" fontId="207" fillId="0" borderId="0"/>
    <xf numFmtId="0" fontId="66" fillId="0" borderId="0"/>
    <xf numFmtId="0" fontId="207" fillId="0" borderId="0"/>
    <xf numFmtId="0" fontId="66" fillId="0" borderId="0"/>
    <xf numFmtId="0" fontId="66" fillId="0" borderId="0"/>
    <xf numFmtId="0" fontId="207" fillId="0" borderId="0"/>
    <xf numFmtId="0" fontId="66" fillId="0" borderId="0"/>
    <xf numFmtId="0" fontId="207" fillId="0" borderId="0"/>
    <xf numFmtId="0" fontId="66" fillId="0" borderId="0"/>
    <xf numFmtId="0" fontId="207" fillId="0" borderId="0"/>
    <xf numFmtId="0" fontId="66" fillId="0" borderId="0"/>
    <xf numFmtId="0" fontId="207" fillId="0" borderId="0"/>
    <xf numFmtId="0" fontId="66" fillId="0" borderId="0"/>
    <xf numFmtId="0" fontId="207" fillId="0" borderId="0"/>
    <xf numFmtId="0" fontId="66" fillId="0" borderId="0"/>
    <xf numFmtId="0" fontId="225" fillId="0" borderId="0"/>
    <xf numFmtId="0" fontId="66" fillId="0" borderId="0"/>
    <xf numFmtId="0" fontId="66" fillId="0" borderId="0"/>
    <xf numFmtId="0" fontId="66" fillId="0" borderId="0"/>
    <xf numFmtId="0" fontId="66" fillId="0" borderId="0"/>
    <xf numFmtId="0" fontId="207" fillId="0" borderId="0"/>
    <xf numFmtId="0" fontId="207" fillId="0" borderId="0"/>
    <xf numFmtId="0" fontId="66" fillId="0" borderId="0"/>
    <xf numFmtId="0" fontId="66" fillId="0" borderId="0"/>
    <xf numFmtId="0" fontId="207" fillId="0" borderId="0"/>
    <xf numFmtId="0" fontId="66" fillId="0" borderId="0"/>
    <xf numFmtId="0" fontId="207" fillId="0" borderId="0"/>
    <xf numFmtId="0" fontId="66" fillId="0" borderId="0"/>
    <xf numFmtId="0" fontId="66" fillId="0" borderId="0"/>
    <xf numFmtId="0" fontId="66" fillId="0" borderId="0"/>
    <xf numFmtId="0" fontId="66" fillId="0" borderId="0"/>
    <xf numFmtId="0" fontId="66" fillId="0" borderId="0"/>
    <xf numFmtId="0" fontId="66" fillId="0" borderId="0"/>
    <xf numFmtId="0" fontId="207" fillId="0" borderId="0"/>
    <xf numFmtId="0" fontId="66" fillId="0" borderId="0"/>
    <xf numFmtId="0" fontId="207" fillId="0" borderId="0"/>
    <xf numFmtId="0" fontId="66" fillId="0" borderId="0"/>
    <xf numFmtId="0" fontId="66" fillId="0" borderId="0"/>
    <xf numFmtId="0" fontId="66" fillId="0" borderId="0"/>
    <xf numFmtId="0" fontId="207" fillId="0" borderId="0"/>
    <xf numFmtId="0" fontId="207" fillId="0" borderId="0"/>
    <xf numFmtId="0" fontId="66" fillId="0" borderId="0"/>
    <xf numFmtId="0" fontId="66" fillId="0" borderId="0"/>
    <xf numFmtId="0" fontId="207" fillId="0" borderId="0"/>
    <xf numFmtId="0" fontId="66" fillId="0" borderId="0"/>
    <xf numFmtId="0" fontId="207" fillId="0" borderId="0"/>
    <xf numFmtId="0" fontId="66" fillId="0" borderId="0"/>
    <xf numFmtId="0" fontId="129" fillId="0" borderId="0" applyNumberFormat="0" applyFill="0" applyBorder="0" applyAlignment="0" applyProtection="0"/>
    <xf numFmtId="0" fontId="130" fillId="0" borderId="0" applyNumberFormat="0" applyFill="0" applyBorder="0" applyAlignment="0" applyProtection="0"/>
    <xf numFmtId="2" fontId="64" fillId="27" borderId="0" applyNumberFormat="0" applyFont="0" applyBorder="0" applyAlignment="0" applyProtection="0"/>
    <xf numFmtId="2" fontId="35" fillId="27" borderId="0" applyNumberFormat="0" applyFont="0" applyBorder="0" applyAlignment="0" applyProtection="0"/>
    <xf numFmtId="0" fontId="32" fillId="0" borderId="0" applyFill="0" applyBorder="0" applyAlignment="0"/>
    <xf numFmtId="0" fontId="208" fillId="28" borderId="13" applyNumberFormat="0" applyAlignment="0" applyProtection="0"/>
    <xf numFmtId="200" fontId="102" fillId="0" borderId="0" applyFont="0" applyFill="0" applyBorder="0" applyAlignment="0" applyProtection="0">
      <protection locked="0"/>
    </xf>
    <xf numFmtId="1" fontId="131" fillId="0" borderId="0"/>
    <xf numFmtId="0" fontId="132" fillId="12" borderId="0"/>
    <xf numFmtId="0" fontId="209" fillId="8" borderId="14" applyNumberFormat="0" applyAlignment="0" applyProtection="0"/>
    <xf numFmtId="0" fontId="209" fillId="8" borderId="14" applyNumberFormat="0" applyAlignment="0" applyProtection="0"/>
    <xf numFmtId="3" fontId="133" fillId="0" borderId="0"/>
    <xf numFmtId="0" fontId="122" fillId="0" borderId="8">
      <alignment horizontal="center"/>
    </xf>
    <xf numFmtId="4" fontId="28" fillId="0" borderId="0" applyFont="0" applyFill="0" applyBorder="0" applyAlignment="0" applyProtection="0"/>
    <xf numFmtId="245" fontId="134" fillId="0" borderId="0"/>
    <xf numFmtId="245" fontId="134" fillId="0" borderId="0"/>
    <xf numFmtId="245" fontId="134" fillId="0" borderId="0"/>
    <xf numFmtId="245" fontId="134" fillId="0" borderId="0"/>
    <xf numFmtId="245" fontId="134" fillId="0" borderId="0"/>
    <xf numFmtId="245" fontId="134" fillId="0" borderId="0"/>
    <xf numFmtId="245" fontId="134" fillId="0" borderId="0"/>
    <xf numFmtId="245" fontId="134" fillId="0" borderId="0"/>
    <xf numFmtId="246" fontId="102" fillId="0" borderId="0"/>
    <xf numFmtId="38" fontId="88" fillId="0" borderId="0">
      <alignment horizontal="center"/>
      <protection locked="0"/>
    </xf>
    <xf numFmtId="38" fontId="109" fillId="0" borderId="0"/>
    <xf numFmtId="247" fontId="121" fillId="0" borderId="0" applyFont="0" applyFill="0" applyBorder="0" applyAlignment="0" applyProtection="0">
      <alignment horizontal="right"/>
    </xf>
    <xf numFmtId="247" fontId="93" fillId="0" borderId="0" applyFont="0" applyFill="0" applyBorder="0" applyAlignment="0" applyProtection="0">
      <alignment horizontal="right"/>
    </xf>
    <xf numFmtId="248" fontId="121" fillId="0" borderId="0" applyFont="0" applyFill="0" applyBorder="0" applyAlignment="0" applyProtection="0">
      <alignment horizontal="right"/>
    </xf>
    <xf numFmtId="248" fontId="93" fillId="0" borderId="0" applyFont="0" applyFill="0" applyBorder="0" applyAlignment="0" applyProtection="0">
      <alignment horizontal="right"/>
    </xf>
    <xf numFmtId="176" fontId="102" fillId="0" borderId="0"/>
    <xf numFmtId="4" fontId="102" fillId="0" borderId="0"/>
    <xf numFmtId="200" fontId="102" fillId="0" borderId="0"/>
    <xf numFmtId="38" fontId="101" fillId="0" borderId="0" applyFill="0" applyBorder="0" applyProtection="0">
      <alignment horizontal="center"/>
    </xf>
    <xf numFmtId="166" fontId="135" fillId="0" borderId="0" applyFont="0" applyFill="0" applyBorder="0" applyAlignment="0" applyProtection="0"/>
    <xf numFmtId="3" fontId="41" fillId="0" borderId="0" applyFont="0" applyFill="0" applyBorder="0" applyAlignment="0" applyProtection="0"/>
    <xf numFmtId="0" fontId="136" fillId="0" borderId="0"/>
    <xf numFmtId="0" fontId="55" fillId="0" borderId="0"/>
    <xf numFmtId="176" fontId="133" fillId="0" borderId="0" applyFont="0" applyFill="0" applyBorder="0" applyAlignment="0" applyProtection="0"/>
    <xf numFmtId="0" fontId="136" fillId="0" borderId="0"/>
    <xf numFmtId="0" fontId="55" fillId="0" borderId="0"/>
    <xf numFmtId="0" fontId="133" fillId="0" borderId="0" applyFont="0" applyFill="0" applyBorder="0" applyAlignment="0" applyProtection="0"/>
    <xf numFmtId="4" fontId="137" fillId="0" borderId="6" applyFont="0" applyFill="0" applyBorder="0" applyAlignment="0" applyProtection="0"/>
    <xf numFmtId="204" fontId="133" fillId="0" borderId="0" applyFont="0" applyFill="0" applyBorder="0" applyAlignment="0" applyProtection="0"/>
    <xf numFmtId="0" fontId="68" fillId="0" borderId="0" applyNumberFormat="0" applyFill="0" applyBorder="0">
      <alignment horizontal="right"/>
    </xf>
    <xf numFmtId="0" fontId="32" fillId="0" borderId="0" applyNumberFormat="0" applyAlignment="0">
      <alignment horizontal="left"/>
    </xf>
    <xf numFmtId="177" fontId="87" fillId="0" borderId="0" applyFill="0" applyBorder="0" applyAlignment="0" applyProtection="0">
      <alignment horizontal="left"/>
    </xf>
    <xf numFmtId="177" fontId="56" fillId="0" borderId="0" applyFill="0" applyBorder="0" applyAlignment="0" applyProtection="0">
      <alignment horizontal="left"/>
    </xf>
    <xf numFmtId="8" fontId="28" fillId="0" borderId="0" applyFont="0" applyFill="0" applyBorder="0" applyAlignment="0" applyProtection="0"/>
    <xf numFmtId="8" fontId="138" fillId="0" borderId="15">
      <protection locked="0"/>
    </xf>
    <xf numFmtId="249" fontId="121" fillId="0" borderId="0" applyFont="0" applyFill="0" applyBorder="0" applyAlignment="0" applyProtection="0">
      <alignment horizontal="right"/>
    </xf>
    <xf numFmtId="249" fontId="93" fillId="0" borderId="0" applyFont="0" applyFill="0" applyBorder="0" applyAlignment="0" applyProtection="0">
      <alignment horizontal="right"/>
    </xf>
    <xf numFmtId="0" fontId="121" fillId="0" borderId="0" applyFont="0" applyFill="0" applyBorder="0" applyAlignment="0" applyProtection="0">
      <alignment horizontal="right"/>
    </xf>
    <xf numFmtId="0" fontId="93" fillId="0" borderId="0" applyFont="0" applyFill="0" applyBorder="0" applyAlignment="0" applyProtection="0">
      <alignment horizontal="right"/>
    </xf>
    <xf numFmtId="171" fontId="102" fillId="0" borderId="0"/>
    <xf numFmtId="182" fontId="41" fillId="0" borderId="0" applyFont="0" applyFill="0" applyBorder="0" applyAlignment="0" applyProtection="0"/>
    <xf numFmtId="177" fontId="133" fillId="0" borderId="0" applyFont="0" applyFill="0" applyBorder="0" applyAlignment="0" applyProtection="0"/>
    <xf numFmtId="186" fontId="133" fillId="0" borderId="0" applyFont="0" applyFill="0" applyBorder="0" applyAlignment="0" applyProtection="0"/>
    <xf numFmtId="7" fontId="56" fillId="0" borderId="0" applyFill="0" applyBorder="0">
      <alignment horizontal="right"/>
    </xf>
    <xf numFmtId="0" fontId="32" fillId="9" borderId="0" applyFont="0" applyBorder="0"/>
    <xf numFmtId="0" fontId="101" fillId="0" borderId="0" applyFont="0" applyFill="0" applyBorder="0" applyAlignment="0" applyProtection="0"/>
    <xf numFmtId="0" fontId="41" fillId="0" borderId="0" applyFont="0" applyFill="0" applyBorder="0" applyAlignment="0" applyProtection="0"/>
    <xf numFmtId="17" fontId="122" fillId="0" borderId="0" applyFill="0" applyBorder="0">
      <alignment horizontal="right"/>
    </xf>
    <xf numFmtId="17" fontId="37" fillId="0" borderId="0" applyFill="0" applyBorder="0">
      <alignment horizontal="right"/>
    </xf>
    <xf numFmtId="250" fontId="121" fillId="0" borderId="0" applyFont="0" applyFill="0" applyBorder="0" applyAlignment="0" applyProtection="0"/>
    <xf numFmtId="250" fontId="93" fillId="0" borderId="0" applyFont="0" applyFill="0" applyBorder="0" applyAlignment="0" applyProtection="0"/>
    <xf numFmtId="14" fontId="55" fillId="0" borderId="0"/>
    <xf numFmtId="251" fontId="93" fillId="0" borderId="0"/>
    <xf numFmtId="14" fontId="139" fillId="0" borderId="0" applyFont="0" applyFill="0" applyBorder="0" applyAlignment="0" applyProtection="0">
      <alignment horizontal="center"/>
    </xf>
    <xf numFmtId="252" fontId="139" fillId="0" borderId="0" applyFont="0" applyFill="0" applyBorder="0" applyAlignment="0" applyProtection="0">
      <alignment horizontal="center"/>
    </xf>
    <xf numFmtId="194" fontId="69" fillId="0" borderId="0" applyFont="0" applyFill="0" applyBorder="0" applyAlignment="0" applyProtection="0">
      <alignment horizontal="right"/>
    </xf>
    <xf numFmtId="0" fontId="55" fillId="0" borderId="0"/>
    <xf numFmtId="6" fontId="101" fillId="0" borderId="0">
      <alignment horizontal="center"/>
    </xf>
    <xf numFmtId="0" fontId="69" fillId="0" borderId="0" applyFont="0" applyFill="0" applyBorder="0" applyAlignment="0" applyProtection="0">
      <alignment horizontal="right"/>
    </xf>
    <xf numFmtId="5" fontId="53" fillId="0" borderId="0" applyFont="0" applyFill="0" applyBorder="0" applyAlignment="0" applyProtection="0">
      <protection locked="0"/>
    </xf>
    <xf numFmtId="6" fontId="102" fillId="0" borderId="0" applyFont="0" applyFill="0" applyBorder="0" applyAlignment="0" applyProtection="0"/>
    <xf numFmtId="253" fontId="121" fillId="0" borderId="16" applyNumberFormat="0" applyFont="0" applyFill="0" applyAlignment="0" applyProtection="0"/>
    <xf numFmtId="253" fontId="93" fillId="0" borderId="16" applyNumberFormat="0" applyFont="0" applyFill="0" applyAlignment="0" applyProtection="0"/>
    <xf numFmtId="0" fontId="140" fillId="0" borderId="4" applyNumberFormat="0" applyBorder="0"/>
    <xf numFmtId="0" fontId="32" fillId="0" borderId="0" applyNumberFormat="0" applyAlignment="0">
      <alignment horizontal="left"/>
    </xf>
    <xf numFmtId="8" fontId="102" fillId="0" borderId="0" applyFont="0" applyFill="0" applyBorder="0" applyAlignment="0" applyProtection="0">
      <alignment horizontal="right"/>
    </xf>
    <xf numFmtId="254" fontId="93" fillId="0" borderId="0" applyFont="0" applyFill="0" applyBorder="0" applyProtection="0">
      <alignment horizontal="left"/>
      <protection locked="0"/>
    </xf>
    <xf numFmtId="255" fontId="93" fillId="0" borderId="0" applyFont="0" applyFill="0" applyBorder="0" applyProtection="0">
      <alignment horizontal="left"/>
      <protection locked="0"/>
    </xf>
    <xf numFmtId="256" fontId="32" fillId="0" borderId="0" applyFont="0" applyFill="0" applyBorder="0" applyAlignment="0" applyProtection="0"/>
    <xf numFmtId="0" fontId="210" fillId="0" borderId="0" applyNumberFormat="0" applyFill="0" applyBorder="0" applyAlignment="0" applyProtection="0"/>
    <xf numFmtId="195" fontId="64" fillId="29" borderId="4" applyNumberFormat="0" applyFont="0" applyBorder="0" applyAlignment="0" applyProtection="0">
      <alignment horizontal="right"/>
    </xf>
    <xf numFmtId="195" fontId="35" fillId="29" borderId="4" applyNumberFormat="0" applyFont="0" applyBorder="0" applyAlignment="0" applyProtection="0">
      <alignment horizontal="right"/>
    </xf>
    <xf numFmtId="0" fontId="141" fillId="0" borderId="0" applyFont="0" applyFill="0" applyBorder="0" applyAlignment="0" applyProtection="0"/>
    <xf numFmtId="257" fontId="108" fillId="0" borderId="0">
      <alignment horizontal="right"/>
    </xf>
    <xf numFmtId="2" fontId="141" fillId="0" borderId="0" applyFont="0" applyFill="0" applyBorder="0" applyAlignment="0" applyProtection="0"/>
    <xf numFmtId="2" fontId="41" fillId="0" borderId="0" applyFont="0" applyFill="0" applyBorder="0" applyAlignment="0" applyProtection="0"/>
    <xf numFmtId="1" fontId="133" fillId="0" borderId="0" applyFont="0" applyFill="0" applyBorder="0" applyAlignment="0" applyProtection="0"/>
    <xf numFmtId="186" fontId="56" fillId="0" borderId="0" applyFill="0" applyBorder="0">
      <alignment horizontal="right"/>
    </xf>
    <xf numFmtId="0" fontId="142" fillId="0" borderId="0"/>
    <xf numFmtId="0" fontId="143" fillId="0" borderId="0" applyFill="0" applyBorder="0" applyProtection="0">
      <alignment horizontal="left"/>
    </xf>
    <xf numFmtId="1" fontId="64" fillId="0" borderId="0" applyNumberFormat="0" applyBorder="0" applyAlignment="0" applyProtection="0"/>
    <xf numFmtId="1" fontId="35" fillId="0" borderId="0" applyNumberFormat="0" applyBorder="0" applyAlignment="0" applyProtection="0"/>
    <xf numFmtId="196" fontId="70" fillId="0" borderId="0">
      <alignment vertical="center"/>
    </xf>
    <xf numFmtId="202" fontId="55" fillId="0" borderId="0"/>
    <xf numFmtId="0" fontId="211" fillId="30" borderId="0" applyNumberFormat="0" applyBorder="0" applyAlignment="0" applyProtection="0"/>
    <xf numFmtId="38" fontId="35" fillId="9" borderId="0" applyNumberFormat="0" applyBorder="0" applyAlignment="0" applyProtection="0"/>
    <xf numFmtId="258" fontId="144" fillId="0" borderId="0" applyFill="0" applyBorder="0" applyAlignment="0" applyProtection="0"/>
    <xf numFmtId="258" fontId="145" fillId="0" borderId="0" applyAlignment="0">
      <alignment horizontal="left"/>
      <protection locked="0"/>
    </xf>
    <xf numFmtId="49" fontId="71"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49" fillId="0" borderId="0">
      <alignment horizontal="right"/>
    </xf>
    <xf numFmtId="49" fontId="72" fillId="0" borderId="0">
      <alignment horizontal="right"/>
    </xf>
    <xf numFmtId="196" fontId="73" fillId="0" borderId="0">
      <alignment vertical="center"/>
    </xf>
    <xf numFmtId="259" fontId="37" fillId="25" borderId="6" applyNumberFormat="0" applyFont="0" applyAlignment="0"/>
    <xf numFmtId="260" fontId="121" fillId="0" borderId="0" applyFont="0" applyFill="0" applyBorder="0" applyAlignment="0" applyProtection="0">
      <alignment horizontal="right"/>
    </xf>
    <xf numFmtId="260" fontId="93" fillId="0" borderId="0" applyFont="0" applyFill="0" applyBorder="0" applyAlignment="0" applyProtection="0">
      <alignment horizontal="right"/>
    </xf>
    <xf numFmtId="0" fontId="146" fillId="0" borderId="0" applyProtection="0">
      <alignment horizontal="right"/>
    </xf>
    <xf numFmtId="0" fontId="51" fillId="0" borderId="17" applyNumberFormat="0" applyAlignment="0" applyProtection="0">
      <alignment horizontal="left" vertical="center"/>
    </xf>
    <xf numFmtId="0" fontId="51" fillId="0" borderId="7">
      <alignment horizontal="left" vertical="center"/>
    </xf>
    <xf numFmtId="0" fontId="87" fillId="0" borderId="0"/>
    <xf numFmtId="0" fontId="42" fillId="0" borderId="0" applyNumberFormat="0" applyFill="0" applyBorder="0" applyAlignment="0" applyProtection="0"/>
    <xf numFmtId="0" fontId="43" fillId="0" borderId="0" applyNumberFormat="0" applyFill="0" applyBorder="0" applyAlignment="0" applyProtection="0"/>
    <xf numFmtId="0" fontId="147" fillId="0" borderId="0" applyProtection="0">
      <alignment horizontal="left"/>
    </xf>
    <xf numFmtId="0" fontId="212" fillId="0" borderId="0" applyNumberFormat="0" applyFill="0" applyBorder="0" applyAlignment="0" applyProtection="0"/>
    <xf numFmtId="0" fontId="51" fillId="0" borderId="0"/>
    <xf numFmtId="0" fontId="148" fillId="0" borderId="0">
      <alignment horizontal="left"/>
    </xf>
    <xf numFmtId="37" fontId="57" fillId="0" borderId="0" applyNumberFormat="0" applyFill="0" applyBorder="0" applyAlignment="0" applyProtection="0"/>
    <xf numFmtId="37" fontId="89" fillId="0" borderId="0" applyNumberFormat="0" applyFill="0" applyBorder="0" applyAlignment="0" applyProtection="0"/>
    <xf numFmtId="0" fontId="149" fillId="0" borderId="0" applyNumberFormat="0" applyFill="0" applyBorder="0" applyAlignment="0" applyProtection="0">
      <alignment horizontal="center" vertical="top" wrapText="1"/>
    </xf>
    <xf numFmtId="0" fontId="150" fillId="0" borderId="0" applyNumberFormat="0" applyFill="0" applyBorder="0" applyAlignment="0" applyProtection="0"/>
    <xf numFmtId="0" fontId="50" fillId="0" borderId="0" applyNumberFormat="0" applyFill="0" applyBorder="0" applyAlignment="0" applyProtection="0">
      <alignment vertical="top"/>
      <protection locked="0"/>
    </xf>
    <xf numFmtId="0" fontId="228" fillId="0" borderId="0" applyNumberFormat="0" applyFill="0" applyBorder="0" applyAlignment="0" applyProtection="0">
      <alignment vertical="top"/>
      <protection locked="0"/>
    </xf>
    <xf numFmtId="173" fontId="102" fillId="0" borderId="0" applyFill="0" applyBorder="0" applyAlignment="0" applyProtection="0">
      <alignment horizontal="right"/>
      <protection locked="0"/>
    </xf>
    <xf numFmtId="1" fontId="74" fillId="0" borderId="0" applyNumberFormat="0">
      <alignment horizontal="right"/>
    </xf>
    <xf numFmtId="10" fontId="35" fillId="25" borderId="6" applyNumberFormat="0" applyBorder="0" applyAlignment="0" applyProtection="0"/>
    <xf numFmtId="169" fontId="137" fillId="0" borderId="6" applyNumberFormat="0" applyFill="0" applyAlignment="0" applyProtection="0"/>
    <xf numFmtId="0" fontId="28" fillId="31" borderId="0" applyNumberFormat="0" applyFont="0" applyBorder="0" applyAlignment="0" applyProtection="0"/>
    <xf numFmtId="0" fontId="40" fillId="0" borderId="0" applyNumberFormat="0" applyFill="0" applyBorder="0" applyAlignment="0">
      <protection locked="0"/>
    </xf>
    <xf numFmtId="0" fontId="102" fillId="0" borderId="0"/>
    <xf numFmtId="0" fontId="153" fillId="0" borderId="0"/>
    <xf numFmtId="177" fontId="32" fillId="0" borderId="18" applyNumberFormat="0" applyFont="0" applyFill="0" applyAlignment="0" applyProtection="0"/>
    <xf numFmtId="0" fontId="213" fillId="0" borderId="19" applyNumberFormat="0" applyFill="0" applyAlignment="0" applyProtection="0"/>
    <xf numFmtId="216" fontId="55" fillId="0" borderId="0"/>
    <xf numFmtId="0" fontId="75" fillId="0" borderId="0"/>
    <xf numFmtId="1" fontId="154" fillId="0" borderId="0"/>
    <xf numFmtId="220" fontId="120" fillId="0" borderId="0" applyFill="0" applyBorder="0" applyAlignment="0" applyProtection="0"/>
    <xf numFmtId="165" fontId="32" fillId="0" borderId="0" applyFont="0" applyFill="0" applyBorder="0" applyAlignment="0" applyProtection="0"/>
    <xf numFmtId="166" fontId="32" fillId="0" borderId="0" applyFont="0" applyFill="0" applyBorder="0" applyAlignment="0" applyProtection="0"/>
    <xf numFmtId="0" fontId="32" fillId="0" borderId="0" applyFont="0" applyFill="0" applyBorder="0" applyAlignment="0" applyProtection="0"/>
    <xf numFmtId="261" fontId="34" fillId="0" borderId="0" applyFont="0" applyFill="0" applyBorder="0" applyAlignment="0" applyProtection="0"/>
    <xf numFmtId="0" fontId="141" fillId="0" borderId="0" applyFont="0" applyFill="0" applyBorder="0" applyAlignment="0" applyProtection="0"/>
    <xf numFmtId="0" fontId="45" fillId="32" borderId="0"/>
    <xf numFmtId="203" fontId="101" fillId="0" borderId="0" applyFill="0" applyBorder="0" applyProtection="0">
      <alignment horizontal="center"/>
    </xf>
    <xf numFmtId="212" fontId="30" fillId="0" borderId="0"/>
    <xf numFmtId="0" fontId="57" fillId="0" borderId="0"/>
    <xf numFmtId="39" fontId="34" fillId="0" borderId="0" applyFont="0" applyFill="0" applyBorder="0" applyAlignment="0" applyProtection="0"/>
    <xf numFmtId="39" fontId="32" fillId="0" borderId="0" applyFont="0" applyFill="0" applyBorder="0" applyAlignment="0" applyProtection="0"/>
    <xf numFmtId="0" fontId="214" fillId="2" borderId="0" applyNumberFormat="0" applyBorder="0" applyAlignment="0" applyProtection="0"/>
    <xf numFmtId="0" fontId="109" fillId="0" borderId="0"/>
    <xf numFmtId="37" fontId="32" fillId="0" borderId="0"/>
    <xf numFmtId="213" fontId="155" fillId="0" borderId="0"/>
    <xf numFmtId="0" fontId="5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95" fillId="0" borderId="0"/>
    <xf numFmtId="2" fontId="28" fillId="0" borderId="0" applyBorder="0" applyProtection="0"/>
    <xf numFmtId="0" fontId="195" fillId="0" borderId="0"/>
    <xf numFmtId="0" fontId="34" fillId="0" borderId="0"/>
    <xf numFmtId="0" fontId="32" fillId="0" borderId="0"/>
    <xf numFmtId="0" fontId="195" fillId="0" borderId="0"/>
    <xf numFmtId="0" fontId="195" fillId="2" borderId="20" applyNumberFormat="0" applyFont="0" applyAlignment="0" applyProtection="0"/>
    <xf numFmtId="0" fontId="156" fillId="0" borderId="21"/>
    <xf numFmtId="206" fontId="56" fillId="0" borderId="0"/>
    <xf numFmtId="39" fontId="108" fillId="0" borderId="0"/>
    <xf numFmtId="0" fontId="157" fillId="0" borderId="0"/>
    <xf numFmtId="166" fontId="93" fillId="0" borderId="0" applyFont="0" applyFill="0" applyBorder="0" applyAlignment="0" applyProtection="0"/>
    <xf numFmtId="165" fontId="93" fillId="0" borderId="0" applyFont="0" applyFill="0" applyBorder="0" applyAlignment="0" applyProtection="0"/>
    <xf numFmtId="173" fontId="102" fillId="0" borderId="0" applyFont="0" applyFill="0" applyBorder="0" applyAlignment="0" applyProtection="0"/>
    <xf numFmtId="0" fontId="158" fillId="0" borderId="0" applyNumberFormat="0" applyAlignment="0"/>
    <xf numFmtId="0" fontId="159" fillId="0" borderId="0" applyNumberFormat="0" applyAlignment="0"/>
    <xf numFmtId="0" fontId="160" fillId="0" borderId="0" applyNumberFormat="0" applyAlignment="0"/>
    <xf numFmtId="0" fontId="161" fillId="0" borderId="0"/>
    <xf numFmtId="0" fontId="162" fillId="0" borderId="0">
      <alignment horizontal="left"/>
    </xf>
    <xf numFmtId="0" fontId="215" fillId="28" borderId="22" applyNumberFormat="0" applyAlignment="0" applyProtection="0"/>
    <xf numFmtId="175" fontId="163" fillId="33" borderId="0" applyNumberFormat="0" applyFont="0" applyBorder="0" applyAlignment="0"/>
    <xf numFmtId="0" fontId="76" fillId="0" borderId="0" applyNumberFormat="0" applyFill="0" applyBorder="0">
      <alignment horizontal="left"/>
    </xf>
    <xf numFmtId="0" fontId="164" fillId="0" borderId="0" applyFill="0" applyBorder="0" applyProtection="0">
      <alignment horizontal="left"/>
    </xf>
    <xf numFmtId="0" fontId="165" fillId="0" borderId="0" applyFill="0" applyBorder="0" applyProtection="0">
      <alignment horizontal="left"/>
    </xf>
    <xf numFmtId="1" fontId="166" fillId="0" borderId="0" applyProtection="0">
      <alignment horizontal="right" vertical="center"/>
    </xf>
    <xf numFmtId="0" fontId="167" fillId="0" borderId="23" applyNumberFormat="0" applyAlignment="0" applyProtection="0"/>
    <xf numFmtId="0" fontId="85" fillId="0" borderId="23" applyNumberFormat="0" applyAlignment="0" applyProtection="0"/>
    <xf numFmtId="0" fontId="93" fillId="12" borderId="0" applyNumberFormat="0" applyFont="0" applyBorder="0" applyAlignment="0" applyProtection="0"/>
    <xf numFmtId="0" fontId="35" fillId="34" borderId="21" applyNumberFormat="0" applyFont="0" applyBorder="0" applyAlignment="0" applyProtection="0">
      <alignment horizontal="center"/>
    </xf>
    <xf numFmtId="0" fontId="35" fillId="35" borderId="21" applyNumberFormat="0" applyFont="0" applyBorder="0" applyAlignment="0" applyProtection="0">
      <alignment horizontal="center"/>
    </xf>
    <xf numFmtId="0" fontId="93" fillId="0" borderId="24" applyNumberFormat="0" applyAlignment="0" applyProtection="0"/>
    <xf numFmtId="0" fontId="93" fillId="0" borderId="25" applyNumberFormat="0" applyAlignment="0" applyProtection="0"/>
    <xf numFmtId="0" fontId="167" fillId="0" borderId="26" applyNumberFormat="0" applyAlignment="0" applyProtection="0"/>
    <xf numFmtId="0" fontId="85" fillId="0" borderId="26" applyNumberFormat="0" applyAlignment="0" applyProtection="0"/>
    <xf numFmtId="9" fontId="28" fillId="0" borderId="0" applyFont="0" applyFill="0" applyBorder="0" applyAlignment="0" applyProtection="0"/>
    <xf numFmtId="169" fontId="102" fillId="0" borderId="0"/>
    <xf numFmtId="258" fontId="32" fillId="0" borderId="0" applyFont="0" applyFill="0" applyBorder="0" applyAlignment="0" applyProtection="0"/>
    <xf numFmtId="10" fontId="32" fillId="0" borderId="0" applyFont="0" applyFill="0" applyBorder="0" applyAlignment="0" applyProtection="0"/>
    <xf numFmtId="262" fontId="102" fillId="0" borderId="0" applyFont="0" applyFill="0" applyBorder="0" applyProtection="0">
      <alignment horizontal="right"/>
    </xf>
    <xf numFmtId="169" fontId="102" fillId="0" borderId="0"/>
    <xf numFmtId="169" fontId="168" fillId="0" borderId="0" applyFont="0" applyFill="0" applyBorder="0" applyAlignment="0" applyProtection="0"/>
    <xf numFmtId="169" fontId="92" fillId="0" borderId="0" applyFont="0" applyFill="0" applyBorder="0" applyAlignment="0" applyProtection="0"/>
    <xf numFmtId="169" fontId="133" fillId="0" borderId="0" applyFont="0" applyFill="0" applyBorder="0" applyAlignment="0" applyProtection="0"/>
    <xf numFmtId="10" fontId="133" fillId="0" borderId="0" applyFont="0" applyFill="0" applyBorder="0" applyAlignment="0" applyProtection="0"/>
    <xf numFmtId="9" fontId="133" fillId="0" borderId="0" applyFont="0" applyFill="0" applyBorder="0" applyAlignment="0" applyProtection="0"/>
    <xf numFmtId="258" fontId="102" fillId="0" borderId="0" applyFont="0" applyFill="0" applyBorder="0" applyAlignment="0" applyProtection="0"/>
    <xf numFmtId="178" fontId="56" fillId="0" borderId="0" applyFill="0" applyBorder="0">
      <alignment horizontal="right"/>
    </xf>
    <xf numFmtId="8" fontId="55" fillId="0" borderId="0"/>
    <xf numFmtId="173" fontId="102" fillId="0" borderId="0" applyFont="0" applyFill="0" applyBorder="0" applyAlignment="0" applyProtection="0">
      <protection locked="0"/>
    </xf>
    <xf numFmtId="10" fontId="32" fillId="0" borderId="0" applyFont="0" applyFill="0" applyBorder="0" applyAlignment="0" applyProtection="0"/>
    <xf numFmtId="0" fontId="32" fillId="0" borderId="0"/>
    <xf numFmtId="243" fontId="56" fillId="0" borderId="0"/>
    <xf numFmtId="220" fontId="34" fillId="0" borderId="0" applyFont="0" applyFill="0" applyBorder="0" applyAlignment="0" applyProtection="0"/>
    <xf numFmtId="220" fontId="32" fillId="0" borderId="0" applyFont="0" applyFill="0" applyBorder="0" applyAlignment="0" applyProtection="0"/>
    <xf numFmtId="173" fontId="102" fillId="0" borderId="0" applyFill="0" applyBorder="0" applyAlignment="0" applyProtection="0"/>
    <xf numFmtId="38" fontId="102" fillId="0" borderId="0" applyFont="0" applyFill="0" applyBorder="0" applyAlignment="0" applyProtection="0"/>
    <xf numFmtId="0" fontId="77" fillId="0" borderId="0"/>
    <xf numFmtId="0" fontId="28" fillId="0" borderId="0" applyNumberFormat="0" applyFont="0" applyFill="0" applyBorder="0" applyAlignment="0" applyProtection="0">
      <alignment horizontal="left"/>
    </xf>
    <xf numFmtId="15" fontId="28" fillId="0" borderId="0" applyFont="0" applyFill="0" applyBorder="0" applyAlignment="0" applyProtection="0"/>
    <xf numFmtId="4" fontId="28" fillId="0" borderId="0" applyFont="0" applyFill="0" applyBorder="0" applyAlignment="0" applyProtection="0"/>
    <xf numFmtId="0" fontId="27" fillId="0" borderId="9">
      <alignment horizontal="center"/>
    </xf>
    <xf numFmtId="3" fontId="28" fillId="0" borderId="0" applyFont="0" applyFill="0" applyBorder="0" applyAlignment="0" applyProtection="0"/>
    <xf numFmtId="0" fontId="28" fillId="36" borderId="0" applyNumberFormat="0" applyFont="0" applyBorder="0" applyAlignment="0" applyProtection="0"/>
    <xf numFmtId="3" fontId="141" fillId="0" borderId="0" applyFont="0" applyFill="0" applyBorder="0" applyAlignment="0" applyProtection="0"/>
    <xf numFmtId="0" fontId="58" fillId="0" borderId="0"/>
    <xf numFmtId="217" fontId="55" fillId="0" borderId="0"/>
    <xf numFmtId="173" fontId="139" fillId="0" borderId="0" applyFont="0" applyFill="0" applyBorder="0" applyAlignment="0" applyProtection="0"/>
    <xf numFmtId="174" fontId="28" fillId="18" borderId="27" applyNumberFormat="0" applyFont="0" applyBorder="0" applyAlignment="0" applyProtection="0">
      <alignment horizontal="center"/>
    </xf>
    <xf numFmtId="14" fontId="56" fillId="0" borderId="0" applyNumberFormat="0" applyFill="0" applyBorder="0" applyAlignment="0" applyProtection="0">
      <alignment horizontal="left"/>
    </xf>
    <xf numFmtId="38" fontId="56" fillId="0" borderId="0"/>
    <xf numFmtId="0" fontId="169" fillId="0" borderId="28">
      <alignment horizontal="centerContinuous"/>
    </xf>
    <xf numFmtId="0" fontId="216" fillId="0" borderId="28">
      <alignment horizontal="centerContinuous"/>
    </xf>
    <xf numFmtId="0" fontId="216" fillId="0" borderId="28">
      <alignment horizontal="centerContinuous"/>
    </xf>
    <xf numFmtId="0" fontId="216" fillId="0" borderId="28">
      <alignment horizontal="centerContinuous"/>
    </xf>
    <xf numFmtId="0" fontId="216" fillId="0" borderId="28">
      <alignment horizontal="centerContinuous"/>
    </xf>
    <xf numFmtId="177" fontId="169" fillId="0" borderId="0"/>
    <xf numFmtId="0" fontId="169" fillId="0" borderId="28">
      <protection locked="0"/>
    </xf>
    <xf numFmtId="0" fontId="216" fillId="0" borderId="28">
      <protection locked="0"/>
    </xf>
    <xf numFmtId="0" fontId="216" fillId="0" borderId="28">
      <protection locked="0"/>
    </xf>
    <xf numFmtId="0" fontId="216" fillId="0" borderId="28">
      <protection locked="0"/>
    </xf>
    <xf numFmtId="0" fontId="216" fillId="0" borderId="28">
      <protection locked="0"/>
    </xf>
    <xf numFmtId="0" fontId="216" fillId="0" borderId="28">
      <protection locked="0"/>
    </xf>
    <xf numFmtId="0" fontId="216" fillId="0" borderId="28">
      <protection locked="0"/>
    </xf>
    <xf numFmtId="0" fontId="216" fillId="0" borderId="28">
      <protection locked="0"/>
    </xf>
    <xf numFmtId="0" fontId="216" fillId="0" borderId="28">
      <protection locked="0"/>
    </xf>
    <xf numFmtId="0" fontId="169" fillId="0" borderId="0"/>
    <xf numFmtId="177" fontId="216" fillId="0" borderId="0"/>
    <xf numFmtId="177" fontId="216" fillId="0" borderId="0"/>
    <xf numFmtId="177" fontId="216" fillId="0" borderId="0"/>
    <xf numFmtId="177" fontId="216" fillId="0" borderId="0"/>
    <xf numFmtId="0" fontId="169"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0" fontId="216" fillId="0" borderId="0"/>
    <xf numFmtId="177" fontId="216" fillId="0" borderId="0"/>
    <xf numFmtId="177" fontId="216" fillId="0" borderId="0"/>
    <xf numFmtId="177" fontId="216" fillId="0" borderId="0"/>
    <xf numFmtId="177" fontId="216" fillId="0" borderId="0"/>
    <xf numFmtId="0" fontId="169" fillId="0" borderId="0"/>
    <xf numFmtId="0" fontId="216" fillId="0" borderId="0"/>
    <xf numFmtId="0" fontId="216" fillId="0" borderId="0"/>
    <xf numFmtId="0" fontId="216" fillId="0" borderId="0"/>
    <xf numFmtId="0" fontId="216" fillId="0" borderId="0"/>
    <xf numFmtId="0" fontId="216" fillId="0" borderId="0"/>
    <xf numFmtId="0" fontId="227" fillId="0" borderId="0"/>
    <xf numFmtId="0" fontId="169" fillId="0" borderId="0"/>
    <xf numFmtId="0" fontId="169" fillId="0" borderId="0"/>
    <xf numFmtId="0" fontId="169" fillId="0" borderId="0"/>
    <xf numFmtId="0" fontId="169" fillId="0" borderId="0"/>
    <xf numFmtId="0" fontId="216" fillId="0" borderId="0"/>
    <xf numFmtId="0" fontId="216" fillId="0" borderId="0"/>
    <xf numFmtId="0" fontId="216" fillId="0" borderId="0"/>
    <xf numFmtId="0" fontId="216" fillId="0" borderId="0"/>
    <xf numFmtId="0" fontId="169" fillId="0" borderId="0"/>
    <xf numFmtId="0" fontId="169" fillId="0" borderId="0"/>
    <xf numFmtId="0" fontId="169" fillId="0" borderId="0"/>
    <xf numFmtId="0" fontId="169" fillId="0" borderId="0"/>
    <xf numFmtId="0" fontId="169" fillId="0" borderId="0"/>
    <xf numFmtId="0" fontId="216" fillId="0" borderId="0"/>
    <xf numFmtId="0" fontId="216" fillId="0" borderId="0"/>
    <xf numFmtId="0" fontId="169" fillId="0" borderId="0"/>
    <xf numFmtId="0" fontId="169" fillId="0" borderId="0"/>
    <xf numFmtId="0" fontId="216" fillId="0" borderId="28">
      <alignment horizontal="centerContinuous"/>
    </xf>
    <xf numFmtId="0" fontId="216" fillId="0" borderId="28">
      <alignment horizontal="centerContinuous"/>
    </xf>
    <xf numFmtId="0" fontId="216" fillId="0" borderId="28">
      <alignment horizontal="centerContinuous"/>
    </xf>
    <xf numFmtId="0" fontId="216" fillId="0" borderId="28">
      <alignment horizontal="centerContinuous"/>
    </xf>
    <xf numFmtId="0" fontId="170" fillId="0" borderId="9">
      <alignment horizontal="right"/>
    </xf>
    <xf numFmtId="0" fontId="171" fillId="9" borderId="29" applyBorder="0" applyProtection="0"/>
    <xf numFmtId="0" fontId="93" fillId="37" borderId="0" applyNumberFormat="0" applyFont="0" applyBorder="0" applyAlignment="0" applyProtection="0"/>
    <xf numFmtId="1" fontId="77" fillId="38" borderId="0" applyNumberFormat="0" applyFont="0" applyBorder="0" applyAlignment="0">
      <alignment horizontal="left"/>
    </xf>
    <xf numFmtId="200" fontId="102" fillId="0" borderId="0" applyFill="0" applyBorder="0" applyAlignment="0" applyProtection="0">
      <protection locked="0"/>
    </xf>
    <xf numFmtId="0" fontId="119" fillId="0" borderId="0" applyNumberFormat="0" applyAlignment="0"/>
    <xf numFmtId="0" fontId="172" fillId="39" borderId="0"/>
    <xf numFmtId="0" fontId="172" fillId="0" borderId="0"/>
    <xf numFmtId="0" fontId="172" fillId="0" borderId="0"/>
    <xf numFmtId="0" fontId="172" fillId="40" borderId="0"/>
    <xf numFmtId="0" fontId="172" fillId="40" borderId="0"/>
    <xf numFmtId="0" fontId="34" fillId="0" borderId="0" applyFont="0" applyFill="0" applyBorder="0" applyAlignment="0" applyProtection="0"/>
    <xf numFmtId="165" fontId="34" fillId="0" borderId="0" applyFont="0" applyFill="0" applyBorder="0" applyAlignment="0" applyProtection="0"/>
    <xf numFmtId="197" fontId="78" fillId="0" borderId="0" applyNumberFormat="0" applyFill="0" applyBorder="0" applyAlignment="0" applyProtection="0">
      <alignment horizontal="right" vertical="center" wrapText="1"/>
    </xf>
    <xf numFmtId="0" fontId="79" fillId="0" borderId="0" applyNumberFormat="0" applyFill="0" applyBorder="0" applyAlignment="0" applyProtection="0"/>
    <xf numFmtId="0" fontId="80" fillId="0" borderId="0" applyNumberFormat="0" applyFill="0" applyBorder="0" applyAlignment="0" applyProtection="0">
      <protection locked="0"/>
    </xf>
    <xf numFmtId="0" fontId="81" fillId="0" borderId="4" applyNumberFormat="0" applyFill="0" applyProtection="0">
      <alignment horizontal="right"/>
    </xf>
    <xf numFmtId="201" fontId="173" fillId="0" borderId="0" applyFill="0" applyBorder="0" applyAlignment="0" applyProtection="0"/>
    <xf numFmtId="221" fontId="174" fillId="0" borderId="0" applyFill="0" applyBorder="0" applyAlignment="0" applyProtection="0"/>
    <xf numFmtId="173" fontId="102" fillId="0" borderId="0" applyFill="0" applyBorder="0" applyAlignment="0" applyProtection="0">
      <protection locked="0"/>
    </xf>
    <xf numFmtId="40" fontId="32" fillId="0" borderId="0" applyBorder="0">
      <alignment horizontal="right"/>
    </xf>
    <xf numFmtId="173" fontId="173" fillId="0" borderId="0" applyFill="0" applyBorder="0" applyAlignment="0" applyProtection="0"/>
    <xf numFmtId="198" fontId="32" fillId="0" borderId="0"/>
    <xf numFmtId="0" fontId="29" fillId="0" borderId="0" applyFill="0" applyBorder="0" applyProtection="0">
      <alignment horizontal="center" vertical="center"/>
    </xf>
    <xf numFmtId="0" fontId="81" fillId="0" borderId="30" applyNumberFormat="0" applyProtection="0">
      <alignment horizontal="right"/>
    </xf>
    <xf numFmtId="0" fontId="82" fillId="0" borderId="11" applyNumberFormat="0" applyFill="0" applyProtection="0"/>
    <xf numFmtId="253" fontId="121" fillId="0" borderId="11" applyBorder="0" applyProtection="0">
      <alignment horizontal="right" vertical="center"/>
    </xf>
    <xf numFmtId="253" fontId="93" fillId="0" borderId="11" applyBorder="0" applyProtection="0">
      <alignment horizontal="right" vertical="center"/>
    </xf>
    <xf numFmtId="0" fontId="175" fillId="41" borderId="0" applyBorder="0" applyProtection="0">
      <alignment horizontal="centerContinuous" vertical="center"/>
    </xf>
    <xf numFmtId="0" fontId="175" fillId="32" borderId="11" applyBorder="0" applyProtection="0">
      <alignment horizontal="centerContinuous" vertical="center"/>
    </xf>
    <xf numFmtId="0" fontId="176" fillId="0" borderId="0" applyBorder="0" applyProtection="0">
      <alignment vertical="center"/>
    </xf>
    <xf numFmtId="0" fontId="29" fillId="0" borderId="0" applyFill="0" applyBorder="0" applyProtection="0"/>
    <xf numFmtId="0" fontId="83" fillId="0" borderId="0">
      <alignment vertical="center"/>
    </xf>
    <xf numFmtId="0" fontId="84" fillId="0" borderId="0">
      <alignment vertical="center"/>
    </xf>
    <xf numFmtId="0" fontId="70" fillId="0" borderId="0">
      <alignment vertical="center"/>
    </xf>
    <xf numFmtId="0" fontId="217" fillId="0" borderId="0">
      <alignment vertical="center"/>
    </xf>
    <xf numFmtId="0" fontId="73" fillId="0" borderId="0">
      <alignment vertical="center"/>
    </xf>
    <xf numFmtId="0" fontId="177" fillId="0" borderId="0" applyFill="0" applyBorder="0" applyProtection="0">
      <alignment horizontal="left"/>
    </xf>
    <xf numFmtId="0" fontId="143" fillId="0" borderId="31" applyFill="0" applyBorder="0" applyProtection="0">
      <alignment horizontal="left" vertical="top"/>
    </xf>
    <xf numFmtId="213" fontId="178" fillId="0" borderId="0" applyNumberFormat="0" applyFill="0" applyBorder="0">
      <alignment horizontal="left"/>
    </xf>
    <xf numFmtId="213" fontId="179" fillId="0" borderId="0" applyNumberFormat="0" applyFill="0" applyBorder="0">
      <alignment horizontal="right"/>
    </xf>
    <xf numFmtId="0" fontId="121" fillId="0" borderId="0">
      <alignment vertical="top"/>
    </xf>
    <xf numFmtId="0" fontId="93" fillId="0" borderId="0">
      <alignment vertical="top"/>
    </xf>
    <xf numFmtId="173" fontId="139" fillId="0" borderId="0" applyFill="0" applyBorder="0" applyAlignment="0" applyProtection="0"/>
    <xf numFmtId="0" fontId="180" fillId="0" borderId="0" applyAlignment="0">
      <alignment horizontal="centerContinuous"/>
    </xf>
    <xf numFmtId="173" fontId="181" fillId="0" borderId="32"/>
    <xf numFmtId="173" fontId="182" fillId="0" borderId="0" applyNumberFormat="0" applyFill="0" applyBorder="0" applyAlignment="0" applyProtection="0"/>
    <xf numFmtId="0" fontId="28" fillId="0" borderId="0" applyBorder="0"/>
    <xf numFmtId="177" fontId="107" fillId="42" borderId="0" applyFill="0" applyBorder="0" applyAlignment="0" applyProtection="0">
      <alignment horizontal="left"/>
    </xf>
    <xf numFmtId="177" fontId="89" fillId="0" borderId="0" applyFill="0" applyBorder="0" applyAlignment="0" applyProtection="0">
      <alignment horizontal="left"/>
    </xf>
    <xf numFmtId="177" fontId="33" fillId="43" borderId="33" applyNumberFormat="0" applyFont="0" applyFill="0" applyAlignment="0" applyProtection="0">
      <alignment horizontal="right" vertical="center"/>
    </xf>
    <xf numFmtId="0" fontId="41" fillId="0" borderId="34" applyNumberFormat="0" applyFont="0" applyFill="0" applyAlignment="0" applyProtection="0"/>
    <xf numFmtId="0" fontId="32" fillId="0" borderId="6">
      <protection locked="0"/>
    </xf>
    <xf numFmtId="174" fontId="32" fillId="0" borderId="6">
      <alignment horizontal="right"/>
      <protection locked="0"/>
    </xf>
    <xf numFmtId="40" fontId="55" fillId="0" borderId="0"/>
    <xf numFmtId="6" fontId="31" fillId="0" borderId="0"/>
    <xf numFmtId="38" fontId="183" fillId="0" borderId="0"/>
    <xf numFmtId="173" fontId="183" fillId="0" borderId="0"/>
    <xf numFmtId="205" fontId="184" fillId="0" borderId="0" applyNumberFormat="0"/>
    <xf numFmtId="171" fontId="168"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171" fontId="92" fillId="0" borderId="0" applyNumberFormat="0"/>
    <xf numFmtId="0" fontId="197" fillId="0" borderId="0" applyNumberFormat="0" applyFill="0" applyBorder="0" applyAlignment="0" applyProtection="0"/>
    <xf numFmtId="0" fontId="197" fillId="0" borderId="0" applyNumberFormat="0" applyFill="0" applyBorder="0" applyAlignment="0" applyProtection="0"/>
    <xf numFmtId="1" fontId="102" fillId="0" borderId="0" applyFont="0" applyFill="0" applyBorder="0" applyAlignment="0" applyProtection="0"/>
    <xf numFmtId="213" fontId="30" fillId="0" borderId="0"/>
    <xf numFmtId="0" fontId="30" fillId="0" borderId="0"/>
    <xf numFmtId="1" fontId="85" fillId="0" borderId="7" applyFill="0" applyProtection="0">
      <alignment horizontal="right"/>
    </xf>
    <xf numFmtId="263" fontId="128" fillId="0" borderId="0" applyFont="0" applyFill="0" applyBorder="0" applyAlignment="0" applyProtection="0"/>
    <xf numFmtId="214" fontId="102" fillId="0" borderId="0" applyFont="0" applyFill="0" applyBorder="0" applyAlignment="0" applyProtection="0"/>
    <xf numFmtId="199" fontId="35" fillId="0" borderId="0" applyFill="0" applyBorder="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6" fillId="0" borderId="0" applyNumberFormat="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239" fontId="28" fillId="0" borderId="0"/>
    <xf numFmtId="239" fontId="28" fillId="0" borderId="0"/>
    <xf numFmtId="239" fontId="28" fillId="0" borderId="0"/>
    <xf numFmtId="239" fontId="28" fillId="0" borderId="0"/>
    <xf numFmtId="239" fontId="28" fillId="0" borderId="0"/>
    <xf numFmtId="239" fontId="28" fillId="0" borderId="0"/>
    <xf numFmtId="239" fontId="28" fillId="0" borderId="0"/>
    <xf numFmtId="239" fontId="28" fillId="0" borderId="0"/>
    <xf numFmtId="177" fontId="85" fillId="0" borderId="0">
      <alignment horizontal="center"/>
    </xf>
    <xf numFmtId="177" fontId="85" fillId="0" borderId="0">
      <alignment horizontal="center"/>
    </xf>
    <xf numFmtId="177" fontId="85" fillId="0" borderId="0">
      <alignment horizontal="center"/>
    </xf>
    <xf numFmtId="177" fontId="85" fillId="0" borderId="0">
      <alignment horizontal="center"/>
    </xf>
    <xf numFmtId="177" fontId="85" fillId="0" borderId="0">
      <alignment horizontal="center"/>
    </xf>
    <xf numFmtId="177" fontId="85" fillId="0" borderId="0">
      <alignment horizontal="center"/>
    </xf>
    <xf numFmtId="177" fontId="85" fillId="0" borderId="0">
      <alignment horizontal="center"/>
    </xf>
    <xf numFmtId="177" fontId="85" fillId="0" borderId="0">
      <alignment horizontal="center"/>
    </xf>
    <xf numFmtId="0" fontId="69" fillId="10" borderId="0"/>
    <xf numFmtId="177" fontId="32" fillId="0" borderId="3" applyNumberFormat="0" applyBorder="0" applyAlignment="0" applyProtection="0"/>
    <xf numFmtId="177" fontId="32" fillId="0" borderId="3" applyNumberFormat="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38" fontId="69" fillId="0" borderId="0"/>
    <xf numFmtId="49" fontId="49" fillId="0" borderId="0">
      <alignment horizontal="right"/>
    </xf>
    <xf numFmtId="0" fontId="69"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177" fontId="169" fillId="0" borderId="0"/>
    <xf numFmtId="177" fontId="169" fillId="0" borderId="0"/>
    <xf numFmtId="177" fontId="169" fillId="0" borderId="0"/>
    <xf numFmtId="177"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177" fontId="169" fillId="0" borderId="0"/>
    <xf numFmtId="177" fontId="169" fillId="0" borderId="0"/>
    <xf numFmtId="177" fontId="169" fillId="0" borderId="0"/>
    <xf numFmtId="177"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32" fillId="0" borderId="0" applyFont="0" applyFill="0" applyBorder="0" applyAlignment="0" applyProtection="0"/>
    <xf numFmtId="165" fontId="32" fillId="0" borderId="0" applyFont="0" applyFill="0" applyBorder="0" applyAlignment="0" applyProtection="0"/>
    <xf numFmtId="0" fontId="26" fillId="0" borderId="0"/>
    <xf numFmtId="0" fontId="55" fillId="0" borderId="0"/>
    <xf numFmtId="0" fontId="53" fillId="3"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5"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0" fontId="204" fillId="2" borderId="0" applyNumberFormat="0" applyBorder="0" applyAlignment="0" applyProtection="0"/>
    <xf numFmtId="0" fontId="204" fillId="8"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0" fontId="204" fillId="17" borderId="0" applyNumberFormat="0" applyBorder="0" applyAlignment="0" applyProtection="0"/>
    <xf numFmtId="0" fontId="204" fillId="18" borderId="0" applyNumberFormat="0" applyBorder="0" applyAlignment="0" applyProtection="0"/>
    <xf numFmtId="0" fontId="204" fillId="19" borderId="0" applyNumberFormat="0" applyBorder="0" applyAlignment="0" applyProtection="0"/>
    <xf numFmtId="0" fontId="204" fillId="20" borderId="0" applyNumberFormat="0" applyBorder="0" applyAlignment="0" applyProtection="0"/>
    <xf numFmtId="0" fontId="204" fillId="21" borderId="0" applyNumberFormat="0" applyBorder="0" applyAlignment="0" applyProtection="0"/>
    <xf numFmtId="0" fontId="204" fillId="22" borderId="0" applyNumberFormat="0" applyBorder="0" applyAlignment="0" applyProtection="0"/>
    <xf numFmtId="0" fontId="205" fillId="26" borderId="0" applyNumberFormat="0" applyBorder="0" applyAlignment="0" applyProtection="0"/>
    <xf numFmtId="0" fontId="208" fillId="28" borderId="13" applyNumberFormat="0" applyAlignment="0" applyProtection="0"/>
    <xf numFmtId="0" fontId="209" fillId="8" borderId="14" applyNumberFormat="0" applyAlignment="0" applyProtection="0"/>
    <xf numFmtId="4" fontId="28" fillId="0" borderId="0" applyFont="0" applyFill="0" applyBorder="0" applyAlignment="0" applyProtection="0"/>
    <xf numFmtId="8" fontId="28" fillId="0" borderId="0" applyFont="0" applyFill="0" applyBorder="0" applyAlignment="0" applyProtection="0"/>
    <xf numFmtId="0" fontId="210" fillId="0" borderId="0" applyNumberFormat="0" applyFill="0" applyBorder="0" applyAlignment="0" applyProtection="0"/>
    <xf numFmtId="0" fontId="211" fillId="30" borderId="0" applyNumberFormat="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147" fillId="0" borderId="0" applyProtection="0">
      <alignment horizontal="left"/>
    </xf>
    <xf numFmtId="0" fontId="212" fillId="0" borderId="0" applyNumberFormat="0" applyFill="0" applyBorder="0" applyAlignment="0" applyProtection="0"/>
    <xf numFmtId="1" fontId="74" fillId="0" borderId="0" applyNumberFormat="0">
      <alignment horizontal="right"/>
    </xf>
    <xf numFmtId="0" fontId="213" fillId="0" borderId="19" applyNumberFormat="0" applyFill="0" applyAlignment="0" applyProtection="0"/>
    <xf numFmtId="0" fontId="214" fillId="2" borderId="0" applyNumberFormat="0" applyBorder="0" applyAlignment="0" applyProtection="0"/>
    <xf numFmtId="0" fontId="195" fillId="2" borderId="20" applyNumberFormat="0" applyFont="0" applyAlignment="0" applyProtection="0"/>
    <xf numFmtId="0" fontId="215" fillId="28" borderId="22" applyNumberFormat="0" applyAlignment="0" applyProtection="0"/>
    <xf numFmtId="9" fontId="28" fillId="0" borderId="0" applyFont="0" applyFill="0" applyBorder="0" applyAlignment="0" applyProtection="0"/>
    <xf numFmtId="173" fontId="139" fillId="0" borderId="0" applyFill="0" applyBorder="0" applyAlignment="0" applyProtection="0"/>
    <xf numFmtId="0" fontId="41" fillId="0" borderId="34" applyNumberFormat="0" applyFont="0" applyFill="0" applyAlignment="0" applyProtection="0"/>
    <xf numFmtId="0" fontId="197" fillId="0" borderId="0" applyNumberFormat="0" applyFill="0" applyBorder="0" applyAlignment="0" applyProtection="0"/>
    <xf numFmtId="0" fontId="35" fillId="0" borderId="0"/>
    <xf numFmtId="0" fontId="234" fillId="3" borderId="0" applyNumberFormat="0" applyBorder="0" applyAlignment="0" applyProtection="0"/>
    <xf numFmtId="0" fontId="234" fillId="4" borderId="0" applyNumberFormat="0" applyBorder="0" applyAlignment="0" applyProtection="0"/>
    <xf numFmtId="0" fontId="234" fillId="2" borderId="0" applyNumberFormat="0" applyBorder="0" applyAlignment="0" applyProtection="0"/>
    <xf numFmtId="0" fontId="234" fillId="5" borderId="0" applyNumberFormat="0" applyBorder="0" applyAlignment="0" applyProtection="0"/>
    <xf numFmtId="0" fontId="234" fillId="3" borderId="0" applyNumberFormat="0" applyBorder="0" applyAlignment="0" applyProtection="0"/>
    <xf numFmtId="0" fontId="234" fillId="4" borderId="0" applyNumberFormat="0" applyBorder="0" applyAlignment="0" applyProtection="0"/>
    <xf numFmtId="0" fontId="234" fillId="6" borderId="0" applyNumberFormat="0" applyBorder="0" applyAlignment="0" applyProtection="0"/>
    <xf numFmtId="0" fontId="234" fillId="4" borderId="0" applyNumberFormat="0" applyBorder="0" applyAlignment="0" applyProtection="0"/>
    <xf numFmtId="0" fontId="234" fillId="2" borderId="0" applyNumberFormat="0" applyBorder="0" applyAlignment="0" applyProtection="0"/>
    <xf numFmtId="0" fontId="234" fillId="6" borderId="0" applyNumberFormat="0" applyBorder="0" applyAlignment="0" applyProtection="0"/>
    <xf numFmtId="0" fontId="234" fillId="6" borderId="0" applyNumberFormat="0" applyBorder="0" applyAlignment="0" applyProtection="0"/>
    <xf numFmtId="0" fontId="234" fillId="4" borderId="0" applyNumberFormat="0" applyBorder="0" applyAlignment="0" applyProtection="0"/>
    <xf numFmtId="0" fontId="235" fillId="7" borderId="0" applyNumberFormat="0" applyBorder="0" applyAlignment="0" applyProtection="0"/>
    <xf numFmtId="0" fontId="235" fillId="4" borderId="0" applyNumberFormat="0" applyBorder="0" applyAlignment="0" applyProtection="0"/>
    <xf numFmtId="0" fontId="235" fillId="2" borderId="0" applyNumberFormat="0" applyBorder="0" applyAlignment="0" applyProtection="0"/>
    <xf numFmtId="0" fontId="235" fillId="8" borderId="0" applyNumberFormat="0" applyBorder="0" applyAlignment="0" applyProtection="0"/>
    <xf numFmtId="0" fontId="235" fillId="7" borderId="0" applyNumberFormat="0" applyBorder="0" applyAlignment="0" applyProtection="0"/>
    <xf numFmtId="0" fontId="235" fillId="4" borderId="0" applyNumberFormat="0" applyBorder="0" applyAlignment="0" applyProtection="0"/>
    <xf numFmtId="177" fontId="114" fillId="0" borderId="46" applyBorder="0"/>
    <xf numFmtId="176" fontId="29" fillId="15" borderId="46" applyBorder="0">
      <alignment horizontal="right"/>
    </xf>
    <xf numFmtId="176" fontId="29" fillId="0" borderId="46" applyBorder="0">
      <alignment horizontal="right"/>
    </xf>
    <xf numFmtId="0" fontId="235" fillId="17" borderId="0" applyNumberFormat="0" applyBorder="0" applyAlignment="0" applyProtection="0"/>
    <xf numFmtId="0" fontId="235" fillId="18" borderId="0" applyNumberFormat="0" applyBorder="0" applyAlignment="0" applyProtection="0"/>
    <xf numFmtId="0" fontId="235" fillId="19" borderId="0" applyNumberFormat="0" applyBorder="0" applyAlignment="0" applyProtection="0"/>
    <xf numFmtId="0" fontId="235" fillId="20" borderId="0" applyNumberFormat="0" applyBorder="0" applyAlignment="0" applyProtection="0"/>
    <xf numFmtId="0" fontId="235" fillId="21" borderId="0" applyNumberFormat="0" applyBorder="0" applyAlignment="0" applyProtection="0"/>
    <xf numFmtId="0" fontId="235" fillId="22" borderId="0" applyNumberFormat="0" applyBorder="0" applyAlignment="0" applyProtection="0"/>
    <xf numFmtId="0" fontId="35" fillId="0" borderId="48" applyNumberFormat="0" applyFill="0" applyAlignment="0" applyProtection="0"/>
    <xf numFmtId="0" fontId="236" fillId="26" borderId="0" applyNumberFormat="0" applyBorder="0" applyAlignment="0" applyProtection="0"/>
    <xf numFmtId="37" fontId="89" fillId="0" borderId="46" applyNumberFormat="0" applyFont="0" applyFill="0" applyAlignment="0" applyProtection="0"/>
    <xf numFmtId="0" fontId="237" fillId="28" borderId="49" applyNumberFormat="0" applyAlignment="0" applyProtection="0"/>
    <xf numFmtId="0" fontId="238" fillId="8" borderId="14" applyNumberFormat="0" applyAlignment="0" applyProtection="0"/>
    <xf numFmtId="166" fontId="35" fillId="0" borderId="0" applyFont="0" applyFill="0" applyBorder="0" applyAlignment="0" applyProtection="0"/>
    <xf numFmtId="3" fontId="141" fillId="0" borderId="0" applyFont="0" applyFill="0" applyBorder="0" applyAlignment="0" applyProtection="0"/>
    <xf numFmtId="44" fontId="35" fillId="0" borderId="0" applyFont="0" applyFill="0" applyBorder="0" applyAlignment="0" applyProtection="0"/>
    <xf numFmtId="8" fontId="138" fillId="0" borderId="50">
      <protection locked="0"/>
    </xf>
    <xf numFmtId="182" fontId="32" fillId="51" borderId="0" applyFont="0" applyFill="0" applyBorder="0" applyAlignment="0" applyProtection="0"/>
    <xf numFmtId="14" fontId="55" fillId="0" borderId="0"/>
    <xf numFmtId="278" fontId="56" fillId="0" borderId="0"/>
    <xf numFmtId="0" fontId="140" fillId="0" borderId="46" applyNumberFormat="0" applyBorder="0"/>
    <xf numFmtId="0" fontId="239" fillId="0" borderId="0" applyNumberFormat="0" applyFill="0" applyBorder="0" applyAlignment="0" applyProtection="0"/>
    <xf numFmtId="195" fontId="35" fillId="29" borderId="46" applyNumberFormat="0" applyFont="0" applyBorder="0" applyAlignment="0" applyProtection="0">
      <alignment horizontal="right"/>
    </xf>
    <xf numFmtId="0" fontId="29" fillId="0" borderId="7" applyFont="0" applyFill="0" applyBorder="0" applyAlignment="0" applyProtection="0">
      <alignment horizontal="center"/>
    </xf>
    <xf numFmtId="0" fontId="240" fillId="30" borderId="0" applyNumberFormat="0" applyBorder="0" applyAlignment="0" applyProtection="0"/>
    <xf numFmtId="0" fontId="241" fillId="0" borderId="51" applyNumberFormat="0" applyFill="0" applyAlignment="0" applyProtection="0"/>
    <xf numFmtId="0" fontId="242" fillId="0" borderId="52" applyNumberFormat="0" applyFill="0" applyAlignment="0" applyProtection="0"/>
    <xf numFmtId="0" fontId="243" fillId="0" borderId="53" applyNumberFormat="0" applyFill="0" applyAlignment="0" applyProtection="0"/>
    <xf numFmtId="0" fontId="243" fillId="0" borderId="0" applyNumberFormat="0" applyFill="0" applyBorder="0" applyAlignment="0" applyProtection="0"/>
    <xf numFmtId="0" fontId="151" fillId="0" borderId="0" applyNumberFormat="0" applyFill="0" applyBorder="0" applyAlignment="0" applyProtection="0">
      <alignment vertical="top"/>
      <protection locked="0"/>
    </xf>
    <xf numFmtId="0" fontId="244" fillId="4" borderId="49" applyNumberFormat="0" applyAlignment="0" applyProtection="0"/>
    <xf numFmtId="0" fontId="245" fillId="0" borderId="19" applyNumberFormat="0" applyFill="0" applyAlignment="0" applyProtection="0"/>
    <xf numFmtId="0" fontId="246" fillId="2" borderId="0" applyNumberFormat="0" applyBorder="0" applyAlignment="0" applyProtection="0"/>
    <xf numFmtId="0" fontId="35" fillId="2" borderId="54" applyNumberFormat="0" applyFont="0" applyAlignment="0" applyProtection="0"/>
    <xf numFmtId="0" fontId="247" fillId="28" borderId="55" applyNumberFormat="0" applyAlignment="0" applyProtection="0"/>
    <xf numFmtId="9" fontId="35" fillId="0" borderId="0" applyFont="0" applyFill="0" applyBorder="0" applyAlignment="0" applyProtection="0"/>
    <xf numFmtId="0" fontId="248" fillId="0" borderId="0" applyNumberFormat="0" applyFill="0" applyBorder="0" applyAlignment="0" applyProtection="0"/>
    <xf numFmtId="0" fontId="249" fillId="0" borderId="56" applyNumberFormat="0" applyFill="0" applyAlignment="0" applyProtection="0"/>
    <xf numFmtId="0" fontId="250" fillId="0" borderId="0" applyNumberFormat="0" applyFill="0" applyBorder="0" applyAlignment="0" applyProtection="0"/>
    <xf numFmtId="0" fontId="32" fillId="0" borderId="0"/>
    <xf numFmtId="9" fontId="32" fillId="0" borderId="0" applyFont="0" applyFill="0" applyBorder="0" applyAlignment="0" applyProtection="0"/>
    <xf numFmtId="44" fontId="32" fillId="0" borderId="0" applyFont="0" applyFill="0" applyBorder="0" applyAlignment="0" applyProtection="0"/>
    <xf numFmtId="0" fontId="32" fillId="0" borderId="0"/>
    <xf numFmtId="0" fontId="32" fillId="0" borderId="0"/>
    <xf numFmtId="223" fontId="32" fillId="0" borderId="0" applyFont="0" applyFill="0" applyBorder="0" applyAlignment="0" applyProtection="0"/>
    <xf numFmtId="213" fontId="32" fillId="0" borderId="0" applyFont="0" applyFill="0" applyBorder="0" applyAlignment="0" applyProtection="0"/>
    <xf numFmtId="220" fontId="93" fillId="0" borderId="0" applyFont="0" applyFill="0" applyBorder="0" applyAlignment="0" applyProtection="0">
      <alignment horizontal="right"/>
    </xf>
    <xf numFmtId="225" fontId="32" fillId="0" borderId="0" applyFont="0" applyFill="0" applyBorder="0" applyAlignment="0" applyProtection="0"/>
    <xf numFmtId="226"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231" fontId="32" fillId="0" borderId="0" applyFont="0" applyFill="0" applyBorder="0" applyAlignment="0" applyProtection="0"/>
    <xf numFmtId="0" fontId="32" fillId="0" borderId="0" applyFont="0" applyFill="0" applyBorder="0" applyAlignment="0" applyProtection="0"/>
    <xf numFmtId="0" fontId="32" fillId="2" borderId="0" applyNumberFormat="0" applyFont="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0" fontId="32" fillId="0" borderId="0" applyFont="0" applyFill="0" applyBorder="0" applyAlignment="0" applyProtection="0"/>
    <xf numFmtId="9" fontId="32" fillId="0" borderId="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177" fontId="32" fillId="0" borderId="3" applyNumberFormat="0" applyBorder="0" applyAlignment="0" applyProtection="0"/>
    <xf numFmtId="0" fontId="29" fillId="9" borderId="5" applyBorder="0">
      <alignment horizontal="center"/>
    </xf>
    <xf numFmtId="193" fontId="66" fillId="23" borderId="7" applyFont="0">
      <alignment horizontal="right"/>
    </xf>
    <xf numFmtId="189" fontId="32" fillId="0" borderId="0"/>
    <xf numFmtId="242" fontId="32" fillId="0" borderId="0"/>
    <xf numFmtId="188" fontId="32" fillId="0" borderId="0"/>
    <xf numFmtId="0" fontId="124" fillId="0" borderId="59"/>
    <xf numFmtId="0" fontId="124" fillId="0" borderId="59"/>
    <xf numFmtId="0" fontId="126" fillId="0" borderId="59" applyNumberFormat="0" applyFill="0" applyAlignment="0" applyProtection="0"/>
    <xf numFmtId="0" fontId="126" fillId="0" borderId="59" applyNumberFormat="0" applyFill="0" applyAlignment="0" applyProtection="0"/>
    <xf numFmtId="0" fontId="66" fillId="0" borderId="0"/>
    <xf numFmtId="0" fontId="66" fillId="0" borderId="0"/>
    <xf numFmtId="0" fontId="66" fillId="0" borderId="0"/>
    <xf numFmtId="0" fontId="32" fillId="0" borderId="0" applyFill="0" applyBorder="0" applyAlignment="0"/>
    <xf numFmtId="248" fontId="93" fillId="0" borderId="0" applyFont="0" applyFill="0" applyBorder="0" applyAlignment="0" applyProtection="0">
      <alignment horizontal="right"/>
    </xf>
    <xf numFmtId="0" fontId="32" fillId="0" borderId="0" applyNumberFormat="0" applyAlignment="0">
      <alignment horizontal="left"/>
    </xf>
    <xf numFmtId="0" fontId="93" fillId="0" borderId="0" applyFont="0" applyFill="0" applyBorder="0" applyAlignment="0" applyProtection="0">
      <alignment horizontal="right"/>
    </xf>
    <xf numFmtId="0" fontId="32" fillId="9" borderId="0" applyFont="0" applyBorder="0"/>
    <xf numFmtId="251" fontId="93" fillId="0" borderId="0"/>
    <xf numFmtId="0" fontId="32" fillId="0" borderId="0" applyNumberFormat="0" applyAlignment="0">
      <alignment horizontal="left"/>
    </xf>
    <xf numFmtId="254" fontId="93" fillId="0" borderId="0" applyFont="0" applyFill="0" applyBorder="0" applyProtection="0">
      <alignment horizontal="left"/>
      <protection locked="0"/>
    </xf>
    <xf numFmtId="255" fontId="93" fillId="0" borderId="0" applyFont="0" applyFill="0" applyBorder="0" applyProtection="0">
      <alignment horizontal="left"/>
      <protection locked="0"/>
    </xf>
    <xf numFmtId="256" fontId="32" fillId="0" borderId="0" applyFont="0" applyFill="0" applyBorder="0" applyAlignment="0" applyProtection="0"/>
    <xf numFmtId="0" fontId="32" fillId="0" borderId="0"/>
    <xf numFmtId="177" fontId="32" fillId="0" borderId="18" applyNumberFormat="0" applyFont="0" applyFill="0" applyAlignment="0" applyProtection="0"/>
    <xf numFmtId="37" fontId="32" fillId="0" borderId="0"/>
    <xf numFmtId="0" fontId="35" fillId="0" borderId="0"/>
    <xf numFmtId="0" fontId="93" fillId="12" borderId="0" applyNumberFormat="0" applyFont="0" applyBorder="0" applyAlignment="0" applyProtection="0"/>
    <xf numFmtId="0" fontId="93" fillId="0" borderId="24" applyNumberFormat="0" applyAlignment="0" applyProtection="0"/>
    <xf numFmtId="0" fontId="93" fillId="0" borderId="25" applyNumberFormat="0" applyAlignment="0" applyProtection="0"/>
    <xf numFmtId="258" fontId="32" fillId="0" borderId="0" applyFont="0" applyFill="0" applyBorder="0" applyAlignment="0" applyProtection="0"/>
    <xf numFmtId="10" fontId="32" fillId="0" borderId="0" applyFont="0" applyFill="0" applyBorder="0" applyAlignment="0" applyProtection="0"/>
    <xf numFmtId="9" fontId="35" fillId="0" borderId="0" applyFont="0" applyFill="0" applyBorder="0" applyAlignment="0" applyProtection="0"/>
    <xf numFmtId="0" fontId="32" fillId="0" borderId="0"/>
    <xf numFmtId="174" fontId="28" fillId="18" borderId="27" applyNumberFormat="0" applyFont="0" applyBorder="0" applyAlignment="0" applyProtection="0">
      <alignment horizontal="center"/>
    </xf>
    <xf numFmtId="0" fontId="169" fillId="0" borderId="28">
      <alignment horizontal="centerContinuous"/>
    </xf>
    <xf numFmtId="177" fontId="169" fillId="0" borderId="0"/>
    <xf numFmtId="0" fontId="169" fillId="0" borderId="28">
      <protection locked="0"/>
    </xf>
    <xf numFmtId="0" fontId="169" fillId="0" borderId="0"/>
    <xf numFmtId="0" fontId="169" fillId="0" borderId="0"/>
    <xf numFmtId="0" fontId="169" fillId="0" borderId="0"/>
    <xf numFmtId="0" fontId="93" fillId="37" borderId="0" applyNumberFormat="0" applyFont="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0" fontId="32" fillId="0" borderId="0" applyBorder="0">
      <alignment horizontal="right"/>
    </xf>
    <xf numFmtId="0" fontId="29" fillId="0" borderId="0" applyFill="0" applyBorder="0" applyProtection="0">
      <alignment horizontal="center" vertical="center"/>
    </xf>
    <xf numFmtId="0" fontId="82" fillId="0" borderId="59" applyNumberFormat="0" applyFill="0" applyProtection="0"/>
    <xf numFmtId="0" fontId="175" fillId="32" borderId="59" applyBorder="0" applyProtection="0">
      <alignment horizontal="centerContinuous" vertical="center"/>
    </xf>
    <xf numFmtId="0" fontId="29" fillId="0" borderId="0" applyFill="0" applyBorder="0" applyProtection="0"/>
    <xf numFmtId="0" fontId="32" fillId="0" borderId="6">
      <protection locked="0"/>
    </xf>
    <xf numFmtId="174" fontId="32" fillId="0" borderId="6">
      <alignment horizontal="right"/>
      <protection locked="0"/>
    </xf>
    <xf numFmtId="177" fontId="114" fillId="0" borderId="57" applyBorder="0"/>
    <xf numFmtId="0" fontId="114" fillId="0" borderId="57" applyBorder="0"/>
    <xf numFmtId="177" fontId="114" fillId="0" borderId="57" applyBorder="0"/>
    <xf numFmtId="176" fontId="29" fillId="15" borderId="57" applyBorder="0">
      <alignment horizontal="right"/>
    </xf>
    <xf numFmtId="0" fontId="29" fillId="15" borderId="57" applyBorder="0">
      <alignment horizontal="right"/>
    </xf>
    <xf numFmtId="176" fontId="29" fillId="15" borderId="57" applyBorder="0">
      <alignment horizontal="right"/>
    </xf>
    <xf numFmtId="176" fontId="29" fillId="0" borderId="57" applyBorder="0">
      <alignment horizontal="right"/>
    </xf>
    <xf numFmtId="0" fontId="29" fillId="0" borderId="57" applyBorder="0">
      <alignment horizontal="right"/>
    </xf>
    <xf numFmtId="176" fontId="29" fillId="0" borderId="57" applyBorder="0">
      <alignment horizontal="right"/>
    </xf>
    <xf numFmtId="0" fontId="102" fillId="0" borderId="60" applyNumberFormat="0" applyFont="0" applyFill="0" applyAlignment="0" applyProtection="0"/>
    <xf numFmtId="0" fontId="102" fillId="0" borderId="60" applyNumberFormat="0" applyFont="0" applyFill="0" applyAlignment="0" applyProtection="0"/>
    <xf numFmtId="37" fontId="89" fillId="0" borderId="57" applyNumberFormat="0" applyFont="0" applyFill="0" applyAlignment="0" applyProtection="0"/>
    <xf numFmtId="0" fontId="208" fillId="28" borderId="49" applyNumberFormat="0" applyAlignment="0" applyProtection="0"/>
    <xf numFmtId="0" fontId="140" fillId="0" borderId="57" applyNumberFormat="0" applyBorder="0"/>
    <xf numFmtId="195" fontId="35" fillId="29" borderId="57" applyNumberFormat="0" applyFont="0" applyBorder="0" applyAlignment="0" applyProtection="0">
      <alignment horizontal="right"/>
    </xf>
    <xf numFmtId="195" fontId="35" fillId="29" borderId="57" applyNumberFormat="0" applyFont="0" applyBorder="0" applyAlignment="0" applyProtection="0">
      <alignment horizontal="right"/>
    </xf>
    <xf numFmtId="0" fontId="195" fillId="2" borderId="54" applyNumberFormat="0" applyFont="0" applyAlignment="0" applyProtection="0"/>
    <xf numFmtId="0" fontId="215" fillId="28" borderId="55" applyNumberFormat="0" applyAlignment="0" applyProtection="0"/>
    <xf numFmtId="0" fontId="93" fillId="0" borderId="61" applyNumberFormat="0" applyAlignment="0" applyProtection="0"/>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alignment horizontal="centerContinuous"/>
    </xf>
    <xf numFmtId="0" fontId="81" fillId="0" borderId="57" applyNumberFormat="0" applyFill="0" applyProtection="0">
      <alignment horizontal="right"/>
    </xf>
    <xf numFmtId="253" fontId="93" fillId="0" borderId="59" applyBorder="0" applyProtection="0">
      <alignment horizontal="right" vertical="center"/>
    </xf>
    <xf numFmtId="253" fontId="93" fillId="0" borderId="59" applyBorder="0" applyProtection="0">
      <alignment horizontal="right" vertical="center"/>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protection locked="0"/>
    </xf>
    <xf numFmtId="0" fontId="169" fillId="0" borderId="62">
      <alignment horizontal="centerContinuous"/>
    </xf>
    <xf numFmtId="0" fontId="169" fillId="0" borderId="62">
      <alignment horizontal="centerContinuous"/>
    </xf>
    <xf numFmtId="0" fontId="169" fillId="0" borderId="62">
      <alignment horizontal="centerContinuous"/>
    </xf>
    <xf numFmtId="0" fontId="169" fillId="0" borderId="62">
      <alignment horizontal="centerContinuous"/>
    </xf>
    <xf numFmtId="0" fontId="208" fillId="28" borderId="49" applyNumberFormat="0" applyAlignment="0" applyProtection="0"/>
    <xf numFmtId="0" fontId="195" fillId="2" borderId="54" applyNumberFormat="0" applyFont="0" applyAlignment="0" applyProtection="0"/>
    <xf numFmtId="0" fontId="215" fillId="28" borderId="55" applyNumberFormat="0" applyAlignment="0" applyProtection="0"/>
    <xf numFmtId="0" fontId="93" fillId="0" borderId="61" applyNumberFormat="0" applyAlignment="0" applyProtection="0"/>
    <xf numFmtId="0" fontId="169" fillId="0" borderId="62">
      <alignment horizontal="centerContinuous"/>
    </xf>
    <xf numFmtId="0" fontId="169" fillId="0" borderId="62">
      <protection locked="0"/>
    </xf>
    <xf numFmtId="177" fontId="114" fillId="0" borderId="57" applyBorder="0"/>
    <xf numFmtId="176" fontId="29" fillId="15" borderId="57" applyBorder="0">
      <alignment horizontal="right"/>
    </xf>
    <xf numFmtId="176" fontId="29" fillId="0" borderId="57" applyBorder="0">
      <alignment horizontal="right"/>
    </xf>
    <xf numFmtId="0" fontId="124" fillId="0" borderId="59"/>
    <xf numFmtId="0" fontId="124" fillId="0" borderId="59"/>
    <xf numFmtId="0" fontId="126" fillId="0" borderId="59" applyNumberFormat="0" applyFill="0" applyAlignment="0" applyProtection="0"/>
    <xf numFmtId="0" fontId="126" fillId="0" borderId="59" applyNumberFormat="0" applyFill="0" applyAlignment="0" applyProtection="0"/>
    <xf numFmtId="37" fontId="89" fillId="0" borderId="57" applyNumberFormat="0" applyFont="0" applyFill="0" applyAlignment="0" applyProtection="0"/>
    <xf numFmtId="4" fontId="28" fillId="0" borderId="0" applyFont="0" applyFill="0" applyBorder="0" applyAlignment="0" applyProtection="0"/>
    <xf numFmtId="4" fontId="28" fillId="0" borderId="0" applyFont="0" applyFill="0" applyBorder="0" applyAlignment="0" applyProtection="0"/>
    <xf numFmtId="4" fontId="28" fillId="0" borderId="0" applyFont="0" applyFill="0" applyBorder="0" applyAlignment="0" applyProtection="0"/>
    <xf numFmtId="4" fontId="28" fillId="0" borderId="0" applyFont="0" applyFill="0" applyBorder="0" applyAlignment="0" applyProtection="0"/>
    <xf numFmtId="4" fontId="28" fillId="0" borderId="0" applyFont="0" applyFill="0" applyBorder="0" applyAlignment="0" applyProtection="0"/>
    <xf numFmtId="4" fontId="28"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0" fontId="140" fillId="0" borderId="57" applyNumberFormat="0" applyBorder="0"/>
    <xf numFmtId="195" fontId="35" fillId="29" borderId="57" applyNumberFormat="0" applyFont="0" applyBorder="0" applyAlignment="0" applyProtection="0">
      <alignment horizontal="right"/>
    </xf>
    <xf numFmtId="1" fontId="74" fillId="0" borderId="0" applyNumberFormat="0">
      <alignment horizontal="right"/>
    </xf>
    <xf numFmtId="1" fontId="74" fillId="0" borderId="0" applyNumberFormat="0">
      <alignment horizontal="right"/>
    </xf>
    <xf numFmtId="1" fontId="74" fillId="0" borderId="0" applyNumberFormat="0">
      <alignment horizontal="right"/>
    </xf>
    <xf numFmtId="1" fontId="74" fillId="0" borderId="0" applyNumberFormat="0">
      <alignment horizontal="right"/>
    </xf>
    <xf numFmtId="1" fontId="74" fillId="0" borderId="0" applyNumberFormat="0">
      <alignment horizontal="right"/>
    </xf>
    <xf numFmtId="1" fontId="74" fillId="0" borderId="0" applyNumberFormat="0">
      <alignment horizontal="right"/>
    </xf>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82" fillId="0" borderId="59" applyNumberFormat="0" applyFill="0" applyProtection="0"/>
    <xf numFmtId="253" fontId="93" fillId="0" borderId="59" applyBorder="0" applyProtection="0">
      <alignment horizontal="right" vertical="center"/>
    </xf>
    <xf numFmtId="253" fontId="93" fillId="0" borderId="59" applyBorder="0" applyProtection="0">
      <alignment horizontal="right" vertical="center"/>
    </xf>
    <xf numFmtId="0" fontId="175" fillId="32" borderId="59" applyBorder="0" applyProtection="0">
      <alignment horizontal="centerContinuous" vertical="center"/>
    </xf>
    <xf numFmtId="0" fontId="135" fillId="0" borderId="0"/>
    <xf numFmtId="166" fontId="135" fillId="0" borderId="0" applyFont="0" applyFill="0" applyBorder="0" applyAlignment="0" applyProtection="0"/>
    <xf numFmtId="44" fontId="135" fillId="0" borderId="0" applyFont="0" applyFill="0" applyBorder="0" applyAlignment="0" applyProtection="0"/>
    <xf numFmtId="0" fontId="25" fillId="58" borderId="0" applyNumberFormat="0" applyBorder="0" applyAlignment="0" applyProtection="0"/>
    <xf numFmtId="0" fontId="25" fillId="58" borderId="0" applyNumberFormat="0" applyBorder="0" applyAlignment="0" applyProtection="0"/>
    <xf numFmtId="0" fontId="53" fillId="3" borderId="0" applyNumberFormat="0" applyBorder="0" applyAlignment="0" applyProtection="0"/>
    <xf numFmtId="0" fontId="25" fillId="59" borderId="0" applyNumberFormat="0" applyBorder="0" applyAlignment="0" applyProtection="0"/>
    <xf numFmtId="0" fontId="25" fillId="59" borderId="0" applyNumberFormat="0" applyBorder="0" applyAlignment="0" applyProtection="0"/>
    <xf numFmtId="0" fontId="53" fillId="4" borderId="0" applyNumberFormat="0" applyBorder="0" applyAlignment="0" applyProtection="0"/>
    <xf numFmtId="0" fontId="25" fillId="60" borderId="0" applyNumberFormat="0" applyBorder="0" applyAlignment="0" applyProtection="0"/>
    <xf numFmtId="0" fontId="25" fillId="60" borderId="0" applyNumberFormat="0" applyBorder="0" applyAlignment="0" applyProtection="0"/>
    <xf numFmtId="0" fontId="53" fillId="2" borderId="0" applyNumberFormat="0" applyBorder="0" applyAlignment="0" applyProtection="0"/>
    <xf numFmtId="0" fontId="25" fillId="61" borderId="0" applyNumberFormat="0" applyBorder="0" applyAlignment="0" applyProtection="0"/>
    <xf numFmtId="0" fontId="25" fillId="61" borderId="0" applyNumberFormat="0" applyBorder="0" applyAlignment="0" applyProtection="0"/>
    <xf numFmtId="0" fontId="53" fillId="5" borderId="0" applyNumberFormat="0" applyBorder="0" applyAlignment="0" applyProtection="0"/>
    <xf numFmtId="0" fontId="25" fillId="62" borderId="0" applyNumberFormat="0" applyBorder="0" applyAlignment="0" applyProtection="0"/>
    <xf numFmtId="0" fontId="25" fillId="62" borderId="0" applyNumberFormat="0" applyBorder="0" applyAlignment="0" applyProtection="0"/>
    <xf numFmtId="0" fontId="53" fillId="3" borderId="0" applyNumberFormat="0" applyBorder="0" applyAlignment="0" applyProtection="0"/>
    <xf numFmtId="0" fontId="25" fillId="63" borderId="0" applyNumberFormat="0" applyBorder="0" applyAlignment="0" applyProtection="0"/>
    <xf numFmtId="0" fontId="25" fillId="63" borderId="0" applyNumberFormat="0" applyBorder="0" applyAlignment="0" applyProtection="0"/>
    <xf numFmtId="0" fontId="53" fillId="4" borderId="0" applyNumberFormat="0" applyBorder="0" applyAlignment="0" applyProtection="0"/>
    <xf numFmtId="0" fontId="25" fillId="64" borderId="0" applyNumberFormat="0" applyBorder="0" applyAlignment="0" applyProtection="0"/>
    <xf numFmtId="0" fontId="25" fillId="64" borderId="0" applyNumberFormat="0" applyBorder="0" applyAlignment="0" applyProtection="0"/>
    <xf numFmtId="0" fontId="53" fillId="6" borderId="0" applyNumberFormat="0" applyBorder="0" applyAlignment="0" applyProtection="0"/>
    <xf numFmtId="0" fontId="25" fillId="65" borderId="0" applyNumberFormat="0" applyBorder="0" applyAlignment="0" applyProtection="0"/>
    <xf numFmtId="0" fontId="25" fillId="65" borderId="0" applyNumberFormat="0" applyBorder="0" applyAlignment="0" applyProtection="0"/>
    <xf numFmtId="0" fontId="53" fillId="4" borderId="0" applyNumberFormat="0" applyBorder="0" applyAlignment="0" applyProtection="0"/>
    <xf numFmtId="0" fontId="25" fillId="66" borderId="0" applyNumberFormat="0" applyBorder="0" applyAlignment="0" applyProtection="0"/>
    <xf numFmtId="0" fontId="25" fillId="66" borderId="0" applyNumberFormat="0" applyBorder="0" applyAlignment="0" applyProtection="0"/>
    <xf numFmtId="0" fontId="53" fillId="2" borderId="0" applyNumberFormat="0" applyBorder="0" applyAlignment="0" applyProtection="0"/>
    <xf numFmtId="0" fontId="25" fillId="67" borderId="0" applyNumberFormat="0" applyBorder="0" applyAlignment="0" applyProtection="0"/>
    <xf numFmtId="0" fontId="25" fillId="67" borderId="0" applyNumberFormat="0" applyBorder="0" applyAlignment="0" applyProtection="0"/>
    <xf numFmtId="0" fontId="53" fillId="6" borderId="0" applyNumberFormat="0" applyBorder="0" applyAlignment="0" applyProtection="0"/>
    <xf numFmtId="0" fontId="25" fillId="68" borderId="0" applyNumberFormat="0" applyBorder="0" applyAlignment="0" applyProtection="0"/>
    <xf numFmtId="0" fontId="25" fillId="68" borderId="0" applyNumberFormat="0" applyBorder="0" applyAlignment="0" applyProtection="0"/>
    <xf numFmtId="0" fontId="53" fillId="6" borderId="0" applyNumberFormat="0" applyBorder="0" applyAlignment="0" applyProtection="0"/>
    <xf numFmtId="0" fontId="25" fillId="69" borderId="0" applyNumberFormat="0" applyBorder="0" applyAlignment="0" applyProtection="0"/>
    <xf numFmtId="0" fontId="25" fillId="69" borderId="0" applyNumberFormat="0" applyBorder="0" applyAlignment="0" applyProtection="0"/>
    <xf numFmtId="0" fontId="53" fillId="4" borderId="0" applyNumberFormat="0" applyBorder="0" applyAlignment="0" applyProtection="0"/>
    <xf numFmtId="0" fontId="204" fillId="7"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0" fontId="204" fillId="4" borderId="0" applyNumberFormat="0" applyBorder="0" applyAlignment="0" applyProtection="0"/>
    <xf numFmtId="0" fontId="204" fillId="2" borderId="0" applyNumberFormat="0" applyBorder="0" applyAlignment="0" applyProtection="0"/>
    <xf numFmtId="0" fontId="204" fillId="2" borderId="0" applyNumberFormat="0" applyBorder="0" applyAlignment="0" applyProtection="0"/>
    <xf numFmtId="0" fontId="204" fillId="8" borderId="0" applyNumberFormat="0" applyBorder="0" applyAlignment="0" applyProtection="0"/>
    <xf numFmtId="0" fontId="204" fillId="8" borderId="0" applyNumberFormat="0" applyBorder="0" applyAlignment="0" applyProtection="0"/>
    <xf numFmtId="0" fontId="204" fillId="7" borderId="0" applyNumberFormat="0" applyBorder="0" applyAlignment="0" applyProtection="0"/>
    <xf numFmtId="0" fontId="204" fillId="7" borderId="0" applyNumberFormat="0" applyBorder="0" applyAlignment="0" applyProtection="0"/>
    <xf numFmtId="0" fontId="204" fillId="4" borderId="0" applyNumberFormat="0" applyBorder="0" applyAlignment="0" applyProtection="0"/>
    <xf numFmtId="0" fontId="204" fillId="4" borderId="0" applyNumberFormat="0" applyBorder="0" applyAlignment="0" applyProtection="0"/>
    <xf numFmtId="0" fontId="204" fillId="17" borderId="0" applyNumberFormat="0" applyBorder="0" applyAlignment="0" applyProtection="0"/>
    <xf numFmtId="0" fontId="204" fillId="17" borderId="0" applyNumberFormat="0" applyBorder="0" applyAlignment="0" applyProtection="0"/>
    <xf numFmtId="0" fontId="204" fillId="18" borderId="0" applyNumberFormat="0" applyBorder="0" applyAlignment="0" applyProtection="0"/>
    <xf numFmtId="0" fontId="204" fillId="18" borderId="0" applyNumberFormat="0" applyBorder="0" applyAlignment="0" applyProtection="0"/>
    <xf numFmtId="0" fontId="204" fillId="19" borderId="0" applyNumberFormat="0" applyBorder="0" applyAlignment="0" applyProtection="0"/>
    <xf numFmtId="0" fontId="204" fillId="19" borderId="0" applyNumberFormat="0" applyBorder="0" applyAlignment="0" applyProtection="0"/>
    <xf numFmtId="0" fontId="204" fillId="20" borderId="0" applyNumberFormat="0" applyBorder="0" applyAlignment="0" applyProtection="0"/>
    <xf numFmtId="0" fontId="204" fillId="20" borderId="0" applyNumberFormat="0" applyBorder="0" applyAlignment="0" applyProtection="0"/>
    <xf numFmtId="0" fontId="204" fillId="21" borderId="0" applyNumberFormat="0" applyBorder="0" applyAlignment="0" applyProtection="0"/>
    <xf numFmtId="0" fontId="204" fillId="21" borderId="0" applyNumberFormat="0" applyBorder="0" applyAlignment="0" applyProtection="0"/>
    <xf numFmtId="0" fontId="204" fillId="22" borderId="0" applyNumberFormat="0" applyBorder="0" applyAlignment="0" applyProtection="0"/>
    <xf numFmtId="0" fontId="204" fillId="22" borderId="0" applyNumberFormat="0" applyBorder="0" applyAlignment="0" applyProtection="0"/>
    <xf numFmtId="173" fontId="253" fillId="0" borderId="0" applyFont="0" applyBorder="0" applyAlignment="0">
      <alignment horizontal="center"/>
    </xf>
    <xf numFmtId="0" fontId="209" fillId="8" borderId="14" applyNumberFormat="0" applyAlignment="0" applyProtection="0"/>
    <xf numFmtId="166" fontId="25" fillId="0" borderId="0" applyFont="0" applyFill="0" applyBorder="0" applyAlignment="0" applyProtection="0"/>
    <xf numFmtId="166" fontId="25" fillId="0" borderId="0" applyFont="0" applyFill="0" applyBorder="0" applyAlignment="0" applyProtection="0"/>
    <xf numFmtId="194" fontId="69" fillId="0" borderId="0" applyFont="0" applyFill="0" applyBorder="0" applyAlignment="0" applyProtection="0">
      <alignment horizontal="right"/>
    </xf>
    <xf numFmtId="195" fontId="35" fillId="29" borderId="46" applyNumberFormat="0" applyFont="0" applyBorder="0" applyAlignment="0" applyProtection="0">
      <alignment horizontal="right"/>
    </xf>
    <xf numFmtId="0" fontId="135" fillId="0" borderId="0"/>
    <xf numFmtId="0" fontId="135" fillId="0" borderId="0"/>
    <xf numFmtId="0" fontId="135" fillId="0" borderId="0"/>
    <xf numFmtId="0" fontId="135" fillId="0" borderId="0"/>
    <xf numFmtId="0" fontId="25" fillId="0" borderId="0"/>
    <xf numFmtId="0" fontId="25" fillId="0" borderId="0"/>
    <xf numFmtId="0" fontId="25" fillId="0" borderId="0"/>
    <xf numFmtId="0" fontId="25" fillId="0" borderId="0"/>
    <xf numFmtId="0" fontId="25" fillId="70" borderId="66" applyNumberFormat="0" applyFont="0" applyAlignment="0" applyProtection="0"/>
    <xf numFmtId="9" fontId="25" fillId="0" borderId="0" applyFont="0" applyFill="0" applyBorder="0" applyAlignment="0" applyProtection="0"/>
    <xf numFmtId="0" fontId="32" fillId="0" borderId="0"/>
    <xf numFmtId="220" fontId="32" fillId="0" borderId="0" applyFont="0" applyFill="0" applyBorder="0" applyAlignment="0" applyProtection="0"/>
    <xf numFmtId="0" fontId="81" fillId="0" borderId="46" applyNumberFormat="0" applyFill="0" applyProtection="0">
      <alignment horizontal="right"/>
    </xf>
    <xf numFmtId="40" fontId="32" fillId="0" borderId="0" applyBorder="0">
      <alignment horizontal="right"/>
    </xf>
    <xf numFmtId="177" fontId="33" fillId="43" borderId="33" applyNumberFormat="0" applyFont="0" applyFill="0" applyAlignment="0" applyProtection="0">
      <alignment horizontal="right" vertical="center"/>
    </xf>
    <xf numFmtId="177" fontId="33" fillId="43" borderId="33" applyNumberFormat="0" applyFont="0" applyFill="0" applyAlignment="0" applyProtection="0">
      <alignment horizontal="right" vertical="center"/>
    </xf>
    <xf numFmtId="0" fontId="32" fillId="0" borderId="6">
      <protection locked="0"/>
    </xf>
    <xf numFmtId="174" fontId="32" fillId="0" borderId="6">
      <alignment horizontal="right"/>
      <protection locked="0"/>
    </xf>
    <xf numFmtId="171" fontId="92" fillId="0" borderId="0" applyNumberFormat="0"/>
    <xf numFmtId="0" fontId="197" fillId="0" borderId="0" applyNumberFormat="0" applyFill="0" applyBorder="0" applyAlignment="0" applyProtection="0"/>
    <xf numFmtId="0" fontId="175" fillId="32" borderId="70" applyBorder="0" applyProtection="0">
      <alignment horizontal="centerContinuous" vertical="center"/>
    </xf>
    <xf numFmtId="253" fontId="93" fillId="0" borderId="70" applyBorder="0" applyProtection="0">
      <alignment horizontal="right" vertical="center"/>
    </xf>
    <xf numFmtId="253" fontId="93" fillId="0" borderId="70" applyBorder="0" applyProtection="0">
      <alignment horizontal="right" vertical="center"/>
    </xf>
    <xf numFmtId="0" fontId="82" fillId="0" borderId="70" applyNumberFormat="0" applyFill="0" applyProtection="0"/>
    <xf numFmtId="0" fontId="124" fillId="0" borderId="70"/>
    <xf numFmtId="0" fontId="102" fillId="0" borderId="67" applyNumberFormat="0" applyFont="0" applyFill="0" applyAlignment="0" applyProtection="0"/>
    <xf numFmtId="0" fontId="102" fillId="0" borderId="67" applyNumberFormat="0" applyFont="0" applyFill="0" applyAlignment="0" applyProtection="0"/>
    <xf numFmtId="0" fontId="93" fillId="0" borderId="68" applyNumberFormat="0" applyAlignment="0" applyProtection="0"/>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26" fillId="0" borderId="70" applyNumberFormat="0" applyFill="0" applyAlignment="0" applyProtection="0"/>
    <xf numFmtId="0" fontId="93" fillId="0" borderId="68" applyNumberFormat="0" applyAlignment="0" applyProtection="0"/>
    <xf numFmtId="0" fontId="169" fillId="0" borderId="69">
      <alignment horizontal="centerContinuous"/>
    </xf>
    <xf numFmtId="0" fontId="169" fillId="0" borderId="69">
      <protection locked="0"/>
    </xf>
    <xf numFmtId="0" fontId="102" fillId="0" borderId="67" applyNumberFormat="0" applyFont="0" applyFill="0" applyAlignment="0" applyProtection="0"/>
    <xf numFmtId="0" fontId="102" fillId="0" borderId="67" applyNumberFormat="0" applyFont="0" applyFill="0" applyAlignment="0" applyProtection="0"/>
    <xf numFmtId="0" fontId="93" fillId="0" borderId="68" applyNumberFormat="0" applyAlignment="0" applyProtection="0"/>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protection locked="0"/>
    </xf>
    <xf numFmtId="0" fontId="169" fillId="0" borderId="69">
      <alignment horizontal="centerContinuous"/>
    </xf>
    <xf numFmtId="0" fontId="169" fillId="0" borderId="69">
      <alignment horizontal="centerContinuous"/>
    </xf>
    <xf numFmtId="0" fontId="169" fillId="0" borderId="69">
      <alignment horizontal="centerContinuous"/>
    </xf>
    <xf numFmtId="0" fontId="169" fillId="0" borderId="69">
      <alignment horizontal="centerContinuous"/>
    </xf>
    <xf numFmtId="0" fontId="93" fillId="0" borderId="68" applyNumberFormat="0" applyAlignment="0" applyProtection="0"/>
    <xf numFmtId="0" fontId="169" fillId="0" borderId="69">
      <alignment horizontal="centerContinuous"/>
    </xf>
    <xf numFmtId="0" fontId="169" fillId="0" borderId="69">
      <protection locked="0"/>
    </xf>
    <xf numFmtId="0" fontId="24" fillId="58"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0" fontId="24" fillId="61" borderId="0" applyNumberFormat="0" applyBorder="0" applyAlignment="0" applyProtection="0"/>
    <xf numFmtId="0" fontId="24" fillId="62" borderId="0" applyNumberFormat="0" applyBorder="0" applyAlignment="0" applyProtection="0"/>
    <xf numFmtId="0" fontId="24" fillId="62" borderId="0" applyNumberFormat="0" applyBorder="0" applyAlignment="0" applyProtection="0"/>
    <xf numFmtId="0" fontId="24" fillId="63" borderId="0" applyNumberFormat="0" applyBorder="0" applyAlignment="0" applyProtection="0"/>
    <xf numFmtId="0" fontId="24" fillId="63" borderId="0" applyNumberFormat="0" applyBorder="0" applyAlignment="0" applyProtection="0"/>
    <xf numFmtId="0" fontId="24" fillId="64" borderId="0" applyNumberFormat="0" applyBorder="0" applyAlignment="0" applyProtection="0"/>
    <xf numFmtId="0" fontId="24" fillId="64" borderId="0" applyNumberFormat="0" applyBorder="0" applyAlignment="0" applyProtection="0"/>
    <xf numFmtId="0" fontId="24" fillId="65" borderId="0" applyNumberFormat="0" applyBorder="0" applyAlignment="0" applyProtection="0"/>
    <xf numFmtId="0" fontId="24" fillId="65" borderId="0" applyNumberFormat="0" applyBorder="0" applyAlignment="0" applyProtection="0"/>
    <xf numFmtId="0" fontId="24" fillId="66" borderId="0" applyNumberFormat="0" applyBorder="0" applyAlignment="0" applyProtection="0"/>
    <xf numFmtId="0" fontId="24" fillId="66" borderId="0" applyNumberFormat="0" applyBorder="0" applyAlignment="0" applyProtection="0"/>
    <xf numFmtId="0" fontId="24" fillId="67" borderId="0" applyNumberFormat="0" applyBorder="0" applyAlignment="0" applyProtection="0"/>
    <xf numFmtId="0" fontId="24" fillId="67" borderId="0" applyNumberFormat="0" applyBorder="0" applyAlignment="0" applyProtection="0"/>
    <xf numFmtId="0" fontId="24" fillId="68" borderId="0" applyNumberFormat="0" applyBorder="0" applyAlignment="0" applyProtection="0"/>
    <xf numFmtId="0" fontId="24" fillId="68" borderId="0" applyNumberFormat="0" applyBorder="0" applyAlignment="0" applyProtection="0"/>
    <xf numFmtId="0" fontId="24" fillId="69" borderId="0" applyNumberFormat="0" applyBorder="0" applyAlignment="0" applyProtection="0"/>
    <xf numFmtId="0" fontId="24" fillId="69" borderId="0" applyNumberFormat="0" applyBorder="0" applyAlignment="0" applyProtection="0"/>
    <xf numFmtId="166" fontId="24" fillId="0" borderId="0" applyFont="0" applyFill="0" applyBorder="0" applyAlignment="0" applyProtection="0"/>
    <xf numFmtId="166"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70" borderId="66" applyNumberFormat="0" applyFont="0" applyAlignment="0" applyProtection="0"/>
    <xf numFmtId="9" fontId="24" fillId="0" borderId="0" applyFont="0" applyFill="0" applyBorder="0" applyAlignment="0" applyProtection="0"/>
    <xf numFmtId="166" fontId="32" fillId="0" borderId="0" applyFont="0" applyFill="0" applyBorder="0" applyAlignment="0" applyProtection="0"/>
    <xf numFmtId="0" fontId="23" fillId="0" borderId="0"/>
    <xf numFmtId="166" fontId="23" fillId="0" borderId="0" applyFont="0" applyFill="0" applyBorder="0" applyAlignment="0" applyProtection="0"/>
    <xf numFmtId="0" fontId="270" fillId="0" borderId="0"/>
    <xf numFmtId="0" fontId="102" fillId="0" borderId="12" applyNumberFormat="0" applyFont="0" applyFill="0" applyAlignment="0" applyProtection="0"/>
    <xf numFmtId="0" fontId="102" fillId="0" borderId="12" applyNumberFormat="0" applyFont="0" applyFill="0" applyAlignment="0" applyProtection="0"/>
    <xf numFmtId="0" fontId="93" fillId="0" borderId="24" applyNumberFormat="0" applyAlignment="0" applyProtection="0"/>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93" fillId="0" borderId="24" applyNumberFormat="0" applyAlignment="0" applyProtection="0"/>
    <xf numFmtId="0" fontId="169" fillId="0" borderId="28">
      <alignment horizontal="centerContinuous"/>
    </xf>
    <xf numFmtId="0" fontId="169" fillId="0" borderId="28">
      <protection locked="0"/>
    </xf>
    <xf numFmtId="0" fontId="22" fillId="58" borderId="0" applyNumberFormat="0" applyBorder="0" applyAlignment="0" applyProtection="0"/>
    <xf numFmtId="0" fontId="22" fillId="58" borderId="0" applyNumberFormat="0" applyBorder="0" applyAlignment="0" applyProtection="0"/>
    <xf numFmtId="0" fontId="22" fillId="59" borderId="0" applyNumberFormat="0" applyBorder="0" applyAlignment="0" applyProtection="0"/>
    <xf numFmtId="0" fontId="22" fillId="59" borderId="0" applyNumberFormat="0" applyBorder="0" applyAlignment="0" applyProtection="0"/>
    <xf numFmtId="0" fontId="22" fillId="60" borderId="0" applyNumberFormat="0" applyBorder="0" applyAlignment="0" applyProtection="0"/>
    <xf numFmtId="0" fontId="22" fillId="60" borderId="0" applyNumberFormat="0" applyBorder="0" applyAlignment="0" applyProtection="0"/>
    <xf numFmtId="0" fontId="22" fillId="61" borderId="0" applyNumberFormat="0" applyBorder="0" applyAlignment="0" applyProtection="0"/>
    <xf numFmtId="0" fontId="22" fillId="61" borderId="0" applyNumberFormat="0" applyBorder="0" applyAlignment="0" applyProtection="0"/>
    <xf numFmtId="0" fontId="22" fillId="62" borderId="0" applyNumberFormat="0" applyBorder="0" applyAlignment="0" applyProtection="0"/>
    <xf numFmtId="0" fontId="22" fillId="62" borderId="0" applyNumberFormat="0" applyBorder="0" applyAlignment="0" applyProtection="0"/>
    <xf numFmtId="0" fontId="22" fillId="63" borderId="0" applyNumberFormat="0" applyBorder="0" applyAlignment="0" applyProtection="0"/>
    <xf numFmtId="0" fontId="22" fillId="63" borderId="0" applyNumberFormat="0" applyBorder="0" applyAlignment="0" applyProtection="0"/>
    <xf numFmtId="0" fontId="22" fillId="64" borderId="0" applyNumberFormat="0" applyBorder="0" applyAlignment="0" applyProtection="0"/>
    <xf numFmtId="0" fontId="22" fillId="64" borderId="0" applyNumberFormat="0" applyBorder="0" applyAlignment="0" applyProtection="0"/>
    <xf numFmtId="0" fontId="22" fillId="65" borderId="0" applyNumberFormat="0" applyBorder="0" applyAlignment="0" applyProtection="0"/>
    <xf numFmtId="0" fontId="22" fillId="65" borderId="0" applyNumberFormat="0" applyBorder="0" applyAlignment="0" applyProtection="0"/>
    <xf numFmtId="0" fontId="22" fillId="66" borderId="0" applyNumberFormat="0" applyBorder="0" applyAlignment="0" applyProtection="0"/>
    <xf numFmtId="0" fontId="22" fillId="66"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166" fontId="22" fillId="0" borderId="0" applyFont="0" applyFill="0" applyBorder="0" applyAlignment="0" applyProtection="0"/>
    <xf numFmtId="16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70" borderId="66" applyNumberFormat="0" applyFont="0" applyAlignment="0" applyProtection="0"/>
    <xf numFmtId="9" fontId="22" fillId="0" borderId="0" applyFont="0" applyFill="0" applyBorder="0" applyAlignment="0" applyProtection="0"/>
    <xf numFmtId="0" fontId="175" fillId="32" borderId="11" applyBorder="0" applyProtection="0">
      <alignment horizontal="centerContinuous" vertical="center"/>
    </xf>
    <xf numFmtId="253" fontId="93" fillId="0" borderId="11" applyBorder="0" applyProtection="0">
      <alignment horizontal="right" vertical="center"/>
    </xf>
    <xf numFmtId="253" fontId="93" fillId="0" borderId="11" applyBorder="0" applyProtection="0">
      <alignment horizontal="right" vertical="center"/>
    </xf>
    <xf numFmtId="0" fontId="82" fillId="0" borderId="11" applyNumberFormat="0" applyFill="0" applyProtection="0"/>
    <xf numFmtId="0" fontId="124" fillId="0" borderId="11"/>
    <xf numFmtId="0" fontId="102" fillId="0" borderId="12" applyNumberFormat="0" applyFont="0" applyFill="0" applyAlignment="0" applyProtection="0"/>
    <xf numFmtId="0" fontId="102" fillId="0" borderId="12" applyNumberFormat="0" applyFont="0" applyFill="0" applyAlignment="0" applyProtection="0"/>
    <xf numFmtId="0" fontId="93" fillId="0" borderId="24" applyNumberFormat="0" applyAlignment="0" applyProtection="0"/>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26" fillId="0" borderId="11" applyNumberFormat="0" applyFill="0" applyAlignment="0" applyProtection="0"/>
    <xf numFmtId="0" fontId="93" fillId="0" borderId="24" applyNumberFormat="0" applyAlignment="0" applyProtection="0"/>
    <xf numFmtId="0" fontId="169" fillId="0" borderId="28">
      <alignment horizontal="centerContinuous"/>
    </xf>
    <xf numFmtId="0" fontId="169" fillId="0" borderId="28">
      <protection locked="0"/>
    </xf>
    <xf numFmtId="0" fontId="102" fillId="0" borderId="12" applyNumberFormat="0" applyFont="0" applyFill="0" applyAlignment="0" applyProtection="0"/>
    <xf numFmtId="0" fontId="102" fillId="0" borderId="12" applyNumberFormat="0" applyFont="0" applyFill="0" applyAlignment="0" applyProtection="0"/>
    <xf numFmtId="0" fontId="93" fillId="0" borderId="24" applyNumberFormat="0" applyAlignment="0" applyProtection="0"/>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protection locked="0"/>
    </xf>
    <xf numFmtId="0" fontId="169" fillId="0" borderId="28">
      <alignment horizontal="centerContinuous"/>
    </xf>
    <xf numFmtId="0" fontId="169" fillId="0" borderId="28">
      <alignment horizontal="centerContinuous"/>
    </xf>
    <xf numFmtId="0" fontId="169" fillId="0" borderId="28">
      <alignment horizontal="centerContinuous"/>
    </xf>
    <xf numFmtId="0" fontId="169" fillId="0" borderId="28">
      <alignment horizontal="centerContinuous"/>
    </xf>
    <xf numFmtId="0" fontId="93" fillId="0" borderId="24" applyNumberFormat="0" applyAlignment="0" applyProtection="0"/>
    <xf numFmtId="0" fontId="169" fillId="0" borderId="28">
      <alignment horizontal="centerContinuous"/>
    </xf>
    <xf numFmtId="0" fontId="169" fillId="0" borderId="28">
      <protection locked="0"/>
    </xf>
    <xf numFmtId="0" fontId="22" fillId="58" borderId="0" applyNumberFormat="0" applyBorder="0" applyAlignment="0" applyProtection="0"/>
    <xf numFmtId="0" fontId="22" fillId="58" borderId="0" applyNumberFormat="0" applyBorder="0" applyAlignment="0" applyProtection="0"/>
    <xf numFmtId="0" fontId="22" fillId="59" borderId="0" applyNumberFormat="0" applyBorder="0" applyAlignment="0" applyProtection="0"/>
    <xf numFmtId="0" fontId="22" fillId="59" borderId="0" applyNumberFormat="0" applyBorder="0" applyAlignment="0" applyProtection="0"/>
    <xf numFmtId="0" fontId="22" fillId="60" borderId="0" applyNumberFormat="0" applyBorder="0" applyAlignment="0" applyProtection="0"/>
    <xf numFmtId="0" fontId="22" fillId="60" borderId="0" applyNumberFormat="0" applyBorder="0" applyAlignment="0" applyProtection="0"/>
    <xf numFmtId="0" fontId="22" fillId="61" borderId="0" applyNumberFormat="0" applyBorder="0" applyAlignment="0" applyProtection="0"/>
    <xf numFmtId="0" fontId="22" fillId="61" borderId="0" applyNumberFormat="0" applyBorder="0" applyAlignment="0" applyProtection="0"/>
    <xf numFmtId="0" fontId="22" fillId="62" borderId="0" applyNumberFormat="0" applyBorder="0" applyAlignment="0" applyProtection="0"/>
    <xf numFmtId="0" fontId="22" fillId="62" borderId="0" applyNumberFormat="0" applyBorder="0" applyAlignment="0" applyProtection="0"/>
    <xf numFmtId="0" fontId="22" fillId="63" borderId="0" applyNumberFormat="0" applyBorder="0" applyAlignment="0" applyProtection="0"/>
    <xf numFmtId="0" fontId="22" fillId="63" borderId="0" applyNumberFormat="0" applyBorder="0" applyAlignment="0" applyProtection="0"/>
    <xf numFmtId="0" fontId="22" fillId="64" borderId="0" applyNumberFormat="0" applyBorder="0" applyAlignment="0" applyProtection="0"/>
    <xf numFmtId="0" fontId="22" fillId="64" borderId="0" applyNumberFormat="0" applyBorder="0" applyAlignment="0" applyProtection="0"/>
    <xf numFmtId="0" fontId="22" fillId="65" borderId="0" applyNumberFormat="0" applyBorder="0" applyAlignment="0" applyProtection="0"/>
    <xf numFmtId="0" fontId="22" fillId="65" borderId="0" applyNumberFormat="0" applyBorder="0" applyAlignment="0" applyProtection="0"/>
    <xf numFmtId="0" fontId="22" fillId="66" borderId="0" applyNumberFormat="0" applyBorder="0" applyAlignment="0" applyProtection="0"/>
    <xf numFmtId="0" fontId="22" fillId="66" borderId="0" applyNumberFormat="0" applyBorder="0" applyAlignment="0" applyProtection="0"/>
    <xf numFmtId="0" fontId="22" fillId="67" borderId="0" applyNumberFormat="0" applyBorder="0" applyAlignment="0" applyProtection="0"/>
    <xf numFmtId="0" fontId="22" fillId="67" borderId="0" applyNumberFormat="0" applyBorder="0" applyAlignment="0" applyProtection="0"/>
    <xf numFmtId="0" fontId="22" fillId="68" borderId="0" applyNumberFormat="0" applyBorder="0" applyAlignment="0" applyProtection="0"/>
    <xf numFmtId="0" fontId="22" fillId="68" borderId="0" applyNumberFormat="0" applyBorder="0" applyAlignment="0" applyProtection="0"/>
    <xf numFmtId="0" fontId="22" fillId="69" borderId="0" applyNumberFormat="0" applyBorder="0" applyAlignment="0" applyProtection="0"/>
    <xf numFmtId="0" fontId="22" fillId="69" borderId="0" applyNumberFormat="0" applyBorder="0" applyAlignment="0" applyProtection="0"/>
    <xf numFmtId="166" fontId="22" fillId="0" borderId="0" applyFont="0" applyFill="0" applyBorder="0" applyAlignment="0" applyProtection="0"/>
    <xf numFmtId="16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70" borderId="66" applyNumberFormat="0" applyFont="0" applyAlignment="0" applyProtection="0"/>
    <xf numFmtId="9" fontId="22" fillId="0" borderId="0" applyFont="0" applyFill="0" applyBorder="0" applyAlignment="0" applyProtection="0"/>
    <xf numFmtId="0" fontId="22" fillId="0" borderId="0"/>
    <xf numFmtId="166" fontId="22" fillId="0" borderId="0" applyFont="0" applyFill="0" applyBorder="0" applyAlignment="0" applyProtection="0"/>
    <xf numFmtId="9" fontId="195" fillId="0" borderId="0" applyFont="0" applyFill="0" applyBorder="0" applyAlignment="0" applyProtection="0"/>
    <xf numFmtId="44" fontId="195" fillId="0" borderId="0" applyFont="0" applyFill="0" applyBorder="0" applyAlignment="0" applyProtection="0"/>
    <xf numFmtId="0" fontId="270" fillId="0" borderId="0"/>
    <xf numFmtId="284" fontId="271" fillId="0" borderId="0"/>
    <xf numFmtId="8" fontId="272" fillId="0" borderId="0"/>
    <xf numFmtId="173" fontId="30" fillId="0" borderId="0"/>
    <xf numFmtId="0" fontId="273" fillId="0" borderId="0"/>
    <xf numFmtId="37" fontId="270" fillId="0" borderId="0"/>
    <xf numFmtId="285" fontId="270" fillId="0" borderId="0"/>
    <xf numFmtId="0" fontId="62" fillId="0" borderId="0" applyNumberFormat="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3" fontId="30" fillId="0" borderId="0"/>
    <xf numFmtId="228"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63"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63"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63"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86" fontId="220" fillId="0" borderId="0" applyFont="0" applyFill="0" applyBorder="0" applyAlignment="0" applyProtection="0"/>
    <xf numFmtId="229" fontId="32" fillId="0" borderId="0" applyFont="0" applyFill="0" applyBorder="0" applyAlignment="0" applyProtection="0"/>
    <xf numFmtId="228" fontId="32" fillId="0" borderId="0" applyFont="0" applyFill="0" applyBorder="0" applyAlignment="0" applyProtection="0"/>
    <xf numFmtId="207" fontId="32" fillId="0" borderId="0" applyFont="0" applyFill="0" applyBorder="0" applyAlignment="0" applyProtection="0"/>
    <xf numFmtId="228" fontId="32" fillId="0" borderId="0" applyFont="0" applyFill="0" applyBorder="0" applyAlignment="0" applyProtection="0"/>
    <xf numFmtId="263"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177"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177"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87" fontId="30" fillId="0" borderId="0"/>
    <xf numFmtId="0" fontId="30" fillId="0" borderId="0"/>
    <xf numFmtId="0" fontId="30" fillId="0" borderId="0"/>
    <xf numFmtId="0" fontId="30" fillId="0" borderId="0"/>
    <xf numFmtId="0" fontId="30" fillId="0" borderId="0"/>
    <xf numFmtId="287" fontId="30" fillId="0" borderId="0"/>
    <xf numFmtId="0" fontId="30" fillId="0" borderId="0"/>
    <xf numFmtId="0" fontId="30" fillId="0" borderId="0"/>
    <xf numFmtId="0" fontId="32" fillId="0" borderId="0" applyFont="0" applyFill="0" applyBorder="0" applyAlignment="0" applyProtection="0"/>
    <xf numFmtId="0" fontId="32" fillId="0" borderId="0" applyFont="0" applyFill="0" applyBorder="0" applyAlignment="0" applyProtection="0"/>
    <xf numFmtId="0" fontId="270" fillId="0" borderId="0"/>
    <xf numFmtId="0" fontId="270" fillId="0" borderId="0"/>
    <xf numFmtId="0" fontId="270" fillId="0" borderId="0"/>
    <xf numFmtId="0" fontId="270" fillId="0" borderId="0"/>
    <xf numFmtId="0" fontId="32" fillId="0" borderId="0" applyFont="0" applyFill="0" applyBorder="0" applyAlignment="0" applyProtection="0"/>
    <xf numFmtId="0" fontId="270" fillId="0" borderId="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32"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13" fontId="32" fillId="0" borderId="0" applyFont="0" applyFill="0" applyBorder="0" applyAlignment="0" applyProtection="0"/>
    <xf numFmtId="232"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8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13"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13"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13"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5" fontId="220" fillId="0" borderId="0" applyFont="0" applyFill="0" applyBorder="0" applyAlignment="0" applyProtection="0"/>
    <xf numFmtId="233"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2" fontId="32" fillId="0" borderId="0" applyFont="0" applyFill="0" applyBorder="0" applyAlignment="0" applyProtection="0"/>
    <xf numFmtId="208"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234"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34" fontId="32" fillId="0" borderId="0" applyFont="0" applyFill="0" applyBorder="0" applyAlignment="0" applyProtection="0"/>
    <xf numFmtId="173"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89" fontId="32" fillId="0" borderId="0" applyFont="0" applyFill="0" applyBorder="0" applyProtection="0">
      <alignment horizontal="right"/>
    </xf>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5" fontId="32" fillId="0" borderId="0" applyFont="0" applyFill="0" applyBorder="0" applyProtection="0">
      <alignment horizontal="right"/>
    </xf>
    <xf numFmtId="235" fontId="32" fillId="0" borderId="0" applyFont="0" applyFill="0" applyBorder="0" applyProtection="0">
      <alignment horizontal="right"/>
    </xf>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173"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235" fontId="32" fillId="0" borderId="0" applyFont="0" applyFill="0" applyBorder="0" applyProtection="0">
      <alignment horizontal="right"/>
    </xf>
    <xf numFmtId="235" fontId="32" fillId="0" borderId="0" applyFont="0" applyFill="0" applyBorder="0" applyProtection="0">
      <alignment horizontal="right"/>
    </xf>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173"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173"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169" fontId="220" fillId="0" borderId="0" applyFont="0" applyFill="0" applyBorder="0" applyAlignment="0" applyProtection="0"/>
    <xf numFmtId="235" fontId="32" fillId="0" borderId="0" applyFont="0" applyFill="0" applyBorder="0" applyProtection="0">
      <alignment horizontal="right"/>
    </xf>
    <xf numFmtId="234" fontId="32" fillId="0" borderId="0" applyFont="0" applyFill="0" applyBorder="0" applyAlignment="0" applyProtection="0"/>
    <xf numFmtId="209" fontId="32" fillId="0" borderId="0" applyFont="0" applyFill="0" applyBorder="0" applyAlignment="0" applyProtection="0"/>
    <xf numFmtId="234" fontId="32" fillId="0" borderId="0" applyFont="0" applyFill="0" applyBorder="0" applyAlignment="0" applyProtection="0"/>
    <xf numFmtId="209"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171"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171"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171"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90" fontId="220" fillId="0" borderId="0" applyFont="0" applyFill="0" applyBorder="0" applyAlignment="0" applyProtection="0"/>
    <xf numFmtId="236" fontId="32" fillId="0" borderId="0" applyFont="0" applyFill="0" applyBorder="0" applyAlignment="0" applyProtection="0"/>
    <xf numFmtId="210" fontId="32" fillId="0" borderId="0" applyFont="0" applyFill="0" applyBorder="0" applyAlignment="0" applyProtection="0"/>
    <xf numFmtId="210"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186"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186"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186"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176" fontId="220" fillId="0" borderId="0" applyFont="0" applyFill="0" applyBorder="0" applyAlignment="0" applyProtection="0"/>
    <xf numFmtId="218" fontId="32" fillId="0" borderId="0" applyFont="0" applyFill="0" applyBorder="0" applyAlignment="0" applyProtection="0"/>
    <xf numFmtId="211" fontId="32" fillId="0" borderId="0" applyFont="0" applyFill="0" applyBorder="0" applyAlignment="0" applyProtection="0"/>
    <xf numFmtId="211" fontId="32" fillId="0" borderId="0" applyFon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32" fillId="0" borderId="0" applyNumberFormat="0" applyFill="0" applyBorder="0" applyAlignment="0" applyProtection="0"/>
    <xf numFmtId="0" fontId="98" fillId="0" borderId="0" applyNumberFormat="0" applyFill="0" applyBorder="0" applyProtection="0">
      <alignment vertical="top"/>
    </xf>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32" fillId="0" borderId="0" applyNumberFormat="0" applyFill="0" applyBorder="0" applyAlignment="0" applyProtection="0"/>
    <xf numFmtId="0" fontId="99" fillId="0" borderId="1" applyNumberFormat="0" applyFill="0" applyAlignment="0" applyProtection="0"/>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32" fillId="0" borderId="2" applyNumberFormat="0" applyFill="0" applyProtection="0">
      <alignment horizontal="center"/>
    </xf>
    <xf numFmtId="0" fontId="32" fillId="0" borderId="2" applyNumberFormat="0" applyFill="0" applyProtection="0">
      <alignment horizontal="center"/>
    </xf>
    <xf numFmtId="0" fontId="32" fillId="0" borderId="2" applyNumberFormat="0" applyFill="0" applyProtection="0">
      <alignment horizontal="center"/>
    </xf>
    <xf numFmtId="0" fontId="32"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0" fontId="32" fillId="0" borderId="28" applyNumberFormat="0" applyFont="0" applyFill="0" applyAlignment="0" applyProtection="0"/>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32" fillId="0" borderId="0" applyNumberFormat="0" applyFill="0" applyBorder="0" applyProtection="0">
      <alignment horizontal="left"/>
    </xf>
    <xf numFmtId="0" fontId="32" fillId="0" borderId="0" applyNumberFormat="0" applyFill="0" applyBorder="0" applyProtection="0">
      <alignment horizontal="left"/>
    </xf>
    <xf numFmtId="0" fontId="32" fillId="0" borderId="0" applyNumberFormat="0" applyFill="0" applyBorder="0" applyProtection="0">
      <alignment horizontal="left"/>
    </xf>
    <xf numFmtId="0" fontId="32"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32" fillId="0" borderId="0" applyNumberFormat="0" applyFill="0" applyBorder="0" applyProtection="0">
      <alignment horizontal="left"/>
    </xf>
    <xf numFmtId="0" fontId="59" fillId="0" borderId="0" applyNumberFormat="0" applyFill="0" applyBorder="0" applyProtection="0">
      <alignment horizontal="left"/>
    </xf>
    <xf numFmtId="0" fontId="59" fillId="0" borderId="0" applyNumberFormat="0" applyFill="0" applyBorder="0" applyProtection="0">
      <alignment horizontal="left"/>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32" fillId="0" borderId="0" applyNumberFormat="0" applyFill="0" applyBorder="0" applyProtection="0">
      <alignment horizontal="centerContinuous"/>
    </xf>
    <xf numFmtId="0" fontId="32" fillId="0" borderId="0" applyNumberFormat="0" applyFill="0" applyBorder="0" applyProtection="0">
      <alignment horizontal="centerContinuous"/>
    </xf>
    <xf numFmtId="0" fontId="32" fillId="0" borderId="0" applyNumberFormat="0" applyFill="0" applyBorder="0" applyProtection="0">
      <alignment horizontal="centerContinuous"/>
    </xf>
    <xf numFmtId="0" fontId="32"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32" fillId="0" borderId="0" applyNumberFormat="0" applyFill="0" applyBorder="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99" fillId="0" borderId="0" applyNumberFormat="0" applyFill="0" applyBorder="0" applyAlignment="0" applyProtection="0"/>
    <xf numFmtId="2" fontId="28" fillId="0" borderId="0"/>
    <xf numFmtId="284" fontId="271" fillId="0" borderId="0"/>
    <xf numFmtId="173" fontId="56" fillId="0" borderId="0" applyFont="0" applyFill="0" applyBorder="0" applyAlignment="0" applyProtection="0"/>
    <xf numFmtId="3" fontId="270" fillId="0" borderId="0"/>
    <xf numFmtId="291" fontId="32" fillId="0" borderId="0" applyBorder="0"/>
    <xf numFmtId="39" fontId="110" fillId="0" borderId="0" applyFont="0" applyFill="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62" borderId="0" applyNumberFormat="0" applyBorder="0" applyAlignment="0" applyProtection="0"/>
    <xf numFmtId="0" fontId="21" fillId="63" borderId="0" applyNumberFormat="0" applyBorder="0" applyAlignment="0" applyProtection="0"/>
    <xf numFmtId="186" fontId="110" fillId="0" borderId="0" applyFont="0" applyFill="0" applyBorder="0" applyAlignment="0" applyProtection="0"/>
    <xf numFmtId="0" fontId="21" fillId="64" borderId="0" applyNumberFormat="0" applyBorder="0" applyAlignment="0" applyProtection="0"/>
    <xf numFmtId="0" fontId="21" fillId="65" borderId="0" applyNumberFormat="0" applyBorder="0" applyAlignment="0" applyProtection="0"/>
    <xf numFmtId="0" fontId="21" fillId="66" borderId="0" applyNumberFormat="0" applyBorder="0" applyAlignment="0" applyProtection="0"/>
    <xf numFmtId="0" fontId="21" fillId="67" borderId="0" applyNumberFormat="0" applyBorder="0" applyAlignment="0" applyProtection="0"/>
    <xf numFmtId="0" fontId="21" fillId="68" borderId="0" applyNumberFormat="0" applyBorder="0" applyAlignment="0" applyProtection="0"/>
    <xf numFmtId="0" fontId="21" fillId="69" borderId="0" applyNumberFormat="0" applyBorder="0" applyAlignment="0" applyProtection="0"/>
    <xf numFmtId="0" fontId="274" fillId="0" borderId="0" applyNumberFormat="0" applyProtection="0"/>
    <xf numFmtId="3" fontId="52" fillId="0" borderId="0" applyFont="0" applyBorder="0" applyAlignment="0" applyProtection="0"/>
    <xf numFmtId="292" fontId="275" fillId="0" borderId="9" applyNumberFormat="0" applyFill="0" applyAlignment="0" applyProtection="0">
      <alignment horizontal="center"/>
    </xf>
    <xf numFmtId="293" fontId="275" fillId="0" borderId="11" applyFill="0" applyAlignment="0" applyProtection="0">
      <alignment horizontal="center"/>
    </xf>
    <xf numFmtId="173" fontId="102" fillId="0" borderId="0" applyFill="0" applyBorder="0" applyProtection="0"/>
    <xf numFmtId="0" fontId="82" fillId="0" borderId="0" applyProtection="0"/>
    <xf numFmtId="0" fontId="35" fillId="0" borderId="0" applyNumberFormat="0" applyFill="0" applyBorder="0" applyAlignment="0" applyProtection="0"/>
    <xf numFmtId="0" fontId="38" fillId="0" borderId="0" applyNumberFormat="0" applyFill="0" applyBorder="0" applyAlignment="0" applyProtection="0"/>
    <xf numFmtId="0" fontId="28" fillId="0" borderId="0">
      <alignment horizontal="center" wrapText="1"/>
      <protection hidden="1"/>
    </xf>
    <xf numFmtId="292" fontId="82" fillId="0" borderId="0" applyFill="0" applyBorder="0" applyProtection="0">
      <alignment horizontal="center"/>
    </xf>
    <xf numFmtId="38" fontId="28" fillId="0" borderId="0" applyFont="0" applyFill="0" applyBorder="0" applyAlignment="0" applyProtection="0"/>
    <xf numFmtId="294" fontId="276" fillId="0" borderId="0" applyFont="0" applyFill="0" applyBorder="0" applyAlignment="0" applyProtection="0"/>
    <xf numFmtId="247" fontId="93" fillId="0" borderId="0" applyFont="0" applyFill="0" applyBorder="0" applyAlignment="0" applyProtection="0">
      <alignment horizontal="right"/>
    </xf>
    <xf numFmtId="166" fontId="21" fillId="0" borderId="0" applyFont="0" applyFill="0" applyBorder="0" applyAlignment="0" applyProtection="0"/>
    <xf numFmtId="166" fontId="21" fillId="0" borderId="0" applyFont="0" applyFill="0" applyBorder="0" applyAlignment="0" applyProtection="0"/>
    <xf numFmtId="0" fontId="277" fillId="73" borderId="0">
      <alignment horizontal="center" vertical="center" wrapText="1"/>
    </xf>
    <xf numFmtId="0" fontId="278" fillId="0" borderId="0">
      <alignment horizontal="left"/>
    </xf>
    <xf numFmtId="0" fontId="279" fillId="0" borderId="0"/>
    <xf numFmtId="0" fontId="280" fillId="0" borderId="0">
      <alignment horizontal="left"/>
    </xf>
    <xf numFmtId="0" fontId="28" fillId="0" borderId="0" applyFill="0" applyBorder="0">
      <alignment horizontal="right"/>
      <protection locked="0"/>
    </xf>
    <xf numFmtId="173" fontId="30" fillId="0" borderId="0"/>
    <xf numFmtId="295" fontId="276" fillId="0" borderId="0" applyFill="0" applyBorder="0" applyProtection="0">
      <alignment vertical="center"/>
    </xf>
    <xf numFmtId="175" fontId="276" fillId="0" borderId="0" applyNumberFormat="0">
      <alignment horizontal="right"/>
    </xf>
    <xf numFmtId="14" fontId="139" fillId="0" borderId="0" applyFill="0" applyBorder="0" applyProtection="0">
      <alignment horizontal="center"/>
    </xf>
    <xf numFmtId="252" fontId="139" fillId="0" borderId="0" applyFill="0" applyBorder="0" applyProtection="0">
      <alignment horizontal="center"/>
    </xf>
    <xf numFmtId="296" fontId="139" fillId="0" borderId="0" applyFill="0" applyBorder="0" applyProtection="0"/>
    <xf numFmtId="6" fontId="102" fillId="0" borderId="0" applyFill="0" applyBorder="0" applyProtection="0"/>
    <xf numFmtId="292" fontId="275" fillId="0" borderId="78" applyNumberFormat="0" applyFill="0" applyAlignment="0" applyProtection="0"/>
    <xf numFmtId="9" fontId="281" fillId="0" borderId="6" applyNumberFormat="0" applyBorder="0" applyAlignment="0">
      <protection locked="0"/>
    </xf>
    <xf numFmtId="297" fontId="282" fillId="0" borderId="0"/>
    <xf numFmtId="298" fontId="180" fillId="0" borderId="0">
      <alignment horizontal="right" vertical="top"/>
    </xf>
    <xf numFmtId="299" fontId="69" fillId="0" borderId="0">
      <alignment horizontal="right" vertical="top"/>
    </xf>
    <xf numFmtId="299" fontId="180" fillId="0" borderId="0">
      <alignment horizontal="right" vertical="top"/>
    </xf>
    <xf numFmtId="300" fontId="69" fillId="0" borderId="0" applyFill="0" applyBorder="0">
      <alignment horizontal="right" vertical="top"/>
    </xf>
    <xf numFmtId="301" fontId="69" fillId="0" borderId="0" applyFill="0" applyBorder="0">
      <alignment horizontal="right" vertical="top"/>
    </xf>
    <xf numFmtId="302" fontId="69" fillId="0" borderId="0" applyFill="0" applyBorder="0">
      <alignment horizontal="right" vertical="top"/>
    </xf>
    <xf numFmtId="303" fontId="69" fillId="0" borderId="0" applyFill="0" applyBorder="0">
      <alignment horizontal="right" vertical="top"/>
    </xf>
    <xf numFmtId="0" fontId="283" fillId="0" borderId="0">
      <alignment horizontal="center" wrapText="1"/>
    </xf>
    <xf numFmtId="304" fontId="82" fillId="0" borderId="0" applyFill="0" applyBorder="0">
      <alignment vertical="top"/>
    </xf>
    <xf numFmtId="304" fontId="85" fillId="0" borderId="0" applyFill="0" applyBorder="0" applyProtection="0">
      <alignment vertical="top"/>
    </xf>
    <xf numFmtId="304" fontId="284" fillId="0" borderId="0">
      <alignment vertical="top"/>
    </xf>
    <xf numFmtId="165" fontId="69" fillId="0" borderId="0" applyFill="0" applyBorder="0" applyAlignment="0" applyProtection="0">
      <alignment horizontal="right" vertical="top"/>
    </xf>
    <xf numFmtId="304" fontId="285" fillId="0" borderId="0"/>
    <xf numFmtId="0" fontId="69" fillId="0" borderId="0" applyFill="0" applyBorder="0">
      <alignment horizontal="left" vertical="top"/>
    </xf>
    <xf numFmtId="0" fontId="286" fillId="0" borderId="0">
      <alignment horizontal="left"/>
    </xf>
    <xf numFmtId="0" fontId="287" fillId="0" borderId="0">
      <alignment horizontal="left"/>
    </xf>
    <xf numFmtId="0" fontId="143" fillId="0" borderId="0" applyNumberFormat="0" applyFill="0" applyBorder="0" applyProtection="0">
      <alignment horizontal="left"/>
    </xf>
    <xf numFmtId="0" fontId="143" fillId="0" borderId="0" applyFill="0" applyBorder="0" applyProtection="0">
      <alignment vertical="center"/>
    </xf>
    <xf numFmtId="0" fontId="49" fillId="0" borderId="0" applyNumberFormat="0" applyFill="0" applyBorder="0" applyAlignment="0" applyProtection="0"/>
    <xf numFmtId="258" fontId="102" fillId="0" borderId="0" applyFill="0" applyBorder="0" applyAlignment="0" applyProtection="0">
      <alignment horizontal="right"/>
    </xf>
    <xf numFmtId="0" fontId="288" fillId="0" borderId="0">
      <alignment horizontal="left"/>
    </xf>
    <xf numFmtId="0" fontId="289" fillId="0" borderId="0">
      <alignment horizontal="right"/>
    </xf>
    <xf numFmtId="0" fontId="290" fillId="0" borderId="0">
      <alignment horizontal="center"/>
    </xf>
    <xf numFmtId="0" fontId="291" fillId="74" borderId="6">
      <alignment horizontal="centerContinuous"/>
    </xf>
    <xf numFmtId="0" fontId="292" fillId="0" borderId="0">
      <alignment horizontal="left"/>
    </xf>
    <xf numFmtId="0" fontId="293" fillId="0" borderId="31">
      <alignment horizontal="left" vertical="top"/>
    </xf>
    <xf numFmtId="0" fontId="92" fillId="0" borderId="0">
      <alignment horizontal="left"/>
    </xf>
    <xf numFmtId="0" fontId="294" fillId="0" borderId="31">
      <alignment horizontal="left" vertical="top"/>
    </xf>
    <xf numFmtId="0" fontId="147" fillId="0" borderId="0">
      <alignment horizontal="left"/>
    </xf>
    <xf numFmtId="176" fontId="221" fillId="0" borderId="0" applyNumberFormat="0" applyFont="0" applyFill="0" applyBorder="0" applyAlignment="0">
      <alignment horizontal="left"/>
    </xf>
    <xf numFmtId="0" fontId="220" fillId="0" borderId="11" applyFill="0" applyBorder="0" applyProtection="0">
      <alignment horizontal="center" wrapText="1"/>
    </xf>
    <xf numFmtId="0" fontId="220" fillId="0" borderId="0" applyFill="0" applyBorder="0" applyProtection="0">
      <alignment horizontal="left" vertical="top" wrapText="1"/>
    </xf>
    <xf numFmtId="305" fontId="223" fillId="0" borderId="0" applyFill="0" applyBorder="0" applyProtection="0"/>
    <xf numFmtId="306" fontId="223" fillId="0" borderId="0" applyFill="0" applyBorder="0" applyProtection="0"/>
    <xf numFmtId="307" fontId="223" fillId="0" borderId="0" applyFill="0" applyBorder="0" applyProtection="0"/>
    <xf numFmtId="308" fontId="223" fillId="0" borderId="0" applyFill="0" applyBorder="0" applyProtection="0"/>
    <xf numFmtId="309" fontId="223" fillId="0" borderId="0" applyFill="0" applyBorder="0" applyProtection="0"/>
    <xf numFmtId="310" fontId="295" fillId="0" borderId="0" applyFill="0" applyBorder="0" applyProtection="0">
      <alignment vertical="center"/>
    </xf>
    <xf numFmtId="295" fontId="295" fillId="0" borderId="0" applyFill="0" applyBorder="0" applyProtection="0">
      <alignment vertical="center"/>
    </xf>
    <xf numFmtId="311" fontId="295" fillId="0" borderId="0" applyFill="0" applyBorder="0" applyProtection="0">
      <alignment vertical="center"/>
    </xf>
    <xf numFmtId="312" fontId="295" fillId="0" borderId="0" applyFill="0" applyBorder="0" applyProtection="0">
      <alignment vertical="center"/>
    </xf>
    <xf numFmtId="0" fontId="28" fillId="0" borderId="0" applyFill="0" applyBorder="0">
      <alignment horizontal="right"/>
      <protection locked="0"/>
    </xf>
    <xf numFmtId="0" fontId="28" fillId="0" borderId="0" applyFill="0" applyBorder="0">
      <alignment horizontal="right"/>
      <protection locked="0"/>
    </xf>
    <xf numFmtId="0" fontId="33" fillId="75" borderId="79">
      <alignment horizontal="left" vertical="center" wrapText="1"/>
    </xf>
    <xf numFmtId="177" fontId="32" fillId="0" borderId="0" applyFont="0" applyFill="0" applyBorder="0" applyAlignment="0" applyProtection="0"/>
    <xf numFmtId="0" fontId="102" fillId="0" borderId="0" applyFont="0" applyFill="0" applyBorder="0" applyAlignment="0" applyProtection="0">
      <alignment horizontal="right"/>
    </xf>
    <xf numFmtId="0" fontId="120" fillId="0" borderId="0" applyFill="0" applyBorder="0" applyAlignment="0" applyProtection="0">
      <alignment horizontal="right"/>
    </xf>
    <xf numFmtId="40" fontId="102" fillId="0" borderId="0" applyFill="0" applyBorder="0" applyAlignment="0" applyProtection="0">
      <alignment horizontal="left"/>
    </xf>
    <xf numFmtId="313" fontId="102" fillId="0" borderId="0" applyFill="0" applyBorder="0" applyAlignment="0" applyProtection="0">
      <alignment horizontal="left"/>
    </xf>
    <xf numFmtId="311" fontId="276" fillId="0" borderId="0" applyFill="0" applyBorder="0" applyProtection="0">
      <alignment vertical="center"/>
    </xf>
    <xf numFmtId="0" fontId="275" fillId="0" borderId="0" applyNumberFormat="0" applyFill="0" applyAlignment="0" applyProtection="0"/>
    <xf numFmtId="314" fontId="32" fillId="0" borderId="0" applyFont="0" applyFill="0" applyBorder="0" applyAlignment="0" applyProtection="0"/>
    <xf numFmtId="0" fontId="135" fillId="0" borderId="0"/>
    <xf numFmtId="0" fontId="21" fillId="0" borderId="0"/>
    <xf numFmtId="0" fontId="21" fillId="0" borderId="0"/>
    <xf numFmtId="0" fontId="21" fillId="0" borderId="0"/>
    <xf numFmtId="0" fontId="21" fillId="0" borderId="0"/>
    <xf numFmtId="315" fontId="276" fillId="0" borderId="0" applyFill="0" applyBorder="0" applyProtection="0">
      <alignment vertical="center"/>
    </xf>
    <xf numFmtId="0" fontId="92" fillId="0" borderId="0"/>
    <xf numFmtId="0" fontId="21" fillId="70" borderId="66" applyNumberFormat="0" applyFont="0" applyAlignment="0" applyProtection="0"/>
    <xf numFmtId="0" fontId="21" fillId="70" borderId="66" applyNumberFormat="0" applyFont="0" applyAlignment="0" applyProtection="0"/>
    <xf numFmtId="205" fontId="35" fillId="0" borderId="0" applyNumberFormat="0" applyFill="0" applyBorder="0" applyAlignment="0" applyProtection="0"/>
    <xf numFmtId="0" fontId="37" fillId="0" borderId="0" applyNumberFormat="0" applyFill="0" applyBorder="0" applyAlignment="0" applyProtection="0"/>
    <xf numFmtId="316" fontId="296" fillId="0" borderId="0" applyNumberFormat="0" applyFill="0" applyBorder="0" applyAlignment="0" applyProtection="0"/>
    <xf numFmtId="0" fontId="297" fillId="0" borderId="0" applyNumberFormat="0" applyFill="0" applyBorder="0" applyAlignment="0" applyProtection="0"/>
    <xf numFmtId="0" fontId="35" fillId="0" borderId="0" applyNumberFormat="0" applyFill="0" applyBorder="0" applyAlignment="0" applyProtection="0"/>
    <xf numFmtId="0" fontId="102" fillId="0" borderId="0" applyFont="0" applyFill="0" applyBorder="0" applyAlignment="0" applyProtection="0">
      <alignment horizontal="right"/>
    </xf>
    <xf numFmtId="9" fontId="102" fillId="0" borderId="0" applyFont="0" applyFill="0" applyBorder="0" applyAlignment="0" applyProtection="0">
      <alignment horizontal="right"/>
    </xf>
    <xf numFmtId="9" fontId="21" fillId="0" borderId="0" applyFont="0" applyFill="0" applyBorder="0" applyAlignment="0" applyProtection="0"/>
    <xf numFmtId="9" fontId="21" fillId="0" borderId="0" applyFont="0" applyFill="0" applyBorder="0" applyAlignment="0" applyProtection="0"/>
    <xf numFmtId="317" fontId="296" fillId="0" borderId="0"/>
    <xf numFmtId="0" fontId="28" fillId="0" borderId="0" applyFill="0" applyBorder="0">
      <alignment horizontal="right"/>
      <protection locked="0"/>
    </xf>
    <xf numFmtId="0" fontId="32" fillId="0" borderId="0">
      <protection locked="0"/>
    </xf>
    <xf numFmtId="0" fontId="224" fillId="0" borderId="0">
      <protection locked="0"/>
    </xf>
    <xf numFmtId="0" fontId="32" fillId="0" borderId="0">
      <protection locked="0"/>
    </xf>
    <xf numFmtId="0" fontId="298" fillId="0" borderId="0"/>
    <xf numFmtId="177" fontId="93" fillId="0" borderId="0">
      <alignment vertical="top"/>
    </xf>
    <xf numFmtId="0" fontId="93" fillId="0" borderId="0">
      <alignment vertical="top"/>
    </xf>
    <xf numFmtId="177" fontId="93" fillId="0" borderId="0">
      <alignment vertical="top"/>
    </xf>
    <xf numFmtId="0" fontId="28" fillId="0" borderId="0">
      <alignment horizontal="right"/>
      <protection locked="0"/>
    </xf>
    <xf numFmtId="0" fontId="62" fillId="0" borderId="37" applyNumberFormat="0" applyBorder="0" applyAlignment="0"/>
    <xf numFmtId="0" fontId="299" fillId="0" borderId="0" applyNumberFormat="0" applyFill="0" applyBorder="0" applyProtection="0">
      <alignment horizontal="right" vertical="center"/>
    </xf>
    <xf numFmtId="318" fontId="275" fillId="0" borderId="0" applyProtection="0"/>
    <xf numFmtId="0" fontId="287" fillId="0" borderId="80">
      <alignment vertical="center"/>
    </xf>
    <xf numFmtId="0" fontId="300" fillId="73" borderId="6">
      <alignment horizontal="center" vertical="center" wrapText="1"/>
      <protection hidden="1"/>
    </xf>
    <xf numFmtId="0" fontId="275" fillId="0" borderId="11" applyNumberFormat="0" applyFill="0" applyAlignment="0" applyProtection="0"/>
    <xf numFmtId="8" fontId="301" fillId="0" borderId="0" applyNumberFormat="0" applyFill="0" applyBorder="0" applyAlignment="0" applyProtection="0"/>
    <xf numFmtId="290" fontId="102" fillId="0" borderId="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0" fontId="32" fillId="0" borderId="0">
      <alignment vertical="top"/>
    </xf>
    <xf numFmtId="0" fontId="32" fillId="0" borderId="0">
      <alignment vertical="top"/>
    </xf>
    <xf numFmtId="0" fontId="32" fillId="0" borderId="0">
      <alignment vertical="top"/>
    </xf>
    <xf numFmtId="0" fontId="32" fillId="0" borderId="0">
      <alignment vertical="top"/>
    </xf>
    <xf numFmtId="165" fontId="32" fillId="0" borderId="0" applyFont="0" applyFill="0" applyBorder="0" applyAlignment="0" applyProtection="0"/>
    <xf numFmtId="0" fontId="32" fillId="0" borderId="0">
      <alignment vertical="top"/>
    </xf>
    <xf numFmtId="0" fontId="32" fillId="0" borderId="0">
      <alignment vertical="top"/>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0" fontId="32" fillId="0" borderId="0">
      <alignment vertical="top"/>
    </xf>
    <xf numFmtId="165" fontId="32" fillId="0" borderId="0" applyFont="0" applyFill="0" applyBorder="0" applyAlignment="0" applyProtection="0"/>
    <xf numFmtId="165" fontId="32" fillId="0" borderId="0" applyFont="0" applyFill="0" applyBorder="0" applyAlignment="0" applyProtection="0"/>
    <xf numFmtId="0" fontId="32" fillId="0" borderId="0">
      <alignment vertical="top"/>
    </xf>
    <xf numFmtId="0" fontId="32" fillId="0" borderId="0">
      <alignment vertical="top"/>
    </xf>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0" fontId="53" fillId="0" borderId="0" applyNumberFormat="0" applyBorder="0" applyAlignment="0"/>
    <xf numFmtId="0" fontId="169" fillId="0" borderId="0" applyNumberFormat="0" applyBorder="0" applyAlignment="0"/>
    <xf numFmtId="0" fontId="302" fillId="0" borderId="0" applyNumberFormat="0" applyBorder="0" applyAlignment="0"/>
    <xf numFmtId="0" fontId="66" fillId="0" borderId="0" applyNumberFormat="0" applyBorder="0" applyAlignment="0"/>
    <xf numFmtId="0" fontId="303" fillId="0" borderId="0" applyNumberFormat="0" applyBorder="0" applyAlignment="0"/>
    <xf numFmtId="0" fontId="304" fillId="0" borderId="0" applyNumberFormat="0" applyBorder="0" applyAlignment="0"/>
    <xf numFmtId="37" fontId="37" fillId="0" borderId="0" applyNumberFormat="0" applyFont="0" applyBorder="0" applyAlignment="0">
      <alignment horizontal="center"/>
    </xf>
    <xf numFmtId="0" fontId="143" fillId="0" borderId="0" applyNumberFormat="0" applyFill="0" applyBorder="0" applyProtection="0">
      <alignment horizontal="left"/>
    </xf>
    <xf numFmtId="0" fontId="305" fillId="0" borderId="0" applyFill="0" applyBorder="0" applyProtection="0">
      <alignment vertical="center"/>
    </xf>
    <xf numFmtId="213" fontId="178" fillId="0" borderId="0" applyNumberFormat="0" applyFill="0" applyBorder="0">
      <alignment horizontal="right"/>
    </xf>
    <xf numFmtId="0" fontId="306" fillId="0" borderId="31" applyFill="0" applyBorder="0" applyProtection="0"/>
    <xf numFmtId="0" fontId="306" fillId="0" borderId="0"/>
    <xf numFmtId="0" fontId="96" fillId="0" borderId="0" applyNumberFormat="0" applyFill="0" applyBorder="0" applyProtection="0"/>
    <xf numFmtId="0" fontId="307" fillId="0" borderId="0" applyFill="0" applyBorder="0" applyProtection="0"/>
    <xf numFmtId="0" fontId="308" fillId="0" borderId="0"/>
    <xf numFmtId="0" fontId="307" fillId="0" borderId="0" applyNumberFormat="0" applyFill="0" applyBorder="0" applyProtection="0"/>
    <xf numFmtId="0" fontId="96" fillId="0" borderId="0" applyNumberFormat="0" applyFill="0" applyBorder="0" applyProtection="0"/>
    <xf numFmtId="0" fontId="96" fillId="0" borderId="0"/>
    <xf numFmtId="0" fontId="297" fillId="0" borderId="0" applyNumberFormat="0" applyFill="0" applyBorder="0"/>
    <xf numFmtId="1" fontId="139" fillId="0" borderId="7" applyFill="0" applyBorder="0" applyProtection="0">
      <alignment horizontal="right"/>
    </xf>
    <xf numFmtId="0" fontId="51" fillId="0" borderId="0" applyNumberFormat="0" applyFill="0" applyBorder="0" applyAlignment="0" applyProtection="0"/>
    <xf numFmtId="0" fontId="256" fillId="0" borderId="0" applyNumberFormat="0" applyFill="0" applyBorder="0" applyAlignment="0" applyProtection="0"/>
    <xf numFmtId="0" fontId="309" fillId="0" borderId="0" applyNumberFormat="0" applyFill="0" applyBorder="0" applyAlignment="0" applyProtection="0"/>
    <xf numFmtId="0" fontId="309" fillId="0" borderId="0" applyNumberFormat="0" applyFill="0" applyBorder="0" applyAlignment="0" applyProtection="0"/>
    <xf numFmtId="0" fontId="309" fillId="0" borderId="0" applyNumberFormat="0" applyFill="0" applyBorder="0" applyAlignment="0" applyProtection="0"/>
    <xf numFmtId="0" fontId="309" fillId="0" borderId="0" applyNumberFormat="0" applyFill="0" applyBorder="0" applyAlignment="0" applyProtection="0"/>
    <xf numFmtId="0" fontId="309" fillId="0" borderId="0" applyNumberFormat="0" applyFill="0" applyBorder="0" applyAlignment="0" applyProtection="0"/>
    <xf numFmtId="173" fontId="139" fillId="0" borderId="0" applyFill="0" applyBorder="0" applyProtection="0"/>
    <xf numFmtId="0" fontId="193" fillId="0" borderId="0" applyNumberFormat="0" applyFill="0" applyBorder="0" applyAlignment="0" applyProtection="0"/>
    <xf numFmtId="0" fontId="29" fillId="0" borderId="0" applyNumberFormat="0" applyFill="0" applyBorder="0" applyAlignment="0" applyProtection="0"/>
    <xf numFmtId="0" fontId="28" fillId="0" borderId="0" applyBorder="0"/>
    <xf numFmtId="0" fontId="307" fillId="0" borderId="0"/>
    <xf numFmtId="0" fontId="96" fillId="0" borderId="0"/>
    <xf numFmtId="292" fontId="275" fillId="0" borderId="81" applyNumberFormat="0" applyFill="0" applyAlignment="0" applyProtection="0"/>
    <xf numFmtId="292" fontId="275" fillId="0" borderId="81" applyNumberFormat="0" applyFill="0" applyAlignment="0" applyProtection="0"/>
    <xf numFmtId="292" fontId="275" fillId="0" borderId="57" applyNumberFormat="0" applyFill="0" applyAlignment="0" applyProtection="0"/>
    <xf numFmtId="305" fontId="223" fillId="0" borderId="0" applyFill="0" applyBorder="0" applyProtection="0"/>
    <xf numFmtId="319" fontId="223" fillId="0" borderId="0" applyFill="0" applyBorder="0" applyProtection="0"/>
    <xf numFmtId="310" fontId="290" fillId="0" borderId="16" applyFill="0" applyBorder="0" applyProtection="0">
      <alignment vertical="center"/>
    </xf>
    <xf numFmtId="0" fontId="30" fillId="0" borderId="0"/>
    <xf numFmtId="37" fontId="310" fillId="0" borderId="0"/>
    <xf numFmtId="203" fontId="93" fillId="0" borderId="0"/>
    <xf numFmtId="0" fontId="297" fillId="76" borderId="82" applyNumberFormat="0" applyFont="0" applyBorder="0" applyAlignment="0" applyProtection="0">
      <alignment horizontal="right"/>
    </xf>
    <xf numFmtId="0" fontId="32" fillId="0" borderId="0"/>
    <xf numFmtId="0" fontId="135" fillId="0" borderId="0"/>
    <xf numFmtId="166" fontId="135" fillId="0" borderId="0" applyFont="0" applyFill="0" applyBorder="0" applyAlignment="0" applyProtection="0"/>
    <xf numFmtId="3" fontId="141" fillId="0" borderId="0" applyFont="0" applyFill="0" applyBorder="0" applyAlignment="0" applyProtection="0"/>
    <xf numFmtId="44" fontId="135" fillId="0" borderId="0" applyFont="0" applyFill="0" applyBorder="0" applyAlignment="0" applyProtection="0"/>
    <xf numFmtId="14" fontId="55" fillId="0" borderId="0"/>
    <xf numFmtId="278" fontId="56" fillId="0" borderId="0"/>
    <xf numFmtId="0" fontId="312" fillId="51" borderId="0" applyNumberFormat="0" applyFill="0" applyBorder="0" applyAlignment="0" applyProtection="0"/>
    <xf numFmtId="0" fontId="313" fillId="0" borderId="0" applyProtection="0">
      <alignment horizontal="left"/>
    </xf>
    <xf numFmtId="0" fontId="152" fillId="0" borderId="0" applyNumberFormat="0" applyFill="0" applyBorder="0" applyAlignment="0" applyProtection="0">
      <alignment vertical="top"/>
      <protection locked="0"/>
    </xf>
    <xf numFmtId="0" fontId="135" fillId="2" borderId="54" applyNumberFormat="0" applyFont="0" applyAlignment="0" applyProtection="0"/>
    <xf numFmtId="9" fontId="135" fillId="0" borderId="0" applyFont="0" applyFill="0" applyBorder="0" applyAlignment="0" applyProtection="0"/>
    <xf numFmtId="321" fontId="311" fillId="0" borderId="0"/>
    <xf numFmtId="0" fontId="141" fillId="0" borderId="47" applyNumberFormat="0" applyFont="0" applyFill="0" applyAlignment="0" applyProtection="0"/>
    <xf numFmtId="173" fontId="183" fillId="0" borderId="0"/>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309" fillId="0" borderId="0" applyNumberFormat="0" applyFill="0" applyBorder="0" applyAlignment="0" applyProtection="0"/>
    <xf numFmtId="0" fontId="314" fillId="0" borderId="84" applyNumberFormat="0" applyFill="0" applyAlignment="0" applyProtection="0"/>
    <xf numFmtId="0" fontId="315" fillId="0" borderId="85" applyNumberFormat="0" applyFill="0" applyAlignment="0" applyProtection="0"/>
    <xf numFmtId="0" fontId="316" fillId="0" borderId="86" applyNumberFormat="0" applyFill="0" applyAlignment="0" applyProtection="0"/>
    <xf numFmtId="0" fontId="316" fillId="0" borderId="0" applyNumberFormat="0" applyFill="0" applyBorder="0" applyAlignment="0" applyProtection="0"/>
    <xf numFmtId="0" fontId="317" fillId="77" borderId="0" applyNumberFormat="0" applyBorder="0" applyAlignment="0" applyProtection="0"/>
    <xf numFmtId="0" fontId="318" fillId="78" borderId="0" applyNumberFormat="0" applyBorder="0" applyAlignment="0" applyProtection="0"/>
    <xf numFmtId="0" fontId="319" fillId="79" borderId="0" applyNumberFormat="0" applyBorder="0" applyAlignment="0" applyProtection="0"/>
    <xf numFmtId="0" fontId="320" fillId="80" borderId="87" applyNumberFormat="0" applyAlignment="0" applyProtection="0"/>
    <xf numFmtId="0" fontId="321" fillId="81" borderId="88" applyNumberFormat="0" applyAlignment="0" applyProtection="0"/>
    <xf numFmtId="0" fontId="322" fillId="81" borderId="87" applyNumberFormat="0" applyAlignment="0" applyProtection="0"/>
    <xf numFmtId="0" fontId="323" fillId="0" borderId="89" applyNumberFormat="0" applyFill="0" applyAlignment="0" applyProtection="0"/>
    <xf numFmtId="0" fontId="324" fillId="82" borderId="90" applyNumberFormat="0" applyAlignment="0" applyProtection="0"/>
    <xf numFmtId="0" fontId="325" fillId="0" borderId="0" applyNumberFormat="0" applyFill="0" applyBorder="0" applyAlignment="0" applyProtection="0"/>
    <xf numFmtId="0" fontId="20" fillId="70" borderId="66" applyNumberFormat="0" applyFont="0" applyAlignment="0" applyProtection="0"/>
    <xf numFmtId="0" fontId="326" fillId="0" borderId="0" applyNumberFormat="0" applyFill="0" applyBorder="0" applyAlignment="0" applyProtection="0"/>
    <xf numFmtId="0" fontId="327" fillId="0" borderId="91" applyNumberFormat="0" applyFill="0" applyAlignment="0" applyProtection="0"/>
    <xf numFmtId="0" fontId="328" fillId="83" borderId="0" applyNumberFormat="0" applyBorder="0" applyAlignment="0" applyProtection="0"/>
    <xf numFmtId="0" fontId="20" fillId="58" borderId="0" applyNumberFormat="0" applyBorder="0" applyAlignment="0" applyProtection="0"/>
    <xf numFmtId="0" fontId="20" fillId="64" borderId="0" applyNumberFormat="0" applyBorder="0" applyAlignment="0" applyProtection="0"/>
    <xf numFmtId="0" fontId="328" fillId="84" borderId="0" applyNumberFormat="0" applyBorder="0" applyAlignment="0" applyProtection="0"/>
    <xf numFmtId="0" fontId="328" fillId="85"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328" fillId="86" borderId="0" applyNumberFormat="0" applyBorder="0" applyAlignment="0" applyProtection="0"/>
    <xf numFmtId="0" fontId="328" fillId="87"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328" fillId="88" borderId="0" applyNumberFormat="0" applyBorder="0" applyAlignment="0" applyProtection="0"/>
    <xf numFmtId="0" fontId="328" fillId="89"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328" fillId="90" borderId="0" applyNumberFormat="0" applyBorder="0" applyAlignment="0" applyProtection="0"/>
    <xf numFmtId="0" fontId="328" fillId="91"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328" fillId="92" borderId="0" applyNumberFormat="0" applyBorder="0" applyAlignment="0" applyProtection="0"/>
    <xf numFmtId="0" fontId="328" fillId="93"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328" fillId="94" borderId="0" applyNumberFormat="0" applyBorder="0" applyAlignment="0" applyProtection="0"/>
    <xf numFmtId="0" fontId="35" fillId="0" borderId="0"/>
    <xf numFmtId="0" fontId="234" fillId="3" borderId="0" applyNumberFormat="0" applyBorder="0" applyAlignment="0" applyProtection="0"/>
    <xf numFmtId="0" fontId="234" fillId="4" borderId="0" applyNumberFormat="0" applyBorder="0" applyAlignment="0" applyProtection="0"/>
    <xf numFmtId="0" fontId="234" fillId="2" borderId="0" applyNumberFormat="0" applyBorder="0" applyAlignment="0" applyProtection="0"/>
    <xf numFmtId="0" fontId="234" fillId="5" borderId="0" applyNumberFormat="0" applyBorder="0" applyAlignment="0" applyProtection="0"/>
    <xf numFmtId="0" fontId="234" fillId="3" borderId="0" applyNumberFormat="0" applyBorder="0" applyAlignment="0" applyProtection="0"/>
    <xf numFmtId="0" fontId="234" fillId="4" borderId="0" applyNumberFormat="0" applyBorder="0" applyAlignment="0" applyProtection="0"/>
    <xf numFmtId="0" fontId="234" fillId="6" borderId="0" applyNumberFormat="0" applyBorder="0" applyAlignment="0" applyProtection="0"/>
    <xf numFmtId="0" fontId="234" fillId="4" borderId="0" applyNumberFormat="0" applyBorder="0" applyAlignment="0" applyProtection="0"/>
    <xf numFmtId="0" fontId="234" fillId="2" borderId="0" applyNumberFormat="0" applyBorder="0" applyAlignment="0" applyProtection="0"/>
    <xf numFmtId="0" fontId="234" fillId="6" borderId="0" applyNumberFormat="0" applyBorder="0" applyAlignment="0" applyProtection="0"/>
    <xf numFmtId="0" fontId="234" fillId="6" borderId="0" applyNumberFormat="0" applyBorder="0" applyAlignment="0" applyProtection="0"/>
    <xf numFmtId="0" fontId="234" fillId="4" borderId="0" applyNumberFormat="0" applyBorder="0" applyAlignment="0" applyProtection="0"/>
    <xf numFmtId="0" fontId="238" fillId="8" borderId="14" applyNumberFormat="0" applyAlignment="0" applyProtection="0"/>
    <xf numFmtId="44" fontId="35" fillId="0" borderId="0" applyFont="0" applyFill="0" applyBorder="0" applyAlignment="0" applyProtection="0"/>
    <xf numFmtId="0" fontId="151" fillId="0" borderId="0" applyNumberFormat="0" applyFill="0" applyBorder="0" applyAlignment="0" applyProtection="0">
      <alignment vertical="top"/>
      <protection locked="0"/>
    </xf>
    <xf numFmtId="0" fontId="250" fillId="0" borderId="0" applyNumberFormat="0" applyFill="0" applyBorder="0" applyAlignment="0" applyProtection="0"/>
    <xf numFmtId="0" fontId="26" fillId="0" borderId="0"/>
    <xf numFmtId="194" fontId="69" fillId="0" borderId="0" applyFont="0" applyFill="0" applyBorder="0" applyAlignment="0" applyProtection="0">
      <alignment horizontal="right"/>
    </xf>
    <xf numFmtId="0" fontId="253" fillId="0" borderId="0" applyNumberFormat="0" applyFill="0" applyBorder="0" applyAlignment="0" applyProtection="0"/>
    <xf numFmtId="9" fontId="253" fillId="0" borderId="0" applyFont="0" applyFill="0" applyBorder="0" applyAlignment="0" applyProtection="0"/>
    <xf numFmtId="0" fontId="20" fillId="0" borderId="0"/>
    <xf numFmtId="0" fontId="329" fillId="0" borderId="0"/>
    <xf numFmtId="0" fontId="135" fillId="0" borderId="0"/>
    <xf numFmtId="177" fontId="114" fillId="0" borderId="46" applyBorder="0"/>
    <xf numFmtId="176" fontId="29" fillId="15" borderId="46" applyBorder="0">
      <alignment horizontal="right"/>
    </xf>
    <xf numFmtId="176" fontId="29" fillId="0" borderId="46" applyBorder="0">
      <alignment horizontal="right"/>
    </xf>
    <xf numFmtId="37" fontId="89" fillId="0" borderId="46" applyNumberFormat="0" applyFont="0" applyFill="0" applyAlignment="0" applyProtection="0"/>
    <xf numFmtId="0" fontId="140" fillId="0" borderId="46" applyNumberFormat="0" applyBorder="0"/>
    <xf numFmtId="195" fontId="35" fillId="29" borderId="46" applyNumberFormat="0" applyFont="0" applyBorder="0" applyAlignment="0" applyProtection="0">
      <alignment horizontal="right"/>
    </xf>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20" fillId="70" borderId="66" applyNumberFormat="0" applyFont="0" applyAlignment="0" applyProtection="0"/>
    <xf numFmtId="0" fontId="20" fillId="58" borderId="0" applyNumberFormat="0" applyBorder="0" applyAlignment="0" applyProtection="0"/>
    <xf numFmtId="0" fontId="20" fillId="64"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20" fillId="0" borderId="0"/>
    <xf numFmtId="0" fontId="135" fillId="0" borderId="0"/>
    <xf numFmtId="0" fontId="81" fillId="0" borderId="46" applyNumberFormat="0" applyFill="0" applyProtection="0">
      <alignment horizontal="right"/>
    </xf>
    <xf numFmtId="0" fontId="53" fillId="3"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5"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53" fillId="2"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4" borderId="0" applyNumberFormat="0" applyBorder="0" applyAlignment="0" applyProtection="0"/>
    <xf numFmtId="0" fontId="209" fillId="8" borderId="14" applyNumberFormat="0" applyAlignment="0" applyProtection="0"/>
    <xf numFmtId="0" fontId="197" fillId="0" borderId="0" applyNumberFormat="0" applyFill="0" applyBorder="0" applyAlignment="0" applyProtection="0"/>
    <xf numFmtId="0" fontId="135" fillId="0" borderId="0"/>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20" fillId="70" borderId="66" applyNumberFormat="0" applyFont="0" applyAlignment="0" applyProtection="0"/>
    <xf numFmtId="0" fontId="20" fillId="58" borderId="0" applyNumberFormat="0" applyBorder="0" applyAlignment="0" applyProtection="0"/>
    <xf numFmtId="0" fontId="20" fillId="64"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20" fillId="0" borderId="0"/>
    <xf numFmtId="195" fontId="35" fillId="29" borderId="46" applyNumberFormat="0" applyFont="0" applyBorder="0" applyAlignment="0" applyProtection="0">
      <alignment horizontal="right"/>
    </xf>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20" fillId="70" borderId="66" applyNumberFormat="0" applyFont="0" applyAlignment="0" applyProtection="0"/>
    <xf numFmtId="0" fontId="20" fillId="58" borderId="0" applyNumberFormat="0" applyBorder="0" applyAlignment="0" applyProtection="0"/>
    <xf numFmtId="0" fontId="20" fillId="64"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20" fillId="0" borderId="0"/>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20" fillId="70" borderId="66" applyNumberFormat="0" applyFont="0" applyAlignment="0" applyProtection="0"/>
    <xf numFmtId="0" fontId="20" fillId="58" borderId="0" applyNumberFormat="0" applyBorder="0" applyAlignment="0" applyProtection="0"/>
    <xf numFmtId="0" fontId="20" fillId="64"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20" fillId="0" borderId="0"/>
    <xf numFmtId="0" fontId="20" fillId="0" borderId="0"/>
    <xf numFmtId="0" fontId="20" fillId="0" borderId="0"/>
    <xf numFmtId="166" fontId="20" fillId="0" borderId="0" applyFont="0" applyFill="0" applyBorder="0" applyAlignment="0" applyProtection="0"/>
    <xf numFmtId="9" fontId="20" fillId="0" borderId="0" applyFont="0" applyFill="0" applyBorder="0" applyAlignment="0" applyProtection="0"/>
    <xf numFmtId="0" fontId="20" fillId="70" borderId="66" applyNumberFormat="0" applyFont="0" applyAlignment="0" applyProtection="0"/>
    <xf numFmtId="0" fontId="20" fillId="58" borderId="0" applyNumberFormat="0" applyBorder="0" applyAlignment="0" applyProtection="0"/>
    <xf numFmtId="0" fontId="20" fillId="64" borderId="0" applyNumberFormat="0" applyBorder="0" applyAlignment="0" applyProtection="0"/>
    <xf numFmtId="0" fontId="20" fillId="59" borderId="0" applyNumberFormat="0" applyBorder="0" applyAlignment="0" applyProtection="0"/>
    <xf numFmtId="0" fontId="20" fillId="65" borderId="0" applyNumberFormat="0" applyBorder="0" applyAlignment="0" applyProtection="0"/>
    <xf numFmtId="0" fontId="20" fillId="60" borderId="0" applyNumberFormat="0" applyBorder="0" applyAlignment="0" applyProtection="0"/>
    <xf numFmtId="0" fontId="20" fillId="66" borderId="0" applyNumberFormat="0" applyBorder="0" applyAlignment="0" applyProtection="0"/>
    <xf numFmtId="0" fontId="20" fillId="61" borderId="0" applyNumberFormat="0" applyBorder="0" applyAlignment="0" applyProtection="0"/>
    <xf numFmtId="0" fontId="20" fillId="67" borderId="0" applyNumberFormat="0" applyBorder="0" applyAlignment="0" applyProtection="0"/>
    <xf numFmtId="0" fontId="20" fillId="62" borderId="0" applyNumberFormat="0" applyBorder="0" applyAlignment="0" applyProtection="0"/>
    <xf numFmtId="0" fontId="20" fillId="68" borderId="0" applyNumberFormat="0" applyBorder="0" applyAlignment="0" applyProtection="0"/>
    <xf numFmtId="0" fontId="20" fillId="63" borderId="0" applyNumberFormat="0" applyBorder="0" applyAlignment="0" applyProtection="0"/>
    <xf numFmtId="0" fontId="20" fillId="69" borderId="0" applyNumberFormat="0" applyBorder="0" applyAlignment="0" applyProtection="0"/>
    <xf numFmtId="0" fontId="20" fillId="0" borderId="0"/>
    <xf numFmtId="166" fontId="20" fillId="0" borderId="0" applyFont="0" applyFill="0" applyBorder="0" applyAlignment="0" applyProtection="0"/>
    <xf numFmtId="9" fontId="20" fillId="0" borderId="0" applyFont="0" applyFill="0" applyBorder="0" applyAlignment="0" applyProtection="0"/>
    <xf numFmtId="166" fontId="32" fillId="0" borderId="0" applyFont="0" applyFill="0" applyBorder="0" applyAlignment="0" applyProtection="0"/>
    <xf numFmtId="44" fontId="32" fillId="0" borderId="0" applyFont="0" applyFill="0" applyBorder="0" applyAlignment="0" applyProtection="0"/>
    <xf numFmtId="9" fontId="35" fillId="0" borderId="0" applyFont="0" applyFill="0" applyBorder="0" applyAlignment="0" applyProtection="0"/>
    <xf numFmtId="0" fontId="19" fillId="0" borderId="0"/>
    <xf numFmtId="227" fontId="32" fillId="0" borderId="0" applyFont="0" applyFill="0" applyBorder="0" applyAlignment="0" applyProtection="0"/>
    <xf numFmtId="227" fontId="32" fillId="0" borderId="0" applyFont="0" applyFill="0" applyBorder="0" applyAlignment="0" applyProtection="0"/>
    <xf numFmtId="227" fontId="58" fillId="0" borderId="0" applyFont="0" applyFill="0" applyBorder="0" applyAlignment="0" applyProtection="0"/>
    <xf numFmtId="227" fontId="58" fillId="0" borderId="0" applyFont="0" applyFill="0" applyBorder="0" applyAlignment="0" applyProtection="0"/>
    <xf numFmtId="227" fontId="58" fillId="0" borderId="0" applyFont="0" applyFill="0" applyBorder="0" applyAlignment="0" applyProtection="0"/>
    <xf numFmtId="227" fontId="333"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32" fillId="0" borderId="0" applyFont="0" applyFill="0" applyBorder="0" applyAlignment="0" applyProtection="0"/>
    <xf numFmtId="227" fontId="27"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7" fontId="58"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58"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7" fontId="58"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227" fontId="58"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7"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9" fontId="333"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9" fontId="27"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07" fontId="32" fillId="0" borderId="0" applyFont="0" applyFill="0" applyBorder="0" applyAlignment="0" applyProtection="0"/>
    <xf numFmtId="229" fontId="58"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9" fontId="58" fillId="0" borderId="0" applyFont="0" applyFill="0" applyBorder="0" applyAlignment="0" applyProtection="0"/>
    <xf numFmtId="229" fontId="58" fillId="0" borderId="0" applyFont="0" applyFill="0" applyBorder="0" applyAlignment="0" applyProtection="0"/>
    <xf numFmtId="229" fontId="58" fillId="0" borderId="0" applyFont="0" applyFill="0" applyBorder="0" applyAlignment="0" applyProtection="0"/>
    <xf numFmtId="207" fontId="32" fillId="0" borderId="0" applyFont="0" applyFill="0" applyBorder="0" applyAlignment="0" applyProtection="0"/>
    <xf numFmtId="229" fontId="58" fillId="0" borderId="0" applyFont="0" applyFill="0" applyBorder="0" applyAlignment="0" applyProtection="0"/>
    <xf numFmtId="229" fontId="58" fillId="0" borderId="0" applyFont="0" applyFill="0" applyBorder="0" applyAlignment="0" applyProtection="0"/>
    <xf numFmtId="207"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29"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333"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230" fontId="27"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39" fontId="32" fillId="0" borderId="0" applyFont="0" applyFill="0" applyBorder="0" applyAlignment="0" applyProtection="0"/>
    <xf numFmtId="230" fontId="58"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230" fontId="58" fillId="0" borderId="0" applyFont="0" applyFill="0" applyBorder="0" applyAlignment="0" applyProtection="0"/>
    <xf numFmtId="230" fontId="58" fillId="0" borderId="0" applyFont="0" applyFill="0" applyBorder="0" applyAlignment="0" applyProtection="0"/>
    <xf numFmtId="230" fontId="58" fillId="0" borderId="0" applyFont="0" applyFill="0" applyBorder="0" applyAlignment="0" applyProtection="0"/>
    <xf numFmtId="39" fontId="32" fillId="0" borderId="0" applyFont="0" applyFill="0" applyBorder="0" applyAlignment="0" applyProtection="0"/>
    <xf numFmtId="230" fontId="58" fillId="0" borderId="0" applyFont="0" applyFill="0" applyBorder="0" applyAlignment="0" applyProtection="0"/>
    <xf numFmtId="230" fontId="58" fillId="0" borderId="0" applyFont="0" applyFill="0" applyBorder="0" applyAlignment="0" applyProtection="0"/>
    <xf numFmtId="39"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230" fontId="32" fillId="0" borderId="0" applyFont="0" applyFill="0" applyBorder="0" applyAlignment="0" applyProtection="0"/>
    <xf numFmtId="207" fontId="32" fillId="0" borderId="0" applyFont="0" applyFill="0" applyBorder="0" applyAlignment="0" applyProtection="0"/>
    <xf numFmtId="0" fontId="97" fillId="0" borderId="0" applyNumberForma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3" fontId="333"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33" fontId="27" fillId="0" borderId="0" applyFont="0" applyFill="0" applyBorder="0" applyAlignment="0" applyProtection="0"/>
    <xf numFmtId="288" fontId="32" fillId="0" borderId="0" applyFont="0" applyFill="0" applyBorder="0" applyAlignment="0" applyProtection="0"/>
    <xf numFmtId="288" fontId="32" fillId="0" borderId="0" applyFont="0" applyFill="0" applyBorder="0" applyAlignment="0" applyProtection="0"/>
    <xf numFmtId="28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08" fontId="32" fillId="0" borderId="0" applyFont="0" applyFill="0" applyBorder="0" applyAlignment="0" applyProtection="0"/>
    <xf numFmtId="233" fontId="58"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3" fontId="58" fillId="0" borderId="0" applyFont="0" applyFill="0" applyBorder="0" applyAlignment="0" applyProtection="0"/>
    <xf numFmtId="233" fontId="58" fillId="0" borderId="0" applyFont="0" applyFill="0" applyBorder="0" applyAlignment="0" applyProtection="0"/>
    <xf numFmtId="233" fontId="58" fillId="0" borderId="0" applyFont="0" applyFill="0" applyBorder="0" applyAlignment="0" applyProtection="0"/>
    <xf numFmtId="208" fontId="32" fillId="0" borderId="0" applyFont="0" applyFill="0" applyBorder="0" applyAlignment="0" applyProtection="0"/>
    <xf numFmtId="233" fontId="58" fillId="0" borderId="0" applyFont="0" applyFill="0" applyBorder="0" applyAlignment="0" applyProtection="0"/>
    <xf numFmtId="233" fontId="58" fillId="0" borderId="0" applyFont="0" applyFill="0" applyBorder="0" applyAlignment="0" applyProtection="0"/>
    <xf numFmtId="208"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3" fontId="32" fillId="0" borderId="0" applyFont="0" applyFill="0" applyBorder="0" applyAlignment="0" applyProtection="0"/>
    <xf numFmtId="235" fontId="32" fillId="0" borderId="0" applyFont="0" applyFill="0" applyBorder="0" applyProtection="0">
      <alignment horizontal="right"/>
    </xf>
    <xf numFmtId="235" fontId="32" fillId="0" borderId="0" applyFont="0" applyFill="0" applyBorder="0" applyProtection="0">
      <alignment horizontal="right"/>
    </xf>
    <xf numFmtId="209" fontId="32" fillId="0" borderId="0" applyFont="0" applyFill="0" applyBorder="0" applyAlignment="0" applyProtection="0"/>
    <xf numFmtId="209" fontId="32" fillId="0" borderId="0" applyFont="0" applyFill="0" applyBorder="0" applyAlignment="0" applyProtection="0"/>
    <xf numFmtId="235" fontId="333" fillId="0" borderId="0" applyFont="0" applyFill="0" applyBorder="0" applyProtection="0">
      <alignment horizontal="right"/>
    </xf>
    <xf numFmtId="209"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35" fontId="32" fillId="0" borderId="0" applyFont="0" applyFill="0" applyBorder="0" applyProtection="0">
      <alignment horizontal="right"/>
    </xf>
    <xf numFmtId="209" fontId="32" fillId="0" borderId="0" applyFont="0" applyFill="0" applyBorder="0" applyAlignment="0" applyProtection="0"/>
    <xf numFmtId="209" fontId="32" fillId="0" borderId="0" applyFont="0" applyFill="0" applyBorder="0" applyAlignment="0" applyProtection="0"/>
    <xf numFmtId="235" fontId="32" fillId="0" borderId="0" applyFont="0" applyFill="0" applyBorder="0" applyProtection="0">
      <alignment horizontal="right"/>
    </xf>
    <xf numFmtId="235" fontId="27" fillId="0" borderId="0" applyFont="0" applyFill="0" applyBorder="0" applyProtection="0">
      <alignment horizontal="right"/>
    </xf>
    <xf numFmtId="289" fontId="32" fillId="0" borderId="0" applyFont="0" applyFill="0" applyBorder="0" applyAlignment="0" applyProtection="0"/>
    <xf numFmtId="289" fontId="32" fillId="0" borderId="0" applyFont="0" applyFill="0" applyBorder="0" applyAlignment="0" applyProtection="0"/>
    <xf numFmtId="28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09" fontId="32" fillId="0" borderId="0" applyFont="0" applyFill="0" applyBorder="0" applyAlignment="0" applyProtection="0"/>
    <xf numFmtId="235" fontId="58" fillId="0" borderId="0" applyFont="0" applyFill="0" applyBorder="0" applyProtection="0">
      <alignment horizontal="right"/>
    </xf>
    <xf numFmtId="209" fontId="32" fillId="0" borderId="0" applyFont="0" applyFill="0" applyBorder="0" applyAlignment="0" applyProtection="0"/>
    <xf numFmtId="235" fontId="32" fillId="0" borderId="0" applyFont="0" applyFill="0" applyBorder="0" applyProtection="0">
      <alignment horizontal="right"/>
    </xf>
    <xf numFmtId="235" fontId="32" fillId="0" borderId="0" applyFont="0" applyFill="0" applyBorder="0" applyProtection="0">
      <alignment horizontal="right"/>
    </xf>
    <xf numFmtId="235" fontId="58" fillId="0" borderId="0" applyFont="0" applyFill="0" applyBorder="0" applyProtection="0">
      <alignment horizontal="right"/>
    </xf>
    <xf numFmtId="235" fontId="58" fillId="0" borderId="0" applyFont="0" applyFill="0" applyBorder="0" applyProtection="0">
      <alignment horizontal="right"/>
    </xf>
    <xf numFmtId="235" fontId="58" fillId="0" borderId="0" applyFont="0" applyFill="0" applyBorder="0" applyProtection="0">
      <alignment horizontal="right"/>
    </xf>
    <xf numFmtId="209" fontId="32" fillId="0" borderId="0" applyFont="0" applyFill="0" applyBorder="0" applyAlignment="0" applyProtection="0"/>
    <xf numFmtId="235" fontId="58" fillId="0" borderId="0" applyFont="0" applyFill="0" applyBorder="0" applyProtection="0">
      <alignment horizontal="right"/>
    </xf>
    <xf numFmtId="235" fontId="58" fillId="0" borderId="0" applyFont="0" applyFill="0" applyBorder="0" applyProtection="0">
      <alignment horizontal="right"/>
    </xf>
    <xf numFmtId="209" fontId="32" fillId="0" borderId="0" applyFont="0" applyFill="0" applyBorder="0" applyAlignment="0" applyProtection="0"/>
    <xf numFmtId="235" fontId="32" fillId="0" borderId="0" applyFont="0" applyFill="0" applyBorder="0" applyProtection="0">
      <alignment horizontal="right"/>
    </xf>
    <xf numFmtId="235" fontId="32" fillId="0" borderId="0" applyFont="0" applyFill="0" applyBorder="0" applyProtection="0">
      <alignment horizontal="right"/>
    </xf>
    <xf numFmtId="235" fontId="32" fillId="0" borderId="0" applyFont="0" applyFill="0" applyBorder="0" applyProtection="0">
      <alignment horizontal="right"/>
    </xf>
    <xf numFmtId="225" fontId="32" fillId="0" borderId="0" applyFont="0" applyFill="0" applyBorder="0" applyProtection="0">
      <alignment horizontal="right"/>
    </xf>
    <xf numFmtId="225" fontId="32" fillId="0" borderId="0" applyFont="0" applyFill="0" applyBorder="0" applyAlignment="0" applyProtection="0"/>
    <xf numFmtId="225" fontId="32" fillId="0" borderId="0" applyFont="0" applyFill="0" applyBorder="0" applyAlignment="0" applyProtection="0"/>
    <xf numFmtId="225" fontId="32" fillId="0" borderId="0" applyFont="0" applyFill="0" applyBorder="0" applyAlignment="0" applyProtection="0"/>
    <xf numFmtId="226" fontId="32" fillId="0" borderId="0" applyFont="0" applyFill="0" applyBorder="0" applyProtection="0">
      <alignment horizontal="right"/>
    </xf>
    <xf numFmtId="226" fontId="32" fillId="0" borderId="0" applyFont="0" applyFill="0" applyBorder="0" applyProtection="0">
      <alignment horizontal="right"/>
    </xf>
    <xf numFmtId="226" fontId="32" fillId="0" borderId="0" applyFont="0" applyFill="0" applyBorder="0" applyAlignment="0" applyProtection="0"/>
    <xf numFmtId="226" fontId="32" fillId="0" borderId="0" applyFont="0" applyFill="0" applyBorder="0" applyAlignment="0" applyProtection="0"/>
    <xf numFmtId="226" fontId="32" fillId="0" borderId="0" applyFont="0" applyFill="0" applyBorder="0" applyAlignment="0" applyProtection="0"/>
    <xf numFmtId="0" fontId="98" fillId="0" borderId="0" applyNumberFormat="0" applyFill="0" applyBorder="0" applyProtection="0">
      <alignment vertical="top"/>
    </xf>
    <xf numFmtId="0" fontId="98" fillId="0" borderId="0" applyNumberFormat="0" applyFill="0" applyBorder="0" applyAlignment="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8" fillId="0" borderId="0" applyNumberFormat="0" applyFill="0" applyBorder="0" applyProtection="0">
      <alignment vertical="top"/>
    </xf>
    <xf numFmtId="0" fontId="99" fillId="0" borderId="1" applyNumberFormat="0" applyFill="0" applyAlignment="0" applyProtection="0"/>
    <xf numFmtId="0" fontId="99" fillId="0" borderId="93" applyNumberFormat="0" applyFill="0" applyAlignment="0" applyProtection="0"/>
    <xf numFmtId="0" fontId="99" fillId="0" borderId="1" applyNumberFormat="0" applyFill="0" applyAlignment="0" applyProtection="0"/>
    <xf numFmtId="0" fontId="99" fillId="0" borderId="1" applyNumberFormat="0" applyFill="0" applyAlignment="0" applyProtection="0"/>
    <xf numFmtId="0" fontId="100" fillId="0" borderId="0" applyNumberFormat="0" applyFill="0" applyBorder="0" applyProtection="0">
      <alignment horizontal="centerContinuous"/>
    </xf>
    <xf numFmtId="0" fontId="100" fillId="0" borderId="0" applyNumberFormat="0" applyFill="0" applyProtection="0">
      <alignment horizontal="centerContinuous"/>
    </xf>
    <xf numFmtId="0" fontId="100" fillId="0" borderId="0" applyNumberFormat="0" applyFill="0" applyBorder="0" applyProtection="0">
      <alignment horizontal="centerContinuous"/>
    </xf>
    <xf numFmtId="0" fontId="100" fillId="0" borderId="0" applyNumberFormat="0" applyFill="0" applyBorder="0" applyProtection="0">
      <alignment horizontal="centerContinuous"/>
    </xf>
    <xf numFmtId="0" fontId="272" fillId="0" borderId="0"/>
    <xf numFmtId="2" fontId="223" fillId="0" borderId="0" applyNumberFormat="0" applyBorder="0" applyAlignment="0"/>
    <xf numFmtId="176" fontId="334" fillId="0" borderId="0"/>
    <xf numFmtId="0" fontId="209" fillId="10" borderId="94">
      <alignment horizontal="center"/>
    </xf>
    <xf numFmtId="213" fontId="35" fillId="96" borderId="0" applyNumberFormat="0" applyFont="0" applyBorder="0" applyAlignment="0">
      <protection locked="0"/>
    </xf>
    <xf numFmtId="0" fontId="35" fillId="0" borderId="0" applyNumberFormat="0" applyFill="0" applyBorder="0" applyAlignment="0" applyProtection="0"/>
    <xf numFmtId="213" fontId="335" fillId="0" borderId="0" applyNumberFormat="0" applyFill="0" applyBorder="0" applyProtection="0">
      <alignment horizontal="right"/>
    </xf>
    <xf numFmtId="38" fontId="336" fillId="0" borderId="0" applyNumberFormat="0" applyFill="0" applyBorder="0">
      <alignment vertical="center"/>
    </xf>
    <xf numFmtId="0" fontId="30" fillId="0" borderId="0"/>
    <xf numFmtId="0" fontId="223" fillId="0" borderId="0" applyNumberFormat="0" applyAlignment="0"/>
    <xf numFmtId="169" fontId="296" fillId="0" borderId="0" applyNumberFormat="0" applyFont="0" applyAlignment="0">
      <alignment vertical="center"/>
    </xf>
    <xf numFmtId="322" fontId="32" fillId="0" borderId="0" applyNumberFormat="0" applyFill="0" applyBorder="0" applyAlignment="0" applyProtection="0"/>
    <xf numFmtId="38" fontId="297" fillId="0" borderId="0" applyNumberFormat="0" applyFill="0" applyBorder="0">
      <alignment horizontal="left" vertical="center"/>
    </xf>
    <xf numFmtId="169" fontId="337" fillId="0" borderId="0" applyFill="0" applyBorder="0">
      <alignment vertical="center"/>
    </xf>
    <xf numFmtId="0" fontId="37" fillId="0" borderId="0" applyNumberFormat="0" applyFill="0" applyBorder="0" applyAlignment="0" applyProtection="0"/>
    <xf numFmtId="0" fontId="338" fillId="0" borderId="0">
      <alignment horizontal="left" vertical="top"/>
      <protection locked="0"/>
    </xf>
    <xf numFmtId="200" fontId="32" fillId="0" borderId="0" applyFill="0">
      <alignment horizontal="center" vertical="center"/>
    </xf>
    <xf numFmtId="0" fontId="339" fillId="0" borderId="0" applyNumberFormat="0" applyAlignment="0"/>
    <xf numFmtId="176" fontId="32" fillId="0" borderId="0" applyFill="0" applyBorder="0" applyAlignment="0" applyProtection="0"/>
    <xf numFmtId="2" fontId="340" fillId="0" borderId="0"/>
    <xf numFmtId="1" fontId="32" fillId="0" borderId="0"/>
    <xf numFmtId="6" fontId="297" fillId="0" borderId="95" applyFill="0">
      <alignment vertical="center"/>
    </xf>
    <xf numFmtId="323" fontId="35" fillId="0" borderId="0"/>
    <xf numFmtId="14" fontId="32" fillId="0" borderId="0" applyFill="0" applyBorder="0">
      <alignment vertical="center"/>
    </xf>
    <xf numFmtId="174" fontId="223" fillId="0" borderId="0" applyNumberFormat="0" applyBorder="0" applyAlignment="0"/>
    <xf numFmtId="277" fontId="32" fillId="0" borderId="0" applyFill="0" applyBorder="0">
      <alignment vertical="center"/>
    </xf>
    <xf numFmtId="0" fontId="140" fillId="0" borderId="57" applyNumberFormat="0" applyBorder="0"/>
    <xf numFmtId="37" fontId="89" fillId="0" borderId="57" applyNumberFormat="0" applyFont="0" applyFill="0" applyAlignment="0" applyProtection="0"/>
    <xf numFmtId="176" fontId="29" fillId="0" borderId="57" applyBorder="0">
      <alignment horizontal="right"/>
    </xf>
    <xf numFmtId="205" fontId="18" fillId="0" borderId="0" applyNumberFormat="0" applyFill="0" applyBorder="0" applyAlignment="0" applyProtection="0"/>
    <xf numFmtId="0" fontId="97" fillId="0" borderId="0" applyNumberFormat="0" applyFill="0" applyBorder="0" applyAlignment="0" applyProtection="0"/>
    <xf numFmtId="195" fontId="18" fillId="29" borderId="57" applyNumberFormat="0" applyFont="0" applyBorder="0" applyAlignment="0" applyProtection="0">
      <alignment horizontal="right"/>
    </xf>
    <xf numFmtId="0" fontId="126" fillId="0" borderId="11" applyNumberFormat="0" applyFill="0" applyAlignment="0" applyProtection="0"/>
    <xf numFmtId="0" fontId="124" fillId="0" borderId="11"/>
    <xf numFmtId="0" fontId="124" fillId="0" borderId="11"/>
    <xf numFmtId="253" fontId="93" fillId="0" borderId="11" applyBorder="0" applyProtection="0">
      <alignment horizontal="right" vertical="center"/>
    </xf>
    <xf numFmtId="0" fontId="175" fillId="32" borderId="11" applyBorder="0" applyProtection="0">
      <alignment horizontal="centerContinuous" vertical="center"/>
    </xf>
    <xf numFmtId="0" fontId="126" fillId="0" borderId="11" applyNumberFormat="0" applyFill="0" applyAlignment="0" applyProtection="0"/>
    <xf numFmtId="0" fontId="124" fillId="0" borderId="11"/>
    <xf numFmtId="0" fontId="124" fillId="0" borderId="11"/>
    <xf numFmtId="0" fontId="97" fillId="0" borderId="0" applyNumberFormat="0" applyFill="0" applyBorder="0" applyAlignment="0" applyProtection="0"/>
    <xf numFmtId="177" fontId="18" fillId="13" borderId="0" applyBorder="0"/>
    <xf numFmtId="0" fontId="18" fillId="13" borderId="0" applyBorder="0"/>
    <xf numFmtId="177" fontId="18" fillId="13" borderId="0" applyBorder="0"/>
    <xf numFmtId="176" fontId="18" fillId="0" borderId="3" applyBorder="0">
      <alignment horizontal="right"/>
    </xf>
    <xf numFmtId="0" fontId="18" fillId="0" borderId="3" applyBorder="0">
      <alignment horizontal="right"/>
    </xf>
    <xf numFmtId="176" fontId="18" fillId="0" borderId="3" applyBorder="0">
      <alignment horizontal="right"/>
    </xf>
    <xf numFmtId="0" fontId="114" fillId="0" borderId="46" applyBorder="0"/>
    <xf numFmtId="177" fontId="114" fillId="0" borderId="46" applyBorder="0"/>
    <xf numFmtId="0" fontId="29" fillId="15" borderId="46" applyBorder="0">
      <alignment horizontal="right"/>
    </xf>
    <xf numFmtId="176" fontId="29" fillId="15" borderId="46" applyBorder="0">
      <alignment horizontal="right"/>
    </xf>
    <xf numFmtId="0" fontId="29" fillId="0" borderId="46" applyBorder="0">
      <alignment horizontal="right"/>
    </xf>
    <xf numFmtId="176" fontId="29" fillId="0" borderId="46" applyBorder="0">
      <alignment horizontal="right"/>
    </xf>
    <xf numFmtId="3" fontId="115" fillId="24" borderId="99" applyBorder="0">
      <protection locked="0"/>
    </xf>
    <xf numFmtId="0" fontId="18" fillId="0" borderId="0" applyNumberFormat="0" applyFill="0" applyBorder="0" applyAlignment="0" applyProtection="0"/>
    <xf numFmtId="0" fontId="18" fillId="0" borderId="0" applyNumberFormat="0" applyFill="0" applyBorder="0" applyAlignment="0" applyProtection="0"/>
    <xf numFmtId="0" fontId="18" fillId="0" borderId="48" applyNumberFormat="0" applyFill="0" applyAlignment="0" applyProtection="0"/>
    <xf numFmtId="2" fontId="18" fillId="27" borderId="0" applyNumberFormat="0" applyFont="0" applyBorder="0" applyAlignment="0" applyProtection="0"/>
    <xf numFmtId="2" fontId="18" fillId="27" borderId="0" applyNumberFormat="0" applyFont="0" applyBorder="0" applyAlignment="0" applyProtection="0"/>
    <xf numFmtId="195" fontId="18" fillId="29" borderId="46" applyNumberFormat="0" applyFont="0" applyBorder="0" applyAlignment="0" applyProtection="0">
      <alignment horizontal="right"/>
    </xf>
    <xf numFmtId="195" fontId="18" fillId="29" borderId="46" applyNumberFormat="0" applyFont="0" applyBorder="0" applyAlignment="0" applyProtection="0">
      <alignment horizontal="right"/>
    </xf>
    <xf numFmtId="1" fontId="18" fillId="0" borderId="0" applyNumberFormat="0" applyBorder="0" applyAlignment="0" applyProtection="0"/>
    <xf numFmtId="1" fontId="18" fillId="0" borderId="0" applyNumberFormat="0" applyBorder="0" applyAlignment="0" applyProtection="0"/>
    <xf numFmtId="38" fontId="18" fillId="9" borderId="0" applyNumberFormat="0" applyBorder="0" applyAlignment="0" applyProtection="0"/>
    <xf numFmtId="10" fontId="18" fillId="25" borderId="6" applyNumberFormat="0" applyBorder="0" applyAlignment="0" applyProtection="0"/>
    <xf numFmtId="0" fontId="18" fillId="34" borderId="21" applyNumberFormat="0" applyFont="0" applyBorder="0" applyAlignment="0" applyProtection="0">
      <alignment horizontal="center"/>
    </xf>
    <xf numFmtId="0" fontId="18" fillId="35" borderId="21" applyNumberFormat="0" applyFont="0" applyBorder="0" applyAlignment="0" applyProtection="0">
      <alignment horizontal="center"/>
    </xf>
    <xf numFmtId="0" fontId="97" fillId="0" borderId="0" applyNumberFormat="0" applyFill="0" applyBorder="0" applyAlignment="0" applyProtection="0"/>
    <xf numFmtId="205" fontId="18" fillId="0" borderId="0" applyNumberFormat="0" applyFill="0" applyBorder="0" applyAlignment="0" applyProtection="0"/>
    <xf numFmtId="199" fontId="18" fillId="0" borderId="0" applyFill="0" applyBorder="0" applyAlignment="0" applyProtection="0"/>
    <xf numFmtId="0" fontId="18" fillId="0" borderId="0"/>
    <xf numFmtId="0" fontId="18" fillId="0" borderId="48" applyNumberFormat="0" applyFill="0" applyAlignment="0" applyProtection="0"/>
    <xf numFmtId="166" fontId="18" fillId="0" borderId="0" applyFont="0" applyFill="0" applyBorder="0" applyAlignment="0" applyProtection="0"/>
    <xf numFmtId="44" fontId="18" fillId="0" borderId="0" applyFont="0" applyFill="0" applyBorder="0" applyAlignment="0" applyProtection="0"/>
    <xf numFmtId="195" fontId="18" fillId="29" borderId="46" applyNumberFormat="0" applyFont="0" applyBorder="0" applyAlignment="0" applyProtection="0">
      <alignment horizontal="right"/>
    </xf>
    <xf numFmtId="0" fontId="18" fillId="2" borderId="54" applyNumberFormat="0" applyFont="0" applyAlignment="0" applyProtection="0"/>
    <xf numFmtId="9" fontId="18" fillId="0" borderId="0" applyFont="0" applyFill="0" applyBorder="0" applyAlignment="0" applyProtection="0"/>
    <xf numFmtId="0" fontId="126" fillId="0" borderId="11" applyNumberFormat="0" applyFill="0" applyAlignment="0" applyProtection="0"/>
    <xf numFmtId="253" fontId="93" fillId="0" borderId="11" applyBorder="0" applyProtection="0">
      <alignment horizontal="right" vertical="center"/>
    </xf>
    <xf numFmtId="0" fontId="82" fillId="0" borderId="11" applyNumberFormat="0" applyFill="0" applyProtection="0"/>
    <xf numFmtId="0" fontId="126" fillId="0" borderId="11" applyNumberFormat="0" applyFill="0" applyAlignment="0" applyProtection="0"/>
    <xf numFmtId="0" fontId="18" fillId="0" borderId="0"/>
    <xf numFmtId="9" fontId="18" fillId="0" borderId="0" applyFont="0" applyFill="0" applyBorder="0" applyAlignment="0" applyProtection="0"/>
    <xf numFmtId="195" fontId="18" fillId="29" borderId="57" applyNumberFormat="0" applyFont="0" applyBorder="0" applyAlignment="0" applyProtection="0">
      <alignment horizontal="right"/>
    </xf>
    <xf numFmtId="195" fontId="18" fillId="29" borderId="57" applyNumberFormat="0" applyFont="0" applyBorder="0" applyAlignment="0" applyProtection="0">
      <alignment horizontal="right"/>
    </xf>
    <xf numFmtId="195" fontId="18" fillId="29" borderId="57" applyNumberFormat="0" applyFont="0" applyBorder="0" applyAlignment="0" applyProtection="0">
      <alignment horizontal="right"/>
    </xf>
    <xf numFmtId="0" fontId="17" fillId="58"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95" fontId="18" fillId="29" borderId="46" applyNumberFormat="0" applyFont="0" applyBorder="0" applyAlignment="0" applyProtection="0">
      <alignment horizontal="right"/>
    </xf>
    <xf numFmtId="0" fontId="17" fillId="0" borderId="0"/>
    <xf numFmtId="0" fontId="17" fillId="0" borderId="0"/>
    <xf numFmtId="0" fontId="17" fillId="0" borderId="0"/>
    <xf numFmtId="0" fontId="17" fillId="0" borderId="0"/>
    <xf numFmtId="0" fontId="17" fillId="70" borderId="66" applyNumberFormat="0" applyFont="0" applyAlignment="0" applyProtection="0"/>
    <xf numFmtId="9" fontId="17" fillId="0" borderId="0" applyFont="0" applyFill="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70" borderId="66" applyNumberFormat="0" applyFont="0" applyAlignment="0" applyProtection="0"/>
    <xf numFmtId="9" fontId="17" fillId="0" borderId="0" applyFont="0" applyFill="0" applyBorder="0" applyAlignment="0" applyProtection="0"/>
    <xf numFmtId="0" fontId="17" fillId="0" borderId="0"/>
    <xf numFmtId="166" fontId="17" fillId="0" borderId="0" applyFont="0" applyFill="0" applyBorder="0" applyAlignment="0" applyProtection="0"/>
    <xf numFmtId="0" fontId="17" fillId="58"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70" borderId="66" applyNumberFormat="0" applyFont="0" applyAlignment="0" applyProtection="0"/>
    <xf numFmtId="9" fontId="17" fillId="0" borderId="0" applyFont="0" applyFill="0" applyBorder="0" applyAlignment="0" applyProtection="0"/>
    <xf numFmtId="0" fontId="175" fillId="32" borderId="59" applyBorder="0" applyProtection="0">
      <alignment horizontal="centerContinuous" vertical="center"/>
    </xf>
    <xf numFmtId="253" fontId="93" fillId="0" borderId="59" applyBorder="0" applyProtection="0">
      <alignment horizontal="right" vertical="center"/>
    </xf>
    <xf numFmtId="253" fontId="93" fillId="0" borderId="59" applyBorder="0" applyProtection="0">
      <alignment horizontal="right" vertical="center"/>
    </xf>
    <xf numFmtId="0" fontId="82" fillId="0" borderId="59" applyNumberFormat="0" applyFill="0" applyProtection="0"/>
    <xf numFmtId="0" fontId="124" fillId="0" borderId="59"/>
    <xf numFmtId="0" fontId="126" fillId="0" borderId="59" applyNumberFormat="0" applyFill="0" applyAlignment="0" applyProtection="0"/>
    <xf numFmtId="0" fontId="17" fillId="58" borderId="0" applyNumberFormat="0" applyBorder="0" applyAlignment="0" applyProtection="0"/>
    <xf numFmtId="0" fontId="17" fillId="58" borderId="0" applyNumberFormat="0" applyBorder="0" applyAlignment="0" applyProtection="0"/>
    <xf numFmtId="0" fontId="17" fillId="59" borderId="0" applyNumberFormat="0" applyBorder="0" applyAlignment="0" applyProtection="0"/>
    <xf numFmtId="0" fontId="17" fillId="59" borderId="0" applyNumberFormat="0" applyBorder="0" applyAlignment="0" applyProtection="0"/>
    <xf numFmtId="0" fontId="17" fillId="60"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1" borderId="0" applyNumberFormat="0" applyBorder="0" applyAlignment="0" applyProtection="0"/>
    <xf numFmtId="0" fontId="17" fillId="62"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3" borderId="0" applyNumberFormat="0" applyBorder="0" applyAlignment="0" applyProtection="0"/>
    <xf numFmtId="0" fontId="17" fillId="64"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5" borderId="0" applyNumberFormat="0" applyBorder="0" applyAlignment="0" applyProtection="0"/>
    <xf numFmtId="0" fontId="17" fillId="66"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0" fontId="17" fillId="69" borderId="0" applyNumberFormat="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70" borderId="66" applyNumberFormat="0" applyFont="0" applyAlignment="0" applyProtection="0"/>
    <xf numFmtId="9" fontId="17" fillId="0" borderId="0" applyFont="0" applyFill="0" applyBorder="0" applyAlignment="0" applyProtection="0"/>
    <xf numFmtId="0" fontId="17" fillId="0" borderId="0"/>
    <xf numFmtId="166" fontId="17" fillId="0" borderId="0" applyFont="0" applyFill="0" applyBorder="0" applyAlignment="0" applyProtection="0"/>
    <xf numFmtId="195" fontId="18" fillId="29" borderId="57" applyNumberFormat="0" applyFont="0" applyBorder="0" applyAlignment="0" applyProtection="0">
      <alignment horizontal="right"/>
    </xf>
    <xf numFmtId="176" fontId="29" fillId="15" borderId="57" applyBorder="0">
      <alignment horizontal="right"/>
    </xf>
    <xf numFmtId="177" fontId="114" fillId="0" borderId="57" applyBorder="0"/>
    <xf numFmtId="0" fontId="81" fillId="0" borderId="57" applyNumberFormat="0" applyFill="0" applyProtection="0">
      <alignment horizontal="right"/>
    </xf>
    <xf numFmtId="253" fontId="93" fillId="0" borderId="11" applyBorder="0" applyProtection="0">
      <alignment horizontal="right" vertical="center"/>
    </xf>
    <xf numFmtId="253" fontId="93" fillId="0" borderId="11" applyBorder="0" applyProtection="0">
      <alignment horizontal="right" vertical="center"/>
    </xf>
    <xf numFmtId="0" fontId="17" fillId="58" borderId="0" applyNumberFormat="0" applyBorder="0" applyAlignment="0" applyProtection="0"/>
    <xf numFmtId="0" fontId="17" fillId="59" borderId="0" applyNumberFormat="0" applyBorder="0" applyAlignment="0" applyProtection="0"/>
    <xf numFmtId="0" fontId="17" fillId="60" borderId="0" applyNumberFormat="0" applyBorder="0" applyAlignment="0" applyProtection="0"/>
    <xf numFmtId="0" fontId="17" fillId="61" borderId="0" applyNumberFormat="0" applyBorder="0" applyAlignment="0" applyProtection="0"/>
    <xf numFmtId="0" fontId="17" fillId="62" borderId="0" applyNumberFormat="0" applyBorder="0" applyAlignment="0" applyProtection="0"/>
    <xf numFmtId="0" fontId="17" fillId="63" borderId="0" applyNumberFormat="0" applyBorder="0" applyAlignment="0" applyProtection="0"/>
    <xf numFmtId="0" fontId="17" fillId="64" borderId="0" applyNumberFormat="0" applyBorder="0" applyAlignment="0" applyProtection="0"/>
    <xf numFmtId="0" fontId="17" fillId="65" borderId="0" applyNumberFormat="0" applyBorder="0" applyAlignment="0" applyProtection="0"/>
    <xf numFmtId="0" fontId="17" fillId="66" borderId="0" applyNumberFormat="0" applyBorder="0" applyAlignment="0" applyProtection="0"/>
    <xf numFmtId="0" fontId="17" fillId="67" borderId="0" applyNumberFormat="0" applyBorder="0" applyAlignment="0" applyProtection="0"/>
    <xf numFmtId="0" fontId="17" fillId="68" borderId="0" applyNumberFormat="0" applyBorder="0" applyAlignment="0" applyProtection="0"/>
    <xf numFmtId="0" fontId="17" fillId="69" borderId="0" applyNumberFormat="0" applyBorder="0" applyAlignment="0" applyProtection="0"/>
    <xf numFmtId="293" fontId="275" fillId="0" borderId="59" applyFill="0" applyAlignment="0" applyProtection="0">
      <alignment horizontal="center"/>
    </xf>
    <xf numFmtId="0" fontId="18" fillId="0" borderId="0" applyNumberForma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220" fillId="0" borderId="59" applyFill="0" applyBorder="0" applyProtection="0">
      <alignment horizontal="center" wrapText="1"/>
    </xf>
    <xf numFmtId="0" fontId="17" fillId="0" borderId="0"/>
    <xf numFmtId="0" fontId="17" fillId="0" borderId="0"/>
    <xf numFmtId="0" fontId="17" fillId="0" borderId="0"/>
    <xf numFmtId="0" fontId="17" fillId="0" borderId="0"/>
    <xf numFmtId="0" fontId="17" fillId="70" borderId="66" applyNumberFormat="0" applyFont="0" applyAlignment="0" applyProtection="0"/>
    <xf numFmtId="0" fontId="17" fillId="70" borderId="66" applyNumberFormat="0" applyFont="0" applyAlignment="0" applyProtection="0"/>
    <xf numFmtId="205" fontId="18" fillId="0" borderId="0" applyNumberForma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275" fillId="0" borderId="59" applyNumberFormat="0" applyFill="0" applyAlignment="0" applyProtection="0"/>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8" fillId="0" borderId="0"/>
    <xf numFmtId="44" fontId="18" fillId="0" borderId="0" applyFont="0" applyFill="0" applyBorder="0" applyAlignment="0" applyProtection="0"/>
    <xf numFmtId="0" fontId="17" fillId="0" borderId="0"/>
    <xf numFmtId="195" fontId="18" fillId="29" borderId="46" applyNumberFormat="0" applyFont="0" applyBorder="0" applyAlignment="0" applyProtection="0">
      <alignment horizontal="right"/>
    </xf>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7" fillId="0" borderId="0"/>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7" fillId="0" borderId="0"/>
    <xf numFmtId="195" fontId="18" fillId="29" borderId="46" applyNumberFormat="0" applyFont="0" applyBorder="0" applyAlignment="0" applyProtection="0">
      <alignment horizontal="right"/>
    </xf>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7" fillId="0" borderId="0"/>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7" fillId="0" borderId="0"/>
    <xf numFmtId="0" fontId="17" fillId="0" borderId="0"/>
    <xf numFmtId="0" fontId="17" fillId="0" borderId="0"/>
    <xf numFmtId="166" fontId="17" fillId="0" borderId="0" applyFont="0" applyFill="0" applyBorder="0" applyAlignment="0" applyProtection="0"/>
    <xf numFmtId="9" fontId="17" fillId="0" borderId="0" applyFont="0" applyFill="0" applyBorder="0" applyAlignment="0" applyProtection="0"/>
    <xf numFmtId="0" fontId="17" fillId="70" borderId="66" applyNumberFormat="0" applyFont="0" applyAlignment="0" applyProtection="0"/>
    <xf numFmtId="0" fontId="17" fillId="58" borderId="0" applyNumberFormat="0" applyBorder="0" applyAlignment="0" applyProtection="0"/>
    <xf numFmtId="0" fontId="17" fillId="64" borderId="0" applyNumberFormat="0" applyBorder="0" applyAlignment="0" applyProtection="0"/>
    <xf numFmtId="0" fontId="17" fillId="59" borderId="0" applyNumberFormat="0" applyBorder="0" applyAlignment="0" applyProtection="0"/>
    <xf numFmtId="0" fontId="17" fillId="65" borderId="0" applyNumberFormat="0" applyBorder="0" applyAlignment="0" applyProtection="0"/>
    <xf numFmtId="0" fontId="17" fillId="60" borderId="0" applyNumberFormat="0" applyBorder="0" applyAlignment="0" applyProtection="0"/>
    <xf numFmtId="0" fontId="17" fillId="66" borderId="0" applyNumberFormat="0" applyBorder="0" applyAlignment="0" applyProtection="0"/>
    <xf numFmtId="0" fontId="17" fillId="61" borderId="0" applyNumberFormat="0" applyBorder="0" applyAlignment="0" applyProtection="0"/>
    <xf numFmtId="0" fontId="17" fillId="67" borderId="0" applyNumberFormat="0" applyBorder="0" applyAlignment="0" applyProtection="0"/>
    <xf numFmtId="0" fontId="17" fillId="62" borderId="0" applyNumberFormat="0" applyBorder="0" applyAlignment="0" applyProtection="0"/>
    <xf numFmtId="0" fontId="17" fillId="68" borderId="0" applyNumberFormat="0" applyBorder="0" applyAlignment="0" applyProtection="0"/>
    <xf numFmtId="0" fontId="17" fillId="63" borderId="0" applyNumberFormat="0" applyBorder="0" applyAlignment="0" applyProtection="0"/>
    <xf numFmtId="0" fontId="17" fillId="69" borderId="0" applyNumberFormat="0" applyBorder="0" applyAlignment="0" applyProtection="0"/>
    <xf numFmtId="0" fontId="17" fillId="0" borderId="0"/>
    <xf numFmtId="166" fontId="17" fillId="0" borderId="0" applyFont="0" applyFill="0" applyBorder="0" applyAlignment="0" applyProtection="0"/>
    <xf numFmtId="9" fontId="17" fillId="0" borderId="0" applyFont="0" applyFill="0" applyBorder="0" applyAlignment="0" applyProtection="0"/>
    <xf numFmtId="9" fontId="18" fillId="0" borderId="0" applyFont="0" applyFill="0" applyBorder="0" applyAlignment="0" applyProtection="0"/>
    <xf numFmtId="0" fontId="17" fillId="0" borderId="0"/>
    <xf numFmtId="0" fontId="18" fillId="0" borderId="0" applyNumberFormat="0" applyFill="0" applyBorder="0" applyAlignment="0" applyProtection="0"/>
    <xf numFmtId="0" fontId="175" fillId="32" borderId="11" applyBorder="0" applyProtection="0">
      <alignment horizontal="centerContinuous" vertical="center"/>
    </xf>
    <xf numFmtId="0" fontId="82" fillId="0" borderId="11" applyNumberFormat="0" applyFill="0" applyProtection="0"/>
    <xf numFmtId="213" fontId="18" fillId="96" borderId="0" applyNumberFormat="0" applyFont="0" applyBorder="0" applyAlignment="0">
      <protection locked="0"/>
    </xf>
    <xf numFmtId="323" fontId="18" fillId="0" borderId="0"/>
    <xf numFmtId="0" fontId="81" fillId="0" borderId="57" applyNumberFormat="0" applyFill="0" applyProtection="0">
      <alignment horizontal="right"/>
    </xf>
    <xf numFmtId="195" fontId="18" fillId="29" borderId="57" applyNumberFormat="0" applyFont="0" applyBorder="0" applyAlignment="0" applyProtection="0">
      <alignment horizontal="right"/>
    </xf>
    <xf numFmtId="0" fontId="18" fillId="0" borderId="0" applyNumberFormat="0" applyFill="0" applyBorder="0" applyAlignment="0" applyProtection="0"/>
    <xf numFmtId="0" fontId="97" fillId="0" borderId="0" applyNumberFormat="0" applyFill="0" applyBorder="0" applyAlignment="0" applyProtection="0"/>
    <xf numFmtId="193" fontId="66" fillId="23" borderId="104" applyFont="0">
      <alignment horizontal="right"/>
    </xf>
    <xf numFmtId="0" fontId="18" fillId="0" borderId="106" applyNumberFormat="0" applyFill="0" applyAlignment="0" applyProtection="0"/>
    <xf numFmtId="0" fontId="208" fillId="28" borderId="107" applyNumberFormat="0" applyAlignment="0" applyProtection="0"/>
    <xf numFmtId="8" fontId="138" fillId="0" borderId="108">
      <protection locked="0"/>
    </xf>
    <xf numFmtId="0" fontId="51" fillId="0" borderId="104">
      <alignment horizontal="left" vertical="center"/>
    </xf>
    <xf numFmtId="0" fontId="195" fillId="2" borderId="109" applyNumberFormat="0" applyFont="0" applyAlignment="0" applyProtection="0"/>
    <xf numFmtId="0" fontId="215" fillId="28" borderId="110" applyNumberFormat="0" applyAlignment="0" applyProtection="0"/>
    <xf numFmtId="1" fontId="85" fillId="0" borderId="104" applyFill="0" applyProtection="0">
      <alignment horizontal="right"/>
    </xf>
    <xf numFmtId="0" fontId="97" fillId="0" borderId="0" applyNumberFormat="0" applyFill="0" applyBorder="0" applyAlignment="0" applyProtection="0"/>
    <xf numFmtId="0" fontId="208" fillId="28" borderId="107" applyNumberFormat="0" applyAlignment="0" applyProtection="0"/>
    <xf numFmtId="0" fontId="195" fillId="2" borderId="109" applyNumberFormat="0" applyFont="0" applyAlignment="0" applyProtection="0"/>
    <xf numFmtId="0" fontId="215" fillId="28" borderId="110" applyNumberFormat="0" applyAlignment="0" applyProtection="0"/>
    <xf numFmtId="0" fontId="18" fillId="0" borderId="106" applyNumberFormat="0" applyFill="0" applyAlignment="0" applyProtection="0"/>
    <xf numFmtId="0" fontId="237" fillId="28" borderId="107" applyNumberFormat="0" applyAlignment="0" applyProtection="0"/>
    <xf numFmtId="8" fontId="138" fillId="0" borderId="108">
      <protection locked="0"/>
    </xf>
    <xf numFmtId="0" fontId="29" fillId="0" borderId="104" applyFont="0" applyFill="0" applyBorder="0" applyAlignment="0" applyProtection="0">
      <alignment horizontal="center"/>
    </xf>
    <xf numFmtId="0" fontId="244" fillId="4" borderId="107" applyNumberFormat="0" applyAlignment="0" applyProtection="0"/>
    <xf numFmtId="0" fontId="18" fillId="2" borderId="109" applyNumberFormat="0" applyFont="0" applyAlignment="0" applyProtection="0"/>
    <xf numFmtId="0" fontId="247" fillId="28" borderId="110" applyNumberFormat="0" applyAlignment="0" applyProtection="0"/>
    <xf numFmtId="0" fontId="249" fillId="0" borderId="111" applyNumberFormat="0" applyFill="0" applyAlignment="0" applyProtection="0"/>
    <xf numFmtId="205" fontId="18" fillId="0" borderId="0" applyNumberFormat="0" applyFill="0" applyBorder="0" applyAlignment="0" applyProtection="0"/>
    <xf numFmtId="193" fontId="66" fillId="23" borderId="104" applyFont="0">
      <alignment horizontal="right"/>
    </xf>
    <xf numFmtId="177" fontId="114" fillId="0" borderId="112" applyBorder="0"/>
    <xf numFmtId="0" fontId="114" fillId="0" borderId="112" applyBorder="0"/>
    <xf numFmtId="177" fontId="114" fillId="0" borderId="112" applyBorder="0"/>
    <xf numFmtId="176" fontId="29" fillId="15" borderId="112" applyBorder="0">
      <alignment horizontal="right"/>
    </xf>
    <xf numFmtId="0" fontId="29" fillId="15" borderId="112" applyBorder="0">
      <alignment horizontal="right"/>
    </xf>
    <xf numFmtId="176" fontId="29" fillId="15" borderId="112" applyBorder="0">
      <alignment horizontal="right"/>
    </xf>
    <xf numFmtId="176" fontId="29" fillId="0" borderId="112" applyBorder="0">
      <alignment horizontal="right"/>
    </xf>
    <xf numFmtId="0" fontId="29" fillId="0" borderId="112" applyBorder="0">
      <alignment horizontal="right"/>
    </xf>
    <xf numFmtId="176" fontId="29" fillId="0" borderId="112" applyBorder="0">
      <alignment horizontal="right"/>
    </xf>
    <xf numFmtId="37" fontId="89" fillId="0" borderId="112" applyNumberFormat="0" applyFont="0" applyFill="0" applyAlignment="0" applyProtection="0"/>
    <xf numFmtId="0" fontId="208" fillId="28" borderId="107" applyNumberFormat="0" applyAlignment="0" applyProtection="0"/>
    <xf numFmtId="0" fontId="140" fillId="0" borderId="112" applyNumberFormat="0" applyBorder="0"/>
    <xf numFmtId="195" fontId="18" fillId="29" borderId="112" applyNumberFormat="0" applyFont="0" applyBorder="0" applyAlignment="0" applyProtection="0">
      <alignment horizontal="right"/>
    </xf>
    <xf numFmtId="195" fontId="18" fillId="29" borderId="112" applyNumberFormat="0" applyFont="0" applyBorder="0" applyAlignment="0" applyProtection="0">
      <alignment horizontal="right"/>
    </xf>
    <xf numFmtId="0" fontId="195" fillId="2" borderId="109" applyNumberFormat="0" applyFont="0" applyAlignment="0" applyProtection="0"/>
    <xf numFmtId="0" fontId="215" fillId="28" borderId="110" applyNumberFormat="0" applyAlignment="0" applyProtection="0"/>
    <xf numFmtId="0" fontId="81" fillId="0" borderId="112" applyNumberFormat="0" applyFill="0" applyProtection="0">
      <alignment horizontal="right"/>
    </xf>
    <xf numFmtId="0" fontId="208" fillId="28" borderId="107" applyNumberFormat="0" applyAlignment="0" applyProtection="0"/>
    <xf numFmtId="0" fontId="195" fillId="2" borderId="109" applyNumberFormat="0" applyFont="0" applyAlignment="0" applyProtection="0"/>
    <xf numFmtId="0" fontId="215" fillId="28" borderId="110" applyNumberFormat="0" applyAlignment="0" applyProtection="0"/>
    <xf numFmtId="177" fontId="114" fillId="0" borderId="112" applyBorder="0"/>
    <xf numFmtId="176" fontId="29" fillId="15" borderId="112" applyBorder="0">
      <alignment horizontal="right"/>
    </xf>
    <xf numFmtId="176" fontId="29" fillId="0" borderId="112" applyBorder="0">
      <alignment horizontal="right"/>
    </xf>
    <xf numFmtId="37" fontId="89" fillId="0" borderId="112" applyNumberFormat="0" applyFont="0" applyFill="0" applyAlignment="0" applyProtection="0"/>
    <xf numFmtId="0" fontId="140" fillId="0" borderId="112" applyNumberFormat="0" applyBorder="0"/>
    <xf numFmtId="195" fontId="18" fillId="29" borderId="112" applyNumberFormat="0" applyFont="0" applyBorder="0" applyAlignment="0" applyProtection="0">
      <alignment horizontal="right"/>
    </xf>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0" borderId="0"/>
    <xf numFmtId="166"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0" borderId="0"/>
    <xf numFmtId="166" fontId="16" fillId="0" borderId="0" applyFont="0" applyFill="0" applyBorder="0" applyAlignment="0" applyProtection="0"/>
    <xf numFmtId="0" fontId="18" fillId="0" borderId="0" applyNumberFormat="0" applyFill="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8" fillId="0" borderId="0" applyNumberForma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33" fillId="75" borderId="113">
      <alignment horizontal="left" vertical="center" wrapText="1"/>
    </xf>
    <xf numFmtId="0" fontId="16" fillId="0" borderId="0"/>
    <xf numFmtId="0" fontId="16" fillId="0" borderId="0"/>
    <xf numFmtId="0" fontId="16" fillId="0" borderId="0"/>
    <xf numFmtId="0" fontId="16" fillId="0" borderId="0"/>
    <xf numFmtId="0" fontId="16" fillId="70" borderId="66" applyNumberFormat="0" applyFont="0" applyAlignment="0" applyProtection="0"/>
    <xf numFmtId="0" fontId="16" fillId="70" borderId="66" applyNumberFormat="0" applyFont="0" applyAlignment="0" applyProtection="0"/>
    <xf numFmtId="205" fontId="18" fillId="0" borderId="0" applyNumberForma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 fontId="139" fillId="0" borderId="104" applyFill="0" applyBorder="0" applyProtection="0">
      <alignment horizontal="right"/>
    </xf>
    <xf numFmtId="292" fontId="275" fillId="0" borderId="112" applyNumberFormat="0" applyFill="0" applyAlignment="0" applyProtection="0"/>
    <xf numFmtId="0" fontId="135" fillId="2" borderId="109" applyNumberFormat="0" applyFont="0" applyAlignment="0" applyProtection="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0" borderId="0"/>
    <xf numFmtId="0" fontId="99" fillId="0" borderId="114" applyNumberFormat="0" applyFill="0" applyAlignment="0" applyProtection="0"/>
    <xf numFmtId="0" fontId="140" fillId="0" borderId="112" applyNumberFormat="0" applyBorder="0"/>
    <xf numFmtId="37" fontId="89" fillId="0" borderId="112" applyNumberFormat="0" applyFont="0" applyFill="0" applyAlignment="0" applyProtection="0"/>
    <xf numFmtId="176" fontId="29" fillId="0" borderId="112" applyBorder="0">
      <alignment horizontal="right"/>
    </xf>
    <xf numFmtId="195" fontId="18" fillId="29" borderId="112" applyNumberFormat="0" applyFont="0" applyBorder="0" applyAlignment="0" applyProtection="0">
      <alignment horizontal="right"/>
    </xf>
    <xf numFmtId="0" fontId="126" fillId="0" borderId="59" applyNumberFormat="0" applyFill="0" applyAlignment="0" applyProtection="0"/>
    <xf numFmtId="0" fontId="124" fillId="0" borderId="59"/>
    <xf numFmtId="0" fontId="124" fillId="0" borderId="59"/>
    <xf numFmtId="253" fontId="93" fillId="0" borderId="59" applyBorder="0" applyProtection="0">
      <alignment horizontal="right" vertical="center"/>
    </xf>
    <xf numFmtId="0" fontId="175" fillId="32" borderId="59" applyBorder="0" applyProtection="0">
      <alignment horizontal="centerContinuous" vertical="center"/>
    </xf>
    <xf numFmtId="0" fontId="126" fillId="0" borderId="59" applyNumberFormat="0" applyFill="0" applyAlignment="0" applyProtection="0"/>
    <xf numFmtId="0" fontId="124" fillId="0" borderId="59"/>
    <xf numFmtId="0" fontId="124" fillId="0" borderId="59"/>
    <xf numFmtId="3" fontId="115" fillId="24" borderId="115" applyBorder="0">
      <protection locked="0"/>
    </xf>
    <xf numFmtId="0" fontId="18" fillId="0" borderId="106" applyNumberFormat="0" applyFill="0" applyAlignment="0" applyProtection="0"/>
    <xf numFmtId="0" fontId="18" fillId="0" borderId="106" applyNumberFormat="0" applyFill="0" applyAlignment="0" applyProtection="0"/>
    <xf numFmtId="0" fontId="18" fillId="2" borderId="109" applyNumberFormat="0" applyFont="0" applyAlignment="0" applyProtection="0"/>
    <xf numFmtId="0" fontId="126" fillId="0" borderId="59" applyNumberFormat="0" applyFill="0" applyAlignment="0" applyProtection="0"/>
    <xf numFmtId="253" fontId="93" fillId="0" borderId="59" applyBorder="0" applyProtection="0">
      <alignment horizontal="right" vertical="center"/>
    </xf>
    <xf numFmtId="0" fontId="82" fillId="0" borderId="59" applyNumberFormat="0" applyFill="0" applyProtection="0"/>
    <xf numFmtId="0" fontId="126" fillId="0" borderId="59" applyNumberFormat="0" applyFill="0" applyAlignment="0" applyProtection="0"/>
    <xf numFmtId="195" fontId="18" fillId="29" borderId="112" applyNumberFormat="0" applyFont="0" applyBorder="0" applyAlignment="0" applyProtection="0">
      <alignment horizontal="right"/>
    </xf>
    <xf numFmtId="195" fontId="18" fillId="29" borderId="112" applyNumberFormat="0" applyFont="0" applyBorder="0" applyAlignment="0" applyProtection="0">
      <alignment horizontal="right"/>
    </xf>
    <xf numFmtId="195" fontId="18" fillId="29" borderId="112" applyNumberFormat="0" applyFont="0" applyBorder="0" applyAlignment="0" applyProtection="0">
      <alignment horizontal="right"/>
    </xf>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0" borderId="0"/>
    <xf numFmtId="166"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58"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9" fontId="16" fillId="0" borderId="0" applyFont="0" applyFill="0" applyBorder="0" applyAlignment="0" applyProtection="0"/>
    <xf numFmtId="0" fontId="16" fillId="0" borderId="0"/>
    <xf numFmtId="166" fontId="16" fillId="0" borderId="0" applyFont="0" applyFill="0" applyBorder="0" applyAlignment="0" applyProtection="0"/>
    <xf numFmtId="195" fontId="18" fillId="29" borderId="112" applyNumberFormat="0" applyFont="0" applyBorder="0" applyAlignment="0" applyProtection="0">
      <alignment horizontal="right"/>
    </xf>
    <xf numFmtId="176" fontId="29" fillId="15" borderId="112" applyBorder="0">
      <alignment horizontal="right"/>
    </xf>
    <xf numFmtId="177" fontId="114" fillId="0" borderId="112" applyBorder="0"/>
    <xf numFmtId="0" fontId="81" fillId="0" borderId="112" applyNumberFormat="0" applyFill="0" applyProtection="0">
      <alignment horizontal="right"/>
    </xf>
    <xf numFmtId="253" fontId="93" fillId="0" borderId="59" applyBorder="0" applyProtection="0">
      <alignment horizontal="right" vertical="center"/>
    </xf>
    <xf numFmtId="253" fontId="93" fillId="0" borderId="59" applyBorder="0" applyProtection="0">
      <alignment horizontal="right" vertical="center"/>
    </xf>
    <xf numFmtId="0" fontId="16" fillId="58" borderId="0" applyNumberFormat="0" applyBorder="0" applyAlignment="0" applyProtection="0"/>
    <xf numFmtId="0" fontId="16" fillId="59" borderId="0" applyNumberFormat="0" applyBorder="0" applyAlignment="0" applyProtection="0"/>
    <xf numFmtId="0" fontId="16" fillId="60" borderId="0" applyNumberFormat="0" applyBorder="0" applyAlignment="0" applyProtection="0"/>
    <xf numFmtId="0" fontId="16" fillId="61"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16" fillId="68" borderId="0" applyNumberFormat="0" applyBorder="0" applyAlignment="0" applyProtection="0"/>
    <xf numFmtId="0" fontId="16" fillId="69" borderId="0" applyNumberFormat="0" applyBorder="0" applyAlignment="0" applyProtection="0"/>
    <xf numFmtId="166" fontId="16" fillId="0" borderId="0" applyFont="0" applyFill="0" applyBorder="0" applyAlignment="0" applyProtection="0"/>
    <xf numFmtId="166"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70" borderId="66" applyNumberFormat="0" applyFont="0" applyAlignment="0" applyProtection="0"/>
    <xf numFmtId="0" fontId="16" fillId="70" borderId="66" applyNumberFormat="0" applyFont="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0" fontId="16" fillId="0" borderId="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70" borderId="66" applyNumberFormat="0" applyFont="0" applyAlignment="0" applyProtection="0"/>
    <xf numFmtId="0" fontId="16" fillId="58" borderId="0" applyNumberFormat="0" applyBorder="0" applyAlignment="0" applyProtection="0"/>
    <xf numFmtId="0" fontId="16" fillId="64" borderId="0" applyNumberFormat="0" applyBorder="0" applyAlignment="0" applyProtection="0"/>
    <xf numFmtId="0" fontId="16" fillId="59" borderId="0" applyNumberFormat="0" applyBorder="0" applyAlignment="0" applyProtection="0"/>
    <xf numFmtId="0" fontId="16" fillId="65" borderId="0" applyNumberFormat="0" applyBorder="0" applyAlignment="0" applyProtection="0"/>
    <xf numFmtId="0" fontId="16" fillId="60" borderId="0" applyNumberFormat="0" applyBorder="0" applyAlignment="0" applyProtection="0"/>
    <xf numFmtId="0" fontId="16" fillId="66" borderId="0" applyNumberFormat="0" applyBorder="0" applyAlignment="0" applyProtection="0"/>
    <xf numFmtId="0" fontId="16" fillId="61" borderId="0" applyNumberFormat="0" applyBorder="0" applyAlignment="0" applyProtection="0"/>
    <xf numFmtId="0" fontId="16" fillId="67" borderId="0" applyNumberFormat="0" applyBorder="0" applyAlignment="0" applyProtection="0"/>
    <xf numFmtId="0" fontId="16" fillId="62" borderId="0" applyNumberFormat="0" applyBorder="0" applyAlignment="0" applyProtection="0"/>
    <xf numFmtId="0" fontId="16" fillId="68" borderId="0" applyNumberFormat="0" applyBorder="0" applyAlignment="0" applyProtection="0"/>
    <xf numFmtId="0" fontId="16" fillId="63" borderId="0" applyNumberFormat="0" applyBorder="0" applyAlignment="0" applyProtection="0"/>
    <xf numFmtId="0" fontId="16" fillId="69" borderId="0" applyNumberFormat="0" applyBorder="0" applyAlignment="0" applyProtection="0"/>
    <xf numFmtId="0" fontId="16" fillId="0" borderId="0"/>
    <xf numFmtId="166" fontId="16" fillId="0" borderId="0" applyFont="0" applyFill="0" applyBorder="0" applyAlignment="0" applyProtection="0"/>
    <xf numFmtId="9" fontId="16" fillId="0" borderId="0" applyFont="0" applyFill="0" applyBorder="0" applyAlignment="0" applyProtection="0"/>
    <xf numFmtId="0" fontId="16" fillId="0" borderId="0"/>
    <xf numFmtId="0" fontId="175" fillId="32" borderId="59" applyBorder="0" applyProtection="0">
      <alignment horizontal="centerContinuous" vertical="center"/>
    </xf>
    <xf numFmtId="0" fontId="82" fillId="0" borderId="59" applyNumberFormat="0" applyFill="0" applyProtection="0"/>
    <xf numFmtId="0" fontId="81" fillId="0" borderId="112" applyNumberFormat="0" applyFill="0" applyProtection="0">
      <alignment horizontal="right"/>
    </xf>
    <xf numFmtId="195" fontId="18" fillId="29" borderId="112" applyNumberFormat="0" applyFont="0" applyBorder="0" applyAlignment="0" applyProtection="0">
      <alignment horizontal="right"/>
    </xf>
    <xf numFmtId="205" fontId="18" fillId="0" borderId="0" applyNumberFormat="0" applyFill="0" applyBorder="0" applyAlignment="0" applyProtection="0"/>
    <xf numFmtId="0" fontId="18" fillId="0" borderId="0" applyNumberFormat="0" applyFill="0" applyBorder="0" applyAlignment="0" applyProtection="0"/>
    <xf numFmtId="0" fontId="97" fillId="0" borderId="0" applyNumberFormat="0" applyFill="0" applyBorder="0" applyAlignment="0" applyProtection="0"/>
    <xf numFmtId="176" fontId="29" fillId="0" borderId="125" applyBorder="0">
      <alignment horizontal="right"/>
    </xf>
    <xf numFmtId="177" fontId="114" fillId="0" borderId="125" applyBorder="0"/>
    <xf numFmtId="0" fontId="215" fillId="28" borderId="123" applyNumberFormat="0" applyAlignment="0" applyProtection="0"/>
    <xf numFmtId="0" fontId="195" fillId="2" borderId="122" applyNumberFormat="0" applyFont="0" applyAlignment="0" applyProtection="0"/>
    <xf numFmtId="0" fontId="208" fillId="28" borderId="121" applyNumberFormat="0" applyAlignment="0" applyProtection="0"/>
    <xf numFmtId="0" fontId="81" fillId="0" borderId="125" applyNumberFormat="0" applyFill="0" applyProtection="0">
      <alignment horizontal="right"/>
    </xf>
    <xf numFmtId="0" fontId="215" fillId="28" borderId="123" applyNumberFormat="0" applyAlignment="0" applyProtection="0"/>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37" fontId="89" fillId="0" borderId="125" applyNumberFormat="0" applyFont="0" applyFill="0" applyAlignment="0" applyProtection="0"/>
    <xf numFmtId="176" fontId="29" fillId="0" borderId="125" applyBorder="0">
      <alignment horizontal="right"/>
    </xf>
    <xf numFmtId="176" fontId="29" fillId="0" borderId="125" applyBorder="0">
      <alignment horizontal="right"/>
    </xf>
    <xf numFmtId="0" fontId="29" fillId="15" borderId="125" applyBorder="0">
      <alignment horizontal="right"/>
    </xf>
    <xf numFmtId="176" fontId="29" fillId="15" borderId="125" applyBorder="0">
      <alignment horizontal="right"/>
    </xf>
    <xf numFmtId="177" fontId="114" fillId="0" borderId="125" applyBorder="0"/>
    <xf numFmtId="177" fontId="114" fillId="0" borderId="125" applyBorder="0"/>
    <xf numFmtId="0" fontId="247" fillId="28" borderId="123" applyNumberFormat="0" applyAlignment="0" applyProtection="0"/>
    <xf numFmtId="0" fontId="18" fillId="2" borderId="122" applyNumberFormat="0" applyFont="0" applyAlignment="0" applyProtection="0"/>
    <xf numFmtId="0" fontId="244" fillId="4" borderId="121" applyNumberFormat="0" applyAlignment="0" applyProtection="0"/>
    <xf numFmtId="0" fontId="237" fillId="28" borderId="121" applyNumberFormat="0" applyAlignment="0" applyProtection="0"/>
    <xf numFmtId="0" fontId="18" fillId="0" borderId="120" applyNumberFormat="0" applyFill="0" applyAlignment="0" applyProtection="0"/>
    <xf numFmtId="0" fontId="215" fillId="28" borderId="123" applyNumberFormat="0" applyAlignment="0" applyProtection="0"/>
    <xf numFmtId="0" fontId="208" fillId="28" borderId="121" applyNumberFormat="0" applyAlignment="0" applyProtection="0"/>
    <xf numFmtId="0" fontId="215" fillId="28" borderId="123" applyNumberFormat="0" applyAlignment="0" applyProtection="0"/>
    <xf numFmtId="0" fontId="195" fillId="2" borderId="122" applyNumberFormat="0" applyFont="0" applyAlignment="0" applyProtection="0"/>
    <xf numFmtId="176" fontId="29" fillId="15" borderId="125" applyBorder="0">
      <alignment horizontal="right"/>
    </xf>
    <xf numFmtId="0" fontId="195" fillId="2" borderId="122" applyNumberFormat="0" applyFont="0" applyAlignment="0" applyProtection="0"/>
    <xf numFmtId="176" fontId="29" fillId="15" borderId="125" applyBorder="0">
      <alignment horizontal="right"/>
    </xf>
    <xf numFmtId="0" fontId="114" fillId="0" borderId="125" applyBorder="0"/>
    <xf numFmtId="0" fontId="195" fillId="2" borderId="122" applyNumberFormat="0" applyFont="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97" fillId="0" borderId="0" applyNumberForma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35" fillId="2" borderId="122" applyNumberFormat="0" applyFont="0" applyAlignment="0" applyProtection="0"/>
    <xf numFmtId="292" fontId="275" fillId="0" borderId="125" applyNumberFormat="0" applyFill="0" applyAlignment="0" applyProtection="0"/>
    <xf numFmtId="195" fontId="18" fillId="29" borderId="125" applyNumberFormat="0" applyFont="0" applyBorder="0" applyAlignment="0" applyProtection="0">
      <alignment horizontal="right"/>
    </xf>
    <xf numFmtId="0" fontId="140" fillId="0" borderId="125" applyNumberFormat="0" applyBorder="0"/>
    <xf numFmtId="0" fontId="140" fillId="0" borderId="125" applyNumberFormat="0" applyBorder="0"/>
    <xf numFmtId="0" fontId="208" fillId="28" borderId="121" applyNumberFormat="0" applyAlignment="0" applyProtection="0"/>
    <xf numFmtId="0" fontId="29" fillId="0" borderId="125" applyBorder="0">
      <alignment horizontal="right"/>
    </xf>
    <xf numFmtId="0" fontId="249" fillId="0" borderId="124" applyNumberFormat="0" applyFill="0" applyAlignment="0" applyProtection="0"/>
    <xf numFmtId="0" fontId="15" fillId="58"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8" fillId="0" borderId="0" applyNumberForma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0" fontId="15" fillId="70" borderId="66" applyNumberFormat="0" applyFont="0" applyAlignment="0" applyProtection="0"/>
    <xf numFmtId="205" fontId="18" fillId="0" borderId="0" applyNumberForma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8" fillId="0" borderId="120" applyNumberFormat="0" applyFill="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0" borderId="0"/>
    <xf numFmtId="37" fontId="89" fillId="0" borderId="125" applyNumberFormat="0" applyFont="0" applyFill="0" applyAlignment="0" applyProtection="0"/>
    <xf numFmtId="0" fontId="208" fillId="28" borderId="121" applyNumberFormat="0" applyAlignment="0" applyProtection="0"/>
    <xf numFmtId="0" fontId="114" fillId="0" borderId="112" applyBorder="0"/>
    <xf numFmtId="177" fontId="114" fillId="0" borderId="112" applyBorder="0"/>
    <xf numFmtId="0" fontId="29" fillId="15" borderId="112" applyBorder="0">
      <alignment horizontal="right"/>
    </xf>
    <xf numFmtId="176" fontId="29" fillId="15" borderId="112" applyBorder="0">
      <alignment horizontal="right"/>
    </xf>
    <xf numFmtId="0" fontId="29" fillId="0" borderId="112" applyBorder="0">
      <alignment horizontal="right"/>
    </xf>
    <xf numFmtId="176" fontId="29" fillId="0" borderId="112" applyBorder="0">
      <alignment horizontal="right"/>
    </xf>
    <xf numFmtId="195" fontId="18" fillId="29" borderId="112" applyNumberFormat="0" applyFont="0" applyBorder="0" applyAlignment="0" applyProtection="0">
      <alignment horizontal="right"/>
    </xf>
    <xf numFmtId="195" fontId="18" fillId="29" borderId="112" applyNumberFormat="0" applyFont="0" applyBorder="0" applyAlignment="0" applyProtection="0">
      <alignment horizontal="right"/>
    </xf>
    <xf numFmtId="195" fontId="18" fillId="29" borderId="112" applyNumberFormat="0" applyFont="0" applyBorder="0" applyAlignment="0" applyProtection="0">
      <alignment horizontal="right"/>
    </xf>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95" fontId="18" fillId="29" borderId="112" applyNumberFormat="0" applyFont="0" applyBorder="0" applyAlignment="0" applyProtection="0">
      <alignment horizontal="right"/>
    </xf>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0" fontId="15" fillId="70" borderId="66"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95" fontId="18" fillId="29" borderId="112" applyNumberFormat="0" applyFont="0" applyBorder="0" applyAlignment="0" applyProtection="0">
      <alignment horizontal="right"/>
    </xf>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95" fontId="18" fillId="29" borderId="112" applyNumberFormat="0" applyFont="0" applyBorder="0" applyAlignment="0" applyProtection="0">
      <alignment horizontal="right"/>
    </xf>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0" borderId="0"/>
    <xf numFmtId="8" fontId="138" fillId="0" borderId="116">
      <protection locked="0"/>
    </xf>
    <xf numFmtId="8" fontId="138" fillId="0" borderId="116">
      <protection locked="0"/>
    </xf>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33" fillId="75" borderId="117">
      <alignment horizontal="left" vertical="center" wrapText="1"/>
    </xf>
    <xf numFmtId="0" fontId="15" fillId="0" borderId="0"/>
    <xf numFmtId="0" fontId="15" fillId="0" borderId="0"/>
    <xf numFmtId="0" fontId="15" fillId="0" borderId="0"/>
    <xf numFmtId="0" fontId="15" fillId="0" borderId="0"/>
    <xf numFmtId="0" fontId="15" fillId="70" borderId="66" applyNumberFormat="0" applyFont="0" applyAlignment="0" applyProtection="0"/>
    <xf numFmtId="0" fontId="15" fillId="70" borderId="66"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0" borderId="0"/>
    <xf numFmtId="0" fontId="99" fillId="0" borderId="118" applyNumberFormat="0" applyFill="0" applyAlignment="0" applyProtection="0"/>
    <xf numFmtId="3" fontId="115" fillId="24" borderId="119" applyBorder="0">
      <protection locked="0"/>
    </xf>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9" fontId="15" fillId="0" borderId="0" applyFont="0" applyFill="0" applyBorder="0" applyAlignment="0" applyProtection="0"/>
    <xf numFmtId="0" fontId="15" fillId="0" borderId="0"/>
    <xf numFmtId="166" fontId="15" fillId="0" borderId="0" applyFont="0" applyFill="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15" fillId="64" borderId="0" applyNumberFormat="0" applyBorder="0" applyAlignment="0" applyProtection="0"/>
    <xf numFmtId="0" fontId="15" fillId="65" borderId="0" applyNumberFormat="0" applyBorder="0" applyAlignment="0" applyProtection="0"/>
    <xf numFmtId="0" fontId="15" fillId="66" borderId="0" applyNumberFormat="0" applyBorder="0" applyAlignment="0" applyProtection="0"/>
    <xf numFmtId="0" fontId="15" fillId="67" borderId="0" applyNumberFormat="0" applyBorder="0" applyAlignment="0" applyProtection="0"/>
    <xf numFmtId="0" fontId="15" fillId="68" borderId="0" applyNumberFormat="0" applyBorder="0" applyAlignment="0" applyProtection="0"/>
    <xf numFmtId="0" fontId="15" fillId="69" borderId="0" applyNumberFormat="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70" borderId="66" applyNumberFormat="0" applyFont="0" applyAlignment="0" applyProtection="0"/>
    <xf numFmtId="0" fontId="15" fillId="70" borderId="66" applyNumberFormat="0" applyFont="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0" fontId="15" fillId="0" borderId="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70" borderId="66" applyNumberFormat="0" applyFont="0" applyAlignment="0" applyProtection="0"/>
    <xf numFmtId="0" fontId="15" fillId="58" borderId="0" applyNumberFormat="0" applyBorder="0" applyAlignment="0" applyProtection="0"/>
    <xf numFmtId="0" fontId="15" fillId="64" borderId="0" applyNumberFormat="0" applyBorder="0" applyAlignment="0" applyProtection="0"/>
    <xf numFmtId="0" fontId="15" fillId="59" borderId="0" applyNumberFormat="0" applyBorder="0" applyAlignment="0" applyProtection="0"/>
    <xf numFmtId="0" fontId="15" fillId="65" borderId="0" applyNumberFormat="0" applyBorder="0" applyAlignment="0" applyProtection="0"/>
    <xf numFmtId="0" fontId="15" fillId="60" borderId="0" applyNumberFormat="0" applyBorder="0" applyAlignment="0" applyProtection="0"/>
    <xf numFmtId="0" fontId="15" fillId="66" borderId="0" applyNumberFormat="0" applyBorder="0" applyAlignment="0" applyProtection="0"/>
    <xf numFmtId="0" fontId="15" fillId="61" borderId="0" applyNumberFormat="0" applyBorder="0" applyAlignment="0" applyProtection="0"/>
    <xf numFmtId="0" fontId="15" fillId="67" borderId="0" applyNumberFormat="0" applyBorder="0" applyAlignment="0" applyProtection="0"/>
    <xf numFmtId="0" fontId="15" fillId="62" borderId="0" applyNumberFormat="0" applyBorder="0" applyAlignment="0" applyProtection="0"/>
    <xf numFmtId="0" fontId="15" fillId="68" borderId="0" applyNumberFormat="0" applyBorder="0" applyAlignment="0" applyProtection="0"/>
    <xf numFmtId="0" fontId="15" fillId="63" borderId="0" applyNumberFormat="0" applyBorder="0" applyAlignment="0" applyProtection="0"/>
    <xf numFmtId="0" fontId="15" fillId="69" borderId="0" applyNumberFormat="0" applyBorder="0" applyAlignment="0" applyProtection="0"/>
    <xf numFmtId="0" fontId="15" fillId="0" borderId="0"/>
    <xf numFmtId="166" fontId="15" fillId="0" borderId="0" applyFont="0" applyFill="0" applyBorder="0" applyAlignment="0" applyProtection="0"/>
    <xf numFmtId="9" fontId="15" fillId="0" borderId="0" applyFont="0" applyFill="0" applyBorder="0" applyAlignment="0" applyProtection="0"/>
    <xf numFmtId="0" fontId="15" fillId="0" borderId="0"/>
    <xf numFmtId="0" fontId="140" fillId="0" borderId="125" applyNumberFormat="0" applyBorder="0"/>
    <xf numFmtId="37" fontId="89" fillId="0" borderId="125" applyNumberFormat="0" applyFont="0" applyFill="0" applyAlignment="0" applyProtection="0"/>
    <xf numFmtId="176" fontId="29" fillId="0" borderId="125" applyBorder="0">
      <alignment horizontal="right"/>
    </xf>
    <xf numFmtId="195" fontId="18" fillId="29" borderId="125" applyNumberFormat="0" applyFont="0" applyBorder="0" applyAlignment="0" applyProtection="0">
      <alignment horizontal="right"/>
    </xf>
    <xf numFmtId="0" fontId="18" fillId="0" borderId="120" applyNumberFormat="0" applyFill="0" applyAlignment="0" applyProtection="0"/>
    <xf numFmtId="0" fontId="18" fillId="0" borderId="120" applyNumberFormat="0" applyFill="0" applyAlignment="0" applyProtection="0"/>
    <xf numFmtId="0" fontId="18" fillId="2" borderId="122" applyNumberFormat="0" applyFont="0" applyAlignment="0" applyProtection="0"/>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76" fontId="29" fillId="15" borderId="125" applyBorder="0">
      <alignment horizontal="right"/>
    </xf>
    <xf numFmtId="177" fontId="114" fillId="0" borderId="125" applyBorder="0"/>
    <xf numFmtId="0" fontId="81" fillId="0" borderId="125" applyNumberFormat="0" applyFill="0" applyProtection="0">
      <alignment horizontal="right"/>
    </xf>
    <xf numFmtId="0" fontId="81" fillId="0" borderId="125" applyNumberFormat="0" applyFill="0" applyProtection="0">
      <alignment horizontal="right"/>
    </xf>
    <xf numFmtId="195" fontId="18" fillId="29" borderId="125" applyNumberFormat="0" applyFont="0" applyBorder="0" applyAlignment="0" applyProtection="0">
      <alignment horizontal="right"/>
    </xf>
    <xf numFmtId="0" fontId="18" fillId="0" borderId="120" applyNumberFormat="0" applyFill="0" applyAlignment="0" applyProtection="0"/>
    <xf numFmtId="0" fontId="208" fillId="28" borderId="121" applyNumberFormat="0" applyAlignment="0" applyProtection="0"/>
    <xf numFmtId="8" fontId="138" fillId="0" borderId="126">
      <protection locked="0"/>
    </xf>
    <xf numFmtId="0" fontId="195" fillId="2" borderId="122" applyNumberFormat="0" applyFont="0" applyAlignment="0" applyProtection="0"/>
    <xf numFmtId="0" fontId="215" fillId="28" borderId="123" applyNumberFormat="0" applyAlignment="0" applyProtection="0"/>
    <xf numFmtId="0" fontId="208" fillId="28" borderId="121" applyNumberFormat="0" applyAlignment="0" applyProtection="0"/>
    <xf numFmtId="0" fontId="195" fillId="2" borderId="122" applyNumberFormat="0" applyFont="0" applyAlignment="0" applyProtection="0"/>
    <xf numFmtId="0" fontId="215" fillId="28" borderId="123" applyNumberFormat="0" applyAlignment="0" applyProtection="0"/>
    <xf numFmtId="0" fontId="18" fillId="0" borderId="120" applyNumberFormat="0" applyFill="0" applyAlignment="0" applyProtection="0"/>
    <xf numFmtId="0" fontId="237" fillId="28" borderId="121" applyNumberFormat="0" applyAlignment="0" applyProtection="0"/>
    <xf numFmtId="8" fontId="138" fillId="0" borderId="126">
      <protection locked="0"/>
    </xf>
    <xf numFmtId="0" fontId="244" fillId="4" borderId="121" applyNumberFormat="0" applyAlignment="0" applyProtection="0"/>
    <xf numFmtId="0" fontId="18" fillId="2" borderId="122" applyNumberFormat="0" applyFont="0" applyAlignment="0" applyProtection="0"/>
    <xf numFmtId="0" fontId="247" fillId="28" borderId="123" applyNumberFormat="0" applyAlignment="0" applyProtection="0"/>
    <xf numFmtId="0" fontId="249" fillId="0" borderId="124" applyNumberFormat="0" applyFill="0" applyAlignment="0" applyProtection="0"/>
    <xf numFmtId="177" fontId="114" fillId="0" borderId="125" applyBorder="0"/>
    <xf numFmtId="0" fontId="114" fillId="0" borderId="125" applyBorder="0"/>
    <xf numFmtId="177" fontId="114" fillId="0" borderId="125" applyBorder="0"/>
    <xf numFmtId="176" fontId="29" fillId="15" borderId="125" applyBorder="0">
      <alignment horizontal="right"/>
    </xf>
    <xf numFmtId="0" fontId="29" fillId="15" borderId="125" applyBorder="0">
      <alignment horizontal="right"/>
    </xf>
    <xf numFmtId="176" fontId="29" fillId="15" borderId="125" applyBorder="0">
      <alignment horizontal="right"/>
    </xf>
    <xf numFmtId="176" fontId="29" fillId="0" borderId="125" applyBorder="0">
      <alignment horizontal="right"/>
    </xf>
    <xf numFmtId="0" fontId="29" fillId="0" borderId="125" applyBorder="0">
      <alignment horizontal="right"/>
    </xf>
    <xf numFmtId="176" fontId="29" fillId="0" borderId="125" applyBorder="0">
      <alignment horizontal="right"/>
    </xf>
    <xf numFmtId="37" fontId="89" fillId="0" borderId="125" applyNumberFormat="0" applyFont="0" applyFill="0" applyAlignment="0" applyProtection="0"/>
    <xf numFmtId="0" fontId="208" fillId="28" borderId="121" applyNumberFormat="0" applyAlignment="0" applyProtection="0"/>
    <xf numFmtId="0" fontId="140" fillId="0" borderId="125" applyNumberFormat="0" applyBorder="0"/>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0" fontId="195" fillId="2" borderId="122" applyNumberFormat="0" applyFont="0" applyAlignment="0" applyProtection="0"/>
    <xf numFmtId="0" fontId="215" fillId="28" borderId="123" applyNumberFormat="0" applyAlignment="0" applyProtection="0"/>
    <xf numFmtId="0" fontId="81" fillId="0" borderId="125" applyNumberFormat="0" applyFill="0" applyProtection="0">
      <alignment horizontal="right"/>
    </xf>
    <xf numFmtId="0" fontId="208" fillId="28" borderId="121" applyNumberFormat="0" applyAlignment="0" applyProtection="0"/>
    <xf numFmtId="0" fontId="195" fillId="2" borderId="122" applyNumberFormat="0" applyFont="0" applyAlignment="0" applyProtection="0"/>
    <xf numFmtId="0" fontId="215" fillId="28" borderId="123" applyNumberFormat="0" applyAlignment="0" applyProtection="0"/>
    <xf numFmtId="177" fontId="114" fillId="0" borderId="125" applyBorder="0"/>
    <xf numFmtId="176" fontId="29" fillId="15" borderId="125" applyBorder="0">
      <alignment horizontal="right"/>
    </xf>
    <xf numFmtId="176" fontId="29" fillId="0" borderId="125" applyBorder="0">
      <alignment horizontal="right"/>
    </xf>
    <xf numFmtId="37" fontId="89" fillId="0" borderId="125" applyNumberFormat="0" applyFont="0" applyFill="0" applyAlignment="0" applyProtection="0"/>
    <xf numFmtId="0" fontId="140" fillId="0" borderId="125" applyNumberFormat="0" applyBorder="0"/>
    <xf numFmtId="195" fontId="18" fillId="29" borderId="125" applyNumberFormat="0" applyFont="0" applyBorder="0" applyAlignment="0" applyProtection="0">
      <alignment horizontal="right"/>
    </xf>
    <xf numFmtId="0" fontId="33" fillId="75" borderId="127">
      <alignment horizontal="left" vertical="center" wrapText="1"/>
    </xf>
    <xf numFmtId="292" fontId="275" fillId="0" borderId="125" applyNumberFormat="0" applyFill="0" applyAlignment="0" applyProtection="0"/>
    <xf numFmtId="0" fontId="135" fillId="2" borderId="122" applyNumberFormat="0" applyFont="0" applyAlignment="0" applyProtection="0"/>
    <xf numFmtId="0" fontId="99" fillId="0" borderId="128" applyNumberFormat="0" applyFill="0" applyAlignment="0" applyProtection="0"/>
    <xf numFmtId="0" fontId="140" fillId="0" borderId="125" applyNumberFormat="0" applyBorder="0"/>
    <xf numFmtId="37" fontId="89" fillId="0" borderId="125" applyNumberFormat="0" applyFont="0" applyFill="0" applyAlignment="0" applyProtection="0"/>
    <xf numFmtId="176" fontId="29" fillId="0" borderId="125" applyBorder="0">
      <alignment horizontal="right"/>
    </xf>
    <xf numFmtId="195" fontId="18" fillId="29" borderId="125" applyNumberFormat="0" applyFont="0" applyBorder="0" applyAlignment="0" applyProtection="0">
      <alignment horizontal="right"/>
    </xf>
    <xf numFmtId="3" fontId="115" fillId="24" borderId="129" applyBorder="0">
      <protection locked="0"/>
    </xf>
    <xf numFmtId="0" fontId="18" fillId="0" borderId="120" applyNumberFormat="0" applyFill="0" applyAlignment="0" applyProtection="0"/>
    <xf numFmtId="0" fontId="18" fillId="0" borderId="120" applyNumberFormat="0" applyFill="0" applyAlignment="0" applyProtection="0"/>
    <xf numFmtId="0" fontId="18" fillId="2" borderId="122" applyNumberFormat="0" applyFont="0" applyAlignment="0" applyProtection="0"/>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76" fontId="29" fillId="15" borderId="125" applyBorder="0">
      <alignment horizontal="right"/>
    </xf>
    <xf numFmtId="177" fontId="114" fillId="0" borderId="125" applyBorder="0"/>
    <xf numFmtId="0" fontId="81" fillId="0" borderId="125" applyNumberFormat="0" applyFill="0" applyProtection="0">
      <alignment horizontal="right"/>
    </xf>
    <xf numFmtId="0" fontId="81" fillId="0" borderId="125" applyNumberFormat="0" applyFill="0" applyProtection="0">
      <alignment horizontal="right"/>
    </xf>
    <xf numFmtId="195" fontId="18" fillId="29" borderId="125" applyNumberFormat="0" applyFont="0" applyBorder="0" applyAlignment="0" applyProtection="0">
      <alignment horizontal="right"/>
    </xf>
    <xf numFmtId="0" fontId="97" fillId="0" borderId="0" applyNumberFormat="0" applyFill="0" applyBorder="0" applyAlignment="0" applyProtection="0"/>
    <xf numFmtId="0" fontId="99" fillId="0" borderId="128" applyNumberFormat="0" applyFill="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1"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2"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5"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6"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14" fillId="0" borderId="125" applyBorder="0"/>
    <xf numFmtId="0" fontId="114" fillId="0" borderId="125" applyBorder="0"/>
    <xf numFmtId="177" fontId="114" fillId="0" borderId="125" applyBorder="0"/>
    <xf numFmtId="177" fontId="114" fillId="0" borderId="125" applyBorder="0"/>
    <xf numFmtId="0" fontId="29" fillId="15" borderId="125" applyBorder="0">
      <alignment horizontal="right"/>
    </xf>
    <xf numFmtId="0" fontId="29" fillId="15" borderId="125" applyBorder="0">
      <alignment horizontal="right"/>
    </xf>
    <xf numFmtId="176" fontId="29" fillId="15" borderId="125" applyBorder="0">
      <alignment horizontal="right"/>
    </xf>
    <xf numFmtId="176" fontId="29" fillId="15" borderId="125" applyBorder="0">
      <alignment horizontal="right"/>
    </xf>
    <xf numFmtId="0" fontId="29" fillId="0" borderId="125" applyBorder="0">
      <alignment horizontal="right"/>
    </xf>
    <xf numFmtId="0" fontId="29" fillId="0" borderId="125" applyBorder="0">
      <alignment horizontal="right"/>
    </xf>
    <xf numFmtId="176" fontId="29" fillId="0" borderId="125" applyBorder="0">
      <alignment horizontal="right"/>
    </xf>
    <xf numFmtId="176" fontId="29" fillId="0" borderId="125" applyBorder="0">
      <alignment horizontal="right"/>
    </xf>
    <xf numFmtId="3" fontId="115" fillId="24" borderId="8" applyBorder="0">
      <protection locked="0"/>
    </xf>
    <xf numFmtId="3" fontId="115" fillId="24" borderId="8" applyBorder="0">
      <protection locked="0"/>
    </xf>
    <xf numFmtId="3" fontId="115" fillId="24" borderId="8" applyBorder="0">
      <protection locked="0"/>
    </xf>
    <xf numFmtId="3" fontId="115" fillId="24" borderId="8" applyBorder="0">
      <protection locked="0"/>
    </xf>
    <xf numFmtId="0" fontId="124" fillId="0" borderId="11"/>
    <xf numFmtId="0" fontId="124" fillId="0" borderId="11"/>
    <xf numFmtId="0" fontId="124" fillId="0" borderId="11"/>
    <xf numFmtId="0" fontId="124" fillId="0" borderId="11"/>
    <xf numFmtId="0" fontId="124" fillId="0" borderId="11"/>
    <xf numFmtId="0" fontId="126" fillId="0" borderId="11" applyNumberFormat="0" applyFill="0" applyAlignment="0" applyProtection="0"/>
    <xf numFmtId="0" fontId="126" fillId="0" borderId="11" applyNumberFormat="0" applyFill="0" applyAlignment="0" applyProtection="0"/>
    <xf numFmtId="0" fontId="126" fillId="0" borderId="11" applyNumberFormat="0" applyFill="0" applyAlignment="0" applyProtection="0"/>
    <xf numFmtId="0" fontId="126" fillId="0" borderId="11" applyNumberFormat="0" applyFill="0" applyAlignment="0" applyProtection="0"/>
    <xf numFmtId="0" fontId="126" fillId="0" borderId="11" applyNumberFormat="0" applyFill="0" applyAlignment="0" applyProtection="0"/>
    <xf numFmtId="293" fontId="275" fillId="0" borderId="11" applyFill="0" applyAlignment="0" applyProtection="0">
      <alignment horizontal="center"/>
    </xf>
    <xf numFmtId="0" fontId="18" fillId="0" borderId="0" applyNumberForma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8" fontId="138" fillId="0" borderId="126">
      <protection locked="0"/>
    </xf>
    <xf numFmtId="8" fontId="138" fillId="0" borderId="126">
      <protection locked="0"/>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195" fontId="18" fillId="29" borderId="125" applyNumberFormat="0" applyFont="0" applyBorder="0" applyAlignment="0" applyProtection="0">
      <alignment horizontal="right"/>
    </xf>
    <xf numFmtId="0" fontId="220" fillId="0" borderId="11" applyFill="0" applyBorder="0" applyProtection="0">
      <alignment horizontal="center" wrapText="1"/>
    </xf>
    <xf numFmtId="0" fontId="33" fillId="75" borderId="127">
      <alignment horizontal="left" vertical="center" wrapText="1"/>
    </xf>
    <xf numFmtId="0" fontId="97"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0" fontId="14" fillId="70" borderId="66" applyNumberFormat="0" applyFont="0" applyAlignment="0" applyProtection="0"/>
    <xf numFmtId="205" fontId="18" fillId="0" borderId="0" applyNumberForma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75" fillId="0" borderId="11" applyNumberFormat="0" applyFill="0" applyAlignment="0" applyProtection="0"/>
    <xf numFmtId="0" fontId="82" fillId="0" borderId="11" applyNumberFormat="0" applyFill="0" applyProtection="0"/>
    <xf numFmtId="0" fontId="82" fillId="0" borderId="11" applyNumberFormat="0" applyFill="0" applyProtection="0"/>
    <xf numFmtId="0" fontId="82" fillId="0" borderId="11" applyNumberFormat="0" applyFill="0" applyProtection="0"/>
    <xf numFmtId="253" fontId="93" fillId="0" borderId="11" applyBorder="0" applyProtection="0">
      <alignment horizontal="right" vertical="center"/>
    </xf>
    <xf numFmtId="253" fontId="93" fillId="0" borderId="11" applyBorder="0" applyProtection="0">
      <alignment horizontal="right" vertical="center"/>
    </xf>
    <xf numFmtId="253" fontId="93" fillId="0" borderId="11" applyBorder="0" applyProtection="0">
      <alignment horizontal="right" vertical="center"/>
    </xf>
    <xf numFmtId="253" fontId="93" fillId="0" borderId="11" applyBorder="0" applyProtection="0">
      <alignment horizontal="right" vertical="center"/>
    </xf>
    <xf numFmtId="253" fontId="93" fillId="0" borderId="11" applyBorder="0" applyProtection="0">
      <alignment horizontal="right" vertical="center"/>
    </xf>
    <xf numFmtId="253" fontId="93" fillId="0" borderId="11" applyBorder="0" applyProtection="0">
      <alignment horizontal="right" vertical="center"/>
    </xf>
    <xf numFmtId="0" fontId="175" fillId="32" borderId="11" applyBorder="0" applyProtection="0">
      <alignment horizontal="centerContinuous" vertical="center"/>
    </xf>
    <xf numFmtId="0" fontId="175" fillId="32" borderId="11" applyBorder="0" applyProtection="0">
      <alignment horizontal="centerContinuous" vertical="center"/>
    </xf>
    <xf numFmtId="0" fontId="175" fillId="32" borderId="11" applyBorder="0" applyProtection="0">
      <alignment horizontal="centerContinuous" vertical="center"/>
    </xf>
    <xf numFmtId="0" fontId="18" fillId="0" borderId="0" applyNumberFormat="0" applyFill="0" applyBorder="0" applyAlignment="0" applyProtection="0"/>
    <xf numFmtId="205" fontId="18" fillId="0" borderId="0" applyNumberFormat="0" applyFill="0" applyBorder="0" applyAlignment="0" applyProtection="0"/>
    <xf numFmtId="0" fontId="13" fillId="0" borderId="0"/>
    <xf numFmtId="9" fontId="13" fillId="0" borderId="0" applyFont="0" applyFill="0" applyBorder="0" applyAlignment="0" applyProtection="0"/>
    <xf numFmtId="0" fontId="12" fillId="0" borderId="0"/>
    <xf numFmtId="0" fontId="349"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97" fillId="0" borderId="0" applyNumberFormat="0" applyFill="0" applyBorder="0" applyAlignment="0" applyProtection="0"/>
    <xf numFmtId="0" fontId="97" fillId="0" borderId="0" applyNumberForma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8" fillId="0" borderId="0" applyNumberForma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8" fillId="0" borderId="0" applyNumberForma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205" fontId="18" fillId="0" borderId="0" applyNumberForma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205" fontId="18" fillId="0" borderId="0" applyNumberForma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3" fontId="115" fillId="24" borderId="129" applyBorder="0">
      <protection locked="0"/>
    </xf>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9" fontId="11" fillId="0" borderId="0" applyFont="0" applyFill="0" applyBorder="0" applyAlignment="0" applyProtection="0"/>
    <xf numFmtId="0" fontId="11" fillId="0" borderId="0"/>
    <xf numFmtId="166" fontId="11" fillId="0" borderId="0" applyFont="0" applyFill="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0" fontId="11" fillId="0" borderId="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70" borderId="66" applyNumberFormat="0" applyFont="0" applyAlignment="0" applyProtection="0"/>
    <xf numFmtId="0" fontId="11" fillId="58" borderId="0" applyNumberFormat="0" applyBorder="0" applyAlignment="0" applyProtection="0"/>
    <xf numFmtId="0" fontId="11" fillId="64" borderId="0" applyNumberFormat="0" applyBorder="0" applyAlignment="0" applyProtection="0"/>
    <xf numFmtId="0" fontId="11" fillId="59" borderId="0" applyNumberFormat="0" applyBorder="0" applyAlignment="0" applyProtection="0"/>
    <xf numFmtId="0" fontId="11" fillId="65" borderId="0" applyNumberFormat="0" applyBorder="0" applyAlignment="0" applyProtection="0"/>
    <xf numFmtId="0" fontId="11" fillId="60" borderId="0" applyNumberFormat="0" applyBorder="0" applyAlignment="0" applyProtection="0"/>
    <xf numFmtId="0" fontId="11" fillId="66" borderId="0" applyNumberFormat="0" applyBorder="0" applyAlignment="0" applyProtection="0"/>
    <xf numFmtId="0" fontId="11" fillId="61" borderId="0" applyNumberFormat="0" applyBorder="0" applyAlignment="0" applyProtection="0"/>
    <xf numFmtId="0" fontId="11" fillId="67" borderId="0" applyNumberFormat="0" applyBorder="0" applyAlignment="0" applyProtection="0"/>
    <xf numFmtId="0" fontId="11" fillId="62" borderId="0" applyNumberFormat="0" applyBorder="0" applyAlignment="0" applyProtection="0"/>
    <xf numFmtId="0" fontId="11" fillId="68" borderId="0" applyNumberFormat="0" applyBorder="0" applyAlignment="0" applyProtection="0"/>
    <xf numFmtId="0" fontId="11" fillId="63" borderId="0" applyNumberFormat="0" applyBorder="0" applyAlignment="0" applyProtection="0"/>
    <xf numFmtId="0" fontId="11" fillId="69" borderId="0" applyNumberFormat="0" applyBorder="0" applyAlignment="0" applyProtection="0"/>
    <xf numFmtId="0" fontId="11" fillId="0" borderId="0"/>
    <xf numFmtId="166" fontId="11" fillId="0" borderId="0" applyFont="0" applyFill="0" applyBorder="0" applyAlignment="0" applyProtection="0"/>
    <xf numFmtId="9" fontId="11" fillId="0" borderId="0" applyFont="0" applyFill="0" applyBorder="0" applyAlignment="0" applyProtection="0"/>
    <xf numFmtId="0" fontId="11" fillId="0" borderId="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1"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2"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5"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6"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7"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8"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0" fontId="11" fillId="69" borderId="0" applyNumberFormat="0" applyBorder="0" applyAlignment="0" applyProtection="0"/>
    <xf numFmtId="3" fontId="115" fillId="24" borderId="129" applyBorder="0">
      <protection locked="0"/>
    </xf>
    <xf numFmtId="3" fontId="115" fillId="24" borderId="129" applyBorder="0">
      <protection locked="0"/>
    </xf>
    <xf numFmtId="3" fontId="115" fillId="24" borderId="129" applyBorder="0">
      <protection locked="0"/>
    </xf>
    <xf numFmtId="3" fontId="115" fillId="24" borderId="129" applyBorder="0">
      <protection locked="0"/>
    </xf>
    <xf numFmtId="0" fontId="124" fillId="0" borderId="59"/>
    <xf numFmtId="0" fontId="124" fillId="0" borderId="59"/>
    <xf numFmtId="0" fontId="124" fillId="0" borderId="59"/>
    <xf numFmtId="0" fontId="124" fillId="0" borderId="59"/>
    <xf numFmtId="0" fontId="124" fillId="0" borderId="59"/>
    <xf numFmtId="0" fontId="126" fillId="0" borderId="59" applyNumberFormat="0" applyFill="0" applyAlignment="0" applyProtection="0"/>
    <xf numFmtId="0" fontId="126" fillId="0" borderId="59" applyNumberFormat="0" applyFill="0" applyAlignment="0" applyProtection="0"/>
    <xf numFmtId="0" fontId="126" fillId="0" borderId="59" applyNumberFormat="0" applyFill="0" applyAlignment="0" applyProtection="0"/>
    <xf numFmtId="0" fontId="126" fillId="0" borderId="59" applyNumberFormat="0" applyFill="0" applyAlignment="0" applyProtection="0"/>
    <xf numFmtId="0" fontId="126" fillId="0" borderId="59" applyNumberFormat="0" applyFill="0" applyAlignment="0" applyProtection="0"/>
    <xf numFmtId="293" fontId="275" fillId="0" borderId="59" applyFill="0" applyAlignment="0" applyProtection="0">
      <alignment horizontal="center"/>
    </xf>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220" fillId="0" borderId="59" applyFill="0" applyBorder="0" applyProtection="0">
      <alignment horizontal="center" wrapText="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0" fontId="11" fillId="7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275" fillId="0" borderId="59" applyNumberFormat="0" applyFill="0" applyAlignment="0" applyProtection="0"/>
    <xf numFmtId="0" fontId="82" fillId="0" borderId="59" applyNumberFormat="0" applyFill="0" applyProtection="0"/>
    <xf numFmtId="0" fontId="82" fillId="0" borderId="59" applyNumberFormat="0" applyFill="0" applyProtection="0"/>
    <xf numFmtId="0" fontId="82" fillId="0" borderId="59" applyNumberFormat="0" applyFill="0" applyProtection="0"/>
    <xf numFmtId="253" fontId="93" fillId="0" borderId="59" applyBorder="0" applyProtection="0">
      <alignment horizontal="right" vertical="center"/>
    </xf>
    <xf numFmtId="253" fontId="93" fillId="0" borderId="59" applyBorder="0" applyProtection="0">
      <alignment horizontal="right" vertical="center"/>
    </xf>
    <xf numFmtId="253" fontId="93" fillId="0" borderId="59" applyBorder="0" applyProtection="0">
      <alignment horizontal="right" vertical="center"/>
    </xf>
    <xf numFmtId="253" fontId="93" fillId="0" borderId="59" applyBorder="0" applyProtection="0">
      <alignment horizontal="right" vertical="center"/>
    </xf>
    <xf numFmtId="253" fontId="93" fillId="0" borderId="59" applyBorder="0" applyProtection="0">
      <alignment horizontal="right" vertical="center"/>
    </xf>
    <xf numFmtId="253" fontId="93" fillId="0" borderId="59" applyBorder="0" applyProtection="0">
      <alignment horizontal="right" vertical="center"/>
    </xf>
    <xf numFmtId="0" fontId="175" fillId="32" borderId="59" applyBorder="0" applyProtection="0">
      <alignment horizontal="centerContinuous" vertical="center"/>
    </xf>
    <xf numFmtId="0" fontId="175" fillId="32" borderId="59" applyBorder="0" applyProtection="0">
      <alignment horizontal="centerContinuous" vertical="center"/>
    </xf>
    <xf numFmtId="0" fontId="175" fillId="32" borderId="59" applyBorder="0" applyProtection="0">
      <alignment horizontal="centerContinuous" vertical="center"/>
    </xf>
    <xf numFmtId="0" fontId="11" fillId="0" borderId="0"/>
    <xf numFmtId="9" fontId="11" fillId="0" borderId="0" applyFont="0" applyFill="0" applyBorder="0" applyAlignment="0" applyProtection="0"/>
    <xf numFmtId="0" fontId="10" fillId="0" borderId="0"/>
    <xf numFmtId="0" fontId="18" fillId="0" borderId="0"/>
    <xf numFmtId="0" fontId="244" fillId="4" borderId="349" applyNumberFormat="0" applyAlignment="0" applyProtection="0"/>
    <xf numFmtId="0" fontId="102" fillId="0" borderId="360" applyNumberFormat="0" applyFont="0" applyFill="0" applyAlignment="0" applyProtection="0"/>
    <xf numFmtId="0" fontId="244" fillId="4" borderId="349" applyNumberFormat="0" applyAlignment="0" applyProtection="0"/>
    <xf numFmtId="169" fontId="137" fillId="0" borderId="358" applyNumberFormat="0" applyFill="0" applyAlignment="0" applyProtection="0"/>
    <xf numFmtId="195" fontId="18" fillId="29" borderId="379" applyNumberFormat="0" applyFont="0" applyBorder="0" applyAlignment="0" applyProtection="0">
      <alignment horizontal="right"/>
    </xf>
    <xf numFmtId="0" fontId="244" fillId="4" borderId="374" applyNumberFormat="0" applyAlignment="0" applyProtection="0"/>
    <xf numFmtId="4" fontId="137" fillId="0" borderId="358" applyFont="0" applyFill="0" applyBorder="0" applyAlignment="0" applyProtection="0"/>
    <xf numFmtId="10" fontId="18" fillId="25" borderId="358" applyNumberFormat="0" applyBorder="0" applyAlignment="0" applyProtection="0"/>
    <xf numFmtId="0" fontId="244" fillId="4" borderId="363" applyNumberFormat="0" applyAlignment="0" applyProtection="0"/>
    <xf numFmtId="0" fontId="244" fillId="4" borderId="363" applyNumberFormat="0" applyAlignment="0" applyProtection="0"/>
    <xf numFmtId="0" fontId="18" fillId="0" borderId="359" applyNumberFormat="0" applyFill="0" applyAlignment="0" applyProtection="0"/>
    <xf numFmtId="176" fontId="29" fillId="0" borderId="368" applyBorder="0">
      <alignment horizontal="right"/>
    </xf>
    <xf numFmtId="195" fontId="18" fillId="29" borderId="216" applyNumberFormat="0" applyFont="0" applyBorder="0" applyAlignment="0" applyProtection="0">
      <alignment horizontal="right"/>
    </xf>
    <xf numFmtId="0" fontId="18" fillId="0" borderId="348" applyNumberFormat="0" applyFill="0" applyAlignment="0" applyProtection="0"/>
    <xf numFmtId="177" fontId="114" fillId="0" borderId="216" applyBorder="0"/>
    <xf numFmtId="0" fontId="249" fillId="0" borderId="353" applyNumberFormat="0" applyFill="0" applyAlignment="0" applyProtection="0"/>
    <xf numFmtId="0" fontId="244" fillId="4" borderId="349" applyNumberFormat="0" applyAlignment="0" applyProtection="0"/>
    <xf numFmtId="0" fontId="244" fillId="4" borderId="349" applyNumberFormat="0" applyAlignment="0" applyProtection="0"/>
    <xf numFmtId="3" fontId="115" fillId="24" borderId="355" applyBorder="0">
      <protection locked="0"/>
    </xf>
    <xf numFmtId="195" fontId="18" fillId="29" borderId="354" applyNumberFormat="0" applyFont="0" applyBorder="0" applyAlignment="0" applyProtection="0">
      <alignment horizontal="right"/>
    </xf>
    <xf numFmtId="0" fontId="99" fillId="0" borderId="346" applyNumberFormat="0" applyFill="0" applyAlignment="0" applyProtection="0"/>
    <xf numFmtId="0" fontId="81" fillId="0" borderId="334" applyNumberFormat="0" applyFill="0" applyProtection="0">
      <alignment horizontal="right"/>
    </xf>
    <xf numFmtId="37" fontId="89" fillId="0" borderId="379" applyNumberFormat="0" applyFont="0" applyFill="0" applyAlignment="0" applyProtection="0"/>
    <xf numFmtId="0" fontId="244" fillId="4" borderId="363" applyNumberFormat="0" applyAlignment="0" applyProtection="0"/>
    <xf numFmtId="37" fontId="89" fillId="0" borderId="368" applyNumberFormat="0" applyFont="0" applyFill="0" applyAlignment="0" applyProtection="0"/>
    <xf numFmtId="0" fontId="18" fillId="0" borderId="373" applyNumberFormat="0" applyFill="0" applyAlignment="0" applyProtection="0"/>
    <xf numFmtId="9" fontId="18" fillId="0" borderId="0" applyFont="0" applyFill="0" applyBorder="0" applyAlignment="0" applyProtection="0"/>
    <xf numFmtId="0" fontId="244" fillId="4" borderId="135" applyNumberFormat="0" applyAlignment="0" applyProtection="0"/>
    <xf numFmtId="0" fontId="29" fillId="0" borderId="247" applyFont="0" applyFill="0" applyBorder="0" applyAlignment="0" applyProtection="0">
      <alignment horizontal="center"/>
    </xf>
    <xf numFmtId="14" fontId="55" fillId="0" borderId="0"/>
    <xf numFmtId="44" fontId="18" fillId="0" borderId="0" applyFont="0" applyFill="0" applyBorder="0" applyAlignment="0" applyProtection="0"/>
    <xf numFmtId="3" fontId="141" fillId="0" borderId="0" applyFont="0" applyFill="0" applyBorder="0" applyAlignment="0" applyProtection="0"/>
    <xf numFmtId="43" fontId="18" fillId="0" borderId="0" applyFont="0" applyFill="0" applyBorder="0" applyAlignment="0" applyProtection="0"/>
    <xf numFmtId="3" fontId="141" fillId="0" borderId="0" applyFont="0" applyFill="0" applyBorder="0" applyAlignment="0" applyProtection="0"/>
    <xf numFmtId="14" fontId="55" fillId="0" borderId="0"/>
    <xf numFmtId="0" fontId="99" fillId="0" borderId="246" applyNumberFormat="0" applyFill="0" applyAlignment="0" applyProtection="0"/>
    <xf numFmtId="0" fontId="51" fillId="0" borderId="347">
      <alignment horizontal="left" vertical="center"/>
    </xf>
    <xf numFmtId="0" fontId="18" fillId="2" borderId="351" applyNumberFormat="0" applyFont="0" applyAlignment="0" applyProtection="0"/>
    <xf numFmtId="9" fontId="18" fillId="0" borderId="0" applyFont="0" applyFill="0" applyBorder="0" applyAlignment="0" applyProtection="0"/>
    <xf numFmtId="0" fontId="248" fillId="0" borderId="0" applyNumberFormat="0" applyFill="0" applyBorder="0" applyAlignment="0" applyProtection="0"/>
    <xf numFmtId="193" fontId="66" fillId="23" borderId="131" applyFont="0">
      <alignment horizontal="right"/>
    </xf>
    <xf numFmtId="0" fontId="18" fillId="0" borderId="134" applyNumberFormat="0" applyFill="0" applyAlignment="0" applyProtection="0"/>
    <xf numFmtId="0" fontId="237" fillId="28" borderId="135" applyNumberFormat="0" applyAlignment="0" applyProtection="0"/>
    <xf numFmtId="43" fontId="18" fillId="0" borderId="0" applyFont="0" applyFill="0" applyBorder="0" applyAlignment="0" applyProtection="0"/>
    <xf numFmtId="3" fontId="141" fillId="0" borderId="0" applyFont="0" applyFill="0" applyBorder="0" applyAlignment="0" applyProtection="0"/>
    <xf numFmtId="44" fontId="18" fillId="0" borderId="0" applyFont="0" applyFill="0" applyBorder="0" applyAlignment="0" applyProtection="0"/>
    <xf numFmtId="8" fontId="138" fillId="0" borderId="136">
      <protection locked="0"/>
    </xf>
    <xf numFmtId="14" fontId="55" fillId="0" borderId="0"/>
    <xf numFmtId="278" fontId="56" fillId="0" borderId="0"/>
    <xf numFmtId="0" fontId="29" fillId="0" borderId="131" applyFont="0" applyFill="0" applyBorder="0" applyAlignment="0" applyProtection="0">
      <alignment horizontal="center"/>
    </xf>
    <xf numFmtId="0" fontId="18" fillId="0" borderId="348" applyNumberFormat="0" applyFill="0" applyAlignment="0" applyProtection="0"/>
    <xf numFmtId="0" fontId="51" fillId="0" borderId="131">
      <alignment horizontal="left" vertical="center"/>
    </xf>
    <xf numFmtId="0" fontId="18" fillId="0" borderId="348" applyNumberFormat="0" applyFill="0" applyAlignment="0" applyProtection="0"/>
    <xf numFmtId="0" fontId="249" fillId="0" borderId="353" applyNumberFormat="0" applyFill="0" applyAlignment="0" applyProtection="0"/>
    <xf numFmtId="0" fontId="18" fillId="0" borderId="348" applyNumberFormat="0" applyFill="0" applyAlignment="0" applyProtection="0"/>
    <xf numFmtId="0" fontId="18" fillId="2" borderId="351" applyNumberFormat="0" applyFont="0" applyAlignment="0" applyProtection="0"/>
    <xf numFmtId="176" fontId="29" fillId="0" borderId="354" applyBorder="0">
      <alignment horizontal="right"/>
    </xf>
    <xf numFmtId="37" fontId="89" fillId="0" borderId="354" applyNumberFormat="0" applyFont="0" applyFill="0" applyAlignment="0" applyProtection="0"/>
    <xf numFmtId="195" fontId="18" fillId="29" borderId="354" applyNumberFormat="0" applyFont="0" applyBorder="0" applyAlignment="0" applyProtection="0">
      <alignment horizontal="right"/>
    </xf>
    <xf numFmtId="0" fontId="244" fillId="4" borderId="135" applyNumberFormat="0" applyAlignment="0" applyProtection="0"/>
    <xf numFmtId="0" fontId="18" fillId="2" borderId="137" applyNumberFormat="0" applyFont="0" applyAlignment="0" applyProtection="0"/>
    <xf numFmtId="0" fontId="247" fillId="28" borderId="138" applyNumberFormat="0" applyAlignment="0" applyProtection="0"/>
    <xf numFmtId="0" fontId="99" fillId="0" borderId="357" applyNumberFormat="0" applyFill="0" applyAlignment="0" applyProtection="0"/>
    <xf numFmtId="9" fontId="18" fillId="0" borderId="0" applyFont="0" applyFill="0" applyBorder="0" applyAlignment="0" applyProtection="0"/>
    <xf numFmtId="169" fontId="356" fillId="0" borderId="0" applyNumberFormat="0" applyFill="0" applyBorder="0">
      <alignment horizontal="left" vertical="center"/>
    </xf>
    <xf numFmtId="174" fontId="28" fillId="18" borderId="356" applyNumberFormat="0" applyFont="0" applyBorder="0" applyAlignment="0" applyProtection="0">
      <alignment horizontal="center"/>
    </xf>
    <xf numFmtId="195" fontId="18" fillId="29" borderId="379" applyNumberFormat="0" applyFont="0" applyBorder="0" applyAlignment="0" applyProtection="0">
      <alignment horizontal="right"/>
    </xf>
    <xf numFmtId="41" fontId="32" fillId="0" borderId="0" applyFont="0" applyFill="0" applyBorder="0" applyAlignment="0" applyProtection="0"/>
    <xf numFmtId="176" fontId="29" fillId="15" borderId="379" applyBorder="0">
      <alignment horizontal="right"/>
    </xf>
    <xf numFmtId="0" fontId="248" fillId="0" borderId="0" applyNumberFormat="0" applyFill="0" applyBorder="0" applyAlignment="0" applyProtection="0"/>
    <xf numFmtId="0" fontId="249" fillId="0" borderId="139" applyNumberFormat="0" applyFill="0" applyAlignment="0" applyProtection="0"/>
    <xf numFmtId="0" fontId="237" fillId="28" borderId="374" applyNumberFormat="0" applyAlignment="0" applyProtection="0"/>
    <xf numFmtId="0" fontId="10" fillId="0" borderId="0"/>
    <xf numFmtId="0" fontId="237" fillId="28" borderId="349" applyNumberFormat="0" applyAlignment="0" applyProtection="0"/>
    <xf numFmtId="0" fontId="18" fillId="0" borderId="373" applyNumberFormat="0" applyFill="0" applyAlignment="0" applyProtection="0"/>
    <xf numFmtId="4" fontId="137" fillId="0" borderId="358" applyFont="0" applyFill="0" applyBorder="0" applyAlignment="0" applyProtection="0"/>
    <xf numFmtId="10" fontId="18" fillId="25" borderId="358" applyNumberFormat="0" applyBorder="0" applyAlignment="0" applyProtection="0"/>
    <xf numFmtId="0" fontId="93" fillId="0" borderId="361" applyNumberFormat="0" applyAlignment="0" applyProtection="0"/>
    <xf numFmtId="3" fontId="115" fillId="24" borderId="380" applyBorder="0">
      <protection locked="0"/>
    </xf>
    <xf numFmtId="0" fontId="29" fillId="0" borderId="370" applyFont="0" applyFill="0" applyBorder="0" applyAlignment="0" applyProtection="0">
      <alignment horizontal="center"/>
    </xf>
    <xf numFmtId="9" fontId="96" fillId="25" borderId="358" applyNumberFormat="0" applyFont="0" applyAlignment="0" applyProtection="0"/>
    <xf numFmtId="0" fontId="18" fillId="2" borderId="365" applyNumberFormat="0" applyFont="0" applyAlignment="0" applyProtection="0"/>
    <xf numFmtId="8" fontId="138" fillId="0" borderId="364">
      <protection locked="0"/>
    </xf>
    <xf numFmtId="0" fontId="18" fillId="0" borderId="359" applyNumberFormat="0" applyFill="0" applyAlignment="0" applyProtection="0"/>
    <xf numFmtId="0" fontId="244" fillId="4" borderId="363" applyNumberFormat="0" applyAlignment="0" applyProtection="0"/>
    <xf numFmtId="3" fontId="115" fillId="24" borderId="369" applyBorder="0">
      <protection locked="0"/>
    </xf>
    <xf numFmtId="0" fontId="140" fillId="0" borderId="216" applyNumberFormat="0" applyBorder="0"/>
    <xf numFmtId="0" fontId="247" fillId="28" borderId="352" applyNumberFormat="0" applyAlignment="0" applyProtection="0"/>
    <xf numFmtId="0" fontId="247" fillId="28" borderId="352" applyNumberFormat="0" applyAlignment="0" applyProtection="0"/>
    <xf numFmtId="176" fontId="29" fillId="15" borderId="354" applyBorder="0">
      <alignment horizontal="right"/>
    </xf>
    <xf numFmtId="0" fontId="140" fillId="0" borderId="354" applyNumberFormat="0" applyBorder="0"/>
    <xf numFmtId="0" fontId="99" fillId="0" borderId="346"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99" fillId="0" borderId="381" applyNumberFormat="0" applyFill="0" applyAlignment="0" applyProtection="0"/>
    <xf numFmtId="10" fontId="18" fillId="25" borderId="358" applyNumberFormat="0" applyBorder="0" applyAlignment="0" applyProtection="0"/>
    <xf numFmtId="193" fontId="66" fillId="23" borderId="370" applyFont="0">
      <alignment horizontal="right"/>
    </xf>
    <xf numFmtId="10" fontId="18" fillId="25" borderId="358" applyNumberFormat="0" applyBorder="0" applyAlignment="0" applyProtection="0"/>
    <xf numFmtId="0" fontId="237" fillId="28" borderId="363" applyNumberFormat="0" applyAlignment="0" applyProtection="0"/>
    <xf numFmtId="195" fontId="18" fillId="29" borderId="368" applyNumberFormat="0" applyFont="0" applyBorder="0" applyAlignment="0" applyProtection="0">
      <alignment horizontal="right"/>
    </xf>
    <xf numFmtId="177" fontId="114" fillId="0" borderId="379" applyBorder="0"/>
    <xf numFmtId="0" fontId="248" fillId="0" borderId="0" applyNumberFormat="0" applyFill="0" applyBorder="0" applyAlignment="0" applyProtection="0"/>
    <xf numFmtId="0" fontId="51" fillId="0" borderId="247">
      <alignment horizontal="left" vertical="center"/>
    </xf>
    <xf numFmtId="278" fontId="56" fillId="0" borderId="0"/>
    <xf numFmtId="193" fontId="66" fillId="23" borderId="347" applyFont="0">
      <alignment horizontal="right"/>
    </xf>
    <xf numFmtId="193" fontId="66" fillId="23" borderId="247" applyFont="0">
      <alignment horizontal="right"/>
    </xf>
    <xf numFmtId="0" fontId="59" fillId="0" borderId="2" applyNumberFormat="0" applyFill="0" applyProtection="0">
      <alignment horizontal="center"/>
    </xf>
    <xf numFmtId="0" fontId="59" fillId="0" borderId="2" applyNumberFormat="0" applyFill="0" applyProtection="0">
      <alignment horizontal="center"/>
    </xf>
    <xf numFmtId="0" fontId="59" fillId="0" borderId="2" applyNumberFormat="0" applyFill="0" applyProtection="0">
      <alignment horizontal="center"/>
    </xf>
    <xf numFmtId="177" fontId="114" fillId="0" borderId="140" applyBorder="0"/>
    <xf numFmtId="176" fontId="29" fillId="15" borderId="140" applyBorder="0">
      <alignment horizontal="right"/>
    </xf>
    <xf numFmtId="176" fontId="29" fillId="0" borderId="140" applyBorder="0">
      <alignment horizontal="right"/>
    </xf>
    <xf numFmtId="193" fontId="66" fillId="23" borderId="131" applyFont="0">
      <alignment horizontal="right"/>
    </xf>
    <xf numFmtId="5" fontId="52" fillId="0" borderId="9">
      <alignment horizontal="right"/>
    </xf>
    <xf numFmtId="0" fontId="18" fillId="0" borderId="134" applyNumberFormat="0" applyFill="0" applyAlignment="0" applyProtection="0"/>
    <xf numFmtId="37" fontId="89" fillId="0" borderId="9" applyNumberFormat="0" applyFont="0" applyFill="0" applyAlignment="0" applyProtection="0"/>
    <xf numFmtId="37" fontId="89" fillId="0" borderId="140" applyNumberFormat="0" applyFont="0" applyFill="0" applyAlignment="0" applyProtection="0"/>
    <xf numFmtId="0" fontId="140" fillId="0" borderId="140" applyNumberFormat="0" applyBorder="0"/>
    <xf numFmtId="195" fontId="18" fillId="29" borderId="140" applyNumberFormat="0" applyFont="0" applyBorder="0" applyAlignment="0" applyProtection="0">
      <alignment horizontal="right"/>
    </xf>
    <xf numFmtId="0" fontId="99" fillId="0" borderId="346" applyNumberFormat="0" applyFill="0" applyAlignment="0" applyProtection="0"/>
    <xf numFmtId="0" fontId="18" fillId="2" borderId="376" applyNumberFormat="0" applyFont="0" applyAlignment="0" applyProtection="0"/>
    <xf numFmtId="0" fontId="18" fillId="0" borderId="0"/>
    <xf numFmtId="0" fontId="243" fillId="0" borderId="53" applyNumberFormat="0" applyFill="0" applyAlignment="0" applyProtection="0"/>
    <xf numFmtId="0" fontId="18" fillId="2" borderId="137" applyNumberFormat="0" applyFont="0" applyAlignment="0" applyProtection="0"/>
    <xf numFmtId="0" fontId="18" fillId="0" borderId="0"/>
    <xf numFmtId="5" fontId="52" fillId="0" borderId="9">
      <alignment horizontal="right"/>
    </xf>
    <xf numFmtId="0" fontId="18" fillId="0" borderId="0"/>
    <xf numFmtId="0" fontId="18" fillId="2" borderId="144" applyNumberFormat="0" applyFont="0" applyAlignment="0" applyProtection="0"/>
    <xf numFmtId="0" fontId="244" fillId="4" borderId="142" applyNumberFormat="0" applyAlignment="0" applyProtection="0"/>
    <xf numFmtId="8" fontId="138" fillId="0" borderId="143">
      <protection locked="0"/>
    </xf>
    <xf numFmtId="0" fontId="59" fillId="0" borderId="2" applyNumberFormat="0" applyFill="0" applyProtection="0">
      <alignment horizontal="center"/>
    </xf>
    <xf numFmtId="0" fontId="237" fillId="28" borderId="142" applyNumberFormat="0" applyAlignment="0" applyProtection="0"/>
    <xf numFmtId="0" fontId="244" fillId="4" borderId="142" applyNumberFormat="0" applyAlignment="0" applyProtection="0"/>
    <xf numFmtId="0" fontId="244" fillId="4" borderId="142" applyNumberFormat="0" applyAlignment="0" applyProtection="0"/>
    <xf numFmtId="0" fontId="102" fillId="0" borderId="9" applyNumberFormat="0" applyFont="0" applyFill="0" applyAlignment="0" applyProtection="0"/>
    <xf numFmtId="0" fontId="18" fillId="0" borderId="0"/>
    <xf numFmtId="0" fontId="59" fillId="0" borderId="2" applyNumberFormat="0" applyFill="0" applyProtection="0">
      <alignment horizontal="center"/>
    </xf>
    <xf numFmtId="0" fontId="18" fillId="0" borderId="0"/>
    <xf numFmtId="0" fontId="18" fillId="0" borderId="141" applyNumberFormat="0" applyFill="0" applyAlignment="0" applyProtection="0"/>
    <xf numFmtId="0" fontId="85" fillId="0" borderId="23" applyNumberFormat="0" applyAlignment="0" applyProtection="0"/>
    <xf numFmtId="0" fontId="249" fillId="0" borderId="146" applyNumberFormat="0" applyFill="0" applyAlignment="0" applyProtection="0"/>
    <xf numFmtId="0" fontId="247" fillId="28" borderId="145" applyNumberFormat="0" applyAlignment="0" applyProtection="0"/>
    <xf numFmtId="37" fontId="89" fillId="0" borderId="9" applyNumberFormat="0" applyFont="0" applyFill="0" applyAlignment="0" applyProtection="0"/>
    <xf numFmtId="0" fontId="18" fillId="0" borderId="0"/>
    <xf numFmtId="0" fontId="18" fillId="0" borderId="141" applyNumberFormat="0" applyFill="0" applyAlignment="0" applyProtection="0"/>
    <xf numFmtId="0" fontId="244" fillId="4" borderId="142" applyNumberFormat="0" applyAlignment="0" applyProtection="0"/>
    <xf numFmtId="0" fontId="59" fillId="0" borderId="2" applyNumberFormat="0" applyFill="0" applyProtection="0">
      <alignment horizontal="center"/>
    </xf>
    <xf numFmtId="195" fontId="18" fillId="29" borderId="140" applyNumberFormat="0" applyFont="0" applyBorder="0" applyAlignment="0" applyProtection="0">
      <alignment horizontal="right"/>
    </xf>
    <xf numFmtId="0" fontId="18" fillId="2" borderId="144" applyNumberFormat="0" applyFont="0" applyAlignment="0" applyProtection="0"/>
    <xf numFmtId="0" fontId="59" fillId="0" borderId="2" applyNumberFormat="0" applyFill="0" applyProtection="0">
      <alignment horizontal="center"/>
    </xf>
    <xf numFmtId="0" fontId="243" fillId="0" borderId="53" applyNumberFormat="0" applyFill="0" applyAlignment="0" applyProtection="0"/>
    <xf numFmtId="43" fontId="18" fillId="0" borderId="0" applyFont="0" applyFill="0" applyBorder="0" applyAlignment="0" applyProtection="0"/>
    <xf numFmtId="177" fontId="114" fillId="0" borderId="140" applyBorder="0"/>
    <xf numFmtId="176" fontId="29" fillId="15" borderId="140" applyBorder="0">
      <alignment horizontal="right"/>
    </xf>
    <xf numFmtId="176" fontId="29" fillId="0" borderId="140" applyBorder="0">
      <alignment horizontal="right"/>
    </xf>
    <xf numFmtId="3" fontId="115" fillId="24" borderId="147" applyBorder="0">
      <protection locked="0"/>
    </xf>
    <xf numFmtId="37" fontId="89" fillId="0" borderId="140" applyNumberFormat="0" applyFont="0" applyFill="0" applyAlignment="0" applyProtection="0"/>
    <xf numFmtId="0" fontId="140" fillId="0" borderId="140" applyNumberFormat="0" applyBorder="0"/>
    <xf numFmtId="195" fontId="18" fillId="29" borderId="140" applyNumberFormat="0" applyFont="0" applyBorder="0" applyAlignment="0" applyProtection="0">
      <alignment horizontal="right"/>
    </xf>
    <xf numFmtId="0" fontId="156" fillId="0" borderId="21"/>
    <xf numFmtId="0" fontId="18" fillId="34" borderId="21" applyNumberFormat="0" applyFont="0" applyBorder="0" applyAlignment="0" applyProtection="0">
      <alignment horizontal="center"/>
    </xf>
    <xf numFmtId="0" fontId="18" fillId="35" borderId="21" applyNumberFormat="0" applyFont="0" applyBorder="0" applyAlignment="0" applyProtection="0">
      <alignment horizontal="center"/>
    </xf>
    <xf numFmtId="0" fontId="18" fillId="34" borderId="21" applyNumberFormat="0" applyFont="0" applyBorder="0" applyAlignment="0" applyProtection="0">
      <alignment horizontal="center"/>
    </xf>
    <xf numFmtId="0" fontId="18" fillId="35" borderId="21" applyNumberFormat="0" applyFont="0" applyBorder="0" applyAlignment="0" applyProtection="0">
      <alignment horizontal="center"/>
    </xf>
    <xf numFmtId="195" fontId="18" fillId="29" borderId="140" applyNumberFormat="0" applyFont="0" applyBorder="0" applyAlignment="0" applyProtection="0">
      <alignment horizontal="right"/>
    </xf>
    <xf numFmtId="0" fontId="32"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321" fillId="81" borderId="88" applyNumberFormat="0" applyAlignment="0" applyProtection="0"/>
    <xf numFmtId="0" fontId="18" fillId="2" borderId="351" applyNumberFormat="0" applyFont="0" applyAlignment="0" applyProtection="0"/>
    <xf numFmtId="0" fontId="18" fillId="2" borderId="351" applyNumberFormat="0" applyFont="0" applyAlignment="0" applyProtection="0"/>
    <xf numFmtId="0" fontId="244" fillId="4" borderId="349" applyNumberFormat="0" applyAlignment="0" applyProtection="0"/>
    <xf numFmtId="177" fontId="114" fillId="0" borderId="354" applyBorder="0"/>
    <xf numFmtId="0" fontId="18" fillId="0" borderId="359" applyNumberFormat="0" applyFill="0" applyAlignment="0" applyProtection="0"/>
    <xf numFmtId="9" fontId="96" fillId="25" borderId="358" applyNumberFormat="0" applyFont="0" applyAlignment="0" applyProtection="0"/>
    <xf numFmtId="0" fontId="249" fillId="0" borderId="367" applyNumberFormat="0" applyFill="0" applyAlignment="0" applyProtection="0"/>
    <xf numFmtId="0" fontId="247" fillId="28" borderId="366" applyNumberFormat="0" applyAlignment="0" applyProtection="0"/>
    <xf numFmtId="0" fontId="18" fillId="2" borderId="365" applyNumberFormat="0" applyFont="0" applyAlignment="0" applyProtection="0"/>
    <xf numFmtId="177" fontId="114" fillId="0" borderId="368" applyBorder="0"/>
    <xf numFmtId="176" fontId="29" fillId="15" borderId="368" applyBorder="0">
      <alignment horizontal="right"/>
    </xf>
    <xf numFmtId="195" fontId="18" fillId="29" borderId="216" applyNumberFormat="0" applyFont="0" applyBorder="0" applyAlignment="0" applyProtection="0">
      <alignment horizontal="right"/>
    </xf>
    <xf numFmtId="37" fontId="89" fillId="0" borderId="216" applyNumberFormat="0" applyFont="0" applyFill="0" applyAlignment="0" applyProtection="0"/>
    <xf numFmtId="193" fontId="66" fillId="23" borderId="247" applyFont="0">
      <alignment horizontal="right"/>
    </xf>
    <xf numFmtId="176" fontId="29" fillId="0" borderId="216" applyBorder="0">
      <alignment horizontal="right"/>
    </xf>
    <xf numFmtId="176" fontId="29" fillId="15" borderId="216" applyBorder="0">
      <alignment horizontal="right"/>
    </xf>
    <xf numFmtId="0" fontId="237" fillId="28" borderId="349" applyNumberFormat="0" applyAlignment="0" applyProtection="0"/>
    <xf numFmtId="43" fontId="18" fillId="0" borderId="0" applyFont="0" applyFill="0" applyBorder="0" applyAlignment="0" applyProtection="0"/>
    <xf numFmtId="0" fontId="244" fillId="4" borderId="349" applyNumberFormat="0" applyAlignment="0" applyProtection="0"/>
    <xf numFmtId="193" fontId="66" fillId="23" borderId="347" applyFont="0">
      <alignment horizontal="right"/>
    </xf>
    <xf numFmtId="0" fontId="99" fillId="0" borderId="346" applyNumberFormat="0" applyFill="0" applyAlignment="0" applyProtection="0"/>
    <xf numFmtId="44" fontId="18" fillId="0" borderId="0" applyFont="0" applyFill="0" applyBorder="0" applyAlignment="0" applyProtection="0"/>
    <xf numFmtId="8" fontId="138" fillId="0" borderId="350">
      <protection locked="0"/>
    </xf>
    <xf numFmtId="0" fontId="99" fillId="0" borderId="150" applyNumberFormat="0" applyFill="0" applyAlignment="0" applyProtection="0"/>
    <xf numFmtId="0" fontId="18" fillId="0" borderId="0" applyNumberFormat="0" applyFill="0" applyBorder="0" applyAlignment="0" applyProtection="0"/>
    <xf numFmtId="169" fontId="356" fillId="0" borderId="0" applyNumberFormat="0" applyFill="0" applyBorder="0">
      <alignment horizontal="left" vertical="center"/>
    </xf>
    <xf numFmtId="0" fontId="18" fillId="0" borderId="0" applyNumberFormat="0" applyFill="0" applyBorder="0" applyAlignment="0" applyProtection="0"/>
    <xf numFmtId="322" fontId="32" fillId="0" borderId="0" applyNumberFormat="0" applyFill="0" applyBorder="0" applyAlignment="0" applyProtection="0"/>
    <xf numFmtId="341" fontId="32" fillId="0" borderId="0"/>
    <xf numFmtId="7" fontId="92" fillId="0" borderId="0" applyFont="0" applyFill="0" applyBorder="0" applyAlignment="0" applyProtection="0"/>
    <xf numFmtId="37" fontId="56" fillId="1" borderId="0">
      <alignment horizontal="right"/>
    </xf>
    <xf numFmtId="8" fontId="138" fillId="0" borderId="375">
      <protection locked="0"/>
    </xf>
    <xf numFmtId="169" fontId="137" fillId="0" borderId="358" applyNumberFormat="0" applyFill="0" applyAlignment="0" applyProtection="0"/>
    <xf numFmtId="259" fontId="37" fillId="25" borderId="358" applyNumberFormat="0" applyFont="0" applyAlignment="0"/>
    <xf numFmtId="0" fontId="32" fillId="0" borderId="0">
      <alignment vertical="top"/>
    </xf>
    <xf numFmtId="259" fontId="37" fillId="25" borderId="358" applyNumberFormat="0" applyFont="0" applyAlignment="0"/>
    <xf numFmtId="0" fontId="51" fillId="0" borderId="370">
      <alignment horizontal="left" vertical="center"/>
    </xf>
    <xf numFmtId="0" fontId="18" fillId="0" borderId="359" applyNumberFormat="0" applyFill="0" applyAlignment="0" applyProtection="0"/>
    <xf numFmtId="0" fontId="244" fillId="4" borderId="363" applyNumberFormat="0" applyAlignment="0" applyProtection="0"/>
    <xf numFmtId="0" fontId="140" fillId="0" borderId="368" applyNumberFormat="0" applyBorder="0"/>
    <xf numFmtId="195" fontId="18" fillId="29" borderId="368" applyNumberFormat="0" applyFont="0" applyBorder="0" applyAlignment="0" applyProtection="0">
      <alignment horizontal="right"/>
    </xf>
    <xf numFmtId="39" fontId="33" fillId="0" borderId="149" applyNumberFormat="0" applyBorder="0">
      <alignment horizontal="right"/>
    </xf>
    <xf numFmtId="0" fontId="140" fillId="0" borderId="379" applyNumberFormat="0" applyBorder="0"/>
    <xf numFmtId="176" fontId="29" fillId="0" borderId="379" applyBorder="0">
      <alignment horizontal="right"/>
    </xf>
    <xf numFmtId="0" fontId="357" fillId="0" borderId="0" applyNumberFormat="0">
      <alignment horizontal="left"/>
    </xf>
    <xf numFmtId="0" fontId="173" fillId="0" borderId="0" applyFill="0" applyBorder="0" applyProtection="0">
      <alignment horizontal="left" vertical="top"/>
    </xf>
    <xf numFmtId="0" fontId="244" fillId="4" borderId="374" applyNumberFormat="0" applyAlignment="0" applyProtection="0"/>
    <xf numFmtId="0" fontId="247" fillId="28" borderId="377" applyNumberFormat="0" applyAlignment="0" applyProtection="0"/>
    <xf numFmtId="0" fontId="249" fillId="0" borderId="378" applyNumberFormat="0" applyFill="0" applyAlignment="0" applyProtection="0"/>
    <xf numFmtId="38" fontId="358" fillId="0" borderId="0" applyNumberFormat="0" applyFill="0" applyBorder="0">
      <alignment horizontal="left" vertical="center"/>
    </xf>
    <xf numFmtId="38" fontId="359" fillId="0" borderId="0" applyNumberFormat="0" applyFill="0" applyBorder="0">
      <alignment horizontal="centerContinuous" vertical="center"/>
    </xf>
    <xf numFmtId="0" fontId="18" fillId="0" borderId="373" applyNumberFormat="0" applyFill="0" applyAlignment="0" applyProtection="0"/>
    <xf numFmtId="0" fontId="244" fillId="4" borderId="374" applyNumberFormat="0" applyAlignment="0" applyProtection="0"/>
    <xf numFmtId="0" fontId="244" fillId="4" borderId="374" applyNumberFormat="0" applyAlignment="0" applyProtection="0"/>
    <xf numFmtId="1" fontId="85" fillId="0" borderId="149" applyFill="0" applyProtection="0">
      <alignment horizontal="right"/>
    </xf>
    <xf numFmtId="0" fontId="18" fillId="0" borderId="0"/>
    <xf numFmtId="0" fontId="32" fillId="0" borderId="0"/>
    <xf numFmtId="256" fontId="135" fillId="0" borderId="0"/>
    <xf numFmtId="4" fontId="28" fillId="0" borderId="0" applyFont="0" applyFill="0" applyBorder="0" applyAlignment="0" applyProtection="0"/>
    <xf numFmtId="0" fontId="18" fillId="0" borderId="0"/>
    <xf numFmtId="0" fontId="99" fillId="0" borderId="170" applyNumberFormat="0" applyFill="0" applyAlignment="0" applyProtection="0"/>
    <xf numFmtId="195" fontId="18" fillId="29" borderId="168" applyNumberFormat="0" applyFont="0" applyBorder="0" applyAlignment="0" applyProtection="0">
      <alignment horizontal="right"/>
    </xf>
    <xf numFmtId="37" fontId="89" fillId="0" borderId="168" applyNumberFormat="0" applyFont="0" applyFill="0" applyAlignment="0" applyProtection="0"/>
    <xf numFmtId="8" fontId="138" fillId="0" borderId="164">
      <protection locked="0"/>
    </xf>
    <xf numFmtId="10" fontId="18" fillId="25" borderId="148" applyNumberFormat="0" applyBorder="0" applyAlignment="0" applyProtection="0"/>
    <xf numFmtId="169" fontId="137" fillId="0" borderId="148" applyNumberFormat="0" applyFill="0" applyAlignment="0" applyProtection="0"/>
    <xf numFmtId="0" fontId="244" fillId="4" borderId="153" applyNumberFormat="0" applyAlignment="0" applyProtection="0"/>
    <xf numFmtId="259" fontId="37" fillId="25" borderId="148" applyNumberFormat="0" applyFont="0" applyAlignment="0"/>
    <xf numFmtId="0" fontId="18" fillId="0" borderId="162" applyNumberFormat="0" applyFill="0" applyAlignment="0" applyProtection="0"/>
    <xf numFmtId="193" fontId="66" fillId="23" borderId="149" applyFont="0">
      <alignment horizontal="right"/>
    </xf>
    <xf numFmtId="193" fontId="66" fillId="23" borderId="149" applyFont="0">
      <alignment horizontal="right"/>
    </xf>
    <xf numFmtId="0" fontId="18" fillId="0" borderId="152" applyNumberFormat="0" applyFill="0" applyAlignment="0" applyProtection="0"/>
    <xf numFmtId="9" fontId="96" fillId="25" borderId="151" applyNumberFormat="0" applyFont="0" applyAlignment="0" applyProtection="0"/>
    <xf numFmtId="4" fontId="137" fillId="0" borderId="151" applyFont="0" applyFill="0" applyBorder="0" applyAlignment="0" applyProtection="0"/>
    <xf numFmtId="0" fontId="29" fillId="0" borderId="149" applyFont="0" applyFill="0" applyBorder="0" applyAlignment="0" applyProtection="0">
      <alignment horizontal="center"/>
    </xf>
    <xf numFmtId="259" fontId="37" fillId="25" borderId="151" applyNumberFormat="0" applyFont="0" applyAlignment="0"/>
    <xf numFmtId="0" fontId="51" fillId="0" borderId="149">
      <alignment horizontal="left" vertical="center"/>
    </xf>
    <xf numFmtId="0" fontId="244" fillId="4" borderId="142" applyNumberFormat="0" applyAlignment="0" applyProtection="0"/>
    <xf numFmtId="10" fontId="18" fillId="25" borderId="151" applyNumberFormat="0" applyBorder="0" applyAlignment="0" applyProtection="0"/>
    <xf numFmtId="169" fontId="137" fillId="0" borderId="151" applyNumberFormat="0" applyFill="0" applyAlignment="0" applyProtection="0"/>
    <xf numFmtId="195" fontId="18" fillId="29" borderId="168" applyNumberFormat="0" applyFont="0" applyBorder="0" applyAlignment="0" applyProtection="0">
      <alignment horizontal="right"/>
    </xf>
    <xf numFmtId="3" fontId="115" fillId="24" borderId="169" applyBorder="0">
      <protection locked="0"/>
    </xf>
    <xf numFmtId="0" fontId="244" fillId="4" borderId="163" applyNumberFormat="0" applyAlignment="0" applyProtection="0"/>
    <xf numFmtId="10" fontId="18" fillId="25" borderId="148" applyNumberFormat="0" applyBorder="0" applyAlignment="0" applyProtection="0"/>
    <xf numFmtId="0" fontId="51" fillId="0" borderId="149">
      <alignment horizontal="left" vertical="center"/>
    </xf>
    <xf numFmtId="0" fontId="29" fillId="0" borderId="149" applyFont="0" applyFill="0" applyBorder="0" applyAlignment="0" applyProtection="0">
      <alignment horizontal="center"/>
    </xf>
    <xf numFmtId="4" fontId="137" fillId="0" borderId="148" applyFont="0" applyFill="0" applyBorder="0" applyAlignment="0" applyProtection="0"/>
    <xf numFmtId="9" fontId="96" fillId="25" borderId="148" applyNumberFormat="0" applyFont="0" applyAlignment="0" applyProtection="0"/>
    <xf numFmtId="193" fontId="66" fillId="23" borderId="149" applyFont="0">
      <alignment horizontal="right"/>
    </xf>
    <xf numFmtId="0" fontId="18" fillId="0" borderId="152" applyNumberFormat="0" applyFill="0" applyAlignment="0" applyProtection="0"/>
    <xf numFmtId="10" fontId="18" fillId="25" borderId="151" applyNumberFormat="0" applyBorder="0" applyAlignment="0" applyProtection="0"/>
    <xf numFmtId="0" fontId="18" fillId="2" borderId="155" applyNumberFormat="0" applyFont="0" applyAlignment="0" applyProtection="0"/>
    <xf numFmtId="0" fontId="244" fillId="4" borderId="153" applyNumberFormat="0" applyAlignment="0" applyProtection="0"/>
    <xf numFmtId="8" fontId="138" fillId="0" borderId="154">
      <protection locked="0"/>
    </xf>
    <xf numFmtId="0" fontId="237" fillId="28" borderId="153" applyNumberFormat="0" applyAlignment="0" applyProtection="0"/>
    <xf numFmtId="0" fontId="244" fillId="4" borderId="153" applyNumberFormat="0" applyAlignment="0" applyProtection="0"/>
    <xf numFmtId="0" fontId="244" fillId="4" borderId="153" applyNumberFormat="0" applyAlignment="0" applyProtection="0"/>
    <xf numFmtId="0" fontId="18" fillId="0" borderId="152" applyNumberFormat="0" applyFill="0" applyAlignment="0" applyProtection="0"/>
    <xf numFmtId="0" fontId="249" fillId="0" borderId="157" applyNumberFormat="0" applyFill="0" applyAlignment="0" applyProtection="0"/>
    <xf numFmtId="0" fontId="247" fillId="28" borderId="156" applyNumberFormat="0" applyAlignment="0" applyProtection="0"/>
    <xf numFmtId="0" fontId="18" fillId="0" borderId="152" applyNumberFormat="0" applyFill="0" applyAlignment="0" applyProtection="0"/>
    <xf numFmtId="0" fontId="244" fillId="4" borderId="153" applyNumberFormat="0" applyAlignment="0" applyProtection="0"/>
    <xf numFmtId="0" fontId="18" fillId="2" borderId="155" applyNumberFormat="0" applyFont="0" applyAlignment="0" applyProtection="0"/>
    <xf numFmtId="177" fontId="114" fillId="0" borderId="158" applyBorder="0"/>
    <xf numFmtId="176" fontId="29" fillId="15" borderId="158" applyBorder="0">
      <alignment horizontal="right"/>
    </xf>
    <xf numFmtId="176" fontId="29" fillId="0" borderId="158" applyBorder="0">
      <alignment horizontal="right"/>
    </xf>
    <xf numFmtId="3" fontId="115" fillId="24" borderId="159" applyBorder="0">
      <protection locked="0"/>
    </xf>
    <xf numFmtId="37" fontId="89" fillId="0" borderId="158" applyNumberFormat="0" applyFont="0" applyFill="0" applyAlignment="0" applyProtection="0"/>
    <xf numFmtId="0" fontId="140" fillId="0" borderId="158" applyNumberFormat="0" applyBorder="0"/>
    <xf numFmtId="195" fontId="18" fillId="29" borderId="158" applyNumberFormat="0" applyFont="0" applyBorder="0" applyAlignment="0" applyProtection="0">
      <alignment horizontal="right"/>
    </xf>
    <xf numFmtId="195" fontId="18" fillId="29" borderId="158" applyNumberFormat="0" applyFont="0" applyBorder="0" applyAlignment="0" applyProtection="0">
      <alignment horizontal="right"/>
    </xf>
    <xf numFmtId="0" fontId="32"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168" applyNumberFormat="0" applyBorder="0"/>
    <xf numFmtId="176" fontId="29" fillId="0" borderId="168" applyBorder="0">
      <alignment horizontal="right"/>
    </xf>
    <xf numFmtId="176" fontId="29" fillId="15" borderId="168" applyBorder="0">
      <alignment horizontal="right"/>
    </xf>
    <xf numFmtId="177" fontId="114" fillId="0" borderId="168" applyBorder="0"/>
    <xf numFmtId="0" fontId="18" fillId="2" borderId="165" applyNumberFormat="0" applyFont="0" applyAlignment="0" applyProtection="0"/>
    <xf numFmtId="0" fontId="244" fillId="4" borderId="163" applyNumberFormat="0" applyAlignment="0" applyProtection="0"/>
    <xf numFmtId="0" fontId="18" fillId="0" borderId="162" applyNumberFormat="0" applyFill="0" applyAlignment="0" applyProtection="0"/>
    <xf numFmtId="0" fontId="247" fillId="28" borderId="166" applyNumberFormat="0" applyAlignment="0" applyProtection="0"/>
    <xf numFmtId="0" fontId="249" fillId="0" borderId="167" applyNumberFormat="0" applyFill="0" applyAlignment="0" applyProtection="0"/>
    <xf numFmtId="0" fontId="18" fillId="0" borderId="162" applyNumberFormat="0" applyFill="0" applyAlignment="0" applyProtection="0"/>
    <xf numFmtId="0" fontId="244" fillId="4" borderId="163" applyNumberFormat="0" applyAlignment="0" applyProtection="0"/>
    <xf numFmtId="0" fontId="244" fillId="4" borderId="163" applyNumberFormat="0" applyAlignment="0" applyProtection="0"/>
    <xf numFmtId="0" fontId="237" fillId="28" borderId="163" applyNumberFormat="0" applyAlignment="0" applyProtection="0"/>
    <xf numFmtId="0" fontId="18" fillId="2" borderId="165" applyNumberFormat="0" applyFont="0" applyAlignment="0" applyProtection="0"/>
    <xf numFmtId="0" fontId="18" fillId="0" borderId="162" applyNumberFormat="0" applyFill="0" applyAlignment="0" applyProtection="0"/>
    <xf numFmtId="193" fontId="66" fillId="23" borderId="149" applyFont="0">
      <alignment horizontal="right"/>
    </xf>
    <xf numFmtId="0" fontId="99" fillId="0" borderId="160" applyNumberFormat="0" applyFill="0" applyAlignment="0" applyProtection="0"/>
    <xf numFmtId="0" fontId="81" fillId="0" borderId="140" applyNumberFormat="0" applyFill="0" applyProtection="0">
      <alignment horizontal="right"/>
    </xf>
    <xf numFmtId="39" fontId="33" fillId="0" borderId="149" applyNumberFormat="0" applyBorder="0">
      <alignment horizontal="right"/>
    </xf>
    <xf numFmtId="1" fontId="85" fillId="0" borderId="149" applyFill="0" applyProtection="0">
      <alignment horizontal="right"/>
    </xf>
    <xf numFmtId="0" fontId="18" fillId="0" borderId="0"/>
    <xf numFmtId="39" fontId="33" fillId="0" borderId="149" applyNumberFormat="0" applyBorder="0">
      <alignment horizontal="right"/>
    </xf>
    <xf numFmtId="1" fontId="85" fillId="0" borderId="149" applyFill="0" applyProtection="0">
      <alignment horizontal="right"/>
    </xf>
    <xf numFmtId="0" fontId="18" fillId="0" borderId="0"/>
    <xf numFmtId="177" fontId="114" fillId="0" borderId="171" applyBorder="0"/>
    <xf numFmtId="176" fontId="29" fillId="15" borderId="171" applyBorder="0">
      <alignment horizontal="right"/>
    </xf>
    <xf numFmtId="176" fontId="29" fillId="0" borderId="171" applyBorder="0">
      <alignment horizontal="right"/>
    </xf>
    <xf numFmtId="193" fontId="66" fillId="23" borderId="149" applyFont="0">
      <alignment horizontal="right"/>
    </xf>
    <xf numFmtId="3" fontId="115" fillId="24" borderId="172" applyBorder="0">
      <protection locked="0"/>
    </xf>
    <xf numFmtId="0" fontId="18" fillId="0" borderId="173" applyNumberFormat="0" applyFill="0" applyAlignment="0" applyProtection="0"/>
    <xf numFmtId="0" fontId="124" fillId="0" borderId="70"/>
    <xf numFmtId="0" fontId="126" fillId="0" borderId="70" applyNumberFormat="0" applyFill="0" applyAlignment="0" applyProtection="0"/>
    <xf numFmtId="37" fontId="89" fillId="0" borderId="171" applyNumberFormat="0" applyFont="0" applyFill="0" applyAlignment="0" applyProtection="0"/>
    <xf numFmtId="0" fontId="140" fillId="0" borderId="171" applyNumberFormat="0" applyBorder="0"/>
    <xf numFmtId="195" fontId="18" fillId="29" borderId="171" applyNumberFormat="0" applyFont="0" applyBorder="0" applyAlignment="0" applyProtection="0">
      <alignment horizontal="right"/>
    </xf>
    <xf numFmtId="0" fontId="29" fillId="0" borderId="149" applyFont="0" applyFill="0" applyBorder="0" applyAlignment="0" applyProtection="0">
      <alignment horizontal="center"/>
    </xf>
    <xf numFmtId="0" fontId="51" fillId="0" borderId="149">
      <alignment horizontal="left" vertical="center"/>
    </xf>
    <xf numFmtId="0" fontId="244" fillId="4" borderId="142" applyNumberFormat="0" applyAlignment="0" applyProtection="0"/>
    <xf numFmtId="193" fontId="66" fillId="23" borderId="149" applyFont="0">
      <alignment horizontal="right"/>
    </xf>
    <xf numFmtId="0" fontId="18" fillId="0" borderId="173" applyNumberFormat="0" applyFill="0" applyAlignment="0" applyProtection="0"/>
    <xf numFmtId="0" fontId="124" fillId="0" borderId="70"/>
    <xf numFmtId="0" fontId="126" fillId="0" borderId="70" applyNumberFormat="0" applyFill="0" applyAlignment="0" applyProtection="0"/>
    <xf numFmtId="195" fontId="18" fillId="29" borderId="171" applyNumberFormat="0" applyFont="0" applyBorder="0" applyAlignment="0" applyProtection="0">
      <alignment horizontal="right"/>
    </xf>
    <xf numFmtId="0" fontId="18" fillId="2" borderId="137" applyNumberFormat="0" applyFont="0" applyAlignment="0" applyProtection="0"/>
    <xf numFmtId="0" fontId="244" fillId="4" borderId="135" applyNumberFormat="0" applyAlignment="0" applyProtection="0"/>
    <xf numFmtId="8" fontId="138" fillId="0" borderId="136">
      <protection locked="0"/>
    </xf>
    <xf numFmtId="0" fontId="237" fillId="28" borderId="135" applyNumberFormat="0" applyAlignment="0" applyProtection="0"/>
    <xf numFmtId="0" fontId="244" fillId="4" borderId="135" applyNumberFormat="0" applyAlignment="0" applyProtection="0"/>
    <xf numFmtId="0" fontId="244" fillId="4" borderId="135" applyNumberFormat="0" applyAlignment="0" applyProtection="0"/>
    <xf numFmtId="0" fontId="18" fillId="0" borderId="134" applyNumberFormat="0" applyFill="0" applyAlignment="0" applyProtection="0"/>
    <xf numFmtId="0" fontId="249" fillId="0" borderId="139" applyNumberFormat="0" applyFill="0" applyAlignment="0" applyProtection="0"/>
    <xf numFmtId="0" fontId="247" fillId="28" borderId="138" applyNumberFormat="0" applyAlignment="0" applyProtection="0"/>
    <xf numFmtId="0" fontId="18" fillId="0" borderId="134" applyNumberFormat="0" applyFill="0" applyAlignment="0" applyProtection="0"/>
    <xf numFmtId="0" fontId="244" fillId="4" borderId="135" applyNumberFormat="0" applyAlignment="0" applyProtection="0"/>
    <xf numFmtId="0" fontId="18" fillId="2" borderId="137" applyNumberFormat="0" applyFont="0" applyAlignment="0" applyProtection="0"/>
    <xf numFmtId="177" fontId="114" fillId="0" borderId="46" applyBorder="0"/>
    <xf numFmtId="176" fontId="29" fillId="15" borderId="46" applyBorder="0">
      <alignment horizontal="right"/>
    </xf>
    <xf numFmtId="176" fontId="29" fillId="0" borderId="46" applyBorder="0">
      <alignment horizontal="right"/>
    </xf>
    <xf numFmtId="3" fontId="115" fillId="24" borderId="129" applyBorder="0">
      <protection locked="0"/>
    </xf>
    <xf numFmtId="37" fontId="89" fillId="0" borderId="46" applyNumberFormat="0" applyFont="0" applyFill="0" applyAlignment="0" applyProtection="0"/>
    <xf numFmtId="0" fontId="140" fillId="0" borderId="46" applyNumberFormat="0" applyBorder="0"/>
    <xf numFmtId="195" fontId="18" fillId="29" borderId="46" applyNumberFormat="0" applyFont="0" applyBorder="0" applyAlignment="0" applyProtection="0">
      <alignment horizontal="right"/>
    </xf>
    <xf numFmtId="195" fontId="18" fillId="29" borderId="46"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99" fillId="0" borderId="170" applyNumberFormat="0" applyFill="0" applyAlignment="0" applyProtection="0"/>
    <xf numFmtId="0" fontId="99" fillId="0" borderId="170" applyNumberFormat="0" applyFill="0" applyAlignment="0" applyProtection="0"/>
    <xf numFmtId="0" fontId="81" fillId="0" borderId="171" applyNumberFormat="0" applyFill="0" applyProtection="0">
      <alignment horizontal="right"/>
    </xf>
    <xf numFmtId="39" fontId="33" fillId="0" borderId="131" applyNumberFormat="0" applyBorder="0">
      <alignment horizontal="right"/>
    </xf>
    <xf numFmtId="0" fontId="82" fillId="0" borderId="70" applyNumberFormat="0" applyFill="0" applyProtection="0"/>
    <xf numFmtId="1" fontId="85" fillId="0" borderId="131" applyFill="0" applyProtection="0">
      <alignment horizontal="right"/>
    </xf>
    <xf numFmtId="0" fontId="18" fillId="0" borderId="0"/>
    <xf numFmtId="0" fontId="99" fillId="0" borderId="170" applyNumberFormat="0" applyFill="0" applyAlignment="0" applyProtection="0"/>
    <xf numFmtId="195" fontId="18" fillId="29" borderId="46" applyNumberFormat="0" applyFont="0" applyBorder="0" applyAlignment="0" applyProtection="0">
      <alignment horizontal="right"/>
    </xf>
    <xf numFmtId="37" fontId="89" fillId="0" borderId="46" applyNumberFormat="0" applyFont="0" applyFill="0" applyAlignment="0" applyProtection="0"/>
    <xf numFmtId="8" fontId="138" fillId="0" borderId="136">
      <protection locked="0"/>
    </xf>
    <xf numFmtId="10" fontId="18" fillId="25" borderId="6" applyNumberFormat="0" applyBorder="0" applyAlignment="0" applyProtection="0"/>
    <xf numFmtId="169" fontId="137" fillId="0" borderId="6" applyNumberFormat="0" applyFill="0" applyAlignment="0" applyProtection="0"/>
    <xf numFmtId="0" fontId="244" fillId="4" borderId="135" applyNumberFormat="0" applyAlignment="0" applyProtection="0"/>
    <xf numFmtId="259" fontId="37" fillId="25" borderId="6" applyNumberFormat="0" applyFont="0" applyAlignment="0"/>
    <xf numFmtId="0" fontId="18" fillId="0" borderId="134" applyNumberFormat="0" applyFill="0" applyAlignment="0" applyProtection="0"/>
    <xf numFmtId="193" fontId="66" fillId="23" borderId="131" applyFont="0">
      <alignment horizontal="right"/>
    </xf>
    <xf numFmtId="193" fontId="66" fillId="23" borderId="131" applyFont="0">
      <alignment horizontal="right"/>
    </xf>
    <xf numFmtId="0" fontId="18" fillId="0" borderId="134" applyNumberFormat="0" applyFill="0" applyAlignment="0" applyProtection="0"/>
    <xf numFmtId="9" fontId="96" fillId="25" borderId="174" applyNumberFormat="0" applyFont="0" applyAlignment="0" applyProtection="0"/>
    <xf numFmtId="4" fontId="137" fillId="0" borderId="174" applyFont="0" applyFill="0" applyBorder="0" applyAlignment="0" applyProtection="0"/>
    <xf numFmtId="0" fontId="29" fillId="0" borderId="131" applyFont="0" applyFill="0" applyBorder="0" applyAlignment="0" applyProtection="0">
      <alignment horizontal="center"/>
    </xf>
    <xf numFmtId="259" fontId="37" fillId="25" borderId="174" applyNumberFormat="0" applyFont="0" applyAlignment="0"/>
    <xf numFmtId="0" fontId="51" fillId="0" borderId="131">
      <alignment horizontal="left" vertical="center"/>
    </xf>
    <xf numFmtId="0" fontId="244" fillId="4" borderId="135" applyNumberFormat="0" applyAlignment="0" applyProtection="0"/>
    <xf numFmtId="10" fontId="18" fillId="25" borderId="174" applyNumberFormat="0" applyBorder="0" applyAlignment="0" applyProtection="0"/>
    <xf numFmtId="169" fontId="137" fillId="0" borderId="174" applyNumberFormat="0" applyFill="0" applyAlignment="0" applyProtection="0"/>
    <xf numFmtId="195" fontId="18" fillId="29" borderId="46" applyNumberFormat="0" applyFont="0" applyBorder="0" applyAlignment="0" applyProtection="0">
      <alignment horizontal="right"/>
    </xf>
    <xf numFmtId="0" fontId="244" fillId="4" borderId="135" applyNumberFormat="0" applyAlignment="0" applyProtection="0"/>
    <xf numFmtId="10" fontId="18" fillId="25" borderId="6" applyNumberFormat="0" applyBorder="0" applyAlignment="0" applyProtection="0"/>
    <xf numFmtId="0" fontId="51" fillId="0" borderId="131">
      <alignment horizontal="left" vertical="center"/>
    </xf>
    <xf numFmtId="0" fontId="29" fillId="0" borderId="131" applyFont="0" applyFill="0" applyBorder="0" applyAlignment="0" applyProtection="0">
      <alignment horizontal="center"/>
    </xf>
    <xf numFmtId="4" fontId="137" fillId="0" borderId="6" applyFont="0" applyFill="0" applyBorder="0" applyAlignment="0" applyProtection="0"/>
    <xf numFmtId="9" fontId="96" fillId="25" borderId="6" applyNumberFormat="0" applyFont="0" applyAlignment="0" applyProtection="0"/>
    <xf numFmtId="193" fontId="66" fillId="23" borderId="131" applyFont="0">
      <alignment horizontal="right"/>
    </xf>
    <xf numFmtId="0" fontId="18" fillId="0" borderId="134" applyNumberFormat="0" applyFill="0" applyAlignment="0" applyProtection="0"/>
    <xf numFmtId="10" fontId="18" fillId="25" borderId="174" applyNumberFormat="0" applyBorder="0" applyAlignment="0" applyProtection="0"/>
    <xf numFmtId="0" fontId="18" fillId="2" borderId="137" applyNumberFormat="0" applyFont="0" applyAlignment="0" applyProtection="0"/>
    <xf numFmtId="0" fontId="244" fillId="4" borderId="135" applyNumberFormat="0" applyAlignment="0" applyProtection="0"/>
    <xf numFmtId="8" fontId="138" fillId="0" borderId="136">
      <protection locked="0"/>
    </xf>
    <xf numFmtId="0" fontId="237" fillId="28" borderId="135" applyNumberFormat="0" applyAlignment="0" applyProtection="0"/>
    <xf numFmtId="0" fontId="244" fillId="4" borderId="135" applyNumberFormat="0" applyAlignment="0" applyProtection="0"/>
    <xf numFmtId="0" fontId="244" fillId="4" borderId="135" applyNumberFormat="0" applyAlignment="0" applyProtection="0"/>
    <xf numFmtId="0" fontId="18" fillId="0" borderId="134" applyNumberFormat="0" applyFill="0" applyAlignment="0" applyProtection="0"/>
    <xf numFmtId="0" fontId="249" fillId="0" borderId="139" applyNumberFormat="0" applyFill="0" applyAlignment="0" applyProtection="0"/>
    <xf numFmtId="0" fontId="247" fillId="28" borderId="138" applyNumberFormat="0" applyAlignment="0" applyProtection="0"/>
    <xf numFmtId="0" fontId="18" fillId="0" borderId="134" applyNumberFormat="0" applyFill="0" applyAlignment="0" applyProtection="0"/>
    <xf numFmtId="0" fontId="244" fillId="4" borderId="135" applyNumberFormat="0" applyAlignment="0" applyProtection="0"/>
    <xf numFmtId="0" fontId="18" fillId="2" borderId="137" applyNumberFormat="0" applyFont="0" applyAlignment="0" applyProtection="0"/>
    <xf numFmtId="177" fontId="114" fillId="0" borderId="46" applyBorder="0"/>
    <xf numFmtId="176" fontId="29" fillId="15" borderId="46" applyBorder="0">
      <alignment horizontal="right"/>
    </xf>
    <xf numFmtId="176" fontId="29" fillId="0" borderId="46" applyBorder="0">
      <alignment horizontal="right"/>
    </xf>
    <xf numFmtId="37" fontId="89" fillId="0" borderId="46" applyNumberFormat="0" applyFont="0" applyFill="0" applyAlignment="0" applyProtection="0"/>
    <xf numFmtId="0" fontId="140" fillId="0" borderId="46" applyNumberFormat="0" applyBorder="0"/>
    <xf numFmtId="195" fontId="18" fillId="29" borderId="46"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46" applyNumberFormat="0" applyBorder="0"/>
    <xf numFmtId="176" fontId="29" fillId="0" borderId="46" applyBorder="0">
      <alignment horizontal="right"/>
    </xf>
    <xf numFmtId="176" fontId="29" fillId="15" borderId="46" applyBorder="0">
      <alignment horizontal="right"/>
    </xf>
    <xf numFmtId="177" fontId="114" fillId="0" borderId="46" applyBorder="0"/>
    <xf numFmtId="0" fontId="18" fillId="2" borderId="137" applyNumberFormat="0" applyFont="0" applyAlignment="0" applyProtection="0"/>
    <xf numFmtId="0" fontId="244" fillId="4" borderId="135" applyNumberFormat="0" applyAlignment="0" applyProtection="0"/>
    <xf numFmtId="0" fontId="18" fillId="0" borderId="134" applyNumberFormat="0" applyFill="0" applyAlignment="0" applyProtection="0"/>
    <xf numFmtId="0" fontId="247" fillId="28" borderId="138" applyNumberFormat="0" applyAlignment="0" applyProtection="0"/>
    <xf numFmtId="0" fontId="249" fillId="0" borderId="139" applyNumberFormat="0" applyFill="0" applyAlignment="0" applyProtection="0"/>
    <xf numFmtId="0" fontId="18" fillId="0" borderId="134" applyNumberFormat="0" applyFill="0" applyAlignment="0" applyProtection="0"/>
    <xf numFmtId="0" fontId="244" fillId="4" borderId="135" applyNumberFormat="0" applyAlignment="0" applyProtection="0"/>
    <xf numFmtId="0" fontId="244" fillId="4" borderId="135" applyNumberFormat="0" applyAlignment="0" applyProtection="0"/>
    <xf numFmtId="0" fontId="237" fillId="28" borderId="135" applyNumberFormat="0" applyAlignment="0" applyProtection="0"/>
    <xf numFmtId="0" fontId="18" fillId="2" borderId="137" applyNumberFormat="0" applyFont="0" applyAlignment="0" applyProtection="0"/>
    <xf numFmtId="0" fontId="18" fillId="0" borderId="134" applyNumberFormat="0" applyFill="0" applyAlignment="0" applyProtection="0"/>
    <xf numFmtId="193" fontId="66" fillId="23" borderId="131" applyFont="0">
      <alignment horizontal="right"/>
    </xf>
    <xf numFmtId="0" fontId="99" fillId="0" borderId="170" applyNumberFormat="0" applyFill="0" applyAlignment="0" applyProtection="0"/>
    <xf numFmtId="39" fontId="33" fillId="0" borderId="131" applyNumberFormat="0" applyBorder="0">
      <alignment horizontal="right"/>
    </xf>
    <xf numFmtId="1" fontId="85" fillId="0" borderId="131" applyFill="0" applyProtection="0">
      <alignment horizontal="right"/>
    </xf>
    <xf numFmtId="39" fontId="33" fillId="0" borderId="131" applyNumberFormat="0" applyBorder="0">
      <alignment horizontal="right"/>
    </xf>
    <xf numFmtId="1" fontId="85" fillId="0" borderId="131" applyFill="0" applyProtection="0">
      <alignment horizontal="right"/>
    </xf>
    <xf numFmtId="0" fontId="99" fillId="0" borderId="170" applyNumberFormat="0" applyFill="0" applyAlignment="0" applyProtection="0"/>
    <xf numFmtId="195" fontId="18" fillId="29" borderId="171" applyNumberFormat="0" applyFont="0" applyBorder="0" applyAlignment="0" applyProtection="0">
      <alignment horizontal="right"/>
    </xf>
    <xf numFmtId="37" fontId="89" fillId="0" borderId="171" applyNumberFormat="0" applyFont="0" applyFill="0" applyAlignment="0" applyProtection="0"/>
    <xf numFmtId="8" fontId="138" fillId="0" borderId="176">
      <protection locked="0"/>
    </xf>
    <xf numFmtId="10" fontId="18" fillId="25" borderId="161" applyNumberFormat="0" applyBorder="0" applyAlignment="0" applyProtection="0"/>
    <xf numFmtId="169" fontId="137" fillId="0" borderId="161" applyNumberFormat="0" applyFill="0" applyAlignment="0" applyProtection="0"/>
    <xf numFmtId="0" fontId="244" fillId="4" borderId="175" applyNumberFormat="0" applyAlignment="0" applyProtection="0"/>
    <xf numFmtId="259" fontId="37" fillId="25" borderId="161" applyNumberFormat="0" applyFont="0" applyAlignment="0"/>
    <xf numFmtId="0" fontId="18" fillId="0" borderId="173" applyNumberFormat="0" applyFill="0" applyAlignment="0" applyProtection="0"/>
    <xf numFmtId="193" fontId="66" fillId="23" borderId="149" applyFont="0">
      <alignment horizontal="right"/>
    </xf>
    <xf numFmtId="0" fontId="18" fillId="0" borderId="173" applyNumberFormat="0" applyFill="0" applyAlignment="0" applyProtection="0"/>
    <xf numFmtId="9" fontId="96" fillId="25" borderId="161" applyNumberFormat="0" applyFont="0" applyAlignment="0" applyProtection="0"/>
    <xf numFmtId="4" fontId="137" fillId="0" borderId="161" applyFont="0" applyFill="0" applyBorder="0" applyAlignment="0" applyProtection="0"/>
    <xf numFmtId="259" fontId="37" fillId="25" borderId="161" applyNumberFormat="0" applyFont="0" applyAlignment="0"/>
    <xf numFmtId="10" fontId="18" fillId="25" borderId="161" applyNumberFormat="0" applyBorder="0" applyAlignment="0" applyProtection="0"/>
    <xf numFmtId="169" fontId="137" fillId="0" borderId="161" applyNumberFormat="0" applyFill="0" applyAlignment="0" applyProtection="0"/>
    <xf numFmtId="195" fontId="18" fillId="29" borderId="171" applyNumberFormat="0" applyFont="0" applyBorder="0" applyAlignment="0" applyProtection="0">
      <alignment horizontal="right"/>
    </xf>
    <xf numFmtId="3" fontId="115" fillId="24" borderId="172" applyBorder="0">
      <protection locked="0"/>
    </xf>
    <xf numFmtId="0" fontId="244" fillId="4" borderId="175" applyNumberFormat="0" applyAlignment="0" applyProtection="0"/>
    <xf numFmtId="10" fontId="18" fillId="25" borderId="161" applyNumberFormat="0" applyBorder="0" applyAlignment="0" applyProtection="0"/>
    <xf numFmtId="0" fontId="51" fillId="0" borderId="149">
      <alignment horizontal="left" vertical="center"/>
    </xf>
    <xf numFmtId="0" fontId="29" fillId="0" borderId="149" applyFont="0" applyFill="0" applyBorder="0" applyAlignment="0" applyProtection="0">
      <alignment horizontal="center"/>
    </xf>
    <xf numFmtId="4" fontId="137" fillId="0" borderId="161" applyFont="0" applyFill="0" applyBorder="0" applyAlignment="0" applyProtection="0"/>
    <xf numFmtId="9" fontId="96" fillId="25" borderId="161" applyNumberFormat="0" applyFont="0" applyAlignment="0" applyProtection="0"/>
    <xf numFmtId="0" fontId="18" fillId="0" borderId="173" applyNumberFormat="0" applyFill="0" applyAlignment="0" applyProtection="0"/>
    <xf numFmtId="10" fontId="18" fillId="25" borderId="161" applyNumberFormat="0" applyBorder="0" applyAlignment="0" applyProtection="0"/>
    <xf numFmtId="0" fontId="18" fillId="2" borderId="177" applyNumberFormat="0" applyFont="0" applyAlignment="0" applyProtection="0"/>
    <xf numFmtId="0" fontId="244" fillId="4" borderId="175" applyNumberFormat="0" applyAlignment="0" applyProtection="0"/>
    <xf numFmtId="8" fontId="138" fillId="0" borderId="176">
      <protection locked="0"/>
    </xf>
    <xf numFmtId="0" fontId="237" fillId="28" borderId="175" applyNumberFormat="0" applyAlignment="0" applyProtection="0"/>
    <xf numFmtId="0" fontId="244" fillId="4" borderId="175" applyNumberFormat="0" applyAlignment="0" applyProtection="0"/>
    <xf numFmtId="0" fontId="244" fillId="4" borderId="175" applyNumberFormat="0" applyAlignment="0" applyProtection="0"/>
    <xf numFmtId="0" fontId="18" fillId="0" borderId="173" applyNumberFormat="0" applyFill="0" applyAlignment="0" applyProtection="0"/>
    <xf numFmtId="0" fontId="249" fillId="0" borderId="179" applyNumberFormat="0" applyFill="0" applyAlignment="0" applyProtection="0"/>
    <xf numFmtId="0" fontId="247" fillId="28" borderId="178" applyNumberFormat="0" applyAlignment="0" applyProtection="0"/>
    <xf numFmtId="0" fontId="18" fillId="0" borderId="173" applyNumberFormat="0" applyFill="0" applyAlignment="0" applyProtection="0"/>
    <xf numFmtId="0" fontId="244" fillId="4" borderId="175" applyNumberFormat="0" applyAlignment="0" applyProtection="0"/>
    <xf numFmtId="0" fontId="18" fillId="2" borderId="177" applyNumberFormat="0" applyFont="0" applyAlignment="0" applyProtection="0"/>
    <xf numFmtId="177" fontId="114" fillId="0" borderId="171" applyBorder="0"/>
    <xf numFmtId="176" fontId="29" fillId="15" borderId="171" applyBorder="0">
      <alignment horizontal="right"/>
    </xf>
    <xf numFmtId="176" fontId="29" fillId="0" borderId="171" applyBorder="0">
      <alignment horizontal="right"/>
    </xf>
    <xf numFmtId="3" fontId="115" fillId="24" borderId="172" applyBorder="0">
      <protection locked="0"/>
    </xf>
    <xf numFmtId="37" fontId="89" fillId="0" borderId="171" applyNumberFormat="0" applyFont="0" applyFill="0" applyAlignment="0" applyProtection="0"/>
    <xf numFmtId="0" fontId="140" fillId="0" borderId="171" applyNumberFormat="0" applyBorder="0"/>
    <xf numFmtId="195" fontId="18" fillId="29" borderId="171" applyNumberFormat="0" applyFont="0" applyBorder="0" applyAlignment="0" applyProtection="0">
      <alignment horizontal="right"/>
    </xf>
    <xf numFmtId="195" fontId="18" fillId="29" borderId="171" applyNumberFormat="0" applyFont="0" applyBorder="0" applyAlignment="0" applyProtection="0">
      <alignment horizontal="right"/>
    </xf>
    <xf numFmtId="0" fontId="140" fillId="0" borderId="171" applyNumberFormat="0" applyBorder="0"/>
    <xf numFmtId="176" fontId="29" fillId="0" borderId="171" applyBorder="0">
      <alignment horizontal="right"/>
    </xf>
    <xf numFmtId="176" fontId="29" fillId="15" borderId="171" applyBorder="0">
      <alignment horizontal="right"/>
    </xf>
    <xf numFmtId="177" fontId="114" fillId="0" borderId="171" applyBorder="0"/>
    <xf numFmtId="0" fontId="18" fillId="2" borderId="177" applyNumberFormat="0" applyFont="0" applyAlignment="0" applyProtection="0"/>
    <xf numFmtId="0" fontId="244" fillId="4" borderId="175" applyNumberFormat="0" applyAlignment="0" applyProtection="0"/>
    <xf numFmtId="0" fontId="18" fillId="0" borderId="173" applyNumberFormat="0" applyFill="0" applyAlignment="0" applyProtection="0"/>
    <xf numFmtId="0" fontId="247" fillId="28" borderId="178" applyNumberFormat="0" applyAlignment="0" applyProtection="0"/>
    <xf numFmtId="0" fontId="249" fillId="0" borderId="179" applyNumberFormat="0" applyFill="0" applyAlignment="0" applyProtection="0"/>
    <xf numFmtId="0" fontId="18" fillId="0" borderId="173" applyNumberFormat="0" applyFill="0" applyAlignment="0" applyProtection="0"/>
    <xf numFmtId="0" fontId="244" fillId="4" borderId="175" applyNumberFormat="0" applyAlignment="0" applyProtection="0"/>
    <xf numFmtId="0" fontId="244" fillId="4" borderId="175" applyNumberFormat="0" applyAlignment="0" applyProtection="0"/>
    <xf numFmtId="0" fontId="237" fillId="28" borderId="175" applyNumberFormat="0" applyAlignment="0" applyProtection="0"/>
    <xf numFmtId="0" fontId="18" fillId="2" borderId="177" applyNumberFormat="0" applyFont="0" applyAlignment="0" applyProtection="0"/>
    <xf numFmtId="0" fontId="18" fillId="0" borderId="173" applyNumberFormat="0" applyFill="0" applyAlignment="0" applyProtection="0"/>
    <xf numFmtId="193" fontId="66" fillId="23" borderId="149" applyFont="0">
      <alignment horizontal="right"/>
    </xf>
    <xf numFmtId="0" fontId="99" fillId="0" borderId="170" applyNumberFormat="0" applyFill="0" applyAlignment="0" applyProtection="0"/>
    <xf numFmtId="39" fontId="33" fillId="0" borderId="149" applyNumberFormat="0" applyBorder="0">
      <alignment horizontal="right"/>
    </xf>
    <xf numFmtId="1" fontId="85" fillId="0" borderId="149" applyFill="0" applyProtection="0">
      <alignment horizontal="right"/>
    </xf>
    <xf numFmtId="39" fontId="33" fillId="0" borderId="149" applyNumberFormat="0" applyBorder="0">
      <alignment horizontal="right"/>
    </xf>
    <xf numFmtId="1" fontId="85" fillId="0" borderId="149" applyFill="0" applyProtection="0">
      <alignment horizontal="right"/>
    </xf>
    <xf numFmtId="0" fontId="18" fillId="0" borderId="0"/>
    <xf numFmtId="37" fontId="89" fillId="0" borderId="200" applyNumberFormat="0" applyFont="0" applyFill="0" applyAlignment="0" applyProtection="0"/>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37" fontId="89" fillId="0" borderId="200" applyNumberFormat="0" applyFont="0" applyFill="0" applyAlignment="0" applyProtection="0"/>
    <xf numFmtId="176" fontId="29" fillId="15" borderId="200" applyBorder="0">
      <alignment horizontal="right"/>
    </xf>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18" fillId="0" borderId="202" applyNumberFormat="0" applyFill="0" applyAlignment="0" applyProtection="0"/>
    <xf numFmtId="193" fontId="66" fillId="23" borderId="180" applyFont="0">
      <alignment horizontal="right"/>
    </xf>
    <xf numFmtId="0" fontId="18" fillId="0" borderId="181" applyNumberFormat="0" applyFill="0" applyAlignment="0" applyProtection="0"/>
    <xf numFmtId="9" fontId="96" fillId="25" borderId="174" applyNumberFormat="0" applyFont="0" applyAlignment="0" applyProtection="0"/>
    <xf numFmtId="0" fontId="237" fillId="28" borderId="182" applyNumberFormat="0" applyAlignment="0" applyProtection="0"/>
    <xf numFmtId="4" fontId="137" fillId="0" borderId="174" applyFont="0" applyFill="0" applyBorder="0" applyAlignment="0" applyProtection="0"/>
    <xf numFmtId="8" fontId="138" fillId="0" borderId="183">
      <protection locked="0"/>
    </xf>
    <xf numFmtId="0" fontId="29" fillId="0" borderId="180" applyFont="0" applyFill="0" applyBorder="0" applyAlignment="0" applyProtection="0">
      <alignment horizontal="center"/>
    </xf>
    <xf numFmtId="259" fontId="37" fillId="25" borderId="174" applyNumberFormat="0" applyFont="0" applyAlignment="0"/>
    <xf numFmtId="0" fontId="51" fillId="0" borderId="180">
      <alignment horizontal="left" vertical="center"/>
    </xf>
    <xf numFmtId="0" fontId="244" fillId="4" borderId="182" applyNumberFormat="0" applyAlignment="0" applyProtection="0"/>
    <xf numFmtId="10" fontId="18" fillId="25" borderId="174" applyNumberFormat="0" applyBorder="0" applyAlignment="0" applyProtection="0"/>
    <xf numFmtId="169" fontId="137" fillId="0" borderId="174" applyNumberFormat="0" applyFill="0" applyAlignment="0" applyProtection="0"/>
    <xf numFmtId="0" fontId="18" fillId="2" borderId="184" applyNumberFormat="0" applyFont="0" applyAlignment="0" applyProtection="0"/>
    <xf numFmtId="0" fontId="247" fillId="28" borderId="185" applyNumberFormat="0" applyAlignment="0" applyProtection="0"/>
    <xf numFmtId="0" fontId="249" fillId="0" borderId="186" applyNumberFormat="0" applyFill="0" applyAlignment="0" applyProtection="0"/>
    <xf numFmtId="177" fontId="114" fillId="0" borderId="200" applyBorder="0"/>
    <xf numFmtId="0" fontId="18" fillId="0" borderId="202" applyNumberFormat="0" applyFill="0" applyAlignment="0" applyProtection="0"/>
    <xf numFmtId="0" fontId="247" fillId="28" borderId="207" applyNumberFormat="0" applyAlignment="0" applyProtection="0"/>
    <xf numFmtId="0" fontId="244" fillId="4" borderId="204" applyNumberFormat="0" applyAlignment="0" applyProtection="0"/>
    <xf numFmtId="0" fontId="18" fillId="2" borderId="206" applyNumberFormat="0" applyFont="0" applyAlignment="0" applyProtection="0"/>
    <xf numFmtId="0" fontId="249" fillId="0" borderId="208" applyNumberFormat="0" applyFill="0" applyAlignment="0" applyProtection="0"/>
    <xf numFmtId="0" fontId="247" fillId="28" borderId="207" applyNumberFormat="0" applyAlignment="0" applyProtection="0"/>
    <xf numFmtId="0" fontId="18" fillId="2" borderId="206" applyNumberFormat="0" applyFont="0" applyAlignment="0" applyProtection="0"/>
    <xf numFmtId="193" fontId="66" fillId="23" borderId="180" applyFont="0">
      <alignment horizontal="right"/>
    </xf>
    <xf numFmtId="0" fontId="18" fillId="0" borderId="181" applyNumberFormat="0" applyFill="0" applyAlignment="0" applyProtection="0"/>
    <xf numFmtId="10" fontId="18" fillId="25" borderId="174" applyNumberFormat="0" applyBorder="0" applyAlignment="0" applyProtection="0"/>
    <xf numFmtId="0" fontId="18" fillId="2" borderId="184" applyNumberFormat="0" applyFont="0" applyAlignment="0" applyProtection="0"/>
    <xf numFmtId="0" fontId="247" fillId="28" borderId="185" applyNumberFormat="0" applyAlignment="0" applyProtection="0"/>
    <xf numFmtId="177" fontId="114" fillId="0" borderId="187" applyBorder="0"/>
    <xf numFmtId="176" fontId="29" fillId="15" borderId="187" applyBorder="0">
      <alignment horizontal="right"/>
    </xf>
    <xf numFmtId="176" fontId="29" fillId="0" borderId="187" applyBorder="0">
      <alignment horizontal="right"/>
    </xf>
    <xf numFmtId="3" fontId="115" fillId="24" borderId="188" applyBorder="0">
      <protection locked="0"/>
    </xf>
    <xf numFmtId="37" fontId="89" fillId="0" borderId="187" applyNumberFormat="0" applyFont="0" applyFill="0" applyAlignment="0" applyProtection="0"/>
    <xf numFmtId="0" fontId="140" fillId="0" borderId="187" applyNumberFormat="0" applyBorder="0"/>
    <xf numFmtId="195" fontId="18" fillId="29" borderId="187" applyNumberFormat="0" applyFont="0" applyBorder="0" applyAlignment="0" applyProtection="0">
      <alignment horizontal="right"/>
    </xf>
    <xf numFmtId="195" fontId="18" fillId="29" borderId="187"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176" fontId="29" fillId="0" borderId="200" applyBorder="0">
      <alignment horizontal="right"/>
    </xf>
    <xf numFmtId="0" fontId="249" fillId="0" borderId="208" applyNumberFormat="0" applyFill="0" applyAlignment="0" applyProtection="0"/>
    <xf numFmtId="0" fontId="244" fillId="4" borderId="204" applyNumberFormat="0" applyAlignment="0" applyProtection="0"/>
    <xf numFmtId="0" fontId="237" fillId="28" borderId="204" applyNumberFormat="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99" fillId="0" borderId="189" applyNumberFormat="0" applyFill="0" applyAlignment="0" applyProtection="0"/>
    <xf numFmtId="0" fontId="81" fillId="0" borderId="171" applyNumberFormat="0" applyFill="0" applyProtection="0">
      <alignment horizontal="right"/>
    </xf>
    <xf numFmtId="0" fontId="18" fillId="0" borderId="0"/>
    <xf numFmtId="0" fontId="99" fillId="0" borderId="199" applyNumberFormat="0" applyFill="0" applyAlignment="0" applyProtection="0"/>
    <xf numFmtId="195" fontId="18" fillId="29" borderId="197" applyNumberFormat="0" applyFont="0" applyBorder="0" applyAlignment="0" applyProtection="0">
      <alignment horizontal="right"/>
    </xf>
    <xf numFmtId="37" fontId="89" fillId="0" borderId="197" applyNumberFormat="0" applyFont="0" applyFill="0" applyAlignment="0" applyProtection="0"/>
    <xf numFmtId="8" fontId="138" fillId="0" borderId="193">
      <protection locked="0"/>
    </xf>
    <xf numFmtId="0" fontId="18" fillId="0" borderId="191" applyNumberFormat="0" applyFill="0" applyAlignment="0" applyProtection="0"/>
    <xf numFmtId="193" fontId="66" fillId="23" borderId="149" applyFont="0">
      <alignment horizontal="right"/>
    </xf>
    <xf numFmtId="0" fontId="18" fillId="0" borderId="152" applyNumberFormat="0" applyFill="0" applyAlignment="0" applyProtection="0"/>
    <xf numFmtId="9" fontId="96" fillId="25" borderId="190" applyNumberFormat="0" applyFont="0" applyAlignment="0" applyProtection="0"/>
    <xf numFmtId="4" fontId="137" fillId="0" borderId="190" applyFont="0" applyFill="0" applyBorder="0" applyAlignment="0" applyProtection="0"/>
    <xf numFmtId="0" fontId="29" fillId="0" borderId="149" applyFont="0" applyFill="0" applyBorder="0" applyAlignment="0" applyProtection="0">
      <alignment horizontal="center"/>
    </xf>
    <xf numFmtId="259" fontId="37" fillId="25" borderId="190" applyNumberFormat="0" applyFont="0" applyAlignment="0"/>
    <xf numFmtId="0" fontId="51" fillId="0" borderId="149">
      <alignment horizontal="left" vertical="center"/>
    </xf>
    <xf numFmtId="0" fontId="244" fillId="4" borderId="153" applyNumberFormat="0" applyAlignment="0" applyProtection="0"/>
    <xf numFmtId="10" fontId="18" fillId="25" borderId="190" applyNumberFormat="0" applyBorder="0" applyAlignment="0" applyProtection="0"/>
    <xf numFmtId="169" fontId="137" fillId="0" borderId="190" applyNumberFormat="0" applyFill="0" applyAlignment="0" applyProtection="0"/>
    <xf numFmtId="195" fontId="18" fillId="29" borderId="197" applyNumberFormat="0" applyFont="0" applyBorder="0" applyAlignment="0" applyProtection="0">
      <alignment horizontal="right"/>
    </xf>
    <xf numFmtId="3" fontId="115" fillId="24" borderId="198" applyBorder="0">
      <protection locked="0"/>
    </xf>
    <xf numFmtId="0" fontId="244" fillId="4" borderId="192" applyNumberFormat="0" applyAlignment="0" applyProtection="0"/>
    <xf numFmtId="193" fontId="66" fillId="23" borderId="149" applyFont="0">
      <alignment horizontal="right"/>
    </xf>
    <xf numFmtId="0" fontId="18" fillId="0" borderId="152" applyNumberFormat="0" applyFill="0" applyAlignment="0" applyProtection="0"/>
    <xf numFmtId="10" fontId="18" fillId="25" borderId="190" applyNumberFormat="0" applyBorder="0" applyAlignment="0" applyProtection="0"/>
    <xf numFmtId="0" fontId="247" fillId="28" borderId="185" applyNumberFormat="0" applyAlignment="0" applyProtection="0"/>
    <xf numFmtId="177" fontId="114" fillId="0" borderId="187" applyBorder="0"/>
    <xf numFmtId="176" fontId="29" fillId="15" borderId="187" applyBorder="0">
      <alignment horizontal="right"/>
    </xf>
    <xf numFmtId="176" fontId="29" fillId="0" borderId="187" applyBorder="0">
      <alignment horizontal="right"/>
    </xf>
    <xf numFmtId="3" fontId="115" fillId="24" borderId="188" applyBorder="0">
      <protection locked="0"/>
    </xf>
    <xf numFmtId="37" fontId="89" fillId="0" borderId="187" applyNumberFormat="0" applyFont="0" applyFill="0" applyAlignment="0" applyProtection="0"/>
    <xf numFmtId="0" fontId="140" fillId="0" borderId="187" applyNumberFormat="0" applyBorder="0"/>
    <xf numFmtId="195" fontId="18" fillId="29" borderId="187" applyNumberFormat="0" applyFont="0" applyBorder="0" applyAlignment="0" applyProtection="0">
      <alignment horizontal="right"/>
    </xf>
    <xf numFmtId="195" fontId="18" fillId="29" borderId="187"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197" applyNumberFormat="0" applyBorder="0"/>
    <xf numFmtId="176" fontId="29" fillId="0" borderId="197" applyBorder="0">
      <alignment horizontal="right"/>
    </xf>
    <xf numFmtId="176" fontId="29" fillId="15" borderId="197" applyBorder="0">
      <alignment horizontal="right"/>
    </xf>
    <xf numFmtId="177" fontId="114" fillId="0" borderId="197" applyBorder="0"/>
    <xf numFmtId="0" fontId="18" fillId="2" borderId="194" applyNumberFormat="0" applyFont="0" applyAlignment="0" applyProtection="0"/>
    <xf numFmtId="0" fontId="244" fillId="4" borderId="192" applyNumberFormat="0" applyAlignment="0" applyProtection="0"/>
    <xf numFmtId="0" fontId="18" fillId="0" borderId="191" applyNumberFormat="0" applyFill="0" applyAlignment="0" applyProtection="0"/>
    <xf numFmtId="0" fontId="247" fillId="28" borderId="195" applyNumberFormat="0" applyAlignment="0" applyProtection="0"/>
    <xf numFmtId="0" fontId="249" fillId="0" borderId="196" applyNumberFormat="0" applyFill="0" applyAlignment="0" applyProtection="0"/>
    <xf numFmtId="0" fontId="18" fillId="0" borderId="191" applyNumberFormat="0" applyFill="0" applyAlignment="0" applyProtection="0"/>
    <xf numFmtId="0" fontId="244" fillId="4" borderId="192" applyNumberFormat="0" applyAlignment="0" applyProtection="0"/>
    <xf numFmtId="0" fontId="244" fillId="4" borderId="192" applyNumberFormat="0" applyAlignment="0" applyProtection="0"/>
    <xf numFmtId="0" fontId="237" fillId="28" borderId="192" applyNumberFormat="0" applyAlignment="0" applyProtection="0"/>
    <xf numFmtId="0" fontId="18" fillId="2" borderId="194" applyNumberFormat="0" applyFont="0" applyAlignment="0" applyProtection="0"/>
    <xf numFmtId="0" fontId="18" fillId="0" borderId="191" applyNumberFormat="0" applyFill="0" applyAlignment="0" applyProtection="0"/>
    <xf numFmtId="0" fontId="99" fillId="0" borderId="18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193" fontId="66" fillId="23" borderId="149" applyFont="0">
      <alignment horizontal="right"/>
    </xf>
    <xf numFmtId="3" fontId="115" fillId="24" borderId="201" applyBorder="0">
      <protection locked="0"/>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9" fillId="0" borderId="149" applyFont="0" applyFill="0" applyBorder="0" applyAlignment="0" applyProtection="0">
      <alignment horizontal="center"/>
    </xf>
    <xf numFmtId="0" fontId="51" fillId="0" borderId="149">
      <alignment horizontal="left" vertical="center"/>
    </xf>
    <xf numFmtId="0" fontId="244" fillId="4" borderId="153" applyNumberFormat="0" applyAlignment="0" applyProtection="0"/>
    <xf numFmtId="193" fontId="66" fillId="23" borderId="149" applyFont="0">
      <alignment horizontal="right"/>
    </xf>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184" applyNumberFormat="0" applyFont="0" applyAlignment="0" applyProtection="0"/>
    <xf numFmtId="0" fontId="244" fillId="4" borderId="182" applyNumberFormat="0" applyAlignment="0" applyProtection="0"/>
    <xf numFmtId="8" fontId="138" fillId="0" borderId="183">
      <protection locked="0"/>
    </xf>
    <xf numFmtId="0" fontId="237" fillId="28" borderId="182" applyNumberFormat="0" applyAlignment="0" applyProtection="0"/>
    <xf numFmtId="0" fontId="244" fillId="4" borderId="182" applyNumberFormat="0" applyAlignment="0" applyProtection="0"/>
    <xf numFmtId="0" fontId="244" fillId="4" borderId="182" applyNumberFormat="0" applyAlignment="0" applyProtection="0"/>
    <xf numFmtId="0" fontId="18" fillId="0" borderId="181" applyNumberFormat="0" applyFill="0" applyAlignment="0" applyProtection="0"/>
    <xf numFmtId="0" fontId="249" fillId="0" borderId="186" applyNumberFormat="0" applyFill="0" applyAlignment="0" applyProtection="0"/>
    <xf numFmtId="0" fontId="247" fillId="28" borderId="185" applyNumberFormat="0" applyAlignment="0" applyProtection="0"/>
    <xf numFmtId="0" fontId="18" fillId="0" borderId="181" applyNumberFormat="0" applyFill="0" applyAlignment="0" applyProtection="0"/>
    <xf numFmtId="0" fontId="244" fillId="4" borderId="182" applyNumberFormat="0" applyAlignment="0" applyProtection="0"/>
    <xf numFmtId="0" fontId="18" fillId="2" borderId="184" applyNumberFormat="0" applyFont="0" applyAlignment="0" applyProtection="0"/>
    <xf numFmtId="177" fontId="114" fillId="0" borderId="171" applyBorder="0"/>
    <xf numFmtId="176" fontId="29" fillId="15" borderId="171" applyBorder="0">
      <alignment horizontal="right"/>
    </xf>
    <xf numFmtId="176" fontId="29" fillId="0" borderId="171" applyBorder="0">
      <alignment horizontal="right"/>
    </xf>
    <xf numFmtId="3" fontId="115" fillId="24" borderId="172" applyBorder="0">
      <protection locked="0"/>
    </xf>
    <xf numFmtId="37" fontId="89" fillId="0" borderId="171" applyNumberFormat="0" applyFont="0" applyFill="0" applyAlignment="0" applyProtection="0"/>
    <xf numFmtId="0" fontId="140" fillId="0" borderId="171" applyNumberFormat="0" applyBorder="0"/>
    <xf numFmtId="195" fontId="18" fillId="29" borderId="171" applyNumberFormat="0" applyFont="0" applyBorder="0" applyAlignment="0" applyProtection="0">
      <alignment horizontal="right"/>
    </xf>
    <xf numFmtId="195" fontId="18" fillId="29" borderId="171"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171" applyNumberFormat="0" applyFont="0" applyBorder="0" applyAlignment="0" applyProtection="0">
      <alignment horizontal="right"/>
    </xf>
    <xf numFmtId="37" fontId="89" fillId="0" borderId="171" applyNumberFormat="0" applyFont="0" applyFill="0" applyAlignment="0" applyProtection="0"/>
    <xf numFmtId="8" fontId="138" fillId="0" borderId="183">
      <protection locked="0"/>
    </xf>
    <xf numFmtId="10" fontId="18" fillId="25" borderId="174" applyNumberFormat="0" applyBorder="0" applyAlignment="0" applyProtection="0"/>
    <xf numFmtId="169" fontId="137" fillId="0" borderId="174" applyNumberFormat="0" applyFill="0" applyAlignment="0" applyProtection="0"/>
    <xf numFmtId="0" fontId="244" fillId="4" borderId="182" applyNumberFormat="0" applyAlignment="0" applyProtection="0"/>
    <xf numFmtId="259" fontId="37" fillId="25" borderId="174" applyNumberFormat="0" applyFont="0" applyAlignment="0"/>
    <xf numFmtId="0" fontId="18" fillId="0" borderId="181" applyNumberFormat="0" applyFill="0" applyAlignment="0" applyProtection="0"/>
    <xf numFmtId="193" fontId="66" fillId="23" borderId="180" applyFont="0">
      <alignment horizontal="right"/>
    </xf>
    <xf numFmtId="193" fontId="66" fillId="23" borderId="180" applyFont="0">
      <alignment horizontal="right"/>
    </xf>
    <xf numFmtId="0" fontId="18" fillId="0" borderId="181"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182"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171" applyNumberFormat="0" applyFont="0" applyBorder="0" applyAlignment="0" applyProtection="0">
      <alignment horizontal="right"/>
    </xf>
    <xf numFmtId="3" fontId="115" fillId="24" borderId="172" applyBorder="0">
      <protection locked="0"/>
    </xf>
    <xf numFmtId="0" fontId="244" fillId="4" borderId="182" applyNumberFormat="0" applyAlignment="0" applyProtection="0"/>
    <xf numFmtId="10" fontId="18" fillId="25" borderId="174" applyNumberFormat="0" applyBorder="0" applyAlignment="0" applyProtection="0"/>
    <xf numFmtId="0" fontId="51" fillId="0" borderId="180">
      <alignment horizontal="left" vertical="center"/>
    </xf>
    <xf numFmtId="0" fontId="29" fillId="0" borderId="180" applyFont="0" applyFill="0" applyBorder="0" applyAlignment="0" applyProtection="0">
      <alignment horizontal="center"/>
    </xf>
    <xf numFmtId="4" fontId="137" fillId="0" borderId="174" applyFont="0" applyFill="0" applyBorder="0" applyAlignment="0" applyProtection="0"/>
    <xf numFmtId="9" fontId="96" fillId="25" borderId="174" applyNumberFormat="0" applyFont="0" applyAlignment="0" applyProtection="0"/>
    <xf numFmtId="193" fontId="66" fillId="23" borderId="180" applyFont="0">
      <alignment horizontal="right"/>
    </xf>
    <xf numFmtId="0" fontId="18" fillId="0" borderId="181" applyNumberFormat="0" applyFill="0" applyAlignment="0" applyProtection="0"/>
    <xf numFmtId="10" fontId="18" fillId="25" borderId="203" applyNumberFormat="0" applyBorder="0" applyAlignment="0" applyProtection="0"/>
    <xf numFmtId="0" fontId="18" fillId="2" borderId="184" applyNumberFormat="0" applyFont="0" applyAlignment="0" applyProtection="0"/>
    <xf numFmtId="0" fontId="244" fillId="4" borderId="182" applyNumberFormat="0" applyAlignment="0" applyProtection="0"/>
    <xf numFmtId="8" fontId="138" fillId="0" borderId="183">
      <protection locked="0"/>
    </xf>
    <xf numFmtId="0" fontId="237" fillId="28" borderId="182" applyNumberFormat="0" applyAlignment="0" applyProtection="0"/>
    <xf numFmtId="0" fontId="244" fillId="4" borderId="182" applyNumberFormat="0" applyAlignment="0" applyProtection="0"/>
    <xf numFmtId="0" fontId="244" fillId="4" borderId="182" applyNumberFormat="0" applyAlignment="0" applyProtection="0"/>
    <xf numFmtId="0" fontId="18" fillId="0" borderId="181" applyNumberFormat="0" applyFill="0" applyAlignment="0" applyProtection="0"/>
    <xf numFmtId="0" fontId="249" fillId="0" borderId="186" applyNumberFormat="0" applyFill="0" applyAlignment="0" applyProtection="0"/>
    <xf numFmtId="0" fontId="247" fillId="28" borderId="185" applyNumberFormat="0" applyAlignment="0" applyProtection="0"/>
    <xf numFmtId="0" fontId="18" fillId="0" borderId="181" applyNumberFormat="0" applyFill="0" applyAlignment="0" applyProtection="0"/>
    <xf numFmtId="0" fontId="244" fillId="4" borderId="182" applyNumberFormat="0" applyAlignment="0" applyProtection="0"/>
    <xf numFmtId="0" fontId="18" fillId="2" borderId="184" applyNumberFormat="0" applyFont="0" applyAlignment="0" applyProtection="0"/>
    <xf numFmtId="177" fontId="114" fillId="0" borderId="171" applyBorder="0"/>
    <xf numFmtId="176" fontId="29" fillId="15" borderId="171" applyBorder="0">
      <alignment horizontal="right"/>
    </xf>
    <xf numFmtId="176" fontId="29" fillId="0" borderId="171" applyBorder="0">
      <alignment horizontal="right"/>
    </xf>
    <xf numFmtId="3" fontId="115" fillId="24" borderId="172" applyBorder="0">
      <protection locked="0"/>
    </xf>
    <xf numFmtId="37" fontId="89" fillId="0" borderId="171" applyNumberFormat="0" applyFont="0" applyFill="0" applyAlignment="0" applyProtection="0"/>
    <xf numFmtId="0" fontId="140" fillId="0" borderId="171" applyNumberFormat="0" applyBorder="0"/>
    <xf numFmtId="195" fontId="18" fillId="29" borderId="171" applyNumberFormat="0" applyFont="0" applyBorder="0" applyAlignment="0" applyProtection="0">
      <alignment horizontal="right"/>
    </xf>
    <xf numFmtId="195" fontId="18" fillId="29" borderId="171"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171" applyNumberFormat="0" applyBorder="0"/>
    <xf numFmtId="176" fontId="29" fillId="0" borderId="171" applyBorder="0">
      <alignment horizontal="right"/>
    </xf>
    <xf numFmtId="176" fontId="29" fillId="15" borderId="171" applyBorder="0">
      <alignment horizontal="right"/>
    </xf>
    <xf numFmtId="177" fontId="114" fillId="0" borderId="171" applyBorder="0"/>
    <xf numFmtId="0" fontId="18" fillId="2" borderId="184" applyNumberFormat="0" applyFont="0" applyAlignment="0" applyProtection="0"/>
    <xf numFmtId="0" fontId="244" fillId="4" borderId="182" applyNumberFormat="0" applyAlignment="0" applyProtection="0"/>
    <xf numFmtId="0" fontId="18" fillId="0" borderId="181" applyNumberFormat="0" applyFill="0" applyAlignment="0" applyProtection="0"/>
    <xf numFmtId="0" fontId="247" fillId="28" borderId="185" applyNumberFormat="0" applyAlignment="0" applyProtection="0"/>
    <xf numFmtId="0" fontId="249" fillId="0" borderId="186" applyNumberFormat="0" applyFill="0" applyAlignment="0" applyProtection="0"/>
    <xf numFmtId="0" fontId="18" fillId="0" borderId="181" applyNumberFormat="0" applyFill="0" applyAlignment="0" applyProtection="0"/>
    <xf numFmtId="0" fontId="244" fillId="4" borderId="182" applyNumberFormat="0" applyAlignment="0" applyProtection="0"/>
    <xf numFmtId="0" fontId="244" fillId="4" borderId="182" applyNumberFormat="0" applyAlignment="0" applyProtection="0"/>
    <xf numFmtId="0" fontId="237" fillId="28" borderId="182" applyNumberFormat="0" applyAlignment="0" applyProtection="0"/>
    <xf numFmtId="0" fontId="18" fillId="2" borderId="184" applyNumberFormat="0" applyFont="0" applyAlignment="0" applyProtection="0"/>
    <xf numFmtId="0" fontId="18" fillId="0" borderId="181" applyNumberFormat="0" applyFill="0" applyAlignment="0" applyProtection="0"/>
    <xf numFmtId="193" fontId="66" fillId="23" borderId="180" applyFont="0">
      <alignment horizontal="right"/>
    </xf>
    <xf numFmtId="0" fontId="99" fillId="0" borderId="199" applyNumberFormat="0" applyFill="0" applyAlignment="0" applyProtection="0"/>
    <xf numFmtId="39" fontId="33" fillId="0" borderId="180" applyNumberFormat="0" applyBorder="0">
      <alignment horizontal="right"/>
    </xf>
    <xf numFmtId="1" fontId="85" fillId="0" borderId="18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190" applyNumberFormat="0" applyBorder="0" applyAlignment="0" applyProtection="0"/>
    <xf numFmtId="169" fontId="137" fillId="0" borderId="190" applyNumberFormat="0" applyFill="0" applyAlignment="0" applyProtection="0"/>
    <xf numFmtId="0" fontId="244" fillId="4" borderId="204" applyNumberFormat="0" applyAlignment="0" applyProtection="0"/>
    <xf numFmtId="259" fontId="37" fillId="25" borderId="190"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190" applyNumberFormat="0" applyFont="0" applyAlignment="0" applyProtection="0"/>
    <xf numFmtId="4" fontId="137" fillId="0" borderId="190" applyFont="0" applyFill="0" applyBorder="0" applyAlignment="0" applyProtection="0"/>
    <xf numFmtId="259" fontId="37" fillId="25" borderId="190" applyNumberFormat="0" applyFont="0" applyAlignment="0"/>
    <xf numFmtId="10" fontId="18" fillId="25" borderId="190" applyNumberFormat="0" applyBorder="0" applyAlignment="0" applyProtection="0"/>
    <xf numFmtId="169" fontId="137" fillId="0" borderId="190"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190" applyNumberFormat="0" applyBorder="0" applyAlignment="0" applyProtection="0"/>
    <xf numFmtId="4" fontId="137" fillId="0" borderId="190" applyFont="0" applyFill="0" applyBorder="0" applyAlignment="0" applyProtection="0"/>
    <xf numFmtId="9" fontId="96" fillId="25" borderId="190" applyNumberFormat="0" applyFont="0" applyAlignment="0" applyProtection="0"/>
    <xf numFmtId="0" fontId="18" fillId="0" borderId="202" applyNumberFormat="0" applyFill="0" applyAlignment="0" applyProtection="0"/>
    <xf numFmtId="10" fontId="18" fillId="25" borderId="190"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39" fontId="33" fillId="0" borderId="149" applyNumberFormat="0" applyBorder="0">
      <alignment horizontal="right"/>
    </xf>
    <xf numFmtId="1" fontId="85" fillId="0" borderId="149"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148" applyNumberFormat="0" applyBorder="0" applyAlignment="0" applyProtection="0"/>
    <xf numFmtId="169" fontId="137" fillId="0" borderId="148" applyNumberFormat="0" applyFill="0" applyAlignment="0" applyProtection="0"/>
    <xf numFmtId="0" fontId="244" fillId="4" borderId="204" applyNumberFormat="0" applyAlignment="0" applyProtection="0"/>
    <xf numFmtId="259" fontId="37" fillId="25" borderId="148" applyNumberFormat="0" applyFont="0" applyAlignment="0"/>
    <xf numFmtId="0" fontId="18" fillId="0" borderId="202" applyNumberFormat="0" applyFill="0" applyAlignment="0" applyProtection="0"/>
    <xf numFmtId="193" fontId="66" fillId="23" borderId="149" applyFont="0">
      <alignment horizontal="right"/>
    </xf>
    <xf numFmtId="193" fontId="66" fillId="23" borderId="149" applyFont="0">
      <alignment horizontal="right"/>
    </xf>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149" applyFont="0" applyFill="0" applyBorder="0" applyAlignment="0" applyProtection="0">
      <alignment horizontal="center"/>
    </xf>
    <xf numFmtId="259" fontId="37" fillId="25" borderId="203" applyNumberFormat="0" applyFont="0" applyAlignment="0"/>
    <xf numFmtId="0" fontId="51" fillId="0" borderId="149">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148" applyNumberFormat="0" applyBorder="0" applyAlignment="0" applyProtection="0"/>
    <xf numFmtId="0" fontId="51" fillId="0" borderId="149">
      <alignment horizontal="left" vertical="center"/>
    </xf>
    <xf numFmtId="0" fontId="29" fillId="0" borderId="149" applyFont="0" applyFill="0" applyBorder="0" applyAlignment="0" applyProtection="0">
      <alignment horizontal="center"/>
    </xf>
    <xf numFmtId="4" fontId="137" fillId="0" borderId="148" applyFont="0" applyFill="0" applyBorder="0" applyAlignment="0" applyProtection="0"/>
    <xf numFmtId="9" fontId="96" fillId="25" borderId="148" applyNumberFormat="0" applyFont="0" applyAlignment="0" applyProtection="0"/>
    <xf numFmtId="193" fontId="66" fillId="23" borderId="149" applyFont="0">
      <alignment horizontal="right"/>
    </xf>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193" fontId="66" fillId="23" borderId="149" applyFont="0">
      <alignment horizontal="right"/>
    </xf>
    <xf numFmtId="0" fontId="99" fillId="0" borderId="199" applyNumberFormat="0" applyFill="0" applyAlignment="0" applyProtection="0"/>
    <xf numFmtId="39" fontId="33" fillId="0" borderId="149" applyNumberFormat="0" applyBorder="0">
      <alignment horizontal="right"/>
    </xf>
    <xf numFmtId="1" fontId="85" fillId="0" borderId="149" applyFill="0" applyProtection="0">
      <alignment horizontal="right"/>
    </xf>
    <xf numFmtId="39" fontId="33" fillId="0" borderId="149" applyNumberFormat="0" applyBorder="0">
      <alignment horizontal="right"/>
    </xf>
    <xf numFmtId="1" fontId="85" fillId="0" borderId="149"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0" fontId="9" fillId="0" borderId="0"/>
    <xf numFmtId="0" fontId="18" fillId="0" borderId="0"/>
    <xf numFmtId="0" fontId="81" fillId="0" borderId="200" applyNumberFormat="0" applyFill="0" applyProtection="0">
      <alignment horizontal="right"/>
    </xf>
    <xf numFmtId="0" fontId="81" fillId="0" borderId="200" applyNumberFormat="0" applyFill="0" applyProtection="0">
      <alignment horizontal="right"/>
    </xf>
    <xf numFmtId="0" fontId="140" fillId="0" borderId="200" applyNumberFormat="0" applyBorder="0"/>
    <xf numFmtId="0" fontId="99" fillId="0" borderId="199" applyNumberFormat="0" applyFill="0" applyAlignment="0" applyProtection="0"/>
    <xf numFmtId="37" fontId="89" fillId="0" borderId="200" applyNumberFormat="0" applyFon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195" fontId="18" fillId="29" borderId="200" applyNumberFormat="0" applyFont="0" applyBorder="0" applyAlignment="0" applyProtection="0">
      <alignment horizontal="right"/>
    </xf>
    <xf numFmtId="193" fontId="66" fillId="23" borderId="180" applyFont="0">
      <alignment horizontal="right"/>
    </xf>
    <xf numFmtId="0" fontId="99" fillId="0" borderId="199" applyNumberFormat="0" applyFill="0" applyAlignment="0" applyProtection="0"/>
    <xf numFmtId="4" fontId="137" fillId="0" borderId="203" applyFont="0" applyFill="0" applyBorder="0" applyAlignment="0" applyProtection="0"/>
    <xf numFmtId="10" fontId="18" fillId="25" borderId="203" applyNumberFormat="0" applyBorder="0" applyAlignment="0" applyProtection="0"/>
    <xf numFmtId="0" fontId="99" fillId="0" borderId="199" applyNumberFormat="0" applyFill="0" applyAlignment="0" applyProtection="0"/>
    <xf numFmtId="3" fontId="115" fillId="24" borderId="201" applyBorder="0">
      <protection locked="0"/>
    </xf>
    <xf numFmtId="259" fontId="37" fillId="25" borderId="203" applyNumberFormat="0" applyFont="0" applyAlignment="0"/>
    <xf numFmtId="0" fontId="18" fillId="0" borderId="0"/>
    <xf numFmtId="0" fontId="51" fillId="0" borderId="180">
      <alignment horizontal="left" vertical="center"/>
    </xf>
    <xf numFmtId="193" fontId="66" fillId="23" borderId="209" applyFont="0">
      <alignment horizontal="right"/>
    </xf>
    <xf numFmtId="0" fontId="18" fillId="0" borderId="210" applyNumberFormat="0" applyFill="0" applyAlignment="0" applyProtection="0"/>
    <xf numFmtId="0" fontId="237" fillId="28" borderId="211" applyNumberFormat="0" applyAlignment="0" applyProtection="0"/>
    <xf numFmtId="8" fontId="138" fillId="0" borderId="212">
      <protection locked="0"/>
    </xf>
    <xf numFmtId="0" fontId="29" fillId="0" borderId="209" applyFont="0" applyFill="0" applyBorder="0" applyAlignment="0" applyProtection="0">
      <alignment horizontal="center"/>
    </xf>
    <xf numFmtId="0" fontId="51" fillId="0" borderId="209">
      <alignment horizontal="left" vertical="center"/>
    </xf>
    <xf numFmtId="0" fontId="244" fillId="4" borderId="211" applyNumberFormat="0" applyAlignment="0" applyProtection="0"/>
    <xf numFmtId="0" fontId="18" fillId="2" borderId="213" applyNumberFormat="0" applyFont="0" applyAlignment="0" applyProtection="0"/>
    <xf numFmtId="0" fontId="247" fillId="28" borderId="214" applyNumberFormat="0" applyAlignment="0" applyProtection="0"/>
    <xf numFmtId="259" fontId="37" fillId="25" borderId="203" applyNumberFormat="0" applyFont="0" applyAlignment="0"/>
    <xf numFmtId="10" fontId="18" fillId="25" borderId="203" applyNumberFormat="0" applyBorder="0" applyAlignment="0" applyProtection="0"/>
    <xf numFmtId="0" fontId="18" fillId="0" borderId="202" applyNumberFormat="0" applyFill="0" applyAlignment="0" applyProtection="0"/>
    <xf numFmtId="3" fontId="115" fillId="24" borderId="201" applyBorder="0">
      <protection locked="0"/>
    </xf>
    <xf numFmtId="0" fontId="249" fillId="0" borderId="215" applyNumberFormat="0" applyFill="0" applyAlignment="0" applyProtection="0"/>
    <xf numFmtId="8" fontId="138" fillId="0" borderId="205">
      <protection locked="0"/>
    </xf>
    <xf numFmtId="0" fontId="99" fillId="0" borderId="199" applyNumberFormat="0" applyFill="0" applyAlignment="0" applyProtection="0"/>
    <xf numFmtId="3" fontId="115" fillId="24" borderId="201" applyBorder="0">
      <protection locked="0"/>
    </xf>
    <xf numFmtId="10" fontId="18" fillId="25" borderId="203" applyNumberFormat="0" applyBorder="0" applyAlignment="0" applyProtection="0"/>
    <xf numFmtId="0" fontId="140" fillId="0" borderId="200" applyNumberFormat="0" applyBorder="0"/>
    <xf numFmtId="195" fontId="18" fillId="29" borderId="200" applyNumberFormat="0" applyFont="0" applyBorder="0" applyAlignment="0" applyProtection="0">
      <alignment horizontal="right"/>
    </xf>
    <xf numFmtId="0" fontId="99" fillId="0" borderId="199" applyNumberFormat="0" applyFill="0" applyAlignment="0" applyProtection="0"/>
    <xf numFmtId="9" fontId="96" fillId="25" borderId="203" applyNumberFormat="0" applyFont="0" applyAlignment="0" applyProtection="0"/>
    <xf numFmtId="177" fontId="114" fillId="0" borderId="200" applyBorder="0"/>
    <xf numFmtId="195" fontId="18" fillId="29" borderId="200" applyNumberFormat="0" applyFont="0" applyBorder="0" applyAlignment="0" applyProtection="0">
      <alignment horizontal="right"/>
    </xf>
    <xf numFmtId="4" fontId="137" fillId="0" borderId="203" applyFont="0" applyFill="0" applyBorder="0" applyAlignment="0" applyProtection="0"/>
    <xf numFmtId="10" fontId="18" fillId="25" borderId="203" applyNumberFormat="0" applyBorder="0" applyAlignment="0" applyProtection="0"/>
    <xf numFmtId="176" fontId="29" fillId="0" borderId="200" applyBorder="0">
      <alignment horizontal="right"/>
    </xf>
    <xf numFmtId="0" fontId="244" fillId="4" borderId="204" applyNumberFormat="0" applyAlignment="0" applyProtection="0"/>
    <xf numFmtId="0" fontId="29" fillId="0" borderId="180" applyFont="0" applyFill="0" applyBorder="0" applyAlignment="0" applyProtection="0">
      <alignment horizontal="center"/>
    </xf>
    <xf numFmtId="193" fontId="66" fillId="23" borderId="209" applyFont="0">
      <alignment horizontal="right"/>
    </xf>
    <xf numFmtId="0" fontId="18" fillId="0" borderId="210" applyNumberFormat="0" applyFill="0" applyAlignment="0" applyProtection="0"/>
    <xf numFmtId="169" fontId="137" fillId="0" borderId="203" applyNumberFormat="0" applyFill="0" applyAlignment="0" applyProtection="0"/>
    <xf numFmtId="0" fontId="18" fillId="2" borderId="213" applyNumberFormat="0" applyFont="0" applyAlignment="0" applyProtection="0"/>
    <xf numFmtId="0" fontId="18" fillId="2" borderId="213" applyNumberFormat="0" applyFont="0" applyAlignment="0" applyProtection="0"/>
    <xf numFmtId="0" fontId="249" fillId="0" borderId="215" applyNumberFormat="0" applyFill="0" applyAlignment="0" applyProtection="0"/>
    <xf numFmtId="0" fontId="247" fillId="28" borderId="214" applyNumberFormat="0" applyAlignment="0" applyProtection="0"/>
    <xf numFmtId="0" fontId="18" fillId="2" borderId="213" applyNumberFormat="0" applyFont="0" applyAlignment="0" applyProtection="0"/>
    <xf numFmtId="177" fontId="114" fillId="0" borderId="216" applyBorder="0"/>
    <xf numFmtId="176" fontId="29" fillId="15" borderId="216" applyBorder="0">
      <alignment horizontal="right"/>
    </xf>
    <xf numFmtId="176" fontId="29" fillId="0" borderId="216" applyBorder="0">
      <alignment horizontal="right"/>
    </xf>
    <xf numFmtId="3" fontId="115" fillId="24" borderId="217" applyBorder="0">
      <protection locked="0"/>
    </xf>
    <xf numFmtId="37" fontId="89" fillId="0" borderId="216" applyNumberFormat="0" applyFont="0" applyFill="0" applyAlignment="0" applyProtection="0"/>
    <xf numFmtId="0" fontId="140" fillId="0" borderId="216" applyNumberFormat="0" applyBorder="0"/>
    <xf numFmtId="195" fontId="18" fillId="29" borderId="216" applyNumberFormat="0" applyFont="0" applyBorder="0" applyAlignment="0" applyProtection="0">
      <alignment horizontal="right"/>
    </xf>
    <xf numFmtId="195" fontId="18" fillId="29" borderId="216"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8" fillId="0" borderId="202" applyNumberFormat="0" applyFill="0" applyAlignment="0" applyProtection="0"/>
    <xf numFmtId="176" fontId="29" fillId="0" borderId="200" applyBorder="0">
      <alignment horizontal="right"/>
    </xf>
    <xf numFmtId="195" fontId="18" fillId="29" borderId="200" applyNumberFormat="0" applyFont="0" applyBorder="0" applyAlignment="0" applyProtection="0">
      <alignment horizontal="right"/>
    </xf>
    <xf numFmtId="177" fontId="114" fillId="0" borderId="200" applyBorder="0"/>
    <xf numFmtId="176" fontId="29" fillId="15" borderId="200" applyBorder="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81" fillId="0" borderId="197" applyNumberFormat="0" applyFill="0" applyProtection="0">
      <alignment horizontal="right"/>
    </xf>
    <xf numFmtId="0" fontId="99" fillId="0" borderId="199" applyNumberFormat="0" applyFill="0" applyAlignment="0" applyProtection="0"/>
    <xf numFmtId="9" fontId="96" fillId="25" borderId="203" applyNumberFormat="0" applyFont="0" applyAlignment="0" applyProtection="0"/>
    <xf numFmtId="169" fontId="137" fillId="0" borderId="203" applyNumberFormat="0" applyFill="0" applyAlignment="0" applyProtection="0"/>
    <xf numFmtId="0" fontId="99" fillId="0" borderId="199" applyNumberFormat="0" applyFill="0" applyAlignment="0" applyProtection="0"/>
    <xf numFmtId="0" fontId="18" fillId="0" borderId="0"/>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175"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0" fontId="18" fillId="2" borderId="213" applyNumberFormat="0" applyFont="0" applyAlignment="0" applyProtection="0"/>
    <xf numFmtId="0" fontId="249" fillId="0" borderId="215" applyNumberFormat="0" applyFill="0" applyAlignment="0" applyProtection="0"/>
    <xf numFmtId="0" fontId="247" fillId="28" borderId="214" applyNumberFormat="0" applyAlignment="0" applyProtection="0"/>
    <xf numFmtId="0" fontId="18" fillId="2" borderId="213" applyNumberFormat="0" applyFont="0" applyAlignment="0" applyProtection="0"/>
    <xf numFmtId="177" fontId="114" fillId="0" borderId="216" applyBorder="0"/>
    <xf numFmtId="176" fontId="29" fillId="15" borderId="216" applyBorder="0">
      <alignment horizontal="right"/>
    </xf>
    <xf numFmtId="176" fontId="29" fillId="0" borderId="216" applyBorder="0">
      <alignment horizontal="right"/>
    </xf>
    <xf numFmtId="3" fontId="115" fillId="24" borderId="217" applyBorder="0">
      <protection locked="0"/>
    </xf>
    <xf numFmtId="37" fontId="89" fillId="0" borderId="216" applyNumberFormat="0" applyFont="0" applyFill="0" applyAlignment="0" applyProtection="0"/>
    <xf numFmtId="0" fontId="140" fillId="0" borderId="216" applyNumberFormat="0" applyBorder="0"/>
    <xf numFmtId="195" fontId="18" fillId="29" borderId="216" applyNumberFormat="0" applyFont="0" applyBorder="0" applyAlignment="0" applyProtection="0">
      <alignment horizontal="right"/>
    </xf>
    <xf numFmtId="195" fontId="18" fillId="29" borderId="216"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37" fontId="89" fillId="0" borderId="200" applyNumberFormat="0" applyFon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175"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13" applyNumberFormat="0" applyFont="0" applyAlignment="0" applyProtection="0"/>
    <xf numFmtId="0" fontId="244" fillId="4" borderId="211" applyNumberFormat="0" applyAlignment="0" applyProtection="0"/>
    <xf numFmtId="8" fontId="138" fillId="0" borderId="212">
      <protection locked="0"/>
    </xf>
    <xf numFmtId="0" fontId="237" fillId="28" borderId="211" applyNumberFormat="0" applyAlignment="0" applyProtection="0"/>
    <xf numFmtId="0" fontId="244" fillId="4" borderId="211" applyNumberFormat="0" applyAlignment="0" applyProtection="0"/>
    <xf numFmtId="0" fontId="244" fillId="4" borderId="211" applyNumberFormat="0" applyAlignment="0" applyProtection="0"/>
    <xf numFmtId="0" fontId="18" fillId="0" borderId="210" applyNumberFormat="0" applyFill="0" applyAlignment="0" applyProtection="0"/>
    <xf numFmtId="0" fontId="249" fillId="0" borderId="215" applyNumberFormat="0" applyFill="0" applyAlignment="0" applyProtection="0"/>
    <xf numFmtId="0" fontId="247" fillId="28" borderId="214" applyNumberFormat="0" applyAlignment="0" applyProtection="0"/>
    <xf numFmtId="0" fontId="18" fillId="0" borderId="210" applyNumberFormat="0" applyFill="0" applyAlignment="0" applyProtection="0"/>
    <xf numFmtId="0" fontId="244" fillId="4" borderId="211" applyNumberFormat="0" applyAlignment="0" applyProtection="0"/>
    <xf numFmtId="0" fontId="18" fillId="2" borderId="213" applyNumberFormat="0" applyFont="0" applyAlignment="0" applyProtection="0"/>
    <xf numFmtId="177" fontId="114" fillId="0" borderId="197" applyBorder="0"/>
    <xf numFmtId="176" fontId="29" fillId="15" borderId="197" applyBorder="0">
      <alignment horizontal="right"/>
    </xf>
    <xf numFmtId="176" fontId="29" fillId="0" borderId="197" applyBorder="0">
      <alignment horizontal="right"/>
    </xf>
    <xf numFmtId="3" fontId="115" fillId="24" borderId="198" applyBorder="0">
      <protection locked="0"/>
    </xf>
    <xf numFmtId="37" fontId="89" fillId="0" borderId="197" applyNumberFormat="0" applyFont="0" applyFill="0" applyAlignment="0" applyProtection="0"/>
    <xf numFmtId="0" fontId="140" fillId="0" borderId="197" applyNumberFormat="0" applyBorder="0"/>
    <xf numFmtId="195" fontId="18" fillId="29" borderId="197" applyNumberFormat="0" applyFont="0" applyBorder="0" applyAlignment="0" applyProtection="0">
      <alignment horizontal="right"/>
    </xf>
    <xf numFmtId="195" fontId="18" fillId="29" borderId="197"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39" fontId="33" fillId="0" borderId="209" applyNumberFormat="0" applyBorder="0">
      <alignment horizontal="right"/>
    </xf>
    <xf numFmtId="1" fontId="85" fillId="0" borderId="209" applyFill="0" applyProtection="0">
      <alignment horizontal="right"/>
    </xf>
    <xf numFmtId="0" fontId="99" fillId="0" borderId="199" applyNumberFormat="0" applyFill="0" applyAlignment="0" applyProtection="0"/>
    <xf numFmtId="195" fontId="18" fillId="29" borderId="197" applyNumberFormat="0" applyFont="0" applyBorder="0" applyAlignment="0" applyProtection="0">
      <alignment horizontal="right"/>
    </xf>
    <xf numFmtId="37" fontId="89" fillId="0" borderId="197" applyNumberFormat="0" applyFont="0" applyFill="0" applyAlignment="0" applyProtection="0"/>
    <xf numFmtId="8" fontId="138" fillId="0" borderId="212">
      <protection locked="0"/>
    </xf>
    <xf numFmtId="0" fontId="244" fillId="4" borderId="211" applyNumberFormat="0" applyAlignment="0" applyProtection="0"/>
    <xf numFmtId="0" fontId="18" fillId="0" borderId="210" applyNumberFormat="0" applyFill="0" applyAlignment="0" applyProtection="0"/>
    <xf numFmtId="193" fontId="66" fillId="23" borderId="209" applyFont="0">
      <alignment horizontal="right"/>
    </xf>
    <xf numFmtId="193" fontId="66" fillId="23" borderId="209" applyFont="0">
      <alignment horizontal="right"/>
    </xf>
    <xf numFmtId="0" fontId="18" fillId="0" borderId="210"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209" applyFont="0" applyFill="0" applyBorder="0" applyAlignment="0" applyProtection="0">
      <alignment horizontal="center"/>
    </xf>
    <xf numFmtId="259" fontId="37" fillId="25" borderId="203" applyNumberFormat="0" applyFont="0" applyAlignment="0"/>
    <xf numFmtId="0" fontId="51" fillId="0" borderId="209">
      <alignment horizontal="left" vertical="center"/>
    </xf>
    <xf numFmtId="0" fontId="244" fillId="4" borderId="211"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197" applyNumberFormat="0" applyFont="0" applyBorder="0" applyAlignment="0" applyProtection="0">
      <alignment horizontal="right"/>
    </xf>
    <xf numFmtId="3" fontId="115" fillId="24" borderId="198" applyBorder="0">
      <protection locked="0"/>
    </xf>
    <xf numFmtId="0" fontId="244" fillId="4" borderId="211" applyNumberFormat="0" applyAlignment="0" applyProtection="0"/>
    <xf numFmtId="0" fontId="51" fillId="0" borderId="209">
      <alignment horizontal="left" vertical="center"/>
    </xf>
    <xf numFmtId="0" fontId="29" fillId="0" borderId="209" applyFont="0" applyFill="0" applyBorder="0" applyAlignment="0" applyProtection="0">
      <alignment horizontal="center"/>
    </xf>
    <xf numFmtId="193" fontId="66" fillId="23" borderId="209" applyFont="0">
      <alignment horizontal="right"/>
    </xf>
    <xf numFmtId="0" fontId="18" fillId="0" borderId="210" applyNumberFormat="0" applyFill="0" applyAlignment="0" applyProtection="0"/>
    <xf numFmtId="10" fontId="18" fillId="25" borderId="203" applyNumberFormat="0" applyBorder="0" applyAlignment="0" applyProtection="0"/>
    <xf numFmtId="0" fontId="18" fillId="2" borderId="213" applyNumberFormat="0" applyFont="0" applyAlignment="0" applyProtection="0"/>
    <xf numFmtId="0" fontId="244" fillId="4" borderId="211" applyNumberFormat="0" applyAlignment="0" applyProtection="0"/>
    <xf numFmtId="8" fontId="138" fillId="0" borderId="212">
      <protection locked="0"/>
    </xf>
    <xf numFmtId="0" fontId="237" fillId="28" borderId="211" applyNumberFormat="0" applyAlignment="0" applyProtection="0"/>
    <xf numFmtId="0" fontId="244" fillId="4" borderId="211" applyNumberFormat="0" applyAlignment="0" applyProtection="0"/>
    <xf numFmtId="0" fontId="244" fillId="4" borderId="211" applyNumberFormat="0" applyAlignment="0" applyProtection="0"/>
    <xf numFmtId="0" fontId="18" fillId="0" borderId="210" applyNumberFormat="0" applyFill="0" applyAlignment="0" applyProtection="0"/>
    <xf numFmtId="0" fontId="249" fillId="0" borderId="215" applyNumberFormat="0" applyFill="0" applyAlignment="0" applyProtection="0"/>
    <xf numFmtId="0" fontId="247" fillId="28" borderId="214" applyNumberFormat="0" applyAlignment="0" applyProtection="0"/>
    <xf numFmtId="0" fontId="18" fillId="0" borderId="210" applyNumberFormat="0" applyFill="0" applyAlignment="0" applyProtection="0"/>
    <xf numFmtId="0" fontId="244" fillId="4" borderId="211" applyNumberFormat="0" applyAlignment="0" applyProtection="0"/>
    <xf numFmtId="0" fontId="18" fillId="2" borderId="213" applyNumberFormat="0" applyFont="0" applyAlignment="0" applyProtection="0"/>
    <xf numFmtId="177" fontId="114" fillId="0" borderId="197" applyBorder="0"/>
    <xf numFmtId="176" fontId="29" fillId="15" borderId="197" applyBorder="0">
      <alignment horizontal="right"/>
    </xf>
    <xf numFmtId="176" fontId="29" fillId="0" borderId="197" applyBorder="0">
      <alignment horizontal="right"/>
    </xf>
    <xf numFmtId="3" fontId="115" fillId="24" borderId="198" applyBorder="0">
      <protection locked="0"/>
    </xf>
    <xf numFmtId="37" fontId="89" fillId="0" borderId="197" applyNumberFormat="0" applyFont="0" applyFill="0" applyAlignment="0" applyProtection="0"/>
    <xf numFmtId="0" fontId="140" fillId="0" borderId="197" applyNumberFormat="0" applyBorder="0"/>
    <xf numFmtId="195" fontId="18" fillId="29" borderId="197" applyNumberFormat="0" applyFont="0" applyBorder="0" applyAlignment="0" applyProtection="0">
      <alignment horizontal="right"/>
    </xf>
    <xf numFmtId="195" fontId="18" fillId="29" borderId="197"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197" applyNumberFormat="0" applyBorder="0"/>
    <xf numFmtId="176" fontId="29" fillId="0" borderId="197" applyBorder="0">
      <alignment horizontal="right"/>
    </xf>
    <xf numFmtId="176" fontId="29" fillId="15" borderId="197" applyBorder="0">
      <alignment horizontal="right"/>
    </xf>
    <xf numFmtId="177" fontId="114" fillId="0" borderId="197" applyBorder="0"/>
    <xf numFmtId="0" fontId="18" fillId="2" borderId="213" applyNumberFormat="0" applyFont="0" applyAlignment="0" applyProtection="0"/>
    <xf numFmtId="0" fontId="244" fillId="4" borderId="211" applyNumberFormat="0" applyAlignment="0" applyProtection="0"/>
    <xf numFmtId="0" fontId="18" fillId="0" borderId="210" applyNumberFormat="0" applyFill="0" applyAlignment="0" applyProtection="0"/>
    <xf numFmtId="0" fontId="247" fillId="28" borderId="214" applyNumberFormat="0" applyAlignment="0" applyProtection="0"/>
    <xf numFmtId="0" fontId="249" fillId="0" borderId="215" applyNumberFormat="0" applyFill="0" applyAlignment="0" applyProtection="0"/>
    <xf numFmtId="0" fontId="18" fillId="0" borderId="210" applyNumberFormat="0" applyFill="0" applyAlignment="0" applyProtection="0"/>
    <xf numFmtId="0" fontId="244" fillId="4" borderId="211" applyNumberFormat="0" applyAlignment="0" applyProtection="0"/>
    <xf numFmtId="0" fontId="244" fillId="4" borderId="211" applyNumberFormat="0" applyAlignment="0" applyProtection="0"/>
    <xf numFmtId="0" fontId="237" fillId="28" borderId="211" applyNumberFormat="0" applyAlignment="0" applyProtection="0"/>
    <xf numFmtId="0" fontId="18" fillId="2" borderId="213" applyNumberFormat="0" applyFont="0" applyAlignment="0" applyProtection="0"/>
    <xf numFmtId="0" fontId="18" fillId="0" borderId="210" applyNumberFormat="0" applyFill="0" applyAlignment="0" applyProtection="0"/>
    <xf numFmtId="193" fontId="66" fillId="23" borderId="209" applyFont="0">
      <alignment horizontal="right"/>
    </xf>
    <xf numFmtId="0" fontId="99" fillId="0" borderId="199" applyNumberFormat="0" applyFill="0" applyAlignment="0" applyProtection="0"/>
    <xf numFmtId="39" fontId="33" fillId="0" borderId="209" applyNumberFormat="0" applyBorder="0">
      <alignment horizontal="right"/>
    </xf>
    <xf numFmtId="1" fontId="85" fillId="0" borderId="209" applyFill="0" applyProtection="0">
      <alignment horizontal="right"/>
    </xf>
    <xf numFmtId="39" fontId="33" fillId="0" borderId="209" applyNumberFormat="0" applyBorder="0">
      <alignment horizontal="right"/>
    </xf>
    <xf numFmtId="1" fontId="85" fillId="0" borderId="209"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6" fontId="29" fillId="15" borderId="200" applyBorder="0">
      <alignment horizontal="right"/>
    </xf>
    <xf numFmtId="37" fontId="89" fillId="0" borderId="200" applyNumberFormat="0" applyFont="0" applyFill="0" applyAlignment="0" applyProtection="0"/>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37" fontId="89" fillId="0" borderId="200" applyNumberFormat="0" applyFont="0" applyFill="0" applyAlignment="0" applyProtection="0"/>
    <xf numFmtId="176" fontId="29" fillId="15" borderId="200" applyBorder="0">
      <alignment horizontal="right"/>
    </xf>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18" fillId="0" borderId="202" applyNumberFormat="0" applyFill="0" applyAlignment="0" applyProtection="0"/>
    <xf numFmtId="193" fontId="66" fillId="23" borderId="180" applyFont="0">
      <alignment horizontal="right"/>
    </xf>
    <xf numFmtId="0" fontId="18" fillId="0" borderId="202" applyNumberFormat="0" applyFill="0" applyAlignment="0" applyProtection="0"/>
    <xf numFmtId="9" fontId="96" fillId="25" borderId="203" applyNumberFormat="0" applyFont="0" applyAlignment="0" applyProtection="0"/>
    <xf numFmtId="0" fontId="237" fillId="28" borderId="204" applyNumberFormat="0" applyAlignment="0" applyProtection="0"/>
    <xf numFmtId="4" fontId="137" fillId="0" borderId="203" applyFont="0" applyFill="0" applyBorder="0" applyAlignment="0" applyProtection="0"/>
    <xf numFmtId="8" fontId="138" fillId="0" borderId="205">
      <protection locked="0"/>
    </xf>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0" fontId="18" fillId="2" borderId="206" applyNumberFormat="0" applyFont="0" applyAlignment="0" applyProtection="0"/>
    <xf numFmtId="0" fontId="247" fillId="28" borderId="207" applyNumberFormat="0" applyAlignment="0" applyProtection="0"/>
    <xf numFmtId="0" fontId="249" fillId="0" borderId="208" applyNumberFormat="0" applyFill="0" applyAlignment="0" applyProtection="0"/>
    <xf numFmtId="177" fontId="114" fillId="0" borderId="200" applyBorder="0"/>
    <xf numFmtId="0" fontId="18" fillId="0" borderId="202" applyNumberFormat="0" applyFill="0" applyAlignment="0" applyProtection="0"/>
    <xf numFmtId="0" fontId="247" fillId="28" borderId="207" applyNumberFormat="0" applyAlignment="0" applyProtection="0"/>
    <xf numFmtId="0" fontId="244" fillId="4" borderId="204" applyNumberFormat="0" applyAlignment="0" applyProtection="0"/>
    <xf numFmtId="0" fontId="18" fillId="2" borderId="206" applyNumberFormat="0" applyFont="0" applyAlignment="0" applyProtection="0"/>
    <xf numFmtId="0" fontId="249" fillId="0" borderId="208" applyNumberFormat="0" applyFill="0" applyAlignment="0" applyProtection="0"/>
    <xf numFmtId="0" fontId="247" fillId="28" borderId="207" applyNumberFormat="0" applyAlignment="0" applyProtection="0"/>
    <xf numFmtId="0" fontId="18" fillId="2" borderId="206" applyNumberFormat="0" applyFont="0" applyAlignment="0" applyProtection="0"/>
    <xf numFmtId="193" fontId="66" fillId="23" borderId="180" applyFont="0">
      <alignment horizontal="right"/>
    </xf>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7" fillId="28" borderId="207"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176" fontId="29" fillId="0" borderId="200" applyBorder="0">
      <alignment horizontal="right"/>
    </xf>
    <xf numFmtId="0" fontId="249" fillId="0" borderId="208" applyNumberFormat="0" applyFill="0" applyAlignment="0" applyProtection="0"/>
    <xf numFmtId="0" fontId="244" fillId="4" borderId="204" applyNumberFormat="0" applyAlignment="0" applyProtection="0"/>
    <xf numFmtId="0" fontId="237" fillId="28" borderId="204" applyNumberFormat="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0" fontId="18" fillId="0" borderId="202" applyNumberFormat="0" applyFill="0" applyAlignment="0" applyProtection="0"/>
    <xf numFmtId="0" fontId="18" fillId="0" borderId="173"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175"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93" fontId="66" fillId="23" borderId="180" applyFont="0">
      <alignment horizontal="right"/>
    </xf>
    <xf numFmtId="0" fontId="18" fillId="0" borderId="173" applyNumberFormat="0" applyFill="0" applyAlignment="0" applyProtection="0"/>
    <xf numFmtId="10" fontId="18" fillId="25" borderId="203" applyNumberFormat="0" applyBorder="0" applyAlignment="0" applyProtection="0"/>
    <xf numFmtId="0" fontId="247" fillId="28" borderId="207"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175"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193" fontId="66" fillId="23" borderId="180" applyFont="0">
      <alignment horizontal="right"/>
    </xf>
    <xf numFmtId="193" fontId="66" fillId="23" borderId="180" applyFont="0">
      <alignment horizontal="right"/>
    </xf>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0" fontId="51" fillId="0" borderId="180">
      <alignment horizontal="left" vertical="center"/>
    </xf>
    <xf numFmtId="0" fontId="29" fillId="0" borderId="180" applyFont="0" applyFill="0" applyBorder="0" applyAlignment="0" applyProtection="0">
      <alignment horizontal="center"/>
    </xf>
    <xf numFmtId="4" fontId="137" fillId="0" borderId="203" applyFont="0" applyFill="0" applyBorder="0" applyAlignment="0" applyProtection="0"/>
    <xf numFmtId="9" fontId="96" fillId="25" borderId="203" applyNumberFormat="0" applyFont="0" applyAlignment="0" applyProtection="0"/>
    <xf numFmtId="193" fontId="66" fillId="23" borderId="180" applyFont="0">
      <alignment horizontal="right"/>
    </xf>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43" fontId="9" fillId="0" borderId="0" applyFont="0" applyFill="0" applyBorder="0" applyAlignment="0" applyProtection="0"/>
    <xf numFmtId="9" fontId="9" fillId="0" borderId="0" applyFont="0" applyFill="0" applyBorder="0" applyAlignment="0" applyProtection="0"/>
    <xf numFmtId="0" fontId="9" fillId="0" borderId="0"/>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193" fontId="66" fillId="23" borderId="180" applyFont="0">
      <alignment horizontal="right"/>
    </xf>
    <xf numFmtId="0" fontId="99" fillId="0" borderId="199" applyNumberFormat="0" applyFill="0" applyAlignment="0" applyProtection="0"/>
    <xf numFmtId="39" fontId="33" fillId="0" borderId="180" applyNumberFormat="0" applyBorder="0">
      <alignment horizontal="right"/>
    </xf>
    <xf numFmtId="1" fontId="85" fillId="0" borderId="18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8" fontId="138" fillId="0" borderId="205">
      <protection locked="0"/>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95" fontId="18" fillId="29" borderId="200" applyNumberFormat="0" applyFont="0" applyBorder="0" applyAlignment="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0" fontId="9" fillId="0" borderId="0"/>
    <xf numFmtId="0" fontId="9" fillId="0" borderId="0"/>
    <xf numFmtId="0" fontId="244" fillId="4" borderId="204" applyNumberForma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0" fontId="244" fillId="4" borderId="204"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39" fontId="33" fillId="0" borderId="180" applyNumberFormat="0" applyBorder="0">
      <alignment horizontal="right"/>
    </xf>
    <xf numFmtId="1" fontId="85" fillId="0" borderId="180" applyFill="0" applyProtection="0">
      <alignment horizontal="right"/>
    </xf>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193" fontId="66" fillId="23" borderId="180" applyFont="0">
      <alignment horizontal="right"/>
    </xf>
    <xf numFmtId="193" fontId="66" fillId="23" borderId="180" applyFont="0">
      <alignment horizontal="right"/>
    </xf>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0" fontId="51" fillId="0" borderId="180">
      <alignment horizontal="left" vertical="center"/>
    </xf>
    <xf numFmtId="0" fontId="29" fillId="0" borderId="180" applyFont="0" applyFill="0" applyBorder="0" applyAlignment="0" applyProtection="0">
      <alignment horizontal="center"/>
    </xf>
    <xf numFmtId="4" fontId="137" fillId="0" borderId="203" applyFont="0" applyFill="0" applyBorder="0" applyAlignment="0" applyProtection="0"/>
    <xf numFmtId="9" fontId="96" fillId="25" borderId="203" applyNumberFormat="0" applyFont="0" applyAlignment="0" applyProtection="0"/>
    <xf numFmtId="193" fontId="66" fillId="23" borderId="180" applyFont="0">
      <alignment horizontal="right"/>
    </xf>
    <xf numFmtId="0" fontId="18" fillId="0" borderId="202" applyNumberFormat="0" applyFill="0" applyAlignment="0" applyProtection="0"/>
    <xf numFmtId="10" fontId="18" fillId="25" borderId="203" applyNumberFormat="0" applyBorder="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0" fontId="244" fillId="4" borderId="204"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0" borderId="202" applyNumberFormat="0" applyFill="0" applyAlignment="0" applyProtection="0"/>
    <xf numFmtId="193" fontId="66" fillId="23" borderId="180" applyFont="0">
      <alignment horizontal="right"/>
    </xf>
    <xf numFmtId="39" fontId="33" fillId="0" borderId="180" applyNumberFormat="0" applyBorder="0">
      <alignment horizontal="right"/>
    </xf>
    <xf numFmtId="1" fontId="85" fillId="0" borderId="180" applyFill="0" applyProtection="0">
      <alignment horizontal="right"/>
    </xf>
    <xf numFmtId="39" fontId="33" fillId="0" borderId="180" applyNumberFormat="0" applyBorder="0">
      <alignment horizontal="right"/>
    </xf>
    <xf numFmtId="1" fontId="85" fillId="0" borderId="180" applyFill="0" applyProtection="0">
      <alignment horizontal="right"/>
    </xf>
    <xf numFmtId="8" fontId="138" fillId="0" borderId="205">
      <protection locked="0"/>
    </xf>
    <xf numFmtId="8" fontId="138" fillId="0" borderId="205">
      <protection locked="0"/>
    </xf>
    <xf numFmtId="37" fontId="89" fillId="0" borderId="200" applyNumberFormat="0" applyFont="0" applyFill="0" applyAlignment="0" applyProtection="0"/>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37" fontId="89" fillId="0" borderId="200" applyNumberFormat="0" applyFont="0" applyFill="0" applyAlignment="0" applyProtection="0"/>
    <xf numFmtId="176" fontId="29" fillId="15" borderId="200" applyBorder="0">
      <alignment horizontal="right"/>
    </xf>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18" fillId="0" borderId="202" applyNumberFormat="0" applyFill="0" applyAlignment="0" applyProtection="0"/>
    <xf numFmtId="193" fontId="66" fillId="23" borderId="180" applyFont="0">
      <alignment horizontal="right"/>
    </xf>
    <xf numFmtId="0" fontId="18" fillId="0" borderId="202" applyNumberFormat="0" applyFill="0" applyAlignment="0" applyProtection="0"/>
    <xf numFmtId="9" fontId="96" fillId="25" borderId="203" applyNumberFormat="0" applyFont="0" applyAlignment="0" applyProtection="0"/>
    <xf numFmtId="0" fontId="237" fillId="28" borderId="204" applyNumberFormat="0" applyAlignment="0" applyProtection="0"/>
    <xf numFmtId="4" fontId="137" fillId="0" borderId="203" applyFont="0" applyFill="0" applyBorder="0" applyAlignment="0" applyProtection="0"/>
    <xf numFmtId="8" fontId="138" fillId="0" borderId="205">
      <protection locked="0"/>
    </xf>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0" fontId="18" fillId="2" borderId="206" applyNumberFormat="0" applyFont="0" applyAlignment="0" applyProtection="0"/>
    <xf numFmtId="0" fontId="247" fillId="28" borderId="207" applyNumberFormat="0" applyAlignment="0" applyProtection="0"/>
    <xf numFmtId="0" fontId="249" fillId="0" borderId="208" applyNumberFormat="0" applyFill="0" applyAlignment="0" applyProtection="0"/>
    <xf numFmtId="177" fontId="114" fillId="0" borderId="200" applyBorder="0"/>
    <xf numFmtId="0" fontId="18" fillId="0" borderId="202" applyNumberFormat="0" applyFill="0" applyAlignment="0" applyProtection="0"/>
    <xf numFmtId="0" fontId="247" fillId="28" borderId="207" applyNumberFormat="0" applyAlignment="0" applyProtection="0"/>
    <xf numFmtId="0" fontId="244" fillId="4" borderId="204" applyNumberFormat="0" applyAlignment="0" applyProtection="0"/>
    <xf numFmtId="0" fontId="18" fillId="2" borderId="206" applyNumberFormat="0" applyFont="0" applyAlignment="0" applyProtection="0"/>
    <xf numFmtId="0" fontId="249" fillId="0" borderId="208" applyNumberFormat="0" applyFill="0" applyAlignment="0" applyProtection="0"/>
    <xf numFmtId="0" fontId="247" fillId="28" borderId="207" applyNumberFormat="0" applyAlignment="0" applyProtection="0"/>
    <xf numFmtId="0" fontId="18" fillId="2" borderId="206" applyNumberFormat="0" applyFont="0" applyAlignment="0" applyProtection="0"/>
    <xf numFmtId="193" fontId="66" fillId="23" borderId="180" applyFont="0">
      <alignment horizontal="right"/>
    </xf>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7" fillId="28" borderId="207"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176" fontId="29" fillId="0" borderId="200" applyBorder="0">
      <alignment horizontal="right"/>
    </xf>
    <xf numFmtId="0" fontId="249" fillId="0" borderId="208" applyNumberFormat="0" applyFill="0" applyAlignment="0" applyProtection="0"/>
    <xf numFmtId="0" fontId="244" fillId="4" borderId="204" applyNumberFormat="0" applyAlignment="0" applyProtection="0"/>
    <xf numFmtId="0" fontId="237" fillId="28" borderId="204" applyNumberFormat="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247" fillId="28" borderId="207" applyNumberForma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193" fontId="66" fillId="23" borderId="180" applyFont="0">
      <alignment horizontal="right"/>
    </xf>
    <xf numFmtId="193" fontId="66" fillId="23" borderId="180" applyFont="0">
      <alignment horizontal="right"/>
    </xf>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0" fontId="29" fillId="0" borderId="180" applyFont="0" applyFill="0" applyBorder="0" applyAlignment="0" applyProtection="0">
      <alignment horizontal="center"/>
    </xf>
    <xf numFmtId="259" fontId="37" fillId="25" borderId="203" applyNumberFormat="0" applyFont="0" applyAlignment="0"/>
    <xf numFmtId="0" fontId="51" fillId="0" borderId="180">
      <alignment horizontal="left" vertical="center"/>
    </xf>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10" fontId="18" fillId="25" borderId="203" applyNumberFormat="0" applyBorder="0" applyAlignment="0" applyProtection="0"/>
    <xf numFmtId="0" fontId="51" fillId="0" borderId="180">
      <alignment horizontal="left" vertical="center"/>
    </xf>
    <xf numFmtId="0" fontId="29" fillId="0" borderId="180" applyFont="0" applyFill="0" applyBorder="0" applyAlignment="0" applyProtection="0">
      <alignment horizontal="center"/>
    </xf>
    <xf numFmtId="4" fontId="137" fillId="0" borderId="203" applyFont="0" applyFill="0" applyBorder="0" applyAlignment="0" applyProtection="0"/>
    <xf numFmtId="9" fontId="96" fillId="25" borderId="203" applyNumberFormat="0" applyFont="0" applyAlignment="0" applyProtection="0"/>
    <xf numFmtId="193" fontId="66" fillId="23" borderId="180" applyFont="0">
      <alignment horizontal="right"/>
    </xf>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193" fontId="66" fillId="23" borderId="180" applyFont="0">
      <alignment horizontal="right"/>
    </xf>
    <xf numFmtId="0" fontId="99" fillId="0" borderId="199" applyNumberFormat="0" applyFill="0" applyAlignment="0" applyProtection="0"/>
    <xf numFmtId="39" fontId="33" fillId="0" borderId="180" applyNumberFormat="0" applyBorder="0">
      <alignment horizontal="right"/>
    </xf>
    <xf numFmtId="1" fontId="85" fillId="0" borderId="180" applyFill="0" applyProtection="0">
      <alignment horizontal="right"/>
    </xf>
    <xf numFmtId="39" fontId="33" fillId="0" borderId="180" applyNumberFormat="0" applyBorder="0">
      <alignment horizontal="right"/>
    </xf>
    <xf numFmtId="1" fontId="85" fillId="0" borderId="18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77" fontId="114" fillId="0" borderId="200" applyBorder="0"/>
    <xf numFmtId="176" fontId="29" fillId="15" borderId="200" applyBorder="0">
      <alignment horizontal="right"/>
    </xf>
    <xf numFmtId="176" fontId="29" fillId="0" borderId="200" applyBorder="0">
      <alignment horizontal="right"/>
    </xf>
    <xf numFmtId="0" fontId="18" fillId="0" borderId="202" applyNumberFormat="0" applyFill="0" applyAlignment="0" applyProtection="0"/>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0" fontId="244" fillId="4" borderId="204" applyNumberFormat="0" applyAlignment="0" applyProtection="0"/>
    <xf numFmtId="0" fontId="18" fillId="0" borderId="202" applyNumberFormat="0" applyFill="0" applyAlignment="0" applyProtection="0"/>
    <xf numFmtId="195" fontId="18" fillId="29" borderId="200" applyNumberFormat="0" applyFont="0" applyBorder="0" applyAlignment="0" applyProtection="0">
      <alignment horizontal="right"/>
    </xf>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99" fillId="0" borderId="199" applyNumberFormat="0" applyFill="0" applyAlignment="0" applyProtection="0"/>
    <xf numFmtId="0" fontId="99" fillId="0" borderId="199" applyNumberFormat="0" applyFill="0" applyAlignment="0" applyProtection="0"/>
    <xf numFmtId="0" fontId="81" fillId="0" borderId="200" applyNumberFormat="0" applyFill="0" applyProtection="0">
      <alignment horizontal="right"/>
    </xf>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0" fontId="244" fillId="4" borderId="204" applyNumberFormat="0" applyAlignment="0" applyProtection="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0" fontId="244" fillId="4" borderId="204"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3" fontId="115" fillId="24" borderId="201" applyBorder="0">
      <protection locked="0"/>
    </xf>
    <xf numFmtId="0" fontId="244" fillId="4" borderId="204" applyNumberForma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 fontId="115" fillId="24" borderId="201" applyBorder="0">
      <protection locked="0"/>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0" fontId="99" fillId="0" borderId="199" applyNumberFormat="0" applyFill="0" applyAlignment="0" applyProtection="0"/>
    <xf numFmtId="195" fontId="18" fillId="29" borderId="200" applyNumberFormat="0" applyFont="0" applyBorder="0" applyAlignment="0" applyProtection="0">
      <alignment horizontal="right"/>
    </xf>
    <xf numFmtId="37" fontId="89" fillId="0" borderId="200" applyNumberFormat="0" applyFont="0" applyFill="0" applyAlignment="0" applyProtection="0"/>
    <xf numFmtId="8" fontId="138" fillId="0" borderId="205">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04" applyNumberFormat="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95" fontId="18" fillId="29" borderId="200" applyNumberFormat="0" applyFont="0" applyBorder="0" applyAlignment="0" applyProtection="0">
      <alignment horizontal="right"/>
    </xf>
    <xf numFmtId="0" fontId="244" fillId="4" borderId="204" applyNumberFormat="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0" fontId="18" fillId="2" borderId="206" applyNumberFormat="0" applyFont="0" applyAlignment="0" applyProtection="0"/>
    <xf numFmtId="0" fontId="244" fillId="4" borderId="204" applyNumberFormat="0" applyAlignment="0" applyProtection="0"/>
    <xf numFmtId="8" fontId="138" fillId="0" borderId="205">
      <protection locked="0"/>
    </xf>
    <xf numFmtId="0" fontId="237" fillId="28" borderId="204" applyNumberFormat="0" applyAlignment="0" applyProtection="0"/>
    <xf numFmtId="0" fontId="244" fillId="4" borderId="204" applyNumberFormat="0" applyAlignment="0" applyProtection="0"/>
    <xf numFmtId="0" fontId="244" fillId="4" borderId="204" applyNumberFormat="0" applyAlignment="0" applyProtection="0"/>
    <xf numFmtId="0" fontId="18" fillId="0" borderId="202" applyNumberFormat="0" applyFill="0" applyAlignment="0" applyProtection="0"/>
    <xf numFmtId="0" fontId="249" fillId="0" borderId="208" applyNumberFormat="0" applyFill="0" applyAlignment="0" applyProtection="0"/>
    <xf numFmtId="0" fontId="247" fillId="28" borderId="207" applyNumberFormat="0" applyAlignment="0" applyProtection="0"/>
    <xf numFmtId="0" fontId="18" fillId="0" borderId="202" applyNumberFormat="0" applyFill="0" applyAlignment="0" applyProtection="0"/>
    <xf numFmtId="0" fontId="244" fillId="4" borderId="204" applyNumberFormat="0" applyAlignment="0" applyProtection="0"/>
    <xf numFmtId="0" fontId="18" fillId="2" borderId="206" applyNumberFormat="0" applyFont="0" applyAlignment="0" applyProtection="0"/>
    <xf numFmtId="177" fontId="114" fillId="0" borderId="200" applyBorder="0"/>
    <xf numFmtId="176" fontId="29" fillId="15" borderId="200" applyBorder="0">
      <alignment horizontal="right"/>
    </xf>
    <xf numFmtId="176" fontId="29" fillId="0" borderId="200" applyBorder="0">
      <alignment horizontal="right"/>
    </xf>
    <xf numFmtId="37" fontId="89" fillId="0" borderId="200" applyNumberFormat="0" applyFont="0" applyFill="0" applyAlignment="0" applyProtection="0"/>
    <xf numFmtId="0" fontId="140" fillId="0" borderId="200" applyNumberFormat="0" applyBorder="0"/>
    <xf numFmtId="195" fontId="18" fillId="29" borderId="200" applyNumberFormat="0" applyFont="0" applyBorder="0" applyAlignment="0" applyProtection="0">
      <alignment horizontal="right"/>
    </xf>
    <xf numFmtId="195" fontId="18" fillId="29" borderId="200" applyNumberFormat="0" applyFont="0" applyBorder="0" applyAlignment="0" applyProtection="0">
      <alignment horizontal="right"/>
    </xf>
    <xf numFmtId="0" fontId="140" fillId="0" borderId="200" applyNumberFormat="0" applyBorder="0"/>
    <xf numFmtId="176" fontId="29" fillId="0" borderId="200" applyBorder="0">
      <alignment horizontal="right"/>
    </xf>
    <xf numFmtId="176" fontId="29" fillId="15" borderId="200" applyBorder="0">
      <alignment horizontal="right"/>
    </xf>
    <xf numFmtId="177" fontId="114" fillId="0" borderId="200" applyBorder="0"/>
    <xf numFmtId="0" fontId="18" fillId="2" borderId="206" applyNumberFormat="0" applyFont="0" applyAlignment="0" applyProtection="0"/>
    <xf numFmtId="0" fontId="244" fillId="4" borderId="204" applyNumberFormat="0" applyAlignment="0" applyProtection="0"/>
    <xf numFmtId="0" fontId="18" fillId="0" borderId="202" applyNumberFormat="0" applyFill="0" applyAlignment="0" applyProtection="0"/>
    <xf numFmtId="0" fontId="247" fillId="28" borderId="207" applyNumberFormat="0" applyAlignment="0" applyProtection="0"/>
    <xf numFmtId="0" fontId="249" fillId="0" borderId="208" applyNumberFormat="0" applyFill="0" applyAlignment="0" applyProtection="0"/>
    <xf numFmtId="0" fontId="18" fillId="0" borderId="202" applyNumberFormat="0" applyFill="0" applyAlignment="0" applyProtection="0"/>
    <xf numFmtId="0" fontId="244" fillId="4" borderId="204" applyNumberFormat="0" applyAlignment="0" applyProtection="0"/>
    <xf numFmtId="0" fontId="244" fillId="4" borderId="204" applyNumberFormat="0" applyAlignment="0" applyProtection="0"/>
    <xf numFmtId="0" fontId="237" fillId="28" borderId="204" applyNumberFormat="0" applyAlignment="0" applyProtection="0"/>
    <xf numFmtId="0" fontId="18" fillId="2" borderId="206" applyNumberFormat="0" applyFont="0" applyAlignment="0" applyProtection="0"/>
    <xf numFmtId="0" fontId="18" fillId="0" borderId="202" applyNumberFormat="0" applyFill="0" applyAlignment="0" applyProtection="0"/>
    <xf numFmtId="0" fontId="99" fillId="0" borderId="199" applyNumberFormat="0" applyFill="0" applyAlignment="0" applyProtection="0"/>
    <xf numFmtId="10" fontId="18" fillId="25" borderId="203" applyNumberFormat="0" applyBorder="0" applyAlignment="0" applyProtection="0"/>
    <xf numFmtId="169" fontId="137" fillId="0" borderId="203" applyNumberFormat="0" applyFill="0" applyAlignment="0" applyProtection="0"/>
    <xf numFmtId="259" fontId="37" fillId="25" borderId="203" applyNumberFormat="0" applyFont="0" applyAlignment="0"/>
    <xf numFmtId="0" fontId="18" fillId="0" borderId="202" applyNumberFormat="0" applyFill="0" applyAlignment="0" applyProtection="0"/>
    <xf numFmtId="0" fontId="18" fillId="0" borderId="202" applyNumberFormat="0" applyFill="0" applyAlignment="0" applyProtection="0"/>
    <xf numFmtId="9" fontId="96" fillId="25" borderId="203" applyNumberFormat="0" applyFont="0" applyAlignment="0" applyProtection="0"/>
    <xf numFmtId="4" fontId="137" fillId="0" borderId="203" applyFont="0" applyFill="0" applyBorder="0" applyAlignment="0" applyProtection="0"/>
    <xf numFmtId="259" fontId="37" fillId="25" borderId="203" applyNumberFormat="0" applyFont="0" applyAlignment="0"/>
    <xf numFmtId="10" fontId="18" fillId="25" borderId="203" applyNumberFormat="0" applyBorder="0" applyAlignment="0" applyProtection="0"/>
    <xf numFmtId="169" fontId="137" fillId="0" borderId="203" applyNumberFormat="0" applyFill="0" applyAlignment="0" applyProtection="0"/>
    <xf numFmtId="10" fontId="18" fillId="25" borderId="203" applyNumberFormat="0" applyBorder="0" applyAlignment="0" applyProtection="0"/>
    <xf numFmtId="4" fontId="137" fillId="0" borderId="203" applyFont="0" applyFill="0" applyBorder="0" applyAlignment="0" applyProtection="0"/>
    <xf numFmtId="9" fontId="96" fillId="25" borderId="203" applyNumberFormat="0" applyFont="0" applyAlignment="0" applyProtection="0"/>
    <xf numFmtId="0" fontId="18" fillId="0" borderId="202" applyNumberFormat="0" applyFill="0" applyAlignment="0" applyProtection="0"/>
    <xf numFmtId="10" fontId="18" fillId="25" borderId="203" applyNumberFormat="0" applyBorder="0" applyAlignment="0" applyProtection="0"/>
    <xf numFmtId="8" fontId="138" fillId="0" borderId="205">
      <protection locked="0"/>
    </xf>
    <xf numFmtId="0" fontId="18" fillId="0" borderId="202" applyNumberFormat="0" applyFill="0" applyAlignment="0" applyProtection="0"/>
    <xf numFmtId="0" fontId="18" fillId="0" borderId="202" applyNumberFormat="0" applyFill="0" applyAlignment="0" applyProtection="0"/>
    <xf numFmtId="0" fontId="18" fillId="0" borderId="202" applyNumberFormat="0" applyFill="0" applyAlignment="0" applyProtection="0"/>
    <xf numFmtId="0" fontId="18" fillId="0" borderId="202" applyNumberFormat="0" applyFill="0" applyAlignment="0" applyProtection="0"/>
    <xf numFmtId="0" fontId="18" fillId="0" borderId="202" applyNumberFormat="0" applyFill="0" applyAlignment="0" applyProtection="0"/>
    <xf numFmtId="0" fontId="99" fillId="0" borderId="199" applyNumberFormat="0" applyFill="0" applyAlignment="0" applyProtection="0"/>
    <xf numFmtId="37" fontId="89" fillId="0" borderId="237" applyNumberFormat="0" applyFont="0" applyFill="0" applyAlignment="0" applyProtection="0"/>
    <xf numFmtId="195" fontId="18" fillId="29" borderId="237" applyNumberFormat="0" applyFont="0" applyBorder="0" applyAlignment="0" applyProtection="0">
      <alignment horizontal="right"/>
    </xf>
    <xf numFmtId="0" fontId="99" fillId="0" borderId="236" applyNumberFormat="0" applyFill="0" applyAlignment="0" applyProtection="0"/>
    <xf numFmtId="0" fontId="99" fillId="0" borderId="236" applyNumberFormat="0" applyFill="0" applyAlignment="0" applyProtection="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140" fillId="0" borderId="237" applyNumberFormat="0" applyBorder="0"/>
    <xf numFmtId="37" fontId="89" fillId="0" borderId="237" applyNumberFormat="0" applyFont="0" applyFill="0" applyAlignment="0" applyProtection="0"/>
    <xf numFmtId="176" fontId="29" fillId="15" borderId="237" applyBorder="0">
      <alignment horizontal="right"/>
    </xf>
    <xf numFmtId="0" fontId="18" fillId="2" borderId="243" applyNumberFormat="0" applyFont="0" applyAlignment="0" applyProtection="0"/>
    <xf numFmtId="0" fontId="244" fillId="4" borderId="241" applyNumberFormat="0" applyAlignment="0" applyProtection="0"/>
    <xf numFmtId="0" fontId="18" fillId="0" borderId="239" applyNumberFormat="0" applyFill="0" applyAlignment="0" applyProtection="0"/>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18" fillId="0" borderId="239" applyNumberFormat="0" applyFill="0" applyAlignment="0" applyProtection="0"/>
    <xf numFmtId="193" fontId="66" fillId="23" borderId="209" applyFont="0">
      <alignment horizontal="right"/>
    </xf>
    <xf numFmtId="0" fontId="18" fillId="0" borderId="218" applyNumberFormat="0" applyFill="0" applyAlignment="0" applyProtection="0"/>
    <xf numFmtId="9" fontId="96" fillId="25" borderId="203" applyNumberFormat="0" applyFont="0" applyAlignment="0" applyProtection="0"/>
    <xf numFmtId="0" fontId="237" fillId="28" borderId="219" applyNumberFormat="0" applyAlignment="0" applyProtection="0"/>
    <xf numFmtId="4" fontId="137" fillId="0" borderId="203" applyFont="0" applyFill="0" applyBorder="0" applyAlignment="0" applyProtection="0"/>
    <xf numFmtId="8" fontId="138" fillId="0" borderId="220">
      <protection locked="0"/>
    </xf>
    <xf numFmtId="0" fontId="29" fillId="0" borderId="209" applyFont="0" applyFill="0" applyBorder="0" applyAlignment="0" applyProtection="0">
      <alignment horizontal="center"/>
    </xf>
    <xf numFmtId="259" fontId="37" fillId="25" borderId="203" applyNumberFormat="0" applyFont="0" applyAlignment="0"/>
    <xf numFmtId="0" fontId="51" fillId="0" borderId="209">
      <alignment horizontal="left" vertical="center"/>
    </xf>
    <xf numFmtId="0" fontId="244" fillId="4" borderId="219" applyNumberFormat="0" applyAlignment="0" applyProtection="0"/>
    <xf numFmtId="10" fontId="18" fillId="25" borderId="203" applyNumberFormat="0" applyBorder="0" applyAlignment="0" applyProtection="0"/>
    <xf numFmtId="169" fontId="137" fillId="0" borderId="203" applyNumberFormat="0" applyFill="0" applyAlignment="0" applyProtection="0"/>
    <xf numFmtId="0" fontId="18" fillId="2" borderId="221" applyNumberFormat="0" applyFont="0" applyAlignment="0" applyProtection="0"/>
    <xf numFmtId="0" fontId="247" fillId="28" borderId="222" applyNumberFormat="0" applyAlignment="0" applyProtection="0"/>
    <xf numFmtId="0" fontId="249" fillId="0" borderId="223" applyNumberFormat="0" applyFill="0" applyAlignment="0" applyProtection="0"/>
    <xf numFmtId="177" fontId="114" fillId="0" borderId="237" applyBorder="0"/>
    <xf numFmtId="0" fontId="18" fillId="0" borderId="239" applyNumberFormat="0" applyFill="0" applyAlignment="0" applyProtection="0"/>
    <xf numFmtId="0" fontId="247" fillId="28" borderId="244" applyNumberFormat="0" applyAlignment="0" applyProtection="0"/>
    <xf numFmtId="0" fontId="244" fillId="4" borderId="241" applyNumberFormat="0" applyAlignment="0" applyProtection="0"/>
    <xf numFmtId="0" fontId="18" fillId="2" borderId="243" applyNumberFormat="0" applyFont="0" applyAlignment="0" applyProtection="0"/>
    <xf numFmtId="0" fontId="249" fillId="0" borderId="245" applyNumberFormat="0" applyFill="0" applyAlignment="0" applyProtection="0"/>
    <xf numFmtId="0" fontId="247" fillId="28" borderId="244" applyNumberFormat="0" applyAlignment="0" applyProtection="0"/>
    <xf numFmtId="0" fontId="18" fillId="2" borderId="243" applyNumberFormat="0" applyFont="0" applyAlignment="0" applyProtection="0"/>
    <xf numFmtId="193" fontId="66" fillId="23" borderId="209" applyFont="0">
      <alignment horizontal="right"/>
    </xf>
    <xf numFmtId="0" fontId="18" fillId="0" borderId="218" applyNumberFormat="0" applyFill="0" applyAlignment="0" applyProtection="0"/>
    <xf numFmtId="10" fontId="18" fillId="25" borderId="203" applyNumberFormat="0" applyBorder="0" applyAlignment="0" applyProtection="0"/>
    <xf numFmtId="0" fontId="18" fillId="2" borderId="221" applyNumberFormat="0" applyFont="0" applyAlignment="0" applyProtection="0"/>
    <xf numFmtId="0" fontId="247" fillId="28" borderId="222" applyNumberFormat="0" applyAlignment="0" applyProtection="0"/>
    <xf numFmtId="177" fontId="114" fillId="0" borderId="224" applyBorder="0"/>
    <xf numFmtId="176" fontId="29" fillId="15" borderId="224" applyBorder="0">
      <alignment horizontal="right"/>
    </xf>
    <xf numFmtId="176" fontId="29" fillId="0" borderId="224" applyBorder="0">
      <alignment horizontal="right"/>
    </xf>
    <xf numFmtId="3" fontId="115" fillId="24" borderId="225" applyBorder="0">
      <protection locked="0"/>
    </xf>
    <xf numFmtId="37" fontId="89" fillId="0" borderId="224" applyNumberFormat="0" applyFont="0" applyFill="0" applyAlignment="0" applyProtection="0"/>
    <xf numFmtId="0" fontId="140" fillId="0" borderId="224" applyNumberFormat="0" applyBorder="0"/>
    <xf numFmtId="195" fontId="18" fillId="29" borderId="224" applyNumberFormat="0" applyFont="0" applyBorder="0" applyAlignment="0" applyProtection="0">
      <alignment horizontal="right"/>
    </xf>
    <xf numFmtId="195" fontId="18" fillId="29" borderId="224" applyNumberFormat="0" applyFont="0" applyBorder="0" applyAlignment="0" applyProtection="0">
      <alignment horizontal="right"/>
    </xf>
    <xf numFmtId="176" fontId="29" fillId="0" borderId="237" applyBorder="0">
      <alignment horizontal="right"/>
    </xf>
    <xf numFmtId="0" fontId="249" fillId="0" borderId="245" applyNumberFormat="0" applyFill="0" applyAlignment="0" applyProtection="0"/>
    <xf numFmtId="0" fontId="244" fillId="4" borderId="241" applyNumberFormat="0" applyAlignment="0" applyProtection="0"/>
    <xf numFmtId="0" fontId="237" fillId="28" borderId="241" applyNumberFormat="0" applyAlignment="0" applyProtection="0"/>
    <xf numFmtId="8" fontId="138" fillId="0" borderId="242">
      <protection locked="0"/>
    </xf>
    <xf numFmtId="0" fontId="244" fillId="4" borderId="241" applyNumberFormat="0" applyAlignment="0" applyProtection="0"/>
    <xf numFmtId="0" fontId="18" fillId="0" borderId="239" applyNumberFormat="0" applyFill="0" applyAlignment="0" applyProtection="0"/>
    <xf numFmtId="0" fontId="99" fillId="0" borderId="226" applyNumberFormat="0" applyFill="0" applyAlignment="0" applyProtection="0"/>
    <xf numFmtId="0" fontId="99" fillId="0" borderId="236" applyNumberFormat="0" applyFill="0" applyAlignment="0" applyProtection="0"/>
    <xf numFmtId="195" fontId="18" fillId="29" borderId="234" applyNumberFormat="0" applyFont="0" applyBorder="0" applyAlignment="0" applyProtection="0">
      <alignment horizontal="right"/>
    </xf>
    <xf numFmtId="37" fontId="89" fillId="0" borderId="234" applyNumberFormat="0" applyFont="0" applyFill="0" applyAlignment="0" applyProtection="0"/>
    <xf numFmtId="8" fontId="138" fillId="0" borderId="230">
      <protection locked="0"/>
    </xf>
    <xf numFmtId="0" fontId="18" fillId="0" borderId="228" applyNumberFormat="0" applyFill="0" applyAlignment="0" applyProtection="0"/>
    <xf numFmtId="0" fontId="18" fillId="0" borderId="202" applyNumberFormat="0" applyFill="0" applyAlignment="0" applyProtection="0"/>
    <xf numFmtId="9" fontId="96" fillId="25" borderId="227" applyNumberFormat="0" applyFont="0" applyAlignment="0" applyProtection="0"/>
    <xf numFmtId="4" fontId="137" fillId="0" borderId="227" applyFont="0" applyFill="0" applyBorder="0" applyAlignment="0" applyProtection="0"/>
    <xf numFmtId="259" fontId="37" fillId="25" borderId="227" applyNumberFormat="0" applyFont="0" applyAlignment="0"/>
    <xf numFmtId="10" fontId="18" fillId="25" borderId="227" applyNumberFormat="0" applyBorder="0" applyAlignment="0" applyProtection="0"/>
    <xf numFmtId="169" fontId="137" fillId="0" borderId="227" applyNumberFormat="0" applyFill="0" applyAlignment="0" applyProtection="0"/>
    <xf numFmtId="195" fontId="18" fillId="29" borderId="234" applyNumberFormat="0" applyFont="0" applyBorder="0" applyAlignment="0" applyProtection="0">
      <alignment horizontal="right"/>
    </xf>
    <xf numFmtId="3" fontId="115" fillId="24" borderId="235" applyBorder="0">
      <protection locked="0"/>
    </xf>
    <xf numFmtId="0" fontId="244" fillId="4" borderId="229" applyNumberFormat="0" applyAlignment="0" applyProtection="0"/>
    <xf numFmtId="0" fontId="18" fillId="0" borderId="202" applyNumberFormat="0" applyFill="0" applyAlignment="0" applyProtection="0"/>
    <xf numFmtId="10" fontId="18" fillId="25" borderId="227" applyNumberFormat="0" applyBorder="0" applyAlignment="0" applyProtection="0"/>
    <xf numFmtId="0" fontId="247" fillId="28" borderId="222" applyNumberFormat="0" applyAlignment="0" applyProtection="0"/>
    <xf numFmtId="177" fontId="114" fillId="0" borderId="224" applyBorder="0"/>
    <xf numFmtId="176" fontId="29" fillId="15" borderId="224" applyBorder="0">
      <alignment horizontal="right"/>
    </xf>
    <xf numFmtId="176" fontId="29" fillId="0" borderId="224" applyBorder="0">
      <alignment horizontal="right"/>
    </xf>
    <xf numFmtId="3" fontId="115" fillId="24" borderId="225" applyBorder="0">
      <protection locked="0"/>
    </xf>
    <xf numFmtId="37" fontId="89" fillId="0" borderId="224" applyNumberFormat="0" applyFont="0" applyFill="0" applyAlignment="0" applyProtection="0"/>
    <xf numFmtId="0" fontId="140" fillId="0" borderId="224" applyNumberFormat="0" applyBorder="0"/>
    <xf numFmtId="195" fontId="18" fillId="29" borderId="224" applyNumberFormat="0" applyFont="0" applyBorder="0" applyAlignment="0" applyProtection="0">
      <alignment horizontal="right"/>
    </xf>
    <xf numFmtId="195" fontId="18" fillId="29" borderId="224" applyNumberFormat="0" applyFont="0" applyBorder="0" applyAlignment="0" applyProtection="0">
      <alignment horizontal="right"/>
    </xf>
    <xf numFmtId="0" fontId="140" fillId="0" borderId="234" applyNumberFormat="0" applyBorder="0"/>
    <xf numFmtId="176" fontId="29" fillId="0" borderId="234" applyBorder="0">
      <alignment horizontal="right"/>
    </xf>
    <xf numFmtId="176" fontId="29" fillId="15" borderId="234" applyBorder="0">
      <alignment horizontal="right"/>
    </xf>
    <xf numFmtId="177" fontId="114" fillId="0" borderId="234" applyBorder="0"/>
    <xf numFmtId="0" fontId="18" fillId="2" borderId="231" applyNumberFormat="0" applyFont="0" applyAlignment="0" applyProtection="0"/>
    <xf numFmtId="0" fontId="244" fillId="4" borderId="229" applyNumberFormat="0" applyAlignment="0" applyProtection="0"/>
    <xf numFmtId="0" fontId="18" fillId="0" borderId="228" applyNumberFormat="0" applyFill="0" applyAlignment="0" applyProtection="0"/>
    <xf numFmtId="0" fontId="247" fillId="28" borderId="232" applyNumberFormat="0" applyAlignment="0" applyProtection="0"/>
    <xf numFmtId="0" fontId="249" fillId="0" borderId="233" applyNumberFormat="0" applyFill="0" applyAlignment="0" applyProtection="0"/>
    <xf numFmtId="0" fontId="18" fillId="0" borderId="228" applyNumberFormat="0" applyFill="0" applyAlignment="0" applyProtection="0"/>
    <xf numFmtId="0" fontId="244" fillId="4" borderId="229" applyNumberFormat="0" applyAlignment="0" applyProtection="0"/>
    <xf numFmtId="0" fontId="244" fillId="4" borderId="229" applyNumberFormat="0" applyAlignment="0" applyProtection="0"/>
    <xf numFmtId="0" fontId="237" fillId="28" borderId="229" applyNumberFormat="0" applyAlignment="0" applyProtection="0"/>
    <xf numFmtId="0" fontId="18" fillId="2" borderId="231" applyNumberFormat="0" applyFont="0" applyAlignment="0" applyProtection="0"/>
    <xf numFmtId="0" fontId="18" fillId="0" borderId="228" applyNumberFormat="0" applyFill="0" applyAlignment="0" applyProtection="0"/>
    <xf numFmtId="0" fontId="99" fillId="0" borderId="226" applyNumberFormat="0" applyFill="0" applyAlignment="0" applyProtection="0"/>
    <xf numFmtId="177" fontId="114" fillId="0" borderId="237" applyBorder="0"/>
    <xf numFmtId="176" fontId="29" fillId="15" borderId="237" applyBorder="0">
      <alignment horizontal="right"/>
    </xf>
    <xf numFmtId="176" fontId="29" fillId="0" borderId="237" applyBorder="0">
      <alignment horizontal="right"/>
    </xf>
    <xf numFmtId="3" fontId="115" fillId="24" borderId="238" applyBorder="0">
      <protection locked="0"/>
    </xf>
    <xf numFmtId="0" fontId="18" fillId="0" borderId="239" applyNumberFormat="0" applyFill="0" applyAlignment="0" applyProtection="0"/>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0" fontId="18" fillId="0" borderId="239" applyNumberFormat="0" applyFill="0" applyAlignment="0" applyProtection="0"/>
    <xf numFmtId="195" fontId="18" fillId="29" borderId="237" applyNumberFormat="0" applyFont="0" applyBorder="0" applyAlignment="0" applyProtection="0">
      <alignment horizontal="right"/>
    </xf>
    <xf numFmtId="0" fontId="18" fillId="2" borderId="221" applyNumberFormat="0" applyFont="0" applyAlignment="0" applyProtection="0"/>
    <xf numFmtId="0" fontId="244" fillId="4" borderId="219" applyNumberFormat="0" applyAlignment="0" applyProtection="0"/>
    <xf numFmtId="8" fontId="138" fillId="0" borderId="220">
      <protection locked="0"/>
    </xf>
    <xf numFmtId="0" fontId="237" fillId="28" borderId="219" applyNumberFormat="0" applyAlignment="0" applyProtection="0"/>
    <xf numFmtId="0" fontId="244" fillId="4" borderId="219" applyNumberFormat="0" applyAlignment="0" applyProtection="0"/>
    <xf numFmtId="0" fontId="244" fillId="4" borderId="219" applyNumberFormat="0" applyAlignment="0" applyProtection="0"/>
    <xf numFmtId="0" fontId="18" fillId="0" borderId="218" applyNumberFormat="0" applyFill="0" applyAlignment="0" applyProtection="0"/>
    <xf numFmtId="0" fontId="249" fillId="0" borderId="223" applyNumberFormat="0" applyFill="0" applyAlignment="0" applyProtection="0"/>
    <xf numFmtId="0" fontId="247" fillId="28" borderId="222" applyNumberFormat="0" applyAlignment="0" applyProtection="0"/>
    <xf numFmtId="0" fontId="18" fillId="0" borderId="218" applyNumberFormat="0" applyFill="0" applyAlignment="0" applyProtection="0"/>
    <xf numFmtId="0" fontId="244" fillId="4" borderId="219" applyNumberFormat="0" applyAlignment="0" applyProtection="0"/>
    <xf numFmtId="0" fontId="18" fillId="2" borderId="221" applyNumberFormat="0" applyFont="0" applyAlignment="0" applyProtection="0"/>
    <xf numFmtId="0" fontId="99" fillId="0" borderId="236" applyNumberFormat="0" applyFill="0" applyAlignment="0" applyProtection="0"/>
    <xf numFmtId="0" fontId="99" fillId="0" borderId="236" applyNumberFormat="0" applyFill="0" applyAlignment="0" applyProtection="0"/>
    <xf numFmtId="0" fontId="81" fillId="0" borderId="237" applyNumberFormat="0" applyFill="0" applyProtection="0">
      <alignment horizontal="right"/>
    </xf>
    <xf numFmtId="39" fontId="33" fillId="0" borderId="209" applyNumberFormat="0" applyBorder="0">
      <alignment horizontal="right"/>
    </xf>
    <xf numFmtId="1" fontId="85" fillId="0" borderId="209" applyFill="0" applyProtection="0">
      <alignment horizontal="right"/>
    </xf>
    <xf numFmtId="0" fontId="99" fillId="0" borderId="236" applyNumberFormat="0" applyFill="0" applyAlignment="0" applyProtection="0"/>
    <xf numFmtId="8" fontId="138" fillId="0" borderId="220">
      <protection locked="0"/>
    </xf>
    <xf numFmtId="10" fontId="18" fillId="25" borderId="203" applyNumberFormat="0" applyBorder="0" applyAlignment="0" applyProtection="0"/>
    <xf numFmtId="169" fontId="137" fillId="0" borderId="203" applyNumberFormat="0" applyFill="0" applyAlignment="0" applyProtection="0"/>
    <xf numFmtId="0" fontId="244" fillId="4" borderId="219" applyNumberFormat="0" applyAlignment="0" applyProtection="0"/>
    <xf numFmtId="259" fontId="37" fillId="25" borderId="203" applyNumberFormat="0" applyFont="0" applyAlignment="0"/>
    <xf numFmtId="0" fontId="18" fillId="0" borderId="218" applyNumberFormat="0" applyFill="0" applyAlignment="0" applyProtection="0"/>
    <xf numFmtId="193" fontId="66" fillId="23" borderId="209" applyFont="0">
      <alignment horizontal="right"/>
    </xf>
    <xf numFmtId="193" fontId="66" fillId="23" borderId="209" applyFont="0">
      <alignment horizontal="right"/>
    </xf>
    <xf numFmtId="0" fontId="18" fillId="0" borderId="218" applyNumberFormat="0" applyFill="0" applyAlignment="0" applyProtection="0"/>
    <xf numFmtId="9" fontId="96" fillId="25" borderId="240" applyNumberFormat="0" applyFont="0" applyAlignment="0" applyProtection="0"/>
    <xf numFmtId="4" fontId="137" fillId="0" borderId="240" applyFont="0" applyFill="0" applyBorder="0" applyAlignment="0" applyProtection="0"/>
    <xf numFmtId="0" fontId="29" fillId="0" borderId="209" applyFont="0" applyFill="0" applyBorder="0" applyAlignment="0" applyProtection="0">
      <alignment horizontal="center"/>
    </xf>
    <xf numFmtId="259" fontId="37" fillId="25" borderId="240" applyNumberFormat="0" applyFont="0" applyAlignment="0"/>
    <xf numFmtId="0" fontId="51" fillId="0" borderId="209">
      <alignment horizontal="left" vertical="center"/>
    </xf>
    <xf numFmtId="0" fontId="244" fillId="4" borderId="219" applyNumberFormat="0" applyAlignment="0" applyProtection="0"/>
    <xf numFmtId="10" fontId="18" fillId="25" borderId="240" applyNumberFormat="0" applyBorder="0" applyAlignment="0" applyProtection="0"/>
    <xf numFmtId="169" fontId="137" fillId="0" borderId="240" applyNumberFormat="0" applyFill="0" applyAlignment="0" applyProtection="0"/>
    <xf numFmtId="0" fontId="244" fillId="4" borderId="219" applyNumberFormat="0" applyAlignment="0" applyProtection="0"/>
    <xf numFmtId="10" fontId="18" fillId="25" borderId="203" applyNumberFormat="0" applyBorder="0" applyAlignment="0" applyProtection="0"/>
    <xf numFmtId="0" fontId="51" fillId="0" borderId="209">
      <alignment horizontal="left" vertical="center"/>
    </xf>
    <xf numFmtId="0" fontId="29" fillId="0" borderId="209" applyFont="0" applyFill="0" applyBorder="0" applyAlignment="0" applyProtection="0">
      <alignment horizontal="center"/>
    </xf>
    <xf numFmtId="4" fontId="137" fillId="0" borderId="203" applyFont="0" applyFill="0" applyBorder="0" applyAlignment="0" applyProtection="0"/>
    <xf numFmtId="9" fontId="96" fillId="25" borderId="203" applyNumberFormat="0" applyFont="0" applyAlignment="0" applyProtection="0"/>
    <xf numFmtId="193" fontId="66" fillId="23" borderId="209" applyFont="0">
      <alignment horizontal="right"/>
    </xf>
    <xf numFmtId="0" fontId="18" fillId="0" borderId="218" applyNumberFormat="0" applyFill="0" applyAlignment="0" applyProtection="0"/>
    <xf numFmtId="10" fontId="18" fillId="25" borderId="240" applyNumberFormat="0" applyBorder="0" applyAlignment="0" applyProtection="0"/>
    <xf numFmtId="0" fontId="18" fillId="2" borderId="221" applyNumberFormat="0" applyFont="0" applyAlignment="0" applyProtection="0"/>
    <xf numFmtId="0" fontId="244" fillId="4" borderId="219" applyNumberFormat="0" applyAlignment="0" applyProtection="0"/>
    <xf numFmtId="8" fontId="138" fillId="0" borderId="220">
      <protection locked="0"/>
    </xf>
    <xf numFmtId="0" fontId="237" fillId="28" borderId="219" applyNumberFormat="0" applyAlignment="0" applyProtection="0"/>
    <xf numFmtId="0" fontId="244" fillId="4" borderId="219" applyNumberFormat="0" applyAlignment="0" applyProtection="0"/>
    <xf numFmtId="0" fontId="244" fillId="4" borderId="219" applyNumberFormat="0" applyAlignment="0" applyProtection="0"/>
    <xf numFmtId="0" fontId="18" fillId="0" borderId="218" applyNumberFormat="0" applyFill="0" applyAlignment="0" applyProtection="0"/>
    <xf numFmtId="0" fontId="249" fillId="0" borderId="223" applyNumberFormat="0" applyFill="0" applyAlignment="0" applyProtection="0"/>
    <xf numFmtId="0" fontId="247" fillId="28" borderId="222" applyNumberFormat="0" applyAlignment="0" applyProtection="0"/>
    <xf numFmtId="0" fontId="18" fillId="0" borderId="218" applyNumberFormat="0" applyFill="0" applyAlignment="0" applyProtection="0"/>
    <xf numFmtId="0" fontId="244" fillId="4" borderId="219" applyNumberFormat="0" applyAlignment="0" applyProtection="0"/>
    <xf numFmtId="0" fontId="18" fillId="2" borderId="221" applyNumberFormat="0" applyFont="0" applyAlignment="0" applyProtection="0"/>
    <xf numFmtId="0" fontId="18" fillId="2" borderId="221" applyNumberFormat="0" applyFont="0" applyAlignment="0" applyProtection="0"/>
    <xf numFmtId="0" fontId="244" fillId="4" borderId="219" applyNumberFormat="0" applyAlignment="0" applyProtection="0"/>
    <xf numFmtId="0" fontId="18" fillId="0" borderId="218" applyNumberFormat="0" applyFill="0" applyAlignment="0" applyProtection="0"/>
    <xf numFmtId="0" fontId="247" fillId="28" borderId="222" applyNumberFormat="0" applyAlignment="0" applyProtection="0"/>
    <xf numFmtId="0" fontId="249" fillId="0" borderId="223" applyNumberFormat="0" applyFill="0" applyAlignment="0" applyProtection="0"/>
    <xf numFmtId="0" fontId="18" fillId="0" borderId="218" applyNumberFormat="0" applyFill="0" applyAlignment="0" applyProtection="0"/>
    <xf numFmtId="0" fontId="244" fillId="4" borderId="219" applyNumberFormat="0" applyAlignment="0" applyProtection="0"/>
    <xf numFmtId="0" fontId="244" fillId="4" borderId="219" applyNumberFormat="0" applyAlignment="0" applyProtection="0"/>
    <xf numFmtId="0" fontId="237" fillId="28" borderId="219" applyNumberFormat="0" applyAlignment="0" applyProtection="0"/>
    <xf numFmtId="0" fontId="18" fillId="2" borderId="221" applyNumberFormat="0" applyFont="0" applyAlignment="0" applyProtection="0"/>
    <xf numFmtId="0" fontId="18" fillId="0" borderId="218" applyNumberFormat="0" applyFill="0" applyAlignment="0" applyProtection="0"/>
    <xf numFmtId="193" fontId="66" fillId="23" borderId="209" applyFont="0">
      <alignment horizontal="right"/>
    </xf>
    <xf numFmtId="0" fontId="99" fillId="0" borderId="236" applyNumberFormat="0" applyFill="0" applyAlignment="0" applyProtection="0"/>
    <xf numFmtId="39" fontId="33" fillId="0" borderId="209" applyNumberFormat="0" applyBorder="0">
      <alignment horizontal="right"/>
    </xf>
    <xf numFmtId="1" fontId="85" fillId="0" borderId="209" applyFill="0" applyProtection="0">
      <alignment horizontal="right"/>
    </xf>
    <xf numFmtId="39" fontId="33" fillId="0" borderId="209" applyNumberFormat="0" applyBorder="0">
      <alignment horizontal="right"/>
    </xf>
    <xf numFmtId="1" fontId="85" fillId="0" borderId="209" applyFill="0" applyProtection="0">
      <alignment horizontal="right"/>
    </xf>
    <xf numFmtId="0" fontId="99" fillId="0" borderId="236" applyNumberFormat="0" applyFill="0" applyAlignment="0" applyProtection="0"/>
    <xf numFmtId="195" fontId="18" fillId="29" borderId="237" applyNumberFormat="0" applyFont="0" applyBorder="0" applyAlignment="0" applyProtection="0">
      <alignment horizontal="right"/>
    </xf>
    <xf numFmtId="37" fontId="89" fillId="0" borderId="237" applyNumberFormat="0" applyFont="0" applyFill="0" applyAlignment="0" applyProtection="0"/>
    <xf numFmtId="8" fontId="138" fillId="0" borderId="242">
      <protection locked="0"/>
    </xf>
    <xf numFmtId="10" fontId="18" fillId="25" borderId="227" applyNumberFormat="0" applyBorder="0" applyAlignment="0" applyProtection="0"/>
    <xf numFmtId="169" fontId="137" fillId="0" borderId="227" applyNumberFormat="0" applyFill="0" applyAlignment="0" applyProtection="0"/>
    <xf numFmtId="0" fontId="244" fillId="4" borderId="241" applyNumberFormat="0" applyAlignment="0" applyProtection="0"/>
    <xf numFmtId="259" fontId="37" fillId="25" borderId="227" applyNumberFormat="0" applyFont="0" applyAlignment="0"/>
    <xf numFmtId="0" fontId="18" fillId="0" borderId="239" applyNumberFormat="0" applyFill="0" applyAlignment="0" applyProtection="0"/>
    <xf numFmtId="0" fontId="18" fillId="0" borderId="239" applyNumberFormat="0" applyFill="0" applyAlignment="0" applyProtection="0"/>
    <xf numFmtId="9" fontId="96" fillId="25" borderId="227" applyNumberFormat="0" applyFont="0" applyAlignment="0" applyProtection="0"/>
    <xf numFmtId="4" fontId="137" fillId="0" borderId="227" applyFont="0" applyFill="0" applyBorder="0" applyAlignment="0" applyProtection="0"/>
    <xf numFmtId="259" fontId="37" fillId="25" borderId="227" applyNumberFormat="0" applyFont="0" applyAlignment="0"/>
    <xf numFmtId="10" fontId="18" fillId="25" borderId="227" applyNumberFormat="0" applyBorder="0" applyAlignment="0" applyProtection="0"/>
    <xf numFmtId="169" fontId="137" fillId="0" borderId="227" applyNumberFormat="0" applyFill="0" applyAlignment="0" applyProtection="0"/>
    <xf numFmtId="195" fontId="18" fillId="29" borderId="237" applyNumberFormat="0" applyFont="0" applyBorder="0" applyAlignment="0" applyProtection="0">
      <alignment horizontal="right"/>
    </xf>
    <xf numFmtId="3" fontId="115" fillId="24" borderId="238" applyBorder="0">
      <protection locked="0"/>
    </xf>
    <xf numFmtId="0" fontId="244" fillId="4" borderId="241" applyNumberFormat="0" applyAlignment="0" applyProtection="0"/>
    <xf numFmtId="10" fontId="18" fillId="25" borderId="227" applyNumberFormat="0" applyBorder="0" applyAlignment="0" applyProtection="0"/>
    <xf numFmtId="4" fontId="137" fillId="0" borderId="227" applyFont="0" applyFill="0" applyBorder="0" applyAlignment="0" applyProtection="0"/>
    <xf numFmtId="9" fontId="96" fillId="25" borderId="227" applyNumberFormat="0" applyFont="0" applyAlignment="0" applyProtection="0"/>
    <xf numFmtId="0" fontId="18" fillId="0" borderId="239" applyNumberFormat="0" applyFill="0" applyAlignment="0" applyProtection="0"/>
    <xf numFmtId="10" fontId="18" fillId="25" borderId="227" applyNumberFormat="0" applyBorder="0" applyAlignment="0" applyProtection="0"/>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244" fillId="4" borderId="241" applyNumberFormat="0" applyAlignment="0" applyProtection="0"/>
    <xf numFmtId="0" fontId="244" fillId="4" borderId="241" applyNumberFormat="0" applyAlignment="0" applyProtection="0"/>
    <xf numFmtId="0" fontId="18" fillId="0" borderId="239" applyNumberFormat="0" applyFill="0" applyAlignment="0" applyProtection="0"/>
    <xf numFmtId="0" fontId="249" fillId="0" borderId="245" applyNumberFormat="0" applyFill="0" applyAlignment="0" applyProtection="0"/>
    <xf numFmtId="0" fontId="247" fillId="28" borderId="244" applyNumberFormat="0" applyAlignment="0" applyProtection="0"/>
    <xf numFmtId="0" fontId="18" fillId="0" borderId="239" applyNumberFormat="0" applyFill="0" applyAlignment="0" applyProtection="0"/>
    <xf numFmtId="0" fontId="244" fillId="4" borderId="241" applyNumberFormat="0" applyAlignment="0" applyProtection="0"/>
    <xf numFmtId="0" fontId="18" fillId="2" borderId="243" applyNumberFormat="0" applyFont="0" applyAlignment="0" applyProtection="0"/>
    <xf numFmtId="177" fontId="114" fillId="0" borderId="237" applyBorder="0"/>
    <xf numFmtId="176" fontId="29" fillId="15" borderId="237" applyBorder="0">
      <alignment horizontal="right"/>
    </xf>
    <xf numFmtId="176" fontId="29" fillId="0" borderId="237" applyBorder="0">
      <alignment horizontal="right"/>
    </xf>
    <xf numFmtId="3" fontId="115" fillId="24" borderId="238" applyBorder="0">
      <protection locked="0"/>
    </xf>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140" fillId="0" borderId="237" applyNumberFormat="0" applyBorder="0"/>
    <xf numFmtId="176" fontId="29" fillId="0" borderId="237" applyBorder="0">
      <alignment horizontal="right"/>
    </xf>
    <xf numFmtId="176" fontId="29" fillId="15" borderId="237" applyBorder="0">
      <alignment horizontal="right"/>
    </xf>
    <xf numFmtId="177" fontId="114" fillId="0" borderId="237" applyBorder="0"/>
    <xf numFmtId="0" fontId="18" fillId="2" borderId="243" applyNumberFormat="0" applyFont="0" applyAlignment="0" applyProtection="0"/>
    <xf numFmtId="0" fontId="244" fillId="4" borderId="241" applyNumberFormat="0" applyAlignment="0" applyProtection="0"/>
    <xf numFmtId="0" fontId="18" fillId="0" borderId="239" applyNumberFormat="0" applyFill="0" applyAlignment="0" applyProtection="0"/>
    <xf numFmtId="0" fontId="247" fillId="28" borderId="244" applyNumberFormat="0" applyAlignment="0" applyProtection="0"/>
    <xf numFmtId="0" fontId="249" fillId="0" borderId="245" applyNumberFormat="0" applyFill="0" applyAlignment="0" applyProtection="0"/>
    <xf numFmtId="0" fontId="18" fillId="0" borderId="239" applyNumberFormat="0" applyFill="0" applyAlignment="0" applyProtection="0"/>
    <xf numFmtId="0" fontId="244" fillId="4" borderId="241" applyNumberFormat="0" applyAlignment="0" applyProtection="0"/>
    <xf numFmtId="0" fontId="244" fillId="4" borderId="241" applyNumberFormat="0" applyAlignment="0" applyProtection="0"/>
    <xf numFmtId="0" fontId="237" fillId="28" borderId="241" applyNumberFormat="0" applyAlignment="0" applyProtection="0"/>
    <xf numFmtId="0" fontId="18" fillId="2" borderId="243" applyNumberFormat="0" applyFont="0" applyAlignment="0" applyProtection="0"/>
    <xf numFmtId="0" fontId="18" fillId="0" borderId="239" applyNumberFormat="0" applyFill="0" applyAlignment="0" applyProtection="0"/>
    <xf numFmtId="0" fontId="99" fillId="0" borderId="236" applyNumberFormat="0" applyFill="0" applyAlignment="0" applyProtection="0"/>
    <xf numFmtId="8" fontId="138" fillId="0" borderId="242">
      <protection locked="0"/>
    </xf>
    <xf numFmtId="0" fontId="244" fillId="4" borderId="241" applyNumberFormat="0" applyAlignment="0" applyProtection="0"/>
    <xf numFmtId="0" fontId="18" fillId="0" borderId="239" applyNumberFormat="0" applyFill="0" applyAlignment="0" applyProtection="0"/>
    <xf numFmtId="0" fontId="18" fillId="0" borderId="239" applyNumberFormat="0" applyFill="0" applyAlignment="0" applyProtection="0"/>
    <xf numFmtId="9" fontId="96" fillId="25" borderId="240" applyNumberFormat="0" applyFont="0" applyAlignment="0" applyProtection="0"/>
    <xf numFmtId="4" fontId="137" fillId="0" borderId="240" applyFont="0" applyFill="0" applyBorder="0" applyAlignment="0" applyProtection="0"/>
    <xf numFmtId="259" fontId="37" fillId="25" borderId="240" applyNumberFormat="0" applyFont="0" applyAlignment="0"/>
    <xf numFmtId="0" fontId="244" fillId="4" borderId="241" applyNumberFormat="0" applyAlignment="0" applyProtection="0"/>
    <xf numFmtId="10" fontId="18" fillId="25" borderId="240" applyNumberFormat="0" applyBorder="0" applyAlignment="0" applyProtection="0"/>
    <xf numFmtId="169" fontId="137" fillId="0" borderId="240" applyNumberFormat="0" applyFill="0" applyAlignment="0" applyProtection="0"/>
    <xf numFmtId="195" fontId="18" fillId="29" borderId="237" applyNumberFormat="0" applyFont="0" applyBorder="0" applyAlignment="0" applyProtection="0">
      <alignment horizontal="right"/>
    </xf>
    <xf numFmtId="0" fontId="244" fillId="4" borderId="241" applyNumberFormat="0" applyAlignment="0" applyProtection="0"/>
    <xf numFmtId="0" fontId="18" fillId="0" borderId="239" applyNumberFormat="0" applyFill="0" applyAlignment="0" applyProtection="0"/>
    <xf numFmtId="10" fontId="18" fillId="25" borderId="240" applyNumberFormat="0" applyBorder="0" applyAlignment="0" applyProtection="0"/>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244" fillId="4" borderId="241" applyNumberFormat="0" applyAlignment="0" applyProtection="0"/>
    <xf numFmtId="0" fontId="244" fillId="4" borderId="241" applyNumberFormat="0" applyAlignment="0" applyProtection="0"/>
    <xf numFmtId="0" fontId="18" fillId="0" borderId="239" applyNumberFormat="0" applyFill="0" applyAlignment="0" applyProtection="0"/>
    <xf numFmtId="0" fontId="249" fillId="0" borderId="245" applyNumberFormat="0" applyFill="0" applyAlignment="0" applyProtection="0"/>
    <xf numFmtId="0" fontId="247" fillId="28" borderId="244" applyNumberFormat="0" applyAlignment="0" applyProtection="0"/>
    <xf numFmtId="0" fontId="18" fillId="0" borderId="239" applyNumberFormat="0" applyFill="0" applyAlignment="0" applyProtection="0"/>
    <xf numFmtId="0" fontId="244" fillId="4" borderId="241" applyNumberFormat="0" applyAlignment="0" applyProtection="0"/>
    <xf numFmtId="0" fontId="18" fillId="2" borderId="243" applyNumberFormat="0" applyFont="0" applyAlignment="0" applyProtection="0"/>
    <xf numFmtId="177" fontId="114" fillId="0" borderId="237" applyBorder="0"/>
    <xf numFmtId="176" fontId="29" fillId="15" borderId="237" applyBorder="0">
      <alignment horizontal="right"/>
    </xf>
    <xf numFmtId="176" fontId="29" fillId="0" borderId="237" applyBorder="0">
      <alignment horizontal="right"/>
    </xf>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140" fillId="0" borderId="237" applyNumberFormat="0" applyBorder="0"/>
    <xf numFmtId="176" fontId="29" fillId="0" borderId="237" applyBorder="0">
      <alignment horizontal="right"/>
    </xf>
    <xf numFmtId="176" fontId="29" fillId="15" borderId="237" applyBorder="0">
      <alignment horizontal="right"/>
    </xf>
    <xf numFmtId="177" fontId="114" fillId="0" borderId="237" applyBorder="0"/>
    <xf numFmtId="0" fontId="18" fillId="2" borderId="243" applyNumberFormat="0" applyFont="0" applyAlignment="0" applyProtection="0"/>
    <xf numFmtId="0" fontId="244" fillId="4" borderId="241" applyNumberFormat="0" applyAlignment="0" applyProtection="0"/>
    <xf numFmtId="0" fontId="18" fillId="0" borderId="239" applyNumberFormat="0" applyFill="0" applyAlignment="0" applyProtection="0"/>
    <xf numFmtId="0" fontId="247" fillId="28" borderId="244" applyNumberFormat="0" applyAlignment="0" applyProtection="0"/>
    <xf numFmtId="0" fontId="249" fillId="0" borderId="245" applyNumberFormat="0" applyFill="0" applyAlignment="0" applyProtection="0"/>
    <xf numFmtId="0" fontId="18" fillId="0" borderId="239" applyNumberFormat="0" applyFill="0" applyAlignment="0" applyProtection="0"/>
    <xf numFmtId="0" fontId="244" fillId="4" borderId="241" applyNumberFormat="0" applyAlignment="0" applyProtection="0"/>
    <xf numFmtId="0" fontId="244" fillId="4" borderId="241" applyNumberFormat="0" applyAlignment="0" applyProtection="0"/>
    <xf numFmtId="0" fontId="237" fillId="28" borderId="241" applyNumberFormat="0" applyAlignment="0" applyProtection="0"/>
    <xf numFmtId="0" fontId="18" fillId="2" borderId="243" applyNumberFormat="0" applyFont="0" applyAlignment="0" applyProtection="0"/>
    <xf numFmtId="0" fontId="18" fillId="0" borderId="239" applyNumberFormat="0" applyFill="0" applyAlignment="0" applyProtection="0"/>
    <xf numFmtId="0" fontId="99" fillId="0" borderId="236" applyNumberFormat="0" applyFill="0" applyAlignment="0" applyProtection="0"/>
    <xf numFmtId="177" fontId="114" fillId="0" borderId="237" applyBorder="0"/>
    <xf numFmtId="176" fontId="29" fillId="15" borderId="237" applyBorder="0">
      <alignment horizontal="right"/>
    </xf>
    <xf numFmtId="176" fontId="29" fillId="0" borderId="237" applyBorder="0">
      <alignment horizontal="right"/>
    </xf>
    <xf numFmtId="0" fontId="18" fillId="0" borderId="239" applyNumberFormat="0" applyFill="0" applyAlignment="0" applyProtection="0"/>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0" fontId="244" fillId="4" borderId="241" applyNumberFormat="0" applyAlignment="0" applyProtection="0"/>
    <xf numFmtId="0" fontId="18" fillId="0" borderId="239" applyNumberFormat="0" applyFill="0" applyAlignment="0" applyProtection="0"/>
    <xf numFmtId="195" fontId="18" fillId="29" borderId="237" applyNumberFormat="0" applyFont="0" applyBorder="0" applyAlignment="0" applyProtection="0">
      <alignment horizontal="right"/>
    </xf>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244" fillId="4" borderId="241" applyNumberFormat="0" applyAlignment="0" applyProtection="0"/>
    <xf numFmtId="0" fontId="244" fillId="4" borderId="241" applyNumberFormat="0" applyAlignment="0" applyProtection="0"/>
    <xf numFmtId="0" fontId="18" fillId="0" borderId="239" applyNumberFormat="0" applyFill="0" applyAlignment="0" applyProtection="0"/>
    <xf numFmtId="0" fontId="249" fillId="0" borderId="245" applyNumberFormat="0" applyFill="0" applyAlignment="0" applyProtection="0"/>
    <xf numFmtId="0" fontId="247" fillId="28" borderId="244" applyNumberFormat="0" applyAlignment="0" applyProtection="0"/>
    <xf numFmtId="0" fontId="18" fillId="0" borderId="239" applyNumberFormat="0" applyFill="0" applyAlignment="0" applyProtection="0"/>
    <xf numFmtId="0" fontId="244" fillId="4" borderId="241" applyNumberFormat="0" applyAlignment="0" applyProtection="0"/>
    <xf numFmtId="0" fontId="18" fillId="2" borderId="243" applyNumberFormat="0" applyFont="0" applyAlignment="0" applyProtection="0"/>
    <xf numFmtId="177" fontId="114" fillId="0" borderId="237" applyBorder="0"/>
    <xf numFmtId="176" fontId="29" fillId="15" borderId="237" applyBorder="0">
      <alignment horizontal="right"/>
    </xf>
    <xf numFmtId="176" fontId="29" fillId="0" borderId="237" applyBorder="0">
      <alignment horizontal="right"/>
    </xf>
    <xf numFmtId="3" fontId="115" fillId="24" borderId="238" applyBorder="0">
      <protection locked="0"/>
    </xf>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99" fillId="0" borderId="236" applyNumberFormat="0" applyFill="0" applyAlignment="0" applyProtection="0"/>
    <xf numFmtId="0" fontId="99" fillId="0" borderId="236" applyNumberFormat="0" applyFill="0" applyAlignment="0" applyProtection="0"/>
    <xf numFmtId="0" fontId="81" fillId="0" borderId="237" applyNumberFormat="0" applyFill="0" applyProtection="0">
      <alignment horizontal="right"/>
    </xf>
    <xf numFmtId="0" fontId="99" fillId="0" borderId="236" applyNumberFormat="0" applyFill="0" applyAlignment="0" applyProtection="0"/>
    <xf numFmtId="195" fontId="18" fillId="29" borderId="237" applyNumberFormat="0" applyFont="0" applyBorder="0" applyAlignment="0" applyProtection="0">
      <alignment horizontal="right"/>
    </xf>
    <xf numFmtId="37" fontId="89" fillId="0" borderId="237" applyNumberFormat="0" applyFont="0" applyFill="0" applyAlignment="0" applyProtection="0"/>
    <xf numFmtId="8" fontId="138" fillId="0" borderId="242">
      <protection locked="0"/>
    </xf>
    <xf numFmtId="0" fontId="244" fillId="4" borderId="241" applyNumberFormat="0" applyAlignment="0" applyProtection="0"/>
    <xf numFmtId="0" fontId="18" fillId="0" borderId="239" applyNumberFormat="0" applyFill="0" applyAlignment="0" applyProtection="0"/>
    <xf numFmtId="0" fontId="18" fillId="0" borderId="239" applyNumberFormat="0" applyFill="0" applyAlignment="0" applyProtection="0"/>
    <xf numFmtId="9" fontId="96" fillId="25" borderId="240" applyNumberFormat="0" applyFont="0" applyAlignment="0" applyProtection="0"/>
    <xf numFmtId="4" fontId="137" fillId="0" borderId="240" applyFont="0" applyFill="0" applyBorder="0" applyAlignment="0" applyProtection="0"/>
    <xf numFmtId="259" fontId="37" fillId="25" borderId="240" applyNumberFormat="0" applyFont="0" applyAlignment="0"/>
    <xf numFmtId="0" fontId="244" fillId="4" borderId="241" applyNumberFormat="0" applyAlignment="0" applyProtection="0"/>
    <xf numFmtId="10" fontId="18" fillId="25" borderId="240" applyNumberFormat="0" applyBorder="0" applyAlignment="0" applyProtection="0"/>
    <xf numFmtId="169" fontId="137" fillId="0" borderId="240" applyNumberFormat="0" applyFill="0" applyAlignment="0" applyProtection="0"/>
    <xf numFmtId="195" fontId="18" fillId="29" borderId="237" applyNumberFormat="0" applyFont="0" applyBorder="0" applyAlignment="0" applyProtection="0">
      <alignment horizontal="right"/>
    </xf>
    <xf numFmtId="3" fontId="115" fillId="24" borderId="238" applyBorder="0">
      <protection locked="0"/>
    </xf>
    <xf numFmtId="0" fontId="244" fillId="4" borderId="241" applyNumberFormat="0" applyAlignment="0" applyProtection="0"/>
    <xf numFmtId="0" fontId="18" fillId="0" borderId="239" applyNumberFormat="0" applyFill="0" applyAlignment="0" applyProtection="0"/>
    <xf numFmtId="10" fontId="18" fillId="25" borderId="240" applyNumberFormat="0" applyBorder="0" applyAlignment="0" applyProtection="0"/>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244" fillId="4" borderId="241" applyNumberFormat="0" applyAlignment="0" applyProtection="0"/>
    <xf numFmtId="0" fontId="244" fillId="4" borderId="241" applyNumberFormat="0" applyAlignment="0" applyProtection="0"/>
    <xf numFmtId="0" fontId="18" fillId="0" borderId="239" applyNumberFormat="0" applyFill="0" applyAlignment="0" applyProtection="0"/>
    <xf numFmtId="0" fontId="249" fillId="0" borderId="245" applyNumberFormat="0" applyFill="0" applyAlignment="0" applyProtection="0"/>
    <xf numFmtId="0" fontId="247" fillId="28" borderId="244" applyNumberFormat="0" applyAlignment="0" applyProtection="0"/>
    <xf numFmtId="0" fontId="18" fillId="0" borderId="239" applyNumberFormat="0" applyFill="0" applyAlignment="0" applyProtection="0"/>
    <xf numFmtId="0" fontId="244" fillId="4" borderId="241" applyNumberFormat="0" applyAlignment="0" applyProtection="0"/>
    <xf numFmtId="0" fontId="18" fillId="2" borderId="243" applyNumberFormat="0" applyFont="0" applyAlignment="0" applyProtection="0"/>
    <xf numFmtId="177" fontId="114" fillId="0" borderId="237" applyBorder="0"/>
    <xf numFmtId="176" fontId="29" fillId="15" borderId="237" applyBorder="0">
      <alignment horizontal="right"/>
    </xf>
    <xf numFmtId="176" fontId="29" fillId="0" borderId="237" applyBorder="0">
      <alignment horizontal="right"/>
    </xf>
    <xf numFmtId="3" fontId="115" fillId="24" borderId="238" applyBorder="0">
      <protection locked="0"/>
    </xf>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140" fillId="0" borderId="237" applyNumberFormat="0" applyBorder="0"/>
    <xf numFmtId="176" fontId="29" fillId="0" borderId="237" applyBorder="0">
      <alignment horizontal="right"/>
    </xf>
    <xf numFmtId="176" fontId="29" fillId="15" borderId="237" applyBorder="0">
      <alignment horizontal="right"/>
    </xf>
    <xf numFmtId="177" fontId="114" fillId="0" borderId="237" applyBorder="0"/>
    <xf numFmtId="0" fontId="18" fillId="2" borderId="243" applyNumberFormat="0" applyFont="0" applyAlignment="0" applyProtection="0"/>
    <xf numFmtId="0" fontId="244" fillId="4" borderId="241" applyNumberFormat="0" applyAlignment="0" applyProtection="0"/>
    <xf numFmtId="0" fontId="18" fillId="0" borderId="239" applyNumberFormat="0" applyFill="0" applyAlignment="0" applyProtection="0"/>
    <xf numFmtId="0" fontId="247" fillId="28" borderId="244" applyNumberFormat="0" applyAlignment="0" applyProtection="0"/>
    <xf numFmtId="0" fontId="249" fillId="0" borderId="245" applyNumberFormat="0" applyFill="0" applyAlignment="0" applyProtection="0"/>
    <xf numFmtId="0" fontId="18" fillId="0" borderId="239" applyNumberFormat="0" applyFill="0" applyAlignment="0" applyProtection="0"/>
    <xf numFmtId="0" fontId="244" fillId="4" borderId="241" applyNumberFormat="0" applyAlignment="0" applyProtection="0"/>
    <xf numFmtId="0" fontId="244" fillId="4" borderId="241" applyNumberFormat="0" applyAlignment="0" applyProtection="0"/>
    <xf numFmtId="0" fontId="237" fillId="28" borderId="241" applyNumberFormat="0" applyAlignment="0" applyProtection="0"/>
    <xf numFmtId="0" fontId="18" fillId="2" borderId="243" applyNumberFormat="0" applyFont="0" applyAlignment="0" applyProtection="0"/>
    <xf numFmtId="0" fontId="18" fillId="0" borderId="239" applyNumberFormat="0" applyFill="0" applyAlignment="0" applyProtection="0"/>
    <xf numFmtId="0" fontId="99" fillId="0" borderId="236" applyNumberFormat="0" applyFill="0" applyAlignment="0" applyProtection="0"/>
    <xf numFmtId="0" fontId="99" fillId="0" borderId="236" applyNumberFormat="0" applyFill="0" applyAlignment="0" applyProtection="0"/>
    <xf numFmtId="195" fontId="18" fillId="29" borderId="237" applyNumberFormat="0" applyFont="0" applyBorder="0" applyAlignment="0" applyProtection="0">
      <alignment horizontal="right"/>
    </xf>
    <xf numFmtId="37" fontId="89" fillId="0" borderId="237" applyNumberFormat="0" applyFont="0" applyFill="0" applyAlignment="0" applyProtection="0"/>
    <xf numFmtId="8" fontId="138" fillId="0" borderId="242">
      <protection locked="0"/>
    </xf>
    <xf numFmtId="10" fontId="18" fillId="25" borderId="240" applyNumberFormat="0" applyBorder="0" applyAlignment="0" applyProtection="0"/>
    <xf numFmtId="169" fontId="137" fillId="0" borderId="240" applyNumberFormat="0" applyFill="0" applyAlignment="0" applyProtection="0"/>
    <xf numFmtId="0" fontId="244" fillId="4" borderId="241" applyNumberFormat="0" applyAlignment="0" applyProtection="0"/>
    <xf numFmtId="259" fontId="37" fillId="25" borderId="240" applyNumberFormat="0" applyFont="0" applyAlignment="0"/>
    <xf numFmtId="0" fontId="18" fillId="0" borderId="239" applyNumberFormat="0" applyFill="0" applyAlignment="0" applyProtection="0"/>
    <xf numFmtId="0" fontId="18" fillId="0" borderId="239" applyNumberFormat="0" applyFill="0" applyAlignment="0" applyProtection="0"/>
    <xf numFmtId="9" fontId="96" fillId="25" borderId="240" applyNumberFormat="0" applyFont="0" applyAlignment="0" applyProtection="0"/>
    <xf numFmtId="4" fontId="137" fillId="0" borderId="240" applyFont="0" applyFill="0" applyBorder="0" applyAlignment="0" applyProtection="0"/>
    <xf numFmtId="259" fontId="37" fillId="25" borderId="240" applyNumberFormat="0" applyFont="0" applyAlignment="0"/>
    <xf numFmtId="10" fontId="18" fillId="25" borderId="240" applyNumberFormat="0" applyBorder="0" applyAlignment="0" applyProtection="0"/>
    <xf numFmtId="169" fontId="137" fillId="0" borderId="240" applyNumberFormat="0" applyFill="0" applyAlignment="0" applyProtection="0"/>
    <xf numFmtId="195" fontId="18" fillId="29" borderId="237" applyNumberFormat="0" applyFont="0" applyBorder="0" applyAlignment="0" applyProtection="0">
      <alignment horizontal="right"/>
    </xf>
    <xf numFmtId="0" fontId="244" fillId="4" borderId="241" applyNumberFormat="0" applyAlignment="0" applyProtection="0"/>
    <xf numFmtId="10" fontId="18" fillId="25" borderId="240" applyNumberFormat="0" applyBorder="0" applyAlignment="0" applyProtection="0"/>
    <xf numFmtId="4" fontId="137" fillId="0" borderId="240" applyFont="0" applyFill="0" applyBorder="0" applyAlignment="0" applyProtection="0"/>
    <xf numFmtId="9" fontId="96" fillId="25" borderId="240" applyNumberFormat="0" applyFont="0" applyAlignment="0" applyProtection="0"/>
    <xf numFmtId="0" fontId="18" fillId="0" borderId="239" applyNumberFormat="0" applyFill="0" applyAlignment="0" applyProtection="0"/>
    <xf numFmtId="10" fontId="18" fillId="25" borderId="240" applyNumberFormat="0" applyBorder="0" applyAlignment="0" applyProtection="0"/>
    <xf numFmtId="0" fontId="18" fillId="2" borderId="243" applyNumberFormat="0" applyFont="0" applyAlignment="0" applyProtection="0"/>
    <xf numFmtId="0" fontId="244" fillId="4" borderId="241" applyNumberFormat="0" applyAlignment="0" applyProtection="0"/>
    <xf numFmtId="8" fontId="138" fillId="0" borderId="242">
      <protection locked="0"/>
    </xf>
    <xf numFmtId="0" fontId="237" fillId="28" borderId="241" applyNumberFormat="0" applyAlignment="0" applyProtection="0"/>
    <xf numFmtId="0" fontId="244" fillId="4" borderId="241" applyNumberFormat="0" applyAlignment="0" applyProtection="0"/>
    <xf numFmtId="0" fontId="244" fillId="4" borderId="241" applyNumberFormat="0" applyAlignment="0" applyProtection="0"/>
    <xf numFmtId="0" fontId="18" fillId="0" borderId="239" applyNumberFormat="0" applyFill="0" applyAlignment="0" applyProtection="0"/>
    <xf numFmtId="0" fontId="249" fillId="0" borderId="245" applyNumberFormat="0" applyFill="0" applyAlignment="0" applyProtection="0"/>
    <xf numFmtId="0" fontId="247" fillId="28" borderId="244" applyNumberFormat="0" applyAlignment="0" applyProtection="0"/>
    <xf numFmtId="0" fontId="18" fillId="0" borderId="239" applyNumberFormat="0" applyFill="0" applyAlignment="0" applyProtection="0"/>
    <xf numFmtId="0" fontId="244" fillId="4" borderId="241" applyNumberFormat="0" applyAlignment="0" applyProtection="0"/>
    <xf numFmtId="0" fontId="18" fillId="2" borderId="243" applyNumberFormat="0" applyFont="0" applyAlignment="0" applyProtection="0"/>
    <xf numFmtId="177" fontId="114" fillId="0" borderId="237" applyBorder="0"/>
    <xf numFmtId="176" fontId="29" fillId="15" borderId="237" applyBorder="0">
      <alignment horizontal="right"/>
    </xf>
    <xf numFmtId="176" fontId="29" fillId="0" borderId="237" applyBorder="0">
      <alignment horizontal="right"/>
    </xf>
    <xf numFmtId="37" fontId="89" fillId="0" borderId="237" applyNumberFormat="0" applyFont="0" applyFill="0" applyAlignment="0" applyProtection="0"/>
    <xf numFmtId="0" fontId="140" fillId="0" borderId="237" applyNumberFormat="0" applyBorder="0"/>
    <xf numFmtId="195" fontId="18" fillId="29" borderId="237" applyNumberFormat="0" applyFont="0" applyBorder="0" applyAlignment="0" applyProtection="0">
      <alignment horizontal="right"/>
    </xf>
    <xf numFmtId="195" fontId="18" fillId="29" borderId="237" applyNumberFormat="0" applyFont="0" applyBorder="0" applyAlignment="0" applyProtection="0">
      <alignment horizontal="right"/>
    </xf>
    <xf numFmtId="0" fontId="140" fillId="0" borderId="237" applyNumberFormat="0" applyBorder="0"/>
    <xf numFmtId="176" fontId="29" fillId="0" borderId="237" applyBorder="0">
      <alignment horizontal="right"/>
    </xf>
    <xf numFmtId="176" fontId="29" fillId="15" borderId="237" applyBorder="0">
      <alignment horizontal="right"/>
    </xf>
    <xf numFmtId="177" fontId="114" fillId="0" borderId="237" applyBorder="0"/>
    <xf numFmtId="0" fontId="18" fillId="2" borderId="243" applyNumberFormat="0" applyFont="0" applyAlignment="0" applyProtection="0"/>
    <xf numFmtId="0" fontId="244" fillId="4" borderId="241" applyNumberFormat="0" applyAlignment="0" applyProtection="0"/>
    <xf numFmtId="0" fontId="18" fillId="0" borderId="239" applyNumberFormat="0" applyFill="0" applyAlignment="0" applyProtection="0"/>
    <xf numFmtId="0" fontId="247" fillId="28" borderId="244" applyNumberFormat="0" applyAlignment="0" applyProtection="0"/>
    <xf numFmtId="0" fontId="249" fillId="0" borderId="245" applyNumberFormat="0" applyFill="0" applyAlignment="0" applyProtection="0"/>
    <xf numFmtId="0" fontId="18" fillId="0" borderId="239" applyNumberFormat="0" applyFill="0" applyAlignment="0" applyProtection="0"/>
    <xf numFmtId="0" fontId="244" fillId="4" borderId="241" applyNumberFormat="0" applyAlignment="0" applyProtection="0"/>
    <xf numFmtId="0" fontId="244" fillId="4" borderId="241" applyNumberFormat="0" applyAlignment="0" applyProtection="0"/>
    <xf numFmtId="0" fontId="237" fillId="28" borderId="241" applyNumberFormat="0" applyAlignment="0" applyProtection="0"/>
    <xf numFmtId="0" fontId="18" fillId="2" borderId="243" applyNumberFormat="0" applyFont="0" applyAlignment="0" applyProtection="0"/>
    <xf numFmtId="0" fontId="18" fillId="0" borderId="239" applyNumberFormat="0" applyFill="0" applyAlignment="0" applyProtection="0"/>
    <xf numFmtId="0" fontId="99" fillId="0" borderId="236" applyNumberFormat="0" applyFill="0" applyAlignment="0" applyProtection="0"/>
    <xf numFmtId="0" fontId="152" fillId="0" borderId="0" applyNumberFormat="0" applyFill="0" applyBorder="0" applyAlignment="0" applyProtection="0">
      <alignment vertical="top"/>
      <protection locked="0"/>
    </xf>
    <xf numFmtId="0" fontId="10" fillId="0" borderId="0"/>
    <xf numFmtId="0" fontId="29" fillId="0" borderId="347" applyFont="0" applyFill="0" applyBorder="0" applyAlignment="0" applyProtection="0">
      <alignment horizontal="center"/>
    </xf>
    <xf numFmtId="0" fontId="99" fillId="0" borderId="246" applyNumberFormat="0" applyFill="0" applyAlignment="0" applyProtection="0"/>
    <xf numFmtId="0" fontId="99" fillId="0" borderId="249" applyNumberFormat="0" applyFill="0" applyAlignment="0" applyProtection="0"/>
    <xf numFmtId="0" fontId="99" fillId="0" borderId="246" applyNumberFormat="0" applyFill="0" applyAlignment="0" applyProtection="0"/>
    <xf numFmtId="0" fontId="99" fillId="0" borderId="246" applyNumberFormat="0" applyFill="0" applyAlignment="0" applyProtection="0"/>
    <xf numFmtId="278" fontId="56" fillId="0" borderId="0"/>
    <xf numFmtId="0" fontId="18" fillId="0" borderId="0" applyNumberFormat="0" applyFill="0" applyBorder="0" applyAlignment="0" applyProtection="0"/>
    <xf numFmtId="169" fontId="356" fillId="0" borderId="0" applyNumberFormat="0" applyFill="0" applyBorder="0">
      <alignment horizontal="left" vertical="center"/>
    </xf>
    <xf numFmtId="0" fontId="18" fillId="0" borderId="0" applyNumberFormat="0" applyFill="0" applyBorder="0" applyAlignment="0" applyProtection="0"/>
    <xf numFmtId="0" fontId="81" fillId="0" borderId="234" applyNumberFormat="0" applyFill="0" applyProtection="0">
      <alignment horizontal="right"/>
    </xf>
    <xf numFmtId="39" fontId="33" fillId="0" borderId="248" applyNumberFormat="0" applyBorder="0">
      <alignment horizontal="right"/>
    </xf>
    <xf numFmtId="1" fontId="85" fillId="0" borderId="248" applyFill="0" applyProtection="0">
      <alignment horizontal="right"/>
    </xf>
    <xf numFmtId="0" fontId="18" fillId="0" borderId="0"/>
    <xf numFmtId="0" fontId="99" fillId="0" borderId="270" applyNumberFormat="0" applyFill="0" applyAlignment="0" applyProtection="0"/>
    <xf numFmtId="195" fontId="18" fillId="29" borderId="268" applyNumberFormat="0" applyFont="0" applyBorder="0" applyAlignment="0" applyProtection="0">
      <alignment horizontal="right"/>
    </xf>
    <xf numFmtId="37" fontId="89" fillId="0" borderId="268" applyNumberFormat="0" applyFont="0" applyFill="0" applyAlignment="0" applyProtection="0"/>
    <xf numFmtId="8" fontId="138" fillId="0" borderId="264">
      <protection locked="0"/>
    </xf>
    <xf numFmtId="10" fontId="18" fillId="25" borderId="250" applyNumberFormat="0" applyBorder="0" applyAlignment="0" applyProtection="0"/>
    <xf numFmtId="169" fontId="137" fillId="0" borderId="250" applyNumberFormat="0" applyFill="0" applyAlignment="0" applyProtection="0"/>
    <xf numFmtId="0" fontId="244" fillId="4" borderId="252" applyNumberFormat="0" applyAlignment="0" applyProtection="0"/>
    <xf numFmtId="259" fontId="37" fillId="25" borderId="250" applyNumberFormat="0" applyFont="0" applyAlignment="0"/>
    <xf numFmtId="0" fontId="18" fillId="0" borderId="262" applyNumberFormat="0" applyFill="0" applyAlignment="0" applyProtection="0"/>
    <xf numFmtId="193" fontId="66" fillId="23" borderId="259" applyFont="0">
      <alignment horizontal="right"/>
    </xf>
    <xf numFmtId="193" fontId="66" fillId="23" borderId="248" applyFont="0">
      <alignment horizontal="right"/>
    </xf>
    <xf numFmtId="0" fontId="18" fillId="0" borderId="251" applyNumberFormat="0" applyFill="0" applyAlignment="0" applyProtection="0"/>
    <xf numFmtId="9" fontId="96" fillId="25" borderId="250" applyNumberFormat="0" applyFont="0" applyAlignment="0" applyProtection="0"/>
    <xf numFmtId="4" fontId="137" fillId="0" borderId="250" applyFont="0" applyFill="0" applyBorder="0" applyAlignment="0" applyProtection="0"/>
    <xf numFmtId="0" fontId="29" fillId="0" borderId="248" applyFont="0" applyFill="0" applyBorder="0" applyAlignment="0" applyProtection="0">
      <alignment horizontal="center"/>
    </xf>
    <xf numFmtId="259" fontId="37" fillId="25" borderId="250" applyNumberFormat="0" applyFont="0" applyAlignment="0"/>
    <xf numFmtId="0" fontId="51" fillId="0" borderId="248">
      <alignment horizontal="left" vertical="center"/>
    </xf>
    <xf numFmtId="0" fontId="244" fillId="4" borderId="192" applyNumberFormat="0" applyAlignment="0" applyProtection="0"/>
    <xf numFmtId="10" fontId="18" fillId="25" borderId="250" applyNumberFormat="0" applyBorder="0" applyAlignment="0" applyProtection="0"/>
    <xf numFmtId="169" fontId="137" fillId="0" borderId="250" applyNumberFormat="0" applyFill="0" applyAlignment="0" applyProtection="0"/>
    <xf numFmtId="195" fontId="18" fillId="29" borderId="268" applyNumberFormat="0" applyFont="0" applyBorder="0" applyAlignment="0" applyProtection="0">
      <alignment horizontal="right"/>
    </xf>
    <xf numFmtId="3" fontId="115" fillId="24" borderId="269" applyBorder="0">
      <protection locked="0"/>
    </xf>
    <xf numFmtId="0" fontId="244" fillId="4" borderId="263" applyNumberFormat="0" applyAlignment="0" applyProtection="0"/>
    <xf numFmtId="10" fontId="18" fillId="25" borderId="250" applyNumberFormat="0" applyBorder="0" applyAlignment="0" applyProtection="0"/>
    <xf numFmtId="0" fontId="51" fillId="0" borderId="259">
      <alignment horizontal="left" vertical="center"/>
    </xf>
    <xf numFmtId="0" fontId="29" fillId="0" borderId="259" applyFont="0" applyFill="0" applyBorder="0" applyAlignment="0" applyProtection="0">
      <alignment horizontal="center"/>
    </xf>
    <xf numFmtId="4" fontId="137" fillId="0" borderId="250" applyFont="0" applyFill="0" applyBorder="0" applyAlignment="0" applyProtection="0"/>
    <xf numFmtId="9" fontId="96" fillId="25" borderId="250" applyNumberFormat="0" applyFont="0" applyAlignment="0" applyProtection="0"/>
    <xf numFmtId="193" fontId="66" fillId="23" borderId="248" applyFont="0">
      <alignment horizontal="right"/>
    </xf>
    <xf numFmtId="0" fontId="18" fillId="0" borderId="251" applyNumberFormat="0" applyFill="0" applyAlignment="0" applyProtection="0"/>
    <xf numFmtId="10" fontId="18" fillId="25" borderId="250" applyNumberFormat="0" applyBorder="0" applyAlignment="0" applyProtection="0"/>
    <xf numFmtId="0" fontId="18" fillId="2" borderId="254" applyNumberFormat="0" applyFont="0" applyAlignment="0" applyProtection="0"/>
    <xf numFmtId="0" fontId="244" fillId="4" borderId="252" applyNumberFormat="0" applyAlignment="0" applyProtection="0"/>
    <xf numFmtId="8" fontId="138" fillId="0" borderId="253">
      <protection locked="0"/>
    </xf>
    <xf numFmtId="0" fontId="237" fillId="28" borderId="252" applyNumberFormat="0" applyAlignment="0" applyProtection="0"/>
    <xf numFmtId="0" fontId="244" fillId="4" borderId="252" applyNumberFormat="0" applyAlignment="0" applyProtection="0"/>
    <xf numFmtId="0" fontId="244" fillId="4" borderId="252" applyNumberFormat="0" applyAlignment="0" applyProtection="0"/>
    <xf numFmtId="0" fontId="18" fillId="0" borderId="251" applyNumberFormat="0" applyFill="0" applyAlignment="0" applyProtection="0"/>
    <xf numFmtId="0" fontId="249" fillId="0" borderId="256" applyNumberFormat="0" applyFill="0" applyAlignment="0" applyProtection="0"/>
    <xf numFmtId="0" fontId="247" fillId="28" borderId="255" applyNumberFormat="0" applyAlignment="0" applyProtection="0"/>
    <xf numFmtId="0" fontId="18" fillId="0" borderId="251" applyNumberFormat="0" applyFill="0" applyAlignment="0" applyProtection="0"/>
    <xf numFmtId="0" fontId="244" fillId="4" borderId="252" applyNumberFormat="0" applyAlignment="0" applyProtection="0"/>
    <xf numFmtId="0" fontId="18" fillId="2" borderId="254" applyNumberFormat="0" applyFont="0" applyAlignment="0" applyProtection="0"/>
    <xf numFmtId="177" fontId="114" fillId="0" borderId="257" applyBorder="0"/>
    <xf numFmtId="176" fontId="29" fillId="15" borderId="257" applyBorder="0">
      <alignment horizontal="right"/>
    </xf>
    <xf numFmtId="176" fontId="29" fillId="0" borderId="257" applyBorder="0">
      <alignment horizontal="right"/>
    </xf>
    <xf numFmtId="3" fontId="115" fillId="24" borderId="258" applyBorder="0">
      <protection locked="0"/>
    </xf>
    <xf numFmtId="37" fontId="89" fillId="0" borderId="257" applyNumberFormat="0" applyFont="0" applyFill="0" applyAlignment="0" applyProtection="0"/>
    <xf numFmtId="0" fontId="140" fillId="0" borderId="257" applyNumberFormat="0" applyBorder="0"/>
    <xf numFmtId="195" fontId="18" fillId="29" borderId="257" applyNumberFormat="0" applyFont="0" applyBorder="0" applyAlignment="0" applyProtection="0">
      <alignment horizontal="right"/>
    </xf>
    <xf numFmtId="195" fontId="18" fillId="29" borderId="257" applyNumberFormat="0" applyFont="0" applyBorder="0" applyAlignment="0" applyProtection="0">
      <alignment horizontal="right"/>
    </xf>
    <xf numFmtId="0" fontId="140" fillId="0" borderId="268" applyNumberFormat="0" applyBorder="0"/>
    <xf numFmtId="176" fontId="29" fillId="0" borderId="268" applyBorder="0">
      <alignment horizontal="right"/>
    </xf>
    <xf numFmtId="176" fontId="29" fillId="15" borderId="268" applyBorder="0">
      <alignment horizontal="right"/>
    </xf>
    <xf numFmtId="177" fontId="114" fillId="0" borderId="268" applyBorder="0"/>
    <xf numFmtId="0" fontId="18" fillId="2" borderId="265" applyNumberFormat="0" applyFont="0" applyAlignment="0" applyProtection="0"/>
    <xf numFmtId="0" fontId="244" fillId="4" borderId="263" applyNumberFormat="0" applyAlignment="0" applyProtection="0"/>
    <xf numFmtId="0" fontId="18" fillId="0" borderId="262" applyNumberFormat="0" applyFill="0" applyAlignment="0" applyProtection="0"/>
    <xf numFmtId="0" fontId="247" fillId="28" borderId="266" applyNumberFormat="0" applyAlignment="0" applyProtection="0"/>
    <xf numFmtId="0" fontId="249" fillId="0" borderId="267" applyNumberFormat="0" applyFill="0" applyAlignment="0" applyProtection="0"/>
    <xf numFmtId="0" fontId="18" fillId="0" borderId="262" applyNumberFormat="0" applyFill="0" applyAlignment="0" applyProtection="0"/>
    <xf numFmtId="0" fontId="244" fillId="4" borderId="263" applyNumberFormat="0" applyAlignment="0" applyProtection="0"/>
    <xf numFmtId="0" fontId="244" fillId="4" borderId="263" applyNumberFormat="0" applyAlignment="0" applyProtection="0"/>
    <xf numFmtId="0" fontId="237" fillId="28" borderId="263" applyNumberFormat="0" applyAlignment="0" applyProtection="0"/>
    <xf numFmtId="0" fontId="18" fillId="2" borderId="265" applyNumberFormat="0" applyFont="0" applyAlignment="0" applyProtection="0"/>
    <xf numFmtId="0" fontId="18" fillId="0" borderId="262" applyNumberFormat="0" applyFill="0" applyAlignment="0" applyProtection="0"/>
    <xf numFmtId="193" fontId="66" fillId="23" borderId="259" applyFont="0">
      <alignment horizontal="right"/>
    </xf>
    <xf numFmtId="0" fontId="99" fillId="0" borderId="260" applyNumberFormat="0" applyFill="0" applyAlignment="0" applyProtection="0"/>
    <xf numFmtId="0" fontId="81" fillId="0" borderId="216" applyNumberFormat="0" applyFill="0" applyProtection="0">
      <alignment horizontal="right"/>
    </xf>
    <xf numFmtId="39" fontId="33" fillId="0" borderId="259" applyNumberFormat="0" applyBorder="0">
      <alignment horizontal="right"/>
    </xf>
    <xf numFmtId="1" fontId="85" fillId="0" borderId="259" applyFill="0" applyProtection="0">
      <alignment horizontal="right"/>
    </xf>
    <xf numFmtId="39" fontId="33" fillId="0" borderId="259" applyNumberFormat="0" applyBorder="0">
      <alignment horizontal="right"/>
    </xf>
    <xf numFmtId="1" fontId="85" fillId="0" borderId="259" applyFill="0" applyProtection="0">
      <alignment horizontal="right"/>
    </xf>
    <xf numFmtId="177" fontId="114" fillId="0" borderId="271" applyBorder="0"/>
    <xf numFmtId="176" fontId="29" fillId="15" borderId="271" applyBorder="0">
      <alignment horizontal="right"/>
    </xf>
    <xf numFmtId="176" fontId="29" fillId="0" borderId="271" applyBorder="0">
      <alignment horizontal="right"/>
    </xf>
    <xf numFmtId="193" fontId="66" fillId="23" borderId="259" applyFont="0">
      <alignment horizontal="right"/>
    </xf>
    <xf numFmtId="3" fontId="115" fillId="24" borderId="272" applyBorder="0">
      <protection locked="0"/>
    </xf>
    <xf numFmtId="0" fontId="18" fillId="0" borderId="273" applyNumberFormat="0" applyFill="0" applyAlignment="0" applyProtection="0"/>
    <xf numFmtId="37" fontId="89" fillId="0" borderId="271" applyNumberFormat="0" applyFont="0" applyFill="0" applyAlignment="0" applyProtection="0"/>
    <xf numFmtId="0" fontId="140" fillId="0" borderId="271" applyNumberFormat="0" applyBorder="0"/>
    <xf numFmtId="195" fontId="18" fillId="29" borderId="271" applyNumberFormat="0" applyFont="0" applyBorder="0" applyAlignment="0" applyProtection="0">
      <alignment horizontal="right"/>
    </xf>
    <xf numFmtId="0" fontId="29" fillId="0" borderId="259" applyFont="0" applyFill="0" applyBorder="0" applyAlignment="0" applyProtection="0">
      <alignment horizontal="center"/>
    </xf>
    <xf numFmtId="0" fontId="51" fillId="0" borderId="259">
      <alignment horizontal="left" vertical="center"/>
    </xf>
    <xf numFmtId="0" fontId="244" fillId="4" borderId="192" applyNumberFormat="0" applyAlignment="0" applyProtection="0"/>
    <xf numFmtId="193" fontId="66" fillId="23" borderId="259" applyFont="0">
      <alignment horizontal="right"/>
    </xf>
    <xf numFmtId="0" fontId="18" fillId="0" borderId="273" applyNumberFormat="0" applyFill="0" applyAlignment="0" applyProtection="0"/>
    <xf numFmtId="195" fontId="18" fillId="29" borderId="271" applyNumberFormat="0" applyFont="0" applyBorder="0" applyAlignment="0" applyProtection="0">
      <alignment horizontal="right"/>
    </xf>
    <xf numFmtId="8" fontId="138" fillId="0" borderId="15">
      <protection locked="0"/>
    </xf>
    <xf numFmtId="0" fontId="18" fillId="0" borderId="228" applyNumberFormat="0" applyFill="0" applyAlignment="0" applyProtection="0"/>
    <xf numFmtId="0" fontId="18" fillId="0" borderId="228" applyNumberFormat="0" applyFill="0" applyAlignment="0" applyProtection="0"/>
    <xf numFmtId="177" fontId="114" fillId="0" borderId="234" applyBorder="0"/>
    <xf numFmtId="176" fontId="29" fillId="15" borderId="234" applyBorder="0">
      <alignment horizontal="right"/>
    </xf>
    <xf numFmtId="176" fontId="29" fillId="0" borderId="234" applyBorder="0">
      <alignment horizontal="right"/>
    </xf>
    <xf numFmtId="3" fontId="115" fillId="24" borderId="235" applyBorder="0">
      <protection locked="0"/>
    </xf>
    <xf numFmtId="37" fontId="89" fillId="0" borderId="234" applyNumberFormat="0" applyFont="0" applyFill="0" applyAlignment="0" applyProtection="0"/>
    <xf numFmtId="0" fontId="140" fillId="0" borderId="234" applyNumberFormat="0" applyBorder="0"/>
    <xf numFmtId="195" fontId="18" fillId="29" borderId="234" applyNumberFormat="0" applyFont="0" applyBorder="0" applyAlignment="0" applyProtection="0">
      <alignment horizontal="right"/>
    </xf>
    <xf numFmtId="195" fontId="18" fillId="29" borderId="234" applyNumberFormat="0" applyFont="0" applyBorder="0" applyAlignment="0" applyProtection="0">
      <alignment horizontal="right"/>
    </xf>
    <xf numFmtId="0" fontId="99" fillId="0" borderId="270" applyNumberFormat="0" applyFill="0" applyAlignment="0" applyProtection="0"/>
    <xf numFmtId="0" fontId="99" fillId="0" borderId="270" applyNumberFormat="0" applyFill="0" applyAlignment="0" applyProtection="0"/>
    <xf numFmtId="0" fontId="81" fillId="0" borderId="271" applyNumberFormat="0" applyFill="0" applyProtection="0">
      <alignment horizontal="right"/>
    </xf>
    <xf numFmtId="39" fontId="33" fillId="0" borderId="247" applyNumberFormat="0" applyBorder="0">
      <alignment horizontal="right"/>
    </xf>
    <xf numFmtId="1" fontId="85" fillId="0" borderId="247" applyFill="0" applyProtection="0">
      <alignment horizontal="right"/>
    </xf>
    <xf numFmtId="0" fontId="99" fillId="0" borderId="270" applyNumberFormat="0" applyFill="0" applyAlignment="0" applyProtection="0"/>
    <xf numFmtId="195" fontId="18" fillId="29" borderId="234" applyNumberFormat="0" applyFont="0" applyBorder="0" applyAlignment="0" applyProtection="0">
      <alignment horizontal="right"/>
    </xf>
    <xf numFmtId="37" fontId="89" fillId="0" borderId="234" applyNumberFormat="0" applyFont="0" applyFill="0" applyAlignment="0" applyProtection="0"/>
    <xf numFmtId="8" fontId="138" fillId="0" borderId="15">
      <protection locked="0"/>
    </xf>
    <xf numFmtId="0" fontId="18" fillId="0" borderId="228" applyNumberFormat="0" applyFill="0" applyAlignment="0" applyProtection="0"/>
    <xf numFmtId="193" fontId="66" fillId="23" borderId="247" applyFont="0">
      <alignment horizontal="right"/>
    </xf>
    <xf numFmtId="193" fontId="66" fillId="23" borderId="247" applyFont="0">
      <alignment horizontal="right"/>
    </xf>
    <xf numFmtId="0" fontId="18" fillId="0" borderId="228" applyNumberFormat="0" applyFill="0" applyAlignment="0" applyProtection="0"/>
    <xf numFmtId="9" fontId="96" fillId="25" borderId="274" applyNumberFormat="0" applyFont="0" applyAlignment="0" applyProtection="0"/>
    <xf numFmtId="4" fontId="137" fillId="0" borderId="274" applyFont="0" applyFill="0" applyBorder="0" applyAlignment="0" applyProtection="0"/>
    <xf numFmtId="0" fontId="29" fillId="0" borderId="247" applyFont="0" applyFill="0" applyBorder="0" applyAlignment="0" applyProtection="0">
      <alignment horizontal="center"/>
    </xf>
    <xf numFmtId="259" fontId="37" fillId="25" borderId="274" applyNumberFormat="0" applyFont="0" applyAlignment="0"/>
    <xf numFmtId="0" fontId="51" fillId="0" borderId="247">
      <alignment horizontal="left" vertical="center"/>
    </xf>
    <xf numFmtId="10" fontId="18" fillId="25" borderId="274" applyNumberFormat="0" applyBorder="0" applyAlignment="0" applyProtection="0"/>
    <xf numFmtId="169" fontId="137" fillId="0" borderId="274" applyNumberFormat="0" applyFill="0" applyAlignment="0" applyProtection="0"/>
    <xf numFmtId="195" fontId="18" fillId="29" borderId="234" applyNumberFormat="0" applyFont="0" applyBorder="0" applyAlignment="0" applyProtection="0">
      <alignment horizontal="right"/>
    </xf>
    <xf numFmtId="3" fontId="115" fillId="24" borderId="235" applyBorder="0">
      <protection locked="0"/>
    </xf>
    <xf numFmtId="0" fontId="51" fillId="0" borderId="247">
      <alignment horizontal="left" vertical="center"/>
    </xf>
    <xf numFmtId="0" fontId="29" fillId="0" borderId="247" applyFont="0" applyFill="0" applyBorder="0" applyAlignment="0" applyProtection="0">
      <alignment horizontal="center"/>
    </xf>
    <xf numFmtId="193" fontId="66" fillId="23" borderId="247" applyFont="0">
      <alignment horizontal="right"/>
    </xf>
    <xf numFmtId="0" fontId="18" fillId="0" borderId="228" applyNumberFormat="0" applyFill="0" applyAlignment="0" applyProtection="0"/>
    <xf numFmtId="10" fontId="18" fillId="25" borderId="274" applyNumberFormat="0" applyBorder="0" applyAlignment="0" applyProtection="0"/>
    <xf numFmtId="8" fontId="138" fillId="0" borderId="15">
      <protection locked="0"/>
    </xf>
    <xf numFmtId="0" fontId="18" fillId="0" borderId="228" applyNumberFormat="0" applyFill="0" applyAlignment="0" applyProtection="0"/>
    <xf numFmtId="0" fontId="18" fillId="0" borderId="228" applyNumberFormat="0" applyFill="0" applyAlignment="0" applyProtection="0"/>
    <xf numFmtId="177" fontId="114" fillId="0" borderId="234" applyBorder="0"/>
    <xf numFmtId="176" fontId="29" fillId="15" borderId="234" applyBorder="0">
      <alignment horizontal="right"/>
    </xf>
    <xf numFmtId="176" fontId="29" fillId="0" borderId="234" applyBorder="0">
      <alignment horizontal="right"/>
    </xf>
    <xf numFmtId="3" fontId="115" fillId="24" borderId="235" applyBorder="0">
      <protection locked="0"/>
    </xf>
    <xf numFmtId="37" fontId="89" fillId="0" borderId="234" applyNumberFormat="0" applyFont="0" applyFill="0" applyAlignment="0" applyProtection="0"/>
    <xf numFmtId="0" fontId="140" fillId="0" borderId="234" applyNumberFormat="0" applyBorder="0"/>
    <xf numFmtId="195" fontId="18" fillId="29" borderId="234" applyNumberFormat="0" applyFont="0" applyBorder="0" applyAlignment="0" applyProtection="0">
      <alignment horizontal="right"/>
    </xf>
    <xf numFmtId="195" fontId="18" fillId="29" borderId="234" applyNumberFormat="0" applyFont="0" applyBorder="0" applyAlignment="0" applyProtection="0">
      <alignment horizontal="right"/>
    </xf>
    <xf numFmtId="0" fontId="140" fillId="0" borderId="234" applyNumberFormat="0" applyBorder="0"/>
    <xf numFmtId="176" fontId="29" fillId="0" borderId="234" applyBorder="0">
      <alignment horizontal="right"/>
    </xf>
    <xf numFmtId="176" fontId="29" fillId="15" borderId="234" applyBorder="0">
      <alignment horizontal="right"/>
    </xf>
    <xf numFmtId="177" fontId="114" fillId="0" borderId="234" applyBorder="0"/>
    <xf numFmtId="0" fontId="18" fillId="0" borderId="228" applyNumberFormat="0" applyFill="0" applyAlignment="0" applyProtection="0"/>
    <xf numFmtId="0" fontId="18" fillId="0" borderId="228" applyNumberFormat="0" applyFill="0" applyAlignment="0" applyProtection="0"/>
    <xf numFmtId="0" fontId="18" fillId="0" borderId="228" applyNumberFormat="0" applyFill="0" applyAlignment="0" applyProtection="0"/>
    <xf numFmtId="193" fontId="66" fillId="23" borderId="247" applyFont="0">
      <alignment horizontal="right"/>
    </xf>
    <xf numFmtId="0" fontId="99" fillId="0" borderId="270" applyNumberFormat="0" applyFill="0" applyAlignment="0" applyProtection="0"/>
    <xf numFmtId="39" fontId="33" fillId="0" borderId="247" applyNumberFormat="0" applyBorder="0">
      <alignment horizontal="right"/>
    </xf>
    <xf numFmtId="1" fontId="85" fillId="0" borderId="247" applyFill="0" applyProtection="0">
      <alignment horizontal="right"/>
    </xf>
    <xf numFmtId="39" fontId="33" fillId="0" borderId="247" applyNumberFormat="0" applyBorder="0">
      <alignment horizontal="right"/>
    </xf>
    <xf numFmtId="1" fontId="85" fillId="0" borderId="247" applyFill="0" applyProtection="0">
      <alignment horizontal="right"/>
    </xf>
    <xf numFmtId="0" fontId="99" fillId="0" borderId="270" applyNumberFormat="0" applyFill="0" applyAlignment="0" applyProtection="0"/>
    <xf numFmtId="195" fontId="18" fillId="29" borderId="271" applyNumberFormat="0" applyFont="0" applyBorder="0" applyAlignment="0" applyProtection="0">
      <alignment horizontal="right"/>
    </xf>
    <xf numFmtId="37" fontId="89" fillId="0" borderId="271" applyNumberFormat="0" applyFont="0" applyFill="0" applyAlignment="0" applyProtection="0"/>
    <xf numFmtId="8" fontId="138" fillId="0" borderId="276">
      <protection locked="0"/>
    </xf>
    <xf numFmtId="10" fontId="18" fillId="25" borderId="261" applyNumberFormat="0" applyBorder="0" applyAlignment="0" applyProtection="0"/>
    <xf numFmtId="169" fontId="137" fillId="0" borderId="261" applyNumberFormat="0" applyFill="0" applyAlignment="0" applyProtection="0"/>
    <xf numFmtId="0" fontId="244" fillId="4" borderId="275" applyNumberFormat="0" applyAlignment="0" applyProtection="0"/>
    <xf numFmtId="259" fontId="37" fillId="25" borderId="261" applyNumberFormat="0" applyFont="0" applyAlignment="0"/>
    <xf numFmtId="0" fontId="18" fillId="0" borderId="273" applyNumberFormat="0" applyFill="0" applyAlignment="0" applyProtection="0"/>
    <xf numFmtId="193" fontId="66" fillId="23" borderId="259" applyFont="0">
      <alignment horizontal="right"/>
    </xf>
    <xf numFmtId="0" fontId="18" fillId="0" borderId="273" applyNumberFormat="0" applyFill="0" applyAlignment="0" applyProtection="0"/>
    <xf numFmtId="9" fontId="96" fillId="25" borderId="261" applyNumberFormat="0" applyFont="0" applyAlignment="0" applyProtection="0"/>
    <xf numFmtId="4" fontId="137" fillId="0" borderId="261" applyFont="0" applyFill="0" applyBorder="0" applyAlignment="0" applyProtection="0"/>
    <xf numFmtId="259" fontId="37" fillId="25" borderId="261" applyNumberFormat="0" applyFont="0" applyAlignment="0"/>
    <xf numFmtId="10" fontId="18" fillId="25" borderId="261" applyNumberFormat="0" applyBorder="0" applyAlignment="0" applyProtection="0"/>
    <xf numFmtId="169" fontId="137" fillId="0" borderId="261" applyNumberFormat="0" applyFill="0" applyAlignment="0" applyProtection="0"/>
    <xf numFmtId="195" fontId="18" fillId="29" borderId="271" applyNumberFormat="0" applyFont="0" applyBorder="0" applyAlignment="0" applyProtection="0">
      <alignment horizontal="right"/>
    </xf>
    <xf numFmtId="3" fontId="115" fillId="24" borderId="272" applyBorder="0">
      <protection locked="0"/>
    </xf>
    <xf numFmtId="0" fontId="244" fillId="4" borderId="275" applyNumberFormat="0" applyAlignment="0" applyProtection="0"/>
    <xf numFmtId="10" fontId="18" fillId="25" borderId="261" applyNumberFormat="0" applyBorder="0" applyAlignment="0" applyProtection="0"/>
    <xf numFmtId="0" fontId="51" fillId="0" borderId="259">
      <alignment horizontal="left" vertical="center"/>
    </xf>
    <xf numFmtId="0" fontId="29" fillId="0" borderId="259" applyFont="0" applyFill="0" applyBorder="0" applyAlignment="0" applyProtection="0">
      <alignment horizontal="center"/>
    </xf>
    <xf numFmtId="4" fontId="137" fillId="0" borderId="261" applyFont="0" applyFill="0" applyBorder="0" applyAlignment="0" applyProtection="0"/>
    <xf numFmtId="9" fontId="96" fillId="25" borderId="261" applyNumberFormat="0" applyFont="0" applyAlignment="0" applyProtection="0"/>
    <xf numFmtId="0" fontId="18" fillId="0" borderId="273" applyNumberFormat="0" applyFill="0" applyAlignment="0" applyProtection="0"/>
    <xf numFmtId="10" fontId="18" fillId="25" borderId="261" applyNumberFormat="0" applyBorder="0" applyAlignment="0" applyProtection="0"/>
    <xf numFmtId="0" fontId="18" fillId="2" borderId="277" applyNumberFormat="0" applyFont="0" applyAlignment="0" applyProtection="0"/>
    <xf numFmtId="0" fontId="244" fillId="4" borderId="275" applyNumberFormat="0" applyAlignment="0" applyProtection="0"/>
    <xf numFmtId="8" fontId="138" fillId="0" borderId="276">
      <protection locked="0"/>
    </xf>
    <xf numFmtId="0" fontId="237" fillId="28" borderId="275" applyNumberFormat="0" applyAlignment="0" applyProtection="0"/>
    <xf numFmtId="0" fontId="244" fillId="4" borderId="275" applyNumberFormat="0" applyAlignment="0" applyProtection="0"/>
    <xf numFmtId="0" fontId="244" fillId="4" borderId="275" applyNumberFormat="0" applyAlignment="0" applyProtection="0"/>
    <xf numFmtId="0" fontId="18" fillId="0" borderId="273" applyNumberFormat="0" applyFill="0" applyAlignment="0" applyProtection="0"/>
    <xf numFmtId="0" fontId="249" fillId="0" borderId="279" applyNumberFormat="0" applyFill="0" applyAlignment="0" applyProtection="0"/>
    <xf numFmtId="0" fontId="247" fillId="28" borderId="278" applyNumberFormat="0" applyAlignment="0" applyProtection="0"/>
    <xf numFmtId="0" fontId="18" fillId="0" borderId="273" applyNumberFormat="0" applyFill="0" applyAlignment="0" applyProtection="0"/>
    <xf numFmtId="0" fontId="244" fillId="4" borderId="275" applyNumberFormat="0" applyAlignment="0" applyProtection="0"/>
    <xf numFmtId="0" fontId="18" fillId="2" borderId="277" applyNumberFormat="0" applyFont="0" applyAlignment="0" applyProtection="0"/>
    <xf numFmtId="177" fontId="114" fillId="0" borderId="271" applyBorder="0"/>
    <xf numFmtId="176" fontId="29" fillId="15" borderId="271" applyBorder="0">
      <alignment horizontal="right"/>
    </xf>
    <xf numFmtId="176" fontId="29" fillId="0" borderId="271" applyBorder="0">
      <alignment horizontal="right"/>
    </xf>
    <xf numFmtId="3" fontId="115" fillId="24" borderId="272" applyBorder="0">
      <protection locked="0"/>
    </xf>
    <xf numFmtId="37" fontId="89" fillId="0" borderId="271" applyNumberFormat="0" applyFont="0" applyFill="0" applyAlignment="0" applyProtection="0"/>
    <xf numFmtId="0" fontId="140" fillId="0" borderId="271" applyNumberFormat="0" applyBorder="0"/>
    <xf numFmtId="195" fontId="18" fillId="29" borderId="271" applyNumberFormat="0" applyFont="0" applyBorder="0" applyAlignment="0" applyProtection="0">
      <alignment horizontal="right"/>
    </xf>
    <xf numFmtId="195" fontId="18" fillId="29" borderId="271" applyNumberFormat="0" applyFont="0" applyBorder="0" applyAlignment="0" applyProtection="0">
      <alignment horizontal="right"/>
    </xf>
    <xf numFmtId="0" fontId="140" fillId="0" borderId="271" applyNumberFormat="0" applyBorder="0"/>
    <xf numFmtId="176" fontId="29" fillId="0" borderId="271" applyBorder="0">
      <alignment horizontal="right"/>
    </xf>
    <xf numFmtId="176" fontId="29" fillId="15" borderId="271" applyBorder="0">
      <alignment horizontal="right"/>
    </xf>
    <xf numFmtId="177" fontId="114" fillId="0" borderId="271" applyBorder="0"/>
    <xf numFmtId="0" fontId="18" fillId="2" borderId="277" applyNumberFormat="0" applyFont="0" applyAlignment="0" applyProtection="0"/>
    <xf numFmtId="0" fontId="244" fillId="4" borderId="275" applyNumberFormat="0" applyAlignment="0" applyProtection="0"/>
    <xf numFmtId="0" fontId="18" fillId="0" borderId="273" applyNumberFormat="0" applyFill="0" applyAlignment="0" applyProtection="0"/>
    <xf numFmtId="0" fontId="247" fillId="28" borderId="278" applyNumberFormat="0" applyAlignment="0" applyProtection="0"/>
    <xf numFmtId="0" fontId="249" fillId="0" borderId="279" applyNumberFormat="0" applyFill="0" applyAlignment="0" applyProtection="0"/>
    <xf numFmtId="0" fontId="18" fillId="0" borderId="273" applyNumberFormat="0" applyFill="0" applyAlignment="0" applyProtection="0"/>
    <xf numFmtId="0" fontId="244" fillId="4" borderId="275" applyNumberFormat="0" applyAlignment="0" applyProtection="0"/>
    <xf numFmtId="0" fontId="244" fillId="4" borderId="275" applyNumberFormat="0" applyAlignment="0" applyProtection="0"/>
    <xf numFmtId="0" fontId="237" fillId="28" borderId="275" applyNumberFormat="0" applyAlignment="0" applyProtection="0"/>
    <xf numFmtId="0" fontId="18" fillId="2" borderId="277" applyNumberFormat="0" applyFont="0" applyAlignment="0" applyProtection="0"/>
    <xf numFmtId="0" fontId="18" fillId="0" borderId="273" applyNumberFormat="0" applyFill="0" applyAlignment="0" applyProtection="0"/>
    <xf numFmtId="193" fontId="66" fillId="23" borderId="259" applyFont="0">
      <alignment horizontal="right"/>
    </xf>
    <xf numFmtId="0" fontId="99" fillId="0" borderId="270" applyNumberFormat="0" applyFill="0" applyAlignment="0" applyProtection="0"/>
    <xf numFmtId="39" fontId="33" fillId="0" borderId="259" applyNumberFormat="0" applyBorder="0">
      <alignment horizontal="right"/>
    </xf>
    <xf numFmtId="1" fontId="85" fillId="0" borderId="259" applyFill="0" applyProtection="0">
      <alignment horizontal="right"/>
    </xf>
    <xf numFmtId="39" fontId="33" fillId="0" borderId="259" applyNumberFormat="0" applyBorder="0">
      <alignment horizontal="right"/>
    </xf>
    <xf numFmtId="1" fontId="85" fillId="0" borderId="259" applyFill="0" applyProtection="0">
      <alignment horizontal="right"/>
    </xf>
    <xf numFmtId="37" fontId="89" fillId="0" borderId="300" applyNumberFormat="0" applyFont="0" applyFill="0" applyAlignment="0" applyProtection="0"/>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37" fontId="89" fillId="0" borderId="300" applyNumberFormat="0" applyFont="0" applyFill="0" applyAlignment="0" applyProtection="0"/>
    <xf numFmtId="176" fontId="29" fillId="15" borderId="300" applyBorder="0">
      <alignment horizontal="right"/>
    </xf>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18" fillId="0" borderId="302" applyNumberFormat="0" applyFill="0" applyAlignment="0" applyProtection="0"/>
    <xf numFmtId="193" fontId="66" fillId="23" borderId="280" applyFont="0">
      <alignment horizontal="right"/>
    </xf>
    <xf numFmtId="0" fontId="18" fillId="0" borderId="281" applyNumberFormat="0" applyFill="0" applyAlignment="0" applyProtection="0"/>
    <xf numFmtId="9" fontId="96" fillId="25" borderId="274" applyNumberFormat="0" applyFont="0" applyAlignment="0" applyProtection="0"/>
    <xf numFmtId="0" fontId="237" fillId="28" borderId="282" applyNumberFormat="0" applyAlignment="0" applyProtection="0"/>
    <xf numFmtId="4" fontId="137" fillId="0" borderId="274" applyFont="0" applyFill="0" applyBorder="0" applyAlignment="0" applyProtection="0"/>
    <xf numFmtId="8" fontId="138" fillId="0" borderId="283">
      <protection locked="0"/>
    </xf>
    <xf numFmtId="0" fontId="29" fillId="0" borderId="280" applyFont="0" applyFill="0" applyBorder="0" applyAlignment="0" applyProtection="0">
      <alignment horizontal="center"/>
    </xf>
    <xf numFmtId="259" fontId="37" fillId="25" borderId="274" applyNumberFormat="0" applyFont="0" applyAlignment="0"/>
    <xf numFmtId="0" fontId="51" fillId="0" borderId="280">
      <alignment horizontal="left" vertical="center"/>
    </xf>
    <xf numFmtId="0" fontId="244" fillId="4" borderId="282" applyNumberFormat="0" applyAlignment="0" applyProtection="0"/>
    <xf numFmtId="10" fontId="18" fillId="25" borderId="274" applyNumberFormat="0" applyBorder="0" applyAlignment="0" applyProtection="0"/>
    <xf numFmtId="169" fontId="137" fillId="0" borderId="274" applyNumberFormat="0" applyFill="0" applyAlignment="0" applyProtection="0"/>
    <xf numFmtId="0" fontId="18" fillId="2" borderId="284" applyNumberFormat="0" applyFont="0" applyAlignment="0" applyProtection="0"/>
    <xf numFmtId="0" fontId="247" fillId="28" borderId="285" applyNumberFormat="0" applyAlignment="0" applyProtection="0"/>
    <xf numFmtId="0" fontId="249" fillId="0" borderId="286" applyNumberFormat="0" applyFill="0" applyAlignment="0" applyProtection="0"/>
    <xf numFmtId="177" fontId="114" fillId="0" borderId="300" applyBorder="0"/>
    <xf numFmtId="0" fontId="18" fillId="0" borderId="302" applyNumberFormat="0" applyFill="0" applyAlignment="0" applyProtection="0"/>
    <xf numFmtId="0" fontId="247" fillId="28" borderId="307" applyNumberFormat="0" applyAlignment="0" applyProtection="0"/>
    <xf numFmtId="0" fontId="244" fillId="4" borderId="304" applyNumberFormat="0" applyAlignment="0" applyProtection="0"/>
    <xf numFmtId="0" fontId="18" fillId="2" borderId="306" applyNumberFormat="0" applyFont="0" applyAlignment="0" applyProtection="0"/>
    <xf numFmtId="0" fontId="249" fillId="0" borderId="308" applyNumberFormat="0" applyFill="0" applyAlignment="0" applyProtection="0"/>
    <xf numFmtId="0" fontId="247" fillId="28" borderId="307" applyNumberFormat="0" applyAlignment="0" applyProtection="0"/>
    <xf numFmtId="0" fontId="18" fillId="2" borderId="306" applyNumberFormat="0" applyFont="0" applyAlignment="0" applyProtection="0"/>
    <xf numFmtId="193" fontId="66" fillId="23" borderId="280" applyFont="0">
      <alignment horizontal="right"/>
    </xf>
    <xf numFmtId="0" fontId="18" fillId="0" borderId="281" applyNumberFormat="0" applyFill="0" applyAlignment="0" applyProtection="0"/>
    <xf numFmtId="10" fontId="18" fillId="25" borderId="274" applyNumberFormat="0" applyBorder="0" applyAlignment="0" applyProtection="0"/>
    <xf numFmtId="0" fontId="18" fillId="2" borderId="284" applyNumberFormat="0" applyFont="0" applyAlignment="0" applyProtection="0"/>
    <xf numFmtId="0" fontId="247" fillId="28" borderId="285" applyNumberFormat="0" applyAlignment="0" applyProtection="0"/>
    <xf numFmtId="177" fontId="114" fillId="0" borderId="287" applyBorder="0"/>
    <xf numFmtId="176" fontId="29" fillId="15" borderId="287" applyBorder="0">
      <alignment horizontal="right"/>
    </xf>
    <xf numFmtId="176" fontId="29" fillId="0" borderId="287" applyBorder="0">
      <alignment horizontal="right"/>
    </xf>
    <xf numFmtId="3" fontId="115" fillId="24" borderId="288" applyBorder="0">
      <protection locked="0"/>
    </xf>
    <xf numFmtId="37" fontId="89" fillId="0" borderId="287" applyNumberFormat="0" applyFont="0" applyFill="0" applyAlignment="0" applyProtection="0"/>
    <xf numFmtId="0" fontId="140" fillId="0" borderId="287" applyNumberFormat="0" applyBorder="0"/>
    <xf numFmtId="195" fontId="18" fillId="29" borderId="287" applyNumberFormat="0" applyFont="0" applyBorder="0" applyAlignment="0" applyProtection="0">
      <alignment horizontal="right"/>
    </xf>
    <xf numFmtId="195" fontId="18" fillId="29" borderId="287" applyNumberFormat="0" applyFont="0" applyBorder="0" applyAlignment="0" applyProtection="0">
      <alignment horizontal="right"/>
    </xf>
    <xf numFmtId="176" fontId="29" fillId="0" borderId="300" applyBorder="0">
      <alignment horizontal="right"/>
    </xf>
    <xf numFmtId="0" fontId="249" fillId="0" borderId="308" applyNumberFormat="0" applyFill="0" applyAlignment="0" applyProtection="0"/>
    <xf numFmtId="0" fontId="244" fillId="4" borderId="304" applyNumberFormat="0" applyAlignment="0" applyProtection="0"/>
    <xf numFmtId="0" fontId="237" fillId="28" borderId="304" applyNumberFormat="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99" fillId="0" borderId="289" applyNumberFormat="0" applyFill="0" applyAlignment="0" applyProtection="0"/>
    <xf numFmtId="0" fontId="81" fillId="0" borderId="271" applyNumberFormat="0" applyFill="0" applyProtection="0">
      <alignment horizontal="right"/>
    </xf>
    <xf numFmtId="0" fontId="99" fillId="0" borderId="299" applyNumberFormat="0" applyFill="0" applyAlignment="0" applyProtection="0"/>
    <xf numFmtId="195" fontId="18" fillId="29" borderId="297" applyNumberFormat="0" applyFont="0" applyBorder="0" applyAlignment="0" applyProtection="0">
      <alignment horizontal="right"/>
    </xf>
    <xf numFmtId="37" fontId="89" fillId="0" borderId="297" applyNumberFormat="0" applyFont="0" applyFill="0" applyAlignment="0" applyProtection="0"/>
    <xf numFmtId="8" fontId="138" fillId="0" borderId="293">
      <protection locked="0"/>
    </xf>
    <xf numFmtId="0" fontId="18" fillId="0" borderId="291" applyNumberFormat="0" applyFill="0" applyAlignment="0" applyProtection="0"/>
    <xf numFmtId="193" fontId="66" fillId="23" borderId="259" applyFont="0">
      <alignment horizontal="right"/>
    </xf>
    <xf numFmtId="0" fontId="18" fillId="0" borderId="251" applyNumberFormat="0" applyFill="0" applyAlignment="0" applyProtection="0"/>
    <xf numFmtId="9" fontId="96" fillId="25" borderId="290" applyNumberFormat="0" applyFont="0" applyAlignment="0" applyProtection="0"/>
    <xf numFmtId="4" fontId="137" fillId="0" borderId="290" applyFont="0" applyFill="0" applyBorder="0" applyAlignment="0" applyProtection="0"/>
    <xf numFmtId="0" fontId="29" fillId="0" borderId="259" applyFont="0" applyFill="0" applyBorder="0" applyAlignment="0" applyProtection="0">
      <alignment horizontal="center"/>
    </xf>
    <xf numFmtId="259" fontId="37" fillId="25" borderId="290" applyNumberFormat="0" applyFont="0" applyAlignment="0"/>
    <xf numFmtId="0" fontId="51" fillId="0" borderId="259">
      <alignment horizontal="left" vertical="center"/>
    </xf>
    <xf numFmtId="0" fontId="244" fillId="4" borderId="252" applyNumberFormat="0" applyAlignment="0" applyProtection="0"/>
    <xf numFmtId="10" fontId="18" fillId="25" borderId="290" applyNumberFormat="0" applyBorder="0" applyAlignment="0" applyProtection="0"/>
    <xf numFmtId="169" fontId="137" fillId="0" borderId="290" applyNumberFormat="0" applyFill="0" applyAlignment="0" applyProtection="0"/>
    <xf numFmtId="195" fontId="18" fillId="29" borderId="297" applyNumberFormat="0" applyFont="0" applyBorder="0" applyAlignment="0" applyProtection="0">
      <alignment horizontal="right"/>
    </xf>
    <xf numFmtId="3" fontId="115" fillId="24" borderId="298" applyBorder="0">
      <protection locked="0"/>
    </xf>
    <xf numFmtId="0" fontId="244" fillId="4" borderId="292" applyNumberFormat="0" applyAlignment="0" applyProtection="0"/>
    <xf numFmtId="193" fontId="66" fillId="23" borderId="259" applyFont="0">
      <alignment horizontal="right"/>
    </xf>
    <xf numFmtId="0" fontId="18" fillId="0" borderId="251" applyNumberFormat="0" applyFill="0" applyAlignment="0" applyProtection="0"/>
    <xf numFmtId="10" fontId="18" fillId="25" borderId="290" applyNumberFormat="0" applyBorder="0" applyAlignment="0" applyProtection="0"/>
    <xf numFmtId="0" fontId="247" fillId="28" borderId="285" applyNumberFormat="0" applyAlignment="0" applyProtection="0"/>
    <xf numFmtId="177" fontId="114" fillId="0" borderId="287" applyBorder="0"/>
    <xf numFmtId="176" fontId="29" fillId="15" borderId="287" applyBorder="0">
      <alignment horizontal="right"/>
    </xf>
    <xf numFmtId="176" fontId="29" fillId="0" borderId="287" applyBorder="0">
      <alignment horizontal="right"/>
    </xf>
    <xf numFmtId="3" fontId="115" fillId="24" borderId="288" applyBorder="0">
      <protection locked="0"/>
    </xf>
    <xf numFmtId="37" fontId="89" fillId="0" borderId="287" applyNumberFormat="0" applyFont="0" applyFill="0" applyAlignment="0" applyProtection="0"/>
    <xf numFmtId="0" fontId="140" fillId="0" borderId="287" applyNumberFormat="0" applyBorder="0"/>
    <xf numFmtId="195" fontId="18" fillId="29" borderId="287" applyNumberFormat="0" applyFont="0" applyBorder="0" applyAlignment="0" applyProtection="0">
      <alignment horizontal="right"/>
    </xf>
    <xf numFmtId="195" fontId="18" fillId="29" borderId="287" applyNumberFormat="0" applyFont="0" applyBorder="0" applyAlignment="0" applyProtection="0">
      <alignment horizontal="right"/>
    </xf>
    <xf numFmtId="0" fontId="140" fillId="0" borderId="297" applyNumberFormat="0" applyBorder="0"/>
    <xf numFmtId="176" fontId="29" fillId="0" borderId="297" applyBorder="0">
      <alignment horizontal="right"/>
    </xf>
    <xf numFmtId="176" fontId="29" fillId="15" borderId="297" applyBorder="0">
      <alignment horizontal="right"/>
    </xf>
    <xf numFmtId="177" fontId="114" fillId="0" borderId="297" applyBorder="0"/>
    <xf numFmtId="0" fontId="18" fillId="2" borderId="294" applyNumberFormat="0" applyFont="0" applyAlignment="0" applyProtection="0"/>
    <xf numFmtId="0" fontId="244" fillId="4" borderId="292" applyNumberFormat="0" applyAlignment="0" applyProtection="0"/>
    <xf numFmtId="0" fontId="18" fillId="0" borderId="291" applyNumberFormat="0" applyFill="0" applyAlignment="0" applyProtection="0"/>
    <xf numFmtId="0" fontId="247" fillId="28" borderId="295" applyNumberFormat="0" applyAlignment="0" applyProtection="0"/>
    <xf numFmtId="0" fontId="249" fillId="0" borderId="296" applyNumberFormat="0" applyFill="0" applyAlignment="0" applyProtection="0"/>
    <xf numFmtId="0" fontId="18" fillId="0" borderId="291" applyNumberFormat="0" applyFill="0" applyAlignment="0" applyProtection="0"/>
    <xf numFmtId="0" fontId="244" fillId="4" borderId="292" applyNumberFormat="0" applyAlignment="0" applyProtection="0"/>
    <xf numFmtId="0" fontId="244" fillId="4" borderId="292" applyNumberFormat="0" applyAlignment="0" applyProtection="0"/>
    <xf numFmtId="0" fontId="237" fillId="28" borderId="292" applyNumberFormat="0" applyAlignment="0" applyProtection="0"/>
    <xf numFmtId="0" fontId="18" fillId="2" borderId="294" applyNumberFormat="0" applyFont="0" applyAlignment="0" applyProtection="0"/>
    <xf numFmtId="0" fontId="18" fillId="0" borderId="291" applyNumberFormat="0" applyFill="0" applyAlignment="0" applyProtection="0"/>
    <xf numFmtId="0" fontId="99" fillId="0" borderId="28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193" fontId="66" fillId="23" borderId="259" applyFont="0">
      <alignment horizontal="right"/>
    </xf>
    <xf numFmtId="3" fontId="115" fillId="24" borderId="301" applyBorder="0">
      <protection locked="0"/>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9" fillId="0" borderId="259" applyFont="0" applyFill="0" applyBorder="0" applyAlignment="0" applyProtection="0">
      <alignment horizontal="center"/>
    </xf>
    <xf numFmtId="0" fontId="51" fillId="0" borderId="259">
      <alignment horizontal="left" vertical="center"/>
    </xf>
    <xf numFmtId="0" fontId="244" fillId="4" borderId="252" applyNumberFormat="0" applyAlignment="0" applyProtection="0"/>
    <xf numFmtId="193" fontId="66" fillId="23" borderId="259" applyFont="0">
      <alignment horizontal="right"/>
    </xf>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284" applyNumberFormat="0" applyFont="0" applyAlignment="0" applyProtection="0"/>
    <xf numFmtId="0" fontId="244" fillId="4" borderId="282" applyNumberFormat="0" applyAlignment="0" applyProtection="0"/>
    <xf numFmtId="8" fontId="138" fillId="0" borderId="283">
      <protection locked="0"/>
    </xf>
    <xf numFmtId="0" fontId="237" fillId="28" borderId="282" applyNumberFormat="0" applyAlignment="0" applyProtection="0"/>
    <xf numFmtId="0" fontId="244" fillId="4" borderId="282" applyNumberFormat="0" applyAlignment="0" applyProtection="0"/>
    <xf numFmtId="0" fontId="244" fillId="4" borderId="282" applyNumberFormat="0" applyAlignment="0" applyProtection="0"/>
    <xf numFmtId="0" fontId="18" fillId="0" borderId="281" applyNumberFormat="0" applyFill="0" applyAlignment="0" applyProtection="0"/>
    <xf numFmtId="0" fontId="249" fillId="0" borderId="286" applyNumberFormat="0" applyFill="0" applyAlignment="0" applyProtection="0"/>
    <xf numFmtId="0" fontId="247" fillId="28" borderId="285" applyNumberFormat="0" applyAlignment="0" applyProtection="0"/>
    <xf numFmtId="0" fontId="18" fillId="0" borderId="281" applyNumberFormat="0" applyFill="0" applyAlignment="0" applyProtection="0"/>
    <xf numFmtId="0" fontId="244" fillId="4" borderId="282" applyNumberFormat="0" applyAlignment="0" applyProtection="0"/>
    <xf numFmtId="0" fontId="18" fillId="2" borderId="284" applyNumberFormat="0" applyFont="0" applyAlignment="0" applyProtection="0"/>
    <xf numFmtId="177" fontId="114" fillId="0" borderId="271" applyBorder="0"/>
    <xf numFmtId="176" fontId="29" fillId="15" borderId="271" applyBorder="0">
      <alignment horizontal="right"/>
    </xf>
    <xf numFmtId="176" fontId="29" fillId="0" borderId="271" applyBorder="0">
      <alignment horizontal="right"/>
    </xf>
    <xf numFmtId="3" fontId="115" fillId="24" borderId="272" applyBorder="0">
      <protection locked="0"/>
    </xf>
    <xf numFmtId="37" fontId="89" fillId="0" borderId="271" applyNumberFormat="0" applyFont="0" applyFill="0" applyAlignment="0" applyProtection="0"/>
    <xf numFmtId="0" fontId="140" fillId="0" borderId="271" applyNumberFormat="0" applyBorder="0"/>
    <xf numFmtId="195" fontId="18" fillId="29" borderId="271" applyNumberFormat="0" applyFont="0" applyBorder="0" applyAlignment="0" applyProtection="0">
      <alignment horizontal="right"/>
    </xf>
    <xf numFmtId="195" fontId="18" fillId="29" borderId="271"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271" applyNumberFormat="0" applyFont="0" applyBorder="0" applyAlignment="0" applyProtection="0">
      <alignment horizontal="right"/>
    </xf>
    <xf numFmtId="37" fontId="89" fillId="0" borderId="271" applyNumberFormat="0" applyFont="0" applyFill="0" applyAlignment="0" applyProtection="0"/>
    <xf numFmtId="8" fontId="138" fillId="0" borderId="283">
      <protection locked="0"/>
    </xf>
    <xf numFmtId="10" fontId="18" fillId="25" borderId="274" applyNumberFormat="0" applyBorder="0" applyAlignment="0" applyProtection="0"/>
    <xf numFmtId="169" fontId="137" fillId="0" borderId="274" applyNumberFormat="0" applyFill="0" applyAlignment="0" applyProtection="0"/>
    <xf numFmtId="0" fontId="244" fillId="4" borderId="282" applyNumberFormat="0" applyAlignment="0" applyProtection="0"/>
    <xf numFmtId="259" fontId="37" fillId="25" borderId="274" applyNumberFormat="0" applyFont="0" applyAlignment="0"/>
    <xf numFmtId="0" fontId="18" fillId="0" borderId="281" applyNumberFormat="0" applyFill="0" applyAlignment="0" applyProtection="0"/>
    <xf numFmtId="193" fontId="66" fillId="23" borderId="280" applyFont="0">
      <alignment horizontal="right"/>
    </xf>
    <xf numFmtId="193" fontId="66" fillId="23" borderId="280" applyFont="0">
      <alignment horizontal="right"/>
    </xf>
    <xf numFmtId="0" fontId="18" fillId="0" borderId="281"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282"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271" applyNumberFormat="0" applyFont="0" applyBorder="0" applyAlignment="0" applyProtection="0">
      <alignment horizontal="right"/>
    </xf>
    <xf numFmtId="3" fontId="115" fillId="24" borderId="272" applyBorder="0">
      <protection locked="0"/>
    </xf>
    <xf numFmtId="0" fontId="244" fillId="4" borderId="282" applyNumberFormat="0" applyAlignment="0" applyProtection="0"/>
    <xf numFmtId="10" fontId="18" fillId="25" borderId="274" applyNumberFormat="0" applyBorder="0" applyAlignment="0" applyProtection="0"/>
    <xf numFmtId="0" fontId="51" fillId="0" borderId="280">
      <alignment horizontal="left" vertical="center"/>
    </xf>
    <xf numFmtId="0" fontId="29" fillId="0" borderId="280" applyFont="0" applyFill="0" applyBorder="0" applyAlignment="0" applyProtection="0">
      <alignment horizontal="center"/>
    </xf>
    <xf numFmtId="4" fontId="137" fillId="0" borderId="274" applyFont="0" applyFill="0" applyBorder="0" applyAlignment="0" applyProtection="0"/>
    <xf numFmtId="9" fontId="96" fillId="25" borderId="274" applyNumberFormat="0" applyFont="0" applyAlignment="0" applyProtection="0"/>
    <xf numFmtId="193" fontId="66" fillId="23" borderId="280" applyFont="0">
      <alignment horizontal="right"/>
    </xf>
    <xf numFmtId="0" fontId="18" fillId="0" borderId="281" applyNumberFormat="0" applyFill="0" applyAlignment="0" applyProtection="0"/>
    <xf numFmtId="10" fontId="18" fillId="25" borderId="303" applyNumberFormat="0" applyBorder="0" applyAlignment="0" applyProtection="0"/>
    <xf numFmtId="0" fontId="18" fillId="2" borderId="284" applyNumberFormat="0" applyFont="0" applyAlignment="0" applyProtection="0"/>
    <xf numFmtId="0" fontId="244" fillId="4" borderId="282" applyNumberFormat="0" applyAlignment="0" applyProtection="0"/>
    <xf numFmtId="8" fontId="138" fillId="0" borderId="283">
      <protection locked="0"/>
    </xf>
    <xf numFmtId="0" fontId="237" fillId="28" borderId="282" applyNumberFormat="0" applyAlignment="0" applyProtection="0"/>
    <xf numFmtId="0" fontId="244" fillId="4" borderId="282" applyNumberFormat="0" applyAlignment="0" applyProtection="0"/>
    <xf numFmtId="0" fontId="244" fillId="4" borderId="282" applyNumberFormat="0" applyAlignment="0" applyProtection="0"/>
    <xf numFmtId="0" fontId="18" fillId="0" borderId="281" applyNumberFormat="0" applyFill="0" applyAlignment="0" applyProtection="0"/>
    <xf numFmtId="0" fontId="249" fillId="0" borderId="286" applyNumberFormat="0" applyFill="0" applyAlignment="0" applyProtection="0"/>
    <xf numFmtId="0" fontId="247" fillId="28" borderId="285" applyNumberFormat="0" applyAlignment="0" applyProtection="0"/>
    <xf numFmtId="0" fontId="18" fillId="0" borderId="281" applyNumberFormat="0" applyFill="0" applyAlignment="0" applyProtection="0"/>
    <xf numFmtId="0" fontId="244" fillId="4" borderId="282" applyNumberFormat="0" applyAlignment="0" applyProtection="0"/>
    <xf numFmtId="0" fontId="18" fillId="2" borderId="284" applyNumberFormat="0" applyFont="0" applyAlignment="0" applyProtection="0"/>
    <xf numFmtId="177" fontId="114" fillId="0" borderId="271" applyBorder="0"/>
    <xf numFmtId="176" fontId="29" fillId="15" borderId="271" applyBorder="0">
      <alignment horizontal="right"/>
    </xf>
    <xf numFmtId="176" fontId="29" fillId="0" borderId="271" applyBorder="0">
      <alignment horizontal="right"/>
    </xf>
    <xf numFmtId="3" fontId="115" fillId="24" borderId="272" applyBorder="0">
      <protection locked="0"/>
    </xf>
    <xf numFmtId="37" fontId="89" fillId="0" borderId="271" applyNumberFormat="0" applyFont="0" applyFill="0" applyAlignment="0" applyProtection="0"/>
    <xf numFmtId="0" fontId="140" fillId="0" borderId="271" applyNumberFormat="0" applyBorder="0"/>
    <xf numFmtId="195" fontId="18" fillId="29" borderId="271" applyNumberFormat="0" applyFont="0" applyBorder="0" applyAlignment="0" applyProtection="0">
      <alignment horizontal="right"/>
    </xf>
    <xf numFmtId="195" fontId="18" fillId="29" borderId="271" applyNumberFormat="0" applyFont="0" applyBorder="0" applyAlignment="0" applyProtection="0">
      <alignment horizontal="right"/>
    </xf>
    <xf numFmtId="0" fontId="140" fillId="0" borderId="271" applyNumberFormat="0" applyBorder="0"/>
    <xf numFmtId="176" fontId="29" fillId="0" borderId="271" applyBorder="0">
      <alignment horizontal="right"/>
    </xf>
    <xf numFmtId="176" fontId="29" fillId="15" borderId="271" applyBorder="0">
      <alignment horizontal="right"/>
    </xf>
    <xf numFmtId="177" fontId="114" fillId="0" borderId="271" applyBorder="0"/>
    <xf numFmtId="0" fontId="18" fillId="2" borderId="284" applyNumberFormat="0" applyFont="0" applyAlignment="0" applyProtection="0"/>
    <xf numFmtId="0" fontId="244" fillId="4" borderId="282" applyNumberFormat="0" applyAlignment="0" applyProtection="0"/>
    <xf numFmtId="0" fontId="18" fillId="0" borderId="281" applyNumberFormat="0" applyFill="0" applyAlignment="0" applyProtection="0"/>
    <xf numFmtId="0" fontId="247" fillId="28" borderId="285" applyNumberFormat="0" applyAlignment="0" applyProtection="0"/>
    <xf numFmtId="0" fontId="249" fillId="0" borderId="286" applyNumberFormat="0" applyFill="0" applyAlignment="0" applyProtection="0"/>
    <xf numFmtId="0" fontId="18" fillId="0" borderId="281" applyNumberFormat="0" applyFill="0" applyAlignment="0" applyProtection="0"/>
    <xf numFmtId="0" fontId="244" fillId="4" borderId="282" applyNumberFormat="0" applyAlignment="0" applyProtection="0"/>
    <xf numFmtId="0" fontId="244" fillId="4" borderId="282" applyNumberFormat="0" applyAlignment="0" applyProtection="0"/>
    <xf numFmtId="0" fontId="237" fillId="28" borderId="282" applyNumberFormat="0" applyAlignment="0" applyProtection="0"/>
    <xf numFmtId="0" fontId="18" fillId="2" borderId="284" applyNumberFormat="0" applyFont="0" applyAlignment="0" applyProtection="0"/>
    <xf numFmtId="0" fontId="18" fillId="0" borderId="281" applyNumberFormat="0" applyFill="0" applyAlignment="0" applyProtection="0"/>
    <xf numFmtId="193" fontId="66" fillId="23" borderId="280" applyFont="0">
      <alignment horizontal="right"/>
    </xf>
    <xf numFmtId="0" fontId="99" fillId="0" borderId="299" applyNumberFormat="0" applyFill="0" applyAlignment="0" applyProtection="0"/>
    <xf numFmtId="39" fontId="33" fillId="0" borderId="280" applyNumberFormat="0" applyBorder="0">
      <alignment horizontal="right"/>
    </xf>
    <xf numFmtId="1" fontId="85" fillId="0" borderId="28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290" applyNumberFormat="0" applyBorder="0" applyAlignment="0" applyProtection="0"/>
    <xf numFmtId="169" fontId="137" fillId="0" borderId="290" applyNumberFormat="0" applyFill="0" applyAlignment="0" applyProtection="0"/>
    <xf numFmtId="0" fontId="244" fillId="4" borderId="304" applyNumberFormat="0" applyAlignment="0" applyProtection="0"/>
    <xf numFmtId="259" fontId="37" fillId="25" borderId="290"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290" applyNumberFormat="0" applyFont="0" applyAlignment="0" applyProtection="0"/>
    <xf numFmtId="4" fontId="137" fillId="0" borderId="290" applyFont="0" applyFill="0" applyBorder="0" applyAlignment="0" applyProtection="0"/>
    <xf numFmtId="259" fontId="37" fillId="25" borderId="290" applyNumberFormat="0" applyFont="0" applyAlignment="0"/>
    <xf numFmtId="10" fontId="18" fillId="25" borderId="290" applyNumberFormat="0" applyBorder="0" applyAlignment="0" applyProtection="0"/>
    <xf numFmtId="169" fontId="137" fillId="0" borderId="290"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290" applyNumberFormat="0" applyBorder="0" applyAlignment="0" applyProtection="0"/>
    <xf numFmtId="4" fontId="137" fillId="0" borderId="290" applyFont="0" applyFill="0" applyBorder="0" applyAlignment="0" applyProtection="0"/>
    <xf numFmtId="9" fontId="96" fillId="25" borderId="290" applyNumberFormat="0" applyFont="0" applyAlignment="0" applyProtection="0"/>
    <xf numFmtId="0" fontId="18" fillId="0" borderId="302" applyNumberFormat="0" applyFill="0" applyAlignment="0" applyProtection="0"/>
    <xf numFmtId="10" fontId="18" fillId="25" borderId="290"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39" fontId="33" fillId="0" borderId="259" applyNumberFormat="0" applyBorder="0">
      <alignment horizontal="right"/>
    </xf>
    <xf numFmtId="1" fontId="85" fillId="0" borderId="259"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250" applyNumberFormat="0" applyBorder="0" applyAlignment="0" applyProtection="0"/>
    <xf numFmtId="169" fontId="137" fillId="0" borderId="250" applyNumberFormat="0" applyFill="0" applyAlignment="0" applyProtection="0"/>
    <xf numFmtId="0" fontId="244" fillId="4" borderId="304" applyNumberFormat="0" applyAlignment="0" applyProtection="0"/>
    <xf numFmtId="259" fontId="37" fillId="25" borderId="250" applyNumberFormat="0" applyFont="0" applyAlignment="0"/>
    <xf numFmtId="0" fontId="18" fillId="0" borderId="302" applyNumberFormat="0" applyFill="0" applyAlignment="0" applyProtection="0"/>
    <xf numFmtId="193" fontId="66" fillId="23" borderId="259" applyFont="0">
      <alignment horizontal="right"/>
    </xf>
    <xf numFmtId="193" fontId="66" fillId="23" borderId="259" applyFont="0">
      <alignment horizontal="right"/>
    </xf>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259" applyFont="0" applyFill="0" applyBorder="0" applyAlignment="0" applyProtection="0">
      <alignment horizontal="center"/>
    </xf>
    <xf numFmtId="259" fontId="37" fillId="25" borderId="303" applyNumberFormat="0" applyFont="0" applyAlignment="0"/>
    <xf numFmtId="0" fontId="51" fillId="0" borderId="259">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250" applyNumberFormat="0" applyBorder="0" applyAlignment="0" applyProtection="0"/>
    <xf numFmtId="0" fontId="51" fillId="0" borderId="259">
      <alignment horizontal="left" vertical="center"/>
    </xf>
    <xf numFmtId="0" fontId="29" fillId="0" borderId="259" applyFont="0" applyFill="0" applyBorder="0" applyAlignment="0" applyProtection="0">
      <alignment horizontal="center"/>
    </xf>
    <xf numFmtId="4" fontId="137" fillId="0" borderId="250" applyFont="0" applyFill="0" applyBorder="0" applyAlignment="0" applyProtection="0"/>
    <xf numFmtId="9" fontId="96" fillId="25" borderId="250" applyNumberFormat="0" applyFont="0" applyAlignment="0" applyProtection="0"/>
    <xf numFmtId="193" fontId="66" fillId="23" borderId="259" applyFont="0">
      <alignment horizontal="right"/>
    </xf>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193" fontId="66" fillId="23" borderId="259" applyFont="0">
      <alignment horizontal="right"/>
    </xf>
    <xf numFmtId="0" fontId="99" fillId="0" borderId="299" applyNumberFormat="0" applyFill="0" applyAlignment="0" applyProtection="0"/>
    <xf numFmtId="39" fontId="33" fillId="0" borderId="259" applyNumberFormat="0" applyBorder="0">
      <alignment horizontal="right"/>
    </xf>
    <xf numFmtId="1" fontId="85" fillId="0" borderId="259" applyFill="0" applyProtection="0">
      <alignment horizontal="right"/>
    </xf>
    <xf numFmtId="39" fontId="33" fillId="0" borderId="259" applyNumberFormat="0" applyBorder="0">
      <alignment horizontal="right"/>
    </xf>
    <xf numFmtId="1" fontId="85" fillId="0" borderId="259"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0" fontId="81" fillId="0" borderId="300" applyNumberFormat="0" applyFill="0" applyProtection="0">
      <alignment horizontal="right"/>
    </xf>
    <xf numFmtId="0" fontId="140" fillId="0" borderId="300" applyNumberFormat="0" applyBorder="0"/>
    <xf numFmtId="0" fontId="99" fillId="0" borderId="299" applyNumberFormat="0" applyFill="0" applyAlignment="0" applyProtection="0"/>
    <xf numFmtId="37" fontId="89" fillId="0" borderId="300" applyNumberFormat="0" applyFon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195" fontId="18" fillId="29" borderId="300" applyNumberFormat="0" applyFont="0" applyBorder="0" applyAlignment="0" applyProtection="0">
      <alignment horizontal="right"/>
    </xf>
    <xf numFmtId="193" fontId="66" fillId="23" borderId="280" applyFont="0">
      <alignment horizontal="right"/>
    </xf>
    <xf numFmtId="0" fontId="99" fillId="0" borderId="299" applyNumberFormat="0" applyFill="0" applyAlignment="0" applyProtection="0"/>
    <xf numFmtId="4" fontId="137" fillId="0" borderId="303" applyFont="0" applyFill="0" applyBorder="0" applyAlignment="0" applyProtection="0"/>
    <xf numFmtId="10" fontId="18" fillId="25" borderId="303" applyNumberFormat="0" applyBorder="0" applyAlignment="0" applyProtection="0"/>
    <xf numFmtId="0" fontId="99" fillId="0" borderId="299" applyNumberFormat="0" applyFill="0" applyAlignment="0" applyProtection="0"/>
    <xf numFmtId="3" fontId="115" fillId="24" borderId="301" applyBorder="0">
      <protection locked="0"/>
    </xf>
    <xf numFmtId="259" fontId="37" fillId="25" borderId="303" applyNumberFormat="0" applyFont="0" applyAlignment="0"/>
    <xf numFmtId="0" fontId="51" fillId="0" borderId="280">
      <alignment horizontal="left" vertical="center"/>
    </xf>
    <xf numFmtId="193" fontId="66" fillId="23" borderId="309" applyFont="0">
      <alignment horizontal="right"/>
    </xf>
    <xf numFmtId="0" fontId="18" fillId="0" borderId="310" applyNumberFormat="0" applyFill="0" applyAlignment="0" applyProtection="0"/>
    <xf numFmtId="0" fontId="237" fillId="28" borderId="311" applyNumberFormat="0" applyAlignment="0" applyProtection="0"/>
    <xf numFmtId="8" fontId="138" fillId="0" borderId="312">
      <protection locked="0"/>
    </xf>
    <xf numFmtId="0" fontId="29" fillId="0" borderId="309" applyFont="0" applyFill="0" applyBorder="0" applyAlignment="0" applyProtection="0">
      <alignment horizontal="center"/>
    </xf>
    <xf numFmtId="0" fontId="51" fillId="0" borderId="309">
      <alignment horizontal="left" vertical="center"/>
    </xf>
    <xf numFmtId="0" fontId="244" fillId="4" borderId="311" applyNumberFormat="0" applyAlignment="0" applyProtection="0"/>
    <xf numFmtId="0" fontId="18" fillId="2" borderId="313" applyNumberFormat="0" applyFont="0" applyAlignment="0" applyProtection="0"/>
    <xf numFmtId="0" fontId="247" fillId="28" borderId="314" applyNumberFormat="0" applyAlignment="0" applyProtection="0"/>
    <xf numFmtId="259" fontId="37" fillId="25" borderId="303" applyNumberFormat="0" applyFont="0" applyAlignment="0"/>
    <xf numFmtId="10" fontId="18" fillId="25" borderId="303" applyNumberFormat="0" applyBorder="0" applyAlignment="0" applyProtection="0"/>
    <xf numFmtId="0" fontId="18" fillId="0" borderId="302" applyNumberFormat="0" applyFill="0" applyAlignment="0" applyProtection="0"/>
    <xf numFmtId="3" fontId="115" fillId="24" borderId="301" applyBorder="0">
      <protection locked="0"/>
    </xf>
    <xf numFmtId="0" fontId="249" fillId="0" borderId="315" applyNumberFormat="0" applyFill="0" applyAlignment="0" applyProtection="0"/>
    <xf numFmtId="8" fontId="138" fillId="0" borderId="305">
      <protection locked="0"/>
    </xf>
    <xf numFmtId="0" fontId="99" fillId="0" borderId="299" applyNumberFormat="0" applyFill="0" applyAlignment="0" applyProtection="0"/>
    <xf numFmtId="3" fontId="115" fillId="24" borderId="301" applyBorder="0">
      <protection locked="0"/>
    </xf>
    <xf numFmtId="10" fontId="18" fillId="25" borderId="303" applyNumberFormat="0" applyBorder="0" applyAlignment="0" applyProtection="0"/>
    <xf numFmtId="0" fontId="140" fillId="0" borderId="300" applyNumberFormat="0" applyBorder="0"/>
    <xf numFmtId="195" fontId="18" fillId="29" borderId="300" applyNumberFormat="0" applyFont="0" applyBorder="0" applyAlignment="0" applyProtection="0">
      <alignment horizontal="right"/>
    </xf>
    <xf numFmtId="0" fontId="99" fillId="0" borderId="299" applyNumberFormat="0" applyFill="0" applyAlignment="0" applyProtection="0"/>
    <xf numFmtId="9" fontId="96" fillId="25" borderId="303" applyNumberFormat="0" applyFont="0" applyAlignment="0" applyProtection="0"/>
    <xf numFmtId="177" fontId="114" fillId="0" borderId="300" applyBorder="0"/>
    <xf numFmtId="195" fontId="18" fillId="29" borderId="300" applyNumberFormat="0" applyFont="0" applyBorder="0" applyAlignment="0" applyProtection="0">
      <alignment horizontal="right"/>
    </xf>
    <xf numFmtId="4" fontId="137" fillId="0" borderId="303" applyFont="0" applyFill="0" applyBorder="0" applyAlignment="0" applyProtection="0"/>
    <xf numFmtId="10" fontId="18" fillId="25" borderId="303" applyNumberFormat="0" applyBorder="0" applyAlignment="0" applyProtection="0"/>
    <xf numFmtId="176" fontId="29" fillId="0" borderId="300" applyBorder="0">
      <alignment horizontal="right"/>
    </xf>
    <xf numFmtId="0" fontId="244" fillId="4" borderId="304" applyNumberFormat="0" applyAlignment="0" applyProtection="0"/>
    <xf numFmtId="0" fontId="29" fillId="0" borderId="280" applyFont="0" applyFill="0" applyBorder="0" applyAlignment="0" applyProtection="0">
      <alignment horizontal="center"/>
    </xf>
    <xf numFmtId="193" fontId="66" fillId="23" borderId="309" applyFont="0">
      <alignment horizontal="right"/>
    </xf>
    <xf numFmtId="0" fontId="18" fillId="0" borderId="310" applyNumberFormat="0" applyFill="0" applyAlignment="0" applyProtection="0"/>
    <xf numFmtId="169" fontId="137" fillId="0" borderId="303" applyNumberFormat="0" applyFill="0" applyAlignment="0" applyProtection="0"/>
    <xf numFmtId="0" fontId="18" fillId="2" borderId="313" applyNumberFormat="0" applyFont="0" applyAlignment="0" applyProtection="0"/>
    <xf numFmtId="0" fontId="18" fillId="2" borderId="313" applyNumberFormat="0" applyFont="0" applyAlignment="0" applyProtection="0"/>
    <xf numFmtId="0" fontId="249" fillId="0" borderId="315" applyNumberFormat="0" applyFill="0" applyAlignment="0" applyProtection="0"/>
    <xf numFmtId="0" fontId="247" fillId="28" borderId="314" applyNumberFormat="0" applyAlignment="0" applyProtection="0"/>
    <xf numFmtId="0" fontId="18" fillId="2" borderId="313" applyNumberFormat="0" applyFont="0" applyAlignment="0" applyProtection="0"/>
    <xf numFmtId="177" fontId="114" fillId="0" borderId="316" applyBorder="0"/>
    <xf numFmtId="176" fontId="29" fillId="15" borderId="316" applyBorder="0">
      <alignment horizontal="right"/>
    </xf>
    <xf numFmtId="176" fontId="29" fillId="0" borderId="316" applyBorder="0">
      <alignment horizontal="right"/>
    </xf>
    <xf numFmtId="3" fontId="115" fillId="24" borderId="317" applyBorder="0">
      <protection locked="0"/>
    </xf>
    <xf numFmtId="37" fontId="89" fillId="0" borderId="316" applyNumberFormat="0" applyFont="0" applyFill="0" applyAlignment="0" applyProtection="0"/>
    <xf numFmtId="0" fontId="140" fillId="0" borderId="316" applyNumberFormat="0" applyBorder="0"/>
    <xf numFmtId="195" fontId="18" fillId="29" borderId="316" applyNumberFormat="0" applyFont="0" applyBorder="0" applyAlignment="0" applyProtection="0">
      <alignment horizontal="right"/>
    </xf>
    <xf numFmtId="195" fontId="18" fillId="29" borderId="316" applyNumberFormat="0" applyFont="0" applyBorder="0" applyAlignment="0" applyProtection="0">
      <alignment horizontal="right"/>
    </xf>
    <xf numFmtId="0" fontId="18" fillId="0" borderId="302" applyNumberFormat="0" applyFill="0" applyAlignment="0" applyProtection="0"/>
    <xf numFmtId="176" fontId="29" fillId="0" borderId="300" applyBorder="0">
      <alignment horizontal="right"/>
    </xf>
    <xf numFmtId="195" fontId="18" fillId="29" borderId="300" applyNumberFormat="0" applyFont="0" applyBorder="0" applyAlignment="0" applyProtection="0">
      <alignment horizontal="right"/>
    </xf>
    <xf numFmtId="177" fontId="114" fillId="0" borderId="300" applyBorder="0"/>
    <xf numFmtId="176" fontId="29" fillId="15" borderId="300" applyBorder="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81" fillId="0" borderId="297" applyNumberFormat="0" applyFill="0" applyProtection="0">
      <alignment horizontal="right"/>
    </xf>
    <xf numFmtId="0" fontId="99" fillId="0" borderId="299" applyNumberFormat="0" applyFill="0" applyAlignment="0" applyProtection="0"/>
    <xf numFmtId="9" fontId="96" fillId="25" borderId="303" applyNumberFormat="0" applyFont="0" applyAlignment="0" applyProtection="0"/>
    <xf numFmtId="169" fontId="137" fillId="0" borderId="303" applyNumberFormat="0" applyFill="0" applyAlignment="0" applyProtection="0"/>
    <xf numFmtId="0" fontId="99" fillId="0" borderId="299"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275"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0" fontId="18" fillId="2" borderId="313" applyNumberFormat="0" applyFont="0" applyAlignment="0" applyProtection="0"/>
    <xf numFmtId="0" fontId="249" fillId="0" borderId="315" applyNumberFormat="0" applyFill="0" applyAlignment="0" applyProtection="0"/>
    <xf numFmtId="0" fontId="247" fillId="28" borderId="314" applyNumberFormat="0" applyAlignment="0" applyProtection="0"/>
    <xf numFmtId="0" fontId="18" fillId="2" borderId="313" applyNumberFormat="0" applyFont="0" applyAlignment="0" applyProtection="0"/>
    <xf numFmtId="177" fontId="114" fillId="0" borderId="316" applyBorder="0"/>
    <xf numFmtId="176" fontId="29" fillId="15" borderId="316" applyBorder="0">
      <alignment horizontal="right"/>
    </xf>
    <xf numFmtId="176" fontId="29" fillId="0" borderId="316" applyBorder="0">
      <alignment horizontal="right"/>
    </xf>
    <xf numFmtId="3" fontId="115" fillId="24" borderId="317" applyBorder="0">
      <protection locked="0"/>
    </xf>
    <xf numFmtId="37" fontId="89" fillId="0" borderId="316" applyNumberFormat="0" applyFont="0" applyFill="0" applyAlignment="0" applyProtection="0"/>
    <xf numFmtId="0" fontId="140" fillId="0" borderId="316" applyNumberFormat="0" applyBorder="0"/>
    <xf numFmtId="195" fontId="18" fillId="29" borderId="316" applyNumberFormat="0" applyFont="0" applyBorder="0" applyAlignment="0" applyProtection="0">
      <alignment horizontal="right"/>
    </xf>
    <xf numFmtId="195" fontId="18" fillId="29" borderId="316"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37" fontId="89" fillId="0" borderId="300" applyNumberFormat="0" applyFon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275"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13" applyNumberFormat="0" applyFont="0" applyAlignment="0" applyProtection="0"/>
    <xf numFmtId="0" fontId="244" fillId="4" borderId="311" applyNumberFormat="0" applyAlignment="0" applyProtection="0"/>
    <xf numFmtId="8" fontId="138" fillId="0" borderId="312">
      <protection locked="0"/>
    </xf>
    <xf numFmtId="0" fontId="237" fillId="28" borderId="311" applyNumberFormat="0" applyAlignment="0" applyProtection="0"/>
    <xf numFmtId="0" fontId="244" fillId="4" borderId="311" applyNumberFormat="0" applyAlignment="0" applyProtection="0"/>
    <xf numFmtId="0" fontId="244" fillId="4" borderId="311" applyNumberFormat="0" applyAlignment="0" applyProtection="0"/>
    <xf numFmtId="0" fontId="18" fillId="0" borderId="310" applyNumberFormat="0" applyFill="0" applyAlignment="0" applyProtection="0"/>
    <xf numFmtId="0" fontId="249" fillId="0" borderId="315" applyNumberFormat="0" applyFill="0" applyAlignment="0" applyProtection="0"/>
    <xf numFmtId="0" fontId="247" fillId="28" borderId="314" applyNumberFormat="0" applyAlignment="0" applyProtection="0"/>
    <xf numFmtId="0" fontId="18" fillId="0" borderId="310" applyNumberFormat="0" applyFill="0" applyAlignment="0" applyProtection="0"/>
    <xf numFmtId="0" fontId="244" fillId="4" borderId="311" applyNumberFormat="0" applyAlignment="0" applyProtection="0"/>
    <xf numFmtId="0" fontId="18" fillId="2" borderId="313" applyNumberFormat="0" applyFont="0" applyAlignment="0" applyProtection="0"/>
    <xf numFmtId="177" fontId="114" fillId="0" borderId="297" applyBorder="0"/>
    <xf numFmtId="176" fontId="29" fillId="15" borderId="297" applyBorder="0">
      <alignment horizontal="right"/>
    </xf>
    <xf numFmtId="176" fontId="29" fillId="0" borderId="297" applyBorder="0">
      <alignment horizontal="right"/>
    </xf>
    <xf numFmtId="3" fontId="115" fillId="24" borderId="298" applyBorder="0">
      <protection locked="0"/>
    </xf>
    <xf numFmtId="37" fontId="89" fillId="0" borderId="297" applyNumberFormat="0" applyFont="0" applyFill="0" applyAlignment="0" applyProtection="0"/>
    <xf numFmtId="0" fontId="140" fillId="0" borderId="297" applyNumberFormat="0" applyBorder="0"/>
    <xf numFmtId="195" fontId="18" fillId="29" borderId="297" applyNumberFormat="0" applyFont="0" applyBorder="0" applyAlignment="0" applyProtection="0">
      <alignment horizontal="right"/>
    </xf>
    <xf numFmtId="195" fontId="18" fillId="29" borderId="297"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39" fontId="33" fillId="0" borderId="309" applyNumberFormat="0" applyBorder="0">
      <alignment horizontal="right"/>
    </xf>
    <xf numFmtId="1" fontId="85" fillId="0" borderId="309" applyFill="0" applyProtection="0">
      <alignment horizontal="right"/>
    </xf>
    <xf numFmtId="0" fontId="99" fillId="0" borderId="299" applyNumberFormat="0" applyFill="0" applyAlignment="0" applyProtection="0"/>
    <xf numFmtId="195" fontId="18" fillId="29" borderId="297" applyNumberFormat="0" applyFont="0" applyBorder="0" applyAlignment="0" applyProtection="0">
      <alignment horizontal="right"/>
    </xf>
    <xf numFmtId="37" fontId="89" fillId="0" borderId="297" applyNumberFormat="0" applyFont="0" applyFill="0" applyAlignment="0" applyProtection="0"/>
    <xf numFmtId="8" fontId="138" fillId="0" borderId="312">
      <protection locked="0"/>
    </xf>
    <xf numFmtId="0" fontId="244" fillId="4" borderId="311" applyNumberFormat="0" applyAlignment="0" applyProtection="0"/>
    <xf numFmtId="0" fontId="18" fillId="0" borderId="310" applyNumberFormat="0" applyFill="0" applyAlignment="0" applyProtection="0"/>
    <xf numFmtId="193" fontId="66" fillId="23" borderId="309" applyFont="0">
      <alignment horizontal="right"/>
    </xf>
    <xf numFmtId="193" fontId="66" fillId="23" borderId="309" applyFont="0">
      <alignment horizontal="right"/>
    </xf>
    <xf numFmtId="0" fontId="18" fillId="0" borderId="310"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309" applyFont="0" applyFill="0" applyBorder="0" applyAlignment="0" applyProtection="0">
      <alignment horizontal="center"/>
    </xf>
    <xf numFmtId="259" fontId="37" fillId="25" borderId="303" applyNumberFormat="0" applyFont="0" applyAlignment="0"/>
    <xf numFmtId="0" fontId="51" fillId="0" borderId="309">
      <alignment horizontal="left" vertical="center"/>
    </xf>
    <xf numFmtId="0" fontId="244" fillId="4" borderId="311"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297" applyNumberFormat="0" applyFont="0" applyBorder="0" applyAlignment="0" applyProtection="0">
      <alignment horizontal="right"/>
    </xf>
    <xf numFmtId="3" fontId="115" fillId="24" borderId="298" applyBorder="0">
      <protection locked="0"/>
    </xf>
    <xf numFmtId="0" fontId="244" fillId="4" borderId="311" applyNumberFormat="0" applyAlignment="0" applyProtection="0"/>
    <xf numFmtId="0" fontId="51" fillId="0" borderId="309">
      <alignment horizontal="left" vertical="center"/>
    </xf>
    <xf numFmtId="0" fontId="29" fillId="0" borderId="309" applyFont="0" applyFill="0" applyBorder="0" applyAlignment="0" applyProtection="0">
      <alignment horizontal="center"/>
    </xf>
    <xf numFmtId="193" fontId="66" fillId="23" borderId="309" applyFont="0">
      <alignment horizontal="right"/>
    </xf>
    <xf numFmtId="0" fontId="18" fillId="0" borderId="310" applyNumberFormat="0" applyFill="0" applyAlignment="0" applyProtection="0"/>
    <xf numFmtId="10" fontId="18" fillId="25" borderId="303" applyNumberFormat="0" applyBorder="0" applyAlignment="0" applyProtection="0"/>
    <xf numFmtId="0" fontId="18" fillId="2" borderId="313" applyNumberFormat="0" applyFont="0" applyAlignment="0" applyProtection="0"/>
    <xf numFmtId="0" fontId="244" fillId="4" borderId="311" applyNumberFormat="0" applyAlignment="0" applyProtection="0"/>
    <xf numFmtId="8" fontId="138" fillId="0" borderId="312">
      <protection locked="0"/>
    </xf>
    <xf numFmtId="0" fontId="237" fillId="28" borderId="311" applyNumberFormat="0" applyAlignment="0" applyProtection="0"/>
    <xf numFmtId="0" fontId="244" fillId="4" borderId="311" applyNumberFormat="0" applyAlignment="0" applyProtection="0"/>
    <xf numFmtId="0" fontId="244" fillId="4" borderId="311" applyNumberFormat="0" applyAlignment="0" applyProtection="0"/>
    <xf numFmtId="0" fontId="18" fillId="0" borderId="310" applyNumberFormat="0" applyFill="0" applyAlignment="0" applyProtection="0"/>
    <xf numFmtId="0" fontId="249" fillId="0" borderId="315" applyNumberFormat="0" applyFill="0" applyAlignment="0" applyProtection="0"/>
    <xf numFmtId="0" fontId="247" fillId="28" borderId="314" applyNumberFormat="0" applyAlignment="0" applyProtection="0"/>
    <xf numFmtId="0" fontId="18" fillId="0" borderId="310" applyNumberFormat="0" applyFill="0" applyAlignment="0" applyProtection="0"/>
    <xf numFmtId="0" fontId="244" fillId="4" borderId="311" applyNumberFormat="0" applyAlignment="0" applyProtection="0"/>
    <xf numFmtId="0" fontId="18" fillId="2" borderId="313" applyNumberFormat="0" applyFont="0" applyAlignment="0" applyProtection="0"/>
    <xf numFmtId="177" fontId="114" fillId="0" borderId="297" applyBorder="0"/>
    <xf numFmtId="176" fontId="29" fillId="15" borderId="297" applyBorder="0">
      <alignment horizontal="right"/>
    </xf>
    <xf numFmtId="176" fontId="29" fillId="0" borderId="297" applyBorder="0">
      <alignment horizontal="right"/>
    </xf>
    <xf numFmtId="3" fontId="115" fillId="24" borderId="298" applyBorder="0">
      <protection locked="0"/>
    </xf>
    <xf numFmtId="37" fontId="89" fillId="0" borderId="297" applyNumberFormat="0" applyFont="0" applyFill="0" applyAlignment="0" applyProtection="0"/>
    <xf numFmtId="0" fontId="140" fillId="0" borderId="297" applyNumberFormat="0" applyBorder="0"/>
    <xf numFmtId="195" fontId="18" fillId="29" borderId="297" applyNumberFormat="0" applyFont="0" applyBorder="0" applyAlignment="0" applyProtection="0">
      <alignment horizontal="right"/>
    </xf>
    <xf numFmtId="195" fontId="18" fillId="29" borderId="297" applyNumberFormat="0" applyFont="0" applyBorder="0" applyAlignment="0" applyProtection="0">
      <alignment horizontal="right"/>
    </xf>
    <xf numFmtId="0" fontId="140" fillId="0" borderId="297" applyNumberFormat="0" applyBorder="0"/>
    <xf numFmtId="176" fontId="29" fillId="0" borderId="297" applyBorder="0">
      <alignment horizontal="right"/>
    </xf>
    <xf numFmtId="176" fontId="29" fillId="15" borderId="297" applyBorder="0">
      <alignment horizontal="right"/>
    </xf>
    <xf numFmtId="177" fontId="114" fillId="0" borderId="297" applyBorder="0"/>
    <xf numFmtId="0" fontId="18" fillId="2" borderId="313" applyNumberFormat="0" applyFont="0" applyAlignment="0" applyProtection="0"/>
    <xf numFmtId="0" fontId="244" fillId="4" borderId="311" applyNumberFormat="0" applyAlignment="0" applyProtection="0"/>
    <xf numFmtId="0" fontId="18" fillId="0" borderId="310" applyNumberFormat="0" applyFill="0" applyAlignment="0" applyProtection="0"/>
    <xf numFmtId="0" fontId="247" fillId="28" borderId="314" applyNumberFormat="0" applyAlignment="0" applyProtection="0"/>
    <xf numFmtId="0" fontId="249" fillId="0" borderId="315" applyNumberFormat="0" applyFill="0" applyAlignment="0" applyProtection="0"/>
    <xf numFmtId="0" fontId="18" fillId="0" borderId="310" applyNumberFormat="0" applyFill="0" applyAlignment="0" applyProtection="0"/>
    <xf numFmtId="0" fontId="244" fillId="4" borderId="311" applyNumberFormat="0" applyAlignment="0" applyProtection="0"/>
    <xf numFmtId="0" fontId="244" fillId="4" borderId="311" applyNumberFormat="0" applyAlignment="0" applyProtection="0"/>
    <xf numFmtId="0" fontId="237" fillId="28" borderId="311" applyNumberFormat="0" applyAlignment="0" applyProtection="0"/>
    <xf numFmtId="0" fontId="18" fillId="2" borderId="313" applyNumberFormat="0" applyFont="0" applyAlignment="0" applyProtection="0"/>
    <xf numFmtId="0" fontId="18" fillId="0" borderId="310" applyNumberFormat="0" applyFill="0" applyAlignment="0" applyProtection="0"/>
    <xf numFmtId="193" fontId="66" fillId="23" borderId="309" applyFont="0">
      <alignment horizontal="right"/>
    </xf>
    <xf numFmtId="0" fontId="99" fillId="0" borderId="299" applyNumberFormat="0" applyFill="0" applyAlignment="0" applyProtection="0"/>
    <xf numFmtId="39" fontId="33" fillId="0" borderId="309" applyNumberFormat="0" applyBorder="0">
      <alignment horizontal="right"/>
    </xf>
    <xf numFmtId="1" fontId="85" fillId="0" borderId="309" applyFill="0" applyProtection="0">
      <alignment horizontal="right"/>
    </xf>
    <xf numFmtId="39" fontId="33" fillId="0" borderId="309" applyNumberFormat="0" applyBorder="0">
      <alignment horizontal="right"/>
    </xf>
    <xf numFmtId="1" fontId="85" fillId="0" borderId="309"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6" fontId="29" fillId="15" borderId="300" applyBorder="0">
      <alignment horizontal="right"/>
    </xf>
    <xf numFmtId="37" fontId="89" fillId="0" borderId="300" applyNumberFormat="0" applyFont="0" applyFill="0" applyAlignment="0" applyProtection="0"/>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37" fontId="89" fillId="0" borderId="300" applyNumberFormat="0" applyFont="0" applyFill="0" applyAlignment="0" applyProtection="0"/>
    <xf numFmtId="176" fontId="29" fillId="15" borderId="300" applyBorder="0">
      <alignment horizontal="right"/>
    </xf>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18" fillId="0" borderId="302" applyNumberFormat="0" applyFill="0" applyAlignment="0" applyProtection="0"/>
    <xf numFmtId="193" fontId="66" fillId="23" borderId="280" applyFont="0">
      <alignment horizontal="right"/>
    </xf>
    <xf numFmtId="0" fontId="18" fillId="0" borderId="302" applyNumberFormat="0" applyFill="0" applyAlignment="0" applyProtection="0"/>
    <xf numFmtId="9" fontId="96" fillId="25" borderId="303" applyNumberFormat="0" applyFont="0" applyAlignment="0" applyProtection="0"/>
    <xf numFmtId="0" fontId="237" fillId="28" borderId="304" applyNumberFormat="0" applyAlignment="0" applyProtection="0"/>
    <xf numFmtId="4" fontId="137" fillId="0" borderId="303" applyFont="0" applyFill="0" applyBorder="0" applyAlignment="0" applyProtection="0"/>
    <xf numFmtId="8" fontId="138" fillId="0" borderId="305">
      <protection locked="0"/>
    </xf>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0" fontId="18" fillId="2" borderId="306" applyNumberFormat="0" applyFont="0" applyAlignment="0" applyProtection="0"/>
    <xf numFmtId="0" fontId="247" fillId="28" borderId="307" applyNumberFormat="0" applyAlignment="0" applyProtection="0"/>
    <xf numFmtId="0" fontId="249" fillId="0" borderId="308" applyNumberFormat="0" applyFill="0" applyAlignment="0" applyProtection="0"/>
    <xf numFmtId="177" fontId="114" fillId="0" borderId="300" applyBorder="0"/>
    <xf numFmtId="0" fontId="18" fillId="0" borderId="302" applyNumberFormat="0" applyFill="0" applyAlignment="0" applyProtection="0"/>
    <xf numFmtId="0" fontId="247" fillId="28" borderId="307" applyNumberFormat="0" applyAlignment="0" applyProtection="0"/>
    <xf numFmtId="0" fontId="244" fillId="4" borderId="304" applyNumberFormat="0" applyAlignment="0" applyProtection="0"/>
    <xf numFmtId="0" fontId="18" fillId="2" borderId="306" applyNumberFormat="0" applyFont="0" applyAlignment="0" applyProtection="0"/>
    <xf numFmtId="0" fontId="249" fillId="0" borderId="308" applyNumberFormat="0" applyFill="0" applyAlignment="0" applyProtection="0"/>
    <xf numFmtId="0" fontId="247" fillId="28" borderId="307" applyNumberFormat="0" applyAlignment="0" applyProtection="0"/>
    <xf numFmtId="0" fontId="18" fillId="2" borderId="306" applyNumberFormat="0" applyFont="0" applyAlignment="0" applyProtection="0"/>
    <xf numFmtId="193" fontId="66" fillId="23" borderId="280" applyFont="0">
      <alignment horizontal="right"/>
    </xf>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7" fillId="28" borderId="307"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176" fontId="29" fillId="0" borderId="300" applyBorder="0">
      <alignment horizontal="right"/>
    </xf>
    <xf numFmtId="0" fontId="249" fillId="0" borderId="308" applyNumberFormat="0" applyFill="0" applyAlignment="0" applyProtection="0"/>
    <xf numFmtId="0" fontId="244" fillId="4" borderId="304" applyNumberFormat="0" applyAlignment="0" applyProtection="0"/>
    <xf numFmtId="0" fontId="237" fillId="28" borderId="304" applyNumberFormat="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0" fontId="18" fillId="0" borderId="302" applyNumberFormat="0" applyFill="0" applyAlignment="0" applyProtection="0"/>
    <xf numFmtId="0" fontId="18" fillId="0" borderId="273"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275"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93" fontId="66" fillId="23" borderId="280" applyFont="0">
      <alignment horizontal="right"/>
    </xf>
    <xf numFmtId="0" fontId="18" fillId="0" borderId="273" applyNumberFormat="0" applyFill="0" applyAlignment="0" applyProtection="0"/>
    <xf numFmtId="10" fontId="18" fillId="25" borderId="303" applyNumberFormat="0" applyBorder="0" applyAlignment="0" applyProtection="0"/>
    <xf numFmtId="0" fontId="247" fillId="28" borderId="307"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275"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193" fontId="66" fillId="23" borderId="280" applyFont="0">
      <alignment horizontal="right"/>
    </xf>
    <xf numFmtId="193" fontId="66" fillId="23" borderId="280" applyFont="0">
      <alignment horizontal="right"/>
    </xf>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0" fontId="51" fillId="0" borderId="280">
      <alignment horizontal="left" vertical="center"/>
    </xf>
    <xf numFmtId="0" fontId="29" fillId="0" borderId="280" applyFont="0" applyFill="0" applyBorder="0" applyAlignment="0" applyProtection="0">
      <alignment horizontal="center"/>
    </xf>
    <xf numFmtId="4" fontId="137" fillId="0" borderId="303" applyFont="0" applyFill="0" applyBorder="0" applyAlignment="0" applyProtection="0"/>
    <xf numFmtId="9" fontId="96" fillId="25" borderId="303" applyNumberFormat="0" applyFont="0" applyAlignment="0" applyProtection="0"/>
    <xf numFmtId="193" fontId="66" fillId="23" borderId="280" applyFont="0">
      <alignment horizontal="right"/>
    </xf>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193" fontId="66" fillId="23" borderId="280" applyFont="0">
      <alignment horizontal="right"/>
    </xf>
    <xf numFmtId="0" fontId="99" fillId="0" borderId="299" applyNumberFormat="0" applyFill="0" applyAlignment="0" applyProtection="0"/>
    <xf numFmtId="39" fontId="33" fillId="0" borderId="280" applyNumberFormat="0" applyBorder="0">
      <alignment horizontal="right"/>
    </xf>
    <xf numFmtId="1" fontId="85" fillId="0" borderId="28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8" fontId="138" fillId="0" borderId="305">
      <protection locked="0"/>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0" fontId="244" fillId="4" borderId="304" applyNumberForma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0" fontId="244" fillId="4" borderId="304"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39" fontId="33" fillId="0" borderId="280" applyNumberFormat="0" applyBorder="0">
      <alignment horizontal="right"/>
    </xf>
    <xf numFmtId="1" fontId="85" fillId="0" borderId="280" applyFill="0" applyProtection="0">
      <alignment horizontal="right"/>
    </xf>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193" fontId="66" fillId="23" borderId="280" applyFont="0">
      <alignment horizontal="right"/>
    </xf>
    <xf numFmtId="193" fontId="66" fillId="23" borderId="280" applyFont="0">
      <alignment horizontal="right"/>
    </xf>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0" fontId="51" fillId="0" borderId="280">
      <alignment horizontal="left" vertical="center"/>
    </xf>
    <xf numFmtId="0" fontId="29" fillId="0" borderId="280" applyFont="0" applyFill="0" applyBorder="0" applyAlignment="0" applyProtection="0">
      <alignment horizontal="center"/>
    </xf>
    <xf numFmtId="4" fontId="137" fillId="0" borderId="303" applyFont="0" applyFill="0" applyBorder="0" applyAlignment="0" applyProtection="0"/>
    <xf numFmtId="9" fontId="96" fillId="25" borderId="303" applyNumberFormat="0" applyFont="0" applyAlignment="0" applyProtection="0"/>
    <xf numFmtId="193" fontId="66" fillId="23" borderId="280" applyFont="0">
      <alignment horizontal="right"/>
    </xf>
    <xf numFmtId="0" fontId="18" fillId="0" borderId="302" applyNumberFormat="0" applyFill="0" applyAlignment="0" applyProtection="0"/>
    <xf numFmtId="10" fontId="18" fillId="25" borderId="303" applyNumberFormat="0" applyBorder="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0" fontId="244" fillId="4" borderId="304"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0" borderId="302" applyNumberFormat="0" applyFill="0" applyAlignment="0" applyProtection="0"/>
    <xf numFmtId="193" fontId="66" fillId="23" borderId="280" applyFont="0">
      <alignment horizontal="right"/>
    </xf>
    <xf numFmtId="39" fontId="33" fillId="0" borderId="280" applyNumberFormat="0" applyBorder="0">
      <alignment horizontal="right"/>
    </xf>
    <xf numFmtId="1" fontId="85" fillId="0" borderId="280" applyFill="0" applyProtection="0">
      <alignment horizontal="right"/>
    </xf>
    <xf numFmtId="39" fontId="33" fillId="0" borderId="280" applyNumberFormat="0" applyBorder="0">
      <alignment horizontal="right"/>
    </xf>
    <xf numFmtId="1" fontId="85" fillId="0" borderId="280" applyFill="0" applyProtection="0">
      <alignment horizontal="right"/>
    </xf>
    <xf numFmtId="8" fontId="138" fillId="0" borderId="305">
      <protection locked="0"/>
    </xf>
    <xf numFmtId="8" fontId="138" fillId="0" borderId="305">
      <protection locked="0"/>
    </xf>
    <xf numFmtId="37" fontId="89" fillId="0" borderId="300" applyNumberFormat="0" applyFont="0" applyFill="0" applyAlignment="0" applyProtection="0"/>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37" fontId="89" fillId="0" borderId="300" applyNumberFormat="0" applyFont="0" applyFill="0" applyAlignment="0" applyProtection="0"/>
    <xf numFmtId="176" fontId="29" fillId="15" borderId="300" applyBorder="0">
      <alignment horizontal="right"/>
    </xf>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18" fillId="0" borderId="302" applyNumberFormat="0" applyFill="0" applyAlignment="0" applyProtection="0"/>
    <xf numFmtId="193" fontId="66" fillId="23" borderId="280" applyFont="0">
      <alignment horizontal="right"/>
    </xf>
    <xf numFmtId="0" fontId="18" fillId="0" borderId="302" applyNumberFormat="0" applyFill="0" applyAlignment="0" applyProtection="0"/>
    <xf numFmtId="9" fontId="96" fillId="25" borderId="303" applyNumberFormat="0" applyFont="0" applyAlignment="0" applyProtection="0"/>
    <xf numFmtId="0" fontId="237" fillId="28" borderId="304" applyNumberFormat="0" applyAlignment="0" applyProtection="0"/>
    <xf numFmtId="4" fontId="137" fillId="0" borderId="303" applyFont="0" applyFill="0" applyBorder="0" applyAlignment="0" applyProtection="0"/>
    <xf numFmtId="8" fontId="138" fillId="0" borderId="305">
      <protection locked="0"/>
    </xf>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0" fontId="18" fillId="2" borderId="306" applyNumberFormat="0" applyFont="0" applyAlignment="0" applyProtection="0"/>
    <xf numFmtId="0" fontId="247" fillId="28" borderId="307" applyNumberFormat="0" applyAlignment="0" applyProtection="0"/>
    <xf numFmtId="0" fontId="249" fillId="0" borderId="308" applyNumberFormat="0" applyFill="0" applyAlignment="0" applyProtection="0"/>
    <xf numFmtId="177" fontId="114" fillId="0" borderId="300" applyBorder="0"/>
    <xf numFmtId="0" fontId="18" fillId="0" borderId="302" applyNumberFormat="0" applyFill="0" applyAlignment="0" applyProtection="0"/>
    <xf numFmtId="0" fontId="247" fillId="28" borderId="307" applyNumberFormat="0" applyAlignment="0" applyProtection="0"/>
    <xf numFmtId="0" fontId="244" fillId="4" borderId="304" applyNumberFormat="0" applyAlignment="0" applyProtection="0"/>
    <xf numFmtId="0" fontId="18" fillId="2" borderId="306" applyNumberFormat="0" applyFont="0" applyAlignment="0" applyProtection="0"/>
    <xf numFmtId="0" fontId="249" fillId="0" borderId="308" applyNumberFormat="0" applyFill="0" applyAlignment="0" applyProtection="0"/>
    <xf numFmtId="0" fontId="247" fillId="28" borderId="307" applyNumberFormat="0" applyAlignment="0" applyProtection="0"/>
    <xf numFmtId="0" fontId="18" fillId="2" borderId="306" applyNumberFormat="0" applyFont="0" applyAlignment="0" applyProtection="0"/>
    <xf numFmtId="193" fontId="66" fillId="23" borderId="280" applyFont="0">
      <alignment horizontal="right"/>
    </xf>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7" fillId="28" borderId="307"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176" fontId="29" fillId="0" borderId="300" applyBorder="0">
      <alignment horizontal="right"/>
    </xf>
    <xf numFmtId="0" fontId="249" fillId="0" borderId="308" applyNumberFormat="0" applyFill="0" applyAlignment="0" applyProtection="0"/>
    <xf numFmtId="0" fontId="244" fillId="4" borderId="304" applyNumberFormat="0" applyAlignment="0" applyProtection="0"/>
    <xf numFmtId="0" fontId="237" fillId="28" borderId="304" applyNumberFormat="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247" fillId="28" borderId="307" applyNumberForma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193" fontId="66" fillId="23" borderId="280" applyFont="0">
      <alignment horizontal="right"/>
    </xf>
    <xf numFmtId="193" fontId="66" fillId="23" borderId="280" applyFont="0">
      <alignment horizontal="right"/>
    </xf>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0" fontId="29" fillId="0" borderId="280" applyFont="0" applyFill="0" applyBorder="0" applyAlignment="0" applyProtection="0">
      <alignment horizontal="center"/>
    </xf>
    <xf numFmtId="259" fontId="37" fillId="25" borderId="303" applyNumberFormat="0" applyFont="0" applyAlignment="0"/>
    <xf numFmtId="0" fontId="51" fillId="0" borderId="280">
      <alignment horizontal="left" vertical="center"/>
    </xf>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10" fontId="18" fillId="25" borderId="303" applyNumberFormat="0" applyBorder="0" applyAlignment="0" applyProtection="0"/>
    <xf numFmtId="0" fontId="51" fillId="0" borderId="280">
      <alignment horizontal="left" vertical="center"/>
    </xf>
    <xf numFmtId="0" fontId="29" fillId="0" borderId="280" applyFont="0" applyFill="0" applyBorder="0" applyAlignment="0" applyProtection="0">
      <alignment horizontal="center"/>
    </xf>
    <xf numFmtId="4" fontId="137" fillId="0" borderId="303" applyFont="0" applyFill="0" applyBorder="0" applyAlignment="0" applyProtection="0"/>
    <xf numFmtId="9" fontId="96" fillId="25" borderId="303" applyNumberFormat="0" applyFont="0" applyAlignment="0" applyProtection="0"/>
    <xf numFmtId="193" fontId="66" fillId="23" borderId="280" applyFont="0">
      <alignment horizontal="right"/>
    </xf>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193" fontId="66" fillId="23" borderId="280" applyFont="0">
      <alignment horizontal="right"/>
    </xf>
    <xf numFmtId="0" fontId="99" fillId="0" borderId="299" applyNumberFormat="0" applyFill="0" applyAlignment="0" applyProtection="0"/>
    <xf numFmtId="39" fontId="33" fillId="0" borderId="280" applyNumberFormat="0" applyBorder="0">
      <alignment horizontal="right"/>
    </xf>
    <xf numFmtId="1" fontId="85" fillId="0" borderId="280" applyFill="0" applyProtection="0">
      <alignment horizontal="right"/>
    </xf>
    <xf numFmtId="39" fontId="33" fillId="0" borderId="280" applyNumberFormat="0" applyBorder="0">
      <alignment horizontal="right"/>
    </xf>
    <xf numFmtId="1" fontId="85" fillId="0" borderId="28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77" fontId="114" fillId="0" borderId="300" applyBorder="0"/>
    <xf numFmtId="176" fontId="29" fillId="15" borderId="300" applyBorder="0">
      <alignment horizontal="right"/>
    </xf>
    <xf numFmtId="176" fontId="29" fillId="0" borderId="300" applyBorder="0">
      <alignment horizontal="right"/>
    </xf>
    <xf numFmtId="0" fontId="18" fillId="0" borderId="302" applyNumberFormat="0" applyFill="0" applyAlignment="0" applyProtection="0"/>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0" fontId="244" fillId="4" borderId="304" applyNumberFormat="0" applyAlignment="0" applyProtection="0"/>
    <xf numFmtId="0" fontId="18" fillId="0" borderId="302" applyNumberFormat="0" applyFill="0" applyAlignment="0" applyProtection="0"/>
    <xf numFmtId="195" fontId="18" fillId="29" borderId="300" applyNumberFormat="0" applyFont="0" applyBorder="0" applyAlignment="0" applyProtection="0">
      <alignment horizontal="right"/>
    </xf>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99" fillId="0" borderId="299" applyNumberFormat="0" applyFill="0" applyAlignment="0" applyProtection="0"/>
    <xf numFmtId="0" fontId="99" fillId="0" borderId="299" applyNumberFormat="0" applyFill="0" applyAlignment="0" applyProtection="0"/>
    <xf numFmtId="0" fontId="81" fillId="0" borderId="300" applyNumberFormat="0" applyFill="0" applyProtection="0">
      <alignment horizontal="right"/>
    </xf>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0" fontId="244" fillId="4" borderId="304" applyNumberFormat="0" applyAlignment="0" applyProtection="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0" fontId="244" fillId="4" borderId="304"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3" fontId="115" fillId="24" borderId="301" applyBorder="0">
      <protection locked="0"/>
    </xf>
    <xf numFmtId="0" fontId="244" fillId="4" borderId="304" applyNumberForma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 fontId="115" fillId="24" borderId="301" applyBorder="0">
      <protection locked="0"/>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0" fontId="99" fillId="0" borderId="299" applyNumberFormat="0" applyFill="0" applyAlignment="0" applyProtection="0"/>
    <xf numFmtId="195" fontId="18" fillId="29" borderId="300" applyNumberFormat="0" applyFont="0" applyBorder="0" applyAlignment="0" applyProtection="0">
      <alignment horizontal="right"/>
    </xf>
    <xf numFmtId="37" fontId="89" fillId="0" borderId="300" applyNumberFormat="0" applyFont="0" applyFill="0" applyAlignment="0" applyProtection="0"/>
    <xf numFmtId="8" fontId="138" fillId="0" borderId="305">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04" applyNumberFormat="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95" fontId="18" fillId="29" borderId="300" applyNumberFormat="0" applyFont="0" applyBorder="0" applyAlignment="0" applyProtection="0">
      <alignment horizontal="right"/>
    </xf>
    <xf numFmtId="0" fontId="244" fillId="4" borderId="304" applyNumberFormat="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0" fontId="18" fillId="2" borderId="306" applyNumberFormat="0" applyFont="0" applyAlignment="0" applyProtection="0"/>
    <xf numFmtId="0" fontId="244" fillId="4" borderId="304" applyNumberFormat="0" applyAlignment="0" applyProtection="0"/>
    <xf numFmtId="8" fontId="138" fillId="0" borderId="305">
      <protection locked="0"/>
    </xf>
    <xf numFmtId="0" fontId="237" fillId="28" borderId="304" applyNumberFormat="0" applyAlignment="0" applyProtection="0"/>
    <xf numFmtId="0" fontId="244" fillId="4" borderId="304" applyNumberFormat="0" applyAlignment="0" applyProtection="0"/>
    <xf numFmtId="0" fontId="244" fillId="4" borderId="304" applyNumberFormat="0" applyAlignment="0" applyProtection="0"/>
    <xf numFmtId="0" fontId="18" fillId="0" borderId="302" applyNumberFormat="0" applyFill="0" applyAlignment="0" applyProtection="0"/>
    <xf numFmtId="0" fontId="249" fillId="0" borderId="308" applyNumberFormat="0" applyFill="0" applyAlignment="0" applyProtection="0"/>
    <xf numFmtId="0" fontId="247" fillId="28" borderId="307" applyNumberFormat="0" applyAlignment="0" applyProtection="0"/>
    <xf numFmtId="0" fontId="18" fillId="0" borderId="302" applyNumberFormat="0" applyFill="0" applyAlignment="0" applyProtection="0"/>
    <xf numFmtId="0" fontId="244" fillId="4" borderId="304" applyNumberFormat="0" applyAlignment="0" applyProtection="0"/>
    <xf numFmtId="0" fontId="18" fillId="2" borderId="306" applyNumberFormat="0" applyFont="0" applyAlignment="0" applyProtection="0"/>
    <xf numFmtId="177" fontId="114" fillId="0" borderId="300" applyBorder="0"/>
    <xf numFmtId="176" fontId="29" fillId="15" borderId="300" applyBorder="0">
      <alignment horizontal="right"/>
    </xf>
    <xf numFmtId="176" fontId="29" fillId="0" borderId="300" applyBorder="0">
      <alignment horizontal="right"/>
    </xf>
    <xf numFmtId="37" fontId="89" fillId="0" borderId="300" applyNumberFormat="0" applyFont="0" applyFill="0" applyAlignment="0" applyProtection="0"/>
    <xf numFmtId="0" fontId="140" fillId="0" borderId="300" applyNumberFormat="0" applyBorder="0"/>
    <xf numFmtId="195" fontId="18" fillId="29" borderId="300" applyNumberFormat="0" applyFont="0" applyBorder="0" applyAlignment="0" applyProtection="0">
      <alignment horizontal="right"/>
    </xf>
    <xf numFmtId="195" fontId="18" fillId="29" borderId="300" applyNumberFormat="0" applyFont="0" applyBorder="0" applyAlignment="0" applyProtection="0">
      <alignment horizontal="right"/>
    </xf>
    <xf numFmtId="0" fontId="140" fillId="0" borderId="300" applyNumberFormat="0" applyBorder="0"/>
    <xf numFmtId="176" fontId="29" fillId="0" borderId="300" applyBorder="0">
      <alignment horizontal="right"/>
    </xf>
    <xf numFmtId="176" fontId="29" fillId="15" borderId="300" applyBorder="0">
      <alignment horizontal="right"/>
    </xf>
    <xf numFmtId="177" fontId="114" fillId="0" borderId="300" applyBorder="0"/>
    <xf numFmtId="0" fontId="18" fillId="2" borderId="306" applyNumberFormat="0" applyFont="0" applyAlignment="0" applyProtection="0"/>
    <xf numFmtId="0" fontId="244" fillId="4" borderId="304" applyNumberFormat="0" applyAlignment="0" applyProtection="0"/>
    <xf numFmtId="0" fontId="18" fillId="0" borderId="302" applyNumberFormat="0" applyFill="0" applyAlignment="0" applyProtection="0"/>
    <xf numFmtId="0" fontId="247" fillId="28" borderId="307" applyNumberFormat="0" applyAlignment="0" applyProtection="0"/>
    <xf numFmtId="0" fontId="249" fillId="0" borderId="308" applyNumberFormat="0" applyFill="0" applyAlignment="0" applyProtection="0"/>
    <xf numFmtId="0" fontId="18" fillId="0" borderId="302" applyNumberFormat="0" applyFill="0" applyAlignment="0" applyProtection="0"/>
    <xf numFmtId="0" fontId="244" fillId="4" borderId="304" applyNumberFormat="0" applyAlignment="0" applyProtection="0"/>
    <xf numFmtId="0" fontId="244" fillId="4" borderId="304" applyNumberFormat="0" applyAlignment="0" applyProtection="0"/>
    <xf numFmtId="0" fontId="237" fillId="28" borderId="304" applyNumberFormat="0" applyAlignment="0" applyProtection="0"/>
    <xf numFmtId="0" fontId="18" fillId="2" borderId="306" applyNumberFormat="0" applyFont="0" applyAlignment="0" applyProtection="0"/>
    <xf numFmtId="0" fontId="18" fillId="0" borderId="302" applyNumberFormat="0" applyFill="0" applyAlignment="0" applyProtection="0"/>
    <xf numFmtId="0" fontId="99" fillId="0" borderId="299" applyNumberFormat="0" applyFill="0" applyAlignment="0" applyProtection="0"/>
    <xf numFmtId="10" fontId="18" fillId="25" borderId="303" applyNumberFormat="0" applyBorder="0" applyAlignment="0" applyProtection="0"/>
    <xf numFmtId="169" fontId="137" fillId="0" borderId="303" applyNumberFormat="0" applyFill="0" applyAlignment="0" applyProtection="0"/>
    <xf numFmtId="259" fontId="37" fillId="25" borderId="303" applyNumberFormat="0" applyFont="0" applyAlignment="0"/>
    <xf numFmtId="0" fontId="18" fillId="0" borderId="302" applyNumberFormat="0" applyFill="0" applyAlignment="0" applyProtection="0"/>
    <xf numFmtId="0" fontId="18" fillId="0" borderId="302" applyNumberFormat="0" applyFill="0" applyAlignment="0" applyProtection="0"/>
    <xf numFmtId="9" fontId="96" fillId="25" borderId="303" applyNumberFormat="0" applyFont="0" applyAlignment="0" applyProtection="0"/>
    <xf numFmtId="4" fontId="137" fillId="0" borderId="303" applyFont="0" applyFill="0" applyBorder="0" applyAlignment="0" applyProtection="0"/>
    <xf numFmtId="259" fontId="37" fillId="25" borderId="303" applyNumberFormat="0" applyFont="0" applyAlignment="0"/>
    <xf numFmtId="10" fontId="18" fillId="25" borderId="303" applyNumberFormat="0" applyBorder="0" applyAlignment="0" applyProtection="0"/>
    <xf numFmtId="169" fontId="137" fillId="0" borderId="303" applyNumberFormat="0" applyFill="0" applyAlignment="0" applyProtection="0"/>
    <xf numFmtId="10" fontId="18" fillId="25" borderId="303" applyNumberFormat="0" applyBorder="0" applyAlignment="0" applyProtection="0"/>
    <xf numFmtId="4" fontId="137" fillId="0" borderId="303" applyFont="0" applyFill="0" applyBorder="0" applyAlignment="0" applyProtection="0"/>
    <xf numFmtId="9" fontId="96" fillId="25" borderId="303" applyNumberFormat="0" applyFont="0" applyAlignment="0" applyProtection="0"/>
    <xf numFmtId="0" fontId="18" fillId="0" borderId="302" applyNumberFormat="0" applyFill="0" applyAlignment="0" applyProtection="0"/>
    <xf numFmtId="10" fontId="18" fillId="25" borderId="303" applyNumberFormat="0" applyBorder="0" applyAlignment="0" applyProtection="0"/>
    <xf numFmtId="8" fontId="138" fillId="0" borderId="305">
      <protection locked="0"/>
    </xf>
    <xf numFmtId="0" fontId="18" fillId="0" borderId="302" applyNumberFormat="0" applyFill="0" applyAlignment="0" applyProtection="0"/>
    <xf numFmtId="0" fontId="18" fillId="0" borderId="302" applyNumberFormat="0" applyFill="0" applyAlignment="0" applyProtection="0"/>
    <xf numFmtId="0" fontId="18" fillId="0" borderId="302" applyNumberFormat="0" applyFill="0" applyAlignment="0" applyProtection="0"/>
    <xf numFmtId="0" fontId="18" fillId="0" borderId="302" applyNumberFormat="0" applyFill="0" applyAlignment="0" applyProtection="0"/>
    <xf numFmtId="0" fontId="18" fillId="0" borderId="302" applyNumberFormat="0" applyFill="0" applyAlignment="0" applyProtection="0"/>
    <xf numFmtId="0" fontId="99" fillId="0" borderId="299" applyNumberFormat="0" applyFill="0" applyAlignment="0" applyProtection="0"/>
    <xf numFmtId="37" fontId="89" fillId="0" borderId="337" applyNumberFormat="0" applyFont="0" applyFill="0" applyAlignment="0" applyProtection="0"/>
    <xf numFmtId="195" fontId="18" fillId="29" borderId="337" applyNumberFormat="0" applyFont="0" applyBorder="0" applyAlignment="0" applyProtection="0">
      <alignment horizontal="right"/>
    </xf>
    <xf numFmtId="0" fontId="99" fillId="0" borderId="336" applyNumberFormat="0" applyFill="0" applyAlignment="0" applyProtection="0"/>
    <xf numFmtId="0" fontId="99" fillId="0" borderId="336" applyNumberFormat="0" applyFill="0" applyAlignment="0" applyProtection="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140" fillId="0" borderId="337" applyNumberFormat="0" applyBorder="0"/>
    <xf numFmtId="37" fontId="89" fillId="0" borderId="337" applyNumberFormat="0" applyFont="0" applyFill="0" applyAlignment="0" applyProtection="0"/>
    <xf numFmtId="176" fontId="29" fillId="15" borderId="337" applyBorder="0">
      <alignment horizontal="right"/>
    </xf>
    <xf numFmtId="0" fontId="18" fillId="2" borderId="343" applyNumberFormat="0" applyFont="0" applyAlignment="0" applyProtection="0"/>
    <xf numFmtId="0" fontId="244" fillId="4" borderId="341" applyNumberFormat="0" applyAlignment="0" applyProtection="0"/>
    <xf numFmtId="0" fontId="18" fillId="0" borderId="339" applyNumberFormat="0" applyFill="0" applyAlignment="0" applyProtection="0"/>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18" fillId="0" borderId="339" applyNumberFormat="0" applyFill="0" applyAlignment="0" applyProtection="0"/>
    <xf numFmtId="193" fontId="66" fillId="23" borderId="309" applyFont="0">
      <alignment horizontal="right"/>
    </xf>
    <xf numFmtId="0" fontId="18" fillId="0" borderId="318" applyNumberFormat="0" applyFill="0" applyAlignment="0" applyProtection="0"/>
    <xf numFmtId="9" fontId="96" fillId="25" borderId="303" applyNumberFormat="0" applyFont="0" applyAlignment="0" applyProtection="0"/>
    <xf numFmtId="0" fontId="237" fillId="28" borderId="319" applyNumberFormat="0" applyAlignment="0" applyProtection="0"/>
    <xf numFmtId="4" fontId="137" fillId="0" borderId="303" applyFont="0" applyFill="0" applyBorder="0" applyAlignment="0" applyProtection="0"/>
    <xf numFmtId="8" fontId="138" fillId="0" borderId="320">
      <protection locked="0"/>
    </xf>
    <xf numFmtId="0" fontId="29" fillId="0" borderId="309" applyFont="0" applyFill="0" applyBorder="0" applyAlignment="0" applyProtection="0">
      <alignment horizontal="center"/>
    </xf>
    <xf numFmtId="259" fontId="37" fillId="25" borderId="303" applyNumberFormat="0" applyFont="0" applyAlignment="0"/>
    <xf numFmtId="0" fontId="51" fillId="0" borderId="309">
      <alignment horizontal="left" vertical="center"/>
    </xf>
    <xf numFmtId="0" fontId="244" fillId="4" borderId="319" applyNumberFormat="0" applyAlignment="0" applyProtection="0"/>
    <xf numFmtId="10" fontId="18" fillId="25" borderId="303" applyNumberFormat="0" applyBorder="0" applyAlignment="0" applyProtection="0"/>
    <xf numFmtId="169" fontId="137" fillId="0" borderId="303" applyNumberFormat="0" applyFill="0" applyAlignment="0" applyProtection="0"/>
    <xf numFmtId="0" fontId="18" fillId="2" borderId="321" applyNumberFormat="0" applyFont="0" applyAlignment="0" applyProtection="0"/>
    <xf numFmtId="0" fontId="247" fillId="28" borderId="322" applyNumberFormat="0" applyAlignment="0" applyProtection="0"/>
    <xf numFmtId="0" fontId="249" fillId="0" borderId="323" applyNumberFormat="0" applyFill="0" applyAlignment="0" applyProtection="0"/>
    <xf numFmtId="177" fontId="114" fillId="0" borderId="337" applyBorder="0"/>
    <xf numFmtId="0" fontId="18" fillId="0" borderId="339" applyNumberFormat="0" applyFill="0" applyAlignment="0" applyProtection="0"/>
    <xf numFmtId="0" fontId="247" fillId="28" borderId="344" applyNumberFormat="0" applyAlignment="0" applyProtection="0"/>
    <xf numFmtId="0" fontId="244" fillId="4" borderId="341" applyNumberFormat="0" applyAlignment="0" applyProtection="0"/>
    <xf numFmtId="0" fontId="18" fillId="2" borderId="343" applyNumberFormat="0" applyFont="0" applyAlignment="0" applyProtection="0"/>
    <xf numFmtId="0" fontId="249" fillId="0" borderId="345" applyNumberFormat="0" applyFill="0" applyAlignment="0" applyProtection="0"/>
    <xf numFmtId="0" fontId="247" fillId="28" borderId="344" applyNumberFormat="0" applyAlignment="0" applyProtection="0"/>
    <xf numFmtId="0" fontId="18" fillId="2" borderId="343" applyNumberFormat="0" applyFont="0" applyAlignment="0" applyProtection="0"/>
    <xf numFmtId="193" fontId="66" fillId="23" borderId="309" applyFont="0">
      <alignment horizontal="right"/>
    </xf>
    <xf numFmtId="0" fontId="18" fillId="0" borderId="318" applyNumberFormat="0" applyFill="0" applyAlignment="0" applyProtection="0"/>
    <xf numFmtId="10" fontId="18" fillId="25" borderId="303" applyNumberFormat="0" applyBorder="0" applyAlignment="0" applyProtection="0"/>
    <xf numFmtId="0" fontId="18" fillId="2" borderId="321" applyNumberFormat="0" applyFont="0" applyAlignment="0" applyProtection="0"/>
    <xf numFmtId="0" fontId="247" fillId="28" borderId="322" applyNumberFormat="0" applyAlignment="0" applyProtection="0"/>
    <xf numFmtId="177" fontId="114" fillId="0" borderId="324" applyBorder="0"/>
    <xf numFmtId="176" fontId="29" fillId="15" borderId="324" applyBorder="0">
      <alignment horizontal="right"/>
    </xf>
    <xf numFmtId="176" fontId="29" fillId="0" borderId="324" applyBorder="0">
      <alignment horizontal="right"/>
    </xf>
    <xf numFmtId="3" fontId="115" fillId="24" borderId="325" applyBorder="0">
      <protection locked="0"/>
    </xf>
    <xf numFmtId="37" fontId="89" fillId="0" borderId="324" applyNumberFormat="0" applyFont="0" applyFill="0" applyAlignment="0" applyProtection="0"/>
    <xf numFmtId="0" fontId="140" fillId="0" borderId="324" applyNumberFormat="0" applyBorder="0"/>
    <xf numFmtId="195" fontId="18" fillId="29" borderId="324" applyNumberFormat="0" applyFont="0" applyBorder="0" applyAlignment="0" applyProtection="0">
      <alignment horizontal="right"/>
    </xf>
    <xf numFmtId="195" fontId="18" fillId="29" borderId="324" applyNumberFormat="0" applyFont="0" applyBorder="0" applyAlignment="0" applyProtection="0">
      <alignment horizontal="right"/>
    </xf>
    <xf numFmtId="176" fontId="29" fillId="0" borderId="337" applyBorder="0">
      <alignment horizontal="right"/>
    </xf>
    <xf numFmtId="0" fontId="249" fillId="0" borderId="345" applyNumberFormat="0" applyFill="0" applyAlignment="0" applyProtection="0"/>
    <xf numFmtId="0" fontId="244" fillId="4" borderId="341" applyNumberFormat="0" applyAlignment="0" applyProtection="0"/>
    <xf numFmtId="0" fontId="237" fillId="28" borderId="341" applyNumberFormat="0" applyAlignment="0" applyProtection="0"/>
    <xf numFmtId="8" fontId="138" fillId="0" borderId="342">
      <protection locked="0"/>
    </xf>
    <xf numFmtId="0" fontId="244" fillId="4" borderId="341" applyNumberFormat="0" applyAlignment="0" applyProtection="0"/>
    <xf numFmtId="0" fontId="18" fillId="0" borderId="339" applyNumberFormat="0" applyFill="0" applyAlignment="0" applyProtection="0"/>
    <xf numFmtId="0" fontId="99" fillId="0" borderId="326" applyNumberFormat="0" applyFill="0" applyAlignment="0" applyProtection="0"/>
    <xf numFmtId="0" fontId="99" fillId="0" borderId="336" applyNumberFormat="0" applyFill="0" applyAlignment="0" applyProtection="0"/>
    <xf numFmtId="195" fontId="18" fillId="29" borderId="334" applyNumberFormat="0" applyFont="0" applyBorder="0" applyAlignment="0" applyProtection="0">
      <alignment horizontal="right"/>
    </xf>
    <xf numFmtId="37" fontId="89" fillId="0" borderId="334" applyNumberFormat="0" applyFont="0" applyFill="0" applyAlignment="0" applyProtection="0"/>
    <xf numFmtId="8" fontId="138" fillId="0" borderId="330">
      <protection locked="0"/>
    </xf>
    <xf numFmtId="0" fontId="18" fillId="0" borderId="328" applyNumberFormat="0" applyFill="0" applyAlignment="0" applyProtection="0"/>
    <xf numFmtId="0" fontId="18" fillId="0" borderId="302" applyNumberFormat="0" applyFill="0" applyAlignment="0" applyProtection="0"/>
    <xf numFmtId="9" fontId="96" fillId="25" borderId="327" applyNumberFormat="0" applyFont="0" applyAlignment="0" applyProtection="0"/>
    <xf numFmtId="4" fontId="137" fillId="0" borderId="327" applyFont="0" applyFill="0" applyBorder="0" applyAlignment="0" applyProtection="0"/>
    <xf numFmtId="259" fontId="37" fillId="25" borderId="327" applyNumberFormat="0" applyFont="0" applyAlignment="0"/>
    <xf numFmtId="10" fontId="18" fillId="25" borderId="327" applyNumberFormat="0" applyBorder="0" applyAlignment="0" applyProtection="0"/>
    <xf numFmtId="169" fontId="137" fillId="0" borderId="327" applyNumberFormat="0" applyFill="0" applyAlignment="0" applyProtection="0"/>
    <xf numFmtId="195" fontId="18" fillId="29" borderId="334" applyNumberFormat="0" applyFont="0" applyBorder="0" applyAlignment="0" applyProtection="0">
      <alignment horizontal="right"/>
    </xf>
    <xf numFmtId="3" fontId="115" fillId="24" borderId="335" applyBorder="0">
      <protection locked="0"/>
    </xf>
    <xf numFmtId="0" fontId="244" fillId="4" borderId="329" applyNumberFormat="0" applyAlignment="0" applyProtection="0"/>
    <xf numFmtId="0" fontId="18" fillId="0" borderId="302" applyNumberFormat="0" applyFill="0" applyAlignment="0" applyProtection="0"/>
    <xf numFmtId="10" fontId="18" fillId="25" borderId="327" applyNumberFormat="0" applyBorder="0" applyAlignment="0" applyProtection="0"/>
    <xf numFmtId="0" fontId="247" fillId="28" borderId="322" applyNumberFormat="0" applyAlignment="0" applyProtection="0"/>
    <xf numFmtId="177" fontId="114" fillId="0" borderId="324" applyBorder="0"/>
    <xf numFmtId="176" fontId="29" fillId="15" borderId="324" applyBorder="0">
      <alignment horizontal="right"/>
    </xf>
    <xf numFmtId="176" fontId="29" fillId="0" borderId="324" applyBorder="0">
      <alignment horizontal="right"/>
    </xf>
    <xf numFmtId="3" fontId="115" fillId="24" borderId="325" applyBorder="0">
      <protection locked="0"/>
    </xf>
    <xf numFmtId="37" fontId="89" fillId="0" borderId="324" applyNumberFormat="0" applyFont="0" applyFill="0" applyAlignment="0" applyProtection="0"/>
    <xf numFmtId="0" fontId="140" fillId="0" borderId="324" applyNumberFormat="0" applyBorder="0"/>
    <xf numFmtId="195" fontId="18" fillId="29" borderId="324" applyNumberFormat="0" applyFont="0" applyBorder="0" applyAlignment="0" applyProtection="0">
      <alignment horizontal="right"/>
    </xf>
    <xf numFmtId="195" fontId="18" fillId="29" borderId="324" applyNumberFormat="0" applyFont="0" applyBorder="0" applyAlignment="0" applyProtection="0">
      <alignment horizontal="right"/>
    </xf>
    <xf numFmtId="0" fontId="140" fillId="0" borderId="334" applyNumberFormat="0" applyBorder="0"/>
    <xf numFmtId="176" fontId="29" fillId="0" borderId="334" applyBorder="0">
      <alignment horizontal="right"/>
    </xf>
    <xf numFmtId="176" fontId="29" fillId="15" borderId="334" applyBorder="0">
      <alignment horizontal="right"/>
    </xf>
    <xf numFmtId="177" fontId="114" fillId="0" borderId="334" applyBorder="0"/>
    <xf numFmtId="0" fontId="18" fillId="2" borderId="331" applyNumberFormat="0" applyFont="0" applyAlignment="0" applyProtection="0"/>
    <xf numFmtId="0" fontId="244" fillId="4" borderId="329" applyNumberFormat="0" applyAlignment="0" applyProtection="0"/>
    <xf numFmtId="0" fontId="18" fillId="0" borderId="328" applyNumberFormat="0" applyFill="0" applyAlignment="0" applyProtection="0"/>
    <xf numFmtId="0" fontId="247" fillId="28" borderId="332" applyNumberFormat="0" applyAlignment="0" applyProtection="0"/>
    <xf numFmtId="0" fontId="249" fillId="0" borderId="333" applyNumberFormat="0" applyFill="0" applyAlignment="0" applyProtection="0"/>
    <xf numFmtId="0" fontId="18" fillId="0" borderId="328" applyNumberFormat="0" applyFill="0" applyAlignment="0" applyProtection="0"/>
    <xf numFmtId="0" fontId="244" fillId="4" borderId="329" applyNumberFormat="0" applyAlignment="0" applyProtection="0"/>
    <xf numFmtId="0" fontId="244" fillId="4" borderId="329" applyNumberFormat="0" applyAlignment="0" applyProtection="0"/>
    <xf numFmtId="0" fontId="237" fillId="28" borderId="329" applyNumberFormat="0" applyAlignment="0" applyProtection="0"/>
    <xf numFmtId="0" fontId="18" fillId="2" borderId="331" applyNumberFormat="0" applyFont="0" applyAlignment="0" applyProtection="0"/>
    <xf numFmtId="0" fontId="18" fillId="0" borderId="328" applyNumberFormat="0" applyFill="0" applyAlignment="0" applyProtection="0"/>
    <xf numFmtId="0" fontId="99" fillId="0" borderId="326" applyNumberFormat="0" applyFill="0" applyAlignment="0" applyProtection="0"/>
    <xf numFmtId="177" fontId="114" fillId="0" borderId="337" applyBorder="0"/>
    <xf numFmtId="176" fontId="29" fillId="15" borderId="337" applyBorder="0">
      <alignment horizontal="right"/>
    </xf>
    <xf numFmtId="176" fontId="29" fillId="0" borderId="337" applyBorder="0">
      <alignment horizontal="right"/>
    </xf>
    <xf numFmtId="3" fontId="115" fillId="24" borderId="338" applyBorder="0">
      <protection locked="0"/>
    </xf>
    <xf numFmtId="0" fontId="18" fillId="0" borderId="339" applyNumberFormat="0" applyFill="0" applyAlignment="0" applyProtection="0"/>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0" fontId="18" fillId="0" borderId="339" applyNumberFormat="0" applyFill="0" applyAlignment="0" applyProtection="0"/>
    <xf numFmtId="195" fontId="18" fillId="29" borderId="337" applyNumberFormat="0" applyFont="0" applyBorder="0" applyAlignment="0" applyProtection="0">
      <alignment horizontal="right"/>
    </xf>
    <xf numFmtId="0" fontId="18" fillId="2" borderId="321" applyNumberFormat="0" applyFont="0" applyAlignment="0" applyProtection="0"/>
    <xf numFmtId="0" fontId="244" fillId="4" borderId="319" applyNumberFormat="0" applyAlignment="0" applyProtection="0"/>
    <xf numFmtId="8" fontId="138" fillId="0" borderId="320">
      <protection locked="0"/>
    </xf>
    <xf numFmtId="0" fontId="237" fillId="28" borderId="319" applyNumberFormat="0" applyAlignment="0" applyProtection="0"/>
    <xf numFmtId="0" fontId="244" fillId="4" borderId="319" applyNumberFormat="0" applyAlignment="0" applyProtection="0"/>
    <xf numFmtId="0" fontId="244" fillId="4" borderId="319" applyNumberFormat="0" applyAlignment="0" applyProtection="0"/>
    <xf numFmtId="0" fontId="18" fillId="0" borderId="318" applyNumberFormat="0" applyFill="0" applyAlignment="0" applyProtection="0"/>
    <xf numFmtId="0" fontId="249" fillId="0" borderId="323" applyNumberFormat="0" applyFill="0" applyAlignment="0" applyProtection="0"/>
    <xf numFmtId="0" fontId="247" fillId="28" borderId="322" applyNumberFormat="0" applyAlignment="0" applyProtection="0"/>
    <xf numFmtId="0" fontId="18" fillId="0" borderId="318" applyNumberFormat="0" applyFill="0" applyAlignment="0" applyProtection="0"/>
    <xf numFmtId="0" fontId="244" fillId="4" borderId="319" applyNumberFormat="0" applyAlignment="0" applyProtection="0"/>
    <xf numFmtId="0" fontId="18" fillId="2" borderId="321" applyNumberFormat="0" applyFont="0" applyAlignment="0" applyProtection="0"/>
    <xf numFmtId="0" fontId="99" fillId="0" borderId="336" applyNumberFormat="0" applyFill="0" applyAlignment="0" applyProtection="0"/>
    <xf numFmtId="0" fontId="99" fillId="0" borderId="336" applyNumberFormat="0" applyFill="0" applyAlignment="0" applyProtection="0"/>
    <xf numFmtId="0" fontId="81" fillId="0" borderId="337" applyNumberFormat="0" applyFill="0" applyProtection="0">
      <alignment horizontal="right"/>
    </xf>
    <xf numFmtId="39" fontId="33" fillId="0" borderId="309" applyNumberFormat="0" applyBorder="0">
      <alignment horizontal="right"/>
    </xf>
    <xf numFmtId="1" fontId="85" fillId="0" borderId="309" applyFill="0" applyProtection="0">
      <alignment horizontal="right"/>
    </xf>
    <xf numFmtId="0" fontId="99" fillId="0" borderId="336" applyNumberFormat="0" applyFill="0" applyAlignment="0" applyProtection="0"/>
    <xf numFmtId="8" fontId="138" fillId="0" borderId="320">
      <protection locked="0"/>
    </xf>
    <xf numFmtId="10" fontId="18" fillId="25" borderId="303" applyNumberFormat="0" applyBorder="0" applyAlignment="0" applyProtection="0"/>
    <xf numFmtId="169" fontId="137" fillId="0" borderId="303" applyNumberFormat="0" applyFill="0" applyAlignment="0" applyProtection="0"/>
    <xf numFmtId="0" fontId="244" fillId="4" borderId="319" applyNumberFormat="0" applyAlignment="0" applyProtection="0"/>
    <xf numFmtId="259" fontId="37" fillId="25" borderId="303" applyNumberFormat="0" applyFont="0" applyAlignment="0"/>
    <xf numFmtId="0" fontId="18" fillId="0" borderId="318" applyNumberFormat="0" applyFill="0" applyAlignment="0" applyProtection="0"/>
    <xf numFmtId="193" fontId="66" fillId="23" borderId="309" applyFont="0">
      <alignment horizontal="right"/>
    </xf>
    <xf numFmtId="193" fontId="66" fillId="23" borderId="309" applyFont="0">
      <alignment horizontal="right"/>
    </xf>
    <xf numFmtId="0" fontId="18" fillId="0" borderId="318" applyNumberFormat="0" applyFill="0" applyAlignment="0" applyProtection="0"/>
    <xf numFmtId="9" fontId="96" fillId="25" borderId="340" applyNumberFormat="0" applyFont="0" applyAlignment="0" applyProtection="0"/>
    <xf numFmtId="4" fontId="137" fillId="0" borderId="340" applyFont="0" applyFill="0" applyBorder="0" applyAlignment="0" applyProtection="0"/>
    <xf numFmtId="0" fontId="29" fillId="0" borderId="309" applyFont="0" applyFill="0" applyBorder="0" applyAlignment="0" applyProtection="0">
      <alignment horizontal="center"/>
    </xf>
    <xf numFmtId="259" fontId="37" fillId="25" borderId="340" applyNumberFormat="0" applyFont="0" applyAlignment="0"/>
    <xf numFmtId="0" fontId="51" fillId="0" borderId="309">
      <alignment horizontal="left" vertical="center"/>
    </xf>
    <xf numFmtId="0" fontId="244" fillId="4" borderId="319" applyNumberFormat="0" applyAlignment="0" applyProtection="0"/>
    <xf numFmtId="10" fontId="18" fillId="25" borderId="340" applyNumberFormat="0" applyBorder="0" applyAlignment="0" applyProtection="0"/>
    <xf numFmtId="169" fontId="137" fillId="0" borderId="340" applyNumberFormat="0" applyFill="0" applyAlignment="0" applyProtection="0"/>
    <xf numFmtId="0" fontId="244" fillId="4" borderId="319" applyNumberFormat="0" applyAlignment="0" applyProtection="0"/>
    <xf numFmtId="10" fontId="18" fillId="25" borderId="303" applyNumberFormat="0" applyBorder="0" applyAlignment="0" applyProtection="0"/>
    <xf numFmtId="0" fontId="51" fillId="0" borderId="309">
      <alignment horizontal="left" vertical="center"/>
    </xf>
    <xf numFmtId="0" fontId="29" fillId="0" borderId="309" applyFont="0" applyFill="0" applyBorder="0" applyAlignment="0" applyProtection="0">
      <alignment horizontal="center"/>
    </xf>
    <xf numFmtId="4" fontId="137" fillId="0" borderId="303" applyFont="0" applyFill="0" applyBorder="0" applyAlignment="0" applyProtection="0"/>
    <xf numFmtId="9" fontId="96" fillId="25" borderId="303" applyNumberFormat="0" applyFont="0" applyAlignment="0" applyProtection="0"/>
    <xf numFmtId="193" fontId="66" fillId="23" borderId="309" applyFont="0">
      <alignment horizontal="right"/>
    </xf>
    <xf numFmtId="0" fontId="18" fillId="0" borderId="318" applyNumberFormat="0" applyFill="0" applyAlignment="0" applyProtection="0"/>
    <xf numFmtId="10" fontId="18" fillId="25" borderId="340" applyNumberFormat="0" applyBorder="0" applyAlignment="0" applyProtection="0"/>
    <xf numFmtId="0" fontId="18" fillId="2" borderId="321" applyNumberFormat="0" applyFont="0" applyAlignment="0" applyProtection="0"/>
    <xf numFmtId="0" fontId="244" fillId="4" borderId="319" applyNumberFormat="0" applyAlignment="0" applyProtection="0"/>
    <xf numFmtId="8" fontId="138" fillId="0" borderId="320">
      <protection locked="0"/>
    </xf>
    <xf numFmtId="0" fontId="237" fillId="28" borderId="319" applyNumberFormat="0" applyAlignment="0" applyProtection="0"/>
    <xf numFmtId="0" fontId="244" fillId="4" borderId="319" applyNumberFormat="0" applyAlignment="0" applyProtection="0"/>
    <xf numFmtId="0" fontId="244" fillId="4" borderId="319" applyNumberFormat="0" applyAlignment="0" applyProtection="0"/>
    <xf numFmtId="0" fontId="18" fillId="0" borderId="318" applyNumberFormat="0" applyFill="0" applyAlignment="0" applyProtection="0"/>
    <xf numFmtId="0" fontId="249" fillId="0" borderId="323" applyNumberFormat="0" applyFill="0" applyAlignment="0" applyProtection="0"/>
    <xf numFmtId="0" fontId="247" fillId="28" borderId="322" applyNumberFormat="0" applyAlignment="0" applyProtection="0"/>
    <xf numFmtId="0" fontId="18" fillId="0" borderId="318" applyNumberFormat="0" applyFill="0" applyAlignment="0" applyProtection="0"/>
    <xf numFmtId="0" fontId="244" fillId="4" borderId="319" applyNumberFormat="0" applyAlignment="0" applyProtection="0"/>
    <xf numFmtId="0" fontId="18" fillId="2" borderId="321" applyNumberFormat="0" applyFont="0" applyAlignment="0" applyProtection="0"/>
    <xf numFmtId="0" fontId="18" fillId="2" borderId="321" applyNumberFormat="0" applyFont="0" applyAlignment="0" applyProtection="0"/>
    <xf numFmtId="0" fontId="244" fillId="4" borderId="319" applyNumberFormat="0" applyAlignment="0" applyProtection="0"/>
    <xf numFmtId="0" fontId="18" fillId="0" borderId="318" applyNumberFormat="0" applyFill="0" applyAlignment="0" applyProtection="0"/>
    <xf numFmtId="0" fontId="247" fillId="28" borderId="322" applyNumberFormat="0" applyAlignment="0" applyProtection="0"/>
    <xf numFmtId="0" fontId="249" fillId="0" borderId="323" applyNumberFormat="0" applyFill="0" applyAlignment="0" applyProtection="0"/>
    <xf numFmtId="0" fontId="18" fillId="0" borderId="318" applyNumberFormat="0" applyFill="0" applyAlignment="0" applyProtection="0"/>
    <xf numFmtId="0" fontId="244" fillId="4" borderId="319" applyNumberFormat="0" applyAlignment="0" applyProtection="0"/>
    <xf numFmtId="0" fontId="244" fillId="4" borderId="319" applyNumberFormat="0" applyAlignment="0" applyProtection="0"/>
    <xf numFmtId="0" fontId="237" fillId="28" borderId="319" applyNumberFormat="0" applyAlignment="0" applyProtection="0"/>
    <xf numFmtId="0" fontId="18" fillId="2" borderId="321" applyNumberFormat="0" applyFont="0" applyAlignment="0" applyProtection="0"/>
    <xf numFmtId="0" fontId="18" fillId="0" borderId="318" applyNumberFormat="0" applyFill="0" applyAlignment="0" applyProtection="0"/>
    <xf numFmtId="193" fontId="66" fillId="23" borderId="309" applyFont="0">
      <alignment horizontal="right"/>
    </xf>
    <xf numFmtId="0" fontId="99" fillId="0" borderId="336" applyNumberFormat="0" applyFill="0" applyAlignment="0" applyProtection="0"/>
    <xf numFmtId="39" fontId="33" fillId="0" borderId="309" applyNumberFormat="0" applyBorder="0">
      <alignment horizontal="right"/>
    </xf>
    <xf numFmtId="1" fontId="85" fillId="0" borderId="309" applyFill="0" applyProtection="0">
      <alignment horizontal="right"/>
    </xf>
    <xf numFmtId="39" fontId="33" fillId="0" borderId="309" applyNumberFormat="0" applyBorder="0">
      <alignment horizontal="right"/>
    </xf>
    <xf numFmtId="1" fontId="85" fillId="0" borderId="309" applyFill="0" applyProtection="0">
      <alignment horizontal="right"/>
    </xf>
    <xf numFmtId="0" fontId="99" fillId="0" borderId="336" applyNumberFormat="0" applyFill="0" applyAlignment="0" applyProtection="0"/>
    <xf numFmtId="195" fontId="18" fillId="29" borderId="337" applyNumberFormat="0" applyFont="0" applyBorder="0" applyAlignment="0" applyProtection="0">
      <alignment horizontal="right"/>
    </xf>
    <xf numFmtId="37" fontId="89" fillId="0" borderId="337" applyNumberFormat="0" applyFont="0" applyFill="0" applyAlignment="0" applyProtection="0"/>
    <xf numFmtId="8" fontId="138" fillId="0" borderId="342">
      <protection locked="0"/>
    </xf>
    <xf numFmtId="10" fontId="18" fillId="25" borderId="327" applyNumberFormat="0" applyBorder="0" applyAlignment="0" applyProtection="0"/>
    <xf numFmtId="169" fontId="137" fillId="0" borderId="327" applyNumberFormat="0" applyFill="0" applyAlignment="0" applyProtection="0"/>
    <xf numFmtId="0" fontId="244" fillId="4" borderId="341" applyNumberFormat="0" applyAlignment="0" applyProtection="0"/>
    <xf numFmtId="259" fontId="37" fillId="25" borderId="327" applyNumberFormat="0" applyFont="0" applyAlignment="0"/>
    <xf numFmtId="0" fontId="18" fillId="0" borderId="339" applyNumberFormat="0" applyFill="0" applyAlignment="0" applyProtection="0"/>
    <xf numFmtId="0" fontId="18" fillId="0" borderId="339" applyNumberFormat="0" applyFill="0" applyAlignment="0" applyProtection="0"/>
    <xf numFmtId="9" fontId="96" fillId="25" borderId="327" applyNumberFormat="0" applyFont="0" applyAlignment="0" applyProtection="0"/>
    <xf numFmtId="4" fontId="137" fillId="0" borderId="327" applyFont="0" applyFill="0" applyBorder="0" applyAlignment="0" applyProtection="0"/>
    <xf numFmtId="259" fontId="37" fillId="25" borderId="327" applyNumberFormat="0" applyFont="0" applyAlignment="0"/>
    <xf numFmtId="10" fontId="18" fillId="25" borderId="327" applyNumberFormat="0" applyBorder="0" applyAlignment="0" applyProtection="0"/>
    <xf numFmtId="169" fontId="137" fillId="0" borderId="327" applyNumberFormat="0" applyFill="0" applyAlignment="0" applyProtection="0"/>
    <xf numFmtId="195" fontId="18" fillId="29" borderId="337" applyNumberFormat="0" applyFont="0" applyBorder="0" applyAlignment="0" applyProtection="0">
      <alignment horizontal="right"/>
    </xf>
    <xf numFmtId="3" fontId="115" fillId="24" borderId="338" applyBorder="0">
      <protection locked="0"/>
    </xf>
    <xf numFmtId="0" fontId="244" fillId="4" borderId="341" applyNumberFormat="0" applyAlignment="0" applyProtection="0"/>
    <xf numFmtId="10" fontId="18" fillId="25" borderId="327" applyNumberFormat="0" applyBorder="0" applyAlignment="0" applyProtection="0"/>
    <xf numFmtId="4" fontId="137" fillId="0" borderId="327" applyFont="0" applyFill="0" applyBorder="0" applyAlignment="0" applyProtection="0"/>
    <xf numFmtId="9" fontId="96" fillId="25" borderId="327" applyNumberFormat="0" applyFont="0" applyAlignment="0" applyProtection="0"/>
    <xf numFmtId="0" fontId="18" fillId="0" borderId="339" applyNumberFormat="0" applyFill="0" applyAlignment="0" applyProtection="0"/>
    <xf numFmtId="10" fontId="18" fillId="25" borderId="327" applyNumberFormat="0" applyBorder="0" applyAlignment="0" applyProtection="0"/>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244" fillId="4" borderId="341" applyNumberFormat="0" applyAlignment="0" applyProtection="0"/>
    <xf numFmtId="0" fontId="244" fillId="4" borderId="341" applyNumberFormat="0" applyAlignment="0" applyProtection="0"/>
    <xf numFmtId="0" fontId="18" fillId="0" borderId="339" applyNumberFormat="0" applyFill="0" applyAlignment="0" applyProtection="0"/>
    <xf numFmtId="0" fontId="249" fillId="0" borderId="345" applyNumberFormat="0" applyFill="0" applyAlignment="0" applyProtection="0"/>
    <xf numFmtId="0" fontId="247" fillId="28" borderId="344" applyNumberFormat="0" applyAlignment="0" applyProtection="0"/>
    <xf numFmtId="0" fontId="18" fillId="0" borderId="339" applyNumberFormat="0" applyFill="0" applyAlignment="0" applyProtection="0"/>
    <xf numFmtId="0" fontId="244" fillId="4" borderId="341" applyNumberFormat="0" applyAlignment="0" applyProtection="0"/>
    <xf numFmtId="0" fontId="18" fillId="2" borderId="343" applyNumberFormat="0" applyFont="0" applyAlignment="0" applyProtection="0"/>
    <xf numFmtId="177" fontId="114" fillId="0" borderId="337" applyBorder="0"/>
    <xf numFmtId="176" fontId="29" fillId="15" borderId="337" applyBorder="0">
      <alignment horizontal="right"/>
    </xf>
    <xf numFmtId="176" fontId="29" fillId="0" borderId="337" applyBorder="0">
      <alignment horizontal="right"/>
    </xf>
    <xf numFmtId="3" fontId="115" fillId="24" borderId="338" applyBorder="0">
      <protection locked="0"/>
    </xf>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140" fillId="0" borderId="337" applyNumberFormat="0" applyBorder="0"/>
    <xf numFmtId="176" fontId="29" fillId="0" borderId="337" applyBorder="0">
      <alignment horizontal="right"/>
    </xf>
    <xf numFmtId="176" fontId="29" fillId="15" borderId="337" applyBorder="0">
      <alignment horizontal="right"/>
    </xf>
    <xf numFmtId="177" fontId="114" fillId="0" borderId="337" applyBorder="0"/>
    <xf numFmtId="0" fontId="18" fillId="2" borderId="343" applyNumberFormat="0" applyFont="0" applyAlignment="0" applyProtection="0"/>
    <xf numFmtId="0" fontId="244" fillId="4" borderId="341" applyNumberFormat="0" applyAlignment="0" applyProtection="0"/>
    <xf numFmtId="0" fontId="18" fillId="0" borderId="339" applyNumberFormat="0" applyFill="0" applyAlignment="0" applyProtection="0"/>
    <xf numFmtId="0" fontId="247" fillId="28" borderId="344" applyNumberFormat="0" applyAlignment="0" applyProtection="0"/>
    <xf numFmtId="0" fontId="249" fillId="0" borderId="345" applyNumberFormat="0" applyFill="0" applyAlignment="0" applyProtection="0"/>
    <xf numFmtId="0" fontId="18" fillId="0" borderId="339" applyNumberFormat="0" applyFill="0" applyAlignment="0" applyProtection="0"/>
    <xf numFmtId="0" fontId="244" fillId="4" borderId="341" applyNumberFormat="0" applyAlignment="0" applyProtection="0"/>
    <xf numFmtId="0" fontId="244" fillId="4" borderId="341" applyNumberFormat="0" applyAlignment="0" applyProtection="0"/>
    <xf numFmtId="0" fontId="237" fillId="28" borderId="341" applyNumberFormat="0" applyAlignment="0" applyProtection="0"/>
    <xf numFmtId="0" fontId="18" fillId="2" borderId="343" applyNumberFormat="0" applyFont="0" applyAlignment="0" applyProtection="0"/>
    <xf numFmtId="0" fontId="18" fillId="0" borderId="339" applyNumberFormat="0" applyFill="0" applyAlignment="0" applyProtection="0"/>
    <xf numFmtId="0" fontId="99" fillId="0" borderId="336" applyNumberFormat="0" applyFill="0" applyAlignment="0" applyProtection="0"/>
    <xf numFmtId="8" fontId="138" fillId="0" borderId="342">
      <protection locked="0"/>
    </xf>
    <xf numFmtId="0" fontId="244" fillId="4" borderId="341" applyNumberFormat="0" applyAlignment="0" applyProtection="0"/>
    <xf numFmtId="0" fontId="18" fillId="0" borderId="339" applyNumberFormat="0" applyFill="0" applyAlignment="0" applyProtection="0"/>
    <xf numFmtId="0" fontId="18" fillId="0" borderId="339" applyNumberFormat="0" applyFill="0" applyAlignment="0" applyProtection="0"/>
    <xf numFmtId="9" fontId="96" fillId="25" borderId="340" applyNumberFormat="0" applyFont="0" applyAlignment="0" applyProtection="0"/>
    <xf numFmtId="4" fontId="137" fillId="0" borderId="340" applyFont="0" applyFill="0" applyBorder="0" applyAlignment="0" applyProtection="0"/>
    <xf numFmtId="259" fontId="37" fillId="25" borderId="340" applyNumberFormat="0" applyFont="0" applyAlignment="0"/>
    <xf numFmtId="0" fontId="244" fillId="4" borderId="341" applyNumberFormat="0" applyAlignment="0" applyProtection="0"/>
    <xf numFmtId="10" fontId="18" fillId="25" borderId="340" applyNumberFormat="0" applyBorder="0" applyAlignment="0" applyProtection="0"/>
    <xf numFmtId="169" fontId="137" fillId="0" borderId="340" applyNumberFormat="0" applyFill="0" applyAlignment="0" applyProtection="0"/>
    <xf numFmtId="195" fontId="18" fillId="29" borderId="337" applyNumberFormat="0" applyFont="0" applyBorder="0" applyAlignment="0" applyProtection="0">
      <alignment horizontal="right"/>
    </xf>
    <xf numFmtId="0" fontId="244" fillId="4" borderId="341" applyNumberFormat="0" applyAlignment="0" applyProtection="0"/>
    <xf numFmtId="0" fontId="18" fillId="0" borderId="339" applyNumberFormat="0" applyFill="0" applyAlignment="0" applyProtection="0"/>
    <xf numFmtId="10" fontId="18" fillId="25" borderId="340" applyNumberFormat="0" applyBorder="0" applyAlignment="0" applyProtection="0"/>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244" fillId="4" borderId="341" applyNumberFormat="0" applyAlignment="0" applyProtection="0"/>
    <xf numFmtId="0" fontId="244" fillId="4" borderId="341" applyNumberFormat="0" applyAlignment="0" applyProtection="0"/>
    <xf numFmtId="0" fontId="18" fillId="0" borderId="339" applyNumberFormat="0" applyFill="0" applyAlignment="0" applyProtection="0"/>
    <xf numFmtId="0" fontId="249" fillId="0" borderId="345" applyNumberFormat="0" applyFill="0" applyAlignment="0" applyProtection="0"/>
    <xf numFmtId="0" fontId="247" fillId="28" borderId="344" applyNumberFormat="0" applyAlignment="0" applyProtection="0"/>
    <xf numFmtId="0" fontId="18" fillId="0" borderId="339" applyNumberFormat="0" applyFill="0" applyAlignment="0" applyProtection="0"/>
    <xf numFmtId="0" fontId="244" fillId="4" borderId="341" applyNumberFormat="0" applyAlignment="0" applyProtection="0"/>
    <xf numFmtId="0" fontId="18" fillId="2" borderId="343" applyNumberFormat="0" applyFont="0" applyAlignment="0" applyProtection="0"/>
    <xf numFmtId="177" fontId="114" fillId="0" borderId="337" applyBorder="0"/>
    <xf numFmtId="176" fontId="29" fillId="15" borderId="337" applyBorder="0">
      <alignment horizontal="right"/>
    </xf>
    <xf numFmtId="176" fontId="29" fillId="0" borderId="337" applyBorder="0">
      <alignment horizontal="right"/>
    </xf>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140" fillId="0" borderId="337" applyNumberFormat="0" applyBorder="0"/>
    <xf numFmtId="176" fontId="29" fillId="0" borderId="337" applyBorder="0">
      <alignment horizontal="right"/>
    </xf>
    <xf numFmtId="176" fontId="29" fillId="15" borderId="337" applyBorder="0">
      <alignment horizontal="right"/>
    </xf>
    <xf numFmtId="177" fontId="114" fillId="0" borderId="337" applyBorder="0"/>
    <xf numFmtId="0" fontId="18" fillId="2" borderId="343" applyNumberFormat="0" applyFont="0" applyAlignment="0" applyProtection="0"/>
    <xf numFmtId="0" fontId="244" fillId="4" borderId="341" applyNumberFormat="0" applyAlignment="0" applyProtection="0"/>
    <xf numFmtId="0" fontId="18" fillId="0" borderId="339" applyNumberFormat="0" applyFill="0" applyAlignment="0" applyProtection="0"/>
    <xf numFmtId="0" fontId="247" fillId="28" borderId="344" applyNumberFormat="0" applyAlignment="0" applyProtection="0"/>
    <xf numFmtId="0" fontId="249" fillId="0" borderId="345" applyNumberFormat="0" applyFill="0" applyAlignment="0" applyProtection="0"/>
    <xf numFmtId="0" fontId="18" fillId="0" borderId="339" applyNumberFormat="0" applyFill="0" applyAlignment="0" applyProtection="0"/>
    <xf numFmtId="0" fontId="244" fillId="4" borderId="341" applyNumberFormat="0" applyAlignment="0" applyProtection="0"/>
    <xf numFmtId="0" fontId="244" fillId="4" borderId="341" applyNumberFormat="0" applyAlignment="0" applyProtection="0"/>
    <xf numFmtId="0" fontId="237" fillId="28" borderId="341" applyNumberFormat="0" applyAlignment="0" applyProtection="0"/>
    <xf numFmtId="0" fontId="18" fillId="2" borderId="343" applyNumberFormat="0" applyFont="0" applyAlignment="0" applyProtection="0"/>
    <xf numFmtId="0" fontId="18" fillId="0" borderId="339" applyNumberFormat="0" applyFill="0" applyAlignment="0" applyProtection="0"/>
    <xf numFmtId="0" fontId="99" fillId="0" borderId="336" applyNumberFormat="0" applyFill="0" applyAlignment="0" applyProtection="0"/>
    <xf numFmtId="177" fontId="114" fillId="0" borderId="337" applyBorder="0"/>
    <xf numFmtId="176" fontId="29" fillId="15" borderId="337" applyBorder="0">
      <alignment horizontal="right"/>
    </xf>
    <xf numFmtId="176" fontId="29" fillId="0" borderId="337" applyBorder="0">
      <alignment horizontal="right"/>
    </xf>
    <xf numFmtId="0" fontId="18" fillId="0" borderId="339" applyNumberFormat="0" applyFill="0" applyAlignment="0" applyProtection="0"/>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0" fontId="244" fillId="4" borderId="341" applyNumberFormat="0" applyAlignment="0" applyProtection="0"/>
    <xf numFmtId="0" fontId="18" fillId="0" borderId="339" applyNumberFormat="0" applyFill="0" applyAlignment="0" applyProtection="0"/>
    <xf numFmtId="195" fontId="18" fillId="29" borderId="337" applyNumberFormat="0" applyFont="0" applyBorder="0" applyAlignment="0" applyProtection="0">
      <alignment horizontal="right"/>
    </xf>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244" fillId="4" borderId="341" applyNumberFormat="0" applyAlignment="0" applyProtection="0"/>
    <xf numFmtId="0" fontId="244" fillId="4" borderId="341" applyNumberFormat="0" applyAlignment="0" applyProtection="0"/>
    <xf numFmtId="0" fontId="18" fillId="0" borderId="339" applyNumberFormat="0" applyFill="0" applyAlignment="0" applyProtection="0"/>
    <xf numFmtId="0" fontId="249" fillId="0" borderId="345" applyNumberFormat="0" applyFill="0" applyAlignment="0" applyProtection="0"/>
    <xf numFmtId="0" fontId="247" fillId="28" borderId="344" applyNumberFormat="0" applyAlignment="0" applyProtection="0"/>
    <xf numFmtId="0" fontId="18" fillId="0" borderId="339" applyNumberFormat="0" applyFill="0" applyAlignment="0" applyProtection="0"/>
    <xf numFmtId="0" fontId="244" fillId="4" borderId="341" applyNumberFormat="0" applyAlignment="0" applyProtection="0"/>
    <xf numFmtId="0" fontId="18" fillId="2" borderId="343" applyNumberFormat="0" applyFont="0" applyAlignment="0" applyProtection="0"/>
    <xf numFmtId="177" fontId="114" fillId="0" borderId="337" applyBorder="0"/>
    <xf numFmtId="176" fontId="29" fillId="15" borderId="337" applyBorder="0">
      <alignment horizontal="right"/>
    </xf>
    <xf numFmtId="176" fontId="29" fillId="0" borderId="337" applyBorder="0">
      <alignment horizontal="right"/>
    </xf>
    <xf numFmtId="3" fontId="115" fillId="24" borderId="338" applyBorder="0">
      <protection locked="0"/>
    </xf>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99" fillId="0" borderId="336" applyNumberFormat="0" applyFill="0" applyAlignment="0" applyProtection="0"/>
    <xf numFmtId="0" fontId="99" fillId="0" borderId="336" applyNumberFormat="0" applyFill="0" applyAlignment="0" applyProtection="0"/>
    <xf numFmtId="0" fontId="81" fillId="0" borderId="337" applyNumberFormat="0" applyFill="0" applyProtection="0">
      <alignment horizontal="right"/>
    </xf>
    <xf numFmtId="0" fontId="99" fillId="0" borderId="336" applyNumberFormat="0" applyFill="0" applyAlignment="0" applyProtection="0"/>
    <xf numFmtId="195" fontId="18" fillId="29" borderId="337" applyNumberFormat="0" applyFont="0" applyBorder="0" applyAlignment="0" applyProtection="0">
      <alignment horizontal="right"/>
    </xf>
    <xf numFmtId="37" fontId="89" fillId="0" borderId="337" applyNumberFormat="0" applyFont="0" applyFill="0" applyAlignment="0" applyProtection="0"/>
    <xf numFmtId="8" fontId="138" fillId="0" borderId="342">
      <protection locked="0"/>
    </xf>
    <xf numFmtId="0" fontId="244" fillId="4" borderId="341" applyNumberFormat="0" applyAlignment="0" applyProtection="0"/>
    <xf numFmtId="0" fontId="18" fillId="0" borderId="339" applyNumberFormat="0" applyFill="0" applyAlignment="0" applyProtection="0"/>
    <xf numFmtId="0" fontId="18" fillId="0" borderId="339" applyNumberFormat="0" applyFill="0" applyAlignment="0" applyProtection="0"/>
    <xf numFmtId="9" fontId="96" fillId="25" borderId="340" applyNumberFormat="0" applyFont="0" applyAlignment="0" applyProtection="0"/>
    <xf numFmtId="4" fontId="137" fillId="0" borderId="340" applyFont="0" applyFill="0" applyBorder="0" applyAlignment="0" applyProtection="0"/>
    <xf numFmtId="259" fontId="37" fillId="25" borderId="340" applyNumberFormat="0" applyFont="0" applyAlignment="0"/>
    <xf numFmtId="0" fontId="244" fillId="4" borderId="341" applyNumberFormat="0" applyAlignment="0" applyProtection="0"/>
    <xf numFmtId="10" fontId="18" fillId="25" borderId="340" applyNumberFormat="0" applyBorder="0" applyAlignment="0" applyProtection="0"/>
    <xf numFmtId="169" fontId="137" fillId="0" borderId="340" applyNumberFormat="0" applyFill="0" applyAlignment="0" applyProtection="0"/>
    <xf numFmtId="195" fontId="18" fillId="29" borderId="337" applyNumberFormat="0" applyFont="0" applyBorder="0" applyAlignment="0" applyProtection="0">
      <alignment horizontal="right"/>
    </xf>
    <xf numFmtId="3" fontId="115" fillId="24" borderId="338" applyBorder="0">
      <protection locked="0"/>
    </xf>
    <xf numFmtId="0" fontId="244" fillId="4" borderId="341" applyNumberFormat="0" applyAlignment="0" applyProtection="0"/>
    <xf numFmtId="0" fontId="18" fillId="0" borderId="339" applyNumberFormat="0" applyFill="0" applyAlignment="0" applyProtection="0"/>
    <xf numFmtId="10" fontId="18" fillId="25" borderId="340" applyNumberFormat="0" applyBorder="0" applyAlignment="0" applyProtection="0"/>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244" fillId="4" borderId="341" applyNumberFormat="0" applyAlignment="0" applyProtection="0"/>
    <xf numFmtId="0" fontId="244" fillId="4" borderId="341" applyNumberFormat="0" applyAlignment="0" applyProtection="0"/>
    <xf numFmtId="0" fontId="18" fillId="0" borderId="339" applyNumberFormat="0" applyFill="0" applyAlignment="0" applyProtection="0"/>
    <xf numFmtId="0" fontId="249" fillId="0" borderId="345" applyNumberFormat="0" applyFill="0" applyAlignment="0" applyProtection="0"/>
    <xf numFmtId="0" fontId="247" fillId="28" borderId="344" applyNumberFormat="0" applyAlignment="0" applyProtection="0"/>
    <xf numFmtId="0" fontId="18" fillId="0" borderId="339" applyNumberFormat="0" applyFill="0" applyAlignment="0" applyProtection="0"/>
    <xf numFmtId="0" fontId="244" fillId="4" borderId="341" applyNumberFormat="0" applyAlignment="0" applyProtection="0"/>
    <xf numFmtId="0" fontId="18" fillId="2" borderId="343" applyNumberFormat="0" applyFont="0" applyAlignment="0" applyProtection="0"/>
    <xf numFmtId="177" fontId="114" fillId="0" borderId="337" applyBorder="0"/>
    <xf numFmtId="176" fontId="29" fillId="15" borderId="337" applyBorder="0">
      <alignment horizontal="right"/>
    </xf>
    <xf numFmtId="176" fontId="29" fillId="0" borderId="337" applyBorder="0">
      <alignment horizontal="right"/>
    </xf>
    <xf numFmtId="3" fontId="115" fillId="24" borderId="338" applyBorder="0">
      <protection locked="0"/>
    </xf>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140" fillId="0" borderId="337" applyNumberFormat="0" applyBorder="0"/>
    <xf numFmtId="176" fontId="29" fillId="0" borderId="337" applyBorder="0">
      <alignment horizontal="right"/>
    </xf>
    <xf numFmtId="176" fontId="29" fillId="15" borderId="337" applyBorder="0">
      <alignment horizontal="right"/>
    </xf>
    <xf numFmtId="177" fontId="114" fillId="0" borderId="337" applyBorder="0"/>
    <xf numFmtId="0" fontId="18" fillId="2" borderId="343" applyNumberFormat="0" applyFont="0" applyAlignment="0" applyProtection="0"/>
    <xf numFmtId="0" fontId="244" fillId="4" borderId="341" applyNumberFormat="0" applyAlignment="0" applyProtection="0"/>
    <xf numFmtId="0" fontId="18" fillId="0" borderId="339" applyNumberFormat="0" applyFill="0" applyAlignment="0" applyProtection="0"/>
    <xf numFmtId="0" fontId="247" fillId="28" borderId="344" applyNumberFormat="0" applyAlignment="0" applyProtection="0"/>
    <xf numFmtId="0" fontId="249" fillId="0" borderId="345" applyNumberFormat="0" applyFill="0" applyAlignment="0" applyProtection="0"/>
    <xf numFmtId="0" fontId="18" fillId="0" borderId="339" applyNumberFormat="0" applyFill="0" applyAlignment="0" applyProtection="0"/>
    <xf numFmtId="0" fontId="244" fillId="4" borderId="341" applyNumberFormat="0" applyAlignment="0" applyProtection="0"/>
    <xf numFmtId="0" fontId="244" fillId="4" borderId="341" applyNumberFormat="0" applyAlignment="0" applyProtection="0"/>
    <xf numFmtId="0" fontId="237" fillId="28" borderId="341" applyNumberFormat="0" applyAlignment="0" applyProtection="0"/>
    <xf numFmtId="0" fontId="18" fillId="2" borderId="343" applyNumberFormat="0" applyFont="0" applyAlignment="0" applyProtection="0"/>
    <xf numFmtId="0" fontId="18" fillId="0" borderId="339" applyNumberFormat="0" applyFill="0" applyAlignment="0" applyProtection="0"/>
    <xf numFmtId="0" fontId="99" fillId="0" borderId="336" applyNumberFormat="0" applyFill="0" applyAlignment="0" applyProtection="0"/>
    <xf numFmtId="0" fontId="99" fillId="0" borderId="336" applyNumberFormat="0" applyFill="0" applyAlignment="0" applyProtection="0"/>
    <xf numFmtId="195" fontId="18" fillId="29" borderId="337" applyNumberFormat="0" applyFont="0" applyBorder="0" applyAlignment="0" applyProtection="0">
      <alignment horizontal="right"/>
    </xf>
    <xf numFmtId="37" fontId="89" fillId="0" borderId="337" applyNumberFormat="0" applyFont="0" applyFill="0" applyAlignment="0" applyProtection="0"/>
    <xf numFmtId="8" fontId="138" fillId="0" borderId="342">
      <protection locked="0"/>
    </xf>
    <xf numFmtId="10" fontId="18" fillId="25" borderId="340" applyNumberFormat="0" applyBorder="0" applyAlignment="0" applyProtection="0"/>
    <xf numFmtId="169" fontId="137" fillId="0" borderId="340" applyNumberFormat="0" applyFill="0" applyAlignment="0" applyProtection="0"/>
    <xf numFmtId="0" fontId="244" fillId="4" borderId="341" applyNumberFormat="0" applyAlignment="0" applyProtection="0"/>
    <xf numFmtId="259" fontId="37" fillId="25" borderId="340" applyNumberFormat="0" applyFont="0" applyAlignment="0"/>
    <xf numFmtId="0" fontId="18" fillId="0" borderId="339" applyNumberFormat="0" applyFill="0" applyAlignment="0" applyProtection="0"/>
    <xf numFmtId="0" fontId="18" fillId="0" borderId="339" applyNumberFormat="0" applyFill="0" applyAlignment="0" applyProtection="0"/>
    <xf numFmtId="9" fontId="96" fillId="25" borderId="340" applyNumberFormat="0" applyFont="0" applyAlignment="0" applyProtection="0"/>
    <xf numFmtId="4" fontId="137" fillId="0" borderId="340" applyFont="0" applyFill="0" applyBorder="0" applyAlignment="0" applyProtection="0"/>
    <xf numFmtId="259" fontId="37" fillId="25" borderId="340" applyNumberFormat="0" applyFont="0" applyAlignment="0"/>
    <xf numFmtId="10" fontId="18" fillId="25" borderId="340" applyNumberFormat="0" applyBorder="0" applyAlignment="0" applyProtection="0"/>
    <xf numFmtId="169" fontId="137" fillId="0" borderId="340" applyNumberFormat="0" applyFill="0" applyAlignment="0" applyProtection="0"/>
    <xf numFmtId="195" fontId="18" fillId="29" borderId="337" applyNumberFormat="0" applyFont="0" applyBorder="0" applyAlignment="0" applyProtection="0">
      <alignment horizontal="right"/>
    </xf>
    <xf numFmtId="0" fontId="244" fillId="4" borderId="341" applyNumberFormat="0" applyAlignment="0" applyProtection="0"/>
    <xf numFmtId="10" fontId="18" fillId="25" borderId="340" applyNumberFormat="0" applyBorder="0" applyAlignment="0" applyProtection="0"/>
    <xf numFmtId="4" fontId="137" fillId="0" borderId="340" applyFont="0" applyFill="0" applyBorder="0" applyAlignment="0" applyProtection="0"/>
    <xf numFmtId="9" fontId="96" fillId="25" borderId="340" applyNumberFormat="0" applyFont="0" applyAlignment="0" applyProtection="0"/>
    <xf numFmtId="0" fontId="18" fillId="0" borderId="339" applyNumberFormat="0" applyFill="0" applyAlignment="0" applyProtection="0"/>
    <xf numFmtId="10" fontId="18" fillId="25" borderId="340" applyNumberFormat="0" applyBorder="0" applyAlignment="0" applyProtection="0"/>
    <xf numFmtId="0" fontId="18" fillId="2" borderId="343" applyNumberFormat="0" applyFont="0" applyAlignment="0" applyProtection="0"/>
    <xf numFmtId="0" fontId="244" fillId="4" borderId="341" applyNumberFormat="0" applyAlignment="0" applyProtection="0"/>
    <xf numFmtId="8" fontId="138" fillId="0" borderId="342">
      <protection locked="0"/>
    </xf>
    <xf numFmtId="0" fontId="237" fillId="28" borderId="341" applyNumberFormat="0" applyAlignment="0" applyProtection="0"/>
    <xf numFmtId="0" fontId="244" fillId="4" borderId="341" applyNumberFormat="0" applyAlignment="0" applyProtection="0"/>
    <xf numFmtId="0" fontId="244" fillId="4" borderId="341" applyNumberFormat="0" applyAlignment="0" applyProtection="0"/>
    <xf numFmtId="0" fontId="18" fillId="0" borderId="339" applyNumberFormat="0" applyFill="0" applyAlignment="0" applyProtection="0"/>
    <xf numFmtId="0" fontId="249" fillId="0" borderId="345" applyNumberFormat="0" applyFill="0" applyAlignment="0" applyProtection="0"/>
    <xf numFmtId="0" fontId="247" fillId="28" borderId="344" applyNumberFormat="0" applyAlignment="0" applyProtection="0"/>
    <xf numFmtId="0" fontId="18" fillId="0" borderId="339" applyNumberFormat="0" applyFill="0" applyAlignment="0" applyProtection="0"/>
    <xf numFmtId="0" fontId="244" fillId="4" borderId="341" applyNumberFormat="0" applyAlignment="0" applyProtection="0"/>
    <xf numFmtId="0" fontId="18" fillId="2" borderId="343" applyNumberFormat="0" applyFont="0" applyAlignment="0" applyProtection="0"/>
    <xf numFmtId="177" fontId="114" fillId="0" borderId="337" applyBorder="0"/>
    <xf numFmtId="176" fontId="29" fillId="15" borderId="337" applyBorder="0">
      <alignment horizontal="right"/>
    </xf>
    <xf numFmtId="176" fontId="29" fillId="0" borderId="337" applyBorder="0">
      <alignment horizontal="right"/>
    </xf>
    <xf numFmtId="37" fontId="89" fillId="0" borderId="337" applyNumberFormat="0" applyFont="0" applyFill="0" applyAlignment="0" applyProtection="0"/>
    <xf numFmtId="0" fontId="140" fillId="0" borderId="337" applyNumberFormat="0" applyBorder="0"/>
    <xf numFmtId="195" fontId="18" fillId="29" borderId="337" applyNumberFormat="0" applyFont="0" applyBorder="0" applyAlignment="0" applyProtection="0">
      <alignment horizontal="right"/>
    </xf>
    <xf numFmtId="195" fontId="18" fillId="29" borderId="337" applyNumberFormat="0" applyFont="0" applyBorder="0" applyAlignment="0" applyProtection="0">
      <alignment horizontal="right"/>
    </xf>
    <xf numFmtId="0" fontId="140" fillId="0" borderId="337" applyNumberFormat="0" applyBorder="0"/>
    <xf numFmtId="176" fontId="29" fillId="0" borderId="337" applyBorder="0">
      <alignment horizontal="right"/>
    </xf>
    <xf numFmtId="176" fontId="29" fillId="15" borderId="337" applyBorder="0">
      <alignment horizontal="right"/>
    </xf>
    <xf numFmtId="177" fontId="114" fillId="0" borderId="337" applyBorder="0"/>
    <xf numFmtId="0" fontId="18" fillId="2" borderId="343" applyNumberFormat="0" applyFont="0" applyAlignment="0" applyProtection="0"/>
    <xf numFmtId="0" fontId="244" fillId="4" borderId="341" applyNumberFormat="0" applyAlignment="0" applyProtection="0"/>
    <xf numFmtId="0" fontId="18" fillId="0" borderId="339" applyNumberFormat="0" applyFill="0" applyAlignment="0" applyProtection="0"/>
    <xf numFmtId="0" fontId="247" fillId="28" borderId="344" applyNumberFormat="0" applyAlignment="0" applyProtection="0"/>
    <xf numFmtId="0" fontId="249" fillId="0" borderId="345" applyNumberFormat="0" applyFill="0" applyAlignment="0" applyProtection="0"/>
    <xf numFmtId="0" fontId="18" fillId="0" borderId="339" applyNumberFormat="0" applyFill="0" applyAlignment="0" applyProtection="0"/>
    <xf numFmtId="0" fontId="244" fillId="4" borderId="341" applyNumberFormat="0" applyAlignment="0" applyProtection="0"/>
    <xf numFmtId="0" fontId="244" fillId="4" borderId="341" applyNumberFormat="0" applyAlignment="0" applyProtection="0"/>
    <xf numFmtId="0" fontId="237" fillId="28" borderId="341" applyNumberFormat="0" applyAlignment="0" applyProtection="0"/>
    <xf numFmtId="0" fontId="18" fillId="2" borderId="343" applyNumberFormat="0" applyFont="0" applyAlignment="0" applyProtection="0"/>
    <xf numFmtId="0" fontId="18" fillId="0" borderId="339" applyNumberFormat="0" applyFill="0" applyAlignment="0" applyProtection="0"/>
    <xf numFmtId="0" fontId="99" fillId="0" borderId="336" applyNumberFormat="0" applyFill="0" applyAlignment="0" applyProtection="0"/>
    <xf numFmtId="0" fontId="18" fillId="2" borderId="376" applyNumberFormat="0" applyFont="0" applyAlignment="0" applyProtection="0"/>
    <xf numFmtId="0" fontId="18" fillId="0" borderId="373" applyNumberFormat="0" applyFill="0" applyAlignment="0" applyProtection="0"/>
    <xf numFmtId="193" fontId="66" fillId="23" borderId="370" applyFont="0">
      <alignment horizontal="right"/>
    </xf>
    <xf numFmtId="0" fontId="99" fillId="0" borderId="371" applyNumberFormat="0" applyFill="0" applyAlignment="0" applyProtection="0"/>
    <xf numFmtId="174" fontId="28" fillId="18" borderId="362" applyNumberFormat="0" applyFont="0" applyBorder="0" applyAlignment="0" applyProtection="0">
      <alignment horizontal="center"/>
    </xf>
    <xf numFmtId="39" fontId="33" fillId="0" borderId="370" applyNumberFormat="0" applyBorder="0">
      <alignment horizontal="right"/>
    </xf>
    <xf numFmtId="1" fontId="85" fillId="0" borderId="370" applyFill="0" applyProtection="0">
      <alignment horizontal="right"/>
    </xf>
    <xf numFmtId="39" fontId="33" fillId="0" borderId="370" applyNumberFormat="0" applyBorder="0">
      <alignment horizontal="right"/>
    </xf>
    <xf numFmtId="1" fontId="85" fillId="0" borderId="370" applyFill="0" applyProtection="0">
      <alignment horizontal="right"/>
    </xf>
    <xf numFmtId="177" fontId="114" fillId="0" borderId="382" applyBorder="0"/>
    <xf numFmtId="176" fontId="29" fillId="15" borderId="382" applyBorder="0">
      <alignment horizontal="right"/>
    </xf>
    <xf numFmtId="176" fontId="29" fillId="0" borderId="382" applyBorder="0">
      <alignment horizontal="right"/>
    </xf>
    <xf numFmtId="193" fontId="66" fillId="23" borderId="370" applyFont="0">
      <alignment horizontal="right"/>
    </xf>
    <xf numFmtId="3" fontId="115" fillId="24" borderId="383" applyBorder="0">
      <protection locked="0"/>
    </xf>
    <xf numFmtId="0" fontId="18" fillId="0" borderId="384" applyNumberFormat="0" applyFill="0" applyAlignment="0" applyProtection="0"/>
    <xf numFmtId="0" fontId="124" fillId="0" borderId="385"/>
    <xf numFmtId="0" fontId="126" fillId="0" borderId="385" applyNumberFormat="0" applyFill="0" applyAlignment="0" applyProtection="0"/>
    <xf numFmtId="37" fontId="89" fillId="0" borderId="382" applyNumberFormat="0" applyFont="0" applyFill="0" applyAlignment="0" applyProtection="0"/>
    <xf numFmtId="0" fontId="140" fillId="0" borderId="382" applyNumberFormat="0" applyBorder="0"/>
    <xf numFmtId="195" fontId="18" fillId="29" borderId="382" applyNumberFormat="0" applyFont="0" applyBorder="0" applyAlignment="0" applyProtection="0">
      <alignment horizontal="right"/>
    </xf>
    <xf numFmtId="0" fontId="29" fillId="0" borderId="370" applyFont="0" applyFill="0" applyBorder="0" applyAlignment="0" applyProtection="0">
      <alignment horizontal="center"/>
    </xf>
    <xf numFmtId="0" fontId="51" fillId="0" borderId="370">
      <alignment horizontal="left" vertical="center"/>
    </xf>
    <xf numFmtId="0" fontId="244" fillId="4" borderId="349" applyNumberFormat="0" applyAlignment="0" applyProtection="0"/>
    <xf numFmtId="193" fontId="66" fillId="23" borderId="370" applyFont="0">
      <alignment horizontal="right"/>
    </xf>
    <xf numFmtId="0" fontId="18" fillId="0" borderId="384" applyNumberFormat="0" applyFill="0" applyAlignment="0" applyProtection="0"/>
    <xf numFmtId="0" fontId="124" fillId="0" borderId="385"/>
    <xf numFmtId="0" fontId="126" fillId="0" borderId="385" applyNumberFormat="0" applyFill="0" applyAlignment="0" applyProtection="0"/>
    <xf numFmtId="195" fontId="18" fillId="29" borderId="382" applyNumberFormat="0" applyFont="0" applyBorder="0" applyAlignment="0" applyProtection="0">
      <alignment horizontal="right"/>
    </xf>
    <xf numFmtId="0" fontId="18" fillId="2" borderId="351" applyNumberFormat="0" applyFont="0" applyAlignment="0" applyProtection="0"/>
    <xf numFmtId="0" fontId="244" fillId="4" borderId="349" applyNumberFormat="0" applyAlignment="0" applyProtection="0"/>
    <xf numFmtId="8" fontId="138" fillId="0" borderId="350">
      <protection locked="0"/>
    </xf>
    <xf numFmtId="0" fontId="237" fillId="28" borderId="349" applyNumberFormat="0" applyAlignment="0" applyProtection="0"/>
    <xf numFmtId="0" fontId="244" fillId="4" borderId="349" applyNumberFormat="0" applyAlignment="0" applyProtection="0"/>
    <xf numFmtId="0" fontId="244" fillId="4" borderId="349" applyNumberFormat="0" applyAlignment="0" applyProtection="0"/>
    <xf numFmtId="0" fontId="18" fillId="0" borderId="348" applyNumberFormat="0" applyFill="0" applyAlignment="0" applyProtection="0"/>
    <xf numFmtId="0" fontId="249" fillId="0" borderId="353" applyNumberFormat="0" applyFill="0" applyAlignment="0" applyProtection="0"/>
    <xf numFmtId="0" fontId="247" fillId="28" borderId="352" applyNumberFormat="0" applyAlignment="0" applyProtection="0"/>
    <xf numFmtId="0" fontId="18" fillId="0" borderId="348" applyNumberFormat="0" applyFill="0" applyAlignment="0" applyProtection="0"/>
    <xf numFmtId="0" fontId="244" fillId="4" borderId="349" applyNumberFormat="0" applyAlignment="0" applyProtection="0"/>
    <xf numFmtId="0" fontId="18" fillId="2" borderId="351" applyNumberFormat="0" applyFont="0" applyAlignment="0" applyProtection="0"/>
    <xf numFmtId="177" fontId="114" fillId="0" borderId="334" applyBorder="0"/>
    <xf numFmtId="176" fontId="29" fillId="15" borderId="334" applyBorder="0">
      <alignment horizontal="right"/>
    </xf>
    <xf numFmtId="176" fontId="29" fillId="0" borderId="334" applyBorder="0">
      <alignment horizontal="right"/>
    </xf>
    <xf numFmtId="3" fontId="115" fillId="24" borderId="335" applyBorder="0">
      <protection locked="0"/>
    </xf>
    <xf numFmtId="37" fontId="89" fillId="0" borderId="334" applyNumberFormat="0" applyFont="0" applyFill="0" applyAlignment="0" applyProtection="0"/>
    <xf numFmtId="0" fontId="140" fillId="0" borderId="334" applyNumberFormat="0" applyBorder="0"/>
    <xf numFmtId="195" fontId="18" fillId="29" borderId="334" applyNumberFormat="0" applyFont="0" applyBorder="0" applyAlignment="0" applyProtection="0">
      <alignment horizontal="right"/>
    </xf>
    <xf numFmtId="195" fontId="18" fillId="29" borderId="334" applyNumberFormat="0" applyFont="0" applyBorder="0" applyAlignment="0" applyProtection="0">
      <alignment horizontal="right"/>
    </xf>
    <xf numFmtId="0" fontId="99" fillId="0" borderId="381" applyNumberFormat="0" applyFill="0" applyAlignment="0" applyProtection="0"/>
    <xf numFmtId="0" fontId="99" fillId="0" borderId="381" applyNumberFormat="0" applyFill="0" applyAlignment="0" applyProtection="0"/>
    <xf numFmtId="0" fontId="81" fillId="0" borderId="382" applyNumberFormat="0" applyFill="0" applyProtection="0">
      <alignment horizontal="right"/>
    </xf>
    <xf numFmtId="39" fontId="33" fillId="0" borderId="347" applyNumberFormat="0" applyBorder="0">
      <alignment horizontal="right"/>
    </xf>
    <xf numFmtId="0" fontId="82" fillId="0" borderId="385" applyNumberFormat="0" applyFill="0" applyProtection="0"/>
    <xf numFmtId="1" fontId="85" fillId="0" borderId="347" applyFill="0" applyProtection="0">
      <alignment horizontal="right"/>
    </xf>
    <xf numFmtId="0" fontId="99" fillId="0" borderId="381" applyNumberFormat="0" applyFill="0" applyAlignment="0" applyProtection="0"/>
    <xf numFmtId="195" fontId="18" fillId="29" borderId="334" applyNumberFormat="0" applyFont="0" applyBorder="0" applyAlignment="0" applyProtection="0">
      <alignment horizontal="right"/>
    </xf>
    <xf numFmtId="37" fontId="89" fillId="0" borderId="334" applyNumberFormat="0" applyFont="0" applyFill="0" applyAlignment="0" applyProtection="0"/>
    <xf numFmtId="8" fontId="138" fillId="0" borderId="350">
      <protection locked="0"/>
    </xf>
    <xf numFmtId="0" fontId="244" fillId="4" borderId="349" applyNumberFormat="0" applyAlignment="0" applyProtection="0"/>
    <xf numFmtId="0" fontId="18" fillId="0" borderId="348" applyNumberFormat="0" applyFill="0" applyAlignment="0" applyProtection="0"/>
    <xf numFmtId="193" fontId="66" fillId="23" borderId="347" applyFont="0">
      <alignment horizontal="right"/>
    </xf>
    <xf numFmtId="193" fontId="66" fillId="23" borderId="347" applyFont="0">
      <alignment horizontal="right"/>
    </xf>
    <xf numFmtId="0" fontId="18" fillId="0" borderId="348" applyNumberFormat="0" applyFill="0" applyAlignment="0" applyProtection="0"/>
    <xf numFmtId="9" fontId="96" fillId="25" borderId="372" applyNumberFormat="0" applyFont="0" applyAlignment="0" applyProtection="0"/>
    <xf numFmtId="4" fontId="137" fillId="0" borderId="372" applyFont="0" applyFill="0" applyBorder="0" applyAlignment="0" applyProtection="0"/>
    <xf numFmtId="0" fontId="29" fillId="0" borderId="347" applyFont="0" applyFill="0" applyBorder="0" applyAlignment="0" applyProtection="0">
      <alignment horizontal="center"/>
    </xf>
    <xf numFmtId="259" fontId="37" fillId="25" borderId="372" applyNumberFormat="0" applyFont="0" applyAlignment="0"/>
    <xf numFmtId="0" fontId="51" fillId="0" borderId="347">
      <alignment horizontal="left" vertical="center"/>
    </xf>
    <xf numFmtId="0" fontId="244" fillId="4" borderId="349" applyNumberFormat="0" applyAlignment="0" applyProtection="0"/>
    <xf numFmtId="10" fontId="18" fillId="25" borderId="372" applyNumberFormat="0" applyBorder="0" applyAlignment="0" applyProtection="0"/>
    <xf numFmtId="169" fontId="137" fillId="0" borderId="372" applyNumberFormat="0" applyFill="0" applyAlignment="0" applyProtection="0"/>
    <xf numFmtId="195" fontId="18" fillId="29" borderId="334" applyNumberFormat="0" applyFont="0" applyBorder="0" applyAlignment="0" applyProtection="0">
      <alignment horizontal="right"/>
    </xf>
    <xf numFmtId="3" fontId="115" fillId="24" borderId="335" applyBorder="0">
      <protection locked="0"/>
    </xf>
    <xf numFmtId="0" fontId="244" fillId="4" borderId="349" applyNumberFormat="0" applyAlignment="0" applyProtection="0"/>
    <xf numFmtId="0" fontId="51" fillId="0" borderId="347">
      <alignment horizontal="left" vertical="center"/>
    </xf>
    <xf numFmtId="0" fontId="29" fillId="0" borderId="347" applyFont="0" applyFill="0" applyBorder="0" applyAlignment="0" applyProtection="0">
      <alignment horizontal="center"/>
    </xf>
    <xf numFmtId="193" fontId="66" fillId="23" borderId="347" applyFont="0">
      <alignment horizontal="right"/>
    </xf>
    <xf numFmtId="0" fontId="18" fillId="0" borderId="348" applyNumberFormat="0" applyFill="0" applyAlignment="0" applyProtection="0"/>
    <xf numFmtId="10" fontId="18" fillId="25" borderId="372" applyNumberFormat="0" applyBorder="0" applyAlignment="0" applyProtection="0"/>
    <xf numFmtId="0" fontId="18" fillId="2" borderId="351" applyNumberFormat="0" applyFont="0" applyAlignment="0" applyProtection="0"/>
    <xf numFmtId="0" fontId="244" fillId="4" borderId="349" applyNumberFormat="0" applyAlignment="0" applyProtection="0"/>
    <xf numFmtId="8" fontId="138" fillId="0" borderId="350">
      <protection locked="0"/>
    </xf>
    <xf numFmtId="0" fontId="237" fillId="28" borderId="349" applyNumberFormat="0" applyAlignment="0" applyProtection="0"/>
    <xf numFmtId="0" fontId="244" fillId="4" borderId="349" applyNumberFormat="0" applyAlignment="0" applyProtection="0"/>
    <xf numFmtId="0" fontId="244" fillId="4" borderId="349" applyNumberFormat="0" applyAlignment="0" applyProtection="0"/>
    <xf numFmtId="0" fontId="18" fillId="0" borderId="348" applyNumberFormat="0" applyFill="0" applyAlignment="0" applyProtection="0"/>
    <xf numFmtId="0" fontId="249" fillId="0" borderId="353" applyNumberFormat="0" applyFill="0" applyAlignment="0" applyProtection="0"/>
    <xf numFmtId="0" fontId="247" fillId="28" borderId="352" applyNumberFormat="0" applyAlignment="0" applyProtection="0"/>
    <xf numFmtId="0" fontId="18" fillId="0" borderId="348" applyNumberFormat="0" applyFill="0" applyAlignment="0" applyProtection="0"/>
    <xf numFmtId="0" fontId="244" fillId="4" borderId="349" applyNumberFormat="0" applyAlignment="0" applyProtection="0"/>
    <xf numFmtId="0" fontId="18" fillId="2" borderId="351" applyNumberFormat="0" applyFont="0" applyAlignment="0" applyProtection="0"/>
    <xf numFmtId="177" fontId="114" fillId="0" borderId="334" applyBorder="0"/>
    <xf numFmtId="176" fontId="29" fillId="15" borderId="334" applyBorder="0">
      <alignment horizontal="right"/>
    </xf>
    <xf numFmtId="176" fontId="29" fillId="0" borderId="334" applyBorder="0">
      <alignment horizontal="right"/>
    </xf>
    <xf numFmtId="3" fontId="115" fillId="24" borderId="335" applyBorder="0">
      <protection locked="0"/>
    </xf>
    <xf numFmtId="37" fontId="89" fillId="0" borderId="334" applyNumberFormat="0" applyFont="0" applyFill="0" applyAlignment="0" applyProtection="0"/>
    <xf numFmtId="0" fontId="140" fillId="0" borderId="334" applyNumberFormat="0" applyBorder="0"/>
    <xf numFmtId="195" fontId="18" fillId="29" borderId="334" applyNumberFormat="0" applyFont="0" applyBorder="0" applyAlignment="0" applyProtection="0">
      <alignment horizontal="right"/>
    </xf>
    <xf numFmtId="195" fontId="18" fillId="29" borderId="334" applyNumberFormat="0" applyFont="0" applyBorder="0" applyAlignment="0" applyProtection="0">
      <alignment horizontal="right"/>
    </xf>
    <xf numFmtId="0" fontId="140" fillId="0" borderId="334" applyNumberFormat="0" applyBorder="0"/>
    <xf numFmtId="176" fontId="29" fillId="0" borderId="334" applyBorder="0">
      <alignment horizontal="right"/>
    </xf>
    <xf numFmtId="176" fontId="29" fillId="15" borderId="334" applyBorder="0">
      <alignment horizontal="right"/>
    </xf>
    <xf numFmtId="177" fontId="114" fillId="0" borderId="334" applyBorder="0"/>
    <xf numFmtId="0" fontId="18" fillId="2" borderId="351" applyNumberFormat="0" applyFont="0" applyAlignment="0" applyProtection="0"/>
    <xf numFmtId="0" fontId="244" fillId="4" borderId="349" applyNumberFormat="0" applyAlignment="0" applyProtection="0"/>
    <xf numFmtId="0" fontId="18" fillId="0" borderId="348" applyNumberFormat="0" applyFill="0" applyAlignment="0" applyProtection="0"/>
    <xf numFmtId="0" fontId="247" fillId="28" borderId="352" applyNumberFormat="0" applyAlignment="0" applyProtection="0"/>
    <xf numFmtId="0" fontId="249" fillId="0" borderId="353" applyNumberFormat="0" applyFill="0" applyAlignment="0" applyProtection="0"/>
    <xf numFmtId="0" fontId="18" fillId="0" borderId="348" applyNumberFormat="0" applyFill="0" applyAlignment="0" applyProtection="0"/>
    <xf numFmtId="0" fontId="244" fillId="4" borderId="349" applyNumberFormat="0" applyAlignment="0" applyProtection="0"/>
    <xf numFmtId="0" fontId="244" fillId="4" borderId="349" applyNumberFormat="0" applyAlignment="0" applyProtection="0"/>
    <xf numFmtId="0" fontId="237" fillId="28" borderId="349" applyNumberFormat="0" applyAlignment="0" applyProtection="0"/>
    <xf numFmtId="0" fontId="18" fillId="2" borderId="351" applyNumberFormat="0" applyFont="0" applyAlignment="0" applyProtection="0"/>
    <xf numFmtId="0" fontId="18" fillId="0" borderId="348" applyNumberFormat="0" applyFill="0" applyAlignment="0" applyProtection="0"/>
    <xf numFmtId="193" fontId="66" fillId="23" borderId="347" applyFont="0">
      <alignment horizontal="right"/>
    </xf>
    <xf numFmtId="0" fontId="99" fillId="0" borderId="381" applyNumberFormat="0" applyFill="0" applyAlignment="0" applyProtection="0"/>
    <xf numFmtId="39" fontId="33" fillId="0" borderId="347" applyNumberFormat="0" applyBorder="0">
      <alignment horizontal="right"/>
    </xf>
    <xf numFmtId="1" fontId="85" fillId="0" borderId="347" applyFill="0" applyProtection="0">
      <alignment horizontal="right"/>
    </xf>
    <xf numFmtId="39" fontId="33" fillId="0" borderId="347" applyNumberFormat="0" applyBorder="0">
      <alignment horizontal="right"/>
    </xf>
    <xf numFmtId="1" fontId="85" fillId="0" borderId="347" applyFill="0" applyProtection="0">
      <alignment horizontal="right"/>
    </xf>
    <xf numFmtId="0" fontId="99" fillId="0" borderId="381" applyNumberFormat="0" applyFill="0" applyAlignment="0" applyProtection="0"/>
    <xf numFmtId="195" fontId="18" fillId="29" borderId="382" applyNumberFormat="0" applyFont="0" applyBorder="0" applyAlignment="0" applyProtection="0">
      <alignment horizontal="right"/>
    </xf>
    <xf numFmtId="37" fontId="89" fillId="0" borderId="382" applyNumberFormat="0" applyFont="0" applyFill="0" applyAlignment="0" applyProtection="0"/>
    <xf numFmtId="8" fontId="138" fillId="0" borderId="375">
      <protection locked="0"/>
    </xf>
    <xf numFmtId="10" fontId="18" fillId="25" borderId="372" applyNumberFormat="0" applyBorder="0" applyAlignment="0" applyProtection="0"/>
    <xf numFmtId="169" fontId="137" fillId="0" borderId="372" applyNumberFormat="0" applyFill="0" applyAlignment="0" applyProtection="0"/>
    <xf numFmtId="0" fontId="244" fillId="4" borderId="386" applyNumberFormat="0" applyAlignment="0" applyProtection="0"/>
    <xf numFmtId="259" fontId="37" fillId="25" borderId="372" applyNumberFormat="0" applyFont="0" applyAlignment="0"/>
    <xf numFmtId="0" fontId="18" fillId="0" borderId="384" applyNumberFormat="0" applyFill="0" applyAlignment="0" applyProtection="0"/>
    <xf numFmtId="193" fontId="66" fillId="23" borderId="370" applyFont="0">
      <alignment horizontal="right"/>
    </xf>
    <xf numFmtId="0" fontId="18" fillId="0" borderId="384" applyNumberFormat="0" applyFill="0" applyAlignment="0" applyProtection="0"/>
    <xf numFmtId="9" fontId="96" fillId="25" borderId="372" applyNumberFormat="0" applyFont="0" applyAlignment="0" applyProtection="0"/>
    <xf numFmtId="4" fontId="137" fillId="0" borderId="372" applyFont="0" applyFill="0" applyBorder="0" applyAlignment="0" applyProtection="0"/>
    <xf numFmtId="259" fontId="37" fillId="25" borderId="372" applyNumberFormat="0" applyFont="0" applyAlignment="0"/>
    <xf numFmtId="10" fontId="18" fillId="25" borderId="372" applyNumberFormat="0" applyBorder="0" applyAlignment="0" applyProtection="0"/>
    <xf numFmtId="169" fontId="137" fillId="0" borderId="372" applyNumberFormat="0" applyFill="0" applyAlignment="0" applyProtection="0"/>
    <xf numFmtId="195" fontId="18" fillId="29" borderId="382" applyNumberFormat="0" applyFont="0" applyBorder="0" applyAlignment="0" applyProtection="0">
      <alignment horizontal="right"/>
    </xf>
    <xf numFmtId="3" fontId="115" fillId="24" borderId="383" applyBorder="0">
      <protection locked="0"/>
    </xf>
    <xf numFmtId="0" fontId="244" fillId="4" borderId="386" applyNumberFormat="0" applyAlignment="0" applyProtection="0"/>
    <xf numFmtId="10" fontId="18" fillId="25" borderId="372" applyNumberFormat="0" applyBorder="0" applyAlignment="0" applyProtection="0"/>
    <xf numFmtId="0" fontId="51" fillId="0" borderId="370">
      <alignment horizontal="left" vertical="center"/>
    </xf>
    <xf numFmtId="0" fontId="29" fillId="0" borderId="370" applyFont="0" applyFill="0" applyBorder="0" applyAlignment="0" applyProtection="0">
      <alignment horizontal="center"/>
    </xf>
    <xf numFmtId="4" fontId="137" fillId="0" borderId="372" applyFont="0" applyFill="0" applyBorder="0" applyAlignment="0" applyProtection="0"/>
    <xf numFmtId="9" fontId="96" fillId="25" borderId="372" applyNumberFormat="0" applyFont="0" applyAlignment="0" applyProtection="0"/>
    <xf numFmtId="0" fontId="18" fillId="0" borderId="384" applyNumberFormat="0" applyFill="0" applyAlignment="0" applyProtection="0"/>
    <xf numFmtId="10" fontId="18" fillId="25" borderId="372" applyNumberFormat="0" applyBorder="0" applyAlignment="0" applyProtection="0"/>
    <xf numFmtId="0" fontId="18" fillId="2" borderId="387" applyNumberFormat="0" applyFont="0" applyAlignment="0" applyProtection="0"/>
    <xf numFmtId="0" fontId="244" fillId="4" borderId="386" applyNumberFormat="0" applyAlignment="0" applyProtection="0"/>
    <xf numFmtId="8" fontId="138" fillId="0" borderId="375">
      <protection locked="0"/>
    </xf>
    <xf numFmtId="0" fontId="237" fillId="28" borderId="386" applyNumberFormat="0" applyAlignment="0" applyProtection="0"/>
    <xf numFmtId="0" fontId="244" fillId="4" borderId="386" applyNumberFormat="0" applyAlignment="0" applyProtection="0"/>
    <xf numFmtId="0" fontId="244" fillId="4" borderId="386" applyNumberFormat="0" applyAlignment="0" applyProtection="0"/>
    <xf numFmtId="0" fontId="18" fillId="0" borderId="384" applyNumberFormat="0" applyFill="0" applyAlignment="0" applyProtection="0"/>
    <xf numFmtId="0" fontId="249" fillId="0" borderId="389" applyNumberFormat="0" applyFill="0" applyAlignment="0" applyProtection="0"/>
    <xf numFmtId="0" fontId="247" fillId="28" borderId="388" applyNumberFormat="0" applyAlignment="0" applyProtection="0"/>
    <xf numFmtId="0" fontId="18" fillId="0" borderId="384" applyNumberFormat="0" applyFill="0" applyAlignment="0" applyProtection="0"/>
    <xf numFmtId="0" fontId="244" fillId="4" borderId="386" applyNumberFormat="0" applyAlignment="0" applyProtection="0"/>
    <xf numFmtId="0" fontId="18" fillId="2" borderId="387" applyNumberFormat="0" applyFont="0" applyAlignment="0" applyProtection="0"/>
    <xf numFmtId="177" fontId="114" fillId="0" borderId="382" applyBorder="0"/>
    <xf numFmtId="176" fontId="29" fillId="15" borderId="382" applyBorder="0">
      <alignment horizontal="right"/>
    </xf>
    <xf numFmtId="176" fontId="29" fillId="0" borderId="382" applyBorder="0">
      <alignment horizontal="right"/>
    </xf>
    <xf numFmtId="3" fontId="115" fillId="24" borderId="383" applyBorder="0">
      <protection locked="0"/>
    </xf>
    <xf numFmtId="37" fontId="89" fillId="0" borderId="382" applyNumberFormat="0" applyFont="0" applyFill="0" applyAlignment="0" applyProtection="0"/>
    <xf numFmtId="0" fontId="140" fillId="0" borderId="382" applyNumberFormat="0" applyBorder="0"/>
    <xf numFmtId="195" fontId="18" fillId="29" borderId="382" applyNumberFormat="0" applyFont="0" applyBorder="0" applyAlignment="0" applyProtection="0">
      <alignment horizontal="right"/>
    </xf>
    <xf numFmtId="195" fontId="18" fillId="29" borderId="382" applyNumberFormat="0" applyFont="0" applyBorder="0" applyAlignment="0" applyProtection="0">
      <alignment horizontal="right"/>
    </xf>
    <xf numFmtId="0" fontId="140" fillId="0" borderId="382" applyNumberFormat="0" applyBorder="0"/>
    <xf numFmtId="176" fontId="29" fillId="0" borderId="382" applyBorder="0">
      <alignment horizontal="right"/>
    </xf>
    <xf numFmtId="176" fontId="29" fillId="15" borderId="382" applyBorder="0">
      <alignment horizontal="right"/>
    </xf>
    <xf numFmtId="177" fontId="114" fillId="0" borderId="382" applyBorder="0"/>
    <xf numFmtId="0" fontId="18" fillId="2" borderId="387" applyNumberFormat="0" applyFont="0" applyAlignment="0" applyProtection="0"/>
    <xf numFmtId="0" fontId="244" fillId="4" borderId="386" applyNumberFormat="0" applyAlignment="0" applyProtection="0"/>
    <xf numFmtId="0" fontId="18" fillId="0" borderId="384" applyNumberFormat="0" applyFill="0" applyAlignment="0" applyProtection="0"/>
    <xf numFmtId="0" fontId="247" fillId="28" borderId="388" applyNumberFormat="0" applyAlignment="0" applyProtection="0"/>
    <xf numFmtId="0" fontId="249" fillId="0" borderId="389" applyNumberFormat="0" applyFill="0" applyAlignment="0" applyProtection="0"/>
    <xf numFmtId="0" fontId="18" fillId="0" borderId="384" applyNumberFormat="0" applyFill="0" applyAlignment="0" applyProtection="0"/>
    <xf numFmtId="0" fontId="244" fillId="4" borderId="386" applyNumberFormat="0" applyAlignment="0" applyProtection="0"/>
    <xf numFmtId="0" fontId="244" fillId="4" borderId="386" applyNumberFormat="0" applyAlignment="0" applyProtection="0"/>
    <xf numFmtId="0" fontId="237" fillId="28" borderId="386" applyNumberFormat="0" applyAlignment="0" applyProtection="0"/>
    <xf numFmtId="0" fontId="18" fillId="2" borderId="387" applyNumberFormat="0" applyFont="0" applyAlignment="0" applyProtection="0"/>
    <xf numFmtId="0" fontId="18" fillId="0" borderId="384" applyNumberFormat="0" applyFill="0" applyAlignment="0" applyProtection="0"/>
    <xf numFmtId="193" fontId="66" fillId="23" borderId="370" applyFont="0">
      <alignment horizontal="right"/>
    </xf>
    <xf numFmtId="0" fontId="99" fillId="0" borderId="381" applyNumberFormat="0" applyFill="0" applyAlignment="0" applyProtection="0"/>
    <xf numFmtId="39" fontId="33" fillId="0" borderId="370" applyNumberFormat="0" applyBorder="0">
      <alignment horizontal="right"/>
    </xf>
    <xf numFmtId="1" fontId="85" fillId="0" borderId="370" applyFill="0" applyProtection="0">
      <alignment horizontal="right"/>
    </xf>
    <xf numFmtId="39" fontId="33" fillId="0" borderId="370" applyNumberFormat="0" applyBorder="0">
      <alignment horizontal="right"/>
    </xf>
    <xf numFmtId="1" fontId="85" fillId="0" borderId="370" applyFill="0" applyProtection="0">
      <alignment horizontal="right"/>
    </xf>
    <xf numFmtId="37" fontId="89" fillId="0" borderId="410" applyNumberFormat="0" applyFont="0" applyFill="0" applyAlignment="0" applyProtection="0"/>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37" fontId="89" fillId="0" borderId="410" applyNumberFormat="0" applyFont="0" applyFill="0" applyAlignment="0" applyProtection="0"/>
    <xf numFmtId="176" fontId="29" fillId="15" borderId="410" applyBorder="0">
      <alignment horizontal="right"/>
    </xf>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18" fillId="0" borderId="412" applyNumberFormat="0" applyFill="0" applyAlignment="0" applyProtection="0"/>
    <xf numFmtId="193" fontId="66" fillId="23" borderId="390" applyFont="0">
      <alignment horizontal="right"/>
    </xf>
    <xf numFmtId="0" fontId="18" fillId="0" borderId="391" applyNumberFormat="0" applyFill="0" applyAlignment="0" applyProtection="0"/>
    <xf numFmtId="9" fontId="96" fillId="25" borderId="372" applyNumberFormat="0" applyFont="0" applyAlignment="0" applyProtection="0"/>
    <xf numFmtId="0" fontId="237" fillId="28" borderId="392" applyNumberFormat="0" applyAlignment="0" applyProtection="0"/>
    <xf numFmtId="4" fontId="137" fillId="0" borderId="372" applyFont="0" applyFill="0" applyBorder="0" applyAlignment="0" applyProtection="0"/>
    <xf numFmtId="8" fontId="138" fillId="0" borderId="393">
      <protection locked="0"/>
    </xf>
    <xf numFmtId="0" fontId="29" fillId="0" borderId="390" applyFont="0" applyFill="0" applyBorder="0" applyAlignment="0" applyProtection="0">
      <alignment horizontal="center"/>
    </xf>
    <xf numFmtId="259" fontId="37" fillId="25" borderId="372" applyNumberFormat="0" applyFont="0" applyAlignment="0"/>
    <xf numFmtId="0" fontId="51" fillId="0" borderId="390">
      <alignment horizontal="left" vertical="center"/>
    </xf>
    <xf numFmtId="0" fontId="244" fillId="4" borderId="392" applyNumberFormat="0" applyAlignment="0" applyProtection="0"/>
    <xf numFmtId="10" fontId="18" fillId="25" borderId="372" applyNumberFormat="0" applyBorder="0" applyAlignment="0" applyProtection="0"/>
    <xf numFmtId="169" fontId="137" fillId="0" borderId="372" applyNumberFormat="0" applyFill="0" applyAlignment="0" applyProtection="0"/>
    <xf numFmtId="0" fontId="18" fillId="2" borderId="394" applyNumberFormat="0" applyFont="0" applyAlignment="0" applyProtection="0"/>
    <xf numFmtId="0" fontId="247" fillId="28" borderId="395" applyNumberFormat="0" applyAlignment="0" applyProtection="0"/>
    <xf numFmtId="0" fontId="249" fillId="0" borderId="396" applyNumberFormat="0" applyFill="0" applyAlignment="0" applyProtection="0"/>
    <xf numFmtId="177" fontId="114" fillId="0" borderId="410" applyBorder="0"/>
    <xf numFmtId="0" fontId="18" fillId="0" borderId="412" applyNumberFormat="0" applyFill="0" applyAlignment="0" applyProtection="0"/>
    <xf numFmtId="0" fontId="247" fillId="28" borderId="417" applyNumberFormat="0" applyAlignment="0" applyProtection="0"/>
    <xf numFmtId="0" fontId="244" fillId="4" borderId="414" applyNumberFormat="0" applyAlignment="0" applyProtection="0"/>
    <xf numFmtId="0" fontId="18" fillId="2" borderId="416" applyNumberFormat="0" applyFont="0" applyAlignment="0" applyProtection="0"/>
    <xf numFmtId="0" fontId="249" fillId="0" borderId="418" applyNumberFormat="0" applyFill="0" applyAlignment="0" applyProtection="0"/>
    <xf numFmtId="0" fontId="247" fillId="28" borderId="417" applyNumberFormat="0" applyAlignment="0" applyProtection="0"/>
    <xf numFmtId="0" fontId="18" fillId="2" borderId="416" applyNumberFormat="0" applyFont="0" applyAlignment="0" applyProtection="0"/>
    <xf numFmtId="193" fontId="66" fillId="23" borderId="390" applyFont="0">
      <alignment horizontal="right"/>
    </xf>
    <xf numFmtId="0" fontId="18" fillId="0" borderId="391" applyNumberFormat="0" applyFill="0" applyAlignment="0" applyProtection="0"/>
    <xf numFmtId="10" fontId="18" fillId="25" borderId="372" applyNumberFormat="0" applyBorder="0" applyAlignment="0" applyProtection="0"/>
    <xf numFmtId="0" fontId="18" fillId="2" borderId="394" applyNumberFormat="0" applyFont="0" applyAlignment="0" applyProtection="0"/>
    <xf numFmtId="0" fontId="247" fillId="28" borderId="395" applyNumberFormat="0" applyAlignment="0" applyProtection="0"/>
    <xf numFmtId="177" fontId="114" fillId="0" borderId="397" applyBorder="0"/>
    <xf numFmtId="176" fontId="29" fillId="15" borderId="397" applyBorder="0">
      <alignment horizontal="right"/>
    </xf>
    <xf numFmtId="176" fontId="29" fillId="0" borderId="397" applyBorder="0">
      <alignment horizontal="right"/>
    </xf>
    <xf numFmtId="3" fontId="115" fillId="24" borderId="398" applyBorder="0">
      <protection locked="0"/>
    </xf>
    <xf numFmtId="37" fontId="89" fillId="0" borderId="397" applyNumberFormat="0" applyFont="0" applyFill="0" applyAlignment="0" applyProtection="0"/>
    <xf numFmtId="0" fontId="140" fillId="0" borderId="397" applyNumberFormat="0" applyBorder="0"/>
    <xf numFmtId="195" fontId="18" fillId="29" borderId="397" applyNumberFormat="0" applyFont="0" applyBorder="0" applyAlignment="0" applyProtection="0">
      <alignment horizontal="right"/>
    </xf>
    <xf numFmtId="195" fontId="18" fillId="29" borderId="397" applyNumberFormat="0" applyFont="0" applyBorder="0" applyAlignment="0" applyProtection="0">
      <alignment horizontal="right"/>
    </xf>
    <xf numFmtId="176" fontId="29" fillId="0" borderId="410" applyBorder="0">
      <alignment horizontal="right"/>
    </xf>
    <xf numFmtId="0" fontId="249" fillId="0" borderId="418" applyNumberFormat="0" applyFill="0" applyAlignment="0" applyProtection="0"/>
    <xf numFmtId="0" fontId="244" fillId="4" borderId="414" applyNumberFormat="0" applyAlignment="0" applyProtection="0"/>
    <xf numFmtId="0" fontId="237" fillId="28" borderId="414" applyNumberFormat="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99" fillId="0" borderId="399" applyNumberFormat="0" applyFill="0" applyAlignment="0" applyProtection="0"/>
    <xf numFmtId="0" fontId="81" fillId="0" borderId="382" applyNumberFormat="0" applyFill="0" applyProtection="0">
      <alignment horizontal="right"/>
    </xf>
    <xf numFmtId="0" fontId="99" fillId="0" borderId="409" applyNumberFormat="0" applyFill="0" applyAlignment="0" applyProtection="0"/>
    <xf numFmtId="195" fontId="18" fillId="29" borderId="407" applyNumberFormat="0" applyFont="0" applyBorder="0" applyAlignment="0" applyProtection="0">
      <alignment horizontal="right"/>
    </xf>
    <xf numFmtId="37" fontId="89" fillId="0" borderId="407" applyNumberFormat="0" applyFont="0" applyFill="0" applyAlignment="0" applyProtection="0"/>
    <xf numFmtId="8" fontId="138" fillId="0" borderId="403">
      <protection locked="0"/>
    </xf>
    <xf numFmtId="0" fontId="18" fillId="0" borderId="401" applyNumberFormat="0" applyFill="0" applyAlignment="0" applyProtection="0"/>
    <xf numFmtId="193" fontId="66" fillId="23" borderId="370" applyFont="0">
      <alignment horizontal="right"/>
    </xf>
    <xf numFmtId="0" fontId="18" fillId="0" borderId="359" applyNumberFormat="0" applyFill="0" applyAlignment="0" applyProtection="0"/>
    <xf numFmtId="9" fontId="96" fillId="25" borderId="400" applyNumberFormat="0" applyFont="0" applyAlignment="0" applyProtection="0"/>
    <xf numFmtId="4" fontId="137" fillId="0" borderId="400" applyFont="0" applyFill="0" applyBorder="0" applyAlignment="0" applyProtection="0"/>
    <xf numFmtId="0" fontId="29" fillId="0" borderId="370" applyFont="0" applyFill="0" applyBorder="0" applyAlignment="0" applyProtection="0">
      <alignment horizontal="center"/>
    </xf>
    <xf numFmtId="259" fontId="37" fillId="25" borderId="400" applyNumberFormat="0" applyFont="0" applyAlignment="0"/>
    <xf numFmtId="0" fontId="51" fillId="0" borderId="370">
      <alignment horizontal="left" vertical="center"/>
    </xf>
    <xf numFmtId="0" fontId="244" fillId="4" borderId="363" applyNumberFormat="0" applyAlignment="0" applyProtection="0"/>
    <xf numFmtId="10" fontId="18" fillId="25" borderId="400" applyNumberFormat="0" applyBorder="0" applyAlignment="0" applyProtection="0"/>
    <xf numFmtId="169" fontId="137" fillId="0" borderId="400" applyNumberFormat="0" applyFill="0" applyAlignment="0" applyProtection="0"/>
    <xf numFmtId="195" fontId="18" fillId="29" borderId="407" applyNumberFormat="0" applyFont="0" applyBorder="0" applyAlignment="0" applyProtection="0">
      <alignment horizontal="right"/>
    </xf>
    <xf numFmtId="3" fontId="115" fillId="24" borderId="408" applyBorder="0">
      <protection locked="0"/>
    </xf>
    <xf numFmtId="0" fontId="244" fillId="4" borderId="402" applyNumberFormat="0" applyAlignment="0" applyProtection="0"/>
    <xf numFmtId="193" fontId="66" fillId="23" borderId="370" applyFont="0">
      <alignment horizontal="right"/>
    </xf>
    <xf numFmtId="0" fontId="18" fillId="0" borderId="359" applyNumberFormat="0" applyFill="0" applyAlignment="0" applyProtection="0"/>
    <xf numFmtId="10" fontId="18" fillId="25" borderId="400" applyNumberFormat="0" applyBorder="0" applyAlignment="0" applyProtection="0"/>
    <xf numFmtId="0" fontId="247" fillId="28" borderId="395" applyNumberFormat="0" applyAlignment="0" applyProtection="0"/>
    <xf numFmtId="177" fontId="114" fillId="0" borderId="397" applyBorder="0"/>
    <xf numFmtId="176" fontId="29" fillId="15" borderId="397" applyBorder="0">
      <alignment horizontal="right"/>
    </xf>
    <xf numFmtId="176" fontId="29" fillId="0" borderId="397" applyBorder="0">
      <alignment horizontal="right"/>
    </xf>
    <xf numFmtId="3" fontId="115" fillId="24" borderId="398" applyBorder="0">
      <protection locked="0"/>
    </xf>
    <xf numFmtId="37" fontId="89" fillId="0" borderId="397" applyNumberFormat="0" applyFont="0" applyFill="0" applyAlignment="0" applyProtection="0"/>
    <xf numFmtId="0" fontId="140" fillId="0" borderId="397" applyNumberFormat="0" applyBorder="0"/>
    <xf numFmtId="195" fontId="18" fillId="29" borderId="397" applyNumberFormat="0" applyFont="0" applyBorder="0" applyAlignment="0" applyProtection="0">
      <alignment horizontal="right"/>
    </xf>
    <xf numFmtId="195" fontId="18" fillId="29" borderId="397" applyNumberFormat="0" applyFont="0" applyBorder="0" applyAlignment="0" applyProtection="0">
      <alignment horizontal="right"/>
    </xf>
    <xf numFmtId="0" fontId="140" fillId="0" borderId="407" applyNumberFormat="0" applyBorder="0"/>
    <xf numFmtId="176" fontId="29" fillId="0" borderId="407" applyBorder="0">
      <alignment horizontal="right"/>
    </xf>
    <xf numFmtId="176" fontId="29" fillId="15" borderId="407" applyBorder="0">
      <alignment horizontal="right"/>
    </xf>
    <xf numFmtId="177" fontId="114" fillId="0" borderId="407" applyBorder="0"/>
    <xf numFmtId="0" fontId="18" fillId="2" borderId="404" applyNumberFormat="0" applyFont="0" applyAlignment="0" applyProtection="0"/>
    <xf numFmtId="0" fontId="244" fillId="4" borderId="402" applyNumberFormat="0" applyAlignment="0" applyProtection="0"/>
    <xf numFmtId="0" fontId="18" fillId="0" borderId="401" applyNumberFormat="0" applyFill="0" applyAlignment="0" applyProtection="0"/>
    <xf numFmtId="0" fontId="247" fillId="28" borderId="405" applyNumberFormat="0" applyAlignment="0" applyProtection="0"/>
    <xf numFmtId="0" fontId="249" fillId="0" borderId="406" applyNumberFormat="0" applyFill="0" applyAlignment="0" applyProtection="0"/>
    <xf numFmtId="0" fontId="18" fillId="0" borderId="401" applyNumberFormat="0" applyFill="0" applyAlignment="0" applyProtection="0"/>
    <xf numFmtId="0" fontId="244" fillId="4" borderId="402" applyNumberFormat="0" applyAlignment="0" applyProtection="0"/>
    <xf numFmtId="0" fontId="244" fillId="4" borderId="402" applyNumberFormat="0" applyAlignment="0" applyProtection="0"/>
    <xf numFmtId="0" fontId="237" fillId="28" borderId="402" applyNumberFormat="0" applyAlignment="0" applyProtection="0"/>
    <xf numFmtId="0" fontId="18" fillId="2" borderId="404" applyNumberFormat="0" applyFont="0" applyAlignment="0" applyProtection="0"/>
    <xf numFmtId="0" fontId="18" fillId="0" borderId="401" applyNumberFormat="0" applyFill="0" applyAlignment="0" applyProtection="0"/>
    <xf numFmtId="0" fontId="99" fillId="0" borderId="39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193" fontId="66" fillId="23" borderId="370" applyFont="0">
      <alignment horizontal="right"/>
    </xf>
    <xf numFmtId="3" fontId="115" fillId="24" borderId="411" applyBorder="0">
      <protection locked="0"/>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9" fillId="0" borderId="370" applyFont="0" applyFill="0" applyBorder="0" applyAlignment="0" applyProtection="0">
      <alignment horizontal="center"/>
    </xf>
    <xf numFmtId="0" fontId="51" fillId="0" borderId="370">
      <alignment horizontal="left" vertical="center"/>
    </xf>
    <xf numFmtId="0" fontId="244" fillId="4" borderId="363" applyNumberFormat="0" applyAlignment="0" applyProtection="0"/>
    <xf numFmtId="193" fontId="66" fillId="23" borderId="370" applyFont="0">
      <alignment horizontal="right"/>
    </xf>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394" applyNumberFormat="0" applyFont="0" applyAlignment="0" applyProtection="0"/>
    <xf numFmtId="0" fontId="244" fillId="4" borderId="392" applyNumberFormat="0" applyAlignment="0" applyProtection="0"/>
    <xf numFmtId="8" fontId="138" fillId="0" borderId="393">
      <protection locked="0"/>
    </xf>
    <xf numFmtId="0" fontId="237" fillId="28" borderId="392" applyNumberFormat="0" applyAlignment="0" applyProtection="0"/>
    <xf numFmtId="0" fontId="244" fillId="4" borderId="392" applyNumberFormat="0" applyAlignment="0" applyProtection="0"/>
    <xf numFmtId="0" fontId="244" fillId="4" borderId="392" applyNumberFormat="0" applyAlignment="0" applyProtection="0"/>
    <xf numFmtId="0" fontId="18" fillId="0" borderId="391" applyNumberFormat="0" applyFill="0" applyAlignment="0" applyProtection="0"/>
    <xf numFmtId="0" fontId="249" fillId="0" borderId="396" applyNumberFormat="0" applyFill="0" applyAlignment="0" applyProtection="0"/>
    <xf numFmtId="0" fontId="247" fillId="28" borderId="395" applyNumberFormat="0" applyAlignment="0" applyProtection="0"/>
    <xf numFmtId="0" fontId="18" fillId="0" borderId="391" applyNumberFormat="0" applyFill="0" applyAlignment="0" applyProtection="0"/>
    <xf numFmtId="0" fontId="244" fillId="4" borderId="392" applyNumberFormat="0" applyAlignment="0" applyProtection="0"/>
    <xf numFmtId="0" fontId="18" fillId="2" borderId="394" applyNumberFormat="0" applyFont="0" applyAlignment="0" applyProtection="0"/>
    <xf numFmtId="177" fontId="114" fillId="0" borderId="382" applyBorder="0"/>
    <xf numFmtId="176" fontId="29" fillId="15" borderId="382" applyBorder="0">
      <alignment horizontal="right"/>
    </xf>
    <xf numFmtId="176" fontId="29" fillId="0" borderId="382" applyBorder="0">
      <alignment horizontal="right"/>
    </xf>
    <xf numFmtId="3" fontId="115" fillId="24" borderId="383" applyBorder="0">
      <protection locked="0"/>
    </xf>
    <xf numFmtId="37" fontId="89" fillId="0" borderId="382" applyNumberFormat="0" applyFont="0" applyFill="0" applyAlignment="0" applyProtection="0"/>
    <xf numFmtId="0" fontId="140" fillId="0" borderId="382" applyNumberFormat="0" applyBorder="0"/>
    <xf numFmtId="195" fontId="18" fillId="29" borderId="382" applyNumberFormat="0" applyFont="0" applyBorder="0" applyAlignment="0" applyProtection="0">
      <alignment horizontal="right"/>
    </xf>
    <xf numFmtId="195" fontId="18" fillId="29" borderId="382"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382" applyNumberFormat="0" applyFont="0" applyBorder="0" applyAlignment="0" applyProtection="0">
      <alignment horizontal="right"/>
    </xf>
    <xf numFmtId="37" fontId="89" fillId="0" borderId="382" applyNumberFormat="0" applyFont="0" applyFill="0" applyAlignment="0" applyProtection="0"/>
    <xf numFmtId="8" fontId="138" fillId="0" borderId="393">
      <protection locked="0"/>
    </xf>
    <xf numFmtId="10" fontId="18" fillId="25" borderId="372" applyNumberFormat="0" applyBorder="0" applyAlignment="0" applyProtection="0"/>
    <xf numFmtId="169" fontId="137" fillId="0" borderId="372" applyNumberFormat="0" applyFill="0" applyAlignment="0" applyProtection="0"/>
    <xf numFmtId="0" fontId="244" fillId="4" borderId="392" applyNumberFormat="0" applyAlignment="0" applyProtection="0"/>
    <xf numFmtId="259" fontId="37" fillId="25" borderId="372" applyNumberFormat="0" applyFont="0" applyAlignment="0"/>
    <xf numFmtId="0" fontId="18" fillId="0" borderId="391" applyNumberFormat="0" applyFill="0" applyAlignment="0" applyProtection="0"/>
    <xf numFmtId="193" fontId="66" fillId="23" borderId="390" applyFont="0">
      <alignment horizontal="right"/>
    </xf>
    <xf numFmtId="193" fontId="66" fillId="23" borderId="390" applyFont="0">
      <alignment horizontal="right"/>
    </xf>
    <xf numFmtId="0" fontId="18" fillId="0" borderId="391"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392"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382" applyNumberFormat="0" applyFont="0" applyBorder="0" applyAlignment="0" applyProtection="0">
      <alignment horizontal="right"/>
    </xf>
    <xf numFmtId="3" fontId="115" fillId="24" borderId="383" applyBorder="0">
      <protection locked="0"/>
    </xf>
    <xf numFmtId="0" fontId="244" fillId="4" borderId="392" applyNumberFormat="0" applyAlignment="0" applyProtection="0"/>
    <xf numFmtId="10" fontId="18" fillId="25" borderId="372" applyNumberFormat="0" applyBorder="0" applyAlignment="0" applyProtection="0"/>
    <xf numFmtId="0" fontId="51" fillId="0" borderId="390">
      <alignment horizontal="left" vertical="center"/>
    </xf>
    <xf numFmtId="0" fontId="29" fillId="0" borderId="390" applyFont="0" applyFill="0" applyBorder="0" applyAlignment="0" applyProtection="0">
      <alignment horizontal="center"/>
    </xf>
    <xf numFmtId="4" fontId="137" fillId="0" borderId="372" applyFont="0" applyFill="0" applyBorder="0" applyAlignment="0" applyProtection="0"/>
    <xf numFmtId="9" fontId="96" fillId="25" borderId="372" applyNumberFormat="0" applyFont="0" applyAlignment="0" applyProtection="0"/>
    <xf numFmtId="193" fontId="66" fillId="23" borderId="390" applyFont="0">
      <alignment horizontal="right"/>
    </xf>
    <xf numFmtId="0" fontId="18" fillId="0" borderId="391" applyNumberFormat="0" applyFill="0" applyAlignment="0" applyProtection="0"/>
    <xf numFmtId="10" fontId="18" fillId="25" borderId="413" applyNumberFormat="0" applyBorder="0" applyAlignment="0" applyProtection="0"/>
    <xf numFmtId="0" fontId="18" fillId="2" borderId="394" applyNumberFormat="0" applyFont="0" applyAlignment="0" applyProtection="0"/>
    <xf numFmtId="0" fontId="244" fillId="4" borderId="392" applyNumberFormat="0" applyAlignment="0" applyProtection="0"/>
    <xf numFmtId="8" fontId="138" fillId="0" borderId="393">
      <protection locked="0"/>
    </xf>
    <xf numFmtId="0" fontId="237" fillId="28" borderId="392" applyNumberFormat="0" applyAlignment="0" applyProtection="0"/>
    <xf numFmtId="0" fontId="244" fillId="4" borderId="392" applyNumberFormat="0" applyAlignment="0" applyProtection="0"/>
    <xf numFmtId="0" fontId="244" fillId="4" borderId="392" applyNumberFormat="0" applyAlignment="0" applyProtection="0"/>
    <xf numFmtId="0" fontId="18" fillId="0" borderId="391" applyNumberFormat="0" applyFill="0" applyAlignment="0" applyProtection="0"/>
    <xf numFmtId="0" fontId="249" fillId="0" borderId="396" applyNumberFormat="0" applyFill="0" applyAlignment="0" applyProtection="0"/>
    <xf numFmtId="0" fontId="247" fillId="28" borderId="395" applyNumberFormat="0" applyAlignment="0" applyProtection="0"/>
    <xf numFmtId="0" fontId="18" fillId="0" borderId="391" applyNumberFormat="0" applyFill="0" applyAlignment="0" applyProtection="0"/>
    <xf numFmtId="0" fontId="244" fillId="4" borderId="392" applyNumberFormat="0" applyAlignment="0" applyProtection="0"/>
    <xf numFmtId="0" fontId="18" fillId="2" borderId="394" applyNumberFormat="0" applyFont="0" applyAlignment="0" applyProtection="0"/>
    <xf numFmtId="177" fontId="114" fillId="0" borderId="382" applyBorder="0"/>
    <xf numFmtId="176" fontId="29" fillId="15" borderId="382" applyBorder="0">
      <alignment horizontal="right"/>
    </xf>
    <xf numFmtId="176" fontId="29" fillId="0" borderId="382" applyBorder="0">
      <alignment horizontal="right"/>
    </xf>
    <xf numFmtId="3" fontId="115" fillId="24" borderId="383" applyBorder="0">
      <protection locked="0"/>
    </xf>
    <xf numFmtId="37" fontId="89" fillId="0" borderId="382" applyNumberFormat="0" applyFont="0" applyFill="0" applyAlignment="0" applyProtection="0"/>
    <xf numFmtId="0" fontId="140" fillId="0" borderId="382" applyNumberFormat="0" applyBorder="0"/>
    <xf numFmtId="195" fontId="18" fillId="29" borderId="382" applyNumberFormat="0" applyFont="0" applyBorder="0" applyAlignment="0" applyProtection="0">
      <alignment horizontal="right"/>
    </xf>
    <xf numFmtId="195" fontId="18" fillId="29" borderId="382" applyNumberFormat="0" applyFont="0" applyBorder="0" applyAlignment="0" applyProtection="0">
      <alignment horizontal="right"/>
    </xf>
    <xf numFmtId="0" fontId="140" fillId="0" borderId="382" applyNumberFormat="0" applyBorder="0"/>
    <xf numFmtId="176" fontId="29" fillId="0" borderId="382" applyBorder="0">
      <alignment horizontal="right"/>
    </xf>
    <xf numFmtId="176" fontId="29" fillId="15" borderId="382" applyBorder="0">
      <alignment horizontal="right"/>
    </xf>
    <xf numFmtId="177" fontId="114" fillId="0" borderId="382" applyBorder="0"/>
    <xf numFmtId="0" fontId="18" fillId="2" borderId="394" applyNumberFormat="0" applyFont="0" applyAlignment="0" applyProtection="0"/>
    <xf numFmtId="0" fontId="244" fillId="4" borderId="392" applyNumberFormat="0" applyAlignment="0" applyProtection="0"/>
    <xf numFmtId="0" fontId="18" fillId="0" borderId="391" applyNumberFormat="0" applyFill="0" applyAlignment="0" applyProtection="0"/>
    <xf numFmtId="0" fontId="247" fillId="28" borderId="395" applyNumberFormat="0" applyAlignment="0" applyProtection="0"/>
    <xf numFmtId="0" fontId="249" fillId="0" borderId="396" applyNumberFormat="0" applyFill="0" applyAlignment="0" applyProtection="0"/>
    <xf numFmtId="0" fontId="18" fillId="0" borderId="391" applyNumberFormat="0" applyFill="0" applyAlignment="0" applyProtection="0"/>
    <xf numFmtId="0" fontId="244" fillId="4" borderId="392" applyNumberFormat="0" applyAlignment="0" applyProtection="0"/>
    <xf numFmtId="0" fontId="244" fillId="4" borderId="392" applyNumberFormat="0" applyAlignment="0" applyProtection="0"/>
    <xf numFmtId="0" fontId="237" fillId="28" borderId="392" applyNumberFormat="0" applyAlignment="0" applyProtection="0"/>
    <xf numFmtId="0" fontId="18" fillId="2" borderId="394" applyNumberFormat="0" applyFont="0" applyAlignment="0" applyProtection="0"/>
    <xf numFmtId="0" fontId="18" fillId="0" borderId="391" applyNumberFormat="0" applyFill="0" applyAlignment="0" applyProtection="0"/>
    <xf numFmtId="193" fontId="66" fillId="23" borderId="390" applyFont="0">
      <alignment horizontal="right"/>
    </xf>
    <xf numFmtId="0" fontId="99" fillId="0" borderId="409" applyNumberFormat="0" applyFill="0" applyAlignment="0" applyProtection="0"/>
    <xf numFmtId="39" fontId="33" fillId="0" borderId="390" applyNumberFormat="0" applyBorder="0">
      <alignment horizontal="right"/>
    </xf>
    <xf numFmtId="1" fontId="85" fillId="0" borderId="39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00" applyNumberFormat="0" applyBorder="0" applyAlignment="0" applyProtection="0"/>
    <xf numFmtId="169" fontId="137" fillId="0" borderId="400" applyNumberFormat="0" applyFill="0" applyAlignment="0" applyProtection="0"/>
    <xf numFmtId="0" fontId="244" fillId="4" borderId="414" applyNumberFormat="0" applyAlignment="0" applyProtection="0"/>
    <xf numFmtId="259" fontId="37" fillId="25" borderId="400"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00" applyNumberFormat="0" applyFont="0" applyAlignment="0" applyProtection="0"/>
    <xf numFmtId="4" fontId="137" fillId="0" borderId="400" applyFont="0" applyFill="0" applyBorder="0" applyAlignment="0" applyProtection="0"/>
    <xf numFmtId="259" fontId="37" fillId="25" borderId="400" applyNumberFormat="0" applyFont="0" applyAlignment="0"/>
    <xf numFmtId="10" fontId="18" fillId="25" borderId="400" applyNumberFormat="0" applyBorder="0" applyAlignment="0" applyProtection="0"/>
    <xf numFmtId="169" fontId="137" fillId="0" borderId="400"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00" applyNumberFormat="0" applyBorder="0" applyAlignment="0" applyProtection="0"/>
    <xf numFmtId="4" fontId="137" fillId="0" borderId="400" applyFont="0" applyFill="0" applyBorder="0" applyAlignment="0" applyProtection="0"/>
    <xf numFmtId="9" fontId="96" fillId="25" borderId="400" applyNumberFormat="0" applyFont="0" applyAlignment="0" applyProtection="0"/>
    <xf numFmtId="0" fontId="18" fillId="0" borderId="412" applyNumberFormat="0" applyFill="0" applyAlignment="0" applyProtection="0"/>
    <xf numFmtId="10" fontId="18" fillId="25" borderId="400"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39" fontId="33" fillId="0" borderId="370" applyNumberFormat="0" applyBorder="0">
      <alignment horizontal="right"/>
    </xf>
    <xf numFmtId="1" fontId="85" fillId="0" borderId="37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358" applyNumberFormat="0" applyBorder="0" applyAlignment="0" applyProtection="0"/>
    <xf numFmtId="169" fontId="137" fillId="0" borderId="358" applyNumberFormat="0" applyFill="0" applyAlignment="0" applyProtection="0"/>
    <xf numFmtId="0" fontId="244" fillId="4" borderId="414" applyNumberFormat="0" applyAlignment="0" applyProtection="0"/>
    <xf numFmtId="259" fontId="37" fillId="25" borderId="358" applyNumberFormat="0" applyFont="0" applyAlignment="0"/>
    <xf numFmtId="0" fontId="18" fillId="0" borderId="412" applyNumberFormat="0" applyFill="0" applyAlignment="0" applyProtection="0"/>
    <xf numFmtId="193" fontId="66" fillId="23" borderId="370" applyFont="0">
      <alignment horizontal="right"/>
    </xf>
    <xf numFmtId="193" fontId="66" fillId="23" borderId="370" applyFont="0">
      <alignment horizontal="right"/>
    </xf>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370" applyFont="0" applyFill="0" applyBorder="0" applyAlignment="0" applyProtection="0">
      <alignment horizontal="center"/>
    </xf>
    <xf numFmtId="259" fontId="37" fillId="25" borderId="413" applyNumberFormat="0" applyFont="0" applyAlignment="0"/>
    <xf numFmtId="0" fontId="51" fillId="0" borderId="37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358" applyNumberFormat="0" applyBorder="0" applyAlignment="0" applyProtection="0"/>
    <xf numFmtId="0" fontId="51" fillId="0" borderId="370">
      <alignment horizontal="left" vertical="center"/>
    </xf>
    <xf numFmtId="0" fontId="29" fillId="0" borderId="370" applyFont="0" applyFill="0" applyBorder="0" applyAlignment="0" applyProtection="0">
      <alignment horizontal="center"/>
    </xf>
    <xf numFmtId="4" fontId="137" fillId="0" borderId="358" applyFont="0" applyFill="0" applyBorder="0" applyAlignment="0" applyProtection="0"/>
    <xf numFmtId="9" fontId="96" fillId="25" borderId="358" applyNumberFormat="0" applyFont="0" applyAlignment="0" applyProtection="0"/>
    <xf numFmtId="193" fontId="66" fillId="23" borderId="370" applyFont="0">
      <alignment horizontal="right"/>
    </xf>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193" fontId="66" fillId="23" borderId="370" applyFont="0">
      <alignment horizontal="right"/>
    </xf>
    <xf numFmtId="0" fontId="99" fillId="0" borderId="409" applyNumberFormat="0" applyFill="0" applyAlignment="0" applyProtection="0"/>
    <xf numFmtId="39" fontId="33" fillId="0" borderId="370" applyNumberFormat="0" applyBorder="0">
      <alignment horizontal="right"/>
    </xf>
    <xf numFmtId="1" fontId="85" fillId="0" borderId="370" applyFill="0" applyProtection="0">
      <alignment horizontal="right"/>
    </xf>
    <xf numFmtId="39" fontId="33" fillId="0" borderId="370" applyNumberFormat="0" applyBorder="0">
      <alignment horizontal="right"/>
    </xf>
    <xf numFmtId="1" fontId="85" fillId="0" borderId="37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0" fontId="81" fillId="0" borderId="410" applyNumberFormat="0" applyFill="0" applyProtection="0">
      <alignment horizontal="right"/>
    </xf>
    <xf numFmtId="0" fontId="140" fillId="0" borderId="410" applyNumberFormat="0" applyBorder="0"/>
    <xf numFmtId="0" fontId="99" fillId="0" borderId="409" applyNumberFormat="0" applyFill="0" applyAlignment="0" applyProtection="0"/>
    <xf numFmtId="37" fontId="89" fillId="0" borderId="410" applyNumberFormat="0" applyFon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195" fontId="18" fillId="29" borderId="410" applyNumberFormat="0" applyFont="0" applyBorder="0" applyAlignment="0" applyProtection="0">
      <alignment horizontal="right"/>
    </xf>
    <xf numFmtId="193" fontId="66" fillId="23" borderId="390" applyFont="0">
      <alignment horizontal="right"/>
    </xf>
    <xf numFmtId="0" fontId="99" fillId="0" borderId="409" applyNumberFormat="0" applyFill="0" applyAlignment="0" applyProtection="0"/>
    <xf numFmtId="4" fontId="137" fillId="0" borderId="413" applyFont="0" applyFill="0" applyBorder="0" applyAlignment="0" applyProtection="0"/>
    <xf numFmtId="10" fontId="18" fillId="25" borderId="413" applyNumberFormat="0" applyBorder="0" applyAlignment="0" applyProtection="0"/>
    <xf numFmtId="0" fontId="99" fillId="0" borderId="409" applyNumberFormat="0" applyFill="0" applyAlignment="0" applyProtection="0"/>
    <xf numFmtId="3" fontId="115" fillId="24" borderId="411" applyBorder="0">
      <protection locked="0"/>
    </xf>
    <xf numFmtId="259" fontId="37" fillId="25" borderId="413" applyNumberFormat="0" applyFont="0" applyAlignment="0"/>
    <xf numFmtId="0" fontId="51" fillId="0" borderId="390">
      <alignment horizontal="left" vertical="center"/>
    </xf>
    <xf numFmtId="193" fontId="66" fillId="23" borderId="419" applyFont="0">
      <alignment horizontal="right"/>
    </xf>
    <xf numFmtId="0" fontId="18" fillId="0" borderId="420" applyNumberFormat="0" applyFill="0" applyAlignment="0" applyProtection="0"/>
    <xf numFmtId="0" fontId="237" fillId="28" borderId="421" applyNumberFormat="0" applyAlignment="0" applyProtection="0"/>
    <xf numFmtId="8" fontId="138" fillId="0" borderId="422">
      <protection locked="0"/>
    </xf>
    <xf numFmtId="0" fontId="29" fillId="0" borderId="419" applyFont="0" applyFill="0" applyBorder="0" applyAlignment="0" applyProtection="0">
      <alignment horizontal="center"/>
    </xf>
    <xf numFmtId="0" fontId="51" fillId="0" borderId="419">
      <alignment horizontal="left" vertical="center"/>
    </xf>
    <xf numFmtId="0" fontId="244" fillId="4" borderId="421" applyNumberFormat="0" applyAlignment="0" applyProtection="0"/>
    <xf numFmtId="0" fontId="18" fillId="2" borderId="423" applyNumberFormat="0" applyFont="0" applyAlignment="0" applyProtection="0"/>
    <xf numFmtId="0" fontId="247" fillId="28" borderId="424" applyNumberFormat="0" applyAlignment="0" applyProtection="0"/>
    <xf numFmtId="259" fontId="37" fillId="25" borderId="413" applyNumberFormat="0" applyFont="0" applyAlignment="0"/>
    <xf numFmtId="10" fontId="18" fillId="25" borderId="413" applyNumberFormat="0" applyBorder="0" applyAlignment="0" applyProtection="0"/>
    <xf numFmtId="0" fontId="18" fillId="0" borderId="412" applyNumberFormat="0" applyFill="0" applyAlignment="0" applyProtection="0"/>
    <xf numFmtId="3" fontId="115" fillId="24" borderId="411" applyBorder="0">
      <protection locked="0"/>
    </xf>
    <xf numFmtId="0" fontId="249" fillId="0" borderId="425" applyNumberFormat="0" applyFill="0" applyAlignment="0" applyProtection="0"/>
    <xf numFmtId="8" fontId="138" fillId="0" borderId="415">
      <protection locked="0"/>
    </xf>
    <xf numFmtId="0" fontId="99" fillId="0" borderId="409" applyNumberFormat="0" applyFill="0" applyAlignment="0" applyProtection="0"/>
    <xf numFmtId="3" fontId="115" fillId="24" borderId="411" applyBorder="0">
      <protection locked="0"/>
    </xf>
    <xf numFmtId="10" fontId="18" fillId="25" borderId="413" applyNumberFormat="0" applyBorder="0" applyAlignment="0" applyProtection="0"/>
    <xf numFmtId="0" fontId="140" fillId="0" borderId="410" applyNumberFormat="0" applyBorder="0"/>
    <xf numFmtId="195" fontId="18" fillId="29" borderId="410" applyNumberFormat="0" applyFont="0" applyBorder="0" applyAlignment="0" applyProtection="0">
      <alignment horizontal="right"/>
    </xf>
    <xf numFmtId="0" fontId="99" fillId="0" borderId="409" applyNumberFormat="0" applyFill="0" applyAlignment="0" applyProtection="0"/>
    <xf numFmtId="9" fontId="96" fillId="25" borderId="413" applyNumberFormat="0" applyFont="0" applyAlignment="0" applyProtection="0"/>
    <xf numFmtId="177" fontId="114" fillId="0" borderId="410" applyBorder="0"/>
    <xf numFmtId="195" fontId="18" fillId="29" borderId="410" applyNumberFormat="0" applyFont="0" applyBorder="0" applyAlignment="0" applyProtection="0">
      <alignment horizontal="right"/>
    </xf>
    <xf numFmtId="4" fontId="137" fillId="0" borderId="413" applyFont="0" applyFill="0" applyBorder="0" applyAlignment="0" applyProtection="0"/>
    <xf numFmtId="10" fontId="18" fillId="25" borderId="413" applyNumberFormat="0" applyBorder="0" applyAlignment="0" applyProtection="0"/>
    <xf numFmtId="176" fontId="29" fillId="0" borderId="410" applyBorder="0">
      <alignment horizontal="right"/>
    </xf>
    <xf numFmtId="0" fontId="244" fillId="4" borderId="414" applyNumberFormat="0" applyAlignment="0" applyProtection="0"/>
    <xf numFmtId="0" fontId="29" fillId="0" borderId="390" applyFont="0" applyFill="0" applyBorder="0" applyAlignment="0" applyProtection="0">
      <alignment horizontal="center"/>
    </xf>
    <xf numFmtId="193" fontId="66" fillId="23" borderId="419" applyFont="0">
      <alignment horizontal="right"/>
    </xf>
    <xf numFmtId="0" fontId="18" fillId="0" borderId="420" applyNumberFormat="0" applyFill="0" applyAlignment="0" applyProtection="0"/>
    <xf numFmtId="169" fontId="137" fillId="0" borderId="413" applyNumberFormat="0" applyFill="0" applyAlignment="0" applyProtection="0"/>
    <xf numFmtId="0" fontId="18" fillId="2" borderId="423" applyNumberFormat="0" applyFont="0" applyAlignment="0" applyProtection="0"/>
    <xf numFmtId="0" fontId="18" fillId="2" borderId="423" applyNumberFormat="0" applyFont="0" applyAlignment="0" applyProtection="0"/>
    <xf numFmtId="0" fontId="249" fillId="0" borderId="425" applyNumberFormat="0" applyFill="0" applyAlignment="0" applyProtection="0"/>
    <xf numFmtId="0" fontId="247" fillId="28" borderId="424" applyNumberFormat="0" applyAlignment="0" applyProtection="0"/>
    <xf numFmtId="0" fontId="18" fillId="2" borderId="423" applyNumberFormat="0" applyFont="0" applyAlignment="0" applyProtection="0"/>
    <xf numFmtId="177" fontId="114" fillId="0" borderId="426" applyBorder="0"/>
    <xf numFmtId="176" fontId="29" fillId="15" borderId="426" applyBorder="0">
      <alignment horizontal="right"/>
    </xf>
    <xf numFmtId="176" fontId="29" fillId="0" borderId="426" applyBorder="0">
      <alignment horizontal="right"/>
    </xf>
    <xf numFmtId="3" fontId="115" fillId="24" borderId="427" applyBorder="0">
      <protection locked="0"/>
    </xf>
    <xf numFmtId="37" fontId="89" fillId="0" borderId="426" applyNumberFormat="0" applyFont="0" applyFill="0" applyAlignment="0" applyProtection="0"/>
    <xf numFmtId="0" fontId="140" fillId="0" borderId="426" applyNumberFormat="0" applyBorder="0"/>
    <xf numFmtId="195" fontId="18" fillId="29" borderId="426" applyNumberFormat="0" applyFont="0" applyBorder="0" applyAlignment="0" applyProtection="0">
      <alignment horizontal="right"/>
    </xf>
    <xf numFmtId="195" fontId="18" fillId="29" borderId="426" applyNumberFormat="0" applyFont="0" applyBorder="0" applyAlignment="0" applyProtection="0">
      <alignment horizontal="right"/>
    </xf>
    <xf numFmtId="0" fontId="18" fillId="0" borderId="412" applyNumberFormat="0" applyFill="0" applyAlignment="0" applyProtection="0"/>
    <xf numFmtId="176" fontId="29" fillId="0" borderId="410" applyBorder="0">
      <alignment horizontal="right"/>
    </xf>
    <xf numFmtId="195" fontId="18" fillId="29" borderId="410" applyNumberFormat="0" applyFont="0" applyBorder="0" applyAlignment="0" applyProtection="0">
      <alignment horizontal="right"/>
    </xf>
    <xf numFmtId="177" fontId="114" fillId="0" borderId="410" applyBorder="0"/>
    <xf numFmtId="176" fontId="29" fillId="15" borderId="410" applyBorder="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81" fillId="0" borderId="407" applyNumberFormat="0" applyFill="0" applyProtection="0">
      <alignment horizontal="right"/>
    </xf>
    <xf numFmtId="0" fontId="99" fillId="0" borderId="409" applyNumberFormat="0" applyFill="0" applyAlignment="0" applyProtection="0"/>
    <xf numFmtId="9" fontId="96" fillId="25" borderId="413" applyNumberFormat="0" applyFont="0" applyAlignment="0" applyProtection="0"/>
    <xf numFmtId="169" fontId="137" fillId="0" borderId="413" applyNumberFormat="0" applyFill="0" applyAlignment="0" applyProtection="0"/>
    <xf numFmtId="0" fontId="99" fillId="0" borderId="409"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386"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0" fontId="18" fillId="2" borderId="423" applyNumberFormat="0" applyFont="0" applyAlignment="0" applyProtection="0"/>
    <xf numFmtId="0" fontId="249" fillId="0" borderId="425" applyNumberFormat="0" applyFill="0" applyAlignment="0" applyProtection="0"/>
    <xf numFmtId="0" fontId="247" fillId="28" borderId="424" applyNumberFormat="0" applyAlignment="0" applyProtection="0"/>
    <xf numFmtId="0" fontId="18" fillId="2" borderId="423" applyNumberFormat="0" applyFont="0" applyAlignment="0" applyProtection="0"/>
    <xf numFmtId="177" fontId="114" fillId="0" borderId="426" applyBorder="0"/>
    <xf numFmtId="176" fontId="29" fillId="15" borderId="426" applyBorder="0">
      <alignment horizontal="right"/>
    </xf>
    <xf numFmtId="176" fontId="29" fillId="0" borderId="426" applyBorder="0">
      <alignment horizontal="right"/>
    </xf>
    <xf numFmtId="3" fontId="115" fillId="24" borderId="427" applyBorder="0">
      <protection locked="0"/>
    </xf>
    <xf numFmtId="37" fontId="89" fillId="0" borderId="426" applyNumberFormat="0" applyFont="0" applyFill="0" applyAlignment="0" applyProtection="0"/>
    <xf numFmtId="0" fontId="140" fillId="0" borderId="426" applyNumberFormat="0" applyBorder="0"/>
    <xf numFmtId="195" fontId="18" fillId="29" borderId="426" applyNumberFormat="0" applyFont="0" applyBorder="0" applyAlignment="0" applyProtection="0">
      <alignment horizontal="right"/>
    </xf>
    <xf numFmtId="195" fontId="18" fillId="29" borderId="426"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37" fontId="89" fillId="0" borderId="410" applyNumberFormat="0" applyFon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386"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23" applyNumberFormat="0" applyFont="0" applyAlignment="0" applyProtection="0"/>
    <xf numFmtId="0" fontId="244" fillId="4" borderId="421" applyNumberFormat="0" applyAlignment="0" applyProtection="0"/>
    <xf numFmtId="8" fontId="138" fillId="0" borderId="422">
      <protection locked="0"/>
    </xf>
    <xf numFmtId="0" fontId="237" fillId="28" borderId="421" applyNumberFormat="0" applyAlignment="0" applyProtection="0"/>
    <xf numFmtId="0" fontId="244" fillId="4" borderId="421" applyNumberFormat="0" applyAlignment="0" applyProtection="0"/>
    <xf numFmtId="0" fontId="244" fillId="4" borderId="421" applyNumberFormat="0" applyAlignment="0" applyProtection="0"/>
    <xf numFmtId="0" fontId="18" fillId="0" borderId="420" applyNumberFormat="0" applyFill="0" applyAlignment="0" applyProtection="0"/>
    <xf numFmtId="0" fontId="249" fillId="0" borderId="425" applyNumberFormat="0" applyFill="0" applyAlignment="0" applyProtection="0"/>
    <xf numFmtId="0" fontId="247" fillId="28" borderId="424" applyNumberFormat="0" applyAlignment="0" applyProtection="0"/>
    <xf numFmtId="0" fontId="18" fillId="0" borderId="420" applyNumberFormat="0" applyFill="0" applyAlignment="0" applyProtection="0"/>
    <xf numFmtId="0" fontId="244" fillId="4" borderId="421" applyNumberFormat="0" applyAlignment="0" applyProtection="0"/>
    <xf numFmtId="0" fontId="18" fillId="2" borderId="423" applyNumberFormat="0" applyFont="0" applyAlignment="0" applyProtection="0"/>
    <xf numFmtId="177" fontId="114" fillId="0" borderId="407" applyBorder="0"/>
    <xf numFmtId="176" fontId="29" fillId="15" borderId="407" applyBorder="0">
      <alignment horizontal="right"/>
    </xf>
    <xf numFmtId="176" fontId="29" fillId="0" borderId="407" applyBorder="0">
      <alignment horizontal="right"/>
    </xf>
    <xf numFmtId="3" fontId="115" fillId="24" borderId="408" applyBorder="0">
      <protection locked="0"/>
    </xf>
    <xf numFmtId="37" fontId="89" fillId="0" borderId="407" applyNumberFormat="0" applyFont="0" applyFill="0" applyAlignment="0" applyProtection="0"/>
    <xf numFmtId="0" fontId="140" fillId="0" borderId="407" applyNumberFormat="0" applyBorder="0"/>
    <xf numFmtId="195" fontId="18" fillId="29" borderId="407" applyNumberFormat="0" applyFont="0" applyBorder="0" applyAlignment="0" applyProtection="0">
      <alignment horizontal="right"/>
    </xf>
    <xf numFmtId="195" fontId="18" fillId="29" borderId="407"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39" fontId="33" fillId="0" borderId="419" applyNumberFormat="0" applyBorder="0">
      <alignment horizontal="right"/>
    </xf>
    <xf numFmtId="1" fontId="85" fillId="0" borderId="419" applyFill="0" applyProtection="0">
      <alignment horizontal="right"/>
    </xf>
    <xf numFmtId="0" fontId="99" fillId="0" borderId="409" applyNumberFormat="0" applyFill="0" applyAlignment="0" applyProtection="0"/>
    <xf numFmtId="195" fontId="18" fillId="29" borderId="407" applyNumberFormat="0" applyFont="0" applyBorder="0" applyAlignment="0" applyProtection="0">
      <alignment horizontal="right"/>
    </xf>
    <xf numFmtId="37" fontId="89" fillId="0" borderId="407" applyNumberFormat="0" applyFont="0" applyFill="0" applyAlignment="0" applyProtection="0"/>
    <xf numFmtId="8" fontId="138" fillId="0" borderId="422">
      <protection locked="0"/>
    </xf>
    <xf numFmtId="0" fontId="244" fillId="4" borderId="421" applyNumberFormat="0" applyAlignment="0" applyProtection="0"/>
    <xf numFmtId="0" fontId="18" fillId="0" borderId="420" applyNumberFormat="0" applyFill="0" applyAlignment="0" applyProtection="0"/>
    <xf numFmtId="193" fontId="66" fillId="23" borderId="419" applyFont="0">
      <alignment horizontal="right"/>
    </xf>
    <xf numFmtId="193" fontId="66" fillId="23" borderId="419" applyFont="0">
      <alignment horizontal="right"/>
    </xf>
    <xf numFmtId="0" fontId="18" fillId="0" borderId="420"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419" applyFont="0" applyFill="0" applyBorder="0" applyAlignment="0" applyProtection="0">
      <alignment horizontal="center"/>
    </xf>
    <xf numFmtId="259" fontId="37" fillId="25" borderId="413" applyNumberFormat="0" applyFont="0" applyAlignment="0"/>
    <xf numFmtId="0" fontId="51" fillId="0" borderId="419">
      <alignment horizontal="left" vertical="center"/>
    </xf>
    <xf numFmtId="0" fontId="244" fillId="4" borderId="421"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07" applyNumberFormat="0" applyFont="0" applyBorder="0" applyAlignment="0" applyProtection="0">
      <alignment horizontal="right"/>
    </xf>
    <xf numFmtId="3" fontId="115" fillId="24" borderId="408" applyBorder="0">
      <protection locked="0"/>
    </xf>
    <xf numFmtId="0" fontId="244" fillId="4" borderId="421" applyNumberFormat="0" applyAlignment="0" applyProtection="0"/>
    <xf numFmtId="0" fontId="51" fillId="0" borderId="419">
      <alignment horizontal="left" vertical="center"/>
    </xf>
    <xf numFmtId="0" fontId="29" fillId="0" borderId="419" applyFont="0" applyFill="0" applyBorder="0" applyAlignment="0" applyProtection="0">
      <alignment horizontal="center"/>
    </xf>
    <xf numFmtId="193" fontId="66" fillId="23" borderId="419" applyFont="0">
      <alignment horizontal="right"/>
    </xf>
    <xf numFmtId="0" fontId="18" fillId="0" borderId="420" applyNumberFormat="0" applyFill="0" applyAlignment="0" applyProtection="0"/>
    <xf numFmtId="10" fontId="18" fillId="25" borderId="413" applyNumberFormat="0" applyBorder="0" applyAlignment="0" applyProtection="0"/>
    <xf numFmtId="0" fontId="18" fillId="2" borderId="423" applyNumberFormat="0" applyFont="0" applyAlignment="0" applyProtection="0"/>
    <xf numFmtId="0" fontId="244" fillId="4" borderId="421" applyNumberFormat="0" applyAlignment="0" applyProtection="0"/>
    <xf numFmtId="8" fontId="138" fillId="0" borderId="422">
      <protection locked="0"/>
    </xf>
    <xf numFmtId="0" fontId="237" fillId="28" borderId="421" applyNumberFormat="0" applyAlignment="0" applyProtection="0"/>
    <xf numFmtId="0" fontId="244" fillId="4" borderId="421" applyNumberFormat="0" applyAlignment="0" applyProtection="0"/>
    <xf numFmtId="0" fontId="244" fillId="4" borderId="421" applyNumberFormat="0" applyAlignment="0" applyProtection="0"/>
    <xf numFmtId="0" fontId="18" fillId="0" borderId="420" applyNumberFormat="0" applyFill="0" applyAlignment="0" applyProtection="0"/>
    <xf numFmtId="0" fontId="249" fillId="0" borderId="425" applyNumberFormat="0" applyFill="0" applyAlignment="0" applyProtection="0"/>
    <xf numFmtId="0" fontId="247" fillId="28" borderId="424" applyNumberFormat="0" applyAlignment="0" applyProtection="0"/>
    <xf numFmtId="0" fontId="18" fillId="0" borderId="420" applyNumberFormat="0" applyFill="0" applyAlignment="0" applyProtection="0"/>
    <xf numFmtId="0" fontId="244" fillId="4" borderId="421" applyNumberFormat="0" applyAlignment="0" applyProtection="0"/>
    <xf numFmtId="0" fontId="18" fillId="2" borderId="423" applyNumberFormat="0" applyFont="0" applyAlignment="0" applyProtection="0"/>
    <xf numFmtId="177" fontId="114" fillId="0" borderId="407" applyBorder="0"/>
    <xf numFmtId="176" fontId="29" fillId="15" borderId="407" applyBorder="0">
      <alignment horizontal="right"/>
    </xf>
    <xf numFmtId="176" fontId="29" fillId="0" borderId="407" applyBorder="0">
      <alignment horizontal="right"/>
    </xf>
    <xf numFmtId="3" fontId="115" fillId="24" borderId="408" applyBorder="0">
      <protection locked="0"/>
    </xf>
    <xf numFmtId="37" fontId="89" fillId="0" borderId="407" applyNumberFormat="0" applyFont="0" applyFill="0" applyAlignment="0" applyProtection="0"/>
    <xf numFmtId="0" fontId="140" fillId="0" borderId="407" applyNumberFormat="0" applyBorder="0"/>
    <xf numFmtId="195" fontId="18" fillId="29" borderId="407" applyNumberFormat="0" applyFont="0" applyBorder="0" applyAlignment="0" applyProtection="0">
      <alignment horizontal="right"/>
    </xf>
    <xf numFmtId="195" fontId="18" fillId="29" borderId="407" applyNumberFormat="0" applyFont="0" applyBorder="0" applyAlignment="0" applyProtection="0">
      <alignment horizontal="right"/>
    </xf>
    <xf numFmtId="0" fontId="140" fillId="0" borderId="407" applyNumberFormat="0" applyBorder="0"/>
    <xf numFmtId="176" fontId="29" fillId="0" borderId="407" applyBorder="0">
      <alignment horizontal="right"/>
    </xf>
    <xf numFmtId="176" fontId="29" fillId="15" borderId="407" applyBorder="0">
      <alignment horizontal="right"/>
    </xf>
    <xf numFmtId="177" fontId="114" fillId="0" borderId="407" applyBorder="0"/>
    <xf numFmtId="0" fontId="18" fillId="2" borderId="423" applyNumberFormat="0" applyFont="0" applyAlignment="0" applyProtection="0"/>
    <xf numFmtId="0" fontId="244" fillId="4" borderId="421" applyNumberFormat="0" applyAlignment="0" applyProtection="0"/>
    <xf numFmtId="0" fontId="18" fillId="0" borderId="420" applyNumberFormat="0" applyFill="0" applyAlignment="0" applyProtection="0"/>
    <xf numFmtId="0" fontId="247" fillId="28" borderId="424" applyNumberFormat="0" applyAlignment="0" applyProtection="0"/>
    <xf numFmtId="0" fontId="249" fillId="0" borderId="425" applyNumberFormat="0" applyFill="0" applyAlignment="0" applyProtection="0"/>
    <xf numFmtId="0" fontId="18" fillId="0" borderId="420" applyNumberFormat="0" applyFill="0" applyAlignment="0" applyProtection="0"/>
    <xf numFmtId="0" fontId="244" fillId="4" borderId="421" applyNumberFormat="0" applyAlignment="0" applyProtection="0"/>
    <xf numFmtId="0" fontId="244" fillId="4" borderId="421" applyNumberFormat="0" applyAlignment="0" applyProtection="0"/>
    <xf numFmtId="0" fontId="237" fillId="28" borderId="421" applyNumberFormat="0" applyAlignment="0" applyProtection="0"/>
    <xf numFmtId="0" fontId="18" fillId="2" borderId="423" applyNumberFormat="0" applyFont="0" applyAlignment="0" applyProtection="0"/>
    <xf numFmtId="0" fontId="18" fillId="0" borderId="420" applyNumberFormat="0" applyFill="0" applyAlignment="0" applyProtection="0"/>
    <xf numFmtId="193" fontId="66" fillId="23" borderId="419" applyFont="0">
      <alignment horizontal="right"/>
    </xf>
    <xf numFmtId="0" fontId="99" fillId="0" borderId="409" applyNumberFormat="0" applyFill="0" applyAlignment="0" applyProtection="0"/>
    <xf numFmtId="39" fontId="33" fillId="0" borderId="419" applyNumberFormat="0" applyBorder="0">
      <alignment horizontal="right"/>
    </xf>
    <xf numFmtId="1" fontId="85" fillId="0" borderId="419" applyFill="0" applyProtection="0">
      <alignment horizontal="right"/>
    </xf>
    <xf numFmtId="39" fontId="33" fillId="0" borderId="419" applyNumberFormat="0" applyBorder="0">
      <alignment horizontal="right"/>
    </xf>
    <xf numFmtId="1" fontId="85" fillId="0" borderId="419"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6" fontId="29" fillId="15" borderId="410" applyBorder="0">
      <alignment horizontal="right"/>
    </xf>
    <xf numFmtId="37" fontId="89" fillId="0" borderId="410" applyNumberFormat="0" applyFont="0" applyFill="0" applyAlignment="0" applyProtection="0"/>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37" fontId="89" fillId="0" borderId="410" applyNumberFormat="0" applyFont="0" applyFill="0" applyAlignment="0" applyProtection="0"/>
    <xf numFmtId="176" fontId="29" fillId="15" borderId="410" applyBorder="0">
      <alignment horizontal="right"/>
    </xf>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18" fillId="0" borderId="412" applyNumberFormat="0" applyFill="0" applyAlignment="0" applyProtection="0"/>
    <xf numFmtId="193" fontId="66" fillId="23" borderId="390" applyFont="0">
      <alignment horizontal="right"/>
    </xf>
    <xf numFmtId="0" fontId="18" fillId="0" borderId="412" applyNumberFormat="0" applyFill="0" applyAlignment="0" applyProtection="0"/>
    <xf numFmtId="9" fontId="96" fillId="25" borderId="413" applyNumberFormat="0" applyFont="0" applyAlignment="0" applyProtection="0"/>
    <xf numFmtId="0" fontId="237" fillId="28" borderId="414" applyNumberFormat="0" applyAlignment="0" applyProtection="0"/>
    <xf numFmtId="4" fontId="137" fillId="0" borderId="413" applyFont="0" applyFill="0" applyBorder="0" applyAlignment="0" applyProtection="0"/>
    <xf numFmtId="8" fontId="138" fillId="0" borderId="415">
      <protection locked="0"/>
    </xf>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0" fontId="18" fillId="2" borderId="416" applyNumberFormat="0" applyFont="0" applyAlignment="0" applyProtection="0"/>
    <xf numFmtId="0" fontId="247" fillId="28" borderId="417" applyNumberFormat="0" applyAlignment="0" applyProtection="0"/>
    <xf numFmtId="0" fontId="249" fillId="0" borderId="418" applyNumberFormat="0" applyFill="0" applyAlignment="0" applyProtection="0"/>
    <xf numFmtId="177" fontId="114" fillId="0" borderId="410" applyBorder="0"/>
    <xf numFmtId="0" fontId="18" fillId="0" borderId="412" applyNumberFormat="0" applyFill="0" applyAlignment="0" applyProtection="0"/>
    <xf numFmtId="0" fontId="247" fillId="28" borderId="417" applyNumberFormat="0" applyAlignment="0" applyProtection="0"/>
    <xf numFmtId="0" fontId="244" fillId="4" borderId="414" applyNumberFormat="0" applyAlignment="0" applyProtection="0"/>
    <xf numFmtId="0" fontId="18" fillId="2" borderId="416" applyNumberFormat="0" applyFont="0" applyAlignment="0" applyProtection="0"/>
    <xf numFmtId="0" fontId="249" fillId="0" borderId="418" applyNumberFormat="0" applyFill="0" applyAlignment="0" applyProtection="0"/>
    <xf numFmtId="0" fontId="247" fillId="28" borderId="417" applyNumberFormat="0" applyAlignment="0" applyProtection="0"/>
    <xf numFmtId="0" fontId="18" fillId="2" borderId="416" applyNumberFormat="0" applyFont="0" applyAlignment="0" applyProtection="0"/>
    <xf numFmtId="193" fontId="66" fillId="23" borderId="390" applyFont="0">
      <alignment horizontal="right"/>
    </xf>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7" fillId="28" borderId="417"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176" fontId="29" fillId="0" borderId="410" applyBorder="0">
      <alignment horizontal="right"/>
    </xf>
    <xf numFmtId="0" fontId="249" fillId="0" borderId="418" applyNumberFormat="0" applyFill="0" applyAlignment="0" applyProtection="0"/>
    <xf numFmtId="0" fontId="244" fillId="4" borderId="414" applyNumberFormat="0" applyAlignment="0" applyProtection="0"/>
    <xf numFmtId="0" fontId="237" fillId="28" borderId="414" applyNumberFormat="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0" fontId="18" fillId="0" borderId="412" applyNumberFormat="0" applyFill="0" applyAlignment="0" applyProtection="0"/>
    <xf numFmtId="0" fontId="18" fillId="0" borderId="384"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386"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93" fontId="66" fillId="23" borderId="390" applyFont="0">
      <alignment horizontal="right"/>
    </xf>
    <xf numFmtId="0" fontId="18" fillId="0" borderId="384" applyNumberFormat="0" applyFill="0" applyAlignment="0" applyProtection="0"/>
    <xf numFmtId="10" fontId="18" fillId="25" borderId="413" applyNumberFormat="0" applyBorder="0" applyAlignment="0" applyProtection="0"/>
    <xf numFmtId="0" fontId="247" fillId="28" borderId="417"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386"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193" fontId="66" fillId="23" borderId="390" applyFont="0">
      <alignment horizontal="right"/>
    </xf>
    <xf numFmtId="193" fontId="66" fillId="23" borderId="390" applyFont="0">
      <alignment horizontal="right"/>
    </xf>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0" fontId="51" fillId="0" borderId="390">
      <alignment horizontal="left" vertical="center"/>
    </xf>
    <xf numFmtId="0" fontId="29" fillId="0" borderId="390" applyFont="0" applyFill="0" applyBorder="0" applyAlignment="0" applyProtection="0">
      <alignment horizontal="center"/>
    </xf>
    <xf numFmtId="4" fontId="137" fillId="0" borderId="413" applyFont="0" applyFill="0" applyBorder="0" applyAlignment="0" applyProtection="0"/>
    <xf numFmtId="9" fontId="96" fillId="25" borderId="413" applyNumberFormat="0" applyFont="0" applyAlignment="0" applyProtection="0"/>
    <xf numFmtId="193" fontId="66" fillId="23" borderId="390" applyFont="0">
      <alignment horizontal="right"/>
    </xf>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193" fontId="66" fillId="23" borderId="390" applyFont="0">
      <alignment horizontal="right"/>
    </xf>
    <xf numFmtId="0" fontId="99" fillId="0" borderId="409" applyNumberFormat="0" applyFill="0" applyAlignment="0" applyProtection="0"/>
    <xf numFmtId="39" fontId="33" fillId="0" borderId="390" applyNumberFormat="0" applyBorder="0">
      <alignment horizontal="right"/>
    </xf>
    <xf numFmtId="1" fontId="85" fillId="0" borderId="39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8" fontId="138" fillId="0" borderId="415">
      <protection locked="0"/>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0" fontId="244" fillId="4" borderId="414" applyNumberForma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0" fontId="244" fillId="4" borderId="414"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39" fontId="33" fillId="0" borderId="390" applyNumberFormat="0" applyBorder="0">
      <alignment horizontal="right"/>
    </xf>
    <xf numFmtId="1" fontId="85" fillId="0" borderId="390" applyFill="0" applyProtection="0">
      <alignment horizontal="right"/>
    </xf>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193" fontId="66" fillId="23" borderId="390" applyFont="0">
      <alignment horizontal="right"/>
    </xf>
    <xf numFmtId="193" fontId="66" fillId="23" borderId="390" applyFont="0">
      <alignment horizontal="right"/>
    </xf>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0" fontId="51" fillId="0" borderId="390">
      <alignment horizontal="left" vertical="center"/>
    </xf>
    <xf numFmtId="0" fontId="29" fillId="0" borderId="390" applyFont="0" applyFill="0" applyBorder="0" applyAlignment="0" applyProtection="0">
      <alignment horizontal="center"/>
    </xf>
    <xf numFmtId="4" fontId="137" fillId="0" borderId="413" applyFont="0" applyFill="0" applyBorder="0" applyAlignment="0" applyProtection="0"/>
    <xf numFmtId="9" fontId="96" fillId="25" borderId="413" applyNumberFormat="0" applyFont="0" applyAlignment="0" applyProtection="0"/>
    <xf numFmtId="193" fontId="66" fillId="23" borderId="390" applyFont="0">
      <alignment horizontal="right"/>
    </xf>
    <xf numFmtId="0" fontId="18" fillId="0" borderId="412" applyNumberFormat="0" applyFill="0" applyAlignment="0" applyProtection="0"/>
    <xf numFmtId="10" fontId="18" fillId="25" borderId="413" applyNumberFormat="0" applyBorder="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0" fontId="244" fillId="4" borderId="414"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0" borderId="412" applyNumberFormat="0" applyFill="0" applyAlignment="0" applyProtection="0"/>
    <xf numFmtId="193" fontId="66" fillId="23" borderId="390" applyFont="0">
      <alignment horizontal="right"/>
    </xf>
    <xf numFmtId="39" fontId="33" fillId="0" borderId="390" applyNumberFormat="0" applyBorder="0">
      <alignment horizontal="right"/>
    </xf>
    <xf numFmtId="1" fontId="85" fillId="0" borderId="390" applyFill="0" applyProtection="0">
      <alignment horizontal="right"/>
    </xf>
    <xf numFmtId="39" fontId="33" fillId="0" borderId="390" applyNumberFormat="0" applyBorder="0">
      <alignment horizontal="right"/>
    </xf>
    <xf numFmtId="1" fontId="85" fillId="0" borderId="390" applyFill="0" applyProtection="0">
      <alignment horizontal="right"/>
    </xf>
    <xf numFmtId="8" fontId="138" fillId="0" borderId="415">
      <protection locked="0"/>
    </xf>
    <xf numFmtId="8" fontId="138" fillId="0" borderId="415">
      <protection locked="0"/>
    </xf>
    <xf numFmtId="37" fontId="89" fillId="0" borderId="410" applyNumberFormat="0" applyFont="0" applyFill="0" applyAlignment="0" applyProtection="0"/>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37" fontId="89" fillId="0" borderId="410" applyNumberFormat="0" applyFont="0" applyFill="0" applyAlignment="0" applyProtection="0"/>
    <xf numFmtId="176" fontId="29" fillId="15" borderId="410" applyBorder="0">
      <alignment horizontal="right"/>
    </xf>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18" fillId="0" borderId="412" applyNumberFormat="0" applyFill="0" applyAlignment="0" applyProtection="0"/>
    <xf numFmtId="193" fontId="66" fillId="23" borderId="390" applyFont="0">
      <alignment horizontal="right"/>
    </xf>
    <xf numFmtId="0" fontId="18" fillId="0" borderId="412" applyNumberFormat="0" applyFill="0" applyAlignment="0" applyProtection="0"/>
    <xf numFmtId="9" fontId="96" fillId="25" borderId="413" applyNumberFormat="0" applyFont="0" applyAlignment="0" applyProtection="0"/>
    <xf numFmtId="0" fontId="237" fillId="28" borderId="414" applyNumberFormat="0" applyAlignment="0" applyProtection="0"/>
    <xf numFmtId="4" fontId="137" fillId="0" borderId="413" applyFont="0" applyFill="0" applyBorder="0" applyAlignment="0" applyProtection="0"/>
    <xf numFmtId="8" fontId="138" fillId="0" borderId="415">
      <protection locked="0"/>
    </xf>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0" fontId="18" fillId="2" borderId="416" applyNumberFormat="0" applyFont="0" applyAlignment="0" applyProtection="0"/>
    <xf numFmtId="0" fontId="247" fillId="28" borderId="417" applyNumberFormat="0" applyAlignment="0" applyProtection="0"/>
    <xf numFmtId="0" fontId="249" fillId="0" borderId="418" applyNumberFormat="0" applyFill="0" applyAlignment="0" applyProtection="0"/>
    <xf numFmtId="177" fontId="114" fillId="0" borderId="410" applyBorder="0"/>
    <xf numFmtId="0" fontId="18" fillId="0" borderId="412" applyNumberFormat="0" applyFill="0" applyAlignment="0" applyProtection="0"/>
    <xf numFmtId="0" fontId="247" fillId="28" borderId="417" applyNumberFormat="0" applyAlignment="0" applyProtection="0"/>
    <xf numFmtId="0" fontId="244" fillId="4" borderId="414" applyNumberFormat="0" applyAlignment="0" applyProtection="0"/>
    <xf numFmtId="0" fontId="18" fillId="2" borderId="416" applyNumberFormat="0" applyFont="0" applyAlignment="0" applyProtection="0"/>
    <xf numFmtId="0" fontId="249" fillId="0" borderId="418" applyNumberFormat="0" applyFill="0" applyAlignment="0" applyProtection="0"/>
    <xf numFmtId="0" fontId="247" fillId="28" borderId="417" applyNumberFormat="0" applyAlignment="0" applyProtection="0"/>
    <xf numFmtId="0" fontId="18" fillId="2" borderId="416" applyNumberFormat="0" applyFont="0" applyAlignment="0" applyProtection="0"/>
    <xf numFmtId="193" fontId="66" fillId="23" borderId="390" applyFont="0">
      <alignment horizontal="right"/>
    </xf>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7" fillId="28" borderId="417"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176" fontId="29" fillId="0" borderId="410" applyBorder="0">
      <alignment horizontal="right"/>
    </xf>
    <xf numFmtId="0" fontId="249" fillId="0" borderId="418" applyNumberFormat="0" applyFill="0" applyAlignment="0" applyProtection="0"/>
    <xf numFmtId="0" fontId="244" fillId="4" borderId="414" applyNumberFormat="0" applyAlignment="0" applyProtection="0"/>
    <xf numFmtId="0" fontId="237" fillId="28" borderId="414" applyNumberFormat="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247" fillId="28" borderId="417" applyNumberForma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193" fontId="66" fillId="23" borderId="390" applyFont="0">
      <alignment horizontal="right"/>
    </xf>
    <xf numFmtId="193" fontId="66" fillId="23" borderId="390" applyFont="0">
      <alignment horizontal="right"/>
    </xf>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0" fontId="29" fillId="0" borderId="390" applyFont="0" applyFill="0" applyBorder="0" applyAlignment="0" applyProtection="0">
      <alignment horizontal="center"/>
    </xf>
    <xf numFmtId="259" fontId="37" fillId="25" borderId="413" applyNumberFormat="0" applyFont="0" applyAlignment="0"/>
    <xf numFmtId="0" fontId="51" fillId="0" borderId="390">
      <alignment horizontal="left" vertical="center"/>
    </xf>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10" fontId="18" fillId="25" borderId="413" applyNumberFormat="0" applyBorder="0" applyAlignment="0" applyProtection="0"/>
    <xf numFmtId="0" fontId="51" fillId="0" borderId="390">
      <alignment horizontal="left" vertical="center"/>
    </xf>
    <xf numFmtId="0" fontId="29" fillId="0" borderId="390" applyFont="0" applyFill="0" applyBorder="0" applyAlignment="0" applyProtection="0">
      <alignment horizontal="center"/>
    </xf>
    <xf numFmtId="4" fontId="137" fillId="0" borderId="413" applyFont="0" applyFill="0" applyBorder="0" applyAlignment="0" applyProtection="0"/>
    <xf numFmtId="9" fontId="96" fillId="25" borderId="413" applyNumberFormat="0" applyFont="0" applyAlignment="0" applyProtection="0"/>
    <xf numFmtId="193" fontId="66" fillId="23" borderId="390" applyFont="0">
      <alignment horizontal="right"/>
    </xf>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193" fontId="66" fillId="23" borderId="390" applyFont="0">
      <alignment horizontal="right"/>
    </xf>
    <xf numFmtId="0" fontId="99" fillId="0" borderId="409" applyNumberFormat="0" applyFill="0" applyAlignment="0" applyProtection="0"/>
    <xf numFmtId="39" fontId="33" fillId="0" borderId="390" applyNumberFormat="0" applyBorder="0">
      <alignment horizontal="right"/>
    </xf>
    <xf numFmtId="1" fontId="85" fillId="0" borderId="390" applyFill="0" applyProtection="0">
      <alignment horizontal="right"/>
    </xf>
    <xf numFmtId="39" fontId="33" fillId="0" borderId="390" applyNumberFormat="0" applyBorder="0">
      <alignment horizontal="right"/>
    </xf>
    <xf numFmtId="1" fontId="85" fillId="0" borderId="39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77" fontId="114" fillId="0" borderId="410" applyBorder="0"/>
    <xf numFmtId="176" fontId="29" fillId="15" borderId="410" applyBorder="0">
      <alignment horizontal="right"/>
    </xf>
    <xf numFmtId="176" fontId="29" fillId="0" borderId="410" applyBorder="0">
      <alignment horizontal="right"/>
    </xf>
    <xf numFmtId="0" fontId="18" fillId="0" borderId="412" applyNumberFormat="0" applyFill="0" applyAlignment="0" applyProtection="0"/>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0" fontId="244" fillId="4" borderId="414" applyNumberFormat="0" applyAlignment="0" applyProtection="0"/>
    <xf numFmtId="0" fontId="18" fillId="0" borderId="412" applyNumberFormat="0" applyFill="0" applyAlignment="0" applyProtection="0"/>
    <xf numFmtId="195" fontId="18" fillId="29" borderId="410" applyNumberFormat="0" applyFont="0" applyBorder="0" applyAlignment="0" applyProtection="0">
      <alignment horizontal="right"/>
    </xf>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99" fillId="0" borderId="409" applyNumberFormat="0" applyFill="0" applyAlignment="0" applyProtection="0"/>
    <xf numFmtId="0" fontId="99" fillId="0" borderId="409" applyNumberFormat="0" applyFill="0" applyAlignment="0" applyProtection="0"/>
    <xf numFmtId="0" fontId="81" fillId="0" borderId="410" applyNumberFormat="0" applyFill="0" applyProtection="0">
      <alignment horizontal="right"/>
    </xf>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0" fontId="244" fillId="4" borderId="414" applyNumberFormat="0" applyAlignment="0" applyProtection="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0" fontId="244" fillId="4" borderId="414"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3" fontId="115" fillId="24" borderId="411" applyBorder="0">
      <protection locked="0"/>
    </xf>
    <xf numFmtId="0" fontId="244" fillId="4" borderId="414" applyNumberForma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 fontId="115" fillId="24" borderId="411" applyBorder="0">
      <protection locked="0"/>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0" fontId="99" fillId="0" borderId="409" applyNumberFormat="0" applyFill="0" applyAlignment="0" applyProtection="0"/>
    <xf numFmtId="195" fontId="18" fillId="29" borderId="410" applyNumberFormat="0" applyFont="0" applyBorder="0" applyAlignment="0" applyProtection="0">
      <alignment horizontal="right"/>
    </xf>
    <xf numFmtId="37" fontId="89" fillId="0" borderId="410" applyNumberFormat="0" applyFont="0" applyFill="0" applyAlignment="0" applyProtection="0"/>
    <xf numFmtId="8" fontId="138" fillId="0" borderId="415">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14" applyNumberFormat="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95" fontId="18" fillId="29" borderId="410" applyNumberFormat="0" applyFont="0" applyBorder="0" applyAlignment="0" applyProtection="0">
      <alignment horizontal="right"/>
    </xf>
    <xf numFmtId="0" fontId="244" fillId="4" borderId="414" applyNumberFormat="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0" fontId="18" fillId="2" borderId="416" applyNumberFormat="0" applyFont="0" applyAlignment="0" applyProtection="0"/>
    <xf numFmtId="0" fontId="244" fillId="4" borderId="414" applyNumberFormat="0" applyAlignment="0" applyProtection="0"/>
    <xf numFmtId="8" fontId="138" fillId="0" borderId="415">
      <protection locked="0"/>
    </xf>
    <xf numFmtId="0" fontId="237" fillId="28" borderId="414" applyNumberFormat="0" applyAlignment="0" applyProtection="0"/>
    <xf numFmtId="0" fontId="244" fillId="4" borderId="414" applyNumberFormat="0" applyAlignment="0" applyProtection="0"/>
    <xf numFmtId="0" fontId="244" fillId="4" borderId="414" applyNumberFormat="0" applyAlignment="0" applyProtection="0"/>
    <xf numFmtId="0" fontId="18" fillId="0" borderId="412" applyNumberFormat="0" applyFill="0" applyAlignment="0" applyProtection="0"/>
    <xf numFmtId="0" fontId="249" fillId="0" borderId="418" applyNumberFormat="0" applyFill="0" applyAlignment="0" applyProtection="0"/>
    <xf numFmtId="0" fontId="247" fillId="28" borderId="417" applyNumberFormat="0" applyAlignment="0" applyProtection="0"/>
    <xf numFmtId="0" fontId="18" fillId="0" borderId="412" applyNumberFormat="0" applyFill="0" applyAlignment="0" applyProtection="0"/>
    <xf numFmtId="0" fontId="244" fillId="4" borderId="414" applyNumberFormat="0" applyAlignment="0" applyProtection="0"/>
    <xf numFmtId="0" fontId="18" fillId="2" borderId="416" applyNumberFormat="0" applyFont="0" applyAlignment="0" applyProtection="0"/>
    <xf numFmtId="177" fontId="114" fillId="0" borderId="410" applyBorder="0"/>
    <xf numFmtId="176" fontId="29" fillId="15" borderId="410" applyBorder="0">
      <alignment horizontal="right"/>
    </xf>
    <xf numFmtId="176" fontId="29" fillId="0" borderId="410" applyBorder="0">
      <alignment horizontal="right"/>
    </xf>
    <xf numFmtId="37" fontId="89" fillId="0" borderId="410" applyNumberFormat="0" applyFont="0" applyFill="0" applyAlignment="0" applyProtection="0"/>
    <xf numFmtId="0" fontId="140" fillId="0" borderId="410" applyNumberFormat="0" applyBorder="0"/>
    <xf numFmtId="195" fontId="18" fillId="29" borderId="410" applyNumberFormat="0" applyFont="0" applyBorder="0" applyAlignment="0" applyProtection="0">
      <alignment horizontal="right"/>
    </xf>
    <xf numFmtId="195" fontId="18" fillId="29" borderId="410" applyNumberFormat="0" applyFont="0" applyBorder="0" applyAlignment="0" applyProtection="0">
      <alignment horizontal="right"/>
    </xf>
    <xf numFmtId="0" fontId="140" fillId="0" borderId="410" applyNumberFormat="0" applyBorder="0"/>
    <xf numFmtId="176" fontId="29" fillId="0" borderId="410" applyBorder="0">
      <alignment horizontal="right"/>
    </xf>
    <xf numFmtId="176" fontId="29" fillId="15" borderId="410" applyBorder="0">
      <alignment horizontal="right"/>
    </xf>
    <xf numFmtId="177" fontId="114" fillId="0" borderId="410" applyBorder="0"/>
    <xf numFmtId="0" fontId="18" fillId="2" borderId="416" applyNumberFormat="0" applyFont="0" applyAlignment="0" applyProtection="0"/>
    <xf numFmtId="0" fontId="244" fillId="4" borderId="414" applyNumberFormat="0" applyAlignment="0" applyProtection="0"/>
    <xf numFmtId="0" fontId="18" fillId="0" borderId="412" applyNumberFormat="0" applyFill="0" applyAlignment="0" applyProtection="0"/>
    <xf numFmtId="0" fontId="247" fillId="28" borderId="417" applyNumberFormat="0" applyAlignment="0" applyProtection="0"/>
    <xf numFmtId="0" fontId="249" fillId="0" borderId="418" applyNumberFormat="0" applyFill="0" applyAlignment="0" applyProtection="0"/>
    <xf numFmtId="0" fontId="18" fillId="0" borderId="412" applyNumberFormat="0" applyFill="0" applyAlignment="0" applyProtection="0"/>
    <xf numFmtId="0" fontId="244" fillId="4" borderId="414" applyNumberFormat="0" applyAlignment="0" applyProtection="0"/>
    <xf numFmtId="0" fontId="244" fillId="4" borderId="414" applyNumberFormat="0" applyAlignment="0" applyProtection="0"/>
    <xf numFmtId="0" fontId="237" fillId="28" borderId="414" applyNumberFormat="0" applyAlignment="0" applyProtection="0"/>
    <xf numFmtId="0" fontId="18" fillId="2" borderId="416" applyNumberFormat="0" applyFont="0" applyAlignment="0" applyProtection="0"/>
    <xf numFmtId="0" fontId="18" fillId="0" borderId="412" applyNumberFormat="0" applyFill="0" applyAlignment="0" applyProtection="0"/>
    <xf numFmtId="0" fontId="99" fillId="0" borderId="409" applyNumberFormat="0" applyFill="0" applyAlignment="0" applyProtection="0"/>
    <xf numFmtId="10" fontId="18" fillId="25" borderId="413" applyNumberFormat="0" applyBorder="0" applyAlignment="0" applyProtection="0"/>
    <xf numFmtId="169" fontId="137" fillId="0" borderId="413" applyNumberFormat="0" applyFill="0" applyAlignment="0" applyProtection="0"/>
    <xf numFmtId="259" fontId="37" fillId="25" borderId="413" applyNumberFormat="0" applyFont="0" applyAlignment="0"/>
    <xf numFmtId="0" fontId="18" fillId="0" borderId="412" applyNumberFormat="0" applyFill="0" applyAlignment="0" applyProtection="0"/>
    <xf numFmtId="0" fontId="18" fillId="0" borderId="412" applyNumberFormat="0" applyFill="0" applyAlignment="0" applyProtection="0"/>
    <xf numFmtId="9" fontId="96" fillId="25" borderId="413" applyNumberFormat="0" applyFont="0" applyAlignment="0" applyProtection="0"/>
    <xf numFmtId="4" fontId="137" fillId="0" borderId="413" applyFont="0" applyFill="0" applyBorder="0" applyAlignment="0" applyProtection="0"/>
    <xf numFmtId="259" fontId="37" fillId="25" borderId="413" applyNumberFormat="0" applyFont="0" applyAlignment="0"/>
    <xf numFmtId="10" fontId="18" fillId="25" borderId="413" applyNumberFormat="0" applyBorder="0" applyAlignment="0" applyProtection="0"/>
    <xf numFmtId="169" fontId="137" fillId="0" borderId="413" applyNumberFormat="0" applyFill="0" applyAlignment="0" applyProtection="0"/>
    <xf numFmtId="10" fontId="18" fillId="25" borderId="413" applyNumberFormat="0" applyBorder="0" applyAlignment="0" applyProtection="0"/>
    <xf numFmtId="4" fontId="137" fillId="0" borderId="413" applyFont="0" applyFill="0" applyBorder="0" applyAlignment="0" applyProtection="0"/>
    <xf numFmtId="9" fontId="96" fillId="25" borderId="413" applyNumberFormat="0" applyFont="0" applyAlignment="0" applyProtection="0"/>
    <xf numFmtId="0" fontId="18" fillId="0" borderId="412" applyNumberFormat="0" applyFill="0" applyAlignment="0" applyProtection="0"/>
    <xf numFmtId="10" fontId="18" fillId="25" borderId="413" applyNumberFormat="0" applyBorder="0" applyAlignment="0" applyProtection="0"/>
    <xf numFmtId="8" fontId="138" fillId="0" borderId="415">
      <protection locked="0"/>
    </xf>
    <xf numFmtId="0" fontId="18" fillId="0" borderId="412" applyNumberFormat="0" applyFill="0" applyAlignment="0" applyProtection="0"/>
    <xf numFmtId="0" fontId="18" fillId="0" borderId="412" applyNumberFormat="0" applyFill="0" applyAlignment="0" applyProtection="0"/>
    <xf numFmtId="0" fontId="18" fillId="0" borderId="412" applyNumberFormat="0" applyFill="0" applyAlignment="0" applyProtection="0"/>
    <xf numFmtId="0" fontId="18" fillId="0" borderId="412" applyNumberFormat="0" applyFill="0" applyAlignment="0" applyProtection="0"/>
    <xf numFmtId="0" fontId="18" fillId="0" borderId="412" applyNumberFormat="0" applyFill="0" applyAlignment="0" applyProtection="0"/>
    <xf numFmtId="0" fontId="99" fillId="0" borderId="409" applyNumberFormat="0" applyFill="0" applyAlignment="0" applyProtection="0"/>
    <xf numFmtId="37" fontId="89" fillId="0" borderId="447" applyNumberFormat="0" applyFont="0" applyFill="0" applyAlignment="0" applyProtection="0"/>
    <xf numFmtId="195" fontId="18" fillId="29" borderId="447" applyNumberFormat="0" applyFont="0" applyBorder="0" applyAlignment="0" applyProtection="0">
      <alignment horizontal="right"/>
    </xf>
    <xf numFmtId="0" fontId="99" fillId="0" borderId="446" applyNumberFormat="0" applyFill="0" applyAlignment="0" applyProtection="0"/>
    <xf numFmtId="0" fontId="99" fillId="0" borderId="446" applyNumberFormat="0" applyFill="0" applyAlignment="0" applyProtection="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140" fillId="0" borderId="447" applyNumberFormat="0" applyBorder="0"/>
    <xf numFmtId="37" fontId="89" fillId="0" borderId="447" applyNumberFormat="0" applyFont="0" applyFill="0" applyAlignment="0" applyProtection="0"/>
    <xf numFmtId="176" fontId="29" fillId="15" borderId="447" applyBorder="0">
      <alignment horizontal="right"/>
    </xf>
    <xf numFmtId="0" fontId="18" fillId="2" borderId="453" applyNumberFormat="0" applyFont="0" applyAlignment="0" applyProtection="0"/>
    <xf numFmtId="0" fontId="244" fillId="4" borderId="451" applyNumberFormat="0" applyAlignment="0" applyProtection="0"/>
    <xf numFmtId="0" fontId="18" fillId="0" borderId="449" applyNumberFormat="0" applyFill="0" applyAlignment="0" applyProtection="0"/>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18" fillId="0" borderId="449" applyNumberFormat="0" applyFill="0" applyAlignment="0" applyProtection="0"/>
    <xf numFmtId="193" fontId="66" fillId="23" borderId="419" applyFont="0">
      <alignment horizontal="right"/>
    </xf>
    <xf numFmtId="0" fontId="18" fillId="0" borderId="428" applyNumberFormat="0" applyFill="0" applyAlignment="0" applyProtection="0"/>
    <xf numFmtId="9" fontId="96" fillId="25" borderId="413" applyNumberFormat="0" applyFont="0" applyAlignment="0" applyProtection="0"/>
    <xf numFmtId="0" fontId="237" fillId="28" borderId="429" applyNumberFormat="0" applyAlignment="0" applyProtection="0"/>
    <xf numFmtId="4" fontId="137" fillId="0" borderId="413" applyFont="0" applyFill="0" applyBorder="0" applyAlignment="0" applyProtection="0"/>
    <xf numFmtId="8" fontId="138" fillId="0" borderId="430">
      <protection locked="0"/>
    </xf>
    <xf numFmtId="0" fontId="29" fillId="0" borderId="419" applyFont="0" applyFill="0" applyBorder="0" applyAlignment="0" applyProtection="0">
      <alignment horizontal="center"/>
    </xf>
    <xf numFmtId="259" fontId="37" fillId="25" borderId="413" applyNumberFormat="0" applyFont="0" applyAlignment="0"/>
    <xf numFmtId="0" fontId="51" fillId="0" borderId="419">
      <alignment horizontal="left" vertical="center"/>
    </xf>
    <xf numFmtId="0" fontId="244" fillId="4" borderId="429" applyNumberFormat="0" applyAlignment="0" applyProtection="0"/>
    <xf numFmtId="10" fontId="18" fillId="25" borderId="413" applyNumberFormat="0" applyBorder="0" applyAlignment="0" applyProtection="0"/>
    <xf numFmtId="169" fontId="137" fillId="0" borderId="413" applyNumberFormat="0" applyFill="0" applyAlignment="0" applyProtection="0"/>
    <xf numFmtId="0" fontId="18" fillId="2" borderId="431" applyNumberFormat="0" applyFont="0" applyAlignment="0" applyProtection="0"/>
    <xf numFmtId="0" fontId="247" fillId="28" borderId="432" applyNumberFormat="0" applyAlignment="0" applyProtection="0"/>
    <xf numFmtId="0" fontId="249" fillId="0" borderId="433" applyNumberFormat="0" applyFill="0" applyAlignment="0" applyProtection="0"/>
    <xf numFmtId="177" fontId="114" fillId="0" borderId="447" applyBorder="0"/>
    <xf numFmtId="0" fontId="18" fillId="0" borderId="449" applyNumberFormat="0" applyFill="0" applyAlignment="0" applyProtection="0"/>
    <xf numFmtId="0" fontId="247" fillId="28" borderId="454" applyNumberFormat="0" applyAlignment="0" applyProtection="0"/>
    <xf numFmtId="0" fontId="244" fillId="4" borderId="451" applyNumberFormat="0" applyAlignment="0" applyProtection="0"/>
    <xf numFmtId="0" fontId="18" fillId="2" borderId="453" applyNumberFormat="0" applyFont="0" applyAlignment="0" applyProtection="0"/>
    <xf numFmtId="0" fontId="249" fillId="0" borderId="455" applyNumberFormat="0" applyFill="0" applyAlignment="0" applyProtection="0"/>
    <xf numFmtId="0" fontId="247" fillId="28" borderId="454" applyNumberFormat="0" applyAlignment="0" applyProtection="0"/>
    <xf numFmtId="0" fontId="18" fillId="2" borderId="453" applyNumberFormat="0" applyFont="0" applyAlignment="0" applyProtection="0"/>
    <xf numFmtId="193" fontId="66" fillId="23" borderId="419" applyFont="0">
      <alignment horizontal="right"/>
    </xf>
    <xf numFmtId="0" fontId="18" fillId="0" borderId="428" applyNumberFormat="0" applyFill="0" applyAlignment="0" applyProtection="0"/>
    <xf numFmtId="10" fontId="18" fillId="25" borderId="413" applyNumberFormat="0" applyBorder="0" applyAlignment="0" applyProtection="0"/>
    <xf numFmtId="0" fontId="18" fillId="2" borderId="431" applyNumberFormat="0" applyFont="0" applyAlignment="0" applyProtection="0"/>
    <xf numFmtId="0" fontId="247" fillId="28" borderId="432" applyNumberFormat="0" applyAlignment="0" applyProtection="0"/>
    <xf numFmtId="177" fontId="114" fillId="0" borderId="434" applyBorder="0"/>
    <xf numFmtId="176" fontId="29" fillId="15" borderId="434" applyBorder="0">
      <alignment horizontal="right"/>
    </xf>
    <xf numFmtId="176" fontId="29" fillId="0" borderId="434" applyBorder="0">
      <alignment horizontal="right"/>
    </xf>
    <xf numFmtId="3" fontId="115" fillId="24" borderId="435" applyBorder="0">
      <protection locked="0"/>
    </xf>
    <xf numFmtId="37" fontId="89" fillId="0" borderId="434" applyNumberFormat="0" applyFont="0" applyFill="0" applyAlignment="0" applyProtection="0"/>
    <xf numFmtId="0" fontId="140" fillId="0" borderId="434" applyNumberFormat="0" applyBorder="0"/>
    <xf numFmtId="195" fontId="18" fillId="29" borderId="434" applyNumberFormat="0" applyFont="0" applyBorder="0" applyAlignment="0" applyProtection="0">
      <alignment horizontal="right"/>
    </xf>
    <xf numFmtId="195" fontId="18" fillId="29" borderId="434" applyNumberFormat="0" applyFont="0" applyBorder="0" applyAlignment="0" applyProtection="0">
      <alignment horizontal="right"/>
    </xf>
    <xf numFmtId="176" fontId="29" fillId="0" borderId="447" applyBorder="0">
      <alignment horizontal="right"/>
    </xf>
    <xf numFmtId="0" fontId="249" fillId="0" borderId="455" applyNumberFormat="0" applyFill="0" applyAlignment="0" applyProtection="0"/>
    <xf numFmtId="0" fontId="244" fillId="4" borderId="451" applyNumberFormat="0" applyAlignment="0" applyProtection="0"/>
    <xf numFmtId="0" fontId="237" fillId="28" borderId="451" applyNumberFormat="0" applyAlignment="0" applyProtection="0"/>
    <xf numFmtId="8" fontId="138" fillId="0" borderId="452">
      <protection locked="0"/>
    </xf>
    <xf numFmtId="0" fontId="244" fillId="4" borderId="451" applyNumberFormat="0" applyAlignment="0" applyProtection="0"/>
    <xf numFmtId="0" fontId="18" fillId="0" borderId="449" applyNumberFormat="0" applyFill="0" applyAlignment="0" applyProtection="0"/>
    <xf numFmtId="0" fontId="99" fillId="0" borderId="436" applyNumberFormat="0" applyFill="0" applyAlignment="0" applyProtection="0"/>
    <xf numFmtId="0" fontId="99" fillId="0" borderId="446" applyNumberFormat="0" applyFill="0" applyAlignment="0" applyProtection="0"/>
    <xf numFmtId="195" fontId="18" fillId="29" borderId="444" applyNumberFormat="0" applyFont="0" applyBorder="0" applyAlignment="0" applyProtection="0">
      <alignment horizontal="right"/>
    </xf>
    <xf numFmtId="37" fontId="89" fillId="0" borderId="444" applyNumberFormat="0" applyFont="0" applyFill="0" applyAlignment="0" applyProtection="0"/>
    <xf numFmtId="8" fontId="138" fillId="0" borderId="440">
      <protection locked="0"/>
    </xf>
    <xf numFmtId="0" fontId="18" fillId="0" borderId="438" applyNumberFormat="0" applyFill="0" applyAlignment="0" applyProtection="0"/>
    <xf numFmtId="0" fontId="18" fillId="0" borderId="412" applyNumberFormat="0" applyFill="0" applyAlignment="0" applyProtection="0"/>
    <xf numFmtId="9" fontId="96" fillId="25" borderId="437" applyNumberFormat="0" applyFont="0" applyAlignment="0" applyProtection="0"/>
    <xf numFmtId="4" fontId="137" fillId="0" borderId="437" applyFont="0" applyFill="0" applyBorder="0" applyAlignment="0" applyProtection="0"/>
    <xf numFmtId="259" fontId="37" fillId="25" borderId="437" applyNumberFormat="0" applyFont="0" applyAlignment="0"/>
    <xf numFmtId="10" fontId="18" fillId="25" borderId="437" applyNumberFormat="0" applyBorder="0" applyAlignment="0" applyProtection="0"/>
    <xf numFmtId="169" fontId="137" fillId="0" borderId="437" applyNumberFormat="0" applyFill="0" applyAlignment="0" applyProtection="0"/>
    <xf numFmtId="195" fontId="18" fillId="29" borderId="444" applyNumberFormat="0" applyFont="0" applyBorder="0" applyAlignment="0" applyProtection="0">
      <alignment horizontal="right"/>
    </xf>
    <xf numFmtId="3" fontId="115" fillId="24" borderId="445" applyBorder="0">
      <protection locked="0"/>
    </xf>
    <xf numFmtId="0" fontId="244" fillId="4" borderId="439" applyNumberFormat="0" applyAlignment="0" applyProtection="0"/>
    <xf numFmtId="0" fontId="18" fillId="0" borderId="412" applyNumberFormat="0" applyFill="0" applyAlignment="0" applyProtection="0"/>
    <xf numFmtId="10" fontId="18" fillId="25" borderId="437" applyNumberFormat="0" applyBorder="0" applyAlignment="0" applyProtection="0"/>
    <xf numFmtId="0" fontId="247" fillId="28" borderId="432" applyNumberFormat="0" applyAlignment="0" applyProtection="0"/>
    <xf numFmtId="177" fontId="114" fillId="0" borderId="434" applyBorder="0"/>
    <xf numFmtId="176" fontId="29" fillId="15" borderId="434" applyBorder="0">
      <alignment horizontal="right"/>
    </xf>
    <xf numFmtId="176" fontId="29" fillId="0" borderId="434" applyBorder="0">
      <alignment horizontal="right"/>
    </xf>
    <xf numFmtId="3" fontId="115" fillId="24" borderId="435" applyBorder="0">
      <protection locked="0"/>
    </xf>
    <xf numFmtId="37" fontId="89" fillId="0" borderId="434" applyNumberFormat="0" applyFont="0" applyFill="0" applyAlignment="0" applyProtection="0"/>
    <xf numFmtId="0" fontId="140" fillId="0" borderId="434" applyNumberFormat="0" applyBorder="0"/>
    <xf numFmtId="195" fontId="18" fillId="29" borderId="434" applyNumberFormat="0" applyFont="0" applyBorder="0" applyAlignment="0" applyProtection="0">
      <alignment horizontal="right"/>
    </xf>
    <xf numFmtId="195" fontId="18" fillId="29" borderId="434" applyNumberFormat="0" applyFont="0" applyBorder="0" applyAlignment="0" applyProtection="0">
      <alignment horizontal="right"/>
    </xf>
    <xf numFmtId="0" fontId="140" fillId="0" borderId="444" applyNumberFormat="0" applyBorder="0"/>
    <xf numFmtId="176" fontId="29" fillId="0" borderId="444" applyBorder="0">
      <alignment horizontal="right"/>
    </xf>
    <xf numFmtId="176" fontId="29" fillId="15" borderId="444" applyBorder="0">
      <alignment horizontal="right"/>
    </xf>
    <xf numFmtId="177" fontId="114" fillId="0" borderId="444" applyBorder="0"/>
    <xf numFmtId="0" fontId="18" fillId="2" borderId="441" applyNumberFormat="0" applyFont="0" applyAlignment="0" applyProtection="0"/>
    <xf numFmtId="0" fontId="244" fillId="4" borderId="439" applyNumberFormat="0" applyAlignment="0" applyProtection="0"/>
    <xf numFmtId="0" fontId="18" fillId="0" borderId="438" applyNumberFormat="0" applyFill="0" applyAlignment="0" applyProtection="0"/>
    <xf numFmtId="0" fontId="247" fillId="28" borderId="442" applyNumberFormat="0" applyAlignment="0" applyProtection="0"/>
    <xf numFmtId="0" fontId="249" fillId="0" borderId="443" applyNumberFormat="0" applyFill="0" applyAlignment="0" applyProtection="0"/>
    <xf numFmtId="0" fontId="18" fillId="0" borderId="438" applyNumberFormat="0" applyFill="0" applyAlignment="0" applyProtection="0"/>
    <xf numFmtId="0" fontId="244" fillId="4" borderId="439" applyNumberFormat="0" applyAlignment="0" applyProtection="0"/>
    <xf numFmtId="0" fontId="244" fillId="4" borderId="439" applyNumberFormat="0" applyAlignment="0" applyProtection="0"/>
    <xf numFmtId="0" fontId="237" fillId="28" borderId="439" applyNumberFormat="0" applyAlignment="0" applyProtection="0"/>
    <xf numFmtId="0" fontId="18" fillId="2" borderId="441" applyNumberFormat="0" applyFont="0" applyAlignment="0" applyProtection="0"/>
    <xf numFmtId="0" fontId="18" fillId="0" borderId="438" applyNumberFormat="0" applyFill="0" applyAlignment="0" applyProtection="0"/>
    <xf numFmtId="0" fontId="99" fillId="0" borderId="436" applyNumberFormat="0" applyFill="0" applyAlignment="0" applyProtection="0"/>
    <xf numFmtId="177" fontId="114" fillId="0" borderId="447" applyBorder="0"/>
    <xf numFmtId="176" fontId="29" fillId="15" borderId="447" applyBorder="0">
      <alignment horizontal="right"/>
    </xf>
    <xf numFmtId="176" fontId="29" fillId="0" borderId="447" applyBorder="0">
      <alignment horizontal="right"/>
    </xf>
    <xf numFmtId="3" fontId="115" fillId="24" borderId="448" applyBorder="0">
      <protection locked="0"/>
    </xf>
    <xf numFmtId="0" fontId="18" fillId="0" borderId="449" applyNumberFormat="0" applyFill="0" applyAlignment="0" applyProtection="0"/>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0" fontId="18" fillId="0" borderId="449" applyNumberFormat="0" applyFill="0" applyAlignment="0" applyProtection="0"/>
    <xf numFmtId="195" fontId="18" fillId="29" borderId="447" applyNumberFormat="0" applyFont="0" applyBorder="0" applyAlignment="0" applyProtection="0">
      <alignment horizontal="right"/>
    </xf>
    <xf numFmtId="0" fontId="18" fillId="2" borderId="431" applyNumberFormat="0" applyFont="0" applyAlignment="0" applyProtection="0"/>
    <xf numFmtId="0" fontId="244" fillId="4" borderId="429" applyNumberFormat="0" applyAlignment="0" applyProtection="0"/>
    <xf numFmtId="8" fontId="138" fillId="0" borderId="430">
      <protection locked="0"/>
    </xf>
    <xf numFmtId="0" fontId="237" fillId="28" borderId="429" applyNumberFormat="0" applyAlignment="0" applyProtection="0"/>
    <xf numFmtId="0" fontId="244" fillId="4" borderId="429" applyNumberFormat="0" applyAlignment="0" applyProtection="0"/>
    <xf numFmtId="0" fontId="244" fillId="4" borderId="429" applyNumberFormat="0" applyAlignment="0" applyProtection="0"/>
    <xf numFmtId="0" fontId="18" fillId="0" borderId="428" applyNumberFormat="0" applyFill="0" applyAlignment="0" applyProtection="0"/>
    <xf numFmtId="0" fontId="249" fillId="0" borderId="433" applyNumberFormat="0" applyFill="0" applyAlignment="0" applyProtection="0"/>
    <xf numFmtId="0" fontId="247" fillId="28" borderId="432" applyNumberFormat="0" applyAlignment="0" applyProtection="0"/>
    <xf numFmtId="0" fontId="18" fillId="0" borderId="428" applyNumberFormat="0" applyFill="0" applyAlignment="0" applyProtection="0"/>
    <xf numFmtId="0" fontId="244" fillId="4" borderId="429" applyNumberFormat="0" applyAlignment="0" applyProtection="0"/>
    <xf numFmtId="0" fontId="18" fillId="2" borderId="431" applyNumberFormat="0" applyFont="0" applyAlignment="0" applyProtection="0"/>
    <xf numFmtId="0" fontId="99" fillId="0" borderId="446" applyNumberFormat="0" applyFill="0" applyAlignment="0" applyProtection="0"/>
    <xf numFmtId="0" fontId="99" fillId="0" borderId="446" applyNumberFormat="0" applyFill="0" applyAlignment="0" applyProtection="0"/>
    <xf numFmtId="0" fontId="81" fillId="0" borderId="447" applyNumberFormat="0" applyFill="0" applyProtection="0">
      <alignment horizontal="right"/>
    </xf>
    <xf numFmtId="39" fontId="33" fillId="0" borderId="419" applyNumberFormat="0" applyBorder="0">
      <alignment horizontal="right"/>
    </xf>
    <xf numFmtId="1" fontId="85" fillId="0" borderId="419" applyFill="0" applyProtection="0">
      <alignment horizontal="right"/>
    </xf>
    <xf numFmtId="0" fontId="99" fillId="0" borderId="446" applyNumberFormat="0" applyFill="0" applyAlignment="0" applyProtection="0"/>
    <xf numFmtId="8" fontId="138" fillId="0" borderId="430">
      <protection locked="0"/>
    </xf>
    <xf numFmtId="10" fontId="18" fillId="25" borderId="413" applyNumberFormat="0" applyBorder="0" applyAlignment="0" applyProtection="0"/>
    <xf numFmtId="169" fontId="137" fillId="0" borderId="413" applyNumberFormat="0" applyFill="0" applyAlignment="0" applyProtection="0"/>
    <xf numFmtId="0" fontId="244" fillId="4" borderId="429" applyNumberFormat="0" applyAlignment="0" applyProtection="0"/>
    <xf numFmtId="259" fontId="37" fillId="25" borderId="413" applyNumberFormat="0" applyFont="0" applyAlignment="0"/>
    <xf numFmtId="0" fontId="18" fillId="0" borderId="428" applyNumberFormat="0" applyFill="0" applyAlignment="0" applyProtection="0"/>
    <xf numFmtId="193" fontId="66" fillId="23" borderId="419" applyFont="0">
      <alignment horizontal="right"/>
    </xf>
    <xf numFmtId="193" fontId="66" fillId="23" borderId="419" applyFont="0">
      <alignment horizontal="right"/>
    </xf>
    <xf numFmtId="0" fontId="18" fillId="0" borderId="428" applyNumberFormat="0" applyFill="0" applyAlignment="0" applyProtection="0"/>
    <xf numFmtId="9" fontId="96" fillId="25" borderId="450" applyNumberFormat="0" applyFont="0" applyAlignment="0" applyProtection="0"/>
    <xf numFmtId="4" fontId="137" fillId="0" borderId="450" applyFont="0" applyFill="0" applyBorder="0" applyAlignment="0" applyProtection="0"/>
    <xf numFmtId="0" fontId="29" fillId="0" borderId="419" applyFont="0" applyFill="0" applyBorder="0" applyAlignment="0" applyProtection="0">
      <alignment horizontal="center"/>
    </xf>
    <xf numFmtId="259" fontId="37" fillId="25" borderId="450" applyNumberFormat="0" applyFont="0" applyAlignment="0"/>
    <xf numFmtId="0" fontId="51" fillId="0" borderId="419">
      <alignment horizontal="left" vertical="center"/>
    </xf>
    <xf numFmtId="0" fontId="244" fillId="4" borderId="429" applyNumberFormat="0" applyAlignment="0" applyProtection="0"/>
    <xf numFmtId="10" fontId="18" fillId="25" borderId="450" applyNumberFormat="0" applyBorder="0" applyAlignment="0" applyProtection="0"/>
    <xf numFmtId="169" fontId="137" fillId="0" borderId="450" applyNumberFormat="0" applyFill="0" applyAlignment="0" applyProtection="0"/>
    <xf numFmtId="0" fontId="244" fillId="4" borderId="429" applyNumberFormat="0" applyAlignment="0" applyProtection="0"/>
    <xf numFmtId="10" fontId="18" fillId="25" borderId="413" applyNumberFormat="0" applyBorder="0" applyAlignment="0" applyProtection="0"/>
    <xf numFmtId="0" fontId="51" fillId="0" borderId="419">
      <alignment horizontal="left" vertical="center"/>
    </xf>
    <xf numFmtId="0" fontId="29" fillId="0" borderId="419" applyFont="0" applyFill="0" applyBorder="0" applyAlignment="0" applyProtection="0">
      <alignment horizontal="center"/>
    </xf>
    <xf numFmtId="4" fontId="137" fillId="0" borderId="413" applyFont="0" applyFill="0" applyBorder="0" applyAlignment="0" applyProtection="0"/>
    <xf numFmtId="9" fontId="96" fillId="25" borderId="413" applyNumberFormat="0" applyFont="0" applyAlignment="0" applyProtection="0"/>
    <xf numFmtId="193" fontId="66" fillId="23" borderId="419" applyFont="0">
      <alignment horizontal="right"/>
    </xf>
    <xf numFmtId="0" fontId="18" fillId="0" borderId="428" applyNumberFormat="0" applyFill="0" applyAlignment="0" applyProtection="0"/>
    <xf numFmtId="10" fontId="18" fillId="25" borderId="450" applyNumberFormat="0" applyBorder="0" applyAlignment="0" applyProtection="0"/>
    <xf numFmtId="0" fontId="18" fillId="2" borderId="431" applyNumberFormat="0" applyFont="0" applyAlignment="0" applyProtection="0"/>
    <xf numFmtId="0" fontId="244" fillId="4" borderId="429" applyNumberFormat="0" applyAlignment="0" applyProtection="0"/>
    <xf numFmtId="8" fontId="138" fillId="0" borderId="430">
      <protection locked="0"/>
    </xf>
    <xf numFmtId="0" fontId="237" fillId="28" borderId="429" applyNumberFormat="0" applyAlignment="0" applyProtection="0"/>
    <xf numFmtId="0" fontId="244" fillId="4" borderId="429" applyNumberFormat="0" applyAlignment="0" applyProtection="0"/>
    <xf numFmtId="0" fontId="244" fillId="4" borderId="429" applyNumberFormat="0" applyAlignment="0" applyProtection="0"/>
    <xf numFmtId="0" fontId="18" fillId="0" borderId="428" applyNumberFormat="0" applyFill="0" applyAlignment="0" applyProtection="0"/>
    <xf numFmtId="0" fontId="249" fillId="0" borderId="433" applyNumberFormat="0" applyFill="0" applyAlignment="0" applyProtection="0"/>
    <xf numFmtId="0" fontId="247" fillId="28" borderId="432" applyNumberFormat="0" applyAlignment="0" applyProtection="0"/>
    <xf numFmtId="0" fontId="18" fillId="0" borderId="428" applyNumberFormat="0" applyFill="0" applyAlignment="0" applyProtection="0"/>
    <xf numFmtId="0" fontId="244" fillId="4" borderId="429" applyNumberFormat="0" applyAlignment="0" applyProtection="0"/>
    <xf numFmtId="0" fontId="18" fillId="2" borderId="431" applyNumberFormat="0" applyFont="0" applyAlignment="0" applyProtection="0"/>
    <xf numFmtId="0" fontId="18" fillId="2" borderId="431" applyNumberFormat="0" applyFont="0" applyAlignment="0" applyProtection="0"/>
    <xf numFmtId="0" fontId="244" fillId="4" borderId="429" applyNumberFormat="0" applyAlignment="0" applyProtection="0"/>
    <xf numFmtId="0" fontId="18" fillId="0" borderId="428" applyNumberFormat="0" applyFill="0" applyAlignment="0" applyProtection="0"/>
    <xf numFmtId="0" fontId="247" fillId="28" borderId="432" applyNumberFormat="0" applyAlignment="0" applyProtection="0"/>
    <xf numFmtId="0" fontId="249" fillId="0" borderId="433" applyNumberFormat="0" applyFill="0" applyAlignment="0" applyProtection="0"/>
    <xf numFmtId="0" fontId="18" fillId="0" borderId="428" applyNumberFormat="0" applyFill="0" applyAlignment="0" applyProtection="0"/>
    <xf numFmtId="0" fontId="244" fillId="4" borderId="429" applyNumberFormat="0" applyAlignment="0" applyProtection="0"/>
    <xf numFmtId="0" fontId="244" fillId="4" borderId="429" applyNumberFormat="0" applyAlignment="0" applyProtection="0"/>
    <xf numFmtId="0" fontId="237" fillId="28" borderId="429" applyNumberFormat="0" applyAlignment="0" applyProtection="0"/>
    <xf numFmtId="0" fontId="18" fillId="2" borderId="431" applyNumberFormat="0" applyFont="0" applyAlignment="0" applyProtection="0"/>
    <xf numFmtId="0" fontId="18" fillId="0" borderId="428" applyNumberFormat="0" applyFill="0" applyAlignment="0" applyProtection="0"/>
    <xf numFmtId="193" fontId="66" fillId="23" borderId="419" applyFont="0">
      <alignment horizontal="right"/>
    </xf>
    <xf numFmtId="0" fontId="99" fillId="0" borderId="446" applyNumberFormat="0" applyFill="0" applyAlignment="0" applyProtection="0"/>
    <xf numFmtId="39" fontId="33" fillId="0" borderId="419" applyNumberFormat="0" applyBorder="0">
      <alignment horizontal="right"/>
    </xf>
    <xf numFmtId="1" fontId="85" fillId="0" borderId="419" applyFill="0" applyProtection="0">
      <alignment horizontal="right"/>
    </xf>
    <xf numFmtId="39" fontId="33" fillId="0" borderId="419" applyNumberFormat="0" applyBorder="0">
      <alignment horizontal="right"/>
    </xf>
    <xf numFmtId="1" fontId="85" fillId="0" borderId="419" applyFill="0" applyProtection="0">
      <alignment horizontal="right"/>
    </xf>
    <xf numFmtId="0" fontId="99" fillId="0" borderId="446" applyNumberFormat="0" applyFill="0" applyAlignment="0" applyProtection="0"/>
    <xf numFmtId="195" fontId="18" fillId="29" borderId="447" applyNumberFormat="0" applyFont="0" applyBorder="0" applyAlignment="0" applyProtection="0">
      <alignment horizontal="right"/>
    </xf>
    <xf numFmtId="37" fontId="89" fillId="0" borderId="447" applyNumberFormat="0" applyFont="0" applyFill="0" applyAlignment="0" applyProtection="0"/>
    <xf numFmtId="8" fontId="138" fillId="0" borderId="452">
      <protection locked="0"/>
    </xf>
    <xf numFmtId="10" fontId="18" fillId="25" borderId="437" applyNumberFormat="0" applyBorder="0" applyAlignment="0" applyProtection="0"/>
    <xf numFmtId="169" fontId="137" fillId="0" borderId="437" applyNumberFormat="0" applyFill="0" applyAlignment="0" applyProtection="0"/>
    <xf numFmtId="0" fontId="244" fillId="4" borderId="451" applyNumberFormat="0" applyAlignment="0" applyProtection="0"/>
    <xf numFmtId="259" fontId="37" fillId="25" borderId="437" applyNumberFormat="0" applyFont="0" applyAlignment="0"/>
    <xf numFmtId="0" fontId="18" fillId="0" borderId="449" applyNumberFormat="0" applyFill="0" applyAlignment="0" applyProtection="0"/>
    <xf numFmtId="0" fontId="18" fillId="0" borderId="449" applyNumberFormat="0" applyFill="0" applyAlignment="0" applyProtection="0"/>
    <xf numFmtId="9" fontId="96" fillId="25" borderId="437" applyNumberFormat="0" applyFont="0" applyAlignment="0" applyProtection="0"/>
    <xf numFmtId="4" fontId="137" fillId="0" borderId="437" applyFont="0" applyFill="0" applyBorder="0" applyAlignment="0" applyProtection="0"/>
    <xf numFmtId="259" fontId="37" fillId="25" borderId="437" applyNumberFormat="0" applyFont="0" applyAlignment="0"/>
    <xf numFmtId="10" fontId="18" fillId="25" borderId="437" applyNumberFormat="0" applyBorder="0" applyAlignment="0" applyProtection="0"/>
    <xf numFmtId="169" fontId="137" fillId="0" borderId="437" applyNumberFormat="0" applyFill="0" applyAlignment="0" applyProtection="0"/>
    <xf numFmtId="195" fontId="18" fillId="29" borderId="447" applyNumberFormat="0" applyFont="0" applyBorder="0" applyAlignment="0" applyProtection="0">
      <alignment horizontal="right"/>
    </xf>
    <xf numFmtId="3" fontId="115" fillId="24" borderId="448" applyBorder="0">
      <protection locked="0"/>
    </xf>
    <xf numFmtId="0" fontId="244" fillId="4" borderId="451" applyNumberFormat="0" applyAlignment="0" applyProtection="0"/>
    <xf numFmtId="10" fontId="18" fillId="25" borderId="437" applyNumberFormat="0" applyBorder="0" applyAlignment="0" applyProtection="0"/>
    <xf numFmtId="4" fontId="137" fillId="0" borderId="437" applyFont="0" applyFill="0" applyBorder="0" applyAlignment="0" applyProtection="0"/>
    <xf numFmtId="9" fontId="96" fillId="25" borderId="437" applyNumberFormat="0" applyFont="0" applyAlignment="0" applyProtection="0"/>
    <xf numFmtId="0" fontId="18" fillId="0" borderId="449" applyNumberFormat="0" applyFill="0" applyAlignment="0" applyProtection="0"/>
    <xf numFmtId="10" fontId="18" fillId="25" borderId="437" applyNumberFormat="0" applyBorder="0" applyAlignment="0" applyProtection="0"/>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244" fillId="4" borderId="451" applyNumberFormat="0" applyAlignment="0" applyProtection="0"/>
    <xf numFmtId="0" fontId="244" fillId="4" borderId="451" applyNumberFormat="0" applyAlignment="0" applyProtection="0"/>
    <xf numFmtId="0" fontId="18" fillId="0" borderId="449" applyNumberFormat="0" applyFill="0" applyAlignment="0" applyProtection="0"/>
    <xf numFmtId="0" fontId="249" fillId="0" borderId="455" applyNumberFormat="0" applyFill="0" applyAlignment="0" applyProtection="0"/>
    <xf numFmtId="0" fontId="247" fillId="28" borderId="454" applyNumberFormat="0" applyAlignment="0" applyProtection="0"/>
    <xf numFmtId="0" fontId="18" fillId="0" borderId="449" applyNumberFormat="0" applyFill="0" applyAlignment="0" applyProtection="0"/>
    <xf numFmtId="0" fontId="244" fillId="4" borderId="451" applyNumberFormat="0" applyAlignment="0" applyProtection="0"/>
    <xf numFmtId="0" fontId="18" fillId="2" borderId="453" applyNumberFormat="0" applyFont="0" applyAlignment="0" applyProtection="0"/>
    <xf numFmtId="177" fontId="114" fillId="0" borderId="447" applyBorder="0"/>
    <xf numFmtId="176" fontId="29" fillId="15" borderId="447" applyBorder="0">
      <alignment horizontal="right"/>
    </xf>
    <xf numFmtId="176" fontId="29" fillId="0" borderId="447" applyBorder="0">
      <alignment horizontal="right"/>
    </xf>
    <xf numFmtId="3" fontId="115" fillId="24" borderId="448" applyBorder="0">
      <protection locked="0"/>
    </xf>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140" fillId="0" borderId="447" applyNumberFormat="0" applyBorder="0"/>
    <xf numFmtId="176" fontId="29" fillId="0" borderId="447" applyBorder="0">
      <alignment horizontal="right"/>
    </xf>
    <xf numFmtId="176" fontId="29" fillId="15" borderId="447" applyBorder="0">
      <alignment horizontal="right"/>
    </xf>
    <xf numFmtId="177" fontId="114" fillId="0" borderId="447" applyBorder="0"/>
    <xf numFmtId="0" fontId="18" fillId="2" borderId="453" applyNumberFormat="0" applyFont="0" applyAlignment="0" applyProtection="0"/>
    <xf numFmtId="0" fontId="244" fillId="4" borderId="451" applyNumberFormat="0" applyAlignment="0" applyProtection="0"/>
    <xf numFmtId="0" fontId="18" fillId="0" borderId="449" applyNumberFormat="0" applyFill="0" applyAlignment="0" applyProtection="0"/>
    <xf numFmtId="0" fontId="247" fillId="28" borderId="454" applyNumberFormat="0" applyAlignment="0" applyProtection="0"/>
    <xf numFmtId="0" fontId="249" fillId="0" borderId="455" applyNumberFormat="0" applyFill="0" applyAlignment="0" applyProtection="0"/>
    <xf numFmtId="0" fontId="18" fillId="0" borderId="449" applyNumberFormat="0" applyFill="0" applyAlignment="0" applyProtection="0"/>
    <xf numFmtId="0" fontId="244" fillId="4" borderId="451" applyNumberFormat="0" applyAlignment="0" applyProtection="0"/>
    <xf numFmtId="0" fontId="244" fillId="4" borderId="451" applyNumberFormat="0" applyAlignment="0" applyProtection="0"/>
    <xf numFmtId="0" fontId="237" fillId="28" borderId="451" applyNumberFormat="0" applyAlignment="0" applyProtection="0"/>
    <xf numFmtId="0" fontId="18" fillId="2" borderId="453" applyNumberFormat="0" applyFont="0" applyAlignment="0" applyProtection="0"/>
    <xf numFmtId="0" fontId="18" fillId="0" borderId="449" applyNumberFormat="0" applyFill="0" applyAlignment="0" applyProtection="0"/>
    <xf numFmtId="0" fontId="99" fillId="0" borderId="446" applyNumberFormat="0" applyFill="0" applyAlignment="0" applyProtection="0"/>
    <xf numFmtId="8" fontId="138" fillId="0" borderId="452">
      <protection locked="0"/>
    </xf>
    <xf numFmtId="0" fontId="244" fillId="4" borderId="451" applyNumberFormat="0" applyAlignment="0" applyProtection="0"/>
    <xf numFmtId="0" fontId="18" fillId="0" borderId="449" applyNumberFormat="0" applyFill="0" applyAlignment="0" applyProtection="0"/>
    <xf numFmtId="0" fontId="18" fillId="0" borderId="449" applyNumberFormat="0" applyFill="0" applyAlignment="0" applyProtection="0"/>
    <xf numFmtId="9" fontId="96" fillId="25" borderId="450" applyNumberFormat="0" applyFont="0" applyAlignment="0" applyProtection="0"/>
    <xf numFmtId="4" fontId="137" fillId="0" borderId="450" applyFont="0" applyFill="0" applyBorder="0" applyAlignment="0" applyProtection="0"/>
    <xf numFmtId="259" fontId="37" fillId="25" borderId="450" applyNumberFormat="0" applyFont="0" applyAlignment="0"/>
    <xf numFmtId="0" fontId="244" fillId="4" borderId="451" applyNumberFormat="0" applyAlignment="0" applyProtection="0"/>
    <xf numFmtId="10" fontId="18" fillId="25" borderId="450" applyNumberFormat="0" applyBorder="0" applyAlignment="0" applyProtection="0"/>
    <xf numFmtId="169" fontId="137" fillId="0" borderId="450" applyNumberFormat="0" applyFill="0" applyAlignment="0" applyProtection="0"/>
    <xf numFmtId="195" fontId="18" fillId="29" borderId="447" applyNumberFormat="0" applyFont="0" applyBorder="0" applyAlignment="0" applyProtection="0">
      <alignment horizontal="right"/>
    </xf>
    <xf numFmtId="0" fontId="244" fillId="4" borderId="451" applyNumberFormat="0" applyAlignment="0" applyProtection="0"/>
    <xf numFmtId="0" fontId="18" fillId="0" borderId="449" applyNumberFormat="0" applyFill="0" applyAlignment="0" applyProtection="0"/>
    <xf numFmtId="10" fontId="18" fillId="25" borderId="450" applyNumberFormat="0" applyBorder="0" applyAlignment="0" applyProtection="0"/>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244" fillId="4" borderId="451" applyNumberFormat="0" applyAlignment="0" applyProtection="0"/>
    <xf numFmtId="0" fontId="244" fillId="4" borderId="451" applyNumberFormat="0" applyAlignment="0" applyProtection="0"/>
    <xf numFmtId="0" fontId="18" fillId="0" borderId="449" applyNumberFormat="0" applyFill="0" applyAlignment="0" applyProtection="0"/>
    <xf numFmtId="0" fontId="249" fillId="0" borderId="455" applyNumberFormat="0" applyFill="0" applyAlignment="0" applyProtection="0"/>
    <xf numFmtId="0" fontId="247" fillId="28" borderId="454" applyNumberFormat="0" applyAlignment="0" applyProtection="0"/>
    <xf numFmtId="0" fontId="18" fillId="0" borderId="449" applyNumberFormat="0" applyFill="0" applyAlignment="0" applyProtection="0"/>
    <xf numFmtId="0" fontId="244" fillId="4" borderId="451" applyNumberFormat="0" applyAlignment="0" applyProtection="0"/>
    <xf numFmtId="0" fontId="18" fillId="2" borderId="453" applyNumberFormat="0" applyFont="0" applyAlignment="0" applyProtection="0"/>
    <xf numFmtId="177" fontId="114" fillId="0" borderId="447" applyBorder="0"/>
    <xf numFmtId="176" fontId="29" fillId="15" borderId="447" applyBorder="0">
      <alignment horizontal="right"/>
    </xf>
    <xf numFmtId="176" fontId="29" fillId="0" borderId="447" applyBorder="0">
      <alignment horizontal="right"/>
    </xf>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140" fillId="0" borderId="447" applyNumberFormat="0" applyBorder="0"/>
    <xf numFmtId="176" fontId="29" fillId="0" borderId="447" applyBorder="0">
      <alignment horizontal="right"/>
    </xf>
    <xf numFmtId="176" fontId="29" fillId="15" borderId="447" applyBorder="0">
      <alignment horizontal="right"/>
    </xf>
    <xf numFmtId="177" fontId="114" fillId="0" borderId="447" applyBorder="0"/>
    <xf numFmtId="0" fontId="18" fillId="2" borderId="453" applyNumberFormat="0" applyFont="0" applyAlignment="0" applyProtection="0"/>
    <xf numFmtId="0" fontId="244" fillId="4" borderId="451" applyNumberFormat="0" applyAlignment="0" applyProtection="0"/>
    <xf numFmtId="0" fontId="18" fillId="0" borderId="449" applyNumberFormat="0" applyFill="0" applyAlignment="0" applyProtection="0"/>
    <xf numFmtId="0" fontId="247" fillId="28" borderId="454" applyNumberFormat="0" applyAlignment="0" applyProtection="0"/>
    <xf numFmtId="0" fontId="249" fillId="0" borderId="455" applyNumberFormat="0" applyFill="0" applyAlignment="0" applyProtection="0"/>
    <xf numFmtId="0" fontId="18" fillId="0" borderId="449" applyNumberFormat="0" applyFill="0" applyAlignment="0" applyProtection="0"/>
    <xf numFmtId="0" fontId="244" fillId="4" borderId="451" applyNumberFormat="0" applyAlignment="0" applyProtection="0"/>
    <xf numFmtId="0" fontId="244" fillId="4" borderId="451" applyNumberFormat="0" applyAlignment="0" applyProtection="0"/>
    <xf numFmtId="0" fontId="237" fillId="28" borderId="451" applyNumberFormat="0" applyAlignment="0" applyProtection="0"/>
    <xf numFmtId="0" fontId="18" fillId="2" borderId="453" applyNumberFormat="0" applyFont="0" applyAlignment="0" applyProtection="0"/>
    <xf numFmtId="0" fontId="18" fillId="0" borderId="449" applyNumberFormat="0" applyFill="0" applyAlignment="0" applyProtection="0"/>
    <xf numFmtId="0" fontId="99" fillId="0" borderId="446" applyNumberFormat="0" applyFill="0" applyAlignment="0" applyProtection="0"/>
    <xf numFmtId="177" fontId="114" fillId="0" borderId="447" applyBorder="0"/>
    <xf numFmtId="176" fontId="29" fillId="15" borderId="447" applyBorder="0">
      <alignment horizontal="right"/>
    </xf>
    <xf numFmtId="176" fontId="29" fillId="0" borderId="447" applyBorder="0">
      <alignment horizontal="right"/>
    </xf>
    <xf numFmtId="0" fontId="18" fillId="0" borderId="449" applyNumberFormat="0" applyFill="0" applyAlignment="0" applyProtection="0"/>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0" fontId="244" fillId="4" borderId="451" applyNumberFormat="0" applyAlignment="0" applyProtection="0"/>
    <xf numFmtId="0" fontId="18" fillId="0" borderId="449" applyNumberFormat="0" applyFill="0" applyAlignment="0" applyProtection="0"/>
    <xf numFmtId="195" fontId="18" fillId="29" borderId="447" applyNumberFormat="0" applyFont="0" applyBorder="0" applyAlignment="0" applyProtection="0">
      <alignment horizontal="right"/>
    </xf>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244" fillId="4" borderId="451" applyNumberFormat="0" applyAlignment="0" applyProtection="0"/>
    <xf numFmtId="0" fontId="244" fillId="4" borderId="451" applyNumberFormat="0" applyAlignment="0" applyProtection="0"/>
    <xf numFmtId="0" fontId="18" fillId="0" borderId="449" applyNumberFormat="0" applyFill="0" applyAlignment="0" applyProtection="0"/>
    <xf numFmtId="0" fontId="249" fillId="0" borderId="455" applyNumberFormat="0" applyFill="0" applyAlignment="0" applyProtection="0"/>
    <xf numFmtId="0" fontId="247" fillId="28" borderId="454" applyNumberFormat="0" applyAlignment="0" applyProtection="0"/>
    <xf numFmtId="0" fontId="18" fillId="0" borderId="449" applyNumberFormat="0" applyFill="0" applyAlignment="0" applyProtection="0"/>
    <xf numFmtId="0" fontId="244" fillId="4" borderId="451" applyNumberFormat="0" applyAlignment="0" applyProtection="0"/>
    <xf numFmtId="0" fontId="18" fillId="2" borderId="453" applyNumberFormat="0" applyFont="0" applyAlignment="0" applyProtection="0"/>
    <xf numFmtId="177" fontId="114" fillId="0" borderId="447" applyBorder="0"/>
    <xf numFmtId="176" fontId="29" fillId="15" borderId="447" applyBorder="0">
      <alignment horizontal="right"/>
    </xf>
    <xf numFmtId="176" fontId="29" fillId="0" borderId="447" applyBorder="0">
      <alignment horizontal="right"/>
    </xf>
    <xf numFmtId="3" fontId="115" fillId="24" borderId="448" applyBorder="0">
      <protection locked="0"/>
    </xf>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99" fillId="0" borderId="446" applyNumberFormat="0" applyFill="0" applyAlignment="0" applyProtection="0"/>
    <xf numFmtId="0" fontId="99" fillId="0" borderId="446" applyNumberFormat="0" applyFill="0" applyAlignment="0" applyProtection="0"/>
    <xf numFmtId="0" fontId="81" fillId="0" borderId="447" applyNumberFormat="0" applyFill="0" applyProtection="0">
      <alignment horizontal="right"/>
    </xf>
    <xf numFmtId="0" fontId="99" fillId="0" borderId="446" applyNumberFormat="0" applyFill="0" applyAlignment="0" applyProtection="0"/>
    <xf numFmtId="195" fontId="18" fillId="29" borderId="447" applyNumberFormat="0" applyFont="0" applyBorder="0" applyAlignment="0" applyProtection="0">
      <alignment horizontal="right"/>
    </xf>
    <xf numFmtId="37" fontId="89" fillId="0" borderId="447" applyNumberFormat="0" applyFont="0" applyFill="0" applyAlignment="0" applyProtection="0"/>
    <xf numFmtId="8" fontId="138" fillId="0" borderId="452">
      <protection locked="0"/>
    </xf>
    <xf numFmtId="0" fontId="244" fillId="4" borderId="451" applyNumberFormat="0" applyAlignment="0" applyProtection="0"/>
    <xf numFmtId="0" fontId="18" fillId="0" borderId="449" applyNumberFormat="0" applyFill="0" applyAlignment="0" applyProtection="0"/>
    <xf numFmtId="0" fontId="18" fillId="0" borderId="449" applyNumberFormat="0" applyFill="0" applyAlignment="0" applyProtection="0"/>
    <xf numFmtId="9" fontId="96" fillId="25" borderId="450" applyNumberFormat="0" applyFont="0" applyAlignment="0" applyProtection="0"/>
    <xf numFmtId="4" fontId="137" fillId="0" borderId="450" applyFont="0" applyFill="0" applyBorder="0" applyAlignment="0" applyProtection="0"/>
    <xf numFmtId="259" fontId="37" fillId="25" borderId="450" applyNumberFormat="0" applyFont="0" applyAlignment="0"/>
    <xf numFmtId="0" fontId="244" fillId="4" borderId="451" applyNumberFormat="0" applyAlignment="0" applyProtection="0"/>
    <xf numFmtId="10" fontId="18" fillId="25" borderId="450" applyNumberFormat="0" applyBorder="0" applyAlignment="0" applyProtection="0"/>
    <xf numFmtId="169" fontId="137" fillId="0" borderId="450" applyNumberFormat="0" applyFill="0" applyAlignment="0" applyProtection="0"/>
    <xf numFmtId="195" fontId="18" fillId="29" borderId="447" applyNumberFormat="0" applyFont="0" applyBorder="0" applyAlignment="0" applyProtection="0">
      <alignment horizontal="right"/>
    </xf>
    <xf numFmtId="3" fontId="115" fillId="24" borderId="448" applyBorder="0">
      <protection locked="0"/>
    </xf>
    <xf numFmtId="0" fontId="244" fillId="4" borderId="451" applyNumberFormat="0" applyAlignment="0" applyProtection="0"/>
    <xf numFmtId="0" fontId="18" fillId="0" borderId="449" applyNumberFormat="0" applyFill="0" applyAlignment="0" applyProtection="0"/>
    <xf numFmtId="10" fontId="18" fillId="25" borderId="450" applyNumberFormat="0" applyBorder="0" applyAlignment="0" applyProtection="0"/>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244" fillId="4" borderId="451" applyNumberFormat="0" applyAlignment="0" applyProtection="0"/>
    <xf numFmtId="0" fontId="244" fillId="4" borderId="451" applyNumberFormat="0" applyAlignment="0" applyProtection="0"/>
    <xf numFmtId="0" fontId="18" fillId="0" borderId="449" applyNumberFormat="0" applyFill="0" applyAlignment="0" applyProtection="0"/>
    <xf numFmtId="0" fontId="249" fillId="0" borderId="455" applyNumberFormat="0" applyFill="0" applyAlignment="0" applyProtection="0"/>
    <xf numFmtId="0" fontId="247" fillId="28" borderId="454" applyNumberFormat="0" applyAlignment="0" applyProtection="0"/>
    <xf numFmtId="0" fontId="18" fillId="0" borderId="449" applyNumberFormat="0" applyFill="0" applyAlignment="0" applyProtection="0"/>
    <xf numFmtId="0" fontId="244" fillId="4" borderId="451" applyNumberFormat="0" applyAlignment="0" applyProtection="0"/>
    <xf numFmtId="0" fontId="18" fillId="2" borderId="453" applyNumberFormat="0" applyFont="0" applyAlignment="0" applyProtection="0"/>
    <xf numFmtId="177" fontId="114" fillId="0" borderId="447" applyBorder="0"/>
    <xf numFmtId="176" fontId="29" fillId="15" borderId="447" applyBorder="0">
      <alignment horizontal="right"/>
    </xf>
    <xf numFmtId="176" fontId="29" fillId="0" borderId="447" applyBorder="0">
      <alignment horizontal="right"/>
    </xf>
    <xf numFmtId="3" fontId="115" fillId="24" borderId="448" applyBorder="0">
      <protection locked="0"/>
    </xf>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140" fillId="0" borderId="447" applyNumberFormat="0" applyBorder="0"/>
    <xf numFmtId="176" fontId="29" fillId="0" borderId="447" applyBorder="0">
      <alignment horizontal="right"/>
    </xf>
    <xf numFmtId="176" fontId="29" fillId="15" borderId="447" applyBorder="0">
      <alignment horizontal="right"/>
    </xf>
    <xf numFmtId="177" fontId="114" fillId="0" borderId="447" applyBorder="0"/>
    <xf numFmtId="0" fontId="18" fillId="2" borderId="453" applyNumberFormat="0" applyFont="0" applyAlignment="0" applyProtection="0"/>
    <xf numFmtId="0" fontId="244" fillId="4" borderId="451" applyNumberFormat="0" applyAlignment="0" applyProtection="0"/>
    <xf numFmtId="0" fontId="18" fillId="0" borderId="449" applyNumberFormat="0" applyFill="0" applyAlignment="0" applyProtection="0"/>
    <xf numFmtId="0" fontId="247" fillId="28" borderId="454" applyNumberFormat="0" applyAlignment="0" applyProtection="0"/>
    <xf numFmtId="0" fontId="249" fillId="0" borderId="455" applyNumberFormat="0" applyFill="0" applyAlignment="0" applyProtection="0"/>
    <xf numFmtId="0" fontId="18" fillId="0" borderId="449" applyNumberFormat="0" applyFill="0" applyAlignment="0" applyProtection="0"/>
    <xf numFmtId="0" fontId="244" fillId="4" borderId="451" applyNumberFormat="0" applyAlignment="0" applyProtection="0"/>
    <xf numFmtId="0" fontId="244" fillId="4" borderId="451" applyNumberFormat="0" applyAlignment="0" applyProtection="0"/>
    <xf numFmtId="0" fontId="237" fillId="28" borderId="451" applyNumberFormat="0" applyAlignment="0" applyProtection="0"/>
    <xf numFmtId="0" fontId="18" fillId="2" borderId="453" applyNumberFormat="0" applyFont="0" applyAlignment="0" applyProtection="0"/>
    <xf numFmtId="0" fontId="18" fillId="0" borderId="449" applyNumberFormat="0" applyFill="0" applyAlignment="0" applyProtection="0"/>
    <xf numFmtId="0" fontId="99" fillId="0" borderId="446" applyNumberFormat="0" applyFill="0" applyAlignment="0" applyProtection="0"/>
    <xf numFmtId="0" fontId="99" fillId="0" borderId="446" applyNumberFormat="0" applyFill="0" applyAlignment="0" applyProtection="0"/>
    <xf numFmtId="195" fontId="18" fillId="29" borderId="447" applyNumberFormat="0" applyFont="0" applyBorder="0" applyAlignment="0" applyProtection="0">
      <alignment horizontal="right"/>
    </xf>
    <xf numFmtId="37" fontId="89" fillId="0" borderId="447" applyNumberFormat="0" applyFont="0" applyFill="0" applyAlignment="0" applyProtection="0"/>
    <xf numFmtId="8" fontId="138" fillId="0" borderId="452">
      <protection locked="0"/>
    </xf>
    <xf numFmtId="10" fontId="18" fillId="25" borderId="450" applyNumberFormat="0" applyBorder="0" applyAlignment="0" applyProtection="0"/>
    <xf numFmtId="169" fontId="137" fillId="0" borderId="450" applyNumberFormat="0" applyFill="0" applyAlignment="0" applyProtection="0"/>
    <xf numFmtId="0" fontId="244" fillId="4" borderId="451" applyNumberFormat="0" applyAlignment="0" applyProtection="0"/>
    <xf numFmtId="259" fontId="37" fillId="25" borderId="450" applyNumberFormat="0" applyFont="0" applyAlignment="0"/>
    <xf numFmtId="0" fontId="18" fillId="0" borderId="449" applyNumberFormat="0" applyFill="0" applyAlignment="0" applyProtection="0"/>
    <xf numFmtId="0" fontId="18" fillId="0" borderId="449" applyNumberFormat="0" applyFill="0" applyAlignment="0" applyProtection="0"/>
    <xf numFmtId="9" fontId="96" fillId="25" borderId="450" applyNumberFormat="0" applyFont="0" applyAlignment="0" applyProtection="0"/>
    <xf numFmtId="4" fontId="137" fillId="0" borderId="450" applyFont="0" applyFill="0" applyBorder="0" applyAlignment="0" applyProtection="0"/>
    <xf numFmtId="259" fontId="37" fillId="25" borderId="450" applyNumberFormat="0" applyFont="0" applyAlignment="0"/>
    <xf numFmtId="10" fontId="18" fillId="25" borderId="450" applyNumberFormat="0" applyBorder="0" applyAlignment="0" applyProtection="0"/>
    <xf numFmtId="169" fontId="137" fillId="0" borderId="450" applyNumberFormat="0" applyFill="0" applyAlignment="0" applyProtection="0"/>
    <xf numFmtId="195" fontId="18" fillId="29" borderId="447" applyNumberFormat="0" applyFont="0" applyBorder="0" applyAlignment="0" applyProtection="0">
      <alignment horizontal="right"/>
    </xf>
    <xf numFmtId="0" fontId="244" fillId="4" borderId="451" applyNumberFormat="0" applyAlignment="0" applyProtection="0"/>
    <xf numFmtId="10" fontId="18" fillId="25" borderId="450" applyNumberFormat="0" applyBorder="0" applyAlignment="0" applyProtection="0"/>
    <xf numFmtId="4" fontId="137" fillId="0" borderId="450" applyFont="0" applyFill="0" applyBorder="0" applyAlignment="0" applyProtection="0"/>
    <xf numFmtId="9" fontId="96" fillId="25" borderId="450" applyNumberFormat="0" applyFont="0" applyAlignment="0" applyProtection="0"/>
    <xf numFmtId="0" fontId="18" fillId="0" borderId="449" applyNumberFormat="0" applyFill="0" applyAlignment="0" applyProtection="0"/>
    <xf numFmtId="10" fontId="18" fillId="25" borderId="450" applyNumberFormat="0" applyBorder="0" applyAlignment="0" applyProtection="0"/>
    <xf numFmtId="0" fontId="18" fillId="2" borderId="453" applyNumberFormat="0" applyFont="0" applyAlignment="0" applyProtection="0"/>
    <xf numFmtId="0" fontId="244" fillId="4" borderId="451" applyNumberFormat="0" applyAlignment="0" applyProtection="0"/>
    <xf numFmtId="8" fontId="138" fillId="0" borderId="452">
      <protection locked="0"/>
    </xf>
    <xf numFmtId="0" fontId="237" fillId="28" borderId="451" applyNumberFormat="0" applyAlignment="0" applyProtection="0"/>
    <xf numFmtId="0" fontId="244" fillId="4" borderId="451" applyNumberFormat="0" applyAlignment="0" applyProtection="0"/>
    <xf numFmtId="0" fontId="244" fillId="4" borderId="451" applyNumberFormat="0" applyAlignment="0" applyProtection="0"/>
    <xf numFmtId="0" fontId="18" fillId="0" borderId="449" applyNumberFormat="0" applyFill="0" applyAlignment="0" applyProtection="0"/>
    <xf numFmtId="0" fontId="249" fillId="0" borderId="455" applyNumberFormat="0" applyFill="0" applyAlignment="0" applyProtection="0"/>
    <xf numFmtId="0" fontId="247" fillId="28" borderId="454" applyNumberFormat="0" applyAlignment="0" applyProtection="0"/>
    <xf numFmtId="0" fontId="18" fillId="0" borderId="449" applyNumberFormat="0" applyFill="0" applyAlignment="0" applyProtection="0"/>
    <xf numFmtId="0" fontId="244" fillId="4" borderId="451" applyNumberFormat="0" applyAlignment="0" applyProtection="0"/>
    <xf numFmtId="0" fontId="18" fillId="2" borderId="453" applyNumberFormat="0" applyFont="0" applyAlignment="0" applyProtection="0"/>
    <xf numFmtId="177" fontId="114" fillId="0" borderId="447" applyBorder="0"/>
    <xf numFmtId="176" fontId="29" fillId="15" borderId="447" applyBorder="0">
      <alignment horizontal="right"/>
    </xf>
    <xf numFmtId="176" fontId="29" fillId="0" borderId="447" applyBorder="0">
      <alignment horizontal="right"/>
    </xf>
    <xf numFmtId="37" fontId="89" fillId="0" borderId="447" applyNumberFormat="0" applyFont="0" applyFill="0" applyAlignment="0" applyProtection="0"/>
    <xf numFmtId="0" fontId="140" fillId="0" borderId="447" applyNumberFormat="0" applyBorder="0"/>
    <xf numFmtId="195" fontId="18" fillId="29" borderId="447" applyNumberFormat="0" applyFont="0" applyBorder="0" applyAlignment="0" applyProtection="0">
      <alignment horizontal="right"/>
    </xf>
    <xf numFmtId="195" fontId="18" fillId="29" borderId="447" applyNumberFormat="0" applyFont="0" applyBorder="0" applyAlignment="0" applyProtection="0">
      <alignment horizontal="right"/>
    </xf>
    <xf numFmtId="0" fontId="140" fillId="0" borderId="447" applyNumberFormat="0" applyBorder="0"/>
    <xf numFmtId="176" fontId="29" fillId="0" borderId="447" applyBorder="0">
      <alignment horizontal="right"/>
    </xf>
    <xf numFmtId="176" fontId="29" fillId="15" borderId="447" applyBorder="0">
      <alignment horizontal="right"/>
    </xf>
    <xf numFmtId="177" fontId="114" fillId="0" borderId="447" applyBorder="0"/>
    <xf numFmtId="0" fontId="18" fillId="2" borderId="453" applyNumberFormat="0" applyFont="0" applyAlignment="0" applyProtection="0"/>
    <xf numFmtId="0" fontId="244" fillId="4" borderId="451" applyNumberFormat="0" applyAlignment="0" applyProtection="0"/>
    <xf numFmtId="0" fontId="18" fillId="0" borderId="449" applyNumberFormat="0" applyFill="0" applyAlignment="0" applyProtection="0"/>
    <xf numFmtId="0" fontId="247" fillId="28" borderId="454" applyNumberFormat="0" applyAlignment="0" applyProtection="0"/>
    <xf numFmtId="0" fontId="249" fillId="0" borderId="455" applyNumberFormat="0" applyFill="0" applyAlignment="0" applyProtection="0"/>
    <xf numFmtId="0" fontId="18" fillId="0" borderId="449" applyNumberFormat="0" applyFill="0" applyAlignment="0" applyProtection="0"/>
    <xf numFmtId="0" fontId="244" fillId="4" borderId="451" applyNumberFormat="0" applyAlignment="0" applyProtection="0"/>
    <xf numFmtId="0" fontId="244" fillId="4" borderId="451" applyNumberFormat="0" applyAlignment="0" applyProtection="0"/>
    <xf numFmtId="0" fontId="237" fillId="28" borderId="451" applyNumberFormat="0" applyAlignment="0" applyProtection="0"/>
    <xf numFmtId="0" fontId="18" fillId="2" borderId="453" applyNumberFormat="0" applyFont="0" applyAlignment="0" applyProtection="0"/>
    <xf numFmtId="0" fontId="18" fillId="0" borderId="449" applyNumberFormat="0" applyFill="0" applyAlignment="0" applyProtection="0"/>
    <xf numFmtId="0" fontId="99" fillId="0" borderId="446" applyNumberFormat="0" applyFill="0" applyAlignment="0" applyProtection="0"/>
    <xf numFmtId="0" fontId="18" fillId="0" borderId="0"/>
    <xf numFmtId="43" fontId="18" fillId="0" borderId="0" applyFont="0" applyFill="0" applyBorder="0" applyAlignment="0" applyProtection="0"/>
    <xf numFmtId="3" fontId="141" fillId="0" borderId="0" applyFont="0" applyFill="0" applyBorder="0" applyAlignment="0" applyProtection="0"/>
    <xf numFmtId="44" fontId="18" fillId="0" borderId="0" applyFont="0" applyFill="0" applyBorder="0" applyAlignment="0" applyProtection="0"/>
    <xf numFmtId="14" fontId="55" fillId="0" borderId="0"/>
    <xf numFmtId="278" fontId="56" fillId="0" borderId="0"/>
    <xf numFmtId="0" fontId="244" fillId="4" borderId="439" applyNumberFormat="0" applyAlignment="0" applyProtection="0"/>
    <xf numFmtId="9" fontId="18" fillId="0" borderId="0" applyFont="0" applyFill="0" applyBorder="0" applyAlignment="0" applyProtection="0"/>
    <xf numFmtId="0" fontId="248" fillId="0" borderId="0" applyNumberFormat="0" applyFill="0" applyBorder="0" applyAlignment="0" applyProtection="0"/>
    <xf numFmtId="177" fontId="114" fillId="0" borderId="456" applyBorder="0"/>
    <xf numFmtId="176" fontId="29" fillId="15" borderId="456" applyBorder="0">
      <alignment horizontal="right"/>
    </xf>
    <xf numFmtId="176" fontId="29" fillId="0" borderId="456" applyBorder="0">
      <alignment horizontal="right"/>
    </xf>
    <xf numFmtId="37" fontId="89" fillId="0" borderId="456" applyNumberFormat="0" applyFont="0" applyFill="0" applyAlignment="0" applyProtection="0"/>
    <xf numFmtId="0" fontId="140" fillId="0" borderId="456" applyNumberFormat="0" applyBorder="0"/>
    <xf numFmtId="195" fontId="18" fillId="29" borderId="456" applyNumberFormat="0" applyFont="0" applyBorder="0" applyAlignment="0" applyProtection="0">
      <alignment horizontal="right"/>
    </xf>
    <xf numFmtId="0" fontId="18" fillId="2" borderId="460" applyNumberFormat="0" applyFont="0" applyAlignment="0" applyProtection="0"/>
    <xf numFmtId="0" fontId="244" fillId="4" borderId="458" applyNumberFormat="0" applyAlignment="0" applyProtection="0"/>
    <xf numFmtId="8" fontId="138" fillId="0" borderId="459">
      <protection locked="0"/>
    </xf>
    <xf numFmtId="0" fontId="237" fillId="28" borderId="458" applyNumberFormat="0" applyAlignment="0" applyProtection="0"/>
    <xf numFmtId="0" fontId="244" fillId="4" borderId="458" applyNumberFormat="0" applyAlignment="0" applyProtection="0"/>
    <xf numFmtId="0" fontId="244" fillId="4" borderId="458" applyNumberFormat="0" applyAlignment="0" applyProtection="0"/>
    <xf numFmtId="0" fontId="18" fillId="0" borderId="457" applyNumberFormat="0" applyFill="0" applyAlignment="0" applyProtection="0"/>
    <xf numFmtId="0" fontId="249" fillId="0" borderId="462" applyNumberFormat="0" applyFill="0" applyAlignment="0" applyProtection="0"/>
    <xf numFmtId="0" fontId="247" fillId="28" borderId="461" applyNumberFormat="0" applyAlignment="0" applyProtection="0"/>
    <xf numFmtId="0" fontId="18" fillId="0" borderId="457" applyNumberFormat="0" applyFill="0" applyAlignment="0" applyProtection="0"/>
    <xf numFmtId="0" fontId="244" fillId="4" borderId="458" applyNumberFormat="0" applyAlignment="0" applyProtection="0"/>
    <xf numFmtId="195" fontId="18" fillId="29" borderId="456" applyNumberFormat="0" applyFont="0" applyBorder="0" applyAlignment="0" applyProtection="0">
      <alignment horizontal="right"/>
    </xf>
    <xf numFmtId="0" fontId="18" fillId="2" borderId="460" applyNumberFormat="0" applyFont="0" applyAlignment="0" applyProtection="0"/>
    <xf numFmtId="177" fontId="114" fillId="0" borderId="456" applyBorder="0"/>
    <xf numFmtId="176" fontId="29" fillId="15" borderId="456" applyBorder="0">
      <alignment horizontal="right"/>
    </xf>
    <xf numFmtId="176" fontId="29" fillId="0" borderId="456" applyBorder="0">
      <alignment horizontal="right"/>
    </xf>
    <xf numFmtId="3" fontId="115" fillId="24" borderId="463" applyBorder="0">
      <protection locked="0"/>
    </xf>
    <xf numFmtId="37" fontId="89" fillId="0" borderId="456" applyNumberFormat="0" applyFont="0" applyFill="0" applyAlignment="0" applyProtection="0"/>
    <xf numFmtId="0" fontId="140" fillId="0" borderId="456" applyNumberFormat="0" applyBorder="0"/>
    <xf numFmtId="195" fontId="18" fillId="29" borderId="456" applyNumberFormat="0" applyFont="0" applyBorder="0" applyAlignment="0" applyProtection="0">
      <alignment horizontal="right"/>
    </xf>
    <xf numFmtId="195" fontId="18" fillId="29" borderId="456"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8" fillId="0" borderId="0" applyNumberFormat="0" applyFill="0" applyBorder="0" applyAlignment="0" applyProtection="0"/>
    <xf numFmtId="169" fontId="356" fillId="0" borderId="0" applyNumberFormat="0" applyFill="0" applyBorder="0">
      <alignment horizontal="left" vertical="center"/>
    </xf>
    <xf numFmtId="0" fontId="18" fillId="0" borderId="0" applyNumberFormat="0" applyFill="0" applyBorder="0" applyAlignment="0" applyProtection="0"/>
    <xf numFmtId="0" fontId="99" fillId="0" borderId="484" applyNumberFormat="0" applyFill="0" applyAlignment="0" applyProtection="0"/>
    <xf numFmtId="195" fontId="18" fillId="29" borderId="482" applyNumberFormat="0" applyFont="0" applyBorder="0" applyAlignment="0" applyProtection="0">
      <alignment horizontal="right"/>
    </xf>
    <xf numFmtId="37" fontId="89" fillId="0" borderId="482" applyNumberFormat="0" applyFont="0" applyFill="0" applyAlignment="0" applyProtection="0"/>
    <xf numFmtId="8" fontId="138" fillId="0" borderId="478">
      <protection locked="0"/>
    </xf>
    <xf numFmtId="10" fontId="18" fillId="25" borderId="464" applyNumberFormat="0" applyBorder="0" applyAlignment="0" applyProtection="0"/>
    <xf numFmtId="169" fontId="137" fillId="0" borderId="464" applyNumberFormat="0" applyFill="0" applyAlignment="0" applyProtection="0"/>
    <xf numFmtId="0" fontId="244" fillId="4" borderId="466" applyNumberFormat="0" applyAlignment="0" applyProtection="0"/>
    <xf numFmtId="259" fontId="37" fillId="25" borderId="464" applyNumberFormat="0" applyFont="0" applyAlignment="0"/>
    <xf numFmtId="0" fontId="18" fillId="0" borderId="476" applyNumberFormat="0" applyFill="0" applyAlignment="0" applyProtection="0"/>
    <xf numFmtId="193" fontId="66" fillId="23" borderId="473" applyFont="0">
      <alignment horizontal="right"/>
    </xf>
    <xf numFmtId="0" fontId="18" fillId="0" borderId="465" applyNumberFormat="0" applyFill="0" applyAlignment="0" applyProtection="0"/>
    <xf numFmtId="9" fontId="96" fillId="25" borderId="464" applyNumberFormat="0" applyFont="0" applyAlignment="0" applyProtection="0"/>
    <xf numFmtId="4" fontId="137" fillId="0" borderId="464" applyFont="0" applyFill="0" applyBorder="0" applyAlignment="0" applyProtection="0"/>
    <xf numFmtId="259" fontId="37" fillId="25" borderId="464" applyNumberFormat="0" applyFont="0" applyAlignment="0"/>
    <xf numFmtId="0" fontId="244" fillId="4" borderId="458" applyNumberFormat="0" applyAlignment="0" applyProtection="0"/>
    <xf numFmtId="10" fontId="18" fillId="25" borderId="464" applyNumberFormat="0" applyBorder="0" applyAlignment="0" applyProtection="0"/>
    <xf numFmtId="169" fontId="137" fillId="0" borderId="464" applyNumberFormat="0" applyFill="0" applyAlignment="0" applyProtection="0"/>
    <xf numFmtId="195" fontId="18" fillId="29" borderId="482" applyNumberFormat="0" applyFont="0" applyBorder="0" applyAlignment="0" applyProtection="0">
      <alignment horizontal="right"/>
    </xf>
    <xf numFmtId="3" fontId="115" fillId="24" borderId="483" applyBorder="0">
      <protection locked="0"/>
    </xf>
    <xf numFmtId="0" fontId="244" fillId="4" borderId="477" applyNumberFormat="0" applyAlignment="0" applyProtection="0"/>
    <xf numFmtId="10" fontId="18" fillId="25" borderId="464" applyNumberFormat="0" applyBorder="0" applyAlignment="0" applyProtection="0"/>
    <xf numFmtId="0" fontId="51" fillId="0" borderId="473">
      <alignment horizontal="left" vertical="center"/>
    </xf>
    <xf numFmtId="0" fontId="29" fillId="0" borderId="473" applyFont="0" applyFill="0" applyBorder="0" applyAlignment="0" applyProtection="0">
      <alignment horizontal="center"/>
    </xf>
    <xf numFmtId="4" fontId="137" fillId="0" borderId="464" applyFont="0" applyFill="0" applyBorder="0" applyAlignment="0" applyProtection="0"/>
    <xf numFmtId="9" fontId="96" fillId="25" borderId="464" applyNumberFormat="0" applyFont="0" applyAlignment="0" applyProtection="0"/>
    <xf numFmtId="0" fontId="18" fillId="0" borderId="465" applyNumberFormat="0" applyFill="0" applyAlignment="0" applyProtection="0"/>
    <xf numFmtId="10" fontId="18" fillId="25" borderId="464" applyNumberFormat="0" applyBorder="0" applyAlignment="0" applyProtection="0"/>
    <xf numFmtId="0" fontId="18" fillId="2" borderId="468" applyNumberFormat="0" applyFont="0" applyAlignment="0" applyProtection="0"/>
    <xf numFmtId="0" fontId="244" fillId="4" borderId="466" applyNumberFormat="0" applyAlignment="0" applyProtection="0"/>
    <xf numFmtId="8" fontId="138" fillId="0" borderId="467">
      <protection locked="0"/>
    </xf>
    <xf numFmtId="0" fontId="237" fillId="28" borderId="466" applyNumberFormat="0" applyAlignment="0" applyProtection="0"/>
    <xf numFmtId="0" fontId="244" fillId="4" borderId="466" applyNumberFormat="0" applyAlignment="0" applyProtection="0"/>
    <xf numFmtId="0" fontId="244" fillId="4" borderId="466" applyNumberFormat="0" applyAlignment="0" applyProtection="0"/>
    <xf numFmtId="0" fontId="18" fillId="0" borderId="465" applyNumberFormat="0" applyFill="0" applyAlignment="0" applyProtection="0"/>
    <xf numFmtId="0" fontId="249" fillId="0" borderId="470" applyNumberFormat="0" applyFill="0" applyAlignment="0" applyProtection="0"/>
    <xf numFmtId="0" fontId="247" fillId="28" borderId="469" applyNumberFormat="0" applyAlignment="0" applyProtection="0"/>
    <xf numFmtId="0" fontId="18" fillId="0" borderId="465" applyNumberFormat="0" applyFill="0" applyAlignment="0" applyProtection="0"/>
    <xf numFmtId="0" fontId="244" fillId="4" borderId="466" applyNumberFormat="0" applyAlignment="0" applyProtection="0"/>
    <xf numFmtId="0" fontId="18" fillId="2" borderId="468" applyNumberFormat="0" applyFont="0" applyAlignment="0" applyProtection="0"/>
    <xf numFmtId="177" fontId="114" fillId="0" borderId="471" applyBorder="0"/>
    <xf numFmtId="176" fontId="29" fillId="15" borderId="471" applyBorder="0">
      <alignment horizontal="right"/>
    </xf>
    <xf numFmtId="176" fontId="29" fillId="0" borderId="471" applyBorder="0">
      <alignment horizontal="right"/>
    </xf>
    <xf numFmtId="3" fontId="115" fillId="24" borderId="472" applyBorder="0">
      <protection locked="0"/>
    </xf>
    <xf numFmtId="37" fontId="89" fillId="0" borderId="471" applyNumberFormat="0" applyFont="0" applyFill="0" applyAlignment="0" applyProtection="0"/>
    <xf numFmtId="0" fontId="140" fillId="0" borderId="471" applyNumberFormat="0" applyBorder="0"/>
    <xf numFmtId="195" fontId="18" fillId="29" borderId="471" applyNumberFormat="0" applyFont="0" applyBorder="0" applyAlignment="0" applyProtection="0">
      <alignment horizontal="right"/>
    </xf>
    <xf numFmtId="195" fontId="18" fillId="29" borderId="471"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482" applyNumberFormat="0" applyBorder="0"/>
    <xf numFmtId="176" fontId="29" fillId="0" borderId="482" applyBorder="0">
      <alignment horizontal="right"/>
    </xf>
    <xf numFmtId="176" fontId="29" fillId="15" borderId="482" applyBorder="0">
      <alignment horizontal="right"/>
    </xf>
    <xf numFmtId="177" fontId="114" fillId="0" borderId="482" applyBorder="0"/>
    <xf numFmtId="0" fontId="18" fillId="2" borderId="479" applyNumberFormat="0" applyFont="0" applyAlignment="0" applyProtection="0"/>
    <xf numFmtId="0" fontId="244" fillId="4" borderId="477" applyNumberFormat="0" applyAlignment="0" applyProtection="0"/>
    <xf numFmtId="0" fontId="18" fillId="0" borderId="476" applyNumberFormat="0" applyFill="0" applyAlignment="0" applyProtection="0"/>
    <xf numFmtId="0" fontId="247" fillId="28" borderId="480" applyNumberFormat="0" applyAlignment="0" applyProtection="0"/>
    <xf numFmtId="0" fontId="249" fillId="0" borderId="481" applyNumberFormat="0" applyFill="0" applyAlignment="0" applyProtection="0"/>
    <xf numFmtId="0" fontId="18" fillId="0" borderId="476" applyNumberFormat="0" applyFill="0" applyAlignment="0" applyProtection="0"/>
    <xf numFmtId="0" fontId="244" fillId="4" borderId="477" applyNumberFormat="0" applyAlignment="0" applyProtection="0"/>
    <xf numFmtId="0" fontId="244" fillId="4" borderId="477" applyNumberFormat="0" applyAlignment="0" applyProtection="0"/>
    <xf numFmtId="0" fontId="237" fillId="28" borderId="477" applyNumberFormat="0" applyAlignment="0" applyProtection="0"/>
    <xf numFmtId="0" fontId="18" fillId="2" borderId="479" applyNumberFormat="0" applyFont="0" applyAlignment="0" applyProtection="0"/>
    <xf numFmtId="0" fontId="18" fillId="0" borderId="476" applyNumberFormat="0" applyFill="0" applyAlignment="0" applyProtection="0"/>
    <xf numFmtId="193" fontId="66" fillId="23" borderId="473" applyFont="0">
      <alignment horizontal="right"/>
    </xf>
    <xf numFmtId="0" fontId="99" fillId="0" borderId="474" applyNumberFormat="0" applyFill="0" applyAlignment="0" applyProtection="0"/>
    <xf numFmtId="0" fontId="81" fillId="0" borderId="456" applyNumberFormat="0" applyFill="0" applyProtection="0">
      <alignment horizontal="right"/>
    </xf>
    <xf numFmtId="39" fontId="33" fillId="0" borderId="473" applyNumberFormat="0" applyBorder="0">
      <alignment horizontal="right"/>
    </xf>
    <xf numFmtId="1" fontId="85" fillId="0" borderId="473" applyFill="0" applyProtection="0">
      <alignment horizontal="right"/>
    </xf>
    <xf numFmtId="39" fontId="33" fillId="0" borderId="473" applyNumberFormat="0" applyBorder="0">
      <alignment horizontal="right"/>
    </xf>
    <xf numFmtId="1" fontId="85" fillId="0" borderId="473" applyFill="0" applyProtection="0">
      <alignment horizontal="right"/>
    </xf>
    <xf numFmtId="177" fontId="114" fillId="0" borderId="485" applyBorder="0"/>
    <xf numFmtId="176" fontId="29" fillId="15" borderId="485" applyBorder="0">
      <alignment horizontal="right"/>
    </xf>
    <xf numFmtId="176" fontId="29" fillId="0" borderId="485" applyBorder="0">
      <alignment horizontal="right"/>
    </xf>
    <xf numFmtId="193" fontId="66" fillId="23" borderId="473" applyFont="0">
      <alignment horizontal="right"/>
    </xf>
    <xf numFmtId="3" fontId="115" fillId="24" borderId="486" applyBorder="0">
      <protection locked="0"/>
    </xf>
    <xf numFmtId="0" fontId="18" fillId="0" borderId="487" applyNumberFormat="0" applyFill="0" applyAlignment="0" applyProtection="0"/>
    <xf numFmtId="37" fontId="89" fillId="0" borderId="485" applyNumberFormat="0" applyFont="0" applyFill="0" applyAlignment="0" applyProtection="0"/>
    <xf numFmtId="0" fontId="140" fillId="0" borderId="485" applyNumberFormat="0" applyBorder="0"/>
    <xf numFmtId="195" fontId="18" fillId="29" borderId="485" applyNumberFormat="0" applyFont="0" applyBorder="0" applyAlignment="0" applyProtection="0">
      <alignment horizontal="right"/>
    </xf>
    <xf numFmtId="0" fontId="29" fillId="0" borderId="473" applyFont="0" applyFill="0" applyBorder="0" applyAlignment="0" applyProtection="0">
      <alignment horizontal="center"/>
    </xf>
    <xf numFmtId="0" fontId="51" fillId="0" borderId="473">
      <alignment horizontal="left" vertical="center"/>
    </xf>
    <xf numFmtId="0" fontId="244" fillId="4" borderId="458" applyNumberFormat="0" applyAlignment="0" applyProtection="0"/>
    <xf numFmtId="193" fontId="66" fillId="23" borderId="473" applyFont="0">
      <alignment horizontal="right"/>
    </xf>
    <xf numFmtId="0" fontId="18" fillId="0" borderId="487" applyNumberFormat="0" applyFill="0" applyAlignment="0" applyProtection="0"/>
    <xf numFmtId="195" fontId="18" fillId="29" borderId="485" applyNumberFormat="0" applyFont="0" applyBorder="0" applyAlignment="0" applyProtection="0">
      <alignment horizontal="right"/>
    </xf>
    <xf numFmtId="0" fontId="244" fillId="4" borderId="439" applyNumberFormat="0" applyAlignment="0" applyProtection="0"/>
    <xf numFmtId="0" fontId="237" fillId="28" borderId="439" applyNumberFormat="0" applyAlignment="0" applyProtection="0"/>
    <xf numFmtId="0" fontId="244" fillId="4" borderId="439" applyNumberFormat="0" applyAlignment="0" applyProtection="0"/>
    <xf numFmtId="0" fontId="244" fillId="4" borderId="439" applyNumberFormat="0" applyAlignment="0" applyProtection="0"/>
    <xf numFmtId="0" fontId="244" fillId="4" borderId="439" applyNumberFormat="0" applyAlignment="0" applyProtection="0"/>
    <xf numFmtId="43" fontId="8" fillId="0" borderId="0" applyFont="0" applyFill="0" applyBorder="0" applyAlignment="0" applyProtection="0"/>
    <xf numFmtId="9" fontId="8" fillId="0" borderId="0" applyFont="0" applyFill="0" applyBorder="0" applyAlignment="0" applyProtection="0"/>
    <xf numFmtId="0" fontId="8" fillId="0" borderId="0"/>
    <xf numFmtId="0" fontId="99" fillId="0" borderId="484" applyNumberFormat="0" applyFill="0" applyAlignment="0" applyProtection="0"/>
    <xf numFmtId="0" fontId="99" fillId="0" borderId="484" applyNumberFormat="0" applyFill="0" applyAlignment="0" applyProtection="0"/>
    <xf numFmtId="0" fontId="81" fillId="0" borderId="485" applyNumberFormat="0" applyFill="0" applyProtection="0">
      <alignment horizontal="right"/>
    </xf>
    <xf numFmtId="0" fontId="99" fillId="0" borderId="484" applyNumberFormat="0" applyFill="0" applyAlignment="0" applyProtection="0"/>
    <xf numFmtId="0" fontId="244" fillId="4" borderId="439" applyNumberFormat="0" applyAlignment="0" applyProtection="0"/>
    <xf numFmtId="9" fontId="96" fillId="25" borderId="488" applyNumberFormat="0" applyFont="0" applyAlignment="0" applyProtection="0"/>
    <xf numFmtId="4" fontId="137" fillId="0" borderId="488" applyFont="0" applyFill="0" applyBorder="0" applyAlignment="0" applyProtection="0"/>
    <xf numFmtId="259" fontId="37" fillId="25" borderId="488" applyNumberFormat="0" applyFont="0" applyAlignment="0"/>
    <xf numFmtId="0" fontId="244" fillId="4" borderId="439" applyNumberFormat="0" applyAlignment="0" applyProtection="0"/>
    <xf numFmtId="10" fontId="18" fillId="25" borderId="488" applyNumberFormat="0" applyBorder="0" applyAlignment="0" applyProtection="0"/>
    <xf numFmtId="169" fontId="137" fillId="0" borderId="488" applyNumberFormat="0" applyFill="0" applyAlignment="0" applyProtection="0"/>
    <xf numFmtId="0" fontId="244" fillId="4" borderId="439" applyNumberFormat="0" applyAlignment="0" applyProtection="0"/>
    <xf numFmtId="10" fontId="18" fillId="25" borderId="488" applyNumberFormat="0" applyBorder="0" applyAlignment="0" applyProtection="0"/>
    <xf numFmtId="0" fontId="244" fillId="4" borderId="439" applyNumberFormat="0" applyAlignment="0" applyProtection="0"/>
    <xf numFmtId="0" fontId="237" fillId="28" borderId="439" applyNumberFormat="0" applyAlignment="0" applyProtection="0"/>
    <xf numFmtId="0" fontId="244" fillId="4" borderId="439" applyNumberFormat="0" applyAlignment="0" applyProtection="0"/>
    <xf numFmtId="0" fontId="244" fillId="4" borderId="439" applyNumberFormat="0" applyAlignment="0" applyProtection="0"/>
    <xf numFmtId="0" fontId="244" fillId="4" borderId="439" applyNumberFormat="0" applyAlignment="0" applyProtection="0"/>
    <xf numFmtId="43" fontId="8" fillId="0" borderId="0" applyFont="0" applyFill="0" applyBorder="0" applyAlignment="0" applyProtection="0"/>
    <xf numFmtId="9" fontId="8" fillId="0" borderId="0" applyFont="0" applyFill="0" applyBorder="0" applyAlignment="0" applyProtection="0"/>
    <xf numFmtId="0" fontId="8" fillId="0" borderId="0"/>
    <xf numFmtId="0" fontId="244" fillId="4" borderId="439" applyNumberFormat="0" applyAlignment="0" applyProtection="0"/>
    <xf numFmtId="0" fontId="244" fillId="4" borderId="439" applyNumberFormat="0" applyAlignment="0" applyProtection="0"/>
    <xf numFmtId="0" fontId="244" fillId="4" borderId="439" applyNumberFormat="0" applyAlignment="0" applyProtection="0"/>
    <xf numFmtId="0" fontId="237" fillId="28" borderId="439" applyNumberFormat="0" applyAlignment="0" applyProtection="0"/>
    <xf numFmtId="0" fontId="99" fillId="0" borderId="484" applyNumberFormat="0" applyFill="0" applyAlignment="0" applyProtection="0"/>
    <xf numFmtId="0" fontId="99" fillId="0" borderId="484" applyNumberFormat="0" applyFill="0" applyAlignment="0" applyProtection="0"/>
    <xf numFmtId="195" fontId="18" fillId="29" borderId="485" applyNumberFormat="0" applyFont="0" applyBorder="0" applyAlignment="0" applyProtection="0">
      <alignment horizontal="right"/>
    </xf>
    <xf numFmtId="37" fontId="89" fillId="0" borderId="485" applyNumberFormat="0" applyFont="0" applyFill="0" applyAlignment="0" applyProtection="0"/>
    <xf numFmtId="8" fontId="138" fillId="0" borderId="490">
      <protection locked="0"/>
    </xf>
    <xf numFmtId="10" fontId="18" fillId="25" borderId="475" applyNumberFormat="0" applyBorder="0" applyAlignment="0" applyProtection="0"/>
    <xf numFmtId="169" fontId="137" fillId="0" borderId="475" applyNumberFormat="0" applyFill="0" applyAlignment="0" applyProtection="0"/>
    <xf numFmtId="0" fontId="244" fillId="4" borderId="489" applyNumberFormat="0" applyAlignment="0" applyProtection="0"/>
    <xf numFmtId="259" fontId="37" fillId="25" borderId="475" applyNumberFormat="0" applyFont="0" applyAlignment="0"/>
    <xf numFmtId="0" fontId="18" fillId="0" borderId="487" applyNumberFormat="0" applyFill="0" applyAlignment="0" applyProtection="0"/>
    <xf numFmtId="193" fontId="66" fillId="23" borderId="473" applyFont="0">
      <alignment horizontal="right"/>
    </xf>
    <xf numFmtId="0" fontId="18" fillId="0" borderId="487" applyNumberFormat="0" applyFill="0" applyAlignment="0" applyProtection="0"/>
    <xf numFmtId="9" fontId="96" fillId="25" borderId="475" applyNumberFormat="0" applyFont="0" applyAlignment="0" applyProtection="0"/>
    <xf numFmtId="4" fontId="137" fillId="0" borderId="475" applyFont="0" applyFill="0" applyBorder="0" applyAlignment="0" applyProtection="0"/>
    <xf numFmtId="259" fontId="37" fillId="25" borderId="475" applyNumberFormat="0" applyFont="0" applyAlignment="0"/>
    <xf numFmtId="10" fontId="18" fillId="25" borderId="475" applyNumberFormat="0" applyBorder="0" applyAlignment="0" applyProtection="0"/>
    <xf numFmtId="169" fontId="137" fillId="0" borderId="475" applyNumberFormat="0" applyFill="0" applyAlignment="0" applyProtection="0"/>
    <xf numFmtId="195" fontId="18" fillId="29" borderId="485" applyNumberFormat="0" applyFont="0" applyBorder="0" applyAlignment="0" applyProtection="0">
      <alignment horizontal="right"/>
    </xf>
    <xf numFmtId="3" fontId="115" fillId="24" borderId="486" applyBorder="0">
      <protection locked="0"/>
    </xf>
    <xf numFmtId="0" fontId="244" fillId="4" borderId="489" applyNumberFormat="0" applyAlignment="0" applyProtection="0"/>
    <xf numFmtId="10" fontId="18" fillId="25" borderId="475" applyNumberFormat="0" applyBorder="0" applyAlignment="0" applyProtection="0"/>
    <xf numFmtId="0" fontId="51" fillId="0" borderId="473">
      <alignment horizontal="left" vertical="center"/>
    </xf>
    <xf numFmtId="0" fontId="29" fillId="0" borderId="473" applyFont="0" applyFill="0" applyBorder="0" applyAlignment="0" applyProtection="0">
      <alignment horizontal="center"/>
    </xf>
    <xf numFmtId="4" fontId="137" fillId="0" borderId="475" applyFont="0" applyFill="0" applyBorder="0" applyAlignment="0" applyProtection="0"/>
    <xf numFmtId="9" fontId="96" fillId="25" borderId="475" applyNumberFormat="0" applyFont="0" applyAlignment="0" applyProtection="0"/>
    <xf numFmtId="0" fontId="18" fillId="0" borderId="487" applyNumberFormat="0" applyFill="0" applyAlignment="0" applyProtection="0"/>
    <xf numFmtId="10" fontId="18" fillId="25" borderId="475" applyNumberFormat="0" applyBorder="0" applyAlignment="0" applyProtection="0"/>
    <xf numFmtId="0" fontId="18" fillId="2" borderId="491" applyNumberFormat="0" applyFont="0" applyAlignment="0" applyProtection="0"/>
    <xf numFmtId="0" fontId="244" fillId="4" borderId="489" applyNumberFormat="0" applyAlignment="0" applyProtection="0"/>
    <xf numFmtId="8" fontId="138" fillId="0" borderId="490">
      <protection locked="0"/>
    </xf>
    <xf numFmtId="0" fontId="237" fillId="28" borderId="489" applyNumberFormat="0" applyAlignment="0" applyProtection="0"/>
    <xf numFmtId="0" fontId="244" fillId="4" borderId="489" applyNumberFormat="0" applyAlignment="0" applyProtection="0"/>
    <xf numFmtId="0" fontId="244" fillId="4" borderId="489" applyNumberFormat="0" applyAlignment="0" applyProtection="0"/>
    <xf numFmtId="0" fontId="18" fillId="0" borderId="487" applyNumberFormat="0" applyFill="0" applyAlignment="0" applyProtection="0"/>
    <xf numFmtId="0" fontId="249" fillId="0" borderId="493" applyNumberFormat="0" applyFill="0" applyAlignment="0" applyProtection="0"/>
    <xf numFmtId="0" fontId="247" fillId="28" borderId="492" applyNumberFormat="0" applyAlignment="0" applyProtection="0"/>
    <xf numFmtId="0" fontId="18" fillId="0" borderId="487" applyNumberFormat="0" applyFill="0" applyAlignment="0" applyProtection="0"/>
    <xf numFmtId="0" fontId="244" fillId="4" borderId="489" applyNumberFormat="0" applyAlignment="0" applyProtection="0"/>
    <xf numFmtId="0" fontId="18" fillId="2" borderId="491" applyNumberFormat="0" applyFont="0" applyAlignment="0" applyProtection="0"/>
    <xf numFmtId="177" fontId="114" fillId="0" borderId="485" applyBorder="0"/>
    <xf numFmtId="176" fontId="29" fillId="15" borderId="485" applyBorder="0">
      <alignment horizontal="right"/>
    </xf>
    <xf numFmtId="176" fontId="29" fillId="0" borderId="485" applyBorder="0">
      <alignment horizontal="right"/>
    </xf>
    <xf numFmtId="3" fontId="115" fillId="24" borderId="486" applyBorder="0">
      <protection locked="0"/>
    </xf>
    <xf numFmtId="37" fontId="89" fillId="0" borderId="485" applyNumberFormat="0" applyFont="0" applyFill="0" applyAlignment="0" applyProtection="0"/>
    <xf numFmtId="0" fontId="140" fillId="0" borderId="485" applyNumberFormat="0" applyBorder="0"/>
    <xf numFmtId="195" fontId="18" fillId="29" borderId="485" applyNumberFormat="0" applyFont="0" applyBorder="0" applyAlignment="0" applyProtection="0">
      <alignment horizontal="right"/>
    </xf>
    <xf numFmtId="195" fontId="18" fillId="29" borderId="485" applyNumberFormat="0" applyFont="0" applyBorder="0" applyAlignment="0" applyProtection="0">
      <alignment horizontal="right"/>
    </xf>
    <xf numFmtId="0" fontId="140" fillId="0" borderId="485" applyNumberFormat="0" applyBorder="0"/>
    <xf numFmtId="176" fontId="29" fillId="0" borderId="485" applyBorder="0">
      <alignment horizontal="right"/>
    </xf>
    <xf numFmtId="176" fontId="29" fillId="15" borderId="485" applyBorder="0">
      <alignment horizontal="right"/>
    </xf>
    <xf numFmtId="177" fontId="114" fillId="0" borderId="485" applyBorder="0"/>
    <xf numFmtId="0" fontId="18" fillId="2" borderId="491" applyNumberFormat="0" applyFont="0" applyAlignment="0" applyProtection="0"/>
    <xf numFmtId="0" fontId="244" fillId="4" borderId="489" applyNumberFormat="0" applyAlignment="0" applyProtection="0"/>
    <xf numFmtId="0" fontId="18" fillId="0" borderId="487" applyNumberFormat="0" applyFill="0" applyAlignment="0" applyProtection="0"/>
    <xf numFmtId="0" fontId="247" fillId="28" borderId="492" applyNumberFormat="0" applyAlignment="0" applyProtection="0"/>
    <xf numFmtId="0" fontId="249" fillId="0" borderId="493" applyNumberFormat="0" applyFill="0" applyAlignment="0" applyProtection="0"/>
    <xf numFmtId="0" fontId="18" fillId="0" borderId="487" applyNumberFormat="0" applyFill="0" applyAlignment="0" applyProtection="0"/>
    <xf numFmtId="0" fontId="244" fillId="4" borderId="489" applyNumberFormat="0" applyAlignment="0" applyProtection="0"/>
    <xf numFmtId="0" fontId="244" fillId="4" borderId="489" applyNumberFormat="0" applyAlignment="0" applyProtection="0"/>
    <xf numFmtId="0" fontId="237" fillId="28" borderId="489" applyNumberFormat="0" applyAlignment="0" applyProtection="0"/>
    <xf numFmtId="0" fontId="18" fillId="2" borderId="491" applyNumberFormat="0" applyFont="0" applyAlignment="0" applyProtection="0"/>
    <xf numFmtId="0" fontId="18" fillId="0" borderId="487" applyNumberFormat="0" applyFill="0" applyAlignment="0" applyProtection="0"/>
    <xf numFmtId="193" fontId="66" fillId="23" borderId="473" applyFont="0">
      <alignment horizontal="right"/>
    </xf>
    <xf numFmtId="0" fontId="99" fillId="0" borderId="484" applyNumberFormat="0" applyFill="0" applyAlignment="0" applyProtection="0"/>
    <xf numFmtId="39" fontId="33" fillId="0" borderId="473" applyNumberFormat="0" applyBorder="0">
      <alignment horizontal="right"/>
    </xf>
    <xf numFmtId="1" fontId="85" fillId="0" borderId="473" applyFill="0" applyProtection="0">
      <alignment horizontal="right"/>
    </xf>
    <xf numFmtId="39" fontId="33" fillId="0" borderId="473" applyNumberFormat="0" applyBorder="0">
      <alignment horizontal="right"/>
    </xf>
    <xf numFmtId="1" fontId="85" fillId="0" borderId="473" applyFill="0" applyProtection="0">
      <alignment horizontal="right"/>
    </xf>
    <xf numFmtId="37" fontId="89" fillId="0" borderId="514" applyNumberFormat="0" applyFont="0" applyFill="0" applyAlignment="0" applyProtection="0"/>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37" fontId="89" fillId="0" borderId="514" applyNumberFormat="0" applyFont="0" applyFill="0" applyAlignment="0" applyProtection="0"/>
    <xf numFmtId="176" fontId="29" fillId="15" borderId="514" applyBorder="0">
      <alignment horizontal="right"/>
    </xf>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18" fillId="0" borderId="516" applyNumberFormat="0" applyFill="0" applyAlignment="0" applyProtection="0"/>
    <xf numFmtId="193" fontId="66" fillId="23" borderId="494" applyFont="0">
      <alignment horizontal="right"/>
    </xf>
    <xf numFmtId="0" fontId="18" fillId="0" borderId="495" applyNumberFormat="0" applyFill="0" applyAlignment="0" applyProtection="0"/>
    <xf numFmtId="9" fontId="96" fillId="25" borderId="488" applyNumberFormat="0" applyFont="0" applyAlignment="0" applyProtection="0"/>
    <xf numFmtId="0" fontId="237" fillId="28" borderId="496" applyNumberFormat="0" applyAlignment="0" applyProtection="0"/>
    <xf numFmtId="4" fontId="137" fillId="0" borderId="488" applyFont="0" applyFill="0" applyBorder="0" applyAlignment="0" applyProtection="0"/>
    <xf numFmtId="8" fontId="138" fillId="0" borderId="497">
      <protection locked="0"/>
    </xf>
    <xf numFmtId="0" fontId="29" fillId="0" borderId="494" applyFont="0" applyFill="0" applyBorder="0" applyAlignment="0" applyProtection="0">
      <alignment horizontal="center"/>
    </xf>
    <xf numFmtId="259" fontId="37" fillId="25" borderId="488" applyNumberFormat="0" applyFont="0" applyAlignment="0"/>
    <xf numFmtId="0" fontId="51" fillId="0" borderId="494">
      <alignment horizontal="left" vertical="center"/>
    </xf>
    <xf numFmtId="0" fontId="244" fillId="4" borderId="496" applyNumberFormat="0" applyAlignment="0" applyProtection="0"/>
    <xf numFmtId="10" fontId="18" fillId="25" borderId="488" applyNumberFormat="0" applyBorder="0" applyAlignment="0" applyProtection="0"/>
    <xf numFmtId="169" fontId="137" fillId="0" borderId="488" applyNumberFormat="0" applyFill="0" applyAlignment="0" applyProtection="0"/>
    <xf numFmtId="0" fontId="18" fillId="2" borderId="498" applyNumberFormat="0" applyFont="0" applyAlignment="0" applyProtection="0"/>
    <xf numFmtId="0" fontId="247" fillId="28" borderId="499" applyNumberFormat="0" applyAlignment="0" applyProtection="0"/>
    <xf numFmtId="0" fontId="249" fillId="0" borderId="500" applyNumberFormat="0" applyFill="0" applyAlignment="0" applyProtection="0"/>
    <xf numFmtId="177" fontId="114" fillId="0" borderId="514" applyBorder="0"/>
    <xf numFmtId="0" fontId="18" fillId="0" borderId="516" applyNumberFormat="0" applyFill="0" applyAlignment="0" applyProtection="0"/>
    <xf numFmtId="0" fontId="247" fillId="28" borderId="521" applyNumberFormat="0" applyAlignment="0" applyProtection="0"/>
    <xf numFmtId="0" fontId="244" fillId="4" borderId="518" applyNumberFormat="0" applyAlignment="0" applyProtection="0"/>
    <xf numFmtId="0" fontId="18" fillId="2" borderId="520" applyNumberFormat="0" applyFont="0" applyAlignment="0" applyProtection="0"/>
    <xf numFmtId="0" fontId="249" fillId="0" borderId="522" applyNumberFormat="0" applyFill="0" applyAlignment="0" applyProtection="0"/>
    <xf numFmtId="0" fontId="247" fillId="28" borderId="521" applyNumberFormat="0" applyAlignment="0" applyProtection="0"/>
    <xf numFmtId="0" fontId="18" fillId="2" borderId="520" applyNumberFormat="0" applyFont="0" applyAlignment="0" applyProtection="0"/>
    <xf numFmtId="193" fontId="66" fillId="23" borderId="494" applyFont="0">
      <alignment horizontal="right"/>
    </xf>
    <xf numFmtId="0" fontId="18" fillId="0" borderId="495" applyNumberFormat="0" applyFill="0" applyAlignment="0" applyProtection="0"/>
    <xf numFmtId="10" fontId="18" fillId="25" borderId="488" applyNumberFormat="0" applyBorder="0" applyAlignment="0" applyProtection="0"/>
    <xf numFmtId="0" fontId="18" fillId="2" borderId="498" applyNumberFormat="0" applyFont="0" applyAlignment="0" applyProtection="0"/>
    <xf numFmtId="0" fontId="247" fillId="28" borderId="499" applyNumberFormat="0" applyAlignment="0" applyProtection="0"/>
    <xf numFmtId="177" fontId="114" fillId="0" borderId="501" applyBorder="0"/>
    <xf numFmtId="176" fontId="29" fillId="15" borderId="501" applyBorder="0">
      <alignment horizontal="right"/>
    </xf>
    <xf numFmtId="176" fontId="29" fillId="0" borderId="501" applyBorder="0">
      <alignment horizontal="right"/>
    </xf>
    <xf numFmtId="3" fontId="115" fillId="24" borderId="502" applyBorder="0">
      <protection locked="0"/>
    </xf>
    <xf numFmtId="37" fontId="89" fillId="0" borderId="501" applyNumberFormat="0" applyFont="0" applyFill="0" applyAlignment="0" applyProtection="0"/>
    <xf numFmtId="0" fontId="140" fillId="0" borderId="501" applyNumberFormat="0" applyBorder="0"/>
    <xf numFmtId="195" fontId="18" fillId="29" borderId="501" applyNumberFormat="0" applyFont="0" applyBorder="0" applyAlignment="0" applyProtection="0">
      <alignment horizontal="right"/>
    </xf>
    <xf numFmtId="195" fontId="18" fillId="29" borderId="501"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176" fontId="29" fillId="0" borderId="514" applyBorder="0">
      <alignment horizontal="right"/>
    </xf>
    <xf numFmtId="0" fontId="249" fillId="0" borderId="522" applyNumberFormat="0" applyFill="0" applyAlignment="0" applyProtection="0"/>
    <xf numFmtId="0" fontId="244" fillId="4" borderId="518" applyNumberFormat="0" applyAlignment="0" applyProtection="0"/>
    <xf numFmtId="0" fontId="237" fillId="28" borderId="518" applyNumberFormat="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99" fillId="0" borderId="503" applyNumberFormat="0" applyFill="0" applyAlignment="0" applyProtection="0"/>
    <xf numFmtId="0" fontId="81" fillId="0" borderId="485" applyNumberFormat="0" applyFill="0" applyProtection="0">
      <alignment horizontal="right"/>
    </xf>
    <xf numFmtId="0" fontId="99" fillId="0" borderId="513" applyNumberFormat="0" applyFill="0" applyAlignment="0" applyProtection="0"/>
    <xf numFmtId="195" fontId="18" fillId="29" borderId="511" applyNumberFormat="0" applyFont="0" applyBorder="0" applyAlignment="0" applyProtection="0">
      <alignment horizontal="right"/>
    </xf>
    <xf numFmtId="37" fontId="89" fillId="0" borderId="511" applyNumberFormat="0" applyFont="0" applyFill="0" applyAlignment="0" applyProtection="0"/>
    <xf numFmtId="8" fontId="138" fillId="0" borderId="507">
      <protection locked="0"/>
    </xf>
    <xf numFmtId="0" fontId="18" fillId="0" borderId="505" applyNumberFormat="0" applyFill="0" applyAlignment="0" applyProtection="0"/>
    <xf numFmtId="193" fontId="66" fillId="23" borderId="473" applyFont="0">
      <alignment horizontal="right"/>
    </xf>
    <xf numFmtId="0" fontId="18" fillId="0" borderId="465" applyNumberFormat="0" applyFill="0" applyAlignment="0" applyProtection="0"/>
    <xf numFmtId="9" fontId="96" fillId="25" borderId="504" applyNumberFormat="0" applyFont="0" applyAlignment="0" applyProtection="0"/>
    <xf numFmtId="4" fontId="137" fillId="0" borderId="504" applyFont="0" applyFill="0" applyBorder="0" applyAlignment="0" applyProtection="0"/>
    <xf numFmtId="0" fontId="29" fillId="0" borderId="473" applyFont="0" applyFill="0" applyBorder="0" applyAlignment="0" applyProtection="0">
      <alignment horizontal="center"/>
    </xf>
    <xf numFmtId="259" fontId="37" fillId="25" borderId="504" applyNumberFormat="0" applyFont="0" applyAlignment="0"/>
    <xf numFmtId="0" fontId="51" fillId="0" borderId="473">
      <alignment horizontal="left" vertical="center"/>
    </xf>
    <xf numFmtId="0" fontId="244" fillId="4" borderId="466" applyNumberFormat="0" applyAlignment="0" applyProtection="0"/>
    <xf numFmtId="10" fontId="18" fillId="25" borderId="504" applyNumberFormat="0" applyBorder="0" applyAlignment="0" applyProtection="0"/>
    <xf numFmtId="169" fontId="137" fillId="0" borderId="504" applyNumberFormat="0" applyFill="0" applyAlignment="0" applyProtection="0"/>
    <xf numFmtId="195" fontId="18" fillId="29" borderId="511" applyNumberFormat="0" applyFont="0" applyBorder="0" applyAlignment="0" applyProtection="0">
      <alignment horizontal="right"/>
    </xf>
    <xf numFmtId="3" fontId="115" fillId="24" borderId="512" applyBorder="0">
      <protection locked="0"/>
    </xf>
    <xf numFmtId="0" fontId="244" fillId="4" borderId="506" applyNumberFormat="0" applyAlignment="0" applyProtection="0"/>
    <xf numFmtId="193" fontId="66" fillId="23" borderId="473" applyFont="0">
      <alignment horizontal="right"/>
    </xf>
    <xf numFmtId="0" fontId="18" fillId="0" borderId="465" applyNumberFormat="0" applyFill="0" applyAlignment="0" applyProtection="0"/>
    <xf numFmtId="10" fontId="18" fillId="25" borderId="504" applyNumberFormat="0" applyBorder="0" applyAlignment="0" applyProtection="0"/>
    <xf numFmtId="0" fontId="247" fillId="28" borderId="499" applyNumberFormat="0" applyAlignment="0" applyProtection="0"/>
    <xf numFmtId="177" fontId="114" fillId="0" borderId="501" applyBorder="0"/>
    <xf numFmtId="176" fontId="29" fillId="15" borderId="501" applyBorder="0">
      <alignment horizontal="right"/>
    </xf>
    <xf numFmtId="176" fontId="29" fillId="0" borderId="501" applyBorder="0">
      <alignment horizontal="right"/>
    </xf>
    <xf numFmtId="3" fontId="115" fillId="24" borderId="502" applyBorder="0">
      <protection locked="0"/>
    </xf>
    <xf numFmtId="37" fontId="89" fillId="0" borderId="501" applyNumberFormat="0" applyFont="0" applyFill="0" applyAlignment="0" applyProtection="0"/>
    <xf numFmtId="0" fontId="140" fillId="0" borderId="501" applyNumberFormat="0" applyBorder="0"/>
    <xf numFmtId="195" fontId="18" fillId="29" borderId="501" applyNumberFormat="0" applyFont="0" applyBorder="0" applyAlignment="0" applyProtection="0">
      <alignment horizontal="right"/>
    </xf>
    <xf numFmtId="195" fontId="18" fillId="29" borderId="501"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511" applyNumberFormat="0" applyBorder="0"/>
    <xf numFmtId="176" fontId="29" fillId="0" borderId="511" applyBorder="0">
      <alignment horizontal="right"/>
    </xf>
    <xf numFmtId="176" fontId="29" fillId="15" borderId="511" applyBorder="0">
      <alignment horizontal="right"/>
    </xf>
    <xf numFmtId="177" fontId="114" fillId="0" borderId="511" applyBorder="0"/>
    <xf numFmtId="0" fontId="18" fillId="2" borderId="508" applyNumberFormat="0" applyFont="0" applyAlignment="0" applyProtection="0"/>
    <xf numFmtId="0" fontId="244" fillId="4" borderId="506" applyNumberFormat="0" applyAlignment="0" applyProtection="0"/>
    <xf numFmtId="0" fontId="18" fillId="0" borderId="505" applyNumberFormat="0" applyFill="0" applyAlignment="0" applyProtection="0"/>
    <xf numFmtId="0" fontId="247" fillId="28" borderId="509" applyNumberFormat="0" applyAlignment="0" applyProtection="0"/>
    <xf numFmtId="0" fontId="249" fillId="0" borderId="510" applyNumberFormat="0" applyFill="0" applyAlignment="0" applyProtection="0"/>
    <xf numFmtId="0" fontId="18" fillId="0" borderId="505" applyNumberFormat="0" applyFill="0" applyAlignment="0" applyProtection="0"/>
    <xf numFmtId="0" fontId="244" fillId="4" borderId="506" applyNumberFormat="0" applyAlignment="0" applyProtection="0"/>
    <xf numFmtId="0" fontId="244" fillId="4" borderId="506" applyNumberFormat="0" applyAlignment="0" applyProtection="0"/>
    <xf numFmtId="0" fontId="237" fillId="28" borderId="506" applyNumberFormat="0" applyAlignment="0" applyProtection="0"/>
    <xf numFmtId="0" fontId="18" fillId="2" borderId="508" applyNumberFormat="0" applyFont="0" applyAlignment="0" applyProtection="0"/>
    <xf numFmtId="0" fontId="18" fillId="0" borderId="505" applyNumberFormat="0" applyFill="0" applyAlignment="0" applyProtection="0"/>
    <xf numFmtId="0" fontId="99" fillId="0" borderId="50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193" fontId="66" fillId="23" borderId="473" applyFont="0">
      <alignment horizontal="right"/>
    </xf>
    <xf numFmtId="3" fontId="115" fillId="24" borderId="515" applyBorder="0">
      <protection locked="0"/>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9" fillId="0" borderId="473" applyFont="0" applyFill="0" applyBorder="0" applyAlignment="0" applyProtection="0">
      <alignment horizontal="center"/>
    </xf>
    <xf numFmtId="0" fontId="51" fillId="0" borderId="473">
      <alignment horizontal="left" vertical="center"/>
    </xf>
    <xf numFmtId="0" fontId="244" fillId="4" borderId="466" applyNumberFormat="0" applyAlignment="0" applyProtection="0"/>
    <xf numFmtId="193" fontId="66" fillId="23" borderId="473" applyFont="0">
      <alignment horizontal="right"/>
    </xf>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498" applyNumberFormat="0" applyFont="0" applyAlignment="0" applyProtection="0"/>
    <xf numFmtId="0" fontId="244" fillId="4" borderId="496" applyNumberFormat="0" applyAlignment="0" applyProtection="0"/>
    <xf numFmtId="8" fontId="138" fillId="0" borderId="497">
      <protection locked="0"/>
    </xf>
    <xf numFmtId="0" fontId="237" fillId="28" borderId="496" applyNumberFormat="0" applyAlignment="0" applyProtection="0"/>
    <xf numFmtId="0" fontId="244" fillId="4" borderId="496" applyNumberFormat="0" applyAlignment="0" applyProtection="0"/>
    <xf numFmtId="0" fontId="244" fillId="4" borderId="496" applyNumberFormat="0" applyAlignment="0" applyProtection="0"/>
    <xf numFmtId="0" fontId="18" fillId="0" borderId="495" applyNumberFormat="0" applyFill="0" applyAlignment="0" applyProtection="0"/>
    <xf numFmtId="0" fontId="249" fillId="0" borderId="500" applyNumberFormat="0" applyFill="0" applyAlignment="0" applyProtection="0"/>
    <xf numFmtId="0" fontId="247" fillId="28" borderId="499" applyNumberFormat="0" applyAlignment="0" applyProtection="0"/>
    <xf numFmtId="0" fontId="18" fillId="0" borderId="495" applyNumberFormat="0" applyFill="0" applyAlignment="0" applyProtection="0"/>
    <xf numFmtId="0" fontId="244" fillId="4" borderId="496" applyNumberFormat="0" applyAlignment="0" applyProtection="0"/>
    <xf numFmtId="0" fontId="18" fillId="2" borderId="498" applyNumberFormat="0" applyFont="0" applyAlignment="0" applyProtection="0"/>
    <xf numFmtId="177" fontId="114" fillId="0" borderId="485" applyBorder="0"/>
    <xf numFmtId="176" fontId="29" fillId="15" borderId="485" applyBorder="0">
      <alignment horizontal="right"/>
    </xf>
    <xf numFmtId="176" fontId="29" fillId="0" borderId="485" applyBorder="0">
      <alignment horizontal="right"/>
    </xf>
    <xf numFmtId="3" fontId="115" fillId="24" borderId="486" applyBorder="0">
      <protection locked="0"/>
    </xf>
    <xf numFmtId="37" fontId="89" fillId="0" borderId="485" applyNumberFormat="0" applyFont="0" applyFill="0" applyAlignment="0" applyProtection="0"/>
    <xf numFmtId="0" fontId="140" fillId="0" borderId="485" applyNumberFormat="0" applyBorder="0"/>
    <xf numFmtId="195" fontId="18" fillId="29" borderId="485" applyNumberFormat="0" applyFont="0" applyBorder="0" applyAlignment="0" applyProtection="0">
      <alignment horizontal="right"/>
    </xf>
    <xf numFmtId="195" fontId="18" fillId="29" borderId="485"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485" applyNumberFormat="0" applyFont="0" applyBorder="0" applyAlignment="0" applyProtection="0">
      <alignment horizontal="right"/>
    </xf>
    <xf numFmtId="37" fontId="89" fillId="0" borderId="485" applyNumberFormat="0" applyFont="0" applyFill="0" applyAlignment="0" applyProtection="0"/>
    <xf numFmtId="8" fontId="138" fillId="0" borderId="497">
      <protection locked="0"/>
    </xf>
    <xf numFmtId="10" fontId="18" fillId="25" borderId="488" applyNumberFormat="0" applyBorder="0" applyAlignment="0" applyProtection="0"/>
    <xf numFmtId="169" fontId="137" fillId="0" borderId="488" applyNumberFormat="0" applyFill="0" applyAlignment="0" applyProtection="0"/>
    <xf numFmtId="0" fontId="244" fillId="4" borderId="496" applyNumberFormat="0" applyAlignment="0" applyProtection="0"/>
    <xf numFmtId="259" fontId="37" fillId="25" borderId="488" applyNumberFormat="0" applyFont="0" applyAlignment="0"/>
    <xf numFmtId="0" fontId="18" fillId="0" borderId="495" applyNumberFormat="0" applyFill="0" applyAlignment="0" applyProtection="0"/>
    <xf numFmtId="193" fontId="66" fillId="23" borderId="494" applyFont="0">
      <alignment horizontal="right"/>
    </xf>
    <xf numFmtId="193" fontId="66" fillId="23" borderId="494" applyFont="0">
      <alignment horizontal="right"/>
    </xf>
    <xf numFmtId="0" fontId="18" fillId="0" borderId="495"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496"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485" applyNumberFormat="0" applyFont="0" applyBorder="0" applyAlignment="0" applyProtection="0">
      <alignment horizontal="right"/>
    </xf>
    <xf numFmtId="3" fontId="115" fillId="24" borderId="486" applyBorder="0">
      <protection locked="0"/>
    </xf>
    <xf numFmtId="0" fontId="244" fillId="4" borderId="496" applyNumberFormat="0" applyAlignment="0" applyProtection="0"/>
    <xf numFmtId="10" fontId="18" fillId="25" borderId="488" applyNumberFormat="0" applyBorder="0" applyAlignment="0" applyProtection="0"/>
    <xf numFmtId="0" fontId="51" fillId="0" borderId="494">
      <alignment horizontal="left" vertical="center"/>
    </xf>
    <xf numFmtId="0" fontId="29" fillId="0" borderId="494" applyFont="0" applyFill="0" applyBorder="0" applyAlignment="0" applyProtection="0">
      <alignment horizontal="center"/>
    </xf>
    <xf numFmtId="4" fontId="137" fillId="0" borderId="488" applyFont="0" applyFill="0" applyBorder="0" applyAlignment="0" applyProtection="0"/>
    <xf numFmtId="9" fontId="96" fillId="25" borderId="488" applyNumberFormat="0" applyFont="0" applyAlignment="0" applyProtection="0"/>
    <xf numFmtId="193" fontId="66" fillId="23" borderId="494" applyFont="0">
      <alignment horizontal="right"/>
    </xf>
    <xf numFmtId="0" fontId="18" fillId="0" borderId="495" applyNumberFormat="0" applyFill="0" applyAlignment="0" applyProtection="0"/>
    <xf numFmtId="10" fontId="18" fillId="25" borderId="517" applyNumberFormat="0" applyBorder="0" applyAlignment="0" applyProtection="0"/>
    <xf numFmtId="0" fontId="18" fillId="2" borderId="498" applyNumberFormat="0" applyFont="0" applyAlignment="0" applyProtection="0"/>
    <xf numFmtId="0" fontId="244" fillId="4" borderId="496" applyNumberFormat="0" applyAlignment="0" applyProtection="0"/>
    <xf numFmtId="8" fontId="138" fillId="0" borderId="497">
      <protection locked="0"/>
    </xf>
    <xf numFmtId="0" fontId="237" fillId="28" borderId="496" applyNumberFormat="0" applyAlignment="0" applyProtection="0"/>
    <xf numFmtId="0" fontId="244" fillId="4" borderId="496" applyNumberFormat="0" applyAlignment="0" applyProtection="0"/>
    <xf numFmtId="0" fontId="244" fillId="4" borderId="496" applyNumberFormat="0" applyAlignment="0" applyProtection="0"/>
    <xf numFmtId="0" fontId="18" fillId="0" borderId="495" applyNumberFormat="0" applyFill="0" applyAlignment="0" applyProtection="0"/>
    <xf numFmtId="0" fontId="249" fillId="0" borderId="500" applyNumberFormat="0" applyFill="0" applyAlignment="0" applyProtection="0"/>
    <xf numFmtId="0" fontId="247" fillId="28" borderId="499" applyNumberFormat="0" applyAlignment="0" applyProtection="0"/>
    <xf numFmtId="0" fontId="18" fillId="0" borderId="495" applyNumberFormat="0" applyFill="0" applyAlignment="0" applyProtection="0"/>
    <xf numFmtId="0" fontId="244" fillId="4" borderId="496" applyNumberFormat="0" applyAlignment="0" applyProtection="0"/>
    <xf numFmtId="0" fontId="18" fillId="2" borderId="498" applyNumberFormat="0" applyFont="0" applyAlignment="0" applyProtection="0"/>
    <xf numFmtId="177" fontId="114" fillId="0" borderId="485" applyBorder="0"/>
    <xf numFmtId="176" fontId="29" fillId="15" borderId="485" applyBorder="0">
      <alignment horizontal="right"/>
    </xf>
    <xf numFmtId="176" fontId="29" fillId="0" borderId="485" applyBorder="0">
      <alignment horizontal="right"/>
    </xf>
    <xf numFmtId="3" fontId="115" fillId="24" borderId="486" applyBorder="0">
      <protection locked="0"/>
    </xf>
    <xf numFmtId="37" fontId="89" fillId="0" borderId="485" applyNumberFormat="0" applyFont="0" applyFill="0" applyAlignment="0" applyProtection="0"/>
    <xf numFmtId="0" fontId="140" fillId="0" borderId="485" applyNumberFormat="0" applyBorder="0"/>
    <xf numFmtId="195" fontId="18" fillId="29" borderId="485" applyNumberFormat="0" applyFont="0" applyBorder="0" applyAlignment="0" applyProtection="0">
      <alignment horizontal="right"/>
    </xf>
    <xf numFmtId="195" fontId="18" fillId="29" borderId="485"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485" applyNumberFormat="0" applyBorder="0"/>
    <xf numFmtId="176" fontId="29" fillId="0" borderId="485" applyBorder="0">
      <alignment horizontal="right"/>
    </xf>
    <xf numFmtId="176" fontId="29" fillId="15" borderId="485" applyBorder="0">
      <alignment horizontal="right"/>
    </xf>
    <xf numFmtId="177" fontId="114" fillId="0" borderId="485" applyBorder="0"/>
    <xf numFmtId="0" fontId="18" fillId="2" borderId="498" applyNumberFormat="0" applyFont="0" applyAlignment="0" applyProtection="0"/>
    <xf numFmtId="0" fontId="244" fillId="4" borderId="496" applyNumberFormat="0" applyAlignment="0" applyProtection="0"/>
    <xf numFmtId="0" fontId="18" fillId="0" borderId="495" applyNumberFormat="0" applyFill="0" applyAlignment="0" applyProtection="0"/>
    <xf numFmtId="0" fontId="247" fillId="28" borderId="499" applyNumberFormat="0" applyAlignment="0" applyProtection="0"/>
    <xf numFmtId="0" fontId="249" fillId="0" borderId="500" applyNumberFormat="0" applyFill="0" applyAlignment="0" applyProtection="0"/>
    <xf numFmtId="0" fontId="18" fillId="0" borderId="495" applyNumberFormat="0" applyFill="0" applyAlignment="0" applyProtection="0"/>
    <xf numFmtId="0" fontId="244" fillId="4" borderId="496" applyNumberFormat="0" applyAlignment="0" applyProtection="0"/>
    <xf numFmtId="0" fontId="244" fillId="4" borderId="496" applyNumberFormat="0" applyAlignment="0" applyProtection="0"/>
    <xf numFmtId="0" fontId="237" fillId="28" borderId="496" applyNumberFormat="0" applyAlignment="0" applyProtection="0"/>
    <xf numFmtId="0" fontId="18" fillId="2" borderId="498" applyNumberFormat="0" applyFont="0" applyAlignment="0" applyProtection="0"/>
    <xf numFmtId="0" fontId="18" fillId="0" borderId="495" applyNumberFormat="0" applyFill="0" applyAlignment="0" applyProtection="0"/>
    <xf numFmtId="193" fontId="66" fillId="23" borderId="494" applyFont="0">
      <alignment horizontal="right"/>
    </xf>
    <xf numFmtId="0" fontId="99" fillId="0" borderId="513" applyNumberFormat="0" applyFill="0" applyAlignment="0" applyProtection="0"/>
    <xf numFmtId="39" fontId="33" fillId="0" borderId="494" applyNumberFormat="0" applyBorder="0">
      <alignment horizontal="right"/>
    </xf>
    <xf numFmtId="1" fontId="85" fillId="0" borderId="494"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04" applyNumberFormat="0" applyBorder="0" applyAlignment="0" applyProtection="0"/>
    <xf numFmtId="169" fontId="137" fillId="0" borderId="504" applyNumberFormat="0" applyFill="0" applyAlignment="0" applyProtection="0"/>
    <xf numFmtId="0" fontId="244" fillId="4" borderId="518" applyNumberFormat="0" applyAlignment="0" applyProtection="0"/>
    <xf numFmtId="259" fontId="37" fillId="25" borderId="504"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04" applyNumberFormat="0" applyFont="0" applyAlignment="0" applyProtection="0"/>
    <xf numFmtId="4" fontId="137" fillId="0" borderId="504" applyFont="0" applyFill="0" applyBorder="0" applyAlignment="0" applyProtection="0"/>
    <xf numFmtId="259" fontId="37" fillId="25" borderId="504" applyNumberFormat="0" applyFont="0" applyAlignment="0"/>
    <xf numFmtId="10" fontId="18" fillId="25" borderId="504" applyNumberFormat="0" applyBorder="0" applyAlignment="0" applyProtection="0"/>
    <xf numFmtId="169" fontId="137" fillId="0" borderId="504"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04" applyNumberFormat="0" applyBorder="0" applyAlignment="0" applyProtection="0"/>
    <xf numFmtId="4" fontId="137" fillId="0" borderId="504" applyFont="0" applyFill="0" applyBorder="0" applyAlignment="0" applyProtection="0"/>
    <xf numFmtId="9" fontId="96" fillId="25" borderId="504" applyNumberFormat="0" applyFont="0" applyAlignment="0" applyProtection="0"/>
    <xf numFmtId="0" fontId="18" fillId="0" borderId="516" applyNumberFormat="0" applyFill="0" applyAlignment="0" applyProtection="0"/>
    <xf numFmtId="10" fontId="18" fillId="25" borderId="504"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39" fontId="33" fillId="0" borderId="473" applyNumberFormat="0" applyBorder="0">
      <alignment horizontal="right"/>
    </xf>
    <xf numFmtId="1" fontId="85" fillId="0" borderId="473"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464" applyNumberFormat="0" applyBorder="0" applyAlignment="0" applyProtection="0"/>
    <xf numFmtId="169" fontId="137" fillId="0" borderId="464" applyNumberFormat="0" applyFill="0" applyAlignment="0" applyProtection="0"/>
    <xf numFmtId="0" fontId="244" fillId="4" borderId="518" applyNumberFormat="0" applyAlignment="0" applyProtection="0"/>
    <xf numFmtId="259" fontId="37" fillId="25" borderId="464" applyNumberFormat="0" applyFont="0" applyAlignment="0"/>
    <xf numFmtId="0" fontId="18" fillId="0" borderId="516" applyNumberFormat="0" applyFill="0" applyAlignment="0" applyProtection="0"/>
    <xf numFmtId="193" fontId="66" fillId="23" borderId="473" applyFont="0">
      <alignment horizontal="right"/>
    </xf>
    <xf numFmtId="193" fontId="66" fillId="23" borderId="473" applyFont="0">
      <alignment horizontal="right"/>
    </xf>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473" applyFont="0" applyFill="0" applyBorder="0" applyAlignment="0" applyProtection="0">
      <alignment horizontal="center"/>
    </xf>
    <xf numFmtId="259" fontId="37" fillId="25" borderId="517" applyNumberFormat="0" applyFont="0" applyAlignment="0"/>
    <xf numFmtId="0" fontId="51" fillId="0" borderId="473">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464" applyNumberFormat="0" applyBorder="0" applyAlignment="0" applyProtection="0"/>
    <xf numFmtId="0" fontId="51" fillId="0" borderId="473">
      <alignment horizontal="left" vertical="center"/>
    </xf>
    <xf numFmtId="0" fontId="29" fillId="0" borderId="473" applyFont="0" applyFill="0" applyBorder="0" applyAlignment="0" applyProtection="0">
      <alignment horizontal="center"/>
    </xf>
    <xf numFmtId="4" fontId="137" fillId="0" borderId="464" applyFont="0" applyFill="0" applyBorder="0" applyAlignment="0" applyProtection="0"/>
    <xf numFmtId="9" fontId="96" fillId="25" borderId="464" applyNumberFormat="0" applyFont="0" applyAlignment="0" applyProtection="0"/>
    <xf numFmtId="193" fontId="66" fillId="23" borderId="473" applyFont="0">
      <alignment horizontal="right"/>
    </xf>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193" fontId="66" fillId="23" borderId="473" applyFont="0">
      <alignment horizontal="right"/>
    </xf>
    <xf numFmtId="0" fontId="99" fillId="0" borderId="513" applyNumberFormat="0" applyFill="0" applyAlignment="0" applyProtection="0"/>
    <xf numFmtId="39" fontId="33" fillId="0" borderId="473" applyNumberFormat="0" applyBorder="0">
      <alignment horizontal="right"/>
    </xf>
    <xf numFmtId="1" fontId="85" fillId="0" borderId="473" applyFill="0" applyProtection="0">
      <alignment horizontal="right"/>
    </xf>
    <xf numFmtId="39" fontId="33" fillId="0" borderId="473" applyNumberFormat="0" applyBorder="0">
      <alignment horizontal="right"/>
    </xf>
    <xf numFmtId="1" fontId="85" fillId="0" borderId="473"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0" fontId="8" fillId="0" borderId="0"/>
    <xf numFmtId="0" fontId="81" fillId="0" borderId="514" applyNumberFormat="0" applyFill="0" applyProtection="0">
      <alignment horizontal="right"/>
    </xf>
    <xf numFmtId="0" fontId="81" fillId="0" borderId="514" applyNumberFormat="0" applyFill="0" applyProtection="0">
      <alignment horizontal="right"/>
    </xf>
    <xf numFmtId="0" fontId="140" fillId="0" borderId="514" applyNumberFormat="0" applyBorder="0"/>
    <xf numFmtId="0" fontId="99" fillId="0" borderId="513" applyNumberFormat="0" applyFill="0" applyAlignment="0" applyProtection="0"/>
    <xf numFmtId="37" fontId="89" fillId="0" borderId="514" applyNumberFormat="0" applyFon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195" fontId="18" fillId="29" borderId="514" applyNumberFormat="0" applyFont="0" applyBorder="0" applyAlignment="0" applyProtection="0">
      <alignment horizontal="right"/>
    </xf>
    <xf numFmtId="193" fontId="66" fillId="23" borderId="494" applyFont="0">
      <alignment horizontal="right"/>
    </xf>
    <xf numFmtId="0" fontId="99" fillId="0" borderId="513" applyNumberFormat="0" applyFill="0" applyAlignment="0" applyProtection="0"/>
    <xf numFmtId="4" fontId="137" fillId="0" borderId="517" applyFont="0" applyFill="0" applyBorder="0" applyAlignment="0" applyProtection="0"/>
    <xf numFmtId="10" fontId="18" fillId="25" borderId="517" applyNumberFormat="0" applyBorder="0" applyAlignment="0" applyProtection="0"/>
    <xf numFmtId="0" fontId="99" fillId="0" borderId="513" applyNumberFormat="0" applyFill="0" applyAlignment="0" applyProtection="0"/>
    <xf numFmtId="3" fontId="115" fillId="24" borderId="515" applyBorder="0">
      <protection locked="0"/>
    </xf>
    <xf numFmtId="259" fontId="37" fillId="25" borderId="517" applyNumberFormat="0" applyFont="0" applyAlignment="0"/>
    <xf numFmtId="0" fontId="51" fillId="0" borderId="494">
      <alignment horizontal="left" vertical="center"/>
    </xf>
    <xf numFmtId="193" fontId="66" fillId="23" borderId="523" applyFont="0">
      <alignment horizontal="right"/>
    </xf>
    <xf numFmtId="0" fontId="18" fillId="0" borderId="524" applyNumberFormat="0" applyFill="0" applyAlignment="0" applyProtection="0"/>
    <xf numFmtId="0" fontId="237" fillId="28" borderId="525" applyNumberFormat="0" applyAlignment="0" applyProtection="0"/>
    <xf numFmtId="8" fontId="138" fillId="0" borderId="526">
      <protection locked="0"/>
    </xf>
    <xf numFmtId="0" fontId="29" fillId="0" borderId="523" applyFont="0" applyFill="0" applyBorder="0" applyAlignment="0" applyProtection="0">
      <alignment horizontal="center"/>
    </xf>
    <xf numFmtId="0" fontId="51" fillId="0" borderId="523">
      <alignment horizontal="left" vertical="center"/>
    </xf>
    <xf numFmtId="0" fontId="244" fillId="4" borderId="525" applyNumberFormat="0" applyAlignment="0" applyProtection="0"/>
    <xf numFmtId="0" fontId="18" fillId="2" borderId="527" applyNumberFormat="0" applyFont="0" applyAlignment="0" applyProtection="0"/>
    <xf numFmtId="0" fontId="247" fillId="28" borderId="528" applyNumberFormat="0" applyAlignment="0" applyProtection="0"/>
    <xf numFmtId="259" fontId="37" fillId="25" borderId="517" applyNumberFormat="0" applyFont="0" applyAlignment="0"/>
    <xf numFmtId="10" fontId="18" fillId="25" borderId="517" applyNumberFormat="0" applyBorder="0" applyAlignment="0" applyProtection="0"/>
    <xf numFmtId="0" fontId="18" fillId="0" borderId="516" applyNumberFormat="0" applyFill="0" applyAlignment="0" applyProtection="0"/>
    <xf numFmtId="3" fontId="115" fillId="24" borderId="515" applyBorder="0">
      <protection locked="0"/>
    </xf>
    <xf numFmtId="0" fontId="249" fillId="0" borderId="529" applyNumberFormat="0" applyFill="0" applyAlignment="0" applyProtection="0"/>
    <xf numFmtId="8" fontId="138" fillId="0" borderId="519">
      <protection locked="0"/>
    </xf>
    <xf numFmtId="0" fontId="99" fillId="0" borderId="513" applyNumberFormat="0" applyFill="0" applyAlignment="0" applyProtection="0"/>
    <xf numFmtId="3" fontId="115" fillId="24" borderId="515" applyBorder="0">
      <protection locked="0"/>
    </xf>
    <xf numFmtId="10" fontId="18" fillId="25" borderId="517" applyNumberFormat="0" applyBorder="0" applyAlignment="0" applyProtection="0"/>
    <xf numFmtId="0" fontId="140" fillId="0" borderId="514" applyNumberFormat="0" applyBorder="0"/>
    <xf numFmtId="195" fontId="18" fillId="29" borderId="514" applyNumberFormat="0" applyFont="0" applyBorder="0" applyAlignment="0" applyProtection="0">
      <alignment horizontal="right"/>
    </xf>
    <xf numFmtId="0" fontId="99" fillId="0" borderId="513" applyNumberFormat="0" applyFill="0" applyAlignment="0" applyProtection="0"/>
    <xf numFmtId="9" fontId="96" fillId="25" borderId="517" applyNumberFormat="0" applyFont="0" applyAlignment="0" applyProtection="0"/>
    <xf numFmtId="177" fontId="114" fillId="0" borderId="514" applyBorder="0"/>
    <xf numFmtId="195" fontId="18" fillId="29" borderId="514" applyNumberFormat="0" applyFont="0" applyBorder="0" applyAlignment="0" applyProtection="0">
      <alignment horizontal="right"/>
    </xf>
    <xf numFmtId="4" fontId="137" fillId="0" borderId="517" applyFont="0" applyFill="0" applyBorder="0" applyAlignment="0" applyProtection="0"/>
    <xf numFmtId="10" fontId="18" fillId="25" borderId="517" applyNumberFormat="0" applyBorder="0" applyAlignment="0" applyProtection="0"/>
    <xf numFmtId="176" fontId="29" fillId="0" borderId="514" applyBorder="0">
      <alignment horizontal="right"/>
    </xf>
    <xf numFmtId="0" fontId="244" fillId="4" borderId="518" applyNumberFormat="0" applyAlignment="0" applyProtection="0"/>
    <xf numFmtId="0" fontId="29" fillId="0" borderId="494" applyFont="0" applyFill="0" applyBorder="0" applyAlignment="0" applyProtection="0">
      <alignment horizontal="center"/>
    </xf>
    <xf numFmtId="193" fontId="66" fillId="23" borderId="523" applyFont="0">
      <alignment horizontal="right"/>
    </xf>
    <xf numFmtId="0" fontId="18" fillId="0" borderId="524" applyNumberFormat="0" applyFill="0" applyAlignment="0" applyProtection="0"/>
    <xf numFmtId="169" fontId="137" fillId="0" borderId="517" applyNumberFormat="0" applyFill="0" applyAlignment="0" applyProtection="0"/>
    <xf numFmtId="0" fontId="18" fillId="2" borderId="527" applyNumberFormat="0" applyFont="0" applyAlignment="0" applyProtection="0"/>
    <xf numFmtId="0" fontId="18" fillId="2" borderId="527" applyNumberFormat="0" applyFont="0" applyAlignment="0" applyProtection="0"/>
    <xf numFmtId="0" fontId="249" fillId="0" borderId="529" applyNumberFormat="0" applyFill="0" applyAlignment="0" applyProtection="0"/>
    <xf numFmtId="0" fontId="247" fillId="28" borderId="528" applyNumberFormat="0" applyAlignment="0" applyProtection="0"/>
    <xf numFmtId="0" fontId="18" fillId="2" borderId="527" applyNumberFormat="0" applyFont="0" applyAlignment="0" applyProtection="0"/>
    <xf numFmtId="177" fontId="114" fillId="0" borderId="530" applyBorder="0"/>
    <xf numFmtId="176" fontId="29" fillId="15" borderId="530" applyBorder="0">
      <alignment horizontal="right"/>
    </xf>
    <xf numFmtId="176" fontId="29" fillId="0" borderId="530" applyBorder="0">
      <alignment horizontal="right"/>
    </xf>
    <xf numFmtId="3" fontId="115" fillId="24" borderId="531" applyBorder="0">
      <protection locked="0"/>
    </xf>
    <xf numFmtId="37" fontId="89" fillId="0" borderId="530" applyNumberFormat="0" applyFont="0" applyFill="0" applyAlignment="0" applyProtection="0"/>
    <xf numFmtId="0" fontId="140" fillId="0" borderId="530" applyNumberFormat="0" applyBorder="0"/>
    <xf numFmtId="195" fontId="18" fillId="29" borderId="530" applyNumberFormat="0" applyFont="0" applyBorder="0" applyAlignment="0" applyProtection="0">
      <alignment horizontal="right"/>
    </xf>
    <xf numFmtId="195" fontId="18" fillId="29" borderId="530"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8" fillId="0" borderId="516" applyNumberFormat="0" applyFill="0" applyAlignment="0" applyProtection="0"/>
    <xf numFmtId="176" fontId="29" fillId="0" borderId="514" applyBorder="0">
      <alignment horizontal="right"/>
    </xf>
    <xf numFmtId="195" fontId="18" fillId="29" borderId="514" applyNumberFormat="0" applyFont="0" applyBorder="0" applyAlignment="0" applyProtection="0">
      <alignment horizontal="right"/>
    </xf>
    <xf numFmtId="177" fontId="114" fillId="0" borderId="514" applyBorder="0"/>
    <xf numFmtId="176" fontId="29" fillId="15" borderId="514" applyBorder="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81" fillId="0" borderId="511" applyNumberFormat="0" applyFill="0" applyProtection="0">
      <alignment horizontal="right"/>
    </xf>
    <xf numFmtId="0" fontId="99" fillId="0" borderId="513" applyNumberFormat="0" applyFill="0" applyAlignment="0" applyProtection="0"/>
    <xf numFmtId="9" fontId="96" fillId="25" borderId="517" applyNumberFormat="0" applyFont="0" applyAlignment="0" applyProtection="0"/>
    <xf numFmtId="169" fontId="137" fillId="0" borderId="517" applyNumberFormat="0" applyFill="0" applyAlignment="0" applyProtection="0"/>
    <xf numFmtId="0" fontId="99" fillId="0" borderId="513"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489"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0" fontId="18" fillId="2" borderId="527" applyNumberFormat="0" applyFont="0" applyAlignment="0" applyProtection="0"/>
    <xf numFmtId="0" fontId="249" fillId="0" borderId="529" applyNumberFormat="0" applyFill="0" applyAlignment="0" applyProtection="0"/>
    <xf numFmtId="0" fontId="247" fillId="28" borderId="528" applyNumberFormat="0" applyAlignment="0" applyProtection="0"/>
    <xf numFmtId="0" fontId="18" fillId="2" borderId="527" applyNumberFormat="0" applyFont="0" applyAlignment="0" applyProtection="0"/>
    <xf numFmtId="177" fontId="114" fillId="0" borderId="530" applyBorder="0"/>
    <xf numFmtId="176" fontId="29" fillId="15" borderId="530" applyBorder="0">
      <alignment horizontal="right"/>
    </xf>
    <xf numFmtId="176" fontId="29" fillId="0" borderId="530" applyBorder="0">
      <alignment horizontal="right"/>
    </xf>
    <xf numFmtId="3" fontId="115" fillId="24" borderId="531" applyBorder="0">
      <protection locked="0"/>
    </xf>
    <xf numFmtId="37" fontId="89" fillId="0" borderId="530" applyNumberFormat="0" applyFont="0" applyFill="0" applyAlignment="0" applyProtection="0"/>
    <xf numFmtId="0" fontId="140" fillId="0" borderId="530" applyNumberFormat="0" applyBorder="0"/>
    <xf numFmtId="195" fontId="18" fillId="29" borderId="530" applyNumberFormat="0" applyFont="0" applyBorder="0" applyAlignment="0" applyProtection="0">
      <alignment horizontal="right"/>
    </xf>
    <xf numFmtId="195" fontId="18" fillId="29" borderId="530"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37" fontId="89" fillId="0" borderId="514" applyNumberFormat="0" applyFon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489"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7" applyNumberFormat="0" applyFont="0" applyAlignment="0" applyProtection="0"/>
    <xf numFmtId="0" fontId="244" fillId="4" borderId="525" applyNumberFormat="0" applyAlignment="0" applyProtection="0"/>
    <xf numFmtId="8" fontId="138" fillId="0" borderId="526">
      <protection locked="0"/>
    </xf>
    <xf numFmtId="0" fontId="237" fillId="28" borderId="525" applyNumberFormat="0" applyAlignment="0" applyProtection="0"/>
    <xf numFmtId="0" fontId="244" fillId="4" borderId="525" applyNumberFormat="0" applyAlignment="0" applyProtection="0"/>
    <xf numFmtId="0" fontId="244" fillId="4" borderId="525" applyNumberFormat="0" applyAlignment="0" applyProtection="0"/>
    <xf numFmtId="0" fontId="18" fillId="0" borderId="524" applyNumberFormat="0" applyFill="0" applyAlignment="0" applyProtection="0"/>
    <xf numFmtId="0" fontId="249" fillId="0" borderId="529" applyNumberFormat="0" applyFill="0" applyAlignment="0" applyProtection="0"/>
    <xf numFmtId="0" fontId="247" fillId="28" borderId="528" applyNumberFormat="0" applyAlignment="0" applyProtection="0"/>
    <xf numFmtId="0" fontId="18" fillId="0" borderId="524" applyNumberFormat="0" applyFill="0" applyAlignment="0" applyProtection="0"/>
    <xf numFmtId="0" fontId="244" fillId="4" borderId="525" applyNumberFormat="0" applyAlignment="0" applyProtection="0"/>
    <xf numFmtId="0" fontId="18" fillId="2" borderId="527" applyNumberFormat="0" applyFont="0" applyAlignment="0" applyProtection="0"/>
    <xf numFmtId="177" fontId="114" fillId="0" borderId="511" applyBorder="0"/>
    <xf numFmtId="176" fontId="29" fillId="15" borderId="511" applyBorder="0">
      <alignment horizontal="right"/>
    </xf>
    <xf numFmtId="176" fontId="29" fillId="0" borderId="511" applyBorder="0">
      <alignment horizontal="right"/>
    </xf>
    <xf numFmtId="3" fontId="115" fillId="24" borderId="512" applyBorder="0">
      <protection locked="0"/>
    </xf>
    <xf numFmtId="37" fontId="89" fillId="0" borderId="511" applyNumberFormat="0" applyFont="0" applyFill="0" applyAlignment="0" applyProtection="0"/>
    <xf numFmtId="0" fontId="140" fillId="0" borderId="511" applyNumberFormat="0" applyBorder="0"/>
    <xf numFmtId="195" fontId="18" fillId="29" borderId="511" applyNumberFormat="0" applyFont="0" applyBorder="0" applyAlignment="0" applyProtection="0">
      <alignment horizontal="right"/>
    </xf>
    <xf numFmtId="195" fontId="18" fillId="29" borderId="511"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39" fontId="33" fillId="0" borderId="523" applyNumberFormat="0" applyBorder="0">
      <alignment horizontal="right"/>
    </xf>
    <xf numFmtId="1" fontId="85" fillId="0" borderId="523" applyFill="0" applyProtection="0">
      <alignment horizontal="right"/>
    </xf>
    <xf numFmtId="0" fontId="99" fillId="0" borderId="513" applyNumberFormat="0" applyFill="0" applyAlignment="0" applyProtection="0"/>
    <xf numFmtId="195" fontId="18" fillId="29" borderId="511" applyNumberFormat="0" applyFont="0" applyBorder="0" applyAlignment="0" applyProtection="0">
      <alignment horizontal="right"/>
    </xf>
    <xf numFmtId="37" fontId="89" fillId="0" borderId="511" applyNumberFormat="0" applyFont="0" applyFill="0" applyAlignment="0" applyProtection="0"/>
    <xf numFmtId="8" fontId="138" fillId="0" borderId="526">
      <protection locked="0"/>
    </xf>
    <xf numFmtId="0" fontId="244" fillId="4" borderId="525" applyNumberFormat="0" applyAlignment="0" applyProtection="0"/>
    <xf numFmtId="0" fontId="18" fillId="0" borderId="524" applyNumberFormat="0" applyFill="0" applyAlignment="0" applyProtection="0"/>
    <xf numFmtId="193" fontId="66" fillId="23" borderId="523" applyFont="0">
      <alignment horizontal="right"/>
    </xf>
    <xf numFmtId="193" fontId="66" fillId="23" borderId="523" applyFont="0">
      <alignment horizontal="right"/>
    </xf>
    <xf numFmtId="0" fontId="18" fillId="0" borderId="524"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523" applyFont="0" applyFill="0" applyBorder="0" applyAlignment="0" applyProtection="0">
      <alignment horizontal="center"/>
    </xf>
    <xf numFmtId="259" fontId="37" fillId="25" borderId="517" applyNumberFormat="0" applyFont="0" applyAlignment="0"/>
    <xf numFmtId="0" fontId="51" fillId="0" borderId="523">
      <alignment horizontal="left" vertical="center"/>
    </xf>
    <xf numFmtId="0" fontId="244" fillId="4" borderId="525"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1" applyNumberFormat="0" applyFont="0" applyBorder="0" applyAlignment="0" applyProtection="0">
      <alignment horizontal="right"/>
    </xf>
    <xf numFmtId="3" fontId="115" fillId="24" borderId="512" applyBorder="0">
      <protection locked="0"/>
    </xf>
    <xf numFmtId="0" fontId="244" fillId="4" borderId="525" applyNumberFormat="0" applyAlignment="0" applyProtection="0"/>
    <xf numFmtId="0" fontId="51" fillId="0" borderId="523">
      <alignment horizontal="left" vertical="center"/>
    </xf>
    <xf numFmtId="0" fontId="29" fillId="0" borderId="523" applyFont="0" applyFill="0" applyBorder="0" applyAlignment="0" applyProtection="0">
      <alignment horizontal="center"/>
    </xf>
    <xf numFmtId="193" fontId="66" fillId="23" borderId="523" applyFont="0">
      <alignment horizontal="right"/>
    </xf>
    <xf numFmtId="0" fontId="18" fillId="0" borderId="524" applyNumberFormat="0" applyFill="0" applyAlignment="0" applyProtection="0"/>
    <xf numFmtId="10" fontId="18" fillId="25" borderId="517" applyNumberFormat="0" applyBorder="0" applyAlignment="0" applyProtection="0"/>
    <xf numFmtId="0" fontId="18" fillId="2" borderId="527" applyNumberFormat="0" applyFont="0" applyAlignment="0" applyProtection="0"/>
    <xf numFmtId="0" fontId="244" fillId="4" borderId="525" applyNumberFormat="0" applyAlignment="0" applyProtection="0"/>
    <xf numFmtId="8" fontId="138" fillId="0" borderId="526">
      <protection locked="0"/>
    </xf>
    <xf numFmtId="0" fontId="237" fillId="28" borderId="525" applyNumberFormat="0" applyAlignment="0" applyProtection="0"/>
    <xf numFmtId="0" fontId="244" fillId="4" borderId="525" applyNumberFormat="0" applyAlignment="0" applyProtection="0"/>
    <xf numFmtId="0" fontId="244" fillId="4" borderId="525" applyNumberFormat="0" applyAlignment="0" applyProtection="0"/>
    <xf numFmtId="0" fontId="18" fillId="0" borderId="524" applyNumberFormat="0" applyFill="0" applyAlignment="0" applyProtection="0"/>
    <xf numFmtId="0" fontId="249" fillId="0" borderId="529" applyNumberFormat="0" applyFill="0" applyAlignment="0" applyProtection="0"/>
    <xf numFmtId="0" fontId="247" fillId="28" borderId="528" applyNumberFormat="0" applyAlignment="0" applyProtection="0"/>
    <xf numFmtId="0" fontId="18" fillId="0" borderId="524" applyNumberFormat="0" applyFill="0" applyAlignment="0" applyProtection="0"/>
    <xf numFmtId="0" fontId="244" fillId="4" borderId="525" applyNumberFormat="0" applyAlignment="0" applyProtection="0"/>
    <xf numFmtId="0" fontId="18" fillId="2" borderId="527" applyNumberFormat="0" applyFont="0" applyAlignment="0" applyProtection="0"/>
    <xf numFmtId="177" fontId="114" fillId="0" borderId="511" applyBorder="0"/>
    <xf numFmtId="176" fontId="29" fillId="15" borderId="511" applyBorder="0">
      <alignment horizontal="right"/>
    </xf>
    <xf numFmtId="176" fontId="29" fillId="0" borderId="511" applyBorder="0">
      <alignment horizontal="right"/>
    </xf>
    <xf numFmtId="3" fontId="115" fillId="24" borderId="512" applyBorder="0">
      <protection locked="0"/>
    </xf>
    <xf numFmtId="37" fontId="89" fillId="0" borderId="511" applyNumberFormat="0" applyFont="0" applyFill="0" applyAlignment="0" applyProtection="0"/>
    <xf numFmtId="0" fontId="140" fillId="0" borderId="511" applyNumberFormat="0" applyBorder="0"/>
    <xf numFmtId="195" fontId="18" fillId="29" borderId="511" applyNumberFormat="0" applyFont="0" applyBorder="0" applyAlignment="0" applyProtection="0">
      <alignment horizontal="right"/>
    </xf>
    <xf numFmtId="195" fontId="18" fillId="29" borderId="511"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511" applyNumberFormat="0" applyBorder="0"/>
    <xf numFmtId="176" fontId="29" fillId="0" borderId="511" applyBorder="0">
      <alignment horizontal="right"/>
    </xf>
    <xf numFmtId="176" fontId="29" fillId="15" borderId="511" applyBorder="0">
      <alignment horizontal="right"/>
    </xf>
    <xf numFmtId="177" fontId="114" fillId="0" borderId="511" applyBorder="0"/>
    <xf numFmtId="0" fontId="18" fillId="2" borderId="527" applyNumberFormat="0" applyFont="0" applyAlignment="0" applyProtection="0"/>
    <xf numFmtId="0" fontId="244" fillId="4" borderId="525" applyNumberFormat="0" applyAlignment="0" applyProtection="0"/>
    <xf numFmtId="0" fontId="18" fillId="0" borderId="524" applyNumberFormat="0" applyFill="0" applyAlignment="0" applyProtection="0"/>
    <xf numFmtId="0" fontId="247" fillId="28" borderId="528" applyNumberFormat="0" applyAlignment="0" applyProtection="0"/>
    <xf numFmtId="0" fontId="249" fillId="0" borderId="529" applyNumberFormat="0" applyFill="0" applyAlignment="0" applyProtection="0"/>
    <xf numFmtId="0" fontId="18" fillId="0" borderId="524" applyNumberFormat="0" applyFill="0" applyAlignment="0" applyProtection="0"/>
    <xf numFmtId="0" fontId="244" fillId="4" borderId="525" applyNumberFormat="0" applyAlignment="0" applyProtection="0"/>
    <xf numFmtId="0" fontId="244" fillId="4" borderId="525" applyNumberFormat="0" applyAlignment="0" applyProtection="0"/>
    <xf numFmtId="0" fontId="237" fillId="28" borderId="525" applyNumberFormat="0" applyAlignment="0" applyProtection="0"/>
    <xf numFmtId="0" fontId="18" fillId="2" borderId="527" applyNumberFormat="0" applyFont="0" applyAlignment="0" applyProtection="0"/>
    <xf numFmtId="0" fontId="18" fillId="0" borderId="524" applyNumberFormat="0" applyFill="0" applyAlignment="0" applyProtection="0"/>
    <xf numFmtId="193" fontId="66" fillId="23" borderId="523" applyFont="0">
      <alignment horizontal="right"/>
    </xf>
    <xf numFmtId="0" fontId="99" fillId="0" borderId="513" applyNumberFormat="0" applyFill="0" applyAlignment="0" applyProtection="0"/>
    <xf numFmtId="39" fontId="33" fillId="0" borderId="523" applyNumberFormat="0" applyBorder="0">
      <alignment horizontal="right"/>
    </xf>
    <xf numFmtId="1" fontId="85" fillId="0" borderId="523" applyFill="0" applyProtection="0">
      <alignment horizontal="right"/>
    </xf>
    <xf numFmtId="39" fontId="33" fillId="0" borderId="523" applyNumberFormat="0" applyBorder="0">
      <alignment horizontal="right"/>
    </xf>
    <xf numFmtId="1" fontId="85" fillId="0" borderId="523"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6" fontId="29" fillId="15" borderId="514" applyBorder="0">
      <alignment horizontal="right"/>
    </xf>
    <xf numFmtId="37" fontId="89" fillId="0" borderId="514" applyNumberFormat="0" applyFont="0" applyFill="0" applyAlignment="0" applyProtection="0"/>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37" fontId="89" fillId="0" borderId="514" applyNumberFormat="0" applyFont="0" applyFill="0" applyAlignment="0" applyProtection="0"/>
    <xf numFmtId="176" fontId="29" fillId="15" borderId="514" applyBorder="0">
      <alignment horizontal="right"/>
    </xf>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18" fillId="0" borderId="516" applyNumberFormat="0" applyFill="0" applyAlignment="0" applyProtection="0"/>
    <xf numFmtId="193" fontId="66" fillId="23" borderId="494" applyFont="0">
      <alignment horizontal="right"/>
    </xf>
    <xf numFmtId="0" fontId="18" fillId="0" borderId="516" applyNumberFormat="0" applyFill="0" applyAlignment="0" applyProtection="0"/>
    <xf numFmtId="9" fontId="96" fillId="25" borderId="517" applyNumberFormat="0" applyFont="0" applyAlignment="0" applyProtection="0"/>
    <xf numFmtId="0" fontId="237" fillId="28" borderId="518" applyNumberFormat="0" applyAlignment="0" applyProtection="0"/>
    <xf numFmtId="4" fontId="137" fillId="0" borderId="517" applyFont="0" applyFill="0" applyBorder="0" applyAlignment="0" applyProtection="0"/>
    <xf numFmtId="8" fontId="138" fillId="0" borderId="519">
      <protection locked="0"/>
    </xf>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0" fontId="18" fillId="2" borderId="520" applyNumberFormat="0" applyFont="0" applyAlignment="0" applyProtection="0"/>
    <xf numFmtId="0" fontId="247" fillId="28" borderId="521" applyNumberFormat="0" applyAlignment="0" applyProtection="0"/>
    <xf numFmtId="0" fontId="249" fillId="0" borderId="522" applyNumberFormat="0" applyFill="0" applyAlignment="0" applyProtection="0"/>
    <xf numFmtId="177" fontId="114" fillId="0" borderId="514" applyBorder="0"/>
    <xf numFmtId="0" fontId="18" fillId="0" borderId="516" applyNumberFormat="0" applyFill="0" applyAlignment="0" applyProtection="0"/>
    <xf numFmtId="0" fontId="247" fillId="28" borderId="521" applyNumberFormat="0" applyAlignment="0" applyProtection="0"/>
    <xf numFmtId="0" fontId="244" fillId="4" borderId="518" applyNumberFormat="0" applyAlignment="0" applyProtection="0"/>
    <xf numFmtId="0" fontId="18" fillId="2" borderId="520" applyNumberFormat="0" applyFont="0" applyAlignment="0" applyProtection="0"/>
    <xf numFmtId="0" fontId="249" fillId="0" borderId="522" applyNumberFormat="0" applyFill="0" applyAlignment="0" applyProtection="0"/>
    <xf numFmtId="0" fontId="247" fillId="28" borderId="521" applyNumberFormat="0" applyAlignment="0" applyProtection="0"/>
    <xf numFmtId="0" fontId="18" fillId="2" borderId="520" applyNumberFormat="0" applyFont="0" applyAlignment="0" applyProtection="0"/>
    <xf numFmtId="193" fontId="66" fillId="23" borderId="494" applyFont="0">
      <alignment horizontal="right"/>
    </xf>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7" fillId="28" borderId="521"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176" fontId="29" fillId="0" borderId="514" applyBorder="0">
      <alignment horizontal="right"/>
    </xf>
    <xf numFmtId="0" fontId="249" fillId="0" borderId="522" applyNumberFormat="0" applyFill="0" applyAlignment="0" applyProtection="0"/>
    <xf numFmtId="0" fontId="244" fillId="4" borderId="518" applyNumberFormat="0" applyAlignment="0" applyProtection="0"/>
    <xf numFmtId="0" fontId="237" fillId="28" borderId="518" applyNumberFormat="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0" fontId="18" fillId="0" borderId="516" applyNumberFormat="0" applyFill="0" applyAlignment="0" applyProtection="0"/>
    <xf numFmtId="0" fontId="18" fillId="0" borderId="487"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489"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93" fontId="66" fillId="23" borderId="494" applyFont="0">
      <alignment horizontal="right"/>
    </xf>
    <xf numFmtId="0" fontId="18" fillId="0" borderId="487" applyNumberFormat="0" applyFill="0" applyAlignment="0" applyProtection="0"/>
    <xf numFmtId="10" fontId="18" fillId="25" borderId="517" applyNumberFormat="0" applyBorder="0" applyAlignment="0" applyProtection="0"/>
    <xf numFmtId="0" fontId="247" fillId="28" borderId="521"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489"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193" fontId="66" fillId="23" borderId="494" applyFont="0">
      <alignment horizontal="right"/>
    </xf>
    <xf numFmtId="193" fontId="66" fillId="23" borderId="494" applyFont="0">
      <alignment horizontal="right"/>
    </xf>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0" fontId="51" fillId="0" borderId="494">
      <alignment horizontal="left" vertical="center"/>
    </xf>
    <xf numFmtId="0" fontId="29" fillId="0" borderId="494" applyFont="0" applyFill="0" applyBorder="0" applyAlignment="0" applyProtection="0">
      <alignment horizontal="center"/>
    </xf>
    <xf numFmtId="4" fontId="137" fillId="0" borderId="517" applyFont="0" applyFill="0" applyBorder="0" applyAlignment="0" applyProtection="0"/>
    <xf numFmtId="9" fontId="96" fillId="25" borderId="517" applyNumberFormat="0" applyFont="0" applyAlignment="0" applyProtection="0"/>
    <xf numFmtId="193" fontId="66" fillId="23" borderId="494" applyFont="0">
      <alignment horizontal="right"/>
    </xf>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43" fontId="8" fillId="0" borderId="0" applyFont="0" applyFill="0" applyBorder="0" applyAlignment="0" applyProtection="0"/>
    <xf numFmtId="9" fontId="8" fillId="0" borderId="0" applyFont="0" applyFill="0" applyBorder="0" applyAlignment="0" applyProtection="0"/>
    <xf numFmtId="0" fontId="8" fillId="0" borderId="0"/>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193" fontId="66" fillId="23" borderId="494" applyFont="0">
      <alignment horizontal="right"/>
    </xf>
    <xf numFmtId="0" fontId="99" fillId="0" borderId="513" applyNumberFormat="0" applyFill="0" applyAlignment="0" applyProtection="0"/>
    <xf numFmtId="39" fontId="33" fillId="0" borderId="494" applyNumberFormat="0" applyBorder="0">
      <alignment horizontal="right"/>
    </xf>
    <xf numFmtId="1" fontId="85" fillId="0" borderId="494"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8" fontId="138" fillId="0" borderId="519">
      <protection locked="0"/>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0" fontId="8" fillId="0" borderId="0"/>
    <xf numFmtId="0" fontId="8" fillId="0" borderId="0"/>
    <xf numFmtId="0" fontId="244" fillId="4" borderId="518" applyNumberForma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0" fontId="244" fillId="4" borderId="518"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39" fontId="33" fillId="0" borderId="494" applyNumberFormat="0" applyBorder="0">
      <alignment horizontal="right"/>
    </xf>
    <xf numFmtId="1" fontId="85" fillId="0" borderId="494" applyFill="0" applyProtection="0">
      <alignment horizontal="right"/>
    </xf>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193" fontId="66" fillId="23" borderId="494" applyFont="0">
      <alignment horizontal="right"/>
    </xf>
    <xf numFmtId="193" fontId="66" fillId="23" borderId="494" applyFont="0">
      <alignment horizontal="right"/>
    </xf>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0" fontId="51" fillId="0" borderId="494">
      <alignment horizontal="left" vertical="center"/>
    </xf>
    <xf numFmtId="0" fontId="29" fillId="0" borderId="494" applyFont="0" applyFill="0" applyBorder="0" applyAlignment="0" applyProtection="0">
      <alignment horizontal="center"/>
    </xf>
    <xf numFmtId="4" fontId="137" fillId="0" borderId="517" applyFont="0" applyFill="0" applyBorder="0" applyAlignment="0" applyProtection="0"/>
    <xf numFmtId="9" fontId="96" fillId="25" borderId="517" applyNumberFormat="0" applyFont="0" applyAlignment="0" applyProtection="0"/>
    <xf numFmtId="193" fontId="66" fillId="23" borderId="494" applyFont="0">
      <alignment horizontal="right"/>
    </xf>
    <xf numFmtId="0" fontId="18" fillId="0" borderId="516" applyNumberFormat="0" applyFill="0" applyAlignment="0" applyProtection="0"/>
    <xf numFmtId="10" fontId="18" fillId="25" borderId="517" applyNumberFormat="0" applyBorder="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0" fontId="244" fillId="4" borderId="518"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0" borderId="516" applyNumberFormat="0" applyFill="0" applyAlignment="0" applyProtection="0"/>
    <xf numFmtId="193" fontId="66" fillId="23" borderId="494" applyFont="0">
      <alignment horizontal="right"/>
    </xf>
    <xf numFmtId="39" fontId="33" fillId="0" borderId="494" applyNumberFormat="0" applyBorder="0">
      <alignment horizontal="right"/>
    </xf>
    <xf numFmtId="1" fontId="85" fillId="0" borderId="494" applyFill="0" applyProtection="0">
      <alignment horizontal="right"/>
    </xf>
    <xf numFmtId="39" fontId="33" fillId="0" borderId="494" applyNumberFormat="0" applyBorder="0">
      <alignment horizontal="right"/>
    </xf>
    <xf numFmtId="1" fontId="85" fillId="0" borderId="494" applyFill="0" applyProtection="0">
      <alignment horizontal="right"/>
    </xf>
    <xf numFmtId="8" fontId="138" fillId="0" borderId="519">
      <protection locked="0"/>
    </xf>
    <xf numFmtId="8" fontId="138" fillId="0" borderId="519">
      <protection locked="0"/>
    </xf>
    <xf numFmtId="37" fontId="89" fillId="0" borderId="514" applyNumberFormat="0" applyFont="0" applyFill="0" applyAlignment="0" applyProtection="0"/>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37" fontId="89" fillId="0" borderId="514" applyNumberFormat="0" applyFont="0" applyFill="0" applyAlignment="0" applyProtection="0"/>
    <xf numFmtId="176" fontId="29" fillId="15" borderId="514" applyBorder="0">
      <alignment horizontal="right"/>
    </xf>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18" fillId="0" borderId="516" applyNumberFormat="0" applyFill="0" applyAlignment="0" applyProtection="0"/>
    <xf numFmtId="193" fontId="66" fillId="23" borderId="494" applyFont="0">
      <alignment horizontal="right"/>
    </xf>
    <xf numFmtId="0" fontId="18" fillId="0" borderId="516" applyNumberFormat="0" applyFill="0" applyAlignment="0" applyProtection="0"/>
    <xf numFmtId="9" fontId="96" fillId="25" borderId="517" applyNumberFormat="0" applyFont="0" applyAlignment="0" applyProtection="0"/>
    <xf numFmtId="0" fontId="237" fillId="28" borderId="518" applyNumberFormat="0" applyAlignment="0" applyProtection="0"/>
    <xf numFmtId="4" fontId="137" fillId="0" borderId="517" applyFont="0" applyFill="0" applyBorder="0" applyAlignment="0" applyProtection="0"/>
    <xf numFmtId="8" fontId="138" fillId="0" borderId="519">
      <protection locked="0"/>
    </xf>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0" fontId="18" fillId="2" borderId="520" applyNumberFormat="0" applyFont="0" applyAlignment="0" applyProtection="0"/>
    <xf numFmtId="0" fontId="247" fillId="28" borderId="521" applyNumberFormat="0" applyAlignment="0" applyProtection="0"/>
    <xf numFmtId="0" fontId="249" fillId="0" borderId="522" applyNumberFormat="0" applyFill="0" applyAlignment="0" applyProtection="0"/>
    <xf numFmtId="177" fontId="114" fillId="0" borderId="514" applyBorder="0"/>
    <xf numFmtId="0" fontId="18" fillId="0" borderId="516" applyNumberFormat="0" applyFill="0" applyAlignment="0" applyProtection="0"/>
    <xf numFmtId="0" fontId="247" fillId="28" borderId="521" applyNumberFormat="0" applyAlignment="0" applyProtection="0"/>
    <xf numFmtId="0" fontId="244" fillId="4" borderId="518" applyNumberFormat="0" applyAlignment="0" applyProtection="0"/>
    <xf numFmtId="0" fontId="18" fillId="2" borderId="520" applyNumberFormat="0" applyFont="0" applyAlignment="0" applyProtection="0"/>
    <xf numFmtId="0" fontId="249" fillId="0" borderId="522" applyNumberFormat="0" applyFill="0" applyAlignment="0" applyProtection="0"/>
    <xf numFmtId="0" fontId="247" fillId="28" borderId="521" applyNumberFormat="0" applyAlignment="0" applyProtection="0"/>
    <xf numFmtId="0" fontId="18" fillId="2" borderId="520" applyNumberFormat="0" applyFont="0" applyAlignment="0" applyProtection="0"/>
    <xf numFmtId="193" fontId="66" fillId="23" borderId="494" applyFont="0">
      <alignment horizontal="right"/>
    </xf>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7" fillId="28" borderId="521"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176" fontId="29" fillId="0" borderId="514" applyBorder="0">
      <alignment horizontal="right"/>
    </xf>
    <xf numFmtId="0" fontId="249" fillId="0" borderId="522" applyNumberFormat="0" applyFill="0" applyAlignment="0" applyProtection="0"/>
    <xf numFmtId="0" fontId="244" fillId="4" borderId="518" applyNumberFormat="0" applyAlignment="0" applyProtection="0"/>
    <xf numFmtId="0" fontId="237" fillId="28" borderId="518" applyNumberFormat="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247" fillId="28" borderId="521" applyNumberForma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193" fontId="66" fillId="23" borderId="494" applyFont="0">
      <alignment horizontal="right"/>
    </xf>
    <xf numFmtId="193" fontId="66" fillId="23" borderId="494" applyFont="0">
      <alignment horizontal="right"/>
    </xf>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0" fontId="29" fillId="0" borderId="494" applyFont="0" applyFill="0" applyBorder="0" applyAlignment="0" applyProtection="0">
      <alignment horizontal="center"/>
    </xf>
    <xf numFmtId="259" fontId="37" fillId="25" borderId="517" applyNumberFormat="0" applyFont="0" applyAlignment="0"/>
    <xf numFmtId="0" fontId="51" fillId="0" borderId="494">
      <alignment horizontal="left" vertical="center"/>
    </xf>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10" fontId="18" fillId="25" borderId="517" applyNumberFormat="0" applyBorder="0" applyAlignment="0" applyProtection="0"/>
    <xf numFmtId="0" fontId="51" fillId="0" borderId="494">
      <alignment horizontal="left" vertical="center"/>
    </xf>
    <xf numFmtId="0" fontId="29" fillId="0" borderId="494" applyFont="0" applyFill="0" applyBorder="0" applyAlignment="0" applyProtection="0">
      <alignment horizontal="center"/>
    </xf>
    <xf numFmtId="4" fontId="137" fillId="0" borderId="517" applyFont="0" applyFill="0" applyBorder="0" applyAlignment="0" applyProtection="0"/>
    <xf numFmtId="9" fontId="96" fillId="25" borderId="517" applyNumberFormat="0" applyFont="0" applyAlignment="0" applyProtection="0"/>
    <xf numFmtId="193" fontId="66" fillId="23" borderId="494" applyFont="0">
      <alignment horizontal="right"/>
    </xf>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193" fontId="66" fillId="23" borderId="494" applyFont="0">
      <alignment horizontal="right"/>
    </xf>
    <xf numFmtId="0" fontId="99" fillId="0" borderId="513" applyNumberFormat="0" applyFill="0" applyAlignment="0" applyProtection="0"/>
    <xf numFmtId="39" fontId="33" fillId="0" borderId="494" applyNumberFormat="0" applyBorder="0">
      <alignment horizontal="right"/>
    </xf>
    <xf numFmtId="1" fontId="85" fillId="0" borderId="494" applyFill="0" applyProtection="0">
      <alignment horizontal="right"/>
    </xf>
    <xf numFmtId="39" fontId="33" fillId="0" borderId="494" applyNumberFormat="0" applyBorder="0">
      <alignment horizontal="right"/>
    </xf>
    <xf numFmtId="1" fontId="85" fillId="0" borderId="494"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77" fontId="114" fillId="0" borderId="514" applyBorder="0"/>
    <xf numFmtId="176" fontId="29" fillId="15" borderId="514" applyBorder="0">
      <alignment horizontal="right"/>
    </xf>
    <xf numFmtId="176" fontId="29" fillId="0" borderId="514" applyBorder="0">
      <alignment horizontal="right"/>
    </xf>
    <xf numFmtId="0" fontId="18" fillId="0" borderId="516" applyNumberFormat="0" applyFill="0" applyAlignment="0" applyProtection="0"/>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0" fontId="244" fillId="4" borderId="518" applyNumberFormat="0" applyAlignment="0" applyProtection="0"/>
    <xf numFmtId="0" fontId="18" fillId="0" borderId="516" applyNumberFormat="0" applyFill="0" applyAlignment="0" applyProtection="0"/>
    <xf numFmtId="195" fontId="18" fillId="29" borderId="514" applyNumberFormat="0" applyFont="0" applyBorder="0" applyAlignment="0" applyProtection="0">
      <alignment horizontal="right"/>
    </xf>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99" fillId="0" borderId="513" applyNumberFormat="0" applyFill="0" applyAlignment="0" applyProtection="0"/>
    <xf numFmtId="0" fontId="99" fillId="0" borderId="513" applyNumberFormat="0" applyFill="0" applyAlignment="0" applyProtection="0"/>
    <xf numFmtId="0" fontId="81" fillId="0" borderId="514" applyNumberFormat="0" applyFill="0" applyProtection="0">
      <alignment horizontal="right"/>
    </xf>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0" fontId="244" fillId="4" borderId="518" applyNumberFormat="0" applyAlignment="0" applyProtection="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0" fontId="244" fillId="4" borderId="518"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3" fontId="115" fillId="24" borderId="515" applyBorder="0">
      <protection locked="0"/>
    </xf>
    <xf numFmtId="0" fontId="244" fillId="4" borderId="518" applyNumberForma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 fontId="115" fillId="24" borderId="515" applyBorder="0">
      <protection locked="0"/>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0" fontId="99" fillId="0" borderId="513" applyNumberFormat="0" applyFill="0" applyAlignment="0" applyProtection="0"/>
    <xf numFmtId="195" fontId="18" fillId="29" borderId="514" applyNumberFormat="0" applyFont="0" applyBorder="0" applyAlignment="0" applyProtection="0">
      <alignment horizontal="right"/>
    </xf>
    <xf numFmtId="37" fontId="89" fillId="0" borderId="514" applyNumberFormat="0" applyFont="0" applyFill="0" applyAlignment="0" applyProtection="0"/>
    <xf numFmtId="8" fontId="138" fillId="0" borderId="519">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18" applyNumberFormat="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95" fontId="18" fillId="29" borderId="514" applyNumberFormat="0" applyFont="0" applyBorder="0" applyAlignment="0" applyProtection="0">
      <alignment horizontal="right"/>
    </xf>
    <xf numFmtId="0" fontId="244" fillId="4" borderId="518" applyNumberFormat="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0" fontId="18" fillId="2" borderId="520" applyNumberFormat="0" applyFont="0" applyAlignment="0" applyProtection="0"/>
    <xf numFmtId="0" fontId="244" fillId="4" borderId="518" applyNumberFormat="0" applyAlignment="0" applyProtection="0"/>
    <xf numFmtId="8" fontId="138" fillId="0" borderId="519">
      <protection locked="0"/>
    </xf>
    <xf numFmtId="0" fontId="237" fillId="28" borderId="518" applyNumberFormat="0" applyAlignment="0" applyProtection="0"/>
    <xf numFmtId="0" fontId="244" fillId="4" borderId="518" applyNumberFormat="0" applyAlignment="0" applyProtection="0"/>
    <xf numFmtId="0" fontId="244" fillId="4" borderId="518" applyNumberFormat="0" applyAlignment="0" applyProtection="0"/>
    <xf numFmtId="0" fontId="18" fillId="0" borderId="516" applyNumberFormat="0" applyFill="0" applyAlignment="0" applyProtection="0"/>
    <xf numFmtId="0" fontId="249" fillId="0" borderId="522" applyNumberFormat="0" applyFill="0" applyAlignment="0" applyProtection="0"/>
    <xf numFmtId="0" fontId="247" fillId="28" borderId="521" applyNumberFormat="0" applyAlignment="0" applyProtection="0"/>
    <xf numFmtId="0" fontId="18" fillId="0" borderId="516" applyNumberFormat="0" applyFill="0" applyAlignment="0" applyProtection="0"/>
    <xf numFmtId="0" fontId="244" fillId="4" borderId="518" applyNumberFormat="0" applyAlignment="0" applyProtection="0"/>
    <xf numFmtId="0" fontId="18" fillId="2" borderId="520" applyNumberFormat="0" applyFont="0" applyAlignment="0" applyProtection="0"/>
    <xf numFmtId="177" fontId="114" fillId="0" borderId="514" applyBorder="0"/>
    <xf numFmtId="176" fontId="29" fillId="15" borderId="514" applyBorder="0">
      <alignment horizontal="right"/>
    </xf>
    <xf numFmtId="176" fontId="29" fillId="0" borderId="514" applyBorder="0">
      <alignment horizontal="right"/>
    </xf>
    <xf numFmtId="37" fontId="89" fillId="0" borderId="514" applyNumberFormat="0" applyFont="0" applyFill="0" applyAlignment="0" applyProtection="0"/>
    <xf numFmtId="0" fontId="140" fillId="0" borderId="514" applyNumberFormat="0" applyBorder="0"/>
    <xf numFmtId="195" fontId="18" fillId="29" borderId="514" applyNumberFormat="0" applyFont="0" applyBorder="0" applyAlignment="0" applyProtection="0">
      <alignment horizontal="right"/>
    </xf>
    <xf numFmtId="195" fontId="18" fillId="29" borderId="514" applyNumberFormat="0" applyFont="0" applyBorder="0" applyAlignment="0" applyProtection="0">
      <alignment horizontal="right"/>
    </xf>
    <xf numFmtId="0" fontId="140" fillId="0" borderId="514" applyNumberFormat="0" applyBorder="0"/>
    <xf numFmtId="176" fontId="29" fillId="0" borderId="514" applyBorder="0">
      <alignment horizontal="right"/>
    </xf>
    <xf numFmtId="176" fontId="29" fillId="15" borderId="514" applyBorder="0">
      <alignment horizontal="right"/>
    </xf>
    <xf numFmtId="177" fontId="114" fillId="0" borderId="514" applyBorder="0"/>
    <xf numFmtId="0" fontId="18" fillId="2" borderId="520" applyNumberFormat="0" applyFont="0" applyAlignment="0" applyProtection="0"/>
    <xf numFmtId="0" fontId="244" fillId="4" borderId="518" applyNumberFormat="0" applyAlignment="0" applyProtection="0"/>
    <xf numFmtId="0" fontId="18" fillId="0" borderId="516" applyNumberFormat="0" applyFill="0" applyAlignment="0" applyProtection="0"/>
    <xf numFmtId="0" fontId="247" fillId="28" borderId="521" applyNumberFormat="0" applyAlignment="0" applyProtection="0"/>
    <xf numFmtId="0" fontId="249" fillId="0" borderId="522" applyNumberFormat="0" applyFill="0" applyAlignment="0" applyProtection="0"/>
    <xf numFmtId="0" fontId="18" fillId="0" borderId="516" applyNumberFormat="0" applyFill="0" applyAlignment="0" applyProtection="0"/>
    <xf numFmtId="0" fontId="244" fillId="4" borderId="518" applyNumberFormat="0" applyAlignment="0" applyProtection="0"/>
    <xf numFmtId="0" fontId="244" fillId="4" borderId="518" applyNumberFormat="0" applyAlignment="0" applyProtection="0"/>
    <xf numFmtId="0" fontId="237" fillId="28" borderId="518" applyNumberFormat="0" applyAlignment="0" applyProtection="0"/>
    <xf numFmtId="0" fontId="18" fillId="2" borderId="520" applyNumberFormat="0" applyFont="0" applyAlignment="0" applyProtection="0"/>
    <xf numFmtId="0" fontId="18" fillId="0" borderId="516" applyNumberFormat="0" applyFill="0" applyAlignment="0" applyProtection="0"/>
    <xf numFmtId="0" fontId="99" fillId="0" borderId="513" applyNumberFormat="0" applyFill="0" applyAlignment="0" applyProtection="0"/>
    <xf numFmtId="10" fontId="18" fillId="25" borderId="517" applyNumberFormat="0" applyBorder="0" applyAlignment="0" applyProtection="0"/>
    <xf numFmtId="169" fontId="137" fillId="0" borderId="517" applyNumberFormat="0" applyFill="0" applyAlignment="0" applyProtection="0"/>
    <xf numFmtId="259" fontId="37" fillId="25" borderId="517" applyNumberFormat="0" applyFont="0" applyAlignment="0"/>
    <xf numFmtId="0" fontId="18" fillId="0" borderId="516" applyNumberFormat="0" applyFill="0" applyAlignment="0" applyProtection="0"/>
    <xf numFmtId="0" fontId="18" fillId="0" borderId="516" applyNumberFormat="0" applyFill="0" applyAlignment="0" applyProtection="0"/>
    <xf numFmtId="9" fontId="96" fillId="25" borderId="517" applyNumberFormat="0" applyFont="0" applyAlignment="0" applyProtection="0"/>
    <xf numFmtId="4" fontId="137" fillId="0" borderId="517" applyFont="0" applyFill="0" applyBorder="0" applyAlignment="0" applyProtection="0"/>
    <xf numFmtId="259" fontId="37" fillId="25" borderId="517" applyNumberFormat="0" applyFont="0" applyAlignment="0"/>
    <xf numFmtId="10" fontId="18" fillId="25" borderId="517" applyNumberFormat="0" applyBorder="0" applyAlignment="0" applyProtection="0"/>
    <xf numFmtId="169" fontId="137" fillId="0" borderId="517" applyNumberFormat="0" applyFill="0" applyAlignment="0" applyProtection="0"/>
    <xf numFmtId="10" fontId="18" fillId="25" borderId="517" applyNumberFormat="0" applyBorder="0" applyAlignment="0" applyProtection="0"/>
    <xf numFmtId="4" fontId="137" fillId="0" borderId="517" applyFont="0" applyFill="0" applyBorder="0" applyAlignment="0" applyProtection="0"/>
    <xf numFmtId="9" fontId="96" fillId="25" borderId="517" applyNumberFormat="0" applyFont="0" applyAlignment="0" applyProtection="0"/>
    <xf numFmtId="0" fontId="18" fillId="0" borderId="516" applyNumberFormat="0" applyFill="0" applyAlignment="0" applyProtection="0"/>
    <xf numFmtId="10" fontId="18" fillId="25" borderId="517" applyNumberFormat="0" applyBorder="0" applyAlignment="0" applyProtection="0"/>
    <xf numFmtId="8" fontId="138" fillId="0" borderId="519">
      <protection locked="0"/>
    </xf>
    <xf numFmtId="0" fontId="18" fillId="0" borderId="516" applyNumberFormat="0" applyFill="0" applyAlignment="0" applyProtection="0"/>
    <xf numFmtId="0" fontId="18" fillId="0" borderId="516" applyNumberFormat="0" applyFill="0" applyAlignment="0" applyProtection="0"/>
    <xf numFmtId="0" fontId="18" fillId="0" borderId="516" applyNumberFormat="0" applyFill="0" applyAlignment="0" applyProtection="0"/>
    <xf numFmtId="0" fontId="18" fillId="0" borderId="516" applyNumberFormat="0" applyFill="0" applyAlignment="0" applyProtection="0"/>
    <xf numFmtId="0" fontId="18" fillId="0" borderId="516" applyNumberFormat="0" applyFill="0" applyAlignment="0" applyProtection="0"/>
    <xf numFmtId="0" fontId="99" fillId="0" borderId="513" applyNumberFormat="0" applyFill="0" applyAlignment="0" applyProtection="0"/>
    <xf numFmtId="37" fontId="89" fillId="0" borderId="551" applyNumberFormat="0" applyFont="0" applyFill="0" applyAlignment="0" applyProtection="0"/>
    <xf numFmtId="195" fontId="18" fillId="29" borderId="551" applyNumberFormat="0" applyFont="0" applyBorder="0" applyAlignment="0" applyProtection="0">
      <alignment horizontal="right"/>
    </xf>
    <xf numFmtId="0" fontId="99" fillId="0" borderId="550" applyNumberFormat="0" applyFill="0" applyAlignment="0" applyProtection="0"/>
    <xf numFmtId="0" fontId="99" fillId="0" borderId="550" applyNumberFormat="0" applyFill="0" applyAlignment="0" applyProtection="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140" fillId="0" borderId="551" applyNumberFormat="0" applyBorder="0"/>
    <xf numFmtId="37" fontId="89" fillId="0" borderId="551" applyNumberFormat="0" applyFont="0" applyFill="0" applyAlignment="0" applyProtection="0"/>
    <xf numFmtId="176" fontId="29" fillId="15" borderId="551" applyBorder="0">
      <alignment horizontal="right"/>
    </xf>
    <xf numFmtId="0" fontId="18" fillId="2" borderId="557" applyNumberFormat="0" applyFont="0" applyAlignment="0" applyProtection="0"/>
    <xf numFmtId="0" fontId="244" fillId="4" borderId="555" applyNumberFormat="0" applyAlignment="0" applyProtection="0"/>
    <xf numFmtId="0" fontId="18" fillId="0" borderId="553" applyNumberFormat="0" applyFill="0" applyAlignment="0" applyProtection="0"/>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18" fillId="0" borderId="553" applyNumberFormat="0" applyFill="0" applyAlignment="0" applyProtection="0"/>
    <xf numFmtId="193" fontId="66" fillId="23" borderId="523" applyFont="0">
      <alignment horizontal="right"/>
    </xf>
    <xf numFmtId="0" fontId="18" fillId="0" borderId="532" applyNumberFormat="0" applyFill="0" applyAlignment="0" applyProtection="0"/>
    <xf numFmtId="9" fontId="96" fillId="25" borderId="517" applyNumberFormat="0" applyFont="0" applyAlignment="0" applyProtection="0"/>
    <xf numFmtId="0" fontId="237" fillId="28" borderId="533" applyNumberFormat="0" applyAlignment="0" applyProtection="0"/>
    <xf numFmtId="4" fontId="137" fillId="0" borderId="517" applyFont="0" applyFill="0" applyBorder="0" applyAlignment="0" applyProtection="0"/>
    <xf numFmtId="8" fontId="138" fillId="0" borderId="534">
      <protection locked="0"/>
    </xf>
    <xf numFmtId="0" fontId="29" fillId="0" borderId="523" applyFont="0" applyFill="0" applyBorder="0" applyAlignment="0" applyProtection="0">
      <alignment horizontal="center"/>
    </xf>
    <xf numFmtId="259" fontId="37" fillId="25" borderId="517" applyNumberFormat="0" applyFont="0" applyAlignment="0"/>
    <xf numFmtId="0" fontId="51" fillId="0" borderId="523">
      <alignment horizontal="left" vertical="center"/>
    </xf>
    <xf numFmtId="0" fontId="244" fillId="4" borderId="533" applyNumberFormat="0" applyAlignment="0" applyProtection="0"/>
    <xf numFmtId="10" fontId="18" fillId="25" borderId="517" applyNumberFormat="0" applyBorder="0" applyAlignment="0" applyProtection="0"/>
    <xf numFmtId="169" fontId="137" fillId="0" borderId="517" applyNumberFormat="0" applyFill="0" applyAlignment="0" applyProtection="0"/>
    <xf numFmtId="0" fontId="18" fillId="2" borderId="535" applyNumberFormat="0" applyFont="0" applyAlignment="0" applyProtection="0"/>
    <xf numFmtId="0" fontId="247" fillId="28" borderId="536" applyNumberFormat="0" applyAlignment="0" applyProtection="0"/>
    <xf numFmtId="0" fontId="249" fillId="0" borderId="537" applyNumberFormat="0" applyFill="0" applyAlignment="0" applyProtection="0"/>
    <xf numFmtId="177" fontId="114" fillId="0" borderId="551" applyBorder="0"/>
    <xf numFmtId="0" fontId="18" fillId="0" borderId="553" applyNumberFormat="0" applyFill="0" applyAlignment="0" applyProtection="0"/>
    <xf numFmtId="0" fontId="247" fillId="28" borderId="558" applyNumberFormat="0" applyAlignment="0" applyProtection="0"/>
    <xf numFmtId="0" fontId="244" fillId="4" borderId="555" applyNumberFormat="0" applyAlignment="0" applyProtection="0"/>
    <xf numFmtId="0" fontId="18" fillId="2" borderId="557" applyNumberFormat="0" applyFont="0" applyAlignment="0" applyProtection="0"/>
    <xf numFmtId="0" fontId="249" fillId="0" borderId="559" applyNumberFormat="0" applyFill="0" applyAlignment="0" applyProtection="0"/>
    <xf numFmtId="0" fontId="247" fillId="28" borderId="558" applyNumberFormat="0" applyAlignment="0" applyProtection="0"/>
    <xf numFmtId="0" fontId="18" fillId="2" borderId="557" applyNumberFormat="0" applyFont="0" applyAlignment="0" applyProtection="0"/>
    <xf numFmtId="193" fontId="66" fillId="23" borderId="523" applyFont="0">
      <alignment horizontal="right"/>
    </xf>
    <xf numFmtId="0" fontId="18" fillId="0" borderId="532" applyNumberFormat="0" applyFill="0" applyAlignment="0" applyProtection="0"/>
    <xf numFmtId="10" fontId="18" fillId="25" borderId="517" applyNumberFormat="0" applyBorder="0" applyAlignment="0" applyProtection="0"/>
    <xf numFmtId="0" fontId="18" fillId="2" borderId="535" applyNumberFormat="0" applyFont="0" applyAlignment="0" applyProtection="0"/>
    <xf numFmtId="0" fontId="247" fillId="28" borderId="536" applyNumberFormat="0" applyAlignment="0" applyProtection="0"/>
    <xf numFmtId="177" fontId="114" fillId="0" borderId="538" applyBorder="0"/>
    <xf numFmtId="176" fontId="29" fillId="15" borderId="538" applyBorder="0">
      <alignment horizontal="right"/>
    </xf>
    <xf numFmtId="176" fontId="29" fillId="0" borderId="538" applyBorder="0">
      <alignment horizontal="right"/>
    </xf>
    <xf numFmtId="3" fontId="115" fillId="24" borderId="539" applyBorder="0">
      <protection locked="0"/>
    </xf>
    <xf numFmtId="37" fontId="89" fillId="0" borderId="538" applyNumberFormat="0" applyFont="0" applyFill="0" applyAlignment="0" applyProtection="0"/>
    <xf numFmtId="0" fontId="140" fillId="0" borderId="538" applyNumberFormat="0" applyBorder="0"/>
    <xf numFmtId="195" fontId="18" fillId="29" borderId="538" applyNumberFormat="0" applyFont="0" applyBorder="0" applyAlignment="0" applyProtection="0">
      <alignment horizontal="right"/>
    </xf>
    <xf numFmtId="195" fontId="18" fillId="29" borderId="538" applyNumberFormat="0" applyFont="0" applyBorder="0" applyAlignment="0" applyProtection="0">
      <alignment horizontal="right"/>
    </xf>
    <xf numFmtId="176" fontId="29" fillId="0" borderId="551" applyBorder="0">
      <alignment horizontal="right"/>
    </xf>
    <xf numFmtId="0" fontId="249" fillId="0" borderId="559" applyNumberFormat="0" applyFill="0" applyAlignment="0" applyProtection="0"/>
    <xf numFmtId="0" fontId="244" fillId="4" borderId="555" applyNumberFormat="0" applyAlignment="0" applyProtection="0"/>
    <xf numFmtId="0" fontId="237" fillId="28" borderId="555" applyNumberFormat="0" applyAlignment="0" applyProtection="0"/>
    <xf numFmtId="8" fontId="138" fillId="0" borderId="556">
      <protection locked="0"/>
    </xf>
    <xf numFmtId="0" fontId="244" fillId="4" borderId="555" applyNumberFormat="0" applyAlignment="0" applyProtection="0"/>
    <xf numFmtId="0" fontId="18" fillId="0" borderId="553" applyNumberFormat="0" applyFill="0" applyAlignment="0" applyProtection="0"/>
    <xf numFmtId="0" fontId="99" fillId="0" borderId="540" applyNumberFormat="0" applyFill="0" applyAlignment="0" applyProtection="0"/>
    <xf numFmtId="0" fontId="99" fillId="0" borderId="550" applyNumberFormat="0" applyFill="0" applyAlignment="0" applyProtection="0"/>
    <xf numFmtId="195" fontId="18" fillId="29" borderId="548" applyNumberFormat="0" applyFont="0" applyBorder="0" applyAlignment="0" applyProtection="0">
      <alignment horizontal="right"/>
    </xf>
    <xf numFmtId="37" fontId="89" fillId="0" borderId="548" applyNumberFormat="0" applyFont="0" applyFill="0" applyAlignment="0" applyProtection="0"/>
    <xf numFmtId="8" fontId="138" fillId="0" borderId="544">
      <protection locked="0"/>
    </xf>
    <xf numFmtId="0" fontId="18" fillId="0" borderId="542" applyNumberFormat="0" applyFill="0" applyAlignment="0" applyProtection="0"/>
    <xf numFmtId="0" fontId="18" fillId="0" borderId="516" applyNumberFormat="0" applyFill="0" applyAlignment="0" applyProtection="0"/>
    <xf numFmtId="9" fontId="96" fillId="25" borderId="541" applyNumberFormat="0" applyFont="0" applyAlignment="0" applyProtection="0"/>
    <xf numFmtId="4" fontId="137" fillId="0" borderId="541" applyFont="0" applyFill="0" applyBorder="0" applyAlignment="0" applyProtection="0"/>
    <xf numFmtId="259" fontId="37" fillId="25" borderId="541" applyNumberFormat="0" applyFont="0" applyAlignment="0"/>
    <xf numFmtId="10" fontId="18" fillId="25" borderId="541" applyNumberFormat="0" applyBorder="0" applyAlignment="0" applyProtection="0"/>
    <xf numFmtId="169" fontId="137" fillId="0" borderId="541" applyNumberFormat="0" applyFill="0" applyAlignment="0" applyProtection="0"/>
    <xf numFmtId="195" fontId="18" fillId="29" borderId="548" applyNumberFormat="0" applyFont="0" applyBorder="0" applyAlignment="0" applyProtection="0">
      <alignment horizontal="right"/>
    </xf>
    <xf numFmtId="3" fontId="115" fillId="24" borderId="549" applyBorder="0">
      <protection locked="0"/>
    </xf>
    <xf numFmtId="0" fontId="244" fillId="4" borderId="543" applyNumberFormat="0" applyAlignment="0" applyProtection="0"/>
    <xf numFmtId="0" fontId="18" fillId="0" borderId="516" applyNumberFormat="0" applyFill="0" applyAlignment="0" applyProtection="0"/>
    <xf numFmtId="10" fontId="18" fillId="25" borderId="541" applyNumberFormat="0" applyBorder="0" applyAlignment="0" applyProtection="0"/>
    <xf numFmtId="0" fontId="247" fillId="28" borderId="536" applyNumberFormat="0" applyAlignment="0" applyProtection="0"/>
    <xf numFmtId="177" fontId="114" fillId="0" borderId="538" applyBorder="0"/>
    <xf numFmtId="176" fontId="29" fillId="15" borderId="538" applyBorder="0">
      <alignment horizontal="right"/>
    </xf>
    <xf numFmtId="176" fontId="29" fillId="0" borderId="538" applyBorder="0">
      <alignment horizontal="right"/>
    </xf>
    <xf numFmtId="3" fontId="115" fillId="24" borderId="539" applyBorder="0">
      <protection locked="0"/>
    </xf>
    <xf numFmtId="37" fontId="89" fillId="0" borderId="538" applyNumberFormat="0" applyFont="0" applyFill="0" applyAlignment="0" applyProtection="0"/>
    <xf numFmtId="0" fontId="140" fillId="0" borderId="538" applyNumberFormat="0" applyBorder="0"/>
    <xf numFmtId="195" fontId="18" fillId="29" borderId="538" applyNumberFormat="0" applyFont="0" applyBorder="0" applyAlignment="0" applyProtection="0">
      <alignment horizontal="right"/>
    </xf>
    <xf numFmtId="195" fontId="18" fillId="29" borderId="538" applyNumberFormat="0" applyFont="0" applyBorder="0" applyAlignment="0" applyProtection="0">
      <alignment horizontal="right"/>
    </xf>
    <xf numFmtId="0" fontId="140" fillId="0" borderId="548" applyNumberFormat="0" applyBorder="0"/>
    <xf numFmtId="176" fontId="29" fillId="0" borderId="548" applyBorder="0">
      <alignment horizontal="right"/>
    </xf>
    <xf numFmtId="176" fontId="29" fillId="15" borderId="548" applyBorder="0">
      <alignment horizontal="right"/>
    </xf>
    <xf numFmtId="177" fontId="114" fillId="0" borderId="548" applyBorder="0"/>
    <xf numFmtId="0" fontId="18" fillId="2" borderId="545" applyNumberFormat="0" applyFont="0" applyAlignment="0" applyProtection="0"/>
    <xf numFmtId="0" fontId="244" fillId="4" borderId="543" applyNumberFormat="0" applyAlignment="0" applyProtection="0"/>
    <xf numFmtId="0" fontId="18" fillId="0" borderId="542" applyNumberFormat="0" applyFill="0" applyAlignment="0" applyProtection="0"/>
    <xf numFmtId="0" fontId="247" fillId="28" borderId="546" applyNumberFormat="0" applyAlignment="0" applyProtection="0"/>
    <xf numFmtId="0" fontId="249" fillId="0" borderId="547" applyNumberFormat="0" applyFill="0" applyAlignment="0" applyProtection="0"/>
    <xf numFmtId="0" fontId="18" fillId="0" borderId="542" applyNumberFormat="0" applyFill="0" applyAlignment="0" applyProtection="0"/>
    <xf numFmtId="0" fontId="244" fillId="4" borderId="543" applyNumberFormat="0" applyAlignment="0" applyProtection="0"/>
    <xf numFmtId="0" fontId="244" fillId="4" borderId="543" applyNumberFormat="0" applyAlignment="0" applyProtection="0"/>
    <xf numFmtId="0" fontId="237" fillId="28" borderId="543" applyNumberFormat="0" applyAlignment="0" applyProtection="0"/>
    <xf numFmtId="0" fontId="18" fillId="2" borderId="545" applyNumberFormat="0" applyFont="0" applyAlignment="0" applyProtection="0"/>
    <xf numFmtId="0" fontId="18" fillId="0" borderId="542" applyNumberFormat="0" applyFill="0" applyAlignment="0" applyProtection="0"/>
    <xf numFmtId="0" fontId="99" fillId="0" borderId="540" applyNumberFormat="0" applyFill="0" applyAlignment="0" applyProtection="0"/>
    <xf numFmtId="177" fontId="114" fillId="0" borderId="551" applyBorder="0"/>
    <xf numFmtId="176" fontId="29" fillId="15" borderId="551" applyBorder="0">
      <alignment horizontal="right"/>
    </xf>
    <xf numFmtId="176" fontId="29" fillId="0" borderId="551" applyBorder="0">
      <alignment horizontal="right"/>
    </xf>
    <xf numFmtId="3" fontId="115" fillId="24" borderId="552" applyBorder="0">
      <protection locked="0"/>
    </xf>
    <xf numFmtId="0" fontId="18" fillId="0" borderId="553" applyNumberFormat="0" applyFill="0" applyAlignment="0" applyProtection="0"/>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0" fontId="18" fillId="0" borderId="553" applyNumberFormat="0" applyFill="0" applyAlignment="0" applyProtection="0"/>
    <xf numFmtId="195" fontId="18" fillId="29" borderId="551" applyNumberFormat="0" applyFont="0" applyBorder="0" applyAlignment="0" applyProtection="0">
      <alignment horizontal="right"/>
    </xf>
    <xf numFmtId="0" fontId="18" fillId="2" borderId="535" applyNumberFormat="0" applyFont="0" applyAlignment="0" applyProtection="0"/>
    <xf numFmtId="0" fontId="244" fillId="4" borderId="533" applyNumberFormat="0" applyAlignment="0" applyProtection="0"/>
    <xf numFmtId="8" fontId="138" fillId="0" borderId="534">
      <protection locked="0"/>
    </xf>
    <xf numFmtId="0" fontId="237" fillId="28" borderId="533" applyNumberFormat="0" applyAlignment="0" applyProtection="0"/>
    <xf numFmtId="0" fontId="244" fillId="4" borderId="533" applyNumberFormat="0" applyAlignment="0" applyProtection="0"/>
    <xf numFmtId="0" fontId="244" fillId="4" borderId="533" applyNumberFormat="0" applyAlignment="0" applyProtection="0"/>
    <xf numFmtId="0" fontId="18" fillId="0" borderId="532" applyNumberFormat="0" applyFill="0" applyAlignment="0" applyProtection="0"/>
    <xf numFmtId="0" fontId="249" fillId="0" borderId="537" applyNumberFormat="0" applyFill="0" applyAlignment="0" applyProtection="0"/>
    <xf numFmtId="0" fontId="247" fillId="28" borderId="536" applyNumberFormat="0" applyAlignment="0" applyProtection="0"/>
    <xf numFmtId="0" fontId="18" fillId="0" borderId="532" applyNumberFormat="0" applyFill="0" applyAlignment="0" applyProtection="0"/>
    <xf numFmtId="0" fontId="244" fillId="4" borderId="533" applyNumberFormat="0" applyAlignment="0" applyProtection="0"/>
    <xf numFmtId="0" fontId="18" fillId="2" borderId="535" applyNumberFormat="0" applyFont="0" applyAlignment="0" applyProtection="0"/>
    <xf numFmtId="0" fontId="99" fillId="0" borderId="550" applyNumberFormat="0" applyFill="0" applyAlignment="0" applyProtection="0"/>
    <xf numFmtId="0" fontId="99" fillId="0" borderId="550" applyNumberFormat="0" applyFill="0" applyAlignment="0" applyProtection="0"/>
    <xf numFmtId="0" fontId="81" fillId="0" borderId="551" applyNumberFormat="0" applyFill="0" applyProtection="0">
      <alignment horizontal="right"/>
    </xf>
    <xf numFmtId="39" fontId="33" fillId="0" borderId="523" applyNumberFormat="0" applyBorder="0">
      <alignment horizontal="right"/>
    </xf>
    <xf numFmtId="1" fontId="85" fillId="0" borderId="523" applyFill="0" applyProtection="0">
      <alignment horizontal="right"/>
    </xf>
    <xf numFmtId="0" fontId="99" fillId="0" borderId="550" applyNumberFormat="0" applyFill="0" applyAlignment="0" applyProtection="0"/>
    <xf numFmtId="8" fontId="138" fillId="0" borderId="534">
      <protection locked="0"/>
    </xf>
    <xf numFmtId="10" fontId="18" fillId="25" borderId="517" applyNumberFormat="0" applyBorder="0" applyAlignment="0" applyProtection="0"/>
    <xf numFmtId="169" fontId="137" fillId="0" borderId="517" applyNumberFormat="0" applyFill="0" applyAlignment="0" applyProtection="0"/>
    <xf numFmtId="0" fontId="244" fillId="4" borderId="533" applyNumberFormat="0" applyAlignment="0" applyProtection="0"/>
    <xf numFmtId="259" fontId="37" fillId="25" borderId="517" applyNumberFormat="0" applyFont="0" applyAlignment="0"/>
    <xf numFmtId="0" fontId="18" fillId="0" borderId="532" applyNumberFormat="0" applyFill="0" applyAlignment="0" applyProtection="0"/>
    <xf numFmtId="193" fontId="66" fillId="23" borderId="523" applyFont="0">
      <alignment horizontal="right"/>
    </xf>
    <xf numFmtId="193" fontId="66" fillId="23" borderId="523" applyFont="0">
      <alignment horizontal="right"/>
    </xf>
    <xf numFmtId="0" fontId="18" fillId="0" borderId="532" applyNumberFormat="0" applyFill="0" applyAlignment="0" applyProtection="0"/>
    <xf numFmtId="9" fontId="96" fillId="25" borderId="554" applyNumberFormat="0" applyFont="0" applyAlignment="0" applyProtection="0"/>
    <xf numFmtId="4" fontId="137" fillId="0" borderId="554" applyFont="0" applyFill="0" applyBorder="0" applyAlignment="0" applyProtection="0"/>
    <xf numFmtId="0" fontId="29" fillId="0" borderId="523" applyFont="0" applyFill="0" applyBorder="0" applyAlignment="0" applyProtection="0">
      <alignment horizontal="center"/>
    </xf>
    <xf numFmtId="259" fontId="37" fillId="25" borderId="554" applyNumberFormat="0" applyFont="0" applyAlignment="0"/>
    <xf numFmtId="0" fontId="51" fillId="0" borderId="523">
      <alignment horizontal="left" vertical="center"/>
    </xf>
    <xf numFmtId="0" fontId="244" fillId="4" borderId="533" applyNumberFormat="0" applyAlignment="0" applyProtection="0"/>
    <xf numFmtId="10" fontId="18" fillId="25" borderId="554" applyNumberFormat="0" applyBorder="0" applyAlignment="0" applyProtection="0"/>
    <xf numFmtId="169" fontId="137" fillId="0" borderId="554" applyNumberFormat="0" applyFill="0" applyAlignment="0" applyProtection="0"/>
    <xf numFmtId="0" fontId="244" fillId="4" borderId="533" applyNumberFormat="0" applyAlignment="0" applyProtection="0"/>
    <xf numFmtId="10" fontId="18" fillId="25" borderId="517" applyNumberFormat="0" applyBorder="0" applyAlignment="0" applyProtection="0"/>
    <xf numFmtId="0" fontId="51" fillId="0" borderId="523">
      <alignment horizontal="left" vertical="center"/>
    </xf>
    <xf numFmtId="0" fontId="29" fillId="0" borderId="523" applyFont="0" applyFill="0" applyBorder="0" applyAlignment="0" applyProtection="0">
      <alignment horizontal="center"/>
    </xf>
    <xf numFmtId="4" fontId="137" fillId="0" borderId="517" applyFont="0" applyFill="0" applyBorder="0" applyAlignment="0" applyProtection="0"/>
    <xf numFmtId="9" fontId="96" fillId="25" borderId="517" applyNumberFormat="0" applyFont="0" applyAlignment="0" applyProtection="0"/>
    <xf numFmtId="193" fontId="66" fillId="23" borderId="523" applyFont="0">
      <alignment horizontal="right"/>
    </xf>
    <xf numFmtId="0" fontId="18" fillId="0" borderId="532" applyNumberFormat="0" applyFill="0" applyAlignment="0" applyProtection="0"/>
    <xf numFmtId="10" fontId="18" fillId="25" borderId="554" applyNumberFormat="0" applyBorder="0" applyAlignment="0" applyProtection="0"/>
    <xf numFmtId="0" fontId="18" fillId="2" borderId="535" applyNumberFormat="0" applyFont="0" applyAlignment="0" applyProtection="0"/>
    <xf numFmtId="0" fontId="244" fillId="4" borderId="533" applyNumberFormat="0" applyAlignment="0" applyProtection="0"/>
    <xf numFmtId="8" fontId="138" fillId="0" borderId="534">
      <protection locked="0"/>
    </xf>
    <xf numFmtId="0" fontId="237" fillId="28" borderId="533" applyNumberFormat="0" applyAlignment="0" applyProtection="0"/>
    <xf numFmtId="0" fontId="244" fillId="4" borderId="533" applyNumberFormat="0" applyAlignment="0" applyProtection="0"/>
    <xf numFmtId="0" fontId="244" fillId="4" borderId="533" applyNumberFormat="0" applyAlignment="0" applyProtection="0"/>
    <xf numFmtId="0" fontId="18" fillId="0" borderId="532" applyNumberFormat="0" applyFill="0" applyAlignment="0" applyProtection="0"/>
    <xf numFmtId="0" fontId="249" fillId="0" borderId="537" applyNumberFormat="0" applyFill="0" applyAlignment="0" applyProtection="0"/>
    <xf numFmtId="0" fontId="247" fillId="28" borderId="536" applyNumberFormat="0" applyAlignment="0" applyProtection="0"/>
    <xf numFmtId="0" fontId="18" fillId="0" borderId="532" applyNumberFormat="0" applyFill="0" applyAlignment="0" applyProtection="0"/>
    <xf numFmtId="0" fontId="244" fillId="4" borderId="533" applyNumberFormat="0" applyAlignment="0" applyProtection="0"/>
    <xf numFmtId="0" fontId="18" fillId="2" borderId="535" applyNumberFormat="0" applyFont="0" applyAlignment="0" applyProtection="0"/>
    <xf numFmtId="0" fontId="18" fillId="2" borderId="535" applyNumberFormat="0" applyFont="0" applyAlignment="0" applyProtection="0"/>
    <xf numFmtId="0" fontId="244" fillId="4" borderId="533" applyNumberFormat="0" applyAlignment="0" applyProtection="0"/>
    <xf numFmtId="0" fontId="18" fillId="0" borderId="532" applyNumberFormat="0" applyFill="0" applyAlignment="0" applyProtection="0"/>
    <xf numFmtId="0" fontId="247" fillId="28" borderId="536" applyNumberFormat="0" applyAlignment="0" applyProtection="0"/>
    <xf numFmtId="0" fontId="249" fillId="0" borderId="537" applyNumberFormat="0" applyFill="0" applyAlignment="0" applyProtection="0"/>
    <xf numFmtId="0" fontId="18" fillId="0" borderId="532" applyNumberFormat="0" applyFill="0" applyAlignment="0" applyProtection="0"/>
    <xf numFmtId="0" fontId="244" fillId="4" borderId="533" applyNumberFormat="0" applyAlignment="0" applyProtection="0"/>
    <xf numFmtId="0" fontId="244" fillId="4" borderId="533" applyNumberFormat="0" applyAlignment="0" applyProtection="0"/>
    <xf numFmtId="0" fontId="237" fillId="28" borderId="533" applyNumberFormat="0" applyAlignment="0" applyProtection="0"/>
    <xf numFmtId="0" fontId="18" fillId="2" borderId="535" applyNumberFormat="0" applyFont="0" applyAlignment="0" applyProtection="0"/>
    <xf numFmtId="0" fontId="18" fillId="0" borderId="532" applyNumberFormat="0" applyFill="0" applyAlignment="0" applyProtection="0"/>
    <xf numFmtId="193" fontId="66" fillId="23" borderId="523" applyFont="0">
      <alignment horizontal="right"/>
    </xf>
    <xf numFmtId="0" fontId="99" fillId="0" borderId="550" applyNumberFormat="0" applyFill="0" applyAlignment="0" applyProtection="0"/>
    <xf numFmtId="39" fontId="33" fillId="0" borderId="523" applyNumberFormat="0" applyBorder="0">
      <alignment horizontal="right"/>
    </xf>
    <xf numFmtId="1" fontId="85" fillId="0" borderId="523" applyFill="0" applyProtection="0">
      <alignment horizontal="right"/>
    </xf>
    <xf numFmtId="39" fontId="33" fillId="0" borderId="523" applyNumberFormat="0" applyBorder="0">
      <alignment horizontal="right"/>
    </xf>
    <xf numFmtId="1" fontId="85" fillId="0" borderId="523" applyFill="0" applyProtection="0">
      <alignment horizontal="right"/>
    </xf>
    <xf numFmtId="0" fontId="99" fillId="0" borderId="550" applyNumberFormat="0" applyFill="0" applyAlignment="0" applyProtection="0"/>
    <xf numFmtId="195" fontId="18" fillId="29" borderId="551" applyNumberFormat="0" applyFont="0" applyBorder="0" applyAlignment="0" applyProtection="0">
      <alignment horizontal="right"/>
    </xf>
    <xf numFmtId="37" fontId="89" fillId="0" borderId="551" applyNumberFormat="0" applyFont="0" applyFill="0" applyAlignment="0" applyProtection="0"/>
    <xf numFmtId="8" fontId="138" fillId="0" borderId="556">
      <protection locked="0"/>
    </xf>
    <xf numFmtId="10" fontId="18" fillId="25" borderId="541" applyNumberFormat="0" applyBorder="0" applyAlignment="0" applyProtection="0"/>
    <xf numFmtId="169" fontId="137" fillId="0" borderId="541" applyNumberFormat="0" applyFill="0" applyAlignment="0" applyProtection="0"/>
    <xf numFmtId="0" fontId="244" fillId="4" borderId="555" applyNumberFormat="0" applyAlignment="0" applyProtection="0"/>
    <xf numFmtId="259" fontId="37" fillId="25" borderId="541" applyNumberFormat="0" applyFont="0" applyAlignment="0"/>
    <xf numFmtId="0" fontId="18" fillId="0" borderId="553" applyNumberFormat="0" applyFill="0" applyAlignment="0" applyProtection="0"/>
    <xf numFmtId="0" fontId="18" fillId="0" borderId="553" applyNumberFormat="0" applyFill="0" applyAlignment="0" applyProtection="0"/>
    <xf numFmtId="9" fontId="96" fillId="25" borderId="541" applyNumberFormat="0" applyFont="0" applyAlignment="0" applyProtection="0"/>
    <xf numFmtId="4" fontId="137" fillId="0" borderId="541" applyFont="0" applyFill="0" applyBorder="0" applyAlignment="0" applyProtection="0"/>
    <xf numFmtId="259" fontId="37" fillId="25" borderId="541" applyNumberFormat="0" applyFont="0" applyAlignment="0"/>
    <xf numFmtId="10" fontId="18" fillId="25" borderId="541" applyNumberFormat="0" applyBorder="0" applyAlignment="0" applyProtection="0"/>
    <xf numFmtId="169" fontId="137" fillId="0" borderId="541" applyNumberFormat="0" applyFill="0" applyAlignment="0" applyProtection="0"/>
    <xf numFmtId="195" fontId="18" fillId="29" borderId="551" applyNumberFormat="0" applyFont="0" applyBorder="0" applyAlignment="0" applyProtection="0">
      <alignment horizontal="right"/>
    </xf>
    <xf numFmtId="3" fontId="115" fillId="24" borderId="552" applyBorder="0">
      <protection locked="0"/>
    </xf>
    <xf numFmtId="0" fontId="244" fillId="4" borderId="555" applyNumberFormat="0" applyAlignment="0" applyProtection="0"/>
    <xf numFmtId="10" fontId="18" fillId="25" borderId="541" applyNumberFormat="0" applyBorder="0" applyAlignment="0" applyProtection="0"/>
    <xf numFmtId="4" fontId="137" fillId="0" borderId="541" applyFont="0" applyFill="0" applyBorder="0" applyAlignment="0" applyProtection="0"/>
    <xf numFmtId="9" fontId="96" fillId="25" borderId="541" applyNumberFormat="0" applyFont="0" applyAlignment="0" applyProtection="0"/>
    <xf numFmtId="0" fontId="18" fillId="0" borderId="553" applyNumberFormat="0" applyFill="0" applyAlignment="0" applyProtection="0"/>
    <xf numFmtId="10" fontId="18" fillId="25" borderId="541" applyNumberFormat="0" applyBorder="0" applyAlignment="0" applyProtection="0"/>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244" fillId="4" borderId="555" applyNumberFormat="0" applyAlignment="0" applyProtection="0"/>
    <xf numFmtId="0" fontId="244" fillId="4" borderId="555" applyNumberFormat="0" applyAlignment="0" applyProtection="0"/>
    <xf numFmtId="0" fontId="18" fillId="0" borderId="553" applyNumberFormat="0" applyFill="0" applyAlignment="0" applyProtection="0"/>
    <xf numFmtId="0" fontId="249" fillId="0" borderId="559" applyNumberFormat="0" applyFill="0" applyAlignment="0" applyProtection="0"/>
    <xf numFmtId="0" fontId="247" fillId="28" borderId="558" applyNumberFormat="0" applyAlignment="0" applyProtection="0"/>
    <xf numFmtId="0" fontId="18" fillId="0" borderId="553" applyNumberFormat="0" applyFill="0" applyAlignment="0" applyProtection="0"/>
    <xf numFmtId="0" fontId="244" fillId="4" borderId="555" applyNumberFormat="0" applyAlignment="0" applyProtection="0"/>
    <xf numFmtId="0" fontId="18" fillId="2" borderId="55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 fontId="115" fillId="24" borderId="552" applyBorder="0">
      <protection locked="0"/>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140" fillId="0" borderId="551" applyNumberFormat="0" applyBorder="0"/>
    <xf numFmtId="176" fontId="29" fillId="0" borderId="551" applyBorder="0">
      <alignment horizontal="right"/>
    </xf>
    <xf numFmtId="176" fontId="29" fillId="15" borderId="551" applyBorder="0">
      <alignment horizontal="right"/>
    </xf>
    <xf numFmtId="177" fontId="114" fillId="0" borderId="551" applyBorder="0"/>
    <xf numFmtId="0" fontId="18" fillId="2" borderId="557" applyNumberFormat="0" applyFont="0" applyAlignment="0" applyProtection="0"/>
    <xf numFmtId="0" fontId="244" fillId="4" borderId="555" applyNumberFormat="0" applyAlignment="0" applyProtection="0"/>
    <xf numFmtId="0" fontId="18" fillId="0" borderId="553" applyNumberFormat="0" applyFill="0" applyAlignment="0" applyProtection="0"/>
    <xf numFmtId="0" fontId="247" fillId="28" borderId="558" applyNumberFormat="0" applyAlignment="0" applyProtection="0"/>
    <xf numFmtId="0" fontId="249" fillId="0" borderId="559" applyNumberFormat="0" applyFill="0" applyAlignment="0" applyProtection="0"/>
    <xf numFmtId="0" fontId="18" fillId="0" borderId="553" applyNumberFormat="0" applyFill="0" applyAlignment="0" applyProtection="0"/>
    <xf numFmtId="0" fontId="244" fillId="4" borderId="555" applyNumberFormat="0" applyAlignment="0" applyProtection="0"/>
    <xf numFmtId="0" fontId="244" fillId="4" borderId="555" applyNumberFormat="0" applyAlignment="0" applyProtection="0"/>
    <xf numFmtId="0" fontId="237" fillId="28" borderId="555" applyNumberFormat="0" applyAlignment="0" applyProtection="0"/>
    <xf numFmtId="0" fontId="18" fillId="2" borderId="557" applyNumberFormat="0" applyFont="0" applyAlignment="0" applyProtection="0"/>
    <xf numFmtId="0" fontId="18" fillId="0" borderId="553" applyNumberFormat="0" applyFill="0" applyAlignment="0" applyProtection="0"/>
    <xf numFmtId="0" fontId="99" fillId="0" borderId="550" applyNumberFormat="0" applyFill="0" applyAlignment="0" applyProtection="0"/>
    <xf numFmtId="8" fontId="138" fillId="0" borderId="556">
      <protection locked="0"/>
    </xf>
    <xf numFmtId="0" fontId="244" fillId="4" borderId="555" applyNumberFormat="0" applyAlignment="0" applyProtection="0"/>
    <xf numFmtId="0" fontId="18" fillId="0" borderId="553" applyNumberFormat="0" applyFill="0" applyAlignment="0" applyProtection="0"/>
    <xf numFmtId="0" fontId="18" fillId="0" borderId="553" applyNumberFormat="0" applyFill="0" applyAlignment="0" applyProtection="0"/>
    <xf numFmtId="9" fontId="96" fillId="25" borderId="554" applyNumberFormat="0" applyFont="0" applyAlignment="0" applyProtection="0"/>
    <xf numFmtId="4" fontId="137" fillId="0" borderId="554" applyFont="0" applyFill="0" applyBorder="0" applyAlignment="0" applyProtection="0"/>
    <xf numFmtId="259" fontId="37" fillId="25" borderId="554" applyNumberFormat="0" applyFont="0" applyAlignment="0"/>
    <xf numFmtId="0" fontId="244" fillId="4" borderId="555" applyNumberFormat="0" applyAlignment="0" applyProtection="0"/>
    <xf numFmtId="10" fontId="18" fillId="25" borderId="554" applyNumberFormat="0" applyBorder="0" applyAlignment="0" applyProtection="0"/>
    <xf numFmtId="169" fontId="137" fillId="0" borderId="554" applyNumberFormat="0" applyFill="0" applyAlignment="0" applyProtection="0"/>
    <xf numFmtId="195" fontId="18" fillId="29" borderId="551" applyNumberFormat="0" applyFont="0" applyBorder="0" applyAlignment="0" applyProtection="0">
      <alignment horizontal="right"/>
    </xf>
    <xf numFmtId="0" fontId="244" fillId="4" borderId="555" applyNumberFormat="0" applyAlignment="0" applyProtection="0"/>
    <xf numFmtId="0" fontId="18" fillId="0" borderId="553" applyNumberFormat="0" applyFill="0" applyAlignment="0" applyProtection="0"/>
    <xf numFmtId="10" fontId="18" fillId="25" borderId="554" applyNumberFormat="0" applyBorder="0" applyAlignment="0" applyProtection="0"/>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244" fillId="4" borderId="555" applyNumberFormat="0" applyAlignment="0" applyProtection="0"/>
    <xf numFmtId="0" fontId="244" fillId="4" borderId="555" applyNumberFormat="0" applyAlignment="0" applyProtection="0"/>
    <xf numFmtId="0" fontId="18" fillId="0" borderId="553" applyNumberFormat="0" applyFill="0" applyAlignment="0" applyProtection="0"/>
    <xf numFmtId="0" fontId="249" fillId="0" borderId="559" applyNumberFormat="0" applyFill="0" applyAlignment="0" applyProtection="0"/>
    <xf numFmtId="0" fontId="247" fillId="28" borderId="558" applyNumberFormat="0" applyAlignment="0" applyProtection="0"/>
    <xf numFmtId="0" fontId="18" fillId="0" borderId="553" applyNumberFormat="0" applyFill="0" applyAlignment="0" applyProtection="0"/>
    <xf numFmtId="0" fontId="244" fillId="4" borderId="555" applyNumberFormat="0" applyAlignment="0" applyProtection="0"/>
    <xf numFmtId="0" fontId="18" fillId="2" borderId="55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140" fillId="0" borderId="551" applyNumberFormat="0" applyBorder="0"/>
    <xf numFmtId="176" fontId="29" fillId="0" borderId="551" applyBorder="0">
      <alignment horizontal="right"/>
    </xf>
    <xf numFmtId="176" fontId="29" fillId="15" borderId="551" applyBorder="0">
      <alignment horizontal="right"/>
    </xf>
    <xf numFmtId="177" fontId="114" fillId="0" borderId="551" applyBorder="0"/>
    <xf numFmtId="0" fontId="18" fillId="2" borderId="557" applyNumberFormat="0" applyFont="0" applyAlignment="0" applyProtection="0"/>
    <xf numFmtId="0" fontId="244" fillId="4" borderId="555" applyNumberFormat="0" applyAlignment="0" applyProtection="0"/>
    <xf numFmtId="0" fontId="18" fillId="0" borderId="553" applyNumberFormat="0" applyFill="0" applyAlignment="0" applyProtection="0"/>
    <xf numFmtId="0" fontId="247" fillId="28" borderId="558" applyNumberFormat="0" applyAlignment="0" applyProtection="0"/>
    <xf numFmtId="0" fontId="249" fillId="0" borderId="559" applyNumberFormat="0" applyFill="0" applyAlignment="0" applyProtection="0"/>
    <xf numFmtId="0" fontId="18" fillId="0" borderId="553" applyNumberFormat="0" applyFill="0" applyAlignment="0" applyProtection="0"/>
    <xf numFmtId="0" fontId="244" fillId="4" borderId="555" applyNumberFormat="0" applyAlignment="0" applyProtection="0"/>
    <xf numFmtId="0" fontId="244" fillId="4" borderId="555" applyNumberFormat="0" applyAlignment="0" applyProtection="0"/>
    <xf numFmtId="0" fontId="237" fillId="28" borderId="555" applyNumberFormat="0" applyAlignment="0" applyProtection="0"/>
    <xf numFmtId="0" fontId="18" fillId="2" borderId="557" applyNumberFormat="0" applyFont="0" applyAlignment="0" applyProtection="0"/>
    <xf numFmtId="0" fontId="18" fillId="0" borderId="553" applyNumberFormat="0" applyFill="0" applyAlignment="0" applyProtection="0"/>
    <xf numFmtId="0" fontId="99" fillId="0" borderId="550" applyNumberFormat="0" applyFill="0" applyAlignment="0" applyProtection="0"/>
    <xf numFmtId="177" fontId="114" fillId="0" borderId="551" applyBorder="0"/>
    <xf numFmtId="176" fontId="29" fillId="15" borderId="551" applyBorder="0">
      <alignment horizontal="right"/>
    </xf>
    <xf numFmtId="176" fontId="29" fillId="0" borderId="551" applyBorder="0">
      <alignment horizontal="right"/>
    </xf>
    <xf numFmtId="0" fontId="18" fillId="0" borderId="553" applyNumberFormat="0" applyFill="0" applyAlignment="0" applyProtection="0"/>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0" fontId="244" fillId="4" borderId="555" applyNumberFormat="0" applyAlignment="0" applyProtection="0"/>
    <xf numFmtId="0" fontId="18" fillId="0" borderId="553" applyNumberFormat="0" applyFill="0" applyAlignment="0" applyProtection="0"/>
    <xf numFmtId="195" fontId="18" fillId="29" borderId="551" applyNumberFormat="0" applyFont="0" applyBorder="0" applyAlignment="0" applyProtection="0">
      <alignment horizontal="right"/>
    </xf>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244" fillId="4" borderId="555" applyNumberFormat="0" applyAlignment="0" applyProtection="0"/>
    <xf numFmtId="0" fontId="244" fillId="4" borderId="555" applyNumberFormat="0" applyAlignment="0" applyProtection="0"/>
    <xf numFmtId="0" fontId="18" fillId="0" borderId="553" applyNumberFormat="0" applyFill="0" applyAlignment="0" applyProtection="0"/>
    <xf numFmtId="0" fontId="249" fillId="0" borderId="559" applyNumberFormat="0" applyFill="0" applyAlignment="0" applyProtection="0"/>
    <xf numFmtId="0" fontId="247" fillId="28" borderId="558" applyNumberFormat="0" applyAlignment="0" applyProtection="0"/>
    <xf numFmtId="0" fontId="18" fillId="0" borderId="553" applyNumberFormat="0" applyFill="0" applyAlignment="0" applyProtection="0"/>
    <xf numFmtId="0" fontId="244" fillId="4" borderId="555" applyNumberFormat="0" applyAlignment="0" applyProtection="0"/>
    <xf numFmtId="0" fontId="18" fillId="2" borderId="55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 fontId="115" fillId="24" borderId="552" applyBorder="0">
      <protection locked="0"/>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99" fillId="0" borderId="550" applyNumberFormat="0" applyFill="0" applyAlignment="0" applyProtection="0"/>
    <xf numFmtId="0" fontId="99" fillId="0" borderId="550" applyNumberFormat="0" applyFill="0" applyAlignment="0" applyProtection="0"/>
    <xf numFmtId="0" fontId="81" fillId="0" borderId="551" applyNumberFormat="0" applyFill="0" applyProtection="0">
      <alignment horizontal="right"/>
    </xf>
    <xf numFmtId="0" fontId="99" fillId="0" borderId="550" applyNumberFormat="0" applyFill="0" applyAlignment="0" applyProtection="0"/>
    <xf numFmtId="195" fontId="18" fillId="29" borderId="551" applyNumberFormat="0" applyFont="0" applyBorder="0" applyAlignment="0" applyProtection="0">
      <alignment horizontal="right"/>
    </xf>
    <xf numFmtId="37" fontId="89" fillId="0" borderId="551" applyNumberFormat="0" applyFont="0" applyFill="0" applyAlignment="0" applyProtection="0"/>
    <xf numFmtId="8" fontId="138" fillId="0" borderId="556">
      <protection locked="0"/>
    </xf>
    <xf numFmtId="0" fontId="244" fillId="4" borderId="555" applyNumberFormat="0" applyAlignment="0" applyProtection="0"/>
    <xf numFmtId="0" fontId="18" fillId="0" borderId="553" applyNumberFormat="0" applyFill="0" applyAlignment="0" applyProtection="0"/>
    <xf numFmtId="0" fontId="18" fillId="0" borderId="553" applyNumberFormat="0" applyFill="0" applyAlignment="0" applyProtection="0"/>
    <xf numFmtId="9" fontId="96" fillId="25" borderId="554" applyNumberFormat="0" applyFont="0" applyAlignment="0" applyProtection="0"/>
    <xf numFmtId="4" fontId="137" fillId="0" borderId="554" applyFont="0" applyFill="0" applyBorder="0" applyAlignment="0" applyProtection="0"/>
    <xf numFmtId="259" fontId="37" fillId="25" borderId="554" applyNumberFormat="0" applyFont="0" applyAlignment="0"/>
    <xf numFmtId="0" fontId="244" fillId="4" borderId="555" applyNumberFormat="0" applyAlignment="0" applyProtection="0"/>
    <xf numFmtId="10" fontId="18" fillId="25" borderId="554" applyNumberFormat="0" applyBorder="0" applyAlignment="0" applyProtection="0"/>
    <xf numFmtId="169" fontId="137" fillId="0" borderId="554" applyNumberFormat="0" applyFill="0" applyAlignment="0" applyProtection="0"/>
    <xf numFmtId="195" fontId="18" fillId="29" borderId="551" applyNumberFormat="0" applyFont="0" applyBorder="0" applyAlignment="0" applyProtection="0">
      <alignment horizontal="right"/>
    </xf>
    <xf numFmtId="3" fontId="115" fillId="24" borderId="552" applyBorder="0">
      <protection locked="0"/>
    </xf>
    <xf numFmtId="0" fontId="244" fillId="4" borderId="555" applyNumberFormat="0" applyAlignment="0" applyProtection="0"/>
    <xf numFmtId="0" fontId="18" fillId="0" borderId="553" applyNumberFormat="0" applyFill="0" applyAlignment="0" applyProtection="0"/>
    <xf numFmtId="10" fontId="18" fillId="25" borderId="554" applyNumberFormat="0" applyBorder="0" applyAlignment="0" applyProtection="0"/>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244" fillId="4" borderId="555" applyNumberFormat="0" applyAlignment="0" applyProtection="0"/>
    <xf numFmtId="0" fontId="244" fillId="4" borderId="555" applyNumberFormat="0" applyAlignment="0" applyProtection="0"/>
    <xf numFmtId="0" fontId="18" fillId="0" borderId="553" applyNumberFormat="0" applyFill="0" applyAlignment="0" applyProtection="0"/>
    <xf numFmtId="0" fontId="249" fillId="0" borderId="559" applyNumberFormat="0" applyFill="0" applyAlignment="0" applyProtection="0"/>
    <xf numFmtId="0" fontId="247" fillId="28" borderId="558" applyNumberFormat="0" applyAlignment="0" applyProtection="0"/>
    <xf numFmtId="0" fontId="18" fillId="0" borderId="553" applyNumberFormat="0" applyFill="0" applyAlignment="0" applyProtection="0"/>
    <xf numFmtId="0" fontId="244" fillId="4" borderId="555" applyNumberFormat="0" applyAlignment="0" applyProtection="0"/>
    <xf numFmtId="0" fontId="18" fillId="2" borderId="55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 fontId="115" fillId="24" borderId="552" applyBorder="0">
      <protection locked="0"/>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140" fillId="0" borderId="551" applyNumberFormat="0" applyBorder="0"/>
    <xf numFmtId="176" fontId="29" fillId="0" borderId="551" applyBorder="0">
      <alignment horizontal="right"/>
    </xf>
    <xf numFmtId="176" fontId="29" fillId="15" borderId="551" applyBorder="0">
      <alignment horizontal="right"/>
    </xf>
    <xf numFmtId="177" fontId="114" fillId="0" borderId="551" applyBorder="0"/>
    <xf numFmtId="0" fontId="18" fillId="2" borderId="557" applyNumberFormat="0" applyFont="0" applyAlignment="0" applyProtection="0"/>
    <xf numFmtId="0" fontId="244" fillId="4" borderId="555" applyNumberFormat="0" applyAlignment="0" applyProtection="0"/>
    <xf numFmtId="0" fontId="18" fillId="0" borderId="553" applyNumberFormat="0" applyFill="0" applyAlignment="0" applyProtection="0"/>
    <xf numFmtId="0" fontId="247" fillId="28" borderId="558" applyNumberFormat="0" applyAlignment="0" applyProtection="0"/>
    <xf numFmtId="0" fontId="249" fillId="0" borderId="559" applyNumberFormat="0" applyFill="0" applyAlignment="0" applyProtection="0"/>
    <xf numFmtId="0" fontId="18" fillId="0" borderId="553" applyNumberFormat="0" applyFill="0" applyAlignment="0" applyProtection="0"/>
    <xf numFmtId="0" fontId="244" fillId="4" borderId="555" applyNumberFormat="0" applyAlignment="0" applyProtection="0"/>
    <xf numFmtId="0" fontId="244" fillId="4" borderId="555" applyNumberFormat="0" applyAlignment="0" applyProtection="0"/>
    <xf numFmtId="0" fontId="237" fillId="28" borderId="555" applyNumberFormat="0" applyAlignment="0" applyProtection="0"/>
    <xf numFmtId="0" fontId="18" fillId="2" borderId="557" applyNumberFormat="0" applyFont="0" applyAlignment="0" applyProtection="0"/>
    <xf numFmtId="0" fontId="18" fillId="0" borderId="553" applyNumberFormat="0" applyFill="0" applyAlignment="0" applyProtection="0"/>
    <xf numFmtId="0" fontId="99" fillId="0" borderId="550" applyNumberFormat="0" applyFill="0" applyAlignment="0" applyProtection="0"/>
    <xf numFmtId="0" fontId="99" fillId="0" borderId="550" applyNumberFormat="0" applyFill="0" applyAlignment="0" applyProtection="0"/>
    <xf numFmtId="195" fontId="18" fillId="29" borderId="551" applyNumberFormat="0" applyFont="0" applyBorder="0" applyAlignment="0" applyProtection="0">
      <alignment horizontal="right"/>
    </xf>
    <xf numFmtId="37" fontId="89" fillId="0" borderId="551" applyNumberFormat="0" applyFont="0" applyFill="0" applyAlignment="0" applyProtection="0"/>
    <xf numFmtId="8" fontId="138" fillId="0" borderId="556">
      <protection locked="0"/>
    </xf>
    <xf numFmtId="10" fontId="18" fillId="25" borderId="554" applyNumberFormat="0" applyBorder="0" applyAlignment="0" applyProtection="0"/>
    <xf numFmtId="169" fontId="137" fillId="0" borderId="554" applyNumberFormat="0" applyFill="0" applyAlignment="0" applyProtection="0"/>
    <xf numFmtId="0" fontId="244" fillId="4" borderId="555" applyNumberFormat="0" applyAlignment="0" applyProtection="0"/>
    <xf numFmtId="259" fontId="37" fillId="25" borderId="554" applyNumberFormat="0" applyFont="0" applyAlignment="0"/>
    <xf numFmtId="0" fontId="18" fillId="0" borderId="553" applyNumberFormat="0" applyFill="0" applyAlignment="0" applyProtection="0"/>
    <xf numFmtId="0" fontId="18" fillId="0" borderId="553" applyNumberFormat="0" applyFill="0" applyAlignment="0" applyProtection="0"/>
    <xf numFmtId="9" fontId="96" fillId="25" borderId="554" applyNumberFormat="0" applyFont="0" applyAlignment="0" applyProtection="0"/>
    <xf numFmtId="4" fontId="137" fillId="0" borderId="554" applyFont="0" applyFill="0" applyBorder="0" applyAlignment="0" applyProtection="0"/>
    <xf numFmtId="259" fontId="37" fillId="25" borderId="554" applyNumberFormat="0" applyFont="0" applyAlignment="0"/>
    <xf numFmtId="10" fontId="18" fillId="25" borderId="554" applyNumberFormat="0" applyBorder="0" applyAlignment="0" applyProtection="0"/>
    <xf numFmtId="169" fontId="137" fillId="0" borderId="554" applyNumberFormat="0" applyFill="0" applyAlignment="0" applyProtection="0"/>
    <xf numFmtId="195" fontId="18" fillId="29" borderId="551" applyNumberFormat="0" applyFont="0" applyBorder="0" applyAlignment="0" applyProtection="0">
      <alignment horizontal="right"/>
    </xf>
    <xf numFmtId="0" fontId="244" fillId="4" borderId="555" applyNumberFormat="0" applyAlignment="0" applyProtection="0"/>
    <xf numFmtId="10" fontId="18" fillId="25" borderId="554" applyNumberFormat="0" applyBorder="0" applyAlignment="0" applyProtection="0"/>
    <xf numFmtId="4" fontId="137" fillId="0" borderId="554" applyFont="0" applyFill="0" applyBorder="0" applyAlignment="0" applyProtection="0"/>
    <xf numFmtId="9" fontId="96" fillId="25" borderId="554" applyNumberFormat="0" applyFont="0" applyAlignment="0" applyProtection="0"/>
    <xf numFmtId="0" fontId="18" fillId="0" borderId="553" applyNumberFormat="0" applyFill="0" applyAlignment="0" applyProtection="0"/>
    <xf numFmtId="10" fontId="18" fillId="25" borderId="554" applyNumberFormat="0" applyBorder="0" applyAlignment="0" applyProtection="0"/>
    <xf numFmtId="0" fontId="18" fillId="2" borderId="557" applyNumberFormat="0" applyFont="0" applyAlignment="0" applyProtection="0"/>
    <xf numFmtId="0" fontId="244" fillId="4" borderId="555" applyNumberFormat="0" applyAlignment="0" applyProtection="0"/>
    <xf numFmtId="8" fontId="138" fillId="0" borderId="556">
      <protection locked="0"/>
    </xf>
    <xf numFmtId="0" fontId="237" fillId="28" borderId="555" applyNumberFormat="0" applyAlignment="0" applyProtection="0"/>
    <xf numFmtId="0" fontId="244" fillId="4" borderId="555" applyNumberFormat="0" applyAlignment="0" applyProtection="0"/>
    <xf numFmtId="0" fontId="244" fillId="4" borderId="555" applyNumberFormat="0" applyAlignment="0" applyProtection="0"/>
    <xf numFmtId="0" fontId="18" fillId="0" borderId="553" applyNumberFormat="0" applyFill="0" applyAlignment="0" applyProtection="0"/>
    <xf numFmtId="0" fontId="249" fillId="0" borderId="559" applyNumberFormat="0" applyFill="0" applyAlignment="0" applyProtection="0"/>
    <xf numFmtId="0" fontId="247" fillId="28" borderId="558" applyNumberFormat="0" applyAlignment="0" applyProtection="0"/>
    <xf numFmtId="0" fontId="18" fillId="0" borderId="553" applyNumberFormat="0" applyFill="0" applyAlignment="0" applyProtection="0"/>
    <xf numFmtId="0" fontId="244" fillId="4" borderId="555" applyNumberFormat="0" applyAlignment="0" applyProtection="0"/>
    <xf numFmtId="0" fontId="18" fillId="2" borderId="55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140" fillId="0" borderId="551" applyNumberFormat="0" applyBorder="0"/>
    <xf numFmtId="176" fontId="29" fillId="0" borderId="551" applyBorder="0">
      <alignment horizontal="right"/>
    </xf>
    <xf numFmtId="176" fontId="29" fillId="15" borderId="551" applyBorder="0">
      <alignment horizontal="right"/>
    </xf>
    <xf numFmtId="177" fontId="114" fillId="0" borderId="551" applyBorder="0"/>
    <xf numFmtId="0" fontId="18" fillId="2" borderId="557" applyNumberFormat="0" applyFont="0" applyAlignment="0" applyProtection="0"/>
    <xf numFmtId="0" fontId="244" fillId="4" borderId="555" applyNumberFormat="0" applyAlignment="0" applyProtection="0"/>
    <xf numFmtId="0" fontId="18" fillId="0" borderId="553" applyNumberFormat="0" applyFill="0" applyAlignment="0" applyProtection="0"/>
    <xf numFmtId="0" fontId="247" fillId="28" borderId="558" applyNumberFormat="0" applyAlignment="0" applyProtection="0"/>
    <xf numFmtId="0" fontId="249" fillId="0" borderId="559" applyNumberFormat="0" applyFill="0" applyAlignment="0" applyProtection="0"/>
    <xf numFmtId="0" fontId="18" fillId="0" borderId="553" applyNumberFormat="0" applyFill="0" applyAlignment="0" applyProtection="0"/>
    <xf numFmtId="0" fontId="244" fillId="4" borderId="555" applyNumberFormat="0" applyAlignment="0" applyProtection="0"/>
    <xf numFmtId="0" fontId="244" fillId="4" borderId="555" applyNumberFormat="0" applyAlignment="0" applyProtection="0"/>
    <xf numFmtId="0" fontId="237" fillId="28" borderId="555" applyNumberFormat="0" applyAlignment="0" applyProtection="0"/>
    <xf numFmtId="0" fontId="18" fillId="2" borderId="557" applyNumberFormat="0" applyFont="0" applyAlignment="0" applyProtection="0"/>
    <xf numFmtId="0" fontId="18" fillId="0" borderId="553" applyNumberFormat="0" applyFill="0" applyAlignment="0" applyProtection="0"/>
    <xf numFmtId="0" fontId="99" fillId="0" borderId="550" applyNumberFormat="0" applyFill="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18" fillId="0" borderId="0" applyNumberFormat="0" applyFill="0" applyBorder="0" applyAlignment="0" applyProtection="0"/>
    <xf numFmtId="0" fontId="97" fillId="0" borderId="0" applyNumberFormat="0" applyFill="0" applyBorder="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114" fillId="0" borderId="551" applyBorder="0"/>
    <xf numFmtId="177" fontId="114" fillId="0" borderId="551" applyBorder="0"/>
    <xf numFmtId="0" fontId="29" fillId="15" borderId="551" applyBorder="0">
      <alignment horizontal="right"/>
    </xf>
    <xf numFmtId="176" fontId="29" fillId="15" borderId="551" applyBorder="0">
      <alignment horizontal="right"/>
    </xf>
    <xf numFmtId="0" fontId="29" fillId="0" borderId="551" applyBorder="0">
      <alignment horizontal="right"/>
    </xf>
    <xf numFmtId="176" fontId="29" fillId="0" borderId="551" applyBorder="0">
      <alignment horizontal="right"/>
    </xf>
    <xf numFmtId="193" fontId="66" fillId="23" borderId="560" applyFont="0">
      <alignment horizontal="right"/>
    </xf>
    <xf numFmtId="0" fontId="208" fillId="28" borderId="533" applyNumberFormat="0" applyAlignment="0" applyProtection="0"/>
    <xf numFmtId="195" fontId="18" fillId="29" borderId="551" applyNumberFormat="0" applyFont="0" applyBorder="0" applyAlignment="0" applyProtection="0">
      <alignment horizontal="right"/>
    </xf>
    <xf numFmtId="0" fontId="51" fillId="0" borderId="560">
      <alignment horizontal="left" vertical="center"/>
    </xf>
    <xf numFmtId="0" fontId="195" fillId="2" borderId="535" applyNumberFormat="0" applyFont="0" applyAlignment="0" applyProtection="0"/>
    <xf numFmtId="0" fontId="215" fillId="28" borderId="558"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253" fontId="93" fillId="0" borderId="385" applyBorder="0" applyProtection="0">
      <alignment horizontal="right" vertical="center"/>
    </xf>
    <xf numFmtId="253" fontId="93" fillId="0" borderId="385" applyBorder="0" applyProtection="0">
      <alignment horizontal="right" vertical="center"/>
    </xf>
    <xf numFmtId="0" fontId="175" fillId="32" borderId="385" applyBorder="0" applyProtection="0">
      <alignment horizontal="centerContinuous" vertical="center"/>
    </xf>
    <xf numFmtId="1" fontId="85" fillId="0" borderId="560" applyFill="0" applyProtection="0">
      <alignment horizontal="right"/>
    </xf>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0" fillId="0" borderId="0"/>
    <xf numFmtId="0" fontId="208" fillId="28" borderId="533" applyNumberFormat="0" applyAlignment="0" applyProtection="0"/>
    <xf numFmtId="0" fontId="195" fillId="2" borderId="535" applyNumberFormat="0" applyFont="0" applyAlignment="0" applyProtection="0"/>
    <xf numFmtId="0" fontId="215" fillId="28" borderId="558" applyNumberFormat="0" applyAlignment="0" applyProtection="0"/>
    <xf numFmtId="177" fontId="114" fillId="0" borderId="551" applyBorder="0"/>
    <xf numFmtId="176" fontId="29" fillId="15" borderId="551" applyBorder="0">
      <alignment horizontal="right"/>
    </xf>
    <xf numFmtId="176" fontId="29" fillId="0" borderId="551" applyBorder="0">
      <alignment horizontal="right"/>
    </xf>
    <xf numFmtId="37" fontId="89" fillId="0" borderId="551" applyNumberFormat="0" applyFont="0" applyFill="0" applyAlignment="0" applyProtection="0"/>
    <xf numFmtId="0" fontId="140" fillId="0" borderId="551" applyNumberFormat="0" applyBorder="0"/>
    <xf numFmtId="0" fontId="29" fillId="0" borderId="560" applyFont="0" applyFill="0" applyBorder="0" applyAlignment="0" applyProtection="0">
      <alignment horizontal="center"/>
    </xf>
    <xf numFmtId="0" fontId="247" fillId="28" borderId="558" applyNumberFormat="0" applyAlignment="0" applyProtection="0"/>
    <xf numFmtId="193" fontId="66" fillId="23" borderId="560" applyFont="0">
      <alignment horizontal="right"/>
    </xf>
    <xf numFmtId="0" fontId="169" fillId="0" borderId="561">
      <alignment horizontal="centerContinuous"/>
    </xf>
    <xf numFmtId="0" fontId="169" fillId="0" borderId="561">
      <protection locked="0"/>
    </xf>
    <xf numFmtId="0" fontId="175" fillId="32" borderId="385" applyBorder="0" applyProtection="0">
      <alignment horizontal="centerContinuous" vertical="center"/>
    </xf>
    <xf numFmtId="0" fontId="114" fillId="0" borderId="551" applyBorder="0"/>
    <xf numFmtId="177" fontId="114" fillId="0" borderId="551" applyBorder="0"/>
    <xf numFmtId="0" fontId="29" fillId="15" borderId="551" applyBorder="0">
      <alignment horizontal="right"/>
    </xf>
    <xf numFmtId="176" fontId="29" fillId="15" borderId="551" applyBorder="0">
      <alignment horizontal="right"/>
    </xf>
    <xf numFmtId="0" fontId="29" fillId="0" borderId="551" applyBorder="0">
      <alignment horizontal="right"/>
    </xf>
    <xf numFmtId="176" fontId="29" fillId="0" borderId="551" applyBorder="0">
      <alignment horizontal="right"/>
    </xf>
    <xf numFmtId="0" fontId="102" fillId="0" borderId="360" applyNumberFormat="0" applyFont="0" applyFill="0" applyAlignment="0" applyProtection="0"/>
    <xf numFmtId="0" fontId="102" fillId="0" borderId="360" applyNumberFormat="0" applyFont="0" applyFill="0" applyAlignment="0" applyProtection="0"/>
    <xf numFmtId="0" fontId="208" fillId="28" borderId="533" applyNumberFormat="0" applyAlignment="0" applyProtection="0"/>
    <xf numFmtId="195" fontId="18" fillId="29" borderId="551" applyNumberFormat="0" applyFont="0" applyBorder="0" applyAlignment="0" applyProtection="0">
      <alignment horizontal="right"/>
    </xf>
    <xf numFmtId="0" fontId="195" fillId="2" borderId="535" applyNumberFormat="0" applyFont="0" applyAlignment="0" applyProtection="0"/>
    <xf numFmtId="0" fontId="215" fillId="28" borderId="558" applyNumberFormat="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81" fillId="0" borderId="551" applyNumberFormat="0" applyFill="0" applyProtection="0">
      <alignment horizontal="right"/>
    </xf>
    <xf numFmtId="253" fontId="93" fillId="0" borderId="385" applyBorder="0" applyProtection="0">
      <alignment horizontal="right" vertical="center"/>
    </xf>
    <xf numFmtId="253" fontId="93" fillId="0" borderId="385" applyBorder="0" applyProtection="0">
      <alignment horizontal="right" vertical="center"/>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208" fillId="28" borderId="533" applyNumberFormat="0" applyAlignment="0" applyProtection="0"/>
    <xf numFmtId="0" fontId="195" fillId="2" borderId="535" applyNumberFormat="0" applyFont="0" applyAlignment="0" applyProtection="0"/>
    <xf numFmtId="0" fontId="215" fillId="28" borderId="558" applyNumberFormat="0" applyAlignment="0" applyProtection="0"/>
    <xf numFmtId="0" fontId="93" fillId="0" borderId="361" applyNumberFormat="0" applyAlignment="0" applyProtection="0"/>
    <xf numFmtId="0" fontId="169" fillId="0" borderId="561">
      <alignment horizontal="centerContinuous"/>
    </xf>
    <xf numFmtId="0" fontId="169" fillId="0" borderId="561">
      <protection locked="0"/>
    </xf>
    <xf numFmtId="177" fontId="114" fillId="0" borderId="551" applyBorder="0"/>
    <xf numFmtId="176" fontId="29" fillId="15" borderId="551" applyBorder="0">
      <alignment horizontal="right"/>
    </xf>
    <xf numFmtId="176" fontId="29" fillId="0" borderId="551" applyBorder="0">
      <alignment horizontal="right"/>
    </xf>
    <xf numFmtId="0" fontId="124" fillId="0" borderId="385"/>
    <xf numFmtId="0" fontId="126" fillId="0" borderId="385" applyNumberFormat="0" applyFill="0" applyAlignment="0" applyProtection="0"/>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0" fontId="82" fillId="0" borderId="385" applyNumberFormat="0" applyFill="0" applyProtection="0"/>
    <xf numFmtId="253" fontId="93" fillId="0" borderId="385" applyBorder="0" applyProtection="0">
      <alignment horizontal="right" vertical="center"/>
    </xf>
    <xf numFmtId="253" fontId="93" fillId="0" borderId="385" applyBorder="0" applyProtection="0">
      <alignment horizontal="right" vertical="center"/>
    </xf>
    <xf numFmtId="0" fontId="175" fillId="32" borderId="385" applyBorder="0" applyProtection="0">
      <alignment horizontal="centerContinuous" vertical="center"/>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195" fontId="18" fillId="29" borderId="551" applyNumberFormat="0" applyFont="0" applyBorder="0" applyAlignment="0" applyProtection="0">
      <alignment horizontal="right"/>
    </xf>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175" fillId="32" borderId="385" applyBorder="0" applyProtection="0">
      <alignment horizontal="centerContinuous" vertical="center"/>
    </xf>
    <xf numFmtId="253" fontId="93" fillId="0" borderId="385" applyBorder="0" applyProtection="0">
      <alignment horizontal="right" vertical="center"/>
    </xf>
    <xf numFmtId="253" fontId="93" fillId="0" borderId="385" applyBorder="0" applyProtection="0">
      <alignment horizontal="right" vertical="center"/>
    </xf>
    <xf numFmtId="0" fontId="82" fillId="0" borderId="385" applyNumberFormat="0" applyFill="0" applyProtection="0"/>
    <xf numFmtId="0" fontId="124" fillId="0" borderId="385"/>
    <xf numFmtId="0" fontId="102" fillId="0" borderId="360" applyNumberFormat="0" applyFont="0" applyFill="0" applyAlignment="0" applyProtection="0"/>
    <xf numFmtId="0" fontId="102" fillId="0" borderId="360" applyNumberFormat="0" applyFont="0" applyFill="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26" fillId="0" borderId="385" applyNumberFormat="0" applyFill="0" applyAlignment="0" applyProtection="0"/>
    <xf numFmtId="0" fontId="93" fillId="0" borderId="361" applyNumberFormat="0" applyAlignment="0" applyProtection="0"/>
    <xf numFmtId="0" fontId="169" fillId="0" borderId="561">
      <alignment horizontal="centerContinuous"/>
    </xf>
    <xf numFmtId="0" fontId="169" fillId="0" borderId="561">
      <protection locked="0"/>
    </xf>
    <xf numFmtId="0" fontId="102" fillId="0" borderId="360" applyNumberFormat="0" applyFont="0" applyFill="0" applyAlignment="0" applyProtection="0"/>
    <xf numFmtId="0" fontId="102" fillId="0" borderId="360" applyNumberFormat="0" applyFont="0" applyFill="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93" fillId="0" borderId="361" applyNumberFormat="0" applyAlignment="0" applyProtection="0"/>
    <xf numFmtId="0" fontId="169" fillId="0" borderId="561">
      <alignment horizontal="centerContinuous"/>
    </xf>
    <xf numFmtId="0" fontId="169" fillId="0" borderId="561">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102" fillId="0" borderId="360" applyNumberFormat="0" applyFont="0" applyFill="0" applyAlignment="0" applyProtection="0"/>
    <xf numFmtId="0" fontId="102" fillId="0" borderId="360" applyNumberFormat="0" applyFont="0" applyFill="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93" fillId="0" borderId="361" applyNumberFormat="0" applyAlignment="0" applyProtection="0"/>
    <xf numFmtId="0" fontId="169" fillId="0" borderId="561">
      <alignment horizontal="centerContinuous"/>
    </xf>
    <xf numFmtId="0" fontId="169" fillId="0" borderId="561">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175" fillId="32" borderId="385" applyBorder="0" applyProtection="0">
      <alignment horizontal="centerContinuous" vertical="center"/>
    </xf>
    <xf numFmtId="253" fontId="93" fillId="0" borderId="385" applyBorder="0" applyProtection="0">
      <alignment horizontal="right" vertical="center"/>
    </xf>
    <xf numFmtId="253" fontId="93" fillId="0" borderId="385" applyBorder="0" applyProtection="0">
      <alignment horizontal="right" vertical="center"/>
    </xf>
    <xf numFmtId="0" fontId="82" fillId="0" borderId="385" applyNumberFormat="0" applyFill="0" applyProtection="0"/>
    <xf numFmtId="0" fontId="124" fillId="0" borderId="385"/>
    <xf numFmtId="0" fontId="102" fillId="0" borderId="360" applyNumberFormat="0" applyFont="0" applyFill="0" applyAlignment="0" applyProtection="0"/>
    <xf numFmtId="0" fontId="102" fillId="0" borderId="360" applyNumberFormat="0" applyFont="0" applyFill="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26" fillId="0" borderId="385" applyNumberFormat="0" applyFill="0" applyAlignment="0" applyProtection="0"/>
    <xf numFmtId="0" fontId="93" fillId="0" borderId="361" applyNumberFormat="0" applyAlignment="0" applyProtection="0"/>
    <xf numFmtId="0" fontId="169" fillId="0" borderId="561">
      <alignment horizontal="centerContinuous"/>
    </xf>
    <xf numFmtId="0" fontId="169" fillId="0" borderId="561">
      <protection locked="0"/>
    </xf>
    <xf numFmtId="0" fontId="102" fillId="0" borderId="360" applyNumberFormat="0" applyFont="0" applyFill="0" applyAlignment="0" applyProtection="0"/>
    <xf numFmtId="0" fontId="102" fillId="0" borderId="360" applyNumberFormat="0" applyFont="0" applyFill="0" applyAlignment="0" applyProtection="0"/>
    <xf numFmtId="0" fontId="93" fillId="0" borderId="361" applyNumberFormat="0" applyAlignment="0" applyProtection="0"/>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protection locked="0"/>
    </xf>
    <xf numFmtId="0" fontId="169" fillId="0" borderId="561">
      <alignment horizontal="centerContinuous"/>
    </xf>
    <xf numFmtId="0" fontId="169" fillId="0" borderId="561">
      <alignment horizontal="centerContinuous"/>
    </xf>
    <xf numFmtId="0" fontId="169" fillId="0" borderId="561">
      <alignment horizontal="centerContinuous"/>
    </xf>
    <xf numFmtId="0" fontId="169" fillId="0" borderId="561">
      <alignment horizontal="centerContinuous"/>
    </xf>
    <xf numFmtId="0" fontId="93" fillId="0" borderId="361" applyNumberFormat="0" applyAlignment="0" applyProtection="0"/>
    <xf numFmtId="0" fontId="169" fillId="0" borderId="561">
      <alignment horizontal="centerContinuous"/>
    </xf>
    <xf numFmtId="0" fontId="169" fillId="0" borderId="561">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32" fillId="0" borderId="561" applyNumberFormat="0" applyFont="0" applyFill="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293" fontId="275" fillId="0" borderId="385" applyFill="0" applyAlignment="0" applyProtection="0">
      <alignment horizontal="center"/>
    </xf>
    <xf numFmtId="0" fontId="18" fillId="0" borderId="0" applyNumberForma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220" fillId="0" borderId="385" applyFill="0" applyBorder="0" applyProtection="0">
      <alignment horizontal="center" wrapText="1"/>
    </xf>
    <xf numFmtId="0" fontId="33" fillId="75" borderId="562">
      <alignment horizontal="left" vertical="center" wrapText="1"/>
    </xf>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205" fontId="18" fillId="0" borderId="0" applyNumberForma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75" fillId="0" borderId="385" applyNumberFormat="0" applyFill="0" applyAlignment="0" applyProtection="0"/>
    <xf numFmtId="1" fontId="139" fillId="0" borderId="560" applyFill="0" applyBorder="0" applyProtection="0">
      <alignment horizontal="right"/>
    </xf>
    <xf numFmtId="292" fontId="275" fillId="0" borderId="551" applyNumberFormat="0" applyFill="0" applyAlignment="0" applyProtection="0"/>
    <xf numFmtId="0" fontId="135" fillId="2" borderId="535" applyNumberFormat="0" applyFont="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10" fillId="0" borderId="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81" fillId="0" borderId="551" applyNumberFormat="0" applyFill="0" applyProtection="0">
      <alignment horizontal="right"/>
    </xf>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95" fontId="18" fillId="29" borderId="551" applyNumberFormat="0" applyFont="0" applyBorder="0" applyAlignment="0" applyProtection="0">
      <alignment horizontal="right"/>
    </xf>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63" applyNumberFormat="0" applyFill="0" applyAlignment="0" applyProtection="0"/>
    <xf numFmtId="195" fontId="18" fillId="29" borderId="551" applyNumberFormat="0" applyFont="0" applyBorder="0" applyAlignment="0" applyProtection="0">
      <alignment horizontal="right"/>
    </xf>
    <xf numFmtId="0" fontId="126" fillId="0" borderId="385" applyNumberFormat="0" applyFill="0" applyAlignment="0" applyProtection="0"/>
    <xf numFmtId="0" fontId="124" fillId="0" borderId="385"/>
    <xf numFmtId="0" fontId="124" fillId="0" borderId="385"/>
    <xf numFmtId="253" fontId="93" fillId="0" borderId="385" applyBorder="0" applyProtection="0">
      <alignment horizontal="right" vertical="center"/>
    </xf>
    <xf numFmtId="0" fontId="175" fillId="32" borderId="385" applyBorder="0" applyProtection="0">
      <alignment horizontal="centerContinuous" vertical="center"/>
    </xf>
    <xf numFmtId="0" fontId="126" fillId="0" borderId="385" applyNumberFormat="0" applyFill="0" applyAlignment="0" applyProtection="0"/>
    <xf numFmtId="0" fontId="124" fillId="0" borderId="385"/>
    <xf numFmtId="0" fontId="124" fillId="0" borderId="385"/>
    <xf numFmtId="0" fontId="114" fillId="0" borderId="551" applyBorder="0"/>
    <xf numFmtId="177" fontId="114" fillId="0" borderId="551" applyBorder="0"/>
    <xf numFmtId="0" fontId="29" fillId="15" borderId="551" applyBorder="0">
      <alignment horizontal="right"/>
    </xf>
    <xf numFmtId="176" fontId="29" fillId="15" borderId="551" applyBorder="0">
      <alignment horizontal="right"/>
    </xf>
    <xf numFmtId="0" fontId="29" fillId="0" borderId="551" applyBorder="0">
      <alignment horizontal="right"/>
    </xf>
    <xf numFmtId="176" fontId="29" fillId="0" borderId="551" applyBorder="0">
      <alignment horizontal="right"/>
    </xf>
    <xf numFmtId="195" fontId="18" fillId="29" borderId="551" applyNumberFormat="0" applyFont="0" applyBorder="0" applyAlignment="0" applyProtection="0">
      <alignment horizontal="right"/>
    </xf>
    <xf numFmtId="0" fontId="126" fillId="0" borderId="385" applyNumberFormat="0" applyFill="0" applyAlignment="0" applyProtection="0"/>
    <xf numFmtId="253" fontId="93" fillId="0" borderId="385" applyBorder="0" applyProtection="0">
      <alignment horizontal="right" vertical="center"/>
    </xf>
    <xf numFmtId="0" fontId="82" fillId="0" borderId="385" applyNumberFormat="0" applyFill="0" applyProtection="0"/>
    <xf numFmtId="0" fontId="126" fillId="0" borderId="385" applyNumberFormat="0" applyFill="0" applyAlignment="0" applyProtection="0"/>
    <xf numFmtId="195" fontId="18" fillId="29" borderId="551" applyNumberFormat="0" applyFont="0" applyBorder="0" applyAlignment="0" applyProtection="0">
      <alignment horizontal="right"/>
    </xf>
    <xf numFmtId="195" fontId="18" fillId="29" borderId="551" applyNumberFormat="0" applyFont="0" applyBorder="0" applyAlignment="0" applyProtection="0">
      <alignment horizontal="right"/>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195" fontId="18" fillId="29" borderId="551" applyNumberFormat="0" applyFont="0" applyBorder="0" applyAlignment="0" applyProtection="0">
      <alignment horizontal="right"/>
    </xf>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175" fillId="32" borderId="385" applyBorder="0" applyProtection="0">
      <alignment horizontal="centerContinuous" vertical="center"/>
    </xf>
    <xf numFmtId="253" fontId="93" fillId="0" borderId="385" applyBorder="0" applyProtection="0">
      <alignment horizontal="right" vertical="center"/>
    </xf>
    <xf numFmtId="253" fontId="93" fillId="0" borderId="385" applyBorder="0" applyProtection="0">
      <alignment horizontal="right" vertical="center"/>
    </xf>
    <xf numFmtId="0" fontId="82" fillId="0" borderId="385" applyNumberFormat="0" applyFill="0" applyProtection="0"/>
    <xf numFmtId="0" fontId="124" fillId="0" borderId="385"/>
    <xf numFmtId="0" fontId="126" fillId="0" borderId="385" applyNumberFormat="0" applyFill="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253" fontId="93" fillId="0" borderId="385" applyBorder="0" applyProtection="0">
      <alignment horizontal="right" vertical="center"/>
    </xf>
    <xf numFmtId="253" fontId="93" fillId="0" borderId="385" applyBorder="0" applyProtection="0">
      <alignment horizontal="right" vertical="center"/>
    </xf>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293" fontId="275" fillId="0" borderId="385" applyFill="0" applyAlignment="0" applyProtection="0">
      <alignment horizontal="center"/>
    </xf>
    <xf numFmtId="166" fontId="6" fillId="0" borderId="0" applyFont="0" applyFill="0" applyBorder="0" applyAlignment="0" applyProtection="0"/>
    <xf numFmtId="166" fontId="6" fillId="0" borderId="0" applyFont="0" applyFill="0" applyBorder="0" applyAlignment="0" applyProtection="0"/>
    <xf numFmtId="0" fontId="220" fillId="0" borderId="385" applyFill="0" applyBorder="0" applyProtection="0">
      <alignment horizontal="center" wrapText="1"/>
    </xf>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275" fillId="0" borderId="385" applyNumberFormat="0" applyFill="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95" fontId="18" fillId="29" borderId="551" applyNumberFormat="0" applyFont="0" applyBorder="0" applyAlignment="0" applyProtection="0">
      <alignment horizontal="right"/>
    </xf>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175" fillId="32" borderId="385" applyBorder="0" applyProtection="0">
      <alignment horizontal="centerContinuous" vertical="center"/>
    </xf>
    <xf numFmtId="0" fontId="82" fillId="0" borderId="385" applyNumberFormat="0" applyFill="0" applyProtection="0"/>
    <xf numFmtId="0" fontId="81" fillId="0" borderId="551" applyNumberFormat="0" applyFill="0" applyProtection="0">
      <alignment horizontal="right"/>
    </xf>
    <xf numFmtId="195" fontId="18" fillId="29" borderId="551" applyNumberFormat="0" applyFont="0" applyBorder="0" applyAlignment="0" applyProtection="0">
      <alignment horizontal="right"/>
    </xf>
    <xf numFmtId="193" fontId="66" fillId="23" borderId="560" applyFont="0">
      <alignment horizontal="right"/>
    </xf>
    <xf numFmtId="0" fontId="18" fillId="0" borderId="564" applyNumberFormat="0" applyFill="0" applyAlignment="0" applyProtection="0"/>
    <xf numFmtId="0" fontId="208" fillId="28" borderId="565" applyNumberFormat="0" applyAlignment="0" applyProtection="0"/>
    <xf numFmtId="8" fontId="138" fillId="0" borderId="566">
      <protection locked="0"/>
    </xf>
    <xf numFmtId="0" fontId="51" fillId="0" borderId="560">
      <alignment horizontal="left" vertical="center"/>
    </xf>
    <xf numFmtId="0" fontId="195" fillId="2" borderId="567" applyNumberFormat="0" applyFont="0" applyAlignment="0" applyProtection="0"/>
    <xf numFmtId="0" fontId="215" fillId="28" borderId="568" applyNumberFormat="0" applyAlignment="0" applyProtection="0"/>
    <xf numFmtId="1" fontId="85" fillId="0" borderId="560" applyFill="0" applyProtection="0">
      <alignment horizontal="right"/>
    </xf>
    <xf numFmtId="0" fontId="208" fillId="28" borderId="565" applyNumberFormat="0" applyAlignment="0" applyProtection="0"/>
    <xf numFmtId="0" fontId="195" fillId="2" borderId="567" applyNumberFormat="0" applyFont="0" applyAlignment="0" applyProtection="0"/>
    <xf numFmtId="0" fontId="215" fillId="28" borderId="568" applyNumberFormat="0" applyAlignment="0" applyProtection="0"/>
    <xf numFmtId="0" fontId="18" fillId="0" borderId="564" applyNumberFormat="0" applyFill="0" applyAlignment="0" applyProtection="0"/>
    <xf numFmtId="0" fontId="237" fillId="28" borderId="565" applyNumberFormat="0" applyAlignment="0" applyProtection="0"/>
    <xf numFmtId="8" fontId="138" fillId="0" borderId="566">
      <protection locked="0"/>
    </xf>
    <xf numFmtId="0" fontId="29" fillId="0" borderId="560" applyFont="0" applyFill="0" applyBorder="0" applyAlignment="0" applyProtection="0">
      <alignment horizontal="center"/>
    </xf>
    <xf numFmtId="0" fontId="244" fillId="4" borderId="565" applyNumberFormat="0" applyAlignment="0" applyProtection="0"/>
    <xf numFmtId="0" fontId="18" fillId="2" borderId="567" applyNumberFormat="0" applyFont="0" applyAlignment="0" applyProtection="0"/>
    <xf numFmtId="0" fontId="247" fillId="28" borderId="568" applyNumberFormat="0" applyAlignment="0" applyProtection="0"/>
    <xf numFmtId="0" fontId="249" fillId="0" borderId="569" applyNumberFormat="0" applyFill="0" applyAlignment="0" applyProtection="0"/>
    <xf numFmtId="193" fontId="66" fillId="23" borderId="560" applyFont="0">
      <alignment horizontal="right"/>
    </xf>
    <xf numFmtId="177" fontId="114" fillId="0" borderId="570" applyBorder="0"/>
    <xf numFmtId="0" fontId="114" fillId="0" borderId="570" applyBorder="0"/>
    <xf numFmtId="177" fontId="114" fillId="0" borderId="570" applyBorder="0"/>
    <xf numFmtId="176" fontId="29" fillId="15" borderId="570" applyBorder="0">
      <alignment horizontal="right"/>
    </xf>
    <xf numFmtId="0" fontId="29" fillId="15" borderId="570" applyBorder="0">
      <alignment horizontal="right"/>
    </xf>
    <xf numFmtId="176" fontId="29" fillId="15" borderId="570" applyBorder="0">
      <alignment horizontal="right"/>
    </xf>
    <xf numFmtId="176" fontId="29" fillId="0" borderId="570" applyBorder="0">
      <alignment horizontal="right"/>
    </xf>
    <xf numFmtId="0" fontId="29" fillId="0" borderId="570" applyBorder="0">
      <alignment horizontal="right"/>
    </xf>
    <xf numFmtId="176" fontId="29" fillId="0" borderId="570" applyBorder="0">
      <alignment horizontal="right"/>
    </xf>
    <xf numFmtId="37" fontId="89" fillId="0" borderId="570" applyNumberFormat="0" applyFont="0" applyFill="0" applyAlignment="0" applyProtection="0"/>
    <xf numFmtId="0" fontId="208" fillId="28" borderId="565" applyNumberFormat="0" applyAlignment="0" applyProtection="0"/>
    <xf numFmtId="0" fontId="140" fillId="0" borderId="570" applyNumberFormat="0" applyBorder="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0" fontId="195" fillId="2" borderId="567" applyNumberFormat="0" applyFont="0" applyAlignment="0" applyProtection="0"/>
    <xf numFmtId="0" fontId="215" fillId="28" borderId="568" applyNumberFormat="0" applyAlignment="0" applyProtection="0"/>
    <xf numFmtId="0" fontId="81" fillId="0" borderId="570" applyNumberFormat="0" applyFill="0" applyProtection="0">
      <alignment horizontal="right"/>
    </xf>
    <xf numFmtId="0" fontId="208" fillId="28" borderId="565" applyNumberFormat="0" applyAlignment="0" applyProtection="0"/>
    <xf numFmtId="0" fontId="195" fillId="2" borderId="567" applyNumberFormat="0" applyFont="0" applyAlignment="0" applyProtection="0"/>
    <xf numFmtId="0" fontId="215" fillId="28" borderId="568" applyNumberFormat="0" applyAlignment="0" applyProtection="0"/>
    <xf numFmtId="177" fontId="114" fillId="0" borderId="570" applyBorder="0"/>
    <xf numFmtId="176" fontId="29" fillId="15" borderId="570" applyBorder="0">
      <alignment horizontal="right"/>
    </xf>
    <xf numFmtId="176" fontId="29" fillId="0" borderId="570" applyBorder="0">
      <alignment horizontal="right"/>
    </xf>
    <xf numFmtId="37" fontId="89" fillId="0" borderId="570" applyNumberFormat="0" applyFont="0" applyFill="0" applyAlignment="0" applyProtection="0"/>
    <xf numFmtId="0" fontId="140" fillId="0" borderId="570" applyNumberFormat="0" applyBorder="0"/>
    <xf numFmtId="195" fontId="18" fillId="29" borderId="570" applyNumberFormat="0" applyFont="0" applyBorder="0" applyAlignment="0" applyProtection="0">
      <alignment horizontal="right"/>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33" fillId="75" borderId="571">
      <alignment horizontal="left" vertical="center" wrapText="1"/>
    </xf>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 fontId="139" fillId="0" borderId="560" applyFill="0" applyBorder="0" applyProtection="0">
      <alignment horizontal="right"/>
    </xf>
    <xf numFmtId="292" fontId="275" fillId="0" borderId="570" applyNumberFormat="0" applyFill="0" applyAlignment="0" applyProtection="0"/>
    <xf numFmtId="0" fontId="135" fillId="2" borderId="567" applyNumberFormat="0" applyFont="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72" applyNumberFormat="0" applyFill="0" applyAlignment="0" applyProtection="0"/>
    <xf numFmtId="0" fontId="140" fillId="0" borderId="570" applyNumberFormat="0" applyBorder="0"/>
    <xf numFmtId="37" fontId="89" fillId="0" borderId="570" applyNumberFormat="0" applyFont="0" applyFill="0" applyAlignment="0" applyProtection="0"/>
    <xf numFmtId="176" fontId="29" fillId="0" borderId="570" applyBorder="0">
      <alignment horizontal="right"/>
    </xf>
    <xf numFmtId="195" fontId="18" fillId="29" borderId="570" applyNumberFormat="0" applyFont="0" applyBorder="0" applyAlignment="0" applyProtection="0">
      <alignment horizontal="right"/>
    </xf>
    <xf numFmtId="0" fontId="126" fillId="0" borderId="385" applyNumberFormat="0" applyFill="0" applyAlignment="0" applyProtection="0"/>
    <xf numFmtId="0" fontId="124" fillId="0" borderId="385"/>
    <xf numFmtId="0" fontId="124" fillId="0" borderId="385"/>
    <xf numFmtId="253" fontId="93" fillId="0" borderId="385" applyBorder="0" applyProtection="0">
      <alignment horizontal="right" vertical="center"/>
    </xf>
    <xf numFmtId="0" fontId="175" fillId="32" borderId="385" applyBorder="0" applyProtection="0">
      <alignment horizontal="centerContinuous" vertical="center"/>
    </xf>
    <xf numFmtId="0" fontId="126" fillId="0" borderId="385" applyNumberFormat="0" applyFill="0" applyAlignment="0" applyProtection="0"/>
    <xf numFmtId="0" fontId="124" fillId="0" borderId="385"/>
    <xf numFmtId="0" fontId="124" fillId="0" borderId="385"/>
    <xf numFmtId="3" fontId="115" fillId="24" borderId="573" applyBorder="0">
      <protection locked="0"/>
    </xf>
    <xf numFmtId="0" fontId="18" fillId="0" borderId="564" applyNumberFormat="0" applyFill="0" applyAlignment="0" applyProtection="0"/>
    <xf numFmtId="0" fontId="18" fillId="0" borderId="564" applyNumberFormat="0" applyFill="0" applyAlignment="0" applyProtection="0"/>
    <xf numFmtId="0" fontId="18" fillId="2" borderId="567" applyNumberFormat="0" applyFont="0" applyAlignment="0" applyProtection="0"/>
    <xf numFmtId="0" fontId="126" fillId="0" borderId="385" applyNumberFormat="0" applyFill="0" applyAlignment="0" applyProtection="0"/>
    <xf numFmtId="253" fontId="93" fillId="0" borderId="385" applyBorder="0" applyProtection="0">
      <alignment horizontal="right" vertical="center"/>
    </xf>
    <xf numFmtId="0" fontId="82" fillId="0" borderId="385" applyNumberFormat="0" applyFill="0" applyProtection="0"/>
    <xf numFmtId="0" fontId="126" fillId="0" borderId="385" applyNumberFormat="0" applyFill="0" applyAlignment="0" applyProtection="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195" fontId="18" fillId="29" borderId="570" applyNumberFormat="0" applyFont="0" applyBorder="0" applyAlignment="0" applyProtection="0">
      <alignment horizontal="right"/>
    </xf>
    <xf numFmtId="176" fontId="29" fillId="15" borderId="570" applyBorder="0">
      <alignment horizontal="right"/>
    </xf>
    <xf numFmtId="177" fontId="114" fillId="0" borderId="570" applyBorder="0"/>
    <xf numFmtId="0" fontId="81" fillId="0" borderId="570" applyNumberFormat="0" applyFill="0" applyProtection="0">
      <alignment horizontal="right"/>
    </xf>
    <xf numFmtId="253" fontId="93" fillId="0" borderId="385" applyBorder="0" applyProtection="0">
      <alignment horizontal="right" vertical="center"/>
    </xf>
    <xf numFmtId="253" fontId="93" fillId="0" borderId="385" applyBorder="0" applyProtection="0">
      <alignment horizontal="right" vertical="center"/>
    </xf>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175" fillId="32" borderId="385" applyBorder="0" applyProtection="0">
      <alignment horizontal="centerContinuous" vertical="center"/>
    </xf>
    <xf numFmtId="0" fontId="82" fillId="0" borderId="385" applyNumberFormat="0" applyFill="0" applyProtection="0"/>
    <xf numFmtId="0" fontId="81" fillId="0" borderId="570" applyNumberFormat="0" applyFill="0" applyProtection="0">
      <alignment horizontal="right"/>
    </xf>
    <xf numFmtId="195" fontId="18" fillId="29" borderId="570" applyNumberFormat="0" applyFont="0" applyBorder="0" applyAlignment="0" applyProtection="0">
      <alignment horizontal="right"/>
    </xf>
    <xf numFmtId="176" fontId="29" fillId="0" borderId="570" applyBorder="0">
      <alignment horizontal="right"/>
    </xf>
    <xf numFmtId="177" fontId="114" fillId="0" borderId="570" applyBorder="0"/>
    <xf numFmtId="0" fontId="215" fillId="28" borderId="568" applyNumberFormat="0" applyAlignment="0" applyProtection="0"/>
    <xf numFmtId="0" fontId="195" fillId="2" borderId="567" applyNumberFormat="0" applyFont="0" applyAlignment="0" applyProtection="0"/>
    <xf numFmtId="0" fontId="208" fillId="28" borderId="565" applyNumberFormat="0" applyAlignment="0" applyProtection="0"/>
    <xf numFmtId="0" fontId="81" fillId="0" borderId="570" applyNumberFormat="0" applyFill="0" applyProtection="0">
      <alignment horizontal="right"/>
    </xf>
    <xf numFmtId="0" fontId="215" fillId="28" borderId="568" applyNumberFormat="0" applyAlignment="0" applyProtection="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37" fontId="89" fillId="0" borderId="570" applyNumberFormat="0" applyFont="0" applyFill="0" applyAlignment="0" applyProtection="0"/>
    <xf numFmtId="176" fontId="29" fillId="0" borderId="570" applyBorder="0">
      <alignment horizontal="right"/>
    </xf>
    <xf numFmtId="176" fontId="29" fillId="0" borderId="570" applyBorder="0">
      <alignment horizontal="right"/>
    </xf>
    <xf numFmtId="0" fontId="29" fillId="15" borderId="570" applyBorder="0">
      <alignment horizontal="right"/>
    </xf>
    <xf numFmtId="176" fontId="29" fillId="15" borderId="570" applyBorder="0">
      <alignment horizontal="right"/>
    </xf>
    <xf numFmtId="177" fontId="114" fillId="0" borderId="570" applyBorder="0"/>
    <xf numFmtId="177" fontId="114" fillId="0" borderId="570" applyBorder="0"/>
    <xf numFmtId="0" fontId="247" fillId="28" borderId="568" applyNumberFormat="0" applyAlignment="0" applyProtection="0"/>
    <xf numFmtId="0" fontId="18" fillId="2" borderId="567" applyNumberFormat="0" applyFont="0" applyAlignment="0" applyProtection="0"/>
    <xf numFmtId="0" fontId="244" fillId="4" borderId="565" applyNumberFormat="0" applyAlignment="0" applyProtection="0"/>
    <xf numFmtId="0" fontId="237" fillId="28" borderId="565" applyNumberFormat="0" applyAlignment="0" applyProtection="0"/>
    <xf numFmtId="0" fontId="18" fillId="0" borderId="564" applyNumberFormat="0" applyFill="0" applyAlignment="0" applyProtection="0"/>
    <xf numFmtId="0" fontId="215" fillId="28" borderId="568" applyNumberFormat="0" applyAlignment="0" applyProtection="0"/>
    <xf numFmtId="0" fontId="208" fillId="28" borderId="565" applyNumberFormat="0" applyAlignment="0" applyProtection="0"/>
    <xf numFmtId="0" fontId="215" fillId="28" borderId="568" applyNumberFormat="0" applyAlignment="0" applyProtection="0"/>
    <xf numFmtId="0" fontId="195" fillId="2" borderId="567" applyNumberFormat="0" applyFont="0" applyAlignment="0" applyProtection="0"/>
    <xf numFmtId="176" fontId="29" fillId="15" borderId="570" applyBorder="0">
      <alignment horizontal="right"/>
    </xf>
    <xf numFmtId="0" fontId="195" fillId="2" borderId="567" applyNumberFormat="0" applyFont="0" applyAlignment="0" applyProtection="0"/>
    <xf numFmtId="176" fontId="29" fillId="15" borderId="570" applyBorder="0">
      <alignment horizontal="right"/>
    </xf>
    <xf numFmtId="0" fontId="114" fillId="0" borderId="570" applyBorder="0"/>
    <xf numFmtId="0" fontId="195" fillId="2" borderId="567" applyNumberFormat="0" applyFont="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135" fillId="2" borderId="567" applyNumberFormat="0" applyFont="0" applyAlignment="0" applyProtection="0"/>
    <xf numFmtId="292" fontId="275" fillId="0" borderId="570" applyNumberFormat="0" applyFill="0" applyAlignment="0" applyProtection="0"/>
    <xf numFmtId="195" fontId="18" fillId="29" borderId="570" applyNumberFormat="0" applyFont="0" applyBorder="0" applyAlignment="0" applyProtection="0">
      <alignment horizontal="right"/>
    </xf>
    <xf numFmtId="0" fontId="140" fillId="0" borderId="570" applyNumberFormat="0" applyBorder="0"/>
    <xf numFmtId="0" fontId="140" fillId="0" borderId="570" applyNumberFormat="0" applyBorder="0"/>
    <xf numFmtId="0" fontId="208" fillId="28" borderId="565" applyNumberFormat="0" applyAlignment="0" applyProtection="0"/>
    <xf numFmtId="0" fontId="29" fillId="0" borderId="570" applyBorder="0">
      <alignment horizontal="right"/>
    </xf>
    <xf numFmtId="0" fontId="249" fillId="0" borderId="569" applyNumberFormat="0" applyFill="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18" fillId="0" borderId="564" applyNumberFormat="0" applyFill="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37" fontId="89" fillId="0" borderId="570" applyNumberFormat="0" applyFont="0" applyFill="0" applyAlignment="0" applyProtection="0"/>
    <xf numFmtId="0" fontId="208" fillId="28" borderId="565" applyNumberFormat="0" applyAlignment="0" applyProtection="0"/>
    <xf numFmtId="0" fontId="114" fillId="0" borderId="570" applyBorder="0"/>
    <xf numFmtId="177" fontId="114" fillId="0" borderId="570" applyBorder="0"/>
    <xf numFmtId="0" fontId="29" fillId="15" borderId="570" applyBorder="0">
      <alignment horizontal="right"/>
    </xf>
    <xf numFmtId="176" fontId="29" fillId="15" borderId="570" applyBorder="0">
      <alignment horizontal="right"/>
    </xf>
    <xf numFmtId="0" fontId="29" fillId="0" borderId="570" applyBorder="0">
      <alignment horizontal="right"/>
    </xf>
    <xf numFmtId="176" fontId="29" fillId="0" borderId="570" applyBorder="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195" fontId="18" fillId="29" borderId="570" applyNumberFormat="0" applyFont="0" applyBorder="0" applyAlignment="0" applyProtection="0">
      <alignment horizontal="right"/>
    </xf>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95" fontId="18" fillId="29" borderId="570" applyNumberFormat="0" applyFont="0" applyBorder="0" applyAlignment="0" applyProtection="0">
      <alignment horizontal="right"/>
    </xf>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95" fontId="18" fillId="29" borderId="570" applyNumberFormat="0" applyFont="0" applyBorder="0" applyAlignment="0" applyProtection="0">
      <alignment horizontal="right"/>
    </xf>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8" fontId="138" fillId="0" borderId="566">
      <protection locked="0"/>
    </xf>
    <xf numFmtId="8" fontId="138" fillId="0" borderId="566">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33" fillId="75" borderId="571">
      <alignment horizontal="left" vertical="center" wrapText="1"/>
    </xf>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72" applyNumberFormat="0" applyFill="0" applyAlignment="0" applyProtection="0"/>
    <xf numFmtId="3" fontId="115" fillId="24" borderId="573" applyBorder="0">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70" applyNumberFormat="0" applyBorder="0"/>
    <xf numFmtId="37" fontId="89" fillId="0" borderId="570" applyNumberFormat="0" applyFont="0" applyFill="0" applyAlignment="0" applyProtection="0"/>
    <xf numFmtId="176" fontId="29" fillId="0" borderId="570" applyBorder="0">
      <alignment horizontal="right"/>
    </xf>
    <xf numFmtId="195" fontId="18" fillId="29" borderId="570" applyNumberFormat="0" applyFont="0" applyBorder="0" applyAlignment="0" applyProtection="0">
      <alignment horizontal="right"/>
    </xf>
    <xf numFmtId="0" fontId="18" fillId="0" borderId="564" applyNumberFormat="0" applyFill="0" applyAlignment="0" applyProtection="0"/>
    <xf numFmtId="0" fontId="18" fillId="0" borderId="564" applyNumberFormat="0" applyFill="0" applyAlignment="0" applyProtection="0"/>
    <xf numFmtId="0" fontId="18" fillId="2" borderId="567" applyNumberFormat="0" applyFont="0" applyAlignment="0" applyProtection="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76" fontId="29" fillId="15" borderId="570" applyBorder="0">
      <alignment horizontal="right"/>
    </xf>
    <xf numFmtId="177" fontId="114" fillId="0" borderId="570" applyBorder="0"/>
    <xf numFmtId="0" fontId="81" fillId="0" borderId="570" applyNumberFormat="0" applyFill="0" applyProtection="0">
      <alignment horizontal="right"/>
    </xf>
    <xf numFmtId="0" fontId="81" fillId="0" borderId="570" applyNumberFormat="0" applyFill="0" applyProtection="0">
      <alignment horizontal="right"/>
    </xf>
    <xf numFmtId="195" fontId="18" fillId="29" borderId="570" applyNumberFormat="0" applyFont="0" applyBorder="0" applyAlignment="0" applyProtection="0">
      <alignment horizontal="right"/>
    </xf>
    <xf numFmtId="0" fontId="18" fillId="0" borderId="564" applyNumberFormat="0" applyFill="0" applyAlignment="0" applyProtection="0"/>
    <xf numFmtId="0" fontId="208" fillId="28" borderId="565" applyNumberFormat="0" applyAlignment="0" applyProtection="0"/>
    <xf numFmtId="8" fontId="138" fillId="0" borderId="566">
      <protection locked="0"/>
    </xf>
    <xf numFmtId="0" fontId="195" fillId="2" borderId="567" applyNumberFormat="0" applyFont="0" applyAlignment="0" applyProtection="0"/>
    <xf numFmtId="0" fontId="215" fillId="28" borderId="568" applyNumberFormat="0" applyAlignment="0" applyProtection="0"/>
    <xf numFmtId="0" fontId="208" fillId="28" borderId="565" applyNumberFormat="0" applyAlignment="0" applyProtection="0"/>
    <xf numFmtId="0" fontId="195" fillId="2" borderId="567" applyNumberFormat="0" applyFont="0" applyAlignment="0" applyProtection="0"/>
    <xf numFmtId="0" fontId="215" fillId="28" borderId="568" applyNumberFormat="0" applyAlignment="0" applyProtection="0"/>
    <xf numFmtId="0" fontId="18" fillId="0" borderId="564" applyNumberFormat="0" applyFill="0" applyAlignment="0" applyProtection="0"/>
    <xf numFmtId="0" fontId="237" fillId="28" borderId="565" applyNumberFormat="0" applyAlignment="0" applyProtection="0"/>
    <xf numFmtId="8" fontId="138" fillId="0" borderId="566">
      <protection locked="0"/>
    </xf>
    <xf numFmtId="0" fontId="244" fillId="4" borderId="565" applyNumberFormat="0" applyAlignment="0" applyProtection="0"/>
    <xf numFmtId="0" fontId="18" fillId="2" borderId="567" applyNumberFormat="0" applyFont="0" applyAlignment="0" applyProtection="0"/>
    <xf numFmtId="0" fontId="247" fillId="28" borderId="568" applyNumberFormat="0" applyAlignment="0" applyProtection="0"/>
    <xf numFmtId="0" fontId="249" fillId="0" borderId="569" applyNumberFormat="0" applyFill="0" applyAlignment="0" applyProtection="0"/>
    <xf numFmtId="177" fontId="114" fillId="0" borderId="570" applyBorder="0"/>
    <xf numFmtId="0" fontId="114" fillId="0" borderId="570" applyBorder="0"/>
    <xf numFmtId="177" fontId="114" fillId="0" borderId="570" applyBorder="0"/>
    <xf numFmtId="176" fontId="29" fillId="15" borderId="570" applyBorder="0">
      <alignment horizontal="right"/>
    </xf>
    <xf numFmtId="0" fontId="29" fillId="15" borderId="570" applyBorder="0">
      <alignment horizontal="right"/>
    </xf>
    <xf numFmtId="176" fontId="29" fillId="15" borderId="570" applyBorder="0">
      <alignment horizontal="right"/>
    </xf>
    <xf numFmtId="176" fontId="29" fillId="0" borderId="570" applyBorder="0">
      <alignment horizontal="right"/>
    </xf>
    <xf numFmtId="0" fontId="29" fillId="0" borderId="570" applyBorder="0">
      <alignment horizontal="right"/>
    </xf>
    <xf numFmtId="176" fontId="29" fillId="0" borderId="570" applyBorder="0">
      <alignment horizontal="right"/>
    </xf>
    <xf numFmtId="37" fontId="89" fillId="0" borderId="570" applyNumberFormat="0" applyFont="0" applyFill="0" applyAlignment="0" applyProtection="0"/>
    <xf numFmtId="0" fontId="208" fillId="28" borderId="565" applyNumberFormat="0" applyAlignment="0" applyProtection="0"/>
    <xf numFmtId="0" fontId="140" fillId="0" borderId="570" applyNumberFormat="0" applyBorder="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0" fontId="195" fillId="2" borderId="567" applyNumberFormat="0" applyFont="0" applyAlignment="0" applyProtection="0"/>
    <xf numFmtId="0" fontId="215" fillId="28" borderId="568" applyNumberFormat="0" applyAlignment="0" applyProtection="0"/>
    <xf numFmtId="0" fontId="81" fillId="0" borderId="570" applyNumberFormat="0" applyFill="0" applyProtection="0">
      <alignment horizontal="right"/>
    </xf>
    <xf numFmtId="0" fontId="208" fillId="28" borderId="565" applyNumberFormat="0" applyAlignment="0" applyProtection="0"/>
    <xf numFmtId="0" fontId="195" fillId="2" borderId="567" applyNumberFormat="0" applyFont="0" applyAlignment="0" applyProtection="0"/>
    <xf numFmtId="0" fontId="215" fillId="28" borderId="568" applyNumberFormat="0" applyAlignment="0" applyProtection="0"/>
    <xf numFmtId="177" fontId="114" fillId="0" borderId="570" applyBorder="0"/>
    <xf numFmtId="176" fontId="29" fillId="15" borderId="570" applyBorder="0">
      <alignment horizontal="right"/>
    </xf>
    <xf numFmtId="176" fontId="29" fillId="0" borderId="570" applyBorder="0">
      <alignment horizontal="right"/>
    </xf>
    <xf numFmtId="37" fontId="89" fillId="0" borderId="570" applyNumberFormat="0" applyFont="0" applyFill="0" applyAlignment="0" applyProtection="0"/>
    <xf numFmtId="0" fontId="140" fillId="0" borderId="570" applyNumberFormat="0" applyBorder="0"/>
    <xf numFmtId="195" fontId="18" fillId="29" borderId="570" applyNumberFormat="0" applyFont="0" applyBorder="0" applyAlignment="0" applyProtection="0">
      <alignment horizontal="right"/>
    </xf>
    <xf numFmtId="0" fontId="33" fillId="75" borderId="571">
      <alignment horizontal="left" vertical="center" wrapText="1"/>
    </xf>
    <xf numFmtId="292" fontId="275" fillId="0" borderId="570" applyNumberFormat="0" applyFill="0" applyAlignment="0" applyProtection="0"/>
    <xf numFmtId="0" fontId="135" fillId="2" borderId="567" applyNumberFormat="0" applyFont="0" applyAlignment="0" applyProtection="0"/>
    <xf numFmtId="0" fontId="99" fillId="0" borderId="572" applyNumberFormat="0" applyFill="0" applyAlignment="0" applyProtection="0"/>
    <xf numFmtId="0" fontId="140" fillId="0" borderId="570" applyNumberFormat="0" applyBorder="0"/>
    <xf numFmtId="37" fontId="89" fillId="0" borderId="570" applyNumberFormat="0" applyFont="0" applyFill="0" applyAlignment="0" applyProtection="0"/>
    <xf numFmtId="176" fontId="29" fillId="0" borderId="570" applyBorder="0">
      <alignment horizontal="right"/>
    </xf>
    <xf numFmtId="195" fontId="18" fillId="29" borderId="570" applyNumberFormat="0" applyFont="0" applyBorder="0" applyAlignment="0" applyProtection="0">
      <alignment horizontal="right"/>
    </xf>
    <xf numFmtId="3" fontId="115" fillId="24" borderId="573" applyBorder="0">
      <protection locked="0"/>
    </xf>
    <xf numFmtId="0" fontId="18" fillId="0" borderId="564" applyNumberFormat="0" applyFill="0" applyAlignment="0" applyProtection="0"/>
    <xf numFmtId="0" fontId="18" fillId="0" borderId="564" applyNumberFormat="0" applyFill="0" applyAlignment="0" applyProtection="0"/>
    <xf numFmtId="0" fontId="18" fillId="2" borderId="567" applyNumberFormat="0" applyFont="0" applyAlignment="0" applyProtection="0"/>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76" fontId="29" fillId="15" borderId="570" applyBorder="0">
      <alignment horizontal="right"/>
    </xf>
    <xf numFmtId="177" fontId="114" fillId="0" borderId="570" applyBorder="0"/>
    <xf numFmtId="0" fontId="81" fillId="0" borderId="570" applyNumberFormat="0" applyFill="0" applyProtection="0">
      <alignment horizontal="right"/>
    </xf>
    <xf numFmtId="0" fontId="81" fillId="0" borderId="570" applyNumberFormat="0" applyFill="0" applyProtection="0">
      <alignment horizontal="right"/>
    </xf>
    <xf numFmtId="195" fontId="18" fillId="29" borderId="570" applyNumberFormat="0" applyFont="0" applyBorder="0" applyAlignment="0" applyProtection="0">
      <alignment horizontal="right"/>
    </xf>
    <xf numFmtId="0" fontId="99" fillId="0" borderId="572" applyNumberFormat="0" applyFill="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114" fillId="0" borderId="570" applyBorder="0"/>
    <xf numFmtId="0" fontId="114" fillId="0" borderId="570" applyBorder="0"/>
    <xf numFmtId="177" fontId="114" fillId="0" borderId="570" applyBorder="0"/>
    <xf numFmtId="177" fontId="114" fillId="0" borderId="570" applyBorder="0"/>
    <xf numFmtId="0" fontId="29" fillId="15" borderId="570" applyBorder="0">
      <alignment horizontal="right"/>
    </xf>
    <xf numFmtId="0" fontId="29" fillId="15" borderId="570" applyBorder="0">
      <alignment horizontal="right"/>
    </xf>
    <xf numFmtId="176" fontId="29" fillId="15" borderId="570" applyBorder="0">
      <alignment horizontal="right"/>
    </xf>
    <xf numFmtId="176" fontId="29" fillId="15" borderId="570" applyBorder="0">
      <alignment horizontal="right"/>
    </xf>
    <xf numFmtId="0" fontId="29" fillId="0" borderId="570" applyBorder="0">
      <alignment horizontal="right"/>
    </xf>
    <xf numFmtId="0" fontId="29" fillId="0" borderId="570" applyBorder="0">
      <alignment horizontal="right"/>
    </xf>
    <xf numFmtId="176" fontId="29" fillId="0" borderId="570" applyBorder="0">
      <alignment horizontal="right"/>
    </xf>
    <xf numFmtId="176" fontId="29" fillId="0" borderId="570" applyBorder="0">
      <alignment horizontal="right"/>
    </xf>
    <xf numFmtId="3" fontId="115" fillId="24" borderId="552" applyBorder="0">
      <protection locked="0"/>
    </xf>
    <xf numFmtId="3" fontId="115" fillId="24" borderId="552" applyBorder="0">
      <protection locked="0"/>
    </xf>
    <xf numFmtId="0" fontId="124" fillId="0" borderId="385"/>
    <xf numFmtId="0" fontId="124" fillId="0" borderId="385"/>
    <xf numFmtId="0" fontId="124" fillId="0" borderId="385"/>
    <xf numFmtId="0" fontId="124" fillId="0" borderId="385"/>
    <xf numFmtId="0" fontId="124" fillId="0" borderId="385"/>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293" fontId="275" fillId="0" borderId="385" applyFill="0" applyAlignment="0" applyProtection="0">
      <alignment horizontal="center"/>
    </xf>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8" fontId="138" fillId="0" borderId="566">
      <protection locked="0"/>
    </xf>
    <xf numFmtId="8" fontId="138" fillId="0" borderId="566">
      <protection locked="0"/>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195" fontId="18" fillId="29" borderId="570" applyNumberFormat="0" applyFont="0" applyBorder="0" applyAlignment="0" applyProtection="0">
      <alignment horizontal="right"/>
    </xf>
    <xf numFmtId="0" fontId="220" fillId="0" borderId="385" applyFill="0" applyBorder="0" applyProtection="0">
      <alignment horizontal="center" wrapText="1"/>
    </xf>
    <xf numFmtId="0" fontId="33" fillId="75" borderId="571">
      <alignment horizontal="left" vertical="center"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75" fillId="0" borderId="385" applyNumberFormat="0" applyFill="0" applyAlignment="0" applyProtection="0"/>
    <xf numFmtId="0" fontId="82" fillId="0" borderId="385" applyNumberFormat="0" applyFill="0" applyProtection="0"/>
    <xf numFmtId="0" fontId="82" fillId="0" borderId="385" applyNumberFormat="0" applyFill="0" applyProtection="0"/>
    <xf numFmtId="0" fontId="82" fillId="0" borderId="385" applyNumberFormat="0" applyFill="0" applyProtection="0"/>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0" fontId="175" fillId="32" borderId="385" applyBorder="0" applyProtection="0">
      <alignment horizontal="centerContinuous" vertical="center"/>
    </xf>
    <xf numFmtId="0" fontId="175" fillId="32" borderId="385" applyBorder="0" applyProtection="0">
      <alignment horizontal="centerContinuous" vertical="center"/>
    </xf>
    <xf numFmtId="0" fontId="175" fillId="32" borderId="385" applyBorder="0" applyProtection="0">
      <alignment horizontal="centerContinuous" vertical="center"/>
    </xf>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3" fontId="115" fillId="24" borderId="573" applyBorder="0">
      <protection locked="0"/>
    </xf>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9" fontId="6" fillId="0" borderId="0" applyFont="0" applyFill="0" applyBorder="0" applyAlignment="0" applyProtection="0"/>
    <xf numFmtId="0" fontId="6" fillId="0" borderId="0"/>
    <xf numFmtId="166" fontId="6" fillId="0" borderId="0" applyFont="0" applyFill="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0" fontId="6" fillId="0" borderId="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70" borderId="66" applyNumberFormat="0" applyFont="0" applyAlignment="0" applyProtection="0"/>
    <xf numFmtId="0" fontId="6" fillId="58" borderId="0" applyNumberFormat="0" applyBorder="0" applyAlignment="0" applyProtection="0"/>
    <xf numFmtId="0" fontId="6" fillId="64" borderId="0" applyNumberFormat="0" applyBorder="0" applyAlignment="0" applyProtection="0"/>
    <xf numFmtId="0" fontId="6" fillId="59"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6" borderId="0" applyNumberFormat="0" applyBorder="0" applyAlignment="0" applyProtection="0"/>
    <xf numFmtId="0" fontId="6" fillId="61" borderId="0" applyNumberFormat="0" applyBorder="0" applyAlignment="0" applyProtection="0"/>
    <xf numFmtId="0" fontId="6" fillId="67" borderId="0" applyNumberFormat="0" applyBorder="0" applyAlignment="0" applyProtection="0"/>
    <xf numFmtId="0" fontId="6" fillId="62" borderId="0" applyNumberFormat="0" applyBorder="0" applyAlignment="0" applyProtection="0"/>
    <xf numFmtId="0" fontId="6" fillId="68" borderId="0" applyNumberFormat="0" applyBorder="0" applyAlignment="0" applyProtection="0"/>
    <xf numFmtId="0" fontId="6" fillId="63" borderId="0" applyNumberFormat="0" applyBorder="0" applyAlignment="0" applyProtection="0"/>
    <xf numFmtId="0" fontId="6" fillId="69" borderId="0" applyNumberFormat="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0" fontId="6" fillId="0" borderId="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0" fontId="6" fillId="69" borderId="0" applyNumberFormat="0" applyBorder="0" applyAlignment="0" applyProtection="0"/>
    <xf numFmtId="3" fontId="115" fillId="24" borderId="573" applyBorder="0">
      <protection locked="0"/>
    </xf>
    <xf numFmtId="3" fontId="115" fillId="24" borderId="573" applyBorder="0">
      <protection locked="0"/>
    </xf>
    <xf numFmtId="3" fontId="115" fillId="24" borderId="573" applyBorder="0">
      <protection locked="0"/>
    </xf>
    <xf numFmtId="3" fontId="115" fillId="24" borderId="573" applyBorder="0">
      <protection locked="0"/>
    </xf>
    <xf numFmtId="0" fontId="124" fillId="0" borderId="385"/>
    <xf numFmtId="0" fontId="124" fillId="0" borderId="385"/>
    <xf numFmtId="0" fontId="124" fillId="0" borderId="385"/>
    <xf numFmtId="0" fontId="124" fillId="0" borderId="385"/>
    <xf numFmtId="0" fontId="124" fillId="0" borderId="385"/>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0" fontId="126" fillId="0" borderId="385" applyNumberFormat="0" applyFill="0" applyAlignment="0" applyProtection="0"/>
    <xf numFmtId="293" fontId="275" fillId="0" borderId="385" applyFill="0" applyAlignment="0" applyProtection="0">
      <alignment horizontal="center"/>
    </xf>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220" fillId="0" borderId="385" applyFill="0" applyBorder="0" applyProtection="0">
      <alignment horizontal="center"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0" fontId="6" fillId="70" borderId="66"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75" fillId="0" borderId="385" applyNumberFormat="0" applyFill="0" applyAlignment="0" applyProtection="0"/>
    <xf numFmtId="0" fontId="82" fillId="0" borderId="385" applyNumberFormat="0" applyFill="0" applyProtection="0"/>
    <xf numFmtId="0" fontId="82" fillId="0" borderId="385" applyNumberFormat="0" applyFill="0" applyProtection="0"/>
    <xf numFmtId="0" fontId="82" fillId="0" borderId="385" applyNumberFormat="0" applyFill="0" applyProtection="0"/>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253" fontId="93" fillId="0" borderId="385" applyBorder="0" applyProtection="0">
      <alignment horizontal="right" vertical="center"/>
    </xf>
    <xf numFmtId="0" fontId="175" fillId="32" borderId="385" applyBorder="0" applyProtection="0">
      <alignment horizontal="centerContinuous" vertical="center"/>
    </xf>
    <xf numFmtId="0" fontId="175" fillId="32" borderId="385" applyBorder="0" applyProtection="0">
      <alignment horizontal="centerContinuous" vertical="center"/>
    </xf>
    <xf numFmtId="0" fontId="175" fillId="32" borderId="385" applyBorder="0" applyProtection="0">
      <alignment horizontal="centerContinuous" vertical="center"/>
    </xf>
    <xf numFmtId="0" fontId="6" fillId="0" borderId="0"/>
    <xf numFmtId="9" fontId="6" fillId="0" borderId="0" applyFont="0" applyFill="0" applyBorder="0" applyAlignment="0" applyProtection="0"/>
    <xf numFmtId="0" fontId="244" fillId="4" borderId="601" applyNumberFormat="0" applyAlignment="0" applyProtection="0"/>
    <xf numFmtId="0" fontId="102" fillId="0" borderId="606" applyNumberFormat="0" applyFont="0" applyFill="0" applyAlignment="0" applyProtection="0"/>
    <xf numFmtId="0" fontId="244" fillId="4" borderId="601" applyNumberFormat="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4" fontId="137" fillId="0" borderId="600" applyFont="0" applyFill="0" applyBorder="0" applyAlignment="0" applyProtection="0"/>
    <xf numFmtId="10" fontId="18" fillId="25" borderId="600" applyNumberFormat="0" applyBorder="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176" fontId="29" fillId="0" borderId="597" applyBorder="0">
      <alignment horizontal="right"/>
    </xf>
    <xf numFmtId="195" fontId="18" fillId="29" borderId="597" applyNumberFormat="0" applyFont="0" applyBorder="0" applyAlignment="0" applyProtection="0">
      <alignment horizontal="right"/>
    </xf>
    <xf numFmtId="0" fontId="18" fillId="0" borderId="599" applyNumberFormat="0" applyFill="0" applyAlignment="0" applyProtection="0"/>
    <xf numFmtId="177" fontId="114" fillId="0" borderId="597" applyBorder="0"/>
    <xf numFmtId="0" fontId="249" fillId="0" borderId="605" applyNumberFormat="0" applyFill="0" applyAlignment="0" applyProtection="0"/>
    <xf numFmtId="0" fontId="244" fillId="4" borderId="601" applyNumberFormat="0" applyAlignment="0" applyProtection="0"/>
    <xf numFmtId="0" fontId="244" fillId="4" borderId="601" applyNumberFormat="0" applyAlignment="0" applyProtection="0"/>
    <xf numFmtId="3" fontId="115" fillId="24" borderId="598" applyBorder="0">
      <protection locked="0"/>
    </xf>
    <xf numFmtId="195" fontId="18" fillId="29" borderId="597" applyNumberFormat="0" applyFont="0" applyBorder="0" applyAlignment="0" applyProtection="0">
      <alignment horizontal="right"/>
    </xf>
    <xf numFmtId="0" fontId="81" fillId="0" borderId="597" applyNumberFormat="0" applyFill="0" applyProtection="0">
      <alignment horizontal="right"/>
    </xf>
    <xf numFmtId="37" fontId="89" fillId="0" borderId="597" applyNumberFormat="0" applyFont="0" applyFill="0" applyAlignment="0" applyProtection="0"/>
    <xf numFmtId="0" fontId="244" fillId="4" borderId="601" applyNumberFormat="0" applyAlignment="0" applyProtection="0"/>
    <xf numFmtId="37" fontId="89" fillId="0" borderId="597" applyNumberFormat="0" applyFont="0" applyFill="0" applyAlignment="0" applyProtection="0"/>
    <xf numFmtId="0" fontId="18" fillId="0" borderId="599" applyNumberFormat="0" applyFill="0" applyAlignment="0" applyProtection="0"/>
    <xf numFmtId="0" fontId="244" fillId="4" borderId="565" applyNumberFormat="0" applyAlignment="0" applyProtection="0"/>
    <xf numFmtId="0" fontId="29" fillId="0" borderId="575" applyFont="0" applyFill="0" applyBorder="0" applyAlignment="0" applyProtection="0">
      <alignment horizontal="center"/>
    </xf>
    <xf numFmtId="0" fontId="99" fillId="0" borderId="346" applyNumberFormat="0" applyFill="0" applyAlignment="0" applyProtection="0"/>
    <xf numFmtId="0" fontId="51" fillId="0" borderId="575">
      <alignment horizontal="left" vertical="center"/>
    </xf>
    <xf numFmtId="0" fontId="18" fillId="2" borderId="603" applyNumberFormat="0" applyFont="0" applyAlignment="0" applyProtection="0"/>
    <xf numFmtId="193" fontId="66" fillId="23" borderId="560" applyFont="0">
      <alignment horizontal="right"/>
    </xf>
    <xf numFmtId="0" fontId="18" fillId="0" borderId="564" applyNumberFormat="0" applyFill="0" applyAlignment="0" applyProtection="0"/>
    <xf numFmtId="0" fontId="237" fillId="28" borderId="565" applyNumberFormat="0" applyAlignment="0" applyProtection="0"/>
    <xf numFmtId="8" fontId="138" fillId="0" borderId="566">
      <protection locked="0"/>
    </xf>
    <xf numFmtId="0" fontId="29" fillId="0" borderId="560" applyFont="0" applyFill="0" applyBorder="0" applyAlignment="0" applyProtection="0">
      <alignment horizontal="center"/>
    </xf>
    <xf numFmtId="0" fontId="18" fillId="0" borderId="599" applyNumberFormat="0" applyFill="0" applyAlignment="0" applyProtection="0"/>
    <xf numFmtId="0" fontId="51" fillId="0" borderId="560">
      <alignment horizontal="left" vertical="center"/>
    </xf>
    <xf numFmtId="0" fontId="18" fillId="0" borderId="599" applyNumberFormat="0" applyFill="0" applyAlignment="0" applyProtection="0"/>
    <xf numFmtId="0" fontId="249" fillId="0" borderId="605" applyNumberFormat="0" applyFill="0" applyAlignment="0" applyProtection="0"/>
    <xf numFmtId="0" fontId="18" fillId="0" borderId="599" applyNumberFormat="0" applyFill="0" applyAlignment="0" applyProtection="0"/>
    <xf numFmtId="0" fontId="18" fillId="2" borderId="603" applyNumberFormat="0" applyFont="0" applyAlignment="0" applyProtection="0"/>
    <xf numFmtId="176" fontId="29" fillId="0" borderId="597" applyBorder="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244" fillId="4" borderId="565" applyNumberFormat="0" applyAlignment="0" applyProtection="0"/>
    <xf numFmtId="0" fontId="18" fillId="2" borderId="567" applyNumberFormat="0" applyFont="0" applyAlignment="0" applyProtection="0"/>
    <xf numFmtId="0" fontId="247" fillId="28" borderId="568" applyNumberFormat="0" applyAlignment="0" applyProtection="0"/>
    <xf numFmtId="0" fontId="99" fillId="0" borderId="596" applyNumberFormat="0" applyFill="0" applyAlignment="0" applyProtection="0"/>
    <xf numFmtId="174" fontId="28" fillId="18" borderId="362" applyNumberFormat="0" applyFont="0" applyBorder="0" applyAlignment="0" applyProtection="0">
      <alignment horizontal="center"/>
    </xf>
    <xf numFmtId="195" fontId="18" fillId="29" borderId="597" applyNumberFormat="0" applyFont="0" applyBorder="0" applyAlignment="0" applyProtection="0">
      <alignment horizontal="right"/>
    </xf>
    <xf numFmtId="176" fontId="29" fillId="15" borderId="597" applyBorder="0">
      <alignment horizontal="right"/>
    </xf>
    <xf numFmtId="0" fontId="249" fillId="0" borderId="569" applyNumberFormat="0" applyFill="0" applyAlignment="0" applyProtection="0"/>
    <xf numFmtId="0" fontId="237" fillId="28" borderId="601" applyNumberFormat="0" applyAlignment="0" applyProtection="0"/>
    <xf numFmtId="0" fontId="237" fillId="28" borderId="601" applyNumberFormat="0" applyAlignment="0" applyProtection="0"/>
    <xf numFmtId="0" fontId="18" fillId="0" borderId="599" applyNumberFormat="0" applyFill="0" applyAlignment="0" applyProtection="0"/>
    <xf numFmtId="4" fontId="137" fillId="0" borderId="600" applyFont="0" applyFill="0" applyBorder="0" applyAlignment="0" applyProtection="0"/>
    <xf numFmtId="10" fontId="18" fillId="25" borderId="600" applyNumberFormat="0" applyBorder="0" applyAlignment="0" applyProtection="0"/>
    <xf numFmtId="0" fontId="93" fillId="0" borderId="607" applyNumberFormat="0" applyAlignment="0" applyProtection="0"/>
    <xf numFmtId="3" fontId="115" fillId="24" borderId="598" applyBorder="0">
      <protection locked="0"/>
    </xf>
    <xf numFmtId="0" fontId="29" fillId="0" borderId="575" applyFont="0" applyFill="0" applyBorder="0" applyAlignment="0" applyProtection="0">
      <alignment horizontal="center"/>
    </xf>
    <xf numFmtId="9" fontId="96" fillId="25" borderId="600" applyNumberFormat="0" applyFont="0" applyAlignment="0" applyProtection="0"/>
    <xf numFmtId="0" fontId="18" fillId="2" borderId="603" applyNumberFormat="0" applyFont="0" applyAlignment="0" applyProtection="0"/>
    <xf numFmtId="8" fontId="138" fillId="0" borderId="602">
      <protection locked="0"/>
    </xf>
    <xf numFmtId="0" fontId="18" fillId="0" borderId="599" applyNumberFormat="0" applyFill="0" applyAlignment="0" applyProtection="0"/>
    <xf numFmtId="0" fontId="244" fillId="4" borderId="601" applyNumberFormat="0" applyAlignment="0" applyProtection="0"/>
    <xf numFmtId="3" fontId="115" fillId="24" borderId="598" applyBorder="0">
      <protection locked="0"/>
    </xf>
    <xf numFmtId="0" fontId="140" fillId="0" borderId="597" applyNumberFormat="0" applyBorder="0"/>
    <xf numFmtId="0" fontId="247" fillId="28" borderId="604" applyNumberFormat="0" applyAlignment="0" applyProtection="0"/>
    <xf numFmtId="0" fontId="247" fillId="28" borderId="604" applyNumberFormat="0" applyAlignment="0" applyProtection="0"/>
    <xf numFmtId="176" fontId="29" fillId="15" borderId="597" applyBorder="0">
      <alignment horizontal="right"/>
    </xf>
    <xf numFmtId="0" fontId="140" fillId="0" borderId="597" applyNumberFormat="0" applyBorder="0"/>
    <xf numFmtId="0" fontId="99" fillId="0" borderId="596" applyNumberFormat="0" applyFill="0" applyAlignment="0" applyProtection="0"/>
    <xf numFmtId="10" fontId="18" fillId="25" borderId="600" applyNumberFormat="0" applyBorder="0" applyAlignment="0" applyProtection="0"/>
    <xf numFmtId="193" fontId="66" fillId="23" borderId="575" applyFont="0">
      <alignment horizontal="right"/>
    </xf>
    <xf numFmtId="10" fontId="18" fillId="25" borderId="600" applyNumberFormat="0" applyBorder="0" applyAlignment="0" applyProtection="0"/>
    <xf numFmtId="0" fontId="237" fillId="28" borderId="601" applyNumberFormat="0" applyAlignment="0" applyProtection="0"/>
    <xf numFmtId="195" fontId="18" fillId="29" borderId="597" applyNumberFormat="0" applyFont="0" applyBorder="0" applyAlignment="0" applyProtection="0">
      <alignment horizontal="right"/>
    </xf>
    <xf numFmtId="177" fontId="114" fillId="0" borderId="597" applyBorder="0"/>
    <xf numFmtId="0" fontId="51" fillId="0" borderId="575">
      <alignment horizontal="left" vertical="center"/>
    </xf>
    <xf numFmtId="193" fontId="66" fillId="23" borderId="575" applyFont="0">
      <alignment horizontal="right"/>
    </xf>
    <xf numFmtId="193" fontId="66" fillId="23" borderId="575" applyFont="0">
      <alignment horizontal="right"/>
    </xf>
    <xf numFmtId="193" fontId="66" fillId="23" borderId="560" applyFont="0">
      <alignment horizontal="right"/>
    </xf>
    <xf numFmtId="0" fontId="18" fillId="0" borderId="564" applyNumberFormat="0" applyFill="0" applyAlignment="0" applyProtection="0"/>
    <xf numFmtId="0" fontId="18" fillId="2" borderId="603" applyNumberFormat="0" applyFont="0" applyAlignment="0" applyProtection="0"/>
    <xf numFmtId="0" fontId="18" fillId="2" borderId="567" applyNumberFormat="0" applyFont="0" applyAlignment="0" applyProtection="0"/>
    <xf numFmtId="0" fontId="18" fillId="2" borderId="567" applyNumberFormat="0" applyFont="0" applyAlignment="0" applyProtection="0"/>
    <xf numFmtId="0" fontId="244" fillId="4" borderId="565" applyNumberFormat="0" applyAlignment="0" applyProtection="0"/>
    <xf numFmtId="8" fontId="138" fillId="0" borderId="566">
      <protection locked="0"/>
    </xf>
    <xf numFmtId="0" fontId="237" fillId="28" borderId="565" applyNumberFormat="0" applyAlignment="0" applyProtection="0"/>
    <xf numFmtId="0" fontId="244" fillId="4" borderId="565" applyNumberFormat="0" applyAlignment="0" applyProtection="0"/>
    <xf numFmtId="0" fontId="244" fillId="4" borderId="565" applyNumberFormat="0" applyAlignment="0" applyProtection="0"/>
    <xf numFmtId="0" fontId="18" fillId="0" borderId="564" applyNumberFormat="0" applyFill="0" applyAlignment="0" applyProtection="0"/>
    <xf numFmtId="0" fontId="249" fillId="0" borderId="569" applyNumberFormat="0" applyFill="0" applyAlignment="0" applyProtection="0"/>
    <xf numFmtId="0" fontId="247" fillId="28" borderId="568" applyNumberFormat="0" applyAlignment="0" applyProtection="0"/>
    <xf numFmtId="0" fontId="18" fillId="0" borderId="564" applyNumberFormat="0" applyFill="0" applyAlignment="0" applyProtection="0"/>
    <xf numFmtId="0" fontId="244" fillId="4" borderId="565" applyNumberFormat="0" applyAlignment="0" applyProtection="0"/>
    <xf numFmtId="0" fontId="18" fillId="2" borderId="567" applyNumberFormat="0" applyFont="0" applyAlignment="0" applyProtection="0"/>
    <xf numFmtId="3" fontId="115" fillId="24" borderId="573" applyBorder="0">
      <protection locked="0"/>
    </xf>
    <xf numFmtId="43" fontId="6" fillId="0" borderId="0" applyFont="0" applyFill="0" applyBorder="0" applyAlignment="0" applyProtection="0"/>
    <xf numFmtId="9" fontId="6" fillId="0" borderId="0" applyFont="0" applyFill="0" applyBorder="0" applyAlignment="0" applyProtection="0"/>
    <xf numFmtId="0" fontId="6" fillId="0" borderId="0"/>
    <xf numFmtId="0" fontId="18" fillId="2" borderId="603" applyNumberFormat="0" applyFont="0" applyAlignment="0" applyProtection="0"/>
    <xf numFmtId="0" fontId="18" fillId="2" borderId="603" applyNumberFormat="0" applyFont="0" applyAlignment="0" applyProtection="0"/>
    <xf numFmtId="0" fontId="244" fillId="4" borderId="601" applyNumberFormat="0" applyAlignment="0" applyProtection="0"/>
    <xf numFmtId="177" fontId="114" fillId="0" borderId="597" applyBorder="0"/>
    <xf numFmtId="0" fontId="18" fillId="0" borderId="599" applyNumberFormat="0" applyFill="0" applyAlignment="0" applyProtection="0"/>
    <xf numFmtId="9" fontId="96" fillId="25" borderId="600"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95" fontId="18" fillId="29" borderId="597" applyNumberFormat="0" applyFont="0" applyBorder="0" applyAlignment="0" applyProtection="0">
      <alignment horizontal="right"/>
    </xf>
    <xf numFmtId="37" fontId="89" fillId="0" borderId="597" applyNumberFormat="0" applyFont="0" applyFill="0" applyAlignment="0" applyProtection="0"/>
    <xf numFmtId="193" fontId="66" fillId="23" borderId="575" applyFont="0">
      <alignment horizontal="right"/>
    </xf>
    <xf numFmtId="176" fontId="29" fillId="0" borderId="597" applyBorder="0">
      <alignment horizontal="right"/>
    </xf>
    <xf numFmtId="176" fontId="29" fillId="15" borderId="597" applyBorder="0">
      <alignment horizontal="right"/>
    </xf>
    <xf numFmtId="0" fontId="237" fillId="28" borderId="601" applyNumberFormat="0" applyAlignment="0" applyProtection="0"/>
    <xf numFmtId="0" fontId="244" fillId="4" borderId="601" applyNumberFormat="0" applyAlignment="0" applyProtection="0"/>
    <xf numFmtId="193" fontId="66" fillId="23" borderId="575" applyFont="0">
      <alignment horizontal="right"/>
    </xf>
    <xf numFmtId="8" fontId="138" fillId="0" borderId="602">
      <protection locked="0"/>
    </xf>
    <xf numFmtId="0" fontId="99" fillId="0" borderId="576" applyNumberFormat="0" applyFill="0" applyAlignment="0" applyProtection="0"/>
    <xf numFmtId="8" fontId="138" fillId="0" borderId="602">
      <protection locked="0"/>
    </xf>
    <xf numFmtId="169" fontId="137" fillId="0" borderId="600" applyNumberFormat="0" applyFill="0" applyAlignment="0" applyProtection="0"/>
    <xf numFmtId="259" fontId="37" fillId="25" borderId="600" applyNumberFormat="0" applyFont="0" applyAlignment="0"/>
    <xf numFmtId="259" fontId="37" fillId="25" borderId="600" applyNumberFormat="0" applyFont="0" applyAlignment="0"/>
    <xf numFmtId="0" fontId="51" fillId="0" borderId="575">
      <alignment horizontal="left" vertical="center"/>
    </xf>
    <xf numFmtId="0" fontId="18" fillId="0" borderId="599" applyNumberFormat="0" applyFill="0" applyAlignment="0" applyProtection="0"/>
    <xf numFmtId="0" fontId="244" fillId="4" borderId="601" applyNumberFormat="0" applyAlignment="0" applyProtection="0"/>
    <xf numFmtId="0" fontId="140" fillId="0" borderId="597" applyNumberFormat="0" applyBorder="0"/>
    <xf numFmtId="195" fontId="18" fillId="29" borderId="597" applyNumberFormat="0" applyFont="0" applyBorder="0" applyAlignment="0" applyProtection="0">
      <alignment horizontal="right"/>
    </xf>
    <xf numFmtId="39" fontId="33" fillId="0" borderId="575" applyNumberFormat="0" applyBorder="0">
      <alignment horizontal="right"/>
    </xf>
    <xf numFmtId="0" fontId="140" fillId="0" borderId="597" applyNumberFormat="0" applyBorder="0"/>
    <xf numFmtId="176" fontId="29" fillId="0" borderId="597" applyBorder="0">
      <alignment horizontal="right"/>
    </xf>
    <xf numFmtId="0" fontId="244" fillId="4" borderId="601" applyNumberFormat="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1" fontId="85" fillId="0" borderId="575" applyFill="0" applyProtection="0">
      <alignment horizontal="right"/>
    </xf>
    <xf numFmtId="0" fontId="99" fillId="0" borderId="596" applyNumberFormat="0" applyFill="0" applyAlignment="0" applyProtection="0"/>
    <xf numFmtId="195" fontId="18" fillId="29" borderId="594" applyNumberFormat="0" applyFont="0" applyBorder="0" applyAlignment="0" applyProtection="0">
      <alignment horizontal="right"/>
    </xf>
    <xf numFmtId="37" fontId="89" fillId="0" borderId="594" applyNumberFormat="0" applyFont="0" applyFill="0" applyAlignment="0" applyProtection="0"/>
    <xf numFmtId="8" fontId="138" fillId="0" borderId="590">
      <protection locked="0"/>
    </xf>
    <xf numFmtId="10" fontId="18" fillId="25" borderId="574" applyNumberFormat="0" applyBorder="0" applyAlignment="0" applyProtection="0"/>
    <xf numFmtId="169" fontId="137" fillId="0" borderId="574" applyNumberFormat="0" applyFill="0" applyAlignment="0" applyProtection="0"/>
    <xf numFmtId="0" fontId="244" fillId="4" borderId="579" applyNumberFormat="0" applyAlignment="0" applyProtection="0"/>
    <xf numFmtId="259" fontId="37" fillId="25" borderId="574" applyNumberFormat="0" applyFont="0" applyAlignment="0"/>
    <xf numFmtId="0" fontId="18" fillId="0" borderId="588" applyNumberFormat="0" applyFill="0" applyAlignment="0" applyProtection="0"/>
    <xf numFmtId="193" fontId="66" fillId="23" borderId="575" applyFont="0">
      <alignment horizontal="right"/>
    </xf>
    <xf numFmtId="193" fontId="66" fillId="23" borderId="575" applyFont="0">
      <alignment horizontal="right"/>
    </xf>
    <xf numFmtId="0" fontId="18" fillId="0" borderId="578" applyNumberFormat="0" applyFill="0" applyAlignment="0" applyProtection="0"/>
    <xf numFmtId="9" fontId="96" fillId="25" borderId="577" applyNumberFormat="0" applyFont="0" applyAlignment="0" applyProtection="0"/>
    <xf numFmtId="4" fontId="137" fillId="0" borderId="577" applyFont="0" applyFill="0" applyBorder="0" applyAlignment="0" applyProtection="0"/>
    <xf numFmtId="0" fontId="29" fillId="0" borderId="575" applyFont="0" applyFill="0" applyBorder="0" applyAlignment="0" applyProtection="0">
      <alignment horizontal="center"/>
    </xf>
    <xf numFmtId="259" fontId="37" fillId="25" borderId="577" applyNumberFormat="0" applyFont="0" applyAlignment="0"/>
    <xf numFmtId="0" fontId="51" fillId="0" borderId="575">
      <alignment horizontal="left" vertical="center"/>
    </xf>
    <xf numFmtId="0" fontId="244" fillId="4" borderId="565" applyNumberFormat="0" applyAlignment="0" applyProtection="0"/>
    <xf numFmtId="10" fontId="18" fillId="25" borderId="577" applyNumberFormat="0" applyBorder="0" applyAlignment="0" applyProtection="0"/>
    <xf numFmtId="169" fontId="137" fillId="0" borderId="577" applyNumberFormat="0" applyFill="0" applyAlignment="0" applyProtection="0"/>
    <xf numFmtId="195" fontId="18" fillId="29" borderId="594" applyNumberFormat="0" applyFont="0" applyBorder="0" applyAlignment="0" applyProtection="0">
      <alignment horizontal="right"/>
    </xf>
    <xf numFmtId="3" fontId="115" fillId="24" borderId="595" applyBorder="0">
      <protection locked="0"/>
    </xf>
    <xf numFmtId="0" fontId="244" fillId="4" borderId="589" applyNumberFormat="0" applyAlignment="0" applyProtection="0"/>
    <xf numFmtId="10" fontId="18" fillId="25" borderId="574"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574" applyFont="0" applyFill="0" applyBorder="0" applyAlignment="0" applyProtection="0"/>
    <xf numFmtId="9" fontId="96" fillId="25" borderId="574" applyNumberFormat="0" applyFont="0" applyAlignment="0" applyProtection="0"/>
    <xf numFmtId="193" fontId="66" fillId="23" borderId="575" applyFont="0">
      <alignment horizontal="right"/>
    </xf>
    <xf numFmtId="0" fontId="18" fillId="0" borderId="578" applyNumberFormat="0" applyFill="0" applyAlignment="0" applyProtection="0"/>
    <xf numFmtId="10" fontId="18" fillId="25" borderId="577" applyNumberFormat="0" applyBorder="0" applyAlignment="0" applyProtection="0"/>
    <xf numFmtId="0" fontId="18" fillId="2" borderId="581" applyNumberFormat="0" applyFont="0" applyAlignment="0" applyProtection="0"/>
    <xf numFmtId="0" fontId="244" fillId="4" borderId="579" applyNumberFormat="0" applyAlignment="0" applyProtection="0"/>
    <xf numFmtId="8" fontId="138" fillId="0" borderId="580">
      <protection locked="0"/>
    </xf>
    <xf numFmtId="0" fontId="237" fillId="28" borderId="579" applyNumberFormat="0" applyAlignment="0" applyProtection="0"/>
    <xf numFmtId="0" fontId="244" fillId="4" borderId="579" applyNumberFormat="0" applyAlignment="0" applyProtection="0"/>
    <xf numFmtId="0" fontId="244" fillId="4" borderId="579" applyNumberFormat="0" applyAlignment="0" applyProtection="0"/>
    <xf numFmtId="0" fontId="18" fillId="0" borderId="578" applyNumberFormat="0" applyFill="0" applyAlignment="0" applyProtection="0"/>
    <xf numFmtId="0" fontId="249" fillId="0" borderId="583" applyNumberFormat="0" applyFill="0" applyAlignment="0" applyProtection="0"/>
    <xf numFmtId="0" fontId="247" fillId="28" borderId="582" applyNumberFormat="0" applyAlignment="0" applyProtection="0"/>
    <xf numFmtId="0" fontId="18" fillId="0" borderId="578" applyNumberFormat="0" applyFill="0" applyAlignment="0" applyProtection="0"/>
    <xf numFmtId="0" fontId="244" fillId="4" borderId="579" applyNumberFormat="0" applyAlignment="0" applyProtection="0"/>
    <xf numFmtId="0" fontId="18" fillId="2" borderId="581" applyNumberFormat="0" applyFont="0" applyAlignment="0" applyProtection="0"/>
    <xf numFmtId="177" fontId="114" fillId="0" borderId="584" applyBorder="0"/>
    <xf numFmtId="176" fontId="29" fillId="15" borderId="584" applyBorder="0">
      <alignment horizontal="right"/>
    </xf>
    <xf numFmtId="176" fontId="29" fillId="0" borderId="584" applyBorder="0">
      <alignment horizontal="right"/>
    </xf>
    <xf numFmtId="3" fontId="115" fillId="24" borderId="585" applyBorder="0">
      <protection locked="0"/>
    </xf>
    <xf numFmtId="37" fontId="89" fillId="0" borderId="584" applyNumberFormat="0" applyFont="0" applyFill="0" applyAlignment="0" applyProtection="0"/>
    <xf numFmtId="0" fontId="140" fillId="0" borderId="584" applyNumberFormat="0" applyBorder="0"/>
    <xf numFmtId="195" fontId="18" fillId="29" borderId="584" applyNumberFormat="0" applyFont="0" applyBorder="0" applyAlignment="0" applyProtection="0">
      <alignment horizontal="right"/>
    </xf>
    <xf numFmtId="195" fontId="18" fillId="29" borderId="584"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4" applyNumberFormat="0" applyBorder="0"/>
    <xf numFmtId="176" fontId="29" fillId="0" borderId="594" applyBorder="0">
      <alignment horizontal="right"/>
    </xf>
    <xf numFmtId="176" fontId="29" fillId="15" borderId="594" applyBorder="0">
      <alignment horizontal="right"/>
    </xf>
    <xf numFmtId="177" fontId="114" fillId="0" borderId="594" applyBorder="0"/>
    <xf numFmtId="0" fontId="18" fillId="2" borderId="591" applyNumberFormat="0" applyFont="0" applyAlignment="0" applyProtection="0"/>
    <xf numFmtId="0" fontId="244" fillId="4" borderId="589" applyNumberFormat="0" applyAlignment="0" applyProtection="0"/>
    <xf numFmtId="0" fontId="18" fillId="0" borderId="588" applyNumberFormat="0" applyFill="0" applyAlignment="0" applyProtection="0"/>
    <xf numFmtId="0" fontId="247" fillId="28" borderId="592" applyNumberFormat="0" applyAlignment="0" applyProtection="0"/>
    <xf numFmtId="0" fontId="249" fillId="0" borderId="593" applyNumberFormat="0" applyFill="0" applyAlignment="0" applyProtection="0"/>
    <xf numFmtId="0" fontId="18" fillId="0" borderId="588" applyNumberFormat="0" applyFill="0" applyAlignment="0" applyProtection="0"/>
    <xf numFmtId="0" fontId="244" fillId="4" borderId="589" applyNumberFormat="0" applyAlignment="0" applyProtection="0"/>
    <xf numFmtId="0" fontId="244" fillId="4" borderId="589" applyNumberFormat="0" applyAlignment="0" applyProtection="0"/>
    <xf numFmtId="0" fontId="237" fillId="28" borderId="589" applyNumberFormat="0" applyAlignment="0" applyProtection="0"/>
    <xf numFmtId="0" fontId="18" fillId="2" borderId="591" applyNumberFormat="0" applyFont="0" applyAlignment="0" applyProtection="0"/>
    <xf numFmtId="0" fontId="18" fillId="0" borderId="588" applyNumberFormat="0" applyFill="0" applyAlignment="0" applyProtection="0"/>
    <xf numFmtId="193" fontId="66" fillId="23" borderId="575" applyFont="0">
      <alignment horizontal="right"/>
    </xf>
    <xf numFmtId="0" fontId="99" fillId="0" borderId="58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0" fontId="124" fillId="0" borderId="385"/>
    <xf numFmtId="0" fontId="126" fillId="0" borderId="385"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565" applyNumberFormat="0" applyAlignment="0" applyProtection="0"/>
    <xf numFmtId="193" fontId="66" fillId="23" borderId="575" applyFont="0">
      <alignment horizontal="right"/>
    </xf>
    <xf numFmtId="0" fontId="18" fillId="0" borderId="599" applyNumberFormat="0" applyFill="0" applyAlignment="0" applyProtection="0"/>
    <xf numFmtId="0" fontId="124" fillId="0" borderId="385"/>
    <xf numFmtId="0" fontId="126" fillId="0" borderId="385" applyNumberFormat="0" applyFill="0" applyAlignment="0" applyProtection="0"/>
    <xf numFmtId="195" fontId="18" fillId="29" borderId="597" applyNumberFormat="0" applyFont="0" applyBorder="0" applyAlignment="0" applyProtection="0">
      <alignment horizontal="right"/>
    </xf>
    <xf numFmtId="0" fontId="18" fillId="2" borderId="567" applyNumberFormat="0" applyFont="0" applyAlignment="0" applyProtection="0"/>
    <xf numFmtId="0" fontId="244" fillId="4" borderId="565" applyNumberFormat="0" applyAlignment="0" applyProtection="0"/>
    <xf numFmtId="8" fontId="138" fillId="0" borderId="566">
      <protection locked="0"/>
    </xf>
    <xf numFmtId="0" fontId="237" fillId="28" borderId="565" applyNumberFormat="0" applyAlignment="0" applyProtection="0"/>
    <xf numFmtId="0" fontId="244" fillId="4" borderId="565" applyNumberFormat="0" applyAlignment="0" applyProtection="0"/>
    <xf numFmtId="0" fontId="244" fillId="4" borderId="565" applyNumberFormat="0" applyAlignment="0" applyProtection="0"/>
    <xf numFmtId="0" fontId="18" fillId="0" borderId="564" applyNumberFormat="0" applyFill="0" applyAlignment="0" applyProtection="0"/>
    <xf numFmtId="0" fontId="249" fillId="0" borderId="569" applyNumberFormat="0" applyFill="0" applyAlignment="0" applyProtection="0"/>
    <xf numFmtId="0" fontId="247" fillId="28" borderId="568" applyNumberFormat="0" applyAlignment="0" applyProtection="0"/>
    <xf numFmtId="0" fontId="18" fillId="0" borderId="564" applyNumberFormat="0" applyFill="0" applyAlignment="0" applyProtection="0"/>
    <xf numFmtId="0" fontId="244" fillId="4" borderId="565" applyNumberFormat="0" applyAlignment="0" applyProtection="0"/>
    <xf numFmtId="0" fontId="18" fillId="2" borderId="56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 fontId="115" fillId="24" borderId="573" applyBorder="0">
      <protection locked="0"/>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60" applyNumberFormat="0" applyBorder="0">
      <alignment horizontal="right"/>
    </xf>
    <xf numFmtId="0" fontId="82" fillId="0" borderId="385" applyNumberFormat="0" applyFill="0" applyProtection="0"/>
    <xf numFmtId="1" fontId="85" fillId="0" borderId="560" applyFill="0" applyProtection="0">
      <alignment horizontal="right"/>
    </xf>
    <xf numFmtId="0" fontId="99" fillId="0" borderId="596" applyNumberFormat="0" applyFill="0" applyAlignment="0" applyProtection="0"/>
    <xf numFmtId="37" fontId="89" fillId="0" borderId="551" applyNumberFormat="0" applyFont="0" applyFill="0" applyAlignment="0" applyProtection="0"/>
    <xf numFmtId="8" fontId="138" fillId="0" borderId="566">
      <protection locked="0"/>
    </xf>
    <xf numFmtId="0" fontId="244" fillId="4" borderId="565" applyNumberFormat="0" applyAlignment="0" applyProtection="0"/>
    <xf numFmtId="0" fontId="18" fillId="0" borderId="564" applyNumberFormat="0" applyFill="0" applyAlignment="0" applyProtection="0"/>
    <xf numFmtId="193" fontId="66" fillId="23" borderId="560" applyFont="0">
      <alignment horizontal="right"/>
    </xf>
    <xf numFmtId="193" fontId="66" fillId="23" borderId="560" applyFont="0">
      <alignment horizontal="right"/>
    </xf>
    <xf numFmtId="0" fontId="18" fillId="0" borderId="564"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60" applyFont="0" applyFill="0" applyBorder="0" applyAlignment="0" applyProtection="0">
      <alignment horizontal="center"/>
    </xf>
    <xf numFmtId="259" fontId="37" fillId="25" borderId="600" applyNumberFormat="0" applyFont="0" applyAlignment="0"/>
    <xf numFmtId="0" fontId="51" fillId="0" borderId="560">
      <alignment horizontal="left" vertical="center"/>
    </xf>
    <xf numFmtId="0" fontId="244" fillId="4" borderId="565"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51" applyNumberFormat="0" applyFont="0" applyBorder="0" applyAlignment="0" applyProtection="0">
      <alignment horizontal="right"/>
    </xf>
    <xf numFmtId="0" fontId="244" fillId="4" borderId="565" applyNumberFormat="0" applyAlignment="0" applyProtection="0"/>
    <xf numFmtId="0" fontId="51" fillId="0" borderId="560">
      <alignment horizontal="left" vertical="center"/>
    </xf>
    <xf numFmtId="0" fontId="29" fillId="0" borderId="560" applyFont="0" applyFill="0" applyBorder="0" applyAlignment="0" applyProtection="0">
      <alignment horizontal="center"/>
    </xf>
    <xf numFmtId="193" fontId="66" fillId="23" borderId="560" applyFont="0">
      <alignment horizontal="right"/>
    </xf>
    <xf numFmtId="0" fontId="18" fillId="0" borderId="564" applyNumberFormat="0" applyFill="0" applyAlignment="0" applyProtection="0"/>
    <xf numFmtId="10" fontId="18" fillId="25" borderId="600" applyNumberFormat="0" applyBorder="0" applyAlignment="0" applyProtection="0"/>
    <xf numFmtId="0" fontId="18" fillId="2" borderId="567" applyNumberFormat="0" applyFont="0" applyAlignment="0" applyProtection="0"/>
    <xf numFmtId="0" fontId="244" fillId="4" borderId="565" applyNumberFormat="0" applyAlignment="0" applyProtection="0"/>
    <xf numFmtId="8" fontId="138" fillId="0" borderId="566">
      <protection locked="0"/>
    </xf>
    <xf numFmtId="0" fontId="237" fillId="28" borderId="565" applyNumberFormat="0" applyAlignment="0" applyProtection="0"/>
    <xf numFmtId="0" fontId="244" fillId="4" borderId="565" applyNumberFormat="0" applyAlignment="0" applyProtection="0"/>
    <xf numFmtId="0" fontId="244" fillId="4" borderId="565" applyNumberFormat="0" applyAlignment="0" applyProtection="0"/>
    <xf numFmtId="0" fontId="18" fillId="0" borderId="564" applyNumberFormat="0" applyFill="0" applyAlignment="0" applyProtection="0"/>
    <xf numFmtId="0" fontId="249" fillId="0" borderId="569" applyNumberFormat="0" applyFill="0" applyAlignment="0" applyProtection="0"/>
    <xf numFmtId="0" fontId="247" fillId="28" borderId="568" applyNumberFormat="0" applyAlignment="0" applyProtection="0"/>
    <xf numFmtId="0" fontId="18" fillId="0" borderId="564" applyNumberFormat="0" applyFill="0" applyAlignment="0" applyProtection="0"/>
    <xf numFmtId="0" fontId="244" fillId="4" borderId="565" applyNumberFormat="0" applyAlignment="0" applyProtection="0"/>
    <xf numFmtId="0" fontId="18" fillId="2" borderId="567" applyNumberFormat="0" applyFont="0" applyAlignment="0" applyProtection="0"/>
    <xf numFmtId="177" fontId="114" fillId="0" borderId="551" applyBorder="0"/>
    <xf numFmtId="176" fontId="29" fillId="15" borderId="551" applyBorder="0">
      <alignment horizontal="right"/>
    </xf>
    <xf numFmtId="176" fontId="29" fillId="0" borderId="551" applyBorder="0">
      <alignment horizontal="right"/>
    </xf>
    <xf numFmtId="37" fontId="89" fillId="0" borderId="551" applyNumberFormat="0" applyFont="0" applyFill="0" applyAlignment="0" applyProtection="0"/>
    <xf numFmtId="0" fontId="140" fillId="0" borderId="551" applyNumberFormat="0" applyBorder="0"/>
    <xf numFmtId="195" fontId="18" fillId="29" borderId="55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51" applyNumberFormat="0" applyBorder="0"/>
    <xf numFmtId="176" fontId="29" fillId="0" borderId="551" applyBorder="0">
      <alignment horizontal="right"/>
    </xf>
    <xf numFmtId="176" fontId="29" fillId="15" borderId="551" applyBorder="0">
      <alignment horizontal="right"/>
    </xf>
    <xf numFmtId="177" fontId="114" fillId="0" borderId="551" applyBorder="0"/>
    <xf numFmtId="0" fontId="18" fillId="2" borderId="567" applyNumberFormat="0" applyFont="0" applyAlignment="0" applyProtection="0"/>
    <xf numFmtId="0" fontId="244" fillId="4" borderId="565" applyNumberFormat="0" applyAlignment="0" applyProtection="0"/>
    <xf numFmtId="0" fontId="18" fillId="0" borderId="564" applyNumberFormat="0" applyFill="0" applyAlignment="0" applyProtection="0"/>
    <xf numFmtId="0" fontId="247" fillId="28" borderId="568" applyNumberFormat="0" applyAlignment="0" applyProtection="0"/>
    <xf numFmtId="0" fontId="249" fillId="0" borderId="569" applyNumberFormat="0" applyFill="0" applyAlignment="0" applyProtection="0"/>
    <xf numFmtId="0" fontId="18" fillId="0" borderId="564" applyNumberFormat="0" applyFill="0" applyAlignment="0" applyProtection="0"/>
    <xf numFmtId="0" fontId="244" fillId="4" borderId="565" applyNumberFormat="0" applyAlignment="0" applyProtection="0"/>
    <xf numFmtId="0" fontId="244" fillId="4" borderId="565" applyNumberFormat="0" applyAlignment="0" applyProtection="0"/>
    <xf numFmtId="0" fontId="237" fillId="28" borderId="565" applyNumberFormat="0" applyAlignment="0" applyProtection="0"/>
    <xf numFmtId="0" fontId="18" fillId="2" borderId="567" applyNumberFormat="0" applyFont="0" applyAlignment="0" applyProtection="0"/>
    <xf numFmtId="0" fontId="18" fillId="0" borderId="564" applyNumberFormat="0" applyFill="0" applyAlignment="0" applyProtection="0"/>
    <xf numFmtId="193" fontId="66" fillId="23" borderId="560" applyFont="0">
      <alignment horizontal="right"/>
    </xf>
    <xf numFmtId="0" fontId="99" fillId="0" borderId="596" applyNumberFormat="0" applyFill="0" applyAlignment="0" applyProtection="0"/>
    <xf numFmtId="39" fontId="33" fillId="0" borderId="560" applyNumberFormat="0" applyBorder="0">
      <alignment horizontal="right"/>
    </xf>
    <xf numFmtId="1" fontId="85" fillId="0" borderId="560" applyFill="0" applyProtection="0">
      <alignment horizontal="right"/>
    </xf>
    <xf numFmtId="39" fontId="33" fillId="0" borderId="560" applyNumberFormat="0" applyBorder="0">
      <alignment horizontal="right"/>
    </xf>
    <xf numFmtId="1" fontId="85" fillId="0" borderId="56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587" applyNumberFormat="0" applyBorder="0" applyAlignment="0" applyProtection="0"/>
    <xf numFmtId="169" fontId="137" fillId="0" borderId="587" applyNumberFormat="0" applyFill="0" applyAlignment="0" applyProtection="0"/>
    <xf numFmtId="0" fontId="244" fillId="4" borderId="601" applyNumberFormat="0" applyAlignment="0" applyProtection="0"/>
    <xf numFmtId="259" fontId="37" fillId="25" borderId="587" applyNumberFormat="0" applyFont="0" applyAlignment="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587" applyNumberFormat="0" applyFont="0" applyAlignment="0" applyProtection="0"/>
    <xf numFmtId="4" fontId="137" fillId="0" borderId="587" applyFont="0" applyFill="0" applyBorder="0" applyAlignment="0" applyProtection="0"/>
    <xf numFmtId="259" fontId="37" fillId="25" borderId="587" applyNumberFormat="0" applyFont="0" applyAlignment="0"/>
    <xf numFmtId="10" fontId="18" fillId="25" borderId="587" applyNumberFormat="0" applyBorder="0" applyAlignment="0" applyProtection="0"/>
    <xf numFmtId="169" fontId="137" fillId="0" borderId="587"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587"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587" applyFont="0" applyFill="0" applyBorder="0" applyAlignment="0" applyProtection="0"/>
    <xf numFmtId="9" fontId="96" fillId="25" borderId="587" applyNumberFormat="0" applyFont="0" applyAlignment="0" applyProtection="0"/>
    <xf numFmtId="0" fontId="18" fillId="0" borderId="599" applyNumberFormat="0" applyFill="0" applyAlignment="0" applyProtection="0"/>
    <xf numFmtId="10" fontId="18" fillId="25" borderId="587"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193" fontId="66" fillId="23" borderId="575" applyFont="0">
      <alignment horizontal="right"/>
    </xf>
    <xf numFmtId="0" fontId="18" fillId="0" borderId="578"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579"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78"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579" applyNumberFormat="0" applyAlignment="0" applyProtection="0"/>
    <xf numFmtId="193" fontId="66" fillId="23" borderId="575" applyFont="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574" applyNumberFormat="0" applyBorder="0" applyAlignment="0" applyProtection="0"/>
    <xf numFmtId="169" fontId="137" fillId="0" borderId="574" applyNumberFormat="0" applyFill="0" applyAlignment="0" applyProtection="0"/>
    <xf numFmtId="0" fontId="244" fillId="4" borderId="601" applyNumberFormat="0" applyAlignment="0" applyProtection="0"/>
    <xf numFmtId="259" fontId="37" fillId="25" borderId="574"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574"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574" applyFont="0" applyFill="0" applyBorder="0" applyAlignment="0" applyProtection="0"/>
    <xf numFmtId="9" fontId="96" fillId="25" borderId="574"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6" fillId="0" borderId="0"/>
    <xf numFmtId="0" fontId="81" fillId="0" borderId="597" applyNumberFormat="0" applyFill="0" applyProtection="0">
      <alignment horizontal="right"/>
    </xf>
    <xf numFmtId="0" fontId="81" fillId="0" borderId="597" applyNumberFormat="0" applyFill="0" applyProtection="0">
      <alignment horizontal="right"/>
    </xf>
    <xf numFmtId="0" fontId="140" fillId="0" borderId="597" applyNumberFormat="0" applyBorder="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193" fontId="66" fillId="23" borderId="575" applyFont="0">
      <alignment horizontal="right"/>
    </xf>
    <xf numFmtId="0" fontId="99" fillId="0" borderId="596" applyNumberFormat="0" applyFill="0" applyAlignment="0" applyProtection="0"/>
    <xf numFmtId="4" fontId="137" fillId="0" borderId="600" applyFont="0" applyFill="0" applyBorder="0" applyAlignment="0" applyProtection="0"/>
    <xf numFmtId="10" fontId="18" fillId="25" borderId="600" applyNumberFormat="0" applyBorder="0" applyAlignment="0" applyProtection="0"/>
    <xf numFmtId="0" fontId="99" fillId="0" borderId="596" applyNumberFormat="0" applyFill="0" applyAlignment="0" applyProtection="0"/>
    <xf numFmtId="3" fontId="115" fillId="24" borderId="598" applyBorder="0">
      <protection locked="0"/>
    </xf>
    <xf numFmtId="259" fontId="37" fillId="25" borderId="600" applyNumberFormat="0" applyFont="0" applyAlignment="0"/>
    <xf numFmtId="0" fontId="51" fillId="0" borderId="575">
      <alignment horizontal="left" vertical="center"/>
    </xf>
    <xf numFmtId="193" fontId="66" fillId="23" borderId="575" applyFont="0">
      <alignment horizontal="right"/>
    </xf>
    <xf numFmtId="0" fontId="18" fillId="0" borderId="599" applyNumberFormat="0" applyFill="0" applyAlignment="0" applyProtection="0"/>
    <xf numFmtId="0" fontId="237" fillId="28" borderId="601" applyNumberFormat="0" applyAlignment="0" applyProtection="0"/>
    <xf numFmtId="8" fontId="138" fillId="0" borderId="602">
      <protection locked="0"/>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0" fontId="18" fillId="2" borderId="603" applyNumberFormat="0" applyFont="0" applyAlignment="0" applyProtection="0"/>
    <xf numFmtId="0" fontId="247" fillId="28" borderId="604" applyNumberFormat="0" applyAlignment="0" applyProtection="0"/>
    <xf numFmtId="259" fontId="37" fillId="25" borderId="600" applyNumberFormat="0" applyFont="0" applyAlignment="0"/>
    <xf numFmtId="10" fontId="18" fillId="25" borderId="600" applyNumberFormat="0" applyBorder="0" applyAlignment="0" applyProtection="0"/>
    <xf numFmtId="0" fontId="18" fillId="0" borderId="599" applyNumberFormat="0" applyFill="0" applyAlignment="0" applyProtection="0"/>
    <xf numFmtId="3" fontId="115" fillId="24" borderId="598" applyBorder="0">
      <protection locked="0"/>
    </xf>
    <xf numFmtId="0" fontId="249" fillId="0" borderId="605" applyNumberFormat="0" applyFill="0" applyAlignment="0" applyProtection="0"/>
    <xf numFmtId="8" fontId="138" fillId="0" borderId="602">
      <protection locked="0"/>
    </xf>
    <xf numFmtId="0" fontId="99" fillId="0" borderId="596" applyNumberFormat="0" applyFill="0" applyAlignment="0" applyProtection="0"/>
    <xf numFmtId="3" fontId="115" fillId="24" borderId="598" applyBorder="0">
      <protection locked="0"/>
    </xf>
    <xf numFmtId="10" fontId="18" fillId="25" borderId="600" applyNumberFormat="0" applyBorder="0" applyAlignment="0" applyProtection="0"/>
    <xf numFmtId="0" fontId="140" fillId="0" borderId="597" applyNumberFormat="0" applyBorder="0"/>
    <xf numFmtId="195" fontId="18" fillId="29" borderId="597" applyNumberFormat="0" applyFont="0" applyBorder="0" applyAlignment="0" applyProtection="0">
      <alignment horizontal="right"/>
    </xf>
    <xf numFmtId="0" fontId="99" fillId="0" borderId="596" applyNumberFormat="0" applyFill="0" applyAlignment="0" applyProtection="0"/>
    <xf numFmtId="9" fontId="96" fillId="25" borderId="600" applyNumberFormat="0" applyFont="0" applyAlignment="0" applyProtection="0"/>
    <xf numFmtId="177" fontId="114" fillId="0" borderId="597" applyBorder="0"/>
    <xf numFmtId="195" fontId="18" fillId="29" borderId="597" applyNumberFormat="0" applyFont="0" applyBorder="0" applyAlignment="0" applyProtection="0">
      <alignment horizontal="right"/>
    </xf>
    <xf numFmtId="4" fontId="137" fillId="0" borderId="600" applyFont="0" applyFill="0" applyBorder="0" applyAlignment="0" applyProtection="0"/>
    <xf numFmtId="10" fontId="18" fillId="25" borderId="600" applyNumberFormat="0" applyBorder="0" applyAlignment="0" applyProtection="0"/>
    <xf numFmtId="176" fontId="29" fillId="0" borderId="597" applyBorder="0">
      <alignment horizontal="right"/>
    </xf>
    <xf numFmtId="0" fontId="244" fillId="4" borderId="601" applyNumberFormat="0" applyAlignment="0" applyProtection="0"/>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69" fontId="137" fillId="0" borderId="600" applyNumberFormat="0" applyFill="0" applyAlignment="0" applyProtection="0"/>
    <xf numFmtId="0" fontId="18" fillId="2" borderId="603" applyNumberFormat="0" applyFon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8" fillId="0" borderId="599" applyNumberFormat="0" applyFill="0" applyAlignment="0" applyProtection="0"/>
    <xf numFmtId="176" fontId="29" fillId="0" borderId="597" applyBorder="0">
      <alignment horizontal="right"/>
    </xf>
    <xf numFmtId="195" fontId="18" fillId="29" borderId="597" applyNumberFormat="0" applyFont="0" applyBorder="0" applyAlignment="0" applyProtection="0">
      <alignment horizontal="right"/>
    </xf>
    <xf numFmtId="177" fontId="114" fillId="0" borderId="597" applyBorder="0"/>
    <xf numFmtId="176" fontId="29" fillId="15" borderId="597" applyBorder="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81" fillId="0" borderId="597" applyNumberFormat="0" applyFill="0" applyProtection="0">
      <alignment horizontal="right"/>
    </xf>
    <xf numFmtId="0" fontId="99" fillId="0" borderId="596" applyNumberFormat="0" applyFill="0" applyAlignment="0" applyProtection="0"/>
    <xf numFmtId="9" fontId="96" fillId="25" borderId="600" applyNumberFormat="0" applyFont="0" applyAlignment="0" applyProtection="0"/>
    <xf numFmtId="169" fontId="137" fillId="0" borderId="600"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51" fillId="0" borderId="575">
      <alignment horizontal="left" vertical="center"/>
    </xf>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6" fontId="29" fillId="15" borderId="597" applyBorder="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8" fontId="138" fillId="0" borderId="602">
      <protection locked="0"/>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6" fillId="0" borderId="0"/>
    <xf numFmtId="0" fontId="6" fillId="0" borderId="0"/>
    <xf numFmtId="0" fontId="244" fillId="4" borderId="601" applyNumberForma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39" fontId="33" fillId="0" borderId="575" applyNumberFormat="0" applyBorder="0">
      <alignment horizontal="right"/>
    </xf>
    <xf numFmtId="1" fontId="85" fillId="0" borderId="575" applyFill="0" applyProtection="0">
      <alignment horizontal="right"/>
    </xf>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8" fontId="138" fillId="0" borderId="602">
      <protection locked="0"/>
    </xf>
    <xf numFmtId="8" fontId="138" fillId="0" borderId="602">
      <protection locked="0"/>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0" fontId="18" fillId="25" borderId="600" applyNumberFormat="0" applyBorder="0" applyAlignment="0" applyProtection="0"/>
    <xf numFmtId="169" fontId="137" fillId="0" borderId="600" applyNumberFormat="0" applyFill="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29" fillId="0" borderId="575" applyFont="0" applyFill="0" applyBorder="0" applyAlignment="0" applyProtection="0">
      <alignment horizontal="center"/>
    </xf>
    <xf numFmtId="0" fontId="99" fillId="0" borderId="346" applyNumberFormat="0" applyFill="0" applyAlignment="0" applyProtection="0"/>
    <xf numFmtId="0" fontId="99" fillId="0" borderId="596" applyNumberFormat="0" applyFill="0" applyAlignment="0" applyProtection="0"/>
    <xf numFmtId="0" fontId="99" fillId="0" borderId="346" applyNumberFormat="0" applyFill="0" applyAlignment="0" applyProtection="0"/>
    <xf numFmtId="0" fontId="99" fillId="0" borderId="34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8" fontId="138" fillId="0" borderId="507">
      <protection locked="0"/>
    </xf>
    <xf numFmtId="0" fontId="18" fillId="0" borderId="599" applyNumberFormat="0" applyFill="0" applyAlignment="0" applyProtection="0"/>
    <xf numFmtId="0" fontId="18" fillId="0" borderId="599"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507">
      <protection locked="0"/>
    </xf>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51" fillId="0" borderId="575">
      <alignment horizontal="left" vertical="center"/>
    </xf>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8" fontId="138" fillId="0" borderId="507">
      <protection locked="0"/>
    </xf>
    <xf numFmtId="0" fontId="18" fillId="0" borderId="599" applyNumberFormat="0" applyFill="0" applyAlignment="0" applyProtection="0"/>
    <xf numFmtId="0" fontId="18" fillId="0" borderId="599"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81" fillId="0" borderId="597" applyNumberFormat="0" applyFill="0" applyProtection="0">
      <alignment horizontal="right"/>
    </xf>
    <xf numFmtId="0" fontId="140" fillId="0" borderId="597" applyNumberFormat="0" applyBorder="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193" fontId="66" fillId="23" borderId="575" applyFont="0">
      <alignment horizontal="right"/>
    </xf>
    <xf numFmtId="0" fontId="99" fillId="0" borderId="596" applyNumberFormat="0" applyFill="0" applyAlignment="0" applyProtection="0"/>
    <xf numFmtId="4" fontId="137" fillId="0" borderId="600" applyFont="0" applyFill="0" applyBorder="0" applyAlignment="0" applyProtection="0"/>
    <xf numFmtId="10" fontId="18" fillId="25" borderId="600" applyNumberFormat="0" applyBorder="0" applyAlignment="0" applyProtection="0"/>
    <xf numFmtId="0" fontId="99" fillId="0" borderId="596" applyNumberFormat="0" applyFill="0" applyAlignment="0" applyProtection="0"/>
    <xf numFmtId="3" fontId="115" fillId="24" borderId="598" applyBorder="0">
      <protection locked="0"/>
    </xf>
    <xf numFmtId="259" fontId="37" fillId="25" borderId="600" applyNumberFormat="0" applyFont="0" applyAlignment="0"/>
    <xf numFmtId="0" fontId="51" fillId="0" borderId="575">
      <alignment horizontal="left" vertical="center"/>
    </xf>
    <xf numFmtId="193" fontId="66" fillId="23" borderId="575" applyFont="0">
      <alignment horizontal="right"/>
    </xf>
    <xf numFmtId="0" fontId="18" fillId="0" borderId="599" applyNumberFormat="0" applyFill="0" applyAlignment="0" applyProtection="0"/>
    <xf numFmtId="0" fontId="237" fillId="28" borderId="601" applyNumberFormat="0" applyAlignment="0" applyProtection="0"/>
    <xf numFmtId="8" fontId="138" fillId="0" borderId="602">
      <protection locked="0"/>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0" fontId="18" fillId="2" borderId="603" applyNumberFormat="0" applyFont="0" applyAlignment="0" applyProtection="0"/>
    <xf numFmtId="0" fontId="247" fillId="28" borderId="604" applyNumberFormat="0" applyAlignment="0" applyProtection="0"/>
    <xf numFmtId="259" fontId="37" fillId="25" borderId="600" applyNumberFormat="0" applyFont="0" applyAlignment="0"/>
    <xf numFmtId="10" fontId="18" fillId="25" borderId="600" applyNumberFormat="0" applyBorder="0" applyAlignment="0" applyProtection="0"/>
    <xf numFmtId="0" fontId="18" fillId="0" borderId="599" applyNumberFormat="0" applyFill="0" applyAlignment="0" applyProtection="0"/>
    <xf numFmtId="3" fontId="115" fillId="24" borderId="598" applyBorder="0">
      <protection locked="0"/>
    </xf>
    <xf numFmtId="0" fontId="249" fillId="0" borderId="605" applyNumberFormat="0" applyFill="0" applyAlignment="0" applyProtection="0"/>
    <xf numFmtId="8" fontId="138" fillId="0" borderId="602">
      <protection locked="0"/>
    </xf>
    <xf numFmtId="0" fontId="99" fillId="0" borderId="596" applyNumberFormat="0" applyFill="0" applyAlignment="0" applyProtection="0"/>
    <xf numFmtId="3" fontId="115" fillId="24" borderId="598" applyBorder="0">
      <protection locked="0"/>
    </xf>
    <xf numFmtId="10" fontId="18" fillId="25" borderId="600" applyNumberFormat="0" applyBorder="0" applyAlignment="0" applyProtection="0"/>
    <xf numFmtId="0" fontId="140" fillId="0" borderId="597" applyNumberFormat="0" applyBorder="0"/>
    <xf numFmtId="195" fontId="18" fillId="29" borderId="597" applyNumberFormat="0" applyFont="0" applyBorder="0" applyAlignment="0" applyProtection="0">
      <alignment horizontal="right"/>
    </xf>
    <xf numFmtId="0" fontId="99" fillId="0" borderId="596" applyNumberFormat="0" applyFill="0" applyAlignment="0" applyProtection="0"/>
    <xf numFmtId="9" fontId="96" fillId="25" borderId="600" applyNumberFormat="0" applyFont="0" applyAlignment="0" applyProtection="0"/>
    <xf numFmtId="177" fontId="114" fillId="0" borderId="597" applyBorder="0"/>
    <xf numFmtId="195" fontId="18" fillId="29" borderId="597" applyNumberFormat="0" applyFont="0" applyBorder="0" applyAlignment="0" applyProtection="0">
      <alignment horizontal="right"/>
    </xf>
    <xf numFmtId="4" fontId="137" fillId="0" borderId="600" applyFont="0" applyFill="0" applyBorder="0" applyAlignment="0" applyProtection="0"/>
    <xf numFmtId="10" fontId="18" fillId="25" borderId="600" applyNumberFormat="0" applyBorder="0" applyAlignment="0" applyProtection="0"/>
    <xf numFmtId="176" fontId="29" fillId="0" borderId="597" applyBorder="0">
      <alignment horizontal="right"/>
    </xf>
    <xf numFmtId="0" fontId="244" fillId="4" borderId="601" applyNumberFormat="0" applyAlignment="0" applyProtection="0"/>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69" fontId="137" fillId="0" borderId="600" applyNumberFormat="0" applyFill="0" applyAlignment="0" applyProtection="0"/>
    <xf numFmtId="0" fontId="18" fillId="2" borderId="603" applyNumberFormat="0" applyFon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8" fillId="0" borderId="599" applyNumberFormat="0" applyFill="0" applyAlignment="0" applyProtection="0"/>
    <xf numFmtId="176" fontId="29" fillId="0" borderId="597" applyBorder="0">
      <alignment horizontal="right"/>
    </xf>
    <xf numFmtId="195" fontId="18" fillId="29" borderId="597" applyNumberFormat="0" applyFont="0" applyBorder="0" applyAlignment="0" applyProtection="0">
      <alignment horizontal="right"/>
    </xf>
    <xf numFmtId="177" fontId="114" fillId="0" borderId="597" applyBorder="0"/>
    <xf numFmtId="176" fontId="29" fillId="15" borderId="597" applyBorder="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81" fillId="0" borderId="597" applyNumberFormat="0" applyFill="0" applyProtection="0">
      <alignment horizontal="right"/>
    </xf>
    <xf numFmtId="0" fontId="99" fillId="0" borderId="596" applyNumberFormat="0" applyFill="0" applyAlignment="0" applyProtection="0"/>
    <xf numFmtId="9" fontId="96" fillId="25" borderId="600" applyNumberFormat="0" applyFont="0" applyAlignment="0" applyProtection="0"/>
    <xf numFmtId="169" fontId="137" fillId="0" borderId="600"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51" fillId="0" borderId="575">
      <alignment horizontal="left" vertical="center"/>
    </xf>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6" fontId="29" fillId="15" borderId="597" applyBorder="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8" fontId="138" fillId="0" borderId="602">
      <protection locked="0"/>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244" fillId="4" borderId="601" applyNumberForma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39" fontId="33" fillId="0" borderId="575" applyNumberFormat="0" applyBorder="0">
      <alignment horizontal="right"/>
    </xf>
    <xf numFmtId="1" fontId="85" fillId="0" borderId="575" applyFill="0" applyProtection="0">
      <alignment horizontal="right"/>
    </xf>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8" fontId="138" fillId="0" borderId="602">
      <protection locked="0"/>
    </xf>
    <xf numFmtId="8" fontId="138" fillId="0" borderId="602">
      <protection locked="0"/>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0" fontId="18" fillId="25" borderId="600" applyNumberFormat="0" applyBorder="0" applyAlignment="0" applyProtection="0"/>
    <xf numFmtId="169" fontId="137" fillId="0" borderId="600" applyNumberFormat="0" applyFill="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0" fontId="124" fillId="0" borderId="608"/>
    <xf numFmtId="0" fontId="126" fillId="0" borderId="608"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0" fontId="124" fillId="0" borderId="608"/>
    <xf numFmtId="0" fontId="126" fillId="0" borderId="608"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0" fontId="82" fillId="0" borderId="608" applyNumberFormat="0" applyFill="0" applyProtection="0"/>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51" fillId="0" borderId="575">
      <alignment horizontal="left" vertical="center"/>
    </xf>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193" fontId="66" fillId="23" borderId="575" applyFont="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81" fillId="0" borderId="597" applyNumberFormat="0" applyFill="0" applyProtection="0">
      <alignment horizontal="right"/>
    </xf>
    <xf numFmtId="0" fontId="140" fillId="0" borderId="597" applyNumberFormat="0" applyBorder="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193" fontId="66" fillId="23" borderId="575" applyFont="0">
      <alignment horizontal="right"/>
    </xf>
    <xf numFmtId="0" fontId="99" fillId="0" borderId="596" applyNumberFormat="0" applyFill="0" applyAlignment="0" applyProtection="0"/>
    <xf numFmtId="4" fontId="137" fillId="0" borderId="600" applyFont="0" applyFill="0" applyBorder="0" applyAlignment="0" applyProtection="0"/>
    <xf numFmtId="10" fontId="18" fillId="25" borderId="600" applyNumberFormat="0" applyBorder="0" applyAlignment="0" applyProtection="0"/>
    <xf numFmtId="0" fontId="99" fillId="0" borderId="596" applyNumberFormat="0" applyFill="0" applyAlignment="0" applyProtection="0"/>
    <xf numFmtId="3" fontId="115" fillId="24" borderId="598" applyBorder="0">
      <protection locked="0"/>
    </xf>
    <xf numFmtId="259" fontId="37" fillId="25" borderId="600" applyNumberFormat="0" applyFont="0" applyAlignment="0"/>
    <xf numFmtId="0" fontId="51" fillId="0" borderId="575">
      <alignment horizontal="left" vertical="center"/>
    </xf>
    <xf numFmtId="193" fontId="66" fillId="23" borderId="575" applyFont="0">
      <alignment horizontal="right"/>
    </xf>
    <xf numFmtId="0" fontId="18" fillId="0" borderId="599" applyNumberFormat="0" applyFill="0" applyAlignment="0" applyProtection="0"/>
    <xf numFmtId="0" fontId="237" fillId="28" borderId="601" applyNumberFormat="0" applyAlignment="0" applyProtection="0"/>
    <xf numFmtId="8" fontId="138" fillId="0" borderId="602">
      <protection locked="0"/>
    </xf>
    <xf numFmtId="0" fontId="29" fillId="0" borderId="575" applyFont="0" applyFill="0" applyBorder="0" applyAlignment="0" applyProtection="0">
      <alignment horizontal="center"/>
    </xf>
    <xf numFmtId="0" fontId="51" fillId="0" borderId="575">
      <alignment horizontal="left" vertical="center"/>
    </xf>
    <xf numFmtId="0" fontId="244" fillId="4" borderId="601" applyNumberFormat="0" applyAlignment="0" applyProtection="0"/>
    <xf numFmtId="0" fontId="18" fillId="2" borderId="603" applyNumberFormat="0" applyFont="0" applyAlignment="0" applyProtection="0"/>
    <xf numFmtId="0" fontId="247" fillId="28" borderId="604" applyNumberFormat="0" applyAlignment="0" applyProtection="0"/>
    <xf numFmtId="259" fontId="37" fillId="25" borderId="600" applyNumberFormat="0" applyFont="0" applyAlignment="0"/>
    <xf numFmtId="10" fontId="18" fillId="25" borderId="600" applyNumberFormat="0" applyBorder="0" applyAlignment="0" applyProtection="0"/>
    <xf numFmtId="0" fontId="18" fillId="0" borderId="599" applyNumberFormat="0" applyFill="0" applyAlignment="0" applyProtection="0"/>
    <xf numFmtId="3" fontId="115" fillId="24" borderId="598" applyBorder="0">
      <protection locked="0"/>
    </xf>
    <xf numFmtId="0" fontId="249" fillId="0" borderId="605" applyNumberFormat="0" applyFill="0" applyAlignment="0" applyProtection="0"/>
    <xf numFmtId="8" fontId="138" fillId="0" borderId="602">
      <protection locked="0"/>
    </xf>
    <xf numFmtId="0" fontId="99" fillId="0" borderId="596" applyNumberFormat="0" applyFill="0" applyAlignment="0" applyProtection="0"/>
    <xf numFmtId="3" fontId="115" fillId="24" borderId="598" applyBorder="0">
      <protection locked="0"/>
    </xf>
    <xf numFmtId="10" fontId="18" fillId="25" borderId="600" applyNumberFormat="0" applyBorder="0" applyAlignment="0" applyProtection="0"/>
    <xf numFmtId="0" fontId="140" fillId="0" borderId="597" applyNumberFormat="0" applyBorder="0"/>
    <xf numFmtId="195" fontId="18" fillId="29" borderId="597" applyNumberFormat="0" applyFont="0" applyBorder="0" applyAlignment="0" applyProtection="0">
      <alignment horizontal="right"/>
    </xf>
    <xf numFmtId="0" fontId="99" fillId="0" borderId="596" applyNumberFormat="0" applyFill="0" applyAlignment="0" applyProtection="0"/>
    <xf numFmtId="9" fontId="96" fillId="25" borderId="600" applyNumberFormat="0" applyFont="0" applyAlignment="0" applyProtection="0"/>
    <xf numFmtId="177" fontId="114" fillId="0" borderId="597" applyBorder="0"/>
    <xf numFmtId="195" fontId="18" fillId="29" borderId="597" applyNumberFormat="0" applyFont="0" applyBorder="0" applyAlignment="0" applyProtection="0">
      <alignment horizontal="right"/>
    </xf>
    <xf numFmtId="4" fontId="137" fillId="0" borderId="600" applyFont="0" applyFill="0" applyBorder="0" applyAlignment="0" applyProtection="0"/>
    <xf numFmtId="10" fontId="18" fillId="25" borderId="600" applyNumberFormat="0" applyBorder="0" applyAlignment="0" applyProtection="0"/>
    <xf numFmtId="176" fontId="29" fillId="0" borderId="597" applyBorder="0">
      <alignment horizontal="right"/>
    </xf>
    <xf numFmtId="0" fontId="244" fillId="4" borderId="601" applyNumberFormat="0" applyAlignment="0" applyProtection="0"/>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69" fontId="137" fillId="0" borderId="600" applyNumberFormat="0" applyFill="0" applyAlignment="0" applyProtection="0"/>
    <xf numFmtId="0" fontId="18" fillId="2" borderId="603" applyNumberFormat="0" applyFon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8" fillId="0" borderId="599" applyNumberFormat="0" applyFill="0" applyAlignment="0" applyProtection="0"/>
    <xf numFmtId="176" fontId="29" fillId="0" borderId="597" applyBorder="0">
      <alignment horizontal="right"/>
    </xf>
    <xf numFmtId="195" fontId="18" fillId="29" borderId="597" applyNumberFormat="0" applyFont="0" applyBorder="0" applyAlignment="0" applyProtection="0">
      <alignment horizontal="right"/>
    </xf>
    <xf numFmtId="177" fontId="114" fillId="0" borderId="597" applyBorder="0"/>
    <xf numFmtId="176" fontId="29" fillId="15" borderId="597" applyBorder="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81" fillId="0" borderId="597" applyNumberFormat="0" applyFill="0" applyProtection="0">
      <alignment horizontal="right"/>
    </xf>
    <xf numFmtId="0" fontId="99" fillId="0" borderId="596" applyNumberFormat="0" applyFill="0" applyAlignment="0" applyProtection="0"/>
    <xf numFmtId="9" fontId="96" fillId="25" borderId="600" applyNumberFormat="0" applyFont="0" applyAlignment="0" applyProtection="0"/>
    <xf numFmtId="169" fontId="137" fillId="0" borderId="600"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51" fillId="0" borderId="575">
      <alignment horizontal="left" vertical="center"/>
    </xf>
    <xf numFmtId="0" fontId="29" fillId="0" borderId="575" applyFont="0" applyFill="0" applyBorder="0" applyAlignment="0" applyProtection="0">
      <alignment horizontal="center"/>
    </xf>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6" fontId="29" fillId="15" borderId="597" applyBorder="0">
      <alignment horizontal="right"/>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8" fontId="138" fillId="0" borderId="602">
      <protection locked="0"/>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244" fillId="4" borderId="601" applyNumberForma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39" fontId="33" fillId="0" borderId="575" applyNumberFormat="0" applyBorder="0">
      <alignment horizontal="right"/>
    </xf>
    <xf numFmtId="1" fontId="85" fillId="0" borderId="575" applyFill="0" applyProtection="0">
      <alignment horizontal="right"/>
    </xf>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8" fontId="138" fillId="0" borderId="602">
      <protection locked="0"/>
    </xf>
    <xf numFmtId="8" fontId="138" fillId="0" borderId="602">
      <protection locked="0"/>
    </xf>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0" fontId="18" fillId="25" borderId="600" applyNumberFormat="0" applyBorder="0" applyAlignment="0" applyProtection="0"/>
    <xf numFmtId="169" fontId="137" fillId="0" borderId="600" applyNumberFormat="0" applyFill="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18" fillId="0" borderId="599" applyNumberFormat="0" applyFill="0" applyAlignment="0" applyProtection="0"/>
    <xf numFmtId="0" fontId="99" fillId="0" borderId="596" applyNumberFormat="0" applyFill="0" applyAlignment="0" applyProtection="0"/>
    <xf numFmtId="37" fontId="89" fillId="0" borderId="597" applyNumberFormat="0" applyFont="0" applyFill="0" applyAlignment="0" applyProtection="0"/>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37" fontId="89" fillId="0" borderId="597" applyNumberFormat="0" applyFont="0" applyFill="0" applyAlignment="0" applyProtection="0"/>
    <xf numFmtId="176" fontId="29" fillId="15" borderId="597" applyBorder="0">
      <alignment horizontal="right"/>
    </xf>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18" fillId="0" borderId="599" applyNumberFormat="0" applyFill="0" applyAlignment="0" applyProtection="0"/>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0" fontId="237" fillId="28" borderId="601" applyNumberFormat="0" applyAlignment="0" applyProtection="0"/>
    <xf numFmtId="4" fontId="137" fillId="0" borderId="600" applyFont="0" applyFill="0" applyBorder="0" applyAlignment="0" applyProtection="0"/>
    <xf numFmtId="8" fontId="138" fillId="0" borderId="602">
      <protection locked="0"/>
    </xf>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18" fillId="2" borderId="603" applyNumberFormat="0" applyFont="0" applyAlignment="0" applyProtection="0"/>
    <xf numFmtId="0" fontId="247" fillId="28" borderId="604" applyNumberFormat="0" applyAlignment="0" applyProtection="0"/>
    <xf numFmtId="0" fontId="249" fillId="0" borderId="605" applyNumberFormat="0" applyFill="0" applyAlignment="0" applyProtection="0"/>
    <xf numFmtId="177" fontId="114" fillId="0" borderId="597" applyBorder="0"/>
    <xf numFmtId="0" fontId="18" fillId="0" borderId="599" applyNumberFormat="0" applyFill="0" applyAlignment="0" applyProtection="0"/>
    <xf numFmtId="0" fontId="247" fillId="28" borderId="604" applyNumberFormat="0" applyAlignment="0" applyProtection="0"/>
    <xf numFmtId="0" fontId="244" fillId="4" borderId="601" applyNumberFormat="0" applyAlignment="0" applyProtection="0"/>
    <xf numFmtId="0" fontId="18" fillId="2" borderId="603" applyNumberFormat="0" applyFont="0" applyAlignment="0" applyProtection="0"/>
    <xf numFmtId="0" fontId="249" fillId="0" borderId="605" applyNumberFormat="0" applyFill="0" applyAlignment="0" applyProtection="0"/>
    <xf numFmtId="0" fontId="247" fillId="28" borderId="604" applyNumberFormat="0" applyAlignment="0" applyProtection="0"/>
    <xf numFmtId="0" fontId="18" fillId="2" borderId="603"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176" fontId="29" fillId="0" borderId="597" applyBorder="0">
      <alignment horizontal="right"/>
    </xf>
    <xf numFmtId="0" fontId="249" fillId="0" borderId="605" applyNumberFormat="0" applyFill="0" applyAlignment="0" applyProtection="0"/>
    <xf numFmtId="0" fontId="244" fillId="4" borderId="601" applyNumberFormat="0" applyAlignment="0" applyProtection="0"/>
    <xf numFmtId="0" fontId="237" fillId="28" borderId="601" applyNumberFormat="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247" fillId="28" borderId="604" applyNumberForma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193" fontId="66" fillId="23" borderId="575" applyFont="0">
      <alignment horizontal="right"/>
    </xf>
    <xf numFmtId="193" fontId="66" fillId="23" borderId="575" applyFont="0">
      <alignment horizontal="right"/>
    </xf>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0" fontId="29" fillId="0" borderId="575" applyFont="0" applyFill="0" applyBorder="0" applyAlignment="0" applyProtection="0">
      <alignment horizontal="center"/>
    </xf>
    <xf numFmtId="259" fontId="37" fillId="25" borderId="600" applyNumberFormat="0" applyFont="0" applyAlignment="0"/>
    <xf numFmtId="0" fontId="51" fillId="0" borderId="575">
      <alignment horizontal="left" vertical="center"/>
    </xf>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10" fontId="18" fillId="25" borderId="600" applyNumberFormat="0" applyBorder="0" applyAlignment="0" applyProtection="0"/>
    <xf numFmtId="0" fontId="51" fillId="0" borderId="575">
      <alignment horizontal="left" vertical="center"/>
    </xf>
    <xf numFmtId="0" fontId="29" fillId="0" borderId="575" applyFont="0" applyFill="0" applyBorder="0" applyAlignment="0" applyProtection="0">
      <alignment horizontal="center"/>
    </xf>
    <xf numFmtId="4" fontId="137" fillId="0" borderId="600" applyFont="0" applyFill="0" applyBorder="0" applyAlignment="0" applyProtection="0"/>
    <xf numFmtId="9" fontId="96" fillId="25" borderId="600" applyNumberFormat="0" applyFont="0" applyAlignment="0" applyProtection="0"/>
    <xf numFmtId="193" fontId="66" fillId="23" borderId="575" applyFont="0">
      <alignment horizontal="right"/>
    </xf>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193" fontId="66" fillId="23" borderId="575" applyFont="0">
      <alignment horizontal="right"/>
    </xf>
    <xf numFmtId="0" fontId="99" fillId="0" borderId="596" applyNumberFormat="0" applyFill="0" applyAlignment="0" applyProtection="0"/>
    <xf numFmtId="39" fontId="33" fillId="0" borderId="575" applyNumberFormat="0" applyBorder="0">
      <alignment horizontal="right"/>
    </xf>
    <xf numFmtId="1" fontId="85" fillId="0" borderId="575" applyFill="0" applyProtection="0">
      <alignment horizontal="right"/>
    </xf>
    <xf numFmtId="39" fontId="33" fillId="0" borderId="575" applyNumberFormat="0" applyBorder="0">
      <alignment horizontal="right"/>
    </xf>
    <xf numFmtId="1" fontId="85" fillId="0" borderId="575"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177" fontId="114" fillId="0" borderId="597" applyBorder="0"/>
    <xf numFmtId="176" fontId="29" fillId="15" borderId="597" applyBorder="0">
      <alignment horizontal="right"/>
    </xf>
    <xf numFmtId="176" fontId="29" fillId="0" borderId="597" applyBorder="0">
      <alignment horizontal="right"/>
    </xf>
    <xf numFmtId="0" fontId="18" fillId="0" borderId="599" applyNumberFormat="0" applyFill="0" applyAlignment="0" applyProtection="0"/>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0" fontId="244" fillId="4" borderId="601" applyNumberFormat="0" applyAlignment="0" applyProtection="0"/>
    <xf numFmtId="0" fontId="18" fillId="0" borderId="599" applyNumberFormat="0" applyFill="0" applyAlignment="0" applyProtection="0"/>
    <xf numFmtId="195" fontId="18" fillId="29" borderId="597" applyNumberFormat="0" applyFont="0" applyBorder="0" applyAlignment="0" applyProtection="0">
      <alignment horizontal="right"/>
    </xf>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99" fillId="0" borderId="596" applyNumberFormat="0" applyFill="0" applyAlignment="0" applyProtection="0"/>
    <xf numFmtId="0" fontId="99" fillId="0" borderId="596" applyNumberFormat="0" applyFill="0" applyAlignment="0" applyProtection="0"/>
    <xf numFmtId="0" fontId="81" fillId="0" borderId="597" applyNumberFormat="0" applyFill="0" applyProtection="0">
      <alignment horizontal="right"/>
    </xf>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0" fontId="244" fillId="4" borderId="601" applyNumberFormat="0" applyAlignment="0" applyProtection="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0" fontId="244" fillId="4" borderId="601" applyNumberFormat="0" applyAlignment="0" applyProtection="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3" fontId="115" fillId="24" borderId="598" applyBorder="0">
      <protection locked="0"/>
    </xf>
    <xf numFmtId="0" fontId="244" fillId="4" borderId="601" applyNumberForma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 fontId="115" fillId="24" borderId="598" applyBorder="0">
      <protection locked="0"/>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99" fillId="0" borderId="596" applyNumberFormat="0" applyFill="0" applyAlignment="0" applyProtection="0"/>
    <xf numFmtId="195" fontId="18" fillId="29" borderId="597" applyNumberFormat="0" applyFont="0" applyBorder="0" applyAlignment="0" applyProtection="0">
      <alignment horizontal="right"/>
    </xf>
    <xf numFmtId="37" fontId="89" fillId="0" borderId="597" applyNumberFormat="0" applyFont="0" applyFill="0" applyAlignment="0" applyProtection="0"/>
    <xf numFmtId="8" fontId="138" fillId="0" borderId="602">
      <protection locked="0"/>
    </xf>
    <xf numFmtId="10" fontId="18" fillId="25" borderId="600" applyNumberFormat="0" applyBorder="0" applyAlignment="0" applyProtection="0"/>
    <xf numFmtId="169" fontId="137" fillId="0" borderId="600" applyNumberFormat="0" applyFill="0" applyAlignment="0" applyProtection="0"/>
    <xf numFmtId="0" fontId="244" fillId="4" borderId="601" applyNumberFormat="0" applyAlignment="0" applyProtection="0"/>
    <xf numFmtId="259" fontId="37" fillId="25" borderId="600" applyNumberFormat="0" applyFont="0" applyAlignment="0"/>
    <xf numFmtId="0" fontId="18" fillId="0" borderId="599" applyNumberFormat="0" applyFill="0" applyAlignment="0" applyProtection="0"/>
    <xf numFmtId="0" fontId="18" fillId="0" borderId="599" applyNumberFormat="0" applyFill="0" applyAlignment="0" applyProtection="0"/>
    <xf numFmtId="9" fontId="96" fillId="25" borderId="600" applyNumberFormat="0" applyFont="0" applyAlignment="0" applyProtection="0"/>
    <xf numFmtId="4" fontId="137" fillId="0" borderId="600" applyFont="0" applyFill="0" applyBorder="0" applyAlignment="0" applyProtection="0"/>
    <xf numFmtId="259" fontId="37" fillId="25" borderId="600" applyNumberFormat="0" applyFont="0" applyAlignment="0"/>
    <xf numFmtId="10" fontId="18" fillId="25" borderId="600" applyNumberFormat="0" applyBorder="0" applyAlignment="0" applyProtection="0"/>
    <xf numFmtId="169" fontId="137" fillId="0" borderId="600" applyNumberFormat="0" applyFill="0" applyAlignment="0" applyProtection="0"/>
    <xf numFmtId="195" fontId="18" fillId="29" borderId="597" applyNumberFormat="0" applyFont="0" applyBorder="0" applyAlignment="0" applyProtection="0">
      <alignment horizontal="right"/>
    </xf>
    <xf numFmtId="0" fontId="244" fillId="4" borderId="601" applyNumberFormat="0" applyAlignment="0" applyProtection="0"/>
    <xf numFmtId="10" fontId="18" fillId="25" borderId="600" applyNumberFormat="0" applyBorder="0" applyAlignment="0" applyProtection="0"/>
    <xf numFmtId="4" fontId="137" fillId="0" borderId="600" applyFont="0" applyFill="0" applyBorder="0" applyAlignment="0" applyProtection="0"/>
    <xf numFmtId="9" fontId="96" fillId="25" borderId="600" applyNumberFormat="0" applyFont="0" applyAlignment="0" applyProtection="0"/>
    <xf numFmtId="0" fontId="18" fillId="0" borderId="599" applyNumberFormat="0" applyFill="0" applyAlignment="0" applyProtection="0"/>
    <xf numFmtId="10" fontId="18" fillId="25" borderId="600" applyNumberFormat="0" applyBorder="0" applyAlignment="0" applyProtection="0"/>
    <xf numFmtId="0" fontId="18" fillId="2" borderId="603" applyNumberFormat="0" applyFont="0" applyAlignment="0" applyProtection="0"/>
    <xf numFmtId="0" fontId="244" fillId="4" borderId="601" applyNumberFormat="0" applyAlignment="0" applyProtection="0"/>
    <xf numFmtId="8" fontId="138" fillId="0" borderId="602">
      <protection locked="0"/>
    </xf>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18" fillId="0" borderId="599" applyNumberFormat="0" applyFill="0" applyAlignment="0" applyProtection="0"/>
    <xf numFmtId="0" fontId="249" fillId="0" borderId="605" applyNumberFormat="0" applyFill="0" applyAlignment="0" applyProtection="0"/>
    <xf numFmtId="0" fontId="247" fillId="28" borderId="604" applyNumberFormat="0" applyAlignment="0" applyProtection="0"/>
    <xf numFmtId="0" fontId="18" fillId="0" borderId="599" applyNumberFormat="0" applyFill="0" applyAlignment="0" applyProtection="0"/>
    <xf numFmtId="0" fontId="244" fillId="4" borderId="601" applyNumberFormat="0" applyAlignment="0" applyProtection="0"/>
    <xf numFmtId="0" fontId="18" fillId="2" borderId="603" applyNumberFormat="0" applyFont="0" applyAlignment="0" applyProtection="0"/>
    <xf numFmtId="177" fontId="114" fillId="0" borderId="597" applyBorder="0"/>
    <xf numFmtId="176" fontId="29" fillId="15" borderId="597" applyBorder="0">
      <alignment horizontal="right"/>
    </xf>
    <xf numFmtId="176" fontId="29" fillId="0" borderId="597" applyBorder="0">
      <alignment horizontal="right"/>
    </xf>
    <xf numFmtId="37" fontId="89" fillId="0" borderId="597" applyNumberFormat="0" applyFont="0" applyFill="0" applyAlignment="0" applyProtection="0"/>
    <xf numFmtId="0" fontId="140" fillId="0" borderId="597" applyNumberFormat="0" applyBorder="0"/>
    <xf numFmtId="195" fontId="18" fillId="29" borderId="597" applyNumberFormat="0" applyFont="0" applyBorder="0" applyAlignment="0" applyProtection="0">
      <alignment horizontal="right"/>
    </xf>
    <xf numFmtId="195" fontId="18" fillId="29" borderId="597" applyNumberFormat="0" applyFont="0" applyBorder="0" applyAlignment="0" applyProtection="0">
      <alignment horizontal="right"/>
    </xf>
    <xf numFmtId="0" fontId="140" fillId="0" borderId="597" applyNumberFormat="0" applyBorder="0"/>
    <xf numFmtId="176" fontId="29" fillId="0" borderId="597" applyBorder="0">
      <alignment horizontal="right"/>
    </xf>
    <xf numFmtId="176" fontId="29" fillId="15" borderId="597" applyBorder="0">
      <alignment horizontal="right"/>
    </xf>
    <xf numFmtId="177" fontId="114" fillId="0" borderId="597" applyBorder="0"/>
    <xf numFmtId="0" fontId="18" fillId="2" borderId="603" applyNumberFormat="0" applyFont="0" applyAlignment="0" applyProtection="0"/>
    <xf numFmtId="0" fontId="244" fillId="4" borderId="601" applyNumberFormat="0" applyAlignment="0" applyProtection="0"/>
    <xf numFmtId="0" fontId="18" fillId="0" borderId="599" applyNumberFormat="0" applyFill="0" applyAlignment="0" applyProtection="0"/>
    <xf numFmtId="0" fontId="247" fillId="28" borderId="604" applyNumberFormat="0" applyAlignment="0" applyProtection="0"/>
    <xf numFmtId="0" fontId="249" fillId="0" borderId="605" applyNumberFormat="0" applyFill="0" applyAlignment="0" applyProtection="0"/>
    <xf numFmtId="0" fontId="18" fillId="0" borderId="599" applyNumberFormat="0" applyFill="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18" fillId="2" borderId="603" applyNumberFormat="0" applyFont="0" applyAlignment="0" applyProtection="0"/>
    <xf numFmtId="0" fontId="18" fillId="0" borderId="599" applyNumberFormat="0" applyFill="0" applyAlignment="0" applyProtection="0"/>
    <xf numFmtId="0" fontId="99" fillId="0" borderId="596" applyNumberFormat="0" applyFill="0" applyAlignment="0" applyProtection="0"/>
    <xf numFmtId="0" fontId="244" fillId="4" borderId="601" applyNumberFormat="0" applyAlignment="0" applyProtection="0"/>
    <xf numFmtId="177" fontId="114" fillId="0" borderId="594" applyBorder="0"/>
    <xf numFmtId="176" fontId="29" fillId="15" borderId="594" applyBorder="0">
      <alignment horizontal="right"/>
    </xf>
    <xf numFmtId="176" fontId="29" fillId="0" borderId="594" applyBorder="0">
      <alignment horizontal="right"/>
    </xf>
    <xf numFmtId="37" fontId="89" fillId="0" borderId="594" applyNumberFormat="0" applyFont="0" applyFill="0" applyAlignment="0" applyProtection="0"/>
    <xf numFmtId="0" fontId="140" fillId="0" borderId="594" applyNumberFormat="0" applyBorder="0"/>
    <xf numFmtId="195" fontId="18" fillId="29" borderId="594" applyNumberFormat="0" applyFont="0" applyBorder="0" applyAlignment="0" applyProtection="0">
      <alignment horizontal="right"/>
    </xf>
    <xf numFmtId="0" fontId="18" fillId="2" borderId="591" applyNumberFormat="0" applyFont="0" applyAlignment="0" applyProtection="0"/>
    <xf numFmtId="0" fontId="244" fillId="4" borderId="589" applyNumberFormat="0" applyAlignment="0" applyProtection="0"/>
    <xf numFmtId="8" fontId="138" fillId="0" borderId="590">
      <protection locked="0"/>
    </xf>
    <xf numFmtId="0" fontId="237" fillId="28" borderId="589" applyNumberFormat="0" applyAlignment="0" applyProtection="0"/>
    <xf numFmtId="0" fontId="244" fillId="4" borderId="589" applyNumberFormat="0" applyAlignment="0" applyProtection="0"/>
    <xf numFmtId="0" fontId="244" fillId="4" borderId="589" applyNumberFormat="0" applyAlignment="0" applyProtection="0"/>
    <xf numFmtId="0" fontId="18" fillId="0" borderId="588" applyNumberFormat="0" applyFill="0" applyAlignment="0" applyProtection="0"/>
    <xf numFmtId="0" fontId="249" fillId="0" borderId="593" applyNumberFormat="0" applyFill="0" applyAlignment="0" applyProtection="0"/>
    <xf numFmtId="0" fontId="247" fillId="28" borderId="592" applyNumberFormat="0" applyAlignment="0" applyProtection="0"/>
    <xf numFmtId="0" fontId="18" fillId="0" borderId="588" applyNumberFormat="0" applyFill="0" applyAlignment="0" applyProtection="0"/>
    <xf numFmtId="0" fontId="244" fillId="4" borderId="589" applyNumberFormat="0" applyAlignment="0" applyProtection="0"/>
    <xf numFmtId="195" fontId="18" fillId="29" borderId="594" applyNumberFormat="0" applyFont="0" applyBorder="0" applyAlignment="0" applyProtection="0">
      <alignment horizontal="right"/>
    </xf>
    <xf numFmtId="0" fontId="18" fillId="2" borderId="591" applyNumberFormat="0" applyFont="0" applyAlignment="0" applyProtection="0"/>
    <xf numFmtId="177" fontId="114" fillId="0" borderId="594" applyBorder="0"/>
    <xf numFmtId="176" fontId="29" fillId="15" borderId="594" applyBorder="0">
      <alignment horizontal="right"/>
    </xf>
    <xf numFmtId="176" fontId="29" fillId="0" borderId="594" applyBorder="0">
      <alignment horizontal="right"/>
    </xf>
    <xf numFmtId="3" fontId="115" fillId="24" borderId="585" applyBorder="0">
      <protection locked="0"/>
    </xf>
    <xf numFmtId="37" fontId="89" fillId="0" borderId="594" applyNumberFormat="0" applyFont="0" applyFill="0" applyAlignment="0" applyProtection="0"/>
    <xf numFmtId="0" fontId="140" fillId="0" borderId="594" applyNumberFormat="0" applyBorder="0"/>
    <xf numFmtId="195" fontId="18" fillId="29" borderId="594" applyNumberFormat="0" applyFont="0" applyBorder="0" applyAlignment="0" applyProtection="0">
      <alignment horizontal="right"/>
    </xf>
    <xf numFmtId="195" fontId="18" fillId="29" borderId="594"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620" applyNumberFormat="0" applyFill="0" applyAlignment="0" applyProtection="0"/>
    <xf numFmtId="195" fontId="18" fillId="29" borderId="618" applyNumberFormat="0" applyFont="0" applyBorder="0" applyAlignment="0" applyProtection="0">
      <alignment horizontal="right"/>
    </xf>
    <xf numFmtId="37" fontId="89" fillId="0" borderId="618" applyNumberFormat="0" applyFont="0" applyFill="0" applyAlignment="0" applyProtection="0"/>
    <xf numFmtId="8" fontId="138" fillId="0" borderId="614">
      <protection locked="0"/>
    </xf>
    <xf numFmtId="10" fontId="18" fillId="25" borderId="587" applyNumberFormat="0" applyBorder="0" applyAlignment="0" applyProtection="0"/>
    <xf numFmtId="169" fontId="137" fillId="0" borderId="587" applyNumberFormat="0" applyFill="0" applyAlignment="0" applyProtection="0"/>
    <xf numFmtId="0" fontId="244" fillId="4" borderId="589" applyNumberFormat="0" applyAlignment="0" applyProtection="0"/>
    <xf numFmtId="259" fontId="37" fillId="25" borderId="587" applyNumberFormat="0" applyFont="0" applyAlignment="0"/>
    <xf numFmtId="0" fontId="18" fillId="0" borderId="612" applyNumberFormat="0" applyFill="0" applyAlignment="0" applyProtection="0"/>
    <xf numFmtId="193" fontId="66" fillId="23" borderId="609" applyFont="0">
      <alignment horizontal="right"/>
    </xf>
    <xf numFmtId="0" fontId="18" fillId="0" borderId="588" applyNumberFormat="0" applyFill="0" applyAlignment="0" applyProtection="0"/>
    <xf numFmtId="9" fontId="96" fillId="25" borderId="587" applyNumberFormat="0" applyFont="0" applyAlignment="0" applyProtection="0"/>
    <xf numFmtId="4" fontId="137" fillId="0" borderId="587" applyFont="0" applyFill="0" applyBorder="0" applyAlignment="0" applyProtection="0"/>
    <xf numFmtId="259" fontId="37" fillId="25" borderId="587" applyNumberFormat="0" applyFont="0" applyAlignment="0"/>
    <xf numFmtId="0" fontId="244" fillId="4" borderId="589" applyNumberFormat="0" applyAlignment="0" applyProtection="0"/>
    <xf numFmtId="10" fontId="18" fillId="25" borderId="587" applyNumberFormat="0" applyBorder="0" applyAlignment="0" applyProtection="0"/>
    <xf numFmtId="169" fontId="137" fillId="0" borderId="587" applyNumberFormat="0" applyFill="0" applyAlignment="0" applyProtection="0"/>
    <xf numFmtId="195" fontId="18" fillId="29" borderId="618" applyNumberFormat="0" applyFont="0" applyBorder="0" applyAlignment="0" applyProtection="0">
      <alignment horizontal="right"/>
    </xf>
    <xf numFmtId="3" fontId="115" fillId="24" borderId="619" applyBorder="0">
      <protection locked="0"/>
    </xf>
    <xf numFmtId="0" fontId="244" fillId="4" borderId="613" applyNumberFormat="0" applyAlignment="0" applyProtection="0"/>
    <xf numFmtId="10" fontId="18" fillId="25" borderId="587"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587" applyFont="0" applyFill="0" applyBorder="0" applyAlignment="0" applyProtection="0"/>
    <xf numFmtId="9" fontId="96" fillId="25" borderId="587" applyNumberFormat="0" applyFont="0" applyAlignment="0" applyProtection="0"/>
    <xf numFmtId="0" fontId="18" fillId="0" borderId="588" applyNumberFormat="0" applyFill="0" applyAlignment="0" applyProtection="0"/>
    <xf numFmtId="10" fontId="18" fillId="25" borderId="587" applyNumberFormat="0" applyBorder="0" applyAlignment="0" applyProtection="0"/>
    <xf numFmtId="0" fontId="18" fillId="2" borderId="591" applyNumberFormat="0" applyFont="0" applyAlignment="0" applyProtection="0"/>
    <xf numFmtId="0" fontId="244" fillId="4" borderId="589" applyNumberFormat="0" applyAlignment="0" applyProtection="0"/>
    <xf numFmtId="8" fontId="138" fillId="0" borderId="590">
      <protection locked="0"/>
    </xf>
    <xf numFmtId="0" fontId="237" fillId="28" borderId="589" applyNumberFormat="0" applyAlignment="0" applyProtection="0"/>
    <xf numFmtId="0" fontId="244" fillId="4" borderId="589" applyNumberFormat="0" applyAlignment="0" applyProtection="0"/>
    <xf numFmtId="0" fontId="244" fillId="4" borderId="589" applyNumberFormat="0" applyAlignment="0" applyProtection="0"/>
    <xf numFmtId="0" fontId="18" fillId="0" borderId="588" applyNumberFormat="0" applyFill="0" applyAlignment="0" applyProtection="0"/>
    <xf numFmtId="0" fontId="249" fillId="0" borderId="593" applyNumberFormat="0" applyFill="0" applyAlignment="0" applyProtection="0"/>
    <xf numFmtId="0" fontId="247" fillId="28" borderId="592" applyNumberFormat="0" applyAlignment="0" applyProtection="0"/>
    <xf numFmtId="0" fontId="18" fillId="0" borderId="588" applyNumberFormat="0" applyFill="0" applyAlignment="0" applyProtection="0"/>
    <xf numFmtId="0" fontId="244" fillId="4" borderId="589" applyNumberFormat="0" applyAlignment="0" applyProtection="0"/>
    <xf numFmtId="0" fontId="18" fillId="2" borderId="591" applyNumberFormat="0" applyFont="0" applyAlignment="0" applyProtection="0"/>
    <xf numFmtId="177" fontId="114" fillId="0" borderId="594" applyBorder="0"/>
    <xf numFmtId="176" fontId="29" fillId="15" borderId="594" applyBorder="0">
      <alignment horizontal="right"/>
    </xf>
    <xf numFmtId="176" fontId="29" fillId="0" borderId="594" applyBorder="0">
      <alignment horizontal="right"/>
    </xf>
    <xf numFmtId="3" fontId="115" fillId="24" borderId="595" applyBorder="0">
      <protection locked="0"/>
    </xf>
    <xf numFmtId="37" fontId="89" fillId="0" borderId="594" applyNumberFormat="0" applyFont="0" applyFill="0" applyAlignment="0" applyProtection="0"/>
    <xf numFmtId="0" fontId="140" fillId="0" borderId="594" applyNumberFormat="0" applyBorder="0"/>
    <xf numFmtId="195" fontId="18" fillId="29" borderId="594" applyNumberFormat="0" applyFont="0" applyBorder="0" applyAlignment="0" applyProtection="0">
      <alignment horizontal="right"/>
    </xf>
    <xf numFmtId="195" fontId="18" fillId="29" borderId="594"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18" applyNumberFormat="0" applyBorder="0"/>
    <xf numFmtId="176" fontId="29" fillId="0" borderId="618" applyBorder="0">
      <alignment horizontal="right"/>
    </xf>
    <xf numFmtId="176" fontId="29" fillId="15" borderId="618" applyBorder="0">
      <alignment horizontal="right"/>
    </xf>
    <xf numFmtId="177" fontId="114" fillId="0" borderId="618" applyBorder="0"/>
    <xf numFmtId="0" fontId="18" fillId="2" borderId="615" applyNumberFormat="0" applyFont="0" applyAlignment="0" applyProtection="0"/>
    <xf numFmtId="0" fontId="244" fillId="4" borderId="613" applyNumberFormat="0" applyAlignment="0" applyProtection="0"/>
    <xf numFmtId="0" fontId="18" fillId="0" borderId="612" applyNumberFormat="0" applyFill="0" applyAlignment="0" applyProtection="0"/>
    <xf numFmtId="0" fontId="247" fillId="28" borderId="616" applyNumberFormat="0" applyAlignment="0" applyProtection="0"/>
    <xf numFmtId="0" fontId="249" fillId="0" borderId="617" applyNumberFormat="0" applyFill="0" applyAlignment="0" applyProtection="0"/>
    <xf numFmtId="0" fontId="18" fillId="0" borderId="612" applyNumberFormat="0" applyFill="0" applyAlignment="0" applyProtection="0"/>
    <xf numFmtId="0" fontId="244" fillId="4" borderId="613" applyNumberFormat="0" applyAlignment="0" applyProtection="0"/>
    <xf numFmtId="0" fontId="244" fillId="4" borderId="613" applyNumberFormat="0" applyAlignment="0" applyProtection="0"/>
    <xf numFmtId="0" fontId="237" fillId="28" borderId="613" applyNumberFormat="0" applyAlignment="0" applyProtection="0"/>
    <xf numFmtId="0" fontId="18" fillId="2" borderId="615" applyNumberFormat="0" applyFont="0" applyAlignment="0" applyProtection="0"/>
    <xf numFmtId="0" fontId="18" fillId="0" borderId="612" applyNumberFormat="0" applyFill="0" applyAlignment="0" applyProtection="0"/>
    <xf numFmtId="193" fontId="66" fillId="23" borderId="609" applyFont="0">
      <alignment horizontal="right"/>
    </xf>
    <xf numFmtId="0" fontId="99" fillId="0" borderId="610" applyNumberFormat="0" applyFill="0" applyAlignment="0" applyProtection="0"/>
    <xf numFmtId="0" fontId="81" fillId="0" borderId="594"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177" fontId="114" fillId="0" borderId="621" applyBorder="0"/>
    <xf numFmtId="176" fontId="29" fillId="15" borderId="621" applyBorder="0">
      <alignment horizontal="right"/>
    </xf>
    <xf numFmtId="176" fontId="29" fillId="0" borderId="621" applyBorder="0">
      <alignment horizontal="right"/>
    </xf>
    <xf numFmtId="193" fontId="66" fillId="23" borderId="609" applyFont="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9" fillId="0" borderId="609" applyFont="0" applyFill="0" applyBorder="0" applyAlignment="0" applyProtection="0">
      <alignment horizontal="center"/>
    </xf>
    <xf numFmtId="0" fontId="51" fillId="0" borderId="609">
      <alignment horizontal="left" vertical="center"/>
    </xf>
    <xf numFmtId="0" fontId="244" fillId="4" borderId="589" applyNumberFormat="0" applyAlignment="0" applyProtection="0"/>
    <xf numFmtId="193" fontId="66" fillId="23" borderId="609" applyFont="0">
      <alignment horizontal="right"/>
    </xf>
    <xf numFmtId="0" fontId="18" fillId="0" borderId="623" applyNumberFormat="0" applyFill="0" applyAlignment="0" applyProtection="0"/>
    <xf numFmtId="195" fontId="18" fillId="29" borderId="621" applyNumberFormat="0" applyFont="0" applyBorder="0" applyAlignment="0" applyProtection="0">
      <alignment horizontal="right"/>
    </xf>
    <xf numFmtId="0" fontId="244" fillId="4" borderId="601" applyNumberFormat="0" applyAlignment="0" applyProtection="0"/>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244" fillId="4" borderId="601" applyNumberFormat="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0" fontId="244" fillId="4" borderId="601" applyNumberFormat="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01"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244" fillId="4" borderId="601" applyNumberFormat="0" applyAlignment="0" applyProtection="0"/>
    <xf numFmtId="10" fontId="18" fillId="25" borderId="624" applyNumberFormat="0" applyBorder="0" applyAlignment="0" applyProtection="0"/>
    <xf numFmtId="0" fontId="244" fillId="4" borderId="601" applyNumberFormat="0" applyAlignment="0" applyProtection="0"/>
    <xf numFmtId="0" fontId="237" fillId="28" borderId="601" applyNumberFormat="0" applyAlignment="0" applyProtection="0"/>
    <xf numFmtId="0" fontId="244" fillId="4" borderId="601" applyNumberFormat="0" applyAlignment="0" applyProtection="0"/>
    <xf numFmtId="0" fontId="244" fillId="4" borderId="601" applyNumberFormat="0" applyAlignment="0" applyProtection="0"/>
    <xf numFmtId="0" fontId="244" fillId="4" borderId="601" applyNumberFormat="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0" fontId="244" fillId="4" borderId="601" applyNumberFormat="0" applyAlignment="0" applyProtection="0"/>
    <xf numFmtId="0" fontId="244" fillId="4" borderId="601" applyNumberFormat="0" applyAlignment="0" applyProtection="0"/>
    <xf numFmtId="0" fontId="244" fillId="4" borderId="601" applyNumberFormat="0" applyAlignment="0" applyProtection="0"/>
    <xf numFmtId="0" fontId="237" fillId="28" borderId="601" applyNumberFormat="0" applyAlignment="0" applyProtection="0"/>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11" applyNumberFormat="0" applyBorder="0" applyAlignment="0" applyProtection="0"/>
    <xf numFmtId="169" fontId="137" fillId="0" borderId="611" applyNumberFormat="0" applyFill="0" applyAlignment="0" applyProtection="0"/>
    <xf numFmtId="0" fontId="244" fillId="4" borderId="625" applyNumberFormat="0" applyAlignment="0" applyProtection="0"/>
    <xf numFmtId="259" fontId="37" fillId="25" borderId="611" applyNumberFormat="0" applyFont="0" applyAlignment="0"/>
    <xf numFmtId="0" fontId="18" fillId="0" borderId="623" applyNumberFormat="0" applyFill="0" applyAlignment="0" applyProtection="0"/>
    <xf numFmtId="193" fontId="66" fillId="23" borderId="609" applyFont="0">
      <alignment horizontal="right"/>
    </xf>
    <xf numFmtId="0" fontId="18" fillId="0" borderId="623" applyNumberFormat="0" applyFill="0" applyAlignment="0" applyProtection="0"/>
    <xf numFmtId="9" fontId="96" fillId="25" borderId="611" applyNumberFormat="0" applyFont="0" applyAlignment="0" applyProtection="0"/>
    <xf numFmtId="4" fontId="137" fillId="0" borderId="611" applyFont="0" applyFill="0" applyBorder="0" applyAlignment="0" applyProtection="0"/>
    <xf numFmtId="259" fontId="37" fillId="25" borderId="611" applyNumberFormat="0" applyFont="0" applyAlignment="0"/>
    <xf numFmtId="10" fontId="18" fillId="25" borderId="611" applyNumberFormat="0" applyBorder="0" applyAlignment="0" applyProtection="0"/>
    <xf numFmtId="169" fontId="137" fillId="0" borderId="611"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11"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11" applyFont="0" applyFill="0" applyBorder="0" applyAlignment="0" applyProtection="0"/>
    <xf numFmtId="9" fontId="96" fillId="25" borderId="611" applyNumberFormat="0" applyFont="0" applyAlignment="0" applyProtection="0"/>
    <xf numFmtId="0" fontId="18" fillId="0" borderId="623" applyNumberFormat="0" applyFill="0" applyAlignment="0" applyProtection="0"/>
    <xf numFmtId="10" fontId="18" fillId="25" borderId="611"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37" fontId="89" fillId="0" borderId="621" applyNumberFormat="0" applyFont="0" applyFill="0" applyAlignment="0" applyProtection="0"/>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37" fontId="89" fillId="0" borderId="621" applyNumberFormat="0" applyFont="0" applyFill="0" applyAlignment="0" applyProtection="0"/>
    <xf numFmtId="176" fontId="29" fillId="15" borderId="621" applyBorder="0">
      <alignment horizontal="right"/>
    </xf>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18" fillId="0" borderId="623" applyNumberFormat="0" applyFill="0" applyAlignment="0" applyProtection="0"/>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0" fontId="237" fillId="28" borderId="625" applyNumberFormat="0" applyAlignment="0" applyProtection="0"/>
    <xf numFmtId="4" fontId="137" fillId="0" borderId="624" applyFont="0" applyFill="0" applyBorder="0" applyAlignment="0" applyProtection="0"/>
    <xf numFmtId="8" fontId="138" fillId="0" borderId="626">
      <protection locked="0"/>
    </xf>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18" fillId="2" borderId="627" applyNumberFormat="0" applyFont="0" applyAlignment="0" applyProtection="0"/>
    <xf numFmtId="0" fontId="247" fillId="28" borderId="628" applyNumberFormat="0" applyAlignment="0" applyProtection="0"/>
    <xf numFmtId="0" fontId="249" fillId="0" borderId="629" applyNumberFormat="0" applyFill="0" applyAlignment="0" applyProtection="0"/>
    <xf numFmtId="177" fontId="114" fillId="0" borderId="621" applyBorder="0"/>
    <xf numFmtId="0" fontId="18" fillId="0" borderId="623" applyNumberFormat="0" applyFill="0" applyAlignment="0" applyProtection="0"/>
    <xf numFmtId="0" fontId="247" fillId="28" borderId="628" applyNumberFormat="0" applyAlignment="0" applyProtection="0"/>
    <xf numFmtId="0" fontId="244" fillId="4" borderId="625" applyNumberFormat="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176" fontId="29" fillId="0" borderId="621" applyBorder="0">
      <alignment horizontal="right"/>
    </xf>
    <xf numFmtId="0" fontId="249" fillId="0" borderId="629" applyNumberFormat="0" applyFill="0" applyAlignment="0" applyProtection="0"/>
    <xf numFmtId="0" fontId="244" fillId="4" borderId="625" applyNumberFormat="0" applyAlignment="0" applyProtection="0"/>
    <xf numFmtId="0" fontId="237" fillId="28" borderId="625" applyNumberFormat="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18" fillId="0" borderId="623" applyNumberFormat="0" applyFill="0" applyAlignment="0" applyProtection="0"/>
    <xf numFmtId="193" fontId="66" fillId="23" borderId="609" applyFont="0">
      <alignment horizontal="right"/>
    </xf>
    <xf numFmtId="0" fontId="18" fillId="0" borderId="588"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589"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93" fontId="66" fillId="23" borderId="609" applyFont="0">
      <alignment horizontal="right"/>
    </xf>
    <xf numFmtId="0" fontId="18" fillId="0" borderId="588" applyNumberFormat="0" applyFill="0" applyAlignment="0" applyProtection="0"/>
    <xf numFmtId="10" fontId="18" fillId="25" borderId="624" applyNumberFormat="0" applyBorder="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193" fontId="66" fillId="23" borderId="609" applyFont="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9" fillId="0" borderId="609" applyFont="0" applyFill="0" applyBorder="0" applyAlignment="0" applyProtection="0">
      <alignment horizontal="center"/>
    </xf>
    <xf numFmtId="0" fontId="51" fillId="0" borderId="609">
      <alignment horizontal="left" vertical="center"/>
    </xf>
    <xf numFmtId="0" fontId="244" fillId="4" borderId="589" applyNumberFormat="0" applyAlignment="0" applyProtection="0"/>
    <xf numFmtId="193" fontId="66" fillId="23" borderId="609" applyFont="0">
      <alignment horizontal="right"/>
    </xf>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24" applyFont="0" applyFill="0" applyBorder="0" applyAlignment="0" applyProtection="0"/>
    <xf numFmtId="9" fontId="96" fillId="25" borderId="624"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587" applyNumberFormat="0" applyBorder="0" applyAlignment="0" applyProtection="0"/>
    <xf numFmtId="169" fontId="137" fillId="0" borderId="587" applyNumberFormat="0" applyFill="0" applyAlignment="0" applyProtection="0"/>
    <xf numFmtId="0" fontId="244" fillId="4" borderId="625" applyNumberFormat="0" applyAlignment="0" applyProtection="0"/>
    <xf numFmtId="259" fontId="37" fillId="25" borderId="587"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587"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587" applyFont="0" applyFill="0" applyBorder="0" applyAlignment="0" applyProtection="0"/>
    <xf numFmtId="9" fontId="96" fillId="25" borderId="587"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0" fontId="6" fillId="0" borderId="0"/>
    <xf numFmtId="0" fontId="81" fillId="0" borderId="621" applyNumberFormat="0" applyFill="0" applyProtection="0">
      <alignment horizontal="right"/>
    </xf>
    <xf numFmtId="0" fontId="81" fillId="0" borderId="621" applyNumberFormat="0" applyFill="0" applyProtection="0">
      <alignment horizontal="right"/>
    </xf>
    <xf numFmtId="0" fontId="140" fillId="0" borderId="621" applyNumberFormat="0" applyBorder="0"/>
    <xf numFmtId="0" fontId="99" fillId="0" borderId="620" applyNumberFormat="0" applyFill="0" applyAlignment="0" applyProtection="0"/>
    <xf numFmtId="37" fontId="89" fillId="0" borderId="621" applyNumberFormat="0" applyFon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195" fontId="18" fillId="29" borderId="621" applyNumberFormat="0" applyFont="0" applyBorder="0" applyAlignment="0" applyProtection="0">
      <alignment horizontal="right"/>
    </xf>
    <xf numFmtId="193" fontId="66" fillId="23" borderId="609" applyFont="0">
      <alignment horizontal="right"/>
    </xf>
    <xf numFmtId="0" fontId="99" fillId="0" borderId="620" applyNumberFormat="0" applyFill="0" applyAlignment="0" applyProtection="0"/>
    <xf numFmtId="4" fontId="137" fillId="0" borderId="624" applyFont="0" applyFill="0" applyBorder="0" applyAlignment="0" applyProtection="0"/>
    <xf numFmtId="10" fontId="18" fillId="25" borderId="624" applyNumberFormat="0" applyBorder="0" applyAlignment="0" applyProtection="0"/>
    <xf numFmtId="0" fontId="99" fillId="0" borderId="620" applyNumberFormat="0" applyFill="0" applyAlignment="0" applyProtection="0"/>
    <xf numFmtId="3" fontId="115" fillId="24" borderId="622" applyBorder="0">
      <protection locked="0"/>
    </xf>
    <xf numFmtId="259" fontId="37" fillId="25" borderId="624" applyNumberFormat="0" applyFont="0" applyAlignment="0"/>
    <xf numFmtId="0" fontId="51" fillId="0" borderId="609">
      <alignment horizontal="left" vertical="center"/>
    </xf>
    <xf numFmtId="193" fontId="66" fillId="23" borderId="609" applyFont="0">
      <alignment horizontal="right"/>
    </xf>
    <xf numFmtId="0" fontId="18" fillId="0" borderId="623" applyNumberFormat="0" applyFill="0" applyAlignment="0" applyProtection="0"/>
    <xf numFmtId="0" fontId="237" fillId="28" borderId="625" applyNumberFormat="0" applyAlignment="0" applyProtection="0"/>
    <xf numFmtId="8" fontId="138" fillId="0" borderId="626">
      <protection locked="0"/>
    </xf>
    <xf numFmtId="0" fontId="29" fillId="0" borderId="609" applyFont="0" applyFill="0" applyBorder="0" applyAlignment="0" applyProtection="0">
      <alignment horizontal="center"/>
    </xf>
    <xf numFmtId="0" fontId="51" fillId="0" borderId="609">
      <alignment horizontal="left" vertical="center"/>
    </xf>
    <xf numFmtId="0" fontId="244" fillId="4" borderId="625" applyNumberFormat="0" applyAlignment="0" applyProtection="0"/>
    <xf numFmtId="0" fontId="18" fillId="2" borderId="627" applyNumberFormat="0" applyFont="0" applyAlignment="0" applyProtection="0"/>
    <xf numFmtId="0" fontId="247" fillId="28" borderId="628" applyNumberFormat="0" applyAlignment="0" applyProtection="0"/>
    <xf numFmtId="259" fontId="37" fillId="25" borderId="624" applyNumberFormat="0" applyFont="0" applyAlignment="0"/>
    <xf numFmtId="10" fontId="18" fillId="25" borderId="624" applyNumberFormat="0" applyBorder="0" applyAlignment="0" applyProtection="0"/>
    <xf numFmtId="0" fontId="18" fillId="0" borderId="623" applyNumberFormat="0" applyFill="0" applyAlignment="0" applyProtection="0"/>
    <xf numFmtId="3" fontId="115" fillId="24" borderId="622" applyBorder="0">
      <protection locked="0"/>
    </xf>
    <xf numFmtId="0" fontId="249" fillId="0" borderId="629" applyNumberFormat="0" applyFill="0" applyAlignment="0" applyProtection="0"/>
    <xf numFmtId="8" fontId="138" fillId="0" borderId="626">
      <protection locked="0"/>
    </xf>
    <xf numFmtId="0" fontId="99" fillId="0" borderId="620" applyNumberFormat="0" applyFill="0" applyAlignment="0" applyProtection="0"/>
    <xf numFmtId="3" fontId="115" fillId="24" borderId="622" applyBorder="0">
      <protection locked="0"/>
    </xf>
    <xf numFmtId="10" fontId="18" fillId="25" borderId="624" applyNumberFormat="0" applyBorder="0" applyAlignment="0" applyProtection="0"/>
    <xf numFmtId="0" fontId="140" fillId="0" borderId="621" applyNumberFormat="0" applyBorder="0"/>
    <xf numFmtId="195" fontId="18" fillId="29" borderId="621" applyNumberFormat="0" applyFont="0" applyBorder="0" applyAlignment="0" applyProtection="0">
      <alignment horizontal="right"/>
    </xf>
    <xf numFmtId="0" fontId="99" fillId="0" borderId="620" applyNumberFormat="0" applyFill="0" applyAlignment="0" applyProtection="0"/>
    <xf numFmtId="9" fontId="96" fillId="25" borderId="624" applyNumberFormat="0" applyFont="0" applyAlignment="0" applyProtection="0"/>
    <xf numFmtId="177" fontId="114" fillId="0" borderId="621" applyBorder="0"/>
    <xf numFmtId="195" fontId="18" fillId="29" borderId="621" applyNumberFormat="0" applyFont="0" applyBorder="0" applyAlignment="0" applyProtection="0">
      <alignment horizontal="right"/>
    </xf>
    <xf numFmtId="4" fontId="137" fillId="0" borderId="624" applyFont="0" applyFill="0" applyBorder="0" applyAlignment="0" applyProtection="0"/>
    <xf numFmtId="10" fontId="18" fillId="25" borderId="624" applyNumberFormat="0" applyBorder="0" applyAlignment="0" applyProtection="0"/>
    <xf numFmtId="176" fontId="29" fillId="0" borderId="621" applyBorder="0">
      <alignment horizontal="right"/>
    </xf>
    <xf numFmtId="0" fontId="244" fillId="4" borderId="625" applyNumberFormat="0" applyAlignment="0" applyProtection="0"/>
    <xf numFmtId="0" fontId="29" fillId="0" borderId="609" applyFont="0" applyFill="0" applyBorder="0" applyAlignment="0" applyProtection="0">
      <alignment horizontal="center"/>
    </xf>
    <xf numFmtId="193" fontId="66" fillId="23" borderId="609" applyFont="0">
      <alignment horizontal="right"/>
    </xf>
    <xf numFmtId="0" fontId="18" fillId="0" borderId="623" applyNumberFormat="0" applyFill="0" applyAlignment="0" applyProtection="0"/>
    <xf numFmtId="169" fontId="137" fillId="0" borderId="624" applyNumberFormat="0" applyFill="0" applyAlignment="0" applyProtection="0"/>
    <xf numFmtId="0" fontId="18" fillId="2" borderId="627" applyNumberFormat="0" applyFont="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8" fillId="0" borderId="623" applyNumberFormat="0" applyFill="0" applyAlignment="0" applyProtection="0"/>
    <xf numFmtId="176" fontId="29" fillId="0" borderId="621" applyBorder="0">
      <alignment horizontal="right"/>
    </xf>
    <xf numFmtId="195" fontId="18" fillId="29" borderId="621" applyNumberFormat="0" applyFont="0" applyBorder="0" applyAlignment="0" applyProtection="0">
      <alignment horizontal="right"/>
    </xf>
    <xf numFmtId="177" fontId="114" fillId="0" borderId="621" applyBorder="0"/>
    <xf numFmtId="176" fontId="29" fillId="15" borderId="621" applyBorder="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81" fillId="0" borderId="621" applyNumberFormat="0" applyFill="0" applyProtection="0">
      <alignment horizontal="right"/>
    </xf>
    <xf numFmtId="0" fontId="99" fillId="0" borderId="620" applyNumberFormat="0" applyFill="0" applyAlignment="0" applyProtection="0"/>
    <xf numFmtId="9" fontId="96" fillId="25" borderId="624" applyNumberFormat="0" applyFont="0" applyAlignment="0" applyProtection="0"/>
    <xf numFmtId="169" fontId="137" fillId="0" borderId="624" applyNumberFormat="0" applyFill="0" applyAlignment="0" applyProtection="0"/>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37" fontId="89" fillId="0" borderId="621" applyNumberFormat="0" applyFon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51" fillId="0" borderId="609">
      <alignment horizontal="left" vertical="center"/>
    </xf>
    <xf numFmtId="0" fontId="29" fillId="0" borderId="609" applyFont="0" applyFill="0" applyBorder="0" applyAlignment="0" applyProtection="0">
      <alignment horizontal="center"/>
    </xf>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6" fontId="29" fillId="15" borderId="621" applyBorder="0">
      <alignment horizontal="right"/>
    </xf>
    <xf numFmtId="37" fontId="89" fillId="0" borderId="621" applyNumberFormat="0" applyFont="0" applyFill="0" applyAlignment="0" applyProtection="0"/>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37" fontId="89" fillId="0" borderId="621" applyNumberFormat="0" applyFont="0" applyFill="0" applyAlignment="0" applyProtection="0"/>
    <xf numFmtId="176" fontId="29" fillId="15" borderId="621" applyBorder="0">
      <alignment horizontal="right"/>
    </xf>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18" fillId="0" borderId="623" applyNumberFormat="0" applyFill="0" applyAlignment="0" applyProtection="0"/>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0" fontId="237" fillId="28" borderId="625" applyNumberFormat="0" applyAlignment="0" applyProtection="0"/>
    <xf numFmtId="4" fontId="137" fillId="0" borderId="624" applyFont="0" applyFill="0" applyBorder="0" applyAlignment="0" applyProtection="0"/>
    <xf numFmtId="8" fontId="138" fillId="0" borderId="626">
      <protection locked="0"/>
    </xf>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18" fillId="2" borderId="627" applyNumberFormat="0" applyFont="0" applyAlignment="0" applyProtection="0"/>
    <xf numFmtId="0" fontId="247" fillId="28" borderId="628" applyNumberFormat="0" applyAlignment="0" applyProtection="0"/>
    <xf numFmtId="0" fontId="249" fillId="0" borderId="629" applyNumberFormat="0" applyFill="0" applyAlignment="0" applyProtection="0"/>
    <xf numFmtId="177" fontId="114" fillId="0" borderId="621" applyBorder="0"/>
    <xf numFmtId="0" fontId="18" fillId="0" borderId="623" applyNumberFormat="0" applyFill="0" applyAlignment="0" applyProtection="0"/>
    <xf numFmtId="0" fontId="247" fillId="28" borderId="628" applyNumberFormat="0" applyAlignment="0" applyProtection="0"/>
    <xf numFmtId="0" fontId="244" fillId="4" borderId="625" applyNumberFormat="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176" fontId="29" fillId="0" borderId="621" applyBorder="0">
      <alignment horizontal="right"/>
    </xf>
    <xf numFmtId="0" fontId="249" fillId="0" borderId="629" applyNumberFormat="0" applyFill="0" applyAlignment="0" applyProtection="0"/>
    <xf numFmtId="0" fontId="244" fillId="4" borderId="625" applyNumberFormat="0" applyAlignment="0" applyProtection="0"/>
    <xf numFmtId="0" fontId="237" fillId="28" borderId="625" applyNumberFormat="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24" applyFont="0" applyFill="0" applyBorder="0" applyAlignment="0" applyProtection="0"/>
    <xf numFmtId="9" fontId="96" fillId="25" borderId="624"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43" fontId="6" fillId="0" borderId="0" applyFont="0" applyFill="0" applyBorder="0" applyAlignment="0" applyProtection="0"/>
    <xf numFmtId="9" fontId="6" fillId="0" borderId="0" applyFont="0" applyFill="0" applyBorder="0" applyAlignment="0" applyProtection="0"/>
    <xf numFmtId="0" fontId="6" fillId="0" borderId="0"/>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8" fontId="138" fillId="0" borderId="626">
      <protection locked="0"/>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0" fontId="6" fillId="0" borderId="0"/>
    <xf numFmtId="0" fontId="6" fillId="0" borderId="0"/>
    <xf numFmtId="0" fontId="244" fillId="4" borderId="625" applyNumberForma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0" fontId="244" fillId="4" borderId="625"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39" fontId="33" fillId="0" borderId="609" applyNumberFormat="0" applyBorder="0">
      <alignment horizontal="right"/>
    </xf>
    <xf numFmtId="1" fontId="85" fillId="0" borderId="609" applyFill="0" applyProtection="0">
      <alignment horizontal="right"/>
    </xf>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24" applyFont="0" applyFill="0" applyBorder="0" applyAlignment="0" applyProtection="0"/>
    <xf numFmtId="9" fontId="96" fillId="25" borderId="624"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0" fontId="244" fillId="4" borderId="625"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0" borderId="623" applyNumberFormat="0" applyFill="0" applyAlignment="0" applyProtection="0"/>
    <xf numFmtId="193" fontId="66" fillId="23" borderId="609" applyFont="0">
      <alignment horizontal="right"/>
    </xf>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8" fontId="138" fillId="0" borderId="626">
      <protection locked="0"/>
    </xf>
    <xf numFmtId="8" fontId="138" fillId="0" borderId="626">
      <protection locked="0"/>
    </xf>
    <xf numFmtId="37" fontId="89" fillId="0" borderId="621" applyNumberFormat="0" applyFont="0" applyFill="0" applyAlignment="0" applyProtection="0"/>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37" fontId="89" fillId="0" borderId="621" applyNumberFormat="0" applyFont="0" applyFill="0" applyAlignment="0" applyProtection="0"/>
    <xf numFmtId="176" fontId="29" fillId="15" borderId="621" applyBorder="0">
      <alignment horizontal="right"/>
    </xf>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18" fillId="0" borderId="623" applyNumberFormat="0" applyFill="0" applyAlignment="0" applyProtection="0"/>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0" fontId="237" fillId="28" borderId="625" applyNumberFormat="0" applyAlignment="0" applyProtection="0"/>
    <xf numFmtId="4" fontId="137" fillId="0" borderId="624" applyFont="0" applyFill="0" applyBorder="0" applyAlignment="0" applyProtection="0"/>
    <xf numFmtId="8" fontId="138" fillId="0" borderId="626">
      <protection locked="0"/>
    </xf>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18" fillId="2" borderId="627" applyNumberFormat="0" applyFont="0" applyAlignment="0" applyProtection="0"/>
    <xf numFmtId="0" fontId="247" fillId="28" borderId="628" applyNumberFormat="0" applyAlignment="0" applyProtection="0"/>
    <xf numFmtId="0" fontId="249" fillId="0" borderId="629" applyNumberFormat="0" applyFill="0" applyAlignment="0" applyProtection="0"/>
    <xf numFmtId="177" fontId="114" fillId="0" borderId="621" applyBorder="0"/>
    <xf numFmtId="0" fontId="18" fillId="0" borderId="623" applyNumberFormat="0" applyFill="0" applyAlignment="0" applyProtection="0"/>
    <xf numFmtId="0" fontId="247" fillId="28" borderId="628" applyNumberFormat="0" applyAlignment="0" applyProtection="0"/>
    <xf numFmtId="0" fontId="244" fillId="4" borderId="625" applyNumberFormat="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176" fontId="29" fillId="0" borderId="621" applyBorder="0">
      <alignment horizontal="right"/>
    </xf>
    <xf numFmtId="0" fontId="249" fillId="0" borderId="629" applyNumberFormat="0" applyFill="0" applyAlignment="0" applyProtection="0"/>
    <xf numFmtId="0" fontId="244" fillId="4" borderId="625" applyNumberFormat="0" applyAlignment="0" applyProtection="0"/>
    <xf numFmtId="0" fontId="237" fillId="28" borderId="625" applyNumberFormat="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10" fontId="18" fillId="25" borderId="624"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24" applyFont="0" applyFill="0" applyBorder="0" applyAlignment="0" applyProtection="0"/>
    <xf numFmtId="9" fontId="96" fillId="25" borderId="624"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0" fontId="18" fillId="25" borderId="624" applyNumberFormat="0" applyBorder="0" applyAlignment="0" applyProtection="0"/>
    <xf numFmtId="169" fontId="137" fillId="0" borderId="624" applyNumberFormat="0" applyFill="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8" fontId="138" fillId="0" borderId="626">
      <protection locked="0"/>
    </xf>
    <xf numFmtId="0" fontId="18" fillId="0" borderId="623" applyNumberFormat="0" applyFill="0" applyAlignment="0" applyProtection="0"/>
    <xf numFmtId="0" fontId="18" fillId="0" borderId="623" applyNumberFormat="0" applyFill="0" applyAlignment="0" applyProtection="0"/>
    <xf numFmtId="0" fontId="18" fillId="0" borderId="623" applyNumberFormat="0" applyFill="0" applyAlignment="0" applyProtection="0"/>
    <xf numFmtId="0" fontId="18" fillId="0" borderId="623" applyNumberFormat="0" applyFill="0" applyAlignment="0" applyProtection="0"/>
    <xf numFmtId="0" fontId="18" fillId="0" borderId="623" applyNumberFormat="0" applyFill="0" applyAlignment="0" applyProtection="0"/>
    <xf numFmtId="0" fontId="99" fillId="0" borderId="620" applyNumberFormat="0" applyFill="0" applyAlignment="0" applyProtection="0"/>
    <xf numFmtId="37" fontId="89" fillId="0" borderId="621" applyNumberFormat="0" applyFont="0" applyFill="0" applyAlignment="0" applyProtection="0"/>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37" fontId="89" fillId="0" borderId="621" applyNumberFormat="0" applyFont="0" applyFill="0" applyAlignment="0" applyProtection="0"/>
    <xf numFmtId="176" fontId="29" fillId="15" borderId="621" applyBorder="0">
      <alignment horizontal="right"/>
    </xf>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18" fillId="0" borderId="623" applyNumberFormat="0" applyFill="0" applyAlignment="0" applyProtection="0"/>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0" fontId="237" fillId="28" borderId="625" applyNumberFormat="0" applyAlignment="0" applyProtection="0"/>
    <xf numFmtId="4" fontId="137" fillId="0" borderId="624" applyFont="0" applyFill="0" applyBorder="0" applyAlignment="0" applyProtection="0"/>
    <xf numFmtId="8" fontId="138" fillId="0" borderId="626">
      <protection locked="0"/>
    </xf>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18" fillId="2" borderId="627" applyNumberFormat="0" applyFont="0" applyAlignment="0" applyProtection="0"/>
    <xf numFmtId="0" fontId="247" fillId="28" borderId="628" applyNumberFormat="0" applyAlignment="0" applyProtection="0"/>
    <xf numFmtId="0" fontId="249" fillId="0" borderId="629" applyNumberFormat="0" applyFill="0" applyAlignment="0" applyProtection="0"/>
    <xf numFmtId="177" fontId="114" fillId="0" borderId="621" applyBorder="0"/>
    <xf numFmtId="0" fontId="18" fillId="0" borderId="623" applyNumberFormat="0" applyFill="0" applyAlignment="0" applyProtection="0"/>
    <xf numFmtId="0" fontId="247" fillId="28" borderId="628" applyNumberFormat="0" applyAlignment="0" applyProtection="0"/>
    <xf numFmtId="0" fontId="244" fillId="4" borderId="625" applyNumberFormat="0" applyAlignment="0" applyProtection="0"/>
    <xf numFmtId="0" fontId="18" fillId="2" borderId="627" applyNumberFormat="0" applyFont="0" applyAlignment="0" applyProtection="0"/>
    <xf numFmtId="0" fontId="249" fillId="0" borderId="629" applyNumberFormat="0" applyFill="0" applyAlignment="0" applyProtection="0"/>
    <xf numFmtId="0" fontId="247" fillId="28" borderId="628" applyNumberFormat="0" applyAlignment="0" applyProtection="0"/>
    <xf numFmtId="0" fontId="18" fillId="2" borderId="627"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176" fontId="29" fillId="0" borderId="621" applyBorder="0">
      <alignment horizontal="right"/>
    </xf>
    <xf numFmtId="0" fontId="249" fillId="0" borderId="629" applyNumberFormat="0" applyFill="0" applyAlignment="0" applyProtection="0"/>
    <xf numFmtId="0" fontId="244" fillId="4" borderId="625" applyNumberFormat="0" applyAlignment="0" applyProtection="0"/>
    <xf numFmtId="0" fontId="237" fillId="28" borderId="625" applyNumberFormat="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247" fillId="28" borderId="628" applyNumberForma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193" fontId="66" fillId="23" borderId="609" applyFont="0">
      <alignment horizontal="right"/>
    </xf>
    <xf numFmtId="193" fontId="66" fillId="23" borderId="609" applyFont="0">
      <alignment horizontal="right"/>
    </xf>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0" fontId="29" fillId="0" borderId="609" applyFont="0" applyFill="0" applyBorder="0" applyAlignment="0" applyProtection="0">
      <alignment horizontal="center"/>
    </xf>
    <xf numFmtId="259" fontId="37" fillId="25" borderId="624" applyNumberFormat="0" applyFont="0" applyAlignment="0"/>
    <xf numFmtId="0" fontId="51" fillId="0" borderId="609">
      <alignment horizontal="left" vertical="center"/>
    </xf>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10" fontId="18" fillId="25" borderId="624" applyNumberFormat="0" applyBorder="0" applyAlignment="0" applyProtection="0"/>
    <xf numFmtId="0" fontId="51" fillId="0" borderId="609">
      <alignment horizontal="left" vertical="center"/>
    </xf>
    <xf numFmtId="0" fontId="29" fillId="0" borderId="609" applyFont="0" applyFill="0" applyBorder="0" applyAlignment="0" applyProtection="0">
      <alignment horizontal="center"/>
    </xf>
    <xf numFmtId="4" fontId="137" fillId="0" borderId="624" applyFont="0" applyFill="0" applyBorder="0" applyAlignment="0" applyProtection="0"/>
    <xf numFmtId="9" fontId="96" fillId="25" borderId="624" applyNumberFormat="0" applyFont="0" applyAlignment="0" applyProtection="0"/>
    <xf numFmtId="193" fontId="66" fillId="23" borderId="609" applyFont="0">
      <alignment horizontal="right"/>
    </xf>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193" fontId="66" fillId="23" borderId="609" applyFont="0">
      <alignment horizontal="right"/>
    </xf>
    <xf numFmtId="0" fontId="99" fillId="0" borderId="620" applyNumberFormat="0" applyFill="0" applyAlignment="0" applyProtection="0"/>
    <xf numFmtId="39" fontId="33" fillId="0" borderId="609" applyNumberFormat="0" applyBorder="0">
      <alignment horizontal="right"/>
    </xf>
    <xf numFmtId="1" fontId="85" fillId="0" borderId="609" applyFill="0" applyProtection="0">
      <alignment horizontal="right"/>
    </xf>
    <xf numFmtId="39" fontId="33" fillId="0" borderId="609" applyNumberFormat="0" applyBorder="0">
      <alignment horizontal="right"/>
    </xf>
    <xf numFmtId="1" fontId="85" fillId="0" borderId="609"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177" fontId="114" fillId="0" borderId="621" applyBorder="0"/>
    <xf numFmtId="176" fontId="29" fillId="15" borderId="621" applyBorder="0">
      <alignment horizontal="right"/>
    </xf>
    <xf numFmtId="176" fontId="29" fillId="0" borderId="621" applyBorder="0">
      <alignment horizontal="right"/>
    </xf>
    <xf numFmtId="0" fontId="18" fillId="0" borderId="623" applyNumberFormat="0" applyFill="0" applyAlignment="0" applyProtection="0"/>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0" fontId="244" fillId="4" borderId="625" applyNumberFormat="0" applyAlignment="0" applyProtection="0"/>
    <xf numFmtId="0" fontId="18" fillId="0" borderId="623" applyNumberFormat="0" applyFill="0" applyAlignment="0" applyProtection="0"/>
    <xf numFmtId="195" fontId="18" fillId="29" borderId="621" applyNumberFormat="0" applyFont="0" applyBorder="0" applyAlignment="0" applyProtection="0">
      <alignment horizontal="right"/>
    </xf>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99" fillId="0" borderId="620" applyNumberFormat="0" applyFill="0" applyAlignment="0" applyProtection="0"/>
    <xf numFmtId="0" fontId="99" fillId="0" borderId="620" applyNumberFormat="0" applyFill="0" applyAlignment="0" applyProtection="0"/>
    <xf numFmtId="0" fontId="81" fillId="0" borderId="621" applyNumberFormat="0" applyFill="0" applyProtection="0">
      <alignment horizontal="right"/>
    </xf>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0" fontId="244" fillId="4" borderId="625" applyNumberFormat="0" applyAlignment="0" applyProtection="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0" fontId="244" fillId="4" borderId="625" applyNumberFormat="0" applyAlignment="0" applyProtection="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3" fontId="115" fillId="24" borderId="622" applyBorder="0">
      <protection locked="0"/>
    </xf>
    <xf numFmtId="0" fontId="244" fillId="4" borderId="625" applyNumberForma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 fontId="115" fillId="24" borderId="622" applyBorder="0">
      <protection locked="0"/>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0" fontId="99" fillId="0" borderId="620" applyNumberFormat="0" applyFill="0" applyAlignment="0" applyProtection="0"/>
    <xf numFmtId="195" fontId="18" fillId="29" borderId="621" applyNumberFormat="0" applyFont="0" applyBorder="0" applyAlignment="0" applyProtection="0">
      <alignment horizontal="right"/>
    </xf>
    <xf numFmtId="37" fontId="89" fillId="0" borderId="621" applyNumberFormat="0" applyFont="0" applyFill="0" applyAlignment="0" applyProtection="0"/>
    <xf numFmtId="8" fontId="138" fillId="0" borderId="626">
      <protection locked="0"/>
    </xf>
    <xf numFmtId="10" fontId="18" fillId="25" borderId="624" applyNumberFormat="0" applyBorder="0" applyAlignment="0" applyProtection="0"/>
    <xf numFmtId="169" fontId="137" fillId="0" borderId="624" applyNumberFormat="0" applyFill="0" applyAlignment="0" applyProtection="0"/>
    <xf numFmtId="0" fontId="244" fillId="4" borderId="625" applyNumberFormat="0" applyAlignment="0" applyProtection="0"/>
    <xf numFmtId="259" fontId="37" fillId="25" borderId="624" applyNumberFormat="0" applyFont="0" applyAlignment="0"/>
    <xf numFmtId="0" fontId="18" fillId="0" borderId="623" applyNumberFormat="0" applyFill="0" applyAlignment="0" applyProtection="0"/>
    <xf numFmtId="0" fontId="18" fillId="0" borderId="623" applyNumberFormat="0" applyFill="0" applyAlignment="0" applyProtection="0"/>
    <xf numFmtId="9" fontId="96" fillId="25" borderId="624" applyNumberFormat="0" applyFont="0" applyAlignment="0" applyProtection="0"/>
    <xf numFmtId="4" fontId="137" fillId="0" borderId="624" applyFont="0" applyFill="0" applyBorder="0" applyAlignment="0" applyProtection="0"/>
    <xf numFmtId="259" fontId="37" fillId="25" borderId="624" applyNumberFormat="0" applyFont="0" applyAlignment="0"/>
    <xf numFmtId="10" fontId="18" fillId="25" borderId="624" applyNumberFormat="0" applyBorder="0" applyAlignment="0" applyProtection="0"/>
    <xf numFmtId="169" fontId="137" fillId="0" borderId="624" applyNumberFormat="0" applyFill="0" applyAlignment="0" applyProtection="0"/>
    <xf numFmtId="195" fontId="18" fillId="29" borderId="621" applyNumberFormat="0" applyFont="0" applyBorder="0" applyAlignment="0" applyProtection="0">
      <alignment horizontal="right"/>
    </xf>
    <xf numFmtId="0" fontId="244" fillId="4" borderId="625" applyNumberFormat="0" applyAlignment="0" applyProtection="0"/>
    <xf numFmtId="10" fontId="18" fillId="25" borderId="624" applyNumberFormat="0" applyBorder="0" applyAlignment="0" applyProtection="0"/>
    <xf numFmtId="4" fontId="137" fillId="0" borderId="624" applyFont="0" applyFill="0" applyBorder="0" applyAlignment="0" applyProtection="0"/>
    <xf numFmtId="9" fontId="96" fillId="25" borderId="624" applyNumberFormat="0" applyFont="0" applyAlignment="0" applyProtection="0"/>
    <xf numFmtId="0" fontId="18" fillId="0" borderId="623" applyNumberFormat="0" applyFill="0" applyAlignment="0" applyProtection="0"/>
    <xf numFmtId="10" fontId="18" fillId="25" borderId="624" applyNumberFormat="0" applyBorder="0" applyAlignment="0" applyProtection="0"/>
    <xf numFmtId="0" fontId="18" fillId="2" borderId="627" applyNumberFormat="0" applyFont="0" applyAlignment="0" applyProtection="0"/>
    <xf numFmtId="0" fontId="244" fillId="4" borderId="625" applyNumberFormat="0" applyAlignment="0" applyProtection="0"/>
    <xf numFmtId="8" fontId="138" fillId="0" borderId="626">
      <protection locked="0"/>
    </xf>
    <xf numFmtId="0" fontId="237" fillId="28" borderId="625" applyNumberFormat="0" applyAlignment="0" applyProtection="0"/>
    <xf numFmtId="0" fontId="244" fillId="4" borderId="625" applyNumberFormat="0" applyAlignment="0" applyProtection="0"/>
    <xf numFmtId="0" fontId="244" fillId="4" borderId="625" applyNumberFormat="0" applyAlignment="0" applyProtection="0"/>
    <xf numFmtId="0" fontId="18" fillId="0" borderId="623" applyNumberFormat="0" applyFill="0" applyAlignment="0" applyProtection="0"/>
    <xf numFmtId="0" fontId="249" fillId="0" borderId="629" applyNumberFormat="0" applyFill="0" applyAlignment="0" applyProtection="0"/>
    <xf numFmtId="0" fontId="247" fillId="28" borderId="628" applyNumberFormat="0" applyAlignment="0" applyProtection="0"/>
    <xf numFmtId="0" fontId="18" fillId="0" borderId="623" applyNumberFormat="0" applyFill="0" applyAlignment="0" applyProtection="0"/>
    <xf numFmtId="0" fontId="244" fillId="4" borderId="625" applyNumberFormat="0" applyAlignment="0" applyProtection="0"/>
    <xf numFmtId="0" fontId="18" fillId="2" borderId="627" applyNumberFormat="0" applyFont="0" applyAlignment="0" applyProtection="0"/>
    <xf numFmtId="177" fontId="114" fillId="0" borderId="621" applyBorder="0"/>
    <xf numFmtId="176" fontId="29" fillId="15" borderId="621" applyBorder="0">
      <alignment horizontal="right"/>
    </xf>
    <xf numFmtId="176" fontId="29" fillId="0" borderId="621" applyBorder="0">
      <alignment horizontal="right"/>
    </xf>
    <xf numFmtId="37" fontId="89" fillId="0" borderId="621" applyNumberFormat="0" applyFont="0" applyFill="0" applyAlignment="0" applyProtection="0"/>
    <xf numFmtId="0" fontId="140" fillId="0" borderId="621" applyNumberFormat="0" applyBorder="0"/>
    <xf numFmtId="195" fontId="18" fillId="29" borderId="621" applyNumberFormat="0" applyFont="0" applyBorder="0" applyAlignment="0" applyProtection="0">
      <alignment horizontal="right"/>
    </xf>
    <xf numFmtId="195" fontId="18" fillId="29" borderId="621" applyNumberFormat="0" applyFont="0" applyBorder="0" applyAlignment="0" applyProtection="0">
      <alignment horizontal="right"/>
    </xf>
    <xf numFmtId="0" fontId="140" fillId="0" borderId="621" applyNumberFormat="0" applyBorder="0"/>
    <xf numFmtId="176" fontId="29" fillId="0" borderId="621" applyBorder="0">
      <alignment horizontal="right"/>
    </xf>
    <xf numFmtId="176" fontId="29" fillId="15" borderId="621" applyBorder="0">
      <alignment horizontal="right"/>
    </xf>
    <xf numFmtId="177" fontId="114" fillId="0" borderId="621" applyBorder="0"/>
    <xf numFmtId="0" fontId="18" fillId="2" borderId="627" applyNumberFormat="0" applyFont="0" applyAlignment="0" applyProtection="0"/>
    <xf numFmtId="0" fontId="244" fillId="4" borderId="625" applyNumberFormat="0" applyAlignment="0" applyProtection="0"/>
    <xf numFmtId="0" fontId="18" fillId="0" borderId="623" applyNumberFormat="0" applyFill="0" applyAlignment="0" applyProtection="0"/>
    <xf numFmtId="0" fontId="247" fillId="28" borderId="628" applyNumberFormat="0" applyAlignment="0" applyProtection="0"/>
    <xf numFmtId="0" fontId="249" fillId="0" borderId="629" applyNumberFormat="0" applyFill="0" applyAlignment="0" applyProtection="0"/>
    <xf numFmtId="0" fontId="18" fillId="0" borderId="623" applyNumberFormat="0" applyFill="0" applyAlignment="0" applyProtection="0"/>
    <xf numFmtId="0" fontId="244" fillId="4" borderId="625" applyNumberFormat="0" applyAlignment="0" applyProtection="0"/>
    <xf numFmtId="0" fontId="244" fillId="4" borderId="625" applyNumberFormat="0" applyAlignment="0" applyProtection="0"/>
    <xf numFmtId="0" fontId="237" fillId="28" borderId="625" applyNumberFormat="0" applyAlignment="0" applyProtection="0"/>
    <xf numFmtId="0" fontId="18" fillId="2" borderId="627" applyNumberFormat="0" applyFont="0" applyAlignment="0" applyProtection="0"/>
    <xf numFmtId="0" fontId="18" fillId="0" borderId="623" applyNumberFormat="0" applyFill="0" applyAlignment="0" applyProtection="0"/>
    <xf numFmtId="0" fontId="99" fillId="0" borderId="620" applyNumberFormat="0" applyFill="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44" fontId="55" fillId="0" borderId="0" applyFont="0" applyFill="0" applyBorder="0" applyAlignment="0" applyProtection="0"/>
    <xf numFmtId="9" fontId="55" fillId="0" borderId="0" applyFont="0" applyFill="0" applyBorder="0" applyAlignment="0" applyProtection="0"/>
    <xf numFmtId="43" fontId="55" fillId="0" borderId="0" applyFont="0" applyFill="0" applyBorder="0" applyAlignment="0" applyProtection="0"/>
    <xf numFmtId="0" fontId="363" fillId="0" borderId="0"/>
    <xf numFmtId="0" fontId="5" fillId="0" borderId="0"/>
    <xf numFmtId="0" fontId="135" fillId="0" borderId="0"/>
    <xf numFmtId="0" fontId="4" fillId="0" borderId="0"/>
    <xf numFmtId="0" fontId="135" fillId="0" borderId="0"/>
    <xf numFmtId="9" fontId="4" fillId="0" borderId="0" applyFont="0" applyFill="0" applyBorder="0" applyAlignment="0" applyProtection="0"/>
    <xf numFmtId="43" fontId="32" fillId="0" borderId="0" applyFont="0" applyFill="0" applyBorder="0" applyAlignment="0" applyProtection="0"/>
    <xf numFmtId="0" fontId="3"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0" fontId="18" fillId="0" borderId="0" applyNumberFormat="0" applyFill="0" applyBorder="0" applyAlignment="0" applyProtection="0"/>
    <xf numFmtId="0" fontId="32" fillId="0" borderId="0"/>
    <xf numFmtId="43" fontId="1" fillId="0" borderId="0" applyFont="0" applyFill="0" applyBorder="0" applyAlignment="0" applyProtection="0"/>
  </cellStyleXfs>
  <cellXfs count="3949">
    <xf numFmtId="0" fontId="0" fillId="0" borderId="0" xfId="0"/>
    <xf numFmtId="0" fontId="35" fillId="0" borderId="0" xfId="0" applyFont="1"/>
    <xf numFmtId="0" fontId="35" fillId="0" borderId="11" xfId="0" applyFont="1" applyBorder="1"/>
    <xf numFmtId="0" fontId="37" fillId="0" borderId="0" xfId="0" applyFont="1"/>
    <xf numFmtId="0" fontId="38" fillId="0" borderId="0" xfId="0" applyFont="1"/>
    <xf numFmtId="0" fontId="35" fillId="0" borderId="0" xfId="0" applyFont="1" applyAlignment="1">
      <alignment horizontal="center"/>
    </xf>
    <xf numFmtId="168" fontId="35" fillId="0" borderId="0" xfId="0" applyNumberFormat="1" applyFont="1"/>
    <xf numFmtId="168" fontId="36" fillId="0" borderId="0" xfId="0" applyNumberFormat="1" applyFont="1"/>
    <xf numFmtId="169" fontId="35" fillId="0" borderId="0" xfId="0" applyNumberFormat="1" applyFont="1"/>
    <xf numFmtId="5" fontId="35" fillId="0" borderId="0" xfId="0" applyNumberFormat="1" applyFont="1"/>
    <xf numFmtId="37" fontId="35" fillId="0" borderId="0" xfId="0" applyNumberFormat="1" applyFont="1"/>
    <xf numFmtId="0" fontId="44" fillId="0" borderId="0" xfId="0" applyFont="1"/>
    <xf numFmtId="6" fontId="35" fillId="0" borderId="0" xfId="0" applyNumberFormat="1" applyFont="1"/>
    <xf numFmtId="0" fontId="36" fillId="0" borderId="0" xfId="0" applyFont="1" applyAlignment="1">
      <alignment horizontal="center"/>
    </xf>
    <xf numFmtId="38" fontId="35" fillId="0" borderId="0" xfId="0" applyNumberFormat="1" applyFont="1"/>
    <xf numFmtId="37" fontId="37" fillId="0" borderId="0" xfId="0" applyNumberFormat="1" applyFont="1"/>
    <xf numFmtId="6" fontId="37" fillId="0" borderId="0" xfId="0" applyNumberFormat="1" applyFont="1"/>
    <xf numFmtId="169" fontId="35" fillId="0" borderId="0" xfId="1716" applyNumberFormat="1" applyFont="1" applyBorder="1"/>
    <xf numFmtId="190" fontId="37" fillId="0" borderId="0" xfId="0" applyNumberFormat="1" applyFont="1"/>
    <xf numFmtId="0" fontId="86" fillId="0" borderId="0" xfId="0" applyFont="1"/>
    <xf numFmtId="0" fontId="35" fillId="0" borderId="31" xfId="0" applyFont="1" applyBorder="1"/>
    <xf numFmtId="0" fontId="56" fillId="0" borderId="0" xfId="0" applyFont="1"/>
    <xf numFmtId="9" fontId="35" fillId="0" borderId="0" xfId="0" applyNumberFormat="1" applyFont="1"/>
    <xf numFmtId="0" fontId="35" fillId="0" borderId="0" xfId="0" applyFont="1" applyAlignment="1">
      <alignment horizontal="left" indent="1"/>
    </xf>
    <xf numFmtId="0" fontId="186" fillId="0" borderId="0" xfId="0" applyFont="1"/>
    <xf numFmtId="0" fontId="37" fillId="0" borderId="0" xfId="0" applyFont="1" applyAlignment="1">
      <alignment horizontal="center"/>
    </xf>
    <xf numFmtId="177" fontId="37" fillId="0" borderId="0" xfId="0" applyNumberFormat="1" applyFont="1"/>
    <xf numFmtId="177" fontId="63" fillId="0" borderId="0" xfId="0" applyNumberFormat="1" applyFont="1"/>
    <xf numFmtId="177" fontId="35" fillId="0" borderId="0" xfId="0" applyNumberFormat="1" applyFont="1"/>
    <xf numFmtId="169" fontId="48" fillId="0" borderId="0" xfId="0" applyNumberFormat="1" applyFont="1" applyAlignment="1">
      <alignment horizontal="right"/>
    </xf>
    <xf numFmtId="169" fontId="35" fillId="0" borderId="0" xfId="0" applyNumberFormat="1" applyFont="1" applyAlignment="1">
      <alignment horizontal="right"/>
    </xf>
    <xf numFmtId="177" fontId="186" fillId="0" borderId="0" xfId="0" applyNumberFormat="1" applyFont="1"/>
    <xf numFmtId="177" fontId="35" fillId="0" borderId="0" xfId="0" quotePrefix="1" applyNumberFormat="1" applyFont="1"/>
    <xf numFmtId="177" fontId="48" fillId="0" borderId="0" xfId="0" applyNumberFormat="1" applyFont="1"/>
    <xf numFmtId="39" fontId="35" fillId="0" borderId="0" xfId="0" applyNumberFormat="1" applyFont="1"/>
    <xf numFmtId="177" fontId="186" fillId="0" borderId="0" xfId="0" quotePrefix="1" applyNumberFormat="1" applyFont="1"/>
    <xf numFmtId="37" fontId="186" fillId="0" borderId="0" xfId="0" applyNumberFormat="1" applyFont="1"/>
    <xf numFmtId="4" fontId="186" fillId="0" borderId="0" xfId="0" applyNumberFormat="1" applyFont="1"/>
    <xf numFmtId="4" fontId="35" fillId="0" borderId="0" xfId="0" applyNumberFormat="1" applyFont="1"/>
    <xf numFmtId="9" fontId="186" fillId="0" borderId="0" xfId="0" applyNumberFormat="1" applyFont="1"/>
    <xf numFmtId="177" fontId="39" fillId="0" borderId="0" xfId="0" applyNumberFormat="1" applyFont="1"/>
    <xf numFmtId="9" fontId="35" fillId="0" borderId="0" xfId="0" applyNumberFormat="1" applyFont="1" applyAlignment="1">
      <alignment horizontal="right"/>
    </xf>
    <xf numFmtId="9" fontId="48" fillId="0" borderId="0" xfId="0" applyNumberFormat="1" applyFont="1" applyAlignment="1">
      <alignment horizontal="center"/>
    </xf>
    <xf numFmtId="169" fontId="186" fillId="0" borderId="0" xfId="0" applyNumberFormat="1" applyFont="1"/>
    <xf numFmtId="9" fontId="39" fillId="0" borderId="0" xfId="0" applyNumberFormat="1" applyFont="1"/>
    <xf numFmtId="177" fontId="37" fillId="0" borderId="0" xfId="0" quotePrefix="1" applyNumberFormat="1" applyFont="1"/>
    <xf numFmtId="8" fontId="35" fillId="0" borderId="0" xfId="0" applyNumberFormat="1" applyFont="1"/>
    <xf numFmtId="2" fontId="35" fillId="0" borderId="0" xfId="0" applyNumberFormat="1" applyFont="1"/>
    <xf numFmtId="7" fontId="35" fillId="0" borderId="0" xfId="0" applyNumberFormat="1" applyFont="1"/>
    <xf numFmtId="38" fontId="37" fillId="0" borderId="0" xfId="0" applyNumberFormat="1" applyFont="1"/>
    <xf numFmtId="3" fontId="35" fillId="0" borderId="0" xfId="0" applyNumberFormat="1" applyFont="1"/>
    <xf numFmtId="0" fontId="35" fillId="0" borderId="4" xfId="0" applyFont="1" applyBorder="1"/>
    <xf numFmtId="7" fontId="35" fillId="0" borderId="4" xfId="0" applyNumberFormat="1" applyFont="1" applyBorder="1"/>
    <xf numFmtId="169" fontId="35" fillId="0" borderId="0" xfId="1716" applyNumberFormat="1" applyFont="1" applyFill="1" applyBorder="1"/>
    <xf numFmtId="0" fontId="35" fillId="0" borderId="31" xfId="0" applyFont="1" applyBorder="1" applyAlignment="1">
      <alignment horizontal="left" indent="1"/>
    </xf>
    <xf numFmtId="169" fontId="35" fillId="0" borderId="11" xfId="1716" applyNumberFormat="1" applyFont="1" applyFill="1" applyBorder="1"/>
    <xf numFmtId="168" fontId="37" fillId="0" borderId="0" xfId="0" applyNumberFormat="1" applyFont="1"/>
    <xf numFmtId="7" fontId="37" fillId="0" borderId="0" xfId="0" applyNumberFormat="1" applyFont="1"/>
    <xf numFmtId="8" fontId="38" fillId="0" borderId="0" xfId="1559" applyFont="1" applyBorder="1"/>
    <xf numFmtId="3" fontId="37" fillId="0" borderId="0" xfId="0" applyNumberFormat="1" applyFont="1"/>
    <xf numFmtId="9" fontId="35" fillId="0" borderId="0" xfId="0" applyNumberFormat="1" applyFont="1" applyAlignment="1">
      <alignment horizontal="center"/>
    </xf>
    <xf numFmtId="172" fontId="35" fillId="0" borderId="0" xfId="0" applyNumberFormat="1" applyFont="1"/>
    <xf numFmtId="0" fontId="49" fillId="0" borderId="0" xfId="0" applyFont="1"/>
    <xf numFmtId="0" fontId="35" fillId="0" borderId="7" xfId="0" applyFont="1" applyBorder="1"/>
    <xf numFmtId="172" fontId="35" fillId="0" borderId="31" xfId="0" applyNumberFormat="1" applyFont="1" applyBorder="1" applyAlignment="1">
      <alignment horizontal="left" indent="1"/>
    </xf>
    <xf numFmtId="168" fontId="35" fillId="0" borderId="31" xfId="0" applyNumberFormat="1" applyFont="1" applyBorder="1" applyAlignment="1">
      <alignment horizontal="left" indent="1"/>
    </xf>
    <xf numFmtId="168" fontId="35" fillId="0" borderId="31" xfId="0" applyNumberFormat="1" applyFont="1" applyBorder="1"/>
    <xf numFmtId="37" fontId="35" fillId="0" borderId="36" xfId="0" applyNumberFormat="1" applyFont="1" applyBorder="1"/>
    <xf numFmtId="4" fontId="35" fillId="0" borderId="0" xfId="1525" applyFont="1" applyFill="1" applyBorder="1"/>
    <xf numFmtId="264" fontId="35" fillId="0" borderId="0" xfId="0" applyNumberFormat="1" applyFont="1"/>
    <xf numFmtId="0" fontId="35" fillId="0" borderId="11" xfId="0" applyFont="1" applyBorder="1" applyAlignment="1">
      <alignment horizontal="right"/>
    </xf>
    <xf numFmtId="264" fontId="35" fillId="0" borderId="11" xfId="0" applyNumberFormat="1" applyFont="1" applyBorder="1" applyAlignment="1">
      <alignment horizontal="right"/>
    </xf>
    <xf numFmtId="4" fontId="35" fillId="0" borderId="0" xfId="1525" applyFont="1" applyBorder="1"/>
    <xf numFmtId="0" fontId="35" fillId="0" borderId="0" xfId="0" applyFont="1" applyAlignment="1">
      <alignment horizontal="right"/>
    </xf>
    <xf numFmtId="4" fontId="35" fillId="0" borderId="11" xfId="1525" applyFont="1" applyFill="1" applyBorder="1"/>
    <xf numFmtId="9" fontId="35" fillId="0" borderId="11" xfId="0" applyNumberFormat="1" applyFont="1" applyBorder="1" applyAlignment="1">
      <alignment horizontal="right"/>
    </xf>
    <xf numFmtId="9" fontId="35" fillId="0" borderId="11" xfId="0" applyNumberFormat="1" applyFont="1" applyBorder="1"/>
    <xf numFmtId="9" fontId="35" fillId="0" borderId="0" xfId="1716" applyFont="1" applyFill="1" applyBorder="1"/>
    <xf numFmtId="203" fontId="35" fillId="0" borderId="0" xfId="0" applyNumberFormat="1" applyFont="1"/>
    <xf numFmtId="0" fontId="35" fillId="0" borderId="37" xfId="0" applyFont="1" applyBorder="1"/>
    <xf numFmtId="3" fontId="35" fillId="0" borderId="11" xfId="0" applyNumberFormat="1" applyFont="1" applyBorder="1"/>
    <xf numFmtId="8" fontId="35" fillId="0" borderId="37" xfId="0" applyNumberFormat="1" applyFont="1" applyBorder="1"/>
    <xf numFmtId="37" fontId="35" fillId="0" borderId="11" xfId="0" applyNumberFormat="1" applyFont="1" applyBorder="1"/>
    <xf numFmtId="9" fontId="44" fillId="0" borderId="0" xfId="0" applyNumberFormat="1" applyFont="1"/>
    <xf numFmtId="0" fontId="37" fillId="0" borderId="0" xfId="1687" applyFont="1"/>
    <xf numFmtId="0" fontId="35" fillId="0" borderId="31" xfId="1687" applyFont="1" applyBorder="1"/>
    <xf numFmtId="0" fontId="35" fillId="0" borderId="0" xfId="1687" applyFont="1"/>
    <xf numFmtId="14" fontId="35" fillId="0" borderId="0" xfId="0" applyNumberFormat="1" applyFont="1"/>
    <xf numFmtId="165" fontId="35" fillId="0" borderId="0" xfId="0" applyNumberFormat="1" applyFont="1"/>
    <xf numFmtId="37" fontId="35" fillId="0" borderId="7" xfId="0" applyNumberFormat="1" applyFont="1" applyBorder="1"/>
    <xf numFmtId="165" fontId="35" fillId="0" borderId="7" xfId="0" applyNumberFormat="1" applyFont="1" applyBorder="1"/>
    <xf numFmtId="165" fontId="35" fillId="0" borderId="0" xfId="1687" applyNumberFormat="1" applyFont="1"/>
    <xf numFmtId="0" fontId="35" fillId="0" borderId="31" xfId="1687" quotePrefix="1" applyFont="1" applyBorder="1"/>
    <xf numFmtId="0" fontId="44" fillId="0" borderId="31" xfId="1687" applyFont="1" applyBorder="1"/>
    <xf numFmtId="0" fontId="37" fillId="0" borderId="31" xfId="1687" applyFont="1" applyBorder="1"/>
    <xf numFmtId="4" fontId="196" fillId="0" borderId="0" xfId="1525" applyFont="1" applyFill="1" applyBorder="1"/>
    <xf numFmtId="265" fontId="35" fillId="0" borderId="0" xfId="0" applyNumberFormat="1" applyFont="1"/>
    <xf numFmtId="4" fontId="196" fillId="0" borderId="11" xfId="1525" applyFont="1" applyFill="1" applyBorder="1"/>
    <xf numFmtId="40" fontId="35" fillId="0" borderId="11" xfId="0" applyNumberFormat="1" applyFont="1" applyBorder="1"/>
    <xf numFmtId="203" fontId="35" fillId="0" borderId="11" xfId="0" applyNumberFormat="1" applyFont="1" applyBorder="1"/>
    <xf numFmtId="38" fontId="35" fillId="0" borderId="4" xfId="0" applyNumberFormat="1" applyFont="1" applyBorder="1"/>
    <xf numFmtId="38" fontId="35" fillId="0" borderId="0" xfId="1525" applyNumberFormat="1" applyFont="1" applyFill="1" applyBorder="1"/>
    <xf numFmtId="38" fontId="35" fillId="0" borderId="11" xfId="0" applyNumberFormat="1" applyFont="1" applyBorder="1"/>
    <xf numFmtId="40" fontId="35" fillId="0" borderId="0" xfId="0" applyNumberFormat="1" applyFont="1"/>
    <xf numFmtId="38" fontId="35" fillId="0" borderId="31" xfId="1687" applyNumberFormat="1" applyFont="1" applyBorder="1"/>
    <xf numFmtId="38" fontId="35" fillId="0" borderId="35" xfId="1687" applyNumberFormat="1" applyFont="1" applyBorder="1"/>
    <xf numFmtId="38" fontId="35" fillId="0" borderId="11" xfId="1525" applyNumberFormat="1" applyFont="1" applyFill="1" applyBorder="1"/>
    <xf numFmtId="37" fontId="35" fillId="0" borderId="0" xfId="0" applyNumberFormat="1" applyFont="1" applyAlignment="1">
      <alignment horizontal="right"/>
    </xf>
    <xf numFmtId="4" fontId="35" fillId="0" borderId="31" xfId="1525" applyFont="1" applyFill="1" applyBorder="1"/>
    <xf numFmtId="0" fontId="37" fillId="0" borderId="35" xfId="1687" applyFont="1" applyBorder="1"/>
    <xf numFmtId="1" fontId="35" fillId="0" borderId="0" xfId="0" applyNumberFormat="1" applyFont="1"/>
    <xf numFmtId="4" fontId="35" fillId="0" borderId="0" xfId="1525" applyFont="1" applyFill="1" applyBorder="1" applyAlignment="1">
      <alignment horizontal="left" indent="1"/>
    </xf>
    <xf numFmtId="4" fontId="38" fillId="0" borderId="11" xfId="1525" applyFont="1" applyBorder="1"/>
    <xf numFmtId="4" fontId="35" fillId="0" borderId="11" xfId="1525" applyFont="1" applyBorder="1"/>
    <xf numFmtId="4" fontId="35" fillId="0" borderId="0" xfId="1525" applyFont="1" applyBorder="1" applyAlignment="1">
      <alignment horizontal="left" indent="1"/>
    </xf>
    <xf numFmtId="4" fontId="44" fillId="0" borderId="0" xfId="1525" applyFont="1" applyBorder="1"/>
    <xf numFmtId="165" fontId="35" fillId="0" borderId="0" xfId="1687" quotePrefix="1" applyNumberFormat="1" applyFont="1"/>
    <xf numFmtId="165" fontId="35" fillId="0" borderId="7" xfId="1687" applyNumberFormat="1" applyFont="1" applyBorder="1"/>
    <xf numFmtId="0" fontId="35" fillId="0" borderId="0" xfId="1687" quotePrefix="1" applyFont="1"/>
    <xf numFmtId="0" fontId="35" fillId="0" borderId="7" xfId="1687" applyFont="1" applyBorder="1"/>
    <xf numFmtId="0" fontId="35" fillId="0" borderId="11" xfId="1687" applyFont="1" applyBorder="1"/>
    <xf numFmtId="0" fontId="44" fillId="0" borderId="0" xfId="1687" applyFont="1"/>
    <xf numFmtId="38" fontId="35" fillId="0" borderId="0" xfId="1687" applyNumberFormat="1" applyFont="1"/>
    <xf numFmtId="38" fontId="35" fillId="0" borderId="11" xfId="1687" applyNumberFormat="1" applyFont="1" applyBorder="1"/>
    <xf numFmtId="189" fontId="35" fillId="0" borderId="0" xfId="1525" applyNumberFormat="1" applyFont="1" applyBorder="1"/>
    <xf numFmtId="0" fontId="37" fillId="0" borderId="11" xfId="1687" applyFont="1" applyBorder="1"/>
    <xf numFmtId="3" fontId="35" fillId="0" borderId="0" xfId="1525" applyNumberFormat="1" applyFont="1" applyBorder="1"/>
    <xf numFmtId="3" fontId="35" fillId="0" borderId="11" xfId="1525" applyNumberFormat="1" applyFont="1" applyBorder="1"/>
    <xf numFmtId="0" fontId="35" fillId="0" borderId="0" xfId="0" applyFont="1" applyAlignment="1">
      <alignment horizontal="centerContinuous"/>
    </xf>
    <xf numFmtId="37" fontId="35" fillId="0" borderId="0" xfId="0" applyNumberFormat="1" applyFont="1" applyAlignment="1">
      <alignment horizontal="left" indent="1"/>
    </xf>
    <xf numFmtId="37" fontId="35" fillId="0" borderId="31" xfId="0" applyNumberFormat="1" applyFont="1" applyBorder="1"/>
    <xf numFmtId="37" fontId="35" fillId="0" borderId="36" xfId="0" applyNumberFormat="1" applyFont="1" applyBorder="1" applyAlignment="1">
      <alignment horizontal="right"/>
    </xf>
    <xf numFmtId="37" fontId="37" fillId="0" borderId="37" xfId="0" applyNumberFormat="1" applyFont="1" applyBorder="1"/>
    <xf numFmtId="8" fontId="35" fillId="0" borderId="0" xfId="1525" applyNumberFormat="1" applyFont="1" applyBorder="1"/>
    <xf numFmtId="9" fontId="35" fillId="0" borderId="0" xfId="1687" applyNumberFormat="1" applyFont="1"/>
    <xf numFmtId="9" fontId="35" fillId="0" borderId="0" xfId="1525" applyNumberFormat="1" applyFont="1" applyBorder="1" applyAlignment="1">
      <alignment horizontal="left" indent="1"/>
    </xf>
    <xf numFmtId="9" fontId="35" fillId="0" borderId="0" xfId="1525" applyNumberFormat="1" applyFont="1" applyFill="1" applyBorder="1" applyAlignment="1">
      <alignment horizontal="left" indent="1"/>
    </xf>
    <xf numFmtId="4" fontId="38" fillId="0" borderId="35" xfId="1525" applyFont="1" applyFill="1" applyBorder="1"/>
    <xf numFmtId="4" fontId="35" fillId="0" borderId="35" xfId="1525" applyFont="1" applyFill="1" applyBorder="1"/>
    <xf numFmtId="3" fontId="35" fillId="0" borderId="31" xfId="1525" applyNumberFormat="1" applyFont="1" applyFill="1" applyBorder="1"/>
    <xf numFmtId="4" fontId="35" fillId="0" borderId="31" xfId="1525" applyFont="1" applyFill="1" applyBorder="1" applyAlignment="1">
      <alignment horizontal="left" indent="1"/>
    </xf>
    <xf numFmtId="4" fontId="35" fillId="0" borderId="31" xfId="1525" applyFont="1" applyFill="1" applyBorder="1" applyAlignment="1">
      <alignment horizontal="left"/>
    </xf>
    <xf numFmtId="4" fontId="37" fillId="0" borderId="35" xfId="1525" applyFont="1" applyFill="1" applyBorder="1"/>
    <xf numFmtId="165" fontId="35" fillId="0" borderId="31" xfId="1687" applyNumberFormat="1" applyFont="1" applyBorder="1"/>
    <xf numFmtId="165" fontId="35" fillId="0" borderId="31" xfId="1687" quotePrefix="1" applyNumberFormat="1" applyFont="1" applyBorder="1"/>
    <xf numFmtId="165" fontId="35" fillId="0" borderId="29" xfId="1687" applyNumberFormat="1" applyFont="1" applyBorder="1"/>
    <xf numFmtId="0" fontId="35" fillId="0" borderId="29" xfId="1687" applyFont="1" applyBorder="1"/>
    <xf numFmtId="0" fontId="35" fillId="0" borderId="35" xfId="1687" applyFont="1" applyBorder="1"/>
    <xf numFmtId="9" fontId="35" fillId="0" borderId="31" xfId="1687" applyNumberFormat="1" applyFont="1" applyBorder="1"/>
    <xf numFmtId="189" fontId="35" fillId="0" borderId="31" xfId="1525" applyNumberFormat="1" applyFont="1" applyFill="1" applyBorder="1"/>
    <xf numFmtId="9" fontId="35" fillId="0" borderId="31" xfId="1525" applyNumberFormat="1" applyFont="1" applyFill="1" applyBorder="1" applyAlignment="1">
      <alignment horizontal="left" indent="1"/>
    </xf>
    <xf numFmtId="186" fontId="35" fillId="0" borderId="0" xfId="0" applyNumberFormat="1" applyFont="1"/>
    <xf numFmtId="169" fontId="44" fillId="0" borderId="0" xfId="1716" applyNumberFormat="1" applyFont="1" applyBorder="1"/>
    <xf numFmtId="3" fontId="35" fillId="0" borderId="0" xfId="1525" applyNumberFormat="1" applyFont="1"/>
    <xf numFmtId="190" fontId="35" fillId="0" borderId="0" xfId="0" applyNumberFormat="1" applyFont="1"/>
    <xf numFmtId="0" fontId="35" fillId="0" borderId="11" xfId="0" applyFont="1" applyBorder="1" applyAlignment="1">
      <alignment horizontal="left" indent="1"/>
    </xf>
    <xf numFmtId="0" fontId="44" fillId="0" borderId="11" xfId="0" applyFont="1" applyBorder="1"/>
    <xf numFmtId="7" fontId="35" fillId="0" borderId="11" xfId="0" applyNumberFormat="1" applyFont="1" applyBorder="1"/>
    <xf numFmtId="8" fontId="44" fillId="0" borderId="11" xfId="1559" applyFont="1" applyBorder="1"/>
    <xf numFmtId="8" fontId="44" fillId="0" borderId="11" xfId="1559" applyFont="1" applyFill="1" applyBorder="1"/>
    <xf numFmtId="0" fontId="35" fillId="0" borderId="4" xfId="0" applyFont="1" applyBorder="1" applyAlignment="1">
      <alignment horizontal="left" indent="1"/>
    </xf>
    <xf numFmtId="168" fontId="35" fillId="0" borderId="4" xfId="0" applyNumberFormat="1" applyFont="1" applyBorder="1" applyAlignment="1">
      <alignment horizontal="left" indent="1"/>
    </xf>
    <xf numFmtId="181" fontId="35" fillId="0" borderId="4" xfId="0" applyNumberFormat="1" applyFont="1" applyBorder="1" applyAlignment="1">
      <alignment horizontal="left" indent="1"/>
    </xf>
    <xf numFmtId="10" fontId="35" fillId="0" borderId="4" xfId="0" applyNumberFormat="1" applyFont="1" applyBorder="1" applyAlignment="1">
      <alignment horizontal="left" indent="1"/>
    </xf>
    <xf numFmtId="168" fontId="35" fillId="0" borderId="0" xfId="0" applyNumberFormat="1" applyFont="1" applyAlignment="1">
      <alignment horizontal="left" indent="1"/>
    </xf>
    <xf numFmtId="181" fontId="35" fillId="0" borderId="0" xfId="0" applyNumberFormat="1" applyFont="1" applyAlignment="1">
      <alignment horizontal="left" indent="1"/>
    </xf>
    <xf numFmtId="10" fontId="35" fillId="0" borderId="0" xfId="0" applyNumberFormat="1" applyFont="1" applyAlignment="1">
      <alignment horizontal="left" indent="1"/>
    </xf>
    <xf numFmtId="168" fontId="35" fillId="0" borderId="11" xfId="0" applyNumberFormat="1" applyFont="1" applyBorder="1" applyAlignment="1">
      <alignment horizontal="left" indent="1"/>
    </xf>
    <xf numFmtId="181" fontId="35" fillId="0" borderId="11" xfId="0" applyNumberFormat="1" applyFont="1" applyBorder="1" applyAlignment="1">
      <alignment horizontal="left" indent="1"/>
    </xf>
    <xf numFmtId="10" fontId="35" fillId="0" borderId="11" xfId="0" applyNumberFormat="1" applyFont="1" applyBorder="1" applyAlignment="1">
      <alignment horizontal="left" indent="1"/>
    </xf>
    <xf numFmtId="4" fontId="35" fillId="0" borderId="0" xfId="0" applyNumberFormat="1" applyFont="1" applyAlignment="1">
      <alignment horizontal="right"/>
    </xf>
    <xf numFmtId="37" fontId="48" fillId="0" borderId="0" xfId="0" applyNumberFormat="1" applyFont="1"/>
    <xf numFmtId="0" fontId="35" fillId="0" borderId="39" xfId="1687" applyFont="1" applyBorder="1"/>
    <xf numFmtId="4" fontId="35" fillId="0" borderId="4" xfId="1525" applyFont="1" applyBorder="1"/>
    <xf numFmtId="4" fontId="35" fillId="0" borderId="4" xfId="1525" applyFont="1" applyFill="1" applyBorder="1"/>
    <xf numFmtId="177" fontId="56" fillId="0" borderId="0" xfId="0" applyNumberFormat="1" applyFont="1"/>
    <xf numFmtId="189" fontId="206" fillId="0" borderId="0" xfId="1545" applyNumberFormat="1" applyFont="1" applyFill="1" applyBorder="1"/>
    <xf numFmtId="0" fontId="37" fillId="0" borderId="31" xfId="0" applyFont="1" applyBorder="1"/>
    <xf numFmtId="0" fontId="63" fillId="0" borderId="0" xfId="0" applyFont="1"/>
    <xf numFmtId="37" fontId="63" fillId="0" borderId="0" xfId="0" applyNumberFormat="1" applyFont="1"/>
    <xf numFmtId="169" fontId="35" fillId="0" borderId="31" xfId="0" applyNumberFormat="1" applyFont="1" applyBorder="1"/>
    <xf numFmtId="169" fontId="37" fillId="0" borderId="0" xfId="1716" applyNumberFormat="1" applyFont="1" applyBorder="1"/>
    <xf numFmtId="169" fontId="37" fillId="0" borderId="0" xfId="1716" applyNumberFormat="1" applyFont="1" applyFill="1" applyBorder="1"/>
    <xf numFmtId="190" fontId="35" fillId="0" borderId="31" xfId="0" applyNumberFormat="1" applyFont="1" applyBorder="1" applyAlignment="1">
      <alignment horizontal="left" indent="1"/>
    </xf>
    <xf numFmtId="0" fontId="36" fillId="0" borderId="31" xfId="0" applyFont="1" applyBorder="1"/>
    <xf numFmtId="6" fontId="37" fillId="0" borderId="0" xfId="1559" applyNumberFormat="1" applyFont="1" applyBorder="1"/>
    <xf numFmtId="6" fontId="35" fillId="0" borderId="0" xfId="1559" applyNumberFormat="1" applyFont="1" applyFill="1" applyBorder="1"/>
    <xf numFmtId="6" fontId="37" fillId="0" borderId="0" xfId="1559" applyNumberFormat="1" applyFont="1" applyFill="1" applyBorder="1"/>
    <xf numFmtId="3" fontId="37" fillId="0" borderId="0" xfId="1559" applyNumberFormat="1" applyFont="1" applyBorder="1"/>
    <xf numFmtId="0" fontId="35" fillId="0" borderId="39" xfId="0" applyFont="1" applyBorder="1" applyAlignment="1">
      <alignment horizontal="left"/>
    </xf>
    <xf numFmtId="0" fontId="35" fillId="0" borderId="35" xfId="0" applyFont="1" applyBorder="1" applyAlignment="1">
      <alignment horizontal="left" indent="1"/>
    </xf>
    <xf numFmtId="0" fontId="36" fillId="0" borderId="31" xfId="0" applyFont="1" applyBorder="1" applyAlignment="1">
      <alignment horizontal="left" indent="1"/>
    </xf>
    <xf numFmtId="0" fontId="35" fillId="0" borderId="31" xfId="0" applyFont="1" applyBorder="1" applyAlignment="1">
      <alignment horizontal="left" indent="2"/>
    </xf>
    <xf numFmtId="169" fontId="35" fillId="0" borderId="37" xfId="1716" applyNumberFormat="1" applyFont="1" applyBorder="1"/>
    <xf numFmtId="0" fontId="37" fillId="0" borderId="31" xfId="0" applyFont="1" applyBorder="1" applyAlignment="1">
      <alignment horizontal="left" indent="2"/>
    </xf>
    <xf numFmtId="0" fontId="37" fillId="0" borderId="31" xfId="0" applyFont="1" applyBorder="1" applyAlignment="1">
      <alignment horizontal="left" indent="1"/>
    </xf>
    <xf numFmtId="0" fontId="37" fillId="0" borderId="35" xfId="0" applyFont="1" applyBorder="1" applyAlignment="1">
      <alignment horizontal="left" indent="1"/>
    </xf>
    <xf numFmtId="169" fontId="37" fillId="0" borderId="11" xfId="0" applyNumberFormat="1" applyFont="1" applyBorder="1"/>
    <xf numFmtId="3" fontId="35" fillId="0" borderId="31" xfId="0" applyNumberFormat="1" applyFont="1" applyBorder="1" applyAlignment="1">
      <alignment horizontal="left" indent="1"/>
    </xf>
    <xf numFmtId="3" fontId="37" fillId="0" borderId="31" xfId="0" applyNumberFormat="1" applyFont="1" applyBorder="1" applyAlignment="1">
      <alignment horizontal="left" indent="1"/>
    </xf>
    <xf numFmtId="5" fontId="44" fillId="0" borderId="35" xfId="0" applyNumberFormat="1" applyFont="1" applyBorder="1" applyAlignment="1">
      <alignment horizontal="left" indent="1"/>
    </xf>
    <xf numFmtId="5" fontId="35" fillId="0" borderId="11" xfId="0" applyNumberFormat="1" applyFont="1" applyBorder="1"/>
    <xf numFmtId="189" fontId="35" fillId="0" borderId="31" xfId="1525" applyNumberFormat="1" applyFont="1" applyBorder="1"/>
    <xf numFmtId="189" fontId="35" fillId="0" borderId="21" xfId="1525" applyNumberFormat="1" applyFont="1" applyBorder="1"/>
    <xf numFmtId="189" fontId="35" fillId="0" borderId="0" xfId="1525" applyNumberFormat="1" applyFont="1" applyFill="1" applyBorder="1"/>
    <xf numFmtId="189" fontId="35" fillId="0" borderId="21" xfId="1525" applyNumberFormat="1" applyFont="1" applyFill="1" applyBorder="1"/>
    <xf numFmtId="189" fontId="35" fillId="0" borderId="37" xfId="1525" applyNumberFormat="1" applyFont="1" applyBorder="1"/>
    <xf numFmtId="189" fontId="35" fillId="0" borderId="37" xfId="1525" applyNumberFormat="1" applyFont="1" applyFill="1" applyBorder="1"/>
    <xf numFmtId="8" fontId="35" fillId="0" borderId="31" xfId="1559" applyFont="1" applyFill="1" applyBorder="1"/>
    <xf numFmtId="169" fontId="35" fillId="0" borderId="31" xfId="1716" applyNumberFormat="1" applyFont="1" applyBorder="1"/>
    <xf numFmtId="169" fontId="35" fillId="0" borderId="37" xfId="1716" applyNumberFormat="1" applyFont="1" applyFill="1" applyBorder="1"/>
    <xf numFmtId="273" fontId="35" fillId="0" borderId="0" xfId="0" applyNumberFormat="1" applyFont="1"/>
    <xf numFmtId="273" fontId="35" fillId="0" borderId="21" xfId="0" applyNumberFormat="1" applyFont="1" applyBorder="1"/>
    <xf numFmtId="0" fontId="35" fillId="0" borderId="21" xfId="1687" applyFont="1" applyBorder="1"/>
    <xf numFmtId="0" fontId="35" fillId="0" borderId="21" xfId="0" applyFont="1" applyBorder="1"/>
    <xf numFmtId="189" fontId="35" fillId="0" borderId="0" xfId="0" applyNumberFormat="1" applyFont="1"/>
    <xf numFmtId="169" fontId="35" fillId="0" borderId="21" xfId="1716" applyNumberFormat="1" applyFont="1" applyFill="1" applyBorder="1"/>
    <xf numFmtId="189" fontId="35" fillId="0" borderId="21" xfId="1687" applyNumberFormat="1" applyFont="1" applyBorder="1"/>
    <xf numFmtId="8" fontId="35" fillId="0" borderId="11" xfId="1559" applyFont="1" applyFill="1" applyBorder="1"/>
    <xf numFmtId="169" fontId="35" fillId="0" borderId="31" xfId="1716" applyNumberFormat="1" applyFont="1" applyFill="1" applyBorder="1"/>
    <xf numFmtId="37" fontId="35" fillId="0" borderId="27" xfId="1559" applyNumberFormat="1" applyFont="1" applyFill="1" applyBorder="1"/>
    <xf numFmtId="169" fontId="0" fillId="0" borderId="0" xfId="0" applyNumberFormat="1"/>
    <xf numFmtId="37" fontId="0" fillId="0" borderId="0" xfId="0" applyNumberFormat="1"/>
    <xf numFmtId="170" fontId="35" fillId="0" borderId="4" xfId="0" applyNumberFormat="1" applyFont="1" applyBorder="1"/>
    <xf numFmtId="184" fontId="35" fillId="0" borderId="4" xfId="0" applyNumberFormat="1" applyFont="1" applyBorder="1"/>
    <xf numFmtId="170" fontId="37" fillId="0" borderId="0" xfId="0" applyNumberFormat="1" applyFont="1"/>
    <xf numFmtId="170" fontId="35" fillId="0" borderId="0" xfId="0" applyNumberFormat="1" applyFont="1"/>
    <xf numFmtId="274" fontId="35" fillId="0" borderId="4" xfId="0" applyNumberFormat="1" applyFont="1" applyBorder="1"/>
    <xf numFmtId="0" fontId="86" fillId="0" borderId="7" xfId="0" applyFont="1" applyBorder="1"/>
    <xf numFmtId="0" fontId="86" fillId="0" borderId="7" xfId="0" applyFont="1" applyBorder="1" applyAlignment="1">
      <alignment horizontal="center"/>
    </xf>
    <xf numFmtId="167" fontId="35" fillId="0" borderId="0" xfId="0" applyNumberFormat="1" applyFont="1"/>
    <xf numFmtId="5" fontId="37" fillId="0" borderId="0" xfId="0" applyNumberFormat="1" applyFont="1"/>
    <xf numFmtId="187" fontId="35" fillId="0" borderId="0" xfId="0" applyNumberFormat="1" applyFont="1"/>
    <xf numFmtId="8" fontId="35" fillId="0" borderId="0" xfId="0" applyNumberFormat="1" applyFont="1" applyAlignment="1">
      <alignment horizontal="left" indent="1"/>
    </xf>
    <xf numFmtId="1" fontId="35" fillId="0" borderId="0" xfId="0" applyNumberFormat="1" applyFont="1" applyAlignment="1">
      <alignment horizontal="left" indent="1"/>
    </xf>
    <xf numFmtId="178" fontId="35" fillId="0" borderId="0" xfId="0" applyNumberFormat="1" applyFont="1"/>
    <xf numFmtId="9" fontId="35" fillId="0" borderId="0" xfId="1716" applyFont="1" applyFill="1"/>
    <xf numFmtId="169" fontId="48" fillId="0" borderId="0" xfId="1716" applyNumberFormat="1" applyFont="1" applyFill="1" applyBorder="1"/>
    <xf numFmtId="0" fontId="35" fillId="0" borderId="39" xfId="0" applyFont="1" applyBorder="1"/>
    <xf numFmtId="170" fontId="37" fillId="0" borderId="4" xfId="0" applyNumberFormat="1" applyFont="1" applyBorder="1"/>
    <xf numFmtId="0" fontId="35" fillId="0" borderId="35" xfId="0" applyFont="1" applyBorder="1"/>
    <xf numFmtId="4" fontId="35" fillId="0" borderId="0" xfId="1525" applyFont="1" applyFill="1"/>
    <xf numFmtId="4" fontId="48" fillId="0" borderId="0" xfId="0" applyNumberFormat="1" applyFont="1"/>
    <xf numFmtId="9" fontId="0" fillId="0" borderId="0" xfId="0" applyNumberFormat="1"/>
    <xf numFmtId="273" fontId="35" fillId="0" borderId="37" xfId="0" applyNumberFormat="1" applyFont="1" applyBorder="1"/>
    <xf numFmtId="8" fontId="35" fillId="0" borderId="37" xfId="1559" applyFont="1" applyFill="1" applyBorder="1"/>
    <xf numFmtId="189" fontId="35" fillId="0" borderId="39" xfId="1525" applyNumberFormat="1" applyFont="1" applyBorder="1"/>
    <xf numFmtId="169" fontId="35" fillId="0" borderId="0" xfId="1716" applyNumberFormat="1" applyFont="1" applyFill="1"/>
    <xf numFmtId="3" fontId="48" fillId="0" borderId="0" xfId="0" applyNumberFormat="1" applyFont="1"/>
    <xf numFmtId="38" fontId="48" fillId="0" borderId="0" xfId="0" applyNumberFormat="1" applyFont="1"/>
    <xf numFmtId="0" fontId="38" fillId="0" borderId="11" xfId="0" applyFont="1" applyBorder="1"/>
    <xf numFmtId="8" fontId="38" fillId="0" borderId="11" xfId="1559" applyFont="1" applyFill="1" applyBorder="1"/>
    <xf numFmtId="8" fontId="35" fillId="0" borderId="11" xfId="1559" applyFont="1" applyFill="1" applyBorder="1" applyAlignment="1"/>
    <xf numFmtId="8" fontId="37" fillId="0" borderId="11" xfId="1559" applyFont="1" applyFill="1" applyBorder="1"/>
    <xf numFmtId="276" fontId="35" fillId="0" borderId="0" xfId="0" applyNumberFormat="1" applyFont="1"/>
    <xf numFmtId="8" fontId="35" fillId="0" borderId="0" xfId="1559" applyFont="1" applyFill="1" applyBorder="1"/>
    <xf numFmtId="0" fontId="190" fillId="44" borderId="6" xfId="0" applyFont="1" applyFill="1" applyBorder="1" applyAlignment="1">
      <alignment horizontal="center"/>
    </xf>
    <xf numFmtId="0" fontId="190" fillId="44" borderId="29" xfId="0" applyFont="1" applyFill="1" applyBorder="1" applyAlignment="1">
      <alignment horizontal="center"/>
    </xf>
    <xf numFmtId="0" fontId="190" fillId="44" borderId="7" xfId="0" applyFont="1" applyFill="1" applyBorder="1" applyAlignment="1">
      <alignment horizontal="center"/>
    </xf>
    <xf numFmtId="0" fontId="190" fillId="44" borderId="38" xfId="0" applyFont="1" applyFill="1" applyBorder="1" applyAlignment="1">
      <alignment horizontal="center"/>
    </xf>
    <xf numFmtId="0" fontId="230" fillId="0" borderId="6" xfId="0" applyFont="1" applyBorder="1" applyAlignment="1">
      <alignment horizontal="center"/>
    </xf>
    <xf numFmtId="169" fontId="37" fillId="0" borderId="0" xfId="0" applyNumberFormat="1" applyFont="1" applyAlignment="1">
      <alignment horizontal="right"/>
    </xf>
    <xf numFmtId="0" fontId="37" fillId="0" borderId="36" xfId="0" applyFont="1" applyBorder="1"/>
    <xf numFmtId="38" fontId="37" fillId="0" borderId="31" xfId="0" applyNumberFormat="1" applyFont="1" applyBorder="1"/>
    <xf numFmtId="37" fontId="37" fillId="0" borderId="36" xfId="0" applyNumberFormat="1" applyFont="1" applyBorder="1"/>
    <xf numFmtId="6" fontId="37" fillId="0" borderId="42" xfId="0" applyNumberFormat="1" applyFont="1" applyBorder="1"/>
    <xf numFmtId="6" fontId="37" fillId="0" borderId="44" xfId="0" applyNumberFormat="1" applyFont="1" applyBorder="1"/>
    <xf numFmtId="168" fontId="37" fillId="0" borderId="31" xfId="0" applyNumberFormat="1" applyFont="1" applyBorder="1"/>
    <xf numFmtId="6" fontId="37" fillId="0" borderId="36" xfId="0" applyNumberFormat="1" applyFont="1" applyBorder="1"/>
    <xf numFmtId="37" fontId="37" fillId="0" borderId="42" xfId="0" applyNumberFormat="1" applyFont="1" applyBorder="1"/>
    <xf numFmtId="37" fontId="37" fillId="0" borderId="31" xfId="0" applyNumberFormat="1" applyFont="1" applyBorder="1"/>
    <xf numFmtId="5" fontId="37" fillId="0" borderId="39" xfId="0" applyNumberFormat="1" applyFont="1" applyBorder="1"/>
    <xf numFmtId="5" fontId="37" fillId="0" borderId="43" xfId="0" applyNumberFormat="1" applyFont="1" applyBorder="1"/>
    <xf numFmtId="6" fontId="37" fillId="0" borderId="39" xfId="0" applyNumberFormat="1" applyFont="1" applyBorder="1"/>
    <xf numFmtId="9" fontId="37" fillId="0" borderId="36" xfId="0" applyNumberFormat="1" applyFont="1" applyBorder="1"/>
    <xf numFmtId="37" fontId="37" fillId="0" borderId="39" xfId="0" applyNumberFormat="1" applyFont="1" applyBorder="1"/>
    <xf numFmtId="37" fontId="37" fillId="0" borderId="41" xfId="0" applyNumberFormat="1" applyFont="1" applyBorder="1"/>
    <xf numFmtId="177" fontId="231" fillId="0" borderId="0" xfId="0" applyNumberFormat="1" applyFont="1"/>
    <xf numFmtId="0" fontId="233" fillId="0" borderId="0" xfId="0" applyFont="1"/>
    <xf numFmtId="10" fontId="35" fillId="0" borderId="0" xfId="0" applyNumberFormat="1" applyFont="1" applyAlignment="1">
      <alignment horizontal="center"/>
    </xf>
    <xf numFmtId="4" fontId="231" fillId="0" borderId="0" xfId="0" applyNumberFormat="1" applyFont="1" applyAlignment="1">
      <alignment horizontal="right"/>
    </xf>
    <xf numFmtId="7" fontId="35" fillId="0" borderId="57" xfId="0" applyNumberFormat="1" applyFont="1" applyBorder="1"/>
    <xf numFmtId="0" fontId="35" fillId="0" borderId="57" xfId="0" applyFont="1" applyBorder="1"/>
    <xf numFmtId="38" fontId="35" fillId="0" borderId="21" xfId="0" applyNumberFormat="1" applyFont="1" applyBorder="1"/>
    <xf numFmtId="6" fontId="35" fillId="0" borderId="21" xfId="0" applyNumberFormat="1" applyFont="1" applyBorder="1"/>
    <xf numFmtId="5" fontId="37" fillId="0" borderId="21" xfId="0" applyNumberFormat="1" applyFont="1" applyBorder="1"/>
    <xf numFmtId="7" fontId="35" fillId="0" borderId="21" xfId="0" applyNumberFormat="1" applyFont="1" applyBorder="1"/>
    <xf numFmtId="187" fontId="35" fillId="0" borderId="21" xfId="0" applyNumberFormat="1" applyFont="1" applyBorder="1"/>
    <xf numFmtId="1" fontId="35" fillId="0" borderId="21" xfId="0" applyNumberFormat="1" applyFont="1" applyBorder="1"/>
    <xf numFmtId="5" fontId="35" fillId="0" borderId="21" xfId="0" applyNumberFormat="1" applyFont="1" applyBorder="1"/>
    <xf numFmtId="8" fontId="35" fillId="0" borderId="21" xfId="0" applyNumberFormat="1" applyFont="1" applyBorder="1"/>
    <xf numFmtId="7" fontId="35" fillId="0" borderId="8" xfId="0" applyNumberFormat="1" applyFont="1" applyBorder="1"/>
    <xf numFmtId="7" fontId="35" fillId="0" borderId="27" xfId="0" applyNumberFormat="1" applyFont="1" applyBorder="1"/>
    <xf numFmtId="8" fontId="37" fillId="0" borderId="27" xfId="1559" applyFont="1" applyFill="1" applyBorder="1"/>
    <xf numFmtId="274" fontId="35" fillId="0" borderId="8" xfId="0" applyNumberFormat="1" applyFont="1" applyBorder="1"/>
    <xf numFmtId="274" fontId="35" fillId="0" borderId="21" xfId="0" applyNumberFormat="1" applyFont="1" applyBorder="1"/>
    <xf numFmtId="169" fontId="37" fillId="0" borderId="21" xfId="1716" applyNumberFormat="1" applyFont="1" applyBorder="1"/>
    <xf numFmtId="9" fontId="35" fillId="0" borderId="21" xfId="0" applyNumberFormat="1" applyFont="1" applyBorder="1"/>
    <xf numFmtId="3" fontId="35" fillId="0" borderId="21" xfId="0" applyNumberFormat="1" applyFont="1" applyBorder="1"/>
    <xf numFmtId="3" fontId="37" fillId="0" borderId="21" xfId="1559" applyNumberFormat="1" applyFont="1" applyBorder="1"/>
    <xf numFmtId="3" fontId="37" fillId="0" borderId="27" xfId="1559" applyNumberFormat="1" applyFont="1" applyBorder="1"/>
    <xf numFmtId="169" fontId="35" fillId="0" borderId="21" xfId="1716" applyNumberFormat="1" applyFont="1" applyBorder="1"/>
    <xf numFmtId="169" fontId="37" fillId="0" borderId="27" xfId="0" applyNumberFormat="1" applyFont="1" applyBorder="1"/>
    <xf numFmtId="37" fontId="35" fillId="0" borderId="21" xfId="0" applyNumberFormat="1" applyFont="1" applyBorder="1"/>
    <xf numFmtId="3" fontId="37" fillId="0" borderId="21" xfId="0" applyNumberFormat="1" applyFont="1" applyBorder="1"/>
    <xf numFmtId="5" fontId="35" fillId="0" borderId="27" xfId="0" applyNumberFormat="1" applyFont="1" applyBorder="1"/>
    <xf numFmtId="0" fontId="37" fillId="0" borderId="21" xfId="0" applyFont="1" applyBorder="1"/>
    <xf numFmtId="177" fontId="63" fillId="0" borderId="21" xfId="0" applyNumberFormat="1" applyFont="1" applyBorder="1"/>
    <xf numFmtId="169" fontId="35" fillId="0" borderId="21" xfId="0" applyNumberFormat="1" applyFont="1" applyBorder="1" applyAlignment="1">
      <alignment horizontal="right"/>
    </xf>
    <xf numFmtId="9" fontId="35" fillId="0" borderId="21" xfId="0" applyNumberFormat="1" applyFont="1" applyBorder="1" applyAlignment="1">
      <alignment horizontal="right"/>
    </xf>
    <xf numFmtId="4" fontId="35" fillId="0" borderId="21" xfId="0" applyNumberFormat="1" applyFont="1" applyBorder="1" applyAlignment="1">
      <alignment horizontal="right"/>
    </xf>
    <xf numFmtId="4" fontId="35" fillId="0" borderId="21" xfId="0" applyNumberFormat="1" applyFont="1" applyBorder="1"/>
    <xf numFmtId="177" fontId="35" fillId="0" borderId="21" xfId="0" applyNumberFormat="1" applyFont="1" applyBorder="1"/>
    <xf numFmtId="177" fontId="186" fillId="0" borderId="21" xfId="0" applyNumberFormat="1" applyFont="1" applyBorder="1"/>
    <xf numFmtId="169" fontId="48" fillId="0" borderId="21" xfId="0" applyNumberFormat="1" applyFont="1" applyBorder="1"/>
    <xf numFmtId="169" fontId="35" fillId="0" borderId="21" xfId="0" applyNumberFormat="1" applyFont="1" applyBorder="1"/>
    <xf numFmtId="9" fontId="48" fillId="0" borderId="21" xfId="0" applyNumberFormat="1" applyFont="1" applyBorder="1" applyAlignment="1">
      <alignment horizontal="right"/>
    </xf>
    <xf numFmtId="169" fontId="48" fillId="0" borderId="21" xfId="0" applyNumberFormat="1" applyFont="1" applyBorder="1" applyAlignment="1">
      <alignment horizontal="right"/>
    </xf>
    <xf numFmtId="0" fontId="0" fillId="0" borderId="21" xfId="0" applyBorder="1"/>
    <xf numFmtId="9" fontId="186" fillId="0" borderId="21" xfId="0" applyNumberFormat="1" applyFont="1" applyBorder="1"/>
    <xf numFmtId="177" fontId="48" fillId="0" borderId="21" xfId="0" applyNumberFormat="1" applyFont="1" applyBorder="1"/>
    <xf numFmtId="177" fontId="39" fillId="0" borderId="21" xfId="0" applyNumberFormat="1" applyFont="1" applyBorder="1"/>
    <xf numFmtId="177" fontId="231" fillId="0" borderId="21" xfId="0" applyNumberFormat="1" applyFont="1" applyBorder="1"/>
    <xf numFmtId="177" fontId="37" fillId="0" borderId="21" xfId="0" applyNumberFormat="1" applyFont="1" applyBorder="1"/>
    <xf numFmtId="37" fontId="186" fillId="0" borderId="21" xfId="0" applyNumberFormat="1" applyFont="1" applyBorder="1"/>
    <xf numFmtId="169" fontId="37" fillId="0" borderId="21" xfId="0" applyNumberFormat="1" applyFont="1" applyBorder="1" applyAlignment="1">
      <alignment horizontal="right"/>
    </xf>
    <xf numFmtId="37" fontId="63" fillId="0" borderId="21" xfId="0" applyNumberFormat="1" applyFont="1" applyBorder="1"/>
    <xf numFmtId="37" fontId="37" fillId="0" borderId="21" xfId="0" applyNumberFormat="1" applyFont="1" applyBorder="1"/>
    <xf numFmtId="169" fontId="37" fillId="0" borderId="27" xfId="0" applyNumberFormat="1" applyFont="1" applyBorder="1" applyAlignment="1">
      <alignment horizontal="right"/>
    </xf>
    <xf numFmtId="4" fontId="35" fillId="0" borderId="21" xfId="1525" applyFont="1" applyFill="1" applyBorder="1" applyAlignment="1" applyProtection="1">
      <alignment horizontal="right"/>
    </xf>
    <xf numFmtId="169" fontId="186" fillId="0" borderId="21" xfId="0" applyNumberFormat="1" applyFont="1" applyBorder="1"/>
    <xf numFmtId="0" fontId="57" fillId="0" borderId="0" xfId="0" applyFont="1"/>
    <xf numFmtId="0" fontId="37" fillId="0" borderId="11" xfId="0" applyFont="1" applyBorder="1" applyAlignment="1">
      <alignment horizontal="center"/>
    </xf>
    <xf numFmtId="169" fontId="37" fillId="0" borderId="11" xfId="0" applyNumberFormat="1" applyFont="1" applyBorder="1" applyAlignment="1">
      <alignment horizontal="right"/>
    </xf>
    <xf numFmtId="0" fontId="186" fillId="0" borderId="21" xfId="0" applyFont="1" applyBorder="1" applyAlignment="1">
      <alignment horizontal="left"/>
    </xf>
    <xf numFmtId="0" fontId="188" fillId="0" borderId="21" xfId="0" applyFont="1" applyBorder="1"/>
    <xf numFmtId="0" fontId="63" fillId="0" borderId="21" xfId="0" applyFont="1" applyBorder="1" applyAlignment="1">
      <alignment horizontal="left" indent="1"/>
    </xf>
    <xf numFmtId="0" fontId="63" fillId="0" borderId="21" xfId="0" applyFont="1" applyBorder="1"/>
    <xf numFmtId="0" fontId="189" fillId="0" borderId="21" xfId="0" applyFont="1" applyBorder="1" applyAlignment="1">
      <alignment horizontal="left" indent="1"/>
    </xf>
    <xf numFmtId="0" fontId="187" fillId="0" borderId="21" xfId="0" applyFont="1" applyBorder="1" applyAlignment="1">
      <alignment horizontal="left" indent="2"/>
    </xf>
    <xf numFmtId="0" fontId="186" fillId="0" borderId="21" xfId="0" applyFont="1" applyBorder="1" applyAlignment="1">
      <alignment horizontal="left" indent="1"/>
    </xf>
    <xf numFmtId="0" fontId="187" fillId="0" borderId="21" xfId="0" applyFont="1" applyBorder="1" applyAlignment="1">
      <alignment horizontal="left" indent="1"/>
    </xf>
    <xf numFmtId="0" fontId="186" fillId="0" borderId="21" xfId="0" applyFont="1" applyBorder="1" applyAlignment="1">
      <alignment horizontal="left" indent="2"/>
    </xf>
    <xf numFmtId="0" fontId="189" fillId="0" borderId="21" xfId="0" applyFont="1" applyBorder="1"/>
    <xf numFmtId="0" fontId="187" fillId="0" borderId="21" xfId="0" applyFont="1" applyBorder="1" applyAlignment="1">
      <alignment horizontal="left" indent="3"/>
    </xf>
    <xf numFmtId="0" fontId="186" fillId="0" borderId="21" xfId="0" applyFont="1" applyBorder="1"/>
    <xf numFmtId="0" fontId="189" fillId="0" borderId="27" xfId="0" applyFont="1" applyBorder="1"/>
    <xf numFmtId="0" fontId="37" fillId="45" borderId="29" xfId="0" applyFont="1" applyFill="1" applyBorder="1"/>
    <xf numFmtId="0" fontId="38" fillId="45" borderId="7" xfId="0" applyFont="1" applyFill="1" applyBorder="1"/>
    <xf numFmtId="7" fontId="37" fillId="45" borderId="7" xfId="0" applyNumberFormat="1" applyFont="1" applyFill="1" applyBorder="1"/>
    <xf numFmtId="8" fontId="38" fillId="45" borderId="7" xfId="1559" applyFont="1" applyFill="1" applyBorder="1"/>
    <xf numFmtId="7" fontId="37" fillId="45" borderId="6" xfId="0" applyNumberFormat="1" applyFont="1" applyFill="1" applyBorder="1"/>
    <xf numFmtId="177" fontId="251" fillId="0" borderId="0" xfId="0" applyNumberFormat="1" applyFont="1"/>
    <xf numFmtId="37" fontId="35" fillId="0" borderId="21" xfId="1687" applyNumberFormat="1" applyFont="1" applyBorder="1"/>
    <xf numFmtId="177" fontId="48" fillId="48" borderId="0" xfId="0" applyNumberFormat="1" applyFont="1" applyFill="1"/>
    <xf numFmtId="1" fontId="35" fillId="0" borderId="0" xfId="0" applyNumberFormat="1" applyFont="1" applyAlignment="1">
      <alignment horizontal="right" indent="1"/>
    </xf>
    <xf numFmtId="1" fontId="35" fillId="0" borderId="21" xfId="0" applyNumberFormat="1" applyFont="1" applyBorder="1" applyAlignment="1">
      <alignment horizontal="right" indent="1"/>
    </xf>
    <xf numFmtId="38" fontId="35" fillId="0" borderId="0" xfId="0" applyNumberFormat="1" applyFont="1" applyAlignment="1">
      <alignment horizontal="right" indent="1"/>
    </xf>
    <xf numFmtId="168" fontId="35" fillId="0" borderId="21" xfId="0" applyNumberFormat="1" applyFont="1" applyBorder="1" applyAlignment="1">
      <alignment horizontal="right" indent="1"/>
    </xf>
    <xf numFmtId="168" fontId="252" fillId="0" borderId="21" xfId="0" applyNumberFormat="1" applyFont="1" applyBorder="1" applyAlignment="1">
      <alignment horizontal="right" indent="1"/>
    </xf>
    <xf numFmtId="177" fontId="233" fillId="0" borderId="0" xfId="0" applyNumberFormat="1" applyFont="1"/>
    <xf numFmtId="9" fontId="48" fillId="0" borderId="0" xfId="0" applyNumberFormat="1" applyFont="1" applyAlignment="1">
      <alignment horizontal="right"/>
    </xf>
    <xf numFmtId="3" fontId="35" fillId="0" borderId="0" xfId="1525" applyNumberFormat="1" applyFont="1" applyFill="1" applyBorder="1"/>
    <xf numFmtId="177" fontId="251" fillId="0" borderId="21" xfId="0" applyNumberFormat="1" applyFont="1" applyBorder="1"/>
    <xf numFmtId="169" fontId="186" fillId="0" borderId="21" xfId="1716" applyNumberFormat="1" applyFont="1" applyFill="1" applyBorder="1"/>
    <xf numFmtId="0" fontId="252" fillId="0" borderId="0" xfId="0" applyFont="1"/>
    <xf numFmtId="3" fontId="44" fillId="0" borderId="0" xfId="1525" applyNumberFormat="1" applyFont="1" applyFill="1" applyBorder="1"/>
    <xf numFmtId="4" fontId="35" fillId="0" borderId="21" xfId="1525" applyFont="1" applyFill="1" applyBorder="1"/>
    <xf numFmtId="4" fontId="35" fillId="0" borderId="6" xfId="1525" applyFont="1" applyFill="1" applyBorder="1"/>
    <xf numFmtId="190" fontId="37" fillId="54" borderId="29" xfId="0" applyNumberFormat="1" applyFont="1" applyFill="1" applyBorder="1"/>
    <xf numFmtId="190" fontId="37" fillId="54" borderId="7" xfId="0" applyNumberFormat="1" applyFont="1" applyFill="1" applyBorder="1"/>
    <xf numFmtId="5" fontId="37" fillId="54" borderId="7" xfId="0" applyNumberFormat="1" applyFont="1" applyFill="1" applyBorder="1"/>
    <xf numFmtId="5" fontId="37" fillId="54" borderId="6" xfId="0" applyNumberFormat="1" applyFont="1" applyFill="1" applyBorder="1"/>
    <xf numFmtId="177" fontId="0" fillId="0" borderId="0" xfId="0" applyNumberFormat="1"/>
    <xf numFmtId="169" fontId="44" fillId="0" borderId="0" xfId="1716" applyNumberFormat="1" applyFont="1" applyFill="1" applyBorder="1"/>
    <xf numFmtId="5" fontId="37" fillId="0" borderId="8" xfId="0" applyNumberFormat="1" applyFont="1" applyBorder="1"/>
    <xf numFmtId="6" fontId="37" fillId="0" borderId="65" xfId="0" applyNumberFormat="1" applyFont="1" applyBorder="1"/>
    <xf numFmtId="203" fontId="48" fillId="0" borderId="0" xfId="0" applyNumberFormat="1" applyFont="1"/>
    <xf numFmtId="0" fontId="35" fillId="0" borderId="57" xfId="1687" applyFont="1" applyBorder="1"/>
    <xf numFmtId="4" fontId="196" fillId="0" borderId="57" xfId="1525" applyFont="1" applyFill="1" applyBorder="1"/>
    <xf numFmtId="40" fontId="35" fillId="0" borderId="57" xfId="0" applyNumberFormat="1" applyFont="1" applyBorder="1"/>
    <xf numFmtId="3" fontId="35" fillId="0" borderId="57" xfId="0" applyNumberFormat="1" applyFont="1" applyBorder="1"/>
    <xf numFmtId="0" fontId="35" fillId="0" borderId="59" xfId="1687" applyFont="1" applyBorder="1"/>
    <xf numFmtId="4" fontId="196" fillId="0" borderId="59" xfId="1525" applyFont="1" applyFill="1" applyBorder="1"/>
    <xf numFmtId="40" fontId="35" fillId="0" borderId="59" xfId="0" applyNumberFormat="1" applyFont="1" applyBorder="1"/>
    <xf numFmtId="3" fontId="35" fillId="0" borderId="59" xfId="0" applyNumberFormat="1" applyFont="1" applyBorder="1"/>
    <xf numFmtId="3" fontId="254" fillId="0" borderId="0" xfId="1525" applyNumberFormat="1" applyFont="1" applyFill="1"/>
    <xf numFmtId="0" fontId="252" fillId="0" borderId="0" xfId="0" applyFont="1" applyAlignment="1">
      <alignment horizontal="centerContinuous"/>
    </xf>
    <xf numFmtId="167" fontId="252" fillId="0" borderId="0" xfId="0" applyNumberFormat="1" applyFont="1"/>
    <xf numFmtId="4" fontId="252" fillId="0" borderId="0" xfId="1525" applyFont="1" applyFill="1"/>
    <xf numFmtId="2" fontId="252" fillId="0" borderId="0" xfId="0" applyNumberFormat="1" applyFont="1"/>
    <xf numFmtId="6" fontId="252" fillId="0" borderId="0" xfId="0" applyNumberFormat="1" applyFont="1"/>
    <xf numFmtId="7" fontId="252" fillId="0" borderId="0" xfId="0" applyNumberFormat="1" applyFont="1"/>
    <xf numFmtId="1" fontId="252" fillId="0" borderId="0" xfId="0" applyNumberFormat="1" applyFont="1"/>
    <xf numFmtId="187" fontId="255" fillId="0" borderId="63" xfId="0" applyNumberFormat="1" applyFont="1" applyBorder="1"/>
    <xf numFmtId="0" fontId="252" fillId="0" borderId="63" xfId="0" applyFont="1" applyBorder="1"/>
    <xf numFmtId="7" fontId="252" fillId="0" borderId="63" xfId="0" applyNumberFormat="1" applyFont="1" applyBorder="1"/>
    <xf numFmtId="1" fontId="252" fillId="0" borderId="63" xfId="0" applyNumberFormat="1" applyFont="1" applyBorder="1"/>
    <xf numFmtId="0" fontId="231" fillId="0" borderId="0" xfId="0" applyFont="1"/>
    <xf numFmtId="9" fontId="252" fillId="0" borderId="0" xfId="0" applyNumberFormat="1" applyFont="1"/>
    <xf numFmtId="169" fontId="48" fillId="0" borderId="31" xfId="0" applyNumberFormat="1" applyFont="1" applyBorder="1" applyAlignment="1">
      <alignment horizontal="right"/>
    </xf>
    <xf numFmtId="179" fontId="190" fillId="44" borderId="57" xfId="1525" applyNumberFormat="1" applyFont="1" applyFill="1" applyBorder="1" applyAlignment="1">
      <alignment horizontal="center"/>
    </xf>
    <xf numFmtId="3" fontId="35" fillId="0" borderId="11" xfId="1525" applyNumberFormat="1" applyFont="1" applyFill="1" applyBorder="1"/>
    <xf numFmtId="8" fontId="48" fillId="0" borderId="0" xfId="0" applyNumberFormat="1" applyFont="1" applyAlignment="1">
      <alignment horizontal="right"/>
    </xf>
    <xf numFmtId="0" fontId="190" fillId="44" borderId="6" xfId="0" applyFont="1" applyFill="1" applyBorder="1" applyAlignment="1">
      <alignment horizontal="left"/>
    </xf>
    <xf numFmtId="38" fontId="251" fillId="0" borderId="37" xfId="0" applyNumberFormat="1" applyFont="1" applyBorder="1"/>
    <xf numFmtId="169" fontId="251" fillId="0" borderId="21" xfId="0" applyNumberFormat="1" applyFont="1" applyBorder="1"/>
    <xf numFmtId="169" fontId="251" fillId="0" borderId="0" xfId="0" applyNumberFormat="1" applyFont="1"/>
    <xf numFmtId="1" fontId="35" fillId="0" borderId="0" xfId="0" applyNumberFormat="1" applyFont="1" applyAlignment="1">
      <alignment horizontal="right"/>
    </xf>
    <xf numFmtId="169" fontId="35" fillId="0" borderId="37" xfId="0" applyNumberFormat="1" applyFont="1" applyBorder="1" applyAlignment="1">
      <alignment horizontal="right"/>
    </xf>
    <xf numFmtId="169" fontId="252" fillId="0" borderId="0" xfId="0" applyNumberFormat="1" applyFont="1" applyAlignment="1">
      <alignment horizontal="right"/>
    </xf>
    <xf numFmtId="0" fontId="186" fillId="71" borderId="21" xfId="0" applyFont="1" applyFill="1" applyBorder="1" applyAlignment="1">
      <alignment horizontal="left" indent="1"/>
    </xf>
    <xf numFmtId="177" fontId="186" fillId="71" borderId="0" xfId="0" applyNumberFormat="1" applyFont="1" applyFill="1"/>
    <xf numFmtId="177" fontId="186" fillId="71" borderId="21" xfId="0" applyNumberFormat="1" applyFont="1" applyFill="1" applyBorder="1"/>
    <xf numFmtId="0" fontId="0" fillId="71" borderId="0" xfId="0" applyFill="1"/>
    <xf numFmtId="281" fontId="186" fillId="71" borderId="21" xfId="0" applyNumberFormat="1" applyFont="1" applyFill="1" applyBorder="1"/>
    <xf numFmtId="0" fontId="63" fillId="48" borderId="21" xfId="0" applyFont="1" applyFill="1" applyBorder="1" applyAlignment="1">
      <alignment horizontal="left" indent="1"/>
    </xf>
    <xf numFmtId="177" fontId="186" fillId="48" borderId="0" xfId="0" applyNumberFormat="1" applyFont="1" applyFill="1"/>
    <xf numFmtId="177" fontId="186" fillId="48" borderId="21" xfId="0" applyNumberFormat="1" applyFont="1" applyFill="1" applyBorder="1"/>
    <xf numFmtId="0" fontId="0" fillId="48" borderId="0" xfId="0" applyFill="1"/>
    <xf numFmtId="0" fontId="186" fillId="48" borderId="21" xfId="0" applyFont="1" applyFill="1" applyBorder="1" applyAlignment="1">
      <alignment horizontal="left" indent="1"/>
    </xf>
    <xf numFmtId="177" fontId="251" fillId="48" borderId="0" xfId="0" applyNumberFormat="1" applyFont="1" applyFill="1"/>
    <xf numFmtId="0" fontId="189" fillId="48" borderId="21" xfId="0" applyFont="1" applyFill="1" applyBorder="1" applyAlignment="1">
      <alignment horizontal="left" indent="1"/>
    </xf>
    <xf numFmtId="0" fontId="187" fillId="48" borderId="21" xfId="0" applyFont="1" applyFill="1" applyBorder="1" applyAlignment="1">
      <alignment horizontal="left" indent="1"/>
    </xf>
    <xf numFmtId="0" fontId="186" fillId="48" borderId="0" xfId="0" applyFont="1" applyFill="1"/>
    <xf numFmtId="0" fontId="63" fillId="48" borderId="21" xfId="0" applyFont="1" applyFill="1" applyBorder="1" applyAlignment="1">
      <alignment horizontal="left" indent="2"/>
    </xf>
    <xf numFmtId="0" fontId="186" fillId="48" borderId="21" xfId="0" applyFont="1" applyFill="1" applyBorder="1" applyAlignment="1">
      <alignment horizontal="left" indent="2"/>
    </xf>
    <xf numFmtId="0" fontId="189" fillId="48" borderId="21" xfId="0" applyFont="1" applyFill="1" applyBorder="1" applyAlignment="1">
      <alignment horizontal="left" indent="2"/>
    </xf>
    <xf numFmtId="0" fontId="187" fillId="48" borderId="21" xfId="0" applyFont="1" applyFill="1" applyBorder="1" applyAlignment="1">
      <alignment horizontal="left" indent="2"/>
    </xf>
    <xf numFmtId="0" fontId="186" fillId="48" borderId="21" xfId="0" applyFont="1" applyFill="1" applyBorder="1" applyAlignment="1">
      <alignment horizontal="left" indent="3"/>
    </xf>
    <xf numFmtId="0" fontId="187" fillId="48" borderId="21" xfId="0" applyFont="1" applyFill="1" applyBorder="1" applyAlignment="1">
      <alignment horizontal="left" indent="3"/>
    </xf>
    <xf numFmtId="169" fontId="48" fillId="48" borderId="21" xfId="0" applyNumberFormat="1" applyFont="1" applyFill="1" applyBorder="1"/>
    <xf numFmtId="177" fontId="37" fillId="48" borderId="0" xfId="0" applyNumberFormat="1" applyFont="1" applyFill="1"/>
    <xf numFmtId="177" fontId="63" fillId="48" borderId="0" xfId="0" applyNumberFormat="1" applyFont="1" applyFill="1"/>
    <xf numFmtId="37" fontId="37" fillId="48" borderId="0" xfId="0" applyNumberFormat="1" applyFont="1" applyFill="1"/>
    <xf numFmtId="37" fontId="37" fillId="48" borderId="21" xfId="0" applyNumberFormat="1" applyFont="1" applyFill="1" applyBorder="1"/>
    <xf numFmtId="0" fontId="258" fillId="0" borderId="21" xfId="0" applyFont="1" applyBorder="1" applyAlignment="1">
      <alignment horizontal="left" indent="2"/>
    </xf>
    <xf numFmtId="0" fontId="259" fillId="0" borderId="21" xfId="0" applyFont="1" applyBorder="1" applyAlignment="1">
      <alignment horizontal="left" indent="2"/>
    </xf>
    <xf numFmtId="0" fontId="259" fillId="0" borderId="21" xfId="0" applyFont="1" applyBorder="1" applyAlignment="1">
      <alignment horizontal="left" indent="1"/>
    </xf>
    <xf numFmtId="0" fontId="260" fillId="0" borderId="21" xfId="0" applyFont="1" applyBorder="1" applyAlignment="1">
      <alignment horizontal="left" indent="2"/>
    </xf>
    <xf numFmtId="0" fontId="261" fillId="0" borderId="21" xfId="0" applyFont="1" applyBorder="1" applyAlignment="1">
      <alignment horizontal="left" indent="2"/>
    </xf>
    <xf numFmtId="0" fontId="261" fillId="0" borderId="21" xfId="0" applyFont="1" applyBorder="1" applyAlignment="1">
      <alignment horizontal="left" indent="1"/>
    </xf>
    <xf numFmtId="0" fontId="259" fillId="0" borderId="21" xfId="0" applyFont="1" applyBorder="1" applyAlignment="1">
      <alignment horizontal="left" indent="3"/>
    </xf>
    <xf numFmtId="0" fontId="261" fillId="0" borderId="21" xfId="0" applyFont="1" applyBorder="1" applyAlignment="1">
      <alignment horizontal="left" indent="3"/>
    </xf>
    <xf numFmtId="177" fontId="35" fillId="0" borderId="0" xfId="0" applyNumberFormat="1" applyFont="1" applyAlignment="1">
      <alignment horizontal="right"/>
    </xf>
    <xf numFmtId="177" fontId="35" fillId="0" borderId="21" xfId="0" applyNumberFormat="1" applyFont="1" applyBorder="1" applyAlignment="1">
      <alignment horizontal="right"/>
    </xf>
    <xf numFmtId="4" fontId="35" fillId="0" borderId="0" xfId="1525" applyFont="1" applyFill="1" applyAlignment="1" applyProtection="1">
      <alignment horizontal="right"/>
    </xf>
    <xf numFmtId="176" fontId="35" fillId="0" borderId="0" xfId="1525" applyNumberFormat="1" applyFont="1" applyFill="1" applyAlignment="1" applyProtection="1">
      <alignment horizontal="right"/>
    </xf>
    <xf numFmtId="169" fontId="251" fillId="0" borderId="21" xfId="0" applyNumberFormat="1" applyFont="1" applyBorder="1" applyAlignment="1">
      <alignment horizontal="right"/>
    </xf>
    <xf numFmtId="177" fontId="37" fillId="71" borderId="7" xfId="0" applyNumberFormat="1" applyFont="1" applyFill="1" applyBorder="1"/>
    <xf numFmtId="177" fontId="63" fillId="71" borderId="7" xfId="0" applyNumberFormat="1" applyFont="1" applyFill="1" applyBorder="1"/>
    <xf numFmtId="177" fontId="63" fillId="71" borderId="6" xfId="0" applyNumberFormat="1" applyFont="1" applyFill="1" applyBorder="1"/>
    <xf numFmtId="0" fontId="63" fillId="71" borderId="6" xfId="0" applyFont="1" applyFill="1" applyBorder="1" applyAlignment="1">
      <alignment horizontal="left"/>
    </xf>
    <xf numFmtId="0" fontId="189" fillId="0" borderId="21" xfId="0" applyFont="1" applyBorder="1" applyAlignment="1">
      <alignment horizontal="left"/>
    </xf>
    <xf numFmtId="0" fontId="187" fillId="0" borderId="21" xfId="0" applyFont="1" applyBorder="1" applyAlignment="1">
      <alignment horizontal="left"/>
    </xf>
    <xf numFmtId="0" fontId="260" fillId="0" borderId="21" xfId="0" applyFont="1" applyBorder="1" applyAlignment="1">
      <alignment horizontal="left" indent="1"/>
    </xf>
    <xf numFmtId="0" fontId="258" fillId="0" borderId="21" xfId="0" applyFont="1" applyBorder="1" applyAlignment="1">
      <alignment horizontal="left" indent="1"/>
    </xf>
    <xf numFmtId="0" fontId="262" fillId="0" borderId="21" xfId="0" applyFont="1" applyBorder="1" applyAlignment="1">
      <alignment horizontal="left" indent="1"/>
    </xf>
    <xf numFmtId="0" fontId="263" fillId="0" borderId="21" xfId="0" applyFont="1" applyBorder="1" applyAlignment="1">
      <alignment horizontal="left" indent="1"/>
    </xf>
    <xf numFmtId="0" fontId="264" fillId="0" borderId="21" xfId="0" applyFont="1" applyBorder="1" applyAlignment="1">
      <alignment horizontal="left" indent="1"/>
    </xf>
    <xf numFmtId="0" fontId="265" fillId="0" borderId="21" xfId="0" applyFont="1" applyBorder="1" applyAlignment="1">
      <alignment horizontal="left" indent="1"/>
    </xf>
    <xf numFmtId="177" fontId="35" fillId="71" borderId="7" xfId="0" applyNumberFormat="1" applyFont="1" applyFill="1" applyBorder="1"/>
    <xf numFmtId="177" fontId="186" fillId="71" borderId="7" xfId="0" applyNumberFormat="1" applyFont="1" applyFill="1" applyBorder="1"/>
    <xf numFmtId="169" fontId="35" fillId="71" borderId="7" xfId="0" applyNumberFormat="1" applyFont="1" applyFill="1" applyBorder="1" applyAlignment="1">
      <alignment horizontal="right"/>
    </xf>
    <xf numFmtId="169" fontId="35" fillId="71" borderId="6" xfId="0" applyNumberFormat="1" applyFont="1" applyFill="1" applyBorder="1" applyAlignment="1">
      <alignment horizontal="right"/>
    </xf>
    <xf numFmtId="3" fontId="35" fillId="0" borderId="0" xfId="1525" applyNumberFormat="1" applyFont="1" applyFill="1" applyAlignment="1" applyProtection="1">
      <alignment horizontal="right"/>
    </xf>
    <xf numFmtId="4" fontId="186" fillId="0" borderId="0" xfId="1525" applyFont="1" applyFill="1"/>
    <xf numFmtId="176" fontId="35" fillId="0" borderId="0" xfId="1525" applyNumberFormat="1" applyFont="1" applyFill="1"/>
    <xf numFmtId="176" fontId="186" fillId="0" borderId="0" xfId="1525" applyNumberFormat="1" applyFont="1" applyFill="1"/>
    <xf numFmtId="176" fontId="35" fillId="0" borderId="21" xfId="1525" applyNumberFormat="1" applyFont="1" applyFill="1" applyBorder="1" applyAlignment="1" applyProtection="1">
      <alignment horizontal="right"/>
    </xf>
    <xf numFmtId="3" fontId="35" fillId="0" borderId="0" xfId="1525" applyNumberFormat="1" applyFont="1" applyFill="1"/>
    <xf numFmtId="3" fontId="186" fillId="0" borderId="0" xfId="1525" applyNumberFormat="1" applyFont="1" applyFill="1"/>
    <xf numFmtId="3" fontId="35" fillId="0" borderId="21" xfId="1525" applyNumberFormat="1" applyFont="1" applyFill="1" applyBorder="1" applyAlignment="1" applyProtection="1">
      <alignment horizontal="right"/>
    </xf>
    <xf numFmtId="3" fontId="48" fillId="0" borderId="0" xfId="1525" applyNumberFormat="1" applyFont="1" applyFill="1" applyAlignment="1" applyProtection="1">
      <alignment horizontal="right"/>
    </xf>
    <xf numFmtId="4" fontId="0" fillId="0" borderId="0" xfId="1525" applyFont="1"/>
    <xf numFmtId="176" fontId="0" fillId="0" borderId="0" xfId="1525" applyNumberFormat="1" applyFont="1"/>
    <xf numFmtId="176" fontId="56" fillId="0" borderId="0" xfId="1525" applyNumberFormat="1" applyFont="1"/>
    <xf numFmtId="177" fontId="186" fillId="0" borderId="21" xfId="0" applyNumberFormat="1" applyFont="1" applyBorder="1" applyAlignment="1">
      <alignment horizontal="right"/>
    </xf>
    <xf numFmtId="176" fontId="37" fillId="0" borderId="0" xfId="1525" applyNumberFormat="1" applyFont="1" applyFill="1"/>
    <xf numFmtId="176" fontId="186" fillId="0" borderId="21" xfId="1525" applyNumberFormat="1" applyFont="1" applyFill="1" applyBorder="1"/>
    <xf numFmtId="176" fontId="48" fillId="0" borderId="0" xfId="1525" applyNumberFormat="1" applyFont="1" applyFill="1"/>
    <xf numFmtId="176" fontId="263" fillId="0" borderId="21" xfId="1525" applyNumberFormat="1" applyFont="1" applyFill="1" applyBorder="1" applyAlignment="1">
      <alignment horizontal="left" indent="1"/>
    </xf>
    <xf numFmtId="177" fontId="35" fillId="44" borderId="7" xfId="0" applyNumberFormat="1" applyFont="1" applyFill="1" applyBorder="1"/>
    <xf numFmtId="177" fontId="186" fillId="44" borderId="7" xfId="0" applyNumberFormat="1" applyFont="1" applyFill="1" applyBorder="1"/>
    <xf numFmtId="177" fontId="186" fillId="44" borderId="6" xfId="0" applyNumberFormat="1" applyFont="1" applyFill="1" applyBorder="1"/>
    <xf numFmtId="0" fontId="229" fillId="44" borderId="6" xfId="0" applyFont="1" applyFill="1" applyBorder="1" applyAlignment="1">
      <alignment horizontal="left"/>
    </xf>
    <xf numFmtId="177" fontId="37" fillId="57" borderId="7" xfId="0" applyNumberFormat="1" applyFont="1" applyFill="1" applyBorder="1"/>
    <xf numFmtId="177" fontId="63" fillId="57" borderId="7" xfId="0" applyNumberFormat="1" applyFont="1" applyFill="1" applyBorder="1"/>
    <xf numFmtId="37" fontId="37" fillId="57" borderId="7" xfId="0" applyNumberFormat="1" applyFont="1" applyFill="1" applyBorder="1"/>
    <xf numFmtId="37" fontId="37" fillId="57" borderId="6" xfId="0" applyNumberFormat="1" applyFont="1" applyFill="1" applyBorder="1"/>
    <xf numFmtId="0" fontId="38" fillId="0" borderId="21" xfId="0" applyFont="1" applyBorder="1" applyAlignment="1">
      <alignment horizontal="left"/>
    </xf>
    <xf numFmtId="0" fontId="44" fillId="0" borderId="21" xfId="0" applyFont="1" applyBorder="1" applyAlignment="1">
      <alignment horizontal="left"/>
    </xf>
    <xf numFmtId="177" fontId="35" fillId="57" borderId="7" xfId="0" applyNumberFormat="1" applyFont="1" applyFill="1" applyBorder="1"/>
    <xf numFmtId="177" fontId="186" fillId="57" borderId="7" xfId="0" applyNumberFormat="1" applyFont="1" applyFill="1" applyBorder="1"/>
    <xf numFmtId="177" fontId="186" fillId="57" borderId="6" xfId="0" applyNumberFormat="1" applyFont="1" applyFill="1" applyBorder="1"/>
    <xf numFmtId="169" fontId="35" fillId="57" borderId="7" xfId="0" applyNumberFormat="1" applyFont="1" applyFill="1" applyBorder="1" applyAlignment="1">
      <alignment horizontal="right"/>
    </xf>
    <xf numFmtId="169" fontId="187" fillId="0" borderId="21" xfId="0" applyNumberFormat="1" applyFont="1" applyBorder="1" applyAlignment="1">
      <alignment horizontal="left"/>
    </xf>
    <xf numFmtId="0" fontId="266" fillId="44" borderId="6" xfId="0" applyFont="1" applyFill="1" applyBorder="1"/>
    <xf numFmtId="0" fontId="229" fillId="44" borderId="7" xfId="0" applyFont="1" applyFill="1" applyBorder="1" applyAlignment="1">
      <alignment horizontal="center"/>
    </xf>
    <xf numFmtId="177" fontId="229" fillId="44" borderId="7" xfId="0" applyNumberFormat="1" applyFont="1" applyFill="1" applyBorder="1"/>
    <xf numFmtId="177" fontId="229" fillId="0" borderId="0" xfId="0" applyNumberFormat="1" applyFont="1"/>
    <xf numFmtId="177" fontId="229" fillId="0" borderId="0" xfId="0" quotePrefix="1" applyNumberFormat="1" applyFont="1"/>
    <xf numFmtId="177" fontId="229" fillId="0" borderId="21" xfId="0" applyNumberFormat="1" applyFont="1" applyBorder="1"/>
    <xf numFmtId="177" fontId="229" fillId="44" borderId="7" xfId="0" quotePrefix="1" applyNumberFormat="1" applyFont="1" applyFill="1" applyBorder="1"/>
    <xf numFmtId="177" fontId="229" fillId="44" borderId="6" xfId="0" applyNumberFormat="1" applyFont="1" applyFill="1" applyBorder="1"/>
    <xf numFmtId="177" fontId="257" fillId="44" borderId="7" xfId="0" applyNumberFormat="1" applyFont="1" applyFill="1" applyBorder="1"/>
    <xf numFmtId="169" fontId="257" fillId="44" borderId="7" xfId="0" applyNumberFormat="1" applyFont="1" applyFill="1" applyBorder="1" applyAlignment="1">
      <alignment horizontal="right"/>
    </xf>
    <xf numFmtId="169" fontId="257" fillId="44" borderId="6" xfId="0" applyNumberFormat="1" applyFont="1" applyFill="1" applyBorder="1" applyAlignment="1">
      <alignment horizontal="right"/>
    </xf>
    <xf numFmtId="169" fontId="35" fillId="57" borderId="6" xfId="0" applyNumberFormat="1" applyFont="1" applyFill="1" applyBorder="1" applyAlignment="1">
      <alignment horizontal="right"/>
    </xf>
    <xf numFmtId="0" fontId="63" fillId="57" borderId="6" xfId="0" applyFont="1" applyFill="1" applyBorder="1"/>
    <xf numFmtId="0" fontId="187" fillId="0" borderId="21" xfId="0" applyFont="1" applyBorder="1"/>
    <xf numFmtId="169" fontId="37" fillId="71" borderId="7" xfId="0" applyNumberFormat="1" applyFont="1" applyFill="1" applyBorder="1" applyAlignment="1">
      <alignment horizontal="right"/>
    </xf>
    <xf numFmtId="169" fontId="37" fillId="71" borderId="6" xfId="0" applyNumberFormat="1" applyFont="1" applyFill="1" applyBorder="1" applyAlignment="1">
      <alignment horizontal="right"/>
    </xf>
    <xf numFmtId="169" fontId="192" fillId="71" borderId="7" xfId="0" applyNumberFormat="1" applyFont="1" applyFill="1" applyBorder="1" applyAlignment="1">
      <alignment horizontal="right"/>
    </xf>
    <xf numFmtId="0" fontId="63" fillId="0" borderId="21" xfId="0" applyFont="1" applyBorder="1" applyAlignment="1">
      <alignment horizontal="left"/>
    </xf>
    <xf numFmtId="3" fontId="37" fillId="0" borderId="0" xfId="1525" applyNumberFormat="1" applyFont="1" applyFill="1"/>
    <xf numFmtId="3" fontId="63" fillId="0" borderId="0" xfId="1525" applyNumberFormat="1" applyFont="1" applyFill="1"/>
    <xf numFmtId="3" fontId="37" fillId="0" borderId="0" xfId="1525" applyNumberFormat="1" applyFont="1" applyFill="1" applyAlignment="1" applyProtection="1">
      <alignment horizontal="right"/>
    </xf>
    <xf numFmtId="3" fontId="37" fillId="0" borderId="21" xfId="1525" applyNumberFormat="1" applyFont="1" applyFill="1" applyBorder="1" applyAlignment="1" applyProtection="1">
      <alignment horizontal="right"/>
    </xf>
    <xf numFmtId="3" fontId="192" fillId="0" borderId="0" xfId="1525" applyNumberFormat="1" applyFont="1" applyFill="1" applyAlignment="1" applyProtection="1">
      <alignment horizontal="right"/>
    </xf>
    <xf numFmtId="176" fontId="37" fillId="0" borderId="0" xfId="1525" applyNumberFormat="1" applyFont="1" applyFill="1" applyAlignment="1" applyProtection="1">
      <alignment horizontal="right"/>
    </xf>
    <xf numFmtId="3" fontId="267" fillId="0" borderId="0" xfId="1525" applyNumberFormat="1" applyFont="1" applyFill="1" applyAlignment="1" applyProtection="1">
      <alignment horizontal="right"/>
    </xf>
    <xf numFmtId="177" fontId="267" fillId="0" borderId="0" xfId="0" applyNumberFormat="1" applyFont="1"/>
    <xf numFmtId="4" fontId="37" fillId="0" borderId="0" xfId="1525" applyFont="1" applyFill="1"/>
    <xf numFmtId="4" fontId="63" fillId="0" borderId="0" xfId="1525" applyFont="1" applyFill="1"/>
    <xf numFmtId="4" fontId="37" fillId="0" borderId="21" xfId="1525" applyFont="1" applyFill="1" applyBorder="1" applyAlignment="1" applyProtection="1">
      <alignment horizontal="right"/>
    </xf>
    <xf numFmtId="4" fontId="37" fillId="0" borderId="0" xfId="1525" applyFont="1" applyFill="1" applyAlignment="1" applyProtection="1">
      <alignment horizontal="right"/>
    </xf>
    <xf numFmtId="176" fontId="267" fillId="0" borderId="0" xfId="1525" applyNumberFormat="1" applyFont="1" applyFill="1" applyAlignment="1" applyProtection="1">
      <alignment horizontal="right"/>
    </xf>
    <xf numFmtId="176" fontId="63" fillId="0" borderId="21" xfId="0" applyNumberFormat="1" applyFont="1" applyBorder="1"/>
    <xf numFmtId="4" fontId="57" fillId="0" borderId="0" xfId="1525" applyFont="1"/>
    <xf numFmtId="176" fontId="37" fillId="0" borderId="0" xfId="0" applyNumberFormat="1" applyFont="1"/>
    <xf numFmtId="177" fontId="192" fillId="0" borderId="0" xfId="0" applyNumberFormat="1" applyFont="1"/>
    <xf numFmtId="0" fontId="35" fillId="0" borderId="43" xfId="0" applyFont="1" applyBorder="1"/>
    <xf numFmtId="264" fontId="35" fillId="0" borderId="36" xfId="0" applyNumberFormat="1" applyFont="1" applyBorder="1"/>
    <xf numFmtId="264" fontId="35" fillId="0" borderId="71" xfId="0" applyNumberFormat="1" applyFont="1" applyBorder="1" applyAlignment="1">
      <alignment horizontal="right"/>
    </xf>
    <xf numFmtId="9" fontId="35" fillId="0" borderId="36" xfId="0" applyNumberFormat="1" applyFont="1" applyBorder="1" applyAlignment="1">
      <alignment horizontal="right"/>
    </xf>
    <xf numFmtId="9" fontId="35" fillId="0" borderId="71" xfId="0" applyNumberFormat="1" applyFont="1" applyBorder="1" applyAlignment="1">
      <alignment horizontal="right"/>
    </xf>
    <xf numFmtId="9" fontId="35" fillId="0" borderId="36" xfId="0" applyNumberFormat="1" applyFont="1" applyBorder="1"/>
    <xf numFmtId="9" fontId="35" fillId="0" borderId="71" xfId="0" applyNumberFormat="1" applyFont="1" applyBorder="1"/>
    <xf numFmtId="0" fontId="35" fillId="0" borderId="36" xfId="0" applyFont="1" applyBorder="1"/>
    <xf numFmtId="3" fontId="35" fillId="0" borderId="36" xfId="0" applyNumberFormat="1" applyFont="1" applyBorder="1"/>
    <xf numFmtId="3" fontId="35" fillId="0" borderId="71" xfId="0" applyNumberFormat="1" applyFont="1" applyBorder="1"/>
    <xf numFmtId="8" fontId="35" fillId="0" borderId="36" xfId="0" applyNumberFormat="1" applyFont="1" applyBorder="1"/>
    <xf numFmtId="3" fontId="35" fillId="0" borderId="36" xfId="1525" applyNumberFormat="1" applyFont="1" applyBorder="1"/>
    <xf numFmtId="3" fontId="35" fillId="0" borderId="71" xfId="1525" applyNumberFormat="1" applyFont="1" applyBorder="1"/>
    <xf numFmtId="4" fontId="35" fillId="0" borderId="36" xfId="0" applyNumberFormat="1" applyFont="1" applyBorder="1"/>
    <xf numFmtId="165" fontId="35" fillId="0" borderId="72" xfId="0" applyNumberFormat="1" applyFont="1" applyBorder="1"/>
    <xf numFmtId="37" fontId="35" fillId="0" borderId="72" xfId="0" applyNumberFormat="1" applyFont="1" applyBorder="1"/>
    <xf numFmtId="37" fontId="35" fillId="0" borderId="71" xfId="0" applyNumberFormat="1" applyFont="1" applyBorder="1"/>
    <xf numFmtId="3" fontId="35" fillId="0" borderId="43" xfId="0" applyNumberFormat="1" applyFont="1" applyBorder="1"/>
    <xf numFmtId="265" fontId="35" fillId="0" borderId="36" xfId="0" applyNumberFormat="1" applyFont="1" applyBorder="1"/>
    <xf numFmtId="203" fontId="35" fillId="0" borderId="71" xfId="0" applyNumberFormat="1" applyFont="1" applyBorder="1"/>
    <xf numFmtId="38" fontId="35" fillId="0" borderId="36" xfId="0" applyNumberFormat="1" applyFont="1" applyBorder="1"/>
    <xf numFmtId="38" fontId="35" fillId="0" borderId="71" xfId="0" applyNumberFormat="1" applyFont="1" applyBorder="1"/>
    <xf numFmtId="38" fontId="35" fillId="0" borderId="43" xfId="0" applyNumberFormat="1" applyFont="1" applyBorder="1"/>
    <xf numFmtId="38" fontId="48" fillId="0" borderId="36" xfId="0" applyNumberFormat="1" applyFont="1" applyBorder="1"/>
    <xf numFmtId="40" fontId="35" fillId="0" borderId="36" xfId="0" applyNumberFormat="1" applyFont="1" applyBorder="1"/>
    <xf numFmtId="40" fontId="35" fillId="0" borderId="71" xfId="0" applyNumberFormat="1" applyFont="1" applyBorder="1"/>
    <xf numFmtId="6" fontId="35" fillId="0" borderId="36" xfId="0" applyNumberFormat="1" applyFont="1" applyBorder="1"/>
    <xf numFmtId="9" fontId="44" fillId="0" borderId="36" xfId="0" applyNumberFormat="1" applyFont="1" applyBorder="1"/>
    <xf numFmtId="0" fontId="35" fillId="0" borderId="71" xfId="0" applyFont="1" applyBorder="1"/>
    <xf numFmtId="0" fontId="37" fillId="0" borderId="74" xfId="0" applyFont="1" applyBorder="1"/>
    <xf numFmtId="38" fontId="251" fillId="0" borderId="36" xfId="0" applyNumberFormat="1" applyFont="1" applyBorder="1"/>
    <xf numFmtId="38" fontId="231" fillId="0" borderId="0" xfId="0" applyNumberFormat="1" applyFont="1"/>
    <xf numFmtId="0" fontId="229" fillId="44" borderId="6" xfId="0" applyFont="1" applyFill="1" applyBorder="1"/>
    <xf numFmtId="0" fontId="229" fillId="44" borderId="6" xfId="0" applyFont="1" applyFill="1" applyBorder="1" applyAlignment="1">
      <alignment horizontal="center"/>
    </xf>
    <xf numFmtId="0" fontId="229" fillId="44" borderId="29" xfId="0" applyFont="1" applyFill="1" applyBorder="1" applyAlignment="1">
      <alignment horizontal="center"/>
    </xf>
    <xf numFmtId="0" fontId="229" fillId="44" borderId="38" xfId="0" applyFont="1" applyFill="1" applyBorder="1" applyAlignment="1">
      <alignment horizontal="center"/>
    </xf>
    <xf numFmtId="0" fontId="29" fillId="0" borderId="0" xfId="0" applyFont="1"/>
    <xf numFmtId="4" fontId="190" fillId="44" borderId="57" xfId="1525" applyFont="1" applyFill="1" applyBorder="1" applyAlignment="1">
      <alignment horizontal="center"/>
    </xf>
    <xf numFmtId="185" fontId="190" fillId="44" borderId="57" xfId="1525" applyNumberFormat="1" applyFont="1" applyFill="1" applyBorder="1" applyAlignment="1">
      <alignment horizontal="center"/>
    </xf>
    <xf numFmtId="0" fontId="190" fillId="44" borderId="57" xfId="0" quotePrefix="1" applyFont="1" applyFill="1" applyBorder="1" applyAlignment="1">
      <alignment horizontal="center"/>
    </xf>
    <xf numFmtId="179" fontId="190" fillId="44" borderId="8" xfId="1525" applyNumberFormat="1" applyFont="1" applyFill="1" applyBorder="1" applyAlignment="1">
      <alignment horizontal="center"/>
    </xf>
    <xf numFmtId="37" fontId="35" fillId="0" borderId="21" xfId="0" applyNumberFormat="1" applyFont="1" applyBorder="1" applyAlignment="1">
      <alignment horizontal="right"/>
    </xf>
    <xf numFmtId="5" fontId="37" fillId="0" borderId="57" xfId="0" applyNumberFormat="1" applyFont="1" applyBorder="1"/>
    <xf numFmtId="6" fontId="37" fillId="0" borderId="57" xfId="0" applyNumberFormat="1" applyFont="1" applyBorder="1"/>
    <xf numFmtId="37" fontId="37" fillId="0" borderId="57" xfId="0" applyNumberFormat="1" applyFont="1" applyBorder="1"/>
    <xf numFmtId="37" fontId="251" fillId="0" borderId="0" xfId="0" applyNumberFormat="1" applyFont="1"/>
    <xf numFmtId="3" fontId="35" fillId="0" borderId="76" xfId="1525" applyNumberFormat="1" applyFont="1" applyFill="1" applyBorder="1"/>
    <xf numFmtId="3" fontId="35" fillId="0" borderId="70" xfId="1525" applyNumberFormat="1" applyFont="1" applyBorder="1" applyAlignment="1">
      <alignment horizontal="left" indent="2"/>
    </xf>
    <xf numFmtId="3" fontId="35" fillId="0" borderId="70" xfId="1525" applyNumberFormat="1" applyFont="1" applyBorder="1"/>
    <xf numFmtId="3" fontId="35" fillId="0" borderId="70" xfId="1684" applyNumberFormat="1" applyFont="1" applyBorder="1"/>
    <xf numFmtId="3" fontId="35" fillId="0" borderId="70" xfId="0" applyNumberFormat="1" applyFont="1" applyBorder="1"/>
    <xf numFmtId="37" fontId="35" fillId="0" borderId="70" xfId="0" applyNumberFormat="1" applyFont="1" applyBorder="1"/>
    <xf numFmtId="244" fontId="35" fillId="0" borderId="0" xfId="0" applyNumberFormat="1" applyFont="1"/>
    <xf numFmtId="169" fontId="35" fillId="0" borderId="35" xfId="0" applyNumberFormat="1" applyFont="1" applyBorder="1"/>
    <xf numFmtId="169" fontId="35" fillId="0" borderId="11" xfId="0" applyNumberFormat="1" applyFont="1" applyBorder="1"/>
    <xf numFmtId="169" fontId="35" fillId="0" borderId="27" xfId="0" applyNumberFormat="1" applyFont="1" applyBorder="1"/>
    <xf numFmtId="204" fontId="35" fillId="0" borderId="0" xfId="1525" applyNumberFormat="1" applyFont="1" applyFill="1" applyAlignment="1" applyProtection="1">
      <alignment horizontal="right"/>
    </xf>
    <xf numFmtId="204" fontId="35" fillId="0" borderId="21" xfId="0" applyNumberFormat="1" applyFont="1" applyBorder="1"/>
    <xf numFmtId="189" fontId="0" fillId="0" borderId="0" xfId="0" applyNumberFormat="1" applyAlignment="1">
      <alignment horizontal="left" indent="1"/>
    </xf>
    <xf numFmtId="0" fontId="37" fillId="45" borderId="7" xfId="0" applyFont="1" applyFill="1" applyBorder="1"/>
    <xf numFmtId="0" fontId="37" fillId="45" borderId="6" xfId="0" applyFont="1" applyFill="1" applyBorder="1"/>
    <xf numFmtId="0" fontId="35" fillId="45" borderId="7" xfId="0" applyFont="1" applyFill="1" applyBorder="1"/>
    <xf numFmtId="3" fontId="35" fillId="0" borderId="21" xfId="1525" applyNumberFormat="1" applyFont="1" applyBorder="1"/>
    <xf numFmtId="189" fontId="35" fillId="0" borderId="21" xfId="0" applyNumberFormat="1" applyFont="1" applyBorder="1"/>
    <xf numFmtId="0" fontId="37" fillId="0" borderId="76" xfId="0" applyFont="1" applyBorder="1"/>
    <xf numFmtId="9" fontId="48" fillId="71" borderId="21" xfId="0" applyNumberFormat="1" applyFont="1" applyFill="1" applyBorder="1" applyAlignment="1">
      <alignment horizontal="right"/>
    </xf>
    <xf numFmtId="9" fontId="48" fillId="71" borderId="0" xfId="0" applyNumberFormat="1" applyFont="1" applyFill="1" applyAlignment="1">
      <alignment horizontal="right"/>
    </xf>
    <xf numFmtId="177" fontId="252" fillId="0" borderId="21" xfId="0" applyNumberFormat="1" applyFont="1" applyBorder="1"/>
    <xf numFmtId="281" fontId="186" fillId="0" borderId="21" xfId="0" applyNumberFormat="1" applyFont="1" applyBorder="1"/>
    <xf numFmtId="0" fontId="186" fillId="0" borderId="0" xfId="0" applyFont="1" applyAlignment="1">
      <alignment horizontal="right"/>
    </xf>
    <xf numFmtId="177" fontId="48" fillId="0" borderId="0" xfId="0" applyNumberFormat="1" applyFont="1" applyAlignment="1">
      <alignment horizontal="right"/>
    </xf>
    <xf numFmtId="177" fontId="186" fillId="0" borderId="0" xfId="0" applyNumberFormat="1" applyFont="1" applyAlignment="1">
      <alignment horizontal="right"/>
    </xf>
    <xf numFmtId="177" fontId="186" fillId="0" borderId="0" xfId="0" quotePrefix="1" applyNumberFormat="1" applyFont="1" applyAlignment="1">
      <alignment horizontal="right"/>
    </xf>
    <xf numFmtId="177" fontId="48" fillId="0" borderId="21" xfId="0" applyNumberFormat="1" applyFont="1" applyBorder="1" applyAlignment="1">
      <alignment horizontal="right"/>
    </xf>
    <xf numFmtId="9" fontId="186" fillId="0" borderId="21" xfId="1716" applyFont="1" applyFill="1" applyBorder="1"/>
    <xf numFmtId="4" fontId="35" fillId="0" borderId="7" xfId="1525" applyFont="1" applyFill="1" applyBorder="1"/>
    <xf numFmtId="8" fontId="252" fillId="0" borderId="0" xfId="0" applyNumberFormat="1" applyFont="1"/>
    <xf numFmtId="0" fontId="38" fillId="45" borderId="39" xfId="0" applyFont="1" applyFill="1" applyBorder="1"/>
    <xf numFmtId="37" fontId="37" fillId="45" borderId="4" xfId="0" applyNumberFormat="1" applyFont="1" applyFill="1" applyBorder="1"/>
    <xf numFmtId="37" fontId="37" fillId="45" borderId="43" xfId="0" applyNumberFormat="1" applyFont="1" applyFill="1" applyBorder="1"/>
    <xf numFmtId="0" fontId="38" fillId="45" borderId="31" xfId="0" applyFont="1" applyFill="1" applyBorder="1"/>
    <xf numFmtId="0" fontId="37" fillId="45" borderId="0" xfId="0" applyFont="1" applyFill="1"/>
    <xf numFmtId="0" fontId="37" fillId="45" borderId="36" xfId="0" applyFont="1" applyFill="1" applyBorder="1"/>
    <xf numFmtId="0" fontId="37" fillId="45" borderId="74" xfId="0" applyFont="1" applyFill="1" applyBorder="1"/>
    <xf numFmtId="0" fontId="37" fillId="45" borderId="31" xfId="0" applyFont="1" applyFill="1" applyBorder="1"/>
    <xf numFmtId="37" fontId="37" fillId="45" borderId="0" xfId="0" applyNumberFormat="1" applyFont="1" applyFill="1"/>
    <xf numFmtId="37" fontId="37" fillId="45" borderId="36" xfId="0" applyNumberFormat="1" applyFont="1" applyFill="1" applyBorder="1"/>
    <xf numFmtId="6" fontId="37" fillId="45" borderId="41" xfId="0" applyNumberFormat="1" applyFont="1" applyFill="1" applyBorder="1"/>
    <xf numFmtId="6" fontId="37" fillId="45" borderId="42" xfId="0" applyNumberFormat="1" applyFont="1" applyFill="1" applyBorder="1"/>
    <xf numFmtId="6" fontId="37" fillId="45" borderId="44" xfId="0" applyNumberFormat="1" applyFont="1" applyFill="1" applyBorder="1"/>
    <xf numFmtId="9" fontId="35" fillId="0" borderId="7" xfId="0" applyNumberFormat="1" applyFont="1" applyBorder="1"/>
    <xf numFmtId="37" fontId="35" fillId="0" borderId="57" xfId="0" applyNumberFormat="1" applyFont="1" applyBorder="1"/>
    <xf numFmtId="37" fontId="35" fillId="0" borderId="8" xfId="0" applyNumberFormat="1" applyFont="1" applyBorder="1"/>
    <xf numFmtId="0" fontId="35" fillId="0" borderId="31" xfId="0" applyFont="1" applyBorder="1" applyAlignment="1">
      <alignment horizontal="left"/>
    </xf>
    <xf numFmtId="0" fontId="35" fillId="0" borderId="76" xfId="0" applyFont="1" applyBorder="1" applyAlignment="1">
      <alignment horizontal="left"/>
    </xf>
    <xf numFmtId="0" fontId="35" fillId="0" borderId="59" xfId="0" applyFont="1" applyBorder="1"/>
    <xf numFmtId="5" fontId="35" fillId="0" borderId="59" xfId="0" applyNumberFormat="1" applyFont="1" applyBorder="1"/>
    <xf numFmtId="37" fontId="35" fillId="0" borderId="59" xfId="0" applyNumberFormat="1" applyFont="1" applyBorder="1"/>
    <xf numFmtId="10" fontId="35" fillId="0" borderId="0" xfId="1716" applyNumberFormat="1" applyFont="1" applyBorder="1"/>
    <xf numFmtId="10" fontId="35" fillId="0" borderId="0" xfId="0" applyNumberFormat="1" applyFont="1"/>
    <xf numFmtId="0" fontId="37" fillId="0" borderId="59" xfId="0" applyFont="1" applyBorder="1"/>
    <xf numFmtId="6" fontId="37" fillId="0" borderId="59" xfId="1559" applyNumberFormat="1" applyFont="1" applyBorder="1"/>
    <xf numFmtId="6" fontId="35" fillId="0" borderId="59" xfId="1559" applyNumberFormat="1" applyFont="1" applyFill="1" applyBorder="1"/>
    <xf numFmtId="6" fontId="37" fillId="0" borderId="59" xfId="1559" applyNumberFormat="1" applyFont="1" applyFill="1" applyBorder="1"/>
    <xf numFmtId="3" fontId="37" fillId="0" borderId="59" xfId="1559" applyNumberFormat="1" applyFont="1" applyBorder="1"/>
    <xf numFmtId="3" fontId="37" fillId="0" borderId="59" xfId="1559" applyNumberFormat="1" applyFont="1" applyFill="1" applyBorder="1"/>
    <xf numFmtId="3" fontId="37" fillId="52" borderId="57" xfId="1559" applyNumberFormat="1" applyFont="1" applyFill="1" applyBorder="1"/>
    <xf numFmtId="5" fontId="252" fillId="0" borderId="0" xfId="0" applyNumberFormat="1" applyFont="1"/>
    <xf numFmtId="5" fontId="251" fillId="0" borderId="0" xfId="0" applyNumberFormat="1" applyFont="1"/>
    <xf numFmtId="187" fontId="251" fillId="0" borderId="0" xfId="0" applyNumberFormat="1" applyFont="1"/>
    <xf numFmtId="1" fontId="251" fillId="0" borderId="0" xfId="0" applyNumberFormat="1" applyFont="1"/>
    <xf numFmtId="274" fontId="251" fillId="0" borderId="4" xfId="0" applyNumberFormat="1" applyFont="1" applyBorder="1"/>
    <xf numFmtId="274" fontId="251" fillId="0" borderId="0" xfId="0" applyNumberFormat="1" applyFont="1"/>
    <xf numFmtId="273" fontId="251" fillId="0" borderId="0" xfId="0" applyNumberFormat="1" applyFont="1"/>
    <xf numFmtId="189" fontId="251" fillId="0" borderId="0" xfId="0" applyNumberFormat="1" applyFont="1"/>
    <xf numFmtId="176" fontId="251" fillId="0" borderId="0" xfId="1525" applyNumberFormat="1" applyFont="1" applyFill="1" applyAlignment="1" applyProtection="1">
      <alignment horizontal="right"/>
    </xf>
    <xf numFmtId="176" fontId="251" fillId="0" borderId="0" xfId="1525" applyNumberFormat="1" applyFont="1" applyFill="1"/>
    <xf numFmtId="169" fontId="251" fillId="0" borderId="0" xfId="0" applyNumberFormat="1" applyFont="1" applyAlignment="1">
      <alignment horizontal="right"/>
    </xf>
    <xf numFmtId="9" fontId="251" fillId="0" borderId="0" xfId="0" applyNumberFormat="1" applyFont="1" applyAlignment="1">
      <alignment horizontal="right"/>
    </xf>
    <xf numFmtId="0" fontId="186" fillId="56" borderId="21" xfId="0" applyFont="1" applyFill="1" applyBorder="1" applyAlignment="1">
      <alignment horizontal="left" indent="1"/>
    </xf>
    <xf numFmtId="177" fontId="186" fillId="56" borderId="0" xfId="0" applyNumberFormat="1" applyFont="1" applyFill="1"/>
    <xf numFmtId="169" fontId="186" fillId="56" borderId="21" xfId="0" applyNumberFormat="1" applyFont="1" applyFill="1" applyBorder="1"/>
    <xf numFmtId="177" fontId="186" fillId="56" borderId="21" xfId="0" applyNumberFormat="1" applyFont="1" applyFill="1" applyBorder="1"/>
    <xf numFmtId="0" fontId="252" fillId="0" borderId="59" xfId="0" applyFont="1" applyBorder="1" applyAlignment="1">
      <alignment horizontal="centerContinuous"/>
    </xf>
    <xf numFmtId="0" fontId="252" fillId="0" borderId="59" xfId="0" applyFont="1" applyBorder="1"/>
    <xf numFmtId="9" fontId="48" fillId="71" borderId="37" xfId="0" applyNumberFormat="1" applyFont="1" applyFill="1" applyBorder="1" applyAlignment="1">
      <alignment horizontal="right"/>
    </xf>
    <xf numFmtId="169" fontId="252" fillId="0" borderId="21" xfId="0" applyNumberFormat="1" applyFont="1" applyBorder="1" applyAlignment="1">
      <alignment horizontal="right"/>
    </xf>
    <xf numFmtId="169" fontId="48" fillId="71" borderId="0" xfId="0" applyNumberFormat="1" applyFont="1" applyFill="1" applyAlignment="1">
      <alignment horizontal="right"/>
    </xf>
    <xf numFmtId="169" fontId="48" fillId="71" borderId="37" xfId="0" applyNumberFormat="1" applyFont="1" applyFill="1" applyBorder="1" applyAlignment="1">
      <alignment horizontal="right"/>
    </xf>
    <xf numFmtId="9" fontId="35" fillId="0" borderId="21" xfId="1716" applyFont="1" applyFill="1" applyBorder="1" applyAlignment="1" applyProtection="1">
      <alignment horizontal="right"/>
    </xf>
    <xf numFmtId="9" fontId="251" fillId="0" borderId="21" xfId="0" applyNumberFormat="1" applyFont="1" applyBorder="1" applyAlignment="1">
      <alignment horizontal="right"/>
    </xf>
    <xf numFmtId="3" fontId="251" fillId="0" borderId="0" xfId="1525" applyNumberFormat="1" applyFont="1" applyFill="1" applyAlignment="1" applyProtection="1">
      <alignment horizontal="right"/>
    </xf>
    <xf numFmtId="8" fontId="251" fillId="0" borderId="0" xfId="0" applyNumberFormat="1" applyFont="1"/>
    <xf numFmtId="3" fontId="37" fillId="52" borderId="0" xfId="1559" applyNumberFormat="1" applyFont="1" applyFill="1" applyBorder="1"/>
    <xf numFmtId="4" fontId="37" fillId="0" borderId="31" xfId="1525" applyFont="1" applyFill="1" applyBorder="1"/>
    <xf numFmtId="4" fontId="38" fillId="0" borderId="31" xfId="1525" applyFont="1" applyFill="1" applyBorder="1"/>
    <xf numFmtId="279" fontId="35" fillId="0" borderId="0" xfId="2895" applyNumberFormat="1" applyFont="1" applyFill="1" applyBorder="1"/>
    <xf numFmtId="277" fontId="35" fillId="0" borderId="0" xfId="2895" applyNumberFormat="1" applyFont="1" applyFill="1" applyBorder="1"/>
    <xf numFmtId="177" fontId="252" fillId="0" borderId="0" xfId="0" applyNumberFormat="1" applyFont="1"/>
    <xf numFmtId="176" fontId="252" fillId="0" borderId="0" xfId="1525" applyNumberFormat="1" applyFont="1" applyFill="1" applyAlignment="1" applyProtection="1">
      <alignment horizontal="right"/>
    </xf>
    <xf numFmtId="176" fontId="252" fillId="0" borderId="21" xfId="1525" applyNumberFormat="1" applyFont="1" applyFill="1" applyBorder="1"/>
    <xf numFmtId="169" fontId="48" fillId="71" borderId="21" xfId="0" applyNumberFormat="1" applyFont="1" applyFill="1" applyBorder="1" applyAlignment="1">
      <alignment horizontal="right"/>
    </xf>
    <xf numFmtId="39" fontId="186" fillId="0" borderId="0" xfId="0" applyNumberFormat="1" applyFont="1"/>
    <xf numFmtId="39" fontId="186" fillId="0" borderId="21" xfId="0" applyNumberFormat="1" applyFont="1" applyBorder="1"/>
    <xf numFmtId="37" fontId="251" fillId="0" borderId="21" xfId="0" applyNumberFormat="1" applyFont="1" applyBorder="1"/>
    <xf numFmtId="37" fontId="267" fillId="0" borderId="21" xfId="0" applyNumberFormat="1" applyFont="1" applyBorder="1"/>
    <xf numFmtId="1" fontId="251" fillId="0" borderId="21" xfId="0" applyNumberFormat="1" applyFont="1" applyBorder="1"/>
    <xf numFmtId="38" fontId="251" fillId="0" borderId="0" xfId="0" applyNumberFormat="1" applyFont="1" applyAlignment="1">
      <alignment horizontal="right" indent="1"/>
    </xf>
    <xf numFmtId="4" fontId="251" fillId="0" borderId="0" xfId="1525" applyFont="1" applyFill="1" applyBorder="1"/>
    <xf numFmtId="4" fontId="251" fillId="0" borderId="21" xfId="1525" applyFont="1" applyFill="1" applyBorder="1"/>
    <xf numFmtId="274" fontId="251" fillId="0" borderId="8" xfId="0" applyNumberFormat="1" applyFont="1" applyBorder="1"/>
    <xf numFmtId="274" fontId="251" fillId="0" borderId="21" xfId="0" applyNumberFormat="1" applyFont="1" applyBorder="1"/>
    <xf numFmtId="0" fontId="251" fillId="0" borderId="0" xfId="0" applyFont="1"/>
    <xf numFmtId="37" fontId="251" fillId="0" borderId="73" xfId="0" applyNumberFormat="1" applyFont="1" applyBorder="1"/>
    <xf numFmtId="264" fontId="48" fillId="45" borderId="0" xfId="0" applyNumberFormat="1" applyFont="1" applyFill="1"/>
    <xf numFmtId="264" fontId="48" fillId="45" borderId="37" xfId="0" applyNumberFormat="1" applyFont="1" applyFill="1" applyBorder="1"/>
    <xf numFmtId="38" fontId="251" fillId="0" borderId="0" xfId="0" applyNumberFormat="1" applyFont="1"/>
    <xf numFmtId="168" fontId="251" fillId="0" borderId="0" xfId="0" applyNumberFormat="1" applyFont="1" applyAlignment="1">
      <alignment horizontal="left" indent="1"/>
    </xf>
    <xf numFmtId="1" fontId="251" fillId="0" borderId="0" xfId="0" applyNumberFormat="1" applyFont="1" applyAlignment="1">
      <alignment horizontal="left" indent="1"/>
    </xf>
    <xf numFmtId="38" fontId="251" fillId="0" borderId="0" xfId="0" applyNumberFormat="1" applyFont="1" applyAlignment="1">
      <alignment horizontal="left" indent="1"/>
    </xf>
    <xf numFmtId="167" fontId="251" fillId="0" borderId="0" xfId="0" applyNumberFormat="1" applyFont="1"/>
    <xf numFmtId="168" fontId="268" fillId="0" borderId="0" xfId="0" applyNumberFormat="1" applyFont="1"/>
    <xf numFmtId="6" fontId="251" fillId="0" borderId="0" xfId="0" applyNumberFormat="1" applyFont="1"/>
    <xf numFmtId="168" fontId="251" fillId="0" borderId="0" xfId="0" applyNumberFormat="1" applyFont="1"/>
    <xf numFmtId="3" fontId="251" fillId="0" borderId="0" xfId="0" applyNumberFormat="1" applyFont="1"/>
    <xf numFmtId="2" fontId="251" fillId="0" borderId="0" xfId="0" applyNumberFormat="1" applyFont="1"/>
    <xf numFmtId="179" fontId="251" fillId="0" borderId="0" xfId="0" applyNumberFormat="1" applyFont="1"/>
    <xf numFmtId="170" fontId="251" fillId="0" borderId="4" xfId="0" applyNumberFormat="1" applyFont="1" applyBorder="1"/>
    <xf numFmtId="184" fontId="251" fillId="0" borderId="4" xfId="0" applyNumberFormat="1" applyFont="1" applyBorder="1"/>
    <xf numFmtId="170" fontId="251" fillId="0" borderId="0" xfId="0" applyNumberFormat="1" applyFont="1"/>
    <xf numFmtId="184" fontId="251" fillId="0" borderId="0" xfId="0" applyNumberFormat="1" applyFont="1"/>
    <xf numFmtId="7" fontId="251" fillId="0" borderId="0" xfId="0" applyNumberFormat="1" applyFont="1"/>
    <xf numFmtId="8" fontId="330" fillId="0" borderId="11" xfId="1559" applyFont="1" applyBorder="1"/>
    <xf numFmtId="0" fontId="251" fillId="0" borderId="31" xfId="0" applyFont="1" applyBorder="1"/>
    <xf numFmtId="169" fontId="251" fillId="0" borderId="0" xfId="1716" applyNumberFormat="1" applyFont="1" applyBorder="1"/>
    <xf numFmtId="169" fontId="267" fillId="0" borderId="0" xfId="1716" applyNumberFormat="1" applyFont="1" applyBorder="1"/>
    <xf numFmtId="0" fontId="251" fillId="0" borderId="11" xfId="0" applyFont="1" applyBorder="1"/>
    <xf numFmtId="4" fontId="251" fillId="0" borderId="29" xfId="1525" applyFont="1" applyFill="1" applyBorder="1"/>
    <xf numFmtId="37" fontId="251" fillId="0" borderId="0" xfId="0" applyNumberFormat="1" applyFont="1" applyAlignment="1">
      <alignment horizontal="right"/>
    </xf>
    <xf numFmtId="168" fontId="251" fillId="0" borderId="21" xfId="0" applyNumberFormat="1" applyFont="1" applyBorder="1" applyAlignment="1">
      <alignment horizontal="right" indent="1"/>
    </xf>
    <xf numFmtId="1" fontId="35" fillId="0" borderId="36" xfId="0" applyNumberFormat="1" applyFont="1" applyBorder="1"/>
    <xf numFmtId="37" fontId="251" fillId="0" borderId="0" xfId="0" applyNumberFormat="1" applyFont="1" applyAlignment="1">
      <alignment horizontal="right" indent="1"/>
    </xf>
    <xf numFmtId="37" fontId="35" fillId="0" borderId="0" xfId="0" applyNumberFormat="1" applyFont="1" applyAlignment="1">
      <alignment horizontal="right" indent="1"/>
    </xf>
    <xf numFmtId="187" fontId="35" fillId="55" borderId="0" xfId="0" applyNumberFormat="1" applyFont="1" applyFill="1"/>
    <xf numFmtId="8" fontId="35" fillId="55" borderId="0" xfId="1559" applyFont="1" applyFill="1" applyBorder="1"/>
    <xf numFmtId="4" fontId="35" fillId="0" borderId="31" xfId="1525" applyFont="1" applyBorder="1"/>
    <xf numFmtId="189" fontId="35" fillId="0" borderId="57" xfId="1525" applyNumberFormat="1" applyFont="1" applyBorder="1"/>
    <xf numFmtId="189" fontId="35" fillId="0" borderId="58" xfId="1525" applyNumberFormat="1" applyFont="1" applyBorder="1"/>
    <xf numFmtId="0" fontId="35" fillId="0" borderId="76" xfId="1687" applyFont="1" applyBorder="1"/>
    <xf numFmtId="188" fontId="35" fillId="0" borderId="59" xfId="1687" applyNumberFormat="1" applyFont="1" applyBorder="1"/>
    <xf numFmtId="8" fontId="35" fillId="0" borderId="59" xfId="1559" applyFont="1" applyFill="1" applyBorder="1"/>
    <xf numFmtId="8" fontId="35" fillId="0" borderId="76" xfId="1559" applyFont="1" applyFill="1" applyBorder="1"/>
    <xf numFmtId="4" fontId="251" fillId="0" borderId="7" xfId="1525" applyFont="1" applyFill="1" applyBorder="1"/>
    <xf numFmtId="9" fontId="186" fillId="0" borderId="21" xfId="1716" applyFont="1" applyBorder="1"/>
    <xf numFmtId="44" fontId="259" fillId="0" borderId="21" xfId="1525" applyNumberFormat="1" applyFont="1" applyFill="1" applyBorder="1" applyAlignment="1">
      <alignment horizontal="left" indent="4"/>
    </xf>
    <xf numFmtId="10" fontId="35" fillId="0" borderId="0" xfId="1525" applyNumberFormat="1" applyFont="1" applyFill="1" applyBorder="1"/>
    <xf numFmtId="10" fontId="35" fillId="0" borderId="0" xfId="1525" applyNumberFormat="1" applyFont="1" applyFill="1" applyBorder="1" applyAlignment="1"/>
    <xf numFmtId="10" fontId="35" fillId="0" borderId="21" xfId="1716" applyNumberFormat="1" applyFont="1" applyBorder="1"/>
    <xf numFmtId="169" fontId="35" fillId="0" borderId="0" xfId="1716" applyNumberFormat="1" applyFont="1" applyFill="1" applyBorder="1" applyAlignment="1"/>
    <xf numFmtId="169" fontId="35" fillId="0" borderId="11" xfId="1716" applyNumberFormat="1" applyFont="1" applyBorder="1"/>
    <xf numFmtId="169" fontId="35" fillId="0" borderId="11" xfId="1716" applyNumberFormat="1" applyFont="1" applyFill="1" applyBorder="1" applyAlignment="1"/>
    <xf numFmtId="169" fontId="35" fillId="0" borderId="27" xfId="1716" applyNumberFormat="1" applyFont="1" applyFill="1" applyBorder="1"/>
    <xf numFmtId="176" fontId="37" fillId="45" borderId="7" xfId="1525" applyNumberFormat="1" applyFont="1" applyFill="1" applyBorder="1"/>
    <xf numFmtId="176" fontId="37" fillId="45" borderId="7" xfId="1525" applyNumberFormat="1" applyFont="1" applyFill="1" applyBorder="1" applyAlignment="1"/>
    <xf numFmtId="8" fontId="37" fillId="45" borderId="6" xfId="1525" applyNumberFormat="1" applyFont="1" applyFill="1" applyBorder="1"/>
    <xf numFmtId="8" fontId="37" fillId="45" borderId="7" xfId="1525" applyNumberFormat="1" applyFont="1" applyFill="1" applyBorder="1"/>
    <xf numFmtId="178" fontId="35" fillId="45" borderId="7" xfId="0" applyNumberFormat="1" applyFont="1" applyFill="1" applyBorder="1"/>
    <xf numFmtId="169" fontId="35" fillId="45" borderId="7" xfId="0" applyNumberFormat="1" applyFont="1" applyFill="1" applyBorder="1"/>
    <xf numFmtId="169" fontId="37" fillId="45" borderId="6" xfId="1716" applyNumberFormat="1" applyFont="1" applyFill="1" applyBorder="1"/>
    <xf numFmtId="170" fontId="35" fillId="0" borderId="7" xfId="0" applyNumberFormat="1" applyFont="1" applyBorder="1"/>
    <xf numFmtId="169" fontId="37" fillId="45" borderId="7" xfId="1716" applyNumberFormat="1" applyFont="1" applyFill="1" applyBorder="1"/>
    <xf numFmtId="0" fontId="37" fillId="45" borderId="7" xfId="0" applyFont="1" applyFill="1" applyBorder="1" applyAlignment="1">
      <alignment horizontal="center"/>
    </xf>
    <xf numFmtId="9" fontId="37" fillId="45" borderId="7" xfId="0" applyNumberFormat="1" applyFont="1" applyFill="1" applyBorder="1" applyAlignment="1">
      <alignment horizontal="center"/>
    </xf>
    <xf numFmtId="178" fontId="37" fillId="45" borderId="6" xfId="0" applyNumberFormat="1" applyFont="1" applyFill="1" applyBorder="1"/>
    <xf numFmtId="2" fontId="37" fillId="45" borderId="7" xfId="0" applyNumberFormat="1" applyFont="1" applyFill="1" applyBorder="1"/>
    <xf numFmtId="5" fontId="37" fillId="45" borderId="7" xfId="0" applyNumberFormat="1" applyFont="1" applyFill="1" applyBorder="1"/>
    <xf numFmtId="168" fontId="37" fillId="45" borderId="7" xfId="0" applyNumberFormat="1" applyFont="1" applyFill="1" applyBorder="1"/>
    <xf numFmtId="9" fontId="37" fillId="45" borderId="7" xfId="0" applyNumberFormat="1" applyFont="1" applyFill="1" applyBorder="1"/>
    <xf numFmtId="4" fontId="37" fillId="45" borderId="29" xfId="1525" applyFont="1" applyFill="1" applyBorder="1"/>
    <xf numFmtId="185" fontId="37" fillId="45" borderId="7" xfId="1525" applyNumberFormat="1" applyFont="1" applyFill="1" applyBorder="1" applyAlignment="1">
      <alignment horizontal="right"/>
    </xf>
    <xf numFmtId="4" fontId="37" fillId="45" borderId="7" xfId="1525" applyFont="1" applyFill="1" applyBorder="1" applyAlignment="1">
      <alignment horizontal="right"/>
    </xf>
    <xf numFmtId="0" fontId="37" fillId="45" borderId="6" xfId="1525" quotePrefix="1" applyNumberFormat="1" applyFont="1" applyFill="1" applyBorder="1" applyAlignment="1">
      <alignment horizontal="right"/>
    </xf>
    <xf numFmtId="185" fontId="37" fillId="45" borderId="29" xfId="1525" applyNumberFormat="1" applyFont="1" applyFill="1" applyBorder="1" applyAlignment="1">
      <alignment horizontal="right"/>
    </xf>
    <xf numFmtId="4" fontId="37" fillId="45" borderId="7" xfId="1525" applyFont="1" applyFill="1" applyBorder="1"/>
    <xf numFmtId="0" fontId="37" fillId="45" borderId="7" xfId="1525" quotePrefix="1" applyNumberFormat="1" applyFont="1" applyFill="1" applyBorder="1" applyAlignment="1">
      <alignment horizontal="right"/>
    </xf>
    <xf numFmtId="165" fontId="35" fillId="0" borderId="59" xfId="1559" applyNumberFormat="1" applyFont="1" applyFill="1" applyBorder="1" applyAlignment="1">
      <alignment horizontal="center" vertical="center"/>
    </xf>
    <xf numFmtId="165" fontId="35" fillId="0" borderId="27" xfId="1559" applyNumberFormat="1" applyFont="1" applyFill="1" applyBorder="1"/>
    <xf numFmtId="266" fontId="35" fillId="0" borderId="59" xfId="1559" applyNumberFormat="1" applyFont="1" applyFill="1" applyBorder="1" applyAlignment="1">
      <alignment horizontal="center" vertical="center"/>
    </xf>
    <xf numFmtId="187" fontId="251" fillId="0" borderId="21" xfId="0" applyNumberFormat="1" applyFont="1" applyBorder="1"/>
    <xf numFmtId="177" fontId="251" fillId="55" borderId="0" xfId="0" applyNumberFormat="1" applyFont="1" applyFill="1"/>
    <xf numFmtId="169" fontId="251" fillId="0" borderId="0" xfId="1716" applyNumberFormat="1" applyFont="1" applyFill="1" applyBorder="1"/>
    <xf numFmtId="0" fontId="63" fillId="0" borderId="0" xfId="0" applyFont="1" applyAlignment="1">
      <alignment horizontal="left" indent="1"/>
    </xf>
    <xf numFmtId="176" fontId="63" fillId="0" borderId="0" xfId="1525" applyNumberFormat="1" applyFont="1" applyFill="1" applyBorder="1"/>
    <xf numFmtId="176" fontId="63" fillId="0" borderId="0" xfId="1525" applyNumberFormat="1" applyFont="1" applyFill="1"/>
    <xf numFmtId="176" fontId="35" fillId="0" borderId="0" xfId="1525" applyNumberFormat="1" applyFont="1"/>
    <xf numFmtId="189" fontId="206" fillId="55" borderId="0" xfId="1545" applyNumberFormat="1" applyFont="1" applyFill="1" applyBorder="1" applyAlignment="1">
      <alignment horizontal="right"/>
    </xf>
    <xf numFmtId="189" fontId="206" fillId="55" borderId="0" xfId="1545" applyNumberFormat="1" applyFont="1" applyFill="1" applyBorder="1"/>
    <xf numFmtId="4" fontId="194" fillId="45" borderId="29" xfId="1525" applyFont="1" applyFill="1" applyBorder="1"/>
    <xf numFmtId="4" fontId="194" fillId="45" borderId="7" xfId="1525" applyFont="1" applyFill="1" applyBorder="1"/>
    <xf numFmtId="0" fontId="35" fillId="45" borderId="72" xfId="0" applyFont="1" applyFill="1" applyBorder="1"/>
    <xf numFmtId="0" fontId="35" fillId="45" borderId="7" xfId="0" applyFont="1" applyFill="1" applyBorder="1" applyAlignment="1">
      <alignment horizontal="right"/>
    </xf>
    <xf numFmtId="0" fontId="35" fillId="45" borderId="72" xfId="0" applyFont="1" applyFill="1" applyBorder="1" applyAlignment="1">
      <alignment horizontal="right"/>
    </xf>
    <xf numFmtId="37" fontId="35" fillId="45" borderId="7" xfId="0" applyNumberFormat="1" applyFont="1" applyFill="1" applyBorder="1"/>
    <xf numFmtId="169" fontId="35" fillId="45" borderId="7" xfId="1716" applyNumberFormat="1" applyFont="1" applyFill="1" applyBorder="1"/>
    <xf numFmtId="37" fontId="35" fillId="45" borderId="83" xfId="0" applyNumberFormat="1" applyFont="1" applyFill="1" applyBorder="1"/>
    <xf numFmtId="37" fontId="35" fillId="45" borderId="72" xfId="0" applyNumberFormat="1" applyFont="1" applyFill="1" applyBorder="1"/>
    <xf numFmtId="0" fontId="37" fillId="45" borderId="29" xfId="1687" applyFont="1" applyFill="1" applyBorder="1"/>
    <xf numFmtId="0" fontId="37" fillId="45" borderId="7" xfId="1687" applyFont="1" applyFill="1" applyBorder="1"/>
    <xf numFmtId="0" fontId="194" fillId="45" borderId="29" xfId="1687" applyFont="1" applyFill="1" applyBorder="1"/>
    <xf numFmtId="0" fontId="194" fillId="45" borderId="7" xfId="1687" applyFont="1" applyFill="1" applyBorder="1"/>
    <xf numFmtId="3" fontId="35" fillId="45" borderId="72" xfId="0" applyNumberFormat="1" applyFont="1" applyFill="1" applyBorder="1"/>
    <xf numFmtId="38" fontId="35" fillId="45" borderId="7" xfId="0" applyNumberFormat="1" applyFont="1" applyFill="1" applyBorder="1"/>
    <xf numFmtId="38" fontId="194" fillId="45" borderId="29" xfId="1687" applyNumberFormat="1" applyFont="1" applyFill="1" applyBorder="1"/>
    <xf numFmtId="38" fontId="194" fillId="45" borderId="7" xfId="1687" applyNumberFormat="1" applyFont="1" applyFill="1" applyBorder="1"/>
    <xf numFmtId="38" fontId="37" fillId="45" borderId="7" xfId="1525" applyNumberFormat="1" applyFont="1" applyFill="1" applyBorder="1"/>
    <xf numFmtId="38" fontId="35" fillId="45" borderId="72" xfId="0" applyNumberFormat="1" applyFont="1" applyFill="1" applyBorder="1"/>
    <xf numFmtId="0" fontId="229" fillId="44" borderId="29" xfId="1687" applyFont="1" applyFill="1" applyBorder="1"/>
    <xf numFmtId="0" fontId="229" fillId="44" borderId="7" xfId="1687" applyFont="1" applyFill="1" applyBorder="1"/>
    <xf numFmtId="38" fontId="257" fillId="44" borderId="7" xfId="0" applyNumberFormat="1" applyFont="1" applyFill="1" applyBorder="1"/>
    <xf numFmtId="0" fontId="257" fillId="44" borderId="7" xfId="0" applyFont="1" applyFill="1" applyBorder="1"/>
    <xf numFmtId="0" fontId="257" fillId="44" borderId="72" xfId="0" applyFont="1" applyFill="1" applyBorder="1"/>
    <xf numFmtId="37" fontId="257" fillId="44" borderId="7" xfId="0" applyNumberFormat="1" applyFont="1" applyFill="1" applyBorder="1"/>
    <xf numFmtId="9" fontId="35" fillId="45" borderId="7" xfId="0" applyNumberFormat="1" applyFont="1" applyFill="1" applyBorder="1"/>
    <xf numFmtId="39" fontId="35" fillId="45" borderId="7" xfId="0" applyNumberFormat="1" applyFont="1" applyFill="1" applyBorder="1"/>
    <xf numFmtId="165" fontId="251" fillId="0" borderId="7" xfId="0" applyNumberFormat="1" applyFont="1" applyBorder="1"/>
    <xf numFmtId="179" fontId="190" fillId="44" borderId="92" xfId="1525" applyNumberFormat="1" applyFont="1" applyFill="1" applyBorder="1" applyAlignment="1">
      <alignment horizontal="center"/>
    </xf>
    <xf numFmtId="179" fontId="190" fillId="44" borderId="7" xfId="1525" applyNumberFormat="1" applyFont="1" applyFill="1" applyBorder="1" applyAlignment="1">
      <alignment horizontal="center"/>
    </xf>
    <xf numFmtId="4" fontId="190" fillId="44" borderId="7" xfId="1525" applyFont="1" applyFill="1" applyBorder="1" applyAlignment="1">
      <alignment horizontal="center"/>
    </xf>
    <xf numFmtId="185" fontId="190" fillId="44" borderId="7" xfId="1525" applyNumberFormat="1" applyFont="1" applyFill="1" applyBorder="1" applyAlignment="1">
      <alignment horizontal="center"/>
    </xf>
    <xf numFmtId="0" fontId="190" fillId="44" borderId="7" xfId="0" quotePrefix="1" applyFont="1" applyFill="1" applyBorder="1" applyAlignment="1">
      <alignment horizontal="center"/>
    </xf>
    <xf numFmtId="179" fontId="190" fillId="44" borderId="72" xfId="1525" applyNumberFormat="1" applyFont="1" applyFill="1" applyBorder="1" applyAlignment="1">
      <alignment horizontal="center"/>
    </xf>
    <xf numFmtId="179" fontId="190" fillId="44" borderId="83" xfId="1525" applyNumberFormat="1" applyFont="1" applyFill="1" applyBorder="1" applyAlignment="1">
      <alignment horizontal="center"/>
    </xf>
    <xf numFmtId="187" fontId="251" fillId="0" borderId="8" xfId="0" applyNumberFormat="1" applyFont="1" applyBorder="1"/>
    <xf numFmtId="8" fontId="37" fillId="0" borderId="29" xfId="1559" applyFont="1" applyFill="1" applyBorder="1"/>
    <xf numFmtId="8" fontId="37" fillId="0" borderId="7" xfId="1559" applyFont="1" applyFill="1" applyBorder="1"/>
    <xf numFmtId="8" fontId="37" fillId="0" borderId="6" xfId="1559" applyFont="1" applyFill="1" applyBorder="1"/>
    <xf numFmtId="4" fontId="251" fillId="49" borderId="76" xfId="1525" applyFont="1" applyFill="1" applyBorder="1"/>
    <xf numFmtId="4" fontId="251" fillId="49" borderId="59" xfId="1525" applyFont="1" applyFill="1" applyBorder="1"/>
    <xf numFmtId="187" fontId="251" fillId="0" borderId="39" xfId="0" applyNumberFormat="1" applyFont="1" applyBorder="1"/>
    <xf numFmtId="187" fontId="251" fillId="0" borderId="57" xfId="0" applyNumberFormat="1" applyFont="1" applyBorder="1"/>
    <xf numFmtId="274" fontId="35" fillId="0" borderId="57" xfId="0" applyNumberFormat="1" applyFont="1" applyBorder="1"/>
    <xf numFmtId="187" fontId="251" fillId="0" borderId="31" xfId="0" applyNumberFormat="1" applyFont="1" applyBorder="1"/>
    <xf numFmtId="169" fontId="35" fillId="0" borderId="76" xfId="0" applyNumberFormat="1" applyFont="1" applyBorder="1"/>
    <xf numFmtId="169" fontId="35" fillId="0" borderId="59" xfId="0" applyNumberFormat="1" applyFont="1" applyBorder="1"/>
    <xf numFmtId="188" fontId="35" fillId="0" borderId="0" xfId="1687" applyNumberFormat="1" applyFont="1"/>
    <xf numFmtId="37" fontId="35" fillId="0" borderId="0" xfId="1559" applyNumberFormat="1" applyFont="1" applyFill="1" applyBorder="1"/>
    <xf numFmtId="165" fontId="35" fillId="0" borderId="0" xfId="1559" applyNumberFormat="1" applyFont="1" applyFill="1" applyBorder="1" applyAlignment="1">
      <alignment horizontal="center" vertical="center"/>
    </xf>
    <xf numFmtId="165" fontId="35" fillId="0" borderId="0" xfId="1559" applyNumberFormat="1" applyFont="1" applyFill="1" applyBorder="1"/>
    <xf numFmtId="266" fontId="35" fillId="0" borderId="0" xfId="1559" applyNumberFormat="1" applyFont="1" applyFill="1" applyBorder="1" applyAlignment="1">
      <alignment horizontal="center" vertical="center"/>
    </xf>
    <xf numFmtId="266" fontId="35" fillId="0" borderId="0" xfId="1559" applyNumberFormat="1" applyFont="1" applyFill="1" applyBorder="1"/>
    <xf numFmtId="189" fontId="251" fillId="0" borderId="21" xfId="1687" applyNumberFormat="1" applyFont="1" applyBorder="1"/>
    <xf numFmtId="273" fontId="251" fillId="0" borderId="21" xfId="0" applyNumberFormat="1" applyFont="1" applyBorder="1"/>
    <xf numFmtId="3" fontId="35" fillId="0" borderId="21" xfId="1525" applyNumberFormat="1" applyFont="1" applyFill="1" applyBorder="1"/>
    <xf numFmtId="3" fontId="35" fillId="0" borderId="37" xfId="1525" applyNumberFormat="1" applyFont="1" applyFill="1" applyBorder="1"/>
    <xf numFmtId="187" fontId="331" fillId="0" borderId="21" xfId="0" applyNumberFormat="1" applyFont="1" applyBorder="1"/>
    <xf numFmtId="37" fontId="252" fillId="0" borderId="21" xfId="0" applyNumberFormat="1" applyFont="1" applyBorder="1"/>
    <xf numFmtId="9" fontId="48" fillId="0" borderId="31" xfId="0" applyNumberFormat="1" applyFont="1" applyBorder="1" applyAlignment="1">
      <alignment horizontal="right"/>
    </xf>
    <xf numFmtId="9" fontId="35" fillId="0" borderId="31" xfId="0" applyNumberFormat="1" applyFont="1" applyBorder="1" applyAlignment="1">
      <alignment horizontal="right"/>
    </xf>
    <xf numFmtId="169" fontId="35" fillId="0" borderId="31" xfId="0" applyNumberFormat="1" applyFont="1" applyBorder="1" applyAlignment="1">
      <alignment horizontal="right"/>
    </xf>
    <xf numFmtId="169" fontId="37" fillId="0" borderId="59" xfId="0" applyNumberFormat="1" applyFont="1" applyBorder="1" applyAlignment="1">
      <alignment horizontal="right"/>
    </xf>
    <xf numFmtId="7" fontId="252" fillId="0" borderId="59" xfId="0" applyNumberFormat="1" applyFont="1" applyBorder="1"/>
    <xf numFmtId="10" fontId="35" fillId="0" borderId="0" xfId="0" applyNumberFormat="1" applyFont="1" applyAlignment="1">
      <alignment horizontal="right"/>
    </xf>
    <xf numFmtId="9" fontId="251" fillId="71" borderId="0" xfId="1716" applyFont="1" applyFill="1"/>
    <xf numFmtId="9" fontId="48" fillId="0" borderId="37" xfId="0" applyNumberFormat="1" applyFont="1" applyBorder="1" applyAlignment="1">
      <alignment horizontal="right"/>
    </xf>
    <xf numFmtId="169" fontId="48" fillId="0" borderId="37" xfId="0" applyNumberFormat="1" applyFont="1" applyBorder="1" applyAlignment="1">
      <alignment horizontal="right"/>
    </xf>
    <xf numFmtId="9" fontId="35" fillId="0" borderId="37" xfId="0" applyNumberFormat="1" applyFont="1" applyBorder="1" applyAlignment="1">
      <alignment horizontal="right"/>
    </xf>
    <xf numFmtId="9" fontId="252" fillId="0" borderId="37" xfId="0" applyNumberFormat="1" applyFont="1" applyBorder="1" applyAlignment="1">
      <alignment horizontal="right"/>
    </xf>
    <xf numFmtId="9" fontId="251" fillId="0" borderId="21" xfId="0" applyNumberFormat="1" applyFont="1" applyBorder="1"/>
    <xf numFmtId="8" fontId="35" fillId="0" borderId="73" xfId="0" applyNumberFormat="1" applyFont="1" applyBorder="1"/>
    <xf numFmtId="0" fontId="35" fillId="0" borderId="73" xfId="0" applyFont="1" applyBorder="1"/>
    <xf numFmtId="37" fontId="35" fillId="0" borderId="73" xfId="0" applyNumberFormat="1" applyFont="1" applyBorder="1"/>
    <xf numFmtId="37" fontId="35" fillId="0" borderId="96" xfId="0" applyNumberFormat="1" applyFont="1" applyBorder="1"/>
    <xf numFmtId="37" fontId="252" fillId="0" borderId="0" xfId="0" applyNumberFormat="1" applyFont="1"/>
    <xf numFmtId="320" fontId="251" fillId="0" borderId="21" xfId="0" applyNumberFormat="1" applyFont="1" applyBorder="1"/>
    <xf numFmtId="177" fontId="251" fillId="0" borderId="0" xfId="0" quotePrefix="1" applyNumberFormat="1" applyFont="1"/>
    <xf numFmtId="177" fontId="232" fillId="0" borderId="21" xfId="0" applyNumberFormat="1" applyFont="1" applyBorder="1"/>
    <xf numFmtId="0" fontId="343" fillId="0" borderId="21" xfId="0" applyFont="1" applyBorder="1" applyAlignment="1">
      <alignment horizontal="left" indent="1"/>
    </xf>
    <xf numFmtId="177" fontId="344" fillId="0" borderId="0" xfId="0" applyNumberFormat="1" applyFont="1"/>
    <xf numFmtId="177" fontId="344" fillId="0" borderId="21" xfId="0" applyNumberFormat="1" applyFont="1" applyBorder="1"/>
    <xf numFmtId="9" fontId="344" fillId="0" borderId="0" xfId="0" applyNumberFormat="1" applyFont="1"/>
    <xf numFmtId="0" fontId="344" fillId="0" borderId="21" xfId="0" applyFont="1" applyBorder="1" applyAlignment="1">
      <alignment horizontal="left" indent="1"/>
    </xf>
    <xf numFmtId="0" fontId="344" fillId="0" borderId="21" xfId="0" applyFont="1" applyBorder="1"/>
    <xf numFmtId="0" fontId="345" fillId="0" borderId="21" xfId="0" applyFont="1" applyBorder="1" applyAlignment="1">
      <alignment horizontal="left" indent="1"/>
    </xf>
    <xf numFmtId="0" fontId="346" fillId="0" borderId="21" xfId="0" applyFont="1" applyBorder="1" applyAlignment="1">
      <alignment horizontal="left" indent="1"/>
    </xf>
    <xf numFmtId="169" fontId="344" fillId="0" borderId="0" xfId="0" applyNumberFormat="1" applyFont="1" applyAlignment="1">
      <alignment horizontal="right"/>
    </xf>
    <xf numFmtId="169" fontId="344" fillId="0" borderId="21" xfId="0" applyNumberFormat="1" applyFont="1" applyBorder="1" applyAlignment="1">
      <alignment horizontal="right"/>
    </xf>
    <xf numFmtId="169" fontId="344" fillId="0" borderId="0" xfId="0" applyNumberFormat="1" applyFont="1"/>
    <xf numFmtId="169" fontId="344" fillId="0" borderId="21" xfId="0" applyNumberFormat="1" applyFont="1" applyBorder="1"/>
    <xf numFmtId="0" fontId="344" fillId="0" borderId="0" xfId="0" applyFont="1"/>
    <xf numFmtId="0" fontId="344" fillId="0" borderId="0" xfId="0" applyFont="1" applyAlignment="1">
      <alignment horizontal="center"/>
    </xf>
    <xf numFmtId="9" fontId="344" fillId="0" borderId="21" xfId="0" applyNumberFormat="1" applyFont="1" applyBorder="1" applyAlignment="1">
      <alignment horizontal="right"/>
    </xf>
    <xf numFmtId="9" fontId="344" fillId="0" borderId="0" xfId="0" applyNumberFormat="1" applyFont="1" applyAlignment="1">
      <alignment horizontal="right"/>
    </xf>
    <xf numFmtId="186" fontId="344" fillId="0" borderId="0" xfId="0" applyNumberFormat="1" applyFont="1"/>
    <xf numFmtId="0" fontId="344" fillId="0" borderId="21" xfId="0" applyFont="1" applyBorder="1" applyAlignment="1">
      <alignment horizontal="left" indent="2"/>
    </xf>
    <xf numFmtId="0" fontId="343" fillId="0" borderId="21" xfId="0" applyFont="1" applyBorder="1" applyAlignment="1">
      <alignment horizontal="left" indent="2"/>
    </xf>
    <xf numFmtId="0" fontId="345" fillId="0" borderId="21" xfId="0" applyFont="1" applyBorder="1" applyAlignment="1">
      <alignment horizontal="left" indent="2"/>
    </xf>
    <xf numFmtId="0" fontId="346" fillId="0" borderId="21" xfId="0" applyFont="1" applyBorder="1" applyAlignment="1">
      <alignment horizontal="left" indent="2"/>
    </xf>
    <xf numFmtId="192" fontId="344" fillId="0" borderId="0" xfId="0" applyNumberFormat="1" applyFont="1"/>
    <xf numFmtId="0" fontId="344" fillId="0" borderId="21" xfId="0" applyFont="1" applyBorder="1" applyAlignment="1">
      <alignment horizontal="center"/>
    </xf>
    <xf numFmtId="177" fontId="343" fillId="0" borderId="0" xfId="0" applyNumberFormat="1" applyFont="1"/>
    <xf numFmtId="9" fontId="251" fillId="0" borderId="0" xfId="1716" applyFont="1" applyFill="1"/>
    <xf numFmtId="8" fontId="35" fillId="0" borderId="0" xfId="0" applyNumberFormat="1" applyFont="1" applyAlignment="1">
      <alignment horizontal="right"/>
    </xf>
    <xf numFmtId="0" fontId="0" fillId="0" borderId="31" xfId="0" applyBorder="1"/>
    <xf numFmtId="169" fontId="252" fillId="0" borderId="37" xfId="0" applyNumberFormat="1" applyFont="1" applyBorder="1" applyAlignment="1">
      <alignment horizontal="right"/>
    </xf>
    <xf numFmtId="177" fontId="35" fillId="0" borderId="37" xfId="0" applyNumberFormat="1" applyFont="1" applyBorder="1"/>
    <xf numFmtId="177" fontId="37" fillId="0" borderId="37" xfId="0" applyNumberFormat="1" applyFont="1" applyBorder="1"/>
    <xf numFmtId="169" fontId="35" fillId="0" borderId="36" xfId="0" applyNumberFormat="1" applyFont="1" applyBorder="1"/>
    <xf numFmtId="0" fontId="37" fillId="0" borderId="75" xfId="0" applyFont="1" applyBorder="1"/>
    <xf numFmtId="177" fontId="48" fillId="55" borderId="0" xfId="0" applyNumberFormat="1" applyFont="1" applyFill="1"/>
    <xf numFmtId="189" fontId="251" fillId="55" borderId="0" xfId="1545" applyNumberFormat="1" applyFont="1" applyFill="1" applyBorder="1"/>
    <xf numFmtId="185" fontId="206" fillId="55" borderId="0" xfId="1545" applyNumberFormat="1" applyFont="1" applyFill="1" applyBorder="1" applyAlignment="1">
      <alignment horizontal="right"/>
    </xf>
    <xf numFmtId="185" fontId="206" fillId="55" borderId="0" xfId="1545" applyNumberFormat="1" applyFont="1" applyFill="1" applyBorder="1"/>
    <xf numFmtId="187" fontId="18" fillId="71" borderId="0" xfId="0" applyNumberFormat="1" applyFont="1" applyFill="1"/>
    <xf numFmtId="9" fontId="252" fillId="0" borderId="0" xfId="1716" applyFont="1" applyFill="1" applyBorder="1"/>
    <xf numFmtId="9" fontId="255" fillId="0" borderId="63" xfId="1716" applyFont="1" applyFill="1" applyBorder="1"/>
    <xf numFmtId="189" fontId="257" fillId="44" borderId="46" xfId="2895" applyNumberFormat="1" applyFont="1" applyFill="1" applyBorder="1" applyAlignment="1">
      <alignment horizontal="left" shrinkToFit="1"/>
    </xf>
    <xf numFmtId="189" fontId="257" fillId="44" borderId="46" xfId="2895" applyNumberFormat="1" applyFont="1" applyFill="1" applyBorder="1" applyAlignment="1">
      <alignment horizontal="right" shrinkToFit="1"/>
    </xf>
    <xf numFmtId="185" fontId="257" fillId="44" borderId="46" xfId="2895" applyNumberFormat="1" applyFont="1" applyFill="1" applyBorder="1" applyAlignment="1">
      <alignment horizontal="right" shrinkToFit="1"/>
    </xf>
    <xf numFmtId="9" fontId="257" fillId="44" borderId="46" xfId="2147" applyFont="1" applyFill="1" applyBorder="1" applyAlignment="1">
      <alignment horizontal="right" shrinkToFit="1"/>
    </xf>
    <xf numFmtId="185" fontId="257" fillId="44" borderId="99" xfId="2895" applyNumberFormat="1" applyFont="1" applyFill="1" applyBorder="1" applyAlignment="1">
      <alignment horizontal="right" shrinkToFit="1"/>
    </xf>
    <xf numFmtId="189" fontId="257" fillId="44" borderId="99" xfId="2895" applyNumberFormat="1" applyFont="1" applyFill="1" applyBorder="1" applyAlignment="1">
      <alignment horizontal="right" shrinkToFit="1"/>
    </xf>
    <xf numFmtId="0" fontId="38" fillId="0" borderId="0" xfId="0" applyFont="1" applyAlignment="1">
      <alignment horizontal="center" shrinkToFit="1"/>
    </xf>
    <xf numFmtId="189" fontId="18" fillId="0" borderId="0" xfId="2895" applyNumberFormat="1" applyFont="1" applyFill="1" applyBorder="1" applyAlignment="1">
      <alignment horizontal="left" shrinkToFit="1"/>
    </xf>
    <xf numFmtId="189" fontId="18" fillId="0" borderId="0" xfId="2895" applyNumberFormat="1" applyFont="1" applyFill="1" applyBorder="1" applyAlignment="1">
      <alignment horizontal="right" shrinkToFit="1"/>
    </xf>
    <xf numFmtId="185" fontId="18" fillId="0" borderId="0" xfId="2895" applyNumberFormat="1" applyFont="1" applyFill="1" applyBorder="1" applyAlignment="1">
      <alignment horizontal="right" shrinkToFit="1"/>
    </xf>
    <xf numFmtId="9" fontId="18" fillId="0" borderId="0" xfId="2147" applyFont="1" applyFill="1" applyBorder="1" applyAlignment="1">
      <alignment horizontal="right" shrinkToFit="1"/>
    </xf>
    <xf numFmtId="185" fontId="18" fillId="0" borderId="21" xfId="2895" applyNumberFormat="1" applyFont="1" applyFill="1" applyBorder="1" applyAlignment="1">
      <alignment horizontal="right" shrinkToFit="1"/>
    </xf>
    <xf numFmtId="189" fontId="18" fillId="0" borderId="21" xfId="2895" applyNumberFormat="1" applyFont="1" applyFill="1" applyBorder="1" applyAlignment="1">
      <alignment horizontal="right" shrinkToFit="1"/>
    </xf>
    <xf numFmtId="189" fontId="18" fillId="47" borderId="0" xfId="2895" applyNumberFormat="1" applyFont="1" applyFill="1" applyBorder="1" applyAlignment="1">
      <alignment horizontal="left" shrinkToFit="1"/>
    </xf>
    <xf numFmtId="189" fontId="18" fillId="47" borderId="0" xfId="2895" applyNumberFormat="1" applyFont="1" applyFill="1" applyBorder="1" applyAlignment="1">
      <alignment horizontal="right" shrinkToFit="1"/>
    </xf>
    <xf numFmtId="185" fontId="18" fillId="47" borderId="0" xfId="2895" applyNumberFormat="1" applyFont="1" applyFill="1" applyBorder="1" applyAlignment="1">
      <alignment horizontal="right" shrinkToFit="1"/>
    </xf>
    <xf numFmtId="9" fontId="18" fillId="47" borderId="0" xfId="2147" applyFont="1" applyFill="1" applyBorder="1" applyAlignment="1">
      <alignment horizontal="right" shrinkToFit="1"/>
    </xf>
    <xf numFmtId="185" fontId="18" fillId="47" borderId="21" xfId="2895" applyNumberFormat="1" applyFont="1" applyFill="1" applyBorder="1" applyAlignment="1">
      <alignment horizontal="right" shrinkToFit="1"/>
    </xf>
    <xf numFmtId="189" fontId="18" fillId="47" borderId="21" xfId="2895" applyNumberFormat="1" applyFont="1" applyFill="1" applyBorder="1" applyAlignment="1">
      <alignment horizontal="right" shrinkToFit="1"/>
    </xf>
    <xf numFmtId="1" fontId="186" fillId="0" borderId="21" xfId="0" applyNumberFormat="1" applyFont="1" applyBorder="1" applyAlignment="1">
      <alignment horizontal="left" indent="1"/>
    </xf>
    <xf numFmtId="1" fontId="186" fillId="0" borderId="21" xfId="0" applyNumberFormat="1" applyFont="1" applyBorder="1" applyAlignment="1">
      <alignment horizontal="left" indent="2"/>
    </xf>
    <xf numFmtId="189" fontId="251" fillId="0" borderId="0" xfId="2895" applyNumberFormat="1" applyFont="1" applyFill="1" applyBorder="1" applyAlignment="1">
      <alignment horizontal="right" shrinkToFit="1"/>
    </xf>
    <xf numFmtId="189" fontId="251" fillId="0" borderId="21" xfId="2895" applyNumberFormat="1" applyFont="1" applyFill="1" applyBorder="1" applyAlignment="1">
      <alignment horizontal="right" shrinkToFit="1"/>
    </xf>
    <xf numFmtId="165" fontId="37" fillId="0" borderId="21" xfId="0" applyNumberFormat="1" applyFont="1" applyBorder="1" applyAlignment="1">
      <alignment horizontal="left" indent="4"/>
    </xf>
    <xf numFmtId="165" fontId="44" fillId="0" borderId="21" xfId="0" applyNumberFormat="1" applyFont="1" applyBorder="1" applyAlignment="1">
      <alignment horizontal="left" indent="4"/>
    </xf>
    <xf numFmtId="0" fontId="44" fillId="0" borderId="21" xfId="0" applyFont="1" applyBorder="1" applyAlignment="1">
      <alignment horizontal="left" indent="2"/>
    </xf>
    <xf numFmtId="0" fontId="44" fillId="0" borderId="21" xfId="0" applyFont="1" applyBorder="1" applyAlignment="1">
      <alignment horizontal="left" indent="4"/>
    </xf>
    <xf numFmtId="0" fontId="44" fillId="0" borderId="27" xfId="0" applyFont="1" applyBorder="1" applyAlignment="1">
      <alignment horizontal="left" indent="4"/>
    </xf>
    <xf numFmtId="189" fontId="18" fillId="0" borderId="37" xfId="2895" applyNumberFormat="1" applyFont="1" applyFill="1" applyBorder="1" applyAlignment="1">
      <alignment horizontal="right" shrinkToFit="1"/>
    </xf>
    <xf numFmtId="189" fontId="18" fillId="0" borderId="59" xfId="2895" applyNumberFormat="1" applyFont="1" applyFill="1" applyBorder="1" applyAlignment="1">
      <alignment horizontal="left" shrinkToFit="1"/>
    </xf>
    <xf numFmtId="189" fontId="18" fillId="0" borderId="59" xfId="2895" applyNumberFormat="1" applyFont="1" applyFill="1" applyBorder="1" applyAlignment="1">
      <alignment horizontal="right" shrinkToFit="1"/>
    </xf>
    <xf numFmtId="185" fontId="18" fillId="0" borderId="59" xfId="2895" applyNumberFormat="1" applyFont="1" applyFill="1" applyBorder="1" applyAlignment="1">
      <alignment horizontal="right" shrinkToFit="1"/>
    </xf>
    <xf numFmtId="9" fontId="18" fillId="0" borderId="59" xfId="2147" applyFont="1" applyFill="1" applyBorder="1" applyAlignment="1">
      <alignment horizontal="right" shrinkToFit="1"/>
    </xf>
    <xf numFmtId="189" fontId="18" fillId="0" borderId="98" xfId="2895" applyNumberFormat="1" applyFont="1" applyFill="1" applyBorder="1" applyAlignment="1">
      <alignment horizontal="right" shrinkToFit="1"/>
    </xf>
    <xf numFmtId="189" fontId="18" fillId="0" borderId="27" xfId="2895" applyNumberFormat="1" applyFont="1" applyFill="1" applyBorder="1" applyAlignment="1">
      <alignment horizontal="right" shrinkToFit="1"/>
    </xf>
    <xf numFmtId="9" fontId="18" fillId="0" borderId="37" xfId="1716" applyFont="1" applyFill="1" applyBorder="1" applyAlignment="1">
      <alignment horizontal="right" shrinkToFit="1"/>
    </xf>
    <xf numFmtId="9" fontId="18" fillId="0" borderId="21" xfId="1716" applyFont="1" applyFill="1" applyBorder="1" applyAlignment="1">
      <alignment horizontal="right" shrinkToFit="1"/>
    </xf>
    <xf numFmtId="39" fontId="37" fillId="0" borderId="0" xfId="0" applyNumberFormat="1" applyFont="1"/>
    <xf numFmtId="9" fontId="18" fillId="0" borderId="0" xfId="0" applyNumberFormat="1" applyFont="1" applyAlignment="1">
      <alignment horizontal="right"/>
    </xf>
    <xf numFmtId="169" fontId="18" fillId="0" borderId="0" xfId="0" applyNumberFormat="1" applyFont="1" applyAlignment="1">
      <alignment horizontal="right"/>
    </xf>
    <xf numFmtId="9" fontId="18" fillId="0" borderId="37" xfId="0" applyNumberFormat="1" applyFont="1" applyBorder="1" applyAlignment="1">
      <alignment horizontal="right"/>
    </xf>
    <xf numFmtId="169" fontId="18" fillId="0" borderId="37" xfId="0" applyNumberFormat="1" applyFont="1" applyBorder="1" applyAlignment="1">
      <alignment horizontal="right"/>
    </xf>
    <xf numFmtId="320" fontId="18" fillId="0" borderId="21" xfId="0" applyNumberFormat="1" applyFont="1" applyBorder="1"/>
    <xf numFmtId="169" fontId="18" fillId="0" borderId="0" xfId="1716" applyNumberFormat="1" applyFont="1" applyFill="1" applyBorder="1"/>
    <xf numFmtId="169" fontId="18" fillId="0" borderId="21" xfId="1716" applyNumberFormat="1" applyFont="1" applyFill="1" applyBorder="1"/>
    <xf numFmtId="185" fontId="251" fillId="0" borderId="0" xfId="1545" applyNumberFormat="1" applyFont="1" applyFill="1" applyBorder="1"/>
    <xf numFmtId="177" fontId="18" fillId="0" borderId="0" xfId="0" applyNumberFormat="1" applyFont="1"/>
    <xf numFmtId="177" fontId="18" fillId="55" borderId="0" xfId="0" applyNumberFormat="1" applyFont="1" applyFill="1"/>
    <xf numFmtId="9" fontId="18" fillId="0" borderId="0" xfId="1716" applyFont="1" applyFill="1" applyBorder="1"/>
    <xf numFmtId="9" fontId="56" fillId="0" borderId="0" xfId="1716" applyFont="1"/>
    <xf numFmtId="185" fontId="251" fillId="0" borderId="0" xfId="1545" applyNumberFormat="1" applyFont="1" applyFill="1" applyBorder="1" applyAlignment="1">
      <alignment horizontal="right"/>
    </xf>
    <xf numFmtId="169" fontId="18" fillId="0" borderId="11" xfId="0" applyNumberFormat="1" applyFont="1" applyBorder="1"/>
    <xf numFmtId="6" fontId="252" fillId="0" borderId="59" xfId="0" applyNumberFormat="1" applyFont="1" applyBorder="1"/>
    <xf numFmtId="169" fontId="48" fillId="0" borderId="0" xfId="0" applyNumberFormat="1" applyFont="1" applyAlignment="1">
      <alignment horizontal="center"/>
    </xf>
    <xf numFmtId="5" fontId="252" fillId="0" borderId="59" xfId="0" applyNumberFormat="1" applyFont="1" applyBorder="1"/>
    <xf numFmtId="169" fontId="35" fillId="0" borderId="37" xfId="0" applyNumberFormat="1" applyFont="1" applyBorder="1"/>
    <xf numFmtId="9" fontId="18" fillId="0" borderId="0" xfId="0" applyNumberFormat="1" applyFont="1"/>
    <xf numFmtId="4" fontId="18" fillId="0" borderId="0" xfId="0" applyNumberFormat="1" applyFont="1" applyAlignment="1">
      <alignment horizontal="right"/>
    </xf>
    <xf numFmtId="4" fontId="18" fillId="0" borderId="0" xfId="0" applyNumberFormat="1" applyFont="1"/>
    <xf numFmtId="0" fontId="18" fillId="0" borderId="0" xfId="0" applyFont="1"/>
    <xf numFmtId="9" fontId="18" fillId="0" borderId="0" xfId="1716" applyFont="1" applyFill="1"/>
    <xf numFmtId="37" fontId="18" fillId="0" borderId="0" xfId="0" applyNumberFormat="1" applyFont="1"/>
    <xf numFmtId="204" fontId="18" fillId="0" borderId="0" xfId="1525" applyNumberFormat="1" applyFont="1" applyFill="1" applyAlignment="1" applyProtection="1">
      <alignment horizontal="right"/>
    </xf>
    <xf numFmtId="169" fontId="18" fillId="71" borderId="7" xfId="0" applyNumberFormat="1" applyFont="1" applyFill="1" applyBorder="1" applyAlignment="1">
      <alignment horizontal="right"/>
    </xf>
    <xf numFmtId="177" fontId="18" fillId="44" borderId="7" xfId="0" applyNumberFormat="1" applyFont="1" applyFill="1" applyBorder="1"/>
    <xf numFmtId="177" fontId="18" fillId="57" borderId="7" xfId="0" applyNumberFormat="1" applyFont="1" applyFill="1" applyBorder="1"/>
    <xf numFmtId="177" fontId="18" fillId="56" borderId="0" xfId="0" applyNumberFormat="1" applyFont="1" applyFill="1"/>
    <xf numFmtId="169" fontId="18" fillId="57" borderId="7" xfId="0" applyNumberFormat="1" applyFont="1" applyFill="1" applyBorder="1" applyAlignment="1">
      <alignment horizontal="right"/>
    </xf>
    <xf numFmtId="177" fontId="186" fillId="0" borderId="37" xfId="0" applyNumberFormat="1" applyFont="1" applyBorder="1"/>
    <xf numFmtId="177" fontId="251" fillId="0" borderId="37" xfId="0" applyNumberFormat="1" applyFont="1" applyBorder="1"/>
    <xf numFmtId="177" fontId="186" fillId="0" borderId="31" xfId="0" applyNumberFormat="1" applyFont="1" applyBorder="1"/>
    <xf numFmtId="169" fontId="18" fillId="0" borderId="31" xfId="0" applyNumberFormat="1" applyFont="1" applyBorder="1" applyAlignment="1">
      <alignment horizontal="right"/>
    </xf>
    <xf numFmtId="169" fontId="18" fillId="0" borderId="0" xfId="0" applyNumberFormat="1" applyFont="1"/>
    <xf numFmtId="169" fontId="18" fillId="0" borderId="37" xfId="0" applyNumberFormat="1" applyFont="1" applyBorder="1"/>
    <xf numFmtId="177" fontId="18" fillId="0" borderId="31" xfId="0" applyNumberFormat="1" applyFont="1" applyBorder="1"/>
    <xf numFmtId="177" fontId="18" fillId="0" borderId="37" xfId="0" applyNumberFormat="1" applyFont="1" applyBorder="1"/>
    <xf numFmtId="177" fontId="35" fillId="0" borderId="31" xfId="0" applyNumberFormat="1" applyFont="1" applyBorder="1"/>
    <xf numFmtId="177" fontId="63" fillId="0" borderId="37" xfId="0" applyNumberFormat="1" applyFont="1" applyBorder="1"/>
    <xf numFmtId="176" fontId="37" fillId="0" borderId="0" xfId="1525" applyNumberFormat="1" applyFont="1" applyFill="1" applyBorder="1" applyAlignment="1" applyProtection="1">
      <alignment horizontal="right"/>
    </xf>
    <xf numFmtId="4" fontId="18" fillId="0" borderId="31" xfId="1525" applyFont="1" applyFill="1" applyBorder="1" applyAlignment="1" applyProtection="1">
      <alignment horizontal="right"/>
    </xf>
    <xf numFmtId="4" fontId="18" fillId="0" borderId="0" xfId="1525" applyFont="1" applyFill="1" applyBorder="1" applyAlignment="1" applyProtection="1">
      <alignment horizontal="right"/>
    </xf>
    <xf numFmtId="9" fontId="18" fillId="0" borderId="31" xfId="0" applyNumberFormat="1" applyFont="1" applyBorder="1" applyAlignment="1">
      <alignment horizontal="right"/>
    </xf>
    <xf numFmtId="176" fontId="18" fillId="0" borderId="0" xfId="1525" applyNumberFormat="1" applyFont="1" applyFill="1" applyBorder="1"/>
    <xf numFmtId="177" fontId="37" fillId="0" borderId="31" xfId="0" applyNumberFormat="1" applyFont="1" applyBorder="1"/>
    <xf numFmtId="0" fontId="18" fillId="0" borderId="31" xfId="0" applyFont="1" applyBorder="1"/>
    <xf numFmtId="176" fontId="18" fillId="0" borderId="0" xfId="1525" applyNumberFormat="1" applyFont="1" applyFill="1" applyBorder="1" applyAlignment="1" applyProtection="1">
      <alignment horizontal="right"/>
    </xf>
    <xf numFmtId="169" fontId="18" fillId="0" borderId="100" xfId="0" applyNumberFormat="1" applyFont="1" applyBorder="1" applyAlignment="1">
      <alignment horizontal="right"/>
    </xf>
    <xf numFmtId="169" fontId="18" fillId="0" borderId="70" xfId="0" applyNumberFormat="1" applyFont="1" applyBorder="1" applyAlignment="1">
      <alignment horizontal="right"/>
    </xf>
    <xf numFmtId="3" fontId="37" fillId="0" borderId="37" xfId="1525" applyNumberFormat="1" applyFont="1" applyFill="1" applyBorder="1" applyAlignment="1" applyProtection="1">
      <alignment horizontal="right"/>
    </xf>
    <xf numFmtId="3" fontId="35" fillId="0" borderId="37" xfId="1525" applyNumberFormat="1" applyFont="1" applyFill="1" applyBorder="1" applyAlignment="1" applyProtection="1">
      <alignment horizontal="right"/>
    </xf>
    <xf numFmtId="3" fontId="37" fillId="0" borderId="31" xfId="1525" applyNumberFormat="1" applyFont="1" applyFill="1" applyBorder="1" applyAlignment="1" applyProtection="1">
      <alignment horizontal="right"/>
    </xf>
    <xf numFmtId="3" fontId="37" fillId="0" borderId="0" xfId="1525" applyNumberFormat="1" applyFont="1" applyFill="1" applyBorder="1" applyAlignment="1" applyProtection="1">
      <alignment horizontal="right"/>
    </xf>
    <xf numFmtId="3" fontId="18" fillId="0" borderId="31" xfId="1525" applyNumberFormat="1" applyFont="1" applyFill="1" applyBorder="1" applyAlignment="1" applyProtection="1">
      <alignment horizontal="right"/>
    </xf>
    <xf numFmtId="3" fontId="18" fillId="0" borderId="0" xfId="1525" applyNumberFormat="1" applyFont="1" applyFill="1" applyBorder="1" applyAlignment="1" applyProtection="1">
      <alignment horizontal="right"/>
    </xf>
    <xf numFmtId="177" fontId="18" fillId="0" borderId="31" xfId="0" applyNumberFormat="1" applyFont="1" applyBorder="1" applyAlignment="1">
      <alignment horizontal="right"/>
    </xf>
    <xf numFmtId="177" fontId="18" fillId="0" borderId="0" xfId="0" applyNumberFormat="1" applyFont="1" applyAlignment="1">
      <alignment horizontal="right"/>
    </xf>
    <xf numFmtId="176" fontId="37" fillId="0" borderId="21" xfId="1525" applyNumberFormat="1" applyFont="1" applyFill="1" applyBorder="1" applyAlignment="1" applyProtection="1">
      <alignment horizontal="right"/>
    </xf>
    <xf numFmtId="37" fontId="186" fillId="0" borderId="37" xfId="0" applyNumberFormat="1" applyFont="1" applyBorder="1"/>
    <xf numFmtId="177" fontId="344" fillId="0" borderId="37" xfId="0" applyNumberFormat="1" applyFont="1" applyBorder="1"/>
    <xf numFmtId="169" fontId="344" fillId="0" borderId="37" xfId="0" applyNumberFormat="1" applyFont="1" applyBorder="1"/>
    <xf numFmtId="0" fontId="344" fillId="0" borderId="37" xfId="0" applyFont="1" applyBorder="1"/>
    <xf numFmtId="169" fontId="344" fillId="0" borderId="37" xfId="0" applyNumberFormat="1" applyFont="1" applyBorder="1" applyAlignment="1">
      <alignment horizontal="right"/>
    </xf>
    <xf numFmtId="9" fontId="344" fillId="0" borderId="37" xfId="0" applyNumberFormat="1" applyFont="1" applyBorder="1" applyAlignment="1">
      <alignment horizontal="right"/>
    </xf>
    <xf numFmtId="0" fontId="344" fillId="0" borderId="37" xfId="0" applyFont="1" applyBorder="1" applyAlignment="1">
      <alignment horizontal="center"/>
    </xf>
    <xf numFmtId="177" fontId="186" fillId="44" borderId="38" xfId="0" applyNumberFormat="1" applyFont="1" applyFill="1" applyBorder="1"/>
    <xf numFmtId="169" fontId="37" fillId="0" borderId="37" xfId="0" applyNumberFormat="1" applyFont="1" applyBorder="1" applyAlignment="1">
      <alignment horizontal="right"/>
    </xf>
    <xf numFmtId="177" fontId="344" fillId="0" borderId="31" xfId="0" applyNumberFormat="1" applyFont="1" applyBorder="1"/>
    <xf numFmtId="169" fontId="344" fillId="0" borderId="31" xfId="0" applyNumberFormat="1" applyFont="1" applyBorder="1" applyAlignment="1">
      <alignment horizontal="right"/>
    </xf>
    <xf numFmtId="0" fontId="344" fillId="0" borderId="31" xfId="0" applyFont="1" applyBorder="1"/>
    <xf numFmtId="9" fontId="344" fillId="0" borderId="31" xfId="0" applyNumberFormat="1" applyFont="1" applyBorder="1" applyAlignment="1">
      <alignment horizontal="right"/>
    </xf>
    <xf numFmtId="0" fontId="344" fillId="0" borderId="31" xfId="0" applyFont="1" applyBorder="1" applyAlignment="1">
      <alignment horizontal="center"/>
    </xf>
    <xf numFmtId="177" fontId="18" fillId="44" borderId="29" xfId="0" applyNumberFormat="1" applyFont="1" applyFill="1" applyBorder="1"/>
    <xf numFmtId="177" fontId="18" fillId="44" borderId="38" xfId="0" applyNumberFormat="1" applyFont="1" applyFill="1" applyBorder="1"/>
    <xf numFmtId="177" fontId="63" fillId="0" borderId="31" xfId="0" applyNumberFormat="1" applyFont="1" applyBorder="1"/>
    <xf numFmtId="169" fontId="37" fillId="0" borderId="31" xfId="0" applyNumberFormat="1" applyFont="1" applyBorder="1" applyAlignment="1">
      <alignment horizontal="right"/>
    </xf>
    <xf numFmtId="281" fontId="186" fillId="71" borderId="37" xfId="0" applyNumberFormat="1" applyFont="1" applyFill="1" applyBorder="1"/>
    <xf numFmtId="177" fontId="186" fillId="48" borderId="37" xfId="0" applyNumberFormat="1" applyFont="1" applyFill="1" applyBorder="1"/>
    <xf numFmtId="169" fontId="48" fillId="48" borderId="37" xfId="0" applyNumberFormat="1" applyFont="1" applyFill="1" applyBorder="1"/>
    <xf numFmtId="37" fontId="37" fillId="48" borderId="37" xfId="0" applyNumberFormat="1" applyFont="1" applyFill="1" applyBorder="1"/>
    <xf numFmtId="281" fontId="18" fillId="71" borderId="31" xfId="0" applyNumberFormat="1" applyFont="1" applyFill="1" applyBorder="1"/>
    <xf numFmtId="281" fontId="18" fillId="71" borderId="37" xfId="0" applyNumberFormat="1" applyFont="1" applyFill="1" applyBorder="1"/>
    <xf numFmtId="177" fontId="18" fillId="48" borderId="31" xfId="0" applyNumberFormat="1" applyFont="1" applyFill="1" applyBorder="1"/>
    <xf numFmtId="177" fontId="18" fillId="48" borderId="37" xfId="0" applyNumberFormat="1" applyFont="1" applyFill="1" applyBorder="1"/>
    <xf numFmtId="177" fontId="37" fillId="48" borderId="31" xfId="0" applyNumberFormat="1" applyFont="1" applyFill="1" applyBorder="1"/>
    <xf numFmtId="177" fontId="37" fillId="48" borderId="37" xfId="0" applyNumberFormat="1" applyFont="1" applyFill="1" applyBorder="1"/>
    <xf numFmtId="189" fontId="257" fillId="44" borderId="39" xfId="2895" applyNumberFormat="1" applyFont="1" applyFill="1" applyBorder="1" applyAlignment="1">
      <alignment horizontal="right" shrinkToFit="1"/>
    </xf>
    <xf numFmtId="189" fontId="257" fillId="44" borderId="57" xfId="2895" applyNumberFormat="1" applyFont="1" applyFill="1" applyBorder="1" applyAlignment="1">
      <alignment horizontal="right" shrinkToFit="1"/>
    </xf>
    <xf numFmtId="189" fontId="257" fillId="44" borderId="58" xfId="2895" applyNumberFormat="1" applyFont="1" applyFill="1" applyBorder="1" applyAlignment="1">
      <alignment horizontal="right" shrinkToFit="1"/>
    </xf>
    <xf numFmtId="189" fontId="18" fillId="0" borderId="31" xfId="2895" applyNumberFormat="1" applyFont="1" applyFill="1" applyBorder="1" applyAlignment="1">
      <alignment horizontal="right" shrinkToFit="1"/>
    </xf>
    <xf numFmtId="189" fontId="18" fillId="47" borderId="31" xfId="2895" applyNumberFormat="1" applyFont="1" applyFill="1" applyBorder="1" applyAlignment="1">
      <alignment horizontal="right" shrinkToFit="1"/>
    </xf>
    <xf numFmtId="189" fontId="18" fillId="47" borderId="37" xfId="2895" applyNumberFormat="1" applyFont="1" applyFill="1" applyBorder="1" applyAlignment="1">
      <alignment horizontal="right" shrinkToFit="1"/>
    </xf>
    <xf numFmtId="189" fontId="18" fillId="0" borderId="100" xfId="2895" applyNumberFormat="1" applyFont="1" applyFill="1" applyBorder="1" applyAlignment="1">
      <alignment horizontal="right" shrinkToFit="1"/>
    </xf>
    <xf numFmtId="189" fontId="18" fillId="0" borderId="70" xfId="2895" applyNumberFormat="1" applyFont="1" applyFill="1" applyBorder="1" applyAlignment="1">
      <alignment horizontal="right" shrinkToFit="1"/>
    </xf>
    <xf numFmtId="189" fontId="18" fillId="0" borderId="101" xfId="2895" applyNumberFormat="1" applyFont="1" applyFill="1" applyBorder="1" applyAlignment="1">
      <alignment horizontal="right" shrinkToFit="1"/>
    </xf>
    <xf numFmtId="189" fontId="251" fillId="0" borderId="37" xfId="2895" applyNumberFormat="1" applyFont="1" applyFill="1" applyBorder="1" applyAlignment="1">
      <alignment horizontal="right" shrinkToFit="1"/>
    </xf>
    <xf numFmtId="5" fontId="18" fillId="0" borderId="0" xfId="0" applyNumberFormat="1" applyFont="1"/>
    <xf numFmtId="187" fontId="18" fillId="0" borderId="0" xfId="0" applyNumberFormat="1" applyFont="1"/>
    <xf numFmtId="1" fontId="18" fillId="0" borderId="0" xfId="0" applyNumberFormat="1" applyFont="1"/>
    <xf numFmtId="1" fontId="18" fillId="0" borderId="0" xfId="0" applyNumberFormat="1" applyFont="1" applyAlignment="1">
      <alignment horizontal="right" indent="1"/>
    </xf>
    <xf numFmtId="37" fontId="18" fillId="0" borderId="0" xfId="0" applyNumberFormat="1" applyFont="1" applyAlignment="1">
      <alignment horizontal="right" indent="1"/>
    </xf>
    <xf numFmtId="38" fontId="18" fillId="0" borderId="0" xfId="0" applyNumberFormat="1" applyFont="1" applyAlignment="1">
      <alignment horizontal="right" indent="1"/>
    </xf>
    <xf numFmtId="7" fontId="18" fillId="0" borderId="57" xfId="0" applyNumberFormat="1" applyFont="1" applyBorder="1"/>
    <xf numFmtId="7" fontId="18" fillId="0" borderId="0" xfId="0" applyNumberFormat="1" applyFont="1"/>
    <xf numFmtId="7" fontId="18" fillId="0" borderId="70" xfId="0" applyNumberFormat="1" applyFont="1" applyBorder="1"/>
    <xf numFmtId="8" fontId="37" fillId="0" borderId="70" xfId="1559" applyFont="1" applyFill="1" applyBorder="1"/>
    <xf numFmtId="170" fontId="18" fillId="0" borderId="0" xfId="0" applyNumberFormat="1" applyFont="1"/>
    <xf numFmtId="0" fontId="18" fillId="45" borderId="7" xfId="0" applyFont="1" applyFill="1" applyBorder="1"/>
    <xf numFmtId="169" fontId="18" fillId="0" borderId="0" xfId="1716" applyNumberFormat="1" applyFont="1" applyBorder="1"/>
    <xf numFmtId="169" fontId="18" fillId="0" borderId="70" xfId="1716" applyNumberFormat="1" applyFont="1" applyFill="1" applyBorder="1"/>
    <xf numFmtId="0" fontId="18" fillId="0" borderId="0" xfId="0" applyFont="1" applyAlignment="1">
      <alignment horizontal="center"/>
    </xf>
    <xf numFmtId="38" fontId="18" fillId="0" borderId="0" xfId="0" applyNumberFormat="1" applyFont="1"/>
    <xf numFmtId="37" fontId="18" fillId="0" borderId="70" xfId="0" applyNumberFormat="1" applyFont="1" applyBorder="1"/>
    <xf numFmtId="189" fontId="18" fillId="0" borderId="0" xfId="1525" applyNumberFormat="1" applyFont="1" applyFill="1" applyBorder="1"/>
    <xf numFmtId="273" fontId="18" fillId="0" borderId="0" xfId="0" applyNumberFormat="1" applyFont="1"/>
    <xf numFmtId="8" fontId="18" fillId="0" borderId="0" xfId="1559" applyFont="1" applyFill="1" applyBorder="1"/>
    <xf numFmtId="189" fontId="18" fillId="0" borderId="0" xfId="0" applyNumberFormat="1" applyFont="1"/>
    <xf numFmtId="165" fontId="18" fillId="0" borderId="0" xfId="1559" applyNumberFormat="1" applyFont="1" applyFill="1" applyBorder="1"/>
    <xf numFmtId="37" fontId="37" fillId="45" borderId="57" xfId="0" applyNumberFormat="1" applyFont="1" applyFill="1" applyBorder="1"/>
    <xf numFmtId="0" fontId="18" fillId="0" borderId="0" xfId="0" applyFont="1" applyAlignment="1">
      <alignment horizontal="right"/>
    </xf>
    <xf numFmtId="9" fontId="18" fillId="0" borderId="70" xfId="0" applyNumberFormat="1" applyFont="1" applyBorder="1"/>
    <xf numFmtId="3" fontId="18" fillId="0" borderId="0" xfId="0" applyNumberFormat="1" applyFont="1"/>
    <xf numFmtId="3" fontId="18" fillId="0" borderId="70" xfId="0" applyNumberFormat="1" applyFont="1" applyBorder="1"/>
    <xf numFmtId="8" fontId="18" fillId="0" borderId="0" xfId="0" applyNumberFormat="1" applyFont="1"/>
    <xf numFmtId="8" fontId="18" fillId="0" borderId="0" xfId="0" applyNumberFormat="1" applyFont="1" applyAlignment="1">
      <alignment horizontal="right"/>
    </xf>
    <xf numFmtId="37" fontId="18" fillId="45" borderId="7" xfId="0" applyNumberFormat="1" applyFont="1" applyFill="1" applyBorder="1"/>
    <xf numFmtId="3" fontId="18" fillId="0" borderId="0" xfId="1525" applyNumberFormat="1" applyFont="1" applyFill="1" applyBorder="1"/>
    <xf numFmtId="265" fontId="18" fillId="0" borderId="0" xfId="0" applyNumberFormat="1" applyFont="1"/>
    <xf numFmtId="3" fontId="18" fillId="0" borderId="57" xfId="0" applyNumberFormat="1" applyFont="1" applyBorder="1"/>
    <xf numFmtId="38" fontId="18" fillId="45" borderId="7" xfId="0" applyNumberFormat="1" applyFont="1" applyFill="1" applyBorder="1"/>
    <xf numFmtId="40" fontId="18" fillId="0" borderId="0" xfId="0" applyNumberFormat="1" applyFont="1"/>
    <xf numFmtId="40" fontId="18" fillId="0" borderId="70" xfId="0" applyNumberFormat="1" applyFont="1" applyBorder="1"/>
    <xf numFmtId="6" fontId="18" fillId="0" borderId="0" xfId="0" applyNumberFormat="1" applyFont="1"/>
    <xf numFmtId="187" fontId="255" fillId="0" borderId="59" xfId="0" applyNumberFormat="1" applyFont="1" applyBorder="1"/>
    <xf numFmtId="169" fontId="18" fillId="0" borderId="21" xfId="0" applyNumberFormat="1" applyFont="1" applyBorder="1" applyAlignment="1">
      <alignment horizontal="right"/>
    </xf>
    <xf numFmtId="177" fontId="18" fillId="0" borderId="21" xfId="0" applyNumberFormat="1" applyFont="1" applyBorder="1"/>
    <xf numFmtId="169" fontId="18" fillId="71" borderId="0" xfId="0" applyNumberFormat="1" applyFont="1" applyFill="1" applyAlignment="1">
      <alignment horizontal="right"/>
    </xf>
    <xf numFmtId="169" fontId="18" fillId="71" borderId="37" xfId="0" applyNumberFormat="1" applyFont="1" applyFill="1" applyBorder="1" applyAlignment="1">
      <alignment horizontal="right"/>
    </xf>
    <xf numFmtId="169" fontId="18" fillId="0" borderId="0" xfId="0" applyNumberFormat="1" applyFont="1" applyAlignment="1">
      <alignment horizontal="center"/>
    </xf>
    <xf numFmtId="9" fontId="18" fillId="71" borderId="0" xfId="0" applyNumberFormat="1" applyFont="1" applyFill="1" applyAlignment="1">
      <alignment horizontal="right"/>
    </xf>
    <xf numFmtId="9" fontId="18" fillId="0" borderId="21" xfId="0" applyNumberFormat="1" applyFont="1" applyBorder="1" applyAlignment="1">
      <alignment horizontal="right"/>
    </xf>
    <xf numFmtId="9" fontId="18" fillId="0" borderId="21" xfId="0" applyNumberFormat="1" applyFont="1" applyBorder="1"/>
    <xf numFmtId="0" fontId="186" fillId="97" borderId="21" xfId="0" applyFont="1" applyFill="1" applyBorder="1" applyAlignment="1">
      <alignment horizontal="left"/>
    </xf>
    <xf numFmtId="177" fontId="186" fillId="97" borderId="0" xfId="0" applyNumberFormat="1" applyFont="1" applyFill="1"/>
    <xf numFmtId="177" fontId="186" fillId="97" borderId="21" xfId="0" applyNumberFormat="1" applyFont="1" applyFill="1" applyBorder="1"/>
    <xf numFmtId="177" fontId="251" fillId="97" borderId="0" xfId="0" applyNumberFormat="1" applyFont="1" applyFill="1"/>
    <xf numFmtId="177" fontId="18" fillId="97" borderId="31" xfId="0" applyNumberFormat="1" applyFont="1" applyFill="1" applyBorder="1"/>
    <xf numFmtId="177" fontId="18" fillId="97" borderId="37" xfId="0" applyNumberFormat="1" applyFont="1" applyFill="1" applyBorder="1"/>
    <xf numFmtId="177" fontId="186" fillId="97" borderId="37" xfId="0" applyNumberFormat="1" applyFont="1" applyFill="1" applyBorder="1"/>
    <xf numFmtId="0" fontId="189" fillId="97" borderId="21" xfId="0" applyFont="1" applyFill="1" applyBorder="1" applyAlignment="1">
      <alignment horizontal="left"/>
    </xf>
    <xf numFmtId="0" fontId="187" fillId="97" borderId="21" xfId="0" applyFont="1" applyFill="1" applyBorder="1" applyAlignment="1">
      <alignment horizontal="left"/>
    </xf>
    <xf numFmtId="169" fontId="251" fillId="97" borderId="0" xfId="0" applyNumberFormat="1" applyFont="1" applyFill="1" applyAlignment="1">
      <alignment horizontal="right"/>
    </xf>
    <xf numFmtId="169" fontId="251" fillId="97" borderId="21" xfId="0" applyNumberFormat="1" applyFont="1" applyFill="1" applyBorder="1" applyAlignment="1">
      <alignment horizontal="right"/>
    </xf>
    <xf numFmtId="0" fontId="186" fillId="97" borderId="21" xfId="0" applyFont="1" applyFill="1" applyBorder="1" applyAlignment="1">
      <alignment horizontal="left" indent="1"/>
    </xf>
    <xf numFmtId="0" fontId="258" fillId="97" borderId="21" xfId="0" applyFont="1" applyFill="1" applyBorder="1" applyAlignment="1">
      <alignment horizontal="left" indent="1"/>
    </xf>
    <xf numFmtId="0" fontId="186" fillId="97" borderId="0" xfId="0" applyFont="1" applyFill="1"/>
    <xf numFmtId="0" fontId="259" fillId="97" borderId="21" xfId="0" applyFont="1" applyFill="1" applyBorder="1" applyAlignment="1">
      <alignment horizontal="left" indent="1"/>
    </xf>
    <xf numFmtId="177" fontId="48" fillId="97" borderId="0" xfId="0" applyNumberFormat="1" applyFont="1" applyFill="1"/>
    <xf numFmtId="0" fontId="259" fillId="97" borderId="21" xfId="0" applyFont="1" applyFill="1" applyBorder="1" applyAlignment="1">
      <alignment horizontal="left"/>
    </xf>
    <xf numFmtId="0" fontId="260" fillId="97" borderId="21" xfId="0" applyFont="1" applyFill="1" applyBorder="1" applyAlignment="1">
      <alignment horizontal="left" indent="1"/>
    </xf>
    <xf numFmtId="0" fontId="261" fillId="97" borderId="21" xfId="0" applyFont="1" applyFill="1" applyBorder="1" applyAlignment="1">
      <alignment horizontal="left" indent="1"/>
    </xf>
    <xf numFmtId="0" fontId="261" fillId="97" borderId="21" xfId="0" applyFont="1" applyFill="1" applyBorder="1" applyAlignment="1">
      <alignment horizontal="left"/>
    </xf>
    <xf numFmtId="0" fontId="259" fillId="97" borderId="21" xfId="0" applyFont="1" applyFill="1" applyBorder="1" applyAlignment="1">
      <alignment horizontal="left" indent="2"/>
    </xf>
    <xf numFmtId="0" fontId="261" fillId="97" borderId="21" xfId="0" applyFont="1" applyFill="1" applyBorder="1" applyAlignment="1">
      <alignment horizontal="left" indent="2"/>
    </xf>
    <xf numFmtId="169" fontId="48" fillId="97" borderId="21" xfId="0" applyNumberFormat="1" applyFont="1" applyFill="1" applyBorder="1"/>
    <xf numFmtId="0" fontId="187" fillId="97" borderId="21" xfId="0" applyFont="1" applyFill="1" applyBorder="1" applyAlignment="1">
      <alignment horizontal="left" indent="2"/>
    </xf>
    <xf numFmtId="169" fontId="18" fillId="97" borderId="31" xfId="0" applyNumberFormat="1" applyFont="1" applyFill="1" applyBorder="1" applyAlignment="1">
      <alignment horizontal="right"/>
    </xf>
    <xf numFmtId="169" fontId="18" fillId="97" borderId="37" xfId="0" applyNumberFormat="1" applyFont="1" applyFill="1" applyBorder="1" applyAlignment="1">
      <alignment horizontal="right"/>
    </xf>
    <xf numFmtId="0" fontId="187" fillId="97" borderId="21" xfId="0" applyFont="1" applyFill="1" applyBorder="1" applyAlignment="1">
      <alignment horizontal="left" indent="3"/>
    </xf>
    <xf numFmtId="169" fontId="18" fillId="49" borderId="21" xfId="1716" applyNumberFormat="1" applyFont="1" applyFill="1" applyBorder="1"/>
    <xf numFmtId="169" fontId="18" fillId="49" borderId="27" xfId="1716" applyNumberFormat="1" applyFont="1" applyFill="1" applyBorder="1"/>
    <xf numFmtId="187" fontId="35" fillId="49" borderId="0" xfId="0" applyNumberFormat="1" applyFont="1" applyFill="1"/>
    <xf numFmtId="0" fontId="18" fillId="0" borderId="37" xfId="0" applyFont="1" applyBorder="1"/>
    <xf numFmtId="1" fontId="18" fillId="0" borderId="0" xfId="0" applyNumberFormat="1" applyFont="1" applyAlignment="1">
      <alignment horizontal="right"/>
    </xf>
    <xf numFmtId="1" fontId="18" fillId="0" borderId="37" xfId="0" applyNumberFormat="1" applyFont="1" applyBorder="1" applyAlignment="1">
      <alignment horizontal="right"/>
    </xf>
    <xf numFmtId="189" fontId="37" fillId="0" borderId="0" xfId="0" applyNumberFormat="1" applyFont="1"/>
    <xf numFmtId="266" fontId="35" fillId="0" borderId="0" xfId="0" applyNumberFormat="1" applyFont="1"/>
    <xf numFmtId="7" fontId="252" fillId="0" borderId="59" xfId="1716" applyNumberFormat="1" applyFont="1" applyFill="1" applyBorder="1"/>
    <xf numFmtId="204" fontId="18" fillId="0" borderId="21" xfId="0" applyNumberFormat="1" applyFont="1" applyBorder="1"/>
    <xf numFmtId="169" fontId="18" fillId="0" borderId="0" xfId="1716" applyNumberFormat="1" applyFont="1" applyBorder="1" applyAlignment="1">
      <alignment horizontal="right"/>
    </xf>
    <xf numFmtId="333" fontId="18" fillId="0" borderId="0" xfId="0" applyNumberFormat="1" applyFont="1"/>
    <xf numFmtId="3" fontId="267" fillId="0" borderId="39" xfId="1525" applyNumberFormat="1" applyFont="1" applyFill="1" applyBorder="1" applyAlignment="1" applyProtection="1">
      <alignment horizontal="right"/>
    </xf>
    <xf numFmtId="3" fontId="267" fillId="0" borderId="31" xfId="1525" applyNumberFormat="1" applyFont="1" applyFill="1" applyBorder="1" applyAlignment="1" applyProtection="1">
      <alignment horizontal="right"/>
    </xf>
    <xf numFmtId="9" fontId="48" fillId="49" borderId="0" xfId="0" applyNumberFormat="1" applyFont="1" applyFill="1" applyAlignment="1">
      <alignment horizontal="right"/>
    </xf>
    <xf numFmtId="177" fontId="251" fillId="0" borderId="31" xfId="0" applyNumberFormat="1" applyFont="1" applyBorder="1"/>
    <xf numFmtId="37" fontId="18" fillId="0" borderId="36" xfId="0" applyNumberFormat="1" applyFont="1" applyBorder="1"/>
    <xf numFmtId="37" fontId="18" fillId="0" borderId="104" xfId="0" applyNumberFormat="1" applyFont="1" applyBorder="1"/>
    <xf numFmtId="0" fontId="18" fillId="45" borderId="72" xfId="0" applyFont="1" applyFill="1" applyBorder="1"/>
    <xf numFmtId="0" fontId="18" fillId="0" borderId="36" xfId="0" applyFont="1" applyBorder="1"/>
    <xf numFmtId="3" fontId="18" fillId="0" borderId="36" xfId="0" applyNumberFormat="1" applyFont="1" applyBorder="1"/>
    <xf numFmtId="3" fontId="18" fillId="0" borderId="71" xfId="0" applyNumberFormat="1" applyFont="1" applyBorder="1"/>
    <xf numFmtId="8" fontId="18" fillId="0" borderId="36" xfId="0" applyNumberFormat="1" applyFont="1" applyBorder="1"/>
    <xf numFmtId="37" fontId="18" fillId="0" borderId="71" xfId="0" applyNumberFormat="1" applyFont="1" applyBorder="1"/>
    <xf numFmtId="37" fontId="18" fillId="45" borderId="72" xfId="0" applyNumberFormat="1" applyFont="1" applyFill="1" applyBorder="1"/>
    <xf numFmtId="9" fontId="18" fillId="0" borderId="36" xfId="0" applyNumberFormat="1" applyFont="1" applyBorder="1"/>
    <xf numFmtId="41" fontId="18" fillId="0" borderId="72" xfId="0" applyNumberFormat="1" applyFont="1" applyBorder="1"/>
    <xf numFmtId="37" fontId="18" fillId="0" borderId="72" xfId="0" applyNumberFormat="1" applyFont="1" applyBorder="1"/>
    <xf numFmtId="3" fontId="18" fillId="0" borderId="43" xfId="0" applyNumberFormat="1" applyFont="1" applyBorder="1"/>
    <xf numFmtId="0" fontId="18" fillId="45" borderId="104" xfId="0" applyFont="1" applyFill="1" applyBorder="1"/>
    <xf numFmtId="38" fontId="18" fillId="45" borderId="104" xfId="0" applyNumberFormat="1" applyFont="1" applyFill="1" applyBorder="1"/>
    <xf numFmtId="3" fontId="18" fillId="0" borderId="21" xfId="0" applyNumberFormat="1" applyFont="1" applyBorder="1"/>
    <xf numFmtId="37" fontId="18" fillId="0" borderId="46" xfId="0" applyNumberFormat="1" applyFont="1" applyBorder="1"/>
    <xf numFmtId="37" fontId="18" fillId="0" borderId="59" xfId="0" applyNumberFormat="1" applyFont="1" applyBorder="1"/>
    <xf numFmtId="1" fontId="261" fillId="0" borderId="21" xfId="0" applyNumberFormat="1" applyFont="1" applyBorder="1" applyAlignment="1">
      <alignment horizontal="left" indent="1"/>
    </xf>
    <xf numFmtId="3" fontId="267" fillId="0" borderId="57" xfId="1525" applyNumberFormat="1" applyFont="1" applyFill="1" applyBorder="1" applyAlignment="1" applyProtection="1">
      <alignment horizontal="right"/>
    </xf>
    <xf numFmtId="3" fontId="267" fillId="0" borderId="0" xfId="1525" applyNumberFormat="1" applyFont="1" applyFill="1" applyBorder="1" applyAlignment="1" applyProtection="1">
      <alignment horizontal="right"/>
    </xf>
    <xf numFmtId="9" fontId="18" fillId="0" borderId="59" xfId="0" applyNumberFormat="1" applyFont="1" applyBorder="1"/>
    <xf numFmtId="0" fontId="257" fillId="44" borderId="104" xfId="0" applyFont="1" applyFill="1" applyBorder="1"/>
    <xf numFmtId="177" fontId="18" fillId="57" borderId="104" xfId="0" applyNumberFormat="1" applyFont="1" applyFill="1" applyBorder="1"/>
    <xf numFmtId="177" fontId="229" fillId="44" borderId="104" xfId="0" applyNumberFormat="1" applyFont="1" applyFill="1" applyBorder="1"/>
    <xf numFmtId="177" fontId="37" fillId="57" borderId="104" xfId="0" applyNumberFormat="1" applyFont="1" applyFill="1" applyBorder="1"/>
    <xf numFmtId="169" fontId="18" fillId="57" borderId="104" xfId="0" applyNumberFormat="1" applyFont="1" applyFill="1" applyBorder="1" applyAlignment="1">
      <alignment horizontal="right"/>
    </xf>
    <xf numFmtId="169" fontId="257" fillId="44" borderId="104" xfId="0" applyNumberFormat="1" applyFont="1" applyFill="1" applyBorder="1" applyAlignment="1">
      <alignment horizontal="right"/>
    </xf>
    <xf numFmtId="169" fontId="37" fillId="71" borderId="104" xfId="0" applyNumberFormat="1" applyFont="1" applyFill="1" applyBorder="1" applyAlignment="1">
      <alignment horizontal="right"/>
    </xf>
    <xf numFmtId="169" fontId="18" fillId="0" borderId="59" xfId="0" applyNumberFormat="1" applyFont="1" applyBorder="1" applyAlignment="1">
      <alignment horizontal="right"/>
    </xf>
    <xf numFmtId="177" fontId="37" fillId="71" borderId="104" xfId="0" applyNumberFormat="1" applyFont="1" applyFill="1" applyBorder="1"/>
    <xf numFmtId="169" fontId="18" fillId="71" borderId="104" xfId="0" applyNumberFormat="1" applyFont="1" applyFill="1" applyBorder="1" applyAlignment="1">
      <alignment horizontal="right"/>
    </xf>
    <xf numFmtId="333" fontId="251" fillId="0" borderId="21" xfId="0" applyNumberFormat="1" applyFont="1" applyBorder="1"/>
    <xf numFmtId="333" fontId="251" fillId="0" borderId="0" xfId="0" applyNumberFormat="1" applyFont="1"/>
    <xf numFmtId="333" fontId="35" fillId="0" borderId="21" xfId="0" applyNumberFormat="1" applyFont="1" applyBorder="1"/>
    <xf numFmtId="333" fontId="35" fillId="0" borderId="37" xfId="0" applyNumberFormat="1" applyFont="1" applyBorder="1"/>
    <xf numFmtId="333" fontId="35" fillId="0" borderId="0" xfId="0" applyNumberFormat="1" applyFont="1"/>
    <xf numFmtId="333" fontId="37" fillId="0" borderId="8" xfId="0" applyNumberFormat="1" applyFont="1" applyBorder="1"/>
    <xf numFmtId="333" fontId="37" fillId="0" borderId="57" xfId="0" applyNumberFormat="1" applyFont="1" applyBorder="1"/>
    <xf numFmtId="333" fontId="37" fillId="0" borderId="58" xfId="0" applyNumberFormat="1" applyFont="1" applyBorder="1"/>
    <xf numFmtId="333" fontId="37" fillId="0" borderId="46" xfId="0" applyNumberFormat="1" applyFont="1" applyBorder="1"/>
    <xf numFmtId="333" fontId="37" fillId="0" borderId="37" xfId="0" applyNumberFormat="1" applyFont="1" applyBorder="1"/>
    <xf numFmtId="333" fontId="267" fillId="0" borderId="21" xfId="0" applyNumberFormat="1" applyFont="1" applyBorder="1"/>
    <xf numFmtId="333" fontId="37" fillId="0" borderId="0" xfId="0" applyNumberFormat="1" applyFont="1"/>
    <xf numFmtId="333" fontId="37" fillId="0" borderId="21" xfId="0" applyNumberFormat="1" applyFont="1" applyBorder="1"/>
    <xf numFmtId="333" fontId="251" fillId="0" borderId="0" xfId="1525" applyNumberFormat="1" applyFont="1" applyFill="1" applyBorder="1"/>
    <xf numFmtId="333" fontId="251" fillId="0" borderId="21" xfId="1525" applyNumberFormat="1" applyFont="1" applyFill="1" applyBorder="1"/>
    <xf numFmtId="333" fontId="18" fillId="0" borderId="0" xfId="1525" applyNumberFormat="1" applyFont="1" applyFill="1" applyBorder="1"/>
    <xf numFmtId="333" fontId="37" fillId="0" borderId="65" xfId="0" applyNumberFormat="1" applyFont="1" applyBorder="1"/>
    <xf numFmtId="333" fontId="37" fillId="0" borderId="42" xfId="0" applyNumberFormat="1" applyFont="1" applyBorder="1"/>
    <xf numFmtId="333" fontId="37" fillId="0" borderId="45" xfId="0" applyNumberFormat="1" applyFont="1" applyBorder="1"/>
    <xf numFmtId="0" fontId="38" fillId="0" borderId="21" xfId="0" applyFont="1" applyBorder="1" applyAlignment="1">
      <alignment horizontal="left" indent="1"/>
    </xf>
    <xf numFmtId="0" fontId="194" fillId="0" borderId="21" xfId="0" applyFont="1" applyBorder="1"/>
    <xf numFmtId="0" fontId="37" fillId="0" borderId="21" xfId="0" applyFont="1" applyBorder="1" applyAlignment="1">
      <alignment horizontal="left" indent="1"/>
    </xf>
    <xf numFmtId="0" fontId="37" fillId="71" borderId="6" xfId="0" applyFont="1" applyFill="1" applyBorder="1" applyAlignment="1">
      <alignment horizontal="left"/>
    </xf>
    <xf numFmtId="0" fontId="37" fillId="0" borderId="21" xfId="0" applyFont="1" applyBorder="1" applyAlignment="1">
      <alignment horizontal="left"/>
    </xf>
    <xf numFmtId="0" fontId="18" fillId="0" borderId="21" xfId="0" applyFont="1" applyBorder="1" applyAlignment="1">
      <alignment horizontal="left"/>
    </xf>
    <xf numFmtId="0" fontId="18" fillId="0" borderId="21" xfId="0" applyFont="1" applyBorder="1" applyAlignment="1">
      <alignment horizontal="left" indent="1"/>
    </xf>
    <xf numFmtId="0" fontId="44" fillId="0" borderId="21" xfId="0" applyFont="1" applyBorder="1" applyAlignment="1">
      <alignment horizontal="left" indent="1"/>
    </xf>
    <xf numFmtId="0" fontId="37" fillId="0" borderId="21" xfId="0" applyFont="1" applyBorder="1" applyAlignment="1">
      <alignment horizontal="left" indent="2"/>
    </xf>
    <xf numFmtId="0" fontId="18" fillId="0" borderId="21" xfId="0" applyFont="1" applyBorder="1" applyAlignment="1">
      <alignment horizontal="left" indent="2"/>
    </xf>
    <xf numFmtId="0" fontId="38" fillId="0" borderId="21" xfId="0" applyFont="1" applyBorder="1" applyAlignment="1">
      <alignment horizontal="left" indent="2"/>
    </xf>
    <xf numFmtId="0" fontId="44" fillId="0" borderId="21" xfId="0" applyFont="1" applyBorder="1" applyAlignment="1">
      <alignment horizontal="left" indent="3"/>
    </xf>
    <xf numFmtId="281" fontId="254" fillId="0" borderId="0" xfId="1525" applyNumberFormat="1" applyFont="1" applyFill="1"/>
    <xf numFmtId="281" fontId="18" fillId="0" borderId="0" xfId="0" applyNumberFormat="1" applyFont="1"/>
    <xf numFmtId="189" fontId="251" fillId="55" borderId="31" xfId="2895" applyNumberFormat="1" applyFont="1" applyFill="1" applyBorder="1" applyAlignment="1">
      <alignment horizontal="right" shrinkToFit="1"/>
    </xf>
    <xf numFmtId="189" fontId="251" fillId="55" borderId="0" xfId="2895" applyNumberFormat="1" applyFont="1" applyFill="1" applyBorder="1" applyAlignment="1">
      <alignment horizontal="right" shrinkToFit="1"/>
    </xf>
    <xf numFmtId="189" fontId="18" fillId="55" borderId="0" xfId="2895" applyNumberFormat="1" applyFont="1" applyFill="1" applyBorder="1" applyAlignment="1">
      <alignment horizontal="right" shrinkToFit="1"/>
    </xf>
    <xf numFmtId="0" fontId="37" fillId="45" borderId="37" xfId="0" applyFont="1" applyFill="1" applyBorder="1"/>
    <xf numFmtId="0" fontId="37" fillId="0" borderId="37" xfId="0" applyFont="1" applyBorder="1"/>
    <xf numFmtId="6" fontId="37" fillId="45" borderId="45" xfId="0" applyNumberFormat="1" applyFont="1" applyFill="1" applyBorder="1"/>
    <xf numFmtId="37" fontId="37" fillId="45" borderId="102" xfId="0" applyNumberFormat="1" applyFont="1" applyFill="1" applyBorder="1"/>
    <xf numFmtId="37" fontId="37" fillId="45" borderId="37" xfId="0" applyNumberFormat="1" applyFont="1" applyFill="1" applyBorder="1"/>
    <xf numFmtId="37" fontId="37" fillId="45" borderId="45" xfId="0" applyNumberFormat="1" applyFont="1" applyFill="1" applyBorder="1"/>
    <xf numFmtId="0" fontId="257" fillId="44" borderId="105" xfId="0" applyFont="1" applyFill="1" applyBorder="1"/>
    <xf numFmtId="0" fontId="0" fillId="0" borderId="36" xfId="0" applyBorder="1"/>
    <xf numFmtId="37" fontId="63" fillId="0" borderId="21" xfId="0" applyNumberFormat="1" applyFont="1" applyBorder="1" applyAlignment="1">
      <alignment horizontal="right"/>
    </xf>
    <xf numFmtId="7" fontId="18" fillId="0" borderId="0" xfId="0" applyNumberFormat="1" applyFont="1" applyAlignment="1">
      <alignment horizontal="right"/>
    </xf>
    <xf numFmtId="227" fontId="18" fillId="0" borderId="0" xfId="0" applyNumberFormat="1" applyFont="1"/>
    <xf numFmtId="176" fontId="35" fillId="0" borderId="37" xfId="0" applyNumberFormat="1" applyFont="1" applyBorder="1"/>
    <xf numFmtId="4" fontId="35" fillId="0" borderId="37" xfId="0" applyNumberFormat="1" applyFont="1" applyBorder="1" applyAlignment="1">
      <alignment horizontal="right"/>
    </xf>
    <xf numFmtId="4" fontId="35" fillId="0" borderId="37" xfId="0" applyNumberFormat="1" applyFont="1" applyBorder="1"/>
    <xf numFmtId="177" fontId="229" fillId="44" borderId="105" xfId="0" applyNumberFormat="1" applyFont="1" applyFill="1" applyBorder="1"/>
    <xf numFmtId="177" fontId="229" fillId="0" borderId="37" xfId="0" applyNumberFormat="1" applyFont="1" applyBorder="1"/>
    <xf numFmtId="169" fontId="37" fillId="71" borderId="105" xfId="0" applyNumberFormat="1" applyFont="1" applyFill="1" applyBorder="1" applyAlignment="1">
      <alignment horizontal="right"/>
    </xf>
    <xf numFmtId="177" fontId="63" fillId="71" borderId="105" xfId="0" applyNumberFormat="1" applyFont="1" applyFill="1" applyBorder="1"/>
    <xf numFmtId="169" fontId="35" fillId="71" borderId="105" xfId="0" applyNumberFormat="1" applyFont="1" applyFill="1" applyBorder="1" applyAlignment="1">
      <alignment horizontal="right"/>
    </xf>
    <xf numFmtId="177" fontId="186" fillId="44" borderId="105" xfId="0" applyNumberFormat="1" applyFont="1" applyFill="1" applyBorder="1"/>
    <xf numFmtId="37" fontId="37" fillId="57" borderId="105" xfId="0" applyNumberFormat="1" applyFont="1" applyFill="1" applyBorder="1"/>
    <xf numFmtId="177" fontId="186" fillId="57" borderId="105" xfId="0" applyNumberFormat="1" applyFont="1" applyFill="1" applyBorder="1"/>
    <xf numFmtId="177" fontId="186" fillId="56" borderId="37" xfId="0" applyNumberFormat="1" applyFont="1" applyFill="1" applyBorder="1"/>
    <xf numFmtId="169" fontId="35" fillId="57" borderId="105" xfId="0" applyNumberFormat="1" applyFont="1" applyFill="1" applyBorder="1" applyAlignment="1">
      <alignment horizontal="right"/>
    </xf>
    <xf numFmtId="169" fontId="257" fillId="44" borderId="105" xfId="0" applyNumberFormat="1" applyFont="1" applyFill="1" applyBorder="1" applyAlignment="1">
      <alignment horizontal="right"/>
    </xf>
    <xf numFmtId="189" fontId="257" fillId="44" borderId="102" xfId="2895" applyNumberFormat="1" applyFont="1" applyFill="1" applyBorder="1" applyAlignment="1">
      <alignment horizontal="right" shrinkToFit="1"/>
    </xf>
    <xf numFmtId="37" fontId="251" fillId="0" borderId="37" xfId="0" applyNumberFormat="1" applyFont="1" applyBorder="1"/>
    <xf numFmtId="177" fontId="37" fillId="0" borderId="102" xfId="0" applyNumberFormat="1" applyFont="1" applyBorder="1"/>
    <xf numFmtId="0" fontId="0" fillId="0" borderId="37" xfId="0" applyBorder="1"/>
    <xf numFmtId="169" fontId="48" fillId="49" borderId="0" xfId="0" applyNumberFormat="1" applyFont="1" applyFill="1" applyAlignment="1">
      <alignment horizontal="right"/>
    </xf>
    <xf numFmtId="2" fontId="18" fillId="0" borderId="0" xfId="0" applyNumberFormat="1" applyFont="1" applyAlignment="1">
      <alignment horizontal="right"/>
    </xf>
    <xf numFmtId="38" fontId="18" fillId="0" borderId="36" xfId="0" applyNumberFormat="1" applyFont="1" applyBorder="1"/>
    <xf numFmtId="9" fontId="251" fillId="49" borderId="0" xfId="0" applyNumberFormat="1" applyFont="1" applyFill="1" applyAlignment="1">
      <alignment horizontal="right"/>
    </xf>
    <xf numFmtId="176" fontId="267" fillId="0" borderId="57" xfId="1525" applyNumberFormat="1" applyFont="1" applyFill="1" applyBorder="1" applyAlignment="1" applyProtection="1">
      <alignment horizontal="right"/>
    </xf>
    <xf numFmtId="176" fontId="267" fillId="0" borderId="0" xfId="1525" applyNumberFormat="1" applyFont="1" applyFill="1" applyBorder="1" applyAlignment="1" applyProtection="1">
      <alignment horizontal="right"/>
    </xf>
    <xf numFmtId="176" fontId="251" fillId="0" borderId="0" xfId="1525" applyNumberFormat="1" applyFont="1" applyFill="1" applyBorder="1"/>
    <xf numFmtId="9" fontId="251" fillId="0" borderId="0" xfId="1716" applyFont="1" applyFill="1" applyBorder="1"/>
    <xf numFmtId="177" fontId="267" fillId="0" borderId="57" xfId="0" applyNumberFormat="1" applyFont="1" applyBorder="1"/>
    <xf numFmtId="177" fontId="251" fillId="49" borderId="0" xfId="0" applyNumberFormat="1" applyFont="1" applyFill="1"/>
    <xf numFmtId="169" fontId="251" fillId="49" borderId="0" xfId="1716" applyNumberFormat="1" applyFont="1" applyFill="1" applyBorder="1"/>
    <xf numFmtId="169" fontId="18" fillId="49" borderId="0" xfId="0" applyNumberFormat="1" applyFont="1" applyFill="1" applyAlignment="1">
      <alignment horizontal="right"/>
    </xf>
    <xf numFmtId="169" fontId="251" fillId="49" borderId="0" xfId="0" applyNumberFormat="1" applyFont="1" applyFill="1" applyAlignment="1">
      <alignment horizontal="right"/>
    </xf>
    <xf numFmtId="281" fontId="18" fillId="0" borderId="0" xfId="0" applyNumberFormat="1" applyFont="1" applyAlignment="1">
      <alignment horizontal="right"/>
    </xf>
    <xf numFmtId="177" fontId="348" fillId="0" borderId="0" xfId="0" applyNumberFormat="1" applyFont="1"/>
    <xf numFmtId="189" fontId="348" fillId="0" borderId="0" xfId="0" applyNumberFormat="1" applyFont="1"/>
    <xf numFmtId="320" fontId="35" fillId="0" borderId="0" xfId="0" applyNumberFormat="1" applyFont="1"/>
    <xf numFmtId="49" fontId="341" fillId="49" borderId="0" xfId="0" applyNumberFormat="1" applyFont="1" applyFill="1" applyAlignment="1">
      <alignment horizontal="center"/>
    </xf>
    <xf numFmtId="9" fontId="48" fillId="49" borderId="0" xfId="0" applyNumberFormat="1" applyFont="1" applyFill="1" applyAlignment="1">
      <alignment horizontal="center"/>
    </xf>
    <xf numFmtId="177" fontId="18" fillId="49" borderId="0" xfId="0" applyNumberFormat="1" applyFont="1" applyFill="1"/>
    <xf numFmtId="177" fontId="186" fillId="49" borderId="21" xfId="0" applyNumberFormat="1" applyFont="1" applyFill="1" applyBorder="1"/>
    <xf numFmtId="0" fontId="190" fillId="44" borderId="104" xfId="0" applyFont="1" applyFill="1" applyBorder="1" applyAlignment="1">
      <alignment horizontal="center"/>
    </xf>
    <xf numFmtId="9" fontId="18" fillId="49" borderId="0" xfId="0" applyNumberFormat="1" applyFont="1" applyFill="1" applyAlignment="1">
      <alignment horizontal="right"/>
    </xf>
    <xf numFmtId="177" fontId="18" fillId="49" borderId="37" xfId="0" applyNumberFormat="1" applyFont="1" applyFill="1" applyBorder="1"/>
    <xf numFmtId="169" fontId="48" fillId="49" borderId="37" xfId="0" applyNumberFormat="1" applyFont="1" applyFill="1" applyBorder="1" applyAlignment="1">
      <alignment horizontal="right"/>
    </xf>
    <xf numFmtId="169" fontId="35" fillId="49" borderId="21" xfId="0" applyNumberFormat="1" applyFont="1" applyFill="1" applyBorder="1" applyAlignment="1">
      <alignment horizontal="right"/>
    </xf>
    <xf numFmtId="169" fontId="48" fillId="49" borderId="21" xfId="0" applyNumberFormat="1" applyFont="1" applyFill="1" applyBorder="1" applyAlignment="1">
      <alignment horizontal="right"/>
    </xf>
    <xf numFmtId="169" fontId="18" fillId="49" borderId="37" xfId="0" applyNumberFormat="1" applyFont="1" applyFill="1" applyBorder="1" applyAlignment="1">
      <alignment horizontal="right"/>
    </xf>
    <xf numFmtId="177" fontId="35" fillId="49" borderId="37" xfId="0" applyNumberFormat="1" applyFont="1" applyFill="1" applyBorder="1"/>
    <xf numFmtId="9" fontId="48" fillId="49" borderId="37" xfId="0" applyNumberFormat="1" applyFont="1" applyFill="1" applyBorder="1" applyAlignment="1">
      <alignment horizontal="right"/>
    </xf>
    <xf numFmtId="9" fontId="48" fillId="49" borderId="21" xfId="0" applyNumberFormat="1" applyFont="1" applyFill="1" applyBorder="1" applyAlignment="1">
      <alignment horizontal="right"/>
    </xf>
    <xf numFmtId="9" fontId="186" fillId="49" borderId="21" xfId="0" applyNumberFormat="1" applyFont="1" applyFill="1" applyBorder="1"/>
    <xf numFmtId="5" fontId="267" fillId="0" borderId="0" xfId="0" applyNumberFormat="1" applyFont="1"/>
    <xf numFmtId="5" fontId="267" fillId="54" borderId="7" xfId="0" applyNumberFormat="1" applyFont="1" applyFill="1" applyBorder="1"/>
    <xf numFmtId="3" fontId="48" fillId="0" borderId="0" xfId="1525" applyNumberFormat="1" applyFont="1" applyFill="1" applyAlignment="1">
      <alignment horizontal="center"/>
    </xf>
    <xf numFmtId="0" fontId="257" fillId="44" borderId="83" xfId="0" applyFont="1" applyFill="1" applyBorder="1"/>
    <xf numFmtId="0" fontId="18" fillId="45" borderId="83" xfId="0" applyFont="1" applyFill="1" applyBorder="1"/>
    <xf numFmtId="40" fontId="18" fillId="0" borderId="73" xfId="0" applyNumberFormat="1" applyFont="1" applyBorder="1"/>
    <xf numFmtId="40" fontId="18" fillId="0" borderId="96" xfId="0" applyNumberFormat="1" applyFont="1" applyBorder="1"/>
    <xf numFmtId="0" fontId="18" fillId="0" borderId="73" xfId="0" applyFont="1" applyBorder="1" applyAlignment="1">
      <alignment horizontal="right"/>
    </xf>
    <xf numFmtId="9" fontId="18" fillId="0" borderId="73" xfId="0" applyNumberFormat="1" applyFont="1" applyBorder="1"/>
    <xf numFmtId="9" fontId="18" fillId="0" borderId="96" xfId="0" applyNumberFormat="1" applyFont="1" applyBorder="1"/>
    <xf numFmtId="6" fontId="18" fillId="0" borderId="73" xfId="0" applyNumberFormat="1" applyFont="1" applyBorder="1"/>
    <xf numFmtId="37" fontId="18" fillId="0" borderId="73" xfId="0" applyNumberFormat="1" applyFont="1" applyBorder="1"/>
    <xf numFmtId="37" fontId="18" fillId="0" borderId="96" xfId="0" applyNumberFormat="1" applyFont="1" applyBorder="1"/>
    <xf numFmtId="0" fontId="18" fillId="0" borderId="73" xfId="0" applyFont="1" applyBorder="1"/>
    <xf numFmtId="43" fontId="18" fillId="0" borderId="0" xfId="0" applyNumberFormat="1" applyFont="1"/>
    <xf numFmtId="4" fontId="57" fillId="49" borderId="0" xfId="1525" applyFont="1" applyFill="1" applyAlignment="1" applyProtection="1">
      <alignment horizontal="center"/>
    </xf>
    <xf numFmtId="329" fontId="255" fillId="0" borderId="63" xfId="0" applyNumberFormat="1" applyFont="1" applyBorder="1"/>
    <xf numFmtId="7" fontId="0" fillId="0" borderId="0" xfId="0" applyNumberFormat="1"/>
    <xf numFmtId="0" fontId="190" fillId="44" borderId="0" xfId="0" applyFont="1" applyFill="1" applyAlignment="1">
      <alignment horizontal="center"/>
    </xf>
    <xf numFmtId="37" fontId="35" fillId="49" borderId="0" xfId="0" applyNumberFormat="1" applyFont="1" applyFill="1"/>
    <xf numFmtId="177" fontId="37" fillId="49" borderId="0" xfId="0" applyNumberFormat="1" applyFont="1" applyFill="1"/>
    <xf numFmtId="177" fontId="252" fillId="49" borderId="0" xfId="0" applyNumberFormat="1" applyFont="1" applyFill="1"/>
    <xf numFmtId="337" fontId="252" fillId="0" borderId="0" xfId="0" applyNumberFormat="1" applyFont="1"/>
    <xf numFmtId="37" fontId="37" fillId="45" borderId="46" xfId="0" applyNumberFormat="1" applyFont="1" applyFill="1" applyBorder="1"/>
    <xf numFmtId="0" fontId="35" fillId="0" borderId="0" xfId="2895" applyNumberFormat="1" applyFont="1" applyFill="1" applyBorder="1"/>
    <xf numFmtId="4" fontId="350" fillId="49" borderId="0" xfId="1525" applyFont="1" applyFill="1" applyAlignment="1" applyProtection="1">
      <alignment horizontal="center"/>
    </xf>
    <xf numFmtId="169" fontId="257" fillId="0" borderId="0" xfId="0" applyNumberFormat="1" applyFont="1" applyAlignment="1">
      <alignment horizontal="center"/>
    </xf>
    <xf numFmtId="169" fontId="259" fillId="0" borderId="21" xfId="0" applyNumberFormat="1" applyFont="1" applyBorder="1" applyAlignment="1">
      <alignment horizontal="right"/>
    </xf>
    <xf numFmtId="169" fontId="18" fillId="45" borderId="7" xfId="0" applyNumberFormat="1" applyFont="1" applyFill="1" applyBorder="1"/>
    <xf numFmtId="281" fontId="252" fillId="0" borderId="0" xfId="0" applyNumberFormat="1" applyFont="1"/>
    <xf numFmtId="177" fontId="18" fillId="49" borderId="31" xfId="0" applyNumberFormat="1" applyFont="1" applyFill="1" applyBorder="1"/>
    <xf numFmtId="169" fontId="48" fillId="49" borderId="31" xfId="0" applyNumberFormat="1" applyFont="1" applyFill="1" applyBorder="1" applyAlignment="1">
      <alignment horizontal="right"/>
    </xf>
    <xf numFmtId="264" fontId="18" fillId="0" borderId="0" xfId="0" applyNumberFormat="1" applyFont="1"/>
    <xf numFmtId="264" fontId="18" fillId="0" borderId="59" xfId="0" applyNumberFormat="1" applyFont="1" applyBorder="1" applyAlignment="1">
      <alignment horizontal="right"/>
    </xf>
    <xf numFmtId="0" fontId="18" fillId="45" borderId="104" xfId="0" applyFont="1" applyFill="1" applyBorder="1" applyAlignment="1">
      <alignment horizontal="right"/>
    </xf>
    <xf numFmtId="9" fontId="18" fillId="0" borderId="59" xfId="0" applyNumberFormat="1" applyFont="1" applyBorder="1" applyAlignment="1">
      <alignment horizontal="right"/>
    </xf>
    <xf numFmtId="3" fontId="18" fillId="0" borderId="59" xfId="0" applyNumberFormat="1" applyFont="1" applyBorder="1"/>
    <xf numFmtId="37" fontId="18" fillId="45" borderId="104" xfId="0" applyNumberFormat="1" applyFont="1" applyFill="1" applyBorder="1"/>
    <xf numFmtId="165" fontId="251" fillId="0" borderId="104" xfId="0" applyNumberFormat="1" applyFont="1" applyBorder="1"/>
    <xf numFmtId="203" fontId="18" fillId="0" borderId="59" xfId="0" applyNumberFormat="1" applyFont="1" applyBorder="1"/>
    <xf numFmtId="3" fontId="18" fillId="0" borderId="46" xfId="0" applyNumberFormat="1" applyFont="1" applyBorder="1"/>
    <xf numFmtId="38" fontId="18" fillId="0" borderId="59" xfId="0" applyNumberFormat="1" applyFont="1" applyBorder="1"/>
    <xf numFmtId="38" fontId="18" fillId="0" borderId="46" xfId="0" applyNumberFormat="1" applyFont="1" applyBorder="1"/>
    <xf numFmtId="40" fontId="18" fillId="0" borderId="59" xfId="0" applyNumberFormat="1" applyFont="1" applyBorder="1"/>
    <xf numFmtId="37" fontId="18" fillId="0" borderId="0" xfId="0" applyNumberFormat="1" applyFont="1" applyAlignment="1">
      <alignment horizontal="right"/>
    </xf>
    <xf numFmtId="179" fontId="190" fillId="44" borderId="46" xfId="1525" applyNumberFormat="1" applyFont="1" applyFill="1" applyBorder="1" applyAlignment="1">
      <alignment horizontal="center"/>
    </xf>
    <xf numFmtId="0" fontId="18" fillId="0" borderId="36" xfId="0" applyFont="1" applyBorder="1" applyAlignment="1">
      <alignment horizontal="right"/>
    </xf>
    <xf numFmtId="0" fontId="18" fillId="45" borderId="105" xfId="0" applyFont="1" applyFill="1" applyBorder="1"/>
    <xf numFmtId="333" fontId="18" fillId="0" borderId="37" xfId="0" applyNumberFormat="1" applyFont="1" applyBorder="1"/>
    <xf numFmtId="333" fontId="37" fillId="0" borderId="102" xfId="0" applyNumberFormat="1" applyFont="1" applyBorder="1"/>
    <xf numFmtId="333" fontId="18" fillId="0" borderId="37" xfId="1525" applyNumberFormat="1" applyFont="1" applyFill="1" applyBorder="1"/>
    <xf numFmtId="37" fontId="18" fillId="0" borderId="37" xfId="0" applyNumberFormat="1" applyFont="1" applyBorder="1"/>
    <xf numFmtId="8" fontId="18" fillId="0" borderId="37" xfId="0" applyNumberFormat="1" applyFont="1" applyBorder="1"/>
    <xf numFmtId="9" fontId="18" fillId="0" borderId="36" xfId="0" applyNumberFormat="1" applyFont="1" applyBorder="1" applyAlignment="1">
      <alignment horizontal="right"/>
    </xf>
    <xf numFmtId="37" fontId="18" fillId="0" borderId="101" xfId="0" applyNumberFormat="1" applyFont="1" applyBorder="1"/>
    <xf numFmtId="37" fontId="18" fillId="45" borderId="105" xfId="0" applyNumberFormat="1" applyFont="1" applyFill="1" applyBorder="1"/>
    <xf numFmtId="1" fontId="18" fillId="0" borderId="36" xfId="0" applyNumberFormat="1" applyFont="1" applyBorder="1"/>
    <xf numFmtId="3" fontId="18" fillId="0" borderId="37" xfId="0" applyNumberFormat="1" applyFont="1" applyBorder="1"/>
    <xf numFmtId="38" fontId="18" fillId="0" borderId="37" xfId="0" applyNumberFormat="1" applyFont="1" applyBorder="1"/>
    <xf numFmtId="38" fontId="18" fillId="0" borderId="101" xfId="0" applyNumberFormat="1" applyFont="1" applyBorder="1"/>
    <xf numFmtId="38" fontId="18" fillId="45" borderId="72" xfId="0" applyNumberFormat="1" applyFont="1" applyFill="1" applyBorder="1"/>
    <xf numFmtId="38" fontId="18" fillId="45" borderId="105" xfId="0" applyNumberFormat="1" applyFont="1" applyFill="1" applyBorder="1"/>
    <xf numFmtId="40" fontId="18" fillId="0" borderId="36" xfId="0" applyNumberFormat="1" applyFont="1" applyBorder="1"/>
    <xf numFmtId="40" fontId="18" fillId="0" borderId="37" xfId="0" applyNumberFormat="1" applyFont="1" applyBorder="1"/>
    <xf numFmtId="40" fontId="18" fillId="0" borderId="71" xfId="0" applyNumberFormat="1" applyFont="1" applyBorder="1"/>
    <xf numFmtId="40" fontId="18" fillId="0" borderId="101" xfId="0" applyNumberFormat="1" applyFont="1" applyBorder="1"/>
    <xf numFmtId="9" fontId="18" fillId="0" borderId="37" xfId="0" applyNumberFormat="1" applyFont="1" applyBorder="1"/>
    <xf numFmtId="9" fontId="18" fillId="0" borderId="71" xfId="0" applyNumberFormat="1" applyFont="1" applyBorder="1"/>
    <xf numFmtId="9" fontId="18" fillId="0" borderId="101" xfId="0" applyNumberFormat="1" applyFont="1" applyBorder="1"/>
    <xf numFmtId="6" fontId="18" fillId="0" borderId="36" xfId="0" applyNumberFormat="1" applyFont="1" applyBorder="1"/>
    <xf numFmtId="6" fontId="18" fillId="0" borderId="37" xfId="0" applyNumberFormat="1" applyFont="1" applyBorder="1"/>
    <xf numFmtId="37" fontId="18" fillId="0" borderId="73" xfId="0" applyNumberFormat="1" applyFont="1" applyBorder="1" applyAlignment="1">
      <alignment horizontal="right"/>
    </xf>
    <xf numFmtId="37" fontId="18" fillId="0" borderId="36" xfId="0" applyNumberFormat="1" applyFont="1" applyBorder="1" applyAlignment="1">
      <alignment horizontal="right"/>
    </xf>
    <xf numFmtId="37" fontId="18" fillId="0" borderId="37" xfId="0" applyNumberFormat="1" applyFont="1" applyBorder="1" applyAlignment="1">
      <alignment horizontal="right"/>
    </xf>
    <xf numFmtId="3" fontId="18" fillId="0" borderId="73" xfId="0" applyNumberFormat="1" applyFont="1" applyBorder="1"/>
    <xf numFmtId="37" fontId="18" fillId="0" borderId="130" xfId="0" applyNumberFormat="1" applyFont="1" applyBorder="1"/>
    <xf numFmtId="264" fontId="18" fillId="0" borderId="101" xfId="0" applyNumberFormat="1" applyFont="1" applyBorder="1" applyAlignment="1">
      <alignment horizontal="right"/>
    </xf>
    <xf numFmtId="0" fontId="18" fillId="45" borderId="105" xfId="0" applyFont="1" applyFill="1" applyBorder="1" applyAlignment="1">
      <alignment horizontal="right"/>
    </xf>
    <xf numFmtId="333" fontId="18" fillId="0" borderId="101" xfId="0" applyNumberFormat="1" applyFont="1" applyBorder="1"/>
    <xf numFmtId="186" fontId="18" fillId="0" borderId="0" xfId="0" applyNumberFormat="1" applyFont="1"/>
    <xf numFmtId="177" fontId="229" fillId="44" borderId="103" xfId="0" applyNumberFormat="1" applyFont="1" applyFill="1" applyBorder="1"/>
    <xf numFmtId="189" fontId="251" fillId="0" borderId="31" xfId="2895" applyNumberFormat="1" applyFont="1" applyFill="1" applyBorder="1" applyAlignment="1">
      <alignment horizontal="right" shrinkToFit="1"/>
    </xf>
    <xf numFmtId="177" fontId="186" fillId="49" borderId="31" xfId="0" applyNumberFormat="1" applyFont="1" applyFill="1" applyBorder="1"/>
    <xf numFmtId="37" fontId="37" fillId="57" borderId="104" xfId="0" applyNumberFormat="1" applyFont="1" applyFill="1" applyBorder="1"/>
    <xf numFmtId="177" fontId="186" fillId="57" borderId="103" xfId="0" applyNumberFormat="1" applyFont="1" applyFill="1" applyBorder="1"/>
    <xf numFmtId="177" fontId="186" fillId="57" borderId="104" xfId="0" applyNumberFormat="1" applyFont="1" applyFill="1" applyBorder="1"/>
    <xf numFmtId="177" fontId="186" fillId="46" borderId="31" xfId="0" applyNumberFormat="1" applyFont="1" applyFill="1" applyBorder="1"/>
    <xf numFmtId="189" fontId="18" fillId="46" borderId="31" xfId="2895" applyNumberFormat="1" applyFont="1" applyFill="1" applyBorder="1" applyAlignment="1">
      <alignment horizontal="right" shrinkToFit="1"/>
    </xf>
    <xf numFmtId="169" fontId="18" fillId="46" borderId="31" xfId="0" applyNumberFormat="1" applyFont="1" applyFill="1" applyBorder="1"/>
    <xf numFmtId="177" fontId="186" fillId="97" borderId="31" xfId="0" applyNumberFormat="1" applyFont="1" applyFill="1" applyBorder="1"/>
    <xf numFmtId="281" fontId="186" fillId="71" borderId="31" xfId="0" applyNumberFormat="1" applyFont="1" applyFill="1" applyBorder="1"/>
    <xf numFmtId="177" fontId="186" fillId="48" borderId="31" xfId="0" applyNumberFormat="1" applyFont="1" applyFill="1" applyBorder="1"/>
    <xf numFmtId="189" fontId="18" fillId="48" borderId="31" xfId="2895" applyNumberFormat="1" applyFont="1" applyFill="1" applyBorder="1" applyAlignment="1">
      <alignment horizontal="right" shrinkToFit="1"/>
    </xf>
    <xf numFmtId="169" fontId="18" fillId="48" borderId="31" xfId="0" applyNumberFormat="1" applyFont="1" applyFill="1" applyBorder="1"/>
    <xf numFmtId="37" fontId="37" fillId="48" borderId="31" xfId="0" applyNumberFormat="1" applyFont="1" applyFill="1" applyBorder="1"/>
    <xf numFmtId="37" fontId="37" fillId="57" borderId="103" xfId="0" applyNumberFormat="1" applyFont="1" applyFill="1" applyBorder="1"/>
    <xf numFmtId="169" fontId="35" fillId="49" borderId="31" xfId="0" applyNumberFormat="1" applyFont="1" applyFill="1" applyBorder="1" applyAlignment="1">
      <alignment horizontal="right"/>
    </xf>
    <xf numFmtId="9" fontId="186" fillId="49" borderId="31" xfId="0" applyNumberFormat="1" applyFont="1" applyFill="1" applyBorder="1"/>
    <xf numFmtId="177" fontId="186" fillId="56" borderId="31" xfId="0" applyNumberFormat="1" applyFont="1" applyFill="1" applyBorder="1"/>
    <xf numFmtId="169" fontId="35" fillId="57" borderId="103" xfId="0" applyNumberFormat="1" applyFont="1" applyFill="1" applyBorder="1" applyAlignment="1">
      <alignment horizontal="right"/>
    </xf>
    <xf numFmtId="169" fontId="257" fillId="44" borderId="103" xfId="0" applyNumberFormat="1" applyFont="1" applyFill="1" applyBorder="1" applyAlignment="1">
      <alignment horizontal="right"/>
    </xf>
    <xf numFmtId="9" fontId="18" fillId="0" borderId="0" xfId="1716" applyFont="1" applyFill="1" applyBorder="1" applyAlignment="1">
      <alignment horizontal="right" shrinkToFit="1"/>
    </xf>
    <xf numFmtId="9" fontId="18" fillId="0" borderId="31" xfId="1716" applyFont="1" applyFill="1" applyBorder="1" applyAlignment="1">
      <alignment horizontal="right" shrinkToFit="1"/>
    </xf>
    <xf numFmtId="37" fontId="63" fillId="0" borderId="37" xfId="0" applyNumberFormat="1" applyFont="1" applyBorder="1" applyAlignment="1">
      <alignment horizontal="right"/>
    </xf>
    <xf numFmtId="185" fontId="18" fillId="0" borderId="37" xfId="2895" applyNumberFormat="1" applyFont="1" applyFill="1" applyBorder="1" applyAlignment="1">
      <alignment horizontal="right" shrinkToFit="1"/>
    </xf>
    <xf numFmtId="177" fontId="186" fillId="49" borderId="37" xfId="0" applyNumberFormat="1" applyFont="1" applyFill="1" applyBorder="1"/>
    <xf numFmtId="177" fontId="186" fillId="46" borderId="37" xfId="0" applyNumberFormat="1" applyFont="1" applyFill="1" applyBorder="1"/>
    <xf numFmtId="189" fontId="18" fillId="46" borderId="37" xfId="2895" applyNumberFormat="1" applyFont="1" applyFill="1" applyBorder="1" applyAlignment="1">
      <alignment horizontal="right" shrinkToFit="1"/>
    </xf>
    <xf numFmtId="169" fontId="18" fillId="46" borderId="37" xfId="0" applyNumberFormat="1" applyFont="1" applyFill="1" applyBorder="1"/>
    <xf numFmtId="189" fontId="18" fillId="48" borderId="37" xfId="2895" applyNumberFormat="1" applyFont="1" applyFill="1" applyBorder="1" applyAlignment="1">
      <alignment horizontal="right" shrinkToFit="1"/>
    </xf>
    <xf numFmtId="169" fontId="18" fillId="48" borderId="37" xfId="0" applyNumberFormat="1" applyFont="1" applyFill="1" applyBorder="1"/>
    <xf numFmtId="169" fontId="35" fillId="49" borderId="37" xfId="0" applyNumberFormat="1" applyFont="1" applyFill="1" applyBorder="1" applyAlignment="1">
      <alignment horizontal="right"/>
    </xf>
    <xf numFmtId="9" fontId="186" fillId="49" borderId="37" xfId="0" applyNumberFormat="1" applyFont="1" applyFill="1" applyBorder="1"/>
    <xf numFmtId="37" fontId="63" fillId="0" borderId="0" xfId="0" applyNumberFormat="1" applyFont="1" applyAlignment="1">
      <alignment horizontal="right"/>
    </xf>
    <xf numFmtId="176" fontId="35" fillId="0" borderId="0" xfId="0" applyNumberFormat="1" applyFont="1"/>
    <xf numFmtId="3" fontId="35" fillId="0" borderId="0" xfId="1525" applyNumberFormat="1" applyFont="1" applyFill="1" applyBorder="1" applyAlignment="1" applyProtection="1">
      <alignment horizontal="right"/>
    </xf>
    <xf numFmtId="4" fontId="35" fillId="0" borderId="0" xfId="1525" applyFont="1" applyFill="1" applyBorder="1" applyAlignment="1" applyProtection="1">
      <alignment horizontal="right"/>
    </xf>
    <xf numFmtId="177" fontId="186" fillId="49" borderId="0" xfId="0" applyNumberFormat="1" applyFont="1" applyFill="1"/>
    <xf numFmtId="189" fontId="18" fillId="46" borderId="0" xfId="2895" applyNumberFormat="1" applyFont="1" applyFill="1" applyBorder="1" applyAlignment="1">
      <alignment horizontal="right" shrinkToFit="1"/>
    </xf>
    <xf numFmtId="189" fontId="18" fillId="48" borderId="0" xfId="2895" applyNumberFormat="1" applyFont="1" applyFill="1" applyBorder="1" applyAlignment="1">
      <alignment horizontal="right" shrinkToFit="1"/>
    </xf>
    <xf numFmtId="177" fontId="35" fillId="49" borderId="0" xfId="0" applyNumberFormat="1" applyFont="1" applyFill="1"/>
    <xf numFmtId="169" fontId="35" fillId="49" borderId="0" xfId="0" applyNumberFormat="1" applyFont="1" applyFill="1" applyAlignment="1">
      <alignment horizontal="right"/>
    </xf>
    <xf numFmtId="189" fontId="257" fillId="44" borderId="0" xfId="2895" applyNumberFormat="1" applyFont="1" applyFill="1" applyBorder="1" applyAlignment="1">
      <alignment horizontal="right" shrinkToFit="1"/>
    </xf>
    <xf numFmtId="37" fontId="37" fillId="57" borderId="59" xfId="0" applyNumberFormat="1" applyFont="1" applyFill="1" applyBorder="1"/>
    <xf numFmtId="169" fontId="35" fillId="0" borderId="59" xfId="0" applyNumberFormat="1" applyFont="1" applyBorder="1" applyAlignment="1">
      <alignment horizontal="right"/>
    </xf>
    <xf numFmtId="169" fontId="35" fillId="0" borderId="27" xfId="0" applyNumberFormat="1" applyFont="1" applyBorder="1" applyAlignment="1">
      <alignment horizontal="right"/>
    </xf>
    <xf numFmtId="169" fontId="35" fillId="57" borderId="104" xfId="0" applyNumberFormat="1" applyFont="1" applyFill="1" applyBorder="1" applyAlignment="1">
      <alignment horizontal="right"/>
    </xf>
    <xf numFmtId="177" fontId="63" fillId="71" borderId="104" xfId="0" applyNumberFormat="1" applyFont="1" applyFill="1" applyBorder="1"/>
    <xf numFmtId="169" fontId="35" fillId="71" borderId="104" xfId="0" applyNumberFormat="1" applyFont="1" applyFill="1" applyBorder="1" applyAlignment="1">
      <alignment horizontal="right"/>
    </xf>
    <xf numFmtId="189" fontId="18" fillId="49" borderId="21" xfId="2895" applyNumberFormat="1" applyFont="1" applyFill="1" applyBorder="1" applyAlignment="1">
      <alignment horizontal="right" shrinkToFit="1"/>
    </xf>
    <xf numFmtId="177" fontId="186" fillId="44" borderId="131" xfId="0" applyNumberFormat="1" applyFont="1" applyFill="1" applyBorder="1"/>
    <xf numFmtId="177" fontId="229" fillId="44" borderId="131" xfId="0" applyNumberFormat="1" applyFont="1" applyFill="1" applyBorder="1"/>
    <xf numFmtId="169" fontId="257" fillId="44" borderId="131" xfId="0" applyNumberFormat="1" applyFont="1" applyFill="1" applyBorder="1" applyAlignment="1">
      <alignment horizontal="right"/>
    </xf>
    <xf numFmtId="328" fontId="35" fillId="0" borderId="36" xfId="0" applyNumberFormat="1" applyFont="1" applyBorder="1"/>
    <xf numFmtId="328" fontId="18" fillId="0" borderId="0" xfId="0" applyNumberFormat="1" applyFont="1"/>
    <xf numFmtId="328" fontId="18" fillId="0" borderId="73" xfId="0" applyNumberFormat="1" applyFont="1" applyBorder="1"/>
    <xf numFmtId="328" fontId="18" fillId="0" borderId="36" xfId="0" applyNumberFormat="1" applyFont="1" applyBorder="1"/>
    <xf numFmtId="328" fontId="18" fillId="0" borderId="37" xfId="0" applyNumberFormat="1" applyFont="1" applyBorder="1"/>
    <xf numFmtId="329" fontId="255" fillId="0" borderId="59" xfId="0" applyNumberFormat="1" applyFont="1" applyBorder="1"/>
    <xf numFmtId="170" fontId="35" fillId="0" borderId="131" xfId="0" applyNumberFormat="1" applyFont="1" applyBorder="1"/>
    <xf numFmtId="169" fontId="37" fillId="45" borderId="105" xfId="1716" applyNumberFormat="1" applyFont="1" applyFill="1" applyBorder="1"/>
    <xf numFmtId="0" fontId="37" fillId="45" borderId="105" xfId="0" applyFont="1" applyFill="1" applyBorder="1"/>
    <xf numFmtId="169" fontId="37" fillId="45" borderId="103" xfId="1716" applyNumberFormat="1" applyFont="1" applyFill="1" applyBorder="1"/>
    <xf numFmtId="0" fontId="37" fillId="45" borderId="103" xfId="0" applyFont="1" applyFill="1" applyBorder="1"/>
    <xf numFmtId="169" fontId="37" fillId="45" borderId="131" xfId="1716" applyNumberFormat="1" applyFont="1" applyFill="1" applyBorder="1"/>
    <xf numFmtId="0" fontId="37" fillId="45" borderId="131" xfId="0" applyFont="1" applyFill="1" applyBorder="1"/>
    <xf numFmtId="0" fontId="37" fillId="45" borderId="105" xfId="1525" quotePrefix="1" applyNumberFormat="1" applyFont="1" applyFill="1" applyBorder="1" applyAlignment="1">
      <alignment horizontal="right"/>
    </xf>
    <xf numFmtId="0" fontId="37" fillId="45" borderId="103" xfId="1525" quotePrefix="1" applyNumberFormat="1" applyFont="1" applyFill="1" applyBorder="1" applyAlignment="1">
      <alignment horizontal="right"/>
    </xf>
    <xf numFmtId="0" fontId="37" fillId="45" borderId="131" xfId="1525" quotePrefix="1" applyNumberFormat="1" applyFont="1" applyFill="1" applyBorder="1" applyAlignment="1">
      <alignment horizontal="right"/>
    </xf>
    <xf numFmtId="1" fontId="37" fillId="0" borderId="21" xfId="0" applyNumberFormat="1" applyFont="1" applyBorder="1" applyAlignment="1">
      <alignment horizontal="left" indent="1"/>
    </xf>
    <xf numFmtId="1" fontId="44" fillId="0" borderId="21" xfId="0" applyNumberFormat="1" applyFont="1" applyBorder="1" applyAlignment="1">
      <alignment horizontal="left" indent="1"/>
    </xf>
    <xf numFmtId="1" fontId="18" fillId="0" borderId="21" xfId="0" applyNumberFormat="1" applyFont="1" applyBorder="1" applyAlignment="1">
      <alignment horizontal="left" indent="2"/>
    </xf>
    <xf numFmtId="0" fontId="38" fillId="0" borderId="21" xfId="0" applyFont="1" applyBorder="1" applyAlignment="1">
      <alignment horizontal="center" shrinkToFit="1"/>
    </xf>
    <xf numFmtId="0" fontId="190" fillId="44" borderId="131" xfId="0" applyFont="1" applyFill="1" applyBorder="1" applyAlignment="1">
      <alignment horizontal="center"/>
    </xf>
    <xf numFmtId="169" fontId="37" fillId="71" borderId="131" xfId="0" applyNumberFormat="1" applyFont="1" applyFill="1" applyBorder="1" applyAlignment="1">
      <alignment horizontal="right"/>
    </xf>
    <xf numFmtId="177" fontId="37" fillId="71" borderId="131" xfId="0" applyNumberFormat="1" applyFont="1" applyFill="1" applyBorder="1"/>
    <xf numFmtId="176" fontId="35" fillId="0" borderId="0" xfId="1525" applyNumberFormat="1" applyFont="1" applyFill="1" applyBorder="1" applyAlignment="1" applyProtection="1">
      <alignment horizontal="right"/>
    </xf>
    <xf numFmtId="204" fontId="35" fillId="0" borderId="0" xfId="1525" applyNumberFormat="1" applyFont="1" applyFill="1" applyBorder="1" applyAlignment="1" applyProtection="1">
      <alignment horizontal="right"/>
    </xf>
    <xf numFmtId="169" fontId="35" fillId="71" borderId="131" xfId="0" applyNumberFormat="1" applyFont="1" applyFill="1" applyBorder="1" applyAlignment="1">
      <alignment horizontal="right"/>
    </xf>
    <xf numFmtId="176" fontId="35" fillId="0" borderId="0" xfId="1525" applyNumberFormat="1" applyFont="1" applyFill="1" applyBorder="1"/>
    <xf numFmtId="176" fontId="252" fillId="0" borderId="0" xfId="1525" applyNumberFormat="1" applyFont="1" applyFill="1" applyBorder="1" applyAlignment="1" applyProtection="1">
      <alignment horizontal="right"/>
    </xf>
    <xf numFmtId="9" fontId="35" fillId="49" borderId="0" xfId="1716" applyFont="1" applyFill="1" applyBorder="1"/>
    <xf numFmtId="177" fontId="35" fillId="44" borderId="131" xfId="0" applyNumberFormat="1" applyFont="1" applyFill="1" applyBorder="1"/>
    <xf numFmtId="177" fontId="37" fillId="57" borderId="131" xfId="0" applyNumberFormat="1" applyFont="1" applyFill="1" applyBorder="1"/>
    <xf numFmtId="177" fontId="35" fillId="57" borderId="131" xfId="0" applyNumberFormat="1" applyFont="1" applyFill="1" applyBorder="1"/>
    <xf numFmtId="177" fontId="232" fillId="0" borderId="0" xfId="0" applyNumberFormat="1" applyFont="1"/>
    <xf numFmtId="169" fontId="35" fillId="57" borderId="131" xfId="0" applyNumberFormat="1" applyFont="1" applyFill="1" applyBorder="1" applyAlignment="1">
      <alignment horizontal="right"/>
    </xf>
    <xf numFmtId="176" fontId="63" fillId="0" borderId="31" xfId="1525" applyNumberFormat="1" applyFont="1" applyFill="1" applyBorder="1"/>
    <xf numFmtId="176" fontId="35" fillId="0" borderId="31" xfId="1525" applyNumberFormat="1" applyFont="1" applyBorder="1"/>
    <xf numFmtId="169" fontId="251" fillId="0" borderId="31" xfId="0" applyNumberFormat="1" applyFont="1" applyBorder="1" applyAlignment="1">
      <alignment horizontal="center"/>
    </xf>
    <xf numFmtId="189" fontId="257" fillId="44" borderId="129" xfId="2895" applyNumberFormat="1" applyFont="1" applyFill="1" applyBorder="1" applyAlignment="1">
      <alignment horizontal="right" shrinkToFit="1"/>
    </xf>
    <xf numFmtId="0" fontId="51" fillId="0" borderId="0" xfId="0" applyFont="1"/>
    <xf numFmtId="3" fontId="18" fillId="0" borderId="31" xfId="0" applyNumberFormat="1" applyFont="1" applyBorder="1"/>
    <xf numFmtId="9" fontId="351" fillId="0" borderId="21" xfId="0" applyNumberFormat="1" applyFont="1" applyBorder="1" applyAlignment="1">
      <alignment horizontal="center" shrinkToFit="1"/>
    </xf>
    <xf numFmtId="333" fontId="251" fillId="0" borderId="37" xfId="0" applyNumberFormat="1" applyFont="1" applyBorder="1"/>
    <xf numFmtId="0" fontId="35" fillId="0" borderId="9" xfId="0" applyFont="1" applyBorder="1"/>
    <xf numFmtId="340" fontId="35" fillId="0" borderId="0" xfId="0" applyNumberFormat="1" applyFont="1"/>
    <xf numFmtId="0" fontId="63" fillId="45" borderId="6" xfId="0" applyFont="1" applyFill="1" applyBorder="1" applyAlignment="1">
      <alignment horizontal="left"/>
    </xf>
    <xf numFmtId="177" fontId="37" fillId="45" borderId="7" xfId="0" applyNumberFormat="1" applyFont="1" applyFill="1" applyBorder="1"/>
    <xf numFmtId="177" fontId="63" fillId="45" borderId="7" xfId="0" applyNumberFormat="1" applyFont="1" applyFill="1" applyBorder="1"/>
    <xf numFmtId="37" fontId="37" fillId="45" borderId="7" xfId="0" applyNumberFormat="1" applyFont="1" applyFill="1" applyBorder="1"/>
    <xf numFmtId="37" fontId="37" fillId="45" borderId="6" xfId="0" applyNumberFormat="1" applyFont="1" applyFill="1" applyBorder="1"/>
    <xf numFmtId="186" fontId="37" fillId="45" borderId="7" xfId="0" applyNumberFormat="1" applyFont="1" applyFill="1" applyBorder="1"/>
    <xf numFmtId="177" fontId="37" fillId="45" borderId="131" xfId="0" applyNumberFormat="1" applyFont="1" applyFill="1" applyBorder="1"/>
    <xf numFmtId="37" fontId="37" fillId="45" borderId="104" xfId="0" applyNumberFormat="1" applyFont="1" applyFill="1" applyBorder="1"/>
    <xf numFmtId="37" fontId="37" fillId="45" borderId="105" xfId="0" applyNumberFormat="1" applyFont="1" applyFill="1" applyBorder="1"/>
    <xf numFmtId="168" fontId="18" fillId="0" borderId="31" xfId="0" applyNumberFormat="1" applyFont="1" applyBorder="1" applyAlignment="1">
      <alignment horizontal="left" indent="1"/>
    </xf>
    <xf numFmtId="0" fontId="252" fillId="0" borderId="0" xfId="13186" applyFont="1"/>
    <xf numFmtId="0" fontId="254" fillId="0" borderId="133" xfId="13186" applyFont="1" applyBorder="1" applyAlignment="1">
      <alignment horizontal="center" vertical="center"/>
    </xf>
    <xf numFmtId="0" fontId="252" fillId="0" borderId="0" xfId="13186" applyFont="1" applyAlignment="1">
      <alignment vertical="center" wrapText="1"/>
    </xf>
    <xf numFmtId="0" fontId="252" fillId="0" borderId="0" xfId="13186" applyFont="1" applyAlignment="1">
      <alignment horizontal="center"/>
    </xf>
    <xf numFmtId="3" fontId="252" fillId="0" borderId="0" xfId="13186" applyNumberFormat="1" applyFont="1" applyAlignment="1">
      <alignment horizontal="center" vertical="center" wrapText="1"/>
    </xf>
    <xf numFmtId="0" fontId="252" fillId="0" borderId="0" xfId="13186" applyFont="1" applyAlignment="1">
      <alignment horizontal="center" vertical="center" wrapText="1"/>
    </xf>
    <xf numFmtId="3" fontId="254" fillId="0" borderId="132" xfId="13186" applyNumberFormat="1" applyFont="1" applyBorder="1" applyAlignment="1">
      <alignment horizontal="center" vertical="center" wrapText="1"/>
    </xf>
    <xf numFmtId="0" fontId="352" fillId="0" borderId="0" xfId="13186" applyFont="1"/>
    <xf numFmtId="0" fontId="254" fillId="0" borderId="0" xfId="13186" applyFont="1"/>
    <xf numFmtId="3" fontId="251" fillId="0" borderId="0" xfId="13186" applyNumberFormat="1" applyFont="1" applyAlignment="1">
      <alignment horizontal="center" vertical="center" wrapText="1"/>
    </xf>
    <xf numFmtId="0" fontId="254" fillId="0" borderId="0" xfId="13186" applyFont="1" applyAlignment="1">
      <alignment horizontal="center" vertical="center" wrapText="1"/>
    </xf>
    <xf numFmtId="3" fontId="254" fillId="0" borderId="0" xfId="13186" applyNumberFormat="1" applyFont="1" applyAlignment="1">
      <alignment horizontal="center" vertical="center" wrapText="1"/>
    </xf>
    <xf numFmtId="0" fontId="252" fillId="0" borderId="0" xfId="13186" applyFont="1" applyAlignment="1">
      <alignment horizontal="center" wrapText="1"/>
    </xf>
    <xf numFmtId="10" fontId="252" fillId="0" borderId="0" xfId="13186" applyNumberFormat="1" applyFont="1" applyAlignment="1">
      <alignment horizontal="center"/>
    </xf>
    <xf numFmtId="0" fontId="39" fillId="0" borderId="0" xfId="0" applyFont="1"/>
    <xf numFmtId="0" fontId="18" fillId="0" borderId="9" xfId="0" applyFont="1" applyBorder="1"/>
    <xf numFmtId="10" fontId="254" fillId="0" borderId="0" xfId="13186" applyNumberFormat="1" applyFont="1" applyAlignment="1">
      <alignment horizontal="center"/>
    </xf>
    <xf numFmtId="9" fontId="48" fillId="45" borderId="37" xfId="0" applyNumberFormat="1" applyFont="1" applyFill="1" applyBorder="1" applyAlignment="1">
      <alignment horizontal="right"/>
    </xf>
    <xf numFmtId="38" fontId="252" fillId="0" borderId="36" xfId="0" applyNumberFormat="1" applyFont="1" applyBorder="1"/>
    <xf numFmtId="0" fontId="18" fillId="0" borderId="0" xfId="0" applyFont="1" applyAlignment="1">
      <alignment horizontal="left" indent="1"/>
    </xf>
    <xf numFmtId="0" fontId="18" fillId="0" borderId="0" xfId="0" applyFont="1" applyAlignment="1">
      <alignment horizontal="left"/>
    </xf>
    <xf numFmtId="0" fontId="37" fillId="0" borderId="0" xfId="0" applyFont="1" applyAlignment="1">
      <alignment horizontal="left"/>
    </xf>
    <xf numFmtId="0" fontId="44" fillId="0" borderId="0" xfId="0" applyFont="1" applyAlignment="1">
      <alignment horizontal="left" indent="1"/>
    </xf>
    <xf numFmtId="0" fontId="354" fillId="0" borderId="0" xfId="0" applyFont="1"/>
    <xf numFmtId="37" fontId="252" fillId="0" borderId="0" xfId="13186" applyNumberFormat="1" applyFont="1" applyAlignment="1">
      <alignment horizontal="center"/>
    </xf>
    <xf numFmtId="3" fontId="252" fillId="0" borderId="0" xfId="13186" applyNumberFormat="1" applyFont="1" applyAlignment="1">
      <alignment horizontal="center"/>
    </xf>
    <xf numFmtId="0" fontId="18" fillId="0" borderId="0" xfId="13186" applyFont="1" applyAlignment="1">
      <alignment horizontal="center"/>
    </xf>
    <xf numFmtId="0" fontId="251" fillId="0" borderId="0" xfId="13186" applyFont="1" applyAlignment="1">
      <alignment horizontal="center"/>
    </xf>
    <xf numFmtId="177" fontId="252" fillId="0" borderId="0" xfId="13186" applyNumberFormat="1" applyFont="1" applyAlignment="1">
      <alignment horizontal="center"/>
    </xf>
    <xf numFmtId="174" fontId="252" fillId="0" borderId="0" xfId="13186" applyNumberFormat="1" applyFont="1" applyAlignment="1">
      <alignment horizontal="center"/>
    </xf>
    <xf numFmtId="1" fontId="252" fillId="0" borderId="0" xfId="13186" applyNumberFormat="1" applyFont="1" applyAlignment="1">
      <alignment horizontal="center"/>
    </xf>
    <xf numFmtId="177" fontId="254" fillId="0" borderId="0" xfId="13186" applyNumberFormat="1" applyFont="1" applyAlignment="1">
      <alignment horizontal="center"/>
    </xf>
    <xf numFmtId="342" fontId="18" fillId="0" borderId="0" xfId="1716" applyNumberFormat="1" applyFont="1" applyFill="1" applyBorder="1" applyAlignment="1">
      <alignment horizontal="right" shrinkToFit="1"/>
    </xf>
    <xf numFmtId="9" fontId="251" fillId="0" borderId="0" xfId="1716" applyFont="1" applyFill="1" applyBorder="1" applyAlignment="1">
      <alignment horizontal="right" shrinkToFit="1"/>
    </xf>
    <xf numFmtId="329" fontId="255" fillId="0" borderId="0" xfId="0" applyNumberFormat="1" applyFont="1"/>
    <xf numFmtId="0" fontId="190" fillId="44" borderId="560" xfId="0" applyFont="1" applyFill="1" applyBorder="1" applyAlignment="1">
      <alignment horizontal="center"/>
    </xf>
    <xf numFmtId="0" fontId="229" fillId="44" borderId="103" xfId="0" applyFont="1" applyFill="1" applyBorder="1" applyAlignment="1">
      <alignment horizontal="center"/>
    </xf>
    <xf numFmtId="0" fontId="229" fillId="44" borderId="131" xfId="0" applyFont="1" applyFill="1" applyBorder="1" applyAlignment="1">
      <alignment horizontal="center"/>
    </xf>
    <xf numFmtId="8" fontId="18" fillId="0" borderId="0" xfId="1559" applyFont="1" applyFill="1" applyBorder="1" applyAlignment="1">
      <alignment horizontal="center"/>
    </xf>
    <xf numFmtId="0" fontId="18" fillId="0" borderId="630" xfId="2047" applyFont="1" applyBorder="1"/>
    <xf numFmtId="0" fontId="37" fillId="0" borderId="630" xfId="2047" applyFont="1" applyBorder="1"/>
    <xf numFmtId="0" fontId="37" fillId="0" borderId="624" xfId="2047" applyFont="1" applyBorder="1"/>
    <xf numFmtId="3" fontId="251" fillId="0" borderId="624" xfId="1525" applyNumberFormat="1" applyFont="1" applyFill="1" applyBorder="1"/>
    <xf numFmtId="0" fontId="38" fillId="0" borderId="608" xfId="0" applyFont="1" applyBorder="1"/>
    <xf numFmtId="7" fontId="37" fillId="0" borderId="608" xfId="0" applyNumberFormat="1" applyFont="1" applyBorder="1"/>
    <xf numFmtId="8" fontId="38" fillId="0" borderId="608" xfId="1559" applyFont="1" applyBorder="1"/>
    <xf numFmtId="9" fontId="35" fillId="0" borderId="608" xfId="0" applyNumberFormat="1" applyFont="1" applyBorder="1"/>
    <xf numFmtId="9" fontId="35" fillId="0" borderId="362" xfId="0" applyNumberFormat="1" applyFont="1" applyBorder="1"/>
    <xf numFmtId="4" fontId="35" fillId="0" borderId="362" xfId="0" applyNumberFormat="1" applyFont="1" applyBorder="1"/>
    <xf numFmtId="4" fontId="18" fillId="0" borderId="608" xfId="0" applyNumberFormat="1" applyFont="1" applyBorder="1"/>
    <xf numFmtId="0" fontId="18" fillId="0" borderId="631" xfId="0" applyFont="1" applyBorder="1" applyAlignment="1">
      <alignment horizontal="left" indent="1"/>
    </xf>
    <xf numFmtId="3" fontId="267" fillId="0" borderId="37" xfId="1525" applyNumberFormat="1" applyFont="1" applyFill="1" applyBorder="1" applyAlignment="1" applyProtection="1">
      <alignment horizontal="right"/>
    </xf>
    <xf numFmtId="9" fontId="251" fillId="0" borderId="37" xfId="0" applyNumberFormat="1" applyFont="1" applyBorder="1" applyAlignment="1">
      <alignment horizontal="right"/>
    </xf>
    <xf numFmtId="176" fontId="267" fillId="0" borderId="46" xfId="1525" applyNumberFormat="1" applyFont="1" applyFill="1" applyBorder="1" applyAlignment="1" applyProtection="1">
      <alignment horizontal="right"/>
    </xf>
    <xf numFmtId="177" fontId="267" fillId="0" borderId="46" xfId="0" applyNumberFormat="1" applyFont="1" applyBorder="1"/>
    <xf numFmtId="169" fontId="251" fillId="0" borderId="37" xfId="0" applyNumberFormat="1" applyFont="1" applyBorder="1" applyAlignment="1">
      <alignment horizontal="right"/>
    </xf>
    <xf numFmtId="38" fontId="0" fillId="0" borderId="0" xfId="0" applyNumberFormat="1"/>
    <xf numFmtId="4" fontId="35" fillId="0" borderId="31" xfId="0" applyNumberFormat="1" applyFont="1" applyBorder="1" applyAlignment="1">
      <alignment horizontal="right"/>
    </xf>
    <xf numFmtId="10" fontId="252" fillId="0" borderId="0" xfId="0" applyNumberFormat="1" applyFont="1"/>
    <xf numFmtId="169" fontId="251" fillId="0" borderId="31" xfId="0" applyNumberFormat="1" applyFont="1" applyBorder="1" applyAlignment="1">
      <alignment horizontal="right"/>
    </xf>
    <xf numFmtId="9" fontId="251" fillId="0" borderId="31" xfId="0" applyNumberFormat="1" applyFont="1" applyBorder="1" applyAlignment="1">
      <alignment horizontal="right"/>
    </xf>
    <xf numFmtId="169" fontId="37" fillId="71" borderId="630" xfId="0" applyNumberFormat="1" applyFont="1" applyFill="1" applyBorder="1" applyAlignment="1">
      <alignment horizontal="right"/>
    </xf>
    <xf numFmtId="169" fontId="37" fillId="71" borderId="632" xfId="0" applyNumberFormat="1" applyFont="1" applyFill="1" applyBorder="1" applyAlignment="1">
      <alignment horizontal="right"/>
    </xf>
    <xf numFmtId="169" fontId="37" fillId="71" borderId="633" xfId="0" applyNumberFormat="1" applyFont="1" applyFill="1" applyBorder="1" applyAlignment="1">
      <alignment horizontal="right"/>
    </xf>
    <xf numFmtId="37" fontId="37" fillId="45" borderId="456" xfId="0" applyNumberFormat="1" applyFont="1" applyFill="1" applyBorder="1"/>
    <xf numFmtId="169" fontId="35" fillId="0" borderId="631" xfId="0" applyNumberFormat="1" applyFont="1" applyBorder="1" applyAlignment="1">
      <alignment horizontal="right"/>
    </xf>
    <xf numFmtId="169" fontId="35" fillId="0" borderId="608" xfId="0" applyNumberFormat="1" applyFont="1" applyBorder="1" applyAlignment="1">
      <alignment horizontal="right"/>
    </xf>
    <xf numFmtId="169" fontId="35" fillId="0" borderId="634" xfId="0" applyNumberFormat="1" applyFont="1" applyBorder="1" applyAlignment="1">
      <alignment horizontal="right"/>
    </xf>
    <xf numFmtId="189" fontId="257" fillId="44" borderId="630" xfId="2895" applyNumberFormat="1" applyFont="1" applyFill="1" applyBorder="1" applyAlignment="1">
      <alignment horizontal="right" shrinkToFit="1"/>
    </xf>
    <xf numFmtId="189" fontId="257" fillId="44" borderId="632" xfId="2895" applyNumberFormat="1" applyFont="1" applyFill="1" applyBorder="1" applyAlignment="1">
      <alignment horizontal="right" shrinkToFit="1"/>
    </xf>
    <xf numFmtId="189" fontId="257" fillId="44" borderId="633" xfId="2895" applyNumberFormat="1" applyFont="1" applyFill="1" applyBorder="1" applyAlignment="1">
      <alignment horizontal="right" shrinkToFit="1"/>
    </xf>
    <xf numFmtId="43" fontId="18" fillId="0" borderId="0" xfId="2895" applyNumberFormat="1" applyFont="1" applyFill="1" applyBorder="1" applyAlignment="1">
      <alignment horizontal="right" shrinkToFit="1"/>
    </xf>
    <xf numFmtId="0" fontId="18" fillId="45" borderId="632" xfId="0" applyFont="1" applyFill="1" applyBorder="1"/>
    <xf numFmtId="37" fontId="18" fillId="45" borderId="632" xfId="0" applyNumberFormat="1" applyFont="1" applyFill="1" applyBorder="1"/>
    <xf numFmtId="38" fontId="18" fillId="45" borderId="632" xfId="0" applyNumberFormat="1" applyFont="1" applyFill="1" applyBorder="1"/>
    <xf numFmtId="0" fontId="257" fillId="44" borderId="632" xfId="0" applyFont="1" applyFill="1" applyBorder="1"/>
    <xf numFmtId="333" fontId="18" fillId="0" borderId="634" xfId="0" applyNumberFormat="1" applyFont="1" applyBorder="1"/>
    <xf numFmtId="333" fontId="37" fillId="0" borderId="456" xfId="0" applyNumberFormat="1" applyFont="1" applyBorder="1"/>
    <xf numFmtId="37" fontId="18" fillId="0" borderId="21" xfId="0" applyNumberFormat="1" applyFont="1" applyBorder="1"/>
    <xf numFmtId="3" fontId="18" fillId="0" borderId="0" xfId="0" applyNumberFormat="1" applyFont="1" applyAlignment="1">
      <alignment horizontal="right" indent="1"/>
    </xf>
    <xf numFmtId="1" fontId="186" fillId="49" borderId="21" xfId="0" applyNumberFormat="1" applyFont="1" applyFill="1" applyBorder="1" applyAlignment="1">
      <alignment horizontal="left" indent="2"/>
    </xf>
    <xf numFmtId="189" fontId="18" fillId="49" borderId="0" xfId="2895" applyNumberFormat="1" applyFont="1" applyFill="1" applyBorder="1" applyAlignment="1">
      <alignment horizontal="left" shrinkToFit="1"/>
    </xf>
    <xf numFmtId="189" fontId="18" fillId="49" borderId="0" xfId="2895" applyNumberFormat="1" applyFont="1" applyFill="1" applyBorder="1" applyAlignment="1">
      <alignment horizontal="right" shrinkToFit="1"/>
    </xf>
    <xf numFmtId="185" fontId="18" fillId="49" borderId="0" xfId="2895" applyNumberFormat="1" applyFont="1" applyFill="1" applyBorder="1" applyAlignment="1">
      <alignment horizontal="right" shrinkToFit="1"/>
    </xf>
    <xf numFmtId="9" fontId="18" fillId="49" borderId="0" xfId="2147" applyFont="1" applyFill="1" applyBorder="1" applyAlignment="1">
      <alignment horizontal="right" shrinkToFit="1"/>
    </xf>
    <xf numFmtId="189" fontId="251" fillId="49" borderId="0" xfId="2895" applyNumberFormat="1" applyFont="1" applyFill="1" applyBorder="1" applyAlignment="1">
      <alignment horizontal="right" shrinkToFit="1"/>
    </xf>
    <xf numFmtId="189" fontId="18" fillId="49" borderId="31" xfId="2895" applyNumberFormat="1" applyFont="1" applyFill="1" applyBorder="1" applyAlignment="1">
      <alignment horizontal="right" shrinkToFit="1"/>
    </xf>
    <xf numFmtId="189" fontId="18" fillId="49" borderId="37" xfId="2895" applyNumberFormat="1" applyFont="1" applyFill="1" applyBorder="1" applyAlignment="1">
      <alignment horizontal="right" shrinkToFit="1"/>
    </xf>
    <xf numFmtId="0" fontId="0" fillId="49" borderId="0" xfId="0" applyFill="1"/>
    <xf numFmtId="9" fontId="18" fillId="49" borderId="0" xfId="1716" applyFont="1" applyFill="1" applyBorder="1" applyAlignment="1">
      <alignment horizontal="right" shrinkToFit="1"/>
    </xf>
    <xf numFmtId="189" fontId="18" fillId="49" borderId="59" xfId="2895" applyNumberFormat="1" applyFont="1" applyFill="1" applyBorder="1" applyAlignment="1">
      <alignment horizontal="right" shrinkToFit="1"/>
    </xf>
    <xf numFmtId="1" fontId="186" fillId="49" borderId="21" xfId="0" applyNumberFormat="1" applyFont="1" applyFill="1" applyBorder="1" applyAlignment="1">
      <alignment horizontal="left" indent="1"/>
    </xf>
    <xf numFmtId="185" fontId="18" fillId="49" borderId="21" xfId="2895" applyNumberFormat="1" applyFont="1" applyFill="1" applyBorder="1" applyAlignment="1">
      <alignment horizontal="right" shrinkToFit="1"/>
    </xf>
    <xf numFmtId="189" fontId="251" fillId="49" borderId="21" xfId="2895" applyNumberFormat="1" applyFont="1" applyFill="1" applyBorder="1" applyAlignment="1">
      <alignment horizontal="right" shrinkToFit="1"/>
    </xf>
    <xf numFmtId="189" fontId="251" fillId="49" borderId="31" xfId="2895" applyNumberFormat="1" applyFont="1" applyFill="1" applyBorder="1" applyAlignment="1">
      <alignment horizontal="right" shrinkToFit="1"/>
    </xf>
    <xf numFmtId="189" fontId="251" fillId="49" borderId="37" xfId="2895" applyNumberFormat="1" applyFont="1" applyFill="1" applyBorder="1" applyAlignment="1">
      <alignment horizontal="right" shrinkToFit="1"/>
    </xf>
    <xf numFmtId="9" fontId="18" fillId="49" borderId="21" xfId="1716" applyFont="1" applyFill="1" applyBorder="1" applyAlignment="1">
      <alignment horizontal="right" shrinkToFit="1"/>
    </xf>
    <xf numFmtId="37" fontId="251" fillId="49" borderId="0" xfId="0" applyNumberFormat="1" applyFont="1" applyFill="1"/>
    <xf numFmtId="9" fontId="18" fillId="49" borderId="37" xfId="0" applyNumberFormat="1" applyFont="1" applyFill="1" applyBorder="1" applyAlignment="1">
      <alignment horizontal="right"/>
    </xf>
    <xf numFmtId="169" fontId="18" fillId="49" borderId="0" xfId="0" applyNumberFormat="1" applyFont="1" applyFill="1"/>
    <xf numFmtId="9" fontId="251" fillId="49" borderId="37" xfId="0" applyNumberFormat="1" applyFont="1" applyFill="1" applyBorder="1" applyAlignment="1">
      <alignment horizontal="right"/>
    </xf>
    <xf numFmtId="9" fontId="18" fillId="49" borderId="0" xfId="1716" applyFont="1" applyFill="1" applyBorder="1"/>
    <xf numFmtId="37" fontId="251" fillId="49" borderId="37" xfId="0" applyNumberFormat="1" applyFont="1" applyFill="1" applyBorder="1"/>
    <xf numFmtId="37" fontId="186" fillId="49" borderId="37" xfId="0" applyNumberFormat="1" applyFont="1" applyFill="1" applyBorder="1"/>
    <xf numFmtId="37" fontId="186" fillId="49" borderId="0" xfId="0" applyNumberFormat="1" applyFont="1" applyFill="1"/>
    <xf numFmtId="177" fontId="63" fillId="49" borderId="0" xfId="0" applyNumberFormat="1" applyFont="1" applyFill="1"/>
    <xf numFmtId="177" fontId="63" fillId="49" borderId="37" xfId="0" applyNumberFormat="1" applyFont="1" applyFill="1" applyBorder="1"/>
    <xf numFmtId="169" fontId="18" fillId="49" borderId="37" xfId="0" applyNumberFormat="1" applyFont="1" applyFill="1" applyBorder="1"/>
    <xf numFmtId="9" fontId="35" fillId="49" borderId="21" xfId="0" applyNumberFormat="1" applyFont="1" applyFill="1" applyBorder="1" applyAlignment="1">
      <alignment horizontal="right"/>
    </xf>
    <xf numFmtId="169" fontId="18" fillId="49" borderId="21" xfId="0" applyNumberFormat="1" applyFont="1" applyFill="1" applyBorder="1" applyAlignment="1">
      <alignment horizontal="right"/>
    </xf>
    <xf numFmtId="3" fontId="35" fillId="49" borderId="0" xfId="1525" applyNumberFormat="1" applyFont="1" applyFill="1" applyAlignment="1" applyProtection="1">
      <alignment horizontal="right"/>
    </xf>
    <xf numFmtId="204" fontId="18" fillId="49" borderId="0" xfId="1525" applyNumberFormat="1" applyFont="1" applyFill="1" applyAlignment="1" applyProtection="1">
      <alignment horizontal="right"/>
    </xf>
    <xf numFmtId="9" fontId="35" fillId="49" borderId="0" xfId="0" applyNumberFormat="1" applyFont="1" applyFill="1" applyAlignment="1">
      <alignment horizontal="right"/>
    </xf>
    <xf numFmtId="333" fontId="251" fillId="49" borderId="0" xfId="0" applyNumberFormat="1" applyFont="1" applyFill="1"/>
    <xf numFmtId="333" fontId="18" fillId="49" borderId="0" xfId="0" applyNumberFormat="1" applyFont="1" applyFill="1"/>
    <xf numFmtId="37" fontId="186" fillId="0" borderId="0" xfId="0" applyNumberFormat="1" applyFont="1" applyAlignment="1">
      <alignment horizontal="right"/>
    </xf>
    <xf numFmtId="9" fontId="18" fillId="49" borderId="0" xfId="1716" applyFont="1" applyFill="1" applyBorder="1" applyAlignment="1">
      <alignment horizontal="right"/>
    </xf>
    <xf numFmtId="37" fontId="251" fillId="49" borderId="0" xfId="0" applyNumberFormat="1" applyFont="1" applyFill="1" applyAlignment="1">
      <alignment horizontal="right"/>
    </xf>
    <xf numFmtId="177" fontId="35" fillId="49" borderId="0" xfId="0" applyNumberFormat="1" applyFont="1" applyFill="1" applyAlignment="1">
      <alignment horizontal="right"/>
    </xf>
    <xf numFmtId="37" fontId="63" fillId="49" borderId="37" xfId="0" applyNumberFormat="1" applyFont="1" applyFill="1" applyBorder="1" applyAlignment="1">
      <alignment horizontal="right"/>
    </xf>
    <xf numFmtId="0" fontId="190" fillId="44" borderId="630" xfId="0" applyFont="1" applyFill="1" applyBorder="1" applyAlignment="1">
      <alignment horizontal="center"/>
    </xf>
    <xf numFmtId="0" fontId="190" fillId="44" borderId="632" xfId="0" applyFont="1" applyFill="1" applyBorder="1" applyAlignment="1">
      <alignment horizontal="center"/>
    </xf>
    <xf numFmtId="0" fontId="190" fillId="44" borderId="574" xfId="0" applyFont="1" applyFill="1" applyBorder="1" applyAlignment="1">
      <alignment horizontal="center"/>
    </xf>
    <xf numFmtId="37" fontId="63" fillId="49" borderId="21" xfId="0" applyNumberFormat="1" applyFont="1" applyFill="1" applyBorder="1" applyAlignment="1">
      <alignment horizontal="right"/>
    </xf>
    <xf numFmtId="3" fontId="37" fillId="49" borderId="21" xfId="1525" applyNumberFormat="1" applyFont="1" applyFill="1" applyBorder="1" applyAlignment="1" applyProtection="1">
      <alignment horizontal="right"/>
    </xf>
    <xf numFmtId="37" fontId="251" fillId="49" borderId="37" xfId="0" applyNumberFormat="1" applyFont="1" applyFill="1" applyBorder="1" applyAlignment="1">
      <alignment horizontal="right"/>
    </xf>
    <xf numFmtId="37" fontId="186" fillId="49" borderId="37" xfId="0" applyNumberFormat="1" applyFont="1" applyFill="1" applyBorder="1" applyAlignment="1">
      <alignment horizontal="right"/>
    </xf>
    <xf numFmtId="333" fontId="251" fillId="0" borderId="37" xfId="1525" applyNumberFormat="1" applyFont="1" applyFill="1" applyBorder="1"/>
    <xf numFmtId="0" fontId="18" fillId="49" borderId="0" xfId="0" applyFont="1" applyFill="1" applyAlignment="1">
      <alignment horizontal="right"/>
    </xf>
    <xf numFmtId="37" fontId="186" fillId="0" borderId="37" xfId="0" applyNumberFormat="1" applyFont="1" applyBorder="1" applyAlignment="1">
      <alignment horizontal="right"/>
    </xf>
    <xf numFmtId="177" fontId="251" fillId="71" borderId="37" xfId="0" applyNumberFormat="1" applyFont="1" applyFill="1" applyBorder="1" applyAlignment="1">
      <alignment horizontal="right"/>
    </xf>
    <xf numFmtId="189" fontId="231" fillId="0" borderId="37" xfId="2895" applyNumberFormat="1" applyFont="1" applyFill="1" applyBorder="1" applyAlignment="1">
      <alignment horizontal="right" shrinkToFit="1"/>
    </xf>
    <xf numFmtId="264" fontId="18" fillId="0" borderId="637" xfId="0" applyNumberFormat="1" applyFont="1" applyBorder="1" applyAlignment="1">
      <alignment horizontal="right"/>
    </xf>
    <xf numFmtId="0" fontId="18" fillId="45" borderId="72" xfId="0" applyFont="1" applyFill="1" applyBorder="1" applyAlignment="1">
      <alignment horizontal="right"/>
    </xf>
    <xf numFmtId="0" fontId="18" fillId="45" borderId="632" xfId="0" applyFont="1" applyFill="1" applyBorder="1" applyAlignment="1">
      <alignment horizontal="right"/>
    </xf>
    <xf numFmtId="169" fontId="35" fillId="71" borderId="37" xfId="0" applyNumberFormat="1" applyFont="1" applyFill="1" applyBorder="1" applyAlignment="1">
      <alignment horizontal="right"/>
    </xf>
    <xf numFmtId="37" fontId="258" fillId="0" borderId="21" xfId="0" applyNumberFormat="1" applyFont="1" applyBorder="1"/>
    <xf numFmtId="9" fontId="35" fillId="71" borderId="37" xfId="0" applyNumberFormat="1" applyFont="1" applyFill="1" applyBorder="1" applyAlignment="1">
      <alignment horizontal="right"/>
    </xf>
    <xf numFmtId="0" fontId="186" fillId="53" borderId="21" xfId="0" applyFont="1" applyFill="1" applyBorder="1" applyAlignment="1">
      <alignment horizontal="left"/>
    </xf>
    <xf numFmtId="177" fontId="186" fillId="53" borderId="0" xfId="0" applyNumberFormat="1" applyFont="1" applyFill="1"/>
    <xf numFmtId="177" fontId="186" fillId="53" borderId="21" xfId="0" applyNumberFormat="1" applyFont="1" applyFill="1" applyBorder="1"/>
    <xf numFmtId="177" fontId="251" fillId="53" borderId="0" xfId="0" applyNumberFormat="1" applyFont="1" applyFill="1"/>
    <xf numFmtId="0" fontId="189" fillId="53" borderId="21" xfId="0" applyFont="1" applyFill="1" applyBorder="1" applyAlignment="1">
      <alignment horizontal="left"/>
    </xf>
    <xf numFmtId="0" fontId="187" fillId="53" borderId="21" xfId="0" applyFont="1" applyFill="1" applyBorder="1" applyAlignment="1">
      <alignment horizontal="left"/>
    </xf>
    <xf numFmtId="169" fontId="251" fillId="53" borderId="0" xfId="0" applyNumberFormat="1" applyFont="1" applyFill="1" applyAlignment="1">
      <alignment horizontal="right"/>
    </xf>
    <xf numFmtId="169" fontId="251" fillId="53" borderId="21" xfId="0" applyNumberFormat="1" applyFont="1" applyFill="1" applyBorder="1" applyAlignment="1">
      <alignment horizontal="right"/>
    </xf>
    <xf numFmtId="9" fontId="251" fillId="0" borderId="37" xfId="1716" applyFont="1" applyFill="1" applyBorder="1" applyAlignment="1">
      <alignment horizontal="right" shrinkToFit="1"/>
    </xf>
    <xf numFmtId="9" fontId="18" fillId="71" borderId="37" xfId="0" applyNumberFormat="1" applyFont="1" applyFill="1" applyBorder="1" applyAlignment="1">
      <alignment horizontal="right"/>
    </xf>
    <xf numFmtId="0" fontId="37" fillId="45" borderId="131" xfId="0" applyFont="1" applyFill="1" applyBorder="1" applyAlignment="1">
      <alignment horizontal="right"/>
    </xf>
    <xf numFmtId="0" fontId="18" fillId="0" borderId="36" xfId="0" applyFont="1" applyBorder="1" applyAlignment="1">
      <alignment horizontal="center"/>
    </xf>
    <xf numFmtId="0" fontId="18" fillId="0" borderId="37" xfId="0" applyFont="1" applyBorder="1" applyAlignment="1">
      <alignment horizontal="center"/>
    </xf>
    <xf numFmtId="0" fontId="18" fillId="45" borderId="104" xfId="0" applyFont="1" applyFill="1" applyBorder="1" applyAlignment="1">
      <alignment horizontal="center"/>
    </xf>
    <xf numFmtId="0" fontId="18" fillId="45" borderId="632" xfId="0" applyFont="1" applyFill="1" applyBorder="1" applyAlignment="1">
      <alignment horizontal="center"/>
    </xf>
    <xf numFmtId="0" fontId="18" fillId="45" borderId="105" xfId="0" applyFont="1" applyFill="1" applyBorder="1" applyAlignment="1">
      <alignment horizontal="center"/>
    </xf>
    <xf numFmtId="0" fontId="0" fillId="0" borderId="0" xfId="0" applyAlignment="1">
      <alignment horizontal="right"/>
    </xf>
    <xf numFmtId="327" fontId="230" fillId="0" borderId="6" xfId="0" applyNumberFormat="1" applyFont="1" applyBorder="1" applyAlignment="1">
      <alignment horizontal="center"/>
    </xf>
    <xf numFmtId="0" fontId="186" fillId="0" borderId="31" xfId="0" applyFont="1" applyBorder="1" applyAlignment="1">
      <alignment horizontal="left" indent="1"/>
    </xf>
    <xf numFmtId="37" fontId="267" fillId="0" borderId="57" xfId="0" applyNumberFormat="1" applyFont="1" applyBorder="1"/>
    <xf numFmtId="37" fontId="267" fillId="0" borderId="46" xfId="0" applyNumberFormat="1" applyFont="1" applyBorder="1"/>
    <xf numFmtId="37" fontId="267" fillId="0" borderId="0" xfId="0" applyNumberFormat="1" applyFont="1"/>
    <xf numFmtId="43" fontId="18" fillId="0" borderId="21" xfId="2895" applyNumberFormat="1" applyFont="1" applyFill="1" applyBorder="1" applyAlignment="1">
      <alignment horizontal="right" shrinkToFit="1"/>
    </xf>
    <xf numFmtId="0" fontId="32" fillId="71" borderId="0" xfId="1686" applyFill="1"/>
    <xf numFmtId="0" fontId="52" fillId="71" borderId="0" xfId="1686" applyFont="1" applyFill="1"/>
    <xf numFmtId="0" fontId="40" fillId="71" borderId="0" xfId="1644" applyFont="1" applyFill="1" applyAlignment="1" applyProtection="1">
      <alignment horizontal="left" vertical="center"/>
    </xf>
    <xf numFmtId="0" fontId="195" fillId="71" borderId="0" xfId="1682" applyFill="1"/>
    <xf numFmtId="0" fontId="32" fillId="100" borderId="0" xfId="1686" applyFill="1"/>
    <xf numFmtId="0" fontId="51" fillId="100" borderId="0" xfId="1685" applyFont="1" applyFill="1"/>
    <xf numFmtId="0" fontId="33" fillId="100" borderId="0" xfId="1686" applyFont="1" applyFill="1"/>
    <xf numFmtId="0" fontId="32" fillId="100" borderId="0" xfId="1686" applyFill="1" applyAlignment="1">
      <alignment horizontal="left" vertical="center"/>
    </xf>
    <xf numFmtId="0" fontId="18" fillId="101" borderId="0" xfId="1686" applyFont="1" applyFill="1"/>
    <xf numFmtId="0" fontId="32" fillId="101" borderId="0" xfId="1686" applyFill="1"/>
    <xf numFmtId="0" fontId="257" fillId="101" borderId="0" xfId="1686" applyFont="1" applyFill="1"/>
    <xf numFmtId="0" fontId="365" fillId="101" borderId="0" xfId="1686" applyFont="1" applyFill="1"/>
    <xf numFmtId="0" fontId="229" fillId="101" borderId="0" xfId="1686" applyFont="1" applyFill="1"/>
    <xf numFmtId="0" fontId="252" fillId="71" borderId="0" xfId="1644" applyFont="1" applyFill="1" applyAlignment="1" applyProtection="1">
      <alignment horizontal="left" vertical="center"/>
    </xf>
    <xf numFmtId="0" fontId="252" fillId="71" borderId="0" xfId="1686" applyFont="1" applyFill="1"/>
    <xf numFmtId="0" fontId="254" fillId="71" borderId="0" xfId="1686" applyFont="1" applyFill="1"/>
    <xf numFmtId="0" fontId="254" fillId="71" borderId="9" xfId="1644" applyFont="1" applyFill="1" applyBorder="1" applyAlignment="1" applyProtection="1">
      <alignment horizontal="left" vertical="center"/>
    </xf>
    <xf numFmtId="0" fontId="252" fillId="71" borderId="9" xfId="1686" applyFont="1" applyFill="1" applyBorder="1"/>
    <xf numFmtId="0" fontId="32" fillId="71" borderId="9" xfId="1686" applyFill="1" applyBorder="1"/>
    <xf numFmtId="0" fontId="195" fillId="71" borderId="9" xfId="1682" applyFill="1" applyBorder="1"/>
    <xf numFmtId="0" fontId="367" fillId="71" borderId="0" xfId="1682" applyFont="1" applyFill="1"/>
    <xf numFmtId="0" fontId="18" fillId="71" borderId="0" xfId="1682" applyFont="1" applyFill="1"/>
    <xf numFmtId="0" fontId="251" fillId="71" borderId="0" xfId="1686" applyFont="1" applyFill="1"/>
    <xf numFmtId="0" fontId="251" fillId="71" borderId="0" xfId="1682" applyFont="1" applyFill="1"/>
    <xf numFmtId="0" fontId="368" fillId="71" borderId="0" xfId="1686" applyFont="1" applyFill="1"/>
    <xf numFmtId="0" fontId="368" fillId="71" borderId="0" xfId="1682" applyFont="1" applyFill="1"/>
    <xf numFmtId="187" fontId="35" fillId="55" borderId="0" xfId="0" applyNumberFormat="1" applyFont="1" applyFill="1" applyAlignment="1">
      <alignment horizontal="right"/>
    </xf>
    <xf numFmtId="8" fontId="35" fillId="55" borderId="0" xfId="1559" applyFont="1" applyFill="1" applyBorder="1" applyAlignment="1">
      <alignment horizontal="right"/>
    </xf>
    <xf numFmtId="8" fontId="35" fillId="0" borderId="0" xfId="1559" applyFont="1" applyFill="1" applyBorder="1" applyAlignment="1">
      <alignment horizontal="right"/>
    </xf>
    <xf numFmtId="279" fontId="35" fillId="0" borderId="0" xfId="2895" applyNumberFormat="1" applyFont="1" applyFill="1" applyBorder="1" applyAlignment="1">
      <alignment horizontal="right"/>
    </xf>
    <xf numFmtId="169" fontId="35" fillId="0" borderId="0" xfId="2895" applyNumberFormat="1" applyFont="1" applyFill="1" applyBorder="1" applyAlignment="1">
      <alignment horizontal="right"/>
    </xf>
    <xf numFmtId="279" fontId="18" fillId="0" borderId="0" xfId="2895" applyNumberFormat="1" applyFont="1" applyFill="1" applyBorder="1" applyAlignment="1">
      <alignment horizontal="right"/>
    </xf>
    <xf numFmtId="277" fontId="35" fillId="0" borderId="0" xfId="2895" applyNumberFormat="1" applyFont="1" applyFill="1" applyBorder="1" applyAlignment="1">
      <alignment horizontal="right"/>
    </xf>
    <xf numFmtId="6" fontId="252" fillId="0" borderId="0" xfId="1559" applyNumberFormat="1" applyFont="1" applyFill="1" applyBorder="1" applyAlignment="1">
      <alignment horizontal="right"/>
    </xf>
    <xf numFmtId="6" fontId="252" fillId="49" borderId="0" xfId="1559" applyNumberFormat="1" applyFont="1" applyFill="1" applyBorder="1" applyAlignment="1">
      <alignment horizontal="right"/>
    </xf>
    <xf numFmtId="277" fontId="18" fillId="0" borderId="0" xfId="2895" applyNumberFormat="1" applyFont="1" applyFill="1" applyBorder="1" applyAlignment="1">
      <alignment horizontal="right"/>
    </xf>
    <xf numFmtId="8" fontId="252" fillId="0" borderId="0" xfId="0" applyNumberFormat="1" applyFont="1" applyAlignment="1">
      <alignment horizontal="right"/>
    </xf>
    <xf numFmtId="9" fontId="252" fillId="0" borderId="0" xfId="1716" applyFont="1" applyFill="1" applyBorder="1" applyAlignment="1">
      <alignment horizontal="right"/>
    </xf>
    <xf numFmtId="329" fontId="255" fillId="0" borderId="63" xfId="0" applyNumberFormat="1" applyFont="1" applyBorder="1" applyAlignment="1">
      <alignment horizontal="right"/>
    </xf>
    <xf numFmtId="169" fontId="255" fillId="0" borderId="0" xfId="0" applyNumberFormat="1" applyFont="1" applyAlignment="1">
      <alignment horizontal="right"/>
    </xf>
    <xf numFmtId="0" fontId="35" fillId="0" borderId="21" xfId="0" applyFont="1" applyBorder="1" applyAlignment="1">
      <alignment horizontal="right"/>
    </xf>
    <xf numFmtId="0" fontId="35" fillId="0" borderId="37" xfId="0" applyFont="1" applyBorder="1" applyAlignment="1">
      <alignment horizontal="right"/>
    </xf>
    <xf numFmtId="0" fontId="35" fillId="0" borderId="31" xfId="0" applyFont="1" applyBorder="1" applyAlignment="1">
      <alignment horizontal="right"/>
    </xf>
    <xf numFmtId="0" fontId="35" fillId="0" borderId="635" xfId="0" applyFont="1" applyBorder="1" applyAlignment="1">
      <alignment horizontal="right"/>
    </xf>
    <xf numFmtId="0" fontId="35" fillId="0" borderId="456" xfId="0" applyFont="1" applyBorder="1" applyAlignment="1">
      <alignment horizontal="right"/>
    </xf>
    <xf numFmtId="0" fontId="35" fillId="0" borderId="636" xfId="0" applyFont="1" applyBorder="1" applyAlignment="1">
      <alignment horizontal="right"/>
    </xf>
    <xf numFmtId="6" fontId="35" fillId="0" borderId="21" xfId="0" applyNumberFormat="1" applyFont="1" applyBorder="1" applyAlignment="1">
      <alignment horizontal="right"/>
    </xf>
    <xf numFmtId="5" fontId="251" fillId="49" borderId="0" xfId="0" applyNumberFormat="1" applyFont="1" applyFill="1" applyAlignment="1">
      <alignment horizontal="right"/>
    </xf>
    <xf numFmtId="5" fontId="18" fillId="0" borderId="0" xfId="0" applyNumberFormat="1" applyFont="1" applyAlignment="1">
      <alignment horizontal="right"/>
    </xf>
    <xf numFmtId="5" fontId="18" fillId="0" borderId="31" xfId="0" applyNumberFormat="1" applyFont="1" applyBorder="1" applyAlignment="1">
      <alignment horizontal="right"/>
    </xf>
    <xf numFmtId="5" fontId="18" fillId="0" borderId="37" xfId="0" applyNumberFormat="1" applyFont="1" applyBorder="1" applyAlignment="1">
      <alignment horizontal="right"/>
    </xf>
    <xf numFmtId="5" fontId="37" fillId="0" borderId="21" xfId="0" applyNumberFormat="1" applyFont="1" applyBorder="1" applyAlignment="1">
      <alignment horizontal="right"/>
    </xf>
    <xf numFmtId="38" fontId="37" fillId="0" borderId="0" xfId="0" applyNumberFormat="1" applyFont="1" applyAlignment="1">
      <alignment horizontal="right"/>
    </xf>
    <xf numFmtId="6" fontId="37" fillId="0" borderId="31" xfId="0" applyNumberFormat="1" applyFont="1" applyBorder="1" applyAlignment="1">
      <alignment horizontal="right"/>
    </xf>
    <xf numFmtId="38" fontId="37" fillId="0" borderId="31" xfId="0" applyNumberFormat="1" applyFont="1" applyBorder="1" applyAlignment="1">
      <alignment horizontal="right"/>
    </xf>
    <xf numFmtId="38" fontId="37" fillId="0" borderId="37" xfId="0" applyNumberFormat="1" applyFont="1" applyBorder="1" applyAlignment="1">
      <alignment horizontal="right"/>
    </xf>
    <xf numFmtId="187" fontId="35" fillId="0" borderId="21" xfId="0" applyNumberFormat="1" applyFont="1" applyBorder="1" applyAlignment="1">
      <alignment horizontal="right"/>
    </xf>
    <xf numFmtId="187" fontId="251" fillId="0" borderId="0" xfId="0" applyNumberFormat="1" applyFont="1" applyAlignment="1">
      <alignment horizontal="right"/>
    </xf>
    <xf numFmtId="187" fontId="251" fillId="49" borderId="0" xfId="0" applyNumberFormat="1" applyFont="1" applyFill="1" applyAlignment="1">
      <alignment horizontal="right"/>
    </xf>
    <xf numFmtId="5" fontId="37" fillId="0" borderId="0" xfId="0" applyNumberFormat="1" applyFont="1" applyAlignment="1">
      <alignment horizontal="right"/>
    </xf>
    <xf numFmtId="5" fontId="37" fillId="49" borderId="21" xfId="0" applyNumberFormat="1" applyFont="1" applyFill="1" applyBorder="1" applyAlignment="1">
      <alignment horizontal="right"/>
    </xf>
    <xf numFmtId="5" fontId="37" fillId="49" borderId="0" xfId="0" applyNumberFormat="1" applyFont="1" applyFill="1" applyAlignment="1">
      <alignment horizontal="right"/>
    </xf>
    <xf numFmtId="0" fontId="35" fillId="49" borderId="31" xfId="0" applyFont="1" applyFill="1" applyBorder="1" applyAlignment="1">
      <alignment horizontal="right"/>
    </xf>
    <xf numFmtId="0" fontId="35" fillId="49" borderId="0" xfId="0" applyFont="1" applyFill="1" applyAlignment="1">
      <alignment horizontal="right"/>
    </xf>
    <xf numFmtId="5" fontId="35" fillId="0" borderId="31" xfId="0" applyNumberFormat="1" applyFont="1" applyBorder="1" applyAlignment="1">
      <alignment horizontal="right"/>
    </xf>
    <xf numFmtId="1" fontId="251" fillId="0" borderId="21" xfId="0" applyNumberFormat="1" applyFont="1" applyBorder="1" applyAlignment="1">
      <alignment horizontal="right"/>
    </xf>
    <xf numFmtId="1" fontId="251" fillId="49" borderId="31" xfId="0" applyNumberFormat="1" applyFont="1" applyFill="1" applyBorder="1" applyAlignment="1">
      <alignment horizontal="right"/>
    </xf>
    <xf numFmtId="1" fontId="251" fillId="0" borderId="31" xfId="0" applyNumberFormat="1" applyFont="1" applyBorder="1" applyAlignment="1">
      <alignment horizontal="right"/>
    </xf>
    <xf numFmtId="1" fontId="251" fillId="0" borderId="0" xfId="0" applyNumberFormat="1" applyFont="1" applyAlignment="1">
      <alignment horizontal="right"/>
    </xf>
    <xf numFmtId="1" fontId="35" fillId="0" borderId="21" xfId="0" applyNumberFormat="1" applyFont="1" applyBorder="1" applyAlignment="1">
      <alignment horizontal="right"/>
    </xf>
    <xf numFmtId="1" fontId="35" fillId="49" borderId="31" xfId="0" applyNumberFormat="1" applyFont="1" applyFill="1" applyBorder="1" applyAlignment="1">
      <alignment horizontal="right"/>
    </xf>
    <xf numFmtId="1" fontId="35" fillId="0" borderId="31" xfId="0" applyNumberFormat="1" applyFont="1" applyBorder="1" applyAlignment="1">
      <alignment horizontal="right"/>
    </xf>
    <xf numFmtId="1" fontId="35" fillId="0" borderId="37" xfId="0" applyNumberFormat="1" applyFont="1" applyBorder="1" applyAlignment="1">
      <alignment horizontal="right"/>
    </xf>
    <xf numFmtId="187" fontId="18" fillId="49" borderId="31" xfId="0" applyNumberFormat="1" applyFont="1" applyFill="1" applyBorder="1" applyAlignment="1">
      <alignment horizontal="right"/>
    </xf>
    <xf numFmtId="187" fontId="251" fillId="49" borderId="31" xfId="0" applyNumberFormat="1" applyFont="1" applyFill="1" applyBorder="1" applyAlignment="1">
      <alignment horizontal="right"/>
    </xf>
    <xf numFmtId="187" fontId="18" fillId="0" borderId="0" xfId="0" applyNumberFormat="1" applyFont="1" applyAlignment="1">
      <alignment horizontal="right"/>
    </xf>
    <xf numFmtId="37" fontId="18" fillId="49" borderId="31" xfId="0" applyNumberFormat="1" applyFont="1" applyFill="1" applyBorder="1" applyAlignment="1">
      <alignment horizontal="right"/>
    </xf>
    <xf numFmtId="5" fontId="267" fillId="0" borderId="0" xfId="0" applyNumberFormat="1" applyFont="1" applyAlignment="1">
      <alignment horizontal="right"/>
    </xf>
    <xf numFmtId="5" fontId="267" fillId="0" borderId="31" xfId="0" applyNumberFormat="1" applyFont="1" applyBorder="1" applyAlignment="1">
      <alignment horizontal="right"/>
    </xf>
    <xf numFmtId="5" fontId="37" fillId="0" borderId="31" xfId="0" applyNumberFormat="1" applyFont="1" applyBorder="1" applyAlignment="1">
      <alignment horizontal="right"/>
    </xf>
    <xf numFmtId="5" fontId="35" fillId="0" borderId="21" xfId="0" applyNumberFormat="1" applyFont="1" applyBorder="1" applyAlignment="1">
      <alignment horizontal="right"/>
    </xf>
    <xf numFmtId="5" fontId="35" fillId="0" borderId="0" xfId="0" applyNumberFormat="1" applyFont="1" applyAlignment="1">
      <alignment horizontal="right"/>
    </xf>
    <xf numFmtId="5" fontId="35" fillId="0" borderId="37" xfId="0" applyNumberFormat="1" applyFont="1" applyBorder="1" applyAlignment="1">
      <alignment horizontal="right"/>
    </xf>
    <xf numFmtId="0" fontId="18" fillId="0" borderId="631" xfId="0" applyFont="1" applyBorder="1" applyAlignment="1">
      <alignment horizontal="right"/>
    </xf>
    <xf numFmtId="5" fontId="37" fillId="54" borderId="6" xfId="0" applyNumberFormat="1" applyFont="1" applyFill="1" applyBorder="1" applyAlignment="1">
      <alignment horizontal="right"/>
    </xf>
    <xf numFmtId="5" fontId="267" fillId="54" borderId="7" xfId="0" applyNumberFormat="1" applyFont="1" applyFill="1" applyBorder="1" applyAlignment="1">
      <alignment horizontal="right"/>
    </xf>
    <xf numFmtId="5" fontId="251" fillId="0" borderId="0" xfId="0" applyNumberFormat="1" applyFont="1" applyAlignment="1">
      <alignment horizontal="right"/>
    </xf>
    <xf numFmtId="168" fontId="35" fillId="0" borderId="21" xfId="0" applyNumberFormat="1" applyFont="1" applyBorder="1" applyAlignment="1">
      <alignment horizontal="right"/>
    </xf>
    <xf numFmtId="7" fontId="35" fillId="0" borderId="8" xfId="0" applyNumberFormat="1" applyFont="1" applyBorder="1" applyAlignment="1">
      <alignment horizontal="right"/>
    </xf>
    <xf numFmtId="7" fontId="18" fillId="0" borderId="57" xfId="0" applyNumberFormat="1" applyFont="1" applyBorder="1" applyAlignment="1">
      <alignment horizontal="right"/>
    </xf>
    <xf numFmtId="7" fontId="35" fillId="0" borderId="21" xfId="0" applyNumberFormat="1" applyFont="1" applyBorder="1" applyAlignment="1">
      <alignment horizontal="right"/>
    </xf>
    <xf numFmtId="7" fontId="35" fillId="0" borderId="27" xfId="0" applyNumberFormat="1" applyFont="1" applyBorder="1" applyAlignment="1">
      <alignment horizontal="right"/>
    </xf>
    <xf numFmtId="7" fontId="18" fillId="0" borderId="70" xfId="0" applyNumberFormat="1" applyFont="1" applyBorder="1" applyAlignment="1">
      <alignment horizontal="right"/>
    </xf>
    <xf numFmtId="7" fontId="37" fillId="45" borderId="6" xfId="0" applyNumberFormat="1" applyFont="1" applyFill="1" applyBorder="1" applyAlignment="1">
      <alignment horizontal="right"/>
    </xf>
    <xf numFmtId="7" fontId="37" fillId="45" borderId="7" xfId="0" applyNumberFormat="1" applyFont="1" applyFill="1" applyBorder="1" applyAlignment="1">
      <alignment horizontal="right"/>
    </xf>
    <xf numFmtId="8" fontId="37" fillId="0" borderId="27" xfId="1559" applyFont="1" applyFill="1" applyBorder="1" applyAlignment="1">
      <alignment horizontal="right"/>
    </xf>
    <xf numFmtId="8" fontId="37" fillId="0" borderId="70" xfId="1559" applyFont="1" applyFill="1" applyBorder="1" applyAlignment="1">
      <alignment horizontal="right"/>
    </xf>
    <xf numFmtId="4" fontId="35" fillId="0" borderId="6" xfId="1525" applyFont="1" applyFill="1" applyBorder="1" applyAlignment="1">
      <alignment horizontal="right"/>
    </xf>
    <xf numFmtId="4" fontId="35" fillId="0" borderId="7" xfId="1525" applyFont="1" applyFill="1" applyBorder="1" applyAlignment="1">
      <alignment horizontal="right"/>
    </xf>
    <xf numFmtId="274" fontId="35" fillId="0" borderId="8" xfId="0" applyNumberFormat="1" applyFont="1" applyBorder="1" applyAlignment="1">
      <alignment horizontal="right"/>
    </xf>
    <xf numFmtId="274" fontId="35" fillId="0" borderId="4" xfId="0" applyNumberFormat="1" applyFont="1" applyBorder="1" applyAlignment="1">
      <alignment horizontal="right"/>
    </xf>
    <xf numFmtId="274" fontId="251" fillId="0" borderId="21" xfId="0" applyNumberFormat="1" applyFont="1" applyBorder="1" applyAlignment="1">
      <alignment horizontal="right"/>
    </xf>
    <xf numFmtId="187" fontId="251" fillId="0" borderId="21" xfId="0" applyNumberFormat="1" applyFont="1" applyBorder="1" applyAlignment="1">
      <alignment horizontal="right"/>
    </xf>
    <xf numFmtId="169" fontId="18" fillId="0" borderId="11" xfId="0" applyNumberFormat="1" applyFont="1" applyBorder="1" applyAlignment="1">
      <alignment horizontal="right"/>
    </xf>
    <xf numFmtId="170" fontId="35" fillId="0" borderId="7" xfId="0" applyNumberFormat="1" applyFont="1" applyBorder="1" applyAlignment="1">
      <alignment horizontal="right"/>
    </xf>
    <xf numFmtId="170" fontId="35" fillId="0" borderId="131" xfId="0" applyNumberFormat="1" applyFont="1" applyBorder="1" applyAlignment="1">
      <alignment horizontal="right"/>
    </xf>
    <xf numFmtId="170" fontId="35" fillId="0" borderId="456" xfId="0" applyNumberFormat="1" applyFont="1" applyBorder="1" applyAlignment="1">
      <alignment horizontal="right"/>
    </xf>
    <xf numFmtId="169" fontId="37" fillId="45" borderId="6" xfId="1716" applyNumberFormat="1" applyFont="1" applyFill="1" applyBorder="1" applyAlignment="1">
      <alignment horizontal="right"/>
    </xf>
    <xf numFmtId="169" fontId="37" fillId="45" borderId="131" xfId="1716" applyNumberFormat="1" applyFont="1" applyFill="1" applyBorder="1" applyAlignment="1">
      <alignment horizontal="right"/>
    </xf>
    <xf numFmtId="169" fontId="37" fillId="45" borderId="105" xfId="1716" applyNumberFormat="1" applyFont="1" applyFill="1" applyBorder="1" applyAlignment="1">
      <alignment horizontal="right"/>
    </xf>
    <xf numFmtId="169" fontId="37" fillId="45" borderId="574" xfId="1716" applyNumberFormat="1" applyFont="1" applyFill="1" applyBorder="1" applyAlignment="1">
      <alignment horizontal="right"/>
    </xf>
    <xf numFmtId="9" fontId="37" fillId="45" borderId="632" xfId="1716" applyFont="1" applyFill="1" applyBorder="1" applyAlignment="1">
      <alignment horizontal="right"/>
    </xf>
    <xf numFmtId="169" fontId="37" fillId="45" borderId="632" xfId="1716" applyNumberFormat="1" applyFont="1" applyFill="1" applyBorder="1" applyAlignment="1">
      <alignment horizontal="right"/>
    </xf>
    <xf numFmtId="169" fontId="18" fillId="49" borderId="21" xfId="1716" applyNumberFormat="1" applyFont="1" applyFill="1" applyBorder="1" applyAlignment="1">
      <alignment horizontal="right"/>
    </xf>
    <xf numFmtId="169" fontId="35" fillId="0" borderId="0" xfId="1716" applyNumberFormat="1" applyFont="1" applyFill="1" applyBorder="1" applyAlignment="1">
      <alignment horizontal="right"/>
    </xf>
    <xf numFmtId="169" fontId="18" fillId="0" borderId="0" xfId="1716" applyNumberFormat="1" applyFont="1" applyFill="1" applyBorder="1" applyAlignment="1">
      <alignment horizontal="right"/>
    </xf>
    <xf numFmtId="169" fontId="35" fillId="0" borderId="0" xfId="1716" applyNumberFormat="1" applyFont="1" applyBorder="1" applyAlignment="1">
      <alignment horizontal="right"/>
    </xf>
    <xf numFmtId="169" fontId="35" fillId="0" borderId="21" xfId="1716" applyNumberFormat="1" applyFont="1" applyBorder="1" applyAlignment="1">
      <alignment horizontal="right"/>
    </xf>
    <xf numFmtId="169" fontId="35" fillId="0" borderId="21" xfId="1716" applyNumberFormat="1" applyFont="1" applyFill="1" applyBorder="1" applyAlignment="1">
      <alignment horizontal="right"/>
    </xf>
    <xf numFmtId="169" fontId="35" fillId="0" borderId="27" xfId="1716" applyNumberFormat="1" applyFont="1" applyFill="1" applyBorder="1" applyAlignment="1">
      <alignment horizontal="right"/>
    </xf>
    <xf numFmtId="169" fontId="35" fillId="0" borderId="11" xfId="1716" applyNumberFormat="1" applyFont="1" applyFill="1" applyBorder="1" applyAlignment="1">
      <alignment horizontal="right"/>
    </xf>
    <xf numFmtId="169" fontId="18" fillId="0" borderId="70" xfId="1716" applyNumberFormat="1" applyFont="1" applyFill="1" applyBorder="1" applyAlignment="1">
      <alignment horizontal="right"/>
    </xf>
    <xf numFmtId="169" fontId="18" fillId="0" borderId="608" xfId="1716" applyNumberFormat="1" applyFont="1" applyFill="1" applyBorder="1" applyAlignment="1">
      <alignment horizontal="right"/>
    </xf>
    <xf numFmtId="169" fontId="35" fillId="0" borderId="362" xfId="1716" applyNumberFormat="1" applyFont="1" applyFill="1" applyBorder="1" applyAlignment="1">
      <alignment horizontal="right"/>
    </xf>
    <xf numFmtId="170" fontId="35" fillId="0" borderId="608" xfId="0" applyNumberFormat="1" applyFont="1" applyBorder="1" applyAlignment="1">
      <alignment horizontal="right"/>
    </xf>
    <xf numFmtId="0" fontId="37" fillId="45" borderId="6" xfId="0" applyFont="1" applyFill="1" applyBorder="1" applyAlignment="1">
      <alignment horizontal="right"/>
    </xf>
    <xf numFmtId="0" fontId="37" fillId="45" borderId="105" xfId="0" applyFont="1" applyFill="1" applyBorder="1" applyAlignment="1">
      <alignment horizontal="right"/>
    </xf>
    <xf numFmtId="0" fontId="37" fillId="45" borderId="632" xfId="0" applyFont="1" applyFill="1" applyBorder="1" applyAlignment="1">
      <alignment horizontal="right"/>
    </xf>
    <xf numFmtId="169" fontId="37" fillId="45" borderId="633" xfId="1716" applyNumberFormat="1" applyFont="1" applyFill="1" applyBorder="1" applyAlignment="1">
      <alignment horizontal="right"/>
    </xf>
    <xf numFmtId="3" fontId="18" fillId="0" borderId="21" xfId="0" applyNumberFormat="1" applyFont="1" applyBorder="1" applyAlignment="1">
      <alignment horizontal="right"/>
    </xf>
    <xf numFmtId="3" fontId="18" fillId="0" borderId="0" xfId="0" applyNumberFormat="1" applyFont="1" applyAlignment="1">
      <alignment horizontal="right"/>
    </xf>
    <xf numFmtId="3" fontId="37" fillId="0" borderId="21" xfId="1559" applyNumberFormat="1" applyFont="1" applyBorder="1" applyAlignment="1">
      <alignment horizontal="right"/>
    </xf>
    <xf numFmtId="3" fontId="37" fillId="0" borderId="0" xfId="1559" applyNumberFormat="1" applyFont="1" applyBorder="1" applyAlignment="1">
      <alignment horizontal="right"/>
    </xf>
    <xf numFmtId="3" fontId="37" fillId="0" borderId="27" xfId="1559" applyNumberFormat="1" applyFont="1" applyBorder="1" applyAlignment="1">
      <alignment horizontal="right"/>
    </xf>
    <xf numFmtId="3" fontId="37" fillId="0" borderId="59" xfId="1559" applyNumberFormat="1" applyFont="1" applyBorder="1" applyAlignment="1">
      <alignment horizontal="right"/>
    </xf>
    <xf numFmtId="169" fontId="37" fillId="0" borderId="21" xfId="1716" applyNumberFormat="1" applyFont="1" applyBorder="1" applyAlignment="1">
      <alignment horizontal="right"/>
    </xf>
    <xf numFmtId="169" fontId="37" fillId="0" borderId="0" xfId="1716" applyNumberFormat="1" applyFont="1" applyBorder="1" applyAlignment="1">
      <alignment horizontal="right"/>
    </xf>
    <xf numFmtId="37" fontId="18" fillId="0" borderId="8" xfId="0" applyNumberFormat="1" applyFont="1" applyBorder="1" applyAlignment="1">
      <alignment horizontal="right"/>
    </xf>
    <xf numFmtId="37" fontId="18" fillId="0" borderId="46" xfId="0" applyNumberFormat="1" applyFont="1" applyBorder="1" applyAlignment="1">
      <alignment horizontal="right"/>
    </xf>
    <xf numFmtId="38" fontId="18" fillId="0" borderId="21" xfId="0" applyNumberFormat="1" applyFont="1" applyBorder="1" applyAlignment="1">
      <alignment horizontal="right"/>
    </xf>
    <xf numFmtId="38" fontId="18" fillId="0" borderId="0" xfId="0" applyNumberFormat="1" applyFont="1" applyAlignment="1">
      <alignment horizontal="right"/>
    </xf>
    <xf numFmtId="5" fontId="18" fillId="0" borderId="21" xfId="0" applyNumberFormat="1" applyFont="1" applyBorder="1" applyAlignment="1">
      <alignment horizontal="right"/>
    </xf>
    <xf numFmtId="5" fontId="18" fillId="0" borderId="27" xfId="0" applyNumberFormat="1" applyFont="1" applyBorder="1" applyAlignment="1">
      <alignment horizontal="right"/>
    </xf>
    <xf numFmtId="37" fontId="18" fillId="0" borderId="59" xfId="0" applyNumberFormat="1" applyFont="1" applyBorder="1" applyAlignment="1">
      <alignment horizontal="right"/>
    </xf>
    <xf numFmtId="3" fontId="37" fillId="0" borderId="21" xfId="0" applyNumberFormat="1" applyFont="1" applyBorder="1" applyAlignment="1">
      <alignment horizontal="right"/>
    </xf>
    <xf numFmtId="3" fontId="37" fillId="0" borderId="0" xfId="0" applyNumberFormat="1" applyFont="1" applyAlignment="1">
      <alignment horizontal="right"/>
    </xf>
    <xf numFmtId="3" fontId="35" fillId="0" borderId="21" xfId="0" applyNumberFormat="1" applyFont="1" applyBorder="1" applyAlignment="1">
      <alignment horizontal="right"/>
    </xf>
    <xf numFmtId="3" fontId="35" fillId="0" borderId="0" xfId="0" applyNumberFormat="1" applyFont="1" applyAlignment="1">
      <alignment horizontal="right"/>
    </xf>
    <xf numFmtId="5" fontId="35" fillId="0" borderId="27" xfId="0" applyNumberFormat="1" applyFont="1" applyBorder="1" applyAlignment="1">
      <alignment horizontal="right"/>
    </xf>
    <xf numFmtId="5" fontId="35" fillId="0" borderId="11" xfId="0" applyNumberFormat="1" applyFont="1" applyBorder="1" applyAlignment="1">
      <alignment horizontal="right"/>
    </xf>
    <xf numFmtId="189" fontId="35" fillId="0" borderId="21" xfId="1525" applyNumberFormat="1" applyFont="1" applyBorder="1" applyAlignment="1">
      <alignment horizontal="right"/>
    </xf>
    <xf numFmtId="189" fontId="18" fillId="0" borderId="0" xfId="1525" applyNumberFormat="1" applyFont="1" applyFill="1" applyBorder="1" applyAlignment="1">
      <alignment horizontal="right"/>
    </xf>
    <xf numFmtId="189" fontId="35" fillId="0" borderId="21" xfId="1525" applyNumberFormat="1" applyFont="1" applyFill="1" applyBorder="1" applyAlignment="1">
      <alignment horizontal="right"/>
    </xf>
    <xf numFmtId="169" fontId="48" fillId="0" borderId="0" xfId="1716" applyNumberFormat="1" applyFont="1" applyFill="1" applyBorder="1" applyAlignment="1">
      <alignment horizontal="right"/>
    </xf>
    <xf numFmtId="8" fontId="18" fillId="0" borderId="0" xfId="1559" applyFont="1" applyFill="1" applyBorder="1" applyAlignment="1">
      <alignment horizontal="right"/>
    </xf>
    <xf numFmtId="189" fontId="35" fillId="0" borderId="0" xfId="1525" applyNumberFormat="1" applyFont="1" applyFill="1" applyBorder="1" applyAlignment="1">
      <alignment horizontal="right"/>
    </xf>
    <xf numFmtId="189" fontId="35" fillId="0" borderId="21" xfId="1687" applyNumberFormat="1" applyFont="1" applyBorder="1" applyAlignment="1">
      <alignment horizontal="right"/>
    </xf>
    <xf numFmtId="189" fontId="18" fillId="0" borderId="0" xfId="0" applyNumberFormat="1" applyFont="1" applyAlignment="1">
      <alignment horizontal="right"/>
    </xf>
    <xf numFmtId="0" fontId="0" fillId="0" borderId="638" xfId="0" applyBorder="1"/>
    <xf numFmtId="0" fontId="0" fillId="0" borderId="316" xfId="0" applyBorder="1"/>
    <xf numFmtId="0" fontId="0" fillId="0" borderId="74" xfId="0" applyBorder="1"/>
    <xf numFmtId="179" fontId="190" fillId="44" borderId="639" xfId="1525" applyNumberFormat="1" applyFont="1" applyFill="1" applyBorder="1" applyAlignment="1">
      <alignment horizontal="center"/>
    </xf>
    <xf numFmtId="179" fontId="190" fillId="44" borderId="632" xfId="1525" applyNumberFormat="1" applyFont="1" applyFill="1" applyBorder="1" applyAlignment="1">
      <alignment horizontal="center"/>
    </xf>
    <xf numFmtId="37" fontId="37" fillId="45" borderId="641" xfId="0" applyNumberFormat="1" applyFont="1" applyFill="1" applyBorder="1"/>
    <xf numFmtId="37" fontId="37" fillId="0" borderId="75" xfId="0" applyNumberFormat="1" applyFont="1" applyBorder="1"/>
    <xf numFmtId="37" fontId="18" fillId="0" borderId="75" xfId="0" applyNumberFormat="1" applyFont="1" applyBorder="1"/>
    <xf numFmtId="37" fontId="37" fillId="45" borderId="75" xfId="0" applyNumberFormat="1" applyFont="1" applyFill="1" applyBorder="1"/>
    <xf numFmtId="6" fontId="37" fillId="0" borderId="75" xfId="0" applyNumberFormat="1" applyFont="1" applyBorder="1"/>
    <xf numFmtId="37" fontId="18" fillId="0" borderId="642" xfId="0" applyNumberFormat="1" applyFont="1" applyBorder="1"/>
    <xf numFmtId="6" fontId="37" fillId="45" borderId="643" xfId="0" applyNumberFormat="1" applyFont="1" applyFill="1" applyBorder="1"/>
    <xf numFmtId="177" fontId="251" fillId="0" borderId="37" xfId="0" applyNumberFormat="1" applyFont="1" applyBorder="1" applyAlignment="1">
      <alignment horizontal="right"/>
    </xf>
    <xf numFmtId="169" fontId="257" fillId="0" borderId="0" xfId="0" applyNumberFormat="1" applyFont="1" applyAlignment="1">
      <alignment horizontal="right"/>
    </xf>
    <xf numFmtId="3" fontId="37" fillId="0" borderId="622" xfId="1525" applyNumberFormat="1" applyFont="1" applyFill="1" applyBorder="1" applyAlignment="1" applyProtection="1">
      <alignment horizontal="right"/>
    </xf>
    <xf numFmtId="9" fontId="18" fillId="49" borderId="37" xfId="1716" applyFont="1" applyFill="1" applyBorder="1" applyAlignment="1">
      <alignment horizontal="right" shrinkToFit="1"/>
    </xf>
    <xf numFmtId="176" fontId="35" fillId="0" borderId="37" xfId="1525" applyNumberFormat="1" applyFont="1" applyFill="1" applyBorder="1" applyAlignment="1" applyProtection="1">
      <alignment horizontal="right"/>
    </xf>
    <xf numFmtId="176" fontId="37" fillId="0" borderId="622" xfId="1525" applyNumberFormat="1" applyFont="1" applyFill="1" applyBorder="1" applyAlignment="1" applyProtection="1">
      <alignment horizontal="right"/>
    </xf>
    <xf numFmtId="0" fontId="37" fillId="0" borderId="21" xfId="0" applyFont="1" applyBorder="1" applyAlignment="1">
      <alignment horizontal="right"/>
    </xf>
    <xf numFmtId="0" fontId="37" fillId="0" borderId="0" xfId="0" applyFont="1" applyAlignment="1">
      <alignment horizontal="right"/>
    </xf>
    <xf numFmtId="177" fontId="63" fillId="0" borderId="21" xfId="0" applyNumberFormat="1" applyFont="1" applyBorder="1" applyAlignment="1">
      <alignment horizontal="right"/>
    </xf>
    <xf numFmtId="177" fontId="63" fillId="0" borderId="0" xfId="0" applyNumberFormat="1" applyFont="1" applyAlignment="1">
      <alignment horizontal="right"/>
    </xf>
    <xf numFmtId="176" fontId="63" fillId="0" borderId="0" xfId="1525" applyNumberFormat="1" applyFont="1" applyFill="1" applyBorder="1" applyAlignment="1">
      <alignment horizontal="right"/>
    </xf>
    <xf numFmtId="176" fontId="35" fillId="0" borderId="0" xfId="1525" applyNumberFormat="1" applyFont="1" applyAlignment="1">
      <alignment horizontal="right"/>
    </xf>
    <xf numFmtId="3" fontId="48" fillId="0" borderId="0" xfId="1525" applyNumberFormat="1" applyFont="1" applyFill="1" applyAlignment="1">
      <alignment horizontal="right"/>
    </xf>
    <xf numFmtId="0" fontId="230" fillId="0" borderId="21" xfId="0" applyFont="1" applyBorder="1" applyAlignment="1">
      <alignment horizontal="right"/>
    </xf>
    <xf numFmtId="0" fontId="37" fillId="0" borderId="31" xfId="0" applyFont="1" applyBorder="1" applyAlignment="1">
      <alignment horizontal="right"/>
    </xf>
    <xf numFmtId="0" fontId="37" fillId="0" borderId="37" xfId="0" applyFont="1" applyBorder="1" applyAlignment="1">
      <alignment horizontal="right"/>
    </xf>
    <xf numFmtId="0" fontId="37" fillId="49" borderId="21" xfId="0" applyFont="1" applyFill="1" applyBorder="1" applyAlignment="1">
      <alignment horizontal="right"/>
    </xf>
    <xf numFmtId="189" fontId="44" fillId="0" borderId="0" xfId="0" applyNumberFormat="1" applyFont="1" applyAlignment="1">
      <alignment horizontal="right"/>
    </xf>
    <xf numFmtId="189" fontId="44" fillId="0" borderId="31" xfId="0" applyNumberFormat="1" applyFont="1" applyBorder="1" applyAlignment="1">
      <alignment horizontal="right"/>
    </xf>
    <xf numFmtId="37" fontId="37" fillId="0" borderId="0" xfId="0" applyNumberFormat="1" applyFont="1" applyAlignment="1">
      <alignment horizontal="right"/>
    </xf>
    <xf numFmtId="8" fontId="35" fillId="0" borderId="21" xfId="0" applyNumberFormat="1" applyFont="1" applyBorder="1" applyAlignment="1">
      <alignment horizontal="right"/>
    </xf>
    <xf numFmtId="227" fontId="18" fillId="0" borderId="0" xfId="0" applyNumberFormat="1" applyFont="1" applyAlignment="1">
      <alignment horizontal="right"/>
    </xf>
    <xf numFmtId="8" fontId="35" fillId="0" borderId="37" xfId="0" applyNumberFormat="1" applyFont="1" applyBorder="1" applyAlignment="1">
      <alignment horizontal="right"/>
    </xf>
    <xf numFmtId="8" fontId="35" fillId="49" borderId="21" xfId="0" applyNumberFormat="1" applyFont="1" applyFill="1" applyBorder="1" applyAlignment="1">
      <alignment horizontal="right"/>
    </xf>
    <xf numFmtId="9" fontId="35" fillId="0" borderId="21" xfId="1716" applyFont="1" applyBorder="1" applyAlignment="1">
      <alignment horizontal="right"/>
    </xf>
    <xf numFmtId="177" fontId="37" fillId="0" borderId="0" xfId="0" applyNumberFormat="1" applyFont="1" applyAlignment="1">
      <alignment horizontal="right"/>
    </xf>
    <xf numFmtId="177" fontId="63" fillId="0" borderId="37" xfId="0" applyNumberFormat="1" applyFont="1" applyBorder="1" applyAlignment="1">
      <alignment horizontal="right"/>
    </xf>
    <xf numFmtId="176" fontId="35" fillId="0" borderId="0" xfId="0" applyNumberFormat="1" applyFont="1" applyAlignment="1">
      <alignment horizontal="right"/>
    </xf>
    <xf numFmtId="176" fontId="35" fillId="0" borderId="37" xfId="0" applyNumberFormat="1" applyFont="1" applyBorder="1" applyAlignment="1">
      <alignment horizontal="right"/>
    </xf>
    <xf numFmtId="3" fontId="35" fillId="0" borderId="37" xfId="0" applyNumberFormat="1" applyFont="1" applyBorder="1" applyAlignment="1">
      <alignment horizontal="right"/>
    </xf>
    <xf numFmtId="177" fontId="35" fillId="0" borderId="37" xfId="0" applyNumberFormat="1" applyFont="1" applyBorder="1" applyAlignment="1">
      <alignment horizontal="right"/>
    </xf>
    <xf numFmtId="177" fontId="229" fillId="44" borderId="6" xfId="0" applyNumberFormat="1" applyFont="1" applyFill="1" applyBorder="1" applyAlignment="1">
      <alignment horizontal="right"/>
    </xf>
    <xf numFmtId="177" fontId="229" fillId="44" borderId="7" xfId="0" applyNumberFormat="1" applyFont="1" applyFill="1" applyBorder="1" applyAlignment="1">
      <alignment horizontal="right"/>
    </xf>
    <xf numFmtId="177" fontId="229" fillId="44" borderId="131" xfId="0" applyNumberFormat="1" applyFont="1" applyFill="1" applyBorder="1" applyAlignment="1">
      <alignment horizontal="right"/>
    </xf>
    <xf numFmtId="177" fontId="229" fillId="44" borderId="105" xfId="0" applyNumberFormat="1" applyFont="1" applyFill="1" applyBorder="1" applyAlignment="1">
      <alignment horizontal="right"/>
    </xf>
    <xf numFmtId="177" fontId="229" fillId="44" borderId="21" xfId="0" applyNumberFormat="1" applyFont="1" applyFill="1" applyBorder="1" applyAlignment="1">
      <alignment horizontal="right"/>
    </xf>
    <xf numFmtId="177" fontId="229" fillId="0" borderId="21" xfId="0" applyNumberFormat="1" applyFont="1" applyBorder="1" applyAlignment="1">
      <alignment horizontal="right"/>
    </xf>
    <xf numFmtId="177" fontId="229" fillId="0" borderId="0" xfId="0" applyNumberFormat="1" applyFont="1" applyAlignment="1">
      <alignment horizontal="right"/>
    </xf>
    <xf numFmtId="177" fontId="229" fillId="0" borderId="37" xfId="0" applyNumberFormat="1" applyFont="1" applyBorder="1" applyAlignment="1">
      <alignment horizontal="right"/>
    </xf>
    <xf numFmtId="177" fontId="63" fillId="0" borderId="31" xfId="0" applyNumberFormat="1" applyFont="1" applyBorder="1" applyAlignment="1">
      <alignment horizontal="right"/>
    </xf>
    <xf numFmtId="177" fontId="186" fillId="0" borderId="37" xfId="0" applyNumberFormat="1" applyFont="1" applyBorder="1" applyAlignment="1">
      <alignment horizontal="right"/>
    </xf>
    <xf numFmtId="177" fontId="186" fillId="0" borderId="31" xfId="0" applyNumberFormat="1" applyFont="1" applyBorder="1" applyAlignment="1">
      <alignment horizontal="right"/>
    </xf>
    <xf numFmtId="177" fontId="35" fillId="0" borderId="31" xfId="0" applyNumberFormat="1" applyFont="1" applyBorder="1" applyAlignment="1">
      <alignment horizontal="right"/>
    </xf>
    <xf numFmtId="177" fontId="251" fillId="0" borderId="0" xfId="0" applyNumberFormat="1" applyFont="1" applyAlignment="1">
      <alignment horizontal="right"/>
    </xf>
    <xf numFmtId="9" fontId="251" fillId="0" borderId="21" xfId="1716" applyFont="1" applyFill="1" applyBorder="1" applyAlignment="1">
      <alignment horizontal="right"/>
    </xf>
    <xf numFmtId="9" fontId="251" fillId="0" borderId="31" xfId="1716" applyFont="1" applyFill="1" applyBorder="1" applyAlignment="1">
      <alignment horizontal="right"/>
    </xf>
    <xf numFmtId="9" fontId="251" fillId="0" borderId="37" xfId="1716" applyFont="1" applyFill="1" applyBorder="1" applyAlignment="1">
      <alignment horizontal="right"/>
    </xf>
    <xf numFmtId="9" fontId="186" fillId="0" borderId="21" xfId="1716" applyFont="1" applyFill="1" applyBorder="1" applyAlignment="1">
      <alignment horizontal="right"/>
    </xf>
    <xf numFmtId="9" fontId="186" fillId="0" borderId="31" xfId="1716" applyFont="1" applyFill="1" applyBorder="1" applyAlignment="1">
      <alignment horizontal="right"/>
    </xf>
    <xf numFmtId="9" fontId="186" fillId="0" borderId="37" xfId="1716" applyFont="1" applyFill="1" applyBorder="1" applyAlignment="1">
      <alignment horizontal="right"/>
    </xf>
    <xf numFmtId="0" fontId="0" fillId="0" borderId="21" xfId="0" applyBorder="1" applyAlignment="1">
      <alignment horizontal="right"/>
    </xf>
    <xf numFmtId="0" fontId="0" fillId="0" borderId="37" xfId="0" applyBorder="1" applyAlignment="1">
      <alignment horizontal="right"/>
    </xf>
    <xf numFmtId="0" fontId="0" fillId="0" borderId="31" xfId="0" applyBorder="1" applyAlignment="1">
      <alignment horizontal="right"/>
    </xf>
    <xf numFmtId="177" fontId="186" fillId="49" borderId="21" xfId="0" applyNumberFormat="1" applyFont="1" applyFill="1" applyBorder="1" applyAlignment="1">
      <alignment horizontal="right"/>
    </xf>
    <xf numFmtId="9" fontId="206" fillId="71" borderId="21" xfId="1716" applyFont="1" applyFill="1" applyBorder="1" applyAlignment="1">
      <alignment horizontal="right"/>
    </xf>
    <xf numFmtId="9" fontId="206" fillId="71" borderId="37" xfId="1716" applyFont="1" applyFill="1" applyBorder="1" applyAlignment="1">
      <alignment horizontal="right"/>
    </xf>
    <xf numFmtId="177" fontId="251" fillId="0" borderId="31" xfId="0" applyNumberFormat="1" applyFont="1" applyBorder="1" applyAlignment="1">
      <alignment horizontal="right"/>
    </xf>
    <xf numFmtId="177" fontId="37" fillId="0" borderId="21" xfId="0" applyNumberFormat="1" applyFont="1" applyBorder="1" applyAlignment="1">
      <alignment horizontal="right"/>
    </xf>
    <xf numFmtId="177" fontId="37" fillId="0" borderId="31" xfId="0" applyNumberFormat="1" applyFont="1" applyBorder="1" applyAlignment="1">
      <alignment horizontal="right"/>
    </xf>
    <xf numFmtId="177" fontId="37" fillId="0" borderId="37" xfId="0" applyNumberFormat="1" applyFont="1" applyBorder="1" applyAlignment="1">
      <alignment horizontal="right"/>
    </xf>
    <xf numFmtId="177" fontId="232" fillId="0" borderId="21" xfId="0" applyNumberFormat="1" applyFont="1" applyBorder="1" applyAlignment="1">
      <alignment horizontal="right"/>
    </xf>
    <xf numFmtId="177" fontId="232" fillId="0" borderId="31" xfId="0" applyNumberFormat="1" applyFont="1" applyBorder="1" applyAlignment="1">
      <alignment horizontal="right"/>
    </xf>
    <xf numFmtId="177" fontId="232" fillId="0" borderId="37" xfId="0" applyNumberFormat="1" applyFont="1" applyBorder="1" applyAlignment="1">
      <alignment horizontal="right"/>
    </xf>
    <xf numFmtId="177" fontId="251" fillId="0" borderId="21" xfId="0" applyNumberFormat="1" applyFont="1" applyBorder="1" applyAlignment="1">
      <alignment horizontal="right"/>
    </xf>
    <xf numFmtId="177" fontId="186" fillId="49" borderId="0" xfId="0" applyNumberFormat="1" applyFont="1" applyFill="1" applyAlignment="1">
      <alignment horizontal="right"/>
    </xf>
    <xf numFmtId="9" fontId="206" fillId="71" borderId="0" xfId="1716" applyFont="1" applyFill="1" applyBorder="1" applyAlignment="1">
      <alignment horizontal="right"/>
    </xf>
    <xf numFmtId="177" fontId="63" fillId="71" borderId="6" xfId="0" applyNumberFormat="1" applyFont="1" applyFill="1" applyBorder="1" applyAlignment="1">
      <alignment horizontal="right"/>
    </xf>
    <xf numFmtId="177" fontId="37" fillId="71" borderId="7" xfId="0" applyNumberFormat="1" applyFont="1" applyFill="1" applyBorder="1" applyAlignment="1">
      <alignment horizontal="right"/>
    </xf>
    <xf numFmtId="177" fontId="63" fillId="71" borderId="104" xfId="0" applyNumberFormat="1" applyFont="1" applyFill="1" applyBorder="1" applyAlignment="1">
      <alignment horizontal="right"/>
    </xf>
    <xf numFmtId="177" fontId="63" fillId="71" borderId="105" xfId="0" applyNumberFormat="1" applyFont="1" applyFill="1" applyBorder="1" applyAlignment="1">
      <alignment horizontal="right"/>
    </xf>
    <xf numFmtId="177" fontId="63" fillId="71" borderId="574" xfId="0" applyNumberFormat="1" applyFont="1" applyFill="1" applyBorder="1" applyAlignment="1">
      <alignment horizontal="right"/>
    </xf>
    <xf numFmtId="177" fontId="37" fillId="49" borderId="0" xfId="0" applyNumberFormat="1" applyFont="1" applyFill="1" applyAlignment="1">
      <alignment horizontal="right"/>
    </xf>
    <xf numFmtId="177" fontId="35" fillId="49" borderId="21" xfId="0" applyNumberFormat="1" applyFont="1" applyFill="1" applyBorder="1" applyAlignment="1">
      <alignment horizontal="right"/>
    </xf>
    <xf numFmtId="177" fontId="35" fillId="49" borderId="31" xfId="0" applyNumberFormat="1" applyFont="1" applyFill="1" applyBorder="1" applyAlignment="1">
      <alignment horizontal="right"/>
    </xf>
    <xf numFmtId="177" fontId="35" fillId="49" borderId="37" xfId="0" applyNumberFormat="1" applyFont="1" applyFill="1" applyBorder="1" applyAlignment="1">
      <alignment horizontal="right"/>
    </xf>
    <xf numFmtId="9" fontId="18" fillId="0" borderId="0" xfId="1716" applyFont="1" applyFill="1" applyAlignment="1">
      <alignment horizontal="right"/>
    </xf>
    <xf numFmtId="177" fontId="251" fillId="49" borderId="0" xfId="0" applyNumberFormat="1" applyFont="1" applyFill="1" applyAlignment="1">
      <alignment horizontal="right"/>
    </xf>
    <xf numFmtId="37" fontId="186" fillId="0" borderId="21" xfId="0" applyNumberFormat="1" applyFont="1" applyBorder="1" applyAlignment="1">
      <alignment horizontal="right"/>
    </xf>
    <xf numFmtId="177" fontId="186" fillId="49" borderId="31" xfId="0" applyNumberFormat="1" applyFont="1" applyFill="1" applyBorder="1" applyAlignment="1">
      <alignment horizontal="right"/>
    </xf>
    <xf numFmtId="177" fontId="186" fillId="49" borderId="37" xfId="0" applyNumberFormat="1" applyFont="1" applyFill="1" applyBorder="1" applyAlignment="1">
      <alignment horizontal="right"/>
    </xf>
    <xf numFmtId="9" fontId="35" fillId="0" borderId="0" xfId="1716" applyFont="1" applyFill="1" applyAlignment="1">
      <alignment horizontal="right"/>
    </xf>
    <xf numFmtId="37" fontId="251" fillId="0" borderId="37" xfId="0" applyNumberFormat="1" applyFont="1" applyBorder="1" applyAlignment="1">
      <alignment horizontal="right"/>
    </xf>
    <xf numFmtId="37" fontId="186" fillId="49" borderId="0" xfId="0" applyNumberFormat="1" applyFont="1" applyFill="1" applyAlignment="1">
      <alignment horizontal="right"/>
    </xf>
    <xf numFmtId="37" fontId="35" fillId="0" borderId="37" xfId="0" applyNumberFormat="1" applyFont="1" applyBorder="1" applyAlignment="1">
      <alignment horizontal="right"/>
    </xf>
    <xf numFmtId="177" fontId="18" fillId="49" borderId="0" xfId="0" applyNumberFormat="1" applyFont="1" applyFill="1" applyAlignment="1">
      <alignment horizontal="right"/>
    </xf>
    <xf numFmtId="281" fontId="18" fillId="49" borderId="0" xfId="0" applyNumberFormat="1" applyFont="1" applyFill="1" applyAlignment="1">
      <alignment horizontal="right"/>
    </xf>
    <xf numFmtId="3" fontId="251" fillId="0" borderId="0" xfId="0" applyNumberFormat="1" applyFont="1" applyAlignment="1">
      <alignment horizontal="right"/>
    </xf>
    <xf numFmtId="3" fontId="18" fillId="0" borderId="37" xfId="0" applyNumberFormat="1" applyFont="1" applyBorder="1" applyAlignment="1">
      <alignment horizontal="right"/>
    </xf>
    <xf numFmtId="3" fontId="18" fillId="49" borderId="0" xfId="0" applyNumberFormat="1" applyFont="1" applyFill="1" applyAlignment="1">
      <alignment horizontal="right"/>
    </xf>
    <xf numFmtId="176" fontId="186" fillId="0" borderId="21" xfId="1525" applyNumberFormat="1" applyFont="1" applyFill="1" applyBorder="1" applyAlignment="1">
      <alignment horizontal="right"/>
    </xf>
    <xf numFmtId="9" fontId="186" fillId="0" borderId="21" xfId="0" applyNumberFormat="1" applyFont="1" applyBorder="1" applyAlignment="1">
      <alignment horizontal="right"/>
    </xf>
    <xf numFmtId="9" fontId="251" fillId="0" borderId="0" xfId="1716" applyFont="1" applyFill="1" applyBorder="1" applyAlignment="1">
      <alignment horizontal="right"/>
    </xf>
    <xf numFmtId="176" fontId="186" fillId="0" borderId="37" xfId="1525" applyNumberFormat="1" applyFont="1" applyFill="1" applyBorder="1" applyAlignment="1">
      <alignment horizontal="right"/>
    </xf>
    <xf numFmtId="37" fontId="37" fillId="0" borderId="21" xfId="0" applyNumberFormat="1" applyFont="1" applyBorder="1" applyAlignment="1">
      <alignment horizontal="right"/>
    </xf>
    <xf numFmtId="37" fontId="267" fillId="0" borderId="57" xfId="0" applyNumberFormat="1" applyFont="1" applyBorder="1" applyAlignment="1">
      <alignment horizontal="right"/>
    </xf>
    <xf numFmtId="37" fontId="267" fillId="49" borderId="46" xfId="0" applyNumberFormat="1" applyFont="1" applyFill="1" applyBorder="1" applyAlignment="1">
      <alignment horizontal="right"/>
    </xf>
    <xf numFmtId="37" fontId="37" fillId="49" borderId="21" xfId="0" applyNumberFormat="1" applyFont="1" applyFill="1" applyBorder="1" applyAlignment="1">
      <alignment horizontal="right"/>
    </xf>
    <xf numFmtId="37" fontId="267" fillId="49" borderId="57" xfId="0" applyNumberFormat="1" applyFont="1" applyFill="1" applyBorder="1" applyAlignment="1">
      <alignment horizontal="right"/>
    </xf>
    <xf numFmtId="37" fontId="267" fillId="0" borderId="0" xfId="0" applyNumberFormat="1" applyFont="1" applyAlignment="1">
      <alignment horizontal="right"/>
    </xf>
    <xf numFmtId="37" fontId="267" fillId="49" borderId="0" xfId="0" applyNumberFormat="1" applyFont="1" applyFill="1" applyAlignment="1">
      <alignment horizontal="right"/>
    </xf>
    <xf numFmtId="37" fontId="37" fillId="49" borderId="0" xfId="0" applyNumberFormat="1" applyFont="1" applyFill="1" applyAlignment="1">
      <alignment horizontal="right"/>
    </xf>
    <xf numFmtId="177" fontId="48" fillId="49" borderId="0" xfId="0" applyNumberFormat="1" applyFont="1" applyFill="1" applyAlignment="1">
      <alignment horizontal="right"/>
    </xf>
    <xf numFmtId="1" fontId="18" fillId="0" borderId="37" xfId="15987" applyNumberFormat="1" applyBorder="1" applyAlignment="1">
      <alignment horizontal="right"/>
    </xf>
    <xf numFmtId="1" fontId="18" fillId="0" borderId="21" xfId="15987" applyNumberFormat="1" applyBorder="1" applyAlignment="1">
      <alignment horizontal="right"/>
    </xf>
    <xf numFmtId="9" fontId="251" fillId="95" borderId="37" xfId="1716" applyFont="1" applyFill="1" applyBorder="1" applyAlignment="1">
      <alignment horizontal="right"/>
    </xf>
    <xf numFmtId="177" fontId="18" fillId="49" borderId="21" xfId="0" applyNumberFormat="1" applyFont="1" applyFill="1" applyBorder="1" applyAlignment="1">
      <alignment horizontal="right"/>
    </xf>
    <xf numFmtId="37" fontId="362" fillId="49" borderId="37" xfId="0" applyNumberFormat="1" applyFont="1" applyFill="1" applyBorder="1" applyAlignment="1">
      <alignment horizontal="right"/>
    </xf>
    <xf numFmtId="37" fontId="35" fillId="49" borderId="37" xfId="0" applyNumberFormat="1" applyFont="1" applyFill="1" applyBorder="1" applyAlignment="1">
      <alignment horizontal="right"/>
    </xf>
    <xf numFmtId="177" fontId="18" fillId="0" borderId="21" xfId="0" applyNumberFormat="1" applyFont="1" applyBorder="1" applyAlignment="1">
      <alignment horizontal="right"/>
    </xf>
    <xf numFmtId="177" fontId="362" fillId="49" borderId="21" xfId="0" applyNumberFormat="1" applyFont="1" applyFill="1" applyBorder="1" applyAlignment="1">
      <alignment horizontal="right"/>
    </xf>
    <xf numFmtId="177" fontId="362" fillId="49" borderId="37" xfId="0" applyNumberFormat="1" applyFont="1" applyFill="1" applyBorder="1" applyAlignment="1">
      <alignment horizontal="right"/>
    </xf>
    <xf numFmtId="37" fontId="37" fillId="45" borderId="6" xfId="0" applyNumberFormat="1" applyFont="1" applyFill="1" applyBorder="1" applyAlignment="1">
      <alignment horizontal="right"/>
    </xf>
    <xf numFmtId="177" fontId="37" fillId="45" borderId="7" xfId="0" applyNumberFormat="1" applyFont="1" applyFill="1" applyBorder="1" applyAlignment="1">
      <alignment horizontal="right"/>
    </xf>
    <xf numFmtId="37" fontId="37" fillId="45" borderId="104" xfId="0" applyNumberFormat="1" applyFont="1" applyFill="1" applyBorder="1" applyAlignment="1">
      <alignment horizontal="right"/>
    </xf>
    <xf numFmtId="37" fontId="37" fillId="45" borderId="105" xfId="0" applyNumberFormat="1" applyFont="1" applyFill="1" applyBorder="1" applyAlignment="1">
      <alignment horizontal="right"/>
    </xf>
    <xf numFmtId="37" fontId="37" fillId="45" borderId="630" xfId="0" applyNumberFormat="1" applyFont="1" applyFill="1" applyBorder="1" applyAlignment="1">
      <alignment horizontal="right"/>
    </xf>
    <xf numFmtId="37" fontId="37" fillId="45" borderId="574" xfId="0" applyNumberFormat="1" applyFont="1" applyFill="1" applyBorder="1" applyAlignment="1">
      <alignment horizontal="right"/>
    </xf>
    <xf numFmtId="177" fontId="18" fillId="0" borderId="37" xfId="0" applyNumberFormat="1" applyFont="1" applyBorder="1" applyAlignment="1">
      <alignment horizontal="right"/>
    </xf>
    <xf numFmtId="37" fontId="251" fillId="0" borderId="31" xfId="0" applyNumberFormat="1" applyFont="1" applyBorder="1" applyAlignment="1">
      <alignment horizontal="right"/>
    </xf>
    <xf numFmtId="37" fontId="186" fillId="0" borderId="31" xfId="0" applyNumberFormat="1" applyFont="1" applyBorder="1" applyAlignment="1">
      <alignment horizontal="right"/>
    </xf>
    <xf numFmtId="37" fontId="231" fillId="49" borderId="0" xfId="0" applyNumberFormat="1" applyFont="1" applyFill="1" applyAlignment="1">
      <alignment horizontal="right"/>
    </xf>
    <xf numFmtId="37" fontId="231" fillId="49" borderId="37" xfId="0" applyNumberFormat="1" applyFont="1" applyFill="1" applyBorder="1" applyAlignment="1">
      <alignment horizontal="right"/>
    </xf>
    <xf numFmtId="37" fontId="231" fillId="0" borderId="0" xfId="0" applyNumberFormat="1" applyFont="1" applyAlignment="1">
      <alignment horizontal="right"/>
    </xf>
    <xf numFmtId="37" fontId="231" fillId="0" borderId="37" xfId="0" applyNumberFormat="1" applyFont="1" applyBorder="1" applyAlignment="1">
      <alignment horizontal="right"/>
    </xf>
    <xf numFmtId="177" fontId="35" fillId="0" borderId="631" xfId="0" applyNumberFormat="1" applyFont="1" applyBorder="1" applyAlignment="1">
      <alignment horizontal="right"/>
    </xf>
    <xf numFmtId="177" fontId="35" fillId="0" borderId="608" xfId="0" applyNumberFormat="1" applyFont="1" applyBorder="1" applyAlignment="1">
      <alignment horizontal="right"/>
    </xf>
    <xf numFmtId="177" fontId="35" fillId="0" borderId="634" xfId="0" applyNumberFormat="1" applyFont="1" applyBorder="1" applyAlignment="1">
      <alignment horizontal="right"/>
    </xf>
    <xf numFmtId="177" fontId="37" fillId="0" borderId="622" xfId="0" applyNumberFormat="1" applyFont="1" applyBorder="1" applyAlignment="1">
      <alignment horizontal="right"/>
    </xf>
    <xf numFmtId="9" fontId="186" fillId="49" borderId="0" xfId="0" applyNumberFormat="1" applyFont="1" applyFill="1" applyAlignment="1">
      <alignment horizontal="right"/>
    </xf>
    <xf numFmtId="177" fontId="63" fillId="49" borderId="21" xfId="0" applyNumberFormat="1" applyFont="1" applyFill="1" applyBorder="1" applyAlignment="1">
      <alignment horizontal="right"/>
    </xf>
    <xf numFmtId="177" fontId="63" fillId="49" borderId="0" xfId="0" applyNumberFormat="1" applyFont="1" applyFill="1" applyAlignment="1">
      <alignment horizontal="right"/>
    </xf>
    <xf numFmtId="177" fontId="344" fillId="0" borderId="21" xfId="0" applyNumberFormat="1" applyFont="1" applyBorder="1" applyAlignment="1">
      <alignment horizontal="right"/>
    </xf>
    <xf numFmtId="177" fontId="344" fillId="0" borderId="0" xfId="0" applyNumberFormat="1" applyFont="1" applyAlignment="1">
      <alignment horizontal="right"/>
    </xf>
    <xf numFmtId="177" fontId="344" fillId="0" borderId="37" xfId="0" applyNumberFormat="1" applyFont="1" applyBorder="1" applyAlignment="1">
      <alignment horizontal="right"/>
    </xf>
    <xf numFmtId="0" fontId="344" fillId="0" borderId="21" xfId="0" applyFont="1" applyBorder="1" applyAlignment="1">
      <alignment horizontal="right"/>
    </xf>
    <xf numFmtId="0" fontId="344" fillId="0" borderId="0" xfId="0" applyFont="1" applyAlignment="1">
      <alignment horizontal="right"/>
    </xf>
    <xf numFmtId="0" fontId="344" fillId="0" borderId="37" xfId="0" applyFont="1" applyBorder="1" applyAlignment="1">
      <alignment horizontal="right"/>
    </xf>
    <xf numFmtId="177" fontId="186" fillId="44" borderId="6" xfId="0" applyNumberFormat="1" applyFont="1" applyFill="1" applyBorder="1" applyAlignment="1">
      <alignment horizontal="right"/>
    </xf>
    <xf numFmtId="177" fontId="18" fillId="44" borderId="7" xfId="0" applyNumberFormat="1" applyFont="1" applyFill="1" applyBorder="1" applyAlignment="1">
      <alignment horizontal="right"/>
    </xf>
    <xf numFmtId="177" fontId="186" fillId="44" borderId="131" xfId="0" applyNumberFormat="1" applyFont="1" applyFill="1" applyBorder="1" applyAlignment="1">
      <alignment horizontal="right"/>
    </xf>
    <xf numFmtId="177" fontId="186" fillId="44" borderId="105" xfId="0" applyNumberFormat="1" applyFont="1" applyFill="1" applyBorder="1" applyAlignment="1">
      <alignment horizontal="right"/>
    </xf>
    <xf numFmtId="177" fontId="186" fillId="44" borderId="0" xfId="0" applyNumberFormat="1" applyFont="1" applyFill="1" applyAlignment="1">
      <alignment horizontal="right"/>
    </xf>
    <xf numFmtId="177" fontId="186" fillId="44" borderId="37" xfId="0" applyNumberFormat="1" applyFont="1" applyFill="1" applyBorder="1" applyAlignment="1">
      <alignment horizontal="right"/>
    </xf>
    <xf numFmtId="177" fontId="37" fillId="0" borderId="102" xfId="0" applyNumberFormat="1" applyFont="1" applyBorder="1" applyAlignment="1">
      <alignment horizontal="right"/>
    </xf>
    <xf numFmtId="177" fontId="37" fillId="49" borderId="37" xfId="0" applyNumberFormat="1" applyFont="1" applyFill="1" applyBorder="1" applyAlignment="1">
      <alignment horizontal="right"/>
    </xf>
    <xf numFmtId="177" fontId="63" fillId="49" borderId="37" xfId="0" applyNumberFormat="1" applyFont="1" applyFill="1" applyBorder="1" applyAlignment="1">
      <alignment horizontal="right"/>
    </xf>
    <xf numFmtId="9" fontId="186" fillId="0" borderId="37" xfId="0" applyNumberFormat="1" applyFont="1" applyBorder="1" applyAlignment="1">
      <alignment horizontal="right"/>
    </xf>
    <xf numFmtId="37" fontId="229" fillId="44" borderId="630" xfId="0" applyNumberFormat="1" applyFont="1" applyFill="1" applyBorder="1" applyAlignment="1">
      <alignment horizontal="right"/>
    </xf>
    <xf numFmtId="37" fontId="229" fillId="44" borderId="633" xfId="0" applyNumberFormat="1" applyFont="1" applyFill="1" applyBorder="1" applyAlignment="1">
      <alignment horizontal="right"/>
    </xf>
    <xf numFmtId="37" fontId="229" fillId="44" borderId="574" xfId="0" applyNumberFormat="1" applyFont="1" applyFill="1" applyBorder="1" applyAlignment="1">
      <alignment horizontal="right"/>
    </xf>
    <xf numFmtId="37" fontId="37" fillId="57" borderId="6" xfId="0" applyNumberFormat="1" applyFont="1" applyFill="1" applyBorder="1" applyAlignment="1">
      <alignment horizontal="right"/>
    </xf>
    <xf numFmtId="37" fontId="37" fillId="57" borderId="104" xfId="0" applyNumberFormat="1" applyFont="1" applyFill="1" applyBorder="1" applyAlignment="1">
      <alignment horizontal="right"/>
    </xf>
    <xf numFmtId="37" fontId="37" fillId="57" borderId="105" xfId="0" applyNumberFormat="1" applyFont="1" applyFill="1" applyBorder="1" applyAlignment="1">
      <alignment horizontal="right"/>
    </xf>
    <xf numFmtId="177" fontId="186" fillId="57" borderId="6" xfId="0" applyNumberFormat="1" applyFont="1" applyFill="1" applyBorder="1" applyAlignment="1">
      <alignment horizontal="right"/>
    </xf>
    <xf numFmtId="177" fontId="186" fillId="57" borderId="103" xfId="0" applyNumberFormat="1" applyFont="1" applyFill="1" applyBorder="1" applyAlignment="1">
      <alignment horizontal="right"/>
    </xf>
    <xf numFmtId="177" fontId="186" fillId="57" borderId="104" xfId="0" applyNumberFormat="1" applyFont="1" applyFill="1" applyBorder="1" applyAlignment="1">
      <alignment horizontal="right"/>
    </xf>
    <xf numFmtId="177" fontId="186" fillId="57" borderId="105" xfId="0" applyNumberFormat="1" applyFont="1" applyFill="1" applyBorder="1" applyAlignment="1">
      <alignment horizontal="right"/>
    </xf>
    <xf numFmtId="9" fontId="18" fillId="0" borderId="0" xfId="1716" applyFont="1" applyFill="1" applyBorder="1" applyAlignment="1">
      <alignment horizontal="right"/>
    </xf>
    <xf numFmtId="9" fontId="18" fillId="0" borderId="21" xfId="1716" applyFont="1" applyFill="1" applyBorder="1" applyAlignment="1">
      <alignment horizontal="right"/>
    </xf>
    <xf numFmtId="9" fontId="48" fillId="0" borderId="0" xfId="1716" applyFont="1" applyFill="1" applyBorder="1" applyAlignment="1">
      <alignment horizontal="right"/>
    </xf>
    <xf numFmtId="177" fontId="186" fillId="53" borderId="21" xfId="0" applyNumberFormat="1" applyFont="1" applyFill="1" applyBorder="1" applyAlignment="1">
      <alignment horizontal="right"/>
    </xf>
    <xf numFmtId="281" fontId="186" fillId="71" borderId="21" xfId="0" applyNumberFormat="1" applyFont="1" applyFill="1" applyBorder="1" applyAlignment="1">
      <alignment horizontal="right"/>
    </xf>
    <xf numFmtId="281" fontId="186" fillId="71" borderId="37" xfId="0" applyNumberFormat="1" applyFont="1" applyFill="1" applyBorder="1" applyAlignment="1">
      <alignment horizontal="right"/>
    </xf>
    <xf numFmtId="281" fontId="186" fillId="0" borderId="0" xfId="0" applyNumberFormat="1" applyFont="1" applyAlignment="1">
      <alignment horizontal="right"/>
    </xf>
    <xf numFmtId="177" fontId="186" fillId="97" borderId="21" xfId="0" applyNumberFormat="1" applyFont="1" applyFill="1" applyBorder="1" applyAlignment="1">
      <alignment horizontal="right"/>
    </xf>
    <xf numFmtId="177" fontId="186" fillId="46" borderId="31" xfId="0" applyNumberFormat="1" applyFont="1" applyFill="1" applyBorder="1" applyAlignment="1">
      <alignment horizontal="right"/>
    </xf>
    <xf numFmtId="177" fontId="186" fillId="46" borderId="37" xfId="0" applyNumberFormat="1" applyFont="1" applyFill="1" applyBorder="1" applyAlignment="1">
      <alignment horizontal="right"/>
    </xf>
    <xf numFmtId="169" fontId="18" fillId="46" borderId="31" xfId="0" applyNumberFormat="1" applyFont="1" applyFill="1" applyBorder="1" applyAlignment="1">
      <alignment horizontal="right"/>
    </xf>
    <xf numFmtId="169" fontId="18" fillId="46" borderId="37" xfId="0" applyNumberFormat="1" applyFont="1" applyFill="1" applyBorder="1" applyAlignment="1">
      <alignment horizontal="right"/>
    </xf>
    <xf numFmtId="177" fontId="186" fillId="97" borderId="31" xfId="0" applyNumberFormat="1" applyFont="1" applyFill="1" applyBorder="1" applyAlignment="1">
      <alignment horizontal="right"/>
    </xf>
    <xf numFmtId="177" fontId="186" fillId="97" borderId="37" xfId="0" applyNumberFormat="1" applyFont="1" applyFill="1" applyBorder="1" applyAlignment="1">
      <alignment horizontal="right"/>
    </xf>
    <xf numFmtId="177" fontId="18" fillId="97" borderId="37" xfId="0" applyNumberFormat="1" applyFont="1" applyFill="1" applyBorder="1" applyAlignment="1">
      <alignment horizontal="right"/>
    </xf>
    <xf numFmtId="281" fontId="186" fillId="71" borderId="31" xfId="0" applyNumberFormat="1" applyFont="1" applyFill="1" applyBorder="1" applyAlignment="1">
      <alignment horizontal="right"/>
    </xf>
    <xf numFmtId="281" fontId="186" fillId="0" borderId="31" xfId="0" applyNumberFormat="1" applyFont="1" applyBorder="1" applyAlignment="1">
      <alignment horizontal="right"/>
    </xf>
    <xf numFmtId="177" fontId="186" fillId="48" borderId="21" xfId="0" applyNumberFormat="1" applyFont="1" applyFill="1" applyBorder="1" applyAlignment="1">
      <alignment horizontal="right"/>
    </xf>
    <xf numFmtId="177" fontId="186" fillId="48" borderId="31" xfId="0" applyNumberFormat="1" applyFont="1" applyFill="1" applyBorder="1" applyAlignment="1">
      <alignment horizontal="right"/>
    </xf>
    <xf numFmtId="177" fontId="186" fillId="48" borderId="37" xfId="0" applyNumberFormat="1" applyFont="1" applyFill="1" applyBorder="1" applyAlignment="1">
      <alignment horizontal="right"/>
    </xf>
    <xf numFmtId="169" fontId="18" fillId="48" borderId="31" xfId="0" applyNumberFormat="1" applyFont="1" applyFill="1" applyBorder="1" applyAlignment="1">
      <alignment horizontal="right"/>
    </xf>
    <xf numFmtId="169" fontId="18" fillId="48" borderId="37" xfId="0" applyNumberFormat="1" applyFont="1" applyFill="1" applyBorder="1" applyAlignment="1">
      <alignment horizontal="right"/>
    </xf>
    <xf numFmtId="169" fontId="48" fillId="48" borderId="21" xfId="0" applyNumberFormat="1" applyFont="1" applyFill="1" applyBorder="1" applyAlignment="1">
      <alignment horizontal="right"/>
    </xf>
    <xf numFmtId="37" fontId="37" fillId="48" borderId="21" xfId="0" applyNumberFormat="1" applyFont="1" applyFill="1" applyBorder="1" applyAlignment="1">
      <alignment horizontal="right"/>
    </xf>
    <xf numFmtId="37" fontId="37" fillId="48" borderId="31" xfId="0" applyNumberFormat="1" applyFont="1" applyFill="1" applyBorder="1" applyAlignment="1">
      <alignment horizontal="right"/>
    </xf>
    <xf numFmtId="37" fontId="37" fillId="48" borderId="37" xfId="0" applyNumberFormat="1" applyFont="1" applyFill="1" applyBorder="1" applyAlignment="1">
      <alignment horizontal="right"/>
    </xf>
    <xf numFmtId="37" fontId="37" fillId="0" borderId="31" xfId="0" applyNumberFormat="1" applyFont="1" applyBorder="1" applyAlignment="1">
      <alignment horizontal="right"/>
    </xf>
    <xf numFmtId="177" fontId="18" fillId="49" borderId="37" xfId="0" applyNumberFormat="1" applyFont="1" applyFill="1" applyBorder="1" applyAlignment="1">
      <alignment horizontal="right"/>
    </xf>
    <xf numFmtId="9" fontId="186" fillId="49" borderId="21" xfId="0" applyNumberFormat="1" applyFont="1" applyFill="1" applyBorder="1" applyAlignment="1">
      <alignment horizontal="right"/>
    </xf>
    <xf numFmtId="9" fontId="186" fillId="49" borderId="31" xfId="0" applyNumberFormat="1" applyFont="1" applyFill="1" applyBorder="1" applyAlignment="1">
      <alignment horizontal="right"/>
    </xf>
    <xf numFmtId="9" fontId="186" fillId="49" borderId="37" xfId="0" applyNumberFormat="1" applyFont="1" applyFill="1" applyBorder="1" applyAlignment="1">
      <alignment horizontal="right"/>
    </xf>
    <xf numFmtId="9" fontId="18" fillId="0" borderId="37" xfId="1716" applyFont="1" applyFill="1" applyBorder="1" applyAlignment="1">
      <alignment horizontal="right"/>
    </xf>
    <xf numFmtId="177" fontId="186" fillId="56" borderId="21" xfId="0" applyNumberFormat="1" applyFont="1" applyFill="1" applyBorder="1" applyAlignment="1">
      <alignment horizontal="right"/>
    </xf>
    <xf numFmtId="177" fontId="186" fillId="56" borderId="31" xfId="0" applyNumberFormat="1" applyFont="1" applyFill="1" applyBorder="1" applyAlignment="1">
      <alignment horizontal="right"/>
    </xf>
    <xf numFmtId="177" fontId="186" fillId="56" borderId="37" xfId="0" applyNumberFormat="1" applyFont="1" applyFill="1" applyBorder="1" applyAlignment="1">
      <alignment horizontal="right"/>
    </xf>
    <xf numFmtId="177" fontId="229" fillId="44" borderId="103" xfId="0" applyNumberFormat="1" applyFont="1" applyFill="1" applyBorder="1" applyAlignment="1">
      <alignment horizontal="right"/>
    </xf>
    <xf numFmtId="9" fontId="229" fillId="44" borderId="6" xfId="0" applyNumberFormat="1" applyFont="1" applyFill="1" applyBorder="1" applyAlignment="1">
      <alignment horizontal="right"/>
    </xf>
    <xf numFmtId="37" fontId="37" fillId="57" borderId="103" xfId="0" applyNumberFormat="1" applyFont="1" applyFill="1" applyBorder="1" applyAlignment="1">
      <alignment horizontal="right"/>
    </xf>
    <xf numFmtId="177" fontId="231" fillId="0" borderId="21" xfId="0" applyNumberFormat="1" applyFont="1" applyBorder="1" applyAlignment="1">
      <alignment horizontal="right"/>
    </xf>
    <xf numFmtId="37" fontId="37" fillId="57" borderId="59" xfId="0" applyNumberFormat="1" applyFont="1" applyFill="1" applyBorder="1" applyAlignment="1">
      <alignment horizontal="right"/>
    </xf>
    <xf numFmtId="169" fontId="267" fillId="0" borderId="0" xfId="0" applyNumberFormat="1" applyFont="1" applyAlignment="1">
      <alignment horizontal="right"/>
    </xf>
    <xf numFmtId="0" fontId="75" fillId="0" borderId="0" xfId="0" applyFont="1" applyAlignment="1">
      <alignment horizontal="left" indent="7"/>
    </xf>
    <xf numFmtId="0" fontId="33" fillId="0" borderId="0" xfId="0" applyFont="1" applyAlignment="1">
      <alignment horizontal="left" indent="7"/>
    </xf>
    <xf numFmtId="0" fontId="0" fillId="0" borderId="9" xfId="0" applyBorder="1"/>
    <xf numFmtId="0" fontId="0" fillId="0" borderId="644" xfId="0" applyBorder="1"/>
    <xf numFmtId="0" fontId="0" fillId="0" borderId="9" xfId="0" applyBorder="1" applyAlignment="1">
      <alignment horizontal="right"/>
    </xf>
    <xf numFmtId="0" fontId="75" fillId="0" borderId="0" xfId="0" applyFont="1"/>
    <xf numFmtId="0" fontId="35" fillId="0" borderId="9" xfId="0" applyFont="1" applyBorder="1" applyAlignment="1">
      <alignment horizontal="right"/>
    </xf>
    <xf numFmtId="0" fontId="366" fillId="71" borderId="0" xfId="1682" applyFont="1" applyFill="1"/>
    <xf numFmtId="0" fontId="368" fillId="71" borderId="0" xfId="1644" applyFont="1" applyFill="1" applyAlignment="1" applyProtection="1">
      <alignment horizontal="left" vertical="center"/>
    </xf>
    <xf numFmtId="0" fontId="369" fillId="71" borderId="0" xfId="1643" applyFont="1" applyFill="1" applyAlignment="1" applyProtection="1">
      <alignment horizontal="left" vertical="center"/>
    </xf>
    <xf numFmtId="0" fontId="369" fillId="71" borderId="0" xfId="1643" applyFont="1" applyFill="1" applyBorder="1" applyAlignment="1" applyProtection="1"/>
    <xf numFmtId="39" fontId="35" fillId="0" borderId="21" xfId="0" applyNumberFormat="1" applyFont="1" applyBorder="1" applyAlignment="1">
      <alignment horizontal="right"/>
    </xf>
    <xf numFmtId="37" fontId="267" fillId="0" borderId="140" xfId="0" applyNumberFormat="1" applyFont="1" applyBorder="1" applyAlignment="1">
      <alignment horizontal="right"/>
    </xf>
    <xf numFmtId="187" fontId="252" fillId="0" borderId="0" xfId="0" applyNumberFormat="1" applyFont="1" applyAlignment="1">
      <alignment horizontal="right"/>
    </xf>
    <xf numFmtId="37" fontId="252" fillId="49" borderId="31" xfId="0" applyNumberFormat="1" applyFont="1" applyFill="1" applyBorder="1" applyAlignment="1">
      <alignment horizontal="right"/>
    </xf>
    <xf numFmtId="0" fontId="35" fillId="0" borderId="21" xfId="0" applyFont="1" applyBorder="1" applyAlignment="1">
      <alignment horizontal="center"/>
    </xf>
    <xf numFmtId="0" fontId="37" fillId="0" borderId="317" xfId="0" applyFont="1" applyBorder="1" applyAlignment="1">
      <alignment horizontal="center"/>
    </xf>
    <xf numFmtId="0" fontId="37" fillId="0" borderId="21" xfId="0" applyFont="1" applyBorder="1" applyAlignment="1">
      <alignment horizontal="center"/>
    </xf>
    <xf numFmtId="6" fontId="35" fillId="0" borderId="0" xfId="0" applyNumberFormat="1" applyFont="1" applyAlignment="1">
      <alignment horizontal="right"/>
    </xf>
    <xf numFmtId="37" fontId="252" fillId="0" borderId="0" xfId="0" applyNumberFormat="1" applyFont="1" applyAlignment="1">
      <alignment horizontal="right"/>
    </xf>
    <xf numFmtId="169" fontId="252" fillId="0" borderId="21" xfId="1716" applyNumberFormat="1" applyFont="1" applyFill="1" applyBorder="1" applyAlignment="1">
      <alignment horizontal="right"/>
    </xf>
    <xf numFmtId="37" fontId="251" fillId="0" borderId="21" xfId="0" applyNumberFormat="1" applyFont="1" applyBorder="1" applyAlignment="1">
      <alignment horizontal="right"/>
    </xf>
    <xf numFmtId="0" fontId="229" fillId="44" borderId="633" xfId="0" applyFont="1" applyFill="1" applyBorder="1" applyAlignment="1">
      <alignment horizontal="center"/>
    </xf>
    <xf numFmtId="177" fontId="229" fillId="44" borderId="632" xfId="0" applyNumberFormat="1" applyFont="1" applyFill="1" applyBorder="1"/>
    <xf numFmtId="177" fontId="37" fillId="71" borderId="632" xfId="0" applyNumberFormat="1" applyFont="1" applyFill="1" applyBorder="1"/>
    <xf numFmtId="177" fontId="35" fillId="71" borderId="632" xfId="0" applyNumberFormat="1" applyFont="1" applyFill="1" applyBorder="1"/>
    <xf numFmtId="177" fontId="37" fillId="45" borderId="632" xfId="0" applyNumberFormat="1" applyFont="1" applyFill="1" applyBorder="1"/>
    <xf numFmtId="177" fontId="35" fillId="44" borderId="632" xfId="0" applyNumberFormat="1" applyFont="1" applyFill="1" applyBorder="1"/>
    <xf numFmtId="177" fontId="37" fillId="57" borderId="632" xfId="0" applyNumberFormat="1" applyFont="1" applyFill="1" applyBorder="1"/>
    <xf numFmtId="177" fontId="35" fillId="57" borderId="632" xfId="0" applyNumberFormat="1" applyFont="1" applyFill="1" applyBorder="1"/>
    <xf numFmtId="177" fontId="257" fillId="44" borderId="632" xfId="0" applyNumberFormat="1" applyFont="1" applyFill="1" applyBorder="1"/>
    <xf numFmtId="0" fontId="37" fillId="0" borderId="608" xfId="0" applyFont="1" applyBorder="1" applyAlignment="1">
      <alignment horizontal="center"/>
    </xf>
    <xf numFmtId="0" fontId="257" fillId="44" borderId="574" xfId="0" applyFont="1" applyFill="1" applyBorder="1" applyAlignment="1">
      <alignment horizontal="center"/>
    </xf>
    <xf numFmtId="0" fontId="35" fillId="0" borderId="37" xfId="0" applyFont="1" applyBorder="1" applyAlignment="1">
      <alignment horizontal="center"/>
    </xf>
    <xf numFmtId="0" fontId="37" fillId="0" borderId="37" xfId="0" applyFont="1" applyBorder="1" applyAlignment="1">
      <alignment horizontal="center"/>
    </xf>
    <xf numFmtId="0" fontId="229" fillId="0" borderId="37" xfId="0" applyFont="1" applyBorder="1" applyAlignment="1">
      <alignment horizontal="center"/>
    </xf>
    <xf numFmtId="0" fontId="37" fillId="71" borderId="633" xfId="0" applyFont="1" applyFill="1" applyBorder="1" applyAlignment="1">
      <alignment horizontal="center"/>
    </xf>
    <xf numFmtId="3" fontId="37" fillId="0" borderId="37" xfId="1525" applyNumberFormat="1" applyFont="1" applyFill="1" applyBorder="1" applyAlignment="1">
      <alignment horizontal="center"/>
    </xf>
    <xf numFmtId="3" fontId="35" fillId="0" borderId="37" xfId="1525" applyNumberFormat="1" applyFont="1" applyFill="1" applyBorder="1" applyAlignment="1">
      <alignment horizontal="center"/>
    </xf>
    <xf numFmtId="17" fontId="35" fillId="0" borderId="37" xfId="0" applyNumberFormat="1" applyFont="1" applyBorder="1" applyAlignment="1">
      <alignment horizontal="center"/>
    </xf>
    <xf numFmtId="14" fontId="18" fillId="0" borderId="37" xfId="0" applyNumberFormat="1" applyFont="1" applyBorder="1" applyAlignment="1">
      <alignment horizontal="center"/>
    </xf>
    <xf numFmtId="14" fontId="35" fillId="0" borderId="37" xfId="0" applyNumberFormat="1" applyFont="1" applyBorder="1" applyAlignment="1">
      <alignment horizontal="center"/>
    </xf>
    <xf numFmtId="14" fontId="18" fillId="0" borderId="37" xfId="0" quotePrefix="1" applyNumberFormat="1" applyFont="1" applyBorder="1" applyAlignment="1">
      <alignment horizontal="center"/>
    </xf>
    <xf numFmtId="0" fontId="18" fillId="0" borderId="37" xfId="0" quotePrefix="1" applyFont="1" applyBorder="1" applyAlignment="1">
      <alignment horizontal="center"/>
    </xf>
    <xf numFmtId="280" fontId="35" fillId="0" borderId="37" xfId="0" applyNumberFormat="1" applyFont="1" applyBorder="1" applyAlignment="1">
      <alignment horizontal="center"/>
    </xf>
    <xf numFmtId="17" fontId="18" fillId="0" borderId="37" xfId="0" quotePrefix="1" applyNumberFormat="1" applyFont="1" applyBorder="1" applyAlignment="1">
      <alignment horizontal="center"/>
    </xf>
    <xf numFmtId="17" fontId="18" fillId="0" borderId="37" xfId="0" applyNumberFormat="1" applyFont="1" applyBorder="1" applyAlignment="1">
      <alignment horizontal="center"/>
    </xf>
    <xf numFmtId="0" fontId="35" fillId="71" borderId="633" xfId="0" applyFont="1" applyFill="1" applyBorder="1" applyAlignment="1">
      <alignment horizontal="center"/>
    </xf>
    <xf numFmtId="4" fontId="37" fillId="0" borderId="37" xfId="1525" applyFont="1" applyFill="1" applyBorder="1" applyAlignment="1">
      <alignment horizontal="center"/>
    </xf>
    <xf numFmtId="4" fontId="35" fillId="0" borderId="37" xfId="1525" applyFont="1" applyFill="1" applyBorder="1" applyAlignment="1">
      <alignment horizontal="center"/>
    </xf>
    <xf numFmtId="169" fontId="35" fillId="0" borderId="37" xfId="0" applyNumberFormat="1" applyFont="1" applyBorder="1" applyAlignment="1">
      <alignment horizontal="center"/>
    </xf>
    <xf numFmtId="176" fontId="35" fillId="0" borderId="37" xfId="1525" applyNumberFormat="1" applyFont="1" applyFill="1" applyBorder="1" applyAlignment="1">
      <alignment horizontal="center"/>
    </xf>
    <xf numFmtId="0" fontId="186" fillId="0" borderId="37" xfId="0" applyFont="1" applyBorder="1" applyAlignment="1">
      <alignment horizontal="left" indent="1"/>
    </xf>
    <xf numFmtId="17" fontId="18" fillId="0" borderId="37" xfId="0" applyNumberFormat="1" applyFont="1" applyBorder="1" applyAlignment="1">
      <alignment horizontal="center" shrinkToFit="1"/>
    </xf>
    <xf numFmtId="0" fontId="38" fillId="0" borderId="37" xfId="0" applyFont="1" applyBorder="1" applyAlignment="1">
      <alignment horizontal="center" shrinkToFit="1"/>
    </xf>
    <xf numFmtId="9" fontId="38" fillId="0" borderId="37" xfId="0" applyNumberFormat="1" applyFont="1" applyBorder="1" applyAlignment="1">
      <alignment horizontal="center" shrinkToFit="1"/>
    </xf>
    <xf numFmtId="0" fontId="18" fillId="0" borderId="37" xfId="0" applyFont="1" applyBorder="1" applyAlignment="1">
      <alignment horizontal="left"/>
    </xf>
    <xf numFmtId="0" fontId="37" fillId="45" borderId="633" xfId="0" applyFont="1" applyFill="1" applyBorder="1" applyAlignment="1">
      <alignment horizontal="center"/>
    </xf>
    <xf numFmtId="0" fontId="35" fillId="49" borderId="37" xfId="0" applyFont="1" applyFill="1" applyBorder="1" applyAlignment="1">
      <alignment horizontal="center"/>
    </xf>
    <xf numFmtId="17" fontId="18" fillId="49" borderId="37" xfId="0" applyNumberFormat="1" applyFont="1" applyFill="1" applyBorder="1" applyAlignment="1">
      <alignment horizontal="center"/>
    </xf>
    <xf numFmtId="17" fontId="344" fillId="0" borderId="37" xfId="0" applyNumberFormat="1" applyFont="1" applyBorder="1" applyAlignment="1">
      <alignment horizontal="center"/>
    </xf>
    <xf numFmtId="14" fontId="344" fillId="0" borderId="37" xfId="0" applyNumberFormat="1" applyFont="1" applyBorder="1" applyAlignment="1">
      <alignment horizontal="center"/>
    </xf>
    <xf numFmtId="0" fontId="35" fillId="44" borderId="633" xfId="0" applyFont="1" applyFill="1" applyBorder="1" applyAlignment="1">
      <alignment horizontal="center"/>
    </xf>
    <xf numFmtId="0" fontId="37" fillId="57" borderId="633" xfId="0" applyFont="1" applyFill="1" applyBorder="1" applyAlignment="1">
      <alignment horizontal="center"/>
    </xf>
    <xf numFmtId="0" fontId="35" fillId="57" borderId="633" xfId="0" applyFont="1" applyFill="1" applyBorder="1" applyAlignment="1">
      <alignment horizontal="center"/>
    </xf>
    <xf numFmtId="0" fontId="37" fillId="48" borderId="37" xfId="0" applyFont="1" applyFill="1" applyBorder="1" applyAlignment="1">
      <alignment horizontal="center"/>
    </xf>
    <xf numFmtId="0" fontId="257" fillId="44" borderId="633" xfId="0" applyFont="1" applyFill="1" applyBorder="1" applyAlignment="1">
      <alignment horizontal="center"/>
    </xf>
    <xf numFmtId="37" fontId="37" fillId="0" borderId="37" xfId="0" applyNumberFormat="1" applyFont="1" applyBorder="1" applyAlignment="1">
      <alignment horizontal="center"/>
    </xf>
    <xf numFmtId="0" fontId="37" fillId="0" borderId="634" xfId="0" applyFont="1" applyBorder="1" applyAlignment="1">
      <alignment horizontal="center"/>
    </xf>
    <xf numFmtId="0" fontId="347" fillId="44" borderId="317" xfId="0" applyFont="1" applyFill="1" applyBorder="1" applyAlignment="1">
      <alignment horizontal="center" shrinkToFit="1"/>
    </xf>
    <xf numFmtId="0" fontId="38" fillId="47" borderId="21" xfId="0" applyFont="1" applyFill="1" applyBorder="1" applyAlignment="1">
      <alignment horizontal="center" shrinkToFit="1"/>
    </xf>
    <xf numFmtId="0" fontId="38" fillId="49" borderId="21" xfId="0" applyFont="1" applyFill="1" applyBorder="1" applyAlignment="1">
      <alignment horizontal="center" shrinkToFit="1"/>
    </xf>
    <xf numFmtId="0" fontId="360" fillId="0" borderId="21" xfId="0" applyFont="1" applyBorder="1" applyAlignment="1">
      <alignment horizontal="center" shrinkToFit="1"/>
    </xf>
    <xf numFmtId="0" fontId="0" fillId="49" borderId="21" xfId="0" applyFill="1" applyBorder="1"/>
    <xf numFmtId="9" fontId="351" fillId="49" borderId="21" xfId="0" applyNumberFormat="1" applyFont="1" applyFill="1" applyBorder="1" applyAlignment="1">
      <alignment horizontal="center" shrinkToFit="1"/>
    </xf>
    <xf numFmtId="0" fontId="38" fillId="0" borderId="362" xfId="0" applyFont="1" applyBorder="1" applyAlignment="1">
      <alignment horizontal="center" shrinkToFit="1"/>
    </xf>
    <xf numFmtId="189" fontId="252" fillId="0" borderId="21" xfId="2895" applyNumberFormat="1" applyFont="1" applyFill="1" applyBorder="1" applyAlignment="1">
      <alignment horizontal="right" shrinkToFit="1"/>
    </xf>
    <xf numFmtId="3" fontId="252" fillId="0" borderId="0" xfId="1525" applyNumberFormat="1" applyFont="1" applyFill="1" applyBorder="1" applyAlignment="1">
      <alignment horizontal="center"/>
    </xf>
    <xf numFmtId="281" fontId="18" fillId="49" borderId="0" xfId="2895" applyNumberFormat="1" applyFont="1" applyFill="1" applyBorder="1" applyAlignment="1">
      <alignment horizontal="right" shrinkToFit="1"/>
    </xf>
    <xf numFmtId="333" fontId="251" fillId="0" borderId="101" xfId="0" applyNumberFormat="1" applyFont="1" applyBorder="1"/>
    <xf numFmtId="0" fontId="37" fillId="45" borderId="73" xfId="0" applyFont="1" applyFill="1" applyBorder="1"/>
    <xf numFmtId="0" fontId="37" fillId="0" borderId="73" xfId="0" applyFont="1" applyBorder="1"/>
    <xf numFmtId="37" fontId="37" fillId="0" borderId="73" xfId="0" applyNumberFormat="1" applyFont="1" applyBorder="1"/>
    <xf numFmtId="6" fontId="37" fillId="45" borderId="647" xfId="0" applyNumberFormat="1" applyFont="1" applyFill="1" applyBorder="1"/>
    <xf numFmtId="0" fontId="37" fillId="45" borderId="75" xfId="0" applyFont="1" applyFill="1" applyBorder="1"/>
    <xf numFmtId="0" fontId="18" fillId="45" borderId="633" xfId="0" applyFont="1" applyFill="1" applyBorder="1"/>
    <xf numFmtId="0" fontId="18" fillId="45" borderId="640" xfId="0" applyFont="1" applyFill="1" applyBorder="1"/>
    <xf numFmtId="264" fontId="48" fillId="45" borderId="73" xfId="0" applyNumberFormat="1" applyFont="1" applyFill="1" applyBorder="1"/>
    <xf numFmtId="264" fontId="18" fillId="0" borderId="649" xfId="0" applyNumberFormat="1" applyFont="1" applyBorder="1" applyAlignment="1">
      <alignment horizontal="right"/>
    </xf>
    <xf numFmtId="0" fontId="18" fillId="45" borderId="633" xfId="0" applyFont="1" applyFill="1" applyBorder="1" applyAlignment="1">
      <alignment horizontal="right"/>
    </xf>
    <xf numFmtId="333" fontId="37" fillId="0" borderId="646" xfId="0" applyNumberFormat="1" applyFont="1" applyBorder="1"/>
    <xf numFmtId="0" fontId="18" fillId="45" borderId="633" xfId="0" applyFont="1" applyFill="1" applyBorder="1" applyAlignment="1">
      <alignment horizontal="center"/>
    </xf>
    <xf numFmtId="6" fontId="18" fillId="0" borderId="0" xfId="0" applyNumberFormat="1" applyFont="1" applyAlignment="1">
      <alignment horizontal="right"/>
    </xf>
    <xf numFmtId="8" fontId="18" fillId="0" borderId="37" xfId="0" applyNumberFormat="1" applyFont="1" applyBorder="1" applyAlignment="1">
      <alignment horizontal="right"/>
    </xf>
    <xf numFmtId="8" fontId="251" fillId="0" borderId="0" xfId="0" applyNumberFormat="1" applyFont="1" applyAlignment="1">
      <alignment horizontal="right"/>
    </xf>
    <xf numFmtId="0" fontId="18" fillId="0" borderId="37" xfId="0" applyFont="1" applyBorder="1" applyAlignment="1">
      <alignment horizontal="right"/>
    </xf>
    <xf numFmtId="4" fontId="48" fillId="0" borderId="0" xfId="0" applyNumberFormat="1" applyFont="1" applyAlignment="1">
      <alignment horizontal="right"/>
    </xf>
    <xf numFmtId="4" fontId="48" fillId="0" borderId="37" xfId="0" applyNumberFormat="1" applyFont="1" applyBorder="1" applyAlignment="1">
      <alignment horizontal="right"/>
    </xf>
    <xf numFmtId="165" fontId="251" fillId="0" borderId="104" xfId="0" applyNumberFormat="1" applyFont="1" applyBorder="1" applyAlignment="1">
      <alignment horizontal="right"/>
    </xf>
    <xf numFmtId="37" fontId="18" fillId="0" borderId="104" xfId="0" applyNumberFormat="1" applyFont="1" applyBorder="1" applyAlignment="1">
      <alignment horizontal="right"/>
    </xf>
    <xf numFmtId="37" fontId="18" fillId="0" borderId="105" xfId="0" applyNumberFormat="1" applyFont="1" applyBorder="1" applyAlignment="1">
      <alignment horizontal="right"/>
    </xf>
    <xf numFmtId="3" fontId="48" fillId="0" borderId="0" xfId="0" applyNumberFormat="1" applyFont="1" applyAlignment="1">
      <alignment horizontal="right"/>
    </xf>
    <xf numFmtId="37" fontId="18" fillId="0" borderId="101" xfId="0" applyNumberFormat="1" applyFont="1" applyBorder="1" applyAlignment="1">
      <alignment horizontal="right"/>
    </xf>
    <xf numFmtId="328" fontId="252" fillId="0" borderId="0" xfId="0" applyNumberFormat="1" applyFont="1" applyAlignment="1">
      <alignment horizontal="center"/>
    </xf>
    <xf numFmtId="37" fontId="18" fillId="0" borderId="21" xfId="0" applyNumberFormat="1" applyFont="1" applyBorder="1" applyAlignment="1">
      <alignment horizontal="right"/>
    </xf>
    <xf numFmtId="9" fontId="251" fillId="71" borderId="37" xfId="0" applyNumberFormat="1" applyFont="1" applyFill="1" applyBorder="1" applyAlignment="1">
      <alignment horizontal="right"/>
    </xf>
    <xf numFmtId="37" fontId="251" fillId="71" borderId="37" xfId="0" applyNumberFormat="1" applyFont="1" applyFill="1" applyBorder="1" applyAlignment="1">
      <alignment horizontal="right"/>
    </xf>
    <xf numFmtId="37" fontId="251" fillId="49" borderId="21" xfId="0" applyNumberFormat="1" applyFont="1" applyFill="1" applyBorder="1" applyAlignment="1">
      <alignment horizontal="right"/>
    </xf>
    <xf numFmtId="37" fontId="186" fillId="49" borderId="21" xfId="0" applyNumberFormat="1" applyFont="1" applyFill="1" applyBorder="1" applyAlignment="1">
      <alignment horizontal="right"/>
    </xf>
    <xf numFmtId="37" fontId="35" fillId="49" borderId="21" xfId="0" applyNumberFormat="1" applyFont="1" applyFill="1" applyBorder="1" applyAlignment="1">
      <alignment horizontal="right"/>
    </xf>
    <xf numFmtId="0" fontId="18" fillId="48" borderId="0" xfId="0" applyFont="1" applyFill="1"/>
    <xf numFmtId="281" fontId="186" fillId="0" borderId="21" xfId="0" applyNumberFormat="1" applyFont="1" applyBorder="1" applyAlignment="1">
      <alignment horizontal="right"/>
    </xf>
    <xf numFmtId="37" fontId="18" fillId="0" borderId="317" xfId="0" applyNumberFormat="1" applyFont="1" applyBorder="1" applyAlignment="1">
      <alignment horizontal="right"/>
    </xf>
    <xf numFmtId="3" fontId="35" fillId="0" borderId="36" xfId="0" applyNumberFormat="1" applyFont="1" applyBorder="1" applyAlignment="1">
      <alignment horizontal="right"/>
    </xf>
    <xf numFmtId="3" fontId="18" fillId="0" borderId="0" xfId="1525" applyNumberFormat="1" applyFont="1" applyFill="1" applyBorder="1" applyAlignment="1">
      <alignment horizontal="right"/>
    </xf>
    <xf numFmtId="265" fontId="35" fillId="0" borderId="36" xfId="0" applyNumberFormat="1" applyFont="1" applyBorder="1" applyAlignment="1">
      <alignment horizontal="right"/>
    </xf>
    <xf numFmtId="265" fontId="18" fillId="0" borderId="0" xfId="0" applyNumberFormat="1" applyFont="1" applyAlignment="1">
      <alignment horizontal="right"/>
    </xf>
    <xf numFmtId="203" fontId="35" fillId="0" borderId="71" xfId="0" applyNumberFormat="1" applyFont="1" applyBorder="1" applyAlignment="1">
      <alignment horizontal="right"/>
    </xf>
    <xf numFmtId="203" fontId="18" fillId="0" borderId="59" xfId="0" applyNumberFormat="1" applyFont="1" applyBorder="1" applyAlignment="1">
      <alignment horizontal="right"/>
    </xf>
    <xf numFmtId="3" fontId="18" fillId="0" borderId="43" xfId="0" applyNumberFormat="1" applyFont="1" applyBorder="1" applyAlignment="1">
      <alignment horizontal="right"/>
    </xf>
    <xf numFmtId="3" fontId="18" fillId="0" borderId="46" xfId="0" applyNumberFormat="1" applyFont="1" applyBorder="1" applyAlignment="1">
      <alignment horizontal="right"/>
    </xf>
    <xf numFmtId="3" fontId="18" fillId="0" borderId="102" xfId="0" applyNumberFormat="1" applyFont="1" applyBorder="1" applyAlignment="1">
      <alignment horizontal="right"/>
    </xf>
    <xf numFmtId="3" fontId="18" fillId="0" borderId="71" xfId="0" applyNumberFormat="1" applyFont="1" applyBorder="1" applyAlignment="1">
      <alignment horizontal="right"/>
    </xf>
    <xf numFmtId="3" fontId="18" fillId="0" borderId="59" xfId="0" applyNumberFormat="1" applyFont="1" applyBorder="1" applyAlignment="1">
      <alignment horizontal="right"/>
    </xf>
    <xf numFmtId="3" fontId="18" fillId="0" borderId="101" xfId="0" applyNumberFormat="1" applyFont="1" applyBorder="1" applyAlignment="1">
      <alignment horizontal="right"/>
    </xf>
    <xf numFmtId="38" fontId="35" fillId="0" borderId="36" xfId="0" applyNumberFormat="1" applyFont="1" applyBorder="1" applyAlignment="1">
      <alignment horizontal="right"/>
    </xf>
    <xf numFmtId="38" fontId="35" fillId="0" borderId="0" xfId="0" applyNumberFormat="1" applyFont="1" applyAlignment="1">
      <alignment horizontal="right"/>
    </xf>
    <xf numFmtId="38" fontId="18" fillId="0" borderId="37" xfId="0" applyNumberFormat="1" applyFont="1" applyBorder="1" applyAlignment="1">
      <alignment horizontal="right"/>
    </xf>
    <xf numFmtId="38" fontId="251" fillId="0" borderId="37" xfId="0" applyNumberFormat="1" applyFont="1" applyBorder="1" applyAlignment="1">
      <alignment horizontal="right"/>
    </xf>
    <xf numFmtId="38" fontId="35" fillId="0" borderId="71" xfId="0" applyNumberFormat="1" applyFont="1" applyBorder="1" applyAlignment="1">
      <alignment horizontal="right"/>
    </xf>
    <xf numFmtId="38" fontId="18" fillId="0" borderId="59" xfId="0" applyNumberFormat="1" applyFont="1" applyBorder="1" applyAlignment="1">
      <alignment horizontal="right"/>
    </xf>
    <xf numFmtId="38" fontId="35" fillId="0" borderId="11" xfId="0" applyNumberFormat="1" applyFont="1" applyBorder="1" applyAlignment="1">
      <alignment horizontal="right"/>
    </xf>
    <xf numFmtId="38" fontId="18" fillId="0" borderId="101" xfId="0" applyNumberFormat="1" applyFont="1" applyBorder="1" applyAlignment="1">
      <alignment horizontal="right"/>
    </xf>
    <xf numFmtId="37" fontId="18" fillId="0" borderId="74" xfId="0" applyNumberFormat="1" applyFont="1" applyBorder="1"/>
    <xf numFmtId="37" fontId="37" fillId="0" borderId="74" xfId="0" applyNumberFormat="1" applyFont="1" applyBorder="1"/>
    <xf numFmtId="6" fontId="37" fillId="45" borderId="650" xfId="0" applyNumberFormat="1" applyFont="1" applyFill="1" applyBorder="1"/>
    <xf numFmtId="179" fontId="190" fillId="44" borderId="630" xfId="1525" applyNumberFormat="1" applyFont="1" applyFill="1" applyBorder="1" applyAlignment="1">
      <alignment horizontal="center"/>
    </xf>
    <xf numFmtId="179" fontId="190" fillId="44" borderId="648" xfId="1525" applyNumberFormat="1" applyFont="1" applyFill="1" applyBorder="1" applyAlignment="1">
      <alignment horizontal="center"/>
    </xf>
    <xf numFmtId="37" fontId="251" fillId="0" borderId="31" xfId="0" applyNumberFormat="1" applyFont="1" applyBorder="1"/>
    <xf numFmtId="37" fontId="37" fillId="45" borderId="638" xfId="0" applyNumberFormat="1" applyFont="1" applyFill="1" applyBorder="1"/>
    <xf numFmtId="37" fontId="37" fillId="45" borderId="74" xfId="0" applyNumberFormat="1" applyFont="1" applyFill="1" applyBorder="1"/>
    <xf numFmtId="6" fontId="37" fillId="0" borderId="74" xfId="0" applyNumberFormat="1" applyFont="1" applyBorder="1"/>
    <xf numFmtId="37" fontId="37" fillId="45" borderId="645" xfId="0" applyNumberFormat="1" applyFont="1" applyFill="1" applyBorder="1"/>
    <xf numFmtId="37" fontId="37" fillId="45" borderId="316" xfId="0" applyNumberFormat="1" applyFont="1" applyFill="1" applyBorder="1"/>
    <xf numFmtId="37" fontId="18" fillId="0" borderId="31" xfId="0" applyNumberFormat="1" applyFont="1" applyBorder="1"/>
    <xf numFmtId="37" fontId="37" fillId="45" borderId="31" xfId="0" applyNumberFormat="1" applyFont="1" applyFill="1" applyBorder="1"/>
    <xf numFmtId="6" fontId="37" fillId="0" borderId="31" xfId="0" applyNumberFormat="1" applyFont="1" applyBorder="1"/>
    <xf numFmtId="179" fontId="190" fillId="44" borderId="640" xfId="1525" applyNumberFormat="1" applyFont="1" applyFill="1" applyBorder="1" applyAlignment="1">
      <alignment horizontal="center"/>
    </xf>
    <xf numFmtId="4" fontId="230" fillId="0" borderId="105" xfId="1525" applyFont="1" applyFill="1" applyBorder="1" applyAlignment="1">
      <alignment horizontal="center"/>
    </xf>
    <xf numFmtId="189" fontId="18" fillId="0" borderId="634" xfId="2895" applyNumberFormat="1" applyFont="1" applyFill="1" applyBorder="1" applyAlignment="1">
      <alignment horizontal="right" shrinkToFit="1"/>
    </xf>
    <xf numFmtId="0" fontId="230" fillId="0" borderId="633" xfId="0" applyFont="1" applyBorder="1" applyAlignment="1">
      <alignment horizontal="center"/>
    </xf>
    <xf numFmtId="4" fontId="18" fillId="0" borderId="37" xfId="0" applyNumberFormat="1" applyFont="1" applyBorder="1" applyAlignment="1">
      <alignment horizontal="right"/>
    </xf>
    <xf numFmtId="177" fontId="229" fillId="44" borderId="632" xfId="0" applyNumberFormat="1" applyFont="1" applyFill="1" applyBorder="1" applyAlignment="1">
      <alignment horizontal="right"/>
    </xf>
    <xf numFmtId="177" fontId="229" fillId="44" borderId="633" xfId="0" applyNumberFormat="1" applyFont="1" applyFill="1" applyBorder="1" applyAlignment="1">
      <alignment horizontal="right"/>
    </xf>
    <xf numFmtId="3" fontId="18" fillId="0" borderId="37" xfId="1525" applyNumberFormat="1" applyFont="1" applyFill="1" applyBorder="1" applyAlignment="1" applyProtection="1">
      <alignment horizontal="right"/>
    </xf>
    <xf numFmtId="9" fontId="48" fillId="71" borderId="31" xfId="1716" applyFont="1" applyFill="1" applyBorder="1" applyAlignment="1">
      <alignment horizontal="right"/>
    </xf>
    <xf numFmtId="9" fontId="48" fillId="71" borderId="0" xfId="1716" applyFont="1" applyFill="1" applyBorder="1" applyAlignment="1">
      <alignment horizontal="right"/>
    </xf>
    <xf numFmtId="177" fontId="63" fillId="71" borderId="632" xfId="0" applyNumberFormat="1" applyFont="1" applyFill="1" applyBorder="1" applyAlignment="1">
      <alignment horizontal="right"/>
    </xf>
    <xf numFmtId="177" fontId="63" fillId="71" borderId="633" xfId="0" applyNumberFormat="1" applyFont="1" applyFill="1" applyBorder="1" applyAlignment="1">
      <alignment horizontal="right"/>
    </xf>
    <xf numFmtId="169" fontId="18" fillId="71" borderId="632" xfId="0" applyNumberFormat="1" applyFont="1" applyFill="1" applyBorder="1" applyAlignment="1">
      <alignment horizontal="right"/>
    </xf>
    <xf numFmtId="169" fontId="18" fillId="71" borderId="633" xfId="0" applyNumberFormat="1" applyFont="1" applyFill="1" applyBorder="1" applyAlignment="1">
      <alignment horizontal="right"/>
    </xf>
    <xf numFmtId="37" fontId="37" fillId="45" borderId="632" xfId="0" applyNumberFormat="1" applyFont="1" applyFill="1" applyBorder="1" applyAlignment="1">
      <alignment horizontal="right"/>
    </xf>
    <xf numFmtId="37" fontId="37" fillId="45" borderId="633" xfId="0" applyNumberFormat="1" applyFont="1" applyFill="1" applyBorder="1" applyAlignment="1">
      <alignment horizontal="right"/>
    </xf>
    <xf numFmtId="177" fontId="18" fillId="0" borderId="608" xfId="0" applyNumberFormat="1" applyFont="1" applyBorder="1" applyAlignment="1">
      <alignment horizontal="right"/>
    </xf>
    <xf numFmtId="177" fontId="18" fillId="0" borderId="634" xfId="0" applyNumberFormat="1" applyFont="1" applyBorder="1" applyAlignment="1">
      <alignment horizontal="right"/>
    </xf>
    <xf numFmtId="37" fontId="186" fillId="71" borderId="0" xfId="0" applyNumberFormat="1" applyFont="1" applyFill="1" applyAlignment="1">
      <alignment horizontal="right"/>
    </xf>
    <xf numFmtId="169" fontId="18" fillId="0" borderId="608" xfId="0" applyNumberFormat="1" applyFont="1" applyBorder="1" applyAlignment="1">
      <alignment horizontal="right"/>
    </xf>
    <xf numFmtId="169" fontId="18" fillId="0" borderId="634" xfId="0" applyNumberFormat="1" applyFont="1" applyBorder="1" applyAlignment="1">
      <alignment horizontal="right"/>
    </xf>
    <xf numFmtId="177" fontId="186" fillId="44" borderId="632" xfId="0" applyNumberFormat="1" applyFont="1" applyFill="1" applyBorder="1" applyAlignment="1">
      <alignment horizontal="right"/>
    </xf>
    <xf numFmtId="177" fontId="186" fillId="44" borderId="633" xfId="0" applyNumberFormat="1" applyFont="1" applyFill="1" applyBorder="1" applyAlignment="1">
      <alignment horizontal="right"/>
    </xf>
    <xf numFmtId="37" fontId="37" fillId="57" borderId="632" xfId="0" applyNumberFormat="1" applyFont="1" applyFill="1" applyBorder="1" applyAlignment="1">
      <alignment horizontal="right"/>
    </xf>
    <xf numFmtId="37" fontId="37" fillId="57" borderId="633" xfId="0" applyNumberFormat="1" applyFont="1" applyFill="1" applyBorder="1" applyAlignment="1">
      <alignment horizontal="right"/>
    </xf>
    <xf numFmtId="177" fontId="186" fillId="57" borderId="633" xfId="0" applyNumberFormat="1" applyFont="1" applyFill="1" applyBorder="1" applyAlignment="1">
      <alignment horizontal="right"/>
    </xf>
    <xf numFmtId="177" fontId="18" fillId="46" borderId="37" xfId="0" applyNumberFormat="1" applyFont="1" applyFill="1" applyBorder="1" applyAlignment="1">
      <alignment horizontal="right"/>
    </xf>
    <xf numFmtId="0" fontId="18" fillId="97" borderId="37" xfId="0" applyFont="1" applyFill="1" applyBorder="1" applyAlignment="1">
      <alignment horizontal="right"/>
    </xf>
    <xf numFmtId="177" fontId="18" fillId="48" borderId="37" xfId="0" applyNumberFormat="1" applyFont="1" applyFill="1" applyBorder="1" applyAlignment="1">
      <alignment horizontal="right"/>
    </xf>
    <xf numFmtId="0" fontId="18" fillId="48" borderId="37" xfId="0" applyFont="1" applyFill="1" applyBorder="1" applyAlignment="1">
      <alignment horizontal="right"/>
    </xf>
    <xf numFmtId="37" fontId="37" fillId="57" borderId="630" xfId="0" applyNumberFormat="1" applyFont="1" applyFill="1" applyBorder="1" applyAlignment="1">
      <alignment horizontal="right"/>
    </xf>
    <xf numFmtId="169" fontId="257" fillId="44" borderId="632" xfId="0" applyNumberFormat="1" applyFont="1" applyFill="1" applyBorder="1" applyAlignment="1">
      <alignment horizontal="right"/>
    </xf>
    <xf numFmtId="169" fontId="37" fillId="0" borderId="608" xfId="0" applyNumberFormat="1" applyFont="1" applyBorder="1" applyAlignment="1">
      <alignment horizontal="right"/>
    </xf>
    <xf numFmtId="189" fontId="18" fillId="0" borderId="608" xfId="2895" applyNumberFormat="1" applyFont="1" applyFill="1" applyBorder="1" applyAlignment="1">
      <alignment horizontal="right" shrinkToFit="1"/>
    </xf>
    <xf numFmtId="189" fontId="252" fillId="49" borderId="37" xfId="2895" applyNumberFormat="1" applyFont="1" applyFill="1" applyBorder="1" applyAlignment="1">
      <alignment horizontal="right" shrinkToFit="1"/>
    </xf>
    <xf numFmtId="37" fontId="18" fillId="0" borderId="608" xfId="0" applyNumberFormat="1" applyFont="1" applyBorder="1" applyAlignment="1">
      <alignment horizontal="right"/>
    </xf>
    <xf numFmtId="37" fontId="37" fillId="45" borderId="646" xfId="0" applyNumberFormat="1" applyFont="1" applyFill="1" applyBorder="1"/>
    <xf numFmtId="37" fontId="18" fillId="0" borderId="608" xfId="0" applyNumberFormat="1" applyFont="1" applyBorder="1"/>
    <xf numFmtId="37" fontId="18" fillId="0" borderId="632" xfId="0" applyNumberFormat="1" applyFont="1" applyBorder="1" applyAlignment="1">
      <alignment horizontal="right"/>
    </xf>
    <xf numFmtId="40" fontId="18" fillId="0" borderId="608" xfId="0" applyNumberFormat="1" applyFont="1" applyBorder="1"/>
    <xf numFmtId="9" fontId="18" fillId="0" borderId="608" xfId="0" applyNumberFormat="1" applyFont="1" applyBorder="1"/>
    <xf numFmtId="0" fontId="0" fillId="0" borderId="140" xfId="0" applyBorder="1"/>
    <xf numFmtId="37" fontId="37" fillId="45" borderId="140" xfId="0" applyNumberFormat="1" applyFont="1" applyFill="1" applyBorder="1"/>
    <xf numFmtId="264" fontId="18" fillId="0" borderId="608" xfId="0" applyNumberFormat="1" applyFont="1" applyBorder="1" applyAlignment="1">
      <alignment horizontal="right"/>
    </xf>
    <xf numFmtId="40" fontId="18" fillId="0" borderId="649" xfId="0" applyNumberFormat="1" applyFont="1" applyBorder="1"/>
    <xf numFmtId="9" fontId="18" fillId="0" borderId="649" xfId="0" applyNumberFormat="1" applyFont="1" applyBorder="1"/>
    <xf numFmtId="37" fontId="18" fillId="0" borderId="649" xfId="0" applyNumberFormat="1" applyFont="1" applyBorder="1"/>
    <xf numFmtId="333" fontId="37" fillId="0" borderId="140" xfId="0" applyNumberFormat="1" applyFont="1" applyBorder="1"/>
    <xf numFmtId="333" fontId="18" fillId="0" borderId="608" xfId="0" applyNumberFormat="1" applyFont="1" applyBorder="1"/>
    <xf numFmtId="37" fontId="37" fillId="45" borderId="651" xfId="0" applyNumberFormat="1" applyFont="1" applyFill="1" applyBorder="1"/>
    <xf numFmtId="37" fontId="37" fillId="45" borderId="73" xfId="0" applyNumberFormat="1" applyFont="1" applyFill="1" applyBorder="1"/>
    <xf numFmtId="6" fontId="37" fillId="0" borderId="73" xfId="0" applyNumberFormat="1" applyFont="1" applyBorder="1"/>
    <xf numFmtId="37" fontId="18" fillId="0" borderId="634" xfId="0" applyNumberFormat="1" applyFont="1" applyBorder="1"/>
    <xf numFmtId="37" fontId="18" fillId="45" borderId="633" xfId="0" applyNumberFormat="1" applyFont="1" applyFill="1" applyBorder="1"/>
    <xf numFmtId="165" fontId="18" fillId="0" borderId="633" xfId="0" applyNumberFormat="1" applyFont="1" applyBorder="1" applyAlignment="1">
      <alignment horizontal="right"/>
    </xf>
    <xf numFmtId="37" fontId="18" fillId="0" borderId="633" xfId="0" applyNumberFormat="1" applyFont="1" applyBorder="1" applyAlignment="1">
      <alignment horizontal="right"/>
    </xf>
    <xf numFmtId="37" fontId="18" fillId="0" borderId="634" xfId="0" applyNumberFormat="1" applyFont="1" applyBorder="1" applyAlignment="1">
      <alignment horizontal="right"/>
    </xf>
    <xf numFmtId="3" fontId="18" fillId="0" borderId="646" xfId="0" applyNumberFormat="1" applyFont="1" applyBorder="1" applyAlignment="1">
      <alignment horizontal="right"/>
    </xf>
    <xf numFmtId="3" fontId="18" fillId="0" borderId="634" xfId="0" applyNumberFormat="1" applyFont="1" applyBorder="1" applyAlignment="1">
      <alignment horizontal="right"/>
    </xf>
    <xf numFmtId="38" fontId="18" fillId="45" borderId="633" xfId="0" applyNumberFormat="1" applyFont="1" applyFill="1" applyBorder="1"/>
    <xf numFmtId="0" fontId="257" fillId="44" borderId="633" xfId="0" applyFont="1" applyFill="1" applyBorder="1"/>
    <xf numFmtId="40" fontId="18" fillId="0" borderId="634" xfId="0" applyNumberFormat="1" applyFont="1" applyBorder="1"/>
    <xf numFmtId="9" fontId="18" fillId="0" borderId="634" xfId="0" applyNumberFormat="1" applyFont="1" applyBorder="1"/>
    <xf numFmtId="0" fontId="18" fillId="45" borderId="640" xfId="0" applyFont="1" applyFill="1" applyBorder="1" applyAlignment="1">
      <alignment horizontal="right"/>
    </xf>
    <xf numFmtId="9" fontId="18" fillId="0" borderId="73" xfId="0" applyNumberFormat="1" applyFont="1" applyBorder="1" applyAlignment="1">
      <alignment horizontal="right"/>
    </xf>
    <xf numFmtId="8" fontId="18" fillId="0" borderId="73" xfId="0" applyNumberFormat="1" applyFont="1" applyBorder="1"/>
    <xf numFmtId="37" fontId="18" fillId="45" borderId="640" xfId="0" applyNumberFormat="1" applyFont="1" applyFill="1" applyBorder="1"/>
    <xf numFmtId="8" fontId="251" fillId="0" borderId="73" xfId="0" applyNumberFormat="1" applyFont="1" applyBorder="1"/>
    <xf numFmtId="0" fontId="18" fillId="0" borderId="73" xfId="0" applyFont="1" applyBorder="1" applyAlignment="1">
      <alignment horizontal="center"/>
    </xf>
    <xf numFmtId="6" fontId="18" fillId="0" borderId="73" xfId="0" applyNumberFormat="1" applyFont="1" applyBorder="1" applyAlignment="1">
      <alignment horizontal="right"/>
    </xf>
    <xf numFmtId="8" fontId="18" fillId="0" borderId="73" xfId="0" applyNumberFormat="1" applyFont="1" applyBorder="1" applyAlignment="1">
      <alignment horizontal="right"/>
    </xf>
    <xf numFmtId="37" fontId="251" fillId="0" borderId="73" xfId="0" applyNumberFormat="1" applyFont="1" applyBorder="1" applyAlignment="1">
      <alignment horizontal="right"/>
    </xf>
    <xf numFmtId="1" fontId="18" fillId="0" borderId="73" xfId="0" applyNumberFormat="1" applyFont="1" applyBorder="1" applyAlignment="1">
      <alignment horizontal="right"/>
    </xf>
    <xf numFmtId="37" fontId="18" fillId="0" borderId="640" xfId="0" applyNumberFormat="1" applyFont="1" applyBorder="1" applyAlignment="1">
      <alignment horizontal="right"/>
    </xf>
    <xf numFmtId="3" fontId="251" fillId="0" borderId="73" xfId="0" applyNumberFormat="1" applyFont="1" applyBorder="1" applyAlignment="1">
      <alignment horizontal="right"/>
    </xf>
    <xf numFmtId="37" fontId="18" fillId="0" borderId="649" xfId="0" applyNumberFormat="1" applyFont="1" applyBorder="1" applyAlignment="1">
      <alignment horizontal="right"/>
    </xf>
    <xf numFmtId="0" fontId="18" fillId="45" borderId="640" xfId="0" applyFont="1" applyFill="1" applyBorder="1" applyAlignment="1">
      <alignment horizontal="center"/>
    </xf>
    <xf numFmtId="38" fontId="251" fillId="0" borderId="73" xfId="0" applyNumberFormat="1" applyFont="1" applyBorder="1"/>
    <xf numFmtId="0" fontId="257" fillId="44" borderId="640" xfId="0" applyFont="1" applyFill="1" applyBorder="1"/>
    <xf numFmtId="333" fontId="0" fillId="0" borderId="0" xfId="0" applyNumberFormat="1"/>
    <xf numFmtId="9" fontId="252" fillId="49" borderId="0" xfId="0" applyNumberFormat="1" applyFont="1" applyFill="1" applyAlignment="1">
      <alignment horizontal="right"/>
    </xf>
    <xf numFmtId="169" fontId="252" fillId="0" borderId="0" xfId="1716" applyNumberFormat="1" applyFont="1" applyFill="1" applyBorder="1" applyAlignment="1">
      <alignment horizontal="right"/>
    </xf>
    <xf numFmtId="169" fontId="252" fillId="49" borderId="0" xfId="0" applyNumberFormat="1" applyFont="1" applyFill="1" applyAlignment="1">
      <alignment horizontal="right"/>
    </xf>
    <xf numFmtId="169" fontId="35" fillId="0" borderId="21" xfId="0" applyNumberFormat="1" applyFont="1" applyBorder="1" applyAlignment="1">
      <alignment horizontal="center"/>
    </xf>
    <xf numFmtId="169" fontId="18" fillId="0" borderId="37" xfId="0" applyNumberFormat="1" applyFont="1" applyBorder="1" applyAlignment="1">
      <alignment horizontal="center"/>
    </xf>
    <xf numFmtId="37" fontId="37" fillId="57" borderId="630" xfId="0" applyNumberFormat="1" applyFont="1" applyFill="1" applyBorder="1" applyAlignment="1">
      <alignment horizontal="center"/>
    </xf>
    <xf numFmtId="37" fontId="37" fillId="57" borderId="632" xfId="0" applyNumberFormat="1" applyFont="1" applyFill="1" applyBorder="1" applyAlignment="1">
      <alignment horizontal="center"/>
    </xf>
    <xf numFmtId="328" fontId="35" fillId="0" borderId="0" xfId="0" applyNumberFormat="1" applyFont="1" applyAlignment="1">
      <alignment horizontal="center"/>
    </xf>
    <xf numFmtId="3" fontId="63" fillId="0" borderId="0" xfId="1525" applyNumberFormat="1" applyFont="1" applyFill="1" applyBorder="1" applyAlignment="1">
      <alignment horizontal="right"/>
    </xf>
    <xf numFmtId="6" fontId="0" fillId="0" borderId="0" xfId="0" applyNumberFormat="1"/>
    <xf numFmtId="1" fontId="232" fillId="57" borderId="630" xfId="0" applyNumberFormat="1" applyFont="1" applyFill="1" applyBorder="1" applyAlignment="1">
      <alignment horizontal="right"/>
    </xf>
    <xf numFmtId="177" fontId="186" fillId="57" borderId="630" xfId="0" applyNumberFormat="1" applyFont="1" applyFill="1" applyBorder="1" applyAlignment="1">
      <alignment horizontal="right"/>
    </xf>
    <xf numFmtId="169" fontId="48" fillId="48" borderId="31" xfId="0" applyNumberFormat="1" applyFont="1" applyFill="1" applyBorder="1" applyAlignment="1">
      <alignment horizontal="right"/>
    </xf>
    <xf numFmtId="189" fontId="257" fillId="44" borderId="645" xfId="2895" applyNumberFormat="1" applyFont="1" applyFill="1" applyBorder="1" applyAlignment="1">
      <alignment horizontal="right" shrinkToFit="1"/>
    </xf>
    <xf numFmtId="9" fontId="18" fillId="49" borderId="31" xfId="1716" applyFont="1" applyFill="1" applyBorder="1" applyAlignment="1">
      <alignment horizontal="right" shrinkToFit="1"/>
    </xf>
    <xf numFmtId="189" fontId="257" fillId="44" borderId="646" xfId="2895" applyNumberFormat="1" applyFont="1" applyFill="1" applyBorder="1" applyAlignment="1">
      <alignment horizontal="right" shrinkToFit="1"/>
    </xf>
    <xf numFmtId="1" fontId="232" fillId="57" borderId="21" xfId="0" applyNumberFormat="1" applyFont="1" applyFill="1" applyBorder="1" applyAlignment="1">
      <alignment horizontal="right"/>
    </xf>
    <xf numFmtId="37" fontId="37" fillId="57" borderId="21" xfId="0" applyNumberFormat="1" applyFont="1" applyFill="1" applyBorder="1" applyAlignment="1">
      <alignment horizontal="right"/>
    </xf>
    <xf numFmtId="177" fontId="186" fillId="57" borderId="21" xfId="0" applyNumberFormat="1" applyFont="1" applyFill="1" applyBorder="1" applyAlignment="1">
      <alignment horizontal="right"/>
    </xf>
    <xf numFmtId="37" fontId="229" fillId="44" borderId="21" xfId="0" applyNumberFormat="1" applyFont="1" applyFill="1" applyBorder="1" applyAlignment="1">
      <alignment horizontal="right"/>
    </xf>
    <xf numFmtId="169" fontId="257" fillId="44" borderId="21" xfId="0" applyNumberFormat="1" applyFont="1" applyFill="1" applyBorder="1" applyAlignment="1">
      <alignment horizontal="right"/>
    </xf>
    <xf numFmtId="189" fontId="257" fillId="44" borderId="317" xfId="2895" applyNumberFormat="1" applyFont="1" applyFill="1" applyBorder="1" applyAlignment="1">
      <alignment horizontal="right" shrinkToFit="1"/>
    </xf>
    <xf numFmtId="37" fontId="37" fillId="57" borderId="574" xfId="0" applyNumberFormat="1" applyFont="1" applyFill="1" applyBorder="1" applyAlignment="1">
      <alignment horizontal="right"/>
    </xf>
    <xf numFmtId="37" fontId="37" fillId="57" borderId="574" xfId="0" applyNumberFormat="1" applyFont="1" applyFill="1" applyBorder="1" applyAlignment="1">
      <alignment horizontal="center"/>
    </xf>
    <xf numFmtId="169" fontId="35" fillId="57" borderId="574" xfId="0" applyNumberFormat="1" applyFont="1" applyFill="1" applyBorder="1" applyAlignment="1">
      <alignment horizontal="right"/>
    </xf>
    <xf numFmtId="177" fontId="186" fillId="57" borderId="574" xfId="0" applyNumberFormat="1" applyFont="1" applyFill="1" applyBorder="1" applyAlignment="1">
      <alignment horizontal="right"/>
    </xf>
    <xf numFmtId="9" fontId="186" fillId="57" borderId="574" xfId="0" applyNumberFormat="1" applyFont="1" applyFill="1" applyBorder="1" applyAlignment="1">
      <alignment horizontal="right"/>
    </xf>
    <xf numFmtId="169" fontId="206" fillId="71" borderId="21" xfId="1716" applyNumberFormat="1" applyFont="1" applyFill="1" applyBorder="1" applyAlignment="1">
      <alignment horizontal="right"/>
    </xf>
    <xf numFmtId="169" fontId="206" fillId="71" borderId="37" xfId="1716" applyNumberFormat="1" applyFont="1" applyFill="1" applyBorder="1" applyAlignment="1">
      <alignment horizontal="right"/>
    </xf>
    <xf numFmtId="169" fontId="206" fillId="49" borderId="31" xfId="1716" applyNumberFormat="1" applyFont="1" applyFill="1" applyBorder="1" applyAlignment="1">
      <alignment horizontal="right"/>
    </xf>
    <xf numFmtId="169" fontId="206" fillId="49" borderId="0" xfId="1716" applyNumberFormat="1" applyFont="1" applyFill="1" applyBorder="1" applyAlignment="1">
      <alignment horizontal="right"/>
    </xf>
    <xf numFmtId="169" fontId="252" fillId="49" borderId="0" xfId="1716" applyNumberFormat="1" applyFont="1" applyFill="1" applyBorder="1" applyAlignment="1">
      <alignment horizontal="right"/>
    </xf>
    <xf numFmtId="169" fontId="48" fillId="71" borderId="31" xfId="1716" applyNumberFormat="1" applyFont="1" applyFill="1" applyBorder="1" applyAlignment="1">
      <alignment horizontal="right"/>
    </xf>
    <xf numFmtId="169" fontId="48" fillId="71" borderId="0" xfId="1716" applyNumberFormat="1" applyFont="1" applyFill="1" applyBorder="1" applyAlignment="1">
      <alignment horizontal="right"/>
    </xf>
    <xf numFmtId="169" fontId="206" fillId="0" borderId="0" xfId="1716" applyNumberFormat="1" applyFont="1" applyFill="1" applyBorder="1" applyAlignment="1">
      <alignment horizontal="right"/>
    </xf>
    <xf numFmtId="169" fontId="251" fillId="71" borderId="21" xfId="0" applyNumberFormat="1" applyFont="1" applyFill="1" applyBorder="1" applyAlignment="1">
      <alignment horizontal="right"/>
    </xf>
    <xf numFmtId="169" fontId="251" fillId="71" borderId="37" xfId="0" applyNumberFormat="1" applyFont="1" applyFill="1" applyBorder="1" applyAlignment="1">
      <alignment horizontal="right"/>
    </xf>
    <xf numFmtId="169" fontId="206" fillId="0" borderId="31" xfId="1716" applyNumberFormat="1" applyFont="1" applyFill="1" applyBorder="1" applyAlignment="1">
      <alignment horizontal="right"/>
    </xf>
    <xf numFmtId="169" fontId="48" fillId="45" borderId="21" xfId="0" applyNumberFormat="1" applyFont="1" applyFill="1" applyBorder="1" applyAlignment="1">
      <alignment horizontal="right"/>
    </xf>
    <xf numFmtId="37" fontId="251" fillId="71" borderId="0" xfId="0" applyNumberFormat="1" applyFont="1" applyFill="1" applyAlignment="1">
      <alignment horizontal="right"/>
    </xf>
    <xf numFmtId="37" fontId="252" fillId="49" borderId="0" xfId="0" applyNumberFormat="1" applyFont="1" applyFill="1" applyAlignment="1">
      <alignment horizontal="right"/>
    </xf>
    <xf numFmtId="169" fontId="37" fillId="0" borderId="362" xfId="0" applyNumberFormat="1" applyFont="1" applyBorder="1" applyAlignment="1">
      <alignment horizontal="right"/>
    </xf>
    <xf numFmtId="9" fontId="48" fillId="0" borderId="37" xfId="1716" applyFont="1" applyFill="1" applyBorder="1" applyAlignment="1">
      <alignment horizontal="right"/>
    </xf>
    <xf numFmtId="169" fontId="48" fillId="48" borderId="37" xfId="0" applyNumberFormat="1" applyFont="1" applyFill="1" applyBorder="1" applyAlignment="1">
      <alignment horizontal="right"/>
    </xf>
    <xf numFmtId="189" fontId="252" fillId="0" borderId="0" xfId="2895" applyNumberFormat="1" applyFont="1" applyFill="1" applyBorder="1" applyAlignment="1">
      <alignment horizontal="right" shrinkToFit="1"/>
    </xf>
    <xf numFmtId="0" fontId="266" fillId="44" borderId="574" xfId="0" applyFont="1" applyFill="1" applyBorder="1"/>
    <xf numFmtId="37" fontId="229" fillId="44" borderId="574" xfId="0" applyNumberFormat="1" applyFont="1" applyFill="1" applyBorder="1"/>
    <xf numFmtId="37" fontId="229" fillId="44" borderId="630" xfId="0" applyNumberFormat="1" applyFont="1" applyFill="1" applyBorder="1"/>
    <xf numFmtId="37" fontId="229" fillId="44" borderId="633" xfId="0" applyNumberFormat="1" applyFont="1" applyFill="1" applyBorder="1"/>
    <xf numFmtId="4" fontId="63" fillId="0" borderId="0" xfId="0" applyNumberFormat="1" applyFont="1"/>
    <xf numFmtId="4" fontId="37" fillId="0" borderId="0" xfId="0" applyNumberFormat="1" applyFont="1"/>
    <xf numFmtId="9" fontId="63" fillId="0" borderId="0" xfId="0" applyNumberFormat="1" applyFont="1"/>
    <xf numFmtId="9" fontId="37" fillId="0" borderId="0" xfId="0" applyNumberFormat="1" applyFont="1"/>
    <xf numFmtId="37" fontId="63" fillId="0" borderId="31" xfId="0" applyNumberFormat="1" applyFont="1" applyBorder="1"/>
    <xf numFmtId="37" fontId="63" fillId="0" borderId="37" xfId="0" applyNumberFormat="1" applyFont="1" applyBorder="1"/>
    <xf numFmtId="37" fontId="63" fillId="0" borderId="31" xfId="0" applyNumberFormat="1" applyFont="1" applyBorder="1" applyAlignment="1">
      <alignment horizontal="right"/>
    </xf>
    <xf numFmtId="0" fontId="63" fillId="57" borderId="574" xfId="0" applyFont="1" applyFill="1" applyBorder="1" applyAlignment="1">
      <alignment horizontal="left"/>
    </xf>
    <xf numFmtId="37" fontId="37" fillId="57" borderId="574" xfId="0" applyNumberFormat="1" applyFont="1" applyFill="1" applyBorder="1"/>
    <xf numFmtId="1" fontId="232" fillId="57" borderId="574" xfId="0" applyNumberFormat="1" applyFont="1" applyFill="1" applyBorder="1"/>
    <xf numFmtId="177" fontId="37" fillId="57" borderId="630" xfId="0" applyNumberFormat="1" applyFont="1" applyFill="1" applyBorder="1"/>
    <xf numFmtId="177" fontId="37" fillId="57" borderId="633" xfId="0" applyNumberFormat="1" applyFont="1" applyFill="1" applyBorder="1"/>
    <xf numFmtId="1" fontId="232" fillId="57" borderId="633" xfId="0" applyNumberFormat="1" applyFont="1" applyFill="1" applyBorder="1"/>
    <xf numFmtId="1" fontId="232" fillId="57" borderId="630" xfId="0" applyNumberFormat="1" applyFont="1" applyFill="1" applyBorder="1"/>
    <xf numFmtId="1" fontId="232" fillId="57" borderId="574" xfId="0" applyNumberFormat="1" applyFont="1" applyFill="1" applyBorder="1" applyAlignment="1">
      <alignment horizontal="right"/>
    </xf>
    <xf numFmtId="1" fontId="232" fillId="57" borderId="0" xfId="0" applyNumberFormat="1" applyFont="1" applyFill="1" applyAlignment="1">
      <alignment horizontal="right"/>
    </xf>
    <xf numFmtId="169" fontId="18" fillId="0" borderId="21" xfId="0" applyNumberFormat="1" applyFont="1" applyBorder="1"/>
    <xf numFmtId="37" fontId="37" fillId="57" borderId="633" xfId="0" applyNumberFormat="1" applyFont="1" applyFill="1" applyBorder="1"/>
    <xf numFmtId="37" fontId="37" fillId="57" borderId="0" xfId="0" applyNumberFormat="1" applyFont="1" applyFill="1" applyAlignment="1">
      <alignment horizontal="right"/>
    </xf>
    <xf numFmtId="169" fontId="18" fillId="0" borderId="31" xfId="0" applyNumberFormat="1" applyFont="1" applyBorder="1"/>
    <xf numFmtId="0" fontId="18" fillId="57" borderId="633" xfId="0" applyFont="1" applyFill="1" applyBorder="1" applyAlignment="1">
      <alignment horizontal="center"/>
    </xf>
    <xf numFmtId="177" fontId="186" fillId="57" borderId="574" xfId="0" applyNumberFormat="1" applyFont="1" applyFill="1" applyBorder="1"/>
    <xf numFmtId="177" fontId="18" fillId="57" borderId="630" xfId="0" applyNumberFormat="1" applyFont="1" applyFill="1" applyBorder="1"/>
    <xf numFmtId="177" fontId="186" fillId="57" borderId="630" xfId="0" applyNumberFormat="1" applyFont="1" applyFill="1" applyBorder="1"/>
    <xf numFmtId="177" fontId="186" fillId="57" borderId="633" xfId="0" applyNumberFormat="1" applyFont="1" applyFill="1" applyBorder="1"/>
    <xf numFmtId="177" fontId="231" fillId="0" borderId="0" xfId="0" applyNumberFormat="1" applyFont="1" applyAlignment="1">
      <alignment horizontal="right" indent="1"/>
    </xf>
    <xf numFmtId="169" fontId="18" fillId="71" borderId="21" xfId="0" applyNumberFormat="1" applyFont="1" applyFill="1" applyBorder="1" applyAlignment="1">
      <alignment horizontal="right"/>
    </xf>
    <xf numFmtId="177" fontId="231" fillId="0" borderId="37" xfId="0" applyNumberFormat="1" applyFont="1" applyBorder="1" applyAlignment="1">
      <alignment horizontal="right" indent="1"/>
    </xf>
    <xf numFmtId="4" fontId="18" fillId="0" borderId="31" xfId="0" applyNumberFormat="1" applyFont="1" applyBorder="1" applyAlignment="1">
      <alignment horizontal="right"/>
    </xf>
    <xf numFmtId="177" fontId="231" fillId="0" borderId="37" xfId="0" applyNumberFormat="1" applyFont="1" applyBorder="1" applyAlignment="1">
      <alignment horizontal="right"/>
    </xf>
    <xf numFmtId="177" fontId="186" fillId="0" borderId="633" xfId="0" applyNumberFormat="1" applyFont="1" applyBorder="1" applyAlignment="1">
      <alignment horizontal="right"/>
    </xf>
    <xf numFmtId="0" fontId="18" fillId="53" borderId="37" xfId="0" applyFont="1" applyFill="1" applyBorder="1" applyAlignment="1">
      <alignment horizontal="center"/>
    </xf>
    <xf numFmtId="177" fontId="18" fillId="53" borderId="0" xfId="0" applyNumberFormat="1" applyFont="1" applyFill="1"/>
    <xf numFmtId="9" fontId="186" fillId="0" borderId="0" xfId="0" applyNumberFormat="1" applyFont="1" applyAlignment="1">
      <alignment horizontal="right"/>
    </xf>
    <xf numFmtId="169" fontId="18" fillId="53" borderId="0" xfId="0" applyNumberFormat="1" applyFont="1" applyFill="1" applyAlignment="1">
      <alignment horizontal="right"/>
    </xf>
    <xf numFmtId="169" fontId="18" fillId="53" borderId="21" xfId="0" applyNumberFormat="1" applyFont="1" applyFill="1" applyBorder="1" applyAlignment="1">
      <alignment horizontal="right"/>
    </xf>
    <xf numFmtId="169" fontId="18" fillId="53" borderId="21" xfId="0" applyNumberFormat="1" applyFont="1" applyFill="1" applyBorder="1"/>
    <xf numFmtId="169" fontId="48" fillId="53" borderId="37" xfId="0" applyNumberFormat="1" applyFont="1" applyFill="1" applyBorder="1" applyAlignment="1">
      <alignment horizontal="right"/>
    </xf>
    <xf numFmtId="169" fontId="48" fillId="53" borderId="0" xfId="0" applyNumberFormat="1" applyFont="1" applyFill="1" applyAlignment="1">
      <alignment horizontal="right"/>
    </xf>
    <xf numFmtId="169" fontId="48" fillId="53" borderId="21" xfId="0" applyNumberFormat="1" applyFont="1" applyFill="1" applyBorder="1" applyAlignment="1">
      <alignment horizontal="right"/>
    </xf>
    <xf numFmtId="9" fontId="18" fillId="53" borderId="0" xfId="0" applyNumberFormat="1" applyFont="1" applyFill="1" applyAlignment="1">
      <alignment horizontal="right"/>
    </xf>
    <xf numFmtId="0" fontId="18" fillId="71" borderId="37" xfId="0" applyFont="1" applyFill="1" applyBorder="1" applyAlignment="1">
      <alignment horizontal="center"/>
    </xf>
    <xf numFmtId="177" fontId="18" fillId="71" borderId="0" xfId="0" applyNumberFormat="1" applyFont="1" applyFill="1"/>
    <xf numFmtId="281" fontId="18" fillId="71" borderId="0" xfId="0" applyNumberFormat="1" applyFont="1" applyFill="1"/>
    <xf numFmtId="281" fontId="186" fillId="71" borderId="0" xfId="0" applyNumberFormat="1" applyFont="1" applyFill="1"/>
    <xf numFmtId="281" fontId="186" fillId="71" borderId="0" xfId="0" applyNumberFormat="1" applyFont="1" applyFill="1" applyAlignment="1">
      <alignment horizontal="right"/>
    </xf>
    <xf numFmtId="281" fontId="186" fillId="0" borderId="37" xfId="0" applyNumberFormat="1" applyFont="1" applyBorder="1" applyAlignment="1">
      <alignment horizontal="right"/>
    </xf>
    <xf numFmtId="177" fontId="18" fillId="57" borderId="633" xfId="0" applyNumberFormat="1" applyFont="1" applyFill="1" applyBorder="1"/>
    <xf numFmtId="0" fontId="18" fillId="97" borderId="37" xfId="0" applyFont="1" applyFill="1" applyBorder="1" applyAlignment="1">
      <alignment horizontal="center"/>
    </xf>
    <xf numFmtId="177" fontId="18" fillId="97" borderId="0" xfId="0" applyNumberFormat="1" applyFont="1" applyFill="1"/>
    <xf numFmtId="169" fontId="18" fillId="97" borderId="0" xfId="0" applyNumberFormat="1" applyFont="1" applyFill="1" applyAlignment="1">
      <alignment horizontal="right"/>
    </xf>
    <xf numFmtId="177" fontId="186" fillId="46" borderId="0" xfId="0" applyNumberFormat="1" applyFont="1" applyFill="1"/>
    <xf numFmtId="177" fontId="186" fillId="46" borderId="0" xfId="0" applyNumberFormat="1" applyFont="1" applyFill="1" applyAlignment="1">
      <alignment horizontal="right"/>
    </xf>
    <xf numFmtId="177" fontId="18" fillId="46" borderId="31" xfId="0" applyNumberFormat="1" applyFont="1" applyFill="1" applyBorder="1"/>
    <xf numFmtId="177" fontId="18" fillId="46" borderId="0" xfId="0" applyNumberFormat="1" applyFont="1" applyFill="1"/>
    <xf numFmtId="177" fontId="18" fillId="46" borderId="37" xfId="0" applyNumberFormat="1" applyFont="1" applyFill="1" applyBorder="1"/>
    <xf numFmtId="177" fontId="18" fillId="46" borderId="31" xfId="0" applyNumberFormat="1" applyFont="1" applyFill="1" applyBorder="1" applyAlignment="1">
      <alignment horizontal="right"/>
    </xf>
    <xf numFmtId="177" fontId="18" fillId="46" borderId="0" xfId="0" applyNumberFormat="1" applyFont="1" applyFill="1" applyAlignment="1">
      <alignment horizontal="right"/>
    </xf>
    <xf numFmtId="169" fontId="18" fillId="97" borderId="21" xfId="0" applyNumberFormat="1" applyFont="1" applyFill="1" applyBorder="1" applyAlignment="1">
      <alignment horizontal="right"/>
    </xf>
    <xf numFmtId="169" fontId="18" fillId="97" borderId="21" xfId="0" applyNumberFormat="1" applyFont="1" applyFill="1" applyBorder="1"/>
    <xf numFmtId="169" fontId="48" fillId="97" borderId="0" xfId="0" applyNumberFormat="1" applyFont="1" applyFill="1" applyAlignment="1">
      <alignment horizontal="right"/>
    </xf>
    <xf numFmtId="169" fontId="48" fillId="97" borderId="21" xfId="0" applyNumberFormat="1" applyFont="1" applyFill="1" applyBorder="1" applyAlignment="1">
      <alignment horizontal="right"/>
    </xf>
    <xf numFmtId="169" fontId="48" fillId="97" borderId="37" xfId="0" applyNumberFormat="1" applyFont="1" applyFill="1" applyBorder="1" applyAlignment="1">
      <alignment horizontal="right"/>
    </xf>
    <xf numFmtId="169" fontId="18" fillId="72" borderId="21" xfId="0" applyNumberFormat="1" applyFont="1" applyFill="1" applyBorder="1" applyAlignment="1">
      <alignment horizontal="right"/>
    </xf>
    <xf numFmtId="9" fontId="48" fillId="46" borderId="31" xfId="0" applyNumberFormat="1" applyFont="1" applyFill="1" applyBorder="1" applyAlignment="1">
      <alignment horizontal="right"/>
    </xf>
    <xf numFmtId="9" fontId="48" fillId="46" borderId="0" xfId="0" applyNumberFormat="1" applyFont="1" applyFill="1" applyAlignment="1">
      <alignment horizontal="right"/>
    </xf>
    <xf numFmtId="9" fontId="18" fillId="46" borderId="37" xfId="0" applyNumberFormat="1" applyFont="1" applyFill="1" applyBorder="1" applyAlignment="1">
      <alignment horizontal="right"/>
    </xf>
    <xf numFmtId="169" fontId="18" fillId="46" borderId="0" xfId="0" applyNumberFormat="1" applyFont="1" applyFill="1"/>
    <xf numFmtId="169" fontId="18" fillId="46" borderId="0" xfId="0" applyNumberFormat="1" applyFont="1" applyFill="1" applyAlignment="1">
      <alignment horizontal="right"/>
    </xf>
    <xf numFmtId="9" fontId="18" fillId="97" borderId="0" xfId="0" applyNumberFormat="1" applyFont="1" applyFill="1" applyAlignment="1">
      <alignment horizontal="right"/>
    </xf>
    <xf numFmtId="169" fontId="18" fillId="72" borderId="21" xfId="0" applyNumberFormat="1" applyFont="1" applyFill="1" applyBorder="1"/>
    <xf numFmtId="177" fontId="18" fillId="97" borderId="631" xfId="0" applyNumberFormat="1" applyFont="1" applyFill="1" applyBorder="1"/>
    <xf numFmtId="177" fontId="18" fillId="97" borderId="634" xfId="0" applyNumberFormat="1" applyFont="1" applyFill="1" applyBorder="1"/>
    <xf numFmtId="177" fontId="186" fillId="97" borderId="0" xfId="0" applyNumberFormat="1" applyFont="1" applyFill="1" applyAlignment="1">
      <alignment horizontal="right"/>
    </xf>
    <xf numFmtId="177" fontId="186" fillId="0" borderId="630" xfId="0" applyNumberFormat="1" applyFont="1" applyBorder="1" applyAlignment="1">
      <alignment horizontal="right"/>
    </xf>
    <xf numFmtId="169" fontId="48" fillId="97" borderId="31" xfId="0" applyNumberFormat="1" applyFont="1" applyFill="1" applyBorder="1" applyAlignment="1">
      <alignment horizontal="right"/>
    </xf>
    <xf numFmtId="0" fontId="18" fillId="97" borderId="0" xfId="0" applyFont="1" applyFill="1"/>
    <xf numFmtId="0" fontId="18" fillId="97" borderId="21" xfId="0" applyFont="1" applyFill="1" applyBorder="1"/>
    <xf numFmtId="9" fontId="18" fillId="97" borderId="0" xfId="0" applyNumberFormat="1" applyFont="1" applyFill="1"/>
    <xf numFmtId="0" fontId="18" fillId="97" borderId="37" xfId="0" applyFont="1" applyFill="1" applyBorder="1"/>
    <xf numFmtId="0" fontId="18" fillId="97" borderId="21" xfId="0" applyFont="1" applyFill="1" applyBorder="1" applyAlignment="1">
      <alignment horizontal="right"/>
    </xf>
    <xf numFmtId="0" fontId="18" fillId="97" borderId="0" xfId="0" applyFont="1" applyFill="1" applyAlignment="1">
      <alignment horizontal="right"/>
    </xf>
    <xf numFmtId="0" fontId="18" fillId="97" borderId="31" xfId="0" applyFont="1" applyFill="1" applyBorder="1" applyAlignment="1">
      <alignment horizontal="right"/>
    </xf>
    <xf numFmtId="169" fontId="18" fillId="97" borderId="0" xfId="0" applyNumberFormat="1" applyFont="1" applyFill="1"/>
    <xf numFmtId="9" fontId="48" fillId="97" borderId="0" xfId="0" applyNumberFormat="1" applyFont="1" applyFill="1" applyAlignment="1">
      <alignment horizontal="right"/>
    </xf>
    <xf numFmtId="9" fontId="18" fillId="97" borderId="21" xfId="0" applyNumberFormat="1" applyFont="1" applyFill="1" applyBorder="1" applyAlignment="1">
      <alignment horizontal="right"/>
    </xf>
    <xf numFmtId="9" fontId="48" fillId="97" borderId="21" xfId="0" applyNumberFormat="1" applyFont="1" applyFill="1" applyBorder="1" applyAlignment="1">
      <alignment horizontal="right"/>
    </xf>
    <xf numFmtId="177" fontId="18" fillId="97" borderId="21" xfId="0" applyNumberFormat="1" applyFont="1" applyFill="1" applyBorder="1"/>
    <xf numFmtId="177" fontId="18" fillId="97" borderId="21" xfId="0" applyNumberFormat="1" applyFont="1" applyFill="1" applyBorder="1" applyAlignment="1">
      <alignment horizontal="right"/>
    </xf>
    <xf numFmtId="177" fontId="18" fillId="97" borderId="0" xfId="0" applyNumberFormat="1" applyFont="1" applyFill="1" applyAlignment="1">
      <alignment horizontal="right"/>
    </xf>
    <xf numFmtId="177" fontId="18" fillId="97" borderId="31" xfId="0" applyNumberFormat="1" applyFont="1" applyFill="1" applyBorder="1" applyAlignment="1">
      <alignment horizontal="right"/>
    </xf>
    <xf numFmtId="169" fontId="18" fillId="97" borderId="37" xfId="0" applyNumberFormat="1" applyFont="1" applyFill="1" applyBorder="1"/>
    <xf numFmtId="9" fontId="18" fillId="97" borderId="37" xfId="0" applyNumberFormat="1" applyFont="1" applyFill="1" applyBorder="1" applyAlignment="1">
      <alignment horizontal="right"/>
    </xf>
    <xf numFmtId="9" fontId="18" fillId="97" borderId="31" xfId="0" applyNumberFormat="1" applyFont="1" applyFill="1" applyBorder="1" applyAlignment="1">
      <alignment horizontal="right"/>
    </xf>
    <xf numFmtId="0" fontId="18" fillId="48" borderId="37" xfId="0" applyFont="1" applyFill="1" applyBorder="1" applyAlignment="1">
      <alignment horizontal="center"/>
    </xf>
    <xf numFmtId="177" fontId="18" fillId="48" borderId="0" xfId="0" applyNumberFormat="1" applyFont="1" applyFill="1"/>
    <xf numFmtId="177" fontId="186" fillId="48" borderId="0" xfId="0" applyNumberFormat="1" applyFont="1" applyFill="1" applyAlignment="1">
      <alignment horizontal="right"/>
    </xf>
    <xf numFmtId="9" fontId="18" fillId="48" borderId="0" xfId="0" applyNumberFormat="1" applyFont="1" applyFill="1"/>
    <xf numFmtId="177" fontId="18" fillId="48" borderId="31" xfId="0" applyNumberFormat="1" applyFont="1" applyFill="1" applyBorder="1" applyAlignment="1">
      <alignment horizontal="right"/>
    </xf>
    <xf numFmtId="177" fontId="18" fillId="48" borderId="0" xfId="0" applyNumberFormat="1" applyFont="1" applyFill="1" applyAlignment="1">
      <alignment horizontal="right"/>
    </xf>
    <xf numFmtId="169" fontId="18" fillId="48" borderId="0" xfId="0" applyNumberFormat="1" applyFont="1" applyFill="1" applyAlignment="1">
      <alignment horizontal="right"/>
    </xf>
    <xf numFmtId="169" fontId="18" fillId="48" borderId="21" xfId="0" applyNumberFormat="1" applyFont="1" applyFill="1" applyBorder="1" applyAlignment="1">
      <alignment horizontal="right"/>
    </xf>
    <xf numFmtId="169" fontId="48" fillId="48" borderId="0" xfId="0" applyNumberFormat="1" applyFont="1" applyFill="1" applyAlignment="1">
      <alignment horizontal="right"/>
    </xf>
    <xf numFmtId="169" fontId="18" fillId="48" borderId="0" xfId="0" applyNumberFormat="1" applyFont="1" applyFill="1"/>
    <xf numFmtId="169" fontId="18" fillId="48" borderId="21" xfId="0" applyNumberFormat="1" applyFont="1" applyFill="1" applyBorder="1"/>
    <xf numFmtId="9" fontId="18" fillId="48" borderId="21" xfId="0" applyNumberFormat="1" applyFont="1" applyFill="1" applyBorder="1" applyAlignment="1">
      <alignment horizontal="right"/>
    </xf>
    <xf numFmtId="0" fontId="18" fillId="48" borderId="21" xfId="0" applyFont="1" applyFill="1" applyBorder="1"/>
    <xf numFmtId="0" fontId="18" fillId="48" borderId="37" xfId="0" applyFont="1" applyFill="1" applyBorder="1"/>
    <xf numFmtId="0" fontId="18" fillId="48" borderId="31" xfId="0" applyFont="1" applyFill="1" applyBorder="1"/>
    <xf numFmtId="0" fontId="18" fillId="48" borderId="21" xfId="0" applyFont="1" applyFill="1" applyBorder="1" applyAlignment="1">
      <alignment horizontal="right"/>
    </xf>
    <xf numFmtId="0" fontId="18" fillId="48" borderId="31" xfId="0" applyFont="1" applyFill="1" applyBorder="1" applyAlignment="1">
      <alignment horizontal="right"/>
    </xf>
    <xf numFmtId="0" fontId="18" fillId="48" borderId="0" xfId="0" applyFont="1" applyFill="1" applyAlignment="1">
      <alignment horizontal="right"/>
    </xf>
    <xf numFmtId="0" fontId="18" fillId="0" borderId="31" xfId="0" applyFont="1" applyBorder="1" applyAlignment="1">
      <alignment horizontal="right"/>
    </xf>
    <xf numFmtId="9" fontId="48" fillId="48" borderId="0" xfId="0" applyNumberFormat="1" applyFont="1" applyFill="1" applyAlignment="1">
      <alignment horizontal="right"/>
    </xf>
    <xf numFmtId="9" fontId="48" fillId="48" borderId="21" xfId="0" applyNumberFormat="1" applyFont="1" applyFill="1" applyBorder="1" applyAlignment="1">
      <alignment horizontal="right"/>
    </xf>
    <xf numFmtId="9" fontId="48" fillId="48" borderId="31" xfId="0" applyNumberFormat="1" applyFont="1" applyFill="1" applyBorder="1" applyAlignment="1">
      <alignment horizontal="right"/>
    </xf>
    <xf numFmtId="9" fontId="48" fillId="48" borderId="37" xfId="0" applyNumberFormat="1" applyFont="1" applyFill="1" applyBorder="1" applyAlignment="1">
      <alignment horizontal="right"/>
    </xf>
    <xf numFmtId="177" fontId="18" fillId="48" borderId="21" xfId="0" applyNumberFormat="1" applyFont="1" applyFill="1" applyBorder="1"/>
    <xf numFmtId="177" fontId="18" fillId="48" borderId="21" xfId="0" applyNumberFormat="1" applyFont="1" applyFill="1" applyBorder="1" applyAlignment="1">
      <alignment horizontal="right"/>
    </xf>
    <xf numFmtId="0" fontId="18" fillId="48" borderId="21" xfId="0" applyFont="1" applyFill="1" applyBorder="1" applyAlignment="1">
      <alignment horizontal="left" indent="2"/>
    </xf>
    <xf numFmtId="169" fontId="48" fillId="0" borderId="0" xfId="0" applyNumberFormat="1" applyFont="1"/>
    <xf numFmtId="37" fontId="37" fillId="48" borderId="0" xfId="0" applyNumberFormat="1" applyFont="1" applyFill="1" applyAlignment="1">
      <alignment horizontal="right"/>
    </xf>
    <xf numFmtId="37" fontId="37" fillId="0" borderId="37" xfId="0" applyNumberFormat="1" applyFont="1" applyBorder="1" applyAlignment="1">
      <alignment horizontal="right"/>
    </xf>
    <xf numFmtId="177" fontId="18" fillId="0" borderId="631" xfId="0" applyNumberFormat="1" applyFont="1" applyBorder="1"/>
    <xf numFmtId="177" fontId="18" fillId="0" borderId="634" xfId="0" applyNumberFormat="1" applyFont="1" applyBorder="1"/>
    <xf numFmtId="37" fontId="37" fillId="0" borderId="630" xfId="0" applyNumberFormat="1" applyFont="1" applyBorder="1"/>
    <xf numFmtId="37" fontId="37" fillId="0" borderId="633" xfId="0" applyNumberFormat="1" applyFont="1" applyBorder="1"/>
    <xf numFmtId="169" fontId="39" fillId="0" borderId="0" xfId="0" applyNumberFormat="1" applyFont="1" applyAlignment="1">
      <alignment horizontal="right"/>
    </xf>
    <xf numFmtId="169" fontId="48" fillId="0" borderId="37" xfId="0" applyNumberFormat="1" applyFont="1" applyBorder="1"/>
    <xf numFmtId="169" fontId="48" fillId="0" borderId="31" xfId="0" applyNumberFormat="1" applyFont="1" applyBorder="1"/>
    <xf numFmtId="8" fontId="18" fillId="0" borderId="21" xfId="0" applyNumberFormat="1" applyFont="1" applyBorder="1"/>
    <xf numFmtId="8" fontId="18" fillId="0" borderId="31" xfId="0" applyNumberFormat="1" applyFont="1" applyBorder="1"/>
    <xf numFmtId="8" fontId="18" fillId="0" borderId="21" xfId="0" applyNumberFormat="1" applyFont="1" applyBorder="1" applyAlignment="1">
      <alignment horizontal="right"/>
    </xf>
    <xf numFmtId="8" fontId="18" fillId="0" borderId="31" xfId="0" applyNumberFormat="1" applyFont="1" applyBorder="1" applyAlignment="1">
      <alignment horizontal="right"/>
    </xf>
    <xf numFmtId="174" fontId="18" fillId="0" borderId="0" xfId="0" applyNumberFormat="1" applyFont="1" applyAlignment="1">
      <alignment horizontal="right"/>
    </xf>
    <xf numFmtId="39" fontId="18" fillId="0" borderId="21" xfId="0" applyNumberFormat="1" applyFont="1" applyBorder="1"/>
    <xf numFmtId="177" fontId="231" fillId="0" borderId="31" xfId="0" applyNumberFormat="1" applyFont="1" applyBorder="1"/>
    <xf numFmtId="177" fontId="231" fillId="0" borderId="37" xfId="0" applyNumberFormat="1" applyFont="1" applyBorder="1"/>
    <xf numFmtId="177" fontId="231" fillId="0" borderId="0" xfId="0" applyNumberFormat="1" applyFont="1" applyAlignment="1">
      <alignment horizontal="right"/>
    </xf>
    <xf numFmtId="9" fontId="231" fillId="0" borderId="0" xfId="1716" applyFont="1" applyFill="1"/>
    <xf numFmtId="192" fontId="18" fillId="0" borderId="0" xfId="0" applyNumberFormat="1" applyFont="1"/>
    <xf numFmtId="169" fontId="218" fillId="0" borderId="0" xfId="0" applyNumberFormat="1" applyFont="1" applyAlignment="1">
      <alignment horizontal="right"/>
    </xf>
    <xf numFmtId="177" fontId="18" fillId="49" borderId="21" xfId="0" applyNumberFormat="1" applyFont="1" applyFill="1" applyBorder="1"/>
    <xf numFmtId="177" fontId="18" fillId="49" borderId="31" xfId="0" applyNumberFormat="1" applyFont="1" applyFill="1" applyBorder="1" applyAlignment="1">
      <alignment horizontal="right"/>
    </xf>
    <xf numFmtId="169" fontId="18" fillId="49" borderId="31" xfId="0" applyNumberFormat="1" applyFont="1" applyFill="1" applyBorder="1" applyAlignment="1">
      <alignment horizontal="right"/>
    </xf>
    <xf numFmtId="169" fontId="18" fillId="49" borderId="21" xfId="0" applyNumberFormat="1" applyFont="1" applyFill="1" applyBorder="1"/>
    <xf numFmtId="9" fontId="48" fillId="49" borderId="31" xfId="0" applyNumberFormat="1" applyFont="1" applyFill="1" applyBorder="1" applyAlignment="1">
      <alignment horizontal="right"/>
    </xf>
    <xf numFmtId="44" fontId="259" fillId="0" borderId="21" xfId="0" applyNumberFormat="1" applyFont="1" applyBorder="1" applyAlignment="1">
      <alignment horizontal="left" indent="3"/>
    </xf>
    <xf numFmtId="177" fontId="269" fillId="0" borderId="0" xfId="0" applyNumberFormat="1" applyFont="1"/>
    <xf numFmtId="177" fontId="269" fillId="0" borderId="21" xfId="0" applyNumberFormat="1" applyFont="1" applyBorder="1"/>
    <xf numFmtId="192" fontId="186" fillId="0" borderId="0" xfId="0" applyNumberFormat="1" applyFont="1"/>
    <xf numFmtId="9" fontId="186" fillId="49" borderId="0" xfId="0" applyNumberFormat="1" applyFont="1" applyFill="1"/>
    <xf numFmtId="169" fontId="18" fillId="71" borderId="31" xfId="0" applyNumberFormat="1" applyFont="1" applyFill="1" applyBorder="1" applyAlignment="1">
      <alignment horizontal="right"/>
    </xf>
    <xf numFmtId="0" fontId="18" fillId="56" borderId="37" xfId="0" applyFont="1" applyFill="1" applyBorder="1" applyAlignment="1">
      <alignment horizontal="center"/>
    </xf>
    <xf numFmtId="177" fontId="186" fillId="56" borderId="0" xfId="0" applyNumberFormat="1" applyFont="1" applyFill="1" applyAlignment="1">
      <alignment horizontal="right"/>
    </xf>
    <xf numFmtId="177" fontId="48" fillId="0" borderId="31" xfId="0" applyNumberFormat="1" applyFont="1" applyBorder="1"/>
    <xf numFmtId="177" fontId="48" fillId="0" borderId="37" xfId="0" applyNumberFormat="1" applyFont="1" applyBorder="1"/>
    <xf numFmtId="177" fontId="48" fillId="0" borderId="31" xfId="0" applyNumberFormat="1" applyFont="1" applyBorder="1" applyAlignment="1">
      <alignment horizontal="right"/>
    </xf>
    <xf numFmtId="177" fontId="48" fillId="0" borderId="37" xfId="0" applyNumberFormat="1" applyFont="1" applyBorder="1" applyAlignment="1">
      <alignment horizontal="right"/>
    </xf>
    <xf numFmtId="9" fontId="231" fillId="0" borderId="0" xfId="0" applyNumberFormat="1" applyFont="1" applyAlignment="1">
      <alignment horizontal="right"/>
    </xf>
    <xf numFmtId="169" fontId="231" fillId="0" borderId="0" xfId="0" applyNumberFormat="1" applyFont="1" applyAlignment="1">
      <alignment horizontal="right"/>
    </xf>
    <xf numFmtId="3" fontId="252" fillId="0" borderId="0" xfId="0" applyNumberFormat="1" applyFont="1" applyAlignment="1">
      <alignment horizontal="right"/>
    </xf>
    <xf numFmtId="4" fontId="35" fillId="0" borderId="6" xfId="1525" applyFont="1" applyFill="1" applyBorder="1" applyAlignment="1">
      <alignment horizontal="center"/>
    </xf>
    <xf numFmtId="4" fontId="35" fillId="0" borderId="7" xfId="1525" applyFont="1" applyFill="1" applyBorder="1" applyAlignment="1">
      <alignment horizontal="center"/>
    </xf>
    <xf numFmtId="189" fontId="252" fillId="0" borderId="37" xfId="2895" applyNumberFormat="1" applyFont="1" applyFill="1" applyBorder="1" applyAlignment="1">
      <alignment horizontal="right" shrinkToFit="1"/>
    </xf>
    <xf numFmtId="37" fontId="267" fillId="0" borderId="37" xfId="0" applyNumberFormat="1" applyFont="1" applyBorder="1"/>
    <xf numFmtId="37" fontId="267" fillId="0" borderId="37" xfId="0" applyNumberFormat="1" applyFont="1" applyBorder="1" applyAlignment="1">
      <alignment horizontal="right"/>
    </xf>
    <xf numFmtId="9" fontId="18" fillId="0" borderId="0" xfId="4865" applyFont="1" applyFill="1" applyBorder="1" applyAlignment="1">
      <alignment horizontal="right" shrinkToFit="1"/>
    </xf>
    <xf numFmtId="9" fontId="18" fillId="49" borderId="0" xfId="4865" applyFont="1" applyFill="1" applyBorder="1" applyAlignment="1">
      <alignment horizontal="right" shrinkToFit="1"/>
    </xf>
    <xf numFmtId="189" fontId="354" fillId="0" borderId="21" xfId="2895" applyNumberFormat="1" applyFont="1" applyFill="1" applyBorder="1" applyAlignment="1">
      <alignment horizontal="right" shrinkToFit="1"/>
    </xf>
    <xf numFmtId="281" fontId="48" fillId="0" borderId="0" xfId="1525" applyNumberFormat="1" applyFont="1" applyFill="1" applyAlignment="1">
      <alignment horizontal="right"/>
    </xf>
    <xf numFmtId="189" fontId="18" fillId="0" borderId="0" xfId="2895" applyNumberFormat="1" applyFont="1" applyFill="1" applyBorder="1" applyAlignment="1">
      <alignment horizontal="center" shrinkToFit="1"/>
    </xf>
    <xf numFmtId="189" fontId="18" fillId="0" borderId="21" xfId="2895" applyNumberFormat="1" applyFont="1" applyFill="1" applyBorder="1" applyAlignment="1">
      <alignment horizontal="center" shrinkToFit="1"/>
    </xf>
    <xf numFmtId="169" fontId="35" fillId="0" borderId="0" xfId="0" applyNumberFormat="1" applyFont="1" applyAlignment="1">
      <alignment horizontal="center"/>
    </xf>
    <xf numFmtId="189" fontId="18" fillId="0" borderId="37" xfId="2895" applyNumberFormat="1" applyFont="1" applyFill="1" applyBorder="1" applyAlignment="1">
      <alignment horizontal="center" shrinkToFit="1"/>
    </xf>
    <xf numFmtId="328" fontId="186" fillId="0" borderId="0" xfId="0" applyNumberFormat="1" applyFont="1" applyAlignment="1">
      <alignment horizontal="right"/>
    </xf>
    <xf numFmtId="281" fontId="35" fillId="0" borderId="0" xfId="0" applyNumberFormat="1" applyFont="1" applyAlignment="1">
      <alignment horizontal="right"/>
    </xf>
    <xf numFmtId="0" fontId="35" fillId="102" borderId="0" xfId="0" applyFont="1" applyFill="1"/>
    <xf numFmtId="187" fontId="18" fillId="0" borderId="31" xfId="0" applyNumberFormat="1" applyFont="1" applyBorder="1" applyAlignment="1">
      <alignment horizontal="right"/>
    </xf>
    <xf numFmtId="37" fontId="267" fillId="0" borderId="46" xfId="0" applyNumberFormat="1" applyFont="1" applyBorder="1" applyAlignment="1">
      <alignment horizontal="right"/>
    </xf>
    <xf numFmtId="281" fontId="18" fillId="0" borderId="21" xfId="2895" applyNumberFormat="1" applyFont="1" applyFill="1" applyBorder="1" applyAlignment="1">
      <alignment horizontal="right" shrinkToFit="1"/>
    </xf>
    <xf numFmtId="187" fontId="18" fillId="55" borderId="0" xfId="0" applyNumberFormat="1" applyFont="1" applyFill="1" applyAlignment="1">
      <alignment horizontal="center"/>
    </xf>
    <xf numFmtId="187" fontId="35" fillId="55" borderId="0" xfId="0" applyNumberFormat="1" applyFont="1" applyFill="1" applyAlignment="1">
      <alignment horizontal="center"/>
    </xf>
    <xf numFmtId="8" fontId="18" fillId="55" borderId="0" xfId="1559" applyFont="1" applyFill="1" applyBorder="1" applyAlignment="1">
      <alignment horizontal="center"/>
    </xf>
    <xf numFmtId="8" fontId="35" fillId="55" borderId="0" xfId="1559" applyFont="1" applyFill="1" applyBorder="1" applyAlignment="1">
      <alignment horizontal="center"/>
    </xf>
    <xf numFmtId="8" fontId="35" fillId="0" borderId="0" xfId="1559" applyFont="1" applyFill="1" applyBorder="1" applyAlignment="1">
      <alignment horizontal="center"/>
    </xf>
    <xf numFmtId="279" fontId="18" fillId="0" borderId="0" xfId="2895" applyNumberFormat="1" applyFont="1" applyFill="1" applyBorder="1" applyAlignment="1">
      <alignment horizontal="center"/>
    </xf>
    <xf numFmtId="169" fontId="35" fillId="0" borderId="0" xfId="2895" applyNumberFormat="1" applyFont="1" applyFill="1" applyBorder="1" applyAlignment="1">
      <alignment horizontal="center"/>
    </xf>
    <xf numFmtId="277" fontId="18" fillId="0" borderId="0" xfId="2895" applyNumberFormat="1" applyFont="1" applyFill="1" applyBorder="1" applyAlignment="1">
      <alignment horizontal="center"/>
    </xf>
    <xf numFmtId="329" fontId="255" fillId="0" borderId="63" xfId="0" applyNumberFormat="1" applyFont="1" applyBorder="1" applyAlignment="1">
      <alignment horizontal="center"/>
    </xf>
    <xf numFmtId="0" fontId="18" fillId="0" borderId="645" xfId="0" applyFont="1" applyBorder="1" applyAlignment="1">
      <alignment horizontal="center"/>
    </xf>
    <xf numFmtId="0" fontId="18" fillId="0" borderId="140" xfId="0" applyFont="1" applyBorder="1" applyAlignment="1">
      <alignment horizontal="center"/>
    </xf>
    <xf numFmtId="0" fontId="18" fillId="0" borderId="646" xfId="0" applyFont="1" applyBorder="1" applyAlignment="1">
      <alignment horizontal="center"/>
    </xf>
    <xf numFmtId="0" fontId="18" fillId="0" borderId="31" xfId="0" applyFont="1" applyBorder="1" applyAlignment="1">
      <alignment horizontal="center"/>
    </xf>
    <xf numFmtId="279" fontId="35" fillId="0" borderId="0" xfId="2895" applyNumberFormat="1" applyFont="1" applyFill="1" applyBorder="1" applyAlignment="1">
      <alignment horizontal="center"/>
    </xf>
    <xf numFmtId="277" fontId="35" fillId="0" borderId="0" xfId="2895" applyNumberFormat="1" applyFont="1" applyFill="1" applyBorder="1" applyAlignment="1">
      <alignment horizontal="center"/>
    </xf>
    <xf numFmtId="0" fontId="35" fillId="0" borderId="635" xfId="0" applyFont="1" applyBorder="1" applyAlignment="1">
      <alignment horizontal="center"/>
    </xf>
    <xf numFmtId="0" fontId="35" fillId="0" borderId="456" xfId="0" applyFont="1" applyBorder="1" applyAlignment="1">
      <alignment horizontal="center"/>
    </xf>
    <xf numFmtId="0" fontId="35" fillId="0" borderId="636" xfId="0" applyFont="1" applyBorder="1" applyAlignment="1">
      <alignment horizontal="center"/>
    </xf>
    <xf numFmtId="37" fontId="18" fillId="0" borderId="316" xfId="0" applyNumberFormat="1" applyFont="1" applyBorder="1"/>
    <xf numFmtId="37" fontId="18" fillId="0" borderId="651" xfId="0" applyNumberFormat="1" applyFont="1" applyBorder="1"/>
    <xf numFmtId="333" fontId="18" fillId="0" borderId="73" xfId="0" applyNumberFormat="1" applyFont="1" applyBorder="1" applyAlignment="1">
      <alignment horizontal="right"/>
    </xf>
    <xf numFmtId="9" fontId="48" fillId="0" borderId="73" xfId="0" applyNumberFormat="1" applyFont="1" applyBorder="1" applyAlignment="1">
      <alignment horizontal="right"/>
    </xf>
    <xf numFmtId="3" fontId="18" fillId="0" borderId="73" xfId="0" applyNumberFormat="1" applyFont="1" applyBorder="1" applyAlignment="1">
      <alignment horizontal="right"/>
    </xf>
    <xf numFmtId="3" fontId="18" fillId="0" borderId="140" xfId="0" applyNumberFormat="1" applyFont="1" applyBorder="1" applyAlignment="1">
      <alignment horizontal="right"/>
    </xf>
    <xf numFmtId="3" fontId="18" fillId="0" borderId="651" xfId="0" applyNumberFormat="1" applyFont="1" applyBorder="1" applyAlignment="1">
      <alignment horizontal="right"/>
    </xf>
    <xf numFmtId="3" fontId="18" fillId="0" borderId="608" xfId="0" applyNumberFormat="1" applyFont="1" applyBorder="1" applyAlignment="1">
      <alignment horizontal="right"/>
    </xf>
    <xf numFmtId="3" fontId="18" fillId="0" borderId="649" xfId="0" applyNumberFormat="1" applyFont="1" applyBorder="1" applyAlignment="1">
      <alignment horizontal="right"/>
    </xf>
    <xf numFmtId="38" fontId="18" fillId="0" borderId="73" xfId="0" applyNumberFormat="1" applyFont="1" applyBorder="1" applyAlignment="1">
      <alignment horizontal="right"/>
    </xf>
    <xf numFmtId="3" fontId="48" fillId="0" borderId="73" xfId="0" applyNumberFormat="1" applyFont="1" applyBorder="1" applyAlignment="1">
      <alignment horizontal="right"/>
    </xf>
    <xf numFmtId="38" fontId="18" fillId="0" borderId="608" xfId="0" applyNumberFormat="1" applyFont="1" applyBorder="1" applyAlignment="1">
      <alignment horizontal="right"/>
    </xf>
    <xf numFmtId="38" fontId="18" fillId="0" borderId="649" xfId="0" applyNumberFormat="1" applyFont="1" applyBorder="1" applyAlignment="1">
      <alignment horizontal="right"/>
    </xf>
    <xf numFmtId="38" fontId="18" fillId="45" borderId="632" xfId="0" applyNumberFormat="1" applyFont="1" applyFill="1" applyBorder="1" applyAlignment="1">
      <alignment horizontal="right"/>
    </xf>
    <xf numFmtId="38" fontId="18" fillId="45" borderId="640" xfId="0" applyNumberFormat="1" applyFont="1" applyFill="1" applyBorder="1" applyAlignment="1">
      <alignment horizontal="right"/>
    </xf>
    <xf numFmtId="38" fontId="251" fillId="0" borderId="0" xfId="0" applyNumberFormat="1" applyFont="1" applyAlignment="1">
      <alignment horizontal="right"/>
    </xf>
    <xf numFmtId="37" fontId="37" fillId="0" borderId="0" xfId="0" applyNumberFormat="1" applyFont="1" applyAlignment="1">
      <alignment horizontal="center"/>
    </xf>
    <xf numFmtId="37" fontId="251" fillId="0" borderId="21" xfId="2895" applyNumberFormat="1" applyFont="1" applyFill="1" applyBorder="1" applyAlignment="1">
      <alignment horizontal="right" shrinkToFit="1"/>
    </xf>
    <xf numFmtId="37" fontId="18" fillId="0" borderId="21" xfId="2895" applyNumberFormat="1" applyFont="1" applyFill="1" applyBorder="1" applyAlignment="1">
      <alignment horizontal="right" shrinkToFit="1"/>
    </xf>
    <xf numFmtId="37" fontId="18" fillId="0" borderId="37" xfId="2895" applyNumberFormat="1" applyFont="1" applyFill="1" applyBorder="1" applyAlignment="1">
      <alignment horizontal="right" shrinkToFit="1"/>
    </xf>
    <xf numFmtId="37" fontId="18" fillId="0" borderId="0" xfId="2895" applyNumberFormat="1" applyFont="1" applyFill="1" applyBorder="1" applyAlignment="1">
      <alignment horizontal="right" shrinkToFit="1"/>
    </xf>
    <xf numFmtId="37" fontId="18" fillId="0" borderId="31" xfId="2895" applyNumberFormat="1" applyFont="1" applyFill="1" applyBorder="1" applyAlignment="1">
      <alignment horizontal="right" shrinkToFit="1"/>
    </xf>
    <xf numFmtId="37" fontId="18" fillId="49" borderId="21" xfId="2895" applyNumberFormat="1" applyFont="1" applyFill="1" applyBorder="1" applyAlignment="1">
      <alignment horizontal="right" shrinkToFit="1"/>
    </xf>
    <xf numFmtId="333" fontId="252" fillId="0" borderId="0" xfId="2895" applyNumberFormat="1" applyFont="1" applyFill="1" applyBorder="1" applyAlignment="1">
      <alignment horizontal="right" shrinkToFit="1"/>
    </xf>
    <xf numFmtId="333" fontId="252" fillId="0" borderId="0" xfId="1716" applyNumberFormat="1" applyFont="1" applyFill="1" applyBorder="1" applyAlignment="1">
      <alignment horizontal="right" shrinkToFit="1"/>
    </xf>
    <xf numFmtId="328" fontId="44" fillId="0" borderId="0" xfId="2895" applyNumberFormat="1" applyFont="1" applyFill="1" applyBorder="1" applyAlignment="1">
      <alignment horizontal="right" shrinkToFit="1"/>
    </xf>
    <xf numFmtId="328" fontId="35" fillId="0" borderId="0" xfId="0" applyNumberFormat="1" applyFont="1" applyAlignment="1">
      <alignment horizontal="right"/>
    </xf>
    <xf numFmtId="328" fontId="35" fillId="0" borderId="37" xfId="0" applyNumberFormat="1" applyFont="1" applyBorder="1" applyAlignment="1">
      <alignment horizontal="right"/>
    </xf>
    <xf numFmtId="281" fontId="44" fillId="0" borderId="0" xfId="0" applyNumberFormat="1" applyFont="1"/>
    <xf numFmtId="328" fontId="18" fillId="0" borderId="0" xfId="2895" applyNumberFormat="1" applyFont="1" applyFill="1" applyBorder="1" applyAlignment="1">
      <alignment horizontal="right" shrinkToFit="1"/>
    </xf>
    <xf numFmtId="37" fontId="252" fillId="0" borderId="21" xfId="0" applyNumberFormat="1" applyFont="1" applyBorder="1" applyAlignment="1">
      <alignment horizontal="right"/>
    </xf>
    <xf numFmtId="328" fontId="186" fillId="0" borderId="37" xfId="0" applyNumberFormat="1" applyFont="1" applyBorder="1" applyAlignment="1">
      <alignment horizontal="right"/>
    </xf>
    <xf numFmtId="281" fontId="35" fillId="0" borderId="21" xfId="0" applyNumberFormat="1" applyFont="1" applyBorder="1" applyAlignment="1">
      <alignment horizontal="right"/>
    </xf>
    <xf numFmtId="9" fontId="251" fillId="71" borderId="21" xfId="0" applyNumberFormat="1" applyFont="1" applyFill="1" applyBorder="1" applyAlignment="1">
      <alignment horizontal="right"/>
    </xf>
    <xf numFmtId="169" fontId="18" fillId="0" borderId="31" xfId="1716" applyNumberFormat="1" applyFont="1" applyFill="1" applyBorder="1" applyAlignment="1">
      <alignment horizontal="right"/>
    </xf>
    <xf numFmtId="328" fontId="18" fillId="0" borderId="37" xfId="2895" applyNumberFormat="1" applyFont="1" applyFill="1" applyBorder="1" applyAlignment="1">
      <alignment horizontal="right" shrinkToFit="1"/>
    </xf>
    <xf numFmtId="328" fontId="18" fillId="0" borderId="21" xfId="2895" applyNumberFormat="1" applyFont="1" applyFill="1" applyBorder="1" applyAlignment="1">
      <alignment horizontal="right" shrinkToFit="1"/>
    </xf>
    <xf numFmtId="328" fontId="18" fillId="0" borderId="31" xfId="2895" applyNumberFormat="1" applyFont="1" applyFill="1" applyBorder="1" applyAlignment="1">
      <alignment horizontal="right" shrinkToFit="1"/>
    </xf>
    <xf numFmtId="333" fontId="18" fillId="0" borderId="0" xfId="0" applyNumberFormat="1" applyFont="1" applyAlignment="1">
      <alignment horizontal="right"/>
    </xf>
    <xf numFmtId="333" fontId="18" fillId="0" borderId="37" xfId="0" applyNumberFormat="1" applyFont="1" applyBorder="1" applyAlignment="1">
      <alignment horizontal="right"/>
    </xf>
    <xf numFmtId="333" fontId="186" fillId="0" borderId="0" xfId="0" applyNumberFormat="1" applyFont="1" applyAlignment="1">
      <alignment horizontal="right"/>
    </xf>
    <xf numFmtId="333" fontId="186" fillId="0" borderId="37" xfId="0" applyNumberFormat="1" applyFont="1" applyBorder="1" applyAlignment="1">
      <alignment horizontal="right"/>
    </xf>
    <xf numFmtId="333" fontId="63" fillId="0" borderId="21" xfId="0" applyNumberFormat="1" applyFont="1" applyBorder="1" applyAlignment="1">
      <alignment horizontal="right"/>
    </xf>
    <xf numFmtId="333" fontId="37" fillId="0" borderId="21" xfId="0" applyNumberFormat="1" applyFont="1" applyBorder="1" applyAlignment="1">
      <alignment horizontal="right"/>
    </xf>
    <xf numFmtId="333" fontId="186" fillId="0" borderId="21" xfId="0" applyNumberFormat="1" applyFont="1" applyBorder="1" applyAlignment="1">
      <alignment horizontal="right"/>
    </xf>
    <xf numFmtId="328" fontId="186" fillId="0" borderId="21" xfId="0" applyNumberFormat="1" applyFont="1" applyBorder="1" applyAlignment="1">
      <alignment horizontal="right"/>
    </xf>
    <xf numFmtId="37" fontId="252" fillId="49" borderId="21" xfId="0" applyNumberFormat="1" applyFont="1" applyFill="1" applyBorder="1" applyAlignment="1">
      <alignment horizontal="right"/>
    </xf>
    <xf numFmtId="37" fontId="35" fillId="49" borderId="0" xfId="0" applyNumberFormat="1" applyFont="1" applyFill="1" applyAlignment="1">
      <alignment horizontal="right"/>
    </xf>
    <xf numFmtId="37" fontId="18" fillId="49" borderId="0" xfId="0" applyNumberFormat="1" applyFont="1" applyFill="1" applyAlignment="1">
      <alignment horizontal="right"/>
    </xf>
    <xf numFmtId="3" fontId="267" fillId="0" borderId="46" xfId="1525" applyNumberFormat="1" applyFont="1" applyFill="1" applyBorder="1" applyAlignment="1" applyProtection="1">
      <alignment horizontal="right"/>
    </xf>
    <xf numFmtId="333" fontId="186" fillId="0" borderId="21" xfId="1525" applyNumberFormat="1" applyFont="1" applyFill="1" applyBorder="1" applyAlignment="1">
      <alignment horizontal="right"/>
    </xf>
    <xf numFmtId="333" fontId="251" fillId="0" borderId="0" xfId="0" applyNumberFormat="1" applyFont="1" applyAlignment="1">
      <alignment horizontal="right"/>
    </xf>
    <xf numFmtId="333" fontId="251" fillId="0" borderId="37" xfId="0" applyNumberFormat="1" applyFont="1" applyBorder="1" applyAlignment="1">
      <alignment horizontal="right"/>
    </xf>
    <xf numFmtId="333" fontId="251" fillId="49" borderId="0" xfId="0" applyNumberFormat="1" applyFont="1" applyFill="1" applyAlignment="1">
      <alignment horizontal="right"/>
    </xf>
    <xf numFmtId="333" fontId="251" fillId="49" borderId="37" xfId="0" applyNumberFormat="1" applyFont="1" applyFill="1" applyBorder="1" applyAlignment="1">
      <alignment horizontal="right"/>
    </xf>
    <xf numFmtId="333" fontId="186" fillId="49" borderId="0" xfId="0" applyNumberFormat="1" applyFont="1" applyFill="1" applyAlignment="1">
      <alignment horizontal="right"/>
    </xf>
    <xf numFmtId="333" fontId="186" fillId="49" borderId="37" xfId="0" applyNumberFormat="1" applyFont="1" applyFill="1" applyBorder="1" applyAlignment="1">
      <alignment horizontal="right"/>
    </xf>
    <xf numFmtId="333" fontId="35" fillId="0" borderId="21" xfId="0" applyNumberFormat="1" applyFont="1" applyBorder="1" applyAlignment="1">
      <alignment horizontal="right"/>
    </xf>
    <xf numFmtId="333" fontId="35" fillId="0" borderId="21" xfId="1525" applyNumberFormat="1" applyFont="1" applyFill="1" applyBorder="1" applyAlignment="1" applyProtection="1">
      <alignment horizontal="right"/>
    </xf>
    <xf numFmtId="333" fontId="252" fillId="0" borderId="0" xfId="1525" applyNumberFormat="1" applyFont="1" applyFill="1" applyAlignment="1" applyProtection="1">
      <alignment horizontal="right"/>
    </xf>
    <xf numFmtId="333" fontId="252" fillId="0" borderId="0" xfId="1525" applyNumberFormat="1" applyFont="1" applyFill="1" applyBorder="1" applyAlignment="1" applyProtection="1">
      <alignment horizontal="right"/>
    </xf>
    <xf numFmtId="333" fontId="18" fillId="49" borderId="21" xfId="0" applyNumberFormat="1" applyFont="1" applyFill="1" applyBorder="1"/>
    <xf numFmtId="333" fontId="18" fillId="0" borderId="21" xfId="0" applyNumberFormat="1" applyFont="1" applyBorder="1"/>
    <xf numFmtId="37" fontId="35" fillId="0" borderId="31" xfId="0" applyNumberFormat="1" applyFont="1" applyBorder="1" applyAlignment="1">
      <alignment horizontal="right"/>
    </xf>
    <xf numFmtId="37" fontId="267" fillId="0" borderId="636" xfId="0" applyNumberFormat="1" applyFont="1" applyBorder="1" applyAlignment="1">
      <alignment horizontal="right"/>
    </xf>
    <xf numFmtId="37" fontId="37" fillId="0" borderId="646" xfId="0" applyNumberFormat="1" applyFont="1" applyBorder="1" applyAlignment="1">
      <alignment horizontal="right"/>
    </xf>
    <xf numFmtId="37" fontId="267" fillId="0" borderId="31" xfId="0" applyNumberFormat="1" applyFont="1" applyBorder="1" applyAlignment="1">
      <alignment horizontal="right"/>
    </xf>
    <xf numFmtId="37" fontId="231" fillId="0" borderId="21" xfId="0" applyNumberFormat="1" applyFont="1" applyBorder="1" applyAlignment="1">
      <alignment horizontal="right"/>
    </xf>
    <xf numFmtId="189" fontId="368" fillId="49" borderId="31" xfId="2895" applyNumberFormat="1" applyFont="1" applyFill="1" applyBorder="1" applyAlignment="1">
      <alignment horizontal="right" shrinkToFit="1"/>
    </xf>
    <xf numFmtId="189" fontId="368" fillId="49" borderId="21" xfId="2895" applyNumberFormat="1" applyFont="1" applyFill="1" applyBorder="1" applyAlignment="1">
      <alignment horizontal="right" shrinkToFit="1"/>
    </xf>
    <xf numFmtId="189" fontId="368" fillId="49" borderId="37" xfId="2895" applyNumberFormat="1" applyFont="1" applyFill="1" applyBorder="1" applyAlignment="1">
      <alignment horizontal="right" shrinkToFit="1"/>
    </xf>
    <xf numFmtId="264" fontId="18" fillId="0" borderId="74" xfId="0" applyNumberFormat="1" applyFont="1" applyBorder="1"/>
    <xf numFmtId="0" fontId="18" fillId="45" borderId="630" xfId="0" applyFont="1" applyFill="1" applyBorder="1"/>
    <xf numFmtId="264" fontId="18" fillId="0" borderId="631" xfId="0" applyNumberFormat="1" applyFont="1" applyBorder="1" applyAlignment="1">
      <alignment horizontal="right"/>
    </xf>
    <xf numFmtId="0" fontId="35" fillId="45" borderId="639" xfId="0" applyFont="1" applyFill="1" applyBorder="1" applyAlignment="1">
      <alignment horizontal="right"/>
    </xf>
    <xf numFmtId="9" fontId="18" fillId="0" borderId="74" xfId="0" applyNumberFormat="1" applyFont="1" applyBorder="1" applyAlignment="1">
      <alignment horizontal="right"/>
    </xf>
    <xf numFmtId="9" fontId="18" fillId="0" borderId="637" xfId="0" applyNumberFormat="1" applyFont="1" applyBorder="1" applyAlignment="1">
      <alignment horizontal="right"/>
    </xf>
    <xf numFmtId="0" fontId="18" fillId="45" borderId="630" xfId="0" applyFont="1" applyFill="1" applyBorder="1" applyAlignment="1">
      <alignment horizontal="right"/>
    </xf>
    <xf numFmtId="0" fontId="18" fillId="45" borderId="639" xfId="0" applyFont="1" applyFill="1" applyBorder="1"/>
    <xf numFmtId="9" fontId="18" fillId="0" borderId="74" xfId="0" applyNumberFormat="1" applyFont="1" applyBorder="1"/>
    <xf numFmtId="9" fontId="18" fillId="0" borderId="637" xfId="0" applyNumberFormat="1" applyFont="1" applyBorder="1"/>
    <xf numFmtId="9" fontId="18" fillId="0" borderId="631" xfId="0" applyNumberFormat="1" applyFont="1" applyBorder="1"/>
    <xf numFmtId="0" fontId="18" fillId="0" borderId="74" xfId="0" applyFont="1" applyBorder="1"/>
    <xf numFmtId="3" fontId="18" fillId="0" borderId="74" xfId="0" applyNumberFormat="1" applyFont="1" applyBorder="1"/>
    <xf numFmtId="3" fontId="18" fillId="0" borderId="637" xfId="0" applyNumberFormat="1" applyFont="1" applyBorder="1"/>
    <xf numFmtId="8" fontId="18" fillId="0" borderId="74" xfId="0" applyNumberFormat="1" applyFont="1" applyBorder="1"/>
    <xf numFmtId="37" fontId="18" fillId="0" borderId="637" xfId="0" applyNumberFormat="1" applyFont="1" applyBorder="1"/>
    <xf numFmtId="37" fontId="18" fillId="0" borderId="631" xfId="0" applyNumberFormat="1" applyFont="1" applyBorder="1"/>
    <xf numFmtId="37" fontId="18" fillId="45" borderId="639" xfId="0" applyNumberFormat="1" applyFont="1" applyFill="1" applyBorder="1"/>
    <xf numFmtId="37" fontId="35" fillId="0" borderId="74" xfId="0" applyNumberFormat="1" applyFont="1" applyBorder="1"/>
    <xf numFmtId="37" fontId="35" fillId="0" borderId="637" xfId="0" applyNumberFormat="1" applyFont="1" applyBorder="1"/>
    <xf numFmtId="37" fontId="18" fillId="45" borderId="630" xfId="0" applyNumberFormat="1" applyFont="1" applyFill="1" applyBorder="1"/>
    <xf numFmtId="8" fontId="251" fillId="0" borderId="31" xfId="0" applyNumberFormat="1" applyFont="1" applyBorder="1"/>
    <xf numFmtId="9" fontId="18" fillId="0" borderId="31" xfId="0" applyNumberFormat="1" applyFont="1" applyBorder="1"/>
    <xf numFmtId="0" fontId="18" fillId="0" borderId="74" xfId="0" applyFont="1" applyBorder="1" applyAlignment="1">
      <alignment horizontal="center"/>
    </xf>
    <xf numFmtId="8" fontId="18" fillId="0" borderId="74" xfId="0" applyNumberFormat="1" applyFont="1" applyBorder="1" applyAlignment="1">
      <alignment horizontal="right"/>
    </xf>
    <xf numFmtId="0" fontId="18" fillId="0" borderId="74" xfId="0" applyFont="1" applyBorder="1" applyAlignment="1">
      <alignment horizontal="right"/>
    </xf>
    <xf numFmtId="37" fontId="18" fillId="0" borderId="74" xfId="0" applyNumberFormat="1" applyFont="1" applyBorder="1" applyAlignment="1">
      <alignment horizontal="right"/>
    </xf>
    <xf numFmtId="41" fontId="18" fillId="0" borderId="639" xfId="0" applyNumberFormat="1" applyFont="1" applyBorder="1" applyAlignment="1">
      <alignment horizontal="right"/>
    </xf>
    <xf numFmtId="1" fontId="18" fillId="0" borderId="74" xfId="0" applyNumberFormat="1" applyFont="1" applyBorder="1" applyAlignment="1">
      <alignment horizontal="right"/>
    </xf>
    <xf numFmtId="37" fontId="18" fillId="0" borderId="639" xfId="0" applyNumberFormat="1" applyFont="1" applyBorder="1" applyAlignment="1">
      <alignment horizontal="right"/>
    </xf>
    <xf numFmtId="3" fontId="18" fillId="0" borderId="74" xfId="0" applyNumberFormat="1" applyFont="1" applyBorder="1" applyAlignment="1">
      <alignment horizontal="right"/>
    </xf>
    <xf numFmtId="37" fontId="18" fillId="0" borderId="637" xfId="0" applyNumberFormat="1" applyFont="1" applyBorder="1" applyAlignment="1">
      <alignment horizontal="right"/>
    </xf>
    <xf numFmtId="37" fontId="18" fillId="0" borderId="31" xfId="0" applyNumberFormat="1" applyFont="1" applyBorder="1" applyAlignment="1">
      <alignment horizontal="right"/>
    </xf>
    <xf numFmtId="1" fontId="18" fillId="0" borderId="31" xfId="0" applyNumberFormat="1" applyFont="1" applyBorder="1" applyAlignment="1">
      <alignment horizontal="right"/>
    </xf>
    <xf numFmtId="37" fontId="18" fillId="0" borderId="630" xfId="0" applyNumberFormat="1" applyFont="1" applyBorder="1" applyAlignment="1">
      <alignment horizontal="right"/>
    </xf>
    <xf numFmtId="37" fontId="18" fillId="0" borderId="631" xfId="0" applyNumberFormat="1" applyFont="1" applyBorder="1" applyAlignment="1">
      <alignment horizontal="right"/>
    </xf>
    <xf numFmtId="0" fontId="18" fillId="45" borderId="639" xfId="0" applyFont="1" applyFill="1" applyBorder="1" applyAlignment="1">
      <alignment horizontal="center"/>
    </xf>
    <xf numFmtId="37" fontId="35" fillId="0" borderId="74" xfId="0" applyNumberFormat="1" applyFont="1" applyBorder="1" applyAlignment="1">
      <alignment horizontal="right"/>
    </xf>
    <xf numFmtId="9" fontId="35" fillId="0" borderId="74" xfId="0" applyNumberFormat="1" applyFont="1" applyBorder="1" applyAlignment="1">
      <alignment horizontal="right"/>
    </xf>
    <xf numFmtId="333" fontId="18" fillId="0" borderId="74" xfId="0" applyNumberFormat="1" applyFont="1" applyBorder="1" applyAlignment="1">
      <alignment horizontal="right"/>
    </xf>
    <xf numFmtId="203" fontId="35" fillId="0" borderId="637" xfId="0" applyNumberFormat="1" applyFont="1" applyBorder="1" applyAlignment="1">
      <alignment horizontal="right"/>
    </xf>
    <xf numFmtId="3" fontId="18" fillId="0" borderId="31" xfId="1525" applyNumberFormat="1" applyFont="1" applyFill="1" applyBorder="1" applyAlignment="1">
      <alignment horizontal="right"/>
    </xf>
    <xf numFmtId="3" fontId="18" fillId="0" borderId="638" xfId="0" applyNumberFormat="1" applyFont="1" applyBorder="1" applyAlignment="1">
      <alignment horizontal="right"/>
    </xf>
    <xf numFmtId="3" fontId="18" fillId="0" borderId="637" xfId="0" applyNumberFormat="1" applyFont="1" applyBorder="1" applyAlignment="1">
      <alignment horizontal="right"/>
    </xf>
    <xf numFmtId="3" fontId="18" fillId="0" borderId="645" xfId="0" applyNumberFormat="1" applyFont="1" applyBorder="1" applyAlignment="1">
      <alignment horizontal="right"/>
    </xf>
    <xf numFmtId="3" fontId="18" fillId="0" borderId="631" xfId="0" applyNumberFormat="1" applyFont="1" applyBorder="1" applyAlignment="1">
      <alignment horizontal="right"/>
    </xf>
    <xf numFmtId="0" fontId="18" fillId="45" borderId="639" xfId="0" applyFont="1" applyFill="1" applyBorder="1" applyAlignment="1">
      <alignment horizontal="right"/>
    </xf>
    <xf numFmtId="38" fontId="18" fillId="0" borderId="74" xfId="0" applyNumberFormat="1" applyFont="1" applyBorder="1" applyAlignment="1">
      <alignment horizontal="right"/>
    </xf>
    <xf numFmtId="38" fontId="252" fillId="0" borderId="74" xfId="0" applyNumberFormat="1" applyFont="1" applyBorder="1" applyAlignment="1">
      <alignment horizontal="right"/>
    </xf>
    <xf numFmtId="38" fontId="18" fillId="0" borderId="637" xfId="0" applyNumberFormat="1" applyFont="1" applyBorder="1" applyAlignment="1">
      <alignment horizontal="right"/>
    </xf>
    <xf numFmtId="38" fontId="18" fillId="0" borderId="31" xfId="0" applyNumberFormat="1" applyFont="1" applyBorder="1" applyAlignment="1">
      <alignment horizontal="right"/>
    </xf>
    <xf numFmtId="3" fontId="48" fillId="0" borderId="31" xfId="0" applyNumberFormat="1" applyFont="1" applyBorder="1" applyAlignment="1">
      <alignment horizontal="right"/>
    </xf>
    <xf numFmtId="38" fontId="18" fillId="0" borderId="631" xfId="0" applyNumberFormat="1" applyFont="1" applyBorder="1" applyAlignment="1">
      <alignment horizontal="right"/>
    </xf>
    <xf numFmtId="38" fontId="18" fillId="0" borderId="74" xfId="0" applyNumberFormat="1" applyFont="1" applyBorder="1"/>
    <xf numFmtId="38" fontId="48" fillId="0" borderId="74" xfId="0" applyNumberFormat="1" applyFont="1" applyBorder="1"/>
    <xf numFmtId="38" fontId="18" fillId="0" borderId="637" xfId="0" applyNumberFormat="1" applyFont="1" applyBorder="1"/>
    <xf numFmtId="38" fontId="18" fillId="0" borderId="638" xfId="0" applyNumberFormat="1" applyFont="1" applyBorder="1"/>
    <xf numFmtId="0" fontId="257" fillId="44" borderId="639" xfId="0" applyFont="1" applyFill="1" applyBorder="1"/>
    <xf numFmtId="40" fontId="18" fillId="0" borderId="74" xfId="0" applyNumberFormat="1" applyFont="1" applyBorder="1"/>
    <xf numFmtId="40" fontId="18" fillId="0" borderId="637" xfId="0" applyNumberFormat="1" applyFont="1" applyBorder="1"/>
    <xf numFmtId="0" fontId="257" fillId="44" borderId="630" xfId="0" applyFont="1" applyFill="1" applyBorder="1"/>
    <xf numFmtId="40" fontId="18" fillId="0" borderId="31" xfId="0" applyNumberFormat="1" applyFont="1" applyBorder="1"/>
    <xf numFmtId="40" fontId="18" fillId="0" borderId="631" xfId="0" applyNumberFormat="1" applyFont="1" applyBorder="1"/>
    <xf numFmtId="328" fontId="18" fillId="0" borderId="74" xfId="0" applyNumberFormat="1" applyFont="1" applyBorder="1"/>
    <xf numFmtId="328" fontId="18" fillId="0" borderId="31" xfId="0" applyNumberFormat="1" applyFont="1" applyBorder="1"/>
    <xf numFmtId="6" fontId="18" fillId="0" borderId="74" xfId="0" applyNumberFormat="1" applyFont="1" applyBorder="1"/>
    <xf numFmtId="6" fontId="18" fillId="0" borderId="31" xfId="0" applyNumberFormat="1" applyFont="1" applyBorder="1"/>
    <xf numFmtId="264" fontId="18" fillId="0" borderId="31" xfId="0" applyNumberFormat="1" applyFont="1" applyBorder="1"/>
    <xf numFmtId="9" fontId="18" fillId="0" borderId="631" xfId="0" applyNumberFormat="1" applyFont="1" applyBorder="1" applyAlignment="1">
      <alignment horizontal="right"/>
    </xf>
    <xf numFmtId="203" fontId="18" fillId="0" borderId="631" xfId="0" applyNumberFormat="1" applyFont="1" applyBorder="1" applyAlignment="1">
      <alignment horizontal="right"/>
    </xf>
    <xf numFmtId="38" fontId="18" fillId="45" borderId="630" xfId="0" applyNumberFormat="1" applyFont="1" applyFill="1" applyBorder="1"/>
    <xf numFmtId="38" fontId="18" fillId="0" borderId="31" xfId="0" applyNumberFormat="1" applyFont="1" applyBorder="1"/>
    <xf numFmtId="38" fontId="18" fillId="0" borderId="631" xfId="0" applyNumberFormat="1" applyFont="1" applyBorder="1"/>
    <xf numFmtId="37" fontId="35" fillId="0" borderId="631" xfId="0" applyNumberFormat="1" applyFont="1" applyBorder="1"/>
    <xf numFmtId="333" fontId="18" fillId="0" borderId="31" xfId="0" applyNumberFormat="1" applyFont="1" applyBorder="1" applyAlignment="1">
      <alignment horizontal="right"/>
    </xf>
    <xf numFmtId="333" fontId="18" fillId="0" borderId="21" xfId="0" applyNumberFormat="1" applyFont="1" applyBorder="1" applyAlignment="1">
      <alignment horizontal="right"/>
    </xf>
    <xf numFmtId="0" fontId="251" fillId="0" borderId="0" xfId="0" applyFont="1" applyAlignment="1">
      <alignment horizontal="center"/>
    </xf>
    <xf numFmtId="172" fontId="18" fillId="0" borderId="0" xfId="0" applyNumberFormat="1" applyFont="1"/>
    <xf numFmtId="189" fontId="354" fillId="0" borderId="21" xfId="2895" applyNumberFormat="1" applyFont="1" applyFill="1" applyBorder="1" applyAlignment="1">
      <alignment horizontal="center" shrinkToFit="1"/>
    </xf>
    <xf numFmtId="333" fontId="18" fillId="0" borderId="37" xfId="0" applyNumberFormat="1" applyFont="1" applyBorder="1" applyAlignment="1">
      <alignment vertical="center"/>
    </xf>
    <xf numFmtId="4" fontId="230" fillId="0" borderId="102" xfId="1525" applyFont="1" applyFill="1" applyBorder="1" applyAlignment="1">
      <alignment horizontal="center"/>
    </xf>
    <xf numFmtId="9" fontId="251" fillId="95" borderId="0" xfId="1716" applyFont="1" applyFill="1" applyBorder="1" applyAlignment="1">
      <alignment horizontal="right"/>
    </xf>
    <xf numFmtId="9" fontId="251" fillId="95" borderId="21" xfId="1716" applyFont="1" applyFill="1" applyBorder="1" applyAlignment="1">
      <alignment horizontal="right"/>
    </xf>
    <xf numFmtId="333" fontId="251" fillId="0" borderId="21" xfId="0" applyNumberFormat="1" applyFont="1" applyBorder="1" applyAlignment="1">
      <alignment horizontal="right"/>
    </xf>
    <xf numFmtId="333" fontId="35" fillId="0" borderId="37" xfId="0" applyNumberFormat="1" applyFont="1" applyBorder="1" applyAlignment="1">
      <alignment horizontal="right"/>
    </xf>
    <xf numFmtId="333" fontId="18" fillId="49" borderId="0" xfId="0" applyNumberFormat="1" applyFont="1" applyFill="1" applyAlignment="1">
      <alignment horizontal="right"/>
    </xf>
    <xf numFmtId="169" fontId="251" fillId="0" borderId="21" xfId="1716" applyNumberFormat="1" applyFont="1" applyFill="1" applyBorder="1" applyAlignment="1"/>
    <xf numFmtId="169" fontId="48" fillId="0" borderId="0" xfId="1716" applyNumberFormat="1" applyFont="1" applyFill="1" applyBorder="1" applyAlignment="1"/>
    <xf numFmtId="169" fontId="18" fillId="0" borderId="21" xfId="1716" applyNumberFormat="1" applyFont="1" applyFill="1" applyBorder="1" applyAlignment="1"/>
    <xf numFmtId="169" fontId="48" fillId="0" borderId="21" xfId="1716" applyNumberFormat="1" applyFont="1" applyFill="1" applyBorder="1" applyAlignment="1"/>
    <xf numFmtId="166" fontId="18" fillId="0" borderId="0" xfId="2895" applyFont="1" applyBorder="1"/>
    <xf numFmtId="14" fontId="18" fillId="43" borderId="0" xfId="0" applyNumberFormat="1" applyFont="1" applyFill="1"/>
    <xf numFmtId="2" fontId="18" fillId="43" borderId="0" xfId="0" applyNumberFormat="1" applyFont="1" applyFill="1"/>
    <xf numFmtId="9" fontId="18" fillId="0" borderId="75" xfId="0" applyNumberFormat="1" applyFont="1" applyBorder="1"/>
    <xf numFmtId="37" fontId="18" fillId="0" borderId="651" xfId="0" applyNumberFormat="1" applyFont="1" applyBorder="1" applyAlignment="1">
      <alignment horizontal="right"/>
    </xf>
    <xf numFmtId="189" fontId="37" fillId="0" borderId="21" xfId="1687" applyNumberFormat="1" applyFont="1" applyBorder="1"/>
    <xf numFmtId="189" fontId="37" fillId="0" borderId="31" xfId="1525" applyNumberFormat="1" applyFont="1" applyFill="1" applyBorder="1"/>
    <xf numFmtId="189" fontId="37" fillId="0" borderId="0" xfId="1525" applyNumberFormat="1" applyFont="1" applyFill="1" applyBorder="1"/>
    <xf numFmtId="189" fontId="267" fillId="0" borderId="21" xfId="1687" applyNumberFormat="1" applyFont="1" applyBorder="1"/>
    <xf numFmtId="189" fontId="37" fillId="0" borderId="0" xfId="0" applyNumberFormat="1" applyFont="1" applyAlignment="1">
      <alignment horizontal="right"/>
    </xf>
    <xf numFmtId="189" fontId="37" fillId="0" borderId="21" xfId="1687" applyNumberFormat="1" applyFont="1" applyBorder="1" applyAlignment="1">
      <alignment horizontal="right"/>
    </xf>
    <xf numFmtId="189" fontId="35" fillId="0" borderId="21" xfId="1525" applyNumberFormat="1" applyFont="1" applyBorder="1" applyAlignment="1"/>
    <xf numFmtId="189" fontId="18" fillId="0" borderId="0" xfId="1525" applyNumberFormat="1" applyFont="1" applyFill="1" applyBorder="1" applyAlignment="1"/>
    <xf numFmtId="189" fontId="35" fillId="0" borderId="21" xfId="1525" applyNumberFormat="1" applyFont="1" applyFill="1" applyBorder="1" applyAlignment="1"/>
    <xf numFmtId="8" fontId="18" fillId="0" borderId="0" xfId="1559" applyFont="1" applyFill="1" applyBorder="1" applyAlignment="1"/>
    <xf numFmtId="189" fontId="35" fillId="0" borderId="0" xfId="1525" applyNumberFormat="1" applyFont="1" applyFill="1" applyBorder="1" applyAlignment="1"/>
    <xf numFmtId="266" fontId="35" fillId="0" borderId="0" xfId="1559" applyNumberFormat="1" applyFont="1" applyFill="1" applyBorder="1" applyAlignment="1"/>
    <xf numFmtId="266" fontId="18" fillId="0" borderId="0" xfId="1559" applyNumberFormat="1" applyFont="1" applyFill="1" applyBorder="1" applyAlignment="1"/>
    <xf numFmtId="3" fontId="251" fillId="0" borderId="624" xfId="1525" applyNumberFormat="1" applyFont="1" applyFill="1" applyBorder="1" applyAlignment="1"/>
    <xf numFmtId="3" fontId="251" fillId="0" borderId="574" xfId="1525" applyNumberFormat="1" applyFont="1" applyFill="1" applyBorder="1" applyAlignment="1"/>
    <xf numFmtId="41" fontId="35" fillId="0" borderId="27" xfId="1559" applyNumberFormat="1" applyFont="1" applyFill="1" applyBorder="1" applyAlignment="1"/>
    <xf numFmtId="41" fontId="35" fillId="0" borderId="59" xfId="1559" applyNumberFormat="1" applyFont="1" applyFill="1" applyBorder="1" applyAlignment="1">
      <alignment vertical="center"/>
    </xf>
    <xf numFmtId="187" fontId="18" fillId="49" borderId="0" xfId="0" applyNumberFormat="1" applyFont="1" applyFill="1" applyAlignment="1">
      <alignment horizontal="right"/>
    </xf>
    <xf numFmtId="0" fontId="35" fillId="49" borderId="37" xfId="0" applyFont="1" applyFill="1" applyBorder="1" applyAlignment="1">
      <alignment horizontal="right"/>
    </xf>
    <xf numFmtId="0" fontId="18" fillId="49" borderId="31" xfId="0" applyFont="1" applyFill="1" applyBorder="1" applyAlignment="1">
      <alignment horizontal="right"/>
    </xf>
    <xf numFmtId="0" fontId="18" fillId="49" borderId="37" xfId="0" applyFont="1" applyFill="1" applyBorder="1" applyAlignment="1">
      <alignment horizontal="right"/>
    </xf>
    <xf numFmtId="187" fontId="251" fillId="0" borderId="31" xfId="0" applyNumberFormat="1" applyFont="1" applyBorder="1" applyAlignment="1">
      <alignment horizontal="right"/>
    </xf>
    <xf numFmtId="187" fontId="252" fillId="0" borderId="31" xfId="0" applyNumberFormat="1" applyFont="1" applyBorder="1" applyAlignment="1">
      <alignment horizontal="right"/>
    </xf>
    <xf numFmtId="5" fontId="37" fillId="54" borderId="632" xfId="0" applyNumberFormat="1" applyFont="1" applyFill="1" applyBorder="1" applyAlignment="1">
      <alignment horizontal="right"/>
    </xf>
    <xf numFmtId="5" fontId="251" fillId="0" borderId="21" xfId="0" applyNumberFormat="1" applyFont="1" applyBorder="1" applyAlignment="1">
      <alignment horizontal="right"/>
    </xf>
    <xf numFmtId="7" fontId="18" fillId="0" borderId="140" xfId="0" applyNumberFormat="1" applyFont="1" applyBorder="1" applyAlignment="1">
      <alignment horizontal="right"/>
    </xf>
    <xf numFmtId="7" fontId="18" fillId="0" borderId="608" xfId="0" applyNumberFormat="1" applyFont="1" applyBorder="1" applyAlignment="1">
      <alignment horizontal="right"/>
    </xf>
    <xf numFmtId="7" fontId="37" fillId="45" borderId="632" xfId="0" applyNumberFormat="1" applyFont="1" applyFill="1" applyBorder="1" applyAlignment="1">
      <alignment horizontal="right"/>
    </xf>
    <xf numFmtId="8" fontId="37" fillId="0" borderId="608" xfId="1559" applyFont="1" applyFill="1" applyBorder="1" applyAlignment="1">
      <alignment horizontal="right"/>
    </xf>
    <xf numFmtId="4" fontId="18" fillId="0" borderId="632" xfId="1525" applyFont="1" applyFill="1" applyBorder="1" applyAlignment="1">
      <alignment horizontal="right"/>
    </xf>
    <xf numFmtId="274" fontId="18" fillId="0" borderId="140" xfId="0" applyNumberFormat="1" applyFont="1" applyBorder="1" applyAlignment="1">
      <alignment horizontal="right"/>
    </xf>
    <xf numFmtId="274" fontId="35" fillId="0" borderId="21" xfId="0" applyNumberFormat="1" applyFont="1" applyBorder="1" applyAlignment="1">
      <alignment horizontal="right"/>
    </xf>
    <xf numFmtId="274" fontId="18" fillId="0" borderId="0" xfId="0" applyNumberFormat="1" applyFont="1" applyAlignment="1">
      <alignment horizontal="right"/>
    </xf>
    <xf numFmtId="169" fontId="251" fillId="0" borderId="27" xfId="0" applyNumberFormat="1" applyFont="1" applyBorder="1" applyAlignment="1">
      <alignment horizontal="right"/>
    </xf>
    <xf numFmtId="170" fontId="18" fillId="0" borderId="140" xfId="0" applyNumberFormat="1" applyFont="1" applyBorder="1" applyAlignment="1">
      <alignment horizontal="right"/>
    </xf>
    <xf numFmtId="169" fontId="251" fillId="0" borderId="0" xfId="1716" applyNumberFormat="1" applyFont="1" applyFill="1" applyBorder="1" applyAlignment="1">
      <alignment horizontal="right"/>
    </xf>
    <xf numFmtId="169" fontId="251" fillId="0" borderId="21" xfId="1716" applyNumberFormat="1" applyFont="1" applyFill="1" applyBorder="1" applyAlignment="1">
      <alignment horizontal="right"/>
    </xf>
    <xf numFmtId="169" fontId="48" fillId="0" borderId="21" xfId="1716" applyNumberFormat="1" applyFont="1" applyFill="1" applyBorder="1" applyAlignment="1">
      <alignment horizontal="right"/>
    </xf>
    <xf numFmtId="169" fontId="18" fillId="0" borderId="21" xfId="1716" applyNumberFormat="1" applyFont="1" applyFill="1" applyBorder="1" applyAlignment="1">
      <alignment horizontal="right"/>
    </xf>
    <xf numFmtId="170" fontId="18" fillId="0" borderId="608" xfId="0" applyNumberFormat="1" applyFont="1" applyBorder="1" applyAlignment="1">
      <alignment horizontal="right"/>
    </xf>
    <xf numFmtId="0" fontId="37" fillId="45" borderId="633" xfId="0" applyFont="1" applyFill="1" applyBorder="1" applyAlignment="1">
      <alignment horizontal="right"/>
    </xf>
    <xf numFmtId="3" fontId="37" fillId="0" borderId="608" xfId="1559" applyNumberFormat="1" applyFont="1" applyBorder="1" applyAlignment="1">
      <alignment horizontal="right"/>
    </xf>
    <xf numFmtId="5" fontId="18" fillId="0" borderId="608" xfId="0" applyNumberFormat="1" applyFont="1" applyBorder="1" applyAlignment="1">
      <alignment horizontal="right"/>
    </xf>
    <xf numFmtId="0" fontId="37" fillId="45" borderId="632" xfId="1525" quotePrefix="1" applyNumberFormat="1" applyFont="1" applyFill="1" applyBorder="1" applyAlignment="1">
      <alignment horizontal="right"/>
    </xf>
    <xf numFmtId="0" fontId="37" fillId="45" borderId="633" xfId="1525" quotePrefix="1" applyNumberFormat="1" applyFont="1" applyFill="1" applyBorder="1" applyAlignment="1">
      <alignment horizontal="right"/>
    </xf>
    <xf numFmtId="189" fontId="35" fillId="0" borderId="21" xfId="0" applyNumberFormat="1" applyFont="1" applyBorder="1" applyAlignment="1">
      <alignment horizontal="right"/>
    </xf>
    <xf numFmtId="0" fontId="35" fillId="0" borderId="21" xfId="1687" applyFont="1" applyBorder="1" applyAlignment="1">
      <alignment horizontal="right"/>
    </xf>
    <xf numFmtId="37" fontId="35" fillId="0" borderId="21" xfId="1687" applyNumberFormat="1" applyFont="1" applyBorder="1" applyAlignment="1">
      <alignment horizontal="right"/>
    </xf>
    <xf numFmtId="41" fontId="35" fillId="0" borderId="59" xfId="1559" applyNumberFormat="1" applyFont="1" applyFill="1" applyBorder="1" applyAlignment="1">
      <alignment horizontal="right" vertical="center"/>
    </xf>
    <xf numFmtId="41" fontId="35" fillId="0" borderId="27" xfId="1559" applyNumberFormat="1" applyFont="1" applyFill="1" applyBorder="1" applyAlignment="1">
      <alignment horizontal="right"/>
    </xf>
    <xf numFmtId="41" fontId="18" fillId="0" borderId="608" xfId="1559" applyNumberFormat="1" applyFont="1" applyFill="1" applyBorder="1" applyAlignment="1">
      <alignment horizontal="right" vertical="center"/>
    </xf>
    <xf numFmtId="328" fontId="18" fillId="0" borderId="0" xfId="0" applyNumberFormat="1" applyFont="1" applyAlignment="1">
      <alignment horizontal="right"/>
    </xf>
    <xf numFmtId="328" fontId="18" fillId="0" borderId="37" xfId="0" applyNumberFormat="1" applyFont="1" applyBorder="1" applyAlignment="1">
      <alignment horizontal="right"/>
    </xf>
    <xf numFmtId="328" fontId="35" fillId="0" borderId="21" xfId="0" applyNumberFormat="1" applyFont="1" applyBorder="1" applyAlignment="1">
      <alignment horizontal="right"/>
    </xf>
    <xf numFmtId="328" fontId="18" fillId="0" borderId="37" xfId="15987" applyNumberFormat="1" applyBorder="1" applyAlignment="1">
      <alignment horizontal="right"/>
    </xf>
    <xf numFmtId="37" fontId="18" fillId="49" borderId="21" xfId="0" applyNumberFormat="1" applyFont="1" applyFill="1" applyBorder="1" applyAlignment="1">
      <alignment horizontal="right"/>
    </xf>
    <xf numFmtId="169" fontId="18" fillId="0" borderId="362" xfId="0" applyNumberFormat="1" applyFont="1" applyBorder="1" applyAlignment="1">
      <alignment horizontal="right"/>
    </xf>
    <xf numFmtId="0" fontId="257" fillId="101" borderId="0" xfId="1686" quotePrefix="1" applyFont="1" applyFill="1"/>
    <xf numFmtId="0" fontId="18" fillId="0" borderId="31" xfId="0" applyFont="1" applyBorder="1" applyAlignment="1">
      <alignment horizontal="left" indent="2"/>
    </xf>
    <xf numFmtId="37" fontId="37" fillId="0" borderId="31" xfId="0" applyNumberFormat="1" applyFont="1" applyBorder="1" applyAlignment="1">
      <alignment horizontal="center"/>
    </xf>
    <xf numFmtId="37" fontId="37" fillId="0" borderId="21" xfId="0" applyNumberFormat="1" applyFont="1" applyBorder="1" applyAlignment="1">
      <alignment horizontal="center"/>
    </xf>
    <xf numFmtId="333" fontId="186" fillId="49" borderId="21" xfId="0" applyNumberFormat="1" applyFont="1" applyFill="1" applyBorder="1" applyAlignment="1">
      <alignment horizontal="right"/>
    </xf>
    <xf numFmtId="169" fontId="261" fillId="0" borderId="21" xfId="0" applyNumberFormat="1" applyFont="1" applyBorder="1" applyAlignment="1">
      <alignment horizontal="left" indent="2"/>
    </xf>
    <xf numFmtId="0" fontId="37" fillId="0" borderId="59" xfId="0" applyFont="1" applyBorder="1" applyAlignment="1">
      <alignment horizontal="center"/>
    </xf>
    <xf numFmtId="0" fontId="229" fillId="44" borderId="630" xfId="0" applyFont="1" applyFill="1" applyBorder="1" applyAlignment="1">
      <alignment horizontal="center"/>
    </xf>
    <xf numFmtId="169" fontId="18" fillId="0" borderId="631" xfId="0" applyNumberFormat="1" applyFont="1" applyBorder="1" applyAlignment="1">
      <alignment horizontal="right"/>
    </xf>
    <xf numFmtId="37" fontId="63" fillId="0" borderId="21" xfId="0" applyNumberFormat="1" applyFont="1" applyBorder="1" applyAlignment="1">
      <alignment horizontal="left"/>
    </xf>
    <xf numFmtId="37" fontId="37" fillId="0" borderId="46" xfId="0" applyNumberFormat="1" applyFont="1" applyBorder="1"/>
    <xf numFmtId="37" fontId="37" fillId="0" borderId="8" xfId="0" applyNumberFormat="1" applyFont="1" applyBorder="1"/>
    <xf numFmtId="37" fontId="37" fillId="0" borderId="57" xfId="0" applyNumberFormat="1" applyFont="1" applyBorder="1" applyAlignment="1">
      <alignment horizontal="right"/>
    </xf>
    <xf numFmtId="37" fontId="267" fillId="0" borderId="635" xfId="0" applyNumberFormat="1" applyFont="1" applyBorder="1" applyAlignment="1">
      <alignment horizontal="right"/>
    </xf>
    <xf numFmtId="37" fontId="267" fillId="0" borderId="456" xfId="0" applyNumberFormat="1" applyFont="1" applyBorder="1" applyAlignment="1">
      <alignment horizontal="right"/>
    </xf>
    <xf numFmtId="37" fontId="267" fillId="0" borderId="646" xfId="0" applyNumberFormat="1" applyFont="1" applyBorder="1" applyAlignment="1">
      <alignment horizontal="right"/>
    </xf>
    <xf numFmtId="37" fontId="343" fillId="0" borderId="0" xfId="0" applyNumberFormat="1" applyFont="1"/>
    <xf numFmtId="281" fontId="18" fillId="0" borderId="37" xfId="0" applyNumberFormat="1" applyFont="1" applyBorder="1" applyAlignment="1">
      <alignment horizontal="right"/>
    </xf>
    <xf numFmtId="281" fontId="18" fillId="0" borderId="21" xfId="0" applyNumberFormat="1" applyFont="1" applyBorder="1"/>
    <xf numFmtId="281" fontId="18" fillId="0" borderId="21" xfId="0" applyNumberFormat="1" applyFont="1" applyBorder="1" applyAlignment="1">
      <alignment horizontal="right"/>
    </xf>
    <xf numFmtId="3" fontId="18" fillId="71" borderId="632" xfId="0" applyNumberFormat="1" applyFont="1" applyFill="1" applyBorder="1" applyAlignment="1">
      <alignment horizontal="right"/>
    </xf>
    <xf numFmtId="3" fontId="18" fillId="71" borderId="633" xfId="0" applyNumberFormat="1" applyFont="1" applyFill="1" applyBorder="1" applyAlignment="1">
      <alignment horizontal="right"/>
    </xf>
    <xf numFmtId="0" fontId="18" fillId="0" borderId="608" xfId="0" applyFont="1" applyBorder="1" applyAlignment="1">
      <alignment horizontal="right"/>
    </xf>
    <xf numFmtId="176" fontId="18" fillId="0" borderId="0" xfId="1525" applyNumberFormat="1" applyFont="1" applyAlignment="1">
      <alignment horizontal="left"/>
    </xf>
    <xf numFmtId="176" fontId="186" fillId="0" borderId="0" xfId="1525" applyNumberFormat="1" applyFont="1" applyFill="1" applyBorder="1" applyAlignment="1">
      <alignment horizontal="left"/>
    </xf>
    <xf numFmtId="3" fontId="186" fillId="0" borderId="0" xfId="1525" applyNumberFormat="1" applyFont="1" applyFill="1" applyBorder="1" applyAlignment="1">
      <alignment horizontal="right"/>
    </xf>
    <xf numFmtId="333" fontId="18" fillId="71" borderId="632" xfId="0" applyNumberFormat="1" applyFont="1" applyFill="1" applyBorder="1" applyAlignment="1">
      <alignment horizontal="right"/>
    </xf>
    <xf numFmtId="333" fontId="18" fillId="71" borderId="633" xfId="0" applyNumberFormat="1" applyFont="1" applyFill="1" applyBorder="1" applyAlignment="1">
      <alignment horizontal="right"/>
    </xf>
    <xf numFmtId="169" fontId="251" fillId="71" borderId="0" xfId="0" applyNumberFormat="1" applyFont="1" applyFill="1" applyAlignment="1">
      <alignment horizontal="right"/>
    </xf>
    <xf numFmtId="169" fontId="252" fillId="0" borderId="31" xfId="0" applyNumberFormat="1" applyFont="1" applyBorder="1" applyAlignment="1">
      <alignment horizontal="right"/>
    </xf>
    <xf numFmtId="1" fontId="63" fillId="0" borderId="21" xfId="0" applyNumberFormat="1" applyFont="1" applyBorder="1" applyAlignment="1">
      <alignment horizontal="left" indent="1"/>
    </xf>
    <xf numFmtId="0" fontId="229" fillId="44" borderId="632" xfId="0" applyFont="1" applyFill="1" applyBorder="1" applyAlignment="1">
      <alignment horizontal="center"/>
    </xf>
    <xf numFmtId="169" fontId="48" fillId="0" borderId="31" xfId="1716" applyNumberFormat="1" applyFont="1" applyFill="1" applyBorder="1" applyAlignment="1">
      <alignment horizontal="right"/>
    </xf>
    <xf numFmtId="177" fontId="229" fillId="44" borderId="37" xfId="0" applyNumberFormat="1" applyFont="1" applyFill="1" applyBorder="1" applyAlignment="1">
      <alignment horizontal="right"/>
    </xf>
    <xf numFmtId="0" fontId="18" fillId="0" borderId="31" xfId="0" applyFont="1" applyBorder="1" applyAlignment="1">
      <alignment horizontal="left" indent="1"/>
    </xf>
    <xf numFmtId="37" fontId="251" fillId="0" borderId="78" xfId="0" applyNumberFormat="1" applyFont="1" applyBorder="1"/>
    <xf numFmtId="37" fontId="251" fillId="0" borderId="652" xfId="0" applyNumberFormat="1" applyFont="1" applyBorder="1"/>
    <xf numFmtId="179" fontId="190" fillId="44" borderId="654" xfId="1525" applyNumberFormat="1" applyFont="1" applyFill="1" applyBorder="1" applyAlignment="1">
      <alignment horizontal="center"/>
    </xf>
    <xf numFmtId="0" fontId="18" fillId="45" borderId="654" xfId="0" applyFont="1" applyFill="1" applyBorder="1"/>
    <xf numFmtId="0" fontId="18" fillId="45" borderId="654" xfId="0" applyFont="1" applyFill="1" applyBorder="1" applyAlignment="1">
      <alignment horizontal="right"/>
    </xf>
    <xf numFmtId="9" fontId="18" fillId="0" borderId="608" xfId="0" applyNumberFormat="1" applyFont="1" applyBorder="1" applyAlignment="1">
      <alignment horizontal="right"/>
    </xf>
    <xf numFmtId="165" fontId="354" fillId="0" borderId="104" xfId="0" applyNumberFormat="1" applyFont="1" applyBorder="1" applyAlignment="1">
      <alignment horizontal="right"/>
    </xf>
    <xf numFmtId="165" fontId="354" fillId="0" borderId="630" xfId="0" applyNumberFormat="1" applyFont="1" applyBorder="1" applyAlignment="1">
      <alignment horizontal="right"/>
    </xf>
    <xf numFmtId="165" fontId="354" fillId="0" borderId="654" xfId="0" applyNumberFormat="1" applyFont="1" applyBorder="1" applyAlignment="1">
      <alignment horizontal="right"/>
    </xf>
    <xf numFmtId="37" fontId="18" fillId="0" borderId="538" xfId="0" applyNumberFormat="1" applyFont="1" applyBorder="1" applyAlignment="1">
      <alignment horizontal="right"/>
    </xf>
    <xf numFmtId="203" fontId="18" fillId="0" borderId="608" xfId="0" applyNumberFormat="1" applyFont="1" applyBorder="1" applyAlignment="1">
      <alignment horizontal="right"/>
    </xf>
    <xf numFmtId="3" fontId="18" fillId="0" borderId="538" xfId="0" applyNumberFormat="1" applyFont="1" applyBorder="1" applyAlignment="1">
      <alignment horizontal="right"/>
    </xf>
    <xf numFmtId="38" fontId="18" fillId="0" borderId="538" xfId="0" applyNumberFormat="1" applyFont="1" applyBorder="1" applyAlignment="1">
      <alignment horizontal="right"/>
    </xf>
    <xf numFmtId="38" fontId="18" fillId="0" borderId="538" xfId="0" applyNumberFormat="1" applyFont="1" applyBorder="1"/>
    <xf numFmtId="38" fontId="18" fillId="0" borderId="608" xfId="0" applyNumberFormat="1" applyFont="1" applyBorder="1"/>
    <xf numFmtId="37" fontId="18" fillId="0" borderId="538" xfId="0" applyNumberFormat="1" applyFont="1" applyBorder="1"/>
    <xf numFmtId="37" fontId="35" fillId="0" borderId="608" xfId="0" applyNumberFormat="1" applyFont="1" applyBorder="1"/>
    <xf numFmtId="37" fontId="35" fillId="0" borderId="538" xfId="0" applyNumberFormat="1" applyFont="1" applyBorder="1"/>
    <xf numFmtId="179" fontId="190" fillId="44" borderId="574" xfId="1525" applyNumberFormat="1" applyFont="1" applyFill="1" applyBorder="1" applyAlignment="1">
      <alignment horizontal="center"/>
    </xf>
    <xf numFmtId="0" fontId="37" fillId="45" borderId="21" xfId="0" applyFont="1" applyFill="1" applyBorder="1"/>
    <xf numFmtId="37" fontId="18" fillId="49" borderId="21" xfId="0" applyNumberFormat="1" applyFont="1" applyFill="1" applyBorder="1"/>
    <xf numFmtId="6" fontId="37" fillId="45" borderId="65" xfId="0" applyNumberFormat="1" applyFont="1" applyFill="1" applyBorder="1"/>
    <xf numFmtId="37" fontId="37" fillId="45" borderId="619" xfId="0" applyNumberFormat="1" applyFont="1" applyFill="1" applyBorder="1"/>
    <xf numFmtId="37" fontId="37" fillId="45" borderId="21" xfId="0" applyNumberFormat="1" applyFont="1" applyFill="1" applyBorder="1"/>
    <xf numFmtId="6" fontId="37" fillId="0" borderId="21" xfId="0" applyNumberFormat="1" applyFont="1" applyBorder="1"/>
    <xf numFmtId="0" fontId="18" fillId="45" borderId="574" xfId="0" applyFont="1" applyFill="1" applyBorder="1"/>
    <xf numFmtId="264" fontId="18" fillId="0" borderId="21" xfId="0" applyNumberFormat="1" applyFont="1" applyBorder="1"/>
    <xf numFmtId="264" fontId="18" fillId="0" borderId="362" xfId="0" applyNumberFormat="1" applyFont="1" applyBorder="1" applyAlignment="1">
      <alignment horizontal="right"/>
    </xf>
    <xf numFmtId="264" fontId="35" fillId="0" borderId="21" xfId="0" applyNumberFormat="1" applyFont="1" applyBorder="1"/>
    <xf numFmtId="264" fontId="35" fillId="0" borderId="362" xfId="0" applyNumberFormat="1" applyFont="1" applyBorder="1" applyAlignment="1">
      <alignment horizontal="right"/>
    </xf>
    <xf numFmtId="0" fontId="35" fillId="45" borderId="574" xfId="0" applyFont="1" applyFill="1" applyBorder="1" applyAlignment="1">
      <alignment horizontal="right"/>
    </xf>
    <xf numFmtId="9" fontId="35" fillId="0" borderId="362" xfId="0" applyNumberFormat="1" applyFont="1" applyBorder="1" applyAlignment="1">
      <alignment horizontal="right"/>
    </xf>
    <xf numFmtId="0" fontId="18" fillId="45" borderId="574" xfId="0" applyFont="1" applyFill="1" applyBorder="1" applyAlignment="1">
      <alignment horizontal="right"/>
    </xf>
    <xf numFmtId="9" fontId="18" fillId="0" borderId="362" xfId="0" applyNumberFormat="1" applyFont="1" applyBorder="1" applyAlignment="1">
      <alignment horizontal="right"/>
    </xf>
    <xf numFmtId="9" fontId="18" fillId="0" borderId="362" xfId="0" applyNumberFormat="1" applyFont="1" applyBorder="1"/>
    <xf numFmtId="0" fontId="18" fillId="0" borderId="21" xfId="0" applyFont="1" applyBorder="1"/>
    <xf numFmtId="3" fontId="18" fillId="0" borderId="362" xfId="0" applyNumberFormat="1" applyFont="1" applyBorder="1"/>
    <xf numFmtId="37" fontId="18" fillId="0" borderId="362" xfId="0" applyNumberFormat="1" applyFont="1" applyBorder="1"/>
    <xf numFmtId="37" fontId="18" fillId="45" borderId="654" xfId="0" applyNumberFormat="1" applyFont="1" applyFill="1" applyBorder="1"/>
    <xf numFmtId="37" fontId="18" fillId="45" borderId="574" xfId="0" applyNumberFormat="1" applyFont="1" applyFill="1" applyBorder="1"/>
    <xf numFmtId="37" fontId="35" fillId="0" borderId="362" xfId="0" applyNumberFormat="1" applyFont="1" applyBorder="1"/>
    <xf numFmtId="41" fontId="18" fillId="0" borderId="574" xfId="0" applyNumberFormat="1" applyFont="1" applyBorder="1"/>
    <xf numFmtId="1" fontId="18" fillId="0" borderId="21" xfId="0" applyNumberFormat="1" applyFont="1" applyBorder="1"/>
    <xf numFmtId="37" fontId="18" fillId="0" borderId="574" xfId="0" applyNumberFormat="1" applyFont="1" applyBorder="1"/>
    <xf numFmtId="0" fontId="18" fillId="0" borderId="21" xfId="0" applyFont="1" applyBorder="1" applyAlignment="1">
      <alignment horizontal="center"/>
    </xf>
    <xf numFmtId="0" fontId="18" fillId="0" borderId="21" xfId="0" applyFont="1" applyBorder="1" applyAlignment="1">
      <alignment horizontal="right"/>
    </xf>
    <xf numFmtId="41" fontId="18" fillId="0" borderId="574" xfId="0" applyNumberFormat="1" applyFont="1" applyBorder="1" applyAlignment="1">
      <alignment horizontal="right"/>
    </xf>
    <xf numFmtId="1" fontId="18" fillId="0" borderId="21" xfId="0" applyNumberFormat="1" applyFont="1" applyBorder="1" applyAlignment="1">
      <alignment horizontal="right"/>
    </xf>
    <xf numFmtId="37" fontId="18" fillId="0" borderId="574" xfId="0" applyNumberFormat="1" applyFont="1" applyBorder="1" applyAlignment="1">
      <alignment horizontal="right"/>
    </xf>
    <xf numFmtId="37" fontId="18" fillId="0" borderId="362" xfId="0" applyNumberFormat="1" applyFont="1" applyBorder="1" applyAlignment="1">
      <alignment horizontal="right"/>
    </xf>
    <xf numFmtId="265" fontId="35" fillId="0" borderId="21" xfId="0" applyNumberFormat="1" applyFont="1" applyBorder="1" applyAlignment="1">
      <alignment horizontal="right"/>
    </xf>
    <xf numFmtId="203" fontId="35" fillId="0" borderId="362" xfId="0" applyNumberFormat="1" applyFont="1" applyBorder="1" applyAlignment="1">
      <alignment horizontal="right"/>
    </xf>
    <xf numFmtId="3" fontId="18" fillId="0" borderId="619" xfId="0" applyNumberFormat="1" applyFont="1" applyBorder="1" applyAlignment="1">
      <alignment horizontal="right"/>
    </xf>
    <xf numFmtId="3" fontId="18" fillId="0" borderId="362" xfId="0" applyNumberFormat="1" applyFont="1" applyBorder="1" applyAlignment="1">
      <alignment horizontal="right"/>
    </xf>
    <xf numFmtId="0" fontId="18" fillId="45" borderId="574" xfId="0" applyFont="1" applyFill="1" applyBorder="1" applyAlignment="1">
      <alignment horizontal="center"/>
    </xf>
    <xf numFmtId="38" fontId="35" fillId="0" borderId="21" xfId="0" applyNumberFormat="1" applyFont="1" applyBorder="1" applyAlignment="1">
      <alignment horizontal="right"/>
    </xf>
    <xf numFmtId="38" fontId="35" fillId="0" borderId="362" xfId="0" applyNumberFormat="1" applyFont="1" applyBorder="1" applyAlignment="1">
      <alignment horizontal="right"/>
    </xf>
    <xf numFmtId="38" fontId="252" fillId="0" borderId="21" xfId="0" applyNumberFormat="1" applyFont="1" applyBorder="1" applyAlignment="1">
      <alignment horizontal="right"/>
    </xf>
    <xf numFmtId="38" fontId="18" fillId="0" borderId="362" xfId="0" applyNumberFormat="1" applyFont="1" applyBorder="1" applyAlignment="1">
      <alignment horizontal="right"/>
    </xf>
    <xf numFmtId="38" fontId="18" fillId="0" borderId="21" xfId="0" applyNumberFormat="1" applyFont="1" applyBorder="1"/>
    <xf numFmtId="38" fontId="35" fillId="0" borderId="362" xfId="0" applyNumberFormat="1" applyFont="1" applyBorder="1"/>
    <xf numFmtId="38" fontId="35" fillId="0" borderId="619" xfId="0" applyNumberFormat="1" applyFont="1" applyBorder="1"/>
    <xf numFmtId="38" fontId="48" fillId="0" borderId="21" xfId="0" applyNumberFormat="1" applyFont="1" applyBorder="1"/>
    <xf numFmtId="38" fontId="18" fillId="0" borderId="362" xfId="0" applyNumberFormat="1" applyFont="1" applyBorder="1"/>
    <xf numFmtId="38" fontId="18" fillId="0" borderId="619" xfId="0" applyNumberFormat="1" applyFont="1" applyBorder="1"/>
    <xf numFmtId="0" fontId="257" fillId="44" borderId="654" xfId="0" applyFont="1" applyFill="1" applyBorder="1"/>
    <xf numFmtId="0" fontId="257" fillId="44" borderId="574" xfId="0" applyFont="1" applyFill="1" applyBorder="1"/>
    <xf numFmtId="40" fontId="18" fillId="0" borderId="21" xfId="0" applyNumberFormat="1" applyFont="1" applyBorder="1"/>
    <xf numFmtId="40" fontId="18" fillId="0" borderId="362" xfId="0" applyNumberFormat="1" applyFont="1" applyBorder="1"/>
    <xf numFmtId="328" fontId="18" fillId="0" borderId="21" xfId="0" applyNumberFormat="1" applyFont="1" applyBorder="1"/>
    <xf numFmtId="6" fontId="18" fillId="0" borderId="21" xfId="0" applyNumberFormat="1" applyFont="1" applyBorder="1"/>
    <xf numFmtId="0" fontId="18" fillId="0" borderId="538" xfId="0" applyFont="1" applyBorder="1" applyAlignment="1">
      <alignment horizontal="right"/>
    </xf>
    <xf numFmtId="0" fontId="35" fillId="0" borderId="654" xfId="0" applyFont="1" applyBorder="1"/>
    <xf numFmtId="37" fontId="35" fillId="0" borderId="654" xfId="0" applyNumberFormat="1" applyFont="1" applyBorder="1"/>
    <xf numFmtId="37" fontId="18" fillId="0" borderId="654" xfId="0" applyNumberFormat="1" applyFont="1" applyBorder="1"/>
    <xf numFmtId="0" fontId="193" fillId="0" borderId="0" xfId="0" applyFont="1" applyAlignment="1">
      <alignment vertical="center"/>
    </xf>
    <xf numFmtId="37" fontId="49" fillId="0" borderId="0" xfId="0" applyNumberFormat="1" applyFont="1" applyAlignment="1">
      <alignment horizontal="center" vertical="center"/>
    </xf>
    <xf numFmtId="37" fontId="49" fillId="0" borderId="73" xfId="0" applyNumberFormat="1" applyFont="1" applyBorder="1" applyAlignment="1">
      <alignment horizontal="center" vertical="center"/>
    </xf>
    <xf numFmtId="0" fontId="49" fillId="0" borderId="0" xfId="0" applyFont="1" applyAlignment="1">
      <alignment vertical="center"/>
    </xf>
    <xf numFmtId="339" fontId="49" fillId="0" borderId="0" xfId="0" applyNumberFormat="1" applyFont="1" applyAlignment="1">
      <alignment vertical="center"/>
    </xf>
    <xf numFmtId="0" fontId="49" fillId="0" borderId="608" xfId="0" applyFont="1" applyBorder="1" applyAlignment="1">
      <alignment vertical="center"/>
    </xf>
    <xf numFmtId="8" fontId="49" fillId="0" borderId="608" xfId="0" applyNumberFormat="1" applyFont="1" applyBorder="1" applyAlignment="1">
      <alignment vertical="center"/>
    </xf>
    <xf numFmtId="6" fontId="49" fillId="0" borderId="608" xfId="0" applyNumberFormat="1" applyFont="1" applyBorder="1" applyAlignment="1">
      <alignment horizontal="center" vertical="center"/>
    </xf>
    <xf numFmtId="333" fontId="354" fillId="0" borderId="0" xfId="0" applyNumberFormat="1" applyFont="1"/>
    <xf numFmtId="169" fontId="267" fillId="0" borderId="37" xfId="0" applyNumberFormat="1" applyFont="1" applyBorder="1" applyAlignment="1">
      <alignment horizontal="right"/>
    </xf>
    <xf numFmtId="169" fontId="267" fillId="0" borderId="21" xfId="0" applyNumberFormat="1" applyFont="1" applyBorder="1" applyAlignment="1">
      <alignment horizontal="right"/>
    </xf>
    <xf numFmtId="37" fontId="37" fillId="0" borderId="632" xfId="0" applyNumberFormat="1" applyFont="1" applyBorder="1" applyAlignment="1">
      <alignment horizontal="center"/>
    </xf>
    <xf numFmtId="37" fontId="37" fillId="0" borderId="633" xfId="0" applyNumberFormat="1" applyFont="1" applyBorder="1" applyAlignment="1">
      <alignment horizontal="center"/>
    </xf>
    <xf numFmtId="37" fontId="37" fillId="0" borderId="6" xfId="0" applyNumberFormat="1" applyFont="1" applyBorder="1" applyAlignment="1">
      <alignment horizontal="center"/>
    </xf>
    <xf numFmtId="37" fontId="37" fillId="0" borderId="632" xfId="0" applyNumberFormat="1" applyFont="1" applyBorder="1" applyAlignment="1">
      <alignment horizontal="right"/>
    </xf>
    <xf numFmtId="37" fontId="37" fillId="0" borderId="633" xfId="0" applyNumberFormat="1" applyFont="1" applyBorder="1" applyAlignment="1">
      <alignment horizontal="right"/>
    </xf>
    <xf numFmtId="169" fontId="35" fillId="0" borderId="6" xfId="0" applyNumberFormat="1" applyFont="1" applyBorder="1" applyAlignment="1">
      <alignment horizontal="right"/>
    </xf>
    <xf numFmtId="177" fontId="186" fillId="0" borderId="6" xfId="0" applyNumberFormat="1" applyFont="1" applyBorder="1" applyAlignment="1">
      <alignment horizontal="right"/>
    </xf>
    <xf numFmtId="37" fontId="37" fillId="0" borderId="6" xfId="0" applyNumberFormat="1" applyFont="1" applyBorder="1" applyAlignment="1">
      <alignment horizontal="right"/>
    </xf>
    <xf numFmtId="169" fontId="257" fillId="0" borderId="632" xfId="0" applyNumberFormat="1" applyFont="1" applyBorder="1" applyAlignment="1">
      <alignment horizontal="right"/>
    </xf>
    <xf numFmtId="169" fontId="257" fillId="0" borderId="633" xfId="0" applyNumberFormat="1" applyFont="1" applyBorder="1" applyAlignment="1">
      <alignment horizontal="right"/>
    </xf>
    <xf numFmtId="169" fontId="257" fillId="0" borderId="6" xfId="0" applyNumberFormat="1" applyFont="1" applyBorder="1" applyAlignment="1">
      <alignment horizontal="right"/>
    </xf>
    <xf numFmtId="0" fontId="189" fillId="0" borderId="362" xfId="0" applyFont="1" applyBorder="1"/>
    <xf numFmtId="169" fontId="37" fillId="0" borderId="631" xfId="0" applyNumberFormat="1" applyFont="1" applyBorder="1" applyAlignment="1">
      <alignment horizontal="right"/>
    </xf>
    <xf numFmtId="169" fontId="37" fillId="0" borderId="634" xfId="0" applyNumberFormat="1" applyFont="1" applyBorder="1" applyAlignment="1">
      <alignment horizontal="right"/>
    </xf>
    <xf numFmtId="7" fontId="37" fillId="45" borderId="560" xfId="0" applyNumberFormat="1" applyFont="1" applyFill="1" applyBorder="1" applyAlignment="1">
      <alignment horizontal="right"/>
    </xf>
    <xf numFmtId="274" fontId="35" fillId="0" borderId="570" xfId="0" applyNumberFormat="1" applyFont="1" applyBorder="1" applyAlignment="1">
      <alignment horizontal="right"/>
    </xf>
    <xf numFmtId="169" fontId="37" fillId="45" borderId="560" xfId="1716" applyNumberFormat="1" applyFont="1" applyFill="1" applyBorder="1" applyAlignment="1">
      <alignment horizontal="right"/>
    </xf>
    <xf numFmtId="0" fontId="37" fillId="45" borderId="560" xfId="0" applyFont="1" applyFill="1" applyBorder="1" applyAlignment="1">
      <alignment horizontal="right"/>
    </xf>
    <xf numFmtId="37" fontId="18" fillId="0" borderId="570" xfId="0" applyNumberFormat="1" applyFont="1" applyBorder="1" applyAlignment="1">
      <alignment horizontal="right"/>
    </xf>
    <xf numFmtId="5" fontId="35" fillId="0" borderId="608" xfId="0" applyNumberFormat="1" applyFont="1" applyBorder="1" applyAlignment="1">
      <alignment horizontal="right"/>
    </xf>
    <xf numFmtId="0" fontId="37" fillId="45" borderId="560" xfId="1525" quotePrefix="1" applyNumberFormat="1" applyFont="1" applyFill="1" applyBorder="1" applyAlignment="1">
      <alignment horizontal="right"/>
    </xf>
    <xf numFmtId="3" fontId="251" fillId="0" borderId="6" xfId="1525" applyNumberFormat="1" applyFont="1" applyFill="1" applyBorder="1" applyAlignment="1"/>
    <xf numFmtId="0" fontId="18" fillId="0" borderId="570" xfId="0" applyFont="1" applyBorder="1" applyAlignment="1">
      <alignment horizontal="center"/>
    </xf>
    <xf numFmtId="5" fontId="267" fillId="54" borderId="560" xfId="0" applyNumberFormat="1" applyFont="1" applyFill="1" applyBorder="1" applyAlignment="1">
      <alignment horizontal="right"/>
    </xf>
    <xf numFmtId="7" fontId="18" fillId="0" borderId="570" xfId="0" applyNumberFormat="1" applyFont="1" applyBorder="1" applyAlignment="1">
      <alignment horizontal="right"/>
    </xf>
    <xf numFmtId="4" fontId="18" fillId="0" borderId="560" xfId="1525" applyFont="1" applyFill="1" applyBorder="1" applyAlignment="1">
      <alignment horizontal="right"/>
    </xf>
    <xf numFmtId="274" fontId="18" fillId="0" borderId="570" xfId="0" applyNumberFormat="1" applyFont="1" applyBorder="1" applyAlignment="1">
      <alignment horizontal="right"/>
    </xf>
    <xf numFmtId="3" fontId="251" fillId="0" borderId="103" xfId="1525" applyNumberFormat="1" applyFont="1" applyFill="1" applyBorder="1" applyAlignment="1"/>
    <xf numFmtId="3" fontId="251" fillId="0" borderId="105" xfId="1525" applyNumberFormat="1" applyFont="1" applyFill="1" applyBorder="1" applyAlignment="1"/>
    <xf numFmtId="0" fontId="35" fillId="0" borderId="655" xfId="0" applyFont="1" applyBorder="1" applyAlignment="1">
      <alignment horizontal="center"/>
    </xf>
    <xf numFmtId="0" fontId="35" fillId="0" borderId="570" xfId="0" applyFont="1" applyBorder="1" applyAlignment="1">
      <alignment horizontal="center"/>
    </xf>
    <xf numFmtId="0" fontId="35" fillId="0" borderId="656" xfId="0" applyFont="1" applyBorder="1" applyAlignment="1">
      <alignment horizontal="center"/>
    </xf>
    <xf numFmtId="0" fontId="18" fillId="0" borderId="655" xfId="0" applyFont="1" applyBorder="1" applyAlignment="1">
      <alignment horizontal="center"/>
    </xf>
    <xf numFmtId="0" fontId="18" fillId="0" borderId="656" xfId="0" applyFont="1" applyBorder="1" applyAlignment="1">
      <alignment horizontal="center"/>
    </xf>
    <xf numFmtId="187" fontId="251" fillId="49" borderId="37" xfId="0" applyNumberFormat="1" applyFont="1" applyFill="1" applyBorder="1" applyAlignment="1">
      <alignment horizontal="right"/>
    </xf>
    <xf numFmtId="5" fontId="37" fillId="49" borderId="31" xfId="0" applyNumberFormat="1" applyFont="1" applyFill="1" applyBorder="1" applyAlignment="1">
      <alignment horizontal="right"/>
    </xf>
    <xf numFmtId="5" fontId="37" fillId="49" borderId="37" xfId="0" applyNumberFormat="1" applyFont="1" applyFill="1" applyBorder="1" applyAlignment="1">
      <alignment horizontal="right"/>
    </xf>
    <xf numFmtId="1" fontId="251" fillId="0" borderId="37" xfId="0" applyNumberFormat="1" applyFont="1" applyBorder="1" applyAlignment="1">
      <alignment horizontal="right"/>
    </xf>
    <xf numFmtId="187" fontId="251" fillId="0" borderId="37" xfId="0" applyNumberFormat="1" applyFont="1" applyBorder="1" applyAlignment="1">
      <alignment horizontal="right"/>
    </xf>
    <xf numFmtId="187" fontId="18" fillId="0" borderId="37" xfId="0" applyNumberFormat="1" applyFont="1" applyBorder="1" applyAlignment="1">
      <alignment horizontal="right"/>
    </xf>
    <xf numFmtId="5" fontId="267" fillId="0" borderId="37" xfId="0" applyNumberFormat="1" applyFont="1" applyBorder="1" applyAlignment="1">
      <alignment horizontal="right"/>
    </xf>
    <xf numFmtId="0" fontId="18" fillId="0" borderId="634" xfId="0" applyFont="1" applyBorder="1" applyAlignment="1">
      <alignment horizontal="right"/>
    </xf>
    <xf numFmtId="5" fontId="267" fillId="54" borderId="103" xfId="0" applyNumberFormat="1" applyFont="1" applyFill="1" applyBorder="1" applyAlignment="1">
      <alignment horizontal="right"/>
    </xf>
    <xf numFmtId="5" fontId="251" fillId="0" borderId="31" xfId="0" applyNumberFormat="1" applyFont="1" applyBorder="1" applyAlignment="1">
      <alignment horizontal="right"/>
    </xf>
    <xf numFmtId="5" fontId="251" fillId="0" borderId="37" xfId="0" applyNumberFormat="1" applyFont="1" applyBorder="1" applyAlignment="1">
      <alignment horizontal="right"/>
    </xf>
    <xf numFmtId="5" fontId="37" fillId="0" borderId="37" xfId="0" applyNumberFormat="1" applyFont="1" applyBorder="1" applyAlignment="1">
      <alignment horizontal="right"/>
    </xf>
    <xf numFmtId="7" fontId="18" fillId="0" borderId="655" xfId="0" applyNumberFormat="1" applyFont="1" applyBorder="1" applyAlignment="1">
      <alignment horizontal="right"/>
    </xf>
    <xf numFmtId="7" fontId="35" fillId="0" borderId="552" xfId="0" applyNumberFormat="1" applyFont="1" applyBorder="1" applyAlignment="1">
      <alignment horizontal="right"/>
    </xf>
    <xf numFmtId="7" fontId="18" fillId="0" borderId="656" xfId="0" applyNumberFormat="1" applyFont="1" applyBorder="1" applyAlignment="1">
      <alignment horizontal="right"/>
    </xf>
    <xf numFmtId="7" fontId="18" fillId="0" borderId="31" xfId="0" applyNumberFormat="1" applyFont="1" applyBorder="1" applyAlignment="1">
      <alignment horizontal="right"/>
    </xf>
    <xf numFmtId="7" fontId="18" fillId="0" borderId="37" xfId="0" applyNumberFormat="1" applyFont="1" applyBorder="1" applyAlignment="1">
      <alignment horizontal="right"/>
    </xf>
    <xf numFmtId="7" fontId="18" fillId="0" borderId="631" xfId="0" applyNumberFormat="1" applyFont="1" applyBorder="1" applyAlignment="1">
      <alignment horizontal="right"/>
    </xf>
    <xf numFmtId="7" fontId="35" fillId="0" borderId="362" xfId="0" applyNumberFormat="1" applyFont="1" applyBorder="1" applyAlignment="1">
      <alignment horizontal="right"/>
    </xf>
    <xf numFmtId="7" fontId="18" fillId="0" borderId="634" xfId="0" applyNumberFormat="1" applyFont="1" applyBorder="1" applyAlignment="1">
      <alignment horizontal="right"/>
    </xf>
    <xf numFmtId="7" fontId="37" fillId="45" borderId="103" xfId="0" applyNumberFormat="1" applyFont="1" applyFill="1" applyBorder="1" applyAlignment="1">
      <alignment horizontal="right"/>
    </xf>
    <xf numFmtId="7" fontId="37" fillId="45" borderId="105" xfId="0" applyNumberFormat="1" applyFont="1" applyFill="1" applyBorder="1" applyAlignment="1">
      <alignment horizontal="right"/>
    </xf>
    <xf numFmtId="8" fontId="37" fillId="0" borderId="631" xfId="1559" applyFont="1" applyFill="1" applyBorder="1" applyAlignment="1">
      <alignment horizontal="right"/>
    </xf>
    <xf numFmtId="8" fontId="37" fillId="0" borderId="362" xfId="1559" applyFont="1" applyFill="1" applyBorder="1" applyAlignment="1">
      <alignment horizontal="right"/>
    </xf>
    <xf numFmtId="8" fontId="37" fillId="0" borderId="634" xfId="1559" applyFont="1" applyFill="1" applyBorder="1" applyAlignment="1">
      <alignment horizontal="right"/>
    </xf>
    <xf numFmtId="4" fontId="35" fillId="0" borderId="103" xfId="1525" applyFont="1" applyFill="1" applyBorder="1" applyAlignment="1">
      <alignment horizontal="right"/>
    </xf>
    <xf numFmtId="4" fontId="35" fillId="0" borderId="560" xfId="1525" applyFont="1" applyFill="1" applyBorder="1" applyAlignment="1">
      <alignment horizontal="right"/>
    </xf>
    <xf numFmtId="4" fontId="18" fillId="0" borderId="105" xfId="1525" applyFont="1" applyFill="1" applyBorder="1" applyAlignment="1">
      <alignment horizontal="right"/>
    </xf>
    <xf numFmtId="274" fontId="35" fillId="0" borderId="655" xfId="0" applyNumberFormat="1" applyFont="1" applyBorder="1" applyAlignment="1">
      <alignment horizontal="right"/>
    </xf>
    <xf numFmtId="274" fontId="35" fillId="0" borderId="552" xfId="0" applyNumberFormat="1" applyFont="1" applyBorder="1" applyAlignment="1">
      <alignment horizontal="right"/>
    </xf>
    <xf numFmtId="274" fontId="18" fillId="0" borderId="656" xfId="0" applyNumberFormat="1" applyFont="1" applyBorder="1" applyAlignment="1">
      <alignment horizontal="right"/>
    </xf>
    <xf numFmtId="169" fontId="35" fillId="0" borderId="362" xfId="0" applyNumberFormat="1" applyFont="1" applyBorder="1" applyAlignment="1">
      <alignment horizontal="right"/>
    </xf>
    <xf numFmtId="170" fontId="35" fillId="0" borderId="560" xfId="0" applyNumberFormat="1" applyFont="1" applyBorder="1" applyAlignment="1">
      <alignment horizontal="right"/>
    </xf>
    <xf numFmtId="169" fontId="37" fillId="45" borderId="103" xfId="1716" applyNumberFormat="1" applyFont="1" applyFill="1" applyBorder="1" applyAlignment="1">
      <alignment horizontal="right"/>
    </xf>
    <xf numFmtId="169" fontId="35" fillId="0" borderId="31" xfId="1716" applyNumberFormat="1" applyFont="1" applyFill="1" applyBorder="1" applyAlignment="1">
      <alignment horizontal="right"/>
    </xf>
    <xf numFmtId="169" fontId="18" fillId="0" borderId="37" xfId="1716" applyNumberFormat="1" applyFont="1" applyFill="1" applyBorder="1" applyAlignment="1">
      <alignment horizontal="right"/>
    </xf>
    <xf numFmtId="169" fontId="35" fillId="0" borderId="31" xfId="1716" applyNumberFormat="1" applyFont="1" applyBorder="1" applyAlignment="1">
      <alignment horizontal="right"/>
    </xf>
    <xf numFmtId="169" fontId="35" fillId="0" borderId="631" xfId="1716" applyNumberFormat="1" applyFont="1" applyFill="1" applyBorder="1" applyAlignment="1">
      <alignment horizontal="right"/>
    </xf>
    <xf numFmtId="169" fontId="18" fillId="0" borderId="634" xfId="1716" applyNumberFormat="1" applyFont="1" applyFill="1" applyBorder="1" applyAlignment="1">
      <alignment horizontal="right"/>
    </xf>
    <xf numFmtId="0" fontId="37" fillId="45" borderId="103" xfId="0" applyFont="1" applyFill="1" applyBorder="1" applyAlignment="1">
      <alignment horizontal="right"/>
    </xf>
    <xf numFmtId="3" fontId="18" fillId="0" borderId="31" xfId="0" applyNumberFormat="1" applyFont="1" applyBorder="1" applyAlignment="1">
      <alignment horizontal="right"/>
    </xf>
    <xf numFmtId="3" fontId="37" fillId="0" borderId="31" xfId="1559" applyNumberFormat="1" applyFont="1" applyBorder="1" applyAlignment="1">
      <alignment horizontal="right"/>
    </xf>
    <xf numFmtId="3" fontId="37" fillId="0" borderId="37" xfId="1559" applyNumberFormat="1" applyFont="1" applyBorder="1" applyAlignment="1">
      <alignment horizontal="right"/>
    </xf>
    <xf numFmtId="3" fontId="37" fillId="0" borderId="631" xfId="1559" applyNumberFormat="1" applyFont="1" applyBorder="1" applyAlignment="1">
      <alignment horizontal="right"/>
    </xf>
    <xf numFmtId="3" fontId="37" fillId="0" borderId="362" xfId="1559" applyNumberFormat="1" applyFont="1" applyBorder="1" applyAlignment="1">
      <alignment horizontal="right"/>
    </xf>
    <xf numFmtId="3" fontId="37" fillId="0" borderId="634" xfId="1559" applyNumberFormat="1" applyFont="1" applyBorder="1" applyAlignment="1">
      <alignment horizontal="right"/>
    </xf>
    <xf numFmtId="169" fontId="18" fillId="0" borderId="37" xfId="1716" applyNumberFormat="1" applyFont="1" applyBorder="1" applyAlignment="1">
      <alignment horizontal="right"/>
    </xf>
    <xf numFmtId="169" fontId="37" fillId="0" borderId="31" xfId="1716" applyNumberFormat="1" applyFont="1" applyBorder="1" applyAlignment="1">
      <alignment horizontal="right"/>
    </xf>
    <xf numFmtId="169" fontId="37" fillId="0" borderId="37" xfId="1716" applyNumberFormat="1" applyFont="1" applyBorder="1" applyAlignment="1">
      <alignment horizontal="right"/>
    </xf>
    <xf numFmtId="37" fontId="18" fillId="0" borderId="655" xfId="0" applyNumberFormat="1" applyFont="1" applyBorder="1" applyAlignment="1">
      <alignment horizontal="right"/>
    </xf>
    <xf numFmtId="37" fontId="18" fillId="0" borderId="552" xfId="0" applyNumberFormat="1" applyFont="1" applyBorder="1" applyAlignment="1">
      <alignment horizontal="right"/>
    </xf>
    <xf numFmtId="37" fontId="18" fillId="0" borderId="656" xfId="0" applyNumberFormat="1" applyFont="1" applyBorder="1" applyAlignment="1">
      <alignment horizontal="right"/>
    </xf>
    <xf numFmtId="5" fontId="18" fillId="0" borderId="362" xfId="0" applyNumberFormat="1" applyFont="1" applyBorder="1" applyAlignment="1">
      <alignment horizontal="right"/>
    </xf>
    <xf numFmtId="3" fontId="37" fillId="0" borderId="31" xfId="0" applyNumberFormat="1" applyFont="1" applyBorder="1" applyAlignment="1">
      <alignment horizontal="right"/>
    </xf>
    <xf numFmtId="3" fontId="37" fillId="0" borderId="37" xfId="0" applyNumberFormat="1" applyFont="1" applyBorder="1" applyAlignment="1">
      <alignment horizontal="right"/>
    </xf>
    <xf numFmtId="3" fontId="35" fillId="0" borderId="31" xfId="0" applyNumberFormat="1" applyFont="1" applyBorder="1" applyAlignment="1">
      <alignment horizontal="right"/>
    </xf>
    <xf numFmtId="5" fontId="35" fillId="0" borderId="631" xfId="0" applyNumberFormat="1" applyFont="1" applyBorder="1" applyAlignment="1">
      <alignment horizontal="right"/>
    </xf>
    <xf numFmtId="5" fontId="35" fillId="0" borderId="362" xfId="0" applyNumberFormat="1" applyFont="1" applyBorder="1" applyAlignment="1">
      <alignment horizontal="right"/>
    </xf>
    <xf numFmtId="5" fontId="18" fillId="0" borderId="634" xfId="0" applyNumberFormat="1" applyFont="1" applyBorder="1" applyAlignment="1">
      <alignment horizontal="right"/>
    </xf>
    <xf numFmtId="189" fontId="18" fillId="0" borderId="31" xfId="1525" applyNumberFormat="1" applyFont="1" applyFill="1" applyBorder="1" applyAlignment="1">
      <alignment horizontal="right"/>
    </xf>
    <xf numFmtId="189" fontId="18" fillId="0" borderId="37" xfId="1525" applyNumberFormat="1" applyFont="1" applyFill="1" applyBorder="1" applyAlignment="1">
      <alignment horizontal="right"/>
    </xf>
    <xf numFmtId="169" fontId="48" fillId="0" borderId="37" xfId="1716" applyNumberFormat="1" applyFont="1" applyFill="1" applyBorder="1" applyAlignment="1">
      <alignment horizontal="right"/>
    </xf>
    <xf numFmtId="189" fontId="18" fillId="0" borderId="31" xfId="0" applyNumberFormat="1" applyFont="1" applyBorder="1" applyAlignment="1">
      <alignment horizontal="right"/>
    </xf>
    <xf numFmtId="189" fontId="18" fillId="0" borderId="37" xfId="0" applyNumberFormat="1" applyFont="1" applyBorder="1" applyAlignment="1">
      <alignment horizontal="right"/>
    </xf>
    <xf numFmtId="8" fontId="18" fillId="0" borderId="31" xfId="1559" applyFont="1" applyFill="1" applyBorder="1" applyAlignment="1">
      <alignment horizontal="right"/>
    </xf>
    <xf numFmtId="8" fontId="18" fillId="0" borderId="37" xfId="1559" applyFont="1" applyFill="1" applyBorder="1" applyAlignment="1">
      <alignment horizontal="right"/>
    </xf>
    <xf numFmtId="189" fontId="35" fillId="0" borderId="31" xfId="1525" applyNumberFormat="1" applyFont="1" applyFill="1" applyBorder="1" applyAlignment="1">
      <alignment horizontal="right"/>
    </xf>
    <xf numFmtId="189" fontId="37" fillId="0" borderId="31" xfId="0" applyNumberFormat="1" applyFont="1" applyBorder="1" applyAlignment="1">
      <alignment horizontal="right"/>
    </xf>
    <xf numFmtId="189" fontId="37" fillId="0" borderId="37" xfId="0" applyNumberFormat="1" applyFont="1" applyBorder="1" applyAlignment="1">
      <alignment horizontal="right"/>
    </xf>
    <xf numFmtId="41" fontId="35" fillId="0" borderId="631" xfId="1559" applyNumberFormat="1" applyFont="1" applyFill="1" applyBorder="1" applyAlignment="1">
      <alignment horizontal="right" vertical="center"/>
    </xf>
    <xf numFmtId="41" fontId="35" fillId="0" borderId="608" xfId="1559" applyNumberFormat="1" applyFont="1" applyFill="1" applyBorder="1" applyAlignment="1">
      <alignment horizontal="right" vertical="center"/>
    </xf>
    <xf numFmtId="41" fontId="35" fillId="0" borderId="362" xfId="1559" applyNumberFormat="1" applyFont="1" applyFill="1" applyBorder="1" applyAlignment="1">
      <alignment horizontal="right"/>
    </xf>
    <xf numFmtId="41" fontId="18" fillId="0" borderId="634" xfId="1559" applyNumberFormat="1" applyFont="1" applyFill="1" applyBorder="1" applyAlignment="1">
      <alignment horizontal="right" vertical="center"/>
    </xf>
    <xf numFmtId="0" fontId="190" fillId="103" borderId="103" xfId="0" applyFont="1" applyFill="1" applyBorder="1" applyAlignment="1">
      <alignment horizontal="center"/>
    </xf>
    <xf numFmtId="0" fontId="190" fillId="103" borderId="560" xfId="0" applyFont="1" applyFill="1" applyBorder="1" applyAlignment="1">
      <alignment horizontal="center"/>
    </xf>
    <xf numFmtId="0" fontId="190" fillId="103" borderId="6" xfId="0" applyFont="1" applyFill="1" applyBorder="1" applyAlignment="1">
      <alignment horizontal="center"/>
    </xf>
    <xf numFmtId="0" fontId="190" fillId="103" borderId="105" xfId="0" applyFont="1" applyFill="1" applyBorder="1" applyAlignment="1">
      <alignment horizontal="center"/>
    </xf>
    <xf numFmtId="9" fontId="18" fillId="0" borderId="560" xfId="0" applyNumberFormat="1" applyFont="1" applyBorder="1" applyAlignment="1">
      <alignment horizontal="right"/>
    </xf>
    <xf numFmtId="9" fontId="35" fillId="0" borderId="560" xfId="0" applyNumberFormat="1" applyFont="1" applyBorder="1" applyAlignment="1">
      <alignment horizontal="right"/>
    </xf>
    <xf numFmtId="170" fontId="18" fillId="0" borderId="560" xfId="0" applyNumberFormat="1" applyFont="1" applyBorder="1" applyAlignment="1">
      <alignment horizontal="right"/>
    </xf>
    <xf numFmtId="0" fontId="35" fillId="0" borderId="560" xfId="0" applyFont="1" applyBorder="1" applyAlignment="1">
      <alignment horizontal="right"/>
    </xf>
    <xf numFmtId="0" fontId="18" fillId="0" borderId="560" xfId="0" applyFont="1" applyBorder="1" applyAlignment="1">
      <alignment horizontal="right"/>
    </xf>
    <xf numFmtId="266" fontId="35" fillId="0" borderId="560" xfId="1559" applyNumberFormat="1" applyFont="1" applyFill="1" applyBorder="1" applyAlignment="1"/>
    <xf numFmtId="266" fontId="18" fillId="0" borderId="560" xfId="1559" applyNumberFormat="1" applyFont="1" applyFill="1" applyBorder="1" applyAlignment="1"/>
    <xf numFmtId="6" fontId="251" fillId="0" borderId="21" xfId="0" applyNumberFormat="1" applyFont="1" applyBorder="1" applyAlignment="1">
      <alignment horizontal="right"/>
    </xf>
    <xf numFmtId="5" fontId="354" fillId="0" borderId="0" xfId="0" applyNumberFormat="1" applyFont="1" applyAlignment="1">
      <alignment horizontal="right"/>
    </xf>
    <xf numFmtId="6" fontId="354" fillId="0" borderId="21" xfId="0" applyNumberFormat="1" applyFont="1" applyBorder="1" applyAlignment="1">
      <alignment horizontal="right"/>
    </xf>
    <xf numFmtId="330" fontId="18" fillId="45" borderId="633" xfId="0" applyNumberFormat="1" applyFont="1" applyFill="1" applyBorder="1"/>
    <xf numFmtId="330" fontId="18" fillId="45" borderId="632" xfId="0" applyNumberFormat="1" applyFont="1" applyFill="1" applyBorder="1"/>
    <xf numFmtId="188" fontId="18" fillId="45" borderId="630" xfId="0" applyNumberFormat="1" applyFont="1" applyFill="1" applyBorder="1"/>
    <xf numFmtId="188" fontId="18" fillId="45" borderId="632" xfId="0" applyNumberFormat="1" applyFont="1" applyFill="1" applyBorder="1"/>
    <xf numFmtId="330" fontId="18" fillId="45" borderId="640" xfId="0" applyNumberFormat="1" applyFont="1" applyFill="1" applyBorder="1"/>
    <xf numFmtId="329" fontId="18" fillId="45" borderId="632" xfId="0" applyNumberFormat="1" applyFont="1" applyFill="1" applyBorder="1"/>
    <xf numFmtId="329" fontId="18" fillId="45" borderId="640" xfId="0" applyNumberFormat="1" applyFont="1" applyFill="1" applyBorder="1"/>
    <xf numFmtId="3" fontId="354" fillId="0" borderId="0" xfId="0" applyNumberFormat="1" applyFont="1" applyAlignment="1">
      <alignment horizontal="right"/>
    </xf>
    <xf numFmtId="3" fontId="354" fillId="0" borderId="21" xfId="0" applyNumberFormat="1" applyFont="1" applyBorder="1" applyAlignment="1">
      <alignment horizontal="right"/>
    </xf>
    <xf numFmtId="169" fontId="37" fillId="0" borderId="0" xfId="1716" applyNumberFormat="1" applyFont="1" applyFill="1" applyBorder="1" applyAlignment="1">
      <alignment horizontal="right"/>
    </xf>
    <xf numFmtId="169" fontId="354" fillId="0" borderId="0" xfId="1716" applyNumberFormat="1" applyFont="1" applyBorder="1" applyAlignment="1">
      <alignment horizontal="right"/>
    </xf>
    <xf numFmtId="169" fontId="354" fillId="0" borderId="21" xfId="1716" applyNumberFormat="1" applyFont="1" applyBorder="1" applyAlignment="1">
      <alignment horizontal="right"/>
    </xf>
    <xf numFmtId="169" fontId="37" fillId="0" borderId="21" xfId="1716" applyNumberFormat="1" applyFont="1" applyFill="1" applyBorder="1" applyAlignment="1">
      <alignment horizontal="right"/>
    </xf>
    <xf numFmtId="333" fontId="354" fillId="0" borderId="570" xfId="0" applyNumberFormat="1" applyFont="1" applyBorder="1" applyAlignment="1">
      <alignment horizontal="right"/>
    </xf>
    <xf numFmtId="333" fontId="354" fillId="0" borderId="140" xfId="0" applyNumberFormat="1" applyFont="1" applyBorder="1" applyAlignment="1">
      <alignment horizontal="right"/>
    </xf>
    <xf numFmtId="333" fontId="354" fillId="0" borderId="8" xfId="0" applyNumberFormat="1" applyFont="1" applyBorder="1" applyAlignment="1">
      <alignment horizontal="right"/>
    </xf>
    <xf numFmtId="333" fontId="354" fillId="0" borderId="0" xfId="0" applyNumberFormat="1" applyFont="1" applyAlignment="1">
      <alignment horizontal="right"/>
    </xf>
    <xf numFmtId="333" fontId="354" fillId="0" borderId="21" xfId="0" applyNumberFormat="1" applyFont="1" applyBorder="1" applyAlignment="1">
      <alignment horizontal="right"/>
    </xf>
    <xf numFmtId="37" fontId="354" fillId="0" borderId="0" xfId="0" applyNumberFormat="1" applyFont="1" applyAlignment="1">
      <alignment horizontal="right"/>
    </xf>
    <xf numFmtId="37" fontId="354" fillId="0" borderId="21" xfId="1687" applyNumberFormat="1" applyFont="1" applyBorder="1" applyAlignment="1">
      <alignment horizontal="right"/>
    </xf>
    <xf numFmtId="189" fontId="354" fillId="0" borderId="0" xfId="1525" applyNumberFormat="1" applyFont="1" applyFill="1" applyBorder="1" applyAlignment="1">
      <alignment horizontal="right"/>
    </xf>
    <xf numFmtId="189" fontId="354" fillId="0" borderId="21" xfId="1525" applyNumberFormat="1" applyFont="1" applyBorder="1" applyAlignment="1">
      <alignment horizontal="right"/>
    </xf>
    <xf numFmtId="281" fontId="44" fillId="0" borderId="0" xfId="0" applyNumberFormat="1" applyFont="1" applyAlignment="1">
      <alignment horizontal="center"/>
    </xf>
    <xf numFmtId="0" fontId="44" fillId="0" borderId="0" xfId="0" applyFont="1" applyAlignment="1">
      <alignment horizontal="center"/>
    </xf>
    <xf numFmtId="333" fontId="44" fillId="0" borderId="0" xfId="0" applyNumberFormat="1" applyFont="1" applyAlignment="1">
      <alignment horizontal="center"/>
    </xf>
    <xf numFmtId="281" fontId="18" fillId="0" borderId="37" xfId="2895" applyNumberFormat="1" applyFont="1" applyFill="1" applyBorder="1" applyAlignment="1">
      <alignment horizontal="right" shrinkToFit="1"/>
    </xf>
    <xf numFmtId="328" fontId="18" fillId="0" borderId="21" xfId="1716" applyNumberFormat="1" applyFont="1" applyFill="1" applyBorder="1" applyAlignment="1">
      <alignment horizontal="right" shrinkToFit="1"/>
    </xf>
    <xf numFmtId="0" fontId="39" fillId="0" borderId="0" xfId="0" applyFont="1" applyAlignment="1">
      <alignment horizontal="center"/>
    </xf>
    <xf numFmtId="9" fontId="252" fillId="0" borderId="0" xfId="13186" applyNumberFormat="1" applyFont="1" applyAlignment="1">
      <alignment horizontal="center"/>
    </xf>
    <xf numFmtId="10" fontId="353" fillId="0" borderId="0" xfId="13186" applyNumberFormat="1" applyFont="1" applyAlignment="1">
      <alignment horizontal="center"/>
    </xf>
    <xf numFmtId="0" fontId="254" fillId="0" borderId="9" xfId="13186" applyFont="1" applyBorder="1" applyAlignment="1">
      <alignment horizontal="center"/>
    </xf>
    <xf numFmtId="0" fontId="252" fillId="0" borderId="653" xfId="13186" applyFont="1" applyBorder="1" applyAlignment="1">
      <alignment vertical="center" wrapText="1"/>
    </xf>
    <xf numFmtId="3" fontId="252" fillId="0" borderId="653" xfId="13186" applyNumberFormat="1" applyFont="1" applyBorder="1" applyAlignment="1">
      <alignment horizontal="center" vertical="center" wrapText="1"/>
    </xf>
    <xf numFmtId="0" fontId="252" fillId="0" borderId="657" xfId="13186" applyFont="1" applyBorder="1" applyAlignment="1">
      <alignment vertical="center"/>
    </xf>
    <xf numFmtId="0" fontId="251" fillId="0" borderId="657" xfId="13186" applyFont="1" applyBorder="1" applyAlignment="1">
      <alignment horizontal="center" vertical="center"/>
    </xf>
    <xf numFmtId="0" fontId="252" fillId="0" borderId="657" xfId="13186" applyFont="1" applyBorder="1" applyAlignment="1">
      <alignment horizontal="center" vertical="center"/>
    </xf>
    <xf numFmtId="0" fontId="252" fillId="0" borderId="657" xfId="13186" applyFont="1" applyBorder="1" applyAlignment="1">
      <alignment horizontal="center"/>
    </xf>
    <xf numFmtId="0" fontId="252" fillId="0" borderId="658" xfId="13186" applyFont="1" applyBorder="1" applyAlignment="1">
      <alignment vertical="center"/>
    </xf>
    <xf numFmtId="0" fontId="251" fillId="0" borderId="658" xfId="13186" applyFont="1" applyBorder="1" applyAlignment="1">
      <alignment horizontal="center" vertical="center"/>
    </xf>
    <xf numFmtId="0" fontId="252" fillId="0" borderId="658" xfId="13186" applyFont="1" applyBorder="1" applyAlignment="1">
      <alignment horizontal="center" vertical="center"/>
    </xf>
    <xf numFmtId="0" fontId="252" fillId="0" borderId="658" xfId="13186" applyFont="1" applyBorder="1" applyAlignment="1">
      <alignment horizontal="center"/>
    </xf>
    <xf numFmtId="3" fontId="251" fillId="0" borderId="658" xfId="13186" applyNumberFormat="1" applyFont="1" applyBorder="1" applyAlignment="1">
      <alignment horizontal="center" vertical="center"/>
    </xf>
    <xf numFmtId="3" fontId="252" fillId="0" borderId="658" xfId="13186" applyNumberFormat="1" applyFont="1" applyBorder="1" applyAlignment="1">
      <alignment horizontal="center" vertical="center"/>
    </xf>
    <xf numFmtId="0" fontId="252" fillId="0" borderId="658" xfId="13186" applyFont="1" applyBorder="1" applyAlignment="1">
      <alignment vertical="center" wrapText="1"/>
    </xf>
    <xf numFmtId="3" fontId="251" fillId="0" borderId="658" xfId="13186" applyNumberFormat="1" applyFont="1" applyBorder="1" applyAlignment="1">
      <alignment horizontal="center" vertical="center" wrapText="1"/>
    </xf>
    <xf numFmtId="0" fontId="251" fillId="0" borderId="658" xfId="13186" applyFont="1" applyBorder="1" applyAlignment="1">
      <alignment horizontal="center" vertical="center" wrapText="1"/>
    </xf>
    <xf numFmtId="0" fontId="252" fillId="0" borderId="659" xfId="13186" applyFont="1" applyBorder="1" applyAlignment="1">
      <alignment vertical="center" wrapText="1"/>
    </xf>
    <xf numFmtId="0" fontId="251" fillId="0" borderId="659" xfId="13186" applyFont="1" applyBorder="1" applyAlignment="1">
      <alignment horizontal="center" vertical="center" wrapText="1"/>
    </xf>
    <xf numFmtId="3" fontId="252" fillId="0" borderId="660" xfId="13186" applyNumberFormat="1" applyFont="1" applyBorder="1" applyAlignment="1">
      <alignment horizontal="center" vertical="center"/>
    </xf>
    <xf numFmtId="0" fontId="18" fillId="0" borderId="9" xfId="0" applyFont="1" applyBorder="1" applyAlignment="1">
      <alignment horizontal="center"/>
    </xf>
    <xf numFmtId="177" fontId="355" fillId="0" borderId="0" xfId="0" applyNumberFormat="1" applyFont="1" applyAlignment="1">
      <alignment horizontal="center"/>
    </xf>
    <xf numFmtId="39" fontId="48" fillId="75" borderId="6" xfId="0" applyNumberFormat="1" applyFont="1" applyFill="1" applyBorder="1" applyAlignment="1">
      <alignment horizontal="center"/>
    </xf>
    <xf numFmtId="39" fontId="48" fillId="75" borderId="103" xfId="0" applyNumberFormat="1" applyFont="1" applyFill="1" applyBorder="1" applyAlignment="1">
      <alignment horizontal="center"/>
    </xf>
    <xf numFmtId="39" fontId="48" fillId="75" borderId="131" xfId="0" applyNumberFormat="1" applyFont="1" applyFill="1" applyBorder="1" applyAlignment="1">
      <alignment horizontal="center"/>
    </xf>
    <xf numFmtId="39" fontId="48" fillId="75" borderId="105" xfId="0" applyNumberFormat="1" applyFont="1" applyFill="1" applyBorder="1" applyAlignment="1">
      <alignment horizontal="center"/>
    </xf>
    <xf numFmtId="0" fontId="252" fillId="0" borderId="660" xfId="13186" applyFont="1" applyBorder="1" applyAlignment="1">
      <alignment vertical="center" wrapText="1"/>
    </xf>
    <xf numFmtId="0" fontId="251" fillId="0" borderId="660" xfId="13186" applyFont="1" applyBorder="1" applyAlignment="1">
      <alignment horizontal="center" vertical="center" wrapText="1"/>
    </xf>
    <xf numFmtId="3" fontId="251" fillId="0" borderId="660" xfId="13186" applyNumberFormat="1" applyFont="1" applyBorder="1" applyAlignment="1">
      <alignment horizontal="center" vertical="center"/>
    </xf>
    <xf numFmtId="3" fontId="267" fillId="0" borderId="132" xfId="13186" applyNumberFormat="1" applyFont="1" applyBorder="1" applyAlignment="1">
      <alignment horizontal="center" vertical="center" wrapText="1"/>
    </xf>
    <xf numFmtId="37" fontId="354" fillId="0" borderId="37" xfId="0" applyNumberFormat="1" applyFont="1" applyBorder="1"/>
    <xf numFmtId="37" fontId="354" fillId="0" borderId="101" xfId="0" applyNumberFormat="1" applyFont="1" applyBorder="1"/>
    <xf numFmtId="177" fontId="186" fillId="57" borderId="654" xfId="0" applyNumberFormat="1" applyFont="1" applyFill="1" applyBorder="1" applyAlignment="1">
      <alignment horizontal="right"/>
    </xf>
    <xf numFmtId="281" fontId="251" fillId="0" borderId="21" xfId="0" applyNumberFormat="1" applyFont="1" applyBorder="1" applyAlignment="1">
      <alignment horizontal="right"/>
    </xf>
    <xf numFmtId="281" fontId="251" fillId="0" borderId="0" xfId="0" applyNumberFormat="1" applyFont="1" applyAlignment="1">
      <alignment horizontal="right"/>
    </xf>
    <xf numFmtId="281" fontId="251" fillId="0" borderId="37" xfId="0" applyNumberFormat="1" applyFont="1" applyBorder="1" applyAlignment="1">
      <alignment horizontal="right"/>
    </xf>
    <xf numFmtId="37" fontId="37" fillId="57" borderId="654" xfId="0" applyNumberFormat="1" applyFont="1" applyFill="1" applyBorder="1" applyAlignment="1">
      <alignment horizontal="right"/>
    </xf>
    <xf numFmtId="344" fontId="18" fillId="0" borderId="21" xfId="0" applyNumberFormat="1" applyFont="1" applyBorder="1" applyAlignment="1">
      <alignment horizontal="right"/>
    </xf>
    <xf numFmtId="344" fontId="186" fillId="0" borderId="0" xfId="0" applyNumberFormat="1" applyFont="1" applyAlignment="1">
      <alignment horizontal="right"/>
    </xf>
    <xf numFmtId="169" fontId="231" fillId="0" borderId="0" xfId="1716" applyNumberFormat="1" applyFont="1" applyFill="1" applyAlignment="1">
      <alignment horizontal="right" indent="1"/>
    </xf>
    <xf numFmtId="169" fontId="231" fillId="0" borderId="0" xfId="1716" applyNumberFormat="1" applyFont="1" applyFill="1" applyBorder="1" applyAlignment="1">
      <alignment horizontal="right" indent="1"/>
    </xf>
    <xf numFmtId="4" fontId="18" fillId="0" borderId="0" xfId="1716" applyNumberFormat="1" applyFont="1" applyFill="1" applyBorder="1" applyAlignment="1">
      <alignment horizontal="right"/>
    </xf>
    <xf numFmtId="176" fontId="18" fillId="0" borderId="21" xfId="0" applyNumberFormat="1" applyFont="1" applyBorder="1" applyAlignment="1">
      <alignment horizontal="right"/>
    </xf>
    <xf numFmtId="244" fontId="18" fillId="0" borderId="21" xfId="0" applyNumberFormat="1" applyFont="1" applyBorder="1" applyAlignment="1">
      <alignment horizontal="right"/>
    </xf>
    <xf numFmtId="0" fontId="229" fillId="44" borderId="654" xfId="0" applyFont="1" applyFill="1" applyBorder="1"/>
    <xf numFmtId="177" fontId="229" fillId="44" borderId="654" xfId="0" applyNumberFormat="1" applyFont="1" applyFill="1" applyBorder="1"/>
    <xf numFmtId="37" fontId="229" fillId="44" borderId="654" xfId="0" applyNumberFormat="1" applyFont="1" applyFill="1" applyBorder="1"/>
    <xf numFmtId="4" fontId="229" fillId="44" borderId="654" xfId="0" applyNumberFormat="1" applyFont="1" applyFill="1" applyBorder="1"/>
    <xf numFmtId="9" fontId="229" fillId="44" borderId="654" xfId="0" applyNumberFormat="1" applyFont="1" applyFill="1" applyBorder="1"/>
    <xf numFmtId="37" fontId="229" fillId="44" borderId="654" xfId="0" applyNumberFormat="1" applyFont="1" applyFill="1" applyBorder="1" applyAlignment="1">
      <alignment horizontal="right"/>
    </xf>
    <xf numFmtId="37" fontId="63" fillId="0" borderId="619" xfId="0" applyNumberFormat="1" applyFont="1" applyBorder="1" applyAlignment="1">
      <alignment horizontal="right"/>
    </xf>
    <xf numFmtId="177" fontId="37" fillId="57" borderId="654" xfId="0" applyNumberFormat="1" applyFont="1" applyFill="1" applyBorder="1"/>
    <xf numFmtId="177" fontId="63" fillId="57" borderId="654" xfId="0" applyNumberFormat="1" applyFont="1" applyFill="1" applyBorder="1"/>
    <xf numFmtId="37" fontId="37" fillId="57" borderId="654" xfId="0" applyNumberFormat="1" applyFont="1" applyFill="1" applyBorder="1"/>
    <xf numFmtId="1" fontId="232" fillId="57" borderId="654" xfId="0" applyNumberFormat="1" applyFont="1" applyFill="1" applyBorder="1"/>
    <xf numFmtId="1" fontId="232" fillId="57" borderId="654" xfId="0" applyNumberFormat="1" applyFont="1" applyFill="1" applyBorder="1" applyAlignment="1">
      <alignment horizontal="right"/>
    </xf>
    <xf numFmtId="244" fontId="251" fillId="0" borderId="0" xfId="0" applyNumberFormat="1" applyFont="1"/>
    <xf numFmtId="244" fontId="186" fillId="0" borderId="0" xfId="0" applyNumberFormat="1" applyFont="1"/>
    <xf numFmtId="244" fontId="186" fillId="0" borderId="37" xfId="0" applyNumberFormat="1" applyFont="1" applyBorder="1"/>
    <xf numFmtId="244" fontId="186" fillId="0" borderId="21" xfId="0" applyNumberFormat="1" applyFont="1" applyBorder="1" applyAlignment="1">
      <alignment horizontal="right"/>
    </xf>
    <xf numFmtId="244" fontId="251" fillId="0" borderId="0" xfId="0" applyNumberFormat="1" applyFont="1" applyAlignment="1">
      <alignment horizontal="right"/>
    </xf>
    <xf numFmtId="244" fontId="186" fillId="0" borderId="0" xfId="0" applyNumberFormat="1" applyFont="1" applyAlignment="1">
      <alignment horizontal="right"/>
    </xf>
    <xf numFmtId="244" fontId="186" fillId="0" borderId="37" xfId="0" applyNumberFormat="1" applyFont="1" applyBorder="1" applyAlignment="1">
      <alignment horizontal="right"/>
    </xf>
    <xf numFmtId="244" fontId="186" fillId="0" borderId="31" xfId="0" applyNumberFormat="1" applyFont="1" applyBorder="1" applyAlignment="1">
      <alignment horizontal="right"/>
    </xf>
    <xf numFmtId="244" fontId="18" fillId="0" borderId="0" xfId="0" applyNumberFormat="1" applyFont="1"/>
    <xf numFmtId="244" fontId="18" fillId="0" borderId="0" xfId="0" applyNumberFormat="1" applyFont="1" applyAlignment="1">
      <alignment horizontal="right"/>
    </xf>
    <xf numFmtId="244" fontId="186" fillId="0" borderId="31" xfId="0" applyNumberFormat="1" applyFont="1" applyBorder="1"/>
    <xf numFmtId="244" fontId="48" fillId="0" borderId="0" xfId="0" applyNumberFormat="1" applyFont="1" applyAlignment="1">
      <alignment horizontal="right"/>
    </xf>
    <xf numFmtId="244" fontId="18" fillId="0" borderId="37" xfId="0" applyNumberFormat="1" applyFont="1" applyBorder="1" applyAlignment="1">
      <alignment horizontal="right"/>
    </xf>
    <xf numFmtId="244" fontId="48" fillId="0" borderId="21" xfId="0" applyNumberFormat="1" applyFont="1" applyBorder="1" applyAlignment="1">
      <alignment horizontal="right"/>
    </xf>
    <xf numFmtId="244" fontId="48" fillId="0" borderId="31" xfId="0" applyNumberFormat="1" applyFont="1" applyBorder="1" applyAlignment="1">
      <alignment horizontal="right"/>
    </xf>
    <xf numFmtId="244" fontId="18" fillId="0" borderId="37" xfId="0" applyNumberFormat="1" applyFont="1" applyBorder="1"/>
    <xf numFmtId="244" fontId="18" fillId="0" borderId="31" xfId="0" applyNumberFormat="1" applyFont="1" applyBorder="1" applyAlignment="1">
      <alignment horizontal="right"/>
    </xf>
    <xf numFmtId="244" fontId="48" fillId="0" borderId="37" xfId="0" applyNumberFormat="1" applyFont="1" applyBorder="1" applyAlignment="1">
      <alignment horizontal="right"/>
    </xf>
    <xf numFmtId="169" fontId="18" fillId="57" borderId="654" xfId="0" applyNumberFormat="1" applyFont="1" applyFill="1" applyBorder="1" applyAlignment="1">
      <alignment horizontal="right"/>
    </xf>
    <xf numFmtId="192" fontId="251" fillId="0" borderId="0" xfId="0" applyNumberFormat="1" applyFont="1"/>
    <xf numFmtId="276" fontId="186" fillId="0" borderId="21" xfId="0" applyNumberFormat="1" applyFont="1" applyBorder="1" applyAlignment="1">
      <alignment horizontal="right"/>
    </xf>
    <xf numFmtId="276" fontId="186" fillId="0" borderId="31" xfId="0" applyNumberFormat="1" applyFont="1" applyBorder="1" applyAlignment="1">
      <alignment horizontal="right"/>
    </xf>
    <xf numFmtId="276" fontId="186" fillId="0" borderId="0" xfId="0" applyNumberFormat="1" applyFont="1" applyAlignment="1">
      <alignment horizontal="right"/>
    </xf>
    <xf numFmtId="276" fontId="186" fillId="0" borderId="37" xfId="0" applyNumberFormat="1" applyFont="1" applyBorder="1" applyAlignment="1">
      <alignment horizontal="right"/>
    </xf>
    <xf numFmtId="227" fontId="18" fillId="0" borderId="21" xfId="0" applyNumberFormat="1" applyFont="1" applyBorder="1" applyAlignment="1">
      <alignment horizontal="right"/>
    </xf>
    <xf numFmtId="177" fontId="18" fillId="57" borderId="654" xfId="0" applyNumberFormat="1" applyFont="1" applyFill="1" applyBorder="1"/>
    <xf numFmtId="177" fontId="186" fillId="57" borderId="654" xfId="0" applyNumberFormat="1" applyFont="1" applyFill="1" applyBorder="1"/>
    <xf numFmtId="177" fontId="18" fillId="98" borderId="0" xfId="0" applyNumberFormat="1" applyFont="1" applyFill="1"/>
    <xf numFmtId="177" fontId="18" fillId="98" borderId="21" xfId="0" applyNumberFormat="1" applyFont="1" applyFill="1" applyBorder="1"/>
    <xf numFmtId="177" fontId="186" fillId="98" borderId="21" xfId="0" applyNumberFormat="1" applyFont="1" applyFill="1" applyBorder="1"/>
    <xf numFmtId="177" fontId="251" fillId="98" borderId="0" xfId="0" applyNumberFormat="1" applyFont="1" applyFill="1"/>
    <xf numFmtId="177" fontId="186" fillId="0" borderId="619" xfId="0" applyNumberFormat="1" applyFont="1" applyBorder="1"/>
    <xf numFmtId="177" fontId="18" fillId="0" borderId="654" xfId="0" applyNumberFormat="1" applyFont="1" applyBorder="1"/>
    <xf numFmtId="177" fontId="186" fillId="0" borderId="574" xfId="0" applyNumberFormat="1" applyFont="1" applyBorder="1"/>
    <xf numFmtId="177" fontId="186" fillId="0" borderId="654" xfId="0" applyNumberFormat="1" applyFont="1" applyBorder="1"/>
    <xf numFmtId="177" fontId="186" fillId="0" borderId="633" xfId="0" applyNumberFormat="1" applyFont="1" applyBorder="1"/>
    <xf numFmtId="177" fontId="186" fillId="0" borderId="574" xfId="0" applyNumberFormat="1" applyFont="1" applyBorder="1" applyAlignment="1">
      <alignment horizontal="right"/>
    </xf>
    <xf numFmtId="177" fontId="186" fillId="0" borderId="654" xfId="0" applyNumberFormat="1" applyFont="1" applyBorder="1" applyAlignment="1">
      <alignment horizontal="right"/>
    </xf>
    <xf numFmtId="4" fontId="186" fillId="0" borderId="654" xfId="0" applyNumberFormat="1" applyFont="1" applyBorder="1" applyAlignment="1">
      <alignment horizontal="right"/>
    </xf>
    <xf numFmtId="177" fontId="186" fillId="0" borderId="59" xfId="0" applyNumberFormat="1" applyFont="1" applyBorder="1" applyAlignment="1">
      <alignment horizontal="right"/>
    </xf>
    <xf numFmtId="4" fontId="186" fillId="0" borderId="0" xfId="0" applyNumberFormat="1" applyFont="1" applyAlignment="1">
      <alignment horizontal="right"/>
    </xf>
    <xf numFmtId="4" fontId="18" fillId="0" borderId="21" xfId="0" applyNumberFormat="1" applyFont="1" applyBorder="1" applyAlignment="1">
      <alignment horizontal="right"/>
    </xf>
    <xf numFmtId="177" fontId="18" fillId="97" borderId="59" xfId="0" applyNumberFormat="1" applyFont="1" applyFill="1" applyBorder="1"/>
    <xf numFmtId="177" fontId="18" fillId="97" borderId="655" xfId="0" applyNumberFormat="1" applyFont="1" applyFill="1" applyBorder="1"/>
    <xf numFmtId="177" fontId="18" fillId="97" borderId="538" xfId="0" applyNumberFormat="1" applyFont="1" applyFill="1" applyBorder="1"/>
    <xf numFmtId="177" fontId="18" fillId="97" borderId="656" xfId="0" applyNumberFormat="1" applyFont="1" applyFill="1" applyBorder="1"/>
    <xf numFmtId="177" fontId="18" fillId="0" borderId="59" xfId="0" applyNumberFormat="1" applyFont="1" applyBorder="1"/>
    <xf numFmtId="37" fontId="37" fillId="0" borderId="654" xfId="0" applyNumberFormat="1" applyFont="1" applyBorder="1"/>
    <xf numFmtId="177" fontId="251" fillId="0" borderId="538" xfId="0" applyNumberFormat="1" applyFont="1" applyBorder="1"/>
    <xf numFmtId="177" fontId="18" fillId="0" borderId="619" xfId="0" applyNumberFormat="1" applyFont="1" applyBorder="1"/>
    <xf numFmtId="186" fontId="37" fillId="57" borderId="654" xfId="0" applyNumberFormat="1" applyFont="1" applyFill="1" applyBorder="1"/>
    <xf numFmtId="344" fontId="18" fillId="0" borderId="21" xfId="0" applyNumberFormat="1" applyFont="1" applyBorder="1"/>
    <xf numFmtId="345" fontId="18" fillId="0" borderId="21" xfId="0" applyNumberFormat="1" applyFont="1" applyBorder="1" applyAlignment="1">
      <alignment horizontal="right"/>
    </xf>
    <xf numFmtId="345" fontId="251" fillId="0" borderId="0" xfId="0" applyNumberFormat="1" applyFont="1" applyAlignment="1">
      <alignment horizontal="right"/>
    </xf>
    <xf numFmtId="345" fontId="186" fillId="0" borderId="0" xfId="0" applyNumberFormat="1" applyFont="1" applyAlignment="1">
      <alignment horizontal="right"/>
    </xf>
    <xf numFmtId="345" fontId="18" fillId="0" borderId="0" xfId="1716" applyNumberFormat="1" applyFont="1" applyFill="1" applyBorder="1" applyAlignment="1">
      <alignment horizontal="right"/>
    </xf>
    <xf numFmtId="345" fontId="231" fillId="0" borderId="0" xfId="0" applyNumberFormat="1" applyFont="1" applyAlignment="1">
      <alignment horizontal="right" indent="1"/>
    </xf>
    <xf numFmtId="244" fontId="18" fillId="0" borderId="0" xfId="1716" applyNumberFormat="1" applyFont="1" applyFill="1" applyBorder="1" applyAlignment="1">
      <alignment horizontal="right"/>
    </xf>
    <xf numFmtId="244" fontId="231" fillId="0" borderId="0" xfId="0" applyNumberFormat="1" applyFont="1" applyAlignment="1">
      <alignment horizontal="right" indent="1"/>
    </xf>
    <xf numFmtId="345" fontId="231" fillId="0" borderId="0" xfId="1716" applyNumberFormat="1" applyFont="1" applyFill="1" applyAlignment="1">
      <alignment horizontal="right" indent="1"/>
    </xf>
    <xf numFmtId="244" fontId="231" fillId="0" borderId="0" xfId="1716" applyNumberFormat="1" applyFont="1" applyFill="1" applyAlignment="1">
      <alignment horizontal="right" indent="1"/>
    </xf>
    <xf numFmtId="345" fontId="18" fillId="0" borderId="0" xfId="0" applyNumberFormat="1" applyFont="1" applyAlignment="1">
      <alignment horizontal="right"/>
    </xf>
    <xf numFmtId="345" fontId="18" fillId="0" borderId="37" xfId="0" applyNumberFormat="1" applyFont="1" applyBorder="1" applyAlignment="1">
      <alignment horizontal="right"/>
    </xf>
    <xf numFmtId="345" fontId="18" fillId="0" borderId="21" xfId="0" applyNumberFormat="1" applyFont="1" applyBorder="1"/>
    <xf numFmtId="345" fontId="18" fillId="0" borderId="0" xfId="0" applyNumberFormat="1" applyFont="1"/>
    <xf numFmtId="345" fontId="186" fillId="0" borderId="21" xfId="0" applyNumberFormat="1" applyFont="1" applyBorder="1"/>
    <xf numFmtId="177" fontId="18" fillId="0" borderId="538" xfId="0" applyNumberFormat="1" applyFont="1" applyBorder="1"/>
    <xf numFmtId="177" fontId="18" fillId="0" borderId="656" xfId="0" applyNumberFormat="1" applyFont="1" applyBorder="1"/>
    <xf numFmtId="169" fontId="251" fillId="0" borderId="37" xfId="0" applyNumberFormat="1" applyFont="1" applyBorder="1"/>
    <xf numFmtId="9" fontId="48" fillId="49" borderId="59" xfId="0" applyNumberFormat="1" applyFont="1" applyFill="1" applyBorder="1" applyAlignment="1">
      <alignment horizontal="right"/>
    </xf>
    <xf numFmtId="9" fontId="48" fillId="0" borderId="59" xfId="0" applyNumberFormat="1" applyFont="1" applyBorder="1" applyAlignment="1">
      <alignment horizontal="right"/>
    </xf>
    <xf numFmtId="0" fontId="63" fillId="0" borderId="619" xfId="0" applyFont="1" applyBorder="1" applyAlignment="1">
      <alignment horizontal="left" indent="1"/>
    </xf>
    <xf numFmtId="0" fontId="37" fillId="0" borderId="656" xfId="0" applyFont="1" applyBorder="1" applyAlignment="1">
      <alignment horizontal="center"/>
    </xf>
    <xf numFmtId="177" fontId="37" fillId="0" borderId="538" xfId="0" applyNumberFormat="1" applyFont="1" applyBorder="1"/>
    <xf numFmtId="177" fontId="63" fillId="0" borderId="538" xfId="0" applyNumberFormat="1" applyFont="1" applyBorder="1"/>
    <xf numFmtId="37" fontId="37" fillId="0" borderId="538" xfId="0" applyNumberFormat="1" applyFont="1" applyBorder="1"/>
    <xf numFmtId="37" fontId="37" fillId="0" borderId="619" xfId="0" applyNumberFormat="1" applyFont="1" applyBorder="1"/>
    <xf numFmtId="37" fontId="37" fillId="0" borderId="655" xfId="0" applyNumberFormat="1" applyFont="1" applyBorder="1"/>
    <xf numFmtId="37" fontId="37" fillId="0" borderId="656" xfId="0" applyNumberFormat="1" applyFont="1" applyBorder="1"/>
    <xf numFmtId="37" fontId="37" fillId="0" borderId="619" xfId="0" applyNumberFormat="1" applyFont="1" applyBorder="1" applyAlignment="1">
      <alignment horizontal="right"/>
    </xf>
    <xf numFmtId="37" fontId="37" fillId="0" borderId="655" xfId="0" applyNumberFormat="1" applyFont="1" applyBorder="1" applyAlignment="1">
      <alignment horizontal="right"/>
    </xf>
    <xf numFmtId="37" fontId="37" fillId="0" borderId="656" xfId="0" applyNumberFormat="1" applyFont="1" applyBorder="1" applyAlignment="1">
      <alignment horizontal="right"/>
    </xf>
    <xf numFmtId="0" fontId="38" fillId="0" borderId="21" xfId="0" applyFont="1" applyBorder="1"/>
    <xf numFmtId="0" fontId="267" fillId="0" borderId="37" xfId="0" applyFont="1" applyBorder="1" applyAlignment="1">
      <alignment horizontal="center"/>
    </xf>
    <xf numFmtId="227" fontId="267" fillId="0" borderId="21" xfId="0" applyNumberFormat="1" applyFont="1" applyBorder="1" applyAlignment="1">
      <alignment horizontal="right"/>
    </xf>
    <xf numFmtId="346" fontId="267" fillId="0" borderId="21" xfId="0" applyNumberFormat="1" applyFont="1" applyBorder="1" applyAlignment="1">
      <alignment horizontal="right"/>
    </xf>
    <xf numFmtId="347" fontId="267" fillId="0" borderId="21" xfId="0" applyNumberFormat="1" applyFont="1" applyBorder="1" applyAlignment="1">
      <alignment horizontal="right"/>
    </xf>
    <xf numFmtId="4" fontId="37" fillId="0" borderId="21" xfId="0" applyNumberFormat="1" applyFont="1" applyBorder="1" applyAlignment="1">
      <alignment horizontal="right"/>
    </xf>
    <xf numFmtId="169" fontId="37" fillId="0" borderId="0" xfId="0" applyNumberFormat="1" applyFont="1" applyAlignment="1">
      <alignment horizontal="center"/>
    </xf>
    <xf numFmtId="169" fontId="44" fillId="0" borderId="21" xfId="0" applyNumberFormat="1" applyFont="1" applyBorder="1" applyAlignment="1">
      <alignment horizontal="right"/>
    </xf>
    <xf numFmtId="5" fontId="354" fillId="49" borderId="0" xfId="0" applyNumberFormat="1" applyFont="1" applyFill="1" applyAlignment="1">
      <alignment horizontal="right"/>
    </xf>
    <xf numFmtId="6" fontId="354" fillId="0" borderId="31" xfId="0" applyNumberFormat="1" applyFont="1" applyBorder="1" applyAlignment="1">
      <alignment horizontal="right"/>
    </xf>
    <xf numFmtId="5" fontId="354" fillId="0" borderId="31" xfId="0" applyNumberFormat="1" applyFont="1" applyBorder="1" applyAlignment="1">
      <alignment horizontal="right"/>
    </xf>
    <xf numFmtId="5" fontId="354" fillId="0" borderId="37" xfId="0" applyNumberFormat="1" applyFont="1" applyBorder="1" applyAlignment="1">
      <alignment horizontal="right"/>
    </xf>
    <xf numFmtId="185" fontId="44" fillId="0" borderId="31" xfId="0" applyNumberFormat="1" applyFont="1" applyBorder="1" applyAlignment="1">
      <alignment horizontal="right"/>
    </xf>
    <xf numFmtId="185" fontId="44" fillId="0" borderId="0" xfId="0" applyNumberFormat="1" applyFont="1" applyAlignment="1">
      <alignment horizontal="right"/>
    </xf>
    <xf numFmtId="189" fontId="375" fillId="0" borderId="0" xfId="0" applyNumberFormat="1" applyFont="1" applyAlignment="1">
      <alignment horizontal="left"/>
    </xf>
    <xf numFmtId="3" fontId="354" fillId="0" borderId="36" xfId="0" applyNumberFormat="1" applyFont="1" applyBorder="1"/>
    <xf numFmtId="3" fontId="354" fillId="0" borderId="0" xfId="0" applyNumberFormat="1" applyFont="1"/>
    <xf numFmtId="3" fontId="354" fillId="0" borderId="21" xfId="0" applyNumberFormat="1" applyFont="1" applyBorder="1"/>
    <xf numFmtId="3" fontId="354" fillId="0" borderId="74" xfId="0" applyNumberFormat="1" applyFont="1" applyBorder="1"/>
    <xf numFmtId="3" fontId="354" fillId="0" borderId="31" xfId="0" applyNumberFormat="1" applyFont="1" applyBorder="1"/>
    <xf numFmtId="3" fontId="354" fillId="0" borderId="73" xfId="0" applyNumberFormat="1" applyFont="1" applyBorder="1"/>
    <xf numFmtId="3" fontId="354" fillId="0" borderId="37" xfId="0" applyNumberFormat="1" applyFont="1" applyBorder="1"/>
    <xf numFmtId="0" fontId="230" fillId="0" borderId="654" xfId="0" applyFont="1" applyBorder="1" applyAlignment="1">
      <alignment horizontal="center"/>
    </xf>
    <xf numFmtId="37" fontId="18" fillId="0" borderId="661" xfId="0" applyNumberFormat="1" applyFont="1" applyBorder="1"/>
    <xf numFmtId="0" fontId="376" fillId="45" borderId="104" xfId="0" applyFont="1" applyFill="1" applyBorder="1" applyAlignment="1">
      <alignment horizontal="left"/>
    </xf>
    <xf numFmtId="333" fontId="251" fillId="0" borderId="73" xfId="0" applyNumberFormat="1" applyFont="1" applyBorder="1" applyAlignment="1">
      <alignment horizontal="right"/>
    </xf>
    <xf numFmtId="37" fontId="18" fillId="45" borderId="630" xfId="0" applyNumberFormat="1" applyFont="1" applyFill="1" applyBorder="1" applyAlignment="1">
      <alignment horizontal="center"/>
    </xf>
    <xf numFmtId="37" fontId="18" fillId="45" borderId="632" xfId="0" applyNumberFormat="1" applyFont="1" applyFill="1" applyBorder="1" applyAlignment="1">
      <alignment horizontal="center"/>
    </xf>
    <xf numFmtId="350" fontId="35" fillId="0" borderId="74" xfId="0" applyNumberFormat="1" applyFont="1" applyBorder="1" applyAlignment="1">
      <alignment horizontal="right"/>
    </xf>
    <xf numFmtId="350" fontId="48" fillId="0" borderId="37" xfId="0" applyNumberFormat="1" applyFont="1" applyBorder="1" applyAlignment="1">
      <alignment horizontal="right"/>
    </xf>
    <xf numFmtId="281" fontId="18" fillId="45" borderId="639" xfId="0" applyNumberFormat="1" applyFont="1" applyFill="1" applyBorder="1"/>
    <xf numFmtId="333" fontId="48" fillId="0" borderId="37" xfId="0" applyNumberFormat="1" applyFont="1" applyBorder="1"/>
    <xf numFmtId="9" fontId="18" fillId="0" borderId="641" xfId="0" applyNumberFormat="1" applyFont="1" applyBorder="1"/>
    <xf numFmtId="9" fontId="18" fillId="0" borderId="97" xfId="0" applyNumberFormat="1" applyFont="1" applyBorder="1"/>
    <xf numFmtId="9" fontId="18" fillId="0" borderId="641" xfId="0" applyNumberFormat="1" applyFont="1" applyBorder="1" applyAlignment="1">
      <alignment horizontal="right"/>
    </xf>
    <xf numFmtId="9" fontId="18" fillId="0" borderId="75" xfId="0" applyNumberFormat="1" applyFont="1" applyBorder="1" applyAlignment="1">
      <alignment horizontal="right"/>
    </xf>
    <xf numFmtId="9" fontId="18" fillId="0" borderId="97" xfId="0" applyNumberFormat="1" applyFont="1" applyBorder="1" applyAlignment="1">
      <alignment horizontal="right"/>
    </xf>
    <xf numFmtId="333" fontId="251" fillId="0" borderId="31" xfId="0" applyNumberFormat="1" applyFont="1" applyBorder="1" applyAlignment="1">
      <alignment horizontal="right"/>
    </xf>
    <xf numFmtId="169" fontId="48" fillId="45" borderId="37" xfId="0" applyNumberFormat="1" applyFont="1" applyFill="1" applyBorder="1"/>
    <xf numFmtId="0" fontId="18" fillId="45" borderId="665" xfId="0" applyFont="1" applyFill="1" applyBorder="1"/>
    <xf numFmtId="264" fontId="18" fillId="0" borderId="666" xfId="0" applyNumberFormat="1" applyFont="1" applyBorder="1"/>
    <xf numFmtId="264" fontId="18" fillId="0" borderId="75" xfId="0" applyNumberFormat="1" applyFont="1" applyBorder="1"/>
    <xf numFmtId="264" fontId="18" fillId="0" borderId="97" xfId="0" applyNumberFormat="1" applyFont="1" applyBorder="1" applyAlignment="1">
      <alignment horizontal="right"/>
    </xf>
    <xf numFmtId="333" fontId="35" fillId="0" borderId="36" xfId="0" applyNumberFormat="1" applyFont="1" applyBorder="1"/>
    <xf numFmtId="227" fontId="37" fillId="0" borderId="21" xfId="0" applyNumberFormat="1" applyFont="1" applyBorder="1" applyAlignment="1">
      <alignment horizontal="right"/>
    </xf>
    <xf numFmtId="348" fontId="37" fillId="0" borderId="21" xfId="0" applyNumberFormat="1" applyFont="1" applyBorder="1" applyAlignment="1">
      <alignment horizontal="right"/>
    </xf>
    <xf numFmtId="37" fontId="18" fillId="0" borderId="661" xfId="0" applyNumberFormat="1" applyFont="1" applyBorder="1" applyAlignment="1">
      <alignment horizontal="right"/>
    </xf>
    <xf numFmtId="37" fontId="37" fillId="0" borderId="663" xfId="0" applyNumberFormat="1" applyFont="1" applyBorder="1" applyAlignment="1">
      <alignment horizontal="right"/>
    </xf>
    <xf numFmtId="9" fontId="18" fillId="46" borderId="0" xfId="0" applyNumberFormat="1" applyFont="1" applyFill="1" applyAlignment="1">
      <alignment horizontal="right"/>
    </xf>
    <xf numFmtId="37" fontId="37" fillId="0" borderId="661" xfId="0" applyNumberFormat="1" applyFont="1" applyBorder="1" applyAlignment="1">
      <alignment horizontal="right"/>
    </xf>
    <xf numFmtId="37" fontId="186" fillId="0" borderId="662" xfId="0" applyNumberFormat="1" applyFont="1" applyBorder="1" applyAlignment="1">
      <alignment horizontal="right"/>
    </xf>
    <xf numFmtId="37" fontId="37" fillId="0" borderId="662" xfId="0" applyNumberFormat="1" applyFont="1" applyBorder="1" applyAlignment="1">
      <alignment horizontal="right"/>
    </xf>
    <xf numFmtId="37" fontId="18" fillId="49" borderId="0" xfId="0" applyNumberFormat="1" applyFont="1" applyFill="1"/>
    <xf numFmtId="1" fontId="18" fillId="49" borderId="0" xfId="0" applyNumberFormat="1" applyFont="1" applyFill="1" applyAlignment="1">
      <alignment horizontal="right"/>
    </xf>
    <xf numFmtId="333" fontId="354" fillId="0" borderId="37" xfId="0" applyNumberFormat="1" applyFont="1" applyBorder="1" applyAlignment="1">
      <alignment horizontal="right"/>
    </xf>
    <xf numFmtId="37" fontId="354" fillId="0" borderId="37" xfId="0" applyNumberFormat="1" applyFont="1" applyBorder="1" applyAlignment="1">
      <alignment horizontal="right"/>
    </xf>
    <xf numFmtId="0" fontId="63" fillId="0" borderId="362" xfId="0" applyFont="1" applyBorder="1"/>
    <xf numFmtId="177" fontId="37" fillId="0" borderId="59" xfId="0" applyNumberFormat="1" applyFont="1" applyBorder="1"/>
    <xf numFmtId="177" fontId="63" fillId="0" borderId="59" xfId="0" applyNumberFormat="1" applyFont="1" applyBorder="1"/>
    <xf numFmtId="177" fontId="63" fillId="0" borderId="362" xfId="0" applyNumberFormat="1" applyFont="1" applyBorder="1"/>
    <xf numFmtId="37" fontId="63" fillId="0" borderId="362" xfId="0" applyNumberFormat="1" applyFont="1" applyBorder="1"/>
    <xf numFmtId="37" fontId="37" fillId="0" borderId="59" xfId="0" applyNumberFormat="1" applyFont="1" applyBorder="1"/>
    <xf numFmtId="37" fontId="37" fillId="0" borderId="362" xfId="0" applyNumberFormat="1" applyFont="1" applyBorder="1"/>
    <xf numFmtId="37" fontId="63" fillId="0" borderId="362" xfId="0" applyNumberFormat="1" applyFont="1" applyBorder="1" applyAlignment="1">
      <alignment horizontal="right"/>
    </xf>
    <xf numFmtId="37" fontId="37" fillId="0" borderId="59" xfId="0" applyNumberFormat="1" applyFont="1" applyBorder="1" applyAlignment="1">
      <alignment horizontal="right"/>
    </xf>
    <xf numFmtId="37" fontId="37" fillId="0" borderId="362" xfId="0" applyNumberFormat="1" applyFont="1" applyBorder="1" applyAlignment="1">
      <alignment horizontal="right"/>
    </xf>
    <xf numFmtId="0" fontId="189" fillId="0" borderId="0" xfId="0" applyFont="1"/>
    <xf numFmtId="177" fontId="229" fillId="44" borderId="31" xfId="0" applyNumberFormat="1" applyFont="1" applyFill="1" applyBorder="1" applyAlignment="1">
      <alignment horizontal="right"/>
    </xf>
    <xf numFmtId="37" fontId="37" fillId="57" borderId="31" xfId="0" applyNumberFormat="1" applyFont="1" applyFill="1" applyBorder="1" applyAlignment="1">
      <alignment horizontal="right"/>
    </xf>
    <xf numFmtId="37" fontId="37" fillId="57" borderId="37" xfId="0" applyNumberFormat="1" applyFont="1" applyFill="1" applyBorder="1" applyAlignment="1">
      <alignment horizontal="right"/>
    </xf>
    <xf numFmtId="37" fontId="37" fillId="57" borderId="31" xfId="0" applyNumberFormat="1" applyFont="1" applyFill="1" applyBorder="1" applyAlignment="1">
      <alignment horizontal="center"/>
    </xf>
    <xf numFmtId="37" fontId="37" fillId="57" borderId="21" xfId="0" applyNumberFormat="1" applyFont="1" applyFill="1" applyBorder="1" applyAlignment="1">
      <alignment horizontal="center"/>
    </xf>
    <xf numFmtId="37" fontId="37" fillId="57" borderId="37" xfId="0" applyNumberFormat="1" applyFont="1" applyFill="1" applyBorder="1" applyAlignment="1">
      <alignment horizontal="center"/>
    </xf>
    <xf numFmtId="169" fontId="35" fillId="57" borderId="31" xfId="0" applyNumberFormat="1" applyFont="1" applyFill="1" applyBorder="1" applyAlignment="1">
      <alignment horizontal="right"/>
    </xf>
    <xf numFmtId="169" fontId="35" fillId="57" borderId="21" xfId="0" applyNumberFormat="1" applyFont="1" applyFill="1" applyBorder="1" applyAlignment="1">
      <alignment horizontal="right"/>
    </xf>
    <xf numFmtId="169" fontId="35" fillId="57" borderId="37" xfId="0" applyNumberFormat="1" applyFont="1" applyFill="1" applyBorder="1" applyAlignment="1">
      <alignment horizontal="right"/>
    </xf>
    <xf numFmtId="177" fontId="186" fillId="57" borderId="31" xfId="0" applyNumberFormat="1" applyFont="1" applyFill="1" applyBorder="1" applyAlignment="1">
      <alignment horizontal="right"/>
    </xf>
    <xf numFmtId="177" fontId="186" fillId="57" borderId="37" xfId="0" applyNumberFormat="1" applyFont="1" applyFill="1" applyBorder="1" applyAlignment="1">
      <alignment horizontal="right"/>
    </xf>
    <xf numFmtId="169" fontId="257" fillId="0" borderId="21" xfId="0" applyNumberFormat="1" applyFont="1" applyBorder="1" applyAlignment="1">
      <alignment horizontal="right"/>
    </xf>
    <xf numFmtId="0" fontId="0" fillId="0" borderId="59" xfId="0" applyBorder="1" applyAlignment="1">
      <alignment horizontal="right"/>
    </xf>
    <xf numFmtId="349" fontId="252" fillId="49" borderId="21" xfId="0" applyNumberFormat="1" applyFont="1" applyFill="1" applyBorder="1" applyAlignment="1">
      <alignment horizontal="center"/>
    </xf>
    <xf numFmtId="349" fontId="254" fillId="0" borderId="21" xfId="0" applyNumberFormat="1" applyFont="1" applyBorder="1" applyAlignment="1">
      <alignment horizontal="center"/>
    </xf>
    <xf numFmtId="349" fontId="229" fillId="0" borderId="21" xfId="0" applyNumberFormat="1" applyFont="1" applyBorder="1" applyAlignment="1">
      <alignment horizontal="center"/>
    </xf>
    <xf numFmtId="0" fontId="186" fillId="0" borderId="622" xfId="0" applyFont="1" applyBorder="1"/>
    <xf numFmtId="0" fontId="18" fillId="0" borderId="664" xfId="0" applyFont="1" applyBorder="1" applyAlignment="1">
      <alignment horizontal="center"/>
    </xf>
    <xf numFmtId="177" fontId="18" fillId="0" borderId="661" xfId="0" applyNumberFormat="1" applyFont="1" applyBorder="1"/>
    <xf numFmtId="177" fontId="18" fillId="0" borderId="622" xfId="0" applyNumberFormat="1" applyFont="1" applyBorder="1"/>
    <xf numFmtId="177" fontId="18" fillId="0" borderId="622" xfId="0" applyNumberFormat="1" applyFont="1" applyBorder="1" applyAlignment="1">
      <alignment horizontal="right"/>
    </xf>
    <xf numFmtId="177" fontId="18" fillId="0" borderId="661" xfId="0" applyNumberFormat="1" applyFont="1" applyBorder="1" applyAlignment="1">
      <alignment horizontal="right"/>
    </xf>
    <xf numFmtId="177" fontId="251" fillId="0" borderId="661" xfId="0" applyNumberFormat="1" applyFont="1" applyBorder="1" applyAlignment="1">
      <alignment horizontal="right"/>
    </xf>
    <xf numFmtId="0" fontId="267" fillId="0" borderId="0" xfId="0" applyFont="1" applyAlignment="1">
      <alignment horizontal="center"/>
    </xf>
    <xf numFmtId="227" fontId="267" fillId="0" borderId="0" xfId="0" applyNumberFormat="1" applyFont="1" applyAlignment="1">
      <alignment horizontal="right"/>
    </xf>
    <xf numFmtId="227" fontId="37" fillId="0" borderId="0" xfId="0" applyNumberFormat="1" applyFont="1" applyAlignment="1">
      <alignment horizontal="right"/>
    </xf>
    <xf numFmtId="346" fontId="267" fillId="0" borderId="0" xfId="0" applyNumberFormat="1" applyFont="1" applyAlignment="1">
      <alignment horizontal="right"/>
    </xf>
    <xf numFmtId="347" fontId="267" fillId="0" borderId="0" xfId="0" applyNumberFormat="1" applyFont="1" applyAlignment="1">
      <alignment horizontal="right"/>
    </xf>
    <xf numFmtId="348" fontId="37" fillId="0" borderId="0" xfId="0" applyNumberFormat="1" applyFont="1" applyAlignment="1">
      <alignment horizontal="right"/>
    </xf>
    <xf numFmtId="4" fontId="37" fillId="0" borderId="0" xfId="0" applyNumberFormat="1" applyFont="1" applyAlignment="1">
      <alignment horizontal="right"/>
    </xf>
    <xf numFmtId="178" fontId="37" fillId="0" borderId="0" xfId="0" applyNumberFormat="1" applyFont="1" applyAlignment="1">
      <alignment horizontal="right"/>
    </xf>
    <xf numFmtId="344" fontId="37" fillId="0" borderId="0" xfId="0" applyNumberFormat="1" applyFont="1" applyAlignment="1">
      <alignment horizontal="right"/>
    </xf>
    <xf numFmtId="169" fontId="37" fillId="49" borderId="0" xfId="0" applyNumberFormat="1" applyFont="1" applyFill="1" applyAlignment="1">
      <alignment horizontal="right"/>
    </xf>
    <xf numFmtId="169" fontId="44" fillId="0" borderId="0" xfId="0" applyNumberFormat="1" applyFont="1" applyAlignment="1">
      <alignment horizontal="right"/>
    </xf>
    <xf numFmtId="349" fontId="252" fillId="49" borderId="0" xfId="0" applyNumberFormat="1" applyFont="1" applyFill="1" applyAlignment="1">
      <alignment horizontal="center"/>
    </xf>
    <xf numFmtId="349" fontId="254" fillId="0" borderId="0" xfId="0" applyNumberFormat="1" applyFont="1" applyAlignment="1">
      <alignment horizontal="center"/>
    </xf>
    <xf numFmtId="349" fontId="252" fillId="0" borderId="0" xfId="0" applyNumberFormat="1" applyFont="1" applyAlignment="1">
      <alignment horizontal="center"/>
    </xf>
    <xf numFmtId="349" fontId="251" fillId="0" borderId="59" xfId="0" applyNumberFormat="1" applyFont="1" applyBorder="1" applyAlignment="1">
      <alignment horizontal="center"/>
    </xf>
    <xf numFmtId="349" fontId="252" fillId="49" borderId="362" xfId="0" applyNumberFormat="1" applyFont="1" applyFill="1" applyBorder="1" applyAlignment="1">
      <alignment horizontal="center"/>
    </xf>
    <xf numFmtId="0" fontId="229" fillId="44" borderId="654" xfId="0" applyFont="1" applyFill="1" applyBorder="1" applyAlignment="1">
      <alignment horizontal="center"/>
    </xf>
    <xf numFmtId="37" fontId="229" fillId="44" borderId="0" xfId="0" applyNumberFormat="1" applyFont="1" applyFill="1"/>
    <xf numFmtId="37" fontId="63" fillId="0" borderId="664" xfId="0" applyNumberFormat="1" applyFont="1" applyBorder="1" applyAlignment="1">
      <alignment horizontal="right"/>
    </xf>
    <xf numFmtId="1" fontId="232" fillId="57" borderId="37" xfId="0" applyNumberFormat="1" applyFont="1" applyFill="1" applyBorder="1" applyAlignment="1">
      <alignment horizontal="right"/>
    </xf>
    <xf numFmtId="37" fontId="63" fillId="0" borderId="622" xfId="0" applyNumberFormat="1" applyFont="1" applyBorder="1" applyAlignment="1">
      <alignment horizontal="right"/>
    </xf>
    <xf numFmtId="177" fontId="186" fillId="57" borderId="362" xfId="0" applyNumberFormat="1" applyFont="1" applyFill="1" applyBorder="1" applyAlignment="1">
      <alignment horizontal="right"/>
    </xf>
    <xf numFmtId="0" fontId="18" fillId="0" borderId="663" xfId="0" applyFont="1" applyBorder="1" applyAlignment="1">
      <alignment horizontal="center"/>
    </xf>
    <xf numFmtId="5" fontId="267" fillId="54" borderId="630" xfId="0" applyNumberFormat="1" applyFont="1" applyFill="1" applyBorder="1" applyAlignment="1">
      <alignment horizontal="right"/>
    </xf>
    <xf numFmtId="7" fontId="18" fillId="0" borderId="663" xfId="0" applyNumberFormat="1" applyFont="1" applyBorder="1" applyAlignment="1">
      <alignment horizontal="right"/>
    </xf>
    <xf numFmtId="7" fontId="37" fillId="45" borderId="630" xfId="0" applyNumberFormat="1" applyFont="1" applyFill="1" applyBorder="1" applyAlignment="1">
      <alignment horizontal="right"/>
    </xf>
    <xf numFmtId="4" fontId="18" fillId="0" borderId="630" xfId="1525" applyFont="1" applyFill="1" applyBorder="1" applyAlignment="1">
      <alignment horizontal="right"/>
    </xf>
    <xf numFmtId="274" fontId="18" fillId="0" borderId="663" xfId="0" applyNumberFormat="1" applyFont="1" applyBorder="1" applyAlignment="1">
      <alignment horizontal="right"/>
    </xf>
    <xf numFmtId="227" fontId="35" fillId="0" borderId="0" xfId="0" applyNumberFormat="1" applyFont="1"/>
    <xf numFmtId="169" fontId="18" fillId="0" borderId="663" xfId="1716" applyNumberFormat="1" applyFont="1" applyFill="1" applyBorder="1" applyAlignment="1">
      <alignment horizontal="right"/>
    </xf>
    <xf numFmtId="169" fontId="18" fillId="0" borderId="631" xfId="1716" applyNumberFormat="1" applyFont="1" applyFill="1" applyBorder="1" applyAlignment="1">
      <alignment horizontal="right"/>
    </xf>
    <xf numFmtId="0" fontId="0" fillId="47" borderId="0" xfId="0" applyFill="1"/>
    <xf numFmtId="9" fontId="18" fillId="0" borderId="31" xfId="1716" applyFont="1" applyFill="1" applyBorder="1" applyAlignment="1">
      <alignment horizontal="right"/>
    </xf>
    <xf numFmtId="0" fontId="0" fillId="0" borderId="653" xfId="0" applyBorder="1"/>
    <xf numFmtId="349" fontId="251" fillId="0" borderId="31" xfId="0" applyNumberFormat="1" applyFont="1" applyBorder="1" applyAlignment="1">
      <alignment horizontal="center"/>
    </xf>
    <xf numFmtId="349" fontId="251" fillId="0" borderId="0" xfId="0" applyNumberFormat="1" applyFont="1" applyAlignment="1">
      <alignment horizontal="center"/>
    </xf>
    <xf numFmtId="349" fontId="251" fillId="0" borderId="37" xfId="0" applyNumberFormat="1" applyFont="1" applyBorder="1" applyAlignment="1">
      <alignment horizontal="center"/>
    </xf>
    <xf numFmtId="0" fontId="18" fillId="0" borderId="362" xfId="0" applyFont="1" applyBorder="1"/>
    <xf numFmtId="349" fontId="252" fillId="49" borderId="59" xfId="0" applyNumberFormat="1" applyFont="1" applyFill="1" applyBorder="1" applyAlignment="1">
      <alignment horizontal="center"/>
    </xf>
    <xf numFmtId="179" fontId="190" fillId="44" borderId="661" xfId="1525" applyNumberFormat="1" applyFont="1" applyFill="1" applyBorder="1" applyAlignment="1">
      <alignment horizontal="center"/>
    </xf>
    <xf numFmtId="333" fontId="37" fillId="0" borderId="661" xfId="0" applyNumberFormat="1" applyFont="1" applyBorder="1"/>
    <xf numFmtId="37" fontId="37" fillId="45" borderId="661" xfId="0" applyNumberFormat="1" applyFont="1" applyFill="1" applyBorder="1"/>
    <xf numFmtId="6" fontId="49" fillId="0" borderId="59" xfId="0" applyNumberFormat="1" applyFont="1" applyBorder="1" applyAlignment="1">
      <alignment horizontal="center" vertical="center"/>
    </xf>
    <xf numFmtId="3" fontId="354" fillId="0" borderId="59" xfId="0" applyNumberFormat="1" applyFont="1" applyBorder="1"/>
    <xf numFmtId="188" fontId="18" fillId="45" borderId="654" xfId="0" applyNumberFormat="1" applyFont="1" applyFill="1" applyBorder="1"/>
    <xf numFmtId="37" fontId="18" fillId="0" borderId="654" xfId="0" applyNumberFormat="1" applyFont="1" applyBorder="1" applyAlignment="1">
      <alignment horizontal="right"/>
    </xf>
    <xf numFmtId="37" fontId="18" fillId="45" borderId="654" xfId="0" applyNumberFormat="1" applyFont="1" applyFill="1" applyBorder="1" applyAlignment="1">
      <alignment horizontal="center"/>
    </xf>
    <xf numFmtId="3" fontId="18" fillId="0" borderId="661" xfId="0" applyNumberFormat="1" applyFont="1" applyBorder="1" applyAlignment="1">
      <alignment horizontal="right"/>
    </xf>
    <xf numFmtId="38" fontId="18" fillId="0" borderId="661" xfId="0" applyNumberFormat="1" applyFont="1" applyBorder="1" applyAlignment="1">
      <alignment horizontal="right"/>
    </xf>
    <xf numFmtId="38" fontId="18" fillId="45" borderId="654" xfId="0" applyNumberFormat="1" applyFont="1" applyFill="1" applyBorder="1" applyAlignment="1">
      <alignment horizontal="right"/>
    </xf>
    <xf numFmtId="38" fontId="18" fillId="0" borderId="661" xfId="0" applyNumberFormat="1" applyFont="1" applyBorder="1"/>
    <xf numFmtId="8" fontId="251" fillId="0" borderId="31" xfId="0" applyNumberFormat="1" applyFont="1" applyBorder="1" applyAlignment="1">
      <alignment horizontal="right"/>
    </xf>
    <xf numFmtId="169" fontId="18" fillId="0" borderId="73" xfId="0" applyNumberFormat="1" applyFont="1" applyBorder="1" applyAlignment="1">
      <alignment horizontal="right"/>
    </xf>
    <xf numFmtId="169" fontId="48" fillId="45" borderId="0" xfId="0" applyNumberFormat="1" applyFont="1" applyFill="1"/>
    <xf numFmtId="169" fontId="48" fillId="45" borderId="73" xfId="0" applyNumberFormat="1" applyFont="1" applyFill="1" applyBorder="1"/>
    <xf numFmtId="169" fontId="18" fillId="0" borderId="75" xfId="0" applyNumberFormat="1" applyFont="1" applyBorder="1" applyAlignment="1">
      <alignment horizontal="right"/>
    </xf>
    <xf numFmtId="169" fontId="48" fillId="45" borderId="608" xfId="0" applyNumberFormat="1" applyFont="1" applyFill="1" applyBorder="1"/>
    <xf numFmtId="169" fontId="48" fillId="45" borderId="649" xfId="0" applyNumberFormat="1" applyFont="1" applyFill="1" applyBorder="1"/>
    <xf numFmtId="169" fontId="18" fillId="0" borderId="97" xfId="0" applyNumberFormat="1" applyFont="1" applyBorder="1" applyAlignment="1">
      <alignment horizontal="right"/>
    </xf>
    <xf numFmtId="169" fontId="48" fillId="45" borderId="101" xfId="0" applyNumberFormat="1" applyFont="1" applyFill="1" applyBorder="1"/>
    <xf numFmtId="169" fontId="18" fillId="0" borderId="75" xfId="0" applyNumberFormat="1" applyFont="1" applyBorder="1"/>
    <xf numFmtId="169" fontId="48" fillId="45" borderId="21" xfId="0" applyNumberFormat="1" applyFont="1" applyFill="1" applyBorder="1"/>
    <xf numFmtId="169" fontId="18" fillId="0" borderId="608" xfId="0" applyNumberFormat="1" applyFont="1" applyBorder="1"/>
    <xf numFmtId="169" fontId="18" fillId="0" borderId="649" xfId="0" applyNumberFormat="1" applyFont="1" applyBorder="1"/>
    <xf numFmtId="169" fontId="18" fillId="0" borderId="97" xfId="0" applyNumberFormat="1" applyFont="1" applyBorder="1"/>
    <xf numFmtId="169" fontId="18" fillId="0" borderId="101" xfId="0" applyNumberFormat="1" applyFont="1" applyBorder="1"/>
    <xf numFmtId="37" fontId="354" fillId="0" borderId="31" xfId="0" applyNumberFormat="1" applyFont="1" applyBorder="1" applyAlignment="1">
      <alignment horizontal="right"/>
    </xf>
    <xf numFmtId="333" fontId="354" fillId="0" borderId="73" xfId="0" applyNumberFormat="1" applyFont="1" applyBorder="1" applyAlignment="1">
      <alignment horizontal="right"/>
    </xf>
    <xf numFmtId="37" fontId="354" fillId="0" borderId="36" xfId="0" applyNumberFormat="1" applyFont="1" applyBorder="1" applyAlignment="1">
      <alignment horizontal="right"/>
    </xf>
    <xf numFmtId="37" fontId="354" fillId="0" borderId="21" xfId="0" applyNumberFormat="1" applyFont="1" applyBorder="1" applyAlignment="1">
      <alignment horizontal="right"/>
    </xf>
    <xf numFmtId="37" fontId="354" fillId="0" borderId="74" xfId="0" applyNumberFormat="1" applyFont="1" applyBorder="1" applyAlignment="1">
      <alignment horizontal="right"/>
    </xf>
    <xf numFmtId="37" fontId="354" fillId="0" borderId="73" xfId="0" applyNumberFormat="1" applyFont="1" applyBorder="1" applyAlignment="1">
      <alignment horizontal="right"/>
    </xf>
    <xf numFmtId="350" fontId="18" fillId="0" borderId="31" xfId="0" applyNumberFormat="1" applyFont="1" applyBorder="1" applyAlignment="1">
      <alignment horizontal="right"/>
    </xf>
    <xf numFmtId="350" fontId="18" fillId="0" borderId="0" xfId="0" applyNumberFormat="1" applyFont="1" applyAlignment="1">
      <alignment horizontal="right"/>
    </xf>
    <xf numFmtId="350" fontId="18" fillId="0" borderId="73" xfId="0" applyNumberFormat="1" applyFont="1" applyBorder="1" applyAlignment="1">
      <alignment horizontal="right"/>
    </xf>
    <xf numFmtId="333" fontId="18" fillId="0" borderId="31" xfId="0" applyNumberFormat="1" applyFont="1" applyBorder="1"/>
    <xf numFmtId="333" fontId="251" fillId="0" borderId="645" xfId="0" applyNumberFormat="1" applyFont="1" applyBorder="1"/>
    <xf numFmtId="333" fontId="251" fillId="0" borderId="538" xfId="0" applyNumberFormat="1" applyFont="1" applyBorder="1"/>
    <xf numFmtId="333" fontId="251" fillId="0" borderId="661" xfId="0" applyNumberFormat="1" applyFont="1" applyBorder="1"/>
    <xf numFmtId="38" fontId="18" fillId="0" borderId="31" xfId="1687" applyNumberFormat="1" applyFont="1" applyBorder="1"/>
    <xf numFmtId="331" fontId="18" fillId="0" borderId="0" xfId="0" applyNumberFormat="1" applyFont="1" applyAlignment="1">
      <alignment horizontal="right"/>
    </xf>
    <xf numFmtId="333" fontId="18" fillId="0" borderId="102" xfId="0" applyNumberFormat="1" applyFont="1" applyBorder="1"/>
    <xf numFmtId="333" fontId="354" fillId="0" borderId="37" xfId="0" applyNumberFormat="1" applyFont="1" applyBorder="1"/>
    <xf numFmtId="165" fontId="354" fillId="0" borderId="640" xfId="0" applyNumberFormat="1" applyFont="1" applyBorder="1" applyAlignment="1">
      <alignment horizontal="right"/>
    </xf>
    <xf numFmtId="165" fontId="354" fillId="0" borderId="632" xfId="0" applyNumberFormat="1" applyFont="1" applyBorder="1" applyAlignment="1">
      <alignment horizontal="right"/>
    </xf>
    <xf numFmtId="165" fontId="354" fillId="0" borderId="105" xfId="0" applyNumberFormat="1" applyFont="1" applyBorder="1" applyAlignment="1">
      <alignment horizontal="right"/>
    </xf>
    <xf numFmtId="0" fontId="18" fillId="0" borderId="0" xfId="2047" applyFont="1"/>
    <xf numFmtId="0" fontId="37" fillId="0" borderId="0" xfId="2047" applyFont="1"/>
    <xf numFmtId="3" fontId="251" fillId="0" borderId="0" xfId="1525" applyNumberFormat="1" applyFont="1" applyFill="1" applyBorder="1"/>
    <xf numFmtId="3" fontId="251" fillId="0" borderId="0" xfId="1525" applyNumberFormat="1" applyFont="1" applyFill="1" applyBorder="1" applyAlignment="1"/>
    <xf numFmtId="0" fontId="18" fillId="0" borderId="655" xfId="2047" applyFont="1" applyBorder="1"/>
    <xf numFmtId="0" fontId="37" fillId="0" borderId="655" xfId="2047" applyFont="1" applyBorder="1"/>
    <xf numFmtId="3" fontId="251" fillId="0" borderId="622" xfId="1525" applyNumberFormat="1" applyFont="1" applyFill="1" applyBorder="1"/>
    <xf numFmtId="0" fontId="37" fillId="0" borderId="622" xfId="2047" applyFont="1" applyBorder="1"/>
    <xf numFmtId="3" fontId="251" fillId="0" borderId="622" xfId="1525" applyNumberFormat="1" applyFont="1" applyFill="1" applyBorder="1" applyAlignment="1"/>
    <xf numFmtId="3" fontId="251" fillId="0" borderId="655" xfId="1525" applyNumberFormat="1" applyFont="1" applyFill="1" applyBorder="1" applyAlignment="1"/>
    <xf numFmtId="3" fontId="251" fillId="0" borderId="664" xfId="1525" applyNumberFormat="1" applyFont="1" applyFill="1" applyBorder="1" applyAlignment="1"/>
    <xf numFmtId="0" fontId="18" fillId="0" borderId="31" xfId="2047" applyFont="1" applyBorder="1"/>
    <xf numFmtId="0" fontId="37" fillId="0" borderId="31" xfId="2047" applyFont="1" applyBorder="1"/>
    <xf numFmtId="3" fontId="251" fillId="0" borderId="21" xfId="1525" applyNumberFormat="1" applyFont="1" applyFill="1" applyBorder="1"/>
    <xf numFmtId="0" fontId="37" fillId="0" borderId="21" xfId="2047" applyFont="1" applyBorder="1"/>
    <xf numFmtId="3" fontId="251" fillId="0" borderId="21" xfId="1525" applyNumberFormat="1" applyFont="1" applyFill="1" applyBorder="1" applyAlignment="1"/>
    <xf numFmtId="3" fontId="251" fillId="0" borderId="31" xfId="1525" applyNumberFormat="1" applyFont="1" applyFill="1" applyBorder="1" applyAlignment="1"/>
    <xf numFmtId="3" fontId="251" fillId="0" borderId="37" xfId="1525" applyNumberFormat="1" applyFont="1" applyFill="1" applyBorder="1" applyAlignment="1"/>
    <xf numFmtId="0" fontId="18" fillId="0" borderId="631" xfId="2047" applyFont="1" applyBorder="1"/>
    <xf numFmtId="0" fontId="37" fillId="0" borderId="631" xfId="2047" applyFont="1" applyBorder="1"/>
    <xf numFmtId="3" fontId="251" fillId="0" borderId="362" xfId="1525" applyNumberFormat="1" applyFont="1" applyFill="1" applyBorder="1"/>
    <xf numFmtId="0" fontId="37" fillId="0" borderId="362" xfId="2047" applyFont="1" applyBorder="1"/>
    <xf numFmtId="3" fontId="251" fillId="0" borderId="362" xfId="1525" applyNumberFormat="1" applyFont="1" applyFill="1" applyBorder="1" applyAlignment="1"/>
    <xf numFmtId="3" fontId="251" fillId="0" borderId="631" xfId="1525" applyNumberFormat="1" applyFont="1" applyFill="1" applyBorder="1" applyAlignment="1"/>
    <xf numFmtId="3" fontId="251" fillId="0" borderId="634" xfId="1525" applyNumberFormat="1" applyFont="1" applyFill="1" applyBorder="1" applyAlignment="1"/>
    <xf numFmtId="0" fontId="37" fillId="0" borderId="654" xfId="2047" applyFont="1" applyBorder="1"/>
    <xf numFmtId="0" fontId="37" fillId="0" borderId="661" xfId="2047" applyFont="1" applyBorder="1"/>
    <xf numFmtId="0" fontId="37" fillId="0" borderId="59" xfId="2047" applyFont="1" applyBorder="1"/>
    <xf numFmtId="281" fontId="44" fillId="0" borderId="0" xfId="0" applyNumberFormat="1" applyFont="1" applyAlignment="1">
      <alignment horizontal="right"/>
    </xf>
    <xf numFmtId="0" fontId="156" fillId="0" borderId="0" xfId="0" applyFont="1"/>
    <xf numFmtId="3" fontId="37" fillId="0" borderId="362" xfId="1525" applyNumberFormat="1" applyFont="1" applyFill="1" applyBorder="1"/>
    <xf numFmtId="3" fontId="37" fillId="0" borderId="362" xfId="1525" applyNumberFormat="1" applyFont="1" applyFill="1" applyBorder="1" applyAlignment="1"/>
    <xf numFmtId="3" fontId="37" fillId="0" borderId="631" xfId="1525" applyNumberFormat="1" applyFont="1" applyFill="1" applyBorder="1" applyAlignment="1"/>
    <xf numFmtId="3" fontId="37" fillId="0" borderId="634" xfId="1525" applyNumberFormat="1" applyFont="1" applyFill="1" applyBorder="1" applyAlignment="1"/>
    <xf numFmtId="0" fontId="266" fillId="44" borderId="654" xfId="0" applyFont="1" applyFill="1" applyBorder="1" applyAlignment="1">
      <alignment horizontal="left"/>
    </xf>
    <xf numFmtId="0" fontId="266" fillId="44" borderId="99" xfId="0" applyFont="1" applyFill="1" applyBorder="1" applyAlignment="1">
      <alignment horizontal="left"/>
    </xf>
    <xf numFmtId="0" fontId="370" fillId="0" borderId="0" xfId="0" applyFont="1"/>
    <xf numFmtId="0" fontId="370" fillId="0" borderId="0" xfId="0" applyFont="1" applyAlignment="1">
      <alignment horizontal="center"/>
    </xf>
    <xf numFmtId="0" fontId="370" fillId="49" borderId="0" xfId="0" applyFont="1" applyFill="1"/>
    <xf numFmtId="0" fontId="370" fillId="49" borderId="21" xfId="0" applyFont="1" applyFill="1" applyBorder="1" applyAlignment="1">
      <alignment horizontal="left"/>
    </xf>
    <xf numFmtId="0" fontId="370" fillId="0" borderId="21" xfId="0" applyFont="1" applyBorder="1" applyAlignment="1">
      <alignment horizontal="left"/>
    </xf>
    <xf numFmtId="169" fontId="370" fillId="0" borderId="0" xfId="0" applyNumberFormat="1" applyFont="1"/>
    <xf numFmtId="1" fontId="370" fillId="0" borderId="0" xfId="0" applyNumberFormat="1" applyFont="1"/>
    <xf numFmtId="176" fontId="370" fillId="0" borderId="0" xfId="1525" applyNumberFormat="1" applyFont="1" applyFill="1"/>
    <xf numFmtId="37" fontId="370" fillId="0" borderId="0" xfId="0" applyNumberFormat="1" applyFont="1"/>
    <xf numFmtId="0" fontId="370" fillId="50" borderId="0" xfId="0" applyFont="1" applyFill="1"/>
    <xf numFmtId="0" fontId="18" fillId="0" borderId="653" xfId="0" applyFont="1" applyBorder="1"/>
    <xf numFmtId="177" fontId="37" fillId="0" borderId="0" xfId="0" applyNumberFormat="1" applyFont="1" applyAlignment="1">
      <alignment horizontal="center"/>
    </xf>
    <xf numFmtId="9" fontId="361" fillId="0" borderId="21" xfId="0" quotePrefix="1" applyNumberFormat="1" applyFont="1" applyBorder="1" applyAlignment="1">
      <alignment horizontal="center" shrinkToFit="1"/>
    </xf>
    <xf numFmtId="189" fontId="354" fillId="49" borderId="37" xfId="2895" applyNumberFormat="1" applyFont="1" applyFill="1" applyBorder="1" applyAlignment="1">
      <alignment horizontal="right" shrinkToFit="1"/>
    </xf>
    <xf numFmtId="328" fontId="18" fillId="0" borderId="37" xfId="15987" applyNumberFormat="1" applyBorder="1"/>
    <xf numFmtId="328" fontId="18" fillId="0" borderId="21" xfId="15987" applyNumberFormat="1" applyBorder="1"/>
    <xf numFmtId="328" fontId="37" fillId="45" borderId="6" xfId="1716" applyNumberFormat="1" applyFont="1" applyFill="1" applyBorder="1" applyAlignment="1">
      <alignment horizontal="right"/>
    </xf>
    <xf numFmtId="227" fontId="186" fillId="0" borderId="21" xfId="0" applyNumberFormat="1" applyFont="1" applyBorder="1"/>
    <xf numFmtId="0" fontId="18" fillId="0" borderId="77" xfId="0" applyFont="1" applyBorder="1" applyAlignment="1">
      <alignment horizontal="right"/>
    </xf>
    <xf numFmtId="5" fontId="267" fillId="54" borderId="633" xfId="0" applyNumberFormat="1" applyFont="1" applyFill="1" applyBorder="1" applyAlignment="1">
      <alignment horizontal="right"/>
    </xf>
    <xf numFmtId="7" fontId="18" fillId="0" borderId="664" xfId="0" applyNumberFormat="1" applyFont="1" applyBorder="1" applyAlignment="1">
      <alignment horizontal="right"/>
    </xf>
    <xf numFmtId="7" fontId="18" fillId="0" borderId="77" xfId="0" applyNumberFormat="1" applyFont="1" applyBorder="1" applyAlignment="1">
      <alignment horizontal="right"/>
    </xf>
    <xf numFmtId="7" fontId="37" fillId="45" borderId="633" xfId="0" applyNumberFormat="1" applyFont="1" applyFill="1" applyBorder="1" applyAlignment="1">
      <alignment horizontal="right"/>
    </xf>
    <xf numFmtId="8" fontId="37" fillId="0" borderId="77" xfId="1559" applyFont="1" applyFill="1" applyBorder="1" applyAlignment="1">
      <alignment horizontal="right"/>
    </xf>
    <xf numFmtId="4" fontId="18" fillId="0" borderId="633" xfId="1525" applyFont="1" applyFill="1" applyBorder="1" applyAlignment="1">
      <alignment horizontal="right"/>
    </xf>
    <xf numFmtId="274" fontId="18" fillId="0" borderId="664" xfId="0" applyNumberFormat="1" applyFont="1" applyBorder="1" applyAlignment="1">
      <alignment horizontal="right"/>
    </xf>
    <xf numFmtId="169" fontId="18" fillId="0" borderId="77" xfId="0" applyNumberFormat="1" applyFont="1" applyBorder="1" applyAlignment="1">
      <alignment horizontal="right"/>
    </xf>
    <xf numFmtId="37" fontId="18" fillId="0" borderId="664" xfId="0" applyNumberFormat="1" applyFont="1" applyBorder="1" applyAlignment="1">
      <alignment horizontal="right"/>
    </xf>
    <xf numFmtId="169" fontId="251" fillId="0" borderId="37" xfId="1716" applyNumberFormat="1" applyFont="1" applyFill="1" applyBorder="1" applyAlignment="1">
      <alignment horizontal="right"/>
    </xf>
    <xf numFmtId="4" fontId="186" fillId="0" borderId="633" xfId="0" applyNumberFormat="1" applyFont="1" applyBorder="1" applyAlignment="1">
      <alignment horizontal="right"/>
    </xf>
    <xf numFmtId="4" fontId="186" fillId="0" borderId="37" xfId="0" applyNumberFormat="1" applyFont="1" applyBorder="1" applyAlignment="1">
      <alignment horizontal="right"/>
    </xf>
    <xf numFmtId="9" fontId="48" fillId="46" borderId="37" xfId="0" applyNumberFormat="1" applyFont="1" applyFill="1" applyBorder="1" applyAlignment="1">
      <alignment horizontal="right"/>
    </xf>
    <xf numFmtId="9" fontId="48" fillId="49" borderId="634" xfId="0" applyNumberFormat="1" applyFont="1" applyFill="1" applyBorder="1" applyAlignment="1">
      <alignment horizontal="right"/>
    </xf>
    <xf numFmtId="169" fontId="48" fillId="52" borderId="21" xfId="0" applyNumberFormat="1" applyFont="1" applyFill="1" applyBorder="1" applyAlignment="1">
      <alignment horizontal="right"/>
    </xf>
    <xf numFmtId="9" fontId="48" fillId="52" borderId="21" xfId="0" applyNumberFormat="1" applyFont="1" applyFill="1" applyBorder="1" applyAlignment="1">
      <alignment horizontal="right"/>
    </xf>
    <xf numFmtId="0" fontId="63" fillId="71" borderId="574" xfId="0" applyFont="1" applyFill="1" applyBorder="1" applyAlignment="1">
      <alignment horizontal="left"/>
    </xf>
    <xf numFmtId="0" fontId="229" fillId="104" borderId="21" xfId="0" applyFont="1" applyFill="1" applyBorder="1"/>
    <xf numFmtId="0" fontId="229" fillId="0" borderId="21" xfId="0" applyFont="1" applyBorder="1"/>
    <xf numFmtId="0" fontId="252" fillId="0" borderId="21" xfId="0" applyFont="1" applyBorder="1"/>
    <xf numFmtId="0" fontId="254" fillId="0" borderId="21" xfId="0" applyFont="1" applyBorder="1"/>
    <xf numFmtId="227" fontId="186" fillId="0" borderId="0" xfId="0" applyNumberFormat="1" applyFont="1" applyAlignment="1">
      <alignment horizontal="right"/>
    </xf>
    <xf numFmtId="169" fontId="18" fillId="0" borderId="0" xfId="2895" applyNumberFormat="1" applyFont="1" applyFill="1" applyBorder="1" applyAlignment="1">
      <alignment horizontal="center"/>
    </xf>
    <xf numFmtId="4" fontId="251" fillId="0" borderId="6" xfId="1525" applyFont="1" applyFill="1" applyBorder="1" applyAlignment="1">
      <alignment horizontal="right"/>
    </xf>
    <xf numFmtId="4" fontId="251" fillId="0" borderId="632" xfId="1525" applyFont="1" applyFill="1" applyBorder="1" applyAlignment="1">
      <alignment horizontal="right"/>
    </xf>
    <xf numFmtId="0" fontId="37" fillId="102" borderId="0" xfId="0" applyFont="1" applyFill="1"/>
    <xf numFmtId="0" fontId="18" fillId="102" borderId="0" xfId="0" applyFont="1" applyFill="1"/>
    <xf numFmtId="0" fontId="370" fillId="0" borderId="0" xfId="0" applyFont="1" applyAlignment="1">
      <alignment horizontal="right"/>
    </xf>
    <xf numFmtId="327" fontId="230" fillId="0" borderId="574" xfId="0" applyNumberFormat="1" applyFont="1" applyBorder="1" applyAlignment="1">
      <alignment horizontal="center"/>
    </xf>
    <xf numFmtId="37" fontId="186" fillId="71" borderId="632" xfId="0" applyNumberFormat="1" applyFont="1" applyFill="1" applyBorder="1" applyAlignment="1">
      <alignment horizontal="right"/>
    </xf>
    <xf numFmtId="37" fontId="186" fillId="71" borderId="633" xfId="0" applyNumberFormat="1" applyFont="1" applyFill="1" applyBorder="1" applyAlignment="1">
      <alignment horizontal="right"/>
    </xf>
    <xf numFmtId="169" fontId="35" fillId="0" borderId="21" xfId="0" applyNumberFormat="1" applyFont="1" applyBorder="1" applyAlignment="1">
      <alignment horizontal="right" vertical="center"/>
    </xf>
    <xf numFmtId="169" fontId="35" fillId="0" borderId="0" xfId="0" applyNumberFormat="1" applyFont="1" applyAlignment="1">
      <alignment horizontal="right" vertical="center"/>
    </xf>
    <xf numFmtId="169" fontId="18" fillId="0" borderId="0" xfId="0" applyNumberFormat="1" applyFont="1" applyAlignment="1">
      <alignment horizontal="right" vertical="center"/>
    </xf>
    <xf numFmtId="169" fontId="35" fillId="0" borderId="37" xfId="0" applyNumberFormat="1" applyFont="1" applyBorder="1" applyAlignment="1">
      <alignment horizontal="right" vertical="center"/>
    </xf>
    <xf numFmtId="169" fontId="18" fillId="71" borderId="0" xfId="0" applyNumberFormat="1" applyFont="1" applyFill="1" applyAlignment="1">
      <alignment horizontal="right" vertical="center"/>
    </xf>
    <xf numFmtId="169" fontId="48" fillId="71" borderId="21" xfId="0" applyNumberFormat="1" applyFont="1" applyFill="1" applyBorder="1" applyAlignment="1">
      <alignment horizontal="right" vertical="center"/>
    </xf>
    <xf numFmtId="169" fontId="252" fillId="0" borderId="21" xfId="0" applyNumberFormat="1" applyFont="1" applyBorder="1" applyAlignment="1">
      <alignment horizontal="right" vertical="center"/>
    </xf>
    <xf numFmtId="169" fontId="252" fillId="0" borderId="37" xfId="0" applyNumberFormat="1" applyFont="1" applyBorder="1" applyAlignment="1">
      <alignment horizontal="right" vertical="center"/>
    </xf>
    <xf numFmtId="169" fontId="18" fillId="0" borderId="37" xfId="0" applyNumberFormat="1" applyFont="1" applyBorder="1" applyAlignment="1">
      <alignment horizontal="right" vertical="center"/>
    </xf>
    <xf numFmtId="169" fontId="48" fillId="0" borderId="21" xfId="0" applyNumberFormat="1" applyFont="1" applyBorder="1" applyAlignment="1">
      <alignment horizontal="right" vertical="center"/>
    </xf>
    <xf numFmtId="169" fontId="251" fillId="0" borderId="0" xfId="0" applyNumberFormat="1" applyFont="1" applyAlignment="1">
      <alignment horizontal="right" vertical="center"/>
    </xf>
    <xf numFmtId="169" fontId="48" fillId="49" borderId="21" xfId="0" applyNumberFormat="1" applyFont="1" applyFill="1" applyBorder="1" applyAlignment="1">
      <alignment horizontal="right" vertical="center"/>
    </xf>
    <xf numFmtId="169" fontId="48" fillId="49" borderId="31" xfId="0" applyNumberFormat="1" applyFont="1" applyFill="1" applyBorder="1" applyAlignment="1">
      <alignment horizontal="right" vertical="center"/>
    </xf>
    <xf numFmtId="169" fontId="48" fillId="49" borderId="0" xfId="0" applyNumberFormat="1" applyFont="1" applyFill="1" applyAlignment="1">
      <alignment horizontal="right" vertical="center"/>
    </xf>
    <xf numFmtId="169" fontId="48" fillId="0" borderId="0" xfId="0" applyNumberFormat="1" applyFont="1" applyAlignment="1">
      <alignment horizontal="right" vertical="center"/>
    </xf>
    <xf numFmtId="169" fontId="252" fillId="0" borderId="0" xfId="1716" applyNumberFormat="1" applyFont="1" applyFill="1" applyBorder="1" applyAlignment="1">
      <alignment horizontal="right" vertical="center"/>
    </xf>
    <xf numFmtId="169" fontId="252" fillId="49" borderId="0" xfId="0" applyNumberFormat="1" applyFont="1" applyFill="1" applyAlignment="1">
      <alignment horizontal="right" vertical="center"/>
    </xf>
    <xf numFmtId="1" fontId="18" fillId="0" borderId="21" xfId="0" applyNumberFormat="1" applyFont="1" applyBorder="1" applyAlignment="1">
      <alignment horizontal="left" indent="1"/>
    </xf>
    <xf numFmtId="169" fontId="252" fillId="49" borderId="37" xfId="0" applyNumberFormat="1" applyFont="1" applyFill="1" applyBorder="1" applyAlignment="1">
      <alignment horizontal="right"/>
    </xf>
    <xf numFmtId="1" fontId="38" fillId="0" borderId="21" xfId="0" applyNumberFormat="1" applyFont="1" applyBorder="1" applyAlignment="1">
      <alignment horizontal="left" indent="1"/>
    </xf>
    <xf numFmtId="37" fontId="37" fillId="0" borderId="102" xfId="0" applyNumberFormat="1" applyFont="1" applyBorder="1" applyAlignment="1">
      <alignment horizontal="right"/>
    </xf>
    <xf numFmtId="168" fontId="18" fillId="0" borderId="0" xfId="0" applyNumberFormat="1" applyFont="1"/>
    <xf numFmtId="187" fontId="18" fillId="0" borderId="21" xfId="0" applyNumberFormat="1" applyFont="1" applyBorder="1"/>
    <xf numFmtId="187" fontId="18" fillId="0" borderId="21" xfId="0" applyNumberFormat="1" applyFont="1" applyBorder="1" applyAlignment="1">
      <alignment horizontal="right"/>
    </xf>
    <xf numFmtId="176" fontId="35" fillId="0" borderId="362" xfId="0" applyNumberFormat="1" applyFont="1" applyBorder="1" applyAlignment="1">
      <alignment horizontal="right"/>
    </xf>
    <xf numFmtId="176" fontId="18" fillId="0" borderId="608" xfId="0" applyNumberFormat="1" applyFont="1" applyBorder="1" applyAlignment="1">
      <alignment horizontal="right"/>
    </xf>
    <xf numFmtId="176" fontId="18" fillId="0" borderId="362" xfId="0" applyNumberFormat="1" applyFont="1" applyBorder="1" applyAlignment="1">
      <alignment horizontal="right"/>
    </xf>
    <xf numFmtId="176" fontId="18" fillId="0" borderId="631" xfId="0" applyNumberFormat="1" applyFont="1" applyBorder="1" applyAlignment="1">
      <alignment horizontal="right"/>
    </xf>
    <xf numFmtId="176" fontId="18" fillId="0" borderId="634" xfId="0" applyNumberFormat="1" applyFont="1" applyBorder="1" applyAlignment="1">
      <alignment horizontal="right"/>
    </xf>
    <xf numFmtId="0" fontId="44" fillId="102" borderId="0" xfId="0" applyFont="1" applyFill="1"/>
    <xf numFmtId="0" fontId="373" fillId="0" borderId="31" xfId="0" applyFont="1" applyBorder="1" applyAlignment="1">
      <alignment horizontal="left" indent="1"/>
    </xf>
    <xf numFmtId="5" fontId="44" fillId="0" borderId="0" xfId="0" applyNumberFormat="1" applyFont="1"/>
    <xf numFmtId="168" fontId="44" fillId="0" borderId="0" xfId="0" applyNumberFormat="1" applyFont="1"/>
    <xf numFmtId="5" fontId="330" fillId="0" borderId="0" xfId="0" applyNumberFormat="1" applyFont="1"/>
    <xf numFmtId="0" fontId="330" fillId="0" borderId="0" xfId="0" applyFont="1"/>
    <xf numFmtId="0" fontId="44" fillId="0" borderId="21" xfId="0" applyFont="1" applyBorder="1"/>
    <xf numFmtId="0" fontId="44" fillId="0" borderId="21" xfId="0" applyFont="1" applyBorder="1" applyAlignment="1">
      <alignment horizontal="right"/>
    </xf>
    <xf numFmtId="0" fontId="44" fillId="0" borderId="0" xfId="0" applyFont="1" applyAlignment="1">
      <alignment horizontal="right"/>
    </xf>
    <xf numFmtId="0" fontId="44" fillId="0" borderId="31" xfId="0" applyFont="1" applyBorder="1" applyAlignment="1">
      <alignment horizontal="right"/>
    </xf>
    <xf numFmtId="0" fontId="44" fillId="0" borderId="37" xfId="0" applyFont="1" applyBorder="1" applyAlignment="1">
      <alignment horizontal="right"/>
    </xf>
    <xf numFmtId="0" fontId="44" fillId="0" borderId="31" xfId="0" applyFont="1" applyBorder="1" applyAlignment="1">
      <alignment horizontal="left" indent="2"/>
    </xf>
    <xf numFmtId="169" fontId="330" fillId="0" borderId="0" xfId="1716" applyNumberFormat="1" applyFont="1" applyBorder="1"/>
    <xf numFmtId="169" fontId="44" fillId="0" borderId="21" xfId="1716" applyNumberFormat="1" applyFont="1" applyBorder="1"/>
    <xf numFmtId="169" fontId="44" fillId="0" borderId="21" xfId="1716" applyNumberFormat="1" applyFont="1" applyBorder="1" applyAlignment="1">
      <alignment horizontal="right"/>
    </xf>
    <xf numFmtId="169" fontId="44" fillId="0" borderId="0" xfId="1716" applyNumberFormat="1" applyFont="1" applyBorder="1" applyAlignment="1">
      <alignment horizontal="right"/>
    </xf>
    <xf numFmtId="169" fontId="44" fillId="0" borderId="31" xfId="1716" applyNumberFormat="1" applyFont="1" applyBorder="1" applyAlignment="1">
      <alignment horizontal="right"/>
    </xf>
    <xf numFmtId="169" fontId="44" fillId="0" borderId="37" xfId="1716" applyNumberFormat="1" applyFont="1" applyBorder="1" applyAlignment="1">
      <alignment horizontal="right"/>
    </xf>
    <xf numFmtId="0" fontId="38" fillId="102" borderId="0" xfId="0" applyFont="1" applyFill="1"/>
    <xf numFmtId="0" fontId="38" fillId="0" borderId="31" xfId="0" applyFont="1" applyBorder="1" applyAlignment="1">
      <alignment horizontal="left" indent="2"/>
    </xf>
    <xf numFmtId="169" fontId="38" fillId="0" borderId="0" xfId="1716" applyNumberFormat="1" applyFont="1" applyBorder="1"/>
    <xf numFmtId="168" fontId="38" fillId="0" borderId="0" xfId="0" applyNumberFormat="1" applyFont="1"/>
    <xf numFmtId="169" fontId="361" fillId="0" borderId="0" xfId="1716" applyNumberFormat="1" applyFont="1" applyBorder="1"/>
    <xf numFmtId="169" fontId="38" fillId="0" borderId="21" xfId="1716" applyNumberFormat="1" applyFont="1" applyBorder="1"/>
    <xf numFmtId="169" fontId="38" fillId="0" borderId="0" xfId="1716" applyNumberFormat="1" applyFont="1" applyFill="1" applyBorder="1"/>
    <xf numFmtId="169" fontId="38" fillId="0" borderId="21" xfId="1716" applyNumberFormat="1" applyFont="1" applyBorder="1" applyAlignment="1">
      <alignment horizontal="right"/>
    </xf>
    <xf numFmtId="169" fontId="38" fillId="0" borderId="0" xfId="1716" applyNumberFormat="1" applyFont="1" applyBorder="1" applyAlignment="1">
      <alignment horizontal="right"/>
    </xf>
    <xf numFmtId="169" fontId="38" fillId="0" borderId="31" xfId="1716" applyNumberFormat="1" applyFont="1" applyBorder="1" applyAlignment="1">
      <alignment horizontal="right"/>
    </xf>
    <xf numFmtId="169" fontId="38" fillId="0" borderId="37" xfId="1716" applyNumberFormat="1" applyFont="1" applyBorder="1" applyAlignment="1">
      <alignment horizontal="right"/>
    </xf>
    <xf numFmtId="169" fontId="38" fillId="0" borderId="0" xfId="1716" applyNumberFormat="1" applyFont="1" applyFill="1" applyBorder="1" applyAlignment="1">
      <alignment horizontal="right"/>
    </xf>
    <xf numFmtId="169" fontId="18" fillId="0" borderId="73" xfId="0" applyNumberFormat="1" applyFont="1" applyBorder="1"/>
    <xf numFmtId="169" fontId="18" fillId="0" borderId="74" xfId="0" applyNumberFormat="1" applyFont="1" applyBorder="1"/>
    <xf numFmtId="3" fontId="251" fillId="0" borderId="37" xfId="0" applyNumberFormat="1" applyFont="1" applyBorder="1"/>
    <xf numFmtId="333" fontId="251" fillId="0" borderId="634" xfId="0" applyNumberFormat="1" applyFont="1" applyBorder="1"/>
    <xf numFmtId="3" fontId="354" fillId="0" borderId="631" xfId="0" applyNumberFormat="1" applyFont="1" applyBorder="1"/>
    <xf numFmtId="3" fontId="354" fillId="0" borderId="649" xfId="0" applyNumberFormat="1" applyFont="1" applyBorder="1"/>
    <xf numFmtId="3" fontId="354" fillId="0" borderId="634" xfId="0" applyNumberFormat="1" applyFont="1" applyBorder="1"/>
    <xf numFmtId="3" fontId="354" fillId="0" borderId="608" xfId="0" applyNumberFormat="1" applyFont="1" applyBorder="1"/>
    <xf numFmtId="3" fontId="354" fillId="0" borderId="101" xfId="0" applyNumberFormat="1" applyFont="1" applyBorder="1"/>
    <xf numFmtId="8" fontId="251" fillId="0" borderId="73" xfId="0" applyNumberFormat="1" applyFont="1" applyBorder="1" applyAlignment="1">
      <alignment horizontal="right"/>
    </xf>
    <xf numFmtId="38" fontId="252" fillId="0" borderId="75" xfId="0" applyNumberFormat="1" applyFont="1" applyBorder="1" applyAlignment="1">
      <alignment horizontal="right"/>
    </xf>
    <xf numFmtId="38" fontId="18" fillId="0" borderId="97" xfId="0" applyNumberFormat="1" applyFont="1" applyBorder="1" applyAlignment="1">
      <alignment horizontal="right"/>
    </xf>
    <xf numFmtId="38" fontId="18" fillId="0" borderId="75" xfId="0" applyNumberFormat="1" applyFont="1" applyBorder="1"/>
    <xf numFmtId="38" fontId="48" fillId="0" borderId="75" xfId="0" applyNumberFormat="1" applyFont="1" applyBorder="1"/>
    <xf numFmtId="38" fontId="18" fillId="0" borderId="97" xfId="0" applyNumberFormat="1" applyFont="1" applyBorder="1"/>
    <xf numFmtId="37" fontId="18" fillId="0" borderId="97" xfId="0" applyNumberFormat="1" applyFont="1" applyBorder="1"/>
    <xf numFmtId="0" fontId="187" fillId="0" borderId="362" xfId="0" applyFont="1" applyBorder="1" applyAlignment="1">
      <alignment horizontal="left" indent="1"/>
    </xf>
    <xf numFmtId="0" fontId="37" fillId="0" borderId="21" xfId="0" applyFont="1" applyBorder="1" applyAlignment="1">
      <alignment horizontal="center" shrinkToFit="1"/>
    </xf>
    <xf numFmtId="0" fontId="378" fillId="46" borderId="0" xfId="0" applyFont="1" applyFill="1"/>
    <xf numFmtId="177" fontId="187" fillId="0" borderId="21" xfId="0" applyNumberFormat="1" applyFont="1" applyBorder="1" applyAlignment="1">
      <alignment horizontal="right"/>
    </xf>
    <xf numFmtId="0" fontId="251" fillId="0" borderId="37" xfId="0" applyFont="1" applyBorder="1" applyAlignment="1">
      <alignment horizontal="center"/>
    </xf>
    <xf numFmtId="3" fontId="267" fillId="0" borderId="0" xfId="1525" applyNumberFormat="1" applyFont="1" applyBorder="1" applyAlignment="1">
      <alignment horizontal="right"/>
    </xf>
    <xf numFmtId="3" fontId="37" fillId="0" borderId="21" xfId="1525" applyNumberFormat="1" applyFont="1" applyBorder="1" applyAlignment="1">
      <alignment horizontal="right"/>
    </xf>
    <xf numFmtId="3" fontId="37" fillId="0" borderId="0" xfId="1525" applyNumberFormat="1" applyFont="1" applyFill="1" applyBorder="1" applyAlignment="1">
      <alignment horizontal="right"/>
    </xf>
    <xf numFmtId="3" fontId="37" fillId="0" borderId="21" xfId="1525" applyNumberFormat="1" applyFont="1" applyFill="1" applyBorder="1" applyAlignment="1">
      <alignment horizontal="right"/>
    </xf>
    <xf numFmtId="3" fontId="267" fillId="0" borderId="0" xfId="1525" applyNumberFormat="1" applyFont="1" applyFill="1" applyBorder="1" applyAlignment="1">
      <alignment horizontal="right"/>
    </xf>
    <xf numFmtId="3" fontId="267" fillId="0" borderId="21" xfId="1525" applyNumberFormat="1" applyFont="1" applyFill="1" applyBorder="1" applyAlignment="1">
      <alignment horizontal="right"/>
    </xf>
    <xf numFmtId="37" fontId="63" fillId="71" borderId="632" xfId="0" applyNumberFormat="1" applyFont="1" applyFill="1" applyBorder="1" applyAlignment="1">
      <alignment horizontal="right"/>
    </xf>
    <xf numFmtId="37" fontId="63" fillId="71" borderId="633" xfId="0" applyNumberFormat="1" applyFont="1" applyFill="1" applyBorder="1" applyAlignment="1">
      <alignment horizontal="right"/>
    </xf>
    <xf numFmtId="169" fontId="48" fillId="71" borderId="21" xfId="1716" applyNumberFormat="1" applyFont="1" applyFill="1" applyBorder="1" applyAlignment="1">
      <alignment horizontal="right"/>
    </xf>
    <xf numFmtId="0" fontId="37" fillId="0" borderId="362" xfId="0" applyFont="1" applyBorder="1" applyAlignment="1">
      <alignment horizontal="center"/>
    </xf>
    <xf numFmtId="4" fontId="37" fillId="0" borderId="59" xfId="0" applyNumberFormat="1" applyFont="1" applyBorder="1" applyAlignment="1">
      <alignment horizontal="right"/>
    </xf>
    <xf numFmtId="4" fontId="37" fillId="0" borderId="362" xfId="0" applyNumberFormat="1" applyFont="1" applyBorder="1" applyAlignment="1">
      <alignment horizontal="right"/>
    </xf>
    <xf numFmtId="9" fontId="44" fillId="0" borderId="21" xfId="1716" applyFont="1" applyFill="1" applyBorder="1" applyAlignment="1" applyProtection="1">
      <alignment horizontal="left" indent="1"/>
    </xf>
    <xf numFmtId="9" fontId="38" fillId="0" borderId="21" xfId="1716" applyFont="1" applyFill="1" applyBorder="1" applyAlignment="1">
      <alignment horizontal="center" shrinkToFit="1"/>
    </xf>
    <xf numFmtId="9" fontId="378" fillId="0" borderId="0" xfId="1716" applyFont="1" applyFill="1"/>
    <xf numFmtId="9" fontId="44" fillId="0" borderId="0" xfId="1716" applyFont="1" applyFill="1" applyBorder="1" applyAlignment="1">
      <alignment horizontal="left" shrinkToFit="1"/>
    </xf>
    <xf numFmtId="9" fontId="44" fillId="0" borderId="0" xfId="1716" applyFont="1" applyFill="1" applyBorder="1" applyAlignment="1">
      <alignment horizontal="right" shrinkToFit="1"/>
    </xf>
    <xf numFmtId="9" fontId="44" fillId="0" borderId="21" xfId="1716" applyFont="1" applyFill="1" applyBorder="1" applyAlignment="1">
      <alignment horizontal="right" shrinkToFit="1"/>
    </xf>
    <xf numFmtId="9" fontId="330" fillId="0" borderId="0" xfId="1716" applyFont="1" applyFill="1" applyBorder="1" applyAlignment="1">
      <alignment horizontal="right" shrinkToFit="1"/>
    </xf>
    <xf numFmtId="9" fontId="44" fillId="0" borderId="31" xfId="1716" applyFont="1" applyFill="1" applyBorder="1" applyAlignment="1">
      <alignment horizontal="right" shrinkToFit="1"/>
    </xf>
    <xf numFmtId="9" fontId="44" fillId="0" borderId="37" xfId="1716" applyFont="1" applyFill="1" applyBorder="1" applyAlignment="1">
      <alignment horizontal="right" shrinkToFit="1"/>
    </xf>
    <xf numFmtId="9" fontId="44" fillId="49" borderId="0" xfId="1716" applyFont="1" applyFill="1" applyBorder="1" applyAlignment="1">
      <alignment horizontal="right" shrinkToFit="1"/>
    </xf>
    <xf numFmtId="9" fontId="330" fillId="0" borderId="37" xfId="1716" applyFont="1" applyFill="1" applyBorder="1" applyAlignment="1">
      <alignment horizontal="right" shrinkToFit="1"/>
    </xf>
    <xf numFmtId="9" fontId="156" fillId="0" borderId="0" xfId="1716" applyFont="1" applyFill="1"/>
    <xf numFmtId="169" fontId="251" fillId="0" borderId="31" xfId="1716" applyNumberFormat="1" applyFont="1" applyFill="1" applyBorder="1" applyAlignment="1">
      <alignment horizontal="right"/>
    </xf>
    <xf numFmtId="169" fontId="48" fillId="49" borderId="0" xfId="1716" applyNumberFormat="1" applyFont="1" applyFill="1" applyBorder="1" applyAlignment="1">
      <alignment horizontal="right"/>
    </xf>
    <xf numFmtId="3" fontId="252" fillId="0" borderId="0" xfId="1525" applyNumberFormat="1" applyFont="1" applyFill="1" applyBorder="1" applyAlignment="1">
      <alignment horizontal="right"/>
    </xf>
    <xf numFmtId="328" fontId="252" fillId="0" borderId="0" xfId="0" applyNumberFormat="1" applyFont="1" applyAlignment="1">
      <alignment horizontal="right"/>
    </xf>
    <xf numFmtId="169" fontId="35" fillId="0" borderId="37" xfId="1716" applyNumberFormat="1" applyFont="1" applyBorder="1" applyAlignment="1">
      <alignment horizontal="right"/>
    </xf>
    <xf numFmtId="329" fontId="255" fillId="0" borderId="59" xfId="0" applyNumberFormat="1" applyFont="1" applyBorder="1" applyAlignment="1">
      <alignment horizontal="right"/>
    </xf>
    <xf numFmtId="329" fontId="255" fillId="0" borderId="59" xfId="0" applyNumberFormat="1" applyFont="1" applyBorder="1" applyAlignment="1">
      <alignment horizontal="center"/>
    </xf>
    <xf numFmtId="0" fontId="190" fillId="103" borderId="631" xfId="0" applyFont="1" applyFill="1" applyBorder="1" applyAlignment="1">
      <alignment horizontal="centerContinuous"/>
    </xf>
    <xf numFmtId="0" fontId="190" fillId="103" borderId="59" xfId="0" applyFont="1" applyFill="1" applyBorder="1" applyAlignment="1">
      <alignment horizontal="centerContinuous"/>
    </xf>
    <xf numFmtId="0" fontId="190" fillId="103" borderId="362" xfId="0" applyFont="1" applyFill="1" applyBorder="1" applyAlignment="1">
      <alignment horizontal="centerContinuous"/>
    </xf>
    <xf numFmtId="0" fontId="190" fillId="103" borderId="101" xfId="0" applyFont="1" applyFill="1" applyBorder="1" applyAlignment="1">
      <alignment horizontal="centerContinuous"/>
    </xf>
    <xf numFmtId="0" fontId="37" fillId="45" borderId="654" xfId="0" applyFont="1" applyFill="1" applyBorder="1" applyAlignment="1">
      <alignment horizontal="right"/>
    </xf>
    <xf numFmtId="2" fontId="18" fillId="0" borderId="37" xfId="0" applyNumberFormat="1" applyFont="1" applyBorder="1" applyAlignment="1">
      <alignment horizontal="right"/>
    </xf>
    <xf numFmtId="37" fontId="267" fillId="105" borderId="0" xfId="0" applyNumberFormat="1" applyFont="1" applyFill="1" applyAlignment="1">
      <alignment horizontal="right"/>
    </xf>
    <xf numFmtId="3" fontId="267" fillId="105" borderId="0" xfId="1525" applyNumberFormat="1" applyFont="1" applyFill="1" applyBorder="1" applyAlignment="1" applyProtection="1">
      <alignment horizontal="right"/>
    </xf>
    <xf numFmtId="3" fontId="267" fillId="49" borderId="0" xfId="1525" applyNumberFormat="1" applyFont="1" applyFill="1" applyBorder="1" applyAlignment="1" applyProtection="1">
      <alignment horizontal="right"/>
    </xf>
    <xf numFmtId="330" fontId="255" fillId="0" borderId="59" xfId="0" applyNumberFormat="1" applyFont="1" applyBorder="1" applyAlignment="1">
      <alignment horizontal="center"/>
    </xf>
    <xf numFmtId="6" fontId="18" fillId="0" borderId="21" xfId="0" applyNumberFormat="1" applyFont="1" applyBorder="1" applyAlignment="1">
      <alignment horizontal="right"/>
    </xf>
    <xf numFmtId="330" fontId="255" fillId="0" borderId="0" xfId="0" applyNumberFormat="1" applyFont="1" applyAlignment="1">
      <alignment horizontal="center"/>
    </xf>
    <xf numFmtId="203" fontId="35" fillId="0" borderId="97" xfId="0" applyNumberFormat="1" applyFont="1" applyBorder="1" applyAlignment="1">
      <alignment horizontal="right"/>
    </xf>
    <xf numFmtId="37" fontId="232" fillId="0" borderId="0" xfId="0" applyNumberFormat="1" applyFont="1" applyAlignment="1">
      <alignment horizontal="right"/>
    </xf>
    <xf numFmtId="37" fontId="231" fillId="0" borderId="662" xfId="0" applyNumberFormat="1" applyFont="1" applyBorder="1" applyAlignment="1">
      <alignment horizontal="right"/>
    </xf>
    <xf numFmtId="0" fontId="114" fillId="0" borderId="9" xfId="0" applyFont="1" applyBorder="1"/>
    <xf numFmtId="3" fontId="252" fillId="0" borderId="0" xfId="13186" applyNumberFormat="1" applyFont="1" applyAlignment="1">
      <alignment horizontal="right"/>
    </xf>
    <xf numFmtId="0" fontId="251" fillId="0" borderId="0" xfId="13186" applyFont="1" applyAlignment="1">
      <alignment horizontal="right"/>
    </xf>
    <xf numFmtId="0" fontId="252" fillId="0" borderId="0" xfId="13186" applyFont="1" applyAlignment="1">
      <alignment horizontal="right"/>
    </xf>
    <xf numFmtId="37" fontId="252" fillId="0" borderId="0" xfId="13186" applyNumberFormat="1" applyFont="1" applyAlignment="1">
      <alignment horizontal="right"/>
    </xf>
    <xf numFmtId="177" fontId="252" fillId="0" borderId="0" xfId="13186" applyNumberFormat="1" applyFont="1" applyAlignment="1">
      <alignment horizontal="right"/>
    </xf>
    <xf numFmtId="177" fontId="254" fillId="0" borderId="0" xfId="13186" applyNumberFormat="1" applyFont="1" applyAlignment="1">
      <alignment horizontal="right"/>
    </xf>
    <xf numFmtId="177" fontId="355" fillId="0" borderId="0" xfId="0" applyNumberFormat="1" applyFont="1" applyAlignment="1">
      <alignment horizontal="right"/>
    </xf>
    <xf numFmtId="1" fontId="252" fillId="0" borderId="0" xfId="13186" applyNumberFormat="1" applyFont="1" applyAlignment="1">
      <alignment horizontal="right"/>
    </xf>
    <xf numFmtId="10" fontId="252" fillId="0" borderId="0" xfId="13186" applyNumberFormat="1" applyFont="1" applyAlignment="1">
      <alignment horizontal="right"/>
    </xf>
    <xf numFmtId="39" fontId="48" fillId="75" borderId="6" xfId="0" applyNumberFormat="1" applyFont="1" applyFill="1" applyBorder="1" applyAlignment="1">
      <alignment horizontal="right"/>
    </xf>
    <xf numFmtId="174" fontId="252" fillId="0" borderId="0" xfId="13186" applyNumberFormat="1" applyFont="1" applyAlignment="1">
      <alignment horizontal="right"/>
    </xf>
    <xf numFmtId="0" fontId="18" fillId="0" borderId="8" xfId="0" applyFont="1" applyBorder="1"/>
    <xf numFmtId="2" fontId="18" fillId="0" borderId="0" xfId="0" applyNumberFormat="1" applyFont="1"/>
    <xf numFmtId="169" fontId="37" fillId="0" borderId="21" xfId="0" applyNumberFormat="1" applyFont="1" applyBorder="1" applyAlignment="1">
      <alignment horizontal="center"/>
    </xf>
    <xf numFmtId="10" fontId="37" fillId="0" borderId="21" xfId="0" applyNumberFormat="1" applyFont="1" applyBorder="1" applyAlignment="1">
      <alignment horizontal="center"/>
    </xf>
    <xf numFmtId="281" fontId="37" fillId="0" borderId="21" xfId="0" applyNumberFormat="1" applyFont="1" applyBorder="1" applyAlignment="1">
      <alignment horizontal="center"/>
    </xf>
    <xf numFmtId="281" fontId="37" fillId="0" borderId="21" xfId="0" applyNumberFormat="1" applyFont="1" applyBorder="1" applyAlignment="1">
      <alignment horizontal="right"/>
    </xf>
    <xf numFmtId="189" fontId="44" fillId="0" borderId="0" xfId="0" applyNumberFormat="1" applyFont="1" applyAlignment="1">
      <alignment horizontal="left"/>
    </xf>
    <xf numFmtId="9" fontId="370" fillId="0" borderId="0" xfId="1716" applyFont="1" applyFill="1"/>
    <xf numFmtId="9" fontId="187" fillId="0" borderId="21" xfId="1716" applyFont="1" applyFill="1" applyBorder="1" applyAlignment="1">
      <alignment horizontal="left" indent="1"/>
    </xf>
    <xf numFmtId="9" fontId="38" fillId="0" borderId="37" xfId="1716" applyFont="1" applyFill="1" applyBorder="1" applyAlignment="1">
      <alignment horizontal="center" shrinkToFit="1"/>
    </xf>
    <xf numFmtId="9" fontId="18" fillId="0" borderId="0" xfId="1716" applyFont="1" applyFill="1" applyBorder="1" applyAlignment="1">
      <alignment horizontal="left" shrinkToFit="1"/>
    </xf>
    <xf numFmtId="9" fontId="0" fillId="0" borderId="0" xfId="1716" applyFont="1" applyFill="1"/>
    <xf numFmtId="169" fontId="18" fillId="0" borderId="31" xfId="1716" applyNumberFormat="1" applyFont="1" applyFill="1" applyBorder="1" applyAlignment="1">
      <alignment horizontal="right" shrinkToFit="1"/>
    </xf>
    <xf numFmtId="177" fontId="63" fillId="71" borderId="654" xfId="0" applyNumberFormat="1" applyFont="1" applyFill="1" applyBorder="1" applyAlignment="1">
      <alignment horizontal="right"/>
    </xf>
    <xf numFmtId="37" fontId="37" fillId="0" borderId="664" xfId="0" applyNumberFormat="1" applyFont="1" applyBorder="1" applyAlignment="1">
      <alignment horizontal="right"/>
    </xf>
    <xf numFmtId="9" fontId="186" fillId="0" borderId="21" xfId="1716" applyFont="1" applyBorder="1" applyAlignment="1">
      <alignment horizontal="right"/>
    </xf>
    <xf numFmtId="5" fontId="267" fillId="54" borderId="654" xfId="0" applyNumberFormat="1" applyFont="1" applyFill="1" applyBorder="1" applyAlignment="1">
      <alignment horizontal="right"/>
    </xf>
    <xf numFmtId="39" fontId="186" fillId="0" borderId="0" xfId="0" applyNumberFormat="1" applyFont="1" applyAlignment="1">
      <alignment horizontal="right"/>
    </xf>
    <xf numFmtId="39" fontId="44" fillId="0" borderId="0" xfId="0" applyNumberFormat="1" applyFont="1" applyAlignment="1">
      <alignment horizontal="right"/>
    </xf>
    <xf numFmtId="37" fontId="232" fillId="0" borderId="21" xfId="0" applyNumberFormat="1" applyFont="1" applyBorder="1" applyAlignment="1">
      <alignment horizontal="right"/>
    </xf>
    <xf numFmtId="9" fontId="231" fillId="0" borderId="0" xfId="1716" applyFont="1" applyAlignment="1">
      <alignment horizontal="right"/>
    </xf>
    <xf numFmtId="37" fontId="18" fillId="49" borderId="661" xfId="0" applyNumberFormat="1" applyFont="1" applyFill="1" applyBorder="1" applyAlignment="1">
      <alignment horizontal="right"/>
    </xf>
    <xf numFmtId="37" fontId="231" fillId="0" borderId="0" xfId="0" applyNumberFormat="1" applyFont="1" applyAlignment="1">
      <alignment horizontal="right" indent="1"/>
    </xf>
    <xf numFmtId="37" fontId="63" fillId="0" borderId="631" xfId="0" applyNumberFormat="1" applyFont="1" applyBorder="1" applyAlignment="1">
      <alignment horizontal="right"/>
    </xf>
    <xf numFmtId="37" fontId="63" fillId="0" borderId="77" xfId="0" applyNumberFormat="1" applyFont="1" applyBorder="1" applyAlignment="1">
      <alignment horizontal="right"/>
    </xf>
    <xf numFmtId="177" fontId="18" fillId="0" borderId="662" xfId="0" applyNumberFormat="1" applyFont="1" applyBorder="1" applyAlignment="1">
      <alignment horizontal="right"/>
    </xf>
    <xf numFmtId="177" fontId="18" fillId="0" borderId="663" xfId="0" applyNumberFormat="1" applyFont="1" applyBorder="1" applyAlignment="1">
      <alignment horizontal="right"/>
    </xf>
    <xf numFmtId="177" fontId="18" fillId="0" borderId="664" xfId="0" applyNumberFormat="1" applyFont="1" applyBorder="1" applyAlignment="1">
      <alignment horizontal="right"/>
    </xf>
    <xf numFmtId="169" fontId="18" fillId="0" borderId="35" xfId="0" applyNumberFormat="1" applyFont="1" applyBorder="1"/>
    <xf numFmtId="37" fontId="18" fillId="0" borderId="11" xfId="0" applyNumberFormat="1" applyFont="1" applyBorder="1" applyAlignment="1">
      <alignment horizontal="right"/>
    </xf>
    <xf numFmtId="6" fontId="49" fillId="0" borderId="11" xfId="0" applyNumberFormat="1" applyFont="1" applyBorder="1" applyAlignment="1">
      <alignment horizontal="center" vertical="center"/>
    </xf>
    <xf numFmtId="264" fontId="18" fillId="0" borderId="11" xfId="0" applyNumberFormat="1" applyFont="1" applyBorder="1" applyAlignment="1">
      <alignment horizontal="right"/>
    </xf>
    <xf numFmtId="9" fontId="18" fillId="0" borderId="11" xfId="0" applyNumberFormat="1" applyFont="1" applyBorder="1" applyAlignment="1">
      <alignment horizontal="right"/>
    </xf>
    <xf numFmtId="9" fontId="18" fillId="0" borderId="11" xfId="0" applyNumberFormat="1" applyFont="1" applyBorder="1"/>
    <xf numFmtId="3" fontId="354" fillId="0" borderId="11" xfId="0" applyNumberFormat="1" applyFont="1" applyBorder="1"/>
    <xf numFmtId="37" fontId="18" fillId="0" borderId="11" xfId="0" applyNumberFormat="1" applyFont="1" applyBorder="1"/>
    <xf numFmtId="203" fontId="18" fillId="0" borderId="11" xfId="0" applyNumberFormat="1" applyFont="1" applyBorder="1" applyAlignment="1">
      <alignment horizontal="right"/>
    </xf>
    <xf numFmtId="3" fontId="18" fillId="0" borderId="11" xfId="0" applyNumberFormat="1" applyFont="1" applyBorder="1" applyAlignment="1">
      <alignment horizontal="right"/>
    </xf>
    <xf numFmtId="38" fontId="18" fillId="0" borderId="11" xfId="0" applyNumberFormat="1" applyFont="1" applyBorder="1" applyAlignment="1">
      <alignment horizontal="right"/>
    </xf>
    <xf numFmtId="38" fontId="18" fillId="0" borderId="11" xfId="0" applyNumberFormat="1" applyFont="1" applyBorder="1"/>
    <xf numFmtId="40" fontId="18" fillId="0" borderId="11" xfId="0" applyNumberFormat="1" applyFont="1" applyBorder="1"/>
    <xf numFmtId="0" fontId="0" fillId="0" borderId="653" xfId="0" applyBorder="1" applyAlignment="1">
      <alignment horizontal="right"/>
    </xf>
    <xf numFmtId="177" fontId="229" fillId="44" borderId="654" xfId="0" applyNumberFormat="1" applyFont="1" applyFill="1" applyBorder="1" applyAlignment="1">
      <alignment horizontal="right"/>
    </xf>
    <xf numFmtId="169" fontId="37" fillId="71" borderId="654" xfId="0" applyNumberFormat="1" applyFont="1" applyFill="1" applyBorder="1" applyAlignment="1">
      <alignment horizontal="right"/>
    </xf>
    <xf numFmtId="10" fontId="186" fillId="0" borderId="0" xfId="0" applyNumberFormat="1" applyFont="1" applyAlignment="1">
      <alignment horizontal="right"/>
    </xf>
    <xf numFmtId="10" fontId="186" fillId="0" borderId="37" xfId="0" applyNumberFormat="1" applyFont="1" applyBorder="1" applyAlignment="1">
      <alignment horizontal="right"/>
    </xf>
    <xf numFmtId="169" fontId="18" fillId="71" borderId="654" xfId="0" applyNumberFormat="1" applyFont="1" applyFill="1" applyBorder="1" applyAlignment="1">
      <alignment horizontal="right"/>
    </xf>
    <xf numFmtId="2" fontId="18" fillId="0" borderId="0" xfId="2895" applyNumberFormat="1" applyFont="1" applyFill="1" applyBorder="1" applyAlignment="1">
      <alignment horizontal="right" shrinkToFit="1"/>
    </xf>
    <xf numFmtId="2" fontId="44" fillId="0" borderId="37" xfId="2895" applyNumberFormat="1" applyFont="1" applyFill="1" applyBorder="1" applyAlignment="1">
      <alignment horizontal="right" shrinkToFit="1"/>
    </xf>
    <xf numFmtId="10" fontId="18" fillId="0" borderId="0" xfId="2895" applyNumberFormat="1" applyFont="1" applyFill="1" applyBorder="1" applyAlignment="1">
      <alignment horizontal="right" shrinkToFit="1"/>
    </xf>
    <xf numFmtId="37" fontId="37" fillId="45" borderId="654" xfId="0" applyNumberFormat="1" applyFont="1" applyFill="1" applyBorder="1" applyAlignment="1">
      <alignment horizontal="right"/>
    </xf>
    <xf numFmtId="177" fontId="18" fillId="0" borderId="11" xfId="0" applyNumberFormat="1" applyFont="1" applyBorder="1" applyAlignment="1">
      <alignment horizontal="right"/>
    </xf>
    <xf numFmtId="177" fontId="18" fillId="0" borderId="77" xfId="0" applyNumberFormat="1" applyFont="1" applyBorder="1" applyAlignment="1">
      <alignment horizontal="right"/>
    </xf>
    <xf numFmtId="177" fontId="186" fillId="44" borderId="654" xfId="0" applyNumberFormat="1" applyFont="1" applyFill="1" applyBorder="1" applyAlignment="1">
      <alignment horizontal="right"/>
    </xf>
    <xf numFmtId="169" fontId="37" fillId="0" borderId="77" xfId="0" applyNumberFormat="1" applyFont="1" applyBorder="1" applyAlignment="1">
      <alignment horizontal="right"/>
    </xf>
    <xf numFmtId="9" fontId="48" fillId="0" borderId="11" xfId="0" applyNumberFormat="1" applyFont="1" applyBorder="1" applyAlignment="1">
      <alignment horizontal="right"/>
    </xf>
    <xf numFmtId="37" fontId="37" fillId="0" borderId="11" xfId="0" applyNumberFormat="1" applyFont="1" applyBorder="1" applyAlignment="1">
      <alignment horizontal="right"/>
    </xf>
    <xf numFmtId="349" fontId="251" fillId="0" borderId="11" xfId="0" applyNumberFormat="1" applyFont="1" applyBorder="1" applyAlignment="1">
      <alignment horizontal="center"/>
    </xf>
    <xf numFmtId="37" fontId="37" fillId="0" borderId="654" xfId="0" applyNumberFormat="1" applyFont="1" applyBorder="1" applyAlignment="1">
      <alignment horizontal="center"/>
    </xf>
    <xf numFmtId="37" fontId="37" fillId="0" borderId="654" xfId="0" applyNumberFormat="1" applyFont="1" applyBorder="1" applyAlignment="1">
      <alignment horizontal="right"/>
    </xf>
    <xf numFmtId="169" fontId="257" fillId="0" borderId="654" xfId="0" applyNumberFormat="1" applyFont="1" applyBorder="1" applyAlignment="1">
      <alignment horizontal="right"/>
    </xf>
    <xf numFmtId="189" fontId="257" fillId="44" borderId="654" xfId="2895" applyNumberFormat="1" applyFont="1" applyFill="1" applyBorder="1" applyAlignment="1">
      <alignment horizontal="right" shrinkToFit="1"/>
    </xf>
    <xf numFmtId="189" fontId="18" fillId="0" borderId="11" xfId="2895" applyNumberFormat="1" applyFont="1" applyFill="1" applyBorder="1" applyAlignment="1">
      <alignment horizontal="right" shrinkToFit="1"/>
    </xf>
    <xf numFmtId="189" fontId="18" fillId="0" borderId="77" xfId="2895" applyNumberFormat="1" applyFont="1" applyFill="1" applyBorder="1" applyAlignment="1">
      <alignment horizontal="right" shrinkToFit="1"/>
    </xf>
    <xf numFmtId="177" fontId="229" fillId="44" borderId="574" xfId="0" applyNumberFormat="1" applyFont="1" applyFill="1" applyBorder="1" applyAlignment="1">
      <alignment horizontal="right"/>
    </xf>
    <xf numFmtId="1" fontId="37" fillId="71" borderId="574" xfId="0" applyNumberFormat="1" applyFont="1" applyFill="1" applyBorder="1" applyAlignment="1">
      <alignment horizontal="right"/>
    </xf>
    <xf numFmtId="3" fontId="18" fillId="0" borderId="21" xfId="1525" applyNumberFormat="1" applyFont="1" applyFill="1" applyBorder="1" applyAlignment="1" applyProtection="1">
      <alignment horizontal="right"/>
    </xf>
    <xf numFmtId="37" fontId="63" fillId="71" borderId="574" xfId="0" applyNumberFormat="1" applyFont="1" applyFill="1" applyBorder="1" applyAlignment="1">
      <alignment horizontal="right"/>
    </xf>
    <xf numFmtId="10" fontId="186" fillId="0" borderId="21" xfId="0" applyNumberFormat="1" applyFont="1" applyBorder="1" applyAlignment="1">
      <alignment horizontal="right"/>
    </xf>
    <xf numFmtId="169" fontId="18" fillId="71" borderId="574" xfId="0" applyNumberFormat="1" applyFont="1" applyFill="1" applyBorder="1" applyAlignment="1">
      <alignment horizontal="right"/>
    </xf>
    <xf numFmtId="176" fontId="18" fillId="0" borderId="21" xfId="1525" applyNumberFormat="1" applyFont="1" applyFill="1" applyBorder="1" applyAlignment="1" applyProtection="1">
      <alignment horizontal="right"/>
    </xf>
    <xf numFmtId="177" fontId="186" fillId="44" borderId="574" xfId="0" applyNumberFormat="1" applyFont="1" applyFill="1" applyBorder="1" applyAlignment="1">
      <alignment horizontal="right"/>
    </xf>
    <xf numFmtId="169" fontId="18" fillId="0" borderId="21" xfId="0" applyNumberFormat="1" applyFont="1" applyBorder="1" applyAlignment="1">
      <alignment horizontal="center"/>
    </xf>
    <xf numFmtId="0" fontId="0" fillId="0" borderId="11" xfId="0" applyBorder="1" applyAlignment="1">
      <alignment horizontal="right"/>
    </xf>
    <xf numFmtId="189" fontId="257" fillId="44" borderId="662" xfId="2895" applyNumberFormat="1" applyFont="1" applyFill="1" applyBorder="1" applyAlignment="1">
      <alignment horizontal="right" shrinkToFit="1"/>
    </xf>
    <xf numFmtId="2" fontId="18" fillId="49" borderId="0" xfId="0" applyNumberFormat="1" applyFont="1" applyFill="1" applyAlignment="1">
      <alignment horizontal="right"/>
    </xf>
    <xf numFmtId="37" fontId="267" fillId="0" borderId="661" xfId="0" applyNumberFormat="1" applyFont="1" applyBorder="1" applyAlignment="1">
      <alignment horizontal="right"/>
    </xf>
    <xf numFmtId="37" fontId="267" fillId="49" borderId="661" xfId="0" applyNumberFormat="1" applyFont="1" applyFill="1" applyBorder="1" applyAlignment="1">
      <alignment horizontal="right"/>
    </xf>
    <xf numFmtId="349" fontId="252" fillId="49" borderId="31" xfId="0" applyNumberFormat="1" applyFont="1" applyFill="1" applyBorder="1" applyAlignment="1">
      <alignment horizontal="center"/>
    </xf>
    <xf numFmtId="0" fontId="230" fillId="0" borderId="661" xfId="0" applyFont="1" applyBorder="1" applyAlignment="1">
      <alignment horizontal="center"/>
    </xf>
    <xf numFmtId="1" fontId="380" fillId="0" borderId="37" xfId="0" applyNumberFormat="1" applyFont="1" applyBorder="1" applyAlignment="1">
      <alignment horizontal="right"/>
    </xf>
    <xf numFmtId="3" fontId="37" fillId="49" borderId="0" xfId="1525" applyNumberFormat="1" applyFont="1" applyFill="1" applyBorder="1" applyAlignment="1" applyProtection="1">
      <alignment horizontal="right"/>
    </xf>
    <xf numFmtId="2" fontId="186" fillId="49" borderId="0" xfId="0" applyNumberFormat="1" applyFont="1" applyFill="1" applyAlignment="1">
      <alignment horizontal="right"/>
    </xf>
    <xf numFmtId="333" fontId="186" fillId="0" borderId="0" xfId="1525" applyNumberFormat="1" applyFont="1" applyFill="1" applyBorder="1" applyAlignment="1">
      <alignment horizontal="right"/>
    </xf>
    <xf numFmtId="10" fontId="251" fillId="0" borderId="0" xfId="2895" applyNumberFormat="1" applyFont="1" applyFill="1" applyBorder="1" applyAlignment="1">
      <alignment horizontal="right" shrinkToFit="1"/>
    </xf>
    <xf numFmtId="10" fontId="251" fillId="0" borderId="37" xfId="2895" applyNumberFormat="1" applyFont="1" applyFill="1" applyBorder="1" applyAlignment="1">
      <alignment horizontal="right" shrinkToFit="1"/>
    </xf>
    <xf numFmtId="169" fontId="48" fillId="45" borderId="0" xfId="0" applyNumberFormat="1" applyFont="1" applyFill="1" applyAlignment="1">
      <alignment horizontal="right"/>
    </xf>
    <xf numFmtId="177" fontId="344" fillId="0" borderId="31" xfId="0" applyNumberFormat="1" applyFont="1" applyBorder="1" applyAlignment="1">
      <alignment horizontal="right"/>
    </xf>
    <xf numFmtId="0" fontId="344" fillId="0" borderId="31" xfId="0" applyFont="1" applyBorder="1" applyAlignment="1">
      <alignment horizontal="right"/>
    </xf>
    <xf numFmtId="177" fontId="186" fillId="44" borderId="630" xfId="0" applyNumberFormat="1" applyFont="1" applyFill="1" applyBorder="1" applyAlignment="1">
      <alignment horizontal="right"/>
    </xf>
    <xf numFmtId="37" fontId="231" fillId="0" borderId="31" xfId="0" applyNumberFormat="1" applyFont="1" applyBorder="1" applyAlignment="1">
      <alignment horizontal="right"/>
    </xf>
    <xf numFmtId="177" fontId="186" fillId="57" borderId="0" xfId="0" applyNumberFormat="1" applyFont="1" applyFill="1" applyAlignment="1">
      <alignment horizontal="right"/>
    </xf>
    <xf numFmtId="37" fontId="63" fillId="0" borderId="11" xfId="0" applyNumberFormat="1" applyFont="1" applyBorder="1" applyAlignment="1">
      <alignment horizontal="right"/>
    </xf>
    <xf numFmtId="169" fontId="267" fillId="0" borderId="31" xfId="0" applyNumberFormat="1" applyFont="1" applyBorder="1" applyAlignment="1">
      <alignment horizontal="right"/>
    </xf>
    <xf numFmtId="177" fontId="229" fillId="44" borderId="0" xfId="0" applyNumberFormat="1" applyFont="1" applyFill="1" applyAlignment="1">
      <alignment horizontal="right"/>
    </xf>
    <xf numFmtId="169" fontId="18" fillId="0" borderId="31" xfId="0" applyNumberFormat="1" applyFont="1" applyBorder="1" applyAlignment="1">
      <alignment horizontal="center"/>
    </xf>
    <xf numFmtId="169" fontId="257" fillId="0" borderId="31" xfId="0" applyNumberFormat="1" applyFont="1" applyBorder="1" applyAlignment="1">
      <alignment horizontal="right"/>
    </xf>
    <xf numFmtId="37" fontId="251" fillId="0" borderId="0" xfId="2895" applyNumberFormat="1" applyFont="1" applyFill="1" applyBorder="1" applyAlignment="1">
      <alignment horizontal="right" shrinkToFit="1"/>
    </xf>
    <xf numFmtId="189" fontId="18" fillId="49" borderId="0" xfId="1716" applyNumberFormat="1" applyFont="1" applyFill="1" applyBorder="1" applyAlignment="1">
      <alignment horizontal="right" shrinkToFit="1"/>
    </xf>
    <xf numFmtId="189" fontId="18" fillId="0" borderId="31" xfId="2895" applyNumberFormat="1" applyFont="1" applyFill="1" applyBorder="1" applyAlignment="1">
      <alignment horizontal="center" shrinkToFit="1"/>
    </xf>
    <xf numFmtId="189" fontId="18" fillId="0" borderId="631" xfId="2895" applyNumberFormat="1" applyFont="1" applyFill="1" applyBorder="1" applyAlignment="1">
      <alignment horizontal="right" shrinkToFit="1"/>
    </xf>
    <xf numFmtId="330" fontId="255" fillId="0" borderId="11" xfId="0" applyNumberFormat="1" applyFont="1" applyBorder="1" applyAlignment="1">
      <alignment horizontal="center"/>
    </xf>
    <xf numFmtId="3" fontId="251" fillId="0" borderId="662" xfId="1525" applyNumberFormat="1" applyFont="1" applyFill="1" applyBorder="1" applyAlignment="1"/>
    <xf numFmtId="5" fontId="37" fillId="54" borderId="654" xfId="0" applyNumberFormat="1" applyFont="1" applyFill="1" applyBorder="1" applyAlignment="1">
      <alignment horizontal="right"/>
    </xf>
    <xf numFmtId="7" fontId="18" fillId="0" borderId="661" xfId="0" applyNumberFormat="1" applyFont="1" applyBorder="1" applyAlignment="1">
      <alignment horizontal="right"/>
    </xf>
    <xf numFmtId="7" fontId="18" fillId="0" borderId="11" xfId="0" applyNumberFormat="1" applyFont="1" applyBorder="1" applyAlignment="1">
      <alignment horizontal="right"/>
    </xf>
    <xf numFmtId="7" fontId="37" fillId="45" borderId="654" xfId="0" applyNumberFormat="1" applyFont="1" applyFill="1" applyBorder="1" applyAlignment="1">
      <alignment horizontal="right"/>
    </xf>
    <xf numFmtId="8" fontId="37" fillId="0" borderId="11" xfId="1559" applyFont="1" applyFill="1" applyBorder="1" applyAlignment="1">
      <alignment horizontal="right"/>
    </xf>
    <xf numFmtId="4" fontId="251" fillId="0" borderId="654" xfId="1525" applyFont="1" applyFill="1" applyBorder="1" applyAlignment="1">
      <alignment horizontal="right"/>
    </xf>
    <xf numFmtId="274" fontId="18" fillId="0" borderId="661" xfId="0" applyNumberFormat="1" applyFont="1" applyBorder="1" applyAlignment="1">
      <alignment horizontal="right"/>
    </xf>
    <xf numFmtId="169" fontId="251" fillId="0" borderId="11" xfId="0" applyNumberFormat="1" applyFont="1" applyBorder="1" applyAlignment="1">
      <alignment horizontal="right"/>
    </xf>
    <xf numFmtId="170" fontId="18" fillId="0" borderId="661" xfId="0" applyNumberFormat="1" applyFont="1" applyBorder="1" applyAlignment="1">
      <alignment horizontal="right"/>
    </xf>
    <xf numFmtId="169" fontId="37" fillId="45" borderId="654" xfId="1716" applyNumberFormat="1" applyFont="1" applyFill="1" applyBorder="1" applyAlignment="1">
      <alignment horizontal="right"/>
    </xf>
    <xf numFmtId="169" fontId="18" fillId="0" borderId="11" xfId="1716" applyNumberFormat="1" applyFont="1" applyFill="1" applyBorder="1" applyAlignment="1">
      <alignment horizontal="right"/>
    </xf>
    <xf numFmtId="170" fontId="18" fillId="0" borderId="11" xfId="0" applyNumberFormat="1" applyFont="1" applyBorder="1" applyAlignment="1">
      <alignment horizontal="right"/>
    </xf>
    <xf numFmtId="176" fontId="18" fillId="0" borderId="11" xfId="0" applyNumberFormat="1" applyFont="1" applyBorder="1" applyAlignment="1">
      <alignment horizontal="right"/>
    </xf>
    <xf numFmtId="0" fontId="18" fillId="0" borderId="654" xfId="0" applyFont="1" applyBorder="1" applyAlignment="1">
      <alignment horizontal="right"/>
    </xf>
    <xf numFmtId="3" fontId="18" fillId="0" borderId="664" xfId="0" applyNumberFormat="1" applyFont="1" applyBorder="1" applyAlignment="1">
      <alignment horizontal="right"/>
    </xf>
    <xf numFmtId="333" fontId="18" fillId="0" borderId="664" xfId="0" applyNumberFormat="1" applyFont="1" applyBorder="1"/>
    <xf numFmtId="0" fontId="230" fillId="0" borderId="668" xfId="0" applyFont="1" applyBorder="1" applyAlignment="1">
      <alignment horizontal="center"/>
    </xf>
    <xf numFmtId="37" fontId="37" fillId="45" borderId="668" xfId="0" applyNumberFormat="1" applyFont="1" applyFill="1" applyBorder="1"/>
    <xf numFmtId="333" fontId="37" fillId="0" borderId="664" xfId="0" applyNumberFormat="1" applyFont="1" applyBorder="1"/>
    <xf numFmtId="169" fontId="18" fillId="0" borderId="666" xfId="0" applyNumberFormat="1" applyFont="1" applyBorder="1" applyAlignment="1">
      <alignment horizontal="right"/>
    </xf>
    <xf numFmtId="169" fontId="18" fillId="0" borderId="666" xfId="0" applyNumberFormat="1" applyFont="1" applyBorder="1"/>
    <xf numFmtId="3" fontId="354" fillId="0" borderId="64" xfId="0" applyNumberFormat="1" applyFont="1" applyBorder="1"/>
    <xf numFmtId="37" fontId="18" fillId="0" borderId="64" xfId="0" applyNumberFormat="1" applyFont="1" applyBorder="1"/>
    <xf numFmtId="165" fontId="354" fillId="0" borderId="633" xfId="0" applyNumberFormat="1" applyFont="1" applyBorder="1" applyAlignment="1">
      <alignment horizontal="right"/>
    </xf>
    <xf numFmtId="37" fontId="18" fillId="0" borderId="64" xfId="0" applyNumberFormat="1" applyFont="1" applyBorder="1" applyAlignment="1">
      <alignment horizontal="right"/>
    </xf>
    <xf numFmtId="37" fontId="18" fillId="0" borderId="662" xfId="0" applyNumberFormat="1" applyFont="1" applyBorder="1" applyAlignment="1">
      <alignment horizontal="right"/>
    </xf>
    <xf numFmtId="203" fontId="18" fillId="0" borderId="97" xfId="0" applyNumberFormat="1" applyFont="1" applyBorder="1" applyAlignment="1">
      <alignment horizontal="right"/>
    </xf>
    <xf numFmtId="3" fontId="18" fillId="0" borderId="64" xfId="0" applyNumberFormat="1" applyFont="1" applyBorder="1" applyAlignment="1">
      <alignment horizontal="right"/>
    </xf>
    <xf numFmtId="38" fontId="18" fillId="0" borderId="64" xfId="0" applyNumberFormat="1" applyFont="1" applyBorder="1" applyAlignment="1">
      <alignment horizontal="right"/>
    </xf>
    <xf numFmtId="38" fontId="18" fillId="0" borderId="64" xfId="0" applyNumberFormat="1" applyFont="1" applyBorder="1"/>
    <xf numFmtId="40" fontId="18" fillId="0" borderId="64" xfId="0" applyNumberFormat="1" applyFont="1" applyBorder="1"/>
    <xf numFmtId="9" fontId="18" fillId="0" borderId="64" xfId="0" applyNumberFormat="1" applyFont="1" applyBorder="1"/>
    <xf numFmtId="37" fontId="354" fillId="0" borderId="64" xfId="0" applyNumberFormat="1" applyFont="1" applyBorder="1"/>
    <xf numFmtId="333" fontId="354" fillId="0" borderId="21" xfId="0" applyNumberFormat="1" applyFont="1" applyBorder="1"/>
    <xf numFmtId="37" fontId="18" fillId="49" borderId="37" xfId="0" applyNumberFormat="1" applyFont="1" applyFill="1" applyBorder="1"/>
    <xf numFmtId="37" fontId="37" fillId="49" borderId="37" xfId="0" applyNumberFormat="1" applyFont="1" applyFill="1" applyBorder="1"/>
    <xf numFmtId="349" fontId="252" fillId="49" borderId="37" xfId="0" applyNumberFormat="1" applyFont="1" applyFill="1" applyBorder="1" applyAlignment="1">
      <alignment horizontal="center"/>
    </xf>
    <xf numFmtId="37" fontId="37" fillId="57" borderId="631" xfId="0" applyNumberFormat="1" applyFont="1" applyFill="1" applyBorder="1" applyAlignment="1">
      <alignment horizontal="right"/>
    </xf>
    <xf numFmtId="169" fontId="37" fillId="57" borderId="574" xfId="1716" applyNumberFormat="1" applyFont="1" applyFill="1" applyBorder="1" applyAlignment="1">
      <alignment horizontal="right"/>
    </xf>
    <xf numFmtId="1" fontId="18" fillId="49" borderId="21" xfId="0" applyNumberFormat="1" applyFont="1" applyFill="1" applyBorder="1" applyAlignment="1">
      <alignment horizontal="right"/>
    </xf>
    <xf numFmtId="37" fontId="186" fillId="0" borderId="0" xfId="1716" applyNumberFormat="1" applyFont="1" applyFill="1" applyBorder="1" applyAlignment="1">
      <alignment horizontal="right"/>
    </xf>
    <xf numFmtId="14" fontId="251" fillId="71" borderId="0" xfId="1686" applyNumberFormat="1" applyFont="1" applyFill="1" applyAlignment="1">
      <alignment horizontal="left"/>
    </xf>
    <xf numFmtId="169" fontId="255" fillId="0" borderId="63" xfId="1716" applyNumberFormat="1" applyFont="1" applyBorder="1" applyAlignment="1">
      <alignment horizontal="center"/>
    </xf>
    <xf numFmtId="274" fontId="251" fillId="0" borderId="0" xfId="0" applyNumberFormat="1" applyFont="1" applyAlignment="1">
      <alignment horizontal="right"/>
    </xf>
    <xf numFmtId="169" fontId="251" fillId="49" borderId="37" xfId="0" applyNumberFormat="1" applyFont="1" applyFill="1" applyBorder="1" applyAlignment="1">
      <alignment horizontal="right"/>
    </xf>
    <xf numFmtId="169" fontId="48" fillId="49" borderId="37" xfId="1716" applyNumberFormat="1" applyFont="1" applyFill="1" applyBorder="1" applyAlignment="1">
      <alignment horizontal="right"/>
    </xf>
    <xf numFmtId="169" fontId="251" fillId="49" borderId="37" xfId="1716" applyNumberFormat="1" applyFont="1" applyFill="1" applyBorder="1" applyAlignment="1">
      <alignment horizontal="right"/>
    </xf>
    <xf numFmtId="9" fontId="18" fillId="49" borderId="37" xfId="1716" applyFont="1" applyFill="1" applyBorder="1" applyAlignment="1">
      <alignment horizontal="right"/>
    </xf>
    <xf numFmtId="4" fontId="18" fillId="49" borderId="37" xfId="0" applyNumberFormat="1" applyFont="1" applyFill="1" applyBorder="1" applyAlignment="1">
      <alignment horizontal="right"/>
    </xf>
    <xf numFmtId="37" fontId="18" fillId="49" borderId="37" xfId="0" applyNumberFormat="1" applyFont="1" applyFill="1" applyBorder="1" applyAlignment="1">
      <alignment horizontal="right"/>
    </xf>
    <xf numFmtId="281" fontId="251" fillId="49" borderId="37" xfId="0" applyNumberFormat="1" applyFont="1" applyFill="1" applyBorder="1" applyAlignment="1">
      <alignment horizontal="right"/>
    </xf>
    <xf numFmtId="37" fontId="37" fillId="49" borderId="662" xfId="0" applyNumberFormat="1" applyFont="1" applyFill="1" applyBorder="1" applyAlignment="1">
      <alignment horizontal="right"/>
    </xf>
    <xf numFmtId="177" fontId="48" fillId="49" borderId="21" xfId="0" applyNumberFormat="1" applyFont="1" applyFill="1" applyBorder="1" applyAlignment="1">
      <alignment horizontal="right"/>
    </xf>
    <xf numFmtId="37" fontId="37" fillId="49" borderId="59" xfId="0" applyNumberFormat="1" applyFont="1" applyFill="1" applyBorder="1" applyAlignment="1">
      <alignment horizontal="right"/>
    </xf>
    <xf numFmtId="177" fontId="18" fillId="49" borderId="661" xfId="0" applyNumberFormat="1" applyFont="1" applyFill="1" applyBorder="1" applyAlignment="1">
      <alignment horizontal="right"/>
    </xf>
    <xf numFmtId="169" fontId="267" fillId="49" borderId="0" xfId="0" applyNumberFormat="1" applyFont="1" applyFill="1" applyAlignment="1">
      <alignment horizontal="right"/>
    </xf>
    <xf numFmtId="227" fontId="37" fillId="49" borderId="0" xfId="0" applyNumberFormat="1" applyFont="1" applyFill="1" applyAlignment="1">
      <alignment horizontal="right"/>
    </xf>
    <xf numFmtId="169" fontId="251" fillId="49" borderId="21" xfId="0" applyNumberFormat="1" applyFont="1" applyFill="1" applyBorder="1" applyAlignment="1">
      <alignment horizontal="right"/>
    </xf>
    <xf numFmtId="281" fontId="251" fillId="49" borderId="21" xfId="0" applyNumberFormat="1" applyFont="1" applyFill="1" applyBorder="1" applyAlignment="1">
      <alignment horizontal="right"/>
    </xf>
    <xf numFmtId="169" fontId="37" fillId="49" borderId="21" xfId="0" applyNumberFormat="1" applyFont="1" applyFill="1" applyBorder="1" applyAlignment="1">
      <alignment horizontal="right"/>
    </xf>
    <xf numFmtId="169" fontId="267" fillId="49" borderId="21" xfId="0" applyNumberFormat="1" applyFont="1" applyFill="1" applyBorder="1" applyAlignment="1">
      <alignment horizontal="right"/>
    </xf>
    <xf numFmtId="227" fontId="37" fillId="49" borderId="21" xfId="0" applyNumberFormat="1" applyFont="1" applyFill="1" applyBorder="1" applyAlignment="1">
      <alignment horizontal="right"/>
    </xf>
    <xf numFmtId="3" fontId="37" fillId="49" borderId="21" xfId="1525" applyNumberFormat="1" applyFont="1" applyFill="1" applyBorder="1" applyAlignment="1">
      <alignment horizontal="right"/>
    </xf>
    <xf numFmtId="37" fontId="267" fillId="0" borderId="664" xfId="0" applyNumberFormat="1" applyFont="1" applyBorder="1" applyAlignment="1">
      <alignment horizontal="right"/>
    </xf>
    <xf numFmtId="169" fontId="18" fillId="0" borderId="0" xfId="1716" applyNumberFormat="1" applyFont="1" applyFill="1" applyBorder="1" applyAlignment="1">
      <alignment horizontal="right" vertical="center"/>
    </xf>
    <xf numFmtId="177" fontId="251" fillId="47" borderId="0" xfId="0" applyNumberFormat="1" applyFont="1" applyFill="1"/>
    <xf numFmtId="177" fontId="18" fillId="47" borderId="21" xfId="0" applyNumberFormat="1" applyFont="1" applyFill="1" applyBorder="1"/>
    <xf numFmtId="177" fontId="251" fillId="47" borderId="37" xfId="0" applyNumberFormat="1" applyFont="1" applyFill="1" applyBorder="1"/>
    <xf numFmtId="37" fontId="18" fillId="47" borderId="21" xfId="0" applyNumberFormat="1" applyFont="1" applyFill="1" applyBorder="1" applyAlignment="1">
      <alignment horizontal="right"/>
    </xf>
    <xf numFmtId="37" fontId="251" fillId="47" borderId="0" xfId="0" applyNumberFormat="1" applyFont="1" applyFill="1" applyAlignment="1">
      <alignment horizontal="right"/>
    </xf>
    <xf numFmtId="37" fontId="251" fillId="47" borderId="37" xfId="0" applyNumberFormat="1" applyFont="1" applyFill="1" applyBorder="1" applyAlignment="1">
      <alignment horizontal="right"/>
    </xf>
    <xf numFmtId="37" fontId="251" fillId="47" borderId="31" xfId="0" applyNumberFormat="1" applyFont="1" applyFill="1" applyBorder="1" applyAlignment="1">
      <alignment horizontal="right"/>
    </xf>
    <xf numFmtId="177" fontId="18" fillId="47" borderId="0" xfId="0" applyNumberFormat="1" applyFont="1" applyFill="1"/>
    <xf numFmtId="177" fontId="186" fillId="47" borderId="0" xfId="0" applyNumberFormat="1" applyFont="1" applyFill="1"/>
    <xf numFmtId="37" fontId="186" fillId="47" borderId="37" xfId="0" applyNumberFormat="1" applyFont="1" applyFill="1" applyBorder="1"/>
    <xf numFmtId="37" fontId="186" fillId="47" borderId="0" xfId="0" applyNumberFormat="1" applyFont="1" applyFill="1" applyAlignment="1">
      <alignment horizontal="right"/>
    </xf>
    <xf numFmtId="37" fontId="186" fillId="47" borderId="37" xfId="0" applyNumberFormat="1" applyFont="1" applyFill="1" applyBorder="1" applyAlignment="1">
      <alignment horizontal="right"/>
    </xf>
    <xf numFmtId="37" fontId="186" fillId="47" borderId="31" xfId="0" applyNumberFormat="1" applyFont="1" applyFill="1" applyBorder="1" applyAlignment="1">
      <alignment horizontal="right"/>
    </xf>
    <xf numFmtId="37" fontId="35" fillId="47" borderId="37" xfId="0" applyNumberFormat="1" applyFont="1" applyFill="1" applyBorder="1" applyAlignment="1">
      <alignment horizontal="right"/>
    </xf>
    <xf numFmtId="37" fontId="35" fillId="47" borderId="21" xfId="0" applyNumberFormat="1" applyFont="1" applyFill="1" applyBorder="1" applyAlignment="1">
      <alignment horizontal="right"/>
    </xf>
    <xf numFmtId="9" fontId="267" fillId="0" borderId="21" xfId="0" quotePrefix="1" applyNumberFormat="1" applyFont="1" applyBorder="1" applyAlignment="1">
      <alignment horizontal="center" shrinkToFit="1"/>
    </xf>
    <xf numFmtId="9" fontId="381" fillId="0" borderId="21" xfId="0" applyNumberFormat="1" applyFont="1" applyBorder="1" applyAlignment="1">
      <alignment horizontal="center" shrinkToFit="1"/>
    </xf>
    <xf numFmtId="9" fontId="38" fillId="0" borderId="21" xfId="0" quotePrefix="1" applyNumberFormat="1" applyFont="1" applyBorder="1" applyAlignment="1">
      <alignment horizontal="center" shrinkToFit="1"/>
    </xf>
    <xf numFmtId="189" fontId="35" fillId="0" borderId="0" xfId="0" applyNumberFormat="1" applyFont="1" applyAlignment="1">
      <alignment horizontal="right"/>
    </xf>
    <xf numFmtId="189" fontId="35" fillId="0" borderId="0" xfId="1687" applyNumberFormat="1" applyFont="1" applyAlignment="1">
      <alignment horizontal="right"/>
    </xf>
    <xf numFmtId="1" fontId="63" fillId="47" borderId="21" xfId="0" applyNumberFormat="1" applyFont="1" applyFill="1" applyBorder="1" applyAlignment="1">
      <alignment horizontal="left" indent="1"/>
    </xf>
    <xf numFmtId="189" fontId="251" fillId="47" borderId="0" xfId="2895" applyNumberFormat="1" applyFont="1" applyFill="1" applyBorder="1" applyAlignment="1">
      <alignment horizontal="right" shrinkToFit="1"/>
    </xf>
    <xf numFmtId="189" fontId="231" fillId="47" borderId="0" xfId="2895" applyNumberFormat="1" applyFont="1" applyFill="1" applyBorder="1" applyAlignment="1">
      <alignment horizontal="right" shrinkToFit="1"/>
    </xf>
    <xf numFmtId="189" fontId="231" fillId="47" borderId="37" xfId="2895" applyNumberFormat="1" applyFont="1" applyFill="1" applyBorder="1" applyAlignment="1">
      <alignment horizontal="right" shrinkToFit="1"/>
    </xf>
    <xf numFmtId="189" fontId="231" fillId="47" borderId="21" xfId="2895" applyNumberFormat="1" applyFont="1" applyFill="1" applyBorder="1" applyAlignment="1">
      <alignment horizontal="right" shrinkToFit="1"/>
    </xf>
    <xf numFmtId="189" fontId="231" fillId="47" borderId="31" xfId="2895" applyNumberFormat="1" applyFont="1" applyFill="1" applyBorder="1" applyAlignment="1">
      <alignment horizontal="right" shrinkToFit="1"/>
    </xf>
    <xf numFmtId="1" fontId="186" fillId="47" borderId="21" xfId="0" applyNumberFormat="1" applyFont="1" applyFill="1" applyBorder="1" applyAlignment="1">
      <alignment horizontal="left" indent="1"/>
    </xf>
    <xf numFmtId="9" fontId="18" fillId="47" borderId="0" xfId="4865" applyFont="1" applyFill="1" applyBorder="1" applyAlignment="1">
      <alignment horizontal="right" shrinkToFit="1"/>
    </xf>
    <xf numFmtId="328" fontId="18" fillId="47" borderId="0" xfId="2895" applyNumberFormat="1" applyFont="1" applyFill="1" applyBorder="1" applyAlignment="1">
      <alignment horizontal="right" shrinkToFit="1"/>
    </xf>
    <xf numFmtId="328" fontId="18" fillId="47" borderId="37" xfId="2895" applyNumberFormat="1" applyFont="1" applyFill="1" applyBorder="1" applyAlignment="1">
      <alignment horizontal="right" shrinkToFit="1"/>
    </xf>
    <xf numFmtId="328" fontId="18" fillId="47" borderId="21" xfId="2895" applyNumberFormat="1" applyFont="1" applyFill="1" applyBorder="1" applyAlignment="1">
      <alignment horizontal="right" shrinkToFit="1"/>
    </xf>
    <xf numFmtId="328" fontId="18" fillId="47" borderId="21" xfId="1716" applyNumberFormat="1" applyFont="1" applyFill="1" applyBorder="1" applyAlignment="1">
      <alignment horizontal="right" shrinkToFit="1"/>
    </xf>
    <xf numFmtId="328" fontId="18" fillId="47" borderId="31" xfId="1716" applyNumberFormat="1" applyFont="1" applyFill="1" applyBorder="1" applyAlignment="1">
      <alignment horizontal="right" shrinkToFit="1"/>
    </xf>
    <xf numFmtId="328" fontId="18" fillId="47" borderId="0" xfId="1716" applyNumberFormat="1" applyFont="1" applyFill="1" applyBorder="1" applyAlignment="1">
      <alignment horizontal="right" shrinkToFit="1"/>
    </xf>
    <xf numFmtId="328" fontId="18" fillId="47" borderId="31" xfId="2895" applyNumberFormat="1" applyFont="1" applyFill="1" applyBorder="1" applyAlignment="1">
      <alignment horizontal="right" shrinkToFit="1"/>
    </xf>
    <xf numFmtId="1" fontId="186" fillId="47" borderId="21" xfId="0" applyNumberFormat="1" applyFont="1" applyFill="1" applyBorder="1" applyAlignment="1">
      <alignment horizontal="left" indent="2"/>
    </xf>
    <xf numFmtId="189" fontId="251" fillId="47" borderId="21" xfId="2895" applyNumberFormat="1" applyFont="1" applyFill="1" applyBorder="1" applyAlignment="1">
      <alignment horizontal="right" shrinkToFit="1"/>
    </xf>
    <xf numFmtId="189" fontId="251" fillId="47" borderId="37" xfId="2895" applyNumberFormat="1" applyFont="1" applyFill="1" applyBorder="1" applyAlignment="1">
      <alignment horizontal="right" shrinkToFit="1"/>
    </xf>
    <xf numFmtId="37" fontId="251" fillId="47" borderId="21" xfId="2895" applyNumberFormat="1" applyFont="1" applyFill="1" applyBorder="1" applyAlignment="1">
      <alignment horizontal="right" shrinkToFit="1"/>
    </xf>
    <xf numFmtId="37" fontId="251" fillId="47" borderId="31" xfId="2895" applyNumberFormat="1" applyFont="1" applyFill="1" applyBorder="1" applyAlignment="1">
      <alignment horizontal="right" shrinkToFit="1"/>
    </xf>
    <xf numFmtId="37" fontId="251" fillId="47" borderId="0" xfId="2895" applyNumberFormat="1" applyFont="1" applyFill="1" applyBorder="1" applyAlignment="1">
      <alignment horizontal="right" shrinkToFit="1"/>
    </xf>
    <xf numFmtId="37" fontId="18" fillId="47" borderId="21" xfId="2895" applyNumberFormat="1" applyFont="1" applyFill="1" applyBorder="1" applyAlignment="1">
      <alignment horizontal="right" shrinkToFit="1"/>
    </xf>
    <xf numFmtId="37" fontId="18" fillId="47" borderId="31" xfId="2895" applyNumberFormat="1" applyFont="1" applyFill="1" applyBorder="1" applyAlignment="1">
      <alignment horizontal="right" shrinkToFit="1"/>
    </xf>
    <xf numFmtId="37" fontId="18" fillId="47" borderId="0" xfId="2895" applyNumberFormat="1" applyFont="1" applyFill="1" applyBorder="1" applyAlignment="1">
      <alignment horizontal="right" shrinkToFit="1"/>
    </xf>
    <xf numFmtId="9" fontId="361" fillId="47" borderId="21" xfId="0" applyNumberFormat="1" applyFont="1" applyFill="1" applyBorder="1" applyAlignment="1">
      <alignment horizontal="center" shrinkToFit="1"/>
    </xf>
    <xf numFmtId="185" fontId="18" fillId="47" borderId="31" xfId="2895" applyNumberFormat="1" applyFont="1" applyFill="1" applyBorder="1" applyAlignment="1">
      <alignment horizontal="right" shrinkToFit="1"/>
    </xf>
    <xf numFmtId="37" fontId="18" fillId="47" borderId="37" xfId="2895" applyNumberFormat="1" applyFont="1" applyFill="1" applyBorder="1" applyAlignment="1">
      <alignment horizontal="right" shrinkToFit="1"/>
    </xf>
    <xf numFmtId="1" fontId="187" fillId="47" borderId="21" xfId="0" applyNumberFormat="1" applyFont="1" applyFill="1" applyBorder="1" applyAlignment="1">
      <alignment horizontal="left" indent="1"/>
    </xf>
    <xf numFmtId="189" fontId="44" fillId="47" borderId="0" xfId="2895" applyNumberFormat="1" applyFont="1" applyFill="1" applyBorder="1" applyAlignment="1">
      <alignment horizontal="left" shrinkToFit="1"/>
    </xf>
    <xf numFmtId="189" fontId="44" fillId="47" borderId="0" xfId="2895" applyNumberFormat="1" applyFont="1" applyFill="1" applyBorder="1" applyAlignment="1">
      <alignment horizontal="right" shrinkToFit="1"/>
    </xf>
    <xf numFmtId="185" fontId="44" fillId="47" borderId="0" xfId="2895" applyNumberFormat="1" applyFont="1" applyFill="1" applyBorder="1" applyAlignment="1">
      <alignment horizontal="right" shrinkToFit="1"/>
    </xf>
    <xf numFmtId="189" fontId="44" fillId="47" borderId="21" xfId="2895" applyNumberFormat="1" applyFont="1" applyFill="1" applyBorder="1" applyAlignment="1">
      <alignment horizontal="right" shrinkToFit="1"/>
    </xf>
    <xf numFmtId="9" fontId="44" fillId="47" borderId="0" xfId="2147" applyFont="1" applyFill="1" applyBorder="1" applyAlignment="1">
      <alignment horizontal="right" shrinkToFit="1"/>
    </xf>
    <xf numFmtId="189" fontId="330" fillId="47" borderId="0" xfId="2895" applyNumberFormat="1" applyFont="1" applyFill="1" applyBorder="1" applyAlignment="1">
      <alignment horizontal="right" shrinkToFit="1"/>
    </xf>
    <xf numFmtId="189" fontId="44" fillId="47" borderId="31" xfId="2895" applyNumberFormat="1" applyFont="1" applyFill="1" applyBorder="1" applyAlignment="1">
      <alignment horizontal="right" shrinkToFit="1"/>
    </xf>
    <xf numFmtId="189" fontId="44" fillId="47" borderId="37" xfId="2895" applyNumberFormat="1" applyFont="1" applyFill="1" applyBorder="1" applyAlignment="1">
      <alignment horizontal="right" shrinkToFit="1"/>
    </xf>
    <xf numFmtId="1" fontId="187" fillId="47" borderId="21" xfId="0" applyNumberFormat="1" applyFont="1" applyFill="1" applyBorder="1" applyAlignment="1">
      <alignment horizontal="left" indent="2"/>
    </xf>
    <xf numFmtId="189" fontId="372" fillId="47" borderId="37" xfId="2895" applyNumberFormat="1" applyFont="1" applyFill="1" applyBorder="1" applyAlignment="1">
      <alignment horizontal="right" shrinkToFit="1"/>
    </xf>
    <xf numFmtId="189" fontId="330" fillId="47" borderId="21" xfId="2895" applyNumberFormat="1" applyFont="1" applyFill="1" applyBorder="1" applyAlignment="1">
      <alignment horizontal="right" shrinkToFit="1"/>
    </xf>
    <xf numFmtId="189" fontId="374" fillId="47" borderId="21" xfId="2895" applyNumberFormat="1" applyFont="1" applyFill="1" applyBorder="1" applyAlignment="1">
      <alignment horizontal="right" shrinkToFit="1"/>
    </xf>
    <xf numFmtId="189" fontId="374" fillId="47" borderId="31" xfId="2895" applyNumberFormat="1" applyFont="1" applyFill="1" applyBorder="1" applyAlignment="1">
      <alignment horizontal="right" shrinkToFit="1"/>
    </xf>
    <xf numFmtId="189" fontId="330" fillId="47" borderId="37" xfId="2895" applyNumberFormat="1" applyFont="1" applyFill="1" applyBorder="1" applyAlignment="1">
      <alignment horizontal="right" shrinkToFit="1"/>
    </xf>
    <xf numFmtId="189" fontId="44" fillId="0" borderId="21" xfId="2895" applyNumberFormat="1" applyFont="1" applyFill="1" applyBorder="1" applyAlignment="1">
      <alignment horizontal="right" shrinkToFit="1"/>
    </xf>
    <xf numFmtId="189" fontId="44" fillId="0" borderId="37" xfId="2895" applyNumberFormat="1" applyFont="1" applyFill="1" applyBorder="1" applyAlignment="1">
      <alignment horizontal="right" shrinkToFit="1"/>
    </xf>
    <xf numFmtId="169" fontId="18" fillId="0" borderId="21" xfId="1716" applyNumberFormat="1" applyFont="1" applyFill="1" applyBorder="1" applyAlignment="1">
      <alignment horizontal="right" shrinkToFit="1"/>
    </xf>
    <xf numFmtId="0" fontId="38" fillId="0" borderId="669" xfId="0" applyFont="1" applyBorder="1"/>
    <xf numFmtId="0" fontId="267" fillId="0" borderId="670" xfId="0" applyFont="1" applyBorder="1" applyAlignment="1">
      <alignment horizontal="center"/>
    </xf>
    <xf numFmtId="0" fontId="267" fillId="0" borderId="17" xfId="0" applyFont="1" applyBorder="1" applyAlignment="1">
      <alignment horizontal="center"/>
    </xf>
    <xf numFmtId="169" fontId="267" fillId="0" borderId="17" xfId="0" applyNumberFormat="1" applyFont="1" applyBorder="1" applyAlignment="1">
      <alignment horizontal="right"/>
    </xf>
    <xf numFmtId="169" fontId="267" fillId="0" borderId="671" xfId="0" applyNumberFormat="1" applyFont="1" applyBorder="1" applyAlignment="1">
      <alignment horizontal="right"/>
    </xf>
    <xf numFmtId="169" fontId="267" fillId="49" borderId="17" xfId="0" applyNumberFormat="1" applyFont="1" applyFill="1" applyBorder="1" applyAlignment="1">
      <alignment horizontal="right"/>
    </xf>
    <xf numFmtId="169" fontId="267" fillId="49" borderId="671" xfId="0" applyNumberFormat="1" applyFont="1" applyFill="1" applyBorder="1" applyAlignment="1">
      <alignment horizontal="right"/>
    </xf>
    <xf numFmtId="169" fontId="37" fillId="0" borderId="17" xfId="0" applyNumberFormat="1" applyFont="1" applyBorder="1" applyAlignment="1">
      <alignment horizontal="right"/>
    </xf>
    <xf numFmtId="169" fontId="37" fillId="0" borderId="671" xfId="0" applyNumberFormat="1" applyFont="1" applyBorder="1" applyAlignment="1">
      <alignment horizontal="right"/>
    </xf>
    <xf numFmtId="169" fontId="37" fillId="0" borderId="672" xfId="0" applyNumberFormat="1" applyFont="1" applyBorder="1" applyAlignment="1">
      <alignment horizontal="right"/>
    </xf>
    <xf numFmtId="189" fontId="382" fillId="0" borderId="31" xfId="2895" applyNumberFormat="1" applyFont="1" applyFill="1" applyBorder="1" applyAlignment="1">
      <alignment horizontal="right" shrinkToFit="1"/>
    </xf>
    <xf numFmtId="189" fontId="382" fillId="0" borderId="21" xfId="2895" applyNumberFormat="1" applyFont="1" applyFill="1" applyBorder="1" applyAlignment="1">
      <alignment horizontal="right" shrinkToFit="1"/>
    </xf>
    <xf numFmtId="0" fontId="3" fillId="0" borderId="0" xfId="42748"/>
    <xf numFmtId="0" fontId="379" fillId="0" borderId="0" xfId="42748" applyFont="1"/>
    <xf numFmtId="0" fontId="379" fillId="0" borderId="0" xfId="42748" applyFont="1" applyAlignment="1">
      <alignment horizontal="center"/>
    </xf>
    <xf numFmtId="0" fontId="383" fillId="0" borderId="0" xfId="42748" applyFont="1"/>
    <xf numFmtId="0" fontId="383" fillId="0" borderId="0" xfId="42748" applyFont="1" applyAlignment="1">
      <alignment horizontal="center"/>
    </xf>
    <xf numFmtId="0" fontId="327" fillId="0" borderId="0" xfId="42748" applyFont="1"/>
    <xf numFmtId="6" fontId="3" fillId="0" borderId="0" xfId="42748" applyNumberFormat="1"/>
    <xf numFmtId="0" fontId="379" fillId="0" borderId="0" xfId="42748" applyFont="1" applyAlignment="1">
      <alignment horizontal="left" indent="1"/>
    </xf>
    <xf numFmtId="0" fontId="379" fillId="57" borderId="0" xfId="42748" applyFont="1" applyFill="1" applyAlignment="1">
      <alignment horizontal="left" indent="1"/>
    </xf>
    <xf numFmtId="0" fontId="383" fillId="0" borderId="0" xfId="42748" applyFont="1" applyAlignment="1">
      <alignment horizontal="left" indent="1"/>
    </xf>
    <xf numFmtId="6" fontId="377" fillId="0" borderId="0" xfId="42748" applyNumberFormat="1" applyFont="1" applyAlignment="1">
      <alignment horizontal="left" indent="1"/>
    </xf>
    <xf numFmtId="6" fontId="379" fillId="0" borderId="0" xfId="42748" applyNumberFormat="1" applyFont="1" applyAlignment="1">
      <alignment horizontal="left"/>
    </xf>
    <xf numFmtId="9" fontId="377" fillId="0" borderId="0" xfId="42748" applyNumberFormat="1" applyFont="1" applyAlignment="1">
      <alignment horizontal="left" indent="1"/>
    </xf>
    <xf numFmtId="0" fontId="379" fillId="0" borderId="667" xfId="42748" applyFont="1" applyBorder="1"/>
    <xf numFmtId="6" fontId="379" fillId="0" borderId="40" xfId="42748" applyNumberFormat="1" applyFont="1" applyBorder="1" applyAlignment="1">
      <alignment horizontal="left"/>
    </xf>
    <xf numFmtId="0" fontId="383" fillId="0" borderId="662" xfId="42748" applyFont="1" applyBorder="1" applyAlignment="1">
      <alignment horizontal="left"/>
    </xf>
    <xf numFmtId="6" fontId="383" fillId="0" borderId="21" xfId="42748" applyNumberFormat="1" applyFont="1" applyBorder="1" applyAlignment="1">
      <alignment horizontal="left"/>
    </xf>
    <xf numFmtId="0" fontId="379" fillId="0" borderId="21" xfId="42748" applyFont="1" applyBorder="1" applyAlignment="1">
      <alignment horizontal="left" indent="1"/>
    </xf>
    <xf numFmtId="0" fontId="379" fillId="0" borderId="21" xfId="42748" applyFont="1" applyBorder="1" applyAlignment="1">
      <alignment horizontal="left"/>
    </xf>
    <xf numFmtId="9" fontId="377" fillId="0" borderId="21" xfId="42748" applyNumberFormat="1" applyFont="1" applyBorder="1" applyAlignment="1">
      <alignment horizontal="left"/>
    </xf>
    <xf numFmtId="0" fontId="379" fillId="0" borderId="21" xfId="42748" applyFont="1" applyBorder="1"/>
    <xf numFmtId="6" fontId="379" fillId="0" borderId="21" xfId="42748" applyNumberFormat="1" applyFont="1" applyBorder="1" applyAlignment="1">
      <alignment horizontal="left"/>
    </xf>
    <xf numFmtId="0" fontId="3" fillId="0" borderId="21" xfId="42748" applyBorder="1"/>
    <xf numFmtId="9" fontId="379" fillId="0" borderId="21" xfId="42748" applyNumberFormat="1" applyFont="1" applyBorder="1" applyAlignment="1">
      <alignment horizontal="left"/>
    </xf>
    <xf numFmtId="6" fontId="379" fillId="0" borderId="362" xfId="42748" applyNumberFormat="1" applyFont="1" applyBorder="1" applyAlignment="1">
      <alignment horizontal="left"/>
    </xf>
    <xf numFmtId="189" fontId="251" fillId="47" borderId="31" xfId="2895" applyNumberFormat="1" applyFont="1" applyFill="1" applyBorder="1" applyAlignment="1">
      <alignment horizontal="right" shrinkToFit="1"/>
    </xf>
    <xf numFmtId="37" fontId="251" fillId="47" borderId="0" xfId="2895" applyNumberFormat="1" applyFont="1" applyFill="1" applyBorder="1" applyAlignment="1">
      <alignment horizontal="center" shrinkToFit="1"/>
    </xf>
    <xf numFmtId="37" fontId="18" fillId="47" borderId="37" xfId="2895" applyNumberFormat="1" applyFont="1" applyFill="1" applyBorder="1" applyAlignment="1">
      <alignment horizontal="center" shrinkToFit="1"/>
    </xf>
    <xf numFmtId="37" fontId="251" fillId="47" borderId="37" xfId="2895" applyNumberFormat="1" applyFont="1" applyFill="1" applyBorder="1" applyAlignment="1">
      <alignment horizontal="right" shrinkToFit="1"/>
    </xf>
    <xf numFmtId="37" fontId="18" fillId="47" borderId="0" xfId="2895" applyNumberFormat="1" applyFont="1" applyFill="1" applyBorder="1" applyAlignment="1">
      <alignment horizontal="center" shrinkToFit="1"/>
    </xf>
    <xf numFmtId="9" fontId="351" fillId="47" borderId="21" xfId="0" applyNumberFormat="1" applyFont="1" applyFill="1" applyBorder="1" applyAlignment="1">
      <alignment horizontal="center" shrinkToFit="1"/>
    </xf>
    <xf numFmtId="189" fontId="251" fillId="47" borderId="0" xfId="2895" applyNumberFormat="1" applyFont="1" applyFill="1" applyBorder="1" applyAlignment="1">
      <alignment horizontal="center" shrinkToFit="1"/>
    </xf>
    <xf numFmtId="189" fontId="251" fillId="47" borderId="37" xfId="2895" applyNumberFormat="1" applyFont="1" applyFill="1" applyBorder="1" applyAlignment="1">
      <alignment horizontal="center" shrinkToFit="1"/>
    </xf>
    <xf numFmtId="189" fontId="18" fillId="47" borderId="0" xfId="2895" applyNumberFormat="1" applyFont="1" applyFill="1" applyBorder="1" applyAlignment="1">
      <alignment horizontal="center" shrinkToFit="1"/>
    </xf>
    <xf numFmtId="189" fontId="18" fillId="47" borderId="37" xfId="2895" applyNumberFormat="1" applyFont="1" applyFill="1" applyBorder="1" applyAlignment="1">
      <alignment horizontal="center" shrinkToFit="1"/>
    </xf>
    <xf numFmtId="43" fontId="251" fillId="47" borderId="0" xfId="2895" applyNumberFormat="1" applyFont="1" applyFill="1" applyBorder="1" applyAlignment="1">
      <alignment horizontal="right" shrinkToFit="1"/>
    </xf>
    <xf numFmtId="43" fontId="18" fillId="47" borderId="0" xfId="2895" applyNumberFormat="1" applyFont="1" applyFill="1" applyBorder="1" applyAlignment="1">
      <alignment horizontal="right" shrinkToFit="1"/>
    </xf>
    <xf numFmtId="0" fontId="229" fillId="99" borderId="21" xfId="0" applyFont="1" applyFill="1" applyBorder="1" applyAlignment="1">
      <alignment horizontal="left" indent="1"/>
    </xf>
    <xf numFmtId="0" fontId="347" fillId="99" borderId="21" xfId="0" applyFont="1" applyFill="1" applyBorder="1" applyAlignment="1">
      <alignment horizontal="center" shrinkToFit="1"/>
    </xf>
    <xf numFmtId="189" fontId="257" fillId="99" borderId="0" xfId="2895" applyNumberFormat="1" applyFont="1" applyFill="1" applyBorder="1" applyAlignment="1">
      <alignment horizontal="left" shrinkToFit="1"/>
    </xf>
    <xf numFmtId="189" fontId="257" fillId="99" borderId="0" xfId="2895" applyNumberFormat="1" applyFont="1" applyFill="1" applyBorder="1" applyAlignment="1">
      <alignment horizontal="right" shrinkToFit="1"/>
    </xf>
    <xf numFmtId="185" fontId="257" fillId="99" borderId="0" xfId="2895" applyNumberFormat="1" applyFont="1" applyFill="1" applyBorder="1" applyAlignment="1">
      <alignment horizontal="right" shrinkToFit="1"/>
    </xf>
    <xf numFmtId="185" fontId="257" fillId="99" borderId="21" xfId="2895" applyNumberFormat="1" applyFont="1" applyFill="1" applyBorder="1" applyAlignment="1">
      <alignment horizontal="right" shrinkToFit="1"/>
    </xf>
    <xf numFmtId="9" fontId="257" fillId="99" borderId="0" xfId="2147" applyFont="1" applyFill="1" applyBorder="1" applyAlignment="1">
      <alignment horizontal="right" shrinkToFit="1"/>
    </xf>
    <xf numFmtId="189" fontId="257" fillId="99" borderId="21" xfId="2895" applyNumberFormat="1" applyFont="1" applyFill="1" applyBorder="1" applyAlignment="1">
      <alignment horizontal="right" shrinkToFit="1"/>
    </xf>
    <xf numFmtId="189" fontId="257" fillId="99" borderId="31" xfId="2895" applyNumberFormat="1" applyFont="1" applyFill="1" applyBorder="1" applyAlignment="1">
      <alignment horizontal="right" shrinkToFit="1"/>
    </xf>
    <xf numFmtId="189" fontId="257" fillId="99" borderId="37" xfId="2895" applyNumberFormat="1" applyFont="1" applyFill="1" applyBorder="1" applyAlignment="1">
      <alignment horizontal="right" shrinkToFit="1"/>
    </xf>
    <xf numFmtId="189" fontId="382" fillId="0" borderId="21" xfId="2895" applyNumberFormat="1" applyFont="1" applyFill="1" applyBorder="1" applyAlignment="1">
      <alignment horizontal="center" shrinkToFit="1"/>
    </xf>
    <xf numFmtId="169" fontId="18" fillId="0" borderId="0" xfId="1716" applyNumberFormat="1" applyFont="1" applyFill="1" applyBorder="1" applyAlignment="1">
      <alignment horizontal="right" shrinkToFit="1"/>
    </xf>
    <xf numFmtId="169" fontId="18" fillId="0" borderId="37" xfId="1716" applyNumberFormat="1" applyFont="1" applyFill="1" applyBorder="1" applyAlignment="1">
      <alignment horizontal="right" shrinkToFit="1"/>
    </xf>
    <xf numFmtId="189" fontId="251" fillId="0" borderId="21" xfId="2895" applyNumberFormat="1" applyFont="1" applyFill="1" applyBorder="1" applyAlignment="1">
      <alignment horizontal="center" shrinkToFit="1"/>
    </xf>
    <xf numFmtId="281" fontId="63" fillId="0" borderId="0" xfId="0" applyNumberFormat="1" applyFont="1" applyAlignment="1">
      <alignment horizontal="right"/>
    </xf>
    <xf numFmtId="37" fontId="382" fillId="0" borderId="31" xfId="2895" applyNumberFormat="1" applyFont="1" applyFill="1" applyBorder="1" applyAlignment="1">
      <alignment horizontal="right" shrinkToFit="1"/>
    </xf>
    <xf numFmtId="37" fontId="382" fillId="0" borderId="21" xfId="2895" applyNumberFormat="1" applyFont="1" applyFill="1" applyBorder="1" applyAlignment="1">
      <alignment horizontal="right" shrinkToFit="1"/>
    </xf>
    <xf numFmtId="37" fontId="382" fillId="0" borderId="37" xfId="2895" applyNumberFormat="1" applyFont="1" applyFill="1" applyBorder="1" applyAlignment="1">
      <alignment horizontal="right" shrinkToFit="1"/>
    </xf>
    <xf numFmtId="37" fontId="382" fillId="49" borderId="21" xfId="2895" applyNumberFormat="1" applyFont="1" applyFill="1" applyBorder="1" applyAlignment="1">
      <alignment horizontal="right" shrinkToFit="1"/>
    </xf>
    <xf numFmtId="9" fontId="330" fillId="0" borderId="21" xfId="1716" applyFont="1" applyFill="1" applyBorder="1" applyAlignment="1">
      <alignment horizontal="right" shrinkToFit="1"/>
    </xf>
    <xf numFmtId="10" fontId="251" fillId="0" borderId="21" xfId="0" applyNumberFormat="1" applyFont="1" applyBorder="1" applyAlignment="1">
      <alignment horizontal="right"/>
    </xf>
    <xf numFmtId="184" fontId="18" fillId="0" borderId="0" xfId="0" applyNumberFormat="1" applyFont="1" applyAlignment="1">
      <alignment horizontal="right"/>
    </xf>
    <xf numFmtId="169" fontId="18" fillId="0" borderId="560" xfId="1716" applyNumberFormat="1" applyFont="1" applyBorder="1" applyAlignment="1">
      <alignment horizontal="right"/>
    </xf>
    <xf numFmtId="10" fontId="251" fillId="0" borderId="21" xfId="1716" applyNumberFormat="1" applyFont="1" applyFill="1" applyBorder="1" applyAlignment="1">
      <alignment horizontal="right"/>
    </xf>
    <xf numFmtId="169" fontId="18" fillId="0" borderId="21" xfId="1716" applyNumberFormat="1" applyFont="1" applyBorder="1" applyAlignment="1">
      <alignment horizontal="right"/>
    </xf>
    <xf numFmtId="169" fontId="18" fillId="0" borderId="27" xfId="1716" applyNumberFormat="1" applyFont="1" applyFill="1" applyBorder="1" applyAlignment="1">
      <alignment horizontal="right"/>
    </xf>
    <xf numFmtId="10" fontId="48" fillId="0" borderId="21" xfId="1716" applyNumberFormat="1" applyFont="1" applyFill="1" applyBorder="1" applyAlignment="1">
      <alignment horizontal="right"/>
    </xf>
    <xf numFmtId="10" fontId="18" fillId="0" borderId="0" xfId="1716" applyNumberFormat="1" applyFont="1" applyFill="1" applyBorder="1" applyAlignment="1">
      <alignment horizontal="right"/>
    </xf>
    <xf numFmtId="10" fontId="18" fillId="0" borderId="21" xfId="1716" applyNumberFormat="1" applyFont="1" applyFill="1" applyBorder="1" applyAlignment="1">
      <alignment horizontal="right"/>
    </xf>
    <xf numFmtId="10" fontId="35" fillId="0" borderId="21" xfId="1716" applyNumberFormat="1" applyFont="1" applyFill="1" applyBorder="1" applyAlignment="1">
      <alignment horizontal="right"/>
    </xf>
    <xf numFmtId="274" fontId="18" fillId="0" borderId="662" xfId="0" applyNumberFormat="1" applyFont="1" applyBorder="1" applyAlignment="1">
      <alignment horizontal="right"/>
    </xf>
    <xf numFmtId="189" fontId="382" fillId="0" borderId="0" xfId="2895" applyNumberFormat="1" applyFont="1" applyFill="1" applyBorder="1" applyAlignment="1">
      <alignment horizontal="right" shrinkToFit="1"/>
    </xf>
    <xf numFmtId="169" fontId="255" fillId="0" borderId="0" xfId="1716" applyNumberFormat="1" applyFont="1" applyAlignment="1">
      <alignment horizontal="center"/>
    </xf>
    <xf numFmtId="169" fontId="48" fillId="0" borderId="0" xfId="1716" applyNumberFormat="1" applyFont="1" applyFill="1" applyAlignment="1">
      <alignment horizontal="right"/>
    </xf>
    <xf numFmtId="201" fontId="0" fillId="0" borderId="0" xfId="0" applyNumberFormat="1"/>
    <xf numFmtId="337" fontId="49" fillId="0" borderId="608" xfId="0" applyNumberFormat="1" applyFont="1" applyBorder="1" applyAlignment="1">
      <alignment horizontal="center" vertical="center"/>
    </xf>
    <xf numFmtId="0" fontId="1" fillId="0" borderId="0" xfId="42751"/>
    <xf numFmtId="0" fontId="384" fillId="49" borderId="0" xfId="42751" applyFont="1" applyFill="1" applyAlignment="1">
      <alignment horizontal="center"/>
    </xf>
    <xf numFmtId="9" fontId="385" fillId="49" borderId="0" xfId="42751" applyNumberFormat="1" applyFont="1" applyFill="1" applyAlignment="1">
      <alignment horizontal="center"/>
    </xf>
    <xf numFmtId="3" fontId="1" fillId="49" borderId="0" xfId="42751" applyNumberFormat="1" applyFill="1"/>
    <xf numFmtId="0" fontId="1" fillId="49" borderId="0" xfId="42751" applyFill="1"/>
    <xf numFmtId="9" fontId="0" fillId="49" borderId="0" xfId="42752" applyFont="1" applyFill="1"/>
    <xf numFmtId="3" fontId="1" fillId="0" borderId="0" xfId="42751" applyNumberFormat="1"/>
    <xf numFmtId="9" fontId="0" fillId="0" borderId="0" xfId="42752" applyFont="1"/>
    <xf numFmtId="0" fontId="386" fillId="49" borderId="0" xfId="42751" applyFont="1" applyFill="1"/>
    <xf numFmtId="0" fontId="386" fillId="49" borderId="0" xfId="42751" applyFont="1" applyFill="1" applyAlignment="1">
      <alignment horizontal="center"/>
    </xf>
    <xf numFmtId="0" fontId="387" fillId="49" borderId="0" xfId="42751" applyFont="1" applyFill="1"/>
    <xf numFmtId="0" fontId="388" fillId="49" borderId="0" xfId="42751" applyFont="1" applyFill="1" applyAlignment="1">
      <alignment horizontal="left" indent="7"/>
    </xf>
    <xf numFmtId="0" fontId="388" fillId="49" borderId="0" xfId="42751" applyFont="1" applyFill="1" applyAlignment="1">
      <alignment horizontal="center"/>
    </xf>
    <xf numFmtId="0" fontId="389" fillId="49" borderId="653" xfId="42751" applyFont="1" applyFill="1" applyBorder="1" applyAlignment="1">
      <alignment horizontal="left" indent="7"/>
    </xf>
    <xf numFmtId="0" fontId="389" fillId="49" borderId="653" xfId="42751" applyFont="1" applyFill="1" applyBorder="1" applyAlignment="1">
      <alignment horizontal="center"/>
    </xf>
    <xf numFmtId="0" fontId="386" fillId="49" borderId="653" xfId="42751" applyFont="1" applyFill="1" applyBorder="1"/>
    <xf numFmtId="0" fontId="44" fillId="49" borderId="132" xfId="42753" applyFont="1" applyFill="1" applyBorder="1" applyAlignment="1">
      <alignment horizontal="left" indent="1"/>
    </xf>
    <xf numFmtId="0" fontId="44" fillId="49" borderId="0" xfId="42753" applyFont="1" applyFill="1" applyBorder="1" applyAlignment="1">
      <alignment horizontal="center"/>
    </xf>
    <xf numFmtId="0" fontId="44" fillId="49" borderId="0" xfId="42753" applyFont="1" applyFill="1" applyBorder="1" applyAlignment="1">
      <alignment horizontal="left" indent="1"/>
    </xf>
    <xf numFmtId="0" fontId="390" fillId="49" borderId="0" xfId="42751" applyFont="1" applyFill="1"/>
    <xf numFmtId="0" fontId="390" fillId="106" borderId="663" xfId="42754" applyFont="1" applyFill="1" applyBorder="1" applyAlignment="1">
      <alignment horizontal="left"/>
    </xf>
    <xf numFmtId="0" fontId="390" fillId="106" borderId="661" xfId="42754" applyFont="1" applyFill="1" applyBorder="1" applyAlignment="1">
      <alignment horizontal="center"/>
    </xf>
    <xf numFmtId="0" fontId="390" fillId="106" borderId="661" xfId="42751" applyFont="1" applyFill="1" applyBorder="1" applyAlignment="1">
      <alignment horizontal="center"/>
    </xf>
    <xf numFmtId="0" fontId="390" fillId="106" borderId="664" xfId="42754" applyFont="1" applyFill="1" applyBorder="1" applyAlignment="1">
      <alignment horizontal="center"/>
    </xf>
    <xf numFmtId="0" fontId="37" fillId="107" borderId="31" xfId="42754" applyFont="1" applyFill="1" applyBorder="1" applyAlignment="1">
      <alignment horizontal="left"/>
    </xf>
    <xf numFmtId="0" fontId="37" fillId="107" borderId="37" xfId="42754" applyFont="1" applyFill="1" applyBorder="1" applyAlignment="1">
      <alignment horizontal="center"/>
    </xf>
    <xf numFmtId="0" fontId="391" fillId="49" borderId="0" xfId="42751" applyFont="1" applyFill="1"/>
    <xf numFmtId="0" fontId="391" fillId="49" borderId="31" xfId="42751" applyFont="1" applyFill="1" applyBorder="1"/>
    <xf numFmtId="0" fontId="391" fillId="49" borderId="0" xfId="42751" applyFont="1" applyFill="1" applyAlignment="1">
      <alignment horizontal="center"/>
    </xf>
    <xf numFmtId="189" fontId="391" fillId="49" borderId="0" xfId="42755" applyNumberFormat="1" applyFont="1" applyFill="1" applyBorder="1"/>
    <xf numFmtId="189" fontId="391" fillId="49" borderId="37" xfId="42755" applyNumberFormat="1" applyFont="1" applyFill="1" applyBorder="1"/>
    <xf numFmtId="0" fontId="386" fillId="49" borderId="31" xfId="42751" applyFont="1" applyFill="1" applyBorder="1" applyAlignment="1">
      <alignment horizontal="left" indent="1"/>
    </xf>
    <xf numFmtId="169" fontId="392" fillId="49" borderId="37" xfId="42751" applyNumberFormat="1" applyFont="1" applyFill="1" applyBorder="1"/>
    <xf numFmtId="0" fontId="386" fillId="49" borderId="31" xfId="42751" applyFont="1" applyFill="1" applyBorder="1"/>
    <xf numFmtId="9" fontId="393" fillId="108" borderId="574" xfId="42752" applyFont="1" applyFill="1" applyBorder="1" applyAlignment="1">
      <alignment horizontal="center"/>
    </xf>
    <xf numFmtId="189" fontId="18" fillId="49" borderId="0" xfId="42755" applyNumberFormat="1" applyFont="1" applyFill="1" applyBorder="1"/>
    <xf numFmtId="189" fontId="18" fillId="49" borderId="37" xfId="42755" applyNumberFormat="1" applyFont="1" applyFill="1" applyBorder="1"/>
    <xf numFmtId="9" fontId="393" fillId="108" borderId="0" xfId="42752" applyFont="1" applyFill="1" applyBorder="1" applyAlignment="1">
      <alignment horizontal="center"/>
    </xf>
    <xf numFmtId="0" fontId="386" fillId="49" borderId="31" xfId="42751" applyFont="1" applyFill="1" applyBorder="1" applyAlignment="1">
      <alignment horizontal="left"/>
    </xf>
    <xf numFmtId="9" fontId="251" fillId="49" borderId="0" xfId="42752" applyFont="1" applyFill="1" applyBorder="1"/>
    <xf numFmtId="9" fontId="251" fillId="49" borderId="37" xfId="42752" applyFont="1" applyFill="1" applyBorder="1"/>
    <xf numFmtId="189" fontId="18" fillId="49" borderId="0" xfId="42752" applyNumberFormat="1" applyFont="1" applyFill="1" applyBorder="1"/>
    <xf numFmtId="189" fontId="18" fillId="49" borderId="37" xfId="42752" applyNumberFormat="1" applyFont="1" applyFill="1" applyBorder="1"/>
    <xf numFmtId="9" fontId="392" fillId="49" borderId="0" xfId="42752" applyFont="1" applyFill="1" applyBorder="1"/>
    <xf numFmtId="9" fontId="392" fillId="49" borderId="37" xfId="42752" applyFont="1" applyFill="1" applyBorder="1"/>
    <xf numFmtId="169" fontId="392" fillId="49" borderId="0" xfId="42752" applyNumberFormat="1" applyFont="1" applyFill="1" applyBorder="1"/>
    <xf numFmtId="169" fontId="394" fillId="49" borderId="0" xfId="42752" applyNumberFormat="1" applyFont="1" applyFill="1" applyBorder="1"/>
    <xf numFmtId="169" fontId="251" fillId="49" borderId="0" xfId="42752" applyNumberFormat="1" applyFont="1" applyFill="1" applyBorder="1"/>
    <xf numFmtId="0" fontId="391" fillId="49" borderId="630" xfId="42751" applyFont="1" applyFill="1" applyBorder="1" applyAlignment="1">
      <alignment horizontal="left" indent="2"/>
    </xf>
    <xf numFmtId="0" fontId="391" fillId="49" borderId="654" xfId="42751" applyFont="1" applyFill="1" applyBorder="1" applyAlignment="1">
      <alignment horizontal="center"/>
    </xf>
    <xf numFmtId="9" fontId="393" fillId="49" borderId="654" xfId="42752" applyFont="1" applyFill="1" applyBorder="1"/>
    <xf numFmtId="41" fontId="37" fillId="49" borderId="654" xfId="42755" applyNumberFormat="1" applyFont="1" applyFill="1" applyBorder="1"/>
    <xf numFmtId="41" fontId="37" fillId="49" borderId="633" xfId="42755" applyNumberFormat="1" applyFont="1" applyFill="1" applyBorder="1"/>
    <xf numFmtId="9" fontId="18" fillId="49" borderId="0" xfId="42752" applyFont="1" applyFill="1" applyBorder="1"/>
    <xf numFmtId="9" fontId="394" fillId="49" borderId="0" xfId="42752" applyFont="1" applyFill="1" applyBorder="1"/>
    <xf numFmtId="189" fontId="386" fillId="49" borderId="0" xfId="42755" applyNumberFormat="1" applyFont="1" applyFill="1" applyBorder="1"/>
    <xf numFmtId="0" fontId="386" fillId="49" borderId="31" xfId="42751" applyFont="1" applyFill="1" applyBorder="1" applyAlignment="1">
      <alignment horizontal="left" indent="2"/>
    </xf>
    <xf numFmtId="9" fontId="395" fillId="49" borderId="0" xfId="42752" applyFont="1" applyFill="1" applyBorder="1"/>
    <xf numFmtId="281" fontId="18" fillId="49" borderId="0" xfId="42752" applyNumberFormat="1" applyFont="1" applyFill="1" applyBorder="1"/>
    <xf numFmtId="189" fontId="386" fillId="49" borderId="37" xfId="42755" applyNumberFormat="1" applyFont="1" applyFill="1" applyBorder="1"/>
    <xf numFmtId="9" fontId="251" fillId="49" borderId="37" xfId="42751" applyNumberFormat="1" applyFont="1" applyFill="1" applyBorder="1"/>
    <xf numFmtId="0" fontId="391" fillId="109" borderId="663" xfId="42751" applyFont="1" applyFill="1" applyBorder="1"/>
    <xf numFmtId="0" fontId="391" fillId="109" borderId="661" xfId="42751" applyFont="1" applyFill="1" applyBorder="1" applyAlignment="1">
      <alignment horizontal="center"/>
    </xf>
    <xf numFmtId="189" fontId="391" fillId="109" borderId="661" xfId="42755" applyNumberFormat="1" applyFont="1" applyFill="1" applyBorder="1"/>
    <xf numFmtId="185" fontId="391" fillId="109" borderId="661" xfId="42755" applyNumberFormat="1" applyFont="1" applyFill="1" applyBorder="1"/>
    <xf numFmtId="185" fontId="391" fillId="109" borderId="664" xfId="42755" applyNumberFormat="1" applyFont="1" applyFill="1" applyBorder="1"/>
    <xf numFmtId="0" fontId="386" fillId="109" borderId="31" xfId="42751" applyFont="1" applyFill="1" applyBorder="1" applyAlignment="1">
      <alignment horizontal="left" indent="1"/>
    </xf>
    <xf numFmtId="9" fontId="386" fillId="109" borderId="0" xfId="42752" applyFont="1" applyFill="1" applyBorder="1"/>
    <xf numFmtId="9" fontId="386" fillId="109" borderId="37" xfId="42752" applyFont="1" applyFill="1" applyBorder="1"/>
    <xf numFmtId="9" fontId="18" fillId="109" borderId="0" xfId="42752" applyFont="1" applyFill="1" applyBorder="1"/>
    <xf numFmtId="9" fontId="394" fillId="109" borderId="0" xfId="42752" applyFont="1" applyFill="1" applyBorder="1"/>
    <xf numFmtId="0" fontId="391" fillId="109" borderId="631" xfId="42751" applyFont="1" applyFill="1" applyBorder="1"/>
    <xf numFmtId="0" fontId="391" fillId="109" borderId="608" xfId="42751" applyFont="1" applyFill="1" applyBorder="1" applyAlignment="1">
      <alignment horizontal="center"/>
    </xf>
    <xf numFmtId="189" fontId="391" fillId="109" borderId="608" xfId="42755" applyNumberFormat="1" applyFont="1" applyFill="1" applyBorder="1"/>
    <xf numFmtId="185" fontId="391" fillId="109" borderId="608" xfId="42755" applyNumberFormat="1" applyFont="1" applyFill="1" applyBorder="1"/>
    <xf numFmtId="185" fontId="391" fillId="109" borderId="634" xfId="42755" applyNumberFormat="1" applyFont="1" applyFill="1" applyBorder="1"/>
    <xf numFmtId="0" fontId="391" fillId="108" borderId="0" xfId="42751" applyFont="1" applyFill="1" applyAlignment="1">
      <alignment horizontal="left"/>
    </xf>
    <xf numFmtId="185" fontId="391" fillId="108" borderId="0" xfId="42755" applyNumberFormat="1" applyFont="1" applyFill="1" applyBorder="1"/>
    <xf numFmtId="0" fontId="229" fillId="106" borderId="663" xfId="42754" applyFont="1" applyFill="1" applyBorder="1" applyAlignment="1">
      <alignment horizontal="left"/>
    </xf>
    <xf numFmtId="0" fontId="229" fillId="106" borderId="661" xfId="42754" applyFont="1" applyFill="1" applyBorder="1" applyAlignment="1">
      <alignment horizontal="center"/>
    </xf>
    <xf numFmtId="0" fontId="229" fillId="106" borderId="661" xfId="42751" applyFont="1" applyFill="1" applyBorder="1" applyAlignment="1">
      <alignment horizontal="center"/>
    </xf>
    <xf numFmtId="0" fontId="229" fillId="106" borderId="664" xfId="42754" applyFont="1" applyFill="1" applyBorder="1" applyAlignment="1">
      <alignment horizontal="center"/>
    </xf>
    <xf numFmtId="0" fontId="37" fillId="107" borderId="663" xfId="42754" applyFont="1" applyFill="1" applyBorder="1" applyAlignment="1">
      <alignment horizontal="left"/>
    </xf>
    <xf numFmtId="0" fontId="37" fillId="110" borderId="31" xfId="42754" applyFont="1" applyFill="1" applyBorder="1" applyAlignment="1">
      <alignment horizontal="left"/>
    </xf>
    <xf numFmtId="0" fontId="18" fillId="110" borderId="631" xfId="42754" applyFont="1" applyFill="1" applyBorder="1" applyAlignment="1">
      <alignment horizontal="left" indent="1"/>
    </xf>
    <xf numFmtId="0" fontId="18" fillId="110" borderId="608" xfId="42754" applyFont="1" applyFill="1" applyBorder="1" applyAlignment="1">
      <alignment horizontal="center"/>
    </xf>
    <xf numFmtId="0" fontId="18" fillId="110" borderId="608" xfId="42751" applyFont="1" applyFill="1" applyBorder="1" applyAlignment="1">
      <alignment horizontal="center"/>
    </xf>
    <xf numFmtId="189" fontId="18" fillId="110" borderId="608" xfId="42754" applyNumberFormat="1" applyFont="1" applyFill="1" applyBorder="1" applyAlignment="1">
      <alignment horizontal="center"/>
    </xf>
    <xf numFmtId="281" fontId="18" fillId="110" borderId="608" xfId="42754" applyNumberFormat="1" applyFont="1" applyFill="1" applyBorder="1" applyAlignment="1">
      <alignment horizontal="center"/>
    </xf>
    <xf numFmtId="0" fontId="254" fillId="111" borderId="663" xfId="42751" applyFont="1" applyFill="1" applyBorder="1"/>
    <xf numFmtId="0" fontId="254" fillId="111" borderId="661" xfId="42751" applyFont="1" applyFill="1" applyBorder="1"/>
    <xf numFmtId="353" fontId="267" fillId="111" borderId="661" xfId="42751" applyNumberFormat="1" applyFont="1" applyFill="1" applyBorder="1"/>
    <xf numFmtId="353" fontId="254" fillId="111" borderId="661" xfId="42751" applyNumberFormat="1" applyFont="1" applyFill="1" applyBorder="1"/>
    <xf numFmtId="353" fontId="254" fillId="111" borderId="664" xfId="42751" applyNumberFormat="1" applyFont="1" applyFill="1" applyBorder="1"/>
    <xf numFmtId="0" fontId="372" fillId="111" borderId="631" xfId="42751" applyFont="1" applyFill="1" applyBorder="1" applyAlignment="1">
      <alignment horizontal="left" indent="1"/>
    </xf>
    <xf numFmtId="0" fontId="372" fillId="111" borderId="608" xfId="42751" applyFont="1" applyFill="1" applyBorder="1"/>
    <xf numFmtId="10" fontId="330" fillId="111" borderId="608" xfId="42751" applyNumberFormat="1" applyFont="1" applyFill="1" applyBorder="1"/>
    <xf numFmtId="10" fontId="372" fillId="111" borderId="608" xfId="42751" applyNumberFormat="1" applyFont="1" applyFill="1" applyBorder="1" applyAlignment="1">
      <alignment horizontal="right"/>
    </xf>
    <xf numFmtId="10" fontId="372" fillId="111" borderId="634" xfId="42751" applyNumberFormat="1" applyFont="1" applyFill="1" applyBorder="1" applyAlignment="1">
      <alignment horizontal="right"/>
    </xf>
    <xf numFmtId="0" fontId="387" fillId="49" borderId="0" xfId="42751" applyFont="1" applyFill="1" applyAlignment="1">
      <alignment horizontal="center"/>
    </xf>
    <xf numFmtId="353" fontId="387" fillId="49" borderId="0" xfId="42751" applyNumberFormat="1" applyFont="1" applyFill="1"/>
    <xf numFmtId="43" fontId="387" fillId="49" borderId="0" xfId="42751" applyNumberFormat="1" applyFont="1" applyFill="1"/>
    <xf numFmtId="185" fontId="1" fillId="49" borderId="0" xfId="42751" applyNumberFormat="1" applyFill="1"/>
    <xf numFmtId="169" fontId="1" fillId="49" borderId="0" xfId="42751" applyNumberFormat="1" applyFill="1"/>
    <xf numFmtId="169" fontId="387" fillId="49" borderId="0" xfId="42751" applyNumberFormat="1" applyFont="1" applyFill="1"/>
    <xf numFmtId="0" fontId="397" fillId="49" borderId="31" xfId="42751" applyFont="1" applyFill="1" applyBorder="1" applyAlignment="1">
      <alignment horizontal="left" indent="1"/>
    </xf>
    <xf numFmtId="189" fontId="44" fillId="49" borderId="0" xfId="42755" applyNumberFormat="1" applyFont="1" applyFill="1" applyBorder="1"/>
    <xf numFmtId="189" fontId="44" fillId="49" borderId="37" xfId="42755" applyNumberFormat="1" applyFont="1" applyFill="1" applyBorder="1"/>
    <xf numFmtId="169" fontId="44" fillId="49" borderId="37" xfId="42751" applyNumberFormat="1" applyFont="1" applyFill="1" applyBorder="1"/>
    <xf numFmtId="9" fontId="386" fillId="49" borderId="0" xfId="42752" applyFont="1" applyFill="1" applyBorder="1" applyAlignment="1">
      <alignment horizontal="center"/>
    </xf>
    <xf numFmtId="189" fontId="393" fillId="49" borderId="654" xfId="42752" applyNumberFormat="1" applyFont="1" applyFill="1" applyBorder="1"/>
    <xf numFmtId="189" fontId="393" fillId="49" borderId="633" xfId="42752" applyNumberFormat="1" applyFont="1" applyFill="1" applyBorder="1"/>
    <xf numFmtId="9" fontId="396" fillId="49" borderId="0" xfId="42752" applyFont="1" applyFill="1" applyBorder="1"/>
    <xf numFmtId="335" fontId="18" fillId="49" borderId="0" xfId="42752" applyNumberFormat="1" applyFont="1" applyFill="1" applyBorder="1"/>
    <xf numFmtId="281" fontId="18" fillId="49" borderId="37" xfId="42752" applyNumberFormat="1" applyFont="1" applyFill="1" applyBorder="1"/>
    <xf numFmtId="0" fontId="386" fillId="109" borderId="631" xfId="42751" applyFont="1" applyFill="1" applyBorder="1" applyAlignment="1">
      <alignment horizontal="left" indent="1"/>
    </xf>
    <xf numFmtId="0" fontId="386" fillId="109" borderId="608" xfId="42751" applyFont="1" applyFill="1" applyBorder="1" applyAlignment="1">
      <alignment horizontal="center"/>
    </xf>
    <xf numFmtId="9" fontId="386" fillId="109" borderId="608" xfId="42752" applyFont="1" applyFill="1" applyBorder="1"/>
    <xf numFmtId="9" fontId="386" fillId="109" borderId="634" xfId="42752" applyFont="1" applyFill="1" applyBorder="1"/>
    <xf numFmtId="0" fontId="391" fillId="49" borderId="0" xfId="42751" applyFont="1" applyFill="1" applyAlignment="1">
      <alignment horizontal="left"/>
    </xf>
    <xf numFmtId="9" fontId="391" fillId="49" borderId="0" xfId="42752" applyFont="1" applyFill="1" applyBorder="1"/>
    <xf numFmtId="352" fontId="391" fillId="49" borderId="0" xfId="42752" applyNumberFormat="1" applyFont="1" applyFill="1" applyBorder="1"/>
    <xf numFmtId="10" fontId="372" fillId="111" borderId="608" xfId="42751" applyNumberFormat="1" applyFont="1" applyFill="1" applyBorder="1"/>
    <xf numFmtId="9" fontId="387" fillId="49" borderId="0" xfId="42751" applyNumberFormat="1" applyFont="1" applyFill="1"/>
    <xf numFmtId="10" fontId="387" fillId="49" borderId="0" xfId="42751" applyNumberFormat="1" applyFont="1" applyFill="1"/>
    <xf numFmtId="0" fontId="37" fillId="107" borderId="0" xfId="42754" applyFont="1" applyFill="1" applyAlignment="1">
      <alignment horizontal="center"/>
    </xf>
    <xf numFmtId="0" fontId="37" fillId="107" borderId="0" xfId="42751" applyFont="1" applyFill="1" applyAlignment="1">
      <alignment horizontal="center"/>
    </xf>
    <xf numFmtId="169" fontId="392" fillId="49" borderId="0" xfId="42751" applyNumberFormat="1" applyFont="1" applyFill="1"/>
    <xf numFmtId="189" fontId="391" fillId="49" borderId="0" xfId="42751" applyNumberFormat="1" applyFont="1" applyFill="1"/>
    <xf numFmtId="189" fontId="391" fillId="49" borderId="37" xfId="42751" applyNumberFormat="1" applyFont="1" applyFill="1" applyBorder="1"/>
    <xf numFmtId="9" fontId="386" fillId="49" borderId="0" xfId="42751" applyNumberFormat="1" applyFont="1" applyFill="1" applyAlignment="1">
      <alignment horizontal="center"/>
    </xf>
    <xf numFmtId="169" fontId="44" fillId="49" borderId="0" xfId="42751" applyNumberFormat="1" applyFont="1" applyFill="1"/>
    <xf numFmtId="169" fontId="251" fillId="49" borderId="37" xfId="42752" applyNumberFormat="1" applyFont="1" applyFill="1" applyBorder="1"/>
    <xf numFmtId="0" fontId="386" fillId="49" borderId="37" xfId="42751" applyFont="1" applyFill="1" applyBorder="1"/>
    <xf numFmtId="9" fontId="18" fillId="49" borderId="37" xfId="42752" applyFont="1" applyFill="1" applyBorder="1"/>
    <xf numFmtId="3" fontId="386" fillId="49" borderId="0" xfId="42751" applyNumberFormat="1" applyFont="1" applyFill="1"/>
    <xf numFmtId="9" fontId="18" fillId="49" borderId="0" xfId="42751" applyNumberFormat="1" applyFont="1" applyFill="1"/>
    <xf numFmtId="0" fontId="396" fillId="49" borderId="0" xfId="42751" applyFont="1" applyFill="1"/>
    <xf numFmtId="0" fontId="396" fillId="49" borderId="37" xfId="42751" applyFont="1" applyFill="1" applyBorder="1"/>
    <xf numFmtId="9" fontId="392" fillId="49" borderId="0" xfId="42751" applyNumberFormat="1" applyFont="1" applyFill="1"/>
    <xf numFmtId="9" fontId="251" fillId="49" borderId="0" xfId="42751" applyNumberFormat="1" applyFont="1" applyFill="1"/>
    <xf numFmtId="0" fontId="386" fillId="109" borderId="0" xfId="42751" applyFont="1" applyFill="1" applyAlignment="1">
      <alignment horizontal="center"/>
    </xf>
    <xf numFmtId="9" fontId="18" fillId="109" borderId="37" xfId="42752" applyFont="1" applyFill="1" applyBorder="1"/>
    <xf numFmtId="0" fontId="37" fillId="110" borderId="0" xfId="42754" applyFont="1" applyFill="1" applyAlignment="1">
      <alignment horizontal="center"/>
    </xf>
    <xf numFmtId="0" fontId="37" fillId="110" borderId="0" xfId="42751" applyFont="1" applyFill="1" applyAlignment="1">
      <alignment horizontal="center"/>
    </xf>
    <xf numFmtId="189" fontId="37" fillId="110" borderId="0" xfId="42754" applyNumberFormat="1" applyFont="1" applyFill="1" applyAlignment="1">
      <alignment horizontal="center"/>
    </xf>
    <xf numFmtId="189" fontId="37" fillId="110" borderId="37" xfId="42754" applyNumberFormat="1" applyFont="1" applyFill="1" applyBorder="1" applyAlignment="1">
      <alignment horizontal="center"/>
    </xf>
    <xf numFmtId="281" fontId="18" fillId="110" borderId="634" xfId="42754" applyNumberFormat="1" applyFont="1" applyFill="1" applyBorder="1" applyAlignment="1">
      <alignment horizontal="center"/>
    </xf>
    <xf numFmtId="0" fontId="18" fillId="108" borderId="31" xfId="42754" applyFont="1" applyFill="1" applyBorder="1" applyAlignment="1">
      <alignment horizontal="left" indent="1"/>
    </xf>
    <xf numFmtId="0" fontId="18" fillId="108" borderId="0" xfId="42754" applyFont="1" applyFill="1" applyAlignment="1">
      <alignment horizontal="center"/>
    </xf>
    <xf numFmtId="0" fontId="18" fillId="108" borderId="0" xfId="42751" applyFont="1" applyFill="1" applyAlignment="1">
      <alignment horizontal="center"/>
    </xf>
    <xf numFmtId="189" fontId="18" fillId="108" borderId="0" xfId="42754" applyNumberFormat="1" applyFont="1" applyFill="1" applyAlignment="1">
      <alignment horizontal="center"/>
    </xf>
    <xf numFmtId="281" fontId="18" fillId="108" borderId="0" xfId="42754" applyNumberFormat="1" applyFont="1" applyFill="1" applyAlignment="1">
      <alignment horizontal="center"/>
    </xf>
    <xf numFmtId="0" fontId="37" fillId="108" borderId="0" xfId="42754" applyFont="1" applyFill="1" applyAlignment="1">
      <alignment horizontal="center"/>
    </xf>
    <xf numFmtId="0" fontId="37" fillId="108" borderId="37" xfId="42754" applyFont="1" applyFill="1" applyBorder="1" applyAlignment="1">
      <alignment horizontal="center"/>
    </xf>
    <xf numFmtId="7" fontId="396" fillId="49" borderId="0" xfId="42751" applyNumberFormat="1" applyFont="1" applyFill="1"/>
    <xf numFmtId="9" fontId="395" fillId="49" borderId="0" xfId="42751" applyNumberFormat="1" applyFont="1" applyFill="1"/>
    <xf numFmtId="189" fontId="18" fillId="0" borderId="0" xfId="42752" applyNumberFormat="1" applyFont="1" applyFill="1" applyBorder="1"/>
    <xf numFmtId="9" fontId="251" fillId="0" borderId="0" xfId="42751" applyNumberFormat="1" applyFont="1"/>
    <xf numFmtId="169" fontId="385" fillId="49" borderId="0" xfId="42751" applyNumberFormat="1" applyFont="1" applyFill="1" applyAlignment="1">
      <alignment horizontal="center"/>
    </xf>
    <xf numFmtId="169" fontId="35" fillId="71" borderId="574" xfId="0" applyNumberFormat="1" applyFont="1" applyFill="1" applyBorder="1" applyAlignment="1">
      <alignment horizontal="right"/>
    </xf>
    <xf numFmtId="189" fontId="251" fillId="0" borderId="0" xfId="0" applyNumberFormat="1" applyFont="1" applyAlignment="1">
      <alignment horizontal="right"/>
    </xf>
    <xf numFmtId="201" fontId="49" fillId="0" borderId="11" xfId="0" applyNumberFormat="1" applyFont="1" applyBorder="1" applyAlignment="1">
      <alignment horizontal="center" vertical="center"/>
    </xf>
    <xf numFmtId="326" fontId="252" fillId="0" borderId="0" xfId="1525" applyNumberFormat="1" applyFont="1" applyFill="1" applyBorder="1" applyAlignment="1">
      <alignment horizontal="right"/>
    </xf>
    <xf numFmtId="10" fontId="18" fillId="0" borderId="0" xfId="0" applyNumberFormat="1" applyFont="1" applyAlignment="1">
      <alignment horizontal="right" vertical="top"/>
    </xf>
    <xf numFmtId="0" fontId="18" fillId="0" borderId="0" xfId="2895" applyNumberFormat="1" applyFont="1" applyFill="1" applyBorder="1" applyAlignment="1">
      <alignment horizontal="right" shrinkToFit="1"/>
    </xf>
    <xf numFmtId="169" fontId="35" fillId="0" borderId="0" xfId="1716" applyNumberFormat="1" applyFont="1" applyAlignment="1">
      <alignment horizontal="right"/>
    </xf>
    <xf numFmtId="2" fontId="0" fillId="0" borderId="0" xfId="0" applyNumberFormat="1"/>
  </cellXfs>
  <cellStyles count="42756">
    <cellStyle name="—" xfId="3093" xr:uid="{00000000-0005-0000-0000-000000000000}"/>
    <cellStyle name="$" xfId="1" xr:uid="{00000000-0005-0000-0000-000001000000}"/>
    <cellStyle name="$_Company0187 Model" xfId="2" xr:uid="{00000000-0005-0000-0000-000002000000}"/>
    <cellStyle name="$_Book2" xfId="3" xr:uid="{00000000-0005-0000-0000-000003000000}"/>
    <cellStyle name="$0.0" xfId="3094" xr:uid="{00000000-0005-0000-0000-000004000000}"/>
    <cellStyle name="$0.00" xfId="3095" xr:uid="{00000000-0005-0000-0000-000005000000}"/>
    <cellStyle name="$0.000" xfId="3096" xr:uid="{00000000-0005-0000-0000-000006000000}"/>
    <cellStyle name="$3places" xfId="4" xr:uid="{00000000-0005-0000-0000-000007000000}"/>
    <cellStyle name="$currency" xfId="3097" xr:uid="{00000000-0005-0000-0000-000008000000}"/>
    <cellStyle name="%" xfId="5" xr:uid="{00000000-0005-0000-0000-000009000000}"/>
    <cellStyle name="% Growth" xfId="6" xr:uid="{00000000-0005-0000-0000-00000A000000}"/>
    <cellStyle name="%_Company0187 Model" xfId="7" xr:uid="{00000000-0005-0000-0000-00000B000000}"/>
    <cellStyle name="%_Book2" xfId="8" xr:uid="{00000000-0005-0000-0000-00000C000000}"/>
    <cellStyle name="(0%) &quot; - &quot;" xfId="9" xr:uid="{00000000-0005-0000-0000-00000D000000}"/>
    <cellStyle name="(0%) &quot; - &quot;per" xfId="10" xr:uid="{00000000-0005-0000-0000-00000E000000}"/>
    <cellStyle name="(0%) &quot; - &quot;per 2" xfId="2156" xr:uid="{00000000-0005-0000-0000-00000F000000}"/>
    <cellStyle name="(0,000) &quot; - &quot;" xfId="11" xr:uid="{00000000-0005-0000-0000-000010000000}"/>
    <cellStyle name="(0,000) &quot; - &quot;num" xfId="12" xr:uid="{00000000-0005-0000-0000-000011000000}"/>
    <cellStyle name="(0,000) &quot; - &quot;num 2" xfId="2157" xr:uid="{00000000-0005-0000-0000-000012000000}"/>
    <cellStyle name="(0.0%)" xfId="13" xr:uid="{00000000-0005-0000-0000-000013000000}"/>
    <cellStyle name="(0.0%) 2" xfId="2158" xr:uid="{00000000-0005-0000-0000-000014000000}"/>
    <cellStyle name="(1,000)" xfId="3098" xr:uid="{00000000-0005-0000-0000-000015000000}"/>
    <cellStyle name="(1,000)x" xfId="3099" xr:uid="{00000000-0005-0000-0000-000016000000}"/>
    <cellStyle name="******************************************" xfId="3100" xr:uid="{00000000-0005-0000-0000-000017000000}"/>
    <cellStyle name="?? [0.00]_??????cula" xfId="14" xr:uid="{00000000-0005-0000-0000-000018000000}"/>
    <cellStyle name="?? [0]_PERSON1154" xfId="15" xr:uid="{00000000-0005-0000-0000-000019000000}"/>
    <cellStyle name="?????_PERSON1154" xfId="16" xr:uid="{00000000-0005-0000-0000-00001A000000}"/>
    <cellStyle name="??_??????_???" xfId="17" xr:uid="{00000000-0005-0000-0000-00001B000000}"/>
    <cellStyle name="_%(SignOnly)" xfId="18" xr:uid="{00000000-0005-0000-0000-00001C000000}"/>
    <cellStyle name="_%(SignOnly) 2" xfId="2159" xr:uid="{00000000-0005-0000-0000-00001D000000}"/>
    <cellStyle name="_%(SignOnly)_Company0187 Model" xfId="19" xr:uid="{00000000-0005-0000-0000-00001E000000}"/>
    <cellStyle name="_%(SignOnly)_Book2" xfId="20" xr:uid="{00000000-0005-0000-0000-00001F000000}"/>
    <cellStyle name="_%(SignSpaceOnly)" xfId="21" xr:uid="{00000000-0005-0000-0000-000020000000}"/>
    <cellStyle name="_%(SignSpaceOnly) 2" xfId="2160" xr:uid="{00000000-0005-0000-0000-000021000000}"/>
    <cellStyle name="_%(SignSpaceOnly)_Company0187 Model" xfId="22" xr:uid="{00000000-0005-0000-0000-000022000000}"/>
    <cellStyle name="_%(SignSpaceOnly)_Book2" xfId="23" xr:uid="{00000000-0005-0000-0000-000023000000}"/>
    <cellStyle name="_Comma" xfId="24" xr:uid="{00000000-0005-0000-0000-000024000000}"/>
    <cellStyle name="_Comma 2" xfId="2161" xr:uid="{00000000-0005-0000-0000-000025000000}"/>
    <cellStyle name="_Comma_01 adj for merger plan" xfId="4294" xr:uid="{00000000-0005-0000-0000-000026000000}"/>
    <cellStyle name="_Comma_Company0187 Model" xfId="25" xr:uid="{00000000-0005-0000-0000-000027000000}"/>
    <cellStyle name="_Comma_ABC" xfId="3101" xr:uid="{00000000-0005-0000-0000-000028000000}"/>
    <cellStyle name="_Comma_Ability to Pay Analysis" xfId="4295" xr:uid="{00000000-0005-0000-0000-000029000000}"/>
    <cellStyle name="_Comma_AFL" xfId="4296" xr:uid="{00000000-0005-0000-0000-00002A000000}"/>
    <cellStyle name="_Comma_Company0064" xfId="4297" xr:uid="{00000000-0005-0000-0000-00002B000000}"/>
    <cellStyle name="_Comma_AIZ04-Quantum2" xfId="4298" xr:uid="{00000000-0005-0000-0000-00002C000000}"/>
    <cellStyle name="_Comma_Company0226" xfId="3102" xr:uid="{00000000-0005-0000-0000-00002D000000}"/>
    <cellStyle name="_Comma_AMP" xfId="4299" xr:uid="{00000000-0005-0000-0000-00002E000000}"/>
    <cellStyle name="_Comma_Company0157" xfId="3103" xr:uid="{00000000-0005-0000-0000-00002F000000}"/>
    <cellStyle name="_Comma_bls roic" xfId="3104" xr:uid="{00000000-0005-0000-0000-000030000000}"/>
    <cellStyle name="_Comma_BNT" xfId="3105" xr:uid="{00000000-0005-0000-0000-000031000000}"/>
    <cellStyle name="_Comma_Book1" xfId="4300" xr:uid="{00000000-0005-0000-0000-000032000000}"/>
    <cellStyle name="_Comma_Book2" xfId="26" xr:uid="{00000000-0005-0000-0000-000033000000}"/>
    <cellStyle name="_Comma_Book3" xfId="4301" xr:uid="{00000000-0005-0000-0000-000034000000}"/>
    <cellStyle name="_Comma_BRL" xfId="3106" xr:uid="{00000000-0005-0000-0000-000035000000}"/>
    <cellStyle name="_Comma_Broadcasting" xfId="3107" xr:uid="{00000000-0005-0000-0000-000036000000}"/>
    <cellStyle name="_Comma_Company0353" xfId="3108" xr:uid="{00000000-0005-0000-0000-000037000000}"/>
    <cellStyle name="_Comma_Company0426" xfId="3109" xr:uid="{00000000-0005-0000-0000-000038000000}"/>
    <cellStyle name="_Comma_capital expenditures 6-18-02" xfId="3110" xr:uid="{00000000-0005-0000-0000-000039000000}"/>
    <cellStyle name="_Comma_Company0525" xfId="3111" xr:uid="{00000000-0005-0000-0000-00003A000000}"/>
    <cellStyle name="_Comma_Company0529" xfId="4302" xr:uid="{00000000-0005-0000-0000-00003B000000}"/>
    <cellStyle name="_Comma_CNO04" xfId="4303" xr:uid="{00000000-0005-0000-0000-00003C000000}"/>
    <cellStyle name="_Comma_Company0689" xfId="3112" xr:uid="{00000000-0005-0000-0000-00003D000000}"/>
    <cellStyle name="_Comma_CRL" xfId="3113" xr:uid="{00000000-0005-0000-0000-00003E000000}"/>
    <cellStyle name="_Comma_CRO 3Q group metrics 12-22-03 for reports" xfId="3114" xr:uid="{00000000-0005-0000-0000-00003F000000}"/>
    <cellStyle name="_Comma_CRO comp metrics 4Q03 2-18-04 send out" xfId="3115" xr:uid="{00000000-0005-0000-0000-000040000000}"/>
    <cellStyle name="_Comma_CRO Comp Sheet V.2" xfId="3116" xr:uid="{00000000-0005-0000-0000-000041000000}"/>
    <cellStyle name="_Comma_Company0634" xfId="3117" xr:uid="{00000000-0005-0000-0000-000042000000}"/>
    <cellStyle name="_Comma_Data" xfId="3118" xr:uid="{00000000-0005-0000-0000-000043000000}"/>
    <cellStyle name="_Comma_DCF Alexander Person0382" xfId="4304" xr:uid="{00000000-0005-0000-0000-000044000000}"/>
    <cellStyle name="_Comma_Company0757" xfId="3119" xr:uid="{00000000-0005-0000-0000-000045000000}"/>
    <cellStyle name="_Comma_EEEE" xfId="27" xr:uid="{00000000-0005-0000-0000-000046000000}"/>
    <cellStyle name="_Comma_EEEE 2" xfId="2162" xr:uid="{00000000-0005-0000-0000-000047000000}"/>
    <cellStyle name="_Comma_EEEE_Company0187 Model" xfId="28" xr:uid="{00000000-0005-0000-0000-000048000000}"/>
    <cellStyle name="_Comma_EEEE_Book2" xfId="29" xr:uid="{00000000-0005-0000-0000-000049000000}"/>
    <cellStyle name="_Comma_Company0882" xfId="3120" xr:uid="{00000000-0005-0000-0000-00004A000000}"/>
    <cellStyle name="_Comma_fmbi counties" xfId="4305" xr:uid="{00000000-0005-0000-0000-00004B000000}"/>
    <cellStyle name="_Comma_FMBI MBHI Graphs" xfId="4306" xr:uid="{00000000-0005-0000-0000-00004C000000}"/>
    <cellStyle name="_Comma_FMBI MBHI Graphs 07102001" xfId="4307" xr:uid="{00000000-0005-0000-0000-00004D000000}"/>
    <cellStyle name="_Comma_FMBI MBHI Graphs_7601" xfId="4308" xr:uid="{00000000-0005-0000-0000-00004E000000}"/>
    <cellStyle name="_Comma_GCI" xfId="30" xr:uid="{00000000-0005-0000-0000-00004F000000}"/>
    <cellStyle name="_Comma_GCI 2" xfId="2163" xr:uid="{00000000-0005-0000-0000-000050000000}"/>
    <cellStyle name="_Comma_GCI_Company0187 Model" xfId="31" xr:uid="{00000000-0005-0000-0000-000051000000}"/>
    <cellStyle name="_Comma_GCI_Book2" xfId="32" xr:uid="{00000000-0005-0000-0000-000052000000}"/>
    <cellStyle name="_Comma_genworth model" xfId="4309" xr:uid="{00000000-0005-0000-0000-000053000000}"/>
    <cellStyle name="_Comma_Ticker0015_Person0752_Company0525_9-27" xfId="3121" xr:uid="{00000000-0005-0000-0000-000054000000}"/>
    <cellStyle name="_Comma_Ticker0015_Person0752_Company0634_9-27" xfId="3122" xr:uid="{00000000-0005-0000-0000-000055000000}"/>
    <cellStyle name="_Comma_Ticker0015_Person0752_Company0757_9-27" xfId="3123" xr:uid="{00000000-0005-0000-0000-000056000000}"/>
    <cellStyle name="_Comma_Ticker0015_Person0752_Company0882_9-27" xfId="3124" xr:uid="{00000000-0005-0000-0000-000057000000}"/>
    <cellStyle name="_Comma_Ticker0015_Person0752_HLTH_9-27" xfId="3125" xr:uid="{00000000-0005-0000-0000-000058000000}"/>
    <cellStyle name="_Comma_Ticker0015_Person0752_Company1215" xfId="3126" xr:uid="{00000000-0005-0000-0000-000059000000}"/>
    <cellStyle name="_Comma_Ticker0015_Person0752_Company1295_9-28" xfId="3127" xr:uid="{00000000-0005-0000-0000-00005A000000}"/>
    <cellStyle name="_Comma_Ticker0015_Person0752_Person0704" xfId="3128" xr:uid="{00000000-0005-0000-0000-00005B000000}"/>
    <cellStyle name="_Comma_Ticker0015_Person0752_MHS_9-27" xfId="3129" xr:uid="{00000000-0005-0000-0000-00005C000000}"/>
    <cellStyle name="_Comma_Ticker0015_Person0752_Company1859_9-28-04" xfId="3130" xr:uid="{00000000-0005-0000-0000-00005D000000}"/>
    <cellStyle name="_Comma_Ticker0015_Person0752_Company2073_9-27" xfId="3131" xr:uid="{00000000-0005-0000-0000-00005E000000}"/>
    <cellStyle name="_Comma_Ticker0015_Person0755_Company2103_9-27" xfId="3132" xr:uid="{00000000-0005-0000-0000-00005F000000}"/>
    <cellStyle name="_Comma_Ticker0015_Person0752_Company2121-9-27" xfId="3133" xr:uid="{00000000-0005-0000-0000-000060000000}"/>
    <cellStyle name="_Comma_Ticker0015_Person0752_Company2125_9-27" xfId="3134" xr:uid="{00000000-0005-0000-0000-000061000000}"/>
    <cellStyle name="_Comma_Healthcare_Services_Quarterly_preview cleared" xfId="3135" xr:uid="{00000000-0005-0000-0000-000062000000}"/>
    <cellStyle name="_Comma_Henry Company2549" xfId="3136" xr:uid="{00000000-0005-0000-0000-000063000000}"/>
    <cellStyle name="_Comma_HLTH" xfId="3137" xr:uid="{00000000-0005-0000-0000-000064000000}"/>
    <cellStyle name="_Comma_Hospital Comp -10-24-05" xfId="3138" xr:uid="{00000000-0005-0000-0000-000065000000}"/>
    <cellStyle name="_Comma_Company1215" xfId="3139" xr:uid="{00000000-0005-0000-0000-000066000000}"/>
    <cellStyle name="_Comma_Insurance Brokerage CSC_1Q2002" xfId="4310" xr:uid="{00000000-0005-0000-0000-000067000000}"/>
    <cellStyle name="_Comma_JP_Company1563_spread_monitor (2)" xfId="4311" xr:uid="{00000000-0005-0000-0000-000068000000}"/>
    <cellStyle name="_Comma_Person0607" xfId="3140" xr:uid="{00000000-0005-0000-0000-000069000000}"/>
    <cellStyle name="_Comma_Company1474 valuation" xfId="3141" xr:uid="{00000000-0005-0000-0000-00006A000000}"/>
    <cellStyle name="_Comma_Master Comp V.6" xfId="3142" xr:uid="{00000000-0005-0000-0000-00006B000000}"/>
    <cellStyle name="_Comma_Master Comp V.6 WIP DO NOT USE" xfId="3143" xr:uid="{00000000-0005-0000-0000-00006C000000}"/>
    <cellStyle name="_Comma_Person0704" xfId="3144" xr:uid="{00000000-0005-0000-0000-00006D000000}"/>
    <cellStyle name="_Comma_Company1672" xfId="3145" xr:uid="{00000000-0005-0000-0000-00006E000000}"/>
    <cellStyle name="_Comma_Company1674" xfId="3146" xr:uid="{00000000-0005-0000-0000-00006F000000}"/>
    <cellStyle name="_Comma_MHS" xfId="3147" xr:uid="{00000000-0005-0000-0000-000070000000}"/>
    <cellStyle name="_Comma_Company1727" xfId="33" xr:uid="{00000000-0005-0000-0000-000071000000}"/>
    <cellStyle name="_Comma_Company1727 2" xfId="2164" xr:uid="{00000000-0005-0000-0000-000072000000}"/>
    <cellStyle name="_Comma_Company1727_Company0187 Model" xfId="34" xr:uid="{00000000-0005-0000-0000-000073000000}"/>
    <cellStyle name="_Comma_Company1727_Book2" xfId="35" xr:uid="{00000000-0005-0000-0000-000074000000}"/>
    <cellStyle name="_Comma_Company1761" xfId="3148" xr:uid="{00000000-0005-0000-0000-000075000000}"/>
    <cellStyle name="_Comma_NFP" xfId="4312" xr:uid="{00000000-0005-0000-0000-000076000000}"/>
    <cellStyle name="_Comma_Company1874" xfId="4313" xr:uid="{00000000-0005-0000-0000-000077000000}"/>
    <cellStyle name="_Comma_Company1961" xfId="3149" xr:uid="{00000000-0005-0000-0000-000078000000}"/>
    <cellStyle name="_Comma_Overview3" xfId="4314" xr:uid="{00000000-0005-0000-0000-000079000000}"/>
    <cellStyle name="_Comma_Company2073" xfId="3150" xr:uid="{00000000-0005-0000-0000-00007A000000}"/>
    <cellStyle name="_Comma_phil data" xfId="4315" xr:uid="{00000000-0005-0000-0000-00007B000000}"/>
    <cellStyle name="_Comma_Company2103" xfId="3151" xr:uid="{00000000-0005-0000-0000-00007C000000}"/>
    <cellStyle name="_Comma_Company2110" xfId="3152" xr:uid="{00000000-0005-0000-0000-00007D000000}"/>
    <cellStyle name="_Comma_Price Performance Charts" xfId="4316" xr:uid="{00000000-0005-0000-0000-00007E000000}"/>
    <cellStyle name="_Comma_Company2121" xfId="3153" xr:uid="{00000000-0005-0000-0000-00007F000000}"/>
    <cellStyle name="_Comma_Company2125" xfId="3154" xr:uid="{00000000-0005-0000-0000-000080000000}"/>
    <cellStyle name="_Comma_Quarterly Review by Company" xfId="4317" xr:uid="{00000000-0005-0000-0000-000081000000}"/>
    <cellStyle name="_Comma_RBOC historicals" xfId="3155" xr:uid="{00000000-0005-0000-0000-000082000000}"/>
    <cellStyle name="_Comma_Risk1" xfId="3156" xr:uid="{00000000-0005-0000-0000-000083000000}"/>
    <cellStyle name="_Comma_Risk2" xfId="3157" xr:uid="{00000000-0005-0000-0000-000084000000}"/>
    <cellStyle name="_Comma_Risks" xfId="3158" xr:uid="{00000000-0005-0000-0000-000085000000}"/>
    <cellStyle name="_Comma_SFG Data File" xfId="4318" xr:uid="{00000000-0005-0000-0000-000086000000}"/>
    <cellStyle name="_Comma_Sheet1" xfId="3159" xr:uid="{00000000-0005-0000-0000-000087000000}"/>
    <cellStyle name="_Comma_SSP" xfId="36" xr:uid="{00000000-0005-0000-0000-000088000000}"/>
    <cellStyle name="_Comma_SSP 2" xfId="2165" xr:uid="{00000000-0005-0000-0000-000089000000}"/>
    <cellStyle name="_Comma_SSP_Company0187 Model" xfId="37" xr:uid="{00000000-0005-0000-0000-00008A000000}"/>
    <cellStyle name="_Comma_SSP_Book2" xfId="38" xr:uid="{00000000-0005-0000-0000-00008B000000}"/>
    <cellStyle name="_Comma_Stock-QTR1 FDS" xfId="4319" xr:uid="{00000000-0005-0000-0000-00008C000000}"/>
    <cellStyle name="_Comma_T - new" xfId="3160" xr:uid="{00000000-0005-0000-0000-00008D000000}"/>
    <cellStyle name="_Comma_Company2640" xfId="3161" xr:uid="{00000000-0005-0000-0000-00008E000000}"/>
    <cellStyle name="_Comma_Company2727" xfId="3162" xr:uid="{00000000-0005-0000-0000-00008F000000}"/>
    <cellStyle name="_Comma_Updated Valuation Changes" xfId="4320" xr:uid="{00000000-0005-0000-0000-000090000000}"/>
    <cellStyle name="_Comma_Valuation Graphs" xfId="4321" xr:uid="{00000000-0005-0000-0000-000091000000}"/>
    <cellStyle name="_Comma_WPI" xfId="3163" xr:uid="{00000000-0005-0000-0000-000092000000}"/>
    <cellStyle name="_Comma_xratio - historical mkt val" xfId="4322" xr:uid="{00000000-0005-0000-0000-000093000000}"/>
    <cellStyle name="_Company0689" xfId="3164" xr:uid="{00000000-0005-0000-0000-000094000000}"/>
    <cellStyle name="_Currency" xfId="39" xr:uid="{00000000-0005-0000-0000-000095000000}"/>
    <cellStyle name="_Currency 2" xfId="2166" xr:uid="{00000000-0005-0000-0000-000096000000}"/>
    <cellStyle name="_Currency_01 adj for merger plan" xfId="4323" xr:uid="{00000000-0005-0000-0000-000097000000}"/>
    <cellStyle name="_Currency_1 Product0221 24" xfId="40" xr:uid="{00000000-0005-0000-0000-000098000000}"/>
    <cellStyle name="_Currency_1 Product0221 24 2" xfId="2167" xr:uid="{00000000-0005-0000-0000-000099000000}"/>
    <cellStyle name="_Currency_1 Product0221 24_Company0187 Model" xfId="41" xr:uid="{00000000-0005-0000-0000-00009A000000}"/>
    <cellStyle name="_Currency_1 Product0221 24_Book2" xfId="42" xr:uid="{00000000-0005-0000-0000-00009B000000}"/>
    <cellStyle name="_Currency_1 Product0280" xfId="43" xr:uid="{00000000-0005-0000-0000-00009C000000}"/>
    <cellStyle name="_Currency_1 Product0280 2" xfId="2168" xr:uid="{00000000-0005-0000-0000-00009D000000}"/>
    <cellStyle name="_Currency_1 Product0280_Company0187 Model" xfId="44" xr:uid="{00000000-0005-0000-0000-00009E000000}"/>
    <cellStyle name="_Currency_1 Product0280_Book2" xfId="45" xr:uid="{00000000-0005-0000-0000-00009F000000}"/>
    <cellStyle name="_Currency_1 Product0406" xfId="46" xr:uid="{00000000-0005-0000-0000-0000A0000000}"/>
    <cellStyle name="_Currency_1 Product0406 2" xfId="2169" xr:uid="{00000000-0005-0000-0000-0000A1000000}"/>
    <cellStyle name="_Currency_1 Product0406_Company0187 Model" xfId="47" xr:uid="{00000000-0005-0000-0000-0000A2000000}"/>
    <cellStyle name="_Currency_1 Product0406_Book2" xfId="48" xr:uid="{00000000-0005-0000-0000-0000A3000000}"/>
    <cellStyle name="_Currency_4VAL DCF2" xfId="49" xr:uid="{00000000-0005-0000-0000-0000A4000000}"/>
    <cellStyle name="_Currency_4VAL DCF2 2" xfId="2170" xr:uid="{00000000-0005-0000-0000-0000A5000000}"/>
    <cellStyle name="_Currency_4VAL DCF2_Company0187 Model" xfId="50" xr:uid="{00000000-0005-0000-0000-0000A6000000}"/>
    <cellStyle name="_Currency_4VAL DCF2_Book2" xfId="51" xr:uid="{00000000-0005-0000-0000-0000A7000000}"/>
    <cellStyle name="_Currency_Company0187 Model" xfId="52" xr:uid="{00000000-0005-0000-0000-0000A8000000}"/>
    <cellStyle name="_Currency_ABC" xfId="3165" xr:uid="{00000000-0005-0000-0000-0000A9000000}"/>
    <cellStyle name="_Currency_Ability to Pay Analysis" xfId="4324" xr:uid="{00000000-0005-0000-0000-0000AA000000}"/>
    <cellStyle name="_Currency_Product0022" xfId="53" xr:uid="{00000000-0005-0000-0000-0000AB000000}"/>
    <cellStyle name="_Currency_Product0022 2" xfId="2171" xr:uid="{00000000-0005-0000-0000-0000AC000000}"/>
    <cellStyle name="_Currency_Product0022_Company0187 Model" xfId="54" xr:uid="{00000000-0005-0000-0000-0000AD000000}"/>
    <cellStyle name="_Currency_Product0022_Book2" xfId="55" xr:uid="{00000000-0005-0000-0000-0000AE000000}"/>
    <cellStyle name="_Currency_AFL" xfId="4325" xr:uid="{00000000-0005-0000-0000-0000AF000000}"/>
    <cellStyle name="_Currency_Product0030" xfId="56" xr:uid="{00000000-0005-0000-0000-0000B0000000}"/>
    <cellStyle name="_Currency_Product0030 2" xfId="2172" xr:uid="{00000000-0005-0000-0000-0000B1000000}"/>
    <cellStyle name="_Currency_Product0030_Company0187 Model" xfId="57" xr:uid="{00000000-0005-0000-0000-0000B2000000}"/>
    <cellStyle name="_Currency_Product0030_Book2" xfId="58" xr:uid="{00000000-0005-0000-0000-0000B3000000}"/>
    <cellStyle name="_Currency_Company0064" xfId="4326" xr:uid="{00000000-0005-0000-0000-0000B4000000}"/>
    <cellStyle name="_Currency_Company0226" xfId="3166" xr:uid="{00000000-0005-0000-0000-0000B5000000}"/>
    <cellStyle name="_Currency_Company0226_1" xfId="3167" xr:uid="{00000000-0005-0000-0000-0000B6000000}"/>
    <cellStyle name="_Currency_AMP" xfId="4327" xr:uid="{00000000-0005-0000-0000-0000B7000000}"/>
    <cellStyle name="_Currency_ANDAs" xfId="59" xr:uid="{00000000-0005-0000-0000-0000B8000000}"/>
    <cellStyle name="_Currency_ANDAs 2" xfId="2173" xr:uid="{00000000-0005-0000-0000-0000B9000000}"/>
    <cellStyle name="_Currency_ANDAs summary sheet" xfId="60" xr:uid="{00000000-0005-0000-0000-0000BA000000}"/>
    <cellStyle name="_Currency_ANDAs summary sheet 2" xfId="2174" xr:uid="{00000000-0005-0000-0000-0000BB000000}"/>
    <cellStyle name="_Currency_ANDAs summary sheet_Company0187 Model" xfId="61" xr:uid="{00000000-0005-0000-0000-0000BC000000}"/>
    <cellStyle name="_Currency_ANDAs summary sheet_Book2" xfId="62" xr:uid="{00000000-0005-0000-0000-0000BD000000}"/>
    <cellStyle name="_Currency_ANDAs_Company0187 Model" xfId="63" xr:uid="{00000000-0005-0000-0000-0000BE000000}"/>
    <cellStyle name="_Currency_ANDAs_Book2" xfId="64" xr:uid="{00000000-0005-0000-0000-0000BF000000}"/>
    <cellStyle name="_Currency_Company0106 Company0718" xfId="65" xr:uid="{00000000-0005-0000-0000-0000C0000000}"/>
    <cellStyle name="_Currency_Company0106 Company0718 2" xfId="2175" xr:uid="{00000000-0005-0000-0000-0000C1000000}"/>
    <cellStyle name="_Currency_Company0106 Company0718_Company0187 Model" xfId="66" xr:uid="{00000000-0005-0000-0000-0000C2000000}"/>
    <cellStyle name="_Currency_Company0106 Company0718_Book2" xfId="67" xr:uid="{00000000-0005-0000-0000-0000C3000000}"/>
    <cellStyle name="_Currency_AT" xfId="3168" xr:uid="{00000000-0005-0000-0000-0000C4000000}"/>
    <cellStyle name="_Currency_Company0157" xfId="3169" xr:uid="{00000000-0005-0000-0000-0000C5000000}"/>
    <cellStyle name="_Currency_AWE" xfId="3170" xr:uid="{00000000-0005-0000-0000-0000C6000000}"/>
    <cellStyle name="_Currency_Balance Sheet" xfId="4328" xr:uid="{00000000-0005-0000-0000-0000C7000000}"/>
    <cellStyle name="_Currency_BLS" xfId="3171" xr:uid="{00000000-0005-0000-0000-0000C8000000}"/>
    <cellStyle name="_Currency_bls roic" xfId="3172" xr:uid="{00000000-0005-0000-0000-0000C9000000}"/>
    <cellStyle name="_Currency_BNT" xfId="3173" xr:uid="{00000000-0005-0000-0000-0000CA000000}"/>
    <cellStyle name="_Currency_Book1" xfId="4329" xr:uid="{00000000-0005-0000-0000-0000CB000000}"/>
    <cellStyle name="_Currency_Book2" xfId="68" xr:uid="{00000000-0005-0000-0000-0000CC000000}"/>
    <cellStyle name="_Currency_Book29" xfId="4330" xr:uid="{00000000-0005-0000-0000-0000CD000000}"/>
    <cellStyle name="_Currency_Book3" xfId="4331" xr:uid="{00000000-0005-0000-0000-0000CE000000}"/>
    <cellStyle name="_Currency_Book3_1" xfId="4332" xr:uid="{00000000-0005-0000-0000-0000CF000000}"/>
    <cellStyle name="_Currency_Book32" xfId="3174" xr:uid="{00000000-0005-0000-0000-0000D0000000}"/>
    <cellStyle name="_Currency_BRL" xfId="3175" xr:uid="{00000000-0005-0000-0000-0000D1000000}"/>
    <cellStyle name="_Currency_Broadcasting" xfId="3176" xr:uid="{00000000-0005-0000-0000-0000D2000000}"/>
    <cellStyle name="_Currency_Company0353" xfId="3177" xr:uid="{00000000-0005-0000-0000-0000D3000000}"/>
    <cellStyle name="_Currency_Company0426" xfId="3178" xr:uid="{00000000-0005-0000-0000-0000D4000000}"/>
    <cellStyle name="_Currency_CAPEX spend" xfId="69" xr:uid="{00000000-0005-0000-0000-0000D5000000}"/>
    <cellStyle name="_Currency_CAPEX spend 2" xfId="2176" xr:uid="{00000000-0005-0000-0000-0000D6000000}"/>
    <cellStyle name="_Currency_CAPEX spend_Company0187 Model" xfId="70" xr:uid="{00000000-0005-0000-0000-0000D7000000}"/>
    <cellStyle name="_Currency_CAPEX spend_Book2" xfId="71" xr:uid="{00000000-0005-0000-0000-0000D8000000}"/>
    <cellStyle name="_Currency_capital expenditures 6-18-02" xfId="3179" xr:uid="{00000000-0005-0000-0000-0000D9000000}"/>
    <cellStyle name="_Currency_Company0658 Health" xfId="3180" xr:uid="{00000000-0005-0000-0000-0000DA000000}"/>
    <cellStyle name="_Currency_Cingular" xfId="3181" xr:uid="{00000000-0005-0000-0000-0000DB000000}"/>
    <cellStyle name="_Currency_Company0525" xfId="3182" xr:uid="{00000000-0005-0000-0000-0000DC000000}"/>
    <cellStyle name="_Currency_Company0529" xfId="4333" xr:uid="{00000000-0005-0000-0000-0000DD000000}"/>
    <cellStyle name="_Currency_Company0689" xfId="3183" xr:uid="{00000000-0005-0000-0000-0000DE000000}"/>
    <cellStyle name="_Currency_Consolidation" xfId="72" xr:uid="{00000000-0005-0000-0000-0000DF000000}"/>
    <cellStyle name="_Currency_Consolidation 2" xfId="2177" xr:uid="{00000000-0005-0000-0000-0000E0000000}"/>
    <cellStyle name="_Currency_Consolidation_Company0187 Model" xfId="73" xr:uid="{00000000-0005-0000-0000-0000E1000000}"/>
    <cellStyle name="_Currency_Consolidation_Book2" xfId="74" xr:uid="{00000000-0005-0000-0000-0000E2000000}"/>
    <cellStyle name="_Currency_Copy of Person1011 - WPI 06-17-2009" xfId="3184" xr:uid="{00000000-0005-0000-0000-0000E3000000}"/>
    <cellStyle name="_Currency_Cover page" xfId="3185" xr:uid="{00000000-0005-0000-0000-0000E4000000}"/>
    <cellStyle name="_Currency_CRL" xfId="3186" xr:uid="{00000000-0005-0000-0000-0000E5000000}"/>
    <cellStyle name="_Currency_CRO 3Q group metrics 12-22-03 for reports" xfId="3187" xr:uid="{00000000-0005-0000-0000-0000E6000000}"/>
    <cellStyle name="_Currency_CRO comp metrics 4Q03 2-18-04 send out" xfId="3188" xr:uid="{00000000-0005-0000-0000-0000E7000000}"/>
    <cellStyle name="_Currency_CRO Comp Sheet V.2" xfId="3189" xr:uid="{00000000-0005-0000-0000-0000E8000000}"/>
    <cellStyle name="_Currency_Company0634" xfId="3190" xr:uid="{00000000-0005-0000-0000-0000E9000000}"/>
    <cellStyle name="_Currency_Data" xfId="3191" xr:uid="{00000000-0005-0000-0000-0000EA000000}"/>
    <cellStyle name="_Currency_DCF Alexander Person0382" xfId="4334" xr:uid="{00000000-0005-0000-0000-0000EB000000}"/>
    <cellStyle name="_Currency_Debt schedule" xfId="75" xr:uid="{00000000-0005-0000-0000-0000EC000000}"/>
    <cellStyle name="_Currency_Debt schedule 2" xfId="2178" xr:uid="{00000000-0005-0000-0000-0000ED000000}"/>
    <cellStyle name="_Currency_Debt schedule_Company0187 Model" xfId="76" xr:uid="{00000000-0005-0000-0000-0000EE000000}"/>
    <cellStyle name="_Currency_Debt schedule_Book2" xfId="77" xr:uid="{00000000-0005-0000-0000-0000EF000000}"/>
    <cellStyle name="_Currency_Company0757" xfId="3192" xr:uid="{00000000-0005-0000-0000-0000F0000000}"/>
    <cellStyle name="_Currency_DSO" xfId="78" xr:uid="{00000000-0005-0000-0000-0000F1000000}"/>
    <cellStyle name="_Currency_DSO 2" xfId="2179" xr:uid="{00000000-0005-0000-0000-0000F2000000}"/>
    <cellStyle name="_Currency_DSO_Company0187 Model" xfId="79" xr:uid="{00000000-0005-0000-0000-0000F3000000}"/>
    <cellStyle name="_Currency_DSO_Book2" xfId="80" xr:uid="{00000000-0005-0000-0000-0000F4000000}"/>
    <cellStyle name="_Currency_EEEE" xfId="81" xr:uid="{00000000-0005-0000-0000-0000F5000000}"/>
    <cellStyle name="_Currency_EEEE 2" xfId="2180" xr:uid="{00000000-0005-0000-0000-0000F6000000}"/>
    <cellStyle name="_Currency_EEEE_Company0187 Model" xfId="82" xr:uid="{00000000-0005-0000-0000-0000F7000000}"/>
    <cellStyle name="_Currency_EEEE_Book2" xfId="83" xr:uid="{00000000-0005-0000-0000-0000F8000000}"/>
    <cellStyle name="_Currency_EPS revision" xfId="84" xr:uid="{00000000-0005-0000-0000-0000F9000000}"/>
    <cellStyle name="_Currency_EPS revision 2" xfId="2181" xr:uid="{00000000-0005-0000-0000-0000FA000000}"/>
    <cellStyle name="_Currency_EPS revision_Company0187 Model" xfId="85" xr:uid="{00000000-0005-0000-0000-0000FB000000}"/>
    <cellStyle name="_Currency_EPS revision_Book2" xfId="86" xr:uid="{00000000-0005-0000-0000-0000FC000000}"/>
    <cellStyle name="_Currency_EPS sensitivity" xfId="87" xr:uid="{00000000-0005-0000-0000-0000FD000000}"/>
    <cellStyle name="_Currency_EPS sensitivity 2" xfId="2182" xr:uid="{00000000-0005-0000-0000-0000FE000000}"/>
    <cellStyle name="_Currency_EPS sensitivity_Company0187 Model" xfId="88" xr:uid="{00000000-0005-0000-0000-0000FF000000}"/>
    <cellStyle name="_Currency_EPS sensitivity_Book2" xfId="89" xr:uid="{00000000-0005-0000-0000-000000010000}"/>
    <cellStyle name="_Currency_Company0882" xfId="3193" xr:uid="{00000000-0005-0000-0000-000001010000}"/>
    <cellStyle name="_Currency_FBANDAs" xfId="90" xr:uid="{00000000-0005-0000-0000-000002010000}"/>
    <cellStyle name="_Currency_FBANDAs 2" xfId="2183" xr:uid="{00000000-0005-0000-0000-000003010000}"/>
    <cellStyle name="_Currency_FBANDAs_Company0187 Model" xfId="91" xr:uid="{00000000-0005-0000-0000-000004010000}"/>
    <cellStyle name="_Currency_FBANDAs_Book2" xfId="92" xr:uid="{00000000-0005-0000-0000-000005010000}"/>
    <cellStyle name="_Currency_Product0158" xfId="93" xr:uid="{00000000-0005-0000-0000-000006010000}"/>
    <cellStyle name="_Currency_Product0158 2" xfId="2184" xr:uid="{00000000-0005-0000-0000-000007010000}"/>
    <cellStyle name="_Currency_Product0158_Company0187 Model" xfId="94" xr:uid="{00000000-0005-0000-0000-000008010000}"/>
    <cellStyle name="_Currency_Product0158_Book2" xfId="95" xr:uid="{00000000-0005-0000-0000-000009010000}"/>
    <cellStyle name="_Currency_fmbi counties" xfId="4335" xr:uid="{00000000-0005-0000-0000-00000A010000}"/>
    <cellStyle name="_Currency_FMBI MBHI Graphs" xfId="4336" xr:uid="{00000000-0005-0000-0000-00000B010000}"/>
    <cellStyle name="_Currency_FMBI MBHI Graphs 07102001" xfId="4337" xr:uid="{00000000-0005-0000-0000-00000C010000}"/>
    <cellStyle name="_Currency_FMBI MBHI Graphs_7601" xfId="4338" xr:uid="{00000000-0005-0000-0000-00000D010000}"/>
    <cellStyle name="_Currency_FON" xfId="3194" xr:uid="{00000000-0005-0000-0000-00000E010000}"/>
    <cellStyle name="_Currency_For charts" xfId="96" xr:uid="{00000000-0005-0000-0000-00000F010000}"/>
    <cellStyle name="_Currency_For charts 2" xfId="2185" xr:uid="{00000000-0005-0000-0000-000010010000}"/>
    <cellStyle name="_Currency_For charts_Company0187 Model" xfId="97" xr:uid="{00000000-0005-0000-0000-000011010000}"/>
    <cellStyle name="_Currency_For charts_Book2" xfId="98" xr:uid="{00000000-0005-0000-0000-000012010000}"/>
    <cellStyle name="_Currency_GCI" xfId="99" xr:uid="{00000000-0005-0000-0000-000013010000}"/>
    <cellStyle name="_Currency_GCI 2" xfId="2186" xr:uid="{00000000-0005-0000-0000-000014010000}"/>
    <cellStyle name="_Currency_GCI_Company0187 Model" xfId="100" xr:uid="{00000000-0005-0000-0000-000015010000}"/>
    <cellStyle name="_Currency_GCI_Book2" xfId="101" xr:uid="{00000000-0005-0000-0000-000016010000}"/>
    <cellStyle name="_Currency_Gen pipe" xfId="102" xr:uid="{00000000-0005-0000-0000-000017010000}"/>
    <cellStyle name="_Currency_Gen pipe 2" xfId="2187" xr:uid="{00000000-0005-0000-0000-000018010000}"/>
    <cellStyle name="_Currency_Gen pipe_Company0187 Model" xfId="103" xr:uid="{00000000-0005-0000-0000-000019010000}"/>
    <cellStyle name="_Currency_Gen pipe_Book2" xfId="104" xr:uid="{00000000-0005-0000-0000-00001A010000}"/>
    <cellStyle name="_Currency_Generic impact charts" xfId="3195" xr:uid="{00000000-0005-0000-0000-00001B010000}"/>
    <cellStyle name="_Currency_Generic pharma valuation multiples 11-29-2007_cleared" xfId="3196" xr:uid="{00000000-0005-0000-0000-00001C010000}"/>
    <cellStyle name="_Currency_Company1093" xfId="4339" xr:uid="{00000000-0005-0000-0000-00001D010000}"/>
    <cellStyle name="_Currency_Gross Margin" xfId="105" xr:uid="{00000000-0005-0000-0000-00001E010000}"/>
    <cellStyle name="_Currency_Gross Margin 2" xfId="2188" xr:uid="{00000000-0005-0000-0000-00001F010000}"/>
    <cellStyle name="_Currency_Gross Margin_Company0187 Model" xfId="106" xr:uid="{00000000-0005-0000-0000-000020010000}"/>
    <cellStyle name="_Currency_Gross Margin_Book2" xfId="107" xr:uid="{00000000-0005-0000-0000-000021010000}"/>
    <cellStyle name="_Currency_Ticker0015_Person0155_Company0610_mod (Working)" xfId="3197" xr:uid="{00000000-0005-0000-0000-000022010000}"/>
    <cellStyle name="_Currency_Ticker0015_Person0114_MOTMOD" xfId="3198" xr:uid="{00000000-0005-0000-0000-000023010000}"/>
    <cellStyle name="_Currency_Ticker0015_Person0752_Company0525_9-27" xfId="3199" xr:uid="{00000000-0005-0000-0000-000024010000}"/>
    <cellStyle name="_Currency_Ticker0015_Person0752_CRL_4-1-05 RS" xfId="108" xr:uid="{00000000-0005-0000-0000-000025010000}"/>
    <cellStyle name="_Currency_Ticker0015_Person0752_CRL_4-1-05 RS 2" xfId="2189" xr:uid="{00000000-0005-0000-0000-000026010000}"/>
    <cellStyle name="_Currency_Ticker0015_Person0752_CRL_4-1-05 RS_Company0187 Model" xfId="109" xr:uid="{00000000-0005-0000-0000-000027010000}"/>
    <cellStyle name="_Currency_Ticker0015_Person0752_CRL_4-1-05 RS_Book2" xfId="110" xr:uid="{00000000-0005-0000-0000-000028010000}"/>
    <cellStyle name="_Currency_Ticker0015_Person0752_Company0634_9-27" xfId="3200" xr:uid="{00000000-0005-0000-0000-000029010000}"/>
    <cellStyle name="_Currency_Ticker0015_Person0752_Company0757_9-27" xfId="3201" xr:uid="{00000000-0005-0000-0000-00002A010000}"/>
    <cellStyle name="_Currency_Ticker0015_Person0752_Company0882_9-27" xfId="3202" xr:uid="{00000000-0005-0000-0000-00002B010000}"/>
    <cellStyle name="_Currency_Ticker0015_Person0752_HLTH_9-27" xfId="3203" xr:uid="{00000000-0005-0000-0000-00002C010000}"/>
    <cellStyle name="_Currency_Ticker0015_Person0752_Company1215" xfId="3204" xr:uid="{00000000-0005-0000-0000-00002D010000}"/>
    <cellStyle name="_Currency_Ticker0015_Person0752_Company1295_9-28" xfId="3205" xr:uid="{00000000-0005-0000-0000-00002E010000}"/>
    <cellStyle name="_Currency_Ticker0015_Person0752_Person0704" xfId="3206" xr:uid="{00000000-0005-0000-0000-00002F010000}"/>
    <cellStyle name="_Currency_Ticker0015_Person0752_MHS_9-27" xfId="3207" xr:uid="{00000000-0005-0000-0000-000030010000}"/>
    <cellStyle name="_Currency_Ticker0015_Person0752_Company1859_9-28-04" xfId="3208" xr:uid="{00000000-0005-0000-0000-000031010000}"/>
    <cellStyle name="_Currency_Ticker0015_Person0752_Company2073_9-27" xfId="3209" xr:uid="{00000000-0005-0000-0000-000032010000}"/>
    <cellStyle name="_Currency_Ticker0015_Person0755_Company2103_9-27" xfId="3210" xr:uid="{00000000-0005-0000-0000-000033010000}"/>
    <cellStyle name="_Currency_Ticker0015_Person0752_Company2121-9-27" xfId="3211" xr:uid="{00000000-0005-0000-0000-000034010000}"/>
    <cellStyle name="_Currency_Ticker0015_Person0752_Company2125_9-27" xfId="3212" xr:uid="{00000000-0005-0000-0000-000035010000}"/>
    <cellStyle name="_Currency_Ticker0015_Company1678_ MASTER model 4-01-05 RS" xfId="111" xr:uid="{00000000-0005-0000-0000-000036010000}"/>
    <cellStyle name="_Currency_Ticker0015_Company1678_ MASTER model 4-01-05 RS 2" xfId="2190" xr:uid="{00000000-0005-0000-0000-000037010000}"/>
    <cellStyle name="_Currency_Ticker0015_Company1678_ MASTER model 4-01-05 RS_Company0187 Model" xfId="112" xr:uid="{00000000-0005-0000-0000-000038010000}"/>
    <cellStyle name="_Currency_Ticker0015_Company1678_ MASTER model 4-01-05 RS_Book2" xfId="113" xr:uid="{00000000-0005-0000-0000-000039010000}"/>
    <cellStyle name="_Currency_Healthcare_Services_Quarterly_preview cleared" xfId="3213" xr:uid="{00000000-0005-0000-0000-00003A010000}"/>
    <cellStyle name="_Currency_Henry Company2549" xfId="3214" xr:uid="{00000000-0005-0000-0000-00003B010000}"/>
    <cellStyle name="_Currency_HLTH" xfId="3215" xr:uid="{00000000-0005-0000-0000-00003C010000}"/>
    <cellStyle name="_Currency_Hospital Comp -10-24-05" xfId="3216" xr:uid="{00000000-0005-0000-0000-00003D010000}"/>
    <cellStyle name="_Currency_Company1215" xfId="3217" xr:uid="{00000000-0005-0000-0000-00003E010000}"/>
    <cellStyle name="_Currency_Indian companies" xfId="114" xr:uid="{00000000-0005-0000-0000-00003F010000}"/>
    <cellStyle name="_Currency_Indian companies 2" xfId="2191" xr:uid="{00000000-0005-0000-0000-000040010000}"/>
    <cellStyle name="_Currency_Indian companies_Company0187 Model" xfId="115" xr:uid="{00000000-0005-0000-0000-000041010000}"/>
    <cellStyle name="_Currency_Indian companies_Book2" xfId="116" xr:uid="{00000000-0005-0000-0000-000042010000}"/>
    <cellStyle name="_Currency_Industry P&amp;L 4_20_2006" xfId="3218" xr:uid="{00000000-0005-0000-0000-000043010000}"/>
    <cellStyle name="_Currency_Insurance Brokerage CSC_1Q2002" xfId="4340" xr:uid="{00000000-0005-0000-0000-000044010000}"/>
    <cellStyle name="_Currency_JP" xfId="4341" xr:uid="{00000000-0005-0000-0000-000045010000}"/>
    <cellStyle name="_Currency_Person0607" xfId="3219" xr:uid="{00000000-0005-0000-0000-000046010000}"/>
    <cellStyle name="_Currency_Key poduct model" xfId="117" xr:uid="{00000000-0005-0000-0000-000047010000}"/>
    <cellStyle name="_Currency_Key poduct model 2" xfId="2192" xr:uid="{00000000-0005-0000-0000-000048010000}"/>
    <cellStyle name="_Currency_Key poduct model_Company0187 Model" xfId="118" xr:uid="{00000000-0005-0000-0000-000049010000}"/>
    <cellStyle name="_Currency_Key poduct model_Book2" xfId="119" xr:uid="{00000000-0005-0000-0000-00004A010000}"/>
    <cellStyle name="_Currency_Key product model" xfId="3220" xr:uid="{00000000-0005-0000-0000-00004B010000}"/>
    <cellStyle name="_Currency_Company1474 valuation" xfId="3221" xr:uid="{00000000-0005-0000-0000-00004C010000}"/>
    <cellStyle name="_Currency_Company1563" xfId="4342" xr:uid="{00000000-0005-0000-0000-00004D010000}"/>
    <cellStyle name="_Currency_Product0221 24" xfId="120" xr:uid="{00000000-0005-0000-0000-00004E010000}"/>
    <cellStyle name="_Currency_Product0221 24 2" xfId="2193" xr:uid="{00000000-0005-0000-0000-00004F010000}"/>
    <cellStyle name="_Currency_Product0221 24_Company0187 Model" xfId="121" xr:uid="{00000000-0005-0000-0000-000050010000}"/>
    <cellStyle name="_Currency_Product0221 24_Book2" xfId="122" xr:uid="{00000000-0005-0000-0000-000051010000}"/>
    <cellStyle name="_Currency_major holders 5-04" xfId="123" xr:uid="{00000000-0005-0000-0000-000052010000}"/>
    <cellStyle name="_Currency_major holders 5-04 2" xfId="2194" xr:uid="{00000000-0005-0000-0000-000053010000}"/>
    <cellStyle name="_Currency_major holders 5-04_Company0187 Model" xfId="124" xr:uid="{00000000-0005-0000-0000-000054010000}"/>
    <cellStyle name="_Currency_major holders 5-04_Book2" xfId="125" xr:uid="{00000000-0005-0000-0000-000055010000}"/>
    <cellStyle name="_Currency_Master Comp V.6" xfId="3222" xr:uid="{00000000-0005-0000-0000-000056010000}"/>
    <cellStyle name="_Currency_Master Comp V.6 WIP DO NOT USE" xfId="3223" xr:uid="{00000000-0005-0000-0000-000057010000}"/>
    <cellStyle name="_Currency_MASTER VAL SHEET For Luanch 4_24_06" xfId="3224" xr:uid="{00000000-0005-0000-0000-000058010000}"/>
    <cellStyle name="_Currency_Person0704" xfId="3225" xr:uid="{00000000-0005-0000-0000-000059010000}"/>
    <cellStyle name="_Currency_Company1672" xfId="3226" xr:uid="{00000000-0005-0000-0000-00005A010000}"/>
    <cellStyle name="_Currency_Company1674" xfId="3227" xr:uid="{00000000-0005-0000-0000-00005B010000}"/>
    <cellStyle name="_Currency_Product0243 channel data" xfId="126" xr:uid="{00000000-0005-0000-0000-00005C010000}"/>
    <cellStyle name="_Currency_Product0243 channel data 2" xfId="2195" xr:uid="{00000000-0005-0000-0000-00005D010000}"/>
    <cellStyle name="_Currency_Product0243 channel data_Company0187 Model" xfId="127" xr:uid="{00000000-0005-0000-0000-00005E010000}"/>
    <cellStyle name="_Currency_Product0243 channel data_Book2" xfId="128" xr:uid="{00000000-0005-0000-0000-00005F010000}"/>
    <cellStyle name="_Currency_Product0243 ES estimates" xfId="129" xr:uid="{00000000-0005-0000-0000-000060010000}"/>
    <cellStyle name="_Currency_Product0243 ES estimates 2" xfId="2196" xr:uid="{00000000-0005-0000-0000-000061010000}"/>
    <cellStyle name="_Currency_Product0243 ES estimates_Company0187 Model" xfId="130" xr:uid="{00000000-0005-0000-0000-000062010000}"/>
    <cellStyle name="_Currency_Product0243 ES estimates_Book2" xfId="131" xr:uid="{00000000-0005-0000-0000-000063010000}"/>
    <cellStyle name="_Currency_Product0243 ES sales data" xfId="132" xr:uid="{00000000-0005-0000-0000-000064010000}"/>
    <cellStyle name="_Currency_Product0243 ES sales data 2" xfId="2197" xr:uid="{00000000-0005-0000-0000-000065010000}"/>
    <cellStyle name="_Currency_Product0243 ES sales data_Company0187 Model" xfId="133" xr:uid="{00000000-0005-0000-0000-000066010000}"/>
    <cellStyle name="_Currency_Product0243 ES sales data_Book2" xfId="134" xr:uid="{00000000-0005-0000-0000-000067010000}"/>
    <cellStyle name="_Currency_Product0243 Market IMS" xfId="135" xr:uid="{00000000-0005-0000-0000-000068010000}"/>
    <cellStyle name="_Currency_Product0243 Market IMS 2" xfId="2198" xr:uid="{00000000-0005-0000-0000-000069010000}"/>
    <cellStyle name="_Currency_Product0243 Market IMS_Company0187 Model" xfId="136" xr:uid="{00000000-0005-0000-0000-00006A010000}"/>
    <cellStyle name="_Currency_Product0243 Market IMS_Book2" xfId="137" xr:uid="{00000000-0005-0000-0000-00006B010000}"/>
    <cellStyle name="_Currency_Product0243 NRx weekly" xfId="138" xr:uid="{00000000-0005-0000-0000-00006C010000}"/>
    <cellStyle name="_Currency_Product0243 NRx weekly 2" xfId="2199" xr:uid="{00000000-0005-0000-0000-00006D010000}"/>
    <cellStyle name="_Currency_Product0243 NRx weekly_Company0187 Model" xfId="139" xr:uid="{00000000-0005-0000-0000-00006E010000}"/>
    <cellStyle name="_Currency_Product0243 NRx weekly_Book2" xfId="140" xr:uid="{00000000-0005-0000-0000-00006F010000}"/>
    <cellStyle name="_Currency_Product0243 TRx weekly" xfId="141" xr:uid="{00000000-0005-0000-0000-000070010000}"/>
    <cellStyle name="_Currency_Product0243 TRx weekly 2" xfId="2200" xr:uid="{00000000-0005-0000-0000-000071010000}"/>
    <cellStyle name="_Currency_Product0243 TRx weekly_Company0187 Model" xfId="142" xr:uid="{00000000-0005-0000-0000-000072010000}"/>
    <cellStyle name="_Currency_Product0243 TRx weekly_Book2" xfId="143" xr:uid="{00000000-0005-0000-0000-000073010000}"/>
    <cellStyle name="_Currency_MET" xfId="4343" xr:uid="{00000000-0005-0000-0000-000074010000}"/>
    <cellStyle name="_Currency_MET04" xfId="4344" xr:uid="{00000000-0005-0000-0000-000075010000}"/>
    <cellStyle name="_Currency_MHS" xfId="3228" xr:uid="{00000000-0005-0000-0000-000076010000}"/>
    <cellStyle name="_Currency_Company1727" xfId="144" xr:uid="{00000000-0005-0000-0000-000077010000}"/>
    <cellStyle name="_Currency_Company1727 2" xfId="2201" xr:uid="{00000000-0005-0000-0000-000078010000}"/>
    <cellStyle name="_Currency_Company1727_Company0187 Model" xfId="145" xr:uid="{00000000-0005-0000-0000-000079010000}"/>
    <cellStyle name="_Currency_Company1727_Book2" xfId="146" xr:uid="{00000000-0005-0000-0000-00007A010000}"/>
    <cellStyle name="_Currency_Company1761" xfId="3229" xr:uid="{00000000-0005-0000-0000-00007B010000}"/>
    <cellStyle name="_Currency_Company1874" xfId="4345" xr:uid="{00000000-0005-0000-0000-00007C010000}"/>
    <cellStyle name="_Currency_Company1920" xfId="3230" xr:uid="{00000000-0005-0000-0000-00007D010000}"/>
    <cellStyle name="_Currency_Company1961" xfId="3231" xr:uid="{00000000-0005-0000-0000-00007E010000}"/>
    <cellStyle name="_Currency_OldCompSheet 11-27-2006" xfId="3232" xr:uid="{00000000-0005-0000-0000-00007F010000}"/>
    <cellStyle name="_Currency_Overview3" xfId="4346" xr:uid="{00000000-0005-0000-0000-000080010000}"/>
    <cellStyle name="_Currency_PCS" xfId="3233" xr:uid="{00000000-0005-0000-0000-000081010000}"/>
    <cellStyle name="_Currency_Company2073" xfId="3234" xr:uid="{00000000-0005-0000-0000-000082010000}"/>
    <cellStyle name="_Currency_phil data" xfId="4347" xr:uid="{00000000-0005-0000-0000-000083010000}"/>
    <cellStyle name="_Currency_Company2103" xfId="3235" xr:uid="{00000000-0005-0000-0000-000084010000}"/>
    <cellStyle name="_Currency_Company2110" xfId="3236" xr:uid="{00000000-0005-0000-0000-000085010000}"/>
    <cellStyle name="_Currency_Company2110 TEMPLATE 5-13-06" xfId="147" xr:uid="{00000000-0005-0000-0000-000086010000}"/>
    <cellStyle name="_Currency_Company2110 TEMPLATE 5-13-06 2" xfId="2202" xr:uid="{00000000-0005-0000-0000-000087010000}"/>
    <cellStyle name="_Currency_Company2110 TEMPLATE 5-13-06_Company0187 Model" xfId="148" xr:uid="{00000000-0005-0000-0000-000088010000}"/>
    <cellStyle name="_Currency_Company2110 TEMPLATE 5-13-06_Book2" xfId="149" xr:uid="{00000000-0005-0000-0000-000089010000}"/>
    <cellStyle name="_Currency_Price Performance Charts" xfId="4348" xr:uid="{00000000-0005-0000-0000-00008A010000}"/>
    <cellStyle name="_Currency_Price targets 3-4-2007-temp" xfId="3237" xr:uid="{00000000-0005-0000-0000-00008B010000}"/>
    <cellStyle name="_Currency_Company2120" xfId="4349" xr:uid="{00000000-0005-0000-0000-00008C010000}"/>
    <cellStyle name="_Currency_PRU04" xfId="4350" xr:uid="{00000000-0005-0000-0000-00008D010000}"/>
    <cellStyle name="_Currency_Company2121" xfId="3238" xr:uid="{00000000-0005-0000-0000-00008E010000}"/>
    <cellStyle name="_Currency_Company2125" xfId="3239" xr:uid="{00000000-0005-0000-0000-00008F010000}"/>
    <cellStyle name="_Currency_quarterly preview" xfId="150" xr:uid="{00000000-0005-0000-0000-000090010000}"/>
    <cellStyle name="_Currency_quarterly preview 2" xfId="2203" xr:uid="{00000000-0005-0000-0000-000091010000}"/>
    <cellStyle name="_Currency_quarterly preview_Company0187 Model" xfId="151" xr:uid="{00000000-0005-0000-0000-000092010000}"/>
    <cellStyle name="_Currency_quarterly preview_Book2" xfId="152" xr:uid="{00000000-0005-0000-0000-000093010000}"/>
    <cellStyle name="_Currency_RBOC historicals" xfId="3240" xr:uid="{00000000-0005-0000-0000-000094010000}"/>
    <cellStyle name="_Currency_Rev" xfId="153" xr:uid="{00000000-0005-0000-0000-000095010000}"/>
    <cellStyle name="_Currency_Rev 2" xfId="2204" xr:uid="{00000000-0005-0000-0000-000096010000}"/>
    <cellStyle name="_Currency_Rev_Company0187 Model" xfId="154" xr:uid="{00000000-0005-0000-0000-000097010000}"/>
    <cellStyle name="_Currency_Rev_Book2" xfId="155" xr:uid="{00000000-0005-0000-0000-000098010000}"/>
    <cellStyle name="_Currency_Risk1" xfId="3241" xr:uid="{00000000-0005-0000-0000-000099010000}"/>
    <cellStyle name="_Currency_Risk2" xfId="3242" xr:uid="{00000000-0005-0000-0000-00009A010000}"/>
    <cellStyle name="_Currency_RiskReward" xfId="4351" xr:uid="{00000000-0005-0000-0000-00009B010000}"/>
    <cellStyle name="_Currency_Risks" xfId="3243" xr:uid="{00000000-0005-0000-0000-00009C010000}"/>
    <cellStyle name="_Currency_ROE" xfId="156" xr:uid="{00000000-0005-0000-0000-00009D010000}"/>
    <cellStyle name="_Currency_ROE 2" xfId="2205" xr:uid="{00000000-0005-0000-0000-00009E010000}"/>
    <cellStyle name="_Currency_ROE_Company0187 Model" xfId="157" xr:uid="{00000000-0005-0000-0000-00009F010000}"/>
    <cellStyle name="_Currency_ROE_Book2" xfId="158" xr:uid="{00000000-0005-0000-0000-0000A0010000}"/>
    <cellStyle name="_Currency_Product0362" xfId="159" xr:uid="{00000000-0005-0000-0000-0000A1010000}"/>
    <cellStyle name="_Currency_Product0362 2" xfId="2206" xr:uid="{00000000-0005-0000-0000-0000A2010000}"/>
    <cellStyle name="_Currency_Product0362_Company0187 Model" xfId="160" xr:uid="{00000000-0005-0000-0000-0000A3010000}"/>
    <cellStyle name="_Currency_Product0362_Book2" xfId="161" xr:uid="{00000000-0005-0000-0000-0000A4010000}"/>
    <cellStyle name="_Currency_Segment breakout" xfId="162" xr:uid="{00000000-0005-0000-0000-0000A5010000}"/>
    <cellStyle name="_Currency_Segment breakout 2" xfId="2207" xr:uid="{00000000-0005-0000-0000-0000A6010000}"/>
    <cellStyle name="_Currency_Segment breakout_Company0187 Model" xfId="163" xr:uid="{00000000-0005-0000-0000-0000A7010000}"/>
    <cellStyle name="_Currency_Segment breakout_Book2" xfId="164" xr:uid="{00000000-0005-0000-0000-0000A8010000}"/>
    <cellStyle name="_Currency_segment graph data" xfId="165" xr:uid="{00000000-0005-0000-0000-0000A9010000}"/>
    <cellStyle name="_Currency_segment graph data 2" xfId="2208" xr:uid="{00000000-0005-0000-0000-0000AA010000}"/>
    <cellStyle name="_Currency_segment graph data_Company0187 Model" xfId="166" xr:uid="{00000000-0005-0000-0000-0000AB010000}"/>
    <cellStyle name="_Currency_segment graph data_Book2" xfId="167" xr:uid="{00000000-0005-0000-0000-0000AC010000}"/>
    <cellStyle name="_Currency_SFG" xfId="4352" xr:uid="{00000000-0005-0000-0000-0000AD010000}"/>
    <cellStyle name="_Currency_Sheet1" xfId="168" xr:uid="{00000000-0005-0000-0000-0000AE010000}"/>
    <cellStyle name="_Currency_Sheet1 2" xfId="2209" xr:uid="{00000000-0005-0000-0000-0000AF010000}"/>
    <cellStyle name="_Currency_Sheet1_Company0187 Model" xfId="169" xr:uid="{00000000-0005-0000-0000-0000B0010000}"/>
    <cellStyle name="_Currency_Sheet1_Product0030" xfId="170" xr:uid="{00000000-0005-0000-0000-0000B1010000}"/>
    <cellStyle name="_Currency_Sheet1_Product0030 2" xfId="2210" xr:uid="{00000000-0005-0000-0000-0000B2010000}"/>
    <cellStyle name="_Currency_Sheet1_Product0030_Company0187 Model" xfId="171" xr:uid="{00000000-0005-0000-0000-0000B3010000}"/>
    <cellStyle name="_Currency_Sheet1_Product0030_Book2" xfId="172" xr:uid="{00000000-0005-0000-0000-0000B4010000}"/>
    <cellStyle name="_Currency_Sheet1_Book2" xfId="173" xr:uid="{00000000-0005-0000-0000-0000B5010000}"/>
    <cellStyle name="_Currency_Sheet1_Company0426" xfId="3244" xr:uid="{00000000-0005-0000-0000-0000B6010000}"/>
    <cellStyle name="_Currency_Sheet1_Company0472 working" xfId="174" xr:uid="{00000000-0005-0000-0000-0000B7010000}"/>
    <cellStyle name="_Currency_Sheet1_Disclaimer" xfId="3245" xr:uid="{00000000-0005-0000-0000-0000B8010000}"/>
    <cellStyle name="_Currency_Sheet1_Generic impact charts" xfId="3246" xr:uid="{00000000-0005-0000-0000-0000B9010000}"/>
    <cellStyle name="_Currency_Sheet1_GQ" xfId="175" xr:uid="{00000000-0005-0000-0000-0000BA010000}"/>
    <cellStyle name="_Currency_Sheet1_GQ 2" xfId="2211" xr:uid="{00000000-0005-0000-0000-0000BB010000}"/>
    <cellStyle name="_Currency_Sheet1_GQ_Company0187 Model" xfId="176" xr:uid="{00000000-0005-0000-0000-0000BC010000}"/>
    <cellStyle name="_Currency_Sheet1_GQ_Book2" xfId="177" xr:uid="{00000000-0005-0000-0000-0000BD010000}"/>
    <cellStyle name="_Currency_Sheet1_Industry P&amp;L 4_20_2006" xfId="3247" xr:uid="{00000000-0005-0000-0000-0000BE010000}"/>
    <cellStyle name="_Currency_Sheet1_IS" xfId="178" xr:uid="{00000000-0005-0000-0000-0000BF010000}"/>
    <cellStyle name="_Currency_Sheet1_IS 2" xfId="2212" xr:uid="{00000000-0005-0000-0000-0000C0010000}"/>
    <cellStyle name="_Currency_Sheet1_IS_Company0187 Model" xfId="179" xr:uid="{00000000-0005-0000-0000-0000C1010000}"/>
    <cellStyle name="_Currency_Sheet1_IS_Book2" xfId="180" xr:uid="{00000000-0005-0000-0000-0000C2010000}"/>
    <cellStyle name="_Currency_Sheet1_Key poduct model" xfId="181" xr:uid="{00000000-0005-0000-0000-0000C3010000}"/>
    <cellStyle name="_Currency_Sheet1_Key poduct model 2" xfId="2213" xr:uid="{00000000-0005-0000-0000-0000C4010000}"/>
    <cellStyle name="_Currency_Sheet1_Key poduct model_Company0187 Model" xfId="182" xr:uid="{00000000-0005-0000-0000-0000C5010000}"/>
    <cellStyle name="_Currency_Sheet1_Key poduct model_Book2" xfId="183" xr:uid="{00000000-0005-0000-0000-0000C6010000}"/>
    <cellStyle name="_Currency_Sheet1_Key product model" xfId="3248" xr:uid="{00000000-0005-0000-0000-0000C7010000}"/>
    <cellStyle name="_Currency_Sheet1_Mainsheet - consolidated" xfId="184" xr:uid="{00000000-0005-0000-0000-0000C8010000}"/>
    <cellStyle name="_Currency_Sheet1_Mainsheet - consolidated 2" xfId="2214" xr:uid="{00000000-0005-0000-0000-0000C9010000}"/>
    <cellStyle name="_Currency_Sheet1_Mainsheet - consolidated_Company0187 Model" xfId="185" xr:uid="{00000000-0005-0000-0000-0000CA010000}"/>
    <cellStyle name="_Currency_Sheet1_Mainsheet - consolidated_Book2" xfId="186" xr:uid="{00000000-0005-0000-0000-0000CB010000}"/>
    <cellStyle name="_Currency_Sheet1_MASTER Person1077-WC 10-28-06 LAUNCH" xfId="187" xr:uid="{00000000-0005-0000-0000-0000CC010000}"/>
    <cellStyle name="_Currency_Sheet1_MASTER Person1077-WC 10-28-06 LAUNCH 2" xfId="2215" xr:uid="{00000000-0005-0000-0000-0000CD010000}"/>
    <cellStyle name="_Currency_Sheet1_MASTER Person1077-WC 10-28-06 LAUNCH_Company0187 Model" xfId="188" xr:uid="{00000000-0005-0000-0000-0000CE010000}"/>
    <cellStyle name="_Currency_Sheet1_MASTER Person1077-WC 10-28-06 LAUNCH_Book2" xfId="189" xr:uid="{00000000-0005-0000-0000-0000CF010000}"/>
    <cellStyle name="_Currency_Sheet1_MASTER VAL SHEET For Luanch 4_24_06" xfId="3249" xr:uid="{00000000-0005-0000-0000-0000D0010000}"/>
    <cellStyle name="_Currency_Sheet1_Risk1" xfId="3250" xr:uid="{00000000-0005-0000-0000-0000D1010000}"/>
    <cellStyle name="_Currency_Sheet1_Risk2" xfId="3251" xr:uid="{00000000-0005-0000-0000-0000D2010000}"/>
    <cellStyle name="_Currency_Sheet1_Risks" xfId="3252" xr:uid="{00000000-0005-0000-0000-0000D3010000}"/>
    <cellStyle name="_Currency_Sheet1_Company2376 working" xfId="190" xr:uid="{00000000-0005-0000-0000-0000D4010000}"/>
    <cellStyle name="_Currency_Sheet1_Sheet1" xfId="3253" xr:uid="{00000000-0005-0000-0000-0000D5010000}"/>
    <cellStyle name="_Currency_Sheet1_Sheet2" xfId="3254" xr:uid="{00000000-0005-0000-0000-0000D6010000}"/>
    <cellStyle name="_Currency_Sheet1_Sheet3" xfId="191" xr:uid="{00000000-0005-0000-0000-0000D7010000}"/>
    <cellStyle name="_Currency_Sheet1_Sheet3 2" xfId="2216" xr:uid="{00000000-0005-0000-0000-0000D8010000}"/>
    <cellStyle name="_Currency_Sheet1_Sheet3_Company0187 Model" xfId="192" xr:uid="{00000000-0005-0000-0000-0000D9010000}"/>
    <cellStyle name="_Currency_Sheet1_Sheet3_Book2" xfId="193" xr:uid="{00000000-0005-0000-0000-0000DA010000}"/>
    <cellStyle name="_Currency_Sheet1_Sheet3_WC Product0280 forecast" xfId="194" xr:uid="{00000000-0005-0000-0000-0000DB010000}"/>
    <cellStyle name="_Currency_Sheet1_Sheet3_WC Product0280 forecast 2" xfId="2217" xr:uid="{00000000-0005-0000-0000-0000DC010000}"/>
    <cellStyle name="_Currency_Sheet1_Sheet3_WC Product0280 forecast_Company0187 Model" xfId="195" xr:uid="{00000000-0005-0000-0000-0000DD010000}"/>
    <cellStyle name="_Currency_Sheet1_Sheet3_WC Product0280 forecast_Book2" xfId="196" xr:uid="{00000000-0005-0000-0000-0000DE010000}"/>
    <cellStyle name="_Currency_Sheet1_Sheet4" xfId="3255" xr:uid="{00000000-0005-0000-0000-0000DF010000}"/>
    <cellStyle name="_Currency_Sheet1_SPEC Rx trend vs est " xfId="197" xr:uid="{00000000-0005-0000-0000-0000E0010000}"/>
    <cellStyle name="_Currency_Sheet1_SPEC Rx trend vs est  2" xfId="2218" xr:uid="{00000000-0005-0000-0000-0000E1010000}"/>
    <cellStyle name="_Currency_Sheet1_SPEC Rx trend vs est  3" xfId="2219" xr:uid="{00000000-0005-0000-0000-0000E2010000}"/>
    <cellStyle name="_Currency_Sheet1_SPEC Rx trend vs est _Company0187 Model" xfId="198" xr:uid="{00000000-0005-0000-0000-0000E3010000}"/>
    <cellStyle name="_Currency_Sheet1_SPEC Rx trend vs est _Book2" xfId="199" xr:uid="{00000000-0005-0000-0000-0000E4010000}"/>
    <cellStyle name="_Currency_Sheet1_Person1077 - Company0395 12-7-2006 FINAL" xfId="200" xr:uid="{00000000-0005-0000-0000-0000E5010000}"/>
    <cellStyle name="_Currency_Sheet1_Person1077 - Company0395 12-7-2006 FINAL 2" xfId="2220" xr:uid="{00000000-0005-0000-0000-0000E6010000}"/>
    <cellStyle name="_Currency_Sheet1_Person1077 - Company0395 12-7-2006 FINAL_Company0187 Model" xfId="201" xr:uid="{00000000-0005-0000-0000-0000E7010000}"/>
    <cellStyle name="_Currency_Sheet1_Person1077 - Company0395 12-7-2006 FINAL_Book2" xfId="202" xr:uid="{00000000-0005-0000-0000-0000E8010000}"/>
    <cellStyle name="_Currency_Sheet1_Sum of the parts 5-21-2007" xfId="3256" xr:uid="{00000000-0005-0000-0000-0000E9010000}"/>
    <cellStyle name="_Currency_Sheet1_Template 1-9-2007" xfId="3257" xr:uid="{00000000-0005-0000-0000-0000EA010000}"/>
    <cellStyle name="_Currency_Sheet1_WC Product0280 forecast" xfId="203" xr:uid="{00000000-0005-0000-0000-0000EB010000}"/>
    <cellStyle name="_Currency_Sheet1_WC Product0280 forecast 2" xfId="2221" xr:uid="{00000000-0005-0000-0000-0000EC010000}"/>
    <cellStyle name="_Currency_Sheet1_WC Product0280 forecast_Company0187 Model" xfId="204" xr:uid="{00000000-0005-0000-0000-0000ED010000}"/>
    <cellStyle name="_Currency_Sheet1_WC Product0280 forecast_Book2" xfId="205" xr:uid="{00000000-0005-0000-0000-0000EE010000}"/>
    <cellStyle name="_Currency_Sheet1_Company2931 working" xfId="206" xr:uid="{00000000-0005-0000-0000-0000EF010000}"/>
    <cellStyle name="_Currency_Sheet1_Company2931 working 2" xfId="2222" xr:uid="{00000000-0005-0000-0000-0000F0010000}"/>
    <cellStyle name="_Currency_Sheet1_Company2931 working_Company0187 Model" xfId="207" xr:uid="{00000000-0005-0000-0000-0000F1010000}"/>
    <cellStyle name="_Currency_Sheet1_Company2931 working_Book2" xfId="208" xr:uid="{00000000-0005-0000-0000-0000F2010000}"/>
    <cellStyle name="_Currency_Sheet13" xfId="209" xr:uid="{00000000-0005-0000-0000-0000F3010000}"/>
    <cellStyle name="_Currency_Sheet13 2" xfId="2223" xr:uid="{00000000-0005-0000-0000-0000F4010000}"/>
    <cellStyle name="_Currency_Sheet13_Company0187 Model" xfId="210" xr:uid="{00000000-0005-0000-0000-0000F5010000}"/>
    <cellStyle name="_Currency_Sheet13_Book2" xfId="211" xr:uid="{00000000-0005-0000-0000-0000F6010000}"/>
    <cellStyle name="_Currency_Sheet3" xfId="212" xr:uid="{00000000-0005-0000-0000-0000F7010000}"/>
    <cellStyle name="_Currency_Sheet3 2" xfId="2224" xr:uid="{00000000-0005-0000-0000-0000F8010000}"/>
    <cellStyle name="_Currency_Sheet3_Company0187 Model" xfId="213" xr:uid="{00000000-0005-0000-0000-0000F9010000}"/>
    <cellStyle name="_Currency_Sheet3_Book2" xfId="214" xr:uid="{00000000-0005-0000-0000-0000FA010000}"/>
    <cellStyle name="_Currency_Sheet4" xfId="3258" xr:uid="{00000000-0005-0000-0000-0000FB010000}"/>
    <cellStyle name="_Currency_Sheet6" xfId="215" xr:uid="{00000000-0005-0000-0000-0000FC010000}"/>
    <cellStyle name="_Currency_Sheet6 2" xfId="2225" xr:uid="{00000000-0005-0000-0000-0000FD010000}"/>
    <cellStyle name="_Currency_Sheet6_Company0187 Model" xfId="216" xr:uid="{00000000-0005-0000-0000-0000FE010000}"/>
    <cellStyle name="_Currency_Sheet6_Book2" xfId="217" xr:uid="{00000000-0005-0000-0000-0000FF010000}"/>
    <cellStyle name="_Currency_Snapshot" xfId="218" xr:uid="{00000000-0005-0000-0000-000000020000}"/>
    <cellStyle name="_Currency_Snapshot 2" xfId="2226" xr:uid="{00000000-0005-0000-0000-000001020000}"/>
    <cellStyle name="_Currency_Snapshot_Company0187 Model" xfId="219" xr:uid="{00000000-0005-0000-0000-000002020000}"/>
    <cellStyle name="_Currency_Snapshot_Book2" xfId="220" xr:uid="{00000000-0005-0000-0000-000003020000}"/>
    <cellStyle name="_Currency_Special situation" xfId="221" xr:uid="{00000000-0005-0000-0000-000004020000}"/>
    <cellStyle name="_Currency_Special situation 2" xfId="2227" xr:uid="{00000000-0005-0000-0000-000005020000}"/>
    <cellStyle name="_Currency_Special situation_Company0187 Model" xfId="222" xr:uid="{00000000-0005-0000-0000-000006020000}"/>
    <cellStyle name="_Currency_Special situation_Book2" xfId="223" xr:uid="{00000000-0005-0000-0000-000007020000}"/>
    <cellStyle name="_Currency_SSP" xfId="224" xr:uid="{00000000-0005-0000-0000-000008020000}"/>
    <cellStyle name="_Currency_SSP 2" xfId="2228" xr:uid="{00000000-0005-0000-0000-000009020000}"/>
    <cellStyle name="_Currency_SSP_Company0187 Model" xfId="225" xr:uid="{00000000-0005-0000-0000-00000A020000}"/>
    <cellStyle name="_Currency_SSP_Book2" xfId="226" xr:uid="{00000000-0005-0000-0000-00000B020000}"/>
    <cellStyle name="_Currency_Person1011 - ABC 1-26-10" xfId="3259" xr:uid="{00000000-0005-0000-0000-00000C020000}"/>
    <cellStyle name="_Currency_Person1077 - Company0395 12-7-2006 FINAL" xfId="3260" xr:uid="{00000000-0005-0000-0000-00000D020000}"/>
    <cellStyle name="_Currency_Person1077 - Company0395 3-15-2007" xfId="3261" xr:uid="{00000000-0005-0000-0000-00000E020000}"/>
    <cellStyle name="_Currency_Person1077 - Company0395 3-25-2007" xfId="3262" xr:uid="{00000000-0005-0000-0000-00000F020000}"/>
    <cellStyle name="_Currency_Stock-QTR1 FDS" xfId="4353" xr:uid="{00000000-0005-0000-0000-000010020000}"/>
    <cellStyle name="_Currency_Sum of the parts 5-21-2007" xfId="3263" xr:uid="{00000000-0005-0000-0000-000011020000}"/>
    <cellStyle name="_Currency_symcqtis" xfId="3264" xr:uid="{00000000-0005-0000-0000-000012020000}"/>
    <cellStyle name="_Currency_T - new" xfId="3265" xr:uid="{00000000-0005-0000-0000-000013020000}"/>
    <cellStyle name="_Currency_Product0406 - dovonex" xfId="227" xr:uid="{00000000-0005-0000-0000-000014020000}"/>
    <cellStyle name="_Currency_Product0406 - dovonex 2" xfId="2229" xr:uid="{00000000-0005-0000-0000-000015020000}"/>
    <cellStyle name="_Currency_Product0406 - dovonex_Company0187 Model" xfId="228" xr:uid="{00000000-0005-0000-0000-000016020000}"/>
    <cellStyle name="_Currency_Product0406 - dovonex_Book2" xfId="229" xr:uid="{00000000-0005-0000-0000-000017020000}"/>
    <cellStyle name="_Currency_taro DSO 4-29-06" xfId="230" xr:uid="{00000000-0005-0000-0000-000018020000}"/>
    <cellStyle name="_Currency_taro DSO 4-29-06 2" xfId="2230" xr:uid="{00000000-0005-0000-0000-000019020000}"/>
    <cellStyle name="_Currency_taro DSO 4-29-06_Company0187 Model" xfId="231" xr:uid="{00000000-0005-0000-0000-00001A020000}"/>
    <cellStyle name="_Currency_taro DSO 4-29-06_Book2" xfId="232" xr:uid="{00000000-0005-0000-0000-00001B020000}"/>
    <cellStyle name="_Currency_Tearsheet" xfId="233" xr:uid="{00000000-0005-0000-0000-00001C020000}"/>
    <cellStyle name="_Currency_Tearsheet 2" xfId="2231" xr:uid="{00000000-0005-0000-0000-00001D020000}"/>
    <cellStyle name="_Currency_Tearsheet_Company0187 Model" xfId="234" xr:uid="{00000000-0005-0000-0000-00001E020000}"/>
    <cellStyle name="_Currency_Tearsheet_Book2" xfId="235" xr:uid="{00000000-0005-0000-0000-00001F020000}"/>
    <cellStyle name="_Currency_Template 1-9-2007" xfId="3266" xr:uid="{00000000-0005-0000-0000-000020020000}"/>
    <cellStyle name="_Currency_Product0415" xfId="236" xr:uid="{00000000-0005-0000-0000-000021020000}"/>
    <cellStyle name="_Currency_Product0415 2" xfId="2232" xr:uid="{00000000-0005-0000-0000-000022020000}"/>
    <cellStyle name="_Currency_Product0415_Company0187 Model" xfId="237" xr:uid="{00000000-0005-0000-0000-000023020000}"/>
    <cellStyle name="_Currency_Product0415_Book2" xfId="238" xr:uid="{00000000-0005-0000-0000-000024020000}"/>
    <cellStyle name="_Currency_Company2640" xfId="3267" xr:uid="{00000000-0005-0000-0000-000025020000}"/>
    <cellStyle name="_Currency_Company2758 - Qtrly IS" xfId="239" xr:uid="{00000000-0005-0000-0000-000026020000}"/>
    <cellStyle name="_Currency_Company2758 - Qtrly IS 2" xfId="2233" xr:uid="{00000000-0005-0000-0000-000027020000}"/>
    <cellStyle name="_Currency_Company2758 - Qtrly IS_Company0187 Model" xfId="240" xr:uid="{00000000-0005-0000-0000-000028020000}"/>
    <cellStyle name="_Currency_Company2758 - Qtrly IS_Book2" xfId="241" xr:uid="{00000000-0005-0000-0000-000029020000}"/>
    <cellStyle name="_Currency_Company2758 main sheet" xfId="242" xr:uid="{00000000-0005-0000-0000-00002A020000}"/>
    <cellStyle name="_Currency_Company2758 main sheet 2" xfId="2234" xr:uid="{00000000-0005-0000-0000-00002B020000}"/>
    <cellStyle name="_Currency_Company2758 main sheet_Company0187 Model" xfId="243" xr:uid="{00000000-0005-0000-0000-00002C020000}"/>
    <cellStyle name="_Currency_Company2758 main sheet_Book2" xfId="244" xr:uid="{00000000-0005-0000-0000-00002D020000}"/>
    <cellStyle name="_Currency_Company2661" xfId="4354" xr:uid="{00000000-0005-0000-0000-00002E020000}"/>
    <cellStyle name="_Currency_Company2727" xfId="3268" xr:uid="{00000000-0005-0000-0000-00002F020000}"/>
    <cellStyle name="_Currency_Updated Valuation Changes" xfId="4355" xr:uid="{00000000-0005-0000-0000-000030020000}"/>
    <cellStyle name="_Currency_Valuation Graphs" xfId="4356" xr:uid="{00000000-0005-0000-0000-000031020000}"/>
    <cellStyle name="_Currency_VZ" xfId="3269" xr:uid="{00000000-0005-0000-0000-000032020000}"/>
    <cellStyle name="_Currency_Company2891" xfId="3270" xr:uid="{00000000-0005-0000-0000-000033020000}"/>
    <cellStyle name="_Currency_WC Product0280 forecast" xfId="245" xr:uid="{00000000-0005-0000-0000-000034020000}"/>
    <cellStyle name="_Currency_WC Product0280 forecast 2" xfId="2235" xr:uid="{00000000-0005-0000-0000-000035020000}"/>
    <cellStyle name="_Currency_WC Product0280 forecast_Company0187 Model" xfId="246" xr:uid="{00000000-0005-0000-0000-000036020000}"/>
    <cellStyle name="_Currency_WC Product0280 forecast_Book2" xfId="247" xr:uid="{00000000-0005-0000-0000-000037020000}"/>
    <cellStyle name="_Currency_WPI" xfId="3271" xr:uid="{00000000-0005-0000-0000-000038020000}"/>
    <cellStyle name="_Currency_xratio - historical mkt val" xfId="4357" xr:uid="{00000000-0005-0000-0000-000039020000}"/>
    <cellStyle name="_CurrencySpace" xfId="248" xr:uid="{00000000-0005-0000-0000-00003A020000}"/>
    <cellStyle name="_CurrencySpace 2" xfId="2236" xr:uid="{00000000-0005-0000-0000-00003B020000}"/>
    <cellStyle name="_CurrencySpace_01 adj for merger plan" xfId="4358" xr:uid="{00000000-0005-0000-0000-00003C020000}"/>
    <cellStyle name="_CurrencySpace_ABC" xfId="3272" xr:uid="{00000000-0005-0000-0000-00003D020000}"/>
    <cellStyle name="_CurrencySpace_Ability to Pay Analysis" xfId="4359" xr:uid="{00000000-0005-0000-0000-00003E020000}"/>
    <cellStyle name="_CurrencySpace_AFL" xfId="4360" xr:uid="{00000000-0005-0000-0000-00003F020000}"/>
    <cellStyle name="_CurrencySpace_Company0064" xfId="4361" xr:uid="{00000000-0005-0000-0000-000040020000}"/>
    <cellStyle name="_CurrencySpace_Company0226" xfId="3273" xr:uid="{00000000-0005-0000-0000-000041020000}"/>
    <cellStyle name="_CurrencySpace_AMP" xfId="4362" xr:uid="{00000000-0005-0000-0000-000042020000}"/>
    <cellStyle name="_CurrencySpace_Company0157" xfId="3274" xr:uid="{00000000-0005-0000-0000-000043020000}"/>
    <cellStyle name="_CurrencySpace_Balance Sheet" xfId="4363" xr:uid="{00000000-0005-0000-0000-000044020000}"/>
    <cellStyle name="_CurrencySpace_bls roic" xfId="3275" xr:uid="{00000000-0005-0000-0000-000045020000}"/>
    <cellStyle name="_CurrencySpace_BNT" xfId="3276" xr:uid="{00000000-0005-0000-0000-000046020000}"/>
    <cellStyle name="_CurrencySpace_Book1" xfId="4364" xr:uid="{00000000-0005-0000-0000-000047020000}"/>
    <cellStyle name="_CurrencySpace_Book29" xfId="4365" xr:uid="{00000000-0005-0000-0000-000048020000}"/>
    <cellStyle name="_CurrencySpace_Book3" xfId="4366" xr:uid="{00000000-0005-0000-0000-000049020000}"/>
    <cellStyle name="_CurrencySpace_Book3_1" xfId="4367" xr:uid="{00000000-0005-0000-0000-00004A020000}"/>
    <cellStyle name="_CurrencySpace_BRL" xfId="3277" xr:uid="{00000000-0005-0000-0000-00004B020000}"/>
    <cellStyle name="_CurrencySpace_Broadcasting" xfId="3278" xr:uid="{00000000-0005-0000-0000-00004C020000}"/>
    <cellStyle name="_CurrencySpace_Company0353" xfId="3279" xr:uid="{00000000-0005-0000-0000-00004D020000}"/>
    <cellStyle name="_CurrencySpace_Company0426" xfId="3280" xr:uid="{00000000-0005-0000-0000-00004E020000}"/>
    <cellStyle name="_CurrencySpace_capital expenditures 6-18-02" xfId="3281" xr:uid="{00000000-0005-0000-0000-00004F020000}"/>
    <cellStyle name="_CurrencySpace_Company0525" xfId="3282" xr:uid="{00000000-0005-0000-0000-000050020000}"/>
    <cellStyle name="_CurrencySpace_Company0529" xfId="4368" xr:uid="{00000000-0005-0000-0000-000051020000}"/>
    <cellStyle name="_CurrencySpace_Company0689" xfId="3283" xr:uid="{00000000-0005-0000-0000-000052020000}"/>
    <cellStyle name="_CurrencySpace_CRL" xfId="3284" xr:uid="{00000000-0005-0000-0000-000053020000}"/>
    <cellStyle name="_CurrencySpace_CRO 3Q group metrics 12-22-03 for reports" xfId="3285" xr:uid="{00000000-0005-0000-0000-000054020000}"/>
    <cellStyle name="_CurrencySpace_CRO comp metrics 4Q03 2-18-04 send out" xfId="3286" xr:uid="{00000000-0005-0000-0000-000055020000}"/>
    <cellStyle name="_CurrencySpace_CRO Comp Sheet V.2" xfId="3287" xr:uid="{00000000-0005-0000-0000-000056020000}"/>
    <cellStyle name="_CurrencySpace_Company0634" xfId="3288" xr:uid="{00000000-0005-0000-0000-000057020000}"/>
    <cellStyle name="_CurrencySpace_Data" xfId="3289" xr:uid="{00000000-0005-0000-0000-000058020000}"/>
    <cellStyle name="_CurrencySpace_DCF Alexander Person0382" xfId="4369" xr:uid="{00000000-0005-0000-0000-000059020000}"/>
    <cellStyle name="_CurrencySpace_Company0757" xfId="3290" xr:uid="{00000000-0005-0000-0000-00005A020000}"/>
    <cellStyle name="_CurrencySpace_EEEE" xfId="249" xr:uid="{00000000-0005-0000-0000-00005B020000}"/>
    <cellStyle name="_CurrencySpace_EEEE 2" xfId="2237" xr:uid="{00000000-0005-0000-0000-00005C020000}"/>
    <cellStyle name="_CurrencySpace_EEEE_Company0187 Model" xfId="250" xr:uid="{00000000-0005-0000-0000-00005D020000}"/>
    <cellStyle name="_CurrencySpace_EEEE_Book2" xfId="251" xr:uid="{00000000-0005-0000-0000-00005E020000}"/>
    <cellStyle name="_CurrencySpace_Company0882" xfId="3291" xr:uid="{00000000-0005-0000-0000-00005F020000}"/>
    <cellStyle name="_CurrencySpace_fmbi counties" xfId="4370" xr:uid="{00000000-0005-0000-0000-000060020000}"/>
    <cellStyle name="_CurrencySpace_FMBI MBHI Graphs" xfId="4371" xr:uid="{00000000-0005-0000-0000-000061020000}"/>
    <cellStyle name="_CurrencySpace_FMBI MBHI Graphs 07102001" xfId="4372" xr:uid="{00000000-0005-0000-0000-000062020000}"/>
    <cellStyle name="_CurrencySpace_FMBI MBHI Graphs_7601" xfId="4373" xr:uid="{00000000-0005-0000-0000-000063020000}"/>
    <cellStyle name="_CurrencySpace_GCI" xfId="252" xr:uid="{00000000-0005-0000-0000-000064020000}"/>
    <cellStyle name="_CurrencySpace_GCI 2" xfId="2238" xr:uid="{00000000-0005-0000-0000-000065020000}"/>
    <cellStyle name="_CurrencySpace_Company1093" xfId="4374" xr:uid="{00000000-0005-0000-0000-000066020000}"/>
    <cellStyle name="_CurrencySpace_Ticker0015_Person0752_Company0525_9-27" xfId="3292" xr:uid="{00000000-0005-0000-0000-000067020000}"/>
    <cellStyle name="_CurrencySpace_Ticker0015_Person0752_Company0634_9-27" xfId="3293" xr:uid="{00000000-0005-0000-0000-000068020000}"/>
    <cellStyle name="_CurrencySpace_Ticker0015_Person0752_Company0757_9-27" xfId="3294" xr:uid="{00000000-0005-0000-0000-000069020000}"/>
    <cellStyle name="_CurrencySpace_Ticker0015_Person0752_Company0882_9-27" xfId="3295" xr:uid="{00000000-0005-0000-0000-00006A020000}"/>
    <cellStyle name="_CurrencySpace_Ticker0015_Person0752_HLTH_9-27" xfId="3296" xr:uid="{00000000-0005-0000-0000-00006B020000}"/>
    <cellStyle name="_CurrencySpace_Ticker0015_Person0752_Company1215" xfId="3297" xr:uid="{00000000-0005-0000-0000-00006C020000}"/>
    <cellStyle name="_CurrencySpace_Ticker0015_Person0752_Company1295_9-28" xfId="3298" xr:uid="{00000000-0005-0000-0000-00006D020000}"/>
    <cellStyle name="_CurrencySpace_Ticker0015_Person0752_Person0704" xfId="3299" xr:uid="{00000000-0005-0000-0000-00006E020000}"/>
    <cellStyle name="_CurrencySpace_Ticker0015_Person0752_MHS_9-27" xfId="3300" xr:uid="{00000000-0005-0000-0000-00006F020000}"/>
    <cellStyle name="_CurrencySpace_Ticker0015_Person0752_Company1859_9-28-04" xfId="3301" xr:uid="{00000000-0005-0000-0000-000070020000}"/>
    <cellStyle name="_CurrencySpace_Ticker0015_Person0752_Company2073_9-27" xfId="3302" xr:uid="{00000000-0005-0000-0000-000071020000}"/>
    <cellStyle name="_CurrencySpace_Ticker0015_Person0755_Company2103_9-27" xfId="3303" xr:uid="{00000000-0005-0000-0000-000072020000}"/>
    <cellStyle name="_CurrencySpace_Ticker0015_Person0752_Company2121-9-27" xfId="3304" xr:uid="{00000000-0005-0000-0000-000073020000}"/>
    <cellStyle name="_CurrencySpace_Ticker0015_Person0752_Company2125_9-27" xfId="3305" xr:uid="{00000000-0005-0000-0000-000074020000}"/>
    <cellStyle name="_CurrencySpace_Healthcare_Services_Quarterly_preview cleared" xfId="3306" xr:uid="{00000000-0005-0000-0000-000075020000}"/>
    <cellStyle name="_CurrencySpace_Henry Company2549" xfId="3307" xr:uid="{00000000-0005-0000-0000-000076020000}"/>
    <cellStyle name="_CurrencySpace_HLTH" xfId="3308" xr:uid="{00000000-0005-0000-0000-000077020000}"/>
    <cellStyle name="_CurrencySpace_Hospital Comp -10-24-05" xfId="3309" xr:uid="{00000000-0005-0000-0000-000078020000}"/>
    <cellStyle name="_CurrencySpace_Company1215" xfId="3310" xr:uid="{00000000-0005-0000-0000-000079020000}"/>
    <cellStyle name="_CurrencySpace_Insurance Brokerage CSC_1Q2002" xfId="4375" xr:uid="{00000000-0005-0000-0000-00007A020000}"/>
    <cellStyle name="_CurrencySpace_JP" xfId="4376" xr:uid="{00000000-0005-0000-0000-00007B020000}"/>
    <cellStyle name="_CurrencySpace_Person0607" xfId="3311" xr:uid="{00000000-0005-0000-0000-00007C020000}"/>
    <cellStyle name="_CurrencySpace_Company1474 valuation" xfId="3312" xr:uid="{00000000-0005-0000-0000-00007D020000}"/>
    <cellStyle name="_CurrencySpace_Company1563" xfId="4377" xr:uid="{00000000-0005-0000-0000-00007E020000}"/>
    <cellStyle name="_CurrencySpace_Master Comp V.6" xfId="3313" xr:uid="{00000000-0005-0000-0000-00007F020000}"/>
    <cellStyle name="_CurrencySpace_Master Comp V.6 WIP DO NOT USE" xfId="3314" xr:uid="{00000000-0005-0000-0000-000080020000}"/>
    <cellStyle name="_CurrencySpace_Person0704" xfId="3315" xr:uid="{00000000-0005-0000-0000-000081020000}"/>
    <cellStyle name="_CurrencySpace_Company1672" xfId="3316" xr:uid="{00000000-0005-0000-0000-000082020000}"/>
    <cellStyle name="_CurrencySpace_Company1674" xfId="3317" xr:uid="{00000000-0005-0000-0000-000083020000}"/>
    <cellStyle name="_CurrencySpace_MET" xfId="4378" xr:uid="{00000000-0005-0000-0000-000084020000}"/>
    <cellStyle name="_CurrencySpace_MET04" xfId="4379" xr:uid="{00000000-0005-0000-0000-000085020000}"/>
    <cellStyle name="_CurrencySpace_MHS" xfId="3318" xr:uid="{00000000-0005-0000-0000-000086020000}"/>
    <cellStyle name="_CurrencySpace_Company1727" xfId="253" xr:uid="{00000000-0005-0000-0000-000087020000}"/>
    <cellStyle name="_CurrencySpace_Company1727 2" xfId="2239" xr:uid="{00000000-0005-0000-0000-000088020000}"/>
    <cellStyle name="_CurrencySpace_Company1727_Company0187 Model" xfId="254" xr:uid="{00000000-0005-0000-0000-000089020000}"/>
    <cellStyle name="_CurrencySpace_Company1727_Book2" xfId="255" xr:uid="{00000000-0005-0000-0000-00008A020000}"/>
    <cellStyle name="_CurrencySpace_Company1761" xfId="3319" xr:uid="{00000000-0005-0000-0000-00008B020000}"/>
    <cellStyle name="_CurrencySpace_Company1874" xfId="4380" xr:uid="{00000000-0005-0000-0000-00008C020000}"/>
    <cellStyle name="_CurrencySpace_Company1961" xfId="3320" xr:uid="{00000000-0005-0000-0000-00008D020000}"/>
    <cellStyle name="_CurrencySpace_Overview3" xfId="4381" xr:uid="{00000000-0005-0000-0000-00008E020000}"/>
    <cellStyle name="_CurrencySpace_Company2073" xfId="3321" xr:uid="{00000000-0005-0000-0000-00008F020000}"/>
    <cellStyle name="_CurrencySpace_phil data" xfId="4382" xr:uid="{00000000-0005-0000-0000-000090020000}"/>
    <cellStyle name="_CurrencySpace_Company2103" xfId="3322" xr:uid="{00000000-0005-0000-0000-000091020000}"/>
    <cellStyle name="_CurrencySpace_Company2110" xfId="3323" xr:uid="{00000000-0005-0000-0000-000092020000}"/>
    <cellStyle name="_CurrencySpace_Price Performance Charts" xfId="4383" xr:uid="{00000000-0005-0000-0000-000093020000}"/>
    <cellStyle name="_CurrencySpace_Company2120" xfId="4384" xr:uid="{00000000-0005-0000-0000-000094020000}"/>
    <cellStyle name="_CurrencySpace_PRU04" xfId="4385" xr:uid="{00000000-0005-0000-0000-000095020000}"/>
    <cellStyle name="_CurrencySpace_Company2121" xfId="3324" xr:uid="{00000000-0005-0000-0000-000096020000}"/>
    <cellStyle name="_CurrencySpace_Company2125" xfId="3325" xr:uid="{00000000-0005-0000-0000-000097020000}"/>
    <cellStyle name="_CurrencySpace_RATLqtis" xfId="3326" xr:uid="{00000000-0005-0000-0000-000098020000}"/>
    <cellStyle name="_CurrencySpace_RBOC historicals" xfId="3327" xr:uid="{00000000-0005-0000-0000-000099020000}"/>
    <cellStyle name="_CurrencySpace_Risk1" xfId="3328" xr:uid="{00000000-0005-0000-0000-00009A020000}"/>
    <cellStyle name="_CurrencySpace_Risk2" xfId="3329" xr:uid="{00000000-0005-0000-0000-00009B020000}"/>
    <cellStyle name="_CurrencySpace_RiskReward" xfId="4386" xr:uid="{00000000-0005-0000-0000-00009C020000}"/>
    <cellStyle name="_CurrencySpace_Risks" xfId="3330" xr:uid="{00000000-0005-0000-0000-00009D020000}"/>
    <cellStyle name="_CurrencySpace_SFG" xfId="4387" xr:uid="{00000000-0005-0000-0000-00009E020000}"/>
    <cellStyle name="_CurrencySpace_Sheet1" xfId="3331" xr:uid="{00000000-0005-0000-0000-00009F020000}"/>
    <cellStyle name="_CurrencySpace_Sheet1_Disclaimer" xfId="3332" xr:uid="{00000000-0005-0000-0000-0000A0020000}"/>
    <cellStyle name="_CurrencySpace_Sheet1_Sheet2" xfId="3333" xr:uid="{00000000-0005-0000-0000-0000A1020000}"/>
    <cellStyle name="_CurrencySpace_SSP" xfId="256" xr:uid="{00000000-0005-0000-0000-0000A2020000}"/>
    <cellStyle name="_CurrencySpace_SSP 2" xfId="2240" xr:uid="{00000000-0005-0000-0000-0000A3020000}"/>
    <cellStyle name="_CurrencySpace_Stock-QTR1 FDS" xfId="4388" xr:uid="{00000000-0005-0000-0000-0000A4020000}"/>
    <cellStyle name="_CurrencySpace_T - new" xfId="3334" xr:uid="{00000000-0005-0000-0000-0000A5020000}"/>
    <cellStyle name="_CurrencySpace_Company2640" xfId="3335" xr:uid="{00000000-0005-0000-0000-0000A6020000}"/>
    <cellStyle name="_CurrencySpace_Company2661" xfId="4389" xr:uid="{00000000-0005-0000-0000-0000A7020000}"/>
    <cellStyle name="_CurrencySpace_Company2727" xfId="3336" xr:uid="{00000000-0005-0000-0000-0000A8020000}"/>
    <cellStyle name="_CurrencySpace_Updated Valuation Changes" xfId="4390" xr:uid="{00000000-0005-0000-0000-0000A9020000}"/>
    <cellStyle name="_CurrencySpace_Valuation Graphs" xfId="4391" xr:uid="{00000000-0005-0000-0000-0000AA020000}"/>
    <cellStyle name="_CurrencySpace_WPI" xfId="3337" xr:uid="{00000000-0005-0000-0000-0000AB020000}"/>
    <cellStyle name="_CurrencySpace_xratio - historical mkt val" xfId="4392" xr:uid="{00000000-0005-0000-0000-0000AC020000}"/>
    <cellStyle name="_DCF" xfId="257" xr:uid="{00000000-0005-0000-0000-0000AD020000}"/>
    <cellStyle name="_Dollar" xfId="4393" xr:uid="{00000000-0005-0000-0000-0000AE020000}"/>
    <cellStyle name="_EEEE" xfId="258" xr:uid="{00000000-0005-0000-0000-0000AF020000}"/>
    <cellStyle name="_EEEE_Company0320 DCF" xfId="259" xr:uid="{00000000-0005-0000-0000-0000B0020000}"/>
    <cellStyle name="_EEEE_Company0320 DCF 2" xfId="1899" xr:uid="{00000000-0005-0000-0000-0000B1020000}"/>
    <cellStyle name="_EEEE_Company0320 DCF_Income Statement" xfId="260" xr:uid="{00000000-0005-0000-0000-0000B2020000}"/>
    <cellStyle name="_EEEE_Company0320 DCF_Sales Model" xfId="261" xr:uid="{00000000-0005-0000-0000-0000B3020000}"/>
    <cellStyle name="_EEEE_Company0320 for Client" xfId="262" xr:uid="{00000000-0005-0000-0000-0000B4020000}"/>
    <cellStyle name="_EEEE_Company0320 for Client 2" xfId="1900" xr:uid="{00000000-0005-0000-0000-0000B5020000}"/>
    <cellStyle name="_EEEE_Company0320 for Client_Income Statement" xfId="263" xr:uid="{00000000-0005-0000-0000-0000B6020000}"/>
    <cellStyle name="_EEEE_Company0320 for Client_Sales Model" xfId="264" xr:uid="{00000000-0005-0000-0000-0000B7020000}"/>
    <cellStyle name="_EEEE_Company0320 working" xfId="265" xr:uid="{00000000-0005-0000-0000-0000B8020000}"/>
    <cellStyle name="_EEEE_Company0320 working 2" xfId="1901" xr:uid="{00000000-0005-0000-0000-0000B9020000}"/>
    <cellStyle name="_EEEE_Company0320 working_Income Statement" xfId="266" xr:uid="{00000000-0005-0000-0000-0000BA020000}"/>
    <cellStyle name="_EEEE_Company0320 working_Sales Model" xfId="267" xr:uid="{00000000-0005-0000-0000-0000BB020000}"/>
    <cellStyle name="_EEEE_CF" xfId="268" xr:uid="{00000000-0005-0000-0000-0000BC020000}"/>
    <cellStyle name="_EEEE_CF 2" xfId="1902" xr:uid="{00000000-0005-0000-0000-0000BD020000}"/>
    <cellStyle name="_EEEE_CF_Income Statement" xfId="269" xr:uid="{00000000-0005-0000-0000-0000BE020000}"/>
    <cellStyle name="_EEEE_CF_Sales Model" xfId="270" xr:uid="{00000000-0005-0000-0000-0000BF020000}"/>
    <cellStyle name="_EEEE_Check" xfId="271" xr:uid="{00000000-0005-0000-0000-0000C0020000}"/>
    <cellStyle name="_EEEE_Check 2" xfId="1903" xr:uid="{00000000-0005-0000-0000-0000C1020000}"/>
    <cellStyle name="_EEEE_Check_Income Statement" xfId="272" xr:uid="{00000000-0005-0000-0000-0000C2020000}"/>
    <cellStyle name="_EEEE_Check_Sales Model" xfId="273" xr:uid="{00000000-0005-0000-0000-0000C3020000}"/>
    <cellStyle name="_EEEE_Ticker0018 DCF" xfId="274" xr:uid="{00000000-0005-0000-0000-0000C4020000}"/>
    <cellStyle name="_EEEE_Ticker0018 DCF 2" xfId="1904" xr:uid="{00000000-0005-0000-0000-0000C5020000}"/>
    <cellStyle name="_EEEE_Ticker0018 DCF published 8.13.2009" xfId="275" xr:uid="{00000000-0005-0000-0000-0000C6020000}"/>
    <cellStyle name="_EEEE_Ticker0018 DCF published 8.13.2009 2" xfId="1905" xr:uid="{00000000-0005-0000-0000-0000C7020000}"/>
    <cellStyle name="_EEEE_Ticker0018 DCF published 8.13.2009_Income Statement" xfId="276" xr:uid="{00000000-0005-0000-0000-0000C8020000}"/>
    <cellStyle name="_EEEE_Ticker0018 DCF published 8.13.2009_Sales Model" xfId="277" xr:uid="{00000000-0005-0000-0000-0000C9020000}"/>
    <cellStyle name="_EEEE_Ticker0018 DCF_Income Statement" xfId="278" xr:uid="{00000000-0005-0000-0000-0000CA020000}"/>
    <cellStyle name="_EEEE_Ticker0018 DCF_Sales Model" xfId="279" xr:uid="{00000000-0005-0000-0000-0000CB020000}"/>
    <cellStyle name="_EEEE_LC Rx trend vs est" xfId="280" xr:uid="{00000000-0005-0000-0000-0000CC020000}"/>
    <cellStyle name="_EEEE_LC Rx trend vs est 2" xfId="1906" xr:uid="{00000000-0005-0000-0000-0000CD020000}"/>
    <cellStyle name="_EEEE_LC Rx trend vs est_Income Statement" xfId="281" xr:uid="{00000000-0005-0000-0000-0000CE020000}"/>
    <cellStyle name="_EEEE_LC Rx trend vs est_Sales Model" xfId="282" xr:uid="{00000000-0005-0000-0000-0000CF020000}"/>
    <cellStyle name="_EEEE_Company1562 working" xfId="283" xr:uid="{00000000-0005-0000-0000-0000D0020000}"/>
    <cellStyle name="_EEEE_Company1562 working 2" xfId="1907" xr:uid="{00000000-0005-0000-0000-0000D1020000}"/>
    <cellStyle name="_EEEE_Company1562 working_Income Statement" xfId="284" xr:uid="{00000000-0005-0000-0000-0000D2020000}"/>
    <cellStyle name="_EEEE_Company1562 working_Sales Model" xfId="285" xr:uid="{00000000-0005-0000-0000-0000D3020000}"/>
    <cellStyle name="_EEEE_Company2068 working" xfId="286" xr:uid="{00000000-0005-0000-0000-0000D4020000}"/>
    <cellStyle name="_EEEE_Company2068 working 2" xfId="1908" xr:uid="{00000000-0005-0000-0000-0000D5020000}"/>
    <cellStyle name="_EEEE_Company2068 working_Income Statement" xfId="287" xr:uid="{00000000-0005-0000-0000-0000D6020000}"/>
    <cellStyle name="_EEEE_Company2068 working_Sales Model" xfId="288" xr:uid="{00000000-0005-0000-0000-0000D7020000}"/>
    <cellStyle name="—_EM-HTI" xfId="3338" xr:uid="{00000000-0005-0000-0000-0000D8020000}"/>
    <cellStyle name="—_EM-HTI_Company0063_EROCE" xfId="3339" xr:uid="{00000000-0005-0000-0000-0000D9020000}"/>
    <cellStyle name="—_EM-HTI_Company2047_EROCE" xfId="3340" xr:uid="{00000000-0005-0000-0000-0000DA020000}"/>
    <cellStyle name="—_Company0854" xfId="3341" xr:uid="{00000000-0005-0000-0000-0000DB020000}"/>
    <cellStyle name="—_Company0855_old" xfId="3342" xr:uid="{00000000-0005-0000-0000-0000DC020000}"/>
    <cellStyle name="—_Company0855_old_EM-HTI" xfId="3343" xr:uid="{00000000-0005-0000-0000-0000DD020000}"/>
    <cellStyle name="—_Company0855_old_EM-HTI_Company0063_EROCE" xfId="3344" xr:uid="{00000000-0005-0000-0000-0000DE020000}"/>
    <cellStyle name="—_Company0855_old_EM-HTI_Company2047_EROCE" xfId="3345" xr:uid="{00000000-0005-0000-0000-0000DF020000}"/>
    <cellStyle name="_Euro" xfId="289" xr:uid="{00000000-0005-0000-0000-0000E0020000}"/>
    <cellStyle name="_Euro 2" xfId="2241" xr:uid="{00000000-0005-0000-0000-0000E1020000}"/>
    <cellStyle name="_Euro_Company0187 Model" xfId="290" xr:uid="{00000000-0005-0000-0000-0000E2020000}"/>
    <cellStyle name="_Euro_Book2" xfId="291" xr:uid="{00000000-0005-0000-0000-0000E3020000}"/>
    <cellStyle name="_Euro_Company0689" xfId="3346" xr:uid="{00000000-0005-0000-0000-0000E4020000}"/>
    <cellStyle name="_Euro_Request Template" xfId="3347" xr:uid="{00000000-0005-0000-0000-0000E5020000}"/>
    <cellStyle name="_GCI" xfId="292" xr:uid="{00000000-0005-0000-0000-0000E6020000}"/>
    <cellStyle name="_GCI 2" xfId="2242" xr:uid="{00000000-0005-0000-0000-0000E7020000}"/>
    <cellStyle name="—_Ticker0015 Assumptions-F" xfId="3348" xr:uid="{00000000-0005-0000-0000-0000E8020000}"/>
    <cellStyle name="—_Ticker0015_Balance" xfId="3349" xr:uid="{00000000-0005-0000-0000-0000E9020000}"/>
    <cellStyle name="—_Ticker0015_Cash " xfId="2898" xr:uid="{00000000-0005-0000-0000-0000EA020000}"/>
    <cellStyle name="—_Ticker0015_Cash  (2)" xfId="3350" xr:uid="{00000000-0005-0000-0000-0000EB020000}"/>
    <cellStyle name="—_Ticker0015_DCF" xfId="3351" xr:uid="{00000000-0005-0000-0000-0000EC020000}"/>
    <cellStyle name="_gs_nscn_internal" xfId="3352" xr:uid="{00000000-0005-0000-0000-0000ED020000}"/>
    <cellStyle name="—_Ticker0015_PNL" xfId="3353" xr:uid="{00000000-0005-0000-0000-0000EE020000}"/>
    <cellStyle name="_Heading" xfId="293" xr:uid="{00000000-0005-0000-0000-0000EF020000}"/>
    <cellStyle name="_Heading_ABC" xfId="3354" xr:uid="{00000000-0005-0000-0000-0000F0020000}"/>
    <cellStyle name="_Heading_Company0226" xfId="3355" xr:uid="{00000000-0005-0000-0000-0000F1020000}"/>
    <cellStyle name="_Heading_BLS" xfId="3356" xr:uid="{00000000-0005-0000-0000-0000F2020000}"/>
    <cellStyle name="_Heading_bls roic" xfId="3357" xr:uid="{00000000-0005-0000-0000-0000F3020000}"/>
    <cellStyle name="_Heading_Company0320 DCF" xfId="294" xr:uid="{00000000-0005-0000-0000-0000F4020000}"/>
    <cellStyle name="_Heading_Company0320 DCF 2" xfId="1909" xr:uid="{00000000-0005-0000-0000-0000F5020000}"/>
    <cellStyle name="_Heading_Company0320 DCF_Income Statement" xfId="295" xr:uid="{00000000-0005-0000-0000-0000F6020000}"/>
    <cellStyle name="_Heading_Company0320 DCF_Sales Model" xfId="296" xr:uid="{00000000-0005-0000-0000-0000F7020000}"/>
    <cellStyle name="_Heading_Company0320 for Client" xfId="297" xr:uid="{00000000-0005-0000-0000-0000F8020000}"/>
    <cellStyle name="_Heading_Company0320 for Client 2" xfId="1910" xr:uid="{00000000-0005-0000-0000-0000F9020000}"/>
    <cellStyle name="_Heading_Company0320 for Client_Income Statement" xfId="298" xr:uid="{00000000-0005-0000-0000-0000FA020000}"/>
    <cellStyle name="_Heading_Company0320 for Client_Sales Model" xfId="299" xr:uid="{00000000-0005-0000-0000-0000FB020000}"/>
    <cellStyle name="_Heading_Company0320 working" xfId="300" xr:uid="{00000000-0005-0000-0000-0000FC020000}"/>
    <cellStyle name="_Heading_Company0320 working 2" xfId="1911" xr:uid="{00000000-0005-0000-0000-0000FD020000}"/>
    <cellStyle name="_Heading_Company0320 working_Income Statement" xfId="301" xr:uid="{00000000-0005-0000-0000-0000FE020000}"/>
    <cellStyle name="_Heading_Company0320 working_Sales Model" xfId="302" xr:uid="{00000000-0005-0000-0000-0000FF020000}"/>
    <cellStyle name="_Heading_BNT" xfId="3358" xr:uid="{00000000-0005-0000-0000-000000030000}"/>
    <cellStyle name="_Heading_Book9" xfId="3359" xr:uid="{00000000-0005-0000-0000-000001030000}"/>
    <cellStyle name="_Heading_BRL" xfId="3360" xr:uid="{00000000-0005-0000-0000-000002030000}"/>
    <cellStyle name="_Heading_Broadband Comps" xfId="3361" xr:uid="{00000000-0005-0000-0000-000003030000}"/>
    <cellStyle name="_Heading_Company0353" xfId="3362" xr:uid="{00000000-0005-0000-0000-000004030000}"/>
    <cellStyle name="_Heading_Company0426" xfId="3363" xr:uid="{00000000-0005-0000-0000-000005030000}"/>
    <cellStyle name="_Heading_capital expenditures 6-18-02" xfId="3364" xr:uid="{00000000-0005-0000-0000-000006030000}"/>
    <cellStyle name="_Heading_Company0658 Health" xfId="3365" xr:uid="{00000000-0005-0000-0000-000007030000}"/>
    <cellStyle name="_Heading_CF" xfId="303" xr:uid="{00000000-0005-0000-0000-000008030000}"/>
    <cellStyle name="_Heading_CF &amp; BS" xfId="3366" xr:uid="{00000000-0005-0000-0000-000009030000}"/>
    <cellStyle name="_Heading_CF 10" xfId="6697" xr:uid="{00000000-0005-0000-0000-00000A030000}"/>
    <cellStyle name="_Heading_CF 11" xfId="8335" xr:uid="{00000000-0005-0000-0000-00000B030000}"/>
    <cellStyle name="_Heading_CF 12" xfId="8908" xr:uid="{00000000-0005-0000-0000-00000C030000}"/>
    <cellStyle name="_Heading_CF 13" xfId="8909" xr:uid="{00000000-0005-0000-0000-00000D030000}"/>
    <cellStyle name="_Heading_CF 14" xfId="23397" xr:uid="{00000000-0005-0000-0000-00000E030000}"/>
    <cellStyle name="_Heading_CF 2" xfId="1912" xr:uid="{00000000-0005-0000-0000-00000F030000}"/>
    <cellStyle name="_Heading_CF 3" xfId="4523" xr:uid="{00000000-0005-0000-0000-000010030000}"/>
    <cellStyle name="_Heading_CF 4" xfId="4560" xr:uid="{00000000-0005-0000-0000-000011030000}"/>
    <cellStyle name="_Heading_CF 5" xfId="4533" xr:uid="{00000000-0005-0000-0000-000012030000}"/>
    <cellStyle name="_Heading_CF 6" xfId="4875" xr:uid="{00000000-0005-0000-0000-000013030000}"/>
    <cellStyle name="_Heading_CF 7" xfId="4884" xr:uid="{00000000-0005-0000-0000-000014030000}"/>
    <cellStyle name="_Heading_CF 8" xfId="5497" xr:uid="{00000000-0005-0000-0000-000015030000}"/>
    <cellStyle name="_Heading_CF 9" xfId="5560" xr:uid="{00000000-0005-0000-0000-000016030000}"/>
    <cellStyle name="_Heading_CF_Income Statement" xfId="304" xr:uid="{00000000-0005-0000-0000-000017030000}"/>
    <cellStyle name="_Heading_CF_Sales Model" xfId="305" xr:uid="{00000000-0005-0000-0000-000018030000}"/>
    <cellStyle name="_Heading_Check" xfId="306" xr:uid="{00000000-0005-0000-0000-000019030000}"/>
    <cellStyle name="_Heading_Check 2" xfId="1913" xr:uid="{00000000-0005-0000-0000-00001A030000}"/>
    <cellStyle name="_Heading_Check_Sales Model" xfId="307" xr:uid="{00000000-0005-0000-0000-00001B030000}"/>
    <cellStyle name="_Heading_Company0689" xfId="3367" xr:uid="{00000000-0005-0000-0000-00001C030000}"/>
    <cellStyle name="_Heading_Cover page" xfId="3368" xr:uid="{00000000-0005-0000-0000-00001D030000}"/>
    <cellStyle name="_Heading_Company0619" xfId="3369" xr:uid="{00000000-0005-0000-0000-00001E030000}"/>
    <cellStyle name="_Heading_Company0882" xfId="3370" xr:uid="{00000000-0005-0000-0000-00001F030000}"/>
    <cellStyle name="_Heading_Ticker0015_Person1077_Company1295_7-23-09" xfId="3371" xr:uid="{00000000-0005-0000-0000-000020030000}"/>
    <cellStyle name="_Heading_Ticker0018 DCF" xfId="308" xr:uid="{00000000-0005-0000-0000-000021030000}"/>
    <cellStyle name="_Heading_Ticker0018 DCF 2" xfId="1914" xr:uid="{00000000-0005-0000-0000-000022030000}"/>
    <cellStyle name="_Heading_Ticker0018 DCF published 8.13.2009" xfId="309" xr:uid="{00000000-0005-0000-0000-000023030000}"/>
    <cellStyle name="_Heading_Ticker0018 DCF published 8.13.2009 2" xfId="1915" xr:uid="{00000000-0005-0000-0000-000024030000}"/>
    <cellStyle name="_Heading_Ticker0018 DCF published 8.13.2009_Sales Model" xfId="310" xr:uid="{00000000-0005-0000-0000-000025030000}"/>
    <cellStyle name="_Heading_Ticker0018 DCF_Sales Model" xfId="311" xr:uid="{00000000-0005-0000-0000-000026030000}"/>
    <cellStyle name="_Heading_Person0607" xfId="3372" xr:uid="{00000000-0005-0000-0000-000027030000}"/>
    <cellStyle name="_Heading_LC Rx trend vs est" xfId="312" xr:uid="{00000000-0005-0000-0000-000028030000}"/>
    <cellStyle name="_Heading_LC Rx trend vs est 2" xfId="1916" xr:uid="{00000000-0005-0000-0000-000029030000}"/>
    <cellStyle name="_Heading_LC Rx trend vs est_Sales Model" xfId="313" xr:uid="{00000000-0005-0000-0000-00002A030000}"/>
    <cellStyle name="_Heading_Company1562 working" xfId="314" xr:uid="{00000000-0005-0000-0000-00002B030000}"/>
    <cellStyle name="_Heading_Company1562 working 2" xfId="1917" xr:uid="{00000000-0005-0000-0000-00002C030000}"/>
    <cellStyle name="_Heading_Company1562 working_Sales Model" xfId="315" xr:uid="{00000000-0005-0000-0000-00002D030000}"/>
    <cellStyle name="_Heading_Person0704" xfId="3373" xr:uid="{00000000-0005-0000-0000-00002E030000}"/>
    <cellStyle name="_Heading_Company1761" xfId="3374" xr:uid="{00000000-0005-0000-0000-00002F030000}"/>
    <cellStyle name="_Heading_Company2068 working" xfId="316" xr:uid="{00000000-0005-0000-0000-000030030000}"/>
    <cellStyle name="_Heading_Company2068 working 2" xfId="1918" xr:uid="{00000000-0005-0000-0000-000031030000}"/>
    <cellStyle name="_Heading_Company2068 working_Sales Model" xfId="317" xr:uid="{00000000-0005-0000-0000-000032030000}"/>
    <cellStyle name="_Heading_prestemp" xfId="4394" xr:uid="{00000000-0005-0000-0000-000033030000}"/>
    <cellStyle name="_Heading_Company2110" xfId="3375" xr:uid="{00000000-0005-0000-0000-000034030000}"/>
    <cellStyle name="_Heading_Q" xfId="3376" xr:uid="{00000000-0005-0000-0000-000035030000}"/>
    <cellStyle name="_Heading_q - new guidance" xfId="3377" xr:uid="{00000000-0005-0000-0000-000036030000}"/>
    <cellStyle name="_Heading_q - valuation" xfId="3378" xr:uid="{00000000-0005-0000-0000-000037030000}"/>
    <cellStyle name="_Heading_Q model_041802" xfId="3379" xr:uid="{00000000-0005-0000-0000-000038030000}"/>
    <cellStyle name="_Heading_Q_update" xfId="3380" xr:uid="{00000000-0005-0000-0000-000039030000}"/>
    <cellStyle name="_Heading_Company2209 Analysis" xfId="3381" xr:uid="{00000000-0005-0000-0000-00003A030000}"/>
    <cellStyle name="_Heading_RBOC historicals" xfId="3382" xr:uid="{00000000-0005-0000-0000-00003B030000}"/>
    <cellStyle name="_Heading_Sheet1" xfId="3383" xr:uid="{00000000-0005-0000-0000-00003C030000}"/>
    <cellStyle name="_Heading_Person1077 - Company0395 3-15-2007" xfId="3384" xr:uid="{00000000-0005-0000-0000-00003D030000}"/>
    <cellStyle name="_Heading_T - new" xfId="3385" xr:uid="{00000000-0005-0000-0000-00003E030000}"/>
    <cellStyle name="_Heading_Company2640" xfId="3386" xr:uid="{00000000-0005-0000-0000-00003F030000}"/>
    <cellStyle name="_Heading_VZ" xfId="3387" xr:uid="{00000000-0005-0000-0000-000040030000}"/>
    <cellStyle name="_Heading_WPI" xfId="3388" xr:uid="{00000000-0005-0000-0000-000041030000}"/>
    <cellStyle name="_Headline" xfId="3389" xr:uid="{00000000-0005-0000-0000-000042030000}"/>
    <cellStyle name="_Highlight" xfId="318" xr:uid="{00000000-0005-0000-0000-000043030000}"/>
    <cellStyle name="_Highlight 2" xfId="2243" xr:uid="{00000000-0005-0000-0000-000044030000}"/>
    <cellStyle name="_Company1727" xfId="319" xr:uid="{00000000-0005-0000-0000-000045030000}"/>
    <cellStyle name="_Company1727_Company0320 DCF" xfId="320" xr:uid="{00000000-0005-0000-0000-000046030000}"/>
    <cellStyle name="_Company1727_Company0320 DCF 2" xfId="1919" xr:uid="{00000000-0005-0000-0000-000047030000}"/>
    <cellStyle name="_Company1727_Company0320 DCF_Sales Model" xfId="321" xr:uid="{00000000-0005-0000-0000-000048030000}"/>
    <cellStyle name="_Company1727_Company0320 for Client" xfId="322" xr:uid="{00000000-0005-0000-0000-000049030000}"/>
    <cellStyle name="_Company1727_Company0320 for Client 2" xfId="1920" xr:uid="{00000000-0005-0000-0000-00004A030000}"/>
    <cellStyle name="_Company1727_Company0320 for Client_Sales Model" xfId="323" xr:uid="{00000000-0005-0000-0000-00004B030000}"/>
    <cellStyle name="_Company1727_Company0320 working" xfId="324" xr:uid="{00000000-0005-0000-0000-00004C030000}"/>
    <cellStyle name="_Company1727_Company0320 working 2" xfId="1921" xr:uid="{00000000-0005-0000-0000-00004D030000}"/>
    <cellStyle name="_Company1727_Company0320 working_Sales Model" xfId="325" xr:uid="{00000000-0005-0000-0000-00004E030000}"/>
    <cellStyle name="_Company1727_CF" xfId="326" xr:uid="{00000000-0005-0000-0000-00004F030000}"/>
    <cellStyle name="_Company1727_CF 2" xfId="1922" xr:uid="{00000000-0005-0000-0000-000050030000}"/>
    <cellStyle name="_Company1727_CF_Sales Model" xfId="327" xr:uid="{00000000-0005-0000-0000-000051030000}"/>
    <cellStyle name="_Company1727_Check" xfId="328" xr:uid="{00000000-0005-0000-0000-000052030000}"/>
    <cellStyle name="_Company1727_Check 2" xfId="1923" xr:uid="{00000000-0005-0000-0000-000053030000}"/>
    <cellStyle name="_Company1727_Check_Sales Model" xfId="329" xr:uid="{00000000-0005-0000-0000-000054030000}"/>
    <cellStyle name="_Company1727_Ticker0018 DCF" xfId="330" xr:uid="{00000000-0005-0000-0000-000055030000}"/>
    <cellStyle name="_Company1727_Ticker0018 DCF 2" xfId="1924" xr:uid="{00000000-0005-0000-0000-000056030000}"/>
    <cellStyle name="_Company1727_Ticker0018 DCF published 8.13.2009" xfId="331" xr:uid="{00000000-0005-0000-0000-000057030000}"/>
    <cellStyle name="_Company1727_Ticker0018 DCF published 8.13.2009 2" xfId="1925" xr:uid="{00000000-0005-0000-0000-000058030000}"/>
    <cellStyle name="_Company1727_Ticker0018 DCF published 8.13.2009_Sales Model" xfId="332" xr:uid="{00000000-0005-0000-0000-000059030000}"/>
    <cellStyle name="_Company1727_Ticker0018 DCF_Sales Model" xfId="333" xr:uid="{00000000-0005-0000-0000-00005A030000}"/>
    <cellStyle name="_Company1727_LC Rx trend vs est" xfId="334" xr:uid="{00000000-0005-0000-0000-00005B030000}"/>
    <cellStyle name="_Company1727_LC Rx trend vs est 2" xfId="1926" xr:uid="{00000000-0005-0000-0000-00005C030000}"/>
    <cellStyle name="_Company1727_LC Rx trend vs est_Sales Model" xfId="335" xr:uid="{00000000-0005-0000-0000-00005D030000}"/>
    <cellStyle name="_Company1727_Company1562 working" xfId="336" xr:uid="{00000000-0005-0000-0000-00005E030000}"/>
    <cellStyle name="_Company1727_Company1562 working 2" xfId="1927" xr:uid="{00000000-0005-0000-0000-00005F030000}"/>
    <cellStyle name="_Company1727_Company1562 working_Sales Model" xfId="337" xr:uid="{00000000-0005-0000-0000-000060030000}"/>
    <cellStyle name="_Company1727_Company2068 working" xfId="338" xr:uid="{00000000-0005-0000-0000-000061030000}"/>
    <cellStyle name="_Company1727_Company2068 working 2" xfId="1928" xr:uid="{00000000-0005-0000-0000-000062030000}"/>
    <cellStyle name="_Company1727_Company2068 working_Sales Model" xfId="339" xr:uid="{00000000-0005-0000-0000-000063030000}"/>
    <cellStyle name="_msft-dcf" xfId="340" xr:uid="{00000000-0005-0000-0000-000064030000}"/>
    <cellStyle name="_Multiple" xfId="341" xr:uid="{00000000-0005-0000-0000-000065030000}"/>
    <cellStyle name="_Multiple 2" xfId="2244" xr:uid="{00000000-0005-0000-0000-000066030000}"/>
    <cellStyle name="_Multiple_01 adj for merger plan" xfId="4395" xr:uid="{00000000-0005-0000-0000-000067030000}"/>
    <cellStyle name="_Multiple_1 Product0221 24" xfId="342" xr:uid="{00000000-0005-0000-0000-000068030000}"/>
    <cellStyle name="_Multiple_1 Product0221 24 2" xfId="2245" xr:uid="{00000000-0005-0000-0000-000069030000}"/>
    <cellStyle name="_Multiple_1 Product0221 24_Company0187 Model" xfId="343" xr:uid="{00000000-0005-0000-0000-00006A030000}"/>
    <cellStyle name="_Multiple_1 Product0221 24_Book2" xfId="344" xr:uid="{00000000-0005-0000-0000-00006B030000}"/>
    <cellStyle name="_Multiple_1 Product0280" xfId="345" xr:uid="{00000000-0005-0000-0000-00006C030000}"/>
    <cellStyle name="_Multiple_1 Product0280 2" xfId="2246" xr:uid="{00000000-0005-0000-0000-00006D030000}"/>
    <cellStyle name="_Multiple_1 Product0280_Company0187 Model" xfId="346" xr:uid="{00000000-0005-0000-0000-00006E030000}"/>
    <cellStyle name="_Multiple_1 Product0280_Book2" xfId="347" xr:uid="{00000000-0005-0000-0000-00006F030000}"/>
    <cellStyle name="_Multiple_1 Product0406" xfId="348" xr:uid="{00000000-0005-0000-0000-000070030000}"/>
    <cellStyle name="_Multiple_1 Product0406 2" xfId="2247" xr:uid="{00000000-0005-0000-0000-000071030000}"/>
    <cellStyle name="_Multiple_1 Product0406_Company0187 Model" xfId="349" xr:uid="{00000000-0005-0000-0000-000072030000}"/>
    <cellStyle name="_Multiple_1 Product0406_Book2" xfId="350" xr:uid="{00000000-0005-0000-0000-000073030000}"/>
    <cellStyle name="_Multiple_4VAL DCF2" xfId="351" xr:uid="{00000000-0005-0000-0000-000074030000}"/>
    <cellStyle name="_Multiple_4VAL DCF2 2" xfId="2248" xr:uid="{00000000-0005-0000-0000-000075030000}"/>
    <cellStyle name="_Multiple_4VAL DCF2_Company0187 Model" xfId="352" xr:uid="{00000000-0005-0000-0000-000076030000}"/>
    <cellStyle name="_Multiple_4VAL DCF2_Book2" xfId="353" xr:uid="{00000000-0005-0000-0000-000077030000}"/>
    <cellStyle name="_Multiple_Company0187 Model" xfId="354" xr:uid="{00000000-0005-0000-0000-000078030000}"/>
    <cellStyle name="_Multiple_ABC" xfId="3390" xr:uid="{00000000-0005-0000-0000-000079030000}"/>
    <cellStyle name="_Multiple_Ability to Pay Analysis" xfId="4396" xr:uid="{00000000-0005-0000-0000-00007A030000}"/>
    <cellStyle name="_Multiple_Product0022" xfId="355" xr:uid="{00000000-0005-0000-0000-00007B030000}"/>
    <cellStyle name="_Multiple_Product0022 2" xfId="2249" xr:uid="{00000000-0005-0000-0000-00007C030000}"/>
    <cellStyle name="_Multiple_Product0022_Company0187 Model" xfId="356" xr:uid="{00000000-0005-0000-0000-00007D030000}"/>
    <cellStyle name="_Multiple_Product0022_Book2" xfId="357" xr:uid="{00000000-0005-0000-0000-00007E030000}"/>
    <cellStyle name="_Multiple_AFL" xfId="4397" xr:uid="{00000000-0005-0000-0000-00007F030000}"/>
    <cellStyle name="_Multiple_Product0030" xfId="358" xr:uid="{00000000-0005-0000-0000-000080030000}"/>
    <cellStyle name="_Multiple_Product0030 2" xfId="2250" xr:uid="{00000000-0005-0000-0000-000081030000}"/>
    <cellStyle name="_Multiple_Product0030_Company0187 Model" xfId="359" xr:uid="{00000000-0005-0000-0000-000082030000}"/>
    <cellStyle name="_Multiple_Product0030_Book2" xfId="360" xr:uid="{00000000-0005-0000-0000-000083030000}"/>
    <cellStyle name="_Multiple_Company0064" xfId="4398" xr:uid="{00000000-0005-0000-0000-000084030000}"/>
    <cellStyle name="_Multiple_Company0226" xfId="3391" xr:uid="{00000000-0005-0000-0000-000085030000}"/>
    <cellStyle name="_Multiple_Company0226_1" xfId="3392" xr:uid="{00000000-0005-0000-0000-000086030000}"/>
    <cellStyle name="_Multiple_AMP" xfId="4399" xr:uid="{00000000-0005-0000-0000-000087030000}"/>
    <cellStyle name="_Multiple_AMX1" xfId="3393" xr:uid="{00000000-0005-0000-0000-000088030000}"/>
    <cellStyle name="_Multiple_ANDAs" xfId="361" xr:uid="{00000000-0005-0000-0000-000089030000}"/>
    <cellStyle name="_Multiple_ANDAs 2" xfId="2251" xr:uid="{00000000-0005-0000-0000-00008A030000}"/>
    <cellStyle name="_Multiple_ANDAs summary sheet" xfId="362" xr:uid="{00000000-0005-0000-0000-00008B030000}"/>
    <cellStyle name="_Multiple_ANDAs summary sheet 2" xfId="2252" xr:uid="{00000000-0005-0000-0000-00008C030000}"/>
    <cellStyle name="_Multiple_ANDAs summary sheet_Company0187 Model" xfId="363" xr:uid="{00000000-0005-0000-0000-00008D030000}"/>
    <cellStyle name="_Multiple_ANDAs summary sheet_Book2" xfId="364" xr:uid="{00000000-0005-0000-0000-00008E030000}"/>
    <cellStyle name="_Multiple_ANDAs_Company0187 Model" xfId="365" xr:uid="{00000000-0005-0000-0000-00008F030000}"/>
    <cellStyle name="_Multiple_ANDAs_Book2" xfId="366" xr:uid="{00000000-0005-0000-0000-000090030000}"/>
    <cellStyle name="_Multiple_Company0106 Company0718" xfId="367" xr:uid="{00000000-0005-0000-0000-000091030000}"/>
    <cellStyle name="_Multiple_Company0106 Company0718 2" xfId="2253" xr:uid="{00000000-0005-0000-0000-000092030000}"/>
    <cellStyle name="_Multiple_Company0106 Company0718_Company0187 Model" xfId="368" xr:uid="{00000000-0005-0000-0000-000093030000}"/>
    <cellStyle name="_Multiple_Company0106 Company0718_Book2" xfId="369" xr:uid="{00000000-0005-0000-0000-000094030000}"/>
    <cellStyle name="_Multiple_Company0157" xfId="3394" xr:uid="{00000000-0005-0000-0000-000095030000}"/>
    <cellStyle name="_Multiple_Balance Sheet" xfId="4400" xr:uid="{00000000-0005-0000-0000-000096030000}"/>
    <cellStyle name="_Multiple_bls roic" xfId="3395" xr:uid="{00000000-0005-0000-0000-000097030000}"/>
    <cellStyle name="_Multiple_BNT" xfId="3396" xr:uid="{00000000-0005-0000-0000-000098030000}"/>
    <cellStyle name="_Multiple_Book1" xfId="4401" xr:uid="{00000000-0005-0000-0000-000099030000}"/>
    <cellStyle name="_Multiple_Book2" xfId="370" xr:uid="{00000000-0005-0000-0000-00009A030000}"/>
    <cellStyle name="_Multiple_Book29" xfId="4402" xr:uid="{00000000-0005-0000-0000-00009B030000}"/>
    <cellStyle name="_Multiple_Book3" xfId="4403" xr:uid="{00000000-0005-0000-0000-00009C030000}"/>
    <cellStyle name="_Multiple_Book3_1" xfId="4404" xr:uid="{00000000-0005-0000-0000-00009D030000}"/>
    <cellStyle name="_Multiple_BRL" xfId="3397" xr:uid="{00000000-0005-0000-0000-00009E030000}"/>
    <cellStyle name="_Multiple_Broadcasting" xfId="3398" xr:uid="{00000000-0005-0000-0000-00009F030000}"/>
    <cellStyle name="_Multiple_Company0353" xfId="3399" xr:uid="{00000000-0005-0000-0000-0000A0030000}"/>
    <cellStyle name="_Multiple_Company0426" xfId="3400" xr:uid="{00000000-0005-0000-0000-0000A1030000}"/>
    <cellStyle name="_Multiple_CAPEX spend" xfId="371" xr:uid="{00000000-0005-0000-0000-0000A2030000}"/>
    <cellStyle name="_Multiple_CAPEX spend 2" xfId="2254" xr:uid="{00000000-0005-0000-0000-0000A3030000}"/>
    <cellStyle name="_Multiple_CAPEX spend_Company0187 Model" xfId="372" xr:uid="{00000000-0005-0000-0000-0000A4030000}"/>
    <cellStyle name="_Multiple_CAPEX spend_Book2" xfId="373" xr:uid="{00000000-0005-0000-0000-0000A5030000}"/>
    <cellStyle name="_Multiple_capital expenditures 6-18-02" xfId="3401" xr:uid="{00000000-0005-0000-0000-0000A6030000}"/>
    <cellStyle name="_Multiple_Company0658 Health" xfId="3402" xr:uid="{00000000-0005-0000-0000-0000A7030000}"/>
    <cellStyle name="_Multiple_Company0525" xfId="3403" xr:uid="{00000000-0005-0000-0000-0000A8030000}"/>
    <cellStyle name="_Multiple_Company0529" xfId="4405" xr:uid="{00000000-0005-0000-0000-0000A9030000}"/>
    <cellStyle name="_Multiple_Company0689" xfId="3404" xr:uid="{00000000-0005-0000-0000-0000AA030000}"/>
    <cellStyle name="_Multiple_Consolidation" xfId="374" xr:uid="{00000000-0005-0000-0000-0000AB030000}"/>
    <cellStyle name="_Multiple_Consolidation 2" xfId="2255" xr:uid="{00000000-0005-0000-0000-0000AC030000}"/>
    <cellStyle name="_Multiple_Consolidation_Company0187 Model" xfId="375" xr:uid="{00000000-0005-0000-0000-0000AD030000}"/>
    <cellStyle name="_Multiple_Consolidation_Book2" xfId="376" xr:uid="{00000000-0005-0000-0000-0000AE030000}"/>
    <cellStyle name="_Multiple_Copy of Person1011 - WPI 06-17-2009" xfId="3405" xr:uid="{00000000-0005-0000-0000-0000AF030000}"/>
    <cellStyle name="_Multiple_Cover page" xfId="3406" xr:uid="{00000000-0005-0000-0000-0000B0030000}"/>
    <cellStyle name="_Multiple_CRL" xfId="3407" xr:uid="{00000000-0005-0000-0000-0000B1030000}"/>
    <cellStyle name="_Multiple_CRO 3Q group metrics 12-22-03 for reports" xfId="3408" xr:uid="{00000000-0005-0000-0000-0000B2030000}"/>
    <cellStyle name="_Multiple_CRO comp metrics 4Q03 2-18-04 send out" xfId="3409" xr:uid="{00000000-0005-0000-0000-0000B3030000}"/>
    <cellStyle name="_Multiple_CRO Comp Sheet V.2" xfId="3410" xr:uid="{00000000-0005-0000-0000-0000B4030000}"/>
    <cellStyle name="_Multiple_csc" xfId="3411" xr:uid="{00000000-0005-0000-0000-0000B5030000}"/>
    <cellStyle name="_Multiple_Company0634" xfId="3412" xr:uid="{00000000-0005-0000-0000-0000B6030000}"/>
    <cellStyle name="_Multiple_Data" xfId="3413" xr:uid="{00000000-0005-0000-0000-0000B7030000}"/>
    <cellStyle name="_Multiple_DCF Alexander Person0382" xfId="4406" xr:uid="{00000000-0005-0000-0000-0000B8030000}"/>
    <cellStyle name="_Multiple_Debt schedule" xfId="377" xr:uid="{00000000-0005-0000-0000-0000B9030000}"/>
    <cellStyle name="_Multiple_Debt schedule 2" xfId="2256" xr:uid="{00000000-0005-0000-0000-0000BA030000}"/>
    <cellStyle name="_Multiple_Debt schedule_Company0187 Model" xfId="378" xr:uid="{00000000-0005-0000-0000-0000BB030000}"/>
    <cellStyle name="_Multiple_Debt schedule_Book2" xfId="379" xr:uid="{00000000-0005-0000-0000-0000BC030000}"/>
    <cellStyle name="_Multiple_Company0757" xfId="3414" xr:uid="{00000000-0005-0000-0000-0000BD030000}"/>
    <cellStyle name="_Multiple_DSO" xfId="380" xr:uid="{00000000-0005-0000-0000-0000BE030000}"/>
    <cellStyle name="_Multiple_DSO 2" xfId="2257" xr:uid="{00000000-0005-0000-0000-0000BF030000}"/>
    <cellStyle name="_Multiple_DSO_Company0187 Model" xfId="381" xr:uid="{00000000-0005-0000-0000-0000C0030000}"/>
    <cellStyle name="_Multiple_DSO_Book2" xfId="382" xr:uid="{00000000-0005-0000-0000-0000C1030000}"/>
    <cellStyle name="_Multiple_EEEE" xfId="383" xr:uid="{00000000-0005-0000-0000-0000C2030000}"/>
    <cellStyle name="_Multiple_EEEE 2" xfId="2258" xr:uid="{00000000-0005-0000-0000-0000C3030000}"/>
    <cellStyle name="_Multiple_EEEE_Company0187 Model" xfId="384" xr:uid="{00000000-0005-0000-0000-0000C4030000}"/>
    <cellStyle name="_Multiple_EEEE_Book2" xfId="385" xr:uid="{00000000-0005-0000-0000-0000C5030000}"/>
    <cellStyle name="_Multiple_EPS revision" xfId="386" xr:uid="{00000000-0005-0000-0000-0000C6030000}"/>
    <cellStyle name="_Multiple_EPS revision 2" xfId="2259" xr:uid="{00000000-0005-0000-0000-0000C7030000}"/>
    <cellStyle name="_Multiple_EPS revision_Company0187 Model" xfId="387" xr:uid="{00000000-0005-0000-0000-0000C8030000}"/>
    <cellStyle name="_Multiple_EPS revision_Book2" xfId="388" xr:uid="{00000000-0005-0000-0000-0000C9030000}"/>
    <cellStyle name="_Multiple_EPS sensitivity" xfId="389" xr:uid="{00000000-0005-0000-0000-0000CA030000}"/>
    <cellStyle name="_Multiple_EPS sensitivity 2" xfId="2260" xr:uid="{00000000-0005-0000-0000-0000CB030000}"/>
    <cellStyle name="_Multiple_EPS sensitivity_Company0187 Model" xfId="390" xr:uid="{00000000-0005-0000-0000-0000CC030000}"/>
    <cellStyle name="_Multiple_EPS sensitivity_Book2" xfId="391" xr:uid="{00000000-0005-0000-0000-0000CD030000}"/>
    <cellStyle name="_Multiple_Company0882" xfId="3415" xr:uid="{00000000-0005-0000-0000-0000CE030000}"/>
    <cellStyle name="_Multiple_FBANDAs" xfId="392" xr:uid="{00000000-0005-0000-0000-0000CF030000}"/>
    <cellStyle name="_Multiple_FBANDAs 2" xfId="2261" xr:uid="{00000000-0005-0000-0000-0000D0030000}"/>
    <cellStyle name="_Multiple_FBANDAs_Company0187 Model" xfId="393" xr:uid="{00000000-0005-0000-0000-0000D1030000}"/>
    <cellStyle name="_Multiple_FBANDAs_Book2" xfId="394" xr:uid="{00000000-0005-0000-0000-0000D2030000}"/>
    <cellStyle name="_Multiple_Product0158" xfId="395" xr:uid="{00000000-0005-0000-0000-0000D3030000}"/>
    <cellStyle name="_Multiple_Product0158 2" xfId="2262" xr:uid="{00000000-0005-0000-0000-0000D4030000}"/>
    <cellStyle name="_Multiple_Product0158_Company0187 Model" xfId="396" xr:uid="{00000000-0005-0000-0000-0000D5030000}"/>
    <cellStyle name="_Multiple_Product0158_Book2" xfId="397" xr:uid="{00000000-0005-0000-0000-0000D6030000}"/>
    <cellStyle name="_Multiple_fmbi counties" xfId="4407" xr:uid="{00000000-0005-0000-0000-0000D7030000}"/>
    <cellStyle name="_Multiple_FMBI MBHI Graphs" xfId="4408" xr:uid="{00000000-0005-0000-0000-0000D8030000}"/>
    <cellStyle name="_Multiple_FMBI MBHI Graphs 07102001" xfId="4409" xr:uid="{00000000-0005-0000-0000-0000D9030000}"/>
    <cellStyle name="_Multiple_FMBI MBHI Graphs_7601" xfId="4410" xr:uid="{00000000-0005-0000-0000-0000DA030000}"/>
    <cellStyle name="_Multiple_For charts" xfId="398" xr:uid="{00000000-0005-0000-0000-0000DB030000}"/>
    <cellStyle name="_Multiple_For charts 2" xfId="2263" xr:uid="{00000000-0005-0000-0000-0000DC030000}"/>
    <cellStyle name="_Multiple_For charts_Company0187 Model" xfId="399" xr:uid="{00000000-0005-0000-0000-0000DD030000}"/>
    <cellStyle name="_Multiple_For charts_Book2" xfId="400" xr:uid="{00000000-0005-0000-0000-0000DE030000}"/>
    <cellStyle name="_Multiple_GCI" xfId="401" xr:uid="{00000000-0005-0000-0000-0000DF030000}"/>
    <cellStyle name="_Multiple_GCI 2" xfId="2264" xr:uid="{00000000-0005-0000-0000-0000E0030000}"/>
    <cellStyle name="_Multiple_GCI_Company0187 Model" xfId="402" xr:uid="{00000000-0005-0000-0000-0000E1030000}"/>
    <cellStyle name="_Multiple_GCI_Book2" xfId="403" xr:uid="{00000000-0005-0000-0000-0000E2030000}"/>
    <cellStyle name="_Multiple_Gen pipe" xfId="404" xr:uid="{00000000-0005-0000-0000-0000E3030000}"/>
    <cellStyle name="_Multiple_Gen pipe 2" xfId="2265" xr:uid="{00000000-0005-0000-0000-0000E4030000}"/>
    <cellStyle name="_Multiple_Gen pipe_Company0187 Model" xfId="405" xr:uid="{00000000-0005-0000-0000-0000E5030000}"/>
    <cellStyle name="_Multiple_Gen pipe_Book2" xfId="406" xr:uid="{00000000-0005-0000-0000-0000E6030000}"/>
    <cellStyle name="_Multiple_Generic impact charts" xfId="3416" xr:uid="{00000000-0005-0000-0000-0000E7030000}"/>
    <cellStyle name="_Multiple_Generic pharma valuation multiples 11-29-2007_cleared" xfId="3417" xr:uid="{00000000-0005-0000-0000-0000E8030000}"/>
    <cellStyle name="_Multiple_Company1093" xfId="4411" xr:uid="{00000000-0005-0000-0000-0000E9030000}"/>
    <cellStyle name="_Multiple_Gross Margin" xfId="407" xr:uid="{00000000-0005-0000-0000-0000EA030000}"/>
    <cellStyle name="_Multiple_Gross Margin 2" xfId="2266" xr:uid="{00000000-0005-0000-0000-0000EB030000}"/>
    <cellStyle name="_Multiple_Gross Margin_Company0187 Model" xfId="408" xr:uid="{00000000-0005-0000-0000-0000EC030000}"/>
    <cellStyle name="_Multiple_Gross Margin_Book2" xfId="409" xr:uid="{00000000-0005-0000-0000-0000ED030000}"/>
    <cellStyle name="_Multiple_Ticker0015_Person0752_Company0525_9-27" xfId="3418" xr:uid="{00000000-0005-0000-0000-0000EE030000}"/>
    <cellStyle name="_Multiple_Ticker0015_Person0752_CRL_4-1-05 RS" xfId="410" xr:uid="{00000000-0005-0000-0000-0000EF030000}"/>
    <cellStyle name="_Multiple_Ticker0015_Person0752_CRL_4-1-05 RS 2" xfId="2267" xr:uid="{00000000-0005-0000-0000-0000F0030000}"/>
    <cellStyle name="_Multiple_Ticker0015_Person0752_CRL_4-1-05 RS_Company0187 Model" xfId="411" xr:uid="{00000000-0005-0000-0000-0000F1030000}"/>
    <cellStyle name="_Multiple_Ticker0015_Person0752_CRL_4-1-05 RS_Book2" xfId="412" xr:uid="{00000000-0005-0000-0000-0000F2030000}"/>
    <cellStyle name="_Multiple_Ticker0015_Person0752_Company0634_9-27" xfId="3419" xr:uid="{00000000-0005-0000-0000-0000F3030000}"/>
    <cellStyle name="_Multiple_Ticker0015_Person0752_Company0757_9-27" xfId="3420" xr:uid="{00000000-0005-0000-0000-0000F4030000}"/>
    <cellStyle name="_Multiple_Ticker0015_Person0752_Company0882_9-27" xfId="3421" xr:uid="{00000000-0005-0000-0000-0000F5030000}"/>
    <cellStyle name="_Multiple_Ticker0015_Person0752_HLTH_9-27" xfId="3422" xr:uid="{00000000-0005-0000-0000-0000F6030000}"/>
    <cellStyle name="_Multiple_Ticker0015_Person0752_Company1215" xfId="3423" xr:uid="{00000000-0005-0000-0000-0000F7030000}"/>
    <cellStyle name="_Multiple_Ticker0015_Person0752_Company1295_9-28" xfId="3424" xr:uid="{00000000-0005-0000-0000-0000F8030000}"/>
    <cellStyle name="_Multiple_Ticker0015_Person0752_Person0704" xfId="3425" xr:uid="{00000000-0005-0000-0000-0000F9030000}"/>
    <cellStyle name="_Multiple_Ticker0015_Person0752_MHS_9-27" xfId="3426" xr:uid="{00000000-0005-0000-0000-0000FA030000}"/>
    <cellStyle name="_Multiple_Ticker0015_Person0752_Company1859_9-28-04" xfId="3427" xr:uid="{00000000-0005-0000-0000-0000FB030000}"/>
    <cellStyle name="_Multiple_Ticker0015_Person0752_Company2073_9-27" xfId="3428" xr:uid="{00000000-0005-0000-0000-0000FC030000}"/>
    <cellStyle name="_Multiple_Ticker0015_Person0755_Company2103_9-27" xfId="3429" xr:uid="{00000000-0005-0000-0000-0000FD030000}"/>
    <cellStyle name="_Multiple_Ticker0015_Person0752_Company2121-9-27" xfId="3430" xr:uid="{00000000-0005-0000-0000-0000FE030000}"/>
    <cellStyle name="_Multiple_Ticker0015_Person0752_Company2125_9-27" xfId="3431" xr:uid="{00000000-0005-0000-0000-0000FF030000}"/>
    <cellStyle name="_Multiple_Ticker0015_Company1678_ MASTER model 4-01-05 RS" xfId="413" xr:uid="{00000000-0005-0000-0000-000000040000}"/>
    <cellStyle name="_Multiple_Ticker0015_Company1678_ MASTER model 4-01-05 RS 2" xfId="2268" xr:uid="{00000000-0005-0000-0000-000001040000}"/>
    <cellStyle name="_Multiple_Ticker0015_Company1678_ MASTER model 4-01-05 RS_Company0187 Model" xfId="414" xr:uid="{00000000-0005-0000-0000-000002040000}"/>
    <cellStyle name="_Multiple_Ticker0015_Company1678_ MASTER model 4-01-05 RS_Book2" xfId="415" xr:uid="{00000000-0005-0000-0000-000003040000}"/>
    <cellStyle name="_Multiple_Healthcare_Services_Quarterly_preview cleared" xfId="3432" xr:uid="{00000000-0005-0000-0000-000004040000}"/>
    <cellStyle name="_Multiple_Henry Company2549" xfId="3433" xr:uid="{00000000-0005-0000-0000-000005040000}"/>
    <cellStyle name="_Multiple_HLTH" xfId="3434" xr:uid="{00000000-0005-0000-0000-000006040000}"/>
    <cellStyle name="_Multiple_Hospital Comp -10-24-05" xfId="3435" xr:uid="{00000000-0005-0000-0000-000007040000}"/>
    <cellStyle name="_Multiple_Company1215" xfId="3436" xr:uid="{00000000-0005-0000-0000-000008040000}"/>
    <cellStyle name="_Multiple_Indian companies" xfId="416" xr:uid="{00000000-0005-0000-0000-000009040000}"/>
    <cellStyle name="_Multiple_Indian companies 2" xfId="2269" xr:uid="{00000000-0005-0000-0000-00000A040000}"/>
    <cellStyle name="_Multiple_Indian companies_Company0187 Model" xfId="417" xr:uid="{00000000-0005-0000-0000-00000B040000}"/>
    <cellStyle name="_Multiple_Indian companies_Book2" xfId="418" xr:uid="{00000000-0005-0000-0000-00000C040000}"/>
    <cellStyle name="_Multiple_Industry P&amp;L 4_20_2006" xfId="3437" xr:uid="{00000000-0005-0000-0000-00000D040000}"/>
    <cellStyle name="_Multiple_Insurance Brokerage CSC_1Q2002" xfId="4412" xr:uid="{00000000-0005-0000-0000-00000E040000}"/>
    <cellStyle name="_Multiple_JP" xfId="4413" xr:uid="{00000000-0005-0000-0000-00000F040000}"/>
    <cellStyle name="_Multiple_Person0607" xfId="3438" xr:uid="{00000000-0005-0000-0000-000010040000}"/>
    <cellStyle name="_Multiple_Key poduct model" xfId="419" xr:uid="{00000000-0005-0000-0000-000011040000}"/>
    <cellStyle name="_Multiple_Key poduct model 2" xfId="2270" xr:uid="{00000000-0005-0000-0000-000012040000}"/>
    <cellStyle name="_Multiple_Key poduct model_Company0187 Model" xfId="420" xr:uid="{00000000-0005-0000-0000-000013040000}"/>
    <cellStyle name="_Multiple_Key poduct model_Book2" xfId="421" xr:uid="{00000000-0005-0000-0000-000014040000}"/>
    <cellStyle name="_Multiple_Key product model" xfId="3439" xr:uid="{00000000-0005-0000-0000-000015040000}"/>
    <cellStyle name="_Multiple_Company1474 valuation" xfId="3440" xr:uid="{00000000-0005-0000-0000-000016040000}"/>
    <cellStyle name="_Multiple_Company1563" xfId="4414" xr:uid="{00000000-0005-0000-0000-000017040000}"/>
    <cellStyle name="_Multiple_Product0221 24" xfId="422" xr:uid="{00000000-0005-0000-0000-000018040000}"/>
    <cellStyle name="_Multiple_Product0221 24 2" xfId="2271" xr:uid="{00000000-0005-0000-0000-000019040000}"/>
    <cellStyle name="_Multiple_Product0221 24_Company0187 Model" xfId="423" xr:uid="{00000000-0005-0000-0000-00001A040000}"/>
    <cellStyle name="_Multiple_Product0221 24_Book2" xfId="424" xr:uid="{00000000-0005-0000-0000-00001B040000}"/>
    <cellStyle name="_Multiple_major holders 5-04" xfId="425" xr:uid="{00000000-0005-0000-0000-00001C040000}"/>
    <cellStyle name="_Multiple_major holders 5-04 2" xfId="2272" xr:uid="{00000000-0005-0000-0000-00001D040000}"/>
    <cellStyle name="_Multiple_major holders 5-04_Company0187 Model" xfId="426" xr:uid="{00000000-0005-0000-0000-00001E040000}"/>
    <cellStyle name="_Multiple_major holders 5-04_Book2" xfId="427" xr:uid="{00000000-0005-0000-0000-00001F040000}"/>
    <cellStyle name="_Multiple_Master Comp V.6" xfId="3441" xr:uid="{00000000-0005-0000-0000-000020040000}"/>
    <cellStyle name="_Multiple_Master Comp V.6 WIP DO NOT USE" xfId="3442" xr:uid="{00000000-0005-0000-0000-000021040000}"/>
    <cellStyle name="_Multiple_MASTER VAL SHEET For Luanch 4_24_06" xfId="3443" xr:uid="{00000000-0005-0000-0000-000022040000}"/>
    <cellStyle name="_Multiple_Person0704" xfId="3444" xr:uid="{00000000-0005-0000-0000-000023040000}"/>
    <cellStyle name="_Multiple_Company1672" xfId="3445" xr:uid="{00000000-0005-0000-0000-000024040000}"/>
    <cellStyle name="_Multiple_Company1674" xfId="3446" xr:uid="{00000000-0005-0000-0000-000025040000}"/>
    <cellStyle name="_Multiple_Product0243 channel data" xfId="428" xr:uid="{00000000-0005-0000-0000-000026040000}"/>
    <cellStyle name="_Multiple_Product0243 channel data 2" xfId="2273" xr:uid="{00000000-0005-0000-0000-000027040000}"/>
    <cellStyle name="_Multiple_Product0243 channel data_Company0187 Model" xfId="429" xr:uid="{00000000-0005-0000-0000-000028040000}"/>
    <cellStyle name="_Multiple_Product0243 channel data_Book2" xfId="430" xr:uid="{00000000-0005-0000-0000-000029040000}"/>
    <cellStyle name="_Multiple_Product0243 ES estimates" xfId="431" xr:uid="{00000000-0005-0000-0000-00002A040000}"/>
    <cellStyle name="_Multiple_Product0243 ES estimates 2" xfId="2274" xr:uid="{00000000-0005-0000-0000-00002B040000}"/>
    <cellStyle name="_Multiple_Product0243 ES estimates_Company0187 Model" xfId="432" xr:uid="{00000000-0005-0000-0000-00002C040000}"/>
    <cellStyle name="_Multiple_Product0243 ES estimates_Book2" xfId="433" xr:uid="{00000000-0005-0000-0000-00002D040000}"/>
    <cellStyle name="_Multiple_Product0243 ES sales data" xfId="434" xr:uid="{00000000-0005-0000-0000-00002E040000}"/>
    <cellStyle name="_Multiple_Product0243 ES sales data 2" xfId="2275" xr:uid="{00000000-0005-0000-0000-00002F040000}"/>
    <cellStyle name="_Multiple_Product0243 ES sales data_Company0187 Model" xfId="435" xr:uid="{00000000-0005-0000-0000-000030040000}"/>
    <cellStyle name="_Multiple_Product0243 ES sales data_Book2" xfId="436" xr:uid="{00000000-0005-0000-0000-000031040000}"/>
    <cellStyle name="_Multiple_Product0243 Market IMS" xfId="437" xr:uid="{00000000-0005-0000-0000-000032040000}"/>
    <cellStyle name="_Multiple_Product0243 Market IMS 2" xfId="2276" xr:uid="{00000000-0005-0000-0000-000033040000}"/>
    <cellStyle name="_Multiple_Product0243 Market IMS_Company0187 Model" xfId="438" xr:uid="{00000000-0005-0000-0000-000034040000}"/>
    <cellStyle name="_Multiple_Product0243 Market IMS_Book2" xfId="439" xr:uid="{00000000-0005-0000-0000-000035040000}"/>
    <cellStyle name="_Multiple_Product0243 NRx weekly" xfId="440" xr:uid="{00000000-0005-0000-0000-000036040000}"/>
    <cellStyle name="_Multiple_Product0243 NRx weekly 2" xfId="2277" xr:uid="{00000000-0005-0000-0000-000037040000}"/>
    <cellStyle name="_Multiple_Product0243 NRx weekly_Company0187 Model" xfId="441" xr:uid="{00000000-0005-0000-0000-000038040000}"/>
    <cellStyle name="_Multiple_Product0243 NRx weekly_Book2" xfId="442" xr:uid="{00000000-0005-0000-0000-000039040000}"/>
    <cellStyle name="_Multiple_Product0243 TRx weekly" xfId="443" xr:uid="{00000000-0005-0000-0000-00003A040000}"/>
    <cellStyle name="_Multiple_Product0243 TRx weekly 2" xfId="2278" xr:uid="{00000000-0005-0000-0000-00003B040000}"/>
    <cellStyle name="_Multiple_Product0243 TRx weekly_Company0187 Model" xfId="444" xr:uid="{00000000-0005-0000-0000-00003C040000}"/>
    <cellStyle name="_Multiple_Product0243 TRx weekly_Book2" xfId="445" xr:uid="{00000000-0005-0000-0000-00003D040000}"/>
    <cellStyle name="_Multiple_MET" xfId="4415" xr:uid="{00000000-0005-0000-0000-00003E040000}"/>
    <cellStyle name="_Multiple_MET04" xfId="4416" xr:uid="{00000000-0005-0000-0000-00003F040000}"/>
    <cellStyle name="_Multiple_MHS" xfId="3447" xr:uid="{00000000-0005-0000-0000-000040040000}"/>
    <cellStyle name="_Multiple_Company1727" xfId="446" xr:uid="{00000000-0005-0000-0000-000041040000}"/>
    <cellStyle name="_Multiple_Company1727 2" xfId="2279" xr:uid="{00000000-0005-0000-0000-000042040000}"/>
    <cellStyle name="_Multiple_Company1727_Company0187 Model" xfId="447" xr:uid="{00000000-0005-0000-0000-000043040000}"/>
    <cellStyle name="_Multiple_Company1727_Book2" xfId="448" xr:uid="{00000000-0005-0000-0000-000044040000}"/>
    <cellStyle name="_Multiple_Company1761" xfId="3448" xr:uid="{00000000-0005-0000-0000-000045040000}"/>
    <cellStyle name="_Multiple_Company1874" xfId="4417" xr:uid="{00000000-0005-0000-0000-000046040000}"/>
    <cellStyle name="_Multiple_Company1961" xfId="3449" xr:uid="{00000000-0005-0000-0000-000047040000}"/>
    <cellStyle name="_Multiple_OldCompSheet 11-27-2006" xfId="3450" xr:uid="{00000000-0005-0000-0000-000048040000}"/>
    <cellStyle name="_Multiple_Overview3" xfId="4418" xr:uid="{00000000-0005-0000-0000-000049040000}"/>
    <cellStyle name="_Multiple_Company2073" xfId="3451" xr:uid="{00000000-0005-0000-0000-00004A040000}"/>
    <cellStyle name="_Multiple_phil data" xfId="4419" xr:uid="{00000000-0005-0000-0000-00004B040000}"/>
    <cellStyle name="_Multiple_Company2103" xfId="3452" xr:uid="{00000000-0005-0000-0000-00004C040000}"/>
    <cellStyle name="_Multiple_Company2110" xfId="3453" xr:uid="{00000000-0005-0000-0000-00004D040000}"/>
    <cellStyle name="_Multiple_Company2110 TEMPLATE 5-13-06" xfId="449" xr:uid="{00000000-0005-0000-0000-00004E040000}"/>
    <cellStyle name="_Multiple_Company2110 TEMPLATE 5-13-06 2" xfId="2280" xr:uid="{00000000-0005-0000-0000-00004F040000}"/>
    <cellStyle name="_Multiple_Company2110 TEMPLATE 5-13-06_Company0187 Model" xfId="450" xr:uid="{00000000-0005-0000-0000-000050040000}"/>
    <cellStyle name="_Multiple_Company2110 TEMPLATE 5-13-06_Book2" xfId="451" xr:uid="{00000000-0005-0000-0000-000051040000}"/>
    <cellStyle name="_Multiple_Price Performance Charts" xfId="4420" xr:uid="{00000000-0005-0000-0000-000052040000}"/>
    <cellStyle name="_Multiple_Price targets 3-4-2007-temp" xfId="3454" xr:uid="{00000000-0005-0000-0000-000053040000}"/>
    <cellStyle name="_Multiple_Company2120" xfId="4421" xr:uid="{00000000-0005-0000-0000-000054040000}"/>
    <cellStyle name="_Multiple_PRU04" xfId="4422" xr:uid="{00000000-0005-0000-0000-000055040000}"/>
    <cellStyle name="_Multiple_Company2121" xfId="3455" xr:uid="{00000000-0005-0000-0000-000056040000}"/>
    <cellStyle name="_Multiple_Company2125" xfId="3456" xr:uid="{00000000-0005-0000-0000-000057040000}"/>
    <cellStyle name="_Multiple_quarterly preview" xfId="452" xr:uid="{00000000-0005-0000-0000-000058040000}"/>
    <cellStyle name="_Multiple_quarterly preview 2" xfId="2281" xr:uid="{00000000-0005-0000-0000-000059040000}"/>
    <cellStyle name="_Multiple_quarterly preview_Company0187 Model" xfId="453" xr:uid="{00000000-0005-0000-0000-00005A040000}"/>
    <cellStyle name="_Multiple_quarterly preview_Book2" xfId="454" xr:uid="{00000000-0005-0000-0000-00005B040000}"/>
    <cellStyle name="_Multiple_RBOC historicals" xfId="3457" xr:uid="{00000000-0005-0000-0000-00005C040000}"/>
    <cellStyle name="_Multiple_Rev" xfId="455" xr:uid="{00000000-0005-0000-0000-00005D040000}"/>
    <cellStyle name="_Multiple_Rev 2" xfId="2282" xr:uid="{00000000-0005-0000-0000-00005E040000}"/>
    <cellStyle name="_Multiple_Rev_Company0187 Model" xfId="456" xr:uid="{00000000-0005-0000-0000-00005F040000}"/>
    <cellStyle name="_Multiple_Rev_Book2" xfId="457" xr:uid="{00000000-0005-0000-0000-000060040000}"/>
    <cellStyle name="_Multiple_Risk1" xfId="3458" xr:uid="{00000000-0005-0000-0000-000061040000}"/>
    <cellStyle name="_Multiple_Risk2" xfId="3459" xr:uid="{00000000-0005-0000-0000-000062040000}"/>
    <cellStyle name="_Multiple_RiskReward" xfId="4423" xr:uid="{00000000-0005-0000-0000-000063040000}"/>
    <cellStyle name="_Multiple_Risks" xfId="3460" xr:uid="{00000000-0005-0000-0000-000064040000}"/>
    <cellStyle name="_Multiple_ROE" xfId="458" xr:uid="{00000000-0005-0000-0000-000065040000}"/>
    <cellStyle name="_Multiple_ROE 2" xfId="2283" xr:uid="{00000000-0005-0000-0000-000066040000}"/>
    <cellStyle name="_Multiple_ROE_Company0187 Model" xfId="459" xr:uid="{00000000-0005-0000-0000-000067040000}"/>
    <cellStyle name="_Multiple_ROE_Book2" xfId="460" xr:uid="{00000000-0005-0000-0000-000068040000}"/>
    <cellStyle name="_Multiple_Product0362" xfId="461" xr:uid="{00000000-0005-0000-0000-000069040000}"/>
    <cellStyle name="_Multiple_Product0362 2" xfId="2284" xr:uid="{00000000-0005-0000-0000-00006A040000}"/>
    <cellStyle name="_Multiple_Product0362_Company0187 Model" xfId="462" xr:uid="{00000000-0005-0000-0000-00006B040000}"/>
    <cellStyle name="_Multiple_Product0362_Book2" xfId="463" xr:uid="{00000000-0005-0000-0000-00006C040000}"/>
    <cellStyle name="_Multiple_Segment breakout" xfId="464" xr:uid="{00000000-0005-0000-0000-00006D040000}"/>
    <cellStyle name="_Multiple_Segment breakout 2" xfId="2285" xr:uid="{00000000-0005-0000-0000-00006E040000}"/>
    <cellStyle name="_Multiple_Segment breakout_Company0187 Model" xfId="465" xr:uid="{00000000-0005-0000-0000-00006F040000}"/>
    <cellStyle name="_Multiple_Segment breakout_Book2" xfId="466" xr:uid="{00000000-0005-0000-0000-000070040000}"/>
    <cellStyle name="_Multiple_segment graph data" xfId="467" xr:uid="{00000000-0005-0000-0000-000071040000}"/>
    <cellStyle name="_Multiple_segment graph data 2" xfId="2286" xr:uid="{00000000-0005-0000-0000-000072040000}"/>
    <cellStyle name="_Multiple_segment graph data_Company0187 Model" xfId="468" xr:uid="{00000000-0005-0000-0000-000073040000}"/>
    <cellStyle name="_Multiple_segment graph data_Book2" xfId="469" xr:uid="{00000000-0005-0000-0000-000074040000}"/>
    <cellStyle name="_Multiple_SFG" xfId="4424" xr:uid="{00000000-0005-0000-0000-000075040000}"/>
    <cellStyle name="_Multiple_Sheet1" xfId="470" xr:uid="{00000000-0005-0000-0000-000076040000}"/>
    <cellStyle name="_Multiple_Sheet1 2" xfId="2287" xr:uid="{00000000-0005-0000-0000-000077040000}"/>
    <cellStyle name="_Multiple_Sheet1_Company0187 Model" xfId="471" xr:uid="{00000000-0005-0000-0000-000078040000}"/>
    <cellStyle name="_Multiple_Sheet1_Product0030" xfId="472" xr:uid="{00000000-0005-0000-0000-000079040000}"/>
    <cellStyle name="_Multiple_Sheet1_Product0030 2" xfId="2288" xr:uid="{00000000-0005-0000-0000-00007A040000}"/>
    <cellStyle name="_Multiple_Sheet1_Product0030_Company0187 Model" xfId="473" xr:uid="{00000000-0005-0000-0000-00007B040000}"/>
    <cellStyle name="_Multiple_Sheet1_Product0030_Book2" xfId="474" xr:uid="{00000000-0005-0000-0000-00007C040000}"/>
    <cellStyle name="_Multiple_Sheet1_Book2" xfId="475" xr:uid="{00000000-0005-0000-0000-00007D040000}"/>
    <cellStyle name="_Multiple_Sheet1_Company0426" xfId="3461" xr:uid="{00000000-0005-0000-0000-00007E040000}"/>
    <cellStyle name="_Multiple_Sheet1_Company0472 working" xfId="476" xr:uid="{00000000-0005-0000-0000-00007F040000}"/>
    <cellStyle name="_Multiple_Sheet1_Disclaimer" xfId="3462" xr:uid="{00000000-0005-0000-0000-000080040000}"/>
    <cellStyle name="_Multiple_Sheet1_Generic impact charts" xfId="3463" xr:uid="{00000000-0005-0000-0000-000081040000}"/>
    <cellStyle name="_Multiple_Sheet1_GQ" xfId="477" xr:uid="{00000000-0005-0000-0000-000082040000}"/>
    <cellStyle name="_Multiple_Sheet1_GQ 2" xfId="2289" xr:uid="{00000000-0005-0000-0000-000083040000}"/>
    <cellStyle name="_Multiple_Sheet1_GQ_Company0187 Model" xfId="478" xr:uid="{00000000-0005-0000-0000-000084040000}"/>
    <cellStyle name="_Multiple_Sheet1_GQ_Book2" xfId="479" xr:uid="{00000000-0005-0000-0000-000085040000}"/>
    <cellStyle name="_Multiple_Sheet1_Industry P&amp;L 4_20_2006" xfId="3464" xr:uid="{00000000-0005-0000-0000-000086040000}"/>
    <cellStyle name="_Multiple_Sheet1_IS" xfId="480" xr:uid="{00000000-0005-0000-0000-000087040000}"/>
    <cellStyle name="_Multiple_Sheet1_IS 2" xfId="2290" xr:uid="{00000000-0005-0000-0000-000088040000}"/>
    <cellStyle name="_Multiple_Sheet1_IS_Company0187 Model" xfId="481" xr:uid="{00000000-0005-0000-0000-000089040000}"/>
    <cellStyle name="_Multiple_Sheet1_IS_Book2" xfId="482" xr:uid="{00000000-0005-0000-0000-00008A040000}"/>
    <cellStyle name="_Multiple_Sheet1_Key poduct model" xfId="483" xr:uid="{00000000-0005-0000-0000-00008B040000}"/>
    <cellStyle name="_Multiple_Sheet1_Key poduct model 2" xfId="2291" xr:uid="{00000000-0005-0000-0000-00008C040000}"/>
    <cellStyle name="_Multiple_Sheet1_Key poduct model_Company0187 Model" xfId="484" xr:uid="{00000000-0005-0000-0000-00008D040000}"/>
    <cellStyle name="_Multiple_Sheet1_Key poduct model_Book2" xfId="485" xr:uid="{00000000-0005-0000-0000-00008E040000}"/>
    <cellStyle name="_Multiple_Sheet1_Key product model" xfId="3465" xr:uid="{00000000-0005-0000-0000-00008F040000}"/>
    <cellStyle name="_Multiple_Sheet1_Mainsheet - consolidated" xfId="486" xr:uid="{00000000-0005-0000-0000-000090040000}"/>
    <cellStyle name="_Multiple_Sheet1_Mainsheet - consolidated 2" xfId="2292" xr:uid="{00000000-0005-0000-0000-000091040000}"/>
    <cellStyle name="_Multiple_Sheet1_Mainsheet - consolidated_Company0187 Model" xfId="487" xr:uid="{00000000-0005-0000-0000-000092040000}"/>
    <cellStyle name="_Multiple_Sheet1_Mainsheet - consolidated_Book2" xfId="488" xr:uid="{00000000-0005-0000-0000-000093040000}"/>
    <cellStyle name="_Multiple_Sheet1_MASTER Person1077-WC 10-28-06 LAUNCH" xfId="489" xr:uid="{00000000-0005-0000-0000-000094040000}"/>
    <cellStyle name="_Multiple_Sheet1_MASTER Person1077-WC 10-28-06 LAUNCH 2" xfId="2293" xr:uid="{00000000-0005-0000-0000-000095040000}"/>
    <cellStyle name="_Multiple_Sheet1_MASTER Person1077-WC 10-28-06 LAUNCH_Company0187 Model" xfId="490" xr:uid="{00000000-0005-0000-0000-000096040000}"/>
    <cellStyle name="_Multiple_Sheet1_MASTER Person1077-WC 10-28-06 LAUNCH_Book2" xfId="491" xr:uid="{00000000-0005-0000-0000-000097040000}"/>
    <cellStyle name="_Multiple_Sheet1_MASTER VAL SHEET For Luanch 4_24_06" xfId="3466" xr:uid="{00000000-0005-0000-0000-000098040000}"/>
    <cellStyle name="_Multiple_Sheet1_Risk1" xfId="3467" xr:uid="{00000000-0005-0000-0000-000099040000}"/>
    <cellStyle name="_Multiple_Sheet1_Risk2" xfId="3468" xr:uid="{00000000-0005-0000-0000-00009A040000}"/>
    <cellStyle name="_Multiple_Sheet1_Risks" xfId="3469" xr:uid="{00000000-0005-0000-0000-00009B040000}"/>
    <cellStyle name="_Multiple_Sheet1_Company2376 working" xfId="492" xr:uid="{00000000-0005-0000-0000-00009C040000}"/>
    <cellStyle name="_Multiple_Sheet1_Sheet1" xfId="3470" xr:uid="{00000000-0005-0000-0000-00009D040000}"/>
    <cellStyle name="_Multiple_Sheet1_Sheet2" xfId="3471" xr:uid="{00000000-0005-0000-0000-00009E040000}"/>
    <cellStyle name="_Multiple_Sheet1_Sheet3" xfId="493" xr:uid="{00000000-0005-0000-0000-00009F040000}"/>
    <cellStyle name="_Multiple_Sheet1_Sheet3 2" xfId="2294" xr:uid="{00000000-0005-0000-0000-0000A0040000}"/>
    <cellStyle name="_Multiple_Sheet1_Sheet3_Company0187 Model" xfId="494" xr:uid="{00000000-0005-0000-0000-0000A1040000}"/>
    <cellStyle name="_Multiple_Sheet1_Sheet3_Book2" xfId="495" xr:uid="{00000000-0005-0000-0000-0000A2040000}"/>
    <cellStyle name="_Multiple_Sheet1_Sheet3_WC Product0280 forecast" xfId="496" xr:uid="{00000000-0005-0000-0000-0000A3040000}"/>
    <cellStyle name="_Multiple_Sheet1_Sheet3_WC Product0280 forecast 2" xfId="2295" xr:uid="{00000000-0005-0000-0000-0000A4040000}"/>
    <cellStyle name="_Multiple_Sheet1_Sheet3_WC Product0280 forecast_Company0187 Model" xfId="497" xr:uid="{00000000-0005-0000-0000-0000A5040000}"/>
    <cellStyle name="_Multiple_Sheet1_Sheet3_WC Product0280 forecast_Book2" xfId="498" xr:uid="{00000000-0005-0000-0000-0000A6040000}"/>
    <cellStyle name="_Multiple_Sheet1_Sheet4" xfId="3472" xr:uid="{00000000-0005-0000-0000-0000A7040000}"/>
    <cellStyle name="_Multiple_Sheet1_SPEC Rx trend vs est " xfId="499" xr:uid="{00000000-0005-0000-0000-0000A8040000}"/>
    <cellStyle name="_Multiple_Sheet1_SPEC Rx trend vs est  2" xfId="2296" xr:uid="{00000000-0005-0000-0000-0000A9040000}"/>
    <cellStyle name="_Multiple_Sheet1_SPEC Rx trend vs est  3" xfId="2297" xr:uid="{00000000-0005-0000-0000-0000AA040000}"/>
    <cellStyle name="_Multiple_Sheet1_SPEC Rx trend vs est _Company0187 Model" xfId="500" xr:uid="{00000000-0005-0000-0000-0000AB040000}"/>
    <cellStyle name="_Multiple_Sheet1_SPEC Rx trend vs est _Book2" xfId="501" xr:uid="{00000000-0005-0000-0000-0000AC040000}"/>
    <cellStyle name="_Multiple_Sheet1_Person1077 - Company0395 12-7-2006 FINAL" xfId="502" xr:uid="{00000000-0005-0000-0000-0000AD040000}"/>
    <cellStyle name="_Multiple_Sheet1_Person1077 - Company0395 12-7-2006 FINAL 2" xfId="2298" xr:uid="{00000000-0005-0000-0000-0000AE040000}"/>
    <cellStyle name="_Multiple_Sheet1_Person1077 - Company0395 12-7-2006 FINAL_Company0187 Model" xfId="503" xr:uid="{00000000-0005-0000-0000-0000AF040000}"/>
    <cellStyle name="_Multiple_Sheet1_Person1077 - Company0395 12-7-2006 FINAL_Book2" xfId="504" xr:uid="{00000000-0005-0000-0000-0000B0040000}"/>
    <cellStyle name="_Multiple_Sheet1_Sum of the parts 5-21-2007" xfId="3473" xr:uid="{00000000-0005-0000-0000-0000B1040000}"/>
    <cellStyle name="_Multiple_Sheet1_Template 1-9-2007" xfId="3474" xr:uid="{00000000-0005-0000-0000-0000B2040000}"/>
    <cellStyle name="_Multiple_Sheet1_WC Product0280 forecast" xfId="505" xr:uid="{00000000-0005-0000-0000-0000B3040000}"/>
    <cellStyle name="_Multiple_Sheet1_WC Product0280 forecast 2" xfId="2299" xr:uid="{00000000-0005-0000-0000-0000B4040000}"/>
    <cellStyle name="_Multiple_Sheet1_WC Product0280 forecast_Company0187 Model" xfId="506" xr:uid="{00000000-0005-0000-0000-0000B5040000}"/>
    <cellStyle name="_Multiple_Sheet1_WC Product0280 forecast_Book2" xfId="507" xr:uid="{00000000-0005-0000-0000-0000B6040000}"/>
    <cellStyle name="_Multiple_Sheet1_Company2931 working" xfId="508" xr:uid="{00000000-0005-0000-0000-0000B7040000}"/>
    <cellStyle name="_Multiple_Sheet1_Company2931 working 2" xfId="2300" xr:uid="{00000000-0005-0000-0000-0000B8040000}"/>
    <cellStyle name="_Multiple_Sheet1_Company2931 working_Company0187 Model" xfId="509" xr:uid="{00000000-0005-0000-0000-0000B9040000}"/>
    <cellStyle name="_Multiple_Sheet1_Company2931 working_Book2" xfId="510" xr:uid="{00000000-0005-0000-0000-0000BA040000}"/>
    <cellStyle name="_Multiple_Sheet13" xfId="511" xr:uid="{00000000-0005-0000-0000-0000BB040000}"/>
    <cellStyle name="_Multiple_Sheet13 2" xfId="2301" xr:uid="{00000000-0005-0000-0000-0000BC040000}"/>
    <cellStyle name="_Multiple_Sheet13_Company0187 Model" xfId="512" xr:uid="{00000000-0005-0000-0000-0000BD040000}"/>
    <cellStyle name="_Multiple_Sheet13_Book2" xfId="513" xr:uid="{00000000-0005-0000-0000-0000BE040000}"/>
    <cellStyle name="_Multiple_Sheet3" xfId="514" xr:uid="{00000000-0005-0000-0000-0000BF040000}"/>
    <cellStyle name="_Multiple_Sheet3 2" xfId="2302" xr:uid="{00000000-0005-0000-0000-0000C0040000}"/>
    <cellStyle name="_Multiple_Sheet3_Company0187 Model" xfId="515" xr:uid="{00000000-0005-0000-0000-0000C1040000}"/>
    <cellStyle name="_Multiple_Sheet3_Book2" xfId="516" xr:uid="{00000000-0005-0000-0000-0000C2040000}"/>
    <cellStyle name="_Multiple_Sheet4" xfId="3475" xr:uid="{00000000-0005-0000-0000-0000C3040000}"/>
    <cellStyle name="_Multiple_Sheet6" xfId="517" xr:uid="{00000000-0005-0000-0000-0000C4040000}"/>
    <cellStyle name="_Multiple_Sheet6 2" xfId="2303" xr:uid="{00000000-0005-0000-0000-0000C5040000}"/>
    <cellStyle name="_Multiple_Sheet6_Company0187 Model" xfId="518" xr:uid="{00000000-0005-0000-0000-0000C6040000}"/>
    <cellStyle name="_Multiple_Sheet6_Book2" xfId="519" xr:uid="{00000000-0005-0000-0000-0000C7040000}"/>
    <cellStyle name="_Multiple_Snapshot" xfId="520" xr:uid="{00000000-0005-0000-0000-0000C8040000}"/>
    <cellStyle name="_Multiple_Snapshot 2" xfId="2304" xr:uid="{00000000-0005-0000-0000-0000C9040000}"/>
    <cellStyle name="_Multiple_Snapshot_Company0187 Model" xfId="521" xr:uid="{00000000-0005-0000-0000-0000CA040000}"/>
    <cellStyle name="_Multiple_Snapshot_Book2" xfId="522" xr:uid="{00000000-0005-0000-0000-0000CB040000}"/>
    <cellStyle name="_Multiple_Special situation" xfId="523" xr:uid="{00000000-0005-0000-0000-0000CC040000}"/>
    <cellStyle name="_Multiple_Special situation 2" xfId="2305" xr:uid="{00000000-0005-0000-0000-0000CD040000}"/>
    <cellStyle name="_Multiple_Special situation_Company0187 Model" xfId="524" xr:uid="{00000000-0005-0000-0000-0000CE040000}"/>
    <cellStyle name="_Multiple_Special situation_Book2" xfId="525" xr:uid="{00000000-0005-0000-0000-0000CF040000}"/>
    <cellStyle name="_Multiple_SSP" xfId="526" xr:uid="{00000000-0005-0000-0000-0000D0040000}"/>
    <cellStyle name="_Multiple_SSP 2" xfId="2306" xr:uid="{00000000-0005-0000-0000-0000D1040000}"/>
    <cellStyle name="_Multiple_SSP_Company0187 Model" xfId="527" xr:uid="{00000000-0005-0000-0000-0000D2040000}"/>
    <cellStyle name="_Multiple_SSP_Book2" xfId="528" xr:uid="{00000000-0005-0000-0000-0000D3040000}"/>
    <cellStyle name="_Multiple_Person1011 - ABC 1-26-10" xfId="3476" xr:uid="{00000000-0005-0000-0000-0000D4040000}"/>
    <cellStyle name="_Multiple_Person1077 - Company0395 12-7-2006 FINAL" xfId="3477" xr:uid="{00000000-0005-0000-0000-0000D5040000}"/>
    <cellStyle name="_Multiple_Person1077 - Company0395 3-15-2007" xfId="3478" xr:uid="{00000000-0005-0000-0000-0000D6040000}"/>
    <cellStyle name="_Multiple_Person1077 - Company0395 3-25-2007" xfId="3479" xr:uid="{00000000-0005-0000-0000-0000D7040000}"/>
    <cellStyle name="_Multiple_Stock-QTR1 FDS" xfId="4425" xr:uid="{00000000-0005-0000-0000-0000D8040000}"/>
    <cellStyle name="_Multiple_Sum of the parts 5-21-2007" xfId="3480" xr:uid="{00000000-0005-0000-0000-0000D9040000}"/>
    <cellStyle name="_Multiple_symcqtis" xfId="3481" xr:uid="{00000000-0005-0000-0000-0000DA040000}"/>
    <cellStyle name="_Multiple_T - new" xfId="3482" xr:uid="{00000000-0005-0000-0000-0000DB040000}"/>
    <cellStyle name="_Multiple_Product0406 - dovonex" xfId="529" xr:uid="{00000000-0005-0000-0000-0000DC040000}"/>
    <cellStyle name="_Multiple_Product0406 - dovonex 2" xfId="2307" xr:uid="{00000000-0005-0000-0000-0000DD040000}"/>
    <cellStyle name="_Multiple_Product0406 - dovonex_Company0187 Model" xfId="530" xr:uid="{00000000-0005-0000-0000-0000DE040000}"/>
    <cellStyle name="_Multiple_Product0406 - dovonex_Book2" xfId="531" xr:uid="{00000000-0005-0000-0000-0000DF040000}"/>
    <cellStyle name="_Multiple_taro DSO 4-29-06" xfId="532" xr:uid="{00000000-0005-0000-0000-0000E0040000}"/>
    <cellStyle name="_Multiple_taro DSO 4-29-06 2" xfId="2308" xr:uid="{00000000-0005-0000-0000-0000E1040000}"/>
    <cellStyle name="_Multiple_taro DSO 4-29-06_Company0187 Model" xfId="533" xr:uid="{00000000-0005-0000-0000-0000E2040000}"/>
    <cellStyle name="_Multiple_taro DSO 4-29-06_Book2" xfId="534" xr:uid="{00000000-0005-0000-0000-0000E3040000}"/>
    <cellStyle name="_Multiple_Tearsheet" xfId="535" xr:uid="{00000000-0005-0000-0000-0000E4040000}"/>
    <cellStyle name="_Multiple_Tearsheet 2" xfId="2309" xr:uid="{00000000-0005-0000-0000-0000E5040000}"/>
    <cellStyle name="_Multiple_Tearsheet_Company0187 Model" xfId="536" xr:uid="{00000000-0005-0000-0000-0000E6040000}"/>
    <cellStyle name="_Multiple_Tearsheet_Book2" xfId="537" xr:uid="{00000000-0005-0000-0000-0000E7040000}"/>
    <cellStyle name="_Multiple_Template 1-9-2007" xfId="3483" xr:uid="{00000000-0005-0000-0000-0000E8040000}"/>
    <cellStyle name="_Multiple_Product0415" xfId="538" xr:uid="{00000000-0005-0000-0000-0000E9040000}"/>
    <cellStyle name="_Multiple_Product0415 2" xfId="2310" xr:uid="{00000000-0005-0000-0000-0000EA040000}"/>
    <cellStyle name="_Multiple_Product0415_Company0187 Model" xfId="539" xr:uid="{00000000-0005-0000-0000-0000EB040000}"/>
    <cellStyle name="_Multiple_Product0415_Book2" xfId="540" xr:uid="{00000000-0005-0000-0000-0000EC040000}"/>
    <cellStyle name="_Multiple_Company2640" xfId="3484" xr:uid="{00000000-0005-0000-0000-0000ED040000}"/>
    <cellStyle name="_Multiple_Company2758 - Qtrly IS" xfId="541" xr:uid="{00000000-0005-0000-0000-0000EE040000}"/>
    <cellStyle name="_Multiple_Company2758 - Qtrly IS 2" xfId="2311" xr:uid="{00000000-0005-0000-0000-0000EF040000}"/>
    <cellStyle name="_Multiple_Company2758 - Qtrly IS_Company0187 Model" xfId="542" xr:uid="{00000000-0005-0000-0000-0000F0040000}"/>
    <cellStyle name="_Multiple_Company2758 - Qtrly IS_Book2" xfId="543" xr:uid="{00000000-0005-0000-0000-0000F1040000}"/>
    <cellStyle name="_Multiple_Company2758 main sheet" xfId="544" xr:uid="{00000000-0005-0000-0000-0000F2040000}"/>
    <cellStyle name="_Multiple_Company2758 main sheet 2" xfId="2312" xr:uid="{00000000-0005-0000-0000-0000F3040000}"/>
    <cellStyle name="_Multiple_Company2758 main sheet_Company0187 Model" xfId="545" xr:uid="{00000000-0005-0000-0000-0000F4040000}"/>
    <cellStyle name="_Multiple_Company2758 main sheet_Book2" xfId="546" xr:uid="{00000000-0005-0000-0000-0000F5040000}"/>
    <cellStyle name="_Multiple_Company2661" xfId="4426" xr:uid="{00000000-0005-0000-0000-0000F6040000}"/>
    <cellStyle name="_Multiple_Company2727" xfId="3485" xr:uid="{00000000-0005-0000-0000-0000F7040000}"/>
    <cellStyle name="_Multiple_Updated Valuation Changes" xfId="4427" xr:uid="{00000000-0005-0000-0000-0000F8040000}"/>
    <cellStyle name="_Multiple_Valuation Graphs" xfId="4428" xr:uid="{00000000-0005-0000-0000-0000F9040000}"/>
    <cellStyle name="_Multiple_WC Product0280 forecast" xfId="547" xr:uid="{00000000-0005-0000-0000-0000FA040000}"/>
    <cellStyle name="_Multiple_WC Product0280 forecast 2" xfId="2313" xr:uid="{00000000-0005-0000-0000-0000FB040000}"/>
    <cellStyle name="_Multiple_WC Product0280 forecast_Company0187 Model" xfId="548" xr:uid="{00000000-0005-0000-0000-0000FC040000}"/>
    <cellStyle name="_Multiple_WC Product0280 forecast_Book2" xfId="549" xr:uid="{00000000-0005-0000-0000-0000FD040000}"/>
    <cellStyle name="_Multiple_WPI" xfId="3486" xr:uid="{00000000-0005-0000-0000-0000FE040000}"/>
    <cellStyle name="_Multiple_xratio - historical mkt val" xfId="4429" xr:uid="{00000000-0005-0000-0000-0000FF040000}"/>
    <cellStyle name="_MultipleSpace" xfId="550" xr:uid="{00000000-0005-0000-0000-000000050000}"/>
    <cellStyle name="_MultipleSpace 2" xfId="2314" xr:uid="{00000000-0005-0000-0000-000001050000}"/>
    <cellStyle name="_MultipleSpace_01 adj for merger plan" xfId="4430" xr:uid="{00000000-0005-0000-0000-000002050000}"/>
    <cellStyle name="_MultipleSpace_1 Product0221 24" xfId="551" xr:uid="{00000000-0005-0000-0000-000003050000}"/>
    <cellStyle name="_MultipleSpace_1 Product0221 24 2" xfId="2315" xr:uid="{00000000-0005-0000-0000-000004050000}"/>
    <cellStyle name="_MultipleSpace_1 Product0221 24_Company0187 Model" xfId="552" xr:uid="{00000000-0005-0000-0000-000005050000}"/>
    <cellStyle name="_MultipleSpace_1 Product0221 24_Book2" xfId="553" xr:uid="{00000000-0005-0000-0000-000006050000}"/>
    <cellStyle name="_MultipleSpace_1 Product0280" xfId="554" xr:uid="{00000000-0005-0000-0000-000007050000}"/>
    <cellStyle name="_MultipleSpace_1 Product0280 2" xfId="2316" xr:uid="{00000000-0005-0000-0000-000008050000}"/>
    <cellStyle name="_MultipleSpace_1 Product0280_Company0187 Model" xfId="555" xr:uid="{00000000-0005-0000-0000-000009050000}"/>
    <cellStyle name="_MultipleSpace_1 Product0280_Book2" xfId="556" xr:uid="{00000000-0005-0000-0000-00000A050000}"/>
    <cellStyle name="_MultipleSpace_1 Product0406" xfId="557" xr:uid="{00000000-0005-0000-0000-00000B050000}"/>
    <cellStyle name="_MultipleSpace_1 Product0406 2" xfId="2317" xr:uid="{00000000-0005-0000-0000-00000C050000}"/>
    <cellStyle name="_MultipleSpace_1 Product0406_Company0187 Model" xfId="558" xr:uid="{00000000-0005-0000-0000-00000D050000}"/>
    <cellStyle name="_MultipleSpace_1 Product0406_Book2" xfId="559" xr:uid="{00000000-0005-0000-0000-00000E050000}"/>
    <cellStyle name="_MultipleSpace_4VAL DCF2" xfId="560" xr:uid="{00000000-0005-0000-0000-00000F050000}"/>
    <cellStyle name="_MultipleSpace_4VAL DCF2 2" xfId="2318" xr:uid="{00000000-0005-0000-0000-000010050000}"/>
    <cellStyle name="_MultipleSpace_4VAL DCF2_Company0187 Model" xfId="561" xr:uid="{00000000-0005-0000-0000-000011050000}"/>
    <cellStyle name="_MultipleSpace_4VAL DCF2_Book2" xfId="562" xr:uid="{00000000-0005-0000-0000-000012050000}"/>
    <cellStyle name="_MultipleSpace_Company0187 Model" xfId="563" xr:uid="{00000000-0005-0000-0000-000013050000}"/>
    <cellStyle name="_MultipleSpace_ABC" xfId="3487" xr:uid="{00000000-0005-0000-0000-000014050000}"/>
    <cellStyle name="_MultipleSpace_Ability to Pay Analysis" xfId="4431" xr:uid="{00000000-0005-0000-0000-000015050000}"/>
    <cellStyle name="_MultipleSpace_Product0022" xfId="564" xr:uid="{00000000-0005-0000-0000-000016050000}"/>
    <cellStyle name="_MultipleSpace_Product0022 2" xfId="2319" xr:uid="{00000000-0005-0000-0000-000017050000}"/>
    <cellStyle name="_MultipleSpace_Product0022_Company0187 Model" xfId="565" xr:uid="{00000000-0005-0000-0000-000018050000}"/>
    <cellStyle name="_MultipleSpace_Product0022_Book2" xfId="566" xr:uid="{00000000-0005-0000-0000-000019050000}"/>
    <cellStyle name="_MultipleSpace_AFL" xfId="4432" xr:uid="{00000000-0005-0000-0000-00001A050000}"/>
    <cellStyle name="_MultipleSpace_Product0030" xfId="567" xr:uid="{00000000-0005-0000-0000-00001B050000}"/>
    <cellStyle name="_MultipleSpace_Product0030 2" xfId="2320" xr:uid="{00000000-0005-0000-0000-00001C050000}"/>
    <cellStyle name="_MultipleSpace_Product0030_Company0187 Model" xfId="568" xr:uid="{00000000-0005-0000-0000-00001D050000}"/>
    <cellStyle name="_MultipleSpace_Product0030_Book2" xfId="569" xr:uid="{00000000-0005-0000-0000-00001E050000}"/>
    <cellStyle name="_MultipleSpace_Company0064" xfId="4433" xr:uid="{00000000-0005-0000-0000-00001F050000}"/>
    <cellStyle name="_MultipleSpace_Company0226" xfId="3488" xr:uid="{00000000-0005-0000-0000-000020050000}"/>
    <cellStyle name="_MultipleSpace_Company0226_1" xfId="3489" xr:uid="{00000000-0005-0000-0000-000021050000}"/>
    <cellStyle name="_MultipleSpace_AMP" xfId="4434" xr:uid="{00000000-0005-0000-0000-000022050000}"/>
    <cellStyle name="_MultipleSpace_ANDAs" xfId="570" xr:uid="{00000000-0005-0000-0000-000023050000}"/>
    <cellStyle name="_MultipleSpace_ANDAs 2" xfId="2321" xr:uid="{00000000-0005-0000-0000-000024050000}"/>
    <cellStyle name="_MultipleSpace_ANDAs summary sheet" xfId="571" xr:uid="{00000000-0005-0000-0000-000025050000}"/>
    <cellStyle name="_MultipleSpace_ANDAs summary sheet 2" xfId="2322" xr:uid="{00000000-0005-0000-0000-000026050000}"/>
    <cellStyle name="_MultipleSpace_ANDAs summary sheet_Company0187 Model" xfId="572" xr:uid="{00000000-0005-0000-0000-000027050000}"/>
    <cellStyle name="_MultipleSpace_ANDAs summary sheet_Book2" xfId="573" xr:uid="{00000000-0005-0000-0000-000028050000}"/>
    <cellStyle name="_MultipleSpace_ANDAs_Company0187 Model" xfId="574" xr:uid="{00000000-0005-0000-0000-000029050000}"/>
    <cellStyle name="_MultipleSpace_ANDAs_Book2" xfId="575" xr:uid="{00000000-0005-0000-0000-00002A050000}"/>
    <cellStyle name="_MultipleSpace_Company0106 Company0718" xfId="576" xr:uid="{00000000-0005-0000-0000-00002B050000}"/>
    <cellStyle name="_MultipleSpace_Company0106 Company0718 2" xfId="2323" xr:uid="{00000000-0005-0000-0000-00002C050000}"/>
    <cellStyle name="_MultipleSpace_Company0106 Company0718_Company0187 Model" xfId="577" xr:uid="{00000000-0005-0000-0000-00002D050000}"/>
    <cellStyle name="_MultipleSpace_Company0106 Company0718_Book2" xfId="578" xr:uid="{00000000-0005-0000-0000-00002E050000}"/>
    <cellStyle name="_MultipleSpace_Company0157" xfId="3490" xr:uid="{00000000-0005-0000-0000-00002F050000}"/>
    <cellStyle name="_MultipleSpace_Balance Sheet" xfId="4435" xr:uid="{00000000-0005-0000-0000-000030050000}"/>
    <cellStyle name="_MultipleSpace_bls roic" xfId="3491" xr:uid="{00000000-0005-0000-0000-000031050000}"/>
    <cellStyle name="_MultipleSpace_BNT" xfId="3492" xr:uid="{00000000-0005-0000-0000-000032050000}"/>
    <cellStyle name="_MultipleSpace_Book1" xfId="4436" xr:uid="{00000000-0005-0000-0000-000033050000}"/>
    <cellStyle name="_MultipleSpace_Book2" xfId="579" xr:uid="{00000000-0005-0000-0000-000034050000}"/>
    <cellStyle name="_MultipleSpace_Book29" xfId="4437" xr:uid="{00000000-0005-0000-0000-000035050000}"/>
    <cellStyle name="_MultipleSpace_Book3" xfId="4438" xr:uid="{00000000-0005-0000-0000-000036050000}"/>
    <cellStyle name="_MultipleSpace_Book3_1" xfId="4439" xr:uid="{00000000-0005-0000-0000-000037050000}"/>
    <cellStyle name="_MultipleSpace_BRL" xfId="3493" xr:uid="{00000000-0005-0000-0000-000038050000}"/>
    <cellStyle name="_MultipleSpace_Broadcasting" xfId="3494" xr:uid="{00000000-0005-0000-0000-000039050000}"/>
    <cellStyle name="_MultipleSpace_Company0353" xfId="3495" xr:uid="{00000000-0005-0000-0000-00003A050000}"/>
    <cellStyle name="_MultipleSpace_Company0426" xfId="3496" xr:uid="{00000000-0005-0000-0000-00003B050000}"/>
    <cellStyle name="_MultipleSpace_CAPEX spend" xfId="580" xr:uid="{00000000-0005-0000-0000-00003C050000}"/>
    <cellStyle name="_MultipleSpace_CAPEX spend 2" xfId="2324" xr:uid="{00000000-0005-0000-0000-00003D050000}"/>
    <cellStyle name="_MultipleSpace_CAPEX spend_Company0187 Model" xfId="581" xr:uid="{00000000-0005-0000-0000-00003E050000}"/>
    <cellStyle name="_MultipleSpace_CAPEX spend_Book2" xfId="582" xr:uid="{00000000-0005-0000-0000-00003F050000}"/>
    <cellStyle name="_MultipleSpace_capital expenditures 6-18-02" xfId="3497" xr:uid="{00000000-0005-0000-0000-000040050000}"/>
    <cellStyle name="_MultipleSpace_Company0658 Health" xfId="3498" xr:uid="{00000000-0005-0000-0000-000041050000}"/>
    <cellStyle name="_MultipleSpace_Company0525" xfId="3499" xr:uid="{00000000-0005-0000-0000-000042050000}"/>
    <cellStyle name="_MultipleSpace_Company0529" xfId="4440" xr:uid="{00000000-0005-0000-0000-000043050000}"/>
    <cellStyle name="_MultipleSpace_Company0689" xfId="3500" xr:uid="{00000000-0005-0000-0000-000044050000}"/>
    <cellStyle name="_MultipleSpace_Consolidation" xfId="583" xr:uid="{00000000-0005-0000-0000-000045050000}"/>
    <cellStyle name="_MultipleSpace_Consolidation 2" xfId="2325" xr:uid="{00000000-0005-0000-0000-000046050000}"/>
    <cellStyle name="_MultipleSpace_Consolidation_Company0187 Model" xfId="584" xr:uid="{00000000-0005-0000-0000-000047050000}"/>
    <cellStyle name="_MultipleSpace_Consolidation_Book2" xfId="585" xr:uid="{00000000-0005-0000-0000-000048050000}"/>
    <cellStyle name="_MultipleSpace_Copy of Person1011 - WPI 06-17-2009" xfId="3501" xr:uid="{00000000-0005-0000-0000-000049050000}"/>
    <cellStyle name="_MultipleSpace_Cover page" xfId="3502" xr:uid="{00000000-0005-0000-0000-00004A050000}"/>
    <cellStyle name="_MultipleSpace_CRL" xfId="3503" xr:uid="{00000000-0005-0000-0000-00004B050000}"/>
    <cellStyle name="_MultipleSpace_CRO 3Q group metrics 12-22-03 for reports" xfId="3504" xr:uid="{00000000-0005-0000-0000-00004C050000}"/>
    <cellStyle name="_MultipleSpace_CRO comp metrics 4Q03 2-18-04 send out" xfId="3505" xr:uid="{00000000-0005-0000-0000-00004D050000}"/>
    <cellStyle name="_MultipleSpace_CRO Comp Sheet V.2" xfId="3506" xr:uid="{00000000-0005-0000-0000-00004E050000}"/>
    <cellStyle name="_MultipleSpace_csc" xfId="3507" xr:uid="{00000000-0005-0000-0000-00004F050000}"/>
    <cellStyle name="_MultipleSpace_Company0634" xfId="3508" xr:uid="{00000000-0005-0000-0000-000050050000}"/>
    <cellStyle name="_MultipleSpace_Data" xfId="3509" xr:uid="{00000000-0005-0000-0000-000051050000}"/>
    <cellStyle name="_MultipleSpace_DCF Alexander Person0382" xfId="4441" xr:uid="{00000000-0005-0000-0000-000052050000}"/>
    <cellStyle name="_MultipleSpace_Debt schedule" xfId="586" xr:uid="{00000000-0005-0000-0000-000053050000}"/>
    <cellStyle name="_MultipleSpace_Debt schedule 2" xfId="2326" xr:uid="{00000000-0005-0000-0000-000054050000}"/>
    <cellStyle name="_MultipleSpace_Debt schedule_Company0187 Model" xfId="587" xr:uid="{00000000-0005-0000-0000-000055050000}"/>
    <cellStyle name="_MultipleSpace_Debt schedule_Book2" xfId="588" xr:uid="{00000000-0005-0000-0000-000056050000}"/>
    <cellStyle name="_MultipleSpace_Company0757" xfId="3510" xr:uid="{00000000-0005-0000-0000-000057050000}"/>
    <cellStyle name="_MultipleSpace_DSO" xfId="589" xr:uid="{00000000-0005-0000-0000-000058050000}"/>
    <cellStyle name="_MultipleSpace_DSO 2" xfId="2327" xr:uid="{00000000-0005-0000-0000-000059050000}"/>
    <cellStyle name="_MultipleSpace_DSO_Company0187 Model" xfId="590" xr:uid="{00000000-0005-0000-0000-00005A050000}"/>
    <cellStyle name="_MultipleSpace_DSO_Book2" xfId="591" xr:uid="{00000000-0005-0000-0000-00005B050000}"/>
    <cellStyle name="_MultipleSpace_EEEE" xfId="592" xr:uid="{00000000-0005-0000-0000-00005C050000}"/>
    <cellStyle name="_MultipleSpace_EEEE 2" xfId="2328" xr:uid="{00000000-0005-0000-0000-00005D050000}"/>
    <cellStyle name="_MultipleSpace_EEEE_Company0187 Model" xfId="593" xr:uid="{00000000-0005-0000-0000-00005E050000}"/>
    <cellStyle name="_MultipleSpace_EEEE_Book2" xfId="594" xr:uid="{00000000-0005-0000-0000-00005F050000}"/>
    <cellStyle name="_MultipleSpace_EPS revision" xfId="595" xr:uid="{00000000-0005-0000-0000-000060050000}"/>
    <cellStyle name="_MultipleSpace_EPS revision 2" xfId="2329" xr:uid="{00000000-0005-0000-0000-000061050000}"/>
    <cellStyle name="_MultipleSpace_EPS revision_Company0187 Model" xfId="596" xr:uid="{00000000-0005-0000-0000-000062050000}"/>
    <cellStyle name="_MultipleSpace_EPS revision_Book2" xfId="597" xr:uid="{00000000-0005-0000-0000-000063050000}"/>
    <cellStyle name="_MultipleSpace_EPS sensitivity" xfId="598" xr:uid="{00000000-0005-0000-0000-000064050000}"/>
    <cellStyle name="_MultipleSpace_EPS sensitivity 2" xfId="2330" xr:uid="{00000000-0005-0000-0000-000065050000}"/>
    <cellStyle name="_MultipleSpace_EPS sensitivity_Company0187 Model" xfId="599" xr:uid="{00000000-0005-0000-0000-000066050000}"/>
    <cellStyle name="_MultipleSpace_EPS sensitivity_Book2" xfId="600" xr:uid="{00000000-0005-0000-0000-000067050000}"/>
    <cellStyle name="_MultipleSpace_Company0882" xfId="3511" xr:uid="{00000000-0005-0000-0000-000068050000}"/>
    <cellStyle name="_MultipleSpace_FBANDAs" xfId="601" xr:uid="{00000000-0005-0000-0000-000069050000}"/>
    <cellStyle name="_MultipleSpace_FBANDAs 2" xfId="2331" xr:uid="{00000000-0005-0000-0000-00006A050000}"/>
    <cellStyle name="_MultipleSpace_FBANDAs_Company0187 Model" xfId="602" xr:uid="{00000000-0005-0000-0000-00006B050000}"/>
    <cellStyle name="_MultipleSpace_FBANDAs_Book2" xfId="603" xr:uid="{00000000-0005-0000-0000-00006C050000}"/>
    <cellStyle name="_MultipleSpace_Product0158" xfId="604" xr:uid="{00000000-0005-0000-0000-00006D050000}"/>
    <cellStyle name="_MultipleSpace_Product0158 2" xfId="2332" xr:uid="{00000000-0005-0000-0000-00006E050000}"/>
    <cellStyle name="_MultipleSpace_Product0158_Company0187 Model" xfId="605" xr:uid="{00000000-0005-0000-0000-00006F050000}"/>
    <cellStyle name="_MultipleSpace_Product0158_Book2" xfId="606" xr:uid="{00000000-0005-0000-0000-000070050000}"/>
    <cellStyle name="_MultipleSpace_fmbi counties" xfId="4442" xr:uid="{00000000-0005-0000-0000-000071050000}"/>
    <cellStyle name="_MultipleSpace_FMBI MBHI Graphs" xfId="4443" xr:uid="{00000000-0005-0000-0000-000072050000}"/>
    <cellStyle name="_MultipleSpace_FMBI MBHI Graphs 07102001" xfId="4444" xr:uid="{00000000-0005-0000-0000-000073050000}"/>
    <cellStyle name="_MultipleSpace_FMBI MBHI Graphs_7601" xfId="4445" xr:uid="{00000000-0005-0000-0000-000074050000}"/>
    <cellStyle name="_MultipleSpace_For charts" xfId="607" xr:uid="{00000000-0005-0000-0000-000075050000}"/>
    <cellStyle name="_MultipleSpace_For charts 2" xfId="2333" xr:uid="{00000000-0005-0000-0000-000076050000}"/>
    <cellStyle name="_MultipleSpace_For charts_Company0187 Model" xfId="608" xr:uid="{00000000-0005-0000-0000-000077050000}"/>
    <cellStyle name="_MultipleSpace_For charts_Book2" xfId="609" xr:uid="{00000000-0005-0000-0000-000078050000}"/>
    <cellStyle name="_MultipleSpace_GCI" xfId="610" xr:uid="{00000000-0005-0000-0000-000079050000}"/>
    <cellStyle name="_MultipleSpace_GCI 2" xfId="2334" xr:uid="{00000000-0005-0000-0000-00007A050000}"/>
    <cellStyle name="_MultipleSpace_GCI_Company0187 Model" xfId="611" xr:uid="{00000000-0005-0000-0000-00007B050000}"/>
    <cellStyle name="_MultipleSpace_GCI_Book2" xfId="612" xr:uid="{00000000-0005-0000-0000-00007C050000}"/>
    <cellStyle name="_MultipleSpace_Gen pipe" xfId="613" xr:uid="{00000000-0005-0000-0000-00007D050000}"/>
    <cellStyle name="_MultipleSpace_Gen pipe 2" xfId="2335" xr:uid="{00000000-0005-0000-0000-00007E050000}"/>
    <cellStyle name="_MultipleSpace_Gen pipe_Company0187 Model" xfId="614" xr:uid="{00000000-0005-0000-0000-00007F050000}"/>
    <cellStyle name="_MultipleSpace_Gen pipe_Book2" xfId="615" xr:uid="{00000000-0005-0000-0000-000080050000}"/>
    <cellStyle name="_MultipleSpace_Generic impact charts" xfId="3512" xr:uid="{00000000-0005-0000-0000-000081050000}"/>
    <cellStyle name="_MultipleSpace_Generic pharma valuation multiples 11-29-2007_cleared" xfId="3513" xr:uid="{00000000-0005-0000-0000-000082050000}"/>
    <cellStyle name="_MultipleSpace_Company1093" xfId="4446" xr:uid="{00000000-0005-0000-0000-000083050000}"/>
    <cellStyle name="_MultipleSpace_Gross Margin" xfId="616" xr:uid="{00000000-0005-0000-0000-000084050000}"/>
    <cellStyle name="_MultipleSpace_Gross Margin 2" xfId="2336" xr:uid="{00000000-0005-0000-0000-000085050000}"/>
    <cellStyle name="_MultipleSpace_Gross Margin_Company0187 Model" xfId="617" xr:uid="{00000000-0005-0000-0000-000086050000}"/>
    <cellStyle name="_MultipleSpace_Gross Margin_Book2" xfId="618" xr:uid="{00000000-0005-0000-0000-000087050000}"/>
    <cellStyle name="_MultipleSpace_Ticker0015_Person0155_Company0610_mod (Working)" xfId="3514" xr:uid="{00000000-0005-0000-0000-000088050000}"/>
    <cellStyle name="_MultipleSpace_Ticker0015_Person0114_MOTMOD" xfId="3515" xr:uid="{00000000-0005-0000-0000-000089050000}"/>
    <cellStyle name="_MultipleSpace_Ticker0015_Person0752_Company0525_9-27" xfId="3516" xr:uid="{00000000-0005-0000-0000-00008A050000}"/>
    <cellStyle name="_MultipleSpace_Ticker0015_Person0752_CRL_4-1-05 RS" xfId="619" xr:uid="{00000000-0005-0000-0000-00008B050000}"/>
    <cellStyle name="_MultipleSpace_Ticker0015_Person0752_CRL_4-1-05 RS 2" xfId="2337" xr:uid="{00000000-0005-0000-0000-00008C050000}"/>
    <cellStyle name="_MultipleSpace_Ticker0015_Person0752_CRL_4-1-05 RS_Company0187 Model" xfId="620" xr:uid="{00000000-0005-0000-0000-00008D050000}"/>
    <cellStyle name="_MultipleSpace_Ticker0015_Person0752_CRL_4-1-05 RS_Book2" xfId="621" xr:uid="{00000000-0005-0000-0000-00008E050000}"/>
    <cellStyle name="_MultipleSpace_Ticker0015_Person0752_Company0634_9-27" xfId="3517" xr:uid="{00000000-0005-0000-0000-00008F050000}"/>
    <cellStyle name="_MultipleSpace_Ticker0015_Person0752_Company0757_9-27" xfId="3518" xr:uid="{00000000-0005-0000-0000-000090050000}"/>
    <cellStyle name="_MultipleSpace_Ticker0015_Person0752_Company0882_9-27" xfId="3519" xr:uid="{00000000-0005-0000-0000-000091050000}"/>
    <cellStyle name="_MultipleSpace_Ticker0015_Person0752_HLTH_9-27" xfId="3520" xr:uid="{00000000-0005-0000-0000-000092050000}"/>
    <cellStyle name="_MultipleSpace_Ticker0015_Person0752_Company1215" xfId="3521" xr:uid="{00000000-0005-0000-0000-000093050000}"/>
    <cellStyle name="_MultipleSpace_Ticker0015_Person0752_Company1295_9-28" xfId="3522" xr:uid="{00000000-0005-0000-0000-000094050000}"/>
    <cellStyle name="_MultipleSpace_Ticker0015_Person0752_Person0704" xfId="3523" xr:uid="{00000000-0005-0000-0000-000095050000}"/>
    <cellStyle name="_MultipleSpace_Ticker0015_Person0752_MHS_9-27" xfId="3524" xr:uid="{00000000-0005-0000-0000-000096050000}"/>
    <cellStyle name="_MultipleSpace_Ticker0015_Person0752_Company1859_9-28-04" xfId="3525" xr:uid="{00000000-0005-0000-0000-000097050000}"/>
    <cellStyle name="_MultipleSpace_Ticker0015_Person0752_Company2073_9-27" xfId="3526" xr:uid="{00000000-0005-0000-0000-000098050000}"/>
    <cellStyle name="_MultipleSpace_Ticker0015_Person0755_Company2103_9-27" xfId="3527" xr:uid="{00000000-0005-0000-0000-000099050000}"/>
    <cellStyle name="_MultipleSpace_Ticker0015_Person0752_Company2121-9-27" xfId="3528" xr:uid="{00000000-0005-0000-0000-00009A050000}"/>
    <cellStyle name="_MultipleSpace_Ticker0015_Person0752_Company2125_9-27" xfId="3529" xr:uid="{00000000-0005-0000-0000-00009B050000}"/>
    <cellStyle name="_MultipleSpace_Ticker0015_Company1678_ MASTER model 4-01-05 RS" xfId="622" xr:uid="{00000000-0005-0000-0000-00009C050000}"/>
    <cellStyle name="_MultipleSpace_Ticker0015_Company1678_ MASTER model 4-01-05 RS 2" xfId="2338" xr:uid="{00000000-0005-0000-0000-00009D050000}"/>
    <cellStyle name="_MultipleSpace_Ticker0015_Company1678_ MASTER model 4-01-05 RS_Company0187 Model" xfId="623" xr:uid="{00000000-0005-0000-0000-00009E050000}"/>
    <cellStyle name="_MultipleSpace_Ticker0015_Company1678_ MASTER model 4-01-05 RS_Book2" xfId="624" xr:uid="{00000000-0005-0000-0000-00009F050000}"/>
    <cellStyle name="_MultipleSpace_Healthcare_Services_Quarterly_preview cleared" xfId="3530" xr:uid="{00000000-0005-0000-0000-0000A0050000}"/>
    <cellStyle name="_MultipleSpace_Henry Company2549" xfId="3531" xr:uid="{00000000-0005-0000-0000-0000A1050000}"/>
    <cellStyle name="_MultipleSpace_HLTH" xfId="3532" xr:uid="{00000000-0005-0000-0000-0000A2050000}"/>
    <cellStyle name="_MultipleSpace_Hospital Comp -10-24-05" xfId="3533" xr:uid="{00000000-0005-0000-0000-0000A3050000}"/>
    <cellStyle name="_MultipleSpace_Company1215" xfId="3534" xr:uid="{00000000-0005-0000-0000-0000A4050000}"/>
    <cellStyle name="_MultipleSpace_Indian companies" xfId="625" xr:uid="{00000000-0005-0000-0000-0000A5050000}"/>
    <cellStyle name="_MultipleSpace_Indian companies 2" xfId="2339" xr:uid="{00000000-0005-0000-0000-0000A6050000}"/>
    <cellStyle name="_MultipleSpace_Indian companies_Company0187 Model" xfId="626" xr:uid="{00000000-0005-0000-0000-0000A7050000}"/>
    <cellStyle name="_MultipleSpace_Indian companies_Book2" xfId="627" xr:uid="{00000000-0005-0000-0000-0000A8050000}"/>
    <cellStyle name="_MultipleSpace_Industry P&amp;L 4_20_2006" xfId="3535" xr:uid="{00000000-0005-0000-0000-0000A9050000}"/>
    <cellStyle name="_MultipleSpace_Insurance Brokerage CSC_1Q2002" xfId="4447" xr:uid="{00000000-0005-0000-0000-0000AA050000}"/>
    <cellStyle name="_MultipleSpace_JP" xfId="4448" xr:uid="{00000000-0005-0000-0000-0000AB050000}"/>
    <cellStyle name="_MultipleSpace_Person0607" xfId="3536" xr:uid="{00000000-0005-0000-0000-0000AC050000}"/>
    <cellStyle name="_MultipleSpace_Key Drivers Company0099 and Company0916" xfId="3537" xr:uid="{00000000-0005-0000-0000-0000AD050000}"/>
    <cellStyle name="_MultipleSpace_Key poduct model" xfId="628" xr:uid="{00000000-0005-0000-0000-0000AE050000}"/>
    <cellStyle name="_MultipleSpace_Key poduct model 2" xfId="2340" xr:uid="{00000000-0005-0000-0000-0000AF050000}"/>
    <cellStyle name="_MultipleSpace_Key poduct model_Company0187 Model" xfId="629" xr:uid="{00000000-0005-0000-0000-0000B0050000}"/>
    <cellStyle name="_MultipleSpace_Key poduct model_Book2" xfId="630" xr:uid="{00000000-0005-0000-0000-0000B1050000}"/>
    <cellStyle name="_MultipleSpace_Key product model" xfId="3538" xr:uid="{00000000-0005-0000-0000-0000B2050000}"/>
    <cellStyle name="_MultipleSpace_Company1474 valuation" xfId="3539" xr:uid="{00000000-0005-0000-0000-0000B3050000}"/>
    <cellStyle name="_MultipleSpace_Company1563" xfId="4449" xr:uid="{00000000-0005-0000-0000-0000B4050000}"/>
    <cellStyle name="_MultipleSpace_Product0221 24" xfId="631" xr:uid="{00000000-0005-0000-0000-0000B5050000}"/>
    <cellStyle name="_MultipleSpace_Product0221 24 2" xfId="2341" xr:uid="{00000000-0005-0000-0000-0000B6050000}"/>
    <cellStyle name="_MultipleSpace_Product0221 24_Company0187 Model" xfId="632" xr:uid="{00000000-0005-0000-0000-0000B7050000}"/>
    <cellStyle name="_MultipleSpace_Product0221 24_Book2" xfId="633" xr:uid="{00000000-0005-0000-0000-0000B8050000}"/>
    <cellStyle name="_MultipleSpace_major holders 5-04" xfId="634" xr:uid="{00000000-0005-0000-0000-0000B9050000}"/>
    <cellStyle name="_MultipleSpace_major holders 5-04 2" xfId="2342" xr:uid="{00000000-0005-0000-0000-0000BA050000}"/>
    <cellStyle name="_MultipleSpace_major holders 5-04_Company0187 Model" xfId="635" xr:uid="{00000000-0005-0000-0000-0000BB050000}"/>
    <cellStyle name="_MultipleSpace_major holders 5-04_Book2" xfId="636" xr:uid="{00000000-0005-0000-0000-0000BC050000}"/>
    <cellStyle name="_MultipleSpace_Master Comp V.6" xfId="3540" xr:uid="{00000000-0005-0000-0000-0000BD050000}"/>
    <cellStyle name="_MultipleSpace_Master Comp V.6 WIP DO NOT USE" xfId="3541" xr:uid="{00000000-0005-0000-0000-0000BE050000}"/>
    <cellStyle name="_MultipleSpace_MASTER VAL SHEET For Luanch 4_24_06" xfId="3542" xr:uid="{00000000-0005-0000-0000-0000BF050000}"/>
    <cellStyle name="_MultipleSpace_Person0704" xfId="3543" xr:uid="{00000000-0005-0000-0000-0000C0050000}"/>
    <cellStyle name="_MultipleSpace_Company1672" xfId="3544" xr:uid="{00000000-0005-0000-0000-0000C1050000}"/>
    <cellStyle name="_MultipleSpace_Company1674" xfId="3545" xr:uid="{00000000-0005-0000-0000-0000C2050000}"/>
    <cellStyle name="_MultipleSpace_Product0243 channel data" xfId="637" xr:uid="{00000000-0005-0000-0000-0000C3050000}"/>
    <cellStyle name="_MultipleSpace_Product0243 channel data 2" xfId="2343" xr:uid="{00000000-0005-0000-0000-0000C4050000}"/>
    <cellStyle name="_MultipleSpace_Product0243 channel data_Company0187 Model" xfId="638" xr:uid="{00000000-0005-0000-0000-0000C5050000}"/>
    <cellStyle name="_MultipleSpace_Product0243 channel data_Book2" xfId="639" xr:uid="{00000000-0005-0000-0000-0000C6050000}"/>
    <cellStyle name="_MultipleSpace_Product0243 ES estimates" xfId="640" xr:uid="{00000000-0005-0000-0000-0000C7050000}"/>
    <cellStyle name="_MultipleSpace_Product0243 ES estimates 2" xfId="2344" xr:uid="{00000000-0005-0000-0000-0000C8050000}"/>
    <cellStyle name="_MultipleSpace_Product0243 ES estimates_Company0187 Model" xfId="641" xr:uid="{00000000-0005-0000-0000-0000C9050000}"/>
    <cellStyle name="_MultipleSpace_Product0243 ES estimates_Book2" xfId="642" xr:uid="{00000000-0005-0000-0000-0000CA050000}"/>
    <cellStyle name="_MultipleSpace_Product0243 ES sales data" xfId="643" xr:uid="{00000000-0005-0000-0000-0000CB050000}"/>
    <cellStyle name="_MultipleSpace_Product0243 ES sales data 2" xfId="2345" xr:uid="{00000000-0005-0000-0000-0000CC050000}"/>
    <cellStyle name="_MultipleSpace_Product0243 ES sales data_Company0187 Model" xfId="644" xr:uid="{00000000-0005-0000-0000-0000CD050000}"/>
    <cellStyle name="_MultipleSpace_Product0243 ES sales data_Book2" xfId="645" xr:uid="{00000000-0005-0000-0000-0000CE050000}"/>
    <cellStyle name="_MultipleSpace_Product0243 Market IMS" xfId="646" xr:uid="{00000000-0005-0000-0000-0000CF050000}"/>
    <cellStyle name="_MultipleSpace_Product0243 Market IMS 2" xfId="2346" xr:uid="{00000000-0005-0000-0000-0000D0050000}"/>
    <cellStyle name="_MultipleSpace_Product0243 Market IMS_Company0187 Model" xfId="647" xr:uid="{00000000-0005-0000-0000-0000D1050000}"/>
    <cellStyle name="_MultipleSpace_Product0243 Market IMS_Book2" xfId="648" xr:uid="{00000000-0005-0000-0000-0000D2050000}"/>
    <cellStyle name="_MultipleSpace_Product0243 NRx weekly" xfId="649" xr:uid="{00000000-0005-0000-0000-0000D3050000}"/>
    <cellStyle name="_MultipleSpace_Product0243 NRx weekly 2" xfId="2347" xr:uid="{00000000-0005-0000-0000-0000D4050000}"/>
    <cellStyle name="_MultipleSpace_Product0243 NRx weekly_Company0187 Model" xfId="650" xr:uid="{00000000-0005-0000-0000-0000D5050000}"/>
    <cellStyle name="_MultipleSpace_Product0243 NRx weekly_Book2" xfId="651" xr:uid="{00000000-0005-0000-0000-0000D6050000}"/>
    <cellStyle name="_MultipleSpace_Product0243 TRx weekly" xfId="652" xr:uid="{00000000-0005-0000-0000-0000D7050000}"/>
    <cellStyle name="_MultipleSpace_Product0243 TRx weekly 2" xfId="2348" xr:uid="{00000000-0005-0000-0000-0000D8050000}"/>
    <cellStyle name="_MultipleSpace_Product0243 TRx weekly_Company0187 Model" xfId="653" xr:uid="{00000000-0005-0000-0000-0000D9050000}"/>
    <cellStyle name="_MultipleSpace_Product0243 TRx weekly_Book2" xfId="654" xr:uid="{00000000-0005-0000-0000-0000DA050000}"/>
    <cellStyle name="_MultipleSpace_MET" xfId="4450" xr:uid="{00000000-0005-0000-0000-0000DB050000}"/>
    <cellStyle name="_MultipleSpace_MET04" xfId="4451" xr:uid="{00000000-0005-0000-0000-0000DC050000}"/>
    <cellStyle name="_MultipleSpace_MHS" xfId="3546" xr:uid="{00000000-0005-0000-0000-0000DD050000}"/>
    <cellStyle name="_MultipleSpace_Company1727" xfId="655" xr:uid="{00000000-0005-0000-0000-0000DE050000}"/>
    <cellStyle name="_MultipleSpace_Company1727 2" xfId="2349" xr:uid="{00000000-0005-0000-0000-0000DF050000}"/>
    <cellStyle name="_MultipleSpace_Company1727_Company0187 Model" xfId="656" xr:uid="{00000000-0005-0000-0000-0000E0050000}"/>
    <cellStyle name="_MultipleSpace_Company1727_Book2" xfId="657" xr:uid="{00000000-0005-0000-0000-0000E1050000}"/>
    <cellStyle name="_MultipleSpace_Company1761" xfId="3547" xr:uid="{00000000-0005-0000-0000-0000E2050000}"/>
    <cellStyle name="_MultipleSpace_Company1874" xfId="4452" xr:uid="{00000000-0005-0000-0000-0000E3050000}"/>
    <cellStyle name="_MultipleSpace_Company1961" xfId="3548" xr:uid="{00000000-0005-0000-0000-0000E4050000}"/>
    <cellStyle name="_MultipleSpace_OldCompSheet 11-27-2006" xfId="3549" xr:uid="{00000000-0005-0000-0000-0000E5050000}"/>
    <cellStyle name="_MultipleSpace_Overview3" xfId="4453" xr:uid="{00000000-0005-0000-0000-0000E6050000}"/>
    <cellStyle name="_MultipleSpace_Company2073" xfId="3550" xr:uid="{00000000-0005-0000-0000-0000E7050000}"/>
    <cellStyle name="_MultipleSpace_phil data" xfId="4454" xr:uid="{00000000-0005-0000-0000-0000E8050000}"/>
    <cellStyle name="_MultipleSpace_Company2103" xfId="3551" xr:uid="{00000000-0005-0000-0000-0000E9050000}"/>
    <cellStyle name="_MultipleSpace_Company2110" xfId="3552" xr:uid="{00000000-0005-0000-0000-0000EA050000}"/>
    <cellStyle name="_MultipleSpace_Company2110 TEMPLATE 5-13-06" xfId="658" xr:uid="{00000000-0005-0000-0000-0000EB050000}"/>
    <cellStyle name="_MultipleSpace_Company2110 TEMPLATE 5-13-06 2" xfId="2350" xr:uid="{00000000-0005-0000-0000-0000EC050000}"/>
    <cellStyle name="_MultipleSpace_Company2110 TEMPLATE 5-13-06_Company0187 Model" xfId="659" xr:uid="{00000000-0005-0000-0000-0000ED050000}"/>
    <cellStyle name="_MultipleSpace_Company2110 TEMPLATE 5-13-06_Book2" xfId="660" xr:uid="{00000000-0005-0000-0000-0000EE050000}"/>
    <cellStyle name="_MultipleSpace_Price Performance Charts" xfId="4455" xr:uid="{00000000-0005-0000-0000-0000EF050000}"/>
    <cellStyle name="_MultipleSpace_Price targets 3-4-2007-temp" xfId="3553" xr:uid="{00000000-0005-0000-0000-0000F0050000}"/>
    <cellStyle name="_MultipleSpace_Company2120" xfId="4456" xr:uid="{00000000-0005-0000-0000-0000F1050000}"/>
    <cellStyle name="_MultipleSpace_PRU04" xfId="4457" xr:uid="{00000000-0005-0000-0000-0000F2050000}"/>
    <cellStyle name="_MultipleSpace_Company2121" xfId="3554" xr:uid="{00000000-0005-0000-0000-0000F3050000}"/>
    <cellStyle name="_MultipleSpace_Company2125" xfId="3555" xr:uid="{00000000-0005-0000-0000-0000F4050000}"/>
    <cellStyle name="_MultipleSpace_quarterly preview" xfId="661" xr:uid="{00000000-0005-0000-0000-0000F5050000}"/>
    <cellStyle name="_MultipleSpace_quarterly preview 2" xfId="2351" xr:uid="{00000000-0005-0000-0000-0000F6050000}"/>
    <cellStyle name="_MultipleSpace_quarterly preview_Company0187 Model" xfId="662" xr:uid="{00000000-0005-0000-0000-0000F7050000}"/>
    <cellStyle name="_MultipleSpace_quarterly preview_Book2" xfId="663" xr:uid="{00000000-0005-0000-0000-0000F8050000}"/>
    <cellStyle name="_MultipleSpace_RBOC historicals" xfId="3556" xr:uid="{00000000-0005-0000-0000-0000F9050000}"/>
    <cellStyle name="_MultipleSpace_Rev" xfId="664" xr:uid="{00000000-0005-0000-0000-0000FA050000}"/>
    <cellStyle name="_MultipleSpace_Rev 2" xfId="2352" xr:uid="{00000000-0005-0000-0000-0000FB050000}"/>
    <cellStyle name="_MultipleSpace_Rev_Company0187 Model" xfId="665" xr:uid="{00000000-0005-0000-0000-0000FC050000}"/>
    <cellStyle name="_MultipleSpace_Rev_Book2" xfId="666" xr:uid="{00000000-0005-0000-0000-0000FD050000}"/>
    <cellStyle name="_MultipleSpace_Risk1" xfId="3557" xr:uid="{00000000-0005-0000-0000-0000FE050000}"/>
    <cellStyle name="_MultipleSpace_Risk2" xfId="3558" xr:uid="{00000000-0005-0000-0000-0000FF050000}"/>
    <cellStyle name="_MultipleSpace_RiskReward" xfId="4458" xr:uid="{00000000-0005-0000-0000-000000060000}"/>
    <cellStyle name="_MultipleSpace_Risks" xfId="3559" xr:uid="{00000000-0005-0000-0000-000001060000}"/>
    <cellStyle name="_MultipleSpace_ROE" xfId="667" xr:uid="{00000000-0005-0000-0000-000002060000}"/>
    <cellStyle name="_MultipleSpace_ROE 2" xfId="2353" xr:uid="{00000000-0005-0000-0000-000003060000}"/>
    <cellStyle name="_MultipleSpace_ROE_Company0187 Model" xfId="668" xr:uid="{00000000-0005-0000-0000-000004060000}"/>
    <cellStyle name="_MultipleSpace_ROE_Book2" xfId="669" xr:uid="{00000000-0005-0000-0000-000005060000}"/>
    <cellStyle name="_MultipleSpace_Product0362" xfId="670" xr:uid="{00000000-0005-0000-0000-000006060000}"/>
    <cellStyle name="_MultipleSpace_Product0362 2" xfId="2354" xr:uid="{00000000-0005-0000-0000-000007060000}"/>
    <cellStyle name="_MultipleSpace_Product0362_Company0187 Model" xfId="671" xr:uid="{00000000-0005-0000-0000-000008060000}"/>
    <cellStyle name="_MultipleSpace_Product0362_Book2" xfId="672" xr:uid="{00000000-0005-0000-0000-000009060000}"/>
    <cellStyle name="_MultipleSpace_Segment breakout" xfId="673" xr:uid="{00000000-0005-0000-0000-00000A060000}"/>
    <cellStyle name="_MultipleSpace_Segment breakout 2" xfId="2355" xr:uid="{00000000-0005-0000-0000-00000B060000}"/>
    <cellStyle name="_MultipleSpace_Segment breakout_Company0187 Model" xfId="674" xr:uid="{00000000-0005-0000-0000-00000C060000}"/>
    <cellStyle name="_MultipleSpace_Segment breakout_Book2" xfId="675" xr:uid="{00000000-0005-0000-0000-00000D060000}"/>
    <cellStyle name="_MultipleSpace_segment graph data" xfId="676" xr:uid="{00000000-0005-0000-0000-00000E060000}"/>
    <cellStyle name="_MultipleSpace_segment graph data 2" xfId="2356" xr:uid="{00000000-0005-0000-0000-00000F060000}"/>
    <cellStyle name="_MultipleSpace_segment graph data_Company0187 Model" xfId="677" xr:uid="{00000000-0005-0000-0000-000010060000}"/>
    <cellStyle name="_MultipleSpace_segment graph data_Book2" xfId="678" xr:uid="{00000000-0005-0000-0000-000011060000}"/>
    <cellStyle name="_MultipleSpace_SFG" xfId="4459" xr:uid="{00000000-0005-0000-0000-000012060000}"/>
    <cellStyle name="_MultipleSpace_Sheet1" xfId="679" xr:uid="{00000000-0005-0000-0000-000013060000}"/>
    <cellStyle name="_MultipleSpace_Sheet1 2" xfId="2357" xr:uid="{00000000-0005-0000-0000-000014060000}"/>
    <cellStyle name="_MultipleSpace_Sheet1_Company0187 Model" xfId="680" xr:uid="{00000000-0005-0000-0000-000015060000}"/>
    <cellStyle name="_MultipleSpace_Sheet1_Product0030" xfId="681" xr:uid="{00000000-0005-0000-0000-000016060000}"/>
    <cellStyle name="_MultipleSpace_Sheet1_Product0030 2" xfId="2358" xr:uid="{00000000-0005-0000-0000-000017060000}"/>
    <cellStyle name="_MultipleSpace_Sheet1_Product0030_Company0187 Model" xfId="682" xr:uid="{00000000-0005-0000-0000-000018060000}"/>
    <cellStyle name="_MultipleSpace_Sheet1_Product0030_Book2" xfId="683" xr:uid="{00000000-0005-0000-0000-000019060000}"/>
    <cellStyle name="_MultipleSpace_Sheet1_Book2" xfId="684" xr:uid="{00000000-0005-0000-0000-00001A060000}"/>
    <cellStyle name="_MultipleSpace_Sheet1_Company0426" xfId="3560" xr:uid="{00000000-0005-0000-0000-00001B060000}"/>
    <cellStyle name="_MultipleSpace_Sheet1_Company0472 working" xfId="685" xr:uid="{00000000-0005-0000-0000-00001C060000}"/>
    <cellStyle name="_MultipleSpace_Sheet1_Disclaimer" xfId="3561" xr:uid="{00000000-0005-0000-0000-00001D060000}"/>
    <cellStyle name="_MultipleSpace_Sheet1_Generic impact charts" xfId="3562" xr:uid="{00000000-0005-0000-0000-00001E060000}"/>
    <cellStyle name="_MultipleSpace_Sheet1_GQ" xfId="686" xr:uid="{00000000-0005-0000-0000-00001F060000}"/>
    <cellStyle name="_MultipleSpace_Sheet1_GQ 2" xfId="2359" xr:uid="{00000000-0005-0000-0000-000020060000}"/>
    <cellStyle name="_MultipleSpace_Sheet1_GQ_Company0187 Model" xfId="687" xr:uid="{00000000-0005-0000-0000-000021060000}"/>
    <cellStyle name="_MultipleSpace_Sheet1_GQ_Book2" xfId="688" xr:uid="{00000000-0005-0000-0000-000022060000}"/>
    <cellStyle name="_MultipleSpace_Sheet1_Industry P&amp;L 4_20_2006" xfId="3563" xr:uid="{00000000-0005-0000-0000-000023060000}"/>
    <cellStyle name="_MultipleSpace_Sheet1_IS" xfId="689" xr:uid="{00000000-0005-0000-0000-000024060000}"/>
    <cellStyle name="_MultipleSpace_Sheet1_IS 2" xfId="2360" xr:uid="{00000000-0005-0000-0000-000025060000}"/>
    <cellStyle name="_MultipleSpace_Sheet1_IS_Company0187 Model" xfId="690" xr:uid="{00000000-0005-0000-0000-000026060000}"/>
    <cellStyle name="_MultipleSpace_Sheet1_IS_Book2" xfId="691" xr:uid="{00000000-0005-0000-0000-000027060000}"/>
    <cellStyle name="_MultipleSpace_Sheet1_Key poduct model" xfId="692" xr:uid="{00000000-0005-0000-0000-000028060000}"/>
    <cellStyle name="_MultipleSpace_Sheet1_Key poduct model 2" xfId="2361" xr:uid="{00000000-0005-0000-0000-000029060000}"/>
    <cellStyle name="_MultipleSpace_Sheet1_Key poduct model_Company0187 Model" xfId="693" xr:uid="{00000000-0005-0000-0000-00002A060000}"/>
    <cellStyle name="_MultipleSpace_Sheet1_Key poduct model_Book2" xfId="694" xr:uid="{00000000-0005-0000-0000-00002B060000}"/>
    <cellStyle name="_MultipleSpace_Sheet1_Key product model" xfId="3564" xr:uid="{00000000-0005-0000-0000-00002C060000}"/>
    <cellStyle name="_MultipleSpace_Sheet1_Mainsheet - consolidated" xfId="695" xr:uid="{00000000-0005-0000-0000-00002D060000}"/>
    <cellStyle name="_MultipleSpace_Sheet1_Mainsheet - consolidated 2" xfId="2362" xr:uid="{00000000-0005-0000-0000-00002E060000}"/>
    <cellStyle name="_MultipleSpace_Sheet1_Mainsheet - consolidated_Company0187 Model" xfId="696" xr:uid="{00000000-0005-0000-0000-00002F060000}"/>
    <cellStyle name="_MultipleSpace_Sheet1_Mainsheet - consolidated_Book2" xfId="697" xr:uid="{00000000-0005-0000-0000-000030060000}"/>
    <cellStyle name="_MultipleSpace_Sheet1_MASTER Person1077-WC 10-28-06 LAUNCH" xfId="698" xr:uid="{00000000-0005-0000-0000-000031060000}"/>
    <cellStyle name="_MultipleSpace_Sheet1_MASTER Person1077-WC 10-28-06 LAUNCH 2" xfId="2363" xr:uid="{00000000-0005-0000-0000-000032060000}"/>
    <cellStyle name="_MultipleSpace_Sheet1_MASTER Person1077-WC 10-28-06 LAUNCH_Company0187 Model" xfId="699" xr:uid="{00000000-0005-0000-0000-000033060000}"/>
    <cellStyle name="_MultipleSpace_Sheet1_MASTER Person1077-WC 10-28-06 LAUNCH_Book2" xfId="700" xr:uid="{00000000-0005-0000-0000-000034060000}"/>
    <cellStyle name="_MultipleSpace_Sheet1_MASTER VAL SHEET For Luanch 4_24_06" xfId="3565" xr:uid="{00000000-0005-0000-0000-000035060000}"/>
    <cellStyle name="_MultipleSpace_Sheet1_Risk1" xfId="3566" xr:uid="{00000000-0005-0000-0000-000036060000}"/>
    <cellStyle name="_MultipleSpace_Sheet1_Risk2" xfId="3567" xr:uid="{00000000-0005-0000-0000-000037060000}"/>
    <cellStyle name="_MultipleSpace_Sheet1_Risks" xfId="3568" xr:uid="{00000000-0005-0000-0000-000038060000}"/>
    <cellStyle name="_MultipleSpace_Sheet1_Company2376 working" xfId="701" xr:uid="{00000000-0005-0000-0000-000039060000}"/>
    <cellStyle name="_MultipleSpace_Sheet1_Sheet1" xfId="3569" xr:uid="{00000000-0005-0000-0000-00003A060000}"/>
    <cellStyle name="_MultipleSpace_Sheet1_Sheet2" xfId="3570" xr:uid="{00000000-0005-0000-0000-00003B060000}"/>
    <cellStyle name="_MultipleSpace_Sheet1_Sheet3" xfId="702" xr:uid="{00000000-0005-0000-0000-00003C060000}"/>
    <cellStyle name="_MultipleSpace_Sheet1_Sheet3 2" xfId="2364" xr:uid="{00000000-0005-0000-0000-00003D060000}"/>
    <cellStyle name="_MultipleSpace_Sheet1_Sheet3_Company0187 Model" xfId="703" xr:uid="{00000000-0005-0000-0000-00003E060000}"/>
    <cellStyle name="_MultipleSpace_Sheet1_Sheet3_Book2" xfId="704" xr:uid="{00000000-0005-0000-0000-00003F060000}"/>
    <cellStyle name="_MultipleSpace_Sheet1_Sheet3_WC Product0280 forecast" xfId="705" xr:uid="{00000000-0005-0000-0000-000040060000}"/>
    <cellStyle name="_MultipleSpace_Sheet1_Sheet3_WC Product0280 forecast 2" xfId="2365" xr:uid="{00000000-0005-0000-0000-000041060000}"/>
    <cellStyle name="_MultipleSpace_Sheet1_Sheet3_WC Product0280 forecast_Company0187 Model" xfId="706" xr:uid="{00000000-0005-0000-0000-000042060000}"/>
    <cellStyle name="_MultipleSpace_Sheet1_Sheet3_WC Product0280 forecast_Book2" xfId="707" xr:uid="{00000000-0005-0000-0000-000043060000}"/>
    <cellStyle name="_MultipleSpace_Sheet1_Sheet4" xfId="3571" xr:uid="{00000000-0005-0000-0000-000044060000}"/>
    <cellStyle name="_MultipleSpace_Sheet1_SPEC Rx trend vs est " xfId="708" xr:uid="{00000000-0005-0000-0000-000045060000}"/>
    <cellStyle name="_MultipleSpace_Sheet1_SPEC Rx trend vs est  2" xfId="2366" xr:uid="{00000000-0005-0000-0000-000046060000}"/>
    <cellStyle name="_MultipleSpace_Sheet1_SPEC Rx trend vs est  3" xfId="2367" xr:uid="{00000000-0005-0000-0000-000047060000}"/>
    <cellStyle name="_MultipleSpace_Sheet1_SPEC Rx trend vs est _Company0187 Model" xfId="709" xr:uid="{00000000-0005-0000-0000-000048060000}"/>
    <cellStyle name="_MultipleSpace_Sheet1_SPEC Rx trend vs est _Book2" xfId="710" xr:uid="{00000000-0005-0000-0000-000049060000}"/>
    <cellStyle name="_MultipleSpace_Sheet1_Person1077 - Company0395 12-7-2006 FINAL" xfId="711" xr:uid="{00000000-0005-0000-0000-00004A060000}"/>
    <cellStyle name="_MultipleSpace_Sheet1_Person1077 - Company0395 12-7-2006 FINAL 2" xfId="2368" xr:uid="{00000000-0005-0000-0000-00004B060000}"/>
    <cellStyle name="_MultipleSpace_Sheet1_Person1077 - Company0395 12-7-2006 FINAL_Company0187 Model" xfId="712" xr:uid="{00000000-0005-0000-0000-00004C060000}"/>
    <cellStyle name="_MultipleSpace_Sheet1_Person1077 - Company0395 12-7-2006 FINAL_Book2" xfId="713" xr:uid="{00000000-0005-0000-0000-00004D060000}"/>
    <cellStyle name="_MultipleSpace_Sheet1_Sum of the parts 5-21-2007" xfId="3572" xr:uid="{00000000-0005-0000-0000-00004E060000}"/>
    <cellStyle name="_MultipleSpace_Sheet1_Template 1-9-2007" xfId="3573" xr:uid="{00000000-0005-0000-0000-00004F060000}"/>
    <cellStyle name="_MultipleSpace_Sheet1_WC Product0280 forecast" xfId="714" xr:uid="{00000000-0005-0000-0000-000050060000}"/>
    <cellStyle name="_MultipleSpace_Sheet1_WC Product0280 forecast 2" xfId="2369" xr:uid="{00000000-0005-0000-0000-000051060000}"/>
    <cellStyle name="_MultipleSpace_Sheet1_WC Product0280 forecast_Company0187 Model" xfId="715" xr:uid="{00000000-0005-0000-0000-000052060000}"/>
    <cellStyle name="_MultipleSpace_Sheet1_WC Product0280 forecast_Book2" xfId="716" xr:uid="{00000000-0005-0000-0000-000053060000}"/>
    <cellStyle name="_MultipleSpace_Sheet1_Company2931 working" xfId="717" xr:uid="{00000000-0005-0000-0000-000054060000}"/>
    <cellStyle name="_MultipleSpace_Sheet1_Company2931 working 2" xfId="2370" xr:uid="{00000000-0005-0000-0000-000055060000}"/>
    <cellStyle name="_MultipleSpace_Sheet1_Company2931 working_Company0187 Model" xfId="718" xr:uid="{00000000-0005-0000-0000-000056060000}"/>
    <cellStyle name="_MultipleSpace_Sheet1_Company2931 working_Book2" xfId="719" xr:uid="{00000000-0005-0000-0000-000057060000}"/>
    <cellStyle name="_MultipleSpace_Sheet13" xfId="720" xr:uid="{00000000-0005-0000-0000-000058060000}"/>
    <cellStyle name="_MultipleSpace_Sheet13 2" xfId="2371" xr:uid="{00000000-0005-0000-0000-000059060000}"/>
    <cellStyle name="_MultipleSpace_Sheet13_Company0187 Model" xfId="721" xr:uid="{00000000-0005-0000-0000-00005A060000}"/>
    <cellStyle name="_MultipleSpace_Sheet13_Book2" xfId="722" xr:uid="{00000000-0005-0000-0000-00005B060000}"/>
    <cellStyle name="_MultipleSpace_Sheet3" xfId="723" xr:uid="{00000000-0005-0000-0000-00005C060000}"/>
    <cellStyle name="_MultipleSpace_Sheet3 2" xfId="2372" xr:uid="{00000000-0005-0000-0000-00005D060000}"/>
    <cellStyle name="_MultipleSpace_Sheet3_Company0187 Model" xfId="724" xr:uid="{00000000-0005-0000-0000-00005E060000}"/>
    <cellStyle name="_MultipleSpace_Sheet3_Book2" xfId="725" xr:uid="{00000000-0005-0000-0000-00005F060000}"/>
    <cellStyle name="_MultipleSpace_Sheet4" xfId="3574" xr:uid="{00000000-0005-0000-0000-000060060000}"/>
    <cellStyle name="_MultipleSpace_Sheet6" xfId="726" xr:uid="{00000000-0005-0000-0000-000061060000}"/>
    <cellStyle name="_MultipleSpace_Sheet6 2" xfId="2373" xr:uid="{00000000-0005-0000-0000-000062060000}"/>
    <cellStyle name="_MultipleSpace_Sheet6_Company0187 Model" xfId="727" xr:uid="{00000000-0005-0000-0000-000063060000}"/>
    <cellStyle name="_MultipleSpace_Sheet6_Book2" xfId="728" xr:uid="{00000000-0005-0000-0000-000064060000}"/>
    <cellStyle name="_MultipleSpace_Snapshot" xfId="729" xr:uid="{00000000-0005-0000-0000-000065060000}"/>
    <cellStyle name="_MultipleSpace_Snapshot 2" xfId="2374" xr:uid="{00000000-0005-0000-0000-000066060000}"/>
    <cellStyle name="_MultipleSpace_Snapshot_Company0187 Model" xfId="730" xr:uid="{00000000-0005-0000-0000-000067060000}"/>
    <cellStyle name="_MultipleSpace_Snapshot_Book2" xfId="731" xr:uid="{00000000-0005-0000-0000-000068060000}"/>
    <cellStyle name="_MultipleSpace_Special situation" xfId="732" xr:uid="{00000000-0005-0000-0000-000069060000}"/>
    <cellStyle name="_MultipleSpace_Special situation 2" xfId="2375" xr:uid="{00000000-0005-0000-0000-00006A060000}"/>
    <cellStyle name="_MultipleSpace_Special situation_Company0187 Model" xfId="733" xr:uid="{00000000-0005-0000-0000-00006B060000}"/>
    <cellStyle name="_MultipleSpace_Special situation_Book2" xfId="734" xr:uid="{00000000-0005-0000-0000-00006C060000}"/>
    <cellStyle name="_MultipleSpace_SSP" xfId="735" xr:uid="{00000000-0005-0000-0000-00006D060000}"/>
    <cellStyle name="_MultipleSpace_SSP 2" xfId="2376" xr:uid="{00000000-0005-0000-0000-00006E060000}"/>
    <cellStyle name="_MultipleSpace_SSP_Company0187 Model" xfId="736" xr:uid="{00000000-0005-0000-0000-00006F060000}"/>
    <cellStyle name="_MultipleSpace_SSP_Book2" xfId="737" xr:uid="{00000000-0005-0000-0000-000070060000}"/>
    <cellStyle name="_MultipleSpace_Person1011 - ABC 1-26-10" xfId="3575" xr:uid="{00000000-0005-0000-0000-000071060000}"/>
    <cellStyle name="_MultipleSpace_Person1077 - Company0395 12-7-2006 FINAL" xfId="3576" xr:uid="{00000000-0005-0000-0000-000072060000}"/>
    <cellStyle name="_MultipleSpace_Person1077 - Company0395 3-15-2007" xfId="3577" xr:uid="{00000000-0005-0000-0000-000073060000}"/>
    <cellStyle name="_MultipleSpace_Person1077 - Company0395 3-25-2007" xfId="3578" xr:uid="{00000000-0005-0000-0000-000074060000}"/>
    <cellStyle name="_MultipleSpace_Stock-QTR1 FDS" xfId="4460" xr:uid="{00000000-0005-0000-0000-000075060000}"/>
    <cellStyle name="_MultipleSpace_Sum of the parts 5-21-2007" xfId="3579" xr:uid="{00000000-0005-0000-0000-000076060000}"/>
    <cellStyle name="_MultipleSpace_symcqtis" xfId="3580" xr:uid="{00000000-0005-0000-0000-000077060000}"/>
    <cellStyle name="_MultipleSpace_T - new" xfId="3581" xr:uid="{00000000-0005-0000-0000-000078060000}"/>
    <cellStyle name="_MultipleSpace_Product0406 - dovonex" xfId="738" xr:uid="{00000000-0005-0000-0000-000079060000}"/>
    <cellStyle name="_MultipleSpace_Product0406 - dovonex 2" xfId="2377" xr:uid="{00000000-0005-0000-0000-00007A060000}"/>
    <cellStyle name="_MultipleSpace_Product0406 - dovonex_Company0187 Model" xfId="739" xr:uid="{00000000-0005-0000-0000-00007B060000}"/>
    <cellStyle name="_MultipleSpace_Product0406 - dovonex_Book2" xfId="740" xr:uid="{00000000-0005-0000-0000-00007C060000}"/>
    <cellStyle name="_MultipleSpace_taro DSO 4-29-06" xfId="741" xr:uid="{00000000-0005-0000-0000-00007D060000}"/>
    <cellStyle name="_MultipleSpace_taro DSO 4-29-06 2" xfId="2378" xr:uid="{00000000-0005-0000-0000-00007E060000}"/>
    <cellStyle name="_MultipleSpace_taro DSO 4-29-06_Company0187 Model" xfId="742" xr:uid="{00000000-0005-0000-0000-00007F060000}"/>
    <cellStyle name="_MultipleSpace_taro DSO 4-29-06_Book2" xfId="743" xr:uid="{00000000-0005-0000-0000-000080060000}"/>
    <cellStyle name="_MultipleSpace_Tearsheet" xfId="744" xr:uid="{00000000-0005-0000-0000-000081060000}"/>
    <cellStyle name="_MultipleSpace_Tearsheet 2" xfId="2379" xr:uid="{00000000-0005-0000-0000-000082060000}"/>
    <cellStyle name="_MultipleSpace_Tearsheet_Company0187 Model" xfId="745" xr:uid="{00000000-0005-0000-0000-000083060000}"/>
    <cellStyle name="_MultipleSpace_Tearsheet_Book2" xfId="746" xr:uid="{00000000-0005-0000-0000-000084060000}"/>
    <cellStyle name="_MultipleSpace_Template 1-9-2007" xfId="3582" xr:uid="{00000000-0005-0000-0000-000085060000}"/>
    <cellStyle name="_MultipleSpace_Product0415" xfId="747" xr:uid="{00000000-0005-0000-0000-000086060000}"/>
    <cellStyle name="_MultipleSpace_Product0415 2" xfId="2380" xr:uid="{00000000-0005-0000-0000-000087060000}"/>
    <cellStyle name="_MultipleSpace_Product0415_Company0187 Model" xfId="748" xr:uid="{00000000-0005-0000-0000-000088060000}"/>
    <cellStyle name="_MultipleSpace_Product0415_Book2" xfId="749" xr:uid="{00000000-0005-0000-0000-000089060000}"/>
    <cellStyle name="_MultipleSpace_Company2640" xfId="3583" xr:uid="{00000000-0005-0000-0000-00008A060000}"/>
    <cellStyle name="_MultipleSpace_Company2758 - Qtrly IS" xfId="750" xr:uid="{00000000-0005-0000-0000-00008B060000}"/>
    <cellStyle name="_MultipleSpace_Company2758 - Qtrly IS 2" xfId="2381" xr:uid="{00000000-0005-0000-0000-00008C060000}"/>
    <cellStyle name="_MultipleSpace_Company2758 - Qtrly IS_Company0187 Model" xfId="751" xr:uid="{00000000-0005-0000-0000-00008D060000}"/>
    <cellStyle name="_MultipleSpace_Company2758 - Qtrly IS_Book2" xfId="752" xr:uid="{00000000-0005-0000-0000-00008E060000}"/>
    <cellStyle name="_MultipleSpace_Company2758 main sheet" xfId="753" xr:uid="{00000000-0005-0000-0000-00008F060000}"/>
    <cellStyle name="_MultipleSpace_Company2758 main sheet 2" xfId="2382" xr:uid="{00000000-0005-0000-0000-000090060000}"/>
    <cellStyle name="_MultipleSpace_Company2758 main sheet_Company0187 Model" xfId="754" xr:uid="{00000000-0005-0000-0000-000091060000}"/>
    <cellStyle name="_MultipleSpace_Company2758 main sheet_Book2" xfId="755" xr:uid="{00000000-0005-0000-0000-000092060000}"/>
    <cellStyle name="_MultipleSpace_Company2661" xfId="4461" xr:uid="{00000000-0005-0000-0000-000093060000}"/>
    <cellStyle name="_MultipleSpace_Company2727" xfId="3584" xr:uid="{00000000-0005-0000-0000-000094060000}"/>
    <cellStyle name="_MultipleSpace_Updated Valuation Changes" xfId="4462" xr:uid="{00000000-0005-0000-0000-000095060000}"/>
    <cellStyle name="_MultipleSpace_Valuation Graphs" xfId="4463" xr:uid="{00000000-0005-0000-0000-000096060000}"/>
    <cellStyle name="_MultipleSpace_WC Product0280 forecast" xfId="756" xr:uid="{00000000-0005-0000-0000-000097060000}"/>
    <cellStyle name="_MultipleSpace_WC Product0280 forecast 2" xfId="2383" xr:uid="{00000000-0005-0000-0000-000098060000}"/>
    <cellStyle name="_MultipleSpace_WC Product0280 forecast_Company0187 Model" xfId="757" xr:uid="{00000000-0005-0000-0000-000099060000}"/>
    <cellStyle name="_MultipleSpace_WC Product0280 forecast_Book2" xfId="758" xr:uid="{00000000-0005-0000-0000-00009A060000}"/>
    <cellStyle name="_MultipleSpace_WPI" xfId="3585" xr:uid="{00000000-0005-0000-0000-00009B060000}"/>
    <cellStyle name="_MultipleSpace_xratio - historical mkt val" xfId="4464" xr:uid="{00000000-0005-0000-0000-00009C060000}"/>
    <cellStyle name="_Percent" xfId="759" xr:uid="{00000000-0005-0000-0000-00009D060000}"/>
    <cellStyle name="_Percent 2" xfId="2384" xr:uid="{00000000-0005-0000-0000-00009E060000}"/>
    <cellStyle name="_Percent_1 Product0221 24" xfId="760" xr:uid="{00000000-0005-0000-0000-00009F060000}"/>
    <cellStyle name="_Percent_1 Product0221 24 2" xfId="2385" xr:uid="{00000000-0005-0000-0000-0000A0060000}"/>
    <cellStyle name="_Percent_1 Product0221 24_Company0187 Model" xfId="761" xr:uid="{00000000-0005-0000-0000-0000A1060000}"/>
    <cellStyle name="_Percent_1 Product0221 24_Book2" xfId="762" xr:uid="{00000000-0005-0000-0000-0000A2060000}"/>
    <cellStyle name="_Percent_1 Product0280" xfId="763" xr:uid="{00000000-0005-0000-0000-0000A3060000}"/>
    <cellStyle name="_Percent_1 Product0280 2" xfId="2386" xr:uid="{00000000-0005-0000-0000-0000A4060000}"/>
    <cellStyle name="_Percent_1 Product0280_Company0187 Model" xfId="764" xr:uid="{00000000-0005-0000-0000-0000A5060000}"/>
    <cellStyle name="_Percent_1 Product0280_Book2" xfId="765" xr:uid="{00000000-0005-0000-0000-0000A6060000}"/>
    <cellStyle name="_Percent_1 Product0406" xfId="766" xr:uid="{00000000-0005-0000-0000-0000A7060000}"/>
    <cellStyle name="_Percent_1 Product0406 2" xfId="2387" xr:uid="{00000000-0005-0000-0000-0000A8060000}"/>
    <cellStyle name="_Percent_1 Product0406_Company0187 Model" xfId="767" xr:uid="{00000000-0005-0000-0000-0000A9060000}"/>
    <cellStyle name="_Percent_1 Product0406_Book2" xfId="768" xr:uid="{00000000-0005-0000-0000-0000AA060000}"/>
    <cellStyle name="_Percent_4VAL DCF2" xfId="769" xr:uid="{00000000-0005-0000-0000-0000AB060000}"/>
    <cellStyle name="_Percent_4VAL DCF2 2" xfId="2388" xr:uid="{00000000-0005-0000-0000-0000AC060000}"/>
    <cellStyle name="_Percent_4VAL DCF2_Company0187 Model" xfId="770" xr:uid="{00000000-0005-0000-0000-0000AD060000}"/>
    <cellStyle name="_Percent_4VAL DCF2_Book2" xfId="771" xr:uid="{00000000-0005-0000-0000-0000AE060000}"/>
    <cellStyle name="_Percent_Company0187 Model" xfId="772" xr:uid="{00000000-0005-0000-0000-0000AF060000}"/>
    <cellStyle name="_Percent_Product0022" xfId="773" xr:uid="{00000000-0005-0000-0000-0000B0060000}"/>
    <cellStyle name="_Percent_Product0022 2" xfId="2389" xr:uid="{00000000-0005-0000-0000-0000B1060000}"/>
    <cellStyle name="_Percent_Product0022_Company0187 Model" xfId="774" xr:uid="{00000000-0005-0000-0000-0000B2060000}"/>
    <cellStyle name="_Percent_Product0022_Book2" xfId="775" xr:uid="{00000000-0005-0000-0000-0000B3060000}"/>
    <cellStyle name="_Percent_Product0030" xfId="776" xr:uid="{00000000-0005-0000-0000-0000B4060000}"/>
    <cellStyle name="_Percent_Product0030 2" xfId="2390" xr:uid="{00000000-0005-0000-0000-0000B5060000}"/>
    <cellStyle name="_Percent_Product0030_Company0187 Model" xfId="777" xr:uid="{00000000-0005-0000-0000-0000B6060000}"/>
    <cellStyle name="_Percent_Product0030_Book2" xfId="778" xr:uid="{00000000-0005-0000-0000-0000B7060000}"/>
    <cellStyle name="_Percent_Company0226" xfId="3586" xr:uid="{00000000-0005-0000-0000-0000B8060000}"/>
    <cellStyle name="_Percent_ANDAs" xfId="779" xr:uid="{00000000-0005-0000-0000-0000B9060000}"/>
    <cellStyle name="_Percent_ANDAs 2" xfId="2391" xr:uid="{00000000-0005-0000-0000-0000BA060000}"/>
    <cellStyle name="_Percent_ANDAs summary sheet" xfId="780" xr:uid="{00000000-0005-0000-0000-0000BB060000}"/>
    <cellStyle name="_Percent_ANDAs summary sheet 2" xfId="2392" xr:uid="{00000000-0005-0000-0000-0000BC060000}"/>
    <cellStyle name="_Percent_ANDAs summary sheet_Company0187 Model" xfId="781" xr:uid="{00000000-0005-0000-0000-0000BD060000}"/>
    <cellStyle name="_Percent_ANDAs summary sheet_Book2" xfId="782" xr:uid="{00000000-0005-0000-0000-0000BE060000}"/>
    <cellStyle name="_Percent_ANDAs_Company0187 Model" xfId="783" xr:uid="{00000000-0005-0000-0000-0000BF060000}"/>
    <cellStyle name="_Percent_ANDAs_Book2" xfId="784" xr:uid="{00000000-0005-0000-0000-0000C0060000}"/>
    <cellStyle name="_Percent_Company0106 Company0718" xfId="785" xr:uid="{00000000-0005-0000-0000-0000C1060000}"/>
    <cellStyle name="_Percent_Company0106 Company0718 2" xfId="2393" xr:uid="{00000000-0005-0000-0000-0000C2060000}"/>
    <cellStyle name="_Percent_Company0106 Company0718_Company0187 Model" xfId="786" xr:uid="{00000000-0005-0000-0000-0000C3060000}"/>
    <cellStyle name="_Percent_Company0106 Company0718_Book2" xfId="787" xr:uid="{00000000-0005-0000-0000-0000C4060000}"/>
    <cellStyle name="_Percent_BNT" xfId="3587" xr:uid="{00000000-0005-0000-0000-0000C5060000}"/>
    <cellStyle name="_Percent_Book2" xfId="788" xr:uid="{00000000-0005-0000-0000-0000C6060000}"/>
    <cellStyle name="_Percent_BRL" xfId="3588" xr:uid="{00000000-0005-0000-0000-0000C7060000}"/>
    <cellStyle name="_Percent_Broadcasting" xfId="3589" xr:uid="{00000000-0005-0000-0000-0000C8060000}"/>
    <cellStyle name="_Percent_Company0353" xfId="3590" xr:uid="{00000000-0005-0000-0000-0000C9060000}"/>
    <cellStyle name="_Percent_Company0426" xfId="3591" xr:uid="{00000000-0005-0000-0000-0000CA060000}"/>
    <cellStyle name="_Percent_CAPEX spend" xfId="789" xr:uid="{00000000-0005-0000-0000-0000CB060000}"/>
    <cellStyle name="_Percent_CAPEX spend 2" xfId="2394" xr:uid="{00000000-0005-0000-0000-0000CC060000}"/>
    <cellStyle name="_Percent_CAPEX spend_Company0187 Model" xfId="790" xr:uid="{00000000-0005-0000-0000-0000CD060000}"/>
    <cellStyle name="_Percent_CAPEX spend_Book2" xfId="791" xr:uid="{00000000-0005-0000-0000-0000CE060000}"/>
    <cellStyle name="_Percent_Company0658 Health" xfId="3592" xr:uid="{00000000-0005-0000-0000-0000CF060000}"/>
    <cellStyle name="_Percent_Company0689" xfId="3593" xr:uid="{00000000-0005-0000-0000-0000D0060000}"/>
    <cellStyle name="_Percent_Consolidation" xfId="792" xr:uid="{00000000-0005-0000-0000-0000D1060000}"/>
    <cellStyle name="_Percent_Consolidation 2" xfId="2395" xr:uid="{00000000-0005-0000-0000-0000D2060000}"/>
    <cellStyle name="_Percent_Consolidation_Company0187 Model" xfId="793" xr:uid="{00000000-0005-0000-0000-0000D3060000}"/>
    <cellStyle name="_Percent_Consolidation_Book2" xfId="794" xr:uid="{00000000-0005-0000-0000-0000D4060000}"/>
    <cellStyle name="_Percent_Copy of Person1011 - WPI 06-17-2009" xfId="3594" xr:uid="{00000000-0005-0000-0000-0000D5060000}"/>
    <cellStyle name="_Percent_Cover page" xfId="3595" xr:uid="{00000000-0005-0000-0000-0000D6060000}"/>
    <cellStyle name="_Percent_DCF Alexander Person0382" xfId="4465" xr:uid="{00000000-0005-0000-0000-0000D7060000}"/>
    <cellStyle name="_Percent_Debt schedule" xfId="795" xr:uid="{00000000-0005-0000-0000-0000D8060000}"/>
    <cellStyle name="_Percent_Debt schedule 2" xfId="2396" xr:uid="{00000000-0005-0000-0000-0000D9060000}"/>
    <cellStyle name="_Percent_Debt schedule_Company0187 Model" xfId="796" xr:uid="{00000000-0005-0000-0000-0000DA060000}"/>
    <cellStyle name="_Percent_Debt schedule_Book2" xfId="797" xr:uid="{00000000-0005-0000-0000-0000DB060000}"/>
    <cellStyle name="_Percent_DSO" xfId="798" xr:uid="{00000000-0005-0000-0000-0000DC060000}"/>
    <cellStyle name="_Percent_DSO 2" xfId="2397" xr:uid="{00000000-0005-0000-0000-0000DD060000}"/>
    <cellStyle name="_Percent_DSO_Company0187 Model" xfId="799" xr:uid="{00000000-0005-0000-0000-0000DE060000}"/>
    <cellStyle name="_Percent_DSO_Book2" xfId="800" xr:uid="{00000000-0005-0000-0000-0000DF060000}"/>
    <cellStyle name="_Percent_EPS revision" xfId="801" xr:uid="{00000000-0005-0000-0000-0000E0060000}"/>
    <cellStyle name="_Percent_EPS revision 2" xfId="2398" xr:uid="{00000000-0005-0000-0000-0000E1060000}"/>
    <cellStyle name="_Percent_EPS revision_Company0187 Model" xfId="802" xr:uid="{00000000-0005-0000-0000-0000E2060000}"/>
    <cellStyle name="_Percent_EPS revision_Book2" xfId="803" xr:uid="{00000000-0005-0000-0000-0000E3060000}"/>
    <cellStyle name="_Percent_EPS sensitivity" xfId="804" xr:uid="{00000000-0005-0000-0000-0000E4060000}"/>
    <cellStyle name="_Percent_EPS sensitivity 2" xfId="2399" xr:uid="{00000000-0005-0000-0000-0000E5060000}"/>
    <cellStyle name="_Percent_EPS sensitivity_Company0187 Model" xfId="805" xr:uid="{00000000-0005-0000-0000-0000E6060000}"/>
    <cellStyle name="_Percent_EPS sensitivity_Book2" xfId="806" xr:uid="{00000000-0005-0000-0000-0000E7060000}"/>
    <cellStyle name="_Percent_FBANDAs" xfId="807" xr:uid="{00000000-0005-0000-0000-0000E8060000}"/>
    <cellStyle name="_Percent_FBANDAs 2" xfId="2400" xr:uid="{00000000-0005-0000-0000-0000E9060000}"/>
    <cellStyle name="_Percent_FBANDAs_Company0187 Model" xfId="808" xr:uid="{00000000-0005-0000-0000-0000EA060000}"/>
    <cellStyle name="_Percent_FBANDAs_Book2" xfId="809" xr:uid="{00000000-0005-0000-0000-0000EB060000}"/>
    <cellStyle name="_Percent_Product0158" xfId="810" xr:uid="{00000000-0005-0000-0000-0000EC060000}"/>
    <cellStyle name="_Percent_Product0158 2" xfId="2401" xr:uid="{00000000-0005-0000-0000-0000ED060000}"/>
    <cellStyle name="_Percent_Product0158_Company0187 Model" xfId="811" xr:uid="{00000000-0005-0000-0000-0000EE060000}"/>
    <cellStyle name="_Percent_Product0158_Book2" xfId="812" xr:uid="{00000000-0005-0000-0000-0000EF060000}"/>
    <cellStyle name="_Percent_FMBI MBHI Graphs" xfId="4466" xr:uid="{00000000-0005-0000-0000-0000F0060000}"/>
    <cellStyle name="_Percent_FMBI MBHI Graphs 07102001" xfId="4467" xr:uid="{00000000-0005-0000-0000-0000F1060000}"/>
    <cellStyle name="_Percent_FMBI MBHI Graphs_7601" xfId="4468" xr:uid="{00000000-0005-0000-0000-0000F2060000}"/>
    <cellStyle name="_Percent_For charts" xfId="813" xr:uid="{00000000-0005-0000-0000-0000F3060000}"/>
    <cellStyle name="_Percent_For charts 2" xfId="2402" xr:uid="{00000000-0005-0000-0000-0000F4060000}"/>
    <cellStyle name="_Percent_For charts_Company0187 Model" xfId="814" xr:uid="{00000000-0005-0000-0000-0000F5060000}"/>
    <cellStyle name="_Percent_For charts_Book2" xfId="815" xr:uid="{00000000-0005-0000-0000-0000F6060000}"/>
    <cellStyle name="_Percent_Gen pipe" xfId="816" xr:uid="{00000000-0005-0000-0000-0000F7060000}"/>
    <cellStyle name="_Percent_Gen pipe 2" xfId="2403" xr:uid="{00000000-0005-0000-0000-0000F8060000}"/>
    <cellStyle name="_Percent_Gen pipe_Company0187 Model" xfId="817" xr:uid="{00000000-0005-0000-0000-0000F9060000}"/>
    <cellStyle name="_Percent_Gen pipe_Book2" xfId="818" xr:uid="{00000000-0005-0000-0000-0000FA060000}"/>
    <cellStyle name="_Percent_Generic impact charts" xfId="3596" xr:uid="{00000000-0005-0000-0000-0000FB060000}"/>
    <cellStyle name="_Percent_Generic pharma valuation multiples 11-29-2007_cleared" xfId="3597" xr:uid="{00000000-0005-0000-0000-0000FC060000}"/>
    <cellStyle name="_Percent_Gross Margin" xfId="819" xr:uid="{00000000-0005-0000-0000-0000FD060000}"/>
    <cellStyle name="_Percent_Gross Margin 2" xfId="2404" xr:uid="{00000000-0005-0000-0000-0000FE060000}"/>
    <cellStyle name="_Percent_Gross Margin_Company0187 Model" xfId="820" xr:uid="{00000000-0005-0000-0000-0000FF060000}"/>
    <cellStyle name="_Percent_Gross Margin_Book2" xfId="821" xr:uid="{00000000-0005-0000-0000-000000070000}"/>
    <cellStyle name="_Percent_Ticker0015_Person0155_Company0610_mod (Working)" xfId="3598" xr:uid="{00000000-0005-0000-0000-000001070000}"/>
    <cellStyle name="_Percent_Ticker0015_Person0114_MOTMOD" xfId="3599" xr:uid="{00000000-0005-0000-0000-000002070000}"/>
    <cellStyle name="_Percent_Ticker0015_Person0752_CRL_4-1-05 RS" xfId="822" xr:uid="{00000000-0005-0000-0000-000003070000}"/>
    <cellStyle name="_Percent_Ticker0015_Person0752_CRL_4-1-05 RS 2" xfId="2405" xr:uid="{00000000-0005-0000-0000-000004070000}"/>
    <cellStyle name="_Percent_Ticker0015_Person0752_CRL_4-1-05 RS_Company0187 Model" xfId="823" xr:uid="{00000000-0005-0000-0000-000005070000}"/>
    <cellStyle name="_Percent_Ticker0015_Person0752_CRL_4-1-05 RS_Book2" xfId="824" xr:uid="{00000000-0005-0000-0000-000006070000}"/>
    <cellStyle name="_Percent_Ticker0015_Company1678_ MASTER model 4-01-05 RS" xfId="825" xr:uid="{00000000-0005-0000-0000-000007070000}"/>
    <cellStyle name="_Percent_Ticker0015_Company1678_ MASTER model 4-01-05 RS 2" xfId="2406" xr:uid="{00000000-0005-0000-0000-000008070000}"/>
    <cellStyle name="_Percent_Ticker0015_Company1678_ MASTER model 4-01-05 RS_Company0187 Model" xfId="826" xr:uid="{00000000-0005-0000-0000-000009070000}"/>
    <cellStyle name="_Percent_Ticker0015_Company1678_ MASTER model 4-01-05 RS_Book2" xfId="827" xr:uid="{00000000-0005-0000-0000-00000A070000}"/>
    <cellStyle name="_Percent_Indian companies" xfId="828" xr:uid="{00000000-0005-0000-0000-00000B070000}"/>
    <cellStyle name="_Percent_Indian companies 2" xfId="2407" xr:uid="{00000000-0005-0000-0000-00000C070000}"/>
    <cellStyle name="_Percent_Indian companies_Company0187 Model" xfId="829" xr:uid="{00000000-0005-0000-0000-00000D070000}"/>
    <cellStyle name="_Percent_Indian companies_Book2" xfId="830" xr:uid="{00000000-0005-0000-0000-00000E070000}"/>
    <cellStyle name="_Percent_Industry P&amp;L 4_20_2006" xfId="3600" xr:uid="{00000000-0005-0000-0000-00000F070000}"/>
    <cellStyle name="_Percent_Person0607" xfId="3601" xr:uid="{00000000-0005-0000-0000-000010070000}"/>
    <cellStyle name="_Percent_Key poduct model" xfId="831" xr:uid="{00000000-0005-0000-0000-000011070000}"/>
    <cellStyle name="_Percent_Key poduct model 2" xfId="2408" xr:uid="{00000000-0005-0000-0000-000012070000}"/>
    <cellStyle name="_Percent_Key poduct model_Company0187 Model" xfId="832" xr:uid="{00000000-0005-0000-0000-000013070000}"/>
    <cellStyle name="_Percent_Key poduct model_Book2" xfId="833" xr:uid="{00000000-0005-0000-0000-000014070000}"/>
    <cellStyle name="_Percent_Key product model" xfId="3602" xr:uid="{00000000-0005-0000-0000-000015070000}"/>
    <cellStyle name="_Percent_Product0221 24" xfId="834" xr:uid="{00000000-0005-0000-0000-000016070000}"/>
    <cellStyle name="_Percent_Product0221 24 2" xfId="2409" xr:uid="{00000000-0005-0000-0000-000017070000}"/>
    <cellStyle name="_Percent_Product0221 24_Company0187 Model" xfId="835" xr:uid="{00000000-0005-0000-0000-000018070000}"/>
    <cellStyle name="_Percent_Product0221 24_Book2" xfId="836" xr:uid="{00000000-0005-0000-0000-000019070000}"/>
    <cellStyle name="_Percent_major holders 5-04" xfId="837" xr:uid="{00000000-0005-0000-0000-00001A070000}"/>
    <cellStyle name="_Percent_major holders 5-04 2" xfId="2410" xr:uid="{00000000-0005-0000-0000-00001B070000}"/>
    <cellStyle name="_Percent_major holders 5-04_Company0187 Model" xfId="838" xr:uid="{00000000-0005-0000-0000-00001C070000}"/>
    <cellStyle name="_Percent_major holders 5-04_Book2" xfId="839" xr:uid="{00000000-0005-0000-0000-00001D070000}"/>
    <cellStyle name="_Percent_Master Comp V.6 WIP DO NOT USE" xfId="3603" xr:uid="{00000000-0005-0000-0000-00001E070000}"/>
    <cellStyle name="_Percent_MASTER VAL SHEET For Luanch 4_24_06" xfId="3604" xr:uid="{00000000-0005-0000-0000-00001F070000}"/>
    <cellStyle name="_Percent_Product0243 channel data" xfId="840" xr:uid="{00000000-0005-0000-0000-000020070000}"/>
    <cellStyle name="_Percent_Product0243 channel data 2" xfId="2411" xr:uid="{00000000-0005-0000-0000-000021070000}"/>
    <cellStyle name="_Percent_Product0243 channel data_Company0187 Model" xfId="841" xr:uid="{00000000-0005-0000-0000-000022070000}"/>
    <cellStyle name="_Percent_Product0243 channel data_Book2" xfId="842" xr:uid="{00000000-0005-0000-0000-000023070000}"/>
    <cellStyle name="_Percent_Product0243 ES estimates" xfId="843" xr:uid="{00000000-0005-0000-0000-000024070000}"/>
    <cellStyle name="_Percent_Product0243 ES estimates 2" xfId="2412" xr:uid="{00000000-0005-0000-0000-000025070000}"/>
    <cellStyle name="_Percent_Product0243 ES estimates_Company0187 Model" xfId="844" xr:uid="{00000000-0005-0000-0000-000026070000}"/>
    <cellStyle name="_Percent_Product0243 ES estimates_Book2" xfId="845" xr:uid="{00000000-0005-0000-0000-000027070000}"/>
    <cellStyle name="_Percent_Product0243 ES sales data" xfId="846" xr:uid="{00000000-0005-0000-0000-000028070000}"/>
    <cellStyle name="_Percent_Product0243 ES sales data 2" xfId="2413" xr:uid="{00000000-0005-0000-0000-000029070000}"/>
    <cellStyle name="_Percent_Product0243 ES sales data_Company0187 Model" xfId="847" xr:uid="{00000000-0005-0000-0000-00002A070000}"/>
    <cellStyle name="_Percent_Product0243 ES sales data_Book2" xfId="848" xr:uid="{00000000-0005-0000-0000-00002B070000}"/>
    <cellStyle name="_Percent_Product0243 Market IMS" xfId="849" xr:uid="{00000000-0005-0000-0000-00002C070000}"/>
    <cellStyle name="_Percent_Product0243 Market IMS 2" xfId="2414" xr:uid="{00000000-0005-0000-0000-00002D070000}"/>
    <cellStyle name="_Percent_Product0243 Market IMS_Company0187 Model" xfId="850" xr:uid="{00000000-0005-0000-0000-00002E070000}"/>
    <cellStyle name="_Percent_Product0243 Market IMS_Book2" xfId="851" xr:uid="{00000000-0005-0000-0000-00002F070000}"/>
    <cellStyle name="_Percent_Product0243 NRx weekly" xfId="852" xr:uid="{00000000-0005-0000-0000-000030070000}"/>
    <cellStyle name="_Percent_Product0243 NRx weekly 2" xfId="2415" xr:uid="{00000000-0005-0000-0000-000031070000}"/>
    <cellStyle name="_Percent_Product0243 NRx weekly_Company0187 Model" xfId="853" xr:uid="{00000000-0005-0000-0000-000032070000}"/>
    <cellStyle name="_Percent_Product0243 NRx weekly_Book2" xfId="854" xr:uid="{00000000-0005-0000-0000-000033070000}"/>
    <cellStyle name="_Percent_Product0243 TRx weekly" xfId="855" xr:uid="{00000000-0005-0000-0000-000034070000}"/>
    <cellStyle name="_Percent_Product0243 TRx weekly 2" xfId="2416" xr:uid="{00000000-0005-0000-0000-000035070000}"/>
    <cellStyle name="_Percent_Product0243 TRx weekly_Company0187 Model" xfId="856" xr:uid="{00000000-0005-0000-0000-000036070000}"/>
    <cellStyle name="_Percent_Product0243 TRx weekly_Book2" xfId="857" xr:uid="{00000000-0005-0000-0000-000037070000}"/>
    <cellStyle name="_Percent_Company1761" xfId="3605" xr:uid="{00000000-0005-0000-0000-000038070000}"/>
    <cellStyle name="_Percent_OldCompSheet 11-27-2006" xfId="3606" xr:uid="{00000000-0005-0000-0000-000039070000}"/>
    <cellStyle name="_Percent_Company2110" xfId="3607" xr:uid="{00000000-0005-0000-0000-00003A070000}"/>
    <cellStyle name="_Percent_Company2110 TEMPLATE 5-13-06" xfId="858" xr:uid="{00000000-0005-0000-0000-00003B070000}"/>
    <cellStyle name="_Percent_Company2110 TEMPLATE 5-13-06 2" xfId="2417" xr:uid="{00000000-0005-0000-0000-00003C070000}"/>
    <cellStyle name="_Percent_Company2110 TEMPLATE 5-13-06_Company0187 Model" xfId="859" xr:uid="{00000000-0005-0000-0000-00003D070000}"/>
    <cellStyle name="_Percent_Company2110 TEMPLATE 5-13-06_Book2" xfId="860" xr:uid="{00000000-0005-0000-0000-00003E070000}"/>
    <cellStyle name="_Percent_Price targets 3-4-2007-temp" xfId="3608" xr:uid="{00000000-0005-0000-0000-00003F070000}"/>
    <cellStyle name="_Percent_quarterly preview" xfId="861" xr:uid="{00000000-0005-0000-0000-000040070000}"/>
    <cellStyle name="_Percent_quarterly preview 2" xfId="2418" xr:uid="{00000000-0005-0000-0000-000041070000}"/>
    <cellStyle name="_Percent_quarterly preview_Company0187 Model" xfId="862" xr:uid="{00000000-0005-0000-0000-000042070000}"/>
    <cellStyle name="_Percent_quarterly preview_Book2" xfId="863" xr:uid="{00000000-0005-0000-0000-000043070000}"/>
    <cellStyle name="_Percent_Rev" xfId="864" xr:uid="{00000000-0005-0000-0000-000044070000}"/>
    <cellStyle name="_Percent_Rev 2" xfId="2419" xr:uid="{00000000-0005-0000-0000-000045070000}"/>
    <cellStyle name="_Percent_Rev_Company0187 Model" xfId="865" xr:uid="{00000000-0005-0000-0000-000046070000}"/>
    <cellStyle name="_Percent_Rev_Book2" xfId="866" xr:uid="{00000000-0005-0000-0000-000047070000}"/>
    <cellStyle name="_Percent_Risk1" xfId="3609" xr:uid="{00000000-0005-0000-0000-000048070000}"/>
    <cellStyle name="_Percent_Risk2" xfId="3610" xr:uid="{00000000-0005-0000-0000-000049070000}"/>
    <cellStyle name="_Percent_Risks" xfId="3611" xr:uid="{00000000-0005-0000-0000-00004A070000}"/>
    <cellStyle name="_Percent_ROE" xfId="867" xr:uid="{00000000-0005-0000-0000-00004B070000}"/>
    <cellStyle name="_Percent_ROE 2" xfId="2420" xr:uid="{00000000-0005-0000-0000-00004C070000}"/>
    <cellStyle name="_Percent_ROE_Company0187 Model" xfId="868" xr:uid="{00000000-0005-0000-0000-00004D070000}"/>
    <cellStyle name="_Percent_ROE_Book2" xfId="869" xr:uid="{00000000-0005-0000-0000-00004E070000}"/>
    <cellStyle name="_Percent_Product0362" xfId="870" xr:uid="{00000000-0005-0000-0000-00004F070000}"/>
    <cellStyle name="_Percent_Product0362 2" xfId="2421" xr:uid="{00000000-0005-0000-0000-000050070000}"/>
    <cellStyle name="_Percent_Product0362_Company0187 Model" xfId="871" xr:uid="{00000000-0005-0000-0000-000051070000}"/>
    <cellStyle name="_Percent_Product0362_Book2" xfId="872" xr:uid="{00000000-0005-0000-0000-000052070000}"/>
    <cellStyle name="_Percent_Segment breakout" xfId="873" xr:uid="{00000000-0005-0000-0000-000053070000}"/>
    <cellStyle name="_Percent_Segment breakout 2" xfId="2422" xr:uid="{00000000-0005-0000-0000-000054070000}"/>
    <cellStyle name="_Percent_Segment breakout_Company0187 Model" xfId="874" xr:uid="{00000000-0005-0000-0000-000055070000}"/>
    <cellStyle name="_Percent_Segment breakout_Book2" xfId="875" xr:uid="{00000000-0005-0000-0000-000056070000}"/>
    <cellStyle name="_Percent_segment graph data" xfId="876" xr:uid="{00000000-0005-0000-0000-000057070000}"/>
    <cellStyle name="_Percent_segment graph data 2" xfId="2423" xr:uid="{00000000-0005-0000-0000-000058070000}"/>
    <cellStyle name="_Percent_segment graph data_Company0187 Model" xfId="877" xr:uid="{00000000-0005-0000-0000-000059070000}"/>
    <cellStyle name="_Percent_segment graph data_Book2" xfId="878" xr:uid="{00000000-0005-0000-0000-00005A070000}"/>
    <cellStyle name="_Percent_Sheet1" xfId="879" xr:uid="{00000000-0005-0000-0000-00005B070000}"/>
    <cellStyle name="_Percent_Sheet1 2" xfId="2424" xr:uid="{00000000-0005-0000-0000-00005C070000}"/>
    <cellStyle name="_Percent_Sheet1_Company0187 Model" xfId="880" xr:uid="{00000000-0005-0000-0000-00005D070000}"/>
    <cellStyle name="_Percent_Sheet1_ABC" xfId="3612" xr:uid="{00000000-0005-0000-0000-00005E070000}"/>
    <cellStyle name="_Percent_Sheet1_Product0030" xfId="881" xr:uid="{00000000-0005-0000-0000-00005F070000}"/>
    <cellStyle name="_Percent_Sheet1_Product0030 2" xfId="2425" xr:uid="{00000000-0005-0000-0000-000060070000}"/>
    <cellStyle name="_Percent_Sheet1_Product0030_Company0187 Model" xfId="882" xr:uid="{00000000-0005-0000-0000-000061070000}"/>
    <cellStyle name="_Percent_Sheet1_Product0030_Book2" xfId="883" xr:uid="{00000000-0005-0000-0000-000062070000}"/>
    <cellStyle name="_Percent_Sheet1_Company0226" xfId="3613" xr:uid="{00000000-0005-0000-0000-000063070000}"/>
    <cellStyle name="_Percent_Sheet1_BNT" xfId="3614" xr:uid="{00000000-0005-0000-0000-000064070000}"/>
    <cellStyle name="_Percent_Sheet1_Book2" xfId="884" xr:uid="{00000000-0005-0000-0000-000065070000}"/>
    <cellStyle name="_Percent_Sheet1_BRL" xfId="3615" xr:uid="{00000000-0005-0000-0000-000066070000}"/>
    <cellStyle name="_Percent_Sheet1_Company0353" xfId="3616" xr:uid="{00000000-0005-0000-0000-000067070000}"/>
    <cellStyle name="_Percent_Sheet1_Company0426" xfId="3617" xr:uid="{00000000-0005-0000-0000-000068070000}"/>
    <cellStyle name="_Percent_Sheet1_Company0472 working" xfId="885" xr:uid="{00000000-0005-0000-0000-000069070000}"/>
    <cellStyle name="_Percent_Sheet1_Company0882" xfId="3618" xr:uid="{00000000-0005-0000-0000-00006A070000}"/>
    <cellStyle name="_Percent_Sheet1_Generic impact charts" xfId="3619" xr:uid="{00000000-0005-0000-0000-00006B070000}"/>
    <cellStyle name="_Percent_Sheet1_GQ" xfId="886" xr:uid="{00000000-0005-0000-0000-00006C070000}"/>
    <cellStyle name="_Percent_Sheet1_GQ 2" xfId="2426" xr:uid="{00000000-0005-0000-0000-00006D070000}"/>
    <cellStyle name="_Percent_Sheet1_GQ_Company0187 Model" xfId="887" xr:uid="{00000000-0005-0000-0000-00006E070000}"/>
    <cellStyle name="_Percent_Sheet1_GQ_Book2" xfId="888" xr:uid="{00000000-0005-0000-0000-00006F070000}"/>
    <cellStyle name="_Percent_Sheet1_Industry P&amp;L 4_20_2006" xfId="3620" xr:uid="{00000000-0005-0000-0000-000070070000}"/>
    <cellStyle name="_Percent_Sheet1_IS" xfId="889" xr:uid="{00000000-0005-0000-0000-000071070000}"/>
    <cellStyle name="_Percent_Sheet1_IS 2" xfId="2427" xr:uid="{00000000-0005-0000-0000-000072070000}"/>
    <cellStyle name="_Percent_Sheet1_IS_Company0187 Model" xfId="890" xr:uid="{00000000-0005-0000-0000-000073070000}"/>
    <cellStyle name="_Percent_Sheet1_IS_Book2" xfId="891" xr:uid="{00000000-0005-0000-0000-000074070000}"/>
    <cellStyle name="_Percent_Sheet1_Key poduct model" xfId="892" xr:uid="{00000000-0005-0000-0000-000075070000}"/>
    <cellStyle name="_Percent_Sheet1_Key poduct model 2" xfId="2428" xr:uid="{00000000-0005-0000-0000-000076070000}"/>
    <cellStyle name="_Percent_Sheet1_Key poduct model_Company0187 Model" xfId="893" xr:uid="{00000000-0005-0000-0000-000077070000}"/>
    <cellStyle name="_Percent_Sheet1_Key poduct model_Book2" xfId="894" xr:uid="{00000000-0005-0000-0000-000078070000}"/>
    <cellStyle name="_Percent_Sheet1_Key product model" xfId="3621" xr:uid="{00000000-0005-0000-0000-000079070000}"/>
    <cellStyle name="_Percent_Sheet1_Mainsheet - consolidated" xfId="895" xr:uid="{00000000-0005-0000-0000-00007A070000}"/>
    <cellStyle name="_Percent_Sheet1_Mainsheet - consolidated 2" xfId="2429" xr:uid="{00000000-0005-0000-0000-00007B070000}"/>
    <cellStyle name="_Percent_Sheet1_Mainsheet - consolidated_Company0187 Model" xfId="896" xr:uid="{00000000-0005-0000-0000-00007C070000}"/>
    <cellStyle name="_Percent_Sheet1_Mainsheet - consolidated_Book2" xfId="897" xr:uid="{00000000-0005-0000-0000-00007D070000}"/>
    <cellStyle name="_Percent_Sheet1_MASTER Person1077-WC 10-28-06 LAUNCH" xfId="898" xr:uid="{00000000-0005-0000-0000-00007E070000}"/>
    <cellStyle name="_Percent_Sheet1_MASTER Person1077-WC 10-28-06 LAUNCH 2" xfId="2430" xr:uid="{00000000-0005-0000-0000-00007F070000}"/>
    <cellStyle name="_Percent_Sheet1_MASTER Person1077-WC 10-28-06 LAUNCH_Company0187 Model" xfId="899" xr:uid="{00000000-0005-0000-0000-000080070000}"/>
    <cellStyle name="_Percent_Sheet1_MASTER Person1077-WC 10-28-06 LAUNCH_Book2" xfId="900" xr:uid="{00000000-0005-0000-0000-000081070000}"/>
    <cellStyle name="_Percent_Sheet1_MASTER VAL SHEET For Luanch 4_24_06" xfId="3622" xr:uid="{00000000-0005-0000-0000-000082070000}"/>
    <cellStyle name="_Percent_Sheet1_Person0704" xfId="3623" xr:uid="{00000000-0005-0000-0000-000083070000}"/>
    <cellStyle name="_Percent_Sheet1_MHS" xfId="3624" xr:uid="{00000000-0005-0000-0000-000084070000}"/>
    <cellStyle name="_Percent_Sheet1_Company1761" xfId="3625" xr:uid="{00000000-0005-0000-0000-000085070000}"/>
    <cellStyle name="_Percent_Sheet1_Company2110" xfId="3626" xr:uid="{00000000-0005-0000-0000-000086070000}"/>
    <cellStyle name="_Percent_Sheet1_Risk1" xfId="3627" xr:uid="{00000000-0005-0000-0000-000087070000}"/>
    <cellStyle name="_Percent_Sheet1_Risk2" xfId="3628" xr:uid="{00000000-0005-0000-0000-000088070000}"/>
    <cellStyle name="_Percent_Sheet1_Risks" xfId="3629" xr:uid="{00000000-0005-0000-0000-000089070000}"/>
    <cellStyle name="_Percent_Sheet1_Company2376 working" xfId="901" xr:uid="{00000000-0005-0000-0000-00008A070000}"/>
    <cellStyle name="_Percent_Sheet1_Sheet1" xfId="3630" xr:uid="{00000000-0005-0000-0000-00008B070000}"/>
    <cellStyle name="_Percent_Sheet1_Sheet3" xfId="902" xr:uid="{00000000-0005-0000-0000-00008C070000}"/>
    <cellStyle name="_Percent_Sheet1_Sheet3 2" xfId="2431" xr:uid="{00000000-0005-0000-0000-00008D070000}"/>
    <cellStyle name="_Percent_Sheet1_Sheet3_Company0187 Model" xfId="903" xr:uid="{00000000-0005-0000-0000-00008E070000}"/>
    <cellStyle name="_Percent_Sheet1_Sheet3_Book2" xfId="904" xr:uid="{00000000-0005-0000-0000-00008F070000}"/>
    <cellStyle name="_Percent_Sheet1_Sheet3_WC Product0280 forecast" xfId="905" xr:uid="{00000000-0005-0000-0000-000090070000}"/>
    <cellStyle name="_Percent_Sheet1_Sheet3_WC Product0280 forecast 2" xfId="2432" xr:uid="{00000000-0005-0000-0000-000091070000}"/>
    <cellStyle name="_Percent_Sheet1_Sheet3_WC Product0280 forecast_Company0187 Model" xfId="906" xr:uid="{00000000-0005-0000-0000-000092070000}"/>
    <cellStyle name="_Percent_Sheet1_Sheet3_WC Product0280 forecast_Book2" xfId="907" xr:uid="{00000000-0005-0000-0000-000093070000}"/>
    <cellStyle name="_Percent_Sheet1_Sheet4" xfId="3631" xr:uid="{00000000-0005-0000-0000-000094070000}"/>
    <cellStyle name="_Percent_Sheet1_SPEC Rx trend vs est " xfId="908" xr:uid="{00000000-0005-0000-0000-000095070000}"/>
    <cellStyle name="_Percent_Sheet1_SPEC Rx trend vs est  2" xfId="2433" xr:uid="{00000000-0005-0000-0000-000096070000}"/>
    <cellStyle name="_Percent_Sheet1_SPEC Rx trend vs est  3" xfId="2434" xr:uid="{00000000-0005-0000-0000-000097070000}"/>
    <cellStyle name="_Percent_Sheet1_SPEC Rx trend vs est _Company0187 Model" xfId="909" xr:uid="{00000000-0005-0000-0000-000098070000}"/>
    <cellStyle name="_Percent_Sheet1_SPEC Rx trend vs est _Book2" xfId="910" xr:uid="{00000000-0005-0000-0000-000099070000}"/>
    <cellStyle name="_Percent_Sheet1_Person1077 - Company0395 12-7-2006 FINAL" xfId="911" xr:uid="{00000000-0005-0000-0000-00009A070000}"/>
    <cellStyle name="_Percent_Sheet1_Person1077 - Company0395 12-7-2006 FINAL 2" xfId="2435" xr:uid="{00000000-0005-0000-0000-00009B070000}"/>
    <cellStyle name="_Percent_Sheet1_Person1077 - Company0395 12-7-2006 FINAL_Company0187 Model" xfId="912" xr:uid="{00000000-0005-0000-0000-00009C070000}"/>
    <cellStyle name="_Percent_Sheet1_Person1077 - Company0395 12-7-2006 FINAL_Book2" xfId="913" xr:uid="{00000000-0005-0000-0000-00009D070000}"/>
    <cellStyle name="_Percent_Sheet1_Sum of the parts 5-21-2007" xfId="3632" xr:uid="{00000000-0005-0000-0000-00009E070000}"/>
    <cellStyle name="_Percent_Sheet1_Template 1-9-2007" xfId="3633" xr:uid="{00000000-0005-0000-0000-00009F070000}"/>
    <cellStyle name="_Percent_Sheet1_Company2640" xfId="3634" xr:uid="{00000000-0005-0000-0000-0000A0070000}"/>
    <cellStyle name="_Percent_Sheet1_WC Product0280 forecast" xfId="914" xr:uid="{00000000-0005-0000-0000-0000A1070000}"/>
    <cellStyle name="_Percent_Sheet1_WC Product0280 forecast 2" xfId="2436" xr:uid="{00000000-0005-0000-0000-0000A2070000}"/>
    <cellStyle name="_Percent_Sheet1_WC Product0280 forecast_Company0187 Model" xfId="915" xr:uid="{00000000-0005-0000-0000-0000A3070000}"/>
    <cellStyle name="_Percent_Sheet1_WC Product0280 forecast_Book2" xfId="916" xr:uid="{00000000-0005-0000-0000-0000A4070000}"/>
    <cellStyle name="_Percent_Sheet1_Company2931 working" xfId="917" xr:uid="{00000000-0005-0000-0000-0000A5070000}"/>
    <cellStyle name="_Percent_Sheet1_Company2931 working 2" xfId="2437" xr:uid="{00000000-0005-0000-0000-0000A6070000}"/>
    <cellStyle name="_Percent_Sheet1_Company2931 working_Company0187 Model" xfId="918" xr:uid="{00000000-0005-0000-0000-0000A7070000}"/>
    <cellStyle name="_Percent_Sheet1_Company2931 working_Book2" xfId="919" xr:uid="{00000000-0005-0000-0000-0000A8070000}"/>
    <cellStyle name="_Percent_Sheet1_WPI" xfId="3635" xr:uid="{00000000-0005-0000-0000-0000A9070000}"/>
    <cellStyle name="_Percent_Sheet13" xfId="920" xr:uid="{00000000-0005-0000-0000-0000AA070000}"/>
    <cellStyle name="_Percent_Sheet13 2" xfId="2438" xr:uid="{00000000-0005-0000-0000-0000AB070000}"/>
    <cellStyle name="_Percent_Sheet13_Company0187 Model" xfId="921" xr:uid="{00000000-0005-0000-0000-0000AC070000}"/>
    <cellStyle name="_Percent_Sheet13_Book2" xfId="922" xr:uid="{00000000-0005-0000-0000-0000AD070000}"/>
    <cellStyle name="_Percent_Sheet3" xfId="923" xr:uid="{00000000-0005-0000-0000-0000AE070000}"/>
    <cellStyle name="_Percent_Sheet3 2" xfId="2439" xr:uid="{00000000-0005-0000-0000-0000AF070000}"/>
    <cellStyle name="_Percent_Sheet3_Company0187 Model" xfId="924" xr:uid="{00000000-0005-0000-0000-0000B0070000}"/>
    <cellStyle name="_Percent_Sheet3_Book2" xfId="925" xr:uid="{00000000-0005-0000-0000-0000B1070000}"/>
    <cellStyle name="_Percent_Sheet4" xfId="3636" xr:uid="{00000000-0005-0000-0000-0000B2070000}"/>
    <cellStyle name="_Percent_Sheet6" xfId="926" xr:uid="{00000000-0005-0000-0000-0000B3070000}"/>
    <cellStyle name="_Percent_Sheet6 2" xfId="2440" xr:uid="{00000000-0005-0000-0000-0000B4070000}"/>
    <cellStyle name="_Percent_Sheet6_Company0187 Model" xfId="927" xr:uid="{00000000-0005-0000-0000-0000B5070000}"/>
    <cellStyle name="_Percent_Sheet6_Book2" xfId="928" xr:uid="{00000000-0005-0000-0000-0000B6070000}"/>
    <cellStyle name="_Percent_Snapshot" xfId="929" xr:uid="{00000000-0005-0000-0000-0000B7070000}"/>
    <cellStyle name="_Percent_Snapshot 2" xfId="2441" xr:uid="{00000000-0005-0000-0000-0000B8070000}"/>
    <cellStyle name="_Percent_Snapshot_Company0187 Model" xfId="930" xr:uid="{00000000-0005-0000-0000-0000B9070000}"/>
    <cellStyle name="_Percent_Snapshot_Book2" xfId="931" xr:uid="{00000000-0005-0000-0000-0000BA070000}"/>
    <cellStyle name="_Percent_Special situation" xfId="932" xr:uid="{00000000-0005-0000-0000-0000BB070000}"/>
    <cellStyle name="_Percent_Special situation 2" xfId="2442" xr:uid="{00000000-0005-0000-0000-0000BC070000}"/>
    <cellStyle name="_Percent_Special situation_Company0187 Model" xfId="933" xr:uid="{00000000-0005-0000-0000-0000BD070000}"/>
    <cellStyle name="_Percent_Special situation_Book2" xfId="934" xr:uid="{00000000-0005-0000-0000-0000BE070000}"/>
    <cellStyle name="_Percent_Person1011 - ABC 1-26-10" xfId="3637" xr:uid="{00000000-0005-0000-0000-0000BF070000}"/>
    <cellStyle name="_Percent_Person1077 - Company0395 12-7-2006 FINAL" xfId="3638" xr:uid="{00000000-0005-0000-0000-0000C0070000}"/>
    <cellStyle name="_Percent_Person1077 - Company0395 3-15-2007" xfId="3639" xr:uid="{00000000-0005-0000-0000-0000C1070000}"/>
    <cellStyle name="_Percent_Person1077 - Company0395 3-25-2007" xfId="3640" xr:uid="{00000000-0005-0000-0000-0000C2070000}"/>
    <cellStyle name="_Percent_Sum of the parts 5-21-2007" xfId="3641" xr:uid="{00000000-0005-0000-0000-0000C3070000}"/>
    <cellStyle name="_Percent_symcqtis" xfId="3642" xr:uid="{00000000-0005-0000-0000-0000C4070000}"/>
    <cellStyle name="_Percent_Product0406 - dovonex" xfId="935" xr:uid="{00000000-0005-0000-0000-0000C5070000}"/>
    <cellStyle name="_Percent_Product0406 - dovonex 2" xfId="2443" xr:uid="{00000000-0005-0000-0000-0000C6070000}"/>
    <cellStyle name="_Percent_Product0406 - dovonex_Company0187 Model" xfId="936" xr:uid="{00000000-0005-0000-0000-0000C7070000}"/>
    <cellStyle name="_Percent_Product0406 - dovonex_Book2" xfId="937" xr:uid="{00000000-0005-0000-0000-0000C8070000}"/>
    <cellStyle name="_Percent_taro DSO 4-29-06" xfId="938" xr:uid="{00000000-0005-0000-0000-0000C9070000}"/>
    <cellStyle name="_Percent_taro DSO 4-29-06 2" xfId="2444" xr:uid="{00000000-0005-0000-0000-0000CA070000}"/>
    <cellStyle name="_Percent_taro DSO 4-29-06_Company0187 Model" xfId="939" xr:uid="{00000000-0005-0000-0000-0000CB070000}"/>
    <cellStyle name="_Percent_taro DSO 4-29-06_Book2" xfId="940" xr:uid="{00000000-0005-0000-0000-0000CC070000}"/>
    <cellStyle name="_Percent_Tearsheet" xfId="941" xr:uid="{00000000-0005-0000-0000-0000CD070000}"/>
    <cellStyle name="_Percent_Tearsheet 2" xfId="2445" xr:uid="{00000000-0005-0000-0000-0000CE070000}"/>
    <cellStyle name="_Percent_Tearsheet_Company0187 Model" xfId="942" xr:uid="{00000000-0005-0000-0000-0000CF070000}"/>
    <cellStyle name="_Percent_Tearsheet_Book2" xfId="943" xr:uid="{00000000-0005-0000-0000-0000D0070000}"/>
    <cellStyle name="_Percent_Template 1-9-2007" xfId="3643" xr:uid="{00000000-0005-0000-0000-0000D1070000}"/>
    <cellStyle name="_Percent_Product0415" xfId="944" xr:uid="{00000000-0005-0000-0000-0000D2070000}"/>
    <cellStyle name="_Percent_Product0415 2" xfId="2446" xr:uid="{00000000-0005-0000-0000-0000D3070000}"/>
    <cellStyle name="_Percent_Product0415_Company0187 Model" xfId="945" xr:uid="{00000000-0005-0000-0000-0000D4070000}"/>
    <cellStyle name="_Percent_Product0415_Book2" xfId="946" xr:uid="{00000000-0005-0000-0000-0000D5070000}"/>
    <cellStyle name="_Percent_Company2640" xfId="3644" xr:uid="{00000000-0005-0000-0000-0000D6070000}"/>
    <cellStyle name="_Percent_Company2758 - Qtrly IS" xfId="947" xr:uid="{00000000-0005-0000-0000-0000D7070000}"/>
    <cellStyle name="_Percent_Company2758 - Qtrly IS 2" xfId="2447" xr:uid="{00000000-0005-0000-0000-0000D8070000}"/>
    <cellStyle name="_Percent_Company2758 - Qtrly IS_Company0187 Model" xfId="948" xr:uid="{00000000-0005-0000-0000-0000D9070000}"/>
    <cellStyle name="_Percent_Company2758 - Qtrly IS_Book2" xfId="949" xr:uid="{00000000-0005-0000-0000-0000DA070000}"/>
    <cellStyle name="_Percent_Company2758 main sheet" xfId="950" xr:uid="{00000000-0005-0000-0000-0000DB070000}"/>
    <cellStyle name="_Percent_Company2758 main sheet 2" xfId="2448" xr:uid="{00000000-0005-0000-0000-0000DC070000}"/>
    <cellStyle name="_Percent_Company2758 main sheet_Company0187 Model" xfId="951" xr:uid="{00000000-0005-0000-0000-0000DD070000}"/>
    <cellStyle name="_Percent_Company2758 main sheet_Book2" xfId="952" xr:uid="{00000000-0005-0000-0000-0000DE070000}"/>
    <cellStyle name="_Percent_WC Product0280 forecast" xfId="953" xr:uid="{00000000-0005-0000-0000-0000DF070000}"/>
    <cellStyle name="_Percent_WC Product0280 forecast 2" xfId="2449" xr:uid="{00000000-0005-0000-0000-0000E0070000}"/>
    <cellStyle name="_Percent_WC Product0280 forecast_Company0187 Model" xfId="954" xr:uid="{00000000-0005-0000-0000-0000E1070000}"/>
    <cellStyle name="_Percent_WC Product0280 forecast_Book2" xfId="955" xr:uid="{00000000-0005-0000-0000-0000E2070000}"/>
    <cellStyle name="_Percent_WPI" xfId="3645" xr:uid="{00000000-0005-0000-0000-0000E3070000}"/>
    <cellStyle name="_PercentSpace" xfId="956" xr:uid="{00000000-0005-0000-0000-0000E4070000}"/>
    <cellStyle name="_PercentSpace 2" xfId="2450" xr:uid="{00000000-0005-0000-0000-0000E5070000}"/>
    <cellStyle name="_PercentSpace_01 adj for merger plan" xfId="4469" xr:uid="{00000000-0005-0000-0000-0000E6070000}"/>
    <cellStyle name="_PercentSpace_1 Product0221 24" xfId="957" xr:uid="{00000000-0005-0000-0000-0000E7070000}"/>
    <cellStyle name="_PercentSpace_1 Product0221 24 2" xfId="2451" xr:uid="{00000000-0005-0000-0000-0000E8070000}"/>
    <cellStyle name="_PercentSpace_1 Product0221 24_Company0187 Model" xfId="958" xr:uid="{00000000-0005-0000-0000-0000E9070000}"/>
    <cellStyle name="_PercentSpace_1 Product0221 24_Book2" xfId="959" xr:uid="{00000000-0005-0000-0000-0000EA070000}"/>
    <cellStyle name="_PercentSpace_1 Product0280" xfId="960" xr:uid="{00000000-0005-0000-0000-0000EB070000}"/>
    <cellStyle name="_PercentSpace_1 Product0280 2" xfId="2452" xr:uid="{00000000-0005-0000-0000-0000EC070000}"/>
    <cellStyle name="_PercentSpace_1 Product0280_Company0187 Model" xfId="961" xr:uid="{00000000-0005-0000-0000-0000ED070000}"/>
    <cellStyle name="_PercentSpace_1 Product0280_Book2" xfId="962" xr:uid="{00000000-0005-0000-0000-0000EE070000}"/>
    <cellStyle name="_PercentSpace_1 Product0406" xfId="963" xr:uid="{00000000-0005-0000-0000-0000EF070000}"/>
    <cellStyle name="_PercentSpace_1 Product0406 2" xfId="2453" xr:uid="{00000000-0005-0000-0000-0000F0070000}"/>
    <cellStyle name="_PercentSpace_1 Product0406_Company0187 Model" xfId="964" xr:uid="{00000000-0005-0000-0000-0000F1070000}"/>
    <cellStyle name="_PercentSpace_1 Product0406_Book2" xfId="965" xr:uid="{00000000-0005-0000-0000-0000F2070000}"/>
    <cellStyle name="_PercentSpace_4VAL DCF2" xfId="966" xr:uid="{00000000-0005-0000-0000-0000F3070000}"/>
    <cellStyle name="_PercentSpace_4VAL DCF2 2" xfId="2454" xr:uid="{00000000-0005-0000-0000-0000F4070000}"/>
    <cellStyle name="_PercentSpace_4VAL DCF2_Company0187 Model" xfId="967" xr:uid="{00000000-0005-0000-0000-0000F5070000}"/>
    <cellStyle name="_PercentSpace_4VAL DCF2_Book2" xfId="968" xr:uid="{00000000-0005-0000-0000-0000F6070000}"/>
    <cellStyle name="_PercentSpace_Company0187 Model" xfId="969" xr:uid="{00000000-0005-0000-0000-0000F7070000}"/>
    <cellStyle name="_PercentSpace_Product0022" xfId="970" xr:uid="{00000000-0005-0000-0000-0000F8070000}"/>
    <cellStyle name="_PercentSpace_Product0022 2" xfId="2455" xr:uid="{00000000-0005-0000-0000-0000F9070000}"/>
    <cellStyle name="_PercentSpace_Product0022_Company0187 Model" xfId="971" xr:uid="{00000000-0005-0000-0000-0000FA070000}"/>
    <cellStyle name="_PercentSpace_Product0022_Book2" xfId="972" xr:uid="{00000000-0005-0000-0000-0000FB070000}"/>
    <cellStyle name="_PercentSpace_Product0030" xfId="973" xr:uid="{00000000-0005-0000-0000-0000FC070000}"/>
    <cellStyle name="_PercentSpace_Product0030 2" xfId="2456" xr:uid="{00000000-0005-0000-0000-0000FD070000}"/>
    <cellStyle name="_PercentSpace_Product0030_Company0187 Model" xfId="974" xr:uid="{00000000-0005-0000-0000-0000FE070000}"/>
    <cellStyle name="_PercentSpace_Product0030_Book2" xfId="975" xr:uid="{00000000-0005-0000-0000-0000FF070000}"/>
    <cellStyle name="_PercentSpace_Company0226" xfId="3646" xr:uid="{00000000-0005-0000-0000-000000080000}"/>
    <cellStyle name="_PercentSpace_ANDAs" xfId="976" xr:uid="{00000000-0005-0000-0000-000001080000}"/>
    <cellStyle name="_PercentSpace_ANDAs 2" xfId="2457" xr:uid="{00000000-0005-0000-0000-000002080000}"/>
    <cellStyle name="_PercentSpace_ANDAs summary sheet" xfId="977" xr:uid="{00000000-0005-0000-0000-000003080000}"/>
    <cellStyle name="_PercentSpace_ANDAs summary sheet 2" xfId="2458" xr:uid="{00000000-0005-0000-0000-000004080000}"/>
    <cellStyle name="_PercentSpace_ANDAs summary sheet_Company0187 Model" xfId="978" xr:uid="{00000000-0005-0000-0000-000005080000}"/>
    <cellStyle name="_PercentSpace_ANDAs summary sheet_Book2" xfId="979" xr:uid="{00000000-0005-0000-0000-000006080000}"/>
    <cellStyle name="_PercentSpace_ANDAs_Company0187 Model" xfId="980" xr:uid="{00000000-0005-0000-0000-000007080000}"/>
    <cellStyle name="_PercentSpace_ANDAs_Book2" xfId="981" xr:uid="{00000000-0005-0000-0000-000008080000}"/>
    <cellStyle name="_PercentSpace_Company0106 Company0718" xfId="982" xr:uid="{00000000-0005-0000-0000-000009080000}"/>
    <cellStyle name="_PercentSpace_Company0106 Company0718 2" xfId="2459" xr:uid="{00000000-0005-0000-0000-00000A080000}"/>
    <cellStyle name="_PercentSpace_Company0106 Company0718_Company0187 Model" xfId="983" xr:uid="{00000000-0005-0000-0000-00000B080000}"/>
    <cellStyle name="_PercentSpace_Company0106 Company0718_Book2" xfId="984" xr:uid="{00000000-0005-0000-0000-00000C080000}"/>
    <cellStyle name="_PercentSpace_BNT" xfId="3647" xr:uid="{00000000-0005-0000-0000-00000D080000}"/>
    <cellStyle name="_PercentSpace_Book2" xfId="985" xr:uid="{00000000-0005-0000-0000-00000E080000}"/>
    <cellStyle name="_PercentSpace_BRL" xfId="3648" xr:uid="{00000000-0005-0000-0000-00000F080000}"/>
    <cellStyle name="_PercentSpace_Broadcasting" xfId="3649" xr:uid="{00000000-0005-0000-0000-000010080000}"/>
    <cellStyle name="_PercentSpace_Company0353" xfId="3650" xr:uid="{00000000-0005-0000-0000-000011080000}"/>
    <cellStyle name="_PercentSpace_Company0426" xfId="3651" xr:uid="{00000000-0005-0000-0000-000012080000}"/>
    <cellStyle name="_PercentSpace_CAPEX spend" xfId="986" xr:uid="{00000000-0005-0000-0000-000013080000}"/>
    <cellStyle name="_PercentSpace_CAPEX spend 2" xfId="2460" xr:uid="{00000000-0005-0000-0000-000014080000}"/>
    <cellStyle name="_PercentSpace_CAPEX spend_Company0187 Model" xfId="987" xr:uid="{00000000-0005-0000-0000-000015080000}"/>
    <cellStyle name="_PercentSpace_CAPEX spend_Book2" xfId="988" xr:uid="{00000000-0005-0000-0000-000016080000}"/>
    <cellStyle name="_PercentSpace_Company0658 Health" xfId="3652" xr:uid="{00000000-0005-0000-0000-000017080000}"/>
    <cellStyle name="_PercentSpace_Company0689" xfId="3653" xr:uid="{00000000-0005-0000-0000-000018080000}"/>
    <cellStyle name="_PercentSpace_Consolidation" xfId="989" xr:uid="{00000000-0005-0000-0000-000019080000}"/>
    <cellStyle name="_PercentSpace_Consolidation 2" xfId="2461" xr:uid="{00000000-0005-0000-0000-00001A080000}"/>
    <cellStyle name="_PercentSpace_Consolidation_Company0187 Model" xfId="990" xr:uid="{00000000-0005-0000-0000-00001B080000}"/>
    <cellStyle name="_PercentSpace_Consolidation_Book2" xfId="991" xr:uid="{00000000-0005-0000-0000-00001C080000}"/>
    <cellStyle name="_PercentSpace_Copy of Person1011 - WPI 06-17-2009" xfId="3654" xr:uid="{00000000-0005-0000-0000-00001D080000}"/>
    <cellStyle name="_PercentSpace_Cover page" xfId="3655" xr:uid="{00000000-0005-0000-0000-00001E080000}"/>
    <cellStyle name="_PercentSpace_DCF Alexander Person0382" xfId="4470" xr:uid="{00000000-0005-0000-0000-00001F080000}"/>
    <cellStyle name="_PercentSpace_Debt schedule" xfId="992" xr:uid="{00000000-0005-0000-0000-000020080000}"/>
    <cellStyle name="_PercentSpace_Debt schedule 2" xfId="2462" xr:uid="{00000000-0005-0000-0000-000021080000}"/>
    <cellStyle name="_PercentSpace_Debt schedule_Company0187 Model" xfId="993" xr:uid="{00000000-0005-0000-0000-000022080000}"/>
    <cellStyle name="_PercentSpace_Debt schedule_Book2" xfId="994" xr:uid="{00000000-0005-0000-0000-000023080000}"/>
    <cellStyle name="_PercentSpace_DSO" xfId="995" xr:uid="{00000000-0005-0000-0000-000024080000}"/>
    <cellStyle name="_PercentSpace_DSO 2" xfId="2463" xr:uid="{00000000-0005-0000-0000-000025080000}"/>
    <cellStyle name="_PercentSpace_DSO_Company0187 Model" xfId="996" xr:uid="{00000000-0005-0000-0000-000026080000}"/>
    <cellStyle name="_PercentSpace_DSO_Book2" xfId="997" xr:uid="{00000000-0005-0000-0000-000027080000}"/>
    <cellStyle name="_PercentSpace_EPS revision" xfId="998" xr:uid="{00000000-0005-0000-0000-000028080000}"/>
    <cellStyle name="_PercentSpace_EPS revision 2" xfId="2464" xr:uid="{00000000-0005-0000-0000-000029080000}"/>
    <cellStyle name="_PercentSpace_EPS revision_Company0187 Model" xfId="999" xr:uid="{00000000-0005-0000-0000-00002A080000}"/>
    <cellStyle name="_PercentSpace_EPS revision_Book2" xfId="1000" xr:uid="{00000000-0005-0000-0000-00002B080000}"/>
    <cellStyle name="_PercentSpace_EPS sensitivity" xfId="1001" xr:uid="{00000000-0005-0000-0000-00002C080000}"/>
    <cellStyle name="_PercentSpace_EPS sensitivity 2" xfId="2465" xr:uid="{00000000-0005-0000-0000-00002D080000}"/>
    <cellStyle name="_PercentSpace_EPS sensitivity_Company0187 Model" xfId="1002" xr:uid="{00000000-0005-0000-0000-00002E080000}"/>
    <cellStyle name="_PercentSpace_EPS sensitivity_Book2" xfId="1003" xr:uid="{00000000-0005-0000-0000-00002F080000}"/>
    <cellStyle name="_PercentSpace_FBANDAs" xfId="1004" xr:uid="{00000000-0005-0000-0000-000030080000}"/>
    <cellStyle name="_PercentSpace_FBANDAs 2" xfId="2466" xr:uid="{00000000-0005-0000-0000-000031080000}"/>
    <cellStyle name="_PercentSpace_FBANDAs_Company0187 Model" xfId="1005" xr:uid="{00000000-0005-0000-0000-000032080000}"/>
    <cellStyle name="_PercentSpace_FBANDAs_Book2" xfId="1006" xr:uid="{00000000-0005-0000-0000-000033080000}"/>
    <cellStyle name="_PercentSpace_Product0158" xfId="1007" xr:uid="{00000000-0005-0000-0000-000034080000}"/>
    <cellStyle name="_PercentSpace_Product0158 2" xfId="2467" xr:uid="{00000000-0005-0000-0000-000035080000}"/>
    <cellStyle name="_PercentSpace_Product0158_Company0187 Model" xfId="1008" xr:uid="{00000000-0005-0000-0000-000036080000}"/>
    <cellStyle name="_PercentSpace_Product0158_Book2" xfId="1009" xr:uid="{00000000-0005-0000-0000-000037080000}"/>
    <cellStyle name="_PercentSpace_FMBI MBHI Graphs" xfId="4471" xr:uid="{00000000-0005-0000-0000-000038080000}"/>
    <cellStyle name="_PercentSpace_FMBI MBHI Graphs 07102001" xfId="4472" xr:uid="{00000000-0005-0000-0000-000039080000}"/>
    <cellStyle name="_PercentSpace_FMBI MBHI Graphs_7601" xfId="4473" xr:uid="{00000000-0005-0000-0000-00003A080000}"/>
    <cellStyle name="_PercentSpace_For charts" xfId="1010" xr:uid="{00000000-0005-0000-0000-00003B080000}"/>
    <cellStyle name="_PercentSpace_For charts 2" xfId="2468" xr:uid="{00000000-0005-0000-0000-00003C080000}"/>
    <cellStyle name="_PercentSpace_For charts_Company0187 Model" xfId="1011" xr:uid="{00000000-0005-0000-0000-00003D080000}"/>
    <cellStyle name="_PercentSpace_For charts_Book2" xfId="1012" xr:uid="{00000000-0005-0000-0000-00003E080000}"/>
    <cellStyle name="_PercentSpace_Gen pipe" xfId="1013" xr:uid="{00000000-0005-0000-0000-00003F080000}"/>
    <cellStyle name="_PercentSpace_Gen pipe 2" xfId="2469" xr:uid="{00000000-0005-0000-0000-000040080000}"/>
    <cellStyle name="_PercentSpace_Gen pipe_Company0187 Model" xfId="1014" xr:uid="{00000000-0005-0000-0000-000041080000}"/>
    <cellStyle name="_PercentSpace_Gen pipe_Book2" xfId="1015" xr:uid="{00000000-0005-0000-0000-000042080000}"/>
    <cellStyle name="_PercentSpace_Generic impact charts" xfId="3656" xr:uid="{00000000-0005-0000-0000-000043080000}"/>
    <cellStyle name="_PercentSpace_Generic pharma valuation multiples 11-29-2007_cleared" xfId="3657" xr:uid="{00000000-0005-0000-0000-000044080000}"/>
    <cellStyle name="_PercentSpace_Gross Margin" xfId="1016" xr:uid="{00000000-0005-0000-0000-000045080000}"/>
    <cellStyle name="_PercentSpace_Gross Margin 2" xfId="2470" xr:uid="{00000000-0005-0000-0000-000046080000}"/>
    <cellStyle name="_PercentSpace_Gross Margin_Company0187 Model" xfId="1017" xr:uid="{00000000-0005-0000-0000-000047080000}"/>
    <cellStyle name="_PercentSpace_Gross Margin_Book2" xfId="1018" xr:uid="{00000000-0005-0000-0000-000048080000}"/>
    <cellStyle name="_PercentSpace_Ticker0015_Person0155_Company0610_mod (Working)" xfId="3658" xr:uid="{00000000-0005-0000-0000-000049080000}"/>
    <cellStyle name="_PercentSpace_Ticker0015_Person0114_MOTMOD" xfId="3659" xr:uid="{00000000-0005-0000-0000-00004A080000}"/>
    <cellStyle name="_PercentSpace_Ticker0015_Person0752_CRL_4-1-05 RS" xfId="1019" xr:uid="{00000000-0005-0000-0000-00004B080000}"/>
    <cellStyle name="_PercentSpace_Ticker0015_Person0752_CRL_4-1-05 RS 2" xfId="2471" xr:uid="{00000000-0005-0000-0000-00004C080000}"/>
    <cellStyle name="_PercentSpace_Ticker0015_Person0752_CRL_4-1-05 RS_Company0187 Model" xfId="1020" xr:uid="{00000000-0005-0000-0000-00004D080000}"/>
    <cellStyle name="_PercentSpace_Ticker0015_Person0752_CRL_4-1-05 RS_Book2" xfId="1021" xr:uid="{00000000-0005-0000-0000-00004E080000}"/>
    <cellStyle name="_PercentSpace_Ticker0015_Company1678_ MASTER model 4-01-05 RS" xfId="1022" xr:uid="{00000000-0005-0000-0000-00004F080000}"/>
    <cellStyle name="_PercentSpace_Ticker0015_Company1678_ MASTER model 4-01-05 RS 2" xfId="2472" xr:uid="{00000000-0005-0000-0000-000050080000}"/>
    <cellStyle name="_PercentSpace_Ticker0015_Company1678_ MASTER model 4-01-05 RS_Company0187 Model" xfId="1023" xr:uid="{00000000-0005-0000-0000-000051080000}"/>
    <cellStyle name="_PercentSpace_Ticker0015_Company1678_ MASTER model 4-01-05 RS_Book2" xfId="1024" xr:uid="{00000000-0005-0000-0000-000052080000}"/>
    <cellStyle name="_PercentSpace_Indian companies" xfId="1025" xr:uid="{00000000-0005-0000-0000-000053080000}"/>
    <cellStyle name="_PercentSpace_Indian companies 2" xfId="2473" xr:uid="{00000000-0005-0000-0000-000054080000}"/>
    <cellStyle name="_PercentSpace_Indian companies_Company0187 Model" xfId="1026" xr:uid="{00000000-0005-0000-0000-000055080000}"/>
    <cellStyle name="_PercentSpace_Indian companies_Book2" xfId="1027" xr:uid="{00000000-0005-0000-0000-000056080000}"/>
    <cellStyle name="_PercentSpace_Industry P&amp;L 4_20_2006" xfId="3660" xr:uid="{00000000-0005-0000-0000-000057080000}"/>
    <cellStyle name="_PercentSpace_Person0607" xfId="3661" xr:uid="{00000000-0005-0000-0000-000058080000}"/>
    <cellStyle name="_PercentSpace_Key poduct model" xfId="1028" xr:uid="{00000000-0005-0000-0000-000059080000}"/>
    <cellStyle name="_PercentSpace_Key poduct model 2" xfId="2474" xr:uid="{00000000-0005-0000-0000-00005A080000}"/>
    <cellStyle name="_PercentSpace_Key poduct model_Company0187 Model" xfId="1029" xr:uid="{00000000-0005-0000-0000-00005B080000}"/>
    <cellStyle name="_PercentSpace_Key poduct model_Book2" xfId="1030" xr:uid="{00000000-0005-0000-0000-00005C080000}"/>
    <cellStyle name="_PercentSpace_Key product model" xfId="3662" xr:uid="{00000000-0005-0000-0000-00005D080000}"/>
    <cellStyle name="_PercentSpace_Product0221 24" xfId="1031" xr:uid="{00000000-0005-0000-0000-00005E080000}"/>
    <cellStyle name="_PercentSpace_Product0221 24 2" xfId="2475" xr:uid="{00000000-0005-0000-0000-00005F080000}"/>
    <cellStyle name="_PercentSpace_Product0221 24_Company0187 Model" xfId="1032" xr:uid="{00000000-0005-0000-0000-000060080000}"/>
    <cellStyle name="_PercentSpace_Product0221 24_Book2" xfId="1033" xr:uid="{00000000-0005-0000-0000-000061080000}"/>
    <cellStyle name="_PercentSpace_major holders 5-04" xfId="1034" xr:uid="{00000000-0005-0000-0000-000062080000}"/>
    <cellStyle name="_PercentSpace_major holders 5-04 2" xfId="2476" xr:uid="{00000000-0005-0000-0000-000063080000}"/>
    <cellStyle name="_PercentSpace_major holders 5-04_Company0187 Model" xfId="1035" xr:uid="{00000000-0005-0000-0000-000064080000}"/>
    <cellStyle name="_PercentSpace_major holders 5-04_Book2" xfId="1036" xr:uid="{00000000-0005-0000-0000-000065080000}"/>
    <cellStyle name="_PercentSpace_Master Comp V.6 WIP DO NOT USE" xfId="3663" xr:uid="{00000000-0005-0000-0000-000066080000}"/>
    <cellStyle name="_PercentSpace_MASTER VAL SHEET For Luanch 4_24_06" xfId="3664" xr:uid="{00000000-0005-0000-0000-000067080000}"/>
    <cellStyle name="_PercentSpace_Product0243 channel data" xfId="1037" xr:uid="{00000000-0005-0000-0000-000068080000}"/>
    <cellStyle name="_PercentSpace_Product0243 channel data 2" xfId="2477" xr:uid="{00000000-0005-0000-0000-000069080000}"/>
    <cellStyle name="_PercentSpace_Product0243 channel data_Company0187 Model" xfId="1038" xr:uid="{00000000-0005-0000-0000-00006A080000}"/>
    <cellStyle name="_PercentSpace_Product0243 channel data_Book2" xfId="1039" xr:uid="{00000000-0005-0000-0000-00006B080000}"/>
    <cellStyle name="_PercentSpace_Product0243 ES estimates" xfId="1040" xr:uid="{00000000-0005-0000-0000-00006C080000}"/>
    <cellStyle name="_PercentSpace_Product0243 ES estimates 2" xfId="2478" xr:uid="{00000000-0005-0000-0000-00006D080000}"/>
    <cellStyle name="_PercentSpace_Product0243 ES estimates_Company0187 Model" xfId="1041" xr:uid="{00000000-0005-0000-0000-00006E080000}"/>
    <cellStyle name="_PercentSpace_Product0243 ES estimates_Book2" xfId="1042" xr:uid="{00000000-0005-0000-0000-00006F080000}"/>
    <cellStyle name="_PercentSpace_Product0243 ES sales data" xfId="1043" xr:uid="{00000000-0005-0000-0000-000070080000}"/>
    <cellStyle name="_PercentSpace_Product0243 ES sales data 2" xfId="2479" xr:uid="{00000000-0005-0000-0000-000071080000}"/>
    <cellStyle name="_PercentSpace_Product0243 ES sales data_Company0187 Model" xfId="1044" xr:uid="{00000000-0005-0000-0000-000072080000}"/>
    <cellStyle name="_PercentSpace_Product0243 ES sales data_Book2" xfId="1045" xr:uid="{00000000-0005-0000-0000-000073080000}"/>
    <cellStyle name="_PercentSpace_Product0243 Market IMS" xfId="1046" xr:uid="{00000000-0005-0000-0000-000074080000}"/>
    <cellStyle name="_PercentSpace_Product0243 Market IMS 2" xfId="2480" xr:uid="{00000000-0005-0000-0000-000075080000}"/>
    <cellStyle name="_PercentSpace_Product0243 Market IMS_Company0187 Model" xfId="1047" xr:uid="{00000000-0005-0000-0000-000076080000}"/>
    <cellStyle name="_PercentSpace_Product0243 Market IMS_Book2" xfId="1048" xr:uid="{00000000-0005-0000-0000-000077080000}"/>
    <cellStyle name="_PercentSpace_Product0243 NRx weekly" xfId="1049" xr:uid="{00000000-0005-0000-0000-000078080000}"/>
    <cellStyle name="_PercentSpace_Product0243 NRx weekly 2" xfId="2481" xr:uid="{00000000-0005-0000-0000-000079080000}"/>
    <cellStyle name="_PercentSpace_Product0243 NRx weekly_Company0187 Model" xfId="1050" xr:uid="{00000000-0005-0000-0000-00007A080000}"/>
    <cellStyle name="_PercentSpace_Product0243 NRx weekly_Book2" xfId="1051" xr:uid="{00000000-0005-0000-0000-00007B080000}"/>
    <cellStyle name="_PercentSpace_Product0243 TRx weekly" xfId="1052" xr:uid="{00000000-0005-0000-0000-00007C080000}"/>
    <cellStyle name="_PercentSpace_Product0243 TRx weekly 2" xfId="2482" xr:uid="{00000000-0005-0000-0000-00007D080000}"/>
    <cellStyle name="_PercentSpace_Product0243 TRx weekly_Company0187 Model" xfId="1053" xr:uid="{00000000-0005-0000-0000-00007E080000}"/>
    <cellStyle name="_PercentSpace_Product0243 TRx weekly_Book2" xfId="1054" xr:uid="{00000000-0005-0000-0000-00007F080000}"/>
    <cellStyle name="_PercentSpace_Company1761" xfId="3665" xr:uid="{00000000-0005-0000-0000-000080080000}"/>
    <cellStyle name="_PercentSpace_OldCompSheet 11-27-2006" xfId="3666" xr:uid="{00000000-0005-0000-0000-000081080000}"/>
    <cellStyle name="_PercentSpace_Company2110" xfId="3667" xr:uid="{00000000-0005-0000-0000-000082080000}"/>
    <cellStyle name="_PercentSpace_Company2110 TEMPLATE 5-13-06" xfId="1055" xr:uid="{00000000-0005-0000-0000-000083080000}"/>
    <cellStyle name="_PercentSpace_Company2110 TEMPLATE 5-13-06 2" xfId="2483" xr:uid="{00000000-0005-0000-0000-000084080000}"/>
    <cellStyle name="_PercentSpace_Company2110 TEMPLATE 5-13-06_Company0187 Model" xfId="1056" xr:uid="{00000000-0005-0000-0000-000085080000}"/>
    <cellStyle name="_PercentSpace_Company2110 TEMPLATE 5-13-06_Book2" xfId="1057" xr:uid="{00000000-0005-0000-0000-000086080000}"/>
    <cellStyle name="_PercentSpace_Price targets 3-4-2007-temp" xfId="3668" xr:uid="{00000000-0005-0000-0000-000087080000}"/>
    <cellStyle name="_PercentSpace_quarterly preview" xfId="1058" xr:uid="{00000000-0005-0000-0000-000088080000}"/>
    <cellStyle name="_PercentSpace_quarterly preview 2" xfId="2484" xr:uid="{00000000-0005-0000-0000-000089080000}"/>
    <cellStyle name="_PercentSpace_quarterly preview_Company0187 Model" xfId="1059" xr:uid="{00000000-0005-0000-0000-00008A080000}"/>
    <cellStyle name="_PercentSpace_quarterly preview_Book2" xfId="1060" xr:uid="{00000000-0005-0000-0000-00008B080000}"/>
    <cellStyle name="_PercentSpace_Rev" xfId="1061" xr:uid="{00000000-0005-0000-0000-00008C080000}"/>
    <cellStyle name="_PercentSpace_Rev 2" xfId="2485" xr:uid="{00000000-0005-0000-0000-00008D080000}"/>
    <cellStyle name="_PercentSpace_Rev_Company0187 Model" xfId="1062" xr:uid="{00000000-0005-0000-0000-00008E080000}"/>
    <cellStyle name="_PercentSpace_Rev_Book2" xfId="1063" xr:uid="{00000000-0005-0000-0000-00008F080000}"/>
    <cellStyle name="_PercentSpace_Risk1" xfId="3669" xr:uid="{00000000-0005-0000-0000-000090080000}"/>
    <cellStyle name="_PercentSpace_Risk2" xfId="3670" xr:uid="{00000000-0005-0000-0000-000091080000}"/>
    <cellStyle name="_PercentSpace_Risks" xfId="3671" xr:uid="{00000000-0005-0000-0000-000092080000}"/>
    <cellStyle name="_PercentSpace_ROE" xfId="1064" xr:uid="{00000000-0005-0000-0000-000093080000}"/>
    <cellStyle name="_PercentSpace_ROE 2" xfId="2486" xr:uid="{00000000-0005-0000-0000-000094080000}"/>
    <cellStyle name="_PercentSpace_ROE_Company0187 Model" xfId="1065" xr:uid="{00000000-0005-0000-0000-000095080000}"/>
    <cellStyle name="_PercentSpace_ROE_Book2" xfId="1066" xr:uid="{00000000-0005-0000-0000-000096080000}"/>
    <cellStyle name="_PercentSpace_Product0362" xfId="1067" xr:uid="{00000000-0005-0000-0000-000097080000}"/>
    <cellStyle name="_PercentSpace_Product0362 2" xfId="2487" xr:uid="{00000000-0005-0000-0000-000098080000}"/>
    <cellStyle name="_PercentSpace_Product0362_Company0187 Model" xfId="1068" xr:uid="{00000000-0005-0000-0000-000099080000}"/>
    <cellStyle name="_PercentSpace_Product0362_Book2" xfId="1069" xr:uid="{00000000-0005-0000-0000-00009A080000}"/>
    <cellStyle name="_PercentSpace_Segment breakout" xfId="1070" xr:uid="{00000000-0005-0000-0000-00009B080000}"/>
    <cellStyle name="_PercentSpace_Segment breakout 2" xfId="2488" xr:uid="{00000000-0005-0000-0000-00009C080000}"/>
    <cellStyle name="_PercentSpace_Segment breakout_Company0187 Model" xfId="1071" xr:uid="{00000000-0005-0000-0000-00009D080000}"/>
    <cellStyle name="_PercentSpace_Segment breakout_Book2" xfId="1072" xr:uid="{00000000-0005-0000-0000-00009E080000}"/>
    <cellStyle name="_PercentSpace_segment graph data" xfId="1073" xr:uid="{00000000-0005-0000-0000-00009F080000}"/>
    <cellStyle name="_PercentSpace_segment graph data 2" xfId="2489" xr:uid="{00000000-0005-0000-0000-0000A0080000}"/>
    <cellStyle name="_PercentSpace_segment graph data_Company0187 Model" xfId="1074" xr:uid="{00000000-0005-0000-0000-0000A1080000}"/>
    <cellStyle name="_PercentSpace_segment graph data_Book2" xfId="1075" xr:uid="{00000000-0005-0000-0000-0000A2080000}"/>
    <cellStyle name="_PercentSpace_Sheet1" xfId="1076" xr:uid="{00000000-0005-0000-0000-0000A3080000}"/>
    <cellStyle name="_PercentSpace_Sheet1 2" xfId="2490" xr:uid="{00000000-0005-0000-0000-0000A4080000}"/>
    <cellStyle name="_PercentSpace_Sheet1_Company0187 Model" xfId="1077" xr:uid="{00000000-0005-0000-0000-0000A5080000}"/>
    <cellStyle name="_PercentSpace_Sheet1_ABC" xfId="3672" xr:uid="{00000000-0005-0000-0000-0000A6080000}"/>
    <cellStyle name="_PercentSpace_Sheet1_Product0030" xfId="1078" xr:uid="{00000000-0005-0000-0000-0000A7080000}"/>
    <cellStyle name="_PercentSpace_Sheet1_Product0030 2" xfId="2491" xr:uid="{00000000-0005-0000-0000-0000A8080000}"/>
    <cellStyle name="_PercentSpace_Sheet1_Product0030_Company0187 Model" xfId="1079" xr:uid="{00000000-0005-0000-0000-0000A9080000}"/>
    <cellStyle name="_PercentSpace_Sheet1_Product0030_Book2" xfId="1080" xr:uid="{00000000-0005-0000-0000-0000AA080000}"/>
    <cellStyle name="_PercentSpace_Sheet1_Company0226" xfId="3673" xr:uid="{00000000-0005-0000-0000-0000AB080000}"/>
    <cellStyle name="_PercentSpace_Sheet1_BNT" xfId="3674" xr:uid="{00000000-0005-0000-0000-0000AC080000}"/>
    <cellStyle name="_PercentSpace_Sheet1_Book2" xfId="1081" xr:uid="{00000000-0005-0000-0000-0000AD080000}"/>
    <cellStyle name="_PercentSpace_Sheet1_BRL" xfId="3675" xr:uid="{00000000-0005-0000-0000-0000AE080000}"/>
    <cellStyle name="_PercentSpace_Sheet1_Company0353" xfId="3676" xr:uid="{00000000-0005-0000-0000-0000AF080000}"/>
    <cellStyle name="_PercentSpace_Sheet1_Company0426" xfId="3677" xr:uid="{00000000-0005-0000-0000-0000B0080000}"/>
    <cellStyle name="_PercentSpace_Sheet1_Company0472 working" xfId="1082" xr:uid="{00000000-0005-0000-0000-0000B1080000}"/>
    <cellStyle name="_PercentSpace_Sheet1_Company0882" xfId="3678" xr:uid="{00000000-0005-0000-0000-0000B2080000}"/>
    <cellStyle name="_PercentSpace_Sheet1_Generic impact charts" xfId="3679" xr:uid="{00000000-0005-0000-0000-0000B3080000}"/>
    <cellStyle name="_PercentSpace_Sheet1_GQ" xfId="1083" xr:uid="{00000000-0005-0000-0000-0000B4080000}"/>
    <cellStyle name="_PercentSpace_Sheet1_GQ 2" xfId="2492" xr:uid="{00000000-0005-0000-0000-0000B5080000}"/>
    <cellStyle name="_PercentSpace_Sheet1_GQ_Company0187 Model" xfId="1084" xr:uid="{00000000-0005-0000-0000-0000B6080000}"/>
    <cellStyle name="_PercentSpace_Sheet1_GQ_Book2" xfId="1085" xr:uid="{00000000-0005-0000-0000-0000B7080000}"/>
    <cellStyle name="_PercentSpace_Sheet1_Industry P&amp;L 4_20_2006" xfId="3680" xr:uid="{00000000-0005-0000-0000-0000B8080000}"/>
    <cellStyle name="_PercentSpace_Sheet1_IS" xfId="1086" xr:uid="{00000000-0005-0000-0000-0000B9080000}"/>
    <cellStyle name="_PercentSpace_Sheet1_IS 2" xfId="2493" xr:uid="{00000000-0005-0000-0000-0000BA080000}"/>
    <cellStyle name="_PercentSpace_Sheet1_IS_Company0187 Model" xfId="1087" xr:uid="{00000000-0005-0000-0000-0000BB080000}"/>
    <cellStyle name="_PercentSpace_Sheet1_IS_Book2" xfId="1088" xr:uid="{00000000-0005-0000-0000-0000BC080000}"/>
    <cellStyle name="_PercentSpace_Sheet1_Key poduct model" xfId="1089" xr:uid="{00000000-0005-0000-0000-0000BD080000}"/>
    <cellStyle name="_PercentSpace_Sheet1_Key poduct model 2" xfId="2494" xr:uid="{00000000-0005-0000-0000-0000BE080000}"/>
    <cellStyle name="_PercentSpace_Sheet1_Key poduct model_Company0187 Model" xfId="1090" xr:uid="{00000000-0005-0000-0000-0000BF080000}"/>
    <cellStyle name="_PercentSpace_Sheet1_Key poduct model_Book2" xfId="1091" xr:uid="{00000000-0005-0000-0000-0000C0080000}"/>
    <cellStyle name="_PercentSpace_Sheet1_Key product model" xfId="3681" xr:uid="{00000000-0005-0000-0000-0000C1080000}"/>
    <cellStyle name="_PercentSpace_Sheet1_Mainsheet - consolidated" xfId="1092" xr:uid="{00000000-0005-0000-0000-0000C2080000}"/>
    <cellStyle name="_PercentSpace_Sheet1_Mainsheet - consolidated 2" xfId="2495" xr:uid="{00000000-0005-0000-0000-0000C3080000}"/>
    <cellStyle name="_PercentSpace_Sheet1_Mainsheet - consolidated_Company0187 Model" xfId="1093" xr:uid="{00000000-0005-0000-0000-0000C4080000}"/>
    <cellStyle name="_PercentSpace_Sheet1_Mainsheet - consolidated_Book2" xfId="1094" xr:uid="{00000000-0005-0000-0000-0000C5080000}"/>
    <cellStyle name="_PercentSpace_Sheet1_MASTER Person1077-WC 10-28-06 LAUNCH" xfId="1095" xr:uid="{00000000-0005-0000-0000-0000C6080000}"/>
    <cellStyle name="_PercentSpace_Sheet1_MASTER Person1077-WC 10-28-06 LAUNCH 2" xfId="2496" xr:uid="{00000000-0005-0000-0000-0000C7080000}"/>
    <cellStyle name="_PercentSpace_Sheet1_MASTER Person1077-WC 10-28-06 LAUNCH_Company0187 Model" xfId="1096" xr:uid="{00000000-0005-0000-0000-0000C8080000}"/>
    <cellStyle name="_PercentSpace_Sheet1_MASTER Person1077-WC 10-28-06 LAUNCH_Book2" xfId="1097" xr:uid="{00000000-0005-0000-0000-0000C9080000}"/>
    <cellStyle name="_PercentSpace_Sheet1_MASTER VAL SHEET For Luanch 4_24_06" xfId="3682" xr:uid="{00000000-0005-0000-0000-0000CA080000}"/>
    <cellStyle name="_PercentSpace_Sheet1_Person0704" xfId="3683" xr:uid="{00000000-0005-0000-0000-0000CB080000}"/>
    <cellStyle name="_PercentSpace_Sheet1_MHS" xfId="3684" xr:uid="{00000000-0005-0000-0000-0000CC080000}"/>
    <cellStyle name="_PercentSpace_Sheet1_Company1761" xfId="3685" xr:uid="{00000000-0005-0000-0000-0000CD080000}"/>
    <cellStyle name="_PercentSpace_Sheet1_Company2110" xfId="3686" xr:uid="{00000000-0005-0000-0000-0000CE080000}"/>
    <cellStyle name="_PercentSpace_Sheet1_Risk1" xfId="3687" xr:uid="{00000000-0005-0000-0000-0000CF080000}"/>
    <cellStyle name="_PercentSpace_Sheet1_Risk2" xfId="3688" xr:uid="{00000000-0005-0000-0000-0000D0080000}"/>
    <cellStyle name="_PercentSpace_Sheet1_Risks" xfId="3689" xr:uid="{00000000-0005-0000-0000-0000D1080000}"/>
    <cellStyle name="_PercentSpace_Sheet1_Company2376 working" xfId="1098" xr:uid="{00000000-0005-0000-0000-0000D2080000}"/>
    <cellStyle name="_PercentSpace_Sheet1_Sheet1" xfId="3690" xr:uid="{00000000-0005-0000-0000-0000D3080000}"/>
    <cellStyle name="_PercentSpace_Sheet1_Sheet3" xfId="1099" xr:uid="{00000000-0005-0000-0000-0000D4080000}"/>
    <cellStyle name="_PercentSpace_Sheet1_Sheet3 2" xfId="2497" xr:uid="{00000000-0005-0000-0000-0000D5080000}"/>
    <cellStyle name="_PercentSpace_Sheet1_Sheet3_Company0187 Model" xfId="1100" xr:uid="{00000000-0005-0000-0000-0000D6080000}"/>
    <cellStyle name="_PercentSpace_Sheet1_Sheet3_Book2" xfId="1101" xr:uid="{00000000-0005-0000-0000-0000D7080000}"/>
    <cellStyle name="_PercentSpace_Sheet1_Sheet3_WC Product0280 forecast" xfId="1102" xr:uid="{00000000-0005-0000-0000-0000D8080000}"/>
    <cellStyle name="_PercentSpace_Sheet1_Sheet3_WC Product0280 forecast 2" xfId="2498" xr:uid="{00000000-0005-0000-0000-0000D9080000}"/>
    <cellStyle name="_PercentSpace_Sheet1_Sheet3_WC Product0280 forecast_Company0187 Model" xfId="1103" xr:uid="{00000000-0005-0000-0000-0000DA080000}"/>
    <cellStyle name="_PercentSpace_Sheet1_Sheet3_WC Product0280 forecast_Book2" xfId="1104" xr:uid="{00000000-0005-0000-0000-0000DB080000}"/>
    <cellStyle name="_PercentSpace_Sheet1_Sheet4" xfId="3691" xr:uid="{00000000-0005-0000-0000-0000DC080000}"/>
    <cellStyle name="_PercentSpace_Sheet1_SPEC Rx trend vs est " xfId="1105" xr:uid="{00000000-0005-0000-0000-0000DD080000}"/>
    <cellStyle name="_PercentSpace_Sheet1_SPEC Rx trend vs est  2" xfId="2499" xr:uid="{00000000-0005-0000-0000-0000DE080000}"/>
    <cellStyle name="_PercentSpace_Sheet1_SPEC Rx trend vs est  3" xfId="2500" xr:uid="{00000000-0005-0000-0000-0000DF080000}"/>
    <cellStyle name="_PercentSpace_Sheet1_SPEC Rx trend vs est _Company0187 Model" xfId="1106" xr:uid="{00000000-0005-0000-0000-0000E0080000}"/>
    <cellStyle name="_PercentSpace_Sheet1_SPEC Rx trend vs est _Book2" xfId="1107" xr:uid="{00000000-0005-0000-0000-0000E1080000}"/>
    <cellStyle name="_PercentSpace_Sheet1_Person1077 - Company0395 12-7-2006 FINAL" xfId="1108" xr:uid="{00000000-0005-0000-0000-0000E2080000}"/>
    <cellStyle name="_PercentSpace_Sheet1_Person1077 - Company0395 12-7-2006 FINAL 2" xfId="2501" xr:uid="{00000000-0005-0000-0000-0000E3080000}"/>
    <cellStyle name="_PercentSpace_Sheet1_Person1077 - Company0395 12-7-2006 FINAL_Company0187 Model" xfId="1109" xr:uid="{00000000-0005-0000-0000-0000E4080000}"/>
    <cellStyle name="_PercentSpace_Sheet1_Person1077 - Company0395 12-7-2006 FINAL_Book2" xfId="1110" xr:uid="{00000000-0005-0000-0000-0000E5080000}"/>
    <cellStyle name="_PercentSpace_Sheet1_Sum of the parts 5-21-2007" xfId="3692" xr:uid="{00000000-0005-0000-0000-0000E6080000}"/>
    <cellStyle name="_PercentSpace_Sheet1_Template 1-9-2007" xfId="3693" xr:uid="{00000000-0005-0000-0000-0000E7080000}"/>
    <cellStyle name="_PercentSpace_Sheet1_Company2640" xfId="3694" xr:uid="{00000000-0005-0000-0000-0000E8080000}"/>
    <cellStyle name="_PercentSpace_Sheet1_WC Product0280 forecast" xfId="1111" xr:uid="{00000000-0005-0000-0000-0000E9080000}"/>
    <cellStyle name="_PercentSpace_Sheet1_WC Product0280 forecast 2" xfId="2502" xr:uid="{00000000-0005-0000-0000-0000EA080000}"/>
    <cellStyle name="_PercentSpace_Sheet1_WC Product0280 forecast_Company0187 Model" xfId="1112" xr:uid="{00000000-0005-0000-0000-0000EB080000}"/>
    <cellStyle name="_PercentSpace_Sheet1_WC Product0280 forecast_Book2" xfId="1113" xr:uid="{00000000-0005-0000-0000-0000EC080000}"/>
    <cellStyle name="_PercentSpace_Sheet1_Company2931 working" xfId="1114" xr:uid="{00000000-0005-0000-0000-0000ED080000}"/>
    <cellStyle name="_PercentSpace_Sheet1_Company2931 working 2" xfId="2503" xr:uid="{00000000-0005-0000-0000-0000EE080000}"/>
    <cellStyle name="_PercentSpace_Sheet1_Company2931 working_Company0187 Model" xfId="1115" xr:uid="{00000000-0005-0000-0000-0000EF080000}"/>
    <cellStyle name="_PercentSpace_Sheet1_Company2931 working_Book2" xfId="1116" xr:uid="{00000000-0005-0000-0000-0000F0080000}"/>
    <cellStyle name="_PercentSpace_Sheet1_WPI" xfId="3695" xr:uid="{00000000-0005-0000-0000-0000F1080000}"/>
    <cellStyle name="_PercentSpace_Sheet13" xfId="1117" xr:uid="{00000000-0005-0000-0000-0000F2080000}"/>
    <cellStyle name="_PercentSpace_Sheet13 2" xfId="2504" xr:uid="{00000000-0005-0000-0000-0000F3080000}"/>
    <cellStyle name="_PercentSpace_Sheet13_Company0187 Model" xfId="1118" xr:uid="{00000000-0005-0000-0000-0000F4080000}"/>
    <cellStyle name="_PercentSpace_Sheet13_Book2" xfId="1119" xr:uid="{00000000-0005-0000-0000-0000F5080000}"/>
    <cellStyle name="_PercentSpace_Sheet3" xfId="1120" xr:uid="{00000000-0005-0000-0000-0000F6080000}"/>
    <cellStyle name="_PercentSpace_Sheet3 2" xfId="2505" xr:uid="{00000000-0005-0000-0000-0000F7080000}"/>
    <cellStyle name="_PercentSpace_Sheet3_Company0187 Model" xfId="1121" xr:uid="{00000000-0005-0000-0000-0000F8080000}"/>
    <cellStyle name="_PercentSpace_Sheet3_Book2" xfId="1122" xr:uid="{00000000-0005-0000-0000-0000F9080000}"/>
    <cellStyle name="_PercentSpace_Sheet4" xfId="3696" xr:uid="{00000000-0005-0000-0000-0000FA080000}"/>
    <cellStyle name="_PercentSpace_Sheet6" xfId="1123" xr:uid="{00000000-0005-0000-0000-0000FB080000}"/>
    <cellStyle name="_PercentSpace_Sheet6 2" xfId="2506" xr:uid="{00000000-0005-0000-0000-0000FC080000}"/>
    <cellStyle name="_PercentSpace_Sheet6_Company0187 Model" xfId="1124" xr:uid="{00000000-0005-0000-0000-0000FD080000}"/>
    <cellStyle name="_PercentSpace_Sheet6_Book2" xfId="1125" xr:uid="{00000000-0005-0000-0000-0000FE080000}"/>
    <cellStyle name="_PercentSpace_Snapshot" xfId="1126" xr:uid="{00000000-0005-0000-0000-0000FF080000}"/>
    <cellStyle name="_PercentSpace_Snapshot 2" xfId="2507" xr:uid="{00000000-0005-0000-0000-000000090000}"/>
    <cellStyle name="_PercentSpace_Snapshot_Company0187 Model" xfId="1127" xr:uid="{00000000-0005-0000-0000-000001090000}"/>
    <cellStyle name="_PercentSpace_Snapshot_Book2" xfId="1128" xr:uid="{00000000-0005-0000-0000-000002090000}"/>
    <cellStyle name="_PercentSpace_Special situation" xfId="1129" xr:uid="{00000000-0005-0000-0000-000003090000}"/>
    <cellStyle name="_PercentSpace_Special situation 2" xfId="2508" xr:uid="{00000000-0005-0000-0000-000004090000}"/>
    <cellStyle name="_PercentSpace_Special situation_Company0187 Model" xfId="1130" xr:uid="{00000000-0005-0000-0000-000005090000}"/>
    <cellStyle name="_PercentSpace_Special situation_Book2" xfId="1131" xr:uid="{00000000-0005-0000-0000-000006090000}"/>
    <cellStyle name="_PercentSpace_Person1011 - ABC 1-26-10" xfId="3697" xr:uid="{00000000-0005-0000-0000-000007090000}"/>
    <cellStyle name="_PercentSpace_Person1077 - Company0395 12-7-2006 FINAL" xfId="3698" xr:uid="{00000000-0005-0000-0000-000008090000}"/>
    <cellStyle name="_PercentSpace_Person1077 - Company0395 3-15-2007" xfId="3699" xr:uid="{00000000-0005-0000-0000-000009090000}"/>
    <cellStyle name="_PercentSpace_Person1077 - Company0395 3-25-2007" xfId="3700" xr:uid="{00000000-0005-0000-0000-00000A090000}"/>
    <cellStyle name="_PercentSpace_Sum of the parts 5-21-2007" xfId="3701" xr:uid="{00000000-0005-0000-0000-00000B090000}"/>
    <cellStyle name="_PercentSpace_symcqtis" xfId="3702" xr:uid="{00000000-0005-0000-0000-00000C090000}"/>
    <cellStyle name="_PercentSpace_Product0406 - dovonex" xfId="1132" xr:uid="{00000000-0005-0000-0000-00000D090000}"/>
    <cellStyle name="_PercentSpace_Product0406 - dovonex 2" xfId="2509" xr:uid="{00000000-0005-0000-0000-00000E090000}"/>
    <cellStyle name="_PercentSpace_Product0406 - dovonex_Company0187 Model" xfId="1133" xr:uid="{00000000-0005-0000-0000-00000F090000}"/>
    <cellStyle name="_PercentSpace_Product0406 - dovonex_Book2" xfId="1134" xr:uid="{00000000-0005-0000-0000-000010090000}"/>
    <cellStyle name="_PercentSpace_taro DSO 4-29-06" xfId="1135" xr:uid="{00000000-0005-0000-0000-000011090000}"/>
    <cellStyle name="_PercentSpace_taro DSO 4-29-06 2" xfId="2510" xr:uid="{00000000-0005-0000-0000-000012090000}"/>
    <cellStyle name="_PercentSpace_taro DSO 4-29-06_Company0187 Model" xfId="1136" xr:uid="{00000000-0005-0000-0000-000013090000}"/>
    <cellStyle name="_PercentSpace_taro DSO 4-29-06_Book2" xfId="1137" xr:uid="{00000000-0005-0000-0000-000014090000}"/>
    <cellStyle name="_PercentSpace_Tearsheet" xfId="1138" xr:uid="{00000000-0005-0000-0000-000015090000}"/>
    <cellStyle name="_PercentSpace_Tearsheet 2" xfId="2511" xr:uid="{00000000-0005-0000-0000-000016090000}"/>
    <cellStyle name="_PercentSpace_Tearsheet_Company0187 Model" xfId="1139" xr:uid="{00000000-0005-0000-0000-000017090000}"/>
    <cellStyle name="_PercentSpace_Tearsheet_Book2" xfId="1140" xr:uid="{00000000-0005-0000-0000-000018090000}"/>
    <cellStyle name="_PercentSpace_Template 1-9-2007" xfId="3703" xr:uid="{00000000-0005-0000-0000-000019090000}"/>
    <cellStyle name="_PercentSpace_Product0415" xfId="1141" xr:uid="{00000000-0005-0000-0000-00001A090000}"/>
    <cellStyle name="_PercentSpace_Product0415 2" xfId="2512" xr:uid="{00000000-0005-0000-0000-00001B090000}"/>
    <cellStyle name="_PercentSpace_Product0415_Company0187 Model" xfId="1142" xr:uid="{00000000-0005-0000-0000-00001C090000}"/>
    <cellStyle name="_PercentSpace_Product0415_Book2" xfId="1143" xr:uid="{00000000-0005-0000-0000-00001D090000}"/>
    <cellStyle name="_PercentSpace_Company2640" xfId="3704" xr:uid="{00000000-0005-0000-0000-00001E090000}"/>
    <cellStyle name="_PercentSpace_Company2758 - Qtrly IS" xfId="1144" xr:uid="{00000000-0005-0000-0000-00001F090000}"/>
    <cellStyle name="_PercentSpace_Company2758 - Qtrly IS 2" xfId="2513" xr:uid="{00000000-0005-0000-0000-000020090000}"/>
    <cellStyle name="_PercentSpace_Company2758 - Qtrly IS_Company0187 Model" xfId="1145" xr:uid="{00000000-0005-0000-0000-000021090000}"/>
    <cellStyle name="_PercentSpace_Company2758 - Qtrly IS_Book2" xfId="1146" xr:uid="{00000000-0005-0000-0000-000022090000}"/>
    <cellStyle name="_PercentSpace_Company2758 main sheet" xfId="1147" xr:uid="{00000000-0005-0000-0000-000023090000}"/>
    <cellStyle name="_PercentSpace_Company2758 main sheet 2" xfId="2514" xr:uid="{00000000-0005-0000-0000-000024090000}"/>
    <cellStyle name="_PercentSpace_Company2758 main sheet_Company0187 Model" xfId="1148" xr:uid="{00000000-0005-0000-0000-000025090000}"/>
    <cellStyle name="_PercentSpace_Company2758 main sheet_Book2" xfId="1149" xr:uid="{00000000-0005-0000-0000-000026090000}"/>
    <cellStyle name="_PercentSpace_WC Product0280 forecast" xfId="1150" xr:uid="{00000000-0005-0000-0000-000027090000}"/>
    <cellStyle name="_PercentSpace_WC Product0280 forecast 2" xfId="2515" xr:uid="{00000000-0005-0000-0000-000028090000}"/>
    <cellStyle name="_PercentSpace_WC Product0280 forecast_Company0187 Model" xfId="1151" xr:uid="{00000000-0005-0000-0000-000029090000}"/>
    <cellStyle name="_PercentSpace_WC Product0280 forecast_Book2" xfId="1152" xr:uid="{00000000-0005-0000-0000-00002A090000}"/>
    <cellStyle name="_PercentSpace_WPI" xfId="3705" xr:uid="{00000000-0005-0000-0000-00002B090000}"/>
    <cellStyle name="_SSP" xfId="1153" xr:uid="{00000000-0005-0000-0000-00002C090000}"/>
    <cellStyle name="_SSP 2" xfId="2516" xr:uid="{00000000-0005-0000-0000-00002D090000}"/>
    <cellStyle name="_SubHeading" xfId="1154" xr:uid="{00000000-0005-0000-0000-00002E090000}"/>
    <cellStyle name="_SubHeading_ABC" xfId="3706" xr:uid="{00000000-0005-0000-0000-00002F090000}"/>
    <cellStyle name="_SubHeading_Ability to Pay Analysis" xfId="4474" xr:uid="{00000000-0005-0000-0000-000030090000}"/>
    <cellStyle name="_SubHeading_Company0226" xfId="3707" xr:uid="{00000000-0005-0000-0000-000031090000}"/>
    <cellStyle name="_SubHeading_Company0358 Model" xfId="4475" xr:uid="{00000000-0005-0000-0000-000032090000}"/>
    <cellStyle name="_SubHeading_BLS" xfId="3708" xr:uid="{00000000-0005-0000-0000-000033090000}"/>
    <cellStyle name="_SubHeading_bls roic" xfId="3709" xr:uid="{00000000-0005-0000-0000-000034090000}"/>
    <cellStyle name="_SubHeading_Company0320 DCF" xfId="1155" xr:uid="{00000000-0005-0000-0000-000035090000}"/>
    <cellStyle name="_SubHeading_Company0320 DCF 2" xfId="1929" xr:uid="{00000000-0005-0000-0000-000036090000}"/>
    <cellStyle name="_SubHeading_Company0320 DCF_Sales Model" xfId="1156" xr:uid="{00000000-0005-0000-0000-000037090000}"/>
    <cellStyle name="_SubHeading_Company0320 for Client" xfId="1157" xr:uid="{00000000-0005-0000-0000-000038090000}"/>
    <cellStyle name="_SubHeading_Company0320 for Client 2" xfId="1930" xr:uid="{00000000-0005-0000-0000-000039090000}"/>
    <cellStyle name="_SubHeading_Company0320 for Client_Sales Model" xfId="1158" xr:uid="{00000000-0005-0000-0000-00003A090000}"/>
    <cellStyle name="_SubHeading_Company0320 working" xfId="1159" xr:uid="{00000000-0005-0000-0000-00003B090000}"/>
    <cellStyle name="_SubHeading_Company0320 working 2" xfId="1931" xr:uid="{00000000-0005-0000-0000-00003C090000}"/>
    <cellStyle name="_SubHeading_Company0320 working_Sales Model" xfId="1160" xr:uid="{00000000-0005-0000-0000-00003D090000}"/>
    <cellStyle name="_SubHeading_BNT" xfId="3710" xr:uid="{00000000-0005-0000-0000-00003E090000}"/>
    <cellStyle name="_SubHeading_Book9" xfId="3711" xr:uid="{00000000-0005-0000-0000-00003F090000}"/>
    <cellStyle name="_SubHeading_BRL" xfId="3712" xr:uid="{00000000-0005-0000-0000-000040090000}"/>
    <cellStyle name="_SubHeading_Broadband Comps" xfId="3713" xr:uid="{00000000-0005-0000-0000-000041090000}"/>
    <cellStyle name="_SubHeading_Company0353" xfId="3714" xr:uid="{00000000-0005-0000-0000-000042090000}"/>
    <cellStyle name="_SubHeading_Company0426" xfId="3715" xr:uid="{00000000-0005-0000-0000-000043090000}"/>
    <cellStyle name="_SubHeading_capital expenditures 6-18-02" xfId="3716" xr:uid="{00000000-0005-0000-0000-000044090000}"/>
    <cellStyle name="_SubHeading_Company0658 Health" xfId="3717" xr:uid="{00000000-0005-0000-0000-000045090000}"/>
    <cellStyle name="_SubHeading_CF &amp; BS" xfId="3718" xr:uid="{00000000-0005-0000-0000-000046090000}"/>
    <cellStyle name="_SubHeading_Check" xfId="1161" xr:uid="{00000000-0005-0000-0000-000047090000}"/>
    <cellStyle name="_SubHeading_Check 2" xfId="1932" xr:uid="{00000000-0005-0000-0000-000048090000}"/>
    <cellStyle name="_SubHeading_Check_Sales Model" xfId="1162" xr:uid="{00000000-0005-0000-0000-000049090000}"/>
    <cellStyle name="_SubHeading_Company0689" xfId="3719" xr:uid="{00000000-0005-0000-0000-00004A090000}"/>
    <cellStyle name="_SubHeading_Cover page" xfId="3720" xr:uid="{00000000-0005-0000-0000-00004B090000}"/>
    <cellStyle name="_SubHeading_Company0619" xfId="3721" xr:uid="{00000000-0005-0000-0000-00004C090000}"/>
    <cellStyle name="_SubHeading_Company0882" xfId="3722" xr:uid="{00000000-0005-0000-0000-00004D090000}"/>
    <cellStyle name="_SubHeading_fmbi counties" xfId="4476" xr:uid="{00000000-0005-0000-0000-00004E090000}"/>
    <cellStyle name="_SubHeading_FMBI MBHI Graphs" xfId="4477" xr:uid="{00000000-0005-0000-0000-00004F090000}"/>
    <cellStyle name="_SubHeading_FMBI MBHI Graphs 07102001" xfId="4478" xr:uid="{00000000-0005-0000-0000-000050090000}"/>
    <cellStyle name="_SubHeading_FMBI MBHI Graphs_7601" xfId="4479" xr:uid="{00000000-0005-0000-0000-000051090000}"/>
    <cellStyle name="_SubHeading_Ticker0015_Person1077_Company1295_7-23-09" xfId="3723" xr:uid="{00000000-0005-0000-0000-000052090000}"/>
    <cellStyle name="_SubHeading_Ticker0018 DCF" xfId="1163" xr:uid="{00000000-0005-0000-0000-000053090000}"/>
    <cellStyle name="_SubHeading_Ticker0018 DCF 2" xfId="1933" xr:uid="{00000000-0005-0000-0000-000054090000}"/>
    <cellStyle name="_SubHeading_Ticker0018 DCF published 8.13.2009" xfId="1164" xr:uid="{00000000-0005-0000-0000-000055090000}"/>
    <cellStyle name="_SubHeading_Ticker0018 DCF published 8.13.2009 2" xfId="1934" xr:uid="{00000000-0005-0000-0000-000056090000}"/>
    <cellStyle name="_SubHeading_Ticker0018 DCF published 8.13.2009_Sales Model" xfId="1165" xr:uid="{00000000-0005-0000-0000-000057090000}"/>
    <cellStyle name="_SubHeading_Ticker0018 DCF_Sales Model" xfId="1166" xr:uid="{00000000-0005-0000-0000-000058090000}"/>
    <cellStyle name="_SubHeading_Person0607" xfId="3724" xr:uid="{00000000-0005-0000-0000-000059090000}"/>
    <cellStyle name="_SubHeading_LC Rx trend vs est" xfId="1167" xr:uid="{00000000-0005-0000-0000-00005A090000}"/>
    <cellStyle name="_SubHeading_LC Rx trend vs est 2" xfId="1935" xr:uid="{00000000-0005-0000-0000-00005B090000}"/>
    <cellStyle name="_SubHeading_LC Rx trend vs est_Sales Model" xfId="1168" xr:uid="{00000000-0005-0000-0000-00005C090000}"/>
    <cellStyle name="_SubHeading_Company1562 working" xfId="1169" xr:uid="{00000000-0005-0000-0000-00005D090000}"/>
    <cellStyle name="_SubHeading_Company1562 working 2" xfId="1936" xr:uid="{00000000-0005-0000-0000-00005E090000}"/>
    <cellStyle name="_SubHeading_Company1562 working_Sales Model" xfId="1170" xr:uid="{00000000-0005-0000-0000-00005F090000}"/>
    <cellStyle name="_SubHeading_Person0704" xfId="3725" xr:uid="{00000000-0005-0000-0000-000060090000}"/>
    <cellStyle name="_SubHeading_Company1761" xfId="3726" xr:uid="{00000000-0005-0000-0000-000061090000}"/>
    <cellStyle name="_SubHeading_prestemp" xfId="4480" xr:uid="{00000000-0005-0000-0000-000062090000}"/>
    <cellStyle name="_SubHeading_prestemp_Insurance Brokerage CSC_1Q2002" xfId="4481" xr:uid="{00000000-0005-0000-0000-000063090000}"/>
    <cellStyle name="_SubHeading_prestemp_Overview3" xfId="4482" xr:uid="{00000000-0005-0000-0000-000064090000}"/>
    <cellStyle name="_SubHeading_prestemp_Updated Valuation Changes" xfId="4483" xr:uid="{00000000-0005-0000-0000-000065090000}"/>
    <cellStyle name="_SubHeading_Company2110" xfId="3727" xr:uid="{00000000-0005-0000-0000-000066090000}"/>
    <cellStyle name="_SubHeading_Q" xfId="3728" xr:uid="{00000000-0005-0000-0000-000067090000}"/>
    <cellStyle name="_SubHeading_q - new guidance" xfId="3729" xr:uid="{00000000-0005-0000-0000-000068090000}"/>
    <cellStyle name="_SubHeading_q - valuation" xfId="3730" xr:uid="{00000000-0005-0000-0000-000069090000}"/>
    <cellStyle name="_SubHeading_Q model_041802" xfId="3731" xr:uid="{00000000-0005-0000-0000-00006A090000}"/>
    <cellStyle name="_SubHeading_Q_update" xfId="3732" xr:uid="{00000000-0005-0000-0000-00006B090000}"/>
    <cellStyle name="_SubHeading_Company2209 Analysis" xfId="3733" xr:uid="{00000000-0005-0000-0000-00006C090000}"/>
    <cellStyle name="_SubHeading_RBOC historicals" xfId="3734" xr:uid="{00000000-0005-0000-0000-00006D090000}"/>
    <cellStyle name="_SubHeading_Sheet1" xfId="3735" xr:uid="{00000000-0005-0000-0000-00006E090000}"/>
    <cellStyle name="_SubHeading_Person1077 - Company0395 3-15-2007" xfId="3736" xr:uid="{00000000-0005-0000-0000-00006F090000}"/>
    <cellStyle name="_SubHeading_T - new" xfId="3737" xr:uid="{00000000-0005-0000-0000-000070090000}"/>
    <cellStyle name="_SubHeading_Company2640" xfId="3738" xr:uid="{00000000-0005-0000-0000-000071090000}"/>
    <cellStyle name="_SubHeading_VZ" xfId="3739" xr:uid="{00000000-0005-0000-0000-000072090000}"/>
    <cellStyle name="_SubHeading_WPI" xfId="3740" xr:uid="{00000000-0005-0000-0000-000073090000}"/>
    <cellStyle name="_SubHeading_xratio - historical mkt val" xfId="4484" xr:uid="{00000000-0005-0000-0000-000074090000}"/>
    <cellStyle name="_Table" xfId="1171" xr:uid="{00000000-0005-0000-0000-000075090000}"/>
    <cellStyle name="_Table 2" xfId="13223" xr:uid="{00000000-0005-0000-0000-000076090000}"/>
    <cellStyle name="_Table 2 2" xfId="32683" xr:uid="{00000000-0005-0000-0000-000077090000}"/>
    <cellStyle name="_Table 3" xfId="13378" xr:uid="{00000000-0005-0000-0000-000078090000}"/>
    <cellStyle name="_Table_ABC" xfId="3741" xr:uid="{00000000-0005-0000-0000-000079090000}"/>
    <cellStyle name="_Table_ABC 2" xfId="23900" xr:uid="{00000000-0005-0000-0000-00007A090000}"/>
    <cellStyle name="_Table_Ability to Pay Analysis" xfId="4485" xr:uid="{00000000-0005-0000-0000-00007B090000}"/>
    <cellStyle name="_Table_Ability to Pay Analysis 2" xfId="15976" xr:uid="{00000000-0005-0000-0000-00007C090000}"/>
    <cellStyle name="_Table_Ability to Pay Analysis 2 2" xfId="35335" xr:uid="{00000000-0005-0000-0000-00007D090000}"/>
    <cellStyle name="_Table_Ability to Pay Analysis 3" xfId="13279" xr:uid="{00000000-0005-0000-0000-00007E090000}"/>
    <cellStyle name="_Table_Company0226" xfId="3742" xr:uid="{00000000-0005-0000-0000-00007F090000}"/>
    <cellStyle name="_Table_Company0226 2" xfId="23901" xr:uid="{00000000-0005-0000-0000-000080090000}"/>
    <cellStyle name="_Table_Company0358 Model" xfId="4486" xr:uid="{00000000-0005-0000-0000-000081090000}"/>
    <cellStyle name="_Table_Company0358 Model 10" xfId="15977" xr:uid="{00000000-0005-0000-0000-000082090000}"/>
    <cellStyle name="_Table_Company0358 Model 10 2" xfId="35336" xr:uid="{00000000-0005-0000-0000-000083090000}"/>
    <cellStyle name="_Table_Company0358 Model 11" xfId="13250" xr:uid="{00000000-0005-0000-0000-000084090000}"/>
    <cellStyle name="_Table_Company0358 Model 11 2" xfId="32703" xr:uid="{00000000-0005-0000-0000-000085090000}"/>
    <cellStyle name="_Table_Company0358 Model 12" xfId="24067" xr:uid="{00000000-0005-0000-0000-000086090000}"/>
    <cellStyle name="_Table_Company0358 Model 2" xfId="5196" xr:uid="{00000000-0005-0000-0000-000087090000}"/>
    <cellStyle name="_Table_Company0358 Model 2 10" xfId="18452" xr:uid="{00000000-0005-0000-0000-000088090000}"/>
    <cellStyle name="_Table_Company0358 Model 2 10 2" xfId="37806" xr:uid="{00000000-0005-0000-0000-000089090000}"/>
    <cellStyle name="_Table_Company0358 Model 2 11" xfId="20988" xr:uid="{00000000-0005-0000-0000-00008A090000}"/>
    <cellStyle name="_Table_Company0358 Model 2 11 2" xfId="40330" xr:uid="{00000000-0005-0000-0000-00008B090000}"/>
    <cellStyle name="_Table_Company0358 Model 2 12" xfId="24687" xr:uid="{00000000-0005-0000-0000-00008C090000}"/>
    <cellStyle name="_Table_Company0358 Model 2 2" xfId="6352" xr:uid="{00000000-0005-0000-0000-00008D090000}"/>
    <cellStyle name="_Table_Company0358 Model 2 2 10" xfId="25837" xr:uid="{00000000-0005-0000-0000-00008E090000}"/>
    <cellStyle name="_Table_Company0358 Model 2 2 2" xfId="6698" xr:uid="{00000000-0005-0000-0000-00008F090000}"/>
    <cellStyle name="_Table_Company0358 Model 2 2 2 2" xfId="14709" xr:uid="{00000000-0005-0000-0000-000090090000}"/>
    <cellStyle name="_Table_Company0358 Model 2 2 2 2 2" xfId="17187" xr:uid="{00000000-0005-0000-0000-000091090000}"/>
    <cellStyle name="_Table_Company0358 Model 2 2 2 2 2 2" xfId="36541" xr:uid="{00000000-0005-0000-0000-000092090000}"/>
    <cellStyle name="_Table_Company0358 Model 2 2 2 2 3" xfId="19618" xr:uid="{00000000-0005-0000-0000-000093090000}"/>
    <cellStyle name="_Table_Company0358 Model 2 2 2 2 3 2" xfId="38971" xr:uid="{00000000-0005-0000-0000-000094090000}"/>
    <cellStyle name="_Table_Company0358 Model 2 2 2 2 4" xfId="22129" xr:uid="{00000000-0005-0000-0000-000095090000}"/>
    <cellStyle name="_Table_Company0358 Model 2 2 2 2 4 2" xfId="41471" xr:uid="{00000000-0005-0000-0000-000096090000}"/>
    <cellStyle name="_Table_Company0358 Model 2 2 2 2 5" xfId="34070" xr:uid="{00000000-0005-0000-0000-000097090000}"/>
    <cellStyle name="_Table_Company0358 Model 2 2 2 3" xfId="15257" xr:uid="{00000000-0005-0000-0000-000098090000}"/>
    <cellStyle name="_Table_Company0358 Model 2 2 2 3 2" xfId="17733" xr:uid="{00000000-0005-0000-0000-000099090000}"/>
    <cellStyle name="_Table_Company0358 Model 2 2 2 3 2 2" xfId="37087" xr:uid="{00000000-0005-0000-0000-00009A090000}"/>
    <cellStyle name="_Table_Company0358 Model 2 2 2 3 3" xfId="20164" xr:uid="{00000000-0005-0000-0000-00009B090000}"/>
    <cellStyle name="_Table_Company0358 Model 2 2 2 3 3 2" xfId="39517" xr:uid="{00000000-0005-0000-0000-00009C090000}"/>
    <cellStyle name="_Table_Company0358 Model 2 2 2 3 4" xfId="22677" xr:uid="{00000000-0005-0000-0000-00009D090000}"/>
    <cellStyle name="_Table_Company0358 Model 2 2 2 3 4 2" xfId="42019" xr:uid="{00000000-0005-0000-0000-00009E090000}"/>
    <cellStyle name="_Table_Company0358 Model 2 2 2 3 5" xfId="34618" xr:uid="{00000000-0005-0000-0000-00009F090000}"/>
    <cellStyle name="_Table_Company0358 Model 2 2 2 4" xfId="15716" xr:uid="{00000000-0005-0000-0000-0000A0090000}"/>
    <cellStyle name="_Table_Company0358 Model 2 2 2 4 2" xfId="18192" xr:uid="{00000000-0005-0000-0000-0000A1090000}"/>
    <cellStyle name="_Table_Company0358 Model 2 2 2 4 2 2" xfId="37546" xr:uid="{00000000-0005-0000-0000-0000A2090000}"/>
    <cellStyle name="_Table_Company0358 Model 2 2 2 4 3" xfId="20623" xr:uid="{00000000-0005-0000-0000-0000A3090000}"/>
    <cellStyle name="_Table_Company0358 Model 2 2 2 4 3 2" xfId="39976" xr:uid="{00000000-0005-0000-0000-0000A4090000}"/>
    <cellStyle name="_Table_Company0358 Model 2 2 2 4 4" xfId="23136" xr:uid="{00000000-0005-0000-0000-0000A5090000}"/>
    <cellStyle name="_Table_Company0358 Model 2 2 2 4 4 2" xfId="42478" xr:uid="{00000000-0005-0000-0000-0000A6090000}"/>
    <cellStyle name="_Table_Company0358 Model 2 2 2 4 5" xfId="35077" xr:uid="{00000000-0005-0000-0000-0000A7090000}"/>
    <cellStyle name="_Table_Company0358 Model 2 2 2 5" xfId="13914" xr:uid="{00000000-0005-0000-0000-0000A8090000}"/>
    <cellStyle name="_Table_Company0358 Model 2 2 2 5 2" xfId="33278" xr:uid="{00000000-0005-0000-0000-0000A9090000}"/>
    <cellStyle name="_Table_Company0358 Model 2 2 2 6" xfId="16420" xr:uid="{00000000-0005-0000-0000-0000AA090000}"/>
    <cellStyle name="_Table_Company0358 Model 2 2 2 6 2" xfId="35774" xr:uid="{00000000-0005-0000-0000-0000AB090000}"/>
    <cellStyle name="_Table_Company0358 Model 2 2 2 7" xfId="18851" xr:uid="{00000000-0005-0000-0000-0000AC090000}"/>
    <cellStyle name="_Table_Company0358 Model 2 2 2 7 2" xfId="38204" xr:uid="{00000000-0005-0000-0000-0000AD090000}"/>
    <cellStyle name="_Table_Company0358 Model 2 2 2 8" xfId="21337" xr:uid="{00000000-0005-0000-0000-0000AE090000}"/>
    <cellStyle name="_Table_Company0358 Model 2 2 2 8 2" xfId="40679" xr:uid="{00000000-0005-0000-0000-0000AF090000}"/>
    <cellStyle name="_Table_Company0358 Model 2 2 2 9" xfId="26182" xr:uid="{00000000-0005-0000-0000-0000B0090000}"/>
    <cellStyle name="_Table_Company0358 Model 2 2 3" xfId="14129" xr:uid="{00000000-0005-0000-0000-0000B1090000}"/>
    <cellStyle name="_Table_Company0358 Model 2 2 3 2" xfId="14909" xr:uid="{00000000-0005-0000-0000-0000B2090000}"/>
    <cellStyle name="_Table_Company0358 Model 2 2 3 2 2" xfId="17387" xr:uid="{00000000-0005-0000-0000-0000B3090000}"/>
    <cellStyle name="_Table_Company0358 Model 2 2 3 2 2 2" xfId="36741" xr:uid="{00000000-0005-0000-0000-0000B4090000}"/>
    <cellStyle name="_Table_Company0358 Model 2 2 3 2 3" xfId="19818" xr:uid="{00000000-0005-0000-0000-0000B5090000}"/>
    <cellStyle name="_Table_Company0358 Model 2 2 3 2 3 2" xfId="39171" xr:uid="{00000000-0005-0000-0000-0000B6090000}"/>
    <cellStyle name="_Table_Company0358 Model 2 2 3 2 4" xfId="22329" xr:uid="{00000000-0005-0000-0000-0000B7090000}"/>
    <cellStyle name="_Table_Company0358 Model 2 2 3 2 4 2" xfId="41671" xr:uid="{00000000-0005-0000-0000-0000B8090000}"/>
    <cellStyle name="_Table_Company0358 Model 2 2 3 2 5" xfId="34270" xr:uid="{00000000-0005-0000-0000-0000B9090000}"/>
    <cellStyle name="_Table_Company0358 Model 2 2 3 3" xfId="15456" xr:uid="{00000000-0005-0000-0000-0000BA090000}"/>
    <cellStyle name="_Table_Company0358 Model 2 2 3 3 2" xfId="17932" xr:uid="{00000000-0005-0000-0000-0000BB090000}"/>
    <cellStyle name="_Table_Company0358 Model 2 2 3 3 2 2" xfId="37286" xr:uid="{00000000-0005-0000-0000-0000BC090000}"/>
    <cellStyle name="_Table_Company0358 Model 2 2 3 3 3" xfId="20363" xr:uid="{00000000-0005-0000-0000-0000BD090000}"/>
    <cellStyle name="_Table_Company0358 Model 2 2 3 3 3 2" xfId="39716" xr:uid="{00000000-0005-0000-0000-0000BE090000}"/>
    <cellStyle name="_Table_Company0358 Model 2 2 3 3 4" xfId="22876" xr:uid="{00000000-0005-0000-0000-0000BF090000}"/>
    <cellStyle name="_Table_Company0358 Model 2 2 3 3 4 2" xfId="42218" xr:uid="{00000000-0005-0000-0000-0000C0090000}"/>
    <cellStyle name="_Table_Company0358 Model 2 2 3 3 5" xfId="34817" xr:uid="{00000000-0005-0000-0000-0000C1090000}"/>
    <cellStyle name="_Table_Company0358 Model 2 2 3 4" xfId="15915" xr:uid="{00000000-0005-0000-0000-0000C2090000}"/>
    <cellStyle name="_Table_Company0358 Model 2 2 3 4 2" xfId="18391" xr:uid="{00000000-0005-0000-0000-0000C3090000}"/>
    <cellStyle name="_Table_Company0358 Model 2 2 3 4 2 2" xfId="37745" xr:uid="{00000000-0005-0000-0000-0000C4090000}"/>
    <cellStyle name="_Table_Company0358 Model 2 2 3 4 3" xfId="20822" xr:uid="{00000000-0005-0000-0000-0000C5090000}"/>
    <cellStyle name="_Table_Company0358 Model 2 2 3 4 3 2" xfId="40175" xr:uid="{00000000-0005-0000-0000-0000C6090000}"/>
    <cellStyle name="_Table_Company0358 Model 2 2 3 4 4" xfId="23335" xr:uid="{00000000-0005-0000-0000-0000C7090000}"/>
    <cellStyle name="_Table_Company0358 Model 2 2 3 4 4 2" xfId="42677" xr:uid="{00000000-0005-0000-0000-0000C8090000}"/>
    <cellStyle name="_Table_Company0358 Model 2 2 3 4 5" xfId="35276" xr:uid="{00000000-0005-0000-0000-0000C9090000}"/>
    <cellStyle name="_Table_Company0358 Model 2 2 3 5" xfId="16635" xr:uid="{00000000-0005-0000-0000-0000CA090000}"/>
    <cellStyle name="_Table_Company0358 Model 2 2 3 5 2" xfId="35989" xr:uid="{00000000-0005-0000-0000-0000CB090000}"/>
    <cellStyle name="_Table_Company0358 Model 2 2 3 6" xfId="19066" xr:uid="{00000000-0005-0000-0000-0000CC090000}"/>
    <cellStyle name="_Table_Company0358 Model 2 2 3 6 2" xfId="38419" xr:uid="{00000000-0005-0000-0000-0000CD090000}"/>
    <cellStyle name="_Table_Company0358 Model 2 2 3 7" xfId="21552" xr:uid="{00000000-0005-0000-0000-0000CE090000}"/>
    <cellStyle name="_Table_Company0358 Model 2 2 3 7 2" xfId="40894" xr:uid="{00000000-0005-0000-0000-0000CF090000}"/>
    <cellStyle name="_Table_Company0358 Model 2 2 3 8" xfId="33493" xr:uid="{00000000-0005-0000-0000-0000D0090000}"/>
    <cellStyle name="_Table_Company0358 Model 2 2 4" xfId="14424" xr:uid="{00000000-0005-0000-0000-0000D1090000}"/>
    <cellStyle name="_Table_Company0358 Model 2 2 4 2" xfId="16914" xr:uid="{00000000-0005-0000-0000-0000D2090000}"/>
    <cellStyle name="_Table_Company0358 Model 2 2 4 2 2" xfId="36268" xr:uid="{00000000-0005-0000-0000-0000D3090000}"/>
    <cellStyle name="_Table_Company0358 Model 2 2 4 3" xfId="19345" xr:uid="{00000000-0005-0000-0000-0000D4090000}"/>
    <cellStyle name="_Table_Company0358 Model 2 2 4 3 2" xfId="38698" xr:uid="{00000000-0005-0000-0000-0000D5090000}"/>
    <cellStyle name="_Table_Company0358 Model 2 2 4 4" xfId="21844" xr:uid="{00000000-0005-0000-0000-0000D6090000}"/>
    <cellStyle name="_Table_Company0358 Model 2 2 4 4 2" xfId="41186" xr:uid="{00000000-0005-0000-0000-0000D7090000}"/>
    <cellStyle name="_Table_Company0358 Model 2 2 4 5" xfId="33785" xr:uid="{00000000-0005-0000-0000-0000D8090000}"/>
    <cellStyle name="_Table_Company0358 Model 2 2 5" xfId="14271" xr:uid="{00000000-0005-0000-0000-0000D9090000}"/>
    <cellStyle name="_Table_Company0358 Model 2 2 5 2" xfId="16771" xr:uid="{00000000-0005-0000-0000-0000DA090000}"/>
    <cellStyle name="_Table_Company0358 Model 2 2 5 2 2" xfId="36125" xr:uid="{00000000-0005-0000-0000-0000DB090000}"/>
    <cellStyle name="_Table_Company0358 Model 2 2 5 3" xfId="19202" xr:uid="{00000000-0005-0000-0000-0000DC090000}"/>
    <cellStyle name="_Table_Company0358 Model 2 2 5 3 2" xfId="38555" xr:uid="{00000000-0005-0000-0000-0000DD090000}"/>
    <cellStyle name="_Table_Company0358 Model 2 2 5 4" xfId="21692" xr:uid="{00000000-0005-0000-0000-0000DE090000}"/>
    <cellStyle name="_Table_Company0358 Model 2 2 5 4 2" xfId="41034" xr:uid="{00000000-0005-0000-0000-0000DF090000}"/>
    <cellStyle name="_Table_Company0358 Model 2 2 5 5" xfId="33633" xr:uid="{00000000-0005-0000-0000-0000E0090000}"/>
    <cellStyle name="_Table_Company0358 Model 2 2 6" xfId="13613" xr:uid="{00000000-0005-0000-0000-0000E1090000}"/>
    <cellStyle name="_Table_Company0358 Model 2 2 6 2" xfId="32979" xr:uid="{00000000-0005-0000-0000-0000E2090000}"/>
    <cellStyle name="_Table_Company0358 Model 2 2 7" xfId="16133" xr:uid="{00000000-0005-0000-0000-0000E3090000}"/>
    <cellStyle name="_Table_Company0358 Model 2 2 7 2" xfId="35487" xr:uid="{00000000-0005-0000-0000-0000E4090000}"/>
    <cellStyle name="_Table_Company0358 Model 2 2 8" xfId="18564" xr:uid="{00000000-0005-0000-0000-0000E5090000}"/>
    <cellStyle name="_Table_Company0358 Model 2 2 8 2" xfId="37917" xr:uid="{00000000-0005-0000-0000-0000E6090000}"/>
    <cellStyle name="_Table_Company0358 Model 2 2 9" xfId="21042" xr:uid="{00000000-0005-0000-0000-0000E7090000}"/>
    <cellStyle name="_Table_Company0358 Model 2 2 9 2" xfId="40384" xr:uid="{00000000-0005-0000-0000-0000E8090000}"/>
    <cellStyle name="_Table_Company0358 Model 2 3" xfId="6679" xr:uid="{00000000-0005-0000-0000-0000E9090000}"/>
    <cellStyle name="_Table_Company0358 Model 2 3 10" xfId="26164" xr:uid="{00000000-0005-0000-0000-0000EA090000}"/>
    <cellStyle name="_Table_Company0358 Model 2 3 2" xfId="13977" xr:uid="{00000000-0005-0000-0000-0000EB090000}"/>
    <cellStyle name="_Table_Company0358 Model 2 3 2 2" xfId="14772" xr:uid="{00000000-0005-0000-0000-0000EC090000}"/>
    <cellStyle name="_Table_Company0358 Model 2 3 2 2 2" xfId="17250" xr:uid="{00000000-0005-0000-0000-0000ED090000}"/>
    <cellStyle name="_Table_Company0358 Model 2 3 2 2 2 2" xfId="36604" xr:uid="{00000000-0005-0000-0000-0000EE090000}"/>
    <cellStyle name="_Table_Company0358 Model 2 3 2 2 3" xfId="19681" xr:uid="{00000000-0005-0000-0000-0000EF090000}"/>
    <cellStyle name="_Table_Company0358 Model 2 3 2 2 3 2" xfId="39034" xr:uid="{00000000-0005-0000-0000-0000F0090000}"/>
    <cellStyle name="_Table_Company0358 Model 2 3 2 2 4" xfId="22192" xr:uid="{00000000-0005-0000-0000-0000F1090000}"/>
    <cellStyle name="_Table_Company0358 Model 2 3 2 2 4 2" xfId="41534" xr:uid="{00000000-0005-0000-0000-0000F2090000}"/>
    <cellStyle name="_Table_Company0358 Model 2 3 2 2 5" xfId="34133" xr:uid="{00000000-0005-0000-0000-0000F3090000}"/>
    <cellStyle name="_Table_Company0358 Model 2 3 2 3" xfId="15320" xr:uid="{00000000-0005-0000-0000-0000F4090000}"/>
    <cellStyle name="_Table_Company0358 Model 2 3 2 3 2" xfId="17796" xr:uid="{00000000-0005-0000-0000-0000F5090000}"/>
    <cellStyle name="_Table_Company0358 Model 2 3 2 3 2 2" xfId="37150" xr:uid="{00000000-0005-0000-0000-0000F6090000}"/>
    <cellStyle name="_Table_Company0358 Model 2 3 2 3 3" xfId="20227" xr:uid="{00000000-0005-0000-0000-0000F7090000}"/>
    <cellStyle name="_Table_Company0358 Model 2 3 2 3 3 2" xfId="39580" xr:uid="{00000000-0005-0000-0000-0000F8090000}"/>
    <cellStyle name="_Table_Company0358 Model 2 3 2 3 4" xfId="22740" xr:uid="{00000000-0005-0000-0000-0000F9090000}"/>
    <cellStyle name="_Table_Company0358 Model 2 3 2 3 4 2" xfId="42082" xr:uid="{00000000-0005-0000-0000-0000FA090000}"/>
    <cellStyle name="_Table_Company0358 Model 2 3 2 3 5" xfId="34681" xr:uid="{00000000-0005-0000-0000-0000FB090000}"/>
    <cellStyle name="_Table_Company0358 Model 2 3 2 4" xfId="15779" xr:uid="{00000000-0005-0000-0000-0000FC090000}"/>
    <cellStyle name="_Table_Company0358 Model 2 3 2 4 2" xfId="18255" xr:uid="{00000000-0005-0000-0000-0000FD090000}"/>
    <cellStyle name="_Table_Company0358 Model 2 3 2 4 2 2" xfId="37609" xr:uid="{00000000-0005-0000-0000-0000FE090000}"/>
    <cellStyle name="_Table_Company0358 Model 2 3 2 4 3" xfId="20686" xr:uid="{00000000-0005-0000-0000-0000FF090000}"/>
    <cellStyle name="_Table_Company0358 Model 2 3 2 4 3 2" xfId="40039" xr:uid="{00000000-0005-0000-0000-0000000A0000}"/>
    <cellStyle name="_Table_Company0358 Model 2 3 2 4 4" xfId="23199" xr:uid="{00000000-0005-0000-0000-0000010A0000}"/>
    <cellStyle name="_Table_Company0358 Model 2 3 2 4 4 2" xfId="42541" xr:uid="{00000000-0005-0000-0000-0000020A0000}"/>
    <cellStyle name="_Table_Company0358 Model 2 3 2 4 5" xfId="35140" xr:uid="{00000000-0005-0000-0000-0000030A0000}"/>
    <cellStyle name="_Table_Company0358 Model 2 3 2 5" xfId="16483" xr:uid="{00000000-0005-0000-0000-0000040A0000}"/>
    <cellStyle name="_Table_Company0358 Model 2 3 2 5 2" xfId="35837" xr:uid="{00000000-0005-0000-0000-0000050A0000}"/>
    <cellStyle name="_Table_Company0358 Model 2 3 2 6" xfId="18914" xr:uid="{00000000-0005-0000-0000-0000060A0000}"/>
    <cellStyle name="_Table_Company0358 Model 2 3 2 6 2" xfId="38267" xr:uid="{00000000-0005-0000-0000-0000070A0000}"/>
    <cellStyle name="_Table_Company0358 Model 2 3 2 7" xfId="21400" xr:uid="{00000000-0005-0000-0000-0000080A0000}"/>
    <cellStyle name="_Table_Company0358 Model 2 3 2 7 2" xfId="40742" xr:uid="{00000000-0005-0000-0000-0000090A0000}"/>
    <cellStyle name="_Table_Company0358 Model 2 3 2 8" xfId="33341" xr:uid="{00000000-0005-0000-0000-00000A0A0000}"/>
    <cellStyle name="_Table_Company0358 Model 2 3 3" xfId="14190" xr:uid="{00000000-0005-0000-0000-00000B0A0000}"/>
    <cellStyle name="_Table_Company0358 Model 2 3 3 2" xfId="14967" xr:uid="{00000000-0005-0000-0000-00000C0A0000}"/>
    <cellStyle name="_Table_Company0358 Model 2 3 3 2 2" xfId="17445" xr:uid="{00000000-0005-0000-0000-00000D0A0000}"/>
    <cellStyle name="_Table_Company0358 Model 2 3 3 2 2 2" xfId="36799" xr:uid="{00000000-0005-0000-0000-00000E0A0000}"/>
    <cellStyle name="_Table_Company0358 Model 2 3 3 2 3" xfId="19876" xr:uid="{00000000-0005-0000-0000-00000F0A0000}"/>
    <cellStyle name="_Table_Company0358 Model 2 3 3 2 3 2" xfId="39229" xr:uid="{00000000-0005-0000-0000-0000100A0000}"/>
    <cellStyle name="_Table_Company0358 Model 2 3 3 2 4" xfId="22387" xr:uid="{00000000-0005-0000-0000-0000110A0000}"/>
    <cellStyle name="_Table_Company0358 Model 2 3 3 2 4 2" xfId="41729" xr:uid="{00000000-0005-0000-0000-0000120A0000}"/>
    <cellStyle name="_Table_Company0358 Model 2 3 3 2 5" xfId="34328" xr:uid="{00000000-0005-0000-0000-0000130A0000}"/>
    <cellStyle name="_Table_Company0358 Model 2 3 3 3" xfId="15513" xr:uid="{00000000-0005-0000-0000-0000140A0000}"/>
    <cellStyle name="_Table_Company0358 Model 2 3 3 3 2" xfId="17989" xr:uid="{00000000-0005-0000-0000-0000150A0000}"/>
    <cellStyle name="_Table_Company0358 Model 2 3 3 3 2 2" xfId="37343" xr:uid="{00000000-0005-0000-0000-0000160A0000}"/>
    <cellStyle name="_Table_Company0358 Model 2 3 3 3 3" xfId="20420" xr:uid="{00000000-0005-0000-0000-0000170A0000}"/>
    <cellStyle name="_Table_Company0358 Model 2 3 3 3 3 2" xfId="39773" xr:uid="{00000000-0005-0000-0000-0000180A0000}"/>
    <cellStyle name="_Table_Company0358 Model 2 3 3 3 4" xfId="22933" xr:uid="{00000000-0005-0000-0000-0000190A0000}"/>
    <cellStyle name="_Table_Company0358 Model 2 3 3 3 4 2" xfId="42275" xr:uid="{00000000-0005-0000-0000-00001A0A0000}"/>
    <cellStyle name="_Table_Company0358 Model 2 3 3 3 5" xfId="34874" xr:uid="{00000000-0005-0000-0000-00001B0A0000}"/>
    <cellStyle name="_Table_Company0358 Model 2 3 3 4" xfId="15972" xr:uid="{00000000-0005-0000-0000-00001C0A0000}"/>
    <cellStyle name="_Table_Company0358 Model 2 3 3 4 2" xfId="18448" xr:uid="{00000000-0005-0000-0000-00001D0A0000}"/>
    <cellStyle name="_Table_Company0358 Model 2 3 3 4 2 2" xfId="37802" xr:uid="{00000000-0005-0000-0000-00001E0A0000}"/>
    <cellStyle name="_Table_Company0358 Model 2 3 3 4 3" xfId="20879" xr:uid="{00000000-0005-0000-0000-00001F0A0000}"/>
    <cellStyle name="_Table_Company0358 Model 2 3 3 4 3 2" xfId="40232" xr:uid="{00000000-0005-0000-0000-0000200A0000}"/>
    <cellStyle name="_Table_Company0358 Model 2 3 3 4 4" xfId="23392" xr:uid="{00000000-0005-0000-0000-0000210A0000}"/>
    <cellStyle name="_Table_Company0358 Model 2 3 3 4 4 2" xfId="42734" xr:uid="{00000000-0005-0000-0000-0000220A0000}"/>
    <cellStyle name="_Table_Company0358 Model 2 3 3 4 5" xfId="35333" xr:uid="{00000000-0005-0000-0000-0000230A0000}"/>
    <cellStyle name="_Table_Company0358 Model 2 3 3 5" xfId="16696" xr:uid="{00000000-0005-0000-0000-0000240A0000}"/>
    <cellStyle name="_Table_Company0358 Model 2 3 3 5 2" xfId="36050" xr:uid="{00000000-0005-0000-0000-0000250A0000}"/>
    <cellStyle name="_Table_Company0358 Model 2 3 3 6" xfId="19127" xr:uid="{00000000-0005-0000-0000-0000260A0000}"/>
    <cellStyle name="_Table_Company0358 Model 2 3 3 6 2" xfId="38480" xr:uid="{00000000-0005-0000-0000-0000270A0000}"/>
    <cellStyle name="_Table_Company0358 Model 2 3 3 7" xfId="21613" xr:uid="{00000000-0005-0000-0000-0000280A0000}"/>
    <cellStyle name="_Table_Company0358 Model 2 3 3 7 2" xfId="40955" xr:uid="{00000000-0005-0000-0000-0000290A0000}"/>
    <cellStyle name="_Table_Company0358 Model 2 3 3 8" xfId="33554" xr:uid="{00000000-0005-0000-0000-00002A0A0000}"/>
    <cellStyle name="_Table_Company0358 Model 2 3 4" xfId="14487" xr:uid="{00000000-0005-0000-0000-00002B0A0000}"/>
    <cellStyle name="_Table_Company0358 Model 2 3 4 2" xfId="16977" xr:uid="{00000000-0005-0000-0000-00002C0A0000}"/>
    <cellStyle name="_Table_Company0358 Model 2 3 4 2 2" xfId="36331" xr:uid="{00000000-0005-0000-0000-00002D0A0000}"/>
    <cellStyle name="_Table_Company0358 Model 2 3 4 3" xfId="19408" xr:uid="{00000000-0005-0000-0000-00002E0A0000}"/>
    <cellStyle name="_Table_Company0358 Model 2 3 4 3 2" xfId="38761" xr:uid="{00000000-0005-0000-0000-00002F0A0000}"/>
    <cellStyle name="_Table_Company0358 Model 2 3 4 4" xfId="21907" xr:uid="{00000000-0005-0000-0000-0000300A0000}"/>
    <cellStyle name="_Table_Company0358 Model 2 3 4 4 2" xfId="41249" xr:uid="{00000000-0005-0000-0000-0000310A0000}"/>
    <cellStyle name="_Table_Company0358 Model 2 3 4 5" xfId="33848" xr:uid="{00000000-0005-0000-0000-0000320A0000}"/>
    <cellStyle name="_Table_Company0358 Model 2 3 5" xfId="15535" xr:uid="{00000000-0005-0000-0000-0000330A0000}"/>
    <cellStyle name="_Table_Company0358 Model 2 3 5 2" xfId="18011" xr:uid="{00000000-0005-0000-0000-0000340A0000}"/>
    <cellStyle name="_Table_Company0358 Model 2 3 5 2 2" xfId="37365" xr:uid="{00000000-0005-0000-0000-0000350A0000}"/>
    <cellStyle name="_Table_Company0358 Model 2 3 5 3" xfId="20442" xr:uid="{00000000-0005-0000-0000-0000360A0000}"/>
    <cellStyle name="_Table_Company0358 Model 2 3 5 3 2" xfId="39795" xr:uid="{00000000-0005-0000-0000-0000370A0000}"/>
    <cellStyle name="_Table_Company0358 Model 2 3 5 4" xfId="22955" xr:uid="{00000000-0005-0000-0000-0000380A0000}"/>
    <cellStyle name="_Table_Company0358 Model 2 3 5 4 2" xfId="42297" xr:uid="{00000000-0005-0000-0000-0000390A0000}"/>
    <cellStyle name="_Table_Company0358 Model 2 3 5 5" xfId="34896" xr:uid="{00000000-0005-0000-0000-00003A0A0000}"/>
    <cellStyle name="_Table_Company0358 Model 2 3 6" xfId="13680" xr:uid="{00000000-0005-0000-0000-00003B0A0000}"/>
    <cellStyle name="_Table_Company0358 Model 2 3 6 2" xfId="33046" xr:uid="{00000000-0005-0000-0000-00003C0A0000}"/>
    <cellStyle name="_Table_Company0358 Model 2 3 7" xfId="16200" xr:uid="{00000000-0005-0000-0000-00003D0A0000}"/>
    <cellStyle name="_Table_Company0358 Model 2 3 7 2" xfId="35554" xr:uid="{00000000-0005-0000-0000-00003E0A0000}"/>
    <cellStyle name="_Table_Company0358 Model 2 3 8" xfId="18631" xr:uid="{00000000-0005-0000-0000-00003F0A0000}"/>
    <cellStyle name="_Table_Company0358 Model 2 3 8 2" xfId="37984" xr:uid="{00000000-0005-0000-0000-0000400A0000}"/>
    <cellStyle name="_Table_Company0358 Model 2 3 9" xfId="21105" xr:uid="{00000000-0005-0000-0000-0000410A0000}"/>
    <cellStyle name="_Table_Company0358 Model 2 3 9 2" xfId="40447" xr:uid="{00000000-0005-0000-0000-0000420A0000}"/>
    <cellStyle name="_Table_Company0358 Model 2 4" xfId="13800" xr:uid="{00000000-0005-0000-0000-0000430A0000}"/>
    <cellStyle name="_Table_Company0358 Model 2 4 2" xfId="14599" xr:uid="{00000000-0005-0000-0000-0000440A0000}"/>
    <cellStyle name="_Table_Company0358 Model 2 4 2 2" xfId="17083" xr:uid="{00000000-0005-0000-0000-0000450A0000}"/>
    <cellStyle name="_Table_Company0358 Model 2 4 2 2 2" xfId="36437" xr:uid="{00000000-0005-0000-0000-0000460A0000}"/>
    <cellStyle name="_Table_Company0358 Model 2 4 2 3" xfId="19514" xr:uid="{00000000-0005-0000-0000-0000470A0000}"/>
    <cellStyle name="_Table_Company0358 Model 2 4 2 3 2" xfId="38867" xr:uid="{00000000-0005-0000-0000-0000480A0000}"/>
    <cellStyle name="_Table_Company0358 Model 2 4 2 4" xfId="22019" xr:uid="{00000000-0005-0000-0000-0000490A0000}"/>
    <cellStyle name="_Table_Company0358 Model 2 4 2 4 2" xfId="41361" xr:uid="{00000000-0005-0000-0000-00004A0A0000}"/>
    <cellStyle name="_Table_Company0358 Model 2 4 2 5" xfId="33960" xr:uid="{00000000-0005-0000-0000-00004B0A0000}"/>
    <cellStyle name="_Table_Company0358 Model 2 4 3" xfId="15156" xr:uid="{00000000-0005-0000-0000-00004C0A0000}"/>
    <cellStyle name="_Table_Company0358 Model 2 4 3 2" xfId="17632" xr:uid="{00000000-0005-0000-0000-00004D0A0000}"/>
    <cellStyle name="_Table_Company0358 Model 2 4 3 2 2" xfId="36986" xr:uid="{00000000-0005-0000-0000-00004E0A0000}"/>
    <cellStyle name="_Table_Company0358 Model 2 4 3 3" xfId="20063" xr:uid="{00000000-0005-0000-0000-00004F0A0000}"/>
    <cellStyle name="_Table_Company0358 Model 2 4 3 3 2" xfId="39416" xr:uid="{00000000-0005-0000-0000-0000500A0000}"/>
    <cellStyle name="_Table_Company0358 Model 2 4 3 4" xfId="22576" xr:uid="{00000000-0005-0000-0000-0000510A0000}"/>
    <cellStyle name="_Table_Company0358 Model 2 4 3 4 2" xfId="41918" xr:uid="{00000000-0005-0000-0000-0000520A0000}"/>
    <cellStyle name="_Table_Company0358 Model 2 4 3 5" xfId="34517" xr:uid="{00000000-0005-0000-0000-0000530A0000}"/>
    <cellStyle name="_Table_Company0358 Model 2 4 4" xfId="15637" xr:uid="{00000000-0005-0000-0000-0000540A0000}"/>
    <cellStyle name="_Table_Company0358 Model 2 4 4 2" xfId="18113" xr:uid="{00000000-0005-0000-0000-0000550A0000}"/>
    <cellStyle name="_Table_Company0358 Model 2 4 4 2 2" xfId="37467" xr:uid="{00000000-0005-0000-0000-0000560A0000}"/>
    <cellStyle name="_Table_Company0358 Model 2 4 4 3" xfId="20544" xr:uid="{00000000-0005-0000-0000-0000570A0000}"/>
    <cellStyle name="_Table_Company0358 Model 2 4 4 3 2" xfId="39897" xr:uid="{00000000-0005-0000-0000-0000580A0000}"/>
    <cellStyle name="_Table_Company0358 Model 2 4 4 4" xfId="23057" xr:uid="{00000000-0005-0000-0000-0000590A0000}"/>
    <cellStyle name="_Table_Company0358 Model 2 4 4 4 2" xfId="42399" xr:uid="{00000000-0005-0000-0000-00005A0A0000}"/>
    <cellStyle name="_Table_Company0358 Model 2 4 4 5" xfId="34998" xr:uid="{00000000-0005-0000-0000-00005B0A0000}"/>
    <cellStyle name="_Table_Company0358 Model 2 4 5" xfId="16312" xr:uid="{00000000-0005-0000-0000-00005C0A0000}"/>
    <cellStyle name="_Table_Company0358 Model 2 4 5 2" xfId="35666" xr:uid="{00000000-0005-0000-0000-00005D0A0000}"/>
    <cellStyle name="_Table_Company0358 Model 2 4 6" xfId="18743" xr:uid="{00000000-0005-0000-0000-00005E0A0000}"/>
    <cellStyle name="_Table_Company0358 Model 2 4 6 2" xfId="38096" xr:uid="{00000000-0005-0000-0000-00005F0A0000}"/>
    <cellStyle name="_Table_Company0358 Model 2 4 7" xfId="21223" xr:uid="{00000000-0005-0000-0000-0000600A0000}"/>
    <cellStyle name="_Table_Company0358 Model 2 4 7 2" xfId="40565" xr:uid="{00000000-0005-0000-0000-0000610A0000}"/>
    <cellStyle name="_Table_Company0358 Model 2 4 8" xfId="33164" xr:uid="{00000000-0005-0000-0000-0000620A0000}"/>
    <cellStyle name="_Table_Company0358 Model 2 5" xfId="14026" xr:uid="{00000000-0005-0000-0000-0000630A0000}"/>
    <cellStyle name="_Table_Company0358 Model 2 5 2" xfId="14821" xr:uid="{00000000-0005-0000-0000-0000640A0000}"/>
    <cellStyle name="_Table_Company0358 Model 2 5 2 2" xfId="17299" xr:uid="{00000000-0005-0000-0000-0000650A0000}"/>
    <cellStyle name="_Table_Company0358 Model 2 5 2 2 2" xfId="36653" xr:uid="{00000000-0005-0000-0000-0000660A0000}"/>
    <cellStyle name="_Table_Company0358 Model 2 5 2 3" xfId="19730" xr:uid="{00000000-0005-0000-0000-0000670A0000}"/>
    <cellStyle name="_Table_Company0358 Model 2 5 2 3 2" xfId="39083" xr:uid="{00000000-0005-0000-0000-0000680A0000}"/>
    <cellStyle name="_Table_Company0358 Model 2 5 2 4" xfId="22241" xr:uid="{00000000-0005-0000-0000-0000690A0000}"/>
    <cellStyle name="_Table_Company0358 Model 2 5 2 4 2" xfId="41583" xr:uid="{00000000-0005-0000-0000-00006A0A0000}"/>
    <cellStyle name="_Table_Company0358 Model 2 5 2 5" xfId="34182" xr:uid="{00000000-0005-0000-0000-00006B0A0000}"/>
    <cellStyle name="_Table_Company0358 Model 2 5 3" xfId="15369" xr:uid="{00000000-0005-0000-0000-00006C0A0000}"/>
    <cellStyle name="_Table_Company0358 Model 2 5 3 2" xfId="17845" xr:uid="{00000000-0005-0000-0000-00006D0A0000}"/>
    <cellStyle name="_Table_Company0358 Model 2 5 3 2 2" xfId="37199" xr:uid="{00000000-0005-0000-0000-00006E0A0000}"/>
    <cellStyle name="_Table_Company0358 Model 2 5 3 3" xfId="20276" xr:uid="{00000000-0005-0000-0000-00006F0A0000}"/>
    <cellStyle name="_Table_Company0358 Model 2 5 3 3 2" xfId="39629" xr:uid="{00000000-0005-0000-0000-0000700A0000}"/>
    <cellStyle name="_Table_Company0358 Model 2 5 3 4" xfId="22789" xr:uid="{00000000-0005-0000-0000-0000710A0000}"/>
    <cellStyle name="_Table_Company0358 Model 2 5 3 4 2" xfId="42131" xr:uid="{00000000-0005-0000-0000-0000720A0000}"/>
    <cellStyle name="_Table_Company0358 Model 2 5 3 5" xfId="34730" xr:uid="{00000000-0005-0000-0000-0000730A0000}"/>
    <cellStyle name="_Table_Company0358 Model 2 5 4" xfId="15828" xr:uid="{00000000-0005-0000-0000-0000740A0000}"/>
    <cellStyle name="_Table_Company0358 Model 2 5 4 2" xfId="18304" xr:uid="{00000000-0005-0000-0000-0000750A0000}"/>
    <cellStyle name="_Table_Company0358 Model 2 5 4 2 2" xfId="37658" xr:uid="{00000000-0005-0000-0000-0000760A0000}"/>
    <cellStyle name="_Table_Company0358 Model 2 5 4 3" xfId="20735" xr:uid="{00000000-0005-0000-0000-0000770A0000}"/>
    <cellStyle name="_Table_Company0358 Model 2 5 4 3 2" xfId="40088" xr:uid="{00000000-0005-0000-0000-0000780A0000}"/>
    <cellStyle name="_Table_Company0358 Model 2 5 4 4" xfId="23248" xr:uid="{00000000-0005-0000-0000-0000790A0000}"/>
    <cellStyle name="_Table_Company0358 Model 2 5 4 4 2" xfId="42590" xr:uid="{00000000-0005-0000-0000-00007A0A0000}"/>
    <cellStyle name="_Table_Company0358 Model 2 5 4 5" xfId="35189" xr:uid="{00000000-0005-0000-0000-00007B0A0000}"/>
    <cellStyle name="_Table_Company0358 Model 2 5 5" xfId="16532" xr:uid="{00000000-0005-0000-0000-00007C0A0000}"/>
    <cellStyle name="_Table_Company0358 Model 2 5 5 2" xfId="35886" xr:uid="{00000000-0005-0000-0000-00007D0A0000}"/>
    <cellStyle name="_Table_Company0358 Model 2 5 6" xfId="18963" xr:uid="{00000000-0005-0000-0000-00007E0A0000}"/>
    <cellStyle name="_Table_Company0358 Model 2 5 6 2" xfId="38316" xr:uid="{00000000-0005-0000-0000-00007F0A0000}"/>
    <cellStyle name="_Table_Company0358 Model 2 5 7" xfId="21449" xr:uid="{00000000-0005-0000-0000-0000800A0000}"/>
    <cellStyle name="_Table_Company0358 Model 2 5 7 2" xfId="40791" xr:uid="{00000000-0005-0000-0000-0000810A0000}"/>
    <cellStyle name="_Table_Company0358 Model 2 5 8" xfId="33390" xr:uid="{00000000-0005-0000-0000-0000820A0000}"/>
    <cellStyle name="_Table_Company0358 Model 2 6" xfId="14318" xr:uid="{00000000-0005-0000-0000-0000830A0000}"/>
    <cellStyle name="_Table_Company0358 Model 2 6 2" xfId="16814" xr:uid="{00000000-0005-0000-0000-0000840A0000}"/>
    <cellStyle name="_Table_Company0358 Model 2 6 2 2" xfId="36168" xr:uid="{00000000-0005-0000-0000-0000850A0000}"/>
    <cellStyle name="_Table_Company0358 Model 2 6 3" xfId="19245" xr:uid="{00000000-0005-0000-0000-0000860A0000}"/>
    <cellStyle name="_Table_Company0358 Model 2 6 3 2" xfId="38598" xr:uid="{00000000-0005-0000-0000-0000870A0000}"/>
    <cellStyle name="_Table_Company0358 Model 2 6 4" xfId="21738" xr:uid="{00000000-0005-0000-0000-0000880A0000}"/>
    <cellStyle name="_Table_Company0358 Model 2 6 4 2" xfId="41080" xr:uid="{00000000-0005-0000-0000-0000890A0000}"/>
    <cellStyle name="_Table_Company0358 Model 2 6 5" xfId="33679" xr:uid="{00000000-0005-0000-0000-00008A0A0000}"/>
    <cellStyle name="_Table_Company0358 Model 2 7" xfId="14205" xr:uid="{00000000-0005-0000-0000-00008B0A0000}"/>
    <cellStyle name="_Table_Company0358 Model 2 7 2" xfId="16709" xr:uid="{00000000-0005-0000-0000-00008C0A0000}"/>
    <cellStyle name="_Table_Company0358 Model 2 7 2 2" xfId="36063" xr:uid="{00000000-0005-0000-0000-00008D0A0000}"/>
    <cellStyle name="_Table_Company0358 Model 2 7 3" xfId="19140" xr:uid="{00000000-0005-0000-0000-00008E0A0000}"/>
    <cellStyle name="_Table_Company0358 Model 2 7 3 2" xfId="38493" xr:uid="{00000000-0005-0000-0000-00008F0A0000}"/>
    <cellStyle name="_Table_Company0358 Model 2 7 4" xfId="21627" xr:uid="{00000000-0005-0000-0000-0000900A0000}"/>
    <cellStyle name="_Table_Company0358 Model 2 7 4 2" xfId="40969" xr:uid="{00000000-0005-0000-0000-0000910A0000}"/>
    <cellStyle name="_Table_Company0358 Model 2 7 5" xfId="33568" xr:uid="{00000000-0005-0000-0000-0000920A0000}"/>
    <cellStyle name="_Table_Company0358 Model 2 8" xfId="13489" xr:uid="{00000000-0005-0000-0000-0000930A0000}"/>
    <cellStyle name="_Table_Company0358 Model 2 8 2" xfId="32867" xr:uid="{00000000-0005-0000-0000-0000940A0000}"/>
    <cellStyle name="_Table_Company0358 Model 2 9" xfId="16055" xr:uid="{00000000-0005-0000-0000-0000950A0000}"/>
    <cellStyle name="_Table_Company0358 Model 2 9 2" xfId="35409" xr:uid="{00000000-0005-0000-0000-0000960A0000}"/>
    <cellStyle name="_Table_Company0358 Model 3" xfId="13418" xr:uid="{00000000-0005-0000-0000-0000970A0000}"/>
    <cellStyle name="_Table_Company0358 Model 3 10" xfId="20922" xr:uid="{00000000-0005-0000-0000-0000980A0000}"/>
    <cellStyle name="_Table_Company0358 Model 3 10 2" xfId="40264" xr:uid="{00000000-0005-0000-0000-0000990A0000}"/>
    <cellStyle name="_Table_Company0358 Model 3 11" xfId="32797" xr:uid="{00000000-0005-0000-0000-00009A0A0000}"/>
    <cellStyle name="_Table_Company0358 Model 3 2" xfId="13546" xr:uid="{00000000-0005-0000-0000-00009B0A0000}"/>
    <cellStyle name="_Table_Company0358 Model 3 2 2" xfId="13844" xr:uid="{00000000-0005-0000-0000-00009C0A0000}"/>
    <cellStyle name="_Table_Company0358 Model 3 2 2 2" xfId="14639" xr:uid="{00000000-0005-0000-0000-00009D0A0000}"/>
    <cellStyle name="_Table_Company0358 Model 3 2 2 2 2" xfId="17120" xr:uid="{00000000-0005-0000-0000-00009E0A0000}"/>
    <cellStyle name="_Table_Company0358 Model 3 2 2 2 2 2" xfId="36474" xr:uid="{00000000-0005-0000-0000-00009F0A0000}"/>
    <cellStyle name="_Table_Company0358 Model 3 2 2 2 3" xfId="19551" xr:uid="{00000000-0005-0000-0000-0000A00A0000}"/>
    <cellStyle name="_Table_Company0358 Model 3 2 2 2 3 2" xfId="38904" xr:uid="{00000000-0005-0000-0000-0000A10A0000}"/>
    <cellStyle name="_Table_Company0358 Model 3 2 2 2 4" xfId="22059" xr:uid="{00000000-0005-0000-0000-0000A20A0000}"/>
    <cellStyle name="_Table_Company0358 Model 3 2 2 2 4 2" xfId="41401" xr:uid="{00000000-0005-0000-0000-0000A30A0000}"/>
    <cellStyle name="_Table_Company0358 Model 3 2 2 2 5" xfId="34000" xr:uid="{00000000-0005-0000-0000-0000A40A0000}"/>
    <cellStyle name="_Table_Company0358 Model 3 2 2 3" xfId="15192" xr:uid="{00000000-0005-0000-0000-0000A50A0000}"/>
    <cellStyle name="_Table_Company0358 Model 3 2 2 3 2" xfId="17668" xr:uid="{00000000-0005-0000-0000-0000A60A0000}"/>
    <cellStyle name="_Table_Company0358 Model 3 2 2 3 2 2" xfId="37022" xr:uid="{00000000-0005-0000-0000-0000A70A0000}"/>
    <cellStyle name="_Table_Company0358 Model 3 2 2 3 3" xfId="20099" xr:uid="{00000000-0005-0000-0000-0000A80A0000}"/>
    <cellStyle name="_Table_Company0358 Model 3 2 2 3 3 2" xfId="39452" xr:uid="{00000000-0005-0000-0000-0000A90A0000}"/>
    <cellStyle name="_Table_Company0358 Model 3 2 2 3 4" xfId="22612" xr:uid="{00000000-0005-0000-0000-0000AA0A0000}"/>
    <cellStyle name="_Table_Company0358 Model 3 2 2 3 4 2" xfId="41954" xr:uid="{00000000-0005-0000-0000-0000AB0A0000}"/>
    <cellStyle name="_Table_Company0358 Model 3 2 2 3 5" xfId="34553" xr:uid="{00000000-0005-0000-0000-0000AC0A0000}"/>
    <cellStyle name="_Table_Company0358 Model 3 2 2 4" xfId="15665" xr:uid="{00000000-0005-0000-0000-0000AD0A0000}"/>
    <cellStyle name="_Table_Company0358 Model 3 2 2 4 2" xfId="18141" xr:uid="{00000000-0005-0000-0000-0000AE0A0000}"/>
    <cellStyle name="_Table_Company0358 Model 3 2 2 4 2 2" xfId="37495" xr:uid="{00000000-0005-0000-0000-0000AF0A0000}"/>
    <cellStyle name="_Table_Company0358 Model 3 2 2 4 3" xfId="20572" xr:uid="{00000000-0005-0000-0000-0000B00A0000}"/>
    <cellStyle name="_Table_Company0358 Model 3 2 2 4 3 2" xfId="39925" xr:uid="{00000000-0005-0000-0000-0000B10A0000}"/>
    <cellStyle name="_Table_Company0358 Model 3 2 2 4 4" xfId="23085" xr:uid="{00000000-0005-0000-0000-0000B20A0000}"/>
    <cellStyle name="_Table_Company0358 Model 3 2 2 4 4 2" xfId="42427" xr:uid="{00000000-0005-0000-0000-0000B30A0000}"/>
    <cellStyle name="_Table_Company0358 Model 3 2 2 4 5" xfId="35026" xr:uid="{00000000-0005-0000-0000-0000B40A0000}"/>
    <cellStyle name="_Table_Company0358 Model 3 2 2 5" xfId="16353" xr:uid="{00000000-0005-0000-0000-0000B50A0000}"/>
    <cellStyle name="_Table_Company0358 Model 3 2 2 5 2" xfId="35707" xr:uid="{00000000-0005-0000-0000-0000B60A0000}"/>
    <cellStyle name="_Table_Company0358 Model 3 2 2 6" xfId="18784" xr:uid="{00000000-0005-0000-0000-0000B70A0000}"/>
    <cellStyle name="_Table_Company0358 Model 3 2 2 6 2" xfId="38137" xr:uid="{00000000-0005-0000-0000-0000B80A0000}"/>
    <cellStyle name="_Table_Company0358 Model 3 2 2 7" xfId="21267" xr:uid="{00000000-0005-0000-0000-0000B90A0000}"/>
    <cellStyle name="_Table_Company0358 Model 3 2 2 7 2" xfId="40609" xr:uid="{00000000-0005-0000-0000-0000BA0A0000}"/>
    <cellStyle name="_Table_Company0358 Model 3 2 2 8" xfId="33208" xr:uid="{00000000-0005-0000-0000-0000BB0A0000}"/>
    <cellStyle name="_Table_Company0358 Model 3 2 3" xfId="14062" xr:uid="{00000000-0005-0000-0000-0000BC0A0000}"/>
    <cellStyle name="_Table_Company0358 Model 3 2 3 2" xfId="14856" xr:uid="{00000000-0005-0000-0000-0000BD0A0000}"/>
    <cellStyle name="_Table_Company0358 Model 3 2 3 2 2" xfId="17334" xr:uid="{00000000-0005-0000-0000-0000BE0A0000}"/>
    <cellStyle name="_Table_Company0358 Model 3 2 3 2 2 2" xfId="36688" xr:uid="{00000000-0005-0000-0000-0000BF0A0000}"/>
    <cellStyle name="_Table_Company0358 Model 3 2 3 2 3" xfId="19765" xr:uid="{00000000-0005-0000-0000-0000C00A0000}"/>
    <cellStyle name="_Table_Company0358 Model 3 2 3 2 3 2" xfId="39118" xr:uid="{00000000-0005-0000-0000-0000C10A0000}"/>
    <cellStyle name="_Table_Company0358 Model 3 2 3 2 4" xfId="22276" xr:uid="{00000000-0005-0000-0000-0000C20A0000}"/>
    <cellStyle name="_Table_Company0358 Model 3 2 3 2 4 2" xfId="41618" xr:uid="{00000000-0005-0000-0000-0000C30A0000}"/>
    <cellStyle name="_Table_Company0358 Model 3 2 3 2 5" xfId="34217" xr:uid="{00000000-0005-0000-0000-0000C40A0000}"/>
    <cellStyle name="_Table_Company0358 Model 3 2 3 3" xfId="15403" xr:uid="{00000000-0005-0000-0000-0000C50A0000}"/>
    <cellStyle name="_Table_Company0358 Model 3 2 3 3 2" xfId="17879" xr:uid="{00000000-0005-0000-0000-0000C60A0000}"/>
    <cellStyle name="_Table_Company0358 Model 3 2 3 3 2 2" xfId="37233" xr:uid="{00000000-0005-0000-0000-0000C70A0000}"/>
    <cellStyle name="_Table_Company0358 Model 3 2 3 3 3" xfId="20310" xr:uid="{00000000-0005-0000-0000-0000C80A0000}"/>
    <cellStyle name="_Table_Company0358 Model 3 2 3 3 3 2" xfId="39663" xr:uid="{00000000-0005-0000-0000-0000C90A0000}"/>
    <cellStyle name="_Table_Company0358 Model 3 2 3 3 4" xfId="22823" xr:uid="{00000000-0005-0000-0000-0000CA0A0000}"/>
    <cellStyle name="_Table_Company0358 Model 3 2 3 3 4 2" xfId="42165" xr:uid="{00000000-0005-0000-0000-0000CB0A0000}"/>
    <cellStyle name="_Table_Company0358 Model 3 2 3 3 5" xfId="34764" xr:uid="{00000000-0005-0000-0000-0000CC0A0000}"/>
    <cellStyle name="_Table_Company0358 Model 3 2 3 4" xfId="15862" xr:uid="{00000000-0005-0000-0000-0000CD0A0000}"/>
    <cellStyle name="_Table_Company0358 Model 3 2 3 4 2" xfId="18338" xr:uid="{00000000-0005-0000-0000-0000CE0A0000}"/>
    <cellStyle name="_Table_Company0358 Model 3 2 3 4 2 2" xfId="37692" xr:uid="{00000000-0005-0000-0000-0000CF0A0000}"/>
    <cellStyle name="_Table_Company0358 Model 3 2 3 4 3" xfId="20769" xr:uid="{00000000-0005-0000-0000-0000D00A0000}"/>
    <cellStyle name="_Table_Company0358 Model 3 2 3 4 3 2" xfId="40122" xr:uid="{00000000-0005-0000-0000-0000D10A0000}"/>
    <cellStyle name="_Table_Company0358 Model 3 2 3 4 4" xfId="23282" xr:uid="{00000000-0005-0000-0000-0000D20A0000}"/>
    <cellStyle name="_Table_Company0358 Model 3 2 3 4 4 2" xfId="42624" xr:uid="{00000000-0005-0000-0000-0000D30A0000}"/>
    <cellStyle name="_Table_Company0358 Model 3 2 3 4 5" xfId="35223" xr:uid="{00000000-0005-0000-0000-0000D40A0000}"/>
    <cellStyle name="_Table_Company0358 Model 3 2 3 5" xfId="16568" xr:uid="{00000000-0005-0000-0000-0000D50A0000}"/>
    <cellStyle name="_Table_Company0358 Model 3 2 3 5 2" xfId="35922" xr:uid="{00000000-0005-0000-0000-0000D60A0000}"/>
    <cellStyle name="_Table_Company0358 Model 3 2 3 6" xfId="18999" xr:uid="{00000000-0005-0000-0000-0000D70A0000}"/>
    <cellStyle name="_Table_Company0358 Model 3 2 3 6 2" xfId="38352" xr:uid="{00000000-0005-0000-0000-0000D80A0000}"/>
    <cellStyle name="_Table_Company0358 Model 3 2 3 7" xfId="21485" xr:uid="{00000000-0005-0000-0000-0000D90A0000}"/>
    <cellStyle name="_Table_Company0358 Model 3 2 3 7 2" xfId="40827" xr:uid="{00000000-0005-0000-0000-0000DA0A0000}"/>
    <cellStyle name="_Table_Company0358 Model 3 2 3 8" xfId="33426" xr:uid="{00000000-0005-0000-0000-0000DB0A0000}"/>
    <cellStyle name="_Table_Company0358 Model 3 2 4" xfId="14360" xr:uid="{00000000-0005-0000-0000-0000DC0A0000}"/>
    <cellStyle name="_Table_Company0358 Model 3 2 4 2" xfId="16853" xr:uid="{00000000-0005-0000-0000-0000DD0A0000}"/>
    <cellStyle name="_Table_Company0358 Model 3 2 4 2 2" xfId="36207" xr:uid="{00000000-0005-0000-0000-0000DE0A0000}"/>
    <cellStyle name="_Table_Company0358 Model 3 2 4 3" xfId="19284" xr:uid="{00000000-0005-0000-0000-0000DF0A0000}"/>
    <cellStyle name="_Table_Company0358 Model 3 2 4 3 2" xfId="38637" xr:uid="{00000000-0005-0000-0000-0000E00A0000}"/>
    <cellStyle name="_Table_Company0358 Model 3 2 4 4" xfId="21780" xr:uid="{00000000-0005-0000-0000-0000E10A0000}"/>
    <cellStyle name="_Table_Company0358 Model 3 2 4 4 2" xfId="41122" xr:uid="{00000000-0005-0000-0000-0000E20A0000}"/>
    <cellStyle name="_Table_Company0358 Model 3 2 4 5" xfId="33721" xr:uid="{00000000-0005-0000-0000-0000E30A0000}"/>
    <cellStyle name="_Table_Company0358 Model 3 2 5" xfId="14268" xr:uid="{00000000-0005-0000-0000-0000E40A0000}"/>
    <cellStyle name="_Table_Company0358 Model 3 2 5 2" xfId="16768" xr:uid="{00000000-0005-0000-0000-0000E50A0000}"/>
    <cellStyle name="_Table_Company0358 Model 3 2 5 2 2" xfId="36122" xr:uid="{00000000-0005-0000-0000-0000E60A0000}"/>
    <cellStyle name="_Table_Company0358 Model 3 2 5 3" xfId="19199" xr:uid="{00000000-0005-0000-0000-0000E70A0000}"/>
    <cellStyle name="_Table_Company0358 Model 3 2 5 3 2" xfId="38552" xr:uid="{00000000-0005-0000-0000-0000E80A0000}"/>
    <cellStyle name="_Table_Company0358 Model 3 2 5 4" xfId="21689" xr:uid="{00000000-0005-0000-0000-0000E90A0000}"/>
    <cellStyle name="_Table_Company0358 Model 3 2 5 4 2" xfId="41031" xr:uid="{00000000-0005-0000-0000-0000EA0A0000}"/>
    <cellStyle name="_Table_Company0358 Model 3 2 5 5" xfId="33630" xr:uid="{00000000-0005-0000-0000-0000EB0A0000}"/>
    <cellStyle name="_Table_Company0358 Model 3 2 6" xfId="16092" xr:uid="{00000000-0005-0000-0000-0000EC0A0000}"/>
    <cellStyle name="_Table_Company0358 Model 3 2 6 2" xfId="35446" xr:uid="{00000000-0005-0000-0000-0000ED0A0000}"/>
    <cellStyle name="_Table_Company0358 Model 3 2 7" xfId="18503" xr:uid="{00000000-0005-0000-0000-0000EE0A0000}"/>
    <cellStyle name="_Table_Company0358 Model 3 2 7 2" xfId="37856" xr:uid="{00000000-0005-0000-0000-0000EF0A0000}"/>
    <cellStyle name="_Table_Company0358 Model 3 2 8" xfId="21020" xr:uid="{00000000-0005-0000-0000-0000F00A0000}"/>
    <cellStyle name="_Table_Company0358 Model 3 2 8 2" xfId="40362" xr:uid="{00000000-0005-0000-0000-0000F10A0000}"/>
    <cellStyle name="_Table_Company0358 Model 3 2 9" xfId="32919" xr:uid="{00000000-0005-0000-0000-0000F20A0000}"/>
    <cellStyle name="_Table_Company0358 Model 3 3" xfId="13618" xr:uid="{00000000-0005-0000-0000-0000F30A0000}"/>
    <cellStyle name="_Table_Company0358 Model 3 3 2" xfId="13919" xr:uid="{00000000-0005-0000-0000-0000F40A0000}"/>
    <cellStyle name="_Table_Company0358 Model 3 3 2 2" xfId="14714" xr:uid="{00000000-0005-0000-0000-0000F50A0000}"/>
    <cellStyle name="_Table_Company0358 Model 3 3 2 2 2" xfId="17192" xr:uid="{00000000-0005-0000-0000-0000F60A0000}"/>
    <cellStyle name="_Table_Company0358 Model 3 3 2 2 2 2" xfId="36546" xr:uid="{00000000-0005-0000-0000-0000F70A0000}"/>
    <cellStyle name="_Table_Company0358 Model 3 3 2 2 3" xfId="19623" xr:uid="{00000000-0005-0000-0000-0000F80A0000}"/>
    <cellStyle name="_Table_Company0358 Model 3 3 2 2 3 2" xfId="38976" xr:uid="{00000000-0005-0000-0000-0000F90A0000}"/>
    <cellStyle name="_Table_Company0358 Model 3 3 2 2 4" xfId="22134" xr:uid="{00000000-0005-0000-0000-0000FA0A0000}"/>
    <cellStyle name="_Table_Company0358 Model 3 3 2 2 4 2" xfId="41476" xr:uid="{00000000-0005-0000-0000-0000FB0A0000}"/>
    <cellStyle name="_Table_Company0358 Model 3 3 2 2 5" xfId="34075" xr:uid="{00000000-0005-0000-0000-0000FC0A0000}"/>
    <cellStyle name="_Table_Company0358 Model 3 3 2 3" xfId="15262" xr:uid="{00000000-0005-0000-0000-0000FD0A0000}"/>
    <cellStyle name="_Table_Company0358 Model 3 3 2 3 2" xfId="17738" xr:uid="{00000000-0005-0000-0000-0000FE0A0000}"/>
    <cellStyle name="_Table_Company0358 Model 3 3 2 3 2 2" xfId="37092" xr:uid="{00000000-0005-0000-0000-0000FF0A0000}"/>
    <cellStyle name="_Table_Company0358 Model 3 3 2 3 3" xfId="20169" xr:uid="{00000000-0005-0000-0000-0000000B0000}"/>
    <cellStyle name="_Table_Company0358 Model 3 3 2 3 3 2" xfId="39522" xr:uid="{00000000-0005-0000-0000-0000010B0000}"/>
    <cellStyle name="_Table_Company0358 Model 3 3 2 3 4" xfId="22682" xr:uid="{00000000-0005-0000-0000-0000020B0000}"/>
    <cellStyle name="_Table_Company0358 Model 3 3 2 3 4 2" xfId="42024" xr:uid="{00000000-0005-0000-0000-0000030B0000}"/>
    <cellStyle name="_Table_Company0358 Model 3 3 2 3 5" xfId="34623" xr:uid="{00000000-0005-0000-0000-0000040B0000}"/>
    <cellStyle name="_Table_Company0358 Model 3 3 2 4" xfId="15721" xr:uid="{00000000-0005-0000-0000-0000050B0000}"/>
    <cellStyle name="_Table_Company0358 Model 3 3 2 4 2" xfId="18197" xr:uid="{00000000-0005-0000-0000-0000060B0000}"/>
    <cellStyle name="_Table_Company0358 Model 3 3 2 4 2 2" xfId="37551" xr:uid="{00000000-0005-0000-0000-0000070B0000}"/>
    <cellStyle name="_Table_Company0358 Model 3 3 2 4 3" xfId="20628" xr:uid="{00000000-0005-0000-0000-0000080B0000}"/>
    <cellStyle name="_Table_Company0358 Model 3 3 2 4 3 2" xfId="39981" xr:uid="{00000000-0005-0000-0000-0000090B0000}"/>
    <cellStyle name="_Table_Company0358 Model 3 3 2 4 4" xfId="23141" xr:uid="{00000000-0005-0000-0000-00000A0B0000}"/>
    <cellStyle name="_Table_Company0358 Model 3 3 2 4 4 2" xfId="42483" xr:uid="{00000000-0005-0000-0000-00000B0B0000}"/>
    <cellStyle name="_Table_Company0358 Model 3 3 2 4 5" xfId="35082" xr:uid="{00000000-0005-0000-0000-00000C0B0000}"/>
    <cellStyle name="_Table_Company0358 Model 3 3 2 5" xfId="16425" xr:uid="{00000000-0005-0000-0000-00000D0B0000}"/>
    <cellStyle name="_Table_Company0358 Model 3 3 2 5 2" xfId="35779" xr:uid="{00000000-0005-0000-0000-00000E0B0000}"/>
    <cellStyle name="_Table_Company0358 Model 3 3 2 6" xfId="18856" xr:uid="{00000000-0005-0000-0000-00000F0B0000}"/>
    <cellStyle name="_Table_Company0358 Model 3 3 2 6 2" xfId="38209" xr:uid="{00000000-0005-0000-0000-0000100B0000}"/>
    <cellStyle name="_Table_Company0358 Model 3 3 2 7" xfId="21342" xr:uid="{00000000-0005-0000-0000-0000110B0000}"/>
    <cellStyle name="_Table_Company0358 Model 3 3 2 7 2" xfId="40684" xr:uid="{00000000-0005-0000-0000-0000120B0000}"/>
    <cellStyle name="_Table_Company0358 Model 3 3 2 8" xfId="33283" xr:uid="{00000000-0005-0000-0000-0000130B0000}"/>
    <cellStyle name="_Table_Company0358 Model 3 3 3" xfId="14134" xr:uid="{00000000-0005-0000-0000-0000140B0000}"/>
    <cellStyle name="_Table_Company0358 Model 3 3 3 2" xfId="14911" xr:uid="{00000000-0005-0000-0000-0000150B0000}"/>
    <cellStyle name="_Table_Company0358 Model 3 3 3 2 2" xfId="17389" xr:uid="{00000000-0005-0000-0000-0000160B0000}"/>
    <cellStyle name="_Table_Company0358 Model 3 3 3 2 2 2" xfId="36743" xr:uid="{00000000-0005-0000-0000-0000170B0000}"/>
    <cellStyle name="_Table_Company0358 Model 3 3 3 2 3" xfId="19820" xr:uid="{00000000-0005-0000-0000-0000180B0000}"/>
    <cellStyle name="_Table_Company0358 Model 3 3 3 2 3 2" xfId="39173" xr:uid="{00000000-0005-0000-0000-0000190B0000}"/>
    <cellStyle name="_Table_Company0358 Model 3 3 3 2 4" xfId="22331" xr:uid="{00000000-0005-0000-0000-00001A0B0000}"/>
    <cellStyle name="_Table_Company0358 Model 3 3 3 2 4 2" xfId="41673" xr:uid="{00000000-0005-0000-0000-00001B0B0000}"/>
    <cellStyle name="_Table_Company0358 Model 3 3 3 2 5" xfId="34272" xr:uid="{00000000-0005-0000-0000-00001C0B0000}"/>
    <cellStyle name="_Table_Company0358 Model 3 3 3 3" xfId="15457" xr:uid="{00000000-0005-0000-0000-00001D0B0000}"/>
    <cellStyle name="_Table_Company0358 Model 3 3 3 3 2" xfId="17933" xr:uid="{00000000-0005-0000-0000-00001E0B0000}"/>
    <cellStyle name="_Table_Company0358 Model 3 3 3 3 2 2" xfId="37287" xr:uid="{00000000-0005-0000-0000-00001F0B0000}"/>
    <cellStyle name="_Table_Company0358 Model 3 3 3 3 3" xfId="20364" xr:uid="{00000000-0005-0000-0000-0000200B0000}"/>
    <cellStyle name="_Table_Company0358 Model 3 3 3 3 3 2" xfId="39717" xr:uid="{00000000-0005-0000-0000-0000210B0000}"/>
    <cellStyle name="_Table_Company0358 Model 3 3 3 3 4" xfId="22877" xr:uid="{00000000-0005-0000-0000-0000220B0000}"/>
    <cellStyle name="_Table_Company0358 Model 3 3 3 3 4 2" xfId="42219" xr:uid="{00000000-0005-0000-0000-0000230B0000}"/>
    <cellStyle name="_Table_Company0358 Model 3 3 3 3 5" xfId="34818" xr:uid="{00000000-0005-0000-0000-0000240B0000}"/>
    <cellStyle name="_Table_Company0358 Model 3 3 3 4" xfId="15916" xr:uid="{00000000-0005-0000-0000-0000250B0000}"/>
    <cellStyle name="_Table_Company0358 Model 3 3 3 4 2" xfId="18392" xr:uid="{00000000-0005-0000-0000-0000260B0000}"/>
    <cellStyle name="_Table_Company0358 Model 3 3 3 4 2 2" xfId="37746" xr:uid="{00000000-0005-0000-0000-0000270B0000}"/>
    <cellStyle name="_Table_Company0358 Model 3 3 3 4 3" xfId="20823" xr:uid="{00000000-0005-0000-0000-0000280B0000}"/>
    <cellStyle name="_Table_Company0358 Model 3 3 3 4 3 2" xfId="40176" xr:uid="{00000000-0005-0000-0000-0000290B0000}"/>
    <cellStyle name="_Table_Company0358 Model 3 3 3 4 4" xfId="23336" xr:uid="{00000000-0005-0000-0000-00002A0B0000}"/>
    <cellStyle name="_Table_Company0358 Model 3 3 3 4 4 2" xfId="42678" xr:uid="{00000000-0005-0000-0000-00002B0B0000}"/>
    <cellStyle name="_Table_Company0358 Model 3 3 3 4 5" xfId="35277" xr:uid="{00000000-0005-0000-0000-00002C0B0000}"/>
    <cellStyle name="_Table_Company0358 Model 3 3 3 5" xfId="16640" xr:uid="{00000000-0005-0000-0000-00002D0B0000}"/>
    <cellStyle name="_Table_Company0358 Model 3 3 3 5 2" xfId="35994" xr:uid="{00000000-0005-0000-0000-00002E0B0000}"/>
    <cellStyle name="_Table_Company0358 Model 3 3 3 6" xfId="19071" xr:uid="{00000000-0005-0000-0000-00002F0B0000}"/>
    <cellStyle name="_Table_Company0358 Model 3 3 3 6 2" xfId="38424" xr:uid="{00000000-0005-0000-0000-0000300B0000}"/>
    <cellStyle name="_Table_Company0358 Model 3 3 3 7" xfId="21557" xr:uid="{00000000-0005-0000-0000-0000310B0000}"/>
    <cellStyle name="_Table_Company0358 Model 3 3 3 7 2" xfId="40899" xr:uid="{00000000-0005-0000-0000-0000320B0000}"/>
    <cellStyle name="_Table_Company0358 Model 3 3 3 8" xfId="33498" xr:uid="{00000000-0005-0000-0000-0000330B0000}"/>
    <cellStyle name="_Table_Company0358 Model 3 3 4" xfId="14429" xr:uid="{00000000-0005-0000-0000-0000340B0000}"/>
    <cellStyle name="_Table_Company0358 Model 3 3 4 2" xfId="16919" xr:uid="{00000000-0005-0000-0000-0000350B0000}"/>
    <cellStyle name="_Table_Company0358 Model 3 3 4 2 2" xfId="36273" xr:uid="{00000000-0005-0000-0000-0000360B0000}"/>
    <cellStyle name="_Table_Company0358 Model 3 3 4 3" xfId="19350" xr:uid="{00000000-0005-0000-0000-0000370B0000}"/>
    <cellStyle name="_Table_Company0358 Model 3 3 4 3 2" xfId="38703" xr:uid="{00000000-0005-0000-0000-0000380B0000}"/>
    <cellStyle name="_Table_Company0358 Model 3 3 4 4" xfId="21849" xr:uid="{00000000-0005-0000-0000-0000390B0000}"/>
    <cellStyle name="_Table_Company0358 Model 3 3 4 4 2" xfId="41191" xr:uid="{00000000-0005-0000-0000-00003A0B0000}"/>
    <cellStyle name="_Table_Company0358 Model 3 3 4 5" xfId="33790" xr:uid="{00000000-0005-0000-0000-00003B0B0000}"/>
    <cellStyle name="_Table_Company0358 Model 3 3 5" xfId="14320" xr:uid="{00000000-0005-0000-0000-00003C0B0000}"/>
    <cellStyle name="_Table_Company0358 Model 3 3 5 2" xfId="16816" xr:uid="{00000000-0005-0000-0000-00003D0B0000}"/>
    <cellStyle name="_Table_Company0358 Model 3 3 5 2 2" xfId="36170" xr:uid="{00000000-0005-0000-0000-00003E0B0000}"/>
    <cellStyle name="_Table_Company0358 Model 3 3 5 3" xfId="19247" xr:uid="{00000000-0005-0000-0000-00003F0B0000}"/>
    <cellStyle name="_Table_Company0358 Model 3 3 5 3 2" xfId="38600" xr:uid="{00000000-0005-0000-0000-0000400B0000}"/>
    <cellStyle name="_Table_Company0358 Model 3 3 5 4" xfId="21740" xr:uid="{00000000-0005-0000-0000-0000410B0000}"/>
    <cellStyle name="_Table_Company0358 Model 3 3 5 4 2" xfId="41082" xr:uid="{00000000-0005-0000-0000-0000420B0000}"/>
    <cellStyle name="_Table_Company0358 Model 3 3 5 5" xfId="33681" xr:uid="{00000000-0005-0000-0000-0000430B0000}"/>
    <cellStyle name="_Table_Company0358 Model 3 3 6" xfId="16138" xr:uid="{00000000-0005-0000-0000-0000440B0000}"/>
    <cellStyle name="_Table_Company0358 Model 3 3 6 2" xfId="35492" xr:uid="{00000000-0005-0000-0000-0000450B0000}"/>
    <cellStyle name="_Table_Company0358 Model 3 3 7" xfId="18569" xr:uid="{00000000-0005-0000-0000-0000460B0000}"/>
    <cellStyle name="_Table_Company0358 Model 3 3 7 2" xfId="37922" xr:uid="{00000000-0005-0000-0000-0000470B0000}"/>
    <cellStyle name="_Table_Company0358 Model 3 3 8" xfId="21043" xr:uid="{00000000-0005-0000-0000-0000480B0000}"/>
    <cellStyle name="_Table_Company0358 Model 3 3 8 2" xfId="40385" xr:uid="{00000000-0005-0000-0000-0000490B0000}"/>
    <cellStyle name="_Table_Company0358 Model 3 3 9" xfId="32984" xr:uid="{00000000-0005-0000-0000-00004A0B0000}"/>
    <cellStyle name="_Table_Company0358 Model 3 4" xfId="13752" xr:uid="{00000000-0005-0000-0000-00004B0B0000}"/>
    <cellStyle name="_Table_Company0358 Model 3 4 2" xfId="14554" xr:uid="{00000000-0005-0000-0000-00004C0B0000}"/>
    <cellStyle name="_Table_Company0358 Model 3 4 2 2" xfId="17041" xr:uid="{00000000-0005-0000-0000-00004D0B0000}"/>
    <cellStyle name="_Table_Company0358 Model 3 4 2 2 2" xfId="36395" xr:uid="{00000000-0005-0000-0000-00004E0B0000}"/>
    <cellStyle name="_Table_Company0358 Model 3 4 2 3" xfId="19472" xr:uid="{00000000-0005-0000-0000-00004F0B0000}"/>
    <cellStyle name="_Table_Company0358 Model 3 4 2 3 2" xfId="38825" xr:uid="{00000000-0005-0000-0000-0000500B0000}"/>
    <cellStyle name="_Table_Company0358 Model 3 4 2 4" xfId="21974" xr:uid="{00000000-0005-0000-0000-0000510B0000}"/>
    <cellStyle name="_Table_Company0358 Model 3 4 2 4 2" xfId="41316" xr:uid="{00000000-0005-0000-0000-0000520B0000}"/>
    <cellStyle name="_Table_Company0358 Model 3 4 2 5" xfId="33915" xr:uid="{00000000-0005-0000-0000-0000530B0000}"/>
    <cellStyle name="_Table_Company0358 Model 3 4 3" xfId="15115" xr:uid="{00000000-0005-0000-0000-0000540B0000}"/>
    <cellStyle name="_Table_Company0358 Model 3 4 3 2" xfId="17591" xr:uid="{00000000-0005-0000-0000-0000550B0000}"/>
    <cellStyle name="_Table_Company0358 Model 3 4 3 2 2" xfId="36945" xr:uid="{00000000-0005-0000-0000-0000560B0000}"/>
    <cellStyle name="_Table_Company0358 Model 3 4 3 3" xfId="20022" xr:uid="{00000000-0005-0000-0000-0000570B0000}"/>
    <cellStyle name="_Table_Company0358 Model 3 4 3 3 2" xfId="39375" xr:uid="{00000000-0005-0000-0000-0000580B0000}"/>
    <cellStyle name="_Table_Company0358 Model 3 4 3 4" xfId="22535" xr:uid="{00000000-0005-0000-0000-0000590B0000}"/>
    <cellStyle name="_Table_Company0358 Model 3 4 3 4 2" xfId="41877" xr:uid="{00000000-0005-0000-0000-00005A0B0000}"/>
    <cellStyle name="_Table_Company0358 Model 3 4 3 5" xfId="34476" xr:uid="{00000000-0005-0000-0000-00005B0B0000}"/>
    <cellStyle name="_Table_Company0358 Model 3 4 4" xfId="15597" xr:uid="{00000000-0005-0000-0000-00005C0B0000}"/>
    <cellStyle name="_Table_Company0358 Model 3 4 4 2" xfId="18073" xr:uid="{00000000-0005-0000-0000-00005D0B0000}"/>
    <cellStyle name="_Table_Company0358 Model 3 4 4 2 2" xfId="37427" xr:uid="{00000000-0005-0000-0000-00005E0B0000}"/>
    <cellStyle name="_Table_Company0358 Model 3 4 4 3" xfId="20504" xr:uid="{00000000-0005-0000-0000-00005F0B0000}"/>
    <cellStyle name="_Table_Company0358 Model 3 4 4 3 2" xfId="39857" xr:uid="{00000000-0005-0000-0000-0000600B0000}"/>
    <cellStyle name="_Table_Company0358 Model 3 4 4 4" xfId="23017" xr:uid="{00000000-0005-0000-0000-0000610B0000}"/>
    <cellStyle name="_Table_Company0358 Model 3 4 4 4 2" xfId="42359" xr:uid="{00000000-0005-0000-0000-0000620B0000}"/>
    <cellStyle name="_Table_Company0358 Model 3 4 4 5" xfId="34958" xr:uid="{00000000-0005-0000-0000-0000630B0000}"/>
    <cellStyle name="_Table_Company0358 Model 3 4 5" xfId="16267" xr:uid="{00000000-0005-0000-0000-0000640B0000}"/>
    <cellStyle name="_Table_Company0358 Model 3 4 5 2" xfId="35621" xr:uid="{00000000-0005-0000-0000-0000650B0000}"/>
    <cellStyle name="_Table_Company0358 Model 3 4 6" xfId="18698" xr:uid="{00000000-0005-0000-0000-0000660B0000}"/>
    <cellStyle name="_Table_Company0358 Model 3 4 6 2" xfId="38051" xr:uid="{00000000-0005-0000-0000-0000670B0000}"/>
    <cellStyle name="_Table_Company0358 Model 3 4 7" xfId="21175" xr:uid="{00000000-0005-0000-0000-0000680B0000}"/>
    <cellStyle name="_Table_Company0358 Model 3 4 7 2" xfId="40517" xr:uid="{00000000-0005-0000-0000-0000690B0000}"/>
    <cellStyle name="_Table_Company0358 Model 3 4 8" xfId="33116" xr:uid="{00000000-0005-0000-0000-00006A0B0000}"/>
    <cellStyle name="_Table_Company0358 Model 3 5" xfId="13688" xr:uid="{00000000-0005-0000-0000-00006B0B0000}"/>
    <cellStyle name="_Table_Company0358 Model 3 5 2" xfId="14491" xr:uid="{00000000-0005-0000-0000-00006C0B0000}"/>
    <cellStyle name="_Table_Company0358 Model 3 5 2 2" xfId="16981" xr:uid="{00000000-0005-0000-0000-00006D0B0000}"/>
    <cellStyle name="_Table_Company0358 Model 3 5 2 2 2" xfId="36335" xr:uid="{00000000-0005-0000-0000-00006E0B0000}"/>
    <cellStyle name="_Table_Company0358 Model 3 5 2 3" xfId="19412" xr:uid="{00000000-0005-0000-0000-00006F0B0000}"/>
    <cellStyle name="_Table_Company0358 Model 3 5 2 3 2" xfId="38765" xr:uid="{00000000-0005-0000-0000-0000700B0000}"/>
    <cellStyle name="_Table_Company0358 Model 3 5 2 4" xfId="21911" xr:uid="{00000000-0005-0000-0000-0000710B0000}"/>
    <cellStyle name="_Table_Company0358 Model 3 5 2 4 2" xfId="41253" xr:uid="{00000000-0005-0000-0000-0000720B0000}"/>
    <cellStyle name="_Table_Company0358 Model 3 5 2 5" xfId="33852" xr:uid="{00000000-0005-0000-0000-0000730B0000}"/>
    <cellStyle name="_Table_Company0358 Model 3 5 3" xfId="15055" xr:uid="{00000000-0005-0000-0000-0000740B0000}"/>
    <cellStyle name="_Table_Company0358 Model 3 5 3 2" xfId="17531" xr:uid="{00000000-0005-0000-0000-0000750B0000}"/>
    <cellStyle name="_Table_Company0358 Model 3 5 3 2 2" xfId="36885" xr:uid="{00000000-0005-0000-0000-0000760B0000}"/>
    <cellStyle name="_Table_Company0358 Model 3 5 3 3" xfId="19962" xr:uid="{00000000-0005-0000-0000-0000770B0000}"/>
    <cellStyle name="_Table_Company0358 Model 3 5 3 3 2" xfId="39315" xr:uid="{00000000-0005-0000-0000-0000780B0000}"/>
    <cellStyle name="_Table_Company0358 Model 3 5 3 4" xfId="22475" xr:uid="{00000000-0005-0000-0000-0000790B0000}"/>
    <cellStyle name="_Table_Company0358 Model 3 5 3 4 2" xfId="41817" xr:uid="{00000000-0005-0000-0000-00007A0B0000}"/>
    <cellStyle name="_Table_Company0358 Model 3 5 3 5" xfId="34416" xr:uid="{00000000-0005-0000-0000-00007B0B0000}"/>
    <cellStyle name="_Table_Company0358 Model 3 5 4" xfId="15538" xr:uid="{00000000-0005-0000-0000-00007C0B0000}"/>
    <cellStyle name="_Table_Company0358 Model 3 5 4 2" xfId="18014" xr:uid="{00000000-0005-0000-0000-00007D0B0000}"/>
    <cellStyle name="_Table_Company0358 Model 3 5 4 2 2" xfId="37368" xr:uid="{00000000-0005-0000-0000-00007E0B0000}"/>
    <cellStyle name="_Table_Company0358 Model 3 5 4 3" xfId="20445" xr:uid="{00000000-0005-0000-0000-00007F0B0000}"/>
    <cellStyle name="_Table_Company0358 Model 3 5 4 3 2" xfId="39798" xr:uid="{00000000-0005-0000-0000-0000800B0000}"/>
    <cellStyle name="_Table_Company0358 Model 3 5 4 4" xfId="22958" xr:uid="{00000000-0005-0000-0000-0000810B0000}"/>
    <cellStyle name="_Table_Company0358 Model 3 5 4 4 2" xfId="42300" xr:uid="{00000000-0005-0000-0000-0000820B0000}"/>
    <cellStyle name="_Table_Company0358 Model 3 5 4 5" xfId="34899" xr:uid="{00000000-0005-0000-0000-0000830B0000}"/>
    <cellStyle name="_Table_Company0358 Model 3 5 5" xfId="16207" xr:uid="{00000000-0005-0000-0000-0000840B0000}"/>
    <cellStyle name="_Table_Company0358 Model 3 5 5 2" xfId="35561" xr:uid="{00000000-0005-0000-0000-0000850B0000}"/>
    <cellStyle name="_Table_Company0358 Model 3 5 6" xfId="18638" xr:uid="{00000000-0005-0000-0000-0000860B0000}"/>
    <cellStyle name="_Table_Company0358 Model 3 5 6 2" xfId="37991" xr:uid="{00000000-0005-0000-0000-0000870B0000}"/>
    <cellStyle name="_Table_Company0358 Model 3 5 7" xfId="21112" xr:uid="{00000000-0005-0000-0000-0000880B0000}"/>
    <cellStyle name="_Table_Company0358 Model 3 5 7 2" xfId="40454" xr:uid="{00000000-0005-0000-0000-0000890B0000}"/>
    <cellStyle name="_Table_Company0358 Model 3 5 8" xfId="33053" xr:uid="{00000000-0005-0000-0000-00008A0B0000}"/>
    <cellStyle name="_Table_Company0358 Model 3 6" xfId="14273" xr:uid="{00000000-0005-0000-0000-00008B0B0000}"/>
    <cellStyle name="_Table_Company0358 Model 3 6 2" xfId="16772" xr:uid="{00000000-0005-0000-0000-00008C0B0000}"/>
    <cellStyle name="_Table_Company0358 Model 3 6 2 2" xfId="36126" xr:uid="{00000000-0005-0000-0000-00008D0B0000}"/>
    <cellStyle name="_Table_Company0358 Model 3 6 3" xfId="19203" xr:uid="{00000000-0005-0000-0000-00008E0B0000}"/>
    <cellStyle name="_Table_Company0358 Model 3 6 3 2" xfId="38556" xr:uid="{00000000-0005-0000-0000-00008F0B0000}"/>
    <cellStyle name="_Table_Company0358 Model 3 6 4" xfId="21693" xr:uid="{00000000-0005-0000-0000-0000900B0000}"/>
    <cellStyle name="_Table_Company0358 Model 3 6 4 2" xfId="41035" xr:uid="{00000000-0005-0000-0000-0000910B0000}"/>
    <cellStyle name="_Table_Company0358 Model 3 6 5" xfId="33634" xr:uid="{00000000-0005-0000-0000-0000920B0000}"/>
    <cellStyle name="_Table_Company0358 Model 3 7" xfId="14230" xr:uid="{00000000-0005-0000-0000-0000930B0000}"/>
    <cellStyle name="_Table_Company0358 Model 3 7 2" xfId="16733" xr:uid="{00000000-0005-0000-0000-0000940B0000}"/>
    <cellStyle name="_Table_Company0358 Model 3 7 2 2" xfId="36087" xr:uid="{00000000-0005-0000-0000-0000950B0000}"/>
    <cellStyle name="_Table_Company0358 Model 3 7 3" xfId="19164" xr:uid="{00000000-0005-0000-0000-0000960B0000}"/>
    <cellStyle name="_Table_Company0358 Model 3 7 3 2" xfId="38517" xr:uid="{00000000-0005-0000-0000-0000970B0000}"/>
    <cellStyle name="_Table_Company0358 Model 3 7 4" xfId="21651" xr:uid="{00000000-0005-0000-0000-0000980B0000}"/>
    <cellStyle name="_Table_Company0358 Model 3 7 4 2" xfId="40993" xr:uid="{00000000-0005-0000-0000-0000990B0000}"/>
    <cellStyle name="_Table_Company0358 Model 3 7 5" xfId="33592" xr:uid="{00000000-0005-0000-0000-00009A0B0000}"/>
    <cellStyle name="_Table_Company0358 Model 3 8" xfId="15988" xr:uid="{00000000-0005-0000-0000-00009B0B0000}"/>
    <cellStyle name="_Table_Company0358 Model 3 8 2" xfId="35342" xr:uid="{00000000-0005-0000-0000-00009C0B0000}"/>
    <cellStyle name="_Table_Company0358 Model 3 9" xfId="13282" xr:uid="{00000000-0005-0000-0000-00009D0B0000}"/>
    <cellStyle name="_Table_Company0358 Model 3 9 2" xfId="32727" xr:uid="{00000000-0005-0000-0000-00009E0B0000}"/>
    <cellStyle name="_Table_Company0358 Model 4" xfId="13540" xr:uid="{00000000-0005-0000-0000-00009F0B0000}"/>
    <cellStyle name="_Table_Company0358 Model 4 2" xfId="13840" xr:uid="{00000000-0005-0000-0000-0000A00B0000}"/>
    <cellStyle name="_Table_Company0358 Model 4 2 2" xfId="14635" xr:uid="{00000000-0005-0000-0000-0000A10B0000}"/>
    <cellStyle name="_Table_Company0358 Model 4 2 2 2" xfId="17116" xr:uid="{00000000-0005-0000-0000-0000A20B0000}"/>
    <cellStyle name="_Table_Company0358 Model 4 2 2 2 2" xfId="36470" xr:uid="{00000000-0005-0000-0000-0000A30B0000}"/>
    <cellStyle name="_Table_Company0358 Model 4 2 2 3" xfId="19547" xr:uid="{00000000-0005-0000-0000-0000A40B0000}"/>
    <cellStyle name="_Table_Company0358 Model 4 2 2 3 2" xfId="38900" xr:uid="{00000000-0005-0000-0000-0000A50B0000}"/>
    <cellStyle name="_Table_Company0358 Model 4 2 2 4" xfId="22055" xr:uid="{00000000-0005-0000-0000-0000A60B0000}"/>
    <cellStyle name="_Table_Company0358 Model 4 2 2 4 2" xfId="41397" xr:uid="{00000000-0005-0000-0000-0000A70B0000}"/>
    <cellStyle name="_Table_Company0358 Model 4 2 2 5" xfId="33996" xr:uid="{00000000-0005-0000-0000-0000A80B0000}"/>
    <cellStyle name="_Table_Company0358 Model 4 2 3" xfId="15188" xr:uid="{00000000-0005-0000-0000-0000A90B0000}"/>
    <cellStyle name="_Table_Company0358 Model 4 2 3 2" xfId="17664" xr:uid="{00000000-0005-0000-0000-0000AA0B0000}"/>
    <cellStyle name="_Table_Company0358 Model 4 2 3 2 2" xfId="37018" xr:uid="{00000000-0005-0000-0000-0000AB0B0000}"/>
    <cellStyle name="_Table_Company0358 Model 4 2 3 3" xfId="20095" xr:uid="{00000000-0005-0000-0000-0000AC0B0000}"/>
    <cellStyle name="_Table_Company0358 Model 4 2 3 3 2" xfId="39448" xr:uid="{00000000-0005-0000-0000-0000AD0B0000}"/>
    <cellStyle name="_Table_Company0358 Model 4 2 3 4" xfId="22608" xr:uid="{00000000-0005-0000-0000-0000AE0B0000}"/>
    <cellStyle name="_Table_Company0358 Model 4 2 3 4 2" xfId="41950" xr:uid="{00000000-0005-0000-0000-0000AF0B0000}"/>
    <cellStyle name="_Table_Company0358 Model 4 2 3 5" xfId="34549" xr:uid="{00000000-0005-0000-0000-0000B00B0000}"/>
    <cellStyle name="_Table_Company0358 Model 4 2 4" xfId="15661" xr:uid="{00000000-0005-0000-0000-0000B10B0000}"/>
    <cellStyle name="_Table_Company0358 Model 4 2 4 2" xfId="18137" xr:uid="{00000000-0005-0000-0000-0000B20B0000}"/>
    <cellStyle name="_Table_Company0358 Model 4 2 4 2 2" xfId="37491" xr:uid="{00000000-0005-0000-0000-0000B30B0000}"/>
    <cellStyle name="_Table_Company0358 Model 4 2 4 3" xfId="20568" xr:uid="{00000000-0005-0000-0000-0000B40B0000}"/>
    <cellStyle name="_Table_Company0358 Model 4 2 4 3 2" xfId="39921" xr:uid="{00000000-0005-0000-0000-0000B50B0000}"/>
    <cellStyle name="_Table_Company0358 Model 4 2 4 4" xfId="23081" xr:uid="{00000000-0005-0000-0000-0000B60B0000}"/>
    <cellStyle name="_Table_Company0358 Model 4 2 4 4 2" xfId="42423" xr:uid="{00000000-0005-0000-0000-0000B70B0000}"/>
    <cellStyle name="_Table_Company0358 Model 4 2 4 5" xfId="35022" xr:uid="{00000000-0005-0000-0000-0000B80B0000}"/>
    <cellStyle name="_Table_Company0358 Model 4 2 5" xfId="16349" xr:uid="{00000000-0005-0000-0000-0000B90B0000}"/>
    <cellStyle name="_Table_Company0358 Model 4 2 5 2" xfId="35703" xr:uid="{00000000-0005-0000-0000-0000BA0B0000}"/>
    <cellStyle name="_Table_Company0358 Model 4 2 6" xfId="18780" xr:uid="{00000000-0005-0000-0000-0000BB0B0000}"/>
    <cellStyle name="_Table_Company0358 Model 4 2 6 2" xfId="38133" xr:uid="{00000000-0005-0000-0000-0000BC0B0000}"/>
    <cellStyle name="_Table_Company0358 Model 4 2 7" xfId="21263" xr:uid="{00000000-0005-0000-0000-0000BD0B0000}"/>
    <cellStyle name="_Table_Company0358 Model 4 2 7 2" xfId="40605" xr:uid="{00000000-0005-0000-0000-0000BE0B0000}"/>
    <cellStyle name="_Table_Company0358 Model 4 2 8" xfId="33204" xr:uid="{00000000-0005-0000-0000-0000BF0B0000}"/>
    <cellStyle name="_Table_Company0358 Model 4 3" xfId="14058" xr:uid="{00000000-0005-0000-0000-0000C00B0000}"/>
    <cellStyle name="_Table_Company0358 Model 4 3 2" xfId="14853" xr:uid="{00000000-0005-0000-0000-0000C10B0000}"/>
    <cellStyle name="_Table_Company0358 Model 4 3 2 2" xfId="17331" xr:uid="{00000000-0005-0000-0000-0000C20B0000}"/>
    <cellStyle name="_Table_Company0358 Model 4 3 2 2 2" xfId="36685" xr:uid="{00000000-0005-0000-0000-0000C30B0000}"/>
    <cellStyle name="_Table_Company0358 Model 4 3 2 3" xfId="19762" xr:uid="{00000000-0005-0000-0000-0000C40B0000}"/>
    <cellStyle name="_Table_Company0358 Model 4 3 2 3 2" xfId="39115" xr:uid="{00000000-0005-0000-0000-0000C50B0000}"/>
    <cellStyle name="_Table_Company0358 Model 4 3 2 4" xfId="22273" xr:uid="{00000000-0005-0000-0000-0000C60B0000}"/>
    <cellStyle name="_Table_Company0358 Model 4 3 2 4 2" xfId="41615" xr:uid="{00000000-0005-0000-0000-0000C70B0000}"/>
    <cellStyle name="_Table_Company0358 Model 4 3 2 5" xfId="34214" xr:uid="{00000000-0005-0000-0000-0000C80B0000}"/>
    <cellStyle name="_Table_Company0358 Model 4 3 3" xfId="15401" xr:uid="{00000000-0005-0000-0000-0000C90B0000}"/>
    <cellStyle name="_Table_Company0358 Model 4 3 3 2" xfId="17877" xr:uid="{00000000-0005-0000-0000-0000CA0B0000}"/>
    <cellStyle name="_Table_Company0358 Model 4 3 3 2 2" xfId="37231" xr:uid="{00000000-0005-0000-0000-0000CB0B0000}"/>
    <cellStyle name="_Table_Company0358 Model 4 3 3 3" xfId="20308" xr:uid="{00000000-0005-0000-0000-0000CC0B0000}"/>
    <cellStyle name="_Table_Company0358 Model 4 3 3 3 2" xfId="39661" xr:uid="{00000000-0005-0000-0000-0000CD0B0000}"/>
    <cellStyle name="_Table_Company0358 Model 4 3 3 4" xfId="22821" xr:uid="{00000000-0005-0000-0000-0000CE0B0000}"/>
    <cellStyle name="_Table_Company0358 Model 4 3 3 4 2" xfId="42163" xr:uid="{00000000-0005-0000-0000-0000CF0B0000}"/>
    <cellStyle name="_Table_Company0358 Model 4 3 3 5" xfId="34762" xr:uid="{00000000-0005-0000-0000-0000D00B0000}"/>
    <cellStyle name="_Table_Company0358 Model 4 3 4" xfId="15860" xr:uid="{00000000-0005-0000-0000-0000D10B0000}"/>
    <cellStyle name="_Table_Company0358 Model 4 3 4 2" xfId="18336" xr:uid="{00000000-0005-0000-0000-0000D20B0000}"/>
    <cellStyle name="_Table_Company0358 Model 4 3 4 2 2" xfId="37690" xr:uid="{00000000-0005-0000-0000-0000D30B0000}"/>
    <cellStyle name="_Table_Company0358 Model 4 3 4 3" xfId="20767" xr:uid="{00000000-0005-0000-0000-0000D40B0000}"/>
    <cellStyle name="_Table_Company0358 Model 4 3 4 3 2" xfId="40120" xr:uid="{00000000-0005-0000-0000-0000D50B0000}"/>
    <cellStyle name="_Table_Company0358 Model 4 3 4 4" xfId="23280" xr:uid="{00000000-0005-0000-0000-0000D60B0000}"/>
    <cellStyle name="_Table_Company0358 Model 4 3 4 4 2" xfId="42622" xr:uid="{00000000-0005-0000-0000-0000D70B0000}"/>
    <cellStyle name="_Table_Company0358 Model 4 3 4 5" xfId="35221" xr:uid="{00000000-0005-0000-0000-0000D80B0000}"/>
    <cellStyle name="_Table_Company0358 Model 4 3 5" xfId="16564" xr:uid="{00000000-0005-0000-0000-0000D90B0000}"/>
    <cellStyle name="_Table_Company0358 Model 4 3 5 2" xfId="35918" xr:uid="{00000000-0005-0000-0000-0000DA0B0000}"/>
    <cellStyle name="_Table_Company0358 Model 4 3 6" xfId="18995" xr:uid="{00000000-0005-0000-0000-0000DB0B0000}"/>
    <cellStyle name="_Table_Company0358 Model 4 3 6 2" xfId="38348" xr:uid="{00000000-0005-0000-0000-0000DC0B0000}"/>
    <cellStyle name="_Table_Company0358 Model 4 3 7" xfId="21481" xr:uid="{00000000-0005-0000-0000-0000DD0B0000}"/>
    <cellStyle name="_Table_Company0358 Model 4 3 7 2" xfId="40823" xr:uid="{00000000-0005-0000-0000-0000DE0B0000}"/>
    <cellStyle name="_Table_Company0358 Model 4 3 8" xfId="33422" xr:uid="{00000000-0005-0000-0000-0000DF0B0000}"/>
    <cellStyle name="_Table_Company0358 Model 4 4" xfId="14356" xr:uid="{00000000-0005-0000-0000-0000E00B0000}"/>
    <cellStyle name="_Table_Company0358 Model 4 4 2" xfId="16849" xr:uid="{00000000-0005-0000-0000-0000E10B0000}"/>
    <cellStyle name="_Table_Company0358 Model 4 4 2 2" xfId="36203" xr:uid="{00000000-0005-0000-0000-0000E20B0000}"/>
    <cellStyle name="_Table_Company0358 Model 4 4 3" xfId="19280" xr:uid="{00000000-0005-0000-0000-0000E30B0000}"/>
    <cellStyle name="_Table_Company0358 Model 4 4 3 2" xfId="38633" xr:uid="{00000000-0005-0000-0000-0000E40B0000}"/>
    <cellStyle name="_Table_Company0358 Model 4 4 4" xfId="21776" xr:uid="{00000000-0005-0000-0000-0000E50B0000}"/>
    <cellStyle name="_Table_Company0358 Model 4 4 4 2" xfId="41118" xr:uid="{00000000-0005-0000-0000-0000E60B0000}"/>
    <cellStyle name="_Table_Company0358 Model 4 4 5" xfId="33717" xr:uid="{00000000-0005-0000-0000-0000E70B0000}"/>
    <cellStyle name="_Table_Company0358 Model 4 5" xfId="14196" xr:uid="{00000000-0005-0000-0000-0000E80B0000}"/>
    <cellStyle name="_Table_Company0358 Model 4 5 2" xfId="16700" xr:uid="{00000000-0005-0000-0000-0000E90B0000}"/>
    <cellStyle name="_Table_Company0358 Model 4 5 2 2" xfId="36054" xr:uid="{00000000-0005-0000-0000-0000EA0B0000}"/>
    <cellStyle name="_Table_Company0358 Model 4 5 3" xfId="19131" xr:uid="{00000000-0005-0000-0000-0000EB0B0000}"/>
    <cellStyle name="_Table_Company0358 Model 4 5 3 2" xfId="38484" xr:uid="{00000000-0005-0000-0000-0000EC0B0000}"/>
    <cellStyle name="_Table_Company0358 Model 4 5 4" xfId="21618" xr:uid="{00000000-0005-0000-0000-0000ED0B0000}"/>
    <cellStyle name="_Table_Company0358 Model 4 5 4 2" xfId="40960" xr:uid="{00000000-0005-0000-0000-0000EE0B0000}"/>
    <cellStyle name="_Table_Company0358 Model 4 5 5" xfId="33559" xr:uid="{00000000-0005-0000-0000-0000EF0B0000}"/>
    <cellStyle name="_Table_Company0358 Model 4 6" xfId="16088" xr:uid="{00000000-0005-0000-0000-0000F00B0000}"/>
    <cellStyle name="_Table_Company0358 Model 4 6 2" xfId="35442" xr:uid="{00000000-0005-0000-0000-0000F10B0000}"/>
    <cellStyle name="_Table_Company0358 Model 4 7" xfId="18498" xr:uid="{00000000-0005-0000-0000-0000F20B0000}"/>
    <cellStyle name="_Table_Company0358 Model 4 7 2" xfId="37851" xr:uid="{00000000-0005-0000-0000-0000F30B0000}"/>
    <cellStyle name="_Table_Company0358 Model 4 8" xfId="21018" xr:uid="{00000000-0005-0000-0000-0000F40B0000}"/>
    <cellStyle name="_Table_Company0358 Model 4 8 2" xfId="40360" xr:uid="{00000000-0005-0000-0000-0000F50B0000}"/>
    <cellStyle name="_Table_Company0358 Model 4 9" xfId="32914" xr:uid="{00000000-0005-0000-0000-0000F60B0000}"/>
    <cellStyle name="_Table_Company0358 Model 5" xfId="13539" xr:uid="{00000000-0005-0000-0000-0000F70B0000}"/>
    <cellStyle name="_Table_Company0358 Model 5 2" xfId="13839" xr:uid="{00000000-0005-0000-0000-0000F80B0000}"/>
    <cellStyle name="_Table_Company0358 Model 5 2 2" xfId="14634" xr:uid="{00000000-0005-0000-0000-0000F90B0000}"/>
    <cellStyle name="_Table_Company0358 Model 5 2 2 2" xfId="17115" xr:uid="{00000000-0005-0000-0000-0000FA0B0000}"/>
    <cellStyle name="_Table_Company0358 Model 5 2 2 2 2" xfId="36469" xr:uid="{00000000-0005-0000-0000-0000FB0B0000}"/>
    <cellStyle name="_Table_Company0358 Model 5 2 2 3" xfId="19546" xr:uid="{00000000-0005-0000-0000-0000FC0B0000}"/>
    <cellStyle name="_Table_Company0358 Model 5 2 2 3 2" xfId="38899" xr:uid="{00000000-0005-0000-0000-0000FD0B0000}"/>
    <cellStyle name="_Table_Company0358 Model 5 2 2 4" xfId="22054" xr:uid="{00000000-0005-0000-0000-0000FE0B0000}"/>
    <cellStyle name="_Table_Company0358 Model 5 2 2 4 2" xfId="41396" xr:uid="{00000000-0005-0000-0000-0000FF0B0000}"/>
    <cellStyle name="_Table_Company0358 Model 5 2 2 5" xfId="33995" xr:uid="{00000000-0005-0000-0000-0000000C0000}"/>
    <cellStyle name="_Table_Company0358 Model 5 2 3" xfId="15187" xr:uid="{00000000-0005-0000-0000-0000010C0000}"/>
    <cellStyle name="_Table_Company0358 Model 5 2 3 2" xfId="17663" xr:uid="{00000000-0005-0000-0000-0000020C0000}"/>
    <cellStyle name="_Table_Company0358 Model 5 2 3 2 2" xfId="37017" xr:uid="{00000000-0005-0000-0000-0000030C0000}"/>
    <cellStyle name="_Table_Company0358 Model 5 2 3 3" xfId="20094" xr:uid="{00000000-0005-0000-0000-0000040C0000}"/>
    <cellStyle name="_Table_Company0358 Model 5 2 3 3 2" xfId="39447" xr:uid="{00000000-0005-0000-0000-0000050C0000}"/>
    <cellStyle name="_Table_Company0358 Model 5 2 3 4" xfId="22607" xr:uid="{00000000-0005-0000-0000-0000060C0000}"/>
    <cellStyle name="_Table_Company0358 Model 5 2 3 4 2" xfId="41949" xr:uid="{00000000-0005-0000-0000-0000070C0000}"/>
    <cellStyle name="_Table_Company0358 Model 5 2 3 5" xfId="34548" xr:uid="{00000000-0005-0000-0000-0000080C0000}"/>
    <cellStyle name="_Table_Company0358 Model 5 2 4" xfId="15660" xr:uid="{00000000-0005-0000-0000-0000090C0000}"/>
    <cellStyle name="_Table_Company0358 Model 5 2 4 2" xfId="18136" xr:uid="{00000000-0005-0000-0000-00000A0C0000}"/>
    <cellStyle name="_Table_Company0358 Model 5 2 4 2 2" xfId="37490" xr:uid="{00000000-0005-0000-0000-00000B0C0000}"/>
    <cellStyle name="_Table_Company0358 Model 5 2 4 3" xfId="20567" xr:uid="{00000000-0005-0000-0000-00000C0C0000}"/>
    <cellStyle name="_Table_Company0358 Model 5 2 4 3 2" xfId="39920" xr:uid="{00000000-0005-0000-0000-00000D0C0000}"/>
    <cellStyle name="_Table_Company0358 Model 5 2 4 4" xfId="23080" xr:uid="{00000000-0005-0000-0000-00000E0C0000}"/>
    <cellStyle name="_Table_Company0358 Model 5 2 4 4 2" xfId="42422" xr:uid="{00000000-0005-0000-0000-00000F0C0000}"/>
    <cellStyle name="_Table_Company0358 Model 5 2 4 5" xfId="35021" xr:uid="{00000000-0005-0000-0000-0000100C0000}"/>
    <cellStyle name="_Table_Company0358 Model 5 2 5" xfId="16348" xr:uid="{00000000-0005-0000-0000-0000110C0000}"/>
    <cellStyle name="_Table_Company0358 Model 5 2 5 2" xfId="35702" xr:uid="{00000000-0005-0000-0000-0000120C0000}"/>
    <cellStyle name="_Table_Company0358 Model 5 2 6" xfId="18779" xr:uid="{00000000-0005-0000-0000-0000130C0000}"/>
    <cellStyle name="_Table_Company0358 Model 5 2 6 2" xfId="38132" xr:uid="{00000000-0005-0000-0000-0000140C0000}"/>
    <cellStyle name="_Table_Company0358 Model 5 2 7" xfId="21262" xr:uid="{00000000-0005-0000-0000-0000150C0000}"/>
    <cellStyle name="_Table_Company0358 Model 5 2 7 2" xfId="40604" xr:uid="{00000000-0005-0000-0000-0000160C0000}"/>
    <cellStyle name="_Table_Company0358 Model 5 2 8" xfId="33203" xr:uid="{00000000-0005-0000-0000-0000170C0000}"/>
    <cellStyle name="_Table_Company0358 Model 5 3" xfId="14057" xr:uid="{00000000-0005-0000-0000-0000180C0000}"/>
    <cellStyle name="_Table_Company0358 Model 5 3 2" xfId="14852" xr:uid="{00000000-0005-0000-0000-0000190C0000}"/>
    <cellStyle name="_Table_Company0358 Model 5 3 2 2" xfId="17330" xr:uid="{00000000-0005-0000-0000-00001A0C0000}"/>
    <cellStyle name="_Table_Company0358 Model 5 3 2 2 2" xfId="36684" xr:uid="{00000000-0005-0000-0000-00001B0C0000}"/>
    <cellStyle name="_Table_Company0358 Model 5 3 2 3" xfId="19761" xr:uid="{00000000-0005-0000-0000-00001C0C0000}"/>
    <cellStyle name="_Table_Company0358 Model 5 3 2 3 2" xfId="39114" xr:uid="{00000000-0005-0000-0000-00001D0C0000}"/>
    <cellStyle name="_Table_Company0358 Model 5 3 2 4" xfId="22272" xr:uid="{00000000-0005-0000-0000-00001E0C0000}"/>
    <cellStyle name="_Table_Company0358 Model 5 3 2 4 2" xfId="41614" xr:uid="{00000000-0005-0000-0000-00001F0C0000}"/>
    <cellStyle name="_Table_Company0358 Model 5 3 2 5" xfId="34213" xr:uid="{00000000-0005-0000-0000-0000200C0000}"/>
    <cellStyle name="_Table_Company0358 Model 5 3 3" xfId="15400" xr:uid="{00000000-0005-0000-0000-0000210C0000}"/>
    <cellStyle name="_Table_Company0358 Model 5 3 3 2" xfId="17876" xr:uid="{00000000-0005-0000-0000-0000220C0000}"/>
    <cellStyle name="_Table_Company0358 Model 5 3 3 2 2" xfId="37230" xr:uid="{00000000-0005-0000-0000-0000230C0000}"/>
    <cellStyle name="_Table_Company0358 Model 5 3 3 3" xfId="20307" xr:uid="{00000000-0005-0000-0000-0000240C0000}"/>
    <cellStyle name="_Table_Company0358 Model 5 3 3 3 2" xfId="39660" xr:uid="{00000000-0005-0000-0000-0000250C0000}"/>
    <cellStyle name="_Table_Company0358 Model 5 3 3 4" xfId="22820" xr:uid="{00000000-0005-0000-0000-0000260C0000}"/>
    <cellStyle name="_Table_Company0358 Model 5 3 3 4 2" xfId="42162" xr:uid="{00000000-0005-0000-0000-0000270C0000}"/>
    <cellStyle name="_Table_Company0358 Model 5 3 3 5" xfId="34761" xr:uid="{00000000-0005-0000-0000-0000280C0000}"/>
    <cellStyle name="_Table_Company0358 Model 5 3 4" xfId="15859" xr:uid="{00000000-0005-0000-0000-0000290C0000}"/>
    <cellStyle name="_Table_Company0358 Model 5 3 4 2" xfId="18335" xr:uid="{00000000-0005-0000-0000-00002A0C0000}"/>
    <cellStyle name="_Table_Company0358 Model 5 3 4 2 2" xfId="37689" xr:uid="{00000000-0005-0000-0000-00002B0C0000}"/>
    <cellStyle name="_Table_Company0358 Model 5 3 4 3" xfId="20766" xr:uid="{00000000-0005-0000-0000-00002C0C0000}"/>
    <cellStyle name="_Table_Company0358 Model 5 3 4 3 2" xfId="40119" xr:uid="{00000000-0005-0000-0000-00002D0C0000}"/>
    <cellStyle name="_Table_Company0358 Model 5 3 4 4" xfId="23279" xr:uid="{00000000-0005-0000-0000-00002E0C0000}"/>
    <cellStyle name="_Table_Company0358 Model 5 3 4 4 2" xfId="42621" xr:uid="{00000000-0005-0000-0000-00002F0C0000}"/>
    <cellStyle name="_Table_Company0358 Model 5 3 4 5" xfId="35220" xr:uid="{00000000-0005-0000-0000-0000300C0000}"/>
    <cellStyle name="_Table_Company0358 Model 5 3 5" xfId="16563" xr:uid="{00000000-0005-0000-0000-0000310C0000}"/>
    <cellStyle name="_Table_Company0358 Model 5 3 5 2" xfId="35917" xr:uid="{00000000-0005-0000-0000-0000320C0000}"/>
    <cellStyle name="_Table_Company0358 Model 5 3 6" xfId="18994" xr:uid="{00000000-0005-0000-0000-0000330C0000}"/>
    <cellStyle name="_Table_Company0358 Model 5 3 6 2" xfId="38347" xr:uid="{00000000-0005-0000-0000-0000340C0000}"/>
    <cellStyle name="_Table_Company0358 Model 5 3 7" xfId="21480" xr:uid="{00000000-0005-0000-0000-0000350C0000}"/>
    <cellStyle name="_Table_Company0358 Model 5 3 7 2" xfId="40822" xr:uid="{00000000-0005-0000-0000-0000360C0000}"/>
    <cellStyle name="_Table_Company0358 Model 5 3 8" xfId="33421" xr:uid="{00000000-0005-0000-0000-0000370C0000}"/>
    <cellStyle name="_Table_Company0358 Model 5 4" xfId="14355" xr:uid="{00000000-0005-0000-0000-0000380C0000}"/>
    <cellStyle name="_Table_Company0358 Model 5 4 2" xfId="16848" xr:uid="{00000000-0005-0000-0000-0000390C0000}"/>
    <cellStyle name="_Table_Company0358 Model 5 4 2 2" xfId="36202" xr:uid="{00000000-0005-0000-0000-00003A0C0000}"/>
    <cellStyle name="_Table_Company0358 Model 5 4 3" xfId="19279" xr:uid="{00000000-0005-0000-0000-00003B0C0000}"/>
    <cellStyle name="_Table_Company0358 Model 5 4 3 2" xfId="38632" xr:uid="{00000000-0005-0000-0000-00003C0C0000}"/>
    <cellStyle name="_Table_Company0358 Model 5 4 4" xfId="21775" xr:uid="{00000000-0005-0000-0000-00003D0C0000}"/>
    <cellStyle name="_Table_Company0358 Model 5 4 4 2" xfId="41117" xr:uid="{00000000-0005-0000-0000-00003E0C0000}"/>
    <cellStyle name="_Table_Company0358 Model 5 4 5" xfId="33716" xr:uid="{00000000-0005-0000-0000-00003F0C0000}"/>
    <cellStyle name="_Table_Company0358 Model 5 5" xfId="14225" xr:uid="{00000000-0005-0000-0000-0000400C0000}"/>
    <cellStyle name="_Table_Company0358 Model 5 5 2" xfId="16728" xr:uid="{00000000-0005-0000-0000-0000410C0000}"/>
    <cellStyle name="_Table_Company0358 Model 5 5 2 2" xfId="36082" xr:uid="{00000000-0005-0000-0000-0000420C0000}"/>
    <cellStyle name="_Table_Company0358 Model 5 5 3" xfId="19159" xr:uid="{00000000-0005-0000-0000-0000430C0000}"/>
    <cellStyle name="_Table_Company0358 Model 5 5 3 2" xfId="38512" xr:uid="{00000000-0005-0000-0000-0000440C0000}"/>
    <cellStyle name="_Table_Company0358 Model 5 5 4" xfId="21646" xr:uid="{00000000-0005-0000-0000-0000450C0000}"/>
    <cellStyle name="_Table_Company0358 Model 5 5 4 2" xfId="40988" xr:uid="{00000000-0005-0000-0000-0000460C0000}"/>
    <cellStyle name="_Table_Company0358 Model 5 5 5" xfId="33587" xr:uid="{00000000-0005-0000-0000-0000470C0000}"/>
    <cellStyle name="_Table_Company0358 Model 5 6" xfId="16087" xr:uid="{00000000-0005-0000-0000-0000480C0000}"/>
    <cellStyle name="_Table_Company0358 Model 5 6 2" xfId="35441" xr:uid="{00000000-0005-0000-0000-0000490C0000}"/>
    <cellStyle name="_Table_Company0358 Model 5 7" xfId="18497" xr:uid="{00000000-0005-0000-0000-00004A0C0000}"/>
    <cellStyle name="_Table_Company0358 Model 5 7 2" xfId="37850" xr:uid="{00000000-0005-0000-0000-00004B0C0000}"/>
    <cellStyle name="_Table_Company0358 Model 5 8" xfId="21017" xr:uid="{00000000-0005-0000-0000-00004C0C0000}"/>
    <cellStyle name="_Table_Company0358 Model 5 8 2" xfId="40359" xr:uid="{00000000-0005-0000-0000-00004D0C0000}"/>
    <cellStyle name="_Table_Company0358 Model 5 9" xfId="32913" xr:uid="{00000000-0005-0000-0000-00004E0C0000}"/>
    <cellStyle name="_Table_Company0358 Model 6" xfId="13749" xr:uid="{00000000-0005-0000-0000-00004F0C0000}"/>
    <cellStyle name="_Table_Company0358 Model 6 2" xfId="14552" xr:uid="{00000000-0005-0000-0000-0000500C0000}"/>
    <cellStyle name="_Table_Company0358 Model 6 2 2" xfId="17039" xr:uid="{00000000-0005-0000-0000-0000510C0000}"/>
    <cellStyle name="_Table_Company0358 Model 6 2 2 2" xfId="36393" xr:uid="{00000000-0005-0000-0000-0000520C0000}"/>
    <cellStyle name="_Table_Company0358 Model 6 2 3" xfId="19470" xr:uid="{00000000-0005-0000-0000-0000530C0000}"/>
    <cellStyle name="_Table_Company0358 Model 6 2 3 2" xfId="38823" xr:uid="{00000000-0005-0000-0000-0000540C0000}"/>
    <cellStyle name="_Table_Company0358 Model 6 2 4" xfId="21972" xr:uid="{00000000-0005-0000-0000-0000550C0000}"/>
    <cellStyle name="_Table_Company0358 Model 6 2 4 2" xfId="41314" xr:uid="{00000000-0005-0000-0000-0000560C0000}"/>
    <cellStyle name="_Table_Company0358 Model 6 2 5" xfId="33913" xr:uid="{00000000-0005-0000-0000-0000570C0000}"/>
    <cellStyle name="_Table_Company0358 Model 6 3" xfId="15113" xr:uid="{00000000-0005-0000-0000-0000580C0000}"/>
    <cellStyle name="_Table_Company0358 Model 6 3 2" xfId="17589" xr:uid="{00000000-0005-0000-0000-0000590C0000}"/>
    <cellStyle name="_Table_Company0358 Model 6 3 2 2" xfId="36943" xr:uid="{00000000-0005-0000-0000-00005A0C0000}"/>
    <cellStyle name="_Table_Company0358 Model 6 3 3" xfId="20020" xr:uid="{00000000-0005-0000-0000-00005B0C0000}"/>
    <cellStyle name="_Table_Company0358 Model 6 3 3 2" xfId="39373" xr:uid="{00000000-0005-0000-0000-00005C0C0000}"/>
    <cellStyle name="_Table_Company0358 Model 6 3 4" xfId="22533" xr:uid="{00000000-0005-0000-0000-00005D0C0000}"/>
    <cellStyle name="_Table_Company0358 Model 6 3 4 2" xfId="41875" xr:uid="{00000000-0005-0000-0000-00005E0C0000}"/>
    <cellStyle name="_Table_Company0358 Model 6 3 5" xfId="34474" xr:uid="{00000000-0005-0000-0000-00005F0C0000}"/>
    <cellStyle name="_Table_Company0358 Model 6 4" xfId="15596" xr:uid="{00000000-0005-0000-0000-0000600C0000}"/>
    <cellStyle name="_Table_Company0358 Model 6 4 2" xfId="18072" xr:uid="{00000000-0005-0000-0000-0000610C0000}"/>
    <cellStyle name="_Table_Company0358 Model 6 4 2 2" xfId="37426" xr:uid="{00000000-0005-0000-0000-0000620C0000}"/>
    <cellStyle name="_Table_Company0358 Model 6 4 3" xfId="20503" xr:uid="{00000000-0005-0000-0000-0000630C0000}"/>
    <cellStyle name="_Table_Company0358 Model 6 4 3 2" xfId="39856" xr:uid="{00000000-0005-0000-0000-0000640C0000}"/>
    <cellStyle name="_Table_Company0358 Model 6 4 4" xfId="23016" xr:uid="{00000000-0005-0000-0000-0000650C0000}"/>
    <cellStyle name="_Table_Company0358 Model 6 4 4 2" xfId="42358" xr:uid="{00000000-0005-0000-0000-0000660C0000}"/>
    <cellStyle name="_Table_Company0358 Model 6 4 5" xfId="34957" xr:uid="{00000000-0005-0000-0000-0000670C0000}"/>
    <cellStyle name="_Table_Company0358 Model 6 5" xfId="16265" xr:uid="{00000000-0005-0000-0000-0000680C0000}"/>
    <cellStyle name="_Table_Company0358 Model 6 5 2" xfId="35619" xr:uid="{00000000-0005-0000-0000-0000690C0000}"/>
    <cellStyle name="_Table_Company0358 Model 6 6" xfId="18696" xr:uid="{00000000-0005-0000-0000-00006A0C0000}"/>
    <cellStyle name="_Table_Company0358 Model 6 6 2" xfId="38049" xr:uid="{00000000-0005-0000-0000-00006B0C0000}"/>
    <cellStyle name="_Table_Company0358 Model 6 7" xfId="21173" xr:uid="{00000000-0005-0000-0000-00006C0C0000}"/>
    <cellStyle name="_Table_Company0358 Model 6 7 2" xfId="40515" xr:uid="{00000000-0005-0000-0000-00006D0C0000}"/>
    <cellStyle name="_Table_Company0358 Model 6 8" xfId="33114" xr:uid="{00000000-0005-0000-0000-00006E0C0000}"/>
    <cellStyle name="_Table_Company0358 Model 7" xfId="13689" xr:uid="{00000000-0005-0000-0000-00006F0C0000}"/>
    <cellStyle name="_Table_Company0358 Model 7 2" xfId="14492" xr:uid="{00000000-0005-0000-0000-0000700C0000}"/>
    <cellStyle name="_Table_Company0358 Model 7 2 2" xfId="16982" xr:uid="{00000000-0005-0000-0000-0000710C0000}"/>
    <cellStyle name="_Table_Company0358 Model 7 2 2 2" xfId="36336" xr:uid="{00000000-0005-0000-0000-0000720C0000}"/>
    <cellStyle name="_Table_Company0358 Model 7 2 3" xfId="19413" xr:uid="{00000000-0005-0000-0000-0000730C0000}"/>
    <cellStyle name="_Table_Company0358 Model 7 2 3 2" xfId="38766" xr:uid="{00000000-0005-0000-0000-0000740C0000}"/>
    <cellStyle name="_Table_Company0358 Model 7 2 4" xfId="21912" xr:uid="{00000000-0005-0000-0000-0000750C0000}"/>
    <cellStyle name="_Table_Company0358 Model 7 2 4 2" xfId="41254" xr:uid="{00000000-0005-0000-0000-0000760C0000}"/>
    <cellStyle name="_Table_Company0358 Model 7 2 5" xfId="33853" xr:uid="{00000000-0005-0000-0000-0000770C0000}"/>
    <cellStyle name="_Table_Company0358 Model 7 3" xfId="15056" xr:uid="{00000000-0005-0000-0000-0000780C0000}"/>
    <cellStyle name="_Table_Company0358 Model 7 3 2" xfId="17532" xr:uid="{00000000-0005-0000-0000-0000790C0000}"/>
    <cellStyle name="_Table_Company0358 Model 7 3 2 2" xfId="36886" xr:uid="{00000000-0005-0000-0000-00007A0C0000}"/>
    <cellStyle name="_Table_Company0358 Model 7 3 3" xfId="19963" xr:uid="{00000000-0005-0000-0000-00007B0C0000}"/>
    <cellStyle name="_Table_Company0358 Model 7 3 3 2" xfId="39316" xr:uid="{00000000-0005-0000-0000-00007C0C0000}"/>
    <cellStyle name="_Table_Company0358 Model 7 3 4" xfId="22476" xr:uid="{00000000-0005-0000-0000-00007D0C0000}"/>
    <cellStyle name="_Table_Company0358 Model 7 3 4 2" xfId="41818" xr:uid="{00000000-0005-0000-0000-00007E0C0000}"/>
    <cellStyle name="_Table_Company0358 Model 7 3 5" xfId="34417" xr:uid="{00000000-0005-0000-0000-00007F0C0000}"/>
    <cellStyle name="_Table_Company0358 Model 7 4" xfId="15539" xr:uid="{00000000-0005-0000-0000-0000800C0000}"/>
    <cellStyle name="_Table_Company0358 Model 7 4 2" xfId="18015" xr:uid="{00000000-0005-0000-0000-0000810C0000}"/>
    <cellStyle name="_Table_Company0358 Model 7 4 2 2" xfId="37369" xr:uid="{00000000-0005-0000-0000-0000820C0000}"/>
    <cellStyle name="_Table_Company0358 Model 7 4 3" xfId="20446" xr:uid="{00000000-0005-0000-0000-0000830C0000}"/>
    <cellStyle name="_Table_Company0358 Model 7 4 3 2" xfId="39799" xr:uid="{00000000-0005-0000-0000-0000840C0000}"/>
    <cellStyle name="_Table_Company0358 Model 7 4 4" xfId="22959" xr:uid="{00000000-0005-0000-0000-0000850C0000}"/>
    <cellStyle name="_Table_Company0358 Model 7 4 4 2" xfId="42301" xr:uid="{00000000-0005-0000-0000-0000860C0000}"/>
    <cellStyle name="_Table_Company0358 Model 7 4 5" xfId="34900" xr:uid="{00000000-0005-0000-0000-0000870C0000}"/>
    <cellStyle name="_Table_Company0358 Model 7 5" xfId="16208" xr:uid="{00000000-0005-0000-0000-0000880C0000}"/>
    <cellStyle name="_Table_Company0358 Model 7 5 2" xfId="35562" xr:uid="{00000000-0005-0000-0000-0000890C0000}"/>
    <cellStyle name="_Table_Company0358 Model 7 6" xfId="18639" xr:uid="{00000000-0005-0000-0000-00008A0C0000}"/>
    <cellStyle name="_Table_Company0358 Model 7 6 2" xfId="37992" xr:uid="{00000000-0005-0000-0000-00008B0C0000}"/>
    <cellStyle name="_Table_Company0358 Model 7 7" xfId="21113" xr:uid="{00000000-0005-0000-0000-00008C0C0000}"/>
    <cellStyle name="_Table_Company0358 Model 7 7 2" xfId="40455" xr:uid="{00000000-0005-0000-0000-00008D0C0000}"/>
    <cellStyle name="_Table_Company0358 Model 7 8" xfId="33054" xr:uid="{00000000-0005-0000-0000-00008E0C0000}"/>
    <cellStyle name="_Table_Company0358 Model 8" xfId="14202" xr:uid="{00000000-0005-0000-0000-00008F0C0000}"/>
    <cellStyle name="_Table_Company0358 Model 8 2" xfId="16706" xr:uid="{00000000-0005-0000-0000-0000900C0000}"/>
    <cellStyle name="_Table_Company0358 Model 8 2 2" xfId="36060" xr:uid="{00000000-0005-0000-0000-0000910C0000}"/>
    <cellStyle name="_Table_Company0358 Model 8 3" xfId="19137" xr:uid="{00000000-0005-0000-0000-0000920C0000}"/>
    <cellStyle name="_Table_Company0358 Model 8 3 2" xfId="38490" xr:uid="{00000000-0005-0000-0000-0000930C0000}"/>
    <cellStyle name="_Table_Company0358 Model 8 4" xfId="21624" xr:uid="{00000000-0005-0000-0000-0000940C0000}"/>
    <cellStyle name="_Table_Company0358 Model 8 4 2" xfId="40966" xr:uid="{00000000-0005-0000-0000-0000950C0000}"/>
    <cellStyle name="_Table_Company0358 Model 8 5" xfId="33565" xr:uid="{00000000-0005-0000-0000-0000960C0000}"/>
    <cellStyle name="_Table_Company0358 Model 9" xfId="13381" xr:uid="{00000000-0005-0000-0000-0000970C0000}"/>
    <cellStyle name="_Table_Company0358 Model 9 2" xfId="32777" xr:uid="{00000000-0005-0000-0000-0000980C0000}"/>
    <cellStyle name="_Table_BLS" xfId="3743" xr:uid="{00000000-0005-0000-0000-0000990C0000}"/>
    <cellStyle name="_Table_bls roic" xfId="3744" xr:uid="{00000000-0005-0000-0000-00009A0C0000}"/>
    <cellStyle name="_Table_bls roic 2" xfId="23902" xr:uid="{00000000-0005-0000-0000-00009B0C0000}"/>
    <cellStyle name="_Table_Company0320 DCF" xfId="1172" xr:uid="{00000000-0005-0000-0000-00009C0C0000}"/>
    <cellStyle name="_Table_Company0320 DCF 2" xfId="1937" xr:uid="{00000000-0005-0000-0000-00009D0C0000}"/>
    <cellStyle name="_Table_Company0320 DCF 2 2" xfId="23448" xr:uid="{00000000-0005-0000-0000-00009E0C0000}"/>
    <cellStyle name="_Table_Company0320 DCF 3" xfId="23398" xr:uid="{00000000-0005-0000-0000-00009F0C0000}"/>
    <cellStyle name="_Table_Company0320 DCF_Sales Model" xfId="1173" xr:uid="{00000000-0005-0000-0000-0000A00C0000}"/>
    <cellStyle name="_Table_Company0320 DCF_Sales Model 2" xfId="23399" xr:uid="{00000000-0005-0000-0000-0000A10C0000}"/>
    <cellStyle name="_Table_Company0320 for Client" xfId="1174" xr:uid="{00000000-0005-0000-0000-0000A20C0000}"/>
    <cellStyle name="_Table_Company0320 for Client 2" xfId="1938" xr:uid="{00000000-0005-0000-0000-0000A30C0000}"/>
    <cellStyle name="_Table_Company0320 for Client 2 2" xfId="23449" xr:uid="{00000000-0005-0000-0000-0000A40C0000}"/>
    <cellStyle name="_Table_Company0320 for Client 3" xfId="23400" xr:uid="{00000000-0005-0000-0000-0000A50C0000}"/>
    <cellStyle name="_Table_Company0320 for Client_Sales Model" xfId="1175" xr:uid="{00000000-0005-0000-0000-0000A60C0000}"/>
    <cellStyle name="_Table_Company0320 for Client_Sales Model 2" xfId="23401" xr:uid="{00000000-0005-0000-0000-0000A70C0000}"/>
    <cellStyle name="_Table_Company0320 working" xfId="1176" xr:uid="{00000000-0005-0000-0000-0000A80C0000}"/>
    <cellStyle name="_Table_Company0320 working 2" xfId="1939" xr:uid="{00000000-0005-0000-0000-0000A90C0000}"/>
    <cellStyle name="_Table_Company0320 working 2 2" xfId="23450" xr:uid="{00000000-0005-0000-0000-0000AA0C0000}"/>
    <cellStyle name="_Table_Company0320 working 3" xfId="23402" xr:uid="{00000000-0005-0000-0000-0000AB0C0000}"/>
    <cellStyle name="_Table_Company0320 working_Sales Model" xfId="1177" xr:uid="{00000000-0005-0000-0000-0000AC0C0000}"/>
    <cellStyle name="_Table_Company0320 working_Sales Model 2" xfId="23403" xr:uid="{00000000-0005-0000-0000-0000AD0C0000}"/>
    <cellStyle name="_Table_BNT" xfId="3745" xr:uid="{00000000-0005-0000-0000-0000AE0C0000}"/>
    <cellStyle name="_Table_BNT 2" xfId="23903" xr:uid="{00000000-0005-0000-0000-0000AF0C0000}"/>
    <cellStyle name="_Table_Book9" xfId="3746" xr:uid="{00000000-0005-0000-0000-0000B00C0000}"/>
    <cellStyle name="_Table_BRL" xfId="3747" xr:uid="{00000000-0005-0000-0000-0000B10C0000}"/>
    <cellStyle name="_Table_BRL 2" xfId="23904" xr:uid="{00000000-0005-0000-0000-0000B20C0000}"/>
    <cellStyle name="_Table_Broadband Comps" xfId="3748" xr:uid="{00000000-0005-0000-0000-0000B30C0000}"/>
    <cellStyle name="_Table_Company0353" xfId="3749" xr:uid="{00000000-0005-0000-0000-0000B40C0000}"/>
    <cellStyle name="_Table_Company0353 2" xfId="23905" xr:uid="{00000000-0005-0000-0000-0000B50C0000}"/>
    <cellStyle name="_Table_Company0426" xfId="3750" xr:uid="{00000000-0005-0000-0000-0000B60C0000}"/>
    <cellStyle name="_Table_Company0426 2" xfId="23906" xr:uid="{00000000-0005-0000-0000-0000B70C0000}"/>
    <cellStyle name="_Table_capital expenditures 6-18-02" xfId="3751" xr:uid="{00000000-0005-0000-0000-0000B80C0000}"/>
    <cellStyle name="_Table_capital expenditures 6-18-02 2" xfId="23907" xr:uid="{00000000-0005-0000-0000-0000B90C0000}"/>
    <cellStyle name="_Table_Company0658 Health" xfId="3752" xr:uid="{00000000-0005-0000-0000-0000BA0C0000}"/>
    <cellStyle name="_Table_Company0658 Health 2" xfId="23908" xr:uid="{00000000-0005-0000-0000-0000BB0C0000}"/>
    <cellStyle name="_Table_CF &amp; BS" xfId="3753" xr:uid="{00000000-0005-0000-0000-0000BC0C0000}"/>
    <cellStyle name="_Table_CF &amp; BS 2" xfId="23909" xr:uid="{00000000-0005-0000-0000-0000BD0C0000}"/>
    <cellStyle name="_Table_Check" xfId="1178" xr:uid="{00000000-0005-0000-0000-0000BE0C0000}"/>
    <cellStyle name="_Table_Check 2" xfId="1940" xr:uid="{00000000-0005-0000-0000-0000BF0C0000}"/>
    <cellStyle name="_Table_Check 2 2" xfId="23451" xr:uid="{00000000-0005-0000-0000-0000C00C0000}"/>
    <cellStyle name="_Table_Check 3" xfId="23404" xr:uid="{00000000-0005-0000-0000-0000C10C0000}"/>
    <cellStyle name="_Table_Check_Sales Model" xfId="1179" xr:uid="{00000000-0005-0000-0000-0000C20C0000}"/>
    <cellStyle name="_Table_Check_Sales Model 2" xfId="23405" xr:uid="{00000000-0005-0000-0000-0000C30C0000}"/>
    <cellStyle name="_Table_Company0689" xfId="3754" xr:uid="{00000000-0005-0000-0000-0000C40C0000}"/>
    <cellStyle name="_Table_Cover page" xfId="3755" xr:uid="{00000000-0005-0000-0000-0000C50C0000}"/>
    <cellStyle name="_Table_Cover page 2" xfId="23910" xr:uid="{00000000-0005-0000-0000-0000C60C0000}"/>
    <cellStyle name="_Table_Company0619" xfId="3756" xr:uid="{00000000-0005-0000-0000-0000C70C0000}"/>
    <cellStyle name="_Table_Company0882" xfId="3757" xr:uid="{00000000-0005-0000-0000-0000C80C0000}"/>
    <cellStyle name="_Table_Company0882 2" xfId="23911" xr:uid="{00000000-0005-0000-0000-0000C90C0000}"/>
    <cellStyle name="_Table_fmbi counties" xfId="4487" xr:uid="{00000000-0005-0000-0000-0000CA0C0000}"/>
    <cellStyle name="_Table_fmbi counties 2" xfId="15978" xr:uid="{00000000-0005-0000-0000-0000CB0C0000}"/>
    <cellStyle name="_Table_fmbi counties 2 2" xfId="35337" xr:uid="{00000000-0005-0000-0000-0000CC0C0000}"/>
    <cellStyle name="_Table_fmbi counties 3" xfId="13208" xr:uid="{00000000-0005-0000-0000-0000CD0C0000}"/>
    <cellStyle name="_Table_Ticker0015_Person1077_Company1295_7-23-09" xfId="3758" xr:uid="{00000000-0005-0000-0000-0000CE0C0000}"/>
    <cellStyle name="_Table_Ticker0015_Person1077_Company1295_7-23-09 2" xfId="23912" xr:uid="{00000000-0005-0000-0000-0000CF0C0000}"/>
    <cellStyle name="_Table_Ticker0018 DCF" xfId="1180" xr:uid="{00000000-0005-0000-0000-0000D00C0000}"/>
    <cellStyle name="_Table_Ticker0018 DCF 2" xfId="1941" xr:uid="{00000000-0005-0000-0000-0000D10C0000}"/>
    <cellStyle name="_Table_Ticker0018 DCF 2 2" xfId="23452" xr:uid="{00000000-0005-0000-0000-0000D20C0000}"/>
    <cellStyle name="_Table_Ticker0018 DCF 3" xfId="23406" xr:uid="{00000000-0005-0000-0000-0000D30C0000}"/>
    <cellStyle name="_Table_Ticker0018 DCF published 8.13.2009" xfId="1181" xr:uid="{00000000-0005-0000-0000-0000D40C0000}"/>
    <cellStyle name="_Table_Ticker0018 DCF published 8.13.2009 2" xfId="1942" xr:uid="{00000000-0005-0000-0000-0000D50C0000}"/>
    <cellStyle name="_Table_Ticker0018 DCF published 8.13.2009 2 2" xfId="23453" xr:uid="{00000000-0005-0000-0000-0000D60C0000}"/>
    <cellStyle name="_Table_Ticker0018 DCF published 8.13.2009 3" xfId="23407" xr:uid="{00000000-0005-0000-0000-0000D70C0000}"/>
    <cellStyle name="_Table_Ticker0018 DCF published 8.13.2009_Sales Model" xfId="1182" xr:uid="{00000000-0005-0000-0000-0000D80C0000}"/>
    <cellStyle name="_Table_Ticker0018 DCF published 8.13.2009_Sales Model 2" xfId="23408" xr:uid="{00000000-0005-0000-0000-0000D90C0000}"/>
    <cellStyle name="_Table_Ticker0018 DCF_Sales Model" xfId="1183" xr:uid="{00000000-0005-0000-0000-0000DA0C0000}"/>
    <cellStyle name="_Table_Ticker0018 DCF_Sales Model 2" xfId="23409" xr:uid="{00000000-0005-0000-0000-0000DB0C0000}"/>
    <cellStyle name="_Table_Person0607" xfId="3759" xr:uid="{00000000-0005-0000-0000-0000DC0C0000}"/>
    <cellStyle name="_Table_LC Rx trend vs est" xfId="1184" xr:uid="{00000000-0005-0000-0000-0000DD0C0000}"/>
    <cellStyle name="_Table_LC Rx trend vs est 2" xfId="1943" xr:uid="{00000000-0005-0000-0000-0000DE0C0000}"/>
    <cellStyle name="_Table_LC Rx trend vs est 2 2" xfId="23454" xr:uid="{00000000-0005-0000-0000-0000DF0C0000}"/>
    <cellStyle name="_Table_LC Rx trend vs est 3" xfId="23410" xr:uid="{00000000-0005-0000-0000-0000E00C0000}"/>
    <cellStyle name="_Table_LC Rx trend vs est_Sales Model" xfId="1185" xr:uid="{00000000-0005-0000-0000-0000E10C0000}"/>
    <cellStyle name="_Table_LC Rx trend vs est_Sales Model 2" xfId="23411" xr:uid="{00000000-0005-0000-0000-0000E20C0000}"/>
    <cellStyle name="_Table_Company1562 working" xfId="1186" xr:uid="{00000000-0005-0000-0000-0000E30C0000}"/>
    <cellStyle name="_Table_Company1562 working 2" xfId="1944" xr:uid="{00000000-0005-0000-0000-0000E40C0000}"/>
    <cellStyle name="_Table_Company1562 working 2 2" xfId="23455" xr:uid="{00000000-0005-0000-0000-0000E50C0000}"/>
    <cellStyle name="_Table_Company1562 working 3" xfId="23412" xr:uid="{00000000-0005-0000-0000-0000E60C0000}"/>
    <cellStyle name="_Table_Company1562 working_Sales Model" xfId="1187" xr:uid="{00000000-0005-0000-0000-0000E70C0000}"/>
    <cellStyle name="_Table_Company1562 working_Sales Model 2" xfId="23413" xr:uid="{00000000-0005-0000-0000-0000E80C0000}"/>
    <cellStyle name="_Table_Person0704" xfId="3760" xr:uid="{00000000-0005-0000-0000-0000E90C0000}"/>
    <cellStyle name="_Table_Person0704 2" xfId="23913" xr:uid="{00000000-0005-0000-0000-0000EA0C0000}"/>
    <cellStyle name="_Table_Company1761" xfId="3761" xr:uid="{00000000-0005-0000-0000-0000EB0C0000}"/>
    <cellStyle name="_Table_Company1761 2" xfId="23914" xr:uid="{00000000-0005-0000-0000-0000EC0C0000}"/>
    <cellStyle name="_Table_Company2110" xfId="3762" xr:uid="{00000000-0005-0000-0000-0000ED0C0000}"/>
    <cellStyle name="_Table_Company2110 2" xfId="23915" xr:uid="{00000000-0005-0000-0000-0000EE0C0000}"/>
    <cellStyle name="_Table_Q" xfId="3763" xr:uid="{00000000-0005-0000-0000-0000EF0C0000}"/>
    <cellStyle name="_Table_q - new guidance" xfId="3764" xr:uid="{00000000-0005-0000-0000-0000F00C0000}"/>
    <cellStyle name="_Table_q - valuation" xfId="3765" xr:uid="{00000000-0005-0000-0000-0000F10C0000}"/>
    <cellStyle name="_Table_Q model_041802" xfId="3766" xr:uid="{00000000-0005-0000-0000-0000F20C0000}"/>
    <cellStyle name="_Table_Q_update" xfId="3767" xr:uid="{00000000-0005-0000-0000-0000F30C0000}"/>
    <cellStyle name="_Table_Company2209 Analysis" xfId="3768" xr:uid="{00000000-0005-0000-0000-0000F40C0000}"/>
    <cellStyle name="_Table_RBOC historicals" xfId="3769" xr:uid="{00000000-0005-0000-0000-0000F50C0000}"/>
    <cellStyle name="_Table_RBOC historicals 2" xfId="23916" xr:uid="{00000000-0005-0000-0000-0000F60C0000}"/>
    <cellStyle name="_Table_Sheet1" xfId="3770" xr:uid="{00000000-0005-0000-0000-0000F70C0000}"/>
    <cellStyle name="_Table_Person1077 - Company0395 3-15-2007" xfId="3771" xr:uid="{00000000-0005-0000-0000-0000F80C0000}"/>
    <cellStyle name="_Table_Person1077 - Company0395 3-15-2007 2" xfId="23917" xr:uid="{00000000-0005-0000-0000-0000F90C0000}"/>
    <cellStyle name="_Table_T - new" xfId="3772" xr:uid="{00000000-0005-0000-0000-0000FA0C0000}"/>
    <cellStyle name="_Table_T - new 2" xfId="23918" xr:uid="{00000000-0005-0000-0000-0000FB0C0000}"/>
    <cellStyle name="_Table_Company2640" xfId="3773" xr:uid="{00000000-0005-0000-0000-0000FC0C0000}"/>
    <cellStyle name="_Table_Company2640 2" xfId="23919" xr:uid="{00000000-0005-0000-0000-0000FD0C0000}"/>
    <cellStyle name="_Table_VZ" xfId="3774" xr:uid="{00000000-0005-0000-0000-0000FE0C0000}"/>
    <cellStyle name="_Table_WPI" xfId="3775" xr:uid="{00000000-0005-0000-0000-0000FF0C0000}"/>
    <cellStyle name="_Table_WPI 2" xfId="23920" xr:uid="{00000000-0005-0000-0000-0000000D0000}"/>
    <cellStyle name="_Table_xratio - historical mkt val" xfId="4488" xr:uid="{00000000-0005-0000-0000-0000010D0000}"/>
    <cellStyle name="_Table_xratio - historical mkt val 2" xfId="15979" xr:uid="{00000000-0005-0000-0000-0000020D0000}"/>
    <cellStyle name="_Table_xratio - historical mkt val 2 2" xfId="35338" xr:uid="{00000000-0005-0000-0000-0000030D0000}"/>
    <cellStyle name="_Table_xratio - historical mkt val 3" xfId="13307" xr:uid="{00000000-0005-0000-0000-0000040D0000}"/>
    <cellStyle name="_TableHead" xfId="1188" xr:uid="{00000000-0005-0000-0000-0000050D0000}"/>
    <cellStyle name="_TableHead 2" xfId="1189" xr:uid="{00000000-0005-0000-0000-0000060D0000}"/>
    <cellStyle name="_TableHead 2 2" xfId="13324" xr:uid="{00000000-0005-0000-0000-0000070D0000}"/>
    <cellStyle name="_TableHead_ABC" xfId="3776" xr:uid="{00000000-0005-0000-0000-0000080D0000}"/>
    <cellStyle name="_TableHead_Company0226" xfId="3777" xr:uid="{00000000-0005-0000-0000-0000090D0000}"/>
    <cellStyle name="_TableHead_BLS" xfId="3778" xr:uid="{00000000-0005-0000-0000-00000A0D0000}"/>
    <cellStyle name="_TableHead_bls roic" xfId="3779" xr:uid="{00000000-0005-0000-0000-00000B0D0000}"/>
    <cellStyle name="_TableHead_Company0320 DCF" xfId="1190" xr:uid="{00000000-0005-0000-0000-00000C0D0000}"/>
    <cellStyle name="_TableHead_Company0320 for Client" xfId="1191" xr:uid="{00000000-0005-0000-0000-00000D0D0000}"/>
    <cellStyle name="_TableHead_Company0320 working" xfId="1192" xr:uid="{00000000-0005-0000-0000-00000E0D0000}"/>
    <cellStyle name="_TableHead_BNT" xfId="3780" xr:uid="{00000000-0005-0000-0000-00000F0D0000}"/>
    <cellStyle name="_TableHead_Book9" xfId="3781" xr:uid="{00000000-0005-0000-0000-0000100D0000}"/>
    <cellStyle name="_TableHead_Breakup publ" xfId="1193" xr:uid="{00000000-0005-0000-0000-0000110D0000}"/>
    <cellStyle name="_TableHead_Breakup publ 2" xfId="13294" xr:uid="{00000000-0005-0000-0000-0000120D0000}"/>
    <cellStyle name="_TableHead_Breakup publ 2 2" xfId="13334" xr:uid="{00000000-0005-0000-0000-0000130D0000}"/>
    <cellStyle name="_TableHead_BRL" xfId="3782" xr:uid="{00000000-0005-0000-0000-0000140D0000}"/>
    <cellStyle name="_TableHead_Broadband Comps" xfId="3783" xr:uid="{00000000-0005-0000-0000-0000150D0000}"/>
    <cellStyle name="_TableHead_Company0353" xfId="3784" xr:uid="{00000000-0005-0000-0000-0000160D0000}"/>
    <cellStyle name="_TableHead_Company0426" xfId="3785" xr:uid="{00000000-0005-0000-0000-0000170D0000}"/>
    <cellStyle name="_TableHead_capital expenditures 6-18-02" xfId="3786" xr:uid="{00000000-0005-0000-0000-0000180D0000}"/>
    <cellStyle name="_TableHead_Company0658 Health" xfId="3787" xr:uid="{00000000-0005-0000-0000-0000190D0000}"/>
    <cellStyle name="_TableHead_CF &amp; BS" xfId="3788" xr:uid="{00000000-0005-0000-0000-00001A0D0000}"/>
    <cellStyle name="_TableHead_Check" xfId="1194" xr:uid="{00000000-0005-0000-0000-00001B0D0000}"/>
    <cellStyle name="_TableHead_Company0689" xfId="3789" xr:uid="{00000000-0005-0000-0000-00001C0D0000}"/>
    <cellStyle name="_TableHead_Cover page" xfId="3790" xr:uid="{00000000-0005-0000-0000-00001D0D0000}"/>
    <cellStyle name="_TableHead_CROCI" xfId="1195" xr:uid="{00000000-0005-0000-0000-00001E0D0000}"/>
    <cellStyle name="_TableHead_Company0619" xfId="3791" xr:uid="{00000000-0005-0000-0000-00001F0D0000}"/>
    <cellStyle name="_TableHead_Product0146" xfId="1196" xr:uid="{00000000-0005-0000-0000-0000200D0000}"/>
    <cellStyle name="_TableHead_Company0882" xfId="3792" xr:uid="{00000000-0005-0000-0000-0000210D0000}"/>
    <cellStyle name="_TableHead_Ticker0015_Person1077_Company1295_7-23-09" xfId="3793" xr:uid="{00000000-0005-0000-0000-0000220D0000}"/>
    <cellStyle name="_TableHead_I-S" xfId="1197" xr:uid="{00000000-0005-0000-0000-0000230D0000}"/>
    <cellStyle name="_TableHead_I-S 2" xfId="13295" xr:uid="{00000000-0005-0000-0000-0000240D0000}"/>
    <cellStyle name="_TableHead_I-S 2 2" xfId="13318" xr:uid="{00000000-0005-0000-0000-0000250D0000}"/>
    <cellStyle name="_TableHead_Ticker0018 DCF" xfId="1198" xr:uid="{00000000-0005-0000-0000-0000260D0000}"/>
    <cellStyle name="_TableHead_Ticker0018 DCF published 8.13.2009" xfId="1199" xr:uid="{00000000-0005-0000-0000-0000270D0000}"/>
    <cellStyle name="_TableHead_Person0607" xfId="3794" xr:uid="{00000000-0005-0000-0000-0000280D0000}"/>
    <cellStyle name="_TableHead_LC Rx trend vs est" xfId="1200" xr:uid="{00000000-0005-0000-0000-0000290D0000}"/>
    <cellStyle name="_TableHead_Company1562 working" xfId="1201" xr:uid="{00000000-0005-0000-0000-00002A0D0000}"/>
    <cellStyle name="_TableHead_Person0704" xfId="3795" xr:uid="{00000000-0005-0000-0000-00002B0D0000}"/>
    <cellStyle name="_TableHead_MRK working" xfId="1202" xr:uid="{00000000-0005-0000-0000-00002C0D0000}"/>
    <cellStyle name="_TableHead_Company1761" xfId="3796" xr:uid="{00000000-0005-0000-0000-00002D0D0000}"/>
    <cellStyle name="_TableHead_P4 NPV (2)" xfId="1203" xr:uid="{00000000-0005-0000-0000-00002E0D0000}"/>
    <cellStyle name="_TableHead_Product0305 (2)" xfId="1204" xr:uid="{00000000-0005-0000-0000-00002F0D0000}"/>
    <cellStyle name="_TableHead_Company2110" xfId="3797" xr:uid="{00000000-0005-0000-0000-0000300D0000}"/>
    <cellStyle name="_TableHead_Q" xfId="3798" xr:uid="{00000000-0005-0000-0000-0000310D0000}"/>
    <cellStyle name="_TableHead_q - new guidance" xfId="3799" xr:uid="{00000000-0005-0000-0000-0000320D0000}"/>
    <cellStyle name="_TableHead_q - valuation" xfId="3800" xr:uid="{00000000-0005-0000-0000-0000330D0000}"/>
    <cellStyle name="_TableHead_Q model_041802" xfId="3801" xr:uid="{00000000-0005-0000-0000-0000340D0000}"/>
    <cellStyle name="_TableHead_Q_update" xfId="3802" xr:uid="{00000000-0005-0000-0000-0000350D0000}"/>
    <cellStyle name="_TableHead_Company2209 Analysis" xfId="3803" xr:uid="{00000000-0005-0000-0000-0000360D0000}"/>
    <cellStyle name="_TableHead_RBOC historicals" xfId="3804" xr:uid="{00000000-0005-0000-0000-0000370D0000}"/>
    <cellStyle name="_TableHead_ROIC New" xfId="1205" xr:uid="{00000000-0005-0000-0000-0000380D0000}"/>
    <cellStyle name="_TableHead_ROIC_New" xfId="1206" xr:uid="{00000000-0005-0000-0000-0000390D0000}"/>
    <cellStyle name="_TableHead_ROIC_New 2" xfId="13296" xr:uid="{00000000-0005-0000-0000-00003A0D0000}"/>
    <cellStyle name="_TableHead_ROIC_New 2 2" xfId="13337" xr:uid="{00000000-0005-0000-0000-00003B0D0000}"/>
    <cellStyle name="_TableHead_Sales Model" xfId="1207" xr:uid="{00000000-0005-0000-0000-00003C0D0000}"/>
    <cellStyle name="_TableHead_Sheet1" xfId="3805" xr:uid="{00000000-0005-0000-0000-00003D0D0000}"/>
    <cellStyle name="_TableHead_Person1077 - Company0395 3-15-2007" xfId="3806" xr:uid="{00000000-0005-0000-0000-00003E0D0000}"/>
    <cellStyle name="_TableHead_T - new" xfId="3807" xr:uid="{00000000-0005-0000-0000-00003F0D0000}"/>
    <cellStyle name="_TableHead_Company2640" xfId="3808" xr:uid="{00000000-0005-0000-0000-0000400D0000}"/>
    <cellStyle name="_TableHead_VZ" xfId="3809" xr:uid="{00000000-0005-0000-0000-0000410D0000}"/>
    <cellStyle name="_TableHead_WPI" xfId="3810" xr:uid="{00000000-0005-0000-0000-0000420D0000}"/>
    <cellStyle name="_TableHeading" xfId="3811" xr:uid="{00000000-0005-0000-0000-0000430D0000}"/>
    <cellStyle name="_TableRowBorder" xfId="3812" xr:uid="{00000000-0005-0000-0000-0000440D0000}"/>
    <cellStyle name="_TableRowBorder 2" xfId="23921" xr:uid="{00000000-0005-0000-0000-0000450D0000}"/>
    <cellStyle name="_TableRowHead" xfId="1208" xr:uid="{00000000-0005-0000-0000-0000460D0000}"/>
    <cellStyle name="_TableRowHead 2" xfId="1209" xr:uid="{00000000-0005-0000-0000-0000470D0000}"/>
    <cellStyle name="_TableRowHead_ABC" xfId="3813" xr:uid="{00000000-0005-0000-0000-0000480D0000}"/>
    <cellStyle name="_TableRowHead_Company0226" xfId="3814" xr:uid="{00000000-0005-0000-0000-0000490D0000}"/>
    <cellStyle name="_TableRowHead_BLS" xfId="3815" xr:uid="{00000000-0005-0000-0000-00004A0D0000}"/>
    <cellStyle name="_TableRowHead_bls roic" xfId="3816" xr:uid="{00000000-0005-0000-0000-00004B0D0000}"/>
    <cellStyle name="_TableRowHead_Company0320 DCF" xfId="1210" xr:uid="{00000000-0005-0000-0000-00004C0D0000}"/>
    <cellStyle name="_TableRowHead_Company0320 for Client" xfId="1211" xr:uid="{00000000-0005-0000-0000-00004D0D0000}"/>
    <cellStyle name="_TableRowHead_Company0320 working" xfId="1212" xr:uid="{00000000-0005-0000-0000-00004E0D0000}"/>
    <cellStyle name="_TableRowHead_BNT" xfId="3817" xr:uid="{00000000-0005-0000-0000-00004F0D0000}"/>
    <cellStyle name="_TableRowHead_Book9" xfId="3818" xr:uid="{00000000-0005-0000-0000-0000500D0000}"/>
    <cellStyle name="_TableRowHead_Breakup publ" xfId="1213" xr:uid="{00000000-0005-0000-0000-0000510D0000}"/>
    <cellStyle name="_TableRowHead_BRL" xfId="3819" xr:uid="{00000000-0005-0000-0000-0000520D0000}"/>
    <cellStyle name="_TableRowHead_Broadband Comps" xfId="3820" xr:uid="{00000000-0005-0000-0000-0000530D0000}"/>
    <cellStyle name="_TableRowHead_Company0353" xfId="3821" xr:uid="{00000000-0005-0000-0000-0000540D0000}"/>
    <cellStyle name="_TableRowHead_Company0426" xfId="3822" xr:uid="{00000000-0005-0000-0000-0000550D0000}"/>
    <cellStyle name="_TableRowHead_capital expenditures 6-18-02" xfId="3823" xr:uid="{00000000-0005-0000-0000-0000560D0000}"/>
    <cellStyle name="_TableRowHead_Company0658 Health" xfId="3824" xr:uid="{00000000-0005-0000-0000-0000570D0000}"/>
    <cellStyle name="_TableRowHead_CF &amp; BS" xfId="3825" xr:uid="{00000000-0005-0000-0000-0000580D0000}"/>
    <cellStyle name="_TableRowHead_Check" xfId="1214" xr:uid="{00000000-0005-0000-0000-0000590D0000}"/>
    <cellStyle name="_TableRowHead_Company0689" xfId="3826" xr:uid="{00000000-0005-0000-0000-00005A0D0000}"/>
    <cellStyle name="_TableRowHead_Cover page" xfId="3827" xr:uid="{00000000-0005-0000-0000-00005B0D0000}"/>
    <cellStyle name="_TableRowHead_CROCI" xfId="1215" xr:uid="{00000000-0005-0000-0000-00005C0D0000}"/>
    <cellStyle name="_TableRowHead_Company0619" xfId="3828" xr:uid="{00000000-0005-0000-0000-00005D0D0000}"/>
    <cellStyle name="_TableRowHead_Product0146" xfId="1216" xr:uid="{00000000-0005-0000-0000-00005E0D0000}"/>
    <cellStyle name="_TableRowHead_Company0882" xfId="3829" xr:uid="{00000000-0005-0000-0000-00005F0D0000}"/>
    <cellStyle name="_TableRowHead_Ticker0015_Person1077_Company1295_7-23-09" xfId="3830" xr:uid="{00000000-0005-0000-0000-0000600D0000}"/>
    <cellStyle name="_TableRowHead_I-S" xfId="1217" xr:uid="{00000000-0005-0000-0000-0000610D0000}"/>
    <cellStyle name="_TableRowHead_Ticker0018 DCF" xfId="1218" xr:uid="{00000000-0005-0000-0000-0000620D0000}"/>
    <cellStyle name="_TableRowHead_Ticker0018 DCF published 8.13.2009" xfId="1219" xr:uid="{00000000-0005-0000-0000-0000630D0000}"/>
    <cellStyle name="_TableRowHead_Person0607" xfId="3831" xr:uid="{00000000-0005-0000-0000-0000640D0000}"/>
    <cellStyle name="_TableRowHead_LC Rx trend vs est" xfId="1220" xr:uid="{00000000-0005-0000-0000-0000650D0000}"/>
    <cellStyle name="_TableRowHead_Company1562 working" xfId="1221" xr:uid="{00000000-0005-0000-0000-0000660D0000}"/>
    <cellStyle name="_TableRowHead_Person0704" xfId="3832" xr:uid="{00000000-0005-0000-0000-0000670D0000}"/>
    <cellStyle name="_TableRowHead_MRK working" xfId="1222" xr:uid="{00000000-0005-0000-0000-0000680D0000}"/>
    <cellStyle name="_TableRowHead_Company1761" xfId="3833" xr:uid="{00000000-0005-0000-0000-0000690D0000}"/>
    <cellStyle name="_TableRowHead_P4 NPV (2)" xfId="1223" xr:uid="{00000000-0005-0000-0000-00006A0D0000}"/>
    <cellStyle name="_TableRowHead_Product0305 (2)" xfId="1224" xr:uid="{00000000-0005-0000-0000-00006B0D0000}"/>
    <cellStyle name="_TableRowHead_Company2110" xfId="3834" xr:uid="{00000000-0005-0000-0000-00006C0D0000}"/>
    <cellStyle name="_TableRowHead_Q" xfId="3835" xr:uid="{00000000-0005-0000-0000-00006D0D0000}"/>
    <cellStyle name="_TableRowHead_q - new guidance" xfId="3836" xr:uid="{00000000-0005-0000-0000-00006E0D0000}"/>
    <cellStyle name="_TableRowHead_q - valuation" xfId="3837" xr:uid="{00000000-0005-0000-0000-00006F0D0000}"/>
    <cellStyle name="_TableRowHead_Q model_041802" xfId="3838" xr:uid="{00000000-0005-0000-0000-0000700D0000}"/>
    <cellStyle name="_TableRowHead_Q_update" xfId="3839" xr:uid="{00000000-0005-0000-0000-0000710D0000}"/>
    <cellStyle name="_TableRowHead_Company2209 Analysis" xfId="3840" xr:uid="{00000000-0005-0000-0000-0000720D0000}"/>
    <cellStyle name="_TableRowHead_RBOC historicals" xfId="3841" xr:uid="{00000000-0005-0000-0000-0000730D0000}"/>
    <cellStyle name="_TableRowHead_ROIC New" xfId="1225" xr:uid="{00000000-0005-0000-0000-0000740D0000}"/>
    <cellStyle name="_TableRowHead_ROIC_New" xfId="1226" xr:uid="{00000000-0005-0000-0000-0000750D0000}"/>
    <cellStyle name="_TableRowHead_Sales Model" xfId="1227" xr:uid="{00000000-0005-0000-0000-0000760D0000}"/>
    <cellStyle name="_TableRowHead_Sheet1" xfId="3842" xr:uid="{00000000-0005-0000-0000-0000770D0000}"/>
    <cellStyle name="_TableRowHead_Person1077 - Company0395 3-15-2007" xfId="3843" xr:uid="{00000000-0005-0000-0000-0000780D0000}"/>
    <cellStyle name="_TableRowHead_T - new" xfId="3844" xr:uid="{00000000-0005-0000-0000-0000790D0000}"/>
    <cellStyle name="_TableRowHead_Company2640" xfId="3845" xr:uid="{00000000-0005-0000-0000-00007A0D0000}"/>
    <cellStyle name="_TableRowHead_VZ" xfId="3846" xr:uid="{00000000-0005-0000-0000-00007B0D0000}"/>
    <cellStyle name="_TableRowHead_WPI" xfId="3847" xr:uid="{00000000-0005-0000-0000-00007C0D0000}"/>
    <cellStyle name="_TableRowHeading" xfId="3848" xr:uid="{00000000-0005-0000-0000-00007D0D0000}"/>
    <cellStyle name="_TableSuperHead" xfId="1228" xr:uid="{00000000-0005-0000-0000-00007E0D0000}"/>
    <cellStyle name="_TableSuperHead_ABC" xfId="3849" xr:uid="{00000000-0005-0000-0000-00007F0D0000}"/>
    <cellStyle name="_TableSuperHead_Ability to Pay Analysis" xfId="4489" xr:uid="{00000000-0005-0000-0000-0000800D0000}"/>
    <cellStyle name="_TableSuperHead_Company0226" xfId="3850" xr:uid="{00000000-0005-0000-0000-0000810D0000}"/>
    <cellStyle name="_TableSuperHead_Company0358 Model" xfId="4490" xr:uid="{00000000-0005-0000-0000-0000820D0000}"/>
    <cellStyle name="_TableSuperHead_BLS" xfId="3851" xr:uid="{00000000-0005-0000-0000-0000830D0000}"/>
    <cellStyle name="_TableSuperHead_bls roic" xfId="3852" xr:uid="{00000000-0005-0000-0000-0000840D0000}"/>
    <cellStyle name="_TableSuperHead_Company0320 DCF" xfId="1229" xr:uid="{00000000-0005-0000-0000-0000850D0000}"/>
    <cellStyle name="_TableSuperHead_Company0320 DCF 2" xfId="1945" xr:uid="{00000000-0005-0000-0000-0000860D0000}"/>
    <cellStyle name="_TableSuperHead_Company0320 DCF_Sales Model" xfId="1230" xr:uid="{00000000-0005-0000-0000-0000870D0000}"/>
    <cellStyle name="_TableSuperHead_Company0320 for Client" xfId="1231" xr:uid="{00000000-0005-0000-0000-0000880D0000}"/>
    <cellStyle name="_TableSuperHead_Company0320 for Client 2" xfId="1946" xr:uid="{00000000-0005-0000-0000-0000890D0000}"/>
    <cellStyle name="_TableSuperHead_Company0320 for Client_Sales Model" xfId="1232" xr:uid="{00000000-0005-0000-0000-00008A0D0000}"/>
    <cellStyle name="_TableSuperHead_Company0320 working" xfId="1233" xr:uid="{00000000-0005-0000-0000-00008B0D0000}"/>
    <cellStyle name="_TableSuperHead_Company0320 working 2" xfId="1947" xr:uid="{00000000-0005-0000-0000-00008C0D0000}"/>
    <cellStyle name="_TableSuperHead_Company0320 working_Sales Model" xfId="1234" xr:uid="{00000000-0005-0000-0000-00008D0D0000}"/>
    <cellStyle name="_TableSuperHead_BNT" xfId="3853" xr:uid="{00000000-0005-0000-0000-00008E0D0000}"/>
    <cellStyle name="_TableSuperHead_Book9" xfId="3854" xr:uid="{00000000-0005-0000-0000-00008F0D0000}"/>
    <cellStyle name="_TableSuperHead_BRL" xfId="3855" xr:uid="{00000000-0005-0000-0000-0000900D0000}"/>
    <cellStyle name="_TableSuperHead_Broadband Comps" xfId="3856" xr:uid="{00000000-0005-0000-0000-0000910D0000}"/>
    <cellStyle name="_TableSuperHead_Company0353" xfId="3857" xr:uid="{00000000-0005-0000-0000-0000920D0000}"/>
    <cellStyle name="_TableSuperHead_Company0426" xfId="3858" xr:uid="{00000000-0005-0000-0000-0000930D0000}"/>
    <cellStyle name="_TableSuperHead_capital expenditures 6-18-02" xfId="3859" xr:uid="{00000000-0005-0000-0000-0000940D0000}"/>
    <cellStyle name="_TableSuperHead_Company0658 Health" xfId="3860" xr:uid="{00000000-0005-0000-0000-0000950D0000}"/>
    <cellStyle name="_TableSuperHead_CF &amp; BS" xfId="3861" xr:uid="{00000000-0005-0000-0000-0000960D0000}"/>
    <cellStyle name="_TableSuperHead_Check" xfId="1235" xr:uid="{00000000-0005-0000-0000-0000970D0000}"/>
    <cellStyle name="_TableSuperHead_Check 2" xfId="1948" xr:uid="{00000000-0005-0000-0000-0000980D0000}"/>
    <cellStyle name="_TableSuperHead_Check_Sales Model" xfId="1236" xr:uid="{00000000-0005-0000-0000-0000990D0000}"/>
    <cellStyle name="_TableSuperHead_Company0689" xfId="3862" xr:uid="{00000000-0005-0000-0000-00009A0D0000}"/>
    <cellStyle name="_TableSuperHead_Cover page" xfId="3863" xr:uid="{00000000-0005-0000-0000-00009B0D0000}"/>
    <cellStyle name="_TableSuperHead_Company0619" xfId="3864" xr:uid="{00000000-0005-0000-0000-00009C0D0000}"/>
    <cellStyle name="_TableSuperHead_Company0882" xfId="3865" xr:uid="{00000000-0005-0000-0000-00009D0D0000}"/>
    <cellStyle name="_TableSuperHead_fmbi counties" xfId="4491" xr:uid="{00000000-0005-0000-0000-00009E0D0000}"/>
    <cellStyle name="_TableSuperHead_Ticker0015_Person1077_Company1295_7-23-09" xfId="3866" xr:uid="{00000000-0005-0000-0000-00009F0D0000}"/>
    <cellStyle name="_TableSuperHead_Ticker0018 DCF" xfId="1237" xr:uid="{00000000-0005-0000-0000-0000A00D0000}"/>
    <cellStyle name="_TableSuperHead_Ticker0018 DCF 2" xfId="1949" xr:uid="{00000000-0005-0000-0000-0000A10D0000}"/>
    <cellStyle name="_TableSuperHead_Ticker0018 DCF published 8.13.2009" xfId="1238" xr:uid="{00000000-0005-0000-0000-0000A20D0000}"/>
    <cellStyle name="_TableSuperHead_Ticker0018 DCF published 8.13.2009 2" xfId="1950" xr:uid="{00000000-0005-0000-0000-0000A30D0000}"/>
    <cellStyle name="_TableSuperHead_Ticker0018 DCF published 8.13.2009_Sales Model" xfId="1239" xr:uid="{00000000-0005-0000-0000-0000A40D0000}"/>
    <cellStyle name="_TableSuperHead_Ticker0018 DCF_Sales Model" xfId="1240" xr:uid="{00000000-0005-0000-0000-0000A50D0000}"/>
    <cellStyle name="_TableSuperHead_Person0607" xfId="3867" xr:uid="{00000000-0005-0000-0000-0000A60D0000}"/>
    <cellStyle name="_TableSuperHead_LC Rx trend vs est" xfId="1241" xr:uid="{00000000-0005-0000-0000-0000A70D0000}"/>
    <cellStyle name="_TableSuperHead_LC Rx trend vs est 2" xfId="1951" xr:uid="{00000000-0005-0000-0000-0000A80D0000}"/>
    <cellStyle name="_TableSuperHead_LC Rx trend vs est_Sales Model" xfId="1242" xr:uid="{00000000-0005-0000-0000-0000A90D0000}"/>
    <cellStyle name="_TableSuperHead_Company1562 working" xfId="1243" xr:uid="{00000000-0005-0000-0000-0000AA0D0000}"/>
    <cellStyle name="_TableSuperHead_Company1562 working 2" xfId="1952" xr:uid="{00000000-0005-0000-0000-0000AB0D0000}"/>
    <cellStyle name="_TableSuperHead_Company1562 working_Sales Model" xfId="1244" xr:uid="{00000000-0005-0000-0000-0000AC0D0000}"/>
    <cellStyle name="_TableSuperHead_Person0704" xfId="3868" xr:uid="{00000000-0005-0000-0000-0000AD0D0000}"/>
    <cellStyle name="_TableSuperHead_Company1761" xfId="3869" xr:uid="{00000000-0005-0000-0000-0000AE0D0000}"/>
    <cellStyle name="_TableSuperHead_Company2110" xfId="3870" xr:uid="{00000000-0005-0000-0000-0000AF0D0000}"/>
    <cellStyle name="_TableSuperHead_Q" xfId="3871" xr:uid="{00000000-0005-0000-0000-0000B00D0000}"/>
    <cellStyle name="_TableSuperHead_q - new guidance" xfId="3872" xr:uid="{00000000-0005-0000-0000-0000B10D0000}"/>
    <cellStyle name="_TableSuperHead_q - valuation" xfId="3873" xr:uid="{00000000-0005-0000-0000-0000B20D0000}"/>
    <cellStyle name="_TableSuperHead_Q model_041802" xfId="3874" xr:uid="{00000000-0005-0000-0000-0000B30D0000}"/>
    <cellStyle name="_TableSuperHead_Q_update" xfId="3875" xr:uid="{00000000-0005-0000-0000-0000B40D0000}"/>
    <cellStyle name="_TableSuperHead_Company2209 Analysis" xfId="3876" xr:uid="{00000000-0005-0000-0000-0000B50D0000}"/>
    <cellStyle name="_TableSuperHead_RBOC historicals" xfId="3877" xr:uid="{00000000-0005-0000-0000-0000B60D0000}"/>
    <cellStyle name="_TableSuperHead_Sheet1" xfId="3878" xr:uid="{00000000-0005-0000-0000-0000B70D0000}"/>
    <cellStyle name="_TableSuperHead_Person1077 - Company0395 3-15-2007" xfId="3879" xr:uid="{00000000-0005-0000-0000-0000B80D0000}"/>
    <cellStyle name="_TableSuperHead_T - new" xfId="3880" xr:uid="{00000000-0005-0000-0000-0000B90D0000}"/>
    <cellStyle name="_TableSuperHead_Company2640" xfId="3881" xr:uid="{00000000-0005-0000-0000-0000BA0D0000}"/>
    <cellStyle name="_TableSuperHead_VZ" xfId="3882" xr:uid="{00000000-0005-0000-0000-0000BB0D0000}"/>
    <cellStyle name="_TableSuperHead_WPI" xfId="3883" xr:uid="{00000000-0005-0000-0000-0000BC0D0000}"/>
    <cellStyle name="_TableSuperHead_xratio - historical mkt val" xfId="4492" xr:uid="{00000000-0005-0000-0000-0000BD0D0000}"/>
    <cellStyle name="_TableSuperHeading" xfId="3884" xr:uid="{00000000-0005-0000-0000-0000BE0D0000}"/>
    <cellStyle name="_TableText" xfId="3885" xr:uid="{00000000-0005-0000-0000-0000BF0D0000}"/>
    <cellStyle name="_Company2720 Capitalization" xfId="1245" xr:uid="{00000000-0005-0000-0000-0000C00D0000}"/>
    <cellStyle name="_Company2720 Capitalization 2" xfId="1246" xr:uid="{00000000-0005-0000-0000-0000C10D0000}"/>
    <cellStyle name="_Company2720 Capitalization_Company0320 DCF" xfId="1247" xr:uid="{00000000-0005-0000-0000-0000C20D0000}"/>
    <cellStyle name="_Company2720 Capitalization_Company0320 for Client" xfId="1248" xr:uid="{00000000-0005-0000-0000-0000C30D0000}"/>
    <cellStyle name="_Company2720 Capitalization_Company0320 working" xfId="1249" xr:uid="{00000000-0005-0000-0000-0000C40D0000}"/>
    <cellStyle name="_Company2720 Capitalization_Check" xfId="1250" xr:uid="{00000000-0005-0000-0000-0000C50D0000}"/>
    <cellStyle name="_Company2720 Capitalization_CROCI" xfId="1251" xr:uid="{00000000-0005-0000-0000-0000C60D0000}"/>
    <cellStyle name="_Company2720 Capitalization_Product0146" xfId="1252" xr:uid="{00000000-0005-0000-0000-0000C70D0000}"/>
    <cellStyle name="_Company2720 Capitalization_I-S" xfId="1253" xr:uid="{00000000-0005-0000-0000-0000C80D0000}"/>
    <cellStyle name="_Company2720 Capitalization_Ticker0018 DCF" xfId="1254" xr:uid="{00000000-0005-0000-0000-0000C90D0000}"/>
    <cellStyle name="_Company2720 Capitalization_Ticker0018 DCF published 8.13.2009" xfId="1255" xr:uid="{00000000-0005-0000-0000-0000CA0D0000}"/>
    <cellStyle name="_Company2720 Capitalization_LC Rx trend vs est" xfId="1256" xr:uid="{00000000-0005-0000-0000-0000CB0D0000}"/>
    <cellStyle name="_Company2720 Capitalization_Company1562 working" xfId="1257" xr:uid="{00000000-0005-0000-0000-0000CC0D0000}"/>
    <cellStyle name="_Company2720 Capitalization_MRK working" xfId="1258" xr:uid="{00000000-0005-0000-0000-0000CD0D0000}"/>
    <cellStyle name="_Company2720 Capitalization_P4 NPV (2)" xfId="1259" xr:uid="{00000000-0005-0000-0000-0000CE0D0000}"/>
    <cellStyle name="_Company2720 Capitalization_Product0305 (2)" xfId="1260" xr:uid="{00000000-0005-0000-0000-0000CF0D0000}"/>
    <cellStyle name="_Company2720 Capitalization_ROIC New" xfId="1261" xr:uid="{00000000-0005-0000-0000-0000D00D0000}"/>
    <cellStyle name="_Company2720 Capitalization_Sales Model" xfId="1262" xr:uid="{00000000-0005-0000-0000-0000D10D0000}"/>
    <cellStyle name="’Ê‰Ý_GE 3 MINIMUM" xfId="1263" xr:uid="{00000000-0005-0000-0000-0000D20D0000}"/>
    <cellStyle name="£ BP" xfId="1264" xr:uid="{00000000-0005-0000-0000-0000D30D0000}"/>
    <cellStyle name="£3places" xfId="1265" xr:uid="{00000000-0005-0000-0000-0000D40D0000}"/>
    <cellStyle name="¥ JY" xfId="1266" xr:uid="{00000000-0005-0000-0000-0000D50D0000}"/>
    <cellStyle name="•W€_GE 3 MINIMUM" xfId="1268" xr:uid="{00000000-0005-0000-0000-0000D60D0000}"/>
    <cellStyle name="•W_GE 3 MINIMUM" xfId="1267" xr:uid="{00000000-0005-0000-0000-0000D70D0000}"/>
    <cellStyle name="0" xfId="1269" xr:uid="{00000000-0005-0000-0000-0000D80D0000}"/>
    <cellStyle name="0%" xfId="1270" xr:uid="{00000000-0005-0000-0000-0000D90D0000}"/>
    <cellStyle name="0% 2" xfId="2517" xr:uid="{00000000-0005-0000-0000-0000DA0D0000}"/>
    <cellStyle name="0.0" xfId="1271" xr:uid="{00000000-0005-0000-0000-0000DB0D0000}"/>
    <cellStyle name="0.0%" xfId="1272" xr:uid="{00000000-0005-0000-0000-0000DC0D0000}"/>
    <cellStyle name="0.0_Company0187 Model" xfId="1273" xr:uid="{00000000-0005-0000-0000-0000DD0D0000}"/>
    <cellStyle name="0.00" xfId="1274" xr:uid="{00000000-0005-0000-0000-0000DE0D0000}"/>
    <cellStyle name="0.00%" xfId="1275" xr:uid="{00000000-0005-0000-0000-0000DF0D0000}"/>
    <cellStyle name="0.00_ABC" xfId="3886" xr:uid="{00000000-0005-0000-0000-0000E00D0000}"/>
    <cellStyle name="0.000" xfId="3887" xr:uid="{00000000-0005-0000-0000-0000E10D0000}"/>
    <cellStyle name="0_Company0187 Model" xfId="1276" xr:uid="{00000000-0005-0000-0000-0000E20D0000}"/>
    <cellStyle name="0_Company0320 DCF" xfId="1277" xr:uid="{00000000-0005-0000-0000-0000E30D0000}"/>
    <cellStyle name="0_Company0320 DCF 2" xfId="1953" xr:uid="{00000000-0005-0000-0000-0000E40D0000}"/>
    <cellStyle name="0_Company0320 DCF_Sales Model" xfId="1278" xr:uid="{00000000-0005-0000-0000-0000E50D0000}"/>
    <cellStyle name="0_Company0320 for Client" xfId="1279" xr:uid="{00000000-0005-0000-0000-0000E60D0000}"/>
    <cellStyle name="0_Company0320 for Client 2" xfId="1954" xr:uid="{00000000-0005-0000-0000-0000E70D0000}"/>
    <cellStyle name="0_Company0320 for Client_Sales Model" xfId="1280" xr:uid="{00000000-0005-0000-0000-0000E80D0000}"/>
    <cellStyle name="0_Company0320 working" xfId="1281" xr:uid="{00000000-0005-0000-0000-0000E90D0000}"/>
    <cellStyle name="0_Company0320 working 2" xfId="1955" xr:uid="{00000000-0005-0000-0000-0000EA0D0000}"/>
    <cellStyle name="0_Company0320 working_Sales Model" xfId="1282" xr:uid="{00000000-0005-0000-0000-0000EB0D0000}"/>
    <cellStyle name="0_Book2" xfId="1283" xr:uid="{00000000-0005-0000-0000-0000EC0D0000}"/>
    <cellStyle name="0_Check" xfId="1284" xr:uid="{00000000-0005-0000-0000-0000ED0D0000}"/>
    <cellStyle name="0_Check 2" xfId="1956" xr:uid="{00000000-0005-0000-0000-0000EE0D0000}"/>
    <cellStyle name="0_Check_Sales Model" xfId="1285" xr:uid="{00000000-0005-0000-0000-0000EF0D0000}"/>
    <cellStyle name="0_Ticker0018 DCF" xfId="1286" xr:uid="{00000000-0005-0000-0000-0000F00D0000}"/>
    <cellStyle name="0_Ticker0018 DCF 2" xfId="1957" xr:uid="{00000000-0005-0000-0000-0000F10D0000}"/>
    <cellStyle name="0_Ticker0018 DCF published 8.13.2009" xfId="1287" xr:uid="{00000000-0005-0000-0000-0000F20D0000}"/>
    <cellStyle name="0_Ticker0018 DCF published 8.13.2009 2" xfId="1958" xr:uid="{00000000-0005-0000-0000-0000F30D0000}"/>
    <cellStyle name="0_Ticker0018 DCF published 8.13.2009_Sales Model" xfId="1288" xr:uid="{00000000-0005-0000-0000-0000F40D0000}"/>
    <cellStyle name="0_Ticker0018 DCF_Sales Model" xfId="1289" xr:uid="{00000000-0005-0000-0000-0000F50D0000}"/>
    <cellStyle name="0_LC Rx trend vs est" xfId="1290" xr:uid="{00000000-0005-0000-0000-0000F60D0000}"/>
    <cellStyle name="0_LC Rx trend vs est 2" xfId="1959" xr:uid="{00000000-0005-0000-0000-0000F70D0000}"/>
    <cellStyle name="0_LC Rx trend vs est_Sales Model" xfId="1291" xr:uid="{00000000-0005-0000-0000-0000F80D0000}"/>
    <cellStyle name="0_Company1562 working" xfId="1292" xr:uid="{00000000-0005-0000-0000-0000F90D0000}"/>
    <cellStyle name="0_Company1562 working 2" xfId="1960" xr:uid="{00000000-0005-0000-0000-0000FA0D0000}"/>
    <cellStyle name="0_Company1562 working_Sales Model" xfId="1293" xr:uid="{00000000-0005-0000-0000-0000FB0D0000}"/>
    <cellStyle name="1 Decimal" xfId="3888" xr:uid="{00000000-0005-0000-0000-0000FC0D0000}"/>
    <cellStyle name="1,000" xfId="3889" xr:uid="{00000000-0005-0000-0000-0000FD0D0000}"/>
    <cellStyle name="1,000x" xfId="3890" xr:uid="{00000000-0005-0000-0000-0000FE0D0000}"/>
    <cellStyle name="2 Decimals" xfId="3891" xr:uid="{00000000-0005-0000-0000-0000FF0D0000}"/>
    <cellStyle name="20% - Accent1" xfId="1294" builtinId="30" customBuiltin="1"/>
    <cellStyle name="20% - Accent1 2" xfId="1295" xr:uid="{00000000-0005-0000-0000-0000010E0000}"/>
    <cellStyle name="20% - Accent1 2 2" xfId="2691" xr:uid="{00000000-0005-0000-0000-0000020E0000}"/>
    <cellStyle name="20% - Accent1 2 2 10" xfId="23555" xr:uid="{00000000-0005-0000-0000-0000030E0000}"/>
    <cellStyle name="20% - Accent1 2 2 2" xfId="2863" xr:uid="{00000000-0005-0000-0000-0000040E0000}"/>
    <cellStyle name="20% - Accent1 2 2 2 2" xfId="3057" xr:uid="{00000000-0005-0000-0000-0000050E0000}"/>
    <cellStyle name="20% - Accent1 2 2 2 2 2" xfId="4684" xr:uid="{00000000-0005-0000-0000-0000060E0000}"/>
    <cellStyle name="20% - Accent1 2 2 2 2 2 2" xfId="5318" xr:uid="{00000000-0005-0000-0000-0000070E0000}"/>
    <cellStyle name="20% - Accent1 2 2 2 2 2 2 2" xfId="6452" xr:uid="{00000000-0005-0000-0000-0000080E0000}"/>
    <cellStyle name="20% - Accent1 2 2 2 2 2 2 2 2" xfId="6704" xr:uid="{00000000-0005-0000-0000-0000090E0000}"/>
    <cellStyle name="20% - Accent1 2 2 2 2 2 2 2 2 2" xfId="11040" xr:uid="{00000000-0005-0000-0000-00000A0E0000}"/>
    <cellStyle name="20% - Accent1 2 2 2 2 2 2 2 2 2 2" xfId="30510" xr:uid="{00000000-0005-0000-0000-00000B0E0000}"/>
    <cellStyle name="20% - Accent1 2 2 2 2 2 2 2 2 3" xfId="26188" xr:uid="{00000000-0005-0000-0000-00000C0E0000}"/>
    <cellStyle name="20% - Accent1 2 2 2 2 2 2 2 3" xfId="10868" xr:uid="{00000000-0005-0000-0000-00000D0E0000}"/>
    <cellStyle name="20% - Accent1 2 2 2 2 2 2 2 3 2" xfId="30338" xr:uid="{00000000-0005-0000-0000-00000E0E0000}"/>
    <cellStyle name="20% - Accent1 2 2 2 2 2 2 2 4" xfId="25937" xr:uid="{00000000-0005-0000-0000-00000F0E0000}"/>
    <cellStyle name="20% - Accent1 2 2 2 2 2 2 3" xfId="6703" xr:uid="{00000000-0005-0000-0000-0000100E0000}"/>
    <cellStyle name="20% - Accent1 2 2 2 2 2 2 3 2" xfId="11039" xr:uid="{00000000-0005-0000-0000-0000110E0000}"/>
    <cellStyle name="20% - Accent1 2 2 2 2 2 2 3 2 2" xfId="30509" xr:uid="{00000000-0005-0000-0000-0000120E0000}"/>
    <cellStyle name="20% - Accent1 2 2 2 2 2 2 3 3" xfId="26187" xr:uid="{00000000-0005-0000-0000-0000130E0000}"/>
    <cellStyle name="20% - Accent1 2 2 2 2 2 2 4" xfId="9807" xr:uid="{00000000-0005-0000-0000-0000140E0000}"/>
    <cellStyle name="20% - Accent1 2 2 2 2 2 2 4 2" xfId="29277" xr:uid="{00000000-0005-0000-0000-0000150E0000}"/>
    <cellStyle name="20% - Accent1 2 2 2 2 2 2 5" xfId="24809" xr:uid="{00000000-0005-0000-0000-0000160E0000}"/>
    <cellStyle name="20% - Accent1 2 2 2 2 2 3" xfId="5915" xr:uid="{00000000-0005-0000-0000-0000170E0000}"/>
    <cellStyle name="20% - Accent1 2 2 2 2 2 3 2" xfId="6705" xr:uid="{00000000-0005-0000-0000-0000180E0000}"/>
    <cellStyle name="20% - Accent1 2 2 2 2 2 3 2 2" xfId="11041" xr:uid="{00000000-0005-0000-0000-0000190E0000}"/>
    <cellStyle name="20% - Accent1 2 2 2 2 2 3 2 2 2" xfId="30511" xr:uid="{00000000-0005-0000-0000-00001A0E0000}"/>
    <cellStyle name="20% - Accent1 2 2 2 2 2 3 2 3" xfId="26189" xr:uid="{00000000-0005-0000-0000-00001B0E0000}"/>
    <cellStyle name="20% - Accent1 2 2 2 2 2 3 3" xfId="10337" xr:uid="{00000000-0005-0000-0000-00001C0E0000}"/>
    <cellStyle name="20% - Accent1 2 2 2 2 2 3 3 2" xfId="29807" xr:uid="{00000000-0005-0000-0000-00001D0E0000}"/>
    <cellStyle name="20% - Accent1 2 2 2 2 2 3 4" xfId="25400" xr:uid="{00000000-0005-0000-0000-00001E0E0000}"/>
    <cellStyle name="20% - Accent1 2 2 2 2 2 4" xfId="6702" xr:uid="{00000000-0005-0000-0000-00001F0E0000}"/>
    <cellStyle name="20% - Accent1 2 2 2 2 2 4 2" xfId="11038" xr:uid="{00000000-0005-0000-0000-0000200E0000}"/>
    <cellStyle name="20% - Accent1 2 2 2 2 2 4 2 2" xfId="30508" xr:uid="{00000000-0005-0000-0000-0000210E0000}"/>
    <cellStyle name="20% - Accent1 2 2 2 2 2 4 3" xfId="26186" xr:uid="{00000000-0005-0000-0000-0000220E0000}"/>
    <cellStyle name="20% - Accent1 2 2 2 2 2 5" xfId="9277" xr:uid="{00000000-0005-0000-0000-0000230E0000}"/>
    <cellStyle name="20% - Accent1 2 2 2 2 2 5 2" xfId="28747" xr:uid="{00000000-0005-0000-0000-0000240E0000}"/>
    <cellStyle name="20% - Accent1 2 2 2 2 2 6" xfId="24195" xr:uid="{00000000-0005-0000-0000-0000250E0000}"/>
    <cellStyle name="20% - Accent1 2 2 2 2 3" xfId="5022" xr:uid="{00000000-0005-0000-0000-0000260E0000}"/>
    <cellStyle name="20% - Accent1 2 2 2 2 3 2" xfId="6184" xr:uid="{00000000-0005-0000-0000-0000270E0000}"/>
    <cellStyle name="20% - Accent1 2 2 2 2 3 2 2" xfId="6707" xr:uid="{00000000-0005-0000-0000-0000280E0000}"/>
    <cellStyle name="20% - Accent1 2 2 2 2 3 2 2 2" xfId="11043" xr:uid="{00000000-0005-0000-0000-0000290E0000}"/>
    <cellStyle name="20% - Accent1 2 2 2 2 3 2 2 2 2" xfId="30513" xr:uid="{00000000-0005-0000-0000-00002A0E0000}"/>
    <cellStyle name="20% - Accent1 2 2 2 2 3 2 2 3" xfId="26191" xr:uid="{00000000-0005-0000-0000-00002B0E0000}"/>
    <cellStyle name="20% - Accent1 2 2 2 2 3 2 3" xfId="10602" xr:uid="{00000000-0005-0000-0000-00002C0E0000}"/>
    <cellStyle name="20% - Accent1 2 2 2 2 3 2 3 2" xfId="30072" xr:uid="{00000000-0005-0000-0000-00002D0E0000}"/>
    <cellStyle name="20% - Accent1 2 2 2 2 3 2 4" xfId="25669" xr:uid="{00000000-0005-0000-0000-00002E0E0000}"/>
    <cellStyle name="20% - Accent1 2 2 2 2 3 3" xfId="6706" xr:uid="{00000000-0005-0000-0000-00002F0E0000}"/>
    <cellStyle name="20% - Accent1 2 2 2 2 3 3 2" xfId="11042" xr:uid="{00000000-0005-0000-0000-0000300E0000}"/>
    <cellStyle name="20% - Accent1 2 2 2 2 3 3 2 2" xfId="30512" xr:uid="{00000000-0005-0000-0000-0000310E0000}"/>
    <cellStyle name="20% - Accent1 2 2 2 2 3 3 3" xfId="26190" xr:uid="{00000000-0005-0000-0000-0000320E0000}"/>
    <cellStyle name="20% - Accent1 2 2 2 2 3 4" xfId="9542" xr:uid="{00000000-0005-0000-0000-0000330E0000}"/>
    <cellStyle name="20% - Accent1 2 2 2 2 3 4 2" xfId="29012" xr:uid="{00000000-0005-0000-0000-0000340E0000}"/>
    <cellStyle name="20% - Accent1 2 2 2 2 3 5" xfId="24516" xr:uid="{00000000-0005-0000-0000-0000350E0000}"/>
    <cellStyle name="20% - Accent1 2 2 2 2 4" xfId="5627" xr:uid="{00000000-0005-0000-0000-0000360E0000}"/>
    <cellStyle name="20% - Accent1 2 2 2 2 4 2" xfId="6708" xr:uid="{00000000-0005-0000-0000-0000370E0000}"/>
    <cellStyle name="20% - Accent1 2 2 2 2 4 2 2" xfId="11044" xr:uid="{00000000-0005-0000-0000-0000380E0000}"/>
    <cellStyle name="20% - Accent1 2 2 2 2 4 2 2 2" xfId="30514" xr:uid="{00000000-0005-0000-0000-0000390E0000}"/>
    <cellStyle name="20% - Accent1 2 2 2 2 4 2 3" xfId="26192" xr:uid="{00000000-0005-0000-0000-00003A0E0000}"/>
    <cellStyle name="20% - Accent1 2 2 2 2 4 3" xfId="10072" xr:uid="{00000000-0005-0000-0000-00003B0E0000}"/>
    <cellStyle name="20% - Accent1 2 2 2 2 4 3 2" xfId="29542" xr:uid="{00000000-0005-0000-0000-00003C0E0000}"/>
    <cellStyle name="20% - Accent1 2 2 2 2 4 4" xfId="25114" xr:uid="{00000000-0005-0000-0000-00003D0E0000}"/>
    <cellStyle name="20% - Accent1 2 2 2 2 5" xfId="6701" xr:uid="{00000000-0005-0000-0000-00003E0E0000}"/>
    <cellStyle name="20% - Accent1 2 2 2 2 5 2" xfId="11037" xr:uid="{00000000-0005-0000-0000-00003F0E0000}"/>
    <cellStyle name="20% - Accent1 2 2 2 2 5 2 2" xfId="30507" xr:uid="{00000000-0005-0000-0000-0000400E0000}"/>
    <cellStyle name="20% - Accent1 2 2 2 2 5 3" xfId="26185" xr:uid="{00000000-0005-0000-0000-0000410E0000}"/>
    <cellStyle name="20% - Accent1 2 2 2 2 6" xfId="9008" xr:uid="{00000000-0005-0000-0000-0000420E0000}"/>
    <cellStyle name="20% - Accent1 2 2 2 2 6 2" xfId="28482" xr:uid="{00000000-0005-0000-0000-0000430E0000}"/>
    <cellStyle name="20% - Accent1 2 2 2 2 7" xfId="23866" xr:uid="{00000000-0005-0000-0000-0000440E0000}"/>
    <cellStyle name="20% - Accent1 2 2 2 3" xfId="4275" xr:uid="{00000000-0005-0000-0000-0000450E0000}"/>
    <cellStyle name="20% - Accent1 2 2 2 3 2" xfId="4850" xr:uid="{00000000-0005-0000-0000-0000460E0000}"/>
    <cellStyle name="20% - Accent1 2 2 2 3 2 2" xfId="5475" xr:uid="{00000000-0005-0000-0000-0000470E0000}"/>
    <cellStyle name="20% - Accent1 2 2 2 3 2 2 2" xfId="6603" xr:uid="{00000000-0005-0000-0000-0000480E0000}"/>
    <cellStyle name="20% - Accent1 2 2 2 3 2 2 2 2" xfId="6712" xr:uid="{00000000-0005-0000-0000-0000490E0000}"/>
    <cellStyle name="20% - Accent1 2 2 2 3 2 2 2 2 2" xfId="11048" xr:uid="{00000000-0005-0000-0000-00004A0E0000}"/>
    <cellStyle name="20% - Accent1 2 2 2 3 2 2 2 2 2 2" xfId="30518" xr:uid="{00000000-0005-0000-0000-00004B0E0000}"/>
    <cellStyle name="20% - Accent1 2 2 2 3 2 2 2 2 3" xfId="26196" xr:uid="{00000000-0005-0000-0000-00004C0E0000}"/>
    <cellStyle name="20% - Accent1 2 2 2 3 2 2 2 3" xfId="11019" xr:uid="{00000000-0005-0000-0000-00004D0E0000}"/>
    <cellStyle name="20% - Accent1 2 2 2 3 2 2 2 3 2" xfId="30489" xr:uid="{00000000-0005-0000-0000-00004E0E0000}"/>
    <cellStyle name="20% - Accent1 2 2 2 3 2 2 2 4" xfId="26088" xr:uid="{00000000-0005-0000-0000-00004F0E0000}"/>
    <cellStyle name="20% - Accent1 2 2 2 3 2 2 3" xfId="6711" xr:uid="{00000000-0005-0000-0000-0000500E0000}"/>
    <cellStyle name="20% - Accent1 2 2 2 3 2 2 3 2" xfId="11047" xr:uid="{00000000-0005-0000-0000-0000510E0000}"/>
    <cellStyle name="20% - Accent1 2 2 2 3 2 2 3 2 2" xfId="30517" xr:uid="{00000000-0005-0000-0000-0000520E0000}"/>
    <cellStyle name="20% - Accent1 2 2 2 3 2 2 3 3" xfId="26195" xr:uid="{00000000-0005-0000-0000-0000530E0000}"/>
    <cellStyle name="20% - Accent1 2 2 2 3 2 2 4" xfId="9958" xr:uid="{00000000-0005-0000-0000-0000540E0000}"/>
    <cellStyle name="20% - Accent1 2 2 2 3 2 2 4 2" xfId="29428" xr:uid="{00000000-0005-0000-0000-0000550E0000}"/>
    <cellStyle name="20% - Accent1 2 2 2 3 2 2 5" xfId="24966" xr:uid="{00000000-0005-0000-0000-0000560E0000}"/>
    <cellStyle name="20% - Accent1 2 2 2 3 2 3" xfId="6068" xr:uid="{00000000-0005-0000-0000-0000570E0000}"/>
    <cellStyle name="20% - Accent1 2 2 2 3 2 3 2" xfId="6713" xr:uid="{00000000-0005-0000-0000-0000580E0000}"/>
    <cellStyle name="20% - Accent1 2 2 2 3 2 3 2 2" xfId="11049" xr:uid="{00000000-0005-0000-0000-0000590E0000}"/>
    <cellStyle name="20% - Accent1 2 2 2 3 2 3 2 2 2" xfId="30519" xr:uid="{00000000-0005-0000-0000-00005A0E0000}"/>
    <cellStyle name="20% - Accent1 2 2 2 3 2 3 2 3" xfId="26197" xr:uid="{00000000-0005-0000-0000-00005B0E0000}"/>
    <cellStyle name="20% - Accent1 2 2 2 3 2 3 3" xfId="10488" xr:uid="{00000000-0005-0000-0000-00005C0E0000}"/>
    <cellStyle name="20% - Accent1 2 2 2 3 2 3 3 2" xfId="29958" xr:uid="{00000000-0005-0000-0000-00005D0E0000}"/>
    <cellStyle name="20% - Accent1 2 2 2 3 2 3 4" xfId="25553" xr:uid="{00000000-0005-0000-0000-00005E0E0000}"/>
    <cellStyle name="20% - Accent1 2 2 2 3 2 4" xfId="6710" xr:uid="{00000000-0005-0000-0000-00005F0E0000}"/>
    <cellStyle name="20% - Accent1 2 2 2 3 2 4 2" xfId="11046" xr:uid="{00000000-0005-0000-0000-0000600E0000}"/>
    <cellStyle name="20% - Accent1 2 2 2 3 2 4 2 2" xfId="30516" xr:uid="{00000000-0005-0000-0000-0000610E0000}"/>
    <cellStyle name="20% - Accent1 2 2 2 3 2 4 3" xfId="26194" xr:uid="{00000000-0005-0000-0000-0000620E0000}"/>
    <cellStyle name="20% - Accent1 2 2 2 3 2 5" xfId="9428" xr:uid="{00000000-0005-0000-0000-0000630E0000}"/>
    <cellStyle name="20% - Accent1 2 2 2 3 2 5 2" xfId="28898" xr:uid="{00000000-0005-0000-0000-0000640E0000}"/>
    <cellStyle name="20% - Accent1 2 2 2 3 2 6" xfId="24352" xr:uid="{00000000-0005-0000-0000-0000650E0000}"/>
    <cellStyle name="20% - Accent1 2 2 2 3 3" xfId="5180" xr:uid="{00000000-0005-0000-0000-0000660E0000}"/>
    <cellStyle name="20% - Accent1 2 2 2 3 3 2" xfId="6336" xr:uid="{00000000-0005-0000-0000-0000670E0000}"/>
    <cellStyle name="20% - Accent1 2 2 2 3 3 2 2" xfId="6715" xr:uid="{00000000-0005-0000-0000-0000680E0000}"/>
    <cellStyle name="20% - Accent1 2 2 2 3 3 2 2 2" xfId="11051" xr:uid="{00000000-0005-0000-0000-0000690E0000}"/>
    <cellStyle name="20% - Accent1 2 2 2 3 3 2 2 2 2" xfId="30521" xr:uid="{00000000-0005-0000-0000-00006A0E0000}"/>
    <cellStyle name="20% - Accent1 2 2 2 3 3 2 2 3" xfId="26199" xr:uid="{00000000-0005-0000-0000-00006B0E0000}"/>
    <cellStyle name="20% - Accent1 2 2 2 3 3 2 3" xfId="10753" xr:uid="{00000000-0005-0000-0000-00006C0E0000}"/>
    <cellStyle name="20% - Accent1 2 2 2 3 3 2 3 2" xfId="30223" xr:uid="{00000000-0005-0000-0000-00006D0E0000}"/>
    <cellStyle name="20% - Accent1 2 2 2 3 3 2 4" xfId="25821" xr:uid="{00000000-0005-0000-0000-00006E0E0000}"/>
    <cellStyle name="20% - Accent1 2 2 2 3 3 3" xfId="6714" xr:uid="{00000000-0005-0000-0000-00006F0E0000}"/>
    <cellStyle name="20% - Accent1 2 2 2 3 3 3 2" xfId="11050" xr:uid="{00000000-0005-0000-0000-0000700E0000}"/>
    <cellStyle name="20% - Accent1 2 2 2 3 3 3 2 2" xfId="30520" xr:uid="{00000000-0005-0000-0000-0000710E0000}"/>
    <cellStyle name="20% - Accent1 2 2 2 3 3 3 3" xfId="26198" xr:uid="{00000000-0005-0000-0000-0000720E0000}"/>
    <cellStyle name="20% - Accent1 2 2 2 3 3 4" xfId="9693" xr:uid="{00000000-0005-0000-0000-0000730E0000}"/>
    <cellStyle name="20% - Accent1 2 2 2 3 3 4 2" xfId="29163" xr:uid="{00000000-0005-0000-0000-0000740E0000}"/>
    <cellStyle name="20% - Accent1 2 2 2 3 3 5" xfId="24671" xr:uid="{00000000-0005-0000-0000-0000750E0000}"/>
    <cellStyle name="20% - Accent1 2 2 2 3 4" xfId="5789" xr:uid="{00000000-0005-0000-0000-0000760E0000}"/>
    <cellStyle name="20% - Accent1 2 2 2 3 4 2" xfId="6716" xr:uid="{00000000-0005-0000-0000-0000770E0000}"/>
    <cellStyle name="20% - Accent1 2 2 2 3 4 2 2" xfId="11052" xr:uid="{00000000-0005-0000-0000-0000780E0000}"/>
    <cellStyle name="20% - Accent1 2 2 2 3 4 2 2 2" xfId="30522" xr:uid="{00000000-0005-0000-0000-0000790E0000}"/>
    <cellStyle name="20% - Accent1 2 2 2 3 4 2 3" xfId="26200" xr:uid="{00000000-0005-0000-0000-00007A0E0000}"/>
    <cellStyle name="20% - Accent1 2 2 2 3 4 3" xfId="10223" xr:uid="{00000000-0005-0000-0000-00007B0E0000}"/>
    <cellStyle name="20% - Accent1 2 2 2 3 4 3 2" xfId="29693" xr:uid="{00000000-0005-0000-0000-00007C0E0000}"/>
    <cellStyle name="20% - Accent1 2 2 2 3 4 4" xfId="25274" xr:uid="{00000000-0005-0000-0000-00007D0E0000}"/>
    <cellStyle name="20% - Accent1 2 2 2 3 5" xfId="6709" xr:uid="{00000000-0005-0000-0000-00007E0E0000}"/>
    <cellStyle name="20% - Accent1 2 2 2 3 5 2" xfId="11045" xr:uid="{00000000-0005-0000-0000-00007F0E0000}"/>
    <cellStyle name="20% - Accent1 2 2 2 3 5 2 2" xfId="30515" xr:uid="{00000000-0005-0000-0000-0000800E0000}"/>
    <cellStyle name="20% - Accent1 2 2 2 3 5 3" xfId="26193" xr:uid="{00000000-0005-0000-0000-0000810E0000}"/>
    <cellStyle name="20% - Accent1 2 2 2 3 6" xfId="9162" xr:uid="{00000000-0005-0000-0000-0000820E0000}"/>
    <cellStyle name="20% - Accent1 2 2 2 3 6 2" xfId="28633" xr:uid="{00000000-0005-0000-0000-0000830E0000}"/>
    <cellStyle name="20% - Accent1 2 2 2 3 7" xfId="24051" xr:uid="{00000000-0005-0000-0000-0000840E0000}"/>
    <cellStyle name="20% - Accent1 2 2 2 4" xfId="4612" xr:uid="{00000000-0005-0000-0000-0000850E0000}"/>
    <cellStyle name="20% - Accent1 2 2 2 4 2" xfId="5252" xr:uid="{00000000-0005-0000-0000-0000860E0000}"/>
    <cellStyle name="20% - Accent1 2 2 2 4 2 2" xfId="6386" xr:uid="{00000000-0005-0000-0000-0000870E0000}"/>
    <cellStyle name="20% - Accent1 2 2 2 4 2 2 2" xfId="6719" xr:uid="{00000000-0005-0000-0000-0000880E0000}"/>
    <cellStyle name="20% - Accent1 2 2 2 4 2 2 2 2" xfId="11055" xr:uid="{00000000-0005-0000-0000-0000890E0000}"/>
    <cellStyle name="20% - Accent1 2 2 2 4 2 2 2 2 2" xfId="30525" xr:uid="{00000000-0005-0000-0000-00008A0E0000}"/>
    <cellStyle name="20% - Accent1 2 2 2 4 2 2 2 3" xfId="26203" xr:uid="{00000000-0005-0000-0000-00008B0E0000}"/>
    <cellStyle name="20% - Accent1 2 2 2 4 2 2 3" xfId="10802" xr:uid="{00000000-0005-0000-0000-00008C0E0000}"/>
    <cellStyle name="20% - Accent1 2 2 2 4 2 2 3 2" xfId="30272" xr:uid="{00000000-0005-0000-0000-00008D0E0000}"/>
    <cellStyle name="20% - Accent1 2 2 2 4 2 2 4" xfId="25871" xr:uid="{00000000-0005-0000-0000-00008E0E0000}"/>
    <cellStyle name="20% - Accent1 2 2 2 4 2 3" xfId="6718" xr:uid="{00000000-0005-0000-0000-00008F0E0000}"/>
    <cellStyle name="20% - Accent1 2 2 2 4 2 3 2" xfId="11054" xr:uid="{00000000-0005-0000-0000-0000900E0000}"/>
    <cellStyle name="20% - Accent1 2 2 2 4 2 3 2 2" xfId="30524" xr:uid="{00000000-0005-0000-0000-0000910E0000}"/>
    <cellStyle name="20% - Accent1 2 2 2 4 2 3 3" xfId="26202" xr:uid="{00000000-0005-0000-0000-0000920E0000}"/>
    <cellStyle name="20% - Accent1 2 2 2 4 2 4" xfId="9741" xr:uid="{00000000-0005-0000-0000-0000930E0000}"/>
    <cellStyle name="20% - Accent1 2 2 2 4 2 4 2" xfId="29211" xr:uid="{00000000-0005-0000-0000-0000940E0000}"/>
    <cellStyle name="20% - Accent1 2 2 2 4 2 5" xfId="24743" xr:uid="{00000000-0005-0000-0000-0000950E0000}"/>
    <cellStyle name="20% - Accent1 2 2 2 4 3" xfId="5849" xr:uid="{00000000-0005-0000-0000-0000960E0000}"/>
    <cellStyle name="20% - Accent1 2 2 2 4 3 2" xfId="6720" xr:uid="{00000000-0005-0000-0000-0000970E0000}"/>
    <cellStyle name="20% - Accent1 2 2 2 4 3 2 2" xfId="11056" xr:uid="{00000000-0005-0000-0000-0000980E0000}"/>
    <cellStyle name="20% - Accent1 2 2 2 4 3 2 2 2" xfId="30526" xr:uid="{00000000-0005-0000-0000-0000990E0000}"/>
    <cellStyle name="20% - Accent1 2 2 2 4 3 2 3" xfId="26204" xr:uid="{00000000-0005-0000-0000-00009A0E0000}"/>
    <cellStyle name="20% - Accent1 2 2 2 4 3 3" xfId="10271" xr:uid="{00000000-0005-0000-0000-00009B0E0000}"/>
    <cellStyle name="20% - Accent1 2 2 2 4 3 3 2" xfId="29741" xr:uid="{00000000-0005-0000-0000-00009C0E0000}"/>
    <cellStyle name="20% - Accent1 2 2 2 4 3 4" xfId="25334" xr:uid="{00000000-0005-0000-0000-00009D0E0000}"/>
    <cellStyle name="20% - Accent1 2 2 2 4 4" xfId="6717" xr:uid="{00000000-0005-0000-0000-00009E0E0000}"/>
    <cellStyle name="20% - Accent1 2 2 2 4 4 2" xfId="11053" xr:uid="{00000000-0005-0000-0000-00009F0E0000}"/>
    <cellStyle name="20% - Accent1 2 2 2 4 4 2 2" xfId="30523" xr:uid="{00000000-0005-0000-0000-0000A00E0000}"/>
    <cellStyle name="20% - Accent1 2 2 2 4 4 3" xfId="26201" xr:uid="{00000000-0005-0000-0000-0000A10E0000}"/>
    <cellStyle name="20% - Accent1 2 2 2 4 5" xfId="9211" xr:uid="{00000000-0005-0000-0000-0000A20E0000}"/>
    <cellStyle name="20% - Accent1 2 2 2 4 5 2" xfId="28681" xr:uid="{00000000-0005-0000-0000-0000A30E0000}"/>
    <cellStyle name="20% - Accent1 2 2 2 4 6" xfId="24123" xr:uid="{00000000-0005-0000-0000-0000A40E0000}"/>
    <cellStyle name="20% - Accent1 2 2 2 5" xfId="4956" xr:uid="{00000000-0005-0000-0000-0000A50E0000}"/>
    <cellStyle name="20% - Accent1 2 2 2 5 2" xfId="6118" xr:uid="{00000000-0005-0000-0000-0000A60E0000}"/>
    <cellStyle name="20% - Accent1 2 2 2 5 2 2" xfId="6722" xr:uid="{00000000-0005-0000-0000-0000A70E0000}"/>
    <cellStyle name="20% - Accent1 2 2 2 5 2 2 2" xfId="11058" xr:uid="{00000000-0005-0000-0000-0000A80E0000}"/>
    <cellStyle name="20% - Accent1 2 2 2 5 2 2 2 2" xfId="30528" xr:uid="{00000000-0005-0000-0000-0000A90E0000}"/>
    <cellStyle name="20% - Accent1 2 2 2 5 2 2 3" xfId="26206" xr:uid="{00000000-0005-0000-0000-0000AA0E0000}"/>
    <cellStyle name="20% - Accent1 2 2 2 5 2 3" xfId="10536" xr:uid="{00000000-0005-0000-0000-0000AB0E0000}"/>
    <cellStyle name="20% - Accent1 2 2 2 5 2 3 2" xfId="30006" xr:uid="{00000000-0005-0000-0000-0000AC0E0000}"/>
    <cellStyle name="20% - Accent1 2 2 2 5 2 4" xfId="25603" xr:uid="{00000000-0005-0000-0000-0000AD0E0000}"/>
    <cellStyle name="20% - Accent1 2 2 2 5 3" xfId="6721" xr:uid="{00000000-0005-0000-0000-0000AE0E0000}"/>
    <cellStyle name="20% - Accent1 2 2 2 5 3 2" xfId="11057" xr:uid="{00000000-0005-0000-0000-0000AF0E0000}"/>
    <cellStyle name="20% - Accent1 2 2 2 5 3 2 2" xfId="30527" xr:uid="{00000000-0005-0000-0000-0000B00E0000}"/>
    <cellStyle name="20% - Accent1 2 2 2 5 3 3" xfId="26205" xr:uid="{00000000-0005-0000-0000-0000B10E0000}"/>
    <cellStyle name="20% - Accent1 2 2 2 5 4" xfId="9476" xr:uid="{00000000-0005-0000-0000-0000B20E0000}"/>
    <cellStyle name="20% - Accent1 2 2 2 5 4 2" xfId="28946" xr:uid="{00000000-0005-0000-0000-0000B30E0000}"/>
    <cellStyle name="20% - Accent1 2 2 2 5 5" xfId="24450" xr:uid="{00000000-0005-0000-0000-0000B40E0000}"/>
    <cellStyle name="20% - Accent1 2 2 2 6" xfId="5561" xr:uid="{00000000-0005-0000-0000-0000B50E0000}"/>
    <cellStyle name="20% - Accent1 2 2 2 6 2" xfId="6723" xr:uid="{00000000-0005-0000-0000-0000B60E0000}"/>
    <cellStyle name="20% - Accent1 2 2 2 6 2 2" xfId="11059" xr:uid="{00000000-0005-0000-0000-0000B70E0000}"/>
    <cellStyle name="20% - Accent1 2 2 2 6 2 2 2" xfId="30529" xr:uid="{00000000-0005-0000-0000-0000B80E0000}"/>
    <cellStyle name="20% - Accent1 2 2 2 6 2 3" xfId="26207" xr:uid="{00000000-0005-0000-0000-0000B90E0000}"/>
    <cellStyle name="20% - Accent1 2 2 2 6 3" xfId="10006" xr:uid="{00000000-0005-0000-0000-0000BA0E0000}"/>
    <cellStyle name="20% - Accent1 2 2 2 6 3 2" xfId="29476" xr:uid="{00000000-0005-0000-0000-0000BB0E0000}"/>
    <cellStyle name="20% - Accent1 2 2 2 6 4" xfId="25048" xr:uid="{00000000-0005-0000-0000-0000BC0E0000}"/>
    <cellStyle name="20% - Accent1 2 2 2 7" xfId="6700" xr:uid="{00000000-0005-0000-0000-0000BD0E0000}"/>
    <cellStyle name="20% - Accent1 2 2 2 7 2" xfId="11036" xr:uid="{00000000-0005-0000-0000-0000BE0E0000}"/>
    <cellStyle name="20% - Accent1 2 2 2 7 2 2" xfId="30506" xr:uid="{00000000-0005-0000-0000-0000BF0E0000}"/>
    <cellStyle name="20% - Accent1 2 2 2 7 3" xfId="26184" xr:uid="{00000000-0005-0000-0000-0000C00E0000}"/>
    <cellStyle name="20% - Accent1 2 2 2 8" xfId="8942" xr:uid="{00000000-0005-0000-0000-0000C10E0000}"/>
    <cellStyle name="20% - Accent1 2 2 2 8 2" xfId="28416" xr:uid="{00000000-0005-0000-0000-0000C20E0000}"/>
    <cellStyle name="20% - Accent1 2 2 2 9" xfId="23674" xr:uid="{00000000-0005-0000-0000-0000C30E0000}"/>
    <cellStyle name="20% - Accent1 2 2 3" xfId="2939" xr:uid="{00000000-0005-0000-0000-0000C40E0000}"/>
    <cellStyle name="20% - Accent1 2 2 3 2" xfId="4646" xr:uid="{00000000-0005-0000-0000-0000C50E0000}"/>
    <cellStyle name="20% - Accent1 2 2 3 2 2" xfId="5286" xr:uid="{00000000-0005-0000-0000-0000C60E0000}"/>
    <cellStyle name="20% - Accent1 2 2 3 2 2 2" xfId="6420" xr:uid="{00000000-0005-0000-0000-0000C70E0000}"/>
    <cellStyle name="20% - Accent1 2 2 3 2 2 2 2" xfId="6727" xr:uid="{00000000-0005-0000-0000-0000C80E0000}"/>
    <cellStyle name="20% - Accent1 2 2 3 2 2 2 2 2" xfId="11063" xr:uid="{00000000-0005-0000-0000-0000C90E0000}"/>
    <cellStyle name="20% - Accent1 2 2 3 2 2 2 2 2 2" xfId="30533" xr:uid="{00000000-0005-0000-0000-0000CA0E0000}"/>
    <cellStyle name="20% - Accent1 2 2 3 2 2 2 2 3" xfId="26211" xr:uid="{00000000-0005-0000-0000-0000CB0E0000}"/>
    <cellStyle name="20% - Accent1 2 2 3 2 2 2 3" xfId="10836" xr:uid="{00000000-0005-0000-0000-0000CC0E0000}"/>
    <cellStyle name="20% - Accent1 2 2 3 2 2 2 3 2" xfId="30306" xr:uid="{00000000-0005-0000-0000-0000CD0E0000}"/>
    <cellStyle name="20% - Accent1 2 2 3 2 2 2 4" xfId="25905" xr:uid="{00000000-0005-0000-0000-0000CE0E0000}"/>
    <cellStyle name="20% - Accent1 2 2 3 2 2 3" xfId="6726" xr:uid="{00000000-0005-0000-0000-0000CF0E0000}"/>
    <cellStyle name="20% - Accent1 2 2 3 2 2 3 2" xfId="11062" xr:uid="{00000000-0005-0000-0000-0000D00E0000}"/>
    <cellStyle name="20% - Accent1 2 2 3 2 2 3 2 2" xfId="30532" xr:uid="{00000000-0005-0000-0000-0000D10E0000}"/>
    <cellStyle name="20% - Accent1 2 2 3 2 2 3 3" xfId="26210" xr:uid="{00000000-0005-0000-0000-0000D20E0000}"/>
    <cellStyle name="20% - Accent1 2 2 3 2 2 4" xfId="9775" xr:uid="{00000000-0005-0000-0000-0000D30E0000}"/>
    <cellStyle name="20% - Accent1 2 2 3 2 2 4 2" xfId="29245" xr:uid="{00000000-0005-0000-0000-0000D40E0000}"/>
    <cellStyle name="20% - Accent1 2 2 3 2 2 5" xfId="24777" xr:uid="{00000000-0005-0000-0000-0000D50E0000}"/>
    <cellStyle name="20% - Accent1 2 2 3 2 3" xfId="5883" xr:uid="{00000000-0005-0000-0000-0000D60E0000}"/>
    <cellStyle name="20% - Accent1 2 2 3 2 3 2" xfId="6728" xr:uid="{00000000-0005-0000-0000-0000D70E0000}"/>
    <cellStyle name="20% - Accent1 2 2 3 2 3 2 2" xfId="11064" xr:uid="{00000000-0005-0000-0000-0000D80E0000}"/>
    <cellStyle name="20% - Accent1 2 2 3 2 3 2 2 2" xfId="30534" xr:uid="{00000000-0005-0000-0000-0000D90E0000}"/>
    <cellStyle name="20% - Accent1 2 2 3 2 3 2 3" xfId="26212" xr:uid="{00000000-0005-0000-0000-0000DA0E0000}"/>
    <cellStyle name="20% - Accent1 2 2 3 2 3 3" xfId="10305" xr:uid="{00000000-0005-0000-0000-0000DB0E0000}"/>
    <cellStyle name="20% - Accent1 2 2 3 2 3 3 2" xfId="29775" xr:uid="{00000000-0005-0000-0000-0000DC0E0000}"/>
    <cellStyle name="20% - Accent1 2 2 3 2 3 4" xfId="25368" xr:uid="{00000000-0005-0000-0000-0000DD0E0000}"/>
    <cellStyle name="20% - Accent1 2 2 3 2 4" xfId="6725" xr:uid="{00000000-0005-0000-0000-0000DE0E0000}"/>
    <cellStyle name="20% - Accent1 2 2 3 2 4 2" xfId="11061" xr:uid="{00000000-0005-0000-0000-0000DF0E0000}"/>
    <cellStyle name="20% - Accent1 2 2 3 2 4 2 2" xfId="30531" xr:uid="{00000000-0005-0000-0000-0000E00E0000}"/>
    <cellStyle name="20% - Accent1 2 2 3 2 4 3" xfId="26209" xr:uid="{00000000-0005-0000-0000-0000E10E0000}"/>
    <cellStyle name="20% - Accent1 2 2 3 2 5" xfId="9245" xr:uid="{00000000-0005-0000-0000-0000E20E0000}"/>
    <cellStyle name="20% - Accent1 2 2 3 2 5 2" xfId="28715" xr:uid="{00000000-0005-0000-0000-0000E30E0000}"/>
    <cellStyle name="20% - Accent1 2 2 3 2 6" xfId="24157" xr:uid="{00000000-0005-0000-0000-0000E40E0000}"/>
    <cellStyle name="20% - Accent1 2 2 3 3" xfId="4990" xr:uid="{00000000-0005-0000-0000-0000E50E0000}"/>
    <cellStyle name="20% - Accent1 2 2 3 3 2" xfId="6152" xr:uid="{00000000-0005-0000-0000-0000E60E0000}"/>
    <cellStyle name="20% - Accent1 2 2 3 3 2 2" xfId="6730" xr:uid="{00000000-0005-0000-0000-0000E70E0000}"/>
    <cellStyle name="20% - Accent1 2 2 3 3 2 2 2" xfId="11066" xr:uid="{00000000-0005-0000-0000-0000E80E0000}"/>
    <cellStyle name="20% - Accent1 2 2 3 3 2 2 2 2" xfId="30536" xr:uid="{00000000-0005-0000-0000-0000E90E0000}"/>
    <cellStyle name="20% - Accent1 2 2 3 3 2 2 3" xfId="26214" xr:uid="{00000000-0005-0000-0000-0000EA0E0000}"/>
    <cellStyle name="20% - Accent1 2 2 3 3 2 3" xfId="10570" xr:uid="{00000000-0005-0000-0000-0000EB0E0000}"/>
    <cellStyle name="20% - Accent1 2 2 3 3 2 3 2" xfId="30040" xr:uid="{00000000-0005-0000-0000-0000EC0E0000}"/>
    <cellStyle name="20% - Accent1 2 2 3 3 2 4" xfId="25637" xr:uid="{00000000-0005-0000-0000-0000ED0E0000}"/>
    <cellStyle name="20% - Accent1 2 2 3 3 3" xfId="6729" xr:uid="{00000000-0005-0000-0000-0000EE0E0000}"/>
    <cellStyle name="20% - Accent1 2 2 3 3 3 2" xfId="11065" xr:uid="{00000000-0005-0000-0000-0000EF0E0000}"/>
    <cellStyle name="20% - Accent1 2 2 3 3 3 2 2" xfId="30535" xr:uid="{00000000-0005-0000-0000-0000F00E0000}"/>
    <cellStyle name="20% - Accent1 2 2 3 3 3 3" xfId="26213" xr:uid="{00000000-0005-0000-0000-0000F10E0000}"/>
    <cellStyle name="20% - Accent1 2 2 3 3 4" xfId="9510" xr:uid="{00000000-0005-0000-0000-0000F20E0000}"/>
    <cellStyle name="20% - Accent1 2 2 3 3 4 2" xfId="28980" xr:uid="{00000000-0005-0000-0000-0000F30E0000}"/>
    <cellStyle name="20% - Accent1 2 2 3 3 5" xfId="24484" xr:uid="{00000000-0005-0000-0000-0000F40E0000}"/>
    <cellStyle name="20% - Accent1 2 2 3 4" xfId="5595" xr:uid="{00000000-0005-0000-0000-0000F50E0000}"/>
    <cellStyle name="20% - Accent1 2 2 3 4 2" xfId="6731" xr:uid="{00000000-0005-0000-0000-0000F60E0000}"/>
    <cellStyle name="20% - Accent1 2 2 3 4 2 2" xfId="11067" xr:uid="{00000000-0005-0000-0000-0000F70E0000}"/>
    <cellStyle name="20% - Accent1 2 2 3 4 2 2 2" xfId="30537" xr:uid="{00000000-0005-0000-0000-0000F80E0000}"/>
    <cellStyle name="20% - Accent1 2 2 3 4 2 3" xfId="26215" xr:uid="{00000000-0005-0000-0000-0000F90E0000}"/>
    <cellStyle name="20% - Accent1 2 2 3 4 3" xfId="10040" xr:uid="{00000000-0005-0000-0000-0000FA0E0000}"/>
    <cellStyle name="20% - Accent1 2 2 3 4 3 2" xfId="29510" xr:uid="{00000000-0005-0000-0000-0000FB0E0000}"/>
    <cellStyle name="20% - Accent1 2 2 3 4 4" xfId="25082" xr:uid="{00000000-0005-0000-0000-0000FC0E0000}"/>
    <cellStyle name="20% - Accent1 2 2 3 5" xfId="6724" xr:uid="{00000000-0005-0000-0000-0000FD0E0000}"/>
    <cellStyle name="20% - Accent1 2 2 3 5 2" xfId="11060" xr:uid="{00000000-0005-0000-0000-0000FE0E0000}"/>
    <cellStyle name="20% - Accent1 2 2 3 5 2 2" xfId="30530" xr:uid="{00000000-0005-0000-0000-0000FF0E0000}"/>
    <cellStyle name="20% - Accent1 2 2 3 5 3" xfId="26208" xr:uid="{00000000-0005-0000-0000-0000000F0000}"/>
    <cellStyle name="20% - Accent1 2 2 3 6" xfId="8976" xr:uid="{00000000-0005-0000-0000-0000010F0000}"/>
    <cellStyle name="20% - Accent1 2 2 3 6 2" xfId="28450" xr:uid="{00000000-0005-0000-0000-0000020F0000}"/>
    <cellStyle name="20% - Accent1 2 2 3 7" xfId="23748" xr:uid="{00000000-0005-0000-0000-0000030F0000}"/>
    <cellStyle name="20% - Accent1 2 2 4" xfId="4220" xr:uid="{00000000-0005-0000-0000-0000040F0000}"/>
    <cellStyle name="20% - Accent1 2 2 4 2" xfId="4795" xr:uid="{00000000-0005-0000-0000-0000050F0000}"/>
    <cellStyle name="20% - Accent1 2 2 4 2 2" xfId="5421" xr:uid="{00000000-0005-0000-0000-0000060F0000}"/>
    <cellStyle name="20% - Accent1 2 2 4 2 2 2" xfId="6549" xr:uid="{00000000-0005-0000-0000-0000070F0000}"/>
    <cellStyle name="20% - Accent1 2 2 4 2 2 2 2" xfId="6735" xr:uid="{00000000-0005-0000-0000-0000080F0000}"/>
    <cellStyle name="20% - Accent1 2 2 4 2 2 2 2 2" xfId="11071" xr:uid="{00000000-0005-0000-0000-0000090F0000}"/>
    <cellStyle name="20% - Accent1 2 2 4 2 2 2 2 2 2" xfId="30541" xr:uid="{00000000-0005-0000-0000-00000A0F0000}"/>
    <cellStyle name="20% - Accent1 2 2 4 2 2 2 2 3" xfId="26219" xr:uid="{00000000-0005-0000-0000-00000B0F0000}"/>
    <cellStyle name="20% - Accent1 2 2 4 2 2 2 3" xfId="10965" xr:uid="{00000000-0005-0000-0000-00000C0F0000}"/>
    <cellStyle name="20% - Accent1 2 2 4 2 2 2 3 2" xfId="30435" xr:uid="{00000000-0005-0000-0000-00000D0F0000}"/>
    <cellStyle name="20% - Accent1 2 2 4 2 2 2 4" xfId="26034" xr:uid="{00000000-0005-0000-0000-00000E0F0000}"/>
    <cellStyle name="20% - Accent1 2 2 4 2 2 3" xfId="6734" xr:uid="{00000000-0005-0000-0000-00000F0F0000}"/>
    <cellStyle name="20% - Accent1 2 2 4 2 2 3 2" xfId="11070" xr:uid="{00000000-0005-0000-0000-0000100F0000}"/>
    <cellStyle name="20% - Accent1 2 2 4 2 2 3 2 2" xfId="30540" xr:uid="{00000000-0005-0000-0000-0000110F0000}"/>
    <cellStyle name="20% - Accent1 2 2 4 2 2 3 3" xfId="26218" xr:uid="{00000000-0005-0000-0000-0000120F0000}"/>
    <cellStyle name="20% - Accent1 2 2 4 2 2 4" xfId="9904" xr:uid="{00000000-0005-0000-0000-0000130F0000}"/>
    <cellStyle name="20% - Accent1 2 2 4 2 2 4 2" xfId="29374" xr:uid="{00000000-0005-0000-0000-0000140F0000}"/>
    <cellStyle name="20% - Accent1 2 2 4 2 2 5" xfId="24912" xr:uid="{00000000-0005-0000-0000-0000150F0000}"/>
    <cellStyle name="20% - Accent1 2 2 4 2 3" xfId="6013" xr:uid="{00000000-0005-0000-0000-0000160F0000}"/>
    <cellStyle name="20% - Accent1 2 2 4 2 3 2" xfId="6736" xr:uid="{00000000-0005-0000-0000-0000170F0000}"/>
    <cellStyle name="20% - Accent1 2 2 4 2 3 2 2" xfId="11072" xr:uid="{00000000-0005-0000-0000-0000180F0000}"/>
    <cellStyle name="20% - Accent1 2 2 4 2 3 2 2 2" xfId="30542" xr:uid="{00000000-0005-0000-0000-0000190F0000}"/>
    <cellStyle name="20% - Accent1 2 2 4 2 3 2 3" xfId="26220" xr:uid="{00000000-0005-0000-0000-00001A0F0000}"/>
    <cellStyle name="20% - Accent1 2 2 4 2 3 3" xfId="10434" xr:uid="{00000000-0005-0000-0000-00001B0F0000}"/>
    <cellStyle name="20% - Accent1 2 2 4 2 3 3 2" xfId="29904" xr:uid="{00000000-0005-0000-0000-00001C0F0000}"/>
    <cellStyle name="20% - Accent1 2 2 4 2 3 4" xfId="25498" xr:uid="{00000000-0005-0000-0000-00001D0F0000}"/>
    <cellStyle name="20% - Accent1 2 2 4 2 4" xfId="6733" xr:uid="{00000000-0005-0000-0000-00001E0F0000}"/>
    <cellStyle name="20% - Accent1 2 2 4 2 4 2" xfId="11069" xr:uid="{00000000-0005-0000-0000-00001F0F0000}"/>
    <cellStyle name="20% - Accent1 2 2 4 2 4 2 2" xfId="30539" xr:uid="{00000000-0005-0000-0000-0000200F0000}"/>
    <cellStyle name="20% - Accent1 2 2 4 2 4 3" xfId="26217" xr:uid="{00000000-0005-0000-0000-0000210F0000}"/>
    <cellStyle name="20% - Accent1 2 2 4 2 5" xfId="9374" xr:uid="{00000000-0005-0000-0000-0000220F0000}"/>
    <cellStyle name="20% - Accent1 2 2 4 2 5 2" xfId="28844" xr:uid="{00000000-0005-0000-0000-0000230F0000}"/>
    <cellStyle name="20% - Accent1 2 2 4 2 6" xfId="24297" xr:uid="{00000000-0005-0000-0000-0000240F0000}"/>
    <cellStyle name="20% - Accent1 2 2 4 3" xfId="5126" xr:uid="{00000000-0005-0000-0000-0000250F0000}"/>
    <cellStyle name="20% - Accent1 2 2 4 3 2" xfId="6282" xr:uid="{00000000-0005-0000-0000-0000260F0000}"/>
    <cellStyle name="20% - Accent1 2 2 4 3 2 2" xfId="6738" xr:uid="{00000000-0005-0000-0000-0000270F0000}"/>
    <cellStyle name="20% - Accent1 2 2 4 3 2 2 2" xfId="11074" xr:uid="{00000000-0005-0000-0000-0000280F0000}"/>
    <cellStyle name="20% - Accent1 2 2 4 3 2 2 2 2" xfId="30544" xr:uid="{00000000-0005-0000-0000-0000290F0000}"/>
    <cellStyle name="20% - Accent1 2 2 4 3 2 2 3" xfId="26222" xr:uid="{00000000-0005-0000-0000-00002A0F0000}"/>
    <cellStyle name="20% - Accent1 2 2 4 3 2 3" xfId="10699" xr:uid="{00000000-0005-0000-0000-00002B0F0000}"/>
    <cellStyle name="20% - Accent1 2 2 4 3 2 3 2" xfId="30169" xr:uid="{00000000-0005-0000-0000-00002C0F0000}"/>
    <cellStyle name="20% - Accent1 2 2 4 3 2 4" xfId="25767" xr:uid="{00000000-0005-0000-0000-00002D0F0000}"/>
    <cellStyle name="20% - Accent1 2 2 4 3 3" xfId="6737" xr:uid="{00000000-0005-0000-0000-00002E0F0000}"/>
    <cellStyle name="20% - Accent1 2 2 4 3 3 2" xfId="11073" xr:uid="{00000000-0005-0000-0000-00002F0F0000}"/>
    <cellStyle name="20% - Accent1 2 2 4 3 3 2 2" xfId="30543" xr:uid="{00000000-0005-0000-0000-0000300F0000}"/>
    <cellStyle name="20% - Accent1 2 2 4 3 3 3" xfId="26221" xr:uid="{00000000-0005-0000-0000-0000310F0000}"/>
    <cellStyle name="20% - Accent1 2 2 4 3 4" xfId="9639" xr:uid="{00000000-0005-0000-0000-0000320F0000}"/>
    <cellStyle name="20% - Accent1 2 2 4 3 4 2" xfId="29109" xr:uid="{00000000-0005-0000-0000-0000330F0000}"/>
    <cellStyle name="20% - Accent1 2 2 4 3 5" xfId="24617" xr:uid="{00000000-0005-0000-0000-0000340F0000}"/>
    <cellStyle name="20% - Accent1 2 2 4 4" xfId="5735" xr:uid="{00000000-0005-0000-0000-0000350F0000}"/>
    <cellStyle name="20% - Accent1 2 2 4 4 2" xfId="6739" xr:uid="{00000000-0005-0000-0000-0000360F0000}"/>
    <cellStyle name="20% - Accent1 2 2 4 4 2 2" xfId="11075" xr:uid="{00000000-0005-0000-0000-0000370F0000}"/>
    <cellStyle name="20% - Accent1 2 2 4 4 2 2 2" xfId="30545" xr:uid="{00000000-0005-0000-0000-0000380F0000}"/>
    <cellStyle name="20% - Accent1 2 2 4 4 2 3" xfId="26223" xr:uid="{00000000-0005-0000-0000-0000390F0000}"/>
    <cellStyle name="20% - Accent1 2 2 4 4 3" xfId="10169" xr:uid="{00000000-0005-0000-0000-00003A0F0000}"/>
    <cellStyle name="20% - Accent1 2 2 4 4 3 2" xfId="29639" xr:uid="{00000000-0005-0000-0000-00003B0F0000}"/>
    <cellStyle name="20% - Accent1 2 2 4 4 4" xfId="25220" xr:uid="{00000000-0005-0000-0000-00003C0F0000}"/>
    <cellStyle name="20% - Accent1 2 2 4 5" xfId="6732" xr:uid="{00000000-0005-0000-0000-00003D0F0000}"/>
    <cellStyle name="20% - Accent1 2 2 4 5 2" xfId="11068" xr:uid="{00000000-0005-0000-0000-00003E0F0000}"/>
    <cellStyle name="20% - Accent1 2 2 4 5 2 2" xfId="30538" xr:uid="{00000000-0005-0000-0000-00003F0F0000}"/>
    <cellStyle name="20% - Accent1 2 2 4 5 3" xfId="26216" xr:uid="{00000000-0005-0000-0000-0000400F0000}"/>
    <cellStyle name="20% - Accent1 2 2 4 6" xfId="9108" xr:uid="{00000000-0005-0000-0000-0000410F0000}"/>
    <cellStyle name="20% - Accent1 2 2 4 6 2" xfId="28579" xr:uid="{00000000-0005-0000-0000-0000420F0000}"/>
    <cellStyle name="20% - Accent1 2 2 4 7" xfId="23996" xr:uid="{00000000-0005-0000-0000-0000430F0000}"/>
    <cellStyle name="20% - Accent1 2 2 5" xfId="4579" xr:uid="{00000000-0005-0000-0000-0000440F0000}"/>
    <cellStyle name="20% - Accent1 2 2 5 2" xfId="5220" xr:uid="{00000000-0005-0000-0000-0000450F0000}"/>
    <cellStyle name="20% - Accent1 2 2 5 2 2" xfId="6354" xr:uid="{00000000-0005-0000-0000-0000460F0000}"/>
    <cellStyle name="20% - Accent1 2 2 5 2 2 2" xfId="6742" xr:uid="{00000000-0005-0000-0000-0000470F0000}"/>
    <cellStyle name="20% - Accent1 2 2 5 2 2 2 2" xfId="11078" xr:uid="{00000000-0005-0000-0000-0000480F0000}"/>
    <cellStyle name="20% - Accent1 2 2 5 2 2 2 2 2" xfId="30548" xr:uid="{00000000-0005-0000-0000-0000490F0000}"/>
    <cellStyle name="20% - Accent1 2 2 5 2 2 2 3" xfId="26226" xr:uid="{00000000-0005-0000-0000-00004A0F0000}"/>
    <cellStyle name="20% - Accent1 2 2 5 2 2 3" xfId="10770" xr:uid="{00000000-0005-0000-0000-00004B0F0000}"/>
    <cellStyle name="20% - Accent1 2 2 5 2 2 3 2" xfId="30240" xr:uid="{00000000-0005-0000-0000-00004C0F0000}"/>
    <cellStyle name="20% - Accent1 2 2 5 2 2 4" xfId="25839" xr:uid="{00000000-0005-0000-0000-00004D0F0000}"/>
    <cellStyle name="20% - Accent1 2 2 5 2 3" xfId="6741" xr:uid="{00000000-0005-0000-0000-00004E0F0000}"/>
    <cellStyle name="20% - Accent1 2 2 5 2 3 2" xfId="11077" xr:uid="{00000000-0005-0000-0000-00004F0F0000}"/>
    <cellStyle name="20% - Accent1 2 2 5 2 3 2 2" xfId="30547" xr:uid="{00000000-0005-0000-0000-0000500F0000}"/>
    <cellStyle name="20% - Accent1 2 2 5 2 3 3" xfId="26225" xr:uid="{00000000-0005-0000-0000-0000510F0000}"/>
    <cellStyle name="20% - Accent1 2 2 5 2 4" xfId="9709" xr:uid="{00000000-0005-0000-0000-0000520F0000}"/>
    <cellStyle name="20% - Accent1 2 2 5 2 4 2" xfId="29179" xr:uid="{00000000-0005-0000-0000-0000530F0000}"/>
    <cellStyle name="20% - Accent1 2 2 5 2 5" xfId="24711" xr:uid="{00000000-0005-0000-0000-0000540F0000}"/>
    <cellStyle name="20% - Accent1 2 2 5 3" xfId="5816" xr:uid="{00000000-0005-0000-0000-0000550F0000}"/>
    <cellStyle name="20% - Accent1 2 2 5 3 2" xfId="6743" xr:uid="{00000000-0005-0000-0000-0000560F0000}"/>
    <cellStyle name="20% - Accent1 2 2 5 3 2 2" xfId="11079" xr:uid="{00000000-0005-0000-0000-0000570F0000}"/>
    <cellStyle name="20% - Accent1 2 2 5 3 2 2 2" xfId="30549" xr:uid="{00000000-0005-0000-0000-0000580F0000}"/>
    <cellStyle name="20% - Accent1 2 2 5 3 2 3" xfId="26227" xr:uid="{00000000-0005-0000-0000-0000590F0000}"/>
    <cellStyle name="20% - Accent1 2 2 5 3 3" xfId="10239" xr:uid="{00000000-0005-0000-0000-00005A0F0000}"/>
    <cellStyle name="20% - Accent1 2 2 5 3 3 2" xfId="29709" xr:uid="{00000000-0005-0000-0000-00005B0F0000}"/>
    <cellStyle name="20% - Accent1 2 2 5 3 4" xfId="25301" xr:uid="{00000000-0005-0000-0000-00005C0F0000}"/>
    <cellStyle name="20% - Accent1 2 2 5 4" xfId="6740" xr:uid="{00000000-0005-0000-0000-00005D0F0000}"/>
    <cellStyle name="20% - Accent1 2 2 5 4 2" xfId="11076" xr:uid="{00000000-0005-0000-0000-00005E0F0000}"/>
    <cellStyle name="20% - Accent1 2 2 5 4 2 2" xfId="30546" xr:uid="{00000000-0005-0000-0000-00005F0F0000}"/>
    <cellStyle name="20% - Accent1 2 2 5 4 3" xfId="26224" xr:uid="{00000000-0005-0000-0000-0000600F0000}"/>
    <cellStyle name="20% - Accent1 2 2 5 5" xfId="9179" xr:uid="{00000000-0005-0000-0000-0000610F0000}"/>
    <cellStyle name="20% - Accent1 2 2 5 5 2" xfId="28649" xr:uid="{00000000-0005-0000-0000-0000620F0000}"/>
    <cellStyle name="20% - Accent1 2 2 5 6" xfId="24090" xr:uid="{00000000-0005-0000-0000-0000630F0000}"/>
    <cellStyle name="20% - Accent1 2 2 6" xfId="4924" xr:uid="{00000000-0005-0000-0000-0000640F0000}"/>
    <cellStyle name="20% - Accent1 2 2 6 2" xfId="6086" xr:uid="{00000000-0005-0000-0000-0000650F0000}"/>
    <cellStyle name="20% - Accent1 2 2 6 2 2" xfId="6745" xr:uid="{00000000-0005-0000-0000-0000660F0000}"/>
    <cellStyle name="20% - Accent1 2 2 6 2 2 2" xfId="11081" xr:uid="{00000000-0005-0000-0000-0000670F0000}"/>
    <cellStyle name="20% - Accent1 2 2 6 2 2 2 2" xfId="30551" xr:uid="{00000000-0005-0000-0000-0000680F0000}"/>
    <cellStyle name="20% - Accent1 2 2 6 2 2 3" xfId="26229" xr:uid="{00000000-0005-0000-0000-0000690F0000}"/>
    <cellStyle name="20% - Accent1 2 2 6 2 3" xfId="10504" xr:uid="{00000000-0005-0000-0000-00006A0F0000}"/>
    <cellStyle name="20% - Accent1 2 2 6 2 3 2" xfId="29974" xr:uid="{00000000-0005-0000-0000-00006B0F0000}"/>
    <cellStyle name="20% - Accent1 2 2 6 2 4" xfId="25571" xr:uid="{00000000-0005-0000-0000-00006C0F0000}"/>
    <cellStyle name="20% - Accent1 2 2 6 3" xfId="6744" xr:uid="{00000000-0005-0000-0000-00006D0F0000}"/>
    <cellStyle name="20% - Accent1 2 2 6 3 2" xfId="11080" xr:uid="{00000000-0005-0000-0000-00006E0F0000}"/>
    <cellStyle name="20% - Accent1 2 2 6 3 2 2" xfId="30550" xr:uid="{00000000-0005-0000-0000-00006F0F0000}"/>
    <cellStyle name="20% - Accent1 2 2 6 3 3" xfId="26228" xr:uid="{00000000-0005-0000-0000-0000700F0000}"/>
    <cellStyle name="20% - Accent1 2 2 6 4" xfId="9444" xr:uid="{00000000-0005-0000-0000-0000710F0000}"/>
    <cellStyle name="20% - Accent1 2 2 6 4 2" xfId="28914" xr:uid="{00000000-0005-0000-0000-0000720F0000}"/>
    <cellStyle name="20% - Accent1 2 2 6 5" xfId="24418" xr:uid="{00000000-0005-0000-0000-0000730F0000}"/>
    <cellStyle name="20% - Accent1 2 2 7" xfId="5528" xr:uid="{00000000-0005-0000-0000-0000740F0000}"/>
    <cellStyle name="20% - Accent1 2 2 7 2" xfId="6746" xr:uid="{00000000-0005-0000-0000-0000750F0000}"/>
    <cellStyle name="20% - Accent1 2 2 7 2 2" xfId="11082" xr:uid="{00000000-0005-0000-0000-0000760F0000}"/>
    <cellStyle name="20% - Accent1 2 2 7 2 2 2" xfId="30552" xr:uid="{00000000-0005-0000-0000-0000770F0000}"/>
    <cellStyle name="20% - Accent1 2 2 7 2 3" xfId="26230" xr:uid="{00000000-0005-0000-0000-0000780F0000}"/>
    <cellStyle name="20% - Accent1 2 2 7 3" xfId="9974" xr:uid="{00000000-0005-0000-0000-0000790F0000}"/>
    <cellStyle name="20% - Accent1 2 2 7 3 2" xfId="29444" xr:uid="{00000000-0005-0000-0000-00007A0F0000}"/>
    <cellStyle name="20% - Accent1 2 2 7 4" xfId="25016" xr:uid="{00000000-0005-0000-0000-00007B0F0000}"/>
    <cellStyle name="20% - Accent1 2 2 8" xfId="6699" xr:uid="{00000000-0005-0000-0000-00007C0F0000}"/>
    <cellStyle name="20% - Accent1 2 2 8 2" xfId="11035" xr:uid="{00000000-0005-0000-0000-00007D0F0000}"/>
    <cellStyle name="20% - Accent1 2 2 8 2 2" xfId="30505" xr:uid="{00000000-0005-0000-0000-00007E0F0000}"/>
    <cellStyle name="20% - Accent1 2 2 8 3" xfId="26183" xr:uid="{00000000-0005-0000-0000-00007F0F0000}"/>
    <cellStyle name="20% - Accent1 2 2 9" xfId="8910" xr:uid="{00000000-0005-0000-0000-0000800F0000}"/>
    <cellStyle name="20% - Accent1 2 2 9 2" xfId="28384" xr:uid="{00000000-0005-0000-0000-0000810F0000}"/>
    <cellStyle name="20% - Accent1 2 3" xfId="2692" xr:uid="{00000000-0005-0000-0000-0000820F0000}"/>
    <cellStyle name="20% - Accent1 2 3 10" xfId="23556" xr:uid="{00000000-0005-0000-0000-0000830F0000}"/>
    <cellStyle name="20% - Accent1 2 3 2" xfId="2864" xr:uid="{00000000-0005-0000-0000-0000840F0000}"/>
    <cellStyle name="20% - Accent1 2 3 2 2" xfId="3058" xr:uid="{00000000-0005-0000-0000-0000850F0000}"/>
    <cellStyle name="20% - Accent1 2 3 2 2 2" xfId="4685" xr:uid="{00000000-0005-0000-0000-0000860F0000}"/>
    <cellStyle name="20% - Accent1 2 3 2 2 2 2" xfId="5319" xr:uid="{00000000-0005-0000-0000-0000870F0000}"/>
    <cellStyle name="20% - Accent1 2 3 2 2 2 2 2" xfId="6453" xr:uid="{00000000-0005-0000-0000-0000880F0000}"/>
    <cellStyle name="20% - Accent1 2 3 2 2 2 2 2 2" xfId="6752" xr:uid="{00000000-0005-0000-0000-0000890F0000}"/>
    <cellStyle name="20% - Accent1 2 3 2 2 2 2 2 2 2" xfId="11088" xr:uid="{00000000-0005-0000-0000-00008A0F0000}"/>
    <cellStyle name="20% - Accent1 2 3 2 2 2 2 2 2 2 2" xfId="30558" xr:uid="{00000000-0005-0000-0000-00008B0F0000}"/>
    <cellStyle name="20% - Accent1 2 3 2 2 2 2 2 2 3" xfId="26236" xr:uid="{00000000-0005-0000-0000-00008C0F0000}"/>
    <cellStyle name="20% - Accent1 2 3 2 2 2 2 2 3" xfId="10869" xr:uid="{00000000-0005-0000-0000-00008D0F0000}"/>
    <cellStyle name="20% - Accent1 2 3 2 2 2 2 2 3 2" xfId="30339" xr:uid="{00000000-0005-0000-0000-00008E0F0000}"/>
    <cellStyle name="20% - Accent1 2 3 2 2 2 2 2 4" xfId="25938" xr:uid="{00000000-0005-0000-0000-00008F0F0000}"/>
    <cellStyle name="20% - Accent1 2 3 2 2 2 2 3" xfId="6751" xr:uid="{00000000-0005-0000-0000-0000900F0000}"/>
    <cellStyle name="20% - Accent1 2 3 2 2 2 2 3 2" xfId="11087" xr:uid="{00000000-0005-0000-0000-0000910F0000}"/>
    <cellStyle name="20% - Accent1 2 3 2 2 2 2 3 2 2" xfId="30557" xr:uid="{00000000-0005-0000-0000-0000920F0000}"/>
    <cellStyle name="20% - Accent1 2 3 2 2 2 2 3 3" xfId="26235" xr:uid="{00000000-0005-0000-0000-0000930F0000}"/>
    <cellStyle name="20% - Accent1 2 3 2 2 2 2 4" xfId="9808" xr:uid="{00000000-0005-0000-0000-0000940F0000}"/>
    <cellStyle name="20% - Accent1 2 3 2 2 2 2 4 2" xfId="29278" xr:uid="{00000000-0005-0000-0000-0000950F0000}"/>
    <cellStyle name="20% - Accent1 2 3 2 2 2 2 5" xfId="24810" xr:uid="{00000000-0005-0000-0000-0000960F0000}"/>
    <cellStyle name="20% - Accent1 2 3 2 2 2 3" xfId="5916" xr:uid="{00000000-0005-0000-0000-0000970F0000}"/>
    <cellStyle name="20% - Accent1 2 3 2 2 2 3 2" xfId="6753" xr:uid="{00000000-0005-0000-0000-0000980F0000}"/>
    <cellStyle name="20% - Accent1 2 3 2 2 2 3 2 2" xfId="11089" xr:uid="{00000000-0005-0000-0000-0000990F0000}"/>
    <cellStyle name="20% - Accent1 2 3 2 2 2 3 2 2 2" xfId="30559" xr:uid="{00000000-0005-0000-0000-00009A0F0000}"/>
    <cellStyle name="20% - Accent1 2 3 2 2 2 3 2 3" xfId="26237" xr:uid="{00000000-0005-0000-0000-00009B0F0000}"/>
    <cellStyle name="20% - Accent1 2 3 2 2 2 3 3" xfId="10338" xr:uid="{00000000-0005-0000-0000-00009C0F0000}"/>
    <cellStyle name="20% - Accent1 2 3 2 2 2 3 3 2" xfId="29808" xr:uid="{00000000-0005-0000-0000-00009D0F0000}"/>
    <cellStyle name="20% - Accent1 2 3 2 2 2 3 4" xfId="25401" xr:uid="{00000000-0005-0000-0000-00009E0F0000}"/>
    <cellStyle name="20% - Accent1 2 3 2 2 2 4" xfId="6750" xr:uid="{00000000-0005-0000-0000-00009F0F0000}"/>
    <cellStyle name="20% - Accent1 2 3 2 2 2 4 2" xfId="11086" xr:uid="{00000000-0005-0000-0000-0000A00F0000}"/>
    <cellStyle name="20% - Accent1 2 3 2 2 2 4 2 2" xfId="30556" xr:uid="{00000000-0005-0000-0000-0000A10F0000}"/>
    <cellStyle name="20% - Accent1 2 3 2 2 2 4 3" xfId="26234" xr:uid="{00000000-0005-0000-0000-0000A20F0000}"/>
    <cellStyle name="20% - Accent1 2 3 2 2 2 5" xfId="9278" xr:uid="{00000000-0005-0000-0000-0000A30F0000}"/>
    <cellStyle name="20% - Accent1 2 3 2 2 2 5 2" xfId="28748" xr:uid="{00000000-0005-0000-0000-0000A40F0000}"/>
    <cellStyle name="20% - Accent1 2 3 2 2 2 6" xfId="24196" xr:uid="{00000000-0005-0000-0000-0000A50F0000}"/>
    <cellStyle name="20% - Accent1 2 3 2 2 3" xfId="5023" xr:uid="{00000000-0005-0000-0000-0000A60F0000}"/>
    <cellStyle name="20% - Accent1 2 3 2 2 3 2" xfId="6185" xr:uid="{00000000-0005-0000-0000-0000A70F0000}"/>
    <cellStyle name="20% - Accent1 2 3 2 2 3 2 2" xfId="6755" xr:uid="{00000000-0005-0000-0000-0000A80F0000}"/>
    <cellStyle name="20% - Accent1 2 3 2 2 3 2 2 2" xfId="11091" xr:uid="{00000000-0005-0000-0000-0000A90F0000}"/>
    <cellStyle name="20% - Accent1 2 3 2 2 3 2 2 2 2" xfId="30561" xr:uid="{00000000-0005-0000-0000-0000AA0F0000}"/>
    <cellStyle name="20% - Accent1 2 3 2 2 3 2 2 3" xfId="26239" xr:uid="{00000000-0005-0000-0000-0000AB0F0000}"/>
    <cellStyle name="20% - Accent1 2 3 2 2 3 2 3" xfId="10603" xr:uid="{00000000-0005-0000-0000-0000AC0F0000}"/>
    <cellStyle name="20% - Accent1 2 3 2 2 3 2 3 2" xfId="30073" xr:uid="{00000000-0005-0000-0000-0000AD0F0000}"/>
    <cellStyle name="20% - Accent1 2 3 2 2 3 2 4" xfId="25670" xr:uid="{00000000-0005-0000-0000-0000AE0F0000}"/>
    <cellStyle name="20% - Accent1 2 3 2 2 3 3" xfId="6754" xr:uid="{00000000-0005-0000-0000-0000AF0F0000}"/>
    <cellStyle name="20% - Accent1 2 3 2 2 3 3 2" xfId="11090" xr:uid="{00000000-0005-0000-0000-0000B00F0000}"/>
    <cellStyle name="20% - Accent1 2 3 2 2 3 3 2 2" xfId="30560" xr:uid="{00000000-0005-0000-0000-0000B10F0000}"/>
    <cellStyle name="20% - Accent1 2 3 2 2 3 3 3" xfId="26238" xr:uid="{00000000-0005-0000-0000-0000B20F0000}"/>
    <cellStyle name="20% - Accent1 2 3 2 2 3 4" xfId="9543" xr:uid="{00000000-0005-0000-0000-0000B30F0000}"/>
    <cellStyle name="20% - Accent1 2 3 2 2 3 4 2" xfId="29013" xr:uid="{00000000-0005-0000-0000-0000B40F0000}"/>
    <cellStyle name="20% - Accent1 2 3 2 2 3 5" xfId="24517" xr:uid="{00000000-0005-0000-0000-0000B50F0000}"/>
    <cellStyle name="20% - Accent1 2 3 2 2 4" xfId="5628" xr:uid="{00000000-0005-0000-0000-0000B60F0000}"/>
    <cellStyle name="20% - Accent1 2 3 2 2 4 2" xfId="6756" xr:uid="{00000000-0005-0000-0000-0000B70F0000}"/>
    <cellStyle name="20% - Accent1 2 3 2 2 4 2 2" xfId="11092" xr:uid="{00000000-0005-0000-0000-0000B80F0000}"/>
    <cellStyle name="20% - Accent1 2 3 2 2 4 2 2 2" xfId="30562" xr:uid="{00000000-0005-0000-0000-0000B90F0000}"/>
    <cellStyle name="20% - Accent1 2 3 2 2 4 2 3" xfId="26240" xr:uid="{00000000-0005-0000-0000-0000BA0F0000}"/>
    <cellStyle name="20% - Accent1 2 3 2 2 4 3" xfId="10073" xr:uid="{00000000-0005-0000-0000-0000BB0F0000}"/>
    <cellStyle name="20% - Accent1 2 3 2 2 4 3 2" xfId="29543" xr:uid="{00000000-0005-0000-0000-0000BC0F0000}"/>
    <cellStyle name="20% - Accent1 2 3 2 2 4 4" xfId="25115" xr:uid="{00000000-0005-0000-0000-0000BD0F0000}"/>
    <cellStyle name="20% - Accent1 2 3 2 2 5" xfId="6749" xr:uid="{00000000-0005-0000-0000-0000BE0F0000}"/>
    <cellStyle name="20% - Accent1 2 3 2 2 5 2" xfId="11085" xr:uid="{00000000-0005-0000-0000-0000BF0F0000}"/>
    <cellStyle name="20% - Accent1 2 3 2 2 5 2 2" xfId="30555" xr:uid="{00000000-0005-0000-0000-0000C00F0000}"/>
    <cellStyle name="20% - Accent1 2 3 2 2 5 3" xfId="26233" xr:uid="{00000000-0005-0000-0000-0000C10F0000}"/>
    <cellStyle name="20% - Accent1 2 3 2 2 6" xfId="9009" xr:uid="{00000000-0005-0000-0000-0000C20F0000}"/>
    <cellStyle name="20% - Accent1 2 3 2 2 6 2" xfId="28483" xr:uid="{00000000-0005-0000-0000-0000C30F0000}"/>
    <cellStyle name="20% - Accent1 2 3 2 2 7" xfId="23867" xr:uid="{00000000-0005-0000-0000-0000C40F0000}"/>
    <cellStyle name="20% - Accent1 2 3 2 3" xfId="4257" xr:uid="{00000000-0005-0000-0000-0000C50F0000}"/>
    <cellStyle name="20% - Accent1 2 3 2 3 2" xfId="4832" xr:uid="{00000000-0005-0000-0000-0000C60F0000}"/>
    <cellStyle name="20% - Accent1 2 3 2 3 2 2" xfId="5457" xr:uid="{00000000-0005-0000-0000-0000C70F0000}"/>
    <cellStyle name="20% - Accent1 2 3 2 3 2 2 2" xfId="6585" xr:uid="{00000000-0005-0000-0000-0000C80F0000}"/>
    <cellStyle name="20% - Accent1 2 3 2 3 2 2 2 2" xfId="6760" xr:uid="{00000000-0005-0000-0000-0000C90F0000}"/>
    <cellStyle name="20% - Accent1 2 3 2 3 2 2 2 2 2" xfId="11096" xr:uid="{00000000-0005-0000-0000-0000CA0F0000}"/>
    <cellStyle name="20% - Accent1 2 3 2 3 2 2 2 2 2 2" xfId="30566" xr:uid="{00000000-0005-0000-0000-0000CB0F0000}"/>
    <cellStyle name="20% - Accent1 2 3 2 3 2 2 2 2 3" xfId="26244" xr:uid="{00000000-0005-0000-0000-0000CC0F0000}"/>
    <cellStyle name="20% - Accent1 2 3 2 3 2 2 2 3" xfId="11001" xr:uid="{00000000-0005-0000-0000-0000CD0F0000}"/>
    <cellStyle name="20% - Accent1 2 3 2 3 2 2 2 3 2" xfId="30471" xr:uid="{00000000-0005-0000-0000-0000CE0F0000}"/>
    <cellStyle name="20% - Accent1 2 3 2 3 2 2 2 4" xfId="26070" xr:uid="{00000000-0005-0000-0000-0000CF0F0000}"/>
    <cellStyle name="20% - Accent1 2 3 2 3 2 2 3" xfId="6759" xr:uid="{00000000-0005-0000-0000-0000D00F0000}"/>
    <cellStyle name="20% - Accent1 2 3 2 3 2 2 3 2" xfId="11095" xr:uid="{00000000-0005-0000-0000-0000D10F0000}"/>
    <cellStyle name="20% - Accent1 2 3 2 3 2 2 3 2 2" xfId="30565" xr:uid="{00000000-0005-0000-0000-0000D20F0000}"/>
    <cellStyle name="20% - Accent1 2 3 2 3 2 2 3 3" xfId="26243" xr:uid="{00000000-0005-0000-0000-0000D30F0000}"/>
    <cellStyle name="20% - Accent1 2 3 2 3 2 2 4" xfId="9940" xr:uid="{00000000-0005-0000-0000-0000D40F0000}"/>
    <cellStyle name="20% - Accent1 2 3 2 3 2 2 4 2" xfId="29410" xr:uid="{00000000-0005-0000-0000-0000D50F0000}"/>
    <cellStyle name="20% - Accent1 2 3 2 3 2 2 5" xfId="24948" xr:uid="{00000000-0005-0000-0000-0000D60F0000}"/>
    <cellStyle name="20% - Accent1 2 3 2 3 2 3" xfId="6050" xr:uid="{00000000-0005-0000-0000-0000D70F0000}"/>
    <cellStyle name="20% - Accent1 2 3 2 3 2 3 2" xfId="6761" xr:uid="{00000000-0005-0000-0000-0000D80F0000}"/>
    <cellStyle name="20% - Accent1 2 3 2 3 2 3 2 2" xfId="11097" xr:uid="{00000000-0005-0000-0000-0000D90F0000}"/>
    <cellStyle name="20% - Accent1 2 3 2 3 2 3 2 2 2" xfId="30567" xr:uid="{00000000-0005-0000-0000-0000DA0F0000}"/>
    <cellStyle name="20% - Accent1 2 3 2 3 2 3 2 3" xfId="26245" xr:uid="{00000000-0005-0000-0000-0000DB0F0000}"/>
    <cellStyle name="20% - Accent1 2 3 2 3 2 3 3" xfId="10470" xr:uid="{00000000-0005-0000-0000-0000DC0F0000}"/>
    <cellStyle name="20% - Accent1 2 3 2 3 2 3 3 2" xfId="29940" xr:uid="{00000000-0005-0000-0000-0000DD0F0000}"/>
    <cellStyle name="20% - Accent1 2 3 2 3 2 3 4" xfId="25535" xr:uid="{00000000-0005-0000-0000-0000DE0F0000}"/>
    <cellStyle name="20% - Accent1 2 3 2 3 2 4" xfId="6758" xr:uid="{00000000-0005-0000-0000-0000DF0F0000}"/>
    <cellStyle name="20% - Accent1 2 3 2 3 2 4 2" xfId="11094" xr:uid="{00000000-0005-0000-0000-0000E00F0000}"/>
    <cellStyle name="20% - Accent1 2 3 2 3 2 4 2 2" xfId="30564" xr:uid="{00000000-0005-0000-0000-0000E10F0000}"/>
    <cellStyle name="20% - Accent1 2 3 2 3 2 4 3" xfId="26242" xr:uid="{00000000-0005-0000-0000-0000E20F0000}"/>
    <cellStyle name="20% - Accent1 2 3 2 3 2 5" xfId="9410" xr:uid="{00000000-0005-0000-0000-0000E30F0000}"/>
    <cellStyle name="20% - Accent1 2 3 2 3 2 5 2" xfId="28880" xr:uid="{00000000-0005-0000-0000-0000E40F0000}"/>
    <cellStyle name="20% - Accent1 2 3 2 3 2 6" xfId="24334" xr:uid="{00000000-0005-0000-0000-0000E50F0000}"/>
    <cellStyle name="20% - Accent1 2 3 2 3 3" xfId="5162" xr:uid="{00000000-0005-0000-0000-0000E60F0000}"/>
    <cellStyle name="20% - Accent1 2 3 2 3 3 2" xfId="6318" xr:uid="{00000000-0005-0000-0000-0000E70F0000}"/>
    <cellStyle name="20% - Accent1 2 3 2 3 3 2 2" xfId="6763" xr:uid="{00000000-0005-0000-0000-0000E80F0000}"/>
    <cellStyle name="20% - Accent1 2 3 2 3 3 2 2 2" xfId="11099" xr:uid="{00000000-0005-0000-0000-0000E90F0000}"/>
    <cellStyle name="20% - Accent1 2 3 2 3 3 2 2 2 2" xfId="30569" xr:uid="{00000000-0005-0000-0000-0000EA0F0000}"/>
    <cellStyle name="20% - Accent1 2 3 2 3 3 2 2 3" xfId="26247" xr:uid="{00000000-0005-0000-0000-0000EB0F0000}"/>
    <cellStyle name="20% - Accent1 2 3 2 3 3 2 3" xfId="10735" xr:uid="{00000000-0005-0000-0000-0000EC0F0000}"/>
    <cellStyle name="20% - Accent1 2 3 2 3 3 2 3 2" xfId="30205" xr:uid="{00000000-0005-0000-0000-0000ED0F0000}"/>
    <cellStyle name="20% - Accent1 2 3 2 3 3 2 4" xfId="25803" xr:uid="{00000000-0005-0000-0000-0000EE0F0000}"/>
    <cellStyle name="20% - Accent1 2 3 2 3 3 3" xfId="6762" xr:uid="{00000000-0005-0000-0000-0000EF0F0000}"/>
    <cellStyle name="20% - Accent1 2 3 2 3 3 3 2" xfId="11098" xr:uid="{00000000-0005-0000-0000-0000F00F0000}"/>
    <cellStyle name="20% - Accent1 2 3 2 3 3 3 2 2" xfId="30568" xr:uid="{00000000-0005-0000-0000-0000F10F0000}"/>
    <cellStyle name="20% - Accent1 2 3 2 3 3 3 3" xfId="26246" xr:uid="{00000000-0005-0000-0000-0000F20F0000}"/>
    <cellStyle name="20% - Accent1 2 3 2 3 3 4" xfId="9675" xr:uid="{00000000-0005-0000-0000-0000F30F0000}"/>
    <cellStyle name="20% - Accent1 2 3 2 3 3 4 2" xfId="29145" xr:uid="{00000000-0005-0000-0000-0000F40F0000}"/>
    <cellStyle name="20% - Accent1 2 3 2 3 3 5" xfId="24653" xr:uid="{00000000-0005-0000-0000-0000F50F0000}"/>
    <cellStyle name="20% - Accent1 2 3 2 3 4" xfId="5771" xr:uid="{00000000-0005-0000-0000-0000F60F0000}"/>
    <cellStyle name="20% - Accent1 2 3 2 3 4 2" xfId="6764" xr:uid="{00000000-0005-0000-0000-0000F70F0000}"/>
    <cellStyle name="20% - Accent1 2 3 2 3 4 2 2" xfId="11100" xr:uid="{00000000-0005-0000-0000-0000F80F0000}"/>
    <cellStyle name="20% - Accent1 2 3 2 3 4 2 2 2" xfId="30570" xr:uid="{00000000-0005-0000-0000-0000F90F0000}"/>
    <cellStyle name="20% - Accent1 2 3 2 3 4 2 3" xfId="26248" xr:uid="{00000000-0005-0000-0000-0000FA0F0000}"/>
    <cellStyle name="20% - Accent1 2 3 2 3 4 3" xfId="10205" xr:uid="{00000000-0005-0000-0000-0000FB0F0000}"/>
    <cellStyle name="20% - Accent1 2 3 2 3 4 3 2" xfId="29675" xr:uid="{00000000-0005-0000-0000-0000FC0F0000}"/>
    <cellStyle name="20% - Accent1 2 3 2 3 4 4" xfId="25256" xr:uid="{00000000-0005-0000-0000-0000FD0F0000}"/>
    <cellStyle name="20% - Accent1 2 3 2 3 5" xfId="6757" xr:uid="{00000000-0005-0000-0000-0000FE0F0000}"/>
    <cellStyle name="20% - Accent1 2 3 2 3 5 2" xfId="11093" xr:uid="{00000000-0005-0000-0000-0000FF0F0000}"/>
    <cellStyle name="20% - Accent1 2 3 2 3 5 2 2" xfId="30563" xr:uid="{00000000-0005-0000-0000-000000100000}"/>
    <cellStyle name="20% - Accent1 2 3 2 3 5 3" xfId="26241" xr:uid="{00000000-0005-0000-0000-000001100000}"/>
    <cellStyle name="20% - Accent1 2 3 2 3 6" xfId="9144" xr:uid="{00000000-0005-0000-0000-000002100000}"/>
    <cellStyle name="20% - Accent1 2 3 2 3 6 2" xfId="28615" xr:uid="{00000000-0005-0000-0000-000003100000}"/>
    <cellStyle name="20% - Accent1 2 3 2 3 7" xfId="24033" xr:uid="{00000000-0005-0000-0000-000004100000}"/>
    <cellStyle name="20% - Accent1 2 3 2 4" xfId="4613" xr:uid="{00000000-0005-0000-0000-000005100000}"/>
    <cellStyle name="20% - Accent1 2 3 2 4 2" xfId="5253" xr:uid="{00000000-0005-0000-0000-000006100000}"/>
    <cellStyle name="20% - Accent1 2 3 2 4 2 2" xfId="6387" xr:uid="{00000000-0005-0000-0000-000007100000}"/>
    <cellStyle name="20% - Accent1 2 3 2 4 2 2 2" xfId="6767" xr:uid="{00000000-0005-0000-0000-000008100000}"/>
    <cellStyle name="20% - Accent1 2 3 2 4 2 2 2 2" xfId="11103" xr:uid="{00000000-0005-0000-0000-000009100000}"/>
    <cellStyle name="20% - Accent1 2 3 2 4 2 2 2 2 2" xfId="30573" xr:uid="{00000000-0005-0000-0000-00000A100000}"/>
    <cellStyle name="20% - Accent1 2 3 2 4 2 2 2 3" xfId="26251" xr:uid="{00000000-0005-0000-0000-00000B100000}"/>
    <cellStyle name="20% - Accent1 2 3 2 4 2 2 3" xfId="10803" xr:uid="{00000000-0005-0000-0000-00000C100000}"/>
    <cellStyle name="20% - Accent1 2 3 2 4 2 2 3 2" xfId="30273" xr:uid="{00000000-0005-0000-0000-00000D100000}"/>
    <cellStyle name="20% - Accent1 2 3 2 4 2 2 4" xfId="25872" xr:uid="{00000000-0005-0000-0000-00000E100000}"/>
    <cellStyle name="20% - Accent1 2 3 2 4 2 3" xfId="6766" xr:uid="{00000000-0005-0000-0000-00000F100000}"/>
    <cellStyle name="20% - Accent1 2 3 2 4 2 3 2" xfId="11102" xr:uid="{00000000-0005-0000-0000-000010100000}"/>
    <cellStyle name="20% - Accent1 2 3 2 4 2 3 2 2" xfId="30572" xr:uid="{00000000-0005-0000-0000-000011100000}"/>
    <cellStyle name="20% - Accent1 2 3 2 4 2 3 3" xfId="26250" xr:uid="{00000000-0005-0000-0000-000012100000}"/>
    <cellStyle name="20% - Accent1 2 3 2 4 2 4" xfId="9742" xr:uid="{00000000-0005-0000-0000-000013100000}"/>
    <cellStyle name="20% - Accent1 2 3 2 4 2 4 2" xfId="29212" xr:uid="{00000000-0005-0000-0000-000014100000}"/>
    <cellStyle name="20% - Accent1 2 3 2 4 2 5" xfId="24744" xr:uid="{00000000-0005-0000-0000-000015100000}"/>
    <cellStyle name="20% - Accent1 2 3 2 4 3" xfId="5850" xr:uid="{00000000-0005-0000-0000-000016100000}"/>
    <cellStyle name="20% - Accent1 2 3 2 4 3 2" xfId="6768" xr:uid="{00000000-0005-0000-0000-000017100000}"/>
    <cellStyle name="20% - Accent1 2 3 2 4 3 2 2" xfId="11104" xr:uid="{00000000-0005-0000-0000-000018100000}"/>
    <cellStyle name="20% - Accent1 2 3 2 4 3 2 2 2" xfId="30574" xr:uid="{00000000-0005-0000-0000-000019100000}"/>
    <cellStyle name="20% - Accent1 2 3 2 4 3 2 3" xfId="26252" xr:uid="{00000000-0005-0000-0000-00001A100000}"/>
    <cellStyle name="20% - Accent1 2 3 2 4 3 3" xfId="10272" xr:uid="{00000000-0005-0000-0000-00001B100000}"/>
    <cellStyle name="20% - Accent1 2 3 2 4 3 3 2" xfId="29742" xr:uid="{00000000-0005-0000-0000-00001C100000}"/>
    <cellStyle name="20% - Accent1 2 3 2 4 3 4" xfId="25335" xr:uid="{00000000-0005-0000-0000-00001D100000}"/>
    <cellStyle name="20% - Accent1 2 3 2 4 4" xfId="6765" xr:uid="{00000000-0005-0000-0000-00001E100000}"/>
    <cellStyle name="20% - Accent1 2 3 2 4 4 2" xfId="11101" xr:uid="{00000000-0005-0000-0000-00001F100000}"/>
    <cellStyle name="20% - Accent1 2 3 2 4 4 2 2" xfId="30571" xr:uid="{00000000-0005-0000-0000-000020100000}"/>
    <cellStyle name="20% - Accent1 2 3 2 4 4 3" xfId="26249" xr:uid="{00000000-0005-0000-0000-000021100000}"/>
    <cellStyle name="20% - Accent1 2 3 2 4 5" xfId="9212" xr:uid="{00000000-0005-0000-0000-000022100000}"/>
    <cellStyle name="20% - Accent1 2 3 2 4 5 2" xfId="28682" xr:uid="{00000000-0005-0000-0000-000023100000}"/>
    <cellStyle name="20% - Accent1 2 3 2 4 6" xfId="24124" xr:uid="{00000000-0005-0000-0000-000024100000}"/>
    <cellStyle name="20% - Accent1 2 3 2 5" xfId="4957" xr:uid="{00000000-0005-0000-0000-000025100000}"/>
    <cellStyle name="20% - Accent1 2 3 2 5 2" xfId="6119" xr:uid="{00000000-0005-0000-0000-000026100000}"/>
    <cellStyle name="20% - Accent1 2 3 2 5 2 2" xfId="6770" xr:uid="{00000000-0005-0000-0000-000027100000}"/>
    <cellStyle name="20% - Accent1 2 3 2 5 2 2 2" xfId="11106" xr:uid="{00000000-0005-0000-0000-000028100000}"/>
    <cellStyle name="20% - Accent1 2 3 2 5 2 2 2 2" xfId="30576" xr:uid="{00000000-0005-0000-0000-000029100000}"/>
    <cellStyle name="20% - Accent1 2 3 2 5 2 2 3" xfId="26254" xr:uid="{00000000-0005-0000-0000-00002A100000}"/>
    <cellStyle name="20% - Accent1 2 3 2 5 2 3" xfId="10537" xr:uid="{00000000-0005-0000-0000-00002B100000}"/>
    <cellStyle name="20% - Accent1 2 3 2 5 2 3 2" xfId="30007" xr:uid="{00000000-0005-0000-0000-00002C100000}"/>
    <cellStyle name="20% - Accent1 2 3 2 5 2 4" xfId="25604" xr:uid="{00000000-0005-0000-0000-00002D100000}"/>
    <cellStyle name="20% - Accent1 2 3 2 5 3" xfId="6769" xr:uid="{00000000-0005-0000-0000-00002E100000}"/>
    <cellStyle name="20% - Accent1 2 3 2 5 3 2" xfId="11105" xr:uid="{00000000-0005-0000-0000-00002F100000}"/>
    <cellStyle name="20% - Accent1 2 3 2 5 3 2 2" xfId="30575" xr:uid="{00000000-0005-0000-0000-000030100000}"/>
    <cellStyle name="20% - Accent1 2 3 2 5 3 3" xfId="26253" xr:uid="{00000000-0005-0000-0000-000031100000}"/>
    <cellStyle name="20% - Accent1 2 3 2 5 4" xfId="9477" xr:uid="{00000000-0005-0000-0000-000032100000}"/>
    <cellStyle name="20% - Accent1 2 3 2 5 4 2" xfId="28947" xr:uid="{00000000-0005-0000-0000-000033100000}"/>
    <cellStyle name="20% - Accent1 2 3 2 5 5" xfId="24451" xr:uid="{00000000-0005-0000-0000-000034100000}"/>
    <cellStyle name="20% - Accent1 2 3 2 6" xfId="5562" xr:uid="{00000000-0005-0000-0000-000035100000}"/>
    <cellStyle name="20% - Accent1 2 3 2 6 2" xfId="6771" xr:uid="{00000000-0005-0000-0000-000036100000}"/>
    <cellStyle name="20% - Accent1 2 3 2 6 2 2" xfId="11107" xr:uid="{00000000-0005-0000-0000-000037100000}"/>
    <cellStyle name="20% - Accent1 2 3 2 6 2 2 2" xfId="30577" xr:uid="{00000000-0005-0000-0000-000038100000}"/>
    <cellStyle name="20% - Accent1 2 3 2 6 2 3" xfId="26255" xr:uid="{00000000-0005-0000-0000-000039100000}"/>
    <cellStyle name="20% - Accent1 2 3 2 6 3" xfId="10007" xr:uid="{00000000-0005-0000-0000-00003A100000}"/>
    <cellStyle name="20% - Accent1 2 3 2 6 3 2" xfId="29477" xr:uid="{00000000-0005-0000-0000-00003B100000}"/>
    <cellStyle name="20% - Accent1 2 3 2 6 4" xfId="25049" xr:uid="{00000000-0005-0000-0000-00003C100000}"/>
    <cellStyle name="20% - Accent1 2 3 2 7" xfId="6748" xr:uid="{00000000-0005-0000-0000-00003D100000}"/>
    <cellStyle name="20% - Accent1 2 3 2 7 2" xfId="11084" xr:uid="{00000000-0005-0000-0000-00003E100000}"/>
    <cellStyle name="20% - Accent1 2 3 2 7 2 2" xfId="30554" xr:uid="{00000000-0005-0000-0000-00003F100000}"/>
    <cellStyle name="20% - Accent1 2 3 2 7 3" xfId="26232" xr:uid="{00000000-0005-0000-0000-000040100000}"/>
    <cellStyle name="20% - Accent1 2 3 2 8" xfId="8943" xr:uid="{00000000-0005-0000-0000-000041100000}"/>
    <cellStyle name="20% - Accent1 2 3 2 8 2" xfId="28417" xr:uid="{00000000-0005-0000-0000-000042100000}"/>
    <cellStyle name="20% - Accent1 2 3 2 9" xfId="23675" xr:uid="{00000000-0005-0000-0000-000043100000}"/>
    <cellStyle name="20% - Accent1 2 3 3" xfId="2940" xr:uid="{00000000-0005-0000-0000-000044100000}"/>
    <cellStyle name="20% - Accent1 2 3 3 2" xfId="4647" xr:uid="{00000000-0005-0000-0000-000045100000}"/>
    <cellStyle name="20% - Accent1 2 3 3 2 2" xfId="5287" xr:uid="{00000000-0005-0000-0000-000046100000}"/>
    <cellStyle name="20% - Accent1 2 3 3 2 2 2" xfId="6421" xr:uid="{00000000-0005-0000-0000-000047100000}"/>
    <cellStyle name="20% - Accent1 2 3 3 2 2 2 2" xfId="6775" xr:uid="{00000000-0005-0000-0000-000048100000}"/>
    <cellStyle name="20% - Accent1 2 3 3 2 2 2 2 2" xfId="11111" xr:uid="{00000000-0005-0000-0000-000049100000}"/>
    <cellStyle name="20% - Accent1 2 3 3 2 2 2 2 2 2" xfId="30581" xr:uid="{00000000-0005-0000-0000-00004A100000}"/>
    <cellStyle name="20% - Accent1 2 3 3 2 2 2 2 3" xfId="26259" xr:uid="{00000000-0005-0000-0000-00004B100000}"/>
    <cellStyle name="20% - Accent1 2 3 3 2 2 2 3" xfId="10837" xr:uid="{00000000-0005-0000-0000-00004C100000}"/>
    <cellStyle name="20% - Accent1 2 3 3 2 2 2 3 2" xfId="30307" xr:uid="{00000000-0005-0000-0000-00004D100000}"/>
    <cellStyle name="20% - Accent1 2 3 3 2 2 2 4" xfId="25906" xr:uid="{00000000-0005-0000-0000-00004E100000}"/>
    <cellStyle name="20% - Accent1 2 3 3 2 2 3" xfId="6774" xr:uid="{00000000-0005-0000-0000-00004F100000}"/>
    <cellStyle name="20% - Accent1 2 3 3 2 2 3 2" xfId="11110" xr:uid="{00000000-0005-0000-0000-000050100000}"/>
    <cellStyle name="20% - Accent1 2 3 3 2 2 3 2 2" xfId="30580" xr:uid="{00000000-0005-0000-0000-000051100000}"/>
    <cellStyle name="20% - Accent1 2 3 3 2 2 3 3" xfId="26258" xr:uid="{00000000-0005-0000-0000-000052100000}"/>
    <cellStyle name="20% - Accent1 2 3 3 2 2 4" xfId="9776" xr:uid="{00000000-0005-0000-0000-000053100000}"/>
    <cellStyle name="20% - Accent1 2 3 3 2 2 4 2" xfId="29246" xr:uid="{00000000-0005-0000-0000-000054100000}"/>
    <cellStyle name="20% - Accent1 2 3 3 2 2 5" xfId="24778" xr:uid="{00000000-0005-0000-0000-000055100000}"/>
    <cellStyle name="20% - Accent1 2 3 3 2 3" xfId="5884" xr:uid="{00000000-0005-0000-0000-000056100000}"/>
    <cellStyle name="20% - Accent1 2 3 3 2 3 2" xfId="6776" xr:uid="{00000000-0005-0000-0000-000057100000}"/>
    <cellStyle name="20% - Accent1 2 3 3 2 3 2 2" xfId="11112" xr:uid="{00000000-0005-0000-0000-000058100000}"/>
    <cellStyle name="20% - Accent1 2 3 3 2 3 2 2 2" xfId="30582" xr:uid="{00000000-0005-0000-0000-000059100000}"/>
    <cellStyle name="20% - Accent1 2 3 3 2 3 2 3" xfId="26260" xr:uid="{00000000-0005-0000-0000-00005A100000}"/>
    <cellStyle name="20% - Accent1 2 3 3 2 3 3" xfId="10306" xr:uid="{00000000-0005-0000-0000-00005B100000}"/>
    <cellStyle name="20% - Accent1 2 3 3 2 3 3 2" xfId="29776" xr:uid="{00000000-0005-0000-0000-00005C100000}"/>
    <cellStyle name="20% - Accent1 2 3 3 2 3 4" xfId="25369" xr:uid="{00000000-0005-0000-0000-00005D100000}"/>
    <cellStyle name="20% - Accent1 2 3 3 2 4" xfId="6773" xr:uid="{00000000-0005-0000-0000-00005E100000}"/>
    <cellStyle name="20% - Accent1 2 3 3 2 4 2" xfId="11109" xr:uid="{00000000-0005-0000-0000-00005F100000}"/>
    <cellStyle name="20% - Accent1 2 3 3 2 4 2 2" xfId="30579" xr:uid="{00000000-0005-0000-0000-000060100000}"/>
    <cellStyle name="20% - Accent1 2 3 3 2 4 3" xfId="26257" xr:uid="{00000000-0005-0000-0000-000061100000}"/>
    <cellStyle name="20% - Accent1 2 3 3 2 5" xfId="9246" xr:uid="{00000000-0005-0000-0000-000062100000}"/>
    <cellStyle name="20% - Accent1 2 3 3 2 5 2" xfId="28716" xr:uid="{00000000-0005-0000-0000-000063100000}"/>
    <cellStyle name="20% - Accent1 2 3 3 2 6" xfId="24158" xr:uid="{00000000-0005-0000-0000-000064100000}"/>
    <cellStyle name="20% - Accent1 2 3 3 3" xfId="4991" xr:uid="{00000000-0005-0000-0000-000065100000}"/>
    <cellStyle name="20% - Accent1 2 3 3 3 2" xfId="6153" xr:uid="{00000000-0005-0000-0000-000066100000}"/>
    <cellStyle name="20% - Accent1 2 3 3 3 2 2" xfId="6778" xr:uid="{00000000-0005-0000-0000-000067100000}"/>
    <cellStyle name="20% - Accent1 2 3 3 3 2 2 2" xfId="11114" xr:uid="{00000000-0005-0000-0000-000068100000}"/>
    <cellStyle name="20% - Accent1 2 3 3 3 2 2 2 2" xfId="30584" xr:uid="{00000000-0005-0000-0000-000069100000}"/>
    <cellStyle name="20% - Accent1 2 3 3 3 2 2 3" xfId="26262" xr:uid="{00000000-0005-0000-0000-00006A100000}"/>
    <cellStyle name="20% - Accent1 2 3 3 3 2 3" xfId="10571" xr:uid="{00000000-0005-0000-0000-00006B100000}"/>
    <cellStyle name="20% - Accent1 2 3 3 3 2 3 2" xfId="30041" xr:uid="{00000000-0005-0000-0000-00006C100000}"/>
    <cellStyle name="20% - Accent1 2 3 3 3 2 4" xfId="25638" xr:uid="{00000000-0005-0000-0000-00006D100000}"/>
    <cellStyle name="20% - Accent1 2 3 3 3 3" xfId="6777" xr:uid="{00000000-0005-0000-0000-00006E100000}"/>
    <cellStyle name="20% - Accent1 2 3 3 3 3 2" xfId="11113" xr:uid="{00000000-0005-0000-0000-00006F100000}"/>
    <cellStyle name="20% - Accent1 2 3 3 3 3 2 2" xfId="30583" xr:uid="{00000000-0005-0000-0000-000070100000}"/>
    <cellStyle name="20% - Accent1 2 3 3 3 3 3" xfId="26261" xr:uid="{00000000-0005-0000-0000-000071100000}"/>
    <cellStyle name="20% - Accent1 2 3 3 3 4" xfId="9511" xr:uid="{00000000-0005-0000-0000-000072100000}"/>
    <cellStyle name="20% - Accent1 2 3 3 3 4 2" xfId="28981" xr:uid="{00000000-0005-0000-0000-000073100000}"/>
    <cellStyle name="20% - Accent1 2 3 3 3 5" xfId="24485" xr:uid="{00000000-0005-0000-0000-000074100000}"/>
    <cellStyle name="20% - Accent1 2 3 3 4" xfId="5596" xr:uid="{00000000-0005-0000-0000-000075100000}"/>
    <cellStyle name="20% - Accent1 2 3 3 4 2" xfId="6779" xr:uid="{00000000-0005-0000-0000-000076100000}"/>
    <cellStyle name="20% - Accent1 2 3 3 4 2 2" xfId="11115" xr:uid="{00000000-0005-0000-0000-000077100000}"/>
    <cellStyle name="20% - Accent1 2 3 3 4 2 2 2" xfId="30585" xr:uid="{00000000-0005-0000-0000-000078100000}"/>
    <cellStyle name="20% - Accent1 2 3 3 4 2 3" xfId="26263" xr:uid="{00000000-0005-0000-0000-000079100000}"/>
    <cellStyle name="20% - Accent1 2 3 3 4 3" xfId="10041" xr:uid="{00000000-0005-0000-0000-00007A100000}"/>
    <cellStyle name="20% - Accent1 2 3 3 4 3 2" xfId="29511" xr:uid="{00000000-0005-0000-0000-00007B100000}"/>
    <cellStyle name="20% - Accent1 2 3 3 4 4" xfId="25083" xr:uid="{00000000-0005-0000-0000-00007C100000}"/>
    <cellStyle name="20% - Accent1 2 3 3 5" xfId="6772" xr:uid="{00000000-0005-0000-0000-00007D100000}"/>
    <cellStyle name="20% - Accent1 2 3 3 5 2" xfId="11108" xr:uid="{00000000-0005-0000-0000-00007E100000}"/>
    <cellStyle name="20% - Accent1 2 3 3 5 2 2" xfId="30578" xr:uid="{00000000-0005-0000-0000-00007F100000}"/>
    <cellStyle name="20% - Accent1 2 3 3 5 3" xfId="26256" xr:uid="{00000000-0005-0000-0000-000080100000}"/>
    <cellStyle name="20% - Accent1 2 3 3 6" xfId="8977" xr:uid="{00000000-0005-0000-0000-000081100000}"/>
    <cellStyle name="20% - Accent1 2 3 3 6 2" xfId="28451" xr:uid="{00000000-0005-0000-0000-000082100000}"/>
    <cellStyle name="20% - Accent1 2 3 3 7" xfId="23749" xr:uid="{00000000-0005-0000-0000-000083100000}"/>
    <cellStyle name="20% - Accent1 2 3 4" xfId="4185" xr:uid="{00000000-0005-0000-0000-000084100000}"/>
    <cellStyle name="20% - Accent1 2 3 4 2" xfId="4777" xr:uid="{00000000-0005-0000-0000-000085100000}"/>
    <cellStyle name="20% - Accent1 2 3 4 2 2" xfId="5403" xr:uid="{00000000-0005-0000-0000-000086100000}"/>
    <cellStyle name="20% - Accent1 2 3 4 2 2 2" xfId="6531" xr:uid="{00000000-0005-0000-0000-000087100000}"/>
    <cellStyle name="20% - Accent1 2 3 4 2 2 2 2" xfId="6783" xr:uid="{00000000-0005-0000-0000-000088100000}"/>
    <cellStyle name="20% - Accent1 2 3 4 2 2 2 2 2" xfId="11119" xr:uid="{00000000-0005-0000-0000-000089100000}"/>
    <cellStyle name="20% - Accent1 2 3 4 2 2 2 2 2 2" xfId="30589" xr:uid="{00000000-0005-0000-0000-00008A100000}"/>
    <cellStyle name="20% - Accent1 2 3 4 2 2 2 2 3" xfId="26267" xr:uid="{00000000-0005-0000-0000-00008B100000}"/>
    <cellStyle name="20% - Accent1 2 3 4 2 2 2 3" xfId="10947" xr:uid="{00000000-0005-0000-0000-00008C100000}"/>
    <cellStyle name="20% - Accent1 2 3 4 2 2 2 3 2" xfId="30417" xr:uid="{00000000-0005-0000-0000-00008D100000}"/>
    <cellStyle name="20% - Accent1 2 3 4 2 2 2 4" xfId="26016" xr:uid="{00000000-0005-0000-0000-00008E100000}"/>
    <cellStyle name="20% - Accent1 2 3 4 2 2 3" xfId="6782" xr:uid="{00000000-0005-0000-0000-00008F100000}"/>
    <cellStyle name="20% - Accent1 2 3 4 2 2 3 2" xfId="11118" xr:uid="{00000000-0005-0000-0000-000090100000}"/>
    <cellStyle name="20% - Accent1 2 3 4 2 2 3 2 2" xfId="30588" xr:uid="{00000000-0005-0000-0000-000091100000}"/>
    <cellStyle name="20% - Accent1 2 3 4 2 2 3 3" xfId="26266" xr:uid="{00000000-0005-0000-0000-000092100000}"/>
    <cellStyle name="20% - Accent1 2 3 4 2 2 4" xfId="9886" xr:uid="{00000000-0005-0000-0000-000093100000}"/>
    <cellStyle name="20% - Accent1 2 3 4 2 2 4 2" xfId="29356" xr:uid="{00000000-0005-0000-0000-000094100000}"/>
    <cellStyle name="20% - Accent1 2 3 4 2 2 5" xfId="24894" xr:uid="{00000000-0005-0000-0000-000095100000}"/>
    <cellStyle name="20% - Accent1 2 3 4 2 3" xfId="5995" xr:uid="{00000000-0005-0000-0000-000096100000}"/>
    <cellStyle name="20% - Accent1 2 3 4 2 3 2" xfId="6784" xr:uid="{00000000-0005-0000-0000-000097100000}"/>
    <cellStyle name="20% - Accent1 2 3 4 2 3 2 2" xfId="11120" xr:uid="{00000000-0005-0000-0000-000098100000}"/>
    <cellStyle name="20% - Accent1 2 3 4 2 3 2 2 2" xfId="30590" xr:uid="{00000000-0005-0000-0000-000099100000}"/>
    <cellStyle name="20% - Accent1 2 3 4 2 3 2 3" xfId="26268" xr:uid="{00000000-0005-0000-0000-00009A100000}"/>
    <cellStyle name="20% - Accent1 2 3 4 2 3 3" xfId="10416" xr:uid="{00000000-0005-0000-0000-00009B100000}"/>
    <cellStyle name="20% - Accent1 2 3 4 2 3 3 2" xfId="29886" xr:uid="{00000000-0005-0000-0000-00009C100000}"/>
    <cellStyle name="20% - Accent1 2 3 4 2 3 4" xfId="25480" xr:uid="{00000000-0005-0000-0000-00009D100000}"/>
    <cellStyle name="20% - Accent1 2 3 4 2 4" xfId="6781" xr:uid="{00000000-0005-0000-0000-00009E100000}"/>
    <cellStyle name="20% - Accent1 2 3 4 2 4 2" xfId="11117" xr:uid="{00000000-0005-0000-0000-00009F100000}"/>
    <cellStyle name="20% - Accent1 2 3 4 2 4 2 2" xfId="30587" xr:uid="{00000000-0005-0000-0000-0000A0100000}"/>
    <cellStyle name="20% - Accent1 2 3 4 2 4 3" xfId="26265" xr:uid="{00000000-0005-0000-0000-0000A1100000}"/>
    <cellStyle name="20% - Accent1 2 3 4 2 5" xfId="9356" xr:uid="{00000000-0005-0000-0000-0000A2100000}"/>
    <cellStyle name="20% - Accent1 2 3 4 2 5 2" xfId="28826" xr:uid="{00000000-0005-0000-0000-0000A3100000}"/>
    <cellStyle name="20% - Accent1 2 3 4 2 6" xfId="24279" xr:uid="{00000000-0005-0000-0000-0000A4100000}"/>
    <cellStyle name="20% - Accent1 2 3 4 3" xfId="5108" xr:uid="{00000000-0005-0000-0000-0000A5100000}"/>
    <cellStyle name="20% - Accent1 2 3 4 3 2" xfId="6264" xr:uid="{00000000-0005-0000-0000-0000A6100000}"/>
    <cellStyle name="20% - Accent1 2 3 4 3 2 2" xfId="6786" xr:uid="{00000000-0005-0000-0000-0000A7100000}"/>
    <cellStyle name="20% - Accent1 2 3 4 3 2 2 2" xfId="11122" xr:uid="{00000000-0005-0000-0000-0000A8100000}"/>
    <cellStyle name="20% - Accent1 2 3 4 3 2 2 2 2" xfId="30592" xr:uid="{00000000-0005-0000-0000-0000A9100000}"/>
    <cellStyle name="20% - Accent1 2 3 4 3 2 2 3" xfId="26270" xr:uid="{00000000-0005-0000-0000-0000AA100000}"/>
    <cellStyle name="20% - Accent1 2 3 4 3 2 3" xfId="10681" xr:uid="{00000000-0005-0000-0000-0000AB100000}"/>
    <cellStyle name="20% - Accent1 2 3 4 3 2 3 2" xfId="30151" xr:uid="{00000000-0005-0000-0000-0000AC100000}"/>
    <cellStyle name="20% - Accent1 2 3 4 3 2 4" xfId="25749" xr:uid="{00000000-0005-0000-0000-0000AD100000}"/>
    <cellStyle name="20% - Accent1 2 3 4 3 3" xfId="6785" xr:uid="{00000000-0005-0000-0000-0000AE100000}"/>
    <cellStyle name="20% - Accent1 2 3 4 3 3 2" xfId="11121" xr:uid="{00000000-0005-0000-0000-0000AF100000}"/>
    <cellStyle name="20% - Accent1 2 3 4 3 3 2 2" xfId="30591" xr:uid="{00000000-0005-0000-0000-0000B0100000}"/>
    <cellStyle name="20% - Accent1 2 3 4 3 3 3" xfId="26269" xr:uid="{00000000-0005-0000-0000-0000B1100000}"/>
    <cellStyle name="20% - Accent1 2 3 4 3 4" xfId="9621" xr:uid="{00000000-0005-0000-0000-0000B2100000}"/>
    <cellStyle name="20% - Accent1 2 3 4 3 4 2" xfId="29091" xr:uid="{00000000-0005-0000-0000-0000B3100000}"/>
    <cellStyle name="20% - Accent1 2 3 4 3 5" xfId="24599" xr:uid="{00000000-0005-0000-0000-0000B4100000}"/>
    <cellStyle name="20% - Accent1 2 3 4 4" xfId="5717" xr:uid="{00000000-0005-0000-0000-0000B5100000}"/>
    <cellStyle name="20% - Accent1 2 3 4 4 2" xfId="6787" xr:uid="{00000000-0005-0000-0000-0000B6100000}"/>
    <cellStyle name="20% - Accent1 2 3 4 4 2 2" xfId="11123" xr:uid="{00000000-0005-0000-0000-0000B7100000}"/>
    <cellStyle name="20% - Accent1 2 3 4 4 2 2 2" xfId="30593" xr:uid="{00000000-0005-0000-0000-0000B8100000}"/>
    <cellStyle name="20% - Accent1 2 3 4 4 2 3" xfId="26271" xr:uid="{00000000-0005-0000-0000-0000B9100000}"/>
    <cellStyle name="20% - Accent1 2 3 4 4 3" xfId="10151" xr:uid="{00000000-0005-0000-0000-0000BA100000}"/>
    <cellStyle name="20% - Accent1 2 3 4 4 3 2" xfId="29621" xr:uid="{00000000-0005-0000-0000-0000BB100000}"/>
    <cellStyle name="20% - Accent1 2 3 4 4 4" xfId="25202" xr:uid="{00000000-0005-0000-0000-0000BC100000}"/>
    <cellStyle name="20% - Accent1 2 3 4 5" xfId="6780" xr:uid="{00000000-0005-0000-0000-0000BD100000}"/>
    <cellStyle name="20% - Accent1 2 3 4 5 2" xfId="11116" xr:uid="{00000000-0005-0000-0000-0000BE100000}"/>
    <cellStyle name="20% - Accent1 2 3 4 5 2 2" xfId="30586" xr:uid="{00000000-0005-0000-0000-0000BF100000}"/>
    <cellStyle name="20% - Accent1 2 3 4 5 3" xfId="26264" xr:uid="{00000000-0005-0000-0000-0000C0100000}"/>
    <cellStyle name="20% - Accent1 2 3 4 6" xfId="9090" xr:uid="{00000000-0005-0000-0000-0000C1100000}"/>
    <cellStyle name="20% - Accent1 2 3 4 6 2" xfId="28561" xr:uid="{00000000-0005-0000-0000-0000C2100000}"/>
    <cellStyle name="20% - Accent1 2 3 4 7" xfId="23977" xr:uid="{00000000-0005-0000-0000-0000C3100000}"/>
    <cellStyle name="20% - Accent1 2 3 5" xfId="4580" xr:uid="{00000000-0005-0000-0000-0000C4100000}"/>
    <cellStyle name="20% - Accent1 2 3 5 2" xfId="5221" xr:uid="{00000000-0005-0000-0000-0000C5100000}"/>
    <cellStyle name="20% - Accent1 2 3 5 2 2" xfId="6355" xr:uid="{00000000-0005-0000-0000-0000C6100000}"/>
    <cellStyle name="20% - Accent1 2 3 5 2 2 2" xfId="6790" xr:uid="{00000000-0005-0000-0000-0000C7100000}"/>
    <cellStyle name="20% - Accent1 2 3 5 2 2 2 2" xfId="11126" xr:uid="{00000000-0005-0000-0000-0000C8100000}"/>
    <cellStyle name="20% - Accent1 2 3 5 2 2 2 2 2" xfId="30596" xr:uid="{00000000-0005-0000-0000-0000C9100000}"/>
    <cellStyle name="20% - Accent1 2 3 5 2 2 2 3" xfId="26274" xr:uid="{00000000-0005-0000-0000-0000CA100000}"/>
    <cellStyle name="20% - Accent1 2 3 5 2 2 3" xfId="10771" xr:uid="{00000000-0005-0000-0000-0000CB100000}"/>
    <cellStyle name="20% - Accent1 2 3 5 2 2 3 2" xfId="30241" xr:uid="{00000000-0005-0000-0000-0000CC100000}"/>
    <cellStyle name="20% - Accent1 2 3 5 2 2 4" xfId="25840" xr:uid="{00000000-0005-0000-0000-0000CD100000}"/>
    <cellStyle name="20% - Accent1 2 3 5 2 3" xfId="6789" xr:uid="{00000000-0005-0000-0000-0000CE100000}"/>
    <cellStyle name="20% - Accent1 2 3 5 2 3 2" xfId="11125" xr:uid="{00000000-0005-0000-0000-0000CF100000}"/>
    <cellStyle name="20% - Accent1 2 3 5 2 3 2 2" xfId="30595" xr:uid="{00000000-0005-0000-0000-0000D0100000}"/>
    <cellStyle name="20% - Accent1 2 3 5 2 3 3" xfId="26273" xr:uid="{00000000-0005-0000-0000-0000D1100000}"/>
    <cellStyle name="20% - Accent1 2 3 5 2 4" xfId="9710" xr:uid="{00000000-0005-0000-0000-0000D2100000}"/>
    <cellStyle name="20% - Accent1 2 3 5 2 4 2" xfId="29180" xr:uid="{00000000-0005-0000-0000-0000D3100000}"/>
    <cellStyle name="20% - Accent1 2 3 5 2 5" xfId="24712" xr:uid="{00000000-0005-0000-0000-0000D4100000}"/>
    <cellStyle name="20% - Accent1 2 3 5 3" xfId="5817" xr:uid="{00000000-0005-0000-0000-0000D5100000}"/>
    <cellStyle name="20% - Accent1 2 3 5 3 2" xfId="6791" xr:uid="{00000000-0005-0000-0000-0000D6100000}"/>
    <cellStyle name="20% - Accent1 2 3 5 3 2 2" xfId="11127" xr:uid="{00000000-0005-0000-0000-0000D7100000}"/>
    <cellStyle name="20% - Accent1 2 3 5 3 2 2 2" xfId="30597" xr:uid="{00000000-0005-0000-0000-0000D8100000}"/>
    <cellStyle name="20% - Accent1 2 3 5 3 2 3" xfId="26275" xr:uid="{00000000-0005-0000-0000-0000D9100000}"/>
    <cellStyle name="20% - Accent1 2 3 5 3 3" xfId="10240" xr:uid="{00000000-0005-0000-0000-0000DA100000}"/>
    <cellStyle name="20% - Accent1 2 3 5 3 3 2" xfId="29710" xr:uid="{00000000-0005-0000-0000-0000DB100000}"/>
    <cellStyle name="20% - Accent1 2 3 5 3 4" xfId="25302" xr:uid="{00000000-0005-0000-0000-0000DC100000}"/>
    <cellStyle name="20% - Accent1 2 3 5 4" xfId="6788" xr:uid="{00000000-0005-0000-0000-0000DD100000}"/>
    <cellStyle name="20% - Accent1 2 3 5 4 2" xfId="11124" xr:uid="{00000000-0005-0000-0000-0000DE100000}"/>
    <cellStyle name="20% - Accent1 2 3 5 4 2 2" xfId="30594" xr:uid="{00000000-0005-0000-0000-0000DF100000}"/>
    <cellStyle name="20% - Accent1 2 3 5 4 3" xfId="26272" xr:uid="{00000000-0005-0000-0000-0000E0100000}"/>
    <cellStyle name="20% - Accent1 2 3 5 5" xfId="9180" xr:uid="{00000000-0005-0000-0000-0000E1100000}"/>
    <cellStyle name="20% - Accent1 2 3 5 5 2" xfId="28650" xr:uid="{00000000-0005-0000-0000-0000E2100000}"/>
    <cellStyle name="20% - Accent1 2 3 5 6" xfId="24091" xr:uid="{00000000-0005-0000-0000-0000E3100000}"/>
    <cellStyle name="20% - Accent1 2 3 6" xfId="4925" xr:uid="{00000000-0005-0000-0000-0000E4100000}"/>
    <cellStyle name="20% - Accent1 2 3 6 2" xfId="6087" xr:uid="{00000000-0005-0000-0000-0000E5100000}"/>
    <cellStyle name="20% - Accent1 2 3 6 2 2" xfId="6793" xr:uid="{00000000-0005-0000-0000-0000E6100000}"/>
    <cellStyle name="20% - Accent1 2 3 6 2 2 2" xfId="11129" xr:uid="{00000000-0005-0000-0000-0000E7100000}"/>
    <cellStyle name="20% - Accent1 2 3 6 2 2 2 2" xfId="30599" xr:uid="{00000000-0005-0000-0000-0000E8100000}"/>
    <cellStyle name="20% - Accent1 2 3 6 2 2 3" xfId="26277" xr:uid="{00000000-0005-0000-0000-0000E9100000}"/>
    <cellStyle name="20% - Accent1 2 3 6 2 3" xfId="10505" xr:uid="{00000000-0005-0000-0000-0000EA100000}"/>
    <cellStyle name="20% - Accent1 2 3 6 2 3 2" xfId="29975" xr:uid="{00000000-0005-0000-0000-0000EB100000}"/>
    <cellStyle name="20% - Accent1 2 3 6 2 4" xfId="25572" xr:uid="{00000000-0005-0000-0000-0000EC100000}"/>
    <cellStyle name="20% - Accent1 2 3 6 3" xfId="6792" xr:uid="{00000000-0005-0000-0000-0000ED100000}"/>
    <cellStyle name="20% - Accent1 2 3 6 3 2" xfId="11128" xr:uid="{00000000-0005-0000-0000-0000EE100000}"/>
    <cellStyle name="20% - Accent1 2 3 6 3 2 2" xfId="30598" xr:uid="{00000000-0005-0000-0000-0000EF100000}"/>
    <cellStyle name="20% - Accent1 2 3 6 3 3" xfId="26276" xr:uid="{00000000-0005-0000-0000-0000F0100000}"/>
    <cellStyle name="20% - Accent1 2 3 6 4" xfId="9445" xr:uid="{00000000-0005-0000-0000-0000F1100000}"/>
    <cellStyle name="20% - Accent1 2 3 6 4 2" xfId="28915" xr:uid="{00000000-0005-0000-0000-0000F2100000}"/>
    <cellStyle name="20% - Accent1 2 3 6 5" xfId="24419" xr:uid="{00000000-0005-0000-0000-0000F3100000}"/>
    <cellStyle name="20% - Accent1 2 3 7" xfId="5529" xr:uid="{00000000-0005-0000-0000-0000F4100000}"/>
    <cellStyle name="20% - Accent1 2 3 7 2" xfId="6794" xr:uid="{00000000-0005-0000-0000-0000F5100000}"/>
    <cellStyle name="20% - Accent1 2 3 7 2 2" xfId="11130" xr:uid="{00000000-0005-0000-0000-0000F6100000}"/>
    <cellStyle name="20% - Accent1 2 3 7 2 2 2" xfId="30600" xr:uid="{00000000-0005-0000-0000-0000F7100000}"/>
    <cellStyle name="20% - Accent1 2 3 7 2 3" xfId="26278" xr:uid="{00000000-0005-0000-0000-0000F8100000}"/>
    <cellStyle name="20% - Accent1 2 3 7 3" xfId="9975" xr:uid="{00000000-0005-0000-0000-0000F9100000}"/>
    <cellStyle name="20% - Accent1 2 3 7 3 2" xfId="29445" xr:uid="{00000000-0005-0000-0000-0000FA100000}"/>
    <cellStyle name="20% - Accent1 2 3 7 4" xfId="25017" xr:uid="{00000000-0005-0000-0000-0000FB100000}"/>
    <cellStyle name="20% - Accent1 2 3 8" xfId="6747" xr:uid="{00000000-0005-0000-0000-0000FC100000}"/>
    <cellStyle name="20% - Accent1 2 3 8 2" xfId="11083" xr:uid="{00000000-0005-0000-0000-0000FD100000}"/>
    <cellStyle name="20% - Accent1 2 3 8 2 2" xfId="30553" xr:uid="{00000000-0005-0000-0000-0000FE100000}"/>
    <cellStyle name="20% - Accent1 2 3 8 3" xfId="26231" xr:uid="{00000000-0005-0000-0000-0000FF100000}"/>
    <cellStyle name="20% - Accent1 2 3 9" xfId="8911" xr:uid="{00000000-0005-0000-0000-000000110000}"/>
    <cellStyle name="20% - Accent1 2 3 9 2" xfId="28385" xr:uid="{00000000-0005-0000-0000-000001110000}"/>
    <cellStyle name="20% - Accent1 2 4" xfId="3892" xr:uid="{00000000-0005-0000-0000-000002110000}"/>
    <cellStyle name="20% - Accent1 2 4 2" xfId="4239" xr:uid="{00000000-0005-0000-0000-000003110000}"/>
    <cellStyle name="20% - Accent1 2 4 2 2" xfId="4814" xr:uid="{00000000-0005-0000-0000-000004110000}"/>
    <cellStyle name="20% - Accent1 2 4 2 2 2" xfId="5439" xr:uid="{00000000-0005-0000-0000-000005110000}"/>
    <cellStyle name="20% - Accent1 2 4 2 2 2 2" xfId="6567" xr:uid="{00000000-0005-0000-0000-000006110000}"/>
    <cellStyle name="20% - Accent1 2 4 2 2 2 2 2" xfId="6799" xr:uid="{00000000-0005-0000-0000-000007110000}"/>
    <cellStyle name="20% - Accent1 2 4 2 2 2 2 2 2" xfId="11135" xr:uid="{00000000-0005-0000-0000-000008110000}"/>
    <cellStyle name="20% - Accent1 2 4 2 2 2 2 2 2 2" xfId="30605" xr:uid="{00000000-0005-0000-0000-000009110000}"/>
    <cellStyle name="20% - Accent1 2 4 2 2 2 2 2 3" xfId="26283" xr:uid="{00000000-0005-0000-0000-00000A110000}"/>
    <cellStyle name="20% - Accent1 2 4 2 2 2 2 3" xfId="10983" xr:uid="{00000000-0005-0000-0000-00000B110000}"/>
    <cellStyle name="20% - Accent1 2 4 2 2 2 2 3 2" xfId="30453" xr:uid="{00000000-0005-0000-0000-00000C110000}"/>
    <cellStyle name="20% - Accent1 2 4 2 2 2 2 4" xfId="26052" xr:uid="{00000000-0005-0000-0000-00000D110000}"/>
    <cellStyle name="20% - Accent1 2 4 2 2 2 3" xfId="6798" xr:uid="{00000000-0005-0000-0000-00000E110000}"/>
    <cellStyle name="20% - Accent1 2 4 2 2 2 3 2" xfId="11134" xr:uid="{00000000-0005-0000-0000-00000F110000}"/>
    <cellStyle name="20% - Accent1 2 4 2 2 2 3 2 2" xfId="30604" xr:uid="{00000000-0005-0000-0000-000010110000}"/>
    <cellStyle name="20% - Accent1 2 4 2 2 2 3 3" xfId="26282" xr:uid="{00000000-0005-0000-0000-000011110000}"/>
    <cellStyle name="20% - Accent1 2 4 2 2 2 4" xfId="9922" xr:uid="{00000000-0005-0000-0000-000012110000}"/>
    <cellStyle name="20% - Accent1 2 4 2 2 2 4 2" xfId="29392" xr:uid="{00000000-0005-0000-0000-000013110000}"/>
    <cellStyle name="20% - Accent1 2 4 2 2 2 5" xfId="24930" xr:uid="{00000000-0005-0000-0000-000014110000}"/>
    <cellStyle name="20% - Accent1 2 4 2 2 3" xfId="6032" xr:uid="{00000000-0005-0000-0000-000015110000}"/>
    <cellStyle name="20% - Accent1 2 4 2 2 3 2" xfId="6800" xr:uid="{00000000-0005-0000-0000-000016110000}"/>
    <cellStyle name="20% - Accent1 2 4 2 2 3 2 2" xfId="11136" xr:uid="{00000000-0005-0000-0000-000017110000}"/>
    <cellStyle name="20% - Accent1 2 4 2 2 3 2 2 2" xfId="30606" xr:uid="{00000000-0005-0000-0000-000018110000}"/>
    <cellStyle name="20% - Accent1 2 4 2 2 3 2 3" xfId="26284" xr:uid="{00000000-0005-0000-0000-000019110000}"/>
    <cellStyle name="20% - Accent1 2 4 2 2 3 3" xfId="10452" xr:uid="{00000000-0005-0000-0000-00001A110000}"/>
    <cellStyle name="20% - Accent1 2 4 2 2 3 3 2" xfId="29922" xr:uid="{00000000-0005-0000-0000-00001B110000}"/>
    <cellStyle name="20% - Accent1 2 4 2 2 3 4" xfId="25517" xr:uid="{00000000-0005-0000-0000-00001C110000}"/>
    <cellStyle name="20% - Accent1 2 4 2 2 4" xfId="6797" xr:uid="{00000000-0005-0000-0000-00001D110000}"/>
    <cellStyle name="20% - Accent1 2 4 2 2 4 2" xfId="11133" xr:uid="{00000000-0005-0000-0000-00001E110000}"/>
    <cellStyle name="20% - Accent1 2 4 2 2 4 2 2" xfId="30603" xr:uid="{00000000-0005-0000-0000-00001F110000}"/>
    <cellStyle name="20% - Accent1 2 4 2 2 4 3" xfId="26281" xr:uid="{00000000-0005-0000-0000-000020110000}"/>
    <cellStyle name="20% - Accent1 2 4 2 2 5" xfId="9392" xr:uid="{00000000-0005-0000-0000-000021110000}"/>
    <cellStyle name="20% - Accent1 2 4 2 2 5 2" xfId="28862" xr:uid="{00000000-0005-0000-0000-000022110000}"/>
    <cellStyle name="20% - Accent1 2 4 2 2 6" xfId="24316" xr:uid="{00000000-0005-0000-0000-000023110000}"/>
    <cellStyle name="20% - Accent1 2 4 2 3" xfId="5144" xr:uid="{00000000-0005-0000-0000-000024110000}"/>
    <cellStyle name="20% - Accent1 2 4 2 3 2" xfId="6300" xr:uid="{00000000-0005-0000-0000-000025110000}"/>
    <cellStyle name="20% - Accent1 2 4 2 3 2 2" xfId="6802" xr:uid="{00000000-0005-0000-0000-000026110000}"/>
    <cellStyle name="20% - Accent1 2 4 2 3 2 2 2" xfId="11138" xr:uid="{00000000-0005-0000-0000-000027110000}"/>
    <cellStyle name="20% - Accent1 2 4 2 3 2 2 2 2" xfId="30608" xr:uid="{00000000-0005-0000-0000-000028110000}"/>
    <cellStyle name="20% - Accent1 2 4 2 3 2 2 3" xfId="26286" xr:uid="{00000000-0005-0000-0000-000029110000}"/>
    <cellStyle name="20% - Accent1 2 4 2 3 2 3" xfId="10717" xr:uid="{00000000-0005-0000-0000-00002A110000}"/>
    <cellStyle name="20% - Accent1 2 4 2 3 2 3 2" xfId="30187" xr:uid="{00000000-0005-0000-0000-00002B110000}"/>
    <cellStyle name="20% - Accent1 2 4 2 3 2 4" xfId="25785" xr:uid="{00000000-0005-0000-0000-00002C110000}"/>
    <cellStyle name="20% - Accent1 2 4 2 3 3" xfId="6801" xr:uid="{00000000-0005-0000-0000-00002D110000}"/>
    <cellStyle name="20% - Accent1 2 4 2 3 3 2" xfId="11137" xr:uid="{00000000-0005-0000-0000-00002E110000}"/>
    <cellStyle name="20% - Accent1 2 4 2 3 3 2 2" xfId="30607" xr:uid="{00000000-0005-0000-0000-00002F110000}"/>
    <cellStyle name="20% - Accent1 2 4 2 3 3 3" xfId="26285" xr:uid="{00000000-0005-0000-0000-000030110000}"/>
    <cellStyle name="20% - Accent1 2 4 2 3 4" xfId="9657" xr:uid="{00000000-0005-0000-0000-000031110000}"/>
    <cellStyle name="20% - Accent1 2 4 2 3 4 2" xfId="29127" xr:uid="{00000000-0005-0000-0000-000032110000}"/>
    <cellStyle name="20% - Accent1 2 4 2 3 5" xfId="24635" xr:uid="{00000000-0005-0000-0000-000033110000}"/>
    <cellStyle name="20% - Accent1 2 4 2 4" xfId="5753" xr:uid="{00000000-0005-0000-0000-000034110000}"/>
    <cellStyle name="20% - Accent1 2 4 2 4 2" xfId="6803" xr:uid="{00000000-0005-0000-0000-000035110000}"/>
    <cellStyle name="20% - Accent1 2 4 2 4 2 2" xfId="11139" xr:uid="{00000000-0005-0000-0000-000036110000}"/>
    <cellStyle name="20% - Accent1 2 4 2 4 2 2 2" xfId="30609" xr:uid="{00000000-0005-0000-0000-000037110000}"/>
    <cellStyle name="20% - Accent1 2 4 2 4 2 3" xfId="26287" xr:uid="{00000000-0005-0000-0000-000038110000}"/>
    <cellStyle name="20% - Accent1 2 4 2 4 3" xfId="10187" xr:uid="{00000000-0005-0000-0000-000039110000}"/>
    <cellStyle name="20% - Accent1 2 4 2 4 3 2" xfId="29657" xr:uid="{00000000-0005-0000-0000-00003A110000}"/>
    <cellStyle name="20% - Accent1 2 4 2 4 4" xfId="25238" xr:uid="{00000000-0005-0000-0000-00003B110000}"/>
    <cellStyle name="20% - Accent1 2 4 2 5" xfId="6796" xr:uid="{00000000-0005-0000-0000-00003C110000}"/>
    <cellStyle name="20% - Accent1 2 4 2 5 2" xfId="11132" xr:uid="{00000000-0005-0000-0000-00003D110000}"/>
    <cellStyle name="20% - Accent1 2 4 2 5 2 2" xfId="30602" xr:uid="{00000000-0005-0000-0000-00003E110000}"/>
    <cellStyle name="20% - Accent1 2 4 2 5 3" xfId="26280" xr:uid="{00000000-0005-0000-0000-00003F110000}"/>
    <cellStyle name="20% - Accent1 2 4 2 6" xfId="9126" xr:uid="{00000000-0005-0000-0000-000040110000}"/>
    <cellStyle name="20% - Accent1 2 4 2 6 2" xfId="28597" xr:uid="{00000000-0005-0000-0000-000041110000}"/>
    <cellStyle name="20% - Accent1 2 4 2 7" xfId="24015" xr:uid="{00000000-0005-0000-0000-000042110000}"/>
    <cellStyle name="20% - Accent1 2 4 3" xfId="4724" xr:uid="{00000000-0005-0000-0000-000043110000}"/>
    <cellStyle name="20% - Accent1 2 4 3 2" xfId="5358" xr:uid="{00000000-0005-0000-0000-000044110000}"/>
    <cellStyle name="20% - Accent1 2 4 3 2 2" xfId="6486" xr:uid="{00000000-0005-0000-0000-000045110000}"/>
    <cellStyle name="20% - Accent1 2 4 3 2 2 2" xfId="6806" xr:uid="{00000000-0005-0000-0000-000046110000}"/>
    <cellStyle name="20% - Accent1 2 4 3 2 2 2 2" xfId="11142" xr:uid="{00000000-0005-0000-0000-000047110000}"/>
    <cellStyle name="20% - Accent1 2 4 3 2 2 2 2 2" xfId="30612" xr:uid="{00000000-0005-0000-0000-000048110000}"/>
    <cellStyle name="20% - Accent1 2 4 3 2 2 2 3" xfId="26290" xr:uid="{00000000-0005-0000-0000-000049110000}"/>
    <cellStyle name="20% - Accent1 2 4 3 2 2 3" xfId="10902" xr:uid="{00000000-0005-0000-0000-00004A110000}"/>
    <cellStyle name="20% - Accent1 2 4 3 2 2 3 2" xfId="30372" xr:uid="{00000000-0005-0000-0000-00004B110000}"/>
    <cellStyle name="20% - Accent1 2 4 3 2 2 4" xfId="25971" xr:uid="{00000000-0005-0000-0000-00004C110000}"/>
    <cellStyle name="20% - Accent1 2 4 3 2 3" xfId="6805" xr:uid="{00000000-0005-0000-0000-00004D110000}"/>
    <cellStyle name="20% - Accent1 2 4 3 2 3 2" xfId="11141" xr:uid="{00000000-0005-0000-0000-00004E110000}"/>
    <cellStyle name="20% - Accent1 2 4 3 2 3 2 2" xfId="30611" xr:uid="{00000000-0005-0000-0000-00004F110000}"/>
    <cellStyle name="20% - Accent1 2 4 3 2 3 3" xfId="26289" xr:uid="{00000000-0005-0000-0000-000050110000}"/>
    <cellStyle name="20% - Accent1 2 4 3 2 4" xfId="9841" xr:uid="{00000000-0005-0000-0000-000051110000}"/>
    <cellStyle name="20% - Accent1 2 4 3 2 4 2" xfId="29311" xr:uid="{00000000-0005-0000-0000-000052110000}"/>
    <cellStyle name="20% - Accent1 2 4 3 2 5" xfId="24849" xr:uid="{00000000-0005-0000-0000-000053110000}"/>
    <cellStyle name="20% - Accent1 2 4 3 3" xfId="5949" xr:uid="{00000000-0005-0000-0000-000054110000}"/>
    <cellStyle name="20% - Accent1 2 4 3 3 2" xfId="6807" xr:uid="{00000000-0005-0000-0000-000055110000}"/>
    <cellStyle name="20% - Accent1 2 4 3 3 2 2" xfId="11143" xr:uid="{00000000-0005-0000-0000-000056110000}"/>
    <cellStyle name="20% - Accent1 2 4 3 3 2 2 2" xfId="30613" xr:uid="{00000000-0005-0000-0000-000057110000}"/>
    <cellStyle name="20% - Accent1 2 4 3 3 2 3" xfId="26291" xr:uid="{00000000-0005-0000-0000-000058110000}"/>
    <cellStyle name="20% - Accent1 2 4 3 3 3" xfId="10371" xr:uid="{00000000-0005-0000-0000-000059110000}"/>
    <cellStyle name="20% - Accent1 2 4 3 3 3 2" xfId="29841" xr:uid="{00000000-0005-0000-0000-00005A110000}"/>
    <cellStyle name="20% - Accent1 2 4 3 3 4" xfId="25434" xr:uid="{00000000-0005-0000-0000-00005B110000}"/>
    <cellStyle name="20% - Accent1 2 4 3 4" xfId="6804" xr:uid="{00000000-0005-0000-0000-00005C110000}"/>
    <cellStyle name="20% - Accent1 2 4 3 4 2" xfId="11140" xr:uid="{00000000-0005-0000-0000-00005D110000}"/>
    <cellStyle name="20% - Accent1 2 4 3 4 2 2" xfId="30610" xr:uid="{00000000-0005-0000-0000-00005E110000}"/>
    <cellStyle name="20% - Accent1 2 4 3 4 3" xfId="26288" xr:uid="{00000000-0005-0000-0000-00005F110000}"/>
    <cellStyle name="20% - Accent1 2 4 3 5" xfId="9311" xr:uid="{00000000-0005-0000-0000-000060110000}"/>
    <cellStyle name="20% - Accent1 2 4 3 5 2" xfId="28781" xr:uid="{00000000-0005-0000-0000-000061110000}"/>
    <cellStyle name="20% - Accent1 2 4 3 6" xfId="24231" xr:uid="{00000000-0005-0000-0000-000062110000}"/>
    <cellStyle name="20% - Accent1 2 4 4" xfId="5057" xr:uid="{00000000-0005-0000-0000-000063110000}"/>
    <cellStyle name="20% - Accent1 2 4 4 2" xfId="6218" xr:uid="{00000000-0005-0000-0000-000064110000}"/>
    <cellStyle name="20% - Accent1 2 4 4 2 2" xfId="6809" xr:uid="{00000000-0005-0000-0000-000065110000}"/>
    <cellStyle name="20% - Accent1 2 4 4 2 2 2" xfId="11145" xr:uid="{00000000-0005-0000-0000-000066110000}"/>
    <cellStyle name="20% - Accent1 2 4 4 2 2 2 2" xfId="30615" xr:uid="{00000000-0005-0000-0000-000067110000}"/>
    <cellStyle name="20% - Accent1 2 4 4 2 2 3" xfId="26293" xr:uid="{00000000-0005-0000-0000-000068110000}"/>
    <cellStyle name="20% - Accent1 2 4 4 2 3" xfId="10636" xr:uid="{00000000-0005-0000-0000-000069110000}"/>
    <cellStyle name="20% - Accent1 2 4 4 2 3 2" xfId="30106" xr:uid="{00000000-0005-0000-0000-00006A110000}"/>
    <cellStyle name="20% - Accent1 2 4 4 2 4" xfId="25703" xr:uid="{00000000-0005-0000-0000-00006B110000}"/>
    <cellStyle name="20% - Accent1 2 4 4 3" xfId="6808" xr:uid="{00000000-0005-0000-0000-00006C110000}"/>
    <cellStyle name="20% - Accent1 2 4 4 3 2" xfId="11144" xr:uid="{00000000-0005-0000-0000-00006D110000}"/>
    <cellStyle name="20% - Accent1 2 4 4 3 2 2" xfId="30614" xr:uid="{00000000-0005-0000-0000-00006E110000}"/>
    <cellStyle name="20% - Accent1 2 4 4 3 3" xfId="26292" xr:uid="{00000000-0005-0000-0000-00006F110000}"/>
    <cellStyle name="20% - Accent1 2 4 4 4" xfId="9576" xr:uid="{00000000-0005-0000-0000-000070110000}"/>
    <cellStyle name="20% - Accent1 2 4 4 4 2" xfId="29046" xr:uid="{00000000-0005-0000-0000-000071110000}"/>
    <cellStyle name="20% - Accent1 2 4 4 5" xfId="24550" xr:uid="{00000000-0005-0000-0000-000072110000}"/>
    <cellStyle name="20% - Accent1 2 4 5" xfId="5669" xr:uid="{00000000-0005-0000-0000-000073110000}"/>
    <cellStyle name="20% - Accent1 2 4 5 2" xfId="6810" xr:uid="{00000000-0005-0000-0000-000074110000}"/>
    <cellStyle name="20% - Accent1 2 4 5 2 2" xfId="11146" xr:uid="{00000000-0005-0000-0000-000075110000}"/>
    <cellStyle name="20% - Accent1 2 4 5 2 2 2" xfId="30616" xr:uid="{00000000-0005-0000-0000-000076110000}"/>
    <cellStyle name="20% - Accent1 2 4 5 2 3" xfId="26294" xr:uid="{00000000-0005-0000-0000-000077110000}"/>
    <cellStyle name="20% - Accent1 2 4 5 3" xfId="10106" xr:uid="{00000000-0005-0000-0000-000078110000}"/>
    <cellStyle name="20% - Accent1 2 4 5 3 2" xfId="29576" xr:uid="{00000000-0005-0000-0000-000079110000}"/>
    <cellStyle name="20% - Accent1 2 4 5 4" xfId="25156" xr:uid="{00000000-0005-0000-0000-00007A110000}"/>
    <cellStyle name="20% - Accent1 2 4 6" xfId="6795" xr:uid="{00000000-0005-0000-0000-00007B110000}"/>
    <cellStyle name="20% - Accent1 2 4 6 2" xfId="11131" xr:uid="{00000000-0005-0000-0000-00007C110000}"/>
    <cellStyle name="20% - Accent1 2 4 6 2 2" xfId="30601" xr:uid="{00000000-0005-0000-0000-00007D110000}"/>
    <cellStyle name="20% - Accent1 2 4 6 3" xfId="26279" xr:uid="{00000000-0005-0000-0000-00007E110000}"/>
    <cellStyle name="20% - Accent1 2 4 7" xfId="9043" xr:uid="{00000000-0005-0000-0000-00007F110000}"/>
    <cellStyle name="20% - Accent1 2 4 7 2" xfId="28516" xr:uid="{00000000-0005-0000-0000-000080110000}"/>
    <cellStyle name="20% - Accent1 2 4 8" xfId="23922" xr:uid="{00000000-0005-0000-0000-000081110000}"/>
    <cellStyle name="20% - Accent1 2 5" xfId="4127" xr:uid="{00000000-0005-0000-0000-000082110000}"/>
    <cellStyle name="20% - Accent1 2 5 2" xfId="4756" xr:uid="{00000000-0005-0000-0000-000083110000}"/>
    <cellStyle name="20% - Accent1 2 5 2 2" xfId="5385" xr:uid="{00000000-0005-0000-0000-000084110000}"/>
    <cellStyle name="20% - Accent1 2 5 2 2 2" xfId="6513" xr:uid="{00000000-0005-0000-0000-000085110000}"/>
    <cellStyle name="20% - Accent1 2 5 2 2 2 2" xfId="6814" xr:uid="{00000000-0005-0000-0000-000086110000}"/>
    <cellStyle name="20% - Accent1 2 5 2 2 2 2 2" xfId="11150" xr:uid="{00000000-0005-0000-0000-000087110000}"/>
    <cellStyle name="20% - Accent1 2 5 2 2 2 2 2 2" xfId="30620" xr:uid="{00000000-0005-0000-0000-000088110000}"/>
    <cellStyle name="20% - Accent1 2 5 2 2 2 2 3" xfId="26298" xr:uid="{00000000-0005-0000-0000-000089110000}"/>
    <cellStyle name="20% - Accent1 2 5 2 2 2 3" xfId="10929" xr:uid="{00000000-0005-0000-0000-00008A110000}"/>
    <cellStyle name="20% - Accent1 2 5 2 2 2 3 2" xfId="30399" xr:uid="{00000000-0005-0000-0000-00008B110000}"/>
    <cellStyle name="20% - Accent1 2 5 2 2 2 4" xfId="25998" xr:uid="{00000000-0005-0000-0000-00008C110000}"/>
    <cellStyle name="20% - Accent1 2 5 2 2 3" xfId="6813" xr:uid="{00000000-0005-0000-0000-00008D110000}"/>
    <cellStyle name="20% - Accent1 2 5 2 2 3 2" xfId="11149" xr:uid="{00000000-0005-0000-0000-00008E110000}"/>
    <cellStyle name="20% - Accent1 2 5 2 2 3 2 2" xfId="30619" xr:uid="{00000000-0005-0000-0000-00008F110000}"/>
    <cellStyle name="20% - Accent1 2 5 2 2 3 3" xfId="26297" xr:uid="{00000000-0005-0000-0000-000090110000}"/>
    <cellStyle name="20% - Accent1 2 5 2 2 4" xfId="9868" xr:uid="{00000000-0005-0000-0000-000091110000}"/>
    <cellStyle name="20% - Accent1 2 5 2 2 4 2" xfId="29338" xr:uid="{00000000-0005-0000-0000-000092110000}"/>
    <cellStyle name="20% - Accent1 2 5 2 2 5" xfId="24876" xr:uid="{00000000-0005-0000-0000-000093110000}"/>
    <cellStyle name="20% - Accent1 2 5 2 3" xfId="5976" xr:uid="{00000000-0005-0000-0000-000094110000}"/>
    <cellStyle name="20% - Accent1 2 5 2 3 2" xfId="6815" xr:uid="{00000000-0005-0000-0000-000095110000}"/>
    <cellStyle name="20% - Accent1 2 5 2 3 2 2" xfId="11151" xr:uid="{00000000-0005-0000-0000-000096110000}"/>
    <cellStyle name="20% - Accent1 2 5 2 3 2 2 2" xfId="30621" xr:uid="{00000000-0005-0000-0000-000097110000}"/>
    <cellStyle name="20% - Accent1 2 5 2 3 2 3" xfId="26299" xr:uid="{00000000-0005-0000-0000-000098110000}"/>
    <cellStyle name="20% - Accent1 2 5 2 3 3" xfId="10398" xr:uid="{00000000-0005-0000-0000-000099110000}"/>
    <cellStyle name="20% - Accent1 2 5 2 3 3 2" xfId="29868" xr:uid="{00000000-0005-0000-0000-00009A110000}"/>
    <cellStyle name="20% - Accent1 2 5 2 3 4" xfId="25461" xr:uid="{00000000-0005-0000-0000-00009B110000}"/>
    <cellStyle name="20% - Accent1 2 5 2 4" xfId="6812" xr:uid="{00000000-0005-0000-0000-00009C110000}"/>
    <cellStyle name="20% - Accent1 2 5 2 4 2" xfId="11148" xr:uid="{00000000-0005-0000-0000-00009D110000}"/>
    <cellStyle name="20% - Accent1 2 5 2 4 2 2" xfId="30618" xr:uid="{00000000-0005-0000-0000-00009E110000}"/>
    <cellStyle name="20% - Accent1 2 5 2 4 3" xfId="26296" xr:uid="{00000000-0005-0000-0000-00009F110000}"/>
    <cellStyle name="20% - Accent1 2 5 2 5" xfId="9338" xr:uid="{00000000-0005-0000-0000-0000A0110000}"/>
    <cellStyle name="20% - Accent1 2 5 2 5 2" xfId="28808" xr:uid="{00000000-0005-0000-0000-0000A1110000}"/>
    <cellStyle name="20% - Accent1 2 5 2 6" xfId="24261" xr:uid="{00000000-0005-0000-0000-0000A2110000}"/>
    <cellStyle name="20% - Accent1 2 5 3" xfId="5090" xr:uid="{00000000-0005-0000-0000-0000A3110000}"/>
    <cellStyle name="20% - Accent1 2 5 3 2" xfId="6246" xr:uid="{00000000-0005-0000-0000-0000A4110000}"/>
    <cellStyle name="20% - Accent1 2 5 3 2 2" xfId="6817" xr:uid="{00000000-0005-0000-0000-0000A5110000}"/>
    <cellStyle name="20% - Accent1 2 5 3 2 2 2" xfId="11153" xr:uid="{00000000-0005-0000-0000-0000A6110000}"/>
    <cellStyle name="20% - Accent1 2 5 3 2 2 2 2" xfId="30623" xr:uid="{00000000-0005-0000-0000-0000A7110000}"/>
    <cellStyle name="20% - Accent1 2 5 3 2 2 3" xfId="26301" xr:uid="{00000000-0005-0000-0000-0000A8110000}"/>
    <cellStyle name="20% - Accent1 2 5 3 2 3" xfId="10663" xr:uid="{00000000-0005-0000-0000-0000A9110000}"/>
    <cellStyle name="20% - Accent1 2 5 3 2 3 2" xfId="30133" xr:uid="{00000000-0005-0000-0000-0000AA110000}"/>
    <cellStyle name="20% - Accent1 2 5 3 2 4" xfId="25731" xr:uid="{00000000-0005-0000-0000-0000AB110000}"/>
    <cellStyle name="20% - Accent1 2 5 3 3" xfId="6816" xr:uid="{00000000-0005-0000-0000-0000AC110000}"/>
    <cellStyle name="20% - Accent1 2 5 3 3 2" xfId="11152" xr:uid="{00000000-0005-0000-0000-0000AD110000}"/>
    <cellStyle name="20% - Accent1 2 5 3 3 2 2" xfId="30622" xr:uid="{00000000-0005-0000-0000-0000AE110000}"/>
    <cellStyle name="20% - Accent1 2 5 3 3 3" xfId="26300" xr:uid="{00000000-0005-0000-0000-0000AF110000}"/>
    <cellStyle name="20% - Accent1 2 5 3 4" xfId="9603" xr:uid="{00000000-0005-0000-0000-0000B0110000}"/>
    <cellStyle name="20% - Accent1 2 5 3 4 2" xfId="29073" xr:uid="{00000000-0005-0000-0000-0000B1110000}"/>
    <cellStyle name="20% - Accent1 2 5 3 5" xfId="24581" xr:uid="{00000000-0005-0000-0000-0000B2110000}"/>
    <cellStyle name="20% - Accent1 2 5 4" xfId="5698" xr:uid="{00000000-0005-0000-0000-0000B3110000}"/>
    <cellStyle name="20% - Accent1 2 5 4 2" xfId="6818" xr:uid="{00000000-0005-0000-0000-0000B4110000}"/>
    <cellStyle name="20% - Accent1 2 5 4 2 2" xfId="11154" xr:uid="{00000000-0005-0000-0000-0000B5110000}"/>
    <cellStyle name="20% - Accent1 2 5 4 2 2 2" xfId="30624" xr:uid="{00000000-0005-0000-0000-0000B6110000}"/>
    <cellStyle name="20% - Accent1 2 5 4 2 3" xfId="26302" xr:uid="{00000000-0005-0000-0000-0000B7110000}"/>
    <cellStyle name="20% - Accent1 2 5 4 3" xfId="10133" xr:uid="{00000000-0005-0000-0000-0000B8110000}"/>
    <cellStyle name="20% - Accent1 2 5 4 3 2" xfId="29603" xr:uid="{00000000-0005-0000-0000-0000B9110000}"/>
    <cellStyle name="20% - Accent1 2 5 4 4" xfId="25183" xr:uid="{00000000-0005-0000-0000-0000BA110000}"/>
    <cellStyle name="20% - Accent1 2 5 5" xfId="6811" xr:uid="{00000000-0005-0000-0000-0000BB110000}"/>
    <cellStyle name="20% - Accent1 2 5 5 2" xfId="11147" xr:uid="{00000000-0005-0000-0000-0000BC110000}"/>
    <cellStyle name="20% - Accent1 2 5 5 2 2" xfId="30617" xr:uid="{00000000-0005-0000-0000-0000BD110000}"/>
    <cellStyle name="20% - Accent1 2 5 5 3" xfId="26295" xr:uid="{00000000-0005-0000-0000-0000BE110000}"/>
    <cellStyle name="20% - Accent1 2 5 6" xfId="9072" xr:uid="{00000000-0005-0000-0000-0000BF110000}"/>
    <cellStyle name="20% - Accent1 2 5 6 2" xfId="28543" xr:uid="{00000000-0005-0000-0000-0000C0110000}"/>
    <cellStyle name="20% - Accent1 2 5 7" xfId="23958" xr:uid="{00000000-0005-0000-0000-0000C1110000}"/>
    <cellStyle name="20% - Accent1 3" xfId="2048" xr:uid="{00000000-0005-0000-0000-0000C2110000}"/>
    <cellStyle name="20% - Accent1 3 2" xfId="4151" xr:uid="{00000000-0005-0000-0000-0000C3110000}"/>
    <cellStyle name="20% - Accent1 4" xfId="2093" xr:uid="{00000000-0005-0000-0000-0000C4110000}"/>
    <cellStyle name="20% - Accent1 4 2" xfId="4200" xr:uid="{00000000-0005-0000-0000-0000C5110000}"/>
    <cellStyle name="20% - Accent1 5" xfId="2693" xr:uid="{00000000-0005-0000-0000-0000C6110000}"/>
    <cellStyle name="20% - Accent2" xfId="1296" builtinId="34" customBuiltin="1"/>
    <cellStyle name="20% - Accent2 2" xfId="1297" xr:uid="{00000000-0005-0000-0000-0000C8110000}"/>
    <cellStyle name="20% - Accent2 2 2" xfId="2694" xr:uid="{00000000-0005-0000-0000-0000C9110000}"/>
    <cellStyle name="20% - Accent2 2 2 10" xfId="23557" xr:uid="{00000000-0005-0000-0000-0000CA110000}"/>
    <cellStyle name="20% - Accent2 2 2 2" xfId="2865" xr:uid="{00000000-0005-0000-0000-0000CB110000}"/>
    <cellStyle name="20% - Accent2 2 2 2 2" xfId="3059" xr:uid="{00000000-0005-0000-0000-0000CC110000}"/>
    <cellStyle name="20% - Accent2 2 2 2 2 2" xfId="4686" xr:uid="{00000000-0005-0000-0000-0000CD110000}"/>
    <cellStyle name="20% - Accent2 2 2 2 2 2 2" xfId="5320" xr:uid="{00000000-0005-0000-0000-0000CE110000}"/>
    <cellStyle name="20% - Accent2 2 2 2 2 2 2 2" xfId="6454" xr:uid="{00000000-0005-0000-0000-0000CF110000}"/>
    <cellStyle name="20% - Accent2 2 2 2 2 2 2 2 2" xfId="6824" xr:uid="{00000000-0005-0000-0000-0000D0110000}"/>
    <cellStyle name="20% - Accent2 2 2 2 2 2 2 2 2 2" xfId="11160" xr:uid="{00000000-0005-0000-0000-0000D1110000}"/>
    <cellStyle name="20% - Accent2 2 2 2 2 2 2 2 2 2 2" xfId="30630" xr:uid="{00000000-0005-0000-0000-0000D2110000}"/>
    <cellStyle name="20% - Accent2 2 2 2 2 2 2 2 2 3" xfId="26308" xr:uid="{00000000-0005-0000-0000-0000D3110000}"/>
    <cellStyle name="20% - Accent2 2 2 2 2 2 2 2 3" xfId="10870" xr:uid="{00000000-0005-0000-0000-0000D4110000}"/>
    <cellStyle name="20% - Accent2 2 2 2 2 2 2 2 3 2" xfId="30340" xr:uid="{00000000-0005-0000-0000-0000D5110000}"/>
    <cellStyle name="20% - Accent2 2 2 2 2 2 2 2 4" xfId="25939" xr:uid="{00000000-0005-0000-0000-0000D6110000}"/>
    <cellStyle name="20% - Accent2 2 2 2 2 2 2 3" xfId="6823" xr:uid="{00000000-0005-0000-0000-0000D7110000}"/>
    <cellStyle name="20% - Accent2 2 2 2 2 2 2 3 2" xfId="11159" xr:uid="{00000000-0005-0000-0000-0000D8110000}"/>
    <cellStyle name="20% - Accent2 2 2 2 2 2 2 3 2 2" xfId="30629" xr:uid="{00000000-0005-0000-0000-0000D9110000}"/>
    <cellStyle name="20% - Accent2 2 2 2 2 2 2 3 3" xfId="26307" xr:uid="{00000000-0005-0000-0000-0000DA110000}"/>
    <cellStyle name="20% - Accent2 2 2 2 2 2 2 4" xfId="9809" xr:uid="{00000000-0005-0000-0000-0000DB110000}"/>
    <cellStyle name="20% - Accent2 2 2 2 2 2 2 4 2" xfId="29279" xr:uid="{00000000-0005-0000-0000-0000DC110000}"/>
    <cellStyle name="20% - Accent2 2 2 2 2 2 2 5" xfId="24811" xr:uid="{00000000-0005-0000-0000-0000DD110000}"/>
    <cellStyle name="20% - Accent2 2 2 2 2 2 3" xfId="5917" xr:uid="{00000000-0005-0000-0000-0000DE110000}"/>
    <cellStyle name="20% - Accent2 2 2 2 2 2 3 2" xfId="6825" xr:uid="{00000000-0005-0000-0000-0000DF110000}"/>
    <cellStyle name="20% - Accent2 2 2 2 2 2 3 2 2" xfId="11161" xr:uid="{00000000-0005-0000-0000-0000E0110000}"/>
    <cellStyle name="20% - Accent2 2 2 2 2 2 3 2 2 2" xfId="30631" xr:uid="{00000000-0005-0000-0000-0000E1110000}"/>
    <cellStyle name="20% - Accent2 2 2 2 2 2 3 2 3" xfId="26309" xr:uid="{00000000-0005-0000-0000-0000E2110000}"/>
    <cellStyle name="20% - Accent2 2 2 2 2 2 3 3" xfId="10339" xr:uid="{00000000-0005-0000-0000-0000E3110000}"/>
    <cellStyle name="20% - Accent2 2 2 2 2 2 3 3 2" xfId="29809" xr:uid="{00000000-0005-0000-0000-0000E4110000}"/>
    <cellStyle name="20% - Accent2 2 2 2 2 2 3 4" xfId="25402" xr:uid="{00000000-0005-0000-0000-0000E5110000}"/>
    <cellStyle name="20% - Accent2 2 2 2 2 2 4" xfId="6822" xr:uid="{00000000-0005-0000-0000-0000E6110000}"/>
    <cellStyle name="20% - Accent2 2 2 2 2 2 4 2" xfId="11158" xr:uid="{00000000-0005-0000-0000-0000E7110000}"/>
    <cellStyle name="20% - Accent2 2 2 2 2 2 4 2 2" xfId="30628" xr:uid="{00000000-0005-0000-0000-0000E8110000}"/>
    <cellStyle name="20% - Accent2 2 2 2 2 2 4 3" xfId="26306" xr:uid="{00000000-0005-0000-0000-0000E9110000}"/>
    <cellStyle name="20% - Accent2 2 2 2 2 2 5" xfId="9279" xr:uid="{00000000-0005-0000-0000-0000EA110000}"/>
    <cellStyle name="20% - Accent2 2 2 2 2 2 5 2" xfId="28749" xr:uid="{00000000-0005-0000-0000-0000EB110000}"/>
    <cellStyle name="20% - Accent2 2 2 2 2 2 6" xfId="24197" xr:uid="{00000000-0005-0000-0000-0000EC110000}"/>
    <cellStyle name="20% - Accent2 2 2 2 2 3" xfId="5024" xr:uid="{00000000-0005-0000-0000-0000ED110000}"/>
    <cellStyle name="20% - Accent2 2 2 2 2 3 2" xfId="6186" xr:uid="{00000000-0005-0000-0000-0000EE110000}"/>
    <cellStyle name="20% - Accent2 2 2 2 2 3 2 2" xfId="6827" xr:uid="{00000000-0005-0000-0000-0000EF110000}"/>
    <cellStyle name="20% - Accent2 2 2 2 2 3 2 2 2" xfId="11163" xr:uid="{00000000-0005-0000-0000-0000F0110000}"/>
    <cellStyle name="20% - Accent2 2 2 2 2 3 2 2 2 2" xfId="30633" xr:uid="{00000000-0005-0000-0000-0000F1110000}"/>
    <cellStyle name="20% - Accent2 2 2 2 2 3 2 2 3" xfId="26311" xr:uid="{00000000-0005-0000-0000-0000F2110000}"/>
    <cellStyle name="20% - Accent2 2 2 2 2 3 2 3" xfId="10604" xr:uid="{00000000-0005-0000-0000-0000F3110000}"/>
    <cellStyle name="20% - Accent2 2 2 2 2 3 2 3 2" xfId="30074" xr:uid="{00000000-0005-0000-0000-0000F4110000}"/>
    <cellStyle name="20% - Accent2 2 2 2 2 3 2 4" xfId="25671" xr:uid="{00000000-0005-0000-0000-0000F5110000}"/>
    <cellStyle name="20% - Accent2 2 2 2 2 3 3" xfId="6826" xr:uid="{00000000-0005-0000-0000-0000F6110000}"/>
    <cellStyle name="20% - Accent2 2 2 2 2 3 3 2" xfId="11162" xr:uid="{00000000-0005-0000-0000-0000F7110000}"/>
    <cellStyle name="20% - Accent2 2 2 2 2 3 3 2 2" xfId="30632" xr:uid="{00000000-0005-0000-0000-0000F8110000}"/>
    <cellStyle name="20% - Accent2 2 2 2 2 3 3 3" xfId="26310" xr:uid="{00000000-0005-0000-0000-0000F9110000}"/>
    <cellStyle name="20% - Accent2 2 2 2 2 3 4" xfId="9544" xr:uid="{00000000-0005-0000-0000-0000FA110000}"/>
    <cellStyle name="20% - Accent2 2 2 2 2 3 4 2" xfId="29014" xr:uid="{00000000-0005-0000-0000-0000FB110000}"/>
    <cellStyle name="20% - Accent2 2 2 2 2 3 5" xfId="24518" xr:uid="{00000000-0005-0000-0000-0000FC110000}"/>
    <cellStyle name="20% - Accent2 2 2 2 2 4" xfId="5629" xr:uid="{00000000-0005-0000-0000-0000FD110000}"/>
    <cellStyle name="20% - Accent2 2 2 2 2 4 2" xfId="6828" xr:uid="{00000000-0005-0000-0000-0000FE110000}"/>
    <cellStyle name="20% - Accent2 2 2 2 2 4 2 2" xfId="11164" xr:uid="{00000000-0005-0000-0000-0000FF110000}"/>
    <cellStyle name="20% - Accent2 2 2 2 2 4 2 2 2" xfId="30634" xr:uid="{00000000-0005-0000-0000-000000120000}"/>
    <cellStyle name="20% - Accent2 2 2 2 2 4 2 3" xfId="26312" xr:uid="{00000000-0005-0000-0000-000001120000}"/>
    <cellStyle name="20% - Accent2 2 2 2 2 4 3" xfId="10074" xr:uid="{00000000-0005-0000-0000-000002120000}"/>
    <cellStyle name="20% - Accent2 2 2 2 2 4 3 2" xfId="29544" xr:uid="{00000000-0005-0000-0000-000003120000}"/>
    <cellStyle name="20% - Accent2 2 2 2 2 4 4" xfId="25116" xr:uid="{00000000-0005-0000-0000-000004120000}"/>
    <cellStyle name="20% - Accent2 2 2 2 2 5" xfId="6821" xr:uid="{00000000-0005-0000-0000-000005120000}"/>
    <cellStyle name="20% - Accent2 2 2 2 2 5 2" xfId="11157" xr:uid="{00000000-0005-0000-0000-000006120000}"/>
    <cellStyle name="20% - Accent2 2 2 2 2 5 2 2" xfId="30627" xr:uid="{00000000-0005-0000-0000-000007120000}"/>
    <cellStyle name="20% - Accent2 2 2 2 2 5 3" xfId="26305" xr:uid="{00000000-0005-0000-0000-000008120000}"/>
    <cellStyle name="20% - Accent2 2 2 2 2 6" xfId="9010" xr:uid="{00000000-0005-0000-0000-000009120000}"/>
    <cellStyle name="20% - Accent2 2 2 2 2 6 2" xfId="28484" xr:uid="{00000000-0005-0000-0000-00000A120000}"/>
    <cellStyle name="20% - Accent2 2 2 2 2 7" xfId="23868" xr:uid="{00000000-0005-0000-0000-00000B120000}"/>
    <cellStyle name="20% - Accent2 2 2 2 3" xfId="4277" xr:uid="{00000000-0005-0000-0000-00000C120000}"/>
    <cellStyle name="20% - Accent2 2 2 2 3 2" xfId="4852" xr:uid="{00000000-0005-0000-0000-00000D120000}"/>
    <cellStyle name="20% - Accent2 2 2 2 3 2 2" xfId="5477" xr:uid="{00000000-0005-0000-0000-00000E120000}"/>
    <cellStyle name="20% - Accent2 2 2 2 3 2 2 2" xfId="6605" xr:uid="{00000000-0005-0000-0000-00000F120000}"/>
    <cellStyle name="20% - Accent2 2 2 2 3 2 2 2 2" xfId="6832" xr:uid="{00000000-0005-0000-0000-000010120000}"/>
    <cellStyle name="20% - Accent2 2 2 2 3 2 2 2 2 2" xfId="11168" xr:uid="{00000000-0005-0000-0000-000011120000}"/>
    <cellStyle name="20% - Accent2 2 2 2 3 2 2 2 2 2 2" xfId="30638" xr:uid="{00000000-0005-0000-0000-000012120000}"/>
    <cellStyle name="20% - Accent2 2 2 2 3 2 2 2 2 3" xfId="26316" xr:uid="{00000000-0005-0000-0000-000013120000}"/>
    <cellStyle name="20% - Accent2 2 2 2 3 2 2 2 3" xfId="11021" xr:uid="{00000000-0005-0000-0000-000014120000}"/>
    <cellStyle name="20% - Accent2 2 2 2 3 2 2 2 3 2" xfId="30491" xr:uid="{00000000-0005-0000-0000-000015120000}"/>
    <cellStyle name="20% - Accent2 2 2 2 3 2 2 2 4" xfId="26090" xr:uid="{00000000-0005-0000-0000-000016120000}"/>
    <cellStyle name="20% - Accent2 2 2 2 3 2 2 3" xfId="6831" xr:uid="{00000000-0005-0000-0000-000017120000}"/>
    <cellStyle name="20% - Accent2 2 2 2 3 2 2 3 2" xfId="11167" xr:uid="{00000000-0005-0000-0000-000018120000}"/>
    <cellStyle name="20% - Accent2 2 2 2 3 2 2 3 2 2" xfId="30637" xr:uid="{00000000-0005-0000-0000-000019120000}"/>
    <cellStyle name="20% - Accent2 2 2 2 3 2 2 3 3" xfId="26315" xr:uid="{00000000-0005-0000-0000-00001A120000}"/>
    <cellStyle name="20% - Accent2 2 2 2 3 2 2 4" xfId="9960" xr:uid="{00000000-0005-0000-0000-00001B120000}"/>
    <cellStyle name="20% - Accent2 2 2 2 3 2 2 4 2" xfId="29430" xr:uid="{00000000-0005-0000-0000-00001C120000}"/>
    <cellStyle name="20% - Accent2 2 2 2 3 2 2 5" xfId="24968" xr:uid="{00000000-0005-0000-0000-00001D120000}"/>
    <cellStyle name="20% - Accent2 2 2 2 3 2 3" xfId="6070" xr:uid="{00000000-0005-0000-0000-00001E120000}"/>
    <cellStyle name="20% - Accent2 2 2 2 3 2 3 2" xfId="6833" xr:uid="{00000000-0005-0000-0000-00001F120000}"/>
    <cellStyle name="20% - Accent2 2 2 2 3 2 3 2 2" xfId="11169" xr:uid="{00000000-0005-0000-0000-000020120000}"/>
    <cellStyle name="20% - Accent2 2 2 2 3 2 3 2 2 2" xfId="30639" xr:uid="{00000000-0005-0000-0000-000021120000}"/>
    <cellStyle name="20% - Accent2 2 2 2 3 2 3 2 3" xfId="26317" xr:uid="{00000000-0005-0000-0000-000022120000}"/>
    <cellStyle name="20% - Accent2 2 2 2 3 2 3 3" xfId="10490" xr:uid="{00000000-0005-0000-0000-000023120000}"/>
    <cellStyle name="20% - Accent2 2 2 2 3 2 3 3 2" xfId="29960" xr:uid="{00000000-0005-0000-0000-000024120000}"/>
    <cellStyle name="20% - Accent2 2 2 2 3 2 3 4" xfId="25555" xr:uid="{00000000-0005-0000-0000-000025120000}"/>
    <cellStyle name="20% - Accent2 2 2 2 3 2 4" xfId="6830" xr:uid="{00000000-0005-0000-0000-000026120000}"/>
    <cellStyle name="20% - Accent2 2 2 2 3 2 4 2" xfId="11166" xr:uid="{00000000-0005-0000-0000-000027120000}"/>
    <cellStyle name="20% - Accent2 2 2 2 3 2 4 2 2" xfId="30636" xr:uid="{00000000-0005-0000-0000-000028120000}"/>
    <cellStyle name="20% - Accent2 2 2 2 3 2 4 3" xfId="26314" xr:uid="{00000000-0005-0000-0000-000029120000}"/>
    <cellStyle name="20% - Accent2 2 2 2 3 2 5" xfId="9430" xr:uid="{00000000-0005-0000-0000-00002A120000}"/>
    <cellStyle name="20% - Accent2 2 2 2 3 2 5 2" xfId="28900" xr:uid="{00000000-0005-0000-0000-00002B120000}"/>
    <cellStyle name="20% - Accent2 2 2 2 3 2 6" xfId="24354" xr:uid="{00000000-0005-0000-0000-00002C120000}"/>
    <cellStyle name="20% - Accent2 2 2 2 3 3" xfId="5182" xr:uid="{00000000-0005-0000-0000-00002D120000}"/>
    <cellStyle name="20% - Accent2 2 2 2 3 3 2" xfId="6338" xr:uid="{00000000-0005-0000-0000-00002E120000}"/>
    <cellStyle name="20% - Accent2 2 2 2 3 3 2 2" xfId="6835" xr:uid="{00000000-0005-0000-0000-00002F120000}"/>
    <cellStyle name="20% - Accent2 2 2 2 3 3 2 2 2" xfId="11171" xr:uid="{00000000-0005-0000-0000-000030120000}"/>
    <cellStyle name="20% - Accent2 2 2 2 3 3 2 2 2 2" xfId="30641" xr:uid="{00000000-0005-0000-0000-000031120000}"/>
    <cellStyle name="20% - Accent2 2 2 2 3 3 2 2 3" xfId="26319" xr:uid="{00000000-0005-0000-0000-000032120000}"/>
    <cellStyle name="20% - Accent2 2 2 2 3 3 2 3" xfId="10755" xr:uid="{00000000-0005-0000-0000-000033120000}"/>
    <cellStyle name="20% - Accent2 2 2 2 3 3 2 3 2" xfId="30225" xr:uid="{00000000-0005-0000-0000-000034120000}"/>
    <cellStyle name="20% - Accent2 2 2 2 3 3 2 4" xfId="25823" xr:uid="{00000000-0005-0000-0000-000035120000}"/>
    <cellStyle name="20% - Accent2 2 2 2 3 3 3" xfId="6834" xr:uid="{00000000-0005-0000-0000-000036120000}"/>
    <cellStyle name="20% - Accent2 2 2 2 3 3 3 2" xfId="11170" xr:uid="{00000000-0005-0000-0000-000037120000}"/>
    <cellStyle name="20% - Accent2 2 2 2 3 3 3 2 2" xfId="30640" xr:uid="{00000000-0005-0000-0000-000038120000}"/>
    <cellStyle name="20% - Accent2 2 2 2 3 3 3 3" xfId="26318" xr:uid="{00000000-0005-0000-0000-000039120000}"/>
    <cellStyle name="20% - Accent2 2 2 2 3 3 4" xfId="9695" xr:uid="{00000000-0005-0000-0000-00003A120000}"/>
    <cellStyle name="20% - Accent2 2 2 2 3 3 4 2" xfId="29165" xr:uid="{00000000-0005-0000-0000-00003B120000}"/>
    <cellStyle name="20% - Accent2 2 2 2 3 3 5" xfId="24673" xr:uid="{00000000-0005-0000-0000-00003C120000}"/>
    <cellStyle name="20% - Accent2 2 2 2 3 4" xfId="5791" xr:uid="{00000000-0005-0000-0000-00003D120000}"/>
    <cellStyle name="20% - Accent2 2 2 2 3 4 2" xfId="6836" xr:uid="{00000000-0005-0000-0000-00003E120000}"/>
    <cellStyle name="20% - Accent2 2 2 2 3 4 2 2" xfId="11172" xr:uid="{00000000-0005-0000-0000-00003F120000}"/>
    <cellStyle name="20% - Accent2 2 2 2 3 4 2 2 2" xfId="30642" xr:uid="{00000000-0005-0000-0000-000040120000}"/>
    <cellStyle name="20% - Accent2 2 2 2 3 4 2 3" xfId="26320" xr:uid="{00000000-0005-0000-0000-000041120000}"/>
    <cellStyle name="20% - Accent2 2 2 2 3 4 3" xfId="10225" xr:uid="{00000000-0005-0000-0000-000042120000}"/>
    <cellStyle name="20% - Accent2 2 2 2 3 4 3 2" xfId="29695" xr:uid="{00000000-0005-0000-0000-000043120000}"/>
    <cellStyle name="20% - Accent2 2 2 2 3 4 4" xfId="25276" xr:uid="{00000000-0005-0000-0000-000044120000}"/>
    <cellStyle name="20% - Accent2 2 2 2 3 5" xfId="6829" xr:uid="{00000000-0005-0000-0000-000045120000}"/>
    <cellStyle name="20% - Accent2 2 2 2 3 5 2" xfId="11165" xr:uid="{00000000-0005-0000-0000-000046120000}"/>
    <cellStyle name="20% - Accent2 2 2 2 3 5 2 2" xfId="30635" xr:uid="{00000000-0005-0000-0000-000047120000}"/>
    <cellStyle name="20% - Accent2 2 2 2 3 5 3" xfId="26313" xr:uid="{00000000-0005-0000-0000-000048120000}"/>
    <cellStyle name="20% - Accent2 2 2 2 3 6" xfId="9164" xr:uid="{00000000-0005-0000-0000-000049120000}"/>
    <cellStyle name="20% - Accent2 2 2 2 3 6 2" xfId="28635" xr:uid="{00000000-0005-0000-0000-00004A120000}"/>
    <cellStyle name="20% - Accent2 2 2 2 3 7" xfId="24053" xr:uid="{00000000-0005-0000-0000-00004B120000}"/>
    <cellStyle name="20% - Accent2 2 2 2 4" xfId="4614" xr:uid="{00000000-0005-0000-0000-00004C120000}"/>
    <cellStyle name="20% - Accent2 2 2 2 4 2" xfId="5254" xr:uid="{00000000-0005-0000-0000-00004D120000}"/>
    <cellStyle name="20% - Accent2 2 2 2 4 2 2" xfId="6388" xr:uid="{00000000-0005-0000-0000-00004E120000}"/>
    <cellStyle name="20% - Accent2 2 2 2 4 2 2 2" xfId="6839" xr:uid="{00000000-0005-0000-0000-00004F120000}"/>
    <cellStyle name="20% - Accent2 2 2 2 4 2 2 2 2" xfId="11175" xr:uid="{00000000-0005-0000-0000-000050120000}"/>
    <cellStyle name="20% - Accent2 2 2 2 4 2 2 2 2 2" xfId="30645" xr:uid="{00000000-0005-0000-0000-000051120000}"/>
    <cellStyle name="20% - Accent2 2 2 2 4 2 2 2 3" xfId="26323" xr:uid="{00000000-0005-0000-0000-000052120000}"/>
    <cellStyle name="20% - Accent2 2 2 2 4 2 2 3" xfId="10804" xr:uid="{00000000-0005-0000-0000-000053120000}"/>
    <cellStyle name="20% - Accent2 2 2 2 4 2 2 3 2" xfId="30274" xr:uid="{00000000-0005-0000-0000-000054120000}"/>
    <cellStyle name="20% - Accent2 2 2 2 4 2 2 4" xfId="25873" xr:uid="{00000000-0005-0000-0000-000055120000}"/>
    <cellStyle name="20% - Accent2 2 2 2 4 2 3" xfId="6838" xr:uid="{00000000-0005-0000-0000-000056120000}"/>
    <cellStyle name="20% - Accent2 2 2 2 4 2 3 2" xfId="11174" xr:uid="{00000000-0005-0000-0000-000057120000}"/>
    <cellStyle name="20% - Accent2 2 2 2 4 2 3 2 2" xfId="30644" xr:uid="{00000000-0005-0000-0000-000058120000}"/>
    <cellStyle name="20% - Accent2 2 2 2 4 2 3 3" xfId="26322" xr:uid="{00000000-0005-0000-0000-000059120000}"/>
    <cellStyle name="20% - Accent2 2 2 2 4 2 4" xfId="9743" xr:uid="{00000000-0005-0000-0000-00005A120000}"/>
    <cellStyle name="20% - Accent2 2 2 2 4 2 4 2" xfId="29213" xr:uid="{00000000-0005-0000-0000-00005B120000}"/>
    <cellStyle name="20% - Accent2 2 2 2 4 2 5" xfId="24745" xr:uid="{00000000-0005-0000-0000-00005C120000}"/>
    <cellStyle name="20% - Accent2 2 2 2 4 3" xfId="5851" xr:uid="{00000000-0005-0000-0000-00005D120000}"/>
    <cellStyle name="20% - Accent2 2 2 2 4 3 2" xfId="6840" xr:uid="{00000000-0005-0000-0000-00005E120000}"/>
    <cellStyle name="20% - Accent2 2 2 2 4 3 2 2" xfId="11176" xr:uid="{00000000-0005-0000-0000-00005F120000}"/>
    <cellStyle name="20% - Accent2 2 2 2 4 3 2 2 2" xfId="30646" xr:uid="{00000000-0005-0000-0000-000060120000}"/>
    <cellStyle name="20% - Accent2 2 2 2 4 3 2 3" xfId="26324" xr:uid="{00000000-0005-0000-0000-000061120000}"/>
    <cellStyle name="20% - Accent2 2 2 2 4 3 3" xfId="10273" xr:uid="{00000000-0005-0000-0000-000062120000}"/>
    <cellStyle name="20% - Accent2 2 2 2 4 3 3 2" xfId="29743" xr:uid="{00000000-0005-0000-0000-000063120000}"/>
    <cellStyle name="20% - Accent2 2 2 2 4 3 4" xfId="25336" xr:uid="{00000000-0005-0000-0000-000064120000}"/>
    <cellStyle name="20% - Accent2 2 2 2 4 4" xfId="6837" xr:uid="{00000000-0005-0000-0000-000065120000}"/>
    <cellStyle name="20% - Accent2 2 2 2 4 4 2" xfId="11173" xr:uid="{00000000-0005-0000-0000-000066120000}"/>
    <cellStyle name="20% - Accent2 2 2 2 4 4 2 2" xfId="30643" xr:uid="{00000000-0005-0000-0000-000067120000}"/>
    <cellStyle name="20% - Accent2 2 2 2 4 4 3" xfId="26321" xr:uid="{00000000-0005-0000-0000-000068120000}"/>
    <cellStyle name="20% - Accent2 2 2 2 4 5" xfId="9213" xr:uid="{00000000-0005-0000-0000-000069120000}"/>
    <cellStyle name="20% - Accent2 2 2 2 4 5 2" xfId="28683" xr:uid="{00000000-0005-0000-0000-00006A120000}"/>
    <cellStyle name="20% - Accent2 2 2 2 4 6" xfId="24125" xr:uid="{00000000-0005-0000-0000-00006B120000}"/>
    <cellStyle name="20% - Accent2 2 2 2 5" xfId="4958" xr:uid="{00000000-0005-0000-0000-00006C120000}"/>
    <cellStyle name="20% - Accent2 2 2 2 5 2" xfId="6120" xr:uid="{00000000-0005-0000-0000-00006D120000}"/>
    <cellStyle name="20% - Accent2 2 2 2 5 2 2" xfId="6842" xr:uid="{00000000-0005-0000-0000-00006E120000}"/>
    <cellStyle name="20% - Accent2 2 2 2 5 2 2 2" xfId="11178" xr:uid="{00000000-0005-0000-0000-00006F120000}"/>
    <cellStyle name="20% - Accent2 2 2 2 5 2 2 2 2" xfId="30648" xr:uid="{00000000-0005-0000-0000-000070120000}"/>
    <cellStyle name="20% - Accent2 2 2 2 5 2 2 3" xfId="26326" xr:uid="{00000000-0005-0000-0000-000071120000}"/>
    <cellStyle name="20% - Accent2 2 2 2 5 2 3" xfId="10538" xr:uid="{00000000-0005-0000-0000-000072120000}"/>
    <cellStyle name="20% - Accent2 2 2 2 5 2 3 2" xfId="30008" xr:uid="{00000000-0005-0000-0000-000073120000}"/>
    <cellStyle name="20% - Accent2 2 2 2 5 2 4" xfId="25605" xr:uid="{00000000-0005-0000-0000-000074120000}"/>
    <cellStyle name="20% - Accent2 2 2 2 5 3" xfId="6841" xr:uid="{00000000-0005-0000-0000-000075120000}"/>
    <cellStyle name="20% - Accent2 2 2 2 5 3 2" xfId="11177" xr:uid="{00000000-0005-0000-0000-000076120000}"/>
    <cellStyle name="20% - Accent2 2 2 2 5 3 2 2" xfId="30647" xr:uid="{00000000-0005-0000-0000-000077120000}"/>
    <cellStyle name="20% - Accent2 2 2 2 5 3 3" xfId="26325" xr:uid="{00000000-0005-0000-0000-000078120000}"/>
    <cellStyle name="20% - Accent2 2 2 2 5 4" xfId="9478" xr:uid="{00000000-0005-0000-0000-000079120000}"/>
    <cellStyle name="20% - Accent2 2 2 2 5 4 2" xfId="28948" xr:uid="{00000000-0005-0000-0000-00007A120000}"/>
    <cellStyle name="20% - Accent2 2 2 2 5 5" xfId="24452" xr:uid="{00000000-0005-0000-0000-00007B120000}"/>
    <cellStyle name="20% - Accent2 2 2 2 6" xfId="5563" xr:uid="{00000000-0005-0000-0000-00007C120000}"/>
    <cellStyle name="20% - Accent2 2 2 2 6 2" xfId="6843" xr:uid="{00000000-0005-0000-0000-00007D120000}"/>
    <cellStyle name="20% - Accent2 2 2 2 6 2 2" xfId="11179" xr:uid="{00000000-0005-0000-0000-00007E120000}"/>
    <cellStyle name="20% - Accent2 2 2 2 6 2 2 2" xfId="30649" xr:uid="{00000000-0005-0000-0000-00007F120000}"/>
    <cellStyle name="20% - Accent2 2 2 2 6 2 3" xfId="26327" xr:uid="{00000000-0005-0000-0000-000080120000}"/>
    <cellStyle name="20% - Accent2 2 2 2 6 3" xfId="10008" xr:uid="{00000000-0005-0000-0000-000081120000}"/>
    <cellStyle name="20% - Accent2 2 2 2 6 3 2" xfId="29478" xr:uid="{00000000-0005-0000-0000-000082120000}"/>
    <cellStyle name="20% - Accent2 2 2 2 6 4" xfId="25050" xr:uid="{00000000-0005-0000-0000-000083120000}"/>
    <cellStyle name="20% - Accent2 2 2 2 7" xfId="6820" xr:uid="{00000000-0005-0000-0000-000084120000}"/>
    <cellStyle name="20% - Accent2 2 2 2 7 2" xfId="11156" xr:uid="{00000000-0005-0000-0000-000085120000}"/>
    <cellStyle name="20% - Accent2 2 2 2 7 2 2" xfId="30626" xr:uid="{00000000-0005-0000-0000-000086120000}"/>
    <cellStyle name="20% - Accent2 2 2 2 7 3" xfId="26304" xr:uid="{00000000-0005-0000-0000-000087120000}"/>
    <cellStyle name="20% - Accent2 2 2 2 8" xfId="8944" xr:uid="{00000000-0005-0000-0000-000088120000}"/>
    <cellStyle name="20% - Accent2 2 2 2 8 2" xfId="28418" xr:uid="{00000000-0005-0000-0000-000089120000}"/>
    <cellStyle name="20% - Accent2 2 2 2 9" xfId="23676" xr:uid="{00000000-0005-0000-0000-00008A120000}"/>
    <cellStyle name="20% - Accent2 2 2 3" xfId="2941" xr:uid="{00000000-0005-0000-0000-00008B120000}"/>
    <cellStyle name="20% - Accent2 2 2 3 2" xfId="4648" xr:uid="{00000000-0005-0000-0000-00008C120000}"/>
    <cellStyle name="20% - Accent2 2 2 3 2 2" xfId="5288" xr:uid="{00000000-0005-0000-0000-00008D120000}"/>
    <cellStyle name="20% - Accent2 2 2 3 2 2 2" xfId="6422" xr:uid="{00000000-0005-0000-0000-00008E120000}"/>
    <cellStyle name="20% - Accent2 2 2 3 2 2 2 2" xfId="6847" xr:uid="{00000000-0005-0000-0000-00008F120000}"/>
    <cellStyle name="20% - Accent2 2 2 3 2 2 2 2 2" xfId="11183" xr:uid="{00000000-0005-0000-0000-000090120000}"/>
    <cellStyle name="20% - Accent2 2 2 3 2 2 2 2 2 2" xfId="30653" xr:uid="{00000000-0005-0000-0000-000091120000}"/>
    <cellStyle name="20% - Accent2 2 2 3 2 2 2 2 3" xfId="26331" xr:uid="{00000000-0005-0000-0000-000092120000}"/>
    <cellStyle name="20% - Accent2 2 2 3 2 2 2 3" xfId="10838" xr:uid="{00000000-0005-0000-0000-000093120000}"/>
    <cellStyle name="20% - Accent2 2 2 3 2 2 2 3 2" xfId="30308" xr:uid="{00000000-0005-0000-0000-000094120000}"/>
    <cellStyle name="20% - Accent2 2 2 3 2 2 2 4" xfId="25907" xr:uid="{00000000-0005-0000-0000-000095120000}"/>
    <cellStyle name="20% - Accent2 2 2 3 2 2 3" xfId="6846" xr:uid="{00000000-0005-0000-0000-000096120000}"/>
    <cellStyle name="20% - Accent2 2 2 3 2 2 3 2" xfId="11182" xr:uid="{00000000-0005-0000-0000-000097120000}"/>
    <cellStyle name="20% - Accent2 2 2 3 2 2 3 2 2" xfId="30652" xr:uid="{00000000-0005-0000-0000-000098120000}"/>
    <cellStyle name="20% - Accent2 2 2 3 2 2 3 3" xfId="26330" xr:uid="{00000000-0005-0000-0000-000099120000}"/>
    <cellStyle name="20% - Accent2 2 2 3 2 2 4" xfId="9777" xr:uid="{00000000-0005-0000-0000-00009A120000}"/>
    <cellStyle name="20% - Accent2 2 2 3 2 2 4 2" xfId="29247" xr:uid="{00000000-0005-0000-0000-00009B120000}"/>
    <cellStyle name="20% - Accent2 2 2 3 2 2 5" xfId="24779" xr:uid="{00000000-0005-0000-0000-00009C120000}"/>
    <cellStyle name="20% - Accent2 2 2 3 2 3" xfId="5885" xr:uid="{00000000-0005-0000-0000-00009D120000}"/>
    <cellStyle name="20% - Accent2 2 2 3 2 3 2" xfId="6848" xr:uid="{00000000-0005-0000-0000-00009E120000}"/>
    <cellStyle name="20% - Accent2 2 2 3 2 3 2 2" xfId="11184" xr:uid="{00000000-0005-0000-0000-00009F120000}"/>
    <cellStyle name="20% - Accent2 2 2 3 2 3 2 2 2" xfId="30654" xr:uid="{00000000-0005-0000-0000-0000A0120000}"/>
    <cellStyle name="20% - Accent2 2 2 3 2 3 2 3" xfId="26332" xr:uid="{00000000-0005-0000-0000-0000A1120000}"/>
    <cellStyle name="20% - Accent2 2 2 3 2 3 3" xfId="10307" xr:uid="{00000000-0005-0000-0000-0000A2120000}"/>
    <cellStyle name="20% - Accent2 2 2 3 2 3 3 2" xfId="29777" xr:uid="{00000000-0005-0000-0000-0000A3120000}"/>
    <cellStyle name="20% - Accent2 2 2 3 2 3 4" xfId="25370" xr:uid="{00000000-0005-0000-0000-0000A4120000}"/>
    <cellStyle name="20% - Accent2 2 2 3 2 4" xfId="6845" xr:uid="{00000000-0005-0000-0000-0000A5120000}"/>
    <cellStyle name="20% - Accent2 2 2 3 2 4 2" xfId="11181" xr:uid="{00000000-0005-0000-0000-0000A6120000}"/>
    <cellStyle name="20% - Accent2 2 2 3 2 4 2 2" xfId="30651" xr:uid="{00000000-0005-0000-0000-0000A7120000}"/>
    <cellStyle name="20% - Accent2 2 2 3 2 4 3" xfId="26329" xr:uid="{00000000-0005-0000-0000-0000A8120000}"/>
    <cellStyle name="20% - Accent2 2 2 3 2 5" xfId="9247" xr:uid="{00000000-0005-0000-0000-0000A9120000}"/>
    <cellStyle name="20% - Accent2 2 2 3 2 5 2" xfId="28717" xr:uid="{00000000-0005-0000-0000-0000AA120000}"/>
    <cellStyle name="20% - Accent2 2 2 3 2 6" xfId="24159" xr:uid="{00000000-0005-0000-0000-0000AB120000}"/>
    <cellStyle name="20% - Accent2 2 2 3 3" xfId="4992" xr:uid="{00000000-0005-0000-0000-0000AC120000}"/>
    <cellStyle name="20% - Accent2 2 2 3 3 2" xfId="6154" xr:uid="{00000000-0005-0000-0000-0000AD120000}"/>
    <cellStyle name="20% - Accent2 2 2 3 3 2 2" xfId="6850" xr:uid="{00000000-0005-0000-0000-0000AE120000}"/>
    <cellStyle name="20% - Accent2 2 2 3 3 2 2 2" xfId="11186" xr:uid="{00000000-0005-0000-0000-0000AF120000}"/>
    <cellStyle name="20% - Accent2 2 2 3 3 2 2 2 2" xfId="30656" xr:uid="{00000000-0005-0000-0000-0000B0120000}"/>
    <cellStyle name="20% - Accent2 2 2 3 3 2 2 3" xfId="26334" xr:uid="{00000000-0005-0000-0000-0000B1120000}"/>
    <cellStyle name="20% - Accent2 2 2 3 3 2 3" xfId="10572" xr:uid="{00000000-0005-0000-0000-0000B2120000}"/>
    <cellStyle name="20% - Accent2 2 2 3 3 2 3 2" xfId="30042" xr:uid="{00000000-0005-0000-0000-0000B3120000}"/>
    <cellStyle name="20% - Accent2 2 2 3 3 2 4" xfId="25639" xr:uid="{00000000-0005-0000-0000-0000B4120000}"/>
    <cellStyle name="20% - Accent2 2 2 3 3 3" xfId="6849" xr:uid="{00000000-0005-0000-0000-0000B5120000}"/>
    <cellStyle name="20% - Accent2 2 2 3 3 3 2" xfId="11185" xr:uid="{00000000-0005-0000-0000-0000B6120000}"/>
    <cellStyle name="20% - Accent2 2 2 3 3 3 2 2" xfId="30655" xr:uid="{00000000-0005-0000-0000-0000B7120000}"/>
    <cellStyle name="20% - Accent2 2 2 3 3 3 3" xfId="26333" xr:uid="{00000000-0005-0000-0000-0000B8120000}"/>
    <cellStyle name="20% - Accent2 2 2 3 3 4" xfId="9512" xr:uid="{00000000-0005-0000-0000-0000B9120000}"/>
    <cellStyle name="20% - Accent2 2 2 3 3 4 2" xfId="28982" xr:uid="{00000000-0005-0000-0000-0000BA120000}"/>
    <cellStyle name="20% - Accent2 2 2 3 3 5" xfId="24486" xr:uid="{00000000-0005-0000-0000-0000BB120000}"/>
    <cellStyle name="20% - Accent2 2 2 3 4" xfId="5597" xr:uid="{00000000-0005-0000-0000-0000BC120000}"/>
    <cellStyle name="20% - Accent2 2 2 3 4 2" xfId="6851" xr:uid="{00000000-0005-0000-0000-0000BD120000}"/>
    <cellStyle name="20% - Accent2 2 2 3 4 2 2" xfId="11187" xr:uid="{00000000-0005-0000-0000-0000BE120000}"/>
    <cellStyle name="20% - Accent2 2 2 3 4 2 2 2" xfId="30657" xr:uid="{00000000-0005-0000-0000-0000BF120000}"/>
    <cellStyle name="20% - Accent2 2 2 3 4 2 3" xfId="26335" xr:uid="{00000000-0005-0000-0000-0000C0120000}"/>
    <cellStyle name="20% - Accent2 2 2 3 4 3" xfId="10042" xr:uid="{00000000-0005-0000-0000-0000C1120000}"/>
    <cellStyle name="20% - Accent2 2 2 3 4 3 2" xfId="29512" xr:uid="{00000000-0005-0000-0000-0000C2120000}"/>
    <cellStyle name="20% - Accent2 2 2 3 4 4" xfId="25084" xr:uid="{00000000-0005-0000-0000-0000C3120000}"/>
    <cellStyle name="20% - Accent2 2 2 3 5" xfId="6844" xr:uid="{00000000-0005-0000-0000-0000C4120000}"/>
    <cellStyle name="20% - Accent2 2 2 3 5 2" xfId="11180" xr:uid="{00000000-0005-0000-0000-0000C5120000}"/>
    <cellStyle name="20% - Accent2 2 2 3 5 2 2" xfId="30650" xr:uid="{00000000-0005-0000-0000-0000C6120000}"/>
    <cellStyle name="20% - Accent2 2 2 3 5 3" xfId="26328" xr:uid="{00000000-0005-0000-0000-0000C7120000}"/>
    <cellStyle name="20% - Accent2 2 2 3 6" xfId="8978" xr:uid="{00000000-0005-0000-0000-0000C8120000}"/>
    <cellStyle name="20% - Accent2 2 2 3 6 2" xfId="28452" xr:uid="{00000000-0005-0000-0000-0000C9120000}"/>
    <cellStyle name="20% - Accent2 2 2 3 7" xfId="23750" xr:uid="{00000000-0005-0000-0000-0000CA120000}"/>
    <cellStyle name="20% - Accent2 2 2 4" xfId="4222" xr:uid="{00000000-0005-0000-0000-0000CB120000}"/>
    <cellStyle name="20% - Accent2 2 2 4 2" xfId="4797" xr:uid="{00000000-0005-0000-0000-0000CC120000}"/>
    <cellStyle name="20% - Accent2 2 2 4 2 2" xfId="5423" xr:uid="{00000000-0005-0000-0000-0000CD120000}"/>
    <cellStyle name="20% - Accent2 2 2 4 2 2 2" xfId="6551" xr:uid="{00000000-0005-0000-0000-0000CE120000}"/>
    <cellStyle name="20% - Accent2 2 2 4 2 2 2 2" xfId="6855" xr:uid="{00000000-0005-0000-0000-0000CF120000}"/>
    <cellStyle name="20% - Accent2 2 2 4 2 2 2 2 2" xfId="11191" xr:uid="{00000000-0005-0000-0000-0000D0120000}"/>
    <cellStyle name="20% - Accent2 2 2 4 2 2 2 2 2 2" xfId="30661" xr:uid="{00000000-0005-0000-0000-0000D1120000}"/>
    <cellStyle name="20% - Accent2 2 2 4 2 2 2 2 3" xfId="26339" xr:uid="{00000000-0005-0000-0000-0000D2120000}"/>
    <cellStyle name="20% - Accent2 2 2 4 2 2 2 3" xfId="10967" xr:uid="{00000000-0005-0000-0000-0000D3120000}"/>
    <cellStyle name="20% - Accent2 2 2 4 2 2 2 3 2" xfId="30437" xr:uid="{00000000-0005-0000-0000-0000D4120000}"/>
    <cellStyle name="20% - Accent2 2 2 4 2 2 2 4" xfId="26036" xr:uid="{00000000-0005-0000-0000-0000D5120000}"/>
    <cellStyle name="20% - Accent2 2 2 4 2 2 3" xfId="6854" xr:uid="{00000000-0005-0000-0000-0000D6120000}"/>
    <cellStyle name="20% - Accent2 2 2 4 2 2 3 2" xfId="11190" xr:uid="{00000000-0005-0000-0000-0000D7120000}"/>
    <cellStyle name="20% - Accent2 2 2 4 2 2 3 2 2" xfId="30660" xr:uid="{00000000-0005-0000-0000-0000D8120000}"/>
    <cellStyle name="20% - Accent2 2 2 4 2 2 3 3" xfId="26338" xr:uid="{00000000-0005-0000-0000-0000D9120000}"/>
    <cellStyle name="20% - Accent2 2 2 4 2 2 4" xfId="9906" xr:uid="{00000000-0005-0000-0000-0000DA120000}"/>
    <cellStyle name="20% - Accent2 2 2 4 2 2 4 2" xfId="29376" xr:uid="{00000000-0005-0000-0000-0000DB120000}"/>
    <cellStyle name="20% - Accent2 2 2 4 2 2 5" xfId="24914" xr:uid="{00000000-0005-0000-0000-0000DC120000}"/>
    <cellStyle name="20% - Accent2 2 2 4 2 3" xfId="6015" xr:uid="{00000000-0005-0000-0000-0000DD120000}"/>
    <cellStyle name="20% - Accent2 2 2 4 2 3 2" xfId="6856" xr:uid="{00000000-0005-0000-0000-0000DE120000}"/>
    <cellStyle name="20% - Accent2 2 2 4 2 3 2 2" xfId="11192" xr:uid="{00000000-0005-0000-0000-0000DF120000}"/>
    <cellStyle name="20% - Accent2 2 2 4 2 3 2 2 2" xfId="30662" xr:uid="{00000000-0005-0000-0000-0000E0120000}"/>
    <cellStyle name="20% - Accent2 2 2 4 2 3 2 3" xfId="26340" xr:uid="{00000000-0005-0000-0000-0000E1120000}"/>
    <cellStyle name="20% - Accent2 2 2 4 2 3 3" xfId="10436" xr:uid="{00000000-0005-0000-0000-0000E2120000}"/>
    <cellStyle name="20% - Accent2 2 2 4 2 3 3 2" xfId="29906" xr:uid="{00000000-0005-0000-0000-0000E3120000}"/>
    <cellStyle name="20% - Accent2 2 2 4 2 3 4" xfId="25500" xr:uid="{00000000-0005-0000-0000-0000E4120000}"/>
    <cellStyle name="20% - Accent2 2 2 4 2 4" xfId="6853" xr:uid="{00000000-0005-0000-0000-0000E5120000}"/>
    <cellStyle name="20% - Accent2 2 2 4 2 4 2" xfId="11189" xr:uid="{00000000-0005-0000-0000-0000E6120000}"/>
    <cellStyle name="20% - Accent2 2 2 4 2 4 2 2" xfId="30659" xr:uid="{00000000-0005-0000-0000-0000E7120000}"/>
    <cellStyle name="20% - Accent2 2 2 4 2 4 3" xfId="26337" xr:uid="{00000000-0005-0000-0000-0000E8120000}"/>
    <cellStyle name="20% - Accent2 2 2 4 2 5" xfId="9376" xr:uid="{00000000-0005-0000-0000-0000E9120000}"/>
    <cellStyle name="20% - Accent2 2 2 4 2 5 2" xfId="28846" xr:uid="{00000000-0005-0000-0000-0000EA120000}"/>
    <cellStyle name="20% - Accent2 2 2 4 2 6" xfId="24299" xr:uid="{00000000-0005-0000-0000-0000EB120000}"/>
    <cellStyle name="20% - Accent2 2 2 4 3" xfId="5128" xr:uid="{00000000-0005-0000-0000-0000EC120000}"/>
    <cellStyle name="20% - Accent2 2 2 4 3 2" xfId="6284" xr:uid="{00000000-0005-0000-0000-0000ED120000}"/>
    <cellStyle name="20% - Accent2 2 2 4 3 2 2" xfId="6858" xr:uid="{00000000-0005-0000-0000-0000EE120000}"/>
    <cellStyle name="20% - Accent2 2 2 4 3 2 2 2" xfId="11194" xr:uid="{00000000-0005-0000-0000-0000EF120000}"/>
    <cellStyle name="20% - Accent2 2 2 4 3 2 2 2 2" xfId="30664" xr:uid="{00000000-0005-0000-0000-0000F0120000}"/>
    <cellStyle name="20% - Accent2 2 2 4 3 2 2 3" xfId="26342" xr:uid="{00000000-0005-0000-0000-0000F1120000}"/>
    <cellStyle name="20% - Accent2 2 2 4 3 2 3" xfId="10701" xr:uid="{00000000-0005-0000-0000-0000F2120000}"/>
    <cellStyle name="20% - Accent2 2 2 4 3 2 3 2" xfId="30171" xr:uid="{00000000-0005-0000-0000-0000F3120000}"/>
    <cellStyle name="20% - Accent2 2 2 4 3 2 4" xfId="25769" xr:uid="{00000000-0005-0000-0000-0000F4120000}"/>
    <cellStyle name="20% - Accent2 2 2 4 3 3" xfId="6857" xr:uid="{00000000-0005-0000-0000-0000F5120000}"/>
    <cellStyle name="20% - Accent2 2 2 4 3 3 2" xfId="11193" xr:uid="{00000000-0005-0000-0000-0000F6120000}"/>
    <cellStyle name="20% - Accent2 2 2 4 3 3 2 2" xfId="30663" xr:uid="{00000000-0005-0000-0000-0000F7120000}"/>
    <cellStyle name="20% - Accent2 2 2 4 3 3 3" xfId="26341" xr:uid="{00000000-0005-0000-0000-0000F8120000}"/>
    <cellStyle name="20% - Accent2 2 2 4 3 4" xfId="9641" xr:uid="{00000000-0005-0000-0000-0000F9120000}"/>
    <cellStyle name="20% - Accent2 2 2 4 3 4 2" xfId="29111" xr:uid="{00000000-0005-0000-0000-0000FA120000}"/>
    <cellStyle name="20% - Accent2 2 2 4 3 5" xfId="24619" xr:uid="{00000000-0005-0000-0000-0000FB120000}"/>
    <cellStyle name="20% - Accent2 2 2 4 4" xfId="5737" xr:uid="{00000000-0005-0000-0000-0000FC120000}"/>
    <cellStyle name="20% - Accent2 2 2 4 4 2" xfId="6859" xr:uid="{00000000-0005-0000-0000-0000FD120000}"/>
    <cellStyle name="20% - Accent2 2 2 4 4 2 2" xfId="11195" xr:uid="{00000000-0005-0000-0000-0000FE120000}"/>
    <cellStyle name="20% - Accent2 2 2 4 4 2 2 2" xfId="30665" xr:uid="{00000000-0005-0000-0000-0000FF120000}"/>
    <cellStyle name="20% - Accent2 2 2 4 4 2 3" xfId="26343" xr:uid="{00000000-0005-0000-0000-000000130000}"/>
    <cellStyle name="20% - Accent2 2 2 4 4 3" xfId="10171" xr:uid="{00000000-0005-0000-0000-000001130000}"/>
    <cellStyle name="20% - Accent2 2 2 4 4 3 2" xfId="29641" xr:uid="{00000000-0005-0000-0000-000002130000}"/>
    <cellStyle name="20% - Accent2 2 2 4 4 4" xfId="25222" xr:uid="{00000000-0005-0000-0000-000003130000}"/>
    <cellStyle name="20% - Accent2 2 2 4 5" xfId="6852" xr:uid="{00000000-0005-0000-0000-000004130000}"/>
    <cellStyle name="20% - Accent2 2 2 4 5 2" xfId="11188" xr:uid="{00000000-0005-0000-0000-000005130000}"/>
    <cellStyle name="20% - Accent2 2 2 4 5 2 2" xfId="30658" xr:uid="{00000000-0005-0000-0000-000006130000}"/>
    <cellStyle name="20% - Accent2 2 2 4 5 3" xfId="26336" xr:uid="{00000000-0005-0000-0000-000007130000}"/>
    <cellStyle name="20% - Accent2 2 2 4 6" xfId="9110" xr:uid="{00000000-0005-0000-0000-000008130000}"/>
    <cellStyle name="20% - Accent2 2 2 4 6 2" xfId="28581" xr:uid="{00000000-0005-0000-0000-000009130000}"/>
    <cellStyle name="20% - Accent2 2 2 4 7" xfId="23998" xr:uid="{00000000-0005-0000-0000-00000A130000}"/>
    <cellStyle name="20% - Accent2 2 2 5" xfId="4581" xr:uid="{00000000-0005-0000-0000-00000B130000}"/>
    <cellStyle name="20% - Accent2 2 2 5 2" xfId="5222" xr:uid="{00000000-0005-0000-0000-00000C130000}"/>
    <cellStyle name="20% - Accent2 2 2 5 2 2" xfId="6356" xr:uid="{00000000-0005-0000-0000-00000D130000}"/>
    <cellStyle name="20% - Accent2 2 2 5 2 2 2" xfId="6862" xr:uid="{00000000-0005-0000-0000-00000E130000}"/>
    <cellStyle name="20% - Accent2 2 2 5 2 2 2 2" xfId="11198" xr:uid="{00000000-0005-0000-0000-00000F130000}"/>
    <cellStyle name="20% - Accent2 2 2 5 2 2 2 2 2" xfId="30668" xr:uid="{00000000-0005-0000-0000-000010130000}"/>
    <cellStyle name="20% - Accent2 2 2 5 2 2 2 3" xfId="26346" xr:uid="{00000000-0005-0000-0000-000011130000}"/>
    <cellStyle name="20% - Accent2 2 2 5 2 2 3" xfId="10772" xr:uid="{00000000-0005-0000-0000-000012130000}"/>
    <cellStyle name="20% - Accent2 2 2 5 2 2 3 2" xfId="30242" xr:uid="{00000000-0005-0000-0000-000013130000}"/>
    <cellStyle name="20% - Accent2 2 2 5 2 2 4" xfId="25841" xr:uid="{00000000-0005-0000-0000-000014130000}"/>
    <cellStyle name="20% - Accent2 2 2 5 2 3" xfId="6861" xr:uid="{00000000-0005-0000-0000-000015130000}"/>
    <cellStyle name="20% - Accent2 2 2 5 2 3 2" xfId="11197" xr:uid="{00000000-0005-0000-0000-000016130000}"/>
    <cellStyle name="20% - Accent2 2 2 5 2 3 2 2" xfId="30667" xr:uid="{00000000-0005-0000-0000-000017130000}"/>
    <cellStyle name="20% - Accent2 2 2 5 2 3 3" xfId="26345" xr:uid="{00000000-0005-0000-0000-000018130000}"/>
    <cellStyle name="20% - Accent2 2 2 5 2 4" xfId="9711" xr:uid="{00000000-0005-0000-0000-000019130000}"/>
    <cellStyle name="20% - Accent2 2 2 5 2 4 2" xfId="29181" xr:uid="{00000000-0005-0000-0000-00001A130000}"/>
    <cellStyle name="20% - Accent2 2 2 5 2 5" xfId="24713" xr:uid="{00000000-0005-0000-0000-00001B130000}"/>
    <cellStyle name="20% - Accent2 2 2 5 3" xfId="5818" xr:uid="{00000000-0005-0000-0000-00001C130000}"/>
    <cellStyle name="20% - Accent2 2 2 5 3 2" xfId="6863" xr:uid="{00000000-0005-0000-0000-00001D130000}"/>
    <cellStyle name="20% - Accent2 2 2 5 3 2 2" xfId="11199" xr:uid="{00000000-0005-0000-0000-00001E130000}"/>
    <cellStyle name="20% - Accent2 2 2 5 3 2 2 2" xfId="30669" xr:uid="{00000000-0005-0000-0000-00001F130000}"/>
    <cellStyle name="20% - Accent2 2 2 5 3 2 3" xfId="26347" xr:uid="{00000000-0005-0000-0000-000020130000}"/>
    <cellStyle name="20% - Accent2 2 2 5 3 3" xfId="10241" xr:uid="{00000000-0005-0000-0000-000021130000}"/>
    <cellStyle name="20% - Accent2 2 2 5 3 3 2" xfId="29711" xr:uid="{00000000-0005-0000-0000-000022130000}"/>
    <cellStyle name="20% - Accent2 2 2 5 3 4" xfId="25303" xr:uid="{00000000-0005-0000-0000-000023130000}"/>
    <cellStyle name="20% - Accent2 2 2 5 4" xfId="6860" xr:uid="{00000000-0005-0000-0000-000024130000}"/>
    <cellStyle name="20% - Accent2 2 2 5 4 2" xfId="11196" xr:uid="{00000000-0005-0000-0000-000025130000}"/>
    <cellStyle name="20% - Accent2 2 2 5 4 2 2" xfId="30666" xr:uid="{00000000-0005-0000-0000-000026130000}"/>
    <cellStyle name="20% - Accent2 2 2 5 4 3" xfId="26344" xr:uid="{00000000-0005-0000-0000-000027130000}"/>
    <cellStyle name="20% - Accent2 2 2 5 5" xfId="9181" xr:uid="{00000000-0005-0000-0000-000028130000}"/>
    <cellStyle name="20% - Accent2 2 2 5 5 2" xfId="28651" xr:uid="{00000000-0005-0000-0000-000029130000}"/>
    <cellStyle name="20% - Accent2 2 2 5 6" xfId="24092" xr:uid="{00000000-0005-0000-0000-00002A130000}"/>
    <cellStyle name="20% - Accent2 2 2 6" xfId="4926" xr:uid="{00000000-0005-0000-0000-00002B130000}"/>
    <cellStyle name="20% - Accent2 2 2 6 2" xfId="6088" xr:uid="{00000000-0005-0000-0000-00002C130000}"/>
    <cellStyle name="20% - Accent2 2 2 6 2 2" xfId="6865" xr:uid="{00000000-0005-0000-0000-00002D130000}"/>
    <cellStyle name="20% - Accent2 2 2 6 2 2 2" xfId="11201" xr:uid="{00000000-0005-0000-0000-00002E130000}"/>
    <cellStyle name="20% - Accent2 2 2 6 2 2 2 2" xfId="30671" xr:uid="{00000000-0005-0000-0000-00002F130000}"/>
    <cellStyle name="20% - Accent2 2 2 6 2 2 3" xfId="26349" xr:uid="{00000000-0005-0000-0000-000030130000}"/>
    <cellStyle name="20% - Accent2 2 2 6 2 3" xfId="10506" xr:uid="{00000000-0005-0000-0000-000031130000}"/>
    <cellStyle name="20% - Accent2 2 2 6 2 3 2" xfId="29976" xr:uid="{00000000-0005-0000-0000-000032130000}"/>
    <cellStyle name="20% - Accent2 2 2 6 2 4" xfId="25573" xr:uid="{00000000-0005-0000-0000-000033130000}"/>
    <cellStyle name="20% - Accent2 2 2 6 3" xfId="6864" xr:uid="{00000000-0005-0000-0000-000034130000}"/>
    <cellStyle name="20% - Accent2 2 2 6 3 2" xfId="11200" xr:uid="{00000000-0005-0000-0000-000035130000}"/>
    <cellStyle name="20% - Accent2 2 2 6 3 2 2" xfId="30670" xr:uid="{00000000-0005-0000-0000-000036130000}"/>
    <cellStyle name="20% - Accent2 2 2 6 3 3" xfId="26348" xr:uid="{00000000-0005-0000-0000-000037130000}"/>
    <cellStyle name="20% - Accent2 2 2 6 4" xfId="9446" xr:uid="{00000000-0005-0000-0000-000038130000}"/>
    <cellStyle name="20% - Accent2 2 2 6 4 2" xfId="28916" xr:uid="{00000000-0005-0000-0000-000039130000}"/>
    <cellStyle name="20% - Accent2 2 2 6 5" xfId="24420" xr:uid="{00000000-0005-0000-0000-00003A130000}"/>
    <cellStyle name="20% - Accent2 2 2 7" xfId="5530" xr:uid="{00000000-0005-0000-0000-00003B130000}"/>
    <cellStyle name="20% - Accent2 2 2 7 2" xfId="6866" xr:uid="{00000000-0005-0000-0000-00003C130000}"/>
    <cellStyle name="20% - Accent2 2 2 7 2 2" xfId="11202" xr:uid="{00000000-0005-0000-0000-00003D130000}"/>
    <cellStyle name="20% - Accent2 2 2 7 2 2 2" xfId="30672" xr:uid="{00000000-0005-0000-0000-00003E130000}"/>
    <cellStyle name="20% - Accent2 2 2 7 2 3" xfId="26350" xr:uid="{00000000-0005-0000-0000-00003F130000}"/>
    <cellStyle name="20% - Accent2 2 2 7 3" xfId="9976" xr:uid="{00000000-0005-0000-0000-000040130000}"/>
    <cellStyle name="20% - Accent2 2 2 7 3 2" xfId="29446" xr:uid="{00000000-0005-0000-0000-000041130000}"/>
    <cellStyle name="20% - Accent2 2 2 7 4" xfId="25018" xr:uid="{00000000-0005-0000-0000-000042130000}"/>
    <cellStyle name="20% - Accent2 2 2 8" xfId="6819" xr:uid="{00000000-0005-0000-0000-000043130000}"/>
    <cellStyle name="20% - Accent2 2 2 8 2" xfId="11155" xr:uid="{00000000-0005-0000-0000-000044130000}"/>
    <cellStyle name="20% - Accent2 2 2 8 2 2" xfId="30625" xr:uid="{00000000-0005-0000-0000-000045130000}"/>
    <cellStyle name="20% - Accent2 2 2 8 3" xfId="26303" xr:uid="{00000000-0005-0000-0000-000046130000}"/>
    <cellStyle name="20% - Accent2 2 2 9" xfId="8912" xr:uid="{00000000-0005-0000-0000-000047130000}"/>
    <cellStyle name="20% - Accent2 2 2 9 2" xfId="28386" xr:uid="{00000000-0005-0000-0000-000048130000}"/>
    <cellStyle name="20% - Accent2 2 3" xfId="2695" xr:uid="{00000000-0005-0000-0000-000049130000}"/>
    <cellStyle name="20% - Accent2 2 3 10" xfId="23558" xr:uid="{00000000-0005-0000-0000-00004A130000}"/>
    <cellStyle name="20% - Accent2 2 3 2" xfId="2866" xr:uid="{00000000-0005-0000-0000-00004B130000}"/>
    <cellStyle name="20% - Accent2 2 3 2 2" xfId="3060" xr:uid="{00000000-0005-0000-0000-00004C130000}"/>
    <cellStyle name="20% - Accent2 2 3 2 2 2" xfId="4687" xr:uid="{00000000-0005-0000-0000-00004D130000}"/>
    <cellStyle name="20% - Accent2 2 3 2 2 2 2" xfId="5321" xr:uid="{00000000-0005-0000-0000-00004E130000}"/>
    <cellStyle name="20% - Accent2 2 3 2 2 2 2 2" xfId="6455" xr:uid="{00000000-0005-0000-0000-00004F130000}"/>
    <cellStyle name="20% - Accent2 2 3 2 2 2 2 2 2" xfId="6872" xr:uid="{00000000-0005-0000-0000-000050130000}"/>
    <cellStyle name="20% - Accent2 2 3 2 2 2 2 2 2 2" xfId="11208" xr:uid="{00000000-0005-0000-0000-000051130000}"/>
    <cellStyle name="20% - Accent2 2 3 2 2 2 2 2 2 2 2" xfId="30678" xr:uid="{00000000-0005-0000-0000-000052130000}"/>
    <cellStyle name="20% - Accent2 2 3 2 2 2 2 2 2 3" xfId="26356" xr:uid="{00000000-0005-0000-0000-000053130000}"/>
    <cellStyle name="20% - Accent2 2 3 2 2 2 2 2 3" xfId="10871" xr:uid="{00000000-0005-0000-0000-000054130000}"/>
    <cellStyle name="20% - Accent2 2 3 2 2 2 2 2 3 2" xfId="30341" xr:uid="{00000000-0005-0000-0000-000055130000}"/>
    <cellStyle name="20% - Accent2 2 3 2 2 2 2 2 4" xfId="25940" xr:uid="{00000000-0005-0000-0000-000056130000}"/>
    <cellStyle name="20% - Accent2 2 3 2 2 2 2 3" xfId="6871" xr:uid="{00000000-0005-0000-0000-000057130000}"/>
    <cellStyle name="20% - Accent2 2 3 2 2 2 2 3 2" xfId="11207" xr:uid="{00000000-0005-0000-0000-000058130000}"/>
    <cellStyle name="20% - Accent2 2 3 2 2 2 2 3 2 2" xfId="30677" xr:uid="{00000000-0005-0000-0000-000059130000}"/>
    <cellStyle name="20% - Accent2 2 3 2 2 2 2 3 3" xfId="26355" xr:uid="{00000000-0005-0000-0000-00005A130000}"/>
    <cellStyle name="20% - Accent2 2 3 2 2 2 2 4" xfId="9810" xr:uid="{00000000-0005-0000-0000-00005B130000}"/>
    <cellStyle name="20% - Accent2 2 3 2 2 2 2 4 2" xfId="29280" xr:uid="{00000000-0005-0000-0000-00005C130000}"/>
    <cellStyle name="20% - Accent2 2 3 2 2 2 2 5" xfId="24812" xr:uid="{00000000-0005-0000-0000-00005D130000}"/>
    <cellStyle name="20% - Accent2 2 3 2 2 2 3" xfId="5918" xr:uid="{00000000-0005-0000-0000-00005E130000}"/>
    <cellStyle name="20% - Accent2 2 3 2 2 2 3 2" xfId="6873" xr:uid="{00000000-0005-0000-0000-00005F130000}"/>
    <cellStyle name="20% - Accent2 2 3 2 2 2 3 2 2" xfId="11209" xr:uid="{00000000-0005-0000-0000-000060130000}"/>
    <cellStyle name="20% - Accent2 2 3 2 2 2 3 2 2 2" xfId="30679" xr:uid="{00000000-0005-0000-0000-000061130000}"/>
    <cellStyle name="20% - Accent2 2 3 2 2 2 3 2 3" xfId="26357" xr:uid="{00000000-0005-0000-0000-000062130000}"/>
    <cellStyle name="20% - Accent2 2 3 2 2 2 3 3" xfId="10340" xr:uid="{00000000-0005-0000-0000-000063130000}"/>
    <cellStyle name="20% - Accent2 2 3 2 2 2 3 3 2" xfId="29810" xr:uid="{00000000-0005-0000-0000-000064130000}"/>
    <cellStyle name="20% - Accent2 2 3 2 2 2 3 4" xfId="25403" xr:uid="{00000000-0005-0000-0000-000065130000}"/>
    <cellStyle name="20% - Accent2 2 3 2 2 2 4" xfId="6870" xr:uid="{00000000-0005-0000-0000-000066130000}"/>
    <cellStyle name="20% - Accent2 2 3 2 2 2 4 2" xfId="11206" xr:uid="{00000000-0005-0000-0000-000067130000}"/>
    <cellStyle name="20% - Accent2 2 3 2 2 2 4 2 2" xfId="30676" xr:uid="{00000000-0005-0000-0000-000068130000}"/>
    <cellStyle name="20% - Accent2 2 3 2 2 2 4 3" xfId="26354" xr:uid="{00000000-0005-0000-0000-000069130000}"/>
    <cellStyle name="20% - Accent2 2 3 2 2 2 5" xfId="9280" xr:uid="{00000000-0005-0000-0000-00006A130000}"/>
    <cellStyle name="20% - Accent2 2 3 2 2 2 5 2" xfId="28750" xr:uid="{00000000-0005-0000-0000-00006B130000}"/>
    <cellStyle name="20% - Accent2 2 3 2 2 2 6" xfId="24198" xr:uid="{00000000-0005-0000-0000-00006C130000}"/>
    <cellStyle name="20% - Accent2 2 3 2 2 3" xfId="5025" xr:uid="{00000000-0005-0000-0000-00006D130000}"/>
    <cellStyle name="20% - Accent2 2 3 2 2 3 2" xfId="6187" xr:uid="{00000000-0005-0000-0000-00006E130000}"/>
    <cellStyle name="20% - Accent2 2 3 2 2 3 2 2" xfId="6875" xr:uid="{00000000-0005-0000-0000-00006F130000}"/>
    <cellStyle name="20% - Accent2 2 3 2 2 3 2 2 2" xfId="11211" xr:uid="{00000000-0005-0000-0000-000070130000}"/>
    <cellStyle name="20% - Accent2 2 3 2 2 3 2 2 2 2" xfId="30681" xr:uid="{00000000-0005-0000-0000-000071130000}"/>
    <cellStyle name="20% - Accent2 2 3 2 2 3 2 2 3" xfId="26359" xr:uid="{00000000-0005-0000-0000-000072130000}"/>
    <cellStyle name="20% - Accent2 2 3 2 2 3 2 3" xfId="10605" xr:uid="{00000000-0005-0000-0000-000073130000}"/>
    <cellStyle name="20% - Accent2 2 3 2 2 3 2 3 2" xfId="30075" xr:uid="{00000000-0005-0000-0000-000074130000}"/>
    <cellStyle name="20% - Accent2 2 3 2 2 3 2 4" xfId="25672" xr:uid="{00000000-0005-0000-0000-000075130000}"/>
    <cellStyle name="20% - Accent2 2 3 2 2 3 3" xfId="6874" xr:uid="{00000000-0005-0000-0000-000076130000}"/>
    <cellStyle name="20% - Accent2 2 3 2 2 3 3 2" xfId="11210" xr:uid="{00000000-0005-0000-0000-000077130000}"/>
    <cellStyle name="20% - Accent2 2 3 2 2 3 3 2 2" xfId="30680" xr:uid="{00000000-0005-0000-0000-000078130000}"/>
    <cellStyle name="20% - Accent2 2 3 2 2 3 3 3" xfId="26358" xr:uid="{00000000-0005-0000-0000-000079130000}"/>
    <cellStyle name="20% - Accent2 2 3 2 2 3 4" xfId="9545" xr:uid="{00000000-0005-0000-0000-00007A130000}"/>
    <cellStyle name="20% - Accent2 2 3 2 2 3 4 2" xfId="29015" xr:uid="{00000000-0005-0000-0000-00007B130000}"/>
    <cellStyle name="20% - Accent2 2 3 2 2 3 5" xfId="24519" xr:uid="{00000000-0005-0000-0000-00007C130000}"/>
    <cellStyle name="20% - Accent2 2 3 2 2 4" xfId="5630" xr:uid="{00000000-0005-0000-0000-00007D130000}"/>
    <cellStyle name="20% - Accent2 2 3 2 2 4 2" xfId="6876" xr:uid="{00000000-0005-0000-0000-00007E130000}"/>
    <cellStyle name="20% - Accent2 2 3 2 2 4 2 2" xfId="11212" xr:uid="{00000000-0005-0000-0000-00007F130000}"/>
    <cellStyle name="20% - Accent2 2 3 2 2 4 2 2 2" xfId="30682" xr:uid="{00000000-0005-0000-0000-000080130000}"/>
    <cellStyle name="20% - Accent2 2 3 2 2 4 2 3" xfId="26360" xr:uid="{00000000-0005-0000-0000-000081130000}"/>
    <cellStyle name="20% - Accent2 2 3 2 2 4 3" xfId="10075" xr:uid="{00000000-0005-0000-0000-000082130000}"/>
    <cellStyle name="20% - Accent2 2 3 2 2 4 3 2" xfId="29545" xr:uid="{00000000-0005-0000-0000-000083130000}"/>
    <cellStyle name="20% - Accent2 2 3 2 2 4 4" xfId="25117" xr:uid="{00000000-0005-0000-0000-000084130000}"/>
    <cellStyle name="20% - Accent2 2 3 2 2 5" xfId="6869" xr:uid="{00000000-0005-0000-0000-000085130000}"/>
    <cellStyle name="20% - Accent2 2 3 2 2 5 2" xfId="11205" xr:uid="{00000000-0005-0000-0000-000086130000}"/>
    <cellStyle name="20% - Accent2 2 3 2 2 5 2 2" xfId="30675" xr:uid="{00000000-0005-0000-0000-000087130000}"/>
    <cellStyle name="20% - Accent2 2 3 2 2 5 3" xfId="26353" xr:uid="{00000000-0005-0000-0000-000088130000}"/>
    <cellStyle name="20% - Accent2 2 3 2 2 6" xfId="9011" xr:uid="{00000000-0005-0000-0000-000089130000}"/>
    <cellStyle name="20% - Accent2 2 3 2 2 6 2" xfId="28485" xr:uid="{00000000-0005-0000-0000-00008A130000}"/>
    <cellStyle name="20% - Accent2 2 3 2 2 7" xfId="23869" xr:uid="{00000000-0005-0000-0000-00008B130000}"/>
    <cellStyle name="20% - Accent2 2 3 2 3" xfId="4259" xr:uid="{00000000-0005-0000-0000-00008C130000}"/>
    <cellStyle name="20% - Accent2 2 3 2 3 2" xfId="4834" xr:uid="{00000000-0005-0000-0000-00008D130000}"/>
    <cellStyle name="20% - Accent2 2 3 2 3 2 2" xfId="5459" xr:uid="{00000000-0005-0000-0000-00008E130000}"/>
    <cellStyle name="20% - Accent2 2 3 2 3 2 2 2" xfId="6587" xr:uid="{00000000-0005-0000-0000-00008F130000}"/>
    <cellStyle name="20% - Accent2 2 3 2 3 2 2 2 2" xfId="6880" xr:uid="{00000000-0005-0000-0000-000090130000}"/>
    <cellStyle name="20% - Accent2 2 3 2 3 2 2 2 2 2" xfId="11216" xr:uid="{00000000-0005-0000-0000-000091130000}"/>
    <cellStyle name="20% - Accent2 2 3 2 3 2 2 2 2 2 2" xfId="30686" xr:uid="{00000000-0005-0000-0000-000092130000}"/>
    <cellStyle name="20% - Accent2 2 3 2 3 2 2 2 2 3" xfId="26364" xr:uid="{00000000-0005-0000-0000-000093130000}"/>
    <cellStyle name="20% - Accent2 2 3 2 3 2 2 2 3" xfId="11003" xr:uid="{00000000-0005-0000-0000-000094130000}"/>
    <cellStyle name="20% - Accent2 2 3 2 3 2 2 2 3 2" xfId="30473" xr:uid="{00000000-0005-0000-0000-000095130000}"/>
    <cellStyle name="20% - Accent2 2 3 2 3 2 2 2 4" xfId="26072" xr:uid="{00000000-0005-0000-0000-000096130000}"/>
    <cellStyle name="20% - Accent2 2 3 2 3 2 2 3" xfId="6879" xr:uid="{00000000-0005-0000-0000-000097130000}"/>
    <cellStyle name="20% - Accent2 2 3 2 3 2 2 3 2" xfId="11215" xr:uid="{00000000-0005-0000-0000-000098130000}"/>
    <cellStyle name="20% - Accent2 2 3 2 3 2 2 3 2 2" xfId="30685" xr:uid="{00000000-0005-0000-0000-000099130000}"/>
    <cellStyle name="20% - Accent2 2 3 2 3 2 2 3 3" xfId="26363" xr:uid="{00000000-0005-0000-0000-00009A130000}"/>
    <cellStyle name="20% - Accent2 2 3 2 3 2 2 4" xfId="9942" xr:uid="{00000000-0005-0000-0000-00009B130000}"/>
    <cellStyle name="20% - Accent2 2 3 2 3 2 2 4 2" xfId="29412" xr:uid="{00000000-0005-0000-0000-00009C130000}"/>
    <cellStyle name="20% - Accent2 2 3 2 3 2 2 5" xfId="24950" xr:uid="{00000000-0005-0000-0000-00009D130000}"/>
    <cellStyle name="20% - Accent2 2 3 2 3 2 3" xfId="6052" xr:uid="{00000000-0005-0000-0000-00009E130000}"/>
    <cellStyle name="20% - Accent2 2 3 2 3 2 3 2" xfId="6881" xr:uid="{00000000-0005-0000-0000-00009F130000}"/>
    <cellStyle name="20% - Accent2 2 3 2 3 2 3 2 2" xfId="11217" xr:uid="{00000000-0005-0000-0000-0000A0130000}"/>
    <cellStyle name="20% - Accent2 2 3 2 3 2 3 2 2 2" xfId="30687" xr:uid="{00000000-0005-0000-0000-0000A1130000}"/>
    <cellStyle name="20% - Accent2 2 3 2 3 2 3 2 3" xfId="26365" xr:uid="{00000000-0005-0000-0000-0000A2130000}"/>
    <cellStyle name="20% - Accent2 2 3 2 3 2 3 3" xfId="10472" xr:uid="{00000000-0005-0000-0000-0000A3130000}"/>
    <cellStyle name="20% - Accent2 2 3 2 3 2 3 3 2" xfId="29942" xr:uid="{00000000-0005-0000-0000-0000A4130000}"/>
    <cellStyle name="20% - Accent2 2 3 2 3 2 3 4" xfId="25537" xr:uid="{00000000-0005-0000-0000-0000A5130000}"/>
    <cellStyle name="20% - Accent2 2 3 2 3 2 4" xfId="6878" xr:uid="{00000000-0005-0000-0000-0000A6130000}"/>
    <cellStyle name="20% - Accent2 2 3 2 3 2 4 2" xfId="11214" xr:uid="{00000000-0005-0000-0000-0000A7130000}"/>
    <cellStyle name="20% - Accent2 2 3 2 3 2 4 2 2" xfId="30684" xr:uid="{00000000-0005-0000-0000-0000A8130000}"/>
    <cellStyle name="20% - Accent2 2 3 2 3 2 4 3" xfId="26362" xr:uid="{00000000-0005-0000-0000-0000A9130000}"/>
    <cellStyle name="20% - Accent2 2 3 2 3 2 5" xfId="9412" xr:uid="{00000000-0005-0000-0000-0000AA130000}"/>
    <cellStyle name="20% - Accent2 2 3 2 3 2 5 2" xfId="28882" xr:uid="{00000000-0005-0000-0000-0000AB130000}"/>
    <cellStyle name="20% - Accent2 2 3 2 3 2 6" xfId="24336" xr:uid="{00000000-0005-0000-0000-0000AC130000}"/>
    <cellStyle name="20% - Accent2 2 3 2 3 3" xfId="5164" xr:uid="{00000000-0005-0000-0000-0000AD130000}"/>
    <cellStyle name="20% - Accent2 2 3 2 3 3 2" xfId="6320" xr:uid="{00000000-0005-0000-0000-0000AE130000}"/>
    <cellStyle name="20% - Accent2 2 3 2 3 3 2 2" xfId="6883" xr:uid="{00000000-0005-0000-0000-0000AF130000}"/>
    <cellStyle name="20% - Accent2 2 3 2 3 3 2 2 2" xfId="11219" xr:uid="{00000000-0005-0000-0000-0000B0130000}"/>
    <cellStyle name="20% - Accent2 2 3 2 3 3 2 2 2 2" xfId="30689" xr:uid="{00000000-0005-0000-0000-0000B1130000}"/>
    <cellStyle name="20% - Accent2 2 3 2 3 3 2 2 3" xfId="26367" xr:uid="{00000000-0005-0000-0000-0000B2130000}"/>
    <cellStyle name="20% - Accent2 2 3 2 3 3 2 3" xfId="10737" xr:uid="{00000000-0005-0000-0000-0000B3130000}"/>
    <cellStyle name="20% - Accent2 2 3 2 3 3 2 3 2" xfId="30207" xr:uid="{00000000-0005-0000-0000-0000B4130000}"/>
    <cellStyle name="20% - Accent2 2 3 2 3 3 2 4" xfId="25805" xr:uid="{00000000-0005-0000-0000-0000B5130000}"/>
    <cellStyle name="20% - Accent2 2 3 2 3 3 3" xfId="6882" xr:uid="{00000000-0005-0000-0000-0000B6130000}"/>
    <cellStyle name="20% - Accent2 2 3 2 3 3 3 2" xfId="11218" xr:uid="{00000000-0005-0000-0000-0000B7130000}"/>
    <cellStyle name="20% - Accent2 2 3 2 3 3 3 2 2" xfId="30688" xr:uid="{00000000-0005-0000-0000-0000B8130000}"/>
    <cellStyle name="20% - Accent2 2 3 2 3 3 3 3" xfId="26366" xr:uid="{00000000-0005-0000-0000-0000B9130000}"/>
    <cellStyle name="20% - Accent2 2 3 2 3 3 4" xfId="9677" xr:uid="{00000000-0005-0000-0000-0000BA130000}"/>
    <cellStyle name="20% - Accent2 2 3 2 3 3 4 2" xfId="29147" xr:uid="{00000000-0005-0000-0000-0000BB130000}"/>
    <cellStyle name="20% - Accent2 2 3 2 3 3 5" xfId="24655" xr:uid="{00000000-0005-0000-0000-0000BC130000}"/>
    <cellStyle name="20% - Accent2 2 3 2 3 4" xfId="5773" xr:uid="{00000000-0005-0000-0000-0000BD130000}"/>
    <cellStyle name="20% - Accent2 2 3 2 3 4 2" xfId="6884" xr:uid="{00000000-0005-0000-0000-0000BE130000}"/>
    <cellStyle name="20% - Accent2 2 3 2 3 4 2 2" xfId="11220" xr:uid="{00000000-0005-0000-0000-0000BF130000}"/>
    <cellStyle name="20% - Accent2 2 3 2 3 4 2 2 2" xfId="30690" xr:uid="{00000000-0005-0000-0000-0000C0130000}"/>
    <cellStyle name="20% - Accent2 2 3 2 3 4 2 3" xfId="26368" xr:uid="{00000000-0005-0000-0000-0000C1130000}"/>
    <cellStyle name="20% - Accent2 2 3 2 3 4 3" xfId="10207" xr:uid="{00000000-0005-0000-0000-0000C2130000}"/>
    <cellStyle name="20% - Accent2 2 3 2 3 4 3 2" xfId="29677" xr:uid="{00000000-0005-0000-0000-0000C3130000}"/>
    <cellStyle name="20% - Accent2 2 3 2 3 4 4" xfId="25258" xr:uid="{00000000-0005-0000-0000-0000C4130000}"/>
    <cellStyle name="20% - Accent2 2 3 2 3 5" xfId="6877" xr:uid="{00000000-0005-0000-0000-0000C5130000}"/>
    <cellStyle name="20% - Accent2 2 3 2 3 5 2" xfId="11213" xr:uid="{00000000-0005-0000-0000-0000C6130000}"/>
    <cellStyle name="20% - Accent2 2 3 2 3 5 2 2" xfId="30683" xr:uid="{00000000-0005-0000-0000-0000C7130000}"/>
    <cellStyle name="20% - Accent2 2 3 2 3 5 3" xfId="26361" xr:uid="{00000000-0005-0000-0000-0000C8130000}"/>
    <cellStyle name="20% - Accent2 2 3 2 3 6" xfId="9146" xr:uid="{00000000-0005-0000-0000-0000C9130000}"/>
    <cellStyle name="20% - Accent2 2 3 2 3 6 2" xfId="28617" xr:uid="{00000000-0005-0000-0000-0000CA130000}"/>
    <cellStyle name="20% - Accent2 2 3 2 3 7" xfId="24035" xr:uid="{00000000-0005-0000-0000-0000CB130000}"/>
    <cellStyle name="20% - Accent2 2 3 2 4" xfId="4615" xr:uid="{00000000-0005-0000-0000-0000CC130000}"/>
    <cellStyle name="20% - Accent2 2 3 2 4 2" xfId="5255" xr:uid="{00000000-0005-0000-0000-0000CD130000}"/>
    <cellStyle name="20% - Accent2 2 3 2 4 2 2" xfId="6389" xr:uid="{00000000-0005-0000-0000-0000CE130000}"/>
    <cellStyle name="20% - Accent2 2 3 2 4 2 2 2" xfId="6887" xr:uid="{00000000-0005-0000-0000-0000CF130000}"/>
    <cellStyle name="20% - Accent2 2 3 2 4 2 2 2 2" xfId="11223" xr:uid="{00000000-0005-0000-0000-0000D0130000}"/>
    <cellStyle name="20% - Accent2 2 3 2 4 2 2 2 2 2" xfId="30693" xr:uid="{00000000-0005-0000-0000-0000D1130000}"/>
    <cellStyle name="20% - Accent2 2 3 2 4 2 2 2 3" xfId="26371" xr:uid="{00000000-0005-0000-0000-0000D2130000}"/>
    <cellStyle name="20% - Accent2 2 3 2 4 2 2 3" xfId="10805" xr:uid="{00000000-0005-0000-0000-0000D3130000}"/>
    <cellStyle name="20% - Accent2 2 3 2 4 2 2 3 2" xfId="30275" xr:uid="{00000000-0005-0000-0000-0000D4130000}"/>
    <cellStyle name="20% - Accent2 2 3 2 4 2 2 4" xfId="25874" xr:uid="{00000000-0005-0000-0000-0000D5130000}"/>
    <cellStyle name="20% - Accent2 2 3 2 4 2 3" xfId="6886" xr:uid="{00000000-0005-0000-0000-0000D6130000}"/>
    <cellStyle name="20% - Accent2 2 3 2 4 2 3 2" xfId="11222" xr:uid="{00000000-0005-0000-0000-0000D7130000}"/>
    <cellStyle name="20% - Accent2 2 3 2 4 2 3 2 2" xfId="30692" xr:uid="{00000000-0005-0000-0000-0000D8130000}"/>
    <cellStyle name="20% - Accent2 2 3 2 4 2 3 3" xfId="26370" xr:uid="{00000000-0005-0000-0000-0000D9130000}"/>
    <cellStyle name="20% - Accent2 2 3 2 4 2 4" xfId="9744" xr:uid="{00000000-0005-0000-0000-0000DA130000}"/>
    <cellStyle name="20% - Accent2 2 3 2 4 2 4 2" xfId="29214" xr:uid="{00000000-0005-0000-0000-0000DB130000}"/>
    <cellStyle name="20% - Accent2 2 3 2 4 2 5" xfId="24746" xr:uid="{00000000-0005-0000-0000-0000DC130000}"/>
    <cellStyle name="20% - Accent2 2 3 2 4 3" xfId="5852" xr:uid="{00000000-0005-0000-0000-0000DD130000}"/>
    <cellStyle name="20% - Accent2 2 3 2 4 3 2" xfId="6888" xr:uid="{00000000-0005-0000-0000-0000DE130000}"/>
    <cellStyle name="20% - Accent2 2 3 2 4 3 2 2" xfId="11224" xr:uid="{00000000-0005-0000-0000-0000DF130000}"/>
    <cellStyle name="20% - Accent2 2 3 2 4 3 2 2 2" xfId="30694" xr:uid="{00000000-0005-0000-0000-0000E0130000}"/>
    <cellStyle name="20% - Accent2 2 3 2 4 3 2 3" xfId="26372" xr:uid="{00000000-0005-0000-0000-0000E1130000}"/>
    <cellStyle name="20% - Accent2 2 3 2 4 3 3" xfId="10274" xr:uid="{00000000-0005-0000-0000-0000E2130000}"/>
    <cellStyle name="20% - Accent2 2 3 2 4 3 3 2" xfId="29744" xr:uid="{00000000-0005-0000-0000-0000E3130000}"/>
    <cellStyle name="20% - Accent2 2 3 2 4 3 4" xfId="25337" xr:uid="{00000000-0005-0000-0000-0000E4130000}"/>
    <cellStyle name="20% - Accent2 2 3 2 4 4" xfId="6885" xr:uid="{00000000-0005-0000-0000-0000E5130000}"/>
    <cellStyle name="20% - Accent2 2 3 2 4 4 2" xfId="11221" xr:uid="{00000000-0005-0000-0000-0000E6130000}"/>
    <cellStyle name="20% - Accent2 2 3 2 4 4 2 2" xfId="30691" xr:uid="{00000000-0005-0000-0000-0000E7130000}"/>
    <cellStyle name="20% - Accent2 2 3 2 4 4 3" xfId="26369" xr:uid="{00000000-0005-0000-0000-0000E8130000}"/>
    <cellStyle name="20% - Accent2 2 3 2 4 5" xfId="9214" xr:uid="{00000000-0005-0000-0000-0000E9130000}"/>
    <cellStyle name="20% - Accent2 2 3 2 4 5 2" xfId="28684" xr:uid="{00000000-0005-0000-0000-0000EA130000}"/>
    <cellStyle name="20% - Accent2 2 3 2 4 6" xfId="24126" xr:uid="{00000000-0005-0000-0000-0000EB130000}"/>
    <cellStyle name="20% - Accent2 2 3 2 5" xfId="4959" xr:uid="{00000000-0005-0000-0000-0000EC130000}"/>
    <cellStyle name="20% - Accent2 2 3 2 5 2" xfId="6121" xr:uid="{00000000-0005-0000-0000-0000ED130000}"/>
    <cellStyle name="20% - Accent2 2 3 2 5 2 2" xfId="6890" xr:uid="{00000000-0005-0000-0000-0000EE130000}"/>
    <cellStyle name="20% - Accent2 2 3 2 5 2 2 2" xfId="11226" xr:uid="{00000000-0005-0000-0000-0000EF130000}"/>
    <cellStyle name="20% - Accent2 2 3 2 5 2 2 2 2" xfId="30696" xr:uid="{00000000-0005-0000-0000-0000F0130000}"/>
    <cellStyle name="20% - Accent2 2 3 2 5 2 2 3" xfId="26374" xr:uid="{00000000-0005-0000-0000-0000F1130000}"/>
    <cellStyle name="20% - Accent2 2 3 2 5 2 3" xfId="10539" xr:uid="{00000000-0005-0000-0000-0000F2130000}"/>
    <cellStyle name="20% - Accent2 2 3 2 5 2 3 2" xfId="30009" xr:uid="{00000000-0005-0000-0000-0000F3130000}"/>
    <cellStyle name="20% - Accent2 2 3 2 5 2 4" xfId="25606" xr:uid="{00000000-0005-0000-0000-0000F4130000}"/>
    <cellStyle name="20% - Accent2 2 3 2 5 3" xfId="6889" xr:uid="{00000000-0005-0000-0000-0000F5130000}"/>
    <cellStyle name="20% - Accent2 2 3 2 5 3 2" xfId="11225" xr:uid="{00000000-0005-0000-0000-0000F6130000}"/>
    <cellStyle name="20% - Accent2 2 3 2 5 3 2 2" xfId="30695" xr:uid="{00000000-0005-0000-0000-0000F7130000}"/>
    <cellStyle name="20% - Accent2 2 3 2 5 3 3" xfId="26373" xr:uid="{00000000-0005-0000-0000-0000F8130000}"/>
    <cellStyle name="20% - Accent2 2 3 2 5 4" xfId="9479" xr:uid="{00000000-0005-0000-0000-0000F9130000}"/>
    <cellStyle name="20% - Accent2 2 3 2 5 4 2" xfId="28949" xr:uid="{00000000-0005-0000-0000-0000FA130000}"/>
    <cellStyle name="20% - Accent2 2 3 2 5 5" xfId="24453" xr:uid="{00000000-0005-0000-0000-0000FB130000}"/>
    <cellStyle name="20% - Accent2 2 3 2 6" xfId="5564" xr:uid="{00000000-0005-0000-0000-0000FC130000}"/>
    <cellStyle name="20% - Accent2 2 3 2 6 2" xfId="6891" xr:uid="{00000000-0005-0000-0000-0000FD130000}"/>
    <cellStyle name="20% - Accent2 2 3 2 6 2 2" xfId="11227" xr:uid="{00000000-0005-0000-0000-0000FE130000}"/>
    <cellStyle name="20% - Accent2 2 3 2 6 2 2 2" xfId="30697" xr:uid="{00000000-0005-0000-0000-0000FF130000}"/>
    <cellStyle name="20% - Accent2 2 3 2 6 2 3" xfId="26375" xr:uid="{00000000-0005-0000-0000-000000140000}"/>
    <cellStyle name="20% - Accent2 2 3 2 6 3" xfId="10009" xr:uid="{00000000-0005-0000-0000-000001140000}"/>
    <cellStyle name="20% - Accent2 2 3 2 6 3 2" xfId="29479" xr:uid="{00000000-0005-0000-0000-000002140000}"/>
    <cellStyle name="20% - Accent2 2 3 2 6 4" xfId="25051" xr:uid="{00000000-0005-0000-0000-000003140000}"/>
    <cellStyle name="20% - Accent2 2 3 2 7" xfId="6868" xr:uid="{00000000-0005-0000-0000-000004140000}"/>
    <cellStyle name="20% - Accent2 2 3 2 7 2" xfId="11204" xr:uid="{00000000-0005-0000-0000-000005140000}"/>
    <cellStyle name="20% - Accent2 2 3 2 7 2 2" xfId="30674" xr:uid="{00000000-0005-0000-0000-000006140000}"/>
    <cellStyle name="20% - Accent2 2 3 2 7 3" xfId="26352" xr:uid="{00000000-0005-0000-0000-000007140000}"/>
    <cellStyle name="20% - Accent2 2 3 2 8" xfId="8945" xr:uid="{00000000-0005-0000-0000-000008140000}"/>
    <cellStyle name="20% - Accent2 2 3 2 8 2" xfId="28419" xr:uid="{00000000-0005-0000-0000-000009140000}"/>
    <cellStyle name="20% - Accent2 2 3 2 9" xfId="23677" xr:uid="{00000000-0005-0000-0000-00000A140000}"/>
    <cellStyle name="20% - Accent2 2 3 3" xfId="2942" xr:uid="{00000000-0005-0000-0000-00000B140000}"/>
    <cellStyle name="20% - Accent2 2 3 3 2" xfId="4649" xr:uid="{00000000-0005-0000-0000-00000C140000}"/>
    <cellStyle name="20% - Accent2 2 3 3 2 2" xfId="5289" xr:uid="{00000000-0005-0000-0000-00000D140000}"/>
    <cellStyle name="20% - Accent2 2 3 3 2 2 2" xfId="6423" xr:uid="{00000000-0005-0000-0000-00000E140000}"/>
    <cellStyle name="20% - Accent2 2 3 3 2 2 2 2" xfId="6895" xr:uid="{00000000-0005-0000-0000-00000F140000}"/>
    <cellStyle name="20% - Accent2 2 3 3 2 2 2 2 2" xfId="11231" xr:uid="{00000000-0005-0000-0000-000010140000}"/>
    <cellStyle name="20% - Accent2 2 3 3 2 2 2 2 2 2" xfId="30701" xr:uid="{00000000-0005-0000-0000-000011140000}"/>
    <cellStyle name="20% - Accent2 2 3 3 2 2 2 2 3" xfId="26379" xr:uid="{00000000-0005-0000-0000-000012140000}"/>
    <cellStyle name="20% - Accent2 2 3 3 2 2 2 3" xfId="10839" xr:uid="{00000000-0005-0000-0000-000013140000}"/>
    <cellStyle name="20% - Accent2 2 3 3 2 2 2 3 2" xfId="30309" xr:uid="{00000000-0005-0000-0000-000014140000}"/>
    <cellStyle name="20% - Accent2 2 3 3 2 2 2 4" xfId="25908" xr:uid="{00000000-0005-0000-0000-000015140000}"/>
    <cellStyle name="20% - Accent2 2 3 3 2 2 3" xfId="6894" xr:uid="{00000000-0005-0000-0000-000016140000}"/>
    <cellStyle name="20% - Accent2 2 3 3 2 2 3 2" xfId="11230" xr:uid="{00000000-0005-0000-0000-000017140000}"/>
    <cellStyle name="20% - Accent2 2 3 3 2 2 3 2 2" xfId="30700" xr:uid="{00000000-0005-0000-0000-000018140000}"/>
    <cellStyle name="20% - Accent2 2 3 3 2 2 3 3" xfId="26378" xr:uid="{00000000-0005-0000-0000-000019140000}"/>
    <cellStyle name="20% - Accent2 2 3 3 2 2 4" xfId="9778" xr:uid="{00000000-0005-0000-0000-00001A140000}"/>
    <cellStyle name="20% - Accent2 2 3 3 2 2 4 2" xfId="29248" xr:uid="{00000000-0005-0000-0000-00001B140000}"/>
    <cellStyle name="20% - Accent2 2 3 3 2 2 5" xfId="24780" xr:uid="{00000000-0005-0000-0000-00001C140000}"/>
    <cellStyle name="20% - Accent2 2 3 3 2 3" xfId="5886" xr:uid="{00000000-0005-0000-0000-00001D140000}"/>
    <cellStyle name="20% - Accent2 2 3 3 2 3 2" xfId="6896" xr:uid="{00000000-0005-0000-0000-00001E140000}"/>
    <cellStyle name="20% - Accent2 2 3 3 2 3 2 2" xfId="11232" xr:uid="{00000000-0005-0000-0000-00001F140000}"/>
    <cellStyle name="20% - Accent2 2 3 3 2 3 2 2 2" xfId="30702" xr:uid="{00000000-0005-0000-0000-000020140000}"/>
    <cellStyle name="20% - Accent2 2 3 3 2 3 2 3" xfId="26380" xr:uid="{00000000-0005-0000-0000-000021140000}"/>
    <cellStyle name="20% - Accent2 2 3 3 2 3 3" xfId="10308" xr:uid="{00000000-0005-0000-0000-000022140000}"/>
    <cellStyle name="20% - Accent2 2 3 3 2 3 3 2" xfId="29778" xr:uid="{00000000-0005-0000-0000-000023140000}"/>
    <cellStyle name="20% - Accent2 2 3 3 2 3 4" xfId="25371" xr:uid="{00000000-0005-0000-0000-000024140000}"/>
    <cellStyle name="20% - Accent2 2 3 3 2 4" xfId="6893" xr:uid="{00000000-0005-0000-0000-000025140000}"/>
    <cellStyle name="20% - Accent2 2 3 3 2 4 2" xfId="11229" xr:uid="{00000000-0005-0000-0000-000026140000}"/>
    <cellStyle name="20% - Accent2 2 3 3 2 4 2 2" xfId="30699" xr:uid="{00000000-0005-0000-0000-000027140000}"/>
    <cellStyle name="20% - Accent2 2 3 3 2 4 3" xfId="26377" xr:uid="{00000000-0005-0000-0000-000028140000}"/>
    <cellStyle name="20% - Accent2 2 3 3 2 5" xfId="9248" xr:uid="{00000000-0005-0000-0000-000029140000}"/>
    <cellStyle name="20% - Accent2 2 3 3 2 5 2" xfId="28718" xr:uid="{00000000-0005-0000-0000-00002A140000}"/>
    <cellStyle name="20% - Accent2 2 3 3 2 6" xfId="24160" xr:uid="{00000000-0005-0000-0000-00002B140000}"/>
    <cellStyle name="20% - Accent2 2 3 3 3" xfId="4993" xr:uid="{00000000-0005-0000-0000-00002C140000}"/>
    <cellStyle name="20% - Accent2 2 3 3 3 2" xfId="6155" xr:uid="{00000000-0005-0000-0000-00002D140000}"/>
    <cellStyle name="20% - Accent2 2 3 3 3 2 2" xfId="6898" xr:uid="{00000000-0005-0000-0000-00002E140000}"/>
    <cellStyle name="20% - Accent2 2 3 3 3 2 2 2" xfId="11234" xr:uid="{00000000-0005-0000-0000-00002F140000}"/>
    <cellStyle name="20% - Accent2 2 3 3 3 2 2 2 2" xfId="30704" xr:uid="{00000000-0005-0000-0000-000030140000}"/>
    <cellStyle name="20% - Accent2 2 3 3 3 2 2 3" xfId="26382" xr:uid="{00000000-0005-0000-0000-000031140000}"/>
    <cellStyle name="20% - Accent2 2 3 3 3 2 3" xfId="10573" xr:uid="{00000000-0005-0000-0000-000032140000}"/>
    <cellStyle name="20% - Accent2 2 3 3 3 2 3 2" xfId="30043" xr:uid="{00000000-0005-0000-0000-000033140000}"/>
    <cellStyle name="20% - Accent2 2 3 3 3 2 4" xfId="25640" xr:uid="{00000000-0005-0000-0000-000034140000}"/>
    <cellStyle name="20% - Accent2 2 3 3 3 3" xfId="6897" xr:uid="{00000000-0005-0000-0000-000035140000}"/>
    <cellStyle name="20% - Accent2 2 3 3 3 3 2" xfId="11233" xr:uid="{00000000-0005-0000-0000-000036140000}"/>
    <cellStyle name="20% - Accent2 2 3 3 3 3 2 2" xfId="30703" xr:uid="{00000000-0005-0000-0000-000037140000}"/>
    <cellStyle name="20% - Accent2 2 3 3 3 3 3" xfId="26381" xr:uid="{00000000-0005-0000-0000-000038140000}"/>
    <cellStyle name="20% - Accent2 2 3 3 3 4" xfId="9513" xr:uid="{00000000-0005-0000-0000-000039140000}"/>
    <cellStyle name="20% - Accent2 2 3 3 3 4 2" xfId="28983" xr:uid="{00000000-0005-0000-0000-00003A140000}"/>
    <cellStyle name="20% - Accent2 2 3 3 3 5" xfId="24487" xr:uid="{00000000-0005-0000-0000-00003B140000}"/>
    <cellStyle name="20% - Accent2 2 3 3 4" xfId="5598" xr:uid="{00000000-0005-0000-0000-00003C140000}"/>
    <cellStyle name="20% - Accent2 2 3 3 4 2" xfId="6899" xr:uid="{00000000-0005-0000-0000-00003D140000}"/>
    <cellStyle name="20% - Accent2 2 3 3 4 2 2" xfId="11235" xr:uid="{00000000-0005-0000-0000-00003E140000}"/>
    <cellStyle name="20% - Accent2 2 3 3 4 2 2 2" xfId="30705" xr:uid="{00000000-0005-0000-0000-00003F140000}"/>
    <cellStyle name="20% - Accent2 2 3 3 4 2 3" xfId="26383" xr:uid="{00000000-0005-0000-0000-000040140000}"/>
    <cellStyle name="20% - Accent2 2 3 3 4 3" xfId="10043" xr:uid="{00000000-0005-0000-0000-000041140000}"/>
    <cellStyle name="20% - Accent2 2 3 3 4 3 2" xfId="29513" xr:uid="{00000000-0005-0000-0000-000042140000}"/>
    <cellStyle name="20% - Accent2 2 3 3 4 4" xfId="25085" xr:uid="{00000000-0005-0000-0000-000043140000}"/>
    <cellStyle name="20% - Accent2 2 3 3 5" xfId="6892" xr:uid="{00000000-0005-0000-0000-000044140000}"/>
    <cellStyle name="20% - Accent2 2 3 3 5 2" xfId="11228" xr:uid="{00000000-0005-0000-0000-000045140000}"/>
    <cellStyle name="20% - Accent2 2 3 3 5 2 2" xfId="30698" xr:uid="{00000000-0005-0000-0000-000046140000}"/>
    <cellStyle name="20% - Accent2 2 3 3 5 3" xfId="26376" xr:uid="{00000000-0005-0000-0000-000047140000}"/>
    <cellStyle name="20% - Accent2 2 3 3 6" xfId="8979" xr:uid="{00000000-0005-0000-0000-000048140000}"/>
    <cellStyle name="20% - Accent2 2 3 3 6 2" xfId="28453" xr:uid="{00000000-0005-0000-0000-000049140000}"/>
    <cellStyle name="20% - Accent2 2 3 3 7" xfId="23751" xr:uid="{00000000-0005-0000-0000-00004A140000}"/>
    <cellStyle name="20% - Accent2 2 3 4" xfId="4187" xr:uid="{00000000-0005-0000-0000-00004B140000}"/>
    <cellStyle name="20% - Accent2 2 3 4 2" xfId="4779" xr:uid="{00000000-0005-0000-0000-00004C140000}"/>
    <cellStyle name="20% - Accent2 2 3 4 2 2" xfId="5405" xr:uid="{00000000-0005-0000-0000-00004D140000}"/>
    <cellStyle name="20% - Accent2 2 3 4 2 2 2" xfId="6533" xr:uid="{00000000-0005-0000-0000-00004E140000}"/>
    <cellStyle name="20% - Accent2 2 3 4 2 2 2 2" xfId="6903" xr:uid="{00000000-0005-0000-0000-00004F140000}"/>
    <cellStyle name="20% - Accent2 2 3 4 2 2 2 2 2" xfId="11239" xr:uid="{00000000-0005-0000-0000-000050140000}"/>
    <cellStyle name="20% - Accent2 2 3 4 2 2 2 2 2 2" xfId="30709" xr:uid="{00000000-0005-0000-0000-000051140000}"/>
    <cellStyle name="20% - Accent2 2 3 4 2 2 2 2 3" xfId="26387" xr:uid="{00000000-0005-0000-0000-000052140000}"/>
    <cellStyle name="20% - Accent2 2 3 4 2 2 2 3" xfId="10949" xr:uid="{00000000-0005-0000-0000-000053140000}"/>
    <cellStyle name="20% - Accent2 2 3 4 2 2 2 3 2" xfId="30419" xr:uid="{00000000-0005-0000-0000-000054140000}"/>
    <cellStyle name="20% - Accent2 2 3 4 2 2 2 4" xfId="26018" xr:uid="{00000000-0005-0000-0000-000055140000}"/>
    <cellStyle name="20% - Accent2 2 3 4 2 2 3" xfId="6902" xr:uid="{00000000-0005-0000-0000-000056140000}"/>
    <cellStyle name="20% - Accent2 2 3 4 2 2 3 2" xfId="11238" xr:uid="{00000000-0005-0000-0000-000057140000}"/>
    <cellStyle name="20% - Accent2 2 3 4 2 2 3 2 2" xfId="30708" xr:uid="{00000000-0005-0000-0000-000058140000}"/>
    <cellStyle name="20% - Accent2 2 3 4 2 2 3 3" xfId="26386" xr:uid="{00000000-0005-0000-0000-000059140000}"/>
    <cellStyle name="20% - Accent2 2 3 4 2 2 4" xfId="9888" xr:uid="{00000000-0005-0000-0000-00005A140000}"/>
    <cellStyle name="20% - Accent2 2 3 4 2 2 4 2" xfId="29358" xr:uid="{00000000-0005-0000-0000-00005B140000}"/>
    <cellStyle name="20% - Accent2 2 3 4 2 2 5" xfId="24896" xr:uid="{00000000-0005-0000-0000-00005C140000}"/>
    <cellStyle name="20% - Accent2 2 3 4 2 3" xfId="5997" xr:uid="{00000000-0005-0000-0000-00005D140000}"/>
    <cellStyle name="20% - Accent2 2 3 4 2 3 2" xfId="6904" xr:uid="{00000000-0005-0000-0000-00005E140000}"/>
    <cellStyle name="20% - Accent2 2 3 4 2 3 2 2" xfId="11240" xr:uid="{00000000-0005-0000-0000-00005F140000}"/>
    <cellStyle name="20% - Accent2 2 3 4 2 3 2 2 2" xfId="30710" xr:uid="{00000000-0005-0000-0000-000060140000}"/>
    <cellStyle name="20% - Accent2 2 3 4 2 3 2 3" xfId="26388" xr:uid="{00000000-0005-0000-0000-000061140000}"/>
    <cellStyle name="20% - Accent2 2 3 4 2 3 3" xfId="10418" xr:uid="{00000000-0005-0000-0000-000062140000}"/>
    <cellStyle name="20% - Accent2 2 3 4 2 3 3 2" xfId="29888" xr:uid="{00000000-0005-0000-0000-000063140000}"/>
    <cellStyle name="20% - Accent2 2 3 4 2 3 4" xfId="25482" xr:uid="{00000000-0005-0000-0000-000064140000}"/>
    <cellStyle name="20% - Accent2 2 3 4 2 4" xfId="6901" xr:uid="{00000000-0005-0000-0000-000065140000}"/>
    <cellStyle name="20% - Accent2 2 3 4 2 4 2" xfId="11237" xr:uid="{00000000-0005-0000-0000-000066140000}"/>
    <cellStyle name="20% - Accent2 2 3 4 2 4 2 2" xfId="30707" xr:uid="{00000000-0005-0000-0000-000067140000}"/>
    <cellStyle name="20% - Accent2 2 3 4 2 4 3" xfId="26385" xr:uid="{00000000-0005-0000-0000-000068140000}"/>
    <cellStyle name="20% - Accent2 2 3 4 2 5" xfId="9358" xr:uid="{00000000-0005-0000-0000-000069140000}"/>
    <cellStyle name="20% - Accent2 2 3 4 2 5 2" xfId="28828" xr:uid="{00000000-0005-0000-0000-00006A140000}"/>
    <cellStyle name="20% - Accent2 2 3 4 2 6" xfId="24281" xr:uid="{00000000-0005-0000-0000-00006B140000}"/>
    <cellStyle name="20% - Accent2 2 3 4 3" xfId="5110" xr:uid="{00000000-0005-0000-0000-00006C140000}"/>
    <cellStyle name="20% - Accent2 2 3 4 3 2" xfId="6266" xr:uid="{00000000-0005-0000-0000-00006D140000}"/>
    <cellStyle name="20% - Accent2 2 3 4 3 2 2" xfId="6906" xr:uid="{00000000-0005-0000-0000-00006E140000}"/>
    <cellStyle name="20% - Accent2 2 3 4 3 2 2 2" xfId="11242" xr:uid="{00000000-0005-0000-0000-00006F140000}"/>
    <cellStyle name="20% - Accent2 2 3 4 3 2 2 2 2" xfId="30712" xr:uid="{00000000-0005-0000-0000-000070140000}"/>
    <cellStyle name="20% - Accent2 2 3 4 3 2 2 3" xfId="26390" xr:uid="{00000000-0005-0000-0000-000071140000}"/>
    <cellStyle name="20% - Accent2 2 3 4 3 2 3" xfId="10683" xr:uid="{00000000-0005-0000-0000-000072140000}"/>
    <cellStyle name="20% - Accent2 2 3 4 3 2 3 2" xfId="30153" xr:uid="{00000000-0005-0000-0000-000073140000}"/>
    <cellStyle name="20% - Accent2 2 3 4 3 2 4" xfId="25751" xr:uid="{00000000-0005-0000-0000-000074140000}"/>
    <cellStyle name="20% - Accent2 2 3 4 3 3" xfId="6905" xr:uid="{00000000-0005-0000-0000-000075140000}"/>
    <cellStyle name="20% - Accent2 2 3 4 3 3 2" xfId="11241" xr:uid="{00000000-0005-0000-0000-000076140000}"/>
    <cellStyle name="20% - Accent2 2 3 4 3 3 2 2" xfId="30711" xr:uid="{00000000-0005-0000-0000-000077140000}"/>
    <cellStyle name="20% - Accent2 2 3 4 3 3 3" xfId="26389" xr:uid="{00000000-0005-0000-0000-000078140000}"/>
    <cellStyle name="20% - Accent2 2 3 4 3 4" xfId="9623" xr:uid="{00000000-0005-0000-0000-000079140000}"/>
    <cellStyle name="20% - Accent2 2 3 4 3 4 2" xfId="29093" xr:uid="{00000000-0005-0000-0000-00007A140000}"/>
    <cellStyle name="20% - Accent2 2 3 4 3 5" xfId="24601" xr:uid="{00000000-0005-0000-0000-00007B140000}"/>
    <cellStyle name="20% - Accent2 2 3 4 4" xfId="5719" xr:uid="{00000000-0005-0000-0000-00007C140000}"/>
    <cellStyle name="20% - Accent2 2 3 4 4 2" xfId="6907" xr:uid="{00000000-0005-0000-0000-00007D140000}"/>
    <cellStyle name="20% - Accent2 2 3 4 4 2 2" xfId="11243" xr:uid="{00000000-0005-0000-0000-00007E140000}"/>
    <cellStyle name="20% - Accent2 2 3 4 4 2 2 2" xfId="30713" xr:uid="{00000000-0005-0000-0000-00007F140000}"/>
    <cellStyle name="20% - Accent2 2 3 4 4 2 3" xfId="26391" xr:uid="{00000000-0005-0000-0000-000080140000}"/>
    <cellStyle name="20% - Accent2 2 3 4 4 3" xfId="10153" xr:uid="{00000000-0005-0000-0000-000081140000}"/>
    <cellStyle name="20% - Accent2 2 3 4 4 3 2" xfId="29623" xr:uid="{00000000-0005-0000-0000-000082140000}"/>
    <cellStyle name="20% - Accent2 2 3 4 4 4" xfId="25204" xr:uid="{00000000-0005-0000-0000-000083140000}"/>
    <cellStyle name="20% - Accent2 2 3 4 5" xfId="6900" xr:uid="{00000000-0005-0000-0000-000084140000}"/>
    <cellStyle name="20% - Accent2 2 3 4 5 2" xfId="11236" xr:uid="{00000000-0005-0000-0000-000085140000}"/>
    <cellStyle name="20% - Accent2 2 3 4 5 2 2" xfId="30706" xr:uid="{00000000-0005-0000-0000-000086140000}"/>
    <cellStyle name="20% - Accent2 2 3 4 5 3" xfId="26384" xr:uid="{00000000-0005-0000-0000-000087140000}"/>
    <cellStyle name="20% - Accent2 2 3 4 6" xfId="9092" xr:uid="{00000000-0005-0000-0000-000088140000}"/>
    <cellStyle name="20% - Accent2 2 3 4 6 2" xfId="28563" xr:uid="{00000000-0005-0000-0000-000089140000}"/>
    <cellStyle name="20% - Accent2 2 3 4 7" xfId="23979" xr:uid="{00000000-0005-0000-0000-00008A140000}"/>
    <cellStyle name="20% - Accent2 2 3 5" xfId="4582" xr:uid="{00000000-0005-0000-0000-00008B140000}"/>
    <cellStyle name="20% - Accent2 2 3 5 2" xfId="5223" xr:uid="{00000000-0005-0000-0000-00008C140000}"/>
    <cellStyle name="20% - Accent2 2 3 5 2 2" xfId="6357" xr:uid="{00000000-0005-0000-0000-00008D140000}"/>
    <cellStyle name="20% - Accent2 2 3 5 2 2 2" xfId="6910" xr:uid="{00000000-0005-0000-0000-00008E140000}"/>
    <cellStyle name="20% - Accent2 2 3 5 2 2 2 2" xfId="11246" xr:uid="{00000000-0005-0000-0000-00008F140000}"/>
    <cellStyle name="20% - Accent2 2 3 5 2 2 2 2 2" xfId="30716" xr:uid="{00000000-0005-0000-0000-000090140000}"/>
    <cellStyle name="20% - Accent2 2 3 5 2 2 2 3" xfId="26394" xr:uid="{00000000-0005-0000-0000-000091140000}"/>
    <cellStyle name="20% - Accent2 2 3 5 2 2 3" xfId="10773" xr:uid="{00000000-0005-0000-0000-000092140000}"/>
    <cellStyle name="20% - Accent2 2 3 5 2 2 3 2" xfId="30243" xr:uid="{00000000-0005-0000-0000-000093140000}"/>
    <cellStyle name="20% - Accent2 2 3 5 2 2 4" xfId="25842" xr:uid="{00000000-0005-0000-0000-000094140000}"/>
    <cellStyle name="20% - Accent2 2 3 5 2 3" xfId="6909" xr:uid="{00000000-0005-0000-0000-000095140000}"/>
    <cellStyle name="20% - Accent2 2 3 5 2 3 2" xfId="11245" xr:uid="{00000000-0005-0000-0000-000096140000}"/>
    <cellStyle name="20% - Accent2 2 3 5 2 3 2 2" xfId="30715" xr:uid="{00000000-0005-0000-0000-000097140000}"/>
    <cellStyle name="20% - Accent2 2 3 5 2 3 3" xfId="26393" xr:uid="{00000000-0005-0000-0000-000098140000}"/>
    <cellStyle name="20% - Accent2 2 3 5 2 4" xfId="9712" xr:uid="{00000000-0005-0000-0000-000099140000}"/>
    <cellStyle name="20% - Accent2 2 3 5 2 4 2" xfId="29182" xr:uid="{00000000-0005-0000-0000-00009A140000}"/>
    <cellStyle name="20% - Accent2 2 3 5 2 5" xfId="24714" xr:uid="{00000000-0005-0000-0000-00009B140000}"/>
    <cellStyle name="20% - Accent2 2 3 5 3" xfId="5819" xr:uid="{00000000-0005-0000-0000-00009C140000}"/>
    <cellStyle name="20% - Accent2 2 3 5 3 2" xfId="6911" xr:uid="{00000000-0005-0000-0000-00009D140000}"/>
    <cellStyle name="20% - Accent2 2 3 5 3 2 2" xfId="11247" xr:uid="{00000000-0005-0000-0000-00009E140000}"/>
    <cellStyle name="20% - Accent2 2 3 5 3 2 2 2" xfId="30717" xr:uid="{00000000-0005-0000-0000-00009F140000}"/>
    <cellStyle name="20% - Accent2 2 3 5 3 2 3" xfId="26395" xr:uid="{00000000-0005-0000-0000-0000A0140000}"/>
    <cellStyle name="20% - Accent2 2 3 5 3 3" xfId="10242" xr:uid="{00000000-0005-0000-0000-0000A1140000}"/>
    <cellStyle name="20% - Accent2 2 3 5 3 3 2" xfId="29712" xr:uid="{00000000-0005-0000-0000-0000A2140000}"/>
    <cellStyle name="20% - Accent2 2 3 5 3 4" xfId="25304" xr:uid="{00000000-0005-0000-0000-0000A3140000}"/>
    <cellStyle name="20% - Accent2 2 3 5 4" xfId="6908" xr:uid="{00000000-0005-0000-0000-0000A4140000}"/>
    <cellStyle name="20% - Accent2 2 3 5 4 2" xfId="11244" xr:uid="{00000000-0005-0000-0000-0000A5140000}"/>
    <cellStyle name="20% - Accent2 2 3 5 4 2 2" xfId="30714" xr:uid="{00000000-0005-0000-0000-0000A6140000}"/>
    <cellStyle name="20% - Accent2 2 3 5 4 3" xfId="26392" xr:uid="{00000000-0005-0000-0000-0000A7140000}"/>
    <cellStyle name="20% - Accent2 2 3 5 5" xfId="9182" xr:uid="{00000000-0005-0000-0000-0000A8140000}"/>
    <cellStyle name="20% - Accent2 2 3 5 5 2" xfId="28652" xr:uid="{00000000-0005-0000-0000-0000A9140000}"/>
    <cellStyle name="20% - Accent2 2 3 5 6" xfId="24093" xr:uid="{00000000-0005-0000-0000-0000AA140000}"/>
    <cellStyle name="20% - Accent2 2 3 6" xfId="4927" xr:uid="{00000000-0005-0000-0000-0000AB140000}"/>
    <cellStyle name="20% - Accent2 2 3 6 2" xfId="6089" xr:uid="{00000000-0005-0000-0000-0000AC140000}"/>
    <cellStyle name="20% - Accent2 2 3 6 2 2" xfId="6913" xr:uid="{00000000-0005-0000-0000-0000AD140000}"/>
    <cellStyle name="20% - Accent2 2 3 6 2 2 2" xfId="11249" xr:uid="{00000000-0005-0000-0000-0000AE140000}"/>
    <cellStyle name="20% - Accent2 2 3 6 2 2 2 2" xfId="30719" xr:uid="{00000000-0005-0000-0000-0000AF140000}"/>
    <cellStyle name="20% - Accent2 2 3 6 2 2 3" xfId="26397" xr:uid="{00000000-0005-0000-0000-0000B0140000}"/>
    <cellStyle name="20% - Accent2 2 3 6 2 3" xfId="10507" xr:uid="{00000000-0005-0000-0000-0000B1140000}"/>
    <cellStyle name="20% - Accent2 2 3 6 2 3 2" xfId="29977" xr:uid="{00000000-0005-0000-0000-0000B2140000}"/>
    <cellStyle name="20% - Accent2 2 3 6 2 4" xfId="25574" xr:uid="{00000000-0005-0000-0000-0000B3140000}"/>
    <cellStyle name="20% - Accent2 2 3 6 3" xfId="6912" xr:uid="{00000000-0005-0000-0000-0000B4140000}"/>
    <cellStyle name="20% - Accent2 2 3 6 3 2" xfId="11248" xr:uid="{00000000-0005-0000-0000-0000B5140000}"/>
    <cellStyle name="20% - Accent2 2 3 6 3 2 2" xfId="30718" xr:uid="{00000000-0005-0000-0000-0000B6140000}"/>
    <cellStyle name="20% - Accent2 2 3 6 3 3" xfId="26396" xr:uid="{00000000-0005-0000-0000-0000B7140000}"/>
    <cellStyle name="20% - Accent2 2 3 6 4" xfId="9447" xr:uid="{00000000-0005-0000-0000-0000B8140000}"/>
    <cellStyle name="20% - Accent2 2 3 6 4 2" xfId="28917" xr:uid="{00000000-0005-0000-0000-0000B9140000}"/>
    <cellStyle name="20% - Accent2 2 3 6 5" xfId="24421" xr:uid="{00000000-0005-0000-0000-0000BA140000}"/>
    <cellStyle name="20% - Accent2 2 3 7" xfId="5531" xr:uid="{00000000-0005-0000-0000-0000BB140000}"/>
    <cellStyle name="20% - Accent2 2 3 7 2" xfId="6914" xr:uid="{00000000-0005-0000-0000-0000BC140000}"/>
    <cellStyle name="20% - Accent2 2 3 7 2 2" xfId="11250" xr:uid="{00000000-0005-0000-0000-0000BD140000}"/>
    <cellStyle name="20% - Accent2 2 3 7 2 2 2" xfId="30720" xr:uid="{00000000-0005-0000-0000-0000BE140000}"/>
    <cellStyle name="20% - Accent2 2 3 7 2 3" xfId="26398" xr:uid="{00000000-0005-0000-0000-0000BF140000}"/>
    <cellStyle name="20% - Accent2 2 3 7 3" xfId="9977" xr:uid="{00000000-0005-0000-0000-0000C0140000}"/>
    <cellStyle name="20% - Accent2 2 3 7 3 2" xfId="29447" xr:uid="{00000000-0005-0000-0000-0000C1140000}"/>
    <cellStyle name="20% - Accent2 2 3 7 4" xfId="25019" xr:uid="{00000000-0005-0000-0000-0000C2140000}"/>
    <cellStyle name="20% - Accent2 2 3 8" xfId="6867" xr:uid="{00000000-0005-0000-0000-0000C3140000}"/>
    <cellStyle name="20% - Accent2 2 3 8 2" xfId="11203" xr:uid="{00000000-0005-0000-0000-0000C4140000}"/>
    <cellStyle name="20% - Accent2 2 3 8 2 2" xfId="30673" xr:uid="{00000000-0005-0000-0000-0000C5140000}"/>
    <cellStyle name="20% - Accent2 2 3 8 3" xfId="26351" xr:uid="{00000000-0005-0000-0000-0000C6140000}"/>
    <cellStyle name="20% - Accent2 2 3 9" xfId="8913" xr:uid="{00000000-0005-0000-0000-0000C7140000}"/>
    <cellStyle name="20% - Accent2 2 3 9 2" xfId="28387" xr:uid="{00000000-0005-0000-0000-0000C8140000}"/>
    <cellStyle name="20% - Accent2 2 4" xfId="3893" xr:uid="{00000000-0005-0000-0000-0000C9140000}"/>
    <cellStyle name="20% - Accent2 2 4 2" xfId="4241" xr:uid="{00000000-0005-0000-0000-0000CA140000}"/>
    <cellStyle name="20% - Accent2 2 4 2 2" xfId="4816" xr:uid="{00000000-0005-0000-0000-0000CB140000}"/>
    <cellStyle name="20% - Accent2 2 4 2 2 2" xfId="5441" xr:uid="{00000000-0005-0000-0000-0000CC140000}"/>
    <cellStyle name="20% - Accent2 2 4 2 2 2 2" xfId="6569" xr:uid="{00000000-0005-0000-0000-0000CD140000}"/>
    <cellStyle name="20% - Accent2 2 4 2 2 2 2 2" xfId="6919" xr:uid="{00000000-0005-0000-0000-0000CE140000}"/>
    <cellStyle name="20% - Accent2 2 4 2 2 2 2 2 2" xfId="11255" xr:uid="{00000000-0005-0000-0000-0000CF140000}"/>
    <cellStyle name="20% - Accent2 2 4 2 2 2 2 2 2 2" xfId="30725" xr:uid="{00000000-0005-0000-0000-0000D0140000}"/>
    <cellStyle name="20% - Accent2 2 4 2 2 2 2 2 3" xfId="26403" xr:uid="{00000000-0005-0000-0000-0000D1140000}"/>
    <cellStyle name="20% - Accent2 2 4 2 2 2 2 3" xfId="10985" xr:uid="{00000000-0005-0000-0000-0000D2140000}"/>
    <cellStyle name="20% - Accent2 2 4 2 2 2 2 3 2" xfId="30455" xr:uid="{00000000-0005-0000-0000-0000D3140000}"/>
    <cellStyle name="20% - Accent2 2 4 2 2 2 2 4" xfId="26054" xr:uid="{00000000-0005-0000-0000-0000D4140000}"/>
    <cellStyle name="20% - Accent2 2 4 2 2 2 3" xfId="6918" xr:uid="{00000000-0005-0000-0000-0000D5140000}"/>
    <cellStyle name="20% - Accent2 2 4 2 2 2 3 2" xfId="11254" xr:uid="{00000000-0005-0000-0000-0000D6140000}"/>
    <cellStyle name="20% - Accent2 2 4 2 2 2 3 2 2" xfId="30724" xr:uid="{00000000-0005-0000-0000-0000D7140000}"/>
    <cellStyle name="20% - Accent2 2 4 2 2 2 3 3" xfId="26402" xr:uid="{00000000-0005-0000-0000-0000D8140000}"/>
    <cellStyle name="20% - Accent2 2 4 2 2 2 4" xfId="9924" xr:uid="{00000000-0005-0000-0000-0000D9140000}"/>
    <cellStyle name="20% - Accent2 2 4 2 2 2 4 2" xfId="29394" xr:uid="{00000000-0005-0000-0000-0000DA140000}"/>
    <cellStyle name="20% - Accent2 2 4 2 2 2 5" xfId="24932" xr:uid="{00000000-0005-0000-0000-0000DB140000}"/>
    <cellStyle name="20% - Accent2 2 4 2 2 3" xfId="6034" xr:uid="{00000000-0005-0000-0000-0000DC140000}"/>
    <cellStyle name="20% - Accent2 2 4 2 2 3 2" xfId="6920" xr:uid="{00000000-0005-0000-0000-0000DD140000}"/>
    <cellStyle name="20% - Accent2 2 4 2 2 3 2 2" xfId="11256" xr:uid="{00000000-0005-0000-0000-0000DE140000}"/>
    <cellStyle name="20% - Accent2 2 4 2 2 3 2 2 2" xfId="30726" xr:uid="{00000000-0005-0000-0000-0000DF140000}"/>
    <cellStyle name="20% - Accent2 2 4 2 2 3 2 3" xfId="26404" xr:uid="{00000000-0005-0000-0000-0000E0140000}"/>
    <cellStyle name="20% - Accent2 2 4 2 2 3 3" xfId="10454" xr:uid="{00000000-0005-0000-0000-0000E1140000}"/>
    <cellStyle name="20% - Accent2 2 4 2 2 3 3 2" xfId="29924" xr:uid="{00000000-0005-0000-0000-0000E2140000}"/>
    <cellStyle name="20% - Accent2 2 4 2 2 3 4" xfId="25519" xr:uid="{00000000-0005-0000-0000-0000E3140000}"/>
    <cellStyle name="20% - Accent2 2 4 2 2 4" xfId="6917" xr:uid="{00000000-0005-0000-0000-0000E4140000}"/>
    <cellStyle name="20% - Accent2 2 4 2 2 4 2" xfId="11253" xr:uid="{00000000-0005-0000-0000-0000E5140000}"/>
    <cellStyle name="20% - Accent2 2 4 2 2 4 2 2" xfId="30723" xr:uid="{00000000-0005-0000-0000-0000E6140000}"/>
    <cellStyle name="20% - Accent2 2 4 2 2 4 3" xfId="26401" xr:uid="{00000000-0005-0000-0000-0000E7140000}"/>
    <cellStyle name="20% - Accent2 2 4 2 2 5" xfId="9394" xr:uid="{00000000-0005-0000-0000-0000E8140000}"/>
    <cellStyle name="20% - Accent2 2 4 2 2 5 2" xfId="28864" xr:uid="{00000000-0005-0000-0000-0000E9140000}"/>
    <cellStyle name="20% - Accent2 2 4 2 2 6" xfId="24318" xr:uid="{00000000-0005-0000-0000-0000EA140000}"/>
    <cellStyle name="20% - Accent2 2 4 2 3" xfId="5146" xr:uid="{00000000-0005-0000-0000-0000EB140000}"/>
    <cellStyle name="20% - Accent2 2 4 2 3 2" xfId="6302" xr:uid="{00000000-0005-0000-0000-0000EC140000}"/>
    <cellStyle name="20% - Accent2 2 4 2 3 2 2" xfId="6922" xr:uid="{00000000-0005-0000-0000-0000ED140000}"/>
    <cellStyle name="20% - Accent2 2 4 2 3 2 2 2" xfId="11258" xr:uid="{00000000-0005-0000-0000-0000EE140000}"/>
    <cellStyle name="20% - Accent2 2 4 2 3 2 2 2 2" xfId="30728" xr:uid="{00000000-0005-0000-0000-0000EF140000}"/>
    <cellStyle name="20% - Accent2 2 4 2 3 2 2 3" xfId="26406" xr:uid="{00000000-0005-0000-0000-0000F0140000}"/>
    <cellStyle name="20% - Accent2 2 4 2 3 2 3" xfId="10719" xr:uid="{00000000-0005-0000-0000-0000F1140000}"/>
    <cellStyle name="20% - Accent2 2 4 2 3 2 3 2" xfId="30189" xr:uid="{00000000-0005-0000-0000-0000F2140000}"/>
    <cellStyle name="20% - Accent2 2 4 2 3 2 4" xfId="25787" xr:uid="{00000000-0005-0000-0000-0000F3140000}"/>
    <cellStyle name="20% - Accent2 2 4 2 3 3" xfId="6921" xr:uid="{00000000-0005-0000-0000-0000F4140000}"/>
    <cellStyle name="20% - Accent2 2 4 2 3 3 2" xfId="11257" xr:uid="{00000000-0005-0000-0000-0000F5140000}"/>
    <cellStyle name="20% - Accent2 2 4 2 3 3 2 2" xfId="30727" xr:uid="{00000000-0005-0000-0000-0000F6140000}"/>
    <cellStyle name="20% - Accent2 2 4 2 3 3 3" xfId="26405" xr:uid="{00000000-0005-0000-0000-0000F7140000}"/>
    <cellStyle name="20% - Accent2 2 4 2 3 4" xfId="9659" xr:uid="{00000000-0005-0000-0000-0000F8140000}"/>
    <cellStyle name="20% - Accent2 2 4 2 3 4 2" xfId="29129" xr:uid="{00000000-0005-0000-0000-0000F9140000}"/>
    <cellStyle name="20% - Accent2 2 4 2 3 5" xfId="24637" xr:uid="{00000000-0005-0000-0000-0000FA140000}"/>
    <cellStyle name="20% - Accent2 2 4 2 4" xfId="5755" xr:uid="{00000000-0005-0000-0000-0000FB140000}"/>
    <cellStyle name="20% - Accent2 2 4 2 4 2" xfId="6923" xr:uid="{00000000-0005-0000-0000-0000FC140000}"/>
    <cellStyle name="20% - Accent2 2 4 2 4 2 2" xfId="11259" xr:uid="{00000000-0005-0000-0000-0000FD140000}"/>
    <cellStyle name="20% - Accent2 2 4 2 4 2 2 2" xfId="30729" xr:uid="{00000000-0005-0000-0000-0000FE140000}"/>
    <cellStyle name="20% - Accent2 2 4 2 4 2 3" xfId="26407" xr:uid="{00000000-0005-0000-0000-0000FF140000}"/>
    <cellStyle name="20% - Accent2 2 4 2 4 3" xfId="10189" xr:uid="{00000000-0005-0000-0000-000000150000}"/>
    <cellStyle name="20% - Accent2 2 4 2 4 3 2" xfId="29659" xr:uid="{00000000-0005-0000-0000-000001150000}"/>
    <cellStyle name="20% - Accent2 2 4 2 4 4" xfId="25240" xr:uid="{00000000-0005-0000-0000-000002150000}"/>
    <cellStyle name="20% - Accent2 2 4 2 5" xfId="6916" xr:uid="{00000000-0005-0000-0000-000003150000}"/>
    <cellStyle name="20% - Accent2 2 4 2 5 2" xfId="11252" xr:uid="{00000000-0005-0000-0000-000004150000}"/>
    <cellStyle name="20% - Accent2 2 4 2 5 2 2" xfId="30722" xr:uid="{00000000-0005-0000-0000-000005150000}"/>
    <cellStyle name="20% - Accent2 2 4 2 5 3" xfId="26400" xr:uid="{00000000-0005-0000-0000-000006150000}"/>
    <cellStyle name="20% - Accent2 2 4 2 6" xfId="9128" xr:uid="{00000000-0005-0000-0000-000007150000}"/>
    <cellStyle name="20% - Accent2 2 4 2 6 2" xfId="28599" xr:uid="{00000000-0005-0000-0000-000008150000}"/>
    <cellStyle name="20% - Accent2 2 4 2 7" xfId="24017" xr:uid="{00000000-0005-0000-0000-000009150000}"/>
    <cellStyle name="20% - Accent2 2 4 3" xfId="4725" xr:uid="{00000000-0005-0000-0000-00000A150000}"/>
    <cellStyle name="20% - Accent2 2 4 3 2" xfId="5359" xr:uid="{00000000-0005-0000-0000-00000B150000}"/>
    <cellStyle name="20% - Accent2 2 4 3 2 2" xfId="6487" xr:uid="{00000000-0005-0000-0000-00000C150000}"/>
    <cellStyle name="20% - Accent2 2 4 3 2 2 2" xfId="6926" xr:uid="{00000000-0005-0000-0000-00000D150000}"/>
    <cellStyle name="20% - Accent2 2 4 3 2 2 2 2" xfId="11262" xr:uid="{00000000-0005-0000-0000-00000E150000}"/>
    <cellStyle name="20% - Accent2 2 4 3 2 2 2 2 2" xfId="30732" xr:uid="{00000000-0005-0000-0000-00000F150000}"/>
    <cellStyle name="20% - Accent2 2 4 3 2 2 2 3" xfId="26410" xr:uid="{00000000-0005-0000-0000-000010150000}"/>
    <cellStyle name="20% - Accent2 2 4 3 2 2 3" xfId="10903" xr:uid="{00000000-0005-0000-0000-000011150000}"/>
    <cellStyle name="20% - Accent2 2 4 3 2 2 3 2" xfId="30373" xr:uid="{00000000-0005-0000-0000-000012150000}"/>
    <cellStyle name="20% - Accent2 2 4 3 2 2 4" xfId="25972" xr:uid="{00000000-0005-0000-0000-000013150000}"/>
    <cellStyle name="20% - Accent2 2 4 3 2 3" xfId="6925" xr:uid="{00000000-0005-0000-0000-000014150000}"/>
    <cellStyle name="20% - Accent2 2 4 3 2 3 2" xfId="11261" xr:uid="{00000000-0005-0000-0000-000015150000}"/>
    <cellStyle name="20% - Accent2 2 4 3 2 3 2 2" xfId="30731" xr:uid="{00000000-0005-0000-0000-000016150000}"/>
    <cellStyle name="20% - Accent2 2 4 3 2 3 3" xfId="26409" xr:uid="{00000000-0005-0000-0000-000017150000}"/>
    <cellStyle name="20% - Accent2 2 4 3 2 4" xfId="9842" xr:uid="{00000000-0005-0000-0000-000018150000}"/>
    <cellStyle name="20% - Accent2 2 4 3 2 4 2" xfId="29312" xr:uid="{00000000-0005-0000-0000-000019150000}"/>
    <cellStyle name="20% - Accent2 2 4 3 2 5" xfId="24850" xr:uid="{00000000-0005-0000-0000-00001A150000}"/>
    <cellStyle name="20% - Accent2 2 4 3 3" xfId="5950" xr:uid="{00000000-0005-0000-0000-00001B150000}"/>
    <cellStyle name="20% - Accent2 2 4 3 3 2" xfId="6927" xr:uid="{00000000-0005-0000-0000-00001C150000}"/>
    <cellStyle name="20% - Accent2 2 4 3 3 2 2" xfId="11263" xr:uid="{00000000-0005-0000-0000-00001D150000}"/>
    <cellStyle name="20% - Accent2 2 4 3 3 2 2 2" xfId="30733" xr:uid="{00000000-0005-0000-0000-00001E150000}"/>
    <cellStyle name="20% - Accent2 2 4 3 3 2 3" xfId="26411" xr:uid="{00000000-0005-0000-0000-00001F150000}"/>
    <cellStyle name="20% - Accent2 2 4 3 3 3" xfId="10372" xr:uid="{00000000-0005-0000-0000-000020150000}"/>
    <cellStyle name="20% - Accent2 2 4 3 3 3 2" xfId="29842" xr:uid="{00000000-0005-0000-0000-000021150000}"/>
    <cellStyle name="20% - Accent2 2 4 3 3 4" xfId="25435" xr:uid="{00000000-0005-0000-0000-000022150000}"/>
    <cellStyle name="20% - Accent2 2 4 3 4" xfId="6924" xr:uid="{00000000-0005-0000-0000-000023150000}"/>
    <cellStyle name="20% - Accent2 2 4 3 4 2" xfId="11260" xr:uid="{00000000-0005-0000-0000-000024150000}"/>
    <cellStyle name="20% - Accent2 2 4 3 4 2 2" xfId="30730" xr:uid="{00000000-0005-0000-0000-000025150000}"/>
    <cellStyle name="20% - Accent2 2 4 3 4 3" xfId="26408" xr:uid="{00000000-0005-0000-0000-000026150000}"/>
    <cellStyle name="20% - Accent2 2 4 3 5" xfId="9312" xr:uid="{00000000-0005-0000-0000-000027150000}"/>
    <cellStyle name="20% - Accent2 2 4 3 5 2" xfId="28782" xr:uid="{00000000-0005-0000-0000-000028150000}"/>
    <cellStyle name="20% - Accent2 2 4 3 6" xfId="24232" xr:uid="{00000000-0005-0000-0000-000029150000}"/>
    <cellStyle name="20% - Accent2 2 4 4" xfId="5058" xr:uid="{00000000-0005-0000-0000-00002A150000}"/>
    <cellStyle name="20% - Accent2 2 4 4 2" xfId="6219" xr:uid="{00000000-0005-0000-0000-00002B150000}"/>
    <cellStyle name="20% - Accent2 2 4 4 2 2" xfId="6929" xr:uid="{00000000-0005-0000-0000-00002C150000}"/>
    <cellStyle name="20% - Accent2 2 4 4 2 2 2" xfId="11265" xr:uid="{00000000-0005-0000-0000-00002D150000}"/>
    <cellStyle name="20% - Accent2 2 4 4 2 2 2 2" xfId="30735" xr:uid="{00000000-0005-0000-0000-00002E150000}"/>
    <cellStyle name="20% - Accent2 2 4 4 2 2 3" xfId="26413" xr:uid="{00000000-0005-0000-0000-00002F150000}"/>
    <cellStyle name="20% - Accent2 2 4 4 2 3" xfId="10637" xr:uid="{00000000-0005-0000-0000-000030150000}"/>
    <cellStyle name="20% - Accent2 2 4 4 2 3 2" xfId="30107" xr:uid="{00000000-0005-0000-0000-000031150000}"/>
    <cellStyle name="20% - Accent2 2 4 4 2 4" xfId="25704" xr:uid="{00000000-0005-0000-0000-000032150000}"/>
    <cellStyle name="20% - Accent2 2 4 4 3" xfId="6928" xr:uid="{00000000-0005-0000-0000-000033150000}"/>
    <cellStyle name="20% - Accent2 2 4 4 3 2" xfId="11264" xr:uid="{00000000-0005-0000-0000-000034150000}"/>
    <cellStyle name="20% - Accent2 2 4 4 3 2 2" xfId="30734" xr:uid="{00000000-0005-0000-0000-000035150000}"/>
    <cellStyle name="20% - Accent2 2 4 4 3 3" xfId="26412" xr:uid="{00000000-0005-0000-0000-000036150000}"/>
    <cellStyle name="20% - Accent2 2 4 4 4" xfId="9577" xr:uid="{00000000-0005-0000-0000-000037150000}"/>
    <cellStyle name="20% - Accent2 2 4 4 4 2" xfId="29047" xr:uid="{00000000-0005-0000-0000-000038150000}"/>
    <cellStyle name="20% - Accent2 2 4 4 5" xfId="24551" xr:uid="{00000000-0005-0000-0000-000039150000}"/>
    <cellStyle name="20% - Accent2 2 4 5" xfId="5670" xr:uid="{00000000-0005-0000-0000-00003A150000}"/>
    <cellStyle name="20% - Accent2 2 4 5 2" xfId="6930" xr:uid="{00000000-0005-0000-0000-00003B150000}"/>
    <cellStyle name="20% - Accent2 2 4 5 2 2" xfId="11266" xr:uid="{00000000-0005-0000-0000-00003C150000}"/>
    <cellStyle name="20% - Accent2 2 4 5 2 2 2" xfId="30736" xr:uid="{00000000-0005-0000-0000-00003D150000}"/>
    <cellStyle name="20% - Accent2 2 4 5 2 3" xfId="26414" xr:uid="{00000000-0005-0000-0000-00003E150000}"/>
    <cellStyle name="20% - Accent2 2 4 5 3" xfId="10107" xr:uid="{00000000-0005-0000-0000-00003F150000}"/>
    <cellStyle name="20% - Accent2 2 4 5 3 2" xfId="29577" xr:uid="{00000000-0005-0000-0000-000040150000}"/>
    <cellStyle name="20% - Accent2 2 4 5 4" xfId="25157" xr:uid="{00000000-0005-0000-0000-000041150000}"/>
    <cellStyle name="20% - Accent2 2 4 6" xfId="6915" xr:uid="{00000000-0005-0000-0000-000042150000}"/>
    <cellStyle name="20% - Accent2 2 4 6 2" xfId="11251" xr:uid="{00000000-0005-0000-0000-000043150000}"/>
    <cellStyle name="20% - Accent2 2 4 6 2 2" xfId="30721" xr:uid="{00000000-0005-0000-0000-000044150000}"/>
    <cellStyle name="20% - Accent2 2 4 6 3" xfId="26399" xr:uid="{00000000-0005-0000-0000-000045150000}"/>
    <cellStyle name="20% - Accent2 2 4 7" xfId="9044" xr:uid="{00000000-0005-0000-0000-000046150000}"/>
    <cellStyle name="20% - Accent2 2 4 7 2" xfId="28517" xr:uid="{00000000-0005-0000-0000-000047150000}"/>
    <cellStyle name="20% - Accent2 2 4 8" xfId="23923" xr:uid="{00000000-0005-0000-0000-000048150000}"/>
    <cellStyle name="20% - Accent2 2 5" xfId="4131" xr:uid="{00000000-0005-0000-0000-000049150000}"/>
    <cellStyle name="20% - Accent2 2 5 2" xfId="4758" xr:uid="{00000000-0005-0000-0000-00004A150000}"/>
    <cellStyle name="20% - Accent2 2 5 2 2" xfId="5387" xr:uid="{00000000-0005-0000-0000-00004B150000}"/>
    <cellStyle name="20% - Accent2 2 5 2 2 2" xfId="6515" xr:uid="{00000000-0005-0000-0000-00004C150000}"/>
    <cellStyle name="20% - Accent2 2 5 2 2 2 2" xfId="6934" xr:uid="{00000000-0005-0000-0000-00004D150000}"/>
    <cellStyle name="20% - Accent2 2 5 2 2 2 2 2" xfId="11270" xr:uid="{00000000-0005-0000-0000-00004E150000}"/>
    <cellStyle name="20% - Accent2 2 5 2 2 2 2 2 2" xfId="30740" xr:uid="{00000000-0005-0000-0000-00004F150000}"/>
    <cellStyle name="20% - Accent2 2 5 2 2 2 2 3" xfId="26418" xr:uid="{00000000-0005-0000-0000-000050150000}"/>
    <cellStyle name="20% - Accent2 2 5 2 2 2 3" xfId="10931" xr:uid="{00000000-0005-0000-0000-000051150000}"/>
    <cellStyle name="20% - Accent2 2 5 2 2 2 3 2" xfId="30401" xr:uid="{00000000-0005-0000-0000-000052150000}"/>
    <cellStyle name="20% - Accent2 2 5 2 2 2 4" xfId="26000" xr:uid="{00000000-0005-0000-0000-000053150000}"/>
    <cellStyle name="20% - Accent2 2 5 2 2 3" xfId="6933" xr:uid="{00000000-0005-0000-0000-000054150000}"/>
    <cellStyle name="20% - Accent2 2 5 2 2 3 2" xfId="11269" xr:uid="{00000000-0005-0000-0000-000055150000}"/>
    <cellStyle name="20% - Accent2 2 5 2 2 3 2 2" xfId="30739" xr:uid="{00000000-0005-0000-0000-000056150000}"/>
    <cellStyle name="20% - Accent2 2 5 2 2 3 3" xfId="26417" xr:uid="{00000000-0005-0000-0000-000057150000}"/>
    <cellStyle name="20% - Accent2 2 5 2 2 4" xfId="9870" xr:uid="{00000000-0005-0000-0000-000058150000}"/>
    <cellStyle name="20% - Accent2 2 5 2 2 4 2" xfId="29340" xr:uid="{00000000-0005-0000-0000-000059150000}"/>
    <cellStyle name="20% - Accent2 2 5 2 2 5" xfId="24878" xr:uid="{00000000-0005-0000-0000-00005A150000}"/>
    <cellStyle name="20% - Accent2 2 5 2 3" xfId="5978" xr:uid="{00000000-0005-0000-0000-00005B150000}"/>
    <cellStyle name="20% - Accent2 2 5 2 3 2" xfId="6935" xr:uid="{00000000-0005-0000-0000-00005C150000}"/>
    <cellStyle name="20% - Accent2 2 5 2 3 2 2" xfId="11271" xr:uid="{00000000-0005-0000-0000-00005D150000}"/>
    <cellStyle name="20% - Accent2 2 5 2 3 2 2 2" xfId="30741" xr:uid="{00000000-0005-0000-0000-00005E150000}"/>
    <cellStyle name="20% - Accent2 2 5 2 3 2 3" xfId="26419" xr:uid="{00000000-0005-0000-0000-00005F150000}"/>
    <cellStyle name="20% - Accent2 2 5 2 3 3" xfId="10400" xr:uid="{00000000-0005-0000-0000-000060150000}"/>
    <cellStyle name="20% - Accent2 2 5 2 3 3 2" xfId="29870" xr:uid="{00000000-0005-0000-0000-000061150000}"/>
    <cellStyle name="20% - Accent2 2 5 2 3 4" xfId="25463" xr:uid="{00000000-0005-0000-0000-000062150000}"/>
    <cellStyle name="20% - Accent2 2 5 2 4" xfId="6932" xr:uid="{00000000-0005-0000-0000-000063150000}"/>
    <cellStyle name="20% - Accent2 2 5 2 4 2" xfId="11268" xr:uid="{00000000-0005-0000-0000-000064150000}"/>
    <cellStyle name="20% - Accent2 2 5 2 4 2 2" xfId="30738" xr:uid="{00000000-0005-0000-0000-000065150000}"/>
    <cellStyle name="20% - Accent2 2 5 2 4 3" xfId="26416" xr:uid="{00000000-0005-0000-0000-000066150000}"/>
    <cellStyle name="20% - Accent2 2 5 2 5" xfId="9340" xr:uid="{00000000-0005-0000-0000-000067150000}"/>
    <cellStyle name="20% - Accent2 2 5 2 5 2" xfId="28810" xr:uid="{00000000-0005-0000-0000-000068150000}"/>
    <cellStyle name="20% - Accent2 2 5 2 6" xfId="24263" xr:uid="{00000000-0005-0000-0000-000069150000}"/>
    <cellStyle name="20% - Accent2 2 5 3" xfId="5092" xr:uid="{00000000-0005-0000-0000-00006A150000}"/>
    <cellStyle name="20% - Accent2 2 5 3 2" xfId="6248" xr:uid="{00000000-0005-0000-0000-00006B150000}"/>
    <cellStyle name="20% - Accent2 2 5 3 2 2" xfId="6937" xr:uid="{00000000-0005-0000-0000-00006C150000}"/>
    <cellStyle name="20% - Accent2 2 5 3 2 2 2" xfId="11273" xr:uid="{00000000-0005-0000-0000-00006D150000}"/>
    <cellStyle name="20% - Accent2 2 5 3 2 2 2 2" xfId="30743" xr:uid="{00000000-0005-0000-0000-00006E150000}"/>
    <cellStyle name="20% - Accent2 2 5 3 2 2 3" xfId="26421" xr:uid="{00000000-0005-0000-0000-00006F150000}"/>
    <cellStyle name="20% - Accent2 2 5 3 2 3" xfId="10665" xr:uid="{00000000-0005-0000-0000-000070150000}"/>
    <cellStyle name="20% - Accent2 2 5 3 2 3 2" xfId="30135" xr:uid="{00000000-0005-0000-0000-000071150000}"/>
    <cellStyle name="20% - Accent2 2 5 3 2 4" xfId="25733" xr:uid="{00000000-0005-0000-0000-000072150000}"/>
    <cellStyle name="20% - Accent2 2 5 3 3" xfId="6936" xr:uid="{00000000-0005-0000-0000-000073150000}"/>
    <cellStyle name="20% - Accent2 2 5 3 3 2" xfId="11272" xr:uid="{00000000-0005-0000-0000-000074150000}"/>
    <cellStyle name="20% - Accent2 2 5 3 3 2 2" xfId="30742" xr:uid="{00000000-0005-0000-0000-000075150000}"/>
    <cellStyle name="20% - Accent2 2 5 3 3 3" xfId="26420" xr:uid="{00000000-0005-0000-0000-000076150000}"/>
    <cellStyle name="20% - Accent2 2 5 3 4" xfId="9605" xr:uid="{00000000-0005-0000-0000-000077150000}"/>
    <cellStyle name="20% - Accent2 2 5 3 4 2" xfId="29075" xr:uid="{00000000-0005-0000-0000-000078150000}"/>
    <cellStyle name="20% - Accent2 2 5 3 5" xfId="24583" xr:uid="{00000000-0005-0000-0000-000079150000}"/>
    <cellStyle name="20% - Accent2 2 5 4" xfId="5700" xr:uid="{00000000-0005-0000-0000-00007A150000}"/>
    <cellStyle name="20% - Accent2 2 5 4 2" xfId="6938" xr:uid="{00000000-0005-0000-0000-00007B150000}"/>
    <cellStyle name="20% - Accent2 2 5 4 2 2" xfId="11274" xr:uid="{00000000-0005-0000-0000-00007C150000}"/>
    <cellStyle name="20% - Accent2 2 5 4 2 2 2" xfId="30744" xr:uid="{00000000-0005-0000-0000-00007D150000}"/>
    <cellStyle name="20% - Accent2 2 5 4 2 3" xfId="26422" xr:uid="{00000000-0005-0000-0000-00007E150000}"/>
    <cellStyle name="20% - Accent2 2 5 4 3" xfId="10135" xr:uid="{00000000-0005-0000-0000-00007F150000}"/>
    <cellStyle name="20% - Accent2 2 5 4 3 2" xfId="29605" xr:uid="{00000000-0005-0000-0000-000080150000}"/>
    <cellStyle name="20% - Accent2 2 5 4 4" xfId="25185" xr:uid="{00000000-0005-0000-0000-000081150000}"/>
    <cellStyle name="20% - Accent2 2 5 5" xfId="6931" xr:uid="{00000000-0005-0000-0000-000082150000}"/>
    <cellStyle name="20% - Accent2 2 5 5 2" xfId="11267" xr:uid="{00000000-0005-0000-0000-000083150000}"/>
    <cellStyle name="20% - Accent2 2 5 5 2 2" xfId="30737" xr:uid="{00000000-0005-0000-0000-000084150000}"/>
    <cellStyle name="20% - Accent2 2 5 5 3" xfId="26415" xr:uid="{00000000-0005-0000-0000-000085150000}"/>
    <cellStyle name="20% - Accent2 2 5 6" xfId="9074" xr:uid="{00000000-0005-0000-0000-000086150000}"/>
    <cellStyle name="20% - Accent2 2 5 6 2" xfId="28545" xr:uid="{00000000-0005-0000-0000-000087150000}"/>
    <cellStyle name="20% - Accent2 2 5 7" xfId="23960" xr:uid="{00000000-0005-0000-0000-000088150000}"/>
    <cellStyle name="20% - Accent2 3" xfId="2049" xr:uid="{00000000-0005-0000-0000-000089150000}"/>
    <cellStyle name="20% - Accent2 3 2" xfId="4152" xr:uid="{00000000-0005-0000-0000-00008A150000}"/>
    <cellStyle name="20% - Accent2 4" xfId="2094" xr:uid="{00000000-0005-0000-0000-00008B150000}"/>
    <cellStyle name="20% - Accent2 4 2" xfId="4201" xr:uid="{00000000-0005-0000-0000-00008C150000}"/>
    <cellStyle name="20% - Accent2 5" xfId="2696" xr:uid="{00000000-0005-0000-0000-00008D150000}"/>
    <cellStyle name="20% - Accent3" xfId="1298" builtinId="38" customBuiltin="1"/>
    <cellStyle name="20% - Accent3 2" xfId="1299" xr:uid="{00000000-0005-0000-0000-00008F150000}"/>
    <cellStyle name="20% - Accent3 2 2" xfId="2697" xr:uid="{00000000-0005-0000-0000-000090150000}"/>
    <cellStyle name="20% - Accent3 2 2 10" xfId="23559" xr:uid="{00000000-0005-0000-0000-000091150000}"/>
    <cellStyle name="20% - Accent3 2 2 2" xfId="2867" xr:uid="{00000000-0005-0000-0000-000092150000}"/>
    <cellStyle name="20% - Accent3 2 2 2 2" xfId="3061" xr:uid="{00000000-0005-0000-0000-000093150000}"/>
    <cellStyle name="20% - Accent3 2 2 2 2 2" xfId="4688" xr:uid="{00000000-0005-0000-0000-000094150000}"/>
    <cellStyle name="20% - Accent3 2 2 2 2 2 2" xfId="5322" xr:uid="{00000000-0005-0000-0000-000095150000}"/>
    <cellStyle name="20% - Accent3 2 2 2 2 2 2 2" xfId="6456" xr:uid="{00000000-0005-0000-0000-000096150000}"/>
    <cellStyle name="20% - Accent3 2 2 2 2 2 2 2 2" xfId="6944" xr:uid="{00000000-0005-0000-0000-000097150000}"/>
    <cellStyle name="20% - Accent3 2 2 2 2 2 2 2 2 2" xfId="11280" xr:uid="{00000000-0005-0000-0000-000098150000}"/>
    <cellStyle name="20% - Accent3 2 2 2 2 2 2 2 2 2 2" xfId="30750" xr:uid="{00000000-0005-0000-0000-000099150000}"/>
    <cellStyle name="20% - Accent3 2 2 2 2 2 2 2 2 3" xfId="26428" xr:uid="{00000000-0005-0000-0000-00009A150000}"/>
    <cellStyle name="20% - Accent3 2 2 2 2 2 2 2 3" xfId="10872" xr:uid="{00000000-0005-0000-0000-00009B150000}"/>
    <cellStyle name="20% - Accent3 2 2 2 2 2 2 2 3 2" xfId="30342" xr:uid="{00000000-0005-0000-0000-00009C150000}"/>
    <cellStyle name="20% - Accent3 2 2 2 2 2 2 2 4" xfId="25941" xr:uid="{00000000-0005-0000-0000-00009D150000}"/>
    <cellStyle name="20% - Accent3 2 2 2 2 2 2 3" xfId="6943" xr:uid="{00000000-0005-0000-0000-00009E150000}"/>
    <cellStyle name="20% - Accent3 2 2 2 2 2 2 3 2" xfId="11279" xr:uid="{00000000-0005-0000-0000-00009F150000}"/>
    <cellStyle name="20% - Accent3 2 2 2 2 2 2 3 2 2" xfId="30749" xr:uid="{00000000-0005-0000-0000-0000A0150000}"/>
    <cellStyle name="20% - Accent3 2 2 2 2 2 2 3 3" xfId="26427" xr:uid="{00000000-0005-0000-0000-0000A1150000}"/>
    <cellStyle name="20% - Accent3 2 2 2 2 2 2 4" xfId="9811" xr:uid="{00000000-0005-0000-0000-0000A2150000}"/>
    <cellStyle name="20% - Accent3 2 2 2 2 2 2 4 2" xfId="29281" xr:uid="{00000000-0005-0000-0000-0000A3150000}"/>
    <cellStyle name="20% - Accent3 2 2 2 2 2 2 5" xfId="24813" xr:uid="{00000000-0005-0000-0000-0000A4150000}"/>
    <cellStyle name="20% - Accent3 2 2 2 2 2 3" xfId="5919" xr:uid="{00000000-0005-0000-0000-0000A5150000}"/>
    <cellStyle name="20% - Accent3 2 2 2 2 2 3 2" xfId="6945" xr:uid="{00000000-0005-0000-0000-0000A6150000}"/>
    <cellStyle name="20% - Accent3 2 2 2 2 2 3 2 2" xfId="11281" xr:uid="{00000000-0005-0000-0000-0000A7150000}"/>
    <cellStyle name="20% - Accent3 2 2 2 2 2 3 2 2 2" xfId="30751" xr:uid="{00000000-0005-0000-0000-0000A8150000}"/>
    <cellStyle name="20% - Accent3 2 2 2 2 2 3 2 3" xfId="26429" xr:uid="{00000000-0005-0000-0000-0000A9150000}"/>
    <cellStyle name="20% - Accent3 2 2 2 2 2 3 3" xfId="10341" xr:uid="{00000000-0005-0000-0000-0000AA150000}"/>
    <cellStyle name="20% - Accent3 2 2 2 2 2 3 3 2" xfId="29811" xr:uid="{00000000-0005-0000-0000-0000AB150000}"/>
    <cellStyle name="20% - Accent3 2 2 2 2 2 3 4" xfId="25404" xr:uid="{00000000-0005-0000-0000-0000AC150000}"/>
    <cellStyle name="20% - Accent3 2 2 2 2 2 4" xfId="6942" xr:uid="{00000000-0005-0000-0000-0000AD150000}"/>
    <cellStyle name="20% - Accent3 2 2 2 2 2 4 2" xfId="11278" xr:uid="{00000000-0005-0000-0000-0000AE150000}"/>
    <cellStyle name="20% - Accent3 2 2 2 2 2 4 2 2" xfId="30748" xr:uid="{00000000-0005-0000-0000-0000AF150000}"/>
    <cellStyle name="20% - Accent3 2 2 2 2 2 4 3" xfId="26426" xr:uid="{00000000-0005-0000-0000-0000B0150000}"/>
    <cellStyle name="20% - Accent3 2 2 2 2 2 5" xfId="9281" xr:uid="{00000000-0005-0000-0000-0000B1150000}"/>
    <cellStyle name="20% - Accent3 2 2 2 2 2 5 2" xfId="28751" xr:uid="{00000000-0005-0000-0000-0000B2150000}"/>
    <cellStyle name="20% - Accent3 2 2 2 2 2 6" xfId="24199" xr:uid="{00000000-0005-0000-0000-0000B3150000}"/>
    <cellStyle name="20% - Accent3 2 2 2 2 3" xfId="5026" xr:uid="{00000000-0005-0000-0000-0000B4150000}"/>
    <cellStyle name="20% - Accent3 2 2 2 2 3 2" xfId="6188" xr:uid="{00000000-0005-0000-0000-0000B5150000}"/>
    <cellStyle name="20% - Accent3 2 2 2 2 3 2 2" xfId="6947" xr:uid="{00000000-0005-0000-0000-0000B6150000}"/>
    <cellStyle name="20% - Accent3 2 2 2 2 3 2 2 2" xfId="11283" xr:uid="{00000000-0005-0000-0000-0000B7150000}"/>
    <cellStyle name="20% - Accent3 2 2 2 2 3 2 2 2 2" xfId="30753" xr:uid="{00000000-0005-0000-0000-0000B8150000}"/>
    <cellStyle name="20% - Accent3 2 2 2 2 3 2 2 3" xfId="26431" xr:uid="{00000000-0005-0000-0000-0000B9150000}"/>
    <cellStyle name="20% - Accent3 2 2 2 2 3 2 3" xfId="10606" xr:uid="{00000000-0005-0000-0000-0000BA150000}"/>
    <cellStyle name="20% - Accent3 2 2 2 2 3 2 3 2" xfId="30076" xr:uid="{00000000-0005-0000-0000-0000BB150000}"/>
    <cellStyle name="20% - Accent3 2 2 2 2 3 2 4" xfId="25673" xr:uid="{00000000-0005-0000-0000-0000BC150000}"/>
    <cellStyle name="20% - Accent3 2 2 2 2 3 3" xfId="6946" xr:uid="{00000000-0005-0000-0000-0000BD150000}"/>
    <cellStyle name="20% - Accent3 2 2 2 2 3 3 2" xfId="11282" xr:uid="{00000000-0005-0000-0000-0000BE150000}"/>
    <cellStyle name="20% - Accent3 2 2 2 2 3 3 2 2" xfId="30752" xr:uid="{00000000-0005-0000-0000-0000BF150000}"/>
    <cellStyle name="20% - Accent3 2 2 2 2 3 3 3" xfId="26430" xr:uid="{00000000-0005-0000-0000-0000C0150000}"/>
    <cellStyle name="20% - Accent3 2 2 2 2 3 4" xfId="9546" xr:uid="{00000000-0005-0000-0000-0000C1150000}"/>
    <cellStyle name="20% - Accent3 2 2 2 2 3 4 2" xfId="29016" xr:uid="{00000000-0005-0000-0000-0000C2150000}"/>
    <cellStyle name="20% - Accent3 2 2 2 2 3 5" xfId="24520" xr:uid="{00000000-0005-0000-0000-0000C3150000}"/>
    <cellStyle name="20% - Accent3 2 2 2 2 4" xfId="5631" xr:uid="{00000000-0005-0000-0000-0000C4150000}"/>
    <cellStyle name="20% - Accent3 2 2 2 2 4 2" xfId="6948" xr:uid="{00000000-0005-0000-0000-0000C5150000}"/>
    <cellStyle name="20% - Accent3 2 2 2 2 4 2 2" xfId="11284" xr:uid="{00000000-0005-0000-0000-0000C6150000}"/>
    <cellStyle name="20% - Accent3 2 2 2 2 4 2 2 2" xfId="30754" xr:uid="{00000000-0005-0000-0000-0000C7150000}"/>
    <cellStyle name="20% - Accent3 2 2 2 2 4 2 3" xfId="26432" xr:uid="{00000000-0005-0000-0000-0000C8150000}"/>
    <cellStyle name="20% - Accent3 2 2 2 2 4 3" xfId="10076" xr:uid="{00000000-0005-0000-0000-0000C9150000}"/>
    <cellStyle name="20% - Accent3 2 2 2 2 4 3 2" xfId="29546" xr:uid="{00000000-0005-0000-0000-0000CA150000}"/>
    <cellStyle name="20% - Accent3 2 2 2 2 4 4" xfId="25118" xr:uid="{00000000-0005-0000-0000-0000CB150000}"/>
    <cellStyle name="20% - Accent3 2 2 2 2 5" xfId="6941" xr:uid="{00000000-0005-0000-0000-0000CC150000}"/>
    <cellStyle name="20% - Accent3 2 2 2 2 5 2" xfId="11277" xr:uid="{00000000-0005-0000-0000-0000CD150000}"/>
    <cellStyle name="20% - Accent3 2 2 2 2 5 2 2" xfId="30747" xr:uid="{00000000-0005-0000-0000-0000CE150000}"/>
    <cellStyle name="20% - Accent3 2 2 2 2 5 3" xfId="26425" xr:uid="{00000000-0005-0000-0000-0000CF150000}"/>
    <cellStyle name="20% - Accent3 2 2 2 2 6" xfId="9012" xr:uid="{00000000-0005-0000-0000-0000D0150000}"/>
    <cellStyle name="20% - Accent3 2 2 2 2 6 2" xfId="28486" xr:uid="{00000000-0005-0000-0000-0000D1150000}"/>
    <cellStyle name="20% - Accent3 2 2 2 2 7" xfId="23870" xr:uid="{00000000-0005-0000-0000-0000D2150000}"/>
    <cellStyle name="20% - Accent3 2 2 2 3" xfId="4279" xr:uid="{00000000-0005-0000-0000-0000D3150000}"/>
    <cellStyle name="20% - Accent3 2 2 2 3 2" xfId="4854" xr:uid="{00000000-0005-0000-0000-0000D4150000}"/>
    <cellStyle name="20% - Accent3 2 2 2 3 2 2" xfId="5479" xr:uid="{00000000-0005-0000-0000-0000D5150000}"/>
    <cellStyle name="20% - Accent3 2 2 2 3 2 2 2" xfId="6607" xr:uid="{00000000-0005-0000-0000-0000D6150000}"/>
    <cellStyle name="20% - Accent3 2 2 2 3 2 2 2 2" xfId="6952" xr:uid="{00000000-0005-0000-0000-0000D7150000}"/>
    <cellStyle name="20% - Accent3 2 2 2 3 2 2 2 2 2" xfId="11288" xr:uid="{00000000-0005-0000-0000-0000D8150000}"/>
    <cellStyle name="20% - Accent3 2 2 2 3 2 2 2 2 2 2" xfId="30758" xr:uid="{00000000-0005-0000-0000-0000D9150000}"/>
    <cellStyle name="20% - Accent3 2 2 2 3 2 2 2 2 3" xfId="26436" xr:uid="{00000000-0005-0000-0000-0000DA150000}"/>
    <cellStyle name="20% - Accent3 2 2 2 3 2 2 2 3" xfId="11023" xr:uid="{00000000-0005-0000-0000-0000DB150000}"/>
    <cellStyle name="20% - Accent3 2 2 2 3 2 2 2 3 2" xfId="30493" xr:uid="{00000000-0005-0000-0000-0000DC150000}"/>
    <cellStyle name="20% - Accent3 2 2 2 3 2 2 2 4" xfId="26092" xr:uid="{00000000-0005-0000-0000-0000DD150000}"/>
    <cellStyle name="20% - Accent3 2 2 2 3 2 2 3" xfId="6951" xr:uid="{00000000-0005-0000-0000-0000DE150000}"/>
    <cellStyle name="20% - Accent3 2 2 2 3 2 2 3 2" xfId="11287" xr:uid="{00000000-0005-0000-0000-0000DF150000}"/>
    <cellStyle name="20% - Accent3 2 2 2 3 2 2 3 2 2" xfId="30757" xr:uid="{00000000-0005-0000-0000-0000E0150000}"/>
    <cellStyle name="20% - Accent3 2 2 2 3 2 2 3 3" xfId="26435" xr:uid="{00000000-0005-0000-0000-0000E1150000}"/>
    <cellStyle name="20% - Accent3 2 2 2 3 2 2 4" xfId="9962" xr:uid="{00000000-0005-0000-0000-0000E2150000}"/>
    <cellStyle name="20% - Accent3 2 2 2 3 2 2 4 2" xfId="29432" xr:uid="{00000000-0005-0000-0000-0000E3150000}"/>
    <cellStyle name="20% - Accent3 2 2 2 3 2 2 5" xfId="24970" xr:uid="{00000000-0005-0000-0000-0000E4150000}"/>
    <cellStyle name="20% - Accent3 2 2 2 3 2 3" xfId="6072" xr:uid="{00000000-0005-0000-0000-0000E5150000}"/>
    <cellStyle name="20% - Accent3 2 2 2 3 2 3 2" xfId="6953" xr:uid="{00000000-0005-0000-0000-0000E6150000}"/>
    <cellStyle name="20% - Accent3 2 2 2 3 2 3 2 2" xfId="11289" xr:uid="{00000000-0005-0000-0000-0000E7150000}"/>
    <cellStyle name="20% - Accent3 2 2 2 3 2 3 2 2 2" xfId="30759" xr:uid="{00000000-0005-0000-0000-0000E8150000}"/>
    <cellStyle name="20% - Accent3 2 2 2 3 2 3 2 3" xfId="26437" xr:uid="{00000000-0005-0000-0000-0000E9150000}"/>
    <cellStyle name="20% - Accent3 2 2 2 3 2 3 3" xfId="10492" xr:uid="{00000000-0005-0000-0000-0000EA150000}"/>
    <cellStyle name="20% - Accent3 2 2 2 3 2 3 3 2" xfId="29962" xr:uid="{00000000-0005-0000-0000-0000EB150000}"/>
    <cellStyle name="20% - Accent3 2 2 2 3 2 3 4" xfId="25557" xr:uid="{00000000-0005-0000-0000-0000EC150000}"/>
    <cellStyle name="20% - Accent3 2 2 2 3 2 4" xfId="6950" xr:uid="{00000000-0005-0000-0000-0000ED150000}"/>
    <cellStyle name="20% - Accent3 2 2 2 3 2 4 2" xfId="11286" xr:uid="{00000000-0005-0000-0000-0000EE150000}"/>
    <cellStyle name="20% - Accent3 2 2 2 3 2 4 2 2" xfId="30756" xr:uid="{00000000-0005-0000-0000-0000EF150000}"/>
    <cellStyle name="20% - Accent3 2 2 2 3 2 4 3" xfId="26434" xr:uid="{00000000-0005-0000-0000-0000F0150000}"/>
    <cellStyle name="20% - Accent3 2 2 2 3 2 5" xfId="9432" xr:uid="{00000000-0005-0000-0000-0000F1150000}"/>
    <cellStyle name="20% - Accent3 2 2 2 3 2 5 2" xfId="28902" xr:uid="{00000000-0005-0000-0000-0000F2150000}"/>
    <cellStyle name="20% - Accent3 2 2 2 3 2 6" xfId="24356" xr:uid="{00000000-0005-0000-0000-0000F3150000}"/>
    <cellStyle name="20% - Accent3 2 2 2 3 3" xfId="5184" xr:uid="{00000000-0005-0000-0000-0000F4150000}"/>
    <cellStyle name="20% - Accent3 2 2 2 3 3 2" xfId="6340" xr:uid="{00000000-0005-0000-0000-0000F5150000}"/>
    <cellStyle name="20% - Accent3 2 2 2 3 3 2 2" xfId="6955" xr:uid="{00000000-0005-0000-0000-0000F6150000}"/>
    <cellStyle name="20% - Accent3 2 2 2 3 3 2 2 2" xfId="11291" xr:uid="{00000000-0005-0000-0000-0000F7150000}"/>
    <cellStyle name="20% - Accent3 2 2 2 3 3 2 2 2 2" xfId="30761" xr:uid="{00000000-0005-0000-0000-0000F8150000}"/>
    <cellStyle name="20% - Accent3 2 2 2 3 3 2 2 3" xfId="26439" xr:uid="{00000000-0005-0000-0000-0000F9150000}"/>
    <cellStyle name="20% - Accent3 2 2 2 3 3 2 3" xfId="10757" xr:uid="{00000000-0005-0000-0000-0000FA150000}"/>
    <cellStyle name="20% - Accent3 2 2 2 3 3 2 3 2" xfId="30227" xr:uid="{00000000-0005-0000-0000-0000FB150000}"/>
    <cellStyle name="20% - Accent3 2 2 2 3 3 2 4" xfId="25825" xr:uid="{00000000-0005-0000-0000-0000FC150000}"/>
    <cellStyle name="20% - Accent3 2 2 2 3 3 3" xfId="6954" xr:uid="{00000000-0005-0000-0000-0000FD150000}"/>
    <cellStyle name="20% - Accent3 2 2 2 3 3 3 2" xfId="11290" xr:uid="{00000000-0005-0000-0000-0000FE150000}"/>
    <cellStyle name="20% - Accent3 2 2 2 3 3 3 2 2" xfId="30760" xr:uid="{00000000-0005-0000-0000-0000FF150000}"/>
    <cellStyle name="20% - Accent3 2 2 2 3 3 3 3" xfId="26438" xr:uid="{00000000-0005-0000-0000-000000160000}"/>
    <cellStyle name="20% - Accent3 2 2 2 3 3 4" xfId="9697" xr:uid="{00000000-0005-0000-0000-000001160000}"/>
    <cellStyle name="20% - Accent3 2 2 2 3 3 4 2" xfId="29167" xr:uid="{00000000-0005-0000-0000-000002160000}"/>
    <cellStyle name="20% - Accent3 2 2 2 3 3 5" xfId="24675" xr:uid="{00000000-0005-0000-0000-000003160000}"/>
    <cellStyle name="20% - Accent3 2 2 2 3 4" xfId="5793" xr:uid="{00000000-0005-0000-0000-000004160000}"/>
    <cellStyle name="20% - Accent3 2 2 2 3 4 2" xfId="6956" xr:uid="{00000000-0005-0000-0000-000005160000}"/>
    <cellStyle name="20% - Accent3 2 2 2 3 4 2 2" xfId="11292" xr:uid="{00000000-0005-0000-0000-000006160000}"/>
    <cellStyle name="20% - Accent3 2 2 2 3 4 2 2 2" xfId="30762" xr:uid="{00000000-0005-0000-0000-000007160000}"/>
    <cellStyle name="20% - Accent3 2 2 2 3 4 2 3" xfId="26440" xr:uid="{00000000-0005-0000-0000-000008160000}"/>
    <cellStyle name="20% - Accent3 2 2 2 3 4 3" xfId="10227" xr:uid="{00000000-0005-0000-0000-000009160000}"/>
    <cellStyle name="20% - Accent3 2 2 2 3 4 3 2" xfId="29697" xr:uid="{00000000-0005-0000-0000-00000A160000}"/>
    <cellStyle name="20% - Accent3 2 2 2 3 4 4" xfId="25278" xr:uid="{00000000-0005-0000-0000-00000B160000}"/>
    <cellStyle name="20% - Accent3 2 2 2 3 5" xfId="6949" xr:uid="{00000000-0005-0000-0000-00000C160000}"/>
    <cellStyle name="20% - Accent3 2 2 2 3 5 2" xfId="11285" xr:uid="{00000000-0005-0000-0000-00000D160000}"/>
    <cellStyle name="20% - Accent3 2 2 2 3 5 2 2" xfId="30755" xr:uid="{00000000-0005-0000-0000-00000E160000}"/>
    <cellStyle name="20% - Accent3 2 2 2 3 5 3" xfId="26433" xr:uid="{00000000-0005-0000-0000-00000F160000}"/>
    <cellStyle name="20% - Accent3 2 2 2 3 6" xfId="9166" xr:uid="{00000000-0005-0000-0000-000010160000}"/>
    <cellStyle name="20% - Accent3 2 2 2 3 6 2" xfId="28637" xr:uid="{00000000-0005-0000-0000-000011160000}"/>
    <cellStyle name="20% - Accent3 2 2 2 3 7" xfId="24055" xr:uid="{00000000-0005-0000-0000-000012160000}"/>
    <cellStyle name="20% - Accent3 2 2 2 4" xfId="4616" xr:uid="{00000000-0005-0000-0000-000013160000}"/>
    <cellStyle name="20% - Accent3 2 2 2 4 2" xfId="5256" xr:uid="{00000000-0005-0000-0000-000014160000}"/>
    <cellStyle name="20% - Accent3 2 2 2 4 2 2" xfId="6390" xr:uid="{00000000-0005-0000-0000-000015160000}"/>
    <cellStyle name="20% - Accent3 2 2 2 4 2 2 2" xfId="6959" xr:uid="{00000000-0005-0000-0000-000016160000}"/>
    <cellStyle name="20% - Accent3 2 2 2 4 2 2 2 2" xfId="11295" xr:uid="{00000000-0005-0000-0000-000017160000}"/>
    <cellStyle name="20% - Accent3 2 2 2 4 2 2 2 2 2" xfId="30765" xr:uid="{00000000-0005-0000-0000-000018160000}"/>
    <cellStyle name="20% - Accent3 2 2 2 4 2 2 2 3" xfId="26443" xr:uid="{00000000-0005-0000-0000-000019160000}"/>
    <cellStyle name="20% - Accent3 2 2 2 4 2 2 3" xfId="10806" xr:uid="{00000000-0005-0000-0000-00001A160000}"/>
    <cellStyle name="20% - Accent3 2 2 2 4 2 2 3 2" xfId="30276" xr:uid="{00000000-0005-0000-0000-00001B160000}"/>
    <cellStyle name="20% - Accent3 2 2 2 4 2 2 4" xfId="25875" xr:uid="{00000000-0005-0000-0000-00001C160000}"/>
    <cellStyle name="20% - Accent3 2 2 2 4 2 3" xfId="6958" xr:uid="{00000000-0005-0000-0000-00001D160000}"/>
    <cellStyle name="20% - Accent3 2 2 2 4 2 3 2" xfId="11294" xr:uid="{00000000-0005-0000-0000-00001E160000}"/>
    <cellStyle name="20% - Accent3 2 2 2 4 2 3 2 2" xfId="30764" xr:uid="{00000000-0005-0000-0000-00001F160000}"/>
    <cellStyle name="20% - Accent3 2 2 2 4 2 3 3" xfId="26442" xr:uid="{00000000-0005-0000-0000-000020160000}"/>
    <cellStyle name="20% - Accent3 2 2 2 4 2 4" xfId="9745" xr:uid="{00000000-0005-0000-0000-000021160000}"/>
    <cellStyle name="20% - Accent3 2 2 2 4 2 4 2" xfId="29215" xr:uid="{00000000-0005-0000-0000-000022160000}"/>
    <cellStyle name="20% - Accent3 2 2 2 4 2 5" xfId="24747" xr:uid="{00000000-0005-0000-0000-000023160000}"/>
    <cellStyle name="20% - Accent3 2 2 2 4 3" xfId="5853" xr:uid="{00000000-0005-0000-0000-000024160000}"/>
    <cellStyle name="20% - Accent3 2 2 2 4 3 2" xfId="6960" xr:uid="{00000000-0005-0000-0000-000025160000}"/>
    <cellStyle name="20% - Accent3 2 2 2 4 3 2 2" xfId="11296" xr:uid="{00000000-0005-0000-0000-000026160000}"/>
    <cellStyle name="20% - Accent3 2 2 2 4 3 2 2 2" xfId="30766" xr:uid="{00000000-0005-0000-0000-000027160000}"/>
    <cellStyle name="20% - Accent3 2 2 2 4 3 2 3" xfId="26444" xr:uid="{00000000-0005-0000-0000-000028160000}"/>
    <cellStyle name="20% - Accent3 2 2 2 4 3 3" xfId="10275" xr:uid="{00000000-0005-0000-0000-000029160000}"/>
    <cellStyle name="20% - Accent3 2 2 2 4 3 3 2" xfId="29745" xr:uid="{00000000-0005-0000-0000-00002A160000}"/>
    <cellStyle name="20% - Accent3 2 2 2 4 3 4" xfId="25338" xr:uid="{00000000-0005-0000-0000-00002B160000}"/>
    <cellStyle name="20% - Accent3 2 2 2 4 4" xfId="6957" xr:uid="{00000000-0005-0000-0000-00002C160000}"/>
    <cellStyle name="20% - Accent3 2 2 2 4 4 2" xfId="11293" xr:uid="{00000000-0005-0000-0000-00002D160000}"/>
    <cellStyle name="20% - Accent3 2 2 2 4 4 2 2" xfId="30763" xr:uid="{00000000-0005-0000-0000-00002E160000}"/>
    <cellStyle name="20% - Accent3 2 2 2 4 4 3" xfId="26441" xr:uid="{00000000-0005-0000-0000-00002F160000}"/>
    <cellStyle name="20% - Accent3 2 2 2 4 5" xfId="9215" xr:uid="{00000000-0005-0000-0000-000030160000}"/>
    <cellStyle name="20% - Accent3 2 2 2 4 5 2" xfId="28685" xr:uid="{00000000-0005-0000-0000-000031160000}"/>
    <cellStyle name="20% - Accent3 2 2 2 4 6" xfId="24127" xr:uid="{00000000-0005-0000-0000-000032160000}"/>
    <cellStyle name="20% - Accent3 2 2 2 5" xfId="4960" xr:uid="{00000000-0005-0000-0000-000033160000}"/>
    <cellStyle name="20% - Accent3 2 2 2 5 2" xfId="6122" xr:uid="{00000000-0005-0000-0000-000034160000}"/>
    <cellStyle name="20% - Accent3 2 2 2 5 2 2" xfId="6962" xr:uid="{00000000-0005-0000-0000-000035160000}"/>
    <cellStyle name="20% - Accent3 2 2 2 5 2 2 2" xfId="11298" xr:uid="{00000000-0005-0000-0000-000036160000}"/>
    <cellStyle name="20% - Accent3 2 2 2 5 2 2 2 2" xfId="30768" xr:uid="{00000000-0005-0000-0000-000037160000}"/>
    <cellStyle name="20% - Accent3 2 2 2 5 2 2 3" xfId="26446" xr:uid="{00000000-0005-0000-0000-000038160000}"/>
    <cellStyle name="20% - Accent3 2 2 2 5 2 3" xfId="10540" xr:uid="{00000000-0005-0000-0000-000039160000}"/>
    <cellStyle name="20% - Accent3 2 2 2 5 2 3 2" xfId="30010" xr:uid="{00000000-0005-0000-0000-00003A160000}"/>
    <cellStyle name="20% - Accent3 2 2 2 5 2 4" xfId="25607" xr:uid="{00000000-0005-0000-0000-00003B160000}"/>
    <cellStyle name="20% - Accent3 2 2 2 5 3" xfId="6961" xr:uid="{00000000-0005-0000-0000-00003C160000}"/>
    <cellStyle name="20% - Accent3 2 2 2 5 3 2" xfId="11297" xr:uid="{00000000-0005-0000-0000-00003D160000}"/>
    <cellStyle name="20% - Accent3 2 2 2 5 3 2 2" xfId="30767" xr:uid="{00000000-0005-0000-0000-00003E160000}"/>
    <cellStyle name="20% - Accent3 2 2 2 5 3 3" xfId="26445" xr:uid="{00000000-0005-0000-0000-00003F160000}"/>
    <cellStyle name="20% - Accent3 2 2 2 5 4" xfId="9480" xr:uid="{00000000-0005-0000-0000-000040160000}"/>
    <cellStyle name="20% - Accent3 2 2 2 5 4 2" xfId="28950" xr:uid="{00000000-0005-0000-0000-000041160000}"/>
    <cellStyle name="20% - Accent3 2 2 2 5 5" xfId="24454" xr:uid="{00000000-0005-0000-0000-000042160000}"/>
    <cellStyle name="20% - Accent3 2 2 2 6" xfId="5565" xr:uid="{00000000-0005-0000-0000-000043160000}"/>
    <cellStyle name="20% - Accent3 2 2 2 6 2" xfId="6963" xr:uid="{00000000-0005-0000-0000-000044160000}"/>
    <cellStyle name="20% - Accent3 2 2 2 6 2 2" xfId="11299" xr:uid="{00000000-0005-0000-0000-000045160000}"/>
    <cellStyle name="20% - Accent3 2 2 2 6 2 2 2" xfId="30769" xr:uid="{00000000-0005-0000-0000-000046160000}"/>
    <cellStyle name="20% - Accent3 2 2 2 6 2 3" xfId="26447" xr:uid="{00000000-0005-0000-0000-000047160000}"/>
    <cellStyle name="20% - Accent3 2 2 2 6 3" xfId="10010" xr:uid="{00000000-0005-0000-0000-000048160000}"/>
    <cellStyle name="20% - Accent3 2 2 2 6 3 2" xfId="29480" xr:uid="{00000000-0005-0000-0000-000049160000}"/>
    <cellStyle name="20% - Accent3 2 2 2 6 4" xfId="25052" xr:uid="{00000000-0005-0000-0000-00004A160000}"/>
    <cellStyle name="20% - Accent3 2 2 2 7" xfId="6940" xr:uid="{00000000-0005-0000-0000-00004B160000}"/>
    <cellStyle name="20% - Accent3 2 2 2 7 2" xfId="11276" xr:uid="{00000000-0005-0000-0000-00004C160000}"/>
    <cellStyle name="20% - Accent3 2 2 2 7 2 2" xfId="30746" xr:uid="{00000000-0005-0000-0000-00004D160000}"/>
    <cellStyle name="20% - Accent3 2 2 2 7 3" xfId="26424" xr:uid="{00000000-0005-0000-0000-00004E160000}"/>
    <cellStyle name="20% - Accent3 2 2 2 8" xfId="8946" xr:uid="{00000000-0005-0000-0000-00004F160000}"/>
    <cellStyle name="20% - Accent3 2 2 2 8 2" xfId="28420" xr:uid="{00000000-0005-0000-0000-000050160000}"/>
    <cellStyle name="20% - Accent3 2 2 2 9" xfId="23678" xr:uid="{00000000-0005-0000-0000-000051160000}"/>
    <cellStyle name="20% - Accent3 2 2 3" xfId="2943" xr:uid="{00000000-0005-0000-0000-000052160000}"/>
    <cellStyle name="20% - Accent3 2 2 3 2" xfId="4650" xr:uid="{00000000-0005-0000-0000-000053160000}"/>
    <cellStyle name="20% - Accent3 2 2 3 2 2" xfId="5290" xr:uid="{00000000-0005-0000-0000-000054160000}"/>
    <cellStyle name="20% - Accent3 2 2 3 2 2 2" xfId="6424" xr:uid="{00000000-0005-0000-0000-000055160000}"/>
    <cellStyle name="20% - Accent3 2 2 3 2 2 2 2" xfId="6967" xr:uid="{00000000-0005-0000-0000-000056160000}"/>
    <cellStyle name="20% - Accent3 2 2 3 2 2 2 2 2" xfId="11303" xr:uid="{00000000-0005-0000-0000-000057160000}"/>
    <cellStyle name="20% - Accent3 2 2 3 2 2 2 2 2 2" xfId="30773" xr:uid="{00000000-0005-0000-0000-000058160000}"/>
    <cellStyle name="20% - Accent3 2 2 3 2 2 2 2 3" xfId="26451" xr:uid="{00000000-0005-0000-0000-000059160000}"/>
    <cellStyle name="20% - Accent3 2 2 3 2 2 2 3" xfId="10840" xr:uid="{00000000-0005-0000-0000-00005A160000}"/>
    <cellStyle name="20% - Accent3 2 2 3 2 2 2 3 2" xfId="30310" xr:uid="{00000000-0005-0000-0000-00005B160000}"/>
    <cellStyle name="20% - Accent3 2 2 3 2 2 2 4" xfId="25909" xr:uid="{00000000-0005-0000-0000-00005C160000}"/>
    <cellStyle name="20% - Accent3 2 2 3 2 2 3" xfId="6966" xr:uid="{00000000-0005-0000-0000-00005D160000}"/>
    <cellStyle name="20% - Accent3 2 2 3 2 2 3 2" xfId="11302" xr:uid="{00000000-0005-0000-0000-00005E160000}"/>
    <cellStyle name="20% - Accent3 2 2 3 2 2 3 2 2" xfId="30772" xr:uid="{00000000-0005-0000-0000-00005F160000}"/>
    <cellStyle name="20% - Accent3 2 2 3 2 2 3 3" xfId="26450" xr:uid="{00000000-0005-0000-0000-000060160000}"/>
    <cellStyle name="20% - Accent3 2 2 3 2 2 4" xfId="9779" xr:uid="{00000000-0005-0000-0000-000061160000}"/>
    <cellStyle name="20% - Accent3 2 2 3 2 2 4 2" xfId="29249" xr:uid="{00000000-0005-0000-0000-000062160000}"/>
    <cellStyle name="20% - Accent3 2 2 3 2 2 5" xfId="24781" xr:uid="{00000000-0005-0000-0000-000063160000}"/>
    <cellStyle name="20% - Accent3 2 2 3 2 3" xfId="5887" xr:uid="{00000000-0005-0000-0000-000064160000}"/>
    <cellStyle name="20% - Accent3 2 2 3 2 3 2" xfId="6968" xr:uid="{00000000-0005-0000-0000-000065160000}"/>
    <cellStyle name="20% - Accent3 2 2 3 2 3 2 2" xfId="11304" xr:uid="{00000000-0005-0000-0000-000066160000}"/>
    <cellStyle name="20% - Accent3 2 2 3 2 3 2 2 2" xfId="30774" xr:uid="{00000000-0005-0000-0000-000067160000}"/>
    <cellStyle name="20% - Accent3 2 2 3 2 3 2 3" xfId="26452" xr:uid="{00000000-0005-0000-0000-000068160000}"/>
    <cellStyle name="20% - Accent3 2 2 3 2 3 3" xfId="10309" xr:uid="{00000000-0005-0000-0000-000069160000}"/>
    <cellStyle name="20% - Accent3 2 2 3 2 3 3 2" xfId="29779" xr:uid="{00000000-0005-0000-0000-00006A160000}"/>
    <cellStyle name="20% - Accent3 2 2 3 2 3 4" xfId="25372" xr:uid="{00000000-0005-0000-0000-00006B160000}"/>
    <cellStyle name="20% - Accent3 2 2 3 2 4" xfId="6965" xr:uid="{00000000-0005-0000-0000-00006C160000}"/>
    <cellStyle name="20% - Accent3 2 2 3 2 4 2" xfId="11301" xr:uid="{00000000-0005-0000-0000-00006D160000}"/>
    <cellStyle name="20% - Accent3 2 2 3 2 4 2 2" xfId="30771" xr:uid="{00000000-0005-0000-0000-00006E160000}"/>
    <cellStyle name="20% - Accent3 2 2 3 2 4 3" xfId="26449" xr:uid="{00000000-0005-0000-0000-00006F160000}"/>
    <cellStyle name="20% - Accent3 2 2 3 2 5" xfId="9249" xr:uid="{00000000-0005-0000-0000-000070160000}"/>
    <cellStyle name="20% - Accent3 2 2 3 2 5 2" xfId="28719" xr:uid="{00000000-0005-0000-0000-000071160000}"/>
    <cellStyle name="20% - Accent3 2 2 3 2 6" xfId="24161" xr:uid="{00000000-0005-0000-0000-000072160000}"/>
    <cellStyle name="20% - Accent3 2 2 3 3" xfId="4994" xr:uid="{00000000-0005-0000-0000-000073160000}"/>
    <cellStyle name="20% - Accent3 2 2 3 3 2" xfId="6156" xr:uid="{00000000-0005-0000-0000-000074160000}"/>
    <cellStyle name="20% - Accent3 2 2 3 3 2 2" xfId="6970" xr:uid="{00000000-0005-0000-0000-000075160000}"/>
    <cellStyle name="20% - Accent3 2 2 3 3 2 2 2" xfId="11306" xr:uid="{00000000-0005-0000-0000-000076160000}"/>
    <cellStyle name="20% - Accent3 2 2 3 3 2 2 2 2" xfId="30776" xr:uid="{00000000-0005-0000-0000-000077160000}"/>
    <cellStyle name="20% - Accent3 2 2 3 3 2 2 3" xfId="26454" xr:uid="{00000000-0005-0000-0000-000078160000}"/>
    <cellStyle name="20% - Accent3 2 2 3 3 2 3" xfId="10574" xr:uid="{00000000-0005-0000-0000-000079160000}"/>
    <cellStyle name="20% - Accent3 2 2 3 3 2 3 2" xfId="30044" xr:uid="{00000000-0005-0000-0000-00007A160000}"/>
    <cellStyle name="20% - Accent3 2 2 3 3 2 4" xfId="25641" xr:uid="{00000000-0005-0000-0000-00007B160000}"/>
    <cellStyle name="20% - Accent3 2 2 3 3 3" xfId="6969" xr:uid="{00000000-0005-0000-0000-00007C160000}"/>
    <cellStyle name="20% - Accent3 2 2 3 3 3 2" xfId="11305" xr:uid="{00000000-0005-0000-0000-00007D160000}"/>
    <cellStyle name="20% - Accent3 2 2 3 3 3 2 2" xfId="30775" xr:uid="{00000000-0005-0000-0000-00007E160000}"/>
    <cellStyle name="20% - Accent3 2 2 3 3 3 3" xfId="26453" xr:uid="{00000000-0005-0000-0000-00007F160000}"/>
    <cellStyle name="20% - Accent3 2 2 3 3 4" xfId="9514" xr:uid="{00000000-0005-0000-0000-000080160000}"/>
    <cellStyle name="20% - Accent3 2 2 3 3 4 2" xfId="28984" xr:uid="{00000000-0005-0000-0000-000081160000}"/>
    <cellStyle name="20% - Accent3 2 2 3 3 5" xfId="24488" xr:uid="{00000000-0005-0000-0000-000082160000}"/>
    <cellStyle name="20% - Accent3 2 2 3 4" xfId="5599" xr:uid="{00000000-0005-0000-0000-000083160000}"/>
    <cellStyle name="20% - Accent3 2 2 3 4 2" xfId="6971" xr:uid="{00000000-0005-0000-0000-000084160000}"/>
    <cellStyle name="20% - Accent3 2 2 3 4 2 2" xfId="11307" xr:uid="{00000000-0005-0000-0000-000085160000}"/>
    <cellStyle name="20% - Accent3 2 2 3 4 2 2 2" xfId="30777" xr:uid="{00000000-0005-0000-0000-000086160000}"/>
    <cellStyle name="20% - Accent3 2 2 3 4 2 3" xfId="26455" xr:uid="{00000000-0005-0000-0000-000087160000}"/>
    <cellStyle name="20% - Accent3 2 2 3 4 3" xfId="10044" xr:uid="{00000000-0005-0000-0000-000088160000}"/>
    <cellStyle name="20% - Accent3 2 2 3 4 3 2" xfId="29514" xr:uid="{00000000-0005-0000-0000-000089160000}"/>
    <cellStyle name="20% - Accent3 2 2 3 4 4" xfId="25086" xr:uid="{00000000-0005-0000-0000-00008A160000}"/>
    <cellStyle name="20% - Accent3 2 2 3 5" xfId="6964" xr:uid="{00000000-0005-0000-0000-00008B160000}"/>
    <cellStyle name="20% - Accent3 2 2 3 5 2" xfId="11300" xr:uid="{00000000-0005-0000-0000-00008C160000}"/>
    <cellStyle name="20% - Accent3 2 2 3 5 2 2" xfId="30770" xr:uid="{00000000-0005-0000-0000-00008D160000}"/>
    <cellStyle name="20% - Accent3 2 2 3 5 3" xfId="26448" xr:uid="{00000000-0005-0000-0000-00008E160000}"/>
    <cellStyle name="20% - Accent3 2 2 3 6" xfId="8980" xr:uid="{00000000-0005-0000-0000-00008F160000}"/>
    <cellStyle name="20% - Accent3 2 2 3 6 2" xfId="28454" xr:uid="{00000000-0005-0000-0000-000090160000}"/>
    <cellStyle name="20% - Accent3 2 2 3 7" xfId="23752" xr:uid="{00000000-0005-0000-0000-000091160000}"/>
    <cellStyle name="20% - Accent3 2 2 4" xfId="4224" xr:uid="{00000000-0005-0000-0000-000092160000}"/>
    <cellStyle name="20% - Accent3 2 2 4 2" xfId="4799" xr:uid="{00000000-0005-0000-0000-000093160000}"/>
    <cellStyle name="20% - Accent3 2 2 4 2 2" xfId="5425" xr:uid="{00000000-0005-0000-0000-000094160000}"/>
    <cellStyle name="20% - Accent3 2 2 4 2 2 2" xfId="6553" xr:uid="{00000000-0005-0000-0000-000095160000}"/>
    <cellStyle name="20% - Accent3 2 2 4 2 2 2 2" xfId="6975" xr:uid="{00000000-0005-0000-0000-000096160000}"/>
    <cellStyle name="20% - Accent3 2 2 4 2 2 2 2 2" xfId="11311" xr:uid="{00000000-0005-0000-0000-000097160000}"/>
    <cellStyle name="20% - Accent3 2 2 4 2 2 2 2 2 2" xfId="30781" xr:uid="{00000000-0005-0000-0000-000098160000}"/>
    <cellStyle name="20% - Accent3 2 2 4 2 2 2 2 3" xfId="26459" xr:uid="{00000000-0005-0000-0000-000099160000}"/>
    <cellStyle name="20% - Accent3 2 2 4 2 2 2 3" xfId="10969" xr:uid="{00000000-0005-0000-0000-00009A160000}"/>
    <cellStyle name="20% - Accent3 2 2 4 2 2 2 3 2" xfId="30439" xr:uid="{00000000-0005-0000-0000-00009B160000}"/>
    <cellStyle name="20% - Accent3 2 2 4 2 2 2 4" xfId="26038" xr:uid="{00000000-0005-0000-0000-00009C160000}"/>
    <cellStyle name="20% - Accent3 2 2 4 2 2 3" xfId="6974" xr:uid="{00000000-0005-0000-0000-00009D160000}"/>
    <cellStyle name="20% - Accent3 2 2 4 2 2 3 2" xfId="11310" xr:uid="{00000000-0005-0000-0000-00009E160000}"/>
    <cellStyle name="20% - Accent3 2 2 4 2 2 3 2 2" xfId="30780" xr:uid="{00000000-0005-0000-0000-00009F160000}"/>
    <cellStyle name="20% - Accent3 2 2 4 2 2 3 3" xfId="26458" xr:uid="{00000000-0005-0000-0000-0000A0160000}"/>
    <cellStyle name="20% - Accent3 2 2 4 2 2 4" xfId="9908" xr:uid="{00000000-0005-0000-0000-0000A1160000}"/>
    <cellStyle name="20% - Accent3 2 2 4 2 2 4 2" xfId="29378" xr:uid="{00000000-0005-0000-0000-0000A2160000}"/>
    <cellStyle name="20% - Accent3 2 2 4 2 2 5" xfId="24916" xr:uid="{00000000-0005-0000-0000-0000A3160000}"/>
    <cellStyle name="20% - Accent3 2 2 4 2 3" xfId="6017" xr:uid="{00000000-0005-0000-0000-0000A4160000}"/>
    <cellStyle name="20% - Accent3 2 2 4 2 3 2" xfId="6976" xr:uid="{00000000-0005-0000-0000-0000A5160000}"/>
    <cellStyle name="20% - Accent3 2 2 4 2 3 2 2" xfId="11312" xr:uid="{00000000-0005-0000-0000-0000A6160000}"/>
    <cellStyle name="20% - Accent3 2 2 4 2 3 2 2 2" xfId="30782" xr:uid="{00000000-0005-0000-0000-0000A7160000}"/>
    <cellStyle name="20% - Accent3 2 2 4 2 3 2 3" xfId="26460" xr:uid="{00000000-0005-0000-0000-0000A8160000}"/>
    <cellStyle name="20% - Accent3 2 2 4 2 3 3" xfId="10438" xr:uid="{00000000-0005-0000-0000-0000A9160000}"/>
    <cellStyle name="20% - Accent3 2 2 4 2 3 3 2" xfId="29908" xr:uid="{00000000-0005-0000-0000-0000AA160000}"/>
    <cellStyle name="20% - Accent3 2 2 4 2 3 4" xfId="25502" xr:uid="{00000000-0005-0000-0000-0000AB160000}"/>
    <cellStyle name="20% - Accent3 2 2 4 2 4" xfId="6973" xr:uid="{00000000-0005-0000-0000-0000AC160000}"/>
    <cellStyle name="20% - Accent3 2 2 4 2 4 2" xfId="11309" xr:uid="{00000000-0005-0000-0000-0000AD160000}"/>
    <cellStyle name="20% - Accent3 2 2 4 2 4 2 2" xfId="30779" xr:uid="{00000000-0005-0000-0000-0000AE160000}"/>
    <cellStyle name="20% - Accent3 2 2 4 2 4 3" xfId="26457" xr:uid="{00000000-0005-0000-0000-0000AF160000}"/>
    <cellStyle name="20% - Accent3 2 2 4 2 5" xfId="9378" xr:uid="{00000000-0005-0000-0000-0000B0160000}"/>
    <cellStyle name="20% - Accent3 2 2 4 2 5 2" xfId="28848" xr:uid="{00000000-0005-0000-0000-0000B1160000}"/>
    <cellStyle name="20% - Accent3 2 2 4 2 6" xfId="24301" xr:uid="{00000000-0005-0000-0000-0000B2160000}"/>
    <cellStyle name="20% - Accent3 2 2 4 3" xfId="5130" xr:uid="{00000000-0005-0000-0000-0000B3160000}"/>
    <cellStyle name="20% - Accent3 2 2 4 3 2" xfId="6286" xr:uid="{00000000-0005-0000-0000-0000B4160000}"/>
    <cellStyle name="20% - Accent3 2 2 4 3 2 2" xfId="6978" xr:uid="{00000000-0005-0000-0000-0000B5160000}"/>
    <cellStyle name="20% - Accent3 2 2 4 3 2 2 2" xfId="11314" xr:uid="{00000000-0005-0000-0000-0000B6160000}"/>
    <cellStyle name="20% - Accent3 2 2 4 3 2 2 2 2" xfId="30784" xr:uid="{00000000-0005-0000-0000-0000B7160000}"/>
    <cellStyle name="20% - Accent3 2 2 4 3 2 2 3" xfId="26462" xr:uid="{00000000-0005-0000-0000-0000B8160000}"/>
    <cellStyle name="20% - Accent3 2 2 4 3 2 3" xfId="10703" xr:uid="{00000000-0005-0000-0000-0000B9160000}"/>
    <cellStyle name="20% - Accent3 2 2 4 3 2 3 2" xfId="30173" xr:uid="{00000000-0005-0000-0000-0000BA160000}"/>
    <cellStyle name="20% - Accent3 2 2 4 3 2 4" xfId="25771" xr:uid="{00000000-0005-0000-0000-0000BB160000}"/>
    <cellStyle name="20% - Accent3 2 2 4 3 3" xfId="6977" xr:uid="{00000000-0005-0000-0000-0000BC160000}"/>
    <cellStyle name="20% - Accent3 2 2 4 3 3 2" xfId="11313" xr:uid="{00000000-0005-0000-0000-0000BD160000}"/>
    <cellStyle name="20% - Accent3 2 2 4 3 3 2 2" xfId="30783" xr:uid="{00000000-0005-0000-0000-0000BE160000}"/>
    <cellStyle name="20% - Accent3 2 2 4 3 3 3" xfId="26461" xr:uid="{00000000-0005-0000-0000-0000BF160000}"/>
    <cellStyle name="20% - Accent3 2 2 4 3 4" xfId="9643" xr:uid="{00000000-0005-0000-0000-0000C0160000}"/>
    <cellStyle name="20% - Accent3 2 2 4 3 4 2" xfId="29113" xr:uid="{00000000-0005-0000-0000-0000C1160000}"/>
    <cellStyle name="20% - Accent3 2 2 4 3 5" xfId="24621" xr:uid="{00000000-0005-0000-0000-0000C2160000}"/>
    <cellStyle name="20% - Accent3 2 2 4 4" xfId="5739" xr:uid="{00000000-0005-0000-0000-0000C3160000}"/>
    <cellStyle name="20% - Accent3 2 2 4 4 2" xfId="6979" xr:uid="{00000000-0005-0000-0000-0000C4160000}"/>
    <cellStyle name="20% - Accent3 2 2 4 4 2 2" xfId="11315" xr:uid="{00000000-0005-0000-0000-0000C5160000}"/>
    <cellStyle name="20% - Accent3 2 2 4 4 2 2 2" xfId="30785" xr:uid="{00000000-0005-0000-0000-0000C6160000}"/>
    <cellStyle name="20% - Accent3 2 2 4 4 2 3" xfId="26463" xr:uid="{00000000-0005-0000-0000-0000C7160000}"/>
    <cellStyle name="20% - Accent3 2 2 4 4 3" xfId="10173" xr:uid="{00000000-0005-0000-0000-0000C8160000}"/>
    <cellStyle name="20% - Accent3 2 2 4 4 3 2" xfId="29643" xr:uid="{00000000-0005-0000-0000-0000C9160000}"/>
    <cellStyle name="20% - Accent3 2 2 4 4 4" xfId="25224" xr:uid="{00000000-0005-0000-0000-0000CA160000}"/>
    <cellStyle name="20% - Accent3 2 2 4 5" xfId="6972" xr:uid="{00000000-0005-0000-0000-0000CB160000}"/>
    <cellStyle name="20% - Accent3 2 2 4 5 2" xfId="11308" xr:uid="{00000000-0005-0000-0000-0000CC160000}"/>
    <cellStyle name="20% - Accent3 2 2 4 5 2 2" xfId="30778" xr:uid="{00000000-0005-0000-0000-0000CD160000}"/>
    <cellStyle name="20% - Accent3 2 2 4 5 3" xfId="26456" xr:uid="{00000000-0005-0000-0000-0000CE160000}"/>
    <cellStyle name="20% - Accent3 2 2 4 6" xfId="9112" xr:uid="{00000000-0005-0000-0000-0000CF160000}"/>
    <cellStyle name="20% - Accent3 2 2 4 6 2" xfId="28583" xr:uid="{00000000-0005-0000-0000-0000D0160000}"/>
    <cellStyle name="20% - Accent3 2 2 4 7" xfId="24000" xr:uid="{00000000-0005-0000-0000-0000D1160000}"/>
    <cellStyle name="20% - Accent3 2 2 5" xfId="4583" xr:uid="{00000000-0005-0000-0000-0000D2160000}"/>
    <cellStyle name="20% - Accent3 2 2 5 2" xfId="5224" xr:uid="{00000000-0005-0000-0000-0000D3160000}"/>
    <cellStyle name="20% - Accent3 2 2 5 2 2" xfId="6358" xr:uid="{00000000-0005-0000-0000-0000D4160000}"/>
    <cellStyle name="20% - Accent3 2 2 5 2 2 2" xfId="6982" xr:uid="{00000000-0005-0000-0000-0000D5160000}"/>
    <cellStyle name="20% - Accent3 2 2 5 2 2 2 2" xfId="11318" xr:uid="{00000000-0005-0000-0000-0000D6160000}"/>
    <cellStyle name="20% - Accent3 2 2 5 2 2 2 2 2" xfId="30788" xr:uid="{00000000-0005-0000-0000-0000D7160000}"/>
    <cellStyle name="20% - Accent3 2 2 5 2 2 2 3" xfId="26466" xr:uid="{00000000-0005-0000-0000-0000D8160000}"/>
    <cellStyle name="20% - Accent3 2 2 5 2 2 3" xfId="10774" xr:uid="{00000000-0005-0000-0000-0000D9160000}"/>
    <cellStyle name="20% - Accent3 2 2 5 2 2 3 2" xfId="30244" xr:uid="{00000000-0005-0000-0000-0000DA160000}"/>
    <cellStyle name="20% - Accent3 2 2 5 2 2 4" xfId="25843" xr:uid="{00000000-0005-0000-0000-0000DB160000}"/>
    <cellStyle name="20% - Accent3 2 2 5 2 3" xfId="6981" xr:uid="{00000000-0005-0000-0000-0000DC160000}"/>
    <cellStyle name="20% - Accent3 2 2 5 2 3 2" xfId="11317" xr:uid="{00000000-0005-0000-0000-0000DD160000}"/>
    <cellStyle name="20% - Accent3 2 2 5 2 3 2 2" xfId="30787" xr:uid="{00000000-0005-0000-0000-0000DE160000}"/>
    <cellStyle name="20% - Accent3 2 2 5 2 3 3" xfId="26465" xr:uid="{00000000-0005-0000-0000-0000DF160000}"/>
    <cellStyle name="20% - Accent3 2 2 5 2 4" xfId="9713" xr:uid="{00000000-0005-0000-0000-0000E0160000}"/>
    <cellStyle name="20% - Accent3 2 2 5 2 4 2" xfId="29183" xr:uid="{00000000-0005-0000-0000-0000E1160000}"/>
    <cellStyle name="20% - Accent3 2 2 5 2 5" xfId="24715" xr:uid="{00000000-0005-0000-0000-0000E2160000}"/>
    <cellStyle name="20% - Accent3 2 2 5 3" xfId="5820" xr:uid="{00000000-0005-0000-0000-0000E3160000}"/>
    <cellStyle name="20% - Accent3 2 2 5 3 2" xfId="6983" xr:uid="{00000000-0005-0000-0000-0000E4160000}"/>
    <cellStyle name="20% - Accent3 2 2 5 3 2 2" xfId="11319" xr:uid="{00000000-0005-0000-0000-0000E5160000}"/>
    <cellStyle name="20% - Accent3 2 2 5 3 2 2 2" xfId="30789" xr:uid="{00000000-0005-0000-0000-0000E6160000}"/>
    <cellStyle name="20% - Accent3 2 2 5 3 2 3" xfId="26467" xr:uid="{00000000-0005-0000-0000-0000E7160000}"/>
    <cellStyle name="20% - Accent3 2 2 5 3 3" xfId="10243" xr:uid="{00000000-0005-0000-0000-0000E8160000}"/>
    <cellStyle name="20% - Accent3 2 2 5 3 3 2" xfId="29713" xr:uid="{00000000-0005-0000-0000-0000E9160000}"/>
    <cellStyle name="20% - Accent3 2 2 5 3 4" xfId="25305" xr:uid="{00000000-0005-0000-0000-0000EA160000}"/>
    <cellStyle name="20% - Accent3 2 2 5 4" xfId="6980" xr:uid="{00000000-0005-0000-0000-0000EB160000}"/>
    <cellStyle name="20% - Accent3 2 2 5 4 2" xfId="11316" xr:uid="{00000000-0005-0000-0000-0000EC160000}"/>
    <cellStyle name="20% - Accent3 2 2 5 4 2 2" xfId="30786" xr:uid="{00000000-0005-0000-0000-0000ED160000}"/>
    <cellStyle name="20% - Accent3 2 2 5 4 3" xfId="26464" xr:uid="{00000000-0005-0000-0000-0000EE160000}"/>
    <cellStyle name="20% - Accent3 2 2 5 5" xfId="9183" xr:uid="{00000000-0005-0000-0000-0000EF160000}"/>
    <cellStyle name="20% - Accent3 2 2 5 5 2" xfId="28653" xr:uid="{00000000-0005-0000-0000-0000F0160000}"/>
    <cellStyle name="20% - Accent3 2 2 5 6" xfId="24094" xr:uid="{00000000-0005-0000-0000-0000F1160000}"/>
    <cellStyle name="20% - Accent3 2 2 6" xfId="4928" xr:uid="{00000000-0005-0000-0000-0000F2160000}"/>
    <cellStyle name="20% - Accent3 2 2 6 2" xfId="6090" xr:uid="{00000000-0005-0000-0000-0000F3160000}"/>
    <cellStyle name="20% - Accent3 2 2 6 2 2" xfId="6985" xr:uid="{00000000-0005-0000-0000-0000F4160000}"/>
    <cellStyle name="20% - Accent3 2 2 6 2 2 2" xfId="11321" xr:uid="{00000000-0005-0000-0000-0000F5160000}"/>
    <cellStyle name="20% - Accent3 2 2 6 2 2 2 2" xfId="30791" xr:uid="{00000000-0005-0000-0000-0000F6160000}"/>
    <cellStyle name="20% - Accent3 2 2 6 2 2 3" xfId="26469" xr:uid="{00000000-0005-0000-0000-0000F7160000}"/>
    <cellStyle name="20% - Accent3 2 2 6 2 3" xfId="10508" xr:uid="{00000000-0005-0000-0000-0000F8160000}"/>
    <cellStyle name="20% - Accent3 2 2 6 2 3 2" xfId="29978" xr:uid="{00000000-0005-0000-0000-0000F9160000}"/>
    <cellStyle name="20% - Accent3 2 2 6 2 4" xfId="25575" xr:uid="{00000000-0005-0000-0000-0000FA160000}"/>
    <cellStyle name="20% - Accent3 2 2 6 3" xfId="6984" xr:uid="{00000000-0005-0000-0000-0000FB160000}"/>
    <cellStyle name="20% - Accent3 2 2 6 3 2" xfId="11320" xr:uid="{00000000-0005-0000-0000-0000FC160000}"/>
    <cellStyle name="20% - Accent3 2 2 6 3 2 2" xfId="30790" xr:uid="{00000000-0005-0000-0000-0000FD160000}"/>
    <cellStyle name="20% - Accent3 2 2 6 3 3" xfId="26468" xr:uid="{00000000-0005-0000-0000-0000FE160000}"/>
    <cellStyle name="20% - Accent3 2 2 6 4" xfId="9448" xr:uid="{00000000-0005-0000-0000-0000FF160000}"/>
    <cellStyle name="20% - Accent3 2 2 6 4 2" xfId="28918" xr:uid="{00000000-0005-0000-0000-000000170000}"/>
    <cellStyle name="20% - Accent3 2 2 6 5" xfId="24422" xr:uid="{00000000-0005-0000-0000-000001170000}"/>
    <cellStyle name="20% - Accent3 2 2 7" xfId="5532" xr:uid="{00000000-0005-0000-0000-000002170000}"/>
    <cellStyle name="20% - Accent3 2 2 7 2" xfId="6986" xr:uid="{00000000-0005-0000-0000-000003170000}"/>
    <cellStyle name="20% - Accent3 2 2 7 2 2" xfId="11322" xr:uid="{00000000-0005-0000-0000-000004170000}"/>
    <cellStyle name="20% - Accent3 2 2 7 2 2 2" xfId="30792" xr:uid="{00000000-0005-0000-0000-000005170000}"/>
    <cellStyle name="20% - Accent3 2 2 7 2 3" xfId="26470" xr:uid="{00000000-0005-0000-0000-000006170000}"/>
    <cellStyle name="20% - Accent3 2 2 7 3" xfId="9978" xr:uid="{00000000-0005-0000-0000-000007170000}"/>
    <cellStyle name="20% - Accent3 2 2 7 3 2" xfId="29448" xr:uid="{00000000-0005-0000-0000-000008170000}"/>
    <cellStyle name="20% - Accent3 2 2 7 4" xfId="25020" xr:uid="{00000000-0005-0000-0000-000009170000}"/>
    <cellStyle name="20% - Accent3 2 2 8" xfId="6939" xr:uid="{00000000-0005-0000-0000-00000A170000}"/>
    <cellStyle name="20% - Accent3 2 2 8 2" xfId="11275" xr:uid="{00000000-0005-0000-0000-00000B170000}"/>
    <cellStyle name="20% - Accent3 2 2 8 2 2" xfId="30745" xr:uid="{00000000-0005-0000-0000-00000C170000}"/>
    <cellStyle name="20% - Accent3 2 2 8 3" xfId="26423" xr:uid="{00000000-0005-0000-0000-00000D170000}"/>
    <cellStyle name="20% - Accent3 2 2 9" xfId="8914" xr:uid="{00000000-0005-0000-0000-00000E170000}"/>
    <cellStyle name="20% - Accent3 2 2 9 2" xfId="28388" xr:uid="{00000000-0005-0000-0000-00000F170000}"/>
    <cellStyle name="20% - Accent3 2 3" xfId="2698" xr:uid="{00000000-0005-0000-0000-000010170000}"/>
    <cellStyle name="20% - Accent3 2 3 10" xfId="23560" xr:uid="{00000000-0005-0000-0000-000011170000}"/>
    <cellStyle name="20% - Accent3 2 3 2" xfId="2868" xr:uid="{00000000-0005-0000-0000-000012170000}"/>
    <cellStyle name="20% - Accent3 2 3 2 2" xfId="3062" xr:uid="{00000000-0005-0000-0000-000013170000}"/>
    <cellStyle name="20% - Accent3 2 3 2 2 2" xfId="4689" xr:uid="{00000000-0005-0000-0000-000014170000}"/>
    <cellStyle name="20% - Accent3 2 3 2 2 2 2" xfId="5323" xr:uid="{00000000-0005-0000-0000-000015170000}"/>
    <cellStyle name="20% - Accent3 2 3 2 2 2 2 2" xfId="6457" xr:uid="{00000000-0005-0000-0000-000016170000}"/>
    <cellStyle name="20% - Accent3 2 3 2 2 2 2 2 2" xfId="6992" xr:uid="{00000000-0005-0000-0000-000017170000}"/>
    <cellStyle name="20% - Accent3 2 3 2 2 2 2 2 2 2" xfId="11328" xr:uid="{00000000-0005-0000-0000-000018170000}"/>
    <cellStyle name="20% - Accent3 2 3 2 2 2 2 2 2 2 2" xfId="30798" xr:uid="{00000000-0005-0000-0000-000019170000}"/>
    <cellStyle name="20% - Accent3 2 3 2 2 2 2 2 2 3" xfId="26476" xr:uid="{00000000-0005-0000-0000-00001A170000}"/>
    <cellStyle name="20% - Accent3 2 3 2 2 2 2 2 3" xfId="10873" xr:uid="{00000000-0005-0000-0000-00001B170000}"/>
    <cellStyle name="20% - Accent3 2 3 2 2 2 2 2 3 2" xfId="30343" xr:uid="{00000000-0005-0000-0000-00001C170000}"/>
    <cellStyle name="20% - Accent3 2 3 2 2 2 2 2 4" xfId="25942" xr:uid="{00000000-0005-0000-0000-00001D170000}"/>
    <cellStyle name="20% - Accent3 2 3 2 2 2 2 3" xfId="6991" xr:uid="{00000000-0005-0000-0000-00001E170000}"/>
    <cellStyle name="20% - Accent3 2 3 2 2 2 2 3 2" xfId="11327" xr:uid="{00000000-0005-0000-0000-00001F170000}"/>
    <cellStyle name="20% - Accent3 2 3 2 2 2 2 3 2 2" xfId="30797" xr:uid="{00000000-0005-0000-0000-000020170000}"/>
    <cellStyle name="20% - Accent3 2 3 2 2 2 2 3 3" xfId="26475" xr:uid="{00000000-0005-0000-0000-000021170000}"/>
    <cellStyle name="20% - Accent3 2 3 2 2 2 2 4" xfId="9812" xr:uid="{00000000-0005-0000-0000-000022170000}"/>
    <cellStyle name="20% - Accent3 2 3 2 2 2 2 4 2" xfId="29282" xr:uid="{00000000-0005-0000-0000-000023170000}"/>
    <cellStyle name="20% - Accent3 2 3 2 2 2 2 5" xfId="24814" xr:uid="{00000000-0005-0000-0000-000024170000}"/>
    <cellStyle name="20% - Accent3 2 3 2 2 2 3" xfId="5920" xr:uid="{00000000-0005-0000-0000-000025170000}"/>
    <cellStyle name="20% - Accent3 2 3 2 2 2 3 2" xfId="6993" xr:uid="{00000000-0005-0000-0000-000026170000}"/>
    <cellStyle name="20% - Accent3 2 3 2 2 2 3 2 2" xfId="11329" xr:uid="{00000000-0005-0000-0000-000027170000}"/>
    <cellStyle name="20% - Accent3 2 3 2 2 2 3 2 2 2" xfId="30799" xr:uid="{00000000-0005-0000-0000-000028170000}"/>
    <cellStyle name="20% - Accent3 2 3 2 2 2 3 2 3" xfId="26477" xr:uid="{00000000-0005-0000-0000-000029170000}"/>
    <cellStyle name="20% - Accent3 2 3 2 2 2 3 3" xfId="10342" xr:uid="{00000000-0005-0000-0000-00002A170000}"/>
    <cellStyle name="20% - Accent3 2 3 2 2 2 3 3 2" xfId="29812" xr:uid="{00000000-0005-0000-0000-00002B170000}"/>
    <cellStyle name="20% - Accent3 2 3 2 2 2 3 4" xfId="25405" xr:uid="{00000000-0005-0000-0000-00002C170000}"/>
    <cellStyle name="20% - Accent3 2 3 2 2 2 4" xfId="6990" xr:uid="{00000000-0005-0000-0000-00002D170000}"/>
    <cellStyle name="20% - Accent3 2 3 2 2 2 4 2" xfId="11326" xr:uid="{00000000-0005-0000-0000-00002E170000}"/>
    <cellStyle name="20% - Accent3 2 3 2 2 2 4 2 2" xfId="30796" xr:uid="{00000000-0005-0000-0000-00002F170000}"/>
    <cellStyle name="20% - Accent3 2 3 2 2 2 4 3" xfId="26474" xr:uid="{00000000-0005-0000-0000-000030170000}"/>
    <cellStyle name="20% - Accent3 2 3 2 2 2 5" xfId="9282" xr:uid="{00000000-0005-0000-0000-000031170000}"/>
    <cellStyle name="20% - Accent3 2 3 2 2 2 5 2" xfId="28752" xr:uid="{00000000-0005-0000-0000-000032170000}"/>
    <cellStyle name="20% - Accent3 2 3 2 2 2 6" xfId="24200" xr:uid="{00000000-0005-0000-0000-000033170000}"/>
    <cellStyle name="20% - Accent3 2 3 2 2 3" xfId="5027" xr:uid="{00000000-0005-0000-0000-000034170000}"/>
    <cellStyle name="20% - Accent3 2 3 2 2 3 2" xfId="6189" xr:uid="{00000000-0005-0000-0000-000035170000}"/>
    <cellStyle name="20% - Accent3 2 3 2 2 3 2 2" xfId="6995" xr:uid="{00000000-0005-0000-0000-000036170000}"/>
    <cellStyle name="20% - Accent3 2 3 2 2 3 2 2 2" xfId="11331" xr:uid="{00000000-0005-0000-0000-000037170000}"/>
    <cellStyle name="20% - Accent3 2 3 2 2 3 2 2 2 2" xfId="30801" xr:uid="{00000000-0005-0000-0000-000038170000}"/>
    <cellStyle name="20% - Accent3 2 3 2 2 3 2 2 3" xfId="26479" xr:uid="{00000000-0005-0000-0000-000039170000}"/>
    <cellStyle name="20% - Accent3 2 3 2 2 3 2 3" xfId="10607" xr:uid="{00000000-0005-0000-0000-00003A170000}"/>
    <cellStyle name="20% - Accent3 2 3 2 2 3 2 3 2" xfId="30077" xr:uid="{00000000-0005-0000-0000-00003B170000}"/>
    <cellStyle name="20% - Accent3 2 3 2 2 3 2 4" xfId="25674" xr:uid="{00000000-0005-0000-0000-00003C170000}"/>
    <cellStyle name="20% - Accent3 2 3 2 2 3 3" xfId="6994" xr:uid="{00000000-0005-0000-0000-00003D170000}"/>
    <cellStyle name="20% - Accent3 2 3 2 2 3 3 2" xfId="11330" xr:uid="{00000000-0005-0000-0000-00003E170000}"/>
    <cellStyle name="20% - Accent3 2 3 2 2 3 3 2 2" xfId="30800" xr:uid="{00000000-0005-0000-0000-00003F170000}"/>
    <cellStyle name="20% - Accent3 2 3 2 2 3 3 3" xfId="26478" xr:uid="{00000000-0005-0000-0000-000040170000}"/>
    <cellStyle name="20% - Accent3 2 3 2 2 3 4" xfId="9547" xr:uid="{00000000-0005-0000-0000-000041170000}"/>
    <cellStyle name="20% - Accent3 2 3 2 2 3 4 2" xfId="29017" xr:uid="{00000000-0005-0000-0000-000042170000}"/>
    <cellStyle name="20% - Accent3 2 3 2 2 3 5" xfId="24521" xr:uid="{00000000-0005-0000-0000-000043170000}"/>
    <cellStyle name="20% - Accent3 2 3 2 2 4" xfId="5632" xr:uid="{00000000-0005-0000-0000-000044170000}"/>
    <cellStyle name="20% - Accent3 2 3 2 2 4 2" xfId="6996" xr:uid="{00000000-0005-0000-0000-000045170000}"/>
    <cellStyle name="20% - Accent3 2 3 2 2 4 2 2" xfId="11332" xr:uid="{00000000-0005-0000-0000-000046170000}"/>
    <cellStyle name="20% - Accent3 2 3 2 2 4 2 2 2" xfId="30802" xr:uid="{00000000-0005-0000-0000-000047170000}"/>
    <cellStyle name="20% - Accent3 2 3 2 2 4 2 3" xfId="26480" xr:uid="{00000000-0005-0000-0000-000048170000}"/>
    <cellStyle name="20% - Accent3 2 3 2 2 4 3" xfId="10077" xr:uid="{00000000-0005-0000-0000-000049170000}"/>
    <cellStyle name="20% - Accent3 2 3 2 2 4 3 2" xfId="29547" xr:uid="{00000000-0005-0000-0000-00004A170000}"/>
    <cellStyle name="20% - Accent3 2 3 2 2 4 4" xfId="25119" xr:uid="{00000000-0005-0000-0000-00004B170000}"/>
    <cellStyle name="20% - Accent3 2 3 2 2 5" xfId="6989" xr:uid="{00000000-0005-0000-0000-00004C170000}"/>
    <cellStyle name="20% - Accent3 2 3 2 2 5 2" xfId="11325" xr:uid="{00000000-0005-0000-0000-00004D170000}"/>
    <cellStyle name="20% - Accent3 2 3 2 2 5 2 2" xfId="30795" xr:uid="{00000000-0005-0000-0000-00004E170000}"/>
    <cellStyle name="20% - Accent3 2 3 2 2 5 3" xfId="26473" xr:uid="{00000000-0005-0000-0000-00004F170000}"/>
    <cellStyle name="20% - Accent3 2 3 2 2 6" xfId="9013" xr:uid="{00000000-0005-0000-0000-000050170000}"/>
    <cellStyle name="20% - Accent3 2 3 2 2 6 2" xfId="28487" xr:uid="{00000000-0005-0000-0000-000051170000}"/>
    <cellStyle name="20% - Accent3 2 3 2 2 7" xfId="23871" xr:uid="{00000000-0005-0000-0000-000052170000}"/>
    <cellStyle name="20% - Accent3 2 3 2 3" xfId="4261" xr:uid="{00000000-0005-0000-0000-000053170000}"/>
    <cellStyle name="20% - Accent3 2 3 2 3 2" xfId="4836" xr:uid="{00000000-0005-0000-0000-000054170000}"/>
    <cellStyle name="20% - Accent3 2 3 2 3 2 2" xfId="5461" xr:uid="{00000000-0005-0000-0000-000055170000}"/>
    <cellStyle name="20% - Accent3 2 3 2 3 2 2 2" xfId="6589" xr:uid="{00000000-0005-0000-0000-000056170000}"/>
    <cellStyle name="20% - Accent3 2 3 2 3 2 2 2 2" xfId="7000" xr:uid="{00000000-0005-0000-0000-000057170000}"/>
    <cellStyle name="20% - Accent3 2 3 2 3 2 2 2 2 2" xfId="11336" xr:uid="{00000000-0005-0000-0000-000058170000}"/>
    <cellStyle name="20% - Accent3 2 3 2 3 2 2 2 2 2 2" xfId="30806" xr:uid="{00000000-0005-0000-0000-000059170000}"/>
    <cellStyle name="20% - Accent3 2 3 2 3 2 2 2 2 3" xfId="26484" xr:uid="{00000000-0005-0000-0000-00005A170000}"/>
    <cellStyle name="20% - Accent3 2 3 2 3 2 2 2 3" xfId="11005" xr:uid="{00000000-0005-0000-0000-00005B170000}"/>
    <cellStyle name="20% - Accent3 2 3 2 3 2 2 2 3 2" xfId="30475" xr:uid="{00000000-0005-0000-0000-00005C170000}"/>
    <cellStyle name="20% - Accent3 2 3 2 3 2 2 2 4" xfId="26074" xr:uid="{00000000-0005-0000-0000-00005D170000}"/>
    <cellStyle name="20% - Accent3 2 3 2 3 2 2 3" xfId="6999" xr:uid="{00000000-0005-0000-0000-00005E170000}"/>
    <cellStyle name="20% - Accent3 2 3 2 3 2 2 3 2" xfId="11335" xr:uid="{00000000-0005-0000-0000-00005F170000}"/>
    <cellStyle name="20% - Accent3 2 3 2 3 2 2 3 2 2" xfId="30805" xr:uid="{00000000-0005-0000-0000-000060170000}"/>
    <cellStyle name="20% - Accent3 2 3 2 3 2 2 3 3" xfId="26483" xr:uid="{00000000-0005-0000-0000-000061170000}"/>
    <cellStyle name="20% - Accent3 2 3 2 3 2 2 4" xfId="9944" xr:uid="{00000000-0005-0000-0000-000062170000}"/>
    <cellStyle name="20% - Accent3 2 3 2 3 2 2 4 2" xfId="29414" xr:uid="{00000000-0005-0000-0000-000063170000}"/>
    <cellStyle name="20% - Accent3 2 3 2 3 2 2 5" xfId="24952" xr:uid="{00000000-0005-0000-0000-000064170000}"/>
    <cellStyle name="20% - Accent3 2 3 2 3 2 3" xfId="6054" xr:uid="{00000000-0005-0000-0000-000065170000}"/>
    <cellStyle name="20% - Accent3 2 3 2 3 2 3 2" xfId="7001" xr:uid="{00000000-0005-0000-0000-000066170000}"/>
    <cellStyle name="20% - Accent3 2 3 2 3 2 3 2 2" xfId="11337" xr:uid="{00000000-0005-0000-0000-000067170000}"/>
    <cellStyle name="20% - Accent3 2 3 2 3 2 3 2 2 2" xfId="30807" xr:uid="{00000000-0005-0000-0000-000068170000}"/>
    <cellStyle name="20% - Accent3 2 3 2 3 2 3 2 3" xfId="26485" xr:uid="{00000000-0005-0000-0000-000069170000}"/>
    <cellStyle name="20% - Accent3 2 3 2 3 2 3 3" xfId="10474" xr:uid="{00000000-0005-0000-0000-00006A170000}"/>
    <cellStyle name="20% - Accent3 2 3 2 3 2 3 3 2" xfId="29944" xr:uid="{00000000-0005-0000-0000-00006B170000}"/>
    <cellStyle name="20% - Accent3 2 3 2 3 2 3 4" xfId="25539" xr:uid="{00000000-0005-0000-0000-00006C170000}"/>
    <cellStyle name="20% - Accent3 2 3 2 3 2 4" xfId="6998" xr:uid="{00000000-0005-0000-0000-00006D170000}"/>
    <cellStyle name="20% - Accent3 2 3 2 3 2 4 2" xfId="11334" xr:uid="{00000000-0005-0000-0000-00006E170000}"/>
    <cellStyle name="20% - Accent3 2 3 2 3 2 4 2 2" xfId="30804" xr:uid="{00000000-0005-0000-0000-00006F170000}"/>
    <cellStyle name="20% - Accent3 2 3 2 3 2 4 3" xfId="26482" xr:uid="{00000000-0005-0000-0000-000070170000}"/>
    <cellStyle name="20% - Accent3 2 3 2 3 2 5" xfId="9414" xr:uid="{00000000-0005-0000-0000-000071170000}"/>
    <cellStyle name="20% - Accent3 2 3 2 3 2 5 2" xfId="28884" xr:uid="{00000000-0005-0000-0000-000072170000}"/>
    <cellStyle name="20% - Accent3 2 3 2 3 2 6" xfId="24338" xr:uid="{00000000-0005-0000-0000-000073170000}"/>
    <cellStyle name="20% - Accent3 2 3 2 3 3" xfId="5166" xr:uid="{00000000-0005-0000-0000-000074170000}"/>
    <cellStyle name="20% - Accent3 2 3 2 3 3 2" xfId="6322" xr:uid="{00000000-0005-0000-0000-000075170000}"/>
    <cellStyle name="20% - Accent3 2 3 2 3 3 2 2" xfId="7003" xr:uid="{00000000-0005-0000-0000-000076170000}"/>
    <cellStyle name="20% - Accent3 2 3 2 3 3 2 2 2" xfId="11339" xr:uid="{00000000-0005-0000-0000-000077170000}"/>
    <cellStyle name="20% - Accent3 2 3 2 3 3 2 2 2 2" xfId="30809" xr:uid="{00000000-0005-0000-0000-000078170000}"/>
    <cellStyle name="20% - Accent3 2 3 2 3 3 2 2 3" xfId="26487" xr:uid="{00000000-0005-0000-0000-000079170000}"/>
    <cellStyle name="20% - Accent3 2 3 2 3 3 2 3" xfId="10739" xr:uid="{00000000-0005-0000-0000-00007A170000}"/>
    <cellStyle name="20% - Accent3 2 3 2 3 3 2 3 2" xfId="30209" xr:uid="{00000000-0005-0000-0000-00007B170000}"/>
    <cellStyle name="20% - Accent3 2 3 2 3 3 2 4" xfId="25807" xr:uid="{00000000-0005-0000-0000-00007C170000}"/>
    <cellStyle name="20% - Accent3 2 3 2 3 3 3" xfId="7002" xr:uid="{00000000-0005-0000-0000-00007D170000}"/>
    <cellStyle name="20% - Accent3 2 3 2 3 3 3 2" xfId="11338" xr:uid="{00000000-0005-0000-0000-00007E170000}"/>
    <cellStyle name="20% - Accent3 2 3 2 3 3 3 2 2" xfId="30808" xr:uid="{00000000-0005-0000-0000-00007F170000}"/>
    <cellStyle name="20% - Accent3 2 3 2 3 3 3 3" xfId="26486" xr:uid="{00000000-0005-0000-0000-000080170000}"/>
    <cellStyle name="20% - Accent3 2 3 2 3 3 4" xfId="9679" xr:uid="{00000000-0005-0000-0000-000081170000}"/>
    <cellStyle name="20% - Accent3 2 3 2 3 3 4 2" xfId="29149" xr:uid="{00000000-0005-0000-0000-000082170000}"/>
    <cellStyle name="20% - Accent3 2 3 2 3 3 5" xfId="24657" xr:uid="{00000000-0005-0000-0000-000083170000}"/>
    <cellStyle name="20% - Accent3 2 3 2 3 4" xfId="5775" xr:uid="{00000000-0005-0000-0000-000084170000}"/>
    <cellStyle name="20% - Accent3 2 3 2 3 4 2" xfId="7004" xr:uid="{00000000-0005-0000-0000-000085170000}"/>
    <cellStyle name="20% - Accent3 2 3 2 3 4 2 2" xfId="11340" xr:uid="{00000000-0005-0000-0000-000086170000}"/>
    <cellStyle name="20% - Accent3 2 3 2 3 4 2 2 2" xfId="30810" xr:uid="{00000000-0005-0000-0000-000087170000}"/>
    <cellStyle name="20% - Accent3 2 3 2 3 4 2 3" xfId="26488" xr:uid="{00000000-0005-0000-0000-000088170000}"/>
    <cellStyle name="20% - Accent3 2 3 2 3 4 3" xfId="10209" xr:uid="{00000000-0005-0000-0000-000089170000}"/>
    <cellStyle name="20% - Accent3 2 3 2 3 4 3 2" xfId="29679" xr:uid="{00000000-0005-0000-0000-00008A170000}"/>
    <cellStyle name="20% - Accent3 2 3 2 3 4 4" xfId="25260" xr:uid="{00000000-0005-0000-0000-00008B170000}"/>
    <cellStyle name="20% - Accent3 2 3 2 3 5" xfId="6997" xr:uid="{00000000-0005-0000-0000-00008C170000}"/>
    <cellStyle name="20% - Accent3 2 3 2 3 5 2" xfId="11333" xr:uid="{00000000-0005-0000-0000-00008D170000}"/>
    <cellStyle name="20% - Accent3 2 3 2 3 5 2 2" xfId="30803" xr:uid="{00000000-0005-0000-0000-00008E170000}"/>
    <cellStyle name="20% - Accent3 2 3 2 3 5 3" xfId="26481" xr:uid="{00000000-0005-0000-0000-00008F170000}"/>
    <cellStyle name="20% - Accent3 2 3 2 3 6" xfId="9148" xr:uid="{00000000-0005-0000-0000-000090170000}"/>
    <cellStyle name="20% - Accent3 2 3 2 3 6 2" xfId="28619" xr:uid="{00000000-0005-0000-0000-000091170000}"/>
    <cellStyle name="20% - Accent3 2 3 2 3 7" xfId="24037" xr:uid="{00000000-0005-0000-0000-000092170000}"/>
    <cellStyle name="20% - Accent3 2 3 2 4" xfId="4617" xr:uid="{00000000-0005-0000-0000-000093170000}"/>
    <cellStyle name="20% - Accent3 2 3 2 4 2" xfId="5257" xr:uid="{00000000-0005-0000-0000-000094170000}"/>
    <cellStyle name="20% - Accent3 2 3 2 4 2 2" xfId="6391" xr:uid="{00000000-0005-0000-0000-000095170000}"/>
    <cellStyle name="20% - Accent3 2 3 2 4 2 2 2" xfId="7007" xr:uid="{00000000-0005-0000-0000-000096170000}"/>
    <cellStyle name="20% - Accent3 2 3 2 4 2 2 2 2" xfId="11343" xr:uid="{00000000-0005-0000-0000-000097170000}"/>
    <cellStyle name="20% - Accent3 2 3 2 4 2 2 2 2 2" xfId="30813" xr:uid="{00000000-0005-0000-0000-000098170000}"/>
    <cellStyle name="20% - Accent3 2 3 2 4 2 2 2 3" xfId="26491" xr:uid="{00000000-0005-0000-0000-000099170000}"/>
    <cellStyle name="20% - Accent3 2 3 2 4 2 2 3" xfId="10807" xr:uid="{00000000-0005-0000-0000-00009A170000}"/>
    <cellStyle name="20% - Accent3 2 3 2 4 2 2 3 2" xfId="30277" xr:uid="{00000000-0005-0000-0000-00009B170000}"/>
    <cellStyle name="20% - Accent3 2 3 2 4 2 2 4" xfId="25876" xr:uid="{00000000-0005-0000-0000-00009C170000}"/>
    <cellStyle name="20% - Accent3 2 3 2 4 2 3" xfId="7006" xr:uid="{00000000-0005-0000-0000-00009D170000}"/>
    <cellStyle name="20% - Accent3 2 3 2 4 2 3 2" xfId="11342" xr:uid="{00000000-0005-0000-0000-00009E170000}"/>
    <cellStyle name="20% - Accent3 2 3 2 4 2 3 2 2" xfId="30812" xr:uid="{00000000-0005-0000-0000-00009F170000}"/>
    <cellStyle name="20% - Accent3 2 3 2 4 2 3 3" xfId="26490" xr:uid="{00000000-0005-0000-0000-0000A0170000}"/>
    <cellStyle name="20% - Accent3 2 3 2 4 2 4" xfId="9746" xr:uid="{00000000-0005-0000-0000-0000A1170000}"/>
    <cellStyle name="20% - Accent3 2 3 2 4 2 4 2" xfId="29216" xr:uid="{00000000-0005-0000-0000-0000A2170000}"/>
    <cellStyle name="20% - Accent3 2 3 2 4 2 5" xfId="24748" xr:uid="{00000000-0005-0000-0000-0000A3170000}"/>
    <cellStyle name="20% - Accent3 2 3 2 4 3" xfId="5854" xr:uid="{00000000-0005-0000-0000-0000A4170000}"/>
    <cellStyle name="20% - Accent3 2 3 2 4 3 2" xfId="7008" xr:uid="{00000000-0005-0000-0000-0000A5170000}"/>
    <cellStyle name="20% - Accent3 2 3 2 4 3 2 2" xfId="11344" xr:uid="{00000000-0005-0000-0000-0000A6170000}"/>
    <cellStyle name="20% - Accent3 2 3 2 4 3 2 2 2" xfId="30814" xr:uid="{00000000-0005-0000-0000-0000A7170000}"/>
    <cellStyle name="20% - Accent3 2 3 2 4 3 2 3" xfId="26492" xr:uid="{00000000-0005-0000-0000-0000A8170000}"/>
    <cellStyle name="20% - Accent3 2 3 2 4 3 3" xfId="10276" xr:uid="{00000000-0005-0000-0000-0000A9170000}"/>
    <cellStyle name="20% - Accent3 2 3 2 4 3 3 2" xfId="29746" xr:uid="{00000000-0005-0000-0000-0000AA170000}"/>
    <cellStyle name="20% - Accent3 2 3 2 4 3 4" xfId="25339" xr:uid="{00000000-0005-0000-0000-0000AB170000}"/>
    <cellStyle name="20% - Accent3 2 3 2 4 4" xfId="7005" xr:uid="{00000000-0005-0000-0000-0000AC170000}"/>
    <cellStyle name="20% - Accent3 2 3 2 4 4 2" xfId="11341" xr:uid="{00000000-0005-0000-0000-0000AD170000}"/>
    <cellStyle name="20% - Accent3 2 3 2 4 4 2 2" xfId="30811" xr:uid="{00000000-0005-0000-0000-0000AE170000}"/>
    <cellStyle name="20% - Accent3 2 3 2 4 4 3" xfId="26489" xr:uid="{00000000-0005-0000-0000-0000AF170000}"/>
    <cellStyle name="20% - Accent3 2 3 2 4 5" xfId="9216" xr:uid="{00000000-0005-0000-0000-0000B0170000}"/>
    <cellStyle name="20% - Accent3 2 3 2 4 5 2" xfId="28686" xr:uid="{00000000-0005-0000-0000-0000B1170000}"/>
    <cellStyle name="20% - Accent3 2 3 2 4 6" xfId="24128" xr:uid="{00000000-0005-0000-0000-0000B2170000}"/>
    <cellStyle name="20% - Accent3 2 3 2 5" xfId="4961" xr:uid="{00000000-0005-0000-0000-0000B3170000}"/>
    <cellStyle name="20% - Accent3 2 3 2 5 2" xfId="6123" xr:uid="{00000000-0005-0000-0000-0000B4170000}"/>
    <cellStyle name="20% - Accent3 2 3 2 5 2 2" xfId="7010" xr:uid="{00000000-0005-0000-0000-0000B5170000}"/>
    <cellStyle name="20% - Accent3 2 3 2 5 2 2 2" xfId="11346" xr:uid="{00000000-0005-0000-0000-0000B6170000}"/>
    <cellStyle name="20% - Accent3 2 3 2 5 2 2 2 2" xfId="30816" xr:uid="{00000000-0005-0000-0000-0000B7170000}"/>
    <cellStyle name="20% - Accent3 2 3 2 5 2 2 3" xfId="26494" xr:uid="{00000000-0005-0000-0000-0000B8170000}"/>
    <cellStyle name="20% - Accent3 2 3 2 5 2 3" xfId="10541" xr:uid="{00000000-0005-0000-0000-0000B9170000}"/>
    <cellStyle name="20% - Accent3 2 3 2 5 2 3 2" xfId="30011" xr:uid="{00000000-0005-0000-0000-0000BA170000}"/>
    <cellStyle name="20% - Accent3 2 3 2 5 2 4" xfId="25608" xr:uid="{00000000-0005-0000-0000-0000BB170000}"/>
    <cellStyle name="20% - Accent3 2 3 2 5 3" xfId="7009" xr:uid="{00000000-0005-0000-0000-0000BC170000}"/>
    <cellStyle name="20% - Accent3 2 3 2 5 3 2" xfId="11345" xr:uid="{00000000-0005-0000-0000-0000BD170000}"/>
    <cellStyle name="20% - Accent3 2 3 2 5 3 2 2" xfId="30815" xr:uid="{00000000-0005-0000-0000-0000BE170000}"/>
    <cellStyle name="20% - Accent3 2 3 2 5 3 3" xfId="26493" xr:uid="{00000000-0005-0000-0000-0000BF170000}"/>
    <cellStyle name="20% - Accent3 2 3 2 5 4" xfId="9481" xr:uid="{00000000-0005-0000-0000-0000C0170000}"/>
    <cellStyle name="20% - Accent3 2 3 2 5 4 2" xfId="28951" xr:uid="{00000000-0005-0000-0000-0000C1170000}"/>
    <cellStyle name="20% - Accent3 2 3 2 5 5" xfId="24455" xr:uid="{00000000-0005-0000-0000-0000C2170000}"/>
    <cellStyle name="20% - Accent3 2 3 2 6" xfId="5566" xr:uid="{00000000-0005-0000-0000-0000C3170000}"/>
    <cellStyle name="20% - Accent3 2 3 2 6 2" xfId="7011" xr:uid="{00000000-0005-0000-0000-0000C4170000}"/>
    <cellStyle name="20% - Accent3 2 3 2 6 2 2" xfId="11347" xr:uid="{00000000-0005-0000-0000-0000C5170000}"/>
    <cellStyle name="20% - Accent3 2 3 2 6 2 2 2" xfId="30817" xr:uid="{00000000-0005-0000-0000-0000C6170000}"/>
    <cellStyle name="20% - Accent3 2 3 2 6 2 3" xfId="26495" xr:uid="{00000000-0005-0000-0000-0000C7170000}"/>
    <cellStyle name="20% - Accent3 2 3 2 6 3" xfId="10011" xr:uid="{00000000-0005-0000-0000-0000C8170000}"/>
    <cellStyle name="20% - Accent3 2 3 2 6 3 2" xfId="29481" xr:uid="{00000000-0005-0000-0000-0000C9170000}"/>
    <cellStyle name="20% - Accent3 2 3 2 6 4" xfId="25053" xr:uid="{00000000-0005-0000-0000-0000CA170000}"/>
    <cellStyle name="20% - Accent3 2 3 2 7" xfId="6988" xr:uid="{00000000-0005-0000-0000-0000CB170000}"/>
    <cellStyle name="20% - Accent3 2 3 2 7 2" xfId="11324" xr:uid="{00000000-0005-0000-0000-0000CC170000}"/>
    <cellStyle name="20% - Accent3 2 3 2 7 2 2" xfId="30794" xr:uid="{00000000-0005-0000-0000-0000CD170000}"/>
    <cellStyle name="20% - Accent3 2 3 2 7 3" xfId="26472" xr:uid="{00000000-0005-0000-0000-0000CE170000}"/>
    <cellStyle name="20% - Accent3 2 3 2 8" xfId="8947" xr:uid="{00000000-0005-0000-0000-0000CF170000}"/>
    <cellStyle name="20% - Accent3 2 3 2 8 2" xfId="28421" xr:uid="{00000000-0005-0000-0000-0000D0170000}"/>
    <cellStyle name="20% - Accent3 2 3 2 9" xfId="23679" xr:uid="{00000000-0005-0000-0000-0000D1170000}"/>
    <cellStyle name="20% - Accent3 2 3 3" xfId="2944" xr:uid="{00000000-0005-0000-0000-0000D2170000}"/>
    <cellStyle name="20% - Accent3 2 3 3 2" xfId="4651" xr:uid="{00000000-0005-0000-0000-0000D3170000}"/>
    <cellStyle name="20% - Accent3 2 3 3 2 2" xfId="5291" xr:uid="{00000000-0005-0000-0000-0000D4170000}"/>
    <cellStyle name="20% - Accent3 2 3 3 2 2 2" xfId="6425" xr:uid="{00000000-0005-0000-0000-0000D5170000}"/>
    <cellStyle name="20% - Accent3 2 3 3 2 2 2 2" xfId="7015" xr:uid="{00000000-0005-0000-0000-0000D6170000}"/>
    <cellStyle name="20% - Accent3 2 3 3 2 2 2 2 2" xfId="11351" xr:uid="{00000000-0005-0000-0000-0000D7170000}"/>
    <cellStyle name="20% - Accent3 2 3 3 2 2 2 2 2 2" xfId="30821" xr:uid="{00000000-0005-0000-0000-0000D8170000}"/>
    <cellStyle name="20% - Accent3 2 3 3 2 2 2 2 3" xfId="26499" xr:uid="{00000000-0005-0000-0000-0000D9170000}"/>
    <cellStyle name="20% - Accent3 2 3 3 2 2 2 3" xfId="10841" xr:uid="{00000000-0005-0000-0000-0000DA170000}"/>
    <cellStyle name="20% - Accent3 2 3 3 2 2 2 3 2" xfId="30311" xr:uid="{00000000-0005-0000-0000-0000DB170000}"/>
    <cellStyle name="20% - Accent3 2 3 3 2 2 2 4" xfId="25910" xr:uid="{00000000-0005-0000-0000-0000DC170000}"/>
    <cellStyle name="20% - Accent3 2 3 3 2 2 3" xfId="7014" xr:uid="{00000000-0005-0000-0000-0000DD170000}"/>
    <cellStyle name="20% - Accent3 2 3 3 2 2 3 2" xfId="11350" xr:uid="{00000000-0005-0000-0000-0000DE170000}"/>
    <cellStyle name="20% - Accent3 2 3 3 2 2 3 2 2" xfId="30820" xr:uid="{00000000-0005-0000-0000-0000DF170000}"/>
    <cellStyle name="20% - Accent3 2 3 3 2 2 3 3" xfId="26498" xr:uid="{00000000-0005-0000-0000-0000E0170000}"/>
    <cellStyle name="20% - Accent3 2 3 3 2 2 4" xfId="9780" xr:uid="{00000000-0005-0000-0000-0000E1170000}"/>
    <cellStyle name="20% - Accent3 2 3 3 2 2 4 2" xfId="29250" xr:uid="{00000000-0005-0000-0000-0000E2170000}"/>
    <cellStyle name="20% - Accent3 2 3 3 2 2 5" xfId="24782" xr:uid="{00000000-0005-0000-0000-0000E3170000}"/>
    <cellStyle name="20% - Accent3 2 3 3 2 3" xfId="5888" xr:uid="{00000000-0005-0000-0000-0000E4170000}"/>
    <cellStyle name="20% - Accent3 2 3 3 2 3 2" xfId="7016" xr:uid="{00000000-0005-0000-0000-0000E5170000}"/>
    <cellStyle name="20% - Accent3 2 3 3 2 3 2 2" xfId="11352" xr:uid="{00000000-0005-0000-0000-0000E6170000}"/>
    <cellStyle name="20% - Accent3 2 3 3 2 3 2 2 2" xfId="30822" xr:uid="{00000000-0005-0000-0000-0000E7170000}"/>
    <cellStyle name="20% - Accent3 2 3 3 2 3 2 3" xfId="26500" xr:uid="{00000000-0005-0000-0000-0000E8170000}"/>
    <cellStyle name="20% - Accent3 2 3 3 2 3 3" xfId="10310" xr:uid="{00000000-0005-0000-0000-0000E9170000}"/>
    <cellStyle name="20% - Accent3 2 3 3 2 3 3 2" xfId="29780" xr:uid="{00000000-0005-0000-0000-0000EA170000}"/>
    <cellStyle name="20% - Accent3 2 3 3 2 3 4" xfId="25373" xr:uid="{00000000-0005-0000-0000-0000EB170000}"/>
    <cellStyle name="20% - Accent3 2 3 3 2 4" xfId="7013" xr:uid="{00000000-0005-0000-0000-0000EC170000}"/>
    <cellStyle name="20% - Accent3 2 3 3 2 4 2" xfId="11349" xr:uid="{00000000-0005-0000-0000-0000ED170000}"/>
    <cellStyle name="20% - Accent3 2 3 3 2 4 2 2" xfId="30819" xr:uid="{00000000-0005-0000-0000-0000EE170000}"/>
    <cellStyle name="20% - Accent3 2 3 3 2 4 3" xfId="26497" xr:uid="{00000000-0005-0000-0000-0000EF170000}"/>
    <cellStyle name="20% - Accent3 2 3 3 2 5" xfId="9250" xr:uid="{00000000-0005-0000-0000-0000F0170000}"/>
    <cellStyle name="20% - Accent3 2 3 3 2 5 2" xfId="28720" xr:uid="{00000000-0005-0000-0000-0000F1170000}"/>
    <cellStyle name="20% - Accent3 2 3 3 2 6" xfId="24162" xr:uid="{00000000-0005-0000-0000-0000F2170000}"/>
    <cellStyle name="20% - Accent3 2 3 3 3" xfId="4995" xr:uid="{00000000-0005-0000-0000-0000F3170000}"/>
    <cellStyle name="20% - Accent3 2 3 3 3 2" xfId="6157" xr:uid="{00000000-0005-0000-0000-0000F4170000}"/>
    <cellStyle name="20% - Accent3 2 3 3 3 2 2" xfId="7018" xr:uid="{00000000-0005-0000-0000-0000F5170000}"/>
    <cellStyle name="20% - Accent3 2 3 3 3 2 2 2" xfId="11354" xr:uid="{00000000-0005-0000-0000-0000F6170000}"/>
    <cellStyle name="20% - Accent3 2 3 3 3 2 2 2 2" xfId="30824" xr:uid="{00000000-0005-0000-0000-0000F7170000}"/>
    <cellStyle name="20% - Accent3 2 3 3 3 2 2 3" xfId="26502" xr:uid="{00000000-0005-0000-0000-0000F8170000}"/>
    <cellStyle name="20% - Accent3 2 3 3 3 2 3" xfId="10575" xr:uid="{00000000-0005-0000-0000-0000F9170000}"/>
    <cellStyle name="20% - Accent3 2 3 3 3 2 3 2" xfId="30045" xr:uid="{00000000-0005-0000-0000-0000FA170000}"/>
    <cellStyle name="20% - Accent3 2 3 3 3 2 4" xfId="25642" xr:uid="{00000000-0005-0000-0000-0000FB170000}"/>
    <cellStyle name="20% - Accent3 2 3 3 3 3" xfId="7017" xr:uid="{00000000-0005-0000-0000-0000FC170000}"/>
    <cellStyle name="20% - Accent3 2 3 3 3 3 2" xfId="11353" xr:uid="{00000000-0005-0000-0000-0000FD170000}"/>
    <cellStyle name="20% - Accent3 2 3 3 3 3 2 2" xfId="30823" xr:uid="{00000000-0005-0000-0000-0000FE170000}"/>
    <cellStyle name="20% - Accent3 2 3 3 3 3 3" xfId="26501" xr:uid="{00000000-0005-0000-0000-0000FF170000}"/>
    <cellStyle name="20% - Accent3 2 3 3 3 4" xfId="9515" xr:uid="{00000000-0005-0000-0000-000000180000}"/>
    <cellStyle name="20% - Accent3 2 3 3 3 4 2" xfId="28985" xr:uid="{00000000-0005-0000-0000-000001180000}"/>
    <cellStyle name="20% - Accent3 2 3 3 3 5" xfId="24489" xr:uid="{00000000-0005-0000-0000-000002180000}"/>
    <cellStyle name="20% - Accent3 2 3 3 4" xfId="5600" xr:uid="{00000000-0005-0000-0000-000003180000}"/>
    <cellStyle name="20% - Accent3 2 3 3 4 2" xfId="7019" xr:uid="{00000000-0005-0000-0000-000004180000}"/>
    <cellStyle name="20% - Accent3 2 3 3 4 2 2" xfId="11355" xr:uid="{00000000-0005-0000-0000-000005180000}"/>
    <cellStyle name="20% - Accent3 2 3 3 4 2 2 2" xfId="30825" xr:uid="{00000000-0005-0000-0000-000006180000}"/>
    <cellStyle name="20% - Accent3 2 3 3 4 2 3" xfId="26503" xr:uid="{00000000-0005-0000-0000-000007180000}"/>
    <cellStyle name="20% - Accent3 2 3 3 4 3" xfId="10045" xr:uid="{00000000-0005-0000-0000-000008180000}"/>
    <cellStyle name="20% - Accent3 2 3 3 4 3 2" xfId="29515" xr:uid="{00000000-0005-0000-0000-000009180000}"/>
    <cellStyle name="20% - Accent3 2 3 3 4 4" xfId="25087" xr:uid="{00000000-0005-0000-0000-00000A180000}"/>
    <cellStyle name="20% - Accent3 2 3 3 5" xfId="7012" xr:uid="{00000000-0005-0000-0000-00000B180000}"/>
    <cellStyle name="20% - Accent3 2 3 3 5 2" xfId="11348" xr:uid="{00000000-0005-0000-0000-00000C180000}"/>
    <cellStyle name="20% - Accent3 2 3 3 5 2 2" xfId="30818" xr:uid="{00000000-0005-0000-0000-00000D180000}"/>
    <cellStyle name="20% - Accent3 2 3 3 5 3" xfId="26496" xr:uid="{00000000-0005-0000-0000-00000E180000}"/>
    <cellStyle name="20% - Accent3 2 3 3 6" xfId="8981" xr:uid="{00000000-0005-0000-0000-00000F180000}"/>
    <cellStyle name="20% - Accent3 2 3 3 6 2" xfId="28455" xr:uid="{00000000-0005-0000-0000-000010180000}"/>
    <cellStyle name="20% - Accent3 2 3 3 7" xfId="23753" xr:uid="{00000000-0005-0000-0000-000011180000}"/>
    <cellStyle name="20% - Accent3 2 3 4" xfId="4189" xr:uid="{00000000-0005-0000-0000-000012180000}"/>
    <cellStyle name="20% - Accent3 2 3 4 2" xfId="4781" xr:uid="{00000000-0005-0000-0000-000013180000}"/>
    <cellStyle name="20% - Accent3 2 3 4 2 2" xfId="5407" xr:uid="{00000000-0005-0000-0000-000014180000}"/>
    <cellStyle name="20% - Accent3 2 3 4 2 2 2" xfId="6535" xr:uid="{00000000-0005-0000-0000-000015180000}"/>
    <cellStyle name="20% - Accent3 2 3 4 2 2 2 2" xfId="7023" xr:uid="{00000000-0005-0000-0000-000016180000}"/>
    <cellStyle name="20% - Accent3 2 3 4 2 2 2 2 2" xfId="11359" xr:uid="{00000000-0005-0000-0000-000017180000}"/>
    <cellStyle name="20% - Accent3 2 3 4 2 2 2 2 2 2" xfId="30829" xr:uid="{00000000-0005-0000-0000-000018180000}"/>
    <cellStyle name="20% - Accent3 2 3 4 2 2 2 2 3" xfId="26507" xr:uid="{00000000-0005-0000-0000-000019180000}"/>
    <cellStyle name="20% - Accent3 2 3 4 2 2 2 3" xfId="10951" xr:uid="{00000000-0005-0000-0000-00001A180000}"/>
    <cellStyle name="20% - Accent3 2 3 4 2 2 2 3 2" xfId="30421" xr:uid="{00000000-0005-0000-0000-00001B180000}"/>
    <cellStyle name="20% - Accent3 2 3 4 2 2 2 4" xfId="26020" xr:uid="{00000000-0005-0000-0000-00001C180000}"/>
    <cellStyle name="20% - Accent3 2 3 4 2 2 3" xfId="7022" xr:uid="{00000000-0005-0000-0000-00001D180000}"/>
    <cellStyle name="20% - Accent3 2 3 4 2 2 3 2" xfId="11358" xr:uid="{00000000-0005-0000-0000-00001E180000}"/>
    <cellStyle name="20% - Accent3 2 3 4 2 2 3 2 2" xfId="30828" xr:uid="{00000000-0005-0000-0000-00001F180000}"/>
    <cellStyle name="20% - Accent3 2 3 4 2 2 3 3" xfId="26506" xr:uid="{00000000-0005-0000-0000-000020180000}"/>
    <cellStyle name="20% - Accent3 2 3 4 2 2 4" xfId="9890" xr:uid="{00000000-0005-0000-0000-000021180000}"/>
    <cellStyle name="20% - Accent3 2 3 4 2 2 4 2" xfId="29360" xr:uid="{00000000-0005-0000-0000-000022180000}"/>
    <cellStyle name="20% - Accent3 2 3 4 2 2 5" xfId="24898" xr:uid="{00000000-0005-0000-0000-000023180000}"/>
    <cellStyle name="20% - Accent3 2 3 4 2 3" xfId="5999" xr:uid="{00000000-0005-0000-0000-000024180000}"/>
    <cellStyle name="20% - Accent3 2 3 4 2 3 2" xfId="7024" xr:uid="{00000000-0005-0000-0000-000025180000}"/>
    <cellStyle name="20% - Accent3 2 3 4 2 3 2 2" xfId="11360" xr:uid="{00000000-0005-0000-0000-000026180000}"/>
    <cellStyle name="20% - Accent3 2 3 4 2 3 2 2 2" xfId="30830" xr:uid="{00000000-0005-0000-0000-000027180000}"/>
    <cellStyle name="20% - Accent3 2 3 4 2 3 2 3" xfId="26508" xr:uid="{00000000-0005-0000-0000-000028180000}"/>
    <cellStyle name="20% - Accent3 2 3 4 2 3 3" xfId="10420" xr:uid="{00000000-0005-0000-0000-000029180000}"/>
    <cellStyle name="20% - Accent3 2 3 4 2 3 3 2" xfId="29890" xr:uid="{00000000-0005-0000-0000-00002A180000}"/>
    <cellStyle name="20% - Accent3 2 3 4 2 3 4" xfId="25484" xr:uid="{00000000-0005-0000-0000-00002B180000}"/>
    <cellStyle name="20% - Accent3 2 3 4 2 4" xfId="7021" xr:uid="{00000000-0005-0000-0000-00002C180000}"/>
    <cellStyle name="20% - Accent3 2 3 4 2 4 2" xfId="11357" xr:uid="{00000000-0005-0000-0000-00002D180000}"/>
    <cellStyle name="20% - Accent3 2 3 4 2 4 2 2" xfId="30827" xr:uid="{00000000-0005-0000-0000-00002E180000}"/>
    <cellStyle name="20% - Accent3 2 3 4 2 4 3" xfId="26505" xr:uid="{00000000-0005-0000-0000-00002F180000}"/>
    <cellStyle name="20% - Accent3 2 3 4 2 5" xfId="9360" xr:uid="{00000000-0005-0000-0000-000030180000}"/>
    <cellStyle name="20% - Accent3 2 3 4 2 5 2" xfId="28830" xr:uid="{00000000-0005-0000-0000-000031180000}"/>
    <cellStyle name="20% - Accent3 2 3 4 2 6" xfId="24283" xr:uid="{00000000-0005-0000-0000-000032180000}"/>
    <cellStyle name="20% - Accent3 2 3 4 3" xfId="5112" xr:uid="{00000000-0005-0000-0000-000033180000}"/>
    <cellStyle name="20% - Accent3 2 3 4 3 2" xfId="6268" xr:uid="{00000000-0005-0000-0000-000034180000}"/>
    <cellStyle name="20% - Accent3 2 3 4 3 2 2" xfId="7026" xr:uid="{00000000-0005-0000-0000-000035180000}"/>
    <cellStyle name="20% - Accent3 2 3 4 3 2 2 2" xfId="11362" xr:uid="{00000000-0005-0000-0000-000036180000}"/>
    <cellStyle name="20% - Accent3 2 3 4 3 2 2 2 2" xfId="30832" xr:uid="{00000000-0005-0000-0000-000037180000}"/>
    <cellStyle name="20% - Accent3 2 3 4 3 2 2 3" xfId="26510" xr:uid="{00000000-0005-0000-0000-000038180000}"/>
    <cellStyle name="20% - Accent3 2 3 4 3 2 3" xfId="10685" xr:uid="{00000000-0005-0000-0000-000039180000}"/>
    <cellStyle name="20% - Accent3 2 3 4 3 2 3 2" xfId="30155" xr:uid="{00000000-0005-0000-0000-00003A180000}"/>
    <cellStyle name="20% - Accent3 2 3 4 3 2 4" xfId="25753" xr:uid="{00000000-0005-0000-0000-00003B180000}"/>
    <cellStyle name="20% - Accent3 2 3 4 3 3" xfId="7025" xr:uid="{00000000-0005-0000-0000-00003C180000}"/>
    <cellStyle name="20% - Accent3 2 3 4 3 3 2" xfId="11361" xr:uid="{00000000-0005-0000-0000-00003D180000}"/>
    <cellStyle name="20% - Accent3 2 3 4 3 3 2 2" xfId="30831" xr:uid="{00000000-0005-0000-0000-00003E180000}"/>
    <cellStyle name="20% - Accent3 2 3 4 3 3 3" xfId="26509" xr:uid="{00000000-0005-0000-0000-00003F180000}"/>
    <cellStyle name="20% - Accent3 2 3 4 3 4" xfId="9625" xr:uid="{00000000-0005-0000-0000-000040180000}"/>
    <cellStyle name="20% - Accent3 2 3 4 3 4 2" xfId="29095" xr:uid="{00000000-0005-0000-0000-000041180000}"/>
    <cellStyle name="20% - Accent3 2 3 4 3 5" xfId="24603" xr:uid="{00000000-0005-0000-0000-000042180000}"/>
    <cellStyle name="20% - Accent3 2 3 4 4" xfId="5721" xr:uid="{00000000-0005-0000-0000-000043180000}"/>
    <cellStyle name="20% - Accent3 2 3 4 4 2" xfId="7027" xr:uid="{00000000-0005-0000-0000-000044180000}"/>
    <cellStyle name="20% - Accent3 2 3 4 4 2 2" xfId="11363" xr:uid="{00000000-0005-0000-0000-000045180000}"/>
    <cellStyle name="20% - Accent3 2 3 4 4 2 2 2" xfId="30833" xr:uid="{00000000-0005-0000-0000-000046180000}"/>
    <cellStyle name="20% - Accent3 2 3 4 4 2 3" xfId="26511" xr:uid="{00000000-0005-0000-0000-000047180000}"/>
    <cellStyle name="20% - Accent3 2 3 4 4 3" xfId="10155" xr:uid="{00000000-0005-0000-0000-000048180000}"/>
    <cellStyle name="20% - Accent3 2 3 4 4 3 2" xfId="29625" xr:uid="{00000000-0005-0000-0000-000049180000}"/>
    <cellStyle name="20% - Accent3 2 3 4 4 4" xfId="25206" xr:uid="{00000000-0005-0000-0000-00004A180000}"/>
    <cellStyle name="20% - Accent3 2 3 4 5" xfId="7020" xr:uid="{00000000-0005-0000-0000-00004B180000}"/>
    <cellStyle name="20% - Accent3 2 3 4 5 2" xfId="11356" xr:uid="{00000000-0005-0000-0000-00004C180000}"/>
    <cellStyle name="20% - Accent3 2 3 4 5 2 2" xfId="30826" xr:uid="{00000000-0005-0000-0000-00004D180000}"/>
    <cellStyle name="20% - Accent3 2 3 4 5 3" xfId="26504" xr:uid="{00000000-0005-0000-0000-00004E180000}"/>
    <cellStyle name="20% - Accent3 2 3 4 6" xfId="9094" xr:uid="{00000000-0005-0000-0000-00004F180000}"/>
    <cellStyle name="20% - Accent3 2 3 4 6 2" xfId="28565" xr:uid="{00000000-0005-0000-0000-000050180000}"/>
    <cellStyle name="20% - Accent3 2 3 4 7" xfId="23981" xr:uid="{00000000-0005-0000-0000-000051180000}"/>
    <cellStyle name="20% - Accent3 2 3 5" xfId="4584" xr:uid="{00000000-0005-0000-0000-000052180000}"/>
    <cellStyle name="20% - Accent3 2 3 5 2" xfId="5225" xr:uid="{00000000-0005-0000-0000-000053180000}"/>
    <cellStyle name="20% - Accent3 2 3 5 2 2" xfId="6359" xr:uid="{00000000-0005-0000-0000-000054180000}"/>
    <cellStyle name="20% - Accent3 2 3 5 2 2 2" xfId="7030" xr:uid="{00000000-0005-0000-0000-000055180000}"/>
    <cellStyle name="20% - Accent3 2 3 5 2 2 2 2" xfId="11366" xr:uid="{00000000-0005-0000-0000-000056180000}"/>
    <cellStyle name="20% - Accent3 2 3 5 2 2 2 2 2" xfId="30836" xr:uid="{00000000-0005-0000-0000-000057180000}"/>
    <cellStyle name="20% - Accent3 2 3 5 2 2 2 3" xfId="26514" xr:uid="{00000000-0005-0000-0000-000058180000}"/>
    <cellStyle name="20% - Accent3 2 3 5 2 2 3" xfId="10775" xr:uid="{00000000-0005-0000-0000-000059180000}"/>
    <cellStyle name="20% - Accent3 2 3 5 2 2 3 2" xfId="30245" xr:uid="{00000000-0005-0000-0000-00005A180000}"/>
    <cellStyle name="20% - Accent3 2 3 5 2 2 4" xfId="25844" xr:uid="{00000000-0005-0000-0000-00005B180000}"/>
    <cellStyle name="20% - Accent3 2 3 5 2 3" xfId="7029" xr:uid="{00000000-0005-0000-0000-00005C180000}"/>
    <cellStyle name="20% - Accent3 2 3 5 2 3 2" xfId="11365" xr:uid="{00000000-0005-0000-0000-00005D180000}"/>
    <cellStyle name="20% - Accent3 2 3 5 2 3 2 2" xfId="30835" xr:uid="{00000000-0005-0000-0000-00005E180000}"/>
    <cellStyle name="20% - Accent3 2 3 5 2 3 3" xfId="26513" xr:uid="{00000000-0005-0000-0000-00005F180000}"/>
    <cellStyle name="20% - Accent3 2 3 5 2 4" xfId="9714" xr:uid="{00000000-0005-0000-0000-000060180000}"/>
    <cellStyle name="20% - Accent3 2 3 5 2 4 2" xfId="29184" xr:uid="{00000000-0005-0000-0000-000061180000}"/>
    <cellStyle name="20% - Accent3 2 3 5 2 5" xfId="24716" xr:uid="{00000000-0005-0000-0000-000062180000}"/>
    <cellStyle name="20% - Accent3 2 3 5 3" xfId="5821" xr:uid="{00000000-0005-0000-0000-000063180000}"/>
    <cellStyle name="20% - Accent3 2 3 5 3 2" xfId="7031" xr:uid="{00000000-0005-0000-0000-000064180000}"/>
    <cellStyle name="20% - Accent3 2 3 5 3 2 2" xfId="11367" xr:uid="{00000000-0005-0000-0000-000065180000}"/>
    <cellStyle name="20% - Accent3 2 3 5 3 2 2 2" xfId="30837" xr:uid="{00000000-0005-0000-0000-000066180000}"/>
    <cellStyle name="20% - Accent3 2 3 5 3 2 3" xfId="26515" xr:uid="{00000000-0005-0000-0000-000067180000}"/>
    <cellStyle name="20% - Accent3 2 3 5 3 3" xfId="10244" xr:uid="{00000000-0005-0000-0000-000068180000}"/>
    <cellStyle name="20% - Accent3 2 3 5 3 3 2" xfId="29714" xr:uid="{00000000-0005-0000-0000-000069180000}"/>
    <cellStyle name="20% - Accent3 2 3 5 3 4" xfId="25306" xr:uid="{00000000-0005-0000-0000-00006A180000}"/>
    <cellStyle name="20% - Accent3 2 3 5 4" xfId="7028" xr:uid="{00000000-0005-0000-0000-00006B180000}"/>
    <cellStyle name="20% - Accent3 2 3 5 4 2" xfId="11364" xr:uid="{00000000-0005-0000-0000-00006C180000}"/>
    <cellStyle name="20% - Accent3 2 3 5 4 2 2" xfId="30834" xr:uid="{00000000-0005-0000-0000-00006D180000}"/>
    <cellStyle name="20% - Accent3 2 3 5 4 3" xfId="26512" xr:uid="{00000000-0005-0000-0000-00006E180000}"/>
    <cellStyle name="20% - Accent3 2 3 5 5" xfId="9184" xr:uid="{00000000-0005-0000-0000-00006F180000}"/>
    <cellStyle name="20% - Accent3 2 3 5 5 2" xfId="28654" xr:uid="{00000000-0005-0000-0000-000070180000}"/>
    <cellStyle name="20% - Accent3 2 3 5 6" xfId="24095" xr:uid="{00000000-0005-0000-0000-000071180000}"/>
    <cellStyle name="20% - Accent3 2 3 6" xfId="4929" xr:uid="{00000000-0005-0000-0000-000072180000}"/>
    <cellStyle name="20% - Accent3 2 3 6 2" xfId="6091" xr:uid="{00000000-0005-0000-0000-000073180000}"/>
    <cellStyle name="20% - Accent3 2 3 6 2 2" xfId="7033" xr:uid="{00000000-0005-0000-0000-000074180000}"/>
    <cellStyle name="20% - Accent3 2 3 6 2 2 2" xfId="11369" xr:uid="{00000000-0005-0000-0000-000075180000}"/>
    <cellStyle name="20% - Accent3 2 3 6 2 2 2 2" xfId="30839" xr:uid="{00000000-0005-0000-0000-000076180000}"/>
    <cellStyle name="20% - Accent3 2 3 6 2 2 3" xfId="26517" xr:uid="{00000000-0005-0000-0000-000077180000}"/>
    <cellStyle name="20% - Accent3 2 3 6 2 3" xfId="10509" xr:uid="{00000000-0005-0000-0000-000078180000}"/>
    <cellStyle name="20% - Accent3 2 3 6 2 3 2" xfId="29979" xr:uid="{00000000-0005-0000-0000-000079180000}"/>
    <cellStyle name="20% - Accent3 2 3 6 2 4" xfId="25576" xr:uid="{00000000-0005-0000-0000-00007A180000}"/>
    <cellStyle name="20% - Accent3 2 3 6 3" xfId="7032" xr:uid="{00000000-0005-0000-0000-00007B180000}"/>
    <cellStyle name="20% - Accent3 2 3 6 3 2" xfId="11368" xr:uid="{00000000-0005-0000-0000-00007C180000}"/>
    <cellStyle name="20% - Accent3 2 3 6 3 2 2" xfId="30838" xr:uid="{00000000-0005-0000-0000-00007D180000}"/>
    <cellStyle name="20% - Accent3 2 3 6 3 3" xfId="26516" xr:uid="{00000000-0005-0000-0000-00007E180000}"/>
    <cellStyle name="20% - Accent3 2 3 6 4" xfId="9449" xr:uid="{00000000-0005-0000-0000-00007F180000}"/>
    <cellStyle name="20% - Accent3 2 3 6 4 2" xfId="28919" xr:uid="{00000000-0005-0000-0000-000080180000}"/>
    <cellStyle name="20% - Accent3 2 3 6 5" xfId="24423" xr:uid="{00000000-0005-0000-0000-000081180000}"/>
    <cellStyle name="20% - Accent3 2 3 7" xfId="5533" xr:uid="{00000000-0005-0000-0000-000082180000}"/>
    <cellStyle name="20% - Accent3 2 3 7 2" xfId="7034" xr:uid="{00000000-0005-0000-0000-000083180000}"/>
    <cellStyle name="20% - Accent3 2 3 7 2 2" xfId="11370" xr:uid="{00000000-0005-0000-0000-000084180000}"/>
    <cellStyle name="20% - Accent3 2 3 7 2 2 2" xfId="30840" xr:uid="{00000000-0005-0000-0000-000085180000}"/>
    <cellStyle name="20% - Accent3 2 3 7 2 3" xfId="26518" xr:uid="{00000000-0005-0000-0000-000086180000}"/>
    <cellStyle name="20% - Accent3 2 3 7 3" xfId="9979" xr:uid="{00000000-0005-0000-0000-000087180000}"/>
    <cellStyle name="20% - Accent3 2 3 7 3 2" xfId="29449" xr:uid="{00000000-0005-0000-0000-000088180000}"/>
    <cellStyle name="20% - Accent3 2 3 7 4" xfId="25021" xr:uid="{00000000-0005-0000-0000-000089180000}"/>
    <cellStyle name="20% - Accent3 2 3 8" xfId="6987" xr:uid="{00000000-0005-0000-0000-00008A180000}"/>
    <cellStyle name="20% - Accent3 2 3 8 2" xfId="11323" xr:uid="{00000000-0005-0000-0000-00008B180000}"/>
    <cellStyle name="20% - Accent3 2 3 8 2 2" xfId="30793" xr:uid="{00000000-0005-0000-0000-00008C180000}"/>
    <cellStyle name="20% - Accent3 2 3 8 3" xfId="26471" xr:uid="{00000000-0005-0000-0000-00008D180000}"/>
    <cellStyle name="20% - Accent3 2 3 9" xfId="8915" xr:uid="{00000000-0005-0000-0000-00008E180000}"/>
    <cellStyle name="20% - Accent3 2 3 9 2" xfId="28389" xr:uid="{00000000-0005-0000-0000-00008F180000}"/>
    <cellStyle name="20% - Accent3 2 4" xfId="3894" xr:uid="{00000000-0005-0000-0000-000090180000}"/>
    <cellStyle name="20% - Accent3 2 4 2" xfId="4243" xr:uid="{00000000-0005-0000-0000-000091180000}"/>
    <cellStyle name="20% - Accent3 2 4 2 2" xfId="4818" xr:uid="{00000000-0005-0000-0000-000092180000}"/>
    <cellStyle name="20% - Accent3 2 4 2 2 2" xfId="5443" xr:uid="{00000000-0005-0000-0000-000093180000}"/>
    <cellStyle name="20% - Accent3 2 4 2 2 2 2" xfId="6571" xr:uid="{00000000-0005-0000-0000-000094180000}"/>
    <cellStyle name="20% - Accent3 2 4 2 2 2 2 2" xfId="7039" xr:uid="{00000000-0005-0000-0000-000095180000}"/>
    <cellStyle name="20% - Accent3 2 4 2 2 2 2 2 2" xfId="11375" xr:uid="{00000000-0005-0000-0000-000096180000}"/>
    <cellStyle name="20% - Accent3 2 4 2 2 2 2 2 2 2" xfId="30845" xr:uid="{00000000-0005-0000-0000-000097180000}"/>
    <cellStyle name="20% - Accent3 2 4 2 2 2 2 2 3" xfId="26523" xr:uid="{00000000-0005-0000-0000-000098180000}"/>
    <cellStyle name="20% - Accent3 2 4 2 2 2 2 3" xfId="10987" xr:uid="{00000000-0005-0000-0000-000099180000}"/>
    <cellStyle name="20% - Accent3 2 4 2 2 2 2 3 2" xfId="30457" xr:uid="{00000000-0005-0000-0000-00009A180000}"/>
    <cellStyle name="20% - Accent3 2 4 2 2 2 2 4" xfId="26056" xr:uid="{00000000-0005-0000-0000-00009B180000}"/>
    <cellStyle name="20% - Accent3 2 4 2 2 2 3" xfId="7038" xr:uid="{00000000-0005-0000-0000-00009C180000}"/>
    <cellStyle name="20% - Accent3 2 4 2 2 2 3 2" xfId="11374" xr:uid="{00000000-0005-0000-0000-00009D180000}"/>
    <cellStyle name="20% - Accent3 2 4 2 2 2 3 2 2" xfId="30844" xr:uid="{00000000-0005-0000-0000-00009E180000}"/>
    <cellStyle name="20% - Accent3 2 4 2 2 2 3 3" xfId="26522" xr:uid="{00000000-0005-0000-0000-00009F180000}"/>
    <cellStyle name="20% - Accent3 2 4 2 2 2 4" xfId="9926" xr:uid="{00000000-0005-0000-0000-0000A0180000}"/>
    <cellStyle name="20% - Accent3 2 4 2 2 2 4 2" xfId="29396" xr:uid="{00000000-0005-0000-0000-0000A1180000}"/>
    <cellStyle name="20% - Accent3 2 4 2 2 2 5" xfId="24934" xr:uid="{00000000-0005-0000-0000-0000A2180000}"/>
    <cellStyle name="20% - Accent3 2 4 2 2 3" xfId="6036" xr:uid="{00000000-0005-0000-0000-0000A3180000}"/>
    <cellStyle name="20% - Accent3 2 4 2 2 3 2" xfId="7040" xr:uid="{00000000-0005-0000-0000-0000A4180000}"/>
    <cellStyle name="20% - Accent3 2 4 2 2 3 2 2" xfId="11376" xr:uid="{00000000-0005-0000-0000-0000A5180000}"/>
    <cellStyle name="20% - Accent3 2 4 2 2 3 2 2 2" xfId="30846" xr:uid="{00000000-0005-0000-0000-0000A6180000}"/>
    <cellStyle name="20% - Accent3 2 4 2 2 3 2 3" xfId="26524" xr:uid="{00000000-0005-0000-0000-0000A7180000}"/>
    <cellStyle name="20% - Accent3 2 4 2 2 3 3" xfId="10456" xr:uid="{00000000-0005-0000-0000-0000A8180000}"/>
    <cellStyle name="20% - Accent3 2 4 2 2 3 3 2" xfId="29926" xr:uid="{00000000-0005-0000-0000-0000A9180000}"/>
    <cellStyle name="20% - Accent3 2 4 2 2 3 4" xfId="25521" xr:uid="{00000000-0005-0000-0000-0000AA180000}"/>
    <cellStyle name="20% - Accent3 2 4 2 2 4" xfId="7037" xr:uid="{00000000-0005-0000-0000-0000AB180000}"/>
    <cellStyle name="20% - Accent3 2 4 2 2 4 2" xfId="11373" xr:uid="{00000000-0005-0000-0000-0000AC180000}"/>
    <cellStyle name="20% - Accent3 2 4 2 2 4 2 2" xfId="30843" xr:uid="{00000000-0005-0000-0000-0000AD180000}"/>
    <cellStyle name="20% - Accent3 2 4 2 2 4 3" xfId="26521" xr:uid="{00000000-0005-0000-0000-0000AE180000}"/>
    <cellStyle name="20% - Accent3 2 4 2 2 5" xfId="9396" xr:uid="{00000000-0005-0000-0000-0000AF180000}"/>
    <cellStyle name="20% - Accent3 2 4 2 2 5 2" xfId="28866" xr:uid="{00000000-0005-0000-0000-0000B0180000}"/>
    <cellStyle name="20% - Accent3 2 4 2 2 6" xfId="24320" xr:uid="{00000000-0005-0000-0000-0000B1180000}"/>
    <cellStyle name="20% - Accent3 2 4 2 3" xfId="5148" xr:uid="{00000000-0005-0000-0000-0000B2180000}"/>
    <cellStyle name="20% - Accent3 2 4 2 3 2" xfId="6304" xr:uid="{00000000-0005-0000-0000-0000B3180000}"/>
    <cellStyle name="20% - Accent3 2 4 2 3 2 2" xfId="7042" xr:uid="{00000000-0005-0000-0000-0000B4180000}"/>
    <cellStyle name="20% - Accent3 2 4 2 3 2 2 2" xfId="11378" xr:uid="{00000000-0005-0000-0000-0000B5180000}"/>
    <cellStyle name="20% - Accent3 2 4 2 3 2 2 2 2" xfId="30848" xr:uid="{00000000-0005-0000-0000-0000B6180000}"/>
    <cellStyle name="20% - Accent3 2 4 2 3 2 2 3" xfId="26526" xr:uid="{00000000-0005-0000-0000-0000B7180000}"/>
    <cellStyle name="20% - Accent3 2 4 2 3 2 3" xfId="10721" xr:uid="{00000000-0005-0000-0000-0000B8180000}"/>
    <cellStyle name="20% - Accent3 2 4 2 3 2 3 2" xfId="30191" xr:uid="{00000000-0005-0000-0000-0000B9180000}"/>
    <cellStyle name="20% - Accent3 2 4 2 3 2 4" xfId="25789" xr:uid="{00000000-0005-0000-0000-0000BA180000}"/>
    <cellStyle name="20% - Accent3 2 4 2 3 3" xfId="7041" xr:uid="{00000000-0005-0000-0000-0000BB180000}"/>
    <cellStyle name="20% - Accent3 2 4 2 3 3 2" xfId="11377" xr:uid="{00000000-0005-0000-0000-0000BC180000}"/>
    <cellStyle name="20% - Accent3 2 4 2 3 3 2 2" xfId="30847" xr:uid="{00000000-0005-0000-0000-0000BD180000}"/>
    <cellStyle name="20% - Accent3 2 4 2 3 3 3" xfId="26525" xr:uid="{00000000-0005-0000-0000-0000BE180000}"/>
    <cellStyle name="20% - Accent3 2 4 2 3 4" xfId="9661" xr:uid="{00000000-0005-0000-0000-0000BF180000}"/>
    <cellStyle name="20% - Accent3 2 4 2 3 4 2" xfId="29131" xr:uid="{00000000-0005-0000-0000-0000C0180000}"/>
    <cellStyle name="20% - Accent3 2 4 2 3 5" xfId="24639" xr:uid="{00000000-0005-0000-0000-0000C1180000}"/>
    <cellStyle name="20% - Accent3 2 4 2 4" xfId="5757" xr:uid="{00000000-0005-0000-0000-0000C2180000}"/>
    <cellStyle name="20% - Accent3 2 4 2 4 2" xfId="7043" xr:uid="{00000000-0005-0000-0000-0000C3180000}"/>
    <cellStyle name="20% - Accent3 2 4 2 4 2 2" xfId="11379" xr:uid="{00000000-0005-0000-0000-0000C4180000}"/>
    <cellStyle name="20% - Accent3 2 4 2 4 2 2 2" xfId="30849" xr:uid="{00000000-0005-0000-0000-0000C5180000}"/>
    <cellStyle name="20% - Accent3 2 4 2 4 2 3" xfId="26527" xr:uid="{00000000-0005-0000-0000-0000C6180000}"/>
    <cellStyle name="20% - Accent3 2 4 2 4 3" xfId="10191" xr:uid="{00000000-0005-0000-0000-0000C7180000}"/>
    <cellStyle name="20% - Accent3 2 4 2 4 3 2" xfId="29661" xr:uid="{00000000-0005-0000-0000-0000C8180000}"/>
    <cellStyle name="20% - Accent3 2 4 2 4 4" xfId="25242" xr:uid="{00000000-0005-0000-0000-0000C9180000}"/>
    <cellStyle name="20% - Accent3 2 4 2 5" xfId="7036" xr:uid="{00000000-0005-0000-0000-0000CA180000}"/>
    <cellStyle name="20% - Accent3 2 4 2 5 2" xfId="11372" xr:uid="{00000000-0005-0000-0000-0000CB180000}"/>
    <cellStyle name="20% - Accent3 2 4 2 5 2 2" xfId="30842" xr:uid="{00000000-0005-0000-0000-0000CC180000}"/>
    <cellStyle name="20% - Accent3 2 4 2 5 3" xfId="26520" xr:uid="{00000000-0005-0000-0000-0000CD180000}"/>
    <cellStyle name="20% - Accent3 2 4 2 6" xfId="9130" xr:uid="{00000000-0005-0000-0000-0000CE180000}"/>
    <cellStyle name="20% - Accent3 2 4 2 6 2" xfId="28601" xr:uid="{00000000-0005-0000-0000-0000CF180000}"/>
    <cellStyle name="20% - Accent3 2 4 2 7" xfId="24019" xr:uid="{00000000-0005-0000-0000-0000D0180000}"/>
    <cellStyle name="20% - Accent3 2 4 3" xfId="4726" xr:uid="{00000000-0005-0000-0000-0000D1180000}"/>
    <cellStyle name="20% - Accent3 2 4 3 2" xfId="5360" xr:uid="{00000000-0005-0000-0000-0000D2180000}"/>
    <cellStyle name="20% - Accent3 2 4 3 2 2" xfId="6488" xr:uid="{00000000-0005-0000-0000-0000D3180000}"/>
    <cellStyle name="20% - Accent3 2 4 3 2 2 2" xfId="7046" xr:uid="{00000000-0005-0000-0000-0000D4180000}"/>
    <cellStyle name="20% - Accent3 2 4 3 2 2 2 2" xfId="11382" xr:uid="{00000000-0005-0000-0000-0000D5180000}"/>
    <cellStyle name="20% - Accent3 2 4 3 2 2 2 2 2" xfId="30852" xr:uid="{00000000-0005-0000-0000-0000D6180000}"/>
    <cellStyle name="20% - Accent3 2 4 3 2 2 2 3" xfId="26530" xr:uid="{00000000-0005-0000-0000-0000D7180000}"/>
    <cellStyle name="20% - Accent3 2 4 3 2 2 3" xfId="10904" xr:uid="{00000000-0005-0000-0000-0000D8180000}"/>
    <cellStyle name="20% - Accent3 2 4 3 2 2 3 2" xfId="30374" xr:uid="{00000000-0005-0000-0000-0000D9180000}"/>
    <cellStyle name="20% - Accent3 2 4 3 2 2 4" xfId="25973" xr:uid="{00000000-0005-0000-0000-0000DA180000}"/>
    <cellStyle name="20% - Accent3 2 4 3 2 3" xfId="7045" xr:uid="{00000000-0005-0000-0000-0000DB180000}"/>
    <cellStyle name="20% - Accent3 2 4 3 2 3 2" xfId="11381" xr:uid="{00000000-0005-0000-0000-0000DC180000}"/>
    <cellStyle name="20% - Accent3 2 4 3 2 3 2 2" xfId="30851" xr:uid="{00000000-0005-0000-0000-0000DD180000}"/>
    <cellStyle name="20% - Accent3 2 4 3 2 3 3" xfId="26529" xr:uid="{00000000-0005-0000-0000-0000DE180000}"/>
    <cellStyle name="20% - Accent3 2 4 3 2 4" xfId="9843" xr:uid="{00000000-0005-0000-0000-0000DF180000}"/>
    <cellStyle name="20% - Accent3 2 4 3 2 4 2" xfId="29313" xr:uid="{00000000-0005-0000-0000-0000E0180000}"/>
    <cellStyle name="20% - Accent3 2 4 3 2 5" xfId="24851" xr:uid="{00000000-0005-0000-0000-0000E1180000}"/>
    <cellStyle name="20% - Accent3 2 4 3 3" xfId="5951" xr:uid="{00000000-0005-0000-0000-0000E2180000}"/>
    <cellStyle name="20% - Accent3 2 4 3 3 2" xfId="7047" xr:uid="{00000000-0005-0000-0000-0000E3180000}"/>
    <cellStyle name="20% - Accent3 2 4 3 3 2 2" xfId="11383" xr:uid="{00000000-0005-0000-0000-0000E4180000}"/>
    <cellStyle name="20% - Accent3 2 4 3 3 2 2 2" xfId="30853" xr:uid="{00000000-0005-0000-0000-0000E5180000}"/>
    <cellStyle name="20% - Accent3 2 4 3 3 2 3" xfId="26531" xr:uid="{00000000-0005-0000-0000-0000E6180000}"/>
    <cellStyle name="20% - Accent3 2 4 3 3 3" xfId="10373" xr:uid="{00000000-0005-0000-0000-0000E7180000}"/>
    <cellStyle name="20% - Accent3 2 4 3 3 3 2" xfId="29843" xr:uid="{00000000-0005-0000-0000-0000E8180000}"/>
    <cellStyle name="20% - Accent3 2 4 3 3 4" xfId="25436" xr:uid="{00000000-0005-0000-0000-0000E9180000}"/>
    <cellStyle name="20% - Accent3 2 4 3 4" xfId="7044" xr:uid="{00000000-0005-0000-0000-0000EA180000}"/>
    <cellStyle name="20% - Accent3 2 4 3 4 2" xfId="11380" xr:uid="{00000000-0005-0000-0000-0000EB180000}"/>
    <cellStyle name="20% - Accent3 2 4 3 4 2 2" xfId="30850" xr:uid="{00000000-0005-0000-0000-0000EC180000}"/>
    <cellStyle name="20% - Accent3 2 4 3 4 3" xfId="26528" xr:uid="{00000000-0005-0000-0000-0000ED180000}"/>
    <cellStyle name="20% - Accent3 2 4 3 5" xfId="9313" xr:uid="{00000000-0005-0000-0000-0000EE180000}"/>
    <cellStyle name="20% - Accent3 2 4 3 5 2" xfId="28783" xr:uid="{00000000-0005-0000-0000-0000EF180000}"/>
    <cellStyle name="20% - Accent3 2 4 3 6" xfId="24233" xr:uid="{00000000-0005-0000-0000-0000F0180000}"/>
    <cellStyle name="20% - Accent3 2 4 4" xfId="5059" xr:uid="{00000000-0005-0000-0000-0000F1180000}"/>
    <cellStyle name="20% - Accent3 2 4 4 2" xfId="6220" xr:uid="{00000000-0005-0000-0000-0000F2180000}"/>
    <cellStyle name="20% - Accent3 2 4 4 2 2" xfId="7049" xr:uid="{00000000-0005-0000-0000-0000F3180000}"/>
    <cellStyle name="20% - Accent3 2 4 4 2 2 2" xfId="11385" xr:uid="{00000000-0005-0000-0000-0000F4180000}"/>
    <cellStyle name="20% - Accent3 2 4 4 2 2 2 2" xfId="30855" xr:uid="{00000000-0005-0000-0000-0000F5180000}"/>
    <cellStyle name="20% - Accent3 2 4 4 2 2 3" xfId="26533" xr:uid="{00000000-0005-0000-0000-0000F6180000}"/>
    <cellStyle name="20% - Accent3 2 4 4 2 3" xfId="10638" xr:uid="{00000000-0005-0000-0000-0000F7180000}"/>
    <cellStyle name="20% - Accent3 2 4 4 2 3 2" xfId="30108" xr:uid="{00000000-0005-0000-0000-0000F8180000}"/>
    <cellStyle name="20% - Accent3 2 4 4 2 4" xfId="25705" xr:uid="{00000000-0005-0000-0000-0000F9180000}"/>
    <cellStyle name="20% - Accent3 2 4 4 3" xfId="7048" xr:uid="{00000000-0005-0000-0000-0000FA180000}"/>
    <cellStyle name="20% - Accent3 2 4 4 3 2" xfId="11384" xr:uid="{00000000-0005-0000-0000-0000FB180000}"/>
    <cellStyle name="20% - Accent3 2 4 4 3 2 2" xfId="30854" xr:uid="{00000000-0005-0000-0000-0000FC180000}"/>
    <cellStyle name="20% - Accent3 2 4 4 3 3" xfId="26532" xr:uid="{00000000-0005-0000-0000-0000FD180000}"/>
    <cellStyle name="20% - Accent3 2 4 4 4" xfId="9578" xr:uid="{00000000-0005-0000-0000-0000FE180000}"/>
    <cellStyle name="20% - Accent3 2 4 4 4 2" xfId="29048" xr:uid="{00000000-0005-0000-0000-0000FF180000}"/>
    <cellStyle name="20% - Accent3 2 4 4 5" xfId="24552" xr:uid="{00000000-0005-0000-0000-000000190000}"/>
    <cellStyle name="20% - Accent3 2 4 5" xfId="5671" xr:uid="{00000000-0005-0000-0000-000001190000}"/>
    <cellStyle name="20% - Accent3 2 4 5 2" xfId="7050" xr:uid="{00000000-0005-0000-0000-000002190000}"/>
    <cellStyle name="20% - Accent3 2 4 5 2 2" xfId="11386" xr:uid="{00000000-0005-0000-0000-000003190000}"/>
    <cellStyle name="20% - Accent3 2 4 5 2 2 2" xfId="30856" xr:uid="{00000000-0005-0000-0000-000004190000}"/>
    <cellStyle name="20% - Accent3 2 4 5 2 3" xfId="26534" xr:uid="{00000000-0005-0000-0000-000005190000}"/>
    <cellStyle name="20% - Accent3 2 4 5 3" xfId="10108" xr:uid="{00000000-0005-0000-0000-000006190000}"/>
    <cellStyle name="20% - Accent3 2 4 5 3 2" xfId="29578" xr:uid="{00000000-0005-0000-0000-000007190000}"/>
    <cellStyle name="20% - Accent3 2 4 5 4" xfId="25158" xr:uid="{00000000-0005-0000-0000-000008190000}"/>
    <cellStyle name="20% - Accent3 2 4 6" xfId="7035" xr:uid="{00000000-0005-0000-0000-000009190000}"/>
    <cellStyle name="20% - Accent3 2 4 6 2" xfId="11371" xr:uid="{00000000-0005-0000-0000-00000A190000}"/>
    <cellStyle name="20% - Accent3 2 4 6 2 2" xfId="30841" xr:uid="{00000000-0005-0000-0000-00000B190000}"/>
    <cellStyle name="20% - Accent3 2 4 6 3" xfId="26519" xr:uid="{00000000-0005-0000-0000-00000C190000}"/>
    <cellStyle name="20% - Accent3 2 4 7" xfId="9045" xr:uid="{00000000-0005-0000-0000-00000D190000}"/>
    <cellStyle name="20% - Accent3 2 4 7 2" xfId="28518" xr:uid="{00000000-0005-0000-0000-00000E190000}"/>
    <cellStyle name="20% - Accent3 2 4 8" xfId="23924" xr:uid="{00000000-0005-0000-0000-00000F190000}"/>
    <cellStyle name="20% - Accent3 2 5" xfId="4135" xr:uid="{00000000-0005-0000-0000-000010190000}"/>
    <cellStyle name="20% - Accent3 2 5 2" xfId="4760" xr:uid="{00000000-0005-0000-0000-000011190000}"/>
    <cellStyle name="20% - Accent3 2 5 2 2" xfId="5389" xr:uid="{00000000-0005-0000-0000-000012190000}"/>
    <cellStyle name="20% - Accent3 2 5 2 2 2" xfId="6517" xr:uid="{00000000-0005-0000-0000-000013190000}"/>
    <cellStyle name="20% - Accent3 2 5 2 2 2 2" xfId="7054" xr:uid="{00000000-0005-0000-0000-000014190000}"/>
    <cellStyle name="20% - Accent3 2 5 2 2 2 2 2" xfId="11390" xr:uid="{00000000-0005-0000-0000-000015190000}"/>
    <cellStyle name="20% - Accent3 2 5 2 2 2 2 2 2" xfId="30860" xr:uid="{00000000-0005-0000-0000-000016190000}"/>
    <cellStyle name="20% - Accent3 2 5 2 2 2 2 3" xfId="26538" xr:uid="{00000000-0005-0000-0000-000017190000}"/>
    <cellStyle name="20% - Accent3 2 5 2 2 2 3" xfId="10933" xr:uid="{00000000-0005-0000-0000-000018190000}"/>
    <cellStyle name="20% - Accent3 2 5 2 2 2 3 2" xfId="30403" xr:uid="{00000000-0005-0000-0000-000019190000}"/>
    <cellStyle name="20% - Accent3 2 5 2 2 2 4" xfId="26002" xr:uid="{00000000-0005-0000-0000-00001A190000}"/>
    <cellStyle name="20% - Accent3 2 5 2 2 3" xfId="7053" xr:uid="{00000000-0005-0000-0000-00001B190000}"/>
    <cellStyle name="20% - Accent3 2 5 2 2 3 2" xfId="11389" xr:uid="{00000000-0005-0000-0000-00001C190000}"/>
    <cellStyle name="20% - Accent3 2 5 2 2 3 2 2" xfId="30859" xr:uid="{00000000-0005-0000-0000-00001D190000}"/>
    <cellStyle name="20% - Accent3 2 5 2 2 3 3" xfId="26537" xr:uid="{00000000-0005-0000-0000-00001E190000}"/>
    <cellStyle name="20% - Accent3 2 5 2 2 4" xfId="9872" xr:uid="{00000000-0005-0000-0000-00001F190000}"/>
    <cellStyle name="20% - Accent3 2 5 2 2 4 2" xfId="29342" xr:uid="{00000000-0005-0000-0000-000020190000}"/>
    <cellStyle name="20% - Accent3 2 5 2 2 5" xfId="24880" xr:uid="{00000000-0005-0000-0000-000021190000}"/>
    <cellStyle name="20% - Accent3 2 5 2 3" xfId="5980" xr:uid="{00000000-0005-0000-0000-000022190000}"/>
    <cellStyle name="20% - Accent3 2 5 2 3 2" xfId="7055" xr:uid="{00000000-0005-0000-0000-000023190000}"/>
    <cellStyle name="20% - Accent3 2 5 2 3 2 2" xfId="11391" xr:uid="{00000000-0005-0000-0000-000024190000}"/>
    <cellStyle name="20% - Accent3 2 5 2 3 2 2 2" xfId="30861" xr:uid="{00000000-0005-0000-0000-000025190000}"/>
    <cellStyle name="20% - Accent3 2 5 2 3 2 3" xfId="26539" xr:uid="{00000000-0005-0000-0000-000026190000}"/>
    <cellStyle name="20% - Accent3 2 5 2 3 3" xfId="10402" xr:uid="{00000000-0005-0000-0000-000027190000}"/>
    <cellStyle name="20% - Accent3 2 5 2 3 3 2" xfId="29872" xr:uid="{00000000-0005-0000-0000-000028190000}"/>
    <cellStyle name="20% - Accent3 2 5 2 3 4" xfId="25465" xr:uid="{00000000-0005-0000-0000-000029190000}"/>
    <cellStyle name="20% - Accent3 2 5 2 4" xfId="7052" xr:uid="{00000000-0005-0000-0000-00002A190000}"/>
    <cellStyle name="20% - Accent3 2 5 2 4 2" xfId="11388" xr:uid="{00000000-0005-0000-0000-00002B190000}"/>
    <cellStyle name="20% - Accent3 2 5 2 4 2 2" xfId="30858" xr:uid="{00000000-0005-0000-0000-00002C190000}"/>
    <cellStyle name="20% - Accent3 2 5 2 4 3" xfId="26536" xr:uid="{00000000-0005-0000-0000-00002D190000}"/>
    <cellStyle name="20% - Accent3 2 5 2 5" xfId="9342" xr:uid="{00000000-0005-0000-0000-00002E190000}"/>
    <cellStyle name="20% - Accent3 2 5 2 5 2" xfId="28812" xr:uid="{00000000-0005-0000-0000-00002F190000}"/>
    <cellStyle name="20% - Accent3 2 5 2 6" xfId="24265" xr:uid="{00000000-0005-0000-0000-000030190000}"/>
    <cellStyle name="20% - Accent3 2 5 3" xfId="5094" xr:uid="{00000000-0005-0000-0000-000031190000}"/>
    <cellStyle name="20% - Accent3 2 5 3 2" xfId="6250" xr:uid="{00000000-0005-0000-0000-000032190000}"/>
    <cellStyle name="20% - Accent3 2 5 3 2 2" xfId="7057" xr:uid="{00000000-0005-0000-0000-000033190000}"/>
    <cellStyle name="20% - Accent3 2 5 3 2 2 2" xfId="11393" xr:uid="{00000000-0005-0000-0000-000034190000}"/>
    <cellStyle name="20% - Accent3 2 5 3 2 2 2 2" xfId="30863" xr:uid="{00000000-0005-0000-0000-000035190000}"/>
    <cellStyle name="20% - Accent3 2 5 3 2 2 3" xfId="26541" xr:uid="{00000000-0005-0000-0000-000036190000}"/>
    <cellStyle name="20% - Accent3 2 5 3 2 3" xfId="10667" xr:uid="{00000000-0005-0000-0000-000037190000}"/>
    <cellStyle name="20% - Accent3 2 5 3 2 3 2" xfId="30137" xr:uid="{00000000-0005-0000-0000-000038190000}"/>
    <cellStyle name="20% - Accent3 2 5 3 2 4" xfId="25735" xr:uid="{00000000-0005-0000-0000-000039190000}"/>
    <cellStyle name="20% - Accent3 2 5 3 3" xfId="7056" xr:uid="{00000000-0005-0000-0000-00003A190000}"/>
    <cellStyle name="20% - Accent3 2 5 3 3 2" xfId="11392" xr:uid="{00000000-0005-0000-0000-00003B190000}"/>
    <cellStyle name="20% - Accent3 2 5 3 3 2 2" xfId="30862" xr:uid="{00000000-0005-0000-0000-00003C190000}"/>
    <cellStyle name="20% - Accent3 2 5 3 3 3" xfId="26540" xr:uid="{00000000-0005-0000-0000-00003D190000}"/>
    <cellStyle name="20% - Accent3 2 5 3 4" xfId="9607" xr:uid="{00000000-0005-0000-0000-00003E190000}"/>
    <cellStyle name="20% - Accent3 2 5 3 4 2" xfId="29077" xr:uid="{00000000-0005-0000-0000-00003F190000}"/>
    <cellStyle name="20% - Accent3 2 5 3 5" xfId="24585" xr:uid="{00000000-0005-0000-0000-000040190000}"/>
    <cellStyle name="20% - Accent3 2 5 4" xfId="5703" xr:uid="{00000000-0005-0000-0000-000041190000}"/>
    <cellStyle name="20% - Accent3 2 5 4 2" xfId="7058" xr:uid="{00000000-0005-0000-0000-000042190000}"/>
    <cellStyle name="20% - Accent3 2 5 4 2 2" xfId="11394" xr:uid="{00000000-0005-0000-0000-000043190000}"/>
    <cellStyle name="20% - Accent3 2 5 4 2 2 2" xfId="30864" xr:uid="{00000000-0005-0000-0000-000044190000}"/>
    <cellStyle name="20% - Accent3 2 5 4 2 3" xfId="26542" xr:uid="{00000000-0005-0000-0000-000045190000}"/>
    <cellStyle name="20% - Accent3 2 5 4 3" xfId="10137" xr:uid="{00000000-0005-0000-0000-000046190000}"/>
    <cellStyle name="20% - Accent3 2 5 4 3 2" xfId="29607" xr:uid="{00000000-0005-0000-0000-000047190000}"/>
    <cellStyle name="20% - Accent3 2 5 4 4" xfId="25188" xr:uid="{00000000-0005-0000-0000-000048190000}"/>
    <cellStyle name="20% - Accent3 2 5 5" xfId="7051" xr:uid="{00000000-0005-0000-0000-000049190000}"/>
    <cellStyle name="20% - Accent3 2 5 5 2" xfId="11387" xr:uid="{00000000-0005-0000-0000-00004A190000}"/>
    <cellStyle name="20% - Accent3 2 5 5 2 2" xfId="30857" xr:uid="{00000000-0005-0000-0000-00004B190000}"/>
    <cellStyle name="20% - Accent3 2 5 5 3" xfId="26535" xr:uid="{00000000-0005-0000-0000-00004C190000}"/>
    <cellStyle name="20% - Accent3 2 5 6" xfId="9076" xr:uid="{00000000-0005-0000-0000-00004D190000}"/>
    <cellStyle name="20% - Accent3 2 5 6 2" xfId="28547" xr:uid="{00000000-0005-0000-0000-00004E190000}"/>
    <cellStyle name="20% - Accent3 2 5 7" xfId="23962" xr:uid="{00000000-0005-0000-0000-00004F190000}"/>
    <cellStyle name="20% - Accent3 3" xfId="2050" xr:uid="{00000000-0005-0000-0000-000050190000}"/>
    <cellStyle name="20% - Accent3 3 2" xfId="4153" xr:uid="{00000000-0005-0000-0000-000051190000}"/>
    <cellStyle name="20% - Accent3 4" xfId="2095" xr:uid="{00000000-0005-0000-0000-000052190000}"/>
    <cellStyle name="20% - Accent3 4 2" xfId="4202" xr:uid="{00000000-0005-0000-0000-000053190000}"/>
    <cellStyle name="20% - Accent3 5" xfId="2699" xr:uid="{00000000-0005-0000-0000-000054190000}"/>
    <cellStyle name="20% - Accent4" xfId="1300" builtinId="42" customBuiltin="1"/>
    <cellStyle name="20% - Accent4 2" xfId="1301" xr:uid="{00000000-0005-0000-0000-000056190000}"/>
    <cellStyle name="20% - Accent4 2 2" xfId="2700" xr:uid="{00000000-0005-0000-0000-000057190000}"/>
    <cellStyle name="20% - Accent4 2 2 10" xfId="23561" xr:uid="{00000000-0005-0000-0000-000058190000}"/>
    <cellStyle name="20% - Accent4 2 2 2" xfId="2869" xr:uid="{00000000-0005-0000-0000-000059190000}"/>
    <cellStyle name="20% - Accent4 2 2 2 2" xfId="3063" xr:uid="{00000000-0005-0000-0000-00005A190000}"/>
    <cellStyle name="20% - Accent4 2 2 2 2 2" xfId="4690" xr:uid="{00000000-0005-0000-0000-00005B190000}"/>
    <cellStyle name="20% - Accent4 2 2 2 2 2 2" xfId="5324" xr:uid="{00000000-0005-0000-0000-00005C190000}"/>
    <cellStyle name="20% - Accent4 2 2 2 2 2 2 2" xfId="6458" xr:uid="{00000000-0005-0000-0000-00005D190000}"/>
    <cellStyle name="20% - Accent4 2 2 2 2 2 2 2 2" xfId="7064" xr:uid="{00000000-0005-0000-0000-00005E190000}"/>
    <cellStyle name="20% - Accent4 2 2 2 2 2 2 2 2 2" xfId="11400" xr:uid="{00000000-0005-0000-0000-00005F190000}"/>
    <cellStyle name="20% - Accent4 2 2 2 2 2 2 2 2 2 2" xfId="30870" xr:uid="{00000000-0005-0000-0000-000060190000}"/>
    <cellStyle name="20% - Accent4 2 2 2 2 2 2 2 2 3" xfId="26548" xr:uid="{00000000-0005-0000-0000-000061190000}"/>
    <cellStyle name="20% - Accent4 2 2 2 2 2 2 2 3" xfId="10874" xr:uid="{00000000-0005-0000-0000-000062190000}"/>
    <cellStyle name="20% - Accent4 2 2 2 2 2 2 2 3 2" xfId="30344" xr:uid="{00000000-0005-0000-0000-000063190000}"/>
    <cellStyle name="20% - Accent4 2 2 2 2 2 2 2 4" xfId="25943" xr:uid="{00000000-0005-0000-0000-000064190000}"/>
    <cellStyle name="20% - Accent4 2 2 2 2 2 2 3" xfId="7063" xr:uid="{00000000-0005-0000-0000-000065190000}"/>
    <cellStyle name="20% - Accent4 2 2 2 2 2 2 3 2" xfId="11399" xr:uid="{00000000-0005-0000-0000-000066190000}"/>
    <cellStyle name="20% - Accent4 2 2 2 2 2 2 3 2 2" xfId="30869" xr:uid="{00000000-0005-0000-0000-000067190000}"/>
    <cellStyle name="20% - Accent4 2 2 2 2 2 2 3 3" xfId="26547" xr:uid="{00000000-0005-0000-0000-000068190000}"/>
    <cellStyle name="20% - Accent4 2 2 2 2 2 2 4" xfId="9813" xr:uid="{00000000-0005-0000-0000-000069190000}"/>
    <cellStyle name="20% - Accent4 2 2 2 2 2 2 4 2" xfId="29283" xr:uid="{00000000-0005-0000-0000-00006A190000}"/>
    <cellStyle name="20% - Accent4 2 2 2 2 2 2 5" xfId="24815" xr:uid="{00000000-0005-0000-0000-00006B190000}"/>
    <cellStyle name="20% - Accent4 2 2 2 2 2 3" xfId="5921" xr:uid="{00000000-0005-0000-0000-00006C190000}"/>
    <cellStyle name="20% - Accent4 2 2 2 2 2 3 2" xfId="7065" xr:uid="{00000000-0005-0000-0000-00006D190000}"/>
    <cellStyle name="20% - Accent4 2 2 2 2 2 3 2 2" xfId="11401" xr:uid="{00000000-0005-0000-0000-00006E190000}"/>
    <cellStyle name="20% - Accent4 2 2 2 2 2 3 2 2 2" xfId="30871" xr:uid="{00000000-0005-0000-0000-00006F190000}"/>
    <cellStyle name="20% - Accent4 2 2 2 2 2 3 2 3" xfId="26549" xr:uid="{00000000-0005-0000-0000-000070190000}"/>
    <cellStyle name="20% - Accent4 2 2 2 2 2 3 3" xfId="10343" xr:uid="{00000000-0005-0000-0000-000071190000}"/>
    <cellStyle name="20% - Accent4 2 2 2 2 2 3 3 2" xfId="29813" xr:uid="{00000000-0005-0000-0000-000072190000}"/>
    <cellStyle name="20% - Accent4 2 2 2 2 2 3 4" xfId="25406" xr:uid="{00000000-0005-0000-0000-000073190000}"/>
    <cellStyle name="20% - Accent4 2 2 2 2 2 4" xfId="7062" xr:uid="{00000000-0005-0000-0000-000074190000}"/>
    <cellStyle name="20% - Accent4 2 2 2 2 2 4 2" xfId="11398" xr:uid="{00000000-0005-0000-0000-000075190000}"/>
    <cellStyle name="20% - Accent4 2 2 2 2 2 4 2 2" xfId="30868" xr:uid="{00000000-0005-0000-0000-000076190000}"/>
    <cellStyle name="20% - Accent4 2 2 2 2 2 4 3" xfId="26546" xr:uid="{00000000-0005-0000-0000-000077190000}"/>
    <cellStyle name="20% - Accent4 2 2 2 2 2 5" xfId="9283" xr:uid="{00000000-0005-0000-0000-000078190000}"/>
    <cellStyle name="20% - Accent4 2 2 2 2 2 5 2" xfId="28753" xr:uid="{00000000-0005-0000-0000-000079190000}"/>
    <cellStyle name="20% - Accent4 2 2 2 2 2 6" xfId="24201" xr:uid="{00000000-0005-0000-0000-00007A190000}"/>
    <cellStyle name="20% - Accent4 2 2 2 2 3" xfId="5028" xr:uid="{00000000-0005-0000-0000-00007B190000}"/>
    <cellStyle name="20% - Accent4 2 2 2 2 3 2" xfId="6190" xr:uid="{00000000-0005-0000-0000-00007C190000}"/>
    <cellStyle name="20% - Accent4 2 2 2 2 3 2 2" xfId="7067" xr:uid="{00000000-0005-0000-0000-00007D190000}"/>
    <cellStyle name="20% - Accent4 2 2 2 2 3 2 2 2" xfId="11403" xr:uid="{00000000-0005-0000-0000-00007E190000}"/>
    <cellStyle name="20% - Accent4 2 2 2 2 3 2 2 2 2" xfId="30873" xr:uid="{00000000-0005-0000-0000-00007F190000}"/>
    <cellStyle name="20% - Accent4 2 2 2 2 3 2 2 3" xfId="26551" xr:uid="{00000000-0005-0000-0000-000080190000}"/>
    <cellStyle name="20% - Accent4 2 2 2 2 3 2 3" xfId="10608" xr:uid="{00000000-0005-0000-0000-000081190000}"/>
    <cellStyle name="20% - Accent4 2 2 2 2 3 2 3 2" xfId="30078" xr:uid="{00000000-0005-0000-0000-000082190000}"/>
    <cellStyle name="20% - Accent4 2 2 2 2 3 2 4" xfId="25675" xr:uid="{00000000-0005-0000-0000-000083190000}"/>
    <cellStyle name="20% - Accent4 2 2 2 2 3 3" xfId="7066" xr:uid="{00000000-0005-0000-0000-000084190000}"/>
    <cellStyle name="20% - Accent4 2 2 2 2 3 3 2" xfId="11402" xr:uid="{00000000-0005-0000-0000-000085190000}"/>
    <cellStyle name="20% - Accent4 2 2 2 2 3 3 2 2" xfId="30872" xr:uid="{00000000-0005-0000-0000-000086190000}"/>
    <cellStyle name="20% - Accent4 2 2 2 2 3 3 3" xfId="26550" xr:uid="{00000000-0005-0000-0000-000087190000}"/>
    <cellStyle name="20% - Accent4 2 2 2 2 3 4" xfId="9548" xr:uid="{00000000-0005-0000-0000-000088190000}"/>
    <cellStyle name="20% - Accent4 2 2 2 2 3 4 2" xfId="29018" xr:uid="{00000000-0005-0000-0000-000089190000}"/>
    <cellStyle name="20% - Accent4 2 2 2 2 3 5" xfId="24522" xr:uid="{00000000-0005-0000-0000-00008A190000}"/>
    <cellStyle name="20% - Accent4 2 2 2 2 4" xfId="5633" xr:uid="{00000000-0005-0000-0000-00008B190000}"/>
    <cellStyle name="20% - Accent4 2 2 2 2 4 2" xfId="7068" xr:uid="{00000000-0005-0000-0000-00008C190000}"/>
    <cellStyle name="20% - Accent4 2 2 2 2 4 2 2" xfId="11404" xr:uid="{00000000-0005-0000-0000-00008D190000}"/>
    <cellStyle name="20% - Accent4 2 2 2 2 4 2 2 2" xfId="30874" xr:uid="{00000000-0005-0000-0000-00008E190000}"/>
    <cellStyle name="20% - Accent4 2 2 2 2 4 2 3" xfId="26552" xr:uid="{00000000-0005-0000-0000-00008F190000}"/>
    <cellStyle name="20% - Accent4 2 2 2 2 4 3" xfId="10078" xr:uid="{00000000-0005-0000-0000-000090190000}"/>
    <cellStyle name="20% - Accent4 2 2 2 2 4 3 2" xfId="29548" xr:uid="{00000000-0005-0000-0000-000091190000}"/>
    <cellStyle name="20% - Accent4 2 2 2 2 4 4" xfId="25120" xr:uid="{00000000-0005-0000-0000-000092190000}"/>
    <cellStyle name="20% - Accent4 2 2 2 2 5" xfId="7061" xr:uid="{00000000-0005-0000-0000-000093190000}"/>
    <cellStyle name="20% - Accent4 2 2 2 2 5 2" xfId="11397" xr:uid="{00000000-0005-0000-0000-000094190000}"/>
    <cellStyle name="20% - Accent4 2 2 2 2 5 2 2" xfId="30867" xr:uid="{00000000-0005-0000-0000-000095190000}"/>
    <cellStyle name="20% - Accent4 2 2 2 2 5 3" xfId="26545" xr:uid="{00000000-0005-0000-0000-000096190000}"/>
    <cellStyle name="20% - Accent4 2 2 2 2 6" xfId="9014" xr:uid="{00000000-0005-0000-0000-000097190000}"/>
    <cellStyle name="20% - Accent4 2 2 2 2 6 2" xfId="28488" xr:uid="{00000000-0005-0000-0000-000098190000}"/>
    <cellStyle name="20% - Accent4 2 2 2 2 7" xfId="23872" xr:uid="{00000000-0005-0000-0000-000099190000}"/>
    <cellStyle name="20% - Accent4 2 2 2 3" xfId="4281" xr:uid="{00000000-0005-0000-0000-00009A190000}"/>
    <cellStyle name="20% - Accent4 2 2 2 3 2" xfId="4856" xr:uid="{00000000-0005-0000-0000-00009B190000}"/>
    <cellStyle name="20% - Accent4 2 2 2 3 2 2" xfId="5481" xr:uid="{00000000-0005-0000-0000-00009C190000}"/>
    <cellStyle name="20% - Accent4 2 2 2 3 2 2 2" xfId="6609" xr:uid="{00000000-0005-0000-0000-00009D190000}"/>
    <cellStyle name="20% - Accent4 2 2 2 3 2 2 2 2" xfId="7072" xr:uid="{00000000-0005-0000-0000-00009E190000}"/>
    <cellStyle name="20% - Accent4 2 2 2 3 2 2 2 2 2" xfId="11408" xr:uid="{00000000-0005-0000-0000-00009F190000}"/>
    <cellStyle name="20% - Accent4 2 2 2 3 2 2 2 2 2 2" xfId="30878" xr:uid="{00000000-0005-0000-0000-0000A0190000}"/>
    <cellStyle name="20% - Accent4 2 2 2 3 2 2 2 2 3" xfId="26556" xr:uid="{00000000-0005-0000-0000-0000A1190000}"/>
    <cellStyle name="20% - Accent4 2 2 2 3 2 2 2 3" xfId="11025" xr:uid="{00000000-0005-0000-0000-0000A2190000}"/>
    <cellStyle name="20% - Accent4 2 2 2 3 2 2 2 3 2" xfId="30495" xr:uid="{00000000-0005-0000-0000-0000A3190000}"/>
    <cellStyle name="20% - Accent4 2 2 2 3 2 2 2 4" xfId="26094" xr:uid="{00000000-0005-0000-0000-0000A4190000}"/>
    <cellStyle name="20% - Accent4 2 2 2 3 2 2 3" xfId="7071" xr:uid="{00000000-0005-0000-0000-0000A5190000}"/>
    <cellStyle name="20% - Accent4 2 2 2 3 2 2 3 2" xfId="11407" xr:uid="{00000000-0005-0000-0000-0000A6190000}"/>
    <cellStyle name="20% - Accent4 2 2 2 3 2 2 3 2 2" xfId="30877" xr:uid="{00000000-0005-0000-0000-0000A7190000}"/>
    <cellStyle name="20% - Accent4 2 2 2 3 2 2 3 3" xfId="26555" xr:uid="{00000000-0005-0000-0000-0000A8190000}"/>
    <cellStyle name="20% - Accent4 2 2 2 3 2 2 4" xfId="9964" xr:uid="{00000000-0005-0000-0000-0000A9190000}"/>
    <cellStyle name="20% - Accent4 2 2 2 3 2 2 4 2" xfId="29434" xr:uid="{00000000-0005-0000-0000-0000AA190000}"/>
    <cellStyle name="20% - Accent4 2 2 2 3 2 2 5" xfId="24972" xr:uid="{00000000-0005-0000-0000-0000AB190000}"/>
    <cellStyle name="20% - Accent4 2 2 2 3 2 3" xfId="6074" xr:uid="{00000000-0005-0000-0000-0000AC190000}"/>
    <cellStyle name="20% - Accent4 2 2 2 3 2 3 2" xfId="7073" xr:uid="{00000000-0005-0000-0000-0000AD190000}"/>
    <cellStyle name="20% - Accent4 2 2 2 3 2 3 2 2" xfId="11409" xr:uid="{00000000-0005-0000-0000-0000AE190000}"/>
    <cellStyle name="20% - Accent4 2 2 2 3 2 3 2 2 2" xfId="30879" xr:uid="{00000000-0005-0000-0000-0000AF190000}"/>
    <cellStyle name="20% - Accent4 2 2 2 3 2 3 2 3" xfId="26557" xr:uid="{00000000-0005-0000-0000-0000B0190000}"/>
    <cellStyle name="20% - Accent4 2 2 2 3 2 3 3" xfId="10494" xr:uid="{00000000-0005-0000-0000-0000B1190000}"/>
    <cellStyle name="20% - Accent4 2 2 2 3 2 3 3 2" xfId="29964" xr:uid="{00000000-0005-0000-0000-0000B2190000}"/>
    <cellStyle name="20% - Accent4 2 2 2 3 2 3 4" xfId="25559" xr:uid="{00000000-0005-0000-0000-0000B3190000}"/>
    <cellStyle name="20% - Accent4 2 2 2 3 2 4" xfId="7070" xr:uid="{00000000-0005-0000-0000-0000B4190000}"/>
    <cellStyle name="20% - Accent4 2 2 2 3 2 4 2" xfId="11406" xr:uid="{00000000-0005-0000-0000-0000B5190000}"/>
    <cellStyle name="20% - Accent4 2 2 2 3 2 4 2 2" xfId="30876" xr:uid="{00000000-0005-0000-0000-0000B6190000}"/>
    <cellStyle name="20% - Accent4 2 2 2 3 2 4 3" xfId="26554" xr:uid="{00000000-0005-0000-0000-0000B7190000}"/>
    <cellStyle name="20% - Accent4 2 2 2 3 2 5" xfId="9434" xr:uid="{00000000-0005-0000-0000-0000B8190000}"/>
    <cellStyle name="20% - Accent4 2 2 2 3 2 5 2" xfId="28904" xr:uid="{00000000-0005-0000-0000-0000B9190000}"/>
    <cellStyle name="20% - Accent4 2 2 2 3 2 6" xfId="24358" xr:uid="{00000000-0005-0000-0000-0000BA190000}"/>
    <cellStyle name="20% - Accent4 2 2 2 3 3" xfId="5186" xr:uid="{00000000-0005-0000-0000-0000BB190000}"/>
    <cellStyle name="20% - Accent4 2 2 2 3 3 2" xfId="6342" xr:uid="{00000000-0005-0000-0000-0000BC190000}"/>
    <cellStyle name="20% - Accent4 2 2 2 3 3 2 2" xfId="7075" xr:uid="{00000000-0005-0000-0000-0000BD190000}"/>
    <cellStyle name="20% - Accent4 2 2 2 3 3 2 2 2" xfId="11411" xr:uid="{00000000-0005-0000-0000-0000BE190000}"/>
    <cellStyle name="20% - Accent4 2 2 2 3 3 2 2 2 2" xfId="30881" xr:uid="{00000000-0005-0000-0000-0000BF190000}"/>
    <cellStyle name="20% - Accent4 2 2 2 3 3 2 2 3" xfId="26559" xr:uid="{00000000-0005-0000-0000-0000C0190000}"/>
    <cellStyle name="20% - Accent4 2 2 2 3 3 2 3" xfId="10759" xr:uid="{00000000-0005-0000-0000-0000C1190000}"/>
    <cellStyle name="20% - Accent4 2 2 2 3 3 2 3 2" xfId="30229" xr:uid="{00000000-0005-0000-0000-0000C2190000}"/>
    <cellStyle name="20% - Accent4 2 2 2 3 3 2 4" xfId="25827" xr:uid="{00000000-0005-0000-0000-0000C3190000}"/>
    <cellStyle name="20% - Accent4 2 2 2 3 3 3" xfId="7074" xr:uid="{00000000-0005-0000-0000-0000C4190000}"/>
    <cellStyle name="20% - Accent4 2 2 2 3 3 3 2" xfId="11410" xr:uid="{00000000-0005-0000-0000-0000C5190000}"/>
    <cellStyle name="20% - Accent4 2 2 2 3 3 3 2 2" xfId="30880" xr:uid="{00000000-0005-0000-0000-0000C6190000}"/>
    <cellStyle name="20% - Accent4 2 2 2 3 3 3 3" xfId="26558" xr:uid="{00000000-0005-0000-0000-0000C7190000}"/>
    <cellStyle name="20% - Accent4 2 2 2 3 3 4" xfId="9699" xr:uid="{00000000-0005-0000-0000-0000C8190000}"/>
    <cellStyle name="20% - Accent4 2 2 2 3 3 4 2" xfId="29169" xr:uid="{00000000-0005-0000-0000-0000C9190000}"/>
    <cellStyle name="20% - Accent4 2 2 2 3 3 5" xfId="24677" xr:uid="{00000000-0005-0000-0000-0000CA190000}"/>
    <cellStyle name="20% - Accent4 2 2 2 3 4" xfId="5795" xr:uid="{00000000-0005-0000-0000-0000CB190000}"/>
    <cellStyle name="20% - Accent4 2 2 2 3 4 2" xfId="7076" xr:uid="{00000000-0005-0000-0000-0000CC190000}"/>
    <cellStyle name="20% - Accent4 2 2 2 3 4 2 2" xfId="11412" xr:uid="{00000000-0005-0000-0000-0000CD190000}"/>
    <cellStyle name="20% - Accent4 2 2 2 3 4 2 2 2" xfId="30882" xr:uid="{00000000-0005-0000-0000-0000CE190000}"/>
    <cellStyle name="20% - Accent4 2 2 2 3 4 2 3" xfId="26560" xr:uid="{00000000-0005-0000-0000-0000CF190000}"/>
    <cellStyle name="20% - Accent4 2 2 2 3 4 3" xfId="10229" xr:uid="{00000000-0005-0000-0000-0000D0190000}"/>
    <cellStyle name="20% - Accent4 2 2 2 3 4 3 2" xfId="29699" xr:uid="{00000000-0005-0000-0000-0000D1190000}"/>
    <cellStyle name="20% - Accent4 2 2 2 3 4 4" xfId="25280" xr:uid="{00000000-0005-0000-0000-0000D2190000}"/>
    <cellStyle name="20% - Accent4 2 2 2 3 5" xfId="7069" xr:uid="{00000000-0005-0000-0000-0000D3190000}"/>
    <cellStyle name="20% - Accent4 2 2 2 3 5 2" xfId="11405" xr:uid="{00000000-0005-0000-0000-0000D4190000}"/>
    <cellStyle name="20% - Accent4 2 2 2 3 5 2 2" xfId="30875" xr:uid="{00000000-0005-0000-0000-0000D5190000}"/>
    <cellStyle name="20% - Accent4 2 2 2 3 5 3" xfId="26553" xr:uid="{00000000-0005-0000-0000-0000D6190000}"/>
    <cellStyle name="20% - Accent4 2 2 2 3 6" xfId="9168" xr:uid="{00000000-0005-0000-0000-0000D7190000}"/>
    <cellStyle name="20% - Accent4 2 2 2 3 6 2" xfId="28639" xr:uid="{00000000-0005-0000-0000-0000D8190000}"/>
    <cellStyle name="20% - Accent4 2 2 2 3 7" xfId="24057" xr:uid="{00000000-0005-0000-0000-0000D9190000}"/>
    <cellStyle name="20% - Accent4 2 2 2 4" xfId="4618" xr:uid="{00000000-0005-0000-0000-0000DA190000}"/>
    <cellStyle name="20% - Accent4 2 2 2 4 2" xfId="5258" xr:uid="{00000000-0005-0000-0000-0000DB190000}"/>
    <cellStyle name="20% - Accent4 2 2 2 4 2 2" xfId="6392" xr:uid="{00000000-0005-0000-0000-0000DC190000}"/>
    <cellStyle name="20% - Accent4 2 2 2 4 2 2 2" xfId="7079" xr:uid="{00000000-0005-0000-0000-0000DD190000}"/>
    <cellStyle name="20% - Accent4 2 2 2 4 2 2 2 2" xfId="11415" xr:uid="{00000000-0005-0000-0000-0000DE190000}"/>
    <cellStyle name="20% - Accent4 2 2 2 4 2 2 2 2 2" xfId="30885" xr:uid="{00000000-0005-0000-0000-0000DF190000}"/>
    <cellStyle name="20% - Accent4 2 2 2 4 2 2 2 3" xfId="26563" xr:uid="{00000000-0005-0000-0000-0000E0190000}"/>
    <cellStyle name="20% - Accent4 2 2 2 4 2 2 3" xfId="10808" xr:uid="{00000000-0005-0000-0000-0000E1190000}"/>
    <cellStyle name="20% - Accent4 2 2 2 4 2 2 3 2" xfId="30278" xr:uid="{00000000-0005-0000-0000-0000E2190000}"/>
    <cellStyle name="20% - Accent4 2 2 2 4 2 2 4" xfId="25877" xr:uid="{00000000-0005-0000-0000-0000E3190000}"/>
    <cellStyle name="20% - Accent4 2 2 2 4 2 3" xfId="7078" xr:uid="{00000000-0005-0000-0000-0000E4190000}"/>
    <cellStyle name="20% - Accent4 2 2 2 4 2 3 2" xfId="11414" xr:uid="{00000000-0005-0000-0000-0000E5190000}"/>
    <cellStyle name="20% - Accent4 2 2 2 4 2 3 2 2" xfId="30884" xr:uid="{00000000-0005-0000-0000-0000E6190000}"/>
    <cellStyle name="20% - Accent4 2 2 2 4 2 3 3" xfId="26562" xr:uid="{00000000-0005-0000-0000-0000E7190000}"/>
    <cellStyle name="20% - Accent4 2 2 2 4 2 4" xfId="9747" xr:uid="{00000000-0005-0000-0000-0000E8190000}"/>
    <cellStyle name="20% - Accent4 2 2 2 4 2 4 2" xfId="29217" xr:uid="{00000000-0005-0000-0000-0000E9190000}"/>
    <cellStyle name="20% - Accent4 2 2 2 4 2 5" xfId="24749" xr:uid="{00000000-0005-0000-0000-0000EA190000}"/>
    <cellStyle name="20% - Accent4 2 2 2 4 3" xfId="5855" xr:uid="{00000000-0005-0000-0000-0000EB190000}"/>
    <cellStyle name="20% - Accent4 2 2 2 4 3 2" xfId="7080" xr:uid="{00000000-0005-0000-0000-0000EC190000}"/>
    <cellStyle name="20% - Accent4 2 2 2 4 3 2 2" xfId="11416" xr:uid="{00000000-0005-0000-0000-0000ED190000}"/>
    <cellStyle name="20% - Accent4 2 2 2 4 3 2 2 2" xfId="30886" xr:uid="{00000000-0005-0000-0000-0000EE190000}"/>
    <cellStyle name="20% - Accent4 2 2 2 4 3 2 3" xfId="26564" xr:uid="{00000000-0005-0000-0000-0000EF190000}"/>
    <cellStyle name="20% - Accent4 2 2 2 4 3 3" xfId="10277" xr:uid="{00000000-0005-0000-0000-0000F0190000}"/>
    <cellStyle name="20% - Accent4 2 2 2 4 3 3 2" xfId="29747" xr:uid="{00000000-0005-0000-0000-0000F1190000}"/>
    <cellStyle name="20% - Accent4 2 2 2 4 3 4" xfId="25340" xr:uid="{00000000-0005-0000-0000-0000F2190000}"/>
    <cellStyle name="20% - Accent4 2 2 2 4 4" xfId="7077" xr:uid="{00000000-0005-0000-0000-0000F3190000}"/>
    <cellStyle name="20% - Accent4 2 2 2 4 4 2" xfId="11413" xr:uid="{00000000-0005-0000-0000-0000F4190000}"/>
    <cellStyle name="20% - Accent4 2 2 2 4 4 2 2" xfId="30883" xr:uid="{00000000-0005-0000-0000-0000F5190000}"/>
    <cellStyle name="20% - Accent4 2 2 2 4 4 3" xfId="26561" xr:uid="{00000000-0005-0000-0000-0000F6190000}"/>
    <cellStyle name="20% - Accent4 2 2 2 4 5" xfId="9217" xr:uid="{00000000-0005-0000-0000-0000F7190000}"/>
    <cellStyle name="20% - Accent4 2 2 2 4 5 2" xfId="28687" xr:uid="{00000000-0005-0000-0000-0000F8190000}"/>
    <cellStyle name="20% - Accent4 2 2 2 4 6" xfId="24129" xr:uid="{00000000-0005-0000-0000-0000F9190000}"/>
    <cellStyle name="20% - Accent4 2 2 2 5" xfId="4962" xr:uid="{00000000-0005-0000-0000-0000FA190000}"/>
    <cellStyle name="20% - Accent4 2 2 2 5 2" xfId="6124" xr:uid="{00000000-0005-0000-0000-0000FB190000}"/>
    <cellStyle name="20% - Accent4 2 2 2 5 2 2" xfId="7082" xr:uid="{00000000-0005-0000-0000-0000FC190000}"/>
    <cellStyle name="20% - Accent4 2 2 2 5 2 2 2" xfId="11418" xr:uid="{00000000-0005-0000-0000-0000FD190000}"/>
    <cellStyle name="20% - Accent4 2 2 2 5 2 2 2 2" xfId="30888" xr:uid="{00000000-0005-0000-0000-0000FE190000}"/>
    <cellStyle name="20% - Accent4 2 2 2 5 2 2 3" xfId="26566" xr:uid="{00000000-0005-0000-0000-0000FF190000}"/>
    <cellStyle name="20% - Accent4 2 2 2 5 2 3" xfId="10542" xr:uid="{00000000-0005-0000-0000-0000001A0000}"/>
    <cellStyle name="20% - Accent4 2 2 2 5 2 3 2" xfId="30012" xr:uid="{00000000-0005-0000-0000-0000011A0000}"/>
    <cellStyle name="20% - Accent4 2 2 2 5 2 4" xfId="25609" xr:uid="{00000000-0005-0000-0000-0000021A0000}"/>
    <cellStyle name="20% - Accent4 2 2 2 5 3" xfId="7081" xr:uid="{00000000-0005-0000-0000-0000031A0000}"/>
    <cellStyle name="20% - Accent4 2 2 2 5 3 2" xfId="11417" xr:uid="{00000000-0005-0000-0000-0000041A0000}"/>
    <cellStyle name="20% - Accent4 2 2 2 5 3 2 2" xfId="30887" xr:uid="{00000000-0005-0000-0000-0000051A0000}"/>
    <cellStyle name="20% - Accent4 2 2 2 5 3 3" xfId="26565" xr:uid="{00000000-0005-0000-0000-0000061A0000}"/>
    <cellStyle name="20% - Accent4 2 2 2 5 4" xfId="9482" xr:uid="{00000000-0005-0000-0000-0000071A0000}"/>
    <cellStyle name="20% - Accent4 2 2 2 5 4 2" xfId="28952" xr:uid="{00000000-0005-0000-0000-0000081A0000}"/>
    <cellStyle name="20% - Accent4 2 2 2 5 5" xfId="24456" xr:uid="{00000000-0005-0000-0000-0000091A0000}"/>
    <cellStyle name="20% - Accent4 2 2 2 6" xfId="5567" xr:uid="{00000000-0005-0000-0000-00000A1A0000}"/>
    <cellStyle name="20% - Accent4 2 2 2 6 2" xfId="7083" xr:uid="{00000000-0005-0000-0000-00000B1A0000}"/>
    <cellStyle name="20% - Accent4 2 2 2 6 2 2" xfId="11419" xr:uid="{00000000-0005-0000-0000-00000C1A0000}"/>
    <cellStyle name="20% - Accent4 2 2 2 6 2 2 2" xfId="30889" xr:uid="{00000000-0005-0000-0000-00000D1A0000}"/>
    <cellStyle name="20% - Accent4 2 2 2 6 2 3" xfId="26567" xr:uid="{00000000-0005-0000-0000-00000E1A0000}"/>
    <cellStyle name="20% - Accent4 2 2 2 6 3" xfId="10012" xr:uid="{00000000-0005-0000-0000-00000F1A0000}"/>
    <cellStyle name="20% - Accent4 2 2 2 6 3 2" xfId="29482" xr:uid="{00000000-0005-0000-0000-0000101A0000}"/>
    <cellStyle name="20% - Accent4 2 2 2 6 4" xfId="25054" xr:uid="{00000000-0005-0000-0000-0000111A0000}"/>
    <cellStyle name="20% - Accent4 2 2 2 7" xfId="7060" xr:uid="{00000000-0005-0000-0000-0000121A0000}"/>
    <cellStyle name="20% - Accent4 2 2 2 7 2" xfId="11396" xr:uid="{00000000-0005-0000-0000-0000131A0000}"/>
    <cellStyle name="20% - Accent4 2 2 2 7 2 2" xfId="30866" xr:uid="{00000000-0005-0000-0000-0000141A0000}"/>
    <cellStyle name="20% - Accent4 2 2 2 7 3" xfId="26544" xr:uid="{00000000-0005-0000-0000-0000151A0000}"/>
    <cellStyle name="20% - Accent4 2 2 2 8" xfId="8948" xr:uid="{00000000-0005-0000-0000-0000161A0000}"/>
    <cellStyle name="20% - Accent4 2 2 2 8 2" xfId="28422" xr:uid="{00000000-0005-0000-0000-0000171A0000}"/>
    <cellStyle name="20% - Accent4 2 2 2 9" xfId="23680" xr:uid="{00000000-0005-0000-0000-0000181A0000}"/>
    <cellStyle name="20% - Accent4 2 2 3" xfId="2945" xr:uid="{00000000-0005-0000-0000-0000191A0000}"/>
    <cellStyle name="20% - Accent4 2 2 3 2" xfId="4652" xr:uid="{00000000-0005-0000-0000-00001A1A0000}"/>
    <cellStyle name="20% - Accent4 2 2 3 2 2" xfId="5292" xr:uid="{00000000-0005-0000-0000-00001B1A0000}"/>
    <cellStyle name="20% - Accent4 2 2 3 2 2 2" xfId="6426" xr:uid="{00000000-0005-0000-0000-00001C1A0000}"/>
    <cellStyle name="20% - Accent4 2 2 3 2 2 2 2" xfId="7087" xr:uid="{00000000-0005-0000-0000-00001D1A0000}"/>
    <cellStyle name="20% - Accent4 2 2 3 2 2 2 2 2" xfId="11423" xr:uid="{00000000-0005-0000-0000-00001E1A0000}"/>
    <cellStyle name="20% - Accent4 2 2 3 2 2 2 2 2 2" xfId="30893" xr:uid="{00000000-0005-0000-0000-00001F1A0000}"/>
    <cellStyle name="20% - Accent4 2 2 3 2 2 2 2 3" xfId="26571" xr:uid="{00000000-0005-0000-0000-0000201A0000}"/>
    <cellStyle name="20% - Accent4 2 2 3 2 2 2 3" xfId="10842" xr:uid="{00000000-0005-0000-0000-0000211A0000}"/>
    <cellStyle name="20% - Accent4 2 2 3 2 2 2 3 2" xfId="30312" xr:uid="{00000000-0005-0000-0000-0000221A0000}"/>
    <cellStyle name="20% - Accent4 2 2 3 2 2 2 4" xfId="25911" xr:uid="{00000000-0005-0000-0000-0000231A0000}"/>
    <cellStyle name="20% - Accent4 2 2 3 2 2 3" xfId="7086" xr:uid="{00000000-0005-0000-0000-0000241A0000}"/>
    <cellStyle name="20% - Accent4 2 2 3 2 2 3 2" xfId="11422" xr:uid="{00000000-0005-0000-0000-0000251A0000}"/>
    <cellStyle name="20% - Accent4 2 2 3 2 2 3 2 2" xfId="30892" xr:uid="{00000000-0005-0000-0000-0000261A0000}"/>
    <cellStyle name="20% - Accent4 2 2 3 2 2 3 3" xfId="26570" xr:uid="{00000000-0005-0000-0000-0000271A0000}"/>
    <cellStyle name="20% - Accent4 2 2 3 2 2 4" xfId="9781" xr:uid="{00000000-0005-0000-0000-0000281A0000}"/>
    <cellStyle name="20% - Accent4 2 2 3 2 2 4 2" xfId="29251" xr:uid="{00000000-0005-0000-0000-0000291A0000}"/>
    <cellStyle name="20% - Accent4 2 2 3 2 2 5" xfId="24783" xr:uid="{00000000-0005-0000-0000-00002A1A0000}"/>
    <cellStyle name="20% - Accent4 2 2 3 2 3" xfId="5889" xr:uid="{00000000-0005-0000-0000-00002B1A0000}"/>
    <cellStyle name="20% - Accent4 2 2 3 2 3 2" xfId="7088" xr:uid="{00000000-0005-0000-0000-00002C1A0000}"/>
    <cellStyle name="20% - Accent4 2 2 3 2 3 2 2" xfId="11424" xr:uid="{00000000-0005-0000-0000-00002D1A0000}"/>
    <cellStyle name="20% - Accent4 2 2 3 2 3 2 2 2" xfId="30894" xr:uid="{00000000-0005-0000-0000-00002E1A0000}"/>
    <cellStyle name="20% - Accent4 2 2 3 2 3 2 3" xfId="26572" xr:uid="{00000000-0005-0000-0000-00002F1A0000}"/>
    <cellStyle name="20% - Accent4 2 2 3 2 3 3" xfId="10311" xr:uid="{00000000-0005-0000-0000-0000301A0000}"/>
    <cellStyle name="20% - Accent4 2 2 3 2 3 3 2" xfId="29781" xr:uid="{00000000-0005-0000-0000-0000311A0000}"/>
    <cellStyle name="20% - Accent4 2 2 3 2 3 4" xfId="25374" xr:uid="{00000000-0005-0000-0000-0000321A0000}"/>
    <cellStyle name="20% - Accent4 2 2 3 2 4" xfId="7085" xr:uid="{00000000-0005-0000-0000-0000331A0000}"/>
    <cellStyle name="20% - Accent4 2 2 3 2 4 2" xfId="11421" xr:uid="{00000000-0005-0000-0000-0000341A0000}"/>
    <cellStyle name="20% - Accent4 2 2 3 2 4 2 2" xfId="30891" xr:uid="{00000000-0005-0000-0000-0000351A0000}"/>
    <cellStyle name="20% - Accent4 2 2 3 2 4 3" xfId="26569" xr:uid="{00000000-0005-0000-0000-0000361A0000}"/>
    <cellStyle name="20% - Accent4 2 2 3 2 5" xfId="9251" xr:uid="{00000000-0005-0000-0000-0000371A0000}"/>
    <cellStyle name="20% - Accent4 2 2 3 2 5 2" xfId="28721" xr:uid="{00000000-0005-0000-0000-0000381A0000}"/>
    <cellStyle name="20% - Accent4 2 2 3 2 6" xfId="24163" xr:uid="{00000000-0005-0000-0000-0000391A0000}"/>
    <cellStyle name="20% - Accent4 2 2 3 3" xfId="4996" xr:uid="{00000000-0005-0000-0000-00003A1A0000}"/>
    <cellStyle name="20% - Accent4 2 2 3 3 2" xfId="6158" xr:uid="{00000000-0005-0000-0000-00003B1A0000}"/>
    <cellStyle name="20% - Accent4 2 2 3 3 2 2" xfId="7090" xr:uid="{00000000-0005-0000-0000-00003C1A0000}"/>
    <cellStyle name="20% - Accent4 2 2 3 3 2 2 2" xfId="11426" xr:uid="{00000000-0005-0000-0000-00003D1A0000}"/>
    <cellStyle name="20% - Accent4 2 2 3 3 2 2 2 2" xfId="30896" xr:uid="{00000000-0005-0000-0000-00003E1A0000}"/>
    <cellStyle name="20% - Accent4 2 2 3 3 2 2 3" xfId="26574" xr:uid="{00000000-0005-0000-0000-00003F1A0000}"/>
    <cellStyle name="20% - Accent4 2 2 3 3 2 3" xfId="10576" xr:uid="{00000000-0005-0000-0000-0000401A0000}"/>
    <cellStyle name="20% - Accent4 2 2 3 3 2 3 2" xfId="30046" xr:uid="{00000000-0005-0000-0000-0000411A0000}"/>
    <cellStyle name="20% - Accent4 2 2 3 3 2 4" xfId="25643" xr:uid="{00000000-0005-0000-0000-0000421A0000}"/>
    <cellStyle name="20% - Accent4 2 2 3 3 3" xfId="7089" xr:uid="{00000000-0005-0000-0000-0000431A0000}"/>
    <cellStyle name="20% - Accent4 2 2 3 3 3 2" xfId="11425" xr:uid="{00000000-0005-0000-0000-0000441A0000}"/>
    <cellStyle name="20% - Accent4 2 2 3 3 3 2 2" xfId="30895" xr:uid="{00000000-0005-0000-0000-0000451A0000}"/>
    <cellStyle name="20% - Accent4 2 2 3 3 3 3" xfId="26573" xr:uid="{00000000-0005-0000-0000-0000461A0000}"/>
    <cellStyle name="20% - Accent4 2 2 3 3 4" xfId="9516" xr:uid="{00000000-0005-0000-0000-0000471A0000}"/>
    <cellStyle name="20% - Accent4 2 2 3 3 4 2" xfId="28986" xr:uid="{00000000-0005-0000-0000-0000481A0000}"/>
    <cellStyle name="20% - Accent4 2 2 3 3 5" xfId="24490" xr:uid="{00000000-0005-0000-0000-0000491A0000}"/>
    <cellStyle name="20% - Accent4 2 2 3 4" xfId="5601" xr:uid="{00000000-0005-0000-0000-00004A1A0000}"/>
    <cellStyle name="20% - Accent4 2 2 3 4 2" xfId="7091" xr:uid="{00000000-0005-0000-0000-00004B1A0000}"/>
    <cellStyle name="20% - Accent4 2 2 3 4 2 2" xfId="11427" xr:uid="{00000000-0005-0000-0000-00004C1A0000}"/>
    <cellStyle name="20% - Accent4 2 2 3 4 2 2 2" xfId="30897" xr:uid="{00000000-0005-0000-0000-00004D1A0000}"/>
    <cellStyle name="20% - Accent4 2 2 3 4 2 3" xfId="26575" xr:uid="{00000000-0005-0000-0000-00004E1A0000}"/>
    <cellStyle name="20% - Accent4 2 2 3 4 3" xfId="10046" xr:uid="{00000000-0005-0000-0000-00004F1A0000}"/>
    <cellStyle name="20% - Accent4 2 2 3 4 3 2" xfId="29516" xr:uid="{00000000-0005-0000-0000-0000501A0000}"/>
    <cellStyle name="20% - Accent4 2 2 3 4 4" xfId="25088" xr:uid="{00000000-0005-0000-0000-0000511A0000}"/>
    <cellStyle name="20% - Accent4 2 2 3 5" xfId="7084" xr:uid="{00000000-0005-0000-0000-0000521A0000}"/>
    <cellStyle name="20% - Accent4 2 2 3 5 2" xfId="11420" xr:uid="{00000000-0005-0000-0000-0000531A0000}"/>
    <cellStyle name="20% - Accent4 2 2 3 5 2 2" xfId="30890" xr:uid="{00000000-0005-0000-0000-0000541A0000}"/>
    <cellStyle name="20% - Accent4 2 2 3 5 3" xfId="26568" xr:uid="{00000000-0005-0000-0000-0000551A0000}"/>
    <cellStyle name="20% - Accent4 2 2 3 6" xfId="8982" xr:uid="{00000000-0005-0000-0000-0000561A0000}"/>
    <cellStyle name="20% - Accent4 2 2 3 6 2" xfId="28456" xr:uid="{00000000-0005-0000-0000-0000571A0000}"/>
    <cellStyle name="20% - Accent4 2 2 3 7" xfId="23754" xr:uid="{00000000-0005-0000-0000-0000581A0000}"/>
    <cellStyle name="20% - Accent4 2 2 4" xfId="4226" xr:uid="{00000000-0005-0000-0000-0000591A0000}"/>
    <cellStyle name="20% - Accent4 2 2 4 2" xfId="4801" xr:uid="{00000000-0005-0000-0000-00005A1A0000}"/>
    <cellStyle name="20% - Accent4 2 2 4 2 2" xfId="5427" xr:uid="{00000000-0005-0000-0000-00005B1A0000}"/>
    <cellStyle name="20% - Accent4 2 2 4 2 2 2" xfId="6555" xr:uid="{00000000-0005-0000-0000-00005C1A0000}"/>
    <cellStyle name="20% - Accent4 2 2 4 2 2 2 2" xfId="7095" xr:uid="{00000000-0005-0000-0000-00005D1A0000}"/>
    <cellStyle name="20% - Accent4 2 2 4 2 2 2 2 2" xfId="11431" xr:uid="{00000000-0005-0000-0000-00005E1A0000}"/>
    <cellStyle name="20% - Accent4 2 2 4 2 2 2 2 2 2" xfId="30901" xr:uid="{00000000-0005-0000-0000-00005F1A0000}"/>
    <cellStyle name="20% - Accent4 2 2 4 2 2 2 2 3" xfId="26579" xr:uid="{00000000-0005-0000-0000-0000601A0000}"/>
    <cellStyle name="20% - Accent4 2 2 4 2 2 2 3" xfId="10971" xr:uid="{00000000-0005-0000-0000-0000611A0000}"/>
    <cellStyle name="20% - Accent4 2 2 4 2 2 2 3 2" xfId="30441" xr:uid="{00000000-0005-0000-0000-0000621A0000}"/>
    <cellStyle name="20% - Accent4 2 2 4 2 2 2 4" xfId="26040" xr:uid="{00000000-0005-0000-0000-0000631A0000}"/>
    <cellStyle name="20% - Accent4 2 2 4 2 2 3" xfId="7094" xr:uid="{00000000-0005-0000-0000-0000641A0000}"/>
    <cellStyle name="20% - Accent4 2 2 4 2 2 3 2" xfId="11430" xr:uid="{00000000-0005-0000-0000-0000651A0000}"/>
    <cellStyle name="20% - Accent4 2 2 4 2 2 3 2 2" xfId="30900" xr:uid="{00000000-0005-0000-0000-0000661A0000}"/>
    <cellStyle name="20% - Accent4 2 2 4 2 2 3 3" xfId="26578" xr:uid="{00000000-0005-0000-0000-0000671A0000}"/>
    <cellStyle name="20% - Accent4 2 2 4 2 2 4" xfId="9910" xr:uid="{00000000-0005-0000-0000-0000681A0000}"/>
    <cellStyle name="20% - Accent4 2 2 4 2 2 4 2" xfId="29380" xr:uid="{00000000-0005-0000-0000-0000691A0000}"/>
    <cellStyle name="20% - Accent4 2 2 4 2 2 5" xfId="24918" xr:uid="{00000000-0005-0000-0000-00006A1A0000}"/>
    <cellStyle name="20% - Accent4 2 2 4 2 3" xfId="6019" xr:uid="{00000000-0005-0000-0000-00006B1A0000}"/>
    <cellStyle name="20% - Accent4 2 2 4 2 3 2" xfId="7096" xr:uid="{00000000-0005-0000-0000-00006C1A0000}"/>
    <cellStyle name="20% - Accent4 2 2 4 2 3 2 2" xfId="11432" xr:uid="{00000000-0005-0000-0000-00006D1A0000}"/>
    <cellStyle name="20% - Accent4 2 2 4 2 3 2 2 2" xfId="30902" xr:uid="{00000000-0005-0000-0000-00006E1A0000}"/>
    <cellStyle name="20% - Accent4 2 2 4 2 3 2 3" xfId="26580" xr:uid="{00000000-0005-0000-0000-00006F1A0000}"/>
    <cellStyle name="20% - Accent4 2 2 4 2 3 3" xfId="10440" xr:uid="{00000000-0005-0000-0000-0000701A0000}"/>
    <cellStyle name="20% - Accent4 2 2 4 2 3 3 2" xfId="29910" xr:uid="{00000000-0005-0000-0000-0000711A0000}"/>
    <cellStyle name="20% - Accent4 2 2 4 2 3 4" xfId="25504" xr:uid="{00000000-0005-0000-0000-0000721A0000}"/>
    <cellStyle name="20% - Accent4 2 2 4 2 4" xfId="7093" xr:uid="{00000000-0005-0000-0000-0000731A0000}"/>
    <cellStyle name="20% - Accent4 2 2 4 2 4 2" xfId="11429" xr:uid="{00000000-0005-0000-0000-0000741A0000}"/>
    <cellStyle name="20% - Accent4 2 2 4 2 4 2 2" xfId="30899" xr:uid="{00000000-0005-0000-0000-0000751A0000}"/>
    <cellStyle name="20% - Accent4 2 2 4 2 4 3" xfId="26577" xr:uid="{00000000-0005-0000-0000-0000761A0000}"/>
    <cellStyle name="20% - Accent4 2 2 4 2 5" xfId="9380" xr:uid="{00000000-0005-0000-0000-0000771A0000}"/>
    <cellStyle name="20% - Accent4 2 2 4 2 5 2" xfId="28850" xr:uid="{00000000-0005-0000-0000-0000781A0000}"/>
    <cellStyle name="20% - Accent4 2 2 4 2 6" xfId="24303" xr:uid="{00000000-0005-0000-0000-0000791A0000}"/>
    <cellStyle name="20% - Accent4 2 2 4 3" xfId="5132" xr:uid="{00000000-0005-0000-0000-00007A1A0000}"/>
    <cellStyle name="20% - Accent4 2 2 4 3 2" xfId="6288" xr:uid="{00000000-0005-0000-0000-00007B1A0000}"/>
    <cellStyle name="20% - Accent4 2 2 4 3 2 2" xfId="7098" xr:uid="{00000000-0005-0000-0000-00007C1A0000}"/>
    <cellStyle name="20% - Accent4 2 2 4 3 2 2 2" xfId="11434" xr:uid="{00000000-0005-0000-0000-00007D1A0000}"/>
    <cellStyle name="20% - Accent4 2 2 4 3 2 2 2 2" xfId="30904" xr:uid="{00000000-0005-0000-0000-00007E1A0000}"/>
    <cellStyle name="20% - Accent4 2 2 4 3 2 2 3" xfId="26582" xr:uid="{00000000-0005-0000-0000-00007F1A0000}"/>
    <cellStyle name="20% - Accent4 2 2 4 3 2 3" xfId="10705" xr:uid="{00000000-0005-0000-0000-0000801A0000}"/>
    <cellStyle name="20% - Accent4 2 2 4 3 2 3 2" xfId="30175" xr:uid="{00000000-0005-0000-0000-0000811A0000}"/>
    <cellStyle name="20% - Accent4 2 2 4 3 2 4" xfId="25773" xr:uid="{00000000-0005-0000-0000-0000821A0000}"/>
    <cellStyle name="20% - Accent4 2 2 4 3 3" xfId="7097" xr:uid="{00000000-0005-0000-0000-0000831A0000}"/>
    <cellStyle name="20% - Accent4 2 2 4 3 3 2" xfId="11433" xr:uid="{00000000-0005-0000-0000-0000841A0000}"/>
    <cellStyle name="20% - Accent4 2 2 4 3 3 2 2" xfId="30903" xr:uid="{00000000-0005-0000-0000-0000851A0000}"/>
    <cellStyle name="20% - Accent4 2 2 4 3 3 3" xfId="26581" xr:uid="{00000000-0005-0000-0000-0000861A0000}"/>
    <cellStyle name="20% - Accent4 2 2 4 3 4" xfId="9645" xr:uid="{00000000-0005-0000-0000-0000871A0000}"/>
    <cellStyle name="20% - Accent4 2 2 4 3 4 2" xfId="29115" xr:uid="{00000000-0005-0000-0000-0000881A0000}"/>
    <cellStyle name="20% - Accent4 2 2 4 3 5" xfId="24623" xr:uid="{00000000-0005-0000-0000-0000891A0000}"/>
    <cellStyle name="20% - Accent4 2 2 4 4" xfId="5741" xr:uid="{00000000-0005-0000-0000-00008A1A0000}"/>
    <cellStyle name="20% - Accent4 2 2 4 4 2" xfId="7099" xr:uid="{00000000-0005-0000-0000-00008B1A0000}"/>
    <cellStyle name="20% - Accent4 2 2 4 4 2 2" xfId="11435" xr:uid="{00000000-0005-0000-0000-00008C1A0000}"/>
    <cellStyle name="20% - Accent4 2 2 4 4 2 2 2" xfId="30905" xr:uid="{00000000-0005-0000-0000-00008D1A0000}"/>
    <cellStyle name="20% - Accent4 2 2 4 4 2 3" xfId="26583" xr:uid="{00000000-0005-0000-0000-00008E1A0000}"/>
    <cellStyle name="20% - Accent4 2 2 4 4 3" xfId="10175" xr:uid="{00000000-0005-0000-0000-00008F1A0000}"/>
    <cellStyle name="20% - Accent4 2 2 4 4 3 2" xfId="29645" xr:uid="{00000000-0005-0000-0000-0000901A0000}"/>
    <cellStyle name="20% - Accent4 2 2 4 4 4" xfId="25226" xr:uid="{00000000-0005-0000-0000-0000911A0000}"/>
    <cellStyle name="20% - Accent4 2 2 4 5" xfId="7092" xr:uid="{00000000-0005-0000-0000-0000921A0000}"/>
    <cellStyle name="20% - Accent4 2 2 4 5 2" xfId="11428" xr:uid="{00000000-0005-0000-0000-0000931A0000}"/>
    <cellStyle name="20% - Accent4 2 2 4 5 2 2" xfId="30898" xr:uid="{00000000-0005-0000-0000-0000941A0000}"/>
    <cellStyle name="20% - Accent4 2 2 4 5 3" xfId="26576" xr:uid="{00000000-0005-0000-0000-0000951A0000}"/>
    <cellStyle name="20% - Accent4 2 2 4 6" xfId="9114" xr:uid="{00000000-0005-0000-0000-0000961A0000}"/>
    <cellStyle name="20% - Accent4 2 2 4 6 2" xfId="28585" xr:uid="{00000000-0005-0000-0000-0000971A0000}"/>
    <cellStyle name="20% - Accent4 2 2 4 7" xfId="24002" xr:uid="{00000000-0005-0000-0000-0000981A0000}"/>
    <cellStyle name="20% - Accent4 2 2 5" xfId="4585" xr:uid="{00000000-0005-0000-0000-0000991A0000}"/>
    <cellStyle name="20% - Accent4 2 2 5 2" xfId="5226" xr:uid="{00000000-0005-0000-0000-00009A1A0000}"/>
    <cellStyle name="20% - Accent4 2 2 5 2 2" xfId="6360" xr:uid="{00000000-0005-0000-0000-00009B1A0000}"/>
    <cellStyle name="20% - Accent4 2 2 5 2 2 2" xfId="7102" xr:uid="{00000000-0005-0000-0000-00009C1A0000}"/>
    <cellStyle name="20% - Accent4 2 2 5 2 2 2 2" xfId="11438" xr:uid="{00000000-0005-0000-0000-00009D1A0000}"/>
    <cellStyle name="20% - Accent4 2 2 5 2 2 2 2 2" xfId="30908" xr:uid="{00000000-0005-0000-0000-00009E1A0000}"/>
    <cellStyle name="20% - Accent4 2 2 5 2 2 2 3" xfId="26586" xr:uid="{00000000-0005-0000-0000-00009F1A0000}"/>
    <cellStyle name="20% - Accent4 2 2 5 2 2 3" xfId="10776" xr:uid="{00000000-0005-0000-0000-0000A01A0000}"/>
    <cellStyle name="20% - Accent4 2 2 5 2 2 3 2" xfId="30246" xr:uid="{00000000-0005-0000-0000-0000A11A0000}"/>
    <cellStyle name="20% - Accent4 2 2 5 2 2 4" xfId="25845" xr:uid="{00000000-0005-0000-0000-0000A21A0000}"/>
    <cellStyle name="20% - Accent4 2 2 5 2 3" xfId="7101" xr:uid="{00000000-0005-0000-0000-0000A31A0000}"/>
    <cellStyle name="20% - Accent4 2 2 5 2 3 2" xfId="11437" xr:uid="{00000000-0005-0000-0000-0000A41A0000}"/>
    <cellStyle name="20% - Accent4 2 2 5 2 3 2 2" xfId="30907" xr:uid="{00000000-0005-0000-0000-0000A51A0000}"/>
    <cellStyle name="20% - Accent4 2 2 5 2 3 3" xfId="26585" xr:uid="{00000000-0005-0000-0000-0000A61A0000}"/>
    <cellStyle name="20% - Accent4 2 2 5 2 4" xfId="9715" xr:uid="{00000000-0005-0000-0000-0000A71A0000}"/>
    <cellStyle name="20% - Accent4 2 2 5 2 4 2" xfId="29185" xr:uid="{00000000-0005-0000-0000-0000A81A0000}"/>
    <cellStyle name="20% - Accent4 2 2 5 2 5" xfId="24717" xr:uid="{00000000-0005-0000-0000-0000A91A0000}"/>
    <cellStyle name="20% - Accent4 2 2 5 3" xfId="5822" xr:uid="{00000000-0005-0000-0000-0000AA1A0000}"/>
    <cellStyle name="20% - Accent4 2 2 5 3 2" xfId="7103" xr:uid="{00000000-0005-0000-0000-0000AB1A0000}"/>
    <cellStyle name="20% - Accent4 2 2 5 3 2 2" xfId="11439" xr:uid="{00000000-0005-0000-0000-0000AC1A0000}"/>
    <cellStyle name="20% - Accent4 2 2 5 3 2 2 2" xfId="30909" xr:uid="{00000000-0005-0000-0000-0000AD1A0000}"/>
    <cellStyle name="20% - Accent4 2 2 5 3 2 3" xfId="26587" xr:uid="{00000000-0005-0000-0000-0000AE1A0000}"/>
    <cellStyle name="20% - Accent4 2 2 5 3 3" xfId="10245" xr:uid="{00000000-0005-0000-0000-0000AF1A0000}"/>
    <cellStyle name="20% - Accent4 2 2 5 3 3 2" xfId="29715" xr:uid="{00000000-0005-0000-0000-0000B01A0000}"/>
    <cellStyle name="20% - Accent4 2 2 5 3 4" xfId="25307" xr:uid="{00000000-0005-0000-0000-0000B11A0000}"/>
    <cellStyle name="20% - Accent4 2 2 5 4" xfId="7100" xr:uid="{00000000-0005-0000-0000-0000B21A0000}"/>
    <cellStyle name="20% - Accent4 2 2 5 4 2" xfId="11436" xr:uid="{00000000-0005-0000-0000-0000B31A0000}"/>
    <cellStyle name="20% - Accent4 2 2 5 4 2 2" xfId="30906" xr:uid="{00000000-0005-0000-0000-0000B41A0000}"/>
    <cellStyle name="20% - Accent4 2 2 5 4 3" xfId="26584" xr:uid="{00000000-0005-0000-0000-0000B51A0000}"/>
    <cellStyle name="20% - Accent4 2 2 5 5" xfId="9185" xr:uid="{00000000-0005-0000-0000-0000B61A0000}"/>
    <cellStyle name="20% - Accent4 2 2 5 5 2" xfId="28655" xr:uid="{00000000-0005-0000-0000-0000B71A0000}"/>
    <cellStyle name="20% - Accent4 2 2 5 6" xfId="24096" xr:uid="{00000000-0005-0000-0000-0000B81A0000}"/>
    <cellStyle name="20% - Accent4 2 2 6" xfId="4930" xr:uid="{00000000-0005-0000-0000-0000B91A0000}"/>
    <cellStyle name="20% - Accent4 2 2 6 2" xfId="6092" xr:uid="{00000000-0005-0000-0000-0000BA1A0000}"/>
    <cellStyle name="20% - Accent4 2 2 6 2 2" xfId="7105" xr:uid="{00000000-0005-0000-0000-0000BB1A0000}"/>
    <cellStyle name="20% - Accent4 2 2 6 2 2 2" xfId="11441" xr:uid="{00000000-0005-0000-0000-0000BC1A0000}"/>
    <cellStyle name="20% - Accent4 2 2 6 2 2 2 2" xfId="30911" xr:uid="{00000000-0005-0000-0000-0000BD1A0000}"/>
    <cellStyle name="20% - Accent4 2 2 6 2 2 3" xfId="26589" xr:uid="{00000000-0005-0000-0000-0000BE1A0000}"/>
    <cellStyle name="20% - Accent4 2 2 6 2 3" xfId="10510" xr:uid="{00000000-0005-0000-0000-0000BF1A0000}"/>
    <cellStyle name="20% - Accent4 2 2 6 2 3 2" xfId="29980" xr:uid="{00000000-0005-0000-0000-0000C01A0000}"/>
    <cellStyle name="20% - Accent4 2 2 6 2 4" xfId="25577" xr:uid="{00000000-0005-0000-0000-0000C11A0000}"/>
    <cellStyle name="20% - Accent4 2 2 6 3" xfId="7104" xr:uid="{00000000-0005-0000-0000-0000C21A0000}"/>
    <cellStyle name="20% - Accent4 2 2 6 3 2" xfId="11440" xr:uid="{00000000-0005-0000-0000-0000C31A0000}"/>
    <cellStyle name="20% - Accent4 2 2 6 3 2 2" xfId="30910" xr:uid="{00000000-0005-0000-0000-0000C41A0000}"/>
    <cellStyle name="20% - Accent4 2 2 6 3 3" xfId="26588" xr:uid="{00000000-0005-0000-0000-0000C51A0000}"/>
    <cellStyle name="20% - Accent4 2 2 6 4" xfId="9450" xr:uid="{00000000-0005-0000-0000-0000C61A0000}"/>
    <cellStyle name="20% - Accent4 2 2 6 4 2" xfId="28920" xr:uid="{00000000-0005-0000-0000-0000C71A0000}"/>
    <cellStyle name="20% - Accent4 2 2 6 5" xfId="24424" xr:uid="{00000000-0005-0000-0000-0000C81A0000}"/>
    <cellStyle name="20% - Accent4 2 2 7" xfId="5534" xr:uid="{00000000-0005-0000-0000-0000C91A0000}"/>
    <cellStyle name="20% - Accent4 2 2 7 2" xfId="7106" xr:uid="{00000000-0005-0000-0000-0000CA1A0000}"/>
    <cellStyle name="20% - Accent4 2 2 7 2 2" xfId="11442" xr:uid="{00000000-0005-0000-0000-0000CB1A0000}"/>
    <cellStyle name="20% - Accent4 2 2 7 2 2 2" xfId="30912" xr:uid="{00000000-0005-0000-0000-0000CC1A0000}"/>
    <cellStyle name="20% - Accent4 2 2 7 2 3" xfId="26590" xr:uid="{00000000-0005-0000-0000-0000CD1A0000}"/>
    <cellStyle name="20% - Accent4 2 2 7 3" xfId="9980" xr:uid="{00000000-0005-0000-0000-0000CE1A0000}"/>
    <cellStyle name="20% - Accent4 2 2 7 3 2" xfId="29450" xr:uid="{00000000-0005-0000-0000-0000CF1A0000}"/>
    <cellStyle name="20% - Accent4 2 2 7 4" xfId="25022" xr:uid="{00000000-0005-0000-0000-0000D01A0000}"/>
    <cellStyle name="20% - Accent4 2 2 8" xfId="7059" xr:uid="{00000000-0005-0000-0000-0000D11A0000}"/>
    <cellStyle name="20% - Accent4 2 2 8 2" xfId="11395" xr:uid="{00000000-0005-0000-0000-0000D21A0000}"/>
    <cellStyle name="20% - Accent4 2 2 8 2 2" xfId="30865" xr:uid="{00000000-0005-0000-0000-0000D31A0000}"/>
    <cellStyle name="20% - Accent4 2 2 8 3" xfId="26543" xr:uid="{00000000-0005-0000-0000-0000D41A0000}"/>
    <cellStyle name="20% - Accent4 2 2 9" xfId="8916" xr:uid="{00000000-0005-0000-0000-0000D51A0000}"/>
    <cellStyle name="20% - Accent4 2 2 9 2" xfId="28390" xr:uid="{00000000-0005-0000-0000-0000D61A0000}"/>
    <cellStyle name="20% - Accent4 2 3" xfId="2701" xr:uid="{00000000-0005-0000-0000-0000D71A0000}"/>
    <cellStyle name="20% - Accent4 2 3 10" xfId="23562" xr:uid="{00000000-0005-0000-0000-0000D81A0000}"/>
    <cellStyle name="20% - Accent4 2 3 2" xfId="2870" xr:uid="{00000000-0005-0000-0000-0000D91A0000}"/>
    <cellStyle name="20% - Accent4 2 3 2 2" xfId="3064" xr:uid="{00000000-0005-0000-0000-0000DA1A0000}"/>
    <cellStyle name="20% - Accent4 2 3 2 2 2" xfId="4691" xr:uid="{00000000-0005-0000-0000-0000DB1A0000}"/>
    <cellStyle name="20% - Accent4 2 3 2 2 2 2" xfId="5325" xr:uid="{00000000-0005-0000-0000-0000DC1A0000}"/>
    <cellStyle name="20% - Accent4 2 3 2 2 2 2 2" xfId="6459" xr:uid="{00000000-0005-0000-0000-0000DD1A0000}"/>
    <cellStyle name="20% - Accent4 2 3 2 2 2 2 2 2" xfId="7112" xr:uid="{00000000-0005-0000-0000-0000DE1A0000}"/>
    <cellStyle name="20% - Accent4 2 3 2 2 2 2 2 2 2" xfId="11448" xr:uid="{00000000-0005-0000-0000-0000DF1A0000}"/>
    <cellStyle name="20% - Accent4 2 3 2 2 2 2 2 2 2 2" xfId="30918" xr:uid="{00000000-0005-0000-0000-0000E01A0000}"/>
    <cellStyle name="20% - Accent4 2 3 2 2 2 2 2 2 3" xfId="26596" xr:uid="{00000000-0005-0000-0000-0000E11A0000}"/>
    <cellStyle name="20% - Accent4 2 3 2 2 2 2 2 3" xfId="10875" xr:uid="{00000000-0005-0000-0000-0000E21A0000}"/>
    <cellStyle name="20% - Accent4 2 3 2 2 2 2 2 3 2" xfId="30345" xr:uid="{00000000-0005-0000-0000-0000E31A0000}"/>
    <cellStyle name="20% - Accent4 2 3 2 2 2 2 2 4" xfId="25944" xr:uid="{00000000-0005-0000-0000-0000E41A0000}"/>
    <cellStyle name="20% - Accent4 2 3 2 2 2 2 3" xfId="7111" xr:uid="{00000000-0005-0000-0000-0000E51A0000}"/>
    <cellStyle name="20% - Accent4 2 3 2 2 2 2 3 2" xfId="11447" xr:uid="{00000000-0005-0000-0000-0000E61A0000}"/>
    <cellStyle name="20% - Accent4 2 3 2 2 2 2 3 2 2" xfId="30917" xr:uid="{00000000-0005-0000-0000-0000E71A0000}"/>
    <cellStyle name="20% - Accent4 2 3 2 2 2 2 3 3" xfId="26595" xr:uid="{00000000-0005-0000-0000-0000E81A0000}"/>
    <cellStyle name="20% - Accent4 2 3 2 2 2 2 4" xfId="9814" xr:uid="{00000000-0005-0000-0000-0000E91A0000}"/>
    <cellStyle name="20% - Accent4 2 3 2 2 2 2 4 2" xfId="29284" xr:uid="{00000000-0005-0000-0000-0000EA1A0000}"/>
    <cellStyle name="20% - Accent4 2 3 2 2 2 2 5" xfId="24816" xr:uid="{00000000-0005-0000-0000-0000EB1A0000}"/>
    <cellStyle name="20% - Accent4 2 3 2 2 2 3" xfId="5922" xr:uid="{00000000-0005-0000-0000-0000EC1A0000}"/>
    <cellStyle name="20% - Accent4 2 3 2 2 2 3 2" xfId="7113" xr:uid="{00000000-0005-0000-0000-0000ED1A0000}"/>
    <cellStyle name="20% - Accent4 2 3 2 2 2 3 2 2" xfId="11449" xr:uid="{00000000-0005-0000-0000-0000EE1A0000}"/>
    <cellStyle name="20% - Accent4 2 3 2 2 2 3 2 2 2" xfId="30919" xr:uid="{00000000-0005-0000-0000-0000EF1A0000}"/>
    <cellStyle name="20% - Accent4 2 3 2 2 2 3 2 3" xfId="26597" xr:uid="{00000000-0005-0000-0000-0000F01A0000}"/>
    <cellStyle name="20% - Accent4 2 3 2 2 2 3 3" xfId="10344" xr:uid="{00000000-0005-0000-0000-0000F11A0000}"/>
    <cellStyle name="20% - Accent4 2 3 2 2 2 3 3 2" xfId="29814" xr:uid="{00000000-0005-0000-0000-0000F21A0000}"/>
    <cellStyle name="20% - Accent4 2 3 2 2 2 3 4" xfId="25407" xr:uid="{00000000-0005-0000-0000-0000F31A0000}"/>
    <cellStyle name="20% - Accent4 2 3 2 2 2 4" xfId="7110" xr:uid="{00000000-0005-0000-0000-0000F41A0000}"/>
    <cellStyle name="20% - Accent4 2 3 2 2 2 4 2" xfId="11446" xr:uid="{00000000-0005-0000-0000-0000F51A0000}"/>
    <cellStyle name="20% - Accent4 2 3 2 2 2 4 2 2" xfId="30916" xr:uid="{00000000-0005-0000-0000-0000F61A0000}"/>
    <cellStyle name="20% - Accent4 2 3 2 2 2 4 3" xfId="26594" xr:uid="{00000000-0005-0000-0000-0000F71A0000}"/>
    <cellStyle name="20% - Accent4 2 3 2 2 2 5" xfId="9284" xr:uid="{00000000-0005-0000-0000-0000F81A0000}"/>
    <cellStyle name="20% - Accent4 2 3 2 2 2 5 2" xfId="28754" xr:uid="{00000000-0005-0000-0000-0000F91A0000}"/>
    <cellStyle name="20% - Accent4 2 3 2 2 2 6" xfId="24202" xr:uid="{00000000-0005-0000-0000-0000FA1A0000}"/>
    <cellStyle name="20% - Accent4 2 3 2 2 3" xfId="5029" xr:uid="{00000000-0005-0000-0000-0000FB1A0000}"/>
    <cellStyle name="20% - Accent4 2 3 2 2 3 2" xfId="6191" xr:uid="{00000000-0005-0000-0000-0000FC1A0000}"/>
    <cellStyle name="20% - Accent4 2 3 2 2 3 2 2" xfId="7115" xr:uid="{00000000-0005-0000-0000-0000FD1A0000}"/>
    <cellStyle name="20% - Accent4 2 3 2 2 3 2 2 2" xfId="11451" xr:uid="{00000000-0005-0000-0000-0000FE1A0000}"/>
    <cellStyle name="20% - Accent4 2 3 2 2 3 2 2 2 2" xfId="30921" xr:uid="{00000000-0005-0000-0000-0000FF1A0000}"/>
    <cellStyle name="20% - Accent4 2 3 2 2 3 2 2 3" xfId="26599" xr:uid="{00000000-0005-0000-0000-0000001B0000}"/>
    <cellStyle name="20% - Accent4 2 3 2 2 3 2 3" xfId="10609" xr:uid="{00000000-0005-0000-0000-0000011B0000}"/>
    <cellStyle name="20% - Accent4 2 3 2 2 3 2 3 2" xfId="30079" xr:uid="{00000000-0005-0000-0000-0000021B0000}"/>
    <cellStyle name="20% - Accent4 2 3 2 2 3 2 4" xfId="25676" xr:uid="{00000000-0005-0000-0000-0000031B0000}"/>
    <cellStyle name="20% - Accent4 2 3 2 2 3 3" xfId="7114" xr:uid="{00000000-0005-0000-0000-0000041B0000}"/>
    <cellStyle name="20% - Accent4 2 3 2 2 3 3 2" xfId="11450" xr:uid="{00000000-0005-0000-0000-0000051B0000}"/>
    <cellStyle name="20% - Accent4 2 3 2 2 3 3 2 2" xfId="30920" xr:uid="{00000000-0005-0000-0000-0000061B0000}"/>
    <cellStyle name="20% - Accent4 2 3 2 2 3 3 3" xfId="26598" xr:uid="{00000000-0005-0000-0000-0000071B0000}"/>
    <cellStyle name="20% - Accent4 2 3 2 2 3 4" xfId="9549" xr:uid="{00000000-0005-0000-0000-0000081B0000}"/>
    <cellStyle name="20% - Accent4 2 3 2 2 3 4 2" xfId="29019" xr:uid="{00000000-0005-0000-0000-0000091B0000}"/>
    <cellStyle name="20% - Accent4 2 3 2 2 3 5" xfId="24523" xr:uid="{00000000-0005-0000-0000-00000A1B0000}"/>
    <cellStyle name="20% - Accent4 2 3 2 2 4" xfId="5634" xr:uid="{00000000-0005-0000-0000-00000B1B0000}"/>
    <cellStyle name="20% - Accent4 2 3 2 2 4 2" xfId="7116" xr:uid="{00000000-0005-0000-0000-00000C1B0000}"/>
    <cellStyle name="20% - Accent4 2 3 2 2 4 2 2" xfId="11452" xr:uid="{00000000-0005-0000-0000-00000D1B0000}"/>
    <cellStyle name="20% - Accent4 2 3 2 2 4 2 2 2" xfId="30922" xr:uid="{00000000-0005-0000-0000-00000E1B0000}"/>
    <cellStyle name="20% - Accent4 2 3 2 2 4 2 3" xfId="26600" xr:uid="{00000000-0005-0000-0000-00000F1B0000}"/>
    <cellStyle name="20% - Accent4 2 3 2 2 4 3" xfId="10079" xr:uid="{00000000-0005-0000-0000-0000101B0000}"/>
    <cellStyle name="20% - Accent4 2 3 2 2 4 3 2" xfId="29549" xr:uid="{00000000-0005-0000-0000-0000111B0000}"/>
    <cellStyle name="20% - Accent4 2 3 2 2 4 4" xfId="25121" xr:uid="{00000000-0005-0000-0000-0000121B0000}"/>
    <cellStyle name="20% - Accent4 2 3 2 2 5" xfId="7109" xr:uid="{00000000-0005-0000-0000-0000131B0000}"/>
    <cellStyle name="20% - Accent4 2 3 2 2 5 2" xfId="11445" xr:uid="{00000000-0005-0000-0000-0000141B0000}"/>
    <cellStyle name="20% - Accent4 2 3 2 2 5 2 2" xfId="30915" xr:uid="{00000000-0005-0000-0000-0000151B0000}"/>
    <cellStyle name="20% - Accent4 2 3 2 2 5 3" xfId="26593" xr:uid="{00000000-0005-0000-0000-0000161B0000}"/>
    <cellStyle name="20% - Accent4 2 3 2 2 6" xfId="9015" xr:uid="{00000000-0005-0000-0000-0000171B0000}"/>
    <cellStyle name="20% - Accent4 2 3 2 2 6 2" xfId="28489" xr:uid="{00000000-0005-0000-0000-0000181B0000}"/>
    <cellStyle name="20% - Accent4 2 3 2 2 7" xfId="23873" xr:uid="{00000000-0005-0000-0000-0000191B0000}"/>
    <cellStyle name="20% - Accent4 2 3 2 3" xfId="4263" xr:uid="{00000000-0005-0000-0000-00001A1B0000}"/>
    <cellStyle name="20% - Accent4 2 3 2 3 2" xfId="4838" xr:uid="{00000000-0005-0000-0000-00001B1B0000}"/>
    <cellStyle name="20% - Accent4 2 3 2 3 2 2" xfId="5463" xr:uid="{00000000-0005-0000-0000-00001C1B0000}"/>
    <cellStyle name="20% - Accent4 2 3 2 3 2 2 2" xfId="6591" xr:uid="{00000000-0005-0000-0000-00001D1B0000}"/>
    <cellStyle name="20% - Accent4 2 3 2 3 2 2 2 2" xfId="7120" xr:uid="{00000000-0005-0000-0000-00001E1B0000}"/>
    <cellStyle name="20% - Accent4 2 3 2 3 2 2 2 2 2" xfId="11456" xr:uid="{00000000-0005-0000-0000-00001F1B0000}"/>
    <cellStyle name="20% - Accent4 2 3 2 3 2 2 2 2 2 2" xfId="30926" xr:uid="{00000000-0005-0000-0000-0000201B0000}"/>
    <cellStyle name="20% - Accent4 2 3 2 3 2 2 2 2 3" xfId="26604" xr:uid="{00000000-0005-0000-0000-0000211B0000}"/>
    <cellStyle name="20% - Accent4 2 3 2 3 2 2 2 3" xfId="11007" xr:uid="{00000000-0005-0000-0000-0000221B0000}"/>
    <cellStyle name="20% - Accent4 2 3 2 3 2 2 2 3 2" xfId="30477" xr:uid="{00000000-0005-0000-0000-0000231B0000}"/>
    <cellStyle name="20% - Accent4 2 3 2 3 2 2 2 4" xfId="26076" xr:uid="{00000000-0005-0000-0000-0000241B0000}"/>
    <cellStyle name="20% - Accent4 2 3 2 3 2 2 3" xfId="7119" xr:uid="{00000000-0005-0000-0000-0000251B0000}"/>
    <cellStyle name="20% - Accent4 2 3 2 3 2 2 3 2" xfId="11455" xr:uid="{00000000-0005-0000-0000-0000261B0000}"/>
    <cellStyle name="20% - Accent4 2 3 2 3 2 2 3 2 2" xfId="30925" xr:uid="{00000000-0005-0000-0000-0000271B0000}"/>
    <cellStyle name="20% - Accent4 2 3 2 3 2 2 3 3" xfId="26603" xr:uid="{00000000-0005-0000-0000-0000281B0000}"/>
    <cellStyle name="20% - Accent4 2 3 2 3 2 2 4" xfId="9946" xr:uid="{00000000-0005-0000-0000-0000291B0000}"/>
    <cellStyle name="20% - Accent4 2 3 2 3 2 2 4 2" xfId="29416" xr:uid="{00000000-0005-0000-0000-00002A1B0000}"/>
    <cellStyle name="20% - Accent4 2 3 2 3 2 2 5" xfId="24954" xr:uid="{00000000-0005-0000-0000-00002B1B0000}"/>
    <cellStyle name="20% - Accent4 2 3 2 3 2 3" xfId="6056" xr:uid="{00000000-0005-0000-0000-00002C1B0000}"/>
    <cellStyle name="20% - Accent4 2 3 2 3 2 3 2" xfId="7121" xr:uid="{00000000-0005-0000-0000-00002D1B0000}"/>
    <cellStyle name="20% - Accent4 2 3 2 3 2 3 2 2" xfId="11457" xr:uid="{00000000-0005-0000-0000-00002E1B0000}"/>
    <cellStyle name="20% - Accent4 2 3 2 3 2 3 2 2 2" xfId="30927" xr:uid="{00000000-0005-0000-0000-00002F1B0000}"/>
    <cellStyle name="20% - Accent4 2 3 2 3 2 3 2 3" xfId="26605" xr:uid="{00000000-0005-0000-0000-0000301B0000}"/>
    <cellStyle name="20% - Accent4 2 3 2 3 2 3 3" xfId="10476" xr:uid="{00000000-0005-0000-0000-0000311B0000}"/>
    <cellStyle name="20% - Accent4 2 3 2 3 2 3 3 2" xfId="29946" xr:uid="{00000000-0005-0000-0000-0000321B0000}"/>
    <cellStyle name="20% - Accent4 2 3 2 3 2 3 4" xfId="25541" xr:uid="{00000000-0005-0000-0000-0000331B0000}"/>
    <cellStyle name="20% - Accent4 2 3 2 3 2 4" xfId="7118" xr:uid="{00000000-0005-0000-0000-0000341B0000}"/>
    <cellStyle name="20% - Accent4 2 3 2 3 2 4 2" xfId="11454" xr:uid="{00000000-0005-0000-0000-0000351B0000}"/>
    <cellStyle name="20% - Accent4 2 3 2 3 2 4 2 2" xfId="30924" xr:uid="{00000000-0005-0000-0000-0000361B0000}"/>
    <cellStyle name="20% - Accent4 2 3 2 3 2 4 3" xfId="26602" xr:uid="{00000000-0005-0000-0000-0000371B0000}"/>
    <cellStyle name="20% - Accent4 2 3 2 3 2 5" xfId="9416" xr:uid="{00000000-0005-0000-0000-0000381B0000}"/>
    <cellStyle name="20% - Accent4 2 3 2 3 2 5 2" xfId="28886" xr:uid="{00000000-0005-0000-0000-0000391B0000}"/>
    <cellStyle name="20% - Accent4 2 3 2 3 2 6" xfId="24340" xr:uid="{00000000-0005-0000-0000-00003A1B0000}"/>
    <cellStyle name="20% - Accent4 2 3 2 3 3" xfId="5168" xr:uid="{00000000-0005-0000-0000-00003B1B0000}"/>
    <cellStyle name="20% - Accent4 2 3 2 3 3 2" xfId="6324" xr:uid="{00000000-0005-0000-0000-00003C1B0000}"/>
    <cellStyle name="20% - Accent4 2 3 2 3 3 2 2" xfId="7123" xr:uid="{00000000-0005-0000-0000-00003D1B0000}"/>
    <cellStyle name="20% - Accent4 2 3 2 3 3 2 2 2" xfId="11459" xr:uid="{00000000-0005-0000-0000-00003E1B0000}"/>
    <cellStyle name="20% - Accent4 2 3 2 3 3 2 2 2 2" xfId="30929" xr:uid="{00000000-0005-0000-0000-00003F1B0000}"/>
    <cellStyle name="20% - Accent4 2 3 2 3 3 2 2 3" xfId="26607" xr:uid="{00000000-0005-0000-0000-0000401B0000}"/>
    <cellStyle name="20% - Accent4 2 3 2 3 3 2 3" xfId="10741" xr:uid="{00000000-0005-0000-0000-0000411B0000}"/>
    <cellStyle name="20% - Accent4 2 3 2 3 3 2 3 2" xfId="30211" xr:uid="{00000000-0005-0000-0000-0000421B0000}"/>
    <cellStyle name="20% - Accent4 2 3 2 3 3 2 4" xfId="25809" xr:uid="{00000000-0005-0000-0000-0000431B0000}"/>
    <cellStyle name="20% - Accent4 2 3 2 3 3 3" xfId="7122" xr:uid="{00000000-0005-0000-0000-0000441B0000}"/>
    <cellStyle name="20% - Accent4 2 3 2 3 3 3 2" xfId="11458" xr:uid="{00000000-0005-0000-0000-0000451B0000}"/>
    <cellStyle name="20% - Accent4 2 3 2 3 3 3 2 2" xfId="30928" xr:uid="{00000000-0005-0000-0000-0000461B0000}"/>
    <cellStyle name="20% - Accent4 2 3 2 3 3 3 3" xfId="26606" xr:uid="{00000000-0005-0000-0000-0000471B0000}"/>
    <cellStyle name="20% - Accent4 2 3 2 3 3 4" xfId="9681" xr:uid="{00000000-0005-0000-0000-0000481B0000}"/>
    <cellStyle name="20% - Accent4 2 3 2 3 3 4 2" xfId="29151" xr:uid="{00000000-0005-0000-0000-0000491B0000}"/>
    <cellStyle name="20% - Accent4 2 3 2 3 3 5" xfId="24659" xr:uid="{00000000-0005-0000-0000-00004A1B0000}"/>
    <cellStyle name="20% - Accent4 2 3 2 3 4" xfId="5777" xr:uid="{00000000-0005-0000-0000-00004B1B0000}"/>
    <cellStyle name="20% - Accent4 2 3 2 3 4 2" xfId="7124" xr:uid="{00000000-0005-0000-0000-00004C1B0000}"/>
    <cellStyle name="20% - Accent4 2 3 2 3 4 2 2" xfId="11460" xr:uid="{00000000-0005-0000-0000-00004D1B0000}"/>
    <cellStyle name="20% - Accent4 2 3 2 3 4 2 2 2" xfId="30930" xr:uid="{00000000-0005-0000-0000-00004E1B0000}"/>
    <cellStyle name="20% - Accent4 2 3 2 3 4 2 3" xfId="26608" xr:uid="{00000000-0005-0000-0000-00004F1B0000}"/>
    <cellStyle name="20% - Accent4 2 3 2 3 4 3" xfId="10211" xr:uid="{00000000-0005-0000-0000-0000501B0000}"/>
    <cellStyle name="20% - Accent4 2 3 2 3 4 3 2" xfId="29681" xr:uid="{00000000-0005-0000-0000-0000511B0000}"/>
    <cellStyle name="20% - Accent4 2 3 2 3 4 4" xfId="25262" xr:uid="{00000000-0005-0000-0000-0000521B0000}"/>
    <cellStyle name="20% - Accent4 2 3 2 3 5" xfId="7117" xr:uid="{00000000-0005-0000-0000-0000531B0000}"/>
    <cellStyle name="20% - Accent4 2 3 2 3 5 2" xfId="11453" xr:uid="{00000000-0005-0000-0000-0000541B0000}"/>
    <cellStyle name="20% - Accent4 2 3 2 3 5 2 2" xfId="30923" xr:uid="{00000000-0005-0000-0000-0000551B0000}"/>
    <cellStyle name="20% - Accent4 2 3 2 3 5 3" xfId="26601" xr:uid="{00000000-0005-0000-0000-0000561B0000}"/>
    <cellStyle name="20% - Accent4 2 3 2 3 6" xfId="9150" xr:uid="{00000000-0005-0000-0000-0000571B0000}"/>
    <cellStyle name="20% - Accent4 2 3 2 3 6 2" xfId="28621" xr:uid="{00000000-0005-0000-0000-0000581B0000}"/>
    <cellStyle name="20% - Accent4 2 3 2 3 7" xfId="24039" xr:uid="{00000000-0005-0000-0000-0000591B0000}"/>
    <cellStyle name="20% - Accent4 2 3 2 4" xfId="4619" xr:uid="{00000000-0005-0000-0000-00005A1B0000}"/>
    <cellStyle name="20% - Accent4 2 3 2 4 2" xfId="5259" xr:uid="{00000000-0005-0000-0000-00005B1B0000}"/>
    <cellStyle name="20% - Accent4 2 3 2 4 2 2" xfId="6393" xr:uid="{00000000-0005-0000-0000-00005C1B0000}"/>
    <cellStyle name="20% - Accent4 2 3 2 4 2 2 2" xfId="7127" xr:uid="{00000000-0005-0000-0000-00005D1B0000}"/>
    <cellStyle name="20% - Accent4 2 3 2 4 2 2 2 2" xfId="11463" xr:uid="{00000000-0005-0000-0000-00005E1B0000}"/>
    <cellStyle name="20% - Accent4 2 3 2 4 2 2 2 2 2" xfId="30933" xr:uid="{00000000-0005-0000-0000-00005F1B0000}"/>
    <cellStyle name="20% - Accent4 2 3 2 4 2 2 2 3" xfId="26611" xr:uid="{00000000-0005-0000-0000-0000601B0000}"/>
    <cellStyle name="20% - Accent4 2 3 2 4 2 2 3" xfId="10809" xr:uid="{00000000-0005-0000-0000-0000611B0000}"/>
    <cellStyle name="20% - Accent4 2 3 2 4 2 2 3 2" xfId="30279" xr:uid="{00000000-0005-0000-0000-0000621B0000}"/>
    <cellStyle name="20% - Accent4 2 3 2 4 2 2 4" xfId="25878" xr:uid="{00000000-0005-0000-0000-0000631B0000}"/>
    <cellStyle name="20% - Accent4 2 3 2 4 2 3" xfId="7126" xr:uid="{00000000-0005-0000-0000-0000641B0000}"/>
    <cellStyle name="20% - Accent4 2 3 2 4 2 3 2" xfId="11462" xr:uid="{00000000-0005-0000-0000-0000651B0000}"/>
    <cellStyle name="20% - Accent4 2 3 2 4 2 3 2 2" xfId="30932" xr:uid="{00000000-0005-0000-0000-0000661B0000}"/>
    <cellStyle name="20% - Accent4 2 3 2 4 2 3 3" xfId="26610" xr:uid="{00000000-0005-0000-0000-0000671B0000}"/>
    <cellStyle name="20% - Accent4 2 3 2 4 2 4" xfId="9748" xr:uid="{00000000-0005-0000-0000-0000681B0000}"/>
    <cellStyle name="20% - Accent4 2 3 2 4 2 4 2" xfId="29218" xr:uid="{00000000-0005-0000-0000-0000691B0000}"/>
    <cellStyle name="20% - Accent4 2 3 2 4 2 5" xfId="24750" xr:uid="{00000000-0005-0000-0000-00006A1B0000}"/>
    <cellStyle name="20% - Accent4 2 3 2 4 3" xfId="5856" xr:uid="{00000000-0005-0000-0000-00006B1B0000}"/>
    <cellStyle name="20% - Accent4 2 3 2 4 3 2" xfId="7128" xr:uid="{00000000-0005-0000-0000-00006C1B0000}"/>
    <cellStyle name="20% - Accent4 2 3 2 4 3 2 2" xfId="11464" xr:uid="{00000000-0005-0000-0000-00006D1B0000}"/>
    <cellStyle name="20% - Accent4 2 3 2 4 3 2 2 2" xfId="30934" xr:uid="{00000000-0005-0000-0000-00006E1B0000}"/>
    <cellStyle name="20% - Accent4 2 3 2 4 3 2 3" xfId="26612" xr:uid="{00000000-0005-0000-0000-00006F1B0000}"/>
    <cellStyle name="20% - Accent4 2 3 2 4 3 3" xfId="10278" xr:uid="{00000000-0005-0000-0000-0000701B0000}"/>
    <cellStyle name="20% - Accent4 2 3 2 4 3 3 2" xfId="29748" xr:uid="{00000000-0005-0000-0000-0000711B0000}"/>
    <cellStyle name="20% - Accent4 2 3 2 4 3 4" xfId="25341" xr:uid="{00000000-0005-0000-0000-0000721B0000}"/>
    <cellStyle name="20% - Accent4 2 3 2 4 4" xfId="7125" xr:uid="{00000000-0005-0000-0000-0000731B0000}"/>
    <cellStyle name="20% - Accent4 2 3 2 4 4 2" xfId="11461" xr:uid="{00000000-0005-0000-0000-0000741B0000}"/>
    <cellStyle name="20% - Accent4 2 3 2 4 4 2 2" xfId="30931" xr:uid="{00000000-0005-0000-0000-0000751B0000}"/>
    <cellStyle name="20% - Accent4 2 3 2 4 4 3" xfId="26609" xr:uid="{00000000-0005-0000-0000-0000761B0000}"/>
    <cellStyle name="20% - Accent4 2 3 2 4 5" xfId="9218" xr:uid="{00000000-0005-0000-0000-0000771B0000}"/>
    <cellStyle name="20% - Accent4 2 3 2 4 5 2" xfId="28688" xr:uid="{00000000-0005-0000-0000-0000781B0000}"/>
    <cellStyle name="20% - Accent4 2 3 2 4 6" xfId="24130" xr:uid="{00000000-0005-0000-0000-0000791B0000}"/>
    <cellStyle name="20% - Accent4 2 3 2 5" xfId="4963" xr:uid="{00000000-0005-0000-0000-00007A1B0000}"/>
    <cellStyle name="20% - Accent4 2 3 2 5 2" xfId="6125" xr:uid="{00000000-0005-0000-0000-00007B1B0000}"/>
    <cellStyle name="20% - Accent4 2 3 2 5 2 2" xfId="7130" xr:uid="{00000000-0005-0000-0000-00007C1B0000}"/>
    <cellStyle name="20% - Accent4 2 3 2 5 2 2 2" xfId="11466" xr:uid="{00000000-0005-0000-0000-00007D1B0000}"/>
    <cellStyle name="20% - Accent4 2 3 2 5 2 2 2 2" xfId="30936" xr:uid="{00000000-0005-0000-0000-00007E1B0000}"/>
    <cellStyle name="20% - Accent4 2 3 2 5 2 2 3" xfId="26614" xr:uid="{00000000-0005-0000-0000-00007F1B0000}"/>
    <cellStyle name="20% - Accent4 2 3 2 5 2 3" xfId="10543" xr:uid="{00000000-0005-0000-0000-0000801B0000}"/>
    <cellStyle name="20% - Accent4 2 3 2 5 2 3 2" xfId="30013" xr:uid="{00000000-0005-0000-0000-0000811B0000}"/>
    <cellStyle name="20% - Accent4 2 3 2 5 2 4" xfId="25610" xr:uid="{00000000-0005-0000-0000-0000821B0000}"/>
    <cellStyle name="20% - Accent4 2 3 2 5 3" xfId="7129" xr:uid="{00000000-0005-0000-0000-0000831B0000}"/>
    <cellStyle name="20% - Accent4 2 3 2 5 3 2" xfId="11465" xr:uid="{00000000-0005-0000-0000-0000841B0000}"/>
    <cellStyle name="20% - Accent4 2 3 2 5 3 2 2" xfId="30935" xr:uid="{00000000-0005-0000-0000-0000851B0000}"/>
    <cellStyle name="20% - Accent4 2 3 2 5 3 3" xfId="26613" xr:uid="{00000000-0005-0000-0000-0000861B0000}"/>
    <cellStyle name="20% - Accent4 2 3 2 5 4" xfId="9483" xr:uid="{00000000-0005-0000-0000-0000871B0000}"/>
    <cellStyle name="20% - Accent4 2 3 2 5 4 2" xfId="28953" xr:uid="{00000000-0005-0000-0000-0000881B0000}"/>
    <cellStyle name="20% - Accent4 2 3 2 5 5" xfId="24457" xr:uid="{00000000-0005-0000-0000-0000891B0000}"/>
    <cellStyle name="20% - Accent4 2 3 2 6" xfId="5568" xr:uid="{00000000-0005-0000-0000-00008A1B0000}"/>
    <cellStyle name="20% - Accent4 2 3 2 6 2" xfId="7131" xr:uid="{00000000-0005-0000-0000-00008B1B0000}"/>
    <cellStyle name="20% - Accent4 2 3 2 6 2 2" xfId="11467" xr:uid="{00000000-0005-0000-0000-00008C1B0000}"/>
    <cellStyle name="20% - Accent4 2 3 2 6 2 2 2" xfId="30937" xr:uid="{00000000-0005-0000-0000-00008D1B0000}"/>
    <cellStyle name="20% - Accent4 2 3 2 6 2 3" xfId="26615" xr:uid="{00000000-0005-0000-0000-00008E1B0000}"/>
    <cellStyle name="20% - Accent4 2 3 2 6 3" xfId="10013" xr:uid="{00000000-0005-0000-0000-00008F1B0000}"/>
    <cellStyle name="20% - Accent4 2 3 2 6 3 2" xfId="29483" xr:uid="{00000000-0005-0000-0000-0000901B0000}"/>
    <cellStyle name="20% - Accent4 2 3 2 6 4" xfId="25055" xr:uid="{00000000-0005-0000-0000-0000911B0000}"/>
    <cellStyle name="20% - Accent4 2 3 2 7" xfId="7108" xr:uid="{00000000-0005-0000-0000-0000921B0000}"/>
    <cellStyle name="20% - Accent4 2 3 2 7 2" xfId="11444" xr:uid="{00000000-0005-0000-0000-0000931B0000}"/>
    <cellStyle name="20% - Accent4 2 3 2 7 2 2" xfId="30914" xr:uid="{00000000-0005-0000-0000-0000941B0000}"/>
    <cellStyle name="20% - Accent4 2 3 2 7 3" xfId="26592" xr:uid="{00000000-0005-0000-0000-0000951B0000}"/>
    <cellStyle name="20% - Accent4 2 3 2 8" xfId="8949" xr:uid="{00000000-0005-0000-0000-0000961B0000}"/>
    <cellStyle name="20% - Accent4 2 3 2 8 2" xfId="28423" xr:uid="{00000000-0005-0000-0000-0000971B0000}"/>
    <cellStyle name="20% - Accent4 2 3 2 9" xfId="23681" xr:uid="{00000000-0005-0000-0000-0000981B0000}"/>
    <cellStyle name="20% - Accent4 2 3 3" xfId="2946" xr:uid="{00000000-0005-0000-0000-0000991B0000}"/>
    <cellStyle name="20% - Accent4 2 3 3 2" xfId="4653" xr:uid="{00000000-0005-0000-0000-00009A1B0000}"/>
    <cellStyle name="20% - Accent4 2 3 3 2 2" xfId="5293" xr:uid="{00000000-0005-0000-0000-00009B1B0000}"/>
    <cellStyle name="20% - Accent4 2 3 3 2 2 2" xfId="6427" xr:uid="{00000000-0005-0000-0000-00009C1B0000}"/>
    <cellStyle name="20% - Accent4 2 3 3 2 2 2 2" xfId="7135" xr:uid="{00000000-0005-0000-0000-00009D1B0000}"/>
    <cellStyle name="20% - Accent4 2 3 3 2 2 2 2 2" xfId="11471" xr:uid="{00000000-0005-0000-0000-00009E1B0000}"/>
    <cellStyle name="20% - Accent4 2 3 3 2 2 2 2 2 2" xfId="30941" xr:uid="{00000000-0005-0000-0000-00009F1B0000}"/>
    <cellStyle name="20% - Accent4 2 3 3 2 2 2 2 3" xfId="26619" xr:uid="{00000000-0005-0000-0000-0000A01B0000}"/>
    <cellStyle name="20% - Accent4 2 3 3 2 2 2 3" xfId="10843" xr:uid="{00000000-0005-0000-0000-0000A11B0000}"/>
    <cellStyle name="20% - Accent4 2 3 3 2 2 2 3 2" xfId="30313" xr:uid="{00000000-0005-0000-0000-0000A21B0000}"/>
    <cellStyle name="20% - Accent4 2 3 3 2 2 2 4" xfId="25912" xr:uid="{00000000-0005-0000-0000-0000A31B0000}"/>
    <cellStyle name="20% - Accent4 2 3 3 2 2 3" xfId="7134" xr:uid="{00000000-0005-0000-0000-0000A41B0000}"/>
    <cellStyle name="20% - Accent4 2 3 3 2 2 3 2" xfId="11470" xr:uid="{00000000-0005-0000-0000-0000A51B0000}"/>
    <cellStyle name="20% - Accent4 2 3 3 2 2 3 2 2" xfId="30940" xr:uid="{00000000-0005-0000-0000-0000A61B0000}"/>
    <cellStyle name="20% - Accent4 2 3 3 2 2 3 3" xfId="26618" xr:uid="{00000000-0005-0000-0000-0000A71B0000}"/>
    <cellStyle name="20% - Accent4 2 3 3 2 2 4" xfId="9782" xr:uid="{00000000-0005-0000-0000-0000A81B0000}"/>
    <cellStyle name="20% - Accent4 2 3 3 2 2 4 2" xfId="29252" xr:uid="{00000000-0005-0000-0000-0000A91B0000}"/>
    <cellStyle name="20% - Accent4 2 3 3 2 2 5" xfId="24784" xr:uid="{00000000-0005-0000-0000-0000AA1B0000}"/>
    <cellStyle name="20% - Accent4 2 3 3 2 3" xfId="5890" xr:uid="{00000000-0005-0000-0000-0000AB1B0000}"/>
    <cellStyle name="20% - Accent4 2 3 3 2 3 2" xfId="7136" xr:uid="{00000000-0005-0000-0000-0000AC1B0000}"/>
    <cellStyle name="20% - Accent4 2 3 3 2 3 2 2" xfId="11472" xr:uid="{00000000-0005-0000-0000-0000AD1B0000}"/>
    <cellStyle name="20% - Accent4 2 3 3 2 3 2 2 2" xfId="30942" xr:uid="{00000000-0005-0000-0000-0000AE1B0000}"/>
    <cellStyle name="20% - Accent4 2 3 3 2 3 2 3" xfId="26620" xr:uid="{00000000-0005-0000-0000-0000AF1B0000}"/>
    <cellStyle name="20% - Accent4 2 3 3 2 3 3" xfId="10312" xr:uid="{00000000-0005-0000-0000-0000B01B0000}"/>
    <cellStyle name="20% - Accent4 2 3 3 2 3 3 2" xfId="29782" xr:uid="{00000000-0005-0000-0000-0000B11B0000}"/>
    <cellStyle name="20% - Accent4 2 3 3 2 3 4" xfId="25375" xr:uid="{00000000-0005-0000-0000-0000B21B0000}"/>
    <cellStyle name="20% - Accent4 2 3 3 2 4" xfId="7133" xr:uid="{00000000-0005-0000-0000-0000B31B0000}"/>
    <cellStyle name="20% - Accent4 2 3 3 2 4 2" xfId="11469" xr:uid="{00000000-0005-0000-0000-0000B41B0000}"/>
    <cellStyle name="20% - Accent4 2 3 3 2 4 2 2" xfId="30939" xr:uid="{00000000-0005-0000-0000-0000B51B0000}"/>
    <cellStyle name="20% - Accent4 2 3 3 2 4 3" xfId="26617" xr:uid="{00000000-0005-0000-0000-0000B61B0000}"/>
    <cellStyle name="20% - Accent4 2 3 3 2 5" xfId="9252" xr:uid="{00000000-0005-0000-0000-0000B71B0000}"/>
    <cellStyle name="20% - Accent4 2 3 3 2 5 2" xfId="28722" xr:uid="{00000000-0005-0000-0000-0000B81B0000}"/>
    <cellStyle name="20% - Accent4 2 3 3 2 6" xfId="24164" xr:uid="{00000000-0005-0000-0000-0000B91B0000}"/>
    <cellStyle name="20% - Accent4 2 3 3 3" xfId="4997" xr:uid="{00000000-0005-0000-0000-0000BA1B0000}"/>
    <cellStyle name="20% - Accent4 2 3 3 3 2" xfId="6159" xr:uid="{00000000-0005-0000-0000-0000BB1B0000}"/>
    <cellStyle name="20% - Accent4 2 3 3 3 2 2" xfId="7138" xr:uid="{00000000-0005-0000-0000-0000BC1B0000}"/>
    <cellStyle name="20% - Accent4 2 3 3 3 2 2 2" xfId="11474" xr:uid="{00000000-0005-0000-0000-0000BD1B0000}"/>
    <cellStyle name="20% - Accent4 2 3 3 3 2 2 2 2" xfId="30944" xr:uid="{00000000-0005-0000-0000-0000BE1B0000}"/>
    <cellStyle name="20% - Accent4 2 3 3 3 2 2 3" xfId="26622" xr:uid="{00000000-0005-0000-0000-0000BF1B0000}"/>
    <cellStyle name="20% - Accent4 2 3 3 3 2 3" xfId="10577" xr:uid="{00000000-0005-0000-0000-0000C01B0000}"/>
    <cellStyle name="20% - Accent4 2 3 3 3 2 3 2" xfId="30047" xr:uid="{00000000-0005-0000-0000-0000C11B0000}"/>
    <cellStyle name="20% - Accent4 2 3 3 3 2 4" xfId="25644" xr:uid="{00000000-0005-0000-0000-0000C21B0000}"/>
    <cellStyle name="20% - Accent4 2 3 3 3 3" xfId="7137" xr:uid="{00000000-0005-0000-0000-0000C31B0000}"/>
    <cellStyle name="20% - Accent4 2 3 3 3 3 2" xfId="11473" xr:uid="{00000000-0005-0000-0000-0000C41B0000}"/>
    <cellStyle name="20% - Accent4 2 3 3 3 3 2 2" xfId="30943" xr:uid="{00000000-0005-0000-0000-0000C51B0000}"/>
    <cellStyle name="20% - Accent4 2 3 3 3 3 3" xfId="26621" xr:uid="{00000000-0005-0000-0000-0000C61B0000}"/>
    <cellStyle name="20% - Accent4 2 3 3 3 4" xfId="9517" xr:uid="{00000000-0005-0000-0000-0000C71B0000}"/>
    <cellStyle name="20% - Accent4 2 3 3 3 4 2" xfId="28987" xr:uid="{00000000-0005-0000-0000-0000C81B0000}"/>
    <cellStyle name="20% - Accent4 2 3 3 3 5" xfId="24491" xr:uid="{00000000-0005-0000-0000-0000C91B0000}"/>
    <cellStyle name="20% - Accent4 2 3 3 4" xfId="5602" xr:uid="{00000000-0005-0000-0000-0000CA1B0000}"/>
    <cellStyle name="20% - Accent4 2 3 3 4 2" xfId="7139" xr:uid="{00000000-0005-0000-0000-0000CB1B0000}"/>
    <cellStyle name="20% - Accent4 2 3 3 4 2 2" xfId="11475" xr:uid="{00000000-0005-0000-0000-0000CC1B0000}"/>
    <cellStyle name="20% - Accent4 2 3 3 4 2 2 2" xfId="30945" xr:uid="{00000000-0005-0000-0000-0000CD1B0000}"/>
    <cellStyle name="20% - Accent4 2 3 3 4 2 3" xfId="26623" xr:uid="{00000000-0005-0000-0000-0000CE1B0000}"/>
    <cellStyle name="20% - Accent4 2 3 3 4 3" xfId="10047" xr:uid="{00000000-0005-0000-0000-0000CF1B0000}"/>
    <cellStyle name="20% - Accent4 2 3 3 4 3 2" xfId="29517" xr:uid="{00000000-0005-0000-0000-0000D01B0000}"/>
    <cellStyle name="20% - Accent4 2 3 3 4 4" xfId="25089" xr:uid="{00000000-0005-0000-0000-0000D11B0000}"/>
    <cellStyle name="20% - Accent4 2 3 3 5" xfId="7132" xr:uid="{00000000-0005-0000-0000-0000D21B0000}"/>
    <cellStyle name="20% - Accent4 2 3 3 5 2" xfId="11468" xr:uid="{00000000-0005-0000-0000-0000D31B0000}"/>
    <cellStyle name="20% - Accent4 2 3 3 5 2 2" xfId="30938" xr:uid="{00000000-0005-0000-0000-0000D41B0000}"/>
    <cellStyle name="20% - Accent4 2 3 3 5 3" xfId="26616" xr:uid="{00000000-0005-0000-0000-0000D51B0000}"/>
    <cellStyle name="20% - Accent4 2 3 3 6" xfId="8983" xr:uid="{00000000-0005-0000-0000-0000D61B0000}"/>
    <cellStyle name="20% - Accent4 2 3 3 6 2" xfId="28457" xr:uid="{00000000-0005-0000-0000-0000D71B0000}"/>
    <cellStyle name="20% - Accent4 2 3 3 7" xfId="23755" xr:uid="{00000000-0005-0000-0000-0000D81B0000}"/>
    <cellStyle name="20% - Accent4 2 3 4" xfId="4191" xr:uid="{00000000-0005-0000-0000-0000D91B0000}"/>
    <cellStyle name="20% - Accent4 2 3 4 2" xfId="4783" xr:uid="{00000000-0005-0000-0000-0000DA1B0000}"/>
    <cellStyle name="20% - Accent4 2 3 4 2 2" xfId="5409" xr:uid="{00000000-0005-0000-0000-0000DB1B0000}"/>
    <cellStyle name="20% - Accent4 2 3 4 2 2 2" xfId="6537" xr:uid="{00000000-0005-0000-0000-0000DC1B0000}"/>
    <cellStyle name="20% - Accent4 2 3 4 2 2 2 2" xfId="7143" xr:uid="{00000000-0005-0000-0000-0000DD1B0000}"/>
    <cellStyle name="20% - Accent4 2 3 4 2 2 2 2 2" xfId="11479" xr:uid="{00000000-0005-0000-0000-0000DE1B0000}"/>
    <cellStyle name="20% - Accent4 2 3 4 2 2 2 2 2 2" xfId="30949" xr:uid="{00000000-0005-0000-0000-0000DF1B0000}"/>
    <cellStyle name="20% - Accent4 2 3 4 2 2 2 2 3" xfId="26627" xr:uid="{00000000-0005-0000-0000-0000E01B0000}"/>
    <cellStyle name="20% - Accent4 2 3 4 2 2 2 3" xfId="10953" xr:uid="{00000000-0005-0000-0000-0000E11B0000}"/>
    <cellStyle name="20% - Accent4 2 3 4 2 2 2 3 2" xfId="30423" xr:uid="{00000000-0005-0000-0000-0000E21B0000}"/>
    <cellStyle name="20% - Accent4 2 3 4 2 2 2 4" xfId="26022" xr:uid="{00000000-0005-0000-0000-0000E31B0000}"/>
    <cellStyle name="20% - Accent4 2 3 4 2 2 3" xfId="7142" xr:uid="{00000000-0005-0000-0000-0000E41B0000}"/>
    <cellStyle name="20% - Accent4 2 3 4 2 2 3 2" xfId="11478" xr:uid="{00000000-0005-0000-0000-0000E51B0000}"/>
    <cellStyle name="20% - Accent4 2 3 4 2 2 3 2 2" xfId="30948" xr:uid="{00000000-0005-0000-0000-0000E61B0000}"/>
    <cellStyle name="20% - Accent4 2 3 4 2 2 3 3" xfId="26626" xr:uid="{00000000-0005-0000-0000-0000E71B0000}"/>
    <cellStyle name="20% - Accent4 2 3 4 2 2 4" xfId="9892" xr:uid="{00000000-0005-0000-0000-0000E81B0000}"/>
    <cellStyle name="20% - Accent4 2 3 4 2 2 4 2" xfId="29362" xr:uid="{00000000-0005-0000-0000-0000E91B0000}"/>
    <cellStyle name="20% - Accent4 2 3 4 2 2 5" xfId="24900" xr:uid="{00000000-0005-0000-0000-0000EA1B0000}"/>
    <cellStyle name="20% - Accent4 2 3 4 2 3" xfId="6001" xr:uid="{00000000-0005-0000-0000-0000EB1B0000}"/>
    <cellStyle name="20% - Accent4 2 3 4 2 3 2" xfId="7144" xr:uid="{00000000-0005-0000-0000-0000EC1B0000}"/>
    <cellStyle name="20% - Accent4 2 3 4 2 3 2 2" xfId="11480" xr:uid="{00000000-0005-0000-0000-0000ED1B0000}"/>
    <cellStyle name="20% - Accent4 2 3 4 2 3 2 2 2" xfId="30950" xr:uid="{00000000-0005-0000-0000-0000EE1B0000}"/>
    <cellStyle name="20% - Accent4 2 3 4 2 3 2 3" xfId="26628" xr:uid="{00000000-0005-0000-0000-0000EF1B0000}"/>
    <cellStyle name="20% - Accent4 2 3 4 2 3 3" xfId="10422" xr:uid="{00000000-0005-0000-0000-0000F01B0000}"/>
    <cellStyle name="20% - Accent4 2 3 4 2 3 3 2" xfId="29892" xr:uid="{00000000-0005-0000-0000-0000F11B0000}"/>
    <cellStyle name="20% - Accent4 2 3 4 2 3 4" xfId="25486" xr:uid="{00000000-0005-0000-0000-0000F21B0000}"/>
    <cellStyle name="20% - Accent4 2 3 4 2 4" xfId="7141" xr:uid="{00000000-0005-0000-0000-0000F31B0000}"/>
    <cellStyle name="20% - Accent4 2 3 4 2 4 2" xfId="11477" xr:uid="{00000000-0005-0000-0000-0000F41B0000}"/>
    <cellStyle name="20% - Accent4 2 3 4 2 4 2 2" xfId="30947" xr:uid="{00000000-0005-0000-0000-0000F51B0000}"/>
    <cellStyle name="20% - Accent4 2 3 4 2 4 3" xfId="26625" xr:uid="{00000000-0005-0000-0000-0000F61B0000}"/>
    <cellStyle name="20% - Accent4 2 3 4 2 5" xfId="9362" xr:uid="{00000000-0005-0000-0000-0000F71B0000}"/>
    <cellStyle name="20% - Accent4 2 3 4 2 5 2" xfId="28832" xr:uid="{00000000-0005-0000-0000-0000F81B0000}"/>
    <cellStyle name="20% - Accent4 2 3 4 2 6" xfId="24285" xr:uid="{00000000-0005-0000-0000-0000F91B0000}"/>
    <cellStyle name="20% - Accent4 2 3 4 3" xfId="5114" xr:uid="{00000000-0005-0000-0000-0000FA1B0000}"/>
    <cellStyle name="20% - Accent4 2 3 4 3 2" xfId="6270" xr:uid="{00000000-0005-0000-0000-0000FB1B0000}"/>
    <cellStyle name="20% - Accent4 2 3 4 3 2 2" xfId="7146" xr:uid="{00000000-0005-0000-0000-0000FC1B0000}"/>
    <cellStyle name="20% - Accent4 2 3 4 3 2 2 2" xfId="11482" xr:uid="{00000000-0005-0000-0000-0000FD1B0000}"/>
    <cellStyle name="20% - Accent4 2 3 4 3 2 2 2 2" xfId="30952" xr:uid="{00000000-0005-0000-0000-0000FE1B0000}"/>
    <cellStyle name="20% - Accent4 2 3 4 3 2 2 3" xfId="26630" xr:uid="{00000000-0005-0000-0000-0000FF1B0000}"/>
    <cellStyle name="20% - Accent4 2 3 4 3 2 3" xfId="10687" xr:uid="{00000000-0005-0000-0000-0000001C0000}"/>
    <cellStyle name="20% - Accent4 2 3 4 3 2 3 2" xfId="30157" xr:uid="{00000000-0005-0000-0000-0000011C0000}"/>
    <cellStyle name="20% - Accent4 2 3 4 3 2 4" xfId="25755" xr:uid="{00000000-0005-0000-0000-0000021C0000}"/>
    <cellStyle name="20% - Accent4 2 3 4 3 3" xfId="7145" xr:uid="{00000000-0005-0000-0000-0000031C0000}"/>
    <cellStyle name="20% - Accent4 2 3 4 3 3 2" xfId="11481" xr:uid="{00000000-0005-0000-0000-0000041C0000}"/>
    <cellStyle name="20% - Accent4 2 3 4 3 3 2 2" xfId="30951" xr:uid="{00000000-0005-0000-0000-0000051C0000}"/>
    <cellStyle name="20% - Accent4 2 3 4 3 3 3" xfId="26629" xr:uid="{00000000-0005-0000-0000-0000061C0000}"/>
    <cellStyle name="20% - Accent4 2 3 4 3 4" xfId="9627" xr:uid="{00000000-0005-0000-0000-0000071C0000}"/>
    <cellStyle name="20% - Accent4 2 3 4 3 4 2" xfId="29097" xr:uid="{00000000-0005-0000-0000-0000081C0000}"/>
    <cellStyle name="20% - Accent4 2 3 4 3 5" xfId="24605" xr:uid="{00000000-0005-0000-0000-0000091C0000}"/>
    <cellStyle name="20% - Accent4 2 3 4 4" xfId="5723" xr:uid="{00000000-0005-0000-0000-00000A1C0000}"/>
    <cellStyle name="20% - Accent4 2 3 4 4 2" xfId="7147" xr:uid="{00000000-0005-0000-0000-00000B1C0000}"/>
    <cellStyle name="20% - Accent4 2 3 4 4 2 2" xfId="11483" xr:uid="{00000000-0005-0000-0000-00000C1C0000}"/>
    <cellStyle name="20% - Accent4 2 3 4 4 2 2 2" xfId="30953" xr:uid="{00000000-0005-0000-0000-00000D1C0000}"/>
    <cellStyle name="20% - Accent4 2 3 4 4 2 3" xfId="26631" xr:uid="{00000000-0005-0000-0000-00000E1C0000}"/>
    <cellStyle name="20% - Accent4 2 3 4 4 3" xfId="10157" xr:uid="{00000000-0005-0000-0000-00000F1C0000}"/>
    <cellStyle name="20% - Accent4 2 3 4 4 3 2" xfId="29627" xr:uid="{00000000-0005-0000-0000-0000101C0000}"/>
    <cellStyle name="20% - Accent4 2 3 4 4 4" xfId="25208" xr:uid="{00000000-0005-0000-0000-0000111C0000}"/>
    <cellStyle name="20% - Accent4 2 3 4 5" xfId="7140" xr:uid="{00000000-0005-0000-0000-0000121C0000}"/>
    <cellStyle name="20% - Accent4 2 3 4 5 2" xfId="11476" xr:uid="{00000000-0005-0000-0000-0000131C0000}"/>
    <cellStyle name="20% - Accent4 2 3 4 5 2 2" xfId="30946" xr:uid="{00000000-0005-0000-0000-0000141C0000}"/>
    <cellStyle name="20% - Accent4 2 3 4 5 3" xfId="26624" xr:uid="{00000000-0005-0000-0000-0000151C0000}"/>
    <cellStyle name="20% - Accent4 2 3 4 6" xfId="9096" xr:uid="{00000000-0005-0000-0000-0000161C0000}"/>
    <cellStyle name="20% - Accent4 2 3 4 6 2" xfId="28567" xr:uid="{00000000-0005-0000-0000-0000171C0000}"/>
    <cellStyle name="20% - Accent4 2 3 4 7" xfId="23983" xr:uid="{00000000-0005-0000-0000-0000181C0000}"/>
    <cellStyle name="20% - Accent4 2 3 5" xfId="4586" xr:uid="{00000000-0005-0000-0000-0000191C0000}"/>
    <cellStyle name="20% - Accent4 2 3 5 2" xfId="5227" xr:uid="{00000000-0005-0000-0000-00001A1C0000}"/>
    <cellStyle name="20% - Accent4 2 3 5 2 2" xfId="6361" xr:uid="{00000000-0005-0000-0000-00001B1C0000}"/>
    <cellStyle name="20% - Accent4 2 3 5 2 2 2" xfId="7150" xr:uid="{00000000-0005-0000-0000-00001C1C0000}"/>
    <cellStyle name="20% - Accent4 2 3 5 2 2 2 2" xfId="11486" xr:uid="{00000000-0005-0000-0000-00001D1C0000}"/>
    <cellStyle name="20% - Accent4 2 3 5 2 2 2 2 2" xfId="30956" xr:uid="{00000000-0005-0000-0000-00001E1C0000}"/>
    <cellStyle name="20% - Accent4 2 3 5 2 2 2 3" xfId="26634" xr:uid="{00000000-0005-0000-0000-00001F1C0000}"/>
    <cellStyle name="20% - Accent4 2 3 5 2 2 3" xfId="10777" xr:uid="{00000000-0005-0000-0000-0000201C0000}"/>
    <cellStyle name="20% - Accent4 2 3 5 2 2 3 2" xfId="30247" xr:uid="{00000000-0005-0000-0000-0000211C0000}"/>
    <cellStyle name="20% - Accent4 2 3 5 2 2 4" xfId="25846" xr:uid="{00000000-0005-0000-0000-0000221C0000}"/>
    <cellStyle name="20% - Accent4 2 3 5 2 3" xfId="7149" xr:uid="{00000000-0005-0000-0000-0000231C0000}"/>
    <cellStyle name="20% - Accent4 2 3 5 2 3 2" xfId="11485" xr:uid="{00000000-0005-0000-0000-0000241C0000}"/>
    <cellStyle name="20% - Accent4 2 3 5 2 3 2 2" xfId="30955" xr:uid="{00000000-0005-0000-0000-0000251C0000}"/>
    <cellStyle name="20% - Accent4 2 3 5 2 3 3" xfId="26633" xr:uid="{00000000-0005-0000-0000-0000261C0000}"/>
    <cellStyle name="20% - Accent4 2 3 5 2 4" xfId="9716" xr:uid="{00000000-0005-0000-0000-0000271C0000}"/>
    <cellStyle name="20% - Accent4 2 3 5 2 4 2" xfId="29186" xr:uid="{00000000-0005-0000-0000-0000281C0000}"/>
    <cellStyle name="20% - Accent4 2 3 5 2 5" xfId="24718" xr:uid="{00000000-0005-0000-0000-0000291C0000}"/>
    <cellStyle name="20% - Accent4 2 3 5 3" xfId="5823" xr:uid="{00000000-0005-0000-0000-00002A1C0000}"/>
    <cellStyle name="20% - Accent4 2 3 5 3 2" xfId="7151" xr:uid="{00000000-0005-0000-0000-00002B1C0000}"/>
    <cellStyle name="20% - Accent4 2 3 5 3 2 2" xfId="11487" xr:uid="{00000000-0005-0000-0000-00002C1C0000}"/>
    <cellStyle name="20% - Accent4 2 3 5 3 2 2 2" xfId="30957" xr:uid="{00000000-0005-0000-0000-00002D1C0000}"/>
    <cellStyle name="20% - Accent4 2 3 5 3 2 3" xfId="26635" xr:uid="{00000000-0005-0000-0000-00002E1C0000}"/>
    <cellStyle name="20% - Accent4 2 3 5 3 3" xfId="10246" xr:uid="{00000000-0005-0000-0000-00002F1C0000}"/>
    <cellStyle name="20% - Accent4 2 3 5 3 3 2" xfId="29716" xr:uid="{00000000-0005-0000-0000-0000301C0000}"/>
    <cellStyle name="20% - Accent4 2 3 5 3 4" xfId="25308" xr:uid="{00000000-0005-0000-0000-0000311C0000}"/>
    <cellStyle name="20% - Accent4 2 3 5 4" xfId="7148" xr:uid="{00000000-0005-0000-0000-0000321C0000}"/>
    <cellStyle name="20% - Accent4 2 3 5 4 2" xfId="11484" xr:uid="{00000000-0005-0000-0000-0000331C0000}"/>
    <cellStyle name="20% - Accent4 2 3 5 4 2 2" xfId="30954" xr:uid="{00000000-0005-0000-0000-0000341C0000}"/>
    <cellStyle name="20% - Accent4 2 3 5 4 3" xfId="26632" xr:uid="{00000000-0005-0000-0000-0000351C0000}"/>
    <cellStyle name="20% - Accent4 2 3 5 5" xfId="9186" xr:uid="{00000000-0005-0000-0000-0000361C0000}"/>
    <cellStyle name="20% - Accent4 2 3 5 5 2" xfId="28656" xr:uid="{00000000-0005-0000-0000-0000371C0000}"/>
    <cellStyle name="20% - Accent4 2 3 5 6" xfId="24097" xr:uid="{00000000-0005-0000-0000-0000381C0000}"/>
    <cellStyle name="20% - Accent4 2 3 6" xfId="4931" xr:uid="{00000000-0005-0000-0000-0000391C0000}"/>
    <cellStyle name="20% - Accent4 2 3 6 2" xfId="6093" xr:uid="{00000000-0005-0000-0000-00003A1C0000}"/>
    <cellStyle name="20% - Accent4 2 3 6 2 2" xfId="7153" xr:uid="{00000000-0005-0000-0000-00003B1C0000}"/>
    <cellStyle name="20% - Accent4 2 3 6 2 2 2" xfId="11489" xr:uid="{00000000-0005-0000-0000-00003C1C0000}"/>
    <cellStyle name="20% - Accent4 2 3 6 2 2 2 2" xfId="30959" xr:uid="{00000000-0005-0000-0000-00003D1C0000}"/>
    <cellStyle name="20% - Accent4 2 3 6 2 2 3" xfId="26637" xr:uid="{00000000-0005-0000-0000-00003E1C0000}"/>
    <cellStyle name="20% - Accent4 2 3 6 2 3" xfId="10511" xr:uid="{00000000-0005-0000-0000-00003F1C0000}"/>
    <cellStyle name="20% - Accent4 2 3 6 2 3 2" xfId="29981" xr:uid="{00000000-0005-0000-0000-0000401C0000}"/>
    <cellStyle name="20% - Accent4 2 3 6 2 4" xfId="25578" xr:uid="{00000000-0005-0000-0000-0000411C0000}"/>
    <cellStyle name="20% - Accent4 2 3 6 3" xfId="7152" xr:uid="{00000000-0005-0000-0000-0000421C0000}"/>
    <cellStyle name="20% - Accent4 2 3 6 3 2" xfId="11488" xr:uid="{00000000-0005-0000-0000-0000431C0000}"/>
    <cellStyle name="20% - Accent4 2 3 6 3 2 2" xfId="30958" xr:uid="{00000000-0005-0000-0000-0000441C0000}"/>
    <cellStyle name="20% - Accent4 2 3 6 3 3" xfId="26636" xr:uid="{00000000-0005-0000-0000-0000451C0000}"/>
    <cellStyle name="20% - Accent4 2 3 6 4" xfId="9451" xr:uid="{00000000-0005-0000-0000-0000461C0000}"/>
    <cellStyle name="20% - Accent4 2 3 6 4 2" xfId="28921" xr:uid="{00000000-0005-0000-0000-0000471C0000}"/>
    <cellStyle name="20% - Accent4 2 3 6 5" xfId="24425" xr:uid="{00000000-0005-0000-0000-0000481C0000}"/>
    <cellStyle name="20% - Accent4 2 3 7" xfId="5535" xr:uid="{00000000-0005-0000-0000-0000491C0000}"/>
    <cellStyle name="20% - Accent4 2 3 7 2" xfId="7154" xr:uid="{00000000-0005-0000-0000-00004A1C0000}"/>
    <cellStyle name="20% - Accent4 2 3 7 2 2" xfId="11490" xr:uid="{00000000-0005-0000-0000-00004B1C0000}"/>
    <cellStyle name="20% - Accent4 2 3 7 2 2 2" xfId="30960" xr:uid="{00000000-0005-0000-0000-00004C1C0000}"/>
    <cellStyle name="20% - Accent4 2 3 7 2 3" xfId="26638" xr:uid="{00000000-0005-0000-0000-00004D1C0000}"/>
    <cellStyle name="20% - Accent4 2 3 7 3" xfId="9981" xr:uid="{00000000-0005-0000-0000-00004E1C0000}"/>
    <cellStyle name="20% - Accent4 2 3 7 3 2" xfId="29451" xr:uid="{00000000-0005-0000-0000-00004F1C0000}"/>
    <cellStyle name="20% - Accent4 2 3 7 4" xfId="25023" xr:uid="{00000000-0005-0000-0000-0000501C0000}"/>
    <cellStyle name="20% - Accent4 2 3 8" xfId="7107" xr:uid="{00000000-0005-0000-0000-0000511C0000}"/>
    <cellStyle name="20% - Accent4 2 3 8 2" xfId="11443" xr:uid="{00000000-0005-0000-0000-0000521C0000}"/>
    <cellStyle name="20% - Accent4 2 3 8 2 2" xfId="30913" xr:uid="{00000000-0005-0000-0000-0000531C0000}"/>
    <cellStyle name="20% - Accent4 2 3 8 3" xfId="26591" xr:uid="{00000000-0005-0000-0000-0000541C0000}"/>
    <cellStyle name="20% - Accent4 2 3 9" xfId="8917" xr:uid="{00000000-0005-0000-0000-0000551C0000}"/>
    <cellStyle name="20% - Accent4 2 3 9 2" xfId="28391" xr:uid="{00000000-0005-0000-0000-0000561C0000}"/>
    <cellStyle name="20% - Accent4 2 4" xfId="3895" xr:uid="{00000000-0005-0000-0000-0000571C0000}"/>
    <cellStyle name="20% - Accent4 2 4 2" xfId="4245" xr:uid="{00000000-0005-0000-0000-0000581C0000}"/>
    <cellStyle name="20% - Accent4 2 4 2 2" xfId="4820" xr:uid="{00000000-0005-0000-0000-0000591C0000}"/>
    <cellStyle name="20% - Accent4 2 4 2 2 2" xfId="5445" xr:uid="{00000000-0005-0000-0000-00005A1C0000}"/>
    <cellStyle name="20% - Accent4 2 4 2 2 2 2" xfId="6573" xr:uid="{00000000-0005-0000-0000-00005B1C0000}"/>
    <cellStyle name="20% - Accent4 2 4 2 2 2 2 2" xfId="7159" xr:uid="{00000000-0005-0000-0000-00005C1C0000}"/>
    <cellStyle name="20% - Accent4 2 4 2 2 2 2 2 2" xfId="11495" xr:uid="{00000000-0005-0000-0000-00005D1C0000}"/>
    <cellStyle name="20% - Accent4 2 4 2 2 2 2 2 2 2" xfId="30965" xr:uid="{00000000-0005-0000-0000-00005E1C0000}"/>
    <cellStyle name="20% - Accent4 2 4 2 2 2 2 2 3" xfId="26643" xr:uid="{00000000-0005-0000-0000-00005F1C0000}"/>
    <cellStyle name="20% - Accent4 2 4 2 2 2 2 3" xfId="10989" xr:uid="{00000000-0005-0000-0000-0000601C0000}"/>
    <cellStyle name="20% - Accent4 2 4 2 2 2 2 3 2" xfId="30459" xr:uid="{00000000-0005-0000-0000-0000611C0000}"/>
    <cellStyle name="20% - Accent4 2 4 2 2 2 2 4" xfId="26058" xr:uid="{00000000-0005-0000-0000-0000621C0000}"/>
    <cellStyle name="20% - Accent4 2 4 2 2 2 3" xfId="7158" xr:uid="{00000000-0005-0000-0000-0000631C0000}"/>
    <cellStyle name="20% - Accent4 2 4 2 2 2 3 2" xfId="11494" xr:uid="{00000000-0005-0000-0000-0000641C0000}"/>
    <cellStyle name="20% - Accent4 2 4 2 2 2 3 2 2" xfId="30964" xr:uid="{00000000-0005-0000-0000-0000651C0000}"/>
    <cellStyle name="20% - Accent4 2 4 2 2 2 3 3" xfId="26642" xr:uid="{00000000-0005-0000-0000-0000661C0000}"/>
    <cellStyle name="20% - Accent4 2 4 2 2 2 4" xfId="9928" xr:uid="{00000000-0005-0000-0000-0000671C0000}"/>
    <cellStyle name="20% - Accent4 2 4 2 2 2 4 2" xfId="29398" xr:uid="{00000000-0005-0000-0000-0000681C0000}"/>
    <cellStyle name="20% - Accent4 2 4 2 2 2 5" xfId="24936" xr:uid="{00000000-0005-0000-0000-0000691C0000}"/>
    <cellStyle name="20% - Accent4 2 4 2 2 3" xfId="6038" xr:uid="{00000000-0005-0000-0000-00006A1C0000}"/>
    <cellStyle name="20% - Accent4 2 4 2 2 3 2" xfId="7160" xr:uid="{00000000-0005-0000-0000-00006B1C0000}"/>
    <cellStyle name="20% - Accent4 2 4 2 2 3 2 2" xfId="11496" xr:uid="{00000000-0005-0000-0000-00006C1C0000}"/>
    <cellStyle name="20% - Accent4 2 4 2 2 3 2 2 2" xfId="30966" xr:uid="{00000000-0005-0000-0000-00006D1C0000}"/>
    <cellStyle name="20% - Accent4 2 4 2 2 3 2 3" xfId="26644" xr:uid="{00000000-0005-0000-0000-00006E1C0000}"/>
    <cellStyle name="20% - Accent4 2 4 2 2 3 3" xfId="10458" xr:uid="{00000000-0005-0000-0000-00006F1C0000}"/>
    <cellStyle name="20% - Accent4 2 4 2 2 3 3 2" xfId="29928" xr:uid="{00000000-0005-0000-0000-0000701C0000}"/>
    <cellStyle name="20% - Accent4 2 4 2 2 3 4" xfId="25523" xr:uid="{00000000-0005-0000-0000-0000711C0000}"/>
    <cellStyle name="20% - Accent4 2 4 2 2 4" xfId="7157" xr:uid="{00000000-0005-0000-0000-0000721C0000}"/>
    <cellStyle name="20% - Accent4 2 4 2 2 4 2" xfId="11493" xr:uid="{00000000-0005-0000-0000-0000731C0000}"/>
    <cellStyle name="20% - Accent4 2 4 2 2 4 2 2" xfId="30963" xr:uid="{00000000-0005-0000-0000-0000741C0000}"/>
    <cellStyle name="20% - Accent4 2 4 2 2 4 3" xfId="26641" xr:uid="{00000000-0005-0000-0000-0000751C0000}"/>
    <cellStyle name="20% - Accent4 2 4 2 2 5" xfId="9398" xr:uid="{00000000-0005-0000-0000-0000761C0000}"/>
    <cellStyle name="20% - Accent4 2 4 2 2 5 2" xfId="28868" xr:uid="{00000000-0005-0000-0000-0000771C0000}"/>
    <cellStyle name="20% - Accent4 2 4 2 2 6" xfId="24322" xr:uid="{00000000-0005-0000-0000-0000781C0000}"/>
    <cellStyle name="20% - Accent4 2 4 2 3" xfId="5150" xr:uid="{00000000-0005-0000-0000-0000791C0000}"/>
    <cellStyle name="20% - Accent4 2 4 2 3 2" xfId="6306" xr:uid="{00000000-0005-0000-0000-00007A1C0000}"/>
    <cellStyle name="20% - Accent4 2 4 2 3 2 2" xfId="7162" xr:uid="{00000000-0005-0000-0000-00007B1C0000}"/>
    <cellStyle name="20% - Accent4 2 4 2 3 2 2 2" xfId="11498" xr:uid="{00000000-0005-0000-0000-00007C1C0000}"/>
    <cellStyle name="20% - Accent4 2 4 2 3 2 2 2 2" xfId="30968" xr:uid="{00000000-0005-0000-0000-00007D1C0000}"/>
    <cellStyle name="20% - Accent4 2 4 2 3 2 2 3" xfId="26646" xr:uid="{00000000-0005-0000-0000-00007E1C0000}"/>
    <cellStyle name="20% - Accent4 2 4 2 3 2 3" xfId="10723" xr:uid="{00000000-0005-0000-0000-00007F1C0000}"/>
    <cellStyle name="20% - Accent4 2 4 2 3 2 3 2" xfId="30193" xr:uid="{00000000-0005-0000-0000-0000801C0000}"/>
    <cellStyle name="20% - Accent4 2 4 2 3 2 4" xfId="25791" xr:uid="{00000000-0005-0000-0000-0000811C0000}"/>
    <cellStyle name="20% - Accent4 2 4 2 3 3" xfId="7161" xr:uid="{00000000-0005-0000-0000-0000821C0000}"/>
    <cellStyle name="20% - Accent4 2 4 2 3 3 2" xfId="11497" xr:uid="{00000000-0005-0000-0000-0000831C0000}"/>
    <cellStyle name="20% - Accent4 2 4 2 3 3 2 2" xfId="30967" xr:uid="{00000000-0005-0000-0000-0000841C0000}"/>
    <cellStyle name="20% - Accent4 2 4 2 3 3 3" xfId="26645" xr:uid="{00000000-0005-0000-0000-0000851C0000}"/>
    <cellStyle name="20% - Accent4 2 4 2 3 4" xfId="9663" xr:uid="{00000000-0005-0000-0000-0000861C0000}"/>
    <cellStyle name="20% - Accent4 2 4 2 3 4 2" xfId="29133" xr:uid="{00000000-0005-0000-0000-0000871C0000}"/>
    <cellStyle name="20% - Accent4 2 4 2 3 5" xfId="24641" xr:uid="{00000000-0005-0000-0000-0000881C0000}"/>
    <cellStyle name="20% - Accent4 2 4 2 4" xfId="5759" xr:uid="{00000000-0005-0000-0000-0000891C0000}"/>
    <cellStyle name="20% - Accent4 2 4 2 4 2" xfId="7163" xr:uid="{00000000-0005-0000-0000-00008A1C0000}"/>
    <cellStyle name="20% - Accent4 2 4 2 4 2 2" xfId="11499" xr:uid="{00000000-0005-0000-0000-00008B1C0000}"/>
    <cellStyle name="20% - Accent4 2 4 2 4 2 2 2" xfId="30969" xr:uid="{00000000-0005-0000-0000-00008C1C0000}"/>
    <cellStyle name="20% - Accent4 2 4 2 4 2 3" xfId="26647" xr:uid="{00000000-0005-0000-0000-00008D1C0000}"/>
    <cellStyle name="20% - Accent4 2 4 2 4 3" xfId="10193" xr:uid="{00000000-0005-0000-0000-00008E1C0000}"/>
    <cellStyle name="20% - Accent4 2 4 2 4 3 2" xfId="29663" xr:uid="{00000000-0005-0000-0000-00008F1C0000}"/>
    <cellStyle name="20% - Accent4 2 4 2 4 4" xfId="25244" xr:uid="{00000000-0005-0000-0000-0000901C0000}"/>
    <cellStyle name="20% - Accent4 2 4 2 5" xfId="7156" xr:uid="{00000000-0005-0000-0000-0000911C0000}"/>
    <cellStyle name="20% - Accent4 2 4 2 5 2" xfId="11492" xr:uid="{00000000-0005-0000-0000-0000921C0000}"/>
    <cellStyle name="20% - Accent4 2 4 2 5 2 2" xfId="30962" xr:uid="{00000000-0005-0000-0000-0000931C0000}"/>
    <cellStyle name="20% - Accent4 2 4 2 5 3" xfId="26640" xr:uid="{00000000-0005-0000-0000-0000941C0000}"/>
    <cellStyle name="20% - Accent4 2 4 2 6" xfId="9132" xr:uid="{00000000-0005-0000-0000-0000951C0000}"/>
    <cellStyle name="20% - Accent4 2 4 2 6 2" xfId="28603" xr:uid="{00000000-0005-0000-0000-0000961C0000}"/>
    <cellStyle name="20% - Accent4 2 4 2 7" xfId="24021" xr:uid="{00000000-0005-0000-0000-0000971C0000}"/>
    <cellStyle name="20% - Accent4 2 4 3" xfId="4727" xr:uid="{00000000-0005-0000-0000-0000981C0000}"/>
    <cellStyle name="20% - Accent4 2 4 3 2" xfId="5361" xr:uid="{00000000-0005-0000-0000-0000991C0000}"/>
    <cellStyle name="20% - Accent4 2 4 3 2 2" xfId="6489" xr:uid="{00000000-0005-0000-0000-00009A1C0000}"/>
    <cellStyle name="20% - Accent4 2 4 3 2 2 2" xfId="7166" xr:uid="{00000000-0005-0000-0000-00009B1C0000}"/>
    <cellStyle name="20% - Accent4 2 4 3 2 2 2 2" xfId="11502" xr:uid="{00000000-0005-0000-0000-00009C1C0000}"/>
    <cellStyle name="20% - Accent4 2 4 3 2 2 2 2 2" xfId="30972" xr:uid="{00000000-0005-0000-0000-00009D1C0000}"/>
    <cellStyle name="20% - Accent4 2 4 3 2 2 2 3" xfId="26650" xr:uid="{00000000-0005-0000-0000-00009E1C0000}"/>
    <cellStyle name="20% - Accent4 2 4 3 2 2 3" xfId="10905" xr:uid="{00000000-0005-0000-0000-00009F1C0000}"/>
    <cellStyle name="20% - Accent4 2 4 3 2 2 3 2" xfId="30375" xr:uid="{00000000-0005-0000-0000-0000A01C0000}"/>
    <cellStyle name="20% - Accent4 2 4 3 2 2 4" xfId="25974" xr:uid="{00000000-0005-0000-0000-0000A11C0000}"/>
    <cellStyle name="20% - Accent4 2 4 3 2 3" xfId="7165" xr:uid="{00000000-0005-0000-0000-0000A21C0000}"/>
    <cellStyle name="20% - Accent4 2 4 3 2 3 2" xfId="11501" xr:uid="{00000000-0005-0000-0000-0000A31C0000}"/>
    <cellStyle name="20% - Accent4 2 4 3 2 3 2 2" xfId="30971" xr:uid="{00000000-0005-0000-0000-0000A41C0000}"/>
    <cellStyle name="20% - Accent4 2 4 3 2 3 3" xfId="26649" xr:uid="{00000000-0005-0000-0000-0000A51C0000}"/>
    <cellStyle name="20% - Accent4 2 4 3 2 4" xfId="9844" xr:uid="{00000000-0005-0000-0000-0000A61C0000}"/>
    <cellStyle name="20% - Accent4 2 4 3 2 4 2" xfId="29314" xr:uid="{00000000-0005-0000-0000-0000A71C0000}"/>
    <cellStyle name="20% - Accent4 2 4 3 2 5" xfId="24852" xr:uid="{00000000-0005-0000-0000-0000A81C0000}"/>
    <cellStyle name="20% - Accent4 2 4 3 3" xfId="5952" xr:uid="{00000000-0005-0000-0000-0000A91C0000}"/>
    <cellStyle name="20% - Accent4 2 4 3 3 2" xfId="7167" xr:uid="{00000000-0005-0000-0000-0000AA1C0000}"/>
    <cellStyle name="20% - Accent4 2 4 3 3 2 2" xfId="11503" xr:uid="{00000000-0005-0000-0000-0000AB1C0000}"/>
    <cellStyle name="20% - Accent4 2 4 3 3 2 2 2" xfId="30973" xr:uid="{00000000-0005-0000-0000-0000AC1C0000}"/>
    <cellStyle name="20% - Accent4 2 4 3 3 2 3" xfId="26651" xr:uid="{00000000-0005-0000-0000-0000AD1C0000}"/>
    <cellStyle name="20% - Accent4 2 4 3 3 3" xfId="10374" xr:uid="{00000000-0005-0000-0000-0000AE1C0000}"/>
    <cellStyle name="20% - Accent4 2 4 3 3 3 2" xfId="29844" xr:uid="{00000000-0005-0000-0000-0000AF1C0000}"/>
    <cellStyle name="20% - Accent4 2 4 3 3 4" xfId="25437" xr:uid="{00000000-0005-0000-0000-0000B01C0000}"/>
    <cellStyle name="20% - Accent4 2 4 3 4" xfId="7164" xr:uid="{00000000-0005-0000-0000-0000B11C0000}"/>
    <cellStyle name="20% - Accent4 2 4 3 4 2" xfId="11500" xr:uid="{00000000-0005-0000-0000-0000B21C0000}"/>
    <cellStyle name="20% - Accent4 2 4 3 4 2 2" xfId="30970" xr:uid="{00000000-0005-0000-0000-0000B31C0000}"/>
    <cellStyle name="20% - Accent4 2 4 3 4 3" xfId="26648" xr:uid="{00000000-0005-0000-0000-0000B41C0000}"/>
    <cellStyle name="20% - Accent4 2 4 3 5" xfId="9314" xr:uid="{00000000-0005-0000-0000-0000B51C0000}"/>
    <cellStyle name="20% - Accent4 2 4 3 5 2" xfId="28784" xr:uid="{00000000-0005-0000-0000-0000B61C0000}"/>
    <cellStyle name="20% - Accent4 2 4 3 6" xfId="24234" xr:uid="{00000000-0005-0000-0000-0000B71C0000}"/>
    <cellStyle name="20% - Accent4 2 4 4" xfId="5060" xr:uid="{00000000-0005-0000-0000-0000B81C0000}"/>
    <cellStyle name="20% - Accent4 2 4 4 2" xfId="6221" xr:uid="{00000000-0005-0000-0000-0000B91C0000}"/>
    <cellStyle name="20% - Accent4 2 4 4 2 2" xfId="7169" xr:uid="{00000000-0005-0000-0000-0000BA1C0000}"/>
    <cellStyle name="20% - Accent4 2 4 4 2 2 2" xfId="11505" xr:uid="{00000000-0005-0000-0000-0000BB1C0000}"/>
    <cellStyle name="20% - Accent4 2 4 4 2 2 2 2" xfId="30975" xr:uid="{00000000-0005-0000-0000-0000BC1C0000}"/>
    <cellStyle name="20% - Accent4 2 4 4 2 2 3" xfId="26653" xr:uid="{00000000-0005-0000-0000-0000BD1C0000}"/>
    <cellStyle name="20% - Accent4 2 4 4 2 3" xfId="10639" xr:uid="{00000000-0005-0000-0000-0000BE1C0000}"/>
    <cellStyle name="20% - Accent4 2 4 4 2 3 2" xfId="30109" xr:uid="{00000000-0005-0000-0000-0000BF1C0000}"/>
    <cellStyle name="20% - Accent4 2 4 4 2 4" xfId="25706" xr:uid="{00000000-0005-0000-0000-0000C01C0000}"/>
    <cellStyle name="20% - Accent4 2 4 4 3" xfId="7168" xr:uid="{00000000-0005-0000-0000-0000C11C0000}"/>
    <cellStyle name="20% - Accent4 2 4 4 3 2" xfId="11504" xr:uid="{00000000-0005-0000-0000-0000C21C0000}"/>
    <cellStyle name="20% - Accent4 2 4 4 3 2 2" xfId="30974" xr:uid="{00000000-0005-0000-0000-0000C31C0000}"/>
    <cellStyle name="20% - Accent4 2 4 4 3 3" xfId="26652" xr:uid="{00000000-0005-0000-0000-0000C41C0000}"/>
    <cellStyle name="20% - Accent4 2 4 4 4" xfId="9579" xr:uid="{00000000-0005-0000-0000-0000C51C0000}"/>
    <cellStyle name="20% - Accent4 2 4 4 4 2" xfId="29049" xr:uid="{00000000-0005-0000-0000-0000C61C0000}"/>
    <cellStyle name="20% - Accent4 2 4 4 5" xfId="24553" xr:uid="{00000000-0005-0000-0000-0000C71C0000}"/>
    <cellStyle name="20% - Accent4 2 4 5" xfId="5672" xr:uid="{00000000-0005-0000-0000-0000C81C0000}"/>
    <cellStyle name="20% - Accent4 2 4 5 2" xfId="7170" xr:uid="{00000000-0005-0000-0000-0000C91C0000}"/>
    <cellStyle name="20% - Accent4 2 4 5 2 2" xfId="11506" xr:uid="{00000000-0005-0000-0000-0000CA1C0000}"/>
    <cellStyle name="20% - Accent4 2 4 5 2 2 2" xfId="30976" xr:uid="{00000000-0005-0000-0000-0000CB1C0000}"/>
    <cellStyle name="20% - Accent4 2 4 5 2 3" xfId="26654" xr:uid="{00000000-0005-0000-0000-0000CC1C0000}"/>
    <cellStyle name="20% - Accent4 2 4 5 3" xfId="10109" xr:uid="{00000000-0005-0000-0000-0000CD1C0000}"/>
    <cellStyle name="20% - Accent4 2 4 5 3 2" xfId="29579" xr:uid="{00000000-0005-0000-0000-0000CE1C0000}"/>
    <cellStyle name="20% - Accent4 2 4 5 4" xfId="25159" xr:uid="{00000000-0005-0000-0000-0000CF1C0000}"/>
    <cellStyle name="20% - Accent4 2 4 6" xfId="7155" xr:uid="{00000000-0005-0000-0000-0000D01C0000}"/>
    <cellStyle name="20% - Accent4 2 4 6 2" xfId="11491" xr:uid="{00000000-0005-0000-0000-0000D11C0000}"/>
    <cellStyle name="20% - Accent4 2 4 6 2 2" xfId="30961" xr:uid="{00000000-0005-0000-0000-0000D21C0000}"/>
    <cellStyle name="20% - Accent4 2 4 6 3" xfId="26639" xr:uid="{00000000-0005-0000-0000-0000D31C0000}"/>
    <cellStyle name="20% - Accent4 2 4 7" xfId="9046" xr:uid="{00000000-0005-0000-0000-0000D41C0000}"/>
    <cellStyle name="20% - Accent4 2 4 7 2" xfId="28519" xr:uid="{00000000-0005-0000-0000-0000D51C0000}"/>
    <cellStyle name="20% - Accent4 2 4 8" xfId="23925" xr:uid="{00000000-0005-0000-0000-0000D61C0000}"/>
    <cellStyle name="20% - Accent4 2 5" xfId="4139" xr:uid="{00000000-0005-0000-0000-0000D71C0000}"/>
    <cellStyle name="20% - Accent4 2 5 2" xfId="4762" xr:uid="{00000000-0005-0000-0000-0000D81C0000}"/>
    <cellStyle name="20% - Accent4 2 5 2 2" xfId="5391" xr:uid="{00000000-0005-0000-0000-0000D91C0000}"/>
    <cellStyle name="20% - Accent4 2 5 2 2 2" xfId="6519" xr:uid="{00000000-0005-0000-0000-0000DA1C0000}"/>
    <cellStyle name="20% - Accent4 2 5 2 2 2 2" xfId="7174" xr:uid="{00000000-0005-0000-0000-0000DB1C0000}"/>
    <cellStyle name="20% - Accent4 2 5 2 2 2 2 2" xfId="11510" xr:uid="{00000000-0005-0000-0000-0000DC1C0000}"/>
    <cellStyle name="20% - Accent4 2 5 2 2 2 2 2 2" xfId="30980" xr:uid="{00000000-0005-0000-0000-0000DD1C0000}"/>
    <cellStyle name="20% - Accent4 2 5 2 2 2 2 3" xfId="26658" xr:uid="{00000000-0005-0000-0000-0000DE1C0000}"/>
    <cellStyle name="20% - Accent4 2 5 2 2 2 3" xfId="10935" xr:uid="{00000000-0005-0000-0000-0000DF1C0000}"/>
    <cellStyle name="20% - Accent4 2 5 2 2 2 3 2" xfId="30405" xr:uid="{00000000-0005-0000-0000-0000E01C0000}"/>
    <cellStyle name="20% - Accent4 2 5 2 2 2 4" xfId="26004" xr:uid="{00000000-0005-0000-0000-0000E11C0000}"/>
    <cellStyle name="20% - Accent4 2 5 2 2 3" xfId="7173" xr:uid="{00000000-0005-0000-0000-0000E21C0000}"/>
    <cellStyle name="20% - Accent4 2 5 2 2 3 2" xfId="11509" xr:uid="{00000000-0005-0000-0000-0000E31C0000}"/>
    <cellStyle name="20% - Accent4 2 5 2 2 3 2 2" xfId="30979" xr:uid="{00000000-0005-0000-0000-0000E41C0000}"/>
    <cellStyle name="20% - Accent4 2 5 2 2 3 3" xfId="26657" xr:uid="{00000000-0005-0000-0000-0000E51C0000}"/>
    <cellStyle name="20% - Accent4 2 5 2 2 4" xfId="9874" xr:uid="{00000000-0005-0000-0000-0000E61C0000}"/>
    <cellStyle name="20% - Accent4 2 5 2 2 4 2" xfId="29344" xr:uid="{00000000-0005-0000-0000-0000E71C0000}"/>
    <cellStyle name="20% - Accent4 2 5 2 2 5" xfId="24882" xr:uid="{00000000-0005-0000-0000-0000E81C0000}"/>
    <cellStyle name="20% - Accent4 2 5 2 3" xfId="5982" xr:uid="{00000000-0005-0000-0000-0000E91C0000}"/>
    <cellStyle name="20% - Accent4 2 5 2 3 2" xfId="7175" xr:uid="{00000000-0005-0000-0000-0000EA1C0000}"/>
    <cellStyle name="20% - Accent4 2 5 2 3 2 2" xfId="11511" xr:uid="{00000000-0005-0000-0000-0000EB1C0000}"/>
    <cellStyle name="20% - Accent4 2 5 2 3 2 2 2" xfId="30981" xr:uid="{00000000-0005-0000-0000-0000EC1C0000}"/>
    <cellStyle name="20% - Accent4 2 5 2 3 2 3" xfId="26659" xr:uid="{00000000-0005-0000-0000-0000ED1C0000}"/>
    <cellStyle name="20% - Accent4 2 5 2 3 3" xfId="10404" xr:uid="{00000000-0005-0000-0000-0000EE1C0000}"/>
    <cellStyle name="20% - Accent4 2 5 2 3 3 2" xfId="29874" xr:uid="{00000000-0005-0000-0000-0000EF1C0000}"/>
    <cellStyle name="20% - Accent4 2 5 2 3 4" xfId="25467" xr:uid="{00000000-0005-0000-0000-0000F01C0000}"/>
    <cellStyle name="20% - Accent4 2 5 2 4" xfId="7172" xr:uid="{00000000-0005-0000-0000-0000F11C0000}"/>
    <cellStyle name="20% - Accent4 2 5 2 4 2" xfId="11508" xr:uid="{00000000-0005-0000-0000-0000F21C0000}"/>
    <cellStyle name="20% - Accent4 2 5 2 4 2 2" xfId="30978" xr:uid="{00000000-0005-0000-0000-0000F31C0000}"/>
    <cellStyle name="20% - Accent4 2 5 2 4 3" xfId="26656" xr:uid="{00000000-0005-0000-0000-0000F41C0000}"/>
    <cellStyle name="20% - Accent4 2 5 2 5" xfId="9344" xr:uid="{00000000-0005-0000-0000-0000F51C0000}"/>
    <cellStyle name="20% - Accent4 2 5 2 5 2" xfId="28814" xr:uid="{00000000-0005-0000-0000-0000F61C0000}"/>
    <cellStyle name="20% - Accent4 2 5 2 6" xfId="24267" xr:uid="{00000000-0005-0000-0000-0000F71C0000}"/>
    <cellStyle name="20% - Accent4 2 5 3" xfId="5096" xr:uid="{00000000-0005-0000-0000-0000F81C0000}"/>
    <cellStyle name="20% - Accent4 2 5 3 2" xfId="6252" xr:uid="{00000000-0005-0000-0000-0000F91C0000}"/>
    <cellStyle name="20% - Accent4 2 5 3 2 2" xfId="7177" xr:uid="{00000000-0005-0000-0000-0000FA1C0000}"/>
    <cellStyle name="20% - Accent4 2 5 3 2 2 2" xfId="11513" xr:uid="{00000000-0005-0000-0000-0000FB1C0000}"/>
    <cellStyle name="20% - Accent4 2 5 3 2 2 2 2" xfId="30983" xr:uid="{00000000-0005-0000-0000-0000FC1C0000}"/>
    <cellStyle name="20% - Accent4 2 5 3 2 2 3" xfId="26661" xr:uid="{00000000-0005-0000-0000-0000FD1C0000}"/>
    <cellStyle name="20% - Accent4 2 5 3 2 3" xfId="10669" xr:uid="{00000000-0005-0000-0000-0000FE1C0000}"/>
    <cellStyle name="20% - Accent4 2 5 3 2 3 2" xfId="30139" xr:uid="{00000000-0005-0000-0000-0000FF1C0000}"/>
    <cellStyle name="20% - Accent4 2 5 3 2 4" xfId="25737" xr:uid="{00000000-0005-0000-0000-0000001D0000}"/>
    <cellStyle name="20% - Accent4 2 5 3 3" xfId="7176" xr:uid="{00000000-0005-0000-0000-0000011D0000}"/>
    <cellStyle name="20% - Accent4 2 5 3 3 2" xfId="11512" xr:uid="{00000000-0005-0000-0000-0000021D0000}"/>
    <cellStyle name="20% - Accent4 2 5 3 3 2 2" xfId="30982" xr:uid="{00000000-0005-0000-0000-0000031D0000}"/>
    <cellStyle name="20% - Accent4 2 5 3 3 3" xfId="26660" xr:uid="{00000000-0005-0000-0000-0000041D0000}"/>
    <cellStyle name="20% - Accent4 2 5 3 4" xfId="9609" xr:uid="{00000000-0005-0000-0000-0000051D0000}"/>
    <cellStyle name="20% - Accent4 2 5 3 4 2" xfId="29079" xr:uid="{00000000-0005-0000-0000-0000061D0000}"/>
    <cellStyle name="20% - Accent4 2 5 3 5" xfId="24587" xr:uid="{00000000-0005-0000-0000-0000071D0000}"/>
    <cellStyle name="20% - Accent4 2 5 4" xfId="5705" xr:uid="{00000000-0005-0000-0000-0000081D0000}"/>
    <cellStyle name="20% - Accent4 2 5 4 2" xfId="7178" xr:uid="{00000000-0005-0000-0000-0000091D0000}"/>
    <cellStyle name="20% - Accent4 2 5 4 2 2" xfId="11514" xr:uid="{00000000-0005-0000-0000-00000A1D0000}"/>
    <cellStyle name="20% - Accent4 2 5 4 2 2 2" xfId="30984" xr:uid="{00000000-0005-0000-0000-00000B1D0000}"/>
    <cellStyle name="20% - Accent4 2 5 4 2 3" xfId="26662" xr:uid="{00000000-0005-0000-0000-00000C1D0000}"/>
    <cellStyle name="20% - Accent4 2 5 4 3" xfId="10139" xr:uid="{00000000-0005-0000-0000-00000D1D0000}"/>
    <cellStyle name="20% - Accent4 2 5 4 3 2" xfId="29609" xr:uid="{00000000-0005-0000-0000-00000E1D0000}"/>
    <cellStyle name="20% - Accent4 2 5 4 4" xfId="25190" xr:uid="{00000000-0005-0000-0000-00000F1D0000}"/>
    <cellStyle name="20% - Accent4 2 5 5" xfId="7171" xr:uid="{00000000-0005-0000-0000-0000101D0000}"/>
    <cellStyle name="20% - Accent4 2 5 5 2" xfId="11507" xr:uid="{00000000-0005-0000-0000-0000111D0000}"/>
    <cellStyle name="20% - Accent4 2 5 5 2 2" xfId="30977" xr:uid="{00000000-0005-0000-0000-0000121D0000}"/>
    <cellStyle name="20% - Accent4 2 5 5 3" xfId="26655" xr:uid="{00000000-0005-0000-0000-0000131D0000}"/>
    <cellStyle name="20% - Accent4 2 5 6" xfId="9078" xr:uid="{00000000-0005-0000-0000-0000141D0000}"/>
    <cellStyle name="20% - Accent4 2 5 6 2" xfId="28549" xr:uid="{00000000-0005-0000-0000-0000151D0000}"/>
    <cellStyle name="20% - Accent4 2 5 7" xfId="23964" xr:uid="{00000000-0005-0000-0000-0000161D0000}"/>
    <cellStyle name="20% - Accent4 3" xfId="2051" xr:uid="{00000000-0005-0000-0000-0000171D0000}"/>
    <cellStyle name="20% - Accent4 3 2" xfId="4154" xr:uid="{00000000-0005-0000-0000-0000181D0000}"/>
    <cellStyle name="20% - Accent4 4" xfId="2096" xr:uid="{00000000-0005-0000-0000-0000191D0000}"/>
    <cellStyle name="20% - Accent4 4 2" xfId="4203" xr:uid="{00000000-0005-0000-0000-00001A1D0000}"/>
    <cellStyle name="20% - Accent4 5" xfId="2702" xr:uid="{00000000-0005-0000-0000-00001B1D0000}"/>
    <cellStyle name="20% - Accent5" xfId="1302" builtinId="46" customBuiltin="1"/>
    <cellStyle name="20% - Accent5 2" xfId="1303" xr:uid="{00000000-0005-0000-0000-00001D1D0000}"/>
    <cellStyle name="20% - Accent5 2 2" xfId="2703" xr:uid="{00000000-0005-0000-0000-00001E1D0000}"/>
    <cellStyle name="20% - Accent5 2 2 10" xfId="23563" xr:uid="{00000000-0005-0000-0000-00001F1D0000}"/>
    <cellStyle name="20% - Accent5 2 2 2" xfId="2871" xr:uid="{00000000-0005-0000-0000-0000201D0000}"/>
    <cellStyle name="20% - Accent5 2 2 2 2" xfId="3065" xr:uid="{00000000-0005-0000-0000-0000211D0000}"/>
    <cellStyle name="20% - Accent5 2 2 2 2 2" xfId="4692" xr:uid="{00000000-0005-0000-0000-0000221D0000}"/>
    <cellStyle name="20% - Accent5 2 2 2 2 2 2" xfId="5326" xr:uid="{00000000-0005-0000-0000-0000231D0000}"/>
    <cellStyle name="20% - Accent5 2 2 2 2 2 2 2" xfId="6460" xr:uid="{00000000-0005-0000-0000-0000241D0000}"/>
    <cellStyle name="20% - Accent5 2 2 2 2 2 2 2 2" xfId="7184" xr:uid="{00000000-0005-0000-0000-0000251D0000}"/>
    <cellStyle name="20% - Accent5 2 2 2 2 2 2 2 2 2" xfId="11520" xr:uid="{00000000-0005-0000-0000-0000261D0000}"/>
    <cellStyle name="20% - Accent5 2 2 2 2 2 2 2 2 2 2" xfId="30990" xr:uid="{00000000-0005-0000-0000-0000271D0000}"/>
    <cellStyle name="20% - Accent5 2 2 2 2 2 2 2 2 3" xfId="26668" xr:uid="{00000000-0005-0000-0000-0000281D0000}"/>
    <cellStyle name="20% - Accent5 2 2 2 2 2 2 2 3" xfId="10876" xr:uid="{00000000-0005-0000-0000-0000291D0000}"/>
    <cellStyle name="20% - Accent5 2 2 2 2 2 2 2 3 2" xfId="30346" xr:uid="{00000000-0005-0000-0000-00002A1D0000}"/>
    <cellStyle name="20% - Accent5 2 2 2 2 2 2 2 4" xfId="25945" xr:uid="{00000000-0005-0000-0000-00002B1D0000}"/>
    <cellStyle name="20% - Accent5 2 2 2 2 2 2 3" xfId="7183" xr:uid="{00000000-0005-0000-0000-00002C1D0000}"/>
    <cellStyle name="20% - Accent5 2 2 2 2 2 2 3 2" xfId="11519" xr:uid="{00000000-0005-0000-0000-00002D1D0000}"/>
    <cellStyle name="20% - Accent5 2 2 2 2 2 2 3 2 2" xfId="30989" xr:uid="{00000000-0005-0000-0000-00002E1D0000}"/>
    <cellStyle name="20% - Accent5 2 2 2 2 2 2 3 3" xfId="26667" xr:uid="{00000000-0005-0000-0000-00002F1D0000}"/>
    <cellStyle name="20% - Accent5 2 2 2 2 2 2 4" xfId="9815" xr:uid="{00000000-0005-0000-0000-0000301D0000}"/>
    <cellStyle name="20% - Accent5 2 2 2 2 2 2 4 2" xfId="29285" xr:uid="{00000000-0005-0000-0000-0000311D0000}"/>
    <cellStyle name="20% - Accent5 2 2 2 2 2 2 5" xfId="24817" xr:uid="{00000000-0005-0000-0000-0000321D0000}"/>
    <cellStyle name="20% - Accent5 2 2 2 2 2 3" xfId="5923" xr:uid="{00000000-0005-0000-0000-0000331D0000}"/>
    <cellStyle name="20% - Accent5 2 2 2 2 2 3 2" xfId="7185" xr:uid="{00000000-0005-0000-0000-0000341D0000}"/>
    <cellStyle name="20% - Accent5 2 2 2 2 2 3 2 2" xfId="11521" xr:uid="{00000000-0005-0000-0000-0000351D0000}"/>
    <cellStyle name="20% - Accent5 2 2 2 2 2 3 2 2 2" xfId="30991" xr:uid="{00000000-0005-0000-0000-0000361D0000}"/>
    <cellStyle name="20% - Accent5 2 2 2 2 2 3 2 3" xfId="26669" xr:uid="{00000000-0005-0000-0000-0000371D0000}"/>
    <cellStyle name="20% - Accent5 2 2 2 2 2 3 3" xfId="10345" xr:uid="{00000000-0005-0000-0000-0000381D0000}"/>
    <cellStyle name="20% - Accent5 2 2 2 2 2 3 3 2" xfId="29815" xr:uid="{00000000-0005-0000-0000-0000391D0000}"/>
    <cellStyle name="20% - Accent5 2 2 2 2 2 3 4" xfId="25408" xr:uid="{00000000-0005-0000-0000-00003A1D0000}"/>
    <cellStyle name="20% - Accent5 2 2 2 2 2 4" xfId="7182" xr:uid="{00000000-0005-0000-0000-00003B1D0000}"/>
    <cellStyle name="20% - Accent5 2 2 2 2 2 4 2" xfId="11518" xr:uid="{00000000-0005-0000-0000-00003C1D0000}"/>
    <cellStyle name="20% - Accent5 2 2 2 2 2 4 2 2" xfId="30988" xr:uid="{00000000-0005-0000-0000-00003D1D0000}"/>
    <cellStyle name="20% - Accent5 2 2 2 2 2 4 3" xfId="26666" xr:uid="{00000000-0005-0000-0000-00003E1D0000}"/>
    <cellStyle name="20% - Accent5 2 2 2 2 2 5" xfId="9285" xr:uid="{00000000-0005-0000-0000-00003F1D0000}"/>
    <cellStyle name="20% - Accent5 2 2 2 2 2 5 2" xfId="28755" xr:uid="{00000000-0005-0000-0000-0000401D0000}"/>
    <cellStyle name="20% - Accent5 2 2 2 2 2 6" xfId="24203" xr:uid="{00000000-0005-0000-0000-0000411D0000}"/>
    <cellStyle name="20% - Accent5 2 2 2 2 3" xfId="5030" xr:uid="{00000000-0005-0000-0000-0000421D0000}"/>
    <cellStyle name="20% - Accent5 2 2 2 2 3 2" xfId="6192" xr:uid="{00000000-0005-0000-0000-0000431D0000}"/>
    <cellStyle name="20% - Accent5 2 2 2 2 3 2 2" xfId="7187" xr:uid="{00000000-0005-0000-0000-0000441D0000}"/>
    <cellStyle name="20% - Accent5 2 2 2 2 3 2 2 2" xfId="11523" xr:uid="{00000000-0005-0000-0000-0000451D0000}"/>
    <cellStyle name="20% - Accent5 2 2 2 2 3 2 2 2 2" xfId="30993" xr:uid="{00000000-0005-0000-0000-0000461D0000}"/>
    <cellStyle name="20% - Accent5 2 2 2 2 3 2 2 3" xfId="26671" xr:uid="{00000000-0005-0000-0000-0000471D0000}"/>
    <cellStyle name="20% - Accent5 2 2 2 2 3 2 3" xfId="10610" xr:uid="{00000000-0005-0000-0000-0000481D0000}"/>
    <cellStyle name="20% - Accent5 2 2 2 2 3 2 3 2" xfId="30080" xr:uid="{00000000-0005-0000-0000-0000491D0000}"/>
    <cellStyle name="20% - Accent5 2 2 2 2 3 2 4" xfId="25677" xr:uid="{00000000-0005-0000-0000-00004A1D0000}"/>
    <cellStyle name="20% - Accent5 2 2 2 2 3 3" xfId="7186" xr:uid="{00000000-0005-0000-0000-00004B1D0000}"/>
    <cellStyle name="20% - Accent5 2 2 2 2 3 3 2" xfId="11522" xr:uid="{00000000-0005-0000-0000-00004C1D0000}"/>
    <cellStyle name="20% - Accent5 2 2 2 2 3 3 2 2" xfId="30992" xr:uid="{00000000-0005-0000-0000-00004D1D0000}"/>
    <cellStyle name="20% - Accent5 2 2 2 2 3 3 3" xfId="26670" xr:uid="{00000000-0005-0000-0000-00004E1D0000}"/>
    <cellStyle name="20% - Accent5 2 2 2 2 3 4" xfId="9550" xr:uid="{00000000-0005-0000-0000-00004F1D0000}"/>
    <cellStyle name="20% - Accent5 2 2 2 2 3 4 2" xfId="29020" xr:uid="{00000000-0005-0000-0000-0000501D0000}"/>
    <cellStyle name="20% - Accent5 2 2 2 2 3 5" xfId="24524" xr:uid="{00000000-0005-0000-0000-0000511D0000}"/>
    <cellStyle name="20% - Accent5 2 2 2 2 4" xfId="5635" xr:uid="{00000000-0005-0000-0000-0000521D0000}"/>
    <cellStyle name="20% - Accent5 2 2 2 2 4 2" xfId="7188" xr:uid="{00000000-0005-0000-0000-0000531D0000}"/>
    <cellStyle name="20% - Accent5 2 2 2 2 4 2 2" xfId="11524" xr:uid="{00000000-0005-0000-0000-0000541D0000}"/>
    <cellStyle name="20% - Accent5 2 2 2 2 4 2 2 2" xfId="30994" xr:uid="{00000000-0005-0000-0000-0000551D0000}"/>
    <cellStyle name="20% - Accent5 2 2 2 2 4 2 3" xfId="26672" xr:uid="{00000000-0005-0000-0000-0000561D0000}"/>
    <cellStyle name="20% - Accent5 2 2 2 2 4 3" xfId="10080" xr:uid="{00000000-0005-0000-0000-0000571D0000}"/>
    <cellStyle name="20% - Accent5 2 2 2 2 4 3 2" xfId="29550" xr:uid="{00000000-0005-0000-0000-0000581D0000}"/>
    <cellStyle name="20% - Accent5 2 2 2 2 4 4" xfId="25122" xr:uid="{00000000-0005-0000-0000-0000591D0000}"/>
    <cellStyle name="20% - Accent5 2 2 2 2 5" xfId="7181" xr:uid="{00000000-0005-0000-0000-00005A1D0000}"/>
    <cellStyle name="20% - Accent5 2 2 2 2 5 2" xfId="11517" xr:uid="{00000000-0005-0000-0000-00005B1D0000}"/>
    <cellStyle name="20% - Accent5 2 2 2 2 5 2 2" xfId="30987" xr:uid="{00000000-0005-0000-0000-00005C1D0000}"/>
    <cellStyle name="20% - Accent5 2 2 2 2 5 3" xfId="26665" xr:uid="{00000000-0005-0000-0000-00005D1D0000}"/>
    <cellStyle name="20% - Accent5 2 2 2 2 6" xfId="9016" xr:uid="{00000000-0005-0000-0000-00005E1D0000}"/>
    <cellStyle name="20% - Accent5 2 2 2 2 6 2" xfId="28490" xr:uid="{00000000-0005-0000-0000-00005F1D0000}"/>
    <cellStyle name="20% - Accent5 2 2 2 2 7" xfId="23874" xr:uid="{00000000-0005-0000-0000-0000601D0000}"/>
    <cellStyle name="20% - Accent5 2 2 2 3" xfId="4283" xr:uid="{00000000-0005-0000-0000-0000611D0000}"/>
    <cellStyle name="20% - Accent5 2 2 2 3 2" xfId="4858" xr:uid="{00000000-0005-0000-0000-0000621D0000}"/>
    <cellStyle name="20% - Accent5 2 2 2 3 2 2" xfId="5483" xr:uid="{00000000-0005-0000-0000-0000631D0000}"/>
    <cellStyle name="20% - Accent5 2 2 2 3 2 2 2" xfId="6611" xr:uid="{00000000-0005-0000-0000-0000641D0000}"/>
    <cellStyle name="20% - Accent5 2 2 2 3 2 2 2 2" xfId="7192" xr:uid="{00000000-0005-0000-0000-0000651D0000}"/>
    <cellStyle name="20% - Accent5 2 2 2 3 2 2 2 2 2" xfId="11528" xr:uid="{00000000-0005-0000-0000-0000661D0000}"/>
    <cellStyle name="20% - Accent5 2 2 2 3 2 2 2 2 2 2" xfId="30998" xr:uid="{00000000-0005-0000-0000-0000671D0000}"/>
    <cellStyle name="20% - Accent5 2 2 2 3 2 2 2 2 3" xfId="26676" xr:uid="{00000000-0005-0000-0000-0000681D0000}"/>
    <cellStyle name="20% - Accent5 2 2 2 3 2 2 2 3" xfId="11027" xr:uid="{00000000-0005-0000-0000-0000691D0000}"/>
    <cellStyle name="20% - Accent5 2 2 2 3 2 2 2 3 2" xfId="30497" xr:uid="{00000000-0005-0000-0000-00006A1D0000}"/>
    <cellStyle name="20% - Accent5 2 2 2 3 2 2 2 4" xfId="26096" xr:uid="{00000000-0005-0000-0000-00006B1D0000}"/>
    <cellStyle name="20% - Accent5 2 2 2 3 2 2 3" xfId="7191" xr:uid="{00000000-0005-0000-0000-00006C1D0000}"/>
    <cellStyle name="20% - Accent5 2 2 2 3 2 2 3 2" xfId="11527" xr:uid="{00000000-0005-0000-0000-00006D1D0000}"/>
    <cellStyle name="20% - Accent5 2 2 2 3 2 2 3 2 2" xfId="30997" xr:uid="{00000000-0005-0000-0000-00006E1D0000}"/>
    <cellStyle name="20% - Accent5 2 2 2 3 2 2 3 3" xfId="26675" xr:uid="{00000000-0005-0000-0000-00006F1D0000}"/>
    <cellStyle name="20% - Accent5 2 2 2 3 2 2 4" xfId="9966" xr:uid="{00000000-0005-0000-0000-0000701D0000}"/>
    <cellStyle name="20% - Accent5 2 2 2 3 2 2 4 2" xfId="29436" xr:uid="{00000000-0005-0000-0000-0000711D0000}"/>
    <cellStyle name="20% - Accent5 2 2 2 3 2 2 5" xfId="24974" xr:uid="{00000000-0005-0000-0000-0000721D0000}"/>
    <cellStyle name="20% - Accent5 2 2 2 3 2 3" xfId="6076" xr:uid="{00000000-0005-0000-0000-0000731D0000}"/>
    <cellStyle name="20% - Accent5 2 2 2 3 2 3 2" xfId="7193" xr:uid="{00000000-0005-0000-0000-0000741D0000}"/>
    <cellStyle name="20% - Accent5 2 2 2 3 2 3 2 2" xfId="11529" xr:uid="{00000000-0005-0000-0000-0000751D0000}"/>
    <cellStyle name="20% - Accent5 2 2 2 3 2 3 2 2 2" xfId="30999" xr:uid="{00000000-0005-0000-0000-0000761D0000}"/>
    <cellStyle name="20% - Accent5 2 2 2 3 2 3 2 3" xfId="26677" xr:uid="{00000000-0005-0000-0000-0000771D0000}"/>
    <cellStyle name="20% - Accent5 2 2 2 3 2 3 3" xfId="10496" xr:uid="{00000000-0005-0000-0000-0000781D0000}"/>
    <cellStyle name="20% - Accent5 2 2 2 3 2 3 3 2" xfId="29966" xr:uid="{00000000-0005-0000-0000-0000791D0000}"/>
    <cellStyle name="20% - Accent5 2 2 2 3 2 3 4" xfId="25561" xr:uid="{00000000-0005-0000-0000-00007A1D0000}"/>
    <cellStyle name="20% - Accent5 2 2 2 3 2 4" xfId="7190" xr:uid="{00000000-0005-0000-0000-00007B1D0000}"/>
    <cellStyle name="20% - Accent5 2 2 2 3 2 4 2" xfId="11526" xr:uid="{00000000-0005-0000-0000-00007C1D0000}"/>
    <cellStyle name="20% - Accent5 2 2 2 3 2 4 2 2" xfId="30996" xr:uid="{00000000-0005-0000-0000-00007D1D0000}"/>
    <cellStyle name="20% - Accent5 2 2 2 3 2 4 3" xfId="26674" xr:uid="{00000000-0005-0000-0000-00007E1D0000}"/>
    <cellStyle name="20% - Accent5 2 2 2 3 2 5" xfId="9436" xr:uid="{00000000-0005-0000-0000-00007F1D0000}"/>
    <cellStyle name="20% - Accent5 2 2 2 3 2 5 2" xfId="28906" xr:uid="{00000000-0005-0000-0000-0000801D0000}"/>
    <cellStyle name="20% - Accent5 2 2 2 3 2 6" xfId="24360" xr:uid="{00000000-0005-0000-0000-0000811D0000}"/>
    <cellStyle name="20% - Accent5 2 2 2 3 3" xfId="5188" xr:uid="{00000000-0005-0000-0000-0000821D0000}"/>
    <cellStyle name="20% - Accent5 2 2 2 3 3 2" xfId="6344" xr:uid="{00000000-0005-0000-0000-0000831D0000}"/>
    <cellStyle name="20% - Accent5 2 2 2 3 3 2 2" xfId="7195" xr:uid="{00000000-0005-0000-0000-0000841D0000}"/>
    <cellStyle name="20% - Accent5 2 2 2 3 3 2 2 2" xfId="11531" xr:uid="{00000000-0005-0000-0000-0000851D0000}"/>
    <cellStyle name="20% - Accent5 2 2 2 3 3 2 2 2 2" xfId="31001" xr:uid="{00000000-0005-0000-0000-0000861D0000}"/>
    <cellStyle name="20% - Accent5 2 2 2 3 3 2 2 3" xfId="26679" xr:uid="{00000000-0005-0000-0000-0000871D0000}"/>
    <cellStyle name="20% - Accent5 2 2 2 3 3 2 3" xfId="10761" xr:uid="{00000000-0005-0000-0000-0000881D0000}"/>
    <cellStyle name="20% - Accent5 2 2 2 3 3 2 3 2" xfId="30231" xr:uid="{00000000-0005-0000-0000-0000891D0000}"/>
    <cellStyle name="20% - Accent5 2 2 2 3 3 2 4" xfId="25829" xr:uid="{00000000-0005-0000-0000-00008A1D0000}"/>
    <cellStyle name="20% - Accent5 2 2 2 3 3 3" xfId="7194" xr:uid="{00000000-0005-0000-0000-00008B1D0000}"/>
    <cellStyle name="20% - Accent5 2 2 2 3 3 3 2" xfId="11530" xr:uid="{00000000-0005-0000-0000-00008C1D0000}"/>
    <cellStyle name="20% - Accent5 2 2 2 3 3 3 2 2" xfId="31000" xr:uid="{00000000-0005-0000-0000-00008D1D0000}"/>
    <cellStyle name="20% - Accent5 2 2 2 3 3 3 3" xfId="26678" xr:uid="{00000000-0005-0000-0000-00008E1D0000}"/>
    <cellStyle name="20% - Accent5 2 2 2 3 3 4" xfId="9701" xr:uid="{00000000-0005-0000-0000-00008F1D0000}"/>
    <cellStyle name="20% - Accent5 2 2 2 3 3 4 2" xfId="29171" xr:uid="{00000000-0005-0000-0000-0000901D0000}"/>
    <cellStyle name="20% - Accent5 2 2 2 3 3 5" xfId="24679" xr:uid="{00000000-0005-0000-0000-0000911D0000}"/>
    <cellStyle name="20% - Accent5 2 2 2 3 4" xfId="5797" xr:uid="{00000000-0005-0000-0000-0000921D0000}"/>
    <cellStyle name="20% - Accent5 2 2 2 3 4 2" xfId="7196" xr:uid="{00000000-0005-0000-0000-0000931D0000}"/>
    <cellStyle name="20% - Accent5 2 2 2 3 4 2 2" xfId="11532" xr:uid="{00000000-0005-0000-0000-0000941D0000}"/>
    <cellStyle name="20% - Accent5 2 2 2 3 4 2 2 2" xfId="31002" xr:uid="{00000000-0005-0000-0000-0000951D0000}"/>
    <cellStyle name="20% - Accent5 2 2 2 3 4 2 3" xfId="26680" xr:uid="{00000000-0005-0000-0000-0000961D0000}"/>
    <cellStyle name="20% - Accent5 2 2 2 3 4 3" xfId="10231" xr:uid="{00000000-0005-0000-0000-0000971D0000}"/>
    <cellStyle name="20% - Accent5 2 2 2 3 4 3 2" xfId="29701" xr:uid="{00000000-0005-0000-0000-0000981D0000}"/>
    <cellStyle name="20% - Accent5 2 2 2 3 4 4" xfId="25282" xr:uid="{00000000-0005-0000-0000-0000991D0000}"/>
    <cellStyle name="20% - Accent5 2 2 2 3 5" xfId="7189" xr:uid="{00000000-0005-0000-0000-00009A1D0000}"/>
    <cellStyle name="20% - Accent5 2 2 2 3 5 2" xfId="11525" xr:uid="{00000000-0005-0000-0000-00009B1D0000}"/>
    <cellStyle name="20% - Accent5 2 2 2 3 5 2 2" xfId="30995" xr:uid="{00000000-0005-0000-0000-00009C1D0000}"/>
    <cellStyle name="20% - Accent5 2 2 2 3 5 3" xfId="26673" xr:uid="{00000000-0005-0000-0000-00009D1D0000}"/>
    <cellStyle name="20% - Accent5 2 2 2 3 6" xfId="9170" xr:uid="{00000000-0005-0000-0000-00009E1D0000}"/>
    <cellStyle name="20% - Accent5 2 2 2 3 6 2" xfId="28641" xr:uid="{00000000-0005-0000-0000-00009F1D0000}"/>
    <cellStyle name="20% - Accent5 2 2 2 3 7" xfId="24059" xr:uid="{00000000-0005-0000-0000-0000A01D0000}"/>
    <cellStyle name="20% - Accent5 2 2 2 4" xfId="4620" xr:uid="{00000000-0005-0000-0000-0000A11D0000}"/>
    <cellStyle name="20% - Accent5 2 2 2 4 2" xfId="5260" xr:uid="{00000000-0005-0000-0000-0000A21D0000}"/>
    <cellStyle name="20% - Accent5 2 2 2 4 2 2" xfId="6394" xr:uid="{00000000-0005-0000-0000-0000A31D0000}"/>
    <cellStyle name="20% - Accent5 2 2 2 4 2 2 2" xfId="7199" xr:uid="{00000000-0005-0000-0000-0000A41D0000}"/>
    <cellStyle name="20% - Accent5 2 2 2 4 2 2 2 2" xfId="11535" xr:uid="{00000000-0005-0000-0000-0000A51D0000}"/>
    <cellStyle name="20% - Accent5 2 2 2 4 2 2 2 2 2" xfId="31005" xr:uid="{00000000-0005-0000-0000-0000A61D0000}"/>
    <cellStyle name="20% - Accent5 2 2 2 4 2 2 2 3" xfId="26683" xr:uid="{00000000-0005-0000-0000-0000A71D0000}"/>
    <cellStyle name="20% - Accent5 2 2 2 4 2 2 3" xfId="10810" xr:uid="{00000000-0005-0000-0000-0000A81D0000}"/>
    <cellStyle name="20% - Accent5 2 2 2 4 2 2 3 2" xfId="30280" xr:uid="{00000000-0005-0000-0000-0000A91D0000}"/>
    <cellStyle name="20% - Accent5 2 2 2 4 2 2 4" xfId="25879" xr:uid="{00000000-0005-0000-0000-0000AA1D0000}"/>
    <cellStyle name="20% - Accent5 2 2 2 4 2 3" xfId="7198" xr:uid="{00000000-0005-0000-0000-0000AB1D0000}"/>
    <cellStyle name="20% - Accent5 2 2 2 4 2 3 2" xfId="11534" xr:uid="{00000000-0005-0000-0000-0000AC1D0000}"/>
    <cellStyle name="20% - Accent5 2 2 2 4 2 3 2 2" xfId="31004" xr:uid="{00000000-0005-0000-0000-0000AD1D0000}"/>
    <cellStyle name="20% - Accent5 2 2 2 4 2 3 3" xfId="26682" xr:uid="{00000000-0005-0000-0000-0000AE1D0000}"/>
    <cellStyle name="20% - Accent5 2 2 2 4 2 4" xfId="9749" xr:uid="{00000000-0005-0000-0000-0000AF1D0000}"/>
    <cellStyle name="20% - Accent5 2 2 2 4 2 4 2" xfId="29219" xr:uid="{00000000-0005-0000-0000-0000B01D0000}"/>
    <cellStyle name="20% - Accent5 2 2 2 4 2 5" xfId="24751" xr:uid="{00000000-0005-0000-0000-0000B11D0000}"/>
    <cellStyle name="20% - Accent5 2 2 2 4 3" xfId="5857" xr:uid="{00000000-0005-0000-0000-0000B21D0000}"/>
    <cellStyle name="20% - Accent5 2 2 2 4 3 2" xfId="7200" xr:uid="{00000000-0005-0000-0000-0000B31D0000}"/>
    <cellStyle name="20% - Accent5 2 2 2 4 3 2 2" xfId="11536" xr:uid="{00000000-0005-0000-0000-0000B41D0000}"/>
    <cellStyle name="20% - Accent5 2 2 2 4 3 2 2 2" xfId="31006" xr:uid="{00000000-0005-0000-0000-0000B51D0000}"/>
    <cellStyle name="20% - Accent5 2 2 2 4 3 2 3" xfId="26684" xr:uid="{00000000-0005-0000-0000-0000B61D0000}"/>
    <cellStyle name="20% - Accent5 2 2 2 4 3 3" xfId="10279" xr:uid="{00000000-0005-0000-0000-0000B71D0000}"/>
    <cellStyle name="20% - Accent5 2 2 2 4 3 3 2" xfId="29749" xr:uid="{00000000-0005-0000-0000-0000B81D0000}"/>
    <cellStyle name="20% - Accent5 2 2 2 4 3 4" xfId="25342" xr:uid="{00000000-0005-0000-0000-0000B91D0000}"/>
    <cellStyle name="20% - Accent5 2 2 2 4 4" xfId="7197" xr:uid="{00000000-0005-0000-0000-0000BA1D0000}"/>
    <cellStyle name="20% - Accent5 2 2 2 4 4 2" xfId="11533" xr:uid="{00000000-0005-0000-0000-0000BB1D0000}"/>
    <cellStyle name="20% - Accent5 2 2 2 4 4 2 2" xfId="31003" xr:uid="{00000000-0005-0000-0000-0000BC1D0000}"/>
    <cellStyle name="20% - Accent5 2 2 2 4 4 3" xfId="26681" xr:uid="{00000000-0005-0000-0000-0000BD1D0000}"/>
    <cellStyle name="20% - Accent5 2 2 2 4 5" xfId="9219" xr:uid="{00000000-0005-0000-0000-0000BE1D0000}"/>
    <cellStyle name="20% - Accent5 2 2 2 4 5 2" xfId="28689" xr:uid="{00000000-0005-0000-0000-0000BF1D0000}"/>
    <cellStyle name="20% - Accent5 2 2 2 4 6" xfId="24131" xr:uid="{00000000-0005-0000-0000-0000C01D0000}"/>
    <cellStyle name="20% - Accent5 2 2 2 5" xfId="4964" xr:uid="{00000000-0005-0000-0000-0000C11D0000}"/>
    <cellStyle name="20% - Accent5 2 2 2 5 2" xfId="6126" xr:uid="{00000000-0005-0000-0000-0000C21D0000}"/>
    <cellStyle name="20% - Accent5 2 2 2 5 2 2" xfId="7202" xr:uid="{00000000-0005-0000-0000-0000C31D0000}"/>
    <cellStyle name="20% - Accent5 2 2 2 5 2 2 2" xfId="11538" xr:uid="{00000000-0005-0000-0000-0000C41D0000}"/>
    <cellStyle name="20% - Accent5 2 2 2 5 2 2 2 2" xfId="31008" xr:uid="{00000000-0005-0000-0000-0000C51D0000}"/>
    <cellStyle name="20% - Accent5 2 2 2 5 2 2 3" xfId="26686" xr:uid="{00000000-0005-0000-0000-0000C61D0000}"/>
    <cellStyle name="20% - Accent5 2 2 2 5 2 3" xfId="10544" xr:uid="{00000000-0005-0000-0000-0000C71D0000}"/>
    <cellStyle name="20% - Accent5 2 2 2 5 2 3 2" xfId="30014" xr:uid="{00000000-0005-0000-0000-0000C81D0000}"/>
    <cellStyle name="20% - Accent5 2 2 2 5 2 4" xfId="25611" xr:uid="{00000000-0005-0000-0000-0000C91D0000}"/>
    <cellStyle name="20% - Accent5 2 2 2 5 3" xfId="7201" xr:uid="{00000000-0005-0000-0000-0000CA1D0000}"/>
    <cellStyle name="20% - Accent5 2 2 2 5 3 2" xfId="11537" xr:uid="{00000000-0005-0000-0000-0000CB1D0000}"/>
    <cellStyle name="20% - Accent5 2 2 2 5 3 2 2" xfId="31007" xr:uid="{00000000-0005-0000-0000-0000CC1D0000}"/>
    <cellStyle name="20% - Accent5 2 2 2 5 3 3" xfId="26685" xr:uid="{00000000-0005-0000-0000-0000CD1D0000}"/>
    <cellStyle name="20% - Accent5 2 2 2 5 4" xfId="9484" xr:uid="{00000000-0005-0000-0000-0000CE1D0000}"/>
    <cellStyle name="20% - Accent5 2 2 2 5 4 2" xfId="28954" xr:uid="{00000000-0005-0000-0000-0000CF1D0000}"/>
    <cellStyle name="20% - Accent5 2 2 2 5 5" xfId="24458" xr:uid="{00000000-0005-0000-0000-0000D01D0000}"/>
    <cellStyle name="20% - Accent5 2 2 2 6" xfId="5569" xr:uid="{00000000-0005-0000-0000-0000D11D0000}"/>
    <cellStyle name="20% - Accent5 2 2 2 6 2" xfId="7203" xr:uid="{00000000-0005-0000-0000-0000D21D0000}"/>
    <cellStyle name="20% - Accent5 2 2 2 6 2 2" xfId="11539" xr:uid="{00000000-0005-0000-0000-0000D31D0000}"/>
    <cellStyle name="20% - Accent5 2 2 2 6 2 2 2" xfId="31009" xr:uid="{00000000-0005-0000-0000-0000D41D0000}"/>
    <cellStyle name="20% - Accent5 2 2 2 6 2 3" xfId="26687" xr:uid="{00000000-0005-0000-0000-0000D51D0000}"/>
    <cellStyle name="20% - Accent5 2 2 2 6 3" xfId="10014" xr:uid="{00000000-0005-0000-0000-0000D61D0000}"/>
    <cellStyle name="20% - Accent5 2 2 2 6 3 2" xfId="29484" xr:uid="{00000000-0005-0000-0000-0000D71D0000}"/>
    <cellStyle name="20% - Accent5 2 2 2 6 4" xfId="25056" xr:uid="{00000000-0005-0000-0000-0000D81D0000}"/>
    <cellStyle name="20% - Accent5 2 2 2 7" xfId="7180" xr:uid="{00000000-0005-0000-0000-0000D91D0000}"/>
    <cellStyle name="20% - Accent5 2 2 2 7 2" xfId="11516" xr:uid="{00000000-0005-0000-0000-0000DA1D0000}"/>
    <cellStyle name="20% - Accent5 2 2 2 7 2 2" xfId="30986" xr:uid="{00000000-0005-0000-0000-0000DB1D0000}"/>
    <cellStyle name="20% - Accent5 2 2 2 7 3" xfId="26664" xr:uid="{00000000-0005-0000-0000-0000DC1D0000}"/>
    <cellStyle name="20% - Accent5 2 2 2 8" xfId="8950" xr:uid="{00000000-0005-0000-0000-0000DD1D0000}"/>
    <cellStyle name="20% - Accent5 2 2 2 8 2" xfId="28424" xr:uid="{00000000-0005-0000-0000-0000DE1D0000}"/>
    <cellStyle name="20% - Accent5 2 2 2 9" xfId="23682" xr:uid="{00000000-0005-0000-0000-0000DF1D0000}"/>
    <cellStyle name="20% - Accent5 2 2 3" xfId="2947" xr:uid="{00000000-0005-0000-0000-0000E01D0000}"/>
    <cellStyle name="20% - Accent5 2 2 3 2" xfId="4654" xr:uid="{00000000-0005-0000-0000-0000E11D0000}"/>
    <cellStyle name="20% - Accent5 2 2 3 2 2" xfId="5294" xr:uid="{00000000-0005-0000-0000-0000E21D0000}"/>
    <cellStyle name="20% - Accent5 2 2 3 2 2 2" xfId="6428" xr:uid="{00000000-0005-0000-0000-0000E31D0000}"/>
    <cellStyle name="20% - Accent5 2 2 3 2 2 2 2" xfId="7207" xr:uid="{00000000-0005-0000-0000-0000E41D0000}"/>
    <cellStyle name="20% - Accent5 2 2 3 2 2 2 2 2" xfId="11543" xr:uid="{00000000-0005-0000-0000-0000E51D0000}"/>
    <cellStyle name="20% - Accent5 2 2 3 2 2 2 2 2 2" xfId="31013" xr:uid="{00000000-0005-0000-0000-0000E61D0000}"/>
    <cellStyle name="20% - Accent5 2 2 3 2 2 2 2 3" xfId="26691" xr:uid="{00000000-0005-0000-0000-0000E71D0000}"/>
    <cellStyle name="20% - Accent5 2 2 3 2 2 2 3" xfId="10844" xr:uid="{00000000-0005-0000-0000-0000E81D0000}"/>
    <cellStyle name="20% - Accent5 2 2 3 2 2 2 3 2" xfId="30314" xr:uid="{00000000-0005-0000-0000-0000E91D0000}"/>
    <cellStyle name="20% - Accent5 2 2 3 2 2 2 4" xfId="25913" xr:uid="{00000000-0005-0000-0000-0000EA1D0000}"/>
    <cellStyle name="20% - Accent5 2 2 3 2 2 3" xfId="7206" xr:uid="{00000000-0005-0000-0000-0000EB1D0000}"/>
    <cellStyle name="20% - Accent5 2 2 3 2 2 3 2" xfId="11542" xr:uid="{00000000-0005-0000-0000-0000EC1D0000}"/>
    <cellStyle name="20% - Accent5 2 2 3 2 2 3 2 2" xfId="31012" xr:uid="{00000000-0005-0000-0000-0000ED1D0000}"/>
    <cellStyle name="20% - Accent5 2 2 3 2 2 3 3" xfId="26690" xr:uid="{00000000-0005-0000-0000-0000EE1D0000}"/>
    <cellStyle name="20% - Accent5 2 2 3 2 2 4" xfId="9783" xr:uid="{00000000-0005-0000-0000-0000EF1D0000}"/>
    <cellStyle name="20% - Accent5 2 2 3 2 2 4 2" xfId="29253" xr:uid="{00000000-0005-0000-0000-0000F01D0000}"/>
    <cellStyle name="20% - Accent5 2 2 3 2 2 5" xfId="24785" xr:uid="{00000000-0005-0000-0000-0000F11D0000}"/>
    <cellStyle name="20% - Accent5 2 2 3 2 3" xfId="5891" xr:uid="{00000000-0005-0000-0000-0000F21D0000}"/>
    <cellStyle name="20% - Accent5 2 2 3 2 3 2" xfId="7208" xr:uid="{00000000-0005-0000-0000-0000F31D0000}"/>
    <cellStyle name="20% - Accent5 2 2 3 2 3 2 2" xfId="11544" xr:uid="{00000000-0005-0000-0000-0000F41D0000}"/>
    <cellStyle name="20% - Accent5 2 2 3 2 3 2 2 2" xfId="31014" xr:uid="{00000000-0005-0000-0000-0000F51D0000}"/>
    <cellStyle name="20% - Accent5 2 2 3 2 3 2 3" xfId="26692" xr:uid="{00000000-0005-0000-0000-0000F61D0000}"/>
    <cellStyle name="20% - Accent5 2 2 3 2 3 3" xfId="10313" xr:uid="{00000000-0005-0000-0000-0000F71D0000}"/>
    <cellStyle name="20% - Accent5 2 2 3 2 3 3 2" xfId="29783" xr:uid="{00000000-0005-0000-0000-0000F81D0000}"/>
    <cellStyle name="20% - Accent5 2 2 3 2 3 4" xfId="25376" xr:uid="{00000000-0005-0000-0000-0000F91D0000}"/>
    <cellStyle name="20% - Accent5 2 2 3 2 4" xfId="7205" xr:uid="{00000000-0005-0000-0000-0000FA1D0000}"/>
    <cellStyle name="20% - Accent5 2 2 3 2 4 2" xfId="11541" xr:uid="{00000000-0005-0000-0000-0000FB1D0000}"/>
    <cellStyle name="20% - Accent5 2 2 3 2 4 2 2" xfId="31011" xr:uid="{00000000-0005-0000-0000-0000FC1D0000}"/>
    <cellStyle name="20% - Accent5 2 2 3 2 4 3" xfId="26689" xr:uid="{00000000-0005-0000-0000-0000FD1D0000}"/>
    <cellStyle name="20% - Accent5 2 2 3 2 5" xfId="9253" xr:uid="{00000000-0005-0000-0000-0000FE1D0000}"/>
    <cellStyle name="20% - Accent5 2 2 3 2 5 2" xfId="28723" xr:uid="{00000000-0005-0000-0000-0000FF1D0000}"/>
    <cellStyle name="20% - Accent5 2 2 3 2 6" xfId="24165" xr:uid="{00000000-0005-0000-0000-0000001E0000}"/>
    <cellStyle name="20% - Accent5 2 2 3 3" xfId="4998" xr:uid="{00000000-0005-0000-0000-0000011E0000}"/>
    <cellStyle name="20% - Accent5 2 2 3 3 2" xfId="6160" xr:uid="{00000000-0005-0000-0000-0000021E0000}"/>
    <cellStyle name="20% - Accent5 2 2 3 3 2 2" xfId="7210" xr:uid="{00000000-0005-0000-0000-0000031E0000}"/>
    <cellStyle name="20% - Accent5 2 2 3 3 2 2 2" xfId="11546" xr:uid="{00000000-0005-0000-0000-0000041E0000}"/>
    <cellStyle name="20% - Accent5 2 2 3 3 2 2 2 2" xfId="31016" xr:uid="{00000000-0005-0000-0000-0000051E0000}"/>
    <cellStyle name="20% - Accent5 2 2 3 3 2 2 3" xfId="26694" xr:uid="{00000000-0005-0000-0000-0000061E0000}"/>
    <cellStyle name="20% - Accent5 2 2 3 3 2 3" xfId="10578" xr:uid="{00000000-0005-0000-0000-0000071E0000}"/>
    <cellStyle name="20% - Accent5 2 2 3 3 2 3 2" xfId="30048" xr:uid="{00000000-0005-0000-0000-0000081E0000}"/>
    <cellStyle name="20% - Accent5 2 2 3 3 2 4" xfId="25645" xr:uid="{00000000-0005-0000-0000-0000091E0000}"/>
    <cellStyle name="20% - Accent5 2 2 3 3 3" xfId="7209" xr:uid="{00000000-0005-0000-0000-00000A1E0000}"/>
    <cellStyle name="20% - Accent5 2 2 3 3 3 2" xfId="11545" xr:uid="{00000000-0005-0000-0000-00000B1E0000}"/>
    <cellStyle name="20% - Accent5 2 2 3 3 3 2 2" xfId="31015" xr:uid="{00000000-0005-0000-0000-00000C1E0000}"/>
    <cellStyle name="20% - Accent5 2 2 3 3 3 3" xfId="26693" xr:uid="{00000000-0005-0000-0000-00000D1E0000}"/>
    <cellStyle name="20% - Accent5 2 2 3 3 4" xfId="9518" xr:uid="{00000000-0005-0000-0000-00000E1E0000}"/>
    <cellStyle name="20% - Accent5 2 2 3 3 4 2" xfId="28988" xr:uid="{00000000-0005-0000-0000-00000F1E0000}"/>
    <cellStyle name="20% - Accent5 2 2 3 3 5" xfId="24492" xr:uid="{00000000-0005-0000-0000-0000101E0000}"/>
    <cellStyle name="20% - Accent5 2 2 3 4" xfId="5603" xr:uid="{00000000-0005-0000-0000-0000111E0000}"/>
    <cellStyle name="20% - Accent5 2 2 3 4 2" xfId="7211" xr:uid="{00000000-0005-0000-0000-0000121E0000}"/>
    <cellStyle name="20% - Accent5 2 2 3 4 2 2" xfId="11547" xr:uid="{00000000-0005-0000-0000-0000131E0000}"/>
    <cellStyle name="20% - Accent5 2 2 3 4 2 2 2" xfId="31017" xr:uid="{00000000-0005-0000-0000-0000141E0000}"/>
    <cellStyle name="20% - Accent5 2 2 3 4 2 3" xfId="26695" xr:uid="{00000000-0005-0000-0000-0000151E0000}"/>
    <cellStyle name="20% - Accent5 2 2 3 4 3" xfId="10048" xr:uid="{00000000-0005-0000-0000-0000161E0000}"/>
    <cellStyle name="20% - Accent5 2 2 3 4 3 2" xfId="29518" xr:uid="{00000000-0005-0000-0000-0000171E0000}"/>
    <cellStyle name="20% - Accent5 2 2 3 4 4" xfId="25090" xr:uid="{00000000-0005-0000-0000-0000181E0000}"/>
    <cellStyle name="20% - Accent5 2 2 3 5" xfId="7204" xr:uid="{00000000-0005-0000-0000-0000191E0000}"/>
    <cellStyle name="20% - Accent5 2 2 3 5 2" xfId="11540" xr:uid="{00000000-0005-0000-0000-00001A1E0000}"/>
    <cellStyle name="20% - Accent5 2 2 3 5 2 2" xfId="31010" xr:uid="{00000000-0005-0000-0000-00001B1E0000}"/>
    <cellStyle name="20% - Accent5 2 2 3 5 3" xfId="26688" xr:uid="{00000000-0005-0000-0000-00001C1E0000}"/>
    <cellStyle name="20% - Accent5 2 2 3 6" xfId="8984" xr:uid="{00000000-0005-0000-0000-00001D1E0000}"/>
    <cellStyle name="20% - Accent5 2 2 3 6 2" xfId="28458" xr:uid="{00000000-0005-0000-0000-00001E1E0000}"/>
    <cellStyle name="20% - Accent5 2 2 3 7" xfId="23756" xr:uid="{00000000-0005-0000-0000-00001F1E0000}"/>
    <cellStyle name="20% - Accent5 2 2 4" xfId="4228" xr:uid="{00000000-0005-0000-0000-0000201E0000}"/>
    <cellStyle name="20% - Accent5 2 2 4 2" xfId="4803" xr:uid="{00000000-0005-0000-0000-0000211E0000}"/>
    <cellStyle name="20% - Accent5 2 2 4 2 2" xfId="5429" xr:uid="{00000000-0005-0000-0000-0000221E0000}"/>
    <cellStyle name="20% - Accent5 2 2 4 2 2 2" xfId="6557" xr:uid="{00000000-0005-0000-0000-0000231E0000}"/>
    <cellStyle name="20% - Accent5 2 2 4 2 2 2 2" xfId="7215" xr:uid="{00000000-0005-0000-0000-0000241E0000}"/>
    <cellStyle name="20% - Accent5 2 2 4 2 2 2 2 2" xfId="11551" xr:uid="{00000000-0005-0000-0000-0000251E0000}"/>
    <cellStyle name="20% - Accent5 2 2 4 2 2 2 2 2 2" xfId="31021" xr:uid="{00000000-0005-0000-0000-0000261E0000}"/>
    <cellStyle name="20% - Accent5 2 2 4 2 2 2 2 3" xfId="26699" xr:uid="{00000000-0005-0000-0000-0000271E0000}"/>
    <cellStyle name="20% - Accent5 2 2 4 2 2 2 3" xfId="10973" xr:uid="{00000000-0005-0000-0000-0000281E0000}"/>
    <cellStyle name="20% - Accent5 2 2 4 2 2 2 3 2" xfId="30443" xr:uid="{00000000-0005-0000-0000-0000291E0000}"/>
    <cellStyle name="20% - Accent5 2 2 4 2 2 2 4" xfId="26042" xr:uid="{00000000-0005-0000-0000-00002A1E0000}"/>
    <cellStyle name="20% - Accent5 2 2 4 2 2 3" xfId="7214" xr:uid="{00000000-0005-0000-0000-00002B1E0000}"/>
    <cellStyle name="20% - Accent5 2 2 4 2 2 3 2" xfId="11550" xr:uid="{00000000-0005-0000-0000-00002C1E0000}"/>
    <cellStyle name="20% - Accent5 2 2 4 2 2 3 2 2" xfId="31020" xr:uid="{00000000-0005-0000-0000-00002D1E0000}"/>
    <cellStyle name="20% - Accent5 2 2 4 2 2 3 3" xfId="26698" xr:uid="{00000000-0005-0000-0000-00002E1E0000}"/>
    <cellStyle name="20% - Accent5 2 2 4 2 2 4" xfId="9912" xr:uid="{00000000-0005-0000-0000-00002F1E0000}"/>
    <cellStyle name="20% - Accent5 2 2 4 2 2 4 2" xfId="29382" xr:uid="{00000000-0005-0000-0000-0000301E0000}"/>
    <cellStyle name="20% - Accent5 2 2 4 2 2 5" xfId="24920" xr:uid="{00000000-0005-0000-0000-0000311E0000}"/>
    <cellStyle name="20% - Accent5 2 2 4 2 3" xfId="6021" xr:uid="{00000000-0005-0000-0000-0000321E0000}"/>
    <cellStyle name="20% - Accent5 2 2 4 2 3 2" xfId="7216" xr:uid="{00000000-0005-0000-0000-0000331E0000}"/>
    <cellStyle name="20% - Accent5 2 2 4 2 3 2 2" xfId="11552" xr:uid="{00000000-0005-0000-0000-0000341E0000}"/>
    <cellStyle name="20% - Accent5 2 2 4 2 3 2 2 2" xfId="31022" xr:uid="{00000000-0005-0000-0000-0000351E0000}"/>
    <cellStyle name="20% - Accent5 2 2 4 2 3 2 3" xfId="26700" xr:uid="{00000000-0005-0000-0000-0000361E0000}"/>
    <cellStyle name="20% - Accent5 2 2 4 2 3 3" xfId="10442" xr:uid="{00000000-0005-0000-0000-0000371E0000}"/>
    <cellStyle name="20% - Accent5 2 2 4 2 3 3 2" xfId="29912" xr:uid="{00000000-0005-0000-0000-0000381E0000}"/>
    <cellStyle name="20% - Accent5 2 2 4 2 3 4" xfId="25506" xr:uid="{00000000-0005-0000-0000-0000391E0000}"/>
    <cellStyle name="20% - Accent5 2 2 4 2 4" xfId="7213" xr:uid="{00000000-0005-0000-0000-00003A1E0000}"/>
    <cellStyle name="20% - Accent5 2 2 4 2 4 2" xfId="11549" xr:uid="{00000000-0005-0000-0000-00003B1E0000}"/>
    <cellStyle name="20% - Accent5 2 2 4 2 4 2 2" xfId="31019" xr:uid="{00000000-0005-0000-0000-00003C1E0000}"/>
    <cellStyle name="20% - Accent5 2 2 4 2 4 3" xfId="26697" xr:uid="{00000000-0005-0000-0000-00003D1E0000}"/>
    <cellStyle name="20% - Accent5 2 2 4 2 5" xfId="9382" xr:uid="{00000000-0005-0000-0000-00003E1E0000}"/>
    <cellStyle name="20% - Accent5 2 2 4 2 5 2" xfId="28852" xr:uid="{00000000-0005-0000-0000-00003F1E0000}"/>
    <cellStyle name="20% - Accent5 2 2 4 2 6" xfId="24305" xr:uid="{00000000-0005-0000-0000-0000401E0000}"/>
    <cellStyle name="20% - Accent5 2 2 4 3" xfId="5134" xr:uid="{00000000-0005-0000-0000-0000411E0000}"/>
    <cellStyle name="20% - Accent5 2 2 4 3 2" xfId="6290" xr:uid="{00000000-0005-0000-0000-0000421E0000}"/>
    <cellStyle name="20% - Accent5 2 2 4 3 2 2" xfId="7218" xr:uid="{00000000-0005-0000-0000-0000431E0000}"/>
    <cellStyle name="20% - Accent5 2 2 4 3 2 2 2" xfId="11554" xr:uid="{00000000-0005-0000-0000-0000441E0000}"/>
    <cellStyle name="20% - Accent5 2 2 4 3 2 2 2 2" xfId="31024" xr:uid="{00000000-0005-0000-0000-0000451E0000}"/>
    <cellStyle name="20% - Accent5 2 2 4 3 2 2 3" xfId="26702" xr:uid="{00000000-0005-0000-0000-0000461E0000}"/>
    <cellStyle name="20% - Accent5 2 2 4 3 2 3" xfId="10707" xr:uid="{00000000-0005-0000-0000-0000471E0000}"/>
    <cellStyle name="20% - Accent5 2 2 4 3 2 3 2" xfId="30177" xr:uid="{00000000-0005-0000-0000-0000481E0000}"/>
    <cellStyle name="20% - Accent5 2 2 4 3 2 4" xfId="25775" xr:uid="{00000000-0005-0000-0000-0000491E0000}"/>
    <cellStyle name="20% - Accent5 2 2 4 3 3" xfId="7217" xr:uid="{00000000-0005-0000-0000-00004A1E0000}"/>
    <cellStyle name="20% - Accent5 2 2 4 3 3 2" xfId="11553" xr:uid="{00000000-0005-0000-0000-00004B1E0000}"/>
    <cellStyle name="20% - Accent5 2 2 4 3 3 2 2" xfId="31023" xr:uid="{00000000-0005-0000-0000-00004C1E0000}"/>
    <cellStyle name="20% - Accent5 2 2 4 3 3 3" xfId="26701" xr:uid="{00000000-0005-0000-0000-00004D1E0000}"/>
    <cellStyle name="20% - Accent5 2 2 4 3 4" xfId="9647" xr:uid="{00000000-0005-0000-0000-00004E1E0000}"/>
    <cellStyle name="20% - Accent5 2 2 4 3 4 2" xfId="29117" xr:uid="{00000000-0005-0000-0000-00004F1E0000}"/>
    <cellStyle name="20% - Accent5 2 2 4 3 5" xfId="24625" xr:uid="{00000000-0005-0000-0000-0000501E0000}"/>
    <cellStyle name="20% - Accent5 2 2 4 4" xfId="5743" xr:uid="{00000000-0005-0000-0000-0000511E0000}"/>
    <cellStyle name="20% - Accent5 2 2 4 4 2" xfId="7219" xr:uid="{00000000-0005-0000-0000-0000521E0000}"/>
    <cellStyle name="20% - Accent5 2 2 4 4 2 2" xfId="11555" xr:uid="{00000000-0005-0000-0000-0000531E0000}"/>
    <cellStyle name="20% - Accent5 2 2 4 4 2 2 2" xfId="31025" xr:uid="{00000000-0005-0000-0000-0000541E0000}"/>
    <cellStyle name="20% - Accent5 2 2 4 4 2 3" xfId="26703" xr:uid="{00000000-0005-0000-0000-0000551E0000}"/>
    <cellStyle name="20% - Accent5 2 2 4 4 3" xfId="10177" xr:uid="{00000000-0005-0000-0000-0000561E0000}"/>
    <cellStyle name="20% - Accent5 2 2 4 4 3 2" xfId="29647" xr:uid="{00000000-0005-0000-0000-0000571E0000}"/>
    <cellStyle name="20% - Accent5 2 2 4 4 4" xfId="25228" xr:uid="{00000000-0005-0000-0000-0000581E0000}"/>
    <cellStyle name="20% - Accent5 2 2 4 5" xfId="7212" xr:uid="{00000000-0005-0000-0000-0000591E0000}"/>
    <cellStyle name="20% - Accent5 2 2 4 5 2" xfId="11548" xr:uid="{00000000-0005-0000-0000-00005A1E0000}"/>
    <cellStyle name="20% - Accent5 2 2 4 5 2 2" xfId="31018" xr:uid="{00000000-0005-0000-0000-00005B1E0000}"/>
    <cellStyle name="20% - Accent5 2 2 4 5 3" xfId="26696" xr:uid="{00000000-0005-0000-0000-00005C1E0000}"/>
    <cellStyle name="20% - Accent5 2 2 4 6" xfId="9116" xr:uid="{00000000-0005-0000-0000-00005D1E0000}"/>
    <cellStyle name="20% - Accent5 2 2 4 6 2" xfId="28587" xr:uid="{00000000-0005-0000-0000-00005E1E0000}"/>
    <cellStyle name="20% - Accent5 2 2 4 7" xfId="24004" xr:uid="{00000000-0005-0000-0000-00005F1E0000}"/>
    <cellStyle name="20% - Accent5 2 2 5" xfId="4587" xr:uid="{00000000-0005-0000-0000-0000601E0000}"/>
    <cellStyle name="20% - Accent5 2 2 5 2" xfId="5228" xr:uid="{00000000-0005-0000-0000-0000611E0000}"/>
    <cellStyle name="20% - Accent5 2 2 5 2 2" xfId="6362" xr:uid="{00000000-0005-0000-0000-0000621E0000}"/>
    <cellStyle name="20% - Accent5 2 2 5 2 2 2" xfId="7222" xr:uid="{00000000-0005-0000-0000-0000631E0000}"/>
    <cellStyle name="20% - Accent5 2 2 5 2 2 2 2" xfId="11558" xr:uid="{00000000-0005-0000-0000-0000641E0000}"/>
    <cellStyle name="20% - Accent5 2 2 5 2 2 2 2 2" xfId="31028" xr:uid="{00000000-0005-0000-0000-0000651E0000}"/>
    <cellStyle name="20% - Accent5 2 2 5 2 2 2 3" xfId="26706" xr:uid="{00000000-0005-0000-0000-0000661E0000}"/>
    <cellStyle name="20% - Accent5 2 2 5 2 2 3" xfId="10778" xr:uid="{00000000-0005-0000-0000-0000671E0000}"/>
    <cellStyle name="20% - Accent5 2 2 5 2 2 3 2" xfId="30248" xr:uid="{00000000-0005-0000-0000-0000681E0000}"/>
    <cellStyle name="20% - Accent5 2 2 5 2 2 4" xfId="25847" xr:uid="{00000000-0005-0000-0000-0000691E0000}"/>
    <cellStyle name="20% - Accent5 2 2 5 2 3" xfId="7221" xr:uid="{00000000-0005-0000-0000-00006A1E0000}"/>
    <cellStyle name="20% - Accent5 2 2 5 2 3 2" xfId="11557" xr:uid="{00000000-0005-0000-0000-00006B1E0000}"/>
    <cellStyle name="20% - Accent5 2 2 5 2 3 2 2" xfId="31027" xr:uid="{00000000-0005-0000-0000-00006C1E0000}"/>
    <cellStyle name="20% - Accent5 2 2 5 2 3 3" xfId="26705" xr:uid="{00000000-0005-0000-0000-00006D1E0000}"/>
    <cellStyle name="20% - Accent5 2 2 5 2 4" xfId="9717" xr:uid="{00000000-0005-0000-0000-00006E1E0000}"/>
    <cellStyle name="20% - Accent5 2 2 5 2 4 2" xfId="29187" xr:uid="{00000000-0005-0000-0000-00006F1E0000}"/>
    <cellStyle name="20% - Accent5 2 2 5 2 5" xfId="24719" xr:uid="{00000000-0005-0000-0000-0000701E0000}"/>
    <cellStyle name="20% - Accent5 2 2 5 3" xfId="5824" xr:uid="{00000000-0005-0000-0000-0000711E0000}"/>
    <cellStyle name="20% - Accent5 2 2 5 3 2" xfId="7223" xr:uid="{00000000-0005-0000-0000-0000721E0000}"/>
    <cellStyle name="20% - Accent5 2 2 5 3 2 2" xfId="11559" xr:uid="{00000000-0005-0000-0000-0000731E0000}"/>
    <cellStyle name="20% - Accent5 2 2 5 3 2 2 2" xfId="31029" xr:uid="{00000000-0005-0000-0000-0000741E0000}"/>
    <cellStyle name="20% - Accent5 2 2 5 3 2 3" xfId="26707" xr:uid="{00000000-0005-0000-0000-0000751E0000}"/>
    <cellStyle name="20% - Accent5 2 2 5 3 3" xfId="10247" xr:uid="{00000000-0005-0000-0000-0000761E0000}"/>
    <cellStyle name="20% - Accent5 2 2 5 3 3 2" xfId="29717" xr:uid="{00000000-0005-0000-0000-0000771E0000}"/>
    <cellStyle name="20% - Accent5 2 2 5 3 4" xfId="25309" xr:uid="{00000000-0005-0000-0000-0000781E0000}"/>
    <cellStyle name="20% - Accent5 2 2 5 4" xfId="7220" xr:uid="{00000000-0005-0000-0000-0000791E0000}"/>
    <cellStyle name="20% - Accent5 2 2 5 4 2" xfId="11556" xr:uid="{00000000-0005-0000-0000-00007A1E0000}"/>
    <cellStyle name="20% - Accent5 2 2 5 4 2 2" xfId="31026" xr:uid="{00000000-0005-0000-0000-00007B1E0000}"/>
    <cellStyle name="20% - Accent5 2 2 5 4 3" xfId="26704" xr:uid="{00000000-0005-0000-0000-00007C1E0000}"/>
    <cellStyle name="20% - Accent5 2 2 5 5" xfId="9187" xr:uid="{00000000-0005-0000-0000-00007D1E0000}"/>
    <cellStyle name="20% - Accent5 2 2 5 5 2" xfId="28657" xr:uid="{00000000-0005-0000-0000-00007E1E0000}"/>
    <cellStyle name="20% - Accent5 2 2 5 6" xfId="24098" xr:uid="{00000000-0005-0000-0000-00007F1E0000}"/>
    <cellStyle name="20% - Accent5 2 2 6" xfId="4932" xr:uid="{00000000-0005-0000-0000-0000801E0000}"/>
    <cellStyle name="20% - Accent5 2 2 6 2" xfId="6094" xr:uid="{00000000-0005-0000-0000-0000811E0000}"/>
    <cellStyle name="20% - Accent5 2 2 6 2 2" xfId="7225" xr:uid="{00000000-0005-0000-0000-0000821E0000}"/>
    <cellStyle name="20% - Accent5 2 2 6 2 2 2" xfId="11561" xr:uid="{00000000-0005-0000-0000-0000831E0000}"/>
    <cellStyle name="20% - Accent5 2 2 6 2 2 2 2" xfId="31031" xr:uid="{00000000-0005-0000-0000-0000841E0000}"/>
    <cellStyle name="20% - Accent5 2 2 6 2 2 3" xfId="26709" xr:uid="{00000000-0005-0000-0000-0000851E0000}"/>
    <cellStyle name="20% - Accent5 2 2 6 2 3" xfId="10512" xr:uid="{00000000-0005-0000-0000-0000861E0000}"/>
    <cellStyle name="20% - Accent5 2 2 6 2 3 2" xfId="29982" xr:uid="{00000000-0005-0000-0000-0000871E0000}"/>
    <cellStyle name="20% - Accent5 2 2 6 2 4" xfId="25579" xr:uid="{00000000-0005-0000-0000-0000881E0000}"/>
    <cellStyle name="20% - Accent5 2 2 6 3" xfId="7224" xr:uid="{00000000-0005-0000-0000-0000891E0000}"/>
    <cellStyle name="20% - Accent5 2 2 6 3 2" xfId="11560" xr:uid="{00000000-0005-0000-0000-00008A1E0000}"/>
    <cellStyle name="20% - Accent5 2 2 6 3 2 2" xfId="31030" xr:uid="{00000000-0005-0000-0000-00008B1E0000}"/>
    <cellStyle name="20% - Accent5 2 2 6 3 3" xfId="26708" xr:uid="{00000000-0005-0000-0000-00008C1E0000}"/>
    <cellStyle name="20% - Accent5 2 2 6 4" xfId="9452" xr:uid="{00000000-0005-0000-0000-00008D1E0000}"/>
    <cellStyle name="20% - Accent5 2 2 6 4 2" xfId="28922" xr:uid="{00000000-0005-0000-0000-00008E1E0000}"/>
    <cellStyle name="20% - Accent5 2 2 6 5" xfId="24426" xr:uid="{00000000-0005-0000-0000-00008F1E0000}"/>
    <cellStyle name="20% - Accent5 2 2 7" xfId="5536" xr:uid="{00000000-0005-0000-0000-0000901E0000}"/>
    <cellStyle name="20% - Accent5 2 2 7 2" xfId="7226" xr:uid="{00000000-0005-0000-0000-0000911E0000}"/>
    <cellStyle name="20% - Accent5 2 2 7 2 2" xfId="11562" xr:uid="{00000000-0005-0000-0000-0000921E0000}"/>
    <cellStyle name="20% - Accent5 2 2 7 2 2 2" xfId="31032" xr:uid="{00000000-0005-0000-0000-0000931E0000}"/>
    <cellStyle name="20% - Accent5 2 2 7 2 3" xfId="26710" xr:uid="{00000000-0005-0000-0000-0000941E0000}"/>
    <cellStyle name="20% - Accent5 2 2 7 3" xfId="9982" xr:uid="{00000000-0005-0000-0000-0000951E0000}"/>
    <cellStyle name="20% - Accent5 2 2 7 3 2" xfId="29452" xr:uid="{00000000-0005-0000-0000-0000961E0000}"/>
    <cellStyle name="20% - Accent5 2 2 7 4" xfId="25024" xr:uid="{00000000-0005-0000-0000-0000971E0000}"/>
    <cellStyle name="20% - Accent5 2 2 8" xfId="7179" xr:uid="{00000000-0005-0000-0000-0000981E0000}"/>
    <cellStyle name="20% - Accent5 2 2 8 2" xfId="11515" xr:uid="{00000000-0005-0000-0000-0000991E0000}"/>
    <cellStyle name="20% - Accent5 2 2 8 2 2" xfId="30985" xr:uid="{00000000-0005-0000-0000-00009A1E0000}"/>
    <cellStyle name="20% - Accent5 2 2 8 3" xfId="26663" xr:uid="{00000000-0005-0000-0000-00009B1E0000}"/>
    <cellStyle name="20% - Accent5 2 2 9" xfId="8918" xr:uid="{00000000-0005-0000-0000-00009C1E0000}"/>
    <cellStyle name="20% - Accent5 2 2 9 2" xfId="28392" xr:uid="{00000000-0005-0000-0000-00009D1E0000}"/>
    <cellStyle name="20% - Accent5 2 3" xfId="2704" xr:uid="{00000000-0005-0000-0000-00009E1E0000}"/>
    <cellStyle name="20% - Accent5 2 3 10" xfId="23564" xr:uid="{00000000-0005-0000-0000-00009F1E0000}"/>
    <cellStyle name="20% - Accent5 2 3 2" xfId="2872" xr:uid="{00000000-0005-0000-0000-0000A01E0000}"/>
    <cellStyle name="20% - Accent5 2 3 2 2" xfId="3066" xr:uid="{00000000-0005-0000-0000-0000A11E0000}"/>
    <cellStyle name="20% - Accent5 2 3 2 2 2" xfId="4693" xr:uid="{00000000-0005-0000-0000-0000A21E0000}"/>
    <cellStyle name="20% - Accent5 2 3 2 2 2 2" xfId="5327" xr:uid="{00000000-0005-0000-0000-0000A31E0000}"/>
    <cellStyle name="20% - Accent5 2 3 2 2 2 2 2" xfId="6461" xr:uid="{00000000-0005-0000-0000-0000A41E0000}"/>
    <cellStyle name="20% - Accent5 2 3 2 2 2 2 2 2" xfId="7232" xr:uid="{00000000-0005-0000-0000-0000A51E0000}"/>
    <cellStyle name="20% - Accent5 2 3 2 2 2 2 2 2 2" xfId="11568" xr:uid="{00000000-0005-0000-0000-0000A61E0000}"/>
    <cellStyle name="20% - Accent5 2 3 2 2 2 2 2 2 2 2" xfId="31038" xr:uid="{00000000-0005-0000-0000-0000A71E0000}"/>
    <cellStyle name="20% - Accent5 2 3 2 2 2 2 2 2 3" xfId="26716" xr:uid="{00000000-0005-0000-0000-0000A81E0000}"/>
    <cellStyle name="20% - Accent5 2 3 2 2 2 2 2 3" xfId="10877" xr:uid="{00000000-0005-0000-0000-0000A91E0000}"/>
    <cellStyle name="20% - Accent5 2 3 2 2 2 2 2 3 2" xfId="30347" xr:uid="{00000000-0005-0000-0000-0000AA1E0000}"/>
    <cellStyle name="20% - Accent5 2 3 2 2 2 2 2 4" xfId="25946" xr:uid="{00000000-0005-0000-0000-0000AB1E0000}"/>
    <cellStyle name="20% - Accent5 2 3 2 2 2 2 3" xfId="7231" xr:uid="{00000000-0005-0000-0000-0000AC1E0000}"/>
    <cellStyle name="20% - Accent5 2 3 2 2 2 2 3 2" xfId="11567" xr:uid="{00000000-0005-0000-0000-0000AD1E0000}"/>
    <cellStyle name="20% - Accent5 2 3 2 2 2 2 3 2 2" xfId="31037" xr:uid="{00000000-0005-0000-0000-0000AE1E0000}"/>
    <cellStyle name="20% - Accent5 2 3 2 2 2 2 3 3" xfId="26715" xr:uid="{00000000-0005-0000-0000-0000AF1E0000}"/>
    <cellStyle name="20% - Accent5 2 3 2 2 2 2 4" xfId="9816" xr:uid="{00000000-0005-0000-0000-0000B01E0000}"/>
    <cellStyle name="20% - Accent5 2 3 2 2 2 2 4 2" xfId="29286" xr:uid="{00000000-0005-0000-0000-0000B11E0000}"/>
    <cellStyle name="20% - Accent5 2 3 2 2 2 2 5" xfId="24818" xr:uid="{00000000-0005-0000-0000-0000B21E0000}"/>
    <cellStyle name="20% - Accent5 2 3 2 2 2 3" xfId="5924" xr:uid="{00000000-0005-0000-0000-0000B31E0000}"/>
    <cellStyle name="20% - Accent5 2 3 2 2 2 3 2" xfId="7233" xr:uid="{00000000-0005-0000-0000-0000B41E0000}"/>
    <cellStyle name="20% - Accent5 2 3 2 2 2 3 2 2" xfId="11569" xr:uid="{00000000-0005-0000-0000-0000B51E0000}"/>
    <cellStyle name="20% - Accent5 2 3 2 2 2 3 2 2 2" xfId="31039" xr:uid="{00000000-0005-0000-0000-0000B61E0000}"/>
    <cellStyle name="20% - Accent5 2 3 2 2 2 3 2 3" xfId="26717" xr:uid="{00000000-0005-0000-0000-0000B71E0000}"/>
    <cellStyle name="20% - Accent5 2 3 2 2 2 3 3" xfId="10346" xr:uid="{00000000-0005-0000-0000-0000B81E0000}"/>
    <cellStyle name="20% - Accent5 2 3 2 2 2 3 3 2" xfId="29816" xr:uid="{00000000-0005-0000-0000-0000B91E0000}"/>
    <cellStyle name="20% - Accent5 2 3 2 2 2 3 4" xfId="25409" xr:uid="{00000000-0005-0000-0000-0000BA1E0000}"/>
    <cellStyle name="20% - Accent5 2 3 2 2 2 4" xfId="7230" xr:uid="{00000000-0005-0000-0000-0000BB1E0000}"/>
    <cellStyle name="20% - Accent5 2 3 2 2 2 4 2" xfId="11566" xr:uid="{00000000-0005-0000-0000-0000BC1E0000}"/>
    <cellStyle name="20% - Accent5 2 3 2 2 2 4 2 2" xfId="31036" xr:uid="{00000000-0005-0000-0000-0000BD1E0000}"/>
    <cellStyle name="20% - Accent5 2 3 2 2 2 4 3" xfId="26714" xr:uid="{00000000-0005-0000-0000-0000BE1E0000}"/>
    <cellStyle name="20% - Accent5 2 3 2 2 2 5" xfId="9286" xr:uid="{00000000-0005-0000-0000-0000BF1E0000}"/>
    <cellStyle name="20% - Accent5 2 3 2 2 2 5 2" xfId="28756" xr:uid="{00000000-0005-0000-0000-0000C01E0000}"/>
    <cellStyle name="20% - Accent5 2 3 2 2 2 6" xfId="24204" xr:uid="{00000000-0005-0000-0000-0000C11E0000}"/>
    <cellStyle name="20% - Accent5 2 3 2 2 3" xfId="5031" xr:uid="{00000000-0005-0000-0000-0000C21E0000}"/>
    <cellStyle name="20% - Accent5 2 3 2 2 3 2" xfId="6193" xr:uid="{00000000-0005-0000-0000-0000C31E0000}"/>
    <cellStyle name="20% - Accent5 2 3 2 2 3 2 2" xfId="7235" xr:uid="{00000000-0005-0000-0000-0000C41E0000}"/>
    <cellStyle name="20% - Accent5 2 3 2 2 3 2 2 2" xfId="11571" xr:uid="{00000000-0005-0000-0000-0000C51E0000}"/>
    <cellStyle name="20% - Accent5 2 3 2 2 3 2 2 2 2" xfId="31041" xr:uid="{00000000-0005-0000-0000-0000C61E0000}"/>
    <cellStyle name="20% - Accent5 2 3 2 2 3 2 2 3" xfId="26719" xr:uid="{00000000-0005-0000-0000-0000C71E0000}"/>
    <cellStyle name="20% - Accent5 2 3 2 2 3 2 3" xfId="10611" xr:uid="{00000000-0005-0000-0000-0000C81E0000}"/>
    <cellStyle name="20% - Accent5 2 3 2 2 3 2 3 2" xfId="30081" xr:uid="{00000000-0005-0000-0000-0000C91E0000}"/>
    <cellStyle name="20% - Accent5 2 3 2 2 3 2 4" xfId="25678" xr:uid="{00000000-0005-0000-0000-0000CA1E0000}"/>
    <cellStyle name="20% - Accent5 2 3 2 2 3 3" xfId="7234" xr:uid="{00000000-0005-0000-0000-0000CB1E0000}"/>
    <cellStyle name="20% - Accent5 2 3 2 2 3 3 2" xfId="11570" xr:uid="{00000000-0005-0000-0000-0000CC1E0000}"/>
    <cellStyle name="20% - Accent5 2 3 2 2 3 3 2 2" xfId="31040" xr:uid="{00000000-0005-0000-0000-0000CD1E0000}"/>
    <cellStyle name="20% - Accent5 2 3 2 2 3 3 3" xfId="26718" xr:uid="{00000000-0005-0000-0000-0000CE1E0000}"/>
    <cellStyle name="20% - Accent5 2 3 2 2 3 4" xfId="9551" xr:uid="{00000000-0005-0000-0000-0000CF1E0000}"/>
    <cellStyle name="20% - Accent5 2 3 2 2 3 4 2" xfId="29021" xr:uid="{00000000-0005-0000-0000-0000D01E0000}"/>
    <cellStyle name="20% - Accent5 2 3 2 2 3 5" xfId="24525" xr:uid="{00000000-0005-0000-0000-0000D11E0000}"/>
    <cellStyle name="20% - Accent5 2 3 2 2 4" xfId="5636" xr:uid="{00000000-0005-0000-0000-0000D21E0000}"/>
    <cellStyle name="20% - Accent5 2 3 2 2 4 2" xfId="7236" xr:uid="{00000000-0005-0000-0000-0000D31E0000}"/>
    <cellStyle name="20% - Accent5 2 3 2 2 4 2 2" xfId="11572" xr:uid="{00000000-0005-0000-0000-0000D41E0000}"/>
    <cellStyle name="20% - Accent5 2 3 2 2 4 2 2 2" xfId="31042" xr:uid="{00000000-0005-0000-0000-0000D51E0000}"/>
    <cellStyle name="20% - Accent5 2 3 2 2 4 2 3" xfId="26720" xr:uid="{00000000-0005-0000-0000-0000D61E0000}"/>
    <cellStyle name="20% - Accent5 2 3 2 2 4 3" xfId="10081" xr:uid="{00000000-0005-0000-0000-0000D71E0000}"/>
    <cellStyle name="20% - Accent5 2 3 2 2 4 3 2" xfId="29551" xr:uid="{00000000-0005-0000-0000-0000D81E0000}"/>
    <cellStyle name="20% - Accent5 2 3 2 2 4 4" xfId="25123" xr:uid="{00000000-0005-0000-0000-0000D91E0000}"/>
    <cellStyle name="20% - Accent5 2 3 2 2 5" xfId="7229" xr:uid="{00000000-0005-0000-0000-0000DA1E0000}"/>
    <cellStyle name="20% - Accent5 2 3 2 2 5 2" xfId="11565" xr:uid="{00000000-0005-0000-0000-0000DB1E0000}"/>
    <cellStyle name="20% - Accent5 2 3 2 2 5 2 2" xfId="31035" xr:uid="{00000000-0005-0000-0000-0000DC1E0000}"/>
    <cellStyle name="20% - Accent5 2 3 2 2 5 3" xfId="26713" xr:uid="{00000000-0005-0000-0000-0000DD1E0000}"/>
    <cellStyle name="20% - Accent5 2 3 2 2 6" xfId="9017" xr:uid="{00000000-0005-0000-0000-0000DE1E0000}"/>
    <cellStyle name="20% - Accent5 2 3 2 2 6 2" xfId="28491" xr:uid="{00000000-0005-0000-0000-0000DF1E0000}"/>
    <cellStyle name="20% - Accent5 2 3 2 2 7" xfId="23875" xr:uid="{00000000-0005-0000-0000-0000E01E0000}"/>
    <cellStyle name="20% - Accent5 2 3 2 3" xfId="4265" xr:uid="{00000000-0005-0000-0000-0000E11E0000}"/>
    <cellStyle name="20% - Accent5 2 3 2 3 2" xfId="4840" xr:uid="{00000000-0005-0000-0000-0000E21E0000}"/>
    <cellStyle name="20% - Accent5 2 3 2 3 2 2" xfId="5465" xr:uid="{00000000-0005-0000-0000-0000E31E0000}"/>
    <cellStyle name="20% - Accent5 2 3 2 3 2 2 2" xfId="6593" xr:uid="{00000000-0005-0000-0000-0000E41E0000}"/>
    <cellStyle name="20% - Accent5 2 3 2 3 2 2 2 2" xfId="7240" xr:uid="{00000000-0005-0000-0000-0000E51E0000}"/>
    <cellStyle name="20% - Accent5 2 3 2 3 2 2 2 2 2" xfId="11576" xr:uid="{00000000-0005-0000-0000-0000E61E0000}"/>
    <cellStyle name="20% - Accent5 2 3 2 3 2 2 2 2 2 2" xfId="31046" xr:uid="{00000000-0005-0000-0000-0000E71E0000}"/>
    <cellStyle name="20% - Accent5 2 3 2 3 2 2 2 2 3" xfId="26724" xr:uid="{00000000-0005-0000-0000-0000E81E0000}"/>
    <cellStyle name="20% - Accent5 2 3 2 3 2 2 2 3" xfId="11009" xr:uid="{00000000-0005-0000-0000-0000E91E0000}"/>
    <cellStyle name="20% - Accent5 2 3 2 3 2 2 2 3 2" xfId="30479" xr:uid="{00000000-0005-0000-0000-0000EA1E0000}"/>
    <cellStyle name="20% - Accent5 2 3 2 3 2 2 2 4" xfId="26078" xr:uid="{00000000-0005-0000-0000-0000EB1E0000}"/>
    <cellStyle name="20% - Accent5 2 3 2 3 2 2 3" xfId="7239" xr:uid="{00000000-0005-0000-0000-0000EC1E0000}"/>
    <cellStyle name="20% - Accent5 2 3 2 3 2 2 3 2" xfId="11575" xr:uid="{00000000-0005-0000-0000-0000ED1E0000}"/>
    <cellStyle name="20% - Accent5 2 3 2 3 2 2 3 2 2" xfId="31045" xr:uid="{00000000-0005-0000-0000-0000EE1E0000}"/>
    <cellStyle name="20% - Accent5 2 3 2 3 2 2 3 3" xfId="26723" xr:uid="{00000000-0005-0000-0000-0000EF1E0000}"/>
    <cellStyle name="20% - Accent5 2 3 2 3 2 2 4" xfId="9948" xr:uid="{00000000-0005-0000-0000-0000F01E0000}"/>
    <cellStyle name="20% - Accent5 2 3 2 3 2 2 4 2" xfId="29418" xr:uid="{00000000-0005-0000-0000-0000F11E0000}"/>
    <cellStyle name="20% - Accent5 2 3 2 3 2 2 5" xfId="24956" xr:uid="{00000000-0005-0000-0000-0000F21E0000}"/>
    <cellStyle name="20% - Accent5 2 3 2 3 2 3" xfId="6058" xr:uid="{00000000-0005-0000-0000-0000F31E0000}"/>
    <cellStyle name="20% - Accent5 2 3 2 3 2 3 2" xfId="7241" xr:uid="{00000000-0005-0000-0000-0000F41E0000}"/>
    <cellStyle name="20% - Accent5 2 3 2 3 2 3 2 2" xfId="11577" xr:uid="{00000000-0005-0000-0000-0000F51E0000}"/>
    <cellStyle name="20% - Accent5 2 3 2 3 2 3 2 2 2" xfId="31047" xr:uid="{00000000-0005-0000-0000-0000F61E0000}"/>
    <cellStyle name="20% - Accent5 2 3 2 3 2 3 2 3" xfId="26725" xr:uid="{00000000-0005-0000-0000-0000F71E0000}"/>
    <cellStyle name="20% - Accent5 2 3 2 3 2 3 3" xfId="10478" xr:uid="{00000000-0005-0000-0000-0000F81E0000}"/>
    <cellStyle name="20% - Accent5 2 3 2 3 2 3 3 2" xfId="29948" xr:uid="{00000000-0005-0000-0000-0000F91E0000}"/>
    <cellStyle name="20% - Accent5 2 3 2 3 2 3 4" xfId="25543" xr:uid="{00000000-0005-0000-0000-0000FA1E0000}"/>
    <cellStyle name="20% - Accent5 2 3 2 3 2 4" xfId="7238" xr:uid="{00000000-0005-0000-0000-0000FB1E0000}"/>
    <cellStyle name="20% - Accent5 2 3 2 3 2 4 2" xfId="11574" xr:uid="{00000000-0005-0000-0000-0000FC1E0000}"/>
    <cellStyle name="20% - Accent5 2 3 2 3 2 4 2 2" xfId="31044" xr:uid="{00000000-0005-0000-0000-0000FD1E0000}"/>
    <cellStyle name="20% - Accent5 2 3 2 3 2 4 3" xfId="26722" xr:uid="{00000000-0005-0000-0000-0000FE1E0000}"/>
    <cellStyle name="20% - Accent5 2 3 2 3 2 5" xfId="9418" xr:uid="{00000000-0005-0000-0000-0000FF1E0000}"/>
    <cellStyle name="20% - Accent5 2 3 2 3 2 5 2" xfId="28888" xr:uid="{00000000-0005-0000-0000-0000001F0000}"/>
    <cellStyle name="20% - Accent5 2 3 2 3 2 6" xfId="24342" xr:uid="{00000000-0005-0000-0000-0000011F0000}"/>
    <cellStyle name="20% - Accent5 2 3 2 3 3" xfId="5170" xr:uid="{00000000-0005-0000-0000-0000021F0000}"/>
    <cellStyle name="20% - Accent5 2 3 2 3 3 2" xfId="6326" xr:uid="{00000000-0005-0000-0000-0000031F0000}"/>
    <cellStyle name="20% - Accent5 2 3 2 3 3 2 2" xfId="7243" xr:uid="{00000000-0005-0000-0000-0000041F0000}"/>
    <cellStyle name="20% - Accent5 2 3 2 3 3 2 2 2" xfId="11579" xr:uid="{00000000-0005-0000-0000-0000051F0000}"/>
    <cellStyle name="20% - Accent5 2 3 2 3 3 2 2 2 2" xfId="31049" xr:uid="{00000000-0005-0000-0000-0000061F0000}"/>
    <cellStyle name="20% - Accent5 2 3 2 3 3 2 2 3" xfId="26727" xr:uid="{00000000-0005-0000-0000-0000071F0000}"/>
    <cellStyle name="20% - Accent5 2 3 2 3 3 2 3" xfId="10743" xr:uid="{00000000-0005-0000-0000-0000081F0000}"/>
    <cellStyle name="20% - Accent5 2 3 2 3 3 2 3 2" xfId="30213" xr:uid="{00000000-0005-0000-0000-0000091F0000}"/>
    <cellStyle name="20% - Accent5 2 3 2 3 3 2 4" xfId="25811" xr:uid="{00000000-0005-0000-0000-00000A1F0000}"/>
    <cellStyle name="20% - Accent5 2 3 2 3 3 3" xfId="7242" xr:uid="{00000000-0005-0000-0000-00000B1F0000}"/>
    <cellStyle name="20% - Accent5 2 3 2 3 3 3 2" xfId="11578" xr:uid="{00000000-0005-0000-0000-00000C1F0000}"/>
    <cellStyle name="20% - Accent5 2 3 2 3 3 3 2 2" xfId="31048" xr:uid="{00000000-0005-0000-0000-00000D1F0000}"/>
    <cellStyle name="20% - Accent5 2 3 2 3 3 3 3" xfId="26726" xr:uid="{00000000-0005-0000-0000-00000E1F0000}"/>
    <cellStyle name="20% - Accent5 2 3 2 3 3 4" xfId="9683" xr:uid="{00000000-0005-0000-0000-00000F1F0000}"/>
    <cellStyle name="20% - Accent5 2 3 2 3 3 4 2" xfId="29153" xr:uid="{00000000-0005-0000-0000-0000101F0000}"/>
    <cellStyle name="20% - Accent5 2 3 2 3 3 5" xfId="24661" xr:uid="{00000000-0005-0000-0000-0000111F0000}"/>
    <cellStyle name="20% - Accent5 2 3 2 3 4" xfId="5779" xr:uid="{00000000-0005-0000-0000-0000121F0000}"/>
    <cellStyle name="20% - Accent5 2 3 2 3 4 2" xfId="7244" xr:uid="{00000000-0005-0000-0000-0000131F0000}"/>
    <cellStyle name="20% - Accent5 2 3 2 3 4 2 2" xfId="11580" xr:uid="{00000000-0005-0000-0000-0000141F0000}"/>
    <cellStyle name="20% - Accent5 2 3 2 3 4 2 2 2" xfId="31050" xr:uid="{00000000-0005-0000-0000-0000151F0000}"/>
    <cellStyle name="20% - Accent5 2 3 2 3 4 2 3" xfId="26728" xr:uid="{00000000-0005-0000-0000-0000161F0000}"/>
    <cellStyle name="20% - Accent5 2 3 2 3 4 3" xfId="10213" xr:uid="{00000000-0005-0000-0000-0000171F0000}"/>
    <cellStyle name="20% - Accent5 2 3 2 3 4 3 2" xfId="29683" xr:uid="{00000000-0005-0000-0000-0000181F0000}"/>
    <cellStyle name="20% - Accent5 2 3 2 3 4 4" xfId="25264" xr:uid="{00000000-0005-0000-0000-0000191F0000}"/>
    <cellStyle name="20% - Accent5 2 3 2 3 5" xfId="7237" xr:uid="{00000000-0005-0000-0000-00001A1F0000}"/>
    <cellStyle name="20% - Accent5 2 3 2 3 5 2" xfId="11573" xr:uid="{00000000-0005-0000-0000-00001B1F0000}"/>
    <cellStyle name="20% - Accent5 2 3 2 3 5 2 2" xfId="31043" xr:uid="{00000000-0005-0000-0000-00001C1F0000}"/>
    <cellStyle name="20% - Accent5 2 3 2 3 5 3" xfId="26721" xr:uid="{00000000-0005-0000-0000-00001D1F0000}"/>
    <cellStyle name="20% - Accent5 2 3 2 3 6" xfId="9152" xr:uid="{00000000-0005-0000-0000-00001E1F0000}"/>
    <cellStyle name="20% - Accent5 2 3 2 3 6 2" xfId="28623" xr:uid="{00000000-0005-0000-0000-00001F1F0000}"/>
    <cellStyle name="20% - Accent5 2 3 2 3 7" xfId="24041" xr:uid="{00000000-0005-0000-0000-0000201F0000}"/>
    <cellStyle name="20% - Accent5 2 3 2 4" xfId="4621" xr:uid="{00000000-0005-0000-0000-0000211F0000}"/>
    <cellStyle name="20% - Accent5 2 3 2 4 2" xfId="5261" xr:uid="{00000000-0005-0000-0000-0000221F0000}"/>
    <cellStyle name="20% - Accent5 2 3 2 4 2 2" xfId="6395" xr:uid="{00000000-0005-0000-0000-0000231F0000}"/>
    <cellStyle name="20% - Accent5 2 3 2 4 2 2 2" xfId="7247" xr:uid="{00000000-0005-0000-0000-0000241F0000}"/>
    <cellStyle name="20% - Accent5 2 3 2 4 2 2 2 2" xfId="11583" xr:uid="{00000000-0005-0000-0000-0000251F0000}"/>
    <cellStyle name="20% - Accent5 2 3 2 4 2 2 2 2 2" xfId="31053" xr:uid="{00000000-0005-0000-0000-0000261F0000}"/>
    <cellStyle name="20% - Accent5 2 3 2 4 2 2 2 3" xfId="26731" xr:uid="{00000000-0005-0000-0000-0000271F0000}"/>
    <cellStyle name="20% - Accent5 2 3 2 4 2 2 3" xfId="10811" xr:uid="{00000000-0005-0000-0000-0000281F0000}"/>
    <cellStyle name="20% - Accent5 2 3 2 4 2 2 3 2" xfId="30281" xr:uid="{00000000-0005-0000-0000-0000291F0000}"/>
    <cellStyle name="20% - Accent5 2 3 2 4 2 2 4" xfId="25880" xr:uid="{00000000-0005-0000-0000-00002A1F0000}"/>
    <cellStyle name="20% - Accent5 2 3 2 4 2 3" xfId="7246" xr:uid="{00000000-0005-0000-0000-00002B1F0000}"/>
    <cellStyle name="20% - Accent5 2 3 2 4 2 3 2" xfId="11582" xr:uid="{00000000-0005-0000-0000-00002C1F0000}"/>
    <cellStyle name="20% - Accent5 2 3 2 4 2 3 2 2" xfId="31052" xr:uid="{00000000-0005-0000-0000-00002D1F0000}"/>
    <cellStyle name="20% - Accent5 2 3 2 4 2 3 3" xfId="26730" xr:uid="{00000000-0005-0000-0000-00002E1F0000}"/>
    <cellStyle name="20% - Accent5 2 3 2 4 2 4" xfId="9750" xr:uid="{00000000-0005-0000-0000-00002F1F0000}"/>
    <cellStyle name="20% - Accent5 2 3 2 4 2 4 2" xfId="29220" xr:uid="{00000000-0005-0000-0000-0000301F0000}"/>
    <cellStyle name="20% - Accent5 2 3 2 4 2 5" xfId="24752" xr:uid="{00000000-0005-0000-0000-0000311F0000}"/>
    <cellStyle name="20% - Accent5 2 3 2 4 3" xfId="5858" xr:uid="{00000000-0005-0000-0000-0000321F0000}"/>
    <cellStyle name="20% - Accent5 2 3 2 4 3 2" xfId="7248" xr:uid="{00000000-0005-0000-0000-0000331F0000}"/>
    <cellStyle name="20% - Accent5 2 3 2 4 3 2 2" xfId="11584" xr:uid="{00000000-0005-0000-0000-0000341F0000}"/>
    <cellStyle name="20% - Accent5 2 3 2 4 3 2 2 2" xfId="31054" xr:uid="{00000000-0005-0000-0000-0000351F0000}"/>
    <cellStyle name="20% - Accent5 2 3 2 4 3 2 3" xfId="26732" xr:uid="{00000000-0005-0000-0000-0000361F0000}"/>
    <cellStyle name="20% - Accent5 2 3 2 4 3 3" xfId="10280" xr:uid="{00000000-0005-0000-0000-0000371F0000}"/>
    <cellStyle name="20% - Accent5 2 3 2 4 3 3 2" xfId="29750" xr:uid="{00000000-0005-0000-0000-0000381F0000}"/>
    <cellStyle name="20% - Accent5 2 3 2 4 3 4" xfId="25343" xr:uid="{00000000-0005-0000-0000-0000391F0000}"/>
    <cellStyle name="20% - Accent5 2 3 2 4 4" xfId="7245" xr:uid="{00000000-0005-0000-0000-00003A1F0000}"/>
    <cellStyle name="20% - Accent5 2 3 2 4 4 2" xfId="11581" xr:uid="{00000000-0005-0000-0000-00003B1F0000}"/>
    <cellStyle name="20% - Accent5 2 3 2 4 4 2 2" xfId="31051" xr:uid="{00000000-0005-0000-0000-00003C1F0000}"/>
    <cellStyle name="20% - Accent5 2 3 2 4 4 3" xfId="26729" xr:uid="{00000000-0005-0000-0000-00003D1F0000}"/>
    <cellStyle name="20% - Accent5 2 3 2 4 5" xfId="9220" xr:uid="{00000000-0005-0000-0000-00003E1F0000}"/>
    <cellStyle name="20% - Accent5 2 3 2 4 5 2" xfId="28690" xr:uid="{00000000-0005-0000-0000-00003F1F0000}"/>
    <cellStyle name="20% - Accent5 2 3 2 4 6" xfId="24132" xr:uid="{00000000-0005-0000-0000-0000401F0000}"/>
    <cellStyle name="20% - Accent5 2 3 2 5" xfId="4965" xr:uid="{00000000-0005-0000-0000-0000411F0000}"/>
    <cellStyle name="20% - Accent5 2 3 2 5 2" xfId="6127" xr:uid="{00000000-0005-0000-0000-0000421F0000}"/>
    <cellStyle name="20% - Accent5 2 3 2 5 2 2" xfId="7250" xr:uid="{00000000-0005-0000-0000-0000431F0000}"/>
    <cellStyle name="20% - Accent5 2 3 2 5 2 2 2" xfId="11586" xr:uid="{00000000-0005-0000-0000-0000441F0000}"/>
    <cellStyle name="20% - Accent5 2 3 2 5 2 2 2 2" xfId="31056" xr:uid="{00000000-0005-0000-0000-0000451F0000}"/>
    <cellStyle name="20% - Accent5 2 3 2 5 2 2 3" xfId="26734" xr:uid="{00000000-0005-0000-0000-0000461F0000}"/>
    <cellStyle name="20% - Accent5 2 3 2 5 2 3" xfId="10545" xr:uid="{00000000-0005-0000-0000-0000471F0000}"/>
    <cellStyle name="20% - Accent5 2 3 2 5 2 3 2" xfId="30015" xr:uid="{00000000-0005-0000-0000-0000481F0000}"/>
    <cellStyle name="20% - Accent5 2 3 2 5 2 4" xfId="25612" xr:uid="{00000000-0005-0000-0000-0000491F0000}"/>
    <cellStyle name="20% - Accent5 2 3 2 5 3" xfId="7249" xr:uid="{00000000-0005-0000-0000-00004A1F0000}"/>
    <cellStyle name="20% - Accent5 2 3 2 5 3 2" xfId="11585" xr:uid="{00000000-0005-0000-0000-00004B1F0000}"/>
    <cellStyle name="20% - Accent5 2 3 2 5 3 2 2" xfId="31055" xr:uid="{00000000-0005-0000-0000-00004C1F0000}"/>
    <cellStyle name="20% - Accent5 2 3 2 5 3 3" xfId="26733" xr:uid="{00000000-0005-0000-0000-00004D1F0000}"/>
    <cellStyle name="20% - Accent5 2 3 2 5 4" xfId="9485" xr:uid="{00000000-0005-0000-0000-00004E1F0000}"/>
    <cellStyle name="20% - Accent5 2 3 2 5 4 2" xfId="28955" xr:uid="{00000000-0005-0000-0000-00004F1F0000}"/>
    <cellStyle name="20% - Accent5 2 3 2 5 5" xfId="24459" xr:uid="{00000000-0005-0000-0000-0000501F0000}"/>
    <cellStyle name="20% - Accent5 2 3 2 6" xfId="5570" xr:uid="{00000000-0005-0000-0000-0000511F0000}"/>
    <cellStyle name="20% - Accent5 2 3 2 6 2" xfId="7251" xr:uid="{00000000-0005-0000-0000-0000521F0000}"/>
    <cellStyle name="20% - Accent5 2 3 2 6 2 2" xfId="11587" xr:uid="{00000000-0005-0000-0000-0000531F0000}"/>
    <cellStyle name="20% - Accent5 2 3 2 6 2 2 2" xfId="31057" xr:uid="{00000000-0005-0000-0000-0000541F0000}"/>
    <cellStyle name="20% - Accent5 2 3 2 6 2 3" xfId="26735" xr:uid="{00000000-0005-0000-0000-0000551F0000}"/>
    <cellStyle name="20% - Accent5 2 3 2 6 3" xfId="10015" xr:uid="{00000000-0005-0000-0000-0000561F0000}"/>
    <cellStyle name="20% - Accent5 2 3 2 6 3 2" xfId="29485" xr:uid="{00000000-0005-0000-0000-0000571F0000}"/>
    <cellStyle name="20% - Accent5 2 3 2 6 4" xfId="25057" xr:uid="{00000000-0005-0000-0000-0000581F0000}"/>
    <cellStyle name="20% - Accent5 2 3 2 7" xfId="7228" xr:uid="{00000000-0005-0000-0000-0000591F0000}"/>
    <cellStyle name="20% - Accent5 2 3 2 7 2" xfId="11564" xr:uid="{00000000-0005-0000-0000-00005A1F0000}"/>
    <cellStyle name="20% - Accent5 2 3 2 7 2 2" xfId="31034" xr:uid="{00000000-0005-0000-0000-00005B1F0000}"/>
    <cellStyle name="20% - Accent5 2 3 2 7 3" xfId="26712" xr:uid="{00000000-0005-0000-0000-00005C1F0000}"/>
    <cellStyle name="20% - Accent5 2 3 2 8" xfId="8951" xr:uid="{00000000-0005-0000-0000-00005D1F0000}"/>
    <cellStyle name="20% - Accent5 2 3 2 8 2" xfId="28425" xr:uid="{00000000-0005-0000-0000-00005E1F0000}"/>
    <cellStyle name="20% - Accent5 2 3 2 9" xfId="23683" xr:uid="{00000000-0005-0000-0000-00005F1F0000}"/>
    <cellStyle name="20% - Accent5 2 3 3" xfId="2948" xr:uid="{00000000-0005-0000-0000-0000601F0000}"/>
    <cellStyle name="20% - Accent5 2 3 3 2" xfId="4655" xr:uid="{00000000-0005-0000-0000-0000611F0000}"/>
    <cellStyle name="20% - Accent5 2 3 3 2 2" xfId="5295" xr:uid="{00000000-0005-0000-0000-0000621F0000}"/>
    <cellStyle name="20% - Accent5 2 3 3 2 2 2" xfId="6429" xr:uid="{00000000-0005-0000-0000-0000631F0000}"/>
    <cellStyle name="20% - Accent5 2 3 3 2 2 2 2" xfId="7255" xr:uid="{00000000-0005-0000-0000-0000641F0000}"/>
    <cellStyle name="20% - Accent5 2 3 3 2 2 2 2 2" xfId="11591" xr:uid="{00000000-0005-0000-0000-0000651F0000}"/>
    <cellStyle name="20% - Accent5 2 3 3 2 2 2 2 2 2" xfId="31061" xr:uid="{00000000-0005-0000-0000-0000661F0000}"/>
    <cellStyle name="20% - Accent5 2 3 3 2 2 2 2 3" xfId="26739" xr:uid="{00000000-0005-0000-0000-0000671F0000}"/>
    <cellStyle name="20% - Accent5 2 3 3 2 2 2 3" xfId="10845" xr:uid="{00000000-0005-0000-0000-0000681F0000}"/>
    <cellStyle name="20% - Accent5 2 3 3 2 2 2 3 2" xfId="30315" xr:uid="{00000000-0005-0000-0000-0000691F0000}"/>
    <cellStyle name="20% - Accent5 2 3 3 2 2 2 4" xfId="25914" xr:uid="{00000000-0005-0000-0000-00006A1F0000}"/>
    <cellStyle name="20% - Accent5 2 3 3 2 2 3" xfId="7254" xr:uid="{00000000-0005-0000-0000-00006B1F0000}"/>
    <cellStyle name="20% - Accent5 2 3 3 2 2 3 2" xfId="11590" xr:uid="{00000000-0005-0000-0000-00006C1F0000}"/>
    <cellStyle name="20% - Accent5 2 3 3 2 2 3 2 2" xfId="31060" xr:uid="{00000000-0005-0000-0000-00006D1F0000}"/>
    <cellStyle name="20% - Accent5 2 3 3 2 2 3 3" xfId="26738" xr:uid="{00000000-0005-0000-0000-00006E1F0000}"/>
    <cellStyle name="20% - Accent5 2 3 3 2 2 4" xfId="9784" xr:uid="{00000000-0005-0000-0000-00006F1F0000}"/>
    <cellStyle name="20% - Accent5 2 3 3 2 2 4 2" xfId="29254" xr:uid="{00000000-0005-0000-0000-0000701F0000}"/>
    <cellStyle name="20% - Accent5 2 3 3 2 2 5" xfId="24786" xr:uid="{00000000-0005-0000-0000-0000711F0000}"/>
    <cellStyle name="20% - Accent5 2 3 3 2 3" xfId="5892" xr:uid="{00000000-0005-0000-0000-0000721F0000}"/>
    <cellStyle name="20% - Accent5 2 3 3 2 3 2" xfId="7256" xr:uid="{00000000-0005-0000-0000-0000731F0000}"/>
    <cellStyle name="20% - Accent5 2 3 3 2 3 2 2" xfId="11592" xr:uid="{00000000-0005-0000-0000-0000741F0000}"/>
    <cellStyle name="20% - Accent5 2 3 3 2 3 2 2 2" xfId="31062" xr:uid="{00000000-0005-0000-0000-0000751F0000}"/>
    <cellStyle name="20% - Accent5 2 3 3 2 3 2 3" xfId="26740" xr:uid="{00000000-0005-0000-0000-0000761F0000}"/>
    <cellStyle name="20% - Accent5 2 3 3 2 3 3" xfId="10314" xr:uid="{00000000-0005-0000-0000-0000771F0000}"/>
    <cellStyle name="20% - Accent5 2 3 3 2 3 3 2" xfId="29784" xr:uid="{00000000-0005-0000-0000-0000781F0000}"/>
    <cellStyle name="20% - Accent5 2 3 3 2 3 4" xfId="25377" xr:uid="{00000000-0005-0000-0000-0000791F0000}"/>
    <cellStyle name="20% - Accent5 2 3 3 2 4" xfId="7253" xr:uid="{00000000-0005-0000-0000-00007A1F0000}"/>
    <cellStyle name="20% - Accent5 2 3 3 2 4 2" xfId="11589" xr:uid="{00000000-0005-0000-0000-00007B1F0000}"/>
    <cellStyle name="20% - Accent5 2 3 3 2 4 2 2" xfId="31059" xr:uid="{00000000-0005-0000-0000-00007C1F0000}"/>
    <cellStyle name="20% - Accent5 2 3 3 2 4 3" xfId="26737" xr:uid="{00000000-0005-0000-0000-00007D1F0000}"/>
    <cellStyle name="20% - Accent5 2 3 3 2 5" xfId="9254" xr:uid="{00000000-0005-0000-0000-00007E1F0000}"/>
    <cellStyle name="20% - Accent5 2 3 3 2 5 2" xfId="28724" xr:uid="{00000000-0005-0000-0000-00007F1F0000}"/>
    <cellStyle name="20% - Accent5 2 3 3 2 6" xfId="24166" xr:uid="{00000000-0005-0000-0000-0000801F0000}"/>
    <cellStyle name="20% - Accent5 2 3 3 3" xfId="4999" xr:uid="{00000000-0005-0000-0000-0000811F0000}"/>
    <cellStyle name="20% - Accent5 2 3 3 3 2" xfId="6161" xr:uid="{00000000-0005-0000-0000-0000821F0000}"/>
    <cellStyle name="20% - Accent5 2 3 3 3 2 2" xfId="7258" xr:uid="{00000000-0005-0000-0000-0000831F0000}"/>
    <cellStyle name="20% - Accent5 2 3 3 3 2 2 2" xfId="11594" xr:uid="{00000000-0005-0000-0000-0000841F0000}"/>
    <cellStyle name="20% - Accent5 2 3 3 3 2 2 2 2" xfId="31064" xr:uid="{00000000-0005-0000-0000-0000851F0000}"/>
    <cellStyle name="20% - Accent5 2 3 3 3 2 2 3" xfId="26742" xr:uid="{00000000-0005-0000-0000-0000861F0000}"/>
    <cellStyle name="20% - Accent5 2 3 3 3 2 3" xfId="10579" xr:uid="{00000000-0005-0000-0000-0000871F0000}"/>
    <cellStyle name="20% - Accent5 2 3 3 3 2 3 2" xfId="30049" xr:uid="{00000000-0005-0000-0000-0000881F0000}"/>
    <cellStyle name="20% - Accent5 2 3 3 3 2 4" xfId="25646" xr:uid="{00000000-0005-0000-0000-0000891F0000}"/>
    <cellStyle name="20% - Accent5 2 3 3 3 3" xfId="7257" xr:uid="{00000000-0005-0000-0000-00008A1F0000}"/>
    <cellStyle name="20% - Accent5 2 3 3 3 3 2" xfId="11593" xr:uid="{00000000-0005-0000-0000-00008B1F0000}"/>
    <cellStyle name="20% - Accent5 2 3 3 3 3 2 2" xfId="31063" xr:uid="{00000000-0005-0000-0000-00008C1F0000}"/>
    <cellStyle name="20% - Accent5 2 3 3 3 3 3" xfId="26741" xr:uid="{00000000-0005-0000-0000-00008D1F0000}"/>
    <cellStyle name="20% - Accent5 2 3 3 3 4" xfId="9519" xr:uid="{00000000-0005-0000-0000-00008E1F0000}"/>
    <cellStyle name="20% - Accent5 2 3 3 3 4 2" xfId="28989" xr:uid="{00000000-0005-0000-0000-00008F1F0000}"/>
    <cellStyle name="20% - Accent5 2 3 3 3 5" xfId="24493" xr:uid="{00000000-0005-0000-0000-0000901F0000}"/>
    <cellStyle name="20% - Accent5 2 3 3 4" xfId="5604" xr:uid="{00000000-0005-0000-0000-0000911F0000}"/>
    <cellStyle name="20% - Accent5 2 3 3 4 2" xfId="7259" xr:uid="{00000000-0005-0000-0000-0000921F0000}"/>
    <cellStyle name="20% - Accent5 2 3 3 4 2 2" xfId="11595" xr:uid="{00000000-0005-0000-0000-0000931F0000}"/>
    <cellStyle name="20% - Accent5 2 3 3 4 2 2 2" xfId="31065" xr:uid="{00000000-0005-0000-0000-0000941F0000}"/>
    <cellStyle name="20% - Accent5 2 3 3 4 2 3" xfId="26743" xr:uid="{00000000-0005-0000-0000-0000951F0000}"/>
    <cellStyle name="20% - Accent5 2 3 3 4 3" xfId="10049" xr:uid="{00000000-0005-0000-0000-0000961F0000}"/>
    <cellStyle name="20% - Accent5 2 3 3 4 3 2" xfId="29519" xr:uid="{00000000-0005-0000-0000-0000971F0000}"/>
    <cellStyle name="20% - Accent5 2 3 3 4 4" xfId="25091" xr:uid="{00000000-0005-0000-0000-0000981F0000}"/>
    <cellStyle name="20% - Accent5 2 3 3 5" xfId="7252" xr:uid="{00000000-0005-0000-0000-0000991F0000}"/>
    <cellStyle name="20% - Accent5 2 3 3 5 2" xfId="11588" xr:uid="{00000000-0005-0000-0000-00009A1F0000}"/>
    <cellStyle name="20% - Accent5 2 3 3 5 2 2" xfId="31058" xr:uid="{00000000-0005-0000-0000-00009B1F0000}"/>
    <cellStyle name="20% - Accent5 2 3 3 5 3" xfId="26736" xr:uid="{00000000-0005-0000-0000-00009C1F0000}"/>
    <cellStyle name="20% - Accent5 2 3 3 6" xfId="8985" xr:uid="{00000000-0005-0000-0000-00009D1F0000}"/>
    <cellStyle name="20% - Accent5 2 3 3 6 2" xfId="28459" xr:uid="{00000000-0005-0000-0000-00009E1F0000}"/>
    <cellStyle name="20% - Accent5 2 3 3 7" xfId="23757" xr:uid="{00000000-0005-0000-0000-00009F1F0000}"/>
    <cellStyle name="20% - Accent5 2 3 4" xfId="4193" xr:uid="{00000000-0005-0000-0000-0000A01F0000}"/>
    <cellStyle name="20% - Accent5 2 3 4 2" xfId="4785" xr:uid="{00000000-0005-0000-0000-0000A11F0000}"/>
    <cellStyle name="20% - Accent5 2 3 4 2 2" xfId="5411" xr:uid="{00000000-0005-0000-0000-0000A21F0000}"/>
    <cellStyle name="20% - Accent5 2 3 4 2 2 2" xfId="6539" xr:uid="{00000000-0005-0000-0000-0000A31F0000}"/>
    <cellStyle name="20% - Accent5 2 3 4 2 2 2 2" xfId="7263" xr:uid="{00000000-0005-0000-0000-0000A41F0000}"/>
    <cellStyle name="20% - Accent5 2 3 4 2 2 2 2 2" xfId="11599" xr:uid="{00000000-0005-0000-0000-0000A51F0000}"/>
    <cellStyle name="20% - Accent5 2 3 4 2 2 2 2 2 2" xfId="31069" xr:uid="{00000000-0005-0000-0000-0000A61F0000}"/>
    <cellStyle name="20% - Accent5 2 3 4 2 2 2 2 3" xfId="26747" xr:uid="{00000000-0005-0000-0000-0000A71F0000}"/>
    <cellStyle name="20% - Accent5 2 3 4 2 2 2 3" xfId="10955" xr:uid="{00000000-0005-0000-0000-0000A81F0000}"/>
    <cellStyle name="20% - Accent5 2 3 4 2 2 2 3 2" xfId="30425" xr:uid="{00000000-0005-0000-0000-0000A91F0000}"/>
    <cellStyle name="20% - Accent5 2 3 4 2 2 2 4" xfId="26024" xr:uid="{00000000-0005-0000-0000-0000AA1F0000}"/>
    <cellStyle name="20% - Accent5 2 3 4 2 2 3" xfId="7262" xr:uid="{00000000-0005-0000-0000-0000AB1F0000}"/>
    <cellStyle name="20% - Accent5 2 3 4 2 2 3 2" xfId="11598" xr:uid="{00000000-0005-0000-0000-0000AC1F0000}"/>
    <cellStyle name="20% - Accent5 2 3 4 2 2 3 2 2" xfId="31068" xr:uid="{00000000-0005-0000-0000-0000AD1F0000}"/>
    <cellStyle name="20% - Accent5 2 3 4 2 2 3 3" xfId="26746" xr:uid="{00000000-0005-0000-0000-0000AE1F0000}"/>
    <cellStyle name="20% - Accent5 2 3 4 2 2 4" xfId="9894" xr:uid="{00000000-0005-0000-0000-0000AF1F0000}"/>
    <cellStyle name="20% - Accent5 2 3 4 2 2 4 2" xfId="29364" xr:uid="{00000000-0005-0000-0000-0000B01F0000}"/>
    <cellStyle name="20% - Accent5 2 3 4 2 2 5" xfId="24902" xr:uid="{00000000-0005-0000-0000-0000B11F0000}"/>
    <cellStyle name="20% - Accent5 2 3 4 2 3" xfId="6003" xr:uid="{00000000-0005-0000-0000-0000B21F0000}"/>
    <cellStyle name="20% - Accent5 2 3 4 2 3 2" xfId="7264" xr:uid="{00000000-0005-0000-0000-0000B31F0000}"/>
    <cellStyle name="20% - Accent5 2 3 4 2 3 2 2" xfId="11600" xr:uid="{00000000-0005-0000-0000-0000B41F0000}"/>
    <cellStyle name="20% - Accent5 2 3 4 2 3 2 2 2" xfId="31070" xr:uid="{00000000-0005-0000-0000-0000B51F0000}"/>
    <cellStyle name="20% - Accent5 2 3 4 2 3 2 3" xfId="26748" xr:uid="{00000000-0005-0000-0000-0000B61F0000}"/>
    <cellStyle name="20% - Accent5 2 3 4 2 3 3" xfId="10424" xr:uid="{00000000-0005-0000-0000-0000B71F0000}"/>
    <cellStyle name="20% - Accent5 2 3 4 2 3 3 2" xfId="29894" xr:uid="{00000000-0005-0000-0000-0000B81F0000}"/>
    <cellStyle name="20% - Accent5 2 3 4 2 3 4" xfId="25488" xr:uid="{00000000-0005-0000-0000-0000B91F0000}"/>
    <cellStyle name="20% - Accent5 2 3 4 2 4" xfId="7261" xr:uid="{00000000-0005-0000-0000-0000BA1F0000}"/>
    <cellStyle name="20% - Accent5 2 3 4 2 4 2" xfId="11597" xr:uid="{00000000-0005-0000-0000-0000BB1F0000}"/>
    <cellStyle name="20% - Accent5 2 3 4 2 4 2 2" xfId="31067" xr:uid="{00000000-0005-0000-0000-0000BC1F0000}"/>
    <cellStyle name="20% - Accent5 2 3 4 2 4 3" xfId="26745" xr:uid="{00000000-0005-0000-0000-0000BD1F0000}"/>
    <cellStyle name="20% - Accent5 2 3 4 2 5" xfId="9364" xr:uid="{00000000-0005-0000-0000-0000BE1F0000}"/>
    <cellStyle name="20% - Accent5 2 3 4 2 5 2" xfId="28834" xr:uid="{00000000-0005-0000-0000-0000BF1F0000}"/>
    <cellStyle name="20% - Accent5 2 3 4 2 6" xfId="24287" xr:uid="{00000000-0005-0000-0000-0000C01F0000}"/>
    <cellStyle name="20% - Accent5 2 3 4 3" xfId="5116" xr:uid="{00000000-0005-0000-0000-0000C11F0000}"/>
    <cellStyle name="20% - Accent5 2 3 4 3 2" xfId="6272" xr:uid="{00000000-0005-0000-0000-0000C21F0000}"/>
    <cellStyle name="20% - Accent5 2 3 4 3 2 2" xfId="7266" xr:uid="{00000000-0005-0000-0000-0000C31F0000}"/>
    <cellStyle name="20% - Accent5 2 3 4 3 2 2 2" xfId="11602" xr:uid="{00000000-0005-0000-0000-0000C41F0000}"/>
    <cellStyle name="20% - Accent5 2 3 4 3 2 2 2 2" xfId="31072" xr:uid="{00000000-0005-0000-0000-0000C51F0000}"/>
    <cellStyle name="20% - Accent5 2 3 4 3 2 2 3" xfId="26750" xr:uid="{00000000-0005-0000-0000-0000C61F0000}"/>
    <cellStyle name="20% - Accent5 2 3 4 3 2 3" xfId="10689" xr:uid="{00000000-0005-0000-0000-0000C71F0000}"/>
    <cellStyle name="20% - Accent5 2 3 4 3 2 3 2" xfId="30159" xr:uid="{00000000-0005-0000-0000-0000C81F0000}"/>
    <cellStyle name="20% - Accent5 2 3 4 3 2 4" xfId="25757" xr:uid="{00000000-0005-0000-0000-0000C91F0000}"/>
    <cellStyle name="20% - Accent5 2 3 4 3 3" xfId="7265" xr:uid="{00000000-0005-0000-0000-0000CA1F0000}"/>
    <cellStyle name="20% - Accent5 2 3 4 3 3 2" xfId="11601" xr:uid="{00000000-0005-0000-0000-0000CB1F0000}"/>
    <cellStyle name="20% - Accent5 2 3 4 3 3 2 2" xfId="31071" xr:uid="{00000000-0005-0000-0000-0000CC1F0000}"/>
    <cellStyle name="20% - Accent5 2 3 4 3 3 3" xfId="26749" xr:uid="{00000000-0005-0000-0000-0000CD1F0000}"/>
    <cellStyle name="20% - Accent5 2 3 4 3 4" xfId="9629" xr:uid="{00000000-0005-0000-0000-0000CE1F0000}"/>
    <cellStyle name="20% - Accent5 2 3 4 3 4 2" xfId="29099" xr:uid="{00000000-0005-0000-0000-0000CF1F0000}"/>
    <cellStyle name="20% - Accent5 2 3 4 3 5" xfId="24607" xr:uid="{00000000-0005-0000-0000-0000D01F0000}"/>
    <cellStyle name="20% - Accent5 2 3 4 4" xfId="5725" xr:uid="{00000000-0005-0000-0000-0000D11F0000}"/>
    <cellStyle name="20% - Accent5 2 3 4 4 2" xfId="7267" xr:uid="{00000000-0005-0000-0000-0000D21F0000}"/>
    <cellStyle name="20% - Accent5 2 3 4 4 2 2" xfId="11603" xr:uid="{00000000-0005-0000-0000-0000D31F0000}"/>
    <cellStyle name="20% - Accent5 2 3 4 4 2 2 2" xfId="31073" xr:uid="{00000000-0005-0000-0000-0000D41F0000}"/>
    <cellStyle name="20% - Accent5 2 3 4 4 2 3" xfId="26751" xr:uid="{00000000-0005-0000-0000-0000D51F0000}"/>
    <cellStyle name="20% - Accent5 2 3 4 4 3" xfId="10159" xr:uid="{00000000-0005-0000-0000-0000D61F0000}"/>
    <cellStyle name="20% - Accent5 2 3 4 4 3 2" xfId="29629" xr:uid="{00000000-0005-0000-0000-0000D71F0000}"/>
    <cellStyle name="20% - Accent5 2 3 4 4 4" xfId="25210" xr:uid="{00000000-0005-0000-0000-0000D81F0000}"/>
    <cellStyle name="20% - Accent5 2 3 4 5" xfId="7260" xr:uid="{00000000-0005-0000-0000-0000D91F0000}"/>
    <cellStyle name="20% - Accent5 2 3 4 5 2" xfId="11596" xr:uid="{00000000-0005-0000-0000-0000DA1F0000}"/>
    <cellStyle name="20% - Accent5 2 3 4 5 2 2" xfId="31066" xr:uid="{00000000-0005-0000-0000-0000DB1F0000}"/>
    <cellStyle name="20% - Accent5 2 3 4 5 3" xfId="26744" xr:uid="{00000000-0005-0000-0000-0000DC1F0000}"/>
    <cellStyle name="20% - Accent5 2 3 4 6" xfId="9098" xr:uid="{00000000-0005-0000-0000-0000DD1F0000}"/>
    <cellStyle name="20% - Accent5 2 3 4 6 2" xfId="28569" xr:uid="{00000000-0005-0000-0000-0000DE1F0000}"/>
    <cellStyle name="20% - Accent5 2 3 4 7" xfId="23985" xr:uid="{00000000-0005-0000-0000-0000DF1F0000}"/>
    <cellStyle name="20% - Accent5 2 3 5" xfId="4588" xr:uid="{00000000-0005-0000-0000-0000E01F0000}"/>
    <cellStyle name="20% - Accent5 2 3 5 2" xfId="5229" xr:uid="{00000000-0005-0000-0000-0000E11F0000}"/>
    <cellStyle name="20% - Accent5 2 3 5 2 2" xfId="6363" xr:uid="{00000000-0005-0000-0000-0000E21F0000}"/>
    <cellStyle name="20% - Accent5 2 3 5 2 2 2" xfId="7270" xr:uid="{00000000-0005-0000-0000-0000E31F0000}"/>
    <cellStyle name="20% - Accent5 2 3 5 2 2 2 2" xfId="11606" xr:uid="{00000000-0005-0000-0000-0000E41F0000}"/>
    <cellStyle name="20% - Accent5 2 3 5 2 2 2 2 2" xfId="31076" xr:uid="{00000000-0005-0000-0000-0000E51F0000}"/>
    <cellStyle name="20% - Accent5 2 3 5 2 2 2 3" xfId="26754" xr:uid="{00000000-0005-0000-0000-0000E61F0000}"/>
    <cellStyle name="20% - Accent5 2 3 5 2 2 3" xfId="10779" xr:uid="{00000000-0005-0000-0000-0000E71F0000}"/>
    <cellStyle name="20% - Accent5 2 3 5 2 2 3 2" xfId="30249" xr:uid="{00000000-0005-0000-0000-0000E81F0000}"/>
    <cellStyle name="20% - Accent5 2 3 5 2 2 4" xfId="25848" xr:uid="{00000000-0005-0000-0000-0000E91F0000}"/>
    <cellStyle name="20% - Accent5 2 3 5 2 3" xfId="7269" xr:uid="{00000000-0005-0000-0000-0000EA1F0000}"/>
    <cellStyle name="20% - Accent5 2 3 5 2 3 2" xfId="11605" xr:uid="{00000000-0005-0000-0000-0000EB1F0000}"/>
    <cellStyle name="20% - Accent5 2 3 5 2 3 2 2" xfId="31075" xr:uid="{00000000-0005-0000-0000-0000EC1F0000}"/>
    <cellStyle name="20% - Accent5 2 3 5 2 3 3" xfId="26753" xr:uid="{00000000-0005-0000-0000-0000ED1F0000}"/>
    <cellStyle name="20% - Accent5 2 3 5 2 4" xfId="9718" xr:uid="{00000000-0005-0000-0000-0000EE1F0000}"/>
    <cellStyle name="20% - Accent5 2 3 5 2 4 2" xfId="29188" xr:uid="{00000000-0005-0000-0000-0000EF1F0000}"/>
    <cellStyle name="20% - Accent5 2 3 5 2 5" xfId="24720" xr:uid="{00000000-0005-0000-0000-0000F01F0000}"/>
    <cellStyle name="20% - Accent5 2 3 5 3" xfId="5825" xr:uid="{00000000-0005-0000-0000-0000F11F0000}"/>
    <cellStyle name="20% - Accent5 2 3 5 3 2" xfId="7271" xr:uid="{00000000-0005-0000-0000-0000F21F0000}"/>
    <cellStyle name="20% - Accent5 2 3 5 3 2 2" xfId="11607" xr:uid="{00000000-0005-0000-0000-0000F31F0000}"/>
    <cellStyle name="20% - Accent5 2 3 5 3 2 2 2" xfId="31077" xr:uid="{00000000-0005-0000-0000-0000F41F0000}"/>
    <cellStyle name="20% - Accent5 2 3 5 3 2 3" xfId="26755" xr:uid="{00000000-0005-0000-0000-0000F51F0000}"/>
    <cellStyle name="20% - Accent5 2 3 5 3 3" xfId="10248" xr:uid="{00000000-0005-0000-0000-0000F61F0000}"/>
    <cellStyle name="20% - Accent5 2 3 5 3 3 2" xfId="29718" xr:uid="{00000000-0005-0000-0000-0000F71F0000}"/>
    <cellStyle name="20% - Accent5 2 3 5 3 4" xfId="25310" xr:uid="{00000000-0005-0000-0000-0000F81F0000}"/>
    <cellStyle name="20% - Accent5 2 3 5 4" xfId="7268" xr:uid="{00000000-0005-0000-0000-0000F91F0000}"/>
    <cellStyle name="20% - Accent5 2 3 5 4 2" xfId="11604" xr:uid="{00000000-0005-0000-0000-0000FA1F0000}"/>
    <cellStyle name="20% - Accent5 2 3 5 4 2 2" xfId="31074" xr:uid="{00000000-0005-0000-0000-0000FB1F0000}"/>
    <cellStyle name="20% - Accent5 2 3 5 4 3" xfId="26752" xr:uid="{00000000-0005-0000-0000-0000FC1F0000}"/>
    <cellStyle name="20% - Accent5 2 3 5 5" xfId="9188" xr:uid="{00000000-0005-0000-0000-0000FD1F0000}"/>
    <cellStyle name="20% - Accent5 2 3 5 5 2" xfId="28658" xr:uid="{00000000-0005-0000-0000-0000FE1F0000}"/>
    <cellStyle name="20% - Accent5 2 3 5 6" xfId="24099" xr:uid="{00000000-0005-0000-0000-0000FF1F0000}"/>
    <cellStyle name="20% - Accent5 2 3 6" xfId="4933" xr:uid="{00000000-0005-0000-0000-000000200000}"/>
    <cellStyle name="20% - Accent5 2 3 6 2" xfId="6095" xr:uid="{00000000-0005-0000-0000-000001200000}"/>
    <cellStyle name="20% - Accent5 2 3 6 2 2" xfId="7273" xr:uid="{00000000-0005-0000-0000-000002200000}"/>
    <cellStyle name="20% - Accent5 2 3 6 2 2 2" xfId="11609" xr:uid="{00000000-0005-0000-0000-000003200000}"/>
    <cellStyle name="20% - Accent5 2 3 6 2 2 2 2" xfId="31079" xr:uid="{00000000-0005-0000-0000-000004200000}"/>
    <cellStyle name="20% - Accent5 2 3 6 2 2 3" xfId="26757" xr:uid="{00000000-0005-0000-0000-000005200000}"/>
    <cellStyle name="20% - Accent5 2 3 6 2 3" xfId="10513" xr:uid="{00000000-0005-0000-0000-000006200000}"/>
    <cellStyle name="20% - Accent5 2 3 6 2 3 2" xfId="29983" xr:uid="{00000000-0005-0000-0000-000007200000}"/>
    <cellStyle name="20% - Accent5 2 3 6 2 4" xfId="25580" xr:uid="{00000000-0005-0000-0000-000008200000}"/>
    <cellStyle name="20% - Accent5 2 3 6 3" xfId="7272" xr:uid="{00000000-0005-0000-0000-000009200000}"/>
    <cellStyle name="20% - Accent5 2 3 6 3 2" xfId="11608" xr:uid="{00000000-0005-0000-0000-00000A200000}"/>
    <cellStyle name="20% - Accent5 2 3 6 3 2 2" xfId="31078" xr:uid="{00000000-0005-0000-0000-00000B200000}"/>
    <cellStyle name="20% - Accent5 2 3 6 3 3" xfId="26756" xr:uid="{00000000-0005-0000-0000-00000C200000}"/>
    <cellStyle name="20% - Accent5 2 3 6 4" xfId="9453" xr:uid="{00000000-0005-0000-0000-00000D200000}"/>
    <cellStyle name="20% - Accent5 2 3 6 4 2" xfId="28923" xr:uid="{00000000-0005-0000-0000-00000E200000}"/>
    <cellStyle name="20% - Accent5 2 3 6 5" xfId="24427" xr:uid="{00000000-0005-0000-0000-00000F200000}"/>
    <cellStyle name="20% - Accent5 2 3 7" xfId="5537" xr:uid="{00000000-0005-0000-0000-000010200000}"/>
    <cellStyle name="20% - Accent5 2 3 7 2" xfId="7274" xr:uid="{00000000-0005-0000-0000-000011200000}"/>
    <cellStyle name="20% - Accent5 2 3 7 2 2" xfId="11610" xr:uid="{00000000-0005-0000-0000-000012200000}"/>
    <cellStyle name="20% - Accent5 2 3 7 2 2 2" xfId="31080" xr:uid="{00000000-0005-0000-0000-000013200000}"/>
    <cellStyle name="20% - Accent5 2 3 7 2 3" xfId="26758" xr:uid="{00000000-0005-0000-0000-000014200000}"/>
    <cellStyle name="20% - Accent5 2 3 7 3" xfId="9983" xr:uid="{00000000-0005-0000-0000-000015200000}"/>
    <cellStyle name="20% - Accent5 2 3 7 3 2" xfId="29453" xr:uid="{00000000-0005-0000-0000-000016200000}"/>
    <cellStyle name="20% - Accent5 2 3 7 4" xfId="25025" xr:uid="{00000000-0005-0000-0000-000017200000}"/>
    <cellStyle name="20% - Accent5 2 3 8" xfId="7227" xr:uid="{00000000-0005-0000-0000-000018200000}"/>
    <cellStyle name="20% - Accent5 2 3 8 2" xfId="11563" xr:uid="{00000000-0005-0000-0000-000019200000}"/>
    <cellStyle name="20% - Accent5 2 3 8 2 2" xfId="31033" xr:uid="{00000000-0005-0000-0000-00001A200000}"/>
    <cellStyle name="20% - Accent5 2 3 8 3" xfId="26711" xr:uid="{00000000-0005-0000-0000-00001B200000}"/>
    <cellStyle name="20% - Accent5 2 3 9" xfId="8919" xr:uid="{00000000-0005-0000-0000-00001C200000}"/>
    <cellStyle name="20% - Accent5 2 3 9 2" xfId="28393" xr:uid="{00000000-0005-0000-0000-00001D200000}"/>
    <cellStyle name="20% - Accent5 2 4" xfId="3896" xr:uid="{00000000-0005-0000-0000-00001E200000}"/>
    <cellStyle name="20% - Accent5 2 4 2" xfId="4247" xr:uid="{00000000-0005-0000-0000-00001F200000}"/>
    <cellStyle name="20% - Accent5 2 4 2 2" xfId="4822" xr:uid="{00000000-0005-0000-0000-000020200000}"/>
    <cellStyle name="20% - Accent5 2 4 2 2 2" xfId="5447" xr:uid="{00000000-0005-0000-0000-000021200000}"/>
    <cellStyle name="20% - Accent5 2 4 2 2 2 2" xfId="6575" xr:uid="{00000000-0005-0000-0000-000022200000}"/>
    <cellStyle name="20% - Accent5 2 4 2 2 2 2 2" xfId="7279" xr:uid="{00000000-0005-0000-0000-000023200000}"/>
    <cellStyle name="20% - Accent5 2 4 2 2 2 2 2 2" xfId="11615" xr:uid="{00000000-0005-0000-0000-000024200000}"/>
    <cellStyle name="20% - Accent5 2 4 2 2 2 2 2 2 2" xfId="31085" xr:uid="{00000000-0005-0000-0000-000025200000}"/>
    <cellStyle name="20% - Accent5 2 4 2 2 2 2 2 3" xfId="26763" xr:uid="{00000000-0005-0000-0000-000026200000}"/>
    <cellStyle name="20% - Accent5 2 4 2 2 2 2 3" xfId="10991" xr:uid="{00000000-0005-0000-0000-000027200000}"/>
    <cellStyle name="20% - Accent5 2 4 2 2 2 2 3 2" xfId="30461" xr:uid="{00000000-0005-0000-0000-000028200000}"/>
    <cellStyle name="20% - Accent5 2 4 2 2 2 2 4" xfId="26060" xr:uid="{00000000-0005-0000-0000-000029200000}"/>
    <cellStyle name="20% - Accent5 2 4 2 2 2 3" xfId="7278" xr:uid="{00000000-0005-0000-0000-00002A200000}"/>
    <cellStyle name="20% - Accent5 2 4 2 2 2 3 2" xfId="11614" xr:uid="{00000000-0005-0000-0000-00002B200000}"/>
    <cellStyle name="20% - Accent5 2 4 2 2 2 3 2 2" xfId="31084" xr:uid="{00000000-0005-0000-0000-00002C200000}"/>
    <cellStyle name="20% - Accent5 2 4 2 2 2 3 3" xfId="26762" xr:uid="{00000000-0005-0000-0000-00002D200000}"/>
    <cellStyle name="20% - Accent5 2 4 2 2 2 4" xfId="9930" xr:uid="{00000000-0005-0000-0000-00002E200000}"/>
    <cellStyle name="20% - Accent5 2 4 2 2 2 4 2" xfId="29400" xr:uid="{00000000-0005-0000-0000-00002F200000}"/>
    <cellStyle name="20% - Accent5 2 4 2 2 2 5" xfId="24938" xr:uid="{00000000-0005-0000-0000-000030200000}"/>
    <cellStyle name="20% - Accent5 2 4 2 2 3" xfId="6040" xr:uid="{00000000-0005-0000-0000-000031200000}"/>
    <cellStyle name="20% - Accent5 2 4 2 2 3 2" xfId="7280" xr:uid="{00000000-0005-0000-0000-000032200000}"/>
    <cellStyle name="20% - Accent5 2 4 2 2 3 2 2" xfId="11616" xr:uid="{00000000-0005-0000-0000-000033200000}"/>
    <cellStyle name="20% - Accent5 2 4 2 2 3 2 2 2" xfId="31086" xr:uid="{00000000-0005-0000-0000-000034200000}"/>
    <cellStyle name="20% - Accent5 2 4 2 2 3 2 3" xfId="26764" xr:uid="{00000000-0005-0000-0000-000035200000}"/>
    <cellStyle name="20% - Accent5 2 4 2 2 3 3" xfId="10460" xr:uid="{00000000-0005-0000-0000-000036200000}"/>
    <cellStyle name="20% - Accent5 2 4 2 2 3 3 2" xfId="29930" xr:uid="{00000000-0005-0000-0000-000037200000}"/>
    <cellStyle name="20% - Accent5 2 4 2 2 3 4" xfId="25525" xr:uid="{00000000-0005-0000-0000-000038200000}"/>
    <cellStyle name="20% - Accent5 2 4 2 2 4" xfId="7277" xr:uid="{00000000-0005-0000-0000-000039200000}"/>
    <cellStyle name="20% - Accent5 2 4 2 2 4 2" xfId="11613" xr:uid="{00000000-0005-0000-0000-00003A200000}"/>
    <cellStyle name="20% - Accent5 2 4 2 2 4 2 2" xfId="31083" xr:uid="{00000000-0005-0000-0000-00003B200000}"/>
    <cellStyle name="20% - Accent5 2 4 2 2 4 3" xfId="26761" xr:uid="{00000000-0005-0000-0000-00003C200000}"/>
    <cellStyle name="20% - Accent5 2 4 2 2 5" xfId="9400" xr:uid="{00000000-0005-0000-0000-00003D200000}"/>
    <cellStyle name="20% - Accent5 2 4 2 2 5 2" xfId="28870" xr:uid="{00000000-0005-0000-0000-00003E200000}"/>
    <cellStyle name="20% - Accent5 2 4 2 2 6" xfId="24324" xr:uid="{00000000-0005-0000-0000-00003F200000}"/>
    <cellStyle name="20% - Accent5 2 4 2 3" xfId="5152" xr:uid="{00000000-0005-0000-0000-000040200000}"/>
    <cellStyle name="20% - Accent5 2 4 2 3 2" xfId="6308" xr:uid="{00000000-0005-0000-0000-000041200000}"/>
    <cellStyle name="20% - Accent5 2 4 2 3 2 2" xfId="7282" xr:uid="{00000000-0005-0000-0000-000042200000}"/>
    <cellStyle name="20% - Accent5 2 4 2 3 2 2 2" xfId="11618" xr:uid="{00000000-0005-0000-0000-000043200000}"/>
    <cellStyle name="20% - Accent5 2 4 2 3 2 2 2 2" xfId="31088" xr:uid="{00000000-0005-0000-0000-000044200000}"/>
    <cellStyle name="20% - Accent5 2 4 2 3 2 2 3" xfId="26766" xr:uid="{00000000-0005-0000-0000-000045200000}"/>
    <cellStyle name="20% - Accent5 2 4 2 3 2 3" xfId="10725" xr:uid="{00000000-0005-0000-0000-000046200000}"/>
    <cellStyle name="20% - Accent5 2 4 2 3 2 3 2" xfId="30195" xr:uid="{00000000-0005-0000-0000-000047200000}"/>
    <cellStyle name="20% - Accent5 2 4 2 3 2 4" xfId="25793" xr:uid="{00000000-0005-0000-0000-000048200000}"/>
    <cellStyle name="20% - Accent5 2 4 2 3 3" xfId="7281" xr:uid="{00000000-0005-0000-0000-000049200000}"/>
    <cellStyle name="20% - Accent5 2 4 2 3 3 2" xfId="11617" xr:uid="{00000000-0005-0000-0000-00004A200000}"/>
    <cellStyle name="20% - Accent5 2 4 2 3 3 2 2" xfId="31087" xr:uid="{00000000-0005-0000-0000-00004B200000}"/>
    <cellStyle name="20% - Accent5 2 4 2 3 3 3" xfId="26765" xr:uid="{00000000-0005-0000-0000-00004C200000}"/>
    <cellStyle name="20% - Accent5 2 4 2 3 4" xfId="9665" xr:uid="{00000000-0005-0000-0000-00004D200000}"/>
    <cellStyle name="20% - Accent5 2 4 2 3 4 2" xfId="29135" xr:uid="{00000000-0005-0000-0000-00004E200000}"/>
    <cellStyle name="20% - Accent5 2 4 2 3 5" xfId="24643" xr:uid="{00000000-0005-0000-0000-00004F200000}"/>
    <cellStyle name="20% - Accent5 2 4 2 4" xfId="5761" xr:uid="{00000000-0005-0000-0000-000050200000}"/>
    <cellStyle name="20% - Accent5 2 4 2 4 2" xfId="7283" xr:uid="{00000000-0005-0000-0000-000051200000}"/>
    <cellStyle name="20% - Accent5 2 4 2 4 2 2" xfId="11619" xr:uid="{00000000-0005-0000-0000-000052200000}"/>
    <cellStyle name="20% - Accent5 2 4 2 4 2 2 2" xfId="31089" xr:uid="{00000000-0005-0000-0000-000053200000}"/>
    <cellStyle name="20% - Accent5 2 4 2 4 2 3" xfId="26767" xr:uid="{00000000-0005-0000-0000-000054200000}"/>
    <cellStyle name="20% - Accent5 2 4 2 4 3" xfId="10195" xr:uid="{00000000-0005-0000-0000-000055200000}"/>
    <cellStyle name="20% - Accent5 2 4 2 4 3 2" xfId="29665" xr:uid="{00000000-0005-0000-0000-000056200000}"/>
    <cellStyle name="20% - Accent5 2 4 2 4 4" xfId="25246" xr:uid="{00000000-0005-0000-0000-000057200000}"/>
    <cellStyle name="20% - Accent5 2 4 2 5" xfId="7276" xr:uid="{00000000-0005-0000-0000-000058200000}"/>
    <cellStyle name="20% - Accent5 2 4 2 5 2" xfId="11612" xr:uid="{00000000-0005-0000-0000-000059200000}"/>
    <cellStyle name="20% - Accent5 2 4 2 5 2 2" xfId="31082" xr:uid="{00000000-0005-0000-0000-00005A200000}"/>
    <cellStyle name="20% - Accent5 2 4 2 5 3" xfId="26760" xr:uid="{00000000-0005-0000-0000-00005B200000}"/>
    <cellStyle name="20% - Accent5 2 4 2 6" xfId="9134" xr:uid="{00000000-0005-0000-0000-00005C200000}"/>
    <cellStyle name="20% - Accent5 2 4 2 6 2" xfId="28605" xr:uid="{00000000-0005-0000-0000-00005D200000}"/>
    <cellStyle name="20% - Accent5 2 4 2 7" xfId="24023" xr:uid="{00000000-0005-0000-0000-00005E200000}"/>
    <cellStyle name="20% - Accent5 2 4 3" xfId="4728" xr:uid="{00000000-0005-0000-0000-00005F200000}"/>
    <cellStyle name="20% - Accent5 2 4 3 2" xfId="5362" xr:uid="{00000000-0005-0000-0000-000060200000}"/>
    <cellStyle name="20% - Accent5 2 4 3 2 2" xfId="6490" xr:uid="{00000000-0005-0000-0000-000061200000}"/>
    <cellStyle name="20% - Accent5 2 4 3 2 2 2" xfId="7286" xr:uid="{00000000-0005-0000-0000-000062200000}"/>
    <cellStyle name="20% - Accent5 2 4 3 2 2 2 2" xfId="11622" xr:uid="{00000000-0005-0000-0000-000063200000}"/>
    <cellStyle name="20% - Accent5 2 4 3 2 2 2 2 2" xfId="31092" xr:uid="{00000000-0005-0000-0000-000064200000}"/>
    <cellStyle name="20% - Accent5 2 4 3 2 2 2 3" xfId="26770" xr:uid="{00000000-0005-0000-0000-000065200000}"/>
    <cellStyle name="20% - Accent5 2 4 3 2 2 3" xfId="10906" xr:uid="{00000000-0005-0000-0000-000066200000}"/>
    <cellStyle name="20% - Accent5 2 4 3 2 2 3 2" xfId="30376" xr:uid="{00000000-0005-0000-0000-000067200000}"/>
    <cellStyle name="20% - Accent5 2 4 3 2 2 4" xfId="25975" xr:uid="{00000000-0005-0000-0000-000068200000}"/>
    <cellStyle name="20% - Accent5 2 4 3 2 3" xfId="7285" xr:uid="{00000000-0005-0000-0000-000069200000}"/>
    <cellStyle name="20% - Accent5 2 4 3 2 3 2" xfId="11621" xr:uid="{00000000-0005-0000-0000-00006A200000}"/>
    <cellStyle name="20% - Accent5 2 4 3 2 3 2 2" xfId="31091" xr:uid="{00000000-0005-0000-0000-00006B200000}"/>
    <cellStyle name="20% - Accent5 2 4 3 2 3 3" xfId="26769" xr:uid="{00000000-0005-0000-0000-00006C200000}"/>
    <cellStyle name="20% - Accent5 2 4 3 2 4" xfId="9845" xr:uid="{00000000-0005-0000-0000-00006D200000}"/>
    <cellStyle name="20% - Accent5 2 4 3 2 4 2" xfId="29315" xr:uid="{00000000-0005-0000-0000-00006E200000}"/>
    <cellStyle name="20% - Accent5 2 4 3 2 5" xfId="24853" xr:uid="{00000000-0005-0000-0000-00006F200000}"/>
    <cellStyle name="20% - Accent5 2 4 3 3" xfId="5953" xr:uid="{00000000-0005-0000-0000-000070200000}"/>
    <cellStyle name="20% - Accent5 2 4 3 3 2" xfId="7287" xr:uid="{00000000-0005-0000-0000-000071200000}"/>
    <cellStyle name="20% - Accent5 2 4 3 3 2 2" xfId="11623" xr:uid="{00000000-0005-0000-0000-000072200000}"/>
    <cellStyle name="20% - Accent5 2 4 3 3 2 2 2" xfId="31093" xr:uid="{00000000-0005-0000-0000-000073200000}"/>
    <cellStyle name="20% - Accent5 2 4 3 3 2 3" xfId="26771" xr:uid="{00000000-0005-0000-0000-000074200000}"/>
    <cellStyle name="20% - Accent5 2 4 3 3 3" xfId="10375" xr:uid="{00000000-0005-0000-0000-000075200000}"/>
    <cellStyle name="20% - Accent5 2 4 3 3 3 2" xfId="29845" xr:uid="{00000000-0005-0000-0000-000076200000}"/>
    <cellStyle name="20% - Accent5 2 4 3 3 4" xfId="25438" xr:uid="{00000000-0005-0000-0000-000077200000}"/>
    <cellStyle name="20% - Accent5 2 4 3 4" xfId="7284" xr:uid="{00000000-0005-0000-0000-000078200000}"/>
    <cellStyle name="20% - Accent5 2 4 3 4 2" xfId="11620" xr:uid="{00000000-0005-0000-0000-000079200000}"/>
    <cellStyle name="20% - Accent5 2 4 3 4 2 2" xfId="31090" xr:uid="{00000000-0005-0000-0000-00007A200000}"/>
    <cellStyle name="20% - Accent5 2 4 3 4 3" xfId="26768" xr:uid="{00000000-0005-0000-0000-00007B200000}"/>
    <cellStyle name="20% - Accent5 2 4 3 5" xfId="9315" xr:uid="{00000000-0005-0000-0000-00007C200000}"/>
    <cellStyle name="20% - Accent5 2 4 3 5 2" xfId="28785" xr:uid="{00000000-0005-0000-0000-00007D200000}"/>
    <cellStyle name="20% - Accent5 2 4 3 6" xfId="24235" xr:uid="{00000000-0005-0000-0000-00007E200000}"/>
    <cellStyle name="20% - Accent5 2 4 4" xfId="5061" xr:uid="{00000000-0005-0000-0000-00007F200000}"/>
    <cellStyle name="20% - Accent5 2 4 4 2" xfId="6222" xr:uid="{00000000-0005-0000-0000-000080200000}"/>
    <cellStyle name="20% - Accent5 2 4 4 2 2" xfId="7289" xr:uid="{00000000-0005-0000-0000-000081200000}"/>
    <cellStyle name="20% - Accent5 2 4 4 2 2 2" xfId="11625" xr:uid="{00000000-0005-0000-0000-000082200000}"/>
    <cellStyle name="20% - Accent5 2 4 4 2 2 2 2" xfId="31095" xr:uid="{00000000-0005-0000-0000-000083200000}"/>
    <cellStyle name="20% - Accent5 2 4 4 2 2 3" xfId="26773" xr:uid="{00000000-0005-0000-0000-000084200000}"/>
    <cellStyle name="20% - Accent5 2 4 4 2 3" xfId="10640" xr:uid="{00000000-0005-0000-0000-000085200000}"/>
    <cellStyle name="20% - Accent5 2 4 4 2 3 2" xfId="30110" xr:uid="{00000000-0005-0000-0000-000086200000}"/>
    <cellStyle name="20% - Accent5 2 4 4 2 4" xfId="25707" xr:uid="{00000000-0005-0000-0000-000087200000}"/>
    <cellStyle name="20% - Accent5 2 4 4 3" xfId="7288" xr:uid="{00000000-0005-0000-0000-000088200000}"/>
    <cellStyle name="20% - Accent5 2 4 4 3 2" xfId="11624" xr:uid="{00000000-0005-0000-0000-000089200000}"/>
    <cellStyle name="20% - Accent5 2 4 4 3 2 2" xfId="31094" xr:uid="{00000000-0005-0000-0000-00008A200000}"/>
    <cellStyle name="20% - Accent5 2 4 4 3 3" xfId="26772" xr:uid="{00000000-0005-0000-0000-00008B200000}"/>
    <cellStyle name="20% - Accent5 2 4 4 4" xfId="9580" xr:uid="{00000000-0005-0000-0000-00008C200000}"/>
    <cellStyle name="20% - Accent5 2 4 4 4 2" xfId="29050" xr:uid="{00000000-0005-0000-0000-00008D200000}"/>
    <cellStyle name="20% - Accent5 2 4 4 5" xfId="24554" xr:uid="{00000000-0005-0000-0000-00008E200000}"/>
    <cellStyle name="20% - Accent5 2 4 5" xfId="5673" xr:uid="{00000000-0005-0000-0000-00008F200000}"/>
    <cellStyle name="20% - Accent5 2 4 5 2" xfId="7290" xr:uid="{00000000-0005-0000-0000-000090200000}"/>
    <cellStyle name="20% - Accent5 2 4 5 2 2" xfId="11626" xr:uid="{00000000-0005-0000-0000-000091200000}"/>
    <cellStyle name="20% - Accent5 2 4 5 2 2 2" xfId="31096" xr:uid="{00000000-0005-0000-0000-000092200000}"/>
    <cellStyle name="20% - Accent5 2 4 5 2 3" xfId="26774" xr:uid="{00000000-0005-0000-0000-000093200000}"/>
    <cellStyle name="20% - Accent5 2 4 5 3" xfId="10110" xr:uid="{00000000-0005-0000-0000-000094200000}"/>
    <cellStyle name="20% - Accent5 2 4 5 3 2" xfId="29580" xr:uid="{00000000-0005-0000-0000-000095200000}"/>
    <cellStyle name="20% - Accent5 2 4 5 4" xfId="25160" xr:uid="{00000000-0005-0000-0000-000096200000}"/>
    <cellStyle name="20% - Accent5 2 4 6" xfId="7275" xr:uid="{00000000-0005-0000-0000-000097200000}"/>
    <cellStyle name="20% - Accent5 2 4 6 2" xfId="11611" xr:uid="{00000000-0005-0000-0000-000098200000}"/>
    <cellStyle name="20% - Accent5 2 4 6 2 2" xfId="31081" xr:uid="{00000000-0005-0000-0000-000099200000}"/>
    <cellStyle name="20% - Accent5 2 4 6 3" xfId="26759" xr:uid="{00000000-0005-0000-0000-00009A200000}"/>
    <cellStyle name="20% - Accent5 2 4 7" xfId="9047" xr:uid="{00000000-0005-0000-0000-00009B200000}"/>
    <cellStyle name="20% - Accent5 2 4 7 2" xfId="28520" xr:uid="{00000000-0005-0000-0000-00009C200000}"/>
    <cellStyle name="20% - Accent5 2 4 8" xfId="23926" xr:uid="{00000000-0005-0000-0000-00009D200000}"/>
    <cellStyle name="20% - Accent5 2 5" xfId="4143" xr:uid="{00000000-0005-0000-0000-00009E200000}"/>
    <cellStyle name="20% - Accent5 2 5 2" xfId="4764" xr:uid="{00000000-0005-0000-0000-00009F200000}"/>
    <cellStyle name="20% - Accent5 2 5 2 2" xfId="5393" xr:uid="{00000000-0005-0000-0000-0000A0200000}"/>
    <cellStyle name="20% - Accent5 2 5 2 2 2" xfId="6521" xr:uid="{00000000-0005-0000-0000-0000A1200000}"/>
    <cellStyle name="20% - Accent5 2 5 2 2 2 2" xfId="7294" xr:uid="{00000000-0005-0000-0000-0000A2200000}"/>
    <cellStyle name="20% - Accent5 2 5 2 2 2 2 2" xfId="11630" xr:uid="{00000000-0005-0000-0000-0000A3200000}"/>
    <cellStyle name="20% - Accent5 2 5 2 2 2 2 2 2" xfId="31100" xr:uid="{00000000-0005-0000-0000-0000A4200000}"/>
    <cellStyle name="20% - Accent5 2 5 2 2 2 2 3" xfId="26778" xr:uid="{00000000-0005-0000-0000-0000A5200000}"/>
    <cellStyle name="20% - Accent5 2 5 2 2 2 3" xfId="10937" xr:uid="{00000000-0005-0000-0000-0000A6200000}"/>
    <cellStyle name="20% - Accent5 2 5 2 2 2 3 2" xfId="30407" xr:uid="{00000000-0005-0000-0000-0000A7200000}"/>
    <cellStyle name="20% - Accent5 2 5 2 2 2 4" xfId="26006" xr:uid="{00000000-0005-0000-0000-0000A8200000}"/>
    <cellStyle name="20% - Accent5 2 5 2 2 3" xfId="7293" xr:uid="{00000000-0005-0000-0000-0000A9200000}"/>
    <cellStyle name="20% - Accent5 2 5 2 2 3 2" xfId="11629" xr:uid="{00000000-0005-0000-0000-0000AA200000}"/>
    <cellStyle name="20% - Accent5 2 5 2 2 3 2 2" xfId="31099" xr:uid="{00000000-0005-0000-0000-0000AB200000}"/>
    <cellStyle name="20% - Accent5 2 5 2 2 3 3" xfId="26777" xr:uid="{00000000-0005-0000-0000-0000AC200000}"/>
    <cellStyle name="20% - Accent5 2 5 2 2 4" xfId="9876" xr:uid="{00000000-0005-0000-0000-0000AD200000}"/>
    <cellStyle name="20% - Accent5 2 5 2 2 4 2" xfId="29346" xr:uid="{00000000-0005-0000-0000-0000AE200000}"/>
    <cellStyle name="20% - Accent5 2 5 2 2 5" xfId="24884" xr:uid="{00000000-0005-0000-0000-0000AF200000}"/>
    <cellStyle name="20% - Accent5 2 5 2 3" xfId="5984" xr:uid="{00000000-0005-0000-0000-0000B0200000}"/>
    <cellStyle name="20% - Accent5 2 5 2 3 2" xfId="7295" xr:uid="{00000000-0005-0000-0000-0000B1200000}"/>
    <cellStyle name="20% - Accent5 2 5 2 3 2 2" xfId="11631" xr:uid="{00000000-0005-0000-0000-0000B2200000}"/>
    <cellStyle name="20% - Accent5 2 5 2 3 2 2 2" xfId="31101" xr:uid="{00000000-0005-0000-0000-0000B3200000}"/>
    <cellStyle name="20% - Accent5 2 5 2 3 2 3" xfId="26779" xr:uid="{00000000-0005-0000-0000-0000B4200000}"/>
    <cellStyle name="20% - Accent5 2 5 2 3 3" xfId="10406" xr:uid="{00000000-0005-0000-0000-0000B5200000}"/>
    <cellStyle name="20% - Accent5 2 5 2 3 3 2" xfId="29876" xr:uid="{00000000-0005-0000-0000-0000B6200000}"/>
    <cellStyle name="20% - Accent5 2 5 2 3 4" xfId="25469" xr:uid="{00000000-0005-0000-0000-0000B7200000}"/>
    <cellStyle name="20% - Accent5 2 5 2 4" xfId="7292" xr:uid="{00000000-0005-0000-0000-0000B8200000}"/>
    <cellStyle name="20% - Accent5 2 5 2 4 2" xfId="11628" xr:uid="{00000000-0005-0000-0000-0000B9200000}"/>
    <cellStyle name="20% - Accent5 2 5 2 4 2 2" xfId="31098" xr:uid="{00000000-0005-0000-0000-0000BA200000}"/>
    <cellStyle name="20% - Accent5 2 5 2 4 3" xfId="26776" xr:uid="{00000000-0005-0000-0000-0000BB200000}"/>
    <cellStyle name="20% - Accent5 2 5 2 5" xfId="9346" xr:uid="{00000000-0005-0000-0000-0000BC200000}"/>
    <cellStyle name="20% - Accent5 2 5 2 5 2" xfId="28816" xr:uid="{00000000-0005-0000-0000-0000BD200000}"/>
    <cellStyle name="20% - Accent5 2 5 2 6" xfId="24269" xr:uid="{00000000-0005-0000-0000-0000BE200000}"/>
    <cellStyle name="20% - Accent5 2 5 3" xfId="5098" xr:uid="{00000000-0005-0000-0000-0000BF200000}"/>
    <cellStyle name="20% - Accent5 2 5 3 2" xfId="6254" xr:uid="{00000000-0005-0000-0000-0000C0200000}"/>
    <cellStyle name="20% - Accent5 2 5 3 2 2" xfId="7297" xr:uid="{00000000-0005-0000-0000-0000C1200000}"/>
    <cellStyle name="20% - Accent5 2 5 3 2 2 2" xfId="11633" xr:uid="{00000000-0005-0000-0000-0000C2200000}"/>
    <cellStyle name="20% - Accent5 2 5 3 2 2 2 2" xfId="31103" xr:uid="{00000000-0005-0000-0000-0000C3200000}"/>
    <cellStyle name="20% - Accent5 2 5 3 2 2 3" xfId="26781" xr:uid="{00000000-0005-0000-0000-0000C4200000}"/>
    <cellStyle name="20% - Accent5 2 5 3 2 3" xfId="10671" xr:uid="{00000000-0005-0000-0000-0000C5200000}"/>
    <cellStyle name="20% - Accent5 2 5 3 2 3 2" xfId="30141" xr:uid="{00000000-0005-0000-0000-0000C6200000}"/>
    <cellStyle name="20% - Accent5 2 5 3 2 4" xfId="25739" xr:uid="{00000000-0005-0000-0000-0000C7200000}"/>
    <cellStyle name="20% - Accent5 2 5 3 3" xfId="7296" xr:uid="{00000000-0005-0000-0000-0000C8200000}"/>
    <cellStyle name="20% - Accent5 2 5 3 3 2" xfId="11632" xr:uid="{00000000-0005-0000-0000-0000C9200000}"/>
    <cellStyle name="20% - Accent5 2 5 3 3 2 2" xfId="31102" xr:uid="{00000000-0005-0000-0000-0000CA200000}"/>
    <cellStyle name="20% - Accent5 2 5 3 3 3" xfId="26780" xr:uid="{00000000-0005-0000-0000-0000CB200000}"/>
    <cellStyle name="20% - Accent5 2 5 3 4" xfId="9611" xr:uid="{00000000-0005-0000-0000-0000CC200000}"/>
    <cellStyle name="20% - Accent5 2 5 3 4 2" xfId="29081" xr:uid="{00000000-0005-0000-0000-0000CD200000}"/>
    <cellStyle name="20% - Accent5 2 5 3 5" xfId="24589" xr:uid="{00000000-0005-0000-0000-0000CE200000}"/>
    <cellStyle name="20% - Accent5 2 5 4" xfId="5707" xr:uid="{00000000-0005-0000-0000-0000CF200000}"/>
    <cellStyle name="20% - Accent5 2 5 4 2" xfId="7298" xr:uid="{00000000-0005-0000-0000-0000D0200000}"/>
    <cellStyle name="20% - Accent5 2 5 4 2 2" xfId="11634" xr:uid="{00000000-0005-0000-0000-0000D1200000}"/>
    <cellStyle name="20% - Accent5 2 5 4 2 2 2" xfId="31104" xr:uid="{00000000-0005-0000-0000-0000D2200000}"/>
    <cellStyle name="20% - Accent5 2 5 4 2 3" xfId="26782" xr:uid="{00000000-0005-0000-0000-0000D3200000}"/>
    <cellStyle name="20% - Accent5 2 5 4 3" xfId="10141" xr:uid="{00000000-0005-0000-0000-0000D4200000}"/>
    <cellStyle name="20% - Accent5 2 5 4 3 2" xfId="29611" xr:uid="{00000000-0005-0000-0000-0000D5200000}"/>
    <cellStyle name="20% - Accent5 2 5 4 4" xfId="25192" xr:uid="{00000000-0005-0000-0000-0000D6200000}"/>
    <cellStyle name="20% - Accent5 2 5 5" xfId="7291" xr:uid="{00000000-0005-0000-0000-0000D7200000}"/>
    <cellStyle name="20% - Accent5 2 5 5 2" xfId="11627" xr:uid="{00000000-0005-0000-0000-0000D8200000}"/>
    <cellStyle name="20% - Accent5 2 5 5 2 2" xfId="31097" xr:uid="{00000000-0005-0000-0000-0000D9200000}"/>
    <cellStyle name="20% - Accent5 2 5 5 3" xfId="26775" xr:uid="{00000000-0005-0000-0000-0000DA200000}"/>
    <cellStyle name="20% - Accent5 2 5 6" xfId="9080" xr:uid="{00000000-0005-0000-0000-0000DB200000}"/>
    <cellStyle name="20% - Accent5 2 5 6 2" xfId="28551" xr:uid="{00000000-0005-0000-0000-0000DC200000}"/>
    <cellStyle name="20% - Accent5 2 5 7" xfId="23966" xr:uid="{00000000-0005-0000-0000-0000DD200000}"/>
    <cellStyle name="20% - Accent5 3" xfId="2052" xr:uid="{00000000-0005-0000-0000-0000DE200000}"/>
    <cellStyle name="20% - Accent5 3 2" xfId="4155" xr:uid="{00000000-0005-0000-0000-0000DF200000}"/>
    <cellStyle name="20% - Accent5 4" xfId="2097" xr:uid="{00000000-0005-0000-0000-0000E0200000}"/>
    <cellStyle name="20% - Accent5 4 2" xfId="4204" xr:uid="{00000000-0005-0000-0000-0000E1200000}"/>
    <cellStyle name="20% - Accent5 5" xfId="2705" xr:uid="{00000000-0005-0000-0000-0000E2200000}"/>
    <cellStyle name="20% - Accent6" xfId="1304" builtinId="50" customBuiltin="1"/>
    <cellStyle name="20% - Accent6 2" xfId="1305" xr:uid="{00000000-0005-0000-0000-0000E4200000}"/>
    <cellStyle name="20% - Accent6 2 2" xfId="2706" xr:uid="{00000000-0005-0000-0000-0000E5200000}"/>
    <cellStyle name="20% - Accent6 2 2 10" xfId="23565" xr:uid="{00000000-0005-0000-0000-0000E6200000}"/>
    <cellStyle name="20% - Accent6 2 2 2" xfId="2873" xr:uid="{00000000-0005-0000-0000-0000E7200000}"/>
    <cellStyle name="20% - Accent6 2 2 2 2" xfId="3067" xr:uid="{00000000-0005-0000-0000-0000E8200000}"/>
    <cellStyle name="20% - Accent6 2 2 2 2 2" xfId="4694" xr:uid="{00000000-0005-0000-0000-0000E9200000}"/>
    <cellStyle name="20% - Accent6 2 2 2 2 2 2" xfId="5328" xr:uid="{00000000-0005-0000-0000-0000EA200000}"/>
    <cellStyle name="20% - Accent6 2 2 2 2 2 2 2" xfId="6462" xr:uid="{00000000-0005-0000-0000-0000EB200000}"/>
    <cellStyle name="20% - Accent6 2 2 2 2 2 2 2 2" xfId="7304" xr:uid="{00000000-0005-0000-0000-0000EC200000}"/>
    <cellStyle name="20% - Accent6 2 2 2 2 2 2 2 2 2" xfId="11640" xr:uid="{00000000-0005-0000-0000-0000ED200000}"/>
    <cellStyle name="20% - Accent6 2 2 2 2 2 2 2 2 2 2" xfId="31110" xr:uid="{00000000-0005-0000-0000-0000EE200000}"/>
    <cellStyle name="20% - Accent6 2 2 2 2 2 2 2 2 3" xfId="26788" xr:uid="{00000000-0005-0000-0000-0000EF200000}"/>
    <cellStyle name="20% - Accent6 2 2 2 2 2 2 2 3" xfId="10878" xr:uid="{00000000-0005-0000-0000-0000F0200000}"/>
    <cellStyle name="20% - Accent6 2 2 2 2 2 2 2 3 2" xfId="30348" xr:uid="{00000000-0005-0000-0000-0000F1200000}"/>
    <cellStyle name="20% - Accent6 2 2 2 2 2 2 2 4" xfId="25947" xr:uid="{00000000-0005-0000-0000-0000F2200000}"/>
    <cellStyle name="20% - Accent6 2 2 2 2 2 2 3" xfId="7303" xr:uid="{00000000-0005-0000-0000-0000F3200000}"/>
    <cellStyle name="20% - Accent6 2 2 2 2 2 2 3 2" xfId="11639" xr:uid="{00000000-0005-0000-0000-0000F4200000}"/>
    <cellStyle name="20% - Accent6 2 2 2 2 2 2 3 2 2" xfId="31109" xr:uid="{00000000-0005-0000-0000-0000F5200000}"/>
    <cellStyle name="20% - Accent6 2 2 2 2 2 2 3 3" xfId="26787" xr:uid="{00000000-0005-0000-0000-0000F6200000}"/>
    <cellStyle name="20% - Accent6 2 2 2 2 2 2 4" xfId="9817" xr:uid="{00000000-0005-0000-0000-0000F7200000}"/>
    <cellStyle name="20% - Accent6 2 2 2 2 2 2 4 2" xfId="29287" xr:uid="{00000000-0005-0000-0000-0000F8200000}"/>
    <cellStyle name="20% - Accent6 2 2 2 2 2 2 5" xfId="24819" xr:uid="{00000000-0005-0000-0000-0000F9200000}"/>
    <cellStyle name="20% - Accent6 2 2 2 2 2 3" xfId="5925" xr:uid="{00000000-0005-0000-0000-0000FA200000}"/>
    <cellStyle name="20% - Accent6 2 2 2 2 2 3 2" xfId="7305" xr:uid="{00000000-0005-0000-0000-0000FB200000}"/>
    <cellStyle name="20% - Accent6 2 2 2 2 2 3 2 2" xfId="11641" xr:uid="{00000000-0005-0000-0000-0000FC200000}"/>
    <cellStyle name="20% - Accent6 2 2 2 2 2 3 2 2 2" xfId="31111" xr:uid="{00000000-0005-0000-0000-0000FD200000}"/>
    <cellStyle name="20% - Accent6 2 2 2 2 2 3 2 3" xfId="26789" xr:uid="{00000000-0005-0000-0000-0000FE200000}"/>
    <cellStyle name="20% - Accent6 2 2 2 2 2 3 3" xfId="10347" xr:uid="{00000000-0005-0000-0000-0000FF200000}"/>
    <cellStyle name="20% - Accent6 2 2 2 2 2 3 3 2" xfId="29817" xr:uid="{00000000-0005-0000-0000-000000210000}"/>
    <cellStyle name="20% - Accent6 2 2 2 2 2 3 4" xfId="25410" xr:uid="{00000000-0005-0000-0000-000001210000}"/>
    <cellStyle name="20% - Accent6 2 2 2 2 2 4" xfId="7302" xr:uid="{00000000-0005-0000-0000-000002210000}"/>
    <cellStyle name="20% - Accent6 2 2 2 2 2 4 2" xfId="11638" xr:uid="{00000000-0005-0000-0000-000003210000}"/>
    <cellStyle name="20% - Accent6 2 2 2 2 2 4 2 2" xfId="31108" xr:uid="{00000000-0005-0000-0000-000004210000}"/>
    <cellStyle name="20% - Accent6 2 2 2 2 2 4 3" xfId="26786" xr:uid="{00000000-0005-0000-0000-000005210000}"/>
    <cellStyle name="20% - Accent6 2 2 2 2 2 5" xfId="9287" xr:uid="{00000000-0005-0000-0000-000006210000}"/>
    <cellStyle name="20% - Accent6 2 2 2 2 2 5 2" xfId="28757" xr:uid="{00000000-0005-0000-0000-000007210000}"/>
    <cellStyle name="20% - Accent6 2 2 2 2 2 6" xfId="24205" xr:uid="{00000000-0005-0000-0000-000008210000}"/>
    <cellStyle name="20% - Accent6 2 2 2 2 3" xfId="5032" xr:uid="{00000000-0005-0000-0000-000009210000}"/>
    <cellStyle name="20% - Accent6 2 2 2 2 3 2" xfId="6194" xr:uid="{00000000-0005-0000-0000-00000A210000}"/>
    <cellStyle name="20% - Accent6 2 2 2 2 3 2 2" xfId="7307" xr:uid="{00000000-0005-0000-0000-00000B210000}"/>
    <cellStyle name="20% - Accent6 2 2 2 2 3 2 2 2" xfId="11643" xr:uid="{00000000-0005-0000-0000-00000C210000}"/>
    <cellStyle name="20% - Accent6 2 2 2 2 3 2 2 2 2" xfId="31113" xr:uid="{00000000-0005-0000-0000-00000D210000}"/>
    <cellStyle name="20% - Accent6 2 2 2 2 3 2 2 3" xfId="26791" xr:uid="{00000000-0005-0000-0000-00000E210000}"/>
    <cellStyle name="20% - Accent6 2 2 2 2 3 2 3" xfId="10612" xr:uid="{00000000-0005-0000-0000-00000F210000}"/>
    <cellStyle name="20% - Accent6 2 2 2 2 3 2 3 2" xfId="30082" xr:uid="{00000000-0005-0000-0000-000010210000}"/>
    <cellStyle name="20% - Accent6 2 2 2 2 3 2 4" xfId="25679" xr:uid="{00000000-0005-0000-0000-000011210000}"/>
    <cellStyle name="20% - Accent6 2 2 2 2 3 3" xfId="7306" xr:uid="{00000000-0005-0000-0000-000012210000}"/>
    <cellStyle name="20% - Accent6 2 2 2 2 3 3 2" xfId="11642" xr:uid="{00000000-0005-0000-0000-000013210000}"/>
    <cellStyle name="20% - Accent6 2 2 2 2 3 3 2 2" xfId="31112" xr:uid="{00000000-0005-0000-0000-000014210000}"/>
    <cellStyle name="20% - Accent6 2 2 2 2 3 3 3" xfId="26790" xr:uid="{00000000-0005-0000-0000-000015210000}"/>
    <cellStyle name="20% - Accent6 2 2 2 2 3 4" xfId="9552" xr:uid="{00000000-0005-0000-0000-000016210000}"/>
    <cellStyle name="20% - Accent6 2 2 2 2 3 4 2" xfId="29022" xr:uid="{00000000-0005-0000-0000-000017210000}"/>
    <cellStyle name="20% - Accent6 2 2 2 2 3 5" xfId="24526" xr:uid="{00000000-0005-0000-0000-000018210000}"/>
    <cellStyle name="20% - Accent6 2 2 2 2 4" xfId="5637" xr:uid="{00000000-0005-0000-0000-000019210000}"/>
    <cellStyle name="20% - Accent6 2 2 2 2 4 2" xfId="7308" xr:uid="{00000000-0005-0000-0000-00001A210000}"/>
    <cellStyle name="20% - Accent6 2 2 2 2 4 2 2" xfId="11644" xr:uid="{00000000-0005-0000-0000-00001B210000}"/>
    <cellStyle name="20% - Accent6 2 2 2 2 4 2 2 2" xfId="31114" xr:uid="{00000000-0005-0000-0000-00001C210000}"/>
    <cellStyle name="20% - Accent6 2 2 2 2 4 2 3" xfId="26792" xr:uid="{00000000-0005-0000-0000-00001D210000}"/>
    <cellStyle name="20% - Accent6 2 2 2 2 4 3" xfId="10082" xr:uid="{00000000-0005-0000-0000-00001E210000}"/>
    <cellStyle name="20% - Accent6 2 2 2 2 4 3 2" xfId="29552" xr:uid="{00000000-0005-0000-0000-00001F210000}"/>
    <cellStyle name="20% - Accent6 2 2 2 2 4 4" xfId="25124" xr:uid="{00000000-0005-0000-0000-000020210000}"/>
    <cellStyle name="20% - Accent6 2 2 2 2 5" xfId="7301" xr:uid="{00000000-0005-0000-0000-000021210000}"/>
    <cellStyle name="20% - Accent6 2 2 2 2 5 2" xfId="11637" xr:uid="{00000000-0005-0000-0000-000022210000}"/>
    <cellStyle name="20% - Accent6 2 2 2 2 5 2 2" xfId="31107" xr:uid="{00000000-0005-0000-0000-000023210000}"/>
    <cellStyle name="20% - Accent6 2 2 2 2 5 3" xfId="26785" xr:uid="{00000000-0005-0000-0000-000024210000}"/>
    <cellStyle name="20% - Accent6 2 2 2 2 6" xfId="9018" xr:uid="{00000000-0005-0000-0000-000025210000}"/>
    <cellStyle name="20% - Accent6 2 2 2 2 6 2" xfId="28492" xr:uid="{00000000-0005-0000-0000-000026210000}"/>
    <cellStyle name="20% - Accent6 2 2 2 2 7" xfId="23876" xr:uid="{00000000-0005-0000-0000-000027210000}"/>
    <cellStyle name="20% - Accent6 2 2 2 3" xfId="4285" xr:uid="{00000000-0005-0000-0000-000028210000}"/>
    <cellStyle name="20% - Accent6 2 2 2 3 2" xfId="4860" xr:uid="{00000000-0005-0000-0000-000029210000}"/>
    <cellStyle name="20% - Accent6 2 2 2 3 2 2" xfId="5485" xr:uid="{00000000-0005-0000-0000-00002A210000}"/>
    <cellStyle name="20% - Accent6 2 2 2 3 2 2 2" xfId="6613" xr:uid="{00000000-0005-0000-0000-00002B210000}"/>
    <cellStyle name="20% - Accent6 2 2 2 3 2 2 2 2" xfId="7312" xr:uid="{00000000-0005-0000-0000-00002C210000}"/>
    <cellStyle name="20% - Accent6 2 2 2 3 2 2 2 2 2" xfId="11648" xr:uid="{00000000-0005-0000-0000-00002D210000}"/>
    <cellStyle name="20% - Accent6 2 2 2 3 2 2 2 2 2 2" xfId="31118" xr:uid="{00000000-0005-0000-0000-00002E210000}"/>
    <cellStyle name="20% - Accent6 2 2 2 3 2 2 2 2 3" xfId="26796" xr:uid="{00000000-0005-0000-0000-00002F210000}"/>
    <cellStyle name="20% - Accent6 2 2 2 3 2 2 2 3" xfId="11029" xr:uid="{00000000-0005-0000-0000-000030210000}"/>
    <cellStyle name="20% - Accent6 2 2 2 3 2 2 2 3 2" xfId="30499" xr:uid="{00000000-0005-0000-0000-000031210000}"/>
    <cellStyle name="20% - Accent6 2 2 2 3 2 2 2 4" xfId="26098" xr:uid="{00000000-0005-0000-0000-000032210000}"/>
    <cellStyle name="20% - Accent6 2 2 2 3 2 2 3" xfId="7311" xr:uid="{00000000-0005-0000-0000-000033210000}"/>
    <cellStyle name="20% - Accent6 2 2 2 3 2 2 3 2" xfId="11647" xr:uid="{00000000-0005-0000-0000-000034210000}"/>
    <cellStyle name="20% - Accent6 2 2 2 3 2 2 3 2 2" xfId="31117" xr:uid="{00000000-0005-0000-0000-000035210000}"/>
    <cellStyle name="20% - Accent6 2 2 2 3 2 2 3 3" xfId="26795" xr:uid="{00000000-0005-0000-0000-000036210000}"/>
    <cellStyle name="20% - Accent6 2 2 2 3 2 2 4" xfId="9968" xr:uid="{00000000-0005-0000-0000-000037210000}"/>
    <cellStyle name="20% - Accent6 2 2 2 3 2 2 4 2" xfId="29438" xr:uid="{00000000-0005-0000-0000-000038210000}"/>
    <cellStyle name="20% - Accent6 2 2 2 3 2 2 5" xfId="24976" xr:uid="{00000000-0005-0000-0000-000039210000}"/>
    <cellStyle name="20% - Accent6 2 2 2 3 2 3" xfId="6078" xr:uid="{00000000-0005-0000-0000-00003A210000}"/>
    <cellStyle name="20% - Accent6 2 2 2 3 2 3 2" xfId="7313" xr:uid="{00000000-0005-0000-0000-00003B210000}"/>
    <cellStyle name="20% - Accent6 2 2 2 3 2 3 2 2" xfId="11649" xr:uid="{00000000-0005-0000-0000-00003C210000}"/>
    <cellStyle name="20% - Accent6 2 2 2 3 2 3 2 2 2" xfId="31119" xr:uid="{00000000-0005-0000-0000-00003D210000}"/>
    <cellStyle name="20% - Accent6 2 2 2 3 2 3 2 3" xfId="26797" xr:uid="{00000000-0005-0000-0000-00003E210000}"/>
    <cellStyle name="20% - Accent6 2 2 2 3 2 3 3" xfId="10498" xr:uid="{00000000-0005-0000-0000-00003F210000}"/>
    <cellStyle name="20% - Accent6 2 2 2 3 2 3 3 2" xfId="29968" xr:uid="{00000000-0005-0000-0000-000040210000}"/>
    <cellStyle name="20% - Accent6 2 2 2 3 2 3 4" xfId="25563" xr:uid="{00000000-0005-0000-0000-000041210000}"/>
    <cellStyle name="20% - Accent6 2 2 2 3 2 4" xfId="7310" xr:uid="{00000000-0005-0000-0000-000042210000}"/>
    <cellStyle name="20% - Accent6 2 2 2 3 2 4 2" xfId="11646" xr:uid="{00000000-0005-0000-0000-000043210000}"/>
    <cellStyle name="20% - Accent6 2 2 2 3 2 4 2 2" xfId="31116" xr:uid="{00000000-0005-0000-0000-000044210000}"/>
    <cellStyle name="20% - Accent6 2 2 2 3 2 4 3" xfId="26794" xr:uid="{00000000-0005-0000-0000-000045210000}"/>
    <cellStyle name="20% - Accent6 2 2 2 3 2 5" xfId="9438" xr:uid="{00000000-0005-0000-0000-000046210000}"/>
    <cellStyle name="20% - Accent6 2 2 2 3 2 5 2" xfId="28908" xr:uid="{00000000-0005-0000-0000-000047210000}"/>
    <cellStyle name="20% - Accent6 2 2 2 3 2 6" xfId="24362" xr:uid="{00000000-0005-0000-0000-000048210000}"/>
    <cellStyle name="20% - Accent6 2 2 2 3 3" xfId="5190" xr:uid="{00000000-0005-0000-0000-000049210000}"/>
    <cellStyle name="20% - Accent6 2 2 2 3 3 2" xfId="6346" xr:uid="{00000000-0005-0000-0000-00004A210000}"/>
    <cellStyle name="20% - Accent6 2 2 2 3 3 2 2" xfId="7315" xr:uid="{00000000-0005-0000-0000-00004B210000}"/>
    <cellStyle name="20% - Accent6 2 2 2 3 3 2 2 2" xfId="11651" xr:uid="{00000000-0005-0000-0000-00004C210000}"/>
    <cellStyle name="20% - Accent6 2 2 2 3 3 2 2 2 2" xfId="31121" xr:uid="{00000000-0005-0000-0000-00004D210000}"/>
    <cellStyle name="20% - Accent6 2 2 2 3 3 2 2 3" xfId="26799" xr:uid="{00000000-0005-0000-0000-00004E210000}"/>
    <cellStyle name="20% - Accent6 2 2 2 3 3 2 3" xfId="10763" xr:uid="{00000000-0005-0000-0000-00004F210000}"/>
    <cellStyle name="20% - Accent6 2 2 2 3 3 2 3 2" xfId="30233" xr:uid="{00000000-0005-0000-0000-000050210000}"/>
    <cellStyle name="20% - Accent6 2 2 2 3 3 2 4" xfId="25831" xr:uid="{00000000-0005-0000-0000-000051210000}"/>
    <cellStyle name="20% - Accent6 2 2 2 3 3 3" xfId="7314" xr:uid="{00000000-0005-0000-0000-000052210000}"/>
    <cellStyle name="20% - Accent6 2 2 2 3 3 3 2" xfId="11650" xr:uid="{00000000-0005-0000-0000-000053210000}"/>
    <cellStyle name="20% - Accent6 2 2 2 3 3 3 2 2" xfId="31120" xr:uid="{00000000-0005-0000-0000-000054210000}"/>
    <cellStyle name="20% - Accent6 2 2 2 3 3 3 3" xfId="26798" xr:uid="{00000000-0005-0000-0000-000055210000}"/>
    <cellStyle name="20% - Accent6 2 2 2 3 3 4" xfId="9703" xr:uid="{00000000-0005-0000-0000-000056210000}"/>
    <cellStyle name="20% - Accent6 2 2 2 3 3 4 2" xfId="29173" xr:uid="{00000000-0005-0000-0000-000057210000}"/>
    <cellStyle name="20% - Accent6 2 2 2 3 3 5" xfId="24681" xr:uid="{00000000-0005-0000-0000-000058210000}"/>
    <cellStyle name="20% - Accent6 2 2 2 3 4" xfId="5799" xr:uid="{00000000-0005-0000-0000-000059210000}"/>
    <cellStyle name="20% - Accent6 2 2 2 3 4 2" xfId="7316" xr:uid="{00000000-0005-0000-0000-00005A210000}"/>
    <cellStyle name="20% - Accent6 2 2 2 3 4 2 2" xfId="11652" xr:uid="{00000000-0005-0000-0000-00005B210000}"/>
    <cellStyle name="20% - Accent6 2 2 2 3 4 2 2 2" xfId="31122" xr:uid="{00000000-0005-0000-0000-00005C210000}"/>
    <cellStyle name="20% - Accent6 2 2 2 3 4 2 3" xfId="26800" xr:uid="{00000000-0005-0000-0000-00005D210000}"/>
    <cellStyle name="20% - Accent6 2 2 2 3 4 3" xfId="10233" xr:uid="{00000000-0005-0000-0000-00005E210000}"/>
    <cellStyle name="20% - Accent6 2 2 2 3 4 3 2" xfId="29703" xr:uid="{00000000-0005-0000-0000-00005F210000}"/>
    <cellStyle name="20% - Accent6 2 2 2 3 4 4" xfId="25284" xr:uid="{00000000-0005-0000-0000-000060210000}"/>
    <cellStyle name="20% - Accent6 2 2 2 3 5" xfId="7309" xr:uid="{00000000-0005-0000-0000-000061210000}"/>
    <cellStyle name="20% - Accent6 2 2 2 3 5 2" xfId="11645" xr:uid="{00000000-0005-0000-0000-000062210000}"/>
    <cellStyle name="20% - Accent6 2 2 2 3 5 2 2" xfId="31115" xr:uid="{00000000-0005-0000-0000-000063210000}"/>
    <cellStyle name="20% - Accent6 2 2 2 3 5 3" xfId="26793" xr:uid="{00000000-0005-0000-0000-000064210000}"/>
    <cellStyle name="20% - Accent6 2 2 2 3 6" xfId="9172" xr:uid="{00000000-0005-0000-0000-000065210000}"/>
    <cellStyle name="20% - Accent6 2 2 2 3 6 2" xfId="28643" xr:uid="{00000000-0005-0000-0000-000066210000}"/>
    <cellStyle name="20% - Accent6 2 2 2 3 7" xfId="24061" xr:uid="{00000000-0005-0000-0000-000067210000}"/>
    <cellStyle name="20% - Accent6 2 2 2 4" xfId="4622" xr:uid="{00000000-0005-0000-0000-000068210000}"/>
    <cellStyle name="20% - Accent6 2 2 2 4 2" xfId="5262" xr:uid="{00000000-0005-0000-0000-000069210000}"/>
    <cellStyle name="20% - Accent6 2 2 2 4 2 2" xfId="6396" xr:uid="{00000000-0005-0000-0000-00006A210000}"/>
    <cellStyle name="20% - Accent6 2 2 2 4 2 2 2" xfId="7319" xr:uid="{00000000-0005-0000-0000-00006B210000}"/>
    <cellStyle name="20% - Accent6 2 2 2 4 2 2 2 2" xfId="11655" xr:uid="{00000000-0005-0000-0000-00006C210000}"/>
    <cellStyle name="20% - Accent6 2 2 2 4 2 2 2 2 2" xfId="31125" xr:uid="{00000000-0005-0000-0000-00006D210000}"/>
    <cellStyle name="20% - Accent6 2 2 2 4 2 2 2 3" xfId="26803" xr:uid="{00000000-0005-0000-0000-00006E210000}"/>
    <cellStyle name="20% - Accent6 2 2 2 4 2 2 3" xfId="10812" xr:uid="{00000000-0005-0000-0000-00006F210000}"/>
    <cellStyle name="20% - Accent6 2 2 2 4 2 2 3 2" xfId="30282" xr:uid="{00000000-0005-0000-0000-000070210000}"/>
    <cellStyle name="20% - Accent6 2 2 2 4 2 2 4" xfId="25881" xr:uid="{00000000-0005-0000-0000-000071210000}"/>
    <cellStyle name="20% - Accent6 2 2 2 4 2 3" xfId="7318" xr:uid="{00000000-0005-0000-0000-000072210000}"/>
    <cellStyle name="20% - Accent6 2 2 2 4 2 3 2" xfId="11654" xr:uid="{00000000-0005-0000-0000-000073210000}"/>
    <cellStyle name="20% - Accent6 2 2 2 4 2 3 2 2" xfId="31124" xr:uid="{00000000-0005-0000-0000-000074210000}"/>
    <cellStyle name="20% - Accent6 2 2 2 4 2 3 3" xfId="26802" xr:uid="{00000000-0005-0000-0000-000075210000}"/>
    <cellStyle name="20% - Accent6 2 2 2 4 2 4" xfId="9751" xr:uid="{00000000-0005-0000-0000-000076210000}"/>
    <cellStyle name="20% - Accent6 2 2 2 4 2 4 2" xfId="29221" xr:uid="{00000000-0005-0000-0000-000077210000}"/>
    <cellStyle name="20% - Accent6 2 2 2 4 2 5" xfId="24753" xr:uid="{00000000-0005-0000-0000-000078210000}"/>
    <cellStyle name="20% - Accent6 2 2 2 4 3" xfId="5859" xr:uid="{00000000-0005-0000-0000-000079210000}"/>
    <cellStyle name="20% - Accent6 2 2 2 4 3 2" xfId="7320" xr:uid="{00000000-0005-0000-0000-00007A210000}"/>
    <cellStyle name="20% - Accent6 2 2 2 4 3 2 2" xfId="11656" xr:uid="{00000000-0005-0000-0000-00007B210000}"/>
    <cellStyle name="20% - Accent6 2 2 2 4 3 2 2 2" xfId="31126" xr:uid="{00000000-0005-0000-0000-00007C210000}"/>
    <cellStyle name="20% - Accent6 2 2 2 4 3 2 3" xfId="26804" xr:uid="{00000000-0005-0000-0000-00007D210000}"/>
    <cellStyle name="20% - Accent6 2 2 2 4 3 3" xfId="10281" xr:uid="{00000000-0005-0000-0000-00007E210000}"/>
    <cellStyle name="20% - Accent6 2 2 2 4 3 3 2" xfId="29751" xr:uid="{00000000-0005-0000-0000-00007F210000}"/>
    <cellStyle name="20% - Accent6 2 2 2 4 3 4" xfId="25344" xr:uid="{00000000-0005-0000-0000-000080210000}"/>
    <cellStyle name="20% - Accent6 2 2 2 4 4" xfId="7317" xr:uid="{00000000-0005-0000-0000-000081210000}"/>
    <cellStyle name="20% - Accent6 2 2 2 4 4 2" xfId="11653" xr:uid="{00000000-0005-0000-0000-000082210000}"/>
    <cellStyle name="20% - Accent6 2 2 2 4 4 2 2" xfId="31123" xr:uid="{00000000-0005-0000-0000-000083210000}"/>
    <cellStyle name="20% - Accent6 2 2 2 4 4 3" xfId="26801" xr:uid="{00000000-0005-0000-0000-000084210000}"/>
    <cellStyle name="20% - Accent6 2 2 2 4 5" xfId="9221" xr:uid="{00000000-0005-0000-0000-000085210000}"/>
    <cellStyle name="20% - Accent6 2 2 2 4 5 2" xfId="28691" xr:uid="{00000000-0005-0000-0000-000086210000}"/>
    <cellStyle name="20% - Accent6 2 2 2 4 6" xfId="24133" xr:uid="{00000000-0005-0000-0000-000087210000}"/>
    <cellStyle name="20% - Accent6 2 2 2 5" xfId="4966" xr:uid="{00000000-0005-0000-0000-000088210000}"/>
    <cellStyle name="20% - Accent6 2 2 2 5 2" xfId="6128" xr:uid="{00000000-0005-0000-0000-000089210000}"/>
    <cellStyle name="20% - Accent6 2 2 2 5 2 2" xfId="7322" xr:uid="{00000000-0005-0000-0000-00008A210000}"/>
    <cellStyle name="20% - Accent6 2 2 2 5 2 2 2" xfId="11658" xr:uid="{00000000-0005-0000-0000-00008B210000}"/>
    <cellStyle name="20% - Accent6 2 2 2 5 2 2 2 2" xfId="31128" xr:uid="{00000000-0005-0000-0000-00008C210000}"/>
    <cellStyle name="20% - Accent6 2 2 2 5 2 2 3" xfId="26806" xr:uid="{00000000-0005-0000-0000-00008D210000}"/>
    <cellStyle name="20% - Accent6 2 2 2 5 2 3" xfId="10546" xr:uid="{00000000-0005-0000-0000-00008E210000}"/>
    <cellStyle name="20% - Accent6 2 2 2 5 2 3 2" xfId="30016" xr:uid="{00000000-0005-0000-0000-00008F210000}"/>
    <cellStyle name="20% - Accent6 2 2 2 5 2 4" xfId="25613" xr:uid="{00000000-0005-0000-0000-000090210000}"/>
    <cellStyle name="20% - Accent6 2 2 2 5 3" xfId="7321" xr:uid="{00000000-0005-0000-0000-000091210000}"/>
    <cellStyle name="20% - Accent6 2 2 2 5 3 2" xfId="11657" xr:uid="{00000000-0005-0000-0000-000092210000}"/>
    <cellStyle name="20% - Accent6 2 2 2 5 3 2 2" xfId="31127" xr:uid="{00000000-0005-0000-0000-000093210000}"/>
    <cellStyle name="20% - Accent6 2 2 2 5 3 3" xfId="26805" xr:uid="{00000000-0005-0000-0000-000094210000}"/>
    <cellStyle name="20% - Accent6 2 2 2 5 4" xfId="9486" xr:uid="{00000000-0005-0000-0000-000095210000}"/>
    <cellStyle name="20% - Accent6 2 2 2 5 4 2" xfId="28956" xr:uid="{00000000-0005-0000-0000-000096210000}"/>
    <cellStyle name="20% - Accent6 2 2 2 5 5" xfId="24460" xr:uid="{00000000-0005-0000-0000-000097210000}"/>
    <cellStyle name="20% - Accent6 2 2 2 6" xfId="5571" xr:uid="{00000000-0005-0000-0000-000098210000}"/>
    <cellStyle name="20% - Accent6 2 2 2 6 2" xfId="7323" xr:uid="{00000000-0005-0000-0000-000099210000}"/>
    <cellStyle name="20% - Accent6 2 2 2 6 2 2" xfId="11659" xr:uid="{00000000-0005-0000-0000-00009A210000}"/>
    <cellStyle name="20% - Accent6 2 2 2 6 2 2 2" xfId="31129" xr:uid="{00000000-0005-0000-0000-00009B210000}"/>
    <cellStyle name="20% - Accent6 2 2 2 6 2 3" xfId="26807" xr:uid="{00000000-0005-0000-0000-00009C210000}"/>
    <cellStyle name="20% - Accent6 2 2 2 6 3" xfId="10016" xr:uid="{00000000-0005-0000-0000-00009D210000}"/>
    <cellStyle name="20% - Accent6 2 2 2 6 3 2" xfId="29486" xr:uid="{00000000-0005-0000-0000-00009E210000}"/>
    <cellStyle name="20% - Accent6 2 2 2 6 4" xfId="25058" xr:uid="{00000000-0005-0000-0000-00009F210000}"/>
    <cellStyle name="20% - Accent6 2 2 2 7" xfId="7300" xr:uid="{00000000-0005-0000-0000-0000A0210000}"/>
    <cellStyle name="20% - Accent6 2 2 2 7 2" xfId="11636" xr:uid="{00000000-0005-0000-0000-0000A1210000}"/>
    <cellStyle name="20% - Accent6 2 2 2 7 2 2" xfId="31106" xr:uid="{00000000-0005-0000-0000-0000A2210000}"/>
    <cellStyle name="20% - Accent6 2 2 2 7 3" xfId="26784" xr:uid="{00000000-0005-0000-0000-0000A3210000}"/>
    <cellStyle name="20% - Accent6 2 2 2 8" xfId="8952" xr:uid="{00000000-0005-0000-0000-0000A4210000}"/>
    <cellStyle name="20% - Accent6 2 2 2 8 2" xfId="28426" xr:uid="{00000000-0005-0000-0000-0000A5210000}"/>
    <cellStyle name="20% - Accent6 2 2 2 9" xfId="23684" xr:uid="{00000000-0005-0000-0000-0000A6210000}"/>
    <cellStyle name="20% - Accent6 2 2 3" xfId="2949" xr:uid="{00000000-0005-0000-0000-0000A7210000}"/>
    <cellStyle name="20% - Accent6 2 2 3 2" xfId="4656" xr:uid="{00000000-0005-0000-0000-0000A8210000}"/>
    <cellStyle name="20% - Accent6 2 2 3 2 2" xfId="5296" xr:uid="{00000000-0005-0000-0000-0000A9210000}"/>
    <cellStyle name="20% - Accent6 2 2 3 2 2 2" xfId="6430" xr:uid="{00000000-0005-0000-0000-0000AA210000}"/>
    <cellStyle name="20% - Accent6 2 2 3 2 2 2 2" xfId="7327" xr:uid="{00000000-0005-0000-0000-0000AB210000}"/>
    <cellStyle name="20% - Accent6 2 2 3 2 2 2 2 2" xfId="11663" xr:uid="{00000000-0005-0000-0000-0000AC210000}"/>
    <cellStyle name="20% - Accent6 2 2 3 2 2 2 2 2 2" xfId="31133" xr:uid="{00000000-0005-0000-0000-0000AD210000}"/>
    <cellStyle name="20% - Accent6 2 2 3 2 2 2 2 3" xfId="26811" xr:uid="{00000000-0005-0000-0000-0000AE210000}"/>
    <cellStyle name="20% - Accent6 2 2 3 2 2 2 3" xfId="10846" xr:uid="{00000000-0005-0000-0000-0000AF210000}"/>
    <cellStyle name="20% - Accent6 2 2 3 2 2 2 3 2" xfId="30316" xr:uid="{00000000-0005-0000-0000-0000B0210000}"/>
    <cellStyle name="20% - Accent6 2 2 3 2 2 2 4" xfId="25915" xr:uid="{00000000-0005-0000-0000-0000B1210000}"/>
    <cellStyle name="20% - Accent6 2 2 3 2 2 3" xfId="7326" xr:uid="{00000000-0005-0000-0000-0000B2210000}"/>
    <cellStyle name="20% - Accent6 2 2 3 2 2 3 2" xfId="11662" xr:uid="{00000000-0005-0000-0000-0000B3210000}"/>
    <cellStyle name="20% - Accent6 2 2 3 2 2 3 2 2" xfId="31132" xr:uid="{00000000-0005-0000-0000-0000B4210000}"/>
    <cellStyle name="20% - Accent6 2 2 3 2 2 3 3" xfId="26810" xr:uid="{00000000-0005-0000-0000-0000B5210000}"/>
    <cellStyle name="20% - Accent6 2 2 3 2 2 4" xfId="9785" xr:uid="{00000000-0005-0000-0000-0000B6210000}"/>
    <cellStyle name="20% - Accent6 2 2 3 2 2 4 2" xfId="29255" xr:uid="{00000000-0005-0000-0000-0000B7210000}"/>
    <cellStyle name="20% - Accent6 2 2 3 2 2 5" xfId="24787" xr:uid="{00000000-0005-0000-0000-0000B8210000}"/>
    <cellStyle name="20% - Accent6 2 2 3 2 3" xfId="5893" xr:uid="{00000000-0005-0000-0000-0000B9210000}"/>
    <cellStyle name="20% - Accent6 2 2 3 2 3 2" xfId="7328" xr:uid="{00000000-0005-0000-0000-0000BA210000}"/>
    <cellStyle name="20% - Accent6 2 2 3 2 3 2 2" xfId="11664" xr:uid="{00000000-0005-0000-0000-0000BB210000}"/>
    <cellStyle name="20% - Accent6 2 2 3 2 3 2 2 2" xfId="31134" xr:uid="{00000000-0005-0000-0000-0000BC210000}"/>
    <cellStyle name="20% - Accent6 2 2 3 2 3 2 3" xfId="26812" xr:uid="{00000000-0005-0000-0000-0000BD210000}"/>
    <cellStyle name="20% - Accent6 2 2 3 2 3 3" xfId="10315" xr:uid="{00000000-0005-0000-0000-0000BE210000}"/>
    <cellStyle name="20% - Accent6 2 2 3 2 3 3 2" xfId="29785" xr:uid="{00000000-0005-0000-0000-0000BF210000}"/>
    <cellStyle name="20% - Accent6 2 2 3 2 3 4" xfId="25378" xr:uid="{00000000-0005-0000-0000-0000C0210000}"/>
    <cellStyle name="20% - Accent6 2 2 3 2 4" xfId="7325" xr:uid="{00000000-0005-0000-0000-0000C1210000}"/>
    <cellStyle name="20% - Accent6 2 2 3 2 4 2" xfId="11661" xr:uid="{00000000-0005-0000-0000-0000C2210000}"/>
    <cellStyle name="20% - Accent6 2 2 3 2 4 2 2" xfId="31131" xr:uid="{00000000-0005-0000-0000-0000C3210000}"/>
    <cellStyle name="20% - Accent6 2 2 3 2 4 3" xfId="26809" xr:uid="{00000000-0005-0000-0000-0000C4210000}"/>
    <cellStyle name="20% - Accent6 2 2 3 2 5" xfId="9255" xr:uid="{00000000-0005-0000-0000-0000C5210000}"/>
    <cellStyle name="20% - Accent6 2 2 3 2 5 2" xfId="28725" xr:uid="{00000000-0005-0000-0000-0000C6210000}"/>
    <cellStyle name="20% - Accent6 2 2 3 2 6" xfId="24167" xr:uid="{00000000-0005-0000-0000-0000C7210000}"/>
    <cellStyle name="20% - Accent6 2 2 3 3" xfId="5000" xr:uid="{00000000-0005-0000-0000-0000C8210000}"/>
    <cellStyle name="20% - Accent6 2 2 3 3 2" xfId="6162" xr:uid="{00000000-0005-0000-0000-0000C9210000}"/>
    <cellStyle name="20% - Accent6 2 2 3 3 2 2" xfId="7330" xr:uid="{00000000-0005-0000-0000-0000CA210000}"/>
    <cellStyle name="20% - Accent6 2 2 3 3 2 2 2" xfId="11666" xr:uid="{00000000-0005-0000-0000-0000CB210000}"/>
    <cellStyle name="20% - Accent6 2 2 3 3 2 2 2 2" xfId="31136" xr:uid="{00000000-0005-0000-0000-0000CC210000}"/>
    <cellStyle name="20% - Accent6 2 2 3 3 2 2 3" xfId="26814" xr:uid="{00000000-0005-0000-0000-0000CD210000}"/>
    <cellStyle name="20% - Accent6 2 2 3 3 2 3" xfId="10580" xr:uid="{00000000-0005-0000-0000-0000CE210000}"/>
    <cellStyle name="20% - Accent6 2 2 3 3 2 3 2" xfId="30050" xr:uid="{00000000-0005-0000-0000-0000CF210000}"/>
    <cellStyle name="20% - Accent6 2 2 3 3 2 4" xfId="25647" xr:uid="{00000000-0005-0000-0000-0000D0210000}"/>
    <cellStyle name="20% - Accent6 2 2 3 3 3" xfId="7329" xr:uid="{00000000-0005-0000-0000-0000D1210000}"/>
    <cellStyle name="20% - Accent6 2 2 3 3 3 2" xfId="11665" xr:uid="{00000000-0005-0000-0000-0000D2210000}"/>
    <cellStyle name="20% - Accent6 2 2 3 3 3 2 2" xfId="31135" xr:uid="{00000000-0005-0000-0000-0000D3210000}"/>
    <cellStyle name="20% - Accent6 2 2 3 3 3 3" xfId="26813" xr:uid="{00000000-0005-0000-0000-0000D4210000}"/>
    <cellStyle name="20% - Accent6 2 2 3 3 4" xfId="9520" xr:uid="{00000000-0005-0000-0000-0000D5210000}"/>
    <cellStyle name="20% - Accent6 2 2 3 3 4 2" xfId="28990" xr:uid="{00000000-0005-0000-0000-0000D6210000}"/>
    <cellStyle name="20% - Accent6 2 2 3 3 5" xfId="24494" xr:uid="{00000000-0005-0000-0000-0000D7210000}"/>
    <cellStyle name="20% - Accent6 2 2 3 4" xfId="5605" xr:uid="{00000000-0005-0000-0000-0000D8210000}"/>
    <cellStyle name="20% - Accent6 2 2 3 4 2" xfId="7331" xr:uid="{00000000-0005-0000-0000-0000D9210000}"/>
    <cellStyle name="20% - Accent6 2 2 3 4 2 2" xfId="11667" xr:uid="{00000000-0005-0000-0000-0000DA210000}"/>
    <cellStyle name="20% - Accent6 2 2 3 4 2 2 2" xfId="31137" xr:uid="{00000000-0005-0000-0000-0000DB210000}"/>
    <cellStyle name="20% - Accent6 2 2 3 4 2 3" xfId="26815" xr:uid="{00000000-0005-0000-0000-0000DC210000}"/>
    <cellStyle name="20% - Accent6 2 2 3 4 3" xfId="10050" xr:uid="{00000000-0005-0000-0000-0000DD210000}"/>
    <cellStyle name="20% - Accent6 2 2 3 4 3 2" xfId="29520" xr:uid="{00000000-0005-0000-0000-0000DE210000}"/>
    <cellStyle name="20% - Accent6 2 2 3 4 4" xfId="25092" xr:uid="{00000000-0005-0000-0000-0000DF210000}"/>
    <cellStyle name="20% - Accent6 2 2 3 5" xfId="7324" xr:uid="{00000000-0005-0000-0000-0000E0210000}"/>
    <cellStyle name="20% - Accent6 2 2 3 5 2" xfId="11660" xr:uid="{00000000-0005-0000-0000-0000E1210000}"/>
    <cellStyle name="20% - Accent6 2 2 3 5 2 2" xfId="31130" xr:uid="{00000000-0005-0000-0000-0000E2210000}"/>
    <cellStyle name="20% - Accent6 2 2 3 5 3" xfId="26808" xr:uid="{00000000-0005-0000-0000-0000E3210000}"/>
    <cellStyle name="20% - Accent6 2 2 3 6" xfId="8986" xr:uid="{00000000-0005-0000-0000-0000E4210000}"/>
    <cellStyle name="20% - Accent6 2 2 3 6 2" xfId="28460" xr:uid="{00000000-0005-0000-0000-0000E5210000}"/>
    <cellStyle name="20% - Accent6 2 2 3 7" xfId="23758" xr:uid="{00000000-0005-0000-0000-0000E6210000}"/>
    <cellStyle name="20% - Accent6 2 2 4" xfId="4230" xr:uid="{00000000-0005-0000-0000-0000E7210000}"/>
    <cellStyle name="20% - Accent6 2 2 4 2" xfId="4805" xr:uid="{00000000-0005-0000-0000-0000E8210000}"/>
    <cellStyle name="20% - Accent6 2 2 4 2 2" xfId="5431" xr:uid="{00000000-0005-0000-0000-0000E9210000}"/>
    <cellStyle name="20% - Accent6 2 2 4 2 2 2" xfId="6559" xr:uid="{00000000-0005-0000-0000-0000EA210000}"/>
    <cellStyle name="20% - Accent6 2 2 4 2 2 2 2" xfId="7335" xr:uid="{00000000-0005-0000-0000-0000EB210000}"/>
    <cellStyle name="20% - Accent6 2 2 4 2 2 2 2 2" xfId="11671" xr:uid="{00000000-0005-0000-0000-0000EC210000}"/>
    <cellStyle name="20% - Accent6 2 2 4 2 2 2 2 2 2" xfId="31141" xr:uid="{00000000-0005-0000-0000-0000ED210000}"/>
    <cellStyle name="20% - Accent6 2 2 4 2 2 2 2 3" xfId="26819" xr:uid="{00000000-0005-0000-0000-0000EE210000}"/>
    <cellStyle name="20% - Accent6 2 2 4 2 2 2 3" xfId="10975" xr:uid="{00000000-0005-0000-0000-0000EF210000}"/>
    <cellStyle name="20% - Accent6 2 2 4 2 2 2 3 2" xfId="30445" xr:uid="{00000000-0005-0000-0000-0000F0210000}"/>
    <cellStyle name="20% - Accent6 2 2 4 2 2 2 4" xfId="26044" xr:uid="{00000000-0005-0000-0000-0000F1210000}"/>
    <cellStyle name="20% - Accent6 2 2 4 2 2 3" xfId="7334" xr:uid="{00000000-0005-0000-0000-0000F2210000}"/>
    <cellStyle name="20% - Accent6 2 2 4 2 2 3 2" xfId="11670" xr:uid="{00000000-0005-0000-0000-0000F3210000}"/>
    <cellStyle name="20% - Accent6 2 2 4 2 2 3 2 2" xfId="31140" xr:uid="{00000000-0005-0000-0000-0000F4210000}"/>
    <cellStyle name="20% - Accent6 2 2 4 2 2 3 3" xfId="26818" xr:uid="{00000000-0005-0000-0000-0000F5210000}"/>
    <cellStyle name="20% - Accent6 2 2 4 2 2 4" xfId="9914" xr:uid="{00000000-0005-0000-0000-0000F6210000}"/>
    <cellStyle name="20% - Accent6 2 2 4 2 2 4 2" xfId="29384" xr:uid="{00000000-0005-0000-0000-0000F7210000}"/>
    <cellStyle name="20% - Accent6 2 2 4 2 2 5" xfId="24922" xr:uid="{00000000-0005-0000-0000-0000F8210000}"/>
    <cellStyle name="20% - Accent6 2 2 4 2 3" xfId="6023" xr:uid="{00000000-0005-0000-0000-0000F9210000}"/>
    <cellStyle name="20% - Accent6 2 2 4 2 3 2" xfId="7336" xr:uid="{00000000-0005-0000-0000-0000FA210000}"/>
    <cellStyle name="20% - Accent6 2 2 4 2 3 2 2" xfId="11672" xr:uid="{00000000-0005-0000-0000-0000FB210000}"/>
    <cellStyle name="20% - Accent6 2 2 4 2 3 2 2 2" xfId="31142" xr:uid="{00000000-0005-0000-0000-0000FC210000}"/>
    <cellStyle name="20% - Accent6 2 2 4 2 3 2 3" xfId="26820" xr:uid="{00000000-0005-0000-0000-0000FD210000}"/>
    <cellStyle name="20% - Accent6 2 2 4 2 3 3" xfId="10444" xr:uid="{00000000-0005-0000-0000-0000FE210000}"/>
    <cellStyle name="20% - Accent6 2 2 4 2 3 3 2" xfId="29914" xr:uid="{00000000-0005-0000-0000-0000FF210000}"/>
    <cellStyle name="20% - Accent6 2 2 4 2 3 4" xfId="25508" xr:uid="{00000000-0005-0000-0000-000000220000}"/>
    <cellStyle name="20% - Accent6 2 2 4 2 4" xfId="7333" xr:uid="{00000000-0005-0000-0000-000001220000}"/>
    <cellStyle name="20% - Accent6 2 2 4 2 4 2" xfId="11669" xr:uid="{00000000-0005-0000-0000-000002220000}"/>
    <cellStyle name="20% - Accent6 2 2 4 2 4 2 2" xfId="31139" xr:uid="{00000000-0005-0000-0000-000003220000}"/>
    <cellStyle name="20% - Accent6 2 2 4 2 4 3" xfId="26817" xr:uid="{00000000-0005-0000-0000-000004220000}"/>
    <cellStyle name="20% - Accent6 2 2 4 2 5" xfId="9384" xr:uid="{00000000-0005-0000-0000-000005220000}"/>
    <cellStyle name="20% - Accent6 2 2 4 2 5 2" xfId="28854" xr:uid="{00000000-0005-0000-0000-000006220000}"/>
    <cellStyle name="20% - Accent6 2 2 4 2 6" xfId="24307" xr:uid="{00000000-0005-0000-0000-000007220000}"/>
    <cellStyle name="20% - Accent6 2 2 4 3" xfId="5136" xr:uid="{00000000-0005-0000-0000-000008220000}"/>
    <cellStyle name="20% - Accent6 2 2 4 3 2" xfId="6292" xr:uid="{00000000-0005-0000-0000-000009220000}"/>
    <cellStyle name="20% - Accent6 2 2 4 3 2 2" xfId="7338" xr:uid="{00000000-0005-0000-0000-00000A220000}"/>
    <cellStyle name="20% - Accent6 2 2 4 3 2 2 2" xfId="11674" xr:uid="{00000000-0005-0000-0000-00000B220000}"/>
    <cellStyle name="20% - Accent6 2 2 4 3 2 2 2 2" xfId="31144" xr:uid="{00000000-0005-0000-0000-00000C220000}"/>
    <cellStyle name="20% - Accent6 2 2 4 3 2 2 3" xfId="26822" xr:uid="{00000000-0005-0000-0000-00000D220000}"/>
    <cellStyle name="20% - Accent6 2 2 4 3 2 3" xfId="10709" xr:uid="{00000000-0005-0000-0000-00000E220000}"/>
    <cellStyle name="20% - Accent6 2 2 4 3 2 3 2" xfId="30179" xr:uid="{00000000-0005-0000-0000-00000F220000}"/>
    <cellStyle name="20% - Accent6 2 2 4 3 2 4" xfId="25777" xr:uid="{00000000-0005-0000-0000-000010220000}"/>
    <cellStyle name="20% - Accent6 2 2 4 3 3" xfId="7337" xr:uid="{00000000-0005-0000-0000-000011220000}"/>
    <cellStyle name="20% - Accent6 2 2 4 3 3 2" xfId="11673" xr:uid="{00000000-0005-0000-0000-000012220000}"/>
    <cellStyle name="20% - Accent6 2 2 4 3 3 2 2" xfId="31143" xr:uid="{00000000-0005-0000-0000-000013220000}"/>
    <cellStyle name="20% - Accent6 2 2 4 3 3 3" xfId="26821" xr:uid="{00000000-0005-0000-0000-000014220000}"/>
    <cellStyle name="20% - Accent6 2 2 4 3 4" xfId="9649" xr:uid="{00000000-0005-0000-0000-000015220000}"/>
    <cellStyle name="20% - Accent6 2 2 4 3 4 2" xfId="29119" xr:uid="{00000000-0005-0000-0000-000016220000}"/>
    <cellStyle name="20% - Accent6 2 2 4 3 5" xfId="24627" xr:uid="{00000000-0005-0000-0000-000017220000}"/>
    <cellStyle name="20% - Accent6 2 2 4 4" xfId="5745" xr:uid="{00000000-0005-0000-0000-000018220000}"/>
    <cellStyle name="20% - Accent6 2 2 4 4 2" xfId="7339" xr:uid="{00000000-0005-0000-0000-000019220000}"/>
    <cellStyle name="20% - Accent6 2 2 4 4 2 2" xfId="11675" xr:uid="{00000000-0005-0000-0000-00001A220000}"/>
    <cellStyle name="20% - Accent6 2 2 4 4 2 2 2" xfId="31145" xr:uid="{00000000-0005-0000-0000-00001B220000}"/>
    <cellStyle name="20% - Accent6 2 2 4 4 2 3" xfId="26823" xr:uid="{00000000-0005-0000-0000-00001C220000}"/>
    <cellStyle name="20% - Accent6 2 2 4 4 3" xfId="10179" xr:uid="{00000000-0005-0000-0000-00001D220000}"/>
    <cellStyle name="20% - Accent6 2 2 4 4 3 2" xfId="29649" xr:uid="{00000000-0005-0000-0000-00001E220000}"/>
    <cellStyle name="20% - Accent6 2 2 4 4 4" xfId="25230" xr:uid="{00000000-0005-0000-0000-00001F220000}"/>
    <cellStyle name="20% - Accent6 2 2 4 5" xfId="7332" xr:uid="{00000000-0005-0000-0000-000020220000}"/>
    <cellStyle name="20% - Accent6 2 2 4 5 2" xfId="11668" xr:uid="{00000000-0005-0000-0000-000021220000}"/>
    <cellStyle name="20% - Accent6 2 2 4 5 2 2" xfId="31138" xr:uid="{00000000-0005-0000-0000-000022220000}"/>
    <cellStyle name="20% - Accent6 2 2 4 5 3" xfId="26816" xr:uid="{00000000-0005-0000-0000-000023220000}"/>
    <cellStyle name="20% - Accent6 2 2 4 6" xfId="9118" xr:uid="{00000000-0005-0000-0000-000024220000}"/>
    <cellStyle name="20% - Accent6 2 2 4 6 2" xfId="28589" xr:uid="{00000000-0005-0000-0000-000025220000}"/>
    <cellStyle name="20% - Accent6 2 2 4 7" xfId="24006" xr:uid="{00000000-0005-0000-0000-000026220000}"/>
    <cellStyle name="20% - Accent6 2 2 5" xfId="4589" xr:uid="{00000000-0005-0000-0000-000027220000}"/>
    <cellStyle name="20% - Accent6 2 2 5 2" xfId="5230" xr:uid="{00000000-0005-0000-0000-000028220000}"/>
    <cellStyle name="20% - Accent6 2 2 5 2 2" xfId="6364" xr:uid="{00000000-0005-0000-0000-000029220000}"/>
    <cellStyle name="20% - Accent6 2 2 5 2 2 2" xfId="7342" xr:uid="{00000000-0005-0000-0000-00002A220000}"/>
    <cellStyle name="20% - Accent6 2 2 5 2 2 2 2" xfId="11678" xr:uid="{00000000-0005-0000-0000-00002B220000}"/>
    <cellStyle name="20% - Accent6 2 2 5 2 2 2 2 2" xfId="31148" xr:uid="{00000000-0005-0000-0000-00002C220000}"/>
    <cellStyle name="20% - Accent6 2 2 5 2 2 2 3" xfId="26826" xr:uid="{00000000-0005-0000-0000-00002D220000}"/>
    <cellStyle name="20% - Accent6 2 2 5 2 2 3" xfId="10780" xr:uid="{00000000-0005-0000-0000-00002E220000}"/>
    <cellStyle name="20% - Accent6 2 2 5 2 2 3 2" xfId="30250" xr:uid="{00000000-0005-0000-0000-00002F220000}"/>
    <cellStyle name="20% - Accent6 2 2 5 2 2 4" xfId="25849" xr:uid="{00000000-0005-0000-0000-000030220000}"/>
    <cellStyle name="20% - Accent6 2 2 5 2 3" xfId="7341" xr:uid="{00000000-0005-0000-0000-000031220000}"/>
    <cellStyle name="20% - Accent6 2 2 5 2 3 2" xfId="11677" xr:uid="{00000000-0005-0000-0000-000032220000}"/>
    <cellStyle name="20% - Accent6 2 2 5 2 3 2 2" xfId="31147" xr:uid="{00000000-0005-0000-0000-000033220000}"/>
    <cellStyle name="20% - Accent6 2 2 5 2 3 3" xfId="26825" xr:uid="{00000000-0005-0000-0000-000034220000}"/>
    <cellStyle name="20% - Accent6 2 2 5 2 4" xfId="9719" xr:uid="{00000000-0005-0000-0000-000035220000}"/>
    <cellStyle name="20% - Accent6 2 2 5 2 4 2" xfId="29189" xr:uid="{00000000-0005-0000-0000-000036220000}"/>
    <cellStyle name="20% - Accent6 2 2 5 2 5" xfId="24721" xr:uid="{00000000-0005-0000-0000-000037220000}"/>
    <cellStyle name="20% - Accent6 2 2 5 3" xfId="5826" xr:uid="{00000000-0005-0000-0000-000038220000}"/>
    <cellStyle name="20% - Accent6 2 2 5 3 2" xfId="7343" xr:uid="{00000000-0005-0000-0000-000039220000}"/>
    <cellStyle name="20% - Accent6 2 2 5 3 2 2" xfId="11679" xr:uid="{00000000-0005-0000-0000-00003A220000}"/>
    <cellStyle name="20% - Accent6 2 2 5 3 2 2 2" xfId="31149" xr:uid="{00000000-0005-0000-0000-00003B220000}"/>
    <cellStyle name="20% - Accent6 2 2 5 3 2 3" xfId="26827" xr:uid="{00000000-0005-0000-0000-00003C220000}"/>
    <cellStyle name="20% - Accent6 2 2 5 3 3" xfId="10249" xr:uid="{00000000-0005-0000-0000-00003D220000}"/>
    <cellStyle name="20% - Accent6 2 2 5 3 3 2" xfId="29719" xr:uid="{00000000-0005-0000-0000-00003E220000}"/>
    <cellStyle name="20% - Accent6 2 2 5 3 4" xfId="25311" xr:uid="{00000000-0005-0000-0000-00003F220000}"/>
    <cellStyle name="20% - Accent6 2 2 5 4" xfId="7340" xr:uid="{00000000-0005-0000-0000-000040220000}"/>
    <cellStyle name="20% - Accent6 2 2 5 4 2" xfId="11676" xr:uid="{00000000-0005-0000-0000-000041220000}"/>
    <cellStyle name="20% - Accent6 2 2 5 4 2 2" xfId="31146" xr:uid="{00000000-0005-0000-0000-000042220000}"/>
    <cellStyle name="20% - Accent6 2 2 5 4 3" xfId="26824" xr:uid="{00000000-0005-0000-0000-000043220000}"/>
    <cellStyle name="20% - Accent6 2 2 5 5" xfId="9189" xr:uid="{00000000-0005-0000-0000-000044220000}"/>
    <cellStyle name="20% - Accent6 2 2 5 5 2" xfId="28659" xr:uid="{00000000-0005-0000-0000-000045220000}"/>
    <cellStyle name="20% - Accent6 2 2 5 6" xfId="24100" xr:uid="{00000000-0005-0000-0000-000046220000}"/>
    <cellStyle name="20% - Accent6 2 2 6" xfId="4934" xr:uid="{00000000-0005-0000-0000-000047220000}"/>
    <cellStyle name="20% - Accent6 2 2 6 2" xfId="6096" xr:uid="{00000000-0005-0000-0000-000048220000}"/>
    <cellStyle name="20% - Accent6 2 2 6 2 2" xfId="7345" xr:uid="{00000000-0005-0000-0000-000049220000}"/>
    <cellStyle name="20% - Accent6 2 2 6 2 2 2" xfId="11681" xr:uid="{00000000-0005-0000-0000-00004A220000}"/>
    <cellStyle name="20% - Accent6 2 2 6 2 2 2 2" xfId="31151" xr:uid="{00000000-0005-0000-0000-00004B220000}"/>
    <cellStyle name="20% - Accent6 2 2 6 2 2 3" xfId="26829" xr:uid="{00000000-0005-0000-0000-00004C220000}"/>
    <cellStyle name="20% - Accent6 2 2 6 2 3" xfId="10514" xr:uid="{00000000-0005-0000-0000-00004D220000}"/>
    <cellStyle name="20% - Accent6 2 2 6 2 3 2" xfId="29984" xr:uid="{00000000-0005-0000-0000-00004E220000}"/>
    <cellStyle name="20% - Accent6 2 2 6 2 4" xfId="25581" xr:uid="{00000000-0005-0000-0000-00004F220000}"/>
    <cellStyle name="20% - Accent6 2 2 6 3" xfId="7344" xr:uid="{00000000-0005-0000-0000-000050220000}"/>
    <cellStyle name="20% - Accent6 2 2 6 3 2" xfId="11680" xr:uid="{00000000-0005-0000-0000-000051220000}"/>
    <cellStyle name="20% - Accent6 2 2 6 3 2 2" xfId="31150" xr:uid="{00000000-0005-0000-0000-000052220000}"/>
    <cellStyle name="20% - Accent6 2 2 6 3 3" xfId="26828" xr:uid="{00000000-0005-0000-0000-000053220000}"/>
    <cellStyle name="20% - Accent6 2 2 6 4" xfId="9454" xr:uid="{00000000-0005-0000-0000-000054220000}"/>
    <cellStyle name="20% - Accent6 2 2 6 4 2" xfId="28924" xr:uid="{00000000-0005-0000-0000-000055220000}"/>
    <cellStyle name="20% - Accent6 2 2 6 5" xfId="24428" xr:uid="{00000000-0005-0000-0000-000056220000}"/>
    <cellStyle name="20% - Accent6 2 2 7" xfId="5538" xr:uid="{00000000-0005-0000-0000-000057220000}"/>
    <cellStyle name="20% - Accent6 2 2 7 2" xfId="7346" xr:uid="{00000000-0005-0000-0000-000058220000}"/>
    <cellStyle name="20% - Accent6 2 2 7 2 2" xfId="11682" xr:uid="{00000000-0005-0000-0000-000059220000}"/>
    <cellStyle name="20% - Accent6 2 2 7 2 2 2" xfId="31152" xr:uid="{00000000-0005-0000-0000-00005A220000}"/>
    <cellStyle name="20% - Accent6 2 2 7 2 3" xfId="26830" xr:uid="{00000000-0005-0000-0000-00005B220000}"/>
    <cellStyle name="20% - Accent6 2 2 7 3" xfId="9984" xr:uid="{00000000-0005-0000-0000-00005C220000}"/>
    <cellStyle name="20% - Accent6 2 2 7 3 2" xfId="29454" xr:uid="{00000000-0005-0000-0000-00005D220000}"/>
    <cellStyle name="20% - Accent6 2 2 7 4" xfId="25026" xr:uid="{00000000-0005-0000-0000-00005E220000}"/>
    <cellStyle name="20% - Accent6 2 2 8" xfId="7299" xr:uid="{00000000-0005-0000-0000-00005F220000}"/>
    <cellStyle name="20% - Accent6 2 2 8 2" xfId="11635" xr:uid="{00000000-0005-0000-0000-000060220000}"/>
    <cellStyle name="20% - Accent6 2 2 8 2 2" xfId="31105" xr:uid="{00000000-0005-0000-0000-000061220000}"/>
    <cellStyle name="20% - Accent6 2 2 8 3" xfId="26783" xr:uid="{00000000-0005-0000-0000-000062220000}"/>
    <cellStyle name="20% - Accent6 2 2 9" xfId="8920" xr:uid="{00000000-0005-0000-0000-000063220000}"/>
    <cellStyle name="20% - Accent6 2 2 9 2" xfId="28394" xr:uid="{00000000-0005-0000-0000-000064220000}"/>
    <cellStyle name="20% - Accent6 2 3" xfId="2707" xr:uid="{00000000-0005-0000-0000-000065220000}"/>
    <cellStyle name="20% - Accent6 2 3 10" xfId="23566" xr:uid="{00000000-0005-0000-0000-000066220000}"/>
    <cellStyle name="20% - Accent6 2 3 2" xfId="2874" xr:uid="{00000000-0005-0000-0000-000067220000}"/>
    <cellStyle name="20% - Accent6 2 3 2 2" xfId="3068" xr:uid="{00000000-0005-0000-0000-000068220000}"/>
    <cellStyle name="20% - Accent6 2 3 2 2 2" xfId="4695" xr:uid="{00000000-0005-0000-0000-000069220000}"/>
    <cellStyle name="20% - Accent6 2 3 2 2 2 2" xfId="5329" xr:uid="{00000000-0005-0000-0000-00006A220000}"/>
    <cellStyle name="20% - Accent6 2 3 2 2 2 2 2" xfId="6463" xr:uid="{00000000-0005-0000-0000-00006B220000}"/>
    <cellStyle name="20% - Accent6 2 3 2 2 2 2 2 2" xfId="7352" xr:uid="{00000000-0005-0000-0000-00006C220000}"/>
    <cellStyle name="20% - Accent6 2 3 2 2 2 2 2 2 2" xfId="11688" xr:uid="{00000000-0005-0000-0000-00006D220000}"/>
    <cellStyle name="20% - Accent6 2 3 2 2 2 2 2 2 2 2" xfId="31158" xr:uid="{00000000-0005-0000-0000-00006E220000}"/>
    <cellStyle name="20% - Accent6 2 3 2 2 2 2 2 2 3" xfId="26836" xr:uid="{00000000-0005-0000-0000-00006F220000}"/>
    <cellStyle name="20% - Accent6 2 3 2 2 2 2 2 3" xfId="10879" xr:uid="{00000000-0005-0000-0000-000070220000}"/>
    <cellStyle name="20% - Accent6 2 3 2 2 2 2 2 3 2" xfId="30349" xr:uid="{00000000-0005-0000-0000-000071220000}"/>
    <cellStyle name="20% - Accent6 2 3 2 2 2 2 2 4" xfId="25948" xr:uid="{00000000-0005-0000-0000-000072220000}"/>
    <cellStyle name="20% - Accent6 2 3 2 2 2 2 3" xfId="7351" xr:uid="{00000000-0005-0000-0000-000073220000}"/>
    <cellStyle name="20% - Accent6 2 3 2 2 2 2 3 2" xfId="11687" xr:uid="{00000000-0005-0000-0000-000074220000}"/>
    <cellStyle name="20% - Accent6 2 3 2 2 2 2 3 2 2" xfId="31157" xr:uid="{00000000-0005-0000-0000-000075220000}"/>
    <cellStyle name="20% - Accent6 2 3 2 2 2 2 3 3" xfId="26835" xr:uid="{00000000-0005-0000-0000-000076220000}"/>
    <cellStyle name="20% - Accent6 2 3 2 2 2 2 4" xfId="9818" xr:uid="{00000000-0005-0000-0000-000077220000}"/>
    <cellStyle name="20% - Accent6 2 3 2 2 2 2 4 2" xfId="29288" xr:uid="{00000000-0005-0000-0000-000078220000}"/>
    <cellStyle name="20% - Accent6 2 3 2 2 2 2 5" xfId="24820" xr:uid="{00000000-0005-0000-0000-000079220000}"/>
    <cellStyle name="20% - Accent6 2 3 2 2 2 3" xfId="5926" xr:uid="{00000000-0005-0000-0000-00007A220000}"/>
    <cellStyle name="20% - Accent6 2 3 2 2 2 3 2" xfId="7353" xr:uid="{00000000-0005-0000-0000-00007B220000}"/>
    <cellStyle name="20% - Accent6 2 3 2 2 2 3 2 2" xfId="11689" xr:uid="{00000000-0005-0000-0000-00007C220000}"/>
    <cellStyle name="20% - Accent6 2 3 2 2 2 3 2 2 2" xfId="31159" xr:uid="{00000000-0005-0000-0000-00007D220000}"/>
    <cellStyle name="20% - Accent6 2 3 2 2 2 3 2 3" xfId="26837" xr:uid="{00000000-0005-0000-0000-00007E220000}"/>
    <cellStyle name="20% - Accent6 2 3 2 2 2 3 3" xfId="10348" xr:uid="{00000000-0005-0000-0000-00007F220000}"/>
    <cellStyle name="20% - Accent6 2 3 2 2 2 3 3 2" xfId="29818" xr:uid="{00000000-0005-0000-0000-000080220000}"/>
    <cellStyle name="20% - Accent6 2 3 2 2 2 3 4" xfId="25411" xr:uid="{00000000-0005-0000-0000-000081220000}"/>
    <cellStyle name="20% - Accent6 2 3 2 2 2 4" xfId="7350" xr:uid="{00000000-0005-0000-0000-000082220000}"/>
    <cellStyle name="20% - Accent6 2 3 2 2 2 4 2" xfId="11686" xr:uid="{00000000-0005-0000-0000-000083220000}"/>
    <cellStyle name="20% - Accent6 2 3 2 2 2 4 2 2" xfId="31156" xr:uid="{00000000-0005-0000-0000-000084220000}"/>
    <cellStyle name="20% - Accent6 2 3 2 2 2 4 3" xfId="26834" xr:uid="{00000000-0005-0000-0000-000085220000}"/>
    <cellStyle name="20% - Accent6 2 3 2 2 2 5" xfId="9288" xr:uid="{00000000-0005-0000-0000-000086220000}"/>
    <cellStyle name="20% - Accent6 2 3 2 2 2 5 2" xfId="28758" xr:uid="{00000000-0005-0000-0000-000087220000}"/>
    <cellStyle name="20% - Accent6 2 3 2 2 2 6" xfId="24206" xr:uid="{00000000-0005-0000-0000-000088220000}"/>
    <cellStyle name="20% - Accent6 2 3 2 2 3" xfId="5033" xr:uid="{00000000-0005-0000-0000-000089220000}"/>
    <cellStyle name="20% - Accent6 2 3 2 2 3 2" xfId="6195" xr:uid="{00000000-0005-0000-0000-00008A220000}"/>
    <cellStyle name="20% - Accent6 2 3 2 2 3 2 2" xfId="7355" xr:uid="{00000000-0005-0000-0000-00008B220000}"/>
    <cellStyle name="20% - Accent6 2 3 2 2 3 2 2 2" xfId="11691" xr:uid="{00000000-0005-0000-0000-00008C220000}"/>
    <cellStyle name="20% - Accent6 2 3 2 2 3 2 2 2 2" xfId="31161" xr:uid="{00000000-0005-0000-0000-00008D220000}"/>
    <cellStyle name="20% - Accent6 2 3 2 2 3 2 2 3" xfId="26839" xr:uid="{00000000-0005-0000-0000-00008E220000}"/>
    <cellStyle name="20% - Accent6 2 3 2 2 3 2 3" xfId="10613" xr:uid="{00000000-0005-0000-0000-00008F220000}"/>
    <cellStyle name="20% - Accent6 2 3 2 2 3 2 3 2" xfId="30083" xr:uid="{00000000-0005-0000-0000-000090220000}"/>
    <cellStyle name="20% - Accent6 2 3 2 2 3 2 4" xfId="25680" xr:uid="{00000000-0005-0000-0000-000091220000}"/>
    <cellStyle name="20% - Accent6 2 3 2 2 3 3" xfId="7354" xr:uid="{00000000-0005-0000-0000-000092220000}"/>
    <cellStyle name="20% - Accent6 2 3 2 2 3 3 2" xfId="11690" xr:uid="{00000000-0005-0000-0000-000093220000}"/>
    <cellStyle name="20% - Accent6 2 3 2 2 3 3 2 2" xfId="31160" xr:uid="{00000000-0005-0000-0000-000094220000}"/>
    <cellStyle name="20% - Accent6 2 3 2 2 3 3 3" xfId="26838" xr:uid="{00000000-0005-0000-0000-000095220000}"/>
    <cellStyle name="20% - Accent6 2 3 2 2 3 4" xfId="9553" xr:uid="{00000000-0005-0000-0000-000096220000}"/>
    <cellStyle name="20% - Accent6 2 3 2 2 3 4 2" xfId="29023" xr:uid="{00000000-0005-0000-0000-000097220000}"/>
    <cellStyle name="20% - Accent6 2 3 2 2 3 5" xfId="24527" xr:uid="{00000000-0005-0000-0000-000098220000}"/>
    <cellStyle name="20% - Accent6 2 3 2 2 4" xfId="5638" xr:uid="{00000000-0005-0000-0000-000099220000}"/>
    <cellStyle name="20% - Accent6 2 3 2 2 4 2" xfId="7356" xr:uid="{00000000-0005-0000-0000-00009A220000}"/>
    <cellStyle name="20% - Accent6 2 3 2 2 4 2 2" xfId="11692" xr:uid="{00000000-0005-0000-0000-00009B220000}"/>
    <cellStyle name="20% - Accent6 2 3 2 2 4 2 2 2" xfId="31162" xr:uid="{00000000-0005-0000-0000-00009C220000}"/>
    <cellStyle name="20% - Accent6 2 3 2 2 4 2 3" xfId="26840" xr:uid="{00000000-0005-0000-0000-00009D220000}"/>
    <cellStyle name="20% - Accent6 2 3 2 2 4 3" xfId="10083" xr:uid="{00000000-0005-0000-0000-00009E220000}"/>
    <cellStyle name="20% - Accent6 2 3 2 2 4 3 2" xfId="29553" xr:uid="{00000000-0005-0000-0000-00009F220000}"/>
    <cellStyle name="20% - Accent6 2 3 2 2 4 4" xfId="25125" xr:uid="{00000000-0005-0000-0000-0000A0220000}"/>
    <cellStyle name="20% - Accent6 2 3 2 2 5" xfId="7349" xr:uid="{00000000-0005-0000-0000-0000A1220000}"/>
    <cellStyle name="20% - Accent6 2 3 2 2 5 2" xfId="11685" xr:uid="{00000000-0005-0000-0000-0000A2220000}"/>
    <cellStyle name="20% - Accent6 2 3 2 2 5 2 2" xfId="31155" xr:uid="{00000000-0005-0000-0000-0000A3220000}"/>
    <cellStyle name="20% - Accent6 2 3 2 2 5 3" xfId="26833" xr:uid="{00000000-0005-0000-0000-0000A4220000}"/>
    <cellStyle name="20% - Accent6 2 3 2 2 6" xfId="9019" xr:uid="{00000000-0005-0000-0000-0000A5220000}"/>
    <cellStyle name="20% - Accent6 2 3 2 2 6 2" xfId="28493" xr:uid="{00000000-0005-0000-0000-0000A6220000}"/>
    <cellStyle name="20% - Accent6 2 3 2 2 7" xfId="23877" xr:uid="{00000000-0005-0000-0000-0000A7220000}"/>
    <cellStyle name="20% - Accent6 2 3 2 3" xfId="4267" xr:uid="{00000000-0005-0000-0000-0000A8220000}"/>
    <cellStyle name="20% - Accent6 2 3 2 3 2" xfId="4842" xr:uid="{00000000-0005-0000-0000-0000A9220000}"/>
    <cellStyle name="20% - Accent6 2 3 2 3 2 2" xfId="5467" xr:uid="{00000000-0005-0000-0000-0000AA220000}"/>
    <cellStyle name="20% - Accent6 2 3 2 3 2 2 2" xfId="6595" xr:uid="{00000000-0005-0000-0000-0000AB220000}"/>
    <cellStyle name="20% - Accent6 2 3 2 3 2 2 2 2" xfId="7360" xr:uid="{00000000-0005-0000-0000-0000AC220000}"/>
    <cellStyle name="20% - Accent6 2 3 2 3 2 2 2 2 2" xfId="11696" xr:uid="{00000000-0005-0000-0000-0000AD220000}"/>
    <cellStyle name="20% - Accent6 2 3 2 3 2 2 2 2 2 2" xfId="31166" xr:uid="{00000000-0005-0000-0000-0000AE220000}"/>
    <cellStyle name="20% - Accent6 2 3 2 3 2 2 2 2 3" xfId="26844" xr:uid="{00000000-0005-0000-0000-0000AF220000}"/>
    <cellStyle name="20% - Accent6 2 3 2 3 2 2 2 3" xfId="11011" xr:uid="{00000000-0005-0000-0000-0000B0220000}"/>
    <cellStyle name="20% - Accent6 2 3 2 3 2 2 2 3 2" xfId="30481" xr:uid="{00000000-0005-0000-0000-0000B1220000}"/>
    <cellStyle name="20% - Accent6 2 3 2 3 2 2 2 4" xfId="26080" xr:uid="{00000000-0005-0000-0000-0000B2220000}"/>
    <cellStyle name="20% - Accent6 2 3 2 3 2 2 3" xfId="7359" xr:uid="{00000000-0005-0000-0000-0000B3220000}"/>
    <cellStyle name="20% - Accent6 2 3 2 3 2 2 3 2" xfId="11695" xr:uid="{00000000-0005-0000-0000-0000B4220000}"/>
    <cellStyle name="20% - Accent6 2 3 2 3 2 2 3 2 2" xfId="31165" xr:uid="{00000000-0005-0000-0000-0000B5220000}"/>
    <cellStyle name="20% - Accent6 2 3 2 3 2 2 3 3" xfId="26843" xr:uid="{00000000-0005-0000-0000-0000B6220000}"/>
    <cellStyle name="20% - Accent6 2 3 2 3 2 2 4" xfId="9950" xr:uid="{00000000-0005-0000-0000-0000B7220000}"/>
    <cellStyle name="20% - Accent6 2 3 2 3 2 2 4 2" xfId="29420" xr:uid="{00000000-0005-0000-0000-0000B8220000}"/>
    <cellStyle name="20% - Accent6 2 3 2 3 2 2 5" xfId="24958" xr:uid="{00000000-0005-0000-0000-0000B9220000}"/>
    <cellStyle name="20% - Accent6 2 3 2 3 2 3" xfId="6060" xr:uid="{00000000-0005-0000-0000-0000BA220000}"/>
    <cellStyle name="20% - Accent6 2 3 2 3 2 3 2" xfId="7361" xr:uid="{00000000-0005-0000-0000-0000BB220000}"/>
    <cellStyle name="20% - Accent6 2 3 2 3 2 3 2 2" xfId="11697" xr:uid="{00000000-0005-0000-0000-0000BC220000}"/>
    <cellStyle name="20% - Accent6 2 3 2 3 2 3 2 2 2" xfId="31167" xr:uid="{00000000-0005-0000-0000-0000BD220000}"/>
    <cellStyle name="20% - Accent6 2 3 2 3 2 3 2 3" xfId="26845" xr:uid="{00000000-0005-0000-0000-0000BE220000}"/>
    <cellStyle name="20% - Accent6 2 3 2 3 2 3 3" xfId="10480" xr:uid="{00000000-0005-0000-0000-0000BF220000}"/>
    <cellStyle name="20% - Accent6 2 3 2 3 2 3 3 2" xfId="29950" xr:uid="{00000000-0005-0000-0000-0000C0220000}"/>
    <cellStyle name="20% - Accent6 2 3 2 3 2 3 4" xfId="25545" xr:uid="{00000000-0005-0000-0000-0000C1220000}"/>
    <cellStyle name="20% - Accent6 2 3 2 3 2 4" xfId="7358" xr:uid="{00000000-0005-0000-0000-0000C2220000}"/>
    <cellStyle name="20% - Accent6 2 3 2 3 2 4 2" xfId="11694" xr:uid="{00000000-0005-0000-0000-0000C3220000}"/>
    <cellStyle name="20% - Accent6 2 3 2 3 2 4 2 2" xfId="31164" xr:uid="{00000000-0005-0000-0000-0000C4220000}"/>
    <cellStyle name="20% - Accent6 2 3 2 3 2 4 3" xfId="26842" xr:uid="{00000000-0005-0000-0000-0000C5220000}"/>
    <cellStyle name="20% - Accent6 2 3 2 3 2 5" xfId="9420" xr:uid="{00000000-0005-0000-0000-0000C6220000}"/>
    <cellStyle name="20% - Accent6 2 3 2 3 2 5 2" xfId="28890" xr:uid="{00000000-0005-0000-0000-0000C7220000}"/>
    <cellStyle name="20% - Accent6 2 3 2 3 2 6" xfId="24344" xr:uid="{00000000-0005-0000-0000-0000C8220000}"/>
    <cellStyle name="20% - Accent6 2 3 2 3 3" xfId="5172" xr:uid="{00000000-0005-0000-0000-0000C9220000}"/>
    <cellStyle name="20% - Accent6 2 3 2 3 3 2" xfId="6328" xr:uid="{00000000-0005-0000-0000-0000CA220000}"/>
    <cellStyle name="20% - Accent6 2 3 2 3 3 2 2" xfId="7363" xr:uid="{00000000-0005-0000-0000-0000CB220000}"/>
    <cellStyle name="20% - Accent6 2 3 2 3 3 2 2 2" xfId="11699" xr:uid="{00000000-0005-0000-0000-0000CC220000}"/>
    <cellStyle name="20% - Accent6 2 3 2 3 3 2 2 2 2" xfId="31169" xr:uid="{00000000-0005-0000-0000-0000CD220000}"/>
    <cellStyle name="20% - Accent6 2 3 2 3 3 2 2 3" xfId="26847" xr:uid="{00000000-0005-0000-0000-0000CE220000}"/>
    <cellStyle name="20% - Accent6 2 3 2 3 3 2 3" xfId="10745" xr:uid="{00000000-0005-0000-0000-0000CF220000}"/>
    <cellStyle name="20% - Accent6 2 3 2 3 3 2 3 2" xfId="30215" xr:uid="{00000000-0005-0000-0000-0000D0220000}"/>
    <cellStyle name="20% - Accent6 2 3 2 3 3 2 4" xfId="25813" xr:uid="{00000000-0005-0000-0000-0000D1220000}"/>
    <cellStyle name="20% - Accent6 2 3 2 3 3 3" xfId="7362" xr:uid="{00000000-0005-0000-0000-0000D2220000}"/>
    <cellStyle name="20% - Accent6 2 3 2 3 3 3 2" xfId="11698" xr:uid="{00000000-0005-0000-0000-0000D3220000}"/>
    <cellStyle name="20% - Accent6 2 3 2 3 3 3 2 2" xfId="31168" xr:uid="{00000000-0005-0000-0000-0000D4220000}"/>
    <cellStyle name="20% - Accent6 2 3 2 3 3 3 3" xfId="26846" xr:uid="{00000000-0005-0000-0000-0000D5220000}"/>
    <cellStyle name="20% - Accent6 2 3 2 3 3 4" xfId="9685" xr:uid="{00000000-0005-0000-0000-0000D6220000}"/>
    <cellStyle name="20% - Accent6 2 3 2 3 3 4 2" xfId="29155" xr:uid="{00000000-0005-0000-0000-0000D7220000}"/>
    <cellStyle name="20% - Accent6 2 3 2 3 3 5" xfId="24663" xr:uid="{00000000-0005-0000-0000-0000D8220000}"/>
    <cellStyle name="20% - Accent6 2 3 2 3 4" xfId="5781" xr:uid="{00000000-0005-0000-0000-0000D9220000}"/>
    <cellStyle name="20% - Accent6 2 3 2 3 4 2" xfId="7364" xr:uid="{00000000-0005-0000-0000-0000DA220000}"/>
    <cellStyle name="20% - Accent6 2 3 2 3 4 2 2" xfId="11700" xr:uid="{00000000-0005-0000-0000-0000DB220000}"/>
    <cellStyle name="20% - Accent6 2 3 2 3 4 2 2 2" xfId="31170" xr:uid="{00000000-0005-0000-0000-0000DC220000}"/>
    <cellStyle name="20% - Accent6 2 3 2 3 4 2 3" xfId="26848" xr:uid="{00000000-0005-0000-0000-0000DD220000}"/>
    <cellStyle name="20% - Accent6 2 3 2 3 4 3" xfId="10215" xr:uid="{00000000-0005-0000-0000-0000DE220000}"/>
    <cellStyle name="20% - Accent6 2 3 2 3 4 3 2" xfId="29685" xr:uid="{00000000-0005-0000-0000-0000DF220000}"/>
    <cellStyle name="20% - Accent6 2 3 2 3 4 4" xfId="25266" xr:uid="{00000000-0005-0000-0000-0000E0220000}"/>
    <cellStyle name="20% - Accent6 2 3 2 3 5" xfId="7357" xr:uid="{00000000-0005-0000-0000-0000E1220000}"/>
    <cellStyle name="20% - Accent6 2 3 2 3 5 2" xfId="11693" xr:uid="{00000000-0005-0000-0000-0000E2220000}"/>
    <cellStyle name="20% - Accent6 2 3 2 3 5 2 2" xfId="31163" xr:uid="{00000000-0005-0000-0000-0000E3220000}"/>
    <cellStyle name="20% - Accent6 2 3 2 3 5 3" xfId="26841" xr:uid="{00000000-0005-0000-0000-0000E4220000}"/>
    <cellStyle name="20% - Accent6 2 3 2 3 6" xfId="9154" xr:uid="{00000000-0005-0000-0000-0000E5220000}"/>
    <cellStyle name="20% - Accent6 2 3 2 3 6 2" xfId="28625" xr:uid="{00000000-0005-0000-0000-0000E6220000}"/>
    <cellStyle name="20% - Accent6 2 3 2 3 7" xfId="24043" xr:uid="{00000000-0005-0000-0000-0000E7220000}"/>
    <cellStyle name="20% - Accent6 2 3 2 4" xfId="4623" xr:uid="{00000000-0005-0000-0000-0000E8220000}"/>
    <cellStyle name="20% - Accent6 2 3 2 4 2" xfId="5263" xr:uid="{00000000-0005-0000-0000-0000E9220000}"/>
    <cellStyle name="20% - Accent6 2 3 2 4 2 2" xfId="6397" xr:uid="{00000000-0005-0000-0000-0000EA220000}"/>
    <cellStyle name="20% - Accent6 2 3 2 4 2 2 2" xfId="7367" xr:uid="{00000000-0005-0000-0000-0000EB220000}"/>
    <cellStyle name="20% - Accent6 2 3 2 4 2 2 2 2" xfId="11703" xr:uid="{00000000-0005-0000-0000-0000EC220000}"/>
    <cellStyle name="20% - Accent6 2 3 2 4 2 2 2 2 2" xfId="31173" xr:uid="{00000000-0005-0000-0000-0000ED220000}"/>
    <cellStyle name="20% - Accent6 2 3 2 4 2 2 2 3" xfId="26851" xr:uid="{00000000-0005-0000-0000-0000EE220000}"/>
    <cellStyle name="20% - Accent6 2 3 2 4 2 2 3" xfId="10813" xr:uid="{00000000-0005-0000-0000-0000EF220000}"/>
    <cellStyle name="20% - Accent6 2 3 2 4 2 2 3 2" xfId="30283" xr:uid="{00000000-0005-0000-0000-0000F0220000}"/>
    <cellStyle name="20% - Accent6 2 3 2 4 2 2 4" xfId="25882" xr:uid="{00000000-0005-0000-0000-0000F1220000}"/>
    <cellStyle name="20% - Accent6 2 3 2 4 2 3" xfId="7366" xr:uid="{00000000-0005-0000-0000-0000F2220000}"/>
    <cellStyle name="20% - Accent6 2 3 2 4 2 3 2" xfId="11702" xr:uid="{00000000-0005-0000-0000-0000F3220000}"/>
    <cellStyle name="20% - Accent6 2 3 2 4 2 3 2 2" xfId="31172" xr:uid="{00000000-0005-0000-0000-0000F4220000}"/>
    <cellStyle name="20% - Accent6 2 3 2 4 2 3 3" xfId="26850" xr:uid="{00000000-0005-0000-0000-0000F5220000}"/>
    <cellStyle name="20% - Accent6 2 3 2 4 2 4" xfId="9752" xr:uid="{00000000-0005-0000-0000-0000F6220000}"/>
    <cellStyle name="20% - Accent6 2 3 2 4 2 4 2" xfId="29222" xr:uid="{00000000-0005-0000-0000-0000F7220000}"/>
    <cellStyle name="20% - Accent6 2 3 2 4 2 5" xfId="24754" xr:uid="{00000000-0005-0000-0000-0000F8220000}"/>
    <cellStyle name="20% - Accent6 2 3 2 4 3" xfId="5860" xr:uid="{00000000-0005-0000-0000-0000F9220000}"/>
    <cellStyle name="20% - Accent6 2 3 2 4 3 2" xfId="7368" xr:uid="{00000000-0005-0000-0000-0000FA220000}"/>
    <cellStyle name="20% - Accent6 2 3 2 4 3 2 2" xfId="11704" xr:uid="{00000000-0005-0000-0000-0000FB220000}"/>
    <cellStyle name="20% - Accent6 2 3 2 4 3 2 2 2" xfId="31174" xr:uid="{00000000-0005-0000-0000-0000FC220000}"/>
    <cellStyle name="20% - Accent6 2 3 2 4 3 2 3" xfId="26852" xr:uid="{00000000-0005-0000-0000-0000FD220000}"/>
    <cellStyle name="20% - Accent6 2 3 2 4 3 3" xfId="10282" xr:uid="{00000000-0005-0000-0000-0000FE220000}"/>
    <cellStyle name="20% - Accent6 2 3 2 4 3 3 2" xfId="29752" xr:uid="{00000000-0005-0000-0000-0000FF220000}"/>
    <cellStyle name="20% - Accent6 2 3 2 4 3 4" xfId="25345" xr:uid="{00000000-0005-0000-0000-000000230000}"/>
    <cellStyle name="20% - Accent6 2 3 2 4 4" xfId="7365" xr:uid="{00000000-0005-0000-0000-000001230000}"/>
    <cellStyle name="20% - Accent6 2 3 2 4 4 2" xfId="11701" xr:uid="{00000000-0005-0000-0000-000002230000}"/>
    <cellStyle name="20% - Accent6 2 3 2 4 4 2 2" xfId="31171" xr:uid="{00000000-0005-0000-0000-000003230000}"/>
    <cellStyle name="20% - Accent6 2 3 2 4 4 3" xfId="26849" xr:uid="{00000000-0005-0000-0000-000004230000}"/>
    <cellStyle name="20% - Accent6 2 3 2 4 5" xfId="9222" xr:uid="{00000000-0005-0000-0000-000005230000}"/>
    <cellStyle name="20% - Accent6 2 3 2 4 5 2" xfId="28692" xr:uid="{00000000-0005-0000-0000-000006230000}"/>
    <cellStyle name="20% - Accent6 2 3 2 4 6" xfId="24134" xr:uid="{00000000-0005-0000-0000-000007230000}"/>
    <cellStyle name="20% - Accent6 2 3 2 5" xfId="4967" xr:uid="{00000000-0005-0000-0000-000008230000}"/>
    <cellStyle name="20% - Accent6 2 3 2 5 2" xfId="6129" xr:uid="{00000000-0005-0000-0000-000009230000}"/>
    <cellStyle name="20% - Accent6 2 3 2 5 2 2" xfId="7370" xr:uid="{00000000-0005-0000-0000-00000A230000}"/>
    <cellStyle name="20% - Accent6 2 3 2 5 2 2 2" xfId="11706" xr:uid="{00000000-0005-0000-0000-00000B230000}"/>
    <cellStyle name="20% - Accent6 2 3 2 5 2 2 2 2" xfId="31176" xr:uid="{00000000-0005-0000-0000-00000C230000}"/>
    <cellStyle name="20% - Accent6 2 3 2 5 2 2 3" xfId="26854" xr:uid="{00000000-0005-0000-0000-00000D230000}"/>
    <cellStyle name="20% - Accent6 2 3 2 5 2 3" xfId="10547" xr:uid="{00000000-0005-0000-0000-00000E230000}"/>
    <cellStyle name="20% - Accent6 2 3 2 5 2 3 2" xfId="30017" xr:uid="{00000000-0005-0000-0000-00000F230000}"/>
    <cellStyle name="20% - Accent6 2 3 2 5 2 4" xfId="25614" xr:uid="{00000000-0005-0000-0000-000010230000}"/>
    <cellStyle name="20% - Accent6 2 3 2 5 3" xfId="7369" xr:uid="{00000000-0005-0000-0000-000011230000}"/>
    <cellStyle name="20% - Accent6 2 3 2 5 3 2" xfId="11705" xr:uid="{00000000-0005-0000-0000-000012230000}"/>
    <cellStyle name="20% - Accent6 2 3 2 5 3 2 2" xfId="31175" xr:uid="{00000000-0005-0000-0000-000013230000}"/>
    <cellStyle name="20% - Accent6 2 3 2 5 3 3" xfId="26853" xr:uid="{00000000-0005-0000-0000-000014230000}"/>
    <cellStyle name="20% - Accent6 2 3 2 5 4" xfId="9487" xr:uid="{00000000-0005-0000-0000-000015230000}"/>
    <cellStyle name="20% - Accent6 2 3 2 5 4 2" xfId="28957" xr:uid="{00000000-0005-0000-0000-000016230000}"/>
    <cellStyle name="20% - Accent6 2 3 2 5 5" xfId="24461" xr:uid="{00000000-0005-0000-0000-000017230000}"/>
    <cellStyle name="20% - Accent6 2 3 2 6" xfId="5572" xr:uid="{00000000-0005-0000-0000-000018230000}"/>
    <cellStyle name="20% - Accent6 2 3 2 6 2" xfId="7371" xr:uid="{00000000-0005-0000-0000-000019230000}"/>
    <cellStyle name="20% - Accent6 2 3 2 6 2 2" xfId="11707" xr:uid="{00000000-0005-0000-0000-00001A230000}"/>
    <cellStyle name="20% - Accent6 2 3 2 6 2 2 2" xfId="31177" xr:uid="{00000000-0005-0000-0000-00001B230000}"/>
    <cellStyle name="20% - Accent6 2 3 2 6 2 3" xfId="26855" xr:uid="{00000000-0005-0000-0000-00001C230000}"/>
    <cellStyle name="20% - Accent6 2 3 2 6 3" xfId="10017" xr:uid="{00000000-0005-0000-0000-00001D230000}"/>
    <cellStyle name="20% - Accent6 2 3 2 6 3 2" xfId="29487" xr:uid="{00000000-0005-0000-0000-00001E230000}"/>
    <cellStyle name="20% - Accent6 2 3 2 6 4" xfId="25059" xr:uid="{00000000-0005-0000-0000-00001F230000}"/>
    <cellStyle name="20% - Accent6 2 3 2 7" xfId="7348" xr:uid="{00000000-0005-0000-0000-000020230000}"/>
    <cellStyle name="20% - Accent6 2 3 2 7 2" xfId="11684" xr:uid="{00000000-0005-0000-0000-000021230000}"/>
    <cellStyle name="20% - Accent6 2 3 2 7 2 2" xfId="31154" xr:uid="{00000000-0005-0000-0000-000022230000}"/>
    <cellStyle name="20% - Accent6 2 3 2 7 3" xfId="26832" xr:uid="{00000000-0005-0000-0000-000023230000}"/>
    <cellStyle name="20% - Accent6 2 3 2 8" xfId="8953" xr:uid="{00000000-0005-0000-0000-000024230000}"/>
    <cellStyle name="20% - Accent6 2 3 2 8 2" xfId="28427" xr:uid="{00000000-0005-0000-0000-000025230000}"/>
    <cellStyle name="20% - Accent6 2 3 2 9" xfId="23685" xr:uid="{00000000-0005-0000-0000-000026230000}"/>
    <cellStyle name="20% - Accent6 2 3 3" xfId="2950" xr:uid="{00000000-0005-0000-0000-000027230000}"/>
    <cellStyle name="20% - Accent6 2 3 3 2" xfId="4657" xr:uid="{00000000-0005-0000-0000-000028230000}"/>
    <cellStyle name="20% - Accent6 2 3 3 2 2" xfId="5297" xr:uid="{00000000-0005-0000-0000-000029230000}"/>
    <cellStyle name="20% - Accent6 2 3 3 2 2 2" xfId="6431" xr:uid="{00000000-0005-0000-0000-00002A230000}"/>
    <cellStyle name="20% - Accent6 2 3 3 2 2 2 2" xfId="7375" xr:uid="{00000000-0005-0000-0000-00002B230000}"/>
    <cellStyle name="20% - Accent6 2 3 3 2 2 2 2 2" xfId="11711" xr:uid="{00000000-0005-0000-0000-00002C230000}"/>
    <cellStyle name="20% - Accent6 2 3 3 2 2 2 2 2 2" xfId="31181" xr:uid="{00000000-0005-0000-0000-00002D230000}"/>
    <cellStyle name="20% - Accent6 2 3 3 2 2 2 2 3" xfId="26859" xr:uid="{00000000-0005-0000-0000-00002E230000}"/>
    <cellStyle name="20% - Accent6 2 3 3 2 2 2 3" xfId="10847" xr:uid="{00000000-0005-0000-0000-00002F230000}"/>
    <cellStyle name="20% - Accent6 2 3 3 2 2 2 3 2" xfId="30317" xr:uid="{00000000-0005-0000-0000-000030230000}"/>
    <cellStyle name="20% - Accent6 2 3 3 2 2 2 4" xfId="25916" xr:uid="{00000000-0005-0000-0000-000031230000}"/>
    <cellStyle name="20% - Accent6 2 3 3 2 2 3" xfId="7374" xr:uid="{00000000-0005-0000-0000-000032230000}"/>
    <cellStyle name="20% - Accent6 2 3 3 2 2 3 2" xfId="11710" xr:uid="{00000000-0005-0000-0000-000033230000}"/>
    <cellStyle name="20% - Accent6 2 3 3 2 2 3 2 2" xfId="31180" xr:uid="{00000000-0005-0000-0000-000034230000}"/>
    <cellStyle name="20% - Accent6 2 3 3 2 2 3 3" xfId="26858" xr:uid="{00000000-0005-0000-0000-000035230000}"/>
    <cellStyle name="20% - Accent6 2 3 3 2 2 4" xfId="9786" xr:uid="{00000000-0005-0000-0000-000036230000}"/>
    <cellStyle name="20% - Accent6 2 3 3 2 2 4 2" xfId="29256" xr:uid="{00000000-0005-0000-0000-000037230000}"/>
    <cellStyle name="20% - Accent6 2 3 3 2 2 5" xfId="24788" xr:uid="{00000000-0005-0000-0000-000038230000}"/>
    <cellStyle name="20% - Accent6 2 3 3 2 3" xfId="5894" xr:uid="{00000000-0005-0000-0000-000039230000}"/>
    <cellStyle name="20% - Accent6 2 3 3 2 3 2" xfId="7376" xr:uid="{00000000-0005-0000-0000-00003A230000}"/>
    <cellStyle name="20% - Accent6 2 3 3 2 3 2 2" xfId="11712" xr:uid="{00000000-0005-0000-0000-00003B230000}"/>
    <cellStyle name="20% - Accent6 2 3 3 2 3 2 2 2" xfId="31182" xr:uid="{00000000-0005-0000-0000-00003C230000}"/>
    <cellStyle name="20% - Accent6 2 3 3 2 3 2 3" xfId="26860" xr:uid="{00000000-0005-0000-0000-00003D230000}"/>
    <cellStyle name="20% - Accent6 2 3 3 2 3 3" xfId="10316" xr:uid="{00000000-0005-0000-0000-00003E230000}"/>
    <cellStyle name="20% - Accent6 2 3 3 2 3 3 2" xfId="29786" xr:uid="{00000000-0005-0000-0000-00003F230000}"/>
    <cellStyle name="20% - Accent6 2 3 3 2 3 4" xfId="25379" xr:uid="{00000000-0005-0000-0000-000040230000}"/>
    <cellStyle name="20% - Accent6 2 3 3 2 4" xfId="7373" xr:uid="{00000000-0005-0000-0000-000041230000}"/>
    <cellStyle name="20% - Accent6 2 3 3 2 4 2" xfId="11709" xr:uid="{00000000-0005-0000-0000-000042230000}"/>
    <cellStyle name="20% - Accent6 2 3 3 2 4 2 2" xfId="31179" xr:uid="{00000000-0005-0000-0000-000043230000}"/>
    <cellStyle name="20% - Accent6 2 3 3 2 4 3" xfId="26857" xr:uid="{00000000-0005-0000-0000-000044230000}"/>
    <cellStyle name="20% - Accent6 2 3 3 2 5" xfId="9256" xr:uid="{00000000-0005-0000-0000-000045230000}"/>
    <cellStyle name="20% - Accent6 2 3 3 2 5 2" xfId="28726" xr:uid="{00000000-0005-0000-0000-000046230000}"/>
    <cellStyle name="20% - Accent6 2 3 3 2 6" xfId="24168" xr:uid="{00000000-0005-0000-0000-000047230000}"/>
    <cellStyle name="20% - Accent6 2 3 3 3" xfId="5001" xr:uid="{00000000-0005-0000-0000-000048230000}"/>
    <cellStyle name="20% - Accent6 2 3 3 3 2" xfId="6163" xr:uid="{00000000-0005-0000-0000-000049230000}"/>
    <cellStyle name="20% - Accent6 2 3 3 3 2 2" xfId="7378" xr:uid="{00000000-0005-0000-0000-00004A230000}"/>
    <cellStyle name="20% - Accent6 2 3 3 3 2 2 2" xfId="11714" xr:uid="{00000000-0005-0000-0000-00004B230000}"/>
    <cellStyle name="20% - Accent6 2 3 3 3 2 2 2 2" xfId="31184" xr:uid="{00000000-0005-0000-0000-00004C230000}"/>
    <cellStyle name="20% - Accent6 2 3 3 3 2 2 3" xfId="26862" xr:uid="{00000000-0005-0000-0000-00004D230000}"/>
    <cellStyle name="20% - Accent6 2 3 3 3 2 3" xfId="10581" xr:uid="{00000000-0005-0000-0000-00004E230000}"/>
    <cellStyle name="20% - Accent6 2 3 3 3 2 3 2" xfId="30051" xr:uid="{00000000-0005-0000-0000-00004F230000}"/>
    <cellStyle name="20% - Accent6 2 3 3 3 2 4" xfId="25648" xr:uid="{00000000-0005-0000-0000-000050230000}"/>
    <cellStyle name="20% - Accent6 2 3 3 3 3" xfId="7377" xr:uid="{00000000-0005-0000-0000-000051230000}"/>
    <cellStyle name="20% - Accent6 2 3 3 3 3 2" xfId="11713" xr:uid="{00000000-0005-0000-0000-000052230000}"/>
    <cellStyle name="20% - Accent6 2 3 3 3 3 2 2" xfId="31183" xr:uid="{00000000-0005-0000-0000-000053230000}"/>
    <cellStyle name="20% - Accent6 2 3 3 3 3 3" xfId="26861" xr:uid="{00000000-0005-0000-0000-000054230000}"/>
    <cellStyle name="20% - Accent6 2 3 3 3 4" xfId="9521" xr:uid="{00000000-0005-0000-0000-000055230000}"/>
    <cellStyle name="20% - Accent6 2 3 3 3 4 2" xfId="28991" xr:uid="{00000000-0005-0000-0000-000056230000}"/>
    <cellStyle name="20% - Accent6 2 3 3 3 5" xfId="24495" xr:uid="{00000000-0005-0000-0000-000057230000}"/>
    <cellStyle name="20% - Accent6 2 3 3 4" xfId="5606" xr:uid="{00000000-0005-0000-0000-000058230000}"/>
    <cellStyle name="20% - Accent6 2 3 3 4 2" xfId="7379" xr:uid="{00000000-0005-0000-0000-000059230000}"/>
    <cellStyle name="20% - Accent6 2 3 3 4 2 2" xfId="11715" xr:uid="{00000000-0005-0000-0000-00005A230000}"/>
    <cellStyle name="20% - Accent6 2 3 3 4 2 2 2" xfId="31185" xr:uid="{00000000-0005-0000-0000-00005B230000}"/>
    <cellStyle name="20% - Accent6 2 3 3 4 2 3" xfId="26863" xr:uid="{00000000-0005-0000-0000-00005C230000}"/>
    <cellStyle name="20% - Accent6 2 3 3 4 3" xfId="10051" xr:uid="{00000000-0005-0000-0000-00005D230000}"/>
    <cellStyle name="20% - Accent6 2 3 3 4 3 2" xfId="29521" xr:uid="{00000000-0005-0000-0000-00005E230000}"/>
    <cellStyle name="20% - Accent6 2 3 3 4 4" xfId="25093" xr:uid="{00000000-0005-0000-0000-00005F230000}"/>
    <cellStyle name="20% - Accent6 2 3 3 5" xfId="7372" xr:uid="{00000000-0005-0000-0000-000060230000}"/>
    <cellStyle name="20% - Accent6 2 3 3 5 2" xfId="11708" xr:uid="{00000000-0005-0000-0000-000061230000}"/>
    <cellStyle name="20% - Accent6 2 3 3 5 2 2" xfId="31178" xr:uid="{00000000-0005-0000-0000-000062230000}"/>
    <cellStyle name="20% - Accent6 2 3 3 5 3" xfId="26856" xr:uid="{00000000-0005-0000-0000-000063230000}"/>
    <cellStyle name="20% - Accent6 2 3 3 6" xfId="8987" xr:uid="{00000000-0005-0000-0000-000064230000}"/>
    <cellStyle name="20% - Accent6 2 3 3 6 2" xfId="28461" xr:uid="{00000000-0005-0000-0000-000065230000}"/>
    <cellStyle name="20% - Accent6 2 3 3 7" xfId="23759" xr:uid="{00000000-0005-0000-0000-000066230000}"/>
    <cellStyle name="20% - Accent6 2 3 4" xfId="4195" xr:uid="{00000000-0005-0000-0000-000067230000}"/>
    <cellStyle name="20% - Accent6 2 3 4 2" xfId="4787" xr:uid="{00000000-0005-0000-0000-000068230000}"/>
    <cellStyle name="20% - Accent6 2 3 4 2 2" xfId="5413" xr:uid="{00000000-0005-0000-0000-000069230000}"/>
    <cellStyle name="20% - Accent6 2 3 4 2 2 2" xfId="6541" xr:uid="{00000000-0005-0000-0000-00006A230000}"/>
    <cellStyle name="20% - Accent6 2 3 4 2 2 2 2" xfId="7383" xr:uid="{00000000-0005-0000-0000-00006B230000}"/>
    <cellStyle name="20% - Accent6 2 3 4 2 2 2 2 2" xfId="11719" xr:uid="{00000000-0005-0000-0000-00006C230000}"/>
    <cellStyle name="20% - Accent6 2 3 4 2 2 2 2 2 2" xfId="31189" xr:uid="{00000000-0005-0000-0000-00006D230000}"/>
    <cellStyle name="20% - Accent6 2 3 4 2 2 2 2 3" xfId="26867" xr:uid="{00000000-0005-0000-0000-00006E230000}"/>
    <cellStyle name="20% - Accent6 2 3 4 2 2 2 3" xfId="10957" xr:uid="{00000000-0005-0000-0000-00006F230000}"/>
    <cellStyle name="20% - Accent6 2 3 4 2 2 2 3 2" xfId="30427" xr:uid="{00000000-0005-0000-0000-000070230000}"/>
    <cellStyle name="20% - Accent6 2 3 4 2 2 2 4" xfId="26026" xr:uid="{00000000-0005-0000-0000-000071230000}"/>
    <cellStyle name="20% - Accent6 2 3 4 2 2 3" xfId="7382" xr:uid="{00000000-0005-0000-0000-000072230000}"/>
    <cellStyle name="20% - Accent6 2 3 4 2 2 3 2" xfId="11718" xr:uid="{00000000-0005-0000-0000-000073230000}"/>
    <cellStyle name="20% - Accent6 2 3 4 2 2 3 2 2" xfId="31188" xr:uid="{00000000-0005-0000-0000-000074230000}"/>
    <cellStyle name="20% - Accent6 2 3 4 2 2 3 3" xfId="26866" xr:uid="{00000000-0005-0000-0000-000075230000}"/>
    <cellStyle name="20% - Accent6 2 3 4 2 2 4" xfId="9896" xr:uid="{00000000-0005-0000-0000-000076230000}"/>
    <cellStyle name="20% - Accent6 2 3 4 2 2 4 2" xfId="29366" xr:uid="{00000000-0005-0000-0000-000077230000}"/>
    <cellStyle name="20% - Accent6 2 3 4 2 2 5" xfId="24904" xr:uid="{00000000-0005-0000-0000-000078230000}"/>
    <cellStyle name="20% - Accent6 2 3 4 2 3" xfId="6005" xr:uid="{00000000-0005-0000-0000-000079230000}"/>
    <cellStyle name="20% - Accent6 2 3 4 2 3 2" xfId="7384" xr:uid="{00000000-0005-0000-0000-00007A230000}"/>
    <cellStyle name="20% - Accent6 2 3 4 2 3 2 2" xfId="11720" xr:uid="{00000000-0005-0000-0000-00007B230000}"/>
    <cellStyle name="20% - Accent6 2 3 4 2 3 2 2 2" xfId="31190" xr:uid="{00000000-0005-0000-0000-00007C230000}"/>
    <cellStyle name="20% - Accent6 2 3 4 2 3 2 3" xfId="26868" xr:uid="{00000000-0005-0000-0000-00007D230000}"/>
    <cellStyle name="20% - Accent6 2 3 4 2 3 3" xfId="10426" xr:uid="{00000000-0005-0000-0000-00007E230000}"/>
    <cellStyle name="20% - Accent6 2 3 4 2 3 3 2" xfId="29896" xr:uid="{00000000-0005-0000-0000-00007F230000}"/>
    <cellStyle name="20% - Accent6 2 3 4 2 3 4" xfId="25490" xr:uid="{00000000-0005-0000-0000-000080230000}"/>
    <cellStyle name="20% - Accent6 2 3 4 2 4" xfId="7381" xr:uid="{00000000-0005-0000-0000-000081230000}"/>
    <cellStyle name="20% - Accent6 2 3 4 2 4 2" xfId="11717" xr:uid="{00000000-0005-0000-0000-000082230000}"/>
    <cellStyle name="20% - Accent6 2 3 4 2 4 2 2" xfId="31187" xr:uid="{00000000-0005-0000-0000-000083230000}"/>
    <cellStyle name="20% - Accent6 2 3 4 2 4 3" xfId="26865" xr:uid="{00000000-0005-0000-0000-000084230000}"/>
    <cellStyle name="20% - Accent6 2 3 4 2 5" xfId="9366" xr:uid="{00000000-0005-0000-0000-000085230000}"/>
    <cellStyle name="20% - Accent6 2 3 4 2 5 2" xfId="28836" xr:uid="{00000000-0005-0000-0000-000086230000}"/>
    <cellStyle name="20% - Accent6 2 3 4 2 6" xfId="24289" xr:uid="{00000000-0005-0000-0000-000087230000}"/>
    <cellStyle name="20% - Accent6 2 3 4 3" xfId="5118" xr:uid="{00000000-0005-0000-0000-000088230000}"/>
    <cellStyle name="20% - Accent6 2 3 4 3 2" xfId="6274" xr:uid="{00000000-0005-0000-0000-000089230000}"/>
    <cellStyle name="20% - Accent6 2 3 4 3 2 2" xfId="7386" xr:uid="{00000000-0005-0000-0000-00008A230000}"/>
    <cellStyle name="20% - Accent6 2 3 4 3 2 2 2" xfId="11722" xr:uid="{00000000-0005-0000-0000-00008B230000}"/>
    <cellStyle name="20% - Accent6 2 3 4 3 2 2 2 2" xfId="31192" xr:uid="{00000000-0005-0000-0000-00008C230000}"/>
    <cellStyle name="20% - Accent6 2 3 4 3 2 2 3" xfId="26870" xr:uid="{00000000-0005-0000-0000-00008D230000}"/>
    <cellStyle name="20% - Accent6 2 3 4 3 2 3" xfId="10691" xr:uid="{00000000-0005-0000-0000-00008E230000}"/>
    <cellStyle name="20% - Accent6 2 3 4 3 2 3 2" xfId="30161" xr:uid="{00000000-0005-0000-0000-00008F230000}"/>
    <cellStyle name="20% - Accent6 2 3 4 3 2 4" xfId="25759" xr:uid="{00000000-0005-0000-0000-000090230000}"/>
    <cellStyle name="20% - Accent6 2 3 4 3 3" xfId="7385" xr:uid="{00000000-0005-0000-0000-000091230000}"/>
    <cellStyle name="20% - Accent6 2 3 4 3 3 2" xfId="11721" xr:uid="{00000000-0005-0000-0000-000092230000}"/>
    <cellStyle name="20% - Accent6 2 3 4 3 3 2 2" xfId="31191" xr:uid="{00000000-0005-0000-0000-000093230000}"/>
    <cellStyle name="20% - Accent6 2 3 4 3 3 3" xfId="26869" xr:uid="{00000000-0005-0000-0000-000094230000}"/>
    <cellStyle name="20% - Accent6 2 3 4 3 4" xfId="9631" xr:uid="{00000000-0005-0000-0000-000095230000}"/>
    <cellStyle name="20% - Accent6 2 3 4 3 4 2" xfId="29101" xr:uid="{00000000-0005-0000-0000-000096230000}"/>
    <cellStyle name="20% - Accent6 2 3 4 3 5" xfId="24609" xr:uid="{00000000-0005-0000-0000-000097230000}"/>
    <cellStyle name="20% - Accent6 2 3 4 4" xfId="5727" xr:uid="{00000000-0005-0000-0000-000098230000}"/>
    <cellStyle name="20% - Accent6 2 3 4 4 2" xfId="7387" xr:uid="{00000000-0005-0000-0000-000099230000}"/>
    <cellStyle name="20% - Accent6 2 3 4 4 2 2" xfId="11723" xr:uid="{00000000-0005-0000-0000-00009A230000}"/>
    <cellStyle name="20% - Accent6 2 3 4 4 2 2 2" xfId="31193" xr:uid="{00000000-0005-0000-0000-00009B230000}"/>
    <cellStyle name="20% - Accent6 2 3 4 4 2 3" xfId="26871" xr:uid="{00000000-0005-0000-0000-00009C230000}"/>
    <cellStyle name="20% - Accent6 2 3 4 4 3" xfId="10161" xr:uid="{00000000-0005-0000-0000-00009D230000}"/>
    <cellStyle name="20% - Accent6 2 3 4 4 3 2" xfId="29631" xr:uid="{00000000-0005-0000-0000-00009E230000}"/>
    <cellStyle name="20% - Accent6 2 3 4 4 4" xfId="25212" xr:uid="{00000000-0005-0000-0000-00009F230000}"/>
    <cellStyle name="20% - Accent6 2 3 4 5" xfId="7380" xr:uid="{00000000-0005-0000-0000-0000A0230000}"/>
    <cellStyle name="20% - Accent6 2 3 4 5 2" xfId="11716" xr:uid="{00000000-0005-0000-0000-0000A1230000}"/>
    <cellStyle name="20% - Accent6 2 3 4 5 2 2" xfId="31186" xr:uid="{00000000-0005-0000-0000-0000A2230000}"/>
    <cellStyle name="20% - Accent6 2 3 4 5 3" xfId="26864" xr:uid="{00000000-0005-0000-0000-0000A3230000}"/>
    <cellStyle name="20% - Accent6 2 3 4 6" xfId="9100" xr:uid="{00000000-0005-0000-0000-0000A4230000}"/>
    <cellStyle name="20% - Accent6 2 3 4 6 2" xfId="28571" xr:uid="{00000000-0005-0000-0000-0000A5230000}"/>
    <cellStyle name="20% - Accent6 2 3 4 7" xfId="23987" xr:uid="{00000000-0005-0000-0000-0000A6230000}"/>
    <cellStyle name="20% - Accent6 2 3 5" xfId="4590" xr:uid="{00000000-0005-0000-0000-0000A7230000}"/>
    <cellStyle name="20% - Accent6 2 3 5 2" xfId="5231" xr:uid="{00000000-0005-0000-0000-0000A8230000}"/>
    <cellStyle name="20% - Accent6 2 3 5 2 2" xfId="6365" xr:uid="{00000000-0005-0000-0000-0000A9230000}"/>
    <cellStyle name="20% - Accent6 2 3 5 2 2 2" xfId="7390" xr:uid="{00000000-0005-0000-0000-0000AA230000}"/>
    <cellStyle name="20% - Accent6 2 3 5 2 2 2 2" xfId="11726" xr:uid="{00000000-0005-0000-0000-0000AB230000}"/>
    <cellStyle name="20% - Accent6 2 3 5 2 2 2 2 2" xfId="31196" xr:uid="{00000000-0005-0000-0000-0000AC230000}"/>
    <cellStyle name="20% - Accent6 2 3 5 2 2 2 3" xfId="26874" xr:uid="{00000000-0005-0000-0000-0000AD230000}"/>
    <cellStyle name="20% - Accent6 2 3 5 2 2 3" xfId="10781" xr:uid="{00000000-0005-0000-0000-0000AE230000}"/>
    <cellStyle name="20% - Accent6 2 3 5 2 2 3 2" xfId="30251" xr:uid="{00000000-0005-0000-0000-0000AF230000}"/>
    <cellStyle name="20% - Accent6 2 3 5 2 2 4" xfId="25850" xr:uid="{00000000-0005-0000-0000-0000B0230000}"/>
    <cellStyle name="20% - Accent6 2 3 5 2 3" xfId="7389" xr:uid="{00000000-0005-0000-0000-0000B1230000}"/>
    <cellStyle name="20% - Accent6 2 3 5 2 3 2" xfId="11725" xr:uid="{00000000-0005-0000-0000-0000B2230000}"/>
    <cellStyle name="20% - Accent6 2 3 5 2 3 2 2" xfId="31195" xr:uid="{00000000-0005-0000-0000-0000B3230000}"/>
    <cellStyle name="20% - Accent6 2 3 5 2 3 3" xfId="26873" xr:uid="{00000000-0005-0000-0000-0000B4230000}"/>
    <cellStyle name="20% - Accent6 2 3 5 2 4" xfId="9720" xr:uid="{00000000-0005-0000-0000-0000B5230000}"/>
    <cellStyle name="20% - Accent6 2 3 5 2 4 2" xfId="29190" xr:uid="{00000000-0005-0000-0000-0000B6230000}"/>
    <cellStyle name="20% - Accent6 2 3 5 2 5" xfId="24722" xr:uid="{00000000-0005-0000-0000-0000B7230000}"/>
    <cellStyle name="20% - Accent6 2 3 5 3" xfId="5827" xr:uid="{00000000-0005-0000-0000-0000B8230000}"/>
    <cellStyle name="20% - Accent6 2 3 5 3 2" xfId="7391" xr:uid="{00000000-0005-0000-0000-0000B9230000}"/>
    <cellStyle name="20% - Accent6 2 3 5 3 2 2" xfId="11727" xr:uid="{00000000-0005-0000-0000-0000BA230000}"/>
    <cellStyle name="20% - Accent6 2 3 5 3 2 2 2" xfId="31197" xr:uid="{00000000-0005-0000-0000-0000BB230000}"/>
    <cellStyle name="20% - Accent6 2 3 5 3 2 3" xfId="26875" xr:uid="{00000000-0005-0000-0000-0000BC230000}"/>
    <cellStyle name="20% - Accent6 2 3 5 3 3" xfId="10250" xr:uid="{00000000-0005-0000-0000-0000BD230000}"/>
    <cellStyle name="20% - Accent6 2 3 5 3 3 2" xfId="29720" xr:uid="{00000000-0005-0000-0000-0000BE230000}"/>
    <cellStyle name="20% - Accent6 2 3 5 3 4" xfId="25312" xr:uid="{00000000-0005-0000-0000-0000BF230000}"/>
    <cellStyle name="20% - Accent6 2 3 5 4" xfId="7388" xr:uid="{00000000-0005-0000-0000-0000C0230000}"/>
    <cellStyle name="20% - Accent6 2 3 5 4 2" xfId="11724" xr:uid="{00000000-0005-0000-0000-0000C1230000}"/>
    <cellStyle name="20% - Accent6 2 3 5 4 2 2" xfId="31194" xr:uid="{00000000-0005-0000-0000-0000C2230000}"/>
    <cellStyle name="20% - Accent6 2 3 5 4 3" xfId="26872" xr:uid="{00000000-0005-0000-0000-0000C3230000}"/>
    <cellStyle name="20% - Accent6 2 3 5 5" xfId="9190" xr:uid="{00000000-0005-0000-0000-0000C4230000}"/>
    <cellStyle name="20% - Accent6 2 3 5 5 2" xfId="28660" xr:uid="{00000000-0005-0000-0000-0000C5230000}"/>
    <cellStyle name="20% - Accent6 2 3 5 6" xfId="24101" xr:uid="{00000000-0005-0000-0000-0000C6230000}"/>
    <cellStyle name="20% - Accent6 2 3 6" xfId="4935" xr:uid="{00000000-0005-0000-0000-0000C7230000}"/>
    <cellStyle name="20% - Accent6 2 3 6 2" xfId="6097" xr:uid="{00000000-0005-0000-0000-0000C8230000}"/>
    <cellStyle name="20% - Accent6 2 3 6 2 2" xfId="7393" xr:uid="{00000000-0005-0000-0000-0000C9230000}"/>
    <cellStyle name="20% - Accent6 2 3 6 2 2 2" xfId="11729" xr:uid="{00000000-0005-0000-0000-0000CA230000}"/>
    <cellStyle name="20% - Accent6 2 3 6 2 2 2 2" xfId="31199" xr:uid="{00000000-0005-0000-0000-0000CB230000}"/>
    <cellStyle name="20% - Accent6 2 3 6 2 2 3" xfId="26877" xr:uid="{00000000-0005-0000-0000-0000CC230000}"/>
    <cellStyle name="20% - Accent6 2 3 6 2 3" xfId="10515" xr:uid="{00000000-0005-0000-0000-0000CD230000}"/>
    <cellStyle name="20% - Accent6 2 3 6 2 3 2" xfId="29985" xr:uid="{00000000-0005-0000-0000-0000CE230000}"/>
    <cellStyle name="20% - Accent6 2 3 6 2 4" xfId="25582" xr:uid="{00000000-0005-0000-0000-0000CF230000}"/>
    <cellStyle name="20% - Accent6 2 3 6 3" xfId="7392" xr:uid="{00000000-0005-0000-0000-0000D0230000}"/>
    <cellStyle name="20% - Accent6 2 3 6 3 2" xfId="11728" xr:uid="{00000000-0005-0000-0000-0000D1230000}"/>
    <cellStyle name="20% - Accent6 2 3 6 3 2 2" xfId="31198" xr:uid="{00000000-0005-0000-0000-0000D2230000}"/>
    <cellStyle name="20% - Accent6 2 3 6 3 3" xfId="26876" xr:uid="{00000000-0005-0000-0000-0000D3230000}"/>
    <cellStyle name="20% - Accent6 2 3 6 4" xfId="9455" xr:uid="{00000000-0005-0000-0000-0000D4230000}"/>
    <cellStyle name="20% - Accent6 2 3 6 4 2" xfId="28925" xr:uid="{00000000-0005-0000-0000-0000D5230000}"/>
    <cellStyle name="20% - Accent6 2 3 6 5" xfId="24429" xr:uid="{00000000-0005-0000-0000-0000D6230000}"/>
    <cellStyle name="20% - Accent6 2 3 7" xfId="5539" xr:uid="{00000000-0005-0000-0000-0000D7230000}"/>
    <cellStyle name="20% - Accent6 2 3 7 2" xfId="7394" xr:uid="{00000000-0005-0000-0000-0000D8230000}"/>
    <cellStyle name="20% - Accent6 2 3 7 2 2" xfId="11730" xr:uid="{00000000-0005-0000-0000-0000D9230000}"/>
    <cellStyle name="20% - Accent6 2 3 7 2 2 2" xfId="31200" xr:uid="{00000000-0005-0000-0000-0000DA230000}"/>
    <cellStyle name="20% - Accent6 2 3 7 2 3" xfId="26878" xr:uid="{00000000-0005-0000-0000-0000DB230000}"/>
    <cellStyle name="20% - Accent6 2 3 7 3" xfId="9985" xr:uid="{00000000-0005-0000-0000-0000DC230000}"/>
    <cellStyle name="20% - Accent6 2 3 7 3 2" xfId="29455" xr:uid="{00000000-0005-0000-0000-0000DD230000}"/>
    <cellStyle name="20% - Accent6 2 3 7 4" xfId="25027" xr:uid="{00000000-0005-0000-0000-0000DE230000}"/>
    <cellStyle name="20% - Accent6 2 3 8" xfId="7347" xr:uid="{00000000-0005-0000-0000-0000DF230000}"/>
    <cellStyle name="20% - Accent6 2 3 8 2" xfId="11683" xr:uid="{00000000-0005-0000-0000-0000E0230000}"/>
    <cellStyle name="20% - Accent6 2 3 8 2 2" xfId="31153" xr:uid="{00000000-0005-0000-0000-0000E1230000}"/>
    <cellStyle name="20% - Accent6 2 3 8 3" xfId="26831" xr:uid="{00000000-0005-0000-0000-0000E2230000}"/>
    <cellStyle name="20% - Accent6 2 3 9" xfId="8921" xr:uid="{00000000-0005-0000-0000-0000E3230000}"/>
    <cellStyle name="20% - Accent6 2 3 9 2" xfId="28395" xr:uid="{00000000-0005-0000-0000-0000E4230000}"/>
    <cellStyle name="20% - Accent6 2 4" xfId="3897" xr:uid="{00000000-0005-0000-0000-0000E5230000}"/>
    <cellStyle name="20% - Accent6 2 4 2" xfId="4249" xr:uid="{00000000-0005-0000-0000-0000E6230000}"/>
    <cellStyle name="20% - Accent6 2 4 2 2" xfId="4824" xr:uid="{00000000-0005-0000-0000-0000E7230000}"/>
    <cellStyle name="20% - Accent6 2 4 2 2 2" xfId="5449" xr:uid="{00000000-0005-0000-0000-0000E8230000}"/>
    <cellStyle name="20% - Accent6 2 4 2 2 2 2" xfId="6577" xr:uid="{00000000-0005-0000-0000-0000E9230000}"/>
    <cellStyle name="20% - Accent6 2 4 2 2 2 2 2" xfId="7399" xr:uid="{00000000-0005-0000-0000-0000EA230000}"/>
    <cellStyle name="20% - Accent6 2 4 2 2 2 2 2 2" xfId="11735" xr:uid="{00000000-0005-0000-0000-0000EB230000}"/>
    <cellStyle name="20% - Accent6 2 4 2 2 2 2 2 2 2" xfId="31205" xr:uid="{00000000-0005-0000-0000-0000EC230000}"/>
    <cellStyle name="20% - Accent6 2 4 2 2 2 2 2 3" xfId="26883" xr:uid="{00000000-0005-0000-0000-0000ED230000}"/>
    <cellStyle name="20% - Accent6 2 4 2 2 2 2 3" xfId="10993" xr:uid="{00000000-0005-0000-0000-0000EE230000}"/>
    <cellStyle name="20% - Accent6 2 4 2 2 2 2 3 2" xfId="30463" xr:uid="{00000000-0005-0000-0000-0000EF230000}"/>
    <cellStyle name="20% - Accent6 2 4 2 2 2 2 4" xfId="26062" xr:uid="{00000000-0005-0000-0000-0000F0230000}"/>
    <cellStyle name="20% - Accent6 2 4 2 2 2 3" xfId="7398" xr:uid="{00000000-0005-0000-0000-0000F1230000}"/>
    <cellStyle name="20% - Accent6 2 4 2 2 2 3 2" xfId="11734" xr:uid="{00000000-0005-0000-0000-0000F2230000}"/>
    <cellStyle name="20% - Accent6 2 4 2 2 2 3 2 2" xfId="31204" xr:uid="{00000000-0005-0000-0000-0000F3230000}"/>
    <cellStyle name="20% - Accent6 2 4 2 2 2 3 3" xfId="26882" xr:uid="{00000000-0005-0000-0000-0000F4230000}"/>
    <cellStyle name="20% - Accent6 2 4 2 2 2 4" xfId="9932" xr:uid="{00000000-0005-0000-0000-0000F5230000}"/>
    <cellStyle name="20% - Accent6 2 4 2 2 2 4 2" xfId="29402" xr:uid="{00000000-0005-0000-0000-0000F6230000}"/>
    <cellStyle name="20% - Accent6 2 4 2 2 2 5" xfId="24940" xr:uid="{00000000-0005-0000-0000-0000F7230000}"/>
    <cellStyle name="20% - Accent6 2 4 2 2 3" xfId="6042" xr:uid="{00000000-0005-0000-0000-0000F8230000}"/>
    <cellStyle name="20% - Accent6 2 4 2 2 3 2" xfId="7400" xr:uid="{00000000-0005-0000-0000-0000F9230000}"/>
    <cellStyle name="20% - Accent6 2 4 2 2 3 2 2" xfId="11736" xr:uid="{00000000-0005-0000-0000-0000FA230000}"/>
    <cellStyle name="20% - Accent6 2 4 2 2 3 2 2 2" xfId="31206" xr:uid="{00000000-0005-0000-0000-0000FB230000}"/>
    <cellStyle name="20% - Accent6 2 4 2 2 3 2 3" xfId="26884" xr:uid="{00000000-0005-0000-0000-0000FC230000}"/>
    <cellStyle name="20% - Accent6 2 4 2 2 3 3" xfId="10462" xr:uid="{00000000-0005-0000-0000-0000FD230000}"/>
    <cellStyle name="20% - Accent6 2 4 2 2 3 3 2" xfId="29932" xr:uid="{00000000-0005-0000-0000-0000FE230000}"/>
    <cellStyle name="20% - Accent6 2 4 2 2 3 4" xfId="25527" xr:uid="{00000000-0005-0000-0000-0000FF230000}"/>
    <cellStyle name="20% - Accent6 2 4 2 2 4" xfId="7397" xr:uid="{00000000-0005-0000-0000-000000240000}"/>
    <cellStyle name="20% - Accent6 2 4 2 2 4 2" xfId="11733" xr:uid="{00000000-0005-0000-0000-000001240000}"/>
    <cellStyle name="20% - Accent6 2 4 2 2 4 2 2" xfId="31203" xr:uid="{00000000-0005-0000-0000-000002240000}"/>
    <cellStyle name="20% - Accent6 2 4 2 2 4 3" xfId="26881" xr:uid="{00000000-0005-0000-0000-000003240000}"/>
    <cellStyle name="20% - Accent6 2 4 2 2 5" xfId="9402" xr:uid="{00000000-0005-0000-0000-000004240000}"/>
    <cellStyle name="20% - Accent6 2 4 2 2 5 2" xfId="28872" xr:uid="{00000000-0005-0000-0000-000005240000}"/>
    <cellStyle name="20% - Accent6 2 4 2 2 6" xfId="24326" xr:uid="{00000000-0005-0000-0000-000006240000}"/>
    <cellStyle name="20% - Accent6 2 4 2 3" xfId="5154" xr:uid="{00000000-0005-0000-0000-000007240000}"/>
    <cellStyle name="20% - Accent6 2 4 2 3 2" xfId="6310" xr:uid="{00000000-0005-0000-0000-000008240000}"/>
    <cellStyle name="20% - Accent6 2 4 2 3 2 2" xfId="7402" xr:uid="{00000000-0005-0000-0000-000009240000}"/>
    <cellStyle name="20% - Accent6 2 4 2 3 2 2 2" xfId="11738" xr:uid="{00000000-0005-0000-0000-00000A240000}"/>
    <cellStyle name="20% - Accent6 2 4 2 3 2 2 2 2" xfId="31208" xr:uid="{00000000-0005-0000-0000-00000B240000}"/>
    <cellStyle name="20% - Accent6 2 4 2 3 2 2 3" xfId="26886" xr:uid="{00000000-0005-0000-0000-00000C240000}"/>
    <cellStyle name="20% - Accent6 2 4 2 3 2 3" xfId="10727" xr:uid="{00000000-0005-0000-0000-00000D240000}"/>
    <cellStyle name="20% - Accent6 2 4 2 3 2 3 2" xfId="30197" xr:uid="{00000000-0005-0000-0000-00000E240000}"/>
    <cellStyle name="20% - Accent6 2 4 2 3 2 4" xfId="25795" xr:uid="{00000000-0005-0000-0000-00000F240000}"/>
    <cellStyle name="20% - Accent6 2 4 2 3 3" xfId="7401" xr:uid="{00000000-0005-0000-0000-000010240000}"/>
    <cellStyle name="20% - Accent6 2 4 2 3 3 2" xfId="11737" xr:uid="{00000000-0005-0000-0000-000011240000}"/>
    <cellStyle name="20% - Accent6 2 4 2 3 3 2 2" xfId="31207" xr:uid="{00000000-0005-0000-0000-000012240000}"/>
    <cellStyle name="20% - Accent6 2 4 2 3 3 3" xfId="26885" xr:uid="{00000000-0005-0000-0000-000013240000}"/>
    <cellStyle name="20% - Accent6 2 4 2 3 4" xfId="9667" xr:uid="{00000000-0005-0000-0000-000014240000}"/>
    <cellStyle name="20% - Accent6 2 4 2 3 4 2" xfId="29137" xr:uid="{00000000-0005-0000-0000-000015240000}"/>
    <cellStyle name="20% - Accent6 2 4 2 3 5" xfId="24645" xr:uid="{00000000-0005-0000-0000-000016240000}"/>
    <cellStyle name="20% - Accent6 2 4 2 4" xfId="5763" xr:uid="{00000000-0005-0000-0000-000017240000}"/>
    <cellStyle name="20% - Accent6 2 4 2 4 2" xfId="7403" xr:uid="{00000000-0005-0000-0000-000018240000}"/>
    <cellStyle name="20% - Accent6 2 4 2 4 2 2" xfId="11739" xr:uid="{00000000-0005-0000-0000-000019240000}"/>
    <cellStyle name="20% - Accent6 2 4 2 4 2 2 2" xfId="31209" xr:uid="{00000000-0005-0000-0000-00001A240000}"/>
    <cellStyle name="20% - Accent6 2 4 2 4 2 3" xfId="26887" xr:uid="{00000000-0005-0000-0000-00001B240000}"/>
    <cellStyle name="20% - Accent6 2 4 2 4 3" xfId="10197" xr:uid="{00000000-0005-0000-0000-00001C240000}"/>
    <cellStyle name="20% - Accent6 2 4 2 4 3 2" xfId="29667" xr:uid="{00000000-0005-0000-0000-00001D240000}"/>
    <cellStyle name="20% - Accent6 2 4 2 4 4" xfId="25248" xr:uid="{00000000-0005-0000-0000-00001E240000}"/>
    <cellStyle name="20% - Accent6 2 4 2 5" xfId="7396" xr:uid="{00000000-0005-0000-0000-00001F240000}"/>
    <cellStyle name="20% - Accent6 2 4 2 5 2" xfId="11732" xr:uid="{00000000-0005-0000-0000-000020240000}"/>
    <cellStyle name="20% - Accent6 2 4 2 5 2 2" xfId="31202" xr:uid="{00000000-0005-0000-0000-000021240000}"/>
    <cellStyle name="20% - Accent6 2 4 2 5 3" xfId="26880" xr:uid="{00000000-0005-0000-0000-000022240000}"/>
    <cellStyle name="20% - Accent6 2 4 2 6" xfId="9136" xr:uid="{00000000-0005-0000-0000-000023240000}"/>
    <cellStyle name="20% - Accent6 2 4 2 6 2" xfId="28607" xr:uid="{00000000-0005-0000-0000-000024240000}"/>
    <cellStyle name="20% - Accent6 2 4 2 7" xfId="24025" xr:uid="{00000000-0005-0000-0000-000025240000}"/>
    <cellStyle name="20% - Accent6 2 4 3" xfId="4729" xr:uid="{00000000-0005-0000-0000-000026240000}"/>
    <cellStyle name="20% - Accent6 2 4 3 2" xfId="5363" xr:uid="{00000000-0005-0000-0000-000027240000}"/>
    <cellStyle name="20% - Accent6 2 4 3 2 2" xfId="6491" xr:uid="{00000000-0005-0000-0000-000028240000}"/>
    <cellStyle name="20% - Accent6 2 4 3 2 2 2" xfId="7406" xr:uid="{00000000-0005-0000-0000-000029240000}"/>
    <cellStyle name="20% - Accent6 2 4 3 2 2 2 2" xfId="11742" xr:uid="{00000000-0005-0000-0000-00002A240000}"/>
    <cellStyle name="20% - Accent6 2 4 3 2 2 2 2 2" xfId="31212" xr:uid="{00000000-0005-0000-0000-00002B240000}"/>
    <cellStyle name="20% - Accent6 2 4 3 2 2 2 3" xfId="26890" xr:uid="{00000000-0005-0000-0000-00002C240000}"/>
    <cellStyle name="20% - Accent6 2 4 3 2 2 3" xfId="10907" xr:uid="{00000000-0005-0000-0000-00002D240000}"/>
    <cellStyle name="20% - Accent6 2 4 3 2 2 3 2" xfId="30377" xr:uid="{00000000-0005-0000-0000-00002E240000}"/>
    <cellStyle name="20% - Accent6 2 4 3 2 2 4" xfId="25976" xr:uid="{00000000-0005-0000-0000-00002F240000}"/>
    <cellStyle name="20% - Accent6 2 4 3 2 3" xfId="7405" xr:uid="{00000000-0005-0000-0000-000030240000}"/>
    <cellStyle name="20% - Accent6 2 4 3 2 3 2" xfId="11741" xr:uid="{00000000-0005-0000-0000-000031240000}"/>
    <cellStyle name="20% - Accent6 2 4 3 2 3 2 2" xfId="31211" xr:uid="{00000000-0005-0000-0000-000032240000}"/>
    <cellStyle name="20% - Accent6 2 4 3 2 3 3" xfId="26889" xr:uid="{00000000-0005-0000-0000-000033240000}"/>
    <cellStyle name="20% - Accent6 2 4 3 2 4" xfId="9846" xr:uid="{00000000-0005-0000-0000-000034240000}"/>
    <cellStyle name="20% - Accent6 2 4 3 2 4 2" xfId="29316" xr:uid="{00000000-0005-0000-0000-000035240000}"/>
    <cellStyle name="20% - Accent6 2 4 3 2 5" xfId="24854" xr:uid="{00000000-0005-0000-0000-000036240000}"/>
    <cellStyle name="20% - Accent6 2 4 3 3" xfId="5954" xr:uid="{00000000-0005-0000-0000-000037240000}"/>
    <cellStyle name="20% - Accent6 2 4 3 3 2" xfId="7407" xr:uid="{00000000-0005-0000-0000-000038240000}"/>
    <cellStyle name="20% - Accent6 2 4 3 3 2 2" xfId="11743" xr:uid="{00000000-0005-0000-0000-000039240000}"/>
    <cellStyle name="20% - Accent6 2 4 3 3 2 2 2" xfId="31213" xr:uid="{00000000-0005-0000-0000-00003A240000}"/>
    <cellStyle name="20% - Accent6 2 4 3 3 2 3" xfId="26891" xr:uid="{00000000-0005-0000-0000-00003B240000}"/>
    <cellStyle name="20% - Accent6 2 4 3 3 3" xfId="10376" xr:uid="{00000000-0005-0000-0000-00003C240000}"/>
    <cellStyle name="20% - Accent6 2 4 3 3 3 2" xfId="29846" xr:uid="{00000000-0005-0000-0000-00003D240000}"/>
    <cellStyle name="20% - Accent6 2 4 3 3 4" xfId="25439" xr:uid="{00000000-0005-0000-0000-00003E240000}"/>
    <cellStyle name="20% - Accent6 2 4 3 4" xfId="7404" xr:uid="{00000000-0005-0000-0000-00003F240000}"/>
    <cellStyle name="20% - Accent6 2 4 3 4 2" xfId="11740" xr:uid="{00000000-0005-0000-0000-000040240000}"/>
    <cellStyle name="20% - Accent6 2 4 3 4 2 2" xfId="31210" xr:uid="{00000000-0005-0000-0000-000041240000}"/>
    <cellStyle name="20% - Accent6 2 4 3 4 3" xfId="26888" xr:uid="{00000000-0005-0000-0000-000042240000}"/>
    <cellStyle name="20% - Accent6 2 4 3 5" xfId="9316" xr:uid="{00000000-0005-0000-0000-000043240000}"/>
    <cellStyle name="20% - Accent6 2 4 3 5 2" xfId="28786" xr:uid="{00000000-0005-0000-0000-000044240000}"/>
    <cellStyle name="20% - Accent6 2 4 3 6" xfId="24236" xr:uid="{00000000-0005-0000-0000-000045240000}"/>
    <cellStyle name="20% - Accent6 2 4 4" xfId="5062" xr:uid="{00000000-0005-0000-0000-000046240000}"/>
    <cellStyle name="20% - Accent6 2 4 4 2" xfId="6223" xr:uid="{00000000-0005-0000-0000-000047240000}"/>
    <cellStyle name="20% - Accent6 2 4 4 2 2" xfId="7409" xr:uid="{00000000-0005-0000-0000-000048240000}"/>
    <cellStyle name="20% - Accent6 2 4 4 2 2 2" xfId="11745" xr:uid="{00000000-0005-0000-0000-000049240000}"/>
    <cellStyle name="20% - Accent6 2 4 4 2 2 2 2" xfId="31215" xr:uid="{00000000-0005-0000-0000-00004A240000}"/>
    <cellStyle name="20% - Accent6 2 4 4 2 2 3" xfId="26893" xr:uid="{00000000-0005-0000-0000-00004B240000}"/>
    <cellStyle name="20% - Accent6 2 4 4 2 3" xfId="10641" xr:uid="{00000000-0005-0000-0000-00004C240000}"/>
    <cellStyle name="20% - Accent6 2 4 4 2 3 2" xfId="30111" xr:uid="{00000000-0005-0000-0000-00004D240000}"/>
    <cellStyle name="20% - Accent6 2 4 4 2 4" xfId="25708" xr:uid="{00000000-0005-0000-0000-00004E240000}"/>
    <cellStyle name="20% - Accent6 2 4 4 3" xfId="7408" xr:uid="{00000000-0005-0000-0000-00004F240000}"/>
    <cellStyle name="20% - Accent6 2 4 4 3 2" xfId="11744" xr:uid="{00000000-0005-0000-0000-000050240000}"/>
    <cellStyle name="20% - Accent6 2 4 4 3 2 2" xfId="31214" xr:uid="{00000000-0005-0000-0000-000051240000}"/>
    <cellStyle name="20% - Accent6 2 4 4 3 3" xfId="26892" xr:uid="{00000000-0005-0000-0000-000052240000}"/>
    <cellStyle name="20% - Accent6 2 4 4 4" xfId="9581" xr:uid="{00000000-0005-0000-0000-000053240000}"/>
    <cellStyle name="20% - Accent6 2 4 4 4 2" xfId="29051" xr:uid="{00000000-0005-0000-0000-000054240000}"/>
    <cellStyle name="20% - Accent6 2 4 4 5" xfId="24555" xr:uid="{00000000-0005-0000-0000-000055240000}"/>
    <cellStyle name="20% - Accent6 2 4 5" xfId="5674" xr:uid="{00000000-0005-0000-0000-000056240000}"/>
    <cellStyle name="20% - Accent6 2 4 5 2" xfId="7410" xr:uid="{00000000-0005-0000-0000-000057240000}"/>
    <cellStyle name="20% - Accent6 2 4 5 2 2" xfId="11746" xr:uid="{00000000-0005-0000-0000-000058240000}"/>
    <cellStyle name="20% - Accent6 2 4 5 2 2 2" xfId="31216" xr:uid="{00000000-0005-0000-0000-000059240000}"/>
    <cellStyle name="20% - Accent6 2 4 5 2 3" xfId="26894" xr:uid="{00000000-0005-0000-0000-00005A240000}"/>
    <cellStyle name="20% - Accent6 2 4 5 3" xfId="10111" xr:uid="{00000000-0005-0000-0000-00005B240000}"/>
    <cellStyle name="20% - Accent6 2 4 5 3 2" xfId="29581" xr:uid="{00000000-0005-0000-0000-00005C240000}"/>
    <cellStyle name="20% - Accent6 2 4 5 4" xfId="25161" xr:uid="{00000000-0005-0000-0000-00005D240000}"/>
    <cellStyle name="20% - Accent6 2 4 6" xfId="7395" xr:uid="{00000000-0005-0000-0000-00005E240000}"/>
    <cellStyle name="20% - Accent6 2 4 6 2" xfId="11731" xr:uid="{00000000-0005-0000-0000-00005F240000}"/>
    <cellStyle name="20% - Accent6 2 4 6 2 2" xfId="31201" xr:uid="{00000000-0005-0000-0000-000060240000}"/>
    <cellStyle name="20% - Accent6 2 4 6 3" xfId="26879" xr:uid="{00000000-0005-0000-0000-000061240000}"/>
    <cellStyle name="20% - Accent6 2 4 7" xfId="9048" xr:uid="{00000000-0005-0000-0000-000062240000}"/>
    <cellStyle name="20% - Accent6 2 4 7 2" xfId="28521" xr:uid="{00000000-0005-0000-0000-000063240000}"/>
    <cellStyle name="20% - Accent6 2 4 8" xfId="23927" xr:uid="{00000000-0005-0000-0000-000064240000}"/>
    <cellStyle name="20% - Accent6 2 5" xfId="4147" xr:uid="{00000000-0005-0000-0000-000065240000}"/>
    <cellStyle name="20% - Accent6 2 5 2" xfId="4766" xr:uid="{00000000-0005-0000-0000-000066240000}"/>
    <cellStyle name="20% - Accent6 2 5 2 2" xfId="5395" xr:uid="{00000000-0005-0000-0000-000067240000}"/>
    <cellStyle name="20% - Accent6 2 5 2 2 2" xfId="6523" xr:uid="{00000000-0005-0000-0000-000068240000}"/>
    <cellStyle name="20% - Accent6 2 5 2 2 2 2" xfId="7414" xr:uid="{00000000-0005-0000-0000-000069240000}"/>
    <cellStyle name="20% - Accent6 2 5 2 2 2 2 2" xfId="11750" xr:uid="{00000000-0005-0000-0000-00006A240000}"/>
    <cellStyle name="20% - Accent6 2 5 2 2 2 2 2 2" xfId="31220" xr:uid="{00000000-0005-0000-0000-00006B240000}"/>
    <cellStyle name="20% - Accent6 2 5 2 2 2 2 3" xfId="26898" xr:uid="{00000000-0005-0000-0000-00006C240000}"/>
    <cellStyle name="20% - Accent6 2 5 2 2 2 3" xfId="10939" xr:uid="{00000000-0005-0000-0000-00006D240000}"/>
    <cellStyle name="20% - Accent6 2 5 2 2 2 3 2" xfId="30409" xr:uid="{00000000-0005-0000-0000-00006E240000}"/>
    <cellStyle name="20% - Accent6 2 5 2 2 2 4" xfId="26008" xr:uid="{00000000-0005-0000-0000-00006F240000}"/>
    <cellStyle name="20% - Accent6 2 5 2 2 3" xfId="7413" xr:uid="{00000000-0005-0000-0000-000070240000}"/>
    <cellStyle name="20% - Accent6 2 5 2 2 3 2" xfId="11749" xr:uid="{00000000-0005-0000-0000-000071240000}"/>
    <cellStyle name="20% - Accent6 2 5 2 2 3 2 2" xfId="31219" xr:uid="{00000000-0005-0000-0000-000072240000}"/>
    <cellStyle name="20% - Accent6 2 5 2 2 3 3" xfId="26897" xr:uid="{00000000-0005-0000-0000-000073240000}"/>
    <cellStyle name="20% - Accent6 2 5 2 2 4" xfId="9878" xr:uid="{00000000-0005-0000-0000-000074240000}"/>
    <cellStyle name="20% - Accent6 2 5 2 2 4 2" xfId="29348" xr:uid="{00000000-0005-0000-0000-000075240000}"/>
    <cellStyle name="20% - Accent6 2 5 2 2 5" xfId="24886" xr:uid="{00000000-0005-0000-0000-000076240000}"/>
    <cellStyle name="20% - Accent6 2 5 2 3" xfId="5986" xr:uid="{00000000-0005-0000-0000-000077240000}"/>
    <cellStyle name="20% - Accent6 2 5 2 3 2" xfId="7415" xr:uid="{00000000-0005-0000-0000-000078240000}"/>
    <cellStyle name="20% - Accent6 2 5 2 3 2 2" xfId="11751" xr:uid="{00000000-0005-0000-0000-000079240000}"/>
    <cellStyle name="20% - Accent6 2 5 2 3 2 2 2" xfId="31221" xr:uid="{00000000-0005-0000-0000-00007A240000}"/>
    <cellStyle name="20% - Accent6 2 5 2 3 2 3" xfId="26899" xr:uid="{00000000-0005-0000-0000-00007B240000}"/>
    <cellStyle name="20% - Accent6 2 5 2 3 3" xfId="10408" xr:uid="{00000000-0005-0000-0000-00007C240000}"/>
    <cellStyle name="20% - Accent6 2 5 2 3 3 2" xfId="29878" xr:uid="{00000000-0005-0000-0000-00007D240000}"/>
    <cellStyle name="20% - Accent6 2 5 2 3 4" xfId="25471" xr:uid="{00000000-0005-0000-0000-00007E240000}"/>
    <cellStyle name="20% - Accent6 2 5 2 4" xfId="7412" xr:uid="{00000000-0005-0000-0000-00007F240000}"/>
    <cellStyle name="20% - Accent6 2 5 2 4 2" xfId="11748" xr:uid="{00000000-0005-0000-0000-000080240000}"/>
    <cellStyle name="20% - Accent6 2 5 2 4 2 2" xfId="31218" xr:uid="{00000000-0005-0000-0000-000081240000}"/>
    <cellStyle name="20% - Accent6 2 5 2 4 3" xfId="26896" xr:uid="{00000000-0005-0000-0000-000082240000}"/>
    <cellStyle name="20% - Accent6 2 5 2 5" xfId="9348" xr:uid="{00000000-0005-0000-0000-000083240000}"/>
    <cellStyle name="20% - Accent6 2 5 2 5 2" xfId="28818" xr:uid="{00000000-0005-0000-0000-000084240000}"/>
    <cellStyle name="20% - Accent6 2 5 2 6" xfId="24271" xr:uid="{00000000-0005-0000-0000-000085240000}"/>
    <cellStyle name="20% - Accent6 2 5 3" xfId="5100" xr:uid="{00000000-0005-0000-0000-000086240000}"/>
    <cellStyle name="20% - Accent6 2 5 3 2" xfId="6256" xr:uid="{00000000-0005-0000-0000-000087240000}"/>
    <cellStyle name="20% - Accent6 2 5 3 2 2" xfId="7417" xr:uid="{00000000-0005-0000-0000-000088240000}"/>
    <cellStyle name="20% - Accent6 2 5 3 2 2 2" xfId="11753" xr:uid="{00000000-0005-0000-0000-000089240000}"/>
    <cellStyle name="20% - Accent6 2 5 3 2 2 2 2" xfId="31223" xr:uid="{00000000-0005-0000-0000-00008A240000}"/>
    <cellStyle name="20% - Accent6 2 5 3 2 2 3" xfId="26901" xr:uid="{00000000-0005-0000-0000-00008B240000}"/>
    <cellStyle name="20% - Accent6 2 5 3 2 3" xfId="10673" xr:uid="{00000000-0005-0000-0000-00008C240000}"/>
    <cellStyle name="20% - Accent6 2 5 3 2 3 2" xfId="30143" xr:uid="{00000000-0005-0000-0000-00008D240000}"/>
    <cellStyle name="20% - Accent6 2 5 3 2 4" xfId="25741" xr:uid="{00000000-0005-0000-0000-00008E240000}"/>
    <cellStyle name="20% - Accent6 2 5 3 3" xfId="7416" xr:uid="{00000000-0005-0000-0000-00008F240000}"/>
    <cellStyle name="20% - Accent6 2 5 3 3 2" xfId="11752" xr:uid="{00000000-0005-0000-0000-000090240000}"/>
    <cellStyle name="20% - Accent6 2 5 3 3 2 2" xfId="31222" xr:uid="{00000000-0005-0000-0000-000091240000}"/>
    <cellStyle name="20% - Accent6 2 5 3 3 3" xfId="26900" xr:uid="{00000000-0005-0000-0000-000092240000}"/>
    <cellStyle name="20% - Accent6 2 5 3 4" xfId="9613" xr:uid="{00000000-0005-0000-0000-000093240000}"/>
    <cellStyle name="20% - Accent6 2 5 3 4 2" xfId="29083" xr:uid="{00000000-0005-0000-0000-000094240000}"/>
    <cellStyle name="20% - Accent6 2 5 3 5" xfId="24591" xr:uid="{00000000-0005-0000-0000-000095240000}"/>
    <cellStyle name="20% - Accent6 2 5 4" xfId="5709" xr:uid="{00000000-0005-0000-0000-000096240000}"/>
    <cellStyle name="20% - Accent6 2 5 4 2" xfId="7418" xr:uid="{00000000-0005-0000-0000-000097240000}"/>
    <cellStyle name="20% - Accent6 2 5 4 2 2" xfId="11754" xr:uid="{00000000-0005-0000-0000-000098240000}"/>
    <cellStyle name="20% - Accent6 2 5 4 2 2 2" xfId="31224" xr:uid="{00000000-0005-0000-0000-000099240000}"/>
    <cellStyle name="20% - Accent6 2 5 4 2 3" xfId="26902" xr:uid="{00000000-0005-0000-0000-00009A240000}"/>
    <cellStyle name="20% - Accent6 2 5 4 3" xfId="10143" xr:uid="{00000000-0005-0000-0000-00009B240000}"/>
    <cellStyle name="20% - Accent6 2 5 4 3 2" xfId="29613" xr:uid="{00000000-0005-0000-0000-00009C240000}"/>
    <cellStyle name="20% - Accent6 2 5 4 4" xfId="25194" xr:uid="{00000000-0005-0000-0000-00009D240000}"/>
    <cellStyle name="20% - Accent6 2 5 5" xfId="7411" xr:uid="{00000000-0005-0000-0000-00009E240000}"/>
    <cellStyle name="20% - Accent6 2 5 5 2" xfId="11747" xr:uid="{00000000-0005-0000-0000-00009F240000}"/>
    <cellStyle name="20% - Accent6 2 5 5 2 2" xfId="31217" xr:uid="{00000000-0005-0000-0000-0000A0240000}"/>
    <cellStyle name="20% - Accent6 2 5 5 3" xfId="26895" xr:uid="{00000000-0005-0000-0000-0000A1240000}"/>
    <cellStyle name="20% - Accent6 2 5 6" xfId="9082" xr:uid="{00000000-0005-0000-0000-0000A2240000}"/>
    <cellStyle name="20% - Accent6 2 5 6 2" xfId="28553" xr:uid="{00000000-0005-0000-0000-0000A3240000}"/>
    <cellStyle name="20% - Accent6 2 5 7" xfId="23968" xr:uid="{00000000-0005-0000-0000-0000A4240000}"/>
    <cellStyle name="20% - Accent6 3" xfId="2053" xr:uid="{00000000-0005-0000-0000-0000A5240000}"/>
    <cellStyle name="20% - Accent6 3 2" xfId="4156" xr:uid="{00000000-0005-0000-0000-0000A6240000}"/>
    <cellStyle name="20% - Accent6 4" xfId="2098" xr:uid="{00000000-0005-0000-0000-0000A7240000}"/>
    <cellStyle name="20% - Accent6 4 2" xfId="4205" xr:uid="{00000000-0005-0000-0000-0000A8240000}"/>
    <cellStyle name="20% - Accent6 5" xfId="2708" xr:uid="{00000000-0005-0000-0000-0000A9240000}"/>
    <cellStyle name="3 Decimals" xfId="3898" xr:uid="{00000000-0005-0000-0000-0000AA240000}"/>
    <cellStyle name="40% - Accent1" xfId="1306" builtinId="31" customBuiltin="1"/>
    <cellStyle name="40% - Accent1 2" xfId="1307" xr:uid="{00000000-0005-0000-0000-0000AC240000}"/>
    <cellStyle name="40% - Accent1 2 2" xfId="2709" xr:uid="{00000000-0005-0000-0000-0000AD240000}"/>
    <cellStyle name="40% - Accent1 2 2 10" xfId="23567" xr:uid="{00000000-0005-0000-0000-0000AE240000}"/>
    <cellStyle name="40% - Accent1 2 2 2" xfId="2875" xr:uid="{00000000-0005-0000-0000-0000AF240000}"/>
    <cellStyle name="40% - Accent1 2 2 2 2" xfId="3069" xr:uid="{00000000-0005-0000-0000-0000B0240000}"/>
    <cellStyle name="40% - Accent1 2 2 2 2 2" xfId="4696" xr:uid="{00000000-0005-0000-0000-0000B1240000}"/>
    <cellStyle name="40% - Accent1 2 2 2 2 2 2" xfId="5330" xr:uid="{00000000-0005-0000-0000-0000B2240000}"/>
    <cellStyle name="40% - Accent1 2 2 2 2 2 2 2" xfId="6464" xr:uid="{00000000-0005-0000-0000-0000B3240000}"/>
    <cellStyle name="40% - Accent1 2 2 2 2 2 2 2 2" xfId="7424" xr:uid="{00000000-0005-0000-0000-0000B4240000}"/>
    <cellStyle name="40% - Accent1 2 2 2 2 2 2 2 2 2" xfId="11760" xr:uid="{00000000-0005-0000-0000-0000B5240000}"/>
    <cellStyle name="40% - Accent1 2 2 2 2 2 2 2 2 2 2" xfId="31230" xr:uid="{00000000-0005-0000-0000-0000B6240000}"/>
    <cellStyle name="40% - Accent1 2 2 2 2 2 2 2 2 3" xfId="26908" xr:uid="{00000000-0005-0000-0000-0000B7240000}"/>
    <cellStyle name="40% - Accent1 2 2 2 2 2 2 2 3" xfId="10880" xr:uid="{00000000-0005-0000-0000-0000B8240000}"/>
    <cellStyle name="40% - Accent1 2 2 2 2 2 2 2 3 2" xfId="30350" xr:uid="{00000000-0005-0000-0000-0000B9240000}"/>
    <cellStyle name="40% - Accent1 2 2 2 2 2 2 2 4" xfId="25949" xr:uid="{00000000-0005-0000-0000-0000BA240000}"/>
    <cellStyle name="40% - Accent1 2 2 2 2 2 2 3" xfId="7423" xr:uid="{00000000-0005-0000-0000-0000BB240000}"/>
    <cellStyle name="40% - Accent1 2 2 2 2 2 2 3 2" xfId="11759" xr:uid="{00000000-0005-0000-0000-0000BC240000}"/>
    <cellStyle name="40% - Accent1 2 2 2 2 2 2 3 2 2" xfId="31229" xr:uid="{00000000-0005-0000-0000-0000BD240000}"/>
    <cellStyle name="40% - Accent1 2 2 2 2 2 2 3 3" xfId="26907" xr:uid="{00000000-0005-0000-0000-0000BE240000}"/>
    <cellStyle name="40% - Accent1 2 2 2 2 2 2 4" xfId="9819" xr:uid="{00000000-0005-0000-0000-0000BF240000}"/>
    <cellStyle name="40% - Accent1 2 2 2 2 2 2 4 2" xfId="29289" xr:uid="{00000000-0005-0000-0000-0000C0240000}"/>
    <cellStyle name="40% - Accent1 2 2 2 2 2 2 5" xfId="24821" xr:uid="{00000000-0005-0000-0000-0000C1240000}"/>
    <cellStyle name="40% - Accent1 2 2 2 2 2 3" xfId="5927" xr:uid="{00000000-0005-0000-0000-0000C2240000}"/>
    <cellStyle name="40% - Accent1 2 2 2 2 2 3 2" xfId="7425" xr:uid="{00000000-0005-0000-0000-0000C3240000}"/>
    <cellStyle name="40% - Accent1 2 2 2 2 2 3 2 2" xfId="11761" xr:uid="{00000000-0005-0000-0000-0000C4240000}"/>
    <cellStyle name="40% - Accent1 2 2 2 2 2 3 2 2 2" xfId="31231" xr:uid="{00000000-0005-0000-0000-0000C5240000}"/>
    <cellStyle name="40% - Accent1 2 2 2 2 2 3 2 3" xfId="26909" xr:uid="{00000000-0005-0000-0000-0000C6240000}"/>
    <cellStyle name="40% - Accent1 2 2 2 2 2 3 3" xfId="10349" xr:uid="{00000000-0005-0000-0000-0000C7240000}"/>
    <cellStyle name="40% - Accent1 2 2 2 2 2 3 3 2" xfId="29819" xr:uid="{00000000-0005-0000-0000-0000C8240000}"/>
    <cellStyle name="40% - Accent1 2 2 2 2 2 3 4" xfId="25412" xr:uid="{00000000-0005-0000-0000-0000C9240000}"/>
    <cellStyle name="40% - Accent1 2 2 2 2 2 4" xfId="7422" xr:uid="{00000000-0005-0000-0000-0000CA240000}"/>
    <cellStyle name="40% - Accent1 2 2 2 2 2 4 2" xfId="11758" xr:uid="{00000000-0005-0000-0000-0000CB240000}"/>
    <cellStyle name="40% - Accent1 2 2 2 2 2 4 2 2" xfId="31228" xr:uid="{00000000-0005-0000-0000-0000CC240000}"/>
    <cellStyle name="40% - Accent1 2 2 2 2 2 4 3" xfId="26906" xr:uid="{00000000-0005-0000-0000-0000CD240000}"/>
    <cellStyle name="40% - Accent1 2 2 2 2 2 5" xfId="9289" xr:uid="{00000000-0005-0000-0000-0000CE240000}"/>
    <cellStyle name="40% - Accent1 2 2 2 2 2 5 2" xfId="28759" xr:uid="{00000000-0005-0000-0000-0000CF240000}"/>
    <cellStyle name="40% - Accent1 2 2 2 2 2 6" xfId="24207" xr:uid="{00000000-0005-0000-0000-0000D0240000}"/>
    <cellStyle name="40% - Accent1 2 2 2 2 3" xfId="5034" xr:uid="{00000000-0005-0000-0000-0000D1240000}"/>
    <cellStyle name="40% - Accent1 2 2 2 2 3 2" xfId="6196" xr:uid="{00000000-0005-0000-0000-0000D2240000}"/>
    <cellStyle name="40% - Accent1 2 2 2 2 3 2 2" xfId="7427" xr:uid="{00000000-0005-0000-0000-0000D3240000}"/>
    <cellStyle name="40% - Accent1 2 2 2 2 3 2 2 2" xfId="11763" xr:uid="{00000000-0005-0000-0000-0000D4240000}"/>
    <cellStyle name="40% - Accent1 2 2 2 2 3 2 2 2 2" xfId="31233" xr:uid="{00000000-0005-0000-0000-0000D5240000}"/>
    <cellStyle name="40% - Accent1 2 2 2 2 3 2 2 3" xfId="26911" xr:uid="{00000000-0005-0000-0000-0000D6240000}"/>
    <cellStyle name="40% - Accent1 2 2 2 2 3 2 3" xfId="10614" xr:uid="{00000000-0005-0000-0000-0000D7240000}"/>
    <cellStyle name="40% - Accent1 2 2 2 2 3 2 3 2" xfId="30084" xr:uid="{00000000-0005-0000-0000-0000D8240000}"/>
    <cellStyle name="40% - Accent1 2 2 2 2 3 2 4" xfId="25681" xr:uid="{00000000-0005-0000-0000-0000D9240000}"/>
    <cellStyle name="40% - Accent1 2 2 2 2 3 3" xfId="7426" xr:uid="{00000000-0005-0000-0000-0000DA240000}"/>
    <cellStyle name="40% - Accent1 2 2 2 2 3 3 2" xfId="11762" xr:uid="{00000000-0005-0000-0000-0000DB240000}"/>
    <cellStyle name="40% - Accent1 2 2 2 2 3 3 2 2" xfId="31232" xr:uid="{00000000-0005-0000-0000-0000DC240000}"/>
    <cellStyle name="40% - Accent1 2 2 2 2 3 3 3" xfId="26910" xr:uid="{00000000-0005-0000-0000-0000DD240000}"/>
    <cellStyle name="40% - Accent1 2 2 2 2 3 4" xfId="9554" xr:uid="{00000000-0005-0000-0000-0000DE240000}"/>
    <cellStyle name="40% - Accent1 2 2 2 2 3 4 2" xfId="29024" xr:uid="{00000000-0005-0000-0000-0000DF240000}"/>
    <cellStyle name="40% - Accent1 2 2 2 2 3 5" xfId="24528" xr:uid="{00000000-0005-0000-0000-0000E0240000}"/>
    <cellStyle name="40% - Accent1 2 2 2 2 4" xfId="5639" xr:uid="{00000000-0005-0000-0000-0000E1240000}"/>
    <cellStyle name="40% - Accent1 2 2 2 2 4 2" xfId="7428" xr:uid="{00000000-0005-0000-0000-0000E2240000}"/>
    <cellStyle name="40% - Accent1 2 2 2 2 4 2 2" xfId="11764" xr:uid="{00000000-0005-0000-0000-0000E3240000}"/>
    <cellStyle name="40% - Accent1 2 2 2 2 4 2 2 2" xfId="31234" xr:uid="{00000000-0005-0000-0000-0000E4240000}"/>
    <cellStyle name="40% - Accent1 2 2 2 2 4 2 3" xfId="26912" xr:uid="{00000000-0005-0000-0000-0000E5240000}"/>
    <cellStyle name="40% - Accent1 2 2 2 2 4 3" xfId="10084" xr:uid="{00000000-0005-0000-0000-0000E6240000}"/>
    <cellStyle name="40% - Accent1 2 2 2 2 4 3 2" xfId="29554" xr:uid="{00000000-0005-0000-0000-0000E7240000}"/>
    <cellStyle name="40% - Accent1 2 2 2 2 4 4" xfId="25126" xr:uid="{00000000-0005-0000-0000-0000E8240000}"/>
    <cellStyle name="40% - Accent1 2 2 2 2 5" xfId="7421" xr:uid="{00000000-0005-0000-0000-0000E9240000}"/>
    <cellStyle name="40% - Accent1 2 2 2 2 5 2" xfId="11757" xr:uid="{00000000-0005-0000-0000-0000EA240000}"/>
    <cellStyle name="40% - Accent1 2 2 2 2 5 2 2" xfId="31227" xr:uid="{00000000-0005-0000-0000-0000EB240000}"/>
    <cellStyle name="40% - Accent1 2 2 2 2 5 3" xfId="26905" xr:uid="{00000000-0005-0000-0000-0000EC240000}"/>
    <cellStyle name="40% - Accent1 2 2 2 2 6" xfId="9020" xr:uid="{00000000-0005-0000-0000-0000ED240000}"/>
    <cellStyle name="40% - Accent1 2 2 2 2 6 2" xfId="28494" xr:uid="{00000000-0005-0000-0000-0000EE240000}"/>
    <cellStyle name="40% - Accent1 2 2 2 2 7" xfId="23878" xr:uid="{00000000-0005-0000-0000-0000EF240000}"/>
    <cellStyle name="40% - Accent1 2 2 2 3" xfId="4276" xr:uid="{00000000-0005-0000-0000-0000F0240000}"/>
    <cellStyle name="40% - Accent1 2 2 2 3 2" xfId="4851" xr:uid="{00000000-0005-0000-0000-0000F1240000}"/>
    <cellStyle name="40% - Accent1 2 2 2 3 2 2" xfId="5476" xr:uid="{00000000-0005-0000-0000-0000F2240000}"/>
    <cellStyle name="40% - Accent1 2 2 2 3 2 2 2" xfId="6604" xr:uid="{00000000-0005-0000-0000-0000F3240000}"/>
    <cellStyle name="40% - Accent1 2 2 2 3 2 2 2 2" xfId="7432" xr:uid="{00000000-0005-0000-0000-0000F4240000}"/>
    <cellStyle name="40% - Accent1 2 2 2 3 2 2 2 2 2" xfId="11768" xr:uid="{00000000-0005-0000-0000-0000F5240000}"/>
    <cellStyle name="40% - Accent1 2 2 2 3 2 2 2 2 2 2" xfId="31238" xr:uid="{00000000-0005-0000-0000-0000F6240000}"/>
    <cellStyle name="40% - Accent1 2 2 2 3 2 2 2 2 3" xfId="26916" xr:uid="{00000000-0005-0000-0000-0000F7240000}"/>
    <cellStyle name="40% - Accent1 2 2 2 3 2 2 2 3" xfId="11020" xr:uid="{00000000-0005-0000-0000-0000F8240000}"/>
    <cellStyle name="40% - Accent1 2 2 2 3 2 2 2 3 2" xfId="30490" xr:uid="{00000000-0005-0000-0000-0000F9240000}"/>
    <cellStyle name="40% - Accent1 2 2 2 3 2 2 2 4" xfId="26089" xr:uid="{00000000-0005-0000-0000-0000FA240000}"/>
    <cellStyle name="40% - Accent1 2 2 2 3 2 2 3" xfId="7431" xr:uid="{00000000-0005-0000-0000-0000FB240000}"/>
    <cellStyle name="40% - Accent1 2 2 2 3 2 2 3 2" xfId="11767" xr:uid="{00000000-0005-0000-0000-0000FC240000}"/>
    <cellStyle name="40% - Accent1 2 2 2 3 2 2 3 2 2" xfId="31237" xr:uid="{00000000-0005-0000-0000-0000FD240000}"/>
    <cellStyle name="40% - Accent1 2 2 2 3 2 2 3 3" xfId="26915" xr:uid="{00000000-0005-0000-0000-0000FE240000}"/>
    <cellStyle name="40% - Accent1 2 2 2 3 2 2 4" xfId="9959" xr:uid="{00000000-0005-0000-0000-0000FF240000}"/>
    <cellStyle name="40% - Accent1 2 2 2 3 2 2 4 2" xfId="29429" xr:uid="{00000000-0005-0000-0000-000000250000}"/>
    <cellStyle name="40% - Accent1 2 2 2 3 2 2 5" xfId="24967" xr:uid="{00000000-0005-0000-0000-000001250000}"/>
    <cellStyle name="40% - Accent1 2 2 2 3 2 3" xfId="6069" xr:uid="{00000000-0005-0000-0000-000002250000}"/>
    <cellStyle name="40% - Accent1 2 2 2 3 2 3 2" xfId="7433" xr:uid="{00000000-0005-0000-0000-000003250000}"/>
    <cellStyle name="40% - Accent1 2 2 2 3 2 3 2 2" xfId="11769" xr:uid="{00000000-0005-0000-0000-000004250000}"/>
    <cellStyle name="40% - Accent1 2 2 2 3 2 3 2 2 2" xfId="31239" xr:uid="{00000000-0005-0000-0000-000005250000}"/>
    <cellStyle name="40% - Accent1 2 2 2 3 2 3 2 3" xfId="26917" xr:uid="{00000000-0005-0000-0000-000006250000}"/>
    <cellStyle name="40% - Accent1 2 2 2 3 2 3 3" xfId="10489" xr:uid="{00000000-0005-0000-0000-000007250000}"/>
    <cellStyle name="40% - Accent1 2 2 2 3 2 3 3 2" xfId="29959" xr:uid="{00000000-0005-0000-0000-000008250000}"/>
    <cellStyle name="40% - Accent1 2 2 2 3 2 3 4" xfId="25554" xr:uid="{00000000-0005-0000-0000-000009250000}"/>
    <cellStyle name="40% - Accent1 2 2 2 3 2 4" xfId="7430" xr:uid="{00000000-0005-0000-0000-00000A250000}"/>
    <cellStyle name="40% - Accent1 2 2 2 3 2 4 2" xfId="11766" xr:uid="{00000000-0005-0000-0000-00000B250000}"/>
    <cellStyle name="40% - Accent1 2 2 2 3 2 4 2 2" xfId="31236" xr:uid="{00000000-0005-0000-0000-00000C250000}"/>
    <cellStyle name="40% - Accent1 2 2 2 3 2 4 3" xfId="26914" xr:uid="{00000000-0005-0000-0000-00000D250000}"/>
    <cellStyle name="40% - Accent1 2 2 2 3 2 5" xfId="9429" xr:uid="{00000000-0005-0000-0000-00000E250000}"/>
    <cellStyle name="40% - Accent1 2 2 2 3 2 5 2" xfId="28899" xr:uid="{00000000-0005-0000-0000-00000F250000}"/>
    <cellStyle name="40% - Accent1 2 2 2 3 2 6" xfId="24353" xr:uid="{00000000-0005-0000-0000-000010250000}"/>
    <cellStyle name="40% - Accent1 2 2 2 3 3" xfId="5181" xr:uid="{00000000-0005-0000-0000-000011250000}"/>
    <cellStyle name="40% - Accent1 2 2 2 3 3 2" xfId="6337" xr:uid="{00000000-0005-0000-0000-000012250000}"/>
    <cellStyle name="40% - Accent1 2 2 2 3 3 2 2" xfId="7435" xr:uid="{00000000-0005-0000-0000-000013250000}"/>
    <cellStyle name="40% - Accent1 2 2 2 3 3 2 2 2" xfId="11771" xr:uid="{00000000-0005-0000-0000-000014250000}"/>
    <cellStyle name="40% - Accent1 2 2 2 3 3 2 2 2 2" xfId="31241" xr:uid="{00000000-0005-0000-0000-000015250000}"/>
    <cellStyle name="40% - Accent1 2 2 2 3 3 2 2 3" xfId="26919" xr:uid="{00000000-0005-0000-0000-000016250000}"/>
    <cellStyle name="40% - Accent1 2 2 2 3 3 2 3" xfId="10754" xr:uid="{00000000-0005-0000-0000-000017250000}"/>
    <cellStyle name="40% - Accent1 2 2 2 3 3 2 3 2" xfId="30224" xr:uid="{00000000-0005-0000-0000-000018250000}"/>
    <cellStyle name="40% - Accent1 2 2 2 3 3 2 4" xfId="25822" xr:uid="{00000000-0005-0000-0000-000019250000}"/>
    <cellStyle name="40% - Accent1 2 2 2 3 3 3" xfId="7434" xr:uid="{00000000-0005-0000-0000-00001A250000}"/>
    <cellStyle name="40% - Accent1 2 2 2 3 3 3 2" xfId="11770" xr:uid="{00000000-0005-0000-0000-00001B250000}"/>
    <cellStyle name="40% - Accent1 2 2 2 3 3 3 2 2" xfId="31240" xr:uid="{00000000-0005-0000-0000-00001C250000}"/>
    <cellStyle name="40% - Accent1 2 2 2 3 3 3 3" xfId="26918" xr:uid="{00000000-0005-0000-0000-00001D250000}"/>
    <cellStyle name="40% - Accent1 2 2 2 3 3 4" xfId="9694" xr:uid="{00000000-0005-0000-0000-00001E250000}"/>
    <cellStyle name="40% - Accent1 2 2 2 3 3 4 2" xfId="29164" xr:uid="{00000000-0005-0000-0000-00001F250000}"/>
    <cellStyle name="40% - Accent1 2 2 2 3 3 5" xfId="24672" xr:uid="{00000000-0005-0000-0000-000020250000}"/>
    <cellStyle name="40% - Accent1 2 2 2 3 4" xfId="5790" xr:uid="{00000000-0005-0000-0000-000021250000}"/>
    <cellStyle name="40% - Accent1 2 2 2 3 4 2" xfId="7436" xr:uid="{00000000-0005-0000-0000-000022250000}"/>
    <cellStyle name="40% - Accent1 2 2 2 3 4 2 2" xfId="11772" xr:uid="{00000000-0005-0000-0000-000023250000}"/>
    <cellStyle name="40% - Accent1 2 2 2 3 4 2 2 2" xfId="31242" xr:uid="{00000000-0005-0000-0000-000024250000}"/>
    <cellStyle name="40% - Accent1 2 2 2 3 4 2 3" xfId="26920" xr:uid="{00000000-0005-0000-0000-000025250000}"/>
    <cellStyle name="40% - Accent1 2 2 2 3 4 3" xfId="10224" xr:uid="{00000000-0005-0000-0000-000026250000}"/>
    <cellStyle name="40% - Accent1 2 2 2 3 4 3 2" xfId="29694" xr:uid="{00000000-0005-0000-0000-000027250000}"/>
    <cellStyle name="40% - Accent1 2 2 2 3 4 4" xfId="25275" xr:uid="{00000000-0005-0000-0000-000028250000}"/>
    <cellStyle name="40% - Accent1 2 2 2 3 5" xfId="7429" xr:uid="{00000000-0005-0000-0000-000029250000}"/>
    <cellStyle name="40% - Accent1 2 2 2 3 5 2" xfId="11765" xr:uid="{00000000-0005-0000-0000-00002A250000}"/>
    <cellStyle name="40% - Accent1 2 2 2 3 5 2 2" xfId="31235" xr:uid="{00000000-0005-0000-0000-00002B250000}"/>
    <cellStyle name="40% - Accent1 2 2 2 3 5 3" xfId="26913" xr:uid="{00000000-0005-0000-0000-00002C250000}"/>
    <cellStyle name="40% - Accent1 2 2 2 3 6" xfId="9163" xr:uid="{00000000-0005-0000-0000-00002D250000}"/>
    <cellStyle name="40% - Accent1 2 2 2 3 6 2" xfId="28634" xr:uid="{00000000-0005-0000-0000-00002E250000}"/>
    <cellStyle name="40% - Accent1 2 2 2 3 7" xfId="24052" xr:uid="{00000000-0005-0000-0000-00002F250000}"/>
    <cellStyle name="40% - Accent1 2 2 2 4" xfId="4624" xr:uid="{00000000-0005-0000-0000-000030250000}"/>
    <cellStyle name="40% - Accent1 2 2 2 4 2" xfId="5264" xr:uid="{00000000-0005-0000-0000-000031250000}"/>
    <cellStyle name="40% - Accent1 2 2 2 4 2 2" xfId="6398" xr:uid="{00000000-0005-0000-0000-000032250000}"/>
    <cellStyle name="40% - Accent1 2 2 2 4 2 2 2" xfId="7439" xr:uid="{00000000-0005-0000-0000-000033250000}"/>
    <cellStyle name="40% - Accent1 2 2 2 4 2 2 2 2" xfId="11775" xr:uid="{00000000-0005-0000-0000-000034250000}"/>
    <cellStyle name="40% - Accent1 2 2 2 4 2 2 2 2 2" xfId="31245" xr:uid="{00000000-0005-0000-0000-000035250000}"/>
    <cellStyle name="40% - Accent1 2 2 2 4 2 2 2 3" xfId="26923" xr:uid="{00000000-0005-0000-0000-000036250000}"/>
    <cellStyle name="40% - Accent1 2 2 2 4 2 2 3" xfId="10814" xr:uid="{00000000-0005-0000-0000-000037250000}"/>
    <cellStyle name="40% - Accent1 2 2 2 4 2 2 3 2" xfId="30284" xr:uid="{00000000-0005-0000-0000-000038250000}"/>
    <cellStyle name="40% - Accent1 2 2 2 4 2 2 4" xfId="25883" xr:uid="{00000000-0005-0000-0000-000039250000}"/>
    <cellStyle name="40% - Accent1 2 2 2 4 2 3" xfId="7438" xr:uid="{00000000-0005-0000-0000-00003A250000}"/>
    <cellStyle name="40% - Accent1 2 2 2 4 2 3 2" xfId="11774" xr:uid="{00000000-0005-0000-0000-00003B250000}"/>
    <cellStyle name="40% - Accent1 2 2 2 4 2 3 2 2" xfId="31244" xr:uid="{00000000-0005-0000-0000-00003C250000}"/>
    <cellStyle name="40% - Accent1 2 2 2 4 2 3 3" xfId="26922" xr:uid="{00000000-0005-0000-0000-00003D250000}"/>
    <cellStyle name="40% - Accent1 2 2 2 4 2 4" xfId="9753" xr:uid="{00000000-0005-0000-0000-00003E250000}"/>
    <cellStyle name="40% - Accent1 2 2 2 4 2 4 2" xfId="29223" xr:uid="{00000000-0005-0000-0000-00003F250000}"/>
    <cellStyle name="40% - Accent1 2 2 2 4 2 5" xfId="24755" xr:uid="{00000000-0005-0000-0000-000040250000}"/>
    <cellStyle name="40% - Accent1 2 2 2 4 3" xfId="5861" xr:uid="{00000000-0005-0000-0000-000041250000}"/>
    <cellStyle name="40% - Accent1 2 2 2 4 3 2" xfId="7440" xr:uid="{00000000-0005-0000-0000-000042250000}"/>
    <cellStyle name="40% - Accent1 2 2 2 4 3 2 2" xfId="11776" xr:uid="{00000000-0005-0000-0000-000043250000}"/>
    <cellStyle name="40% - Accent1 2 2 2 4 3 2 2 2" xfId="31246" xr:uid="{00000000-0005-0000-0000-000044250000}"/>
    <cellStyle name="40% - Accent1 2 2 2 4 3 2 3" xfId="26924" xr:uid="{00000000-0005-0000-0000-000045250000}"/>
    <cellStyle name="40% - Accent1 2 2 2 4 3 3" xfId="10283" xr:uid="{00000000-0005-0000-0000-000046250000}"/>
    <cellStyle name="40% - Accent1 2 2 2 4 3 3 2" xfId="29753" xr:uid="{00000000-0005-0000-0000-000047250000}"/>
    <cellStyle name="40% - Accent1 2 2 2 4 3 4" xfId="25346" xr:uid="{00000000-0005-0000-0000-000048250000}"/>
    <cellStyle name="40% - Accent1 2 2 2 4 4" xfId="7437" xr:uid="{00000000-0005-0000-0000-000049250000}"/>
    <cellStyle name="40% - Accent1 2 2 2 4 4 2" xfId="11773" xr:uid="{00000000-0005-0000-0000-00004A250000}"/>
    <cellStyle name="40% - Accent1 2 2 2 4 4 2 2" xfId="31243" xr:uid="{00000000-0005-0000-0000-00004B250000}"/>
    <cellStyle name="40% - Accent1 2 2 2 4 4 3" xfId="26921" xr:uid="{00000000-0005-0000-0000-00004C250000}"/>
    <cellStyle name="40% - Accent1 2 2 2 4 5" xfId="9223" xr:uid="{00000000-0005-0000-0000-00004D250000}"/>
    <cellStyle name="40% - Accent1 2 2 2 4 5 2" xfId="28693" xr:uid="{00000000-0005-0000-0000-00004E250000}"/>
    <cellStyle name="40% - Accent1 2 2 2 4 6" xfId="24135" xr:uid="{00000000-0005-0000-0000-00004F250000}"/>
    <cellStyle name="40% - Accent1 2 2 2 5" xfId="4968" xr:uid="{00000000-0005-0000-0000-000050250000}"/>
    <cellStyle name="40% - Accent1 2 2 2 5 2" xfId="6130" xr:uid="{00000000-0005-0000-0000-000051250000}"/>
    <cellStyle name="40% - Accent1 2 2 2 5 2 2" xfId="7442" xr:uid="{00000000-0005-0000-0000-000052250000}"/>
    <cellStyle name="40% - Accent1 2 2 2 5 2 2 2" xfId="11778" xr:uid="{00000000-0005-0000-0000-000053250000}"/>
    <cellStyle name="40% - Accent1 2 2 2 5 2 2 2 2" xfId="31248" xr:uid="{00000000-0005-0000-0000-000054250000}"/>
    <cellStyle name="40% - Accent1 2 2 2 5 2 2 3" xfId="26926" xr:uid="{00000000-0005-0000-0000-000055250000}"/>
    <cellStyle name="40% - Accent1 2 2 2 5 2 3" xfId="10548" xr:uid="{00000000-0005-0000-0000-000056250000}"/>
    <cellStyle name="40% - Accent1 2 2 2 5 2 3 2" xfId="30018" xr:uid="{00000000-0005-0000-0000-000057250000}"/>
    <cellStyle name="40% - Accent1 2 2 2 5 2 4" xfId="25615" xr:uid="{00000000-0005-0000-0000-000058250000}"/>
    <cellStyle name="40% - Accent1 2 2 2 5 3" xfId="7441" xr:uid="{00000000-0005-0000-0000-000059250000}"/>
    <cellStyle name="40% - Accent1 2 2 2 5 3 2" xfId="11777" xr:uid="{00000000-0005-0000-0000-00005A250000}"/>
    <cellStyle name="40% - Accent1 2 2 2 5 3 2 2" xfId="31247" xr:uid="{00000000-0005-0000-0000-00005B250000}"/>
    <cellStyle name="40% - Accent1 2 2 2 5 3 3" xfId="26925" xr:uid="{00000000-0005-0000-0000-00005C250000}"/>
    <cellStyle name="40% - Accent1 2 2 2 5 4" xfId="9488" xr:uid="{00000000-0005-0000-0000-00005D250000}"/>
    <cellStyle name="40% - Accent1 2 2 2 5 4 2" xfId="28958" xr:uid="{00000000-0005-0000-0000-00005E250000}"/>
    <cellStyle name="40% - Accent1 2 2 2 5 5" xfId="24462" xr:uid="{00000000-0005-0000-0000-00005F250000}"/>
    <cellStyle name="40% - Accent1 2 2 2 6" xfId="5573" xr:uid="{00000000-0005-0000-0000-000060250000}"/>
    <cellStyle name="40% - Accent1 2 2 2 6 2" xfId="7443" xr:uid="{00000000-0005-0000-0000-000061250000}"/>
    <cellStyle name="40% - Accent1 2 2 2 6 2 2" xfId="11779" xr:uid="{00000000-0005-0000-0000-000062250000}"/>
    <cellStyle name="40% - Accent1 2 2 2 6 2 2 2" xfId="31249" xr:uid="{00000000-0005-0000-0000-000063250000}"/>
    <cellStyle name="40% - Accent1 2 2 2 6 2 3" xfId="26927" xr:uid="{00000000-0005-0000-0000-000064250000}"/>
    <cellStyle name="40% - Accent1 2 2 2 6 3" xfId="10018" xr:uid="{00000000-0005-0000-0000-000065250000}"/>
    <cellStyle name="40% - Accent1 2 2 2 6 3 2" xfId="29488" xr:uid="{00000000-0005-0000-0000-000066250000}"/>
    <cellStyle name="40% - Accent1 2 2 2 6 4" xfId="25060" xr:uid="{00000000-0005-0000-0000-000067250000}"/>
    <cellStyle name="40% - Accent1 2 2 2 7" xfId="7420" xr:uid="{00000000-0005-0000-0000-000068250000}"/>
    <cellStyle name="40% - Accent1 2 2 2 7 2" xfId="11756" xr:uid="{00000000-0005-0000-0000-000069250000}"/>
    <cellStyle name="40% - Accent1 2 2 2 7 2 2" xfId="31226" xr:uid="{00000000-0005-0000-0000-00006A250000}"/>
    <cellStyle name="40% - Accent1 2 2 2 7 3" xfId="26904" xr:uid="{00000000-0005-0000-0000-00006B250000}"/>
    <cellStyle name="40% - Accent1 2 2 2 8" xfId="8954" xr:uid="{00000000-0005-0000-0000-00006C250000}"/>
    <cellStyle name="40% - Accent1 2 2 2 8 2" xfId="28428" xr:uid="{00000000-0005-0000-0000-00006D250000}"/>
    <cellStyle name="40% - Accent1 2 2 2 9" xfId="23686" xr:uid="{00000000-0005-0000-0000-00006E250000}"/>
    <cellStyle name="40% - Accent1 2 2 3" xfId="2951" xr:uid="{00000000-0005-0000-0000-00006F250000}"/>
    <cellStyle name="40% - Accent1 2 2 3 2" xfId="4658" xr:uid="{00000000-0005-0000-0000-000070250000}"/>
    <cellStyle name="40% - Accent1 2 2 3 2 2" xfId="5298" xr:uid="{00000000-0005-0000-0000-000071250000}"/>
    <cellStyle name="40% - Accent1 2 2 3 2 2 2" xfId="6432" xr:uid="{00000000-0005-0000-0000-000072250000}"/>
    <cellStyle name="40% - Accent1 2 2 3 2 2 2 2" xfId="7447" xr:uid="{00000000-0005-0000-0000-000073250000}"/>
    <cellStyle name="40% - Accent1 2 2 3 2 2 2 2 2" xfId="11783" xr:uid="{00000000-0005-0000-0000-000074250000}"/>
    <cellStyle name="40% - Accent1 2 2 3 2 2 2 2 2 2" xfId="31253" xr:uid="{00000000-0005-0000-0000-000075250000}"/>
    <cellStyle name="40% - Accent1 2 2 3 2 2 2 2 3" xfId="26931" xr:uid="{00000000-0005-0000-0000-000076250000}"/>
    <cellStyle name="40% - Accent1 2 2 3 2 2 2 3" xfId="10848" xr:uid="{00000000-0005-0000-0000-000077250000}"/>
    <cellStyle name="40% - Accent1 2 2 3 2 2 2 3 2" xfId="30318" xr:uid="{00000000-0005-0000-0000-000078250000}"/>
    <cellStyle name="40% - Accent1 2 2 3 2 2 2 4" xfId="25917" xr:uid="{00000000-0005-0000-0000-000079250000}"/>
    <cellStyle name="40% - Accent1 2 2 3 2 2 3" xfId="7446" xr:uid="{00000000-0005-0000-0000-00007A250000}"/>
    <cellStyle name="40% - Accent1 2 2 3 2 2 3 2" xfId="11782" xr:uid="{00000000-0005-0000-0000-00007B250000}"/>
    <cellStyle name="40% - Accent1 2 2 3 2 2 3 2 2" xfId="31252" xr:uid="{00000000-0005-0000-0000-00007C250000}"/>
    <cellStyle name="40% - Accent1 2 2 3 2 2 3 3" xfId="26930" xr:uid="{00000000-0005-0000-0000-00007D250000}"/>
    <cellStyle name="40% - Accent1 2 2 3 2 2 4" xfId="9787" xr:uid="{00000000-0005-0000-0000-00007E250000}"/>
    <cellStyle name="40% - Accent1 2 2 3 2 2 4 2" xfId="29257" xr:uid="{00000000-0005-0000-0000-00007F250000}"/>
    <cellStyle name="40% - Accent1 2 2 3 2 2 5" xfId="24789" xr:uid="{00000000-0005-0000-0000-000080250000}"/>
    <cellStyle name="40% - Accent1 2 2 3 2 3" xfId="5895" xr:uid="{00000000-0005-0000-0000-000081250000}"/>
    <cellStyle name="40% - Accent1 2 2 3 2 3 2" xfId="7448" xr:uid="{00000000-0005-0000-0000-000082250000}"/>
    <cellStyle name="40% - Accent1 2 2 3 2 3 2 2" xfId="11784" xr:uid="{00000000-0005-0000-0000-000083250000}"/>
    <cellStyle name="40% - Accent1 2 2 3 2 3 2 2 2" xfId="31254" xr:uid="{00000000-0005-0000-0000-000084250000}"/>
    <cellStyle name="40% - Accent1 2 2 3 2 3 2 3" xfId="26932" xr:uid="{00000000-0005-0000-0000-000085250000}"/>
    <cellStyle name="40% - Accent1 2 2 3 2 3 3" xfId="10317" xr:uid="{00000000-0005-0000-0000-000086250000}"/>
    <cellStyle name="40% - Accent1 2 2 3 2 3 3 2" xfId="29787" xr:uid="{00000000-0005-0000-0000-000087250000}"/>
    <cellStyle name="40% - Accent1 2 2 3 2 3 4" xfId="25380" xr:uid="{00000000-0005-0000-0000-000088250000}"/>
    <cellStyle name="40% - Accent1 2 2 3 2 4" xfId="7445" xr:uid="{00000000-0005-0000-0000-000089250000}"/>
    <cellStyle name="40% - Accent1 2 2 3 2 4 2" xfId="11781" xr:uid="{00000000-0005-0000-0000-00008A250000}"/>
    <cellStyle name="40% - Accent1 2 2 3 2 4 2 2" xfId="31251" xr:uid="{00000000-0005-0000-0000-00008B250000}"/>
    <cellStyle name="40% - Accent1 2 2 3 2 4 3" xfId="26929" xr:uid="{00000000-0005-0000-0000-00008C250000}"/>
    <cellStyle name="40% - Accent1 2 2 3 2 5" xfId="9257" xr:uid="{00000000-0005-0000-0000-00008D250000}"/>
    <cellStyle name="40% - Accent1 2 2 3 2 5 2" xfId="28727" xr:uid="{00000000-0005-0000-0000-00008E250000}"/>
    <cellStyle name="40% - Accent1 2 2 3 2 6" xfId="24169" xr:uid="{00000000-0005-0000-0000-00008F250000}"/>
    <cellStyle name="40% - Accent1 2 2 3 3" xfId="5002" xr:uid="{00000000-0005-0000-0000-000090250000}"/>
    <cellStyle name="40% - Accent1 2 2 3 3 2" xfId="6164" xr:uid="{00000000-0005-0000-0000-000091250000}"/>
    <cellStyle name="40% - Accent1 2 2 3 3 2 2" xfId="7450" xr:uid="{00000000-0005-0000-0000-000092250000}"/>
    <cellStyle name="40% - Accent1 2 2 3 3 2 2 2" xfId="11786" xr:uid="{00000000-0005-0000-0000-000093250000}"/>
    <cellStyle name="40% - Accent1 2 2 3 3 2 2 2 2" xfId="31256" xr:uid="{00000000-0005-0000-0000-000094250000}"/>
    <cellStyle name="40% - Accent1 2 2 3 3 2 2 3" xfId="26934" xr:uid="{00000000-0005-0000-0000-000095250000}"/>
    <cellStyle name="40% - Accent1 2 2 3 3 2 3" xfId="10582" xr:uid="{00000000-0005-0000-0000-000096250000}"/>
    <cellStyle name="40% - Accent1 2 2 3 3 2 3 2" xfId="30052" xr:uid="{00000000-0005-0000-0000-000097250000}"/>
    <cellStyle name="40% - Accent1 2 2 3 3 2 4" xfId="25649" xr:uid="{00000000-0005-0000-0000-000098250000}"/>
    <cellStyle name="40% - Accent1 2 2 3 3 3" xfId="7449" xr:uid="{00000000-0005-0000-0000-000099250000}"/>
    <cellStyle name="40% - Accent1 2 2 3 3 3 2" xfId="11785" xr:uid="{00000000-0005-0000-0000-00009A250000}"/>
    <cellStyle name="40% - Accent1 2 2 3 3 3 2 2" xfId="31255" xr:uid="{00000000-0005-0000-0000-00009B250000}"/>
    <cellStyle name="40% - Accent1 2 2 3 3 3 3" xfId="26933" xr:uid="{00000000-0005-0000-0000-00009C250000}"/>
    <cellStyle name="40% - Accent1 2 2 3 3 4" xfId="9522" xr:uid="{00000000-0005-0000-0000-00009D250000}"/>
    <cellStyle name="40% - Accent1 2 2 3 3 4 2" xfId="28992" xr:uid="{00000000-0005-0000-0000-00009E250000}"/>
    <cellStyle name="40% - Accent1 2 2 3 3 5" xfId="24496" xr:uid="{00000000-0005-0000-0000-00009F250000}"/>
    <cellStyle name="40% - Accent1 2 2 3 4" xfId="5607" xr:uid="{00000000-0005-0000-0000-0000A0250000}"/>
    <cellStyle name="40% - Accent1 2 2 3 4 2" xfId="7451" xr:uid="{00000000-0005-0000-0000-0000A1250000}"/>
    <cellStyle name="40% - Accent1 2 2 3 4 2 2" xfId="11787" xr:uid="{00000000-0005-0000-0000-0000A2250000}"/>
    <cellStyle name="40% - Accent1 2 2 3 4 2 2 2" xfId="31257" xr:uid="{00000000-0005-0000-0000-0000A3250000}"/>
    <cellStyle name="40% - Accent1 2 2 3 4 2 3" xfId="26935" xr:uid="{00000000-0005-0000-0000-0000A4250000}"/>
    <cellStyle name="40% - Accent1 2 2 3 4 3" xfId="10052" xr:uid="{00000000-0005-0000-0000-0000A5250000}"/>
    <cellStyle name="40% - Accent1 2 2 3 4 3 2" xfId="29522" xr:uid="{00000000-0005-0000-0000-0000A6250000}"/>
    <cellStyle name="40% - Accent1 2 2 3 4 4" xfId="25094" xr:uid="{00000000-0005-0000-0000-0000A7250000}"/>
    <cellStyle name="40% - Accent1 2 2 3 5" xfId="7444" xr:uid="{00000000-0005-0000-0000-0000A8250000}"/>
    <cellStyle name="40% - Accent1 2 2 3 5 2" xfId="11780" xr:uid="{00000000-0005-0000-0000-0000A9250000}"/>
    <cellStyle name="40% - Accent1 2 2 3 5 2 2" xfId="31250" xr:uid="{00000000-0005-0000-0000-0000AA250000}"/>
    <cellStyle name="40% - Accent1 2 2 3 5 3" xfId="26928" xr:uid="{00000000-0005-0000-0000-0000AB250000}"/>
    <cellStyle name="40% - Accent1 2 2 3 6" xfId="8988" xr:uid="{00000000-0005-0000-0000-0000AC250000}"/>
    <cellStyle name="40% - Accent1 2 2 3 6 2" xfId="28462" xr:uid="{00000000-0005-0000-0000-0000AD250000}"/>
    <cellStyle name="40% - Accent1 2 2 3 7" xfId="23760" xr:uid="{00000000-0005-0000-0000-0000AE250000}"/>
    <cellStyle name="40% - Accent1 2 2 4" xfId="4221" xr:uid="{00000000-0005-0000-0000-0000AF250000}"/>
    <cellStyle name="40% - Accent1 2 2 4 2" xfId="4796" xr:uid="{00000000-0005-0000-0000-0000B0250000}"/>
    <cellStyle name="40% - Accent1 2 2 4 2 2" xfId="5422" xr:uid="{00000000-0005-0000-0000-0000B1250000}"/>
    <cellStyle name="40% - Accent1 2 2 4 2 2 2" xfId="6550" xr:uid="{00000000-0005-0000-0000-0000B2250000}"/>
    <cellStyle name="40% - Accent1 2 2 4 2 2 2 2" xfId="7455" xr:uid="{00000000-0005-0000-0000-0000B3250000}"/>
    <cellStyle name="40% - Accent1 2 2 4 2 2 2 2 2" xfId="11791" xr:uid="{00000000-0005-0000-0000-0000B4250000}"/>
    <cellStyle name="40% - Accent1 2 2 4 2 2 2 2 2 2" xfId="31261" xr:uid="{00000000-0005-0000-0000-0000B5250000}"/>
    <cellStyle name="40% - Accent1 2 2 4 2 2 2 2 3" xfId="26939" xr:uid="{00000000-0005-0000-0000-0000B6250000}"/>
    <cellStyle name="40% - Accent1 2 2 4 2 2 2 3" xfId="10966" xr:uid="{00000000-0005-0000-0000-0000B7250000}"/>
    <cellStyle name="40% - Accent1 2 2 4 2 2 2 3 2" xfId="30436" xr:uid="{00000000-0005-0000-0000-0000B8250000}"/>
    <cellStyle name="40% - Accent1 2 2 4 2 2 2 4" xfId="26035" xr:uid="{00000000-0005-0000-0000-0000B9250000}"/>
    <cellStyle name="40% - Accent1 2 2 4 2 2 3" xfId="7454" xr:uid="{00000000-0005-0000-0000-0000BA250000}"/>
    <cellStyle name="40% - Accent1 2 2 4 2 2 3 2" xfId="11790" xr:uid="{00000000-0005-0000-0000-0000BB250000}"/>
    <cellStyle name="40% - Accent1 2 2 4 2 2 3 2 2" xfId="31260" xr:uid="{00000000-0005-0000-0000-0000BC250000}"/>
    <cellStyle name="40% - Accent1 2 2 4 2 2 3 3" xfId="26938" xr:uid="{00000000-0005-0000-0000-0000BD250000}"/>
    <cellStyle name="40% - Accent1 2 2 4 2 2 4" xfId="9905" xr:uid="{00000000-0005-0000-0000-0000BE250000}"/>
    <cellStyle name="40% - Accent1 2 2 4 2 2 4 2" xfId="29375" xr:uid="{00000000-0005-0000-0000-0000BF250000}"/>
    <cellStyle name="40% - Accent1 2 2 4 2 2 5" xfId="24913" xr:uid="{00000000-0005-0000-0000-0000C0250000}"/>
    <cellStyle name="40% - Accent1 2 2 4 2 3" xfId="6014" xr:uid="{00000000-0005-0000-0000-0000C1250000}"/>
    <cellStyle name="40% - Accent1 2 2 4 2 3 2" xfId="7456" xr:uid="{00000000-0005-0000-0000-0000C2250000}"/>
    <cellStyle name="40% - Accent1 2 2 4 2 3 2 2" xfId="11792" xr:uid="{00000000-0005-0000-0000-0000C3250000}"/>
    <cellStyle name="40% - Accent1 2 2 4 2 3 2 2 2" xfId="31262" xr:uid="{00000000-0005-0000-0000-0000C4250000}"/>
    <cellStyle name="40% - Accent1 2 2 4 2 3 2 3" xfId="26940" xr:uid="{00000000-0005-0000-0000-0000C5250000}"/>
    <cellStyle name="40% - Accent1 2 2 4 2 3 3" xfId="10435" xr:uid="{00000000-0005-0000-0000-0000C6250000}"/>
    <cellStyle name="40% - Accent1 2 2 4 2 3 3 2" xfId="29905" xr:uid="{00000000-0005-0000-0000-0000C7250000}"/>
    <cellStyle name="40% - Accent1 2 2 4 2 3 4" xfId="25499" xr:uid="{00000000-0005-0000-0000-0000C8250000}"/>
    <cellStyle name="40% - Accent1 2 2 4 2 4" xfId="7453" xr:uid="{00000000-0005-0000-0000-0000C9250000}"/>
    <cellStyle name="40% - Accent1 2 2 4 2 4 2" xfId="11789" xr:uid="{00000000-0005-0000-0000-0000CA250000}"/>
    <cellStyle name="40% - Accent1 2 2 4 2 4 2 2" xfId="31259" xr:uid="{00000000-0005-0000-0000-0000CB250000}"/>
    <cellStyle name="40% - Accent1 2 2 4 2 4 3" xfId="26937" xr:uid="{00000000-0005-0000-0000-0000CC250000}"/>
    <cellStyle name="40% - Accent1 2 2 4 2 5" xfId="9375" xr:uid="{00000000-0005-0000-0000-0000CD250000}"/>
    <cellStyle name="40% - Accent1 2 2 4 2 5 2" xfId="28845" xr:uid="{00000000-0005-0000-0000-0000CE250000}"/>
    <cellStyle name="40% - Accent1 2 2 4 2 6" xfId="24298" xr:uid="{00000000-0005-0000-0000-0000CF250000}"/>
    <cellStyle name="40% - Accent1 2 2 4 3" xfId="5127" xr:uid="{00000000-0005-0000-0000-0000D0250000}"/>
    <cellStyle name="40% - Accent1 2 2 4 3 2" xfId="6283" xr:uid="{00000000-0005-0000-0000-0000D1250000}"/>
    <cellStyle name="40% - Accent1 2 2 4 3 2 2" xfId="7458" xr:uid="{00000000-0005-0000-0000-0000D2250000}"/>
    <cellStyle name="40% - Accent1 2 2 4 3 2 2 2" xfId="11794" xr:uid="{00000000-0005-0000-0000-0000D3250000}"/>
    <cellStyle name="40% - Accent1 2 2 4 3 2 2 2 2" xfId="31264" xr:uid="{00000000-0005-0000-0000-0000D4250000}"/>
    <cellStyle name="40% - Accent1 2 2 4 3 2 2 3" xfId="26942" xr:uid="{00000000-0005-0000-0000-0000D5250000}"/>
    <cellStyle name="40% - Accent1 2 2 4 3 2 3" xfId="10700" xr:uid="{00000000-0005-0000-0000-0000D6250000}"/>
    <cellStyle name="40% - Accent1 2 2 4 3 2 3 2" xfId="30170" xr:uid="{00000000-0005-0000-0000-0000D7250000}"/>
    <cellStyle name="40% - Accent1 2 2 4 3 2 4" xfId="25768" xr:uid="{00000000-0005-0000-0000-0000D8250000}"/>
    <cellStyle name="40% - Accent1 2 2 4 3 3" xfId="7457" xr:uid="{00000000-0005-0000-0000-0000D9250000}"/>
    <cellStyle name="40% - Accent1 2 2 4 3 3 2" xfId="11793" xr:uid="{00000000-0005-0000-0000-0000DA250000}"/>
    <cellStyle name="40% - Accent1 2 2 4 3 3 2 2" xfId="31263" xr:uid="{00000000-0005-0000-0000-0000DB250000}"/>
    <cellStyle name="40% - Accent1 2 2 4 3 3 3" xfId="26941" xr:uid="{00000000-0005-0000-0000-0000DC250000}"/>
    <cellStyle name="40% - Accent1 2 2 4 3 4" xfId="9640" xr:uid="{00000000-0005-0000-0000-0000DD250000}"/>
    <cellStyle name="40% - Accent1 2 2 4 3 4 2" xfId="29110" xr:uid="{00000000-0005-0000-0000-0000DE250000}"/>
    <cellStyle name="40% - Accent1 2 2 4 3 5" xfId="24618" xr:uid="{00000000-0005-0000-0000-0000DF250000}"/>
    <cellStyle name="40% - Accent1 2 2 4 4" xfId="5736" xr:uid="{00000000-0005-0000-0000-0000E0250000}"/>
    <cellStyle name="40% - Accent1 2 2 4 4 2" xfId="7459" xr:uid="{00000000-0005-0000-0000-0000E1250000}"/>
    <cellStyle name="40% - Accent1 2 2 4 4 2 2" xfId="11795" xr:uid="{00000000-0005-0000-0000-0000E2250000}"/>
    <cellStyle name="40% - Accent1 2 2 4 4 2 2 2" xfId="31265" xr:uid="{00000000-0005-0000-0000-0000E3250000}"/>
    <cellStyle name="40% - Accent1 2 2 4 4 2 3" xfId="26943" xr:uid="{00000000-0005-0000-0000-0000E4250000}"/>
    <cellStyle name="40% - Accent1 2 2 4 4 3" xfId="10170" xr:uid="{00000000-0005-0000-0000-0000E5250000}"/>
    <cellStyle name="40% - Accent1 2 2 4 4 3 2" xfId="29640" xr:uid="{00000000-0005-0000-0000-0000E6250000}"/>
    <cellStyle name="40% - Accent1 2 2 4 4 4" xfId="25221" xr:uid="{00000000-0005-0000-0000-0000E7250000}"/>
    <cellStyle name="40% - Accent1 2 2 4 5" xfId="7452" xr:uid="{00000000-0005-0000-0000-0000E8250000}"/>
    <cellStyle name="40% - Accent1 2 2 4 5 2" xfId="11788" xr:uid="{00000000-0005-0000-0000-0000E9250000}"/>
    <cellStyle name="40% - Accent1 2 2 4 5 2 2" xfId="31258" xr:uid="{00000000-0005-0000-0000-0000EA250000}"/>
    <cellStyle name="40% - Accent1 2 2 4 5 3" xfId="26936" xr:uid="{00000000-0005-0000-0000-0000EB250000}"/>
    <cellStyle name="40% - Accent1 2 2 4 6" xfId="9109" xr:uid="{00000000-0005-0000-0000-0000EC250000}"/>
    <cellStyle name="40% - Accent1 2 2 4 6 2" xfId="28580" xr:uid="{00000000-0005-0000-0000-0000ED250000}"/>
    <cellStyle name="40% - Accent1 2 2 4 7" xfId="23997" xr:uid="{00000000-0005-0000-0000-0000EE250000}"/>
    <cellStyle name="40% - Accent1 2 2 5" xfId="4591" xr:uid="{00000000-0005-0000-0000-0000EF250000}"/>
    <cellStyle name="40% - Accent1 2 2 5 2" xfId="5232" xr:uid="{00000000-0005-0000-0000-0000F0250000}"/>
    <cellStyle name="40% - Accent1 2 2 5 2 2" xfId="6366" xr:uid="{00000000-0005-0000-0000-0000F1250000}"/>
    <cellStyle name="40% - Accent1 2 2 5 2 2 2" xfId="7462" xr:uid="{00000000-0005-0000-0000-0000F2250000}"/>
    <cellStyle name="40% - Accent1 2 2 5 2 2 2 2" xfId="11798" xr:uid="{00000000-0005-0000-0000-0000F3250000}"/>
    <cellStyle name="40% - Accent1 2 2 5 2 2 2 2 2" xfId="31268" xr:uid="{00000000-0005-0000-0000-0000F4250000}"/>
    <cellStyle name="40% - Accent1 2 2 5 2 2 2 3" xfId="26946" xr:uid="{00000000-0005-0000-0000-0000F5250000}"/>
    <cellStyle name="40% - Accent1 2 2 5 2 2 3" xfId="10782" xr:uid="{00000000-0005-0000-0000-0000F6250000}"/>
    <cellStyle name="40% - Accent1 2 2 5 2 2 3 2" xfId="30252" xr:uid="{00000000-0005-0000-0000-0000F7250000}"/>
    <cellStyle name="40% - Accent1 2 2 5 2 2 4" xfId="25851" xr:uid="{00000000-0005-0000-0000-0000F8250000}"/>
    <cellStyle name="40% - Accent1 2 2 5 2 3" xfId="7461" xr:uid="{00000000-0005-0000-0000-0000F9250000}"/>
    <cellStyle name="40% - Accent1 2 2 5 2 3 2" xfId="11797" xr:uid="{00000000-0005-0000-0000-0000FA250000}"/>
    <cellStyle name="40% - Accent1 2 2 5 2 3 2 2" xfId="31267" xr:uid="{00000000-0005-0000-0000-0000FB250000}"/>
    <cellStyle name="40% - Accent1 2 2 5 2 3 3" xfId="26945" xr:uid="{00000000-0005-0000-0000-0000FC250000}"/>
    <cellStyle name="40% - Accent1 2 2 5 2 4" xfId="9721" xr:uid="{00000000-0005-0000-0000-0000FD250000}"/>
    <cellStyle name="40% - Accent1 2 2 5 2 4 2" xfId="29191" xr:uid="{00000000-0005-0000-0000-0000FE250000}"/>
    <cellStyle name="40% - Accent1 2 2 5 2 5" xfId="24723" xr:uid="{00000000-0005-0000-0000-0000FF250000}"/>
    <cellStyle name="40% - Accent1 2 2 5 3" xfId="5828" xr:uid="{00000000-0005-0000-0000-000000260000}"/>
    <cellStyle name="40% - Accent1 2 2 5 3 2" xfId="7463" xr:uid="{00000000-0005-0000-0000-000001260000}"/>
    <cellStyle name="40% - Accent1 2 2 5 3 2 2" xfId="11799" xr:uid="{00000000-0005-0000-0000-000002260000}"/>
    <cellStyle name="40% - Accent1 2 2 5 3 2 2 2" xfId="31269" xr:uid="{00000000-0005-0000-0000-000003260000}"/>
    <cellStyle name="40% - Accent1 2 2 5 3 2 3" xfId="26947" xr:uid="{00000000-0005-0000-0000-000004260000}"/>
    <cellStyle name="40% - Accent1 2 2 5 3 3" xfId="10251" xr:uid="{00000000-0005-0000-0000-000005260000}"/>
    <cellStyle name="40% - Accent1 2 2 5 3 3 2" xfId="29721" xr:uid="{00000000-0005-0000-0000-000006260000}"/>
    <cellStyle name="40% - Accent1 2 2 5 3 4" xfId="25313" xr:uid="{00000000-0005-0000-0000-000007260000}"/>
    <cellStyle name="40% - Accent1 2 2 5 4" xfId="7460" xr:uid="{00000000-0005-0000-0000-000008260000}"/>
    <cellStyle name="40% - Accent1 2 2 5 4 2" xfId="11796" xr:uid="{00000000-0005-0000-0000-000009260000}"/>
    <cellStyle name="40% - Accent1 2 2 5 4 2 2" xfId="31266" xr:uid="{00000000-0005-0000-0000-00000A260000}"/>
    <cellStyle name="40% - Accent1 2 2 5 4 3" xfId="26944" xr:uid="{00000000-0005-0000-0000-00000B260000}"/>
    <cellStyle name="40% - Accent1 2 2 5 5" xfId="9191" xr:uid="{00000000-0005-0000-0000-00000C260000}"/>
    <cellStyle name="40% - Accent1 2 2 5 5 2" xfId="28661" xr:uid="{00000000-0005-0000-0000-00000D260000}"/>
    <cellStyle name="40% - Accent1 2 2 5 6" xfId="24102" xr:uid="{00000000-0005-0000-0000-00000E260000}"/>
    <cellStyle name="40% - Accent1 2 2 6" xfId="4936" xr:uid="{00000000-0005-0000-0000-00000F260000}"/>
    <cellStyle name="40% - Accent1 2 2 6 2" xfId="6098" xr:uid="{00000000-0005-0000-0000-000010260000}"/>
    <cellStyle name="40% - Accent1 2 2 6 2 2" xfId="7465" xr:uid="{00000000-0005-0000-0000-000011260000}"/>
    <cellStyle name="40% - Accent1 2 2 6 2 2 2" xfId="11801" xr:uid="{00000000-0005-0000-0000-000012260000}"/>
    <cellStyle name="40% - Accent1 2 2 6 2 2 2 2" xfId="31271" xr:uid="{00000000-0005-0000-0000-000013260000}"/>
    <cellStyle name="40% - Accent1 2 2 6 2 2 3" xfId="26949" xr:uid="{00000000-0005-0000-0000-000014260000}"/>
    <cellStyle name="40% - Accent1 2 2 6 2 3" xfId="10516" xr:uid="{00000000-0005-0000-0000-000015260000}"/>
    <cellStyle name="40% - Accent1 2 2 6 2 3 2" xfId="29986" xr:uid="{00000000-0005-0000-0000-000016260000}"/>
    <cellStyle name="40% - Accent1 2 2 6 2 4" xfId="25583" xr:uid="{00000000-0005-0000-0000-000017260000}"/>
    <cellStyle name="40% - Accent1 2 2 6 3" xfId="7464" xr:uid="{00000000-0005-0000-0000-000018260000}"/>
    <cellStyle name="40% - Accent1 2 2 6 3 2" xfId="11800" xr:uid="{00000000-0005-0000-0000-000019260000}"/>
    <cellStyle name="40% - Accent1 2 2 6 3 2 2" xfId="31270" xr:uid="{00000000-0005-0000-0000-00001A260000}"/>
    <cellStyle name="40% - Accent1 2 2 6 3 3" xfId="26948" xr:uid="{00000000-0005-0000-0000-00001B260000}"/>
    <cellStyle name="40% - Accent1 2 2 6 4" xfId="9456" xr:uid="{00000000-0005-0000-0000-00001C260000}"/>
    <cellStyle name="40% - Accent1 2 2 6 4 2" xfId="28926" xr:uid="{00000000-0005-0000-0000-00001D260000}"/>
    <cellStyle name="40% - Accent1 2 2 6 5" xfId="24430" xr:uid="{00000000-0005-0000-0000-00001E260000}"/>
    <cellStyle name="40% - Accent1 2 2 7" xfId="5540" xr:uid="{00000000-0005-0000-0000-00001F260000}"/>
    <cellStyle name="40% - Accent1 2 2 7 2" xfId="7466" xr:uid="{00000000-0005-0000-0000-000020260000}"/>
    <cellStyle name="40% - Accent1 2 2 7 2 2" xfId="11802" xr:uid="{00000000-0005-0000-0000-000021260000}"/>
    <cellStyle name="40% - Accent1 2 2 7 2 2 2" xfId="31272" xr:uid="{00000000-0005-0000-0000-000022260000}"/>
    <cellStyle name="40% - Accent1 2 2 7 2 3" xfId="26950" xr:uid="{00000000-0005-0000-0000-000023260000}"/>
    <cellStyle name="40% - Accent1 2 2 7 3" xfId="9986" xr:uid="{00000000-0005-0000-0000-000024260000}"/>
    <cellStyle name="40% - Accent1 2 2 7 3 2" xfId="29456" xr:uid="{00000000-0005-0000-0000-000025260000}"/>
    <cellStyle name="40% - Accent1 2 2 7 4" xfId="25028" xr:uid="{00000000-0005-0000-0000-000026260000}"/>
    <cellStyle name="40% - Accent1 2 2 8" xfId="7419" xr:uid="{00000000-0005-0000-0000-000027260000}"/>
    <cellStyle name="40% - Accent1 2 2 8 2" xfId="11755" xr:uid="{00000000-0005-0000-0000-000028260000}"/>
    <cellStyle name="40% - Accent1 2 2 8 2 2" xfId="31225" xr:uid="{00000000-0005-0000-0000-000029260000}"/>
    <cellStyle name="40% - Accent1 2 2 8 3" xfId="26903" xr:uid="{00000000-0005-0000-0000-00002A260000}"/>
    <cellStyle name="40% - Accent1 2 2 9" xfId="8922" xr:uid="{00000000-0005-0000-0000-00002B260000}"/>
    <cellStyle name="40% - Accent1 2 2 9 2" xfId="28396" xr:uid="{00000000-0005-0000-0000-00002C260000}"/>
    <cellStyle name="40% - Accent1 2 3" xfId="2710" xr:uid="{00000000-0005-0000-0000-00002D260000}"/>
    <cellStyle name="40% - Accent1 2 3 10" xfId="23568" xr:uid="{00000000-0005-0000-0000-00002E260000}"/>
    <cellStyle name="40% - Accent1 2 3 2" xfId="2876" xr:uid="{00000000-0005-0000-0000-00002F260000}"/>
    <cellStyle name="40% - Accent1 2 3 2 2" xfId="3070" xr:uid="{00000000-0005-0000-0000-000030260000}"/>
    <cellStyle name="40% - Accent1 2 3 2 2 2" xfId="4697" xr:uid="{00000000-0005-0000-0000-000031260000}"/>
    <cellStyle name="40% - Accent1 2 3 2 2 2 2" xfId="5331" xr:uid="{00000000-0005-0000-0000-000032260000}"/>
    <cellStyle name="40% - Accent1 2 3 2 2 2 2 2" xfId="6465" xr:uid="{00000000-0005-0000-0000-000033260000}"/>
    <cellStyle name="40% - Accent1 2 3 2 2 2 2 2 2" xfId="7472" xr:uid="{00000000-0005-0000-0000-000034260000}"/>
    <cellStyle name="40% - Accent1 2 3 2 2 2 2 2 2 2" xfId="11808" xr:uid="{00000000-0005-0000-0000-000035260000}"/>
    <cellStyle name="40% - Accent1 2 3 2 2 2 2 2 2 2 2" xfId="31278" xr:uid="{00000000-0005-0000-0000-000036260000}"/>
    <cellStyle name="40% - Accent1 2 3 2 2 2 2 2 2 3" xfId="26956" xr:uid="{00000000-0005-0000-0000-000037260000}"/>
    <cellStyle name="40% - Accent1 2 3 2 2 2 2 2 3" xfId="10881" xr:uid="{00000000-0005-0000-0000-000038260000}"/>
    <cellStyle name="40% - Accent1 2 3 2 2 2 2 2 3 2" xfId="30351" xr:uid="{00000000-0005-0000-0000-000039260000}"/>
    <cellStyle name="40% - Accent1 2 3 2 2 2 2 2 4" xfId="25950" xr:uid="{00000000-0005-0000-0000-00003A260000}"/>
    <cellStyle name="40% - Accent1 2 3 2 2 2 2 3" xfId="7471" xr:uid="{00000000-0005-0000-0000-00003B260000}"/>
    <cellStyle name="40% - Accent1 2 3 2 2 2 2 3 2" xfId="11807" xr:uid="{00000000-0005-0000-0000-00003C260000}"/>
    <cellStyle name="40% - Accent1 2 3 2 2 2 2 3 2 2" xfId="31277" xr:uid="{00000000-0005-0000-0000-00003D260000}"/>
    <cellStyle name="40% - Accent1 2 3 2 2 2 2 3 3" xfId="26955" xr:uid="{00000000-0005-0000-0000-00003E260000}"/>
    <cellStyle name="40% - Accent1 2 3 2 2 2 2 4" xfId="9820" xr:uid="{00000000-0005-0000-0000-00003F260000}"/>
    <cellStyle name="40% - Accent1 2 3 2 2 2 2 4 2" xfId="29290" xr:uid="{00000000-0005-0000-0000-000040260000}"/>
    <cellStyle name="40% - Accent1 2 3 2 2 2 2 5" xfId="24822" xr:uid="{00000000-0005-0000-0000-000041260000}"/>
    <cellStyle name="40% - Accent1 2 3 2 2 2 3" xfId="5928" xr:uid="{00000000-0005-0000-0000-000042260000}"/>
    <cellStyle name="40% - Accent1 2 3 2 2 2 3 2" xfId="7473" xr:uid="{00000000-0005-0000-0000-000043260000}"/>
    <cellStyle name="40% - Accent1 2 3 2 2 2 3 2 2" xfId="11809" xr:uid="{00000000-0005-0000-0000-000044260000}"/>
    <cellStyle name="40% - Accent1 2 3 2 2 2 3 2 2 2" xfId="31279" xr:uid="{00000000-0005-0000-0000-000045260000}"/>
    <cellStyle name="40% - Accent1 2 3 2 2 2 3 2 3" xfId="26957" xr:uid="{00000000-0005-0000-0000-000046260000}"/>
    <cellStyle name="40% - Accent1 2 3 2 2 2 3 3" xfId="10350" xr:uid="{00000000-0005-0000-0000-000047260000}"/>
    <cellStyle name="40% - Accent1 2 3 2 2 2 3 3 2" xfId="29820" xr:uid="{00000000-0005-0000-0000-000048260000}"/>
    <cellStyle name="40% - Accent1 2 3 2 2 2 3 4" xfId="25413" xr:uid="{00000000-0005-0000-0000-000049260000}"/>
    <cellStyle name="40% - Accent1 2 3 2 2 2 4" xfId="7470" xr:uid="{00000000-0005-0000-0000-00004A260000}"/>
    <cellStyle name="40% - Accent1 2 3 2 2 2 4 2" xfId="11806" xr:uid="{00000000-0005-0000-0000-00004B260000}"/>
    <cellStyle name="40% - Accent1 2 3 2 2 2 4 2 2" xfId="31276" xr:uid="{00000000-0005-0000-0000-00004C260000}"/>
    <cellStyle name="40% - Accent1 2 3 2 2 2 4 3" xfId="26954" xr:uid="{00000000-0005-0000-0000-00004D260000}"/>
    <cellStyle name="40% - Accent1 2 3 2 2 2 5" xfId="9290" xr:uid="{00000000-0005-0000-0000-00004E260000}"/>
    <cellStyle name="40% - Accent1 2 3 2 2 2 5 2" xfId="28760" xr:uid="{00000000-0005-0000-0000-00004F260000}"/>
    <cellStyle name="40% - Accent1 2 3 2 2 2 6" xfId="24208" xr:uid="{00000000-0005-0000-0000-000050260000}"/>
    <cellStyle name="40% - Accent1 2 3 2 2 3" xfId="5035" xr:uid="{00000000-0005-0000-0000-000051260000}"/>
    <cellStyle name="40% - Accent1 2 3 2 2 3 2" xfId="6197" xr:uid="{00000000-0005-0000-0000-000052260000}"/>
    <cellStyle name="40% - Accent1 2 3 2 2 3 2 2" xfId="7475" xr:uid="{00000000-0005-0000-0000-000053260000}"/>
    <cellStyle name="40% - Accent1 2 3 2 2 3 2 2 2" xfId="11811" xr:uid="{00000000-0005-0000-0000-000054260000}"/>
    <cellStyle name="40% - Accent1 2 3 2 2 3 2 2 2 2" xfId="31281" xr:uid="{00000000-0005-0000-0000-000055260000}"/>
    <cellStyle name="40% - Accent1 2 3 2 2 3 2 2 3" xfId="26959" xr:uid="{00000000-0005-0000-0000-000056260000}"/>
    <cellStyle name="40% - Accent1 2 3 2 2 3 2 3" xfId="10615" xr:uid="{00000000-0005-0000-0000-000057260000}"/>
    <cellStyle name="40% - Accent1 2 3 2 2 3 2 3 2" xfId="30085" xr:uid="{00000000-0005-0000-0000-000058260000}"/>
    <cellStyle name="40% - Accent1 2 3 2 2 3 2 4" xfId="25682" xr:uid="{00000000-0005-0000-0000-000059260000}"/>
    <cellStyle name="40% - Accent1 2 3 2 2 3 3" xfId="7474" xr:uid="{00000000-0005-0000-0000-00005A260000}"/>
    <cellStyle name="40% - Accent1 2 3 2 2 3 3 2" xfId="11810" xr:uid="{00000000-0005-0000-0000-00005B260000}"/>
    <cellStyle name="40% - Accent1 2 3 2 2 3 3 2 2" xfId="31280" xr:uid="{00000000-0005-0000-0000-00005C260000}"/>
    <cellStyle name="40% - Accent1 2 3 2 2 3 3 3" xfId="26958" xr:uid="{00000000-0005-0000-0000-00005D260000}"/>
    <cellStyle name="40% - Accent1 2 3 2 2 3 4" xfId="9555" xr:uid="{00000000-0005-0000-0000-00005E260000}"/>
    <cellStyle name="40% - Accent1 2 3 2 2 3 4 2" xfId="29025" xr:uid="{00000000-0005-0000-0000-00005F260000}"/>
    <cellStyle name="40% - Accent1 2 3 2 2 3 5" xfId="24529" xr:uid="{00000000-0005-0000-0000-000060260000}"/>
    <cellStyle name="40% - Accent1 2 3 2 2 4" xfId="5640" xr:uid="{00000000-0005-0000-0000-000061260000}"/>
    <cellStyle name="40% - Accent1 2 3 2 2 4 2" xfId="7476" xr:uid="{00000000-0005-0000-0000-000062260000}"/>
    <cellStyle name="40% - Accent1 2 3 2 2 4 2 2" xfId="11812" xr:uid="{00000000-0005-0000-0000-000063260000}"/>
    <cellStyle name="40% - Accent1 2 3 2 2 4 2 2 2" xfId="31282" xr:uid="{00000000-0005-0000-0000-000064260000}"/>
    <cellStyle name="40% - Accent1 2 3 2 2 4 2 3" xfId="26960" xr:uid="{00000000-0005-0000-0000-000065260000}"/>
    <cellStyle name="40% - Accent1 2 3 2 2 4 3" xfId="10085" xr:uid="{00000000-0005-0000-0000-000066260000}"/>
    <cellStyle name="40% - Accent1 2 3 2 2 4 3 2" xfId="29555" xr:uid="{00000000-0005-0000-0000-000067260000}"/>
    <cellStyle name="40% - Accent1 2 3 2 2 4 4" xfId="25127" xr:uid="{00000000-0005-0000-0000-000068260000}"/>
    <cellStyle name="40% - Accent1 2 3 2 2 5" xfId="7469" xr:uid="{00000000-0005-0000-0000-000069260000}"/>
    <cellStyle name="40% - Accent1 2 3 2 2 5 2" xfId="11805" xr:uid="{00000000-0005-0000-0000-00006A260000}"/>
    <cellStyle name="40% - Accent1 2 3 2 2 5 2 2" xfId="31275" xr:uid="{00000000-0005-0000-0000-00006B260000}"/>
    <cellStyle name="40% - Accent1 2 3 2 2 5 3" xfId="26953" xr:uid="{00000000-0005-0000-0000-00006C260000}"/>
    <cellStyle name="40% - Accent1 2 3 2 2 6" xfId="9021" xr:uid="{00000000-0005-0000-0000-00006D260000}"/>
    <cellStyle name="40% - Accent1 2 3 2 2 6 2" xfId="28495" xr:uid="{00000000-0005-0000-0000-00006E260000}"/>
    <cellStyle name="40% - Accent1 2 3 2 2 7" xfId="23879" xr:uid="{00000000-0005-0000-0000-00006F260000}"/>
    <cellStyle name="40% - Accent1 2 3 2 3" xfId="4258" xr:uid="{00000000-0005-0000-0000-000070260000}"/>
    <cellStyle name="40% - Accent1 2 3 2 3 2" xfId="4833" xr:uid="{00000000-0005-0000-0000-000071260000}"/>
    <cellStyle name="40% - Accent1 2 3 2 3 2 2" xfId="5458" xr:uid="{00000000-0005-0000-0000-000072260000}"/>
    <cellStyle name="40% - Accent1 2 3 2 3 2 2 2" xfId="6586" xr:uid="{00000000-0005-0000-0000-000073260000}"/>
    <cellStyle name="40% - Accent1 2 3 2 3 2 2 2 2" xfId="7480" xr:uid="{00000000-0005-0000-0000-000074260000}"/>
    <cellStyle name="40% - Accent1 2 3 2 3 2 2 2 2 2" xfId="11816" xr:uid="{00000000-0005-0000-0000-000075260000}"/>
    <cellStyle name="40% - Accent1 2 3 2 3 2 2 2 2 2 2" xfId="31286" xr:uid="{00000000-0005-0000-0000-000076260000}"/>
    <cellStyle name="40% - Accent1 2 3 2 3 2 2 2 2 3" xfId="26964" xr:uid="{00000000-0005-0000-0000-000077260000}"/>
    <cellStyle name="40% - Accent1 2 3 2 3 2 2 2 3" xfId="11002" xr:uid="{00000000-0005-0000-0000-000078260000}"/>
    <cellStyle name="40% - Accent1 2 3 2 3 2 2 2 3 2" xfId="30472" xr:uid="{00000000-0005-0000-0000-000079260000}"/>
    <cellStyle name="40% - Accent1 2 3 2 3 2 2 2 4" xfId="26071" xr:uid="{00000000-0005-0000-0000-00007A260000}"/>
    <cellStyle name="40% - Accent1 2 3 2 3 2 2 3" xfId="7479" xr:uid="{00000000-0005-0000-0000-00007B260000}"/>
    <cellStyle name="40% - Accent1 2 3 2 3 2 2 3 2" xfId="11815" xr:uid="{00000000-0005-0000-0000-00007C260000}"/>
    <cellStyle name="40% - Accent1 2 3 2 3 2 2 3 2 2" xfId="31285" xr:uid="{00000000-0005-0000-0000-00007D260000}"/>
    <cellStyle name="40% - Accent1 2 3 2 3 2 2 3 3" xfId="26963" xr:uid="{00000000-0005-0000-0000-00007E260000}"/>
    <cellStyle name="40% - Accent1 2 3 2 3 2 2 4" xfId="9941" xr:uid="{00000000-0005-0000-0000-00007F260000}"/>
    <cellStyle name="40% - Accent1 2 3 2 3 2 2 4 2" xfId="29411" xr:uid="{00000000-0005-0000-0000-000080260000}"/>
    <cellStyle name="40% - Accent1 2 3 2 3 2 2 5" xfId="24949" xr:uid="{00000000-0005-0000-0000-000081260000}"/>
    <cellStyle name="40% - Accent1 2 3 2 3 2 3" xfId="6051" xr:uid="{00000000-0005-0000-0000-000082260000}"/>
    <cellStyle name="40% - Accent1 2 3 2 3 2 3 2" xfId="7481" xr:uid="{00000000-0005-0000-0000-000083260000}"/>
    <cellStyle name="40% - Accent1 2 3 2 3 2 3 2 2" xfId="11817" xr:uid="{00000000-0005-0000-0000-000084260000}"/>
    <cellStyle name="40% - Accent1 2 3 2 3 2 3 2 2 2" xfId="31287" xr:uid="{00000000-0005-0000-0000-000085260000}"/>
    <cellStyle name="40% - Accent1 2 3 2 3 2 3 2 3" xfId="26965" xr:uid="{00000000-0005-0000-0000-000086260000}"/>
    <cellStyle name="40% - Accent1 2 3 2 3 2 3 3" xfId="10471" xr:uid="{00000000-0005-0000-0000-000087260000}"/>
    <cellStyle name="40% - Accent1 2 3 2 3 2 3 3 2" xfId="29941" xr:uid="{00000000-0005-0000-0000-000088260000}"/>
    <cellStyle name="40% - Accent1 2 3 2 3 2 3 4" xfId="25536" xr:uid="{00000000-0005-0000-0000-000089260000}"/>
    <cellStyle name="40% - Accent1 2 3 2 3 2 4" xfId="7478" xr:uid="{00000000-0005-0000-0000-00008A260000}"/>
    <cellStyle name="40% - Accent1 2 3 2 3 2 4 2" xfId="11814" xr:uid="{00000000-0005-0000-0000-00008B260000}"/>
    <cellStyle name="40% - Accent1 2 3 2 3 2 4 2 2" xfId="31284" xr:uid="{00000000-0005-0000-0000-00008C260000}"/>
    <cellStyle name="40% - Accent1 2 3 2 3 2 4 3" xfId="26962" xr:uid="{00000000-0005-0000-0000-00008D260000}"/>
    <cellStyle name="40% - Accent1 2 3 2 3 2 5" xfId="9411" xr:uid="{00000000-0005-0000-0000-00008E260000}"/>
    <cellStyle name="40% - Accent1 2 3 2 3 2 5 2" xfId="28881" xr:uid="{00000000-0005-0000-0000-00008F260000}"/>
    <cellStyle name="40% - Accent1 2 3 2 3 2 6" xfId="24335" xr:uid="{00000000-0005-0000-0000-000090260000}"/>
    <cellStyle name="40% - Accent1 2 3 2 3 3" xfId="5163" xr:uid="{00000000-0005-0000-0000-000091260000}"/>
    <cellStyle name="40% - Accent1 2 3 2 3 3 2" xfId="6319" xr:uid="{00000000-0005-0000-0000-000092260000}"/>
    <cellStyle name="40% - Accent1 2 3 2 3 3 2 2" xfId="7483" xr:uid="{00000000-0005-0000-0000-000093260000}"/>
    <cellStyle name="40% - Accent1 2 3 2 3 3 2 2 2" xfId="11819" xr:uid="{00000000-0005-0000-0000-000094260000}"/>
    <cellStyle name="40% - Accent1 2 3 2 3 3 2 2 2 2" xfId="31289" xr:uid="{00000000-0005-0000-0000-000095260000}"/>
    <cellStyle name="40% - Accent1 2 3 2 3 3 2 2 3" xfId="26967" xr:uid="{00000000-0005-0000-0000-000096260000}"/>
    <cellStyle name="40% - Accent1 2 3 2 3 3 2 3" xfId="10736" xr:uid="{00000000-0005-0000-0000-000097260000}"/>
    <cellStyle name="40% - Accent1 2 3 2 3 3 2 3 2" xfId="30206" xr:uid="{00000000-0005-0000-0000-000098260000}"/>
    <cellStyle name="40% - Accent1 2 3 2 3 3 2 4" xfId="25804" xr:uid="{00000000-0005-0000-0000-000099260000}"/>
    <cellStyle name="40% - Accent1 2 3 2 3 3 3" xfId="7482" xr:uid="{00000000-0005-0000-0000-00009A260000}"/>
    <cellStyle name="40% - Accent1 2 3 2 3 3 3 2" xfId="11818" xr:uid="{00000000-0005-0000-0000-00009B260000}"/>
    <cellStyle name="40% - Accent1 2 3 2 3 3 3 2 2" xfId="31288" xr:uid="{00000000-0005-0000-0000-00009C260000}"/>
    <cellStyle name="40% - Accent1 2 3 2 3 3 3 3" xfId="26966" xr:uid="{00000000-0005-0000-0000-00009D260000}"/>
    <cellStyle name="40% - Accent1 2 3 2 3 3 4" xfId="9676" xr:uid="{00000000-0005-0000-0000-00009E260000}"/>
    <cellStyle name="40% - Accent1 2 3 2 3 3 4 2" xfId="29146" xr:uid="{00000000-0005-0000-0000-00009F260000}"/>
    <cellStyle name="40% - Accent1 2 3 2 3 3 5" xfId="24654" xr:uid="{00000000-0005-0000-0000-0000A0260000}"/>
    <cellStyle name="40% - Accent1 2 3 2 3 4" xfId="5772" xr:uid="{00000000-0005-0000-0000-0000A1260000}"/>
    <cellStyle name="40% - Accent1 2 3 2 3 4 2" xfId="7484" xr:uid="{00000000-0005-0000-0000-0000A2260000}"/>
    <cellStyle name="40% - Accent1 2 3 2 3 4 2 2" xfId="11820" xr:uid="{00000000-0005-0000-0000-0000A3260000}"/>
    <cellStyle name="40% - Accent1 2 3 2 3 4 2 2 2" xfId="31290" xr:uid="{00000000-0005-0000-0000-0000A4260000}"/>
    <cellStyle name="40% - Accent1 2 3 2 3 4 2 3" xfId="26968" xr:uid="{00000000-0005-0000-0000-0000A5260000}"/>
    <cellStyle name="40% - Accent1 2 3 2 3 4 3" xfId="10206" xr:uid="{00000000-0005-0000-0000-0000A6260000}"/>
    <cellStyle name="40% - Accent1 2 3 2 3 4 3 2" xfId="29676" xr:uid="{00000000-0005-0000-0000-0000A7260000}"/>
    <cellStyle name="40% - Accent1 2 3 2 3 4 4" xfId="25257" xr:uid="{00000000-0005-0000-0000-0000A8260000}"/>
    <cellStyle name="40% - Accent1 2 3 2 3 5" xfId="7477" xr:uid="{00000000-0005-0000-0000-0000A9260000}"/>
    <cellStyle name="40% - Accent1 2 3 2 3 5 2" xfId="11813" xr:uid="{00000000-0005-0000-0000-0000AA260000}"/>
    <cellStyle name="40% - Accent1 2 3 2 3 5 2 2" xfId="31283" xr:uid="{00000000-0005-0000-0000-0000AB260000}"/>
    <cellStyle name="40% - Accent1 2 3 2 3 5 3" xfId="26961" xr:uid="{00000000-0005-0000-0000-0000AC260000}"/>
    <cellStyle name="40% - Accent1 2 3 2 3 6" xfId="9145" xr:uid="{00000000-0005-0000-0000-0000AD260000}"/>
    <cellStyle name="40% - Accent1 2 3 2 3 6 2" xfId="28616" xr:uid="{00000000-0005-0000-0000-0000AE260000}"/>
    <cellStyle name="40% - Accent1 2 3 2 3 7" xfId="24034" xr:uid="{00000000-0005-0000-0000-0000AF260000}"/>
    <cellStyle name="40% - Accent1 2 3 2 4" xfId="4625" xr:uid="{00000000-0005-0000-0000-0000B0260000}"/>
    <cellStyle name="40% - Accent1 2 3 2 4 2" xfId="5265" xr:uid="{00000000-0005-0000-0000-0000B1260000}"/>
    <cellStyle name="40% - Accent1 2 3 2 4 2 2" xfId="6399" xr:uid="{00000000-0005-0000-0000-0000B2260000}"/>
    <cellStyle name="40% - Accent1 2 3 2 4 2 2 2" xfId="7487" xr:uid="{00000000-0005-0000-0000-0000B3260000}"/>
    <cellStyle name="40% - Accent1 2 3 2 4 2 2 2 2" xfId="11823" xr:uid="{00000000-0005-0000-0000-0000B4260000}"/>
    <cellStyle name="40% - Accent1 2 3 2 4 2 2 2 2 2" xfId="31293" xr:uid="{00000000-0005-0000-0000-0000B5260000}"/>
    <cellStyle name="40% - Accent1 2 3 2 4 2 2 2 3" xfId="26971" xr:uid="{00000000-0005-0000-0000-0000B6260000}"/>
    <cellStyle name="40% - Accent1 2 3 2 4 2 2 3" xfId="10815" xr:uid="{00000000-0005-0000-0000-0000B7260000}"/>
    <cellStyle name="40% - Accent1 2 3 2 4 2 2 3 2" xfId="30285" xr:uid="{00000000-0005-0000-0000-0000B8260000}"/>
    <cellStyle name="40% - Accent1 2 3 2 4 2 2 4" xfId="25884" xr:uid="{00000000-0005-0000-0000-0000B9260000}"/>
    <cellStyle name="40% - Accent1 2 3 2 4 2 3" xfId="7486" xr:uid="{00000000-0005-0000-0000-0000BA260000}"/>
    <cellStyle name="40% - Accent1 2 3 2 4 2 3 2" xfId="11822" xr:uid="{00000000-0005-0000-0000-0000BB260000}"/>
    <cellStyle name="40% - Accent1 2 3 2 4 2 3 2 2" xfId="31292" xr:uid="{00000000-0005-0000-0000-0000BC260000}"/>
    <cellStyle name="40% - Accent1 2 3 2 4 2 3 3" xfId="26970" xr:uid="{00000000-0005-0000-0000-0000BD260000}"/>
    <cellStyle name="40% - Accent1 2 3 2 4 2 4" xfId="9754" xr:uid="{00000000-0005-0000-0000-0000BE260000}"/>
    <cellStyle name="40% - Accent1 2 3 2 4 2 4 2" xfId="29224" xr:uid="{00000000-0005-0000-0000-0000BF260000}"/>
    <cellStyle name="40% - Accent1 2 3 2 4 2 5" xfId="24756" xr:uid="{00000000-0005-0000-0000-0000C0260000}"/>
    <cellStyle name="40% - Accent1 2 3 2 4 3" xfId="5862" xr:uid="{00000000-0005-0000-0000-0000C1260000}"/>
    <cellStyle name="40% - Accent1 2 3 2 4 3 2" xfId="7488" xr:uid="{00000000-0005-0000-0000-0000C2260000}"/>
    <cellStyle name="40% - Accent1 2 3 2 4 3 2 2" xfId="11824" xr:uid="{00000000-0005-0000-0000-0000C3260000}"/>
    <cellStyle name="40% - Accent1 2 3 2 4 3 2 2 2" xfId="31294" xr:uid="{00000000-0005-0000-0000-0000C4260000}"/>
    <cellStyle name="40% - Accent1 2 3 2 4 3 2 3" xfId="26972" xr:uid="{00000000-0005-0000-0000-0000C5260000}"/>
    <cellStyle name="40% - Accent1 2 3 2 4 3 3" xfId="10284" xr:uid="{00000000-0005-0000-0000-0000C6260000}"/>
    <cellStyle name="40% - Accent1 2 3 2 4 3 3 2" xfId="29754" xr:uid="{00000000-0005-0000-0000-0000C7260000}"/>
    <cellStyle name="40% - Accent1 2 3 2 4 3 4" xfId="25347" xr:uid="{00000000-0005-0000-0000-0000C8260000}"/>
    <cellStyle name="40% - Accent1 2 3 2 4 4" xfId="7485" xr:uid="{00000000-0005-0000-0000-0000C9260000}"/>
    <cellStyle name="40% - Accent1 2 3 2 4 4 2" xfId="11821" xr:uid="{00000000-0005-0000-0000-0000CA260000}"/>
    <cellStyle name="40% - Accent1 2 3 2 4 4 2 2" xfId="31291" xr:uid="{00000000-0005-0000-0000-0000CB260000}"/>
    <cellStyle name="40% - Accent1 2 3 2 4 4 3" xfId="26969" xr:uid="{00000000-0005-0000-0000-0000CC260000}"/>
    <cellStyle name="40% - Accent1 2 3 2 4 5" xfId="9224" xr:uid="{00000000-0005-0000-0000-0000CD260000}"/>
    <cellStyle name="40% - Accent1 2 3 2 4 5 2" xfId="28694" xr:uid="{00000000-0005-0000-0000-0000CE260000}"/>
    <cellStyle name="40% - Accent1 2 3 2 4 6" xfId="24136" xr:uid="{00000000-0005-0000-0000-0000CF260000}"/>
    <cellStyle name="40% - Accent1 2 3 2 5" xfId="4969" xr:uid="{00000000-0005-0000-0000-0000D0260000}"/>
    <cellStyle name="40% - Accent1 2 3 2 5 2" xfId="6131" xr:uid="{00000000-0005-0000-0000-0000D1260000}"/>
    <cellStyle name="40% - Accent1 2 3 2 5 2 2" xfId="7490" xr:uid="{00000000-0005-0000-0000-0000D2260000}"/>
    <cellStyle name="40% - Accent1 2 3 2 5 2 2 2" xfId="11826" xr:uid="{00000000-0005-0000-0000-0000D3260000}"/>
    <cellStyle name="40% - Accent1 2 3 2 5 2 2 2 2" xfId="31296" xr:uid="{00000000-0005-0000-0000-0000D4260000}"/>
    <cellStyle name="40% - Accent1 2 3 2 5 2 2 3" xfId="26974" xr:uid="{00000000-0005-0000-0000-0000D5260000}"/>
    <cellStyle name="40% - Accent1 2 3 2 5 2 3" xfId="10549" xr:uid="{00000000-0005-0000-0000-0000D6260000}"/>
    <cellStyle name="40% - Accent1 2 3 2 5 2 3 2" xfId="30019" xr:uid="{00000000-0005-0000-0000-0000D7260000}"/>
    <cellStyle name="40% - Accent1 2 3 2 5 2 4" xfId="25616" xr:uid="{00000000-0005-0000-0000-0000D8260000}"/>
    <cellStyle name="40% - Accent1 2 3 2 5 3" xfId="7489" xr:uid="{00000000-0005-0000-0000-0000D9260000}"/>
    <cellStyle name="40% - Accent1 2 3 2 5 3 2" xfId="11825" xr:uid="{00000000-0005-0000-0000-0000DA260000}"/>
    <cellStyle name="40% - Accent1 2 3 2 5 3 2 2" xfId="31295" xr:uid="{00000000-0005-0000-0000-0000DB260000}"/>
    <cellStyle name="40% - Accent1 2 3 2 5 3 3" xfId="26973" xr:uid="{00000000-0005-0000-0000-0000DC260000}"/>
    <cellStyle name="40% - Accent1 2 3 2 5 4" xfId="9489" xr:uid="{00000000-0005-0000-0000-0000DD260000}"/>
    <cellStyle name="40% - Accent1 2 3 2 5 4 2" xfId="28959" xr:uid="{00000000-0005-0000-0000-0000DE260000}"/>
    <cellStyle name="40% - Accent1 2 3 2 5 5" xfId="24463" xr:uid="{00000000-0005-0000-0000-0000DF260000}"/>
    <cellStyle name="40% - Accent1 2 3 2 6" xfId="5574" xr:uid="{00000000-0005-0000-0000-0000E0260000}"/>
    <cellStyle name="40% - Accent1 2 3 2 6 2" xfId="7491" xr:uid="{00000000-0005-0000-0000-0000E1260000}"/>
    <cellStyle name="40% - Accent1 2 3 2 6 2 2" xfId="11827" xr:uid="{00000000-0005-0000-0000-0000E2260000}"/>
    <cellStyle name="40% - Accent1 2 3 2 6 2 2 2" xfId="31297" xr:uid="{00000000-0005-0000-0000-0000E3260000}"/>
    <cellStyle name="40% - Accent1 2 3 2 6 2 3" xfId="26975" xr:uid="{00000000-0005-0000-0000-0000E4260000}"/>
    <cellStyle name="40% - Accent1 2 3 2 6 3" xfId="10019" xr:uid="{00000000-0005-0000-0000-0000E5260000}"/>
    <cellStyle name="40% - Accent1 2 3 2 6 3 2" xfId="29489" xr:uid="{00000000-0005-0000-0000-0000E6260000}"/>
    <cellStyle name="40% - Accent1 2 3 2 6 4" xfId="25061" xr:uid="{00000000-0005-0000-0000-0000E7260000}"/>
    <cellStyle name="40% - Accent1 2 3 2 7" xfId="7468" xr:uid="{00000000-0005-0000-0000-0000E8260000}"/>
    <cellStyle name="40% - Accent1 2 3 2 7 2" xfId="11804" xr:uid="{00000000-0005-0000-0000-0000E9260000}"/>
    <cellStyle name="40% - Accent1 2 3 2 7 2 2" xfId="31274" xr:uid="{00000000-0005-0000-0000-0000EA260000}"/>
    <cellStyle name="40% - Accent1 2 3 2 7 3" xfId="26952" xr:uid="{00000000-0005-0000-0000-0000EB260000}"/>
    <cellStyle name="40% - Accent1 2 3 2 8" xfId="8955" xr:uid="{00000000-0005-0000-0000-0000EC260000}"/>
    <cellStyle name="40% - Accent1 2 3 2 8 2" xfId="28429" xr:uid="{00000000-0005-0000-0000-0000ED260000}"/>
    <cellStyle name="40% - Accent1 2 3 2 9" xfId="23687" xr:uid="{00000000-0005-0000-0000-0000EE260000}"/>
    <cellStyle name="40% - Accent1 2 3 3" xfId="2952" xr:uid="{00000000-0005-0000-0000-0000EF260000}"/>
    <cellStyle name="40% - Accent1 2 3 3 2" xfId="4659" xr:uid="{00000000-0005-0000-0000-0000F0260000}"/>
    <cellStyle name="40% - Accent1 2 3 3 2 2" xfId="5299" xr:uid="{00000000-0005-0000-0000-0000F1260000}"/>
    <cellStyle name="40% - Accent1 2 3 3 2 2 2" xfId="6433" xr:uid="{00000000-0005-0000-0000-0000F2260000}"/>
    <cellStyle name="40% - Accent1 2 3 3 2 2 2 2" xfId="7495" xr:uid="{00000000-0005-0000-0000-0000F3260000}"/>
    <cellStyle name="40% - Accent1 2 3 3 2 2 2 2 2" xfId="11831" xr:uid="{00000000-0005-0000-0000-0000F4260000}"/>
    <cellStyle name="40% - Accent1 2 3 3 2 2 2 2 2 2" xfId="31301" xr:uid="{00000000-0005-0000-0000-0000F5260000}"/>
    <cellStyle name="40% - Accent1 2 3 3 2 2 2 2 3" xfId="26979" xr:uid="{00000000-0005-0000-0000-0000F6260000}"/>
    <cellStyle name="40% - Accent1 2 3 3 2 2 2 3" xfId="10849" xr:uid="{00000000-0005-0000-0000-0000F7260000}"/>
    <cellStyle name="40% - Accent1 2 3 3 2 2 2 3 2" xfId="30319" xr:uid="{00000000-0005-0000-0000-0000F8260000}"/>
    <cellStyle name="40% - Accent1 2 3 3 2 2 2 4" xfId="25918" xr:uid="{00000000-0005-0000-0000-0000F9260000}"/>
    <cellStyle name="40% - Accent1 2 3 3 2 2 3" xfId="7494" xr:uid="{00000000-0005-0000-0000-0000FA260000}"/>
    <cellStyle name="40% - Accent1 2 3 3 2 2 3 2" xfId="11830" xr:uid="{00000000-0005-0000-0000-0000FB260000}"/>
    <cellStyle name="40% - Accent1 2 3 3 2 2 3 2 2" xfId="31300" xr:uid="{00000000-0005-0000-0000-0000FC260000}"/>
    <cellStyle name="40% - Accent1 2 3 3 2 2 3 3" xfId="26978" xr:uid="{00000000-0005-0000-0000-0000FD260000}"/>
    <cellStyle name="40% - Accent1 2 3 3 2 2 4" xfId="9788" xr:uid="{00000000-0005-0000-0000-0000FE260000}"/>
    <cellStyle name="40% - Accent1 2 3 3 2 2 4 2" xfId="29258" xr:uid="{00000000-0005-0000-0000-0000FF260000}"/>
    <cellStyle name="40% - Accent1 2 3 3 2 2 5" xfId="24790" xr:uid="{00000000-0005-0000-0000-000000270000}"/>
    <cellStyle name="40% - Accent1 2 3 3 2 3" xfId="5896" xr:uid="{00000000-0005-0000-0000-000001270000}"/>
    <cellStyle name="40% - Accent1 2 3 3 2 3 2" xfId="7496" xr:uid="{00000000-0005-0000-0000-000002270000}"/>
    <cellStyle name="40% - Accent1 2 3 3 2 3 2 2" xfId="11832" xr:uid="{00000000-0005-0000-0000-000003270000}"/>
    <cellStyle name="40% - Accent1 2 3 3 2 3 2 2 2" xfId="31302" xr:uid="{00000000-0005-0000-0000-000004270000}"/>
    <cellStyle name="40% - Accent1 2 3 3 2 3 2 3" xfId="26980" xr:uid="{00000000-0005-0000-0000-000005270000}"/>
    <cellStyle name="40% - Accent1 2 3 3 2 3 3" xfId="10318" xr:uid="{00000000-0005-0000-0000-000006270000}"/>
    <cellStyle name="40% - Accent1 2 3 3 2 3 3 2" xfId="29788" xr:uid="{00000000-0005-0000-0000-000007270000}"/>
    <cellStyle name="40% - Accent1 2 3 3 2 3 4" xfId="25381" xr:uid="{00000000-0005-0000-0000-000008270000}"/>
    <cellStyle name="40% - Accent1 2 3 3 2 4" xfId="7493" xr:uid="{00000000-0005-0000-0000-000009270000}"/>
    <cellStyle name="40% - Accent1 2 3 3 2 4 2" xfId="11829" xr:uid="{00000000-0005-0000-0000-00000A270000}"/>
    <cellStyle name="40% - Accent1 2 3 3 2 4 2 2" xfId="31299" xr:uid="{00000000-0005-0000-0000-00000B270000}"/>
    <cellStyle name="40% - Accent1 2 3 3 2 4 3" xfId="26977" xr:uid="{00000000-0005-0000-0000-00000C270000}"/>
    <cellStyle name="40% - Accent1 2 3 3 2 5" xfId="9258" xr:uid="{00000000-0005-0000-0000-00000D270000}"/>
    <cellStyle name="40% - Accent1 2 3 3 2 5 2" xfId="28728" xr:uid="{00000000-0005-0000-0000-00000E270000}"/>
    <cellStyle name="40% - Accent1 2 3 3 2 6" xfId="24170" xr:uid="{00000000-0005-0000-0000-00000F270000}"/>
    <cellStyle name="40% - Accent1 2 3 3 3" xfId="5003" xr:uid="{00000000-0005-0000-0000-000010270000}"/>
    <cellStyle name="40% - Accent1 2 3 3 3 2" xfId="6165" xr:uid="{00000000-0005-0000-0000-000011270000}"/>
    <cellStyle name="40% - Accent1 2 3 3 3 2 2" xfId="7498" xr:uid="{00000000-0005-0000-0000-000012270000}"/>
    <cellStyle name="40% - Accent1 2 3 3 3 2 2 2" xfId="11834" xr:uid="{00000000-0005-0000-0000-000013270000}"/>
    <cellStyle name="40% - Accent1 2 3 3 3 2 2 2 2" xfId="31304" xr:uid="{00000000-0005-0000-0000-000014270000}"/>
    <cellStyle name="40% - Accent1 2 3 3 3 2 2 3" xfId="26982" xr:uid="{00000000-0005-0000-0000-000015270000}"/>
    <cellStyle name="40% - Accent1 2 3 3 3 2 3" xfId="10583" xr:uid="{00000000-0005-0000-0000-000016270000}"/>
    <cellStyle name="40% - Accent1 2 3 3 3 2 3 2" xfId="30053" xr:uid="{00000000-0005-0000-0000-000017270000}"/>
    <cellStyle name="40% - Accent1 2 3 3 3 2 4" xfId="25650" xr:uid="{00000000-0005-0000-0000-000018270000}"/>
    <cellStyle name="40% - Accent1 2 3 3 3 3" xfId="7497" xr:uid="{00000000-0005-0000-0000-000019270000}"/>
    <cellStyle name="40% - Accent1 2 3 3 3 3 2" xfId="11833" xr:uid="{00000000-0005-0000-0000-00001A270000}"/>
    <cellStyle name="40% - Accent1 2 3 3 3 3 2 2" xfId="31303" xr:uid="{00000000-0005-0000-0000-00001B270000}"/>
    <cellStyle name="40% - Accent1 2 3 3 3 3 3" xfId="26981" xr:uid="{00000000-0005-0000-0000-00001C270000}"/>
    <cellStyle name="40% - Accent1 2 3 3 3 4" xfId="9523" xr:uid="{00000000-0005-0000-0000-00001D270000}"/>
    <cellStyle name="40% - Accent1 2 3 3 3 4 2" xfId="28993" xr:uid="{00000000-0005-0000-0000-00001E270000}"/>
    <cellStyle name="40% - Accent1 2 3 3 3 5" xfId="24497" xr:uid="{00000000-0005-0000-0000-00001F270000}"/>
    <cellStyle name="40% - Accent1 2 3 3 4" xfId="5608" xr:uid="{00000000-0005-0000-0000-000020270000}"/>
    <cellStyle name="40% - Accent1 2 3 3 4 2" xfId="7499" xr:uid="{00000000-0005-0000-0000-000021270000}"/>
    <cellStyle name="40% - Accent1 2 3 3 4 2 2" xfId="11835" xr:uid="{00000000-0005-0000-0000-000022270000}"/>
    <cellStyle name="40% - Accent1 2 3 3 4 2 2 2" xfId="31305" xr:uid="{00000000-0005-0000-0000-000023270000}"/>
    <cellStyle name="40% - Accent1 2 3 3 4 2 3" xfId="26983" xr:uid="{00000000-0005-0000-0000-000024270000}"/>
    <cellStyle name="40% - Accent1 2 3 3 4 3" xfId="10053" xr:uid="{00000000-0005-0000-0000-000025270000}"/>
    <cellStyle name="40% - Accent1 2 3 3 4 3 2" xfId="29523" xr:uid="{00000000-0005-0000-0000-000026270000}"/>
    <cellStyle name="40% - Accent1 2 3 3 4 4" xfId="25095" xr:uid="{00000000-0005-0000-0000-000027270000}"/>
    <cellStyle name="40% - Accent1 2 3 3 5" xfId="7492" xr:uid="{00000000-0005-0000-0000-000028270000}"/>
    <cellStyle name="40% - Accent1 2 3 3 5 2" xfId="11828" xr:uid="{00000000-0005-0000-0000-000029270000}"/>
    <cellStyle name="40% - Accent1 2 3 3 5 2 2" xfId="31298" xr:uid="{00000000-0005-0000-0000-00002A270000}"/>
    <cellStyle name="40% - Accent1 2 3 3 5 3" xfId="26976" xr:uid="{00000000-0005-0000-0000-00002B270000}"/>
    <cellStyle name="40% - Accent1 2 3 3 6" xfId="8989" xr:uid="{00000000-0005-0000-0000-00002C270000}"/>
    <cellStyle name="40% - Accent1 2 3 3 6 2" xfId="28463" xr:uid="{00000000-0005-0000-0000-00002D270000}"/>
    <cellStyle name="40% - Accent1 2 3 3 7" xfId="23761" xr:uid="{00000000-0005-0000-0000-00002E270000}"/>
    <cellStyle name="40% - Accent1 2 3 4" xfId="4186" xr:uid="{00000000-0005-0000-0000-00002F270000}"/>
    <cellStyle name="40% - Accent1 2 3 4 2" xfId="4778" xr:uid="{00000000-0005-0000-0000-000030270000}"/>
    <cellStyle name="40% - Accent1 2 3 4 2 2" xfId="5404" xr:uid="{00000000-0005-0000-0000-000031270000}"/>
    <cellStyle name="40% - Accent1 2 3 4 2 2 2" xfId="6532" xr:uid="{00000000-0005-0000-0000-000032270000}"/>
    <cellStyle name="40% - Accent1 2 3 4 2 2 2 2" xfId="7503" xr:uid="{00000000-0005-0000-0000-000033270000}"/>
    <cellStyle name="40% - Accent1 2 3 4 2 2 2 2 2" xfId="11839" xr:uid="{00000000-0005-0000-0000-000034270000}"/>
    <cellStyle name="40% - Accent1 2 3 4 2 2 2 2 2 2" xfId="31309" xr:uid="{00000000-0005-0000-0000-000035270000}"/>
    <cellStyle name="40% - Accent1 2 3 4 2 2 2 2 3" xfId="26987" xr:uid="{00000000-0005-0000-0000-000036270000}"/>
    <cellStyle name="40% - Accent1 2 3 4 2 2 2 3" xfId="10948" xr:uid="{00000000-0005-0000-0000-000037270000}"/>
    <cellStyle name="40% - Accent1 2 3 4 2 2 2 3 2" xfId="30418" xr:uid="{00000000-0005-0000-0000-000038270000}"/>
    <cellStyle name="40% - Accent1 2 3 4 2 2 2 4" xfId="26017" xr:uid="{00000000-0005-0000-0000-000039270000}"/>
    <cellStyle name="40% - Accent1 2 3 4 2 2 3" xfId="7502" xr:uid="{00000000-0005-0000-0000-00003A270000}"/>
    <cellStyle name="40% - Accent1 2 3 4 2 2 3 2" xfId="11838" xr:uid="{00000000-0005-0000-0000-00003B270000}"/>
    <cellStyle name="40% - Accent1 2 3 4 2 2 3 2 2" xfId="31308" xr:uid="{00000000-0005-0000-0000-00003C270000}"/>
    <cellStyle name="40% - Accent1 2 3 4 2 2 3 3" xfId="26986" xr:uid="{00000000-0005-0000-0000-00003D270000}"/>
    <cellStyle name="40% - Accent1 2 3 4 2 2 4" xfId="9887" xr:uid="{00000000-0005-0000-0000-00003E270000}"/>
    <cellStyle name="40% - Accent1 2 3 4 2 2 4 2" xfId="29357" xr:uid="{00000000-0005-0000-0000-00003F270000}"/>
    <cellStyle name="40% - Accent1 2 3 4 2 2 5" xfId="24895" xr:uid="{00000000-0005-0000-0000-000040270000}"/>
    <cellStyle name="40% - Accent1 2 3 4 2 3" xfId="5996" xr:uid="{00000000-0005-0000-0000-000041270000}"/>
    <cellStyle name="40% - Accent1 2 3 4 2 3 2" xfId="7504" xr:uid="{00000000-0005-0000-0000-000042270000}"/>
    <cellStyle name="40% - Accent1 2 3 4 2 3 2 2" xfId="11840" xr:uid="{00000000-0005-0000-0000-000043270000}"/>
    <cellStyle name="40% - Accent1 2 3 4 2 3 2 2 2" xfId="31310" xr:uid="{00000000-0005-0000-0000-000044270000}"/>
    <cellStyle name="40% - Accent1 2 3 4 2 3 2 3" xfId="26988" xr:uid="{00000000-0005-0000-0000-000045270000}"/>
    <cellStyle name="40% - Accent1 2 3 4 2 3 3" xfId="10417" xr:uid="{00000000-0005-0000-0000-000046270000}"/>
    <cellStyle name="40% - Accent1 2 3 4 2 3 3 2" xfId="29887" xr:uid="{00000000-0005-0000-0000-000047270000}"/>
    <cellStyle name="40% - Accent1 2 3 4 2 3 4" xfId="25481" xr:uid="{00000000-0005-0000-0000-000048270000}"/>
    <cellStyle name="40% - Accent1 2 3 4 2 4" xfId="7501" xr:uid="{00000000-0005-0000-0000-000049270000}"/>
    <cellStyle name="40% - Accent1 2 3 4 2 4 2" xfId="11837" xr:uid="{00000000-0005-0000-0000-00004A270000}"/>
    <cellStyle name="40% - Accent1 2 3 4 2 4 2 2" xfId="31307" xr:uid="{00000000-0005-0000-0000-00004B270000}"/>
    <cellStyle name="40% - Accent1 2 3 4 2 4 3" xfId="26985" xr:uid="{00000000-0005-0000-0000-00004C270000}"/>
    <cellStyle name="40% - Accent1 2 3 4 2 5" xfId="9357" xr:uid="{00000000-0005-0000-0000-00004D270000}"/>
    <cellStyle name="40% - Accent1 2 3 4 2 5 2" xfId="28827" xr:uid="{00000000-0005-0000-0000-00004E270000}"/>
    <cellStyle name="40% - Accent1 2 3 4 2 6" xfId="24280" xr:uid="{00000000-0005-0000-0000-00004F270000}"/>
    <cellStyle name="40% - Accent1 2 3 4 3" xfId="5109" xr:uid="{00000000-0005-0000-0000-000050270000}"/>
    <cellStyle name="40% - Accent1 2 3 4 3 2" xfId="6265" xr:uid="{00000000-0005-0000-0000-000051270000}"/>
    <cellStyle name="40% - Accent1 2 3 4 3 2 2" xfId="7506" xr:uid="{00000000-0005-0000-0000-000052270000}"/>
    <cellStyle name="40% - Accent1 2 3 4 3 2 2 2" xfId="11842" xr:uid="{00000000-0005-0000-0000-000053270000}"/>
    <cellStyle name="40% - Accent1 2 3 4 3 2 2 2 2" xfId="31312" xr:uid="{00000000-0005-0000-0000-000054270000}"/>
    <cellStyle name="40% - Accent1 2 3 4 3 2 2 3" xfId="26990" xr:uid="{00000000-0005-0000-0000-000055270000}"/>
    <cellStyle name="40% - Accent1 2 3 4 3 2 3" xfId="10682" xr:uid="{00000000-0005-0000-0000-000056270000}"/>
    <cellStyle name="40% - Accent1 2 3 4 3 2 3 2" xfId="30152" xr:uid="{00000000-0005-0000-0000-000057270000}"/>
    <cellStyle name="40% - Accent1 2 3 4 3 2 4" xfId="25750" xr:uid="{00000000-0005-0000-0000-000058270000}"/>
    <cellStyle name="40% - Accent1 2 3 4 3 3" xfId="7505" xr:uid="{00000000-0005-0000-0000-000059270000}"/>
    <cellStyle name="40% - Accent1 2 3 4 3 3 2" xfId="11841" xr:uid="{00000000-0005-0000-0000-00005A270000}"/>
    <cellStyle name="40% - Accent1 2 3 4 3 3 2 2" xfId="31311" xr:uid="{00000000-0005-0000-0000-00005B270000}"/>
    <cellStyle name="40% - Accent1 2 3 4 3 3 3" xfId="26989" xr:uid="{00000000-0005-0000-0000-00005C270000}"/>
    <cellStyle name="40% - Accent1 2 3 4 3 4" xfId="9622" xr:uid="{00000000-0005-0000-0000-00005D270000}"/>
    <cellStyle name="40% - Accent1 2 3 4 3 4 2" xfId="29092" xr:uid="{00000000-0005-0000-0000-00005E270000}"/>
    <cellStyle name="40% - Accent1 2 3 4 3 5" xfId="24600" xr:uid="{00000000-0005-0000-0000-00005F270000}"/>
    <cellStyle name="40% - Accent1 2 3 4 4" xfId="5718" xr:uid="{00000000-0005-0000-0000-000060270000}"/>
    <cellStyle name="40% - Accent1 2 3 4 4 2" xfId="7507" xr:uid="{00000000-0005-0000-0000-000061270000}"/>
    <cellStyle name="40% - Accent1 2 3 4 4 2 2" xfId="11843" xr:uid="{00000000-0005-0000-0000-000062270000}"/>
    <cellStyle name="40% - Accent1 2 3 4 4 2 2 2" xfId="31313" xr:uid="{00000000-0005-0000-0000-000063270000}"/>
    <cellStyle name="40% - Accent1 2 3 4 4 2 3" xfId="26991" xr:uid="{00000000-0005-0000-0000-000064270000}"/>
    <cellStyle name="40% - Accent1 2 3 4 4 3" xfId="10152" xr:uid="{00000000-0005-0000-0000-000065270000}"/>
    <cellStyle name="40% - Accent1 2 3 4 4 3 2" xfId="29622" xr:uid="{00000000-0005-0000-0000-000066270000}"/>
    <cellStyle name="40% - Accent1 2 3 4 4 4" xfId="25203" xr:uid="{00000000-0005-0000-0000-000067270000}"/>
    <cellStyle name="40% - Accent1 2 3 4 5" xfId="7500" xr:uid="{00000000-0005-0000-0000-000068270000}"/>
    <cellStyle name="40% - Accent1 2 3 4 5 2" xfId="11836" xr:uid="{00000000-0005-0000-0000-000069270000}"/>
    <cellStyle name="40% - Accent1 2 3 4 5 2 2" xfId="31306" xr:uid="{00000000-0005-0000-0000-00006A270000}"/>
    <cellStyle name="40% - Accent1 2 3 4 5 3" xfId="26984" xr:uid="{00000000-0005-0000-0000-00006B270000}"/>
    <cellStyle name="40% - Accent1 2 3 4 6" xfId="9091" xr:uid="{00000000-0005-0000-0000-00006C270000}"/>
    <cellStyle name="40% - Accent1 2 3 4 6 2" xfId="28562" xr:uid="{00000000-0005-0000-0000-00006D270000}"/>
    <cellStyle name="40% - Accent1 2 3 4 7" xfId="23978" xr:uid="{00000000-0005-0000-0000-00006E270000}"/>
    <cellStyle name="40% - Accent1 2 3 5" xfId="4592" xr:uid="{00000000-0005-0000-0000-00006F270000}"/>
    <cellStyle name="40% - Accent1 2 3 5 2" xfId="5233" xr:uid="{00000000-0005-0000-0000-000070270000}"/>
    <cellStyle name="40% - Accent1 2 3 5 2 2" xfId="6367" xr:uid="{00000000-0005-0000-0000-000071270000}"/>
    <cellStyle name="40% - Accent1 2 3 5 2 2 2" xfId="7510" xr:uid="{00000000-0005-0000-0000-000072270000}"/>
    <cellStyle name="40% - Accent1 2 3 5 2 2 2 2" xfId="11846" xr:uid="{00000000-0005-0000-0000-000073270000}"/>
    <cellStyle name="40% - Accent1 2 3 5 2 2 2 2 2" xfId="31316" xr:uid="{00000000-0005-0000-0000-000074270000}"/>
    <cellStyle name="40% - Accent1 2 3 5 2 2 2 3" xfId="26994" xr:uid="{00000000-0005-0000-0000-000075270000}"/>
    <cellStyle name="40% - Accent1 2 3 5 2 2 3" xfId="10783" xr:uid="{00000000-0005-0000-0000-000076270000}"/>
    <cellStyle name="40% - Accent1 2 3 5 2 2 3 2" xfId="30253" xr:uid="{00000000-0005-0000-0000-000077270000}"/>
    <cellStyle name="40% - Accent1 2 3 5 2 2 4" xfId="25852" xr:uid="{00000000-0005-0000-0000-000078270000}"/>
    <cellStyle name="40% - Accent1 2 3 5 2 3" xfId="7509" xr:uid="{00000000-0005-0000-0000-000079270000}"/>
    <cellStyle name="40% - Accent1 2 3 5 2 3 2" xfId="11845" xr:uid="{00000000-0005-0000-0000-00007A270000}"/>
    <cellStyle name="40% - Accent1 2 3 5 2 3 2 2" xfId="31315" xr:uid="{00000000-0005-0000-0000-00007B270000}"/>
    <cellStyle name="40% - Accent1 2 3 5 2 3 3" xfId="26993" xr:uid="{00000000-0005-0000-0000-00007C270000}"/>
    <cellStyle name="40% - Accent1 2 3 5 2 4" xfId="9722" xr:uid="{00000000-0005-0000-0000-00007D270000}"/>
    <cellStyle name="40% - Accent1 2 3 5 2 4 2" xfId="29192" xr:uid="{00000000-0005-0000-0000-00007E270000}"/>
    <cellStyle name="40% - Accent1 2 3 5 2 5" xfId="24724" xr:uid="{00000000-0005-0000-0000-00007F270000}"/>
    <cellStyle name="40% - Accent1 2 3 5 3" xfId="5829" xr:uid="{00000000-0005-0000-0000-000080270000}"/>
    <cellStyle name="40% - Accent1 2 3 5 3 2" xfId="7511" xr:uid="{00000000-0005-0000-0000-000081270000}"/>
    <cellStyle name="40% - Accent1 2 3 5 3 2 2" xfId="11847" xr:uid="{00000000-0005-0000-0000-000082270000}"/>
    <cellStyle name="40% - Accent1 2 3 5 3 2 2 2" xfId="31317" xr:uid="{00000000-0005-0000-0000-000083270000}"/>
    <cellStyle name="40% - Accent1 2 3 5 3 2 3" xfId="26995" xr:uid="{00000000-0005-0000-0000-000084270000}"/>
    <cellStyle name="40% - Accent1 2 3 5 3 3" xfId="10252" xr:uid="{00000000-0005-0000-0000-000085270000}"/>
    <cellStyle name="40% - Accent1 2 3 5 3 3 2" xfId="29722" xr:uid="{00000000-0005-0000-0000-000086270000}"/>
    <cellStyle name="40% - Accent1 2 3 5 3 4" xfId="25314" xr:uid="{00000000-0005-0000-0000-000087270000}"/>
    <cellStyle name="40% - Accent1 2 3 5 4" xfId="7508" xr:uid="{00000000-0005-0000-0000-000088270000}"/>
    <cellStyle name="40% - Accent1 2 3 5 4 2" xfId="11844" xr:uid="{00000000-0005-0000-0000-000089270000}"/>
    <cellStyle name="40% - Accent1 2 3 5 4 2 2" xfId="31314" xr:uid="{00000000-0005-0000-0000-00008A270000}"/>
    <cellStyle name="40% - Accent1 2 3 5 4 3" xfId="26992" xr:uid="{00000000-0005-0000-0000-00008B270000}"/>
    <cellStyle name="40% - Accent1 2 3 5 5" xfId="9192" xr:uid="{00000000-0005-0000-0000-00008C270000}"/>
    <cellStyle name="40% - Accent1 2 3 5 5 2" xfId="28662" xr:uid="{00000000-0005-0000-0000-00008D270000}"/>
    <cellStyle name="40% - Accent1 2 3 5 6" xfId="24103" xr:uid="{00000000-0005-0000-0000-00008E270000}"/>
    <cellStyle name="40% - Accent1 2 3 6" xfId="4937" xr:uid="{00000000-0005-0000-0000-00008F270000}"/>
    <cellStyle name="40% - Accent1 2 3 6 2" xfId="6099" xr:uid="{00000000-0005-0000-0000-000090270000}"/>
    <cellStyle name="40% - Accent1 2 3 6 2 2" xfId="7513" xr:uid="{00000000-0005-0000-0000-000091270000}"/>
    <cellStyle name="40% - Accent1 2 3 6 2 2 2" xfId="11849" xr:uid="{00000000-0005-0000-0000-000092270000}"/>
    <cellStyle name="40% - Accent1 2 3 6 2 2 2 2" xfId="31319" xr:uid="{00000000-0005-0000-0000-000093270000}"/>
    <cellStyle name="40% - Accent1 2 3 6 2 2 3" xfId="26997" xr:uid="{00000000-0005-0000-0000-000094270000}"/>
    <cellStyle name="40% - Accent1 2 3 6 2 3" xfId="10517" xr:uid="{00000000-0005-0000-0000-000095270000}"/>
    <cellStyle name="40% - Accent1 2 3 6 2 3 2" xfId="29987" xr:uid="{00000000-0005-0000-0000-000096270000}"/>
    <cellStyle name="40% - Accent1 2 3 6 2 4" xfId="25584" xr:uid="{00000000-0005-0000-0000-000097270000}"/>
    <cellStyle name="40% - Accent1 2 3 6 3" xfId="7512" xr:uid="{00000000-0005-0000-0000-000098270000}"/>
    <cellStyle name="40% - Accent1 2 3 6 3 2" xfId="11848" xr:uid="{00000000-0005-0000-0000-000099270000}"/>
    <cellStyle name="40% - Accent1 2 3 6 3 2 2" xfId="31318" xr:uid="{00000000-0005-0000-0000-00009A270000}"/>
    <cellStyle name="40% - Accent1 2 3 6 3 3" xfId="26996" xr:uid="{00000000-0005-0000-0000-00009B270000}"/>
    <cellStyle name="40% - Accent1 2 3 6 4" xfId="9457" xr:uid="{00000000-0005-0000-0000-00009C270000}"/>
    <cellStyle name="40% - Accent1 2 3 6 4 2" xfId="28927" xr:uid="{00000000-0005-0000-0000-00009D270000}"/>
    <cellStyle name="40% - Accent1 2 3 6 5" xfId="24431" xr:uid="{00000000-0005-0000-0000-00009E270000}"/>
    <cellStyle name="40% - Accent1 2 3 7" xfId="5541" xr:uid="{00000000-0005-0000-0000-00009F270000}"/>
    <cellStyle name="40% - Accent1 2 3 7 2" xfId="7514" xr:uid="{00000000-0005-0000-0000-0000A0270000}"/>
    <cellStyle name="40% - Accent1 2 3 7 2 2" xfId="11850" xr:uid="{00000000-0005-0000-0000-0000A1270000}"/>
    <cellStyle name="40% - Accent1 2 3 7 2 2 2" xfId="31320" xr:uid="{00000000-0005-0000-0000-0000A2270000}"/>
    <cellStyle name="40% - Accent1 2 3 7 2 3" xfId="26998" xr:uid="{00000000-0005-0000-0000-0000A3270000}"/>
    <cellStyle name="40% - Accent1 2 3 7 3" xfId="9987" xr:uid="{00000000-0005-0000-0000-0000A4270000}"/>
    <cellStyle name="40% - Accent1 2 3 7 3 2" xfId="29457" xr:uid="{00000000-0005-0000-0000-0000A5270000}"/>
    <cellStyle name="40% - Accent1 2 3 7 4" xfId="25029" xr:uid="{00000000-0005-0000-0000-0000A6270000}"/>
    <cellStyle name="40% - Accent1 2 3 8" xfId="7467" xr:uid="{00000000-0005-0000-0000-0000A7270000}"/>
    <cellStyle name="40% - Accent1 2 3 8 2" xfId="11803" xr:uid="{00000000-0005-0000-0000-0000A8270000}"/>
    <cellStyle name="40% - Accent1 2 3 8 2 2" xfId="31273" xr:uid="{00000000-0005-0000-0000-0000A9270000}"/>
    <cellStyle name="40% - Accent1 2 3 8 3" xfId="26951" xr:uid="{00000000-0005-0000-0000-0000AA270000}"/>
    <cellStyle name="40% - Accent1 2 3 9" xfId="8923" xr:uid="{00000000-0005-0000-0000-0000AB270000}"/>
    <cellStyle name="40% - Accent1 2 3 9 2" xfId="28397" xr:uid="{00000000-0005-0000-0000-0000AC270000}"/>
    <cellStyle name="40% - Accent1 2 4" xfId="3899" xr:uid="{00000000-0005-0000-0000-0000AD270000}"/>
    <cellStyle name="40% - Accent1 2 4 2" xfId="4240" xr:uid="{00000000-0005-0000-0000-0000AE270000}"/>
    <cellStyle name="40% - Accent1 2 4 2 2" xfId="4815" xr:uid="{00000000-0005-0000-0000-0000AF270000}"/>
    <cellStyle name="40% - Accent1 2 4 2 2 2" xfId="5440" xr:uid="{00000000-0005-0000-0000-0000B0270000}"/>
    <cellStyle name="40% - Accent1 2 4 2 2 2 2" xfId="6568" xr:uid="{00000000-0005-0000-0000-0000B1270000}"/>
    <cellStyle name="40% - Accent1 2 4 2 2 2 2 2" xfId="7519" xr:uid="{00000000-0005-0000-0000-0000B2270000}"/>
    <cellStyle name="40% - Accent1 2 4 2 2 2 2 2 2" xfId="11855" xr:uid="{00000000-0005-0000-0000-0000B3270000}"/>
    <cellStyle name="40% - Accent1 2 4 2 2 2 2 2 2 2" xfId="31325" xr:uid="{00000000-0005-0000-0000-0000B4270000}"/>
    <cellStyle name="40% - Accent1 2 4 2 2 2 2 2 3" xfId="27003" xr:uid="{00000000-0005-0000-0000-0000B5270000}"/>
    <cellStyle name="40% - Accent1 2 4 2 2 2 2 3" xfId="10984" xr:uid="{00000000-0005-0000-0000-0000B6270000}"/>
    <cellStyle name="40% - Accent1 2 4 2 2 2 2 3 2" xfId="30454" xr:uid="{00000000-0005-0000-0000-0000B7270000}"/>
    <cellStyle name="40% - Accent1 2 4 2 2 2 2 4" xfId="26053" xr:uid="{00000000-0005-0000-0000-0000B8270000}"/>
    <cellStyle name="40% - Accent1 2 4 2 2 2 3" xfId="7518" xr:uid="{00000000-0005-0000-0000-0000B9270000}"/>
    <cellStyle name="40% - Accent1 2 4 2 2 2 3 2" xfId="11854" xr:uid="{00000000-0005-0000-0000-0000BA270000}"/>
    <cellStyle name="40% - Accent1 2 4 2 2 2 3 2 2" xfId="31324" xr:uid="{00000000-0005-0000-0000-0000BB270000}"/>
    <cellStyle name="40% - Accent1 2 4 2 2 2 3 3" xfId="27002" xr:uid="{00000000-0005-0000-0000-0000BC270000}"/>
    <cellStyle name="40% - Accent1 2 4 2 2 2 4" xfId="9923" xr:uid="{00000000-0005-0000-0000-0000BD270000}"/>
    <cellStyle name="40% - Accent1 2 4 2 2 2 4 2" xfId="29393" xr:uid="{00000000-0005-0000-0000-0000BE270000}"/>
    <cellStyle name="40% - Accent1 2 4 2 2 2 5" xfId="24931" xr:uid="{00000000-0005-0000-0000-0000BF270000}"/>
    <cellStyle name="40% - Accent1 2 4 2 2 3" xfId="6033" xr:uid="{00000000-0005-0000-0000-0000C0270000}"/>
    <cellStyle name="40% - Accent1 2 4 2 2 3 2" xfId="7520" xr:uid="{00000000-0005-0000-0000-0000C1270000}"/>
    <cellStyle name="40% - Accent1 2 4 2 2 3 2 2" xfId="11856" xr:uid="{00000000-0005-0000-0000-0000C2270000}"/>
    <cellStyle name="40% - Accent1 2 4 2 2 3 2 2 2" xfId="31326" xr:uid="{00000000-0005-0000-0000-0000C3270000}"/>
    <cellStyle name="40% - Accent1 2 4 2 2 3 2 3" xfId="27004" xr:uid="{00000000-0005-0000-0000-0000C4270000}"/>
    <cellStyle name="40% - Accent1 2 4 2 2 3 3" xfId="10453" xr:uid="{00000000-0005-0000-0000-0000C5270000}"/>
    <cellStyle name="40% - Accent1 2 4 2 2 3 3 2" xfId="29923" xr:uid="{00000000-0005-0000-0000-0000C6270000}"/>
    <cellStyle name="40% - Accent1 2 4 2 2 3 4" xfId="25518" xr:uid="{00000000-0005-0000-0000-0000C7270000}"/>
    <cellStyle name="40% - Accent1 2 4 2 2 4" xfId="7517" xr:uid="{00000000-0005-0000-0000-0000C8270000}"/>
    <cellStyle name="40% - Accent1 2 4 2 2 4 2" xfId="11853" xr:uid="{00000000-0005-0000-0000-0000C9270000}"/>
    <cellStyle name="40% - Accent1 2 4 2 2 4 2 2" xfId="31323" xr:uid="{00000000-0005-0000-0000-0000CA270000}"/>
    <cellStyle name="40% - Accent1 2 4 2 2 4 3" xfId="27001" xr:uid="{00000000-0005-0000-0000-0000CB270000}"/>
    <cellStyle name="40% - Accent1 2 4 2 2 5" xfId="9393" xr:uid="{00000000-0005-0000-0000-0000CC270000}"/>
    <cellStyle name="40% - Accent1 2 4 2 2 5 2" xfId="28863" xr:uid="{00000000-0005-0000-0000-0000CD270000}"/>
    <cellStyle name="40% - Accent1 2 4 2 2 6" xfId="24317" xr:uid="{00000000-0005-0000-0000-0000CE270000}"/>
    <cellStyle name="40% - Accent1 2 4 2 3" xfId="5145" xr:uid="{00000000-0005-0000-0000-0000CF270000}"/>
    <cellStyle name="40% - Accent1 2 4 2 3 2" xfId="6301" xr:uid="{00000000-0005-0000-0000-0000D0270000}"/>
    <cellStyle name="40% - Accent1 2 4 2 3 2 2" xfId="7522" xr:uid="{00000000-0005-0000-0000-0000D1270000}"/>
    <cellStyle name="40% - Accent1 2 4 2 3 2 2 2" xfId="11858" xr:uid="{00000000-0005-0000-0000-0000D2270000}"/>
    <cellStyle name="40% - Accent1 2 4 2 3 2 2 2 2" xfId="31328" xr:uid="{00000000-0005-0000-0000-0000D3270000}"/>
    <cellStyle name="40% - Accent1 2 4 2 3 2 2 3" xfId="27006" xr:uid="{00000000-0005-0000-0000-0000D4270000}"/>
    <cellStyle name="40% - Accent1 2 4 2 3 2 3" xfId="10718" xr:uid="{00000000-0005-0000-0000-0000D5270000}"/>
    <cellStyle name="40% - Accent1 2 4 2 3 2 3 2" xfId="30188" xr:uid="{00000000-0005-0000-0000-0000D6270000}"/>
    <cellStyle name="40% - Accent1 2 4 2 3 2 4" xfId="25786" xr:uid="{00000000-0005-0000-0000-0000D7270000}"/>
    <cellStyle name="40% - Accent1 2 4 2 3 3" xfId="7521" xr:uid="{00000000-0005-0000-0000-0000D8270000}"/>
    <cellStyle name="40% - Accent1 2 4 2 3 3 2" xfId="11857" xr:uid="{00000000-0005-0000-0000-0000D9270000}"/>
    <cellStyle name="40% - Accent1 2 4 2 3 3 2 2" xfId="31327" xr:uid="{00000000-0005-0000-0000-0000DA270000}"/>
    <cellStyle name="40% - Accent1 2 4 2 3 3 3" xfId="27005" xr:uid="{00000000-0005-0000-0000-0000DB270000}"/>
    <cellStyle name="40% - Accent1 2 4 2 3 4" xfId="9658" xr:uid="{00000000-0005-0000-0000-0000DC270000}"/>
    <cellStyle name="40% - Accent1 2 4 2 3 4 2" xfId="29128" xr:uid="{00000000-0005-0000-0000-0000DD270000}"/>
    <cellStyle name="40% - Accent1 2 4 2 3 5" xfId="24636" xr:uid="{00000000-0005-0000-0000-0000DE270000}"/>
    <cellStyle name="40% - Accent1 2 4 2 4" xfId="5754" xr:uid="{00000000-0005-0000-0000-0000DF270000}"/>
    <cellStyle name="40% - Accent1 2 4 2 4 2" xfId="7523" xr:uid="{00000000-0005-0000-0000-0000E0270000}"/>
    <cellStyle name="40% - Accent1 2 4 2 4 2 2" xfId="11859" xr:uid="{00000000-0005-0000-0000-0000E1270000}"/>
    <cellStyle name="40% - Accent1 2 4 2 4 2 2 2" xfId="31329" xr:uid="{00000000-0005-0000-0000-0000E2270000}"/>
    <cellStyle name="40% - Accent1 2 4 2 4 2 3" xfId="27007" xr:uid="{00000000-0005-0000-0000-0000E3270000}"/>
    <cellStyle name="40% - Accent1 2 4 2 4 3" xfId="10188" xr:uid="{00000000-0005-0000-0000-0000E4270000}"/>
    <cellStyle name="40% - Accent1 2 4 2 4 3 2" xfId="29658" xr:uid="{00000000-0005-0000-0000-0000E5270000}"/>
    <cellStyle name="40% - Accent1 2 4 2 4 4" xfId="25239" xr:uid="{00000000-0005-0000-0000-0000E6270000}"/>
    <cellStyle name="40% - Accent1 2 4 2 5" xfId="7516" xr:uid="{00000000-0005-0000-0000-0000E7270000}"/>
    <cellStyle name="40% - Accent1 2 4 2 5 2" xfId="11852" xr:uid="{00000000-0005-0000-0000-0000E8270000}"/>
    <cellStyle name="40% - Accent1 2 4 2 5 2 2" xfId="31322" xr:uid="{00000000-0005-0000-0000-0000E9270000}"/>
    <cellStyle name="40% - Accent1 2 4 2 5 3" xfId="27000" xr:uid="{00000000-0005-0000-0000-0000EA270000}"/>
    <cellStyle name="40% - Accent1 2 4 2 6" xfId="9127" xr:uid="{00000000-0005-0000-0000-0000EB270000}"/>
    <cellStyle name="40% - Accent1 2 4 2 6 2" xfId="28598" xr:uid="{00000000-0005-0000-0000-0000EC270000}"/>
    <cellStyle name="40% - Accent1 2 4 2 7" xfId="24016" xr:uid="{00000000-0005-0000-0000-0000ED270000}"/>
    <cellStyle name="40% - Accent1 2 4 3" xfId="4730" xr:uid="{00000000-0005-0000-0000-0000EE270000}"/>
    <cellStyle name="40% - Accent1 2 4 3 2" xfId="5364" xr:uid="{00000000-0005-0000-0000-0000EF270000}"/>
    <cellStyle name="40% - Accent1 2 4 3 2 2" xfId="6492" xr:uid="{00000000-0005-0000-0000-0000F0270000}"/>
    <cellStyle name="40% - Accent1 2 4 3 2 2 2" xfId="7526" xr:uid="{00000000-0005-0000-0000-0000F1270000}"/>
    <cellStyle name="40% - Accent1 2 4 3 2 2 2 2" xfId="11862" xr:uid="{00000000-0005-0000-0000-0000F2270000}"/>
    <cellStyle name="40% - Accent1 2 4 3 2 2 2 2 2" xfId="31332" xr:uid="{00000000-0005-0000-0000-0000F3270000}"/>
    <cellStyle name="40% - Accent1 2 4 3 2 2 2 3" xfId="27010" xr:uid="{00000000-0005-0000-0000-0000F4270000}"/>
    <cellStyle name="40% - Accent1 2 4 3 2 2 3" xfId="10908" xr:uid="{00000000-0005-0000-0000-0000F5270000}"/>
    <cellStyle name="40% - Accent1 2 4 3 2 2 3 2" xfId="30378" xr:uid="{00000000-0005-0000-0000-0000F6270000}"/>
    <cellStyle name="40% - Accent1 2 4 3 2 2 4" xfId="25977" xr:uid="{00000000-0005-0000-0000-0000F7270000}"/>
    <cellStyle name="40% - Accent1 2 4 3 2 3" xfId="7525" xr:uid="{00000000-0005-0000-0000-0000F8270000}"/>
    <cellStyle name="40% - Accent1 2 4 3 2 3 2" xfId="11861" xr:uid="{00000000-0005-0000-0000-0000F9270000}"/>
    <cellStyle name="40% - Accent1 2 4 3 2 3 2 2" xfId="31331" xr:uid="{00000000-0005-0000-0000-0000FA270000}"/>
    <cellStyle name="40% - Accent1 2 4 3 2 3 3" xfId="27009" xr:uid="{00000000-0005-0000-0000-0000FB270000}"/>
    <cellStyle name="40% - Accent1 2 4 3 2 4" xfId="9847" xr:uid="{00000000-0005-0000-0000-0000FC270000}"/>
    <cellStyle name="40% - Accent1 2 4 3 2 4 2" xfId="29317" xr:uid="{00000000-0005-0000-0000-0000FD270000}"/>
    <cellStyle name="40% - Accent1 2 4 3 2 5" xfId="24855" xr:uid="{00000000-0005-0000-0000-0000FE270000}"/>
    <cellStyle name="40% - Accent1 2 4 3 3" xfId="5955" xr:uid="{00000000-0005-0000-0000-0000FF270000}"/>
    <cellStyle name="40% - Accent1 2 4 3 3 2" xfId="7527" xr:uid="{00000000-0005-0000-0000-000000280000}"/>
    <cellStyle name="40% - Accent1 2 4 3 3 2 2" xfId="11863" xr:uid="{00000000-0005-0000-0000-000001280000}"/>
    <cellStyle name="40% - Accent1 2 4 3 3 2 2 2" xfId="31333" xr:uid="{00000000-0005-0000-0000-000002280000}"/>
    <cellStyle name="40% - Accent1 2 4 3 3 2 3" xfId="27011" xr:uid="{00000000-0005-0000-0000-000003280000}"/>
    <cellStyle name="40% - Accent1 2 4 3 3 3" xfId="10377" xr:uid="{00000000-0005-0000-0000-000004280000}"/>
    <cellStyle name="40% - Accent1 2 4 3 3 3 2" xfId="29847" xr:uid="{00000000-0005-0000-0000-000005280000}"/>
    <cellStyle name="40% - Accent1 2 4 3 3 4" xfId="25440" xr:uid="{00000000-0005-0000-0000-000006280000}"/>
    <cellStyle name="40% - Accent1 2 4 3 4" xfId="7524" xr:uid="{00000000-0005-0000-0000-000007280000}"/>
    <cellStyle name="40% - Accent1 2 4 3 4 2" xfId="11860" xr:uid="{00000000-0005-0000-0000-000008280000}"/>
    <cellStyle name="40% - Accent1 2 4 3 4 2 2" xfId="31330" xr:uid="{00000000-0005-0000-0000-000009280000}"/>
    <cellStyle name="40% - Accent1 2 4 3 4 3" xfId="27008" xr:uid="{00000000-0005-0000-0000-00000A280000}"/>
    <cellStyle name="40% - Accent1 2 4 3 5" xfId="9317" xr:uid="{00000000-0005-0000-0000-00000B280000}"/>
    <cellStyle name="40% - Accent1 2 4 3 5 2" xfId="28787" xr:uid="{00000000-0005-0000-0000-00000C280000}"/>
    <cellStyle name="40% - Accent1 2 4 3 6" xfId="24237" xr:uid="{00000000-0005-0000-0000-00000D280000}"/>
    <cellStyle name="40% - Accent1 2 4 4" xfId="5063" xr:uid="{00000000-0005-0000-0000-00000E280000}"/>
    <cellStyle name="40% - Accent1 2 4 4 2" xfId="6224" xr:uid="{00000000-0005-0000-0000-00000F280000}"/>
    <cellStyle name="40% - Accent1 2 4 4 2 2" xfId="7529" xr:uid="{00000000-0005-0000-0000-000010280000}"/>
    <cellStyle name="40% - Accent1 2 4 4 2 2 2" xfId="11865" xr:uid="{00000000-0005-0000-0000-000011280000}"/>
    <cellStyle name="40% - Accent1 2 4 4 2 2 2 2" xfId="31335" xr:uid="{00000000-0005-0000-0000-000012280000}"/>
    <cellStyle name="40% - Accent1 2 4 4 2 2 3" xfId="27013" xr:uid="{00000000-0005-0000-0000-000013280000}"/>
    <cellStyle name="40% - Accent1 2 4 4 2 3" xfId="10642" xr:uid="{00000000-0005-0000-0000-000014280000}"/>
    <cellStyle name="40% - Accent1 2 4 4 2 3 2" xfId="30112" xr:uid="{00000000-0005-0000-0000-000015280000}"/>
    <cellStyle name="40% - Accent1 2 4 4 2 4" xfId="25709" xr:uid="{00000000-0005-0000-0000-000016280000}"/>
    <cellStyle name="40% - Accent1 2 4 4 3" xfId="7528" xr:uid="{00000000-0005-0000-0000-000017280000}"/>
    <cellStyle name="40% - Accent1 2 4 4 3 2" xfId="11864" xr:uid="{00000000-0005-0000-0000-000018280000}"/>
    <cellStyle name="40% - Accent1 2 4 4 3 2 2" xfId="31334" xr:uid="{00000000-0005-0000-0000-000019280000}"/>
    <cellStyle name="40% - Accent1 2 4 4 3 3" xfId="27012" xr:uid="{00000000-0005-0000-0000-00001A280000}"/>
    <cellStyle name="40% - Accent1 2 4 4 4" xfId="9582" xr:uid="{00000000-0005-0000-0000-00001B280000}"/>
    <cellStyle name="40% - Accent1 2 4 4 4 2" xfId="29052" xr:uid="{00000000-0005-0000-0000-00001C280000}"/>
    <cellStyle name="40% - Accent1 2 4 4 5" xfId="24556" xr:uid="{00000000-0005-0000-0000-00001D280000}"/>
    <cellStyle name="40% - Accent1 2 4 5" xfId="5675" xr:uid="{00000000-0005-0000-0000-00001E280000}"/>
    <cellStyle name="40% - Accent1 2 4 5 2" xfId="7530" xr:uid="{00000000-0005-0000-0000-00001F280000}"/>
    <cellStyle name="40% - Accent1 2 4 5 2 2" xfId="11866" xr:uid="{00000000-0005-0000-0000-000020280000}"/>
    <cellStyle name="40% - Accent1 2 4 5 2 2 2" xfId="31336" xr:uid="{00000000-0005-0000-0000-000021280000}"/>
    <cellStyle name="40% - Accent1 2 4 5 2 3" xfId="27014" xr:uid="{00000000-0005-0000-0000-000022280000}"/>
    <cellStyle name="40% - Accent1 2 4 5 3" xfId="10112" xr:uid="{00000000-0005-0000-0000-000023280000}"/>
    <cellStyle name="40% - Accent1 2 4 5 3 2" xfId="29582" xr:uid="{00000000-0005-0000-0000-000024280000}"/>
    <cellStyle name="40% - Accent1 2 4 5 4" xfId="25162" xr:uid="{00000000-0005-0000-0000-000025280000}"/>
    <cellStyle name="40% - Accent1 2 4 6" xfId="7515" xr:uid="{00000000-0005-0000-0000-000026280000}"/>
    <cellStyle name="40% - Accent1 2 4 6 2" xfId="11851" xr:uid="{00000000-0005-0000-0000-000027280000}"/>
    <cellStyle name="40% - Accent1 2 4 6 2 2" xfId="31321" xr:uid="{00000000-0005-0000-0000-000028280000}"/>
    <cellStyle name="40% - Accent1 2 4 6 3" xfId="26999" xr:uid="{00000000-0005-0000-0000-000029280000}"/>
    <cellStyle name="40% - Accent1 2 4 7" xfId="9049" xr:uid="{00000000-0005-0000-0000-00002A280000}"/>
    <cellStyle name="40% - Accent1 2 4 7 2" xfId="28522" xr:uid="{00000000-0005-0000-0000-00002B280000}"/>
    <cellStyle name="40% - Accent1 2 4 8" xfId="23928" xr:uid="{00000000-0005-0000-0000-00002C280000}"/>
    <cellStyle name="40% - Accent1 2 5" xfId="4128" xr:uid="{00000000-0005-0000-0000-00002D280000}"/>
    <cellStyle name="40% - Accent1 2 5 2" xfId="4757" xr:uid="{00000000-0005-0000-0000-00002E280000}"/>
    <cellStyle name="40% - Accent1 2 5 2 2" xfId="5386" xr:uid="{00000000-0005-0000-0000-00002F280000}"/>
    <cellStyle name="40% - Accent1 2 5 2 2 2" xfId="6514" xr:uid="{00000000-0005-0000-0000-000030280000}"/>
    <cellStyle name="40% - Accent1 2 5 2 2 2 2" xfId="7534" xr:uid="{00000000-0005-0000-0000-000031280000}"/>
    <cellStyle name="40% - Accent1 2 5 2 2 2 2 2" xfId="11870" xr:uid="{00000000-0005-0000-0000-000032280000}"/>
    <cellStyle name="40% - Accent1 2 5 2 2 2 2 2 2" xfId="31340" xr:uid="{00000000-0005-0000-0000-000033280000}"/>
    <cellStyle name="40% - Accent1 2 5 2 2 2 2 3" xfId="27018" xr:uid="{00000000-0005-0000-0000-000034280000}"/>
    <cellStyle name="40% - Accent1 2 5 2 2 2 3" xfId="10930" xr:uid="{00000000-0005-0000-0000-000035280000}"/>
    <cellStyle name="40% - Accent1 2 5 2 2 2 3 2" xfId="30400" xr:uid="{00000000-0005-0000-0000-000036280000}"/>
    <cellStyle name="40% - Accent1 2 5 2 2 2 4" xfId="25999" xr:uid="{00000000-0005-0000-0000-000037280000}"/>
    <cellStyle name="40% - Accent1 2 5 2 2 3" xfId="7533" xr:uid="{00000000-0005-0000-0000-000038280000}"/>
    <cellStyle name="40% - Accent1 2 5 2 2 3 2" xfId="11869" xr:uid="{00000000-0005-0000-0000-000039280000}"/>
    <cellStyle name="40% - Accent1 2 5 2 2 3 2 2" xfId="31339" xr:uid="{00000000-0005-0000-0000-00003A280000}"/>
    <cellStyle name="40% - Accent1 2 5 2 2 3 3" xfId="27017" xr:uid="{00000000-0005-0000-0000-00003B280000}"/>
    <cellStyle name="40% - Accent1 2 5 2 2 4" xfId="9869" xr:uid="{00000000-0005-0000-0000-00003C280000}"/>
    <cellStyle name="40% - Accent1 2 5 2 2 4 2" xfId="29339" xr:uid="{00000000-0005-0000-0000-00003D280000}"/>
    <cellStyle name="40% - Accent1 2 5 2 2 5" xfId="24877" xr:uid="{00000000-0005-0000-0000-00003E280000}"/>
    <cellStyle name="40% - Accent1 2 5 2 3" xfId="5977" xr:uid="{00000000-0005-0000-0000-00003F280000}"/>
    <cellStyle name="40% - Accent1 2 5 2 3 2" xfId="7535" xr:uid="{00000000-0005-0000-0000-000040280000}"/>
    <cellStyle name="40% - Accent1 2 5 2 3 2 2" xfId="11871" xr:uid="{00000000-0005-0000-0000-000041280000}"/>
    <cellStyle name="40% - Accent1 2 5 2 3 2 2 2" xfId="31341" xr:uid="{00000000-0005-0000-0000-000042280000}"/>
    <cellStyle name="40% - Accent1 2 5 2 3 2 3" xfId="27019" xr:uid="{00000000-0005-0000-0000-000043280000}"/>
    <cellStyle name="40% - Accent1 2 5 2 3 3" xfId="10399" xr:uid="{00000000-0005-0000-0000-000044280000}"/>
    <cellStyle name="40% - Accent1 2 5 2 3 3 2" xfId="29869" xr:uid="{00000000-0005-0000-0000-000045280000}"/>
    <cellStyle name="40% - Accent1 2 5 2 3 4" xfId="25462" xr:uid="{00000000-0005-0000-0000-000046280000}"/>
    <cellStyle name="40% - Accent1 2 5 2 4" xfId="7532" xr:uid="{00000000-0005-0000-0000-000047280000}"/>
    <cellStyle name="40% - Accent1 2 5 2 4 2" xfId="11868" xr:uid="{00000000-0005-0000-0000-000048280000}"/>
    <cellStyle name="40% - Accent1 2 5 2 4 2 2" xfId="31338" xr:uid="{00000000-0005-0000-0000-000049280000}"/>
    <cellStyle name="40% - Accent1 2 5 2 4 3" xfId="27016" xr:uid="{00000000-0005-0000-0000-00004A280000}"/>
    <cellStyle name="40% - Accent1 2 5 2 5" xfId="9339" xr:uid="{00000000-0005-0000-0000-00004B280000}"/>
    <cellStyle name="40% - Accent1 2 5 2 5 2" xfId="28809" xr:uid="{00000000-0005-0000-0000-00004C280000}"/>
    <cellStyle name="40% - Accent1 2 5 2 6" xfId="24262" xr:uid="{00000000-0005-0000-0000-00004D280000}"/>
    <cellStyle name="40% - Accent1 2 5 3" xfId="5091" xr:uid="{00000000-0005-0000-0000-00004E280000}"/>
    <cellStyle name="40% - Accent1 2 5 3 2" xfId="6247" xr:uid="{00000000-0005-0000-0000-00004F280000}"/>
    <cellStyle name="40% - Accent1 2 5 3 2 2" xfId="7537" xr:uid="{00000000-0005-0000-0000-000050280000}"/>
    <cellStyle name="40% - Accent1 2 5 3 2 2 2" xfId="11873" xr:uid="{00000000-0005-0000-0000-000051280000}"/>
    <cellStyle name="40% - Accent1 2 5 3 2 2 2 2" xfId="31343" xr:uid="{00000000-0005-0000-0000-000052280000}"/>
    <cellStyle name="40% - Accent1 2 5 3 2 2 3" xfId="27021" xr:uid="{00000000-0005-0000-0000-000053280000}"/>
    <cellStyle name="40% - Accent1 2 5 3 2 3" xfId="10664" xr:uid="{00000000-0005-0000-0000-000054280000}"/>
    <cellStyle name="40% - Accent1 2 5 3 2 3 2" xfId="30134" xr:uid="{00000000-0005-0000-0000-000055280000}"/>
    <cellStyle name="40% - Accent1 2 5 3 2 4" xfId="25732" xr:uid="{00000000-0005-0000-0000-000056280000}"/>
    <cellStyle name="40% - Accent1 2 5 3 3" xfId="7536" xr:uid="{00000000-0005-0000-0000-000057280000}"/>
    <cellStyle name="40% - Accent1 2 5 3 3 2" xfId="11872" xr:uid="{00000000-0005-0000-0000-000058280000}"/>
    <cellStyle name="40% - Accent1 2 5 3 3 2 2" xfId="31342" xr:uid="{00000000-0005-0000-0000-000059280000}"/>
    <cellStyle name="40% - Accent1 2 5 3 3 3" xfId="27020" xr:uid="{00000000-0005-0000-0000-00005A280000}"/>
    <cellStyle name="40% - Accent1 2 5 3 4" xfId="9604" xr:uid="{00000000-0005-0000-0000-00005B280000}"/>
    <cellStyle name="40% - Accent1 2 5 3 4 2" xfId="29074" xr:uid="{00000000-0005-0000-0000-00005C280000}"/>
    <cellStyle name="40% - Accent1 2 5 3 5" xfId="24582" xr:uid="{00000000-0005-0000-0000-00005D280000}"/>
    <cellStyle name="40% - Accent1 2 5 4" xfId="5699" xr:uid="{00000000-0005-0000-0000-00005E280000}"/>
    <cellStyle name="40% - Accent1 2 5 4 2" xfId="7538" xr:uid="{00000000-0005-0000-0000-00005F280000}"/>
    <cellStyle name="40% - Accent1 2 5 4 2 2" xfId="11874" xr:uid="{00000000-0005-0000-0000-000060280000}"/>
    <cellStyle name="40% - Accent1 2 5 4 2 2 2" xfId="31344" xr:uid="{00000000-0005-0000-0000-000061280000}"/>
    <cellStyle name="40% - Accent1 2 5 4 2 3" xfId="27022" xr:uid="{00000000-0005-0000-0000-000062280000}"/>
    <cellStyle name="40% - Accent1 2 5 4 3" xfId="10134" xr:uid="{00000000-0005-0000-0000-000063280000}"/>
    <cellStyle name="40% - Accent1 2 5 4 3 2" xfId="29604" xr:uid="{00000000-0005-0000-0000-000064280000}"/>
    <cellStyle name="40% - Accent1 2 5 4 4" xfId="25184" xr:uid="{00000000-0005-0000-0000-000065280000}"/>
    <cellStyle name="40% - Accent1 2 5 5" xfId="7531" xr:uid="{00000000-0005-0000-0000-000066280000}"/>
    <cellStyle name="40% - Accent1 2 5 5 2" xfId="11867" xr:uid="{00000000-0005-0000-0000-000067280000}"/>
    <cellStyle name="40% - Accent1 2 5 5 2 2" xfId="31337" xr:uid="{00000000-0005-0000-0000-000068280000}"/>
    <cellStyle name="40% - Accent1 2 5 5 3" xfId="27015" xr:uid="{00000000-0005-0000-0000-000069280000}"/>
    <cellStyle name="40% - Accent1 2 5 6" xfId="9073" xr:uid="{00000000-0005-0000-0000-00006A280000}"/>
    <cellStyle name="40% - Accent1 2 5 6 2" xfId="28544" xr:uid="{00000000-0005-0000-0000-00006B280000}"/>
    <cellStyle name="40% - Accent1 2 5 7" xfId="23959" xr:uid="{00000000-0005-0000-0000-00006C280000}"/>
    <cellStyle name="40% - Accent1 3" xfId="2054" xr:uid="{00000000-0005-0000-0000-00006D280000}"/>
    <cellStyle name="40% - Accent1 3 2" xfId="4157" xr:uid="{00000000-0005-0000-0000-00006E280000}"/>
    <cellStyle name="40% - Accent1 4" xfId="2099" xr:uid="{00000000-0005-0000-0000-00006F280000}"/>
    <cellStyle name="40% - Accent1 4 2" xfId="4206" xr:uid="{00000000-0005-0000-0000-000070280000}"/>
    <cellStyle name="40% - Accent1 5" xfId="2711" xr:uid="{00000000-0005-0000-0000-000071280000}"/>
    <cellStyle name="40% - Accent2" xfId="1308" builtinId="35" customBuiltin="1"/>
    <cellStyle name="40% - Accent2 2" xfId="1309" xr:uid="{00000000-0005-0000-0000-000073280000}"/>
    <cellStyle name="40% - Accent2 2 2" xfId="2712" xr:uid="{00000000-0005-0000-0000-000074280000}"/>
    <cellStyle name="40% - Accent2 2 2 10" xfId="23569" xr:uid="{00000000-0005-0000-0000-000075280000}"/>
    <cellStyle name="40% - Accent2 2 2 2" xfId="2877" xr:uid="{00000000-0005-0000-0000-000076280000}"/>
    <cellStyle name="40% - Accent2 2 2 2 2" xfId="3071" xr:uid="{00000000-0005-0000-0000-000077280000}"/>
    <cellStyle name="40% - Accent2 2 2 2 2 2" xfId="4698" xr:uid="{00000000-0005-0000-0000-000078280000}"/>
    <cellStyle name="40% - Accent2 2 2 2 2 2 2" xfId="5332" xr:uid="{00000000-0005-0000-0000-000079280000}"/>
    <cellStyle name="40% - Accent2 2 2 2 2 2 2 2" xfId="6466" xr:uid="{00000000-0005-0000-0000-00007A280000}"/>
    <cellStyle name="40% - Accent2 2 2 2 2 2 2 2 2" xfId="7544" xr:uid="{00000000-0005-0000-0000-00007B280000}"/>
    <cellStyle name="40% - Accent2 2 2 2 2 2 2 2 2 2" xfId="11880" xr:uid="{00000000-0005-0000-0000-00007C280000}"/>
    <cellStyle name="40% - Accent2 2 2 2 2 2 2 2 2 2 2" xfId="31350" xr:uid="{00000000-0005-0000-0000-00007D280000}"/>
    <cellStyle name="40% - Accent2 2 2 2 2 2 2 2 2 3" xfId="27028" xr:uid="{00000000-0005-0000-0000-00007E280000}"/>
    <cellStyle name="40% - Accent2 2 2 2 2 2 2 2 3" xfId="10882" xr:uid="{00000000-0005-0000-0000-00007F280000}"/>
    <cellStyle name="40% - Accent2 2 2 2 2 2 2 2 3 2" xfId="30352" xr:uid="{00000000-0005-0000-0000-000080280000}"/>
    <cellStyle name="40% - Accent2 2 2 2 2 2 2 2 4" xfId="25951" xr:uid="{00000000-0005-0000-0000-000081280000}"/>
    <cellStyle name="40% - Accent2 2 2 2 2 2 2 3" xfId="7543" xr:uid="{00000000-0005-0000-0000-000082280000}"/>
    <cellStyle name="40% - Accent2 2 2 2 2 2 2 3 2" xfId="11879" xr:uid="{00000000-0005-0000-0000-000083280000}"/>
    <cellStyle name="40% - Accent2 2 2 2 2 2 2 3 2 2" xfId="31349" xr:uid="{00000000-0005-0000-0000-000084280000}"/>
    <cellStyle name="40% - Accent2 2 2 2 2 2 2 3 3" xfId="27027" xr:uid="{00000000-0005-0000-0000-000085280000}"/>
    <cellStyle name="40% - Accent2 2 2 2 2 2 2 4" xfId="9821" xr:uid="{00000000-0005-0000-0000-000086280000}"/>
    <cellStyle name="40% - Accent2 2 2 2 2 2 2 4 2" xfId="29291" xr:uid="{00000000-0005-0000-0000-000087280000}"/>
    <cellStyle name="40% - Accent2 2 2 2 2 2 2 5" xfId="24823" xr:uid="{00000000-0005-0000-0000-000088280000}"/>
    <cellStyle name="40% - Accent2 2 2 2 2 2 3" xfId="5929" xr:uid="{00000000-0005-0000-0000-000089280000}"/>
    <cellStyle name="40% - Accent2 2 2 2 2 2 3 2" xfId="7545" xr:uid="{00000000-0005-0000-0000-00008A280000}"/>
    <cellStyle name="40% - Accent2 2 2 2 2 2 3 2 2" xfId="11881" xr:uid="{00000000-0005-0000-0000-00008B280000}"/>
    <cellStyle name="40% - Accent2 2 2 2 2 2 3 2 2 2" xfId="31351" xr:uid="{00000000-0005-0000-0000-00008C280000}"/>
    <cellStyle name="40% - Accent2 2 2 2 2 2 3 2 3" xfId="27029" xr:uid="{00000000-0005-0000-0000-00008D280000}"/>
    <cellStyle name="40% - Accent2 2 2 2 2 2 3 3" xfId="10351" xr:uid="{00000000-0005-0000-0000-00008E280000}"/>
    <cellStyle name="40% - Accent2 2 2 2 2 2 3 3 2" xfId="29821" xr:uid="{00000000-0005-0000-0000-00008F280000}"/>
    <cellStyle name="40% - Accent2 2 2 2 2 2 3 4" xfId="25414" xr:uid="{00000000-0005-0000-0000-000090280000}"/>
    <cellStyle name="40% - Accent2 2 2 2 2 2 4" xfId="7542" xr:uid="{00000000-0005-0000-0000-000091280000}"/>
    <cellStyle name="40% - Accent2 2 2 2 2 2 4 2" xfId="11878" xr:uid="{00000000-0005-0000-0000-000092280000}"/>
    <cellStyle name="40% - Accent2 2 2 2 2 2 4 2 2" xfId="31348" xr:uid="{00000000-0005-0000-0000-000093280000}"/>
    <cellStyle name="40% - Accent2 2 2 2 2 2 4 3" xfId="27026" xr:uid="{00000000-0005-0000-0000-000094280000}"/>
    <cellStyle name="40% - Accent2 2 2 2 2 2 5" xfId="9291" xr:uid="{00000000-0005-0000-0000-000095280000}"/>
    <cellStyle name="40% - Accent2 2 2 2 2 2 5 2" xfId="28761" xr:uid="{00000000-0005-0000-0000-000096280000}"/>
    <cellStyle name="40% - Accent2 2 2 2 2 2 6" xfId="24209" xr:uid="{00000000-0005-0000-0000-000097280000}"/>
    <cellStyle name="40% - Accent2 2 2 2 2 3" xfId="5036" xr:uid="{00000000-0005-0000-0000-000098280000}"/>
    <cellStyle name="40% - Accent2 2 2 2 2 3 2" xfId="6198" xr:uid="{00000000-0005-0000-0000-000099280000}"/>
    <cellStyle name="40% - Accent2 2 2 2 2 3 2 2" xfId="7547" xr:uid="{00000000-0005-0000-0000-00009A280000}"/>
    <cellStyle name="40% - Accent2 2 2 2 2 3 2 2 2" xfId="11883" xr:uid="{00000000-0005-0000-0000-00009B280000}"/>
    <cellStyle name="40% - Accent2 2 2 2 2 3 2 2 2 2" xfId="31353" xr:uid="{00000000-0005-0000-0000-00009C280000}"/>
    <cellStyle name="40% - Accent2 2 2 2 2 3 2 2 3" xfId="27031" xr:uid="{00000000-0005-0000-0000-00009D280000}"/>
    <cellStyle name="40% - Accent2 2 2 2 2 3 2 3" xfId="10616" xr:uid="{00000000-0005-0000-0000-00009E280000}"/>
    <cellStyle name="40% - Accent2 2 2 2 2 3 2 3 2" xfId="30086" xr:uid="{00000000-0005-0000-0000-00009F280000}"/>
    <cellStyle name="40% - Accent2 2 2 2 2 3 2 4" xfId="25683" xr:uid="{00000000-0005-0000-0000-0000A0280000}"/>
    <cellStyle name="40% - Accent2 2 2 2 2 3 3" xfId="7546" xr:uid="{00000000-0005-0000-0000-0000A1280000}"/>
    <cellStyle name="40% - Accent2 2 2 2 2 3 3 2" xfId="11882" xr:uid="{00000000-0005-0000-0000-0000A2280000}"/>
    <cellStyle name="40% - Accent2 2 2 2 2 3 3 2 2" xfId="31352" xr:uid="{00000000-0005-0000-0000-0000A3280000}"/>
    <cellStyle name="40% - Accent2 2 2 2 2 3 3 3" xfId="27030" xr:uid="{00000000-0005-0000-0000-0000A4280000}"/>
    <cellStyle name="40% - Accent2 2 2 2 2 3 4" xfId="9556" xr:uid="{00000000-0005-0000-0000-0000A5280000}"/>
    <cellStyle name="40% - Accent2 2 2 2 2 3 4 2" xfId="29026" xr:uid="{00000000-0005-0000-0000-0000A6280000}"/>
    <cellStyle name="40% - Accent2 2 2 2 2 3 5" xfId="24530" xr:uid="{00000000-0005-0000-0000-0000A7280000}"/>
    <cellStyle name="40% - Accent2 2 2 2 2 4" xfId="5641" xr:uid="{00000000-0005-0000-0000-0000A8280000}"/>
    <cellStyle name="40% - Accent2 2 2 2 2 4 2" xfId="7548" xr:uid="{00000000-0005-0000-0000-0000A9280000}"/>
    <cellStyle name="40% - Accent2 2 2 2 2 4 2 2" xfId="11884" xr:uid="{00000000-0005-0000-0000-0000AA280000}"/>
    <cellStyle name="40% - Accent2 2 2 2 2 4 2 2 2" xfId="31354" xr:uid="{00000000-0005-0000-0000-0000AB280000}"/>
    <cellStyle name="40% - Accent2 2 2 2 2 4 2 3" xfId="27032" xr:uid="{00000000-0005-0000-0000-0000AC280000}"/>
    <cellStyle name="40% - Accent2 2 2 2 2 4 3" xfId="10086" xr:uid="{00000000-0005-0000-0000-0000AD280000}"/>
    <cellStyle name="40% - Accent2 2 2 2 2 4 3 2" xfId="29556" xr:uid="{00000000-0005-0000-0000-0000AE280000}"/>
    <cellStyle name="40% - Accent2 2 2 2 2 4 4" xfId="25128" xr:uid="{00000000-0005-0000-0000-0000AF280000}"/>
    <cellStyle name="40% - Accent2 2 2 2 2 5" xfId="7541" xr:uid="{00000000-0005-0000-0000-0000B0280000}"/>
    <cellStyle name="40% - Accent2 2 2 2 2 5 2" xfId="11877" xr:uid="{00000000-0005-0000-0000-0000B1280000}"/>
    <cellStyle name="40% - Accent2 2 2 2 2 5 2 2" xfId="31347" xr:uid="{00000000-0005-0000-0000-0000B2280000}"/>
    <cellStyle name="40% - Accent2 2 2 2 2 5 3" xfId="27025" xr:uid="{00000000-0005-0000-0000-0000B3280000}"/>
    <cellStyle name="40% - Accent2 2 2 2 2 6" xfId="9022" xr:uid="{00000000-0005-0000-0000-0000B4280000}"/>
    <cellStyle name="40% - Accent2 2 2 2 2 6 2" xfId="28496" xr:uid="{00000000-0005-0000-0000-0000B5280000}"/>
    <cellStyle name="40% - Accent2 2 2 2 2 7" xfId="23880" xr:uid="{00000000-0005-0000-0000-0000B6280000}"/>
    <cellStyle name="40% - Accent2 2 2 2 3" xfId="4278" xr:uid="{00000000-0005-0000-0000-0000B7280000}"/>
    <cellStyle name="40% - Accent2 2 2 2 3 2" xfId="4853" xr:uid="{00000000-0005-0000-0000-0000B8280000}"/>
    <cellStyle name="40% - Accent2 2 2 2 3 2 2" xfId="5478" xr:uid="{00000000-0005-0000-0000-0000B9280000}"/>
    <cellStyle name="40% - Accent2 2 2 2 3 2 2 2" xfId="6606" xr:uid="{00000000-0005-0000-0000-0000BA280000}"/>
    <cellStyle name="40% - Accent2 2 2 2 3 2 2 2 2" xfId="7552" xr:uid="{00000000-0005-0000-0000-0000BB280000}"/>
    <cellStyle name="40% - Accent2 2 2 2 3 2 2 2 2 2" xfId="11888" xr:uid="{00000000-0005-0000-0000-0000BC280000}"/>
    <cellStyle name="40% - Accent2 2 2 2 3 2 2 2 2 2 2" xfId="31358" xr:uid="{00000000-0005-0000-0000-0000BD280000}"/>
    <cellStyle name="40% - Accent2 2 2 2 3 2 2 2 2 3" xfId="27036" xr:uid="{00000000-0005-0000-0000-0000BE280000}"/>
    <cellStyle name="40% - Accent2 2 2 2 3 2 2 2 3" xfId="11022" xr:uid="{00000000-0005-0000-0000-0000BF280000}"/>
    <cellStyle name="40% - Accent2 2 2 2 3 2 2 2 3 2" xfId="30492" xr:uid="{00000000-0005-0000-0000-0000C0280000}"/>
    <cellStyle name="40% - Accent2 2 2 2 3 2 2 2 4" xfId="26091" xr:uid="{00000000-0005-0000-0000-0000C1280000}"/>
    <cellStyle name="40% - Accent2 2 2 2 3 2 2 3" xfId="7551" xr:uid="{00000000-0005-0000-0000-0000C2280000}"/>
    <cellStyle name="40% - Accent2 2 2 2 3 2 2 3 2" xfId="11887" xr:uid="{00000000-0005-0000-0000-0000C3280000}"/>
    <cellStyle name="40% - Accent2 2 2 2 3 2 2 3 2 2" xfId="31357" xr:uid="{00000000-0005-0000-0000-0000C4280000}"/>
    <cellStyle name="40% - Accent2 2 2 2 3 2 2 3 3" xfId="27035" xr:uid="{00000000-0005-0000-0000-0000C5280000}"/>
    <cellStyle name="40% - Accent2 2 2 2 3 2 2 4" xfId="9961" xr:uid="{00000000-0005-0000-0000-0000C6280000}"/>
    <cellStyle name="40% - Accent2 2 2 2 3 2 2 4 2" xfId="29431" xr:uid="{00000000-0005-0000-0000-0000C7280000}"/>
    <cellStyle name="40% - Accent2 2 2 2 3 2 2 5" xfId="24969" xr:uid="{00000000-0005-0000-0000-0000C8280000}"/>
    <cellStyle name="40% - Accent2 2 2 2 3 2 3" xfId="6071" xr:uid="{00000000-0005-0000-0000-0000C9280000}"/>
    <cellStyle name="40% - Accent2 2 2 2 3 2 3 2" xfId="7553" xr:uid="{00000000-0005-0000-0000-0000CA280000}"/>
    <cellStyle name="40% - Accent2 2 2 2 3 2 3 2 2" xfId="11889" xr:uid="{00000000-0005-0000-0000-0000CB280000}"/>
    <cellStyle name="40% - Accent2 2 2 2 3 2 3 2 2 2" xfId="31359" xr:uid="{00000000-0005-0000-0000-0000CC280000}"/>
    <cellStyle name="40% - Accent2 2 2 2 3 2 3 2 3" xfId="27037" xr:uid="{00000000-0005-0000-0000-0000CD280000}"/>
    <cellStyle name="40% - Accent2 2 2 2 3 2 3 3" xfId="10491" xr:uid="{00000000-0005-0000-0000-0000CE280000}"/>
    <cellStyle name="40% - Accent2 2 2 2 3 2 3 3 2" xfId="29961" xr:uid="{00000000-0005-0000-0000-0000CF280000}"/>
    <cellStyle name="40% - Accent2 2 2 2 3 2 3 4" xfId="25556" xr:uid="{00000000-0005-0000-0000-0000D0280000}"/>
    <cellStyle name="40% - Accent2 2 2 2 3 2 4" xfId="7550" xr:uid="{00000000-0005-0000-0000-0000D1280000}"/>
    <cellStyle name="40% - Accent2 2 2 2 3 2 4 2" xfId="11886" xr:uid="{00000000-0005-0000-0000-0000D2280000}"/>
    <cellStyle name="40% - Accent2 2 2 2 3 2 4 2 2" xfId="31356" xr:uid="{00000000-0005-0000-0000-0000D3280000}"/>
    <cellStyle name="40% - Accent2 2 2 2 3 2 4 3" xfId="27034" xr:uid="{00000000-0005-0000-0000-0000D4280000}"/>
    <cellStyle name="40% - Accent2 2 2 2 3 2 5" xfId="9431" xr:uid="{00000000-0005-0000-0000-0000D5280000}"/>
    <cellStyle name="40% - Accent2 2 2 2 3 2 5 2" xfId="28901" xr:uid="{00000000-0005-0000-0000-0000D6280000}"/>
    <cellStyle name="40% - Accent2 2 2 2 3 2 6" xfId="24355" xr:uid="{00000000-0005-0000-0000-0000D7280000}"/>
    <cellStyle name="40% - Accent2 2 2 2 3 3" xfId="5183" xr:uid="{00000000-0005-0000-0000-0000D8280000}"/>
    <cellStyle name="40% - Accent2 2 2 2 3 3 2" xfId="6339" xr:uid="{00000000-0005-0000-0000-0000D9280000}"/>
    <cellStyle name="40% - Accent2 2 2 2 3 3 2 2" xfId="7555" xr:uid="{00000000-0005-0000-0000-0000DA280000}"/>
    <cellStyle name="40% - Accent2 2 2 2 3 3 2 2 2" xfId="11891" xr:uid="{00000000-0005-0000-0000-0000DB280000}"/>
    <cellStyle name="40% - Accent2 2 2 2 3 3 2 2 2 2" xfId="31361" xr:uid="{00000000-0005-0000-0000-0000DC280000}"/>
    <cellStyle name="40% - Accent2 2 2 2 3 3 2 2 3" xfId="27039" xr:uid="{00000000-0005-0000-0000-0000DD280000}"/>
    <cellStyle name="40% - Accent2 2 2 2 3 3 2 3" xfId="10756" xr:uid="{00000000-0005-0000-0000-0000DE280000}"/>
    <cellStyle name="40% - Accent2 2 2 2 3 3 2 3 2" xfId="30226" xr:uid="{00000000-0005-0000-0000-0000DF280000}"/>
    <cellStyle name="40% - Accent2 2 2 2 3 3 2 4" xfId="25824" xr:uid="{00000000-0005-0000-0000-0000E0280000}"/>
    <cellStyle name="40% - Accent2 2 2 2 3 3 3" xfId="7554" xr:uid="{00000000-0005-0000-0000-0000E1280000}"/>
    <cellStyle name="40% - Accent2 2 2 2 3 3 3 2" xfId="11890" xr:uid="{00000000-0005-0000-0000-0000E2280000}"/>
    <cellStyle name="40% - Accent2 2 2 2 3 3 3 2 2" xfId="31360" xr:uid="{00000000-0005-0000-0000-0000E3280000}"/>
    <cellStyle name="40% - Accent2 2 2 2 3 3 3 3" xfId="27038" xr:uid="{00000000-0005-0000-0000-0000E4280000}"/>
    <cellStyle name="40% - Accent2 2 2 2 3 3 4" xfId="9696" xr:uid="{00000000-0005-0000-0000-0000E5280000}"/>
    <cellStyle name="40% - Accent2 2 2 2 3 3 4 2" xfId="29166" xr:uid="{00000000-0005-0000-0000-0000E6280000}"/>
    <cellStyle name="40% - Accent2 2 2 2 3 3 5" xfId="24674" xr:uid="{00000000-0005-0000-0000-0000E7280000}"/>
    <cellStyle name="40% - Accent2 2 2 2 3 4" xfId="5792" xr:uid="{00000000-0005-0000-0000-0000E8280000}"/>
    <cellStyle name="40% - Accent2 2 2 2 3 4 2" xfId="7556" xr:uid="{00000000-0005-0000-0000-0000E9280000}"/>
    <cellStyle name="40% - Accent2 2 2 2 3 4 2 2" xfId="11892" xr:uid="{00000000-0005-0000-0000-0000EA280000}"/>
    <cellStyle name="40% - Accent2 2 2 2 3 4 2 2 2" xfId="31362" xr:uid="{00000000-0005-0000-0000-0000EB280000}"/>
    <cellStyle name="40% - Accent2 2 2 2 3 4 2 3" xfId="27040" xr:uid="{00000000-0005-0000-0000-0000EC280000}"/>
    <cellStyle name="40% - Accent2 2 2 2 3 4 3" xfId="10226" xr:uid="{00000000-0005-0000-0000-0000ED280000}"/>
    <cellStyle name="40% - Accent2 2 2 2 3 4 3 2" xfId="29696" xr:uid="{00000000-0005-0000-0000-0000EE280000}"/>
    <cellStyle name="40% - Accent2 2 2 2 3 4 4" xfId="25277" xr:uid="{00000000-0005-0000-0000-0000EF280000}"/>
    <cellStyle name="40% - Accent2 2 2 2 3 5" xfId="7549" xr:uid="{00000000-0005-0000-0000-0000F0280000}"/>
    <cellStyle name="40% - Accent2 2 2 2 3 5 2" xfId="11885" xr:uid="{00000000-0005-0000-0000-0000F1280000}"/>
    <cellStyle name="40% - Accent2 2 2 2 3 5 2 2" xfId="31355" xr:uid="{00000000-0005-0000-0000-0000F2280000}"/>
    <cellStyle name="40% - Accent2 2 2 2 3 5 3" xfId="27033" xr:uid="{00000000-0005-0000-0000-0000F3280000}"/>
    <cellStyle name="40% - Accent2 2 2 2 3 6" xfId="9165" xr:uid="{00000000-0005-0000-0000-0000F4280000}"/>
    <cellStyle name="40% - Accent2 2 2 2 3 6 2" xfId="28636" xr:uid="{00000000-0005-0000-0000-0000F5280000}"/>
    <cellStyle name="40% - Accent2 2 2 2 3 7" xfId="24054" xr:uid="{00000000-0005-0000-0000-0000F6280000}"/>
    <cellStyle name="40% - Accent2 2 2 2 4" xfId="4626" xr:uid="{00000000-0005-0000-0000-0000F7280000}"/>
    <cellStyle name="40% - Accent2 2 2 2 4 2" xfId="5266" xr:uid="{00000000-0005-0000-0000-0000F8280000}"/>
    <cellStyle name="40% - Accent2 2 2 2 4 2 2" xfId="6400" xr:uid="{00000000-0005-0000-0000-0000F9280000}"/>
    <cellStyle name="40% - Accent2 2 2 2 4 2 2 2" xfId="7559" xr:uid="{00000000-0005-0000-0000-0000FA280000}"/>
    <cellStyle name="40% - Accent2 2 2 2 4 2 2 2 2" xfId="11895" xr:uid="{00000000-0005-0000-0000-0000FB280000}"/>
    <cellStyle name="40% - Accent2 2 2 2 4 2 2 2 2 2" xfId="31365" xr:uid="{00000000-0005-0000-0000-0000FC280000}"/>
    <cellStyle name="40% - Accent2 2 2 2 4 2 2 2 3" xfId="27043" xr:uid="{00000000-0005-0000-0000-0000FD280000}"/>
    <cellStyle name="40% - Accent2 2 2 2 4 2 2 3" xfId="10816" xr:uid="{00000000-0005-0000-0000-0000FE280000}"/>
    <cellStyle name="40% - Accent2 2 2 2 4 2 2 3 2" xfId="30286" xr:uid="{00000000-0005-0000-0000-0000FF280000}"/>
    <cellStyle name="40% - Accent2 2 2 2 4 2 2 4" xfId="25885" xr:uid="{00000000-0005-0000-0000-000000290000}"/>
    <cellStyle name="40% - Accent2 2 2 2 4 2 3" xfId="7558" xr:uid="{00000000-0005-0000-0000-000001290000}"/>
    <cellStyle name="40% - Accent2 2 2 2 4 2 3 2" xfId="11894" xr:uid="{00000000-0005-0000-0000-000002290000}"/>
    <cellStyle name="40% - Accent2 2 2 2 4 2 3 2 2" xfId="31364" xr:uid="{00000000-0005-0000-0000-000003290000}"/>
    <cellStyle name="40% - Accent2 2 2 2 4 2 3 3" xfId="27042" xr:uid="{00000000-0005-0000-0000-000004290000}"/>
    <cellStyle name="40% - Accent2 2 2 2 4 2 4" xfId="9755" xr:uid="{00000000-0005-0000-0000-000005290000}"/>
    <cellStyle name="40% - Accent2 2 2 2 4 2 4 2" xfId="29225" xr:uid="{00000000-0005-0000-0000-000006290000}"/>
    <cellStyle name="40% - Accent2 2 2 2 4 2 5" xfId="24757" xr:uid="{00000000-0005-0000-0000-000007290000}"/>
    <cellStyle name="40% - Accent2 2 2 2 4 3" xfId="5863" xr:uid="{00000000-0005-0000-0000-000008290000}"/>
    <cellStyle name="40% - Accent2 2 2 2 4 3 2" xfId="7560" xr:uid="{00000000-0005-0000-0000-000009290000}"/>
    <cellStyle name="40% - Accent2 2 2 2 4 3 2 2" xfId="11896" xr:uid="{00000000-0005-0000-0000-00000A290000}"/>
    <cellStyle name="40% - Accent2 2 2 2 4 3 2 2 2" xfId="31366" xr:uid="{00000000-0005-0000-0000-00000B290000}"/>
    <cellStyle name="40% - Accent2 2 2 2 4 3 2 3" xfId="27044" xr:uid="{00000000-0005-0000-0000-00000C290000}"/>
    <cellStyle name="40% - Accent2 2 2 2 4 3 3" xfId="10285" xr:uid="{00000000-0005-0000-0000-00000D290000}"/>
    <cellStyle name="40% - Accent2 2 2 2 4 3 3 2" xfId="29755" xr:uid="{00000000-0005-0000-0000-00000E290000}"/>
    <cellStyle name="40% - Accent2 2 2 2 4 3 4" xfId="25348" xr:uid="{00000000-0005-0000-0000-00000F290000}"/>
    <cellStyle name="40% - Accent2 2 2 2 4 4" xfId="7557" xr:uid="{00000000-0005-0000-0000-000010290000}"/>
    <cellStyle name="40% - Accent2 2 2 2 4 4 2" xfId="11893" xr:uid="{00000000-0005-0000-0000-000011290000}"/>
    <cellStyle name="40% - Accent2 2 2 2 4 4 2 2" xfId="31363" xr:uid="{00000000-0005-0000-0000-000012290000}"/>
    <cellStyle name="40% - Accent2 2 2 2 4 4 3" xfId="27041" xr:uid="{00000000-0005-0000-0000-000013290000}"/>
    <cellStyle name="40% - Accent2 2 2 2 4 5" xfId="9225" xr:uid="{00000000-0005-0000-0000-000014290000}"/>
    <cellStyle name="40% - Accent2 2 2 2 4 5 2" xfId="28695" xr:uid="{00000000-0005-0000-0000-000015290000}"/>
    <cellStyle name="40% - Accent2 2 2 2 4 6" xfId="24137" xr:uid="{00000000-0005-0000-0000-000016290000}"/>
    <cellStyle name="40% - Accent2 2 2 2 5" xfId="4970" xr:uid="{00000000-0005-0000-0000-000017290000}"/>
    <cellStyle name="40% - Accent2 2 2 2 5 2" xfId="6132" xr:uid="{00000000-0005-0000-0000-000018290000}"/>
    <cellStyle name="40% - Accent2 2 2 2 5 2 2" xfId="7562" xr:uid="{00000000-0005-0000-0000-000019290000}"/>
    <cellStyle name="40% - Accent2 2 2 2 5 2 2 2" xfId="11898" xr:uid="{00000000-0005-0000-0000-00001A290000}"/>
    <cellStyle name="40% - Accent2 2 2 2 5 2 2 2 2" xfId="31368" xr:uid="{00000000-0005-0000-0000-00001B290000}"/>
    <cellStyle name="40% - Accent2 2 2 2 5 2 2 3" xfId="27046" xr:uid="{00000000-0005-0000-0000-00001C290000}"/>
    <cellStyle name="40% - Accent2 2 2 2 5 2 3" xfId="10550" xr:uid="{00000000-0005-0000-0000-00001D290000}"/>
    <cellStyle name="40% - Accent2 2 2 2 5 2 3 2" xfId="30020" xr:uid="{00000000-0005-0000-0000-00001E290000}"/>
    <cellStyle name="40% - Accent2 2 2 2 5 2 4" xfId="25617" xr:uid="{00000000-0005-0000-0000-00001F290000}"/>
    <cellStyle name="40% - Accent2 2 2 2 5 3" xfId="7561" xr:uid="{00000000-0005-0000-0000-000020290000}"/>
    <cellStyle name="40% - Accent2 2 2 2 5 3 2" xfId="11897" xr:uid="{00000000-0005-0000-0000-000021290000}"/>
    <cellStyle name="40% - Accent2 2 2 2 5 3 2 2" xfId="31367" xr:uid="{00000000-0005-0000-0000-000022290000}"/>
    <cellStyle name="40% - Accent2 2 2 2 5 3 3" xfId="27045" xr:uid="{00000000-0005-0000-0000-000023290000}"/>
    <cellStyle name="40% - Accent2 2 2 2 5 4" xfId="9490" xr:uid="{00000000-0005-0000-0000-000024290000}"/>
    <cellStyle name="40% - Accent2 2 2 2 5 4 2" xfId="28960" xr:uid="{00000000-0005-0000-0000-000025290000}"/>
    <cellStyle name="40% - Accent2 2 2 2 5 5" xfId="24464" xr:uid="{00000000-0005-0000-0000-000026290000}"/>
    <cellStyle name="40% - Accent2 2 2 2 6" xfId="5575" xr:uid="{00000000-0005-0000-0000-000027290000}"/>
    <cellStyle name="40% - Accent2 2 2 2 6 2" xfId="7563" xr:uid="{00000000-0005-0000-0000-000028290000}"/>
    <cellStyle name="40% - Accent2 2 2 2 6 2 2" xfId="11899" xr:uid="{00000000-0005-0000-0000-000029290000}"/>
    <cellStyle name="40% - Accent2 2 2 2 6 2 2 2" xfId="31369" xr:uid="{00000000-0005-0000-0000-00002A290000}"/>
    <cellStyle name="40% - Accent2 2 2 2 6 2 3" xfId="27047" xr:uid="{00000000-0005-0000-0000-00002B290000}"/>
    <cellStyle name="40% - Accent2 2 2 2 6 3" xfId="10020" xr:uid="{00000000-0005-0000-0000-00002C290000}"/>
    <cellStyle name="40% - Accent2 2 2 2 6 3 2" xfId="29490" xr:uid="{00000000-0005-0000-0000-00002D290000}"/>
    <cellStyle name="40% - Accent2 2 2 2 6 4" xfId="25062" xr:uid="{00000000-0005-0000-0000-00002E290000}"/>
    <cellStyle name="40% - Accent2 2 2 2 7" xfId="7540" xr:uid="{00000000-0005-0000-0000-00002F290000}"/>
    <cellStyle name="40% - Accent2 2 2 2 7 2" xfId="11876" xr:uid="{00000000-0005-0000-0000-000030290000}"/>
    <cellStyle name="40% - Accent2 2 2 2 7 2 2" xfId="31346" xr:uid="{00000000-0005-0000-0000-000031290000}"/>
    <cellStyle name="40% - Accent2 2 2 2 7 3" xfId="27024" xr:uid="{00000000-0005-0000-0000-000032290000}"/>
    <cellStyle name="40% - Accent2 2 2 2 8" xfId="8956" xr:uid="{00000000-0005-0000-0000-000033290000}"/>
    <cellStyle name="40% - Accent2 2 2 2 8 2" xfId="28430" xr:uid="{00000000-0005-0000-0000-000034290000}"/>
    <cellStyle name="40% - Accent2 2 2 2 9" xfId="23688" xr:uid="{00000000-0005-0000-0000-000035290000}"/>
    <cellStyle name="40% - Accent2 2 2 3" xfId="2953" xr:uid="{00000000-0005-0000-0000-000036290000}"/>
    <cellStyle name="40% - Accent2 2 2 3 2" xfId="4660" xr:uid="{00000000-0005-0000-0000-000037290000}"/>
    <cellStyle name="40% - Accent2 2 2 3 2 2" xfId="5300" xr:uid="{00000000-0005-0000-0000-000038290000}"/>
    <cellStyle name="40% - Accent2 2 2 3 2 2 2" xfId="6434" xr:uid="{00000000-0005-0000-0000-000039290000}"/>
    <cellStyle name="40% - Accent2 2 2 3 2 2 2 2" xfId="7567" xr:uid="{00000000-0005-0000-0000-00003A290000}"/>
    <cellStyle name="40% - Accent2 2 2 3 2 2 2 2 2" xfId="11903" xr:uid="{00000000-0005-0000-0000-00003B290000}"/>
    <cellStyle name="40% - Accent2 2 2 3 2 2 2 2 2 2" xfId="31373" xr:uid="{00000000-0005-0000-0000-00003C290000}"/>
    <cellStyle name="40% - Accent2 2 2 3 2 2 2 2 3" xfId="27051" xr:uid="{00000000-0005-0000-0000-00003D290000}"/>
    <cellStyle name="40% - Accent2 2 2 3 2 2 2 3" xfId="10850" xr:uid="{00000000-0005-0000-0000-00003E290000}"/>
    <cellStyle name="40% - Accent2 2 2 3 2 2 2 3 2" xfId="30320" xr:uid="{00000000-0005-0000-0000-00003F290000}"/>
    <cellStyle name="40% - Accent2 2 2 3 2 2 2 4" xfId="25919" xr:uid="{00000000-0005-0000-0000-000040290000}"/>
    <cellStyle name="40% - Accent2 2 2 3 2 2 3" xfId="7566" xr:uid="{00000000-0005-0000-0000-000041290000}"/>
    <cellStyle name="40% - Accent2 2 2 3 2 2 3 2" xfId="11902" xr:uid="{00000000-0005-0000-0000-000042290000}"/>
    <cellStyle name="40% - Accent2 2 2 3 2 2 3 2 2" xfId="31372" xr:uid="{00000000-0005-0000-0000-000043290000}"/>
    <cellStyle name="40% - Accent2 2 2 3 2 2 3 3" xfId="27050" xr:uid="{00000000-0005-0000-0000-000044290000}"/>
    <cellStyle name="40% - Accent2 2 2 3 2 2 4" xfId="9789" xr:uid="{00000000-0005-0000-0000-000045290000}"/>
    <cellStyle name="40% - Accent2 2 2 3 2 2 4 2" xfId="29259" xr:uid="{00000000-0005-0000-0000-000046290000}"/>
    <cellStyle name="40% - Accent2 2 2 3 2 2 5" xfId="24791" xr:uid="{00000000-0005-0000-0000-000047290000}"/>
    <cellStyle name="40% - Accent2 2 2 3 2 3" xfId="5897" xr:uid="{00000000-0005-0000-0000-000048290000}"/>
    <cellStyle name="40% - Accent2 2 2 3 2 3 2" xfId="7568" xr:uid="{00000000-0005-0000-0000-000049290000}"/>
    <cellStyle name="40% - Accent2 2 2 3 2 3 2 2" xfId="11904" xr:uid="{00000000-0005-0000-0000-00004A290000}"/>
    <cellStyle name="40% - Accent2 2 2 3 2 3 2 2 2" xfId="31374" xr:uid="{00000000-0005-0000-0000-00004B290000}"/>
    <cellStyle name="40% - Accent2 2 2 3 2 3 2 3" xfId="27052" xr:uid="{00000000-0005-0000-0000-00004C290000}"/>
    <cellStyle name="40% - Accent2 2 2 3 2 3 3" xfId="10319" xr:uid="{00000000-0005-0000-0000-00004D290000}"/>
    <cellStyle name="40% - Accent2 2 2 3 2 3 3 2" xfId="29789" xr:uid="{00000000-0005-0000-0000-00004E290000}"/>
    <cellStyle name="40% - Accent2 2 2 3 2 3 4" xfId="25382" xr:uid="{00000000-0005-0000-0000-00004F290000}"/>
    <cellStyle name="40% - Accent2 2 2 3 2 4" xfId="7565" xr:uid="{00000000-0005-0000-0000-000050290000}"/>
    <cellStyle name="40% - Accent2 2 2 3 2 4 2" xfId="11901" xr:uid="{00000000-0005-0000-0000-000051290000}"/>
    <cellStyle name="40% - Accent2 2 2 3 2 4 2 2" xfId="31371" xr:uid="{00000000-0005-0000-0000-000052290000}"/>
    <cellStyle name="40% - Accent2 2 2 3 2 4 3" xfId="27049" xr:uid="{00000000-0005-0000-0000-000053290000}"/>
    <cellStyle name="40% - Accent2 2 2 3 2 5" xfId="9259" xr:uid="{00000000-0005-0000-0000-000054290000}"/>
    <cellStyle name="40% - Accent2 2 2 3 2 5 2" xfId="28729" xr:uid="{00000000-0005-0000-0000-000055290000}"/>
    <cellStyle name="40% - Accent2 2 2 3 2 6" xfId="24171" xr:uid="{00000000-0005-0000-0000-000056290000}"/>
    <cellStyle name="40% - Accent2 2 2 3 3" xfId="5004" xr:uid="{00000000-0005-0000-0000-000057290000}"/>
    <cellStyle name="40% - Accent2 2 2 3 3 2" xfId="6166" xr:uid="{00000000-0005-0000-0000-000058290000}"/>
    <cellStyle name="40% - Accent2 2 2 3 3 2 2" xfId="7570" xr:uid="{00000000-0005-0000-0000-000059290000}"/>
    <cellStyle name="40% - Accent2 2 2 3 3 2 2 2" xfId="11906" xr:uid="{00000000-0005-0000-0000-00005A290000}"/>
    <cellStyle name="40% - Accent2 2 2 3 3 2 2 2 2" xfId="31376" xr:uid="{00000000-0005-0000-0000-00005B290000}"/>
    <cellStyle name="40% - Accent2 2 2 3 3 2 2 3" xfId="27054" xr:uid="{00000000-0005-0000-0000-00005C290000}"/>
    <cellStyle name="40% - Accent2 2 2 3 3 2 3" xfId="10584" xr:uid="{00000000-0005-0000-0000-00005D290000}"/>
    <cellStyle name="40% - Accent2 2 2 3 3 2 3 2" xfId="30054" xr:uid="{00000000-0005-0000-0000-00005E290000}"/>
    <cellStyle name="40% - Accent2 2 2 3 3 2 4" xfId="25651" xr:uid="{00000000-0005-0000-0000-00005F290000}"/>
    <cellStyle name="40% - Accent2 2 2 3 3 3" xfId="7569" xr:uid="{00000000-0005-0000-0000-000060290000}"/>
    <cellStyle name="40% - Accent2 2 2 3 3 3 2" xfId="11905" xr:uid="{00000000-0005-0000-0000-000061290000}"/>
    <cellStyle name="40% - Accent2 2 2 3 3 3 2 2" xfId="31375" xr:uid="{00000000-0005-0000-0000-000062290000}"/>
    <cellStyle name="40% - Accent2 2 2 3 3 3 3" xfId="27053" xr:uid="{00000000-0005-0000-0000-000063290000}"/>
    <cellStyle name="40% - Accent2 2 2 3 3 4" xfId="9524" xr:uid="{00000000-0005-0000-0000-000064290000}"/>
    <cellStyle name="40% - Accent2 2 2 3 3 4 2" xfId="28994" xr:uid="{00000000-0005-0000-0000-000065290000}"/>
    <cellStyle name="40% - Accent2 2 2 3 3 5" xfId="24498" xr:uid="{00000000-0005-0000-0000-000066290000}"/>
    <cellStyle name="40% - Accent2 2 2 3 4" xfId="5609" xr:uid="{00000000-0005-0000-0000-000067290000}"/>
    <cellStyle name="40% - Accent2 2 2 3 4 2" xfId="7571" xr:uid="{00000000-0005-0000-0000-000068290000}"/>
    <cellStyle name="40% - Accent2 2 2 3 4 2 2" xfId="11907" xr:uid="{00000000-0005-0000-0000-000069290000}"/>
    <cellStyle name="40% - Accent2 2 2 3 4 2 2 2" xfId="31377" xr:uid="{00000000-0005-0000-0000-00006A290000}"/>
    <cellStyle name="40% - Accent2 2 2 3 4 2 3" xfId="27055" xr:uid="{00000000-0005-0000-0000-00006B290000}"/>
    <cellStyle name="40% - Accent2 2 2 3 4 3" xfId="10054" xr:uid="{00000000-0005-0000-0000-00006C290000}"/>
    <cellStyle name="40% - Accent2 2 2 3 4 3 2" xfId="29524" xr:uid="{00000000-0005-0000-0000-00006D290000}"/>
    <cellStyle name="40% - Accent2 2 2 3 4 4" xfId="25096" xr:uid="{00000000-0005-0000-0000-00006E290000}"/>
    <cellStyle name="40% - Accent2 2 2 3 5" xfId="7564" xr:uid="{00000000-0005-0000-0000-00006F290000}"/>
    <cellStyle name="40% - Accent2 2 2 3 5 2" xfId="11900" xr:uid="{00000000-0005-0000-0000-000070290000}"/>
    <cellStyle name="40% - Accent2 2 2 3 5 2 2" xfId="31370" xr:uid="{00000000-0005-0000-0000-000071290000}"/>
    <cellStyle name="40% - Accent2 2 2 3 5 3" xfId="27048" xr:uid="{00000000-0005-0000-0000-000072290000}"/>
    <cellStyle name="40% - Accent2 2 2 3 6" xfId="8990" xr:uid="{00000000-0005-0000-0000-000073290000}"/>
    <cellStyle name="40% - Accent2 2 2 3 6 2" xfId="28464" xr:uid="{00000000-0005-0000-0000-000074290000}"/>
    <cellStyle name="40% - Accent2 2 2 3 7" xfId="23762" xr:uid="{00000000-0005-0000-0000-000075290000}"/>
    <cellStyle name="40% - Accent2 2 2 4" xfId="4223" xr:uid="{00000000-0005-0000-0000-000076290000}"/>
    <cellStyle name="40% - Accent2 2 2 4 2" xfId="4798" xr:uid="{00000000-0005-0000-0000-000077290000}"/>
    <cellStyle name="40% - Accent2 2 2 4 2 2" xfId="5424" xr:uid="{00000000-0005-0000-0000-000078290000}"/>
    <cellStyle name="40% - Accent2 2 2 4 2 2 2" xfId="6552" xr:uid="{00000000-0005-0000-0000-000079290000}"/>
    <cellStyle name="40% - Accent2 2 2 4 2 2 2 2" xfId="7575" xr:uid="{00000000-0005-0000-0000-00007A290000}"/>
    <cellStyle name="40% - Accent2 2 2 4 2 2 2 2 2" xfId="11911" xr:uid="{00000000-0005-0000-0000-00007B290000}"/>
    <cellStyle name="40% - Accent2 2 2 4 2 2 2 2 2 2" xfId="31381" xr:uid="{00000000-0005-0000-0000-00007C290000}"/>
    <cellStyle name="40% - Accent2 2 2 4 2 2 2 2 3" xfId="27059" xr:uid="{00000000-0005-0000-0000-00007D290000}"/>
    <cellStyle name="40% - Accent2 2 2 4 2 2 2 3" xfId="10968" xr:uid="{00000000-0005-0000-0000-00007E290000}"/>
    <cellStyle name="40% - Accent2 2 2 4 2 2 2 3 2" xfId="30438" xr:uid="{00000000-0005-0000-0000-00007F290000}"/>
    <cellStyle name="40% - Accent2 2 2 4 2 2 2 4" xfId="26037" xr:uid="{00000000-0005-0000-0000-000080290000}"/>
    <cellStyle name="40% - Accent2 2 2 4 2 2 3" xfId="7574" xr:uid="{00000000-0005-0000-0000-000081290000}"/>
    <cellStyle name="40% - Accent2 2 2 4 2 2 3 2" xfId="11910" xr:uid="{00000000-0005-0000-0000-000082290000}"/>
    <cellStyle name="40% - Accent2 2 2 4 2 2 3 2 2" xfId="31380" xr:uid="{00000000-0005-0000-0000-000083290000}"/>
    <cellStyle name="40% - Accent2 2 2 4 2 2 3 3" xfId="27058" xr:uid="{00000000-0005-0000-0000-000084290000}"/>
    <cellStyle name="40% - Accent2 2 2 4 2 2 4" xfId="9907" xr:uid="{00000000-0005-0000-0000-000085290000}"/>
    <cellStyle name="40% - Accent2 2 2 4 2 2 4 2" xfId="29377" xr:uid="{00000000-0005-0000-0000-000086290000}"/>
    <cellStyle name="40% - Accent2 2 2 4 2 2 5" xfId="24915" xr:uid="{00000000-0005-0000-0000-000087290000}"/>
    <cellStyle name="40% - Accent2 2 2 4 2 3" xfId="6016" xr:uid="{00000000-0005-0000-0000-000088290000}"/>
    <cellStyle name="40% - Accent2 2 2 4 2 3 2" xfId="7576" xr:uid="{00000000-0005-0000-0000-000089290000}"/>
    <cellStyle name="40% - Accent2 2 2 4 2 3 2 2" xfId="11912" xr:uid="{00000000-0005-0000-0000-00008A290000}"/>
    <cellStyle name="40% - Accent2 2 2 4 2 3 2 2 2" xfId="31382" xr:uid="{00000000-0005-0000-0000-00008B290000}"/>
    <cellStyle name="40% - Accent2 2 2 4 2 3 2 3" xfId="27060" xr:uid="{00000000-0005-0000-0000-00008C290000}"/>
    <cellStyle name="40% - Accent2 2 2 4 2 3 3" xfId="10437" xr:uid="{00000000-0005-0000-0000-00008D290000}"/>
    <cellStyle name="40% - Accent2 2 2 4 2 3 3 2" xfId="29907" xr:uid="{00000000-0005-0000-0000-00008E290000}"/>
    <cellStyle name="40% - Accent2 2 2 4 2 3 4" xfId="25501" xr:uid="{00000000-0005-0000-0000-00008F290000}"/>
    <cellStyle name="40% - Accent2 2 2 4 2 4" xfId="7573" xr:uid="{00000000-0005-0000-0000-000090290000}"/>
    <cellStyle name="40% - Accent2 2 2 4 2 4 2" xfId="11909" xr:uid="{00000000-0005-0000-0000-000091290000}"/>
    <cellStyle name="40% - Accent2 2 2 4 2 4 2 2" xfId="31379" xr:uid="{00000000-0005-0000-0000-000092290000}"/>
    <cellStyle name="40% - Accent2 2 2 4 2 4 3" xfId="27057" xr:uid="{00000000-0005-0000-0000-000093290000}"/>
    <cellStyle name="40% - Accent2 2 2 4 2 5" xfId="9377" xr:uid="{00000000-0005-0000-0000-000094290000}"/>
    <cellStyle name="40% - Accent2 2 2 4 2 5 2" xfId="28847" xr:uid="{00000000-0005-0000-0000-000095290000}"/>
    <cellStyle name="40% - Accent2 2 2 4 2 6" xfId="24300" xr:uid="{00000000-0005-0000-0000-000096290000}"/>
    <cellStyle name="40% - Accent2 2 2 4 3" xfId="5129" xr:uid="{00000000-0005-0000-0000-000097290000}"/>
    <cellStyle name="40% - Accent2 2 2 4 3 2" xfId="6285" xr:uid="{00000000-0005-0000-0000-000098290000}"/>
    <cellStyle name="40% - Accent2 2 2 4 3 2 2" xfId="7578" xr:uid="{00000000-0005-0000-0000-000099290000}"/>
    <cellStyle name="40% - Accent2 2 2 4 3 2 2 2" xfId="11914" xr:uid="{00000000-0005-0000-0000-00009A290000}"/>
    <cellStyle name="40% - Accent2 2 2 4 3 2 2 2 2" xfId="31384" xr:uid="{00000000-0005-0000-0000-00009B290000}"/>
    <cellStyle name="40% - Accent2 2 2 4 3 2 2 3" xfId="27062" xr:uid="{00000000-0005-0000-0000-00009C290000}"/>
    <cellStyle name="40% - Accent2 2 2 4 3 2 3" xfId="10702" xr:uid="{00000000-0005-0000-0000-00009D290000}"/>
    <cellStyle name="40% - Accent2 2 2 4 3 2 3 2" xfId="30172" xr:uid="{00000000-0005-0000-0000-00009E290000}"/>
    <cellStyle name="40% - Accent2 2 2 4 3 2 4" xfId="25770" xr:uid="{00000000-0005-0000-0000-00009F290000}"/>
    <cellStyle name="40% - Accent2 2 2 4 3 3" xfId="7577" xr:uid="{00000000-0005-0000-0000-0000A0290000}"/>
    <cellStyle name="40% - Accent2 2 2 4 3 3 2" xfId="11913" xr:uid="{00000000-0005-0000-0000-0000A1290000}"/>
    <cellStyle name="40% - Accent2 2 2 4 3 3 2 2" xfId="31383" xr:uid="{00000000-0005-0000-0000-0000A2290000}"/>
    <cellStyle name="40% - Accent2 2 2 4 3 3 3" xfId="27061" xr:uid="{00000000-0005-0000-0000-0000A3290000}"/>
    <cellStyle name="40% - Accent2 2 2 4 3 4" xfId="9642" xr:uid="{00000000-0005-0000-0000-0000A4290000}"/>
    <cellStyle name="40% - Accent2 2 2 4 3 4 2" xfId="29112" xr:uid="{00000000-0005-0000-0000-0000A5290000}"/>
    <cellStyle name="40% - Accent2 2 2 4 3 5" xfId="24620" xr:uid="{00000000-0005-0000-0000-0000A6290000}"/>
    <cellStyle name="40% - Accent2 2 2 4 4" xfId="5738" xr:uid="{00000000-0005-0000-0000-0000A7290000}"/>
    <cellStyle name="40% - Accent2 2 2 4 4 2" xfId="7579" xr:uid="{00000000-0005-0000-0000-0000A8290000}"/>
    <cellStyle name="40% - Accent2 2 2 4 4 2 2" xfId="11915" xr:uid="{00000000-0005-0000-0000-0000A9290000}"/>
    <cellStyle name="40% - Accent2 2 2 4 4 2 2 2" xfId="31385" xr:uid="{00000000-0005-0000-0000-0000AA290000}"/>
    <cellStyle name="40% - Accent2 2 2 4 4 2 3" xfId="27063" xr:uid="{00000000-0005-0000-0000-0000AB290000}"/>
    <cellStyle name="40% - Accent2 2 2 4 4 3" xfId="10172" xr:uid="{00000000-0005-0000-0000-0000AC290000}"/>
    <cellStyle name="40% - Accent2 2 2 4 4 3 2" xfId="29642" xr:uid="{00000000-0005-0000-0000-0000AD290000}"/>
    <cellStyle name="40% - Accent2 2 2 4 4 4" xfId="25223" xr:uid="{00000000-0005-0000-0000-0000AE290000}"/>
    <cellStyle name="40% - Accent2 2 2 4 5" xfId="7572" xr:uid="{00000000-0005-0000-0000-0000AF290000}"/>
    <cellStyle name="40% - Accent2 2 2 4 5 2" xfId="11908" xr:uid="{00000000-0005-0000-0000-0000B0290000}"/>
    <cellStyle name="40% - Accent2 2 2 4 5 2 2" xfId="31378" xr:uid="{00000000-0005-0000-0000-0000B1290000}"/>
    <cellStyle name="40% - Accent2 2 2 4 5 3" xfId="27056" xr:uid="{00000000-0005-0000-0000-0000B2290000}"/>
    <cellStyle name="40% - Accent2 2 2 4 6" xfId="9111" xr:uid="{00000000-0005-0000-0000-0000B3290000}"/>
    <cellStyle name="40% - Accent2 2 2 4 6 2" xfId="28582" xr:uid="{00000000-0005-0000-0000-0000B4290000}"/>
    <cellStyle name="40% - Accent2 2 2 4 7" xfId="23999" xr:uid="{00000000-0005-0000-0000-0000B5290000}"/>
    <cellStyle name="40% - Accent2 2 2 5" xfId="4593" xr:uid="{00000000-0005-0000-0000-0000B6290000}"/>
    <cellStyle name="40% - Accent2 2 2 5 2" xfId="5234" xr:uid="{00000000-0005-0000-0000-0000B7290000}"/>
    <cellStyle name="40% - Accent2 2 2 5 2 2" xfId="6368" xr:uid="{00000000-0005-0000-0000-0000B8290000}"/>
    <cellStyle name="40% - Accent2 2 2 5 2 2 2" xfId="7582" xr:uid="{00000000-0005-0000-0000-0000B9290000}"/>
    <cellStyle name="40% - Accent2 2 2 5 2 2 2 2" xfId="11918" xr:uid="{00000000-0005-0000-0000-0000BA290000}"/>
    <cellStyle name="40% - Accent2 2 2 5 2 2 2 2 2" xfId="31388" xr:uid="{00000000-0005-0000-0000-0000BB290000}"/>
    <cellStyle name="40% - Accent2 2 2 5 2 2 2 3" xfId="27066" xr:uid="{00000000-0005-0000-0000-0000BC290000}"/>
    <cellStyle name="40% - Accent2 2 2 5 2 2 3" xfId="10784" xr:uid="{00000000-0005-0000-0000-0000BD290000}"/>
    <cellStyle name="40% - Accent2 2 2 5 2 2 3 2" xfId="30254" xr:uid="{00000000-0005-0000-0000-0000BE290000}"/>
    <cellStyle name="40% - Accent2 2 2 5 2 2 4" xfId="25853" xr:uid="{00000000-0005-0000-0000-0000BF290000}"/>
    <cellStyle name="40% - Accent2 2 2 5 2 3" xfId="7581" xr:uid="{00000000-0005-0000-0000-0000C0290000}"/>
    <cellStyle name="40% - Accent2 2 2 5 2 3 2" xfId="11917" xr:uid="{00000000-0005-0000-0000-0000C1290000}"/>
    <cellStyle name="40% - Accent2 2 2 5 2 3 2 2" xfId="31387" xr:uid="{00000000-0005-0000-0000-0000C2290000}"/>
    <cellStyle name="40% - Accent2 2 2 5 2 3 3" xfId="27065" xr:uid="{00000000-0005-0000-0000-0000C3290000}"/>
    <cellStyle name="40% - Accent2 2 2 5 2 4" xfId="9723" xr:uid="{00000000-0005-0000-0000-0000C4290000}"/>
    <cellStyle name="40% - Accent2 2 2 5 2 4 2" xfId="29193" xr:uid="{00000000-0005-0000-0000-0000C5290000}"/>
    <cellStyle name="40% - Accent2 2 2 5 2 5" xfId="24725" xr:uid="{00000000-0005-0000-0000-0000C6290000}"/>
    <cellStyle name="40% - Accent2 2 2 5 3" xfId="5830" xr:uid="{00000000-0005-0000-0000-0000C7290000}"/>
    <cellStyle name="40% - Accent2 2 2 5 3 2" xfId="7583" xr:uid="{00000000-0005-0000-0000-0000C8290000}"/>
    <cellStyle name="40% - Accent2 2 2 5 3 2 2" xfId="11919" xr:uid="{00000000-0005-0000-0000-0000C9290000}"/>
    <cellStyle name="40% - Accent2 2 2 5 3 2 2 2" xfId="31389" xr:uid="{00000000-0005-0000-0000-0000CA290000}"/>
    <cellStyle name="40% - Accent2 2 2 5 3 2 3" xfId="27067" xr:uid="{00000000-0005-0000-0000-0000CB290000}"/>
    <cellStyle name="40% - Accent2 2 2 5 3 3" xfId="10253" xr:uid="{00000000-0005-0000-0000-0000CC290000}"/>
    <cellStyle name="40% - Accent2 2 2 5 3 3 2" xfId="29723" xr:uid="{00000000-0005-0000-0000-0000CD290000}"/>
    <cellStyle name="40% - Accent2 2 2 5 3 4" xfId="25315" xr:uid="{00000000-0005-0000-0000-0000CE290000}"/>
    <cellStyle name="40% - Accent2 2 2 5 4" xfId="7580" xr:uid="{00000000-0005-0000-0000-0000CF290000}"/>
    <cellStyle name="40% - Accent2 2 2 5 4 2" xfId="11916" xr:uid="{00000000-0005-0000-0000-0000D0290000}"/>
    <cellStyle name="40% - Accent2 2 2 5 4 2 2" xfId="31386" xr:uid="{00000000-0005-0000-0000-0000D1290000}"/>
    <cellStyle name="40% - Accent2 2 2 5 4 3" xfId="27064" xr:uid="{00000000-0005-0000-0000-0000D2290000}"/>
    <cellStyle name="40% - Accent2 2 2 5 5" xfId="9193" xr:uid="{00000000-0005-0000-0000-0000D3290000}"/>
    <cellStyle name="40% - Accent2 2 2 5 5 2" xfId="28663" xr:uid="{00000000-0005-0000-0000-0000D4290000}"/>
    <cellStyle name="40% - Accent2 2 2 5 6" xfId="24104" xr:uid="{00000000-0005-0000-0000-0000D5290000}"/>
    <cellStyle name="40% - Accent2 2 2 6" xfId="4938" xr:uid="{00000000-0005-0000-0000-0000D6290000}"/>
    <cellStyle name="40% - Accent2 2 2 6 2" xfId="6100" xr:uid="{00000000-0005-0000-0000-0000D7290000}"/>
    <cellStyle name="40% - Accent2 2 2 6 2 2" xfId="7585" xr:uid="{00000000-0005-0000-0000-0000D8290000}"/>
    <cellStyle name="40% - Accent2 2 2 6 2 2 2" xfId="11921" xr:uid="{00000000-0005-0000-0000-0000D9290000}"/>
    <cellStyle name="40% - Accent2 2 2 6 2 2 2 2" xfId="31391" xr:uid="{00000000-0005-0000-0000-0000DA290000}"/>
    <cellStyle name="40% - Accent2 2 2 6 2 2 3" xfId="27069" xr:uid="{00000000-0005-0000-0000-0000DB290000}"/>
    <cellStyle name="40% - Accent2 2 2 6 2 3" xfId="10518" xr:uid="{00000000-0005-0000-0000-0000DC290000}"/>
    <cellStyle name="40% - Accent2 2 2 6 2 3 2" xfId="29988" xr:uid="{00000000-0005-0000-0000-0000DD290000}"/>
    <cellStyle name="40% - Accent2 2 2 6 2 4" xfId="25585" xr:uid="{00000000-0005-0000-0000-0000DE290000}"/>
    <cellStyle name="40% - Accent2 2 2 6 3" xfId="7584" xr:uid="{00000000-0005-0000-0000-0000DF290000}"/>
    <cellStyle name="40% - Accent2 2 2 6 3 2" xfId="11920" xr:uid="{00000000-0005-0000-0000-0000E0290000}"/>
    <cellStyle name="40% - Accent2 2 2 6 3 2 2" xfId="31390" xr:uid="{00000000-0005-0000-0000-0000E1290000}"/>
    <cellStyle name="40% - Accent2 2 2 6 3 3" xfId="27068" xr:uid="{00000000-0005-0000-0000-0000E2290000}"/>
    <cellStyle name="40% - Accent2 2 2 6 4" xfId="9458" xr:uid="{00000000-0005-0000-0000-0000E3290000}"/>
    <cellStyle name="40% - Accent2 2 2 6 4 2" xfId="28928" xr:uid="{00000000-0005-0000-0000-0000E4290000}"/>
    <cellStyle name="40% - Accent2 2 2 6 5" xfId="24432" xr:uid="{00000000-0005-0000-0000-0000E5290000}"/>
    <cellStyle name="40% - Accent2 2 2 7" xfId="5542" xr:uid="{00000000-0005-0000-0000-0000E6290000}"/>
    <cellStyle name="40% - Accent2 2 2 7 2" xfId="7586" xr:uid="{00000000-0005-0000-0000-0000E7290000}"/>
    <cellStyle name="40% - Accent2 2 2 7 2 2" xfId="11922" xr:uid="{00000000-0005-0000-0000-0000E8290000}"/>
    <cellStyle name="40% - Accent2 2 2 7 2 2 2" xfId="31392" xr:uid="{00000000-0005-0000-0000-0000E9290000}"/>
    <cellStyle name="40% - Accent2 2 2 7 2 3" xfId="27070" xr:uid="{00000000-0005-0000-0000-0000EA290000}"/>
    <cellStyle name="40% - Accent2 2 2 7 3" xfId="9988" xr:uid="{00000000-0005-0000-0000-0000EB290000}"/>
    <cellStyle name="40% - Accent2 2 2 7 3 2" xfId="29458" xr:uid="{00000000-0005-0000-0000-0000EC290000}"/>
    <cellStyle name="40% - Accent2 2 2 7 4" xfId="25030" xr:uid="{00000000-0005-0000-0000-0000ED290000}"/>
    <cellStyle name="40% - Accent2 2 2 8" xfId="7539" xr:uid="{00000000-0005-0000-0000-0000EE290000}"/>
    <cellStyle name="40% - Accent2 2 2 8 2" xfId="11875" xr:uid="{00000000-0005-0000-0000-0000EF290000}"/>
    <cellStyle name="40% - Accent2 2 2 8 2 2" xfId="31345" xr:uid="{00000000-0005-0000-0000-0000F0290000}"/>
    <cellStyle name="40% - Accent2 2 2 8 3" xfId="27023" xr:uid="{00000000-0005-0000-0000-0000F1290000}"/>
    <cellStyle name="40% - Accent2 2 2 9" xfId="8924" xr:uid="{00000000-0005-0000-0000-0000F2290000}"/>
    <cellStyle name="40% - Accent2 2 2 9 2" xfId="28398" xr:uid="{00000000-0005-0000-0000-0000F3290000}"/>
    <cellStyle name="40% - Accent2 2 3" xfId="2713" xr:uid="{00000000-0005-0000-0000-0000F4290000}"/>
    <cellStyle name="40% - Accent2 2 3 10" xfId="23570" xr:uid="{00000000-0005-0000-0000-0000F5290000}"/>
    <cellStyle name="40% - Accent2 2 3 2" xfId="2878" xr:uid="{00000000-0005-0000-0000-0000F6290000}"/>
    <cellStyle name="40% - Accent2 2 3 2 2" xfId="3072" xr:uid="{00000000-0005-0000-0000-0000F7290000}"/>
    <cellStyle name="40% - Accent2 2 3 2 2 2" xfId="4699" xr:uid="{00000000-0005-0000-0000-0000F8290000}"/>
    <cellStyle name="40% - Accent2 2 3 2 2 2 2" xfId="5333" xr:uid="{00000000-0005-0000-0000-0000F9290000}"/>
    <cellStyle name="40% - Accent2 2 3 2 2 2 2 2" xfId="6467" xr:uid="{00000000-0005-0000-0000-0000FA290000}"/>
    <cellStyle name="40% - Accent2 2 3 2 2 2 2 2 2" xfId="7592" xr:uid="{00000000-0005-0000-0000-0000FB290000}"/>
    <cellStyle name="40% - Accent2 2 3 2 2 2 2 2 2 2" xfId="11928" xr:uid="{00000000-0005-0000-0000-0000FC290000}"/>
    <cellStyle name="40% - Accent2 2 3 2 2 2 2 2 2 2 2" xfId="31398" xr:uid="{00000000-0005-0000-0000-0000FD290000}"/>
    <cellStyle name="40% - Accent2 2 3 2 2 2 2 2 2 3" xfId="27076" xr:uid="{00000000-0005-0000-0000-0000FE290000}"/>
    <cellStyle name="40% - Accent2 2 3 2 2 2 2 2 3" xfId="10883" xr:uid="{00000000-0005-0000-0000-0000FF290000}"/>
    <cellStyle name="40% - Accent2 2 3 2 2 2 2 2 3 2" xfId="30353" xr:uid="{00000000-0005-0000-0000-0000002A0000}"/>
    <cellStyle name="40% - Accent2 2 3 2 2 2 2 2 4" xfId="25952" xr:uid="{00000000-0005-0000-0000-0000012A0000}"/>
    <cellStyle name="40% - Accent2 2 3 2 2 2 2 3" xfId="7591" xr:uid="{00000000-0005-0000-0000-0000022A0000}"/>
    <cellStyle name="40% - Accent2 2 3 2 2 2 2 3 2" xfId="11927" xr:uid="{00000000-0005-0000-0000-0000032A0000}"/>
    <cellStyle name="40% - Accent2 2 3 2 2 2 2 3 2 2" xfId="31397" xr:uid="{00000000-0005-0000-0000-0000042A0000}"/>
    <cellStyle name="40% - Accent2 2 3 2 2 2 2 3 3" xfId="27075" xr:uid="{00000000-0005-0000-0000-0000052A0000}"/>
    <cellStyle name="40% - Accent2 2 3 2 2 2 2 4" xfId="9822" xr:uid="{00000000-0005-0000-0000-0000062A0000}"/>
    <cellStyle name="40% - Accent2 2 3 2 2 2 2 4 2" xfId="29292" xr:uid="{00000000-0005-0000-0000-0000072A0000}"/>
    <cellStyle name="40% - Accent2 2 3 2 2 2 2 5" xfId="24824" xr:uid="{00000000-0005-0000-0000-0000082A0000}"/>
    <cellStyle name="40% - Accent2 2 3 2 2 2 3" xfId="5930" xr:uid="{00000000-0005-0000-0000-0000092A0000}"/>
    <cellStyle name="40% - Accent2 2 3 2 2 2 3 2" xfId="7593" xr:uid="{00000000-0005-0000-0000-00000A2A0000}"/>
    <cellStyle name="40% - Accent2 2 3 2 2 2 3 2 2" xfId="11929" xr:uid="{00000000-0005-0000-0000-00000B2A0000}"/>
    <cellStyle name="40% - Accent2 2 3 2 2 2 3 2 2 2" xfId="31399" xr:uid="{00000000-0005-0000-0000-00000C2A0000}"/>
    <cellStyle name="40% - Accent2 2 3 2 2 2 3 2 3" xfId="27077" xr:uid="{00000000-0005-0000-0000-00000D2A0000}"/>
    <cellStyle name="40% - Accent2 2 3 2 2 2 3 3" xfId="10352" xr:uid="{00000000-0005-0000-0000-00000E2A0000}"/>
    <cellStyle name="40% - Accent2 2 3 2 2 2 3 3 2" xfId="29822" xr:uid="{00000000-0005-0000-0000-00000F2A0000}"/>
    <cellStyle name="40% - Accent2 2 3 2 2 2 3 4" xfId="25415" xr:uid="{00000000-0005-0000-0000-0000102A0000}"/>
    <cellStyle name="40% - Accent2 2 3 2 2 2 4" xfId="7590" xr:uid="{00000000-0005-0000-0000-0000112A0000}"/>
    <cellStyle name="40% - Accent2 2 3 2 2 2 4 2" xfId="11926" xr:uid="{00000000-0005-0000-0000-0000122A0000}"/>
    <cellStyle name="40% - Accent2 2 3 2 2 2 4 2 2" xfId="31396" xr:uid="{00000000-0005-0000-0000-0000132A0000}"/>
    <cellStyle name="40% - Accent2 2 3 2 2 2 4 3" xfId="27074" xr:uid="{00000000-0005-0000-0000-0000142A0000}"/>
    <cellStyle name="40% - Accent2 2 3 2 2 2 5" xfId="9292" xr:uid="{00000000-0005-0000-0000-0000152A0000}"/>
    <cellStyle name="40% - Accent2 2 3 2 2 2 5 2" xfId="28762" xr:uid="{00000000-0005-0000-0000-0000162A0000}"/>
    <cellStyle name="40% - Accent2 2 3 2 2 2 6" xfId="24210" xr:uid="{00000000-0005-0000-0000-0000172A0000}"/>
    <cellStyle name="40% - Accent2 2 3 2 2 3" xfId="5037" xr:uid="{00000000-0005-0000-0000-0000182A0000}"/>
    <cellStyle name="40% - Accent2 2 3 2 2 3 2" xfId="6199" xr:uid="{00000000-0005-0000-0000-0000192A0000}"/>
    <cellStyle name="40% - Accent2 2 3 2 2 3 2 2" xfId="7595" xr:uid="{00000000-0005-0000-0000-00001A2A0000}"/>
    <cellStyle name="40% - Accent2 2 3 2 2 3 2 2 2" xfId="11931" xr:uid="{00000000-0005-0000-0000-00001B2A0000}"/>
    <cellStyle name="40% - Accent2 2 3 2 2 3 2 2 2 2" xfId="31401" xr:uid="{00000000-0005-0000-0000-00001C2A0000}"/>
    <cellStyle name="40% - Accent2 2 3 2 2 3 2 2 3" xfId="27079" xr:uid="{00000000-0005-0000-0000-00001D2A0000}"/>
    <cellStyle name="40% - Accent2 2 3 2 2 3 2 3" xfId="10617" xr:uid="{00000000-0005-0000-0000-00001E2A0000}"/>
    <cellStyle name="40% - Accent2 2 3 2 2 3 2 3 2" xfId="30087" xr:uid="{00000000-0005-0000-0000-00001F2A0000}"/>
    <cellStyle name="40% - Accent2 2 3 2 2 3 2 4" xfId="25684" xr:uid="{00000000-0005-0000-0000-0000202A0000}"/>
    <cellStyle name="40% - Accent2 2 3 2 2 3 3" xfId="7594" xr:uid="{00000000-0005-0000-0000-0000212A0000}"/>
    <cellStyle name="40% - Accent2 2 3 2 2 3 3 2" xfId="11930" xr:uid="{00000000-0005-0000-0000-0000222A0000}"/>
    <cellStyle name="40% - Accent2 2 3 2 2 3 3 2 2" xfId="31400" xr:uid="{00000000-0005-0000-0000-0000232A0000}"/>
    <cellStyle name="40% - Accent2 2 3 2 2 3 3 3" xfId="27078" xr:uid="{00000000-0005-0000-0000-0000242A0000}"/>
    <cellStyle name="40% - Accent2 2 3 2 2 3 4" xfId="9557" xr:uid="{00000000-0005-0000-0000-0000252A0000}"/>
    <cellStyle name="40% - Accent2 2 3 2 2 3 4 2" xfId="29027" xr:uid="{00000000-0005-0000-0000-0000262A0000}"/>
    <cellStyle name="40% - Accent2 2 3 2 2 3 5" xfId="24531" xr:uid="{00000000-0005-0000-0000-0000272A0000}"/>
    <cellStyle name="40% - Accent2 2 3 2 2 4" xfId="5642" xr:uid="{00000000-0005-0000-0000-0000282A0000}"/>
    <cellStyle name="40% - Accent2 2 3 2 2 4 2" xfId="7596" xr:uid="{00000000-0005-0000-0000-0000292A0000}"/>
    <cellStyle name="40% - Accent2 2 3 2 2 4 2 2" xfId="11932" xr:uid="{00000000-0005-0000-0000-00002A2A0000}"/>
    <cellStyle name="40% - Accent2 2 3 2 2 4 2 2 2" xfId="31402" xr:uid="{00000000-0005-0000-0000-00002B2A0000}"/>
    <cellStyle name="40% - Accent2 2 3 2 2 4 2 3" xfId="27080" xr:uid="{00000000-0005-0000-0000-00002C2A0000}"/>
    <cellStyle name="40% - Accent2 2 3 2 2 4 3" xfId="10087" xr:uid="{00000000-0005-0000-0000-00002D2A0000}"/>
    <cellStyle name="40% - Accent2 2 3 2 2 4 3 2" xfId="29557" xr:uid="{00000000-0005-0000-0000-00002E2A0000}"/>
    <cellStyle name="40% - Accent2 2 3 2 2 4 4" xfId="25129" xr:uid="{00000000-0005-0000-0000-00002F2A0000}"/>
    <cellStyle name="40% - Accent2 2 3 2 2 5" xfId="7589" xr:uid="{00000000-0005-0000-0000-0000302A0000}"/>
    <cellStyle name="40% - Accent2 2 3 2 2 5 2" xfId="11925" xr:uid="{00000000-0005-0000-0000-0000312A0000}"/>
    <cellStyle name="40% - Accent2 2 3 2 2 5 2 2" xfId="31395" xr:uid="{00000000-0005-0000-0000-0000322A0000}"/>
    <cellStyle name="40% - Accent2 2 3 2 2 5 3" xfId="27073" xr:uid="{00000000-0005-0000-0000-0000332A0000}"/>
    <cellStyle name="40% - Accent2 2 3 2 2 6" xfId="9023" xr:uid="{00000000-0005-0000-0000-0000342A0000}"/>
    <cellStyle name="40% - Accent2 2 3 2 2 6 2" xfId="28497" xr:uid="{00000000-0005-0000-0000-0000352A0000}"/>
    <cellStyle name="40% - Accent2 2 3 2 2 7" xfId="23881" xr:uid="{00000000-0005-0000-0000-0000362A0000}"/>
    <cellStyle name="40% - Accent2 2 3 2 3" xfId="4260" xr:uid="{00000000-0005-0000-0000-0000372A0000}"/>
    <cellStyle name="40% - Accent2 2 3 2 3 2" xfId="4835" xr:uid="{00000000-0005-0000-0000-0000382A0000}"/>
    <cellStyle name="40% - Accent2 2 3 2 3 2 2" xfId="5460" xr:uid="{00000000-0005-0000-0000-0000392A0000}"/>
    <cellStyle name="40% - Accent2 2 3 2 3 2 2 2" xfId="6588" xr:uid="{00000000-0005-0000-0000-00003A2A0000}"/>
    <cellStyle name="40% - Accent2 2 3 2 3 2 2 2 2" xfId="7600" xr:uid="{00000000-0005-0000-0000-00003B2A0000}"/>
    <cellStyle name="40% - Accent2 2 3 2 3 2 2 2 2 2" xfId="11936" xr:uid="{00000000-0005-0000-0000-00003C2A0000}"/>
    <cellStyle name="40% - Accent2 2 3 2 3 2 2 2 2 2 2" xfId="31406" xr:uid="{00000000-0005-0000-0000-00003D2A0000}"/>
    <cellStyle name="40% - Accent2 2 3 2 3 2 2 2 2 3" xfId="27084" xr:uid="{00000000-0005-0000-0000-00003E2A0000}"/>
    <cellStyle name="40% - Accent2 2 3 2 3 2 2 2 3" xfId="11004" xr:uid="{00000000-0005-0000-0000-00003F2A0000}"/>
    <cellStyle name="40% - Accent2 2 3 2 3 2 2 2 3 2" xfId="30474" xr:uid="{00000000-0005-0000-0000-0000402A0000}"/>
    <cellStyle name="40% - Accent2 2 3 2 3 2 2 2 4" xfId="26073" xr:uid="{00000000-0005-0000-0000-0000412A0000}"/>
    <cellStyle name="40% - Accent2 2 3 2 3 2 2 3" xfId="7599" xr:uid="{00000000-0005-0000-0000-0000422A0000}"/>
    <cellStyle name="40% - Accent2 2 3 2 3 2 2 3 2" xfId="11935" xr:uid="{00000000-0005-0000-0000-0000432A0000}"/>
    <cellStyle name="40% - Accent2 2 3 2 3 2 2 3 2 2" xfId="31405" xr:uid="{00000000-0005-0000-0000-0000442A0000}"/>
    <cellStyle name="40% - Accent2 2 3 2 3 2 2 3 3" xfId="27083" xr:uid="{00000000-0005-0000-0000-0000452A0000}"/>
    <cellStyle name="40% - Accent2 2 3 2 3 2 2 4" xfId="9943" xr:uid="{00000000-0005-0000-0000-0000462A0000}"/>
    <cellStyle name="40% - Accent2 2 3 2 3 2 2 4 2" xfId="29413" xr:uid="{00000000-0005-0000-0000-0000472A0000}"/>
    <cellStyle name="40% - Accent2 2 3 2 3 2 2 5" xfId="24951" xr:uid="{00000000-0005-0000-0000-0000482A0000}"/>
    <cellStyle name="40% - Accent2 2 3 2 3 2 3" xfId="6053" xr:uid="{00000000-0005-0000-0000-0000492A0000}"/>
    <cellStyle name="40% - Accent2 2 3 2 3 2 3 2" xfId="7601" xr:uid="{00000000-0005-0000-0000-00004A2A0000}"/>
    <cellStyle name="40% - Accent2 2 3 2 3 2 3 2 2" xfId="11937" xr:uid="{00000000-0005-0000-0000-00004B2A0000}"/>
    <cellStyle name="40% - Accent2 2 3 2 3 2 3 2 2 2" xfId="31407" xr:uid="{00000000-0005-0000-0000-00004C2A0000}"/>
    <cellStyle name="40% - Accent2 2 3 2 3 2 3 2 3" xfId="27085" xr:uid="{00000000-0005-0000-0000-00004D2A0000}"/>
    <cellStyle name="40% - Accent2 2 3 2 3 2 3 3" xfId="10473" xr:uid="{00000000-0005-0000-0000-00004E2A0000}"/>
    <cellStyle name="40% - Accent2 2 3 2 3 2 3 3 2" xfId="29943" xr:uid="{00000000-0005-0000-0000-00004F2A0000}"/>
    <cellStyle name="40% - Accent2 2 3 2 3 2 3 4" xfId="25538" xr:uid="{00000000-0005-0000-0000-0000502A0000}"/>
    <cellStyle name="40% - Accent2 2 3 2 3 2 4" xfId="7598" xr:uid="{00000000-0005-0000-0000-0000512A0000}"/>
    <cellStyle name="40% - Accent2 2 3 2 3 2 4 2" xfId="11934" xr:uid="{00000000-0005-0000-0000-0000522A0000}"/>
    <cellStyle name="40% - Accent2 2 3 2 3 2 4 2 2" xfId="31404" xr:uid="{00000000-0005-0000-0000-0000532A0000}"/>
    <cellStyle name="40% - Accent2 2 3 2 3 2 4 3" xfId="27082" xr:uid="{00000000-0005-0000-0000-0000542A0000}"/>
    <cellStyle name="40% - Accent2 2 3 2 3 2 5" xfId="9413" xr:uid="{00000000-0005-0000-0000-0000552A0000}"/>
    <cellStyle name="40% - Accent2 2 3 2 3 2 5 2" xfId="28883" xr:uid="{00000000-0005-0000-0000-0000562A0000}"/>
    <cellStyle name="40% - Accent2 2 3 2 3 2 6" xfId="24337" xr:uid="{00000000-0005-0000-0000-0000572A0000}"/>
    <cellStyle name="40% - Accent2 2 3 2 3 3" xfId="5165" xr:uid="{00000000-0005-0000-0000-0000582A0000}"/>
    <cellStyle name="40% - Accent2 2 3 2 3 3 2" xfId="6321" xr:uid="{00000000-0005-0000-0000-0000592A0000}"/>
    <cellStyle name="40% - Accent2 2 3 2 3 3 2 2" xfId="7603" xr:uid="{00000000-0005-0000-0000-00005A2A0000}"/>
    <cellStyle name="40% - Accent2 2 3 2 3 3 2 2 2" xfId="11939" xr:uid="{00000000-0005-0000-0000-00005B2A0000}"/>
    <cellStyle name="40% - Accent2 2 3 2 3 3 2 2 2 2" xfId="31409" xr:uid="{00000000-0005-0000-0000-00005C2A0000}"/>
    <cellStyle name="40% - Accent2 2 3 2 3 3 2 2 3" xfId="27087" xr:uid="{00000000-0005-0000-0000-00005D2A0000}"/>
    <cellStyle name="40% - Accent2 2 3 2 3 3 2 3" xfId="10738" xr:uid="{00000000-0005-0000-0000-00005E2A0000}"/>
    <cellStyle name="40% - Accent2 2 3 2 3 3 2 3 2" xfId="30208" xr:uid="{00000000-0005-0000-0000-00005F2A0000}"/>
    <cellStyle name="40% - Accent2 2 3 2 3 3 2 4" xfId="25806" xr:uid="{00000000-0005-0000-0000-0000602A0000}"/>
    <cellStyle name="40% - Accent2 2 3 2 3 3 3" xfId="7602" xr:uid="{00000000-0005-0000-0000-0000612A0000}"/>
    <cellStyle name="40% - Accent2 2 3 2 3 3 3 2" xfId="11938" xr:uid="{00000000-0005-0000-0000-0000622A0000}"/>
    <cellStyle name="40% - Accent2 2 3 2 3 3 3 2 2" xfId="31408" xr:uid="{00000000-0005-0000-0000-0000632A0000}"/>
    <cellStyle name="40% - Accent2 2 3 2 3 3 3 3" xfId="27086" xr:uid="{00000000-0005-0000-0000-0000642A0000}"/>
    <cellStyle name="40% - Accent2 2 3 2 3 3 4" xfId="9678" xr:uid="{00000000-0005-0000-0000-0000652A0000}"/>
    <cellStyle name="40% - Accent2 2 3 2 3 3 4 2" xfId="29148" xr:uid="{00000000-0005-0000-0000-0000662A0000}"/>
    <cellStyle name="40% - Accent2 2 3 2 3 3 5" xfId="24656" xr:uid="{00000000-0005-0000-0000-0000672A0000}"/>
    <cellStyle name="40% - Accent2 2 3 2 3 4" xfId="5774" xr:uid="{00000000-0005-0000-0000-0000682A0000}"/>
    <cellStyle name="40% - Accent2 2 3 2 3 4 2" xfId="7604" xr:uid="{00000000-0005-0000-0000-0000692A0000}"/>
    <cellStyle name="40% - Accent2 2 3 2 3 4 2 2" xfId="11940" xr:uid="{00000000-0005-0000-0000-00006A2A0000}"/>
    <cellStyle name="40% - Accent2 2 3 2 3 4 2 2 2" xfId="31410" xr:uid="{00000000-0005-0000-0000-00006B2A0000}"/>
    <cellStyle name="40% - Accent2 2 3 2 3 4 2 3" xfId="27088" xr:uid="{00000000-0005-0000-0000-00006C2A0000}"/>
    <cellStyle name="40% - Accent2 2 3 2 3 4 3" xfId="10208" xr:uid="{00000000-0005-0000-0000-00006D2A0000}"/>
    <cellStyle name="40% - Accent2 2 3 2 3 4 3 2" xfId="29678" xr:uid="{00000000-0005-0000-0000-00006E2A0000}"/>
    <cellStyle name="40% - Accent2 2 3 2 3 4 4" xfId="25259" xr:uid="{00000000-0005-0000-0000-00006F2A0000}"/>
    <cellStyle name="40% - Accent2 2 3 2 3 5" xfId="7597" xr:uid="{00000000-0005-0000-0000-0000702A0000}"/>
    <cellStyle name="40% - Accent2 2 3 2 3 5 2" xfId="11933" xr:uid="{00000000-0005-0000-0000-0000712A0000}"/>
    <cellStyle name="40% - Accent2 2 3 2 3 5 2 2" xfId="31403" xr:uid="{00000000-0005-0000-0000-0000722A0000}"/>
    <cellStyle name="40% - Accent2 2 3 2 3 5 3" xfId="27081" xr:uid="{00000000-0005-0000-0000-0000732A0000}"/>
    <cellStyle name="40% - Accent2 2 3 2 3 6" xfId="9147" xr:uid="{00000000-0005-0000-0000-0000742A0000}"/>
    <cellStyle name="40% - Accent2 2 3 2 3 6 2" xfId="28618" xr:uid="{00000000-0005-0000-0000-0000752A0000}"/>
    <cellStyle name="40% - Accent2 2 3 2 3 7" xfId="24036" xr:uid="{00000000-0005-0000-0000-0000762A0000}"/>
    <cellStyle name="40% - Accent2 2 3 2 4" xfId="4627" xr:uid="{00000000-0005-0000-0000-0000772A0000}"/>
    <cellStyle name="40% - Accent2 2 3 2 4 2" xfId="5267" xr:uid="{00000000-0005-0000-0000-0000782A0000}"/>
    <cellStyle name="40% - Accent2 2 3 2 4 2 2" xfId="6401" xr:uid="{00000000-0005-0000-0000-0000792A0000}"/>
    <cellStyle name="40% - Accent2 2 3 2 4 2 2 2" xfId="7607" xr:uid="{00000000-0005-0000-0000-00007A2A0000}"/>
    <cellStyle name="40% - Accent2 2 3 2 4 2 2 2 2" xfId="11943" xr:uid="{00000000-0005-0000-0000-00007B2A0000}"/>
    <cellStyle name="40% - Accent2 2 3 2 4 2 2 2 2 2" xfId="31413" xr:uid="{00000000-0005-0000-0000-00007C2A0000}"/>
    <cellStyle name="40% - Accent2 2 3 2 4 2 2 2 3" xfId="27091" xr:uid="{00000000-0005-0000-0000-00007D2A0000}"/>
    <cellStyle name="40% - Accent2 2 3 2 4 2 2 3" xfId="10817" xr:uid="{00000000-0005-0000-0000-00007E2A0000}"/>
    <cellStyle name="40% - Accent2 2 3 2 4 2 2 3 2" xfId="30287" xr:uid="{00000000-0005-0000-0000-00007F2A0000}"/>
    <cellStyle name="40% - Accent2 2 3 2 4 2 2 4" xfId="25886" xr:uid="{00000000-0005-0000-0000-0000802A0000}"/>
    <cellStyle name="40% - Accent2 2 3 2 4 2 3" xfId="7606" xr:uid="{00000000-0005-0000-0000-0000812A0000}"/>
    <cellStyle name="40% - Accent2 2 3 2 4 2 3 2" xfId="11942" xr:uid="{00000000-0005-0000-0000-0000822A0000}"/>
    <cellStyle name="40% - Accent2 2 3 2 4 2 3 2 2" xfId="31412" xr:uid="{00000000-0005-0000-0000-0000832A0000}"/>
    <cellStyle name="40% - Accent2 2 3 2 4 2 3 3" xfId="27090" xr:uid="{00000000-0005-0000-0000-0000842A0000}"/>
    <cellStyle name="40% - Accent2 2 3 2 4 2 4" xfId="9756" xr:uid="{00000000-0005-0000-0000-0000852A0000}"/>
    <cellStyle name="40% - Accent2 2 3 2 4 2 4 2" xfId="29226" xr:uid="{00000000-0005-0000-0000-0000862A0000}"/>
    <cellStyle name="40% - Accent2 2 3 2 4 2 5" xfId="24758" xr:uid="{00000000-0005-0000-0000-0000872A0000}"/>
    <cellStyle name="40% - Accent2 2 3 2 4 3" xfId="5864" xr:uid="{00000000-0005-0000-0000-0000882A0000}"/>
    <cellStyle name="40% - Accent2 2 3 2 4 3 2" xfId="7608" xr:uid="{00000000-0005-0000-0000-0000892A0000}"/>
    <cellStyle name="40% - Accent2 2 3 2 4 3 2 2" xfId="11944" xr:uid="{00000000-0005-0000-0000-00008A2A0000}"/>
    <cellStyle name="40% - Accent2 2 3 2 4 3 2 2 2" xfId="31414" xr:uid="{00000000-0005-0000-0000-00008B2A0000}"/>
    <cellStyle name="40% - Accent2 2 3 2 4 3 2 3" xfId="27092" xr:uid="{00000000-0005-0000-0000-00008C2A0000}"/>
    <cellStyle name="40% - Accent2 2 3 2 4 3 3" xfId="10286" xr:uid="{00000000-0005-0000-0000-00008D2A0000}"/>
    <cellStyle name="40% - Accent2 2 3 2 4 3 3 2" xfId="29756" xr:uid="{00000000-0005-0000-0000-00008E2A0000}"/>
    <cellStyle name="40% - Accent2 2 3 2 4 3 4" xfId="25349" xr:uid="{00000000-0005-0000-0000-00008F2A0000}"/>
    <cellStyle name="40% - Accent2 2 3 2 4 4" xfId="7605" xr:uid="{00000000-0005-0000-0000-0000902A0000}"/>
    <cellStyle name="40% - Accent2 2 3 2 4 4 2" xfId="11941" xr:uid="{00000000-0005-0000-0000-0000912A0000}"/>
    <cellStyle name="40% - Accent2 2 3 2 4 4 2 2" xfId="31411" xr:uid="{00000000-0005-0000-0000-0000922A0000}"/>
    <cellStyle name="40% - Accent2 2 3 2 4 4 3" xfId="27089" xr:uid="{00000000-0005-0000-0000-0000932A0000}"/>
    <cellStyle name="40% - Accent2 2 3 2 4 5" xfId="9226" xr:uid="{00000000-0005-0000-0000-0000942A0000}"/>
    <cellStyle name="40% - Accent2 2 3 2 4 5 2" xfId="28696" xr:uid="{00000000-0005-0000-0000-0000952A0000}"/>
    <cellStyle name="40% - Accent2 2 3 2 4 6" xfId="24138" xr:uid="{00000000-0005-0000-0000-0000962A0000}"/>
    <cellStyle name="40% - Accent2 2 3 2 5" xfId="4971" xr:uid="{00000000-0005-0000-0000-0000972A0000}"/>
    <cellStyle name="40% - Accent2 2 3 2 5 2" xfId="6133" xr:uid="{00000000-0005-0000-0000-0000982A0000}"/>
    <cellStyle name="40% - Accent2 2 3 2 5 2 2" xfId="7610" xr:uid="{00000000-0005-0000-0000-0000992A0000}"/>
    <cellStyle name="40% - Accent2 2 3 2 5 2 2 2" xfId="11946" xr:uid="{00000000-0005-0000-0000-00009A2A0000}"/>
    <cellStyle name="40% - Accent2 2 3 2 5 2 2 2 2" xfId="31416" xr:uid="{00000000-0005-0000-0000-00009B2A0000}"/>
    <cellStyle name="40% - Accent2 2 3 2 5 2 2 3" xfId="27094" xr:uid="{00000000-0005-0000-0000-00009C2A0000}"/>
    <cellStyle name="40% - Accent2 2 3 2 5 2 3" xfId="10551" xr:uid="{00000000-0005-0000-0000-00009D2A0000}"/>
    <cellStyle name="40% - Accent2 2 3 2 5 2 3 2" xfId="30021" xr:uid="{00000000-0005-0000-0000-00009E2A0000}"/>
    <cellStyle name="40% - Accent2 2 3 2 5 2 4" xfId="25618" xr:uid="{00000000-0005-0000-0000-00009F2A0000}"/>
    <cellStyle name="40% - Accent2 2 3 2 5 3" xfId="7609" xr:uid="{00000000-0005-0000-0000-0000A02A0000}"/>
    <cellStyle name="40% - Accent2 2 3 2 5 3 2" xfId="11945" xr:uid="{00000000-0005-0000-0000-0000A12A0000}"/>
    <cellStyle name="40% - Accent2 2 3 2 5 3 2 2" xfId="31415" xr:uid="{00000000-0005-0000-0000-0000A22A0000}"/>
    <cellStyle name="40% - Accent2 2 3 2 5 3 3" xfId="27093" xr:uid="{00000000-0005-0000-0000-0000A32A0000}"/>
    <cellStyle name="40% - Accent2 2 3 2 5 4" xfId="9491" xr:uid="{00000000-0005-0000-0000-0000A42A0000}"/>
    <cellStyle name="40% - Accent2 2 3 2 5 4 2" xfId="28961" xr:uid="{00000000-0005-0000-0000-0000A52A0000}"/>
    <cellStyle name="40% - Accent2 2 3 2 5 5" xfId="24465" xr:uid="{00000000-0005-0000-0000-0000A62A0000}"/>
    <cellStyle name="40% - Accent2 2 3 2 6" xfId="5576" xr:uid="{00000000-0005-0000-0000-0000A72A0000}"/>
    <cellStyle name="40% - Accent2 2 3 2 6 2" xfId="7611" xr:uid="{00000000-0005-0000-0000-0000A82A0000}"/>
    <cellStyle name="40% - Accent2 2 3 2 6 2 2" xfId="11947" xr:uid="{00000000-0005-0000-0000-0000A92A0000}"/>
    <cellStyle name="40% - Accent2 2 3 2 6 2 2 2" xfId="31417" xr:uid="{00000000-0005-0000-0000-0000AA2A0000}"/>
    <cellStyle name="40% - Accent2 2 3 2 6 2 3" xfId="27095" xr:uid="{00000000-0005-0000-0000-0000AB2A0000}"/>
    <cellStyle name="40% - Accent2 2 3 2 6 3" xfId="10021" xr:uid="{00000000-0005-0000-0000-0000AC2A0000}"/>
    <cellStyle name="40% - Accent2 2 3 2 6 3 2" xfId="29491" xr:uid="{00000000-0005-0000-0000-0000AD2A0000}"/>
    <cellStyle name="40% - Accent2 2 3 2 6 4" xfId="25063" xr:uid="{00000000-0005-0000-0000-0000AE2A0000}"/>
    <cellStyle name="40% - Accent2 2 3 2 7" xfId="7588" xr:uid="{00000000-0005-0000-0000-0000AF2A0000}"/>
    <cellStyle name="40% - Accent2 2 3 2 7 2" xfId="11924" xr:uid="{00000000-0005-0000-0000-0000B02A0000}"/>
    <cellStyle name="40% - Accent2 2 3 2 7 2 2" xfId="31394" xr:uid="{00000000-0005-0000-0000-0000B12A0000}"/>
    <cellStyle name="40% - Accent2 2 3 2 7 3" xfId="27072" xr:uid="{00000000-0005-0000-0000-0000B22A0000}"/>
    <cellStyle name="40% - Accent2 2 3 2 8" xfId="8957" xr:uid="{00000000-0005-0000-0000-0000B32A0000}"/>
    <cellStyle name="40% - Accent2 2 3 2 8 2" xfId="28431" xr:uid="{00000000-0005-0000-0000-0000B42A0000}"/>
    <cellStyle name="40% - Accent2 2 3 2 9" xfId="23689" xr:uid="{00000000-0005-0000-0000-0000B52A0000}"/>
    <cellStyle name="40% - Accent2 2 3 3" xfId="2954" xr:uid="{00000000-0005-0000-0000-0000B62A0000}"/>
    <cellStyle name="40% - Accent2 2 3 3 2" xfId="4661" xr:uid="{00000000-0005-0000-0000-0000B72A0000}"/>
    <cellStyle name="40% - Accent2 2 3 3 2 2" xfId="5301" xr:uid="{00000000-0005-0000-0000-0000B82A0000}"/>
    <cellStyle name="40% - Accent2 2 3 3 2 2 2" xfId="6435" xr:uid="{00000000-0005-0000-0000-0000B92A0000}"/>
    <cellStyle name="40% - Accent2 2 3 3 2 2 2 2" xfId="7615" xr:uid="{00000000-0005-0000-0000-0000BA2A0000}"/>
    <cellStyle name="40% - Accent2 2 3 3 2 2 2 2 2" xfId="11951" xr:uid="{00000000-0005-0000-0000-0000BB2A0000}"/>
    <cellStyle name="40% - Accent2 2 3 3 2 2 2 2 2 2" xfId="31421" xr:uid="{00000000-0005-0000-0000-0000BC2A0000}"/>
    <cellStyle name="40% - Accent2 2 3 3 2 2 2 2 3" xfId="27099" xr:uid="{00000000-0005-0000-0000-0000BD2A0000}"/>
    <cellStyle name="40% - Accent2 2 3 3 2 2 2 3" xfId="10851" xr:uid="{00000000-0005-0000-0000-0000BE2A0000}"/>
    <cellStyle name="40% - Accent2 2 3 3 2 2 2 3 2" xfId="30321" xr:uid="{00000000-0005-0000-0000-0000BF2A0000}"/>
    <cellStyle name="40% - Accent2 2 3 3 2 2 2 4" xfId="25920" xr:uid="{00000000-0005-0000-0000-0000C02A0000}"/>
    <cellStyle name="40% - Accent2 2 3 3 2 2 3" xfId="7614" xr:uid="{00000000-0005-0000-0000-0000C12A0000}"/>
    <cellStyle name="40% - Accent2 2 3 3 2 2 3 2" xfId="11950" xr:uid="{00000000-0005-0000-0000-0000C22A0000}"/>
    <cellStyle name="40% - Accent2 2 3 3 2 2 3 2 2" xfId="31420" xr:uid="{00000000-0005-0000-0000-0000C32A0000}"/>
    <cellStyle name="40% - Accent2 2 3 3 2 2 3 3" xfId="27098" xr:uid="{00000000-0005-0000-0000-0000C42A0000}"/>
    <cellStyle name="40% - Accent2 2 3 3 2 2 4" xfId="9790" xr:uid="{00000000-0005-0000-0000-0000C52A0000}"/>
    <cellStyle name="40% - Accent2 2 3 3 2 2 4 2" xfId="29260" xr:uid="{00000000-0005-0000-0000-0000C62A0000}"/>
    <cellStyle name="40% - Accent2 2 3 3 2 2 5" xfId="24792" xr:uid="{00000000-0005-0000-0000-0000C72A0000}"/>
    <cellStyle name="40% - Accent2 2 3 3 2 3" xfId="5898" xr:uid="{00000000-0005-0000-0000-0000C82A0000}"/>
    <cellStyle name="40% - Accent2 2 3 3 2 3 2" xfId="7616" xr:uid="{00000000-0005-0000-0000-0000C92A0000}"/>
    <cellStyle name="40% - Accent2 2 3 3 2 3 2 2" xfId="11952" xr:uid="{00000000-0005-0000-0000-0000CA2A0000}"/>
    <cellStyle name="40% - Accent2 2 3 3 2 3 2 2 2" xfId="31422" xr:uid="{00000000-0005-0000-0000-0000CB2A0000}"/>
    <cellStyle name="40% - Accent2 2 3 3 2 3 2 3" xfId="27100" xr:uid="{00000000-0005-0000-0000-0000CC2A0000}"/>
    <cellStyle name="40% - Accent2 2 3 3 2 3 3" xfId="10320" xr:uid="{00000000-0005-0000-0000-0000CD2A0000}"/>
    <cellStyle name="40% - Accent2 2 3 3 2 3 3 2" xfId="29790" xr:uid="{00000000-0005-0000-0000-0000CE2A0000}"/>
    <cellStyle name="40% - Accent2 2 3 3 2 3 4" xfId="25383" xr:uid="{00000000-0005-0000-0000-0000CF2A0000}"/>
    <cellStyle name="40% - Accent2 2 3 3 2 4" xfId="7613" xr:uid="{00000000-0005-0000-0000-0000D02A0000}"/>
    <cellStyle name="40% - Accent2 2 3 3 2 4 2" xfId="11949" xr:uid="{00000000-0005-0000-0000-0000D12A0000}"/>
    <cellStyle name="40% - Accent2 2 3 3 2 4 2 2" xfId="31419" xr:uid="{00000000-0005-0000-0000-0000D22A0000}"/>
    <cellStyle name="40% - Accent2 2 3 3 2 4 3" xfId="27097" xr:uid="{00000000-0005-0000-0000-0000D32A0000}"/>
    <cellStyle name="40% - Accent2 2 3 3 2 5" xfId="9260" xr:uid="{00000000-0005-0000-0000-0000D42A0000}"/>
    <cellStyle name="40% - Accent2 2 3 3 2 5 2" xfId="28730" xr:uid="{00000000-0005-0000-0000-0000D52A0000}"/>
    <cellStyle name="40% - Accent2 2 3 3 2 6" xfId="24172" xr:uid="{00000000-0005-0000-0000-0000D62A0000}"/>
    <cellStyle name="40% - Accent2 2 3 3 3" xfId="5005" xr:uid="{00000000-0005-0000-0000-0000D72A0000}"/>
    <cellStyle name="40% - Accent2 2 3 3 3 2" xfId="6167" xr:uid="{00000000-0005-0000-0000-0000D82A0000}"/>
    <cellStyle name="40% - Accent2 2 3 3 3 2 2" xfId="7618" xr:uid="{00000000-0005-0000-0000-0000D92A0000}"/>
    <cellStyle name="40% - Accent2 2 3 3 3 2 2 2" xfId="11954" xr:uid="{00000000-0005-0000-0000-0000DA2A0000}"/>
    <cellStyle name="40% - Accent2 2 3 3 3 2 2 2 2" xfId="31424" xr:uid="{00000000-0005-0000-0000-0000DB2A0000}"/>
    <cellStyle name="40% - Accent2 2 3 3 3 2 2 3" xfId="27102" xr:uid="{00000000-0005-0000-0000-0000DC2A0000}"/>
    <cellStyle name="40% - Accent2 2 3 3 3 2 3" xfId="10585" xr:uid="{00000000-0005-0000-0000-0000DD2A0000}"/>
    <cellStyle name="40% - Accent2 2 3 3 3 2 3 2" xfId="30055" xr:uid="{00000000-0005-0000-0000-0000DE2A0000}"/>
    <cellStyle name="40% - Accent2 2 3 3 3 2 4" xfId="25652" xr:uid="{00000000-0005-0000-0000-0000DF2A0000}"/>
    <cellStyle name="40% - Accent2 2 3 3 3 3" xfId="7617" xr:uid="{00000000-0005-0000-0000-0000E02A0000}"/>
    <cellStyle name="40% - Accent2 2 3 3 3 3 2" xfId="11953" xr:uid="{00000000-0005-0000-0000-0000E12A0000}"/>
    <cellStyle name="40% - Accent2 2 3 3 3 3 2 2" xfId="31423" xr:uid="{00000000-0005-0000-0000-0000E22A0000}"/>
    <cellStyle name="40% - Accent2 2 3 3 3 3 3" xfId="27101" xr:uid="{00000000-0005-0000-0000-0000E32A0000}"/>
    <cellStyle name="40% - Accent2 2 3 3 3 4" xfId="9525" xr:uid="{00000000-0005-0000-0000-0000E42A0000}"/>
    <cellStyle name="40% - Accent2 2 3 3 3 4 2" xfId="28995" xr:uid="{00000000-0005-0000-0000-0000E52A0000}"/>
    <cellStyle name="40% - Accent2 2 3 3 3 5" xfId="24499" xr:uid="{00000000-0005-0000-0000-0000E62A0000}"/>
    <cellStyle name="40% - Accent2 2 3 3 4" xfId="5610" xr:uid="{00000000-0005-0000-0000-0000E72A0000}"/>
    <cellStyle name="40% - Accent2 2 3 3 4 2" xfId="7619" xr:uid="{00000000-0005-0000-0000-0000E82A0000}"/>
    <cellStyle name="40% - Accent2 2 3 3 4 2 2" xfId="11955" xr:uid="{00000000-0005-0000-0000-0000E92A0000}"/>
    <cellStyle name="40% - Accent2 2 3 3 4 2 2 2" xfId="31425" xr:uid="{00000000-0005-0000-0000-0000EA2A0000}"/>
    <cellStyle name="40% - Accent2 2 3 3 4 2 3" xfId="27103" xr:uid="{00000000-0005-0000-0000-0000EB2A0000}"/>
    <cellStyle name="40% - Accent2 2 3 3 4 3" xfId="10055" xr:uid="{00000000-0005-0000-0000-0000EC2A0000}"/>
    <cellStyle name="40% - Accent2 2 3 3 4 3 2" xfId="29525" xr:uid="{00000000-0005-0000-0000-0000ED2A0000}"/>
    <cellStyle name="40% - Accent2 2 3 3 4 4" xfId="25097" xr:uid="{00000000-0005-0000-0000-0000EE2A0000}"/>
    <cellStyle name="40% - Accent2 2 3 3 5" xfId="7612" xr:uid="{00000000-0005-0000-0000-0000EF2A0000}"/>
    <cellStyle name="40% - Accent2 2 3 3 5 2" xfId="11948" xr:uid="{00000000-0005-0000-0000-0000F02A0000}"/>
    <cellStyle name="40% - Accent2 2 3 3 5 2 2" xfId="31418" xr:uid="{00000000-0005-0000-0000-0000F12A0000}"/>
    <cellStyle name="40% - Accent2 2 3 3 5 3" xfId="27096" xr:uid="{00000000-0005-0000-0000-0000F22A0000}"/>
    <cellStyle name="40% - Accent2 2 3 3 6" xfId="8991" xr:uid="{00000000-0005-0000-0000-0000F32A0000}"/>
    <cellStyle name="40% - Accent2 2 3 3 6 2" xfId="28465" xr:uid="{00000000-0005-0000-0000-0000F42A0000}"/>
    <cellStyle name="40% - Accent2 2 3 3 7" xfId="23763" xr:uid="{00000000-0005-0000-0000-0000F52A0000}"/>
    <cellStyle name="40% - Accent2 2 3 4" xfId="4188" xr:uid="{00000000-0005-0000-0000-0000F62A0000}"/>
    <cellStyle name="40% - Accent2 2 3 4 2" xfId="4780" xr:uid="{00000000-0005-0000-0000-0000F72A0000}"/>
    <cellStyle name="40% - Accent2 2 3 4 2 2" xfId="5406" xr:uid="{00000000-0005-0000-0000-0000F82A0000}"/>
    <cellStyle name="40% - Accent2 2 3 4 2 2 2" xfId="6534" xr:uid="{00000000-0005-0000-0000-0000F92A0000}"/>
    <cellStyle name="40% - Accent2 2 3 4 2 2 2 2" xfId="7623" xr:uid="{00000000-0005-0000-0000-0000FA2A0000}"/>
    <cellStyle name="40% - Accent2 2 3 4 2 2 2 2 2" xfId="11959" xr:uid="{00000000-0005-0000-0000-0000FB2A0000}"/>
    <cellStyle name="40% - Accent2 2 3 4 2 2 2 2 2 2" xfId="31429" xr:uid="{00000000-0005-0000-0000-0000FC2A0000}"/>
    <cellStyle name="40% - Accent2 2 3 4 2 2 2 2 3" xfId="27107" xr:uid="{00000000-0005-0000-0000-0000FD2A0000}"/>
    <cellStyle name="40% - Accent2 2 3 4 2 2 2 3" xfId="10950" xr:uid="{00000000-0005-0000-0000-0000FE2A0000}"/>
    <cellStyle name="40% - Accent2 2 3 4 2 2 2 3 2" xfId="30420" xr:uid="{00000000-0005-0000-0000-0000FF2A0000}"/>
    <cellStyle name="40% - Accent2 2 3 4 2 2 2 4" xfId="26019" xr:uid="{00000000-0005-0000-0000-0000002B0000}"/>
    <cellStyle name="40% - Accent2 2 3 4 2 2 3" xfId="7622" xr:uid="{00000000-0005-0000-0000-0000012B0000}"/>
    <cellStyle name="40% - Accent2 2 3 4 2 2 3 2" xfId="11958" xr:uid="{00000000-0005-0000-0000-0000022B0000}"/>
    <cellStyle name="40% - Accent2 2 3 4 2 2 3 2 2" xfId="31428" xr:uid="{00000000-0005-0000-0000-0000032B0000}"/>
    <cellStyle name="40% - Accent2 2 3 4 2 2 3 3" xfId="27106" xr:uid="{00000000-0005-0000-0000-0000042B0000}"/>
    <cellStyle name="40% - Accent2 2 3 4 2 2 4" xfId="9889" xr:uid="{00000000-0005-0000-0000-0000052B0000}"/>
    <cellStyle name="40% - Accent2 2 3 4 2 2 4 2" xfId="29359" xr:uid="{00000000-0005-0000-0000-0000062B0000}"/>
    <cellStyle name="40% - Accent2 2 3 4 2 2 5" xfId="24897" xr:uid="{00000000-0005-0000-0000-0000072B0000}"/>
    <cellStyle name="40% - Accent2 2 3 4 2 3" xfId="5998" xr:uid="{00000000-0005-0000-0000-0000082B0000}"/>
    <cellStyle name="40% - Accent2 2 3 4 2 3 2" xfId="7624" xr:uid="{00000000-0005-0000-0000-0000092B0000}"/>
    <cellStyle name="40% - Accent2 2 3 4 2 3 2 2" xfId="11960" xr:uid="{00000000-0005-0000-0000-00000A2B0000}"/>
    <cellStyle name="40% - Accent2 2 3 4 2 3 2 2 2" xfId="31430" xr:uid="{00000000-0005-0000-0000-00000B2B0000}"/>
    <cellStyle name="40% - Accent2 2 3 4 2 3 2 3" xfId="27108" xr:uid="{00000000-0005-0000-0000-00000C2B0000}"/>
    <cellStyle name="40% - Accent2 2 3 4 2 3 3" xfId="10419" xr:uid="{00000000-0005-0000-0000-00000D2B0000}"/>
    <cellStyle name="40% - Accent2 2 3 4 2 3 3 2" xfId="29889" xr:uid="{00000000-0005-0000-0000-00000E2B0000}"/>
    <cellStyle name="40% - Accent2 2 3 4 2 3 4" xfId="25483" xr:uid="{00000000-0005-0000-0000-00000F2B0000}"/>
    <cellStyle name="40% - Accent2 2 3 4 2 4" xfId="7621" xr:uid="{00000000-0005-0000-0000-0000102B0000}"/>
    <cellStyle name="40% - Accent2 2 3 4 2 4 2" xfId="11957" xr:uid="{00000000-0005-0000-0000-0000112B0000}"/>
    <cellStyle name="40% - Accent2 2 3 4 2 4 2 2" xfId="31427" xr:uid="{00000000-0005-0000-0000-0000122B0000}"/>
    <cellStyle name="40% - Accent2 2 3 4 2 4 3" xfId="27105" xr:uid="{00000000-0005-0000-0000-0000132B0000}"/>
    <cellStyle name="40% - Accent2 2 3 4 2 5" xfId="9359" xr:uid="{00000000-0005-0000-0000-0000142B0000}"/>
    <cellStyle name="40% - Accent2 2 3 4 2 5 2" xfId="28829" xr:uid="{00000000-0005-0000-0000-0000152B0000}"/>
    <cellStyle name="40% - Accent2 2 3 4 2 6" xfId="24282" xr:uid="{00000000-0005-0000-0000-0000162B0000}"/>
    <cellStyle name="40% - Accent2 2 3 4 3" xfId="5111" xr:uid="{00000000-0005-0000-0000-0000172B0000}"/>
    <cellStyle name="40% - Accent2 2 3 4 3 2" xfId="6267" xr:uid="{00000000-0005-0000-0000-0000182B0000}"/>
    <cellStyle name="40% - Accent2 2 3 4 3 2 2" xfId="7626" xr:uid="{00000000-0005-0000-0000-0000192B0000}"/>
    <cellStyle name="40% - Accent2 2 3 4 3 2 2 2" xfId="11962" xr:uid="{00000000-0005-0000-0000-00001A2B0000}"/>
    <cellStyle name="40% - Accent2 2 3 4 3 2 2 2 2" xfId="31432" xr:uid="{00000000-0005-0000-0000-00001B2B0000}"/>
    <cellStyle name="40% - Accent2 2 3 4 3 2 2 3" xfId="27110" xr:uid="{00000000-0005-0000-0000-00001C2B0000}"/>
    <cellStyle name="40% - Accent2 2 3 4 3 2 3" xfId="10684" xr:uid="{00000000-0005-0000-0000-00001D2B0000}"/>
    <cellStyle name="40% - Accent2 2 3 4 3 2 3 2" xfId="30154" xr:uid="{00000000-0005-0000-0000-00001E2B0000}"/>
    <cellStyle name="40% - Accent2 2 3 4 3 2 4" xfId="25752" xr:uid="{00000000-0005-0000-0000-00001F2B0000}"/>
    <cellStyle name="40% - Accent2 2 3 4 3 3" xfId="7625" xr:uid="{00000000-0005-0000-0000-0000202B0000}"/>
    <cellStyle name="40% - Accent2 2 3 4 3 3 2" xfId="11961" xr:uid="{00000000-0005-0000-0000-0000212B0000}"/>
    <cellStyle name="40% - Accent2 2 3 4 3 3 2 2" xfId="31431" xr:uid="{00000000-0005-0000-0000-0000222B0000}"/>
    <cellStyle name="40% - Accent2 2 3 4 3 3 3" xfId="27109" xr:uid="{00000000-0005-0000-0000-0000232B0000}"/>
    <cellStyle name="40% - Accent2 2 3 4 3 4" xfId="9624" xr:uid="{00000000-0005-0000-0000-0000242B0000}"/>
    <cellStyle name="40% - Accent2 2 3 4 3 4 2" xfId="29094" xr:uid="{00000000-0005-0000-0000-0000252B0000}"/>
    <cellStyle name="40% - Accent2 2 3 4 3 5" xfId="24602" xr:uid="{00000000-0005-0000-0000-0000262B0000}"/>
    <cellStyle name="40% - Accent2 2 3 4 4" xfId="5720" xr:uid="{00000000-0005-0000-0000-0000272B0000}"/>
    <cellStyle name="40% - Accent2 2 3 4 4 2" xfId="7627" xr:uid="{00000000-0005-0000-0000-0000282B0000}"/>
    <cellStyle name="40% - Accent2 2 3 4 4 2 2" xfId="11963" xr:uid="{00000000-0005-0000-0000-0000292B0000}"/>
    <cellStyle name="40% - Accent2 2 3 4 4 2 2 2" xfId="31433" xr:uid="{00000000-0005-0000-0000-00002A2B0000}"/>
    <cellStyle name="40% - Accent2 2 3 4 4 2 3" xfId="27111" xr:uid="{00000000-0005-0000-0000-00002B2B0000}"/>
    <cellStyle name="40% - Accent2 2 3 4 4 3" xfId="10154" xr:uid="{00000000-0005-0000-0000-00002C2B0000}"/>
    <cellStyle name="40% - Accent2 2 3 4 4 3 2" xfId="29624" xr:uid="{00000000-0005-0000-0000-00002D2B0000}"/>
    <cellStyle name="40% - Accent2 2 3 4 4 4" xfId="25205" xr:uid="{00000000-0005-0000-0000-00002E2B0000}"/>
    <cellStyle name="40% - Accent2 2 3 4 5" xfId="7620" xr:uid="{00000000-0005-0000-0000-00002F2B0000}"/>
    <cellStyle name="40% - Accent2 2 3 4 5 2" xfId="11956" xr:uid="{00000000-0005-0000-0000-0000302B0000}"/>
    <cellStyle name="40% - Accent2 2 3 4 5 2 2" xfId="31426" xr:uid="{00000000-0005-0000-0000-0000312B0000}"/>
    <cellStyle name="40% - Accent2 2 3 4 5 3" xfId="27104" xr:uid="{00000000-0005-0000-0000-0000322B0000}"/>
    <cellStyle name="40% - Accent2 2 3 4 6" xfId="9093" xr:uid="{00000000-0005-0000-0000-0000332B0000}"/>
    <cellStyle name="40% - Accent2 2 3 4 6 2" xfId="28564" xr:uid="{00000000-0005-0000-0000-0000342B0000}"/>
    <cellStyle name="40% - Accent2 2 3 4 7" xfId="23980" xr:uid="{00000000-0005-0000-0000-0000352B0000}"/>
    <cellStyle name="40% - Accent2 2 3 5" xfId="4594" xr:uid="{00000000-0005-0000-0000-0000362B0000}"/>
    <cellStyle name="40% - Accent2 2 3 5 2" xfId="5235" xr:uid="{00000000-0005-0000-0000-0000372B0000}"/>
    <cellStyle name="40% - Accent2 2 3 5 2 2" xfId="6369" xr:uid="{00000000-0005-0000-0000-0000382B0000}"/>
    <cellStyle name="40% - Accent2 2 3 5 2 2 2" xfId="7630" xr:uid="{00000000-0005-0000-0000-0000392B0000}"/>
    <cellStyle name="40% - Accent2 2 3 5 2 2 2 2" xfId="11966" xr:uid="{00000000-0005-0000-0000-00003A2B0000}"/>
    <cellStyle name="40% - Accent2 2 3 5 2 2 2 2 2" xfId="31436" xr:uid="{00000000-0005-0000-0000-00003B2B0000}"/>
    <cellStyle name="40% - Accent2 2 3 5 2 2 2 3" xfId="27114" xr:uid="{00000000-0005-0000-0000-00003C2B0000}"/>
    <cellStyle name="40% - Accent2 2 3 5 2 2 3" xfId="10785" xr:uid="{00000000-0005-0000-0000-00003D2B0000}"/>
    <cellStyle name="40% - Accent2 2 3 5 2 2 3 2" xfId="30255" xr:uid="{00000000-0005-0000-0000-00003E2B0000}"/>
    <cellStyle name="40% - Accent2 2 3 5 2 2 4" xfId="25854" xr:uid="{00000000-0005-0000-0000-00003F2B0000}"/>
    <cellStyle name="40% - Accent2 2 3 5 2 3" xfId="7629" xr:uid="{00000000-0005-0000-0000-0000402B0000}"/>
    <cellStyle name="40% - Accent2 2 3 5 2 3 2" xfId="11965" xr:uid="{00000000-0005-0000-0000-0000412B0000}"/>
    <cellStyle name="40% - Accent2 2 3 5 2 3 2 2" xfId="31435" xr:uid="{00000000-0005-0000-0000-0000422B0000}"/>
    <cellStyle name="40% - Accent2 2 3 5 2 3 3" xfId="27113" xr:uid="{00000000-0005-0000-0000-0000432B0000}"/>
    <cellStyle name="40% - Accent2 2 3 5 2 4" xfId="9724" xr:uid="{00000000-0005-0000-0000-0000442B0000}"/>
    <cellStyle name="40% - Accent2 2 3 5 2 4 2" xfId="29194" xr:uid="{00000000-0005-0000-0000-0000452B0000}"/>
    <cellStyle name="40% - Accent2 2 3 5 2 5" xfId="24726" xr:uid="{00000000-0005-0000-0000-0000462B0000}"/>
    <cellStyle name="40% - Accent2 2 3 5 3" xfId="5831" xr:uid="{00000000-0005-0000-0000-0000472B0000}"/>
    <cellStyle name="40% - Accent2 2 3 5 3 2" xfId="7631" xr:uid="{00000000-0005-0000-0000-0000482B0000}"/>
    <cellStyle name="40% - Accent2 2 3 5 3 2 2" xfId="11967" xr:uid="{00000000-0005-0000-0000-0000492B0000}"/>
    <cellStyle name="40% - Accent2 2 3 5 3 2 2 2" xfId="31437" xr:uid="{00000000-0005-0000-0000-00004A2B0000}"/>
    <cellStyle name="40% - Accent2 2 3 5 3 2 3" xfId="27115" xr:uid="{00000000-0005-0000-0000-00004B2B0000}"/>
    <cellStyle name="40% - Accent2 2 3 5 3 3" xfId="10254" xr:uid="{00000000-0005-0000-0000-00004C2B0000}"/>
    <cellStyle name="40% - Accent2 2 3 5 3 3 2" xfId="29724" xr:uid="{00000000-0005-0000-0000-00004D2B0000}"/>
    <cellStyle name="40% - Accent2 2 3 5 3 4" xfId="25316" xr:uid="{00000000-0005-0000-0000-00004E2B0000}"/>
    <cellStyle name="40% - Accent2 2 3 5 4" xfId="7628" xr:uid="{00000000-0005-0000-0000-00004F2B0000}"/>
    <cellStyle name="40% - Accent2 2 3 5 4 2" xfId="11964" xr:uid="{00000000-0005-0000-0000-0000502B0000}"/>
    <cellStyle name="40% - Accent2 2 3 5 4 2 2" xfId="31434" xr:uid="{00000000-0005-0000-0000-0000512B0000}"/>
    <cellStyle name="40% - Accent2 2 3 5 4 3" xfId="27112" xr:uid="{00000000-0005-0000-0000-0000522B0000}"/>
    <cellStyle name="40% - Accent2 2 3 5 5" xfId="9194" xr:uid="{00000000-0005-0000-0000-0000532B0000}"/>
    <cellStyle name="40% - Accent2 2 3 5 5 2" xfId="28664" xr:uid="{00000000-0005-0000-0000-0000542B0000}"/>
    <cellStyle name="40% - Accent2 2 3 5 6" xfId="24105" xr:uid="{00000000-0005-0000-0000-0000552B0000}"/>
    <cellStyle name="40% - Accent2 2 3 6" xfId="4939" xr:uid="{00000000-0005-0000-0000-0000562B0000}"/>
    <cellStyle name="40% - Accent2 2 3 6 2" xfId="6101" xr:uid="{00000000-0005-0000-0000-0000572B0000}"/>
    <cellStyle name="40% - Accent2 2 3 6 2 2" xfId="7633" xr:uid="{00000000-0005-0000-0000-0000582B0000}"/>
    <cellStyle name="40% - Accent2 2 3 6 2 2 2" xfId="11969" xr:uid="{00000000-0005-0000-0000-0000592B0000}"/>
    <cellStyle name="40% - Accent2 2 3 6 2 2 2 2" xfId="31439" xr:uid="{00000000-0005-0000-0000-00005A2B0000}"/>
    <cellStyle name="40% - Accent2 2 3 6 2 2 3" xfId="27117" xr:uid="{00000000-0005-0000-0000-00005B2B0000}"/>
    <cellStyle name="40% - Accent2 2 3 6 2 3" xfId="10519" xr:uid="{00000000-0005-0000-0000-00005C2B0000}"/>
    <cellStyle name="40% - Accent2 2 3 6 2 3 2" xfId="29989" xr:uid="{00000000-0005-0000-0000-00005D2B0000}"/>
    <cellStyle name="40% - Accent2 2 3 6 2 4" xfId="25586" xr:uid="{00000000-0005-0000-0000-00005E2B0000}"/>
    <cellStyle name="40% - Accent2 2 3 6 3" xfId="7632" xr:uid="{00000000-0005-0000-0000-00005F2B0000}"/>
    <cellStyle name="40% - Accent2 2 3 6 3 2" xfId="11968" xr:uid="{00000000-0005-0000-0000-0000602B0000}"/>
    <cellStyle name="40% - Accent2 2 3 6 3 2 2" xfId="31438" xr:uid="{00000000-0005-0000-0000-0000612B0000}"/>
    <cellStyle name="40% - Accent2 2 3 6 3 3" xfId="27116" xr:uid="{00000000-0005-0000-0000-0000622B0000}"/>
    <cellStyle name="40% - Accent2 2 3 6 4" xfId="9459" xr:uid="{00000000-0005-0000-0000-0000632B0000}"/>
    <cellStyle name="40% - Accent2 2 3 6 4 2" xfId="28929" xr:uid="{00000000-0005-0000-0000-0000642B0000}"/>
    <cellStyle name="40% - Accent2 2 3 6 5" xfId="24433" xr:uid="{00000000-0005-0000-0000-0000652B0000}"/>
    <cellStyle name="40% - Accent2 2 3 7" xfId="5543" xr:uid="{00000000-0005-0000-0000-0000662B0000}"/>
    <cellStyle name="40% - Accent2 2 3 7 2" xfId="7634" xr:uid="{00000000-0005-0000-0000-0000672B0000}"/>
    <cellStyle name="40% - Accent2 2 3 7 2 2" xfId="11970" xr:uid="{00000000-0005-0000-0000-0000682B0000}"/>
    <cellStyle name="40% - Accent2 2 3 7 2 2 2" xfId="31440" xr:uid="{00000000-0005-0000-0000-0000692B0000}"/>
    <cellStyle name="40% - Accent2 2 3 7 2 3" xfId="27118" xr:uid="{00000000-0005-0000-0000-00006A2B0000}"/>
    <cellStyle name="40% - Accent2 2 3 7 3" xfId="9989" xr:uid="{00000000-0005-0000-0000-00006B2B0000}"/>
    <cellStyle name="40% - Accent2 2 3 7 3 2" xfId="29459" xr:uid="{00000000-0005-0000-0000-00006C2B0000}"/>
    <cellStyle name="40% - Accent2 2 3 7 4" xfId="25031" xr:uid="{00000000-0005-0000-0000-00006D2B0000}"/>
    <cellStyle name="40% - Accent2 2 3 8" xfId="7587" xr:uid="{00000000-0005-0000-0000-00006E2B0000}"/>
    <cellStyle name="40% - Accent2 2 3 8 2" xfId="11923" xr:uid="{00000000-0005-0000-0000-00006F2B0000}"/>
    <cellStyle name="40% - Accent2 2 3 8 2 2" xfId="31393" xr:uid="{00000000-0005-0000-0000-0000702B0000}"/>
    <cellStyle name="40% - Accent2 2 3 8 3" xfId="27071" xr:uid="{00000000-0005-0000-0000-0000712B0000}"/>
    <cellStyle name="40% - Accent2 2 3 9" xfId="8925" xr:uid="{00000000-0005-0000-0000-0000722B0000}"/>
    <cellStyle name="40% - Accent2 2 3 9 2" xfId="28399" xr:uid="{00000000-0005-0000-0000-0000732B0000}"/>
    <cellStyle name="40% - Accent2 2 4" xfId="3900" xr:uid="{00000000-0005-0000-0000-0000742B0000}"/>
    <cellStyle name="40% - Accent2 2 4 2" xfId="4242" xr:uid="{00000000-0005-0000-0000-0000752B0000}"/>
    <cellStyle name="40% - Accent2 2 4 2 2" xfId="4817" xr:uid="{00000000-0005-0000-0000-0000762B0000}"/>
    <cellStyle name="40% - Accent2 2 4 2 2 2" xfId="5442" xr:uid="{00000000-0005-0000-0000-0000772B0000}"/>
    <cellStyle name="40% - Accent2 2 4 2 2 2 2" xfId="6570" xr:uid="{00000000-0005-0000-0000-0000782B0000}"/>
    <cellStyle name="40% - Accent2 2 4 2 2 2 2 2" xfId="7639" xr:uid="{00000000-0005-0000-0000-0000792B0000}"/>
    <cellStyle name="40% - Accent2 2 4 2 2 2 2 2 2" xfId="11975" xr:uid="{00000000-0005-0000-0000-00007A2B0000}"/>
    <cellStyle name="40% - Accent2 2 4 2 2 2 2 2 2 2" xfId="31445" xr:uid="{00000000-0005-0000-0000-00007B2B0000}"/>
    <cellStyle name="40% - Accent2 2 4 2 2 2 2 2 3" xfId="27123" xr:uid="{00000000-0005-0000-0000-00007C2B0000}"/>
    <cellStyle name="40% - Accent2 2 4 2 2 2 2 3" xfId="10986" xr:uid="{00000000-0005-0000-0000-00007D2B0000}"/>
    <cellStyle name="40% - Accent2 2 4 2 2 2 2 3 2" xfId="30456" xr:uid="{00000000-0005-0000-0000-00007E2B0000}"/>
    <cellStyle name="40% - Accent2 2 4 2 2 2 2 4" xfId="26055" xr:uid="{00000000-0005-0000-0000-00007F2B0000}"/>
    <cellStyle name="40% - Accent2 2 4 2 2 2 3" xfId="7638" xr:uid="{00000000-0005-0000-0000-0000802B0000}"/>
    <cellStyle name="40% - Accent2 2 4 2 2 2 3 2" xfId="11974" xr:uid="{00000000-0005-0000-0000-0000812B0000}"/>
    <cellStyle name="40% - Accent2 2 4 2 2 2 3 2 2" xfId="31444" xr:uid="{00000000-0005-0000-0000-0000822B0000}"/>
    <cellStyle name="40% - Accent2 2 4 2 2 2 3 3" xfId="27122" xr:uid="{00000000-0005-0000-0000-0000832B0000}"/>
    <cellStyle name="40% - Accent2 2 4 2 2 2 4" xfId="9925" xr:uid="{00000000-0005-0000-0000-0000842B0000}"/>
    <cellStyle name="40% - Accent2 2 4 2 2 2 4 2" xfId="29395" xr:uid="{00000000-0005-0000-0000-0000852B0000}"/>
    <cellStyle name="40% - Accent2 2 4 2 2 2 5" xfId="24933" xr:uid="{00000000-0005-0000-0000-0000862B0000}"/>
    <cellStyle name="40% - Accent2 2 4 2 2 3" xfId="6035" xr:uid="{00000000-0005-0000-0000-0000872B0000}"/>
    <cellStyle name="40% - Accent2 2 4 2 2 3 2" xfId="7640" xr:uid="{00000000-0005-0000-0000-0000882B0000}"/>
    <cellStyle name="40% - Accent2 2 4 2 2 3 2 2" xfId="11976" xr:uid="{00000000-0005-0000-0000-0000892B0000}"/>
    <cellStyle name="40% - Accent2 2 4 2 2 3 2 2 2" xfId="31446" xr:uid="{00000000-0005-0000-0000-00008A2B0000}"/>
    <cellStyle name="40% - Accent2 2 4 2 2 3 2 3" xfId="27124" xr:uid="{00000000-0005-0000-0000-00008B2B0000}"/>
    <cellStyle name="40% - Accent2 2 4 2 2 3 3" xfId="10455" xr:uid="{00000000-0005-0000-0000-00008C2B0000}"/>
    <cellStyle name="40% - Accent2 2 4 2 2 3 3 2" xfId="29925" xr:uid="{00000000-0005-0000-0000-00008D2B0000}"/>
    <cellStyle name="40% - Accent2 2 4 2 2 3 4" xfId="25520" xr:uid="{00000000-0005-0000-0000-00008E2B0000}"/>
    <cellStyle name="40% - Accent2 2 4 2 2 4" xfId="7637" xr:uid="{00000000-0005-0000-0000-00008F2B0000}"/>
    <cellStyle name="40% - Accent2 2 4 2 2 4 2" xfId="11973" xr:uid="{00000000-0005-0000-0000-0000902B0000}"/>
    <cellStyle name="40% - Accent2 2 4 2 2 4 2 2" xfId="31443" xr:uid="{00000000-0005-0000-0000-0000912B0000}"/>
    <cellStyle name="40% - Accent2 2 4 2 2 4 3" xfId="27121" xr:uid="{00000000-0005-0000-0000-0000922B0000}"/>
    <cellStyle name="40% - Accent2 2 4 2 2 5" xfId="9395" xr:uid="{00000000-0005-0000-0000-0000932B0000}"/>
    <cellStyle name="40% - Accent2 2 4 2 2 5 2" xfId="28865" xr:uid="{00000000-0005-0000-0000-0000942B0000}"/>
    <cellStyle name="40% - Accent2 2 4 2 2 6" xfId="24319" xr:uid="{00000000-0005-0000-0000-0000952B0000}"/>
    <cellStyle name="40% - Accent2 2 4 2 3" xfId="5147" xr:uid="{00000000-0005-0000-0000-0000962B0000}"/>
    <cellStyle name="40% - Accent2 2 4 2 3 2" xfId="6303" xr:uid="{00000000-0005-0000-0000-0000972B0000}"/>
    <cellStyle name="40% - Accent2 2 4 2 3 2 2" xfId="7642" xr:uid="{00000000-0005-0000-0000-0000982B0000}"/>
    <cellStyle name="40% - Accent2 2 4 2 3 2 2 2" xfId="11978" xr:uid="{00000000-0005-0000-0000-0000992B0000}"/>
    <cellStyle name="40% - Accent2 2 4 2 3 2 2 2 2" xfId="31448" xr:uid="{00000000-0005-0000-0000-00009A2B0000}"/>
    <cellStyle name="40% - Accent2 2 4 2 3 2 2 3" xfId="27126" xr:uid="{00000000-0005-0000-0000-00009B2B0000}"/>
    <cellStyle name="40% - Accent2 2 4 2 3 2 3" xfId="10720" xr:uid="{00000000-0005-0000-0000-00009C2B0000}"/>
    <cellStyle name="40% - Accent2 2 4 2 3 2 3 2" xfId="30190" xr:uid="{00000000-0005-0000-0000-00009D2B0000}"/>
    <cellStyle name="40% - Accent2 2 4 2 3 2 4" xfId="25788" xr:uid="{00000000-0005-0000-0000-00009E2B0000}"/>
    <cellStyle name="40% - Accent2 2 4 2 3 3" xfId="7641" xr:uid="{00000000-0005-0000-0000-00009F2B0000}"/>
    <cellStyle name="40% - Accent2 2 4 2 3 3 2" xfId="11977" xr:uid="{00000000-0005-0000-0000-0000A02B0000}"/>
    <cellStyle name="40% - Accent2 2 4 2 3 3 2 2" xfId="31447" xr:uid="{00000000-0005-0000-0000-0000A12B0000}"/>
    <cellStyle name="40% - Accent2 2 4 2 3 3 3" xfId="27125" xr:uid="{00000000-0005-0000-0000-0000A22B0000}"/>
    <cellStyle name="40% - Accent2 2 4 2 3 4" xfId="9660" xr:uid="{00000000-0005-0000-0000-0000A32B0000}"/>
    <cellStyle name="40% - Accent2 2 4 2 3 4 2" xfId="29130" xr:uid="{00000000-0005-0000-0000-0000A42B0000}"/>
    <cellStyle name="40% - Accent2 2 4 2 3 5" xfId="24638" xr:uid="{00000000-0005-0000-0000-0000A52B0000}"/>
    <cellStyle name="40% - Accent2 2 4 2 4" xfId="5756" xr:uid="{00000000-0005-0000-0000-0000A62B0000}"/>
    <cellStyle name="40% - Accent2 2 4 2 4 2" xfId="7643" xr:uid="{00000000-0005-0000-0000-0000A72B0000}"/>
    <cellStyle name="40% - Accent2 2 4 2 4 2 2" xfId="11979" xr:uid="{00000000-0005-0000-0000-0000A82B0000}"/>
    <cellStyle name="40% - Accent2 2 4 2 4 2 2 2" xfId="31449" xr:uid="{00000000-0005-0000-0000-0000A92B0000}"/>
    <cellStyle name="40% - Accent2 2 4 2 4 2 3" xfId="27127" xr:uid="{00000000-0005-0000-0000-0000AA2B0000}"/>
    <cellStyle name="40% - Accent2 2 4 2 4 3" xfId="10190" xr:uid="{00000000-0005-0000-0000-0000AB2B0000}"/>
    <cellStyle name="40% - Accent2 2 4 2 4 3 2" xfId="29660" xr:uid="{00000000-0005-0000-0000-0000AC2B0000}"/>
    <cellStyle name="40% - Accent2 2 4 2 4 4" xfId="25241" xr:uid="{00000000-0005-0000-0000-0000AD2B0000}"/>
    <cellStyle name="40% - Accent2 2 4 2 5" xfId="7636" xr:uid="{00000000-0005-0000-0000-0000AE2B0000}"/>
    <cellStyle name="40% - Accent2 2 4 2 5 2" xfId="11972" xr:uid="{00000000-0005-0000-0000-0000AF2B0000}"/>
    <cellStyle name="40% - Accent2 2 4 2 5 2 2" xfId="31442" xr:uid="{00000000-0005-0000-0000-0000B02B0000}"/>
    <cellStyle name="40% - Accent2 2 4 2 5 3" xfId="27120" xr:uid="{00000000-0005-0000-0000-0000B12B0000}"/>
    <cellStyle name="40% - Accent2 2 4 2 6" xfId="9129" xr:uid="{00000000-0005-0000-0000-0000B22B0000}"/>
    <cellStyle name="40% - Accent2 2 4 2 6 2" xfId="28600" xr:uid="{00000000-0005-0000-0000-0000B32B0000}"/>
    <cellStyle name="40% - Accent2 2 4 2 7" xfId="24018" xr:uid="{00000000-0005-0000-0000-0000B42B0000}"/>
    <cellStyle name="40% - Accent2 2 4 3" xfId="4731" xr:uid="{00000000-0005-0000-0000-0000B52B0000}"/>
    <cellStyle name="40% - Accent2 2 4 3 2" xfId="5365" xr:uid="{00000000-0005-0000-0000-0000B62B0000}"/>
    <cellStyle name="40% - Accent2 2 4 3 2 2" xfId="6493" xr:uid="{00000000-0005-0000-0000-0000B72B0000}"/>
    <cellStyle name="40% - Accent2 2 4 3 2 2 2" xfId="7646" xr:uid="{00000000-0005-0000-0000-0000B82B0000}"/>
    <cellStyle name="40% - Accent2 2 4 3 2 2 2 2" xfId="11982" xr:uid="{00000000-0005-0000-0000-0000B92B0000}"/>
    <cellStyle name="40% - Accent2 2 4 3 2 2 2 2 2" xfId="31452" xr:uid="{00000000-0005-0000-0000-0000BA2B0000}"/>
    <cellStyle name="40% - Accent2 2 4 3 2 2 2 3" xfId="27130" xr:uid="{00000000-0005-0000-0000-0000BB2B0000}"/>
    <cellStyle name="40% - Accent2 2 4 3 2 2 3" xfId="10909" xr:uid="{00000000-0005-0000-0000-0000BC2B0000}"/>
    <cellStyle name="40% - Accent2 2 4 3 2 2 3 2" xfId="30379" xr:uid="{00000000-0005-0000-0000-0000BD2B0000}"/>
    <cellStyle name="40% - Accent2 2 4 3 2 2 4" xfId="25978" xr:uid="{00000000-0005-0000-0000-0000BE2B0000}"/>
    <cellStyle name="40% - Accent2 2 4 3 2 3" xfId="7645" xr:uid="{00000000-0005-0000-0000-0000BF2B0000}"/>
    <cellStyle name="40% - Accent2 2 4 3 2 3 2" xfId="11981" xr:uid="{00000000-0005-0000-0000-0000C02B0000}"/>
    <cellStyle name="40% - Accent2 2 4 3 2 3 2 2" xfId="31451" xr:uid="{00000000-0005-0000-0000-0000C12B0000}"/>
    <cellStyle name="40% - Accent2 2 4 3 2 3 3" xfId="27129" xr:uid="{00000000-0005-0000-0000-0000C22B0000}"/>
    <cellStyle name="40% - Accent2 2 4 3 2 4" xfId="9848" xr:uid="{00000000-0005-0000-0000-0000C32B0000}"/>
    <cellStyle name="40% - Accent2 2 4 3 2 4 2" xfId="29318" xr:uid="{00000000-0005-0000-0000-0000C42B0000}"/>
    <cellStyle name="40% - Accent2 2 4 3 2 5" xfId="24856" xr:uid="{00000000-0005-0000-0000-0000C52B0000}"/>
    <cellStyle name="40% - Accent2 2 4 3 3" xfId="5956" xr:uid="{00000000-0005-0000-0000-0000C62B0000}"/>
    <cellStyle name="40% - Accent2 2 4 3 3 2" xfId="7647" xr:uid="{00000000-0005-0000-0000-0000C72B0000}"/>
    <cellStyle name="40% - Accent2 2 4 3 3 2 2" xfId="11983" xr:uid="{00000000-0005-0000-0000-0000C82B0000}"/>
    <cellStyle name="40% - Accent2 2 4 3 3 2 2 2" xfId="31453" xr:uid="{00000000-0005-0000-0000-0000C92B0000}"/>
    <cellStyle name="40% - Accent2 2 4 3 3 2 3" xfId="27131" xr:uid="{00000000-0005-0000-0000-0000CA2B0000}"/>
    <cellStyle name="40% - Accent2 2 4 3 3 3" xfId="10378" xr:uid="{00000000-0005-0000-0000-0000CB2B0000}"/>
    <cellStyle name="40% - Accent2 2 4 3 3 3 2" xfId="29848" xr:uid="{00000000-0005-0000-0000-0000CC2B0000}"/>
    <cellStyle name="40% - Accent2 2 4 3 3 4" xfId="25441" xr:uid="{00000000-0005-0000-0000-0000CD2B0000}"/>
    <cellStyle name="40% - Accent2 2 4 3 4" xfId="7644" xr:uid="{00000000-0005-0000-0000-0000CE2B0000}"/>
    <cellStyle name="40% - Accent2 2 4 3 4 2" xfId="11980" xr:uid="{00000000-0005-0000-0000-0000CF2B0000}"/>
    <cellStyle name="40% - Accent2 2 4 3 4 2 2" xfId="31450" xr:uid="{00000000-0005-0000-0000-0000D02B0000}"/>
    <cellStyle name="40% - Accent2 2 4 3 4 3" xfId="27128" xr:uid="{00000000-0005-0000-0000-0000D12B0000}"/>
    <cellStyle name="40% - Accent2 2 4 3 5" xfId="9318" xr:uid="{00000000-0005-0000-0000-0000D22B0000}"/>
    <cellStyle name="40% - Accent2 2 4 3 5 2" xfId="28788" xr:uid="{00000000-0005-0000-0000-0000D32B0000}"/>
    <cellStyle name="40% - Accent2 2 4 3 6" xfId="24238" xr:uid="{00000000-0005-0000-0000-0000D42B0000}"/>
    <cellStyle name="40% - Accent2 2 4 4" xfId="5064" xr:uid="{00000000-0005-0000-0000-0000D52B0000}"/>
    <cellStyle name="40% - Accent2 2 4 4 2" xfId="6225" xr:uid="{00000000-0005-0000-0000-0000D62B0000}"/>
    <cellStyle name="40% - Accent2 2 4 4 2 2" xfId="7649" xr:uid="{00000000-0005-0000-0000-0000D72B0000}"/>
    <cellStyle name="40% - Accent2 2 4 4 2 2 2" xfId="11985" xr:uid="{00000000-0005-0000-0000-0000D82B0000}"/>
    <cellStyle name="40% - Accent2 2 4 4 2 2 2 2" xfId="31455" xr:uid="{00000000-0005-0000-0000-0000D92B0000}"/>
    <cellStyle name="40% - Accent2 2 4 4 2 2 3" xfId="27133" xr:uid="{00000000-0005-0000-0000-0000DA2B0000}"/>
    <cellStyle name="40% - Accent2 2 4 4 2 3" xfId="10643" xr:uid="{00000000-0005-0000-0000-0000DB2B0000}"/>
    <cellStyle name="40% - Accent2 2 4 4 2 3 2" xfId="30113" xr:uid="{00000000-0005-0000-0000-0000DC2B0000}"/>
    <cellStyle name="40% - Accent2 2 4 4 2 4" xfId="25710" xr:uid="{00000000-0005-0000-0000-0000DD2B0000}"/>
    <cellStyle name="40% - Accent2 2 4 4 3" xfId="7648" xr:uid="{00000000-0005-0000-0000-0000DE2B0000}"/>
    <cellStyle name="40% - Accent2 2 4 4 3 2" xfId="11984" xr:uid="{00000000-0005-0000-0000-0000DF2B0000}"/>
    <cellStyle name="40% - Accent2 2 4 4 3 2 2" xfId="31454" xr:uid="{00000000-0005-0000-0000-0000E02B0000}"/>
    <cellStyle name="40% - Accent2 2 4 4 3 3" xfId="27132" xr:uid="{00000000-0005-0000-0000-0000E12B0000}"/>
    <cellStyle name="40% - Accent2 2 4 4 4" xfId="9583" xr:uid="{00000000-0005-0000-0000-0000E22B0000}"/>
    <cellStyle name="40% - Accent2 2 4 4 4 2" xfId="29053" xr:uid="{00000000-0005-0000-0000-0000E32B0000}"/>
    <cellStyle name="40% - Accent2 2 4 4 5" xfId="24557" xr:uid="{00000000-0005-0000-0000-0000E42B0000}"/>
    <cellStyle name="40% - Accent2 2 4 5" xfId="5676" xr:uid="{00000000-0005-0000-0000-0000E52B0000}"/>
    <cellStyle name="40% - Accent2 2 4 5 2" xfId="7650" xr:uid="{00000000-0005-0000-0000-0000E62B0000}"/>
    <cellStyle name="40% - Accent2 2 4 5 2 2" xfId="11986" xr:uid="{00000000-0005-0000-0000-0000E72B0000}"/>
    <cellStyle name="40% - Accent2 2 4 5 2 2 2" xfId="31456" xr:uid="{00000000-0005-0000-0000-0000E82B0000}"/>
    <cellStyle name="40% - Accent2 2 4 5 2 3" xfId="27134" xr:uid="{00000000-0005-0000-0000-0000E92B0000}"/>
    <cellStyle name="40% - Accent2 2 4 5 3" xfId="10113" xr:uid="{00000000-0005-0000-0000-0000EA2B0000}"/>
    <cellStyle name="40% - Accent2 2 4 5 3 2" xfId="29583" xr:uid="{00000000-0005-0000-0000-0000EB2B0000}"/>
    <cellStyle name="40% - Accent2 2 4 5 4" xfId="25163" xr:uid="{00000000-0005-0000-0000-0000EC2B0000}"/>
    <cellStyle name="40% - Accent2 2 4 6" xfId="7635" xr:uid="{00000000-0005-0000-0000-0000ED2B0000}"/>
    <cellStyle name="40% - Accent2 2 4 6 2" xfId="11971" xr:uid="{00000000-0005-0000-0000-0000EE2B0000}"/>
    <cellStyle name="40% - Accent2 2 4 6 2 2" xfId="31441" xr:uid="{00000000-0005-0000-0000-0000EF2B0000}"/>
    <cellStyle name="40% - Accent2 2 4 6 3" xfId="27119" xr:uid="{00000000-0005-0000-0000-0000F02B0000}"/>
    <cellStyle name="40% - Accent2 2 4 7" xfId="9050" xr:uid="{00000000-0005-0000-0000-0000F12B0000}"/>
    <cellStyle name="40% - Accent2 2 4 7 2" xfId="28523" xr:uid="{00000000-0005-0000-0000-0000F22B0000}"/>
    <cellStyle name="40% - Accent2 2 4 8" xfId="23929" xr:uid="{00000000-0005-0000-0000-0000F32B0000}"/>
    <cellStyle name="40% - Accent2 2 5" xfId="4132" xr:uid="{00000000-0005-0000-0000-0000F42B0000}"/>
    <cellStyle name="40% - Accent2 2 5 2" xfId="4759" xr:uid="{00000000-0005-0000-0000-0000F52B0000}"/>
    <cellStyle name="40% - Accent2 2 5 2 2" xfId="5388" xr:uid="{00000000-0005-0000-0000-0000F62B0000}"/>
    <cellStyle name="40% - Accent2 2 5 2 2 2" xfId="6516" xr:uid="{00000000-0005-0000-0000-0000F72B0000}"/>
    <cellStyle name="40% - Accent2 2 5 2 2 2 2" xfId="7654" xr:uid="{00000000-0005-0000-0000-0000F82B0000}"/>
    <cellStyle name="40% - Accent2 2 5 2 2 2 2 2" xfId="11990" xr:uid="{00000000-0005-0000-0000-0000F92B0000}"/>
    <cellStyle name="40% - Accent2 2 5 2 2 2 2 2 2" xfId="31460" xr:uid="{00000000-0005-0000-0000-0000FA2B0000}"/>
    <cellStyle name="40% - Accent2 2 5 2 2 2 2 3" xfId="27138" xr:uid="{00000000-0005-0000-0000-0000FB2B0000}"/>
    <cellStyle name="40% - Accent2 2 5 2 2 2 3" xfId="10932" xr:uid="{00000000-0005-0000-0000-0000FC2B0000}"/>
    <cellStyle name="40% - Accent2 2 5 2 2 2 3 2" xfId="30402" xr:uid="{00000000-0005-0000-0000-0000FD2B0000}"/>
    <cellStyle name="40% - Accent2 2 5 2 2 2 4" xfId="26001" xr:uid="{00000000-0005-0000-0000-0000FE2B0000}"/>
    <cellStyle name="40% - Accent2 2 5 2 2 3" xfId="7653" xr:uid="{00000000-0005-0000-0000-0000FF2B0000}"/>
    <cellStyle name="40% - Accent2 2 5 2 2 3 2" xfId="11989" xr:uid="{00000000-0005-0000-0000-0000002C0000}"/>
    <cellStyle name="40% - Accent2 2 5 2 2 3 2 2" xfId="31459" xr:uid="{00000000-0005-0000-0000-0000012C0000}"/>
    <cellStyle name="40% - Accent2 2 5 2 2 3 3" xfId="27137" xr:uid="{00000000-0005-0000-0000-0000022C0000}"/>
    <cellStyle name="40% - Accent2 2 5 2 2 4" xfId="9871" xr:uid="{00000000-0005-0000-0000-0000032C0000}"/>
    <cellStyle name="40% - Accent2 2 5 2 2 4 2" xfId="29341" xr:uid="{00000000-0005-0000-0000-0000042C0000}"/>
    <cellStyle name="40% - Accent2 2 5 2 2 5" xfId="24879" xr:uid="{00000000-0005-0000-0000-0000052C0000}"/>
    <cellStyle name="40% - Accent2 2 5 2 3" xfId="5979" xr:uid="{00000000-0005-0000-0000-0000062C0000}"/>
    <cellStyle name="40% - Accent2 2 5 2 3 2" xfId="7655" xr:uid="{00000000-0005-0000-0000-0000072C0000}"/>
    <cellStyle name="40% - Accent2 2 5 2 3 2 2" xfId="11991" xr:uid="{00000000-0005-0000-0000-0000082C0000}"/>
    <cellStyle name="40% - Accent2 2 5 2 3 2 2 2" xfId="31461" xr:uid="{00000000-0005-0000-0000-0000092C0000}"/>
    <cellStyle name="40% - Accent2 2 5 2 3 2 3" xfId="27139" xr:uid="{00000000-0005-0000-0000-00000A2C0000}"/>
    <cellStyle name="40% - Accent2 2 5 2 3 3" xfId="10401" xr:uid="{00000000-0005-0000-0000-00000B2C0000}"/>
    <cellStyle name="40% - Accent2 2 5 2 3 3 2" xfId="29871" xr:uid="{00000000-0005-0000-0000-00000C2C0000}"/>
    <cellStyle name="40% - Accent2 2 5 2 3 4" xfId="25464" xr:uid="{00000000-0005-0000-0000-00000D2C0000}"/>
    <cellStyle name="40% - Accent2 2 5 2 4" xfId="7652" xr:uid="{00000000-0005-0000-0000-00000E2C0000}"/>
    <cellStyle name="40% - Accent2 2 5 2 4 2" xfId="11988" xr:uid="{00000000-0005-0000-0000-00000F2C0000}"/>
    <cellStyle name="40% - Accent2 2 5 2 4 2 2" xfId="31458" xr:uid="{00000000-0005-0000-0000-0000102C0000}"/>
    <cellStyle name="40% - Accent2 2 5 2 4 3" xfId="27136" xr:uid="{00000000-0005-0000-0000-0000112C0000}"/>
    <cellStyle name="40% - Accent2 2 5 2 5" xfId="9341" xr:uid="{00000000-0005-0000-0000-0000122C0000}"/>
    <cellStyle name="40% - Accent2 2 5 2 5 2" xfId="28811" xr:uid="{00000000-0005-0000-0000-0000132C0000}"/>
    <cellStyle name="40% - Accent2 2 5 2 6" xfId="24264" xr:uid="{00000000-0005-0000-0000-0000142C0000}"/>
    <cellStyle name="40% - Accent2 2 5 3" xfId="5093" xr:uid="{00000000-0005-0000-0000-0000152C0000}"/>
    <cellStyle name="40% - Accent2 2 5 3 2" xfId="6249" xr:uid="{00000000-0005-0000-0000-0000162C0000}"/>
    <cellStyle name="40% - Accent2 2 5 3 2 2" xfId="7657" xr:uid="{00000000-0005-0000-0000-0000172C0000}"/>
    <cellStyle name="40% - Accent2 2 5 3 2 2 2" xfId="11993" xr:uid="{00000000-0005-0000-0000-0000182C0000}"/>
    <cellStyle name="40% - Accent2 2 5 3 2 2 2 2" xfId="31463" xr:uid="{00000000-0005-0000-0000-0000192C0000}"/>
    <cellStyle name="40% - Accent2 2 5 3 2 2 3" xfId="27141" xr:uid="{00000000-0005-0000-0000-00001A2C0000}"/>
    <cellStyle name="40% - Accent2 2 5 3 2 3" xfId="10666" xr:uid="{00000000-0005-0000-0000-00001B2C0000}"/>
    <cellStyle name="40% - Accent2 2 5 3 2 3 2" xfId="30136" xr:uid="{00000000-0005-0000-0000-00001C2C0000}"/>
    <cellStyle name="40% - Accent2 2 5 3 2 4" xfId="25734" xr:uid="{00000000-0005-0000-0000-00001D2C0000}"/>
    <cellStyle name="40% - Accent2 2 5 3 3" xfId="7656" xr:uid="{00000000-0005-0000-0000-00001E2C0000}"/>
    <cellStyle name="40% - Accent2 2 5 3 3 2" xfId="11992" xr:uid="{00000000-0005-0000-0000-00001F2C0000}"/>
    <cellStyle name="40% - Accent2 2 5 3 3 2 2" xfId="31462" xr:uid="{00000000-0005-0000-0000-0000202C0000}"/>
    <cellStyle name="40% - Accent2 2 5 3 3 3" xfId="27140" xr:uid="{00000000-0005-0000-0000-0000212C0000}"/>
    <cellStyle name="40% - Accent2 2 5 3 4" xfId="9606" xr:uid="{00000000-0005-0000-0000-0000222C0000}"/>
    <cellStyle name="40% - Accent2 2 5 3 4 2" xfId="29076" xr:uid="{00000000-0005-0000-0000-0000232C0000}"/>
    <cellStyle name="40% - Accent2 2 5 3 5" xfId="24584" xr:uid="{00000000-0005-0000-0000-0000242C0000}"/>
    <cellStyle name="40% - Accent2 2 5 4" xfId="5701" xr:uid="{00000000-0005-0000-0000-0000252C0000}"/>
    <cellStyle name="40% - Accent2 2 5 4 2" xfId="7658" xr:uid="{00000000-0005-0000-0000-0000262C0000}"/>
    <cellStyle name="40% - Accent2 2 5 4 2 2" xfId="11994" xr:uid="{00000000-0005-0000-0000-0000272C0000}"/>
    <cellStyle name="40% - Accent2 2 5 4 2 2 2" xfId="31464" xr:uid="{00000000-0005-0000-0000-0000282C0000}"/>
    <cellStyle name="40% - Accent2 2 5 4 2 3" xfId="27142" xr:uid="{00000000-0005-0000-0000-0000292C0000}"/>
    <cellStyle name="40% - Accent2 2 5 4 3" xfId="10136" xr:uid="{00000000-0005-0000-0000-00002A2C0000}"/>
    <cellStyle name="40% - Accent2 2 5 4 3 2" xfId="29606" xr:uid="{00000000-0005-0000-0000-00002B2C0000}"/>
    <cellStyle name="40% - Accent2 2 5 4 4" xfId="25186" xr:uid="{00000000-0005-0000-0000-00002C2C0000}"/>
    <cellStyle name="40% - Accent2 2 5 5" xfId="7651" xr:uid="{00000000-0005-0000-0000-00002D2C0000}"/>
    <cellStyle name="40% - Accent2 2 5 5 2" xfId="11987" xr:uid="{00000000-0005-0000-0000-00002E2C0000}"/>
    <cellStyle name="40% - Accent2 2 5 5 2 2" xfId="31457" xr:uid="{00000000-0005-0000-0000-00002F2C0000}"/>
    <cellStyle name="40% - Accent2 2 5 5 3" xfId="27135" xr:uid="{00000000-0005-0000-0000-0000302C0000}"/>
    <cellStyle name="40% - Accent2 2 5 6" xfId="9075" xr:uid="{00000000-0005-0000-0000-0000312C0000}"/>
    <cellStyle name="40% - Accent2 2 5 6 2" xfId="28546" xr:uid="{00000000-0005-0000-0000-0000322C0000}"/>
    <cellStyle name="40% - Accent2 2 5 7" xfId="23961" xr:uid="{00000000-0005-0000-0000-0000332C0000}"/>
    <cellStyle name="40% - Accent2 3" xfId="2055" xr:uid="{00000000-0005-0000-0000-0000342C0000}"/>
    <cellStyle name="40% - Accent2 3 2" xfId="4158" xr:uid="{00000000-0005-0000-0000-0000352C0000}"/>
    <cellStyle name="40% - Accent2 4" xfId="2100" xr:uid="{00000000-0005-0000-0000-0000362C0000}"/>
    <cellStyle name="40% - Accent2 4 2" xfId="4207" xr:uid="{00000000-0005-0000-0000-0000372C0000}"/>
    <cellStyle name="40% - Accent2 5" xfId="2714" xr:uid="{00000000-0005-0000-0000-0000382C0000}"/>
    <cellStyle name="40% - Accent3" xfId="1310" builtinId="39" customBuiltin="1"/>
    <cellStyle name="40% - Accent3 2" xfId="1311" xr:uid="{00000000-0005-0000-0000-00003A2C0000}"/>
    <cellStyle name="40% - Accent3 2 2" xfId="2715" xr:uid="{00000000-0005-0000-0000-00003B2C0000}"/>
    <cellStyle name="40% - Accent3 2 2 10" xfId="23571" xr:uid="{00000000-0005-0000-0000-00003C2C0000}"/>
    <cellStyle name="40% - Accent3 2 2 2" xfId="2879" xr:uid="{00000000-0005-0000-0000-00003D2C0000}"/>
    <cellStyle name="40% - Accent3 2 2 2 2" xfId="3073" xr:uid="{00000000-0005-0000-0000-00003E2C0000}"/>
    <cellStyle name="40% - Accent3 2 2 2 2 2" xfId="4700" xr:uid="{00000000-0005-0000-0000-00003F2C0000}"/>
    <cellStyle name="40% - Accent3 2 2 2 2 2 2" xfId="5334" xr:uid="{00000000-0005-0000-0000-0000402C0000}"/>
    <cellStyle name="40% - Accent3 2 2 2 2 2 2 2" xfId="6468" xr:uid="{00000000-0005-0000-0000-0000412C0000}"/>
    <cellStyle name="40% - Accent3 2 2 2 2 2 2 2 2" xfId="7664" xr:uid="{00000000-0005-0000-0000-0000422C0000}"/>
    <cellStyle name="40% - Accent3 2 2 2 2 2 2 2 2 2" xfId="12000" xr:uid="{00000000-0005-0000-0000-0000432C0000}"/>
    <cellStyle name="40% - Accent3 2 2 2 2 2 2 2 2 2 2" xfId="31470" xr:uid="{00000000-0005-0000-0000-0000442C0000}"/>
    <cellStyle name="40% - Accent3 2 2 2 2 2 2 2 2 3" xfId="27148" xr:uid="{00000000-0005-0000-0000-0000452C0000}"/>
    <cellStyle name="40% - Accent3 2 2 2 2 2 2 2 3" xfId="10884" xr:uid="{00000000-0005-0000-0000-0000462C0000}"/>
    <cellStyle name="40% - Accent3 2 2 2 2 2 2 2 3 2" xfId="30354" xr:uid="{00000000-0005-0000-0000-0000472C0000}"/>
    <cellStyle name="40% - Accent3 2 2 2 2 2 2 2 4" xfId="25953" xr:uid="{00000000-0005-0000-0000-0000482C0000}"/>
    <cellStyle name="40% - Accent3 2 2 2 2 2 2 3" xfId="7663" xr:uid="{00000000-0005-0000-0000-0000492C0000}"/>
    <cellStyle name="40% - Accent3 2 2 2 2 2 2 3 2" xfId="11999" xr:uid="{00000000-0005-0000-0000-00004A2C0000}"/>
    <cellStyle name="40% - Accent3 2 2 2 2 2 2 3 2 2" xfId="31469" xr:uid="{00000000-0005-0000-0000-00004B2C0000}"/>
    <cellStyle name="40% - Accent3 2 2 2 2 2 2 3 3" xfId="27147" xr:uid="{00000000-0005-0000-0000-00004C2C0000}"/>
    <cellStyle name="40% - Accent3 2 2 2 2 2 2 4" xfId="9823" xr:uid="{00000000-0005-0000-0000-00004D2C0000}"/>
    <cellStyle name="40% - Accent3 2 2 2 2 2 2 4 2" xfId="29293" xr:uid="{00000000-0005-0000-0000-00004E2C0000}"/>
    <cellStyle name="40% - Accent3 2 2 2 2 2 2 5" xfId="24825" xr:uid="{00000000-0005-0000-0000-00004F2C0000}"/>
    <cellStyle name="40% - Accent3 2 2 2 2 2 3" xfId="5931" xr:uid="{00000000-0005-0000-0000-0000502C0000}"/>
    <cellStyle name="40% - Accent3 2 2 2 2 2 3 2" xfId="7665" xr:uid="{00000000-0005-0000-0000-0000512C0000}"/>
    <cellStyle name="40% - Accent3 2 2 2 2 2 3 2 2" xfId="12001" xr:uid="{00000000-0005-0000-0000-0000522C0000}"/>
    <cellStyle name="40% - Accent3 2 2 2 2 2 3 2 2 2" xfId="31471" xr:uid="{00000000-0005-0000-0000-0000532C0000}"/>
    <cellStyle name="40% - Accent3 2 2 2 2 2 3 2 3" xfId="27149" xr:uid="{00000000-0005-0000-0000-0000542C0000}"/>
    <cellStyle name="40% - Accent3 2 2 2 2 2 3 3" xfId="10353" xr:uid="{00000000-0005-0000-0000-0000552C0000}"/>
    <cellStyle name="40% - Accent3 2 2 2 2 2 3 3 2" xfId="29823" xr:uid="{00000000-0005-0000-0000-0000562C0000}"/>
    <cellStyle name="40% - Accent3 2 2 2 2 2 3 4" xfId="25416" xr:uid="{00000000-0005-0000-0000-0000572C0000}"/>
    <cellStyle name="40% - Accent3 2 2 2 2 2 4" xfId="7662" xr:uid="{00000000-0005-0000-0000-0000582C0000}"/>
    <cellStyle name="40% - Accent3 2 2 2 2 2 4 2" xfId="11998" xr:uid="{00000000-0005-0000-0000-0000592C0000}"/>
    <cellStyle name="40% - Accent3 2 2 2 2 2 4 2 2" xfId="31468" xr:uid="{00000000-0005-0000-0000-00005A2C0000}"/>
    <cellStyle name="40% - Accent3 2 2 2 2 2 4 3" xfId="27146" xr:uid="{00000000-0005-0000-0000-00005B2C0000}"/>
    <cellStyle name="40% - Accent3 2 2 2 2 2 5" xfId="9293" xr:uid="{00000000-0005-0000-0000-00005C2C0000}"/>
    <cellStyle name="40% - Accent3 2 2 2 2 2 5 2" xfId="28763" xr:uid="{00000000-0005-0000-0000-00005D2C0000}"/>
    <cellStyle name="40% - Accent3 2 2 2 2 2 6" xfId="24211" xr:uid="{00000000-0005-0000-0000-00005E2C0000}"/>
    <cellStyle name="40% - Accent3 2 2 2 2 3" xfId="5038" xr:uid="{00000000-0005-0000-0000-00005F2C0000}"/>
    <cellStyle name="40% - Accent3 2 2 2 2 3 2" xfId="6200" xr:uid="{00000000-0005-0000-0000-0000602C0000}"/>
    <cellStyle name="40% - Accent3 2 2 2 2 3 2 2" xfId="7667" xr:uid="{00000000-0005-0000-0000-0000612C0000}"/>
    <cellStyle name="40% - Accent3 2 2 2 2 3 2 2 2" xfId="12003" xr:uid="{00000000-0005-0000-0000-0000622C0000}"/>
    <cellStyle name="40% - Accent3 2 2 2 2 3 2 2 2 2" xfId="31473" xr:uid="{00000000-0005-0000-0000-0000632C0000}"/>
    <cellStyle name="40% - Accent3 2 2 2 2 3 2 2 3" xfId="27151" xr:uid="{00000000-0005-0000-0000-0000642C0000}"/>
    <cellStyle name="40% - Accent3 2 2 2 2 3 2 3" xfId="10618" xr:uid="{00000000-0005-0000-0000-0000652C0000}"/>
    <cellStyle name="40% - Accent3 2 2 2 2 3 2 3 2" xfId="30088" xr:uid="{00000000-0005-0000-0000-0000662C0000}"/>
    <cellStyle name="40% - Accent3 2 2 2 2 3 2 4" xfId="25685" xr:uid="{00000000-0005-0000-0000-0000672C0000}"/>
    <cellStyle name="40% - Accent3 2 2 2 2 3 3" xfId="7666" xr:uid="{00000000-0005-0000-0000-0000682C0000}"/>
    <cellStyle name="40% - Accent3 2 2 2 2 3 3 2" xfId="12002" xr:uid="{00000000-0005-0000-0000-0000692C0000}"/>
    <cellStyle name="40% - Accent3 2 2 2 2 3 3 2 2" xfId="31472" xr:uid="{00000000-0005-0000-0000-00006A2C0000}"/>
    <cellStyle name="40% - Accent3 2 2 2 2 3 3 3" xfId="27150" xr:uid="{00000000-0005-0000-0000-00006B2C0000}"/>
    <cellStyle name="40% - Accent3 2 2 2 2 3 4" xfId="9558" xr:uid="{00000000-0005-0000-0000-00006C2C0000}"/>
    <cellStyle name="40% - Accent3 2 2 2 2 3 4 2" xfId="29028" xr:uid="{00000000-0005-0000-0000-00006D2C0000}"/>
    <cellStyle name="40% - Accent3 2 2 2 2 3 5" xfId="24532" xr:uid="{00000000-0005-0000-0000-00006E2C0000}"/>
    <cellStyle name="40% - Accent3 2 2 2 2 4" xfId="5643" xr:uid="{00000000-0005-0000-0000-00006F2C0000}"/>
    <cellStyle name="40% - Accent3 2 2 2 2 4 2" xfId="7668" xr:uid="{00000000-0005-0000-0000-0000702C0000}"/>
    <cellStyle name="40% - Accent3 2 2 2 2 4 2 2" xfId="12004" xr:uid="{00000000-0005-0000-0000-0000712C0000}"/>
    <cellStyle name="40% - Accent3 2 2 2 2 4 2 2 2" xfId="31474" xr:uid="{00000000-0005-0000-0000-0000722C0000}"/>
    <cellStyle name="40% - Accent3 2 2 2 2 4 2 3" xfId="27152" xr:uid="{00000000-0005-0000-0000-0000732C0000}"/>
    <cellStyle name="40% - Accent3 2 2 2 2 4 3" xfId="10088" xr:uid="{00000000-0005-0000-0000-0000742C0000}"/>
    <cellStyle name="40% - Accent3 2 2 2 2 4 3 2" xfId="29558" xr:uid="{00000000-0005-0000-0000-0000752C0000}"/>
    <cellStyle name="40% - Accent3 2 2 2 2 4 4" xfId="25130" xr:uid="{00000000-0005-0000-0000-0000762C0000}"/>
    <cellStyle name="40% - Accent3 2 2 2 2 5" xfId="7661" xr:uid="{00000000-0005-0000-0000-0000772C0000}"/>
    <cellStyle name="40% - Accent3 2 2 2 2 5 2" xfId="11997" xr:uid="{00000000-0005-0000-0000-0000782C0000}"/>
    <cellStyle name="40% - Accent3 2 2 2 2 5 2 2" xfId="31467" xr:uid="{00000000-0005-0000-0000-0000792C0000}"/>
    <cellStyle name="40% - Accent3 2 2 2 2 5 3" xfId="27145" xr:uid="{00000000-0005-0000-0000-00007A2C0000}"/>
    <cellStyle name="40% - Accent3 2 2 2 2 6" xfId="9024" xr:uid="{00000000-0005-0000-0000-00007B2C0000}"/>
    <cellStyle name="40% - Accent3 2 2 2 2 6 2" xfId="28498" xr:uid="{00000000-0005-0000-0000-00007C2C0000}"/>
    <cellStyle name="40% - Accent3 2 2 2 2 7" xfId="23882" xr:uid="{00000000-0005-0000-0000-00007D2C0000}"/>
    <cellStyle name="40% - Accent3 2 2 2 3" xfId="4280" xr:uid="{00000000-0005-0000-0000-00007E2C0000}"/>
    <cellStyle name="40% - Accent3 2 2 2 3 2" xfId="4855" xr:uid="{00000000-0005-0000-0000-00007F2C0000}"/>
    <cellStyle name="40% - Accent3 2 2 2 3 2 2" xfId="5480" xr:uid="{00000000-0005-0000-0000-0000802C0000}"/>
    <cellStyle name="40% - Accent3 2 2 2 3 2 2 2" xfId="6608" xr:uid="{00000000-0005-0000-0000-0000812C0000}"/>
    <cellStyle name="40% - Accent3 2 2 2 3 2 2 2 2" xfId="7672" xr:uid="{00000000-0005-0000-0000-0000822C0000}"/>
    <cellStyle name="40% - Accent3 2 2 2 3 2 2 2 2 2" xfId="12008" xr:uid="{00000000-0005-0000-0000-0000832C0000}"/>
    <cellStyle name="40% - Accent3 2 2 2 3 2 2 2 2 2 2" xfId="31478" xr:uid="{00000000-0005-0000-0000-0000842C0000}"/>
    <cellStyle name="40% - Accent3 2 2 2 3 2 2 2 2 3" xfId="27156" xr:uid="{00000000-0005-0000-0000-0000852C0000}"/>
    <cellStyle name="40% - Accent3 2 2 2 3 2 2 2 3" xfId="11024" xr:uid="{00000000-0005-0000-0000-0000862C0000}"/>
    <cellStyle name="40% - Accent3 2 2 2 3 2 2 2 3 2" xfId="30494" xr:uid="{00000000-0005-0000-0000-0000872C0000}"/>
    <cellStyle name="40% - Accent3 2 2 2 3 2 2 2 4" xfId="26093" xr:uid="{00000000-0005-0000-0000-0000882C0000}"/>
    <cellStyle name="40% - Accent3 2 2 2 3 2 2 3" xfId="7671" xr:uid="{00000000-0005-0000-0000-0000892C0000}"/>
    <cellStyle name="40% - Accent3 2 2 2 3 2 2 3 2" xfId="12007" xr:uid="{00000000-0005-0000-0000-00008A2C0000}"/>
    <cellStyle name="40% - Accent3 2 2 2 3 2 2 3 2 2" xfId="31477" xr:uid="{00000000-0005-0000-0000-00008B2C0000}"/>
    <cellStyle name="40% - Accent3 2 2 2 3 2 2 3 3" xfId="27155" xr:uid="{00000000-0005-0000-0000-00008C2C0000}"/>
    <cellStyle name="40% - Accent3 2 2 2 3 2 2 4" xfId="9963" xr:uid="{00000000-0005-0000-0000-00008D2C0000}"/>
    <cellStyle name="40% - Accent3 2 2 2 3 2 2 4 2" xfId="29433" xr:uid="{00000000-0005-0000-0000-00008E2C0000}"/>
    <cellStyle name="40% - Accent3 2 2 2 3 2 2 5" xfId="24971" xr:uid="{00000000-0005-0000-0000-00008F2C0000}"/>
    <cellStyle name="40% - Accent3 2 2 2 3 2 3" xfId="6073" xr:uid="{00000000-0005-0000-0000-0000902C0000}"/>
    <cellStyle name="40% - Accent3 2 2 2 3 2 3 2" xfId="7673" xr:uid="{00000000-0005-0000-0000-0000912C0000}"/>
    <cellStyle name="40% - Accent3 2 2 2 3 2 3 2 2" xfId="12009" xr:uid="{00000000-0005-0000-0000-0000922C0000}"/>
    <cellStyle name="40% - Accent3 2 2 2 3 2 3 2 2 2" xfId="31479" xr:uid="{00000000-0005-0000-0000-0000932C0000}"/>
    <cellStyle name="40% - Accent3 2 2 2 3 2 3 2 3" xfId="27157" xr:uid="{00000000-0005-0000-0000-0000942C0000}"/>
    <cellStyle name="40% - Accent3 2 2 2 3 2 3 3" xfId="10493" xr:uid="{00000000-0005-0000-0000-0000952C0000}"/>
    <cellStyle name="40% - Accent3 2 2 2 3 2 3 3 2" xfId="29963" xr:uid="{00000000-0005-0000-0000-0000962C0000}"/>
    <cellStyle name="40% - Accent3 2 2 2 3 2 3 4" xfId="25558" xr:uid="{00000000-0005-0000-0000-0000972C0000}"/>
    <cellStyle name="40% - Accent3 2 2 2 3 2 4" xfId="7670" xr:uid="{00000000-0005-0000-0000-0000982C0000}"/>
    <cellStyle name="40% - Accent3 2 2 2 3 2 4 2" xfId="12006" xr:uid="{00000000-0005-0000-0000-0000992C0000}"/>
    <cellStyle name="40% - Accent3 2 2 2 3 2 4 2 2" xfId="31476" xr:uid="{00000000-0005-0000-0000-00009A2C0000}"/>
    <cellStyle name="40% - Accent3 2 2 2 3 2 4 3" xfId="27154" xr:uid="{00000000-0005-0000-0000-00009B2C0000}"/>
    <cellStyle name="40% - Accent3 2 2 2 3 2 5" xfId="9433" xr:uid="{00000000-0005-0000-0000-00009C2C0000}"/>
    <cellStyle name="40% - Accent3 2 2 2 3 2 5 2" xfId="28903" xr:uid="{00000000-0005-0000-0000-00009D2C0000}"/>
    <cellStyle name="40% - Accent3 2 2 2 3 2 6" xfId="24357" xr:uid="{00000000-0005-0000-0000-00009E2C0000}"/>
    <cellStyle name="40% - Accent3 2 2 2 3 3" xfId="5185" xr:uid="{00000000-0005-0000-0000-00009F2C0000}"/>
    <cellStyle name="40% - Accent3 2 2 2 3 3 2" xfId="6341" xr:uid="{00000000-0005-0000-0000-0000A02C0000}"/>
    <cellStyle name="40% - Accent3 2 2 2 3 3 2 2" xfId="7675" xr:uid="{00000000-0005-0000-0000-0000A12C0000}"/>
    <cellStyle name="40% - Accent3 2 2 2 3 3 2 2 2" xfId="12011" xr:uid="{00000000-0005-0000-0000-0000A22C0000}"/>
    <cellStyle name="40% - Accent3 2 2 2 3 3 2 2 2 2" xfId="31481" xr:uid="{00000000-0005-0000-0000-0000A32C0000}"/>
    <cellStyle name="40% - Accent3 2 2 2 3 3 2 2 3" xfId="27159" xr:uid="{00000000-0005-0000-0000-0000A42C0000}"/>
    <cellStyle name="40% - Accent3 2 2 2 3 3 2 3" xfId="10758" xr:uid="{00000000-0005-0000-0000-0000A52C0000}"/>
    <cellStyle name="40% - Accent3 2 2 2 3 3 2 3 2" xfId="30228" xr:uid="{00000000-0005-0000-0000-0000A62C0000}"/>
    <cellStyle name="40% - Accent3 2 2 2 3 3 2 4" xfId="25826" xr:uid="{00000000-0005-0000-0000-0000A72C0000}"/>
    <cellStyle name="40% - Accent3 2 2 2 3 3 3" xfId="7674" xr:uid="{00000000-0005-0000-0000-0000A82C0000}"/>
    <cellStyle name="40% - Accent3 2 2 2 3 3 3 2" xfId="12010" xr:uid="{00000000-0005-0000-0000-0000A92C0000}"/>
    <cellStyle name="40% - Accent3 2 2 2 3 3 3 2 2" xfId="31480" xr:uid="{00000000-0005-0000-0000-0000AA2C0000}"/>
    <cellStyle name="40% - Accent3 2 2 2 3 3 3 3" xfId="27158" xr:uid="{00000000-0005-0000-0000-0000AB2C0000}"/>
    <cellStyle name="40% - Accent3 2 2 2 3 3 4" xfId="9698" xr:uid="{00000000-0005-0000-0000-0000AC2C0000}"/>
    <cellStyle name="40% - Accent3 2 2 2 3 3 4 2" xfId="29168" xr:uid="{00000000-0005-0000-0000-0000AD2C0000}"/>
    <cellStyle name="40% - Accent3 2 2 2 3 3 5" xfId="24676" xr:uid="{00000000-0005-0000-0000-0000AE2C0000}"/>
    <cellStyle name="40% - Accent3 2 2 2 3 4" xfId="5794" xr:uid="{00000000-0005-0000-0000-0000AF2C0000}"/>
    <cellStyle name="40% - Accent3 2 2 2 3 4 2" xfId="7676" xr:uid="{00000000-0005-0000-0000-0000B02C0000}"/>
    <cellStyle name="40% - Accent3 2 2 2 3 4 2 2" xfId="12012" xr:uid="{00000000-0005-0000-0000-0000B12C0000}"/>
    <cellStyle name="40% - Accent3 2 2 2 3 4 2 2 2" xfId="31482" xr:uid="{00000000-0005-0000-0000-0000B22C0000}"/>
    <cellStyle name="40% - Accent3 2 2 2 3 4 2 3" xfId="27160" xr:uid="{00000000-0005-0000-0000-0000B32C0000}"/>
    <cellStyle name="40% - Accent3 2 2 2 3 4 3" xfId="10228" xr:uid="{00000000-0005-0000-0000-0000B42C0000}"/>
    <cellStyle name="40% - Accent3 2 2 2 3 4 3 2" xfId="29698" xr:uid="{00000000-0005-0000-0000-0000B52C0000}"/>
    <cellStyle name="40% - Accent3 2 2 2 3 4 4" xfId="25279" xr:uid="{00000000-0005-0000-0000-0000B62C0000}"/>
    <cellStyle name="40% - Accent3 2 2 2 3 5" xfId="7669" xr:uid="{00000000-0005-0000-0000-0000B72C0000}"/>
    <cellStyle name="40% - Accent3 2 2 2 3 5 2" xfId="12005" xr:uid="{00000000-0005-0000-0000-0000B82C0000}"/>
    <cellStyle name="40% - Accent3 2 2 2 3 5 2 2" xfId="31475" xr:uid="{00000000-0005-0000-0000-0000B92C0000}"/>
    <cellStyle name="40% - Accent3 2 2 2 3 5 3" xfId="27153" xr:uid="{00000000-0005-0000-0000-0000BA2C0000}"/>
    <cellStyle name="40% - Accent3 2 2 2 3 6" xfId="9167" xr:uid="{00000000-0005-0000-0000-0000BB2C0000}"/>
    <cellStyle name="40% - Accent3 2 2 2 3 6 2" xfId="28638" xr:uid="{00000000-0005-0000-0000-0000BC2C0000}"/>
    <cellStyle name="40% - Accent3 2 2 2 3 7" xfId="24056" xr:uid="{00000000-0005-0000-0000-0000BD2C0000}"/>
    <cellStyle name="40% - Accent3 2 2 2 4" xfId="4628" xr:uid="{00000000-0005-0000-0000-0000BE2C0000}"/>
    <cellStyle name="40% - Accent3 2 2 2 4 2" xfId="5268" xr:uid="{00000000-0005-0000-0000-0000BF2C0000}"/>
    <cellStyle name="40% - Accent3 2 2 2 4 2 2" xfId="6402" xr:uid="{00000000-0005-0000-0000-0000C02C0000}"/>
    <cellStyle name="40% - Accent3 2 2 2 4 2 2 2" xfId="7679" xr:uid="{00000000-0005-0000-0000-0000C12C0000}"/>
    <cellStyle name="40% - Accent3 2 2 2 4 2 2 2 2" xfId="12015" xr:uid="{00000000-0005-0000-0000-0000C22C0000}"/>
    <cellStyle name="40% - Accent3 2 2 2 4 2 2 2 2 2" xfId="31485" xr:uid="{00000000-0005-0000-0000-0000C32C0000}"/>
    <cellStyle name="40% - Accent3 2 2 2 4 2 2 2 3" xfId="27163" xr:uid="{00000000-0005-0000-0000-0000C42C0000}"/>
    <cellStyle name="40% - Accent3 2 2 2 4 2 2 3" xfId="10818" xr:uid="{00000000-0005-0000-0000-0000C52C0000}"/>
    <cellStyle name="40% - Accent3 2 2 2 4 2 2 3 2" xfId="30288" xr:uid="{00000000-0005-0000-0000-0000C62C0000}"/>
    <cellStyle name="40% - Accent3 2 2 2 4 2 2 4" xfId="25887" xr:uid="{00000000-0005-0000-0000-0000C72C0000}"/>
    <cellStyle name="40% - Accent3 2 2 2 4 2 3" xfId="7678" xr:uid="{00000000-0005-0000-0000-0000C82C0000}"/>
    <cellStyle name="40% - Accent3 2 2 2 4 2 3 2" xfId="12014" xr:uid="{00000000-0005-0000-0000-0000C92C0000}"/>
    <cellStyle name="40% - Accent3 2 2 2 4 2 3 2 2" xfId="31484" xr:uid="{00000000-0005-0000-0000-0000CA2C0000}"/>
    <cellStyle name="40% - Accent3 2 2 2 4 2 3 3" xfId="27162" xr:uid="{00000000-0005-0000-0000-0000CB2C0000}"/>
    <cellStyle name="40% - Accent3 2 2 2 4 2 4" xfId="9757" xr:uid="{00000000-0005-0000-0000-0000CC2C0000}"/>
    <cellStyle name="40% - Accent3 2 2 2 4 2 4 2" xfId="29227" xr:uid="{00000000-0005-0000-0000-0000CD2C0000}"/>
    <cellStyle name="40% - Accent3 2 2 2 4 2 5" xfId="24759" xr:uid="{00000000-0005-0000-0000-0000CE2C0000}"/>
    <cellStyle name="40% - Accent3 2 2 2 4 3" xfId="5865" xr:uid="{00000000-0005-0000-0000-0000CF2C0000}"/>
    <cellStyle name="40% - Accent3 2 2 2 4 3 2" xfId="7680" xr:uid="{00000000-0005-0000-0000-0000D02C0000}"/>
    <cellStyle name="40% - Accent3 2 2 2 4 3 2 2" xfId="12016" xr:uid="{00000000-0005-0000-0000-0000D12C0000}"/>
    <cellStyle name="40% - Accent3 2 2 2 4 3 2 2 2" xfId="31486" xr:uid="{00000000-0005-0000-0000-0000D22C0000}"/>
    <cellStyle name="40% - Accent3 2 2 2 4 3 2 3" xfId="27164" xr:uid="{00000000-0005-0000-0000-0000D32C0000}"/>
    <cellStyle name="40% - Accent3 2 2 2 4 3 3" xfId="10287" xr:uid="{00000000-0005-0000-0000-0000D42C0000}"/>
    <cellStyle name="40% - Accent3 2 2 2 4 3 3 2" xfId="29757" xr:uid="{00000000-0005-0000-0000-0000D52C0000}"/>
    <cellStyle name="40% - Accent3 2 2 2 4 3 4" xfId="25350" xr:uid="{00000000-0005-0000-0000-0000D62C0000}"/>
    <cellStyle name="40% - Accent3 2 2 2 4 4" xfId="7677" xr:uid="{00000000-0005-0000-0000-0000D72C0000}"/>
    <cellStyle name="40% - Accent3 2 2 2 4 4 2" xfId="12013" xr:uid="{00000000-0005-0000-0000-0000D82C0000}"/>
    <cellStyle name="40% - Accent3 2 2 2 4 4 2 2" xfId="31483" xr:uid="{00000000-0005-0000-0000-0000D92C0000}"/>
    <cellStyle name="40% - Accent3 2 2 2 4 4 3" xfId="27161" xr:uid="{00000000-0005-0000-0000-0000DA2C0000}"/>
    <cellStyle name="40% - Accent3 2 2 2 4 5" xfId="9227" xr:uid="{00000000-0005-0000-0000-0000DB2C0000}"/>
    <cellStyle name="40% - Accent3 2 2 2 4 5 2" xfId="28697" xr:uid="{00000000-0005-0000-0000-0000DC2C0000}"/>
    <cellStyle name="40% - Accent3 2 2 2 4 6" xfId="24139" xr:uid="{00000000-0005-0000-0000-0000DD2C0000}"/>
    <cellStyle name="40% - Accent3 2 2 2 5" xfId="4972" xr:uid="{00000000-0005-0000-0000-0000DE2C0000}"/>
    <cellStyle name="40% - Accent3 2 2 2 5 2" xfId="6134" xr:uid="{00000000-0005-0000-0000-0000DF2C0000}"/>
    <cellStyle name="40% - Accent3 2 2 2 5 2 2" xfId="7682" xr:uid="{00000000-0005-0000-0000-0000E02C0000}"/>
    <cellStyle name="40% - Accent3 2 2 2 5 2 2 2" xfId="12018" xr:uid="{00000000-0005-0000-0000-0000E12C0000}"/>
    <cellStyle name="40% - Accent3 2 2 2 5 2 2 2 2" xfId="31488" xr:uid="{00000000-0005-0000-0000-0000E22C0000}"/>
    <cellStyle name="40% - Accent3 2 2 2 5 2 2 3" xfId="27166" xr:uid="{00000000-0005-0000-0000-0000E32C0000}"/>
    <cellStyle name="40% - Accent3 2 2 2 5 2 3" xfId="10552" xr:uid="{00000000-0005-0000-0000-0000E42C0000}"/>
    <cellStyle name="40% - Accent3 2 2 2 5 2 3 2" xfId="30022" xr:uid="{00000000-0005-0000-0000-0000E52C0000}"/>
    <cellStyle name="40% - Accent3 2 2 2 5 2 4" xfId="25619" xr:uid="{00000000-0005-0000-0000-0000E62C0000}"/>
    <cellStyle name="40% - Accent3 2 2 2 5 3" xfId="7681" xr:uid="{00000000-0005-0000-0000-0000E72C0000}"/>
    <cellStyle name="40% - Accent3 2 2 2 5 3 2" xfId="12017" xr:uid="{00000000-0005-0000-0000-0000E82C0000}"/>
    <cellStyle name="40% - Accent3 2 2 2 5 3 2 2" xfId="31487" xr:uid="{00000000-0005-0000-0000-0000E92C0000}"/>
    <cellStyle name="40% - Accent3 2 2 2 5 3 3" xfId="27165" xr:uid="{00000000-0005-0000-0000-0000EA2C0000}"/>
    <cellStyle name="40% - Accent3 2 2 2 5 4" xfId="9492" xr:uid="{00000000-0005-0000-0000-0000EB2C0000}"/>
    <cellStyle name="40% - Accent3 2 2 2 5 4 2" xfId="28962" xr:uid="{00000000-0005-0000-0000-0000EC2C0000}"/>
    <cellStyle name="40% - Accent3 2 2 2 5 5" xfId="24466" xr:uid="{00000000-0005-0000-0000-0000ED2C0000}"/>
    <cellStyle name="40% - Accent3 2 2 2 6" xfId="5577" xr:uid="{00000000-0005-0000-0000-0000EE2C0000}"/>
    <cellStyle name="40% - Accent3 2 2 2 6 2" xfId="7683" xr:uid="{00000000-0005-0000-0000-0000EF2C0000}"/>
    <cellStyle name="40% - Accent3 2 2 2 6 2 2" xfId="12019" xr:uid="{00000000-0005-0000-0000-0000F02C0000}"/>
    <cellStyle name="40% - Accent3 2 2 2 6 2 2 2" xfId="31489" xr:uid="{00000000-0005-0000-0000-0000F12C0000}"/>
    <cellStyle name="40% - Accent3 2 2 2 6 2 3" xfId="27167" xr:uid="{00000000-0005-0000-0000-0000F22C0000}"/>
    <cellStyle name="40% - Accent3 2 2 2 6 3" xfId="10022" xr:uid="{00000000-0005-0000-0000-0000F32C0000}"/>
    <cellStyle name="40% - Accent3 2 2 2 6 3 2" xfId="29492" xr:uid="{00000000-0005-0000-0000-0000F42C0000}"/>
    <cellStyle name="40% - Accent3 2 2 2 6 4" xfId="25064" xr:uid="{00000000-0005-0000-0000-0000F52C0000}"/>
    <cellStyle name="40% - Accent3 2 2 2 7" xfId="7660" xr:uid="{00000000-0005-0000-0000-0000F62C0000}"/>
    <cellStyle name="40% - Accent3 2 2 2 7 2" xfId="11996" xr:uid="{00000000-0005-0000-0000-0000F72C0000}"/>
    <cellStyle name="40% - Accent3 2 2 2 7 2 2" xfId="31466" xr:uid="{00000000-0005-0000-0000-0000F82C0000}"/>
    <cellStyle name="40% - Accent3 2 2 2 7 3" xfId="27144" xr:uid="{00000000-0005-0000-0000-0000F92C0000}"/>
    <cellStyle name="40% - Accent3 2 2 2 8" xfId="8958" xr:uid="{00000000-0005-0000-0000-0000FA2C0000}"/>
    <cellStyle name="40% - Accent3 2 2 2 8 2" xfId="28432" xr:uid="{00000000-0005-0000-0000-0000FB2C0000}"/>
    <cellStyle name="40% - Accent3 2 2 2 9" xfId="23690" xr:uid="{00000000-0005-0000-0000-0000FC2C0000}"/>
    <cellStyle name="40% - Accent3 2 2 3" xfId="2955" xr:uid="{00000000-0005-0000-0000-0000FD2C0000}"/>
    <cellStyle name="40% - Accent3 2 2 3 2" xfId="4662" xr:uid="{00000000-0005-0000-0000-0000FE2C0000}"/>
    <cellStyle name="40% - Accent3 2 2 3 2 2" xfId="5302" xr:uid="{00000000-0005-0000-0000-0000FF2C0000}"/>
    <cellStyle name="40% - Accent3 2 2 3 2 2 2" xfId="6436" xr:uid="{00000000-0005-0000-0000-0000002D0000}"/>
    <cellStyle name="40% - Accent3 2 2 3 2 2 2 2" xfId="7687" xr:uid="{00000000-0005-0000-0000-0000012D0000}"/>
    <cellStyle name="40% - Accent3 2 2 3 2 2 2 2 2" xfId="12023" xr:uid="{00000000-0005-0000-0000-0000022D0000}"/>
    <cellStyle name="40% - Accent3 2 2 3 2 2 2 2 2 2" xfId="31493" xr:uid="{00000000-0005-0000-0000-0000032D0000}"/>
    <cellStyle name="40% - Accent3 2 2 3 2 2 2 2 3" xfId="27171" xr:uid="{00000000-0005-0000-0000-0000042D0000}"/>
    <cellStyle name="40% - Accent3 2 2 3 2 2 2 3" xfId="10852" xr:uid="{00000000-0005-0000-0000-0000052D0000}"/>
    <cellStyle name="40% - Accent3 2 2 3 2 2 2 3 2" xfId="30322" xr:uid="{00000000-0005-0000-0000-0000062D0000}"/>
    <cellStyle name="40% - Accent3 2 2 3 2 2 2 4" xfId="25921" xr:uid="{00000000-0005-0000-0000-0000072D0000}"/>
    <cellStyle name="40% - Accent3 2 2 3 2 2 3" xfId="7686" xr:uid="{00000000-0005-0000-0000-0000082D0000}"/>
    <cellStyle name="40% - Accent3 2 2 3 2 2 3 2" xfId="12022" xr:uid="{00000000-0005-0000-0000-0000092D0000}"/>
    <cellStyle name="40% - Accent3 2 2 3 2 2 3 2 2" xfId="31492" xr:uid="{00000000-0005-0000-0000-00000A2D0000}"/>
    <cellStyle name="40% - Accent3 2 2 3 2 2 3 3" xfId="27170" xr:uid="{00000000-0005-0000-0000-00000B2D0000}"/>
    <cellStyle name="40% - Accent3 2 2 3 2 2 4" xfId="9791" xr:uid="{00000000-0005-0000-0000-00000C2D0000}"/>
    <cellStyle name="40% - Accent3 2 2 3 2 2 4 2" xfId="29261" xr:uid="{00000000-0005-0000-0000-00000D2D0000}"/>
    <cellStyle name="40% - Accent3 2 2 3 2 2 5" xfId="24793" xr:uid="{00000000-0005-0000-0000-00000E2D0000}"/>
    <cellStyle name="40% - Accent3 2 2 3 2 3" xfId="5899" xr:uid="{00000000-0005-0000-0000-00000F2D0000}"/>
    <cellStyle name="40% - Accent3 2 2 3 2 3 2" xfId="7688" xr:uid="{00000000-0005-0000-0000-0000102D0000}"/>
    <cellStyle name="40% - Accent3 2 2 3 2 3 2 2" xfId="12024" xr:uid="{00000000-0005-0000-0000-0000112D0000}"/>
    <cellStyle name="40% - Accent3 2 2 3 2 3 2 2 2" xfId="31494" xr:uid="{00000000-0005-0000-0000-0000122D0000}"/>
    <cellStyle name="40% - Accent3 2 2 3 2 3 2 3" xfId="27172" xr:uid="{00000000-0005-0000-0000-0000132D0000}"/>
    <cellStyle name="40% - Accent3 2 2 3 2 3 3" xfId="10321" xr:uid="{00000000-0005-0000-0000-0000142D0000}"/>
    <cellStyle name="40% - Accent3 2 2 3 2 3 3 2" xfId="29791" xr:uid="{00000000-0005-0000-0000-0000152D0000}"/>
    <cellStyle name="40% - Accent3 2 2 3 2 3 4" xfId="25384" xr:uid="{00000000-0005-0000-0000-0000162D0000}"/>
    <cellStyle name="40% - Accent3 2 2 3 2 4" xfId="7685" xr:uid="{00000000-0005-0000-0000-0000172D0000}"/>
    <cellStyle name="40% - Accent3 2 2 3 2 4 2" xfId="12021" xr:uid="{00000000-0005-0000-0000-0000182D0000}"/>
    <cellStyle name="40% - Accent3 2 2 3 2 4 2 2" xfId="31491" xr:uid="{00000000-0005-0000-0000-0000192D0000}"/>
    <cellStyle name="40% - Accent3 2 2 3 2 4 3" xfId="27169" xr:uid="{00000000-0005-0000-0000-00001A2D0000}"/>
    <cellStyle name="40% - Accent3 2 2 3 2 5" xfId="9261" xr:uid="{00000000-0005-0000-0000-00001B2D0000}"/>
    <cellStyle name="40% - Accent3 2 2 3 2 5 2" xfId="28731" xr:uid="{00000000-0005-0000-0000-00001C2D0000}"/>
    <cellStyle name="40% - Accent3 2 2 3 2 6" xfId="24173" xr:uid="{00000000-0005-0000-0000-00001D2D0000}"/>
    <cellStyle name="40% - Accent3 2 2 3 3" xfId="5006" xr:uid="{00000000-0005-0000-0000-00001E2D0000}"/>
    <cellStyle name="40% - Accent3 2 2 3 3 2" xfId="6168" xr:uid="{00000000-0005-0000-0000-00001F2D0000}"/>
    <cellStyle name="40% - Accent3 2 2 3 3 2 2" xfId="7690" xr:uid="{00000000-0005-0000-0000-0000202D0000}"/>
    <cellStyle name="40% - Accent3 2 2 3 3 2 2 2" xfId="12026" xr:uid="{00000000-0005-0000-0000-0000212D0000}"/>
    <cellStyle name="40% - Accent3 2 2 3 3 2 2 2 2" xfId="31496" xr:uid="{00000000-0005-0000-0000-0000222D0000}"/>
    <cellStyle name="40% - Accent3 2 2 3 3 2 2 3" xfId="27174" xr:uid="{00000000-0005-0000-0000-0000232D0000}"/>
    <cellStyle name="40% - Accent3 2 2 3 3 2 3" xfId="10586" xr:uid="{00000000-0005-0000-0000-0000242D0000}"/>
    <cellStyle name="40% - Accent3 2 2 3 3 2 3 2" xfId="30056" xr:uid="{00000000-0005-0000-0000-0000252D0000}"/>
    <cellStyle name="40% - Accent3 2 2 3 3 2 4" xfId="25653" xr:uid="{00000000-0005-0000-0000-0000262D0000}"/>
    <cellStyle name="40% - Accent3 2 2 3 3 3" xfId="7689" xr:uid="{00000000-0005-0000-0000-0000272D0000}"/>
    <cellStyle name="40% - Accent3 2 2 3 3 3 2" xfId="12025" xr:uid="{00000000-0005-0000-0000-0000282D0000}"/>
    <cellStyle name="40% - Accent3 2 2 3 3 3 2 2" xfId="31495" xr:uid="{00000000-0005-0000-0000-0000292D0000}"/>
    <cellStyle name="40% - Accent3 2 2 3 3 3 3" xfId="27173" xr:uid="{00000000-0005-0000-0000-00002A2D0000}"/>
    <cellStyle name="40% - Accent3 2 2 3 3 4" xfId="9526" xr:uid="{00000000-0005-0000-0000-00002B2D0000}"/>
    <cellStyle name="40% - Accent3 2 2 3 3 4 2" xfId="28996" xr:uid="{00000000-0005-0000-0000-00002C2D0000}"/>
    <cellStyle name="40% - Accent3 2 2 3 3 5" xfId="24500" xr:uid="{00000000-0005-0000-0000-00002D2D0000}"/>
    <cellStyle name="40% - Accent3 2 2 3 4" xfId="5611" xr:uid="{00000000-0005-0000-0000-00002E2D0000}"/>
    <cellStyle name="40% - Accent3 2 2 3 4 2" xfId="7691" xr:uid="{00000000-0005-0000-0000-00002F2D0000}"/>
    <cellStyle name="40% - Accent3 2 2 3 4 2 2" xfId="12027" xr:uid="{00000000-0005-0000-0000-0000302D0000}"/>
    <cellStyle name="40% - Accent3 2 2 3 4 2 2 2" xfId="31497" xr:uid="{00000000-0005-0000-0000-0000312D0000}"/>
    <cellStyle name="40% - Accent3 2 2 3 4 2 3" xfId="27175" xr:uid="{00000000-0005-0000-0000-0000322D0000}"/>
    <cellStyle name="40% - Accent3 2 2 3 4 3" xfId="10056" xr:uid="{00000000-0005-0000-0000-0000332D0000}"/>
    <cellStyle name="40% - Accent3 2 2 3 4 3 2" xfId="29526" xr:uid="{00000000-0005-0000-0000-0000342D0000}"/>
    <cellStyle name="40% - Accent3 2 2 3 4 4" xfId="25098" xr:uid="{00000000-0005-0000-0000-0000352D0000}"/>
    <cellStyle name="40% - Accent3 2 2 3 5" xfId="7684" xr:uid="{00000000-0005-0000-0000-0000362D0000}"/>
    <cellStyle name="40% - Accent3 2 2 3 5 2" xfId="12020" xr:uid="{00000000-0005-0000-0000-0000372D0000}"/>
    <cellStyle name="40% - Accent3 2 2 3 5 2 2" xfId="31490" xr:uid="{00000000-0005-0000-0000-0000382D0000}"/>
    <cellStyle name="40% - Accent3 2 2 3 5 3" xfId="27168" xr:uid="{00000000-0005-0000-0000-0000392D0000}"/>
    <cellStyle name="40% - Accent3 2 2 3 6" xfId="8992" xr:uid="{00000000-0005-0000-0000-00003A2D0000}"/>
    <cellStyle name="40% - Accent3 2 2 3 6 2" xfId="28466" xr:uid="{00000000-0005-0000-0000-00003B2D0000}"/>
    <cellStyle name="40% - Accent3 2 2 3 7" xfId="23764" xr:uid="{00000000-0005-0000-0000-00003C2D0000}"/>
    <cellStyle name="40% - Accent3 2 2 4" xfId="4225" xr:uid="{00000000-0005-0000-0000-00003D2D0000}"/>
    <cellStyle name="40% - Accent3 2 2 4 2" xfId="4800" xr:uid="{00000000-0005-0000-0000-00003E2D0000}"/>
    <cellStyle name="40% - Accent3 2 2 4 2 2" xfId="5426" xr:uid="{00000000-0005-0000-0000-00003F2D0000}"/>
    <cellStyle name="40% - Accent3 2 2 4 2 2 2" xfId="6554" xr:uid="{00000000-0005-0000-0000-0000402D0000}"/>
    <cellStyle name="40% - Accent3 2 2 4 2 2 2 2" xfId="7695" xr:uid="{00000000-0005-0000-0000-0000412D0000}"/>
    <cellStyle name="40% - Accent3 2 2 4 2 2 2 2 2" xfId="12031" xr:uid="{00000000-0005-0000-0000-0000422D0000}"/>
    <cellStyle name="40% - Accent3 2 2 4 2 2 2 2 2 2" xfId="31501" xr:uid="{00000000-0005-0000-0000-0000432D0000}"/>
    <cellStyle name="40% - Accent3 2 2 4 2 2 2 2 3" xfId="27179" xr:uid="{00000000-0005-0000-0000-0000442D0000}"/>
    <cellStyle name="40% - Accent3 2 2 4 2 2 2 3" xfId="10970" xr:uid="{00000000-0005-0000-0000-0000452D0000}"/>
    <cellStyle name="40% - Accent3 2 2 4 2 2 2 3 2" xfId="30440" xr:uid="{00000000-0005-0000-0000-0000462D0000}"/>
    <cellStyle name="40% - Accent3 2 2 4 2 2 2 4" xfId="26039" xr:uid="{00000000-0005-0000-0000-0000472D0000}"/>
    <cellStyle name="40% - Accent3 2 2 4 2 2 3" xfId="7694" xr:uid="{00000000-0005-0000-0000-0000482D0000}"/>
    <cellStyle name="40% - Accent3 2 2 4 2 2 3 2" xfId="12030" xr:uid="{00000000-0005-0000-0000-0000492D0000}"/>
    <cellStyle name="40% - Accent3 2 2 4 2 2 3 2 2" xfId="31500" xr:uid="{00000000-0005-0000-0000-00004A2D0000}"/>
    <cellStyle name="40% - Accent3 2 2 4 2 2 3 3" xfId="27178" xr:uid="{00000000-0005-0000-0000-00004B2D0000}"/>
    <cellStyle name="40% - Accent3 2 2 4 2 2 4" xfId="9909" xr:uid="{00000000-0005-0000-0000-00004C2D0000}"/>
    <cellStyle name="40% - Accent3 2 2 4 2 2 4 2" xfId="29379" xr:uid="{00000000-0005-0000-0000-00004D2D0000}"/>
    <cellStyle name="40% - Accent3 2 2 4 2 2 5" xfId="24917" xr:uid="{00000000-0005-0000-0000-00004E2D0000}"/>
    <cellStyle name="40% - Accent3 2 2 4 2 3" xfId="6018" xr:uid="{00000000-0005-0000-0000-00004F2D0000}"/>
    <cellStyle name="40% - Accent3 2 2 4 2 3 2" xfId="7696" xr:uid="{00000000-0005-0000-0000-0000502D0000}"/>
    <cellStyle name="40% - Accent3 2 2 4 2 3 2 2" xfId="12032" xr:uid="{00000000-0005-0000-0000-0000512D0000}"/>
    <cellStyle name="40% - Accent3 2 2 4 2 3 2 2 2" xfId="31502" xr:uid="{00000000-0005-0000-0000-0000522D0000}"/>
    <cellStyle name="40% - Accent3 2 2 4 2 3 2 3" xfId="27180" xr:uid="{00000000-0005-0000-0000-0000532D0000}"/>
    <cellStyle name="40% - Accent3 2 2 4 2 3 3" xfId="10439" xr:uid="{00000000-0005-0000-0000-0000542D0000}"/>
    <cellStyle name="40% - Accent3 2 2 4 2 3 3 2" xfId="29909" xr:uid="{00000000-0005-0000-0000-0000552D0000}"/>
    <cellStyle name="40% - Accent3 2 2 4 2 3 4" xfId="25503" xr:uid="{00000000-0005-0000-0000-0000562D0000}"/>
    <cellStyle name="40% - Accent3 2 2 4 2 4" xfId="7693" xr:uid="{00000000-0005-0000-0000-0000572D0000}"/>
    <cellStyle name="40% - Accent3 2 2 4 2 4 2" xfId="12029" xr:uid="{00000000-0005-0000-0000-0000582D0000}"/>
    <cellStyle name="40% - Accent3 2 2 4 2 4 2 2" xfId="31499" xr:uid="{00000000-0005-0000-0000-0000592D0000}"/>
    <cellStyle name="40% - Accent3 2 2 4 2 4 3" xfId="27177" xr:uid="{00000000-0005-0000-0000-00005A2D0000}"/>
    <cellStyle name="40% - Accent3 2 2 4 2 5" xfId="9379" xr:uid="{00000000-0005-0000-0000-00005B2D0000}"/>
    <cellStyle name="40% - Accent3 2 2 4 2 5 2" xfId="28849" xr:uid="{00000000-0005-0000-0000-00005C2D0000}"/>
    <cellStyle name="40% - Accent3 2 2 4 2 6" xfId="24302" xr:uid="{00000000-0005-0000-0000-00005D2D0000}"/>
    <cellStyle name="40% - Accent3 2 2 4 3" xfId="5131" xr:uid="{00000000-0005-0000-0000-00005E2D0000}"/>
    <cellStyle name="40% - Accent3 2 2 4 3 2" xfId="6287" xr:uid="{00000000-0005-0000-0000-00005F2D0000}"/>
    <cellStyle name="40% - Accent3 2 2 4 3 2 2" xfId="7698" xr:uid="{00000000-0005-0000-0000-0000602D0000}"/>
    <cellStyle name="40% - Accent3 2 2 4 3 2 2 2" xfId="12034" xr:uid="{00000000-0005-0000-0000-0000612D0000}"/>
    <cellStyle name="40% - Accent3 2 2 4 3 2 2 2 2" xfId="31504" xr:uid="{00000000-0005-0000-0000-0000622D0000}"/>
    <cellStyle name="40% - Accent3 2 2 4 3 2 2 3" xfId="27182" xr:uid="{00000000-0005-0000-0000-0000632D0000}"/>
    <cellStyle name="40% - Accent3 2 2 4 3 2 3" xfId="10704" xr:uid="{00000000-0005-0000-0000-0000642D0000}"/>
    <cellStyle name="40% - Accent3 2 2 4 3 2 3 2" xfId="30174" xr:uid="{00000000-0005-0000-0000-0000652D0000}"/>
    <cellStyle name="40% - Accent3 2 2 4 3 2 4" xfId="25772" xr:uid="{00000000-0005-0000-0000-0000662D0000}"/>
    <cellStyle name="40% - Accent3 2 2 4 3 3" xfId="7697" xr:uid="{00000000-0005-0000-0000-0000672D0000}"/>
    <cellStyle name="40% - Accent3 2 2 4 3 3 2" xfId="12033" xr:uid="{00000000-0005-0000-0000-0000682D0000}"/>
    <cellStyle name="40% - Accent3 2 2 4 3 3 2 2" xfId="31503" xr:uid="{00000000-0005-0000-0000-0000692D0000}"/>
    <cellStyle name="40% - Accent3 2 2 4 3 3 3" xfId="27181" xr:uid="{00000000-0005-0000-0000-00006A2D0000}"/>
    <cellStyle name="40% - Accent3 2 2 4 3 4" xfId="9644" xr:uid="{00000000-0005-0000-0000-00006B2D0000}"/>
    <cellStyle name="40% - Accent3 2 2 4 3 4 2" xfId="29114" xr:uid="{00000000-0005-0000-0000-00006C2D0000}"/>
    <cellStyle name="40% - Accent3 2 2 4 3 5" xfId="24622" xr:uid="{00000000-0005-0000-0000-00006D2D0000}"/>
    <cellStyle name="40% - Accent3 2 2 4 4" xfId="5740" xr:uid="{00000000-0005-0000-0000-00006E2D0000}"/>
    <cellStyle name="40% - Accent3 2 2 4 4 2" xfId="7699" xr:uid="{00000000-0005-0000-0000-00006F2D0000}"/>
    <cellStyle name="40% - Accent3 2 2 4 4 2 2" xfId="12035" xr:uid="{00000000-0005-0000-0000-0000702D0000}"/>
    <cellStyle name="40% - Accent3 2 2 4 4 2 2 2" xfId="31505" xr:uid="{00000000-0005-0000-0000-0000712D0000}"/>
    <cellStyle name="40% - Accent3 2 2 4 4 2 3" xfId="27183" xr:uid="{00000000-0005-0000-0000-0000722D0000}"/>
    <cellStyle name="40% - Accent3 2 2 4 4 3" xfId="10174" xr:uid="{00000000-0005-0000-0000-0000732D0000}"/>
    <cellStyle name="40% - Accent3 2 2 4 4 3 2" xfId="29644" xr:uid="{00000000-0005-0000-0000-0000742D0000}"/>
    <cellStyle name="40% - Accent3 2 2 4 4 4" xfId="25225" xr:uid="{00000000-0005-0000-0000-0000752D0000}"/>
    <cellStyle name="40% - Accent3 2 2 4 5" xfId="7692" xr:uid="{00000000-0005-0000-0000-0000762D0000}"/>
    <cellStyle name="40% - Accent3 2 2 4 5 2" xfId="12028" xr:uid="{00000000-0005-0000-0000-0000772D0000}"/>
    <cellStyle name="40% - Accent3 2 2 4 5 2 2" xfId="31498" xr:uid="{00000000-0005-0000-0000-0000782D0000}"/>
    <cellStyle name="40% - Accent3 2 2 4 5 3" xfId="27176" xr:uid="{00000000-0005-0000-0000-0000792D0000}"/>
    <cellStyle name="40% - Accent3 2 2 4 6" xfId="9113" xr:uid="{00000000-0005-0000-0000-00007A2D0000}"/>
    <cellStyle name="40% - Accent3 2 2 4 6 2" xfId="28584" xr:uid="{00000000-0005-0000-0000-00007B2D0000}"/>
    <cellStyle name="40% - Accent3 2 2 4 7" xfId="24001" xr:uid="{00000000-0005-0000-0000-00007C2D0000}"/>
    <cellStyle name="40% - Accent3 2 2 5" xfId="4595" xr:uid="{00000000-0005-0000-0000-00007D2D0000}"/>
    <cellStyle name="40% - Accent3 2 2 5 2" xfId="5236" xr:uid="{00000000-0005-0000-0000-00007E2D0000}"/>
    <cellStyle name="40% - Accent3 2 2 5 2 2" xfId="6370" xr:uid="{00000000-0005-0000-0000-00007F2D0000}"/>
    <cellStyle name="40% - Accent3 2 2 5 2 2 2" xfId="7702" xr:uid="{00000000-0005-0000-0000-0000802D0000}"/>
    <cellStyle name="40% - Accent3 2 2 5 2 2 2 2" xfId="12038" xr:uid="{00000000-0005-0000-0000-0000812D0000}"/>
    <cellStyle name="40% - Accent3 2 2 5 2 2 2 2 2" xfId="31508" xr:uid="{00000000-0005-0000-0000-0000822D0000}"/>
    <cellStyle name="40% - Accent3 2 2 5 2 2 2 3" xfId="27186" xr:uid="{00000000-0005-0000-0000-0000832D0000}"/>
    <cellStyle name="40% - Accent3 2 2 5 2 2 3" xfId="10786" xr:uid="{00000000-0005-0000-0000-0000842D0000}"/>
    <cellStyle name="40% - Accent3 2 2 5 2 2 3 2" xfId="30256" xr:uid="{00000000-0005-0000-0000-0000852D0000}"/>
    <cellStyle name="40% - Accent3 2 2 5 2 2 4" xfId="25855" xr:uid="{00000000-0005-0000-0000-0000862D0000}"/>
    <cellStyle name="40% - Accent3 2 2 5 2 3" xfId="7701" xr:uid="{00000000-0005-0000-0000-0000872D0000}"/>
    <cellStyle name="40% - Accent3 2 2 5 2 3 2" xfId="12037" xr:uid="{00000000-0005-0000-0000-0000882D0000}"/>
    <cellStyle name="40% - Accent3 2 2 5 2 3 2 2" xfId="31507" xr:uid="{00000000-0005-0000-0000-0000892D0000}"/>
    <cellStyle name="40% - Accent3 2 2 5 2 3 3" xfId="27185" xr:uid="{00000000-0005-0000-0000-00008A2D0000}"/>
    <cellStyle name="40% - Accent3 2 2 5 2 4" xfId="9725" xr:uid="{00000000-0005-0000-0000-00008B2D0000}"/>
    <cellStyle name="40% - Accent3 2 2 5 2 4 2" xfId="29195" xr:uid="{00000000-0005-0000-0000-00008C2D0000}"/>
    <cellStyle name="40% - Accent3 2 2 5 2 5" xfId="24727" xr:uid="{00000000-0005-0000-0000-00008D2D0000}"/>
    <cellStyle name="40% - Accent3 2 2 5 3" xfId="5832" xr:uid="{00000000-0005-0000-0000-00008E2D0000}"/>
    <cellStyle name="40% - Accent3 2 2 5 3 2" xfId="7703" xr:uid="{00000000-0005-0000-0000-00008F2D0000}"/>
    <cellStyle name="40% - Accent3 2 2 5 3 2 2" xfId="12039" xr:uid="{00000000-0005-0000-0000-0000902D0000}"/>
    <cellStyle name="40% - Accent3 2 2 5 3 2 2 2" xfId="31509" xr:uid="{00000000-0005-0000-0000-0000912D0000}"/>
    <cellStyle name="40% - Accent3 2 2 5 3 2 3" xfId="27187" xr:uid="{00000000-0005-0000-0000-0000922D0000}"/>
    <cellStyle name="40% - Accent3 2 2 5 3 3" xfId="10255" xr:uid="{00000000-0005-0000-0000-0000932D0000}"/>
    <cellStyle name="40% - Accent3 2 2 5 3 3 2" xfId="29725" xr:uid="{00000000-0005-0000-0000-0000942D0000}"/>
    <cellStyle name="40% - Accent3 2 2 5 3 4" xfId="25317" xr:uid="{00000000-0005-0000-0000-0000952D0000}"/>
    <cellStyle name="40% - Accent3 2 2 5 4" xfId="7700" xr:uid="{00000000-0005-0000-0000-0000962D0000}"/>
    <cellStyle name="40% - Accent3 2 2 5 4 2" xfId="12036" xr:uid="{00000000-0005-0000-0000-0000972D0000}"/>
    <cellStyle name="40% - Accent3 2 2 5 4 2 2" xfId="31506" xr:uid="{00000000-0005-0000-0000-0000982D0000}"/>
    <cellStyle name="40% - Accent3 2 2 5 4 3" xfId="27184" xr:uid="{00000000-0005-0000-0000-0000992D0000}"/>
    <cellStyle name="40% - Accent3 2 2 5 5" xfId="9195" xr:uid="{00000000-0005-0000-0000-00009A2D0000}"/>
    <cellStyle name="40% - Accent3 2 2 5 5 2" xfId="28665" xr:uid="{00000000-0005-0000-0000-00009B2D0000}"/>
    <cellStyle name="40% - Accent3 2 2 5 6" xfId="24106" xr:uid="{00000000-0005-0000-0000-00009C2D0000}"/>
    <cellStyle name="40% - Accent3 2 2 6" xfId="4940" xr:uid="{00000000-0005-0000-0000-00009D2D0000}"/>
    <cellStyle name="40% - Accent3 2 2 6 2" xfId="6102" xr:uid="{00000000-0005-0000-0000-00009E2D0000}"/>
    <cellStyle name="40% - Accent3 2 2 6 2 2" xfId="7705" xr:uid="{00000000-0005-0000-0000-00009F2D0000}"/>
    <cellStyle name="40% - Accent3 2 2 6 2 2 2" xfId="12041" xr:uid="{00000000-0005-0000-0000-0000A02D0000}"/>
    <cellStyle name="40% - Accent3 2 2 6 2 2 2 2" xfId="31511" xr:uid="{00000000-0005-0000-0000-0000A12D0000}"/>
    <cellStyle name="40% - Accent3 2 2 6 2 2 3" xfId="27189" xr:uid="{00000000-0005-0000-0000-0000A22D0000}"/>
    <cellStyle name="40% - Accent3 2 2 6 2 3" xfId="10520" xr:uid="{00000000-0005-0000-0000-0000A32D0000}"/>
    <cellStyle name="40% - Accent3 2 2 6 2 3 2" xfId="29990" xr:uid="{00000000-0005-0000-0000-0000A42D0000}"/>
    <cellStyle name="40% - Accent3 2 2 6 2 4" xfId="25587" xr:uid="{00000000-0005-0000-0000-0000A52D0000}"/>
    <cellStyle name="40% - Accent3 2 2 6 3" xfId="7704" xr:uid="{00000000-0005-0000-0000-0000A62D0000}"/>
    <cellStyle name="40% - Accent3 2 2 6 3 2" xfId="12040" xr:uid="{00000000-0005-0000-0000-0000A72D0000}"/>
    <cellStyle name="40% - Accent3 2 2 6 3 2 2" xfId="31510" xr:uid="{00000000-0005-0000-0000-0000A82D0000}"/>
    <cellStyle name="40% - Accent3 2 2 6 3 3" xfId="27188" xr:uid="{00000000-0005-0000-0000-0000A92D0000}"/>
    <cellStyle name="40% - Accent3 2 2 6 4" xfId="9460" xr:uid="{00000000-0005-0000-0000-0000AA2D0000}"/>
    <cellStyle name="40% - Accent3 2 2 6 4 2" xfId="28930" xr:uid="{00000000-0005-0000-0000-0000AB2D0000}"/>
    <cellStyle name="40% - Accent3 2 2 6 5" xfId="24434" xr:uid="{00000000-0005-0000-0000-0000AC2D0000}"/>
    <cellStyle name="40% - Accent3 2 2 7" xfId="5544" xr:uid="{00000000-0005-0000-0000-0000AD2D0000}"/>
    <cellStyle name="40% - Accent3 2 2 7 2" xfId="7706" xr:uid="{00000000-0005-0000-0000-0000AE2D0000}"/>
    <cellStyle name="40% - Accent3 2 2 7 2 2" xfId="12042" xr:uid="{00000000-0005-0000-0000-0000AF2D0000}"/>
    <cellStyle name="40% - Accent3 2 2 7 2 2 2" xfId="31512" xr:uid="{00000000-0005-0000-0000-0000B02D0000}"/>
    <cellStyle name="40% - Accent3 2 2 7 2 3" xfId="27190" xr:uid="{00000000-0005-0000-0000-0000B12D0000}"/>
    <cellStyle name="40% - Accent3 2 2 7 3" xfId="9990" xr:uid="{00000000-0005-0000-0000-0000B22D0000}"/>
    <cellStyle name="40% - Accent3 2 2 7 3 2" xfId="29460" xr:uid="{00000000-0005-0000-0000-0000B32D0000}"/>
    <cellStyle name="40% - Accent3 2 2 7 4" xfId="25032" xr:uid="{00000000-0005-0000-0000-0000B42D0000}"/>
    <cellStyle name="40% - Accent3 2 2 8" xfId="7659" xr:uid="{00000000-0005-0000-0000-0000B52D0000}"/>
    <cellStyle name="40% - Accent3 2 2 8 2" xfId="11995" xr:uid="{00000000-0005-0000-0000-0000B62D0000}"/>
    <cellStyle name="40% - Accent3 2 2 8 2 2" xfId="31465" xr:uid="{00000000-0005-0000-0000-0000B72D0000}"/>
    <cellStyle name="40% - Accent3 2 2 8 3" xfId="27143" xr:uid="{00000000-0005-0000-0000-0000B82D0000}"/>
    <cellStyle name="40% - Accent3 2 2 9" xfId="8926" xr:uid="{00000000-0005-0000-0000-0000B92D0000}"/>
    <cellStyle name="40% - Accent3 2 2 9 2" xfId="28400" xr:uid="{00000000-0005-0000-0000-0000BA2D0000}"/>
    <cellStyle name="40% - Accent3 2 3" xfId="2716" xr:uid="{00000000-0005-0000-0000-0000BB2D0000}"/>
    <cellStyle name="40% - Accent3 2 3 10" xfId="23572" xr:uid="{00000000-0005-0000-0000-0000BC2D0000}"/>
    <cellStyle name="40% - Accent3 2 3 2" xfId="2880" xr:uid="{00000000-0005-0000-0000-0000BD2D0000}"/>
    <cellStyle name="40% - Accent3 2 3 2 2" xfId="3074" xr:uid="{00000000-0005-0000-0000-0000BE2D0000}"/>
    <cellStyle name="40% - Accent3 2 3 2 2 2" xfId="4701" xr:uid="{00000000-0005-0000-0000-0000BF2D0000}"/>
    <cellStyle name="40% - Accent3 2 3 2 2 2 2" xfId="5335" xr:uid="{00000000-0005-0000-0000-0000C02D0000}"/>
    <cellStyle name="40% - Accent3 2 3 2 2 2 2 2" xfId="6469" xr:uid="{00000000-0005-0000-0000-0000C12D0000}"/>
    <cellStyle name="40% - Accent3 2 3 2 2 2 2 2 2" xfId="7712" xr:uid="{00000000-0005-0000-0000-0000C22D0000}"/>
    <cellStyle name="40% - Accent3 2 3 2 2 2 2 2 2 2" xfId="12048" xr:uid="{00000000-0005-0000-0000-0000C32D0000}"/>
    <cellStyle name="40% - Accent3 2 3 2 2 2 2 2 2 2 2" xfId="31518" xr:uid="{00000000-0005-0000-0000-0000C42D0000}"/>
    <cellStyle name="40% - Accent3 2 3 2 2 2 2 2 2 3" xfId="27196" xr:uid="{00000000-0005-0000-0000-0000C52D0000}"/>
    <cellStyle name="40% - Accent3 2 3 2 2 2 2 2 3" xfId="10885" xr:uid="{00000000-0005-0000-0000-0000C62D0000}"/>
    <cellStyle name="40% - Accent3 2 3 2 2 2 2 2 3 2" xfId="30355" xr:uid="{00000000-0005-0000-0000-0000C72D0000}"/>
    <cellStyle name="40% - Accent3 2 3 2 2 2 2 2 4" xfId="25954" xr:uid="{00000000-0005-0000-0000-0000C82D0000}"/>
    <cellStyle name="40% - Accent3 2 3 2 2 2 2 3" xfId="7711" xr:uid="{00000000-0005-0000-0000-0000C92D0000}"/>
    <cellStyle name="40% - Accent3 2 3 2 2 2 2 3 2" xfId="12047" xr:uid="{00000000-0005-0000-0000-0000CA2D0000}"/>
    <cellStyle name="40% - Accent3 2 3 2 2 2 2 3 2 2" xfId="31517" xr:uid="{00000000-0005-0000-0000-0000CB2D0000}"/>
    <cellStyle name="40% - Accent3 2 3 2 2 2 2 3 3" xfId="27195" xr:uid="{00000000-0005-0000-0000-0000CC2D0000}"/>
    <cellStyle name="40% - Accent3 2 3 2 2 2 2 4" xfId="9824" xr:uid="{00000000-0005-0000-0000-0000CD2D0000}"/>
    <cellStyle name="40% - Accent3 2 3 2 2 2 2 4 2" xfId="29294" xr:uid="{00000000-0005-0000-0000-0000CE2D0000}"/>
    <cellStyle name="40% - Accent3 2 3 2 2 2 2 5" xfId="24826" xr:uid="{00000000-0005-0000-0000-0000CF2D0000}"/>
    <cellStyle name="40% - Accent3 2 3 2 2 2 3" xfId="5932" xr:uid="{00000000-0005-0000-0000-0000D02D0000}"/>
    <cellStyle name="40% - Accent3 2 3 2 2 2 3 2" xfId="7713" xr:uid="{00000000-0005-0000-0000-0000D12D0000}"/>
    <cellStyle name="40% - Accent3 2 3 2 2 2 3 2 2" xfId="12049" xr:uid="{00000000-0005-0000-0000-0000D22D0000}"/>
    <cellStyle name="40% - Accent3 2 3 2 2 2 3 2 2 2" xfId="31519" xr:uid="{00000000-0005-0000-0000-0000D32D0000}"/>
    <cellStyle name="40% - Accent3 2 3 2 2 2 3 2 3" xfId="27197" xr:uid="{00000000-0005-0000-0000-0000D42D0000}"/>
    <cellStyle name="40% - Accent3 2 3 2 2 2 3 3" xfId="10354" xr:uid="{00000000-0005-0000-0000-0000D52D0000}"/>
    <cellStyle name="40% - Accent3 2 3 2 2 2 3 3 2" xfId="29824" xr:uid="{00000000-0005-0000-0000-0000D62D0000}"/>
    <cellStyle name="40% - Accent3 2 3 2 2 2 3 4" xfId="25417" xr:uid="{00000000-0005-0000-0000-0000D72D0000}"/>
    <cellStyle name="40% - Accent3 2 3 2 2 2 4" xfId="7710" xr:uid="{00000000-0005-0000-0000-0000D82D0000}"/>
    <cellStyle name="40% - Accent3 2 3 2 2 2 4 2" xfId="12046" xr:uid="{00000000-0005-0000-0000-0000D92D0000}"/>
    <cellStyle name="40% - Accent3 2 3 2 2 2 4 2 2" xfId="31516" xr:uid="{00000000-0005-0000-0000-0000DA2D0000}"/>
    <cellStyle name="40% - Accent3 2 3 2 2 2 4 3" xfId="27194" xr:uid="{00000000-0005-0000-0000-0000DB2D0000}"/>
    <cellStyle name="40% - Accent3 2 3 2 2 2 5" xfId="9294" xr:uid="{00000000-0005-0000-0000-0000DC2D0000}"/>
    <cellStyle name="40% - Accent3 2 3 2 2 2 5 2" xfId="28764" xr:uid="{00000000-0005-0000-0000-0000DD2D0000}"/>
    <cellStyle name="40% - Accent3 2 3 2 2 2 6" xfId="24212" xr:uid="{00000000-0005-0000-0000-0000DE2D0000}"/>
    <cellStyle name="40% - Accent3 2 3 2 2 3" xfId="5039" xr:uid="{00000000-0005-0000-0000-0000DF2D0000}"/>
    <cellStyle name="40% - Accent3 2 3 2 2 3 2" xfId="6201" xr:uid="{00000000-0005-0000-0000-0000E02D0000}"/>
    <cellStyle name="40% - Accent3 2 3 2 2 3 2 2" xfId="7715" xr:uid="{00000000-0005-0000-0000-0000E12D0000}"/>
    <cellStyle name="40% - Accent3 2 3 2 2 3 2 2 2" xfId="12051" xr:uid="{00000000-0005-0000-0000-0000E22D0000}"/>
    <cellStyle name="40% - Accent3 2 3 2 2 3 2 2 2 2" xfId="31521" xr:uid="{00000000-0005-0000-0000-0000E32D0000}"/>
    <cellStyle name="40% - Accent3 2 3 2 2 3 2 2 3" xfId="27199" xr:uid="{00000000-0005-0000-0000-0000E42D0000}"/>
    <cellStyle name="40% - Accent3 2 3 2 2 3 2 3" xfId="10619" xr:uid="{00000000-0005-0000-0000-0000E52D0000}"/>
    <cellStyle name="40% - Accent3 2 3 2 2 3 2 3 2" xfId="30089" xr:uid="{00000000-0005-0000-0000-0000E62D0000}"/>
    <cellStyle name="40% - Accent3 2 3 2 2 3 2 4" xfId="25686" xr:uid="{00000000-0005-0000-0000-0000E72D0000}"/>
    <cellStyle name="40% - Accent3 2 3 2 2 3 3" xfId="7714" xr:uid="{00000000-0005-0000-0000-0000E82D0000}"/>
    <cellStyle name="40% - Accent3 2 3 2 2 3 3 2" xfId="12050" xr:uid="{00000000-0005-0000-0000-0000E92D0000}"/>
    <cellStyle name="40% - Accent3 2 3 2 2 3 3 2 2" xfId="31520" xr:uid="{00000000-0005-0000-0000-0000EA2D0000}"/>
    <cellStyle name="40% - Accent3 2 3 2 2 3 3 3" xfId="27198" xr:uid="{00000000-0005-0000-0000-0000EB2D0000}"/>
    <cellStyle name="40% - Accent3 2 3 2 2 3 4" xfId="9559" xr:uid="{00000000-0005-0000-0000-0000EC2D0000}"/>
    <cellStyle name="40% - Accent3 2 3 2 2 3 4 2" xfId="29029" xr:uid="{00000000-0005-0000-0000-0000ED2D0000}"/>
    <cellStyle name="40% - Accent3 2 3 2 2 3 5" xfId="24533" xr:uid="{00000000-0005-0000-0000-0000EE2D0000}"/>
    <cellStyle name="40% - Accent3 2 3 2 2 4" xfId="5644" xr:uid="{00000000-0005-0000-0000-0000EF2D0000}"/>
    <cellStyle name="40% - Accent3 2 3 2 2 4 2" xfId="7716" xr:uid="{00000000-0005-0000-0000-0000F02D0000}"/>
    <cellStyle name="40% - Accent3 2 3 2 2 4 2 2" xfId="12052" xr:uid="{00000000-0005-0000-0000-0000F12D0000}"/>
    <cellStyle name="40% - Accent3 2 3 2 2 4 2 2 2" xfId="31522" xr:uid="{00000000-0005-0000-0000-0000F22D0000}"/>
    <cellStyle name="40% - Accent3 2 3 2 2 4 2 3" xfId="27200" xr:uid="{00000000-0005-0000-0000-0000F32D0000}"/>
    <cellStyle name="40% - Accent3 2 3 2 2 4 3" xfId="10089" xr:uid="{00000000-0005-0000-0000-0000F42D0000}"/>
    <cellStyle name="40% - Accent3 2 3 2 2 4 3 2" xfId="29559" xr:uid="{00000000-0005-0000-0000-0000F52D0000}"/>
    <cellStyle name="40% - Accent3 2 3 2 2 4 4" xfId="25131" xr:uid="{00000000-0005-0000-0000-0000F62D0000}"/>
    <cellStyle name="40% - Accent3 2 3 2 2 5" xfId="7709" xr:uid="{00000000-0005-0000-0000-0000F72D0000}"/>
    <cellStyle name="40% - Accent3 2 3 2 2 5 2" xfId="12045" xr:uid="{00000000-0005-0000-0000-0000F82D0000}"/>
    <cellStyle name="40% - Accent3 2 3 2 2 5 2 2" xfId="31515" xr:uid="{00000000-0005-0000-0000-0000F92D0000}"/>
    <cellStyle name="40% - Accent3 2 3 2 2 5 3" xfId="27193" xr:uid="{00000000-0005-0000-0000-0000FA2D0000}"/>
    <cellStyle name="40% - Accent3 2 3 2 2 6" xfId="9025" xr:uid="{00000000-0005-0000-0000-0000FB2D0000}"/>
    <cellStyle name="40% - Accent3 2 3 2 2 6 2" xfId="28499" xr:uid="{00000000-0005-0000-0000-0000FC2D0000}"/>
    <cellStyle name="40% - Accent3 2 3 2 2 7" xfId="23883" xr:uid="{00000000-0005-0000-0000-0000FD2D0000}"/>
    <cellStyle name="40% - Accent3 2 3 2 3" xfId="4262" xr:uid="{00000000-0005-0000-0000-0000FE2D0000}"/>
    <cellStyle name="40% - Accent3 2 3 2 3 2" xfId="4837" xr:uid="{00000000-0005-0000-0000-0000FF2D0000}"/>
    <cellStyle name="40% - Accent3 2 3 2 3 2 2" xfId="5462" xr:uid="{00000000-0005-0000-0000-0000002E0000}"/>
    <cellStyle name="40% - Accent3 2 3 2 3 2 2 2" xfId="6590" xr:uid="{00000000-0005-0000-0000-0000012E0000}"/>
    <cellStyle name="40% - Accent3 2 3 2 3 2 2 2 2" xfId="7720" xr:uid="{00000000-0005-0000-0000-0000022E0000}"/>
    <cellStyle name="40% - Accent3 2 3 2 3 2 2 2 2 2" xfId="12056" xr:uid="{00000000-0005-0000-0000-0000032E0000}"/>
    <cellStyle name="40% - Accent3 2 3 2 3 2 2 2 2 2 2" xfId="31526" xr:uid="{00000000-0005-0000-0000-0000042E0000}"/>
    <cellStyle name="40% - Accent3 2 3 2 3 2 2 2 2 3" xfId="27204" xr:uid="{00000000-0005-0000-0000-0000052E0000}"/>
    <cellStyle name="40% - Accent3 2 3 2 3 2 2 2 3" xfId="11006" xr:uid="{00000000-0005-0000-0000-0000062E0000}"/>
    <cellStyle name="40% - Accent3 2 3 2 3 2 2 2 3 2" xfId="30476" xr:uid="{00000000-0005-0000-0000-0000072E0000}"/>
    <cellStyle name="40% - Accent3 2 3 2 3 2 2 2 4" xfId="26075" xr:uid="{00000000-0005-0000-0000-0000082E0000}"/>
    <cellStyle name="40% - Accent3 2 3 2 3 2 2 3" xfId="7719" xr:uid="{00000000-0005-0000-0000-0000092E0000}"/>
    <cellStyle name="40% - Accent3 2 3 2 3 2 2 3 2" xfId="12055" xr:uid="{00000000-0005-0000-0000-00000A2E0000}"/>
    <cellStyle name="40% - Accent3 2 3 2 3 2 2 3 2 2" xfId="31525" xr:uid="{00000000-0005-0000-0000-00000B2E0000}"/>
    <cellStyle name="40% - Accent3 2 3 2 3 2 2 3 3" xfId="27203" xr:uid="{00000000-0005-0000-0000-00000C2E0000}"/>
    <cellStyle name="40% - Accent3 2 3 2 3 2 2 4" xfId="9945" xr:uid="{00000000-0005-0000-0000-00000D2E0000}"/>
    <cellStyle name="40% - Accent3 2 3 2 3 2 2 4 2" xfId="29415" xr:uid="{00000000-0005-0000-0000-00000E2E0000}"/>
    <cellStyle name="40% - Accent3 2 3 2 3 2 2 5" xfId="24953" xr:uid="{00000000-0005-0000-0000-00000F2E0000}"/>
    <cellStyle name="40% - Accent3 2 3 2 3 2 3" xfId="6055" xr:uid="{00000000-0005-0000-0000-0000102E0000}"/>
    <cellStyle name="40% - Accent3 2 3 2 3 2 3 2" xfId="7721" xr:uid="{00000000-0005-0000-0000-0000112E0000}"/>
    <cellStyle name="40% - Accent3 2 3 2 3 2 3 2 2" xfId="12057" xr:uid="{00000000-0005-0000-0000-0000122E0000}"/>
    <cellStyle name="40% - Accent3 2 3 2 3 2 3 2 2 2" xfId="31527" xr:uid="{00000000-0005-0000-0000-0000132E0000}"/>
    <cellStyle name="40% - Accent3 2 3 2 3 2 3 2 3" xfId="27205" xr:uid="{00000000-0005-0000-0000-0000142E0000}"/>
    <cellStyle name="40% - Accent3 2 3 2 3 2 3 3" xfId="10475" xr:uid="{00000000-0005-0000-0000-0000152E0000}"/>
    <cellStyle name="40% - Accent3 2 3 2 3 2 3 3 2" xfId="29945" xr:uid="{00000000-0005-0000-0000-0000162E0000}"/>
    <cellStyle name="40% - Accent3 2 3 2 3 2 3 4" xfId="25540" xr:uid="{00000000-0005-0000-0000-0000172E0000}"/>
    <cellStyle name="40% - Accent3 2 3 2 3 2 4" xfId="7718" xr:uid="{00000000-0005-0000-0000-0000182E0000}"/>
    <cellStyle name="40% - Accent3 2 3 2 3 2 4 2" xfId="12054" xr:uid="{00000000-0005-0000-0000-0000192E0000}"/>
    <cellStyle name="40% - Accent3 2 3 2 3 2 4 2 2" xfId="31524" xr:uid="{00000000-0005-0000-0000-00001A2E0000}"/>
    <cellStyle name="40% - Accent3 2 3 2 3 2 4 3" xfId="27202" xr:uid="{00000000-0005-0000-0000-00001B2E0000}"/>
    <cellStyle name="40% - Accent3 2 3 2 3 2 5" xfId="9415" xr:uid="{00000000-0005-0000-0000-00001C2E0000}"/>
    <cellStyle name="40% - Accent3 2 3 2 3 2 5 2" xfId="28885" xr:uid="{00000000-0005-0000-0000-00001D2E0000}"/>
    <cellStyle name="40% - Accent3 2 3 2 3 2 6" xfId="24339" xr:uid="{00000000-0005-0000-0000-00001E2E0000}"/>
    <cellStyle name="40% - Accent3 2 3 2 3 3" xfId="5167" xr:uid="{00000000-0005-0000-0000-00001F2E0000}"/>
    <cellStyle name="40% - Accent3 2 3 2 3 3 2" xfId="6323" xr:uid="{00000000-0005-0000-0000-0000202E0000}"/>
    <cellStyle name="40% - Accent3 2 3 2 3 3 2 2" xfId="7723" xr:uid="{00000000-0005-0000-0000-0000212E0000}"/>
    <cellStyle name="40% - Accent3 2 3 2 3 3 2 2 2" xfId="12059" xr:uid="{00000000-0005-0000-0000-0000222E0000}"/>
    <cellStyle name="40% - Accent3 2 3 2 3 3 2 2 2 2" xfId="31529" xr:uid="{00000000-0005-0000-0000-0000232E0000}"/>
    <cellStyle name="40% - Accent3 2 3 2 3 3 2 2 3" xfId="27207" xr:uid="{00000000-0005-0000-0000-0000242E0000}"/>
    <cellStyle name="40% - Accent3 2 3 2 3 3 2 3" xfId="10740" xr:uid="{00000000-0005-0000-0000-0000252E0000}"/>
    <cellStyle name="40% - Accent3 2 3 2 3 3 2 3 2" xfId="30210" xr:uid="{00000000-0005-0000-0000-0000262E0000}"/>
    <cellStyle name="40% - Accent3 2 3 2 3 3 2 4" xfId="25808" xr:uid="{00000000-0005-0000-0000-0000272E0000}"/>
    <cellStyle name="40% - Accent3 2 3 2 3 3 3" xfId="7722" xr:uid="{00000000-0005-0000-0000-0000282E0000}"/>
    <cellStyle name="40% - Accent3 2 3 2 3 3 3 2" xfId="12058" xr:uid="{00000000-0005-0000-0000-0000292E0000}"/>
    <cellStyle name="40% - Accent3 2 3 2 3 3 3 2 2" xfId="31528" xr:uid="{00000000-0005-0000-0000-00002A2E0000}"/>
    <cellStyle name="40% - Accent3 2 3 2 3 3 3 3" xfId="27206" xr:uid="{00000000-0005-0000-0000-00002B2E0000}"/>
    <cellStyle name="40% - Accent3 2 3 2 3 3 4" xfId="9680" xr:uid="{00000000-0005-0000-0000-00002C2E0000}"/>
    <cellStyle name="40% - Accent3 2 3 2 3 3 4 2" xfId="29150" xr:uid="{00000000-0005-0000-0000-00002D2E0000}"/>
    <cellStyle name="40% - Accent3 2 3 2 3 3 5" xfId="24658" xr:uid="{00000000-0005-0000-0000-00002E2E0000}"/>
    <cellStyle name="40% - Accent3 2 3 2 3 4" xfId="5776" xr:uid="{00000000-0005-0000-0000-00002F2E0000}"/>
    <cellStyle name="40% - Accent3 2 3 2 3 4 2" xfId="7724" xr:uid="{00000000-0005-0000-0000-0000302E0000}"/>
    <cellStyle name="40% - Accent3 2 3 2 3 4 2 2" xfId="12060" xr:uid="{00000000-0005-0000-0000-0000312E0000}"/>
    <cellStyle name="40% - Accent3 2 3 2 3 4 2 2 2" xfId="31530" xr:uid="{00000000-0005-0000-0000-0000322E0000}"/>
    <cellStyle name="40% - Accent3 2 3 2 3 4 2 3" xfId="27208" xr:uid="{00000000-0005-0000-0000-0000332E0000}"/>
    <cellStyle name="40% - Accent3 2 3 2 3 4 3" xfId="10210" xr:uid="{00000000-0005-0000-0000-0000342E0000}"/>
    <cellStyle name="40% - Accent3 2 3 2 3 4 3 2" xfId="29680" xr:uid="{00000000-0005-0000-0000-0000352E0000}"/>
    <cellStyle name="40% - Accent3 2 3 2 3 4 4" xfId="25261" xr:uid="{00000000-0005-0000-0000-0000362E0000}"/>
    <cellStyle name="40% - Accent3 2 3 2 3 5" xfId="7717" xr:uid="{00000000-0005-0000-0000-0000372E0000}"/>
    <cellStyle name="40% - Accent3 2 3 2 3 5 2" xfId="12053" xr:uid="{00000000-0005-0000-0000-0000382E0000}"/>
    <cellStyle name="40% - Accent3 2 3 2 3 5 2 2" xfId="31523" xr:uid="{00000000-0005-0000-0000-0000392E0000}"/>
    <cellStyle name="40% - Accent3 2 3 2 3 5 3" xfId="27201" xr:uid="{00000000-0005-0000-0000-00003A2E0000}"/>
    <cellStyle name="40% - Accent3 2 3 2 3 6" xfId="9149" xr:uid="{00000000-0005-0000-0000-00003B2E0000}"/>
    <cellStyle name="40% - Accent3 2 3 2 3 6 2" xfId="28620" xr:uid="{00000000-0005-0000-0000-00003C2E0000}"/>
    <cellStyle name="40% - Accent3 2 3 2 3 7" xfId="24038" xr:uid="{00000000-0005-0000-0000-00003D2E0000}"/>
    <cellStyle name="40% - Accent3 2 3 2 4" xfId="4629" xr:uid="{00000000-0005-0000-0000-00003E2E0000}"/>
    <cellStyle name="40% - Accent3 2 3 2 4 2" xfId="5269" xr:uid="{00000000-0005-0000-0000-00003F2E0000}"/>
    <cellStyle name="40% - Accent3 2 3 2 4 2 2" xfId="6403" xr:uid="{00000000-0005-0000-0000-0000402E0000}"/>
    <cellStyle name="40% - Accent3 2 3 2 4 2 2 2" xfId="7727" xr:uid="{00000000-0005-0000-0000-0000412E0000}"/>
    <cellStyle name="40% - Accent3 2 3 2 4 2 2 2 2" xfId="12063" xr:uid="{00000000-0005-0000-0000-0000422E0000}"/>
    <cellStyle name="40% - Accent3 2 3 2 4 2 2 2 2 2" xfId="31533" xr:uid="{00000000-0005-0000-0000-0000432E0000}"/>
    <cellStyle name="40% - Accent3 2 3 2 4 2 2 2 3" xfId="27211" xr:uid="{00000000-0005-0000-0000-0000442E0000}"/>
    <cellStyle name="40% - Accent3 2 3 2 4 2 2 3" xfId="10819" xr:uid="{00000000-0005-0000-0000-0000452E0000}"/>
    <cellStyle name="40% - Accent3 2 3 2 4 2 2 3 2" xfId="30289" xr:uid="{00000000-0005-0000-0000-0000462E0000}"/>
    <cellStyle name="40% - Accent3 2 3 2 4 2 2 4" xfId="25888" xr:uid="{00000000-0005-0000-0000-0000472E0000}"/>
    <cellStyle name="40% - Accent3 2 3 2 4 2 3" xfId="7726" xr:uid="{00000000-0005-0000-0000-0000482E0000}"/>
    <cellStyle name="40% - Accent3 2 3 2 4 2 3 2" xfId="12062" xr:uid="{00000000-0005-0000-0000-0000492E0000}"/>
    <cellStyle name="40% - Accent3 2 3 2 4 2 3 2 2" xfId="31532" xr:uid="{00000000-0005-0000-0000-00004A2E0000}"/>
    <cellStyle name="40% - Accent3 2 3 2 4 2 3 3" xfId="27210" xr:uid="{00000000-0005-0000-0000-00004B2E0000}"/>
    <cellStyle name="40% - Accent3 2 3 2 4 2 4" xfId="9758" xr:uid="{00000000-0005-0000-0000-00004C2E0000}"/>
    <cellStyle name="40% - Accent3 2 3 2 4 2 4 2" xfId="29228" xr:uid="{00000000-0005-0000-0000-00004D2E0000}"/>
    <cellStyle name="40% - Accent3 2 3 2 4 2 5" xfId="24760" xr:uid="{00000000-0005-0000-0000-00004E2E0000}"/>
    <cellStyle name="40% - Accent3 2 3 2 4 3" xfId="5866" xr:uid="{00000000-0005-0000-0000-00004F2E0000}"/>
    <cellStyle name="40% - Accent3 2 3 2 4 3 2" xfId="7728" xr:uid="{00000000-0005-0000-0000-0000502E0000}"/>
    <cellStyle name="40% - Accent3 2 3 2 4 3 2 2" xfId="12064" xr:uid="{00000000-0005-0000-0000-0000512E0000}"/>
    <cellStyle name="40% - Accent3 2 3 2 4 3 2 2 2" xfId="31534" xr:uid="{00000000-0005-0000-0000-0000522E0000}"/>
    <cellStyle name="40% - Accent3 2 3 2 4 3 2 3" xfId="27212" xr:uid="{00000000-0005-0000-0000-0000532E0000}"/>
    <cellStyle name="40% - Accent3 2 3 2 4 3 3" xfId="10288" xr:uid="{00000000-0005-0000-0000-0000542E0000}"/>
    <cellStyle name="40% - Accent3 2 3 2 4 3 3 2" xfId="29758" xr:uid="{00000000-0005-0000-0000-0000552E0000}"/>
    <cellStyle name="40% - Accent3 2 3 2 4 3 4" xfId="25351" xr:uid="{00000000-0005-0000-0000-0000562E0000}"/>
    <cellStyle name="40% - Accent3 2 3 2 4 4" xfId="7725" xr:uid="{00000000-0005-0000-0000-0000572E0000}"/>
    <cellStyle name="40% - Accent3 2 3 2 4 4 2" xfId="12061" xr:uid="{00000000-0005-0000-0000-0000582E0000}"/>
    <cellStyle name="40% - Accent3 2 3 2 4 4 2 2" xfId="31531" xr:uid="{00000000-0005-0000-0000-0000592E0000}"/>
    <cellStyle name="40% - Accent3 2 3 2 4 4 3" xfId="27209" xr:uid="{00000000-0005-0000-0000-00005A2E0000}"/>
    <cellStyle name="40% - Accent3 2 3 2 4 5" xfId="9228" xr:uid="{00000000-0005-0000-0000-00005B2E0000}"/>
    <cellStyle name="40% - Accent3 2 3 2 4 5 2" xfId="28698" xr:uid="{00000000-0005-0000-0000-00005C2E0000}"/>
    <cellStyle name="40% - Accent3 2 3 2 4 6" xfId="24140" xr:uid="{00000000-0005-0000-0000-00005D2E0000}"/>
    <cellStyle name="40% - Accent3 2 3 2 5" xfId="4973" xr:uid="{00000000-0005-0000-0000-00005E2E0000}"/>
    <cellStyle name="40% - Accent3 2 3 2 5 2" xfId="6135" xr:uid="{00000000-0005-0000-0000-00005F2E0000}"/>
    <cellStyle name="40% - Accent3 2 3 2 5 2 2" xfId="7730" xr:uid="{00000000-0005-0000-0000-0000602E0000}"/>
    <cellStyle name="40% - Accent3 2 3 2 5 2 2 2" xfId="12066" xr:uid="{00000000-0005-0000-0000-0000612E0000}"/>
    <cellStyle name="40% - Accent3 2 3 2 5 2 2 2 2" xfId="31536" xr:uid="{00000000-0005-0000-0000-0000622E0000}"/>
    <cellStyle name="40% - Accent3 2 3 2 5 2 2 3" xfId="27214" xr:uid="{00000000-0005-0000-0000-0000632E0000}"/>
    <cellStyle name="40% - Accent3 2 3 2 5 2 3" xfId="10553" xr:uid="{00000000-0005-0000-0000-0000642E0000}"/>
    <cellStyle name="40% - Accent3 2 3 2 5 2 3 2" xfId="30023" xr:uid="{00000000-0005-0000-0000-0000652E0000}"/>
    <cellStyle name="40% - Accent3 2 3 2 5 2 4" xfId="25620" xr:uid="{00000000-0005-0000-0000-0000662E0000}"/>
    <cellStyle name="40% - Accent3 2 3 2 5 3" xfId="7729" xr:uid="{00000000-0005-0000-0000-0000672E0000}"/>
    <cellStyle name="40% - Accent3 2 3 2 5 3 2" xfId="12065" xr:uid="{00000000-0005-0000-0000-0000682E0000}"/>
    <cellStyle name="40% - Accent3 2 3 2 5 3 2 2" xfId="31535" xr:uid="{00000000-0005-0000-0000-0000692E0000}"/>
    <cellStyle name="40% - Accent3 2 3 2 5 3 3" xfId="27213" xr:uid="{00000000-0005-0000-0000-00006A2E0000}"/>
    <cellStyle name="40% - Accent3 2 3 2 5 4" xfId="9493" xr:uid="{00000000-0005-0000-0000-00006B2E0000}"/>
    <cellStyle name="40% - Accent3 2 3 2 5 4 2" xfId="28963" xr:uid="{00000000-0005-0000-0000-00006C2E0000}"/>
    <cellStyle name="40% - Accent3 2 3 2 5 5" xfId="24467" xr:uid="{00000000-0005-0000-0000-00006D2E0000}"/>
    <cellStyle name="40% - Accent3 2 3 2 6" xfId="5578" xr:uid="{00000000-0005-0000-0000-00006E2E0000}"/>
    <cellStyle name="40% - Accent3 2 3 2 6 2" xfId="7731" xr:uid="{00000000-0005-0000-0000-00006F2E0000}"/>
    <cellStyle name="40% - Accent3 2 3 2 6 2 2" xfId="12067" xr:uid="{00000000-0005-0000-0000-0000702E0000}"/>
    <cellStyle name="40% - Accent3 2 3 2 6 2 2 2" xfId="31537" xr:uid="{00000000-0005-0000-0000-0000712E0000}"/>
    <cellStyle name="40% - Accent3 2 3 2 6 2 3" xfId="27215" xr:uid="{00000000-0005-0000-0000-0000722E0000}"/>
    <cellStyle name="40% - Accent3 2 3 2 6 3" xfId="10023" xr:uid="{00000000-0005-0000-0000-0000732E0000}"/>
    <cellStyle name="40% - Accent3 2 3 2 6 3 2" xfId="29493" xr:uid="{00000000-0005-0000-0000-0000742E0000}"/>
    <cellStyle name="40% - Accent3 2 3 2 6 4" xfId="25065" xr:uid="{00000000-0005-0000-0000-0000752E0000}"/>
    <cellStyle name="40% - Accent3 2 3 2 7" xfId="7708" xr:uid="{00000000-0005-0000-0000-0000762E0000}"/>
    <cellStyle name="40% - Accent3 2 3 2 7 2" xfId="12044" xr:uid="{00000000-0005-0000-0000-0000772E0000}"/>
    <cellStyle name="40% - Accent3 2 3 2 7 2 2" xfId="31514" xr:uid="{00000000-0005-0000-0000-0000782E0000}"/>
    <cellStyle name="40% - Accent3 2 3 2 7 3" xfId="27192" xr:uid="{00000000-0005-0000-0000-0000792E0000}"/>
    <cellStyle name="40% - Accent3 2 3 2 8" xfId="8959" xr:uid="{00000000-0005-0000-0000-00007A2E0000}"/>
    <cellStyle name="40% - Accent3 2 3 2 8 2" xfId="28433" xr:uid="{00000000-0005-0000-0000-00007B2E0000}"/>
    <cellStyle name="40% - Accent3 2 3 2 9" xfId="23691" xr:uid="{00000000-0005-0000-0000-00007C2E0000}"/>
    <cellStyle name="40% - Accent3 2 3 3" xfId="2956" xr:uid="{00000000-0005-0000-0000-00007D2E0000}"/>
    <cellStyle name="40% - Accent3 2 3 3 2" xfId="4663" xr:uid="{00000000-0005-0000-0000-00007E2E0000}"/>
    <cellStyle name="40% - Accent3 2 3 3 2 2" xfId="5303" xr:uid="{00000000-0005-0000-0000-00007F2E0000}"/>
    <cellStyle name="40% - Accent3 2 3 3 2 2 2" xfId="6437" xr:uid="{00000000-0005-0000-0000-0000802E0000}"/>
    <cellStyle name="40% - Accent3 2 3 3 2 2 2 2" xfId="7735" xr:uid="{00000000-0005-0000-0000-0000812E0000}"/>
    <cellStyle name="40% - Accent3 2 3 3 2 2 2 2 2" xfId="12071" xr:uid="{00000000-0005-0000-0000-0000822E0000}"/>
    <cellStyle name="40% - Accent3 2 3 3 2 2 2 2 2 2" xfId="31541" xr:uid="{00000000-0005-0000-0000-0000832E0000}"/>
    <cellStyle name="40% - Accent3 2 3 3 2 2 2 2 3" xfId="27219" xr:uid="{00000000-0005-0000-0000-0000842E0000}"/>
    <cellStyle name="40% - Accent3 2 3 3 2 2 2 3" xfId="10853" xr:uid="{00000000-0005-0000-0000-0000852E0000}"/>
    <cellStyle name="40% - Accent3 2 3 3 2 2 2 3 2" xfId="30323" xr:uid="{00000000-0005-0000-0000-0000862E0000}"/>
    <cellStyle name="40% - Accent3 2 3 3 2 2 2 4" xfId="25922" xr:uid="{00000000-0005-0000-0000-0000872E0000}"/>
    <cellStyle name="40% - Accent3 2 3 3 2 2 3" xfId="7734" xr:uid="{00000000-0005-0000-0000-0000882E0000}"/>
    <cellStyle name="40% - Accent3 2 3 3 2 2 3 2" xfId="12070" xr:uid="{00000000-0005-0000-0000-0000892E0000}"/>
    <cellStyle name="40% - Accent3 2 3 3 2 2 3 2 2" xfId="31540" xr:uid="{00000000-0005-0000-0000-00008A2E0000}"/>
    <cellStyle name="40% - Accent3 2 3 3 2 2 3 3" xfId="27218" xr:uid="{00000000-0005-0000-0000-00008B2E0000}"/>
    <cellStyle name="40% - Accent3 2 3 3 2 2 4" xfId="9792" xr:uid="{00000000-0005-0000-0000-00008C2E0000}"/>
    <cellStyle name="40% - Accent3 2 3 3 2 2 4 2" xfId="29262" xr:uid="{00000000-0005-0000-0000-00008D2E0000}"/>
    <cellStyle name="40% - Accent3 2 3 3 2 2 5" xfId="24794" xr:uid="{00000000-0005-0000-0000-00008E2E0000}"/>
    <cellStyle name="40% - Accent3 2 3 3 2 3" xfId="5900" xr:uid="{00000000-0005-0000-0000-00008F2E0000}"/>
    <cellStyle name="40% - Accent3 2 3 3 2 3 2" xfId="7736" xr:uid="{00000000-0005-0000-0000-0000902E0000}"/>
    <cellStyle name="40% - Accent3 2 3 3 2 3 2 2" xfId="12072" xr:uid="{00000000-0005-0000-0000-0000912E0000}"/>
    <cellStyle name="40% - Accent3 2 3 3 2 3 2 2 2" xfId="31542" xr:uid="{00000000-0005-0000-0000-0000922E0000}"/>
    <cellStyle name="40% - Accent3 2 3 3 2 3 2 3" xfId="27220" xr:uid="{00000000-0005-0000-0000-0000932E0000}"/>
    <cellStyle name="40% - Accent3 2 3 3 2 3 3" xfId="10322" xr:uid="{00000000-0005-0000-0000-0000942E0000}"/>
    <cellStyle name="40% - Accent3 2 3 3 2 3 3 2" xfId="29792" xr:uid="{00000000-0005-0000-0000-0000952E0000}"/>
    <cellStyle name="40% - Accent3 2 3 3 2 3 4" xfId="25385" xr:uid="{00000000-0005-0000-0000-0000962E0000}"/>
    <cellStyle name="40% - Accent3 2 3 3 2 4" xfId="7733" xr:uid="{00000000-0005-0000-0000-0000972E0000}"/>
    <cellStyle name="40% - Accent3 2 3 3 2 4 2" xfId="12069" xr:uid="{00000000-0005-0000-0000-0000982E0000}"/>
    <cellStyle name="40% - Accent3 2 3 3 2 4 2 2" xfId="31539" xr:uid="{00000000-0005-0000-0000-0000992E0000}"/>
    <cellStyle name="40% - Accent3 2 3 3 2 4 3" xfId="27217" xr:uid="{00000000-0005-0000-0000-00009A2E0000}"/>
    <cellStyle name="40% - Accent3 2 3 3 2 5" xfId="9262" xr:uid="{00000000-0005-0000-0000-00009B2E0000}"/>
    <cellStyle name="40% - Accent3 2 3 3 2 5 2" xfId="28732" xr:uid="{00000000-0005-0000-0000-00009C2E0000}"/>
    <cellStyle name="40% - Accent3 2 3 3 2 6" xfId="24174" xr:uid="{00000000-0005-0000-0000-00009D2E0000}"/>
    <cellStyle name="40% - Accent3 2 3 3 3" xfId="5007" xr:uid="{00000000-0005-0000-0000-00009E2E0000}"/>
    <cellStyle name="40% - Accent3 2 3 3 3 2" xfId="6169" xr:uid="{00000000-0005-0000-0000-00009F2E0000}"/>
    <cellStyle name="40% - Accent3 2 3 3 3 2 2" xfId="7738" xr:uid="{00000000-0005-0000-0000-0000A02E0000}"/>
    <cellStyle name="40% - Accent3 2 3 3 3 2 2 2" xfId="12074" xr:uid="{00000000-0005-0000-0000-0000A12E0000}"/>
    <cellStyle name="40% - Accent3 2 3 3 3 2 2 2 2" xfId="31544" xr:uid="{00000000-0005-0000-0000-0000A22E0000}"/>
    <cellStyle name="40% - Accent3 2 3 3 3 2 2 3" xfId="27222" xr:uid="{00000000-0005-0000-0000-0000A32E0000}"/>
    <cellStyle name="40% - Accent3 2 3 3 3 2 3" xfId="10587" xr:uid="{00000000-0005-0000-0000-0000A42E0000}"/>
    <cellStyle name="40% - Accent3 2 3 3 3 2 3 2" xfId="30057" xr:uid="{00000000-0005-0000-0000-0000A52E0000}"/>
    <cellStyle name="40% - Accent3 2 3 3 3 2 4" xfId="25654" xr:uid="{00000000-0005-0000-0000-0000A62E0000}"/>
    <cellStyle name="40% - Accent3 2 3 3 3 3" xfId="7737" xr:uid="{00000000-0005-0000-0000-0000A72E0000}"/>
    <cellStyle name="40% - Accent3 2 3 3 3 3 2" xfId="12073" xr:uid="{00000000-0005-0000-0000-0000A82E0000}"/>
    <cellStyle name="40% - Accent3 2 3 3 3 3 2 2" xfId="31543" xr:uid="{00000000-0005-0000-0000-0000A92E0000}"/>
    <cellStyle name="40% - Accent3 2 3 3 3 3 3" xfId="27221" xr:uid="{00000000-0005-0000-0000-0000AA2E0000}"/>
    <cellStyle name="40% - Accent3 2 3 3 3 4" xfId="9527" xr:uid="{00000000-0005-0000-0000-0000AB2E0000}"/>
    <cellStyle name="40% - Accent3 2 3 3 3 4 2" xfId="28997" xr:uid="{00000000-0005-0000-0000-0000AC2E0000}"/>
    <cellStyle name="40% - Accent3 2 3 3 3 5" xfId="24501" xr:uid="{00000000-0005-0000-0000-0000AD2E0000}"/>
    <cellStyle name="40% - Accent3 2 3 3 4" xfId="5612" xr:uid="{00000000-0005-0000-0000-0000AE2E0000}"/>
    <cellStyle name="40% - Accent3 2 3 3 4 2" xfId="7739" xr:uid="{00000000-0005-0000-0000-0000AF2E0000}"/>
    <cellStyle name="40% - Accent3 2 3 3 4 2 2" xfId="12075" xr:uid="{00000000-0005-0000-0000-0000B02E0000}"/>
    <cellStyle name="40% - Accent3 2 3 3 4 2 2 2" xfId="31545" xr:uid="{00000000-0005-0000-0000-0000B12E0000}"/>
    <cellStyle name="40% - Accent3 2 3 3 4 2 3" xfId="27223" xr:uid="{00000000-0005-0000-0000-0000B22E0000}"/>
    <cellStyle name="40% - Accent3 2 3 3 4 3" xfId="10057" xr:uid="{00000000-0005-0000-0000-0000B32E0000}"/>
    <cellStyle name="40% - Accent3 2 3 3 4 3 2" xfId="29527" xr:uid="{00000000-0005-0000-0000-0000B42E0000}"/>
    <cellStyle name="40% - Accent3 2 3 3 4 4" xfId="25099" xr:uid="{00000000-0005-0000-0000-0000B52E0000}"/>
    <cellStyle name="40% - Accent3 2 3 3 5" xfId="7732" xr:uid="{00000000-0005-0000-0000-0000B62E0000}"/>
    <cellStyle name="40% - Accent3 2 3 3 5 2" xfId="12068" xr:uid="{00000000-0005-0000-0000-0000B72E0000}"/>
    <cellStyle name="40% - Accent3 2 3 3 5 2 2" xfId="31538" xr:uid="{00000000-0005-0000-0000-0000B82E0000}"/>
    <cellStyle name="40% - Accent3 2 3 3 5 3" xfId="27216" xr:uid="{00000000-0005-0000-0000-0000B92E0000}"/>
    <cellStyle name="40% - Accent3 2 3 3 6" xfId="8993" xr:uid="{00000000-0005-0000-0000-0000BA2E0000}"/>
    <cellStyle name="40% - Accent3 2 3 3 6 2" xfId="28467" xr:uid="{00000000-0005-0000-0000-0000BB2E0000}"/>
    <cellStyle name="40% - Accent3 2 3 3 7" xfId="23765" xr:uid="{00000000-0005-0000-0000-0000BC2E0000}"/>
    <cellStyle name="40% - Accent3 2 3 4" xfId="4190" xr:uid="{00000000-0005-0000-0000-0000BD2E0000}"/>
    <cellStyle name="40% - Accent3 2 3 4 2" xfId="4782" xr:uid="{00000000-0005-0000-0000-0000BE2E0000}"/>
    <cellStyle name="40% - Accent3 2 3 4 2 2" xfId="5408" xr:uid="{00000000-0005-0000-0000-0000BF2E0000}"/>
    <cellStyle name="40% - Accent3 2 3 4 2 2 2" xfId="6536" xr:uid="{00000000-0005-0000-0000-0000C02E0000}"/>
    <cellStyle name="40% - Accent3 2 3 4 2 2 2 2" xfId="7743" xr:uid="{00000000-0005-0000-0000-0000C12E0000}"/>
    <cellStyle name="40% - Accent3 2 3 4 2 2 2 2 2" xfId="12079" xr:uid="{00000000-0005-0000-0000-0000C22E0000}"/>
    <cellStyle name="40% - Accent3 2 3 4 2 2 2 2 2 2" xfId="31549" xr:uid="{00000000-0005-0000-0000-0000C32E0000}"/>
    <cellStyle name="40% - Accent3 2 3 4 2 2 2 2 3" xfId="27227" xr:uid="{00000000-0005-0000-0000-0000C42E0000}"/>
    <cellStyle name="40% - Accent3 2 3 4 2 2 2 3" xfId="10952" xr:uid="{00000000-0005-0000-0000-0000C52E0000}"/>
    <cellStyle name="40% - Accent3 2 3 4 2 2 2 3 2" xfId="30422" xr:uid="{00000000-0005-0000-0000-0000C62E0000}"/>
    <cellStyle name="40% - Accent3 2 3 4 2 2 2 4" xfId="26021" xr:uid="{00000000-0005-0000-0000-0000C72E0000}"/>
    <cellStyle name="40% - Accent3 2 3 4 2 2 3" xfId="7742" xr:uid="{00000000-0005-0000-0000-0000C82E0000}"/>
    <cellStyle name="40% - Accent3 2 3 4 2 2 3 2" xfId="12078" xr:uid="{00000000-0005-0000-0000-0000C92E0000}"/>
    <cellStyle name="40% - Accent3 2 3 4 2 2 3 2 2" xfId="31548" xr:uid="{00000000-0005-0000-0000-0000CA2E0000}"/>
    <cellStyle name="40% - Accent3 2 3 4 2 2 3 3" xfId="27226" xr:uid="{00000000-0005-0000-0000-0000CB2E0000}"/>
    <cellStyle name="40% - Accent3 2 3 4 2 2 4" xfId="9891" xr:uid="{00000000-0005-0000-0000-0000CC2E0000}"/>
    <cellStyle name="40% - Accent3 2 3 4 2 2 4 2" xfId="29361" xr:uid="{00000000-0005-0000-0000-0000CD2E0000}"/>
    <cellStyle name="40% - Accent3 2 3 4 2 2 5" xfId="24899" xr:uid="{00000000-0005-0000-0000-0000CE2E0000}"/>
    <cellStyle name="40% - Accent3 2 3 4 2 3" xfId="6000" xr:uid="{00000000-0005-0000-0000-0000CF2E0000}"/>
    <cellStyle name="40% - Accent3 2 3 4 2 3 2" xfId="7744" xr:uid="{00000000-0005-0000-0000-0000D02E0000}"/>
    <cellStyle name="40% - Accent3 2 3 4 2 3 2 2" xfId="12080" xr:uid="{00000000-0005-0000-0000-0000D12E0000}"/>
    <cellStyle name="40% - Accent3 2 3 4 2 3 2 2 2" xfId="31550" xr:uid="{00000000-0005-0000-0000-0000D22E0000}"/>
    <cellStyle name="40% - Accent3 2 3 4 2 3 2 3" xfId="27228" xr:uid="{00000000-0005-0000-0000-0000D32E0000}"/>
    <cellStyle name="40% - Accent3 2 3 4 2 3 3" xfId="10421" xr:uid="{00000000-0005-0000-0000-0000D42E0000}"/>
    <cellStyle name="40% - Accent3 2 3 4 2 3 3 2" xfId="29891" xr:uid="{00000000-0005-0000-0000-0000D52E0000}"/>
    <cellStyle name="40% - Accent3 2 3 4 2 3 4" xfId="25485" xr:uid="{00000000-0005-0000-0000-0000D62E0000}"/>
    <cellStyle name="40% - Accent3 2 3 4 2 4" xfId="7741" xr:uid="{00000000-0005-0000-0000-0000D72E0000}"/>
    <cellStyle name="40% - Accent3 2 3 4 2 4 2" xfId="12077" xr:uid="{00000000-0005-0000-0000-0000D82E0000}"/>
    <cellStyle name="40% - Accent3 2 3 4 2 4 2 2" xfId="31547" xr:uid="{00000000-0005-0000-0000-0000D92E0000}"/>
    <cellStyle name="40% - Accent3 2 3 4 2 4 3" xfId="27225" xr:uid="{00000000-0005-0000-0000-0000DA2E0000}"/>
    <cellStyle name="40% - Accent3 2 3 4 2 5" xfId="9361" xr:uid="{00000000-0005-0000-0000-0000DB2E0000}"/>
    <cellStyle name="40% - Accent3 2 3 4 2 5 2" xfId="28831" xr:uid="{00000000-0005-0000-0000-0000DC2E0000}"/>
    <cellStyle name="40% - Accent3 2 3 4 2 6" xfId="24284" xr:uid="{00000000-0005-0000-0000-0000DD2E0000}"/>
    <cellStyle name="40% - Accent3 2 3 4 3" xfId="5113" xr:uid="{00000000-0005-0000-0000-0000DE2E0000}"/>
    <cellStyle name="40% - Accent3 2 3 4 3 2" xfId="6269" xr:uid="{00000000-0005-0000-0000-0000DF2E0000}"/>
    <cellStyle name="40% - Accent3 2 3 4 3 2 2" xfId="7746" xr:uid="{00000000-0005-0000-0000-0000E02E0000}"/>
    <cellStyle name="40% - Accent3 2 3 4 3 2 2 2" xfId="12082" xr:uid="{00000000-0005-0000-0000-0000E12E0000}"/>
    <cellStyle name="40% - Accent3 2 3 4 3 2 2 2 2" xfId="31552" xr:uid="{00000000-0005-0000-0000-0000E22E0000}"/>
    <cellStyle name="40% - Accent3 2 3 4 3 2 2 3" xfId="27230" xr:uid="{00000000-0005-0000-0000-0000E32E0000}"/>
    <cellStyle name="40% - Accent3 2 3 4 3 2 3" xfId="10686" xr:uid="{00000000-0005-0000-0000-0000E42E0000}"/>
    <cellStyle name="40% - Accent3 2 3 4 3 2 3 2" xfId="30156" xr:uid="{00000000-0005-0000-0000-0000E52E0000}"/>
    <cellStyle name="40% - Accent3 2 3 4 3 2 4" xfId="25754" xr:uid="{00000000-0005-0000-0000-0000E62E0000}"/>
    <cellStyle name="40% - Accent3 2 3 4 3 3" xfId="7745" xr:uid="{00000000-0005-0000-0000-0000E72E0000}"/>
    <cellStyle name="40% - Accent3 2 3 4 3 3 2" xfId="12081" xr:uid="{00000000-0005-0000-0000-0000E82E0000}"/>
    <cellStyle name="40% - Accent3 2 3 4 3 3 2 2" xfId="31551" xr:uid="{00000000-0005-0000-0000-0000E92E0000}"/>
    <cellStyle name="40% - Accent3 2 3 4 3 3 3" xfId="27229" xr:uid="{00000000-0005-0000-0000-0000EA2E0000}"/>
    <cellStyle name="40% - Accent3 2 3 4 3 4" xfId="9626" xr:uid="{00000000-0005-0000-0000-0000EB2E0000}"/>
    <cellStyle name="40% - Accent3 2 3 4 3 4 2" xfId="29096" xr:uid="{00000000-0005-0000-0000-0000EC2E0000}"/>
    <cellStyle name="40% - Accent3 2 3 4 3 5" xfId="24604" xr:uid="{00000000-0005-0000-0000-0000ED2E0000}"/>
    <cellStyle name="40% - Accent3 2 3 4 4" xfId="5722" xr:uid="{00000000-0005-0000-0000-0000EE2E0000}"/>
    <cellStyle name="40% - Accent3 2 3 4 4 2" xfId="7747" xr:uid="{00000000-0005-0000-0000-0000EF2E0000}"/>
    <cellStyle name="40% - Accent3 2 3 4 4 2 2" xfId="12083" xr:uid="{00000000-0005-0000-0000-0000F02E0000}"/>
    <cellStyle name="40% - Accent3 2 3 4 4 2 2 2" xfId="31553" xr:uid="{00000000-0005-0000-0000-0000F12E0000}"/>
    <cellStyle name="40% - Accent3 2 3 4 4 2 3" xfId="27231" xr:uid="{00000000-0005-0000-0000-0000F22E0000}"/>
    <cellStyle name="40% - Accent3 2 3 4 4 3" xfId="10156" xr:uid="{00000000-0005-0000-0000-0000F32E0000}"/>
    <cellStyle name="40% - Accent3 2 3 4 4 3 2" xfId="29626" xr:uid="{00000000-0005-0000-0000-0000F42E0000}"/>
    <cellStyle name="40% - Accent3 2 3 4 4 4" xfId="25207" xr:uid="{00000000-0005-0000-0000-0000F52E0000}"/>
    <cellStyle name="40% - Accent3 2 3 4 5" xfId="7740" xr:uid="{00000000-0005-0000-0000-0000F62E0000}"/>
    <cellStyle name="40% - Accent3 2 3 4 5 2" xfId="12076" xr:uid="{00000000-0005-0000-0000-0000F72E0000}"/>
    <cellStyle name="40% - Accent3 2 3 4 5 2 2" xfId="31546" xr:uid="{00000000-0005-0000-0000-0000F82E0000}"/>
    <cellStyle name="40% - Accent3 2 3 4 5 3" xfId="27224" xr:uid="{00000000-0005-0000-0000-0000F92E0000}"/>
    <cellStyle name="40% - Accent3 2 3 4 6" xfId="9095" xr:uid="{00000000-0005-0000-0000-0000FA2E0000}"/>
    <cellStyle name="40% - Accent3 2 3 4 6 2" xfId="28566" xr:uid="{00000000-0005-0000-0000-0000FB2E0000}"/>
    <cellStyle name="40% - Accent3 2 3 4 7" xfId="23982" xr:uid="{00000000-0005-0000-0000-0000FC2E0000}"/>
    <cellStyle name="40% - Accent3 2 3 5" xfId="4596" xr:uid="{00000000-0005-0000-0000-0000FD2E0000}"/>
    <cellStyle name="40% - Accent3 2 3 5 2" xfId="5237" xr:uid="{00000000-0005-0000-0000-0000FE2E0000}"/>
    <cellStyle name="40% - Accent3 2 3 5 2 2" xfId="6371" xr:uid="{00000000-0005-0000-0000-0000FF2E0000}"/>
    <cellStyle name="40% - Accent3 2 3 5 2 2 2" xfId="7750" xr:uid="{00000000-0005-0000-0000-0000002F0000}"/>
    <cellStyle name="40% - Accent3 2 3 5 2 2 2 2" xfId="12086" xr:uid="{00000000-0005-0000-0000-0000012F0000}"/>
    <cellStyle name="40% - Accent3 2 3 5 2 2 2 2 2" xfId="31556" xr:uid="{00000000-0005-0000-0000-0000022F0000}"/>
    <cellStyle name="40% - Accent3 2 3 5 2 2 2 3" xfId="27234" xr:uid="{00000000-0005-0000-0000-0000032F0000}"/>
    <cellStyle name="40% - Accent3 2 3 5 2 2 3" xfId="10787" xr:uid="{00000000-0005-0000-0000-0000042F0000}"/>
    <cellStyle name="40% - Accent3 2 3 5 2 2 3 2" xfId="30257" xr:uid="{00000000-0005-0000-0000-0000052F0000}"/>
    <cellStyle name="40% - Accent3 2 3 5 2 2 4" xfId="25856" xr:uid="{00000000-0005-0000-0000-0000062F0000}"/>
    <cellStyle name="40% - Accent3 2 3 5 2 3" xfId="7749" xr:uid="{00000000-0005-0000-0000-0000072F0000}"/>
    <cellStyle name="40% - Accent3 2 3 5 2 3 2" xfId="12085" xr:uid="{00000000-0005-0000-0000-0000082F0000}"/>
    <cellStyle name="40% - Accent3 2 3 5 2 3 2 2" xfId="31555" xr:uid="{00000000-0005-0000-0000-0000092F0000}"/>
    <cellStyle name="40% - Accent3 2 3 5 2 3 3" xfId="27233" xr:uid="{00000000-0005-0000-0000-00000A2F0000}"/>
    <cellStyle name="40% - Accent3 2 3 5 2 4" xfId="9726" xr:uid="{00000000-0005-0000-0000-00000B2F0000}"/>
    <cellStyle name="40% - Accent3 2 3 5 2 4 2" xfId="29196" xr:uid="{00000000-0005-0000-0000-00000C2F0000}"/>
    <cellStyle name="40% - Accent3 2 3 5 2 5" xfId="24728" xr:uid="{00000000-0005-0000-0000-00000D2F0000}"/>
    <cellStyle name="40% - Accent3 2 3 5 3" xfId="5833" xr:uid="{00000000-0005-0000-0000-00000E2F0000}"/>
    <cellStyle name="40% - Accent3 2 3 5 3 2" xfId="7751" xr:uid="{00000000-0005-0000-0000-00000F2F0000}"/>
    <cellStyle name="40% - Accent3 2 3 5 3 2 2" xfId="12087" xr:uid="{00000000-0005-0000-0000-0000102F0000}"/>
    <cellStyle name="40% - Accent3 2 3 5 3 2 2 2" xfId="31557" xr:uid="{00000000-0005-0000-0000-0000112F0000}"/>
    <cellStyle name="40% - Accent3 2 3 5 3 2 3" xfId="27235" xr:uid="{00000000-0005-0000-0000-0000122F0000}"/>
    <cellStyle name="40% - Accent3 2 3 5 3 3" xfId="10256" xr:uid="{00000000-0005-0000-0000-0000132F0000}"/>
    <cellStyle name="40% - Accent3 2 3 5 3 3 2" xfId="29726" xr:uid="{00000000-0005-0000-0000-0000142F0000}"/>
    <cellStyle name="40% - Accent3 2 3 5 3 4" xfId="25318" xr:uid="{00000000-0005-0000-0000-0000152F0000}"/>
    <cellStyle name="40% - Accent3 2 3 5 4" xfId="7748" xr:uid="{00000000-0005-0000-0000-0000162F0000}"/>
    <cellStyle name="40% - Accent3 2 3 5 4 2" xfId="12084" xr:uid="{00000000-0005-0000-0000-0000172F0000}"/>
    <cellStyle name="40% - Accent3 2 3 5 4 2 2" xfId="31554" xr:uid="{00000000-0005-0000-0000-0000182F0000}"/>
    <cellStyle name="40% - Accent3 2 3 5 4 3" xfId="27232" xr:uid="{00000000-0005-0000-0000-0000192F0000}"/>
    <cellStyle name="40% - Accent3 2 3 5 5" xfId="9196" xr:uid="{00000000-0005-0000-0000-00001A2F0000}"/>
    <cellStyle name="40% - Accent3 2 3 5 5 2" xfId="28666" xr:uid="{00000000-0005-0000-0000-00001B2F0000}"/>
    <cellStyle name="40% - Accent3 2 3 5 6" xfId="24107" xr:uid="{00000000-0005-0000-0000-00001C2F0000}"/>
    <cellStyle name="40% - Accent3 2 3 6" xfId="4941" xr:uid="{00000000-0005-0000-0000-00001D2F0000}"/>
    <cellStyle name="40% - Accent3 2 3 6 2" xfId="6103" xr:uid="{00000000-0005-0000-0000-00001E2F0000}"/>
    <cellStyle name="40% - Accent3 2 3 6 2 2" xfId="7753" xr:uid="{00000000-0005-0000-0000-00001F2F0000}"/>
    <cellStyle name="40% - Accent3 2 3 6 2 2 2" xfId="12089" xr:uid="{00000000-0005-0000-0000-0000202F0000}"/>
    <cellStyle name="40% - Accent3 2 3 6 2 2 2 2" xfId="31559" xr:uid="{00000000-0005-0000-0000-0000212F0000}"/>
    <cellStyle name="40% - Accent3 2 3 6 2 2 3" xfId="27237" xr:uid="{00000000-0005-0000-0000-0000222F0000}"/>
    <cellStyle name="40% - Accent3 2 3 6 2 3" xfId="10521" xr:uid="{00000000-0005-0000-0000-0000232F0000}"/>
    <cellStyle name="40% - Accent3 2 3 6 2 3 2" xfId="29991" xr:uid="{00000000-0005-0000-0000-0000242F0000}"/>
    <cellStyle name="40% - Accent3 2 3 6 2 4" xfId="25588" xr:uid="{00000000-0005-0000-0000-0000252F0000}"/>
    <cellStyle name="40% - Accent3 2 3 6 3" xfId="7752" xr:uid="{00000000-0005-0000-0000-0000262F0000}"/>
    <cellStyle name="40% - Accent3 2 3 6 3 2" xfId="12088" xr:uid="{00000000-0005-0000-0000-0000272F0000}"/>
    <cellStyle name="40% - Accent3 2 3 6 3 2 2" xfId="31558" xr:uid="{00000000-0005-0000-0000-0000282F0000}"/>
    <cellStyle name="40% - Accent3 2 3 6 3 3" xfId="27236" xr:uid="{00000000-0005-0000-0000-0000292F0000}"/>
    <cellStyle name="40% - Accent3 2 3 6 4" xfId="9461" xr:uid="{00000000-0005-0000-0000-00002A2F0000}"/>
    <cellStyle name="40% - Accent3 2 3 6 4 2" xfId="28931" xr:uid="{00000000-0005-0000-0000-00002B2F0000}"/>
    <cellStyle name="40% - Accent3 2 3 6 5" xfId="24435" xr:uid="{00000000-0005-0000-0000-00002C2F0000}"/>
    <cellStyle name="40% - Accent3 2 3 7" xfId="5545" xr:uid="{00000000-0005-0000-0000-00002D2F0000}"/>
    <cellStyle name="40% - Accent3 2 3 7 2" xfId="7754" xr:uid="{00000000-0005-0000-0000-00002E2F0000}"/>
    <cellStyle name="40% - Accent3 2 3 7 2 2" xfId="12090" xr:uid="{00000000-0005-0000-0000-00002F2F0000}"/>
    <cellStyle name="40% - Accent3 2 3 7 2 2 2" xfId="31560" xr:uid="{00000000-0005-0000-0000-0000302F0000}"/>
    <cellStyle name="40% - Accent3 2 3 7 2 3" xfId="27238" xr:uid="{00000000-0005-0000-0000-0000312F0000}"/>
    <cellStyle name="40% - Accent3 2 3 7 3" xfId="9991" xr:uid="{00000000-0005-0000-0000-0000322F0000}"/>
    <cellStyle name="40% - Accent3 2 3 7 3 2" xfId="29461" xr:uid="{00000000-0005-0000-0000-0000332F0000}"/>
    <cellStyle name="40% - Accent3 2 3 7 4" xfId="25033" xr:uid="{00000000-0005-0000-0000-0000342F0000}"/>
    <cellStyle name="40% - Accent3 2 3 8" xfId="7707" xr:uid="{00000000-0005-0000-0000-0000352F0000}"/>
    <cellStyle name="40% - Accent3 2 3 8 2" xfId="12043" xr:uid="{00000000-0005-0000-0000-0000362F0000}"/>
    <cellStyle name="40% - Accent3 2 3 8 2 2" xfId="31513" xr:uid="{00000000-0005-0000-0000-0000372F0000}"/>
    <cellStyle name="40% - Accent3 2 3 8 3" xfId="27191" xr:uid="{00000000-0005-0000-0000-0000382F0000}"/>
    <cellStyle name="40% - Accent3 2 3 9" xfId="8927" xr:uid="{00000000-0005-0000-0000-0000392F0000}"/>
    <cellStyle name="40% - Accent3 2 3 9 2" xfId="28401" xr:uid="{00000000-0005-0000-0000-00003A2F0000}"/>
    <cellStyle name="40% - Accent3 2 4" xfId="3901" xr:uid="{00000000-0005-0000-0000-00003B2F0000}"/>
    <cellStyle name="40% - Accent3 2 4 2" xfId="4244" xr:uid="{00000000-0005-0000-0000-00003C2F0000}"/>
    <cellStyle name="40% - Accent3 2 4 2 2" xfId="4819" xr:uid="{00000000-0005-0000-0000-00003D2F0000}"/>
    <cellStyle name="40% - Accent3 2 4 2 2 2" xfId="5444" xr:uid="{00000000-0005-0000-0000-00003E2F0000}"/>
    <cellStyle name="40% - Accent3 2 4 2 2 2 2" xfId="6572" xr:uid="{00000000-0005-0000-0000-00003F2F0000}"/>
    <cellStyle name="40% - Accent3 2 4 2 2 2 2 2" xfId="7759" xr:uid="{00000000-0005-0000-0000-0000402F0000}"/>
    <cellStyle name="40% - Accent3 2 4 2 2 2 2 2 2" xfId="12095" xr:uid="{00000000-0005-0000-0000-0000412F0000}"/>
    <cellStyle name="40% - Accent3 2 4 2 2 2 2 2 2 2" xfId="31565" xr:uid="{00000000-0005-0000-0000-0000422F0000}"/>
    <cellStyle name="40% - Accent3 2 4 2 2 2 2 2 3" xfId="27243" xr:uid="{00000000-0005-0000-0000-0000432F0000}"/>
    <cellStyle name="40% - Accent3 2 4 2 2 2 2 3" xfId="10988" xr:uid="{00000000-0005-0000-0000-0000442F0000}"/>
    <cellStyle name="40% - Accent3 2 4 2 2 2 2 3 2" xfId="30458" xr:uid="{00000000-0005-0000-0000-0000452F0000}"/>
    <cellStyle name="40% - Accent3 2 4 2 2 2 2 4" xfId="26057" xr:uid="{00000000-0005-0000-0000-0000462F0000}"/>
    <cellStyle name="40% - Accent3 2 4 2 2 2 3" xfId="7758" xr:uid="{00000000-0005-0000-0000-0000472F0000}"/>
    <cellStyle name="40% - Accent3 2 4 2 2 2 3 2" xfId="12094" xr:uid="{00000000-0005-0000-0000-0000482F0000}"/>
    <cellStyle name="40% - Accent3 2 4 2 2 2 3 2 2" xfId="31564" xr:uid="{00000000-0005-0000-0000-0000492F0000}"/>
    <cellStyle name="40% - Accent3 2 4 2 2 2 3 3" xfId="27242" xr:uid="{00000000-0005-0000-0000-00004A2F0000}"/>
    <cellStyle name="40% - Accent3 2 4 2 2 2 4" xfId="9927" xr:uid="{00000000-0005-0000-0000-00004B2F0000}"/>
    <cellStyle name="40% - Accent3 2 4 2 2 2 4 2" xfId="29397" xr:uid="{00000000-0005-0000-0000-00004C2F0000}"/>
    <cellStyle name="40% - Accent3 2 4 2 2 2 5" xfId="24935" xr:uid="{00000000-0005-0000-0000-00004D2F0000}"/>
    <cellStyle name="40% - Accent3 2 4 2 2 3" xfId="6037" xr:uid="{00000000-0005-0000-0000-00004E2F0000}"/>
    <cellStyle name="40% - Accent3 2 4 2 2 3 2" xfId="7760" xr:uid="{00000000-0005-0000-0000-00004F2F0000}"/>
    <cellStyle name="40% - Accent3 2 4 2 2 3 2 2" xfId="12096" xr:uid="{00000000-0005-0000-0000-0000502F0000}"/>
    <cellStyle name="40% - Accent3 2 4 2 2 3 2 2 2" xfId="31566" xr:uid="{00000000-0005-0000-0000-0000512F0000}"/>
    <cellStyle name="40% - Accent3 2 4 2 2 3 2 3" xfId="27244" xr:uid="{00000000-0005-0000-0000-0000522F0000}"/>
    <cellStyle name="40% - Accent3 2 4 2 2 3 3" xfId="10457" xr:uid="{00000000-0005-0000-0000-0000532F0000}"/>
    <cellStyle name="40% - Accent3 2 4 2 2 3 3 2" xfId="29927" xr:uid="{00000000-0005-0000-0000-0000542F0000}"/>
    <cellStyle name="40% - Accent3 2 4 2 2 3 4" xfId="25522" xr:uid="{00000000-0005-0000-0000-0000552F0000}"/>
    <cellStyle name="40% - Accent3 2 4 2 2 4" xfId="7757" xr:uid="{00000000-0005-0000-0000-0000562F0000}"/>
    <cellStyle name="40% - Accent3 2 4 2 2 4 2" xfId="12093" xr:uid="{00000000-0005-0000-0000-0000572F0000}"/>
    <cellStyle name="40% - Accent3 2 4 2 2 4 2 2" xfId="31563" xr:uid="{00000000-0005-0000-0000-0000582F0000}"/>
    <cellStyle name="40% - Accent3 2 4 2 2 4 3" xfId="27241" xr:uid="{00000000-0005-0000-0000-0000592F0000}"/>
    <cellStyle name="40% - Accent3 2 4 2 2 5" xfId="9397" xr:uid="{00000000-0005-0000-0000-00005A2F0000}"/>
    <cellStyle name="40% - Accent3 2 4 2 2 5 2" xfId="28867" xr:uid="{00000000-0005-0000-0000-00005B2F0000}"/>
    <cellStyle name="40% - Accent3 2 4 2 2 6" xfId="24321" xr:uid="{00000000-0005-0000-0000-00005C2F0000}"/>
    <cellStyle name="40% - Accent3 2 4 2 3" xfId="5149" xr:uid="{00000000-0005-0000-0000-00005D2F0000}"/>
    <cellStyle name="40% - Accent3 2 4 2 3 2" xfId="6305" xr:uid="{00000000-0005-0000-0000-00005E2F0000}"/>
    <cellStyle name="40% - Accent3 2 4 2 3 2 2" xfId="7762" xr:uid="{00000000-0005-0000-0000-00005F2F0000}"/>
    <cellStyle name="40% - Accent3 2 4 2 3 2 2 2" xfId="12098" xr:uid="{00000000-0005-0000-0000-0000602F0000}"/>
    <cellStyle name="40% - Accent3 2 4 2 3 2 2 2 2" xfId="31568" xr:uid="{00000000-0005-0000-0000-0000612F0000}"/>
    <cellStyle name="40% - Accent3 2 4 2 3 2 2 3" xfId="27246" xr:uid="{00000000-0005-0000-0000-0000622F0000}"/>
    <cellStyle name="40% - Accent3 2 4 2 3 2 3" xfId="10722" xr:uid="{00000000-0005-0000-0000-0000632F0000}"/>
    <cellStyle name="40% - Accent3 2 4 2 3 2 3 2" xfId="30192" xr:uid="{00000000-0005-0000-0000-0000642F0000}"/>
    <cellStyle name="40% - Accent3 2 4 2 3 2 4" xfId="25790" xr:uid="{00000000-0005-0000-0000-0000652F0000}"/>
    <cellStyle name="40% - Accent3 2 4 2 3 3" xfId="7761" xr:uid="{00000000-0005-0000-0000-0000662F0000}"/>
    <cellStyle name="40% - Accent3 2 4 2 3 3 2" xfId="12097" xr:uid="{00000000-0005-0000-0000-0000672F0000}"/>
    <cellStyle name="40% - Accent3 2 4 2 3 3 2 2" xfId="31567" xr:uid="{00000000-0005-0000-0000-0000682F0000}"/>
    <cellStyle name="40% - Accent3 2 4 2 3 3 3" xfId="27245" xr:uid="{00000000-0005-0000-0000-0000692F0000}"/>
    <cellStyle name="40% - Accent3 2 4 2 3 4" xfId="9662" xr:uid="{00000000-0005-0000-0000-00006A2F0000}"/>
    <cellStyle name="40% - Accent3 2 4 2 3 4 2" xfId="29132" xr:uid="{00000000-0005-0000-0000-00006B2F0000}"/>
    <cellStyle name="40% - Accent3 2 4 2 3 5" xfId="24640" xr:uid="{00000000-0005-0000-0000-00006C2F0000}"/>
    <cellStyle name="40% - Accent3 2 4 2 4" xfId="5758" xr:uid="{00000000-0005-0000-0000-00006D2F0000}"/>
    <cellStyle name="40% - Accent3 2 4 2 4 2" xfId="7763" xr:uid="{00000000-0005-0000-0000-00006E2F0000}"/>
    <cellStyle name="40% - Accent3 2 4 2 4 2 2" xfId="12099" xr:uid="{00000000-0005-0000-0000-00006F2F0000}"/>
    <cellStyle name="40% - Accent3 2 4 2 4 2 2 2" xfId="31569" xr:uid="{00000000-0005-0000-0000-0000702F0000}"/>
    <cellStyle name="40% - Accent3 2 4 2 4 2 3" xfId="27247" xr:uid="{00000000-0005-0000-0000-0000712F0000}"/>
    <cellStyle name="40% - Accent3 2 4 2 4 3" xfId="10192" xr:uid="{00000000-0005-0000-0000-0000722F0000}"/>
    <cellStyle name="40% - Accent3 2 4 2 4 3 2" xfId="29662" xr:uid="{00000000-0005-0000-0000-0000732F0000}"/>
    <cellStyle name="40% - Accent3 2 4 2 4 4" xfId="25243" xr:uid="{00000000-0005-0000-0000-0000742F0000}"/>
    <cellStyle name="40% - Accent3 2 4 2 5" xfId="7756" xr:uid="{00000000-0005-0000-0000-0000752F0000}"/>
    <cellStyle name="40% - Accent3 2 4 2 5 2" xfId="12092" xr:uid="{00000000-0005-0000-0000-0000762F0000}"/>
    <cellStyle name="40% - Accent3 2 4 2 5 2 2" xfId="31562" xr:uid="{00000000-0005-0000-0000-0000772F0000}"/>
    <cellStyle name="40% - Accent3 2 4 2 5 3" xfId="27240" xr:uid="{00000000-0005-0000-0000-0000782F0000}"/>
    <cellStyle name="40% - Accent3 2 4 2 6" xfId="9131" xr:uid="{00000000-0005-0000-0000-0000792F0000}"/>
    <cellStyle name="40% - Accent3 2 4 2 6 2" xfId="28602" xr:uid="{00000000-0005-0000-0000-00007A2F0000}"/>
    <cellStyle name="40% - Accent3 2 4 2 7" xfId="24020" xr:uid="{00000000-0005-0000-0000-00007B2F0000}"/>
    <cellStyle name="40% - Accent3 2 4 3" xfId="4732" xr:uid="{00000000-0005-0000-0000-00007C2F0000}"/>
    <cellStyle name="40% - Accent3 2 4 3 2" xfId="5366" xr:uid="{00000000-0005-0000-0000-00007D2F0000}"/>
    <cellStyle name="40% - Accent3 2 4 3 2 2" xfId="6494" xr:uid="{00000000-0005-0000-0000-00007E2F0000}"/>
    <cellStyle name="40% - Accent3 2 4 3 2 2 2" xfId="7766" xr:uid="{00000000-0005-0000-0000-00007F2F0000}"/>
    <cellStyle name="40% - Accent3 2 4 3 2 2 2 2" xfId="12102" xr:uid="{00000000-0005-0000-0000-0000802F0000}"/>
    <cellStyle name="40% - Accent3 2 4 3 2 2 2 2 2" xfId="31572" xr:uid="{00000000-0005-0000-0000-0000812F0000}"/>
    <cellStyle name="40% - Accent3 2 4 3 2 2 2 3" xfId="27250" xr:uid="{00000000-0005-0000-0000-0000822F0000}"/>
    <cellStyle name="40% - Accent3 2 4 3 2 2 3" xfId="10910" xr:uid="{00000000-0005-0000-0000-0000832F0000}"/>
    <cellStyle name="40% - Accent3 2 4 3 2 2 3 2" xfId="30380" xr:uid="{00000000-0005-0000-0000-0000842F0000}"/>
    <cellStyle name="40% - Accent3 2 4 3 2 2 4" xfId="25979" xr:uid="{00000000-0005-0000-0000-0000852F0000}"/>
    <cellStyle name="40% - Accent3 2 4 3 2 3" xfId="7765" xr:uid="{00000000-0005-0000-0000-0000862F0000}"/>
    <cellStyle name="40% - Accent3 2 4 3 2 3 2" xfId="12101" xr:uid="{00000000-0005-0000-0000-0000872F0000}"/>
    <cellStyle name="40% - Accent3 2 4 3 2 3 2 2" xfId="31571" xr:uid="{00000000-0005-0000-0000-0000882F0000}"/>
    <cellStyle name="40% - Accent3 2 4 3 2 3 3" xfId="27249" xr:uid="{00000000-0005-0000-0000-0000892F0000}"/>
    <cellStyle name="40% - Accent3 2 4 3 2 4" xfId="9849" xr:uid="{00000000-0005-0000-0000-00008A2F0000}"/>
    <cellStyle name="40% - Accent3 2 4 3 2 4 2" xfId="29319" xr:uid="{00000000-0005-0000-0000-00008B2F0000}"/>
    <cellStyle name="40% - Accent3 2 4 3 2 5" xfId="24857" xr:uid="{00000000-0005-0000-0000-00008C2F0000}"/>
    <cellStyle name="40% - Accent3 2 4 3 3" xfId="5957" xr:uid="{00000000-0005-0000-0000-00008D2F0000}"/>
    <cellStyle name="40% - Accent3 2 4 3 3 2" xfId="7767" xr:uid="{00000000-0005-0000-0000-00008E2F0000}"/>
    <cellStyle name="40% - Accent3 2 4 3 3 2 2" xfId="12103" xr:uid="{00000000-0005-0000-0000-00008F2F0000}"/>
    <cellStyle name="40% - Accent3 2 4 3 3 2 2 2" xfId="31573" xr:uid="{00000000-0005-0000-0000-0000902F0000}"/>
    <cellStyle name="40% - Accent3 2 4 3 3 2 3" xfId="27251" xr:uid="{00000000-0005-0000-0000-0000912F0000}"/>
    <cellStyle name="40% - Accent3 2 4 3 3 3" xfId="10379" xr:uid="{00000000-0005-0000-0000-0000922F0000}"/>
    <cellStyle name="40% - Accent3 2 4 3 3 3 2" xfId="29849" xr:uid="{00000000-0005-0000-0000-0000932F0000}"/>
    <cellStyle name="40% - Accent3 2 4 3 3 4" xfId="25442" xr:uid="{00000000-0005-0000-0000-0000942F0000}"/>
    <cellStyle name="40% - Accent3 2 4 3 4" xfId="7764" xr:uid="{00000000-0005-0000-0000-0000952F0000}"/>
    <cellStyle name="40% - Accent3 2 4 3 4 2" xfId="12100" xr:uid="{00000000-0005-0000-0000-0000962F0000}"/>
    <cellStyle name="40% - Accent3 2 4 3 4 2 2" xfId="31570" xr:uid="{00000000-0005-0000-0000-0000972F0000}"/>
    <cellStyle name="40% - Accent3 2 4 3 4 3" xfId="27248" xr:uid="{00000000-0005-0000-0000-0000982F0000}"/>
    <cellStyle name="40% - Accent3 2 4 3 5" xfId="9319" xr:uid="{00000000-0005-0000-0000-0000992F0000}"/>
    <cellStyle name="40% - Accent3 2 4 3 5 2" xfId="28789" xr:uid="{00000000-0005-0000-0000-00009A2F0000}"/>
    <cellStyle name="40% - Accent3 2 4 3 6" xfId="24239" xr:uid="{00000000-0005-0000-0000-00009B2F0000}"/>
    <cellStyle name="40% - Accent3 2 4 4" xfId="5065" xr:uid="{00000000-0005-0000-0000-00009C2F0000}"/>
    <cellStyle name="40% - Accent3 2 4 4 2" xfId="6226" xr:uid="{00000000-0005-0000-0000-00009D2F0000}"/>
    <cellStyle name="40% - Accent3 2 4 4 2 2" xfId="7769" xr:uid="{00000000-0005-0000-0000-00009E2F0000}"/>
    <cellStyle name="40% - Accent3 2 4 4 2 2 2" xfId="12105" xr:uid="{00000000-0005-0000-0000-00009F2F0000}"/>
    <cellStyle name="40% - Accent3 2 4 4 2 2 2 2" xfId="31575" xr:uid="{00000000-0005-0000-0000-0000A02F0000}"/>
    <cellStyle name="40% - Accent3 2 4 4 2 2 3" xfId="27253" xr:uid="{00000000-0005-0000-0000-0000A12F0000}"/>
    <cellStyle name="40% - Accent3 2 4 4 2 3" xfId="10644" xr:uid="{00000000-0005-0000-0000-0000A22F0000}"/>
    <cellStyle name="40% - Accent3 2 4 4 2 3 2" xfId="30114" xr:uid="{00000000-0005-0000-0000-0000A32F0000}"/>
    <cellStyle name="40% - Accent3 2 4 4 2 4" xfId="25711" xr:uid="{00000000-0005-0000-0000-0000A42F0000}"/>
    <cellStyle name="40% - Accent3 2 4 4 3" xfId="7768" xr:uid="{00000000-0005-0000-0000-0000A52F0000}"/>
    <cellStyle name="40% - Accent3 2 4 4 3 2" xfId="12104" xr:uid="{00000000-0005-0000-0000-0000A62F0000}"/>
    <cellStyle name="40% - Accent3 2 4 4 3 2 2" xfId="31574" xr:uid="{00000000-0005-0000-0000-0000A72F0000}"/>
    <cellStyle name="40% - Accent3 2 4 4 3 3" xfId="27252" xr:uid="{00000000-0005-0000-0000-0000A82F0000}"/>
    <cellStyle name="40% - Accent3 2 4 4 4" xfId="9584" xr:uid="{00000000-0005-0000-0000-0000A92F0000}"/>
    <cellStyle name="40% - Accent3 2 4 4 4 2" xfId="29054" xr:uid="{00000000-0005-0000-0000-0000AA2F0000}"/>
    <cellStyle name="40% - Accent3 2 4 4 5" xfId="24558" xr:uid="{00000000-0005-0000-0000-0000AB2F0000}"/>
    <cellStyle name="40% - Accent3 2 4 5" xfId="5677" xr:uid="{00000000-0005-0000-0000-0000AC2F0000}"/>
    <cellStyle name="40% - Accent3 2 4 5 2" xfId="7770" xr:uid="{00000000-0005-0000-0000-0000AD2F0000}"/>
    <cellStyle name="40% - Accent3 2 4 5 2 2" xfId="12106" xr:uid="{00000000-0005-0000-0000-0000AE2F0000}"/>
    <cellStyle name="40% - Accent3 2 4 5 2 2 2" xfId="31576" xr:uid="{00000000-0005-0000-0000-0000AF2F0000}"/>
    <cellStyle name="40% - Accent3 2 4 5 2 3" xfId="27254" xr:uid="{00000000-0005-0000-0000-0000B02F0000}"/>
    <cellStyle name="40% - Accent3 2 4 5 3" xfId="10114" xr:uid="{00000000-0005-0000-0000-0000B12F0000}"/>
    <cellStyle name="40% - Accent3 2 4 5 3 2" xfId="29584" xr:uid="{00000000-0005-0000-0000-0000B22F0000}"/>
    <cellStyle name="40% - Accent3 2 4 5 4" xfId="25164" xr:uid="{00000000-0005-0000-0000-0000B32F0000}"/>
    <cellStyle name="40% - Accent3 2 4 6" xfId="7755" xr:uid="{00000000-0005-0000-0000-0000B42F0000}"/>
    <cellStyle name="40% - Accent3 2 4 6 2" xfId="12091" xr:uid="{00000000-0005-0000-0000-0000B52F0000}"/>
    <cellStyle name="40% - Accent3 2 4 6 2 2" xfId="31561" xr:uid="{00000000-0005-0000-0000-0000B62F0000}"/>
    <cellStyle name="40% - Accent3 2 4 6 3" xfId="27239" xr:uid="{00000000-0005-0000-0000-0000B72F0000}"/>
    <cellStyle name="40% - Accent3 2 4 7" xfId="9051" xr:uid="{00000000-0005-0000-0000-0000B82F0000}"/>
    <cellStyle name="40% - Accent3 2 4 7 2" xfId="28524" xr:uid="{00000000-0005-0000-0000-0000B92F0000}"/>
    <cellStyle name="40% - Accent3 2 4 8" xfId="23930" xr:uid="{00000000-0005-0000-0000-0000BA2F0000}"/>
    <cellStyle name="40% - Accent3 2 5" xfId="4136" xr:uid="{00000000-0005-0000-0000-0000BB2F0000}"/>
    <cellStyle name="40% - Accent3 2 5 2" xfId="4761" xr:uid="{00000000-0005-0000-0000-0000BC2F0000}"/>
    <cellStyle name="40% - Accent3 2 5 2 2" xfId="5390" xr:uid="{00000000-0005-0000-0000-0000BD2F0000}"/>
    <cellStyle name="40% - Accent3 2 5 2 2 2" xfId="6518" xr:uid="{00000000-0005-0000-0000-0000BE2F0000}"/>
    <cellStyle name="40% - Accent3 2 5 2 2 2 2" xfId="7774" xr:uid="{00000000-0005-0000-0000-0000BF2F0000}"/>
    <cellStyle name="40% - Accent3 2 5 2 2 2 2 2" xfId="12110" xr:uid="{00000000-0005-0000-0000-0000C02F0000}"/>
    <cellStyle name="40% - Accent3 2 5 2 2 2 2 2 2" xfId="31580" xr:uid="{00000000-0005-0000-0000-0000C12F0000}"/>
    <cellStyle name="40% - Accent3 2 5 2 2 2 2 3" xfId="27258" xr:uid="{00000000-0005-0000-0000-0000C22F0000}"/>
    <cellStyle name="40% - Accent3 2 5 2 2 2 3" xfId="10934" xr:uid="{00000000-0005-0000-0000-0000C32F0000}"/>
    <cellStyle name="40% - Accent3 2 5 2 2 2 3 2" xfId="30404" xr:uid="{00000000-0005-0000-0000-0000C42F0000}"/>
    <cellStyle name="40% - Accent3 2 5 2 2 2 4" xfId="26003" xr:uid="{00000000-0005-0000-0000-0000C52F0000}"/>
    <cellStyle name="40% - Accent3 2 5 2 2 3" xfId="7773" xr:uid="{00000000-0005-0000-0000-0000C62F0000}"/>
    <cellStyle name="40% - Accent3 2 5 2 2 3 2" xfId="12109" xr:uid="{00000000-0005-0000-0000-0000C72F0000}"/>
    <cellStyle name="40% - Accent3 2 5 2 2 3 2 2" xfId="31579" xr:uid="{00000000-0005-0000-0000-0000C82F0000}"/>
    <cellStyle name="40% - Accent3 2 5 2 2 3 3" xfId="27257" xr:uid="{00000000-0005-0000-0000-0000C92F0000}"/>
    <cellStyle name="40% - Accent3 2 5 2 2 4" xfId="9873" xr:uid="{00000000-0005-0000-0000-0000CA2F0000}"/>
    <cellStyle name="40% - Accent3 2 5 2 2 4 2" xfId="29343" xr:uid="{00000000-0005-0000-0000-0000CB2F0000}"/>
    <cellStyle name="40% - Accent3 2 5 2 2 5" xfId="24881" xr:uid="{00000000-0005-0000-0000-0000CC2F0000}"/>
    <cellStyle name="40% - Accent3 2 5 2 3" xfId="5981" xr:uid="{00000000-0005-0000-0000-0000CD2F0000}"/>
    <cellStyle name="40% - Accent3 2 5 2 3 2" xfId="7775" xr:uid="{00000000-0005-0000-0000-0000CE2F0000}"/>
    <cellStyle name="40% - Accent3 2 5 2 3 2 2" xfId="12111" xr:uid="{00000000-0005-0000-0000-0000CF2F0000}"/>
    <cellStyle name="40% - Accent3 2 5 2 3 2 2 2" xfId="31581" xr:uid="{00000000-0005-0000-0000-0000D02F0000}"/>
    <cellStyle name="40% - Accent3 2 5 2 3 2 3" xfId="27259" xr:uid="{00000000-0005-0000-0000-0000D12F0000}"/>
    <cellStyle name="40% - Accent3 2 5 2 3 3" xfId="10403" xr:uid="{00000000-0005-0000-0000-0000D22F0000}"/>
    <cellStyle name="40% - Accent3 2 5 2 3 3 2" xfId="29873" xr:uid="{00000000-0005-0000-0000-0000D32F0000}"/>
    <cellStyle name="40% - Accent3 2 5 2 3 4" xfId="25466" xr:uid="{00000000-0005-0000-0000-0000D42F0000}"/>
    <cellStyle name="40% - Accent3 2 5 2 4" xfId="7772" xr:uid="{00000000-0005-0000-0000-0000D52F0000}"/>
    <cellStyle name="40% - Accent3 2 5 2 4 2" xfId="12108" xr:uid="{00000000-0005-0000-0000-0000D62F0000}"/>
    <cellStyle name="40% - Accent3 2 5 2 4 2 2" xfId="31578" xr:uid="{00000000-0005-0000-0000-0000D72F0000}"/>
    <cellStyle name="40% - Accent3 2 5 2 4 3" xfId="27256" xr:uid="{00000000-0005-0000-0000-0000D82F0000}"/>
    <cellStyle name="40% - Accent3 2 5 2 5" xfId="9343" xr:uid="{00000000-0005-0000-0000-0000D92F0000}"/>
    <cellStyle name="40% - Accent3 2 5 2 5 2" xfId="28813" xr:uid="{00000000-0005-0000-0000-0000DA2F0000}"/>
    <cellStyle name="40% - Accent3 2 5 2 6" xfId="24266" xr:uid="{00000000-0005-0000-0000-0000DB2F0000}"/>
    <cellStyle name="40% - Accent3 2 5 3" xfId="5095" xr:uid="{00000000-0005-0000-0000-0000DC2F0000}"/>
    <cellStyle name="40% - Accent3 2 5 3 2" xfId="6251" xr:uid="{00000000-0005-0000-0000-0000DD2F0000}"/>
    <cellStyle name="40% - Accent3 2 5 3 2 2" xfId="7777" xr:uid="{00000000-0005-0000-0000-0000DE2F0000}"/>
    <cellStyle name="40% - Accent3 2 5 3 2 2 2" xfId="12113" xr:uid="{00000000-0005-0000-0000-0000DF2F0000}"/>
    <cellStyle name="40% - Accent3 2 5 3 2 2 2 2" xfId="31583" xr:uid="{00000000-0005-0000-0000-0000E02F0000}"/>
    <cellStyle name="40% - Accent3 2 5 3 2 2 3" xfId="27261" xr:uid="{00000000-0005-0000-0000-0000E12F0000}"/>
    <cellStyle name="40% - Accent3 2 5 3 2 3" xfId="10668" xr:uid="{00000000-0005-0000-0000-0000E22F0000}"/>
    <cellStyle name="40% - Accent3 2 5 3 2 3 2" xfId="30138" xr:uid="{00000000-0005-0000-0000-0000E32F0000}"/>
    <cellStyle name="40% - Accent3 2 5 3 2 4" xfId="25736" xr:uid="{00000000-0005-0000-0000-0000E42F0000}"/>
    <cellStyle name="40% - Accent3 2 5 3 3" xfId="7776" xr:uid="{00000000-0005-0000-0000-0000E52F0000}"/>
    <cellStyle name="40% - Accent3 2 5 3 3 2" xfId="12112" xr:uid="{00000000-0005-0000-0000-0000E62F0000}"/>
    <cellStyle name="40% - Accent3 2 5 3 3 2 2" xfId="31582" xr:uid="{00000000-0005-0000-0000-0000E72F0000}"/>
    <cellStyle name="40% - Accent3 2 5 3 3 3" xfId="27260" xr:uid="{00000000-0005-0000-0000-0000E82F0000}"/>
    <cellStyle name="40% - Accent3 2 5 3 4" xfId="9608" xr:uid="{00000000-0005-0000-0000-0000E92F0000}"/>
    <cellStyle name="40% - Accent3 2 5 3 4 2" xfId="29078" xr:uid="{00000000-0005-0000-0000-0000EA2F0000}"/>
    <cellStyle name="40% - Accent3 2 5 3 5" xfId="24586" xr:uid="{00000000-0005-0000-0000-0000EB2F0000}"/>
    <cellStyle name="40% - Accent3 2 5 4" xfId="5704" xr:uid="{00000000-0005-0000-0000-0000EC2F0000}"/>
    <cellStyle name="40% - Accent3 2 5 4 2" xfId="7778" xr:uid="{00000000-0005-0000-0000-0000ED2F0000}"/>
    <cellStyle name="40% - Accent3 2 5 4 2 2" xfId="12114" xr:uid="{00000000-0005-0000-0000-0000EE2F0000}"/>
    <cellStyle name="40% - Accent3 2 5 4 2 2 2" xfId="31584" xr:uid="{00000000-0005-0000-0000-0000EF2F0000}"/>
    <cellStyle name="40% - Accent3 2 5 4 2 3" xfId="27262" xr:uid="{00000000-0005-0000-0000-0000F02F0000}"/>
    <cellStyle name="40% - Accent3 2 5 4 3" xfId="10138" xr:uid="{00000000-0005-0000-0000-0000F12F0000}"/>
    <cellStyle name="40% - Accent3 2 5 4 3 2" xfId="29608" xr:uid="{00000000-0005-0000-0000-0000F22F0000}"/>
    <cellStyle name="40% - Accent3 2 5 4 4" xfId="25189" xr:uid="{00000000-0005-0000-0000-0000F32F0000}"/>
    <cellStyle name="40% - Accent3 2 5 5" xfId="7771" xr:uid="{00000000-0005-0000-0000-0000F42F0000}"/>
    <cellStyle name="40% - Accent3 2 5 5 2" xfId="12107" xr:uid="{00000000-0005-0000-0000-0000F52F0000}"/>
    <cellStyle name="40% - Accent3 2 5 5 2 2" xfId="31577" xr:uid="{00000000-0005-0000-0000-0000F62F0000}"/>
    <cellStyle name="40% - Accent3 2 5 5 3" xfId="27255" xr:uid="{00000000-0005-0000-0000-0000F72F0000}"/>
    <cellStyle name="40% - Accent3 2 5 6" xfId="9077" xr:uid="{00000000-0005-0000-0000-0000F82F0000}"/>
    <cellStyle name="40% - Accent3 2 5 6 2" xfId="28548" xr:uid="{00000000-0005-0000-0000-0000F92F0000}"/>
    <cellStyle name="40% - Accent3 2 5 7" xfId="23963" xr:uid="{00000000-0005-0000-0000-0000FA2F0000}"/>
    <cellStyle name="40% - Accent3 3" xfId="2056" xr:uid="{00000000-0005-0000-0000-0000FB2F0000}"/>
    <cellStyle name="40% - Accent3 3 2" xfId="4159" xr:uid="{00000000-0005-0000-0000-0000FC2F0000}"/>
    <cellStyle name="40% - Accent3 4" xfId="2101" xr:uid="{00000000-0005-0000-0000-0000FD2F0000}"/>
    <cellStyle name="40% - Accent3 4 2" xfId="4208" xr:uid="{00000000-0005-0000-0000-0000FE2F0000}"/>
    <cellStyle name="40% - Accent3 5" xfId="2717" xr:uid="{00000000-0005-0000-0000-0000FF2F0000}"/>
    <cellStyle name="40% - Accent4" xfId="1312" builtinId="43" customBuiltin="1"/>
    <cellStyle name="40% - Accent4 2" xfId="1313" xr:uid="{00000000-0005-0000-0000-000001300000}"/>
    <cellStyle name="40% - Accent4 2 2" xfId="2718" xr:uid="{00000000-0005-0000-0000-000002300000}"/>
    <cellStyle name="40% - Accent4 2 2 10" xfId="23573" xr:uid="{00000000-0005-0000-0000-000003300000}"/>
    <cellStyle name="40% - Accent4 2 2 2" xfId="2881" xr:uid="{00000000-0005-0000-0000-000004300000}"/>
    <cellStyle name="40% - Accent4 2 2 2 2" xfId="3075" xr:uid="{00000000-0005-0000-0000-000005300000}"/>
    <cellStyle name="40% - Accent4 2 2 2 2 2" xfId="4702" xr:uid="{00000000-0005-0000-0000-000006300000}"/>
    <cellStyle name="40% - Accent4 2 2 2 2 2 2" xfId="5336" xr:uid="{00000000-0005-0000-0000-000007300000}"/>
    <cellStyle name="40% - Accent4 2 2 2 2 2 2 2" xfId="6470" xr:uid="{00000000-0005-0000-0000-000008300000}"/>
    <cellStyle name="40% - Accent4 2 2 2 2 2 2 2 2" xfId="7784" xr:uid="{00000000-0005-0000-0000-000009300000}"/>
    <cellStyle name="40% - Accent4 2 2 2 2 2 2 2 2 2" xfId="12120" xr:uid="{00000000-0005-0000-0000-00000A300000}"/>
    <cellStyle name="40% - Accent4 2 2 2 2 2 2 2 2 2 2" xfId="31590" xr:uid="{00000000-0005-0000-0000-00000B300000}"/>
    <cellStyle name="40% - Accent4 2 2 2 2 2 2 2 2 3" xfId="27268" xr:uid="{00000000-0005-0000-0000-00000C300000}"/>
    <cellStyle name="40% - Accent4 2 2 2 2 2 2 2 3" xfId="10886" xr:uid="{00000000-0005-0000-0000-00000D300000}"/>
    <cellStyle name="40% - Accent4 2 2 2 2 2 2 2 3 2" xfId="30356" xr:uid="{00000000-0005-0000-0000-00000E300000}"/>
    <cellStyle name="40% - Accent4 2 2 2 2 2 2 2 4" xfId="25955" xr:uid="{00000000-0005-0000-0000-00000F300000}"/>
    <cellStyle name="40% - Accent4 2 2 2 2 2 2 3" xfId="7783" xr:uid="{00000000-0005-0000-0000-000010300000}"/>
    <cellStyle name="40% - Accent4 2 2 2 2 2 2 3 2" xfId="12119" xr:uid="{00000000-0005-0000-0000-000011300000}"/>
    <cellStyle name="40% - Accent4 2 2 2 2 2 2 3 2 2" xfId="31589" xr:uid="{00000000-0005-0000-0000-000012300000}"/>
    <cellStyle name="40% - Accent4 2 2 2 2 2 2 3 3" xfId="27267" xr:uid="{00000000-0005-0000-0000-000013300000}"/>
    <cellStyle name="40% - Accent4 2 2 2 2 2 2 4" xfId="9825" xr:uid="{00000000-0005-0000-0000-000014300000}"/>
    <cellStyle name="40% - Accent4 2 2 2 2 2 2 4 2" xfId="29295" xr:uid="{00000000-0005-0000-0000-000015300000}"/>
    <cellStyle name="40% - Accent4 2 2 2 2 2 2 5" xfId="24827" xr:uid="{00000000-0005-0000-0000-000016300000}"/>
    <cellStyle name="40% - Accent4 2 2 2 2 2 3" xfId="5933" xr:uid="{00000000-0005-0000-0000-000017300000}"/>
    <cellStyle name="40% - Accent4 2 2 2 2 2 3 2" xfId="7785" xr:uid="{00000000-0005-0000-0000-000018300000}"/>
    <cellStyle name="40% - Accent4 2 2 2 2 2 3 2 2" xfId="12121" xr:uid="{00000000-0005-0000-0000-000019300000}"/>
    <cellStyle name="40% - Accent4 2 2 2 2 2 3 2 2 2" xfId="31591" xr:uid="{00000000-0005-0000-0000-00001A300000}"/>
    <cellStyle name="40% - Accent4 2 2 2 2 2 3 2 3" xfId="27269" xr:uid="{00000000-0005-0000-0000-00001B300000}"/>
    <cellStyle name="40% - Accent4 2 2 2 2 2 3 3" xfId="10355" xr:uid="{00000000-0005-0000-0000-00001C300000}"/>
    <cellStyle name="40% - Accent4 2 2 2 2 2 3 3 2" xfId="29825" xr:uid="{00000000-0005-0000-0000-00001D300000}"/>
    <cellStyle name="40% - Accent4 2 2 2 2 2 3 4" xfId="25418" xr:uid="{00000000-0005-0000-0000-00001E300000}"/>
    <cellStyle name="40% - Accent4 2 2 2 2 2 4" xfId="7782" xr:uid="{00000000-0005-0000-0000-00001F300000}"/>
    <cellStyle name="40% - Accent4 2 2 2 2 2 4 2" xfId="12118" xr:uid="{00000000-0005-0000-0000-000020300000}"/>
    <cellStyle name="40% - Accent4 2 2 2 2 2 4 2 2" xfId="31588" xr:uid="{00000000-0005-0000-0000-000021300000}"/>
    <cellStyle name="40% - Accent4 2 2 2 2 2 4 3" xfId="27266" xr:uid="{00000000-0005-0000-0000-000022300000}"/>
    <cellStyle name="40% - Accent4 2 2 2 2 2 5" xfId="9295" xr:uid="{00000000-0005-0000-0000-000023300000}"/>
    <cellStyle name="40% - Accent4 2 2 2 2 2 5 2" xfId="28765" xr:uid="{00000000-0005-0000-0000-000024300000}"/>
    <cellStyle name="40% - Accent4 2 2 2 2 2 6" xfId="24213" xr:uid="{00000000-0005-0000-0000-000025300000}"/>
    <cellStyle name="40% - Accent4 2 2 2 2 3" xfId="5040" xr:uid="{00000000-0005-0000-0000-000026300000}"/>
    <cellStyle name="40% - Accent4 2 2 2 2 3 2" xfId="6202" xr:uid="{00000000-0005-0000-0000-000027300000}"/>
    <cellStyle name="40% - Accent4 2 2 2 2 3 2 2" xfId="7787" xr:uid="{00000000-0005-0000-0000-000028300000}"/>
    <cellStyle name="40% - Accent4 2 2 2 2 3 2 2 2" xfId="12123" xr:uid="{00000000-0005-0000-0000-000029300000}"/>
    <cellStyle name="40% - Accent4 2 2 2 2 3 2 2 2 2" xfId="31593" xr:uid="{00000000-0005-0000-0000-00002A300000}"/>
    <cellStyle name="40% - Accent4 2 2 2 2 3 2 2 3" xfId="27271" xr:uid="{00000000-0005-0000-0000-00002B300000}"/>
    <cellStyle name="40% - Accent4 2 2 2 2 3 2 3" xfId="10620" xr:uid="{00000000-0005-0000-0000-00002C300000}"/>
    <cellStyle name="40% - Accent4 2 2 2 2 3 2 3 2" xfId="30090" xr:uid="{00000000-0005-0000-0000-00002D300000}"/>
    <cellStyle name="40% - Accent4 2 2 2 2 3 2 4" xfId="25687" xr:uid="{00000000-0005-0000-0000-00002E300000}"/>
    <cellStyle name="40% - Accent4 2 2 2 2 3 3" xfId="7786" xr:uid="{00000000-0005-0000-0000-00002F300000}"/>
    <cellStyle name="40% - Accent4 2 2 2 2 3 3 2" xfId="12122" xr:uid="{00000000-0005-0000-0000-000030300000}"/>
    <cellStyle name="40% - Accent4 2 2 2 2 3 3 2 2" xfId="31592" xr:uid="{00000000-0005-0000-0000-000031300000}"/>
    <cellStyle name="40% - Accent4 2 2 2 2 3 3 3" xfId="27270" xr:uid="{00000000-0005-0000-0000-000032300000}"/>
    <cellStyle name="40% - Accent4 2 2 2 2 3 4" xfId="9560" xr:uid="{00000000-0005-0000-0000-000033300000}"/>
    <cellStyle name="40% - Accent4 2 2 2 2 3 4 2" xfId="29030" xr:uid="{00000000-0005-0000-0000-000034300000}"/>
    <cellStyle name="40% - Accent4 2 2 2 2 3 5" xfId="24534" xr:uid="{00000000-0005-0000-0000-000035300000}"/>
    <cellStyle name="40% - Accent4 2 2 2 2 4" xfId="5645" xr:uid="{00000000-0005-0000-0000-000036300000}"/>
    <cellStyle name="40% - Accent4 2 2 2 2 4 2" xfId="7788" xr:uid="{00000000-0005-0000-0000-000037300000}"/>
    <cellStyle name="40% - Accent4 2 2 2 2 4 2 2" xfId="12124" xr:uid="{00000000-0005-0000-0000-000038300000}"/>
    <cellStyle name="40% - Accent4 2 2 2 2 4 2 2 2" xfId="31594" xr:uid="{00000000-0005-0000-0000-000039300000}"/>
    <cellStyle name="40% - Accent4 2 2 2 2 4 2 3" xfId="27272" xr:uid="{00000000-0005-0000-0000-00003A300000}"/>
    <cellStyle name="40% - Accent4 2 2 2 2 4 3" xfId="10090" xr:uid="{00000000-0005-0000-0000-00003B300000}"/>
    <cellStyle name="40% - Accent4 2 2 2 2 4 3 2" xfId="29560" xr:uid="{00000000-0005-0000-0000-00003C300000}"/>
    <cellStyle name="40% - Accent4 2 2 2 2 4 4" xfId="25132" xr:uid="{00000000-0005-0000-0000-00003D300000}"/>
    <cellStyle name="40% - Accent4 2 2 2 2 5" xfId="7781" xr:uid="{00000000-0005-0000-0000-00003E300000}"/>
    <cellStyle name="40% - Accent4 2 2 2 2 5 2" xfId="12117" xr:uid="{00000000-0005-0000-0000-00003F300000}"/>
    <cellStyle name="40% - Accent4 2 2 2 2 5 2 2" xfId="31587" xr:uid="{00000000-0005-0000-0000-000040300000}"/>
    <cellStyle name="40% - Accent4 2 2 2 2 5 3" xfId="27265" xr:uid="{00000000-0005-0000-0000-000041300000}"/>
    <cellStyle name="40% - Accent4 2 2 2 2 6" xfId="9026" xr:uid="{00000000-0005-0000-0000-000042300000}"/>
    <cellStyle name="40% - Accent4 2 2 2 2 6 2" xfId="28500" xr:uid="{00000000-0005-0000-0000-000043300000}"/>
    <cellStyle name="40% - Accent4 2 2 2 2 7" xfId="23884" xr:uid="{00000000-0005-0000-0000-000044300000}"/>
    <cellStyle name="40% - Accent4 2 2 2 3" xfId="4282" xr:uid="{00000000-0005-0000-0000-000045300000}"/>
    <cellStyle name="40% - Accent4 2 2 2 3 2" xfId="4857" xr:uid="{00000000-0005-0000-0000-000046300000}"/>
    <cellStyle name="40% - Accent4 2 2 2 3 2 2" xfId="5482" xr:uid="{00000000-0005-0000-0000-000047300000}"/>
    <cellStyle name="40% - Accent4 2 2 2 3 2 2 2" xfId="6610" xr:uid="{00000000-0005-0000-0000-000048300000}"/>
    <cellStyle name="40% - Accent4 2 2 2 3 2 2 2 2" xfId="7792" xr:uid="{00000000-0005-0000-0000-000049300000}"/>
    <cellStyle name="40% - Accent4 2 2 2 3 2 2 2 2 2" xfId="12128" xr:uid="{00000000-0005-0000-0000-00004A300000}"/>
    <cellStyle name="40% - Accent4 2 2 2 3 2 2 2 2 2 2" xfId="31598" xr:uid="{00000000-0005-0000-0000-00004B300000}"/>
    <cellStyle name="40% - Accent4 2 2 2 3 2 2 2 2 3" xfId="27276" xr:uid="{00000000-0005-0000-0000-00004C300000}"/>
    <cellStyle name="40% - Accent4 2 2 2 3 2 2 2 3" xfId="11026" xr:uid="{00000000-0005-0000-0000-00004D300000}"/>
    <cellStyle name="40% - Accent4 2 2 2 3 2 2 2 3 2" xfId="30496" xr:uid="{00000000-0005-0000-0000-00004E300000}"/>
    <cellStyle name="40% - Accent4 2 2 2 3 2 2 2 4" xfId="26095" xr:uid="{00000000-0005-0000-0000-00004F300000}"/>
    <cellStyle name="40% - Accent4 2 2 2 3 2 2 3" xfId="7791" xr:uid="{00000000-0005-0000-0000-000050300000}"/>
    <cellStyle name="40% - Accent4 2 2 2 3 2 2 3 2" xfId="12127" xr:uid="{00000000-0005-0000-0000-000051300000}"/>
    <cellStyle name="40% - Accent4 2 2 2 3 2 2 3 2 2" xfId="31597" xr:uid="{00000000-0005-0000-0000-000052300000}"/>
    <cellStyle name="40% - Accent4 2 2 2 3 2 2 3 3" xfId="27275" xr:uid="{00000000-0005-0000-0000-000053300000}"/>
    <cellStyle name="40% - Accent4 2 2 2 3 2 2 4" xfId="9965" xr:uid="{00000000-0005-0000-0000-000054300000}"/>
    <cellStyle name="40% - Accent4 2 2 2 3 2 2 4 2" xfId="29435" xr:uid="{00000000-0005-0000-0000-000055300000}"/>
    <cellStyle name="40% - Accent4 2 2 2 3 2 2 5" xfId="24973" xr:uid="{00000000-0005-0000-0000-000056300000}"/>
    <cellStyle name="40% - Accent4 2 2 2 3 2 3" xfId="6075" xr:uid="{00000000-0005-0000-0000-000057300000}"/>
    <cellStyle name="40% - Accent4 2 2 2 3 2 3 2" xfId="7793" xr:uid="{00000000-0005-0000-0000-000058300000}"/>
    <cellStyle name="40% - Accent4 2 2 2 3 2 3 2 2" xfId="12129" xr:uid="{00000000-0005-0000-0000-000059300000}"/>
    <cellStyle name="40% - Accent4 2 2 2 3 2 3 2 2 2" xfId="31599" xr:uid="{00000000-0005-0000-0000-00005A300000}"/>
    <cellStyle name="40% - Accent4 2 2 2 3 2 3 2 3" xfId="27277" xr:uid="{00000000-0005-0000-0000-00005B300000}"/>
    <cellStyle name="40% - Accent4 2 2 2 3 2 3 3" xfId="10495" xr:uid="{00000000-0005-0000-0000-00005C300000}"/>
    <cellStyle name="40% - Accent4 2 2 2 3 2 3 3 2" xfId="29965" xr:uid="{00000000-0005-0000-0000-00005D300000}"/>
    <cellStyle name="40% - Accent4 2 2 2 3 2 3 4" xfId="25560" xr:uid="{00000000-0005-0000-0000-00005E300000}"/>
    <cellStyle name="40% - Accent4 2 2 2 3 2 4" xfId="7790" xr:uid="{00000000-0005-0000-0000-00005F300000}"/>
    <cellStyle name="40% - Accent4 2 2 2 3 2 4 2" xfId="12126" xr:uid="{00000000-0005-0000-0000-000060300000}"/>
    <cellStyle name="40% - Accent4 2 2 2 3 2 4 2 2" xfId="31596" xr:uid="{00000000-0005-0000-0000-000061300000}"/>
    <cellStyle name="40% - Accent4 2 2 2 3 2 4 3" xfId="27274" xr:uid="{00000000-0005-0000-0000-000062300000}"/>
    <cellStyle name="40% - Accent4 2 2 2 3 2 5" xfId="9435" xr:uid="{00000000-0005-0000-0000-000063300000}"/>
    <cellStyle name="40% - Accent4 2 2 2 3 2 5 2" xfId="28905" xr:uid="{00000000-0005-0000-0000-000064300000}"/>
    <cellStyle name="40% - Accent4 2 2 2 3 2 6" xfId="24359" xr:uid="{00000000-0005-0000-0000-000065300000}"/>
    <cellStyle name="40% - Accent4 2 2 2 3 3" xfId="5187" xr:uid="{00000000-0005-0000-0000-000066300000}"/>
    <cellStyle name="40% - Accent4 2 2 2 3 3 2" xfId="6343" xr:uid="{00000000-0005-0000-0000-000067300000}"/>
    <cellStyle name="40% - Accent4 2 2 2 3 3 2 2" xfId="7795" xr:uid="{00000000-0005-0000-0000-000068300000}"/>
    <cellStyle name="40% - Accent4 2 2 2 3 3 2 2 2" xfId="12131" xr:uid="{00000000-0005-0000-0000-000069300000}"/>
    <cellStyle name="40% - Accent4 2 2 2 3 3 2 2 2 2" xfId="31601" xr:uid="{00000000-0005-0000-0000-00006A300000}"/>
    <cellStyle name="40% - Accent4 2 2 2 3 3 2 2 3" xfId="27279" xr:uid="{00000000-0005-0000-0000-00006B300000}"/>
    <cellStyle name="40% - Accent4 2 2 2 3 3 2 3" xfId="10760" xr:uid="{00000000-0005-0000-0000-00006C300000}"/>
    <cellStyle name="40% - Accent4 2 2 2 3 3 2 3 2" xfId="30230" xr:uid="{00000000-0005-0000-0000-00006D300000}"/>
    <cellStyle name="40% - Accent4 2 2 2 3 3 2 4" xfId="25828" xr:uid="{00000000-0005-0000-0000-00006E300000}"/>
    <cellStyle name="40% - Accent4 2 2 2 3 3 3" xfId="7794" xr:uid="{00000000-0005-0000-0000-00006F300000}"/>
    <cellStyle name="40% - Accent4 2 2 2 3 3 3 2" xfId="12130" xr:uid="{00000000-0005-0000-0000-000070300000}"/>
    <cellStyle name="40% - Accent4 2 2 2 3 3 3 2 2" xfId="31600" xr:uid="{00000000-0005-0000-0000-000071300000}"/>
    <cellStyle name="40% - Accent4 2 2 2 3 3 3 3" xfId="27278" xr:uid="{00000000-0005-0000-0000-000072300000}"/>
    <cellStyle name="40% - Accent4 2 2 2 3 3 4" xfId="9700" xr:uid="{00000000-0005-0000-0000-000073300000}"/>
    <cellStyle name="40% - Accent4 2 2 2 3 3 4 2" xfId="29170" xr:uid="{00000000-0005-0000-0000-000074300000}"/>
    <cellStyle name="40% - Accent4 2 2 2 3 3 5" xfId="24678" xr:uid="{00000000-0005-0000-0000-000075300000}"/>
    <cellStyle name="40% - Accent4 2 2 2 3 4" xfId="5796" xr:uid="{00000000-0005-0000-0000-000076300000}"/>
    <cellStyle name="40% - Accent4 2 2 2 3 4 2" xfId="7796" xr:uid="{00000000-0005-0000-0000-000077300000}"/>
    <cellStyle name="40% - Accent4 2 2 2 3 4 2 2" xfId="12132" xr:uid="{00000000-0005-0000-0000-000078300000}"/>
    <cellStyle name="40% - Accent4 2 2 2 3 4 2 2 2" xfId="31602" xr:uid="{00000000-0005-0000-0000-000079300000}"/>
    <cellStyle name="40% - Accent4 2 2 2 3 4 2 3" xfId="27280" xr:uid="{00000000-0005-0000-0000-00007A300000}"/>
    <cellStyle name="40% - Accent4 2 2 2 3 4 3" xfId="10230" xr:uid="{00000000-0005-0000-0000-00007B300000}"/>
    <cellStyle name="40% - Accent4 2 2 2 3 4 3 2" xfId="29700" xr:uid="{00000000-0005-0000-0000-00007C300000}"/>
    <cellStyle name="40% - Accent4 2 2 2 3 4 4" xfId="25281" xr:uid="{00000000-0005-0000-0000-00007D300000}"/>
    <cellStyle name="40% - Accent4 2 2 2 3 5" xfId="7789" xr:uid="{00000000-0005-0000-0000-00007E300000}"/>
    <cellStyle name="40% - Accent4 2 2 2 3 5 2" xfId="12125" xr:uid="{00000000-0005-0000-0000-00007F300000}"/>
    <cellStyle name="40% - Accent4 2 2 2 3 5 2 2" xfId="31595" xr:uid="{00000000-0005-0000-0000-000080300000}"/>
    <cellStyle name="40% - Accent4 2 2 2 3 5 3" xfId="27273" xr:uid="{00000000-0005-0000-0000-000081300000}"/>
    <cellStyle name="40% - Accent4 2 2 2 3 6" xfId="9169" xr:uid="{00000000-0005-0000-0000-000082300000}"/>
    <cellStyle name="40% - Accent4 2 2 2 3 6 2" xfId="28640" xr:uid="{00000000-0005-0000-0000-000083300000}"/>
    <cellStyle name="40% - Accent4 2 2 2 3 7" xfId="24058" xr:uid="{00000000-0005-0000-0000-000084300000}"/>
    <cellStyle name="40% - Accent4 2 2 2 4" xfId="4630" xr:uid="{00000000-0005-0000-0000-000085300000}"/>
    <cellStyle name="40% - Accent4 2 2 2 4 2" xfId="5270" xr:uid="{00000000-0005-0000-0000-000086300000}"/>
    <cellStyle name="40% - Accent4 2 2 2 4 2 2" xfId="6404" xr:uid="{00000000-0005-0000-0000-000087300000}"/>
    <cellStyle name="40% - Accent4 2 2 2 4 2 2 2" xfId="7799" xr:uid="{00000000-0005-0000-0000-000088300000}"/>
    <cellStyle name="40% - Accent4 2 2 2 4 2 2 2 2" xfId="12135" xr:uid="{00000000-0005-0000-0000-000089300000}"/>
    <cellStyle name="40% - Accent4 2 2 2 4 2 2 2 2 2" xfId="31605" xr:uid="{00000000-0005-0000-0000-00008A300000}"/>
    <cellStyle name="40% - Accent4 2 2 2 4 2 2 2 3" xfId="27283" xr:uid="{00000000-0005-0000-0000-00008B300000}"/>
    <cellStyle name="40% - Accent4 2 2 2 4 2 2 3" xfId="10820" xr:uid="{00000000-0005-0000-0000-00008C300000}"/>
    <cellStyle name="40% - Accent4 2 2 2 4 2 2 3 2" xfId="30290" xr:uid="{00000000-0005-0000-0000-00008D300000}"/>
    <cellStyle name="40% - Accent4 2 2 2 4 2 2 4" xfId="25889" xr:uid="{00000000-0005-0000-0000-00008E300000}"/>
    <cellStyle name="40% - Accent4 2 2 2 4 2 3" xfId="7798" xr:uid="{00000000-0005-0000-0000-00008F300000}"/>
    <cellStyle name="40% - Accent4 2 2 2 4 2 3 2" xfId="12134" xr:uid="{00000000-0005-0000-0000-000090300000}"/>
    <cellStyle name="40% - Accent4 2 2 2 4 2 3 2 2" xfId="31604" xr:uid="{00000000-0005-0000-0000-000091300000}"/>
    <cellStyle name="40% - Accent4 2 2 2 4 2 3 3" xfId="27282" xr:uid="{00000000-0005-0000-0000-000092300000}"/>
    <cellStyle name="40% - Accent4 2 2 2 4 2 4" xfId="9759" xr:uid="{00000000-0005-0000-0000-000093300000}"/>
    <cellStyle name="40% - Accent4 2 2 2 4 2 4 2" xfId="29229" xr:uid="{00000000-0005-0000-0000-000094300000}"/>
    <cellStyle name="40% - Accent4 2 2 2 4 2 5" xfId="24761" xr:uid="{00000000-0005-0000-0000-000095300000}"/>
    <cellStyle name="40% - Accent4 2 2 2 4 3" xfId="5867" xr:uid="{00000000-0005-0000-0000-000096300000}"/>
    <cellStyle name="40% - Accent4 2 2 2 4 3 2" xfId="7800" xr:uid="{00000000-0005-0000-0000-000097300000}"/>
    <cellStyle name="40% - Accent4 2 2 2 4 3 2 2" xfId="12136" xr:uid="{00000000-0005-0000-0000-000098300000}"/>
    <cellStyle name="40% - Accent4 2 2 2 4 3 2 2 2" xfId="31606" xr:uid="{00000000-0005-0000-0000-000099300000}"/>
    <cellStyle name="40% - Accent4 2 2 2 4 3 2 3" xfId="27284" xr:uid="{00000000-0005-0000-0000-00009A300000}"/>
    <cellStyle name="40% - Accent4 2 2 2 4 3 3" xfId="10289" xr:uid="{00000000-0005-0000-0000-00009B300000}"/>
    <cellStyle name="40% - Accent4 2 2 2 4 3 3 2" xfId="29759" xr:uid="{00000000-0005-0000-0000-00009C300000}"/>
    <cellStyle name="40% - Accent4 2 2 2 4 3 4" xfId="25352" xr:uid="{00000000-0005-0000-0000-00009D300000}"/>
    <cellStyle name="40% - Accent4 2 2 2 4 4" xfId="7797" xr:uid="{00000000-0005-0000-0000-00009E300000}"/>
    <cellStyle name="40% - Accent4 2 2 2 4 4 2" xfId="12133" xr:uid="{00000000-0005-0000-0000-00009F300000}"/>
    <cellStyle name="40% - Accent4 2 2 2 4 4 2 2" xfId="31603" xr:uid="{00000000-0005-0000-0000-0000A0300000}"/>
    <cellStyle name="40% - Accent4 2 2 2 4 4 3" xfId="27281" xr:uid="{00000000-0005-0000-0000-0000A1300000}"/>
    <cellStyle name="40% - Accent4 2 2 2 4 5" xfId="9229" xr:uid="{00000000-0005-0000-0000-0000A2300000}"/>
    <cellStyle name="40% - Accent4 2 2 2 4 5 2" xfId="28699" xr:uid="{00000000-0005-0000-0000-0000A3300000}"/>
    <cellStyle name="40% - Accent4 2 2 2 4 6" xfId="24141" xr:uid="{00000000-0005-0000-0000-0000A4300000}"/>
    <cellStyle name="40% - Accent4 2 2 2 5" xfId="4974" xr:uid="{00000000-0005-0000-0000-0000A5300000}"/>
    <cellStyle name="40% - Accent4 2 2 2 5 2" xfId="6136" xr:uid="{00000000-0005-0000-0000-0000A6300000}"/>
    <cellStyle name="40% - Accent4 2 2 2 5 2 2" xfId="7802" xr:uid="{00000000-0005-0000-0000-0000A7300000}"/>
    <cellStyle name="40% - Accent4 2 2 2 5 2 2 2" xfId="12138" xr:uid="{00000000-0005-0000-0000-0000A8300000}"/>
    <cellStyle name="40% - Accent4 2 2 2 5 2 2 2 2" xfId="31608" xr:uid="{00000000-0005-0000-0000-0000A9300000}"/>
    <cellStyle name="40% - Accent4 2 2 2 5 2 2 3" xfId="27286" xr:uid="{00000000-0005-0000-0000-0000AA300000}"/>
    <cellStyle name="40% - Accent4 2 2 2 5 2 3" xfId="10554" xr:uid="{00000000-0005-0000-0000-0000AB300000}"/>
    <cellStyle name="40% - Accent4 2 2 2 5 2 3 2" xfId="30024" xr:uid="{00000000-0005-0000-0000-0000AC300000}"/>
    <cellStyle name="40% - Accent4 2 2 2 5 2 4" xfId="25621" xr:uid="{00000000-0005-0000-0000-0000AD300000}"/>
    <cellStyle name="40% - Accent4 2 2 2 5 3" xfId="7801" xr:uid="{00000000-0005-0000-0000-0000AE300000}"/>
    <cellStyle name="40% - Accent4 2 2 2 5 3 2" xfId="12137" xr:uid="{00000000-0005-0000-0000-0000AF300000}"/>
    <cellStyle name="40% - Accent4 2 2 2 5 3 2 2" xfId="31607" xr:uid="{00000000-0005-0000-0000-0000B0300000}"/>
    <cellStyle name="40% - Accent4 2 2 2 5 3 3" xfId="27285" xr:uid="{00000000-0005-0000-0000-0000B1300000}"/>
    <cellStyle name="40% - Accent4 2 2 2 5 4" xfId="9494" xr:uid="{00000000-0005-0000-0000-0000B2300000}"/>
    <cellStyle name="40% - Accent4 2 2 2 5 4 2" xfId="28964" xr:uid="{00000000-0005-0000-0000-0000B3300000}"/>
    <cellStyle name="40% - Accent4 2 2 2 5 5" xfId="24468" xr:uid="{00000000-0005-0000-0000-0000B4300000}"/>
    <cellStyle name="40% - Accent4 2 2 2 6" xfId="5579" xr:uid="{00000000-0005-0000-0000-0000B5300000}"/>
    <cellStyle name="40% - Accent4 2 2 2 6 2" xfId="7803" xr:uid="{00000000-0005-0000-0000-0000B6300000}"/>
    <cellStyle name="40% - Accent4 2 2 2 6 2 2" xfId="12139" xr:uid="{00000000-0005-0000-0000-0000B7300000}"/>
    <cellStyle name="40% - Accent4 2 2 2 6 2 2 2" xfId="31609" xr:uid="{00000000-0005-0000-0000-0000B8300000}"/>
    <cellStyle name="40% - Accent4 2 2 2 6 2 3" xfId="27287" xr:uid="{00000000-0005-0000-0000-0000B9300000}"/>
    <cellStyle name="40% - Accent4 2 2 2 6 3" xfId="10024" xr:uid="{00000000-0005-0000-0000-0000BA300000}"/>
    <cellStyle name="40% - Accent4 2 2 2 6 3 2" xfId="29494" xr:uid="{00000000-0005-0000-0000-0000BB300000}"/>
    <cellStyle name="40% - Accent4 2 2 2 6 4" xfId="25066" xr:uid="{00000000-0005-0000-0000-0000BC300000}"/>
    <cellStyle name="40% - Accent4 2 2 2 7" xfId="7780" xr:uid="{00000000-0005-0000-0000-0000BD300000}"/>
    <cellStyle name="40% - Accent4 2 2 2 7 2" xfId="12116" xr:uid="{00000000-0005-0000-0000-0000BE300000}"/>
    <cellStyle name="40% - Accent4 2 2 2 7 2 2" xfId="31586" xr:uid="{00000000-0005-0000-0000-0000BF300000}"/>
    <cellStyle name="40% - Accent4 2 2 2 7 3" xfId="27264" xr:uid="{00000000-0005-0000-0000-0000C0300000}"/>
    <cellStyle name="40% - Accent4 2 2 2 8" xfId="8960" xr:uid="{00000000-0005-0000-0000-0000C1300000}"/>
    <cellStyle name="40% - Accent4 2 2 2 8 2" xfId="28434" xr:uid="{00000000-0005-0000-0000-0000C2300000}"/>
    <cellStyle name="40% - Accent4 2 2 2 9" xfId="23692" xr:uid="{00000000-0005-0000-0000-0000C3300000}"/>
    <cellStyle name="40% - Accent4 2 2 3" xfId="2957" xr:uid="{00000000-0005-0000-0000-0000C4300000}"/>
    <cellStyle name="40% - Accent4 2 2 3 2" xfId="4664" xr:uid="{00000000-0005-0000-0000-0000C5300000}"/>
    <cellStyle name="40% - Accent4 2 2 3 2 2" xfId="5304" xr:uid="{00000000-0005-0000-0000-0000C6300000}"/>
    <cellStyle name="40% - Accent4 2 2 3 2 2 2" xfId="6438" xr:uid="{00000000-0005-0000-0000-0000C7300000}"/>
    <cellStyle name="40% - Accent4 2 2 3 2 2 2 2" xfId="7807" xr:uid="{00000000-0005-0000-0000-0000C8300000}"/>
    <cellStyle name="40% - Accent4 2 2 3 2 2 2 2 2" xfId="12143" xr:uid="{00000000-0005-0000-0000-0000C9300000}"/>
    <cellStyle name="40% - Accent4 2 2 3 2 2 2 2 2 2" xfId="31613" xr:uid="{00000000-0005-0000-0000-0000CA300000}"/>
    <cellStyle name="40% - Accent4 2 2 3 2 2 2 2 3" xfId="27291" xr:uid="{00000000-0005-0000-0000-0000CB300000}"/>
    <cellStyle name="40% - Accent4 2 2 3 2 2 2 3" xfId="10854" xr:uid="{00000000-0005-0000-0000-0000CC300000}"/>
    <cellStyle name="40% - Accent4 2 2 3 2 2 2 3 2" xfId="30324" xr:uid="{00000000-0005-0000-0000-0000CD300000}"/>
    <cellStyle name="40% - Accent4 2 2 3 2 2 2 4" xfId="25923" xr:uid="{00000000-0005-0000-0000-0000CE300000}"/>
    <cellStyle name="40% - Accent4 2 2 3 2 2 3" xfId="7806" xr:uid="{00000000-0005-0000-0000-0000CF300000}"/>
    <cellStyle name="40% - Accent4 2 2 3 2 2 3 2" xfId="12142" xr:uid="{00000000-0005-0000-0000-0000D0300000}"/>
    <cellStyle name="40% - Accent4 2 2 3 2 2 3 2 2" xfId="31612" xr:uid="{00000000-0005-0000-0000-0000D1300000}"/>
    <cellStyle name="40% - Accent4 2 2 3 2 2 3 3" xfId="27290" xr:uid="{00000000-0005-0000-0000-0000D2300000}"/>
    <cellStyle name="40% - Accent4 2 2 3 2 2 4" xfId="9793" xr:uid="{00000000-0005-0000-0000-0000D3300000}"/>
    <cellStyle name="40% - Accent4 2 2 3 2 2 4 2" xfId="29263" xr:uid="{00000000-0005-0000-0000-0000D4300000}"/>
    <cellStyle name="40% - Accent4 2 2 3 2 2 5" xfId="24795" xr:uid="{00000000-0005-0000-0000-0000D5300000}"/>
    <cellStyle name="40% - Accent4 2 2 3 2 3" xfId="5901" xr:uid="{00000000-0005-0000-0000-0000D6300000}"/>
    <cellStyle name="40% - Accent4 2 2 3 2 3 2" xfId="7808" xr:uid="{00000000-0005-0000-0000-0000D7300000}"/>
    <cellStyle name="40% - Accent4 2 2 3 2 3 2 2" xfId="12144" xr:uid="{00000000-0005-0000-0000-0000D8300000}"/>
    <cellStyle name="40% - Accent4 2 2 3 2 3 2 2 2" xfId="31614" xr:uid="{00000000-0005-0000-0000-0000D9300000}"/>
    <cellStyle name="40% - Accent4 2 2 3 2 3 2 3" xfId="27292" xr:uid="{00000000-0005-0000-0000-0000DA300000}"/>
    <cellStyle name="40% - Accent4 2 2 3 2 3 3" xfId="10323" xr:uid="{00000000-0005-0000-0000-0000DB300000}"/>
    <cellStyle name="40% - Accent4 2 2 3 2 3 3 2" xfId="29793" xr:uid="{00000000-0005-0000-0000-0000DC300000}"/>
    <cellStyle name="40% - Accent4 2 2 3 2 3 4" xfId="25386" xr:uid="{00000000-0005-0000-0000-0000DD300000}"/>
    <cellStyle name="40% - Accent4 2 2 3 2 4" xfId="7805" xr:uid="{00000000-0005-0000-0000-0000DE300000}"/>
    <cellStyle name="40% - Accent4 2 2 3 2 4 2" xfId="12141" xr:uid="{00000000-0005-0000-0000-0000DF300000}"/>
    <cellStyle name="40% - Accent4 2 2 3 2 4 2 2" xfId="31611" xr:uid="{00000000-0005-0000-0000-0000E0300000}"/>
    <cellStyle name="40% - Accent4 2 2 3 2 4 3" xfId="27289" xr:uid="{00000000-0005-0000-0000-0000E1300000}"/>
    <cellStyle name="40% - Accent4 2 2 3 2 5" xfId="9263" xr:uid="{00000000-0005-0000-0000-0000E2300000}"/>
    <cellStyle name="40% - Accent4 2 2 3 2 5 2" xfId="28733" xr:uid="{00000000-0005-0000-0000-0000E3300000}"/>
    <cellStyle name="40% - Accent4 2 2 3 2 6" xfId="24175" xr:uid="{00000000-0005-0000-0000-0000E4300000}"/>
    <cellStyle name="40% - Accent4 2 2 3 3" xfId="5008" xr:uid="{00000000-0005-0000-0000-0000E5300000}"/>
    <cellStyle name="40% - Accent4 2 2 3 3 2" xfId="6170" xr:uid="{00000000-0005-0000-0000-0000E6300000}"/>
    <cellStyle name="40% - Accent4 2 2 3 3 2 2" xfId="7810" xr:uid="{00000000-0005-0000-0000-0000E7300000}"/>
    <cellStyle name="40% - Accent4 2 2 3 3 2 2 2" xfId="12146" xr:uid="{00000000-0005-0000-0000-0000E8300000}"/>
    <cellStyle name="40% - Accent4 2 2 3 3 2 2 2 2" xfId="31616" xr:uid="{00000000-0005-0000-0000-0000E9300000}"/>
    <cellStyle name="40% - Accent4 2 2 3 3 2 2 3" xfId="27294" xr:uid="{00000000-0005-0000-0000-0000EA300000}"/>
    <cellStyle name="40% - Accent4 2 2 3 3 2 3" xfId="10588" xr:uid="{00000000-0005-0000-0000-0000EB300000}"/>
    <cellStyle name="40% - Accent4 2 2 3 3 2 3 2" xfId="30058" xr:uid="{00000000-0005-0000-0000-0000EC300000}"/>
    <cellStyle name="40% - Accent4 2 2 3 3 2 4" xfId="25655" xr:uid="{00000000-0005-0000-0000-0000ED300000}"/>
    <cellStyle name="40% - Accent4 2 2 3 3 3" xfId="7809" xr:uid="{00000000-0005-0000-0000-0000EE300000}"/>
    <cellStyle name="40% - Accent4 2 2 3 3 3 2" xfId="12145" xr:uid="{00000000-0005-0000-0000-0000EF300000}"/>
    <cellStyle name="40% - Accent4 2 2 3 3 3 2 2" xfId="31615" xr:uid="{00000000-0005-0000-0000-0000F0300000}"/>
    <cellStyle name="40% - Accent4 2 2 3 3 3 3" xfId="27293" xr:uid="{00000000-0005-0000-0000-0000F1300000}"/>
    <cellStyle name="40% - Accent4 2 2 3 3 4" xfId="9528" xr:uid="{00000000-0005-0000-0000-0000F2300000}"/>
    <cellStyle name="40% - Accent4 2 2 3 3 4 2" xfId="28998" xr:uid="{00000000-0005-0000-0000-0000F3300000}"/>
    <cellStyle name="40% - Accent4 2 2 3 3 5" xfId="24502" xr:uid="{00000000-0005-0000-0000-0000F4300000}"/>
    <cellStyle name="40% - Accent4 2 2 3 4" xfId="5613" xr:uid="{00000000-0005-0000-0000-0000F5300000}"/>
    <cellStyle name="40% - Accent4 2 2 3 4 2" xfId="7811" xr:uid="{00000000-0005-0000-0000-0000F6300000}"/>
    <cellStyle name="40% - Accent4 2 2 3 4 2 2" xfId="12147" xr:uid="{00000000-0005-0000-0000-0000F7300000}"/>
    <cellStyle name="40% - Accent4 2 2 3 4 2 2 2" xfId="31617" xr:uid="{00000000-0005-0000-0000-0000F8300000}"/>
    <cellStyle name="40% - Accent4 2 2 3 4 2 3" xfId="27295" xr:uid="{00000000-0005-0000-0000-0000F9300000}"/>
    <cellStyle name="40% - Accent4 2 2 3 4 3" xfId="10058" xr:uid="{00000000-0005-0000-0000-0000FA300000}"/>
    <cellStyle name="40% - Accent4 2 2 3 4 3 2" xfId="29528" xr:uid="{00000000-0005-0000-0000-0000FB300000}"/>
    <cellStyle name="40% - Accent4 2 2 3 4 4" xfId="25100" xr:uid="{00000000-0005-0000-0000-0000FC300000}"/>
    <cellStyle name="40% - Accent4 2 2 3 5" xfId="7804" xr:uid="{00000000-0005-0000-0000-0000FD300000}"/>
    <cellStyle name="40% - Accent4 2 2 3 5 2" xfId="12140" xr:uid="{00000000-0005-0000-0000-0000FE300000}"/>
    <cellStyle name="40% - Accent4 2 2 3 5 2 2" xfId="31610" xr:uid="{00000000-0005-0000-0000-0000FF300000}"/>
    <cellStyle name="40% - Accent4 2 2 3 5 3" xfId="27288" xr:uid="{00000000-0005-0000-0000-000000310000}"/>
    <cellStyle name="40% - Accent4 2 2 3 6" xfId="8994" xr:uid="{00000000-0005-0000-0000-000001310000}"/>
    <cellStyle name="40% - Accent4 2 2 3 6 2" xfId="28468" xr:uid="{00000000-0005-0000-0000-000002310000}"/>
    <cellStyle name="40% - Accent4 2 2 3 7" xfId="23766" xr:uid="{00000000-0005-0000-0000-000003310000}"/>
    <cellStyle name="40% - Accent4 2 2 4" xfId="4227" xr:uid="{00000000-0005-0000-0000-000004310000}"/>
    <cellStyle name="40% - Accent4 2 2 4 2" xfId="4802" xr:uid="{00000000-0005-0000-0000-000005310000}"/>
    <cellStyle name="40% - Accent4 2 2 4 2 2" xfId="5428" xr:uid="{00000000-0005-0000-0000-000006310000}"/>
    <cellStyle name="40% - Accent4 2 2 4 2 2 2" xfId="6556" xr:uid="{00000000-0005-0000-0000-000007310000}"/>
    <cellStyle name="40% - Accent4 2 2 4 2 2 2 2" xfId="7815" xr:uid="{00000000-0005-0000-0000-000008310000}"/>
    <cellStyle name="40% - Accent4 2 2 4 2 2 2 2 2" xfId="12151" xr:uid="{00000000-0005-0000-0000-000009310000}"/>
    <cellStyle name="40% - Accent4 2 2 4 2 2 2 2 2 2" xfId="31621" xr:uid="{00000000-0005-0000-0000-00000A310000}"/>
    <cellStyle name="40% - Accent4 2 2 4 2 2 2 2 3" xfId="27299" xr:uid="{00000000-0005-0000-0000-00000B310000}"/>
    <cellStyle name="40% - Accent4 2 2 4 2 2 2 3" xfId="10972" xr:uid="{00000000-0005-0000-0000-00000C310000}"/>
    <cellStyle name="40% - Accent4 2 2 4 2 2 2 3 2" xfId="30442" xr:uid="{00000000-0005-0000-0000-00000D310000}"/>
    <cellStyle name="40% - Accent4 2 2 4 2 2 2 4" xfId="26041" xr:uid="{00000000-0005-0000-0000-00000E310000}"/>
    <cellStyle name="40% - Accent4 2 2 4 2 2 3" xfId="7814" xr:uid="{00000000-0005-0000-0000-00000F310000}"/>
    <cellStyle name="40% - Accent4 2 2 4 2 2 3 2" xfId="12150" xr:uid="{00000000-0005-0000-0000-000010310000}"/>
    <cellStyle name="40% - Accent4 2 2 4 2 2 3 2 2" xfId="31620" xr:uid="{00000000-0005-0000-0000-000011310000}"/>
    <cellStyle name="40% - Accent4 2 2 4 2 2 3 3" xfId="27298" xr:uid="{00000000-0005-0000-0000-000012310000}"/>
    <cellStyle name="40% - Accent4 2 2 4 2 2 4" xfId="9911" xr:uid="{00000000-0005-0000-0000-000013310000}"/>
    <cellStyle name="40% - Accent4 2 2 4 2 2 4 2" xfId="29381" xr:uid="{00000000-0005-0000-0000-000014310000}"/>
    <cellStyle name="40% - Accent4 2 2 4 2 2 5" xfId="24919" xr:uid="{00000000-0005-0000-0000-000015310000}"/>
    <cellStyle name="40% - Accent4 2 2 4 2 3" xfId="6020" xr:uid="{00000000-0005-0000-0000-000016310000}"/>
    <cellStyle name="40% - Accent4 2 2 4 2 3 2" xfId="7816" xr:uid="{00000000-0005-0000-0000-000017310000}"/>
    <cellStyle name="40% - Accent4 2 2 4 2 3 2 2" xfId="12152" xr:uid="{00000000-0005-0000-0000-000018310000}"/>
    <cellStyle name="40% - Accent4 2 2 4 2 3 2 2 2" xfId="31622" xr:uid="{00000000-0005-0000-0000-000019310000}"/>
    <cellStyle name="40% - Accent4 2 2 4 2 3 2 3" xfId="27300" xr:uid="{00000000-0005-0000-0000-00001A310000}"/>
    <cellStyle name="40% - Accent4 2 2 4 2 3 3" xfId="10441" xr:uid="{00000000-0005-0000-0000-00001B310000}"/>
    <cellStyle name="40% - Accent4 2 2 4 2 3 3 2" xfId="29911" xr:uid="{00000000-0005-0000-0000-00001C310000}"/>
    <cellStyle name="40% - Accent4 2 2 4 2 3 4" xfId="25505" xr:uid="{00000000-0005-0000-0000-00001D310000}"/>
    <cellStyle name="40% - Accent4 2 2 4 2 4" xfId="7813" xr:uid="{00000000-0005-0000-0000-00001E310000}"/>
    <cellStyle name="40% - Accent4 2 2 4 2 4 2" xfId="12149" xr:uid="{00000000-0005-0000-0000-00001F310000}"/>
    <cellStyle name="40% - Accent4 2 2 4 2 4 2 2" xfId="31619" xr:uid="{00000000-0005-0000-0000-000020310000}"/>
    <cellStyle name="40% - Accent4 2 2 4 2 4 3" xfId="27297" xr:uid="{00000000-0005-0000-0000-000021310000}"/>
    <cellStyle name="40% - Accent4 2 2 4 2 5" xfId="9381" xr:uid="{00000000-0005-0000-0000-000022310000}"/>
    <cellStyle name="40% - Accent4 2 2 4 2 5 2" xfId="28851" xr:uid="{00000000-0005-0000-0000-000023310000}"/>
    <cellStyle name="40% - Accent4 2 2 4 2 6" xfId="24304" xr:uid="{00000000-0005-0000-0000-000024310000}"/>
    <cellStyle name="40% - Accent4 2 2 4 3" xfId="5133" xr:uid="{00000000-0005-0000-0000-000025310000}"/>
    <cellStyle name="40% - Accent4 2 2 4 3 2" xfId="6289" xr:uid="{00000000-0005-0000-0000-000026310000}"/>
    <cellStyle name="40% - Accent4 2 2 4 3 2 2" xfId="7818" xr:uid="{00000000-0005-0000-0000-000027310000}"/>
    <cellStyle name="40% - Accent4 2 2 4 3 2 2 2" xfId="12154" xr:uid="{00000000-0005-0000-0000-000028310000}"/>
    <cellStyle name="40% - Accent4 2 2 4 3 2 2 2 2" xfId="31624" xr:uid="{00000000-0005-0000-0000-000029310000}"/>
    <cellStyle name="40% - Accent4 2 2 4 3 2 2 3" xfId="27302" xr:uid="{00000000-0005-0000-0000-00002A310000}"/>
    <cellStyle name="40% - Accent4 2 2 4 3 2 3" xfId="10706" xr:uid="{00000000-0005-0000-0000-00002B310000}"/>
    <cellStyle name="40% - Accent4 2 2 4 3 2 3 2" xfId="30176" xr:uid="{00000000-0005-0000-0000-00002C310000}"/>
    <cellStyle name="40% - Accent4 2 2 4 3 2 4" xfId="25774" xr:uid="{00000000-0005-0000-0000-00002D310000}"/>
    <cellStyle name="40% - Accent4 2 2 4 3 3" xfId="7817" xr:uid="{00000000-0005-0000-0000-00002E310000}"/>
    <cellStyle name="40% - Accent4 2 2 4 3 3 2" xfId="12153" xr:uid="{00000000-0005-0000-0000-00002F310000}"/>
    <cellStyle name="40% - Accent4 2 2 4 3 3 2 2" xfId="31623" xr:uid="{00000000-0005-0000-0000-000030310000}"/>
    <cellStyle name="40% - Accent4 2 2 4 3 3 3" xfId="27301" xr:uid="{00000000-0005-0000-0000-000031310000}"/>
    <cellStyle name="40% - Accent4 2 2 4 3 4" xfId="9646" xr:uid="{00000000-0005-0000-0000-000032310000}"/>
    <cellStyle name="40% - Accent4 2 2 4 3 4 2" xfId="29116" xr:uid="{00000000-0005-0000-0000-000033310000}"/>
    <cellStyle name="40% - Accent4 2 2 4 3 5" xfId="24624" xr:uid="{00000000-0005-0000-0000-000034310000}"/>
    <cellStyle name="40% - Accent4 2 2 4 4" xfId="5742" xr:uid="{00000000-0005-0000-0000-000035310000}"/>
    <cellStyle name="40% - Accent4 2 2 4 4 2" xfId="7819" xr:uid="{00000000-0005-0000-0000-000036310000}"/>
    <cellStyle name="40% - Accent4 2 2 4 4 2 2" xfId="12155" xr:uid="{00000000-0005-0000-0000-000037310000}"/>
    <cellStyle name="40% - Accent4 2 2 4 4 2 2 2" xfId="31625" xr:uid="{00000000-0005-0000-0000-000038310000}"/>
    <cellStyle name="40% - Accent4 2 2 4 4 2 3" xfId="27303" xr:uid="{00000000-0005-0000-0000-000039310000}"/>
    <cellStyle name="40% - Accent4 2 2 4 4 3" xfId="10176" xr:uid="{00000000-0005-0000-0000-00003A310000}"/>
    <cellStyle name="40% - Accent4 2 2 4 4 3 2" xfId="29646" xr:uid="{00000000-0005-0000-0000-00003B310000}"/>
    <cellStyle name="40% - Accent4 2 2 4 4 4" xfId="25227" xr:uid="{00000000-0005-0000-0000-00003C310000}"/>
    <cellStyle name="40% - Accent4 2 2 4 5" xfId="7812" xr:uid="{00000000-0005-0000-0000-00003D310000}"/>
    <cellStyle name="40% - Accent4 2 2 4 5 2" xfId="12148" xr:uid="{00000000-0005-0000-0000-00003E310000}"/>
    <cellStyle name="40% - Accent4 2 2 4 5 2 2" xfId="31618" xr:uid="{00000000-0005-0000-0000-00003F310000}"/>
    <cellStyle name="40% - Accent4 2 2 4 5 3" xfId="27296" xr:uid="{00000000-0005-0000-0000-000040310000}"/>
    <cellStyle name="40% - Accent4 2 2 4 6" xfId="9115" xr:uid="{00000000-0005-0000-0000-000041310000}"/>
    <cellStyle name="40% - Accent4 2 2 4 6 2" xfId="28586" xr:uid="{00000000-0005-0000-0000-000042310000}"/>
    <cellStyle name="40% - Accent4 2 2 4 7" xfId="24003" xr:uid="{00000000-0005-0000-0000-000043310000}"/>
    <cellStyle name="40% - Accent4 2 2 5" xfId="4597" xr:uid="{00000000-0005-0000-0000-000044310000}"/>
    <cellStyle name="40% - Accent4 2 2 5 2" xfId="5238" xr:uid="{00000000-0005-0000-0000-000045310000}"/>
    <cellStyle name="40% - Accent4 2 2 5 2 2" xfId="6372" xr:uid="{00000000-0005-0000-0000-000046310000}"/>
    <cellStyle name="40% - Accent4 2 2 5 2 2 2" xfId="7822" xr:uid="{00000000-0005-0000-0000-000047310000}"/>
    <cellStyle name="40% - Accent4 2 2 5 2 2 2 2" xfId="12158" xr:uid="{00000000-0005-0000-0000-000048310000}"/>
    <cellStyle name="40% - Accent4 2 2 5 2 2 2 2 2" xfId="31628" xr:uid="{00000000-0005-0000-0000-000049310000}"/>
    <cellStyle name="40% - Accent4 2 2 5 2 2 2 3" xfId="27306" xr:uid="{00000000-0005-0000-0000-00004A310000}"/>
    <cellStyle name="40% - Accent4 2 2 5 2 2 3" xfId="10788" xr:uid="{00000000-0005-0000-0000-00004B310000}"/>
    <cellStyle name="40% - Accent4 2 2 5 2 2 3 2" xfId="30258" xr:uid="{00000000-0005-0000-0000-00004C310000}"/>
    <cellStyle name="40% - Accent4 2 2 5 2 2 4" xfId="25857" xr:uid="{00000000-0005-0000-0000-00004D310000}"/>
    <cellStyle name="40% - Accent4 2 2 5 2 3" xfId="7821" xr:uid="{00000000-0005-0000-0000-00004E310000}"/>
    <cellStyle name="40% - Accent4 2 2 5 2 3 2" xfId="12157" xr:uid="{00000000-0005-0000-0000-00004F310000}"/>
    <cellStyle name="40% - Accent4 2 2 5 2 3 2 2" xfId="31627" xr:uid="{00000000-0005-0000-0000-000050310000}"/>
    <cellStyle name="40% - Accent4 2 2 5 2 3 3" xfId="27305" xr:uid="{00000000-0005-0000-0000-000051310000}"/>
    <cellStyle name="40% - Accent4 2 2 5 2 4" xfId="9727" xr:uid="{00000000-0005-0000-0000-000052310000}"/>
    <cellStyle name="40% - Accent4 2 2 5 2 4 2" xfId="29197" xr:uid="{00000000-0005-0000-0000-000053310000}"/>
    <cellStyle name="40% - Accent4 2 2 5 2 5" xfId="24729" xr:uid="{00000000-0005-0000-0000-000054310000}"/>
    <cellStyle name="40% - Accent4 2 2 5 3" xfId="5834" xr:uid="{00000000-0005-0000-0000-000055310000}"/>
    <cellStyle name="40% - Accent4 2 2 5 3 2" xfId="7823" xr:uid="{00000000-0005-0000-0000-000056310000}"/>
    <cellStyle name="40% - Accent4 2 2 5 3 2 2" xfId="12159" xr:uid="{00000000-0005-0000-0000-000057310000}"/>
    <cellStyle name="40% - Accent4 2 2 5 3 2 2 2" xfId="31629" xr:uid="{00000000-0005-0000-0000-000058310000}"/>
    <cellStyle name="40% - Accent4 2 2 5 3 2 3" xfId="27307" xr:uid="{00000000-0005-0000-0000-000059310000}"/>
    <cellStyle name="40% - Accent4 2 2 5 3 3" xfId="10257" xr:uid="{00000000-0005-0000-0000-00005A310000}"/>
    <cellStyle name="40% - Accent4 2 2 5 3 3 2" xfId="29727" xr:uid="{00000000-0005-0000-0000-00005B310000}"/>
    <cellStyle name="40% - Accent4 2 2 5 3 4" xfId="25319" xr:uid="{00000000-0005-0000-0000-00005C310000}"/>
    <cellStyle name="40% - Accent4 2 2 5 4" xfId="7820" xr:uid="{00000000-0005-0000-0000-00005D310000}"/>
    <cellStyle name="40% - Accent4 2 2 5 4 2" xfId="12156" xr:uid="{00000000-0005-0000-0000-00005E310000}"/>
    <cellStyle name="40% - Accent4 2 2 5 4 2 2" xfId="31626" xr:uid="{00000000-0005-0000-0000-00005F310000}"/>
    <cellStyle name="40% - Accent4 2 2 5 4 3" xfId="27304" xr:uid="{00000000-0005-0000-0000-000060310000}"/>
    <cellStyle name="40% - Accent4 2 2 5 5" xfId="9197" xr:uid="{00000000-0005-0000-0000-000061310000}"/>
    <cellStyle name="40% - Accent4 2 2 5 5 2" xfId="28667" xr:uid="{00000000-0005-0000-0000-000062310000}"/>
    <cellStyle name="40% - Accent4 2 2 5 6" xfId="24108" xr:uid="{00000000-0005-0000-0000-000063310000}"/>
    <cellStyle name="40% - Accent4 2 2 6" xfId="4942" xr:uid="{00000000-0005-0000-0000-000064310000}"/>
    <cellStyle name="40% - Accent4 2 2 6 2" xfId="6104" xr:uid="{00000000-0005-0000-0000-000065310000}"/>
    <cellStyle name="40% - Accent4 2 2 6 2 2" xfId="7825" xr:uid="{00000000-0005-0000-0000-000066310000}"/>
    <cellStyle name="40% - Accent4 2 2 6 2 2 2" xfId="12161" xr:uid="{00000000-0005-0000-0000-000067310000}"/>
    <cellStyle name="40% - Accent4 2 2 6 2 2 2 2" xfId="31631" xr:uid="{00000000-0005-0000-0000-000068310000}"/>
    <cellStyle name="40% - Accent4 2 2 6 2 2 3" xfId="27309" xr:uid="{00000000-0005-0000-0000-000069310000}"/>
    <cellStyle name="40% - Accent4 2 2 6 2 3" xfId="10522" xr:uid="{00000000-0005-0000-0000-00006A310000}"/>
    <cellStyle name="40% - Accent4 2 2 6 2 3 2" xfId="29992" xr:uid="{00000000-0005-0000-0000-00006B310000}"/>
    <cellStyle name="40% - Accent4 2 2 6 2 4" xfId="25589" xr:uid="{00000000-0005-0000-0000-00006C310000}"/>
    <cellStyle name="40% - Accent4 2 2 6 3" xfId="7824" xr:uid="{00000000-0005-0000-0000-00006D310000}"/>
    <cellStyle name="40% - Accent4 2 2 6 3 2" xfId="12160" xr:uid="{00000000-0005-0000-0000-00006E310000}"/>
    <cellStyle name="40% - Accent4 2 2 6 3 2 2" xfId="31630" xr:uid="{00000000-0005-0000-0000-00006F310000}"/>
    <cellStyle name="40% - Accent4 2 2 6 3 3" xfId="27308" xr:uid="{00000000-0005-0000-0000-000070310000}"/>
    <cellStyle name="40% - Accent4 2 2 6 4" xfId="9462" xr:uid="{00000000-0005-0000-0000-000071310000}"/>
    <cellStyle name="40% - Accent4 2 2 6 4 2" xfId="28932" xr:uid="{00000000-0005-0000-0000-000072310000}"/>
    <cellStyle name="40% - Accent4 2 2 6 5" xfId="24436" xr:uid="{00000000-0005-0000-0000-000073310000}"/>
    <cellStyle name="40% - Accent4 2 2 7" xfId="5546" xr:uid="{00000000-0005-0000-0000-000074310000}"/>
    <cellStyle name="40% - Accent4 2 2 7 2" xfId="7826" xr:uid="{00000000-0005-0000-0000-000075310000}"/>
    <cellStyle name="40% - Accent4 2 2 7 2 2" xfId="12162" xr:uid="{00000000-0005-0000-0000-000076310000}"/>
    <cellStyle name="40% - Accent4 2 2 7 2 2 2" xfId="31632" xr:uid="{00000000-0005-0000-0000-000077310000}"/>
    <cellStyle name="40% - Accent4 2 2 7 2 3" xfId="27310" xr:uid="{00000000-0005-0000-0000-000078310000}"/>
    <cellStyle name="40% - Accent4 2 2 7 3" xfId="9992" xr:uid="{00000000-0005-0000-0000-000079310000}"/>
    <cellStyle name="40% - Accent4 2 2 7 3 2" xfId="29462" xr:uid="{00000000-0005-0000-0000-00007A310000}"/>
    <cellStyle name="40% - Accent4 2 2 7 4" xfId="25034" xr:uid="{00000000-0005-0000-0000-00007B310000}"/>
    <cellStyle name="40% - Accent4 2 2 8" xfId="7779" xr:uid="{00000000-0005-0000-0000-00007C310000}"/>
    <cellStyle name="40% - Accent4 2 2 8 2" xfId="12115" xr:uid="{00000000-0005-0000-0000-00007D310000}"/>
    <cellStyle name="40% - Accent4 2 2 8 2 2" xfId="31585" xr:uid="{00000000-0005-0000-0000-00007E310000}"/>
    <cellStyle name="40% - Accent4 2 2 8 3" xfId="27263" xr:uid="{00000000-0005-0000-0000-00007F310000}"/>
    <cellStyle name="40% - Accent4 2 2 9" xfId="8928" xr:uid="{00000000-0005-0000-0000-000080310000}"/>
    <cellStyle name="40% - Accent4 2 2 9 2" xfId="28402" xr:uid="{00000000-0005-0000-0000-000081310000}"/>
    <cellStyle name="40% - Accent4 2 3" xfId="2719" xr:uid="{00000000-0005-0000-0000-000082310000}"/>
    <cellStyle name="40% - Accent4 2 3 10" xfId="23574" xr:uid="{00000000-0005-0000-0000-000083310000}"/>
    <cellStyle name="40% - Accent4 2 3 2" xfId="2882" xr:uid="{00000000-0005-0000-0000-000084310000}"/>
    <cellStyle name="40% - Accent4 2 3 2 2" xfId="3076" xr:uid="{00000000-0005-0000-0000-000085310000}"/>
    <cellStyle name="40% - Accent4 2 3 2 2 2" xfId="4703" xr:uid="{00000000-0005-0000-0000-000086310000}"/>
    <cellStyle name="40% - Accent4 2 3 2 2 2 2" xfId="5337" xr:uid="{00000000-0005-0000-0000-000087310000}"/>
    <cellStyle name="40% - Accent4 2 3 2 2 2 2 2" xfId="6471" xr:uid="{00000000-0005-0000-0000-000088310000}"/>
    <cellStyle name="40% - Accent4 2 3 2 2 2 2 2 2" xfId="7832" xr:uid="{00000000-0005-0000-0000-000089310000}"/>
    <cellStyle name="40% - Accent4 2 3 2 2 2 2 2 2 2" xfId="12168" xr:uid="{00000000-0005-0000-0000-00008A310000}"/>
    <cellStyle name="40% - Accent4 2 3 2 2 2 2 2 2 2 2" xfId="31638" xr:uid="{00000000-0005-0000-0000-00008B310000}"/>
    <cellStyle name="40% - Accent4 2 3 2 2 2 2 2 2 3" xfId="27316" xr:uid="{00000000-0005-0000-0000-00008C310000}"/>
    <cellStyle name="40% - Accent4 2 3 2 2 2 2 2 3" xfId="10887" xr:uid="{00000000-0005-0000-0000-00008D310000}"/>
    <cellStyle name="40% - Accent4 2 3 2 2 2 2 2 3 2" xfId="30357" xr:uid="{00000000-0005-0000-0000-00008E310000}"/>
    <cellStyle name="40% - Accent4 2 3 2 2 2 2 2 4" xfId="25956" xr:uid="{00000000-0005-0000-0000-00008F310000}"/>
    <cellStyle name="40% - Accent4 2 3 2 2 2 2 3" xfId="7831" xr:uid="{00000000-0005-0000-0000-000090310000}"/>
    <cellStyle name="40% - Accent4 2 3 2 2 2 2 3 2" xfId="12167" xr:uid="{00000000-0005-0000-0000-000091310000}"/>
    <cellStyle name="40% - Accent4 2 3 2 2 2 2 3 2 2" xfId="31637" xr:uid="{00000000-0005-0000-0000-000092310000}"/>
    <cellStyle name="40% - Accent4 2 3 2 2 2 2 3 3" xfId="27315" xr:uid="{00000000-0005-0000-0000-000093310000}"/>
    <cellStyle name="40% - Accent4 2 3 2 2 2 2 4" xfId="9826" xr:uid="{00000000-0005-0000-0000-000094310000}"/>
    <cellStyle name="40% - Accent4 2 3 2 2 2 2 4 2" xfId="29296" xr:uid="{00000000-0005-0000-0000-000095310000}"/>
    <cellStyle name="40% - Accent4 2 3 2 2 2 2 5" xfId="24828" xr:uid="{00000000-0005-0000-0000-000096310000}"/>
    <cellStyle name="40% - Accent4 2 3 2 2 2 3" xfId="5934" xr:uid="{00000000-0005-0000-0000-000097310000}"/>
    <cellStyle name="40% - Accent4 2 3 2 2 2 3 2" xfId="7833" xr:uid="{00000000-0005-0000-0000-000098310000}"/>
    <cellStyle name="40% - Accent4 2 3 2 2 2 3 2 2" xfId="12169" xr:uid="{00000000-0005-0000-0000-000099310000}"/>
    <cellStyle name="40% - Accent4 2 3 2 2 2 3 2 2 2" xfId="31639" xr:uid="{00000000-0005-0000-0000-00009A310000}"/>
    <cellStyle name="40% - Accent4 2 3 2 2 2 3 2 3" xfId="27317" xr:uid="{00000000-0005-0000-0000-00009B310000}"/>
    <cellStyle name="40% - Accent4 2 3 2 2 2 3 3" xfId="10356" xr:uid="{00000000-0005-0000-0000-00009C310000}"/>
    <cellStyle name="40% - Accent4 2 3 2 2 2 3 3 2" xfId="29826" xr:uid="{00000000-0005-0000-0000-00009D310000}"/>
    <cellStyle name="40% - Accent4 2 3 2 2 2 3 4" xfId="25419" xr:uid="{00000000-0005-0000-0000-00009E310000}"/>
    <cellStyle name="40% - Accent4 2 3 2 2 2 4" xfId="7830" xr:uid="{00000000-0005-0000-0000-00009F310000}"/>
    <cellStyle name="40% - Accent4 2 3 2 2 2 4 2" xfId="12166" xr:uid="{00000000-0005-0000-0000-0000A0310000}"/>
    <cellStyle name="40% - Accent4 2 3 2 2 2 4 2 2" xfId="31636" xr:uid="{00000000-0005-0000-0000-0000A1310000}"/>
    <cellStyle name="40% - Accent4 2 3 2 2 2 4 3" xfId="27314" xr:uid="{00000000-0005-0000-0000-0000A2310000}"/>
    <cellStyle name="40% - Accent4 2 3 2 2 2 5" xfId="9296" xr:uid="{00000000-0005-0000-0000-0000A3310000}"/>
    <cellStyle name="40% - Accent4 2 3 2 2 2 5 2" xfId="28766" xr:uid="{00000000-0005-0000-0000-0000A4310000}"/>
    <cellStyle name="40% - Accent4 2 3 2 2 2 6" xfId="24214" xr:uid="{00000000-0005-0000-0000-0000A5310000}"/>
    <cellStyle name="40% - Accent4 2 3 2 2 3" xfId="5041" xr:uid="{00000000-0005-0000-0000-0000A6310000}"/>
    <cellStyle name="40% - Accent4 2 3 2 2 3 2" xfId="6203" xr:uid="{00000000-0005-0000-0000-0000A7310000}"/>
    <cellStyle name="40% - Accent4 2 3 2 2 3 2 2" xfId="7835" xr:uid="{00000000-0005-0000-0000-0000A8310000}"/>
    <cellStyle name="40% - Accent4 2 3 2 2 3 2 2 2" xfId="12171" xr:uid="{00000000-0005-0000-0000-0000A9310000}"/>
    <cellStyle name="40% - Accent4 2 3 2 2 3 2 2 2 2" xfId="31641" xr:uid="{00000000-0005-0000-0000-0000AA310000}"/>
    <cellStyle name="40% - Accent4 2 3 2 2 3 2 2 3" xfId="27319" xr:uid="{00000000-0005-0000-0000-0000AB310000}"/>
    <cellStyle name="40% - Accent4 2 3 2 2 3 2 3" xfId="10621" xr:uid="{00000000-0005-0000-0000-0000AC310000}"/>
    <cellStyle name="40% - Accent4 2 3 2 2 3 2 3 2" xfId="30091" xr:uid="{00000000-0005-0000-0000-0000AD310000}"/>
    <cellStyle name="40% - Accent4 2 3 2 2 3 2 4" xfId="25688" xr:uid="{00000000-0005-0000-0000-0000AE310000}"/>
    <cellStyle name="40% - Accent4 2 3 2 2 3 3" xfId="7834" xr:uid="{00000000-0005-0000-0000-0000AF310000}"/>
    <cellStyle name="40% - Accent4 2 3 2 2 3 3 2" xfId="12170" xr:uid="{00000000-0005-0000-0000-0000B0310000}"/>
    <cellStyle name="40% - Accent4 2 3 2 2 3 3 2 2" xfId="31640" xr:uid="{00000000-0005-0000-0000-0000B1310000}"/>
    <cellStyle name="40% - Accent4 2 3 2 2 3 3 3" xfId="27318" xr:uid="{00000000-0005-0000-0000-0000B2310000}"/>
    <cellStyle name="40% - Accent4 2 3 2 2 3 4" xfId="9561" xr:uid="{00000000-0005-0000-0000-0000B3310000}"/>
    <cellStyle name="40% - Accent4 2 3 2 2 3 4 2" xfId="29031" xr:uid="{00000000-0005-0000-0000-0000B4310000}"/>
    <cellStyle name="40% - Accent4 2 3 2 2 3 5" xfId="24535" xr:uid="{00000000-0005-0000-0000-0000B5310000}"/>
    <cellStyle name="40% - Accent4 2 3 2 2 4" xfId="5646" xr:uid="{00000000-0005-0000-0000-0000B6310000}"/>
    <cellStyle name="40% - Accent4 2 3 2 2 4 2" xfId="7836" xr:uid="{00000000-0005-0000-0000-0000B7310000}"/>
    <cellStyle name="40% - Accent4 2 3 2 2 4 2 2" xfId="12172" xr:uid="{00000000-0005-0000-0000-0000B8310000}"/>
    <cellStyle name="40% - Accent4 2 3 2 2 4 2 2 2" xfId="31642" xr:uid="{00000000-0005-0000-0000-0000B9310000}"/>
    <cellStyle name="40% - Accent4 2 3 2 2 4 2 3" xfId="27320" xr:uid="{00000000-0005-0000-0000-0000BA310000}"/>
    <cellStyle name="40% - Accent4 2 3 2 2 4 3" xfId="10091" xr:uid="{00000000-0005-0000-0000-0000BB310000}"/>
    <cellStyle name="40% - Accent4 2 3 2 2 4 3 2" xfId="29561" xr:uid="{00000000-0005-0000-0000-0000BC310000}"/>
    <cellStyle name="40% - Accent4 2 3 2 2 4 4" xfId="25133" xr:uid="{00000000-0005-0000-0000-0000BD310000}"/>
    <cellStyle name="40% - Accent4 2 3 2 2 5" xfId="7829" xr:uid="{00000000-0005-0000-0000-0000BE310000}"/>
    <cellStyle name="40% - Accent4 2 3 2 2 5 2" xfId="12165" xr:uid="{00000000-0005-0000-0000-0000BF310000}"/>
    <cellStyle name="40% - Accent4 2 3 2 2 5 2 2" xfId="31635" xr:uid="{00000000-0005-0000-0000-0000C0310000}"/>
    <cellStyle name="40% - Accent4 2 3 2 2 5 3" xfId="27313" xr:uid="{00000000-0005-0000-0000-0000C1310000}"/>
    <cellStyle name="40% - Accent4 2 3 2 2 6" xfId="9027" xr:uid="{00000000-0005-0000-0000-0000C2310000}"/>
    <cellStyle name="40% - Accent4 2 3 2 2 6 2" xfId="28501" xr:uid="{00000000-0005-0000-0000-0000C3310000}"/>
    <cellStyle name="40% - Accent4 2 3 2 2 7" xfId="23885" xr:uid="{00000000-0005-0000-0000-0000C4310000}"/>
    <cellStyle name="40% - Accent4 2 3 2 3" xfId="4264" xr:uid="{00000000-0005-0000-0000-0000C5310000}"/>
    <cellStyle name="40% - Accent4 2 3 2 3 2" xfId="4839" xr:uid="{00000000-0005-0000-0000-0000C6310000}"/>
    <cellStyle name="40% - Accent4 2 3 2 3 2 2" xfId="5464" xr:uid="{00000000-0005-0000-0000-0000C7310000}"/>
    <cellStyle name="40% - Accent4 2 3 2 3 2 2 2" xfId="6592" xr:uid="{00000000-0005-0000-0000-0000C8310000}"/>
    <cellStyle name="40% - Accent4 2 3 2 3 2 2 2 2" xfId="7840" xr:uid="{00000000-0005-0000-0000-0000C9310000}"/>
    <cellStyle name="40% - Accent4 2 3 2 3 2 2 2 2 2" xfId="12176" xr:uid="{00000000-0005-0000-0000-0000CA310000}"/>
    <cellStyle name="40% - Accent4 2 3 2 3 2 2 2 2 2 2" xfId="31646" xr:uid="{00000000-0005-0000-0000-0000CB310000}"/>
    <cellStyle name="40% - Accent4 2 3 2 3 2 2 2 2 3" xfId="27324" xr:uid="{00000000-0005-0000-0000-0000CC310000}"/>
    <cellStyle name="40% - Accent4 2 3 2 3 2 2 2 3" xfId="11008" xr:uid="{00000000-0005-0000-0000-0000CD310000}"/>
    <cellStyle name="40% - Accent4 2 3 2 3 2 2 2 3 2" xfId="30478" xr:uid="{00000000-0005-0000-0000-0000CE310000}"/>
    <cellStyle name="40% - Accent4 2 3 2 3 2 2 2 4" xfId="26077" xr:uid="{00000000-0005-0000-0000-0000CF310000}"/>
    <cellStyle name="40% - Accent4 2 3 2 3 2 2 3" xfId="7839" xr:uid="{00000000-0005-0000-0000-0000D0310000}"/>
    <cellStyle name="40% - Accent4 2 3 2 3 2 2 3 2" xfId="12175" xr:uid="{00000000-0005-0000-0000-0000D1310000}"/>
    <cellStyle name="40% - Accent4 2 3 2 3 2 2 3 2 2" xfId="31645" xr:uid="{00000000-0005-0000-0000-0000D2310000}"/>
    <cellStyle name="40% - Accent4 2 3 2 3 2 2 3 3" xfId="27323" xr:uid="{00000000-0005-0000-0000-0000D3310000}"/>
    <cellStyle name="40% - Accent4 2 3 2 3 2 2 4" xfId="9947" xr:uid="{00000000-0005-0000-0000-0000D4310000}"/>
    <cellStyle name="40% - Accent4 2 3 2 3 2 2 4 2" xfId="29417" xr:uid="{00000000-0005-0000-0000-0000D5310000}"/>
    <cellStyle name="40% - Accent4 2 3 2 3 2 2 5" xfId="24955" xr:uid="{00000000-0005-0000-0000-0000D6310000}"/>
    <cellStyle name="40% - Accent4 2 3 2 3 2 3" xfId="6057" xr:uid="{00000000-0005-0000-0000-0000D7310000}"/>
    <cellStyle name="40% - Accent4 2 3 2 3 2 3 2" xfId="7841" xr:uid="{00000000-0005-0000-0000-0000D8310000}"/>
    <cellStyle name="40% - Accent4 2 3 2 3 2 3 2 2" xfId="12177" xr:uid="{00000000-0005-0000-0000-0000D9310000}"/>
    <cellStyle name="40% - Accent4 2 3 2 3 2 3 2 2 2" xfId="31647" xr:uid="{00000000-0005-0000-0000-0000DA310000}"/>
    <cellStyle name="40% - Accent4 2 3 2 3 2 3 2 3" xfId="27325" xr:uid="{00000000-0005-0000-0000-0000DB310000}"/>
    <cellStyle name="40% - Accent4 2 3 2 3 2 3 3" xfId="10477" xr:uid="{00000000-0005-0000-0000-0000DC310000}"/>
    <cellStyle name="40% - Accent4 2 3 2 3 2 3 3 2" xfId="29947" xr:uid="{00000000-0005-0000-0000-0000DD310000}"/>
    <cellStyle name="40% - Accent4 2 3 2 3 2 3 4" xfId="25542" xr:uid="{00000000-0005-0000-0000-0000DE310000}"/>
    <cellStyle name="40% - Accent4 2 3 2 3 2 4" xfId="7838" xr:uid="{00000000-0005-0000-0000-0000DF310000}"/>
    <cellStyle name="40% - Accent4 2 3 2 3 2 4 2" xfId="12174" xr:uid="{00000000-0005-0000-0000-0000E0310000}"/>
    <cellStyle name="40% - Accent4 2 3 2 3 2 4 2 2" xfId="31644" xr:uid="{00000000-0005-0000-0000-0000E1310000}"/>
    <cellStyle name="40% - Accent4 2 3 2 3 2 4 3" xfId="27322" xr:uid="{00000000-0005-0000-0000-0000E2310000}"/>
    <cellStyle name="40% - Accent4 2 3 2 3 2 5" xfId="9417" xr:uid="{00000000-0005-0000-0000-0000E3310000}"/>
    <cellStyle name="40% - Accent4 2 3 2 3 2 5 2" xfId="28887" xr:uid="{00000000-0005-0000-0000-0000E4310000}"/>
    <cellStyle name="40% - Accent4 2 3 2 3 2 6" xfId="24341" xr:uid="{00000000-0005-0000-0000-0000E5310000}"/>
    <cellStyle name="40% - Accent4 2 3 2 3 3" xfId="5169" xr:uid="{00000000-0005-0000-0000-0000E6310000}"/>
    <cellStyle name="40% - Accent4 2 3 2 3 3 2" xfId="6325" xr:uid="{00000000-0005-0000-0000-0000E7310000}"/>
    <cellStyle name="40% - Accent4 2 3 2 3 3 2 2" xfId="7843" xr:uid="{00000000-0005-0000-0000-0000E8310000}"/>
    <cellStyle name="40% - Accent4 2 3 2 3 3 2 2 2" xfId="12179" xr:uid="{00000000-0005-0000-0000-0000E9310000}"/>
    <cellStyle name="40% - Accent4 2 3 2 3 3 2 2 2 2" xfId="31649" xr:uid="{00000000-0005-0000-0000-0000EA310000}"/>
    <cellStyle name="40% - Accent4 2 3 2 3 3 2 2 3" xfId="27327" xr:uid="{00000000-0005-0000-0000-0000EB310000}"/>
    <cellStyle name="40% - Accent4 2 3 2 3 3 2 3" xfId="10742" xr:uid="{00000000-0005-0000-0000-0000EC310000}"/>
    <cellStyle name="40% - Accent4 2 3 2 3 3 2 3 2" xfId="30212" xr:uid="{00000000-0005-0000-0000-0000ED310000}"/>
    <cellStyle name="40% - Accent4 2 3 2 3 3 2 4" xfId="25810" xr:uid="{00000000-0005-0000-0000-0000EE310000}"/>
    <cellStyle name="40% - Accent4 2 3 2 3 3 3" xfId="7842" xr:uid="{00000000-0005-0000-0000-0000EF310000}"/>
    <cellStyle name="40% - Accent4 2 3 2 3 3 3 2" xfId="12178" xr:uid="{00000000-0005-0000-0000-0000F0310000}"/>
    <cellStyle name="40% - Accent4 2 3 2 3 3 3 2 2" xfId="31648" xr:uid="{00000000-0005-0000-0000-0000F1310000}"/>
    <cellStyle name="40% - Accent4 2 3 2 3 3 3 3" xfId="27326" xr:uid="{00000000-0005-0000-0000-0000F2310000}"/>
    <cellStyle name="40% - Accent4 2 3 2 3 3 4" xfId="9682" xr:uid="{00000000-0005-0000-0000-0000F3310000}"/>
    <cellStyle name="40% - Accent4 2 3 2 3 3 4 2" xfId="29152" xr:uid="{00000000-0005-0000-0000-0000F4310000}"/>
    <cellStyle name="40% - Accent4 2 3 2 3 3 5" xfId="24660" xr:uid="{00000000-0005-0000-0000-0000F5310000}"/>
    <cellStyle name="40% - Accent4 2 3 2 3 4" xfId="5778" xr:uid="{00000000-0005-0000-0000-0000F6310000}"/>
    <cellStyle name="40% - Accent4 2 3 2 3 4 2" xfId="7844" xr:uid="{00000000-0005-0000-0000-0000F7310000}"/>
    <cellStyle name="40% - Accent4 2 3 2 3 4 2 2" xfId="12180" xr:uid="{00000000-0005-0000-0000-0000F8310000}"/>
    <cellStyle name="40% - Accent4 2 3 2 3 4 2 2 2" xfId="31650" xr:uid="{00000000-0005-0000-0000-0000F9310000}"/>
    <cellStyle name="40% - Accent4 2 3 2 3 4 2 3" xfId="27328" xr:uid="{00000000-0005-0000-0000-0000FA310000}"/>
    <cellStyle name="40% - Accent4 2 3 2 3 4 3" xfId="10212" xr:uid="{00000000-0005-0000-0000-0000FB310000}"/>
    <cellStyle name="40% - Accent4 2 3 2 3 4 3 2" xfId="29682" xr:uid="{00000000-0005-0000-0000-0000FC310000}"/>
    <cellStyle name="40% - Accent4 2 3 2 3 4 4" xfId="25263" xr:uid="{00000000-0005-0000-0000-0000FD310000}"/>
    <cellStyle name="40% - Accent4 2 3 2 3 5" xfId="7837" xr:uid="{00000000-0005-0000-0000-0000FE310000}"/>
    <cellStyle name="40% - Accent4 2 3 2 3 5 2" xfId="12173" xr:uid="{00000000-0005-0000-0000-0000FF310000}"/>
    <cellStyle name="40% - Accent4 2 3 2 3 5 2 2" xfId="31643" xr:uid="{00000000-0005-0000-0000-000000320000}"/>
    <cellStyle name="40% - Accent4 2 3 2 3 5 3" xfId="27321" xr:uid="{00000000-0005-0000-0000-000001320000}"/>
    <cellStyle name="40% - Accent4 2 3 2 3 6" xfId="9151" xr:uid="{00000000-0005-0000-0000-000002320000}"/>
    <cellStyle name="40% - Accent4 2 3 2 3 6 2" xfId="28622" xr:uid="{00000000-0005-0000-0000-000003320000}"/>
    <cellStyle name="40% - Accent4 2 3 2 3 7" xfId="24040" xr:uid="{00000000-0005-0000-0000-000004320000}"/>
    <cellStyle name="40% - Accent4 2 3 2 4" xfId="4631" xr:uid="{00000000-0005-0000-0000-000005320000}"/>
    <cellStyle name="40% - Accent4 2 3 2 4 2" xfId="5271" xr:uid="{00000000-0005-0000-0000-000006320000}"/>
    <cellStyle name="40% - Accent4 2 3 2 4 2 2" xfId="6405" xr:uid="{00000000-0005-0000-0000-000007320000}"/>
    <cellStyle name="40% - Accent4 2 3 2 4 2 2 2" xfId="7847" xr:uid="{00000000-0005-0000-0000-000008320000}"/>
    <cellStyle name="40% - Accent4 2 3 2 4 2 2 2 2" xfId="12183" xr:uid="{00000000-0005-0000-0000-000009320000}"/>
    <cellStyle name="40% - Accent4 2 3 2 4 2 2 2 2 2" xfId="31653" xr:uid="{00000000-0005-0000-0000-00000A320000}"/>
    <cellStyle name="40% - Accent4 2 3 2 4 2 2 2 3" xfId="27331" xr:uid="{00000000-0005-0000-0000-00000B320000}"/>
    <cellStyle name="40% - Accent4 2 3 2 4 2 2 3" xfId="10821" xr:uid="{00000000-0005-0000-0000-00000C320000}"/>
    <cellStyle name="40% - Accent4 2 3 2 4 2 2 3 2" xfId="30291" xr:uid="{00000000-0005-0000-0000-00000D320000}"/>
    <cellStyle name="40% - Accent4 2 3 2 4 2 2 4" xfId="25890" xr:uid="{00000000-0005-0000-0000-00000E320000}"/>
    <cellStyle name="40% - Accent4 2 3 2 4 2 3" xfId="7846" xr:uid="{00000000-0005-0000-0000-00000F320000}"/>
    <cellStyle name="40% - Accent4 2 3 2 4 2 3 2" xfId="12182" xr:uid="{00000000-0005-0000-0000-000010320000}"/>
    <cellStyle name="40% - Accent4 2 3 2 4 2 3 2 2" xfId="31652" xr:uid="{00000000-0005-0000-0000-000011320000}"/>
    <cellStyle name="40% - Accent4 2 3 2 4 2 3 3" xfId="27330" xr:uid="{00000000-0005-0000-0000-000012320000}"/>
    <cellStyle name="40% - Accent4 2 3 2 4 2 4" xfId="9760" xr:uid="{00000000-0005-0000-0000-000013320000}"/>
    <cellStyle name="40% - Accent4 2 3 2 4 2 4 2" xfId="29230" xr:uid="{00000000-0005-0000-0000-000014320000}"/>
    <cellStyle name="40% - Accent4 2 3 2 4 2 5" xfId="24762" xr:uid="{00000000-0005-0000-0000-000015320000}"/>
    <cellStyle name="40% - Accent4 2 3 2 4 3" xfId="5868" xr:uid="{00000000-0005-0000-0000-000016320000}"/>
    <cellStyle name="40% - Accent4 2 3 2 4 3 2" xfId="7848" xr:uid="{00000000-0005-0000-0000-000017320000}"/>
    <cellStyle name="40% - Accent4 2 3 2 4 3 2 2" xfId="12184" xr:uid="{00000000-0005-0000-0000-000018320000}"/>
    <cellStyle name="40% - Accent4 2 3 2 4 3 2 2 2" xfId="31654" xr:uid="{00000000-0005-0000-0000-000019320000}"/>
    <cellStyle name="40% - Accent4 2 3 2 4 3 2 3" xfId="27332" xr:uid="{00000000-0005-0000-0000-00001A320000}"/>
    <cellStyle name="40% - Accent4 2 3 2 4 3 3" xfId="10290" xr:uid="{00000000-0005-0000-0000-00001B320000}"/>
    <cellStyle name="40% - Accent4 2 3 2 4 3 3 2" xfId="29760" xr:uid="{00000000-0005-0000-0000-00001C320000}"/>
    <cellStyle name="40% - Accent4 2 3 2 4 3 4" xfId="25353" xr:uid="{00000000-0005-0000-0000-00001D320000}"/>
    <cellStyle name="40% - Accent4 2 3 2 4 4" xfId="7845" xr:uid="{00000000-0005-0000-0000-00001E320000}"/>
    <cellStyle name="40% - Accent4 2 3 2 4 4 2" xfId="12181" xr:uid="{00000000-0005-0000-0000-00001F320000}"/>
    <cellStyle name="40% - Accent4 2 3 2 4 4 2 2" xfId="31651" xr:uid="{00000000-0005-0000-0000-000020320000}"/>
    <cellStyle name="40% - Accent4 2 3 2 4 4 3" xfId="27329" xr:uid="{00000000-0005-0000-0000-000021320000}"/>
    <cellStyle name="40% - Accent4 2 3 2 4 5" xfId="9230" xr:uid="{00000000-0005-0000-0000-000022320000}"/>
    <cellStyle name="40% - Accent4 2 3 2 4 5 2" xfId="28700" xr:uid="{00000000-0005-0000-0000-000023320000}"/>
    <cellStyle name="40% - Accent4 2 3 2 4 6" xfId="24142" xr:uid="{00000000-0005-0000-0000-000024320000}"/>
    <cellStyle name="40% - Accent4 2 3 2 5" xfId="4975" xr:uid="{00000000-0005-0000-0000-000025320000}"/>
    <cellStyle name="40% - Accent4 2 3 2 5 2" xfId="6137" xr:uid="{00000000-0005-0000-0000-000026320000}"/>
    <cellStyle name="40% - Accent4 2 3 2 5 2 2" xfId="7850" xr:uid="{00000000-0005-0000-0000-000027320000}"/>
    <cellStyle name="40% - Accent4 2 3 2 5 2 2 2" xfId="12186" xr:uid="{00000000-0005-0000-0000-000028320000}"/>
    <cellStyle name="40% - Accent4 2 3 2 5 2 2 2 2" xfId="31656" xr:uid="{00000000-0005-0000-0000-000029320000}"/>
    <cellStyle name="40% - Accent4 2 3 2 5 2 2 3" xfId="27334" xr:uid="{00000000-0005-0000-0000-00002A320000}"/>
    <cellStyle name="40% - Accent4 2 3 2 5 2 3" xfId="10555" xr:uid="{00000000-0005-0000-0000-00002B320000}"/>
    <cellStyle name="40% - Accent4 2 3 2 5 2 3 2" xfId="30025" xr:uid="{00000000-0005-0000-0000-00002C320000}"/>
    <cellStyle name="40% - Accent4 2 3 2 5 2 4" xfId="25622" xr:uid="{00000000-0005-0000-0000-00002D320000}"/>
    <cellStyle name="40% - Accent4 2 3 2 5 3" xfId="7849" xr:uid="{00000000-0005-0000-0000-00002E320000}"/>
    <cellStyle name="40% - Accent4 2 3 2 5 3 2" xfId="12185" xr:uid="{00000000-0005-0000-0000-00002F320000}"/>
    <cellStyle name="40% - Accent4 2 3 2 5 3 2 2" xfId="31655" xr:uid="{00000000-0005-0000-0000-000030320000}"/>
    <cellStyle name="40% - Accent4 2 3 2 5 3 3" xfId="27333" xr:uid="{00000000-0005-0000-0000-000031320000}"/>
    <cellStyle name="40% - Accent4 2 3 2 5 4" xfId="9495" xr:uid="{00000000-0005-0000-0000-000032320000}"/>
    <cellStyle name="40% - Accent4 2 3 2 5 4 2" xfId="28965" xr:uid="{00000000-0005-0000-0000-000033320000}"/>
    <cellStyle name="40% - Accent4 2 3 2 5 5" xfId="24469" xr:uid="{00000000-0005-0000-0000-000034320000}"/>
    <cellStyle name="40% - Accent4 2 3 2 6" xfId="5580" xr:uid="{00000000-0005-0000-0000-000035320000}"/>
    <cellStyle name="40% - Accent4 2 3 2 6 2" xfId="7851" xr:uid="{00000000-0005-0000-0000-000036320000}"/>
    <cellStyle name="40% - Accent4 2 3 2 6 2 2" xfId="12187" xr:uid="{00000000-0005-0000-0000-000037320000}"/>
    <cellStyle name="40% - Accent4 2 3 2 6 2 2 2" xfId="31657" xr:uid="{00000000-0005-0000-0000-000038320000}"/>
    <cellStyle name="40% - Accent4 2 3 2 6 2 3" xfId="27335" xr:uid="{00000000-0005-0000-0000-000039320000}"/>
    <cellStyle name="40% - Accent4 2 3 2 6 3" xfId="10025" xr:uid="{00000000-0005-0000-0000-00003A320000}"/>
    <cellStyle name="40% - Accent4 2 3 2 6 3 2" xfId="29495" xr:uid="{00000000-0005-0000-0000-00003B320000}"/>
    <cellStyle name="40% - Accent4 2 3 2 6 4" xfId="25067" xr:uid="{00000000-0005-0000-0000-00003C320000}"/>
    <cellStyle name="40% - Accent4 2 3 2 7" xfId="7828" xr:uid="{00000000-0005-0000-0000-00003D320000}"/>
    <cellStyle name="40% - Accent4 2 3 2 7 2" xfId="12164" xr:uid="{00000000-0005-0000-0000-00003E320000}"/>
    <cellStyle name="40% - Accent4 2 3 2 7 2 2" xfId="31634" xr:uid="{00000000-0005-0000-0000-00003F320000}"/>
    <cellStyle name="40% - Accent4 2 3 2 7 3" xfId="27312" xr:uid="{00000000-0005-0000-0000-000040320000}"/>
    <cellStyle name="40% - Accent4 2 3 2 8" xfId="8961" xr:uid="{00000000-0005-0000-0000-000041320000}"/>
    <cellStyle name="40% - Accent4 2 3 2 8 2" xfId="28435" xr:uid="{00000000-0005-0000-0000-000042320000}"/>
    <cellStyle name="40% - Accent4 2 3 2 9" xfId="23693" xr:uid="{00000000-0005-0000-0000-000043320000}"/>
    <cellStyle name="40% - Accent4 2 3 3" xfId="2958" xr:uid="{00000000-0005-0000-0000-000044320000}"/>
    <cellStyle name="40% - Accent4 2 3 3 2" xfId="4665" xr:uid="{00000000-0005-0000-0000-000045320000}"/>
    <cellStyle name="40% - Accent4 2 3 3 2 2" xfId="5305" xr:uid="{00000000-0005-0000-0000-000046320000}"/>
    <cellStyle name="40% - Accent4 2 3 3 2 2 2" xfId="6439" xr:uid="{00000000-0005-0000-0000-000047320000}"/>
    <cellStyle name="40% - Accent4 2 3 3 2 2 2 2" xfId="7855" xr:uid="{00000000-0005-0000-0000-000048320000}"/>
    <cellStyle name="40% - Accent4 2 3 3 2 2 2 2 2" xfId="12191" xr:uid="{00000000-0005-0000-0000-000049320000}"/>
    <cellStyle name="40% - Accent4 2 3 3 2 2 2 2 2 2" xfId="31661" xr:uid="{00000000-0005-0000-0000-00004A320000}"/>
    <cellStyle name="40% - Accent4 2 3 3 2 2 2 2 3" xfId="27339" xr:uid="{00000000-0005-0000-0000-00004B320000}"/>
    <cellStyle name="40% - Accent4 2 3 3 2 2 2 3" xfId="10855" xr:uid="{00000000-0005-0000-0000-00004C320000}"/>
    <cellStyle name="40% - Accent4 2 3 3 2 2 2 3 2" xfId="30325" xr:uid="{00000000-0005-0000-0000-00004D320000}"/>
    <cellStyle name="40% - Accent4 2 3 3 2 2 2 4" xfId="25924" xr:uid="{00000000-0005-0000-0000-00004E320000}"/>
    <cellStyle name="40% - Accent4 2 3 3 2 2 3" xfId="7854" xr:uid="{00000000-0005-0000-0000-00004F320000}"/>
    <cellStyle name="40% - Accent4 2 3 3 2 2 3 2" xfId="12190" xr:uid="{00000000-0005-0000-0000-000050320000}"/>
    <cellStyle name="40% - Accent4 2 3 3 2 2 3 2 2" xfId="31660" xr:uid="{00000000-0005-0000-0000-000051320000}"/>
    <cellStyle name="40% - Accent4 2 3 3 2 2 3 3" xfId="27338" xr:uid="{00000000-0005-0000-0000-000052320000}"/>
    <cellStyle name="40% - Accent4 2 3 3 2 2 4" xfId="9794" xr:uid="{00000000-0005-0000-0000-000053320000}"/>
    <cellStyle name="40% - Accent4 2 3 3 2 2 4 2" xfId="29264" xr:uid="{00000000-0005-0000-0000-000054320000}"/>
    <cellStyle name="40% - Accent4 2 3 3 2 2 5" xfId="24796" xr:uid="{00000000-0005-0000-0000-000055320000}"/>
    <cellStyle name="40% - Accent4 2 3 3 2 3" xfId="5902" xr:uid="{00000000-0005-0000-0000-000056320000}"/>
    <cellStyle name="40% - Accent4 2 3 3 2 3 2" xfId="7856" xr:uid="{00000000-0005-0000-0000-000057320000}"/>
    <cellStyle name="40% - Accent4 2 3 3 2 3 2 2" xfId="12192" xr:uid="{00000000-0005-0000-0000-000058320000}"/>
    <cellStyle name="40% - Accent4 2 3 3 2 3 2 2 2" xfId="31662" xr:uid="{00000000-0005-0000-0000-000059320000}"/>
    <cellStyle name="40% - Accent4 2 3 3 2 3 2 3" xfId="27340" xr:uid="{00000000-0005-0000-0000-00005A320000}"/>
    <cellStyle name="40% - Accent4 2 3 3 2 3 3" xfId="10324" xr:uid="{00000000-0005-0000-0000-00005B320000}"/>
    <cellStyle name="40% - Accent4 2 3 3 2 3 3 2" xfId="29794" xr:uid="{00000000-0005-0000-0000-00005C320000}"/>
    <cellStyle name="40% - Accent4 2 3 3 2 3 4" xfId="25387" xr:uid="{00000000-0005-0000-0000-00005D320000}"/>
    <cellStyle name="40% - Accent4 2 3 3 2 4" xfId="7853" xr:uid="{00000000-0005-0000-0000-00005E320000}"/>
    <cellStyle name="40% - Accent4 2 3 3 2 4 2" xfId="12189" xr:uid="{00000000-0005-0000-0000-00005F320000}"/>
    <cellStyle name="40% - Accent4 2 3 3 2 4 2 2" xfId="31659" xr:uid="{00000000-0005-0000-0000-000060320000}"/>
    <cellStyle name="40% - Accent4 2 3 3 2 4 3" xfId="27337" xr:uid="{00000000-0005-0000-0000-000061320000}"/>
    <cellStyle name="40% - Accent4 2 3 3 2 5" xfId="9264" xr:uid="{00000000-0005-0000-0000-000062320000}"/>
    <cellStyle name="40% - Accent4 2 3 3 2 5 2" xfId="28734" xr:uid="{00000000-0005-0000-0000-000063320000}"/>
    <cellStyle name="40% - Accent4 2 3 3 2 6" xfId="24176" xr:uid="{00000000-0005-0000-0000-000064320000}"/>
    <cellStyle name="40% - Accent4 2 3 3 3" xfId="5009" xr:uid="{00000000-0005-0000-0000-000065320000}"/>
    <cellStyle name="40% - Accent4 2 3 3 3 2" xfId="6171" xr:uid="{00000000-0005-0000-0000-000066320000}"/>
    <cellStyle name="40% - Accent4 2 3 3 3 2 2" xfId="7858" xr:uid="{00000000-0005-0000-0000-000067320000}"/>
    <cellStyle name="40% - Accent4 2 3 3 3 2 2 2" xfId="12194" xr:uid="{00000000-0005-0000-0000-000068320000}"/>
    <cellStyle name="40% - Accent4 2 3 3 3 2 2 2 2" xfId="31664" xr:uid="{00000000-0005-0000-0000-000069320000}"/>
    <cellStyle name="40% - Accent4 2 3 3 3 2 2 3" xfId="27342" xr:uid="{00000000-0005-0000-0000-00006A320000}"/>
    <cellStyle name="40% - Accent4 2 3 3 3 2 3" xfId="10589" xr:uid="{00000000-0005-0000-0000-00006B320000}"/>
    <cellStyle name="40% - Accent4 2 3 3 3 2 3 2" xfId="30059" xr:uid="{00000000-0005-0000-0000-00006C320000}"/>
    <cellStyle name="40% - Accent4 2 3 3 3 2 4" xfId="25656" xr:uid="{00000000-0005-0000-0000-00006D320000}"/>
    <cellStyle name="40% - Accent4 2 3 3 3 3" xfId="7857" xr:uid="{00000000-0005-0000-0000-00006E320000}"/>
    <cellStyle name="40% - Accent4 2 3 3 3 3 2" xfId="12193" xr:uid="{00000000-0005-0000-0000-00006F320000}"/>
    <cellStyle name="40% - Accent4 2 3 3 3 3 2 2" xfId="31663" xr:uid="{00000000-0005-0000-0000-000070320000}"/>
    <cellStyle name="40% - Accent4 2 3 3 3 3 3" xfId="27341" xr:uid="{00000000-0005-0000-0000-000071320000}"/>
    <cellStyle name="40% - Accent4 2 3 3 3 4" xfId="9529" xr:uid="{00000000-0005-0000-0000-000072320000}"/>
    <cellStyle name="40% - Accent4 2 3 3 3 4 2" xfId="28999" xr:uid="{00000000-0005-0000-0000-000073320000}"/>
    <cellStyle name="40% - Accent4 2 3 3 3 5" xfId="24503" xr:uid="{00000000-0005-0000-0000-000074320000}"/>
    <cellStyle name="40% - Accent4 2 3 3 4" xfId="5614" xr:uid="{00000000-0005-0000-0000-000075320000}"/>
    <cellStyle name="40% - Accent4 2 3 3 4 2" xfId="7859" xr:uid="{00000000-0005-0000-0000-000076320000}"/>
    <cellStyle name="40% - Accent4 2 3 3 4 2 2" xfId="12195" xr:uid="{00000000-0005-0000-0000-000077320000}"/>
    <cellStyle name="40% - Accent4 2 3 3 4 2 2 2" xfId="31665" xr:uid="{00000000-0005-0000-0000-000078320000}"/>
    <cellStyle name="40% - Accent4 2 3 3 4 2 3" xfId="27343" xr:uid="{00000000-0005-0000-0000-000079320000}"/>
    <cellStyle name="40% - Accent4 2 3 3 4 3" xfId="10059" xr:uid="{00000000-0005-0000-0000-00007A320000}"/>
    <cellStyle name="40% - Accent4 2 3 3 4 3 2" xfId="29529" xr:uid="{00000000-0005-0000-0000-00007B320000}"/>
    <cellStyle name="40% - Accent4 2 3 3 4 4" xfId="25101" xr:uid="{00000000-0005-0000-0000-00007C320000}"/>
    <cellStyle name="40% - Accent4 2 3 3 5" xfId="7852" xr:uid="{00000000-0005-0000-0000-00007D320000}"/>
    <cellStyle name="40% - Accent4 2 3 3 5 2" xfId="12188" xr:uid="{00000000-0005-0000-0000-00007E320000}"/>
    <cellStyle name="40% - Accent4 2 3 3 5 2 2" xfId="31658" xr:uid="{00000000-0005-0000-0000-00007F320000}"/>
    <cellStyle name="40% - Accent4 2 3 3 5 3" xfId="27336" xr:uid="{00000000-0005-0000-0000-000080320000}"/>
    <cellStyle name="40% - Accent4 2 3 3 6" xfId="8995" xr:uid="{00000000-0005-0000-0000-000081320000}"/>
    <cellStyle name="40% - Accent4 2 3 3 6 2" xfId="28469" xr:uid="{00000000-0005-0000-0000-000082320000}"/>
    <cellStyle name="40% - Accent4 2 3 3 7" xfId="23767" xr:uid="{00000000-0005-0000-0000-000083320000}"/>
    <cellStyle name="40% - Accent4 2 3 4" xfId="4192" xr:uid="{00000000-0005-0000-0000-000084320000}"/>
    <cellStyle name="40% - Accent4 2 3 4 2" xfId="4784" xr:uid="{00000000-0005-0000-0000-000085320000}"/>
    <cellStyle name="40% - Accent4 2 3 4 2 2" xfId="5410" xr:uid="{00000000-0005-0000-0000-000086320000}"/>
    <cellStyle name="40% - Accent4 2 3 4 2 2 2" xfId="6538" xr:uid="{00000000-0005-0000-0000-000087320000}"/>
    <cellStyle name="40% - Accent4 2 3 4 2 2 2 2" xfId="7863" xr:uid="{00000000-0005-0000-0000-000088320000}"/>
    <cellStyle name="40% - Accent4 2 3 4 2 2 2 2 2" xfId="12199" xr:uid="{00000000-0005-0000-0000-000089320000}"/>
    <cellStyle name="40% - Accent4 2 3 4 2 2 2 2 2 2" xfId="31669" xr:uid="{00000000-0005-0000-0000-00008A320000}"/>
    <cellStyle name="40% - Accent4 2 3 4 2 2 2 2 3" xfId="27347" xr:uid="{00000000-0005-0000-0000-00008B320000}"/>
    <cellStyle name="40% - Accent4 2 3 4 2 2 2 3" xfId="10954" xr:uid="{00000000-0005-0000-0000-00008C320000}"/>
    <cellStyle name="40% - Accent4 2 3 4 2 2 2 3 2" xfId="30424" xr:uid="{00000000-0005-0000-0000-00008D320000}"/>
    <cellStyle name="40% - Accent4 2 3 4 2 2 2 4" xfId="26023" xr:uid="{00000000-0005-0000-0000-00008E320000}"/>
    <cellStyle name="40% - Accent4 2 3 4 2 2 3" xfId="7862" xr:uid="{00000000-0005-0000-0000-00008F320000}"/>
    <cellStyle name="40% - Accent4 2 3 4 2 2 3 2" xfId="12198" xr:uid="{00000000-0005-0000-0000-000090320000}"/>
    <cellStyle name="40% - Accent4 2 3 4 2 2 3 2 2" xfId="31668" xr:uid="{00000000-0005-0000-0000-000091320000}"/>
    <cellStyle name="40% - Accent4 2 3 4 2 2 3 3" xfId="27346" xr:uid="{00000000-0005-0000-0000-000092320000}"/>
    <cellStyle name="40% - Accent4 2 3 4 2 2 4" xfId="9893" xr:uid="{00000000-0005-0000-0000-000093320000}"/>
    <cellStyle name="40% - Accent4 2 3 4 2 2 4 2" xfId="29363" xr:uid="{00000000-0005-0000-0000-000094320000}"/>
    <cellStyle name="40% - Accent4 2 3 4 2 2 5" xfId="24901" xr:uid="{00000000-0005-0000-0000-000095320000}"/>
    <cellStyle name="40% - Accent4 2 3 4 2 3" xfId="6002" xr:uid="{00000000-0005-0000-0000-000096320000}"/>
    <cellStyle name="40% - Accent4 2 3 4 2 3 2" xfId="7864" xr:uid="{00000000-0005-0000-0000-000097320000}"/>
    <cellStyle name="40% - Accent4 2 3 4 2 3 2 2" xfId="12200" xr:uid="{00000000-0005-0000-0000-000098320000}"/>
    <cellStyle name="40% - Accent4 2 3 4 2 3 2 2 2" xfId="31670" xr:uid="{00000000-0005-0000-0000-000099320000}"/>
    <cellStyle name="40% - Accent4 2 3 4 2 3 2 3" xfId="27348" xr:uid="{00000000-0005-0000-0000-00009A320000}"/>
    <cellStyle name="40% - Accent4 2 3 4 2 3 3" xfId="10423" xr:uid="{00000000-0005-0000-0000-00009B320000}"/>
    <cellStyle name="40% - Accent4 2 3 4 2 3 3 2" xfId="29893" xr:uid="{00000000-0005-0000-0000-00009C320000}"/>
    <cellStyle name="40% - Accent4 2 3 4 2 3 4" xfId="25487" xr:uid="{00000000-0005-0000-0000-00009D320000}"/>
    <cellStyle name="40% - Accent4 2 3 4 2 4" xfId="7861" xr:uid="{00000000-0005-0000-0000-00009E320000}"/>
    <cellStyle name="40% - Accent4 2 3 4 2 4 2" xfId="12197" xr:uid="{00000000-0005-0000-0000-00009F320000}"/>
    <cellStyle name="40% - Accent4 2 3 4 2 4 2 2" xfId="31667" xr:uid="{00000000-0005-0000-0000-0000A0320000}"/>
    <cellStyle name="40% - Accent4 2 3 4 2 4 3" xfId="27345" xr:uid="{00000000-0005-0000-0000-0000A1320000}"/>
    <cellStyle name="40% - Accent4 2 3 4 2 5" xfId="9363" xr:uid="{00000000-0005-0000-0000-0000A2320000}"/>
    <cellStyle name="40% - Accent4 2 3 4 2 5 2" xfId="28833" xr:uid="{00000000-0005-0000-0000-0000A3320000}"/>
    <cellStyle name="40% - Accent4 2 3 4 2 6" xfId="24286" xr:uid="{00000000-0005-0000-0000-0000A4320000}"/>
    <cellStyle name="40% - Accent4 2 3 4 3" xfId="5115" xr:uid="{00000000-0005-0000-0000-0000A5320000}"/>
    <cellStyle name="40% - Accent4 2 3 4 3 2" xfId="6271" xr:uid="{00000000-0005-0000-0000-0000A6320000}"/>
    <cellStyle name="40% - Accent4 2 3 4 3 2 2" xfId="7866" xr:uid="{00000000-0005-0000-0000-0000A7320000}"/>
    <cellStyle name="40% - Accent4 2 3 4 3 2 2 2" xfId="12202" xr:uid="{00000000-0005-0000-0000-0000A8320000}"/>
    <cellStyle name="40% - Accent4 2 3 4 3 2 2 2 2" xfId="31672" xr:uid="{00000000-0005-0000-0000-0000A9320000}"/>
    <cellStyle name="40% - Accent4 2 3 4 3 2 2 3" xfId="27350" xr:uid="{00000000-0005-0000-0000-0000AA320000}"/>
    <cellStyle name="40% - Accent4 2 3 4 3 2 3" xfId="10688" xr:uid="{00000000-0005-0000-0000-0000AB320000}"/>
    <cellStyle name="40% - Accent4 2 3 4 3 2 3 2" xfId="30158" xr:uid="{00000000-0005-0000-0000-0000AC320000}"/>
    <cellStyle name="40% - Accent4 2 3 4 3 2 4" xfId="25756" xr:uid="{00000000-0005-0000-0000-0000AD320000}"/>
    <cellStyle name="40% - Accent4 2 3 4 3 3" xfId="7865" xr:uid="{00000000-0005-0000-0000-0000AE320000}"/>
    <cellStyle name="40% - Accent4 2 3 4 3 3 2" xfId="12201" xr:uid="{00000000-0005-0000-0000-0000AF320000}"/>
    <cellStyle name="40% - Accent4 2 3 4 3 3 2 2" xfId="31671" xr:uid="{00000000-0005-0000-0000-0000B0320000}"/>
    <cellStyle name="40% - Accent4 2 3 4 3 3 3" xfId="27349" xr:uid="{00000000-0005-0000-0000-0000B1320000}"/>
    <cellStyle name="40% - Accent4 2 3 4 3 4" xfId="9628" xr:uid="{00000000-0005-0000-0000-0000B2320000}"/>
    <cellStyle name="40% - Accent4 2 3 4 3 4 2" xfId="29098" xr:uid="{00000000-0005-0000-0000-0000B3320000}"/>
    <cellStyle name="40% - Accent4 2 3 4 3 5" xfId="24606" xr:uid="{00000000-0005-0000-0000-0000B4320000}"/>
    <cellStyle name="40% - Accent4 2 3 4 4" xfId="5724" xr:uid="{00000000-0005-0000-0000-0000B5320000}"/>
    <cellStyle name="40% - Accent4 2 3 4 4 2" xfId="7867" xr:uid="{00000000-0005-0000-0000-0000B6320000}"/>
    <cellStyle name="40% - Accent4 2 3 4 4 2 2" xfId="12203" xr:uid="{00000000-0005-0000-0000-0000B7320000}"/>
    <cellStyle name="40% - Accent4 2 3 4 4 2 2 2" xfId="31673" xr:uid="{00000000-0005-0000-0000-0000B8320000}"/>
    <cellStyle name="40% - Accent4 2 3 4 4 2 3" xfId="27351" xr:uid="{00000000-0005-0000-0000-0000B9320000}"/>
    <cellStyle name="40% - Accent4 2 3 4 4 3" xfId="10158" xr:uid="{00000000-0005-0000-0000-0000BA320000}"/>
    <cellStyle name="40% - Accent4 2 3 4 4 3 2" xfId="29628" xr:uid="{00000000-0005-0000-0000-0000BB320000}"/>
    <cellStyle name="40% - Accent4 2 3 4 4 4" xfId="25209" xr:uid="{00000000-0005-0000-0000-0000BC320000}"/>
    <cellStyle name="40% - Accent4 2 3 4 5" xfId="7860" xr:uid="{00000000-0005-0000-0000-0000BD320000}"/>
    <cellStyle name="40% - Accent4 2 3 4 5 2" xfId="12196" xr:uid="{00000000-0005-0000-0000-0000BE320000}"/>
    <cellStyle name="40% - Accent4 2 3 4 5 2 2" xfId="31666" xr:uid="{00000000-0005-0000-0000-0000BF320000}"/>
    <cellStyle name="40% - Accent4 2 3 4 5 3" xfId="27344" xr:uid="{00000000-0005-0000-0000-0000C0320000}"/>
    <cellStyle name="40% - Accent4 2 3 4 6" xfId="9097" xr:uid="{00000000-0005-0000-0000-0000C1320000}"/>
    <cellStyle name="40% - Accent4 2 3 4 6 2" xfId="28568" xr:uid="{00000000-0005-0000-0000-0000C2320000}"/>
    <cellStyle name="40% - Accent4 2 3 4 7" xfId="23984" xr:uid="{00000000-0005-0000-0000-0000C3320000}"/>
    <cellStyle name="40% - Accent4 2 3 5" xfId="4598" xr:uid="{00000000-0005-0000-0000-0000C4320000}"/>
    <cellStyle name="40% - Accent4 2 3 5 2" xfId="5239" xr:uid="{00000000-0005-0000-0000-0000C5320000}"/>
    <cellStyle name="40% - Accent4 2 3 5 2 2" xfId="6373" xr:uid="{00000000-0005-0000-0000-0000C6320000}"/>
    <cellStyle name="40% - Accent4 2 3 5 2 2 2" xfId="7870" xr:uid="{00000000-0005-0000-0000-0000C7320000}"/>
    <cellStyle name="40% - Accent4 2 3 5 2 2 2 2" xfId="12206" xr:uid="{00000000-0005-0000-0000-0000C8320000}"/>
    <cellStyle name="40% - Accent4 2 3 5 2 2 2 2 2" xfId="31676" xr:uid="{00000000-0005-0000-0000-0000C9320000}"/>
    <cellStyle name="40% - Accent4 2 3 5 2 2 2 3" xfId="27354" xr:uid="{00000000-0005-0000-0000-0000CA320000}"/>
    <cellStyle name="40% - Accent4 2 3 5 2 2 3" xfId="10789" xr:uid="{00000000-0005-0000-0000-0000CB320000}"/>
    <cellStyle name="40% - Accent4 2 3 5 2 2 3 2" xfId="30259" xr:uid="{00000000-0005-0000-0000-0000CC320000}"/>
    <cellStyle name="40% - Accent4 2 3 5 2 2 4" xfId="25858" xr:uid="{00000000-0005-0000-0000-0000CD320000}"/>
    <cellStyle name="40% - Accent4 2 3 5 2 3" xfId="7869" xr:uid="{00000000-0005-0000-0000-0000CE320000}"/>
    <cellStyle name="40% - Accent4 2 3 5 2 3 2" xfId="12205" xr:uid="{00000000-0005-0000-0000-0000CF320000}"/>
    <cellStyle name="40% - Accent4 2 3 5 2 3 2 2" xfId="31675" xr:uid="{00000000-0005-0000-0000-0000D0320000}"/>
    <cellStyle name="40% - Accent4 2 3 5 2 3 3" xfId="27353" xr:uid="{00000000-0005-0000-0000-0000D1320000}"/>
    <cellStyle name="40% - Accent4 2 3 5 2 4" xfId="9728" xr:uid="{00000000-0005-0000-0000-0000D2320000}"/>
    <cellStyle name="40% - Accent4 2 3 5 2 4 2" xfId="29198" xr:uid="{00000000-0005-0000-0000-0000D3320000}"/>
    <cellStyle name="40% - Accent4 2 3 5 2 5" xfId="24730" xr:uid="{00000000-0005-0000-0000-0000D4320000}"/>
    <cellStyle name="40% - Accent4 2 3 5 3" xfId="5835" xr:uid="{00000000-0005-0000-0000-0000D5320000}"/>
    <cellStyle name="40% - Accent4 2 3 5 3 2" xfId="7871" xr:uid="{00000000-0005-0000-0000-0000D6320000}"/>
    <cellStyle name="40% - Accent4 2 3 5 3 2 2" xfId="12207" xr:uid="{00000000-0005-0000-0000-0000D7320000}"/>
    <cellStyle name="40% - Accent4 2 3 5 3 2 2 2" xfId="31677" xr:uid="{00000000-0005-0000-0000-0000D8320000}"/>
    <cellStyle name="40% - Accent4 2 3 5 3 2 3" xfId="27355" xr:uid="{00000000-0005-0000-0000-0000D9320000}"/>
    <cellStyle name="40% - Accent4 2 3 5 3 3" xfId="10258" xr:uid="{00000000-0005-0000-0000-0000DA320000}"/>
    <cellStyle name="40% - Accent4 2 3 5 3 3 2" xfId="29728" xr:uid="{00000000-0005-0000-0000-0000DB320000}"/>
    <cellStyle name="40% - Accent4 2 3 5 3 4" xfId="25320" xr:uid="{00000000-0005-0000-0000-0000DC320000}"/>
    <cellStyle name="40% - Accent4 2 3 5 4" xfId="7868" xr:uid="{00000000-0005-0000-0000-0000DD320000}"/>
    <cellStyle name="40% - Accent4 2 3 5 4 2" xfId="12204" xr:uid="{00000000-0005-0000-0000-0000DE320000}"/>
    <cellStyle name="40% - Accent4 2 3 5 4 2 2" xfId="31674" xr:uid="{00000000-0005-0000-0000-0000DF320000}"/>
    <cellStyle name="40% - Accent4 2 3 5 4 3" xfId="27352" xr:uid="{00000000-0005-0000-0000-0000E0320000}"/>
    <cellStyle name="40% - Accent4 2 3 5 5" xfId="9198" xr:uid="{00000000-0005-0000-0000-0000E1320000}"/>
    <cellStyle name="40% - Accent4 2 3 5 5 2" xfId="28668" xr:uid="{00000000-0005-0000-0000-0000E2320000}"/>
    <cellStyle name="40% - Accent4 2 3 5 6" xfId="24109" xr:uid="{00000000-0005-0000-0000-0000E3320000}"/>
    <cellStyle name="40% - Accent4 2 3 6" xfId="4943" xr:uid="{00000000-0005-0000-0000-0000E4320000}"/>
    <cellStyle name="40% - Accent4 2 3 6 2" xfId="6105" xr:uid="{00000000-0005-0000-0000-0000E5320000}"/>
    <cellStyle name="40% - Accent4 2 3 6 2 2" xfId="7873" xr:uid="{00000000-0005-0000-0000-0000E6320000}"/>
    <cellStyle name="40% - Accent4 2 3 6 2 2 2" xfId="12209" xr:uid="{00000000-0005-0000-0000-0000E7320000}"/>
    <cellStyle name="40% - Accent4 2 3 6 2 2 2 2" xfId="31679" xr:uid="{00000000-0005-0000-0000-0000E8320000}"/>
    <cellStyle name="40% - Accent4 2 3 6 2 2 3" xfId="27357" xr:uid="{00000000-0005-0000-0000-0000E9320000}"/>
    <cellStyle name="40% - Accent4 2 3 6 2 3" xfId="10523" xr:uid="{00000000-0005-0000-0000-0000EA320000}"/>
    <cellStyle name="40% - Accent4 2 3 6 2 3 2" xfId="29993" xr:uid="{00000000-0005-0000-0000-0000EB320000}"/>
    <cellStyle name="40% - Accent4 2 3 6 2 4" xfId="25590" xr:uid="{00000000-0005-0000-0000-0000EC320000}"/>
    <cellStyle name="40% - Accent4 2 3 6 3" xfId="7872" xr:uid="{00000000-0005-0000-0000-0000ED320000}"/>
    <cellStyle name="40% - Accent4 2 3 6 3 2" xfId="12208" xr:uid="{00000000-0005-0000-0000-0000EE320000}"/>
    <cellStyle name="40% - Accent4 2 3 6 3 2 2" xfId="31678" xr:uid="{00000000-0005-0000-0000-0000EF320000}"/>
    <cellStyle name="40% - Accent4 2 3 6 3 3" xfId="27356" xr:uid="{00000000-0005-0000-0000-0000F0320000}"/>
    <cellStyle name="40% - Accent4 2 3 6 4" xfId="9463" xr:uid="{00000000-0005-0000-0000-0000F1320000}"/>
    <cellStyle name="40% - Accent4 2 3 6 4 2" xfId="28933" xr:uid="{00000000-0005-0000-0000-0000F2320000}"/>
    <cellStyle name="40% - Accent4 2 3 6 5" xfId="24437" xr:uid="{00000000-0005-0000-0000-0000F3320000}"/>
    <cellStyle name="40% - Accent4 2 3 7" xfId="5547" xr:uid="{00000000-0005-0000-0000-0000F4320000}"/>
    <cellStyle name="40% - Accent4 2 3 7 2" xfId="7874" xr:uid="{00000000-0005-0000-0000-0000F5320000}"/>
    <cellStyle name="40% - Accent4 2 3 7 2 2" xfId="12210" xr:uid="{00000000-0005-0000-0000-0000F6320000}"/>
    <cellStyle name="40% - Accent4 2 3 7 2 2 2" xfId="31680" xr:uid="{00000000-0005-0000-0000-0000F7320000}"/>
    <cellStyle name="40% - Accent4 2 3 7 2 3" xfId="27358" xr:uid="{00000000-0005-0000-0000-0000F8320000}"/>
    <cellStyle name="40% - Accent4 2 3 7 3" xfId="9993" xr:uid="{00000000-0005-0000-0000-0000F9320000}"/>
    <cellStyle name="40% - Accent4 2 3 7 3 2" xfId="29463" xr:uid="{00000000-0005-0000-0000-0000FA320000}"/>
    <cellStyle name="40% - Accent4 2 3 7 4" xfId="25035" xr:uid="{00000000-0005-0000-0000-0000FB320000}"/>
    <cellStyle name="40% - Accent4 2 3 8" xfId="7827" xr:uid="{00000000-0005-0000-0000-0000FC320000}"/>
    <cellStyle name="40% - Accent4 2 3 8 2" xfId="12163" xr:uid="{00000000-0005-0000-0000-0000FD320000}"/>
    <cellStyle name="40% - Accent4 2 3 8 2 2" xfId="31633" xr:uid="{00000000-0005-0000-0000-0000FE320000}"/>
    <cellStyle name="40% - Accent4 2 3 8 3" xfId="27311" xr:uid="{00000000-0005-0000-0000-0000FF320000}"/>
    <cellStyle name="40% - Accent4 2 3 9" xfId="8929" xr:uid="{00000000-0005-0000-0000-000000330000}"/>
    <cellStyle name="40% - Accent4 2 3 9 2" xfId="28403" xr:uid="{00000000-0005-0000-0000-000001330000}"/>
    <cellStyle name="40% - Accent4 2 4" xfId="3902" xr:uid="{00000000-0005-0000-0000-000002330000}"/>
    <cellStyle name="40% - Accent4 2 4 2" xfId="4246" xr:uid="{00000000-0005-0000-0000-000003330000}"/>
    <cellStyle name="40% - Accent4 2 4 2 2" xfId="4821" xr:uid="{00000000-0005-0000-0000-000004330000}"/>
    <cellStyle name="40% - Accent4 2 4 2 2 2" xfId="5446" xr:uid="{00000000-0005-0000-0000-000005330000}"/>
    <cellStyle name="40% - Accent4 2 4 2 2 2 2" xfId="6574" xr:uid="{00000000-0005-0000-0000-000006330000}"/>
    <cellStyle name="40% - Accent4 2 4 2 2 2 2 2" xfId="7879" xr:uid="{00000000-0005-0000-0000-000007330000}"/>
    <cellStyle name="40% - Accent4 2 4 2 2 2 2 2 2" xfId="12215" xr:uid="{00000000-0005-0000-0000-000008330000}"/>
    <cellStyle name="40% - Accent4 2 4 2 2 2 2 2 2 2" xfId="31685" xr:uid="{00000000-0005-0000-0000-000009330000}"/>
    <cellStyle name="40% - Accent4 2 4 2 2 2 2 2 3" xfId="27363" xr:uid="{00000000-0005-0000-0000-00000A330000}"/>
    <cellStyle name="40% - Accent4 2 4 2 2 2 2 3" xfId="10990" xr:uid="{00000000-0005-0000-0000-00000B330000}"/>
    <cellStyle name="40% - Accent4 2 4 2 2 2 2 3 2" xfId="30460" xr:uid="{00000000-0005-0000-0000-00000C330000}"/>
    <cellStyle name="40% - Accent4 2 4 2 2 2 2 4" xfId="26059" xr:uid="{00000000-0005-0000-0000-00000D330000}"/>
    <cellStyle name="40% - Accent4 2 4 2 2 2 3" xfId="7878" xr:uid="{00000000-0005-0000-0000-00000E330000}"/>
    <cellStyle name="40% - Accent4 2 4 2 2 2 3 2" xfId="12214" xr:uid="{00000000-0005-0000-0000-00000F330000}"/>
    <cellStyle name="40% - Accent4 2 4 2 2 2 3 2 2" xfId="31684" xr:uid="{00000000-0005-0000-0000-000010330000}"/>
    <cellStyle name="40% - Accent4 2 4 2 2 2 3 3" xfId="27362" xr:uid="{00000000-0005-0000-0000-000011330000}"/>
    <cellStyle name="40% - Accent4 2 4 2 2 2 4" xfId="9929" xr:uid="{00000000-0005-0000-0000-000012330000}"/>
    <cellStyle name="40% - Accent4 2 4 2 2 2 4 2" xfId="29399" xr:uid="{00000000-0005-0000-0000-000013330000}"/>
    <cellStyle name="40% - Accent4 2 4 2 2 2 5" xfId="24937" xr:uid="{00000000-0005-0000-0000-000014330000}"/>
    <cellStyle name="40% - Accent4 2 4 2 2 3" xfId="6039" xr:uid="{00000000-0005-0000-0000-000015330000}"/>
    <cellStyle name="40% - Accent4 2 4 2 2 3 2" xfId="7880" xr:uid="{00000000-0005-0000-0000-000016330000}"/>
    <cellStyle name="40% - Accent4 2 4 2 2 3 2 2" xfId="12216" xr:uid="{00000000-0005-0000-0000-000017330000}"/>
    <cellStyle name="40% - Accent4 2 4 2 2 3 2 2 2" xfId="31686" xr:uid="{00000000-0005-0000-0000-000018330000}"/>
    <cellStyle name="40% - Accent4 2 4 2 2 3 2 3" xfId="27364" xr:uid="{00000000-0005-0000-0000-000019330000}"/>
    <cellStyle name="40% - Accent4 2 4 2 2 3 3" xfId="10459" xr:uid="{00000000-0005-0000-0000-00001A330000}"/>
    <cellStyle name="40% - Accent4 2 4 2 2 3 3 2" xfId="29929" xr:uid="{00000000-0005-0000-0000-00001B330000}"/>
    <cellStyle name="40% - Accent4 2 4 2 2 3 4" xfId="25524" xr:uid="{00000000-0005-0000-0000-00001C330000}"/>
    <cellStyle name="40% - Accent4 2 4 2 2 4" xfId="7877" xr:uid="{00000000-0005-0000-0000-00001D330000}"/>
    <cellStyle name="40% - Accent4 2 4 2 2 4 2" xfId="12213" xr:uid="{00000000-0005-0000-0000-00001E330000}"/>
    <cellStyle name="40% - Accent4 2 4 2 2 4 2 2" xfId="31683" xr:uid="{00000000-0005-0000-0000-00001F330000}"/>
    <cellStyle name="40% - Accent4 2 4 2 2 4 3" xfId="27361" xr:uid="{00000000-0005-0000-0000-000020330000}"/>
    <cellStyle name="40% - Accent4 2 4 2 2 5" xfId="9399" xr:uid="{00000000-0005-0000-0000-000021330000}"/>
    <cellStyle name="40% - Accent4 2 4 2 2 5 2" xfId="28869" xr:uid="{00000000-0005-0000-0000-000022330000}"/>
    <cellStyle name="40% - Accent4 2 4 2 2 6" xfId="24323" xr:uid="{00000000-0005-0000-0000-000023330000}"/>
    <cellStyle name="40% - Accent4 2 4 2 3" xfId="5151" xr:uid="{00000000-0005-0000-0000-000024330000}"/>
    <cellStyle name="40% - Accent4 2 4 2 3 2" xfId="6307" xr:uid="{00000000-0005-0000-0000-000025330000}"/>
    <cellStyle name="40% - Accent4 2 4 2 3 2 2" xfId="7882" xr:uid="{00000000-0005-0000-0000-000026330000}"/>
    <cellStyle name="40% - Accent4 2 4 2 3 2 2 2" xfId="12218" xr:uid="{00000000-0005-0000-0000-000027330000}"/>
    <cellStyle name="40% - Accent4 2 4 2 3 2 2 2 2" xfId="31688" xr:uid="{00000000-0005-0000-0000-000028330000}"/>
    <cellStyle name="40% - Accent4 2 4 2 3 2 2 3" xfId="27366" xr:uid="{00000000-0005-0000-0000-000029330000}"/>
    <cellStyle name="40% - Accent4 2 4 2 3 2 3" xfId="10724" xr:uid="{00000000-0005-0000-0000-00002A330000}"/>
    <cellStyle name="40% - Accent4 2 4 2 3 2 3 2" xfId="30194" xr:uid="{00000000-0005-0000-0000-00002B330000}"/>
    <cellStyle name="40% - Accent4 2 4 2 3 2 4" xfId="25792" xr:uid="{00000000-0005-0000-0000-00002C330000}"/>
    <cellStyle name="40% - Accent4 2 4 2 3 3" xfId="7881" xr:uid="{00000000-0005-0000-0000-00002D330000}"/>
    <cellStyle name="40% - Accent4 2 4 2 3 3 2" xfId="12217" xr:uid="{00000000-0005-0000-0000-00002E330000}"/>
    <cellStyle name="40% - Accent4 2 4 2 3 3 2 2" xfId="31687" xr:uid="{00000000-0005-0000-0000-00002F330000}"/>
    <cellStyle name="40% - Accent4 2 4 2 3 3 3" xfId="27365" xr:uid="{00000000-0005-0000-0000-000030330000}"/>
    <cellStyle name="40% - Accent4 2 4 2 3 4" xfId="9664" xr:uid="{00000000-0005-0000-0000-000031330000}"/>
    <cellStyle name="40% - Accent4 2 4 2 3 4 2" xfId="29134" xr:uid="{00000000-0005-0000-0000-000032330000}"/>
    <cellStyle name="40% - Accent4 2 4 2 3 5" xfId="24642" xr:uid="{00000000-0005-0000-0000-000033330000}"/>
    <cellStyle name="40% - Accent4 2 4 2 4" xfId="5760" xr:uid="{00000000-0005-0000-0000-000034330000}"/>
    <cellStyle name="40% - Accent4 2 4 2 4 2" xfId="7883" xr:uid="{00000000-0005-0000-0000-000035330000}"/>
    <cellStyle name="40% - Accent4 2 4 2 4 2 2" xfId="12219" xr:uid="{00000000-0005-0000-0000-000036330000}"/>
    <cellStyle name="40% - Accent4 2 4 2 4 2 2 2" xfId="31689" xr:uid="{00000000-0005-0000-0000-000037330000}"/>
    <cellStyle name="40% - Accent4 2 4 2 4 2 3" xfId="27367" xr:uid="{00000000-0005-0000-0000-000038330000}"/>
    <cellStyle name="40% - Accent4 2 4 2 4 3" xfId="10194" xr:uid="{00000000-0005-0000-0000-000039330000}"/>
    <cellStyle name="40% - Accent4 2 4 2 4 3 2" xfId="29664" xr:uid="{00000000-0005-0000-0000-00003A330000}"/>
    <cellStyle name="40% - Accent4 2 4 2 4 4" xfId="25245" xr:uid="{00000000-0005-0000-0000-00003B330000}"/>
    <cellStyle name="40% - Accent4 2 4 2 5" xfId="7876" xr:uid="{00000000-0005-0000-0000-00003C330000}"/>
    <cellStyle name="40% - Accent4 2 4 2 5 2" xfId="12212" xr:uid="{00000000-0005-0000-0000-00003D330000}"/>
    <cellStyle name="40% - Accent4 2 4 2 5 2 2" xfId="31682" xr:uid="{00000000-0005-0000-0000-00003E330000}"/>
    <cellStyle name="40% - Accent4 2 4 2 5 3" xfId="27360" xr:uid="{00000000-0005-0000-0000-00003F330000}"/>
    <cellStyle name="40% - Accent4 2 4 2 6" xfId="9133" xr:uid="{00000000-0005-0000-0000-000040330000}"/>
    <cellStyle name="40% - Accent4 2 4 2 6 2" xfId="28604" xr:uid="{00000000-0005-0000-0000-000041330000}"/>
    <cellStyle name="40% - Accent4 2 4 2 7" xfId="24022" xr:uid="{00000000-0005-0000-0000-000042330000}"/>
    <cellStyle name="40% - Accent4 2 4 3" xfId="4733" xr:uid="{00000000-0005-0000-0000-000043330000}"/>
    <cellStyle name="40% - Accent4 2 4 3 2" xfId="5367" xr:uid="{00000000-0005-0000-0000-000044330000}"/>
    <cellStyle name="40% - Accent4 2 4 3 2 2" xfId="6495" xr:uid="{00000000-0005-0000-0000-000045330000}"/>
    <cellStyle name="40% - Accent4 2 4 3 2 2 2" xfId="7886" xr:uid="{00000000-0005-0000-0000-000046330000}"/>
    <cellStyle name="40% - Accent4 2 4 3 2 2 2 2" xfId="12222" xr:uid="{00000000-0005-0000-0000-000047330000}"/>
    <cellStyle name="40% - Accent4 2 4 3 2 2 2 2 2" xfId="31692" xr:uid="{00000000-0005-0000-0000-000048330000}"/>
    <cellStyle name="40% - Accent4 2 4 3 2 2 2 3" xfId="27370" xr:uid="{00000000-0005-0000-0000-000049330000}"/>
    <cellStyle name="40% - Accent4 2 4 3 2 2 3" xfId="10911" xr:uid="{00000000-0005-0000-0000-00004A330000}"/>
    <cellStyle name="40% - Accent4 2 4 3 2 2 3 2" xfId="30381" xr:uid="{00000000-0005-0000-0000-00004B330000}"/>
    <cellStyle name="40% - Accent4 2 4 3 2 2 4" xfId="25980" xr:uid="{00000000-0005-0000-0000-00004C330000}"/>
    <cellStyle name="40% - Accent4 2 4 3 2 3" xfId="7885" xr:uid="{00000000-0005-0000-0000-00004D330000}"/>
    <cellStyle name="40% - Accent4 2 4 3 2 3 2" xfId="12221" xr:uid="{00000000-0005-0000-0000-00004E330000}"/>
    <cellStyle name="40% - Accent4 2 4 3 2 3 2 2" xfId="31691" xr:uid="{00000000-0005-0000-0000-00004F330000}"/>
    <cellStyle name="40% - Accent4 2 4 3 2 3 3" xfId="27369" xr:uid="{00000000-0005-0000-0000-000050330000}"/>
    <cellStyle name="40% - Accent4 2 4 3 2 4" xfId="9850" xr:uid="{00000000-0005-0000-0000-000051330000}"/>
    <cellStyle name="40% - Accent4 2 4 3 2 4 2" xfId="29320" xr:uid="{00000000-0005-0000-0000-000052330000}"/>
    <cellStyle name="40% - Accent4 2 4 3 2 5" xfId="24858" xr:uid="{00000000-0005-0000-0000-000053330000}"/>
    <cellStyle name="40% - Accent4 2 4 3 3" xfId="5958" xr:uid="{00000000-0005-0000-0000-000054330000}"/>
    <cellStyle name="40% - Accent4 2 4 3 3 2" xfId="7887" xr:uid="{00000000-0005-0000-0000-000055330000}"/>
    <cellStyle name="40% - Accent4 2 4 3 3 2 2" xfId="12223" xr:uid="{00000000-0005-0000-0000-000056330000}"/>
    <cellStyle name="40% - Accent4 2 4 3 3 2 2 2" xfId="31693" xr:uid="{00000000-0005-0000-0000-000057330000}"/>
    <cellStyle name="40% - Accent4 2 4 3 3 2 3" xfId="27371" xr:uid="{00000000-0005-0000-0000-000058330000}"/>
    <cellStyle name="40% - Accent4 2 4 3 3 3" xfId="10380" xr:uid="{00000000-0005-0000-0000-000059330000}"/>
    <cellStyle name="40% - Accent4 2 4 3 3 3 2" xfId="29850" xr:uid="{00000000-0005-0000-0000-00005A330000}"/>
    <cellStyle name="40% - Accent4 2 4 3 3 4" xfId="25443" xr:uid="{00000000-0005-0000-0000-00005B330000}"/>
    <cellStyle name="40% - Accent4 2 4 3 4" xfId="7884" xr:uid="{00000000-0005-0000-0000-00005C330000}"/>
    <cellStyle name="40% - Accent4 2 4 3 4 2" xfId="12220" xr:uid="{00000000-0005-0000-0000-00005D330000}"/>
    <cellStyle name="40% - Accent4 2 4 3 4 2 2" xfId="31690" xr:uid="{00000000-0005-0000-0000-00005E330000}"/>
    <cellStyle name="40% - Accent4 2 4 3 4 3" xfId="27368" xr:uid="{00000000-0005-0000-0000-00005F330000}"/>
    <cellStyle name="40% - Accent4 2 4 3 5" xfId="9320" xr:uid="{00000000-0005-0000-0000-000060330000}"/>
    <cellStyle name="40% - Accent4 2 4 3 5 2" xfId="28790" xr:uid="{00000000-0005-0000-0000-000061330000}"/>
    <cellStyle name="40% - Accent4 2 4 3 6" xfId="24240" xr:uid="{00000000-0005-0000-0000-000062330000}"/>
    <cellStyle name="40% - Accent4 2 4 4" xfId="5066" xr:uid="{00000000-0005-0000-0000-000063330000}"/>
    <cellStyle name="40% - Accent4 2 4 4 2" xfId="6227" xr:uid="{00000000-0005-0000-0000-000064330000}"/>
    <cellStyle name="40% - Accent4 2 4 4 2 2" xfId="7889" xr:uid="{00000000-0005-0000-0000-000065330000}"/>
    <cellStyle name="40% - Accent4 2 4 4 2 2 2" xfId="12225" xr:uid="{00000000-0005-0000-0000-000066330000}"/>
    <cellStyle name="40% - Accent4 2 4 4 2 2 2 2" xfId="31695" xr:uid="{00000000-0005-0000-0000-000067330000}"/>
    <cellStyle name="40% - Accent4 2 4 4 2 2 3" xfId="27373" xr:uid="{00000000-0005-0000-0000-000068330000}"/>
    <cellStyle name="40% - Accent4 2 4 4 2 3" xfId="10645" xr:uid="{00000000-0005-0000-0000-000069330000}"/>
    <cellStyle name="40% - Accent4 2 4 4 2 3 2" xfId="30115" xr:uid="{00000000-0005-0000-0000-00006A330000}"/>
    <cellStyle name="40% - Accent4 2 4 4 2 4" xfId="25712" xr:uid="{00000000-0005-0000-0000-00006B330000}"/>
    <cellStyle name="40% - Accent4 2 4 4 3" xfId="7888" xr:uid="{00000000-0005-0000-0000-00006C330000}"/>
    <cellStyle name="40% - Accent4 2 4 4 3 2" xfId="12224" xr:uid="{00000000-0005-0000-0000-00006D330000}"/>
    <cellStyle name="40% - Accent4 2 4 4 3 2 2" xfId="31694" xr:uid="{00000000-0005-0000-0000-00006E330000}"/>
    <cellStyle name="40% - Accent4 2 4 4 3 3" xfId="27372" xr:uid="{00000000-0005-0000-0000-00006F330000}"/>
    <cellStyle name="40% - Accent4 2 4 4 4" xfId="9585" xr:uid="{00000000-0005-0000-0000-000070330000}"/>
    <cellStyle name="40% - Accent4 2 4 4 4 2" xfId="29055" xr:uid="{00000000-0005-0000-0000-000071330000}"/>
    <cellStyle name="40% - Accent4 2 4 4 5" xfId="24559" xr:uid="{00000000-0005-0000-0000-000072330000}"/>
    <cellStyle name="40% - Accent4 2 4 5" xfId="5678" xr:uid="{00000000-0005-0000-0000-000073330000}"/>
    <cellStyle name="40% - Accent4 2 4 5 2" xfId="7890" xr:uid="{00000000-0005-0000-0000-000074330000}"/>
    <cellStyle name="40% - Accent4 2 4 5 2 2" xfId="12226" xr:uid="{00000000-0005-0000-0000-000075330000}"/>
    <cellStyle name="40% - Accent4 2 4 5 2 2 2" xfId="31696" xr:uid="{00000000-0005-0000-0000-000076330000}"/>
    <cellStyle name="40% - Accent4 2 4 5 2 3" xfId="27374" xr:uid="{00000000-0005-0000-0000-000077330000}"/>
    <cellStyle name="40% - Accent4 2 4 5 3" xfId="10115" xr:uid="{00000000-0005-0000-0000-000078330000}"/>
    <cellStyle name="40% - Accent4 2 4 5 3 2" xfId="29585" xr:uid="{00000000-0005-0000-0000-000079330000}"/>
    <cellStyle name="40% - Accent4 2 4 5 4" xfId="25165" xr:uid="{00000000-0005-0000-0000-00007A330000}"/>
    <cellStyle name="40% - Accent4 2 4 6" xfId="7875" xr:uid="{00000000-0005-0000-0000-00007B330000}"/>
    <cellStyle name="40% - Accent4 2 4 6 2" xfId="12211" xr:uid="{00000000-0005-0000-0000-00007C330000}"/>
    <cellStyle name="40% - Accent4 2 4 6 2 2" xfId="31681" xr:uid="{00000000-0005-0000-0000-00007D330000}"/>
    <cellStyle name="40% - Accent4 2 4 6 3" xfId="27359" xr:uid="{00000000-0005-0000-0000-00007E330000}"/>
    <cellStyle name="40% - Accent4 2 4 7" xfId="9052" xr:uid="{00000000-0005-0000-0000-00007F330000}"/>
    <cellStyle name="40% - Accent4 2 4 7 2" xfId="28525" xr:uid="{00000000-0005-0000-0000-000080330000}"/>
    <cellStyle name="40% - Accent4 2 4 8" xfId="23931" xr:uid="{00000000-0005-0000-0000-000081330000}"/>
    <cellStyle name="40% - Accent4 2 5" xfId="4140" xr:uid="{00000000-0005-0000-0000-000082330000}"/>
    <cellStyle name="40% - Accent4 2 5 2" xfId="4763" xr:uid="{00000000-0005-0000-0000-000083330000}"/>
    <cellStyle name="40% - Accent4 2 5 2 2" xfId="5392" xr:uid="{00000000-0005-0000-0000-000084330000}"/>
    <cellStyle name="40% - Accent4 2 5 2 2 2" xfId="6520" xr:uid="{00000000-0005-0000-0000-000085330000}"/>
    <cellStyle name="40% - Accent4 2 5 2 2 2 2" xfId="7894" xr:uid="{00000000-0005-0000-0000-000086330000}"/>
    <cellStyle name="40% - Accent4 2 5 2 2 2 2 2" xfId="12230" xr:uid="{00000000-0005-0000-0000-000087330000}"/>
    <cellStyle name="40% - Accent4 2 5 2 2 2 2 2 2" xfId="31700" xr:uid="{00000000-0005-0000-0000-000088330000}"/>
    <cellStyle name="40% - Accent4 2 5 2 2 2 2 3" xfId="27378" xr:uid="{00000000-0005-0000-0000-000089330000}"/>
    <cellStyle name="40% - Accent4 2 5 2 2 2 3" xfId="10936" xr:uid="{00000000-0005-0000-0000-00008A330000}"/>
    <cellStyle name="40% - Accent4 2 5 2 2 2 3 2" xfId="30406" xr:uid="{00000000-0005-0000-0000-00008B330000}"/>
    <cellStyle name="40% - Accent4 2 5 2 2 2 4" xfId="26005" xr:uid="{00000000-0005-0000-0000-00008C330000}"/>
    <cellStyle name="40% - Accent4 2 5 2 2 3" xfId="7893" xr:uid="{00000000-0005-0000-0000-00008D330000}"/>
    <cellStyle name="40% - Accent4 2 5 2 2 3 2" xfId="12229" xr:uid="{00000000-0005-0000-0000-00008E330000}"/>
    <cellStyle name="40% - Accent4 2 5 2 2 3 2 2" xfId="31699" xr:uid="{00000000-0005-0000-0000-00008F330000}"/>
    <cellStyle name="40% - Accent4 2 5 2 2 3 3" xfId="27377" xr:uid="{00000000-0005-0000-0000-000090330000}"/>
    <cellStyle name="40% - Accent4 2 5 2 2 4" xfId="9875" xr:uid="{00000000-0005-0000-0000-000091330000}"/>
    <cellStyle name="40% - Accent4 2 5 2 2 4 2" xfId="29345" xr:uid="{00000000-0005-0000-0000-000092330000}"/>
    <cellStyle name="40% - Accent4 2 5 2 2 5" xfId="24883" xr:uid="{00000000-0005-0000-0000-000093330000}"/>
    <cellStyle name="40% - Accent4 2 5 2 3" xfId="5983" xr:uid="{00000000-0005-0000-0000-000094330000}"/>
    <cellStyle name="40% - Accent4 2 5 2 3 2" xfId="7895" xr:uid="{00000000-0005-0000-0000-000095330000}"/>
    <cellStyle name="40% - Accent4 2 5 2 3 2 2" xfId="12231" xr:uid="{00000000-0005-0000-0000-000096330000}"/>
    <cellStyle name="40% - Accent4 2 5 2 3 2 2 2" xfId="31701" xr:uid="{00000000-0005-0000-0000-000097330000}"/>
    <cellStyle name="40% - Accent4 2 5 2 3 2 3" xfId="27379" xr:uid="{00000000-0005-0000-0000-000098330000}"/>
    <cellStyle name="40% - Accent4 2 5 2 3 3" xfId="10405" xr:uid="{00000000-0005-0000-0000-000099330000}"/>
    <cellStyle name="40% - Accent4 2 5 2 3 3 2" xfId="29875" xr:uid="{00000000-0005-0000-0000-00009A330000}"/>
    <cellStyle name="40% - Accent4 2 5 2 3 4" xfId="25468" xr:uid="{00000000-0005-0000-0000-00009B330000}"/>
    <cellStyle name="40% - Accent4 2 5 2 4" xfId="7892" xr:uid="{00000000-0005-0000-0000-00009C330000}"/>
    <cellStyle name="40% - Accent4 2 5 2 4 2" xfId="12228" xr:uid="{00000000-0005-0000-0000-00009D330000}"/>
    <cellStyle name="40% - Accent4 2 5 2 4 2 2" xfId="31698" xr:uid="{00000000-0005-0000-0000-00009E330000}"/>
    <cellStyle name="40% - Accent4 2 5 2 4 3" xfId="27376" xr:uid="{00000000-0005-0000-0000-00009F330000}"/>
    <cellStyle name="40% - Accent4 2 5 2 5" xfId="9345" xr:uid="{00000000-0005-0000-0000-0000A0330000}"/>
    <cellStyle name="40% - Accent4 2 5 2 5 2" xfId="28815" xr:uid="{00000000-0005-0000-0000-0000A1330000}"/>
    <cellStyle name="40% - Accent4 2 5 2 6" xfId="24268" xr:uid="{00000000-0005-0000-0000-0000A2330000}"/>
    <cellStyle name="40% - Accent4 2 5 3" xfId="5097" xr:uid="{00000000-0005-0000-0000-0000A3330000}"/>
    <cellStyle name="40% - Accent4 2 5 3 2" xfId="6253" xr:uid="{00000000-0005-0000-0000-0000A4330000}"/>
    <cellStyle name="40% - Accent4 2 5 3 2 2" xfId="7897" xr:uid="{00000000-0005-0000-0000-0000A5330000}"/>
    <cellStyle name="40% - Accent4 2 5 3 2 2 2" xfId="12233" xr:uid="{00000000-0005-0000-0000-0000A6330000}"/>
    <cellStyle name="40% - Accent4 2 5 3 2 2 2 2" xfId="31703" xr:uid="{00000000-0005-0000-0000-0000A7330000}"/>
    <cellStyle name="40% - Accent4 2 5 3 2 2 3" xfId="27381" xr:uid="{00000000-0005-0000-0000-0000A8330000}"/>
    <cellStyle name="40% - Accent4 2 5 3 2 3" xfId="10670" xr:uid="{00000000-0005-0000-0000-0000A9330000}"/>
    <cellStyle name="40% - Accent4 2 5 3 2 3 2" xfId="30140" xr:uid="{00000000-0005-0000-0000-0000AA330000}"/>
    <cellStyle name="40% - Accent4 2 5 3 2 4" xfId="25738" xr:uid="{00000000-0005-0000-0000-0000AB330000}"/>
    <cellStyle name="40% - Accent4 2 5 3 3" xfId="7896" xr:uid="{00000000-0005-0000-0000-0000AC330000}"/>
    <cellStyle name="40% - Accent4 2 5 3 3 2" xfId="12232" xr:uid="{00000000-0005-0000-0000-0000AD330000}"/>
    <cellStyle name="40% - Accent4 2 5 3 3 2 2" xfId="31702" xr:uid="{00000000-0005-0000-0000-0000AE330000}"/>
    <cellStyle name="40% - Accent4 2 5 3 3 3" xfId="27380" xr:uid="{00000000-0005-0000-0000-0000AF330000}"/>
    <cellStyle name="40% - Accent4 2 5 3 4" xfId="9610" xr:uid="{00000000-0005-0000-0000-0000B0330000}"/>
    <cellStyle name="40% - Accent4 2 5 3 4 2" xfId="29080" xr:uid="{00000000-0005-0000-0000-0000B1330000}"/>
    <cellStyle name="40% - Accent4 2 5 3 5" xfId="24588" xr:uid="{00000000-0005-0000-0000-0000B2330000}"/>
    <cellStyle name="40% - Accent4 2 5 4" xfId="5706" xr:uid="{00000000-0005-0000-0000-0000B3330000}"/>
    <cellStyle name="40% - Accent4 2 5 4 2" xfId="7898" xr:uid="{00000000-0005-0000-0000-0000B4330000}"/>
    <cellStyle name="40% - Accent4 2 5 4 2 2" xfId="12234" xr:uid="{00000000-0005-0000-0000-0000B5330000}"/>
    <cellStyle name="40% - Accent4 2 5 4 2 2 2" xfId="31704" xr:uid="{00000000-0005-0000-0000-0000B6330000}"/>
    <cellStyle name="40% - Accent4 2 5 4 2 3" xfId="27382" xr:uid="{00000000-0005-0000-0000-0000B7330000}"/>
    <cellStyle name="40% - Accent4 2 5 4 3" xfId="10140" xr:uid="{00000000-0005-0000-0000-0000B8330000}"/>
    <cellStyle name="40% - Accent4 2 5 4 3 2" xfId="29610" xr:uid="{00000000-0005-0000-0000-0000B9330000}"/>
    <cellStyle name="40% - Accent4 2 5 4 4" xfId="25191" xr:uid="{00000000-0005-0000-0000-0000BA330000}"/>
    <cellStyle name="40% - Accent4 2 5 5" xfId="7891" xr:uid="{00000000-0005-0000-0000-0000BB330000}"/>
    <cellStyle name="40% - Accent4 2 5 5 2" xfId="12227" xr:uid="{00000000-0005-0000-0000-0000BC330000}"/>
    <cellStyle name="40% - Accent4 2 5 5 2 2" xfId="31697" xr:uid="{00000000-0005-0000-0000-0000BD330000}"/>
    <cellStyle name="40% - Accent4 2 5 5 3" xfId="27375" xr:uid="{00000000-0005-0000-0000-0000BE330000}"/>
    <cellStyle name="40% - Accent4 2 5 6" xfId="9079" xr:uid="{00000000-0005-0000-0000-0000BF330000}"/>
    <cellStyle name="40% - Accent4 2 5 6 2" xfId="28550" xr:uid="{00000000-0005-0000-0000-0000C0330000}"/>
    <cellStyle name="40% - Accent4 2 5 7" xfId="23965" xr:uid="{00000000-0005-0000-0000-0000C1330000}"/>
    <cellStyle name="40% - Accent4 3" xfId="2057" xr:uid="{00000000-0005-0000-0000-0000C2330000}"/>
    <cellStyle name="40% - Accent4 3 2" xfId="4160" xr:uid="{00000000-0005-0000-0000-0000C3330000}"/>
    <cellStyle name="40% - Accent4 4" xfId="2102" xr:uid="{00000000-0005-0000-0000-0000C4330000}"/>
    <cellStyle name="40% - Accent4 4 2" xfId="4209" xr:uid="{00000000-0005-0000-0000-0000C5330000}"/>
    <cellStyle name="40% - Accent4 5" xfId="2720" xr:uid="{00000000-0005-0000-0000-0000C6330000}"/>
    <cellStyle name="40% - Accent5" xfId="1314" builtinId="47" customBuiltin="1"/>
    <cellStyle name="40% - Accent5 2" xfId="1315" xr:uid="{00000000-0005-0000-0000-0000C8330000}"/>
    <cellStyle name="40% - Accent5 2 2" xfId="2721" xr:uid="{00000000-0005-0000-0000-0000C9330000}"/>
    <cellStyle name="40% - Accent5 2 2 10" xfId="23575" xr:uid="{00000000-0005-0000-0000-0000CA330000}"/>
    <cellStyle name="40% - Accent5 2 2 2" xfId="2883" xr:uid="{00000000-0005-0000-0000-0000CB330000}"/>
    <cellStyle name="40% - Accent5 2 2 2 2" xfId="3077" xr:uid="{00000000-0005-0000-0000-0000CC330000}"/>
    <cellStyle name="40% - Accent5 2 2 2 2 2" xfId="4704" xr:uid="{00000000-0005-0000-0000-0000CD330000}"/>
    <cellStyle name="40% - Accent5 2 2 2 2 2 2" xfId="5338" xr:uid="{00000000-0005-0000-0000-0000CE330000}"/>
    <cellStyle name="40% - Accent5 2 2 2 2 2 2 2" xfId="6472" xr:uid="{00000000-0005-0000-0000-0000CF330000}"/>
    <cellStyle name="40% - Accent5 2 2 2 2 2 2 2 2" xfId="7904" xr:uid="{00000000-0005-0000-0000-0000D0330000}"/>
    <cellStyle name="40% - Accent5 2 2 2 2 2 2 2 2 2" xfId="12240" xr:uid="{00000000-0005-0000-0000-0000D1330000}"/>
    <cellStyle name="40% - Accent5 2 2 2 2 2 2 2 2 2 2" xfId="31710" xr:uid="{00000000-0005-0000-0000-0000D2330000}"/>
    <cellStyle name="40% - Accent5 2 2 2 2 2 2 2 2 3" xfId="27388" xr:uid="{00000000-0005-0000-0000-0000D3330000}"/>
    <cellStyle name="40% - Accent5 2 2 2 2 2 2 2 3" xfId="10888" xr:uid="{00000000-0005-0000-0000-0000D4330000}"/>
    <cellStyle name="40% - Accent5 2 2 2 2 2 2 2 3 2" xfId="30358" xr:uid="{00000000-0005-0000-0000-0000D5330000}"/>
    <cellStyle name="40% - Accent5 2 2 2 2 2 2 2 4" xfId="25957" xr:uid="{00000000-0005-0000-0000-0000D6330000}"/>
    <cellStyle name="40% - Accent5 2 2 2 2 2 2 3" xfId="7903" xr:uid="{00000000-0005-0000-0000-0000D7330000}"/>
    <cellStyle name="40% - Accent5 2 2 2 2 2 2 3 2" xfId="12239" xr:uid="{00000000-0005-0000-0000-0000D8330000}"/>
    <cellStyle name="40% - Accent5 2 2 2 2 2 2 3 2 2" xfId="31709" xr:uid="{00000000-0005-0000-0000-0000D9330000}"/>
    <cellStyle name="40% - Accent5 2 2 2 2 2 2 3 3" xfId="27387" xr:uid="{00000000-0005-0000-0000-0000DA330000}"/>
    <cellStyle name="40% - Accent5 2 2 2 2 2 2 4" xfId="9827" xr:uid="{00000000-0005-0000-0000-0000DB330000}"/>
    <cellStyle name="40% - Accent5 2 2 2 2 2 2 4 2" xfId="29297" xr:uid="{00000000-0005-0000-0000-0000DC330000}"/>
    <cellStyle name="40% - Accent5 2 2 2 2 2 2 5" xfId="24829" xr:uid="{00000000-0005-0000-0000-0000DD330000}"/>
    <cellStyle name="40% - Accent5 2 2 2 2 2 3" xfId="5935" xr:uid="{00000000-0005-0000-0000-0000DE330000}"/>
    <cellStyle name="40% - Accent5 2 2 2 2 2 3 2" xfId="7905" xr:uid="{00000000-0005-0000-0000-0000DF330000}"/>
    <cellStyle name="40% - Accent5 2 2 2 2 2 3 2 2" xfId="12241" xr:uid="{00000000-0005-0000-0000-0000E0330000}"/>
    <cellStyle name="40% - Accent5 2 2 2 2 2 3 2 2 2" xfId="31711" xr:uid="{00000000-0005-0000-0000-0000E1330000}"/>
    <cellStyle name="40% - Accent5 2 2 2 2 2 3 2 3" xfId="27389" xr:uid="{00000000-0005-0000-0000-0000E2330000}"/>
    <cellStyle name="40% - Accent5 2 2 2 2 2 3 3" xfId="10357" xr:uid="{00000000-0005-0000-0000-0000E3330000}"/>
    <cellStyle name="40% - Accent5 2 2 2 2 2 3 3 2" xfId="29827" xr:uid="{00000000-0005-0000-0000-0000E4330000}"/>
    <cellStyle name="40% - Accent5 2 2 2 2 2 3 4" xfId="25420" xr:uid="{00000000-0005-0000-0000-0000E5330000}"/>
    <cellStyle name="40% - Accent5 2 2 2 2 2 4" xfId="7902" xr:uid="{00000000-0005-0000-0000-0000E6330000}"/>
    <cellStyle name="40% - Accent5 2 2 2 2 2 4 2" xfId="12238" xr:uid="{00000000-0005-0000-0000-0000E7330000}"/>
    <cellStyle name="40% - Accent5 2 2 2 2 2 4 2 2" xfId="31708" xr:uid="{00000000-0005-0000-0000-0000E8330000}"/>
    <cellStyle name="40% - Accent5 2 2 2 2 2 4 3" xfId="27386" xr:uid="{00000000-0005-0000-0000-0000E9330000}"/>
    <cellStyle name="40% - Accent5 2 2 2 2 2 5" xfId="9297" xr:uid="{00000000-0005-0000-0000-0000EA330000}"/>
    <cellStyle name="40% - Accent5 2 2 2 2 2 5 2" xfId="28767" xr:uid="{00000000-0005-0000-0000-0000EB330000}"/>
    <cellStyle name="40% - Accent5 2 2 2 2 2 6" xfId="24215" xr:uid="{00000000-0005-0000-0000-0000EC330000}"/>
    <cellStyle name="40% - Accent5 2 2 2 2 3" xfId="5042" xr:uid="{00000000-0005-0000-0000-0000ED330000}"/>
    <cellStyle name="40% - Accent5 2 2 2 2 3 2" xfId="6204" xr:uid="{00000000-0005-0000-0000-0000EE330000}"/>
    <cellStyle name="40% - Accent5 2 2 2 2 3 2 2" xfId="7907" xr:uid="{00000000-0005-0000-0000-0000EF330000}"/>
    <cellStyle name="40% - Accent5 2 2 2 2 3 2 2 2" xfId="12243" xr:uid="{00000000-0005-0000-0000-0000F0330000}"/>
    <cellStyle name="40% - Accent5 2 2 2 2 3 2 2 2 2" xfId="31713" xr:uid="{00000000-0005-0000-0000-0000F1330000}"/>
    <cellStyle name="40% - Accent5 2 2 2 2 3 2 2 3" xfId="27391" xr:uid="{00000000-0005-0000-0000-0000F2330000}"/>
    <cellStyle name="40% - Accent5 2 2 2 2 3 2 3" xfId="10622" xr:uid="{00000000-0005-0000-0000-0000F3330000}"/>
    <cellStyle name="40% - Accent5 2 2 2 2 3 2 3 2" xfId="30092" xr:uid="{00000000-0005-0000-0000-0000F4330000}"/>
    <cellStyle name="40% - Accent5 2 2 2 2 3 2 4" xfId="25689" xr:uid="{00000000-0005-0000-0000-0000F5330000}"/>
    <cellStyle name="40% - Accent5 2 2 2 2 3 3" xfId="7906" xr:uid="{00000000-0005-0000-0000-0000F6330000}"/>
    <cellStyle name="40% - Accent5 2 2 2 2 3 3 2" xfId="12242" xr:uid="{00000000-0005-0000-0000-0000F7330000}"/>
    <cellStyle name="40% - Accent5 2 2 2 2 3 3 2 2" xfId="31712" xr:uid="{00000000-0005-0000-0000-0000F8330000}"/>
    <cellStyle name="40% - Accent5 2 2 2 2 3 3 3" xfId="27390" xr:uid="{00000000-0005-0000-0000-0000F9330000}"/>
    <cellStyle name="40% - Accent5 2 2 2 2 3 4" xfId="9562" xr:uid="{00000000-0005-0000-0000-0000FA330000}"/>
    <cellStyle name="40% - Accent5 2 2 2 2 3 4 2" xfId="29032" xr:uid="{00000000-0005-0000-0000-0000FB330000}"/>
    <cellStyle name="40% - Accent5 2 2 2 2 3 5" xfId="24536" xr:uid="{00000000-0005-0000-0000-0000FC330000}"/>
    <cellStyle name="40% - Accent5 2 2 2 2 4" xfId="5647" xr:uid="{00000000-0005-0000-0000-0000FD330000}"/>
    <cellStyle name="40% - Accent5 2 2 2 2 4 2" xfId="7908" xr:uid="{00000000-0005-0000-0000-0000FE330000}"/>
    <cellStyle name="40% - Accent5 2 2 2 2 4 2 2" xfId="12244" xr:uid="{00000000-0005-0000-0000-0000FF330000}"/>
    <cellStyle name="40% - Accent5 2 2 2 2 4 2 2 2" xfId="31714" xr:uid="{00000000-0005-0000-0000-000000340000}"/>
    <cellStyle name="40% - Accent5 2 2 2 2 4 2 3" xfId="27392" xr:uid="{00000000-0005-0000-0000-000001340000}"/>
    <cellStyle name="40% - Accent5 2 2 2 2 4 3" xfId="10092" xr:uid="{00000000-0005-0000-0000-000002340000}"/>
    <cellStyle name="40% - Accent5 2 2 2 2 4 3 2" xfId="29562" xr:uid="{00000000-0005-0000-0000-000003340000}"/>
    <cellStyle name="40% - Accent5 2 2 2 2 4 4" xfId="25134" xr:uid="{00000000-0005-0000-0000-000004340000}"/>
    <cellStyle name="40% - Accent5 2 2 2 2 5" xfId="7901" xr:uid="{00000000-0005-0000-0000-000005340000}"/>
    <cellStyle name="40% - Accent5 2 2 2 2 5 2" xfId="12237" xr:uid="{00000000-0005-0000-0000-000006340000}"/>
    <cellStyle name="40% - Accent5 2 2 2 2 5 2 2" xfId="31707" xr:uid="{00000000-0005-0000-0000-000007340000}"/>
    <cellStyle name="40% - Accent5 2 2 2 2 5 3" xfId="27385" xr:uid="{00000000-0005-0000-0000-000008340000}"/>
    <cellStyle name="40% - Accent5 2 2 2 2 6" xfId="9028" xr:uid="{00000000-0005-0000-0000-000009340000}"/>
    <cellStyle name="40% - Accent5 2 2 2 2 6 2" xfId="28502" xr:uid="{00000000-0005-0000-0000-00000A340000}"/>
    <cellStyle name="40% - Accent5 2 2 2 2 7" xfId="23886" xr:uid="{00000000-0005-0000-0000-00000B340000}"/>
    <cellStyle name="40% - Accent5 2 2 2 3" xfId="4284" xr:uid="{00000000-0005-0000-0000-00000C340000}"/>
    <cellStyle name="40% - Accent5 2 2 2 3 2" xfId="4859" xr:uid="{00000000-0005-0000-0000-00000D340000}"/>
    <cellStyle name="40% - Accent5 2 2 2 3 2 2" xfId="5484" xr:uid="{00000000-0005-0000-0000-00000E340000}"/>
    <cellStyle name="40% - Accent5 2 2 2 3 2 2 2" xfId="6612" xr:uid="{00000000-0005-0000-0000-00000F340000}"/>
    <cellStyle name="40% - Accent5 2 2 2 3 2 2 2 2" xfId="7912" xr:uid="{00000000-0005-0000-0000-000010340000}"/>
    <cellStyle name="40% - Accent5 2 2 2 3 2 2 2 2 2" xfId="12248" xr:uid="{00000000-0005-0000-0000-000011340000}"/>
    <cellStyle name="40% - Accent5 2 2 2 3 2 2 2 2 2 2" xfId="31718" xr:uid="{00000000-0005-0000-0000-000012340000}"/>
    <cellStyle name="40% - Accent5 2 2 2 3 2 2 2 2 3" xfId="27396" xr:uid="{00000000-0005-0000-0000-000013340000}"/>
    <cellStyle name="40% - Accent5 2 2 2 3 2 2 2 3" xfId="11028" xr:uid="{00000000-0005-0000-0000-000014340000}"/>
    <cellStyle name="40% - Accent5 2 2 2 3 2 2 2 3 2" xfId="30498" xr:uid="{00000000-0005-0000-0000-000015340000}"/>
    <cellStyle name="40% - Accent5 2 2 2 3 2 2 2 4" xfId="26097" xr:uid="{00000000-0005-0000-0000-000016340000}"/>
    <cellStyle name="40% - Accent5 2 2 2 3 2 2 3" xfId="7911" xr:uid="{00000000-0005-0000-0000-000017340000}"/>
    <cellStyle name="40% - Accent5 2 2 2 3 2 2 3 2" xfId="12247" xr:uid="{00000000-0005-0000-0000-000018340000}"/>
    <cellStyle name="40% - Accent5 2 2 2 3 2 2 3 2 2" xfId="31717" xr:uid="{00000000-0005-0000-0000-000019340000}"/>
    <cellStyle name="40% - Accent5 2 2 2 3 2 2 3 3" xfId="27395" xr:uid="{00000000-0005-0000-0000-00001A340000}"/>
    <cellStyle name="40% - Accent5 2 2 2 3 2 2 4" xfId="9967" xr:uid="{00000000-0005-0000-0000-00001B340000}"/>
    <cellStyle name="40% - Accent5 2 2 2 3 2 2 4 2" xfId="29437" xr:uid="{00000000-0005-0000-0000-00001C340000}"/>
    <cellStyle name="40% - Accent5 2 2 2 3 2 2 5" xfId="24975" xr:uid="{00000000-0005-0000-0000-00001D340000}"/>
    <cellStyle name="40% - Accent5 2 2 2 3 2 3" xfId="6077" xr:uid="{00000000-0005-0000-0000-00001E340000}"/>
    <cellStyle name="40% - Accent5 2 2 2 3 2 3 2" xfId="7913" xr:uid="{00000000-0005-0000-0000-00001F340000}"/>
    <cellStyle name="40% - Accent5 2 2 2 3 2 3 2 2" xfId="12249" xr:uid="{00000000-0005-0000-0000-000020340000}"/>
    <cellStyle name="40% - Accent5 2 2 2 3 2 3 2 2 2" xfId="31719" xr:uid="{00000000-0005-0000-0000-000021340000}"/>
    <cellStyle name="40% - Accent5 2 2 2 3 2 3 2 3" xfId="27397" xr:uid="{00000000-0005-0000-0000-000022340000}"/>
    <cellStyle name="40% - Accent5 2 2 2 3 2 3 3" xfId="10497" xr:uid="{00000000-0005-0000-0000-000023340000}"/>
    <cellStyle name="40% - Accent5 2 2 2 3 2 3 3 2" xfId="29967" xr:uid="{00000000-0005-0000-0000-000024340000}"/>
    <cellStyle name="40% - Accent5 2 2 2 3 2 3 4" xfId="25562" xr:uid="{00000000-0005-0000-0000-000025340000}"/>
    <cellStyle name="40% - Accent5 2 2 2 3 2 4" xfId="7910" xr:uid="{00000000-0005-0000-0000-000026340000}"/>
    <cellStyle name="40% - Accent5 2 2 2 3 2 4 2" xfId="12246" xr:uid="{00000000-0005-0000-0000-000027340000}"/>
    <cellStyle name="40% - Accent5 2 2 2 3 2 4 2 2" xfId="31716" xr:uid="{00000000-0005-0000-0000-000028340000}"/>
    <cellStyle name="40% - Accent5 2 2 2 3 2 4 3" xfId="27394" xr:uid="{00000000-0005-0000-0000-000029340000}"/>
    <cellStyle name="40% - Accent5 2 2 2 3 2 5" xfId="9437" xr:uid="{00000000-0005-0000-0000-00002A340000}"/>
    <cellStyle name="40% - Accent5 2 2 2 3 2 5 2" xfId="28907" xr:uid="{00000000-0005-0000-0000-00002B340000}"/>
    <cellStyle name="40% - Accent5 2 2 2 3 2 6" xfId="24361" xr:uid="{00000000-0005-0000-0000-00002C340000}"/>
    <cellStyle name="40% - Accent5 2 2 2 3 3" xfId="5189" xr:uid="{00000000-0005-0000-0000-00002D340000}"/>
    <cellStyle name="40% - Accent5 2 2 2 3 3 2" xfId="6345" xr:uid="{00000000-0005-0000-0000-00002E340000}"/>
    <cellStyle name="40% - Accent5 2 2 2 3 3 2 2" xfId="7915" xr:uid="{00000000-0005-0000-0000-00002F340000}"/>
    <cellStyle name="40% - Accent5 2 2 2 3 3 2 2 2" xfId="12251" xr:uid="{00000000-0005-0000-0000-000030340000}"/>
    <cellStyle name="40% - Accent5 2 2 2 3 3 2 2 2 2" xfId="31721" xr:uid="{00000000-0005-0000-0000-000031340000}"/>
    <cellStyle name="40% - Accent5 2 2 2 3 3 2 2 3" xfId="27399" xr:uid="{00000000-0005-0000-0000-000032340000}"/>
    <cellStyle name="40% - Accent5 2 2 2 3 3 2 3" xfId="10762" xr:uid="{00000000-0005-0000-0000-000033340000}"/>
    <cellStyle name="40% - Accent5 2 2 2 3 3 2 3 2" xfId="30232" xr:uid="{00000000-0005-0000-0000-000034340000}"/>
    <cellStyle name="40% - Accent5 2 2 2 3 3 2 4" xfId="25830" xr:uid="{00000000-0005-0000-0000-000035340000}"/>
    <cellStyle name="40% - Accent5 2 2 2 3 3 3" xfId="7914" xr:uid="{00000000-0005-0000-0000-000036340000}"/>
    <cellStyle name="40% - Accent5 2 2 2 3 3 3 2" xfId="12250" xr:uid="{00000000-0005-0000-0000-000037340000}"/>
    <cellStyle name="40% - Accent5 2 2 2 3 3 3 2 2" xfId="31720" xr:uid="{00000000-0005-0000-0000-000038340000}"/>
    <cellStyle name="40% - Accent5 2 2 2 3 3 3 3" xfId="27398" xr:uid="{00000000-0005-0000-0000-000039340000}"/>
    <cellStyle name="40% - Accent5 2 2 2 3 3 4" xfId="9702" xr:uid="{00000000-0005-0000-0000-00003A340000}"/>
    <cellStyle name="40% - Accent5 2 2 2 3 3 4 2" xfId="29172" xr:uid="{00000000-0005-0000-0000-00003B340000}"/>
    <cellStyle name="40% - Accent5 2 2 2 3 3 5" xfId="24680" xr:uid="{00000000-0005-0000-0000-00003C340000}"/>
    <cellStyle name="40% - Accent5 2 2 2 3 4" xfId="5798" xr:uid="{00000000-0005-0000-0000-00003D340000}"/>
    <cellStyle name="40% - Accent5 2 2 2 3 4 2" xfId="7916" xr:uid="{00000000-0005-0000-0000-00003E340000}"/>
    <cellStyle name="40% - Accent5 2 2 2 3 4 2 2" xfId="12252" xr:uid="{00000000-0005-0000-0000-00003F340000}"/>
    <cellStyle name="40% - Accent5 2 2 2 3 4 2 2 2" xfId="31722" xr:uid="{00000000-0005-0000-0000-000040340000}"/>
    <cellStyle name="40% - Accent5 2 2 2 3 4 2 3" xfId="27400" xr:uid="{00000000-0005-0000-0000-000041340000}"/>
    <cellStyle name="40% - Accent5 2 2 2 3 4 3" xfId="10232" xr:uid="{00000000-0005-0000-0000-000042340000}"/>
    <cellStyle name="40% - Accent5 2 2 2 3 4 3 2" xfId="29702" xr:uid="{00000000-0005-0000-0000-000043340000}"/>
    <cellStyle name="40% - Accent5 2 2 2 3 4 4" xfId="25283" xr:uid="{00000000-0005-0000-0000-000044340000}"/>
    <cellStyle name="40% - Accent5 2 2 2 3 5" xfId="7909" xr:uid="{00000000-0005-0000-0000-000045340000}"/>
    <cellStyle name="40% - Accent5 2 2 2 3 5 2" xfId="12245" xr:uid="{00000000-0005-0000-0000-000046340000}"/>
    <cellStyle name="40% - Accent5 2 2 2 3 5 2 2" xfId="31715" xr:uid="{00000000-0005-0000-0000-000047340000}"/>
    <cellStyle name="40% - Accent5 2 2 2 3 5 3" xfId="27393" xr:uid="{00000000-0005-0000-0000-000048340000}"/>
    <cellStyle name="40% - Accent5 2 2 2 3 6" xfId="9171" xr:uid="{00000000-0005-0000-0000-000049340000}"/>
    <cellStyle name="40% - Accent5 2 2 2 3 6 2" xfId="28642" xr:uid="{00000000-0005-0000-0000-00004A340000}"/>
    <cellStyle name="40% - Accent5 2 2 2 3 7" xfId="24060" xr:uid="{00000000-0005-0000-0000-00004B340000}"/>
    <cellStyle name="40% - Accent5 2 2 2 4" xfId="4632" xr:uid="{00000000-0005-0000-0000-00004C340000}"/>
    <cellStyle name="40% - Accent5 2 2 2 4 2" xfId="5272" xr:uid="{00000000-0005-0000-0000-00004D340000}"/>
    <cellStyle name="40% - Accent5 2 2 2 4 2 2" xfId="6406" xr:uid="{00000000-0005-0000-0000-00004E340000}"/>
    <cellStyle name="40% - Accent5 2 2 2 4 2 2 2" xfId="7919" xr:uid="{00000000-0005-0000-0000-00004F340000}"/>
    <cellStyle name="40% - Accent5 2 2 2 4 2 2 2 2" xfId="12255" xr:uid="{00000000-0005-0000-0000-000050340000}"/>
    <cellStyle name="40% - Accent5 2 2 2 4 2 2 2 2 2" xfId="31725" xr:uid="{00000000-0005-0000-0000-000051340000}"/>
    <cellStyle name="40% - Accent5 2 2 2 4 2 2 2 3" xfId="27403" xr:uid="{00000000-0005-0000-0000-000052340000}"/>
    <cellStyle name="40% - Accent5 2 2 2 4 2 2 3" xfId="10822" xr:uid="{00000000-0005-0000-0000-000053340000}"/>
    <cellStyle name="40% - Accent5 2 2 2 4 2 2 3 2" xfId="30292" xr:uid="{00000000-0005-0000-0000-000054340000}"/>
    <cellStyle name="40% - Accent5 2 2 2 4 2 2 4" xfId="25891" xr:uid="{00000000-0005-0000-0000-000055340000}"/>
    <cellStyle name="40% - Accent5 2 2 2 4 2 3" xfId="7918" xr:uid="{00000000-0005-0000-0000-000056340000}"/>
    <cellStyle name="40% - Accent5 2 2 2 4 2 3 2" xfId="12254" xr:uid="{00000000-0005-0000-0000-000057340000}"/>
    <cellStyle name="40% - Accent5 2 2 2 4 2 3 2 2" xfId="31724" xr:uid="{00000000-0005-0000-0000-000058340000}"/>
    <cellStyle name="40% - Accent5 2 2 2 4 2 3 3" xfId="27402" xr:uid="{00000000-0005-0000-0000-000059340000}"/>
    <cellStyle name="40% - Accent5 2 2 2 4 2 4" xfId="9761" xr:uid="{00000000-0005-0000-0000-00005A340000}"/>
    <cellStyle name="40% - Accent5 2 2 2 4 2 4 2" xfId="29231" xr:uid="{00000000-0005-0000-0000-00005B340000}"/>
    <cellStyle name="40% - Accent5 2 2 2 4 2 5" xfId="24763" xr:uid="{00000000-0005-0000-0000-00005C340000}"/>
    <cellStyle name="40% - Accent5 2 2 2 4 3" xfId="5869" xr:uid="{00000000-0005-0000-0000-00005D340000}"/>
    <cellStyle name="40% - Accent5 2 2 2 4 3 2" xfId="7920" xr:uid="{00000000-0005-0000-0000-00005E340000}"/>
    <cellStyle name="40% - Accent5 2 2 2 4 3 2 2" xfId="12256" xr:uid="{00000000-0005-0000-0000-00005F340000}"/>
    <cellStyle name="40% - Accent5 2 2 2 4 3 2 2 2" xfId="31726" xr:uid="{00000000-0005-0000-0000-000060340000}"/>
    <cellStyle name="40% - Accent5 2 2 2 4 3 2 3" xfId="27404" xr:uid="{00000000-0005-0000-0000-000061340000}"/>
    <cellStyle name="40% - Accent5 2 2 2 4 3 3" xfId="10291" xr:uid="{00000000-0005-0000-0000-000062340000}"/>
    <cellStyle name="40% - Accent5 2 2 2 4 3 3 2" xfId="29761" xr:uid="{00000000-0005-0000-0000-000063340000}"/>
    <cellStyle name="40% - Accent5 2 2 2 4 3 4" xfId="25354" xr:uid="{00000000-0005-0000-0000-000064340000}"/>
    <cellStyle name="40% - Accent5 2 2 2 4 4" xfId="7917" xr:uid="{00000000-0005-0000-0000-000065340000}"/>
    <cellStyle name="40% - Accent5 2 2 2 4 4 2" xfId="12253" xr:uid="{00000000-0005-0000-0000-000066340000}"/>
    <cellStyle name="40% - Accent5 2 2 2 4 4 2 2" xfId="31723" xr:uid="{00000000-0005-0000-0000-000067340000}"/>
    <cellStyle name="40% - Accent5 2 2 2 4 4 3" xfId="27401" xr:uid="{00000000-0005-0000-0000-000068340000}"/>
    <cellStyle name="40% - Accent5 2 2 2 4 5" xfId="9231" xr:uid="{00000000-0005-0000-0000-000069340000}"/>
    <cellStyle name="40% - Accent5 2 2 2 4 5 2" xfId="28701" xr:uid="{00000000-0005-0000-0000-00006A340000}"/>
    <cellStyle name="40% - Accent5 2 2 2 4 6" xfId="24143" xr:uid="{00000000-0005-0000-0000-00006B340000}"/>
    <cellStyle name="40% - Accent5 2 2 2 5" xfId="4976" xr:uid="{00000000-0005-0000-0000-00006C340000}"/>
    <cellStyle name="40% - Accent5 2 2 2 5 2" xfId="6138" xr:uid="{00000000-0005-0000-0000-00006D340000}"/>
    <cellStyle name="40% - Accent5 2 2 2 5 2 2" xfId="7922" xr:uid="{00000000-0005-0000-0000-00006E340000}"/>
    <cellStyle name="40% - Accent5 2 2 2 5 2 2 2" xfId="12258" xr:uid="{00000000-0005-0000-0000-00006F340000}"/>
    <cellStyle name="40% - Accent5 2 2 2 5 2 2 2 2" xfId="31728" xr:uid="{00000000-0005-0000-0000-000070340000}"/>
    <cellStyle name="40% - Accent5 2 2 2 5 2 2 3" xfId="27406" xr:uid="{00000000-0005-0000-0000-000071340000}"/>
    <cellStyle name="40% - Accent5 2 2 2 5 2 3" xfId="10556" xr:uid="{00000000-0005-0000-0000-000072340000}"/>
    <cellStyle name="40% - Accent5 2 2 2 5 2 3 2" xfId="30026" xr:uid="{00000000-0005-0000-0000-000073340000}"/>
    <cellStyle name="40% - Accent5 2 2 2 5 2 4" xfId="25623" xr:uid="{00000000-0005-0000-0000-000074340000}"/>
    <cellStyle name="40% - Accent5 2 2 2 5 3" xfId="7921" xr:uid="{00000000-0005-0000-0000-000075340000}"/>
    <cellStyle name="40% - Accent5 2 2 2 5 3 2" xfId="12257" xr:uid="{00000000-0005-0000-0000-000076340000}"/>
    <cellStyle name="40% - Accent5 2 2 2 5 3 2 2" xfId="31727" xr:uid="{00000000-0005-0000-0000-000077340000}"/>
    <cellStyle name="40% - Accent5 2 2 2 5 3 3" xfId="27405" xr:uid="{00000000-0005-0000-0000-000078340000}"/>
    <cellStyle name="40% - Accent5 2 2 2 5 4" xfId="9496" xr:uid="{00000000-0005-0000-0000-000079340000}"/>
    <cellStyle name="40% - Accent5 2 2 2 5 4 2" xfId="28966" xr:uid="{00000000-0005-0000-0000-00007A340000}"/>
    <cellStyle name="40% - Accent5 2 2 2 5 5" xfId="24470" xr:uid="{00000000-0005-0000-0000-00007B340000}"/>
    <cellStyle name="40% - Accent5 2 2 2 6" xfId="5581" xr:uid="{00000000-0005-0000-0000-00007C340000}"/>
    <cellStyle name="40% - Accent5 2 2 2 6 2" xfId="7923" xr:uid="{00000000-0005-0000-0000-00007D340000}"/>
    <cellStyle name="40% - Accent5 2 2 2 6 2 2" xfId="12259" xr:uid="{00000000-0005-0000-0000-00007E340000}"/>
    <cellStyle name="40% - Accent5 2 2 2 6 2 2 2" xfId="31729" xr:uid="{00000000-0005-0000-0000-00007F340000}"/>
    <cellStyle name="40% - Accent5 2 2 2 6 2 3" xfId="27407" xr:uid="{00000000-0005-0000-0000-000080340000}"/>
    <cellStyle name="40% - Accent5 2 2 2 6 3" xfId="10026" xr:uid="{00000000-0005-0000-0000-000081340000}"/>
    <cellStyle name="40% - Accent5 2 2 2 6 3 2" xfId="29496" xr:uid="{00000000-0005-0000-0000-000082340000}"/>
    <cellStyle name="40% - Accent5 2 2 2 6 4" xfId="25068" xr:uid="{00000000-0005-0000-0000-000083340000}"/>
    <cellStyle name="40% - Accent5 2 2 2 7" xfId="7900" xr:uid="{00000000-0005-0000-0000-000084340000}"/>
    <cellStyle name="40% - Accent5 2 2 2 7 2" xfId="12236" xr:uid="{00000000-0005-0000-0000-000085340000}"/>
    <cellStyle name="40% - Accent5 2 2 2 7 2 2" xfId="31706" xr:uid="{00000000-0005-0000-0000-000086340000}"/>
    <cellStyle name="40% - Accent5 2 2 2 7 3" xfId="27384" xr:uid="{00000000-0005-0000-0000-000087340000}"/>
    <cellStyle name="40% - Accent5 2 2 2 8" xfId="8962" xr:uid="{00000000-0005-0000-0000-000088340000}"/>
    <cellStyle name="40% - Accent5 2 2 2 8 2" xfId="28436" xr:uid="{00000000-0005-0000-0000-000089340000}"/>
    <cellStyle name="40% - Accent5 2 2 2 9" xfId="23694" xr:uid="{00000000-0005-0000-0000-00008A340000}"/>
    <cellStyle name="40% - Accent5 2 2 3" xfId="2959" xr:uid="{00000000-0005-0000-0000-00008B340000}"/>
    <cellStyle name="40% - Accent5 2 2 3 2" xfId="4666" xr:uid="{00000000-0005-0000-0000-00008C340000}"/>
    <cellStyle name="40% - Accent5 2 2 3 2 2" xfId="5306" xr:uid="{00000000-0005-0000-0000-00008D340000}"/>
    <cellStyle name="40% - Accent5 2 2 3 2 2 2" xfId="6440" xr:uid="{00000000-0005-0000-0000-00008E340000}"/>
    <cellStyle name="40% - Accent5 2 2 3 2 2 2 2" xfId="7927" xr:uid="{00000000-0005-0000-0000-00008F340000}"/>
    <cellStyle name="40% - Accent5 2 2 3 2 2 2 2 2" xfId="12263" xr:uid="{00000000-0005-0000-0000-000090340000}"/>
    <cellStyle name="40% - Accent5 2 2 3 2 2 2 2 2 2" xfId="31733" xr:uid="{00000000-0005-0000-0000-000091340000}"/>
    <cellStyle name="40% - Accent5 2 2 3 2 2 2 2 3" xfId="27411" xr:uid="{00000000-0005-0000-0000-000092340000}"/>
    <cellStyle name="40% - Accent5 2 2 3 2 2 2 3" xfId="10856" xr:uid="{00000000-0005-0000-0000-000093340000}"/>
    <cellStyle name="40% - Accent5 2 2 3 2 2 2 3 2" xfId="30326" xr:uid="{00000000-0005-0000-0000-000094340000}"/>
    <cellStyle name="40% - Accent5 2 2 3 2 2 2 4" xfId="25925" xr:uid="{00000000-0005-0000-0000-000095340000}"/>
    <cellStyle name="40% - Accent5 2 2 3 2 2 3" xfId="7926" xr:uid="{00000000-0005-0000-0000-000096340000}"/>
    <cellStyle name="40% - Accent5 2 2 3 2 2 3 2" xfId="12262" xr:uid="{00000000-0005-0000-0000-000097340000}"/>
    <cellStyle name="40% - Accent5 2 2 3 2 2 3 2 2" xfId="31732" xr:uid="{00000000-0005-0000-0000-000098340000}"/>
    <cellStyle name="40% - Accent5 2 2 3 2 2 3 3" xfId="27410" xr:uid="{00000000-0005-0000-0000-000099340000}"/>
    <cellStyle name="40% - Accent5 2 2 3 2 2 4" xfId="9795" xr:uid="{00000000-0005-0000-0000-00009A340000}"/>
    <cellStyle name="40% - Accent5 2 2 3 2 2 4 2" xfId="29265" xr:uid="{00000000-0005-0000-0000-00009B340000}"/>
    <cellStyle name="40% - Accent5 2 2 3 2 2 5" xfId="24797" xr:uid="{00000000-0005-0000-0000-00009C340000}"/>
    <cellStyle name="40% - Accent5 2 2 3 2 3" xfId="5903" xr:uid="{00000000-0005-0000-0000-00009D340000}"/>
    <cellStyle name="40% - Accent5 2 2 3 2 3 2" xfId="7928" xr:uid="{00000000-0005-0000-0000-00009E340000}"/>
    <cellStyle name="40% - Accent5 2 2 3 2 3 2 2" xfId="12264" xr:uid="{00000000-0005-0000-0000-00009F340000}"/>
    <cellStyle name="40% - Accent5 2 2 3 2 3 2 2 2" xfId="31734" xr:uid="{00000000-0005-0000-0000-0000A0340000}"/>
    <cellStyle name="40% - Accent5 2 2 3 2 3 2 3" xfId="27412" xr:uid="{00000000-0005-0000-0000-0000A1340000}"/>
    <cellStyle name="40% - Accent5 2 2 3 2 3 3" xfId="10325" xr:uid="{00000000-0005-0000-0000-0000A2340000}"/>
    <cellStyle name="40% - Accent5 2 2 3 2 3 3 2" xfId="29795" xr:uid="{00000000-0005-0000-0000-0000A3340000}"/>
    <cellStyle name="40% - Accent5 2 2 3 2 3 4" xfId="25388" xr:uid="{00000000-0005-0000-0000-0000A4340000}"/>
    <cellStyle name="40% - Accent5 2 2 3 2 4" xfId="7925" xr:uid="{00000000-0005-0000-0000-0000A5340000}"/>
    <cellStyle name="40% - Accent5 2 2 3 2 4 2" xfId="12261" xr:uid="{00000000-0005-0000-0000-0000A6340000}"/>
    <cellStyle name="40% - Accent5 2 2 3 2 4 2 2" xfId="31731" xr:uid="{00000000-0005-0000-0000-0000A7340000}"/>
    <cellStyle name="40% - Accent5 2 2 3 2 4 3" xfId="27409" xr:uid="{00000000-0005-0000-0000-0000A8340000}"/>
    <cellStyle name="40% - Accent5 2 2 3 2 5" xfId="9265" xr:uid="{00000000-0005-0000-0000-0000A9340000}"/>
    <cellStyle name="40% - Accent5 2 2 3 2 5 2" xfId="28735" xr:uid="{00000000-0005-0000-0000-0000AA340000}"/>
    <cellStyle name="40% - Accent5 2 2 3 2 6" xfId="24177" xr:uid="{00000000-0005-0000-0000-0000AB340000}"/>
    <cellStyle name="40% - Accent5 2 2 3 3" xfId="5010" xr:uid="{00000000-0005-0000-0000-0000AC340000}"/>
    <cellStyle name="40% - Accent5 2 2 3 3 2" xfId="6172" xr:uid="{00000000-0005-0000-0000-0000AD340000}"/>
    <cellStyle name="40% - Accent5 2 2 3 3 2 2" xfId="7930" xr:uid="{00000000-0005-0000-0000-0000AE340000}"/>
    <cellStyle name="40% - Accent5 2 2 3 3 2 2 2" xfId="12266" xr:uid="{00000000-0005-0000-0000-0000AF340000}"/>
    <cellStyle name="40% - Accent5 2 2 3 3 2 2 2 2" xfId="31736" xr:uid="{00000000-0005-0000-0000-0000B0340000}"/>
    <cellStyle name="40% - Accent5 2 2 3 3 2 2 3" xfId="27414" xr:uid="{00000000-0005-0000-0000-0000B1340000}"/>
    <cellStyle name="40% - Accent5 2 2 3 3 2 3" xfId="10590" xr:uid="{00000000-0005-0000-0000-0000B2340000}"/>
    <cellStyle name="40% - Accent5 2 2 3 3 2 3 2" xfId="30060" xr:uid="{00000000-0005-0000-0000-0000B3340000}"/>
    <cellStyle name="40% - Accent5 2 2 3 3 2 4" xfId="25657" xr:uid="{00000000-0005-0000-0000-0000B4340000}"/>
    <cellStyle name="40% - Accent5 2 2 3 3 3" xfId="7929" xr:uid="{00000000-0005-0000-0000-0000B5340000}"/>
    <cellStyle name="40% - Accent5 2 2 3 3 3 2" xfId="12265" xr:uid="{00000000-0005-0000-0000-0000B6340000}"/>
    <cellStyle name="40% - Accent5 2 2 3 3 3 2 2" xfId="31735" xr:uid="{00000000-0005-0000-0000-0000B7340000}"/>
    <cellStyle name="40% - Accent5 2 2 3 3 3 3" xfId="27413" xr:uid="{00000000-0005-0000-0000-0000B8340000}"/>
    <cellStyle name="40% - Accent5 2 2 3 3 4" xfId="9530" xr:uid="{00000000-0005-0000-0000-0000B9340000}"/>
    <cellStyle name="40% - Accent5 2 2 3 3 4 2" xfId="29000" xr:uid="{00000000-0005-0000-0000-0000BA340000}"/>
    <cellStyle name="40% - Accent5 2 2 3 3 5" xfId="24504" xr:uid="{00000000-0005-0000-0000-0000BB340000}"/>
    <cellStyle name="40% - Accent5 2 2 3 4" xfId="5615" xr:uid="{00000000-0005-0000-0000-0000BC340000}"/>
    <cellStyle name="40% - Accent5 2 2 3 4 2" xfId="7931" xr:uid="{00000000-0005-0000-0000-0000BD340000}"/>
    <cellStyle name="40% - Accent5 2 2 3 4 2 2" xfId="12267" xr:uid="{00000000-0005-0000-0000-0000BE340000}"/>
    <cellStyle name="40% - Accent5 2 2 3 4 2 2 2" xfId="31737" xr:uid="{00000000-0005-0000-0000-0000BF340000}"/>
    <cellStyle name="40% - Accent5 2 2 3 4 2 3" xfId="27415" xr:uid="{00000000-0005-0000-0000-0000C0340000}"/>
    <cellStyle name="40% - Accent5 2 2 3 4 3" xfId="10060" xr:uid="{00000000-0005-0000-0000-0000C1340000}"/>
    <cellStyle name="40% - Accent5 2 2 3 4 3 2" xfId="29530" xr:uid="{00000000-0005-0000-0000-0000C2340000}"/>
    <cellStyle name="40% - Accent5 2 2 3 4 4" xfId="25102" xr:uid="{00000000-0005-0000-0000-0000C3340000}"/>
    <cellStyle name="40% - Accent5 2 2 3 5" xfId="7924" xr:uid="{00000000-0005-0000-0000-0000C4340000}"/>
    <cellStyle name="40% - Accent5 2 2 3 5 2" xfId="12260" xr:uid="{00000000-0005-0000-0000-0000C5340000}"/>
    <cellStyle name="40% - Accent5 2 2 3 5 2 2" xfId="31730" xr:uid="{00000000-0005-0000-0000-0000C6340000}"/>
    <cellStyle name="40% - Accent5 2 2 3 5 3" xfId="27408" xr:uid="{00000000-0005-0000-0000-0000C7340000}"/>
    <cellStyle name="40% - Accent5 2 2 3 6" xfId="8996" xr:uid="{00000000-0005-0000-0000-0000C8340000}"/>
    <cellStyle name="40% - Accent5 2 2 3 6 2" xfId="28470" xr:uid="{00000000-0005-0000-0000-0000C9340000}"/>
    <cellStyle name="40% - Accent5 2 2 3 7" xfId="23768" xr:uid="{00000000-0005-0000-0000-0000CA340000}"/>
    <cellStyle name="40% - Accent5 2 2 4" xfId="4229" xr:uid="{00000000-0005-0000-0000-0000CB340000}"/>
    <cellStyle name="40% - Accent5 2 2 4 2" xfId="4804" xr:uid="{00000000-0005-0000-0000-0000CC340000}"/>
    <cellStyle name="40% - Accent5 2 2 4 2 2" xfId="5430" xr:uid="{00000000-0005-0000-0000-0000CD340000}"/>
    <cellStyle name="40% - Accent5 2 2 4 2 2 2" xfId="6558" xr:uid="{00000000-0005-0000-0000-0000CE340000}"/>
    <cellStyle name="40% - Accent5 2 2 4 2 2 2 2" xfId="7935" xr:uid="{00000000-0005-0000-0000-0000CF340000}"/>
    <cellStyle name="40% - Accent5 2 2 4 2 2 2 2 2" xfId="12271" xr:uid="{00000000-0005-0000-0000-0000D0340000}"/>
    <cellStyle name="40% - Accent5 2 2 4 2 2 2 2 2 2" xfId="31741" xr:uid="{00000000-0005-0000-0000-0000D1340000}"/>
    <cellStyle name="40% - Accent5 2 2 4 2 2 2 2 3" xfId="27419" xr:uid="{00000000-0005-0000-0000-0000D2340000}"/>
    <cellStyle name="40% - Accent5 2 2 4 2 2 2 3" xfId="10974" xr:uid="{00000000-0005-0000-0000-0000D3340000}"/>
    <cellStyle name="40% - Accent5 2 2 4 2 2 2 3 2" xfId="30444" xr:uid="{00000000-0005-0000-0000-0000D4340000}"/>
    <cellStyle name="40% - Accent5 2 2 4 2 2 2 4" xfId="26043" xr:uid="{00000000-0005-0000-0000-0000D5340000}"/>
    <cellStyle name="40% - Accent5 2 2 4 2 2 3" xfId="7934" xr:uid="{00000000-0005-0000-0000-0000D6340000}"/>
    <cellStyle name="40% - Accent5 2 2 4 2 2 3 2" xfId="12270" xr:uid="{00000000-0005-0000-0000-0000D7340000}"/>
    <cellStyle name="40% - Accent5 2 2 4 2 2 3 2 2" xfId="31740" xr:uid="{00000000-0005-0000-0000-0000D8340000}"/>
    <cellStyle name="40% - Accent5 2 2 4 2 2 3 3" xfId="27418" xr:uid="{00000000-0005-0000-0000-0000D9340000}"/>
    <cellStyle name="40% - Accent5 2 2 4 2 2 4" xfId="9913" xr:uid="{00000000-0005-0000-0000-0000DA340000}"/>
    <cellStyle name="40% - Accent5 2 2 4 2 2 4 2" xfId="29383" xr:uid="{00000000-0005-0000-0000-0000DB340000}"/>
    <cellStyle name="40% - Accent5 2 2 4 2 2 5" xfId="24921" xr:uid="{00000000-0005-0000-0000-0000DC340000}"/>
    <cellStyle name="40% - Accent5 2 2 4 2 3" xfId="6022" xr:uid="{00000000-0005-0000-0000-0000DD340000}"/>
    <cellStyle name="40% - Accent5 2 2 4 2 3 2" xfId="7936" xr:uid="{00000000-0005-0000-0000-0000DE340000}"/>
    <cellStyle name="40% - Accent5 2 2 4 2 3 2 2" xfId="12272" xr:uid="{00000000-0005-0000-0000-0000DF340000}"/>
    <cellStyle name="40% - Accent5 2 2 4 2 3 2 2 2" xfId="31742" xr:uid="{00000000-0005-0000-0000-0000E0340000}"/>
    <cellStyle name="40% - Accent5 2 2 4 2 3 2 3" xfId="27420" xr:uid="{00000000-0005-0000-0000-0000E1340000}"/>
    <cellStyle name="40% - Accent5 2 2 4 2 3 3" xfId="10443" xr:uid="{00000000-0005-0000-0000-0000E2340000}"/>
    <cellStyle name="40% - Accent5 2 2 4 2 3 3 2" xfId="29913" xr:uid="{00000000-0005-0000-0000-0000E3340000}"/>
    <cellStyle name="40% - Accent5 2 2 4 2 3 4" xfId="25507" xr:uid="{00000000-0005-0000-0000-0000E4340000}"/>
    <cellStyle name="40% - Accent5 2 2 4 2 4" xfId="7933" xr:uid="{00000000-0005-0000-0000-0000E5340000}"/>
    <cellStyle name="40% - Accent5 2 2 4 2 4 2" xfId="12269" xr:uid="{00000000-0005-0000-0000-0000E6340000}"/>
    <cellStyle name="40% - Accent5 2 2 4 2 4 2 2" xfId="31739" xr:uid="{00000000-0005-0000-0000-0000E7340000}"/>
    <cellStyle name="40% - Accent5 2 2 4 2 4 3" xfId="27417" xr:uid="{00000000-0005-0000-0000-0000E8340000}"/>
    <cellStyle name="40% - Accent5 2 2 4 2 5" xfId="9383" xr:uid="{00000000-0005-0000-0000-0000E9340000}"/>
    <cellStyle name="40% - Accent5 2 2 4 2 5 2" xfId="28853" xr:uid="{00000000-0005-0000-0000-0000EA340000}"/>
    <cellStyle name="40% - Accent5 2 2 4 2 6" xfId="24306" xr:uid="{00000000-0005-0000-0000-0000EB340000}"/>
    <cellStyle name="40% - Accent5 2 2 4 3" xfId="5135" xr:uid="{00000000-0005-0000-0000-0000EC340000}"/>
    <cellStyle name="40% - Accent5 2 2 4 3 2" xfId="6291" xr:uid="{00000000-0005-0000-0000-0000ED340000}"/>
    <cellStyle name="40% - Accent5 2 2 4 3 2 2" xfId="7938" xr:uid="{00000000-0005-0000-0000-0000EE340000}"/>
    <cellStyle name="40% - Accent5 2 2 4 3 2 2 2" xfId="12274" xr:uid="{00000000-0005-0000-0000-0000EF340000}"/>
    <cellStyle name="40% - Accent5 2 2 4 3 2 2 2 2" xfId="31744" xr:uid="{00000000-0005-0000-0000-0000F0340000}"/>
    <cellStyle name="40% - Accent5 2 2 4 3 2 2 3" xfId="27422" xr:uid="{00000000-0005-0000-0000-0000F1340000}"/>
    <cellStyle name="40% - Accent5 2 2 4 3 2 3" xfId="10708" xr:uid="{00000000-0005-0000-0000-0000F2340000}"/>
    <cellStyle name="40% - Accent5 2 2 4 3 2 3 2" xfId="30178" xr:uid="{00000000-0005-0000-0000-0000F3340000}"/>
    <cellStyle name="40% - Accent5 2 2 4 3 2 4" xfId="25776" xr:uid="{00000000-0005-0000-0000-0000F4340000}"/>
    <cellStyle name="40% - Accent5 2 2 4 3 3" xfId="7937" xr:uid="{00000000-0005-0000-0000-0000F5340000}"/>
    <cellStyle name="40% - Accent5 2 2 4 3 3 2" xfId="12273" xr:uid="{00000000-0005-0000-0000-0000F6340000}"/>
    <cellStyle name="40% - Accent5 2 2 4 3 3 2 2" xfId="31743" xr:uid="{00000000-0005-0000-0000-0000F7340000}"/>
    <cellStyle name="40% - Accent5 2 2 4 3 3 3" xfId="27421" xr:uid="{00000000-0005-0000-0000-0000F8340000}"/>
    <cellStyle name="40% - Accent5 2 2 4 3 4" xfId="9648" xr:uid="{00000000-0005-0000-0000-0000F9340000}"/>
    <cellStyle name="40% - Accent5 2 2 4 3 4 2" xfId="29118" xr:uid="{00000000-0005-0000-0000-0000FA340000}"/>
    <cellStyle name="40% - Accent5 2 2 4 3 5" xfId="24626" xr:uid="{00000000-0005-0000-0000-0000FB340000}"/>
    <cellStyle name="40% - Accent5 2 2 4 4" xfId="5744" xr:uid="{00000000-0005-0000-0000-0000FC340000}"/>
    <cellStyle name="40% - Accent5 2 2 4 4 2" xfId="7939" xr:uid="{00000000-0005-0000-0000-0000FD340000}"/>
    <cellStyle name="40% - Accent5 2 2 4 4 2 2" xfId="12275" xr:uid="{00000000-0005-0000-0000-0000FE340000}"/>
    <cellStyle name="40% - Accent5 2 2 4 4 2 2 2" xfId="31745" xr:uid="{00000000-0005-0000-0000-0000FF340000}"/>
    <cellStyle name="40% - Accent5 2 2 4 4 2 3" xfId="27423" xr:uid="{00000000-0005-0000-0000-000000350000}"/>
    <cellStyle name="40% - Accent5 2 2 4 4 3" xfId="10178" xr:uid="{00000000-0005-0000-0000-000001350000}"/>
    <cellStyle name="40% - Accent5 2 2 4 4 3 2" xfId="29648" xr:uid="{00000000-0005-0000-0000-000002350000}"/>
    <cellStyle name="40% - Accent5 2 2 4 4 4" xfId="25229" xr:uid="{00000000-0005-0000-0000-000003350000}"/>
    <cellStyle name="40% - Accent5 2 2 4 5" xfId="7932" xr:uid="{00000000-0005-0000-0000-000004350000}"/>
    <cellStyle name="40% - Accent5 2 2 4 5 2" xfId="12268" xr:uid="{00000000-0005-0000-0000-000005350000}"/>
    <cellStyle name="40% - Accent5 2 2 4 5 2 2" xfId="31738" xr:uid="{00000000-0005-0000-0000-000006350000}"/>
    <cellStyle name="40% - Accent5 2 2 4 5 3" xfId="27416" xr:uid="{00000000-0005-0000-0000-000007350000}"/>
    <cellStyle name="40% - Accent5 2 2 4 6" xfId="9117" xr:uid="{00000000-0005-0000-0000-000008350000}"/>
    <cellStyle name="40% - Accent5 2 2 4 6 2" xfId="28588" xr:uid="{00000000-0005-0000-0000-000009350000}"/>
    <cellStyle name="40% - Accent5 2 2 4 7" xfId="24005" xr:uid="{00000000-0005-0000-0000-00000A350000}"/>
    <cellStyle name="40% - Accent5 2 2 5" xfId="4599" xr:uid="{00000000-0005-0000-0000-00000B350000}"/>
    <cellStyle name="40% - Accent5 2 2 5 2" xfId="5240" xr:uid="{00000000-0005-0000-0000-00000C350000}"/>
    <cellStyle name="40% - Accent5 2 2 5 2 2" xfId="6374" xr:uid="{00000000-0005-0000-0000-00000D350000}"/>
    <cellStyle name="40% - Accent5 2 2 5 2 2 2" xfId="7942" xr:uid="{00000000-0005-0000-0000-00000E350000}"/>
    <cellStyle name="40% - Accent5 2 2 5 2 2 2 2" xfId="12278" xr:uid="{00000000-0005-0000-0000-00000F350000}"/>
    <cellStyle name="40% - Accent5 2 2 5 2 2 2 2 2" xfId="31748" xr:uid="{00000000-0005-0000-0000-000010350000}"/>
    <cellStyle name="40% - Accent5 2 2 5 2 2 2 3" xfId="27426" xr:uid="{00000000-0005-0000-0000-000011350000}"/>
    <cellStyle name="40% - Accent5 2 2 5 2 2 3" xfId="10790" xr:uid="{00000000-0005-0000-0000-000012350000}"/>
    <cellStyle name="40% - Accent5 2 2 5 2 2 3 2" xfId="30260" xr:uid="{00000000-0005-0000-0000-000013350000}"/>
    <cellStyle name="40% - Accent5 2 2 5 2 2 4" xfId="25859" xr:uid="{00000000-0005-0000-0000-000014350000}"/>
    <cellStyle name="40% - Accent5 2 2 5 2 3" xfId="7941" xr:uid="{00000000-0005-0000-0000-000015350000}"/>
    <cellStyle name="40% - Accent5 2 2 5 2 3 2" xfId="12277" xr:uid="{00000000-0005-0000-0000-000016350000}"/>
    <cellStyle name="40% - Accent5 2 2 5 2 3 2 2" xfId="31747" xr:uid="{00000000-0005-0000-0000-000017350000}"/>
    <cellStyle name="40% - Accent5 2 2 5 2 3 3" xfId="27425" xr:uid="{00000000-0005-0000-0000-000018350000}"/>
    <cellStyle name="40% - Accent5 2 2 5 2 4" xfId="9729" xr:uid="{00000000-0005-0000-0000-000019350000}"/>
    <cellStyle name="40% - Accent5 2 2 5 2 4 2" xfId="29199" xr:uid="{00000000-0005-0000-0000-00001A350000}"/>
    <cellStyle name="40% - Accent5 2 2 5 2 5" xfId="24731" xr:uid="{00000000-0005-0000-0000-00001B350000}"/>
    <cellStyle name="40% - Accent5 2 2 5 3" xfId="5836" xr:uid="{00000000-0005-0000-0000-00001C350000}"/>
    <cellStyle name="40% - Accent5 2 2 5 3 2" xfId="7943" xr:uid="{00000000-0005-0000-0000-00001D350000}"/>
    <cellStyle name="40% - Accent5 2 2 5 3 2 2" xfId="12279" xr:uid="{00000000-0005-0000-0000-00001E350000}"/>
    <cellStyle name="40% - Accent5 2 2 5 3 2 2 2" xfId="31749" xr:uid="{00000000-0005-0000-0000-00001F350000}"/>
    <cellStyle name="40% - Accent5 2 2 5 3 2 3" xfId="27427" xr:uid="{00000000-0005-0000-0000-000020350000}"/>
    <cellStyle name="40% - Accent5 2 2 5 3 3" xfId="10259" xr:uid="{00000000-0005-0000-0000-000021350000}"/>
    <cellStyle name="40% - Accent5 2 2 5 3 3 2" xfId="29729" xr:uid="{00000000-0005-0000-0000-000022350000}"/>
    <cellStyle name="40% - Accent5 2 2 5 3 4" xfId="25321" xr:uid="{00000000-0005-0000-0000-000023350000}"/>
    <cellStyle name="40% - Accent5 2 2 5 4" xfId="7940" xr:uid="{00000000-0005-0000-0000-000024350000}"/>
    <cellStyle name="40% - Accent5 2 2 5 4 2" xfId="12276" xr:uid="{00000000-0005-0000-0000-000025350000}"/>
    <cellStyle name="40% - Accent5 2 2 5 4 2 2" xfId="31746" xr:uid="{00000000-0005-0000-0000-000026350000}"/>
    <cellStyle name="40% - Accent5 2 2 5 4 3" xfId="27424" xr:uid="{00000000-0005-0000-0000-000027350000}"/>
    <cellStyle name="40% - Accent5 2 2 5 5" xfId="9199" xr:uid="{00000000-0005-0000-0000-000028350000}"/>
    <cellStyle name="40% - Accent5 2 2 5 5 2" xfId="28669" xr:uid="{00000000-0005-0000-0000-000029350000}"/>
    <cellStyle name="40% - Accent5 2 2 5 6" xfId="24110" xr:uid="{00000000-0005-0000-0000-00002A350000}"/>
    <cellStyle name="40% - Accent5 2 2 6" xfId="4944" xr:uid="{00000000-0005-0000-0000-00002B350000}"/>
    <cellStyle name="40% - Accent5 2 2 6 2" xfId="6106" xr:uid="{00000000-0005-0000-0000-00002C350000}"/>
    <cellStyle name="40% - Accent5 2 2 6 2 2" xfId="7945" xr:uid="{00000000-0005-0000-0000-00002D350000}"/>
    <cellStyle name="40% - Accent5 2 2 6 2 2 2" xfId="12281" xr:uid="{00000000-0005-0000-0000-00002E350000}"/>
    <cellStyle name="40% - Accent5 2 2 6 2 2 2 2" xfId="31751" xr:uid="{00000000-0005-0000-0000-00002F350000}"/>
    <cellStyle name="40% - Accent5 2 2 6 2 2 3" xfId="27429" xr:uid="{00000000-0005-0000-0000-000030350000}"/>
    <cellStyle name="40% - Accent5 2 2 6 2 3" xfId="10524" xr:uid="{00000000-0005-0000-0000-000031350000}"/>
    <cellStyle name="40% - Accent5 2 2 6 2 3 2" xfId="29994" xr:uid="{00000000-0005-0000-0000-000032350000}"/>
    <cellStyle name="40% - Accent5 2 2 6 2 4" xfId="25591" xr:uid="{00000000-0005-0000-0000-000033350000}"/>
    <cellStyle name="40% - Accent5 2 2 6 3" xfId="7944" xr:uid="{00000000-0005-0000-0000-000034350000}"/>
    <cellStyle name="40% - Accent5 2 2 6 3 2" xfId="12280" xr:uid="{00000000-0005-0000-0000-000035350000}"/>
    <cellStyle name="40% - Accent5 2 2 6 3 2 2" xfId="31750" xr:uid="{00000000-0005-0000-0000-000036350000}"/>
    <cellStyle name="40% - Accent5 2 2 6 3 3" xfId="27428" xr:uid="{00000000-0005-0000-0000-000037350000}"/>
    <cellStyle name="40% - Accent5 2 2 6 4" xfId="9464" xr:uid="{00000000-0005-0000-0000-000038350000}"/>
    <cellStyle name="40% - Accent5 2 2 6 4 2" xfId="28934" xr:uid="{00000000-0005-0000-0000-000039350000}"/>
    <cellStyle name="40% - Accent5 2 2 6 5" xfId="24438" xr:uid="{00000000-0005-0000-0000-00003A350000}"/>
    <cellStyle name="40% - Accent5 2 2 7" xfId="5548" xr:uid="{00000000-0005-0000-0000-00003B350000}"/>
    <cellStyle name="40% - Accent5 2 2 7 2" xfId="7946" xr:uid="{00000000-0005-0000-0000-00003C350000}"/>
    <cellStyle name="40% - Accent5 2 2 7 2 2" xfId="12282" xr:uid="{00000000-0005-0000-0000-00003D350000}"/>
    <cellStyle name="40% - Accent5 2 2 7 2 2 2" xfId="31752" xr:uid="{00000000-0005-0000-0000-00003E350000}"/>
    <cellStyle name="40% - Accent5 2 2 7 2 3" xfId="27430" xr:uid="{00000000-0005-0000-0000-00003F350000}"/>
    <cellStyle name="40% - Accent5 2 2 7 3" xfId="9994" xr:uid="{00000000-0005-0000-0000-000040350000}"/>
    <cellStyle name="40% - Accent5 2 2 7 3 2" xfId="29464" xr:uid="{00000000-0005-0000-0000-000041350000}"/>
    <cellStyle name="40% - Accent5 2 2 7 4" xfId="25036" xr:uid="{00000000-0005-0000-0000-000042350000}"/>
    <cellStyle name="40% - Accent5 2 2 8" xfId="7899" xr:uid="{00000000-0005-0000-0000-000043350000}"/>
    <cellStyle name="40% - Accent5 2 2 8 2" xfId="12235" xr:uid="{00000000-0005-0000-0000-000044350000}"/>
    <cellStyle name="40% - Accent5 2 2 8 2 2" xfId="31705" xr:uid="{00000000-0005-0000-0000-000045350000}"/>
    <cellStyle name="40% - Accent5 2 2 8 3" xfId="27383" xr:uid="{00000000-0005-0000-0000-000046350000}"/>
    <cellStyle name="40% - Accent5 2 2 9" xfId="8930" xr:uid="{00000000-0005-0000-0000-000047350000}"/>
    <cellStyle name="40% - Accent5 2 2 9 2" xfId="28404" xr:uid="{00000000-0005-0000-0000-000048350000}"/>
    <cellStyle name="40% - Accent5 2 3" xfId="2722" xr:uid="{00000000-0005-0000-0000-000049350000}"/>
    <cellStyle name="40% - Accent5 2 3 10" xfId="23576" xr:uid="{00000000-0005-0000-0000-00004A350000}"/>
    <cellStyle name="40% - Accent5 2 3 2" xfId="2884" xr:uid="{00000000-0005-0000-0000-00004B350000}"/>
    <cellStyle name="40% - Accent5 2 3 2 2" xfId="3078" xr:uid="{00000000-0005-0000-0000-00004C350000}"/>
    <cellStyle name="40% - Accent5 2 3 2 2 2" xfId="4705" xr:uid="{00000000-0005-0000-0000-00004D350000}"/>
    <cellStyle name="40% - Accent5 2 3 2 2 2 2" xfId="5339" xr:uid="{00000000-0005-0000-0000-00004E350000}"/>
    <cellStyle name="40% - Accent5 2 3 2 2 2 2 2" xfId="6473" xr:uid="{00000000-0005-0000-0000-00004F350000}"/>
    <cellStyle name="40% - Accent5 2 3 2 2 2 2 2 2" xfId="7952" xr:uid="{00000000-0005-0000-0000-000050350000}"/>
    <cellStyle name="40% - Accent5 2 3 2 2 2 2 2 2 2" xfId="12288" xr:uid="{00000000-0005-0000-0000-000051350000}"/>
    <cellStyle name="40% - Accent5 2 3 2 2 2 2 2 2 2 2" xfId="31758" xr:uid="{00000000-0005-0000-0000-000052350000}"/>
    <cellStyle name="40% - Accent5 2 3 2 2 2 2 2 2 3" xfId="27436" xr:uid="{00000000-0005-0000-0000-000053350000}"/>
    <cellStyle name="40% - Accent5 2 3 2 2 2 2 2 3" xfId="10889" xr:uid="{00000000-0005-0000-0000-000054350000}"/>
    <cellStyle name="40% - Accent5 2 3 2 2 2 2 2 3 2" xfId="30359" xr:uid="{00000000-0005-0000-0000-000055350000}"/>
    <cellStyle name="40% - Accent5 2 3 2 2 2 2 2 4" xfId="25958" xr:uid="{00000000-0005-0000-0000-000056350000}"/>
    <cellStyle name="40% - Accent5 2 3 2 2 2 2 3" xfId="7951" xr:uid="{00000000-0005-0000-0000-000057350000}"/>
    <cellStyle name="40% - Accent5 2 3 2 2 2 2 3 2" xfId="12287" xr:uid="{00000000-0005-0000-0000-000058350000}"/>
    <cellStyle name="40% - Accent5 2 3 2 2 2 2 3 2 2" xfId="31757" xr:uid="{00000000-0005-0000-0000-000059350000}"/>
    <cellStyle name="40% - Accent5 2 3 2 2 2 2 3 3" xfId="27435" xr:uid="{00000000-0005-0000-0000-00005A350000}"/>
    <cellStyle name="40% - Accent5 2 3 2 2 2 2 4" xfId="9828" xr:uid="{00000000-0005-0000-0000-00005B350000}"/>
    <cellStyle name="40% - Accent5 2 3 2 2 2 2 4 2" xfId="29298" xr:uid="{00000000-0005-0000-0000-00005C350000}"/>
    <cellStyle name="40% - Accent5 2 3 2 2 2 2 5" xfId="24830" xr:uid="{00000000-0005-0000-0000-00005D350000}"/>
    <cellStyle name="40% - Accent5 2 3 2 2 2 3" xfId="5936" xr:uid="{00000000-0005-0000-0000-00005E350000}"/>
    <cellStyle name="40% - Accent5 2 3 2 2 2 3 2" xfId="7953" xr:uid="{00000000-0005-0000-0000-00005F350000}"/>
    <cellStyle name="40% - Accent5 2 3 2 2 2 3 2 2" xfId="12289" xr:uid="{00000000-0005-0000-0000-000060350000}"/>
    <cellStyle name="40% - Accent5 2 3 2 2 2 3 2 2 2" xfId="31759" xr:uid="{00000000-0005-0000-0000-000061350000}"/>
    <cellStyle name="40% - Accent5 2 3 2 2 2 3 2 3" xfId="27437" xr:uid="{00000000-0005-0000-0000-000062350000}"/>
    <cellStyle name="40% - Accent5 2 3 2 2 2 3 3" xfId="10358" xr:uid="{00000000-0005-0000-0000-000063350000}"/>
    <cellStyle name="40% - Accent5 2 3 2 2 2 3 3 2" xfId="29828" xr:uid="{00000000-0005-0000-0000-000064350000}"/>
    <cellStyle name="40% - Accent5 2 3 2 2 2 3 4" xfId="25421" xr:uid="{00000000-0005-0000-0000-000065350000}"/>
    <cellStyle name="40% - Accent5 2 3 2 2 2 4" xfId="7950" xr:uid="{00000000-0005-0000-0000-000066350000}"/>
    <cellStyle name="40% - Accent5 2 3 2 2 2 4 2" xfId="12286" xr:uid="{00000000-0005-0000-0000-000067350000}"/>
    <cellStyle name="40% - Accent5 2 3 2 2 2 4 2 2" xfId="31756" xr:uid="{00000000-0005-0000-0000-000068350000}"/>
    <cellStyle name="40% - Accent5 2 3 2 2 2 4 3" xfId="27434" xr:uid="{00000000-0005-0000-0000-000069350000}"/>
    <cellStyle name="40% - Accent5 2 3 2 2 2 5" xfId="9298" xr:uid="{00000000-0005-0000-0000-00006A350000}"/>
    <cellStyle name="40% - Accent5 2 3 2 2 2 5 2" xfId="28768" xr:uid="{00000000-0005-0000-0000-00006B350000}"/>
    <cellStyle name="40% - Accent5 2 3 2 2 2 6" xfId="24216" xr:uid="{00000000-0005-0000-0000-00006C350000}"/>
    <cellStyle name="40% - Accent5 2 3 2 2 3" xfId="5043" xr:uid="{00000000-0005-0000-0000-00006D350000}"/>
    <cellStyle name="40% - Accent5 2 3 2 2 3 2" xfId="6205" xr:uid="{00000000-0005-0000-0000-00006E350000}"/>
    <cellStyle name="40% - Accent5 2 3 2 2 3 2 2" xfId="7955" xr:uid="{00000000-0005-0000-0000-00006F350000}"/>
    <cellStyle name="40% - Accent5 2 3 2 2 3 2 2 2" xfId="12291" xr:uid="{00000000-0005-0000-0000-000070350000}"/>
    <cellStyle name="40% - Accent5 2 3 2 2 3 2 2 2 2" xfId="31761" xr:uid="{00000000-0005-0000-0000-000071350000}"/>
    <cellStyle name="40% - Accent5 2 3 2 2 3 2 2 3" xfId="27439" xr:uid="{00000000-0005-0000-0000-000072350000}"/>
    <cellStyle name="40% - Accent5 2 3 2 2 3 2 3" xfId="10623" xr:uid="{00000000-0005-0000-0000-000073350000}"/>
    <cellStyle name="40% - Accent5 2 3 2 2 3 2 3 2" xfId="30093" xr:uid="{00000000-0005-0000-0000-000074350000}"/>
    <cellStyle name="40% - Accent5 2 3 2 2 3 2 4" xfId="25690" xr:uid="{00000000-0005-0000-0000-000075350000}"/>
    <cellStyle name="40% - Accent5 2 3 2 2 3 3" xfId="7954" xr:uid="{00000000-0005-0000-0000-000076350000}"/>
    <cellStyle name="40% - Accent5 2 3 2 2 3 3 2" xfId="12290" xr:uid="{00000000-0005-0000-0000-000077350000}"/>
    <cellStyle name="40% - Accent5 2 3 2 2 3 3 2 2" xfId="31760" xr:uid="{00000000-0005-0000-0000-000078350000}"/>
    <cellStyle name="40% - Accent5 2 3 2 2 3 3 3" xfId="27438" xr:uid="{00000000-0005-0000-0000-000079350000}"/>
    <cellStyle name="40% - Accent5 2 3 2 2 3 4" xfId="9563" xr:uid="{00000000-0005-0000-0000-00007A350000}"/>
    <cellStyle name="40% - Accent5 2 3 2 2 3 4 2" xfId="29033" xr:uid="{00000000-0005-0000-0000-00007B350000}"/>
    <cellStyle name="40% - Accent5 2 3 2 2 3 5" xfId="24537" xr:uid="{00000000-0005-0000-0000-00007C350000}"/>
    <cellStyle name="40% - Accent5 2 3 2 2 4" xfId="5648" xr:uid="{00000000-0005-0000-0000-00007D350000}"/>
    <cellStyle name="40% - Accent5 2 3 2 2 4 2" xfId="7956" xr:uid="{00000000-0005-0000-0000-00007E350000}"/>
    <cellStyle name="40% - Accent5 2 3 2 2 4 2 2" xfId="12292" xr:uid="{00000000-0005-0000-0000-00007F350000}"/>
    <cellStyle name="40% - Accent5 2 3 2 2 4 2 2 2" xfId="31762" xr:uid="{00000000-0005-0000-0000-000080350000}"/>
    <cellStyle name="40% - Accent5 2 3 2 2 4 2 3" xfId="27440" xr:uid="{00000000-0005-0000-0000-000081350000}"/>
    <cellStyle name="40% - Accent5 2 3 2 2 4 3" xfId="10093" xr:uid="{00000000-0005-0000-0000-000082350000}"/>
    <cellStyle name="40% - Accent5 2 3 2 2 4 3 2" xfId="29563" xr:uid="{00000000-0005-0000-0000-000083350000}"/>
    <cellStyle name="40% - Accent5 2 3 2 2 4 4" xfId="25135" xr:uid="{00000000-0005-0000-0000-000084350000}"/>
    <cellStyle name="40% - Accent5 2 3 2 2 5" xfId="7949" xr:uid="{00000000-0005-0000-0000-000085350000}"/>
    <cellStyle name="40% - Accent5 2 3 2 2 5 2" xfId="12285" xr:uid="{00000000-0005-0000-0000-000086350000}"/>
    <cellStyle name="40% - Accent5 2 3 2 2 5 2 2" xfId="31755" xr:uid="{00000000-0005-0000-0000-000087350000}"/>
    <cellStyle name="40% - Accent5 2 3 2 2 5 3" xfId="27433" xr:uid="{00000000-0005-0000-0000-000088350000}"/>
    <cellStyle name="40% - Accent5 2 3 2 2 6" xfId="9029" xr:uid="{00000000-0005-0000-0000-000089350000}"/>
    <cellStyle name="40% - Accent5 2 3 2 2 6 2" xfId="28503" xr:uid="{00000000-0005-0000-0000-00008A350000}"/>
    <cellStyle name="40% - Accent5 2 3 2 2 7" xfId="23887" xr:uid="{00000000-0005-0000-0000-00008B350000}"/>
    <cellStyle name="40% - Accent5 2 3 2 3" xfId="4266" xr:uid="{00000000-0005-0000-0000-00008C350000}"/>
    <cellStyle name="40% - Accent5 2 3 2 3 2" xfId="4841" xr:uid="{00000000-0005-0000-0000-00008D350000}"/>
    <cellStyle name="40% - Accent5 2 3 2 3 2 2" xfId="5466" xr:uid="{00000000-0005-0000-0000-00008E350000}"/>
    <cellStyle name="40% - Accent5 2 3 2 3 2 2 2" xfId="6594" xr:uid="{00000000-0005-0000-0000-00008F350000}"/>
    <cellStyle name="40% - Accent5 2 3 2 3 2 2 2 2" xfId="7960" xr:uid="{00000000-0005-0000-0000-000090350000}"/>
    <cellStyle name="40% - Accent5 2 3 2 3 2 2 2 2 2" xfId="12296" xr:uid="{00000000-0005-0000-0000-000091350000}"/>
    <cellStyle name="40% - Accent5 2 3 2 3 2 2 2 2 2 2" xfId="31766" xr:uid="{00000000-0005-0000-0000-000092350000}"/>
    <cellStyle name="40% - Accent5 2 3 2 3 2 2 2 2 3" xfId="27444" xr:uid="{00000000-0005-0000-0000-000093350000}"/>
    <cellStyle name="40% - Accent5 2 3 2 3 2 2 2 3" xfId="11010" xr:uid="{00000000-0005-0000-0000-000094350000}"/>
    <cellStyle name="40% - Accent5 2 3 2 3 2 2 2 3 2" xfId="30480" xr:uid="{00000000-0005-0000-0000-000095350000}"/>
    <cellStyle name="40% - Accent5 2 3 2 3 2 2 2 4" xfId="26079" xr:uid="{00000000-0005-0000-0000-000096350000}"/>
    <cellStyle name="40% - Accent5 2 3 2 3 2 2 3" xfId="7959" xr:uid="{00000000-0005-0000-0000-000097350000}"/>
    <cellStyle name="40% - Accent5 2 3 2 3 2 2 3 2" xfId="12295" xr:uid="{00000000-0005-0000-0000-000098350000}"/>
    <cellStyle name="40% - Accent5 2 3 2 3 2 2 3 2 2" xfId="31765" xr:uid="{00000000-0005-0000-0000-000099350000}"/>
    <cellStyle name="40% - Accent5 2 3 2 3 2 2 3 3" xfId="27443" xr:uid="{00000000-0005-0000-0000-00009A350000}"/>
    <cellStyle name="40% - Accent5 2 3 2 3 2 2 4" xfId="9949" xr:uid="{00000000-0005-0000-0000-00009B350000}"/>
    <cellStyle name="40% - Accent5 2 3 2 3 2 2 4 2" xfId="29419" xr:uid="{00000000-0005-0000-0000-00009C350000}"/>
    <cellStyle name="40% - Accent5 2 3 2 3 2 2 5" xfId="24957" xr:uid="{00000000-0005-0000-0000-00009D350000}"/>
    <cellStyle name="40% - Accent5 2 3 2 3 2 3" xfId="6059" xr:uid="{00000000-0005-0000-0000-00009E350000}"/>
    <cellStyle name="40% - Accent5 2 3 2 3 2 3 2" xfId="7961" xr:uid="{00000000-0005-0000-0000-00009F350000}"/>
    <cellStyle name="40% - Accent5 2 3 2 3 2 3 2 2" xfId="12297" xr:uid="{00000000-0005-0000-0000-0000A0350000}"/>
    <cellStyle name="40% - Accent5 2 3 2 3 2 3 2 2 2" xfId="31767" xr:uid="{00000000-0005-0000-0000-0000A1350000}"/>
    <cellStyle name="40% - Accent5 2 3 2 3 2 3 2 3" xfId="27445" xr:uid="{00000000-0005-0000-0000-0000A2350000}"/>
    <cellStyle name="40% - Accent5 2 3 2 3 2 3 3" xfId="10479" xr:uid="{00000000-0005-0000-0000-0000A3350000}"/>
    <cellStyle name="40% - Accent5 2 3 2 3 2 3 3 2" xfId="29949" xr:uid="{00000000-0005-0000-0000-0000A4350000}"/>
    <cellStyle name="40% - Accent5 2 3 2 3 2 3 4" xfId="25544" xr:uid="{00000000-0005-0000-0000-0000A5350000}"/>
    <cellStyle name="40% - Accent5 2 3 2 3 2 4" xfId="7958" xr:uid="{00000000-0005-0000-0000-0000A6350000}"/>
    <cellStyle name="40% - Accent5 2 3 2 3 2 4 2" xfId="12294" xr:uid="{00000000-0005-0000-0000-0000A7350000}"/>
    <cellStyle name="40% - Accent5 2 3 2 3 2 4 2 2" xfId="31764" xr:uid="{00000000-0005-0000-0000-0000A8350000}"/>
    <cellStyle name="40% - Accent5 2 3 2 3 2 4 3" xfId="27442" xr:uid="{00000000-0005-0000-0000-0000A9350000}"/>
    <cellStyle name="40% - Accent5 2 3 2 3 2 5" xfId="9419" xr:uid="{00000000-0005-0000-0000-0000AA350000}"/>
    <cellStyle name="40% - Accent5 2 3 2 3 2 5 2" xfId="28889" xr:uid="{00000000-0005-0000-0000-0000AB350000}"/>
    <cellStyle name="40% - Accent5 2 3 2 3 2 6" xfId="24343" xr:uid="{00000000-0005-0000-0000-0000AC350000}"/>
    <cellStyle name="40% - Accent5 2 3 2 3 3" xfId="5171" xr:uid="{00000000-0005-0000-0000-0000AD350000}"/>
    <cellStyle name="40% - Accent5 2 3 2 3 3 2" xfId="6327" xr:uid="{00000000-0005-0000-0000-0000AE350000}"/>
    <cellStyle name="40% - Accent5 2 3 2 3 3 2 2" xfId="7963" xr:uid="{00000000-0005-0000-0000-0000AF350000}"/>
    <cellStyle name="40% - Accent5 2 3 2 3 3 2 2 2" xfId="12299" xr:uid="{00000000-0005-0000-0000-0000B0350000}"/>
    <cellStyle name="40% - Accent5 2 3 2 3 3 2 2 2 2" xfId="31769" xr:uid="{00000000-0005-0000-0000-0000B1350000}"/>
    <cellStyle name="40% - Accent5 2 3 2 3 3 2 2 3" xfId="27447" xr:uid="{00000000-0005-0000-0000-0000B2350000}"/>
    <cellStyle name="40% - Accent5 2 3 2 3 3 2 3" xfId="10744" xr:uid="{00000000-0005-0000-0000-0000B3350000}"/>
    <cellStyle name="40% - Accent5 2 3 2 3 3 2 3 2" xfId="30214" xr:uid="{00000000-0005-0000-0000-0000B4350000}"/>
    <cellStyle name="40% - Accent5 2 3 2 3 3 2 4" xfId="25812" xr:uid="{00000000-0005-0000-0000-0000B5350000}"/>
    <cellStyle name="40% - Accent5 2 3 2 3 3 3" xfId="7962" xr:uid="{00000000-0005-0000-0000-0000B6350000}"/>
    <cellStyle name="40% - Accent5 2 3 2 3 3 3 2" xfId="12298" xr:uid="{00000000-0005-0000-0000-0000B7350000}"/>
    <cellStyle name="40% - Accent5 2 3 2 3 3 3 2 2" xfId="31768" xr:uid="{00000000-0005-0000-0000-0000B8350000}"/>
    <cellStyle name="40% - Accent5 2 3 2 3 3 3 3" xfId="27446" xr:uid="{00000000-0005-0000-0000-0000B9350000}"/>
    <cellStyle name="40% - Accent5 2 3 2 3 3 4" xfId="9684" xr:uid="{00000000-0005-0000-0000-0000BA350000}"/>
    <cellStyle name="40% - Accent5 2 3 2 3 3 4 2" xfId="29154" xr:uid="{00000000-0005-0000-0000-0000BB350000}"/>
    <cellStyle name="40% - Accent5 2 3 2 3 3 5" xfId="24662" xr:uid="{00000000-0005-0000-0000-0000BC350000}"/>
    <cellStyle name="40% - Accent5 2 3 2 3 4" xfId="5780" xr:uid="{00000000-0005-0000-0000-0000BD350000}"/>
    <cellStyle name="40% - Accent5 2 3 2 3 4 2" xfId="7964" xr:uid="{00000000-0005-0000-0000-0000BE350000}"/>
    <cellStyle name="40% - Accent5 2 3 2 3 4 2 2" xfId="12300" xr:uid="{00000000-0005-0000-0000-0000BF350000}"/>
    <cellStyle name="40% - Accent5 2 3 2 3 4 2 2 2" xfId="31770" xr:uid="{00000000-0005-0000-0000-0000C0350000}"/>
    <cellStyle name="40% - Accent5 2 3 2 3 4 2 3" xfId="27448" xr:uid="{00000000-0005-0000-0000-0000C1350000}"/>
    <cellStyle name="40% - Accent5 2 3 2 3 4 3" xfId="10214" xr:uid="{00000000-0005-0000-0000-0000C2350000}"/>
    <cellStyle name="40% - Accent5 2 3 2 3 4 3 2" xfId="29684" xr:uid="{00000000-0005-0000-0000-0000C3350000}"/>
    <cellStyle name="40% - Accent5 2 3 2 3 4 4" xfId="25265" xr:uid="{00000000-0005-0000-0000-0000C4350000}"/>
    <cellStyle name="40% - Accent5 2 3 2 3 5" xfId="7957" xr:uid="{00000000-0005-0000-0000-0000C5350000}"/>
    <cellStyle name="40% - Accent5 2 3 2 3 5 2" xfId="12293" xr:uid="{00000000-0005-0000-0000-0000C6350000}"/>
    <cellStyle name="40% - Accent5 2 3 2 3 5 2 2" xfId="31763" xr:uid="{00000000-0005-0000-0000-0000C7350000}"/>
    <cellStyle name="40% - Accent5 2 3 2 3 5 3" xfId="27441" xr:uid="{00000000-0005-0000-0000-0000C8350000}"/>
    <cellStyle name="40% - Accent5 2 3 2 3 6" xfId="9153" xr:uid="{00000000-0005-0000-0000-0000C9350000}"/>
    <cellStyle name="40% - Accent5 2 3 2 3 6 2" xfId="28624" xr:uid="{00000000-0005-0000-0000-0000CA350000}"/>
    <cellStyle name="40% - Accent5 2 3 2 3 7" xfId="24042" xr:uid="{00000000-0005-0000-0000-0000CB350000}"/>
    <cellStyle name="40% - Accent5 2 3 2 4" xfId="4633" xr:uid="{00000000-0005-0000-0000-0000CC350000}"/>
    <cellStyle name="40% - Accent5 2 3 2 4 2" xfId="5273" xr:uid="{00000000-0005-0000-0000-0000CD350000}"/>
    <cellStyle name="40% - Accent5 2 3 2 4 2 2" xfId="6407" xr:uid="{00000000-0005-0000-0000-0000CE350000}"/>
    <cellStyle name="40% - Accent5 2 3 2 4 2 2 2" xfId="7967" xr:uid="{00000000-0005-0000-0000-0000CF350000}"/>
    <cellStyle name="40% - Accent5 2 3 2 4 2 2 2 2" xfId="12303" xr:uid="{00000000-0005-0000-0000-0000D0350000}"/>
    <cellStyle name="40% - Accent5 2 3 2 4 2 2 2 2 2" xfId="31773" xr:uid="{00000000-0005-0000-0000-0000D1350000}"/>
    <cellStyle name="40% - Accent5 2 3 2 4 2 2 2 3" xfId="27451" xr:uid="{00000000-0005-0000-0000-0000D2350000}"/>
    <cellStyle name="40% - Accent5 2 3 2 4 2 2 3" xfId="10823" xr:uid="{00000000-0005-0000-0000-0000D3350000}"/>
    <cellStyle name="40% - Accent5 2 3 2 4 2 2 3 2" xfId="30293" xr:uid="{00000000-0005-0000-0000-0000D4350000}"/>
    <cellStyle name="40% - Accent5 2 3 2 4 2 2 4" xfId="25892" xr:uid="{00000000-0005-0000-0000-0000D5350000}"/>
    <cellStyle name="40% - Accent5 2 3 2 4 2 3" xfId="7966" xr:uid="{00000000-0005-0000-0000-0000D6350000}"/>
    <cellStyle name="40% - Accent5 2 3 2 4 2 3 2" xfId="12302" xr:uid="{00000000-0005-0000-0000-0000D7350000}"/>
    <cellStyle name="40% - Accent5 2 3 2 4 2 3 2 2" xfId="31772" xr:uid="{00000000-0005-0000-0000-0000D8350000}"/>
    <cellStyle name="40% - Accent5 2 3 2 4 2 3 3" xfId="27450" xr:uid="{00000000-0005-0000-0000-0000D9350000}"/>
    <cellStyle name="40% - Accent5 2 3 2 4 2 4" xfId="9762" xr:uid="{00000000-0005-0000-0000-0000DA350000}"/>
    <cellStyle name="40% - Accent5 2 3 2 4 2 4 2" xfId="29232" xr:uid="{00000000-0005-0000-0000-0000DB350000}"/>
    <cellStyle name="40% - Accent5 2 3 2 4 2 5" xfId="24764" xr:uid="{00000000-0005-0000-0000-0000DC350000}"/>
    <cellStyle name="40% - Accent5 2 3 2 4 3" xfId="5870" xr:uid="{00000000-0005-0000-0000-0000DD350000}"/>
    <cellStyle name="40% - Accent5 2 3 2 4 3 2" xfId="7968" xr:uid="{00000000-0005-0000-0000-0000DE350000}"/>
    <cellStyle name="40% - Accent5 2 3 2 4 3 2 2" xfId="12304" xr:uid="{00000000-0005-0000-0000-0000DF350000}"/>
    <cellStyle name="40% - Accent5 2 3 2 4 3 2 2 2" xfId="31774" xr:uid="{00000000-0005-0000-0000-0000E0350000}"/>
    <cellStyle name="40% - Accent5 2 3 2 4 3 2 3" xfId="27452" xr:uid="{00000000-0005-0000-0000-0000E1350000}"/>
    <cellStyle name="40% - Accent5 2 3 2 4 3 3" xfId="10292" xr:uid="{00000000-0005-0000-0000-0000E2350000}"/>
    <cellStyle name="40% - Accent5 2 3 2 4 3 3 2" xfId="29762" xr:uid="{00000000-0005-0000-0000-0000E3350000}"/>
    <cellStyle name="40% - Accent5 2 3 2 4 3 4" xfId="25355" xr:uid="{00000000-0005-0000-0000-0000E4350000}"/>
    <cellStyle name="40% - Accent5 2 3 2 4 4" xfId="7965" xr:uid="{00000000-0005-0000-0000-0000E5350000}"/>
    <cellStyle name="40% - Accent5 2 3 2 4 4 2" xfId="12301" xr:uid="{00000000-0005-0000-0000-0000E6350000}"/>
    <cellStyle name="40% - Accent5 2 3 2 4 4 2 2" xfId="31771" xr:uid="{00000000-0005-0000-0000-0000E7350000}"/>
    <cellStyle name="40% - Accent5 2 3 2 4 4 3" xfId="27449" xr:uid="{00000000-0005-0000-0000-0000E8350000}"/>
    <cellStyle name="40% - Accent5 2 3 2 4 5" xfId="9232" xr:uid="{00000000-0005-0000-0000-0000E9350000}"/>
    <cellStyle name="40% - Accent5 2 3 2 4 5 2" xfId="28702" xr:uid="{00000000-0005-0000-0000-0000EA350000}"/>
    <cellStyle name="40% - Accent5 2 3 2 4 6" xfId="24144" xr:uid="{00000000-0005-0000-0000-0000EB350000}"/>
    <cellStyle name="40% - Accent5 2 3 2 5" xfId="4977" xr:uid="{00000000-0005-0000-0000-0000EC350000}"/>
    <cellStyle name="40% - Accent5 2 3 2 5 2" xfId="6139" xr:uid="{00000000-0005-0000-0000-0000ED350000}"/>
    <cellStyle name="40% - Accent5 2 3 2 5 2 2" xfId="7970" xr:uid="{00000000-0005-0000-0000-0000EE350000}"/>
    <cellStyle name="40% - Accent5 2 3 2 5 2 2 2" xfId="12306" xr:uid="{00000000-0005-0000-0000-0000EF350000}"/>
    <cellStyle name="40% - Accent5 2 3 2 5 2 2 2 2" xfId="31776" xr:uid="{00000000-0005-0000-0000-0000F0350000}"/>
    <cellStyle name="40% - Accent5 2 3 2 5 2 2 3" xfId="27454" xr:uid="{00000000-0005-0000-0000-0000F1350000}"/>
    <cellStyle name="40% - Accent5 2 3 2 5 2 3" xfId="10557" xr:uid="{00000000-0005-0000-0000-0000F2350000}"/>
    <cellStyle name="40% - Accent5 2 3 2 5 2 3 2" xfId="30027" xr:uid="{00000000-0005-0000-0000-0000F3350000}"/>
    <cellStyle name="40% - Accent5 2 3 2 5 2 4" xfId="25624" xr:uid="{00000000-0005-0000-0000-0000F4350000}"/>
    <cellStyle name="40% - Accent5 2 3 2 5 3" xfId="7969" xr:uid="{00000000-0005-0000-0000-0000F5350000}"/>
    <cellStyle name="40% - Accent5 2 3 2 5 3 2" xfId="12305" xr:uid="{00000000-0005-0000-0000-0000F6350000}"/>
    <cellStyle name="40% - Accent5 2 3 2 5 3 2 2" xfId="31775" xr:uid="{00000000-0005-0000-0000-0000F7350000}"/>
    <cellStyle name="40% - Accent5 2 3 2 5 3 3" xfId="27453" xr:uid="{00000000-0005-0000-0000-0000F8350000}"/>
    <cellStyle name="40% - Accent5 2 3 2 5 4" xfId="9497" xr:uid="{00000000-0005-0000-0000-0000F9350000}"/>
    <cellStyle name="40% - Accent5 2 3 2 5 4 2" xfId="28967" xr:uid="{00000000-0005-0000-0000-0000FA350000}"/>
    <cellStyle name="40% - Accent5 2 3 2 5 5" xfId="24471" xr:uid="{00000000-0005-0000-0000-0000FB350000}"/>
    <cellStyle name="40% - Accent5 2 3 2 6" xfId="5582" xr:uid="{00000000-0005-0000-0000-0000FC350000}"/>
    <cellStyle name="40% - Accent5 2 3 2 6 2" xfId="7971" xr:uid="{00000000-0005-0000-0000-0000FD350000}"/>
    <cellStyle name="40% - Accent5 2 3 2 6 2 2" xfId="12307" xr:uid="{00000000-0005-0000-0000-0000FE350000}"/>
    <cellStyle name="40% - Accent5 2 3 2 6 2 2 2" xfId="31777" xr:uid="{00000000-0005-0000-0000-0000FF350000}"/>
    <cellStyle name="40% - Accent5 2 3 2 6 2 3" xfId="27455" xr:uid="{00000000-0005-0000-0000-000000360000}"/>
    <cellStyle name="40% - Accent5 2 3 2 6 3" xfId="10027" xr:uid="{00000000-0005-0000-0000-000001360000}"/>
    <cellStyle name="40% - Accent5 2 3 2 6 3 2" xfId="29497" xr:uid="{00000000-0005-0000-0000-000002360000}"/>
    <cellStyle name="40% - Accent5 2 3 2 6 4" xfId="25069" xr:uid="{00000000-0005-0000-0000-000003360000}"/>
    <cellStyle name="40% - Accent5 2 3 2 7" xfId="7948" xr:uid="{00000000-0005-0000-0000-000004360000}"/>
    <cellStyle name="40% - Accent5 2 3 2 7 2" xfId="12284" xr:uid="{00000000-0005-0000-0000-000005360000}"/>
    <cellStyle name="40% - Accent5 2 3 2 7 2 2" xfId="31754" xr:uid="{00000000-0005-0000-0000-000006360000}"/>
    <cellStyle name="40% - Accent5 2 3 2 7 3" xfId="27432" xr:uid="{00000000-0005-0000-0000-000007360000}"/>
    <cellStyle name="40% - Accent5 2 3 2 8" xfId="8963" xr:uid="{00000000-0005-0000-0000-000008360000}"/>
    <cellStyle name="40% - Accent5 2 3 2 8 2" xfId="28437" xr:uid="{00000000-0005-0000-0000-000009360000}"/>
    <cellStyle name="40% - Accent5 2 3 2 9" xfId="23695" xr:uid="{00000000-0005-0000-0000-00000A360000}"/>
    <cellStyle name="40% - Accent5 2 3 3" xfId="2960" xr:uid="{00000000-0005-0000-0000-00000B360000}"/>
    <cellStyle name="40% - Accent5 2 3 3 2" xfId="4667" xr:uid="{00000000-0005-0000-0000-00000C360000}"/>
    <cellStyle name="40% - Accent5 2 3 3 2 2" xfId="5307" xr:uid="{00000000-0005-0000-0000-00000D360000}"/>
    <cellStyle name="40% - Accent5 2 3 3 2 2 2" xfId="6441" xr:uid="{00000000-0005-0000-0000-00000E360000}"/>
    <cellStyle name="40% - Accent5 2 3 3 2 2 2 2" xfId="7975" xr:uid="{00000000-0005-0000-0000-00000F360000}"/>
    <cellStyle name="40% - Accent5 2 3 3 2 2 2 2 2" xfId="12311" xr:uid="{00000000-0005-0000-0000-000010360000}"/>
    <cellStyle name="40% - Accent5 2 3 3 2 2 2 2 2 2" xfId="31781" xr:uid="{00000000-0005-0000-0000-000011360000}"/>
    <cellStyle name="40% - Accent5 2 3 3 2 2 2 2 3" xfId="27459" xr:uid="{00000000-0005-0000-0000-000012360000}"/>
    <cellStyle name="40% - Accent5 2 3 3 2 2 2 3" xfId="10857" xr:uid="{00000000-0005-0000-0000-000013360000}"/>
    <cellStyle name="40% - Accent5 2 3 3 2 2 2 3 2" xfId="30327" xr:uid="{00000000-0005-0000-0000-000014360000}"/>
    <cellStyle name="40% - Accent5 2 3 3 2 2 2 4" xfId="25926" xr:uid="{00000000-0005-0000-0000-000015360000}"/>
    <cellStyle name="40% - Accent5 2 3 3 2 2 3" xfId="7974" xr:uid="{00000000-0005-0000-0000-000016360000}"/>
    <cellStyle name="40% - Accent5 2 3 3 2 2 3 2" xfId="12310" xr:uid="{00000000-0005-0000-0000-000017360000}"/>
    <cellStyle name="40% - Accent5 2 3 3 2 2 3 2 2" xfId="31780" xr:uid="{00000000-0005-0000-0000-000018360000}"/>
    <cellStyle name="40% - Accent5 2 3 3 2 2 3 3" xfId="27458" xr:uid="{00000000-0005-0000-0000-000019360000}"/>
    <cellStyle name="40% - Accent5 2 3 3 2 2 4" xfId="9796" xr:uid="{00000000-0005-0000-0000-00001A360000}"/>
    <cellStyle name="40% - Accent5 2 3 3 2 2 4 2" xfId="29266" xr:uid="{00000000-0005-0000-0000-00001B360000}"/>
    <cellStyle name="40% - Accent5 2 3 3 2 2 5" xfId="24798" xr:uid="{00000000-0005-0000-0000-00001C360000}"/>
    <cellStyle name="40% - Accent5 2 3 3 2 3" xfId="5904" xr:uid="{00000000-0005-0000-0000-00001D360000}"/>
    <cellStyle name="40% - Accent5 2 3 3 2 3 2" xfId="7976" xr:uid="{00000000-0005-0000-0000-00001E360000}"/>
    <cellStyle name="40% - Accent5 2 3 3 2 3 2 2" xfId="12312" xr:uid="{00000000-0005-0000-0000-00001F360000}"/>
    <cellStyle name="40% - Accent5 2 3 3 2 3 2 2 2" xfId="31782" xr:uid="{00000000-0005-0000-0000-000020360000}"/>
    <cellStyle name="40% - Accent5 2 3 3 2 3 2 3" xfId="27460" xr:uid="{00000000-0005-0000-0000-000021360000}"/>
    <cellStyle name="40% - Accent5 2 3 3 2 3 3" xfId="10326" xr:uid="{00000000-0005-0000-0000-000022360000}"/>
    <cellStyle name="40% - Accent5 2 3 3 2 3 3 2" xfId="29796" xr:uid="{00000000-0005-0000-0000-000023360000}"/>
    <cellStyle name="40% - Accent5 2 3 3 2 3 4" xfId="25389" xr:uid="{00000000-0005-0000-0000-000024360000}"/>
    <cellStyle name="40% - Accent5 2 3 3 2 4" xfId="7973" xr:uid="{00000000-0005-0000-0000-000025360000}"/>
    <cellStyle name="40% - Accent5 2 3 3 2 4 2" xfId="12309" xr:uid="{00000000-0005-0000-0000-000026360000}"/>
    <cellStyle name="40% - Accent5 2 3 3 2 4 2 2" xfId="31779" xr:uid="{00000000-0005-0000-0000-000027360000}"/>
    <cellStyle name="40% - Accent5 2 3 3 2 4 3" xfId="27457" xr:uid="{00000000-0005-0000-0000-000028360000}"/>
    <cellStyle name="40% - Accent5 2 3 3 2 5" xfId="9266" xr:uid="{00000000-0005-0000-0000-000029360000}"/>
    <cellStyle name="40% - Accent5 2 3 3 2 5 2" xfId="28736" xr:uid="{00000000-0005-0000-0000-00002A360000}"/>
    <cellStyle name="40% - Accent5 2 3 3 2 6" xfId="24178" xr:uid="{00000000-0005-0000-0000-00002B360000}"/>
    <cellStyle name="40% - Accent5 2 3 3 3" xfId="5011" xr:uid="{00000000-0005-0000-0000-00002C360000}"/>
    <cellStyle name="40% - Accent5 2 3 3 3 2" xfId="6173" xr:uid="{00000000-0005-0000-0000-00002D360000}"/>
    <cellStyle name="40% - Accent5 2 3 3 3 2 2" xfId="7978" xr:uid="{00000000-0005-0000-0000-00002E360000}"/>
    <cellStyle name="40% - Accent5 2 3 3 3 2 2 2" xfId="12314" xr:uid="{00000000-0005-0000-0000-00002F360000}"/>
    <cellStyle name="40% - Accent5 2 3 3 3 2 2 2 2" xfId="31784" xr:uid="{00000000-0005-0000-0000-000030360000}"/>
    <cellStyle name="40% - Accent5 2 3 3 3 2 2 3" xfId="27462" xr:uid="{00000000-0005-0000-0000-000031360000}"/>
    <cellStyle name="40% - Accent5 2 3 3 3 2 3" xfId="10591" xr:uid="{00000000-0005-0000-0000-000032360000}"/>
    <cellStyle name="40% - Accent5 2 3 3 3 2 3 2" xfId="30061" xr:uid="{00000000-0005-0000-0000-000033360000}"/>
    <cellStyle name="40% - Accent5 2 3 3 3 2 4" xfId="25658" xr:uid="{00000000-0005-0000-0000-000034360000}"/>
    <cellStyle name="40% - Accent5 2 3 3 3 3" xfId="7977" xr:uid="{00000000-0005-0000-0000-000035360000}"/>
    <cellStyle name="40% - Accent5 2 3 3 3 3 2" xfId="12313" xr:uid="{00000000-0005-0000-0000-000036360000}"/>
    <cellStyle name="40% - Accent5 2 3 3 3 3 2 2" xfId="31783" xr:uid="{00000000-0005-0000-0000-000037360000}"/>
    <cellStyle name="40% - Accent5 2 3 3 3 3 3" xfId="27461" xr:uid="{00000000-0005-0000-0000-000038360000}"/>
    <cellStyle name="40% - Accent5 2 3 3 3 4" xfId="9531" xr:uid="{00000000-0005-0000-0000-000039360000}"/>
    <cellStyle name="40% - Accent5 2 3 3 3 4 2" xfId="29001" xr:uid="{00000000-0005-0000-0000-00003A360000}"/>
    <cellStyle name="40% - Accent5 2 3 3 3 5" xfId="24505" xr:uid="{00000000-0005-0000-0000-00003B360000}"/>
    <cellStyle name="40% - Accent5 2 3 3 4" xfId="5616" xr:uid="{00000000-0005-0000-0000-00003C360000}"/>
    <cellStyle name="40% - Accent5 2 3 3 4 2" xfId="7979" xr:uid="{00000000-0005-0000-0000-00003D360000}"/>
    <cellStyle name="40% - Accent5 2 3 3 4 2 2" xfId="12315" xr:uid="{00000000-0005-0000-0000-00003E360000}"/>
    <cellStyle name="40% - Accent5 2 3 3 4 2 2 2" xfId="31785" xr:uid="{00000000-0005-0000-0000-00003F360000}"/>
    <cellStyle name="40% - Accent5 2 3 3 4 2 3" xfId="27463" xr:uid="{00000000-0005-0000-0000-000040360000}"/>
    <cellStyle name="40% - Accent5 2 3 3 4 3" xfId="10061" xr:uid="{00000000-0005-0000-0000-000041360000}"/>
    <cellStyle name="40% - Accent5 2 3 3 4 3 2" xfId="29531" xr:uid="{00000000-0005-0000-0000-000042360000}"/>
    <cellStyle name="40% - Accent5 2 3 3 4 4" xfId="25103" xr:uid="{00000000-0005-0000-0000-000043360000}"/>
    <cellStyle name="40% - Accent5 2 3 3 5" xfId="7972" xr:uid="{00000000-0005-0000-0000-000044360000}"/>
    <cellStyle name="40% - Accent5 2 3 3 5 2" xfId="12308" xr:uid="{00000000-0005-0000-0000-000045360000}"/>
    <cellStyle name="40% - Accent5 2 3 3 5 2 2" xfId="31778" xr:uid="{00000000-0005-0000-0000-000046360000}"/>
    <cellStyle name="40% - Accent5 2 3 3 5 3" xfId="27456" xr:uid="{00000000-0005-0000-0000-000047360000}"/>
    <cellStyle name="40% - Accent5 2 3 3 6" xfId="8997" xr:uid="{00000000-0005-0000-0000-000048360000}"/>
    <cellStyle name="40% - Accent5 2 3 3 6 2" xfId="28471" xr:uid="{00000000-0005-0000-0000-000049360000}"/>
    <cellStyle name="40% - Accent5 2 3 3 7" xfId="23769" xr:uid="{00000000-0005-0000-0000-00004A360000}"/>
    <cellStyle name="40% - Accent5 2 3 4" xfId="4194" xr:uid="{00000000-0005-0000-0000-00004B360000}"/>
    <cellStyle name="40% - Accent5 2 3 4 2" xfId="4786" xr:uid="{00000000-0005-0000-0000-00004C360000}"/>
    <cellStyle name="40% - Accent5 2 3 4 2 2" xfId="5412" xr:uid="{00000000-0005-0000-0000-00004D360000}"/>
    <cellStyle name="40% - Accent5 2 3 4 2 2 2" xfId="6540" xr:uid="{00000000-0005-0000-0000-00004E360000}"/>
    <cellStyle name="40% - Accent5 2 3 4 2 2 2 2" xfId="7983" xr:uid="{00000000-0005-0000-0000-00004F360000}"/>
    <cellStyle name="40% - Accent5 2 3 4 2 2 2 2 2" xfId="12319" xr:uid="{00000000-0005-0000-0000-000050360000}"/>
    <cellStyle name="40% - Accent5 2 3 4 2 2 2 2 2 2" xfId="31789" xr:uid="{00000000-0005-0000-0000-000051360000}"/>
    <cellStyle name="40% - Accent5 2 3 4 2 2 2 2 3" xfId="27467" xr:uid="{00000000-0005-0000-0000-000052360000}"/>
    <cellStyle name="40% - Accent5 2 3 4 2 2 2 3" xfId="10956" xr:uid="{00000000-0005-0000-0000-000053360000}"/>
    <cellStyle name="40% - Accent5 2 3 4 2 2 2 3 2" xfId="30426" xr:uid="{00000000-0005-0000-0000-000054360000}"/>
    <cellStyle name="40% - Accent5 2 3 4 2 2 2 4" xfId="26025" xr:uid="{00000000-0005-0000-0000-000055360000}"/>
    <cellStyle name="40% - Accent5 2 3 4 2 2 3" xfId="7982" xr:uid="{00000000-0005-0000-0000-000056360000}"/>
    <cellStyle name="40% - Accent5 2 3 4 2 2 3 2" xfId="12318" xr:uid="{00000000-0005-0000-0000-000057360000}"/>
    <cellStyle name="40% - Accent5 2 3 4 2 2 3 2 2" xfId="31788" xr:uid="{00000000-0005-0000-0000-000058360000}"/>
    <cellStyle name="40% - Accent5 2 3 4 2 2 3 3" xfId="27466" xr:uid="{00000000-0005-0000-0000-000059360000}"/>
    <cellStyle name="40% - Accent5 2 3 4 2 2 4" xfId="9895" xr:uid="{00000000-0005-0000-0000-00005A360000}"/>
    <cellStyle name="40% - Accent5 2 3 4 2 2 4 2" xfId="29365" xr:uid="{00000000-0005-0000-0000-00005B360000}"/>
    <cellStyle name="40% - Accent5 2 3 4 2 2 5" xfId="24903" xr:uid="{00000000-0005-0000-0000-00005C360000}"/>
    <cellStyle name="40% - Accent5 2 3 4 2 3" xfId="6004" xr:uid="{00000000-0005-0000-0000-00005D360000}"/>
    <cellStyle name="40% - Accent5 2 3 4 2 3 2" xfId="7984" xr:uid="{00000000-0005-0000-0000-00005E360000}"/>
    <cellStyle name="40% - Accent5 2 3 4 2 3 2 2" xfId="12320" xr:uid="{00000000-0005-0000-0000-00005F360000}"/>
    <cellStyle name="40% - Accent5 2 3 4 2 3 2 2 2" xfId="31790" xr:uid="{00000000-0005-0000-0000-000060360000}"/>
    <cellStyle name="40% - Accent5 2 3 4 2 3 2 3" xfId="27468" xr:uid="{00000000-0005-0000-0000-000061360000}"/>
    <cellStyle name="40% - Accent5 2 3 4 2 3 3" xfId="10425" xr:uid="{00000000-0005-0000-0000-000062360000}"/>
    <cellStyle name="40% - Accent5 2 3 4 2 3 3 2" xfId="29895" xr:uid="{00000000-0005-0000-0000-000063360000}"/>
    <cellStyle name="40% - Accent5 2 3 4 2 3 4" xfId="25489" xr:uid="{00000000-0005-0000-0000-000064360000}"/>
    <cellStyle name="40% - Accent5 2 3 4 2 4" xfId="7981" xr:uid="{00000000-0005-0000-0000-000065360000}"/>
    <cellStyle name="40% - Accent5 2 3 4 2 4 2" xfId="12317" xr:uid="{00000000-0005-0000-0000-000066360000}"/>
    <cellStyle name="40% - Accent5 2 3 4 2 4 2 2" xfId="31787" xr:uid="{00000000-0005-0000-0000-000067360000}"/>
    <cellStyle name="40% - Accent5 2 3 4 2 4 3" xfId="27465" xr:uid="{00000000-0005-0000-0000-000068360000}"/>
    <cellStyle name="40% - Accent5 2 3 4 2 5" xfId="9365" xr:uid="{00000000-0005-0000-0000-000069360000}"/>
    <cellStyle name="40% - Accent5 2 3 4 2 5 2" xfId="28835" xr:uid="{00000000-0005-0000-0000-00006A360000}"/>
    <cellStyle name="40% - Accent5 2 3 4 2 6" xfId="24288" xr:uid="{00000000-0005-0000-0000-00006B360000}"/>
    <cellStyle name="40% - Accent5 2 3 4 3" xfId="5117" xr:uid="{00000000-0005-0000-0000-00006C360000}"/>
    <cellStyle name="40% - Accent5 2 3 4 3 2" xfId="6273" xr:uid="{00000000-0005-0000-0000-00006D360000}"/>
    <cellStyle name="40% - Accent5 2 3 4 3 2 2" xfId="7986" xr:uid="{00000000-0005-0000-0000-00006E360000}"/>
    <cellStyle name="40% - Accent5 2 3 4 3 2 2 2" xfId="12322" xr:uid="{00000000-0005-0000-0000-00006F360000}"/>
    <cellStyle name="40% - Accent5 2 3 4 3 2 2 2 2" xfId="31792" xr:uid="{00000000-0005-0000-0000-000070360000}"/>
    <cellStyle name="40% - Accent5 2 3 4 3 2 2 3" xfId="27470" xr:uid="{00000000-0005-0000-0000-000071360000}"/>
    <cellStyle name="40% - Accent5 2 3 4 3 2 3" xfId="10690" xr:uid="{00000000-0005-0000-0000-000072360000}"/>
    <cellStyle name="40% - Accent5 2 3 4 3 2 3 2" xfId="30160" xr:uid="{00000000-0005-0000-0000-000073360000}"/>
    <cellStyle name="40% - Accent5 2 3 4 3 2 4" xfId="25758" xr:uid="{00000000-0005-0000-0000-000074360000}"/>
    <cellStyle name="40% - Accent5 2 3 4 3 3" xfId="7985" xr:uid="{00000000-0005-0000-0000-000075360000}"/>
    <cellStyle name="40% - Accent5 2 3 4 3 3 2" xfId="12321" xr:uid="{00000000-0005-0000-0000-000076360000}"/>
    <cellStyle name="40% - Accent5 2 3 4 3 3 2 2" xfId="31791" xr:uid="{00000000-0005-0000-0000-000077360000}"/>
    <cellStyle name="40% - Accent5 2 3 4 3 3 3" xfId="27469" xr:uid="{00000000-0005-0000-0000-000078360000}"/>
    <cellStyle name="40% - Accent5 2 3 4 3 4" xfId="9630" xr:uid="{00000000-0005-0000-0000-000079360000}"/>
    <cellStyle name="40% - Accent5 2 3 4 3 4 2" xfId="29100" xr:uid="{00000000-0005-0000-0000-00007A360000}"/>
    <cellStyle name="40% - Accent5 2 3 4 3 5" xfId="24608" xr:uid="{00000000-0005-0000-0000-00007B360000}"/>
    <cellStyle name="40% - Accent5 2 3 4 4" xfId="5726" xr:uid="{00000000-0005-0000-0000-00007C360000}"/>
    <cellStyle name="40% - Accent5 2 3 4 4 2" xfId="7987" xr:uid="{00000000-0005-0000-0000-00007D360000}"/>
    <cellStyle name="40% - Accent5 2 3 4 4 2 2" xfId="12323" xr:uid="{00000000-0005-0000-0000-00007E360000}"/>
    <cellStyle name="40% - Accent5 2 3 4 4 2 2 2" xfId="31793" xr:uid="{00000000-0005-0000-0000-00007F360000}"/>
    <cellStyle name="40% - Accent5 2 3 4 4 2 3" xfId="27471" xr:uid="{00000000-0005-0000-0000-000080360000}"/>
    <cellStyle name="40% - Accent5 2 3 4 4 3" xfId="10160" xr:uid="{00000000-0005-0000-0000-000081360000}"/>
    <cellStyle name="40% - Accent5 2 3 4 4 3 2" xfId="29630" xr:uid="{00000000-0005-0000-0000-000082360000}"/>
    <cellStyle name="40% - Accent5 2 3 4 4 4" xfId="25211" xr:uid="{00000000-0005-0000-0000-000083360000}"/>
    <cellStyle name="40% - Accent5 2 3 4 5" xfId="7980" xr:uid="{00000000-0005-0000-0000-000084360000}"/>
    <cellStyle name="40% - Accent5 2 3 4 5 2" xfId="12316" xr:uid="{00000000-0005-0000-0000-000085360000}"/>
    <cellStyle name="40% - Accent5 2 3 4 5 2 2" xfId="31786" xr:uid="{00000000-0005-0000-0000-000086360000}"/>
    <cellStyle name="40% - Accent5 2 3 4 5 3" xfId="27464" xr:uid="{00000000-0005-0000-0000-000087360000}"/>
    <cellStyle name="40% - Accent5 2 3 4 6" xfId="9099" xr:uid="{00000000-0005-0000-0000-000088360000}"/>
    <cellStyle name="40% - Accent5 2 3 4 6 2" xfId="28570" xr:uid="{00000000-0005-0000-0000-000089360000}"/>
    <cellStyle name="40% - Accent5 2 3 4 7" xfId="23986" xr:uid="{00000000-0005-0000-0000-00008A360000}"/>
    <cellStyle name="40% - Accent5 2 3 5" xfId="4600" xr:uid="{00000000-0005-0000-0000-00008B360000}"/>
    <cellStyle name="40% - Accent5 2 3 5 2" xfId="5241" xr:uid="{00000000-0005-0000-0000-00008C360000}"/>
    <cellStyle name="40% - Accent5 2 3 5 2 2" xfId="6375" xr:uid="{00000000-0005-0000-0000-00008D360000}"/>
    <cellStyle name="40% - Accent5 2 3 5 2 2 2" xfId="7990" xr:uid="{00000000-0005-0000-0000-00008E360000}"/>
    <cellStyle name="40% - Accent5 2 3 5 2 2 2 2" xfId="12326" xr:uid="{00000000-0005-0000-0000-00008F360000}"/>
    <cellStyle name="40% - Accent5 2 3 5 2 2 2 2 2" xfId="31796" xr:uid="{00000000-0005-0000-0000-000090360000}"/>
    <cellStyle name="40% - Accent5 2 3 5 2 2 2 3" xfId="27474" xr:uid="{00000000-0005-0000-0000-000091360000}"/>
    <cellStyle name="40% - Accent5 2 3 5 2 2 3" xfId="10791" xr:uid="{00000000-0005-0000-0000-000092360000}"/>
    <cellStyle name="40% - Accent5 2 3 5 2 2 3 2" xfId="30261" xr:uid="{00000000-0005-0000-0000-000093360000}"/>
    <cellStyle name="40% - Accent5 2 3 5 2 2 4" xfId="25860" xr:uid="{00000000-0005-0000-0000-000094360000}"/>
    <cellStyle name="40% - Accent5 2 3 5 2 3" xfId="7989" xr:uid="{00000000-0005-0000-0000-000095360000}"/>
    <cellStyle name="40% - Accent5 2 3 5 2 3 2" xfId="12325" xr:uid="{00000000-0005-0000-0000-000096360000}"/>
    <cellStyle name="40% - Accent5 2 3 5 2 3 2 2" xfId="31795" xr:uid="{00000000-0005-0000-0000-000097360000}"/>
    <cellStyle name="40% - Accent5 2 3 5 2 3 3" xfId="27473" xr:uid="{00000000-0005-0000-0000-000098360000}"/>
    <cellStyle name="40% - Accent5 2 3 5 2 4" xfId="9730" xr:uid="{00000000-0005-0000-0000-000099360000}"/>
    <cellStyle name="40% - Accent5 2 3 5 2 4 2" xfId="29200" xr:uid="{00000000-0005-0000-0000-00009A360000}"/>
    <cellStyle name="40% - Accent5 2 3 5 2 5" xfId="24732" xr:uid="{00000000-0005-0000-0000-00009B360000}"/>
    <cellStyle name="40% - Accent5 2 3 5 3" xfId="5837" xr:uid="{00000000-0005-0000-0000-00009C360000}"/>
    <cellStyle name="40% - Accent5 2 3 5 3 2" xfId="7991" xr:uid="{00000000-0005-0000-0000-00009D360000}"/>
    <cellStyle name="40% - Accent5 2 3 5 3 2 2" xfId="12327" xr:uid="{00000000-0005-0000-0000-00009E360000}"/>
    <cellStyle name="40% - Accent5 2 3 5 3 2 2 2" xfId="31797" xr:uid="{00000000-0005-0000-0000-00009F360000}"/>
    <cellStyle name="40% - Accent5 2 3 5 3 2 3" xfId="27475" xr:uid="{00000000-0005-0000-0000-0000A0360000}"/>
    <cellStyle name="40% - Accent5 2 3 5 3 3" xfId="10260" xr:uid="{00000000-0005-0000-0000-0000A1360000}"/>
    <cellStyle name="40% - Accent5 2 3 5 3 3 2" xfId="29730" xr:uid="{00000000-0005-0000-0000-0000A2360000}"/>
    <cellStyle name="40% - Accent5 2 3 5 3 4" xfId="25322" xr:uid="{00000000-0005-0000-0000-0000A3360000}"/>
    <cellStyle name="40% - Accent5 2 3 5 4" xfId="7988" xr:uid="{00000000-0005-0000-0000-0000A4360000}"/>
    <cellStyle name="40% - Accent5 2 3 5 4 2" xfId="12324" xr:uid="{00000000-0005-0000-0000-0000A5360000}"/>
    <cellStyle name="40% - Accent5 2 3 5 4 2 2" xfId="31794" xr:uid="{00000000-0005-0000-0000-0000A6360000}"/>
    <cellStyle name="40% - Accent5 2 3 5 4 3" xfId="27472" xr:uid="{00000000-0005-0000-0000-0000A7360000}"/>
    <cellStyle name="40% - Accent5 2 3 5 5" xfId="9200" xr:uid="{00000000-0005-0000-0000-0000A8360000}"/>
    <cellStyle name="40% - Accent5 2 3 5 5 2" xfId="28670" xr:uid="{00000000-0005-0000-0000-0000A9360000}"/>
    <cellStyle name="40% - Accent5 2 3 5 6" xfId="24111" xr:uid="{00000000-0005-0000-0000-0000AA360000}"/>
    <cellStyle name="40% - Accent5 2 3 6" xfId="4945" xr:uid="{00000000-0005-0000-0000-0000AB360000}"/>
    <cellStyle name="40% - Accent5 2 3 6 2" xfId="6107" xr:uid="{00000000-0005-0000-0000-0000AC360000}"/>
    <cellStyle name="40% - Accent5 2 3 6 2 2" xfId="7993" xr:uid="{00000000-0005-0000-0000-0000AD360000}"/>
    <cellStyle name="40% - Accent5 2 3 6 2 2 2" xfId="12329" xr:uid="{00000000-0005-0000-0000-0000AE360000}"/>
    <cellStyle name="40% - Accent5 2 3 6 2 2 2 2" xfId="31799" xr:uid="{00000000-0005-0000-0000-0000AF360000}"/>
    <cellStyle name="40% - Accent5 2 3 6 2 2 3" xfId="27477" xr:uid="{00000000-0005-0000-0000-0000B0360000}"/>
    <cellStyle name="40% - Accent5 2 3 6 2 3" xfId="10525" xr:uid="{00000000-0005-0000-0000-0000B1360000}"/>
    <cellStyle name="40% - Accent5 2 3 6 2 3 2" xfId="29995" xr:uid="{00000000-0005-0000-0000-0000B2360000}"/>
    <cellStyle name="40% - Accent5 2 3 6 2 4" xfId="25592" xr:uid="{00000000-0005-0000-0000-0000B3360000}"/>
    <cellStyle name="40% - Accent5 2 3 6 3" xfId="7992" xr:uid="{00000000-0005-0000-0000-0000B4360000}"/>
    <cellStyle name="40% - Accent5 2 3 6 3 2" xfId="12328" xr:uid="{00000000-0005-0000-0000-0000B5360000}"/>
    <cellStyle name="40% - Accent5 2 3 6 3 2 2" xfId="31798" xr:uid="{00000000-0005-0000-0000-0000B6360000}"/>
    <cellStyle name="40% - Accent5 2 3 6 3 3" xfId="27476" xr:uid="{00000000-0005-0000-0000-0000B7360000}"/>
    <cellStyle name="40% - Accent5 2 3 6 4" xfId="9465" xr:uid="{00000000-0005-0000-0000-0000B8360000}"/>
    <cellStyle name="40% - Accent5 2 3 6 4 2" xfId="28935" xr:uid="{00000000-0005-0000-0000-0000B9360000}"/>
    <cellStyle name="40% - Accent5 2 3 6 5" xfId="24439" xr:uid="{00000000-0005-0000-0000-0000BA360000}"/>
    <cellStyle name="40% - Accent5 2 3 7" xfId="5549" xr:uid="{00000000-0005-0000-0000-0000BB360000}"/>
    <cellStyle name="40% - Accent5 2 3 7 2" xfId="7994" xr:uid="{00000000-0005-0000-0000-0000BC360000}"/>
    <cellStyle name="40% - Accent5 2 3 7 2 2" xfId="12330" xr:uid="{00000000-0005-0000-0000-0000BD360000}"/>
    <cellStyle name="40% - Accent5 2 3 7 2 2 2" xfId="31800" xr:uid="{00000000-0005-0000-0000-0000BE360000}"/>
    <cellStyle name="40% - Accent5 2 3 7 2 3" xfId="27478" xr:uid="{00000000-0005-0000-0000-0000BF360000}"/>
    <cellStyle name="40% - Accent5 2 3 7 3" xfId="9995" xr:uid="{00000000-0005-0000-0000-0000C0360000}"/>
    <cellStyle name="40% - Accent5 2 3 7 3 2" xfId="29465" xr:uid="{00000000-0005-0000-0000-0000C1360000}"/>
    <cellStyle name="40% - Accent5 2 3 7 4" xfId="25037" xr:uid="{00000000-0005-0000-0000-0000C2360000}"/>
    <cellStyle name="40% - Accent5 2 3 8" xfId="7947" xr:uid="{00000000-0005-0000-0000-0000C3360000}"/>
    <cellStyle name="40% - Accent5 2 3 8 2" xfId="12283" xr:uid="{00000000-0005-0000-0000-0000C4360000}"/>
    <cellStyle name="40% - Accent5 2 3 8 2 2" xfId="31753" xr:uid="{00000000-0005-0000-0000-0000C5360000}"/>
    <cellStyle name="40% - Accent5 2 3 8 3" xfId="27431" xr:uid="{00000000-0005-0000-0000-0000C6360000}"/>
    <cellStyle name="40% - Accent5 2 3 9" xfId="8931" xr:uid="{00000000-0005-0000-0000-0000C7360000}"/>
    <cellStyle name="40% - Accent5 2 3 9 2" xfId="28405" xr:uid="{00000000-0005-0000-0000-0000C8360000}"/>
    <cellStyle name="40% - Accent5 2 4" xfId="3903" xr:uid="{00000000-0005-0000-0000-0000C9360000}"/>
    <cellStyle name="40% - Accent5 2 4 2" xfId="4248" xr:uid="{00000000-0005-0000-0000-0000CA360000}"/>
    <cellStyle name="40% - Accent5 2 4 2 2" xfId="4823" xr:uid="{00000000-0005-0000-0000-0000CB360000}"/>
    <cellStyle name="40% - Accent5 2 4 2 2 2" xfId="5448" xr:uid="{00000000-0005-0000-0000-0000CC360000}"/>
    <cellStyle name="40% - Accent5 2 4 2 2 2 2" xfId="6576" xr:uid="{00000000-0005-0000-0000-0000CD360000}"/>
    <cellStyle name="40% - Accent5 2 4 2 2 2 2 2" xfId="7999" xr:uid="{00000000-0005-0000-0000-0000CE360000}"/>
    <cellStyle name="40% - Accent5 2 4 2 2 2 2 2 2" xfId="12335" xr:uid="{00000000-0005-0000-0000-0000CF360000}"/>
    <cellStyle name="40% - Accent5 2 4 2 2 2 2 2 2 2" xfId="31805" xr:uid="{00000000-0005-0000-0000-0000D0360000}"/>
    <cellStyle name="40% - Accent5 2 4 2 2 2 2 2 3" xfId="27483" xr:uid="{00000000-0005-0000-0000-0000D1360000}"/>
    <cellStyle name="40% - Accent5 2 4 2 2 2 2 3" xfId="10992" xr:uid="{00000000-0005-0000-0000-0000D2360000}"/>
    <cellStyle name="40% - Accent5 2 4 2 2 2 2 3 2" xfId="30462" xr:uid="{00000000-0005-0000-0000-0000D3360000}"/>
    <cellStyle name="40% - Accent5 2 4 2 2 2 2 4" xfId="26061" xr:uid="{00000000-0005-0000-0000-0000D4360000}"/>
    <cellStyle name="40% - Accent5 2 4 2 2 2 3" xfId="7998" xr:uid="{00000000-0005-0000-0000-0000D5360000}"/>
    <cellStyle name="40% - Accent5 2 4 2 2 2 3 2" xfId="12334" xr:uid="{00000000-0005-0000-0000-0000D6360000}"/>
    <cellStyle name="40% - Accent5 2 4 2 2 2 3 2 2" xfId="31804" xr:uid="{00000000-0005-0000-0000-0000D7360000}"/>
    <cellStyle name="40% - Accent5 2 4 2 2 2 3 3" xfId="27482" xr:uid="{00000000-0005-0000-0000-0000D8360000}"/>
    <cellStyle name="40% - Accent5 2 4 2 2 2 4" xfId="9931" xr:uid="{00000000-0005-0000-0000-0000D9360000}"/>
    <cellStyle name="40% - Accent5 2 4 2 2 2 4 2" xfId="29401" xr:uid="{00000000-0005-0000-0000-0000DA360000}"/>
    <cellStyle name="40% - Accent5 2 4 2 2 2 5" xfId="24939" xr:uid="{00000000-0005-0000-0000-0000DB360000}"/>
    <cellStyle name="40% - Accent5 2 4 2 2 3" xfId="6041" xr:uid="{00000000-0005-0000-0000-0000DC360000}"/>
    <cellStyle name="40% - Accent5 2 4 2 2 3 2" xfId="8000" xr:uid="{00000000-0005-0000-0000-0000DD360000}"/>
    <cellStyle name="40% - Accent5 2 4 2 2 3 2 2" xfId="12336" xr:uid="{00000000-0005-0000-0000-0000DE360000}"/>
    <cellStyle name="40% - Accent5 2 4 2 2 3 2 2 2" xfId="31806" xr:uid="{00000000-0005-0000-0000-0000DF360000}"/>
    <cellStyle name="40% - Accent5 2 4 2 2 3 2 3" xfId="27484" xr:uid="{00000000-0005-0000-0000-0000E0360000}"/>
    <cellStyle name="40% - Accent5 2 4 2 2 3 3" xfId="10461" xr:uid="{00000000-0005-0000-0000-0000E1360000}"/>
    <cellStyle name="40% - Accent5 2 4 2 2 3 3 2" xfId="29931" xr:uid="{00000000-0005-0000-0000-0000E2360000}"/>
    <cellStyle name="40% - Accent5 2 4 2 2 3 4" xfId="25526" xr:uid="{00000000-0005-0000-0000-0000E3360000}"/>
    <cellStyle name="40% - Accent5 2 4 2 2 4" xfId="7997" xr:uid="{00000000-0005-0000-0000-0000E4360000}"/>
    <cellStyle name="40% - Accent5 2 4 2 2 4 2" xfId="12333" xr:uid="{00000000-0005-0000-0000-0000E5360000}"/>
    <cellStyle name="40% - Accent5 2 4 2 2 4 2 2" xfId="31803" xr:uid="{00000000-0005-0000-0000-0000E6360000}"/>
    <cellStyle name="40% - Accent5 2 4 2 2 4 3" xfId="27481" xr:uid="{00000000-0005-0000-0000-0000E7360000}"/>
    <cellStyle name="40% - Accent5 2 4 2 2 5" xfId="9401" xr:uid="{00000000-0005-0000-0000-0000E8360000}"/>
    <cellStyle name="40% - Accent5 2 4 2 2 5 2" xfId="28871" xr:uid="{00000000-0005-0000-0000-0000E9360000}"/>
    <cellStyle name="40% - Accent5 2 4 2 2 6" xfId="24325" xr:uid="{00000000-0005-0000-0000-0000EA360000}"/>
    <cellStyle name="40% - Accent5 2 4 2 3" xfId="5153" xr:uid="{00000000-0005-0000-0000-0000EB360000}"/>
    <cellStyle name="40% - Accent5 2 4 2 3 2" xfId="6309" xr:uid="{00000000-0005-0000-0000-0000EC360000}"/>
    <cellStyle name="40% - Accent5 2 4 2 3 2 2" xfId="8002" xr:uid="{00000000-0005-0000-0000-0000ED360000}"/>
    <cellStyle name="40% - Accent5 2 4 2 3 2 2 2" xfId="12338" xr:uid="{00000000-0005-0000-0000-0000EE360000}"/>
    <cellStyle name="40% - Accent5 2 4 2 3 2 2 2 2" xfId="31808" xr:uid="{00000000-0005-0000-0000-0000EF360000}"/>
    <cellStyle name="40% - Accent5 2 4 2 3 2 2 3" xfId="27486" xr:uid="{00000000-0005-0000-0000-0000F0360000}"/>
    <cellStyle name="40% - Accent5 2 4 2 3 2 3" xfId="10726" xr:uid="{00000000-0005-0000-0000-0000F1360000}"/>
    <cellStyle name="40% - Accent5 2 4 2 3 2 3 2" xfId="30196" xr:uid="{00000000-0005-0000-0000-0000F2360000}"/>
    <cellStyle name="40% - Accent5 2 4 2 3 2 4" xfId="25794" xr:uid="{00000000-0005-0000-0000-0000F3360000}"/>
    <cellStyle name="40% - Accent5 2 4 2 3 3" xfId="8001" xr:uid="{00000000-0005-0000-0000-0000F4360000}"/>
    <cellStyle name="40% - Accent5 2 4 2 3 3 2" xfId="12337" xr:uid="{00000000-0005-0000-0000-0000F5360000}"/>
    <cellStyle name="40% - Accent5 2 4 2 3 3 2 2" xfId="31807" xr:uid="{00000000-0005-0000-0000-0000F6360000}"/>
    <cellStyle name="40% - Accent5 2 4 2 3 3 3" xfId="27485" xr:uid="{00000000-0005-0000-0000-0000F7360000}"/>
    <cellStyle name="40% - Accent5 2 4 2 3 4" xfId="9666" xr:uid="{00000000-0005-0000-0000-0000F8360000}"/>
    <cellStyle name="40% - Accent5 2 4 2 3 4 2" xfId="29136" xr:uid="{00000000-0005-0000-0000-0000F9360000}"/>
    <cellStyle name="40% - Accent5 2 4 2 3 5" xfId="24644" xr:uid="{00000000-0005-0000-0000-0000FA360000}"/>
    <cellStyle name="40% - Accent5 2 4 2 4" xfId="5762" xr:uid="{00000000-0005-0000-0000-0000FB360000}"/>
    <cellStyle name="40% - Accent5 2 4 2 4 2" xfId="8003" xr:uid="{00000000-0005-0000-0000-0000FC360000}"/>
    <cellStyle name="40% - Accent5 2 4 2 4 2 2" xfId="12339" xr:uid="{00000000-0005-0000-0000-0000FD360000}"/>
    <cellStyle name="40% - Accent5 2 4 2 4 2 2 2" xfId="31809" xr:uid="{00000000-0005-0000-0000-0000FE360000}"/>
    <cellStyle name="40% - Accent5 2 4 2 4 2 3" xfId="27487" xr:uid="{00000000-0005-0000-0000-0000FF360000}"/>
    <cellStyle name="40% - Accent5 2 4 2 4 3" xfId="10196" xr:uid="{00000000-0005-0000-0000-000000370000}"/>
    <cellStyle name="40% - Accent5 2 4 2 4 3 2" xfId="29666" xr:uid="{00000000-0005-0000-0000-000001370000}"/>
    <cellStyle name="40% - Accent5 2 4 2 4 4" xfId="25247" xr:uid="{00000000-0005-0000-0000-000002370000}"/>
    <cellStyle name="40% - Accent5 2 4 2 5" xfId="7996" xr:uid="{00000000-0005-0000-0000-000003370000}"/>
    <cellStyle name="40% - Accent5 2 4 2 5 2" xfId="12332" xr:uid="{00000000-0005-0000-0000-000004370000}"/>
    <cellStyle name="40% - Accent5 2 4 2 5 2 2" xfId="31802" xr:uid="{00000000-0005-0000-0000-000005370000}"/>
    <cellStyle name="40% - Accent5 2 4 2 5 3" xfId="27480" xr:uid="{00000000-0005-0000-0000-000006370000}"/>
    <cellStyle name="40% - Accent5 2 4 2 6" xfId="9135" xr:uid="{00000000-0005-0000-0000-000007370000}"/>
    <cellStyle name="40% - Accent5 2 4 2 6 2" xfId="28606" xr:uid="{00000000-0005-0000-0000-000008370000}"/>
    <cellStyle name="40% - Accent5 2 4 2 7" xfId="24024" xr:uid="{00000000-0005-0000-0000-000009370000}"/>
    <cellStyle name="40% - Accent5 2 4 3" xfId="4734" xr:uid="{00000000-0005-0000-0000-00000A370000}"/>
    <cellStyle name="40% - Accent5 2 4 3 2" xfId="5368" xr:uid="{00000000-0005-0000-0000-00000B370000}"/>
    <cellStyle name="40% - Accent5 2 4 3 2 2" xfId="6496" xr:uid="{00000000-0005-0000-0000-00000C370000}"/>
    <cellStyle name="40% - Accent5 2 4 3 2 2 2" xfId="8006" xr:uid="{00000000-0005-0000-0000-00000D370000}"/>
    <cellStyle name="40% - Accent5 2 4 3 2 2 2 2" xfId="12342" xr:uid="{00000000-0005-0000-0000-00000E370000}"/>
    <cellStyle name="40% - Accent5 2 4 3 2 2 2 2 2" xfId="31812" xr:uid="{00000000-0005-0000-0000-00000F370000}"/>
    <cellStyle name="40% - Accent5 2 4 3 2 2 2 3" xfId="27490" xr:uid="{00000000-0005-0000-0000-000010370000}"/>
    <cellStyle name="40% - Accent5 2 4 3 2 2 3" xfId="10912" xr:uid="{00000000-0005-0000-0000-000011370000}"/>
    <cellStyle name="40% - Accent5 2 4 3 2 2 3 2" xfId="30382" xr:uid="{00000000-0005-0000-0000-000012370000}"/>
    <cellStyle name="40% - Accent5 2 4 3 2 2 4" xfId="25981" xr:uid="{00000000-0005-0000-0000-000013370000}"/>
    <cellStyle name="40% - Accent5 2 4 3 2 3" xfId="8005" xr:uid="{00000000-0005-0000-0000-000014370000}"/>
    <cellStyle name="40% - Accent5 2 4 3 2 3 2" xfId="12341" xr:uid="{00000000-0005-0000-0000-000015370000}"/>
    <cellStyle name="40% - Accent5 2 4 3 2 3 2 2" xfId="31811" xr:uid="{00000000-0005-0000-0000-000016370000}"/>
    <cellStyle name="40% - Accent5 2 4 3 2 3 3" xfId="27489" xr:uid="{00000000-0005-0000-0000-000017370000}"/>
    <cellStyle name="40% - Accent5 2 4 3 2 4" xfId="9851" xr:uid="{00000000-0005-0000-0000-000018370000}"/>
    <cellStyle name="40% - Accent5 2 4 3 2 4 2" xfId="29321" xr:uid="{00000000-0005-0000-0000-000019370000}"/>
    <cellStyle name="40% - Accent5 2 4 3 2 5" xfId="24859" xr:uid="{00000000-0005-0000-0000-00001A370000}"/>
    <cellStyle name="40% - Accent5 2 4 3 3" xfId="5959" xr:uid="{00000000-0005-0000-0000-00001B370000}"/>
    <cellStyle name="40% - Accent5 2 4 3 3 2" xfId="8007" xr:uid="{00000000-0005-0000-0000-00001C370000}"/>
    <cellStyle name="40% - Accent5 2 4 3 3 2 2" xfId="12343" xr:uid="{00000000-0005-0000-0000-00001D370000}"/>
    <cellStyle name="40% - Accent5 2 4 3 3 2 2 2" xfId="31813" xr:uid="{00000000-0005-0000-0000-00001E370000}"/>
    <cellStyle name="40% - Accent5 2 4 3 3 2 3" xfId="27491" xr:uid="{00000000-0005-0000-0000-00001F370000}"/>
    <cellStyle name="40% - Accent5 2 4 3 3 3" xfId="10381" xr:uid="{00000000-0005-0000-0000-000020370000}"/>
    <cellStyle name="40% - Accent5 2 4 3 3 3 2" xfId="29851" xr:uid="{00000000-0005-0000-0000-000021370000}"/>
    <cellStyle name="40% - Accent5 2 4 3 3 4" xfId="25444" xr:uid="{00000000-0005-0000-0000-000022370000}"/>
    <cellStyle name="40% - Accent5 2 4 3 4" xfId="8004" xr:uid="{00000000-0005-0000-0000-000023370000}"/>
    <cellStyle name="40% - Accent5 2 4 3 4 2" xfId="12340" xr:uid="{00000000-0005-0000-0000-000024370000}"/>
    <cellStyle name="40% - Accent5 2 4 3 4 2 2" xfId="31810" xr:uid="{00000000-0005-0000-0000-000025370000}"/>
    <cellStyle name="40% - Accent5 2 4 3 4 3" xfId="27488" xr:uid="{00000000-0005-0000-0000-000026370000}"/>
    <cellStyle name="40% - Accent5 2 4 3 5" xfId="9321" xr:uid="{00000000-0005-0000-0000-000027370000}"/>
    <cellStyle name="40% - Accent5 2 4 3 5 2" xfId="28791" xr:uid="{00000000-0005-0000-0000-000028370000}"/>
    <cellStyle name="40% - Accent5 2 4 3 6" xfId="24241" xr:uid="{00000000-0005-0000-0000-000029370000}"/>
    <cellStyle name="40% - Accent5 2 4 4" xfId="5067" xr:uid="{00000000-0005-0000-0000-00002A370000}"/>
    <cellStyle name="40% - Accent5 2 4 4 2" xfId="6228" xr:uid="{00000000-0005-0000-0000-00002B370000}"/>
    <cellStyle name="40% - Accent5 2 4 4 2 2" xfId="8009" xr:uid="{00000000-0005-0000-0000-00002C370000}"/>
    <cellStyle name="40% - Accent5 2 4 4 2 2 2" xfId="12345" xr:uid="{00000000-0005-0000-0000-00002D370000}"/>
    <cellStyle name="40% - Accent5 2 4 4 2 2 2 2" xfId="31815" xr:uid="{00000000-0005-0000-0000-00002E370000}"/>
    <cellStyle name="40% - Accent5 2 4 4 2 2 3" xfId="27493" xr:uid="{00000000-0005-0000-0000-00002F370000}"/>
    <cellStyle name="40% - Accent5 2 4 4 2 3" xfId="10646" xr:uid="{00000000-0005-0000-0000-000030370000}"/>
    <cellStyle name="40% - Accent5 2 4 4 2 3 2" xfId="30116" xr:uid="{00000000-0005-0000-0000-000031370000}"/>
    <cellStyle name="40% - Accent5 2 4 4 2 4" xfId="25713" xr:uid="{00000000-0005-0000-0000-000032370000}"/>
    <cellStyle name="40% - Accent5 2 4 4 3" xfId="8008" xr:uid="{00000000-0005-0000-0000-000033370000}"/>
    <cellStyle name="40% - Accent5 2 4 4 3 2" xfId="12344" xr:uid="{00000000-0005-0000-0000-000034370000}"/>
    <cellStyle name="40% - Accent5 2 4 4 3 2 2" xfId="31814" xr:uid="{00000000-0005-0000-0000-000035370000}"/>
    <cellStyle name="40% - Accent5 2 4 4 3 3" xfId="27492" xr:uid="{00000000-0005-0000-0000-000036370000}"/>
    <cellStyle name="40% - Accent5 2 4 4 4" xfId="9586" xr:uid="{00000000-0005-0000-0000-000037370000}"/>
    <cellStyle name="40% - Accent5 2 4 4 4 2" xfId="29056" xr:uid="{00000000-0005-0000-0000-000038370000}"/>
    <cellStyle name="40% - Accent5 2 4 4 5" xfId="24560" xr:uid="{00000000-0005-0000-0000-000039370000}"/>
    <cellStyle name="40% - Accent5 2 4 5" xfId="5679" xr:uid="{00000000-0005-0000-0000-00003A370000}"/>
    <cellStyle name="40% - Accent5 2 4 5 2" xfId="8010" xr:uid="{00000000-0005-0000-0000-00003B370000}"/>
    <cellStyle name="40% - Accent5 2 4 5 2 2" xfId="12346" xr:uid="{00000000-0005-0000-0000-00003C370000}"/>
    <cellStyle name="40% - Accent5 2 4 5 2 2 2" xfId="31816" xr:uid="{00000000-0005-0000-0000-00003D370000}"/>
    <cellStyle name="40% - Accent5 2 4 5 2 3" xfId="27494" xr:uid="{00000000-0005-0000-0000-00003E370000}"/>
    <cellStyle name="40% - Accent5 2 4 5 3" xfId="10116" xr:uid="{00000000-0005-0000-0000-00003F370000}"/>
    <cellStyle name="40% - Accent5 2 4 5 3 2" xfId="29586" xr:uid="{00000000-0005-0000-0000-000040370000}"/>
    <cellStyle name="40% - Accent5 2 4 5 4" xfId="25166" xr:uid="{00000000-0005-0000-0000-000041370000}"/>
    <cellStyle name="40% - Accent5 2 4 6" xfId="7995" xr:uid="{00000000-0005-0000-0000-000042370000}"/>
    <cellStyle name="40% - Accent5 2 4 6 2" xfId="12331" xr:uid="{00000000-0005-0000-0000-000043370000}"/>
    <cellStyle name="40% - Accent5 2 4 6 2 2" xfId="31801" xr:uid="{00000000-0005-0000-0000-000044370000}"/>
    <cellStyle name="40% - Accent5 2 4 6 3" xfId="27479" xr:uid="{00000000-0005-0000-0000-000045370000}"/>
    <cellStyle name="40% - Accent5 2 4 7" xfId="9053" xr:uid="{00000000-0005-0000-0000-000046370000}"/>
    <cellStyle name="40% - Accent5 2 4 7 2" xfId="28526" xr:uid="{00000000-0005-0000-0000-000047370000}"/>
    <cellStyle name="40% - Accent5 2 4 8" xfId="23932" xr:uid="{00000000-0005-0000-0000-000048370000}"/>
    <cellStyle name="40% - Accent5 2 5" xfId="4144" xr:uid="{00000000-0005-0000-0000-000049370000}"/>
    <cellStyle name="40% - Accent5 2 5 2" xfId="4765" xr:uid="{00000000-0005-0000-0000-00004A370000}"/>
    <cellStyle name="40% - Accent5 2 5 2 2" xfId="5394" xr:uid="{00000000-0005-0000-0000-00004B370000}"/>
    <cellStyle name="40% - Accent5 2 5 2 2 2" xfId="6522" xr:uid="{00000000-0005-0000-0000-00004C370000}"/>
    <cellStyle name="40% - Accent5 2 5 2 2 2 2" xfId="8014" xr:uid="{00000000-0005-0000-0000-00004D370000}"/>
    <cellStyle name="40% - Accent5 2 5 2 2 2 2 2" xfId="12350" xr:uid="{00000000-0005-0000-0000-00004E370000}"/>
    <cellStyle name="40% - Accent5 2 5 2 2 2 2 2 2" xfId="31820" xr:uid="{00000000-0005-0000-0000-00004F370000}"/>
    <cellStyle name="40% - Accent5 2 5 2 2 2 2 3" xfId="27498" xr:uid="{00000000-0005-0000-0000-000050370000}"/>
    <cellStyle name="40% - Accent5 2 5 2 2 2 3" xfId="10938" xr:uid="{00000000-0005-0000-0000-000051370000}"/>
    <cellStyle name="40% - Accent5 2 5 2 2 2 3 2" xfId="30408" xr:uid="{00000000-0005-0000-0000-000052370000}"/>
    <cellStyle name="40% - Accent5 2 5 2 2 2 4" xfId="26007" xr:uid="{00000000-0005-0000-0000-000053370000}"/>
    <cellStyle name="40% - Accent5 2 5 2 2 3" xfId="8013" xr:uid="{00000000-0005-0000-0000-000054370000}"/>
    <cellStyle name="40% - Accent5 2 5 2 2 3 2" xfId="12349" xr:uid="{00000000-0005-0000-0000-000055370000}"/>
    <cellStyle name="40% - Accent5 2 5 2 2 3 2 2" xfId="31819" xr:uid="{00000000-0005-0000-0000-000056370000}"/>
    <cellStyle name="40% - Accent5 2 5 2 2 3 3" xfId="27497" xr:uid="{00000000-0005-0000-0000-000057370000}"/>
    <cellStyle name="40% - Accent5 2 5 2 2 4" xfId="9877" xr:uid="{00000000-0005-0000-0000-000058370000}"/>
    <cellStyle name="40% - Accent5 2 5 2 2 4 2" xfId="29347" xr:uid="{00000000-0005-0000-0000-000059370000}"/>
    <cellStyle name="40% - Accent5 2 5 2 2 5" xfId="24885" xr:uid="{00000000-0005-0000-0000-00005A370000}"/>
    <cellStyle name="40% - Accent5 2 5 2 3" xfId="5985" xr:uid="{00000000-0005-0000-0000-00005B370000}"/>
    <cellStyle name="40% - Accent5 2 5 2 3 2" xfId="8015" xr:uid="{00000000-0005-0000-0000-00005C370000}"/>
    <cellStyle name="40% - Accent5 2 5 2 3 2 2" xfId="12351" xr:uid="{00000000-0005-0000-0000-00005D370000}"/>
    <cellStyle name="40% - Accent5 2 5 2 3 2 2 2" xfId="31821" xr:uid="{00000000-0005-0000-0000-00005E370000}"/>
    <cellStyle name="40% - Accent5 2 5 2 3 2 3" xfId="27499" xr:uid="{00000000-0005-0000-0000-00005F370000}"/>
    <cellStyle name="40% - Accent5 2 5 2 3 3" xfId="10407" xr:uid="{00000000-0005-0000-0000-000060370000}"/>
    <cellStyle name="40% - Accent5 2 5 2 3 3 2" xfId="29877" xr:uid="{00000000-0005-0000-0000-000061370000}"/>
    <cellStyle name="40% - Accent5 2 5 2 3 4" xfId="25470" xr:uid="{00000000-0005-0000-0000-000062370000}"/>
    <cellStyle name="40% - Accent5 2 5 2 4" xfId="8012" xr:uid="{00000000-0005-0000-0000-000063370000}"/>
    <cellStyle name="40% - Accent5 2 5 2 4 2" xfId="12348" xr:uid="{00000000-0005-0000-0000-000064370000}"/>
    <cellStyle name="40% - Accent5 2 5 2 4 2 2" xfId="31818" xr:uid="{00000000-0005-0000-0000-000065370000}"/>
    <cellStyle name="40% - Accent5 2 5 2 4 3" xfId="27496" xr:uid="{00000000-0005-0000-0000-000066370000}"/>
    <cellStyle name="40% - Accent5 2 5 2 5" xfId="9347" xr:uid="{00000000-0005-0000-0000-000067370000}"/>
    <cellStyle name="40% - Accent5 2 5 2 5 2" xfId="28817" xr:uid="{00000000-0005-0000-0000-000068370000}"/>
    <cellStyle name="40% - Accent5 2 5 2 6" xfId="24270" xr:uid="{00000000-0005-0000-0000-000069370000}"/>
    <cellStyle name="40% - Accent5 2 5 3" xfId="5099" xr:uid="{00000000-0005-0000-0000-00006A370000}"/>
    <cellStyle name="40% - Accent5 2 5 3 2" xfId="6255" xr:uid="{00000000-0005-0000-0000-00006B370000}"/>
    <cellStyle name="40% - Accent5 2 5 3 2 2" xfId="8017" xr:uid="{00000000-0005-0000-0000-00006C370000}"/>
    <cellStyle name="40% - Accent5 2 5 3 2 2 2" xfId="12353" xr:uid="{00000000-0005-0000-0000-00006D370000}"/>
    <cellStyle name="40% - Accent5 2 5 3 2 2 2 2" xfId="31823" xr:uid="{00000000-0005-0000-0000-00006E370000}"/>
    <cellStyle name="40% - Accent5 2 5 3 2 2 3" xfId="27501" xr:uid="{00000000-0005-0000-0000-00006F370000}"/>
    <cellStyle name="40% - Accent5 2 5 3 2 3" xfId="10672" xr:uid="{00000000-0005-0000-0000-000070370000}"/>
    <cellStyle name="40% - Accent5 2 5 3 2 3 2" xfId="30142" xr:uid="{00000000-0005-0000-0000-000071370000}"/>
    <cellStyle name="40% - Accent5 2 5 3 2 4" xfId="25740" xr:uid="{00000000-0005-0000-0000-000072370000}"/>
    <cellStyle name="40% - Accent5 2 5 3 3" xfId="8016" xr:uid="{00000000-0005-0000-0000-000073370000}"/>
    <cellStyle name="40% - Accent5 2 5 3 3 2" xfId="12352" xr:uid="{00000000-0005-0000-0000-000074370000}"/>
    <cellStyle name="40% - Accent5 2 5 3 3 2 2" xfId="31822" xr:uid="{00000000-0005-0000-0000-000075370000}"/>
    <cellStyle name="40% - Accent5 2 5 3 3 3" xfId="27500" xr:uid="{00000000-0005-0000-0000-000076370000}"/>
    <cellStyle name="40% - Accent5 2 5 3 4" xfId="9612" xr:uid="{00000000-0005-0000-0000-000077370000}"/>
    <cellStyle name="40% - Accent5 2 5 3 4 2" xfId="29082" xr:uid="{00000000-0005-0000-0000-000078370000}"/>
    <cellStyle name="40% - Accent5 2 5 3 5" xfId="24590" xr:uid="{00000000-0005-0000-0000-000079370000}"/>
    <cellStyle name="40% - Accent5 2 5 4" xfId="5708" xr:uid="{00000000-0005-0000-0000-00007A370000}"/>
    <cellStyle name="40% - Accent5 2 5 4 2" xfId="8018" xr:uid="{00000000-0005-0000-0000-00007B370000}"/>
    <cellStyle name="40% - Accent5 2 5 4 2 2" xfId="12354" xr:uid="{00000000-0005-0000-0000-00007C370000}"/>
    <cellStyle name="40% - Accent5 2 5 4 2 2 2" xfId="31824" xr:uid="{00000000-0005-0000-0000-00007D370000}"/>
    <cellStyle name="40% - Accent5 2 5 4 2 3" xfId="27502" xr:uid="{00000000-0005-0000-0000-00007E370000}"/>
    <cellStyle name="40% - Accent5 2 5 4 3" xfId="10142" xr:uid="{00000000-0005-0000-0000-00007F370000}"/>
    <cellStyle name="40% - Accent5 2 5 4 3 2" xfId="29612" xr:uid="{00000000-0005-0000-0000-000080370000}"/>
    <cellStyle name="40% - Accent5 2 5 4 4" xfId="25193" xr:uid="{00000000-0005-0000-0000-000081370000}"/>
    <cellStyle name="40% - Accent5 2 5 5" xfId="8011" xr:uid="{00000000-0005-0000-0000-000082370000}"/>
    <cellStyle name="40% - Accent5 2 5 5 2" xfId="12347" xr:uid="{00000000-0005-0000-0000-000083370000}"/>
    <cellStyle name="40% - Accent5 2 5 5 2 2" xfId="31817" xr:uid="{00000000-0005-0000-0000-000084370000}"/>
    <cellStyle name="40% - Accent5 2 5 5 3" xfId="27495" xr:uid="{00000000-0005-0000-0000-000085370000}"/>
    <cellStyle name="40% - Accent5 2 5 6" xfId="9081" xr:uid="{00000000-0005-0000-0000-000086370000}"/>
    <cellStyle name="40% - Accent5 2 5 6 2" xfId="28552" xr:uid="{00000000-0005-0000-0000-000087370000}"/>
    <cellStyle name="40% - Accent5 2 5 7" xfId="23967" xr:uid="{00000000-0005-0000-0000-000088370000}"/>
    <cellStyle name="40% - Accent5 3" xfId="2058" xr:uid="{00000000-0005-0000-0000-000089370000}"/>
    <cellStyle name="40% - Accent5 3 2" xfId="4161" xr:uid="{00000000-0005-0000-0000-00008A370000}"/>
    <cellStyle name="40% - Accent5 4" xfId="2103" xr:uid="{00000000-0005-0000-0000-00008B370000}"/>
    <cellStyle name="40% - Accent5 4 2" xfId="4210" xr:uid="{00000000-0005-0000-0000-00008C370000}"/>
    <cellStyle name="40% - Accent5 5" xfId="2723" xr:uid="{00000000-0005-0000-0000-00008D370000}"/>
    <cellStyle name="40% - Accent6" xfId="1316" builtinId="51" customBuiltin="1"/>
    <cellStyle name="40% - Accent6 2" xfId="1317" xr:uid="{00000000-0005-0000-0000-00008F370000}"/>
    <cellStyle name="40% - Accent6 2 2" xfId="2724" xr:uid="{00000000-0005-0000-0000-000090370000}"/>
    <cellStyle name="40% - Accent6 2 2 10" xfId="23577" xr:uid="{00000000-0005-0000-0000-000091370000}"/>
    <cellStyle name="40% - Accent6 2 2 2" xfId="2885" xr:uid="{00000000-0005-0000-0000-000092370000}"/>
    <cellStyle name="40% - Accent6 2 2 2 2" xfId="3079" xr:uid="{00000000-0005-0000-0000-000093370000}"/>
    <cellStyle name="40% - Accent6 2 2 2 2 2" xfId="4706" xr:uid="{00000000-0005-0000-0000-000094370000}"/>
    <cellStyle name="40% - Accent6 2 2 2 2 2 2" xfId="5340" xr:uid="{00000000-0005-0000-0000-000095370000}"/>
    <cellStyle name="40% - Accent6 2 2 2 2 2 2 2" xfId="6474" xr:uid="{00000000-0005-0000-0000-000096370000}"/>
    <cellStyle name="40% - Accent6 2 2 2 2 2 2 2 2" xfId="8024" xr:uid="{00000000-0005-0000-0000-000097370000}"/>
    <cellStyle name="40% - Accent6 2 2 2 2 2 2 2 2 2" xfId="12360" xr:uid="{00000000-0005-0000-0000-000098370000}"/>
    <cellStyle name="40% - Accent6 2 2 2 2 2 2 2 2 2 2" xfId="31830" xr:uid="{00000000-0005-0000-0000-000099370000}"/>
    <cellStyle name="40% - Accent6 2 2 2 2 2 2 2 2 3" xfId="27508" xr:uid="{00000000-0005-0000-0000-00009A370000}"/>
    <cellStyle name="40% - Accent6 2 2 2 2 2 2 2 3" xfId="10890" xr:uid="{00000000-0005-0000-0000-00009B370000}"/>
    <cellStyle name="40% - Accent6 2 2 2 2 2 2 2 3 2" xfId="30360" xr:uid="{00000000-0005-0000-0000-00009C370000}"/>
    <cellStyle name="40% - Accent6 2 2 2 2 2 2 2 4" xfId="25959" xr:uid="{00000000-0005-0000-0000-00009D370000}"/>
    <cellStyle name="40% - Accent6 2 2 2 2 2 2 3" xfId="8023" xr:uid="{00000000-0005-0000-0000-00009E370000}"/>
    <cellStyle name="40% - Accent6 2 2 2 2 2 2 3 2" xfId="12359" xr:uid="{00000000-0005-0000-0000-00009F370000}"/>
    <cellStyle name="40% - Accent6 2 2 2 2 2 2 3 2 2" xfId="31829" xr:uid="{00000000-0005-0000-0000-0000A0370000}"/>
    <cellStyle name="40% - Accent6 2 2 2 2 2 2 3 3" xfId="27507" xr:uid="{00000000-0005-0000-0000-0000A1370000}"/>
    <cellStyle name="40% - Accent6 2 2 2 2 2 2 4" xfId="9829" xr:uid="{00000000-0005-0000-0000-0000A2370000}"/>
    <cellStyle name="40% - Accent6 2 2 2 2 2 2 4 2" xfId="29299" xr:uid="{00000000-0005-0000-0000-0000A3370000}"/>
    <cellStyle name="40% - Accent6 2 2 2 2 2 2 5" xfId="24831" xr:uid="{00000000-0005-0000-0000-0000A4370000}"/>
    <cellStyle name="40% - Accent6 2 2 2 2 2 3" xfId="5937" xr:uid="{00000000-0005-0000-0000-0000A5370000}"/>
    <cellStyle name="40% - Accent6 2 2 2 2 2 3 2" xfId="8025" xr:uid="{00000000-0005-0000-0000-0000A6370000}"/>
    <cellStyle name="40% - Accent6 2 2 2 2 2 3 2 2" xfId="12361" xr:uid="{00000000-0005-0000-0000-0000A7370000}"/>
    <cellStyle name="40% - Accent6 2 2 2 2 2 3 2 2 2" xfId="31831" xr:uid="{00000000-0005-0000-0000-0000A8370000}"/>
    <cellStyle name="40% - Accent6 2 2 2 2 2 3 2 3" xfId="27509" xr:uid="{00000000-0005-0000-0000-0000A9370000}"/>
    <cellStyle name="40% - Accent6 2 2 2 2 2 3 3" xfId="10359" xr:uid="{00000000-0005-0000-0000-0000AA370000}"/>
    <cellStyle name="40% - Accent6 2 2 2 2 2 3 3 2" xfId="29829" xr:uid="{00000000-0005-0000-0000-0000AB370000}"/>
    <cellStyle name="40% - Accent6 2 2 2 2 2 3 4" xfId="25422" xr:uid="{00000000-0005-0000-0000-0000AC370000}"/>
    <cellStyle name="40% - Accent6 2 2 2 2 2 4" xfId="8022" xr:uid="{00000000-0005-0000-0000-0000AD370000}"/>
    <cellStyle name="40% - Accent6 2 2 2 2 2 4 2" xfId="12358" xr:uid="{00000000-0005-0000-0000-0000AE370000}"/>
    <cellStyle name="40% - Accent6 2 2 2 2 2 4 2 2" xfId="31828" xr:uid="{00000000-0005-0000-0000-0000AF370000}"/>
    <cellStyle name="40% - Accent6 2 2 2 2 2 4 3" xfId="27506" xr:uid="{00000000-0005-0000-0000-0000B0370000}"/>
    <cellStyle name="40% - Accent6 2 2 2 2 2 5" xfId="9299" xr:uid="{00000000-0005-0000-0000-0000B1370000}"/>
    <cellStyle name="40% - Accent6 2 2 2 2 2 5 2" xfId="28769" xr:uid="{00000000-0005-0000-0000-0000B2370000}"/>
    <cellStyle name="40% - Accent6 2 2 2 2 2 6" xfId="24217" xr:uid="{00000000-0005-0000-0000-0000B3370000}"/>
    <cellStyle name="40% - Accent6 2 2 2 2 3" xfId="5044" xr:uid="{00000000-0005-0000-0000-0000B4370000}"/>
    <cellStyle name="40% - Accent6 2 2 2 2 3 2" xfId="6206" xr:uid="{00000000-0005-0000-0000-0000B5370000}"/>
    <cellStyle name="40% - Accent6 2 2 2 2 3 2 2" xfId="8027" xr:uid="{00000000-0005-0000-0000-0000B6370000}"/>
    <cellStyle name="40% - Accent6 2 2 2 2 3 2 2 2" xfId="12363" xr:uid="{00000000-0005-0000-0000-0000B7370000}"/>
    <cellStyle name="40% - Accent6 2 2 2 2 3 2 2 2 2" xfId="31833" xr:uid="{00000000-0005-0000-0000-0000B8370000}"/>
    <cellStyle name="40% - Accent6 2 2 2 2 3 2 2 3" xfId="27511" xr:uid="{00000000-0005-0000-0000-0000B9370000}"/>
    <cellStyle name="40% - Accent6 2 2 2 2 3 2 3" xfId="10624" xr:uid="{00000000-0005-0000-0000-0000BA370000}"/>
    <cellStyle name="40% - Accent6 2 2 2 2 3 2 3 2" xfId="30094" xr:uid="{00000000-0005-0000-0000-0000BB370000}"/>
    <cellStyle name="40% - Accent6 2 2 2 2 3 2 4" xfId="25691" xr:uid="{00000000-0005-0000-0000-0000BC370000}"/>
    <cellStyle name="40% - Accent6 2 2 2 2 3 3" xfId="8026" xr:uid="{00000000-0005-0000-0000-0000BD370000}"/>
    <cellStyle name="40% - Accent6 2 2 2 2 3 3 2" xfId="12362" xr:uid="{00000000-0005-0000-0000-0000BE370000}"/>
    <cellStyle name="40% - Accent6 2 2 2 2 3 3 2 2" xfId="31832" xr:uid="{00000000-0005-0000-0000-0000BF370000}"/>
    <cellStyle name="40% - Accent6 2 2 2 2 3 3 3" xfId="27510" xr:uid="{00000000-0005-0000-0000-0000C0370000}"/>
    <cellStyle name="40% - Accent6 2 2 2 2 3 4" xfId="9564" xr:uid="{00000000-0005-0000-0000-0000C1370000}"/>
    <cellStyle name="40% - Accent6 2 2 2 2 3 4 2" xfId="29034" xr:uid="{00000000-0005-0000-0000-0000C2370000}"/>
    <cellStyle name="40% - Accent6 2 2 2 2 3 5" xfId="24538" xr:uid="{00000000-0005-0000-0000-0000C3370000}"/>
    <cellStyle name="40% - Accent6 2 2 2 2 4" xfId="5649" xr:uid="{00000000-0005-0000-0000-0000C4370000}"/>
    <cellStyle name="40% - Accent6 2 2 2 2 4 2" xfId="8028" xr:uid="{00000000-0005-0000-0000-0000C5370000}"/>
    <cellStyle name="40% - Accent6 2 2 2 2 4 2 2" xfId="12364" xr:uid="{00000000-0005-0000-0000-0000C6370000}"/>
    <cellStyle name="40% - Accent6 2 2 2 2 4 2 2 2" xfId="31834" xr:uid="{00000000-0005-0000-0000-0000C7370000}"/>
    <cellStyle name="40% - Accent6 2 2 2 2 4 2 3" xfId="27512" xr:uid="{00000000-0005-0000-0000-0000C8370000}"/>
    <cellStyle name="40% - Accent6 2 2 2 2 4 3" xfId="10094" xr:uid="{00000000-0005-0000-0000-0000C9370000}"/>
    <cellStyle name="40% - Accent6 2 2 2 2 4 3 2" xfId="29564" xr:uid="{00000000-0005-0000-0000-0000CA370000}"/>
    <cellStyle name="40% - Accent6 2 2 2 2 4 4" xfId="25136" xr:uid="{00000000-0005-0000-0000-0000CB370000}"/>
    <cellStyle name="40% - Accent6 2 2 2 2 5" xfId="8021" xr:uid="{00000000-0005-0000-0000-0000CC370000}"/>
    <cellStyle name="40% - Accent6 2 2 2 2 5 2" xfId="12357" xr:uid="{00000000-0005-0000-0000-0000CD370000}"/>
    <cellStyle name="40% - Accent6 2 2 2 2 5 2 2" xfId="31827" xr:uid="{00000000-0005-0000-0000-0000CE370000}"/>
    <cellStyle name="40% - Accent6 2 2 2 2 5 3" xfId="27505" xr:uid="{00000000-0005-0000-0000-0000CF370000}"/>
    <cellStyle name="40% - Accent6 2 2 2 2 6" xfId="9030" xr:uid="{00000000-0005-0000-0000-0000D0370000}"/>
    <cellStyle name="40% - Accent6 2 2 2 2 6 2" xfId="28504" xr:uid="{00000000-0005-0000-0000-0000D1370000}"/>
    <cellStyle name="40% - Accent6 2 2 2 2 7" xfId="23888" xr:uid="{00000000-0005-0000-0000-0000D2370000}"/>
    <cellStyle name="40% - Accent6 2 2 2 3" xfId="4286" xr:uid="{00000000-0005-0000-0000-0000D3370000}"/>
    <cellStyle name="40% - Accent6 2 2 2 3 2" xfId="4861" xr:uid="{00000000-0005-0000-0000-0000D4370000}"/>
    <cellStyle name="40% - Accent6 2 2 2 3 2 2" xfId="5486" xr:uid="{00000000-0005-0000-0000-0000D5370000}"/>
    <cellStyle name="40% - Accent6 2 2 2 3 2 2 2" xfId="6614" xr:uid="{00000000-0005-0000-0000-0000D6370000}"/>
    <cellStyle name="40% - Accent6 2 2 2 3 2 2 2 2" xfId="8032" xr:uid="{00000000-0005-0000-0000-0000D7370000}"/>
    <cellStyle name="40% - Accent6 2 2 2 3 2 2 2 2 2" xfId="12368" xr:uid="{00000000-0005-0000-0000-0000D8370000}"/>
    <cellStyle name="40% - Accent6 2 2 2 3 2 2 2 2 2 2" xfId="31838" xr:uid="{00000000-0005-0000-0000-0000D9370000}"/>
    <cellStyle name="40% - Accent6 2 2 2 3 2 2 2 2 3" xfId="27516" xr:uid="{00000000-0005-0000-0000-0000DA370000}"/>
    <cellStyle name="40% - Accent6 2 2 2 3 2 2 2 3" xfId="11030" xr:uid="{00000000-0005-0000-0000-0000DB370000}"/>
    <cellStyle name="40% - Accent6 2 2 2 3 2 2 2 3 2" xfId="30500" xr:uid="{00000000-0005-0000-0000-0000DC370000}"/>
    <cellStyle name="40% - Accent6 2 2 2 3 2 2 2 4" xfId="26099" xr:uid="{00000000-0005-0000-0000-0000DD370000}"/>
    <cellStyle name="40% - Accent6 2 2 2 3 2 2 3" xfId="8031" xr:uid="{00000000-0005-0000-0000-0000DE370000}"/>
    <cellStyle name="40% - Accent6 2 2 2 3 2 2 3 2" xfId="12367" xr:uid="{00000000-0005-0000-0000-0000DF370000}"/>
    <cellStyle name="40% - Accent6 2 2 2 3 2 2 3 2 2" xfId="31837" xr:uid="{00000000-0005-0000-0000-0000E0370000}"/>
    <cellStyle name="40% - Accent6 2 2 2 3 2 2 3 3" xfId="27515" xr:uid="{00000000-0005-0000-0000-0000E1370000}"/>
    <cellStyle name="40% - Accent6 2 2 2 3 2 2 4" xfId="9969" xr:uid="{00000000-0005-0000-0000-0000E2370000}"/>
    <cellStyle name="40% - Accent6 2 2 2 3 2 2 4 2" xfId="29439" xr:uid="{00000000-0005-0000-0000-0000E3370000}"/>
    <cellStyle name="40% - Accent6 2 2 2 3 2 2 5" xfId="24977" xr:uid="{00000000-0005-0000-0000-0000E4370000}"/>
    <cellStyle name="40% - Accent6 2 2 2 3 2 3" xfId="6079" xr:uid="{00000000-0005-0000-0000-0000E5370000}"/>
    <cellStyle name="40% - Accent6 2 2 2 3 2 3 2" xfId="8033" xr:uid="{00000000-0005-0000-0000-0000E6370000}"/>
    <cellStyle name="40% - Accent6 2 2 2 3 2 3 2 2" xfId="12369" xr:uid="{00000000-0005-0000-0000-0000E7370000}"/>
    <cellStyle name="40% - Accent6 2 2 2 3 2 3 2 2 2" xfId="31839" xr:uid="{00000000-0005-0000-0000-0000E8370000}"/>
    <cellStyle name="40% - Accent6 2 2 2 3 2 3 2 3" xfId="27517" xr:uid="{00000000-0005-0000-0000-0000E9370000}"/>
    <cellStyle name="40% - Accent6 2 2 2 3 2 3 3" xfId="10499" xr:uid="{00000000-0005-0000-0000-0000EA370000}"/>
    <cellStyle name="40% - Accent6 2 2 2 3 2 3 3 2" xfId="29969" xr:uid="{00000000-0005-0000-0000-0000EB370000}"/>
    <cellStyle name="40% - Accent6 2 2 2 3 2 3 4" xfId="25564" xr:uid="{00000000-0005-0000-0000-0000EC370000}"/>
    <cellStyle name="40% - Accent6 2 2 2 3 2 4" xfId="8030" xr:uid="{00000000-0005-0000-0000-0000ED370000}"/>
    <cellStyle name="40% - Accent6 2 2 2 3 2 4 2" xfId="12366" xr:uid="{00000000-0005-0000-0000-0000EE370000}"/>
    <cellStyle name="40% - Accent6 2 2 2 3 2 4 2 2" xfId="31836" xr:uid="{00000000-0005-0000-0000-0000EF370000}"/>
    <cellStyle name="40% - Accent6 2 2 2 3 2 4 3" xfId="27514" xr:uid="{00000000-0005-0000-0000-0000F0370000}"/>
    <cellStyle name="40% - Accent6 2 2 2 3 2 5" xfId="9439" xr:uid="{00000000-0005-0000-0000-0000F1370000}"/>
    <cellStyle name="40% - Accent6 2 2 2 3 2 5 2" xfId="28909" xr:uid="{00000000-0005-0000-0000-0000F2370000}"/>
    <cellStyle name="40% - Accent6 2 2 2 3 2 6" xfId="24363" xr:uid="{00000000-0005-0000-0000-0000F3370000}"/>
    <cellStyle name="40% - Accent6 2 2 2 3 3" xfId="5191" xr:uid="{00000000-0005-0000-0000-0000F4370000}"/>
    <cellStyle name="40% - Accent6 2 2 2 3 3 2" xfId="6347" xr:uid="{00000000-0005-0000-0000-0000F5370000}"/>
    <cellStyle name="40% - Accent6 2 2 2 3 3 2 2" xfId="8035" xr:uid="{00000000-0005-0000-0000-0000F6370000}"/>
    <cellStyle name="40% - Accent6 2 2 2 3 3 2 2 2" xfId="12371" xr:uid="{00000000-0005-0000-0000-0000F7370000}"/>
    <cellStyle name="40% - Accent6 2 2 2 3 3 2 2 2 2" xfId="31841" xr:uid="{00000000-0005-0000-0000-0000F8370000}"/>
    <cellStyle name="40% - Accent6 2 2 2 3 3 2 2 3" xfId="27519" xr:uid="{00000000-0005-0000-0000-0000F9370000}"/>
    <cellStyle name="40% - Accent6 2 2 2 3 3 2 3" xfId="10764" xr:uid="{00000000-0005-0000-0000-0000FA370000}"/>
    <cellStyle name="40% - Accent6 2 2 2 3 3 2 3 2" xfId="30234" xr:uid="{00000000-0005-0000-0000-0000FB370000}"/>
    <cellStyle name="40% - Accent6 2 2 2 3 3 2 4" xfId="25832" xr:uid="{00000000-0005-0000-0000-0000FC370000}"/>
    <cellStyle name="40% - Accent6 2 2 2 3 3 3" xfId="8034" xr:uid="{00000000-0005-0000-0000-0000FD370000}"/>
    <cellStyle name="40% - Accent6 2 2 2 3 3 3 2" xfId="12370" xr:uid="{00000000-0005-0000-0000-0000FE370000}"/>
    <cellStyle name="40% - Accent6 2 2 2 3 3 3 2 2" xfId="31840" xr:uid="{00000000-0005-0000-0000-0000FF370000}"/>
    <cellStyle name="40% - Accent6 2 2 2 3 3 3 3" xfId="27518" xr:uid="{00000000-0005-0000-0000-000000380000}"/>
    <cellStyle name="40% - Accent6 2 2 2 3 3 4" xfId="9704" xr:uid="{00000000-0005-0000-0000-000001380000}"/>
    <cellStyle name="40% - Accent6 2 2 2 3 3 4 2" xfId="29174" xr:uid="{00000000-0005-0000-0000-000002380000}"/>
    <cellStyle name="40% - Accent6 2 2 2 3 3 5" xfId="24682" xr:uid="{00000000-0005-0000-0000-000003380000}"/>
    <cellStyle name="40% - Accent6 2 2 2 3 4" xfId="5800" xr:uid="{00000000-0005-0000-0000-000004380000}"/>
    <cellStyle name="40% - Accent6 2 2 2 3 4 2" xfId="8036" xr:uid="{00000000-0005-0000-0000-000005380000}"/>
    <cellStyle name="40% - Accent6 2 2 2 3 4 2 2" xfId="12372" xr:uid="{00000000-0005-0000-0000-000006380000}"/>
    <cellStyle name="40% - Accent6 2 2 2 3 4 2 2 2" xfId="31842" xr:uid="{00000000-0005-0000-0000-000007380000}"/>
    <cellStyle name="40% - Accent6 2 2 2 3 4 2 3" xfId="27520" xr:uid="{00000000-0005-0000-0000-000008380000}"/>
    <cellStyle name="40% - Accent6 2 2 2 3 4 3" xfId="10234" xr:uid="{00000000-0005-0000-0000-000009380000}"/>
    <cellStyle name="40% - Accent6 2 2 2 3 4 3 2" xfId="29704" xr:uid="{00000000-0005-0000-0000-00000A380000}"/>
    <cellStyle name="40% - Accent6 2 2 2 3 4 4" xfId="25285" xr:uid="{00000000-0005-0000-0000-00000B380000}"/>
    <cellStyle name="40% - Accent6 2 2 2 3 5" xfId="8029" xr:uid="{00000000-0005-0000-0000-00000C380000}"/>
    <cellStyle name="40% - Accent6 2 2 2 3 5 2" xfId="12365" xr:uid="{00000000-0005-0000-0000-00000D380000}"/>
    <cellStyle name="40% - Accent6 2 2 2 3 5 2 2" xfId="31835" xr:uid="{00000000-0005-0000-0000-00000E380000}"/>
    <cellStyle name="40% - Accent6 2 2 2 3 5 3" xfId="27513" xr:uid="{00000000-0005-0000-0000-00000F380000}"/>
    <cellStyle name="40% - Accent6 2 2 2 3 6" xfId="9173" xr:uid="{00000000-0005-0000-0000-000010380000}"/>
    <cellStyle name="40% - Accent6 2 2 2 3 6 2" xfId="28644" xr:uid="{00000000-0005-0000-0000-000011380000}"/>
    <cellStyle name="40% - Accent6 2 2 2 3 7" xfId="24062" xr:uid="{00000000-0005-0000-0000-000012380000}"/>
    <cellStyle name="40% - Accent6 2 2 2 4" xfId="4634" xr:uid="{00000000-0005-0000-0000-000013380000}"/>
    <cellStyle name="40% - Accent6 2 2 2 4 2" xfId="5274" xr:uid="{00000000-0005-0000-0000-000014380000}"/>
    <cellStyle name="40% - Accent6 2 2 2 4 2 2" xfId="6408" xr:uid="{00000000-0005-0000-0000-000015380000}"/>
    <cellStyle name="40% - Accent6 2 2 2 4 2 2 2" xfId="8039" xr:uid="{00000000-0005-0000-0000-000016380000}"/>
    <cellStyle name="40% - Accent6 2 2 2 4 2 2 2 2" xfId="12375" xr:uid="{00000000-0005-0000-0000-000017380000}"/>
    <cellStyle name="40% - Accent6 2 2 2 4 2 2 2 2 2" xfId="31845" xr:uid="{00000000-0005-0000-0000-000018380000}"/>
    <cellStyle name="40% - Accent6 2 2 2 4 2 2 2 3" xfId="27523" xr:uid="{00000000-0005-0000-0000-000019380000}"/>
    <cellStyle name="40% - Accent6 2 2 2 4 2 2 3" xfId="10824" xr:uid="{00000000-0005-0000-0000-00001A380000}"/>
    <cellStyle name="40% - Accent6 2 2 2 4 2 2 3 2" xfId="30294" xr:uid="{00000000-0005-0000-0000-00001B380000}"/>
    <cellStyle name="40% - Accent6 2 2 2 4 2 2 4" xfId="25893" xr:uid="{00000000-0005-0000-0000-00001C380000}"/>
    <cellStyle name="40% - Accent6 2 2 2 4 2 3" xfId="8038" xr:uid="{00000000-0005-0000-0000-00001D380000}"/>
    <cellStyle name="40% - Accent6 2 2 2 4 2 3 2" xfId="12374" xr:uid="{00000000-0005-0000-0000-00001E380000}"/>
    <cellStyle name="40% - Accent6 2 2 2 4 2 3 2 2" xfId="31844" xr:uid="{00000000-0005-0000-0000-00001F380000}"/>
    <cellStyle name="40% - Accent6 2 2 2 4 2 3 3" xfId="27522" xr:uid="{00000000-0005-0000-0000-000020380000}"/>
    <cellStyle name="40% - Accent6 2 2 2 4 2 4" xfId="9763" xr:uid="{00000000-0005-0000-0000-000021380000}"/>
    <cellStyle name="40% - Accent6 2 2 2 4 2 4 2" xfId="29233" xr:uid="{00000000-0005-0000-0000-000022380000}"/>
    <cellStyle name="40% - Accent6 2 2 2 4 2 5" xfId="24765" xr:uid="{00000000-0005-0000-0000-000023380000}"/>
    <cellStyle name="40% - Accent6 2 2 2 4 3" xfId="5871" xr:uid="{00000000-0005-0000-0000-000024380000}"/>
    <cellStyle name="40% - Accent6 2 2 2 4 3 2" xfId="8040" xr:uid="{00000000-0005-0000-0000-000025380000}"/>
    <cellStyle name="40% - Accent6 2 2 2 4 3 2 2" xfId="12376" xr:uid="{00000000-0005-0000-0000-000026380000}"/>
    <cellStyle name="40% - Accent6 2 2 2 4 3 2 2 2" xfId="31846" xr:uid="{00000000-0005-0000-0000-000027380000}"/>
    <cellStyle name="40% - Accent6 2 2 2 4 3 2 3" xfId="27524" xr:uid="{00000000-0005-0000-0000-000028380000}"/>
    <cellStyle name="40% - Accent6 2 2 2 4 3 3" xfId="10293" xr:uid="{00000000-0005-0000-0000-000029380000}"/>
    <cellStyle name="40% - Accent6 2 2 2 4 3 3 2" xfId="29763" xr:uid="{00000000-0005-0000-0000-00002A380000}"/>
    <cellStyle name="40% - Accent6 2 2 2 4 3 4" xfId="25356" xr:uid="{00000000-0005-0000-0000-00002B380000}"/>
    <cellStyle name="40% - Accent6 2 2 2 4 4" xfId="8037" xr:uid="{00000000-0005-0000-0000-00002C380000}"/>
    <cellStyle name="40% - Accent6 2 2 2 4 4 2" xfId="12373" xr:uid="{00000000-0005-0000-0000-00002D380000}"/>
    <cellStyle name="40% - Accent6 2 2 2 4 4 2 2" xfId="31843" xr:uid="{00000000-0005-0000-0000-00002E380000}"/>
    <cellStyle name="40% - Accent6 2 2 2 4 4 3" xfId="27521" xr:uid="{00000000-0005-0000-0000-00002F380000}"/>
    <cellStyle name="40% - Accent6 2 2 2 4 5" xfId="9233" xr:uid="{00000000-0005-0000-0000-000030380000}"/>
    <cellStyle name="40% - Accent6 2 2 2 4 5 2" xfId="28703" xr:uid="{00000000-0005-0000-0000-000031380000}"/>
    <cellStyle name="40% - Accent6 2 2 2 4 6" xfId="24145" xr:uid="{00000000-0005-0000-0000-000032380000}"/>
    <cellStyle name="40% - Accent6 2 2 2 5" xfId="4978" xr:uid="{00000000-0005-0000-0000-000033380000}"/>
    <cellStyle name="40% - Accent6 2 2 2 5 2" xfId="6140" xr:uid="{00000000-0005-0000-0000-000034380000}"/>
    <cellStyle name="40% - Accent6 2 2 2 5 2 2" xfId="8042" xr:uid="{00000000-0005-0000-0000-000035380000}"/>
    <cellStyle name="40% - Accent6 2 2 2 5 2 2 2" xfId="12378" xr:uid="{00000000-0005-0000-0000-000036380000}"/>
    <cellStyle name="40% - Accent6 2 2 2 5 2 2 2 2" xfId="31848" xr:uid="{00000000-0005-0000-0000-000037380000}"/>
    <cellStyle name="40% - Accent6 2 2 2 5 2 2 3" xfId="27526" xr:uid="{00000000-0005-0000-0000-000038380000}"/>
    <cellStyle name="40% - Accent6 2 2 2 5 2 3" xfId="10558" xr:uid="{00000000-0005-0000-0000-000039380000}"/>
    <cellStyle name="40% - Accent6 2 2 2 5 2 3 2" xfId="30028" xr:uid="{00000000-0005-0000-0000-00003A380000}"/>
    <cellStyle name="40% - Accent6 2 2 2 5 2 4" xfId="25625" xr:uid="{00000000-0005-0000-0000-00003B380000}"/>
    <cellStyle name="40% - Accent6 2 2 2 5 3" xfId="8041" xr:uid="{00000000-0005-0000-0000-00003C380000}"/>
    <cellStyle name="40% - Accent6 2 2 2 5 3 2" xfId="12377" xr:uid="{00000000-0005-0000-0000-00003D380000}"/>
    <cellStyle name="40% - Accent6 2 2 2 5 3 2 2" xfId="31847" xr:uid="{00000000-0005-0000-0000-00003E380000}"/>
    <cellStyle name="40% - Accent6 2 2 2 5 3 3" xfId="27525" xr:uid="{00000000-0005-0000-0000-00003F380000}"/>
    <cellStyle name="40% - Accent6 2 2 2 5 4" xfId="9498" xr:uid="{00000000-0005-0000-0000-000040380000}"/>
    <cellStyle name="40% - Accent6 2 2 2 5 4 2" xfId="28968" xr:uid="{00000000-0005-0000-0000-000041380000}"/>
    <cellStyle name="40% - Accent6 2 2 2 5 5" xfId="24472" xr:uid="{00000000-0005-0000-0000-000042380000}"/>
    <cellStyle name="40% - Accent6 2 2 2 6" xfId="5583" xr:uid="{00000000-0005-0000-0000-000043380000}"/>
    <cellStyle name="40% - Accent6 2 2 2 6 2" xfId="8043" xr:uid="{00000000-0005-0000-0000-000044380000}"/>
    <cellStyle name="40% - Accent6 2 2 2 6 2 2" xfId="12379" xr:uid="{00000000-0005-0000-0000-000045380000}"/>
    <cellStyle name="40% - Accent6 2 2 2 6 2 2 2" xfId="31849" xr:uid="{00000000-0005-0000-0000-000046380000}"/>
    <cellStyle name="40% - Accent6 2 2 2 6 2 3" xfId="27527" xr:uid="{00000000-0005-0000-0000-000047380000}"/>
    <cellStyle name="40% - Accent6 2 2 2 6 3" xfId="10028" xr:uid="{00000000-0005-0000-0000-000048380000}"/>
    <cellStyle name="40% - Accent6 2 2 2 6 3 2" xfId="29498" xr:uid="{00000000-0005-0000-0000-000049380000}"/>
    <cellStyle name="40% - Accent6 2 2 2 6 4" xfId="25070" xr:uid="{00000000-0005-0000-0000-00004A380000}"/>
    <cellStyle name="40% - Accent6 2 2 2 7" xfId="8020" xr:uid="{00000000-0005-0000-0000-00004B380000}"/>
    <cellStyle name="40% - Accent6 2 2 2 7 2" xfId="12356" xr:uid="{00000000-0005-0000-0000-00004C380000}"/>
    <cellStyle name="40% - Accent6 2 2 2 7 2 2" xfId="31826" xr:uid="{00000000-0005-0000-0000-00004D380000}"/>
    <cellStyle name="40% - Accent6 2 2 2 7 3" xfId="27504" xr:uid="{00000000-0005-0000-0000-00004E380000}"/>
    <cellStyle name="40% - Accent6 2 2 2 8" xfId="8964" xr:uid="{00000000-0005-0000-0000-00004F380000}"/>
    <cellStyle name="40% - Accent6 2 2 2 8 2" xfId="28438" xr:uid="{00000000-0005-0000-0000-000050380000}"/>
    <cellStyle name="40% - Accent6 2 2 2 9" xfId="23696" xr:uid="{00000000-0005-0000-0000-000051380000}"/>
    <cellStyle name="40% - Accent6 2 2 3" xfId="2961" xr:uid="{00000000-0005-0000-0000-000052380000}"/>
    <cellStyle name="40% - Accent6 2 2 3 2" xfId="4668" xr:uid="{00000000-0005-0000-0000-000053380000}"/>
    <cellStyle name="40% - Accent6 2 2 3 2 2" xfId="5308" xr:uid="{00000000-0005-0000-0000-000054380000}"/>
    <cellStyle name="40% - Accent6 2 2 3 2 2 2" xfId="6442" xr:uid="{00000000-0005-0000-0000-000055380000}"/>
    <cellStyle name="40% - Accent6 2 2 3 2 2 2 2" xfId="8047" xr:uid="{00000000-0005-0000-0000-000056380000}"/>
    <cellStyle name="40% - Accent6 2 2 3 2 2 2 2 2" xfId="12383" xr:uid="{00000000-0005-0000-0000-000057380000}"/>
    <cellStyle name="40% - Accent6 2 2 3 2 2 2 2 2 2" xfId="31853" xr:uid="{00000000-0005-0000-0000-000058380000}"/>
    <cellStyle name="40% - Accent6 2 2 3 2 2 2 2 3" xfId="27531" xr:uid="{00000000-0005-0000-0000-000059380000}"/>
    <cellStyle name="40% - Accent6 2 2 3 2 2 2 3" xfId="10858" xr:uid="{00000000-0005-0000-0000-00005A380000}"/>
    <cellStyle name="40% - Accent6 2 2 3 2 2 2 3 2" xfId="30328" xr:uid="{00000000-0005-0000-0000-00005B380000}"/>
    <cellStyle name="40% - Accent6 2 2 3 2 2 2 4" xfId="25927" xr:uid="{00000000-0005-0000-0000-00005C380000}"/>
    <cellStyle name="40% - Accent6 2 2 3 2 2 3" xfId="8046" xr:uid="{00000000-0005-0000-0000-00005D380000}"/>
    <cellStyle name="40% - Accent6 2 2 3 2 2 3 2" xfId="12382" xr:uid="{00000000-0005-0000-0000-00005E380000}"/>
    <cellStyle name="40% - Accent6 2 2 3 2 2 3 2 2" xfId="31852" xr:uid="{00000000-0005-0000-0000-00005F380000}"/>
    <cellStyle name="40% - Accent6 2 2 3 2 2 3 3" xfId="27530" xr:uid="{00000000-0005-0000-0000-000060380000}"/>
    <cellStyle name="40% - Accent6 2 2 3 2 2 4" xfId="9797" xr:uid="{00000000-0005-0000-0000-000061380000}"/>
    <cellStyle name="40% - Accent6 2 2 3 2 2 4 2" xfId="29267" xr:uid="{00000000-0005-0000-0000-000062380000}"/>
    <cellStyle name="40% - Accent6 2 2 3 2 2 5" xfId="24799" xr:uid="{00000000-0005-0000-0000-000063380000}"/>
    <cellStyle name="40% - Accent6 2 2 3 2 3" xfId="5905" xr:uid="{00000000-0005-0000-0000-000064380000}"/>
    <cellStyle name="40% - Accent6 2 2 3 2 3 2" xfId="8048" xr:uid="{00000000-0005-0000-0000-000065380000}"/>
    <cellStyle name="40% - Accent6 2 2 3 2 3 2 2" xfId="12384" xr:uid="{00000000-0005-0000-0000-000066380000}"/>
    <cellStyle name="40% - Accent6 2 2 3 2 3 2 2 2" xfId="31854" xr:uid="{00000000-0005-0000-0000-000067380000}"/>
    <cellStyle name="40% - Accent6 2 2 3 2 3 2 3" xfId="27532" xr:uid="{00000000-0005-0000-0000-000068380000}"/>
    <cellStyle name="40% - Accent6 2 2 3 2 3 3" xfId="10327" xr:uid="{00000000-0005-0000-0000-000069380000}"/>
    <cellStyle name="40% - Accent6 2 2 3 2 3 3 2" xfId="29797" xr:uid="{00000000-0005-0000-0000-00006A380000}"/>
    <cellStyle name="40% - Accent6 2 2 3 2 3 4" xfId="25390" xr:uid="{00000000-0005-0000-0000-00006B380000}"/>
    <cellStyle name="40% - Accent6 2 2 3 2 4" xfId="8045" xr:uid="{00000000-0005-0000-0000-00006C380000}"/>
    <cellStyle name="40% - Accent6 2 2 3 2 4 2" xfId="12381" xr:uid="{00000000-0005-0000-0000-00006D380000}"/>
    <cellStyle name="40% - Accent6 2 2 3 2 4 2 2" xfId="31851" xr:uid="{00000000-0005-0000-0000-00006E380000}"/>
    <cellStyle name="40% - Accent6 2 2 3 2 4 3" xfId="27529" xr:uid="{00000000-0005-0000-0000-00006F380000}"/>
    <cellStyle name="40% - Accent6 2 2 3 2 5" xfId="9267" xr:uid="{00000000-0005-0000-0000-000070380000}"/>
    <cellStyle name="40% - Accent6 2 2 3 2 5 2" xfId="28737" xr:uid="{00000000-0005-0000-0000-000071380000}"/>
    <cellStyle name="40% - Accent6 2 2 3 2 6" xfId="24179" xr:uid="{00000000-0005-0000-0000-000072380000}"/>
    <cellStyle name="40% - Accent6 2 2 3 3" xfId="5012" xr:uid="{00000000-0005-0000-0000-000073380000}"/>
    <cellStyle name="40% - Accent6 2 2 3 3 2" xfId="6174" xr:uid="{00000000-0005-0000-0000-000074380000}"/>
    <cellStyle name="40% - Accent6 2 2 3 3 2 2" xfId="8050" xr:uid="{00000000-0005-0000-0000-000075380000}"/>
    <cellStyle name="40% - Accent6 2 2 3 3 2 2 2" xfId="12386" xr:uid="{00000000-0005-0000-0000-000076380000}"/>
    <cellStyle name="40% - Accent6 2 2 3 3 2 2 2 2" xfId="31856" xr:uid="{00000000-0005-0000-0000-000077380000}"/>
    <cellStyle name="40% - Accent6 2 2 3 3 2 2 3" xfId="27534" xr:uid="{00000000-0005-0000-0000-000078380000}"/>
    <cellStyle name="40% - Accent6 2 2 3 3 2 3" xfId="10592" xr:uid="{00000000-0005-0000-0000-000079380000}"/>
    <cellStyle name="40% - Accent6 2 2 3 3 2 3 2" xfId="30062" xr:uid="{00000000-0005-0000-0000-00007A380000}"/>
    <cellStyle name="40% - Accent6 2 2 3 3 2 4" xfId="25659" xr:uid="{00000000-0005-0000-0000-00007B380000}"/>
    <cellStyle name="40% - Accent6 2 2 3 3 3" xfId="8049" xr:uid="{00000000-0005-0000-0000-00007C380000}"/>
    <cellStyle name="40% - Accent6 2 2 3 3 3 2" xfId="12385" xr:uid="{00000000-0005-0000-0000-00007D380000}"/>
    <cellStyle name="40% - Accent6 2 2 3 3 3 2 2" xfId="31855" xr:uid="{00000000-0005-0000-0000-00007E380000}"/>
    <cellStyle name="40% - Accent6 2 2 3 3 3 3" xfId="27533" xr:uid="{00000000-0005-0000-0000-00007F380000}"/>
    <cellStyle name="40% - Accent6 2 2 3 3 4" xfId="9532" xr:uid="{00000000-0005-0000-0000-000080380000}"/>
    <cellStyle name="40% - Accent6 2 2 3 3 4 2" xfId="29002" xr:uid="{00000000-0005-0000-0000-000081380000}"/>
    <cellStyle name="40% - Accent6 2 2 3 3 5" xfId="24506" xr:uid="{00000000-0005-0000-0000-000082380000}"/>
    <cellStyle name="40% - Accent6 2 2 3 4" xfId="5617" xr:uid="{00000000-0005-0000-0000-000083380000}"/>
    <cellStyle name="40% - Accent6 2 2 3 4 2" xfId="8051" xr:uid="{00000000-0005-0000-0000-000084380000}"/>
    <cellStyle name="40% - Accent6 2 2 3 4 2 2" xfId="12387" xr:uid="{00000000-0005-0000-0000-000085380000}"/>
    <cellStyle name="40% - Accent6 2 2 3 4 2 2 2" xfId="31857" xr:uid="{00000000-0005-0000-0000-000086380000}"/>
    <cellStyle name="40% - Accent6 2 2 3 4 2 3" xfId="27535" xr:uid="{00000000-0005-0000-0000-000087380000}"/>
    <cellStyle name="40% - Accent6 2 2 3 4 3" xfId="10062" xr:uid="{00000000-0005-0000-0000-000088380000}"/>
    <cellStyle name="40% - Accent6 2 2 3 4 3 2" xfId="29532" xr:uid="{00000000-0005-0000-0000-000089380000}"/>
    <cellStyle name="40% - Accent6 2 2 3 4 4" xfId="25104" xr:uid="{00000000-0005-0000-0000-00008A380000}"/>
    <cellStyle name="40% - Accent6 2 2 3 5" xfId="8044" xr:uid="{00000000-0005-0000-0000-00008B380000}"/>
    <cellStyle name="40% - Accent6 2 2 3 5 2" xfId="12380" xr:uid="{00000000-0005-0000-0000-00008C380000}"/>
    <cellStyle name="40% - Accent6 2 2 3 5 2 2" xfId="31850" xr:uid="{00000000-0005-0000-0000-00008D380000}"/>
    <cellStyle name="40% - Accent6 2 2 3 5 3" xfId="27528" xr:uid="{00000000-0005-0000-0000-00008E380000}"/>
    <cellStyle name="40% - Accent6 2 2 3 6" xfId="8998" xr:uid="{00000000-0005-0000-0000-00008F380000}"/>
    <cellStyle name="40% - Accent6 2 2 3 6 2" xfId="28472" xr:uid="{00000000-0005-0000-0000-000090380000}"/>
    <cellStyle name="40% - Accent6 2 2 3 7" xfId="23770" xr:uid="{00000000-0005-0000-0000-000091380000}"/>
    <cellStyle name="40% - Accent6 2 2 4" xfId="4231" xr:uid="{00000000-0005-0000-0000-000092380000}"/>
    <cellStyle name="40% - Accent6 2 2 4 2" xfId="4806" xr:uid="{00000000-0005-0000-0000-000093380000}"/>
    <cellStyle name="40% - Accent6 2 2 4 2 2" xfId="5432" xr:uid="{00000000-0005-0000-0000-000094380000}"/>
    <cellStyle name="40% - Accent6 2 2 4 2 2 2" xfId="6560" xr:uid="{00000000-0005-0000-0000-000095380000}"/>
    <cellStyle name="40% - Accent6 2 2 4 2 2 2 2" xfId="8055" xr:uid="{00000000-0005-0000-0000-000096380000}"/>
    <cellStyle name="40% - Accent6 2 2 4 2 2 2 2 2" xfId="12391" xr:uid="{00000000-0005-0000-0000-000097380000}"/>
    <cellStyle name="40% - Accent6 2 2 4 2 2 2 2 2 2" xfId="31861" xr:uid="{00000000-0005-0000-0000-000098380000}"/>
    <cellStyle name="40% - Accent6 2 2 4 2 2 2 2 3" xfId="27539" xr:uid="{00000000-0005-0000-0000-000099380000}"/>
    <cellStyle name="40% - Accent6 2 2 4 2 2 2 3" xfId="10976" xr:uid="{00000000-0005-0000-0000-00009A380000}"/>
    <cellStyle name="40% - Accent6 2 2 4 2 2 2 3 2" xfId="30446" xr:uid="{00000000-0005-0000-0000-00009B380000}"/>
    <cellStyle name="40% - Accent6 2 2 4 2 2 2 4" xfId="26045" xr:uid="{00000000-0005-0000-0000-00009C380000}"/>
    <cellStyle name="40% - Accent6 2 2 4 2 2 3" xfId="8054" xr:uid="{00000000-0005-0000-0000-00009D380000}"/>
    <cellStyle name="40% - Accent6 2 2 4 2 2 3 2" xfId="12390" xr:uid="{00000000-0005-0000-0000-00009E380000}"/>
    <cellStyle name="40% - Accent6 2 2 4 2 2 3 2 2" xfId="31860" xr:uid="{00000000-0005-0000-0000-00009F380000}"/>
    <cellStyle name="40% - Accent6 2 2 4 2 2 3 3" xfId="27538" xr:uid="{00000000-0005-0000-0000-0000A0380000}"/>
    <cellStyle name="40% - Accent6 2 2 4 2 2 4" xfId="9915" xr:uid="{00000000-0005-0000-0000-0000A1380000}"/>
    <cellStyle name="40% - Accent6 2 2 4 2 2 4 2" xfId="29385" xr:uid="{00000000-0005-0000-0000-0000A2380000}"/>
    <cellStyle name="40% - Accent6 2 2 4 2 2 5" xfId="24923" xr:uid="{00000000-0005-0000-0000-0000A3380000}"/>
    <cellStyle name="40% - Accent6 2 2 4 2 3" xfId="6024" xr:uid="{00000000-0005-0000-0000-0000A4380000}"/>
    <cellStyle name="40% - Accent6 2 2 4 2 3 2" xfId="8056" xr:uid="{00000000-0005-0000-0000-0000A5380000}"/>
    <cellStyle name="40% - Accent6 2 2 4 2 3 2 2" xfId="12392" xr:uid="{00000000-0005-0000-0000-0000A6380000}"/>
    <cellStyle name="40% - Accent6 2 2 4 2 3 2 2 2" xfId="31862" xr:uid="{00000000-0005-0000-0000-0000A7380000}"/>
    <cellStyle name="40% - Accent6 2 2 4 2 3 2 3" xfId="27540" xr:uid="{00000000-0005-0000-0000-0000A8380000}"/>
    <cellStyle name="40% - Accent6 2 2 4 2 3 3" xfId="10445" xr:uid="{00000000-0005-0000-0000-0000A9380000}"/>
    <cellStyle name="40% - Accent6 2 2 4 2 3 3 2" xfId="29915" xr:uid="{00000000-0005-0000-0000-0000AA380000}"/>
    <cellStyle name="40% - Accent6 2 2 4 2 3 4" xfId="25509" xr:uid="{00000000-0005-0000-0000-0000AB380000}"/>
    <cellStyle name="40% - Accent6 2 2 4 2 4" xfId="8053" xr:uid="{00000000-0005-0000-0000-0000AC380000}"/>
    <cellStyle name="40% - Accent6 2 2 4 2 4 2" xfId="12389" xr:uid="{00000000-0005-0000-0000-0000AD380000}"/>
    <cellStyle name="40% - Accent6 2 2 4 2 4 2 2" xfId="31859" xr:uid="{00000000-0005-0000-0000-0000AE380000}"/>
    <cellStyle name="40% - Accent6 2 2 4 2 4 3" xfId="27537" xr:uid="{00000000-0005-0000-0000-0000AF380000}"/>
    <cellStyle name="40% - Accent6 2 2 4 2 5" xfId="9385" xr:uid="{00000000-0005-0000-0000-0000B0380000}"/>
    <cellStyle name="40% - Accent6 2 2 4 2 5 2" xfId="28855" xr:uid="{00000000-0005-0000-0000-0000B1380000}"/>
    <cellStyle name="40% - Accent6 2 2 4 2 6" xfId="24308" xr:uid="{00000000-0005-0000-0000-0000B2380000}"/>
    <cellStyle name="40% - Accent6 2 2 4 3" xfId="5137" xr:uid="{00000000-0005-0000-0000-0000B3380000}"/>
    <cellStyle name="40% - Accent6 2 2 4 3 2" xfId="6293" xr:uid="{00000000-0005-0000-0000-0000B4380000}"/>
    <cellStyle name="40% - Accent6 2 2 4 3 2 2" xfId="8058" xr:uid="{00000000-0005-0000-0000-0000B5380000}"/>
    <cellStyle name="40% - Accent6 2 2 4 3 2 2 2" xfId="12394" xr:uid="{00000000-0005-0000-0000-0000B6380000}"/>
    <cellStyle name="40% - Accent6 2 2 4 3 2 2 2 2" xfId="31864" xr:uid="{00000000-0005-0000-0000-0000B7380000}"/>
    <cellStyle name="40% - Accent6 2 2 4 3 2 2 3" xfId="27542" xr:uid="{00000000-0005-0000-0000-0000B8380000}"/>
    <cellStyle name="40% - Accent6 2 2 4 3 2 3" xfId="10710" xr:uid="{00000000-0005-0000-0000-0000B9380000}"/>
    <cellStyle name="40% - Accent6 2 2 4 3 2 3 2" xfId="30180" xr:uid="{00000000-0005-0000-0000-0000BA380000}"/>
    <cellStyle name="40% - Accent6 2 2 4 3 2 4" xfId="25778" xr:uid="{00000000-0005-0000-0000-0000BB380000}"/>
    <cellStyle name="40% - Accent6 2 2 4 3 3" xfId="8057" xr:uid="{00000000-0005-0000-0000-0000BC380000}"/>
    <cellStyle name="40% - Accent6 2 2 4 3 3 2" xfId="12393" xr:uid="{00000000-0005-0000-0000-0000BD380000}"/>
    <cellStyle name="40% - Accent6 2 2 4 3 3 2 2" xfId="31863" xr:uid="{00000000-0005-0000-0000-0000BE380000}"/>
    <cellStyle name="40% - Accent6 2 2 4 3 3 3" xfId="27541" xr:uid="{00000000-0005-0000-0000-0000BF380000}"/>
    <cellStyle name="40% - Accent6 2 2 4 3 4" xfId="9650" xr:uid="{00000000-0005-0000-0000-0000C0380000}"/>
    <cellStyle name="40% - Accent6 2 2 4 3 4 2" xfId="29120" xr:uid="{00000000-0005-0000-0000-0000C1380000}"/>
    <cellStyle name="40% - Accent6 2 2 4 3 5" xfId="24628" xr:uid="{00000000-0005-0000-0000-0000C2380000}"/>
    <cellStyle name="40% - Accent6 2 2 4 4" xfId="5746" xr:uid="{00000000-0005-0000-0000-0000C3380000}"/>
    <cellStyle name="40% - Accent6 2 2 4 4 2" xfId="8059" xr:uid="{00000000-0005-0000-0000-0000C4380000}"/>
    <cellStyle name="40% - Accent6 2 2 4 4 2 2" xfId="12395" xr:uid="{00000000-0005-0000-0000-0000C5380000}"/>
    <cellStyle name="40% - Accent6 2 2 4 4 2 2 2" xfId="31865" xr:uid="{00000000-0005-0000-0000-0000C6380000}"/>
    <cellStyle name="40% - Accent6 2 2 4 4 2 3" xfId="27543" xr:uid="{00000000-0005-0000-0000-0000C7380000}"/>
    <cellStyle name="40% - Accent6 2 2 4 4 3" xfId="10180" xr:uid="{00000000-0005-0000-0000-0000C8380000}"/>
    <cellStyle name="40% - Accent6 2 2 4 4 3 2" xfId="29650" xr:uid="{00000000-0005-0000-0000-0000C9380000}"/>
    <cellStyle name="40% - Accent6 2 2 4 4 4" xfId="25231" xr:uid="{00000000-0005-0000-0000-0000CA380000}"/>
    <cellStyle name="40% - Accent6 2 2 4 5" xfId="8052" xr:uid="{00000000-0005-0000-0000-0000CB380000}"/>
    <cellStyle name="40% - Accent6 2 2 4 5 2" xfId="12388" xr:uid="{00000000-0005-0000-0000-0000CC380000}"/>
    <cellStyle name="40% - Accent6 2 2 4 5 2 2" xfId="31858" xr:uid="{00000000-0005-0000-0000-0000CD380000}"/>
    <cellStyle name="40% - Accent6 2 2 4 5 3" xfId="27536" xr:uid="{00000000-0005-0000-0000-0000CE380000}"/>
    <cellStyle name="40% - Accent6 2 2 4 6" xfId="9119" xr:uid="{00000000-0005-0000-0000-0000CF380000}"/>
    <cellStyle name="40% - Accent6 2 2 4 6 2" xfId="28590" xr:uid="{00000000-0005-0000-0000-0000D0380000}"/>
    <cellStyle name="40% - Accent6 2 2 4 7" xfId="24007" xr:uid="{00000000-0005-0000-0000-0000D1380000}"/>
    <cellStyle name="40% - Accent6 2 2 5" xfId="4601" xr:uid="{00000000-0005-0000-0000-0000D2380000}"/>
    <cellStyle name="40% - Accent6 2 2 5 2" xfId="5242" xr:uid="{00000000-0005-0000-0000-0000D3380000}"/>
    <cellStyle name="40% - Accent6 2 2 5 2 2" xfId="6376" xr:uid="{00000000-0005-0000-0000-0000D4380000}"/>
    <cellStyle name="40% - Accent6 2 2 5 2 2 2" xfId="8062" xr:uid="{00000000-0005-0000-0000-0000D5380000}"/>
    <cellStyle name="40% - Accent6 2 2 5 2 2 2 2" xfId="12398" xr:uid="{00000000-0005-0000-0000-0000D6380000}"/>
    <cellStyle name="40% - Accent6 2 2 5 2 2 2 2 2" xfId="31868" xr:uid="{00000000-0005-0000-0000-0000D7380000}"/>
    <cellStyle name="40% - Accent6 2 2 5 2 2 2 3" xfId="27546" xr:uid="{00000000-0005-0000-0000-0000D8380000}"/>
    <cellStyle name="40% - Accent6 2 2 5 2 2 3" xfId="10792" xr:uid="{00000000-0005-0000-0000-0000D9380000}"/>
    <cellStyle name="40% - Accent6 2 2 5 2 2 3 2" xfId="30262" xr:uid="{00000000-0005-0000-0000-0000DA380000}"/>
    <cellStyle name="40% - Accent6 2 2 5 2 2 4" xfId="25861" xr:uid="{00000000-0005-0000-0000-0000DB380000}"/>
    <cellStyle name="40% - Accent6 2 2 5 2 3" xfId="8061" xr:uid="{00000000-0005-0000-0000-0000DC380000}"/>
    <cellStyle name="40% - Accent6 2 2 5 2 3 2" xfId="12397" xr:uid="{00000000-0005-0000-0000-0000DD380000}"/>
    <cellStyle name="40% - Accent6 2 2 5 2 3 2 2" xfId="31867" xr:uid="{00000000-0005-0000-0000-0000DE380000}"/>
    <cellStyle name="40% - Accent6 2 2 5 2 3 3" xfId="27545" xr:uid="{00000000-0005-0000-0000-0000DF380000}"/>
    <cellStyle name="40% - Accent6 2 2 5 2 4" xfId="9731" xr:uid="{00000000-0005-0000-0000-0000E0380000}"/>
    <cellStyle name="40% - Accent6 2 2 5 2 4 2" xfId="29201" xr:uid="{00000000-0005-0000-0000-0000E1380000}"/>
    <cellStyle name="40% - Accent6 2 2 5 2 5" xfId="24733" xr:uid="{00000000-0005-0000-0000-0000E2380000}"/>
    <cellStyle name="40% - Accent6 2 2 5 3" xfId="5838" xr:uid="{00000000-0005-0000-0000-0000E3380000}"/>
    <cellStyle name="40% - Accent6 2 2 5 3 2" xfId="8063" xr:uid="{00000000-0005-0000-0000-0000E4380000}"/>
    <cellStyle name="40% - Accent6 2 2 5 3 2 2" xfId="12399" xr:uid="{00000000-0005-0000-0000-0000E5380000}"/>
    <cellStyle name="40% - Accent6 2 2 5 3 2 2 2" xfId="31869" xr:uid="{00000000-0005-0000-0000-0000E6380000}"/>
    <cellStyle name="40% - Accent6 2 2 5 3 2 3" xfId="27547" xr:uid="{00000000-0005-0000-0000-0000E7380000}"/>
    <cellStyle name="40% - Accent6 2 2 5 3 3" xfId="10261" xr:uid="{00000000-0005-0000-0000-0000E8380000}"/>
    <cellStyle name="40% - Accent6 2 2 5 3 3 2" xfId="29731" xr:uid="{00000000-0005-0000-0000-0000E9380000}"/>
    <cellStyle name="40% - Accent6 2 2 5 3 4" xfId="25323" xr:uid="{00000000-0005-0000-0000-0000EA380000}"/>
    <cellStyle name="40% - Accent6 2 2 5 4" xfId="8060" xr:uid="{00000000-0005-0000-0000-0000EB380000}"/>
    <cellStyle name="40% - Accent6 2 2 5 4 2" xfId="12396" xr:uid="{00000000-0005-0000-0000-0000EC380000}"/>
    <cellStyle name="40% - Accent6 2 2 5 4 2 2" xfId="31866" xr:uid="{00000000-0005-0000-0000-0000ED380000}"/>
    <cellStyle name="40% - Accent6 2 2 5 4 3" xfId="27544" xr:uid="{00000000-0005-0000-0000-0000EE380000}"/>
    <cellStyle name="40% - Accent6 2 2 5 5" xfId="9201" xr:uid="{00000000-0005-0000-0000-0000EF380000}"/>
    <cellStyle name="40% - Accent6 2 2 5 5 2" xfId="28671" xr:uid="{00000000-0005-0000-0000-0000F0380000}"/>
    <cellStyle name="40% - Accent6 2 2 5 6" xfId="24112" xr:uid="{00000000-0005-0000-0000-0000F1380000}"/>
    <cellStyle name="40% - Accent6 2 2 6" xfId="4946" xr:uid="{00000000-0005-0000-0000-0000F2380000}"/>
    <cellStyle name="40% - Accent6 2 2 6 2" xfId="6108" xr:uid="{00000000-0005-0000-0000-0000F3380000}"/>
    <cellStyle name="40% - Accent6 2 2 6 2 2" xfId="8065" xr:uid="{00000000-0005-0000-0000-0000F4380000}"/>
    <cellStyle name="40% - Accent6 2 2 6 2 2 2" xfId="12401" xr:uid="{00000000-0005-0000-0000-0000F5380000}"/>
    <cellStyle name="40% - Accent6 2 2 6 2 2 2 2" xfId="31871" xr:uid="{00000000-0005-0000-0000-0000F6380000}"/>
    <cellStyle name="40% - Accent6 2 2 6 2 2 3" xfId="27549" xr:uid="{00000000-0005-0000-0000-0000F7380000}"/>
    <cellStyle name="40% - Accent6 2 2 6 2 3" xfId="10526" xr:uid="{00000000-0005-0000-0000-0000F8380000}"/>
    <cellStyle name="40% - Accent6 2 2 6 2 3 2" xfId="29996" xr:uid="{00000000-0005-0000-0000-0000F9380000}"/>
    <cellStyle name="40% - Accent6 2 2 6 2 4" xfId="25593" xr:uid="{00000000-0005-0000-0000-0000FA380000}"/>
    <cellStyle name="40% - Accent6 2 2 6 3" xfId="8064" xr:uid="{00000000-0005-0000-0000-0000FB380000}"/>
    <cellStyle name="40% - Accent6 2 2 6 3 2" xfId="12400" xr:uid="{00000000-0005-0000-0000-0000FC380000}"/>
    <cellStyle name="40% - Accent6 2 2 6 3 2 2" xfId="31870" xr:uid="{00000000-0005-0000-0000-0000FD380000}"/>
    <cellStyle name="40% - Accent6 2 2 6 3 3" xfId="27548" xr:uid="{00000000-0005-0000-0000-0000FE380000}"/>
    <cellStyle name="40% - Accent6 2 2 6 4" xfId="9466" xr:uid="{00000000-0005-0000-0000-0000FF380000}"/>
    <cellStyle name="40% - Accent6 2 2 6 4 2" xfId="28936" xr:uid="{00000000-0005-0000-0000-000000390000}"/>
    <cellStyle name="40% - Accent6 2 2 6 5" xfId="24440" xr:uid="{00000000-0005-0000-0000-000001390000}"/>
    <cellStyle name="40% - Accent6 2 2 7" xfId="5550" xr:uid="{00000000-0005-0000-0000-000002390000}"/>
    <cellStyle name="40% - Accent6 2 2 7 2" xfId="8066" xr:uid="{00000000-0005-0000-0000-000003390000}"/>
    <cellStyle name="40% - Accent6 2 2 7 2 2" xfId="12402" xr:uid="{00000000-0005-0000-0000-000004390000}"/>
    <cellStyle name="40% - Accent6 2 2 7 2 2 2" xfId="31872" xr:uid="{00000000-0005-0000-0000-000005390000}"/>
    <cellStyle name="40% - Accent6 2 2 7 2 3" xfId="27550" xr:uid="{00000000-0005-0000-0000-000006390000}"/>
    <cellStyle name="40% - Accent6 2 2 7 3" xfId="9996" xr:uid="{00000000-0005-0000-0000-000007390000}"/>
    <cellStyle name="40% - Accent6 2 2 7 3 2" xfId="29466" xr:uid="{00000000-0005-0000-0000-000008390000}"/>
    <cellStyle name="40% - Accent6 2 2 7 4" xfId="25038" xr:uid="{00000000-0005-0000-0000-000009390000}"/>
    <cellStyle name="40% - Accent6 2 2 8" xfId="8019" xr:uid="{00000000-0005-0000-0000-00000A390000}"/>
    <cellStyle name="40% - Accent6 2 2 8 2" xfId="12355" xr:uid="{00000000-0005-0000-0000-00000B390000}"/>
    <cellStyle name="40% - Accent6 2 2 8 2 2" xfId="31825" xr:uid="{00000000-0005-0000-0000-00000C390000}"/>
    <cellStyle name="40% - Accent6 2 2 8 3" xfId="27503" xr:uid="{00000000-0005-0000-0000-00000D390000}"/>
    <cellStyle name="40% - Accent6 2 2 9" xfId="8932" xr:uid="{00000000-0005-0000-0000-00000E390000}"/>
    <cellStyle name="40% - Accent6 2 2 9 2" xfId="28406" xr:uid="{00000000-0005-0000-0000-00000F390000}"/>
    <cellStyle name="40% - Accent6 2 3" xfId="2725" xr:uid="{00000000-0005-0000-0000-000010390000}"/>
    <cellStyle name="40% - Accent6 2 3 10" xfId="23578" xr:uid="{00000000-0005-0000-0000-000011390000}"/>
    <cellStyle name="40% - Accent6 2 3 2" xfId="2886" xr:uid="{00000000-0005-0000-0000-000012390000}"/>
    <cellStyle name="40% - Accent6 2 3 2 2" xfId="3080" xr:uid="{00000000-0005-0000-0000-000013390000}"/>
    <cellStyle name="40% - Accent6 2 3 2 2 2" xfId="4707" xr:uid="{00000000-0005-0000-0000-000014390000}"/>
    <cellStyle name="40% - Accent6 2 3 2 2 2 2" xfId="5341" xr:uid="{00000000-0005-0000-0000-000015390000}"/>
    <cellStyle name="40% - Accent6 2 3 2 2 2 2 2" xfId="6475" xr:uid="{00000000-0005-0000-0000-000016390000}"/>
    <cellStyle name="40% - Accent6 2 3 2 2 2 2 2 2" xfId="8072" xr:uid="{00000000-0005-0000-0000-000017390000}"/>
    <cellStyle name="40% - Accent6 2 3 2 2 2 2 2 2 2" xfId="12408" xr:uid="{00000000-0005-0000-0000-000018390000}"/>
    <cellStyle name="40% - Accent6 2 3 2 2 2 2 2 2 2 2" xfId="31878" xr:uid="{00000000-0005-0000-0000-000019390000}"/>
    <cellStyle name="40% - Accent6 2 3 2 2 2 2 2 2 3" xfId="27556" xr:uid="{00000000-0005-0000-0000-00001A390000}"/>
    <cellStyle name="40% - Accent6 2 3 2 2 2 2 2 3" xfId="10891" xr:uid="{00000000-0005-0000-0000-00001B390000}"/>
    <cellStyle name="40% - Accent6 2 3 2 2 2 2 2 3 2" xfId="30361" xr:uid="{00000000-0005-0000-0000-00001C390000}"/>
    <cellStyle name="40% - Accent6 2 3 2 2 2 2 2 4" xfId="25960" xr:uid="{00000000-0005-0000-0000-00001D390000}"/>
    <cellStyle name="40% - Accent6 2 3 2 2 2 2 3" xfId="8071" xr:uid="{00000000-0005-0000-0000-00001E390000}"/>
    <cellStyle name="40% - Accent6 2 3 2 2 2 2 3 2" xfId="12407" xr:uid="{00000000-0005-0000-0000-00001F390000}"/>
    <cellStyle name="40% - Accent6 2 3 2 2 2 2 3 2 2" xfId="31877" xr:uid="{00000000-0005-0000-0000-000020390000}"/>
    <cellStyle name="40% - Accent6 2 3 2 2 2 2 3 3" xfId="27555" xr:uid="{00000000-0005-0000-0000-000021390000}"/>
    <cellStyle name="40% - Accent6 2 3 2 2 2 2 4" xfId="9830" xr:uid="{00000000-0005-0000-0000-000022390000}"/>
    <cellStyle name="40% - Accent6 2 3 2 2 2 2 4 2" xfId="29300" xr:uid="{00000000-0005-0000-0000-000023390000}"/>
    <cellStyle name="40% - Accent6 2 3 2 2 2 2 5" xfId="24832" xr:uid="{00000000-0005-0000-0000-000024390000}"/>
    <cellStyle name="40% - Accent6 2 3 2 2 2 3" xfId="5938" xr:uid="{00000000-0005-0000-0000-000025390000}"/>
    <cellStyle name="40% - Accent6 2 3 2 2 2 3 2" xfId="8073" xr:uid="{00000000-0005-0000-0000-000026390000}"/>
    <cellStyle name="40% - Accent6 2 3 2 2 2 3 2 2" xfId="12409" xr:uid="{00000000-0005-0000-0000-000027390000}"/>
    <cellStyle name="40% - Accent6 2 3 2 2 2 3 2 2 2" xfId="31879" xr:uid="{00000000-0005-0000-0000-000028390000}"/>
    <cellStyle name="40% - Accent6 2 3 2 2 2 3 2 3" xfId="27557" xr:uid="{00000000-0005-0000-0000-000029390000}"/>
    <cellStyle name="40% - Accent6 2 3 2 2 2 3 3" xfId="10360" xr:uid="{00000000-0005-0000-0000-00002A390000}"/>
    <cellStyle name="40% - Accent6 2 3 2 2 2 3 3 2" xfId="29830" xr:uid="{00000000-0005-0000-0000-00002B390000}"/>
    <cellStyle name="40% - Accent6 2 3 2 2 2 3 4" xfId="25423" xr:uid="{00000000-0005-0000-0000-00002C390000}"/>
    <cellStyle name="40% - Accent6 2 3 2 2 2 4" xfId="8070" xr:uid="{00000000-0005-0000-0000-00002D390000}"/>
    <cellStyle name="40% - Accent6 2 3 2 2 2 4 2" xfId="12406" xr:uid="{00000000-0005-0000-0000-00002E390000}"/>
    <cellStyle name="40% - Accent6 2 3 2 2 2 4 2 2" xfId="31876" xr:uid="{00000000-0005-0000-0000-00002F390000}"/>
    <cellStyle name="40% - Accent6 2 3 2 2 2 4 3" xfId="27554" xr:uid="{00000000-0005-0000-0000-000030390000}"/>
    <cellStyle name="40% - Accent6 2 3 2 2 2 5" xfId="9300" xr:uid="{00000000-0005-0000-0000-000031390000}"/>
    <cellStyle name="40% - Accent6 2 3 2 2 2 5 2" xfId="28770" xr:uid="{00000000-0005-0000-0000-000032390000}"/>
    <cellStyle name="40% - Accent6 2 3 2 2 2 6" xfId="24218" xr:uid="{00000000-0005-0000-0000-000033390000}"/>
    <cellStyle name="40% - Accent6 2 3 2 2 3" xfId="5045" xr:uid="{00000000-0005-0000-0000-000034390000}"/>
    <cellStyle name="40% - Accent6 2 3 2 2 3 2" xfId="6207" xr:uid="{00000000-0005-0000-0000-000035390000}"/>
    <cellStyle name="40% - Accent6 2 3 2 2 3 2 2" xfId="8075" xr:uid="{00000000-0005-0000-0000-000036390000}"/>
    <cellStyle name="40% - Accent6 2 3 2 2 3 2 2 2" xfId="12411" xr:uid="{00000000-0005-0000-0000-000037390000}"/>
    <cellStyle name="40% - Accent6 2 3 2 2 3 2 2 2 2" xfId="31881" xr:uid="{00000000-0005-0000-0000-000038390000}"/>
    <cellStyle name="40% - Accent6 2 3 2 2 3 2 2 3" xfId="27559" xr:uid="{00000000-0005-0000-0000-000039390000}"/>
    <cellStyle name="40% - Accent6 2 3 2 2 3 2 3" xfId="10625" xr:uid="{00000000-0005-0000-0000-00003A390000}"/>
    <cellStyle name="40% - Accent6 2 3 2 2 3 2 3 2" xfId="30095" xr:uid="{00000000-0005-0000-0000-00003B390000}"/>
    <cellStyle name="40% - Accent6 2 3 2 2 3 2 4" xfId="25692" xr:uid="{00000000-0005-0000-0000-00003C390000}"/>
    <cellStyle name="40% - Accent6 2 3 2 2 3 3" xfId="8074" xr:uid="{00000000-0005-0000-0000-00003D390000}"/>
    <cellStyle name="40% - Accent6 2 3 2 2 3 3 2" xfId="12410" xr:uid="{00000000-0005-0000-0000-00003E390000}"/>
    <cellStyle name="40% - Accent6 2 3 2 2 3 3 2 2" xfId="31880" xr:uid="{00000000-0005-0000-0000-00003F390000}"/>
    <cellStyle name="40% - Accent6 2 3 2 2 3 3 3" xfId="27558" xr:uid="{00000000-0005-0000-0000-000040390000}"/>
    <cellStyle name="40% - Accent6 2 3 2 2 3 4" xfId="9565" xr:uid="{00000000-0005-0000-0000-000041390000}"/>
    <cellStyle name="40% - Accent6 2 3 2 2 3 4 2" xfId="29035" xr:uid="{00000000-0005-0000-0000-000042390000}"/>
    <cellStyle name="40% - Accent6 2 3 2 2 3 5" xfId="24539" xr:uid="{00000000-0005-0000-0000-000043390000}"/>
    <cellStyle name="40% - Accent6 2 3 2 2 4" xfId="5650" xr:uid="{00000000-0005-0000-0000-000044390000}"/>
    <cellStyle name="40% - Accent6 2 3 2 2 4 2" xfId="8076" xr:uid="{00000000-0005-0000-0000-000045390000}"/>
    <cellStyle name="40% - Accent6 2 3 2 2 4 2 2" xfId="12412" xr:uid="{00000000-0005-0000-0000-000046390000}"/>
    <cellStyle name="40% - Accent6 2 3 2 2 4 2 2 2" xfId="31882" xr:uid="{00000000-0005-0000-0000-000047390000}"/>
    <cellStyle name="40% - Accent6 2 3 2 2 4 2 3" xfId="27560" xr:uid="{00000000-0005-0000-0000-000048390000}"/>
    <cellStyle name="40% - Accent6 2 3 2 2 4 3" xfId="10095" xr:uid="{00000000-0005-0000-0000-000049390000}"/>
    <cellStyle name="40% - Accent6 2 3 2 2 4 3 2" xfId="29565" xr:uid="{00000000-0005-0000-0000-00004A390000}"/>
    <cellStyle name="40% - Accent6 2 3 2 2 4 4" xfId="25137" xr:uid="{00000000-0005-0000-0000-00004B390000}"/>
    <cellStyle name="40% - Accent6 2 3 2 2 5" xfId="8069" xr:uid="{00000000-0005-0000-0000-00004C390000}"/>
    <cellStyle name="40% - Accent6 2 3 2 2 5 2" xfId="12405" xr:uid="{00000000-0005-0000-0000-00004D390000}"/>
    <cellStyle name="40% - Accent6 2 3 2 2 5 2 2" xfId="31875" xr:uid="{00000000-0005-0000-0000-00004E390000}"/>
    <cellStyle name="40% - Accent6 2 3 2 2 5 3" xfId="27553" xr:uid="{00000000-0005-0000-0000-00004F390000}"/>
    <cellStyle name="40% - Accent6 2 3 2 2 6" xfId="9031" xr:uid="{00000000-0005-0000-0000-000050390000}"/>
    <cellStyle name="40% - Accent6 2 3 2 2 6 2" xfId="28505" xr:uid="{00000000-0005-0000-0000-000051390000}"/>
    <cellStyle name="40% - Accent6 2 3 2 2 7" xfId="23889" xr:uid="{00000000-0005-0000-0000-000052390000}"/>
    <cellStyle name="40% - Accent6 2 3 2 3" xfId="4268" xr:uid="{00000000-0005-0000-0000-000053390000}"/>
    <cellStyle name="40% - Accent6 2 3 2 3 2" xfId="4843" xr:uid="{00000000-0005-0000-0000-000054390000}"/>
    <cellStyle name="40% - Accent6 2 3 2 3 2 2" xfId="5468" xr:uid="{00000000-0005-0000-0000-000055390000}"/>
    <cellStyle name="40% - Accent6 2 3 2 3 2 2 2" xfId="6596" xr:uid="{00000000-0005-0000-0000-000056390000}"/>
    <cellStyle name="40% - Accent6 2 3 2 3 2 2 2 2" xfId="8080" xr:uid="{00000000-0005-0000-0000-000057390000}"/>
    <cellStyle name="40% - Accent6 2 3 2 3 2 2 2 2 2" xfId="12416" xr:uid="{00000000-0005-0000-0000-000058390000}"/>
    <cellStyle name="40% - Accent6 2 3 2 3 2 2 2 2 2 2" xfId="31886" xr:uid="{00000000-0005-0000-0000-000059390000}"/>
    <cellStyle name="40% - Accent6 2 3 2 3 2 2 2 2 3" xfId="27564" xr:uid="{00000000-0005-0000-0000-00005A390000}"/>
    <cellStyle name="40% - Accent6 2 3 2 3 2 2 2 3" xfId="11012" xr:uid="{00000000-0005-0000-0000-00005B390000}"/>
    <cellStyle name="40% - Accent6 2 3 2 3 2 2 2 3 2" xfId="30482" xr:uid="{00000000-0005-0000-0000-00005C390000}"/>
    <cellStyle name="40% - Accent6 2 3 2 3 2 2 2 4" xfId="26081" xr:uid="{00000000-0005-0000-0000-00005D390000}"/>
    <cellStyle name="40% - Accent6 2 3 2 3 2 2 3" xfId="8079" xr:uid="{00000000-0005-0000-0000-00005E390000}"/>
    <cellStyle name="40% - Accent6 2 3 2 3 2 2 3 2" xfId="12415" xr:uid="{00000000-0005-0000-0000-00005F390000}"/>
    <cellStyle name="40% - Accent6 2 3 2 3 2 2 3 2 2" xfId="31885" xr:uid="{00000000-0005-0000-0000-000060390000}"/>
    <cellStyle name="40% - Accent6 2 3 2 3 2 2 3 3" xfId="27563" xr:uid="{00000000-0005-0000-0000-000061390000}"/>
    <cellStyle name="40% - Accent6 2 3 2 3 2 2 4" xfId="9951" xr:uid="{00000000-0005-0000-0000-000062390000}"/>
    <cellStyle name="40% - Accent6 2 3 2 3 2 2 4 2" xfId="29421" xr:uid="{00000000-0005-0000-0000-000063390000}"/>
    <cellStyle name="40% - Accent6 2 3 2 3 2 2 5" xfId="24959" xr:uid="{00000000-0005-0000-0000-000064390000}"/>
    <cellStyle name="40% - Accent6 2 3 2 3 2 3" xfId="6061" xr:uid="{00000000-0005-0000-0000-000065390000}"/>
    <cellStyle name="40% - Accent6 2 3 2 3 2 3 2" xfId="8081" xr:uid="{00000000-0005-0000-0000-000066390000}"/>
    <cellStyle name="40% - Accent6 2 3 2 3 2 3 2 2" xfId="12417" xr:uid="{00000000-0005-0000-0000-000067390000}"/>
    <cellStyle name="40% - Accent6 2 3 2 3 2 3 2 2 2" xfId="31887" xr:uid="{00000000-0005-0000-0000-000068390000}"/>
    <cellStyle name="40% - Accent6 2 3 2 3 2 3 2 3" xfId="27565" xr:uid="{00000000-0005-0000-0000-000069390000}"/>
    <cellStyle name="40% - Accent6 2 3 2 3 2 3 3" xfId="10481" xr:uid="{00000000-0005-0000-0000-00006A390000}"/>
    <cellStyle name="40% - Accent6 2 3 2 3 2 3 3 2" xfId="29951" xr:uid="{00000000-0005-0000-0000-00006B390000}"/>
    <cellStyle name="40% - Accent6 2 3 2 3 2 3 4" xfId="25546" xr:uid="{00000000-0005-0000-0000-00006C390000}"/>
    <cellStyle name="40% - Accent6 2 3 2 3 2 4" xfId="8078" xr:uid="{00000000-0005-0000-0000-00006D390000}"/>
    <cellStyle name="40% - Accent6 2 3 2 3 2 4 2" xfId="12414" xr:uid="{00000000-0005-0000-0000-00006E390000}"/>
    <cellStyle name="40% - Accent6 2 3 2 3 2 4 2 2" xfId="31884" xr:uid="{00000000-0005-0000-0000-00006F390000}"/>
    <cellStyle name="40% - Accent6 2 3 2 3 2 4 3" xfId="27562" xr:uid="{00000000-0005-0000-0000-000070390000}"/>
    <cellStyle name="40% - Accent6 2 3 2 3 2 5" xfId="9421" xr:uid="{00000000-0005-0000-0000-000071390000}"/>
    <cellStyle name="40% - Accent6 2 3 2 3 2 5 2" xfId="28891" xr:uid="{00000000-0005-0000-0000-000072390000}"/>
    <cellStyle name="40% - Accent6 2 3 2 3 2 6" xfId="24345" xr:uid="{00000000-0005-0000-0000-000073390000}"/>
    <cellStyle name="40% - Accent6 2 3 2 3 3" xfId="5173" xr:uid="{00000000-0005-0000-0000-000074390000}"/>
    <cellStyle name="40% - Accent6 2 3 2 3 3 2" xfId="6329" xr:uid="{00000000-0005-0000-0000-000075390000}"/>
    <cellStyle name="40% - Accent6 2 3 2 3 3 2 2" xfId="8083" xr:uid="{00000000-0005-0000-0000-000076390000}"/>
    <cellStyle name="40% - Accent6 2 3 2 3 3 2 2 2" xfId="12419" xr:uid="{00000000-0005-0000-0000-000077390000}"/>
    <cellStyle name="40% - Accent6 2 3 2 3 3 2 2 2 2" xfId="31889" xr:uid="{00000000-0005-0000-0000-000078390000}"/>
    <cellStyle name="40% - Accent6 2 3 2 3 3 2 2 3" xfId="27567" xr:uid="{00000000-0005-0000-0000-000079390000}"/>
    <cellStyle name="40% - Accent6 2 3 2 3 3 2 3" xfId="10746" xr:uid="{00000000-0005-0000-0000-00007A390000}"/>
    <cellStyle name="40% - Accent6 2 3 2 3 3 2 3 2" xfId="30216" xr:uid="{00000000-0005-0000-0000-00007B390000}"/>
    <cellStyle name="40% - Accent6 2 3 2 3 3 2 4" xfId="25814" xr:uid="{00000000-0005-0000-0000-00007C390000}"/>
    <cellStyle name="40% - Accent6 2 3 2 3 3 3" xfId="8082" xr:uid="{00000000-0005-0000-0000-00007D390000}"/>
    <cellStyle name="40% - Accent6 2 3 2 3 3 3 2" xfId="12418" xr:uid="{00000000-0005-0000-0000-00007E390000}"/>
    <cellStyle name="40% - Accent6 2 3 2 3 3 3 2 2" xfId="31888" xr:uid="{00000000-0005-0000-0000-00007F390000}"/>
    <cellStyle name="40% - Accent6 2 3 2 3 3 3 3" xfId="27566" xr:uid="{00000000-0005-0000-0000-000080390000}"/>
    <cellStyle name="40% - Accent6 2 3 2 3 3 4" xfId="9686" xr:uid="{00000000-0005-0000-0000-000081390000}"/>
    <cellStyle name="40% - Accent6 2 3 2 3 3 4 2" xfId="29156" xr:uid="{00000000-0005-0000-0000-000082390000}"/>
    <cellStyle name="40% - Accent6 2 3 2 3 3 5" xfId="24664" xr:uid="{00000000-0005-0000-0000-000083390000}"/>
    <cellStyle name="40% - Accent6 2 3 2 3 4" xfId="5782" xr:uid="{00000000-0005-0000-0000-000084390000}"/>
    <cellStyle name="40% - Accent6 2 3 2 3 4 2" xfId="8084" xr:uid="{00000000-0005-0000-0000-000085390000}"/>
    <cellStyle name="40% - Accent6 2 3 2 3 4 2 2" xfId="12420" xr:uid="{00000000-0005-0000-0000-000086390000}"/>
    <cellStyle name="40% - Accent6 2 3 2 3 4 2 2 2" xfId="31890" xr:uid="{00000000-0005-0000-0000-000087390000}"/>
    <cellStyle name="40% - Accent6 2 3 2 3 4 2 3" xfId="27568" xr:uid="{00000000-0005-0000-0000-000088390000}"/>
    <cellStyle name="40% - Accent6 2 3 2 3 4 3" xfId="10216" xr:uid="{00000000-0005-0000-0000-000089390000}"/>
    <cellStyle name="40% - Accent6 2 3 2 3 4 3 2" xfId="29686" xr:uid="{00000000-0005-0000-0000-00008A390000}"/>
    <cellStyle name="40% - Accent6 2 3 2 3 4 4" xfId="25267" xr:uid="{00000000-0005-0000-0000-00008B390000}"/>
    <cellStyle name="40% - Accent6 2 3 2 3 5" xfId="8077" xr:uid="{00000000-0005-0000-0000-00008C390000}"/>
    <cellStyle name="40% - Accent6 2 3 2 3 5 2" xfId="12413" xr:uid="{00000000-0005-0000-0000-00008D390000}"/>
    <cellStyle name="40% - Accent6 2 3 2 3 5 2 2" xfId="31883" xr:uid="{00000000-0005-0000-0000-00008E390000}"/>
    <cellStyle name="40% - Accent6 2 3 2 3 5 3" xfId="27561" xr:uid="{00000000-0005-0000-0000-00008F390000}"/>
    <cellStyle name="40% - Accent6 2 3 2 3 6" xfId="9155" xr:uid="{00000000-0005-0000-0000-000090390000}"/>
    <cellStyle name="40% - Accent6 2 3 2 3 6 2" xfId="28626" xr:uid="{00000000-0005-0000-0000-000091390000}"/>
    <cellStyle name="40% - Accent6 2 3 2 3 7" xfId="24044" xr:uid="{00000000-0005-0000-0000-000092390000}"/>
    <cellStyle name="40% - Accent6 2 3 2 4" xfId="4635" xr:uid="{00000000-0005-0000-0000-000093390000}"/>
    <cellStyle name="40% - Accent6 2 3 2 4 2" xfId="5275" xr:uid="{00000000-0005-0000-0000-000094390000}"/>
    <cellStyle name="40% - Accent6 2 3 2 4 2 2" xfId="6409" xr:uid="{00000000-0005-0000-0000-000095390000}"/>
    <cellStyle name="40% - Accent6 2 3 2 4 2 2 2" xfId="8087" xr:uid="{00000000-0005-0000-0000-000096390000}"/>
    <cellStyle name="40% - Accent6 2 3 2 4 2 2 2 2" xfId="12423" xr:uid="{00000000-0005-0000-0000-000097390000}"/>
    <cellStyle name="40% - Accent6 2 3 2 4 2 2 2 2 2" xfId="31893" xr:uid="{00000000-0005-0000-0000-000098390000}"/>
    <cellStyle name="40% - Accent6 2 3 2 4 2 2 2 3" xfId="27571" xr:uid="{00000000-0005-0000-0000-000099390000}"/>
    <cellStyle name="40% - Accent6 2 3 2 4 2 2 3" xfId="10825" xr:uid="{00000000-0005-0000-0000-00009A390000}"/>
    <cellStyle name="40% - Accent6 2 3 2 4 2 2 3 2" xfId="30295" xr:uid="{00000000-0005-0000-0000-00009B390000}"/>
    <cellStyle name="40% - Accent6 2 3 2 4 2 2 4" xfId="25894" xr:uid="{00000000-0005-0000-0000-00009C390000}"/>
    <cellStyle name="40% - Accent6 2 3 2 4 2 3" xfId="8086" xr:uid="{00000000-0005-0000-0000-00009D390000}"/>
    <cellStyle name="40% - Accent6 2 3 2 4 2 3 2" xfId="12422" xr:uid="{00000000-0005-0000-0000-00009E390000}"/>
    <cellStyle name="40% - Accent6 2 3 2 4 2 3 2 2" xfId="31892" xr:uid="{00000000-0005-0000-0000-00009F390000}"/>
    <cellStyle name="40% - Accent6 2 3 2 4 2 3 3" xfId="27570" xr:uid="{00000000-0005-0000-0000-0000A0390000}"/>
    <cellStyle name="40% - Accent6 2 3 2 4 2 4" xfId="9764" xr:uid="{00000000-0005-0000-0000-0000A1390000}"/>
    <cellStyle name="40% - Accent6 2 3 2 4 2 4 2" xfId="29234" xr:uid="{00000000-0005-0000-0000-0000A2390000}"/>
    <cellStyle name="40% - Accent6 2 3 2 4 2 5" xfId="24766" xr:uid="{00000000-0005-0000-0000-0000A3390000}"/>
    <cellStyle name="40% - Accent6 2 3 2 4 3" xfId="5872" xr:uid="{00000000-0005-0000-0000-0000A4390000}"/>
    <cellStyle name="40% - Accent6 2 3 2 4 3 2" xfId="8088" xr:uid="{00000000-0005-0000-0000-0000A5390000}"/>
    <cellStyle name="40% - Accent6 2 3 2 4 3 2 2" xfId="12424" xr:uid="{00000000-0005-0000-0000-0000A6390000}"/>
    <cellStyle name="40% - Accent6 2 3 2 4 3 2 2 2" xfId="31894" xr:uid="{00000000-0005-0000-0000-0000A7390000}"/>
    <cellStyle name="40% - Accent6 2 3 2 4 3 2 3" xfId="27572" xr:uid="{00000000-0005-0000-0000-0000A8390000}"/>
    <cellStyle name="40% - Accent6 2 3 2 4 3 3" xfId="10294" xr:uid="{00000000-0005-0000-0000-0000A9390000}"/>
    <cellStyle name="40% - Accent6 2 3 2 4 3 3 2" xfId="29764" xr:uid="{00000000-0005-0000-0000-0000AA390000}"/>
    <cellStyle name="40% - Accent6 2 3 2 4 3 4" xfId="25357" xr:uid="{00000000-0005-0000-0000-0000AB390000}"/>
    <cellStyle name="40% - Accent6 2 3 2 4 4" xfId="8085" xr:uid="{00000000-0005-0000-0000-0000AC390000}"/>
    <cellStyle name="40% - Accent6 2 3 2 4 4 2" xfId="12421" xr:uid="{00000000-0005-0000-0000-0000AD390000}"/>
    <cellStyle name="40% - Accent6 2 3 2 4 4 2 2" xfId="31891" xr:uid="{00000000-0005-0000-0000-0000AE390000}"/>
    <cellStyle name="40% - Accent6 2 3 2 4 4 3" xfId="27569" xr:uid="{00000000-0005-0000-0000-0000AF390000}"/>
    <cellStyle name="40% - Accent6 2 3 2 4 5" xfId="9234" xr:uid="{00000000-0005-0000-0000-0000B0390000}"/>
    <cellStyle name="40% - Accent6 2 3 2 4 5 2" xfId="28704" xr:uid="{00000000-0005-0000-0000-0000B1390000}"/>
    <cellStyle name="40% - Accent6 2 3 2 4 6" xfId="24146" xr:uid="{00000000-0005-0000-0000-0000B2390000}"/>
    <cellStyle name="40% - Accent6 2 3 2 5" xfId="4979" xr:uid="{00000000-0005-0000-0000-0000B3390000}"/>
    <cellStyle name="40% - Accent6 2 3 2 5 2" xfId="6141" xr:uid="{00000000-0005-0000-0000-0000B4390000}"/>
    <cellStyle name="40% - Accent6 2 3 2 5 2 2" xfId="8090" xr:uid="{00000000-0005-0000-0000-0000B5390000}"/>
    <cellStyle name="40% - Accent6 2 3 2 5 2 2 2" xfId="12426" xr:uid="{00000000-0005-0000-0000-0000B6390000}"/>
    <cellStyle name="40% - Accent6 2 3 2 5 2 2 2 2" xfId="31896" xr:uid="{00000000-0005-0000-0000-0000B7390000}"/>
    <cellStyle name="40% - Accent6 2 3 2 5 2 2 3" xfId="27574" xr:uid="{00000000-0005-0000-0000-0000B8390000}"/>
    <cellStyle name="40% - Accent6 2 3 2 5 2 3" xfId="10559" xr:uid="{00000000-0005-0000-0000-0000B9390000}"/>
    <cellStyle name="40% - Accent6 2 3 2 5 2 3 2" xfId="30029" xr:uid="{00000000-0005-0000-0000-0000BA390000}"/>
    <cellStyle name="40% - Accent6 2 3 2 5 2 4" xfId="25626" xr:uid="{00000000-0005-0000-0000-0000BB390000}"/>
    <cellStyle name="40% - Accent6 2 3 2 5 3" xfId="8089" xr:uid="{00000000-0005-0000-0000-0000BC390000}"/>
    <cellStyle name="40% - Accent6 2 3 2 5 3 2" xfId="12425" xr:uid="{00000000-0005-0000-0000-0000BD390000}"/>
    <cellStyle name="40% - Accent6 2 3 2 5 3 2 2" xfId="31895" xr:uid="{00000000-0005-0000-0000-0000BE390000}"/>
    <cellStyle name="40% - Accent6 2 3 2 5 3 3" xfId="27573" xr:uid="{00000000-0005-0000-0000-0000BF390000}"/>
    <cellStyle name="40% - Accent6 2 3 2 5 4" xfId="9499" xr:uid="{00000000-0005-0000-0000-0000C0390000}"/>
    <cellStyle name="40% - Accent6 2 3 2 5 4 2" xfId="28969" xr:uid="{00000000-0005-0000-0000-0000C1390000}"/>
    <cellStyle name="40% - Accent6 2 3 2 5 5" xfId="24473" xr:uid="{00000000-0005-0000-0000-0000C2390000}"/>
    <cellStyle name="40% - Accent6 2 3 2 6" xfId="5584" xr:uid="{00000000-0005-0000-0000-0000C3390000}"/>
    <cellStyle name="40% - Accent6 2 3 2 6 2" xfId="8091" xr:uid="{00000000-0005-0000-0000-0000C4390000}"/>
    <cellStyle name="40% - Accent6 2 3 2 6 2 2" xfId="12427" xr:uid="{00000000-0005-0000-0000-0000C5390000}"/>
    <cellStyle name="40% - Accent6 2 3 2 6 2 2 2" xfId="31897" xr:uid="{00000000-0005-0000-0000-0000C6390000}"/>
    <cellStyle name="40% - Accent6 2 3 2 6 2 3" xfId="27575" xr:uid="{00000000-0005-0000-0000-0000C7390000}"/>
    <cellStyle name="40% - Accent6 2 3 2 6 3" xfId="10029" xr:uid="{00000000-0005-0000-0000-0000C8390000}"/>
    <cellStyle name="40% - Accent6 2 3 2 6 3 2" xfId="29499" xr:uid="{00000000-0005-0000-0000-0000C9390000}"/>
    <cellStyle name="40% - Accent6 2 3 2 6 4" xfId="25071" xr:uid="{00000000-0005-0000-0000-0000CA390000}"/>
    <cellStyle name="40% - Accent6 2 3 2 7" xfId="8068" xr:uid="{00000000-0005-0000-0000-0000CB390000}"/>
    <cellStyle name="40% - Accent6 2 3 2 7 2" xfId="12404" xr:uid="{00000000-0005-0000-0000-0000CC390000}"/>
    <cellStyle name="40% - Accent6 2 3 2 7 2 2" xfId="31874" xr:uid="{00000000-0005-0000-0000-0000CD390000}"/>
    <cellStyle name="40% - Accent6 2 3 2 7 3" xfId="27552" xr:uid="{00000000-0005-0000-0000-0000CE390000}"/>
    <cellStyle name="40% - Accent6 2 3 2 8" xfId="8965" xr:uid="{00000000-0005-0000-0000-0000CF390000}"/>
    <cellStyle name="40% - Accent6 2 3 2 8 2" xfId="28439" xr:uid="{00000000-0005-0000-0000-0000D0390000}"/>
    <cellStyle name="40% - Accent6 2 3 2 9" xfId="23697" xr:uid="{00000000-0005-0000-0000-0000D1390000}"/>
    <cellStyle name="40% - Accent6 2 3 3" xfId="2962" xr:uid="{00000000-0005-0000-0000-0000D2390000}"/>
    <cellStyle name="40% - Accent6 2 3 3 2" xfId="4669" xr:uid="{00000000-0005-0000-0000-0000D3390000}"/>
    <cellStyle name="40% - Accent6 2 3 3 2 2" xfId="5309" xr:uid="{00000000-0005-0000-0000-0000D4390000}"/>
    <cellStyle name="40% - Accent6 2 3 3 2 2 2" xfId="6443" xr:uid="{00000000-0005-0000-0000-0000D5390000}"/>
    <cellStyle name="40% - Accent6 2 3 3 2 2 2 2" xfId="8095" xr:uid="{00000000-0005-0000-0000-0000D6390000}"/>
    <cellStyle name="40% - Accent6 2 3 3 2 2 2 2 2" xfId="12431" xr:uid="{00000000-0005-0000-0000-0000D7390000}"/>
    <cellStyle name="40% - Accent6 2 3 3 2 2 2 2 2 2" xfId="31901" xr:uid="{00000000-0005-0000-0000-0000D8390000}"/>
    <cellStyle name="40% - Accent6 2 3 3 2 2 2 2 3" xfId="27579" xr:uid="{00000000-0005-0000-0000-0000D9390000}"/>
    <cellStyle name="40% - Accent6 2 3 3 2 2 2 3" xfId="10859" xr:uid="{00000000-0005-0000-0000-0000DA390000}"/>
    <cellStyle name="40% - Accent6 2 3 3 2 2 2 3 2" xfId="30329" xr:uid="{00000000-0005-0000-0000-0000DB390000}"/>
    <cellStyle name="40% - Accent6 2 3 3 2 2 2 4" xfId="25928" xr:uid="{00000000-0005-0000-0000-0000DC390000}"/>
    <cellStyle name="40% - Accent6 2 3 3 2 2 3" xfId="8094" xr:uid="{00000000-0005-0000-0000-0000DD390000}"/>
    <cellStyle name="40% - Accent6 2 3 3 2 2 3 2" xfId="12430" xr:uid="{00000000-0005-0000-0000-0000DE390000}"/>
    <cellStyle name="40% - Accent6 2 3 3 2 2 3 2 2" xfId="31900" xr:uid="{00000000-0005-0000-0000-0000DF390000}"/>
    <cellStyle name="40% - Accent6 2 3 3 2 2 3 3" xfId="27578" xr:uid="{00000000-0005-0000-0000-0000E0390000}"/>
    <cellStyle name="40% - Accent6 2 3 3 2 2 4" xfId="9798" xr:uid="{00000000-0005-0000-0000-0000E1390000}"/>
    <cellStyle name="40% - Accent6 2 3 3 2 2 4 2" xfId="29268" xr:uid="{00000000-0005-0000-0000-0000E2390000}"/>
    <cellStyle name="40% - Accent6 2 3 3 2 2 5" xfId="24800" xr:uid="{00000000-0005-0000-0000-0000E3390000}"/>
    <cellStyle name="40% - Accent6 2 3 3 2 3" xfId="5906" xr:uid="{00000000-0005-0000-0000-0000E4390000}"/>
    <cellStyle name="40% - Accent6 2 3 3 2 3 2" xfId="8096" xr:uid="{00000000-0005-0000-0000-0000E5390000}"/>
    <cellStyle name="40% - Accent6 2 3 3 2 3 2 2" xfId="12432" xr:uid="{00000000-0005-0000-0000-0000E6390000}"/>
    <cellStyle name="40% - Accent6 2 3 3 2 3 2 2 2" xfId="31902" xr:uid="{00000000-0005-0000-0000-0000E7390000}"/>
    <cellStyle name="40% - Accent6 2 3 3 2 3 2 3" xfId="27580" xr:uid="{00000000-0005-0000-0000-0000E8390000}"/>
    <cellStyle name="40% - Accent6 2 3 3 2 3 3" xfId="10328" xr:uid="{00000000-0005-0000-0000-0000E9390000}"/>
    <cellStyle name="40% - Accent6 2 3 3 2 3 3 2" xfId="29798" xr:uid="{00000000-0005-0000-0000-0000EA390000}"/>
    <cellStyle name="40% - Accent6 2 3 3 2 3 4" xfId="25391" xr:uid="{00000000-0005-0000-0000-0000EB390000}"/>
    <cellStyle name="40% - Accent6 2 3 3 2 4" xfId="8093" xr:uid="{00000000-0005-0000-0000-0000EC390000}"/>
    <cellStyle name="40% - Accent6 2 3 3 2 4 2" xfId="12429" xr:uid="{00000000-0005-0000-0000-0000ED390000}"/>
    <cellStyle name="40% - Accent6 2 3 3 2 4 2 2" xfId="31899" xr:uid="{00000000-0005-0000-0000-0000EE390000}"/>
    <cellStyle name="40% - Accent6 2 3 3 2 4 3" xfId="27577" xr:uid="{00000000-0005-0000-0000-0000EF390000}"/>
    <cellStyle name="40% - Accent6 2 3 3 2 5" xfId="9268" xr:uid="{00000000-0005-0000-0000-0000F0390000}"/>
    <cellStyle name="40% - Accent6 2 3 3 2 5 2" xfId="28738" xr:uid="{00000000-0005-0000-0000-0000F1390000}"/>
    <cellStyle name="40% - Accent6 2 3 3 2 6" xfId="24180" xr:uid="{00000000-0005-0000-0000-0000F2390000}"/>
    <cellStyle name="40% - Accent6 2 3 3 3" xfId="5013" xr:uid="{00000000-0005-0000-0000-0000F3390000}"/>
    <cellStyle name="40% - Accent6 2 3 3 3 2" xfId="6175" xr:uid="{00000000-0005-0000-0000-0000F4390000}"/>
    <cellStyle name="40% - Accent6 2 3 3 3 2 2" xfId="8098" xr:uid="{00000000-0005-0000-0000-0000F5390000}"/>
    <cellStyle name="40% - Accent6 2 3 3 3 2 2 2" xfId="12434" xr:uid="{00000000-0005-0000-0000-0000F6390000}"/>
    <cellStyle name="40% - Accent6 2 3 3 3 2 2 2 2" xfId="31904" xr:uid="{00000000-0005-0000-0000-0000F7390000}"/>
    <cellStyle name="40% - Accent6 2 3 3 3 2 2 3" xfId="27582" xr:uid="{00000000-0005-0000-0000-0000F8390000}"/>
    <cellStyle name="40% - Accent6 2 3 3 3 2 3" xfId="10593" xr:uid="{00000000-0005-0000-0000-0000F9390000}"/>
    <cellStyle name="40% - Accent6 2 3 3 3 2 3 2" xfId="30063" xr:uid="{00000000-0005-0000-0000-0000FA390000}"/>
    <cellStyle name="40% - Accent6 2 3 3 3 2 4" xfId="25660" xr:uid="{00000000-0005-0000-0000-0000FB390000}"/>
    <cellStyle name="40% - Accent6 2 3 3 3 3" xfId="8097" xr:uid="{00000000-0005-0000-0000-0000FC390000}"/>
    <cellStyle name="40% - Accent6 2 3 3 3 3 2" xfId="12433" xr:uid="{00000000-0005-0000-0000-0000FD390000}"/>
    <cellStyle name="40% - Accent6 2 3 3 3 3 2 2" xfId="31903" xr:uid="{00000000-0005-0000-0000-0000FE390000}"/>
    <cellStyle name="40% - Accent6 2 3 3 3 3 3" xfId="27581" xr:uid="{00000000-0005-0000-0000-0000FF390000}"/>
    <cellStyle name="40% - Accent6 2 3 3 3 4" xfId="9533" xr:uid="{00000000-0005-0000-0000-0000003A0000}"/>
    <cellStyle name="40% - Accent6 2 3 3 3 4 2" xfId="29003" xr:uid="{00000000-0005-0000-0000-0000013A0000}"/>
    <cellStyle name="40% - Accent6 2 3 3 3 5" xfId="24507" xr:uid="{00000000-0005-0000-0000-0000023A0000}"/>
    <cellStyle name="40% - Accent6 2 3 3 4" xfId="5618" xr:uid="{00000000-0005-0000-0000-0000033A0000}"/>
    <cellStyle name="40% - Accent6 2 3 3 4 2" xfId="8099" xr:uid="{00000000-0005-0000-0000-0000043A0000}"/>
    <cellStyle name="40% - Accent6 2 3 3 4 2 2" xfId="12435" xr:uid="{00000000-0005-0000-0000-0000053A0000}"/>
    <cellStyle name="40% - Accent6 2 3 3 4 2 2 2" xfId="31905" xr:uid="{00000000-0005-0000-0000-0000063A0000}"/>
    <cellStyle name="40% - Accent6 2 3 3 4 2 3" xfId="27583" xr:uid="{00000000-0005-0000-0000-0000073A0000}"/>
    <cellStyle name="40% - Accent6 2 3 3 4 3" xfId="10063" xr:uid="{00000000-0005-0000-0000-0000083A0000}"/>
    <cellStyle name="40% - Accent6 2 3 3 4 3 2" xfId="29533" xr:uid="{00000000-0005-0000-0000-0000093A0000}"/>
    <cellStyle name="40% - Accent6 2 3 3 4 4" xfId="25105" xr:uid="{00000000-0005-0000-0000-00000A3A0000}"/>
    <cellStyle name="40% - Accent6 2 3 3 5" xfId="8092" xr:uid="{00000000-0005-0000-0000-00000B3A0000}"/>
    <cellStyle name="40% - Accent6 2 3 3 5 2" xfId="12428" xr:uid="{00000000-0005-0000-0000-00000C3A0000}"/>
    <cellStyle name="40% - Accent6 2 3 3 5 2 2" xfId="31898" xr:uid="{00000000-0005-0000-0000-00000D3A0000}"/>
    <cellStyle name="40% - Accent6 2 3 3 5 3" xfId="27576" xr:uid="{00000000-0005-0000-0000-00000E3A0000}"/>
    <cellStyle name="40% - Accent6 2 3 3 6" xfId="8999" xr:uid="{00000000-0005-0000-0000-00000F3A0000}"/>
    <cellStyle name="40% - Accent6 2 3 3 6 2" xfId="28473" xr:uid="{00000000-0005-0000-0000-0000103A0000}"/>
    <cellStyle name="40% - Accent6 2 3 3 7" xfId="23771" xr:uid="{00000000-0005-0000-0000-0000113A0000}"/>
    <cellStyle name="40% - Accent6 2 3 4" xfId="4196" xr:uid="{00000000-0005-0000-0000-0000123A0000}"/>
    <cellStyle name="40% - Accent6 2 3 4 2" xfId="4788" xr:uid="{00000000-0005-0000-0000-0000133A0000}"/>
    <cellStyle name="40% - Accent6 2 3 4 2 2" xfId="5414" xr:uid="{00000000-0005-0000-0000-0000143A0000}"/>
    <cellStyle name="40% - Accent6 2 3 4 2 2 2" xfId="6542" xr:uid="{00000000-0005-0000-0000-0000153A0000}"/>
    <cellStyle name="40% - Accent6 2 3 4 2 2 2 2" xfId="8103" xr:uid="{00000000-0005-0000-0000-0000163A0000}"/>
    <cellStyle name="40% - Accent6 2 3 4 2 2 2 2 2" xfId="12439" xr:uid="{00000000-0005-0000-0000-0000173A0000}"/>
    <cellStyle name="40% - Accent6 2 3 4 2 2 2 2 2 2" xfId="31909" xr:uid="{00000000-0005-0000-0000-0000183A0000}"/>
    <cellStyle name="40% - Accent6 2 3 4 2 2 2 2 3" xfId="27587" xr:uid="{00000000-0005-0000-0000-0000193A0000}"/>
    <cellStyle name="40% - Accent6 2 3 4 2 2 2 3" xfId="10958" xr:uid="{00000000-0005-0000-0000-00001A3A0000}"/>
    <cellStyle name="40% - Accent6 2 3 4 2 2 2 3 2" xfId="30428" xr:uid="{00000000-0005-0000-0000-00001B3A0000}"/>
    <cellStyle name="40% - Accent6 2 3 4 2 2 2 4" xfId="26027" xr:uid="{00000000-0005-0000-0000-00001C3A0000}"/>
    <cellStyle name="40% - Accent6 2 3 4 2 2 3" xfId="8102" xr:uid="{00000000-0005-0000-0000-00001D3A0000}"/>
    <cellStyle name="40% - Accent6 2 3 4 2 2 3 2" xfId="12438" xr:uid="{00000000-0005-0000-0000-00001E3A0000}"/>
    <cellStyle name="40% - Accent6 2 3 4 2 2 3 2 2" xfId="31908" xr:uid="{00000000-0005-0000-0000-00001F3A0000}"/>
    <cellStyle name="40% - Accent6 2 3 4 2 2 3 3" xfId="27586" xr:uid="{00000000-0005-0000-0000-0000203A0000}"/>
    <cellStyle name="40% - Accent6 2 3 4 2 2 4" xfId="9897" xr:uid="{00000000-0005-0000-0000-0000213A0000}"/>
    <cellStyle name="40% - Accent6 2 3 4 2 2 4 2" xfId="29367" xr:uid="{00000000-0005-0000-0000-0000223A0000}"/>
    <cellStyle name="40% - Accent6 2 3 4 2 2 5" xfId="24905" xr:uid="{00000000-0005-0000-0000-0000233A0000}"/>
    <cellStyle name="40% - Accent6 2 3 4 2 3" xfId="6006" xr:uid="{00000000-0005-0000-0000-0000243A0000}"/>
    <cellStyle name="40% - Accent6 2 3 4 2 3 2" xfId="8104" xr:uid="{00000000-0005-0000-0000-0000253A0000}"/>
    <cellStyle name="40% - Accent6 2 3 4 2 3 2 2" xfId="12440" xr:uid="{00000000-0005-0000-0000-0000263A0000}"/>
    <cellStyle name="40% - Accent6 2 3 4 2 3 2 2 2" xfId="31910" xr:uid="{00000000-0005-0000-0000-0000273A0000}"/>
    <cellStyle name="40% - Accent6 2 3 4 2 3 2 3" xfId="27588" xr:uid="{00000000-0005-0000-0000-0000283A0000}"/>
    <cellStyle name="40% - Accent6 2 3 4 2 3 3" xfId="10427" xr:uid="{00000000-0005-0000-0000-0000293A0000}"/>
    <cellStyle name="40% - Accent6 2 3 4 2 3 3 2" xfId="29897" xr:uid="{00000000-0005-0000-0000-00002A3A0000}"/>
    <cellStyle name="40% - Accent6 2 3 4 2 3 4" xfId="25491" xr:uid="{00000000-0005-0000-0000-00002B3A0000}"/>
    <cellStyle name="40% - Accent6 2 3 4 2 4" xfId="8101" xr:uid="{00000000-0005-0000-0000-00002C3A0000}"/>
    <cellStyle name="40% - Accent6 2 3 4 2 4 2" xfId="12437" xr:uid="{00000000-0005-0000-0000-00002D3A0000}"/>
    <cellStyle name="40% - Accent6 2 3 4 2 4 2 2" xfId="31907" xr:uid="{00000000-0005-0000-0000-00002E3A0000}"/>
    <cellStyle name="40% - Accent6 2 3 4 2 4 3" xfId="27585" xr:uid="{00000000-0005-0000-0000-00002F3A0000}"/>
    <cellStyle name="40% - Accent6 2 3 4 2 5" xfId="9367" xr:uid="{00000000-0005-0000-0000-0000303A0000}"/>
    <cellStyle name="40% - Accent6 2 3 4 2 5 2" xfId="28837" xr:uid="{00000000-0005-0000-0000-0000313A0000}"/>
    <cellStyle name="40% - Accent6 2 3 4 2 6" xfId="24290" xr:uid="{00000000-0005-0000-0000-0000323A0000}"/>
    <cellStyle name="40% - Accent6 2 3 4 3" xfId="5119" xr:uid="{00000000-0005-0000-0000-0000333A0000}"/>
    <cellStyle name="40% - Accent6 2 3 4 3 2" xfId="6275" xr:uid="{00000000-0005-0000-0000-0000343A0000}"/>
    <cellStyle name="40% - Accent6 2 3 4 3 2 2" xfId="8106" xr:uid="{00000000-0005-0000-0000-0000353A0000}"/>
    <cellStyle name="40% - Accent6 2 3 4 3 2 2 2" xfId="12442" xr:uid="{00000000-0005-0000-0000-0000363A0000}"/>
    <cellStyle name="40% - Accent6 2 3 4 3 2 2 2 2" xfId="31912" xr:uid="{00000000-0005-0000-0000-0000373A0000}"/>
    <cellStyle name="40% - Accent6 2 3 4 3 2 2 3" xfId="27590" xr:uid="{00000000-0005-0000-0000-0000383A0000}"/>
    <cellStyle name="40% - Accent6 2 3 4 3 2 3" xfId="10692" xr:uid="{00000000-0005-0000-0000-0000393A0000}"/>
    <cellStyle name="40% - Accent6 2 3 4 3 2 3 2" xfId="30162" xr:uid="{00000000-0005-0000-0000-00003A3A0000}"/>
    <cellStyle name="40% - Accent6 2 3 4 3 2 4" xfId="25760" xr:uid="{00000000-0005-0000-0000-00003B3A0000}"/>
    <cellStyle name="40% - Accent6 2 3 4 3 3" xfId="8105" xr:uid="{00000000-0005-0000-0000-00003C3A0000}"/>
    <cellStyle name="40% - Accent6 2 3 4 3 3 2" xfId="12441" xr:uid="{00000000-0005-0000-0000-00003D3A0000}"/>
    <cellStyle name="40% - Accent6 2 3 4 3 3 2 2" xfId="31911" xr:uid="{00000000-0005-0000-0000-00003E3A0000}"/>
    <cellStyle name="40% - Accent6 2 3 4 3 3 3" xfId="27589" xr:uid="{00000000-0005-0000-0000-00003F3A0000}"/>
    <cellStyle name="40% - Accent6 2 3 4 3 4" xfId="9632" xr:uid="{00000000-0005-0000-0000-0000403A0000}"/>
    <cellStyle name="40% - Accent6 2 3 4 3 4 2" xfId="29102" xr:uid="{00000000-0005-0000-0000-0000413A0000}"/>
    <cellStyle name="40% - Accent6 2 3 4 3 5" xfId="24610" xr:uid="{00000000-0005-0000-0000-0000423A0000}"/>
    <cellStyle name="40% - Accent6 2 3 4 4" xfId="5728" xr:uid="{00000000-0005-0000-0000-0000433A0000}"/>
    <cellStyle name="40% - Accent6 2 3 4 4 2" xfId="8107" xr:uid="{00000000-0005-0000-0000-0000443A0000}"/>
    <cellStyle name="40% - Accent6 2 3 4 4 2 2" xfId="12443" xr:uid="{00000000-0005-0000-0000-0000453A0000}"/>
    <cellStyle name="40% - Accent6 2 3 4 4 2 2 2" xfId="31913" xr:uid="{00000000-0005-0000-0000-0000463A0000}"/>
    <cellStyle name="40% - Accent6 2 3 4 4 2 3" xfId="27591" xr:uid="{00000000-0005-0000-0000-0000473A0000}"/>
    <cellStyle name="40% - Accent6 2 3 4 4 3" xfId="10162" xr:uid="{00000000-0005-0000-0000-0000483A0000}"/>
    <cellStyle name="40% - Accent6 2 3 4 4 3 2" xfId="29632" xr:uid="{00000000-0005-0000-0000-0000493A0000}"/>
    <cellStyle name="40% - Accent6 2 3 4 4 4" xfId="25213" xr:uid="{00000000-0005-0000-0000-00004A3A0000}"/>
    <cellStyle name="40% - Accent6 2 3 4 5" xfId="8100" xr:uid="{00000000-0005-0000-0000-00004B3A0000}"/>
    <cellStyle name="40% - Accent6 2 3 4 5 2" xfId="12436" xr:uid="{00000000-0005-0000-0000-00004C3A0000}"/>
    <cellStyle name="40% - Accent6 2 3 4 5 2 2" xfId="31906" xr:uid="{00000000-0005-0000-0000-00004D3A0000}"/>
    <cellStyle name="40% - Accent6 2 3 4 5 3" xfId="27584" xr:uid="{00000000-0005-0000-0000-00004E3A0000}"/>
    <cellStyle name="40% - Accent6 2 3 4 6" xfId="9101" xr:uid="{00000000-0005-0000-0000-00004F3A0000}"/>
    <cellStyle name="40% - Accent6 2 3 4 6 2" xfId="28572" xr:uid="{00000000-0005-0000-0000-0000503A0000}"/>
    <cellStyle name="40% - Accent6 2 3 4 7" xfId="23988" xr:uid="{00000000-0005-0000-0000-0000513A0000}"/>
    <cellStyle name="40% - Accent6 2 3 5" xfId="4602" xr:uid="{00000000-0005-0000-0000-0000523A0000}"/>
    <cellStyle name="40% - Accent6 2 3 5 2" xfId="5243" xr:uid="{00000000-0005-0000-0000-0000533A0000}"/>
    <cellStyle name="40% - Accent6 2 3 5 2 2" xfId="6377" xr:uid="{00000000-0005-0000-0000-0000543A0000}"/>
    <cellStyle name="40% - Accent6 2 3 5 2 2 2" xfId="8110" xr:uid="{00000000-0005-0000-0000-0000553A0000}"/>
    <cellStyle name="40% - Accent6 2 3 5 2 2 2 2" xfId="12446" xr:uid="{00000000-0005-0000-0000-0000563A0000}"/>
    <cellStyle name="40% - Accent6 2 3 5 2 2 2 2 2" xfId="31916" xr:uid="{00000000-0005-0000-0000-0000573A0000}"/>
    <cellStyle name="40% - Accent6 2 3 5 2 2 2 3" xfId="27594" xr:uid="{00000000-0005-0000-0000-0000583A0000}"/>
    <cellStyle name="40% - Accent6 2 3 5 2 2 3" xfId="10793" xr:uid="{00000000-0005-0000-0000-0000593A0000}"/>
    <cellStyle name="40% - Accent6 2 3 5 2 2 3 2" xfId="30263" xr:uid="{00000000-0005-0000-0000-00005A3A0000}"/>
    <cellStyle name="40% - Accent6 2 3 5 2 2 4" xfId="25862" xr:uid="{00000000-0005-0000-0000-00005B3A0000}"/>
    <cellStyle name="40% - Accent6 2 3 5 2 3" xfId="8109" xr:uid="{00000000-0005-0000-0000-00005C3A0000}"/>
    <cellStyle name="40% - Accent6 2 3 5 2 3 2" xfId="12445" xr:uid="{00000000-0005-0000-0000-00005D3A0000}"/>
    <cellStyle name="40% - Accent6 2 3 5 2 3 2 2" xfId="31915" xr:uid="{00000000-0005-0000-0000-00005E3A0000}"/>
    <cellStyle name="40% - Accent6 2 3 5 2 3 3" xfId="27593" xr:uid="{00000000-0005-0000-0000-00005F3A0000}"/>
    <cellStyle name="40% - Accent6 2 3 5 2 4" xfId="9732" xr:uid="{00000000-0005-0000-0000-0000603A0000}"/>
    <cellStyle name="40% - Accent6 2 3 5 2 4 2" xfId="29202" xr:uid="{00000000-0005-0000-0000-0000613A0000}"/>
    <cellStyle name="40% - Accent6 2 3 5 2 5" xfId="24734" xr:uid="{00000000-0005-0000-0000-0000623A0000}"/>
    <cellStyle name="40% - Accent6 2 3 5 3" xfId="5839" xr:uid="{00000000-0005-0000-0000-0000633A0000}"/>
    <cellStyle name="40% - Accent6 2 3 5 3 2" xfId="8111" xr:uid="{00000000-0005-0000-0000-0000643A0000}"/>
    <cellStyle name="40% - Accent6 2 3 5 3 2 2" xfId="12447" xr:uid="{00000000-0005-0000-0000-0000653A0000}"/>
    <cellStyle name="40% - Accent6 2 3 5 3 2 2 2" xfId="31917" xr:uid="{00000000-0005-0000-0000-0000663A0000}"/>
    <cellStyle name="40% - Accent6 2 3 5 3 2 3" xfId="27595" xr:uid="{00000000-0005-0000-0000-0000673A0000}"/>
    <cellStyle name="40% - Accent6 2 3 5 3 3" xfId="10262" xr:uid="{00000000-0005-0000-0000-0000683A0000}"/>
    <cellStyle name="40% - Accent6 2 3 5 3 3 2" xfId="29732" xr:uid="{00000000-0005-0000-0000-0000693A0000}"/>
    <cellStyle name="40% - Accent6 2 3 5 3 4" xfId="25324" xr:uid="{00000000-0005-0000-0000-00006A3A0000}"/>
    <cellStyle name="40% - Accent6 2 3 5 4" xfId="8108" xr:uid="{00000000-0005-0000-0000-00006B3A0000}"/>
    <cellStyle name="40% - Accent6 2 3 5 4 2" xfId="12444" xr:uid="{00000000-0005-0000-0000-00006C3A0000}"/>
    <cellStyle name="40% - Accent6 2 3 5 4 2 2" xfId="31914" xr:uid="{00000000-0005-0000-0000-00006D3A0000}"/>
    <cellStyle name="40% - Accent6 2 3 5 4 3" xfId="27592" xr:uid="{00000000-0005-0000-0000-00006E3A0000}"/>
    <cellStyle name="40% - Accent6 2 3 5 5" xfId="9202" xr:uid="{00000000-0005-0000-0000-00006F3A0000}"/>
    <cellStyle name="40% - Accent6 2 3 5 5 2" xfId="28672" xr:uid="{00000000-0005-0000-0000-0000703A0000}"/>
    <cellStyle name="40% - Accent6 2 3 5 6" xfId="24113" xr:uid="{00000000-0005-0000-0000-0000713A0000}"/>
    <cellStyle name="40% - Accent6 2 3 6" xfId="4947" xr:uid="{00000000-0005-0000-0000-0000723A0000}"/>
    <cellStyle name="40% - Accent6 2 3 6 2" xfId="6109" xr:uid="{00000000-0005-0000-0000-0000733A0000}"/>
    <cellStyle name="40% - Accent6 2 3 6 2 2" xfId="8113" xr:uid="{00000000-0005-0000-0000-0000743A0000}"/>
    <cellStyle name="40% - Accent6 2 3 6 2 2 2" xfId="12449" xr:uid="{00000000-0005-0000-0000-0000753A0000}"/>
    <cellStyle name="40% - Accent6 2 3 6 2 2 2 2" xfId="31919" xr:uid="{00000000-0005-0000-0000-0000763A0000}"/>
    <cellStyle name="40% - Accent6 2 3 6 2 2 3" xfId="27597" xr:uid="{00000000-0005-0000-0000-0000773A0000}"/>
    <cellStyle name="40% - Accent6 2 3 6 2 3" xfId="10527" xr:uid="{00000000-0005-0000-0000-0000783A0000}"/>
    <cellStyle name="40% - Accent6 2 3 6 2 3 2" xfId="29997" xr:uid="{00000000-0005-0000-0000-0000793A0000}"/>
    <cellStyle name="40% - Accent6 2 3 6 2 4" xfId="25594" xr:uid="{00000000-0005-0000-0000-00007A3A0000}"/>
    <cellStyle name="40% - Accent6 2 3 6 3" xfId="8112" xr:uid="{00000000-0005-0000-0000-00007B3A0000}"/>
    <cellStyle name="40% - Accent6 2 3 6 3 2" xfId="12448" xr:uid="{00000000-0005-0000-0000-00007C3A0000}"/>
    <cellStyle name="40% - Accent6 2 3 6 3 2 2" xfId="31918" xr:uid="{00000000-0005-0000-0000-00007D3A0000}"/>
    <cellStyle name="40% - Accent6 2 3 6 3 3" xfId="27596" xr:uid="{00000000-0005-0000-0000-00007E3A0000}"/>
    <cellStyle name="40% - Accent6 2 3 6 4" xfId="9467" xr:uid="{00000000-0005-0000-0000-00007F3A0000}"/>
    <cellStyle name="40% - Accent6 2 3 6 4 2" xfId="28937" xr:uid="{00000000-0005-0000-0000-0000803A0000}"/>
    <cellStyle name="40% - Accent6 2 3 6 5" xfId="24441" xr:uid="{00000000-0005-0000-0000-0000813A0000}"/>
    <cellStyle name="40% - Accent6 2 3 7" xfId="5551" xr:uid="{00000000-0005-0000-0000-0000823A0000}"/>
    <cellStyle name="40% - Accent6 2 3 7 2" xfId="8114" xr:uid="{00000000-0005-0000-0000-0000833A0000}"/>
    <cellStyle name="40% - Accent6 2 3 7 2 2" xfId="12450" xr:uid="{00000000-0005-0000-0000-0000843A0000}"/>
    <cellStyle name="40% - Accent6 2 3 7 2 2 2" xfId="31920" xr:uid="{00000000-0005-0000-0000-0000853A0000}"/>
    <cellStyle name="40% - Accent6 2 3 7 2 3" xfId="27598" xr:uid="{00000000-0005-0000-0000-0000863A0000}"/>
    <cellStyle name="40% - Accent6 2 3 7 3" xfId="9997" xr:uid="{00000000-0005-0000-0000-0000873A0000}"/>
    <cellStyle name="40% - Accent6 2 3 7 3 2" xfId="29467" xr:uid="{00000000-0005-0000-0000-0000883A0000}"/>
    <cellStyle name="40% - Accent6 2 3 7 4" xfId="25039" xr:uid="{00000000-0005-0000-0000-0000893A0000}"/>
    <cellStyle name="40% - Accent6 2 3 8" xfId="8067" xr:uid="{00000000-0005-0000-0000-00008A3A0000}"/>
    <cellStyle name="40% - Accent6 2 3 8 2" xfId="12403" xr:uid="{00000000-0005-0000-0000-00008B3A0000}"/>
    <cellStyle name="40% - Accent6 2 3 8 2 2" xfId="31873" xr:uid="{00000000-0005-0000-0000-00008C3A0000}"/>
    <cellStyle name="40% - Accent6 2 3 8 3" xfId="27551" xr:uid="{00000000-0005-0000-0000-00008D3A0000}"/>
    <cellStyle name="40% - Accent6 2 3 9" xfId="8933" xr:uid="{00000000-0005-0000-0000-00008E3A0000}"/>
    <cellStyle name="40% - Accent6 2 3 9 2" xfId="28407" xr:uid="{00000000-0005-0000-0000-00008F3A0000}"/>
    <cellStyle name="40% - Accent6 2 4" xfId="3904" xr:uid="{00000000-0005-0000-0000-0000903A0000}"/>
    <cellStyle name="40% - Accent6 2 4 2" xfId="4250" xr:uid="{00000000-0005-0000-0000-0000913A0000}"/>
    <cellStyle name="40% - Accent6 2 4 2 2" xfId="4825" xr:uid="{00000000-0005-0000-0000-0000923A0000}"/>
    <cellStyle name="40% - Accent6 2 4 2 2 2" xfId="5450" xr:uid="{00000000-0005-0000-0000-0000933A0000}"/>
    <cellStyle name="40% - Accent6 2 4 2 2 2 2" xfId="6578" xr:uid="{00000000-0005-0000-0000-0000943A0000}"/>
    <cellStyle name="40% - Accent6 2 4 2 2 2 2 2" xfId="8119" xr:uid="{00000000-0005-0000-0000-0000953A0000}"/>
    <cellStyle name="40% - Accent6 2 4 2 2 2 2 2 2" xfId="12455" xr:uid="{00000000-0005-0000-0000-0000963A0000}"/>
    <cellStyle name="40% - Accent6 2 4 2 2 2 2 2 2 2" xfId="31925" xr:uid="{00000000-0005-0000-0000-0000973A0000}"/>
    <cellStyle name="40% - Accent6 2 4 2 2 2 2 2 3" xfId="27603" xr:uid="{00000000-0005-0000-0000-0000983A0000}"/>
    <cellStyle name="40% - Accent6 2 4 2 2 2 2 3" xfId="10994" xr:uid="{00000000-0005-0000-0000-0000993A0000}"/>
    <cellStyle name="40% - Accent6 2 4 2 2 2 2 3 2" xfId="30464" xr:uid="{00000000-0005-0000-0000-00009A3A0000}"/>
    <cellStyle name="40% - Accent6 2 4 2 2 2 2 4" xfId="26063" xr:uid="{00000000-0005-0000-0000-00009B3A0000}"/>
    <cellStyle name="40% - Accent6 2 4 2 2 2 3" xfId="8118" xr:uid="{00000000-0005-0000-0000-00009C3A0000}"/>
    <cellStyle name="40% - Accent6 2 4 2 2 2 3 2" xfId="12454" xr:uid="{00000000-0005-0000-0000-00009D3A0000}"/>
    <cellStyle name="40% - Accent6 2 4 2 2 2 3 2 2" xfId="31924" xr:uid="{00000000-0005-0000-0000-00009E3A0000}"/>
    <cellStyle name="40% - Accent6 2 4 2 2 2 3 3" xfId="27602" xr:uid="{00000000-0005-0000-0000-00009F3A0000}"/>
    <cellStyle name="40% - Accent6 2 4 2 2 2 4" xfId="9933" xr:uid="{00000000-0005-0000-0000-0000A03A0000}"/>
    <cellStyle name="40% - Accent6 2 4 2 2 2 4 2" xfId="29403" xr:uid="{00000000-0005-0000-0000-0000A13A0000}"/>
    <cellStyle name="40% - Accent6 2 4 2 2 2 5" xfId="24941" xr:uid="{00000000-0005-0000-0000-0000A23A0000}"/>
    <cellStyle name="40% - Accent6 2 4 2 2 3" xfId="6043" xr:uid="{00000000-0005-0000-0000-0000A33A0000}"/>
    <cellStyle name="40% - Accent6 2 4 2 2 3 2" xfId="8120" xr:uid="{00000000-0005-0000-0000-0000A43A0000}"/>
    <cellStyle name="40% - Accent6 2 4 2 2 3 2 2" xfId="12456" xr:uid="{00000000-0005-0000-0000-0000A53A0000}"/>
    <cellStyle name="40% - Accent6 2 4 2 2 3 2 2 2" xfId="31926" xr:uid="{00000000-0005-0000-0000-0000A63A0000}"/>
    <cellStyle name="40% - Accent6 2 4 2 2 3 2 3" xfId="27604" xr:uid="{00000000-0005-0000-0000-0000A73A0000}"/>
    <cellStyle name="40% - Accent6 2 4 2 2 3 3" xfId="10463" xr:uid="{00000000-0005-0000-0000-0000A83A0000}"/>
    <cellStyle name="40% - Accent6 2 4 2 2 3 3 2" xfId="29933" xr:uid="{00000000-0005-0000-0000-0000A93A0000}"/>
    <cellStyle name="40% - Accent6 2 4 2 2 3 4" xfId="25528" xr:uid="{00000000-0005-0000-0000-0000AA3A0000}"/>
    <cellStyle name="40% - Accent6 2 4 2 2 4" xfId="8117" xr:uid="{00000000-0005-0000-0000-0000AB3A0000}"/>
    <cellStyle name="40% - Accent6 2 4 2 2 4 2" xfId="12453" xr:uid="{00000000-0005-0000-0000-0000AC3A0000}"/>
    <cellStyle name="40% - Accent6 2 4 2 2 4 2 2" xfId="31923" xr:uid="{00000000-0005-0000-0000-0000AD3A0000}"/>
    <cellStyle name="40% - Accent6 2 4 2 2 4 3" xfId="27601" xr:uid="{00000000-0005-0000-0000-0000AE3A0000}"/>
    <cellStyle name="40% - Accent6 2 4 2 2 5" xfId="9403" xr:uid="{00000000-0005-0000-0000-0000AF3A0000}"/>
    <cellStyle name="40% - Accent6 2 4 2 2 5 2" xfId="28873" xr:uid="{00000000-0005-0000-0000-0000B03A0000}"/>
    <cellStyle name="40% - Accent6 2 4 2 2 6" xfId="24327" xr:uid="{00000000-0005-0000-0000-0000B13A0000}"/>
    <cellStyle name="40% - Accent6 2 4 2 3" xfId="5155" xr:uid="{00000000-0005-0000-0000-0000B23A0000}"/>
    <cellStyle name="40% - Accent6 2 4 2 3 2" xfId="6311" xr:uid="{00000000-0005-0000-0000-0000B33A0000}"/>
    <cellStyle name="40% - Accent6 2 4 2 3 2 2" xfId="8122" xr:uid="{00000000-0005-0000-0000-0000B43A0000}"/>
    <cellStyle name="40% - Accent6 2 4 2 3 2 2 2" xfId="12458" xr:uid="{00000000-0005-0000-0000-0000B53A0000}"/>
    <cellStyle name="40% - Accent6 2 4 2 3 2 2 2 2" xfId="31928" xr:uid="{00000000-0005-0000-0000-0000B63A0000}"/>
    <cellStyle name="40% - Accent6 2 4 2 3 2 2 3" xfId="27606" xr:uid="{00000000-0005-0000-0000-0000B73A0000}"/>
    <cellStyle name="40% - Accent6 2 4 2 3 2 3" xfId="10728" xr:uid="{00000000-0005-0000-0000-0000B83A0000}"/>
    <cellStyle name="40% - Accent6 2 4 2 3 2 3 2" xfId="30198" xr:uid="{00000000-0005-0000-0000-0000B93A0000}"/>
    <cellStyle name="40% - Accent6 2 4 2 3 2 4" xfId="25796" xr:uid="{00000000-0005-0000-0000-0000BA3A0000}"/>
    <cellStyle name="40% - Accent6 2 4 2 3 3" xfId="8121" xr:uid="{00000000-0005-0000-0000-0000BB3A0000}"/>
    <cellStyle name="40% - Accent6 2 4 2 3 3 2" xfId="12457" xr:uid="{00000000-0005-0000-0000-0000BC3A0000}"/>
    <cellStyle name="40% - Accent6 2 4 2 3 3 2 2" xfId="31927" xr:uid="{00000000-0005-0000-0000-0000BD3A0000}"/>
    <cellStyle name="40% - Accent6 2 4 2 3 3 3" xfId="27605" xr:uid="{00000000-0005-0000-0000-0000BE3A0000}"/>
    <cellStyle name="40% - Accent6 2 4 2 3 4" xfId="9668" xr:uid="{00000000-0005-0000-0000-0000BF3A0000}"/>
    <cellStyle name="40% - Accent6 2 4 2 3 4 2" xfId="29138" xr:uid="{00000000-0005-0000-0000-0000C03A0000}"/>
    <cellStyle name="40% - Accent6 2 4 2 3 5" xfId="24646" xr:uid="{00000000-0005-0000-0000-0000C13A0000}"/>
    <cellStyle name="40% - Accent6 2 4 2 4" xfId="5764" xr:uid="{00000000-0005-0000-0000-0000C23A0000}"/>
    <cellStyle name="40% - Accent6 2 4 2 4 2" xfId="8123" xr:uid="{00000000-0005-0000-0000-0000C33A0000}"/>
    <cellStyle name="40% - Accent6 2 4 2 4 2 2" xfId="12459" xr:uid="{00000000-0005-0000-0000-0000C43A0000}"/>
    <cellStyle name="40% - Accent6 2 4 2 4 2 2 2" xfId="31929" xr:uid="{00000000-0005-0000-0000-0000C53A0000}"/>
    <cellStyle name="40% - Accent6 2 4 2 4 2 3" xfId="27607" xr:uid="{00000000-0005-0000-0000-0000C63A0000}"/>
    <cellStyle name="40% - Accent6 2 4 2 4 3" xfId="10198" xr:uid="{00000000-0005-0000-0000-0000C73A0000}"/>
    <cellStyle name="40% - Accent6 2 4 2 4 3 2" xfId="29668" xr:uid="{00000000-0005-0000-0000-0000C83A0000}"/>
    <cellStyle name="40% - Accent6 2 4 2 4 4" xfId="25249" xr:uid="{00000000-0005-0000-0000-0000C93A0000}"/>
    <cellStyle name="40% - Accent6 2 4 2 5" xfId="8116" xr:uid="{00000000-0005-0000-0000-0000CA3A0000}"/>
    <cellStyle name="40% - Accent6 2 4 2 5 2" xfId="12452" xr:uid="{00000000-0005-0000-0000-0000CB3A0000}"/>
    <cellStyle name="40% - Accent6 2 4 2 5 2 2" xfId="31922" xr:uid="{00000000-0005-0000-0000-0000CC3A0000}"/>
    <cellStyle name="40% - Accent6 2 4 2 5 3" xfId="27600" xr:uid="{00000000-0005-0000-0000-0000CD3A0000}"/>
    <cellStyle name="40% - Accent6 2 4 2 6" xfId="9137" xr:uid="{00000000-0005-0000-0000-0000CE3A0000}"/>
    <cellStyle name="40% - Accent6 2 4 2 6 2" xfId="28608" xr:uid="{00000000-0005-0000-0000-0000CF3A0000}"/>
    <cellStyle name="40% - Accent6 2 4 2 7" xfId="24026" xr:uid="{00000000-0005-0000-0000-0000D03A0000}"/>
    <cellStyle name="40% - Accent6 2 4 3" xfId="4735" xr:uid="{00000000-0005-0000-0000-0000D13A0000}"/>
    <cellStyle name="40% - Accent6 2 4 3 2" xfId="5369" xr:uid="{00000000-0005-0000-0000-0000D23A0000}"/>
    <cellStyle name="40% - Accent6 2 4 3 2 2" xfId="6497" xr:uid="{00000000-0005-0000-0000-0000D33A0000}"/>
    <cellStyle name="40% - Accent6 2 4 3 2 2 2" xfId="8126" xr:uid="{00000000-0005-0000-0000-0000D43A0000}"/>
    <cellStyle name="40% - Accent6 2 4 3 2 2 2 2" xfId="12462" xr:uid="{00000000-0005-0000-0000-0000D53A0000}"/>
    <cellStyle name="40% - Accent6 2 4 3 2 2 2 2 2" xfId="31932" xr:uid="{00000000-0005-0000-0000-0000D63A0000}"/>
    <cellStyle name="40% - Accent6 2 4 3 2 2 2 3" xfId="27610" xr:uid="{00000000-0005-0000-0000-0000D73A0000}"/>
    <cellStyle name="40% - Accent6 2 4 3 2 2 3" xfId="10913" xr:uid="{00000000-0005-0000-0000-0000D83A0000}"/>
    <cellStyle name="40% - Accent6 2 4 3 2 2 3 2" xfId="30383" xr:uid="{00000000-0005-0000-0000-0000D93A0000}"/>
    <cellStyle name="40% - Accent6 2 4 3 2 2 4" xfId="25982" xr:uid="{00000000-0005-0000-0000-0000DA3A0000}"/>
    <cellStyle name="40% - Accent6 2 4 3 2 3" xfId="8125" xr:uid="{00000000-0005-0000-0000-0000DB3A0000}"/>
    <cellStyle name="40% - Accent6 2 4 3 2 3 2" xfId="12461" xr:uid="{00000000-0005-0000-0000-0000DC3A0000}"/>
    <cellStyle name="40% - Accent6 2 4 3 2 3 2 2" xfId="31931" xr:uid="{00000000-0005-0000-0000-0000DD3A0000}"/>
    <cellStyle name="40% - Accent6 2 4 3 2 3 3" xfId="27609" xr:uid="{00000000-0005-0000-0000-0000DE3A0000}"/>
    <cellStyle name="40% - Accent6 2 4 3 2 4" xfId="9852" xr:uid="{00000000-0005-0000-0000-0000DF3A0000}"/>
    <cellStyle name="40% - Accent6 2 4 3 2 4 2" xfId="29322" xr:uid="{00000000-0005-0000-0000-0000E03A0000}"/>
    <cellStyle name="40% - Accent6 2 4 3 2 5" xfId="24860" xr:uid="{00000000-0005-0000-0000-0000E13A0000}"/>
    <cellStyle name="40% - Accent6 2 4 3 3" xfId="5960" xr:uid="{00000000-0005-0000-0000-0000E23A0000}"/>
    <cellStyle name="40% - Accent6 2 4 3 3 2" xfId="8127" xr:uid="{00000000-0005-0000-0000-0000E33A0000}"/>
    <cellStyle name="40% - Accent6 2 4 3 3 2 2" xfId="12463" xr:uid="{00000000-0005-0000-0000-0000E43A0000}"/>
    <cellStyle name="40% - Accent6 2 4 3 3 2 2 2" xfId="31933" xr:uid="{00000000-0005-0000-0000-0000E53A0000}"/>
    <cellStyle name="40% - Accent6 2 4 3 3 2 3" xfId="27611" xr:uid="{00000000-0005-0000-0000-0000E63A0000}"/>
    <cellStyle name="40% - Accent6 2 4 3 3 3" xfId="10382" xr:uid="{00000000-0005-0000-0000-0000E73A0000}"/>
    <cellStyle name="40% - Accent6 2 4 3 3 3 2" xfId="29852" xr:uid="{00000000-0005-0000-0000-0000E83A0000}"/>
    <cellStyle name="40% - Accent6 2 4 3 3 4" xfId="25445" xr:uid="{00000000-0005-0000-0000-0000E93A0000}"/>
    <cellStyle name="40% - Accent6 2 4 3 4" xfId="8124" xr:uid="{00000000-0005-0000-0000-0000EA3A0000}"/>
    <cellStyle name="40% - Accent6 2 4 3 4 2" xfId="12460" xr:uid="{00000000-0005-0000-0000-0000EB3A0000}"/>
    <cellStyle name="40% - Accent6 2 4 3 4 2 2" xfId="31930" xr:uid="{00000000-0005-0000-0000-0000EC3A0000}"/>
    <cellStyle name="40% - Accent6 2 4 3 4 3" xfId="27608" xr:uid="{00000000-0005-0000-0000-0000ED3A0000}"/>
    <cellStyle name="40% - Accent6 2 4 3 5" xfId="9322" xr:uid="{00000000-0005-0000-0000-0000EE3A0000}"/>
    <cellStyle name="40% - Accent6 2 4 3 5 2" xfId="28792" xr:uid="{00000000-0005-0000-0000-0000EF3A0000}"/>
    <cellStyle name="40% - Accent6 2 4 3 6" xfId="24242" xr:uid="{00000000-0005-0000-0000-0000F03A0000}"/>
    <cellStyle name="40% - Accent6 2 4 4" xfId="5068" xr:uid="{00000000-0005-0000-0000-0000F13A0000}"/>
    <cellStyle name="40% - Accent6 2 4 4 2" xfId="6229" xr:uid="{00000000-0005-0000-0000-0000F23A0000}"/>
    <cellStyle name="40% - Accent6 2 4 4 2 2" xfId="8129" xr:uid="{00000000-0005-0000-0000-0000F33A0000}"/>
    <cellStyle name="40% - Accent6 2 4 4 2 2 2" xfId="12465" xr:uid="{00000000-0005-0000-0000-0000F43A0000}"/>
    <cellStyle name="40% - Accent6 2 4 4 2 2 2 2" xfId="31935" xr:uid="{00000000-0005-0000-0000-0000F53A0000}"/>
    <cellStyle name="40% - Accent6 2 4 4 2 2 3" xfId="27613" xr:uid="{00000000-0005-0000-0000-0000F63A0000}"/>
    <cellStyle name="40% - Accent6 2 4 4 2 3" xfId="10647" xr:uid="{00000000-0005-0000-0000-0000F73A0000}"/>
    <cellStyle name="40% - Accent6 2 4 4 2 3 2" xfId="30117" xr:uid="{00000000-0005-0000-0000-0000F83A0000}"/>
    <cellStyle name="40% - Accent6 2 4 4 2 4" xfId="25714" xr:uid="{00000000-0005-0000-0000-0000F93A0000}"/>
    <cellStyle name="40% - Accent6 2 4 4 3" xfId="8128" xr:uid="{00000000-0005-0000-0000-0000FA3A0000}"/>
    <cellStyle name="40% - Accent6 2 4 4 3 2" xfId="12464" xr:uid="{00000000-0005-0000-0000-0000FB3A0000}"/>
    <cellStyle name="40% - Accent6 2 4 4 3 2 2" xfId="31934" xr:uid="{00000000-0005-0000-0000-0000FC3A0000}"/>
    <cellStyle name="40% - Accent6 2 4 4 3 3" xfId="27612" xr:uid="{00000000-0005-0000-0000-0000FD3A0000}"/>
    <cellStyle name="40% - Accent6 2 4 4 4" xfId="9587" xr:uid="{00000000-0005-0000-0000-0000FE3A0000}"/>
    <cellStyle name="40% - Accent6 2 4 4 4 2" xfId="29057" xr:uid="{00000000-0005-0000-0000-0000FF3A0000}"/>
    <cellStyle name="40% - Accent6 2 4 4 5" xfId="24561" xr:uid="{00000000-0005-0000-0000-0000003B0000}"/>
    <cellStyle name="40% - Accent6 2 4 5" xfId="5680" xr:uid="{00000000-0005-0000-0000-0000013B0000}"/>
    <cellStyle name="40% - Accent6 2 4 5 2" xfId="8130" xr:uid="{00000000-0005-0000-0000-0000023B0000}"/>
    <cellStyle name="40% - Accent6 2 4 5 2 2" xfId="12466" xr:uid="{00000000-0005-0000-0000-0000033B0000}"/>
    <cellStyle name="40% - Accent6 2 4 5 2 2 2" xfId="31936" xr:uid="{00000000-0005-0000-0000-0000043B0000}"/>
    <cellStyle name="40% - Accent6 2 4 5 2 3" xfId="27614" xr:uid="{00000000-0005-0000-0000-0000053B0000}"/>
    <cellStyle name="40% - Accent6 2 4 5 3" xfId="10117" xr:uid="{00000000-0005-0000-0000-0000063B0000}"/>
    <cellStyle name="40% - Accent6 2 4 5 3 2" xfId="29587" xr:uid="{00000000-0005-0000-0000-0000073B0000}"/>
    <cellStyle name="40% - Accent6 2 4 5 4" xfId="25167" xr:uid="{00000000-0005-0000-0000-0000083B0000}"/>
    <cellStyle name="40% - Accent6 2 4 6" xfId="8115" xr:uid="{00000000-0005-0000-0000-0000093B0000}"/>
    <cellStyle name="40% - Accent6 2 4 6 2" xfId="12451" xr:uid="{00000000-0005-0000-0000-00000A3B0000}"/>
    <cellStyle name="40% - Accent6 2 4 6 2 2" xfId="31921" xr:uid="{00000000-0005-0000-0000-00000B3B0000}"/>
    <cellStyle name="40% - Accent6 2 4 6 3" xfId="27599" xr:uid="{00000000-0005-0000-0000-00000C3B0000}"/>
    <cellStyle name="40% - Accent6 2 4 7" xfId="9054" xr:uid="{00000000-0005-0000-0000-00000D3B0000}"/>
    <cellStyle name="40% - Accent6 2 4 7 2" xfId="28527" xr:uid="{00000000-0005-0000-0000-00000E3B0000}"/>
    <cellStyle name="40% - Accent6 2 4 8" xfId="23933" xr:uid="{00000000-0005-0000-0000-00000F3B0000}"/>
    <cellStyle name="40% - Accent6 2 5" xfId="4148" xr:uid="{00000000-0005-0000-0000-0000103B0000}"/>
    <cellStyle name="40% - Accent6 2 5 2" xfId="4767" xr:uid="{00000000-0005-0000-0000-0000113B0000}"/>
    <cellStyle name="40% - Accent6 2 5 2 2" xfId="5396" xr:uid="{00000000-0005-0000-0000-0000123B0000}"/>
    <cellStyle name="40% - Accent6 2 5 2 2 2" xfId="6524" xr:uid="{00000000-0005-0000-0000-0000133B0000}"/>
    <cellStyle name="40% - Accent6 2 5 2 2 2 2" xfId="8134" xr:uid="{00000000-0005-0000-0000-0000143B0000}"/>
    <cellStyle name="40% - Accent6 2 5 2 2 2 2 2" xfId="12470" xr:uid="{00000000-0005-0000-0000-0000153B0000}"/>
    <cellStyle name="40% - Accent6 2 5 2 2 2 2 2 2" xfId="31940" xr:uid="{00000000-0005-0000-0000-0000163B0000}"/>
    <cellStyle name="40% - Accent6 2 5 2 2 2 2 3" xfId="27618" xr:uid="{00000000-0005-0000-0000-0000173B0000}"/>
    <cellStyle name="40% - Accent6 2 5 2 2 2 3" xfId="10940" xr:uid="{00000000-0005-0000-0000-0000183B0000}"/>
    <cellStyle name="40% - Accent6 2 5 2 2 2 3 2" xfId="30410" xr:uid="{00000000-0005-0000-0000-0000193B0000}"/>
    <cellStyle name="40% - Accent6 2 5 2 2 2 4" xfId="26009" xr:uid="{00000000-0005-0000-0000-00001A3B0000}"/>
    <cellStyle name="40% - Accent6 2 5 2 2 3" xfId="8133" xr:uid="{00000000-0005-0000-0000-00001B3B0000}"/>
    <cellStyle name="40% - Accent6 2 5 2 2 3 2" xfId="12469" xr:uid="{00000000-0005-0000-0000-00001C3B0000}"/>
    <cellStyle name="40% - Accent6 2 5 2 2 3 2 2" xfId="31939" xr:uid="{00000000-0005-0000-0000-00001D3B0000}"/>
    <cellStyle name="40% - Accent6 2 5 2 2 3 3" xfId="27617" xr:uid="{00000000-0005-0000-0000-00001E3B0000}"/>
    <cellStyle name="40% - Accent6 2 5 2 2 4" xfId="9879" xr:uid="{00000000-0005-0000-0000-00001F3B0000}"/>
    <cellStyle name="40% - Accent6 2 5 2 2 4 2" xfId="29349" xr:uid="{00000000-0005-0000-0000-0000203B0000}"/>
    <cellStyle name="40% - Accent6 2 5 2 2 5" xfId="24887" xr:uid="{00000000-0005-0000-0000-0000213B0000}"/>
    <cellStyle name="40% - Accent6 2 5 2 3" xfId="5987" xr:uid="{00000000-0005-0000-0000-0000223B0000}"/>
    <cellStyle name="40% - Accent6 2 5 2 3 2" xfId="8135" xr:uid="{00000000-0005-0000-0000-0000233B0000}"/>
    <cellStyle name="40% - Accent6 2 5 2 3 2 2" xfId="12471" xr:uid="{00000000-0005-0000-0000-0000243B0000}"/>
    <cellStyle name="40% - Accent6 2 5 2 3 2 2 2" xfId="31941" xr:uid="{00000000-0005-0000-0000-0000253B0000}"/>
    <cellStyle name="40% - Accent6 2 5 2 3 2 3" xfId="27619" xr:uid="{00000000-0005-0000-0000-0000263B0000}"/>
    <cellStyle name="40% - Accent6 2 5 2 3 3" xfId="10409" xr:uid="{00000000-0005-0000-0000-0000273B0000}"/>
    <cellStyle name="40% - Accent6 2 5 2 3 3 2" xfId="29879" xr:uid="{00000000-0005-0000-0000-0000283B0000}"/>
    <cellStyle name="40% - Accent6 2 5 2 3 4" xfId="25472" xr:uid="{00000000-0005-0000-0000-0000293B0000}"/>
    <cellStyle name="40% - Accent6 2 5 2 4" xfId="8132" xr:uid="{00000000-0005-0000-0000-00002A3B0000}"/>
    <cellStyle name="40% - Accent6 2 5 2 4 2" xfId="12468" xr:uid="{00000000-0005-0000-0000-00002B3B0000}"/>
    <cellStyle name="40% - Accent6 2 5 2 4 2 2" xfId="31938" xr:uid="{00000000-0005-0000-0000-00002C3B0000}"/>
    <cellStyle name="40% - Accent6 2 5 2 4 3" xfId="27616" xr:uid="{00000000-0005-0000-0000-00002D3B0000}"/>
    <cellStyle name="40% - Accent6 2 5 2 5" xfId="9349" xr:uid="{00000000-0005-0000-0000-00002E3B0000}"/>
    <cellStyle name="40% - Accent6 2 5 2 5 2" xfId="28819" xr:uid="{00000000-0005-0000-0000-00002F3B0000}"/>
    <cellStyle name="40% - Accent6 2 5 2 6" xfId="24272" xr:uid="{00000000-0005-0000-0000-0000303B0000}"/>
    <cellStyle name="40% - Accent6 2 5 3" xfId="5101" xr:uid="{00000000-0005-0000-0000-0000313B0000}"/>
    <cellStyle name="40% - Accent6 2 5 3 2" xfId="6257" xr:uid="{00000000-0005-0000-0000-0000323B0000}"/>
    <cellStyle name="40% - Accent6 2 5 3 2 2" xfId="8137" xr:uid="{00000000-0005-0000-0000-0000333B0000}"/>
    <cellStyle name="40% - Accent6 2 5 3 2 2 2" xfId="12473" xr:uid="{00000000-0005-0000-0000-0000343B0000}"/>
    <cellStyle name="40% - Accent6 2 5 3 2 2 2 2" xfId="31943" xr:uid="{00000000-0005-0000-0000-0000353B0000}"/>
    <cellStyle name="40% - Accent6 2 5 3 2 2 3" xfId="27621" xr:uid="{00000000-0005-0000-0000-0000363B0000}"/>
    <cellStyle name="40% - Accent6 2 5 3 2 3" xfId="10674" xr:uid="{00000000-0005-0000-0000-0000373B0000}"/>
    <cellStyle name="40% - Accent6 2 5 3 2 3 2" xfId="30144" xr:uid="{00000000-0005-0000-0000-0000383B0000}"/>
    <cellStyle name="40% - Accent6 2 5 3 2 4" xfId="25742" xr:uid="{00000000-0005-0000-0000-0000393B0000}"/>
    <cellStyle name="40% - Accent6 2 5 3 3" xfId="8136" xr:uid="{00000000-0005-0000-0000-00003A3B0000}"/>
    <cellStyle name="40% - Accent6 2 5 3 3 2" xfId="12472" xr:uid="{00000000-0005-0000-0000-00003B3B0000}"/>
    <cellStyle name="40% - Accent6 2 5 3 3 2 2" xfId="31942" xr:uid="{00000000-0005-0000-0000-00003C3B0000}"/>
    <cellStyle name="40% - Accent6 2 5 3 3 3" xfId="27620" xr:uid="{00000000-0005-0000-0000-00003D3B0000}"/>
    <cellStyle name="40% - Accent6 2 5 3 4" xfId="9614" xr:uid="{00000000-0005-0000-0000-00003E3B0000}"/>
    <cellStyle name="40% - Accent6 2 5 3 4 2" xfId="29084" xr:uid="{00000000-0005-0000-0000-00003F3B0000}"/>
    <cellStyle name="40% - Accent6 2 5 3 5" xfId="24592" xr:uid="{00000000-0005-0000-0000-0000403B0000}"/>
    <cellStyle name="40% - Accent6 2 5 4" xfId="5710" xr:uid="{00000000-0005-0000-0000-0000413B0000}"/>
    <cellStyle name="40% - Accent6 2 5 4 2" xfId="8138" xr:uid="{00000000-0005-0000-0000-0000423B0000}"/>
    <cellStyle name="40% - Accent6 2 5 4 2 2" xfId="12474" xr:uid="{00000000-0005-0000-0000-0000433B0000}"/>
    <cellStyle name="40% - Accent6 2 5 4 2 2 2" xfId="31944" xr:uid="{00000000-0005-0000-0000-0000443B0000}"/>
    <cellStyle name="40% - Accent6 2 5 4 2 3" xfId="27622" xr:uid="{00000000-0005-0000-0000-0000453B0000}"/>
    <cellStyle name="40% - Accent6 2 5 4 3" xfId="10144" xr:uid="{00000000-0005-0000-0000-0000463B0000}"/>
    <cellStyle name="40% - Accent6 2 5 4 3 2" xfId="29614" xr:uid="{00000000-0005-0000-0000-0000473B0000}"/>
    <cellStyle name="40% - Accent6 2 5 4 4" xfId="25195" xr:uid="{00000000-0005-0000-0000-0000483B0000}"/>
    <cellStyle name="40% - Accent6 2 5 5" xfId="8131" xr:uid="{00000000-0005-0000-0000-0000493B0000}"/>
    <cellStyle name="40% - Accent6 2 5 5 2" xfId="12467" xr:uid="{00000000-0005-0000-0000-00004A3B0000}"/>
    <cellStyle name="40% - Accent6 2 5 5 2 2" xfId="31937" xr:uid="{00000000-0005-0000-0000-00004B3B0000}"/>
    <cellStyle name="40% - Accent6 2 5 5 3" xfId="27615" xr:uid="{00000000-0005-0000-0000-00004C3B0000}"/>
    <cellStyle name="40% - Accent6 2 5 6" xfId="9083" xr:uid="{00000000-0005-0000-0000-00004D3B0000}"/>
    <cellStyle name="40% - Accent6 2 5 6 2" xfId="28554" xr:uid="{00000000-0005-0000-0000-00004E3B0000}"/>
    <cellStyle name="40% - Accent6 2 5 7" xfId="23969" xr:uid="{00000000-0005-0000-0000-00004F3B0000}"/>
    <cellStyle name="40% - Accent6 3" xfId="2059" xr:uid="{00000000-0005-0000-0000-0000503B0000}"/>
    <cellStyle name="40% - Accent6 3 2" xfId="4162" xr:uid="{00000000-0005-0000-0000-0000513B0000}"/>
    <cellStyle name="40% - Accent6 4" xfId="2104" xr:uid="{00000000-0005-0000-0000-0000523B0000}"/>
    <cellStyle name="40% - Accent6 4 2" xfId="4211" xr:uid="{00000000-0005-0000-0000-0000533B0000}"/>
    <cellStyle name="40% - Accent6 5" xfId="2726" xr:uid="{00000000-0005-0000-0000-0000543B0000}"/>
    <cellStyle name="60% - Accent1" xfId="1318" builtinId="32" customBuiltin="1"/>
    <cellStyle name="60% - Accent1 2" xfId="2060" xr:uid="{00000000-0005-0000-0000-0000563B0000}"/>
    <cellStyle name="60% - Accent1 2 2" xfId="4129" xr:uid="{00000000-0005-0000-0000-0000573B0000}"/>
    <cellStyle name="60% - Accent1 3" xfId="2105" xr:uid="{00000000-0005-0000-0000-0000583B0000}"/>
    <cellStyle name="60% - Accent1 4" xfId="2727" xr:uid="{00000000-0005-0000-0000-0000593B0000}"/>
    <cellStyle name="60% - Accent1 5" xfId="2728" xr:uid="{00000000-0005-0000-0000-00005A3B0000}"/>
    <cellStyle name="60% - Accent2" xfId="1319" builtinId="36" customBuiltin="1"/>
    <cellStyle name="60% - Accent2 2" xfId="2061" xr:uid="{00000000-0005-0000-0000-00005C3B0000}"/>
    <cellStyle name="60% - Accent2 2 2" xfId="4133" xr:uid="{00000000-0005-0000-0000-00005D3B0000}"/>
    <cellStyle name="60% - Accent2 3" xfId="2106" xr:uid="{00000000-0005-0000-0000-00005E3B0000}"/>
    <cellStyle name="60% - Accent2 4" xfId="2729" xr:uid="{00000000-0005-0000-0000-00005F3B0000}"/>
    <cellStyle name="60% - Accent2 5" xfId="2730" xr:uid="{00000000-0005-0000-0000-0000603B0000}"/>
    <cellStyle name="60% - Accent3" xfId="1320" builtinId="40" customBuiltin="1"/>
    <cellStyle name="60% - Accent3 2" xfId="2062" xr:uid="{00000000-0005-0000-0000-0000623B0000}"/>
    <cellStyle name="60% - Accent3 2 2" xfId="4137" xr:uid="{00000000-0005-0000-0000-0000633B0000}"/>
    <cellStyle name="60% - Accent3 3" xfId="2107" xr:uid="{00000000-0005-0000-0000-0000643B0000}"/>
    <cellStyle name="60% - Accent3 4" xfId="2731" xr:uid="{00000000-0005-0000-0000-0000653B0000}"/>
    <cellStyle name="60% - Accent3 5" xfId="2732" xr:uid="{00000000-0005-0000-0000-0000663B0000}"/>
    <cellStyle name="60% - Accent4" xfId="1321" builtinId="44" customBuiltin="1"/>
    <cellStyle name="60% - Accent4 2" xfId="2063" xr:uid="{00000000-0005-0000-0000-0000683B0000}"/>
    <cellStyle name="60% - Accent4 2 2" xfId="4141" xr:uid="{00000000-0005-0000-0000-0000693B0000}"/>
    <cellStyle name="60% - Accent4 3" xfId="2108" xr:uid="{00000000-0005-0000-0000-00006A3B0000}"/>
    <cellStyle name="60% - Accent4 4" xfId="2733" xr:uid="{00000000-0005-0000-0000-00006B3B0000}"/>
    <cellStyle name="60% - Accent4 5" xfId="2734" xr:uid="{00000000-0005-0000-0000-00006C3B0000}"/>
    <cellStyle name="60% - Accent5" xfId="1322" builtinId="48" customBuiltin="1"/>
    <cellStyle name="60% - Accent5 2" xfId="2064" xr:uid="{00000000-0005-0000-0000-00006E3B0000}"/>
    <cellStyle name="60% - Accent5 2 2" xfId="4145" xr:uid="{00000000-0005-0000-0000-00006F3B0000}"/>
    <cellStyle name="60% - Accent5 3" xfId="2109" xr:uid="{00000000-0005-0000-0000-0000703B0000}"/>
    <cellStyle name="60% - Accent5 4" xfId="2735" xr:uid="{00000000-0005-0000-0000-0000713B0000}"/>
    <cellStyle name="60% - Accent5 5" xfId="2736" xr:uid="{00000000-0005-0000-0000-0000723B0000}"/>
    <cellStyle name="60% - Accent6" xfId="1323" builtinId="52" customBuiltin="1"/>
    <cellStyle name="60% - Accent6 2" xfId="2065" xr:uid="{00000000-0005-0000-0000-0000743B0000}"/>
    <cellStyle name="60% - Accent6 2 2" xfId="4149" xr:uid="{00000000-0005-0000-0000-0000753B0000}"/>
    <cellStyle name="60% - Accent6 3" xfId="2110" xr:uid="{00000000-0005-0000-0000-0000763B0000}"/>
    <cellStyle name="60% - Accent6 4" xfId="2737" xr:uid="{00000000-0005-0000-0000-0000773B0000}"/>
    <cellStyle name="60% - Accent6 5" xfId="2738" xr:uid="{00000000-0005-0000-0000-0000783B0000}"/>
    <cellStyle name="752131" xfId="1324" xr:uid="{00000000-0005-0000-0000-0000793B0000}"/>
    <cellStyle name="9" xfId="1325" xr:uid="{00000000-0005-0000-0000-00007A3B0000}"/>
    <cellStyle name="9_Company0187 Model" xfId="1326" xr:uid="{00000000-0005-0000-0000-00007B3B0000}"/>
    <cellStyle name="9_Amortization" xfId="1327" xr:uid="{00000000-0005-0000-0000-00007C3B0000}"/>
    <cellStyle name="9_Amortization_Company0187 Model" xfId="1328" xr:uid="{00000000-0005-0000-0000-00007D3B0000}"/>
    <cellStyle name="9_Amortization_Company0320 DCF" xfId="1329" xr:uid="{00000000-0005-0000-0000-00007E3B0000}"/>
    <cellStyle name="9_Amortization_Company0320 DCF 2" xfId="1961" xr:uid="{00000000-0005-0000-0000-00007F3B0000}"/>
    <cellStyle name="9_Amortization_Company0320 DCF_Sales Model" xfId="1330" xr:uid="{00000000-0005-0000-0000-0000803B0000}"/>
    <cellStyle name="9_Amortization_Company0320 for Client" xfId="1331" xr:uid="{00000000-0005-0000-0000-0000813B0000}"/>
    <cellStyle name="9_Amortization_Company0320 for Client 2" xfId="1962" xr:uid="{00000000-0005-0000-0000-0000823B0000}"/>
    <cellStyle name="9_Amortization_Company0320 for Client_Sales Model" xfId="1332" xr:uid="{00000000-0005-0000-0000-0000833B0000}"/>
    <cellStyle name="9_Amortization_Company0320 working" xfId="1333" xr:uid="{00000000-0005-0000-0000-0000843B0000}"/>
    <cellStyle name="9_Amortization_Company0320 working 2" xfId="1963" xr:uid="{00000000-0005-0000-0000-0000853B0000}"/>
    <cellStyle name="9_Amortization_Company0320 working_Sales Model" xfId="1334" xr:uid="{00000000-0005-0000-0000-0000863B0000}"/>
    <cellStyle name="9_Amortization_Book2" xfId="1335" xr:uid="{00000000-0005-0000-0000-0000873B0000}"/>
    <cellStyle name="9_Amortization_Check" xfId="1336" xr:uid="{00000000-0005-0000-0000-0000883B0000}"/>
    <cellStyle name="9_Amortization_Check 2" xfId="1964" xr:uid="{00000000-0005-0000-0000-0000893B0000}"/>
    <cellStyle name="9_Amortization_Check_Sales Model" xfId="1337" xr:uid="{00000000-0005-0000-0000-00008A3B0000}"/>
    <cellStyle name="9_Amortization_Ticker0018 DCF" xfId="1338" xr:uid="{00000000-0005-0000-0000-00008B3B0000}"/>
    <cellStyle name="9_Amortization_Ticker0018 DCF 2" xfId="1965" xr:uid="{00000000-0005-0000-0000-00008C3B0000}"/>
    <cellStyle name="9_Amortization_Ticker0018 DCF published 8.13.2009" xfId="1339" xr:uid="{00000000-0005-0000-0000-00008D3B0000}"/>
    <cellStyle name="9_Amortization_Ticker0018 DCF published 8.13.2009 2" xfId="1966" xr:uid="{00000000-0005-0000-0000-00008E3B0000}"/>
    <cellStyle name="9_Amortization_Ticker0018 DCF published 8.13.2009_Sales Model" xfId="1340" xr:uid="{00000000-0005-0000-0000-00008F3B0000}"/>
    <cellStyle name="9_Amortization_Ticker0018 DCF_Sales Model" xfId="1341" xr:uid="{00000000-0005-0000-0000-0000903B0000}"/>
    <cellStyle name="9_Amortization_LC Rx trend vs est" xfId="1342" xr:uid="{00000000-0005-0000-0000-0000913B0000}"/>
    <cellStyle name="9_Amortization_LC Rx trend vs est 2" xfId="1967" xr:uid="{00000000-0005-0000-0000-0000923B0000}"/>
    <cellStyle name="9_Amortization_LC Rx trend vs est_Sales Model" xfId="1343" xr:uid="{00000000-0005-0000-0000-0000933B0000}"/>
    <cellStyle name="9_Amortization_Company1562 working" xfId="1344" xr:uid="{00000000-0005-0000-0000-0000943B0000}"/>
    <cellStyle name="9_Amortization_Company1562 working 2" xfId="1968" xr:uid="{00000000-0005-0000-0000-0000953B0000}"/>
    <cellStyle name="9_Amortization_Company1562 working_Sales Model" xfId="1345" xr:uid="{00000000-0005-0000-0000-0000963B0000}"/>
    <cellStyle name="9_Book2" xfId="1346" xr:uid="{00000000-0005-0000-0000-0000973B0000}"/>
    <cellStyle name="A Big heading" xfId="1347" xr:uid="{00000000-0005-0000-0000-0000983B0000}"/>
    <cellStyle name="A body text" xfId="1348" xr:uid="{00000000-0005-0000-0000-0000993B0000}"/>
    <cellStyle name="A smaller heading" xfId="1349" xr:uid="{00000000-0005-0000-0000-00009A3B0000}"/>
    <cellStyle name="A$2places" xfId="1350" xr:uid="{00000000-0005-0000-0000-00009B3B0000}"/>
    <cellStyle name="A$3places" xfId="1351" xr:uid="{00000000-0005-0000-0000-00009C3B0000}"/>
    <cellStyle name="A_Block Space" xfId="1352" xr:uid="{00000000-0005-0000-0000-00009D3B0000}"/>
    <cellStyle name="A_Block Space_Company0187 Model" xfId="1353" xr:uid="{00000000-0005-0000-0000-00009E3B0000}"/>
    <cellStyle name="A_Block Space_Book2" xfId="1354" xr:uid="{00000000-0005-0000-0000-00009F3B0000}"/>
    <cellStyle name="A_BlueLine" xfId="1355" xr:uid="{00000000-0005-0000-0000-0000A03B0000}"/>
    <cellStyle name="A_BlueLine 2" xfId="1969" xr:uid="{00000000-0005-0000-0000-0000A13B0000}"/>
    <cellStyle name="A_BlueLine_CROCI" xfId="1356" xr:uid="{00000000-0005-0000-0000-0000A23B0000}"/>
    <cellStyle name="A_BlueLine_Sales Model" xfId="1357" xr:uid="{00000000-0005-0000-0000-0000A33B0000}"/>
    <cellStyle name="A_Do not Change" xfId="1358" xr:uid="{00000000-0005-0000-0000-0000A43B0000}"/>
    <cellStyle name="A_Estimate" xfId="1359" xr:uid="{00000000-0005-0000-0000-0000A53B0000}"/>
    <cellStyle name="A_Memo" xfId="1360" xr:uid="{00000000-0005-0000-0000-0000A63B0000}"/>
    <cellStyle name="A_Memo 2" xfId="4534" xr:uid="{00000000-0005-0000-0000-0000A73B0000}"/>
    <cellStyle name="A_Memo_Company0187 Model" xfId="1361" xr:uid="{00000000-0005-0000-0000-0000A83B0000}"/>
    <cellStyle name="A_Memo_Company0187 Model 2" xfId="4535" xr:uid="{00000000-0005-0000-0000-0000A93B0000}"/>
    <cellStyle name="A_Memo_Book2" xfId="1362" xr:uid="{00000000-0005-0000-0000-0000AA3B0000}"/>
    <cellStyle name="A_Memo_Book2 2" xfId="4536" xr:uid="{00000000-0005-0000-0000-0000AB3B0000}"/>
    <cellStyle name="A_Normal" xfId="1363" xr:uid="{00000000-0005-0000-0000-0000AC3B0000}"/>
    <cellStyle name="A_Normal 2" xfId="1364" xr:uid="{00000000-0005-0000-0000-0000AD3B0000}"/>
    <cellStyle name="A_Normal Forecast" xfId="1365" xr:uid="{00000000-0005-0000-0000-0000AE3B0000}"/>
    <cellStyle name="A_Normal Forecast_Company0187 Model" xfId="1366" xr:uid="{00000000-0005-0000-0000-0000AF3B0000}"/>
    <cellStyle name="A_Normal Forecast_Book2" xfId="1367" xr:uid="{00000000-0005-0000-0000-0000B03B0000}"/>
    <cellStyle name="A_Normal Historical" xfId="1368" xr:uid="{00000000-0005-0000-0000-0000B13B0000}"/>
    <cellStyle name="A_Normal Historical 2" xfId="4537" xr:uid="{00000000-0005-0000-0000-0000B23B0000}"/>
    <cellStyle name="A_Normal Historical_Company0187 Model" xfId="1369" xr:uid="{00000000-0005-0000-0000-0000B33B0000}"/>
    <cellStyle name="A_Normal Historical_Company0187 Model 2" xfId="4538" xr:uid="{00000000-0005-0000-0000-0000B43B0000}"/>
    <cellStyle name="A_Normal Historical_Book2" xfId="1370" xr:uid="{00000000-0005-0000-0000-0000B53B0000}"/>
    <cellStyle name="A_Normal Historical_Book2 2" xfId="4539" xr:uid="{00000000-0005-0000-0000-0000B63B0000}"/>
    <cellStyle name="A_Normal_Breakup publ" xfId="1371" xr:uid="{00000000-0005-0000-0000-0000B73B0000}"/>
    <cellStyle name="A_Normal_Breakup publ 2" xfId="2518" xr:uid="{00000000-0005-0000-0000-0000B83B0000}"/>
    <cellStyle name="A_Normal_CROCI" xfId="1372" xr:uid="{00000000-0005-0000-0000-0000B93B0000}"/>
    <cellStyle name="A_Normal_Product0146" xfId="1373" xr:uid="{00000000-0005-0000-0000-0000BA3B0000}"/>
    <cellStyle name="A_Normal_Product0146 2" xfId="2519" xr:uid="{00000000-0005-0000-0000-0000BB3B0000}"/>
    <cellStyle name="A_Normal_I-S" xfId="1374" xr:uid="{00000000-0005-0000-0000-0000BC3B0000}"/>
    <cellStyle name="A_Normal_I-S 2" xfId="2520" xr:uid="{00000000-0005-0000-0000-0000BD3B0000}"/>
    <cellStyle name="A_Normal_Company1562 working" xfId="1375" xr:uid="{00000000-0005-0000-0000-0000BE3B0000}"/>
    <cellStyle name="A_Normal_Company1562 working 2" xfId="1970" xr:uid="{00000000-0005-0000-0000-0000BF3B0000}"/>
    <cellStyle name="A_Normal_Company1562 working_Sales Model" xfId="1376" xr:uid="{00000000-0005-0000-0000-0000C03B0000}"/>
    <cellStyle name="A_Normal_MRK working" xfId="1377" xr:uid="{00000000-0005-0000-0000-0000C13B0000}"/>
    <cellStyle name="A_Normal_MRK working 2" xfId="2521" xr:uid="{00000000-0005-0000-0000-0000C23B0000}"/>
    <cellStyle name="A_Normal_Product0305 (2)" xfId="1378" xr:uid="{00000000-0005-0000-0000-0000C33B0000}"/>
    <cellStyle name="A_Normal_Product0305 (2) 2" xfId="2522" xr:uid="{00000000-0005-0000-0000-0000C43B0000}"/>
    <cellStyle name="A_Normal_ROIC New" xfId="1379" xr:uid="{00000000-0005-0000-0000-0000C53B0000}"/>
    <cellStyle name="A_Normal_ROIC New 2" xfId="2523" xr:uid="{00000000-0005-0000-0000-0000C63B0000}"/>
    <cellStyle name="A_Normal_ROIC_New" xfId="1380" xr:uid="{00000000-0005-0000-0000-0000C73B0000}"/>
    <cellStyle name="A_Normal_ROIC_New 2" xfId="1971" xr:uid="{00000000-0005-0000-0000-0000C83B0000}"/>
    <cellStyle name="A_Normal_ROIC_New_CROCI" xfId="1381" xr:uid="{00000000-0005-0000-0000-0000C93B0000}"/>
    <cellStyle name="A_Normal_ROIC_New_Sales Model" xfId="1382" xr:uid="{00000000-0005-0000-0000-0000CA3B0000}"/>
    <cellStyle name="A_Normal_Sales Model" xfId="1383" xr:uid="{00000000-0005-0000-0000-0000CB3B0000}"/>
    <cellStyle name="A_Rate_Data" xfId="1384" xr:uid="{00000000-0005-0000-0000-0000CC3B0000}"/>
    <cellStyle name="A_Rate_Data Historical" xfId="1385" xr:uid="{00000000-0005-0000-0000-0000CD3B0000}"/>
    <cellStyle name="A_Rate_Data Historical_Company0187 Model" xfId="1386" xr:uid="{00000000-0005-0000-0000-0000CE3B0000}"/>
    <cellStyle name="A_Rate_Data Historical_Book2" xfId="1387" xr:uid="{00000000-0005-0000-0000-0000CF3B0000}"/>
    <cellStyle name="A_Rate_Data_Company0187 Model" xfId="1388" xr:uid="{00000000-0005-0000-0000-0000D03B0000}"/>
    <cellStyle name="A_Rate_Data_Book2" xfId="1389" xr:uid="{00000000-0005-0000-0000-0000D13B0000}"/>
    <cellStyle name="A_Rate_Title" xfId="1390" xr:uid="{00000000-0005-0000-0000-0000D23B0000}"/>
    <cellStyle name="A_Rate_Title_Company0187 Model" xfId="1391" xr:uid="{00000000-0005-0000-0000-0000D33B0000}"/>
    <cellStyle name="A_Rate_Title_Book2" xfId="1392" xr:uid="{00000000-0005-0000-0000-0000D43B0000}"/>
    <cellStyle name="A_Simple Title" xfId="1393" xr:uid="{00000000-0005-0000-0000-0000D53B0000}"/>
    <cellStyle name="A_Simple Title 2" xfId="2111" xr:uid="{00000000-0005-0000-0000-0000D63B0000}"/>
    <cellStyle name="A_Simple Title 2 2" xfId="2650" xr:uid="{00000000-0005-0000-0000-0000D73B0000}"/>
    <cellStyle name="A_Simple Title 2 2 2" xfId="4918" xr:uid="{00000000-0005-0000-0000-0000D83B0000}"/>
    <cellStyle name="A_Simple Title 2 2 2 2" xfId="6670" xr:uid="{00000000-0005-0000-0000-0000D93B0000}"/>
    <cellStyle name="A_Simple Title 2 2 2 2 2" xfId="26155" xr:uid="{00000000-0005-0000-0000-0000DA3B0000}"/>
    <cellStyle name="A_Simple Title 2 2 2 3" xfId="24412" xr:uid="{00000000-0005-0000-0000-0000DB3B0000}"/>
    <cellStyle name="A_Simple Title 2 2 3" xfId="5499" xr:uid="{00000000-0005-0000-0000-0000DC3B0000}"/>
    <cellStyle name="A_Simple Title 2 2 3 2" xfId="24987" xr:uid="{00000000-0005-0000-0000-0000DD3B0000}"/>
    <cellStyle name="A_Simple Title 2 2 4" xfId="23543" xr:uid="{00000000-0005-0000-0000-0000DE3B0000}"/>
    <cellStyle name="A_Simple Title 2 3" xfId="13297" xr:uid="{00000000-0005-0000-0000-0000DF3B0000}"/>
    <cellStyle name="A_Simple Title 2 4" xfId="13202" xr:uid="{00000000-0005-0000-0000-0000E03B0000}"/>
    <cellStyle name="A_Simple Title 2 4 2" xfId="32670" xr:uid="{00000000-0005-0000-0000-0000E13B0000}"/>
    <cellStyle name="A_Simple Title 2 5" xfId="20889" xr:uid="{00000000-0005-0000-0000-0000E23B0000}"/>
    <cellStyle name="A_Simple Title 2 5 2" xfId="40234" xr:uid="{00000000-0005-0000-0000-0000E33B0000}"/>
    <cellStyle name="A_Simple Title 2 6" xfId="23476" xr:uid="{00000000-0005-0000-0000-0000E43B0000}"/>
    <cellStyle name="A_Simple Title 3" xfId="2588" xr:uid="{00000000-0005-0000-0000-0000E53B0000}"/>
    <cellStyle name="A_Simple Title 3 10" xfId="20908" xr:uid="{00000000-0005-0000-0000-0000E63B0000}"/>
    <cellStyle name="A_Simple Title 3 10 2" xfId="40253" xr:uid="{00000000-0005-0000-0000-0000E73B0000}"/>
    <cellStyle name="A_Simple Title 3 2" xfId="4174" xr:uid="{00000000-0005-0000-0000-0000E83B0000}"/>
    <cellStyle name="A_Simple Title 3 2 10" xfId="20961" xr:uid="{00000000-0005-0000-0000-0000E93B0000}"/>
    <cellStyle name="A_Simple Title 3 2 10 2" xfId="40303" xr:uid="{00000000-0005-0000-0000-0000EA3B0000}"/>
    <cellStyle name="A_Simple Title 3 2 2" xfId="4720" xr:uid="{00000000-0005-0000-0000-0000EB3B0000}"/>
    <cellStyle name="A_Simple Title 3 2 2 2" xfId="5354" xr:uid="{00000000-0005-0000-0000-0000EC3B0000}"/>
    <cellStyle name="A_Simple Title 3 2 2 2 2" xfId="6693" xr:uid="{00000000-0005-0000-0000-0000ED3B0000}"/>
    <cellStyle name="A_Simple Title 3 2 2 2 2 2" xfId="14682" xr:uid="{00000000-0005-0000-0000-0000EE3B0000}"/>
    <cellStyle name="A_Simple Title 3 2 2 2 2 2 2" xfId="34043" xr:uid="{00000000-0005-0000-0000-0000EF3B0000}"/>
    <cellStyle name="A_Simple Title 3 2 2 2 2 3" xfId="17163" xr:uid="{00000000-0005-0000-0000-0000F03B0000}"/>
    <cellStyle name="A_Simple Title 3 2 2 2 2 3 2" xfId="36517" xr:uid="{00000000-0005-0000-0000-0000F13B0000}"/>
    <cellStyle name="A_Simple Title 3 2 2 2 2 4" xfId="19594" xr:uid="{00000000-0005-0000-0000-0000F23B0000}"/>
    <cellStyle name="A_Simple Title 3 2 2 2 2 4 2" xfId="38947" xr:uid="{00000000-0005-0000-0000-0000F33B0000}"/>
    <cellStyle name="A_Simple Title 3 2 2 2 2 5" xfId="22102" xr:uid="{00000000-0005-0000-0000-0000F43B0000}"/>
    <cellStyle name="A_Simple Title 3 2 2 2 2 5 2" xfId="41444" xr:uid="{00000000-0005-0000-0000-0000F53B0000}"/>
    <cellStyle name="A_Simple Title 3 2 2 2 2 6" xfId="26178" xr:uid="{00000000-0005-0000-0000-0000F63B0000}"/>
    <cellStyle name="A_Simple Title 3 2 2 2 3" xfId="15234" xr:uid="{00000000-0005-0000-0000-0000F73B0000}"/>
    <cellStyle name="A_Simple Title 3 2 2 2 3 2" xfId="17710" xr:uid="{00000000-0005-0000-0000-0000F83B0000}"/>
    <cellStyle name="A_Simple Title 3 2 2 2 3 2 2" xfId="37064" xr:uid="{00000000-0005-0000-0000-0000F93B0000}"/>
    <cellStyle name="A_Simple Title 3 2 2 2 3 3" xfId="20141" xr:uid="{00000000-0005-0000-0000-0000FA3B0000}"/>
    <cellStyle name="A_Simple Title 3 2 2 2 3 3 2" xfId="39494" xr:uid="{00000000-0005-0000-0000-0000FB3B0000}"/>
    <cellStyle name="A_Simple Title 3 2 2 2 3 4" xfId="22654" xr:uid="{00000000-0005-0000-0000-0000FC3B0000}"/>
    <cellStyle name="A_Simple Title 3 2 2 2 3 4 2" xfId="41996" xr:uid="{00000000-0005-0000-0000-0000FD3B0000}"/>
    <cellStyle name="A_Simple Title 3 2 2 2 3 5" xfId="34595" xr:uid="{00000000-0005-0000-0000-0000FE3B0000}"/>
    <cellStyle name="A_Simple Title 3 2 2 2 4" xfId="13887" xr:uid="{00000000-0005-0000-0000-0000FF3B0000}"/>
    <cellStyle name="A_Simple Title 3 2 2 2 4 2" xfId="33251" xr:uid="{00000000-0005-0000-0000-0000003C0000}"/>
    <cellStyle name="A_Simple Title 3 2 2 2 5" xfId="16396" xr:uid="{00000000-0005-0000-0000-0000013C0000}"/>
    <cellStyle name="A_Simple Title 3 2 2 2 5 2" xfId="35750" xr:uid="{00000000-0005-0000-0000-0000023C0000}"/>
    <cellStyle name="A_Simple Title 3 2 2 2 6" xfId="18827" xr:uid="{00000000-0005-0000-0000-0000033C0000}"/>
    <cellStyle name="A_Simple Title 3 2 2 2 6 2" xfId="38180" xr:uid="{00000000-0005-0000-0000-0000043C0000}"/>
    <cellStyle name="A_Simple Title 3 2 2 2 7" xfId="21310" xr:uid="{00000000-0005-0000-0000-0000053C0000}"/>
    <cellStyle name="A_Simple Title 3 2 2 2 7 2" xfId="40652" xr:uid="{00000000-0005-0000-0000-0000063C0000}"/>
    <cellStyle name="A_Simple Title 3 2 2 2 8" xfId="24845" xr:uid="{00000000-0005-0000-0000-0000073C0000}"/>
    <cellStyle name="A_Simple Title 3 2 2 3" xfId="6631" xr:uid="{00000000-0005-0000-0000-0000083C0000}"/>
    <cellStyle name="A_Simple Title 3 2 2 3 2" xfId="14886" xr:uid="{00000000-0005-0000-0000-0000093C0000}"/>
    <cellStyle name="A_Simple Title 3 2 2 3 2 2" xfId="17364" xr:uid="{00000000-0005-0000-0000-00000A3C0000}"/>
    <cellStyle name="A_Simple Title 3 2 2 3 2 2 2" xfId="36718" xr:uid="{00000000-0005-0000-0000-00000B3C0000}"/>
    <cellStyle name="A_Simple Title 3 2 2 3 2 3" xfId="19795" xr:uid="{00000000-0005-0000-0000-00000C3C0000}"/>
    <cellStyle name="A_Simple Title 3 2 2 3 2 3 2" xfId="39148" xr:uid="{00000000-0005-0000-0000-00000D3C0000}"/>
    <cellStyle name="A_Simple Title 3 2 2 3 2 4" xfId="22306" xr:uid="{00000000-0005-0000-0000-00000E3C0000}"/>
    <cellStyle name="A_Simple Title 3 2 2 3 2 4 2" xfId="41648" xr:uid="{00000000-0005-0000-0000-00000F3C0000}"/>
    <cellStyle name="A_Simple Title 3 2 2 3 2 5" xfId="34247" xr:uid="{00000000-0005-0000-0000-0000103C0000}"/>
    <cellStyle name="A_Simple Title 3 2 2 3 3" xfId="15433" xr:uid="{00000000-0005-0000-0000-0000113C0000}"/>
    <cellStyle name="A_Simple Title 3 2 2 3 3 2" xfId="17909" xr:uid="{00000000-0005-0000-0000-0000123C0000}"/>
    <cellStyle name="A_Simple Title 3 2 2 3 3 2 2" xfId="37263" xr:uid="{00000000-0005-0000-0000-0000133C0000}"/>
    <cellStyle name="A_Simple Title 3 2 2 3 3 3" xfId="20340" xr:uid="{00000000-0005-0000-0000-0000143C0000}"/>
    <cellStyle name="A_Simple Title 3 2 2 3 3 3 2" xfId="39693" xr:uid="{00000000-0005-0000-0000-0000153C0000}"/>
    <cellStyle name="A_Simple Title 3 2 2 3 3 4" xfId="22853" xr:uid="{00000000-0005-0000-0000-0000163C0000}"/>
    <cellStyle name="A_Simple Title 3 2 2 3 3 4 2" xfId="42195" xr:uid="{00000000-0005-0000-0000-0000173C0000}"/>
    <cellStyle name="A_Simple Title 3 2 2 3 3 5" xfId="34794" xr:uid="{00000000-0005-0000-0000-0000183C0000}"/>
    <cellStyle name="A_Simple Title 3 2 2 3 4" xfId="15892" xr:uid="{00000000-0005-0000-0000-0000193C0000}"/>
    <cellStyle name="A_Simple Title 3 2 2 3 4 2" xfId="18368" xr:uid="{00000000-0005-0000-0000-00001A3C0000}"/>
    <cellStyle name="A_Simple Title 3 2 2 3 4 2 2" xfId="37722" xr:uid="{00000000-0005-0000-0000-00001B3C0000}"/>
    <cellStyle name="A_Simple Title 3 2 2 3 4 3" xfId="20799" xr:uid="{00000000-0005-0000-0000-00001C3C0000}"/>
    <cellStyle name="A_Simple Title 3 2 2 3 4 3 2" xfId="40152" xr:uid="{00000000-0005-0000-0000-00001D3C0000}"/>
    <cellStyle name="A_Simple Title 3 2 2 3 4 4" xfId="23312" xr:uid="{00000000-0005-0000-0000-00001E3C0000}"/>
    <cellStyle name="A_Simple Title 3 2 2 3 4 4 2" xfId="42654" xr:uid="{00000000-0005-0000-0000-00001F3C0000}"/>
    <cellStyle name="A_Simple Title 3 2 2 3 4 5" xfId="35253" xr:uid="{00000000-0005-0000-0000-0000203C0000}"/>
    <cellStyle name="A_Simple Title 3 2 2 3 5" xfId="14105" xr:uid="{00000000-0005-0000-0000-0000213C0000}"/>
    <cellStyle name="A_Simple Title 3 2 2 3 5 2" xfId="33469" xr:uid="{00000000-0005-0000-0000-0000223C0000}"/>
    <cellStyle name="A_Simple Title 3 2 2 3 6" xfId="16611" xr:uid="{00000000-0005-0000-0000-0000233C0000}"/>
    <cellStyle name="A_Simple Title 3 2 2 3 6 2" xfId="35965" xr:uid="{00000000-0005-0000-0000-0000243C0000}"/>
    <cellStyle name="A_Simple Title 3 2 2 3 7" xfId="19042" xr:uid="{00000000-0005-0000-0000-0000253C0000}"/>
    <cellStyle name="A_Simple Title 3 2 2 3 7 2" xfId="38395" xr:uid="{00000000-0005-0000-0000-0000263C0000}"/>
    <cellStyle name="A_Simple Title 3 2 2 3 8" xfId="21528" xr:uid="{00000000-0005-0000-0000-0000273C0000}"/>
    <cellStyle name="A_Simple Title 3 2 2 3 8 2" xfId="40870" xr:uid="{00000000-0005-0000-0000-0000283C0000}"/>
    <cellStyle name="A_Simple Title 3 2 2 3 9" xfId="26116" xr:uid="{00000000-0005-0000-0000-0000293C0000}"/>
    <cellStyle name="A_Simple Title 3 2 2 4" xfId="14397" xr:uid="{00000000-0005-0000-0000-00002A3C0000}"/>
    <cellStyle name="A_Simple Title 3 2 2 4 2" xfId="16890" xr:uid="{00000000-0005-0000-0000-00002B3C0000}"/>
    <cellStyle name="A_Simple Title 3 2 2 4 2 2" xfId="36244" xr:uid="{00000000-0005-0000-0000-00002C3C0000}"/>
    <cellStyle name="A_Simple Title 3 2 2 4 3" xfId="19321" xr:uid="{00000000-0005-0000-0000-00002D3C0000}"/>
    <cellStyle name="A_Simple Title 3 2 2 4 3 2" xfId="38674" xr:uid="{00000000-0005-0000-0000-00002E3C0000}"/>
    <cellStyle name="A_Simple Title 3 2 2 4 4" xfId="21817" xr:uid="{00000000-0005-0000-0000-00002F3C0000}"/>
    <cellStyle name="A_Simple Title 3 2 2 4 4 2" xfId="41159" xr:uid="{00000000-0005-0000-0000-0000303C0000}"/>
    <cellStyle name="A_Simple Title 3 2 2 4 5" xfId="33758" xr:uid="{00000000-0005-0000-0000-0000313C0000}"/>
    <cellStyle name="A_Simple Title 3 2 2 5" xfId="15027" xr:uid="{00000000-0005-0000-0000-0000323C0000}"/>
    <cellStyle name="A_Simple Title 3 2 2 5 2" xfId="17503" xr:uid="{00000000-0005-0000-0000-0000333C0000}"/>
    <cellStyle name="A_Simple Title 3 2 2 5 2 2" xfId="36857" xr:uid="{00000000-0005-0000-0000-0000343C0000}"/>
    <cellStyle name="A_Simple Title 3 2 2 5 3" xfId="19934" xr:uid="{00000000-0005-0000-0000-0000353C0000}"/>
    <cellStyle name="A_Simple Title 3 2 2 5 3 2" xfId="39287" xr:uid="{00000000-0005-0000-0000-0000363C0000}"/>
    <cellStyle name="A_Simple Title 3 2 2 5 4" xfId="22447" xr:uid="{00000000-0005-0000-0000-0000373C0000}"/>
    <cellStyle name="A_Simple Title 3 2 2 5 4 2" xfId="41789" xr:uid="{00000000-0005-0000-0000-0000383C0000}"/>
    <cellStyle name="A_Simple Title 3 2 2 5 5" xfId="34388" xr:uid="{00000000-0005-0000-0000-0000393C0000}"/>
    <cellStyle name="A_Simple Title 3 2 2 6" xfId="14261" xr:uid="{00000000-0005-0000-0000-00003A3C0000}"/>
    <cellStyle name="A_Simple Title 3 2 2 6 2" xfId="16761" xr:uid="{00000000-0005-0000-0000-00003B3C0000}"/>
    <cellStyle name="A_Simple Title 3 2 2 6 2 2" xfId="36115" xr:uid="{00000000-0005-0000-0000-00003C3C0000}"/>
    <cellStyle name="A_Simple Title 3 2 2 6 3" xfId="19192" xr:uid="{00000000-0005-0000-0000-00003D3C0000}"/>
    <cellStyle name="A_Simple Title 3 2 2 6 3 2" xfId="38545" xr:uid="{00000000-0005-0000-0000-00003E3C0000}"/>
    <cellStyle name="A_Simple Title 3 2 2 6 4" xfId="21682" xr:uid="{00000000-0005-0000-0000-00003F3C0000}"/>
    <cellStyle name="A_Simple Title 3 2 2 6 4 2" xfId="41024" xr:uid="{00000000-0005-0000-0000-0000403C0000}"/>
    <cellStyle name="A_Simple Title 3 2 2 6 5" xfId="33623" xr:uid="{00000000-0005-0000-0000-0000413C0000}"/>
    <cellStyle name="A_Simple Title 3 2 2 7" xfId="13588" xr:uid="{00000000-0005-0000-0000-0000423C0000}"/>
    <cellStyle name="A_Simple Title 3 2 2 7 2" xfId="32954" xr:uid="{00000000-0005-0000-0000-0000433C0000}"/>
    <cellStyle name="A_Simple Title 3 2 2 8" xfId="16117" xr:uid="{00000000-0005-0000-0000-0000443C0000}"/>
    <cellStyle name="A_Simple Title 3 2 2 8 2" xfId="35471" xr:uid="{00000000-0005-0000-0000-0000453C0000}"/>
    <cellStyle name="A_Simple Title 3 2 2 9" xfId="18540" xr:uid="{00000000-0005-0000-0000-0000463C0000}"/>
    <cellStyle name="A_Simple Title 3 2 2 9 2" xfId="37893" xr:uid="{00000000-0005-0000-0000-0000473C0000}"/>
    <cellStyle name="A_Simple Title 3 2 3" xfId="13656" xr:uid="{00000000-0005-0000-0000-0000483C0000}"/>
    <cellStyle name="A_Simple Title 3 2 3 2" xfId="13954" xr:uid="{00000000-0005-0000-0000-0000493C0000}"/>
    <cellStyle name="A_Simple Title 3 2 3 2 2" xfId="14749" xr:uid="{00000000-0005-0000-0000-00004A3C0000}"/>
    <cellStyle name="A_Simple Title 3 2 3 2 2 2" xfId="17227" xr:uid="{00000000-0005-0000-0000-00004B3C0000}"/>
    <cellStyle name="A_Simple Title 3 2 3 2 2 2 2" xfId="36581" xr:uid="{00000000-0005-0000-0000-00004C3C0000}"/>
    <cellStyle name="A_Simple Title 3 2 3 2 2 3" xfId="19658" xr:uid="{00000000-0005-0000-0000-00004D3C0000}"/>
    <cellStyle name="A_Simple Title 3 2 3 2 2 3 2" xfId="39011" xr:uid="{00000000-0005-0000-0000-00004E3C0000}"/>
    <cellStyle name="A_Simple Title 3 2 3 2 2 4" xfId="22169" xr:uid="{00000000-0005-0000-0000-00004F3C0000}"/>
    <cellStyle name="A_Simple Title 3 2 3 2 2 4 2" xfId="41511" xr:uid="{00000000-0005-0000-0000-0000503C0000}"/>
    <cellStyle name="A_Simple Title 3 2 3 2 2 5" xfId="34110" xr:uid="{00000000-0005-0000-0000-0000513C0000}"/>
    <cellStyle name="A_Simple Title 3 2 3 2 3" xfId="15297" xr:uid="{00000000-0005-0000-0000-0000523C0000}"/>
    <cellStyle name="A_Simple Title 3 2 3 2 3 2" xfId="17773" xr:uid="{00000000-0005-0000-0000-0000533C0000}"/>
    <cellStyle name="A_Simple Title 3 2 3 2 3 2 2" xfId="37127" xr:uid="{00000000-0005-0000-0000-0000543C0000}"/>
    <cellStyle name="A_Simple Title 3 2 3 2 3 3" xfId="20204" xr:uid="{00000000-0005-0000-0000-0000553C0000}"/>
    <cellStyle name="A_Simple Title 3 2 3 2 3 3 2" xfId="39557" xr:uid="{00000000-0005-0000-0000-0000563C0000}"/>
    <cellStyle name="A_Simple Title 3 2 3 2 3 4" xfId="22717" xr:uid="{00000000-0005-0000-0000-0000573C0000}"/>
    <cellStyle name="A_Simple Title 3 2 3 2 3 4 2" xfId="42059" xr:uid="{00000000-0005-0000-0000-0000583C0000}"/>
    <cellStyle name="A_Simple Title 3 2 3 2 3 5" xfId="34658" xr:uid="{00000000-0005-0000-0000-0000593C0000}"/>
    <cellStyle name="A_Simple Title 3 2 3 2 4" xfId="15756" xr:uid="{00000000-0005-0000-0000-00005A3C0000}"/>
    <cellStyle name="A_Simple Title 3 2 3 2 4 2" xfId="18232" xr:uid="{00000000-0005-0000-0000-00005B3C0000}"/>
    <cellStyle name="A_Simple Title 3 2 3 2 4 2 2" xfId="37586" xr:uid="{00000000-0005-0000-0000-00005C3C0000}"/>
    <cellStyle name="A_Simple Title 3 2 3 2 4 3" xfId="20663" xr:uid="{00000000-0005-0000-0000-00005D3C0000}"/>
    <cellStyle name="A_Simple Title 3 2 3 2 4 3 2" xfId="40016" xr:uid="{00000000-0005-0000-0000-00005E3C0000}"/>
    <cellStyle name="A_Simple Title 3 2 3 2 4 4" xfId="23176" xr:uid="{00000000-0005-0000-0000-00005F3C0000}"/>
    <cellStyle name="A_Simple Title 3 2 3 2 4 4 2" xfId="42518" xr:uid="{00000000-0005-0000-0000-0000603C0000}"/>
    <cellStyle name="A_Simple Title 3 2 3 2 4 5" xfId="35117" xr:uid="{00000000-0005-0000-0000-0000613C0000}"/>
    <cellStyle name="A_Simple Title 3 2 3 2 5" xfId="16460" xr:uid="{00000000-0005-0000-0000-0000623C0000}"/>
    <cellStyle name="A_Simple Title 3 2 3 2 5 2" xfId="35814" xr:uid="{00000000-0005-0000-0000-0000633C0000}"/>
    <cellStyle name="A_Simple Title 3 2 3 2 6" xfId="18891" xr:uid="{00000000-0005-0000-0000-0000643C0000}"/>
    <cellStyle name="A_Simple Title 3 2 3 2 6 2" xfId="38244" xr:uid="{00000000-0005-0000-0000-0000653C0000}"/>
    <cellStyle name="A_Simple Title 3 2 3 2 7" xfId="21377" xr:uid="{00000000-0005-0000-0000-0000663C0000}"/>
    <cellStyle name="A_Simple Title 3 2 3 2 7 2" xfId="40719" xr:uid="{00000000-0005-0000-0000-0000673C0000}"/>
    <cellStyle name="A_Simple Title 3 2 3 2 8" xfId="33318" xr:uid="{00000000-0005-0000-0000-0000683C0000}"/>
    <cellStyle name="A_Simple Title 3 2 3 3" xfId="14168" xr:uid="{00000000-0005-0000-0000-0000693C0000}"/>
    <cellStyle name="A_Simple Title 3 2 3 3 2" xfId="14945" xr:uid="{00000000-0005-0000-0000-00006A3C0000}"/>
    <cellStyle name="A_Simple Title 3 2 3 3 2 2" xfId="17423" xr:uid="{00000000-0005-0000-0000-00006B3C0000}"/>
    <cellStyle name="A_Simple Title 3 2 3 3 2 2 2" xfId="36777" xr:uid="{00000000-0005-0000-0000-00006C3C0000}"/>
    <cellStyle name="A_Simple Title 3 2 3 3 2 3" xfId="19854" xr:uid="{00000000-0005-0000-0000-00006D3C0000}"/>
    <cellStyle name="A_Simple Title 3 2 3 3 2 3 2" xfId="39207" xr:uid="{00000000-0005-0000-0000-00006E3C0000}"/>
    <cellStyle name="A_Simple Title 3 2 3 3 2 4" xfId="22365" xr:uid="{00000000-0005-0000-0000-00006F3C0000}"/>
    <cellStyle name="A_Simple Title 3 2 3 3 2 4 2" xfId="41707" xr:uid="{00000000-0005-0000-0000-0000703C0000}"/>
    <cellStyle name="A_Simple Title 3 2 3 3 2 5" xfId="34306" xr:uid="{00000000-0005-0000-0000-0000713C0000}"/>
    <cellStyle name="A_Simple Title 3 2 3 3 3" xfId="15491" xr:uid="{00000000-0005-0000-0000-0000723C0000}"/>
    <cellStyle name="A_Simple Title 3 2 3 3 3 2" xfId="17967" xr:uid="{00000000-0005-0000-0000-0000733C0000}"/>
    <cellStyle name="A_Simple Title 3 2 3 3 3 2 2" xfId="37321" xr:uid="{00000000-0005-0000-0000-0000743C0000}"/>
    <cellStyle name="A_Simple Title 3 2 3 3 3 3" xfId="20398" xr:uid="{00000000-0005-0000-0000-0000753C0000}"/>
    <cellStyle name="A_Simple Title 3 2 3 3 3 3 2" xfId="39751" xr:uid="{00000000-0005-0000-0000-0000763C0000}"/>
    <cellStyle name="A_Simple Title 3 2 3 3 3 4" xfId="22911" xr:uid="{00000000-0005-0000-0000-0000773C0000}"/>
    <cellStyle name="A_Simple Title 3 2 3 3 3 4 2" xfId="42253" xr:uid="{00000000-0005-0000-0000-0000783C0000}"/>
    <cellStyle name="A_Simple Title 3 2 3 3 3 5" xfId="34852" xr:uid="{00000000-0005-0000-0000-0000793C0000}"/>
    <cellStyle name="A_Simple Title 3 2 3 3 4" xfId="15950" xr:uid="{00000000-0005-0000-0000-00007A3C0000}"/>
    <cellStyle name="A_Simple Title 3 2 3 3 4 2" xfId="18426" xr:uid="{00000000-0005-0000-0000-00007B3C0000}"/>
    <cellStyle name="A_Simple Title 3 2 3 3 4 2 2" xfId="37780" xr:uid="{00000000-0005-0000-0000-00007C3C0000}"/>
    <cellStyle name="A_Simple Title 3 2 3 3 4 3" xfId="20857" xr:uid="{00000000-0005-0000-0000-00007D3C0000}"/>
    <cellStyle name="A_Simple Title 3 2 3 3 4 3 2" xfId="40210" xr:uid="{00000000-0005-0000-0000-00007E3C0000}"/>
    <cellStyle name="A_Simple Title 3 2 3 3 4 4" xfId="23370" xr:uid="{00000000-0005-0000-0000-00007F3C0000}"/>
    <cellStyle name="A_Simple Title 3 2 3 3 4 4 2" xfId="42712" xr:uid="{00000000-0005-0000-0000-0000803C0000}"/>
    <cellStyle name="A_Simple Title 3 2 3 3 4 5" xfId="35311" xr:uid="{00000000-0005-0000-0000-0000813C0000}"/>
    <cellStyle name="A_Simple Title 3 2 3 3 5" xfId="16674" xr:uid="{00000000-0005-0000-0000-0000823C0000}"/>
    <cellStyle name="A_Simple Title 3 2 3 3 5 2" xfId="36028" xr:uid="{00000000-0005-0000-0000-0000833C0000}"/>
    <cellStyle name="A_Simple Title 3 2 3 3 6" xfId="19105" xr:uid="{00000000-0005-0000-0000-0000843C0000}"/>
    <cellStyle name="A_Simple Title 3 2 3 3 6 2" xfId="38458" xr:uid="{00000000-0005-0000-0000-0000853C0000}"/>
    <cellStyle name="A_Simple Title 3 2 3 3 7" xfId="21591" xr:uid="{00000000-0005-0000-0000-0000863C0000}"/>
    <cellStyle name="A_Simple Title 3 2 3 3 7 2" xfId="40933" xr:uid="{00000000-0005-0000-0000-0000873C0000}"/>
    <cellStyle name="A_Simple Title 3 2 3 3 8" xfId="33532" xr:uid="{00000000-0005-0000-0000-0000883C0000}"/>
    <cellStyle name="A_Simple Title 3 2 3 4" xfId="14464" xr:uid="{00000000-0005-0000-0000-0000893C0000}"/>
    <cellStyle name="A_Simple Title 3 2 3 4 2" xfId="16954" xr:uid="{00000000-0005-0000-0000-00008A3C0000}"/>
    <cellStyle name="A_Simple Title 3 2 3 4 2 2" xfId="36308" xr:uid="{00000000-0005-0000-0000-00008B3C0000}"/>
    <cellStyle name="A_Simple Title 3 2 3 4 3" xfId="19385" xr:uid="{00000000-0005-0000-0000-00008C3C0000}"/>
    <cellStyle name="A_Simple Title 3 2 3 4 3 2" xfId="38738" xr:uid="{00000000-0005-0000-0000-00008D3C0000}"/>
    <cellStyle name="A_Simple Title 3 2 3 4 4" xfId="21884" xr:uid="{00000000-0005-0000-0000-00008E3C0000}"/>
    <cellStyle name="A_Simple Title 3 2 3 4 4 2" xfId="41226" xr:uid="{00000000-0005-0000-0000-00008F3C0000}"/>
    <cellStyle name="A_Simple Title 3 2 3 4 5" xfId="33825" xr:uid="{00000000-0005-0000-0000-0000903C0000}"/>
    <cellStyle name="A_Simple Title 3 2 3 5" xfId="16176" xr:uid="{00000000-0005-0000-0000-0000913C0000}"/>
    <cellStyle name="A_Simple Title 3 2 3 5 2" xfId="35530" xr:uid="{00000000-0005-0000-0000-0000923C0000}"/>
    <cellStyle name="A_Simple Title 3 2 3 6" xfId="18607" xr:uid="{00000000-0005-0000-0000-0000933C0000}"/>
    <cellStyle name="A_Simple Title 3 2 3 6 2" xfId="37960" xr:uid="{00000000-0005-0000-0000-0000943C0000}"/>
    <cellStyle name="A_Simple Title 3 2 3 7" xfId="21081" xr:uid="{00000000-0005-0000-0000-0000953C0000}"/>
    <cellStyle name="A_Simple Title 3 2 3 7 2" xfId="40423" xr:uid="{00000000-0005-0000-0000-0000963C0000}"/>
    <cellStyle name="A_Simple Title 3 2 3 8" xfId="33022" xr:uid="{00000000-0005-0000-0000-0000973C0000}"/>
    <cellStyle name="A_Simple Title 3 2 4" xfId="13774" xr:uid="{00000000-0005-0000-0000-0000983C0000}"/>
    <cellStyle name="A_Simple Title 3 2 4 2" xfId="14573" xr:uid="{00000000-0005-0000-0000-0000993C0000}"/>
    <cellStyle name="A_Simple Title 3 2 4 2 2" xfId="17060" xr:uid="{00000000-0005-0000-0000-00009A3C0000}"/>
    <cellStyle name="A_Simple Title 3 2 4 2 2 2" xfId="36414" xr:uid="{00000000-0005-0000-0000-00009B3C0000}"/>
    <cellStyle name="A_Simple Title 3 2 4 2 3" xfId="19491" xr:uid="{00000000-0005-0000-0000-00009C3C0000}"/>
    <cellStyle name="A_Simple Title 3 2 4 2 3 2" xfId="38844" xr:uid="{00000000-0005-0000-0000-00009D3C0000}"/>
    <cellStyle name="A_Simple Title 3 2 4 2 4" xfId="21993" xr:uid="{00000000-0005-0000-0000-00009E3C0000}"/>
    <cellStyle name="A_Simple Title 3 2 4 2 4 2" xfId="41335" xr:uid="{00000000-0005-0000-0000-00009F3C0000}"/>
    <cellStyle name="A_Simple Title 3 2 4 2 5" xfId="33934" xr:uid="{00000000-0005-0000-0000-0000A03C0000}"/>
    <cellStyle name="A_Simple Title 3 2 4 3" xfId="15133" xr:uid="{00000000-0005-0000-0000-0000A13C0000}"/>
    <cellStyle name="A_Simple Title 3 2 4 3 2" xfId="17609" xr:uid="{00000000-0005-0000-0000-0000A23C0000}"/>
    <cellStyle name="A_Simple Title 3 2 4 3 2 2" xfId="36963" xr:uid="{00000000-0005-0000-0000-0000A33C0000}"/>
    <cellStyle name="A_Simple Title 3 2 4 3 3" xfId="20040" xr:uid="{00000000-0005-0000-0000-0000A43C0000}"/>
    <cellStyle name="A_Simple Title 3 2 4 3 3 2" xfId="39393" xr:uid="{00000000-0005-0000-0000-0000A53C0000}"/>
    <cellStyle name="A_Simple Title 3 2 4 3 4" xfId="22553" xr:uid="{00000000-0005-0000-0000-0000A63C0000}"/>
    <cellStyle name="A_Simple Title 3 2 4 3 4 2" xfId="41895" xr:uid="{00000000-0005-0000-0000-0000A73C0000}"/>
    <cellStyle name="A_Simple Title 3 2 4 3 5" xfId="34494" xr:uid="{00000000-0005-0000-0000-0000A83C0000}"/>
    <cellStyle name="A_Simple Title 3 2 4 4" xfId="15614" xr:uid="{00000000-0005-0000-0000-0000A93C0000}"/>
    <cellStyle name="A_Simple Title 3 2 4 4 2" xfId="18090" xr:uid="{00000000-0005-0000-0000-0000AA3C0000}"/>
    <cellStyle name="A_Simple Title 3 2 4 4 2 2" xfId="37444" xr:uid="{00000000-0005-0000-0000-0000AB3C0000}"/>
    <cellStyle name="A_Simple Title 3 2 4 4 3" xfId="20521" xr:uid="{00000000-0005-0000-0000-0000AC3C0000}"/>
    <cellStyle name="A_Simple Title 3 2 4 4 3 2" xfId="39874" xr:uid="{00000000-0005-0000-0000-0000AD3C0000}"/>
    <cellStyle name="A_Simple Title 3 2 4 4 4" xfId="23034" xr:uid="{00000000-0005-0000-0000-0000AE3C0000}"/>
    <cellStyle name="A_Simple Title 3 2 4 4 4 2" xfId="42376" xr:uid="{00000000-0005-0000-0000-0000AF3C0000}"/>
    <cellStyle name="A_Simple Title 3 2 4 4 5" xfId="34975" xr:uid="{00000000-0005-0000-0000-0000B03C0000}"/>
    <cellStyle name="A_Simple Title 3 2 4 5" xfId="16289" xr:uid="{00000000-0005-0000-0000-0000B13C0000}"/>
    <cellStyle name="A_Simple Title 3 2 4 5 2" xfId="35643" xr:uid="{00000000-0005-0000-0000-0000B23C0000}"/>
    <cellStyle name="A_Simple Title 3 2 4 6" xfId="18720" xr:uid="{00000000-0005-0000-0000-0000B33C0000}"/>
    <cellStyle name="A_Simple Title 3 2 4 6 2" xfId="38073" xr:uid="{00000000-0005-0000-0000-0000B43C0000}"/>
    <cellStyle name="A_Simple Title 3 2 4 7" xfId="21197" xr:uid="{00000000-0005-0000-0000-0000B53C0000}"/>
    <cellStyle name="A_Simple Title 3 2 4 7 2" xfId="40539" xr:uid="{00000000-0005-0000-0000-0000B63C0000}"/>
    <cellStyle name="A_Simple Title 3 2 4 8" xfId="33138" xr:uid="{00000000-0005-0000-0000-0000B73C0000}"/>
    <cellStyle name="A_Simple Title 3 2 5" xfId="14004" xr:uid="{00000000-0005-0000-0000-0000B83C0000}"/>
    <cellStyle name="A_Simple Title 3 2 5 2" xfId="14799" xr:uid="{00000000-0005-0000-0000-0000B93C0000}"/>
    <cellStyle name="A_Simple Title 3 2 5 2 2" xfId="17277" xr:uid="{00000000-0005-0000-0000-0000BA3C0000}"/>
    <cellStyle name="A_Simple Title 3 2 5 2 2 2" xfId="36631" xr:uid="{00000000-0005-0000-0000-0000BB3C0000}"/>
    <cellStyle name="A_Simple Title 3 2 5 2 3" xfId="19708" xr:uid="{00000000-0005-0000-0000-0000BC3C0000}"/>
    <cellStyle name="A_Simple Title 3 2 5 2 3 2" xfId="39061" xr:uid="{00000000-0005-0000-0000-0000BD3C0000}"/>
    <cellStyle name="A_Simple Title 3 2 5 2 4" xfId="22219" xr:uid="{00000000-0005-0000-0000-0000BE3C0000}"/>
    <cellStyle name="A_Simple Title 3 2 5 2 4 2" xfId="41561" xr:uid="{00000000-0005-0000-0000-0000BF3C0000}"/>
    <cellStyle name="A_Simple Title 3 2 5 2 5" xfId="34160" xr:uid="{00000000-0005-0000-0000-0000C03C0000}"/>
    <cellStyle name="A_Simple Title 3 2 5 3" xfId="15347" xr:uid="{00000000-0005-0000-0000-0000C13C0000}"/>
    <cellStyle name="A_Simple Title 3 2 5 3 2" xfId="17823" xr:uid="{00000000-0005-0000-0000-0000C23C0000}"/>
    <cellStyle name="A_Simple Title 3 2 5 3 2 2" xfId="37177" xr:uid="{00000000-0005-0000-0000-0000C33C0000}"/>
    <cellStyle name="A_Simple Title 3 2 5 3 3" xfId="20254" xr:uid="{00000000-0005-0000-0000-0000C43C0000}"/>
    <cellStyle name="A_Simple Title 3 2 5 3 3 2" xfId="39607" xr:uid="{00000000-0005-0000-0000-0000C53C0000}"/>
    <cellStyle name="A_Simple Title 3 2 5 3 4" xfId="22767" xr:uid="{00000000-0005-0000-0000-0000C63C0000}"/>
    <cellStyle name="A_Simple Title 3 2 5 3 4 2" xfId="42109" xr:uid="{00000000-0005-0000-0000-0000C73C0000}"/>
    <cellStyle name="A_Simple Title 3 2 5 3 5" xfId="34708" xr:uid="{00000000-0005-0000-0000-0000C83C0000}"/>
    <cellStyle name="A_Simple Title 3 2 5 4" xfId="15806" xr:uid="{00000000-0005-0000-0000-0000C93C0000}"/>
    <cellStyle name="A_Simple Title 3 2 5 4 2" xfId="18282" xr:uid="{00000000-0005-0000-0000-0000CA3C0000}"/>
    <cellStyle name="A_Simple Title 3 2 5 4 2 2" xfId="37636" xr:uid="{00000000-0005-0000-0000-0000CB3C0000}"/>
    <cellStyle name="A_Simple Title 3 2 5 4 3" xfId="20713" xr:uid="{00000000-0005-0000-0000-0000CC3C0000}"/>
    <cellStyle name="A_Simple Title 3 2 5 4 3 2" xfId="40066" xr:uid="{00000000-0005-0000-0000-0000CD3C0000}"/>
    <cellStyle name="A_Simple Title 3 2 5 4 4" xfId="23226" xr:uid="{00000000-0005-0000-0000-0000CE3C0000}"/>
    <cellStyle name="A_Simple Title 3 2 5 4 4 2" xfId="42568" xr:uid="{00000000-0005-0000-0000-0000CF3C0000}"/>
    <cellStyle name="A_Simple Title 3 2 5 4 5" xfId="35167" xr:uid="{00000000-0005-0000-0000-0000D03C0000}"/>
    <cellStyle name="A_Simple Title 3 2 5 5" xfId="16510" xr:uid="{00000000-0005-0000-0000-0000D13C0000}"/>
    <cellStyle name="A_Simple Title 3 2 5 5 2" xfId="35864" xr:uid="{00000000-0005-0000-0000-0000D23C0000}"/>
    <cellStyle name="A_Simple Title 3 2 5 6" xfId="18941" xr:uid="{00000000-0005-0000-0000-0000D33C0000}"/>
    <cellStyle name="A_Simple Title 3 2 5 6 2" xfId="38294" xr:uid="{00000000-0005-0000-0000-0000D43C0000}"/>
    <cellStyle name="A_Simple Title 3 2 5 7" xfId="21427" xr:uid="{00000000-0005-0000-0000-0000D53C0000}"/>
    <cellStyle name="A_Simple Title 3 2 5 7 2" xfId="40769" xr:uid="{00000000-0005-0000-0000-0000D63C0000}"/>
    <cellStyle name="A_Simple Title 3 2 5 8" xfId="33368" xr:uid="{00000000-0005-0000-0000-0000D73C0000}"/>
    <cellStyle name="A_Simple Title 3 2 6" xfId="14292" xr:uid="{00000000-0005-0000-0000-0000D83C0000}"/>
    <cellStyle name="A_Simple Title 3 2 6 2" xfId="16791" xr:uid="{00000000-0005-0000-0000-0000D93C0000}"/>
    <cellStyle name="A_Simple Title 3 2 6 2 2" xfId="36145" xr:uid="{00000000-0005-0000-0000-0000DA3C0000}"/>
    <cellStyle name="A_Simple Title 3 2 6 3" xfId="19222" xr:uid="{00000000-0005-0000-0000-0000DB3C0000}"/>
    <cellStyle name="A_Simple Title 3 2 6 3 2" xfId="38575" xr:uid="{00000000-0005-0000-0000-0000DC3C0000}"/>
    <cellStyle name="A_Simple Title 3 2 6 4" xfId="21712" xr:uid="{00000000-0005-0000-0000-0000DD3C0000}"/>
    <cellStyle name="A_Simple Title 3 2 6 4 2" xfId="41054" xr:uid="{00000000-0005-0000-0000-0000DE3C0000}"/>
    <cellStyle name="A_Simple Title 3 2 6 5" xfId="33653" xr:uid="{00000000-0005-0000-0000-0000DF3C0000}"/>
    <cellStyle name="A_Simple Title 3 2 7" xfId="13461" xr:uid="{00000000-0005-0000-0000-0000E03C0000}"/>
    <cellStyle name="A_Simple Title 3 2 7 2" xfId="32840" xr:uid="{00000000-0005-0000-0000-0000E13C0000}"/>
    <cellStyle name="A_Simple Title 3 2 8" xfId="16031" xr:uid="{00000000-0005-0000-0000-0000E23C0000}"/>
    <cellStyle name="A_Simple Title 3 2 8 2" xfId="35385" xr:uid="{00000000-0005-0000-0000-0000E33C0000}"/>
    <cellStyle name="A_Simple Title 3 2 9" xfId="13367" xr:uid="{00000000-0005-0000-0000-0000E43C0000}"/>
    <cellStyle name="A_Simple Title 3 2 9 2" xfId="32766" xr:uid="{00000000-0005-0000-0000-0000E53C0000}"/>
    <cellStyle name="A_Simple Title 3 3" xfId="4898" xr:uid="{00000000-0005-0000-0000-0000E63C0000}"/>
    <cellStyle name="A_Simple Title 3 3 10" xfId="20975" xr:uid="{00000000-0005-0000-0000-0000E73C0000}"/>
    <cellStyle name="A_Simple Title 3 3 10 2" xfId="40317" xr:uid="{00000000-0005-0000-0000-0000E83C0000}"/>
    <cellStyle name="A_Simple Title 3 3 11" xfId="24392" xr:uid="{00000000-0005-0000-0000-0000E93C0000}"/>
    <cellStyle name="A_Simple Title 3 3 2" xfId="6650" xr:uid="{00000000-0005-0000-0000-0000EA3C0000}"/>
    <cellStyle name="A_Simple Title 3 3 2 10" xfId="26135" xr:uid="{00000000-0005-0000-0000-0000EB3C0000}"/>
    <cellStyle name="A_Simple Title 3 3 2 2" xfId="13901" xr:uid="{00000000-0005-0000-0000-0000EC3C0000}"/>
    <cellStyle name="A_Simple Title 3 3 2 2 2" xfId="14696" xr:uid="{00000000-0005-0000-0000-0000ED3C0000}"/>
    <cellStyle name="A_Simple Title 3 3 2 2 2 2" xfId="17174" xr:uid="{00000000-0005-0000-0000-0000EE3C0000}"/>
    <cellStyle name="A_Simple Title 3 3 2 2 2 2 2" xfId="36528" xr:uid="{00000000-0005-0000-0000-0000EF3C0000}"/>
    <cellStyle name="A_Simple Title 3 3 2 2 2 3" xfId="19605" xr:uid="{00000000-0005-0000-0000-0000F03C0000}"/>
    <cellStyle name="A_Simple Title 3 3 2 2 2 3 2" xfId="38958" xr:uid="{00000000-0005-0000-0000-0000F13C0000}"/>
    <cellStyle name="A_Simple Title 3 3 2 2 2 4" xfId="22116" xr:uid="{00000000-0005-0000-0000-0000F23C0000}"/>
    <cellStyle name="A_Simple Title 3 3 2 2 2 4 2" xfId="41458" xr:uid="{00000000-0005-0000-0000-0000F33C0000}"/>
    <cellStyle name="A_Simple Title 3 3 2 2 2 5" xfId="34057" xr:uid="{00000000-0005-0000-0000-0000F43C0000}"/>
    <cellStyle name="A_Simple Title 3 3 2 2 3" xfId="15244" xr:uid="{00000000-0005-0000-0000-0000F53C0000}"/>
    <cellStyle name="A_Simple Title 3 3 2 2 3 2" xfId="17720" xr:uid="{00000000-0005-0000-0000-0000F63C0000}"/>
    <cellStyle name="A_Simple Title 3 3 2 2 3 2 2" xfId="37074" xr:uid="{00000000-0005-0000-0000-0000F73C0000}"/>
    <cellStyle name="A_Simple Title 3 3 2 2 3 3" xfId="20151" xr:uid="{00000000-0005-0000-0000-0000F83C0000}"/>
    <cellStyle name="A_Simple Title 3 3 2 2 3 3 2" xfId="39504" xr:uid="{00000000-0005-0000-0000-0000F93C0000}"/>
    <cellStyle name="A_Simple Title 3 3 2 2 3 4" xfId="22664" xr:uid="{00000000-0005-0000-0000-0000FA3C0000}"/>
    <cellStyle name="A_Simple Title 3 3 2 2 3 4 2" xfId="42006" xr:uid="{00000000-0005-0000-0000-0000FB3C0000}"/>
    <cellStyle name="A_Simple Title 3 3 2 2 3 5" xfId="34605" xr:uid="{00000000-0005-0000-0000-0000FC3C0000}"/>
    <cellStyle name="A_Simple Title 3 3 2 2 4" xfId="16407" xr:uid="{00000000-0005-0000-0000-0000FD3C0000}"/>
    <cellStyle name="A_Simple Title 3 3 2 2 4 2" xfId="35761" xr:uid="{00000000-0005-0000-0000-0000FE3C0000}"/>
    <cellStyle name="A_Simple Title 3 3 2 2 5" xfId="18838" xr:uid="{00000000-0005-0000-0000-0000FF3C0000}"/>
    <cellStyle name="A_Simple Title 3 3 2 2 5 2" xfId="38191" xr:uid="{00000000-0005-0000-0000-0000003D0000}"/>
    <cellStyle name="A_Simple Title 3 3 2 2 6" xfId="21324" xr:uid="{00000000-0005-0000-0000-0000013D0000}"/>
    <cellStyle name="A_Simple Title 3 3 2 2 6 2" xfId="40666" xr:uid="{00000000-0005-0000-0000-0000023D0000}"/>
    <cellStyle name="A_Simple Title 3 3 2 2 7" xfId="33265" xr:uid="{00000000-0005-0000-0000-0000033D0000}"/>
    <cellStyle name="A_Simple Title 3 3 2 3" xfId="14116" xr:uid="{00000000-0005-0000-0000-0000043D0000}"/>
    <cellStyle name="A_Simple Title 3 3 2 3 2" xfId="14897" xr:uid="{00000000-0005-0000-0000-0000053D0000}"/>
    <cellStyle name="A_Simple Title 3 3 2 3 2 2" xfId="17375" xr:uid="{00000000-0005-0000-0000-0000063D0000}"/>
    <cellStyle name="A_Simple Title 3 3 2 3 2 2 2" xfId="36729" xr:uid="{00000000-0005-0000-0000-0000073D0000}"/>
    <cellStyle name="A_Simple Title 3 3 2 3 2 3" xfId="19806" xr:uid="{00000000-0005-0000-0000-0000083D0000}"/>
    <cellStyle name="A_Simple Title 3 3 2 3 2 3 2" xfId="39159" xr:uid="{00000000-0005-0000-0000-0000093D0000}"/>
    <cellStyle name="A_Simple Title 3 3 2 3 2 4" xfId="22317" xr:uid="{00000000-0005-0000-0000-00000A3D0000}"/>
    <cellStyle name="A_Simple Title 3 3 2 3 2 4 2" xfId="41659" xr:uid="{00000000-0005-0000-0000-00000B3D0000}"/>
    <cellStyle name="A_Simple Title 3 3 2 3 2 5" xfId="34258" xr:uid="{00000000-0005-0000-0000-00000C3D0000}"/>
    <cellStyle name="A_Simple Title 3 3 2 3 3" xfId="15444" xr:uid="{00000000-0005-0000-0000-00000D3D0000}"/>
    <cellStyle name="A_Simple Title 3 3 2 3 3 2" xfId="17920" xr:uid="{00000000-0005-0000-0000-00000E3D0000}"/>
    <cellStyle name="A_Simple Title 3 3 2 3 3 2 2" xfId="37274" xr:uid="{00000000-0005-0000-0000-00000F3D0000}"/>
    <cellStyle name="A_Simple Title 3 3 2 3 3 3" xfId="20351" xr:uid="{00000000-0005-0000-0000-0000103D0000}"/>
    <cellStyle name="A_Simple Title 3 3 2 3 3 3 2" xfId="39704" xr:uid="{00000000-0005-0000-0000-0000113D0000}"/>
    <cellStyle name="A_Simple Title 3 3 2 3 3 4" xfId="22864" xr:uid="{00000000-0005-0000-0000-0000123D0000}"/>
    <cellStyle name="A_Simple Title 3 3 2 3 3 4 2" xfId="42206" xr:uid="{00000000-0005-0000-0000-0000133D0000}"/>
    <cellStyle name="A_Simple Title 3 3 2 3 3 5" xfId="34805" xr:uid="{00000000-0005-0000-0000-0000143D0000}"/>
    <cellStyle name="A_Simple Title 3 3 2 3 4" xfId="15903" xr:uid="{00000000-0005-0000-0000-0000153D0000}"/>
    <cellStyle name="A_Simple Title 3 3 2 3 4 2" xfId="18379" xr:uid="{00000000-0005-0000-0000-0000163D0000}"/>
    <cellStyle name="A_Simple Title 3 3 2 3 4 2 2" xfId="37733" xr:uid="{00000000-0005-0000-0000-0000173D0000}"/>
    <cellStyle name="A_Simple Title 3 3 2 3 4 3" xfId="20810" xr:uid="{00000000-0005-0000-0000-0000183D0000}"/>
    <cellStyle name="A_Simple Title 3 3 2 3 4 3 2" xfId="40163" xr:uid="{00000000-0005-0000-0000-0000193D0000}"/>
    <cellStyle name="A_Simple Title 3 3 2 3 4 4" xfId="23323" xr:uid="{00000000-0005-0000-0000-00001A3D0000}"/>
    <cellStyle name="A_Simple Title 3 3 2 3 4 4 2" xfId="42665" xr:uid="{00000000-0005-0000-0000-00001B3D0000}"/>
    <cellStyle name="A_Simple Title 3 3 2 3 4 5" xfId="35264" xr:uid="{00000000-0005-0000-0000-00001C3D0000}"/>
    <cellStyle name="A_Simple Title 3 3 2 3 5" xfId="16622" xr:uid="{00000000-0005-0000-0000-00001D3D0000}"/>
    <cellStyle name="A_Simple Title 3 3 2 3 5 2" xfId="35976" xr:uid="{00000000-0005-0000-0000-00001E3D0000}"/>
    <cellStyle name="A_Simple Title 3 3 2 3 6" xfId="19053" xr:uid="{00000000-0005-0000-0000-00001F3D0000}"/>
    <cellStyle name="A_Simple Title 3 3 2 3 6 2" xfId="38406" xr:uid="{00000000-0005-0000-0000-0000203D0000}"/>
    <cellStyle name="A_Simple Title 3 3 2 3 7" xfId="21539" xr:uid="{00000000-0005-0000-0000-0000213D0000}"/>
    <cellStyle name="A_Simple Title 3 3 2 3 7 2" xfId="40881" xr:uid="{00000000-0005-0000-0000-0000223D0000}"/>
    <cellStyle name="A_Simple Title 3 3 2 3 8" xfId="33480" xr:uid="{00000000-0005-0000-0000-0000233D0000}"/>
    <cellStyle name="A_Simple Title 3 3 2 4" xfId="14411" xr:uid="{00000000-0005-0000-0000-0000243D0000}"/>
    <cellStyle name="A_Simple Title 3 3 2 4 2" xfId="16901" xr:uid="{00000000-0005-0000-0000-0000253D0000}"/>
    <cellStyle name="A_Simple Title 3 3 2 4 2 2" xfId="36255" xr:uid="{00000000-0005-0000-0000-0000263D0000}"/>
    <cellStyle name="A_Simple Title 3 3 2 4 3" xfId="19332" xr:uid="{00000000-0005-0000-0000-0000273D0000}"/>
    <cellStyle name="A_Simple Title 3 3 2 4 3 2" xfId="38685" xr:uid="{00000000-0005-0000-0000-0000283D0000}"/>
    <cellStyle name="A_Simple Title 3 3 2 4 4" xfId="21831" xr:uid="{00000000-0005-0000-0000-0000293D0000}"/>
    <cellStyle name="A_Simple Title 3 3 2 4 4 2" xfId="41173" xr:uid="{00000000-0005-0000-0000-00002A3D0000}"/>
    <cellStyle name="A_Simple Title 3 3 2 4 5" xfId="33772" xr:uid="{00000000-0005-0000-0000-00002B3D0000}"/>
    <cellStyle name="A_Simple Title 3 3 2 5" xfId="15038" xr:uid="{00000000-0005-0000-0000-00002C3D0000}"/>
    <cellStyle name="A_Simple Title 3 3 2 5 2" xfId="17514" xr:uid="{00000000-0005-0000-0000-00002D3D0000}"/>
    <cellStyle name="A_Simple Title 3 3 2 5 2 2" xfId="36868" xr:uid="{00000000-0005-0000-0000-00002E3D0000}"/>
    <cellStyle name="A_Simple Title 3 3 2 5 3" xfId="19945" xr:uid="{00000000-0005-0000-0000-00002F3D0000}"/>
    <cellStyle name="A_Simple Title 3 3 2 5 3 2" xfId="39298" xr:uid="{00000000-0005-0000-0000-0000303D0000}"/>
    <cellStyle name="A_Simple Title 3 3 2 5 4" xfId="22458" xr:uid="{00000000-0005-0000-0000-0000313D0000}"/>
    <cellStyle name="A_Simple Title 3 3 2 5 4 2" xfId="41800" xr:uid="{00000000-0005-0000-0000-0000323D0000}"/>
    <cellStyle name="A_Simple Title 3 3 2 5 5" xfId="34399" xr:uid="{00000000-0005-0000-0000-0000333D0000}"/>
    <cellStyle name="A_Simple Title 3 3 2 6" xfId="14266" xr:uid="{00000000-0005-0000-0000-0000343D0000}"/>
    <cellStyle name="A_Simple Title 3 3 2 6 2" xfId="16766" xr:uid="{00000000-0005-0000-0000-0000353D0000}"/>
    <cellStyle name="A_Simple Title 3 3 2 6 2 2" xfId="36120" xr:uid="{00000000-0005-0000-0000-0000363D0000}"/>
    <cellStyle name="A_Simple Title 3 3 2 6 3" xfId="19197" xr:uid="{00000000-0005-0000-0000-0000373D0000}"/>
    <cellStyle name="A_Simple Title 3 3 2 6 3 2" xfId="38550" xr:uid="{00000000-0005-0000-0000-0000383D0000}"/>
    <cellStyle name="A_Simple Title 3 3 2 6 4" xfId="21687" xr:uid="{00000000-0005-0000-0000-0000393D0000}"/>
    <cellStyle name="A_Simple Title 3 3 2 6 4 2" xfId="41029" xr:uid="{00000000-0005-0000-0000-00003A3D0000}"/>
    <cellStyle name="A_Simple Title 3 3 2 6 5" xfId="33628" xr:uid="{00000000-0005-0000-0000-00003B3D0000}"/>
    <cellStyle name="A_Simple Title 3 3 2 7" xfId="13600" xr:uid="{00000000-0005-0000-0000-00003C3D0000}"/>
    <cellStyle name="A_Simple Title 3 3 2 7 2" xfId="32966" xr:uid="{00000000-0005-0000-0000-00003D3D0000}"/>
    <cellStyle name="A_Simple Title 3 3 2 8" xfId="16128" xr:uid="{00000000-0005-0000-0000-00003E3D0000}"/>
    <cellStyle name="A_Simple Title 3 3 2 8 2" xfId="35482" xr:uid="{00000000-0005-0000-0000-00003F3D0000}"/>
    <cellStyle name="A_Simple Title 3 3 2 9" xfId="18551" xr:uid="{00000000-0005-0000-0000-0000403D0000}"/>
    <cellStyle name="A_Simple Title 3 3 2 9 2" xfId="37904" xr:uid="{00000000-0005-0000-0000-0000413D0000}"/>
    <cellStyle name="A_Simple Title 3 3 3" xfId="13667" xr:uid="{00000000-0005-0000-0000-0000423D0000}"/>
    <cellStyle name="A_Simple Title 3 3 3 2" xfId="13965" xr:uid="{00000000-0005-0000-0000-0000433D0000}"/>
    <cellStyle name="A_Simple Title 3 3 3 2 2" xfId="14760" xr:uid="{00000000-0005-0000-0000-0000443D0000}"/>
    <cellStyle name="A_Simple Title 3 3 3 2 2 2" xfId="17238" xr:uid="{00000000-0005-0000-0000-0000453D0000}"/>
    <cellStyle name="A_Simple Title 3 3 3 2 2 2 2" xfId="36592" xr:uid="{00000000-0005-0000-0000-0000463D0000}"/>
    <cellStyle name="A_Simple Title 3 3 3 2 2 3" xfId="19669" xr:uid="{00000000-0005-0000-0000-0000473D0000}"/>
    <cellStyle name="A_Simple Title 3 3 3 2 2 3 2" xfId="39022" xr:uid="{00000000-0005-0000-0000-0000483D0000}"/>
    <cellStyle name="A_Simple Title 3 3 3 2 2 4" xfId="22180" xr:uid="{00000000-0005-0000-0000-0000493D0000}"/>
    <cellStyle name="A_Simple Title 3 3 3 2 2 4 2" xfId="41522" xr:uid="{00000000-0005-0000-0000-00004A3D0000}"/>
    <cellStyle name="A_Simple Title 3 3 3 2 2 5" xfId="34121" xr:uid="{00000000-0005-0000-0000-00004B3D0000}"/>
    <cellStyle name="A_Simple Title 3 3 3 2 3" xfId="15308" xr:uid="{00000000-0005-0000-0000-00004C3D0000}"/>
    <cellStyle name="A_Simple Title 3 3 3 2 3 2" xfId="17784" xr:uid="{00000000-0005-0000-0000-00004D3D0000}"/>
    <cellStyle name="A_Simple Title 3 3 3 2 3 2 2" xfId="37138" xr:uid="{00000000-0005-0000-0000-00004E3D0000}"/>
    <cellStyle name="A_Simple Title 3 3 3 2 3 3" xfId="20215" xr:uid="{00000000-0005-0000-0000-00004F3D0000}"/>
    <cellStyle name="A_Simple Title 3 3 3 2 3 3 2" xfId="39568" xr:uid="{00000000-0005-0000-0000-0000503D0000}"/>
    <cellStyle name="A_Simple Title 3 3 3 2 3 4" xfId="22728" xr:uid="{00000000-0005-0000-0000-0000513D0000}"/>
    <cellStyle name="A_Simple Title 3 3 3 2 3 4 2" xfId="42070" xr:uid="{00000000-0005-0000-0000-0000523D0000}"/>
    <cellStyle name="A_Simple Title 3 3 3 2 3 5" xfId="34669" xr:uid="{00000000-0005-0000-0000-0000533D0000}"/>
    <cellStyle name="A_Simple Title 3 3 3 2 4" xfId="15767" xr:uid="{00000000-0005-0000-0000-0000543D0000}"/>
    <cellStyle name="A_Simple Title 3 3 3 2 4 2" xfId="18243" xr:uid="{00000000-0005-0000-0000-0000553D0000}"/>
    <cellStyle name="A_Simple Title 3 3 3 2 4 2 2" xfId="37597" xr:uid="{00000000-0005-0000-0000-0000563D0000}"/>
    <cellStyle name="A_Simple Title 3 3 3 2 4 3" xfId="20674" xr:uid="{00000000-0005-0000-0000-0000573D0000}"/>
    <cellStyle name="A_Simple Title 3 3 3 2 4 3 2" xfId="40027" xr:uid="{00000000-0005-0000-0000-0000583D0000}"/>
    <cellStyle name="A_Simple Title 3 3 3 2 4 4" xfId="23187" xr:uid="{00000000-0005-0000-0000-0000593D0000}"/>
    <cellStyle name="A_Simple Title 3 3 3 2 4 4 2" xfId="42529" xr:uid="{00000000-0005-0000-0000-00005A3D0000}"/>
    <cellStyle name="A_Simple Title 3 3 3 2 4 5" xfId="35128" xr:uid="{00000000-0005-0000-0000-00005B3D0000}"/>
    <cellStyle name="A_Simple Title 3 3 3 2 5" xfId="16471" xr:uid="{00000000-0005-0000-0000-00005C3D0000}"/>
    <cellStyle name="A_Simple Title 3 3 3 2 5 2" xfId="35825" xr:uid="{00000000-0005-0000-0000-00005D3D0000}"/>
    <cellStyle name="A_Simple Title 3 3 3 2 6" xfId="18902" xr:uid="{00000000-0005-0000-0000-00005E3D0000}"/>
    <cellStyle name="A_Simple Title 3 3 3 2 6 2" xfId="38255" xr:uid="{00000000-0005-0000-0000-00005F3D0000}"/>
    <cellStyle name="A_Simple Title 3 3 3 2 7" xfId="21388" xr:uid="{00000000-0005-0000-0000-0000603D0000}"/>
    <cellStyle name="A_Simple Title 3 3 3 2 7 2" xfId="40730" xr:uid="{00000000-0005-0000-0000-0000613D0000}"/>
    <cellStyle name="A_Simple Title 3 3 3 2 8" xfId="33329" xr:uid="{00000000-0005-0000-0000-0000623D0000}"/>
    <cellStyle name="A_Simple Title 3 3 3 3" xfId="14178" xr:uid="{00000000-0005-0000-0000-0000633D0000}"/>
    <cellStyle name="A_Simple Title 3 3 3 3 2" xfId="14955" xr:uid="{00000000-0005-0000-0000-0000643D0000}"/>
    <cellStyle name="A_Simple Title 3 3 3 3 2 2" xfId="17433" xr:uid="{00000000-0005-0000-0000-0000653D0000}"/>
    <cellStyle name="A_Simple Title 3 3 3 3 2 2 2" xfId="36787" xr:uid="{00000000-0005-0000-0000-0000663D0000}"/>
    <cellStyle name="A_Simple Title 3 3 3 3 2 3" xfId="19864" xr:uid="{00000000-0005-0000-0000-0000673D0000}"/>
    <cellStyle name="A_Simple Title 3 3 3 3 2 3 2" xfId="39217" xr:uid="{00000000-0005-0000-0000-0000683D0000}"/>
    <cellStyle name="A_Simple Title 3 3 3 3 2 4" xfId="22375" xr:uid="{00000000-0005-0000-0000-0000693D0000}"/>
    <cellStyle name="A_Simple Title 3 3 3 3 2 4 2" xfId="41717" xr:uid="{00000000-0005-0000-0000-00006A3D0000}"/>
    <cellStyle name="A_Simple Title 3 3 3 3 2 5" xfId="34316" xr:uid="{00000000-0005-0000-0000-00006B3D0000}"/>
    <cellStyle name="A_Simple Title 3 3 3 3 3" xfId="15501" xr:uid="{00000000-0005-0000-0000-00006C3D0000}"/>
    <cellStyle name="A_Simple Title 3 3 3 3 3 2" xfId="17977" xr:uid="{00000000-0005-0000-0000-00006D3D0000}"/>
    <cellStyle name="A_Simple Title 3 3 3 3 3 2 2" xfId="37331" xr:uid="{00000000-0005-0000-0000-00006E3D0000}"/>
    <cellStyle name="A_Simple Title 3 3 3 3 3 3" xfId="20408" xr:uid="{00000000-0005-0000-0000-00006F3D0000}"/>
    <cellStyle name="A_Simple Title 3 3 3 3 3 3 2" xfId="39761" xr:uid="{00000000-0005-0000-0000-0000703D0000}"/>
    <cellStyle name="A_Simple Title 3 3 3 3 3 4" xfId="22921" xr:uid="{00000000-0005-0000-0000-0000713D0000}"/>
    <cellStyle name="A_Simple Title 3 3 3 3 3 4 2" xfId="42263" xr:uid="{00000000-0005-0000-0000-0000723D0000}"/>
    <cellStyle name="A_Simple Title 3 3 3 3 3 5" xfId="34862" xr:uid="{00000000-0005-0000-0000-0000733D0000}"/>
    <cellStyle name="A_Simple Title 3 3 3 3 4" xfId="15960" xr:uid="{00000000-0005-0000-0000-0000743D0000}"/>
    <cellStyle name="A_Simple Title 3 3 3 3 4 2" xfId="18436" xr:uid="{00000000-0005-0000-0000-0000753D0000}"/>
    <cellStyle name="A_Simple Title 3 3 3 3 4 2 2" xfId="37790" xr:uid="{00000000-0005-0000-0000-0000763D0000}"/>
    <cellStyle name="A_Simple Title 3 3 3 3 4 3" xfId="20867" xr:uid="{00000000-0005-0000-0000-0000773D0000}"/>
    <cellStyle name="A_Simple Title 3 3 3 3 4 3 2" xfId="40220" xr:uid="{00000000-0005-0000-0000-0000783D0000}"/>
    <cellStyle name="A_Simple Title 3 3 3 3 4 4" xfId="23380" xr:uid="{00000000-0005-0000-0000-0000793D0000}"/>
    <cellStyle name="A_Simple Title 3 3 3 3 4 4 2" xfId="42722" xr:uid="{00000000-0005-0000-0000-00007A3D0000}"/>
    <cellStyle name="A_Simple Title 3 3 3 3 4 5" xfId="35321" xr:uid="{00000000-0005-0000-0000-00007B3D0000}"/>
    <cellStyle name="A_Simple Title 3 3 3 3 5" xfId="16684" xr:uid="{00000000-0005-0000-0000-00007C3D0000}"/>
    <cellStyle name="A_Simple Title 3 3 3 3 5 2" xfId="36038" xr:uid="{00000000-0005-0000-0000-00007D3D0000}"/>
    <cellStyle name="A_Simple Title 3 3 3 3 6" xfId="19115" xr:uid="{00000000-0005-0000-0000-00007E3D0000}"/>
    <cellStyle name="A_Simple Title 3 3 3 3 6 2" xfId="38468" xr:uid="{00000000-0005-0000-0000-00007F3D0000}"/>
    <cellStyle name="A_Simple Title 3 3 3 3 7" xfId="21601" xr:uid="{00000000-0005-0000-0000-0000803D0000}"/>
    <cellStyle name="A_Simple Title 3 3 3 3 7 2" xfId="40943" xr:uid="{00000000-0005-0000-0000-0000813D0000}"/>
    <cellStyle name="A_Simple Title 3 3 3 3 8" xfId="33542" xr:uid="{00000000-0005-0000-0000-0000823D0000}"/>
    <cellStyle name="A_Simple Title 3 3 3 4" xfId="14475" xr:uid="{00000000-0005-0000-0000-0000833D0000}"/>
    <cellStyle name="A_Simple Title 3 3 3 4 2" xfId="16965" xr:uid="{00000000-0005-0000-0000-0000843D0000}"/>
    <cellStyle name="A_Simple Title 3 3 3 4 2 2" xfId="36319" xr:uid="{00000000-0005-0000-0000-0000853D0000}"/>
    <cellStyle name="A_Simple Title 3 3 3 4 3" xfId="19396" xr:uid="{00000000-0005-0000-0000-0000863D0000}"/>
    <cellStyle name="A_Simple Title 3 3 3 4 3 2" xfId="38749" xr:uid="{00000000-0005-0000-0000-0000873D0000}"/>
    <cellStyle name="A_Simple Title 3 3 3 4 4" xfId="21895" xr:uid="{00000000-0005-0000-0000-0000883D0000}"/>
    <cellStyle name="A_Simple Title 3 3 3 4 4 2" xfId="41237" xr:uid="{00000000-0005-0000-0000-0000893D0000}"/>
    <cellStyle name="A_Simple Title 3 3 3 4 5" xfId="33836" xr:uid="{00000000-0005-0000-0000-00008A3D0000}"/>
    <cellStyle name="A_Simple Title 3 3 3 5" xfId="16187" xr:uid="{00000000-0005-0000-0000-00008B3D0000}"/>
    <cellStyle name="A_Simple Title 3 3 3 5 2" xfId="35541" xr:uid="{00000000-0005-0000-0000-00008C3D0000}"/>
    <cellStyle name="A_Simple Title 3 3 3 6" xfId="18618" xr:uid="{00000000-0005-0000-0000-00008D3D0000}"/>
    <cellStyle name="A_Simple Title 3 3 3 6 2" xfId="37971" xr:uid="{00000000-0005-0000-0000-00008E3D0000}"/>
    <cellStyle name="A_Simple Title 3 3 3 7" xfId="21092" xr:uid="{00000000-0005-0000-0000-00008F3D0000}"/>
    <cellStyle name="A_Simple Title 3 3 3 7 2" xfId="40434" xr:uid="{00000000-0005-0000-0000-0000903D0000}"/>
    <cellStyle name="A_Simple Title 3 3 3 8" xfId="33033" xr:uid="{00000000-0005-0000-0000-0000913D0000}"/>
    <cellStyle name="A_Simple Title 3 3 4" xfId="13788" xr:uid="{00000000-0005-0000-0000-0000923D0000}"/>
    <cellStyle name="A_Simple Title 3 3 4 2" xfId="14587" xr:uid="{00000000-0005-0000-0000-0000933D0000}"/>
    <cellStyle name="A_Simple Title 3 3 4 2 2" xfId="17071" xr:uid="{00000000-0005-0000-0000-0000943D0000}"/>
    <cellStyle name="A_Simple Title 3 3 4 2 2 2" xfId="36425" xr:uid="{00000000-0005-0000-0000-0000953D0000}"/>
    <cellStyle name="A_Simple Title 3 3 4 2 3" xfId="19502" xr:uid="{00000000-0005-0000-0000-0000963D0000}"/>
    <cellStyle name="A_Simple Title 3 3 4 2 3 2" xfId="38855" xr:uid="{00000000-0005-0000-0000-0000973D0000}"/>
    <cellStyle name="A_Simple Title 3 3 4 2 4" xfId="22007" xr:uid="{00000000-0005-0000-0000-0000983D0000}"/>
    <cellStyle name="A_Simple Title 3 3 4 2 4 2" xfId="41349" xr:uid="{00000000-0005-0000-0000-0000993D0000}"/>
    <cellStyle name="A_Simple Title 3 3 4 2 5" xfId="33948" xr:uid="{00000000-0005-0000-0000-00009A3D0000}"/>
    <cellStyle name="A_Simple Title 3 3 4 3" xfId="15144" xr:uid="{00000000-0005-0000-0000-00009B3D0000}"/>
    <cellStyle name="A_Simple Title 3 3 4 3 2" xfId="17620" xr:uid="{00000000-0005-0000-0000-00009C3D0000}"/>
    <cellStyle name="A_Simple Title 3 3 4 3 2 2" xfId="36974" xr:uid="{00000000-0005-0000-0000-00009D3D0000}"/>
    <cellStyle name="A_Simple Title 3 3 4 3 3" xfId="20051" xr:uid="{00000000-0005-0000-0000-00009E3D0000}"/>
    <cellStyle name="A_Simple Title 3 3 4 3 3 2" xfId="39404" xr:uid="{00000000-0005-0000-0000-00009F3D0000}"/>
    <cellStyle name="A_Simple Title 3 3 4 3 4" xfId="22564" xr:uid="{00000000-0005-0000-0000-0000A03D0000}"/>
    <cellStyle name="A_Simple Title 3 3 4 3 4 2" xfId="41906" xr:uid="{00000000-0005-0000-0000-0000A13D0000}"/>
    <cellStyle name="A_Simple Title 3 3 4 3 5" xfId="34505" xr:uid="{00000000-0005-0000-0000-0000A23D0000}"/>
    <cellStyle name="A_Simple Title 3 3 4 4" xfId="15625" xr:uid="{00000000-0005-0000-0000-0000A33D0000}"/>
    <cellStyle name="A_Simple Title 3 3 4 4 2" xfId="18101" xr:uid="{00000000-0005-0000-0000-0000A43D0000}"/>
    <cellStyle name="A_Simple Title 3 3 4 4 2 2" xfId="37455" xr:uid="{00000000-0005-0000-0000-0000A53D0000}"/>
    <cellStyle name="A_Simple Title 3 3 4 4 3" xfId="20532" xr:uid="{00000000-0005-0000-0000-0000A63D0000}"/>
    <cellStyle name="A_Simple Title 3 3 4 4 3 2" xfId="39885" xr:uid="{00000000-0005-0000-0000-0000A73D0000}"/>
    <cellStyle name="A_Simple Title 3 3 4 4 4" xfId="23045" xr:uid="{00000000-0005-0000-0000-0000A83D0000}"/>
    <cellStyle name="A_Simple Title 3 3 4 4 4 2" xfId="42387" xr:uid="{00000000-0005-0000-0000-0000A93D0000}"/>
    <cellStyle name="A_Simple Title 3 3 4 4 5" xfId="34986" xr:uid="{00000000-0005-0000-0000-0000AA3D0000}"/>
    <cellStyle name="A_Simple Title 3 3 4 5" xfId="16300" xr:uid="{00000000-0005-0000-0000-0000AB3D0000}"/>
    <cellStyle name="A_Simple Title 3 3 4 5 2" xfId="35654" xr:uid="{00000000-0005-0000-0000-0000AC3D0000}"/>
    <cellStyle name="A_Simple Title 3 3 4 6" xfId="18731" xr:uid="{00000000-0005-0000-0000-0000AD3D0000}"/>
    <cellStyle name="A_Simple Title 3 3 4 6 2" xfId="38084" xr:uid="{00000000-0005-0000-0000-0000AE3D0000}"/>
    <cellStyle name="A_Simple Title 3 3 4 7" xfId="21211" xr:uid="{00000000-0005-0000-0000-0000AF3D0000}"/>
    <cellStyle name="A_Simple Title 3 3 4 7 2" xfId="40553" xr:uid="{00000000-0005-0000-0000-0000B03D0000}"/>
    <cellStyle name="A_Simple Title 3 3 4 8" xfId="33152" xr:uid="{00000000-0005-0000-0000-0000B13D0000}"/>
    <cellStyle name="A_Simple Title 3 3 5" xfId="14014" xr:uid="{00000000-0005-0000-0000-0000B23D0000}"/>
    <cellStyle name="A_Simple Title 3 3 5 2" xfId="14809" xr:uid="{00000000-0005-0000-0000-0000B33D0000}"/>
    <cellStyle name="A_Simple Title 3 3 5 2 2" xfId="17287" xr:uid="{00000000-0005-0000-0000-0000B43D0000}"/>
    <cellStyle name="A_Simple Title 3 3 5 2 2 2" xfId="36641" xr:uid="{00000000-0005-0000-0000-0000B53D0000}"/>
    <cellStyle name="A_Simple Title 3 3 5 2 3" xfId="19718" xr:uid="{00000000-0005-0000-0000-0000B63D0000}"/>
    <cellStyle name="A_Simple Title 3 3 5 2 3 2" xfId="39071" xr:uid="{00000000-0005-0000-0000-0000B73D0000}"/>
    <cellStyle name="A_Simple Title 3 3 5 2 4" xfId="22229" xr:uid="{00000000-0005-0000-0000-0000B83D0000}"/>
    <cellStyle name="A_Simple Title 3 3 5 2 4 2" xfId="41571" xr:uid="{00000000-0005-0000-0000-0000B93D0000}"/>
    <cellStyle name="A_Simple Title 3 3 5 2 5" xfId="34170" xr:uid="{00000000-0005-0000-0000-0000BA3D0000}"/>
    <cellStyle name="A_Simple Title 3 3 5 3" xfId="15357" xr:uid="{00000000-0005-0000-0000-0000BB3D0000}"/>
    <cellStyle name="A_Simple Title 3 3 5 3 2" xfId="17833" xr:uid="{00000000-0005-0000-0000-0000BC3D0000}"/>
    <cellStyle name="A_Simple Title 3 3 5 3 2 2" xfId="37187" xr:uid="{00000000-0005-0000-0000-0000BD3D0000}"/>
    <cellStyle name="A_Simple Title 3 3 5 3 3" xfId="20264" xr:uid="{00000000-0005-0000-0000-0000BE3D0000}"/>
    <cellStyle name="A_Simple Title 3 3 5 3 3 2" xfId="39617" xr:uid="{00000000-0005-0000-0000-0000BF3D0000}"/>
    <cellStyle name="A_Simple Title 3 3 5 3 4" xfId="22777" xr:uid="{00000000-0005-0000-0000-0000C03D0000}"/>
    <cellStyle name="A_Simple Title 3 3 5 3 4 2" xfId="42119" xr:uid="{00000000-0005-0000-0000-0000C13D0000}"/>
    <cellStyle name="A_Simple Title 3 3 5 3 5" xfId="34718" xr:uid="{00000000-0005-0000-0000-0000C23D0000}"/>
    <cellStyle name="A_Simple Title 3 3 5 4" xfId="15816" xr:uid="{00000000-0005-0000-0000-0000C33D0000}"/>
    <cellStyle name="A_Simple Title 3 3 5 4 2" xfId="18292" xr:uid="{00000000-0005-0000-0000-0000C43D0000}"/>
    <cellStyle name="A_Simple Title 3 3 5 4 2 2" xfId="37646" xr:uid="{00000000-0005-0000-0000-0000C53D0000}"/>
    <cellStyle name="A_Simple Title 3 3 5 4 3" xfId="20723" xr:uid="{00000000-0005-0000-0000-0000C63D0000}"/>
    <cellStyle name="A_Simple Title 3 3 5 4 3 2" xfId="40076" xr:uid="{00000000-0005-0000-0000-0000C73D0000}"/>
    <cellStyle name="A_Simple Title 3 3 5 4 4" xfId="23236" xr:uid="{00000000-0005-0000-0000-0000C83D0000}"/>
    <cellStyle name="A_Simple Title 3 3 5 4 4 2" xfId="42578" xr:uid="{00000000-0005-0000-0000-0000C93D0000}"/>
    <cellStyle name="A_Simple Title 3 3 5 4 5" xfId="35177" xr:uid="{00000000-0005-0000-0000-0000CA3D0000}"/>
    <cellStyle name="A_Simple Title 3 3 5 5" xfId="16520" xr:uid="{00000000-0005-0000-0000-0000CB3D0000}"/>
    <cellStyle name="A_Simple Title 3 3 5 5 2" xfId="35874" xr:uid="{00000000-0005-0000-0000-0000CC3D0000}"/>
    <cellStyle name="A_Simple Title 3 3 5 6" xfId="18951" xr:uid="{00000000-0005-0000-0000-0000CD3D0000}"/>
    <cellStyle name="A_Simple Title 3 3 5 6 2" xfId="38304" xr:uid="{00000000-0005-0000-0000-0000CE3D0000}"/>
    <cellStyle name="A_Simple Title 3 3 5 7" xfId="21437" xr:uid="{00000000-0005-0000-0000-0000CF3D0000}"/>
    <cellStyle name="A_Simple Title 3 3 5 7 2" xfId="40779" xr:uid="{00000000-0005-0000-0000-0000D03D0000}"/>
    <cellStyle name="A_Simple Title 3 3 5 8" xfId="33378" xr:uid="{00000000-0005-0000-0000-0000D13D0000}"/>
    <cellStyle name="A_Simple Title 3 3 6" xfId="14306" xr:uid="{00000000-0005-0000-0000-0000D23D0000}"/>
    <cellStyle name="A_Simple Title 3 3 6 2" xfId="16802" xr:uid="{00000000-0005-0000-0000-0000D33D0000}"/>
    <cellStyle name="A_Simple Title 3 3 6 2 2" xfId="36156" xr:uid="{00000000-0005-0000-0000-0000D43D0000}"/>
    <cellStyle name="A_Simple Title 3 3 6 3" xfId="19233" xr:uid="{00000000-0005-0000-0000-0000D53D0000}"/>
    <cellStyle name="A_Simple Title 3 3 6 3 2" xfId="38586" xr:uid="{00000000-0005-0000-0000-0000D63D0000}"/>
    <cellStyle name="A_Simple Title 3 3 6 4" xfId="21726" xr:uid="{00000000-0005-0000-0000-0000D73D0000}"/>
    <cellStyle name="A_Simple Title 3 3 6 4 2" xfId="41068" xr:uid="{00000000-0005-0000-0000-0000D83D0000}"/>
    <cellStyle name="A_Simple Title 3 3 6 5" xfId="33667" xr:uid="{00000000-0005-0000-0000-0000D93D0000}"/>
    <cellStyle name="A_Simple Title 3 3 7" xfId="13476" xr:uid="{00000000-0005-0000-0000-0000DA3D0000}"/>
    <cellStyle name="A_Simple Title 3 3 7 2" xfId="32854" xr:uid="{00000000-0005-0000-0000-0000DB3D0000}"/>
    <cellStyle name="A_Simple Title 3 3 8" xfId="16042" xr:uid="{00000000-0005-0000-0000-0000DC3D0000}"/>
    <cellStyle name="A_Simple Title 3 3 8 2" xfId="35396" xr:uid="{00000000-0005-0000-0000-0000DD3D0000}"/>
    <cellStyle name="A_Simple Title 3 3 9" xfId="13288" xr:uid="{00000000-0005-0000-0000-0000DE3D0000}"/>
    <cellStyle name="A_Simple Title 3 3 9 2" xfId="32733" xr:uid="{00000000-0005-0000-0000-0000DF3D0000}"/>
    <cellStyle name="A_Simple Title 3 4" xfId="5513" xr:uid="{00000000-0005-0000-0000-0000E03D0000}"/>
    <cellStyle name="A_Simple Title 3 4 10" xfId="25001" xr:uid="{00000000-0005-0000-0000-0000E13D0000}"/>
    <cellStyle name="A_Simple Title 3 4 2" xfId="13828" xr:uid="{00000000-0005-0000-0000-0000E23D0000}"/>
    <cellStyle name="A_Simple Title 3 4 2 2" xfId="14623" xr:uid="{00000000-0005-0000-0000-0000E33D0000}"/>
    <cellStyle name="A_Simple Title 3 4 2 2 2" xfId="17107" xr:uid="{00000000-0005-0000-0000-0000E43D0000}"/>
    <cellStyle name="A_Simple Title 3 4 2 2 2 2" xfId="36461" xr:uid="{00000000-0005-0000-0000-0000E53D0000}"/>
    <cellStyle name="A_Simple Title 3 4 2 2 3" xfId="19538" xr:uid="{00000000-0005-0000-0000-0000E63D0000}"/>
    <cellStyle name="A_Simple Title 3 4 2 2 3 2" xfId="38891" xr:uid="{00000000-0005-0000-0000-0000E73D0000}"/>
    <cellStyle name="A_Simple Title 3 4 2 2 4" xfId="22043" xr:uid="{00000000-0005-0000-0000-0000E83D0000}"/>
    <cellStyle name="A_Simple Title 3 4 2 2 4 2" xfId="41385" xr:uid="{00000000-0005-0000-0000-0000E93D0000}"/>
    <cellStyle name="A_Simple Title 3 4 2 2 5" xfId="33984" xr:uid="{00000000-0005-0000-0000-0000EA3D0000}"/>
    <cellStyle name="A_Simple Title 3 4 2 3" xfId="15180" xr:uid="{00000000-0005-0000-0000-0000EB3D0000}"/>
    <cellStyle name="A_Simple Title 3 4 2 3 2" xfId="17656" xr:uid="{00000000-0005-0000-0000-0000EC3D0000}"/>
    <cellStyle name="A_Simple Title 3 4 2 3 2 2" xfId="37010" xr:uid="{00000000-0005-0000-0000-0000ED3D0000}"/>
    <cellStyle name="A_Simple Title 3 4 2 3 3" xfId="20087" xr:uid="{00000000-0005-0000-0000-0000EE3D0000}"/>
    <cellStyle name="A_Simple Title 3 4 2 3 3 2" xfId="39440" xr:uid="{00000000-0005-0000-0000-0000EF3D0000}"/>
    <cellStyle name="A_Simple Title 3 4 2 3 4" xfId="22600" xr:uid="{00000000-0005-0000-0000-0000F03D0000}"/>
    <cellStyle name="A_Simple Title 3 4 2 3 4 2" xfId="41942" xr:uid="{00000000-0005-0000-0000-0000F13D0000}"/>
    <cellStyle name="A_Simple Title 3 4 2 3 5" xfId="34541" xr:uid="{00000000-0005-0000-0000-0000F23D0000}"/>
    <cellStyle name="A_Simple Title 3 4 2 4" xfId="16340" xr:uid="{00000000-0005-0000-0000-0000F33D0000}"/>
    <cellStyle name="A_Simple Title 3 4 2 4 2" xfId="35694" xr:uid="{00000000-0005-0000-0000-0000F43D0000}"/>
    <cellStyle name="A_Simple Title 3 4 2 5" xfId="18771" xr:uid="{00000000-0005-0000-0000-0000F53D0000}"/>
    <cellStyle name="A_Simple Title 3 4 2 5 2" xfId="38124" xr:uid="{00000000-0005-0000-0000-0000F63D0000}"/>
    <cellStyle name="A_Simple Title 3 4 2 6" xfId="21251" xr:uid="{00000000-0005-0000-0000-0000F73D0000}"/>
    <cellStyle name="A_Simple Title 3 4 2 6 2" xfId="40593" xr:uid="{00000000-0005-0000-0000-0000F83D0000}"/>
    <cellStyle name="A_Simple Title 3 4 2 7" xfId="33192" xr:uid="{00000000-0005-0000-0000-0000F93D0000}"/>
    <cellStyle name="A_Simple Title 3 4 3" xfId="14049" xr:uid="{00000000-0005-0000-0000-0000FA3D0000}"/>
    <cellStyle name="A_Simple Title 3 4 3 2" xfId="14844" xr:uid="{00000000-0005-0000-0000-0000FB3D0000}"/>
    <cellStyle name="A_Simple Title 3 4 3 2 2" xfId="17322" xr:uid="{00000000-0005-0000-0000-0000FC3D0000}"/>
    <cellStyle name="A_Simple Title 3 4 3 2 2 2" xfId="36676" xr:uid="{00000000-0005-0000-0000-0000FD3D0000}"/>
    <cellStyle name="A_Simple Title 3 4 3 2 3" xfId="19753" xr:uid="{00000000-0005-0000-0000-0000FE3D0000}"/>
    <cellStyle name="A_Simple Title 3 4 3 2 3 2" xfId="39106" xr:uid="{00000000-0005-0000-0000-0000FF3D0000}"/>
    <cellStyle name="A_Simple Title 3 4 3 2 4" xfId="22264" xr:uid="{00000000-0005-0000-0000-0000003E0000}"/>
    <cellStyle name="A_Simple Title 3 4 3 2 4 2" xfId="41606" xr:uid="{00000000-0005-0000-0000-0000013E0000}"/>
    <cellStyle name="A_Simple Title 3 4 3 2 5" xfId="34205" xr:uid="{00000000-0005-0000-0000-0000023E0000}"/>
    <cellStyle name="A_Simple Title 3 4 3 3" xfId="15392" xr:uid="{00000000-0005-0000-0000-0000033E0000}"/>
    <cellStyle name="A_Simple Title 3 4 3 3 2" xfId="17868" xr:uid="{00000000-0005-0000-0000-0000043E0000}"/>
    <cellStyle name="A_Simple Title 3 4 3 3 2 2" xfId="37222" xr:uid="{00000000-0005-0000-0000-0000053E0000}"/>
    <cellStyle name="A_Simple Title 3 4 3 3 3" xfId="20299" xr:uid="{00000000-0005-0000-0000-0000063E0000}"/>
    <cellStyle name="A_Simple Title 3 4 3 3 3 2" xfId="39652" xr:uid="{00000000-0005-0000-0000-0000073E0000}"/>
    <cellStyle name="A_Simple Title 3 4 3 3 4" xfId="22812" xr:uid="{00000000-0005-0000-0000-0000083E0000}"/>
    <cellStyle name="A_Simple Title 3 4 3 3 4 2" xfId="42154" xr:uid="{00000000-0005-0000-0000-0000093E0000}"/>
    <cellStyle name="A_Simple Title 3 4 3 3 5" xfId="34753" xr:uid="{00000000-0005-0000-0000-00000A3E0000}"/>
    <cellStyle name="A_Simple Title 3 4 3 4" xfId="15851" xr:uid="{00000000-0005-0000-0000-00000B3E0000}"/>
    <cellStyle name="A_Simple Title 3 4 3 4 2" xfId="18327" xr:uid="{00000000-0005-0000-0000-00000C3E0000}"/>
    <cellStyle name="A_Simple Title 3 4 3 4 2 2" xfId="37681" xr:uid="{00000000-0005-0000-0000-00000D3E0000}"/>
    <cellStyle name="A_Simple Title 3 4 3 4 3" xfId="20758" xr:uid="{00000000-0005-0000-0000-00000E3E0000}"/>
    <cellStyle name="A_Simple Title 3 4 3 4 3 2" xfId="40111" xr:uid="{00000000-0005-0000-0000-00000F3E0000}"/>
    <cellStyle name="A_Simple Title 3 4 3 4 4" xfId="23271" xr:uid="{00000000-0005-0000-0000-0000103E0000}"/>
    <cellStyle name="A_Simple Title 3 4 3 4 4 2" xfId="42613" xr:uid="{00000000-0005-0000-0000-0000113E0000}"/>
    <cellStyle name="A_Simple Title 3 4 3 4 5" xfId="35212" xr:uid="{00000000-0005-0000-0000-0000123E0000}"/>
    <cellStyle name="A_Simple Title 3 4 3 5" xfId="16555" xr:uid="{00000000-0005-0000-0000-0000133E0000}"/>
    <cellStyle name="A_Simple Title 3 4 3 5 2" xfId="35909" xr:uid="{00000000-0005-0000-0000-0000143E0000}"/>
    <cellStyle name="A_Simple Title 3 4 3 6" xfId="18986" xr:uid="{00000000-0005-0000-0000-0000153E0000}"/>
    <cellStyle name="A_Simple Title 3 4 3 6 2" xfId="38339" xr:uid="{00000000-0005-0000-0000-0000163E0000}"/>
    <cellStyle name="A_Simple Title 3 4 3 7" xfId="21472" xr:uid="{00000000-0005-0000-0000-0000173E0000}"/>
    <cellStyle name="A_Simple Title 3 4 3 7 2" xfId="40814" xr:uid="{00000000-0005-0000-0000-0000183E0000}"/>
    <cellStyle name="A_Simple Title 3 4 3 8" xfId="33413" xr:uid="{00000000-0005-0000-0000-0000193E0000}"/>
    <cellStyle name="A_Simple Title 3 4 4" xfId="14344" xr:uid="{00000000-0005-0000-0000-00001A3E0000}"/>
    <cellStyle name="A_Simple Title 3 4 4 2" xfId="16840" xr:uid="{00000000-0005-0000-0000-00001B3E0000}"/>
    <cellStyle name="A_Simple Title 3 4 4 2 2" xfId="36194" xr:uid="{00000000-0005-0000-0000-00001C3E0000}"/>
    <cellStyle name="A_Simple Title 3 4 4 3" xfId="19271" xr:uid="{00000000-0005-0000-0000-00001D3E0000}"/>
    <cellStyle name="A_Simple Title 3 4 4 3 2" xfId="38624" xr:uid="{00000000-0005-0000-0000-00001E3E0000}"/>
    <cellStyle name="A_Simple Title 3 4 4 4" xfId="21764" xr:uid="{00000000-0005-0000-0000-00001F3E0000}"/>
    <cellStyle name="A_Simple Title 3 4 4 4 2" xfId="41106" xr:uid="{00000000-0005-0000-0000-0000203E0000}"/>
    <cellStyle name="A_Simple Title 3 4 4 5" xfId="33705" xr:uid="{00000000-0005-0000-0000-0000213E0000}"/>
    <cellStyle name="A_Simple Title 3 4 5" xfId="14979" xr:uid="{00000000-0005-0000-0000-0000223E0000}"/>
    <cellStyle name="A_Simple Title 3 4 5 2" xfId="17455" xr:uid="{00000000-0005-0000-0000-0000233E0000}"/>
    <cellStyle name="A_Simple Title 3 4 5 2 2" xfId="36809" xr:uid="{00000000-0005-0000-0000-0000243E0000}"/>
    <cellStyle name="A_Simple Title 3 4 5 3" xfId="19886" xr:uid="{00000000-0005-0000-0000-0000253E0000}"/>
    <cellStyle name="A_Simple Title 3 4 5 3 2" xfId="39239" xr:uid="{00000000-0005-0000-0000-0000263E0000}"/>
    <cellStyle name="A_Simple Title 3 4 5 4" xfId="22399" xr:uid="{00000000-0005-0000-0000-0000273E0000}"/>
    <cellStyle name="A_Simple Title 3 4 5 4 2" xfId="41741" xr:uid="{00000000-0005-0000-0000-0000283E0000}"/>
    <cellStyle name="A_Simple Title 3 4 5 5" xfId="34340" xr:uid="{00000000-0005-0000-0000-0000293E0000}"/>
    <cellStyle name="A_Simple Title 3 4 6" xfId="14232" xr:uid="{00000000-0005-0000-0000-00002A3E0000}"/>
    <cellStyle name="A_Simple Title 3 4 6 2" xfId="16735" xr:uid="{00000000-0005-0000-0000-00002B3E0000}"/>
    <cellStyle name="A_Simple Title 3 4 6 2 2" xfId="36089" xr:uid="{00000000-0005-0000-0000-00002C3E0000}"/>
    <cellStyle name="A_Simple Title 3 4 6 3" xfId="19166" xr:uid="{00000000-0005-0000-0000-00002D3E0000}"/>
    <cellStyle name="A_Simple Title 3 4 6 3 2" xfId="38519" xr:uid="{00000000-0005-0000-0000-00002E3E0000}"/>
    <cellStyle name="A_Simple Title 3 4 6 4" xfId="21653" xr:uid="{00000000-0005-0000-0000-00002F3E0000}"/>
    <cellStyle name="A_Simple Title 3 4 6 4 2" xfId="40995" xr:uid="{00000000-0005-0000-0000-0000303E0000}"/>
    <cellStyle name="A_Simple Title 3 4 6 5" xfId="33594" xr:uid="{00000000-0005-0000-0000-0000313E0000}"/>
    <cellStyle name="A_Simple Title 3 4 7" xfId="13528" xr:uid="{00000000-0005-0000-0000-0000323E0000}"/>
    <cellStyle name="A_Simple Title 3 4 7 2" xfId="32903" xr:uid="{00000000-0005-0000-0000-0000333E0000}"/>
    <cellStyle name="A_Simple Title 3 4 8" xfId="16079" xr:uid="{00000000-0005-0000-0000-0000343E0000}"/>
    <cellStyle name="A_Simple Title 3 4 8 2" xfId="35433" xr:uid="{00000000-0005-0000-0000-0000353E0000}"/>
    <cellStyle name="A_Simple Title 3 4 9" xfId="18489" xr:uid="{00000000-0005-0000-0000-0000363E0000}"/>
    <cellStyle name="A_Simple Title 3 4 9 2" xfId="37842" xr:uid="{00000000-0005-0000-0000-0000373E0000}"/>
    <cellStyle name="A_Simple Title 3 5" xfId="13731" xr:uid="{00000000-0005-0000-0000-0000383E0000}"/>
    <cellStyle name="A_Simple Title 3 5 2" xfId="14534" xr:uid="{00000000-0005-0000-0000-0000393E0000}"/>
    <cellStyle name="A_Simple Title 3 5 2 2" xfId="17024" xr:uid="{00000000-0005-0000-0000-00003A3E0000}"/>
    <cellStyle name="A_Simple Title 3 5 2 2 2" xfId="36378" xr:uid="{00000000-0005-0000-0000-00003B3E0000}"/>
    <cellStyle name="A_Simple Title 3 5 2 3" xfId="19455" xr:uid="{00000000-0005-0000-0000-00003C3E0000}"/>
    <cellStyle name="A_Simple Title 3 5 2 3 2" xfId="38808" xr:uid="{00000000-0005-0000-0000-00003D3E0000}"/>
    <cellStyle name="A_Simple Title 3 5 2 4" xfId="21954" xr:uid="{00000000-0005-0000-0000-00003E3E0000}"/>
    <cellStyle name="A_Simple Title 3 5 2 4 2" xfId="41296" xr:uid="{00000000-0005-0000-0000-00003F3E0000}"/>
    <cellStyle name="A_Simple Title 3 5 2 5" xfId="33895" xr:uid="{00000000-0005-0000-0000-0000403E0000}"/>
    <cellStyle name="A_Simple Title 3 5 3" xfId="15098" xr:uid="{00000000-0005-0000-0000-0000413E0000}"/>
    <cellStyle name="A_Simple Title 3 5 3 2" xfId="17574" xr:uid="{00000000-0005-0000-0000-0000423E0000}"/>
    <cellStyle name="A_Simple Title 3 5 3 2 2" xfId="36928" xr:uid="{00000000-0005-0000-0000-0000433E0000}"/>
    <cellStyle name="A_Simple Title 3 5 3 3" xfId="20005" xr:uid="{00000000-0005-0000-0000-0000443E0000}"/>
    <cellStyle name="A_Simple Title 3 5 3 3 2" xfId="39358" xr:uid="{00000000-0005-0000-0000-0000453E0000}"/>
    <cellStyle name="A_Simple Title 3 5 3 4" xfId="22518" xr:uid="{00000000-0005-0000-0000-0000463E0000}"/>
    <cellStyle name="A_Simple Title 3 5 3 4 2" xfId="41860" xr:uid="{00000000-0005-0000-0000-0000473E0000}"/>
    <cellStyle name="A_Simple Title 3 5 3 5" xfId="34459" xr:uid="{00000000-0005-0000-0000-0000483E0000}"/>
    <cellStyle name="A_Simple Title 3 5 4" xfId="15581" xr:uid="{00000000-0005-0000-0000-0000493E0000}"/>
    <cellStyle name="A_Simple Title 3 5 4 2" xfId="18057" xr:uid="{00000000-0005-0000-0000-00004A3E0000}"/>
    <cellStyle name="A_Simple Title 3 5 4 2 2" xfId="37411" xr:uid="{00000000-0005-0000-0000-00004B3E0000}"/>
    <cellStyle name="A_Simple Title 3 5 4 3" xfId="20488" xr:uid="{00000000-0005-0000-0000-00004C3E0000}"/>
    <cellStyle name="A_Simple Title 3 5 4 3 2" xfId="39841" xr:uid="{00000000-0005-0000-0000-00004D3E0000}"/>
    <cellStyle name="A_Simple Title 3 5 4 4" xfId="23001" xr:uid="{00000000-0005-0000-0000-00004E3E0000}"/>
    <cellStyle name="A_Simple Title 3 5 4 4 2" xfId="42343" xr:uid="{00000000-0005-0000-0000-00004F3E0000}"/>
    <cellStyle name="A_Simple Title 3 5 4 5" xfId="34942" xr:uid="{00000000-0005-0000-0000-0000503E0000}"/>
    <cellStyle name="A_Simple Title 3 5 5" xfId="16250" xr:uid="{00000000-0005-0000-0000-0000513E0000}"/>
    <cellStyle name="A_Simple Title 3 5 5 2" xfId="35604" xr:uid="{00000000-0005-0000-0000-0000523E0000}"/>
    <cellStyle name="A_Simple Title 3 5 6" xfId="18681" xr:uid="{00000000-0005-0000-0000-0000533E0000}"/>
    <cellStyle name="A_Simple Title 3 5 6 2" xfId="38034" xr:uid="{00000000-0005-0000-0000-0000543E0000}"/>
    <cellStyle name="A_Simple Title 3 5 7" xfId="21155" xr:uid="{00000000-0005-0000-0000-0000553E0000}"/>
    <cellStyle name="A_Simple Title 3 5 7 2" xfId="40497" xr:uid="{00000000-0005-0000-0000-0000563E0000}"/>
    <cellStyle name="A_Simple Title 3 5 8" xfId="33096" xr:uid="{00000000-0005-0000-0000-0000573E0000}"/>
    <cellStyle name="A_Simple Title 3 6" xfId="13718" xr:uid="{00000000-0005-0000-0000-0000583E0000}"/>
    <cellStyle name="A_Simple Title 3 6 2" xfId="14521" xr:uid="{00000000-0005-0000-0000-0000593E0000}"/>
    <cellStyle name="A_Simple Title 3 6 2 2" xfId="17011" xr:uid="{00000000-0005-0000-0000-00005A3E0000}"/>
    <cellStyle name="A_Simple Title 3 6 2 2 2" xfId="36365" xr:uid="{00000000-0005-0000-0000-00005B3E0000}"/>
    <cellStyle name="A_Simple Title 3 6 2 3" xfId="19442" xr:uid="{00000000-0005-0000-0000-00005C3E0000}"/>
    <cellStyle name="A_Simple Title 3 6 2 3 2" xfId="38795" xr:uid="{00000000-0005-0000-0000-00005D3E0000}"/>
    <cellStyle name="A_Simple Title 3 6 2 4" xfId="21941" xr:uid="{00000000-0005-0000-0000-00005E3E0000}"/>
    <cellStyle name="A_Simple Title 3 6 2 4 2" xfId="41283" xr:uid="{00000000-0005-0000-0000-00005F3E0000}"/>
    <cellStyle name="A_Simple Title 3 6 2 5" xfId="33882" xr:uid="{00000000-0005-0000-0000-0000603E0000}"/>
    <cellStyle name="A_Simple Title 3 6 3" xfId="15085" xr:uid="{00000000-0005-0000-0000-0000613E0000}"/>
    <cellStyle name="A_Simple Title 3 6 3 2" xfId="17561" xr:uid="{00000000-0005-0000-0000-0000623E0000}"/>
    <cellStyle name="A_Simple Title 3 6 3 2 2" xfId="36915" xr:uid="{00000000-0005-0000-0000-0000633E0000}"/>
    <cellStyle name="A_Simple Title 3 6 3 3" xfId="19992" xr:uid="{00000000-0005-0000-0000-0000643E0000}"/>
    <cellStyle name="A_Simple Title 3 6 3 3 2" xfId="39345" xr:uid="{00000000-0005-0000-0000-0000653E0000}"/>
    <cellStyle name="A_Simple Title 3 6 3 4" xfId="22505" xr:uid="{00000000-0005-0000-0000-0000663E0000}"/>
    <cellStyle name="A_Simple Title 3 6 3 4 2" xfId="41847" xr:uid="{00000000-0005-0000-0000-0000673E0000}"/>
    <cellStyle name="A_Simple Title 3 6 3 5" xfId="34446" xr:uid="{00000000-0005-0000-0000-0000683E0000}"/>
    <cellStyle name="A_Simple Title 3 6 4" xfId="15568" xr:uid="{00000000-0005-0000-0000-0000693E0000}"/>
    <cellStyle name="A_Simple Title 3 6 4 2" xfId="18044" xr:uid="{00000000-0005-0000-0000-00006A3E0000}"/>
    <cellStyle name="A_Simple Title 3 6 4 2 2" xfId="37398" xr:uid="{00000000-0005-0000-0000-00006B3E0000}"/>
    <cellStyle name="A_Simple Title 3 6 4 3" xfId="20475" xr:uid="{00000000-0005-0000-0000-00006C3E0000}"/>
    <cellStyle name="A_Simple Title 3 6 4 3 2" xfId="39828" xr:uid="{00000000-0005-0000-0000-00006D3E0000}"/>
    <cellStyle name="A_Simple Title 3 6 4 4" xfId="22988" xr:uid="{00000000-0005-0000-0000-00006E3E0000}"/>
    <cellStyle name="A_Simple Title 3 6 4 4 2" xfId="42330" xr:uid="{00000000-0005-0000-0000-00006F3E0000}"/>
    <cellStyle name="A_Simple Title 3 6 4 5" xfId="34929" xr:uid="{00000000-0005-0000-0000-0000703E0000}"/>
    <cellStyle name="A_Simple Title 3 6 5" xfId="16237" xr:uid="{00000000-0005-0000-0000-0000713E0000}"/>
    <cellStyle name="A_Simple Title 3 6 5 2" xfId="35591" xr:uid="{00000000-0005-0000-0000-0000723E0000}"/>
    <cellStyle name="A_Simple Title 3 6 6" xfId="18668" xr:uid="{00000000-0005-0000-0000-0000733E0000}"/>
    <cellStyle name="A_Simple Title 3 6 6 2" xfId="38021" xr:uid="{00000000-0005-0000-0000-0000743E0000}"/>
    <cellStyle name="A_Simple Title 3 6 7" xfId="21142" xr:uid="{00000000-0005-0000-0000-0000753E0000}"/>
    <cellStyle name="A_Simple Title 3 6 7 2" xfId="40484" xr:uid="{00000000-0005-0000-0000-0000763E0000}"/>
    <cellStyle name="A_Simple Title 3 6 8" xfId="33083" xr:uid="{00000000-0005-0000-0000-0000773E0000}"/>
    <cellStyle name="A_Simple Title 3 7" xfId="14247" xr:uid="{00000000-0005-0000-0000-0000783E0000}"/>
    <cellStyle name="A_Simple Title 3 7 2" xfId="16750" xr:uid="{00000000-0005-0000-0000-0000793E0000}"/>
    <cellStyle name="A_Simple Title 3 7 2 2" xfId="36104" xr:uid="{00000000-0005-0000-0000-00007A3E0000}"/>
    <cellStyle name="A_Simple Title 3 7 3" xfId="19181" xr:uid="{00000000-0005-0000-0000-00007B3E0000}"/>
    <cellStyle name="A_Simple Title 3 7 3 2" xfId="38534" xr:uid="{00000000-0005-0000-0000-00007C3E0000}"/>
    <cellStyle name="A_Simple Title 3 7 4" xfId="21668" xr:uid="{00000000-0005-0000-0000-00007D3E0000}"/>
    <cellStyle name="A_Simple Title 3 7 4 2" xfId="41010" xr:uid="{00000000-0005-0000-0000-00007E3E0000}"/>
    <cellStyle name="A_Simple Title 3 7 5" xfId="33609" xr:uid="{00000000-0005-0000-0000-00007F3E0000}"/>
    <cellStyle name="A_Simple Title 3 8" xfId="13340" xr:uid="{00000000-0005-0000-0000-0000803E0000}"/>
    <cellStyle name="A_Simple Title 3 9" xfId="13361" xr:uid="{00000000-0005-0000-0000-0000813E0000}"/>
    <cellStyle name="A_Simple Title 3 9 2" xfId="32760" xr:uid="{00000000-0005-0000-0000-0000823E0000}"/>
    <cellStyle name="A_Simple Title 4" xfId="13497" xr:uid="{00000000-0005-0000-0000-0000833E0000}"/>
    <cellStyle name="A_Simple Title 4 2" xfId="13801" xr:uid="{00000000-0005-0000-0000-0000843E0000}"/>
    <cellStyle name="A_Simple Title 4 2 2" xfId="14600" xr:uid="{00000000-0005-0000-0000-0000853E0000}"/>
    <cellStyle name="A_Simple Title 4 2 2 2" xfId="17084" xr:uid="{00000000-0005-0000-0000-0000863E0000}"/>
    <cellStyle name="A_Simple Title 4 2 2 2 2" xfId="36438" xr:uid="{00000000-0005-0000-0000-0000873E0000}"/>
    <cellStyle name="A_Simple Title 4 2 2 3" xfId="19515" xr:uid="{00000000-0005-0000-0000-0000883E0000}"/>
    <cellStyle name="A_Simple Title 4 2 2 3 2" xfId="38868" xr:uid="{00000000-0005-0000-0000-0000893E0000}"/>
    <cellStyle name="A_Simple Title 4 2 2 4" xfId="22020" xr:uid="{00000000-0005-0000-0000-00008A3E0000}"/>
    <cellStyle name="A_Simple Title 4 2 2 4 2" xfId="41362" xr:uid="{00000000-0005-0000-0000-00008B3E0000}"/>
    <cellStyle name="A_Simple Title 4 2 2 5" xfId="33961" xr:uid="{00000000-0005-0000-0000-00008C3E0000}"/>
    <cellStyle name="A_Simple Title 4 2 3" xfId="15157" xr:uid="{00000000-0005-0000-0000-00008D3E0000}"/>
    <cellStyle name="A_Simple Title 4 2 3 2" xfId="17633" xr:uid="{00000000-0005-0000-0000-00008E3E0000}"/>
    <cellStyle name="A_Simple Title 4 2 3 2 2" xfId="36987" xr:uid="{00000000-0005-0000-0000-00008F3E0000}"/>
    <cellStyle name="A_Simple Title 4 2 3 3" xfId="20064" xr:uid="{00000000-0005-0000-0000-0000903E0000}"/>
    <cellStyle name="A_Simple Title 4 2 3 3 2" xfId="39417" xr:uid="{00000000-0005-0000-0000-0000913E0000}"/>
    <cellStyle name="A_Simple Title 4 2 3 4" xfId="22577" xr:uid="{00000000-0005-0000-0000-0000923E0000}"/>
    <cellStyle name="A_Simple Title 4 2 3 4 2" xfId="41919" xr:uid="{00000000-0005-0000-0000-0000933E0000}"/>
    <cellStyle name="A_Simple Title 4 2 3 5" xfId="34518" xr:uid="{00000000-0005-0000-0000-0000943E0000}"/>
    <cellStyle name="A_Simple Title 4 2 4" xfId="15638" xr:uid="{00000000-0005-0000-0000-0000953E0000}"/>
    <cellStyle name="A_Simple Title 4 2 4 2" xfId="18114" xr:uid="{00000000-0005-0000-0000-0000963E0000}"/>
    <cellStyle name="A_Simple Title 4 2 4 2 2" xfId="37468" xr:uid="{00000000-0005-0000-0000-0000973E0000}"/>
    <cellStyle name="A_Simple Title 4 2 4 3" xfId="20545" xr:uid="{00000000-0005-0000-0000-0000983E0000}"/>
    <cellStyle name="A_Simple Title 4 2 4 3 2" xfId="39898" xr:uid="{00000000-0005-0000-0000-0000993E0000}"/>
    <cellStyle name="A_Simple Title 4 2 4 4" xfId="23058" xr:uid="{00000000-0005-0000-0000-00009A3E0000}"/>
    <cellStyle name="A_Simple Title 4 2 4 4 2" xfId="42400" xr:uid="{00000000-0005-0000-0000-00009B3E0000}"/>
    <cellStyle name="A_Simple Title 4 2 4 5" xfId="34999" xr:uid="{00000000-0005-0000-0000-00009C3E0000}"/>
    <cellStyle name="A_Simple Title 4 2 5" xfId="16313" xr:uid="{00000000-0005-0000-0000-00009D3E0000}"/>
    <cellStyle name="A_Simple Title 4 2 5 2" xfId="35667" xr:uid="{00000000-0005-0000-0000-00009E3E0000}"/>
    <cellStyle name="A_Simple Title 4 2 6" xfId="18744" xr:uid="{00000000-0005-0000-0000-00009F3E0000}"/>
    <cellStyle name="A_Simple Title 4 2 6 2" xfId="38097" xr:uid="{00000000-0005-0000-0000-0000A03E0000}"/>
    <cellStyle name="A_Simple Title 4 2 7" xfId="21224" xr:uid="{00000000-0005-0000-0000-0000A13E0000}"/>
    <cellStyle name="A_Simple Title 4 2 7 2" xfId="40566" xr:uid="{00000000-0005-0000-0000-0000A23E0000}"/>
    <cellStyle name="A_Simple Title 4 2 8" xfId="33165" xr:uid="{00000000-0005-0000-0000-0000A33E0000}"/>
    <cellStyle name="A_Simple Title 4 3" xfId="14027" xr:uid="{00000000-0005-0000-0000-0000A43E0000}"/>
    <cellStyle name="A_Simple Title 4 3 2" xfId="14822" xr:uid="{00000000-0005-0000-0000-0000A53E0000}"/>
    <cellStyle name="A_Simple Title 4 3 2 2" xfId="17300" xr:uid="{00000000-0005-0000-0000-0000A63E0000}"/>
    <cellStyle name="A_Simple Title 4 3 2 2 2" xfId="36654" xr:uid="{00000000-0005-0000-0000-0000A73E0000}"/>
    <cellStyle name="A_Simple Title 4 3 2 3" xfId="19731" xr:uid="{00000000-0005-0000-0000-0000A83E0000}"/>
    <cellStyle name="A_Simple Title 4 3 2 3 2" xfId="39084" xr:uid="{00000000-0005-0000-0000-0000A93E0000}"/>
    <cellStyle name="A_Simple Title 4 3 2 4" xfId="22242" xr:uid="{00000000-0005-0000-0000-0000AA3E0000}"/>
    <cellStyle name="A_Simple Title 4 3 2 4 2" xfId="41584" xr:uid="{00000000-0005-0000-0000-0000AB3E0000}"/>
    <cellStyle name="A_Simple Title 4 3 2 5" xfId="34183" xr:uid="{00000000-0005-0000-0000-0000AC3E0000}"/>
    <cellStyle name="A_Simple Title 4 3 3" xfId="15370" xr:uid="{00000000-0005-0000-0000-0000AD3E0000}"/>
    <cellStyle name="A_Simple Title 4 3 3 2" xfId="17846" xr:uid="{00000000-0005-0000-0000-0000AE3E0000}"/>
    <cellStyle name="A_Simple Title 4 3 3 2 2" xfId="37200" xr:uid="{00000000-0005-0000-0000-0000AF3E0000}"/>
    <cellStyle name="A_Simple Title 4 3 3 3" xfId="20277" xr:uid="{00000000-0005-0000-0000-0000B03E0000}"/>
    <cellStyle name="A_Simple Title 4 3 3 3 2" xfId="39630" xr:uid="{00000000-0005-0000-0000-0000B13E0000}"/>
    <cellStyle name="A_Simple Title 4 3 3 4" xfId="22790" xr:uid="{00000000-0005-0000-0000-0000B23E0000}"/>
    <cellStyle name="A_Simple Title 4 3 3 4 2" xfId="42132" xr:uid="{00000000-0005-0000-0000-0000B33E0000}"/>
    <cellStyle name="A_Simple Title 4 3 3 5" xfId="34731" xr:uid="{00000000-0005-0000-0000-0000B43E0000}"/>
    <cellStyle name="A_Simple Title 4 3 4" xfId="15829" xr:uid="{00000000-0005-0000-0000-0000B53E0000}"/>
    <cellStyle name="A_Simple Title 4 3 4 2" xfId="18305" xr:uid="{00000000-0005-0000-0000-0000B63E0000}"/>
    <cellStyle name="A_Simple Title 4 3 4 2 2" xfId="37659" xr:uid="{00000000-0005-0000-0000-0000B73E0000}"/>
    <cellStyle name="A_Simple Title 4 3 4 3" xfId="20736" xr:uid="{00000000-0005-0000-0000-0000B83E0000}"/>
    <cellStyle name="A_Simple Title 4 3 4 3 2" xfId="40089" xr:uid="{00000000-0005-0000-0000-0000B93E0000}"/>
    <cellStyle name="A_Simple Title 4 3 4 4" xfId="23249" xr:uid="{00000000-0005-0000-0000-0000BA3E0000}"/>
    <cellStyle name="A_Simple Title 4 3 4 4 2" xfId="42591" xr:uid="{00000000-0005-0000-0000-0000BB3E0000}"/>
    <cellStyle name="A_Simple Title 4 3 4 5" xfId="35190" xr:uid="{00000000-0005-0000-0000-0000BC3E0000}"/>
    <cellStyle name="A_Simple Title 4 3 5" xfId="16533" xr:uid="{00000000-0005-0000-0000-0000BD3E0000}"/>
    <cellStyle name="A_Simple Title 4 3 5 2" xfId="35887" xr:uid="{00000000-0005-0000-0000-0000BE3E0000}"/>
    <cellStyle name="A_Simple Title 4 3 6" xfId="18964" xr:uid="{00000000-0005-0000-0000-0000BF3E0000}"/>
    <cellStyle name="A_Simple Title 4 3 6 2" xfId="38317" xr:uid="{00000000-0005-0000-0000-0000C03E0000}"/>
    <cellStyle name="A_Simple Title 4 3 7" xfId="21450" xr:uid="{00000000-0005-0000-0000-0000C13E0000}"/>
    <cellStyle name="A_Simple Title 4 3 7 2" xfId="40792" xr:uid="{00000000-0005-0000-0000-0000C23E0000}"/>
    <cellStyle name="A_Simple Title 4 3 8" xfId="33391" xr:uid="{00000000-0005-0000-0000-0000C33E0000}"/>
    <cellStyle name="A_Simple Title 4 4" xfId="14321" xr:uid="{00000000-0005-0000-0000-0000C43E0000}"/>
    <cellStyle name="A_Simple Title 4 4 2" xfId="16817" xr:uid="{00000000-0005-0000-0000-0000C53E0000}"/>
    <cellStyle name="A_Simple Title 4 4 2 2" xfId="36171" xr:uid="{00000000-0005-0000-0000-0000C63E0000}"/>
    <cellStyle name="A_Simple Title 4 4 3" xfId="19248" xr:uid="{00000000-0005-0000-0000-0000C73E0000}"/>
    <cellStyle name="A_Simple Title 4 4 3 2" xfId="38601" xr:uid="{00000000-0005-0000-0000-0000C83E0000}"/>
    <cellStyle name="A_Simple Title 4 4 4" xfId="21741" xr:uid="{00000000-0005-0000-0000-0000C93E0000}"/>
    <cellStyle name="A_Simple Title 4 4 4 2" xfId="41083" xr:uid="{00000000-0005-0000-0000-0000CA3E0000}"/>
    <cellStyle name="A_Simple Title 4 4 5" xfId="33682" xr:uid="{00000000-0005-0000-0000-0000CB3E0000}"/>
    <cellStyle name="A_Simple Title 4 5" xfId="16061" xr:uid="{00000000-0005-0000-0000-0000CC3E0000}"/>
    <cellStyle name="A_Simple Title 4 5 2" xfId="35415" xr:uid="{00000000-0005-0000-0000-0000CD3E0000}"/>
    <cellStyle name="A_Simple Title 4 6" xfId="18458" xr:uid="{00000000-0005-0000-0000-0000CE3E0000}"/>
    <cellStyle name="A_Simple Title 4 6 2" xfId="37811" xr:uid="{00000000-0005-0000-0000-0000CF3E0000}"/>
    <cellStyle name="A_Simple Title 4 7" xfId="20994" xr:uid="{00000000-0005-0000-0000-0000D03E0000}"/>
    <cellStyle name="A_Simple Title 4 7 2" xfId="40336" xr:uid="{00000000-0005-0000-0000-0000D13E0000}"/>
    <cellStyle name="A_Simple Title 4 8" xfId="32872" xr:uid="{00000000-0005-0000-0000-0000D23E0000}"/>
    <cellStyle name="A_Simple Title_Company0187 Model" xfId="1394" xr:uid="{00000000-0005-0000-0000-0000D33E0000}"/>
    <cellStyle name="A_Simple Title_Company0187 Model 2" xfId="2589" xr:uid="{00000000-0005-0000-0000-0000D43E0000}"/>
    <cellStyle name="A_Simple Title_Company0187 Model 2 2" xfId="4899" xr:uid="{00000000-0005-0000-0000-0000D53E0000}"/>
    <cellStyle name="A_Simple Title_Company0187 Model 2 2 2" xfId="6651" xr:uid="{00000000-0005-0000-0000-0000D63E0000}"/>
    <cellStyle name="A_Simple Title_Company0187 Model 2 2 2 2" xfId="26136" xr:uid="{00000000-0005-0000-0000-0000D73E0000}"/>
    <cellStyle name="A_Simple Title_Company0187 Model 2 2 3" xfId="24393" xr:uid="{00000000-0005-0000-0000-0000D83E0000}"/>
    <cellStyle name="A_Simple Title_Company0187 Model 2 3" xfId="5526" xr:uid="{00000000-0005-0000-0000-0000D93E0000}"/>
    <cellStyle name="A_Simple Title_Company0187 Model 2 3 2" xfId="25014" xr:uid="{00000000-0005-0000-0000-0000DA3E0000}"/>
    <cellStyle name="A_Simple Title_Company0187 Model 2 4" xfId="23487" xr:uid="{00000000-0005-0000-0000-0000DB3E0000}"/>
    <cellStyle name="A_Simple Title_Company0187 Model 3" xfId="4540" xr:uid="{00000000-0005-0000-0000-0000DC3E0000}"/>
    <cellStyle name="A_Simple Title_Company0187 Model 3 2" xfId="5807" xr:uid="{00000000-0005-0000-0000-0000DD3E0000}"/>
    <cellStyle name="A_Simple Title_Company0187 Model 3 2 2" xfId="8140" xr:uid="{00000000-0005-0000-0000-0000DE3E0000}"/>
    <cellStyle name="A_Simple Title_Company0187 Model 3 2 2 2" xfId="27624" xr:uid="{00000000-0005-0000-0000-0000DF3E0000}"/>
    <cellStyle name="A_Simple Title_Company0187 Model 3 2 3" xfId="25292" xr:uid="{00000000-0005-0000-0000-0000E03E0000}"/>
    <cellStyle name="A_Simple Title_Company0187 Model 3 3" xfId="8139" xr:uid="{00000000-0005-0000-0000-0000E13E0000}"/>
    <cellStyle name="A_Simple Title_Company0187 Model 3 3 2" xfId="27623" xr:uid="{00000000-0005-0000-0000-0000E23E0000}"/>
    <cellStyle name="A_Simple Title_Company0187 Model 3 4" xfId="24077" xr:uid="{00000000-0005-0000-0000-0000E33E0000}"/>
    <cellStyle name="A_Simple Title_Company0187 Model 4" xfId="23414" xr:uid="{00000000-0005-0000-0000-0000E43E0000}"/>
    <cellStyle name="A_Simple Title_Book2" xfId="1395" xr:uid="{00000000-0005-0000-0000-0000E53E0000}"/>
    <cellStyle name="A_Simple Title_Book2 2" xfId="2590" xr:uid="{00000000-0005-0000-0000-0000E63E0000}"/>
    <cellStyle name="A_Simple Title_Book2 2 2" xfId="4900" xr:uid="{00000000-0005-0000-0000-0000E73E0000}"/>
    <cellStyle name="A_Simple Title_Book2 2 2 2" xfId="6652" xr:uid="{00000000-0005-0000-0000-0000E83E0000}"/>
    <cellStyle name="A_Simple Title_Book2 2 2 2 2" xfId="26137" xr:uid="{00000000-0005-0000-0000-0000E93E0000}"/>
    <cellStyle name="A_Simple Title_Book2 2 2 3" xfId="24394" xr:uid="{00000000-0005-0000-0000-0000EA3E0000}"/>
    <cellStyle name="A_Simple Title_Book2 2 3" xfId="5512" xr:uid="{00000000-0005-0000-0000-0000EB3E0000}"/>
    <cellStyle name="A_Simple Title_Book2 2 3 2" xfId="25000" xr:uid="{00000000-0005-0000-0000-0000EC3E0000}"/>
    <cellStyle name="A_Simple Title_Book2 2 4" xfId="23488" xr:uid="{00000000-0005-0000-0000-0000ED3E0000}"/>
    <cellStyle name="A_Simple Title_Book2 3" xfId="4541" xr:uid="{00000000-0005-0000-0000-0000EE3E0000}"/>
    <cellStyle name="A_Simple Title_Book2 3 2" xfId="5808" xr:uid="{00000000-0005-0000-0000-0000EF3E0000}"/>
    <cellStyle name="A_Simple Title_Book2 3 2 2" xfId="8142" xr:uid="{00000000-0005-0000-0000-0000F03E0000}"/>
    <cellStyle name="A_Simple Title_Book2 3 2 2 2" xfId="27626" xr:uid="{00000000-0005-0000-0000-0000F13E0000}"/>
    <cellStyle name="A_Simple Title_Book2 3 2 3" xfId="25293" xr:uid="{00000000-0005-0000-0000-0000F23E0000}"/>
    <cellStyle name="A_Simple Title_Book2 3 3" xfId="8141" xr:uid="{00000000-0005-0000-0000-0000F33E0000}"/>
    <cellStyle name="A_Simple Title_Book2 3 3 2" xfId="27625" xr:uid="{00000000-0005-0000-0000-0000F43E0000}"/>
    <cellStyle name="A_Simple Title_Book2 3 4" xfId="24078" xr:uid="{00000000-0005-0000-0000-0000F53E0000}"/>
    <cellStyle name="A_Simple Title_Book2 4" xfId="23415" xr:uid="{00000000-0005-0000-0000-0000F63E0000}"/>
    <cellStyle name="A_Sum" xfId="1396" xr:uid="{00000000-0005-0000-0000-0000F73E0000}"/>
    <cellStyle name="A_SUM_Row Major" xfId="1397" xr:uid="{00000000-0005-0000-0000-0000F83E0000}"/>
    <cellStyle name="A_SUM_Row Major 2" xfId="2112" xr:uid="{00000000-0005-0000-0000-0000F93E0000}"/>
    <cellStyle name="A_SUM_Row Major 2 2" xfId="2651" xr:uid="{00000000-0005-0000-0000-0000FA3E0000}"/>
    <cellStyle name="A_SUM_Row Major 2 2 2" xfId="4919" xr:uid="{00000000-0005-0000-0000-0000FB3E0000}"/>
    <cellStyle name="A_SUM_Row Major 2 2 2 2" xfId="6671" xr:uid="{00000000-0005-0000-0000-0000FC3E0000}"/>
    <cellStyle name="A_SUM_Row Major 2 2 2 2 2" xfId="26156" xr:uid="{00000000-0005-0000-0000-0000FD3E0000}"/>
    <cellStyle name="A_SUM_Row Major 2 2 2 3" xfId="24413" xr:uid="{00000000-0005-0000-0000-0000FE3E0000}"/>
    <cellStyle name="A_SUM_Row Major 2 2 3" xfId="5523" xr:uid="{00000000-0005-0000-0000-0000FF3E0000}"/>
    <cellStyle name="A_SUM_Row Major 2 2 3 2" xfId="25011" xr:uid="{00000000-0005-0000-0000-0000003F0000}"/>
    <cellStyle name="A_SUM_Row Major 2 2 4" xfId="23544" xr:uid="{00000000-0005-0000-0000-0000013F0000}"/>
    <cellStyle name="A_SUM_Row Major 2 3" xfId="13298" xr:uid="{00000000-0005-0000-0000-0000023F0000}"/>
    <cellStyle name="A_SUM_Row Major 2 4" xfId="13373" xr:uid="{00000000-0005-0000-0000-0000033F0000}"/>
    <cellStyle name="A_SUM_Row Major 2 4 2" xfId="32772" xr:uid="{00000000-0005-0000-0000-0000043F0000}"/>
    <cellStyle name="A_SUM_Row Major 2 5" xfId="20890" xr:uid="{00000000-0005-0000-0000-0000053F0000}"/>
    <cellStyle name="A_SUM_Row Major 2 5 2" xfId="40235" xr:uid="{00000000-0005-0000-0000-0000063F0000}"/>
    <cellStyle name="A_SUM_Row Major 2 6" xfId="23477" xr:uid="{00000000-0005-0000-0000-0000073F0000}"/>
    <cellStyle name="A_SUM_Row Major 3" xfId="2591" xr:uid="{00000000-0005-0000-0000-0000083F0000}"/>
    <cellStyle name="A_SUM_Row Major 3 10" xfId="20909" xr:uid="{00000000-0005-0000-0000-0000093F0000}"/>
    <cellStyle name="A_SUM_Row Major 3 10 2" xfId="40254" xr:uid="{00000000-0005-0000-0000-00000A3F0000}"/>
    <cellStyle name="A_SUM_Row Major 3 2" xfId="4175" xr:uid="{00000000-0005-0000-0000-00000B3F0000}"/>
    <cellStyle name="A_SUM_Row Major 3 2 10" xfId="20962" xr:uid="{00000000-0005-0000-0000-00000C3F0000}"/>
    <cellStyle name="A_SUM_Row Major 3 2 10 2" xfId="40304" xr:uid="{00000000-0005-0000-0000-00000D3F0000}"/>
    <cellStyle name="A_SUM_Row Major 3 2 2" xfId="4719" xr:uid="{00000000-0005-0000-0000-00000E3F0000}"/>
    <cellStyle name="A_SUM_Row Major 3 2 2 2" xfId="5353" xr:uid="{00000000-0005-0000-0000-00000F3F0000}"/>
    <cellStyle name="A_SUM_Row Major 3 2 2 2 2" xfId="6692" xr:uid="{00000000-0005-0000-0000-0000103F0000}"/>
    <cellStyle name="A_SUM_Row Major 3 2 2 2 2 2" xfId="14683" xr:uid="{00000000-0005-0000-0000-0000113F0000}"/>
    <cellStyle name="A_SUM_Row Major 3 2 2 2 2 2 2" xfId="34044" xr:uid="{00000000-0005-0000-0000-0000123F0000}"/>
    <cellStyle name="A_SUM_Row Major 3 2 2 2 2 3" xfId="17164" xr:uid="{00000000-0005-0000-0000-0000133F0000}"/>
    <cellStyle name="A_SUM_Row Major 3 2 2 2 2 3 2" xfId="36518" xr:uid="{00000000-0005-0000-0000-0000143F0000}"/>
    <cellStyle name="A_SUM_Row Major 3 2 2 2 2 4" xfId="19595" xr:uid="{00000000-0005-0000-0000-0000153F0000}"/>
    <cellStyle name="A_SUM_Row Major 3 2 2 2 2 4 2" xfId="38948" xr:uid="{00000000-0005-0000-0000-0000163F0000}"/>
    <cellStyle name="A_SUM_Row Major 3 2 2 2 2 5" xfId="22103" xr:uid="{00000000-0005-0000-0000-0000173F0000}"/>
    <cellStyle name="A_SUM_Row Major 3 2 2 2 2 5 2" xfId="41445" xr:uid="{00000000-0005-0000-0000-0000183F0000}"/>
    <cellStyle name="A_SUM_Row Major 3 2 2 2 2 6" xfId="26177" xr:uid="{00000000-0005-0000-0000-0000193F0000}"/>
    <cellStyle name="A_SUM_Row Major 3 2 2 2 3" xfId="15235" xr:uid="{00000000-0005-0000-0000-00001A3F0000}"/>
    <cellStyle name="A_SUM_Row Major 3 2 2 2 3 2" xfId="17711" xr:uid="{00000000-0005-0000-0000-00001B3F0000}"/>
    <cellStyle name="A_SUM_Row Major 3 2 2 2 3 2 2" xfId="37065" xr:uid="{00000000-0005-0000-0000-00001C3F0000}"/>
    <cellStyle name="A_SUM_Row Major 3 2 2 2 3 3" xfId="20142" xr:uid="{00000000-0005-0000-0000-00001D3F0000}"/>
    <cellStyle name="A_SUM_Row Major 3 2 2 2 3 3 2" xfId="39495" xr:uid="{00000000-0005-0000-0000-00001E3F0000}"/>
    <cellStyle name="A_SUM_Row Major 3 2 2 2 3 4" xfId="22655" xr:uid="{00000000-0005-0000-0000-00001F3F0000}"/>
    <cellStyle name="A_SUM_Row Major 3 2 2 2 3 4 2" xfId="41997" xr:uid="{00000000-0005-0000-0000-0000203F0000}"/>
    <cellStyle name="A_SUM_Row Major 3 2 2 2 3 5" xfId="34596" xr:uid="{00000000-0005-0000-0000-0000213F0000}"/>
    <cellStyle name="A_SUM_Row Major 3 2 2 2 4" xfId="13888" xr:uid="{00000000-0005-0000-0000-0000223F0000}"/>
    <cellStyle name="A_SUM_Row Major 3 2 2 2 4 2" xfId="33252" xr:uid="{00000000-0005-0000-0000-0000233F0000}"/>
    <cellStyle name="A_SUM_Row Major 3 2 2 2 5" xfId="16397" xr:uid="{00000000-0005-0000-0000-0000243F0000}"/>
    <cellStyle name="A_SUM_Row Major 3 2 2 2 5 2" xfId="35751" xr:uid="{00000000-0005-0000-0000-0000253F0000}"/>
    <cellStyle name="A_SUM_Row Major 3 2 2 2 6" xfId="18828" xr:uid="{00000000-0005-0000-0000-0000263F0000}"/>
    <cellStyle name="A_SUM_Row Major 3 2 2 2 6 2" xfId="38181" xr:uid="{00000000-0005-0000-0000-0000273F0000}"/>
    <cellStyle name="A_SUM_Row Major 3 2 2 2 7" xfId="21311" xr:uid="{00000000-0005-0000-0000-0000283F0000}"/>
    <cellStyle name="A_SUM_Row Major 3 2 2 2 7 2" xfId="40653" xr:uid="{00000000-0005-0000-0000-0000293F0000}"/>
    <cellStyle name="A_SUM_Row Major 3 2 2 2 8" xfId="24844" xr:uid="{00000000-0005-0000-0000-00002A3F0000}"/>
    <cellStyle name="A_SUM_Row Major 3 2 2 3" xfId="6630" xr:uid="{00000000-0005-0000-0000-00002B3F0000}"/>
    <cellStyle name="A_SUM_Row Major 3 2 2 3 2" xfId="14887" xr:uid="{00000000-0005-0000-0000-00002C3F0000}"/>
    <cellStyle name="A_SUM_Row Major 3 2 2 3 2 2" xfId="17365" xr:uid="{00000000-0005-0000-0000-00002D3F0000}"/>
    <cellStyle name="A_SUM_Row Major 3 2 2 3 2 2 2" xfId="36719" xr:uid="{00000000-0005-0000-0000-00002E3F0000}"/>
    <cellStyle name="A_SUM_Row Major 3 2 2 3 2 3" xfId="19796" xr:uid="{00000000-0005-0000-0000-00002F3F0000}"/>
    <cellStyle name="A_SUM_Row Major 3 2 2 3 2 3 2" xfId="39149" xr:uid="{00000000-0005-0000-0000-0000303F0000}"/>
    <cellStyle name="A_SUM_Row Major 3 2 2 3 2 4" xfId="22307" xr:uid="{00000000-0005-0000-0000-0000313F0000}"/>
    <cellStyle name="A_SUM_Row Major 3 2 2 3 2 4 2" xfId="41649" xr:uid="{00000000-0005-0000-0000-0000323F0000}"/>
    <cellStyle name="A_SUM_Row Major 3 2 2 3 2 5" xfId="34248" xr:uid="{00000000-0005-0000-0000-0000333F0000}"/>
    <cellStyle name="A_SUM_Row Major 3 2 2 3 3" xfId="15434" xr:uid="{00000000-0005-0000-0000-0000343F0000}"/>
    <cellStyle name="A_SUM_Row Major 3 2 2 3 3 2" xfId="17910" xr:uid="{00000000-0005-0000-0000-0000353F0000}"/>
    <cellStyle name="A_SUM_Row Major 3 2 2 3 3 2 2" xfId="37264" xr:uid="{00000000-0005-0000-0000-0000363F0000}"/>
    <cellStyle name="A_SUM_Row Major 3 2 2 3 3 3" xfId="20341" xr:uid="{00000000-0005-0000-0000-0000373F0000}"/>
    <cellStyle name="A_SUM_Row Major 3 2 2 3 3 3 2" xfId="39694" xr:uid="{00000000-0005-0000-0000-0000383F0000}"/>
    <cellStyle name="A_SUM_Row Major 3 2 2 3 3 4" xfId="22854" xr:uid="{00000000-0005-0000-0000-0000393F0000}"/>
    <cellStyle name="A_SUM_Row Major 3 2 2 3 3 4 2" xfId="42196" xr:uid="{00000000-0005-0000-0000-00003A3F0000}"/>
    <cellStyle name="A_SUM_Row Major 3 2 2 3 3 5" xfId="34795" xr:uid="{00000000-0005-0000-0000-00003B3F0000}"/>
    <cellStyle name="A_SUM_Row Major 3 2 2 3 4" xfId="15893" xr:uid="{00000000-0005-0000-0000-00003C3F0000}"/>
    <cellStyle name="A_SUM_Row Major 3 2 2 3 4 2" xfId="18369" xr:uid="{00000000-0005-0000-0000-00003D3F0000}"/>
    <cellStyle name="A_SUM_Row Major 3 2 2 3 4 2 2" xfId="37723" xr:uid="{00000000-0005-0000-0000-00003E3F0000}"/>
    <cellStyle name="A_SUM_Row Major 3 2 2 3 4 3" xfId="20800" xr:uid="{00000000-0005-0000-0000-00003F3F0000}"/>
    <cellStyle name="A_SUM_Row Major 3 2 2 3 4 3 2" xfId="40153" xr:uid="{00000000-0005-0000-0000-0000403F0000}"/>
    <cellStyle name="A_SUM_Row Major 3 2 2 3 4 4" xfId="23313" xr:uid="{00000000-0005-0000-0000-0000413F0000}"/>
    <cellStyle name="A_SUM_Row Major 3 2 2 3 4 4 2" xfId="42655" xr:uid="{00000000-0005-0000-0000-0000423F0000}"/>
    <cellStyle name="A_SUM_Row Major 3 2 2 3 4 5" xfId="35254" xr:uid="{00000000-0005-0000-0000-0000433F0000}"/>
    <cellStyle name="A_SUM_Row Major 3 2 2 3 5" xfId="14106" xr:uid="{00000000-0005-0000-0000-0000443F0000}"/>
    <cellStyle name="A_SUM_Row Major 3 2 2 3 5 2" xfId="33470" xr:uid="{00000000-0005-0000-0000-0000453F0000}"/>
    <cellStyle name="A_SUM_Row Major 3 2 2 3 6" xfId="16612" xr:uid="{00000000-0005-0000-0000-0000463F0000}"/>
    <cellStyle name="A_SUM_Row Major 3 2 2 3 6 2" xfId="35966" xr:uid="{00000000-0005-0000-0000-0000473F0000}"/>
    <cellStyle name="A_SUM_Row Major 3 2 2 3 7" xfId="19043" xr:uid="{00000000-0005-0000-0000-0000483F0000}"/>
    <cellStyle name="A_SUM_Row Major 3 2 2 3 7 2" xfId="38396" xr:uid="{00000000-0005-0000-0000-0000493F0000}"/>
    <cellStyle name="A_SUM_Row Major 3 2 2 3 8" xfId="21529" xr:uid="{00000000-0005-0000-0000-00004A3F0000}"/>
    <cellStyle name="A_SUM_Row Major 3 2 2 3 8 2" xfId="40871" xr:uid="{00000000-0005-0000-0000-00004B3F0000}"/>
    <cellStyle name="A_SUM_Row Major 3 2 2 3 9" xfId="26115" xr:uid="{00000000-0005-0000-0000-00004C3F0000}"/>
    <cellStyle name="A_SUM_Row Major 3 2 2 4" xfId="14398" xr:uid="{00000000-0005-0000-0000-00004D3F0000}"/>
    <cellStyle name="A_SUM_Row Major 3 2 2 4 2" xfId="16891" xr:uid="{00000000-0005-0000-0000-00004E3F0000}"/>
    <cellStyle name="A_SUM_Row Major 3 2 2 4 2 2" xfId="36245" xr:uid="{00000000-0005-0000-0000-00004F3F0000}"/>
    <cellStyle name="A_SUM_Row Major 3 2 2 4 3" xfId="19322" xr:uid="{00000000-0005-0000-0000-0000503F0000}"/>
    <cellStyle name="A_SUM_Row Major 3 2 2 4 3 2" xfId="38675" xr:uid="{00000000-0005-0000-0000-0000513F0000}"/>
    <cellStyle name="A_SUM_Row Major 3 2 2 4 4" xfId="21818" xr:uid="{00000000-0005-0000-0000-0000523F0000}"/>
    <cellStyle name="A_SUM_Row Major 3 2 2 4 4 2" xfId="41160" xr:uid="{00000000-0005-0000-0000-0000533F0000}"/>
    <cellStyle name="A_SUM_Row Major 3 2 2 4 5" xfId="33759" xr:uid="{00000000-0005-0000-0000-0000543F0000}"/>
    <cellStyle name="A_SUM_Row Major 3 2 2 5" xfId="15028" xr:uid="{00000000-0005-0000-0000-0000553F0000}"/>
    <cellStyle name="A_SUM_Row Major 3 2 2 5 2" xfId="17504" xr:uid="{00000000-0005-0000-0000-0000563F0000}"/>
    <cellStyle name="A_SUM_Row Major 3 2 2 5 2 2" xfId="36858" xr:uid="{00000000-0005-0000-0000-0000573F0000}"/>
    <cellStyle name="A_SUM_Row Major 3 2 2 5 3" xfId="19935" xr:uid="{00000000-0005-0000-0000-0000583F0000}"/>
    <cellStyle name="A_SUM_Row Major 3 2 2 5 3 2" xfId="39288" xr:uid="{00000000-0005-0000-0000-0000593F0000}"/>
    <cellStyle name="A_SUM_Row Major 3 2 2 5 4" xfId="22448" xr:uid="{00000000-0005-0000-0000-00005A3F0000}"/>
    <cellStyle name="A_SUM_Row Major 3 2 2 5 4 2" xfId="41790" xr:uid="{00000000-0005-0000-0000-00005B3F0000}"/>
    <cellStyle name="A_SUM_Row Major 3 2 2 5 5" xfId="34389" xr:uid="{00000000-0005-0000-0000-00005C3F0000}"/>
    <cellStyle name="A_SUM_Row Major 3 2 2 6" xfId="14262" xr:uid="{00000000-0005-0000-0000-00005D3F0000}"/>
    <cellStyle name="A_SUM_Row Major 3 2 2 6 2" xfId="16762" xr:uid="{00000000-0005-0000-0000-00005E3F0000}"/>
    <cellStyle name="A_SUM_Row Major 3 2 2 6 2 2" xfId="36116" xr:uid="{00000000-0005-0000-0000-00005F3F0000}"/>
    <cellStyle name="A_SUM_Row Major 3 2 2 6 3" xfId="19193" xr:uid="{00000000-0005-0000-0000-0000603F0000}"/>
    <cellStyle name="A_SUM_Row Major 3 2 2 6 3 2" xfId="38546" xr:uid="{00000000-0005-0000-0000-0000613F0000}"/>
    <cellStyle name="A_SUM_Row Major 3 2 2 6 4" xfId="21683" xr:uid="{00000000-0005-0000-0000-0000623F0000}"/>
    <cellStyle name="A_SUM_Row Major 3 2 2 6 4 2" xfId="41025" xr:uid="{00000000-0005-0000-0000-0000633F0000}"/>
    <cellStyle name="A_SUM_Row Major 3 2 2 6 5" xfId="33624" xr:uid="{00000000-0005-0000-0000-0000643F0000}"/>
    <cellStyle name="A_SUM_Row Major 3 2 2 7" xfId="13589" xr:uid="{00000000-0005-0000-0000-0000653F0000}"/>
    <cellStyle name="A_SUM_Row Major 3 2 2 7 2" xfId="32955" xr:uid="{00000000-0005-0000-0000-0000663F0000}"/>
    <cellStyle name="A_SUM_Row Major 3 2 2 8" xfId="16118" xr:uid="{00000000-0005-0000-0000-0000673F0000}"/>
    <cellStyle name="A_SUM_Row Major 3 2 2 8 2" xfId="35472" xr:uid="{00000000-0005-0000-0000-0000683F0000}"/>
    <cellStyle name="A_SUM_Row Major 3 2 2 9" xfId="18541" xr:uid="{00000000-0005-0000-0000-0000693F0000}"/>
    <cellStyle name="A_SUM_Row Major 3 2 2 9 2" xfId="37894" xr:uid="{00000000-0005-0000-0000-00006A3F0000}"/>
    <cellStyle name="A_SUM_Row Major 3 2 3" xfId="13657" xr:uid="{00000000-0005-0000-0000-00006B3F0000}"/>
    <cellStyle name="A_SUM_Row Major 3 2 3 2" xfId="13955" xr:uid="{00000000-0005-0000-0000-00006C3F0000}"/>
    <cellStyle name="A_SUM_Row Major 3 2 3 2 2" xfId="14750" xr:uid="{00000000-0005-0000-0000-00006D3F0000}"/>
    <cellStyle name="A_SUM_Row Major 3 2 3 2 2 2" xfId="17228" xr:uid="{00000000-0005-0000-0000-00006E3F0000}"/>
    <cellStyle name="A_SUM_Row Major 3 2 3 2 2 2 2" xfId="36582" xr:uid="{00000000-0005-0000-0000-00006F3F0000}"/>
    <cellStyle name="A_SUM_Row Major 3 2 3 2 2 3" xfId="19659" xr:uid="{00000000-0005-0000-0000-0000703F0000}"/>
    <cellStyle name="A_SUM_Row Major 3 2 3 2 2 3 2" xfId="39012" xr:uid="{00000000-0005-0000-0000-0000713F0000}"/>
    <cellStyle name="A_SUM_Row Major 3 2 3 2 2 4" xfId="22170" xr:uid="{00000000-0005-0000-0000-0000723F0000}"/>
    <cellStyle name="A_SUM_Row Major 3 2 3 2 2 4 2" xfId="41512" xr:uid="{00000000-0005-0000-0000-0000733F0000}"/>
    <cellStyle name="A_SUM_Row Major 3 2 3 2 2 5" xfId="34111" xr:uid="{00000000-0005-0000-0000-0000743F0000}"/>
    <cellStyle name="A_SUM_Row Major 3 2 3 2 3" xfId="15298" xr:uid="{00000000-0005-0000-0000-0000753F0000}"/>
    <cellStyle name="A_SUM_Row Major 3 2 3 2 3 2" xfId="17774" xr:uid="{00000000-0005-0000-0000-0000763F0000}"/>
    <cellStyle name="A_SUM_Row Major 3 2 3 2 3 2 2" xfId="37128" xr:uid="{00000000-0005-0000-0000-0000773F0000}"/>
    <cellStyle name="A_SUM_Row Major 3 2 3 2 3 3" xfId="20205" xr:uid="{00000000-0005-0000-0000-0000783F0000}"/>
    <cellStyle name="A_SUM_Row Major 3 2 3 2 3 3 2" xfId="39558" xr:uid="{00000000-0005-0000-0000-0000793F0000}"/>
    <cellStyle name="A_SUM_Row Major 3 2 3 2 3 4" xfId="22718" xr:uid="{00000000-0005-0000-0000-00007A3F0000}"/>
    <cellStyle name="A_SUM_Row Major 3 2 3 2 3 4 2" xfId="42060" xr:uid="{00000000-0005-0000-0000-00007B3F0000}"/>
    <cellStyle name="A_SUM_Row Major 3 2 3 2 3 5" xfId="34659" xr:uid="{00000000-0005-0000-0000-00007C3F0000}"/>
    <cellStyle name="A_SUM_Row Major 3 2 3 2 4" xfId="15757" xr:uid="{00000000-0005-0000-0000-00007D3F0000}"/>
    <cellStyle name="A_SUM_Row Major 3 2 3 2 4 2" xfId="18233" xr:uid="{00000000-0005-0000-0000-00007E3F0000}"/>
    <cellStyle name="A_SUM_Row Major 3 2 3 2 4 2 2" xfId="37587" xr:uid="{00000000-0005-0000-0000-00007F3F0000}"/>
    <cellStyle name="A_SUM_Row Major 3 2 3 2 4 3" xfId="20664" xr:uid="{00000000-0005-0000-0000-0000803F0000}"/>
    <cellStyle name="A_SUM_Row Major 3 2 3 2 4 3 2" xfId="40017" xr:uid="{00000000-0005-0000-0000-0000813F0000}"/>
    <cellStyle name="A_SUM_Row Major 3 2 3 2 4 4" xfId="23177" xr:uid="{00000000-0005-0000-0000-0000823F0000}"/>
    <cellStyle name="A_SUM_Row Major 3 2 3 2 4 4 2" xfId="42519" xr:uid="{00000000-0005-0000-0000-0000833F0000}"/>
    <cellStyle name="A_SUM_Row Major 3 2 3 2 4 5" xfId="35118" xr:uid="{00000000-0005-0000-0000-0000843F0000}"/>
    <cellStyle name="A_SUM_Row Major 3 2 3 2 5" xfId="16461" xr:uid="{00000000-0005-0000-0000-0000853F0000}"/>
    <cellStyle name="A_SUM_Row Major 3 2 3 2 5 2" xfId="35815" xr:uid="{00000000-0005-0000-0000-0000863F0000}"/>
    <cellStyle name="A_SUM_Row Major 3 2 3 2 6" xfId="18892" xr:uid="{00000000-0005-0000-0000-0000873F0000}"/>
    <cellStyle name="A_SUM_Row Major 3 2 3 2 6 2" xfId="38245" xr:uid="{00000000-0005-0000-0000-0000883F0000}"/>
    <cellStyle name="A_SUM_Row Major 3 2 3 2 7" xfId="21378" xr:uid="{00000000-0005-0000-0000-0000893F0000}"/>
    <cellStyle name="A_SUM_Row Major 3 2 3 2 7 2" xfId="40720" xr:uid="{00000000-0005-0000-0000-00008A3F0000}"/>
    <cellStyle name="A_SUM_Row Major 3 2 3 2 8" xfId="33319" xr:uid="{00000000-0005-0000-0000-00008B3F0000}"/>
    <cellStyle name="A_SUM_Row Major 3 2 3 3" xfId="14169" xr:uid="{00000000-0005-0000-0000-00008C3F0000}"/>
    <cellStyle name="A_SUM_Row Major 3 2 3 3 2" xfId="14946" xr:uid="{00000000-0005-0000-0000-00008D3F0000}"/>
    <cellStyle name="A_SUM_Row Major 3 2 3 3 2 2" xfId="17424" xr:uid="{00000000-0005-0000-0000-00008E3F0000}"/>
    <cellStyle name="A_SUM_Row Major 3 2 3 3 2 2 2" xfId="36778" xr:uid="{00000000-0005-0000-0000-00008F3F0000}"/>
    <cellStyle name="A_SUM_Row Major 3 2 3 3 2 3" xfId="19855" xr:uid="{00000000-0005-0000-0000-0000903F0000}"/>
    <cellStyle name="A_SUM_Row Major 3 2 3 3 2 3 2" xfId="39208" xr:uid="{00000000-0005-0000-0000-0000913F0000}"/>
    <cellStyle name="A_SUM_Row Major 3 2 3 3 2 4" xfId="22366" xr:uid="{00000000-0005-0000-0000-0000923F0000}"/>
    <cellStyle name="A_SUM_Row Major 3 2 3 3 2 4 2" xfId="41708" xr:uid="{00000000-0005-0000-0000-0000933F0000}"/>
    <cellStyle name="A_SUM_Row Major 3 2 3 3 2 5" xfId="34307" xr:uid="{00000000-0005-0000-0000-0000943F0000}"/>
    <cellStyle name="A_SUM_Row Major 3 2 3 3 3" xfId="15492" xr:uid="{00000000-0005-0000-0000-0000953F0000}"/>
    <cellStyle name="A_SUM_Row Major 3 2 3 3 3 2" xfId="17968" xr:uid="{00000000-0005-0000-0000-0000963F0000}"/>
    <cellStyle name="A_SUM_Row Major 3 2 3 3 3 2 2" xfId="37322" xr:uid="{00000000-0005-0000-0000-0000973F0000}"/>
    <cellStyle name="A_SUM_Row Major 3 2 3 3 3 3" xfId="20399" xr:uid="{00000000-0005-0000-0000-0000983F0000}"/>
    <cellStyle name="A_SUM_Row Major 3 2 3 3 3 3 2" xfId="39752" xr:uid="{00000000-0005-0000-0000-0000993F0000}"/>
    <cellStyle name="A_SUM_Row Major 3 2 3 3 3 4" xfId="22912" xr:uid="{00000000-0005-0000-0000-00009A3F0000}"/>
    <cellStyle name="A_SUM_Row Major 3 2 3 3 3 4 2" xfId="42254" xr:uid="{00000000-0005-0000-0000-00009B3F0000}"/>
    <cellStyle name="A_SUM_Row Major 3 2 3 3 3 5" xfId="34853" xr:uid="{00000000-0005-0000-0000-00009C3F0000}"/>
    <cellStyle name="A_SUM_Row Major 3 2 3 3 4" xfId="15951" xr:uid="{00000000-0005-0000-0000-00009D3F0000}"/>
    <cellStyle name="A_SUM_Row Major 3 2 3 3 4 2" xfId="18427" xr:uid="{00000000-0005-0000-0000-00009E3F0000}"/>
    <cellStyle name="A_SUM_Row Major 3 2 3 3 4 2 2" xfId="37781" xr:uid="{00000000-0005-0000-0000-00009F3F0000}"/>
    <cellStyle name="A_SUM_Row Major 3 2 3 3 4 3" xfId="20858" xr:uid="{00000000-0005-0000-0000-0000A03F0000}"/>
    <cellStyle name="A_SUM_Row Major 3 2 3 3 4 3 2" xfId="40211" xr:uid="{00000000-0005-0000-0000-0000A13F0000}"/>
    <cellStyle name="A_SUM_Row Major 3 2 3 3 4 4" xfId="23371" xr:uid="{00000000-0005-0000-0000-0000A23F0000}"/>
    <cellStyle name="A_SUM_Row Major 3 2 3 3 4 4 2" xfId="42713" xr:uid="{00000000-0005-0000-0000-0000A33F0000}"/>
    <cellStyle name="A_SUM_Row Major 3 2 3 3 4 5" xfId="35312" xr:uid="{00000000-0005-0000-0000-0000A43F0000}"/>
    <cellStyle name="A_SUM_Row Major 3 2 3 3 5" xfId="16675" xr:uid="{00000000-0005-0000-0000-0000A53F0000}"/>
    <cellStyle name="A_SUM_Row Major 3 2 3 3 5 2" xfId="36029" xr:uid="{00000000-0005-0000-0000-0000A63F0000}"/>
    <cellStyle name="A_SUM_Row Major 3 2 3 3 6" xfId="19106" xr:uid="{00000000-0005-0000-0000-0000A73F0000}"/>
    <cellStyle name="A_SUM_Row Major 3 2 3 3 6 2" xfId="38459" xr:uid="{00000000-0005-0000-0000-0000A83F0000}"/>
    <cellStyle name="A_SUM_Row Major 3 2 3 3 7" xfId="21592" xr:uid="{00000000-0005-0000-0000-0000A93F0000}"/>
    <cellStyle name="A_SUM_Row Major 3 2 3 3 7 2" xfId="40934" xr:uid="{00000000-0005-0000-0000-0000AA3F0000}"/>
    <cellStyle name="A_SUM_Row Major 3 2 3 3 8" xfId="33533" xr:uid="{00000000-0005-0000-0000-0000AB3F0000}"/>
    <cellStyle name="A_SUM_Row Major 3 2 3 4" xfId="14465" xr:uid="{00000000-0005-0000-0000-0000AC3F0000}"/>
    <cellStyle name="A_SUM_Row Major 3 2 3 4 2" xfId="16955" xr:uid="{00000000-0005-0000-0000-0000AD3F0000}"/>
    <cellStyle name="A_SUM_Row Major 3 2 3 4 2 2" xfId="36309" xr:uid="{00000000-0005-0000-0000-0000AE3F0000}"/>
    <cellStyle name="A_SUM_Row Major 3 2 3 4 3" xfId="19386" xr:uid="{00000000-0005-0000-0000-0000AF3F0000}"/>
    <cellStyle name="A_SUM_Row Major 3 2 3 4 3 2" xfId="38739" xr:uid="{00000000-0005-0000-0000-0000B03F0000}"/>
    <cellStyle name="A_SUM_Row Major 3 2 3 4 4" xfId="21885" xr:uid="{00000000-0005-0000-0000-0000B13F0000}"/>
    <cellStyle name="A_SUM_Row Major 3 2 3 4 4 2" xfId="41227" xr:uid="{00000000-0005-0000-0000-0000B23F0000}"/>
    <cellStyle name="A_SUM_Row Major 3 2 3 4 5" xfId="33826" xr:uid="{00000000-0005-0000-0000-0000B33F0000}"/>
    <cellStyle name="A_SUM_Row Major 3 2 3 5" xfId="16177" xr:uid="{00000000-0005-0000-0000-0000B43F0000}"/>
    <cellStyle name="A_SUM_Row Major 3 2 3 5 2" xfId="35531" xr:uid="{00000000-0005-0000-0000-0000B53F0000}"/>
    <cellStyle name="A_SUM_Row Major 3 2 3 6" xfId="18608" xr:uid="{00000000-0005-0000-0000-0000B63F0000}"/>
    <cellStyle name="A_SUM_Row Major 3 2 3 6 2" xfId="37961" xr:uid="{00000000-0005-0000-0000-0000B73F0000}"/>
    <cellStyle name="A_SUM_Row Major 3 2 3 7" xfId="21082" xr:uid="{00000000-0005-0000-0000-0000B83F0000}"/>
    <cellStyle name="A_SUM_Row Major 3 2 3 7 2" xfId="40424" xr:uid="{00000000-0005-0000-0000-0000B93F0000}"/>
    <cellStyle name="A_SUM_Row Major 3 2 3 8" xfId="33023" xr:uid="{00000000-0005-0000-0000-0000BA3F0000}"/>
    <cellStyle name="A_SUM_Row Major 3 2 4" xfId="13775" xr:uid="{00000000-0005-0000-0000-0000BB3F0000}"/>
    <cellStyle name="A_SUM_Row Major 3 2 4 2" xfId="14574" xr:uid="{00000000-0005-0000-0000-0000BC3F0000}"/>
    <cellStyle name="A_SUM_Row Major 3 2 4 2 2" xfId="17061" xr:uid="{00000000-0005-0000-0000-0000BD3F0000}"/>
    <cellStyle name="A_SUM_Row Major 3 2 4 2 2 2" xfId="36415" xr:uid="{00000000-0005-0000-0000-0000BE3F0000}"/>
    <cellStyle name="A_SUM_Row Major 3 2 4 2 3" xfId="19492" xr:uid="{00000000-0005-0000-0000-0000BF3F0000}"/>
    <cellStyle name="A_SUM_Row Major 3 2 4 2 3 2" xfId="38845" xr:uid="{00000000-0005-0000-0000-0000C03F0000}"/>
    <cellStyle name="A_SUM_Row Major 3 2 4 2 4" xfId="21994" xr:uid="{00000000-0005-0000-0000-0000C13F0000}"/>
    <cellStyle name="A_SUM_Row Major 3 2 4 2 4 2" xfId="41336" xr:uid="{00000000-0005-0000-0000-0000C23F0000}"/>
    <cellStyle name="A_SUM_Row Major 3 2 4 2 5" xfId="33935" xr:uid="{00000000-0005-0000-0000-0000C33F0000}"/>
    <cellStyle name="A_SUM_Row Major 3 2 4 3" xfId="15134" xr:uid="{00000000-0005-0000-0000-0000C43F0000}"/>
    <cellStyle name="A_SUM_Row Major 3 2 4 3 2" xfId="17610" xr:uid="{00000000-0005-0000-0000-0000C53F0000}"/>
    <cellStyle name="A_SUM_Row Major 3 2 4 3 2 2" xfId="36964" xr:uid="{00000000-0005-0000-0000-0000C63F0000}"/>
    <cellStyle name="A_SUM_Row Major 3 2 4 3 3" xfId="20041" xr:uid="{00000000-0005-0000-0000-0000C73F0000}"/>
    <cellStyle name="A_SUM_Row Major 3 2 4 3 3 2" xfId="39394" xr:uid="{00000000-0005-0000-0000-0000C83F0000}"/>
    <cellStyle name="A_SUM_Row Major 3 2 4 3 4" xfId="22554" xr:uid="{00000000-0005-0000-0000-0000C93F0000}"/>
    <cellStyle name="A_SUM_Row Major 3 2 4 3 4 2" xfId="41896" xr:uid="{00000000-0005-0000-0000-0000CA3F0000}"/>
    <cellStyle name="A_SUM_Row Major 3 2 4 3 5" xfId="34495" xr:uid="{00000000-0005-0000-0000-0000CB3F0000}"/>
    <cellStyle name="A_SUM_Row Major 3 2 4 4" xfId="15615" xr:uid="{00000000-0005-0000-0000-0000CC3F0000}"/>
    <cellStyle name="A_SUM_Row Major 3 2 4 4 2" xfId="18091" xr:uid="{00000000-0005-0000-0000-0000CD3F0000}"/>
    <cellStyle name="A_SUM_Row Major 3 2 4 4 2 2" xfId="37445" xr:uid="{00000000-0005-0000-0000-0000CE3F0000}"/>
    <cellStyle name="A_SUM_Row Major 3 2 4 4 3" xfId="20522" xr:uid="{00000000-0005-0000-0000-0000CF3F0000}"/>
    <cellStyle name="A_SUM_Row Major 3 2 4 4 3 2" xfId="39875" xr:uid="{00000000-0005-0000-0000-0000D03F0000}"/>
    <cellStyle name="A_SUM_Row Major 3 2 4 4 4" xfId="23035" xr:uid="{00000000-0005-0000-0000-0000D13F0000}"/>
    <cellStyle name="A_SUM_Row Major 3 2 4 4 4 2" xfId="42377" xr:uid="{00000000-0005-0000-0000-0000D23F0000}"/>
    <cellStyle name="A_SUM_Row Major 3 2 4 4 5" xfId="34976" xr:uid="{00000000-0005-0000-0000-0000D33F0000}"/>
    <cellStyle name="A_SUM_Row Major 3 2 4 5" xfId="16290" xr:uid="{00000000-0005-0000-0000-0000D43F0000}"/>
    <cellStyle name="A_SUM_Row Major 3 2 4 5 2" xfId="35644" xr:uid="{00000000-0005-0000-0000-0000D53F0000}"/>
    <cellStyle name="A_SUM_Row Major 3 2 4 6" xfId="18721" xr:uid="{00000000-0005-0000-0000-0000D63F0000}"/>
    <cellStyle name="A_SUM_Row Major 3 2 4 6 2" xfId="38074" xr:uid="{00000000-0005-0000-0000-0000D73F0000}"/>
    <cellStyle name="A_SUM_Row Major 3 2 4 7" xfId="21198" xr:uid="{00000000-0005-0000-0000-0000D83F0000}"/>
    <cellStyle name="A_SUM_Row Major 3 2 4 7 2" xfId="40540" xr:uid="{00000000-0005-0000-0000-0000D93F0000}"/>
    <cellStyle name="A_SUM_Row Major 3 2 4 8" xfId="33139" xr:uid="{00000000-0005-0000-0000-0000DA3F0000}"/>
    <cellStyle name="A_SUM_Row Major 3 2 5" xfId="14005" xr:uid="{00000000-0005-0000-0000-0000DB3F0000}"/>
    <cellStyle name="A_SUM_Row Major 3 2 5 2" xfId="14800" xr:uid="{00000000-0005-0000-0000-0000DC3F0000}"/>
    <cellStyle name="A_SUM_Row Major 3 2 5 2 2" xfId="17278" xr:uid="{00000000-0005-0000-0000-0000DD3F0000}"/>
    <cellStyle name="A_SUM_Row Major 3 2 5 2 2 2" xfId="36632" xr:uid="{00000000-0005-0000-0000-0000DE3F0000}"/>
    <cellStyle name="A_SUM_Row Major 3 2 5 2 3" xfId="19709" xr:uid="{00000000-0005-0000-0000-0000DF3F0000}"/>
    <cellStyle name="A_SUM_Row Major 3 2 5 2 3 2" xfId="39062" xr:uid="{00000000-0005-0000-0000-0000E03F0000}"/>
    <cellStyle name="A_SUM_Row Major 3 2 5 2 4" xfId="22220" xr:uid="{00000000-0005-0000-0000-0000E13F0000}"/>
    <cellStyle name="A_SUM_Row Major 3 2 5 2 4 2" xfId="41562" xr:uid="{00000000-0005-0000-0000-0000E23F0000}"/>
    <cellStyle name="A_SUM_Row Major 3 2 5 2 5" xfId="34161" xr:uid="{00000000-0005-0000-0000-0000E33F0000}"/>
    <cellStyle name="A_SUM_Row Major 3 2 5 3" xfId="15348" xr:uid="{00000000-0005-0000-0000-0000E43F0000}"/>
    <cellStyle name="A_SUM_Row Major 3 2 5 3 2" xfId="17824" xr:uid="{00000000-0005-0000-0000-0000E53F0000}"/>
    <cellStyle name="A_SUM_Row Major 3 2 5 3 2 2" xfId="37178" xr:uid="{00000000-0005-0000-0000-0000E63F0000}"/>
    <cellStyle name="A_SUM_Row Major 3 2 5 3 3" xfId="20255" xr:uid="{00000000-0005-0000-0000-0000E73F0000}"/>
    <cellStyle name="A_SUM_Row Major 3 2 5 3 3 2" xfId="39608" xr:uid="{00000000-0005-0000-0000-0000E83F0000}"/>
    <cellStyle name="A_SUM_Row Major 3 2 5 3 4" xfId="22768" xr:uid="{00000000-0005-0000-0000-0000E93F0000}"/>
    <cellStyle name="A_SUM_Row Major 3 2 5 3 4 2" xfId="42110" xr:uid="{00000000-0005-0000-0000-0000EA3F0000}"/>
    <cellStyle name="A_SUM_Row Major 3 2 5 3 5" xfId="34709" xr:uid="{00000000-0005-0000-0000-0000EB3F0000}"/>
    <cellStyle name="A_SUM_Row Major 3 2 5 4" xfId="15807" xr:uid="{00000000-0005-0000-0000-0000EC3F0000}"/>
    <cellStyle name="A_SUM_Row Major 3 2 5 4 2" xfId="18283" xr:uid="{00000000-0005-0000-0000-0000ED3F0000}"/>
    <cellStyle name="A_SUM_Row Major 3 2 5 4 2 2" xfId="37637" xr:uid="{00000000-0005-0000-0000-0000EE3F0000}"/>
    <cellStyle name="A_SUM_Row Major 3 2 5 4 3" xfId="20714" xr:uid="{00000000-0005-0000-0000-0000EF3F0000}"/>
    <cellStyle name="A_SUM_Row Major 3 2 5 4 3 2" xfId="40067" xr:uid="{00000000-0005-0000-0000-0000F03F0000}"/>
    <cellStyle name="A_SUM_Row Major 3 2 5 4 4" xfId="23227" xr:uid="{00000000-0005-0000-0000-0000F13F0000}"/>
    <cellStyle name="A_SUM_Row Major 3 2 5 4 4 2" xfId="42569" xr:uid="{00000000-0005-0000-0000-0000F23F0000}"/>
    <cellStyle name="A_SUM_Row Major 3 2 5 4 5" xfId="35168" xr:uid="{00000000-0005-0000-0000-0000F33F0000}"/>
    <cellStyle name="A_SUM_Row Major 3 2 5 5" xfId="16511" xr:uid="{00000000-0005-0000-0000-0000F43F0000}"/>
    <cellStyle name="A_SUM_Row Major 3 2 5 5 2" xfId="35865" xr:uid="{00000000-0005-0000-0000-0000F53F0000}"/>
    <cellStyle name="A_SUM_Row Major 3 2 5 6" xfId="18942" xr:uid="{00000000-0005-0000-0000-0000F63F0000}"/>
    <cellStyle name="A_SUM_Row Major 3 2 5 6 2" xfId="38295" xr:uid="{00000000-0005-0000-0000-0000F73F0000}"/>
    <cellStyle name="A_SUM_Row Major 3 2 5 7" xfId="21428" xr:uid="{00000000-0005-0000-0000-0000F83F0000}"/>
    <cellStyle name="A_SUM_Row Major 3 2 5 7 2" xfId="40770" xr:uid="{00000000-0005-0000-0000-0000F93F0000}"/>
    <cellStyle name="A_SUM_Row Major 3 2 5 8" xfId="33369" xr:uid="{00000000-0005-0000-0000-0000FA3F0000}"/>
    <cellStyle name="A_SUM_Row Major 3 2 6" xfId="14293" xr:uid="{00000000-0005-0000-0000-0000FB3F0000}"/>
    <cellStyle name="A_SUM_Row Major 3 2 6 2" xfId="16792" xr:uid="{00000000-0005-0000-0000-0000FC3F0000}"/>
    <cellStyle name="A_SUM_Row Major 3 2 6 2 2" xfId="36146" xr:uid="{00000000-0005-0000-0000-0000FD3F0000}"/>
    <cellStyle name="A_SUM_Row Major 3 2 6 3" xfId="19223" xr:uid="{00000000-0005-0000-0000-0000FE3F0000}"/>
    <cellStyle name="A_SUM_Row Major 3 2 6 3 2" xfId="38576" xr:uid="{00000000-0005-0000-0000-0000FF3F0000}"/>
    <cellStyle name="A_SUM_Row Major 3 2 6 4" xfId="21713" xr:uid="{00000000-0005-0000-0000-000000400000}"/>
    <cellStyle name="A_SUM_Row Major 3 2 6 4 2" xfId="41055" xr:uid="{00000000-0005-0000-0000-000001400000}"/>
    <cellStyle name="A_SUM_Row Major 3 2 6 5" xfId="33654" xr:uid="{00000000-0005-0000-0000-000002400000}"/>
    <cellStyle name="A_SUM_Row Major 3 2 7" xfId="13462" xr:uid="{00000000-0005-0000-0000-000003400000}"/>
    <cellStyle name="A_SUM_Row Major 3 2 7 2" xfId="32841" xr:uid="{00000000-0005-0000-0000-000004400000}"/>
    <cellStyle name="A_SUM_Row Major 3 2 8" xfId="16032" xr:uid="{00000000-0005-0000-0000-000005400000}"/>
    <cellStyle name="A_SUM_Row Major 3 2 8 2" xfId="35386" xr:uid="{00000000-0005-0000-0000-000006400000}"/>
    <cellStyle name="A_SUM_Row Major 3 2 9" xfId="13368" xr:uid="{00000000-0005-0000-0000-000007400000}"/>
    <cellStyle name="A_SUM_Row Major 3 2 9 2" xfId="32767" xr:uid="{00000000-0005-0000-0000-000008400000}"/>
    <cellStyle name="A_SUM_Row Major 3 3" xfId="4901" xr:uid="{00000000-0005-0000-0000-000009400000}"/>
    <cellStyle name="A_SUM_Row Major 3 3 10" xfId="20974" xr:uid="{00000000-0005-0000-0000-00000A400000}"/>
    <cellStyle name="A_SUM_Row Major 3 3 10 2" xfId="40316" xr:uid="{00000000-0005-0000-0000-00000B400000}"/>
    <cellStyle name="A_SUM_Row Major 3 3 11" xfId="24395" xr:uid="{00000000-0005-0000-0000-00000C400000}"/>
    <cellStyle name="A_SUM_Row Major 3 3 2" xfId="6653" xr:uid="{00000000-0005-0000-0000-00000D400000}"/>
    <cellStyle name="A_SUM_Row Major 3 3 2 10" xfId="26138" xr:uid="{00000000-0005-0000-0000-00000E400000}"/>
    <cellStyle name="A_SUM_Row Major 3 3 2 2" xfId="13900" xr:uid="{00000000-0005-0000-0000-00000F400000}"/>
    <cellStyle name="A_SUM_Row Major 3 3 2 2 2" xfId="14695" xr:uid="{00000000-0005-0000-0000-000010400000}"/>
    <cellStyle name="A_SUM_Row Major 3 3 2 2 2 2" xfId="17173" xr:uid="{00000000-0005-0000-0000-000011400000}"/>
    <cellStyle name="A_SUM_Row Major 3 3 2 2 2 2 2" xfId="36527" xr:uid="{00000000-0005-0000-0000-000012400000}"/>
    <cellStyle name="A_SUM_Row Major 3 3 2 2 2 3" xfId="19604" xr:uid="{00000000-0005-0000-0000-000013400000}"/>
    <cellStyle name="A_SUM_Row Major 3 3 2 2 2 3 2" xfId="38957" xr:uid="{00000000-0005-0000-0000-000014400000}"/>
    <cellStyle name="A_SUM_Row Major 3 3 2 2 2 4" xfId="22115" xr:uid="{00000000-0005-0000-0000-000015400000}"/>
    <cellStyle name="A_SUM_Row Major 3 3 2 2 2 4 2" xfId="41457" xr:uid="{00000000-0005-0000-0000-000016400000}"/>
    <cellStyle name="A_SUM_Row Major 3 3 2 2 2 5" xfId="34056" xr:uid="{00000000-0005-0000-0000-000017400000}"/>
    <cellStyle name="A_SUM_Row Major 3 3 2 2 3" xfId="15243" xr:uid="{00000000-0005-0000-0000-000018400000}"/>
    <cellStyle name="A_SUM_Row Major 3 3 2 2 3 2" xfId="17719" xr:uid="{00000000-0005-0000-0000-000019400000}"/>
    <cellStyle name="A_SUM_Row Major 3 3 2 2 3 2 2" xfId="37073" xr:uid="{00000000-0005-0000-0000-00001A400000}"/>
    <cellStyle name="A_SUM_Row Major 3 3 2 2 3 3" xfId="20150" xr:uid="{00000000-0005-0000-0000-00001B400000}"/>
    <cellStyle name="A_SUM_Row Major 3 3 2 2 3 3 2" xfId="39503" xr:uid="{00000000-0005-0000-0000-00001C400000}"/>
    <cellStyle name="A_SUM_Row Major 3 3 2 2 3 4" xfId="22663" xr:uid="{00000000-0005-0000-0000-00001D400000}"/>
    <cellStyle name="A_SUM_Row Major 3 3 2 2 3 4 2" xfId="42005" xr:uid="{00000000-0005-0000-0000-00001E400000}"/>
    <cellStyle name="A_SUM_Row Major 3 3 2 2 3 5" xfId="34604" xr:uid="{00000000-0005-0000-0000-00001F400000}"/>
    <cellStyle name="A_SUM_Row Major 3 3 2 2 4" xfId="16406" xr:uid="{00000000-0005-0000-0000-000020400000}"/>
    <cellStyle name="A_SUM_Row Major 3 3 2 2 4 2" xfId="35760" xr:uid="{00000000-0005-0000-0000-000021400000}"/>
    <cellStyle name="A_SUM_Row Major 3 3 2 2 5" xfId="18837" xr:uid="{00000000-0005-0000-0000-000022400000}"/>
    <cellStyle name="A_SUM_Row Major 3 3 2 2 5 2" xfId="38190" xr:uid="{00000000-0005-0000-0000-000023400000}"/>
    <cellStyle name="A_SUM_Row Major 3 3 2 2 6" xfId="21323" xr:uid="{00000000-0005-0000-0000-000024400000}"/>
    <cellStyle name="A_SUM_Row Major 3 3 2 2 6 2" xfId="40665" xr:uid="{00000000-0005-0000-0000-000025400000}"/>
    <cellStyle name="A_SUM_Row Major 3 3 2 2 7" xfId="33264" xr:uid="{00000000-0005-0000-0000-000026400000}"/>
    <cellStyle name="A_SUM_Row Major 3 3 2 3" xfId="14115" xr:uid="{00000000-0005-0000-0000-000027400000}"/>
    <cellStyle name="A_SUM_Row Major 3 3 2 3 2" xfId="14896" xr:uid="{00000000-0005-0000-0000-000028400000}"/>
    <cellStyle name="A_SUM_Row Major 3 3 2 3 2 2" xfId="17374" xr:uid="{00000000-0005-0000-0000-000029400000}"/>
    <cellStyle name="A_SUM_Row Major 3 3 2 3 2 2 2" xfId="36728" xr:uid="{00000000-0005-0000-0000-00002A400000}"/>
    <cellStyle name="A_SUM_Row Major 3 3 2 3 2 3" xfId="19805" xr:uid="{00000000-0005-0000-0000-00002B400000}"/>
    <cellStyle name="A_SUM_Row Major 3 3 2 3 2 3 2" xfId="39158" xr:uid="{00000000-0005-0000-0000-00002C400000}"/>
    <cellStyle name="A_SUM_Row Major 3 3 2 3 2 4" xfId="22316" xr:uid="{00000000-0005-0000-0000-00002D400000}"/>
    <cellStyle name="A_SUM_Row Major 3 3 2 3 2 4 2" xfId="41658" xr:uid="{00000000-0005-0000-0000-00002E400000}"/>
    <cellStyle name="A_SUM_Row Major 3 3 2 3 2 5" xfId="34257" xr:uid="{00000000-0005-0000-0000-00002F400000}"/>
    <cellStyle name="A_SUM_Row Major 3 3 2 3 3" xfId="15443" xr:uid="{00000000-0005-0000-0000-000030400000}"/>
    <cellStyle name="A_SUM_Row Major 3 3 2 3 3 2" xfId="17919" xr:uid="{00000000-0005-0000-0000-000031400000}"/>
    <cellStyle name="A_SUM_Row Major 3 3 2 3 3 2 2" xfId="37273" xr:uid="{00000000-0005-0000-0000-000032400000}"/>
    <cellStyle name="A_SUM_Row Major 3 3 2 3 3 3" xfId="20350" xr:uid="{00000000-0005-0000-0000-000033400000}"/>
    <cellStyle name="A_SUM_Row Major 3 3 2 3 3 3 2" xfId="39703" xr:uid="{00000000-0005-0000-0000-000034400000}"/>
    <cellStyle name="A_SUM_Row Major 3 3 2 3 3 4" xfId="22863" xr:uid="{00000000-0005-0000-0000-000035400000}"/>
    <cellStyle name="A_SUM_Row Major 3 3 2 3 3 4 2" xfId="42205" xr:uid="{00000000-0005-0000-0000-000036400000}"/>
    <cellStyle name="A_SUM_Row Major 3 3 2 3 3 5" xfId="34804" xr:uid="{00000000-0005-0000-0000-000037400000}"/>
    <cellStyle name="A_SUM_Row Major 3 3 2 3 4" xfId="15902" xr:uid="{00000000-0005-0000-0000-000038400000}"/>
    <cellStyle name="A_SUM_Row Major 3 3 2 3 4 2" xfId="18378" xr:uid="{00000000-0005-0000-0000-000039400000}"/>
    <cellStyle name="A_SUM_Row Major 3 3 2 3 4 2 2" xfId="37732" xr:uid="{00000000-0005-0000-0000-00003A400000}"/>
    <cellStyle name="A_SUM_Row Major 3 3 2 3 4 3" xfId="20809" xr:uid="{00000000-0005-0000-0000-00003B400000}"/>
    <cellStyle name="A_SUM_Row Major 3 3 2 3 4 3 2" xfId="40162" xr:uid="{00000000-0005-0000-0000-00003C400000}"/>
    <cellStyle name="A_SUM_Row Major 3 3 2 3 4 4" xfId="23322" xr:uid="{00000000-0005-0000-0000-00003D400000}"/>
    <cellStyle name="A_SUM_Row Major 3 3 2 3 4 4 2" xfId="42664" xr:uid="{00000000-0005-0000-0000-00003E400000}"/>
    <cellStyle name="A_SUM_Row Major 3 3 2 3 4 5" xfId="35263" xr:uid="{00000000-0005-0000-0000-00003F400000}"/>
    <cellStyle name="A_SUM_Row Major 3 3 2 3 5" xfId="16621" xr:uid="{00000000-0005-0000-0000-000040400000}"/>
    <cellStyle name="A_SUM_Row Major 3 3 2 3 5 2" xfId="35975" xr:uid="{00000000-0005-0000-0000-000041400000}"/>
    <cellStyle name="A_SUM_Row Major 3 3 2 3 6" xfId="19052" xr:uid="{00000000-0005-0000-0000-000042400000}"/>
    <cellStyle name="A_SUM_Row Major 3 3 2 3 6 2" xfId="38405" xr:uid="{00000000-0005-0000-0000-000043400000}"/>
    <cellStyle name="A_SUM_Row Major 3 3 2 3 7" xfId="21538" xr:uid="{00000000-0005-0000-0000-000044400000}"/>
    <cellStyle name="A_SUM_Row Major 3 3 2 3 7 2" xfId="40880" xr:uid="{00000000-0005-0000-0000-000045400000}"/>
    <cellStyle name="A_SUM_Row Major 3 3 2 3 8" xfId="33479" xr:uid="{00000000-0005-0000-0000-000046400000}"/>
    <cellStyle name="A_SUM_Row Major 3 3 2 4" xfId="14410" xr:uid="{00000000-0005-0000-0000-000047400000}"/>
    <cellStyle name="A_SUM_Row Major 3 3 2 4 2" xfId="16900" xr:uid="{00000000-0005-0000-0000-000048400000}"/>
    <cellStyle name="A_SUM_Row Major 3 3 2 4 2 2" xfId="36254" xr:uid="{00000000-0005-0000-0000-000049400000}"/>
    <cellStyle name="A_SUM_Row Major 3 3 2 4 3" xfId="19331" xr:uid="{00000000-0005-0000-0000-00004A400000}"/>
    <cellStyle name="A_SUM_Row Major 3 3 2 4 3 2" xfId="38684" xr:uid="{00000000-0005-0000-0000-00004B400000}"/>
    <cellStyle name="A_SUM_Row Major 3 3 2 4 4" xfId="21830" xr:uid="{00000000-0005-0000-0000-00004C400000}"/>
    <cellStyle name="A_SUM_Row Major 3 3 2 4 4 2" xfId="41172" xr:uid="{00000000-0005-0000-0000-00004D400000}"/>
    <cellStyle name="A_SUM_Row Major 3 3 2 4 5" xfId="33771" xr:uid="{00000000-0005-0000-0000-00004E400000}"/>
    <cellStyle name="A_SUM_Row Major 3 3 2 5" xfId="15037" xr:uid="{00000000-0005-0000-0000-00004F400000}"/>
    <cellStyle name="A_SUM_Row Major 3 3 2 5 2" xfId="17513" xr:uid="{00000000-0005-0000-0000-000050400000}"/>
    <cellStyle name="A_SUM_Row Major 3 3 2 5 2 2" xfId="36867" xr:uid="{00000000-0005-0000-0000-000051400000}"/>
    <cellStyle name="A_SUM_Row Major 3 3 2 5 3" xfId="19944" xr:uid="{00000000-0005-0000-0000-000052400000}"/>
    <cellStyle name="A_SUM_Row Major 3 3 2 5 3 2" xfId="39297" xr:uid="{00000000-0005-0000-0000-000053400000}"/>
    <cellStyle name="A_SUM_Row Major 3 3 2 5 4" xfId="22457" xr:uid="{00000000-0005-0000-0000-000054400000}"/>
    <cellStyle name="A_SUM_Row Major 3 3 2 5 4 2" xfId="41799" xr:uid="{00000000-0005-0000-0000-000055400000}"/>
    <cellStyle name="A_SUM_Row Major 3 3 2 5 5" xfId="34398" xr:uid="{00000000-0005-0000-0000-000056400000}"/>
    <cellStyle name="A_SUM_Row Major 3 3 2 6" xfId="14265" xr:uid="{00000000-0005-0000-0000-000057400000}"/>
    <cellStyle name="A_SUM_Row Major 3 3 2 6 2" xfId="16765" xr:uid="{00000000-0005-0000-0000-000058400000}"/>
    <cellStyle name="A_SUM_Row Major 3 3 2 6 2 2" xfId="36119" xr:uid="{00000000-0005-0000-0000-000059400000}"/>
    <cellStyle name="A_SUM_Row Major 3 3 2 6 3" xfId="19196" xr:uid="{00000000-0005-0000-0000-00005A400000}"/>
    <cellStyle name="A_SUM_Row Major 3 3 2 6 3 2" xfId="38549" xr:uid="{00000000-0005-0000-0000-00005B400000}"/>
    <cellStyle name="A_SUM_Row Major 3 3 2 6 4" xfId="21686" xr:uid="{00000000-0005-0000-0000-00005C400000}"/>
    <cellStyle name="A_SUM_Row Major 3 3 2 6 4 2" xfId="41028" xr:uid="{00000000-0005-0000-0000-00005D400000}"/>
    <cellStyle name="A_SUM_Row Major 3 3 2 6 5" xfId="33627" xr:uid="{00000000-0005-0000-0000-00005E400000}"/>
    <cellStyle name="A_SUM_Row Major 3 3 2 7" xfId="13599" xr:uid="{00000000-0005-0000-0000-00005F400000}"/>
    <cellStyle name="A_SUM_Row Major 3 3 2 7 2" xfId="32965" xr:uid="{00000000-0005-0000-0000-000060400000}"/>
    <cellStyle name="A_SUM_Row Major 3 3 2 8" xfId="16127" xr:uid="{00000000-0005-0000-0000-000061400000}"/>
    <cellStyle name="A_SUM_Row Major 3 3 2 8 2" xfId="35481" xr:uid="{00000000-0005-0000-0000-000062400000}"/>
    <cellStyle name="A_SUM_Row Major 3 3 2 9" xfId="18550" xr:uid="{00000000-0005-0000-0000-000063400000}"/>
    <cellStyle name="A_SUM_Row Major 3 3 2 9 2" xfId="37903" xr:uid="{00000000-0005-0000-0000-000064400000}"/>
    <cellStyle name="A_SUM_Row Major 3 3 3" xfId="13666" xr:uid="{00000000-0005-0000-0000-000065400000}"/>
    <cellStyle name="A_SUM_Row Major 3 3 3 2" xfId="13964" xr:uid="{00000000-0005-0000-0000-000066400000}"/>
    <cellStyle name="A_SUM_Row Major 3 3 3 2 2" xfId="14759" xr:uid="{00000000-0005-0000-0000-000067400000}"/>
    <cellStyle name="A_SUM_Row Major 3 3 3 2 2 2" xfId="17237" xr:uid="{00000000-0005-0000-0000-000068400000}"/>
    <cellStyle name="A_SUM_Row Major 3 3 3 2 2 2 2" xfId="36591" xr:uid="{00000000-0005-0000-0000-000069400000}"/>
    <cellStyle name="A_SUM_Row Major 3 3 3 2 2 3" xfId="19668" xr:uid="{00000000-0005-0000-0000-00006A400000}"/>
    <cellStyle name="A_SUM_Row Major 3 3 3 2 2 3 2" xfId="39021" xr:uid="{00000000-0005-0000-0000-00006B400000}"/>
    <cellStyle name="A_SUM_Row Major 3 3 3 2 2 4" xfId="22179" xr:uid="{00000000-0005-0000-0000-00006C400000}"/>
    <cellStyle name="A_SUM_Row Major 3 3 3 2 2 4 2" xfId="41521" xr:uid="{00000000-0005-0000-0000-00006D400000}"/>
    <cellStyle name="A_SUM_Row Major 3 3 3 2 2 5" xfId="34120" xr:uid="{00000000-0005-0000-0000-00006E400000}"/>
    <cellStyle name="A_SUM_Row Major 3 3 3 2 3" xfId="15307" xr:uid="{00000000-0005-0000-0000-00006F400000}"/>
    <cellStyle name="A_SUM_Row Major 3 3 3 2 3 2" xfId="17783" xr:uid="{00000000-0005-0000-0000-000070400000}"/>
    <cellStyle name="A_SUM_Row Major 3 3 3 2 3 2 2" xfId="37137" xr:uid="{00000000-0005-0000-0000-000071400000}"/>
    <cellStyle name="A_SUM_Row Major 3 3 3 2 3 3" xfId="20214" xr:uid="{00000000-0005-0000-0000-000072400000}"/>
    <cellStyle name="A_SUM_Row Major 3 3 3 2 3 3 2" xfId="39567" xr:uid="{00000000-0005-0000-0000-000073400000}"/>
    <cellStyle name="A_SUM_Row Major 3 3 3 2 3 4" xfId="22727" xr:uid="{00000000-0005-0000-0000-000074400000}"/>
    <cellStyle name="A_SUM_Row Major 3 3 3 2 3 4 2" xfId="42069" xr:uid="{00000000-0005-0000-0000-000075400000}"/>
    <cellStyle name="A_SUM_Row Major 3 3 3 2 3 5" xfId="34668" xr:uid="{00000000-0005-0000-0000-000076400000}"/>
    <cellStyle name="A_SUM_Row Major 3 3 3 2 4" xfId="15766" xr:uid="{00000000-0005-0000-0000-000077400000}"/>
    <cellStyle name="A_SUM_Row Major 3 3 3 2 4 2" xfId="18242" xr:uid="{00000000-0005-0000-0000-000078400000}"/>
    <cellStyle name="A_SUM_Row Major 3 3 3 2 4 2 2" xfId="37596" xr:uid="{00000000-0005-0000-0000-000079400000}"/>
    <cellStyle name="A_SUM_Row Major 3 3 3 2 4 3" xfId="20673" xr:uid="{00000000-0005-0000-0000-00007A400000}"/>
    <cellStyle name="A_SUM_Row Major 3 3 3 2 4 3 2" xfId="40026" xr:uid="{00000000-0005-0000-0000-00007B400000}"/>
    <cellStyle name="A_SUM_Row Major 3 3 3 2 4 4" xfId="23186" xr:uid="{00000000-0005-0000-0000-00007C400000}"/>
    <cellStyle name="A_SUM_Row Major 3 3 3 2 4 4 2" xfId="42528" xr:uid="{00000000-0005-0000-0000-00007D400000}"/>
    <cellStyle name="A_SUM_Row Major 3 3 3 2 4 5" xfId="35127" xr:uid="{00000000-0005-0000-0000-00007E400000}"/>
    <cellStyle name="A_SUM_Row Major 3 3 3 2 5" xfId="16470" xr:uid="{00000000-0005-0000-0000-00007F400000}"/>
    <cellStyle name="A_SUM_Row Major 3 3 3 2 5 2" xfId="35824" xr:uid="{00000000-0005-0000-0000-000080400000}"/>
    <cellStyle name="A_SUM_Row Major 3 3 3 2 6" xfId="18901" xr:uid="{00000000-0005-0000-0000-000081400000}"/>
    <cellStyle name="A_SUM_Row Major 3 3 3 2 6 2" xfId="38254" xr:uid="{00000000-0005-0000-0000-000082400000}"/>
    <cellStyle name="A_SUM_Row Major 3 3 3 2 7" xfId="21387" xr:uid="{00000000-0005-0000-0000-000083400000}"/>
    <cellStyle name="A_SUM_Row Major 3 3 3 2 7 2" xfId="40729" xr:uid="{00000000-0005-0000-0000-000084400000}"/>
    <cellStyle name="A_SUM_Row Major 3 3 3 2 8" xfId="33328" xr:uid="{00000000-0005-0000-0000-000085400000}"/>
    <cellStyle name="A_SUM_Row Major 3 3 3 3" xfId="14177" xr:uid="{00000000-0005-0000-0000-000086400000}"/>
    <cellStyle name="A_SUM_Row Major 3 3 3 3 2" xfId="14954" xr:uid="{00000000-0005-0000-0000-000087400000}"/>
    <cellStyle name="A_SUM_Row Major 3 3 3 3 2 2" xfId="17432" xr:uid="{00000000-0005-0000-0000-000088400000}"/>
    <cellStyle name="A_SUM_Row Major 3 3 3 3 2 2 2" xfId="36786" xr:uid="{00000000-0005-0000-0000-000089400000}"/>
    <cellStyle name="A_SUM_Row Major 3 3 3 3 2 3" xfId="19863" xr:uid="{00000000-0005-0000-0000-00008A400000}"/>
    <cellStyle name="A_SUM_Row Major 3 3 3 3 2 3 2" xfId="39216" xr:uid="{00000000-0005-0000-0000-00008B400000}"/>
    <cellStyle name="A_SUM_Row Major 3 3 3 3 2 4" xfId="22374" xr:uid="{00000000-0005-0000-0000-00008C400000}"/>
    <cellStyle name="A_SUM_Row Major 3 3 3 3 2 4 2" xfId="41716" xr:uid="{00000000-0005-0000-0000-00008D400000}"/>
    <cellStyle name="A_SUM_Row Major 3 3 3 3 2 5" xfId="34315" xr:uid="{00000000-0005-0000-0000-00008E400000}"/>
    <cellStyle name="A_SUM_Row Major 3 3 3 3 3" xfId="15500" xr:uid="{00000000-0005-0000-0000-00008F400000}"/>
    <cellStyle name="A_SUM_Row Major 3 3 3 3 3 2" xfId="17976" xr:uid="{00000000-0005-0000-0000-000090400000}"/>
    <cellStyle name="A_SUM_Row Major 3 3 3 3 3 2 2" xfId="37330" xr:uid="{00000000-0005-0000-0000-000091400000}"/>
    <cellStyle name="A_SUM_Row Major 3 3 3 3 3 3" xfId="20407" xr:uid="{00000000-0005-0000-0000-000092400000}"/>
    <cellStyle name="A_SUM_Row Major 3 3 3 3 3 3 2" xfId="39760" xr:uid="{00000000-0005-0000-0000-000093400000}"/>
    <cellStyle name="A_SUM_Row Major 3 3 3 3 3 4" xfId="22920" xr:uid="{00000000-0005-0000-0000-000094400000}"/>
    <cellStyle name="A_SUM_Row Major 3 3 3 3 3 4 2" xfId="42262" xr:uid="{00000000-0005-0000-0000-000095400000}"/>
    <cellStyle name="A_SUM_Row Major 3 3 3 3 3 5" xfId="34861" xr:uid="{00000000-0005-0000-0000-000096400000}"/>
    <cellStyle name="A_SUM_Row Major 3 3 3 3 4" xfId="15959" xr:uid="{00000000-0005-0000-0000-000097400000}"/>
    <cellStyle name="A_SUM_Row Major 3 3 3 3 4 2" xfId="18435" xr:uid="{00000000-0005-0000-0000-000098400000}"/>
    <cellStyle name="A_SUM_Row Major 3 3 3 3 4 2 2" xfId="37789" xr:uid="{00000000-0005-0000-0000-000099400000}"/>
    <cellStyle name="A_SUM_Row Major 3 3 3 3 4 3" xfId="20866" xr:uid="{00000000-0005-0000-0000-00009A400000}"/>
    <cellStyle name="A_SUM_Row Major 3 3 3 3 4 3 2" xfId="40219" xr:uid="{00000000-0005-0000-0000-00009B400000}"/>
    <cellStyle name="A_SUM_Row Major 3 3 3 3 4 4" xfId="23379" xr:uid="{00000000-0005-0000-0000-00009C400000}"/>
    <cellStyle name="A_SUM_Row Major 3 3 3 3 4 4 2" xfId="42721" xr:uid="{00000000-0005-0000-0000-00009D400000}"/>
    <cellStyle name="A_SUM_Row Major 3 3 3 3 4 5" xfId="35320" xr:uid="{00000000-0005-0000-0000-00009E400000}"/>
    <cellStyle name="A_SUM_Row Major 3 3 3 3 5" xfId="16683" xr:uid="{00000000-0005-0000-0000-00009F400000}"/>
    <cellStyle name="A_SUM_Row Major 3 3 3 3 5 2" xfId="36037" xr:uid="{00000000-0005-0000-0000-0000A0400000}"/>
    <cellStyle name="A_SUM_Row Major 3 3 3 3 6" xfId="19114" xr:uid="{00000000-0005-0000-0000-0000A1400000}"/>
    <cellStyle name="A_SUM_Row Major 3 3 3 3 6 2" xfId="38467" xr:uid="{00000000-0005-0000-0000-0000A2400000}"/>
    <cellStyle name="A_SUM_Row Major 3 3 3 3 7" xfId="21600" xr:uid="{00000000-0005-0000-0000-0000A3400000}"/>
    <cellStyle name="A_SUM_Row Major 3 3 3 3 7 2" xfId="40942" xr:uid="{00000000-0005-0000-0000-0000A4400000}"/>
    <cellStyle name="A_SUM_Row Major 3 3 3 3 8" xfId="33541" xr:uid="{00000000-0005-0000-0000-0000A5400000}"/>
    <cellStyle name="A_SUM_Row Major 3 3 3 4" xfId="14474" xr:uid="{00000000-0005-0000-0000-0000A6400000}"/>
    <cellStyle name="A_SUM_Row Major 3 3 3 4 2" xfId="16964" xr:uid="{00000000-0005-0000-0000-0000A7400000}"/>
    <cellStyle name="A_SUM_Row Major 3 3 3 4 2 2" xfId="36318" xr:uid="{00000000-0005-0000-0000-0000A8400000}"/>
    <cellStyle name="A_SUM_Row Major 3 3 3 4 3" xfId="19395" xr:uid="{00000000-0005-0000-0000-0000A9400000}"/>
    <cellStyle name="A_SUM_Row Major 3 3 3 4 3 2" xfId="38748" xr:uid="{00000000-0005-0000-0000-0000AA400000}"/>
    <cellStyle name="A_SUM_Row Major 3 3 3 4 4" xfId="21894" xr:uid="{00000000-0005-0000-0000-0000AB400000}"/>
    <cellStyle name="A_SUM_Row Major 3 3 3 4 4 2" xfId="41236" xr:uid="{00000000-0005-0000-0000-0000AC400000}"/>
    <cellStyle name="A_SUM_Row Major 3 3 3 4 5" xfId="33835" xr:uid="{00000000-0005-0000-0000-0000AD400000}"/>
    <cellStyle name="A_SUM_Row Major 3 3 3 5" xfId="16186" xr:uid="{00000000-0005-0000-0000-0000AE400000}"/>
    <cellStyle name="A_SUM_Row Major 3 3 3 5 2" xfId="35540" xr:uid="{00000000-0005-0000-0000-0000AF400000}"/>
    <cellStyle name="A_SUM_Row Major 3 3 3 6" xfId="18617" xr:uid="{00000000-0005-0000-0000-0000B0400000}"/>
    <cellStyle name="A_SUM_Row Major 3 3 3 6 2" xfId="37970" xr:uid="{00000000-0005-0000-0000-0000B1400000}"/>
    <cellStyle name="A_SUM_Row Major 3 3 3 7" xfId="21091" xr:uid="{00000000-0005-0000-0000-0000B2400000}"/>
    <cellStyle name="A_SUM_Row Major 3 3 3 7 2" xfId="40433" xr:uid="{00000000-0005-0000-0000-0000B3400000}"/>
    <cellStyle name="A_SUM_Row Major 3 3 3 8" xfId="33032" xr:uid="{00000000-0005-0000-0000-0000B4400000}"/>
    <cellStyle name="A_SUM_Row Major 3 3 4" xfId="13787" xr:uid="{00000000-0005-0000-0000-0000B5400000}"/>
    <cellStyle name="A_SUM_Row Major 3 3 4 2" xfId="14586" xr:uid="{00000000-0005-0000-0000-0000B6400000}"/>
    <cellStyle name="A_SUM_Row Major 3 3 4 2 2" xfId="17070" xr:uid="{00000000-0005-0000-0000-0000B7400000}"/>
    <cellStyle name="A_SUM_Row Major 3 3 4 2 2 2" xfId="36424" xr:uid="{00000000-0005-0000-0000-0000B8400000}"/>
    <cellStyle name="A_SUM_Row Major 3 3 4 2 3" xfId="19501" xr:uid="{00000000-0005-0000-0000-0000B9400000}"/>
    <cellStyle name="A_SUM_Row Major 3 3 4 2 3 2" xfId="38854" xr:uid="{00000000-0005-0000-0000-0000BA400000}"/>
    <cellStyle name="A_SUM_Row Major 3 3 4 2 4" xfId="22006" xr:uid="{00000000-0005-0000-0000-0000BB400000}"/>
    <cellStyle name="A_SUM_Row Major 3 3 4 2 4 2" xfId="41348" xr:uid="{00000000-0005-0000-0000-0000BC400000}"/>
    <cellStyle name="A_SUM_Row Major 3 3 4 2 5" xfId="33947" xr:uid="{00000000-0005-0000-0000-0000BD400000}"/>
    <cellStyle name="A_SUM_Row Major 3 3 4 3" xfId="15143" xr:uid="{00000000-0005-0000-0000-0000BE400000}"/>
    <cellStyle name="A_SUM_Row Major 3 3 4 3 2" xfId="17619" xr:uid="{00000000-0005-0000-0000-0000BF400000}"/>
    <cellStyle name="A_SUM_Row Major 3 3 4 3 2 2" xfId="36973" xr:uid="{00000000-0005-0000-0000-0000C0400000}"/>
    <cellStyle name="A_SUM_Row Major 3 3 4 3 3" xfId="20050" xr:uid="{00000000-0005-0000-0000-0000C1400000}"/>
    <cellStyle name="A_SUM_Row Major 3 3 4 3 3 2" xfId="39403" xr:uid="{00000000-0005-0000-0000-0000C2400000}"/>
    <cellStyle name="A_SUM_Row Major 3 3 4 3 4" xfId="22563" xr:uid="{00000000-0005-0000-0000-0000C3400000}"/>
    <cellStyle name="A_SUM_Row Major 3 3 4 3 4 2" xfId="41905" xr:uid="{00000000-0005-0000-0000-0000C4400000}"/>
    <cellStyle name="A_SUM_Row Major 3 3 4 3 5" xfId="34504" xr:uid="{00000000-0005-0000-0000-0000C5400000}"/>
    <cellStyle name="A_SUM_Row Major 3 3 4 4" xfId="15624" xr:uid="{00000000-0005-0000-0000-0000C6400000}"/>
    <cellStyle name="A_SUM_Row Major 3 3 4 4 2" xfId="18100" xr:uid="{00000000-0005-0000-0000-0000C7400000}"/>
    <cellStyle name="A_SUM_Row Major 3 3 4 4 2 2" xfId="37454" xr:uid="{00000000-0005-0000-0000-0000C8400000}"/>
    <cellStyle name="A_SUM_Row Major 3 3 4 4 3" xfId="20531" xr:uid="{00000000-0005-0000-0000-0000C9400000}"/>
    <cellStyle name="A_SUM_Row Major 3 3 4 4 3 2" xfId="39884" xr:uid="{00000000-0005-0000-0000-0000CA400000}"/>
    <cellStyle name="A_SUM_Row Major 3 3 4 4 4" xfId="23044" xr:uid="{00000000-0005-0000-0000-0000CB400000}"/>
    <cellStyle name="A_SUM_Row Major 3 3 4 4 4 2" xfId="42386" xr:uid="{00000000-0005-0000-0000-0000CC400000}"/>
    <cellStyle name="A_SUM_Row Major 3 3 4 4 5" xfId="34985" xr:uid="{00000000-0005-0000-0000-0000CD400000}"/>
    <cellStyle name="A_SUM_Row Major 3 3 4 5" xfId="16299" xr:uid="{00000000-0005-0000-0000-0000CE400000}"/>
    <cellStyle name="A_SUM_Row Major 3 3 4 5 2" xfId="35653" xr:uid="{00000000-0005-0000-0000-0000CF400000}"/>
    <cellStyle name="A_SUM_Row Major 3 3 4 6" xfId="18730" xr:uid="{00000000-0005-0000-0000-0000D0400000}"/>
    <cellStyle name="A_SUM_Row Major 3 3 4 6 2" xfId="38083" xr:uid="{00000000-0005-0000-0000-0000D1400000}"/>
    <cellStyle name="A_SUM_Row Major 3 3 4 7" xfId="21210" xr:uid="{00000000-0005-0000-0000-0000D2400000}"/>
    <cellStyle name="A_SUM_Row Major 3 3 4 7 2" xfId="40552" xr:uid="{00000000-0005-0000-0000-0000D3400000}"/>
    <cellStyle name="A_SUM_Row Major 3 3 4 8" xfId="33151" xr:uid="{00000000-0005-0000-0000-0000D4400000}"/>
    <cellStyle name="A_SUM_Row Major 3 3 5" xfId="14013" xr:uid="{00000000-0005-0000-0000-0000D5400000}"/>
    <cellStyle name="A_SUM_Row Major 3 3 5 2" xfId="14808" xr:uid="{00000000-0005-0000-0000-0000D6400000}"/>
    <cellStyle name="A_SUM_Row Major 3 3 5 2 2" xfId="17286" xr:uid="{00000000-0005-0000-0000-0000D7400000}"/>
    <cellStyle name="A_SUM_Row Major 3 3 5 2 2 2" xfId="36640" xr:uid="{00000000-0005-0000-0000-0000D8400000}"/>
    <cellStyle name="A_SUM_Row Major 3 3 5 2 3" xfId="19717" xr:uid="{00000000-0005-0000-0000-0000D9400000}"/>
    <cellStyle name="A_SUM_Row Major 3 3 5 2 3 2" xfId="39070" xr:uid="{00000000-0005-0000-0000-0000DA400000}"/>
    <cellStyle name="A_SUM_Row Major 3 3 5 2 4" xfId="22228" xr:uid="{00000000-0005-0000-0000-0000DB400000}"/>
    <cellStyle name="A_SUM_Row Major 3 3 5 2 4 2" xfId="41570" xr:uid="{00000000-0005-0000-0000-0000DC400000}"/>
    <cellStyle name="A_SUM_Row Major 3 3 5 2 5" xfId="34169" xr:uid="{00000000-0005-0000-0000-0000DD400000}"/>
    <cellStyle name="A_SUM_Row Major 3 3 5 3" xfId="15356" xr:uid="{00000000-0005-0000-0000-0000DE400000}"/>
    <cellStyle name="A_SUM_Row Major 3 3 5 3 2" xfId="17832" xr:uid="{00000000-0005-0000-0000-0000DF400000}"/>
    <cellStyle name="A_SUM_Row Major 3 3 5 3 2 2" xfId="37186" xr:uid="{00000000-0005-0000-0000-0000E0400000}"/>
    <cellStyle name="A_SUM_Row Major 3 3 5 3 3" xfId="20263" xr:uid="{00000000-0005-0000-0000-0000E1400000}"/>
    <cellStyle name="A_SUM_Row Major 3 3 5 3 3 2" xfId="39616" xr:uid="{00000000-0005-0000-0000-0000E2400000}"/>
    <cellStyle name="A_SUM_Row Major 3 3 5 3 4" xfId="22776" xr:uid="{00000000-0005-0000-0000-0000E3400000}"/>
    <cellStyle name="A_SUM_Row Major 3 3 5 3 4 2" xfId="42118" xr:uid="{00000000-0005-0000-0000-0000E4400000}"/>
    <cellStyle name="A_SUM_Row Major 3 3 5 3 5" xfId="34717" xr:uid="{00000000-0005-0000-0000-0000E5400000}"/>
    <cellStyle name="A_SUM_Row Major 3 3 5 4" xfId="15815" xr:uid="{00000000-0005-0000-0000-0000E6400000}"/>
    <cellStyle name="A_SUM_Row Major 3 3 5 4 2" xfId="18291" xr:uid="{00000000-0005-0000-0000-0000E7400000}"/>
    <cellStyle name="A_SUM_Row Major 3 3 5 4 2 2" xfId="37645" xr:uid="{00000000-0005-0000-0000-0000E8400000}"/>
    <cellStyle name="A_SUM_Row Major 3 3 5 4 3" xfId="20722" xr:uid="{00000000-0005-0000-0000-0000E9400000}"/>
    <cellStyle name="A_SUM_Row Major 3 3 5 4 3 2" xfId="40075" xr:uid="{00000000-0005-0000-0000-0000EA400000}"/>
    <cellStyle name="A_SUM_Row Major 3 3 5 4 4" xfId="23235" xr:uid="{00000000-0005-0000-0000-0000EB400000}"/>
    <cellStyle name="A_SUM_Row Major 3 3 5 4 4 2" xfId="42577" xr:uid="{00000000-0005-0000-0000-0000EC400000}"/>
    <cellStyle name="A_SUM_Row Major 3 3 5 4 5" xfId="35176" xr:uid="{00000000-0005-0000-0000-0000ED400000}"/>
    <cellStyle name="A_SUM_Row Major 3 3 5 5" xfId="16519" xr:uid="{00000000-0005-0000-0000-0000EE400000}"/>
    <cellStyle name="A_SUM_Row Major 3 3 5 5 2" xfId="35873" xr:uid="{00000000-0005-0000-0000-0000EF400000}"/>
    <cellStyle name="A_SUM_Row Major 3 3 5 6" xfId="18950" xr:uid="{00000000-0005-0000-0000-0000F0400000}"/>
    <cellStyle name="A_SUM_Row Major 3 3 5 6 2" xfId="38303" xr:uid="{00000000-0005-0000-0000-0000F1400000}"/>
    <cellStyle name="A_SUM_Row Major 3 3 5 7" xfId="21436" xr:uid="{00000000-0005-0000-0000-0000F2400000}"/>
    <cellStyle name="A_SUM_Row Major 3 3 5 7 2" xfId="40778" xr:uid="{00000000-0005-0000-0000-0000F3400000}"/>
    <cellStyle name="A_SUM_Row Major 3 3 5 8" xfId="33377" xr:uid="{00000000-0005-0000-0000-0000F4400000}"/>
    <cellStyle name="A_SUM_Row Major 3 3 6" xfId="14305" xr:uid="{00000000-0005-0000-0000-0000F5400000}"/>
    <cellStyle name="A_SUM_Row Major 3 3 6 2" xfId="16801" xr:uid="{00000000-0005-0000-0000-0000F6400000}"/>
    <cellStyle name="A_SUM_Row Major 3 3 6 2 2" xfId="36155" xr:uid="{00000000-0005-0000-0000-0000F7400000}"/>
    <cellStyle name="A_SUM_Row Major 3 3 6 3" xfId="19232" xr:uid="{00000000-0005-0000-0000-0000F8400000}"/>
    <cellStyle name="A_SUM_Row Major 3 3 6 3 2" xfId="38585" xr:uid="{00000000-0005-0000-0000-0000F9400000}"/>
    <cellStyle name="A_SUM_Row Major 3 3 6 4" xfId="21725" xr:uid="{00000000-0005-0000-0000-0000FA400000}"/>
    <cellStyle name="A_SUM_Row Major 3 3 6 4 2" xfId="41067" xr:uid="{00000000-0005-0000-0000-0000FB400000}"/>
    <cellStyle name="A_SUM_Row Major 3 3 6 5" xfId="33666" xr:uid="{00000000-0005-0000-0000-0000FC400000}"/>
    <cellStyle name="A_SUM_Row Major 3 3 7" xfId="13475" xr:uid="{00000000-0005-0000-0000-0000FD400000}"/>
    <cellStyle name="A_SUM_Row Major 3 3 7 2" xfId="32853" xr:uid="{00000000-0005-0000-0000-0000FE400000}"/>
    <cellStyle name="A_SUM_Row Major 3 3 8" xfId="16041" xr:uid="{00000000-0005-0000-0000-0000FF400000}"/>
    <cellStyle name="A_SUM_Row Major 3 3 8 2" xfId="35395" xr:uid="{00000000-0005-0000-0000-000000410000}"/>
    <cellStyle name="A_SUM_Row Major 3 3 9" xfId="13256" xr:uid="{00000000-0005-0000-0000-000001410000}"/>
    <cellStyle name="A_SUM_Row Major 3 3 9 2" xfId="32706" xr:uid="{00000000-0005-0000-0000-000002410000}"/>
    <cellStyle name="A_SUM_Row Major 3 4" xfId="5511" xr:uid="{00000000-0005-0000-0000-000003410000}"/>
    <cellStyle name="A_SUM_Row Major 3 4 10" xfId="24999" xr:uid="{00000000-0005-0000-0000-000004410000}"/>
    <cellStyle name="A_SUM_Row Major 3 4 2" xfId="13829" xr:uid="{00000000-0005-0000-0000-000005410000}"/>
    <cellStyle name="A_SUM_Row Major 3 4 2 2" xfId="14624" xr:uid="{00000000-0005-0000-0000-000006410000}"/>
    <cellStyle name="A_SUM_Row Major 3 4 2 2 2" xfId="17108" xr:uid="{00000000-0005-0000-0000-000007410000}"/>
    <cellStyle name="A_SUM_Row Major 3 4 2 2 2 2" xfId="36462" xr:uid="{00000000-0005-0000-0000-000008410000}"/>
    <cellStyle name="A_SUM_Row Major 3 4 2 2 3" xfId="19539" xr:uid="{00000000-0005-0000-0000-000009410000}"/>
    <cellStyle name="A_SUM_Row Major 3 4 2 2 3 2" xfId="38892" xr:uid="{00000000-0005-0000-0000-00000A410000}"/>
    <cellStyle name="A_SUM_Row Major 3 4 2 2 4" xfId="22044" xr:uid="{00000000-0005-0000-0000-00000B410000}"/>
    <cellStyle name="A_SUM_Row Major 3 4 2 2 4 2" xfId="41386" xr:uid="{00000000-0005-0000-0000-00000C410000}"/>
    <cellStyle name="A_SUM_Row Major 3 4 2 2 5" xfId="33985" xr:uid="{00000000-0005-0000-0000-00000D410000}"/>
    <cellStyle name="A_SUM_Row Major 3 4 2 3" xfId="15181" xr:uid="{00000000-0005-0000-0000-00000E410000}"/>
    <cellStyle name="A_SUM_Row Major 3 4 2 3 2" xfId="17657" xr:uid="{00000000-0005-0000-0000-00000F410000}"/>
    <cellStyle name="A_SUM_Row Major 3 4 2 3 2 2" xfId="37011" xr:uid="{00000000-0005-0000-0000-000010410000}"/>
    <cellStyle name="A_SUM_Row Major 3 4 2 3 3" xfId="20088" xr:uid="{00000000-0005-0000-0000-000011410000}"/>
    <cellStyle name="A_SUM_Row Major 3 4 2 3 3 2" xfId="39441" xr:uid="{00000000-0005-0000-0000-000012410000}"/>
    <cellStyle name="A_SUM_Row Major 3 4 2 3 4" xfId="22601" xr:uid="{00000000-0005-0000-0000-000013410000}"/>
    <cellStyle name="A_SUM_Row Major 3 4 2 3 4 2" xfId="41943" xr:uid="{00000000-0005-0000-0000-000014410000}"/>
    <cellStyle name="A_SUM_Row Major 3 4 2 3 5" xfId="34542" xr:uid="{00000000-0005-0000-0000-000015410000}"/>
    <cellStyle name="A_SUM_Row Major 3 4 2 4" xfId="16341" xr:uid="{00000000-0005-0000-0000-000016410000}"/>
    <cellStyle name="A_SUM_Row Major 3 4 2 4 2" xfId="35695" xr:uid="{00000000-0005-0000-0000-000017410000}"/>
    <cellStyle name="A_SUM_Row Major 3 4 2 5" xfId="18772" xr:uid="{00000000-0005-0000-0000-000018410000}"/>
    <cellStyle name="A_SUM_Row Major 3 4 2 5 2" xfId="38125" xr:uid="{00000000-0005-0000-0000-000019410000}"/>
    <cellStyle name="A_SUM_Row Major 3 4 2 6" xfId="21252" xr:uid="{00000000-0005-0000-0000-00001A410000}"/>
    <cellStyle name="A_SUM_Row Major 3 4 2 6 2" xfId="40594" xr:uid="{00000000-0005-0000-0000-00001B410000}"/>
    <cellStyle name="A_SUM_Row Major 3 4 2 7" xfId="33193" xr:uid="{00000000-0005-0000-0000-00001C410000}"/>
    <cellStyle name="A_SUM_Row Major 3 4 3" xfId="14050" xr:uid="{00000000-0005-0000-0000-00001D410000}"/>
    <cellStyle name="A_SUM_Row Major 3 4 3 2" xfId="14845" xr:uid="{00000000-0005-0000-0000-00001E410000}"/>
    <cellStyle name="A_SUM_Row Major 3 4 3 2 2" xfId="17323" xr:uid="{00000000-0005-0000-0000-00001F410000}"/>
    <cellStyle name="A_SUM_Row Major 3 4 3 2 2 2" xfId="36677" xr:uid="{00000000-0005-0000-0000-000020410000}"/>
    <cellStyle name="A_SUM_Row Major 3 4 3 2 3" xfId="19754" xr:uid="{00000000-0005-0000-0000-000021410000}"/>
    <cellStyle name="A_SUM_Row Major 3 4 3 2 3 2" xfId="39107" xr:uid="{00000000-0005-0000-0000-000022410000}"/>
    <cellStyle name="A_SUM_Row Major 3 4 3 2 4" xfId="22265" xr:uid="{00000000-0005-0000-0000-000023410000}"/>
    <cellStyle name="A_SUM_Row Major 3 4 3 2 4 2" xfId="41607" xr:uid="{00000000-0005-0000-0000-000024410000}"/>
    <cellStyle name="A_SUM_Row Major 3 4 3 2 5" xfId="34206" xr:uid="{00000000-0005-0000-0000-000025410000}"/>
    <cellStyle name="A_SUM_Row Major 3 4 3 3" xfId="15393" xr:uid="{00000000-0005-0000-0000-000026410000}"/>
    <cellStyle name="A_SUM_Row Major 3 4 3 3 2" xfId="17869" xr:uid="{00000000-0005-0000-0000-000027410000}"/>
    <cellStyle name="A_SUM_Row Major 3 4 3 3 2 2" xfId="37223" xr:uid="{00000000-0005-0000-0000-000028410000}"/>
    <cellStyle name="A_SUM_Row Major 3 4 3 3 3" xfId="20300" xr:uid="{00000000-0005-0000-0000-000029410000}"/>
    <cellStyle name="A_SUM_Row Major 3 4 3 3 3 2" xfId="39653" xr:uid="{00000000-0005-0000-0000-00002A410000}"/>
    <cellStyle name="A_SUM_Row Major 3 4 3 3 4" xfId="22813" xr:uid="{00000000-0005-0000-0000-00002B410000}"/>
    <cellStyle name="A_SUM_Row Major 3 4 3 3 4 2" xfId="42155" xr:uid="{00000000-0005-0000-0000-00002C410000}"/>
    <cellStyle name="A_SUM_Row Major 3 4 3 3 5" xfId="34754" xr:uid="{00000000-0005-0000-0000-00002D410000}"/>
    <cellStyle name="A_SUM_Row Major 3 4 3 4" xfId="15852" xr:uid="{00000000-0005-0000-0000-00002E410000}"/>
    <cellStyle name="A_SUM_Row Major 3 4 3 4 2" xfId="18328" xr:uid="{00000000-0005-0000-0000-00002F410000}"/>
    <cellStyle name="A_SUM_Row Major 3 4 3 4 2 2" xfId="37682" xr:uid="{00000000-0005-0000-0000-000030410000}"/>
    <cellStyle name="A_SUM_Row Major 3 4 3 4 3" xfId="20759" xr:uid="{00000000-0005-0000-0000-000031410000}"/>
    <cellStyle name="A_SUM_Row Major 3 4 3 4 3 2" xfId="40112" xr:uid="{00000000-0005-0000-0000-000032410000}"/>
    <cellStyle name="A_SUM_Row Major 3 4 3 4 4" xfId="23272" xr:uid="{00000000-0005-0000-0000-000033410000}"/>
    <cellStyle name="A_SUM_Row Major 3 4 3 4 4 2" xfId="42614" xr:uid="{00000000-0005-0000-0000-000034410000}"/>
    <cellStyle name="A_SUM_Row Major 3 4 3 4 5" xfId="35213" xr:uid="{00000000-0005-0000-0000-000035410000}"/>
    <cellStyle name="A_SUM_Row Major 3 4 3 5" xfId="16556" xr:uid="{00000000-0005-0000-0000-000036410000}"/>
    <cellStyle name="A_SUM_Row Major 3 4 3 5 2" xfId="35910" xr:uid="{00000000-0005-0000-0000-000037410000}"/>
    <cellStyle name="A_SUM_Row Major 3 4 3 6" xfId="18987" xr:uid="{00000000-0005-0000-0000-000038410000}"/>
    <cellStyle name="A_SUM_Row Major 3 4 3 6 2" xfId="38340" xr:uid="{00000000-0005-0000-0000-000039410000}"/>
    <cellStyle name="A_SUM_Row Major 3 4 3 7" xfId="21473" xr:uid="{00000000-0005-0000-0000-00003A410000}"/>
    <cellStyle name="A_SUM_Row Major 3 4 3 7 2" xfId="40815" xr:uid="{00000000-0005-0000-0000-00003B410000}"/>
    <cellStyle name="A_SUM_Row Major 3 4 3 8" xfId="33414" xr:uid="{00000000-0005-0000-0000-00003C410000}"/>
    <cellStyle name="A_SUM_Row Major 3 4 4" xfId="14345" xr:uid="{00000000-0005-0000-0000-00003D410000}"/>
    <cellStyle name="A_SUM_Row Major 3 4 4 2" xfId="16841" xr:uid="{00000000-0005-0000-0000-00003E410000}"/>
    <cellStyle name="A_SUM_Row Major 3 4 4 2 2" xfId="36195" xr:uid="{00000000-0005-0000-0000-00003F410000}"/>
    <cellStyle name="A_SUM_Row Major 3 4 4 3" xfId="19272" xr:uid="{00000000-0005-0000-0000-000040410000}"/>
    <cellStyle name="A_SUM_Row Major 3 4 4 3 2" xfId="38625" xr:uid="{00000000-0005-0000-0000-000041410000}"/>
    <cellStyle name="A_SUM_Row Major 3 4 4 4" xfId="21765" xr:uid="{00000000-0005-0000-0000-000042410000}"/>
    <cellStyle name="A_SUM_Row Major 3 4 4 4 2" xfId="41107" xr:uid="{00000000-0005-0000-0000-000043410000}"/>
    <cellStyle name="A_SUM_Row Major 3 4 4 5" xfId="33706" xr:uid="{00000000-0005-0000-0000-000044410000}"/>
    <cellStyle name="A_SUM_Row Major 3 4 5" xfId="14980" xr:uid="{00000000-0005-0000-0000-000045410000}"/>
    <cellStyle name="A_SUM_Row Major 3 4 5 2" xfId="17456" xr:uid="{00000000-0005-0000-0000-000046410000}"/>
    <cellStyle name="A_SUM_Row Major 3 4 5 2 2" xfId="36810" xr:uid="{00000000-0005-0000-0000-000047410000}"/>
    <cellStyle name="A_SUM_Row Major 3 4 5 3" xfId="19887" xr:uid="{00000000-0005-0000-0000-000048410000}"/>
    <cellStyle name="A_SUM_Row Major 3 4 5 3 2" xfId="39240" xr:uid="{00000000-0005-0000-0000-000049410000}"/>
    <cellStyle name="A_SUM_Row Major 3 4 5 4" xfId="22400" xr:uid="{00000000-0005-0000-0000-00004A410000}"/>
    <cellStyle name="A_SUM_Row Major 3 4 5 4 2" xfId="41742" xr:uid="{00000000-0005-0000-0000-00004B410000}"/>
    <cellStyle name="A_SUM_Row Major 3 4 5 5" xfId="34341" xr:uid="{00000000-0005-0000-0000-00004C410000}"/>
    <cellStyle name="A_SUM_Row Major 3 4 6" xfId="14488" xr:uid="{00000000-0005-0000-0000-00004D410000}"/>
    <cellStyle name="A_SUM_Row Major 3 4 6 2" xfId="16978" xr:uid="{00000000-0005-0000-0000-00004E410000}"/>
    <cellStyle name="A_SUM_Row Major 3 4 6 2 2" xfId="36332" xr:uid="{00000000-0005-0000-0000-00004F410000}"/>
    <cellStyle name="A_SUM_Row Major 3 4 6 3" xfId="19409" xr:uid="{00000000-0005-0000-0000-000050410000}"/>
    <cellStyle name="A_SUM_Row Major 3 4 6 3 2" xfId="38762" xr:uid="{00000000-0005-0000-0000-000051410000}"/>
    <cellStyle name="A_SUM_Row Major 3 4 6 4" xfId="21908" xr:uid="{00000000-0005-0000-0000-000052410000}"/>
    <cellStyle name="A_SUM_Row Major 3 4 6 4 2" xfId="41250" xr:uid="{00000000-0005-0000-0000-000053410000}"/>
    <cellStyle name="A_SUM_Row Major 3 4 6 5" xfId="33849" xr:uid="{00000000-0005-0000-0000-000054410000}"/>
    <cellStyle name="A_SUM_Row Major 3 4 7" xfId="13529" xr:uid="{00000000-0005-0000-0000-000055410000}"/>
    <cellStyle name="A_SUM_Row Major 3 4 7 2" xfId="32904" xr:uid="{00000000-0005-0000-0000-000056410000}"/>
    <cellStyle name="A_SUM_Row Major 3 4 8" xfId="16080" xr:uid="{00000000-0005-0000-0000-000057410000}"/>
    <cellStyle name="A_SUM_Row Major 3 4 8 2" xfId="35434" xr:uid="{00000000-0005-0000-0000-000058410000}"/>
    <cellStyle name="A_SUM_Row Major 3 4 9" xfId="18490" xr:uid="{00000000-0005-0000-0000-000059410000}"/>
    <cellStyle name="A_SUM_Row Major 3 4 9 2" xfId="37843" xr:uid="{00000000-0005-0000-0000-00005A410000}"/>
    <cellStyle name="A_SUM_Row Major 3 5" xfId="13732" xr:uid="{00000000-0005-0000-0000-00005B410000}"/>
    <cellStyle name="A_SUM_Row Major 3 5 2" xfId="14535" xr:uid="{00000000-0005-0000-0000-00005C410000}"/>
    <cellStyle name="A_SUM_Row Major 3 5 2 2" xfId="17025" xr:uid="{00000000-0005-0000-0000-00005D410000}"/>
    <cellStyle name="A_SUM_Row Major 3 5 2 2 2" xfId="36379" xr:uid="{00000000-0005-0000-0000-00005E410000}"/>
    <cellStyle name="A_SUM_Row Major 3 5 2 3" xfId="19456" xr:uid="{00000000-0005-0000-0000-00005F410000}"/>
    <cellStyle name="A_SUM_Row Major 3 5 2 3 2" xfId="38809" xr:uid="{00000000-0005-0000-0000-000060410000}"/>
    <cellStyle name="A_SUM_Row Major 3 5 2 4" xfId="21955" xr:uid="{00000000-0005-0000-0000-000061410000}"/>
    <cellStyle name="A_SUM_Row Major 3 5 2 4 2" xfId="41297" xr:uid="{00000000-0005-0000-0000-000062410000}"/>
    <cellStyle name="A_SUM_Row Major 3 5 2 5" xfId="33896" xr:uid="{00000000-0005-0000-0000-000063410000}"/>
    <cellStyle name="A_SUM_Row Major 3 5 3" xfId="15099" xr:uid="{00000000-0005-0000-0000-000064410000}"/>
    <cellStyle name="A_SUM_Row Major 3 5 3 2" xfId="17575" xr:uid="{00000000-0005-0000-0000-000065410000}"/>
    <cellStyle name="A_SUM_Row Major 3 5 3 2 2" xfId="36929" xr:uid="{00000000-0005-0000-0000-000066410000}"/>
    <cellStyle name="A_SUM_Row Major 3 5 3 3" xfId="20006" xr:uid="{00000000-0005-0000-0000-000067410000}"/>
    <cellStyle name="A_SUM_Row Major 3 5 3 3 2" xfId="39359" xr:uid="{00000000-0005-0000-0000-000068410000}"/>
    <cellStyle name="A_SUM_Row Major 3 5 3 4" xfId="22519" xr:uid="{00000000-0005-0000-0000-000069410000}"/>
    <cellStyle name="A_SUM_Row Major 3 5 3 4 2" xfId="41861" xr:uid="{00000000-0005-0000-0000-00006A410000}"/>
    <cellStyle name="A_SUM_Row Major 3 5 3 5" xfId="34460" xr:uid="{00000000-0005-0000-0000-00006B410000}"/>
    <cellStyle name="A_SUM_Row Major 3 5 4" xfId="15582" xr:uid="{00000000-0005-0000-0000-00006C410000}"/>
    <cellStyle name="A_SUM_Row Major 3 5 4 2" xfId="18058" xr:uid="{00000000-0005-0000-0000-00006D410000}"/>
    <cellStyle name="A_SUM_Row Major 3 5 4 2 2" xfId="37412" xr:uid="{00000000-0005-0000-0000-00006E410000}"/>
    <cellStyle name="A_SUM_Row Major 3 5 4 3" xfId="20489" xr:uid="{00000000-0005-0000-0000-00006F410000}"/>
    <cellStyle name="A_SUM_Row Major 3 5 4 3 2" xfId="39842" xr:uid="{00000000-0005-0000-0000-000070410000}"/>
    <cellStyle name="A_SUM_Row Major 3 5 4 4" xfId="23002" xr:uid="{00000000-0005-0000-0000-000071410000}"/>
    <cellStyle name="A_SUM_Row Major 3 5 4 4 2" xfId="42344" xr:uid="{00000000-0005-0000-0000-000072410000}"/>
    <cellStyle name="A_SUM_Row Major 3 5 4 5" xfId="34943" xr:uid="{00000000-0005-0000-0000-000073410000}"/>
    <cellStyle name="A_SUM_Row Major 3 5 5" xfId="16251" xr:uid="{00000000-0005-0000-0000-000074410000}"/>
    <cellStyle name="A_SUM_Row Major 3 5 5 2" xfId="35605" xr:uid="{00000000-0005-0000-0000-000075410000}"/>
    <cellStyle name="A_SUM_Row Major 3 5 6" xfId="18682" xr:uid="{00000000-0005-0000-0000-000076410000}"/>
    <cellStyle name="A_SUM_Row Major 3 5 6 2" xfId="38035" xr:uid="{00000000-0005-0000-0000-000077410000}"/>
    <cellStyle name="A_SUM_Row Major 3 5 7" xfId="21156" xr:uid="{00000000-0005-0000-0000-000078410000}"/>
    <cellStyle name="A_SUM_Row Major 3 5 7 2" xfId="40498" xr:uid="{00000000-0005-0000-0000-000079410000}"/>
    <cellStyle name="A_SUM_Row Major 3 5 8" xfId="33097" xr:uid="{00000000-0005-0000-0000-00007A410000}"/>
    <cellStyle name="A_SUM_Row Major 3 6" xfId="13694" xr:uid="{00000000-0005-0000-0000-00007B410000}"/>
    <cellStyle name="A_SUM_Row Major 3 6 2" xfId="14497" xr:uid="{00000000-0005-0000-0000-00007C410000}"/>
    <cellStyle name="A_SUM_Row Major 3 6 2 2" xfId="16987" xr:uid="{00000000-0005-0000-0000-00007D410000}"/>
    <cellStyle name="A_SUM_Row Major 3 6 2 2 2" xfId="36341" xr:uid="{00000000-0005-0000-0000-00007E410000}"/>
    <cellStyle name="A_SUM_Row Major 3 6 2 3" xfId="19418" xr:uid="{00000000-0005-0000-0000-00007F410000}"/>
    <cellStyle name="A_SUM_Row Major 3 6 2 3 2" xfId="38771" xr:uid="{00000000-0005-0000-0000-000080410000}"/>
    <cellStyle name="A_SUM_Row Major 3 6 2 4" xfId="21917" xr:uid="{00000000-0005-0000-0000-000081410000}"/>
    <cellStyle name="A_SUM_Row Major 3 6 2 4 2" xfId="41259" xr:uid="{00000000-0005-0000-0000-000082410000}"/>
    <cellStyle name="A_SUM_Row Major 3 6 2 5" xfId="33858" xr:uid="{00000000-0005-0000-0000-000083410000}"/>
    <cellStyle name="A_SUM_Row Major 3 6 3" xfId="15061" xr:uid="{00000000-0005-0000-0000-000084410000}"/>
    <cellStyle name="A_SUM_Row Major 3 6 3 2" xfId="17537" xr:uid="{00000000-0005-0000-0000-000085410000}"/>
    <cellStyle name="A_SUM_Row Major 3 6 3 2 2" xfId="36891" xr:uid="{00000000-0005-0000-0000-000086410000}"/>
    <cellStyle name="A_SUM_Row Major 3 6 3 3" xfId="19968" xr:uid="{00000000-0005-0000-0000-000087410000}"/>
    <cellStyle name="A_SUM_Row Major 3 6 3 3 2" xfId="39321" xr:uid="{00000000-0005-0000-0000-000088410000}"/>
    <cellStyle name="A_SUM_Row Major 3 6 3 4" xfId="22481" xr:uid="{00000000-0005-0000-0000-000089410000}"/>
    <cellStyle name="A_SUM_Row Major 3 6 3 4 2" xfId="41823" xr:uid="{00000000-0005-0000-0000-00008A410000}"/>
    <cellStyle name="A_SUM_Row Major 3 6 3 5" xfId="34422" xr:uid="{00000000-0005-0000-0000-00008B410000}"/>
    <cellStyle name="A_SUM_Row Major 3 6 4" xfId="15544" xr:uid="{00000000-0005-0000-0000-00008C410000}"/>
    <cellStyle name="A_SUM_Row Major 3 6 4 2" xfId="18020" xr:uid="{00000000-0005-0000-0000-00008D410000}"/>
    <cellStyle name="A_SUM_Row Major 3 6 4 2 2" xfId="37374" xr:uid="{00000000-0005-0000-0000-00008E410000}"/>
    <cellStyle name="A_SUM_Row Major 3 6 4 3" xfId="20451" xr:uid="{00000000-0005-0000-0000-00008F410000}"/>
    <cellStyle name="A_SUM_Row Major 3 6 4 3 2" xfId="39804" xr:uid="{00000000-0005-0000-0000-000090410000}"/>
    <cellStyle name="A_SUM_Row Major 3 6 4 4" xfId="22964" xr:uid="{00000000-0005-0000-0000-000091410000}"/>
    <cellStyle name="A_SUM_Row Major 3 6 4 4 2" xfId="42306" xr:uid="{00000000-0005-0000-0000-000092410000}"/>
    <cellStyle name="A_SUM_Row Major 3 6 4 5" xfId="34905" xr:uid="{00000000-0005-0000-0000-000093410000}"/>
    <cellStyle name="A_SUM_Row Major 3 6 5" xfId="16213" xr:uid="{00000000-0005-0000-0000-000094410000}"/>
    <cellStyle name="A_SUM_Row Major 3 6 5 2" xfId="35567" xr:uid="{00000000-0005-0000-0000-000095410000}"/>
    <cellStyle name="A_SUM_Row Major 3 6 6" xfId="18644" xr:uid="{00000000-0005-0000-0000-000096410000}"/>
    <cellStyle name="A_SUM_Row Major 3 6 6 2" xfId="37997" xr:uid="{00000000-0005-0000-0000-000097410000}"/>
    <cellStyle name="A_SUM_Row Major 3 6 7" xfId="21118" xr:uid="{00000000-0005-0000-0000-000098410000}"/>
    <cellStyle name="A_SUM_Row Major 3 6 7 2" xfId="40460" xr:uid="{00000000-0005-0000-0000-000099410000}"/>
    <cellStyle name="A_SUM_Row Major 3 6 8" xfId="33059" xr:uid="{00000000-0005-0000-0000-00009A410000}"/>
    <cellStyle name="A_SUM_Row Major 3 7" xfId="14248" xr:uid="{00000000-0005-0000-0000-00009B410000}"/>
    <cellStyle name="A_SUM_Row Major 3 7 2" xfId="16751" xr:uid="{00000000-0005-0000-0000-00009C410000}"/>
    <cellStyle name="A_SUM_Row Major 3 7 2 2" xfId="36105" xr:uid="{00000000-0005-0000-0000-00009D410000}"/>
    <cellStyle name="A_SUM_Row Major 3 7 3" xfId="19182" xr:uid="{00000000-0005-0000-0000-00009E410000}"/>
    <cellStyle name="A_SUM_Row Major 3 7 3 2" xfId="38535" xr:uid="{00000000-0005-0000-0000-00009F410000}"/>
    <cellStyle name="A_SUM_Row Major 3 7 4" xfId="21669" xr:uid="{00000000-0005-0000-0000-0000A0410000}"/>
    <cellStyle name="A_SUM_Row Major 3 7 4 2" xfId="41011" xr:uid="{00000000-0005-0000-0000-0000A1410000}"/>
    <cellStyle name="A_SUM_Row Major 3 7 5" xfId="33610" xr:uid="{00000000-0005-0000-0000-0000A2410000}"/>
    <cellStyle name="A_SUM_Row Major 3 8" xfId="13341" xr:uid="{00000000-0005-0000-0000-0000A3410000}"/>
    <cellStyle name="A_SUM_Row Major 3 9" xfId="13277" xr:uid="{00000000-0005-0000-0000-0000A4410000}"/>
    <cellStyle name="A_SUM_Row Major 3 9 2" xfId="32725" xr:uid="{00000000-0005-0000-0000-0000A5410000}"/>
    <cellStyle name="A_SUM_Row Major 4" xfId="13498" xr:uid="{00000000-0005-0000-0000-0000A6410000}"/>
    <cellStyle name="A_SUM_Row Major 4 2" xfId="13802" xr:uid="{00000000-0005-0000-0000-0000A7410000}"/>
    <cellStyle name="A_SUM_Row Major 4 2 2" xfId="14601" xr:uid="{00000000-0005-0000-0000-0000A8410000}"/>
    <cellStyle name="A_SUM_Row Major 4 2 2 2" xfId="17085" xr:uid="{00000000-0005-0000-0000-0000A9410000}"/>
    <cellStyle name="A_SUM_Row Major 4 2 2 2 2" xfId="36439" xr:uid="{00000000-0005-0000-0000-0000AA410000}"/>
    <cellStyle name="A_SUM_Row Major 4 2 2 3" xfId="19516" xr:uid="{00000000-0005-0000-0000-0000AB410000}"/>
    <cellStyle name="A_SUM_Row Major 4 2 2 3 2" xfId="38869" xr:uid="{00000000-0005-0000-0000-0000AC410000}"/>
    <cellStyle name="A_SUM_Row Major 4 2 2 4" xfId="22021" xr:uid="{00000000-0005-0000-0000-0000AD410000}"/>
    <cellStyle name="A_SUM_Row Major 4 2 2 4 2" xfId="41363" xr:uid="{00000000-0005-0000-0000-0000AE410000}"/>
    <cellStyle name="A_SUM_Row Major 4 2 2 5" xfId="33962" xr:uid="{00000000-0005-0000-0000-0000AF410000}"/>
    <cellStyle name="A_SUM_Row Major 4 2 3" xfId="15158" xr:uid="{00000000-0005-0000-0000-0000B0410000}"/>
    <cellStyle name="A_SUM_Row Major 4 2 3 2" xfId="17634" xr:uid="{00000000-0005-0000-0000-0000B1410000}"/>
    <cellStyle name="A_SUM_Row Major 4 2 3 2 2" xfId="36988" xr:uid="{00000000-0005-0000-0000-0000B2410000}"/>
    <cellStyle name="A_SUM_Row Major 4 2 3 3" xfId="20065" xr:uid="{00000000-0005-0000-0000-0000B3410000}"/>
    <cellStyle name="A_SUM_Row Major 4 2 3 3 2" xfId="39418" xr:uid="{00000000-0005-0000-0000-0000B4410000}"/>
    <cellStyle name="A_SUM_Row Major 4 2 3 4" xfId="22578" xr:uid="{00000000-0005-0000-0000-0000B5410000}"/>
    <cellStyle name="A_SUM_Row Major 4 2 3 4 2" xfId="41920" xr:uid="{00000000-0005-0000-0000-0000B6410000}"/>
    <cellStyle name="A_SUM_Row Major 4 2 3 5" xfId="34519" xr:uid="{00000000-0005-0000-0000-0000B7410000}"/>
    <cellStyle name="A_SUM_Row Major 4 2 4" xfId="15639" xr:uid="{00000000-0005-0000-0000-0000B8410000}"/>
    <cellStyle name="A_SUM_Row Major 4 2 4 2" xfId="18115" xr:uid="{00000000-0005-0000-0000-0000B9410000}"/>
    <cellStyle name="A_SUM_Row Major 4 2 4 2 2" xfId="37469" xr:uid="{00000000-0005-0000-0000-0000BA410000}"/>
    <cellStyle name="A_SUM_Row Major 4 2 4 3" xfId="20546" xr:uid="{00000000-0005-0000-0000-0000BB410000}"/>
    <cellStyle name="A_SUM_Row Major 4 2 4 3 2" xfId="39899" xr:uid="{00000000-0005-0000-0000-0000BC410000}"/>
    <cellStyle name="A_SUM_Row Major 4 2 4 4" xfId="23059" xr:uid="{00000000-0005-0000-0000-0000BD410000}"/>
    <cellStyle name="A_SUM_Row Major 4 2 4 4 2" xfId="42401" xr:uid="{00000000-0005-0000-0000-0000BE410000}"/>
    <cellStyle name="A_SUM_Row Major 4 2 4 5" xfId="35000" xr:uid="{00000000-0005-0000-0000-0000BF410000}"/>
    <cellStyle name="A_SUM_Row Major 4 2 5" xfId="16314" xr:uid="{00000000-0005-0000-0000-0000C0410000}"/>
    <cellStyle name="A_SUM_Row Major 4 2 5 2" xfId="35668" xr:uid="{00000000-0005-0000-0000-0000C1410000}"/>
    <cellStyle name="A_SUM_Row Major 4 2 6" xfId="18745" xr:uid="{00000000-0005-0000-0000-0000C2410000}"/>
    <cellStyle name="A_SUM_Row Major 4 2 6 2" xfId="38098" xr:uid="{00000000-0005-0000-0000-0000C3410000}"/>
    <cellStyle name="A_SUM_Row Major 4 2 7" xfId="21225" xr:uid="{00000000-0005-0000-0000-0000C4410000}"/>
    <cellStyle name="A_SUM_Row Major 4 2 7 2" xfId="40567" xr:uid="{00000000-0005-0000-0000-0000C5410000}"/>
    <cellStyle name="A_SUM_Row Major 4 2 8" xfId="33166" xr:uid="{00000000-0005-0000-0000-0000C6410000}"/>
    <cellStyle name="A_SUM_Row Major 4 3" xfId="14028" xr:uid="{00000000-0005-0000-0000-0000C7410000}"/>
    <cellStyle name="A_SUM_Row Major 4 3 2" xfId="14823" xr:uid="{00000000-0005-0000-0000-0000C8410000}"/>
    <cellStyle name="A_SUM_Row Major 4 3 2 2" xfId="17301" xr:uid="{00000000-0005-0000-0000-0000C9410000}"/>
    <cellStyle name="A_SUM_Row Major 4 3 2 2 2" xfId="36655" xr:uid="{00000000-0005-0000-0000-0000CA410000}"/>
    <cellStyle name="A_SUM_Row Major 4 3 2 3" xfId="19732" xr:uid="{00000000-0005-0000-0000-0000CB410000}"/>
    <cellStyle name="A_SUM_Row Major 4 3 2 3 2" xfId="39085" xr:uid="{00000000-0005-0000-0000-0000CC410000}"/>
    <cellStyle name="A_SUM_Row Major 4 3 2 4" xfId="22243" xr:uid="{00000000-0005-0000-0000-0000CD410000}"/>
    <cellStyle name="A_SUM_Row Major 4 3 2 4 2" xfId="41585" xr:uid="{00000000-0005-0000-0000-0000CE410000}"/>
    <cellStyle name="A_SUM_Row Major 4 3 2 5" xfId="34184" xr:uid="{00000000-0005-0000-0000-0000CF410000}"/>
    <cellStyle name="A_SUM_Row Major 4 3 3" xfId="15371" xr:uid="{00000000-0005-0000-0000-0000D0410000}"/>
    <cellStyle name="A_SUM_Row Major 4 3 3 2" xfId="17847" xr:uid="{00000000-0005-0000-0000-0000D1410000}"/>
    <cellStyle name="A_SUM_Row Major 4 3 3 2 2" xfId="37201" xr:uid="{00000000-0005-0000-0000-0000D2410000}"/>
    <cellStyle name="A_SUM_Row Major 4 3 3 3" xfId="20278" xr:uid="{00000000-0005-0000-0000-0000D3410000}"/>
    <cellStyle name="A_SUM_Row Major 4 3 3 3 2" xfId="39631" xr:uid="{00000000-0005-0000-0000-0000D4410000}"/>
    <cellStyle name="A_SUM_Row Major 4 3 3 4" xfId="22791" xr:uid="{00000000-0005-0000-0000-0000D5410000}"/>
    <cellStyle name="A_SUM_Row Major 4 3 3 4 2" xfId="42133" xr:uid="{00000000-0005-0000-0000-0000D6410000}"/>
    <cellStyle name="A_SUM_Row Major 4 3 3 5" xfId="34732" xr:uid="{00000000-0005-0000-0000-0000D7410000}"/>
    <cellStyle name="A_SUM_Row Major 4 3 4" xfId="15830" xr:uid="{00000000-0005-0000-0000-0000D8410000}"/>
    <cellStyle name="A_SUM_Row Major 4 3 4 2" xfId="18306" xr:uid="{00000000-0005-0000-0000-0000D9410000}"/>
    <cellStyle name="A_SUM_Row Major 4 3 4 2 2" xfId="37660" xr:uid="{00000000-0005-0000-0000-0000DA410000}"/>
    <cellStyle name="A_SUM_Row Major 4 3 4 3" xfId="20737" xr:uid="{00000000-0005-0000-0000-0000DB410000}"/>
    <cellStyle name="A_SUM_Row Major 4 3 4 3 2" xfId="40090" xr:uid="{00000000-0005-0000-0000-0000DC410000}"/>
    <cellStyle name="A_SUM_Row Major 4 3 4 4" xfId="23250" xr:uid="{00000000-0005-0000-0000-0000DD410000}"/>
    <cellStyle name="A_SUM_Row Major 4 3 4 4 2" xfId="42592" xr:uid="{00000000-0005-0000-0000-0000DE410000}"/>
    <cellStyle name="A_SUM_Row Major 4 3 4 5" xfId="35191" xr:uid="{00000000-0005-0000-0000-0000DF410000}"/>
    <cellStyle name="A_SUM_Row Major 4 3 5" xfId="16534" xr:uid="{00000000-0005-0000-0000-0000E0410000}"/>
    <cellStyle name="A_SUM_Row Major 4 3 5 2" xfId="35888" xr:uid="{00000000-0005-0000-0000-0000E1410000}"/>
    <cellStyle name="A_SUM_Row Major 4 3 6" xfId="18965" xr:uid="{00000000-0005-0000-0000-0000E2410000}"/>
    <cellStyle name="A_SUM_Row Major 4 3 6 2" xfId="38318" xr:uid="{00000000-0005-0000-0000-0000E3410000}"/>
    <cellStyle name="A_SUM_Row Major 4 3 7" xfId="21451" xr:uid="{00000000-0005-0000-0000-0000E4410000}"/>
    <cellStyle name="A_SUM_Row Major 4 3 7 2" xfId="40793" xr:uid="{00000000-0005-0000-0000-0000E5410000}"/>
    <cellStyle name="A_SUM_Row Major 4 3 8" xfId="33392" xr:uid="{00000000-0005-0000-0000-0000E6410000}"/>
    <cellStyle name="A_SUM_Row Major 4 4" xfId="14322" xr:uid="{00000000-0005-0000-0000-0000E7410000}"/>
    <cellStyle name="A_SUM_Row Major 4 4 2" xfId="16818" xr:uid="{00000000-0005-0000-0000-0000E8410000}"/>
    <cellStyle name="A_SUM_Row Major 4 4 2 2" xfId="36172" xr:uid="{00000000-0005-0000-0000-0000E9410000}"/>
    <cellStyle name="A_SUM_Row Major 4 4 3" xfId="19249" xr:uid="{00000000-0005-0000-0000-0000EA410000}"/>
    <cellStyle name="A_SUM_Row Major 4 4 3 2" xfId="38602" xr:uid="{00000000-0005-0000-0000-0000EB410000}"/>
    <cellStyle name="A_SUM_Row Major 4 4 4" xfId="21742" xr:uid="{00000000-0005-0000-0000-0000EC410000}"/>
    <cellStyle name="A_SUM_Row Major 4 4 4 2" xfId="41084" xr:uid="{00000000-0005-0000-0000-0000ED410000}"/>
    <cellStyle name="A_SUM_Row Major 4 4 5" xfId="33683" xr:uid="{00000000-0005-0000-0000-0000EE410000}"/>
    <cellStyle name="A_SUM_Row Major 4 5" xfId="16062" xr:uid="{00000000-0005-0000-0000-0000EF410000}"/>
    <cellStyle name="A_SUM_Row Major 4 5 2" xfId="35416" xr:uid="{00000000-0005-0000-0000-0000F0410000}"/>
    <cellStyle name="A_SUM_Row Major 4 6" xfId="18459" xr:uid="{00000000-0005-0000-0000-0000F1410000}"/>
    <cellStyle name="A_SUM_Row Major 4 6 2" xfId="37812" xr:uid="{00000000-0005-0000-0000-0000F2410000}"/>
    <cellStyle name="A_SUM_Row Major 4 7" xfId="20995" xr:uid="{00000000-0005-0000-0000-0000F3410000}"/>
    <cellStyle name="A_SUM_Row Major 4 7 2" xfId="40337" xr:uid="{00000000-0005-0000-0000-0000F4410000}"/>
    <cellStyle name="A_SUM_Row Major 4 8" xfId="32873" xr:uid="{00000000-0005-0000-0000-0000F5410000}"/>
    <cellStyle name="A_SUM_Row Major_Company0187 Model" xfId="1398" xr:uid="{00000000-0005-0000-0000-0000F6410000}"/>
    <cellStyle name="A_SUM_Row Major_Company0187 Model 2" xfId="2592" xr:uid="{00000000-0005-0000-0000-0000F7410000}"/>
    <cellStyle name="A_SUM_Row Major_Company0187 Model 2 2" xfId="4902" xr:uid="{00000000-0005-0000-0000-0000F8410000}"/>
    <cellStyle name="A_SUM_Row Major_Company0187 Model 2 2 2" xfId="6654" xr:uid="{00000000-0005-0000-0000-0000F9410000}"/>
    <cellStyle name="A_SUM_Row Major_Company0187 Model 2 2 2 2" xfId="26139" xr:uid="{00000000-0005-0000-0000-0000FA410000}"/>
    <cellStyle name="A_SUM_Row Major_Company0187 Model 2 2 3" xfId="24396" xr:uid="{00000000-0005-0000-0000-0000FB410000}"/>
    <cellStyle name="A_SUM_Row Major_Company0187 Model 2 3" xfId="5510" xr:uid="{00000000-0005-0000-0000-0000FC410000}"/>
    <cellStyle name="A_SUM_Row Major_Company0187 Model 2 3 2" xfId="24998" xr:uid="{00000000-0005-0000-0000-0000FD410000}"/>
    <cellStyle name="A_SUM_Row Major_Company0187 Model 2 4" xfId="23489" xr:uid="{00000000-0005-0000-0000-0000FE410000}"/>
    <cellStyle name="A_SUM_Row Major_Company0187 Model 3" xfId="4542" xr:uid="{00000000-0005-0000-0000-0000FF410000}"/>
    <cellStyle name="A_SUM_Row Major_Company0187 Model 3 2" xfId="5809" xr:uid="{00000000-0005-0000-0000-000000420000}"/>
    <cellStyle name="A_SUM_Row Major_Company0187 Model 3 2 2" xfId="8144" xr:uid="{00000000-0005-0000-0000-000001420000}"/>
    <cellStyle name="A_SUM_Row Major_Company0187 Model 3 2 2 2" xfId="27628" xr:uid="{00000000-0005-0000-0000-000002420000}"/>
    <cellStyle name="A_SUM_Row Major_Company0187 Model 3 2 3" xfId="25294" xr:uid="{00000000-0005-0000-0000-000003420000}"/>
    <cellStyle name="A_SUM_Row Major_Company0187 Model 3 3" xfId="8143" xr:uid="{00000000-0005-0000-0000-000004420000}"/>
    <cellStyle name="A_SUM_Row Major_Company0187 Model 3 3 2" xfId="27627" xr:uid="{00000000-0005-0000-0000-000005420000}"/>
    <cellStyle name="A_SUM_Row Major_Company0187 Model 3 4" xfId="24079" xr:uid="{00000000-0005-0000-0000-000006420000}"/>
    <cellStyle name="A_SUM_Row Major_Company0187 Model 4" xfId="23416" xr:uid="{00000000-0005-0000-0000-000007420000}"/>
    <cellStyle name="A_SUM_Row Major_Book2" xfId="1399" xr:uid="{00000000-0005-0000-0000-000008420000}"/>
    <cellStyle name="A_SUM_Row Major_Book2 2" xfId="2593" xr:uid="{00000000-0005-0000-0000-000009420000}"/>
    <cellStyle name="A_SUM_Row Major_Book2 2 2" xfId="4903" xr:uid="{00000000-0005-0000-0000-00000A420000}"/>
    <cellStyle name="A_SUM_Row Major_Book2 2 2 2" xfId="6655" xr:uid="{00000000-0005-0000-0000-00000B420000}"/>
    <cellStyle name="A_SUM_Row Major_Book2 2 2 2 2" xfId="26140" xr:uid="{00000000-0005-0000-0000-00000C420000}"/>
    <cellStyle name="A_SUM_Row Major_Book2 2 2 3" xfId="24397" xr:uid="{00000000-0005-0000-0000-00000D420000}"/>
    <cellStyle name="A_SUM_Row Major_Book2 2 3" xfId="5525" xr:uid="{00000000-0005-0000-0000-00000E420000}"/>
    <cellStyle name="A_SUM_Row Major_Book2 2 3 2" xfId="25013" xr:uid="{00000000-0005-0000-0000-00000F420000}"/>
    <cellStyle name="A_SUM_Row Major_Book2 2 4" xfId="23490" xr:uid="{00000000-0005-0000-0000-000010420000}"/>
    <cellStyle name="A_SUM_Row Major_Book2 3" xfId="4543" xr:uid="{00000000-0005-0000-0000-000011420000}"/>
    <cellStyle name="A_SUM_Row Major_Book2 3 2" xfId="5810" xr:uid="{00000000-0005-0000-0000-000012420000}"/>
    <cellStyle name="A_SUM_Row Major_Book2 3 2 2" xfId="8146" xr:uid="{00000000-0005-0000-0000-000013420000}"/>
    <cellStyle name="A_SUM_Row Major_Book2 3 2 2 2" xfId="27630" xr:uid="{00000000-0005-0000-0000-000014420000}"/>
    <cellStyle name="A_SUM_Row Major_Book2 3 2 3" xfId="25295" xr:uid="{00000000-0005-0000-0000-000015420000}"/>
    <cellStyle name="A_SUM_Row Major_Book2 3 3" xfId="8145" xr:uid="{00000000-0005-0000-0000-000016420000}"/>
    <cellStyle name="A_SUM_Row Major_Book2 3 3 2" xfId="27629" xr:uid="{00000000-0005-0000-0000-000017420000}"/>
    <cellStyle name="A_SUM_Row Major_Book2 3 4" xfId="24080" xr:uid="{00000000-0005-0000-0000-000018420000}"/>
    <cellStyle name="A_SUM_Row Major_Book2 4" xfId="23417" xr:uid="{00000000-0005-0000-0000-000019420000}"/>
    <cellStyle name="A_SUM_Row Minor" xfId="1400" xr:uid="{00000000-0005-0000-0000-00001A420000}"/>
    <cellStyle name="A_SUM_Row Minor 2" xfId="2113" xr:uid="{00000000-0005-0000-0000-00001B420000}"/>
    <cellStyle name="A_SUM_Row Minor 2 2" xfId="2652" xr:uid="{00000000-0005-0000-0000-00001C420000}"/>
    <cellStyle name="A_SUM_Row Minor 2 2 2" xfId="4920" xr:uid="{00000000-0005-0000-0000-00001D420000}"/>
    <cellStyle name="A_SUM_Row Minor 2 2 2 2" xfId="6672" xr:uid="{00000000-0005-0000-0000-00001E420000}"/>
    <cellStyle name="A_SUM_Row Minor 2 2 2 2 2" xfId="26157" xr:uid="{00000000-0005-0000-0000-00001F420000}"/>
    <cellStyle name="A_SUM_Row Minor 2 2 2 3" xfId="24414" xr:uid="{00000000-0005-0000-0000-000020420000}"/>
    <cellStyle name="A_SUM_Row Minor 2 2 3" xfId="5498" xr:uid="{00000000-0005-0000-0000-000021420000}"/>
    <cellStyle name="A_SUM_Row Minor 2 2 3 2" xfId="24986" xr:uid="{00000000-0005-0000-0000-000022420000}"/>
    <cellStyle name="A_SUM_Row Minor 2 2 4" xfId="23545" xr:uid="{00000000-0005-0000-0000-000023420000}"/>
    <cellStyle name="A_SUM_Row Minor 2 3" xfId="13299" xr:uid="{00000000-0005-0000-0000-000024420000}"/>
    <cellStyle name="A_SUM_Row Minor 2 4" xfId="13372" xr:uid="{00000000-0005-0000-0000-000025420000}"/>
    <cellStyle name="A_SUM_Row Minor 2 4 2" xfId="32771" xr:uid="{00000000-0005-0000-0000-000026420000}"/>
    <cellStyle name="A_SUM_Row Minor 2 5" xfId="20891" xr:uid="{00000000-0005-0000-0000-000027420000}"/>
    <cellStyle name="A_SUM_Row Minor 2 5 2" xfId="40236" xr:uid="{00000000-0005-0000-0000-000028420000}"/>
    <cellStyle name="A_SUM_Row Minor 2 6" xfId="23478" xr:uid="{00000000-0005-0000-0000-000029420000}"/>
    <cellStyle name="A_SUM_Row Minor 3" xfId="2594" xr:uid="{00000000-0005-0000-0000-00002A420000}"/>
    <cellStyle name="A_SUM_Row Minor 3 10" xfId="20910" xr:uid="{00000000-0005-0000-0000-00002B420000}"/>
    <cellStyle name="A_SUM_Row Minor 3 10 2" xfId="40255" xr:uid="{00000000-0005-0000-0000-00002C420000}"/>
    <cellStyle name="A_SUM_Row Minor 3 2" xfId="4176" xr:uid="{00000000-0005-0000-0000-00002D420000}"/>
    <cellStyle name="A_SUM_Row Minor 3 2 10" xfId="20963" xr:uid="{00000000-0005-0000-0000-00002E420000}"/>
    <cellStyle name="A_SUM_Row Minor 3 2 10 2" xfId="40305" xr:uid="{00000000-0005-0000-0000-00002F420000}"/>
    <cellStyle name="A_SUM_Row Minor 3 2 2" xfId="4521" xr:uid="{00000000-0005-0000-0000-000030420000}"/>
    <cellStyle name="A_SUM_Row Minor 3 2 2 2" xfId="5199" xr:uid="{00000000-0005-0000-0000-000031420000}"/>
    <cellStyle name="A_SUM_Row Minor 3 2 2 2 2" xfId="6682" xr:uid="{00000000-0005-0000-0000-000032420000}"/>
    <cellStyle name="A_SUM_Row Minor 3 2 2 2 2 2" xfId="14684" xr:uid="{00000000-0005-0000-0000-000033420000}"/>
    <cellStyle name="A_SUM_Row Minor 3 2 2 2 2 2 2" xfId="34045" xr:uid="{00000000-0005-0000-0000-000034420000}"/>
    <cellStyle name="A_SUM_Row Minor 3 2 2 2 2 3" xfId="17165" xr:uid="{00000000-0005-0000-0000-000035420000}"/>
    <cellStyle name="A_SUM_Row Minor 3 2 2 2 2 3 2" xfId="36519" xr:uid="{00000000-0005-0000-0000-000036420000}"/>
    <cellStyle name="A_SUM_Row Minor 3 2 2 2 2 4" xfId="19596" xr:uid="{00000000-0005-0000-0000-000037420000}"/>
    <cellStyle name="A_SUM_Row Minor 3 2 2 2 2 4 2" xfId="38949" xr:uid="{00000000-0005-0000-0000-000038420000}"/>
    <cellStyle name="A_SUM_Row Minor 3 2 2 2 2 5" xfId="22104" xr:uid="{00000000-0005-0000-0000-000039420000}"/>
    <cellStyle name="A_SUM_Row Minor 3 2 2 2 2 5 2" xfId="41446" xr:uid="{00000000-0005-0000-0000-00003A420000}"/>
    <cellStyle name="A_SUM_Row Minor 3 2 2 2 2 6" xfId="26167" xr:uid="{00000000-0005-0000-0000-00003B420000}"/>
    <cellStyle name="A_SUM_Row Minor 3 2 2 2 3" xfId="15236" xr:uid="{00000000-0005-0000-0000-00003C420000}"/>
    <cellStyle name="A_SUM_Row Minor 3 2 2 2 3 2" xfId="17712" xr:uid="{00000000-0005-0000-0000-00003D420000}"/>
    <cellStyle name="A_SUM_Row Minor 3 2 2 2 3 2 2" xfId="37066" xr:uid="{00000000-0005-0000-0000-00003E420000}"/>
    <cellStyle name="A_SUM_Row Minor 3 2 2 2 3 3" xfId="20143" xr:uid="{00000000-0005-0000-0000-00003F420000}"/>
    <cellStyle name="A_SUM_Row Minor 3 2 2 2 3 3 2" xfId="39496" xr:uid="{00000000-0005-0000-0000-000040420000}"/>
    <cellStyle name="A_SUM_Row Minor 3 2 2 2 3 4" xfId="22656" xr:uid="{00000000-0005-0000-0000-000041420000}"/>
    <cellStyle name="A_SUM_Row Minor 3 2 2 2 3 4 2" xfId="41998" xr:uid="{00000000-0005-0000-0000-000042420000}"/>
    <cellStyle name="A_SUM_Row Minor 3 2 2 2 3 5" xfId="34597" xr:uid="{00000000-0005-0000-0000-000043420000}"/>
    <cellStyle name="A_SUM_Row Minor 3 2 2 2 4" xfId="13889" xr:uid="{00000000-0005-0000-0000-000044420000}"/>
    <cellStyle name="A_SUM_Row Minor 3 2 2 2 4 2" xfId="33253" xr:uid="{00000000-0005-0000-0000-000045420000}"/>
    <cellStyle name="A_SUM_Row Minor 3 2 2 2 5" xfId="16398" xr:uid="{00000000-0005-0000-0000-000046420000}"/>
    <cellStyle name="A_SUM_Row Minor 3 2 2 2 5 2" xfId="35752" xr:uid="{00000000-0005-0000-0000-000047420000}"/>
    <cellStyle name="A_SUM_Row Minor 3 2 2 2 6" xfId="18829" xr:uid="{00000000-0005-0000-0000-000048420000}"/>
    <cellStyle name="A_SUM_Row Minor 3 2 2 2 6 2" xfId="38182" xr:uid="{00000000-0005-0000-0000-000049420000}"/>
    <cellStyle name="A_SUM_Row Minor 3 2 2 2 7" xfId="21312" xr:uid="{00000000-0005-0000-0000-00004A420000}"/>
    <cellStyle name="A_SUM_Row Minor 3 2 2 2 7 2" xfId="40654" xr:uid="{00000000-0005-0000-0000-00004B420000}"/>
    <cellStyle name="A_SUM_Row Minor 3 2 2 2 8" xfId="24690" xr:uid="{00000000-0005-0000-0000-00004C420000}"/>
    <cellStyle name="A_SUM_Row Minor 3 2 2 3" xfId="6621" xr:uid="{00000000-0005-0000-0000-00004D420000}"/>
    <cellStyle name="A_SUM_Row Minor 3 2 2 3 2" xfId="14888" xr:uid="{00000000-0005-0000-0000-00004E420000}"/>
    <cellStyle name="A_SUM_Row Minor 3 2 2 3 2 2" xfId="17366" xr:uid="{00000000-0005-0000-0000-00004F420000}"/>
    <cellStyle name="A_SUM_Row Minor 3 2 2 3 2 2 2" xfId="36720" xr:uid="{00000000-0005-0000-0000-000050420000}"/>
    <cellStyle name="A_SUM_Row Minor 3 2 2 3 2 3" xfId="19797" xr:uid="{00000000-0005-0000-0000-000051420000}"/>
    <cellStyle name="A_SUM_Row Minor 3 2 2 3 2 3 2" xfId="39150" xr:uid="{00000000-0005-0000-0000-000052420000}"/>
    <cellStyle name="A_SUM_Row Minor 3 2 2 3 2 4" xfId="22308" xr:uid="{00000000-0005-0000-0000-000053420000}"/>
    <cellStyle name="A_SUM_Row Minor 3 2 2 3 2 4 2" xfId="41650" xr:uid="{00000000-0005-0000-0000-000054420000}"/>
    <cellStyle name="A_SUM_Row Minor 3 2 2 3 2 5" xfId="34249" xr:uid="{00000000-0005-0000-0000-000055420000}"/>
    <cellStyle name="A_SUM_Row Minor 3 2 2 3 3" xfId="15435" xr:uid="{00000000-0005-0000-0000-000056420000}"/>
    <cellStyle name="A_SUM_Row Minor 3 2 2 3 3 2" xfId="17911" xr:uid="{00000000-0005-0000-0000-000057420000}"/>
    <cellStyle name="A_SUM_Row Minor 3 2 2 3 3 2 2" xfId="37265" xr:uid="{00000000-0005-0000-0000-000058420000}"/>
    <cellStyle name="A_SUM_Row Minor 3 2 2 3 3 3" xfId="20342" xr:uid="{00000000-0005-0000-0000-000059420000}"/>
    <cellStyle name="A_SUM_Row Minor 3 2 2 3 3 3 2" xfId="39695" xr:uid="{00000000-0005-0000-0000-00005A420000}"/>
    <cellStyle name="A_SUM_Row Minor 3 2 2 3 3 4" xfId="22855" xr:uid="{00000000-0005-0000-0000-00005B420000}"/>
    <cellStyle name="A_SUM_Row Minor 3 2 2 3 3 4 2" xfId="42197" xr:uid="{00000000-0005-0000-0000-00005C420000}"/>
    <cellStyle name="A_SUM_Row Minor 3 2 2 3 3 5" xfId="34796" xr:uid="{00000000-0005-0000-0000-00005D420000}"/>
    <cellStyle name="A_SUM_Row Minor 3 2 2 3 4" xfId="15894" xr:uid="{00000000-0005-0000-0000-00005E420000}"/>
    <cellStyle name="A_SUM_Row Minor 3 2 2 3 4 2" xfId="18370" xr:uid="{00000000-0005-0000-0000-00005F420000}"/>
    <cellStyle name="A_SUM_Row Minor 3 2 2 3 4 2 2" xfId="37724" xr:uid="{00000000-0005-0000-0000-000060420000}"/>
    <cellStyle name="A_SUM_Row Minor 3 2 2 3 4 3" xfId="20801" xr:uid="{00000000-0005-0000-0000-000061420000}"/>
    <cellStyle name="A_SUM_Row Minor 3 2 2 3 4 3 2" xfId="40154" xr:uid="{00000000-0005-0000-0000-000062420000}"/>
    <cellStyle name="A_SUM_Row Minor 3 2 2 3 4 4" xfId="23314" xr:uid="{00000000-0005-0000-0000-000063420000}"/>
    <cellStyle name="A_SUM_Row Minor 3 2 2 3 4 4 2" xfId="42656" xr:uid="{00000000-0005-0000-0000-000064420000}"/>
    <cellStyle name="A_SUM_Row Minor 3 2 2 3 4 5" xfId="35255" xr:uid="{00000000-0005-0000-0000-000065420000}"/>
    <cellStyle name="A_SUM_Row Minor 3 2 2 3 5" xfId="14107" xr:uid="{00000000-0005-0000-0000-000066420000}"/>
    <cellStyle name="A_SUM_Row Minor 3 2 2 3 5 2" xfId="33471" xr:uid="{00000000-0005-0000-0000-000067420000}"/>
    <cellStyle name="A_SUM_Row Minor 3 2 2 3 6" xfId="16613" xr:uid="{00000000-0005-0000-0000-000068420000}"/>
    <cellStyle name="A_SUM_Row Minor 3 2 2 3 6 2" xfId="35967" xr:uid="{00000000-0005-0000-0000-000069420000}"/>
    <cellStyle name="A_SUM_Row Minor 3 2 2 3 7" xfId="19044" xr:uid="{00000000-0005-0000-0000-00006A420000}"/>
    <cellStyle name="A_SUM_Row Minor 3 2 2 3 7 2" xfId="38397" xr:uid="{00000000-0005-0000-0000-00006B420000}"/>
    <cellStyle name="A_SUM_Row Minor 3 2 2 3 8" xfId="21530" xr:uid="{00000000-0005-0000-0000-00006C420000}"/>
    <cellStyle name="A_SUM_Row Minor 3 2 2 3 8 2" xfId="40872" xr:uid="{00000000-0005-0000-0000-00006D420000}"/>
    <cellStyle name="A_SUM_Row Minor 3 2 2 3 9" xfId="26106" xr:uid="{00000000-0005-0000-0000-00006E420000}"/>
    <cellStyle name="A_SUM_Row Minor 3 2 2 4" xfId="14399" xr:uid="{00000000-0005-0000-0000-00006F420000}"/>
    <cellStyle name="A_SUM_Row Minor 3 2 2 4 2" xfId="16892" xr:uid="{00000000-0005-0000-0000-000070420000}"/>
    <cellStyle name="A_SUM_Row Minor 3 2 2 4 2 2" xfId="36246" xr:uid="{00000000-0005-0000-0000-000071420000}"/>
    <cellStyle name="A_SUM_Row Minor 3 2 2 4 3" xfId="19323" xr:uid="{00000000-0005-0000-0000-000072420000}"/>
    <cellStyle name="A_SUM_Row Minor 3 2 2 4 3 2" xfId="38676" xr:uid="{00000000-0005-0000-0000-000073420000}"/>
    <cellStyle name="A_SUM_Row Minor 3 2 2 4 4" xfId="21819" xr:uid="{00000000-0005-0000-0000-000074420000}"/>
    <cellStyle name="A_SUM_Row Minor 3 2 2 4 4 2" xfId="41161" xr:uid="{00000000-0005-0000-0000-000075420000}"/>
    <cellStyle name="A_SUM_Row Minor 3 2 2 4 5" xfId="33760" xr:uid="{00000000-0005-0000-0000-000076420000}"/>
    <cellStyle name="A_SUM_Row Minor 3 2 2 5" xfId="15029" xr:uid="{00000000-0005-0000-0000-000077420000}"/>
    <cellStyle name="A_SUM_Row Minor 3 2 2 5 2" xfId="17505" xr:uid="{00000000-0005-0000-0000-000078420000}"/>
    <cellStyle name="A_SUM_Row Minor 3 2 2 5 2 2" xfId="36859" xr:uid="{00000000-0005-0000-0000-000079420000}"/>
    <cellStyle name="A_SUM_Row Minor 3 2 2 5 3" xfId="19936" xr:uid="{00000000-0005-0000-0000-00007A420000}"/>
    <cellStyle name="A_SUM_Row Minor 3 2 2 5 3 2" xfId="39289" xr:uid="{00000000-0005-0000-0000-00007B420000}"/>
    <cellStyle name="A_SUM_Row Minor 3 2 2 5 4" xfId="22449" xr:uid="{00000000-0005-0000-0000-00007C420000}"/>
    <cellStyle name="A_SUM_Row Minor 3 2 2 5 4 2" xfId="41791" xr:uid="{00000000-0005-0000-0000-00007D420000}"/>
    <cellStyle name="A_SUM_Row Minor 3 2 2 5 5" xfId="34390" xr:uid="{00000000-0005-0000-0000-00007E420000}"/>
    <cellStyle name="A_SUM_Row Minor 3 2 2 6" xfId="14236" xr:uid="{00000000-0005-0000-0000-00007F420000}"/>
    <cellStyle name="A_SUM_Row Minor 3 2 2 6 2" xfId="16739" xr:uid="{00000000-0005-0000-0000-000080420000}"/>
    <cellStyle name="A_SUM_Row Minor 3 2 2 6 2 2" xfId="36093" xr:uid="{00000000-0005-0000-0000-000081420000}"/>
    <cellStyle name="A_SUM_Row Minor 3 2 2 6 3" xfId="19170" xr:uid="{00000000-0005-0000-0000-000082420000}"/>
    <cellStyle name="A_SUM_Row Minor 3 2 2 6 3 2" xfId="38523" xr:uid="{00000000-0005-0000-0000-000083420000}"/>
    <cellStyle name="A_SUM_Row Minor 3 2 2 6 4" xfId="21657" xr:uid="{00000000-0005-0000-0000-000084420000}"/>
    <cellStyle name="A_SUM_Row Minor 3 2 2 6 4 2" xfId="40999" xr:uid="{00000000-0005-0000-0000-000085420000}"/>
    <cellStyle name="A_SUM_Row Minor 3 2 2 6 5" xfId="33598" xr:uid="{00000000-0005-0000-0000-000086420000}"/>
    <cellStyle name="A_SUM_Row Minor 3 2 2 7" xfId="13590" xr:uid="{00000000-0005-0000-0000-000087420000}"/>
    <cellStyle name="A_SUM_Row Minor 3 2 2 7 2" xfId="32956" xr:uid="{00000000-0005-0000-0000-000088420000}"/>
    <cellStyle name="A_SUM_Row Minor 3 2 2 8" xfId="16119" xr:uid="{00000000-0005-0000-0000-000089420000}"/>
    <cellStyle name="A_SUM_Row Minor 3 2 2 8 2" xfId="35473" xr:uid="{00000000-0005-0000-0000-00008A420000}"/>
    <cellStyle name="A_SUM_Row Minor 3 2 2 9" xfId="18542" xr:uid="{00000000-0005-0000-0000-00008B420000}"/>
    <cellStyle name="A_SUM_Row Minor 3 2 2 9 2" xfId="37895" xr:uid="{00000000-0005-0000-0000-00008C420000}"/>
    <cellStyle name="A_SUM_Row Minor 3 2 3" xfId="13658" xr:uid="{00000000-0005-0000-0000-00008D420000}"/>
    <cellStyle name="A_SUM_Row Minor 3 2 3 2" xfId="13956" xr:uid="{00000000-0005-0000-0000-00008E420000}"/>
    <cellStyle name="A_SUM_Row Minor 3 2 3 2 2" xfId="14751" xr:uid="{00000000-0005-0000-0000-00008F420000}"/>
    <cellStyle name="A_SUM_Row Minor 3 2 3 2 2 2" xfId="17229" xr:uid="{00000000-0005-0000-0000-000090420000}"/>
    <cellStyle name="A_SUM_Row Minor 3 2 3 2 2 2 2" xfId="36583" xr:uid="{00000000-0005-0000-0000-000091420000}"/>
    <cellStyle name="A_SUM_Row Minor 3 2 3 2 2 3" xfId="19660" xr:uid="{00000000-0005-0000-0000-000092420000}"/>
    <cellStyle name="A_SUM_Row Minor 3 2 3 2 2 3 2" xfId="39013" xr:uid="{00000000-0005-0000-0000-000093420000}"/>
    <cellStyle name="A_SUM_Row Minor 3 2 3 2 2 4" xfId="22171" xr:uid="{00000000-0005-0000-0000-000094420000}"/>
    <cellStyle name="A_SUM_Row Minor 3 2 3 2 2 4 2" xfId="41513" xr:uid="{00000000-0005-0000-0000-000095420000}"/>
    <cellStyle name="A_SUM_Row Minor 3 2 3 2 2 5" xfId="34112" xr:uid="{00000000-0005-0000-0000-000096420000}"/>
    <cellStyle name="A_SUM_Row Minor 3 2 3 2 3" xfId="15299" xr:uid="{00000000-0005-0000-0000-000097420000}"/>
    <cellStyle name="A_SUM_Row Minor 3 2 3 2 3 2" xfId="17775" xr:uid="{00000000-0005-0000-0000-000098420000}"/>
    <cellStyle name="A_SUM_Row Minor 3 2 3 2 3 2 2" xfId="37129" xr:uid="{00000000-0005-0000-0000-000099420000}"/>
    <cellStyle name="A_SUM_Row Minor 3 2 3 2 3 3" xfId="20206" xr:uid="{00000000-0005-0000-0000-00009A420000}"/>
    <cellStyle name="A_SUM_Row Minor 3 2 3 2 3 3 2" xfId="39559" xr:uid="{00000000-0005-0000-0000-00009B420000}"/>
    <cellStyle name="A_SUM_Row Minor 3 2 3 2 3 4" xfId="22719" xr:uid="{00000000-0005-0000-0000-00009C420000}"/>
    <cellStyle name="A_SUM_Row Minor 3 2 3 2 3 4 2" xfId="42061" xr:uid="{00000000-0005-0000-0000-00009D420000}"/>
    <cellStyle name="A_SUM_Row Minor 3 2 3 2 3 5" xfId="34660" xr:uid="{00000000-0005-0000-0000-00009E420000}"/>
    <cellStyle name="A_SUM_Row Minor 3 2 3 2 4" xfId="15758" xr:uid="{00000000-0005-0000-0000-00009F420000}"/>
    <cellStyle name="A_SUM_Row Minor 3 2 3 2 4 2" xfId="18234" xr:uid="{00000000-0005-0000-0000-0000A0420000}"/>
    <cellStyle name="A_SUM_Row Minor 3 2 3 2 4 2 2" xfId="37588" xr:uid="{00000000-0005-0000-0000-0000A1420000}"/>
    <cellStyle name="A_SUM_Row Minor 3 2 3 2 4 3" xfId="20665" xr:uid="{00000000-0005-0000-0000-0000A2420000}"/>
    <cellStyle name="A_SUM_Row Minor 3 2 3 2 4 3 2" xfId="40018" xr:uid="{00000000-0005-0000-0000-0000A3420000}"/>
    <cellStyle name="A_SUM_Row Minor 3 2 3 2 4 4" xfId="23178" xr:uid="{00000000-0005-0000-0000-0000A4420000}"/>
    <cellStyle name="A_SUM_Row Minor 3 2 3 2 4 4 2" xfId="42520" xr:uid="{00000000-0005-0000-0000-0000A5420000}"/>
    <cellStyle name="A_SUM_Row Minor 3 2 3 2 4 5" xfId="35119" xr:uid="{00000000-0005-0000-0000-0000A6420000}"/>
    <cellStyle name="A_SUM_Row Minor 3 2 3 2 5" xfId="16462" xr:uid="{00000000-0005-0000-0000-0000A7420000}"/>
    <cellStyle name="A_SUM_Row Minor 3 2 3 2 5 2" xfId="35816" xr:uid="{00000000-0005-0000-0000-0000A8420000}"/>
    <cellStyle name="A_SUM_Row Minor 3 2 3 2 6" xfId="18893" xr:uid="{00000000-0005-0000-0000-0000A9420000}"/>
    <cellStyle name="A_SUM_Row Minor 3 2 3 2 6 2" xfId="38246" xr:uid="{00000000-0005-0000-0000-0000AA420000}"/>
    <cellStyle name="A_SUM_Row Minor 3 2 3 2 7" xfId="21379" xr:uid="{00000000-0005-0000-0000-0000AB420000}"/>
    <cellStyle name="A_SUM_Row Minor 3 2 3 2 7 2" xfId="40721" xr:uid="{00000000-0005-0000-0000-0000AC420000}"/>
    <cellStyle name="A_SUM_Row Minor 3 2 3 2 8" xfId="33320" xr:uid="{00000000-0005-0000-0000-0000AD420000}"/>
    <cellStyle name="A_SUM_Row Minor 3 2 3 3" xfId="14170" xr:uid="{00000000-0005-0000-0000-0000AE420000}"/>
    <cellStyle name="A_SUM_Row Minor 3 2 3 3 2" xfId="14947" xr:uid="{00000000-0005-0000-0000-0000AF420000}"/>
    <cellStyle name="A_SUM_Row Minor 3 2 3 3 2 2" xfId="17425" xr:uid="{00000000-0005-0000-0000-0000B0420000}"/>
    <cellStyle name="A_SUM_Row Minor 3 2 3 3 2 2 2" xfId="36779" xr:uid="{00000000-0005-0000-0000-0000B1420000}"/>
    <cellStyle name="A_SUM_Row Minor 3 2 3 3 2 3" xfId="19856" xr:uid="{00000000-0005-0000-0000-0000B2420000}"/>
    <cellStyle name="A_SUM_Row Minor 3 2 3 3 2 3 2" xfId="39209" xr:uid="{00000000-0005-0000-0000-0000B3420000}"/>
    <cellStyle name="A_SUM_Row Minor 3 2 3 3 2 4" xfId="22367" xr:uid="{00000000-0005-0000-0000-0000B4420000}"/>
    <cellStyle name="A_SUM_Row Minor 3 2 3 3 2 4 2" xfId="41709" xr:uid="{00000000-0005-0000-0000-0000B5420000}"/>
    <cellStyle name="A_SUM_Row Minor 3 2 3 3 2 5" xfId="34308" xr:uid="{00000000-0005-0000-0000-0000B6420000}"/>
    <cellStyle name="A_SUM_Row Minor 3 2 3 3 3" xfId="15493" xr:uid="{00000000-0005-0000-0000-0000B7420000}"/>
    <cellStyle name="A_SUM_Row Minor 3 2 3 3 3 2" xfId="17969" xr:uid="{00000000-0005-0000-0000-0000B8420000}"/>
    <cellStyle name="A_SUM_Row Minor 3 2 3 3 3 2 2" xfId="37323" xr:uid="{00000000-0005-0000-0000-0000B9420000}"/>
    <cellStyle name="A_SUM_Row Minor 3 2 3 3 3 3" xfId="20400" xr:uid="{00000000-0005-0000-0000-0000BA420000}"/>
    <cellStyle name="A_SUM_Row Minor 3 2 3 3 3 3 2" xfId="39753" xr:uid="{00000000-0005-0000-0000-0000BB420000}"/>
    <cellStyle name="A_SUM_Row Minor 3 2 3 3 3 4" xfId="22913" xr:uid="{00000000-0005-0000-0000-0000BC420000}"/>
    <cellStyle name="A_SUM_Row Minor 3 2 3 3 3 4 2" xfId="42255" xr:uid="{00000000-0005-0000-0000-0000BD420000}"/>
    <cellStyle name="A_SUM_Row Minor 3 2 3 3 3 5" xfId="34854" xr:uid="{00000000-0005-0000-0000-0000BE420000}"/>
    <cellStyle name="A_SUM_Row Minor 3 2 3 3 4" xfId="15952" xr:uid="{00000000-0005-0000-0000-0000BF420000}"/>
    <cellStyle name="A_SUM_Row Minor 3 2 3 3 4 2" xfId="18428" xr:uid="{00000000-0005-0000-0000-0000C0420000}"/>
    <cellStyle name="A_SUM_Row Minor 3 2 3 3 4 2 2" xfId="37782" xr:uid="{00000000-0005-0000-0000-0000C1420000}"/>
    <cellStyle name="A_SUM_Row Minor 3 2 3 3 4 3" xfId="20859" xr:uid="{00000000-0005-0000-0000-0000C2420000}"/>
    <cellStyle name="A_SUM_Row Minor 3 2 3 3 4 3 2" xfId="40212" xr:uid="{00000000-0005-0000-0000-0000C3420000}"/>
    <cellStyle name="A_SUM_Row Minor 3 2 3 3 4 4" xfId="23372" xr:uid="{00000000-0005-0000-0000-0000C4420000}"/>
    <cellStyle name="A_SUM_Row Minor 3 2 3 3 4 4 2" xfId="42714" xr:uid="{00000000-0005-0000-0000-0000C5420000}"/>
    <cellStyle name="A_SUM_Row Minor 3 2 3 3 4 5" xfId="35313" xr:uid="{00000000-0005-0000-0000-0000C6420000}"/>
    <cellStyle name="A_SUM_Row Minor 3 2 3 3 5" xfId="16676" xr:uid="{00000000-0005-0000-0000-0000C7420000}"/>
    <cellStyle name="A_SUM_Row Minor 3 2 3 3 5 2" xfId="36030" xr:uid="{00000000-0005-0000-0000-0000C8420000}"/>
    <cellStyle name="A_SUM_Row Minor 3 2 3 3 6" xfId="19107" xr:uid="{00000000-0005-0000-0000-0000C9420000}"/>
    <cellStyle name="A_SUM_Row Minor 3 2 3 3 6 2" xfId="38460" xr:uid="{00000000-0005-0000-0000-0000CA420000}"/>
    <cellStyle name="A_SUM_Row Minor 3 2 3 3 7" xfId="21593" xr:uid="{00000000-0005-0000-0000-0000CB420000}"/>
    <cellStyle name="A_SUM_Row Minor 3 2 3 3 7 2" xfId="40935" xr:uid="{00000000-0005-0000-0000-0000CC420000}"/>
    <cellStyle name="A_SUM_Row Minor 3 2 3 3 8" xfId="33534" xr:uid="{00000000-0005-0000-0000-0000CD420000}"/>
    <cellStyle name="A_SUM_Row Minor 3 2 3 4" xfId="14466" xr:uid="{00000000-0005-0000-0000-0000CE420000}"/>
    <cellStyle name="A_SUM_Row Minor 3 2 3 4 2" xfId="16956" xr:uid="{00000000-0005-0000-0000-0000CF420000}"/>
    <cellStyle name="A_SUM_Row Minor 3 2 3 4 2 2" xfId="36310" xr:uid="{00000000-0005-0000-0000-0000D0420000}"/>
    <cellStyle name="A_SUM_Row Minor 3 2 3 4 3" xfId="19387" xr:uid="{00000000-0005-0000-0000-0000D1420000}"/>
    <cellStyle name="A_SUM_Row Minor 3 2 3 4 3 2" xfId="38740" xr:uid="{00000000-0005-0000-0000-0000D2420000}"/>
    <cellStyle name="A_SUM_Row Minor 3 2 3 4 4" xfId="21886" xr:uid="{00000000-0005-0000-0000-0000D3420000}"/>
    <cellStyle name="A_SUM_Row Minor 3 2 3 4 4 2" xfId="41228" xr:uid="{00000000-0005-0000-0000-0000D4420000}"/>
    <cellStyle name="A_SUM_Row Minor 3 2 3 4 5" xfId="33827" xr:uid="{00000000-0005-0000-0000-0000D5420000}"/>
    <cellStyle name="A_SUM_Row Minor 3 2 3 5" xfId="16178" xr:uid="{00000000-0005-0000-0000-0000D6420000}"/>
    <cellStyle name="A_SUM_Row Minor 3 2 3 5 2" xfId="35532" xr:uid="{00000000-0005-0000-0000-0000D7420000}"/>
    <cellStyle name="A_SUM_Row Minor 3 2 3 6" xfId="18609" xr:uid="{00000000-0005-0000-0000-0000D8420000}"/>
    <cellStyle name="A_SUM_Row Minor 3 2 3 6 2" xfId="37962" xr:uid="{00000000-0005-0000-0000-0000D9420000}"/>
    <cellStyle name="A_SUM_Row Minor 3 2 3 7" xfId="21083" xr:uid="{00000000-0005-0000-0000-0000DA420000}"/>
    <cellStyle name="A_SUM_Row Minor 3 2 3 7 2" xfId="40425" xr:uid="{00000000-0005-0000-0000-0000DB420000}"/>
    <cellStyle name="A_SUM_Row Minor 3 2 3 8" xfId="33024" xr:uid="{00000000-0005-0000-0000-0000DC420000}"/>
    <cellStyle name="A_SUM_Row Minor 3 2 4" xfId="13776" xr:uid="{00000000-0005-0000-0000-0000DD420000}"/>
    <cellStyle name="A_SUM_Row Minor 3 2 4 2" xfId="14575" xr:uid="{00000000-0005-0000-0000-0000DE420000}"/>
    <cellStyle name="A_SUM_Row Minor 3 2 4 2 2" xfId="17062" xr:uid="{00000000-0005-0000-0000-0000DF420000}"/>
    <cellStyle name="A_SUM_Row Minor 3 2 4 2 2 2" xfId="36416" xr:uid="{00000000-0005-0000-0000-0000E0420000}"/>
    <cellStyle name="A_SUM_Row Minor 3 2 4 2 3" xfId="19493" xr:uid="{00000000-0005-0000-0000-0000E1420000}"/>
    <cellStyle name="A_SUM_Row Minor 3 2 4 2 3 2" xfId="38846" xr:uid="{00000000-0005-0000-0000-0000E2420000}"/>
    <cellStyle name="A_SUM_Row Minor 3 2 4 2 4" xfId="21995" xr:uid="{00000000-0005-0000-0000-0000E3420000}"/>
    <cellStyle name="A_SUM_Row Minor 3 2 4 2 4 2" xfId="41337" xr:uid="{00000000-0005-0000-0000-0000E4420000}"/>
    <cellStyle name="A_SUM_Row Minor 3 2 4 2 5" xfId="33936" xr:uid="{00000000-0005-0000-0000-0000E5420000}"/>
    <cellStyle name="A_SUM_Row Minor 3 2 4 3" xfId="15135" xr:uid="{00000000-0005-0000-0000-0000E6420000}"/>
    <cellStyle name="A_SUM_Row Minor 3 2 4 3 2" xfId="17611" xr:uid="{00000000-0005-0000-0000-0000E7420000}"/>
    <cellStyle name="A_SUM_Row Minor 3 2 4 3 2 2" xfId="36965" xr:uid="{00000000-0005-0000-0000-0000E8420000}"/>
    <cellStyle name="A_SUM_Row Minor 3 2 4 3 3" xfId="20042" xr:uid="{00000000-0005-0000-0000-0000E9420000}"/>
    <cellStyle name="A_SUM_Row Minor 3 2 4 3 3 2" xfId="39395" xr:uid="{00000000-0005-0000-0000-0000EA420000}"/>
    <cellStyle name="A_SUM_Row Minor 3 2 4 3 4" xfId="22555" xr:uid="{00000000-0005-0000-0000-0000EB420000}"/>
    <cellStyle name="A_SUM_Row Minor 3 2 4 3 4 2" xfId="41897" xr:uid="{00000000-0005-0000-0000-0000EC420000}"/>
    <cellStyle name="A_SUM_Row Minor 3 2 4 3 5" xfId="34496" xr:uid="{00000000-0005-0000-0000-0000ED420000}"/>
    <cellStyle name="A_SUM_Row Minor 3 2 4 4" xfId="15616" xr:uid="{00000000-0005-0000-0000-0000EE420000}"/>
    <cellStyle name="A_SUM_Row Minor 3 2 4 4 2" xfId="18092" xr:uid="{00000000-0005-0000-0000-0000EF420000}"/>
    <cellStyle name="A_SUM_Row Minor 3 2 4 4 2 2" xfId="37446" xr:uid="{00000000-0005-0000-0000-0000F0420000}"/>
    <cellStyle name="A_SUM_Row Minor 3 2 4 4 3" xfId="20523" xr:uid="{00000000-0005-0000-0000-0000F1420000}"/>
    <cellStyle name="A_SUM_Row Minor 3 2 4 4 3 2" xfId="39876" xr:uid="{00000000-0005-0000-0000-0000F2420000}"/>
    <cellStyle name="A_SUM_Row Minor 3 2 4 4 4" xfId="23036" xr:uid="{00000000-0005-0000-0000-0000F3420000}"/>
    <cellStyle name="A_SUM_Row Minor 3 2 4 4 4 2" xfId="42378" xr:uid="{00000000-0005-0000-0000-0000F4420000}"/>
    <cellStyle name="A_SUM_Row Minor 3 2 4 4 5" xfId="34977" xr:uid="{00000000-0005-0000-0000-0000F5420000}"/>
    <cellStyle name="A_SUM_Row Minor 3 2 4 5" xfId="16291" xr:uid="{00000000-0005-0000-0000-0000F6420000}"/>
    <cellStyle name="A_SUM_Row Minor 3 2 4 5 2" xfId="35645" xr:uid="{00000000-0005-0000-0000-0000F7420000}"/>
    <cellStyle name="A_SUM_Row Minor 3 2 4 6" xfId="18722" xr:uid="{00000000-0005-0000-0000-0000F8420000}"/>
    <cellStyle name="A_SUM_Row Minor 3 2 4 6 2" xfId="38075" xr:uid="{00000000-0005-0000-0000-0000F9420000}"/>
    <cellStyle name="A_SUM_Row Minor 3 2 4 7" xfId="21199" xr:uid="{00000000-0005-0000-0000-0000FA420000}"/>
    <cellStyle name="A_SUM_Row Minor 3 2 4 7 2" xfId="40541" xr:uid="{00000000-0005-0000-0000-0000FB420000}"/>
    <cellStyle name="A_SUM_Row Minor 3 2 4 8" xfId="33140" xr:uid="{00000000-0005-0000-0000-0000FC420000}"/>
    <cellStyle name="A_SUM_Row Minor 3 2 5" xfId="14006" xr:uid="{00000000-0005-0000-0000-0000FD420000}"/>
    <cellStyle name="A_SUM_Row Minor 3 2 5 2" xfId="14801" xr:uid="{00000000-0005-0000-0000-0000FE420000}"/>
    <cellStyle name="A_SUM_Row Minor 3 2 5 2 2" xfId="17279" xr:uid="{00000000-0005-0000-0000-0000FF420000}"/>
    <cellStyle name="A_SUM_Row Minor 3 2 5 2 2 2" xfId="36633" xr:uid="{00000000-0005-0000-0000-000000430000}"/>
    <cellStyle name="A_SUM_Row Minor 3 2 5 2 3" xfId="19710" xr:uid="{00000000-0005-0000-0000-000001430000}"/>
    <cellStyle name="A_SUM_Row Minor 3 2 5 2 3 2" xfId="39063" xr:uid="{00000000-0005-0000-0000-000002430000}"/>
    <cellStyle name="A_SUM_Row Minor 3 2 5 2 4" xfId="22221" xr:uid="{00000000-0005-0000-0000-000003430000}"/>
    <cellStyle name="A_SUM_Row Minor 3 2 5 2 4 2" xfId="41563" xr:uid="{00000000-0005-0000-0000-000004430000}"/>
    <cellStyle name="A_SUM_Row Minor 3 2 5 2 5" xfId="34162" xr:uid="{00000000-0005-0000-0000-000005430000}"/>
    <cellStyle name="A_SUM_Row Minor 3 2 5 3" xfId="15349" xr:uid="{00000000-0005-0000-0000-000006430000}"/>
    <cellStyle name="A_SUM_Row Minor 3 2 5 3 2" xfId="17825" xr:uid="{00000000-0005-0000-0000-000007430000}"/>
    <cellStyle name="A_SUM_Row Minor 3 2 5 3 2 2" xfId="37179" xr:uid="{00000000-0005-0000-0000-000008430000}"/>
    <cellStyle name="A_SUM_Row Minor 3 2 5 3 3" xfId="20256" xr:uid="{00000000-0005-0000-0000-000009430000}"/>
    <cellStyle name="A_SUM_Row Minor 3 2 5 3 3 2" xfId="39609" xr:uid="{00000000-0005-0000-0000-00000A430000}"/>
    <cellStyle name="A_SUM_Row Minor 3 2 5 3 4" xfId="22769" xr:uid="{00000000-0005-0000-0000-00000B430000}"/>
    <cellStyle name="A_SUM_Row Minor 3 2 5 3 4 2" xfId="42111" xr:uid="{00000000-0005-0000-0000-00000C430000}"/>
    <cellStyle name="A_SUM_Row Minor 3 2 5 3 5" xfId="34710" xr:uid="{00000000-0005-0000-0000-00000D430000}"/>
    <cellStyle name="A_SUM_Row Minor 3 2 5 4" xfId="15808" xr:uid="{00000000-0005-0000-0000-00000E430000}"/>
    <cellStyle name="A_SUM_Row Minor 3 2 5 4 2" xfId="18284" xr:uid="{00000000-0005-0000-0000-00000F430000}"/>
    <cellStyle name="A_SUM_Row Minor 3 2 5 4 2 2" xfId="37638" xr:uid="{00000000-0005-0000-0000-000010430000}"/>
    <cellStyle name="A_SUM_Row Minor 3 2 5 4 3" xfId="20715" xr:uid="{00000000-0005-0000-0000-000011430000}"/>
    <cellStyle name="A_SUM_Row Minor 3 2 5 4 3 2" xfId="40068" xr:uid="{00000000-0005-0000-0000-000012430000}"/>
    <cellStyle name="A_SUM_Row Minor 3 2 5 4 4" xfId="23228" xr:uid="{00000000-0005-0000-0000-000013430000}"/>
    <cellStyle name="A_SUM_Row Minor 3 2 5 4 4 2" xfId="42570" xr:uid="{00000000-0005-0000-0000-000014430000}"/>
    <cellStyle name="A_SUM_Row Minor 3 2 5 4 5" xfId="35169" xr:uid="{00000000-0005-0000-0000-000015430000}"/>
    <cellStyle name="A_SUM_Row Minor 3 2 5 5" xfId="16512" xr:uid="{00000000-0005-0000-0000-000016430000}"/>
    <cellStyle name="A_SUM_Row Minor 3 2 5 5 2" xfId="35866" xr:uid="{00000000-0005-0000-0000-000017430000}"/>
    <cellStyle name="A_SUM_Row Minor 3 2 5 6" xfId="18943" xr:uid="{00000000-0005-0000-0000-000018430000}"/>
    <cellStyle name="A_SUM_Row Minor 3 2 5 6 2" xfId="38296" xr:uid="{00000000-0005-0000-0000-000019430000}"/>
    <cellStyle name="A_SUM_Row Minor 3 2 5 7" xfId="21429" xr:uid="{00000000-0005-0000-0000-00001A430000}"/>
    <cellStyle name="A_SUM_Row Minor 3 2 5 7 2" xfId="40771" xr:uid="{00000000-0005-0000-0000-00001B430000}"/>
    <cellStyle name="A_SUM_Row Minor 3 2 5 8" xfId="33370" xr:uid="{00000000-0005-0000-0000-00001C430000}"/>
    <cellStyle name="A_SUM_Row Minor 3 2 6" xfId="14294" xr:uid="{00000000-0005-0000-0000-00001D430000}"/>
    <cellStyle name="A_SUM_Row Minor 3 2 6 2" xfId="16793" xr:uid="{00000000-0005-0000-0000-00001E430000}"/>
    <cellStyle name="A_SUM_Row Minor 3 2 6 2 2" xfId="36147" xr:uid="{00000000-0005-0000-0000-00001F430000}"/>
    <cellStyle name="A_SUM_Row Minor 3 2 6 3" xfId="19224" xr:uid="{00000000-0005-0000-0000-000020430000}"/>
    <cellStyle name="A_SUM_Row Minor 3 2 6 3 2" xfId="38577" xr:uid="{00000000-0005-0000-0000-000021430000}"/>
    <cellStyle name="A_SUM_Row Minor 3 2 6 4" xfId="21714" xr:uid="{00000000-0005-0000-0000-000022430000}"/>
    <cellStyle name="A_SUM_Row Minor 3 2 6 4 2" xfId="41056" xr:uid="{00000000-0005-0000-0000-000023430000}"/>
    <cellStyle name="A_SUM_Row Minor 3 2 6 5" xfId="33655" xr:uid="{00000000-0005-0000-0000-000024430000}"/>
    <cellStyle name="A_SUM_Row Minor 3 2 7" xfId="13463" xr:uid="{00000000-0005-0000-0000-000025430000}"/>
    <cellStyle name="A_SUM_Row Minor 3 2 7 2" xfId="32842" xr:uid="{00000000-0005-0000-0000-000026430000}"/>
    <cellStyle name="A_SUM_Row Minor 3 2 8" xfId="16033" xr:uid="{00000000-0005-0000-0000-000027430000}"/>
    <cellStyle name="A_SUM_Row Minor 3 2 8 2" xfId="35387" xr:uid="{00000000-0005-0000-0000-000028430000}"/>
    <cellStyle name="A_SUM_Row Minor 3 2 9" xfId="13199" xr:uid="{00000000-0005-0000-0000-000029430000}"/>
    <cellStyle name="A_SUM_Row Minor 3 2 9 2" xfId="32667" xr:uid="{00000000-0005-0000-0000-00002A430000}"/>
    <cellStyle name="A_SUM_Row Minor 3 3" xfId="4904" xr:uid="{00000000-0005-0000-0000-00002B430000}"/>
    <cellStyle name="A_SUM_Row Minor 3 3 10" xfId="20973" xr:uid="{00000000-0005-0000-0000-00002C430000}"/>
    <cellStyle name="A_SUM_Row Minor 3 3 10 2" xfId="40315" xr:uid="{00000000-0005-0000-0000-00002D430000}"/>
    <cellStyle name="A_SUM_Row Minor 3 3 11" xfId="24398" xr:uid="{00000000-0005-0000-0000-00002E430000}"/>
    <cellStyle name="A_SUM_Row Minor 3 3 2" xfId="6656" xr:uid="{00000000-0005-0000-0000-00002F430000}"/>
    <cellStyle name="A_SUM_Row Minor 3 3 2 10" xfId="26141" xr:uid="{00000000-0005-0000-0000-000030430000}"/>
    <cellStyle name="A_SUM_Row Minor 3 3 2 2" xfId="13899" xr:uid="{00000000-0005-0000-0000-000031430000}"/>
    <cellStyle name="A_SUM_Row Minor 3 3 2 2 2" xfId="14694" xr:uid="{00000000-0005-0000-0000-000032430000}"/>
    <cellStyle name="A_SUM_Row Minor 3 3 2 2 2 2" xfId="17172" xr:uid="{00000000-0005-0000-0000-000033430000}"/>
    <cellStyle name="A_SUM_Row Minor 3 3 2 2 2 2 2" xfId="36526" xr:uid="{00000000-0005-0000-0000-000034430000}"/>
    <cellStyle name="A_SUM_Row Minor 3 3 2 2 2 3" xfId="19603" xr:uid="{00000000-0005-0000-0000-000035430000}"/>
    <cellStyle name="A_SUM_Row Minor 3 3 2 2 2 3 2" xfId="38956" xr:uid="{00000000-0005-0000-0000-000036430000}"/>
    <cellStyle name="A_SUM_Row Minor 3 3 2 2 2 4" xfId="22114" xr:uid="{00000000-0005-0000-0000-000037430000}"/>
    <cellStyle name="A_SUM_Row Minor 3 3 2 2 2 4 2" xfId="41456" xr:uid="{00000000-0005-0000-0000-000038430000}"/>
    <cellStyle name="A_SUM_Row Minor 3 3 2 2 2 5" xfId="34055" xr:uid="{00000000-0005-0000-0000-000039430000}"/>
    <cellStyle name="A_SUM_Row Minor 3 3 2 2 3" xfId="15242" xr:uid="{00000000-0005-0000-0000-00003A430000}"/>
    <cellStyle name="A_SUM_Row Minor 3 3 2 2 3 2" xfId="17718" xr:uid="{00000000-0005-0000-0000-00003B430000}"/>
    <cellStyle name="A_SUM_Row Minor 3 3 2 2 3 2 2" xfId="37072" xr:uid="{00000000-0005-0000-0000-00003C430000}"/>
    <cellStyle name="A_SUM_Row Minor 3 3 2 2 3 3" xfId="20149" xr:uid="{00000000-0005-0000-0000-00003D430000}"/>
    <cellStyle name="A_SUM_Row Minor 3 3 2 2 3 3 2" xfId="39502" xr:uid="{00000000-0005-0000-0000-00003E430000}"/>
    <cellStyle name="A_SUM_Row Minor 3 3 2 2 3 4" xfId="22662" xr:uid="{00000000-0005-0000-0000-00003F430000}"/>
    <cellStyle name="A_SUM_Row Minor 3 3 2 2 3 4 2" xfId="42004" xr:uid="{00000000-0005-0000-0000-000040430000}"/>
    <cellStyle name="A_SUM_Row Minor 3 3 2 2 3 5" xfId="34603" xr:uid="{00000000-0005-0000-0000-000041430000}"/>
    <cellStyle name="A_SUM_Row Minor 3 3 2 2 4" xfId="16405" xr:uid="{00000000-0005-0000-0000-000042430000}"/>
    <cellStyle name="A_SUM_Row Minor 3 3 2 2 4 2" xfId="35759" xr:uid="{00000000-0005-0000-0000-000043430000}"/>
    <cellStyle name="A_SUM_Row Minor 3 3 2 2 5" xfId="18836" xr:uid="{00000000-0005-0000-0000-000044430000}"/>
    <cellStyle name="A_SUM_Row Minor 3 3 2 2 5 2" xfId="38189" xr:uid="{00000000-0005-0000-0000-000045430000}"/>
    <cellStyle name="A_SUM_Row Minor 3 3 2 2 6" xfId="21322" xr:uid="{00000000-0005-0000-0000-000046430000}"/>
    <cellStyle name="A_SUM_Row Minor 3 3 2 2 6 2" xfId="40664" xr:uid="{00000000-0005-0000-0000-000047430000}"/>
    <cellStyle name="A_SUM_Row Minor 3 3 2 2 7" xfId="33263" xr:uid="{00000000-0005-0000-0000-000048430000}"/>
    <cellStyle name="A_SUM_Row Minor 3 3 2 3" xfId="14114" xr:uid="{00000000-0005-0000-0000-000049430000}"/>
    <cellStyle name="A_SUM_Row Minor 3 3 2 3 2" xfId="14895" xr:uid="{00000000-0005-0000-0000-00004A430000}"/>
    <cellStyle name="A_SUM_Row Minor 3 3 2 3 2 2" xfId="17373" xr:uid="{00000000-0005-0000-0000-00004B430000}"/>
    <cellStyle name="A_SUM_Row Minor 3 3 2 3 2 2 2" xfId="36727" xr:uid="{00000000-0005-0000-0000-00004C430000}"/>
    <cellStyle name="A_SUM_Row Minor 3 3 2 3 2 3" xfId="19804" xr:uid="{00000000-0005-0000-0000-00004D430000}"/>
    <cellStyle name="A_SUM_Row Minor 3 3 2 3 2 3 2" xfId="39157" xr:uid="{00000000-0005-0000-0000-00004E430000}"/>
    <cellStyle name="A_SUM_Row Minor 3 3 2 3 2 4" xfId="22315" xr:uid="{00000000-0005-0000-0000-00004F430000}"/>
    <cellStyle name="A_SUM_Row Minor 3 3 2 3 2 4 2" xfId="41657" xr:uid="{00000000-0005-0000-0000-000050430000}"/>
    <cellStyle name="A_SUM_Row Minor 3 3 2 3 2 5" xfId="34256" xr:uid="{00000000-0005-0000-0000-000051430000}"/>
    <cellStyle name="A_SUM_Row Minor 3 3 2 3 3" xfId="15442" xr:uid="{00000000-0005-0000-0000-000052430000}"/>
    <cellStyle name="A_SUM_Row Minor 3 3 2 3 3 2" xfId="17918" xr:uid="{00000000-0005-0000-0000-000053430000}"/>
    <cellStyle name="A_SUM_Row Minor 3 3 2 3 3 2 2" xfId="37272" xr:uid="{00000000-0005-0000-0000-000054430000}"/>
    <cellStyle name="A_SUM_Row Minor 3 3 2 3 3 3" xfId="20349" xr:uid="{00000000-0005-0000-0000-000055430000}"/>
    <cellStyle name="A_SUM_Row Minor 3 3 2 3 3 3 2" xfId="39702" xr:uid="{00000000-0005-0000-0000-000056430000}"/>
    <cellStyle name="A_SUM_Row Minor 3 3 2 3 3 4" xfId="22862" xr:uid="{00000000-0005-0000-0000-000057430000}"/>
    <cellStyle name="A_SUM_Row Minor 3 3 2 3 3 4 2" xfId="42204" xr:uid="{00000000-0005-0000-0000-000058430000}"/>
    <cellStyle name="A_SUM_Row Minor 3 3 2 3 3 5" xfId="34803" xr:uid="{00000000-0005-0000-0000-000059430000}"/>
    <cellStyle name="A_SUM_Row Minor 3 3 2 3 4" xfId="15901" xr:uid="{00000000-0005-0000-0000-00005A430000}"/>
    <cellStyle name="A_SUM_Row Minor 3 3 2 3 4 2" xfId="18377" xr:uid="{00000000-0005-0000-0000-00005B430000}"/>
    <cellStyle name="A_SUM_Row Minor 3 3 2 3 4 2 2" xfId="37731" xr:uid="{00000000-0005-0000-0000-00005C430000}"/>
    <cellStyle name="A_SUM_Row Minor 3 3 2 3 4 3" xfId="20808" xr:uid="{00000000-0005-0000-0000-00005D430000}"/>
    <cellStyle name="A_SUM_Row Minor 3 3 2 3 4 3 2" xfId="40161" xr:uid="{00000000-0005-0000-0000-00005E430000}"/>
    <cellStyle name="A_SUM_Row Minor 3 3 2 3 4 4" xfId="23321" xr:uid="{00000000-0005-0000-0000-00005F430000}"/>
    <cellStyle name="A_SUM_Row Minor 3 3 2 3 4 4 2" xfId="42663" xr:uid="{00000000-0005-0000-0000-000060430000}"/>
    <cellStyle name="A_SUM_Row Minor 3 3 2 3 4 5" xfId="35262" xr:uid="{00000000-0005-0000-0000-000061430000}"/>
    <cellStyle name="A_SUM_Row Minor 3 3 2 3 5" xfId="16620" xr:uid="{00000000-0005-0000-0000-000062430000}"/>
    <cellStyle name="A_SUM_Row Minor 3 3 2 3 5 2" xfId="35974" xr:uid="{00000000-0005-0000-0000-000063430000}"/>
    <cellStyle name="A_SUM_Row Minor 3 3 2 3 6" xfId="19051" xr:uid="{00000000-0005-0000-0000-000064430000}"/>
    <cellStyle name="A_SUM_Row Minor 3 3 2 3 6 2" xfId="38404" xr:uid="{00000000-0005-0000-0000-000065430000}"/>
    <cellStyle name="A_SUM_Row Minor 3 3 2 3 7" xfId="21537" xr:uid="{00000000-0005-0000-0000-000066430000}"/>
    <cellStyle name="A_SUM_Row Minor 3 3 2 3 7 2" xfId="40879" xr:uid="{00000000-0005-0000-0000-000067430000}"/>
    <cellStyle name="A_SUM_Row Minor 3 3 2 3 8" xfId="33478" xr:uid="{00000000-0005-0000-0000-000068430000}"/>
    <cellStyle name="A_SUM_Row Minor 3 3 2 4" xfId="14409" xr:uid="{00000000-0005-0000-0000-000069430000}"/>
    <cellStyle name="A_SUM_Row Minor 3 3 2 4 2" xfId="16899" xr:uid="{00000000-0005-0000-0000-00006A430000}"/>
    <cellStyle name="A_SUM_Row Minor 3 3 2 4 2 2" xfId="36253" xr:uid="{00000000-0005-0000-0000-00006B430000}"/>
    <cellStyle name="A_SUM_Row Minor 3 3 2 4 3" xfId="19330" xr:uid="{00000000-0005-0000-0000-00006C430000}"/>
    <cellStyle name="A_SUM_Row Minor 3 3 2 4 3 2" xfId="38683" xr:uid="{00000000-0005-0000-0000-00006D430000}"/>
    <cellStyle name="A_SUM_Row Minor 3 3 2 4 4" xfId="21829" xr:uid="{00000000-0005-0000-0000-00006E430000}"/>
    <cellStyle name="A_SUM_Row Minor 3 3 2 4 4 2" xfId="41171" xr:uid="{00000000-0005-0000-0000-00006F430000}"/>
    <cellStyle name="A_SUM_Row Minor 3 3 2 4 5" xfId="33770" xr:uid="{00000000-0005-0000-0000-000070430000}"/>
    <cellStyle name="A_SUM_Row Minor 3 3 2 5" xfId="15036" xr:uid="{00000000-0005-0000-0000-000071430000}"/>
    <cellStyle name="A_SUM_Row Minor 3 3 2 5 2" xfId="17512" xr:uid="{00000000-0005-0000-0000-000072430000}"/>
    <cellStyle name="A_SUM_Row Minor 3 3 2 5 2 2" xfId="36866" xr:uid="{00000000-0005-0000-0000-000073430000}"/>
    <cellStyle name="A_SUM_Row Minor 3 3 2 5 3" xfId="19943" xr:uid="{00000000-0005-0000-0000-000074430000}"/>
    <cellStyle name="A_SUM_Row Minor 3 3 2 5 3 2" xfId="39296" xr:uid="{00000000-0005-0000-0000-000075430000}"/>
    <cellStyle name="A_SUM_Row Minor 3 3 2 5 4" xfId="22456" xr:uid="{00000000-0005-0000-0000-000076430000}"/>
    <cellStyle name="A_SUM_Row Minor 3 3 2 5 4 2" xfId="41798" xr:uid="{00000000-0005-0000-0000-000077430000}"/>
    <cellStyle name="A_SUM_Row Minor 3 3 2 5 5" xfId="34397" xr:uid="{00000000-0005-0000-0000-000078430000}"/>
    <cellStyle name="A_SUM_Row Minor 3 3 2 6" xfId="14264" xr:uid="{00000000-0005-0000-0000-000079430000}"/>
    <cellStyle name="A_SUM_Row Minor 3 3 2 6 2" xfId="16764" xr:uid="{00000000-0005-0000-0000-00007A430000}"/>
    <cellStyle name="A_SUM_Row Minor 3 3 2 6 2 2" xfId="36118" xr:uid="{00000000-0005-0000-0000-00007B430000}"/>
    <cellStyle name="A_SUM_Row Minor 3 3 2 6 3" xfId="19195" xr:uid="{00000000-0005-0000-0000-00007C430000}"/>
    <cellStyle name="A_SUM_Row Minor 3 3 2 6 3 2" xfId="38548" xr:uid="{00000000-0005-0000-0000-00007D430000}"/>
    <cellStyle name="A_SUM_Row Minor 3 3 2 6 4" xfId="21685" xr:uid="{00000000-0005-0000-0000-00007E430000}"/>
    <cellStyle name="A_SUM_Row Minor 3 3 2 6 4 2" xfId="41027" xr:uid="{00000000-0005-0000-0000-00007F430000}"/>
    <cellStyle name="A_SUM_Row Minor 3 3 2 6 5" xfId="33626" xr:uid="{00000000-0005-0000-0000-000080430000}"/>
    <cellStyle name="A_SUM_Row Minor 3 3 2 7" xfId="13598" xr:uid="{00000000-0005-0000-0000-000081430000}"/>
    <cellStyle name="A_SUM_Row Minor 3 3 2 7 2" xfId="32964" xr:uid="{00000000-0005-0000-0000-000082430000}"/>
    <cellStyle name="A_SUM_Row Minor 3 3 2 8" xfId="16126" xr:uid="{00000000-0005-0000-0000-000083430000}"/>
    <cellStyle name="A_SUM_Row Minor 3 3 2 8 2" xfId="35480" xr:uid="{00000000-0005-0000-0000-000084430000}"/>
    <cellStyle name="A_SUM_Row Minor 3 3 2 9" xfId="18549" xr:uid="{00000000-0005-0000-0000-000085430000}"/>
    <cellStyle name="A_SUM_Row Minor 3 3 2 9 2" xfId="37902" xr:uid="{00000000-0005-0000-0000-000086430000}"/>
    <cellStyle name="A_SUM_Row Minor 3 3 3" xfId="13665" xr:uid="{00000000-0005-0000-0000-000087430000}"/>
    <cellStyle name="A_SUM_Row Minor 3 3 3 2" xfId="13963" xr:uid="{00000000-0005-0000-0000-000088430000}"/>
    <cellStyle name="A_SUM_Row Minor 3 3 3 2 2" xfId="14758" xr:uid="{00000000-0005-0000-0000-000089430000}"/>
    <cellStyle name="A_SUM_Row Minor 3 3 3 2 2 2" xfId="17236" xr:uid="{00000000-0005-0000-0000-00008A430000}"/>
    <cellStyle name="A_SUM_Row Minor 3 3 3 2 2 2 2" xfId="36590" xr:uid="{00000000-0005-0000-0000-00008B430000}"/>
    <cellStyle name="A_SUM_Row Minor 3 3 3 2 2 3" xfId="19667" xr:uid="{00000000-0005-0000-0000-00008C430000}"/>
    <cellStyle name="A_SUM_Row Minor 3 3 3 2 2 3 2" xfId="39020" xr:uid="{00000000-0005-0000-0000-00008D430000}"/>
    <cellStyle name="A_SUM_Row Minor 3 3 3 2 2 4" xfId="22178" xr:uid="{00000000-0005-0000-0000-00008E430000}"/>
    <cellStyle name="A_SUM_Row Minor 3 3 3 2 2 4 2" xfId="41520" xr:uid="{00000000-0005-0000-0000-00008F430000}"/>
    <cellStyle name="A_SUM_Row Minor 3 3 3 2 2 5" xfId="34119" xr:uid="{00000000-0005-0000-0000-000090430000}"/>
    <cellStyle name="A_SUM_Row Minor 3 3 3 2 3" xfId="15306" xr:uid="{00000000-0005-0000-0000-000091430000}"/>
    <cellStyle name="A_SUM_Row Minor 3 3 3 2 3 2" xfId="17782" xr:uid="{00000000-0005-0000-0000-000092430000}"/>
    <cellStyle name="A_SUM_Row Minor 3 3 3 2 3 2 2" xfId="37136" xr:uid="{00000000-0005-0000-0000-000093430000}"/>
    <cellStyle name="A_SUM_Row Minor 3 3 3 2 3 3" xfId="20213" xr:uid="{00000000-0005-0000-0000-000094430000}"/>
    <cellStyle name="A_SUM_Row Minor 3 3 3 2 3 3 2" xfId="39566" xr:uid="{00000000-0005-0000-0000-000095430000}"/>
    <cellStyle name="A_SUM_Row Minor 3 3 3 2 3 4" xfId="22726" xr:uid="{00000000-0005-0000-0000-000096430000}"/>
    <cellStyle name="A_SUM_Row Minor 3 3 3 2 3 4 2" xfId="42068" xr:uid="{00000000-0005-0000-0000-000097430000}"/>
    <cellStyle name="A_SUM_Row Minor 3 3 3 2 3 5" xfId="34667" xr:uid="{00000000-0005-0000-0000-000098430000}"/>
    <cellStyle name="A_SUM_Row Minor 3 3 3 2 4" xfId="15765" xr:uid="{00000000-0005-0000-0000-000099430000}"/>
    <cellStyle name="A_SUM_Row Minor 3 3 3 2 4 2" xfId="18241" xr:uid="{00000000-0005-0000-0000-00009A430000}"/>
    <cellStyle name="A_SUM_Row Minor 3 3 3 2 4 2 2" xfId="37595" xr:uid="{00000000-0005-0000-0000-00009B430000}"/>
    <cellStyle name="A_SUM_Row Minor 3 3 3 2 4 3" xfId="20672" xr:uid="{00000000-0005-0000-0000-00009C430000}"/>
    <cellStyle name="A_SUM_Row Minor 3 3 3 2 4 3 2" xfId="40025" xr:uid="{00000000-0005-0000-0000-00009D430000}"/>
    <cellStyle name="A_SUM_Row Minor 3 3 3 2 4 4" xfId="23185" xr:uid="{00000000-0005-0000-0000-00009E430000}"/>
    <cellStyle name="A_SUM_Row Minor 3 3 3 2 4 4 2" xfId="42527" xr:uid="{00000000-0005-0000-0000-00009F430000}"/>
    <cellStyle name="A_SUM_Row Minor 3 3 3 2 4 5" xfId="35126" xr:uid="{00000000-0005-0000-0000-0000A0430000}"/>
    <cellStyle name="A_SUM_Row Minor 3 3 3 2 5" xfId="16469" xr:uid="{00000000-0005-0000-0000-0000A1430000}"/>
    <cellStyle name="A_SUM_Row Minor 3 3 3 2 5 2" xfId="35823" xr:uid="{00000000-0005-0000-0000-0000A2430000}"/>
    <cellStyle name="A_SUM_Row Minor 3 3 3 2 6" xfId="18900" xr:uid="{00000000-0005-0000-0000-0000A3430000}"/>
    <cellStyle name="A_SUM_Row Minor 3 3 3 2 6 2" xfId="38253" xr:uid="{00000000-0005-0000-0000-0000A4430000}"/>
    <cellStyle name="A_SUM_Row Minor 3 3 3 2 7" xfId="21386" xr:uid="{00000000-0005-0000-0000-0000A5430000}"/>
    <cellStyle name="A_SUM_Row Minor 3 3 3 2 7 2" xfId="40728" xr:uid="{00000000-0005-0000-0000-0000A6430000}"/>
    <cellStyle name="A_SUM_Row Minor 3 3 3 2 8" xfId="33327" xr:uid="{00000000-0005-0000-0000-0000A7430000}"/>
    <cellStyle name="A_SUM_Row Minor 3 3 3 3" xfId="14176" xr:uid="{00000000-0005-0000-0000-0000A8430000}"/>
    <cellStyle name="A_SUM_Row Minor 3 3 3 3 2" xfId="14953" xr:uid="{00000000-0005-0000-0000-0000A9430000}"/>
    <cellStyle name="A_SUM_Row Minor 3 3 3 3 2 2" xfId="17431" xr:uid="{00000000-0005-0000-0000-0000AA430000}"/>
    <cellStyle name="A_SUM_Row Minor 3 3 3 3 2 2 2" xfId="36785" xr:uid="{00000000-0005-0000-0000-0000AB430000}"/>
    <cellStyle name="A_SUM_Row Minor 3 3 3 3 2 3" xfId="19862" xr:uid="{00000000-0005-0000-0000-0000AC430000}"/>
    <cellStyle name="A_SUM_Row Minor 3 3 3 3 2 3 2" xfId="39215" xr:uid="{00000000-0005-0000-0000-0000AD430000}"/>
    <cellStyle name="A_SUM_Row Minor 3 3 3 3 2 4" xfId="22373" xr:uid="{00000000-0005-0000-0000-0000AE430000}"/>
    <cellStyle name="A_SUM_Row Minor 3 3 3 3 2 4 2" xfId="41715" xr:uid="{00000000-0005-0000-0000-0000AF430000}"/>
    <cellStyle name="A_SUM_Row Minor 3 3 3 3 2 5" xfId="34314" xr:uid="{00000000-0005-0000-0000-0000B0430000}"/>
    <cellStyle name="A_SUM_Row Minor 3 3 3 3 3" xfId="15499" xr:uid="{00000000-0005-0000-0000-0000B1430000}"/>
    <cellStyle name="A_SUM_Row Minor 3 3 3 3 3 2" xfId="17975" xr:uid="{00000000-0005-0000-0000-0000B2430000}"/>
    <cellStyle name="A_SUM_Row Minor 3 3 3 3 3 2 2" xfId="37329" xr:uid="{00000000-0005-0000-0000-0000B3430000}"/>
    <cellStyle name="A_SUM_Row Minor 3 3 3 3 3 3" xfId="20406" xr:uid="{00000000-0005-0000-0000-0000B4430000}"/>
    <cellStyle name="A_SUM_Row Minor 3 3 3 3 3 3 2" xfId="39759" xr:uid="{00000000-0005-0000-0000-0000B5430000}"/>
    <cellStyle name="A_SUM_Row Minor 3 3 3 3 3 4" xfId="22919" xr:uid="{00000000-0005-0000-0000-0000B6430000}"/>
    <cellStyle name="A_SUM_Row Minor 3 3 3 3 3 4 2" xfId="42261" xr:uid="{00000000-0005-0000-0000-0000B7430000}"/>
    <cellStyle name="A_SUM_Row Minor 3 3 3 3 3 5" xfId="34860" xr:uid="{00000000-0005-0000-0000-0000B8430000}"/>
    <cellStyle name="A_SUM_Row Minor 3 3 3 3 4" xfId="15958" xr:uid="{00000000-0005-0000-0000-0000B9430000}"/>
    <cellStyle name="A_SUM_Row Minor 3 3 3 3 4 2" xfId="18434" xr:uid="{00000000-0005-0000-0000-0000BA430000}"/>
    <cellStyle name="A_SUM_Row Minor 3 3 3 3 4 2 2" xfId="37788" xr:uid="{00000000-0005-0000-0000-0000BB430000}"/>
    <cellStyle name="A_SUM_Row Minor 3 3 3 3 4 3" xfId="20865" xr:uid="{00000000-0005-0000-0000-0000BC430000}"/>
    <cellStyle name="A_SUM_Row Minor 3 3 3 3 4 3 2" xfId="40218" xr:uid="{00000000-0005-0000-0000-0000BD430000}"/>
    <cellStyle name="A_SUM_Row Minor 3 3 3 3 4 4" xfId="23378" xr:uid="{00000000-0005-0000-0000-0000BE430000}"/>
    <cellStyle name="A_SUM_Row Minor 3 3 3 3 4 4 2" xfId="42720" xr:uid="{00000000-0005-0000-0000-0000BF430000}"/>
    <cellStyle name="A_SUM_Row Minor 3 3 3 3 4 5" xfId="35319" xr:uid="{00000000-0005-0000-0000-0000C0430000}"/>
    <cellStyle name="A_SUM_Row Minor 3 3 3 3 5" xfId="16682" xr:uid="{00000000-0005-0000-0000-0000C1430000}"/>
    <cellStyle name="A_SUM_Row Minor 3 3 3 3 5 2" xfId="36036" xr:uid="{00000000-0005-0000-0000-0000C2430000}"/>
    <cellStyle name="A_SUM_Row Minor 3 3 3 3 6" xfId="19113" xr:uid="{00000000-0005-0000-0000-0000C3430000}"/>
    <cellStyle name="A_SUM_Row Minor 3 3 3 3 6 2" xfId="38466" xr:uid="{00000000-0005-0000-0000-0000C4430000}"/>
    <cellStyle name="A_SUM_Row Minor 3 3 3 3 7" xfId="21599" xr:uid="{00000000-0005-0000-0000-0000C5430000}"/>
    <cellStyle name="A_SUM_Row Minor 3 3 3 3 7 2" xfId="40941" xr:uid="{00000000-0005-0000-0000-0000C6430000}"/>
    <cellStyle name="A_SUM_Row Minor 3 3 3 3 8" xfId="33540" xr:uid="{00000000-0005-0000-0000-0000C7430000}"/>
    <cellStyle name="A_SUM_Row Minor 3 3 3 4" xfId="14473" xr:uid="{00000000-0005-0000-0000-0000C8430000}"/>
    <cellStyle name="A_SUM_Row Minor 3 3 3 4 2" xfId="16963" xr:uid="{00000000-0005-0000-0000-0000C9430000}"/>
    <cellStyle name="A_SUM_Row Minor 3 3 3 4 2 2" xfId="36317" xr:uid="{00000000-0005-0000-0000-0000CA430000}"/>
    <cellStyle name="A_SUM_Row Minor 3 3 3 4 3" xfId="19394" xr:uid="{00000000-0005-0000-0000-0000CB430000}"/>
    <cellStyle name="A_SUM_Row Minor 3 3 3 4 3 2" xfId="38747" xr:uid="{00000000-0005-0000-0000-0000CC430000}"/>
    <cellStyle name="A_SUM_Row Minor 3 3 3 4 4" xfId="21893" xr:uid="{00000000-0005-0000-0000-0000CD430000}"/>
    <cellStyle name="A_SUM_Row Minor 3 3 3 4 4 2" xfId="41235" xr:uid="{00000000-0005-0000-0000-0000CE430000}"/>
    <cellStyle name="A_SUM_Row Minor 3 3 3 4 5" xfId="33834" xr:uid="{00000000-0005-0000-0000-0000CF430000}"/>
    <cellStyle name="A_SUM_Row Minor 3 3 3 5" xfId="16185" xr:uid="{00000000-0005-0000-0000-0000D0430000}"/>
    <cellStyle name="A_SUM_Row Minor 3 3 3 5 2" xfId="35539" xr:uid="{00000000-0005-0000-0000-0000D1430000}"/>
    <cellStyle name="A_SUM_Row Minor 3 3 3 6" xfId="18616" xr:uid="{00000000-0005-0000-0000-0000D2430000}"/>
    <cellStyle name="A_SUM_Row Minor 3 3 3 6 2" xfId="37969" xr:uid="{00000000-0005-0000-0000-0000D3430000}"/>
    <cellStyle name="A_SUM_Row Minor 3 3 3 7" xfId="21090" xr:uid="{00000000-0005-0000-0000-0000D4430000}"/>
    <cellStyle name="A_SUM_Row Minor 3 3 3 7 2" xfId="40432" xr:uid="{00000000-0005-0000-0000-0000D5430000}"/>
    <cellStyle name="A_SUM_Row Minor 3 3 3 8" xfId="33031" xr:uid="{00000000-0005-0000-0000-0000D6430000}"/>
    <cellStyle name="A_SUM_Row Minor 3 3 4" xfId="13786" xr:uid="{00000000-0005-0000-0000-0000D7430000}"/>
    <cellStyle name="A_SUM_Row Minor 3 3 4 2" xfId="14585" xr:uid="{00000000-0005-0000-0000-0000D8430000}"/>
    <cellStyle name="A_SUM_Row Minor 3 3 4 2 2" xfId="17069" xr:uid="{00000000-0005-0000-0000-0000D9430000}"/>
    <cellStyle name="A_SUM_Row Minor 3 3 4 2 2 2" xfId="36423" xr:uid="{00000000-0005-0000-0000-0000DA430000}"/>
    <cellStyle name="A_SUM_Row Minor 3 3 4 2 3" xfId="19500" xr:uid="{00000000-0005-0000-0000-0000DB430000}"/>
    <cellStyle name="A_SUM_Row Minor 3 3 4 2 3 2" xfId="38853" xr:uid="{00000000-0005-0000-0000-0000DC430000}"/>
    <cellStyle name="A_SUM_Row Minor 3 3 4 2 4" xfId="22005" xr:uid="{00000000-0005-0000-0000-0000DD430000}"/>
    <cellStyle name="A_SUM_Row Minor 3 3 4 2 4 2" xfId="41347" xr:uid="{00000000-0005-0000-0000-0000DE430000}"/>
    <cellStyle name="A_SUM_Row Minor 3 3 4 2 5" xfId="33946" xr:uid="{00000000-0005-0000-0000-0000DF430000}"/>
    <cellStyle name="A_SUM_Row Minor 3 3 4 3" xfId="15142" xr:uid="{00000000-0005-0000-0000-0000E0430000}"/>
    <cellStyle name="A_SUM_Row Minor 3 3 4 3 2" xfId="17618" xr:uid="{00000000-0005-0000-0000-0000E1430000}"/>
    <cellStyle name="A_SUM_Row Minor 3 3 4 3 2 2" xfId="36972" xr:uid="{00000000-0005-0000-0000-0000E2430000}"/>
    <cellStyle name="A_SUM_Row Minor 3 3 4 3 3" xfId="20049" xr:uid="{00000000-0005-0000-0000-0000E3430000}"/>
    <cellStyle name="A_SUM_Row Minor 3 3 4 3 3 2" xfId="39402" xr:uid="{00000000-0005-0000-0000-0000E4430000}"/>
    <cellStyle name="A_SUM_Row Minor 3 3 4 3 4" xfId="22562" xr:uid="{00000000-0005-0000-0000-0000E5430000}"/>
    <cellStyle name="A_SUM_Row Minor 3 3 4 3 4 2" xfId="41904" xr:uid="{00000000-0005-0000-0000-0000E6430000}"/>
    <cellStyle name="A_SUM_Row Minor 3 3 4 3 5" xfId="34503" xr:uid="{00000000-0005-0000-0000-0000E7430000}"/>
    <cellStyle name="A_SUM_Row Minor 3 3 4 4" xfId="15623" xr:uid="{00000000-0005-0000-0000-0000E8430000}"/>
    <cellStyle name="A_SUM_Row Minor 3 3 4 4 2" xfId="18099" xr:uid="{00000000-0005-0000-0000-0000E9430000}"/>
    <cellStyle name="A_SUM_Row Minor 3 3 4 4 2 2" xfId="37453" xr:uid="{00000000-0005-0000-0000-0000EA430000}"/>
    <cellStyle name="A_SUM_Row Minor 3 3 4 4 3" xfId="20530" xr:uid="{00000000-0005-0000-0000-0000EB430000}"/>
    <cellStyle name="A_SUM_Row Minor 3 3 4 4 3 2" xfId="39883" xr:uid="{00000000-0005-0000-0000-0000EC430000}"/>
    <cellStyle name="A_SUM_Row Minor 3 3 4 4 4" xfId="23043" xr:uid="{00000000-0005-0000-0000-0000ED430000}"/>
    <cellStyle name="A_SUM_Row Minor 3 3 4 4 4 2" xfId="42385" xr:uid="{00000000-0005-0000-0000-0000EE430000}"/>
    <cellStyle name="A_SUM_Row Minor 3 3 4 4 5" xfId="34984" xr:uid="{00000000-0005-0000-0000-0000EF430000}"/>
    <cellStyle name="A_SUM_Row Minor 3 3 4 5" xfId="16298" xr:uid="{00000000-0005-0000-0000-0000F0430000}"/>
    <cellStyle name="A_SUM_Row Minor 3 3 4 5 2" xfId="35652" xr:uid="{00000000-0005-0000-0000-0000F1430000}"/>
    <cellStyle name="A_SUM_Row Minor 3 3 4 6" xfId="18729" xr:uid="{00000000-0005-0000-0000-0000F2430000}"/>
    <cellStyle name="A_SUM_Row Minor 3 3 4 6 2" xfId="38082" xr:uid="{00000000-0005-0000-0000-0000F3430000}"/>
    <cellStyle name="A_SUM_Row Minor 3 3 4 7" xfId="21209" xr:uid="{00000000-0005-0000-0000-0000F4430000}"/>
    <cellStyle name="A_SUM_Row Minor 3 3 4 7 2" xfId="40551" xr:uid="{00000000-0005-0000-0000-0000F5430000}"/>
    <cellStyle name="A_SUM_Row Minor 3 3 4 8" xfId="33150" xr:uid="{00000000-0005-0000-0000-0000F6430000}"/>
    <cellStyle name="A_SUM_Row Minor 3 3 5" xfId="14012" xr:uid="{00000000-0005-0000-0000-0000F7430000}"/>
    <cellStyle name="A_SUM_Row Minor 3 3 5 2" xfId="14807" xr:uid="{00000000-0005-0000-0000-0000F8430000}"/>
    <cellStyle name="A_SUM_Row Minor 3 3 5 2 2" xfId="17285" xr:uid="{00000000-0005-0000-0000-0000F9430000}"/>
    <cellStyle name="A_SUM_Row Minor 3 3 5 2 2 2" xfId="36639" xr:uid="{00000000-0005-0000-0000-0000FA430000}"/>
    <cellStyle name="A_SUM_Row Minor 3 3 5 2 3" xfId="19716" xr:uid="{00000000-0005-0000-0000-0000FB430000}"/>
    <cellStyle name="A_SUM_Row Minor 3 3 5 2 3 2" xfId="39069" xr:uid="{00000000-0005-0000-0000-0000FC430000}"/>
    <cellStyle name="A_SUM_Row Minor 3 3 5 2 4" xfId="22227" xr:uid="{00000000-0005-0000-0000-0000FD430000}"/>
    <cellStyle name="A_SUM_Row Minor 3 3 5 2 4 2" xfId="41569" xr:uid="{00000000-0005-0000-0000-0000FE430000}"/>
    <cellStyle name="A_SUM_Row Minor 3 3 5 2 5" xfId="34168" xr:uid="{00000000-0005-0000-0000-0000FF430000}"/>
    <cellStyle name="A_SUM_Row Minor 3 3 5 3" xfId="15355" xr:uid="{00000000-0005-0000-0000-000000440000}"/>
    <cellStyle name="A_SUM_Row Minor 3 3 5 3 2" xfId="17831" xr:uid="{00000000-0005-0000-0000-000001440000}"/>
    <cellStyle name="A_SUM_Row Minor 3 3 5 3 2 2" xfId="37185" xr:uid="{00000000-0005-0000-0000-000002440000}"/>
    <cellStyle name="A_SUM_Row Minor 3 3 5 3 3" xfId="20262" xr:uid="{00000000-0005-0000-0000-000003440000}"/>
    <cellStyle name="A_SUM_Row Minor 3 3 5 3 3 2" xfId="39615" xr:uid="{00000000-0005-0000-0000-000004440000}"/>
    <cellStyle name="A_SUM_Row Minor 3 3 5 3 4" xfId="22775" xr:uid="{00000000-0005-0000-0000-000005440000}"/>
    <cellStyle name="A_SUM_Row Minor 3 3 5 3 4 2" xfId="42117" xr:uid="{00000000-0005-0000-0000-000006440000}"/>
    <cellStyle name="A_SUM_Row Minor 3 3 5 3 5" xfId="34716" xr:uid="{00000000-0005-0000-0000-000007440000}"/>
    <cellStyle name="A_SUM_Row Minor 3 3 5 4" xfId="15814" xr:uid="{00000000-0005-0000-0000-000008440000}"/>
    <cellStyle name="A_SUM_Row Minor 3 3 5 4 2" xfId="18290" xr:uid="{00000000-0005-0000-0000-000009440000}"/>
    <cellStyle name="A_SUM_Row Minor 3 3 5 4 2 2" xfId="37644" xr:uid="{00000000-0005-0000-0000-00000A440000}"/>
    <cellStyle name="A_SUM_Row Minor 3 3 5 4 3" xfId="20721" xr:uid="{00000000-0005-0000-0000-00000B440000}"/>
    <cellStyle name="A_SUM_Row Minor 3 3 5 4 3 2" xfId="40074" xr:uid="{00000000-0005-0000-0000-00000C440000}"/>
    <cellStyle name="A_SUM_Row Minor 3 3 5 4 4" xfId="23234" xr:uid="{00000000-0005-0000-0000-00000D440000}"/>
    <cellStyle name="A_SUM_Row Minor 3 3 5 4 4 2" xfId="42576" xr:uid="{00000000-0005-0000-0000-00000E440000}"/>
    <cellStyle name="A_SUM_Row Minor 3 3 5 4 5" xfId="35175" xr:uid="{00000000-0005-0000-0000-00000F440000}"/>
    <cellStyle name="A_SUM_Row Minor 3 3 5 5" xfId="16518" xr:uid="{00000000-0005-0000-0000-000010440000}"/>
    <cellStyle name="A_SUM_Row Minor 3 3 5 5 2" xfId="35872" xr:uid="{00000000-0005-0000-0000-000011440000}"/>
    <cellStyle name="A_SUM_Row Minor 3 3 5 6" xfId="18949" xr:uid="{00000000-0005-0000-0000-000012440000}"/>
    <cellStyle name="A_SUM_Row Minor 3 3 5 6 2" xfId="38302" xr:uid="{00000000-0005-0000-0000-000013440000}"/>
    <cellStyle name="A_SUM_Row Minor 3 3 5 7" xfId="21435" xr:uid="{00000000-0005-0000-0000-000014440000}"/>
    <cellStyle name="A_SUM_Row Minor 3 3 5 7 2" xfId="40777" xr:uid="{00000000-0005-0000-0000-000015440000}"/>
    <cellStyle name="A_SUM_Row Minor 3 3 5 8" xfId="33376" xr:uid="{00000000-0005-0000-0000-000016440000}"/>
    <cellStyle name="A_SUM_Row Minor 3 3 6" xfId="14304" xr:uid="{00000000-0005-0000-0000-000017440000}"/>
    <cellStyle name="A_SUM_Row Minor 3 3 6 2" xfId="16800" xr:uid="{00000000-0005-0000-0000-000018440000}"/>
    <cellStyle name="A_SUM_Row Minor 3 3 6 2 2" xfId="36154" xr:uid="{00000000-0005-0000-0000-000019440000}"/>
    <cellStyle name="A_SUM_Row Minor 3 3 6 3" xfId="19231" xr:uid="{00000000-0005-0000-0000-00001A440000}"/>
    <cellStyle name="A_SUM_Row Minor 3 3 6 3 2" xfId="38584" xr:uid="{00000000-0005-0000-0000-00001B440000}"/>
    <cellStyle name="A_SUM_Row Minor 3 3 6 4" xfId="21724" xr:uid="{00000000-0005-0000-0000-00001C440000}"/>
    <cellStyle name="A_SUM_Row Minor 3 3 6 4 2" xfId="41066" xr:uid="{00000000-0005-0000-0000-00001D440000}"/>
    <cellStyle name="A_SUM_Row Minor 3 3 6 5" xfId="33665" xr:uid="{00000000-0005-0000-0000-00001E440000}"/>
    <cellStyle name="A_SUM_Row Minor 3 3 7" xfId="13474" xr:uid="{00000000-0005-0000-0000-00001F440000}"/>
    <cellStyle name="A_SUM_Row Minor 3 3 7 2" xfId="32852" xr:uid="{00000000-0005-0000-0000-000020440000}"/>
    <cellStyle name="A_SUM_Row Minor 3 3 8" xfId="16040" xr:uid="{00000000-0005-0000-0000-000021440000}"/>
    <cellStyle name="A_SUM_Row Minor 3 3 8 2" xfId="35394" xr:uid="{00000000-0005-0000-0000-000022440000}"/>
    <cellStyle name="A_SUM_Row Minor 3 3 9" xfId="13401" xr:uid="{00000000-0005-0000-0000-000023440000}"/>
    <cellStyle name="A_SUM_Row Minor 3 3 9 2" xfId="32789" xr:uid="{00000000-0005-0000-0000-000024440000}"/>
    <cellStyle name="A_SUM_Row Minor 3 4" xfId="5509" xr:uid="{00000000-0005-0000-0000-000025440000}"/>
    <cellStyle name="A_SUM_Row Minor 3 4 10" xfId="24997" xr:uid="{00000000-0005-0000-0000-000026440000}"/>
    <cellStyle name="A_SUM_Row Minor 3 4 2" xfId="13830" xr:uid="{00000000-0005-0000-0000-000027440000}"/>
    <cellStyle name="A_SUM_Row Minor 3 4 2 2" xfId="14625" xr:uid="{00000000-0005-0000-0000-000028440000}"/>
    <cellStyle name="A_SUM_Row Minor 3 4 2 2 2" xfId="17109" xr:uid="{00000000-0005-0000-0000-000029440000}"/>
    <cellStyle name="A_SUM_Row Minor 3 4 2 2 2 2" xfId="36463" xr:uid="{00000000-0005-0000-0000-00002A440000}"/>
    <cellStyle name="A_SUM_Row Minor 3 4 2 2 3" xfId="19540" xr:uid="{00000000-0005-0000-0000-00002B440000}"/>
    <cellStyle name="A_SUM_Row Minor 3 4 2 2 3 2" xfId="38893" xr:uid="{00000000-0005-0000-0000-00002C440000}"/>
    <cellStyle name="A_SUM_Row Minor 3 4 2 2 4" xfId="22045" xr:uid="{00000000-0005-0000-0000-00002D440000}"/>
    <cellStyle name="A_SUM_Row Minor 3 4 2 2 4 2" xfId="41387" xr:uid="{00000000-0005-0000-0000-00002E440000}"/>
    <cellStyle name="A_SUM_Row Minor 3 4 2 2 5" xfId="33986" xr:uid="{00000000-0005-0000-0000-00002F440000}"/>
    <cellStyle name="A_SUM_Row Minor 3 4 2 3" xfId="15182" xr:uid="{00000000-0005-0000-0000-000030440000}"/>
    <cellStyle name="A_SUM_Row Minor 3 4 2 3 2" xfId="17658" xr:uid="{00000000-0005-0000-0000-000031440000}"/>
    <cellStyle name="A_SUM_Row Minor 3 4 2 3 2 2" xfId="37012" xr:uid="{00000000-0005-0000-0000-000032440000}"/>
    <cellStyle name="A_SUM_Row Minor 3 4 2 3 3" xfId="20089" xr:uid="{00000000-0005-0000-0000-000033440000}"/>
    <cellStyle name="A_SUM_Row Minor 3 4 2 3 3 2" xfId="39442" xr:uid="{00000000-0005-0000-0000-000034440000}"/>
    <cellStyle name="A_SUM_Row Minor 3 4 2 3 4" xfId="22602" xr:uid="{00000000-0005-0000-0000-000035440000}"/>
    <cellStyle name="A_SUM_Row Minor 3 4 2 3 4 2" xfId="41944" xr:uid="{00000000-0005-0000-0000-000036440000}"/>
    <cellStyle name="A_SUM_Row Minor 3 4 2 3 5" xfId="34543" xr:uid="{00000000-0005-0000-0000-000037440000}"/>
    <cellStyle name="A_SUM_Row Minor 3 4 2 4" xfId="16342" xr:uid="{00000000-0005-0000-0000-000038440000}"/>
    <cellStyle name="A_SUM_Row Minor 3 4 2 4 2" xfId="35696" xr:uid="{00000000-0005-0000-0000-000039440000}"/>
    <cellStyle name="A_SUM_Row Minor 3 4 2 5" xfId="18773" xr:uid="{00000000-0005-0000-0000-00003A440000}"/>
    <cellStyle name="A_SUM_Row Minor 3 4 2 5 2" xfId="38126" xr:uid="{00000000-0005-0000-0000-00003B440000}"/>
    <cellStyle name="A_SUM_Row Minor 3 4 2 6" xfId="21253" xr:uid="{00000000-0005-0000-0000-00003C440000}"/>
    <cellStyle name="A_SUM_Row Minor 3 4 2 6 2" xfId="40595" xr:uid="{00000000-0005-0000-0000-00003D440000}"/>
    <cellStyle name="A_SUM_Row Minor 3 4 2 7" xfId="33194" xr:uid="{00000000-0005-0000-0000-00003E440000}"/>
    <cellStyle name="A_SUM_Row Minor 3 4 3" xfId="14051" xr:uid="{00000000-0005-0000-0000-00003F440000}"/>
    <cellStyle name="A_SUM_Row Minor 3 4 3 2" xfId="14846" xr:uid="{00000000-0005-0000-0000-000040440000}"/>
    <cellStyle name="A_SUM_Row Minor 3 4 3 2 2" xfId="17324" xr:uid="{00000000-0005-0000-0000-000041440000}"/>
    <cellStyle name="A_SUM_Row Minor 3 4 3 2 2 2" xfId="36678" xr:uid="{00000000-0005-0000-0000-000042440000}"/>
    <cellStyle name="A_SUM_Row Minor 3 4 3 2 3" xfId="19755" xr:uid="{00000000-0005-0000-0000-000043440000}"/>
    <cellStyle name="A_SUM_Row Minor 3 4 3 2 3 2" xfId="39108" xr:uid="{00000000-0005-0000-0000-000044440000}"/>
    <cellStyle name="A_SUM_Row Minor 3 4 3 2 4" xfId="22266" xr:uid="{00000000-0005-0000-0000-000045440000}"/>
    <cellStyle name="A_SUM_Row Minor 3 4 3 2 4 2" xfId="41608" xr:uid="{00000000-0005-0000-0000-000046440000}"/>
    <cellStyle name="A_SUM_Row Minor 3 4 3 2 5" xfId="34207" xr:uid="{00000000-0005-0000-0000-000047440000}"/>
    <cellStyle name="A_SUM_Row Minor 3 4 3 3" xfId="15394" xr:uid="{00000000-0005-0000-0000-000048440000}"/>
    <cellStyle name="A_SUM_Row Minor 3 4 3 3 2" xfId="17870" xr:uid="{00000000-0005-0000-0000-000049440000}"/>
    <cellStyle name="A_SUM_Row Minor 3 4 3 3 2 2" xfId="37224" xr:uid="{00000000-0005-0000-0000-00004A440000}"/>
    <cellStyle name="A_SUM_Row Minor 3 4 3 3 3" xfId="20301" xr:uid="{00000000-0005-0000-0000-00004B440000}"/>
    <cellStyle name="A_SUM_Row Minor 3 4 3 3 3 2" xfId="39654" xr:uid="{00000000-0005-0000-0000-00004C440000}"/>
    <cellStyle name="A_SUM_Row Minor 3 4 3 3 4" xfId="22814" xr:uid="{00000000-0005-0000-0000-00004D440000}"/>
    <cellStyle name="A_SUM_Row Minor 3 4 3 3 4 2" xfId="42156" xr:uid="{00000000-0005-0000-0000-00004E440000}"/>
    <cellStyle name="A_SUM_Row Minor 3 4 3 3 5" xfId="34755" xr:uid="{00000000-0005-0000-0000-00004F440000}"/>
    <cellStyle name="A_SUM_Row Minor 3 4 3 4" xfId="15853" xr:uid="{00000000-0005-0000-0000-000050440000}"/>
    <cellStyle name="A_SUM_Row Minor 3 4 3 4 2" xfId="18329" xr:uid="{00000000-0005-0000-0000-000051440000}"/>
    <cellStyle name="A_SUM_Row Minor 3 4 3 4 2 2" xfId="37683" xr:uid="{00000000-0005-0000-0000-000052440000}"/>
    <cellStyle name="A_SUM_Row Minor 3 4 3 4 3" xfId="20760" xr:uid="{00000000-0005-0000-0000-000053440000}"/>
    <cellStyle name="A_SUM_Row Minor 3 4 3 4 3 2" xfId="40113" xr:uid="{00000000-0005-0000-0000-000054440000}"/>
    <cellStyle name="A_SUM_Row Minor 3 4 3 4 4" xfId="23273" xr:uid="{00000000-0005-0000-0000-000055440000}"/>
    <cellStyle name="A_SUM_Row Minor 3 4 3 4 4 2" xfId="42615" xr:uid="{00000000-0005-0000-0000-000056440000}"/>
    <cellStyle name="A_SUM_Row Minor 3 4 3 4 5" xfId="35214" xr:uid="{00000000-0005-0000-0000-000057440000}"/>
    <cellStyle name="A_SUM_Row Minor 3 4 3 5" xfId="16557" xr:uid="{00000000-0005-0000-0000-000058440000}"/>
    <cellStyle name="A_SUM_Row Minor 3 4 3 5 2" xfId="35911" xr:uid="{00000000-0005-0000-0000-000059440000}"/>
    <cellStyle name="A_SUM_Row Minor 3 4 3 6" xfId="18988" xr:uid="{00000000-0005-0000-0000-00005A440000}"/>
    <cellStyle name="A_SUM_Row Minor 3 4 3 6 2" xfId="38341" xr:uid="{00000000-0005-0000-0000-00005B440000}"/>
    <cellStyle name="A_SUM_Row Minor 3 4 3 7" xfId="21474" xr:uid="{00000000-0005-0000-0000-00005C440000}"/>
    <cellStyle name="A_SUM_Row Minor 3 4 3 7 2" xfId="40816" xr:uid="{00000000-0005-0000-0000-00005D440000}"/>
    <cellStyle name="A_SUM_Row Minor 3 4 3 8" xfId="33415" xr:uid="{00000000-0005-0000-0000-00005E440000}"/>
    <cellStyle name="A_SUM_Row Minor 3 4 4" xfId="14346" xr:uid="{00000000-0005-0000-0000-00005F440000}"/>
    <cellStyle name="A_SUM_Row Minor 3 4 4 2" xfId="16842" xr:uid="{00000000-0005-0000-0000-000060440000}"/>
    <cellStyle name="A_SUM_Row Minor 3 4 4 2 2" xfId="36196" xr:uid="{00000000-0005-0000-0000-000061440000}"/>
    <cellStyle name="A_SUM_Row Minor 3 4 4 3" xfId="19273" xr:uid="{00000000-0005-0000-0000-000062440000}"/>
    <cellStyle name="A_SUM_Row Minor 3 4 4 3 2" xfId="38626" xr:uid="{00000000-0005-0000-0000-000063440000}"/>
    <cellStyle name="A_SUM_Row Minor 3 4 4 4" xfId="21766" xr:uid="{00000000-0005-0000-0000-000064440000}"/>
    <cellStyle name="A_SUM_Row Minor 3 4 4 4 2" xfId="41108" xr:uid="{00000000-0005-0000-0000-000065440000}"/>
    <cellStyle name="A_SUM_Row Minor 3 4 4 5" xfId="33707" xr:uid="{00000000-0005-0000-0000-000066440000}"/>
    <cellStyle name="A_SUM_Row Minor 3 4 5" xfId="14981" xr:uid="{00000000-0005-0000-0000-000067440000}"/>
    <cellStyle name="A_SUM_Row Minor 3 4 5 2" xfId="17457" xr:uid="{00000000-0005-0000-0000-000068440000}"/>
    <cellStyle name="A_SUM_Row Minor 3 4 5 2 2" xfId="36811" xr:uid="{00000000-0005-0000-0000-000069440000}"/>
    <cellStyle name="A_SUM_Row Minor 3 4 5 3" xfId="19888" xr:uid="{00000000-0005-0000-0000-00006A440000}"/>
    <cellStyle name="A_SUM_Row Minor 3 4 5 3 2" xfId="39241" xr:uid="{00000000-0005-0000-0000-00006B440000}"/>
    <cellStyle name="A_SUM_Row Minor 3 4 5 4" xfId="22401" xr:uid="{00000000-0005-0000-0000-00006C440000}"/>
    <cellStyle name="A_SUM_Row Minor 3 4 5 4 2" xfId="41743" xr:uid="{00000000-0005-0000-0000-00006D440000}"/>
    <cellStyle name="A_SUM_Row Minor 3 4 5 5" xfId="34342" xr:uid="{00000000-0005-0000-0000-00006E440000}"/>
    <cellStyle name="A_SUM_Row Minor 3 4 6" xfId="14259" xr:uid="{00000000-0005-0000-0000-00006F440000}"/>
    <cellStyle name="A_SUM_Row Minor 3 4 6 2" xfId="16759" xr:uid="{00000000-0005-0000-0000-000070440000}"/>
    <cellStyle name="A_SUM_Row Minor 3 4 6 2 2" xfId="36113" xr:uid="{00000000-0005-0000-0000-000071440000}"/>
    <cellStyle name="A_SUM_Row Minor 3 4 6 3" xfId="19190" xr:uid="{00000000-0005-0000-0000-000072440000}"/>
    <cellStyle name="A_SUM_Row Minor 3 4 6 3 2" xfId="38543" xr:uid="{00000000-0005-0000-0000-000073440000}"/>
    <cellStyle name="A_SUM_Row Minor 3 4 6 4" xfId="21680" xr:uid="{00000000-0005-0000-0000-000074440000}"/>
    <cellStyle name="A_SUM_Row Minor 3 4 6 4 2" xfId="41022" xr:uid="{00000000-0005-0000-0000-000075440000}"/>
    <cellStyle name="A_SUM_Row Minor 3 4 6 5" xfId="33621" xr:uid="{00000000-0005-0000-0000-000076440000}"/>
    <cellStyle name="A_SUM_Row Minor 3 4 7" xfId="13530" xr:uid="{00000000-0005-0000-0000-000077440000}"/>
    <cellStyle name="A_SUM_Row Minor 3 4 7 2" xfId="32905" xr:uid="{00000000-0005-0000-0000-000078440000}"/>
    <cellStyle name="A_SUM_Row Minor 3 4 8" xfId="16081" xr:uid="{00000000-0005-0000-0000-000079440000}"/>
    <cellStyle name="A_SUM_Row Minor 3 4 8 2" xfId="35435" xr:uid="{00000000-0005-0000-0000-00007A440000}"/>
    <cellStyle name="A_SUM_Row Minor 3 4 9" xfId="18491" xr:uid="{00000000-0005-0000-0000-00007B440000}"/>
    <cellStyle name="A_SUM_Row Minor 3 4 9 2" xfId="37844" xr:uid="{00000000-0005-0000-0000-00007C440000}"/>
    <cellStyle name="A_SUM_Row Minor 3 5" xfId="13733" xr:uid="{00000000-0005-0000-0000-00007D440000}"/>
    <cellStyle name="A_SUM_Row Minor 3 5 2" xfId="14536" xr:uid="{00000000-0005-0000-0000-00007E440000}"/>
    <cellStyle name="A_SUM_Row Minor 3 5 2 2" xfId="17026" xr:uid="{00000000-0005-0000-0000-00007F440000}"/>
    <cellStyle name="A_SUM_Row Minor 3 5 2 2 2" xfId="36380" xr:uid="{00000000-0005-0000-0000-000080440000}"/>
    <cellStyle name="A_SUM_Row Minor 3 5 2 3" xfId="19457" xr:uid="{00000000-0005-0000-0000-000081440000}"/>
    <cellStyle name="A_SUM_Row Minor 3 5 2 3 2" xfId="38810" xr:uid="{00000000-0005-0000-0000-000082440000}"/>
    <cellStyle name="A_SUM_Row Minor 3 5 2 4" xfId="21956" xr:uid="{00000000-0005-0000-0000-000083440000}"/>
    <cellStyle name="A_SUM_Row Minor 3 5 2 4 2" xfId="41298" xr:uid="{00000000-0005-0000-0000-000084440000}"/>
    <cellStyle name="A_SUM_Row Minor 3 5 2 5" xfId="33897" xr:uid="{00000000-0005-0000-0000-000085440000}"/>
    <cellStyle name="A_SUM_Row Minor 3 5 3" xfId="15100" xr:uid="{00000000-0005-0000-0000-000086440000}"/>
    <cellStyle name="A_SUM_Row Minor 3 5 3 2" xfId="17576" xr:uid="{00000000-0005-0000-0000-000087440000}"/>
    <cellStyle name="A_SUM_Row Minor 3 5 3 2 2" xfId="36930" xr:uid="{00000000-0005-0000-0000-000088440000}"/>
    <cellStyle name="A_SUM_Row Minor 3 5 3 3" xfId="20007" xr:uid="{00000000-0005-0000-0000-000089440000}"/>
    <cellStyle name="A_SUM_Row Minor 3 5 3 3 2" xfId="39360" xr:uid="{00000000-0005-0000-0000-00008A440000}"/>
    <cellStyle name="A_SUM_Row Minor 3 5 3 4" xfId="22520" xr:uid="{00000000-0005-0000-0000-00008B440000}"/>
    <cellStyle name="A_SUM_Row Minor 3 5 3 4 2" xfId="41862" xr:uid="{00000000-0005-0000-0000-00008C440000}"/>
    <cellStyle name="A_SUM_Row Minor 3 5 3 5" xfId="34461" xr:uid="{00000000-0005-0000-0000-00008D440000}"/>
    <cellStyle name="A_SUM_Row Minor 3 5 4" xfId="15583" xr:uid="{00000000-0005-0000-0000-00008E440000}"/>
    <cellStyle name="A_SUM_Row Minor 3 5 4 2" xfId="18059" xr:uid="{00000000-0005-0000-0000-00008F440000}"/>
    <cellStyle name="A_SUM_Row Minor 3 5 4 2 2" xfId="37413" xr:uid="{00000000-0005-0000-0000-000090440000}"/>
    <cellStyle name="A_SUM_Row Minor 3 5 4 3" xfId="20490" xr:uid="{00000000-0005-0000-0000-000091440000}"/>
    <cellStyle name="A_SUM_Row Minor 3 5 4 3 2" xfId="39843" xr:uid="{00000000-0005-0000-0000-000092440000}"/>
    <cellStyle name="A_SUM_Row Minor 3 5 4 4" xfId="23003" xr:uid="{00000000-0005-0000-0000-000093440000}"/>
    <cellStyle name="A_SUM_Row Minor 3 5 4 4 2" xfId="42345" xr:uid="{00000000-0005-0000-0000-000094440000}"/>
    <cellStyle name="A_SUM_Row Minor 3 5 4 5" xfId="34944" xr:uid="{00000000-0005-0000-0000-000095440000}"/>
    <cellStyle name="A_SUM_Row Minor 3 5 5" xfId="16252" xr:uid="{00000000-0005-0000-0000-000096440000}"/>
    <cellStyle name="A_SUM_Row Minor 3 5 5 2" xfId="35606" xr:uid="{00000000-0005-0000-0000-000097440000}"/>
    <cellStyle name="A_SUM_Row Minor 3 5 6" xfId="18683" xr:uid="{00000000-0005-0000-0000-000098440000}"/>
    <cellStyle name="A_SUM_Row Minor 3 5 6 2" xfId="38036" xr:uid="{00000000-0005-0000-0000-000099440000}"/>
    <cellStyle name="A_SUM_Row Minor 3 5 7" xfId="21157" xr:uid="{00000000-0005-0000-0000-00009A440000}"/>
    <cellStyle name="A_SUM_Row Minor 3 5 7 2" xfId="40499" xr:uid="{00000000-0005-0000-0000-00009B440000}"/>
    <cellStyle name="A_SUM_Row Minor 3 5 8" xfId="33098" xr:uid="{00000000-0005-0000-0000-00009C440000}"/>
    <cellStyle name="A_SUM_Row Minor 3 6" xfId="13742" xr:uid="{00000000-0005-0000-0000-00009D440000}"/>
    <cellStyle name="A_SUM_Row Minor 3 6 2" xfId="14545" xr:uid="{00000000-0005-0000-0000-00009E440000}"/>
    <cellStyle name="A_SUM_Row Minor 3 6 2 2" xfId="17032" xr:uid="{00000000-0005-0000-0000-00009F440000}"/>
    <cellStyle name="A_SUM_Row Minor 3 6 2 2 2" xfId="36386" xr:uid="{00000000-0005-0000-0000-0000A0440000}"/>
    <cellStyle name="A_SUM_Row Minor 3 6 2 3" xfId="19463" xr:uid="{00000000-0005-0000-0000-0000A1440000}"/>
    <cellStyle name="A_SUM_Row Minor 3 6 2 3 2" xfId="38816" xr:uid="{00000000-0005-0000-0000-0000A2440000}"/>
    <cellStyle name="A_SUM_Row Minor 3 6 2 4" xfId="21965" xr:uid="{00000000-0005-0000-0000-0000A3440000}"/>
    <cellStyle name="A_SUM_Row Minor 3 6 2 4 2" xfId="41307" xr:uid="{00000000-0005-0000-0000-0000A4440000}"/>
    <cellStyle name="A_SUM_Row Minor 3 6 2 5" xfId="33906" xr:uid="{00000000-0005-0000-0000-0000A5440000}"/>
    <cellStyle name="A_SUM_Row Minor 3 6 3" xfId="15106" xr:uid="{00000000-0005-0000-0000-0000A6440000}"/>
    <cellStyle name="A_SUM_Row Minor 3 6 3 2" xfId="17582" xr:uid="{00000000-0005-0000-0000-0000A7440000}"/>
    <cellStyle name="A_SUM_Row Minor 3 6 3 2 2" xfId="36936" xr:uid="{00000000-0005-0000-0000-0000A8440000}"/>
    <cellStyle name="A_SUM_Row Minor 3 6 3 3" xfId="20013" xr:uid="{00000000-0005-0000-0000-0000A9440000}"/>
    <cellStyle name="A_SUM_Row Minor 3 6 3 3 2" xfId="39366" xr:uid="{00000000-0005-0000-0000-0000AA440000}"/>
    <cellStyle name="A_SUM_Row Minor 3 6 3 4" xfId="22526" xr:uid="{00000000-0005-0000-0000-0000AB440000}"/>
    <cellStyle name="A_SUM_Row Minor 3 6 3 4 2" xfId="41868" xr:uid="{00000000-0005-0000-0000-0000AC440000}"/>
    <cellStyle name="A_SUM_Row Minor 3 6 3 5" xfId="34467" xr:uid="{00000000-0005-0000-0000-0000AD440000}"/>
    <cellStyle name="A_SUM_Row Minor 3 6 4" xfId="15589" xr:uid="{00000000-0005-0000-0000-0000AE440000}"/>
    <cellStyle name="A_SUM_Row Minor 3 6 4 2" xfId="18065" xr:uid="{00000000-0005-0000-0000-0000AF440000}"/>
    <cellStyle name="A_SUM_Row Minor 3 6 4 2 2" xfId="37419" xr:uid="{00000000-0005-0000-0000-0000B0440000}"/>
    <cellStyle name="A_SUM_Row Minor 3 6 4 3" xfId="20496" xr:uid="{00000000-0005-0000-0000-0000B1440000}"/>
    <cellStyle name="A_SUM_Row Minor 3 6 4 3 2" xfId="39849" xr:uid="{00000000-0005-0000-0000-0000B2440000}"/>
    <cellStyle name="A_SUM_Row Minor 3 6 4 4" xfId="23009" xr:uid="{00000000-0005-0000-0000-0000B3440000}"/>
    <cellStyle name="A_SUM_Row Minor 3 6 4 4 2" xfId="42351" xr:uid="{00000000-0005-0000-0000-0000B4440000}"/>
    <cellStyle name="A_SUM_Row Minor 3 6 4 5" xfId="34950" xr:uid="{00000000-0005-0000-0000-0000B5440000}"/>
    <cellStyle name="A_SUM_Row Minor 3 6 5" xfId="16258" xr:uid="{00000000-0005-0000-0000-0000B6440000}"/>
    <cellStyle name="A_SUM_Row Minor 3 6 5 2" xfId="35612" xr:uid="{00000000-0005-0000-0000-0000B7440000}"/>
    <cellStyle name="A_SUM_Row Minor 3 6 6" xfId="18689" xr:uid="{00000000-0005-0000-0000-0000B8440000}"/>
    <cellStyle name="A_SUM_Row Minor 3 6 6 2" xfId="38042" xr:uid="{00000000-0005-0000-0000-0000B9440000}"/>
    <cellStyle name="A_SUM_Row Minor 3 6 7" xfId="21166" xr:uid="{00000000-0005-0000-0000-0000BA440000}"/>
    <cellStyle name="A_SUM_Row Minor 3 6 7 2" xfId="40508" xr:uid="{00000000-0005-0000-0000-0000BB440000}"/>
    <cellStyle name="A_SUM_Row Minor 3 6 8" xfId="33107" xr:uid="{00000000-0005-0000-0000-0000BC440000}"/>
    <cellStyle name="A_SUM_Row Minor 3 7" xfId="14249" xr:uid="{00000000-0005-0000-0000-0000BD440000}"/>
    <cellStyle name="A_SUM_Row Minor 3 7 2" xfId="16752" xr:uid="{00000000-0005-0000-0000-0000BE440000}"/>
    <cellStyle name="A_SUM_Row Minor 3 7 2 2" xfId="36106" xr:uid="{00000000-0005-0000-0000-0000BF440000}"/>
    <cellStyle name="A_SUM_Row Minor 3 7 3" xfId="19183" xr:uid="{00000000-0005-0000-0000-0000C0440000}"/>
    <cellStyle name="A_SUM_Row Minor 3 7 3 2" xfId="38536" xr:uid="{00000000-0005-0000-0000-0000C1440000}"/>
    <cellStyle name="A_SUM_Row Minor 3 7 4" xfId="21670" xr:uid="{00000000-0005-0000-0000-0000C2440000}"/>
    <cellStyle name="A_SUM_Row Minor 3 7 4 2" xfId="41012" xr:uid="{00000000-0005-0000-0000-0000C3440000}"/>
    <cellStyle name="A_SUM_Row Minor 3 7 5" xfId="33611" xr:uid="{00000000-0005-0000-0000-0000C4440000}"/>
    <cellStyle name="A_SUM_Row Minor 3 8" xfId="13342" xr:uid="{00000000-0005-0000-0000-0000C5440000}"/>
    <cellStyle name="A_SUM_Row Minor 3 9" xfId="13244" xr:uid="{00000000-0005-0000-0000-0000C6440000}"/>
    <cellStyle name="A_SUM_Row Minor 3 9 2" xfId="32697" xr:uid="{00000000-0005-0000-0000-0000C7440000}"/>
    <cellStyle name="A_SUM_Row Minor 4" xfId="13499" xr:uid="{00000000-0005-0000-0000-0000C8440000}"/>
    <cellStyle name="A_SUM_Row Minor 4 2" xfId="13803" xr:uid="{00000000-0005-0000-0000-0000C9440000}"/>
    <cellStyle name="A_SUM_Row Minor 4 2 2" xfId="14602" xr:uid="{00000000-0005-0000-0000-0000CA440000}"/>
    <cellStyle name="A_SUM_Row Minor 4 2 2 2" xfId="17086" xr:uid="{00000000-0005-0000-0000-0000CB440000}"/>
    <cellStyle name="A_SUM_Row Minor 4 2 2 2 2" xfId="36440" xr:uid="{00000000-0005-0000-0000-0000CC440000}"/>
    <cellStyle name="A_SUM_Row Minor 4 2 2 3" xfId="19517" xr:uid="{00000000-0005-0000-0000-0000CD440000}"/>
    <cellStyle name="A_SUM_Row Minor 4 2 2 3 2" xfId="38870" xr:uid="{00000000-0005-0000-0000-0000CE440000}"/>
    <cellStyle name="A_SUM_Row Minor 4 2 2 4" xfId="22022" xr:uid="{00000000-0005-0000-0000-0000CF440000}"/>
    <cellStyle name="A_SUM_Row Minor 4 2 2 4 2" xfId="41364" xr:uid="{00000000-0005-0000-0000-0000D0440000}"/>
    <cellStyle name="A_SUM_Row Minor 4 2 2 5" xfId="33963" xr:uid="{00000000-0005-0000-0000-0000D1440000}"/>
    <cellStyle name="A_SUM_Row Minor 4 2 3" xfId="15159" xr:uid="{00000000-0005-0000-0000-0000D2440000}"/>
    <cellStyle name="A_SUM_Row Minor 4 2 3 2" xfId="17635" xr:uid="{00000000-0005-0000-0000-0000D3440000}"/>
    <cellStyle name="A_SUM_Row Minor 4 2 3 2 2" xfId="36989" xr:uid="{00000000-0005-0000-0000-0000D4440000}"/>
    <cellStyle name="A_SUM_Row Minor 4 2 3 3" xfId="20066" xr:uid="{00000000-0005-0000-0000-0000D5440000}"/>
    <cellStyle name="A_SUM_Row Minor 4 2 3 3 2" xfId="39419" xr:uid="{00000000-0005-0000-0000-0000D6440000}"/>
    <cellStyle name="A_SUM_Row Minor 4 2 3 4" xfId="22579" xr:uid="{00000000-0005-0000-0000-0000D7440000}"/>
    <cellStyle name="A_SUM_Row Minor 4 2 3 4 2" xfId="41921" xr:uid="{00000000-0005-0000-0000-0000D8440000}"/>
    <cellStyle name="A_SUM_Row Minor 4 2 3 5" xfId="34520" xr:uid="{00000000-0005-0000-0000-0000D9440000}"/>
    <cellStyle name="A_SUM_Row Minor 4 2 4" xfId="15640" xr:uid="{00000000-0005-0000-0000-0000DA440000}"/>
    <cellStyle name="A_SUM_Row Minor 4 2 4 2" xfId="18116" xr:uid="{00000000-0005-0000-0000-0000DB440000}"/>
    <cellStyle name="A_SUM_Row Minor 4 2 4 2 2" xfId="37470" xr:uid="{00000000-0005-0000-0000-0000DC440000}"/>
    <cellStyle name="A_SUM_Row Minor 4 2 4 3" xfId="20547" xr:uid="{00000000-0005-0000-0000-0000DD440000}"/>
    <cellStyle name="A_SUM_Row Minor 4 2 4 3 2" xfId="39900" xr:uid="{00000000-0005-0000-0000-0000DE440000}"/>
    <cellStyle name="A_SUM_Row Minor 4 2 4 4" xfId="23060" xr:uid="{00000000-0005-0000-0000-0000DF440000}"/>
    <cellStyle name="A_SUM_Row Minor 4 2 4 4 2" xfId="42402" xr:uid="{00000000-0005-0000-0000-0000E0440000}"/>
    <cellStyle name="A_SUM_Row Minor 4 2 4 5" xfId="35001" xr:uid="{00000000-0005-0000-0000-0000E1440000}"/>
    <cellStyle name="A_SUM_Row Minor 4 2 5" xfId="16315" xr:uid="{00000000-0005-0000-0000-0000E2440000}"/>
    <cellStyle name="A_SUM_Row Minor 4 2 5 2" xfId="35669" xr:uid="{00000000-0005-0000-0000-0000E3440000}"/>
    <cellStyle name="A_SUM_Row Minor 4 2 6" xfId="18746" xr:uid="{00000000-0005-0000-0000-0000E4440000}"/>
    <cellStyle name="A_SUM_Row Minor 4 2 6 2" xfId="38099" xr:uid="{00000000-0005-0000-0000-0000E5440000}"/>
    <cellStyle name="A_SUM_Row Minor 4 2 7" xfId="21226" xr:uid="{00000000-0005-0000-0000-0000E6440000}"/>
    <cellStyle name="A_SUM_Row Minor 4 2 7 2" xfId="40568" xr:uid="{00000000-0005-0000-0000-0000E7440000}"/>
    <cellStyle name="A_SUM_Row Minor 4 2 8" xfId="33167" xr:uid="{00000000-0005-0000-0000-0000E8440000}"/>
    <cellStyle name="A_SUM_Row Minor 4 3" xfId="14029" xr:uid="{00000000-0005-0000-0000-0000E9440000}"/>
    <cellStyle name="A_SUM_Row Minor 4 3 2" xfId="14824" xr:uid="{00000000-0005-0000-0000-0000EA440000}"/>
    <cellStyle name="A_SUM_Row Minor 4 3 2 2" xfId="17302" xr:uid="{00000000-0005-0000-0000-0000EB440000}"/>
    <cellStyle name="A_SUM_Row Minor 4 3 2 2 2" xfId="36656" xr:uid="{00000000-0005-0000-0000-0000EC440000}"/>
    <cellStyle name="A_SUM_Row Minor 4 3 2 3" xfId="19733" xr:uid="{00000000-0005-0000-0000-0000ED440000}"/>
    <cellStyle name="A_SUM_Row Minor 4 3 2 3 2" xfId="39086" xr:uid="{00000000-0005-0000-0000-0000EE440000}"/>
    <cellStyle name="A_SUM_Row Minor 4 3 2 4" xfId="22244" xr:uid="{00000000-0005-0000-0000-0000EF440000}"/>
    <cellStyle name="A_SUM_Row Minor 4 3 2 4 2" xfId="41586" xr:uid="{00000000-0005-0000-0000-0000F0440000}"/>
    <cellStyle name="A_SUM_Row Minor 4 3 2 5" xfId="34185" xr:uid="{00000000-0005-0000-0000-0000F1440000}"/>
    <cellStyle name="A_SUM_Row Minor 4 3 3" xfId="15372" xr:uid="{00000000-0005-0000-0000-0000F2440000}"/>
    <cellStyle name="A_SUM_Row Minor 4 3 3 2" xfId="17848" xr:uid="{00000000-0005-0000-0000-0000F3440000}"/>
    <cellStyle name="A_SUM_Row Minor 4 3 3 2 2" xfId="37202" xr:uid="{00000000-0005-0000-0000-0000F4440000}"/>
    <cellStyle name="A_SUM_Row Minor 4 3 3 3" xfId="20279" xr:uid="{00000000-0005-0000-0000-0000F5440000}"/>
    <cellStyle name="A_SUM_Row Minor 4 3 3 3 2" xfId="39632" xr:uid="{00000000-0005-0000-0000-0000F6440000}"/>
    <cellStyle name="A_SUM_Row Minor 4 3 3 4" xfId="22792" xr:uid="{00000000-0005-0000-0000-0000F7440000}"/>
    <cellStyle name="A_SUM_Row Minor 4 3 3 4 2" xfId="42134" xr:uid="{00000000-0005-0000-0000-0000F8440000}"/>
    <cellStyle name="A_SUM_Row Minor 4 3 3 5" xfId="34733" xr:uid="{00000000-0005-0000-0000-0000F9440000}"/>
    <cellStyle name="A_SUM_Row Minor 4 3 4" xfId="15831" xr:uid="{00000000-0005-0000-0000-0000FA440000}"/>
    <cellStyle name="A_SUM_Row Minor 4 3 4 2" xfId="18307" xr:uid="{00000000-0005-0000-0000-0000FB440000}"/>
    <cellStyle name="A_SUM_Row Minor 4 3 4 2 2" xfId="37661" xr:uid="{00000000-0005-0000-0000-0000FC440000}"/>
    <cellStyle name="A_SUM_Row Minor 4 3 4 3" xfId="20738" xr:uid="{00000000-0005-0000-0000-0000FD440000}"/>
    <cellStyle name="A_SUM_Row Minor 4 3 4 3 2" xfId="40091" xr:uid="{00000000-0005-0000-0000-0000FE440000}"/>
    <cellStyle name="A_SUM_Row Minor 4 3 4 4" xfId="23251" xr:uid="{00000000-0005-0000-0000-0000FF440000}"/>
    <cellStyle name="A_SUM_Row Minor 4 3 4 4 2" xfId="42593" xr:uid="{00000000-0005-0000-0000-000000450000}"/>
    <cellStyle name="A_SUM_Row Minor 4 3 4 5" xfId="35192" xr:uid="{00000000-0005-0000-0000-000001450000}"/>
    <cellStyle name="A_SUM_Row Minor 4 3 5" xfId="16535" xr:uid="{00000000-0005-0000-0000-000002450000}"/>
    <cellStyle name="A_SUM_Row Minor 4 3 5 2" xfId="35889" xr:uid="{00000000-0005-0000-0000-000003450000}"/>
    <cellStyle name="A_SUM_Row Minor 4 3 6" xfId="18966" xr:uid="{00000000-0005-0000-0000-000004450000}"/>
    <cellStyle name="A_SUM_Row Minor 4 3 6 2" xfId="38319" xr:uid="{00000000-0005-0000-0000-000005450000}"/>
    <cellStyle name="A_SUM_Row Minor 4 3 7" xfId="21452" xr:uid="{00000000-0005-0000-0000-000006450000}"/>
    <cellStyle name="A_SUM_Row Minor 4 3 7 2" xfId="40794" xr:uid="{00000000-0005-0000-0000-000007450000}"/>
    <cellStyle name="A_SUM_Row Minor 4 3 8" xfId="33393" xr:uid="{00000000-0005-0000-0000-000008450000}"/>
    <cellStyle name="A_SUM_Row Minor 4 4" xfId="14323" xr:uid="{00000000-0005-0000-0000-000009450000}"/>
    <cellStyle name="A_SUM_Row Minor 4 4 2" xfId="16819" xr:uid="{00000000-0005-0000-0000-00000A450000}"/>
    <cellStyle name="A_SUM_Row Minor 4 4 2 2" xfId="36173" xr:uid="{00000000-0005-0000-0000-00000B450000}"/>
    <cellStyle name="A_SUM_Row Minor 4 4 3" xfId="19250" xr:uid="{00000000-0005-0000-0000-00000C450000}"/>
    <cellStyle name="A_SUM_Row Minor 4 4 3 2" xfId="38603" xr:uid="{00000000-0005-0000-0000-00000D450000}"/>
    <cellStyle name="A_SUM_Row Minor 4 4 4" xfId="21743" xr:uid="{00000000-0005-0000-0000-00000E450000}"/>
    <cellStyle name="A_SUM_Row Minor 4 4 4 2" xfId="41085" xr:uid="{00000000-0005-0000-0000-00000F450000}"/>
    <cellStyle name="A_SUM_Row Minor 4 4 5" xfId="33684" xr:uid="{00000000-0005-0000-0000-000010450000}"/>
    <cellStyle name="A_SUM_Row Minor 4 5" xfId="16063" xr:uid="{00000000-0005-0000-0000-000011450000}"/>
    <cellStyle name="A_SUM_Row Minor 4 5 2" xfId="35417" xr:uid="{00000000-0005-0000-0000-000012450000}"/>
    <cellStyle name="A_SUM_Row Minor 4 6" xfId="18460" xr:uid="{00000000-0005-0000-0000-000013450000}"/>
    <cellStyle name="A_SUM_Row Minor 4 6 2" xfId="37813" xr:uid="{00000000-0005-0000-0000-000014450000}"/>
    <cellStyle name="A_SUM_Row Minor 4 7" xfId="20996" xr:uid="{00000000-0005-0000-0000-000015450000}"/>
    <cellStyle name="A_SUM_Row Minor 4 7 2" xfId="40338" xr:uid="{00000000-0005-0000-0000-000016450000}"/>
    <cellStyle name="A_SUM_Row Minor 4 8" xfId="32874" xr:uid="{00000000-0005-0000-0000-000017450000}"/>
    <cellStyle name="A_SUM_Row Minor_Company0187 Model" xfId="1401" xr:uid="{00000000-0005-0000-0000-000018450000}"/>
    <cellStyle name="A_SUM_Row Minor_Company0187 Model 2" xfId="2595" xr:uid="{00000000-0005-0000-0000-000019450000}"/>
    <cellStyle name="A_SUM_Row Minor_Company0187 Model 2 2" xfId="4905" xr:uid="{00000000-0005-0000-0000-00001A450000}"/>
    <cellStyle name="A_SUM_Row Minor_Company0187 Model 2 2 2" xfId="6657" xr:uid="{00000000-0005-0000-0000-00001B450000}"/>
    <cellStyle name="A_SUM_Row Minor_Company0187 Model 2 2 2 2" xfId="26142" xr:uid="{00000000-0005-0000-0000-00001C450000}"/>
    <cellStyle name="A_SUM_Row Minor_Company0187 Model 2 2 3" xfId="24399" xr:uid="{00000000-0005-0000-0000-00001D450000}"/>
    <cellStyle name="A_SUM_Row Minor_Company0187 Model 2 3" xfId="5667" xr:uid="{00000000-0005-0000-0000-00001E450000}"/>
    <cellStyle name="A_SUM_Row Minor_Company0187 Model 2 3 2" xfId="25154" xr:uid="{00000000-0005-0000-0000-00001F450000}"/>
    <cellStyle name="A_SUM_Row Minor_Company0187 Model 2 4" xfId="23491" xr:uid="{00000000-0005-0000-0000-000020450000}"/>
    <cellStyle name="A_SUM_Row Minor_Company0187 Model 3" xfId="4544" xr:uid="{00000000-0005-0000-0000-000021450000}"/>
    <cellStyle name="A_SUM_Row Minor_Company0187 Model 3 2" xfId="5811" xr:uid="{00000000-0005-0000-0000-000022450000}"/>
    <cellStyle name="A_SUM_Row Minor_Company0187 Model 3 2 2" xfId="8148" xr:uid="{00000000-0005-0000-0000-000023450000}"/>
    <cellStyle name="A_SUM_Row Minor_Company0187 Model 3 2 2 2" xfId="27632" xr:uid="{00000000-0005-0000-0000-000024450000}"/>
    <cellStyle name="A_SUM_Row Minor_Company0187 Model 3 2 3" xfId="25296" xr:uid="{00000000-0005-0000-0000-000025450000}"/>
    <cellStyle name="A_SUM_Row Minor_Company0187 Model 3 3" xfId="8147" xr:uid="{00000000-0005-0000-0000-000026450000}"/>
    <cellStyle name="A_SUM_Row Minor_Company0187 Model 3 3 2" xfId="27631" xr:uid="{00000000-0005-0000-0000-000027450000}"/>
    <cellStyle name="A_SUM_Row Minor_Company0187 Model 3 4" xfId="24081" xr:uid="{00000000-0005-0000-0000-000028450000}"/>
    <cellStyle name="A_SUM_Row Minor_Company0187 Model 4" xfId="23418" xr:uid="{00000000-0005-0000-0000-000029450000}"/>
    <cellStyle name="A_SUM_Row Minor_Book2" xfId="1402" xr:uid="{00000000-0005-0000-0000-00002A450000}"/>
    <cellStyle name="A_SUM_Row Minor_Book2 2" xfId="2596" xr:uid="{00000000-0005-0000-0000-00002B450000}"/>
    <cellStyle name="A_SUM_Row Minor_Book2 2 2" xfId="4906" xr:uid="{00000000-0005-0000-0000-00002C450000}"/>
    <cellStyle name="A_SUM_Row Minor_Book2 2 2 2" xfId="6658" xr:uid="{00000000-0005-0000-0000-00002D450000}"/>
    <cellStyle name="A_SUM_Row Minor_Book2 2 2 2 2" xfId="26143" xr:uid="{00000000-0005-0000-0000-00002E450000}"/>
    <cellStyle name="A_SUM_Row Minor_Book2 2 2 3" xfId="24400" xr:uid="{00000000-0005-0000-0000-00002F450000}"/>
    <cellStyle name="A_SUM_Row Minor_Book2 2 3" xfId="5508" xr:uid="{00000000-0005-0000-0000-000030450000}"/>
    <cellStyle name="A_SUM_Row Minor_Book2 2 3 2" xfId="24996" xr:uid="{00000000-0005-0000-0000-000031450000}"/>
    <cellStyle name="A_SUM_Row Minor_Book2 2 4" xfId="23492" xr:uid="{00000000-0005-0000-0000-000032450000}"/>
    <cellStyle name="A_SUM_Row Minor_Book2 3" xfId="4545" xr:uid="{00000000-0005-0000-0000-000033450000}"/>
    <cellStyle name="A_SUM_Row Minor_Book2 3 2" xfId="5812" xr:uid="{00000000-0005-0000-0000-000034450000}"/>
    <cellStyle name="A_SUM_Row Minor_Book2 3 2 2" xfId="8150" xr:uid="{00000000-0005-0000-0000-000035450000}"/>
    <cellStyle name="A_SUM_Row Minor_Book2 3 2 2 2" xfId="27634" xr:uid="{00000000-0005-0000-0000-000036450000}"/>
    <cellStyle name="A_SUM_Row Minor_Book2 3 2 3" xfId="25297" xr:uid="{00000000-0005-0000-0000-000037450000}"/>
    <cellStyle name="A_SUM_Row Minor_Book2 3 3" xfId="8149" xr:uid="{00000000-0005-0000-0000-000038450000}"/>
    <cellStyle name="A_SUM_Row Minor_Book2 3 3 2" xfId="27633" xr:uid="{00000000-0005-0000-0000-000039450000}"/>
    <cellStyle name="A_SUM_Row Minor_Book2 3 4" xfId="24082" xr:uid="{00000000-0005-0000-0000-00003A450000}"/>
    <cellStyle name="A_SUM_Row Minor_Book2 4" xfId="23419" xr:uid="{00000000-0005-0000-0000-00003B450000}"/>
    <cellStyle name="A_Title" xfId="1403" xr:uid="{00000000-0005-0000-0000-00003C450000}"/>
    <cellStyle name="A_YearHeadings" xfId="1404" xr:uid="{00000000-0005-0000-0000-00003D450000}"/>
    <cellStyle name="A_YearHeadings 2" xfId="2524" xr:uid="{00000000-0005-0000-0000-00003E450000}"/>
    <cellStyle name="A1" xfId="1405" xr:uid="{00000000-0005-0000-0000-00003F450000}"/>
    <cellStyle name="Accent1" xfId="1406" builtinId="29" customBuiltin="1"/>
    <cellStyle name="Accent1 2" xfId="2066" xr:uid="{00000000-0005-0000-0000-000041450000}"/>
    <cellStyle name="Accent1 2 2" xfId="4126" xr:uid="{00000000-0005-0000-0000-000042450000}"/>
    <cellStyle name="Accent1 3" xfId="2114" xr:uid="{00000000-0005-0000-0000-000043450000}"/>
    <cellStyle name="Accent1 4" xfId="2739" xr:uid="{00000000-0005-0000-0000-000044450000}"/>
    <cellStyle name="Accent1 5" xfId="2740" xr:uid="{00000000-0005-0000-0000-000045450000}"/>
    <cellStyle name="Accent2" xfId="1407" builtinId="33" customBuiltin="1"/>
    <cellStyle name="Accent2 2" xfId="2067" xr:uid="{00000000-0005-0000-0000-000047450000}"/>
    <cellStyle name="Accent2 2 2" xfId="4130" xr:uid="{00000000-0005-0000-0000-000048450000}"/>
    <cellStyle name="Accent2 3" xfId="2115" xr:uid="{00000000-0005-0000-0000-000049450000}"/>
    <cellStyle name="Accent2 4" xfId="2741" xr:uid="{00000000-0005-0000-0000-00004A450000}"/>
    <cellStyle name="Accent2 5" xfId="2742" xr:uid="{00000000-0005-0000-0000-00004B450000}"/>
    <cellStyle name="Accent3" xfId="1408" builtinId="37" customBuiltin="1"/>
    <cellStyle name="Accent3 2" xfId="2068" xr:uid="{00000000-0005-0000-0000-00004D450000}"/>
    <cellStyle name="Accent3 2 2" xfId="4134" xr:uid="{00000000-0005-0000-0000-00004E450000}"/>
    <cellStyle name="Accent3 3" xfId="2116" xr:uid="{00000000-0005-0000-0000-00004F450000}"/>
    <cellStyle name="Accent3 4" xfId="2743" xr:uid="{00000000-0005-0000-0000-000050450000}"/>
    <cellStyle name="Accent3 5" xfId="2744" xr:uid="{00000000-0005-0000-0000-000051450000}"/>
    <cellStyle name="Accent4" xfId="1409" builtinId="41" customBuiltin="1"/>
    <cellStyle name="Accent4 2" xfId="2069" xr:uid="{00000000-0005-0000-0000-000053450000}"/>
    <cellStyle name="Accent4 2 2" xfId="4138" xr:uid="{00000000-0005-0000-0000-000054450000}"/>
    <cellStyle name="Accent4 3" xfId="2117" xr:uid="{00000000-0005-0000-0000-000055450000}"/>
    <cellStyle name="Accent4 4" xfId="2745" xr:uid="{00000000-0005-0000-0000-000056450000}"/>
    <cellStyle name="Accent4 5" xfId="2746" xr:uid="{00000000-0005-0000-0000-000057450000}"/>
    <cellStyle name="Accent5" xfId="1410" builtinId="45" customBuiltin="1"/>
    <cellStyle name="Accent5 2" xfId="2070" xr:uid="{00000000-0005-0000-0000-000059450000}"/>
    <cellStyle name="Accent5 2 2" xfId="4142" xr:uid="{00000000-0005-0000-0000-00005A450000}"/>
    <cellStyle name="Accent5 3" xfId="2118" xr:uid="{00000000-0005-0000-0000-00005B450000}"/>
    <cellStyle name="Accent5 4" xfId="2747" xr:uid="{00000000-0005-0000-0000-00005C450000}"/>
    <cellStyle name="Accent5 5" xfId="2748" xr:uid="{00000000-0005-0000-0000-00005D450000}"/>
    <cellStyle name="Accent6" xfId="1411" builtinId="49" customBuiltin="1"/>
    <cellStyle name="Accent6 2" xfId="2071" xr:uid="{00000000-0005-0000-0000-00005F450000}"/>
    <cellStyle name="Accent6 2 2" xfId="4146" xr:uid="{00000000-0005-0000-0000-000060450000}"/>
    <cellStyle name="Accent6 3" xfId="2119" xr:uid="{00000000-0005-0000-0000-000061450000}"/>
    <cellStyle name="Accent6 4" xfId="2749" xr:uid="{00000000-0005-0000-0000-000062450000}"/>
    <cellStyle name="Accent6 5" xfId="2750" xr:uid="{00000000-0005-0000-0000-000063450000}"/>
    <cellStyle name="Actual data" xfId="1412" xr:uid="{00000000-0005-0000-0000-000064450000}"/>
    <cellStyle name="Actual year" xfId="1413" xr:uid="{00000000-0005-0000-0000-000065450000}"/>
    <cellStyle name="Actual year 10" xfId="13293" xr:uid="{00000000-0005-0000-0000-000066450000}"/>
    <cellStyle name="Actual year 10 2" xfId="32736" xr:uid="{00000000-0005-0000-0000-000067450000}"/>
    <cellStyle name="Actual year 11" xfId="13292" xr:uid="{00000000-0005-0000-0000-000068450000}"/>
    <cellStyle name="Actual year 11 2" xfId="32735" xr:uid="{00000000-0005-0000-0000-000069450000}"/>
    <cellStyle name="Actual year 12" xfId="23420" xr:uid="{00000000-0005-0000-0000-00006A450000}"/>
    <cellStyle name="Actual year 2" xfId="2525" xr:uid="{00000000-0005-0000-0000-00006B450000}"/>
    <cellStyle name="Actual year 2 10" xfId="13377" xr:uid="{00000000-0005-0000-0000-00006C450000}"/>
    <cellStyle name="Actual year 2 10 2" xfId="32775" xr:uid="{00000000-0005-0000-0000-00006D450000}"/>
    <cellStyle name="Actual year 2 11" xfId="23483" xr:uid="{00000000-0005-0000-0000-00006E450000}"/>
    <cellStyle name="Actual year 2 2" xfId="4897" xr:uid="{00000000-0005-0000-0000-00006F450000}"/>
    <cellStyle name="Actual year 2 2 2" xfId="13573" xr:uid="{00000000-0005-0000-0000-000070450000}"/>
    <cellStyle name="Actual year 2 2 2 2" xfId="13872" xr:uid="{00000000-0005-0000-0000-000071450000}"/>
    <cellStyle name="Actual year 2 2 2 2 2" xfId="14667" xr:uid="{00000000-0005-0000-0000-000072450000}"/>
    <cellStyle name="Actual year 2 2 2 2 2 2" xfId="17148" xr:uid="{00000000-0005-0000-0000-000073450000}"/>
    <cellStyle name="Actual year 2 2 2 2 2 2 2" xfId="36502" xr:uid="{00000000-0005-0000-0000-000074450000}"/>
    <cellStyle name="Actual year 2 2 2 2 2 3" xfId="19579" xr:uid="{00000000-0005-0000-0000-000075450000}"/>
    <cellStyle name="Actual year 2 2 2 2 2 3 2" xfId="38932" xr:uid="{00000000-0005-0000-0000-000076450000}"/>
    <cellStyle name="Actual year 2 2 2 2 2 4" xfId="22087" xr:uid="{00000000-0005-0000-0000-000077450000}"/>
    <cellStyle name="Actual year 2 2 2 2 2 4 2" xfId="41429" xr:uid="{00000000-0005-0000-0000-000078450000}"/>
    <cellStyle name="Actual year 2 2 2 2 2 5" xfId="34028" xr:uid="{00000000-0005-0000-0000-000079450000}"/>
    <cellStyle name="Actual year 2 2 2 2 3" xfId="15219" xr:uid="{00000000-0005-0000-0000-00007A450000}"/>
    <cellStyle name="Actual year 2 2 2 2 3 2" xfId="17695" xr:uid="{00000000-0005-0000-0000-00007B450000}"/>
    <cellStyle name="Actual year 2 2 2 2 3 2 2" xfId="37049" xr:uid="{00000000-0005-0000-0000-00007C450000}"/>
    <cellStyle name="Actual year 2 2 2 2 3 3" xfId="20126" xr:uid="{00000000-0005-0000-0000-00007D450000}"/>
    <cellStyle name="Actual year 2 2 2 2 3 3 2" xfId="39479" xr:uid="{00000000-0005-0000-0000-00007E450000}"/>
    <cellStyle name="Actual year 2 2 2 2 3 4" xfId="22639" xr:uid="{00000000-0005-0000-0000-00007F450000}"/>
    <cellStyle name="Actual year 2 2 2 2 3 4 2" xfId="41981" xr:uid="{00000000-0005-0000-0000-000080450000}"/>
    <cellStyle name="Actual year 2 2 2 2 3 5" xfId="34580" xr:uid="{00000000-0005-0000-0000-000081450000}"/>
    <cellStyle name="Actual year 2 2 2 2 4" xfId="15689" xr:uid="{00000000-0005-0000-0000-000082450000}"/>
    <cellStyle name="Actual year 2 2 2 2 4 2" xfId="18165" xr:uid="{00000000-0005-0000-0000-000083450000}"/>
    <cellStyle name="Actual year 2 2 2 2 4 2 2" xfId="37519" xr:uid="{00000000-0005-0000-0000-000084450000}"/>
    <cellStyle name="Actual year 2 2 2 2 4 3" xfId="20596" xr:uid="{00000000-0005-0000-0000-000085450000}"/>
    <cellStyle name="Actual year 2 2 2 2 4 3 2" xfId="39949" xr:uid="{00000000-0005-0000-0000-000086450000}"/>
    <cellStyle name="Actual year 2 2 2 2 4 4" xfId="23109" xr:uid="{00000000-0005-0000-0000-000087450000}"/>
    <cellStyle name="Actual year 2 2 2 2 4 4 2" xfId="42451" xr:uid="{00000000-0005-0000-0000-000088450000}"/>
    <cellStyle name="Actual year 2 2 2 2 4 5" xfId="35050" xr:uid="{00000000-0005-0000-0000-000089450000}"/>
    <cellStyle name="Actual year 2 2 2 2 5" xfId="16381" xr:uid="{00000000-0005-0000-0000-00008A450000}"/>
    <cellStyle name="Actual year 2 2 2 2 5 2" xfId="35735" xr:uid="{00000000-0005-0000-0000-00008B450000}"/>
    <cellStyle name="Actual year 2 2 2 2 6" xfId="18812" xr:uid="{00000000-0005-0000-0000-00008C450000}"/>
    <cellStyle name="Actual year 2 2 2 2 6 2" xfId="38165" xr:uid="{00000000-0005-0000-0000-00008D450000}"/>
    <cellStyle name="Actual year 2 2 2 2 7" xfId="21295" xr:uid="{00000000-0005-0000-0000-00008E450000}"/>
    <cellStyle name="Actual year 2 2 2 2 7 2" xfId="40637" xr:uid="{00000000-0005-0000-0000-00008F450000}"/>
    <cellStyle name="Actual year 2 2 2 2 8" xfId="33236" xr:uid="{00000000-0005-0000-0000-000090450000}"/>
    <cellStyle name="Actual year 2 2 2 3" xfId="14090" xr:uid="{00000000-0005-0000-0000-000091450000}"/>
    <cellStyle name="Actual year 2 2 2 3 2" xfId="16596" xr:uid="{00000000-0005-0000-0000-000092450000}"/>
    <cellStyle name="Actual year 2 2 2 3 2 2" xfId="35950" xr:uid="{00000000-0005-0000-0000-000093450000}"/>
    <cellStyle name="Actual year 2 2 2 3 3" xfId="19027" xr:uid="{00000000-0005-0000-0000-000094450000}"/>
    <cellStyle name="Actual year 2 2 2 3 3 2" xfId="38380" xr:uid="{00000000-0005-0000-0000-000095450000}"/>
    <cellStyle name="Actual year 2 2 2 3 4" xfId="21513" xr:uid="{00000000-0005-0000-0000-000096450000}"/>
    <cellStyle name="Actual year 2 2 2 3 4 2" xfId="40855" xr:uid="{00000000-0005-0000-0000-000097450000}"/>
    <cellStyle name="Actual year 2 2 2 3 5" xfId="33454" xr:uid="{00000000-0005-0000-0000-000098450000}"/>
    <cellStyle name="Actual year 2 2 2 4" xfId="14382" xr:uid="{00000000-0005-0000-0000-000099450000}"/>
    <cellStyle name="Actual year 2 2 2 4 2" xfId="16875" xr:uid="{00000000-0005-0000-0000-00009A450000}"/>
    <cellStyle name="Actual year 2 2 2 4 2 2" xfId="36229" xr:uid="{00000000-0005-0000-0000-00009B450000}"/>
    <cellStyle name="Actual year 2 2 2 4 3" xfId="19306" xr:uid="{00000000-0005-0000-0000-00009C450000}"/>
    <cellStyle name="Actual year 2 2 2 4 3 2" xfId="38659" xr:uid="{00000000-0005-0000-0000-00009D450000}"/>
    <cellStyle name="Actual year 2 2 2 4 4" xfId="21802" xr:uid="{00000000-0005-0000-0000-00009E450000}"/>
    <cellStyle name="Actual year 2 2 2 4 4 2" xfId="41144" xr:uid="{00000000-0005-0000-0000-00009F450000}"/>
    <cellStyle name="Actual year 2 2 2 4 5" xfId="33743" xr:uid="{00000000-0005-0000-0000-0000A0450000}"/>
    <cellStyle name="Actual year 2 2 2 5" xfId="15016" xr:uid="{00000000-0005-0000-0000-0000A1450000}"/>
    <cellStyle name="Actual year 2 2 2 5 2" xfId="17492" xr:uid="{00000000-0005-0000-0000-0000A2450000}"/>
    <cellStyle name="Actual year 2 2 2 5 2 2" xfId="36846" xr:uid="{00000000-0005-0000-0000-0000A3450000}"/>
    <cellStyle name="Actual year 2 2 2 5 3" xfId="19923" xr:uid="{00000000-0005-0000-0000-0000A4450000}"/>
    <cellStyle name="Actual year 2 2 2 5 3 2" xfId="39276" xr:uid="{00000000-0005-0000-0000-0000A5450000}"/>
    <cellStyle name="Actual year 2 2 2 5 4" xfId="22436" xr:uid="{00000000-0005-0000-0000-0000A6450000}"/>
    <cellStyle name="Actual year 2 2 2 5 4 2" xfId="41778" xr:uid="{00000000-0005-0000-0000-0000A7450000}"/>
    <cellStyle name="Actual year 2 2 2 5 5" xfId="34377" xr:uid="{00000000-0005-0000-0000-0000A8450000}"/>
    <cellStyle name="Actual year 2 2 2 6" xfId="16111" xr:uid="{00000000-0005-0000-0000-0000A9450000}"/>
    <cellStyle name="Actual year 2 2 2 6 2" xfId="35465" xr:uid="{00000000-0005-0000-0000-0000AA450000}"/>
    <cellStyle name="Actual year 2 2 2 7" xfId="18525" xr:uid="{00000000-0005-0000-0000-0000AB450000}"/>
    <cellStyle name="Actual year 2 2 2 7 2" xfId="37878" xr:uid="{00000000-0005-0000-0000-0000AC450000}"/>
    <cellStyle name="Actual year 2 2 2 8" xfId="32939" xr:uid="{00000000-0005-0000-0000-0000AD450000}"/>
    <cellStyle name="Actual year 2 2 3" xfId="13770" xr:uid="{00000000-0005-0000-0000-0000AE450000}"/>
    <cellStyle name="Actual year 2 2 3 2" xfId="16285" xr:uid="{00000000-0005-0000-0000-0000AF450000}"/>
    <cellStyle name="Actual year 2 2 3 2 2" xfId="35639" xr:uid="{00000000-0005-0000-0000-0000B0450000}"/>
    <cellStyle name="Actual year 2 2 3 3" xfId="18716" xr:uid="{00000000-0005-0000-0000-0000B1450000}"/>
    <cellStyle name="Actual year 2 2 3 3 2" xfId="38069" xr:uid="{00000000-0005-0000-0000-0000B2450000}"/>
    <cellStyle name="Actual year 2 2 3 4" xfId="21193" xr:uid="{00000000-0005-0000-0000-0000B3450000}"/>
    <cellStyle name="Actual year 2 2 3 4 2" xfId="40535" xr:uid="{00000000-0005-0000-0000-0000B4450000}"/>
    <cellStyle name="Actual year 2 2 3 5" xfId="33134" xr:uid="{00000000-0005-0000-0000-0000B5450000}"/>
    <cellStyle name="Actual year 2 2 4" xfId="13446" xr:uid="{00000000-0005-0000-0000-0000B6450000}"/>
    <cellStyle name="Actual year 2 2 4 2" xfId="32825" xr:uid="{00000000-0005-0000-0000-0000B7450000}"/>
    <cellStyle name="Actual year 2 2 5" xfId="16016" xr:uid="{00000000-0005-0000-0000-0000B8450000}"/>
    <cellStyle name="Actual year 2 2 5 2" xfId="35370" xr:uid="{00000000-0005-0000-0000-0000B9450000}"/>
    <cellStyle name="Actual year 2 2 6" xfId="24391" xr:uid="{00000000-0005-0000-0000-0000BA450000}"/>
    <cellStyle name="Actual year 2 3" xfId="13488" xr:uid="{00000000-0005-0000-0000-0000BB450000}"/>
    <cellStyle name="Actual year 2 3 2" xfId="13612" xr:uid="{00000000-0005-0000-0000-0000BC450000}"/>
    <cellStyle name="Actual year 2 3 2 2" xfId="13913" xr:uid="{00000000-0005-0000-0000-0000BD450000}"/>
    <cellStyle name="Actual year 2 3 2 2 2" xfId="14708" xr:uid="{00000000-0005-0000-0000-0000BE450000}"/>
    <cellStyle name="Actual year 2 3 2 2 2 2" xfId="17186" xr:uid="{00000000-0005-0000-0000-0000BF450000}"/>
    <cellStyle name="Actual year 2 3 2 2 2 2 2" xfId="36540" xr:uid="{00000000-0005-0000-0000-0000C0450000}"/>
    <cellStyle name="Actual year 2 3 2 2 2 3" xfId="19617" xr:uid="{00000000-0005-0000-0000-0000C1450000}"/>
    <cellStyle name="Actual year 2 3 2 2 2 3 2" xfId="38970" xr:uid="{00000000-0005-0000-0000-0000C2450000}"/>
    <cellStyle name="Actual year 2 3 2 2 2 4" xfId="22128" xr:uid="{00000000-0005-0000-0000-0000C3450000}"/>
    <cellStyle name="Actual year 2 3 2 2 2 4 2" xfId="41470" xr:uid="{00000000-0005-0000-0000-0000C4450000}"/>
    <cellStyle name="Actual year 2 3 2 2 2 5" xfId="34069" xr:uid="{00000000-0005-0000-0000-0000C5450000}"/>
    <cellStyle name="Actual year 2 3 2 2 3" xfId="15256" xr:uid="{00000000-0005-0000-0000-0000C6450000}"/>
    <cellStyle name="Actual year 2 3 2 2 3 2" xfId="17732" xr:uid="{00000000-0005-0000-0000-0000C7450000}"/>
    <cellStyle name="Actual year 2 3 2 2 3 2 2" xfId="37086" xr:uid="{00000000-0005-0000-0000-0000C8450000}"/>
    <cellStyle name="Actual year 2 3 2 2 3 3" xfId="20163" xr:uid="{00000000-0005-0000-0000-0000C9450000}"/>
    <cellStyle name="Actual year 2 3 2 2 3 3 2" xfId="39516" xr:uid="{00000000-0005-0000-0000-0000CA450000}"/>
    <cellStyle name="Actual year 2 3 2 2 3 4" xfId="22676" xr:uid="{00000000-0005-0000-0000-0000CB450000}"/>
    <cellStyle name="Actual year 2 3 2 2 3 4 2" xfId="42018" xr:uid="{00000000-0005-0000-0000-0000CC450000}"/>
    <cellStyle name="Actual year 2 3 2 2 3 5" xfId="34617" xr:uid="{00000000-0005-0000-0000-0000CD450000}"/>
    <cellStyle name="Actual year 2 3 2 2 4" xfId="15715" xr:uid="{00000000-0005-0000-0000-0000CE450000}"/>
    <cellStyle name="Actual year 2 3 2 2 4 2" xfId="18191" xr:uid="{00000000-0005-0000-0000-0000CF450000}"/>
    <cellStyle name="Actual year 2 3 2 2 4 2 2" xfId="37545" xr:uid="{00000000-0005-0000-0000-0000D0450000}"/>
    <cellStyle name="Actual year 2 3 2 2 4 3" xfId="20622" xr:uid="{00000000-0005-0000-0000-0000D1450000}"/>
    <cellStyle name="Actual year 2 3 2 2 4 3 2" xfId="39975" xr:uid="{00000000-0005-0000-0000-0000D2450000}"/>
    <cellStyle name="Actual year 2 3 2 2 4 4" xfId="23135" xr:uid="{00000000-0005-0000-0000-0000D3450000}"/>
    <cellStyle name="Actual year 2 3 2 2 4 4 2" xfId="42477" xr:uid="{00000000-0005-0000-0000-0000D4450000}"/>
    <cellStyle name="Actual year 2 3 2 2 4 5" xfId="35076" xr:uid="{00000000-0005-0000-0000-0000D5450000}"/>
    <cellStyle name="Actual year 2 3 2 2 5" xfId="16419" xr:uid="{00000000-0005-0000-0000-0000D6450000}"/>
    <cellStyle name="Actual year 2 3 2 2 5 2" xfId="35773" xr:uid="{00000000-0005-0000-0000-0000D7450000}"/>
    <cellStyle name="Actual year 2 3 2 2 6" xfId="18850" xr:uid="{00000000-0005-0000-0000-0000D8450000}"/>
    <cellStyle name="Actual year 2 3 2 2 6 2" xfId="38203" xr:uid="{00000000-0005-0000-0000-0000D9450000}"/>
    <cellStyle name="Actual year 2 3 2 2 7" xfId="21336" xr:uid="{00000000-0005-0000-0000-0000DA450000}"/>
    <cellStyle name="Actual year 2 3 2 2 7 2" xfId="40678" xr:uid="{00000000-0005-0000-0000-0000DB450000}"/>
    <cellStyle name="Actual year 2 3 2 2 8" xfId="33277" xr:uid="{00000000-0005-0000-0000-0000DC450000}"/>
    <cellStyle name="Actual year 2 3 2 3" xfId="14128" xr:uid="{00000000-0005-0000-0000-0000DD450000}"/>
    <cellStyle name="Actual year 2 3 2 3 2" xfId="16634" xr:uid="{00000000-0005-0000-0000-0000DE450000}"/>
    <cellStyle name="Actual year 2 3 2 3 2 2" xfId="35988" xr:uid="{00000000-0005-0000-0000-0000DF450000}"/>
    <cellStyle name="Actual year 2 3 2 3 3" xfId="19065" xr:uid="{00000000-0005-0000-0000-0000E0450000}"/>
    <cellStyle name="Actual year 2 3 2 3 3 2" xfId="38418" xr:uid="{00000000-0005-0000-0000-0000E1450000}"/>
    <cellStyle name="Actual year 2 3 2 3 4" xfId="21551" xr:uid="{00000000-0005-0000-0000-0000E2450000}"/>
    <cellStyle name="Actual year 2 3 2 3 4 2" xfId="40893" xr:uid="{00000000-0005-0000-0000-0000E3450000}"/>
    <cellStyle name="Actual year 2 3 2 3 5" xfId="33492" xr:uid="{00000000-0005-0000-0000-0000E4450000}"/>
    <cellStyle name="Actual year 2 3 2 4" xfId="14423" xr:uid="{00000000-0005-0000-0000-0000E5450000}"/>
    <cellStyle name="Actual year 2 3 2 4 2" xfId="16913" xr:uid="{00000000-0005-0000-0000-0000E6450000}"/>
    <cellStyle name="Actual year 2 3 2 4 2 2" xfId="36267" xr:uid="{00000000-0005-0000-0000-0000E7450000}"/>
    <cellStyle name="Actual year 2 3 2 4 3" xfId="19344" xr:uid="{00000000-0005-0000-0000-0000E8450000}"/>
    <cellStyle name="Actual year 2 3 2 4 3 2" xfId="38697" xr:uid="{00000000-0005-0000-0000-0000E9450000}"/>
    <cellStyle name="Actual year 2 3 2 4 4" xfId="21843" xr:uid="{00000000-0005-0000-0000-0000EA450000}"/>
    <cellStyle name="Actual year 2 3 2 4 4 2" xfId="41185" xr:uid="{00000000-0005-0000-0000-0000EB450000}"/>
    <cellStyle name="Actual year 2 3 2 4 5" xfId="33784" xr:uid="{00000000-0005-0000-0000-0000EC450000}"/>
    <cellStyle name="Actual year 2 3 2 5" xfId="15046" xr:uid="{00000000-0005-0000-0000-0000ED450000}"/>
    <cellStyle name="Actual year 2 3 2 5 2" xfId="17522" xr:uid="{00000000-0005-0000-0000-0000EE450000}"/>
    <cellStyle name="Actual year 2 3 2 5 2 2" xfId="36876" xr:uid="{00000000-0005-0000-0000-0000EF450000}"/>
    <cellStyle name="Actual year 2 3 2 5 3" xfId="19953" xr:uid="{00000000-0005-0000-0000-0000F0450000}"/>
    <cellStyle name="Actual year 2 3 2 5 3 2" xfId="39306" xr:uid="{00000000-0005-0000-0000-0000F1450000}"/>
    <cellStyle name="Actual year 2 3 2 5 4" xfId="22466" xr:uid="{00000000-0005-0000-0000-0000F2450000}"/>
    <cellStyle name="Actual year 2 3 2 5 4 2" xfId="41808" xr:uid="{00000000-0005-0000-0000-0000F3450000}"/>
    <cellStyle name="Actual year 2 3 2 5 5" xfId="34407" xr:uid="{00000000-0005-0000-0000-0000F4450000}"/>
    <cellStyle name="Actual year 2 3 2 6" xfId="16132" xr:uid="{00000000-0005-0000-0000-0000F5450000}"/>
    <cellStyle name="Actual year 2 3 2 6 2" xfId="35486" xr:uid="{00000000-0005-0000-0000-0000F6450000}"/>
    <cellStyle name="Actual year 2 3 2 7" xfId="18563" xr:uid="{00000000-0005-0000-0000-0000F7450000}"/>
    <cellStyle name="Actual year 2 3 2 7 2" xfId="37916" xr:uid="{00000000-0005-0000-0000-0000F8450000}"/>
    <cellStyle name="Actual year 2 3 2 8" xfId="32978" xr:uid="{00000000-0005-0000-0000-0000F9450000}"/>
    <cellStyle name="Actual year 2 3 3" xfId="13679" xr:uid="{00000000-0005-0000-0000-0000FA450000}"/>
    <cellStyle name="Actual year 2 3 3 2" xfId="16199" xr:uid="{00000000-0005-0000-0000-0000FB450000}"/>
    <cellStyle name="Actual year 2 3 3 2 2" xfId="35553" xr:uid="{00000000-0005-0000-0000-0000FC450000}"/>
    <cellStyle name="Actual year 2 3 3 3" xfId="18630" xr:uid="{00000000-0005-0000-0000-0000FD450000}"/>
    <cellStyle name="Actual year 2 3 3 3 2" xfId="37983" xr:uid="{00000000-0005-0000-0000-0000FE450000}"/>
    <cellStyle name="Actual year 2 3 3 4" xfId="21104" xr:uid="{00000000-0005-0000-0000-0000FF450000}"/>
    <cellStyle name="Actual year 2 3 3 4 2" xfId="40446" xr:uid="{00000000-0005-0000-0000-000000460000}"/>
    <cellStyle name="Actual year 2 3 3 5" xfId="33045" xr:uid="{00000000-0005-0000-0000-000001460000}"/>
    <cellStyle name="Actual year 2 3 4" xfId="16054" xr:uid="{00000000-0005-0000-0000-000002460000}"/>
    <cellStyle name="Actual year 2 3 4 2" xfId="35408" xr:uid="{00000000-0005-0000-0000-000003460000}"/>
    <cellStyle name="Actual year 2 3 5" xfId="18451" xr:uid="{00000000-0005-0000-0000-000004460000}"/>
    <cellStyle name="Actual year 2 3 5 2" xfId="37805" xr:uid="{00000000-0005-0000-0000-000005460000}"/>
    <cellStyle name="Actual year 2 3 6" xfId="20987" xr:uid="{00000000-0005-0000-0000-000006460000}"/>
    <cellStyle name="Actual year 2 3 6 2" xfId="40329" xr:uid="{00000000-0005-0000-0000-000007460000}"/>
    <cellStyle name="Actual year 2 3 7" xfId="32866" xr:uid="{00000000-0005-0000-0000-000008460000}"/>
    <cellStyle name="Actual year 2 4" xfId="13511" xr:uid="{00000000-0005-0000-0000-000009460000}"/>
    <cellStyle name="Actual year 2 4 2" xfId="13813" xr:uid="{00000000-0005-0000-0000-00000A460000}"/>
    <cellStyle name="Actual year 2 4 2 2" xfId="16325" xr:uid="{00000000-0005-0000-0000-00000B460000}"/>
    <cellStyle name="Actual year 2 4 2 2 2" xfId="35679" xr:uid="{00000000-0005-0000-0000-00000C460000}"/>
    <cellStyle name="Actual year 2 4 2 3" xfId="18756" xr:uid="{00000000-0005-0000-0000-00000D460000}"/>
    <cellStyle name="Actual year 2 4 2 3 2" xfId="38109" xr:uid="{00000000-0005-0000-0000-00000E460000}"/>
    <cellStyle name="Actual year 2 4 2 4" xfId="21236" xr:uid="{00000000-0005-0000-0000-00000F460000}"/>
    <cellStyle name="Actual year 2 4 2 4 2" xfId="40578" xr:uid="{00000000-0005-0000-0000-000010460000}"/>
    <cellStyle name="Actual year 2 4 2 5" xfId="33177" xr:uid="{00000000-0005-0000-0000-000011460000}"/>
    <cellStyle name="Actual year 2 4 3" xfId="16073" xr:uid="{00000000-0005-0000-0000-000012460000}"/>
    <cellStyle name="Actual year 2 4 3 2" xfId="35427" xr:uid="{00000000-0005-0000-0000-000013460000}"/>
    <cellStyle name="Actual year 2 4 4" xfId="18472" xr:uid="{00000000-0005-0000-0000-000014460000}"/>
    <cellStyle name="Actual year 2 4 4 2" xfId="37825" xr:uid="{00000000-0005-0000-0000-000015460000}"/>
    <cellStyle name="Actual year 2 4 5" xfId="21006" xr:uid="{00000000-0005-0000-0000-000016460000}"/>
    <cellStyle name="Actual year 2 4 5 2" xfId="40348" xr:uid="{00000000-0005-0000-0000-000017460000}"/>
    <cellStyle name="Actual year 2 4 6" xfId="32886" xr:uid="{00000000-0005-0000-0000-000018460000}"/>
    <cellStyle name="Actual year 2 5" xfId="13726" xr:uid="{00000000-0005-0000-0000-000019460000}"/>
    <cellStyle name="Actual year 2 5 2" xfId="14529" xr:uid="{00000000-0005-0000-0000-00001A460000}"/>
    <cellStyle name="Actual year 2 5 2 2" xfId="17019" xr:uid="{00000000-0005-0000-0000-00001B460000}"/>
    <cellStyle name="Actual year 2 5 2 2 2" xfId="36373" xr:uid="{00000000-0005-0000-0000-00001C460000}"/>
    <cellStyle name="Actual year 2 5 2 3" xfId="19450" xr:uid="{00000000-0005-0000-0000-00001D460000}"/>
    <cellStyle name="Actual year 2 5 2 3 2" xfId="38803" xr:uid="{00000000-0005-0000-0000-00001E460000}"/>
    <cellStyle name="Actual year 2 5 2 4" xfId="21949" xr:uid="{00000000-0005-0000-0000-00001F460000}"/>
    <cellStyle name="Actual year 2 5 2 4 2" xfId="41291" xr:uid="{00000000-0005-0000-0000-000020460000}"/>
    <cellStyle name="Actual year 2 5 2 5" xfId="33890" xr:uid="{00000000-0005-0000-0000-000021460000}"/>
    <cellStyle name="Actual year 2 5 3" xfId="15093" xr:uid="{00000000-0005-0000-0000-000022460000}"/>
    <cellStyle name="Actual year 2 5 3 2" xfId="17569" xr:uid="{00000000-0005-0000-0000-000023460000}"/>
    <cellStyle name="Actual year 2 5 3 2 2" xfId="36923" xr:uid="{00000000-0005-0000-0000-000024460000}"/>
    <cellStyle name="Actual year 2 5 3 3" xfId="20000" xr:uid="{00000000-0005-0000-0000-000025460000}"/>
    <cellStyle name="Actual year 2 5 3 3 2" xfId="39353" xr:uid="{00000000-0005-0000-0000-000026460000}"/>
    <cellStyle name="Actual year 2 5 3 4" xfId="22513" xr:uid="{00000000-0005-0000-0000-000027460000}"/>
    <cellStyle name="Actual year 2 5 3 4 2" xfId="41855" xr:uid="{00000000-0005-0000-0000-000028460000}"/>
    <cellStyle name="Actual year 2 5 3 5" xfId="34454" xr:uid="{00000000-0005-0000-0000-000029460000}"/>
    <cellStyle name="Actual year 2 5 4" xfId="15576" xr:uid="{00000000-0005-0000-0000-00002A460000}"/>
    <cellStyle name="Actual year 2 5 4 2" xfId="18052" xr:uid="{00000000-0005-0000-0000-00002B460000}"/>
    <cellStyle name="Actual year 2 5 4 2 2" xfId="37406" xr:uid="{00000000-0005-0000-0000-00002C460000}"/>
    <cellStyle name="Actual year 2 5 4 3" xfId="20483" xr:uid="{00000000-0005-0000-0000-00002D460000}"/>
    <cellStyle name="Actual year 2 5 4 3 2" xfId="39836" xr:uid="{00000000-0005-0000-0000-00002E460000}"/>
    <cellStyle name="Actual year 2 5 4 4" xfId="22996" xr:uid="{00000000-0005-0000-0000-00002F460000}"/>
    <cellStyle name="Actual year 2 5 4 4 2" xfId="42338" xr:uid="{00000000-0005-0000-0000-000030460000}"/>
    <cellStyle name="Actual year 2 5 4 5" xfId="34937" xr:uid="{00000000-0005-0000-0000-000031460000}"/>
    <cellStyle name="Actual year 2 5 5" xfId="16245" xr:uid="{00000000-0005-0000-0000-000032460000}"/>
    <cellStyle name="Actual year 2 5 5 2" xfId="35599" xr:uid="{00000000-0005-0000-0000-000033460000}"/>
    <cellStyle name="Actual year 2 5 6" xfId="18676" xr:uid="{00000000-0005-0000-0000-000034460000}"/>
    <cellStyle name="Actual year 2 5 6 2" xfId="38029" xr:uid="{00000000-0005-0000-0000-000035460000}"/>
    <cellStyle name="Actual year 2 5 7" xfId="21150" xr:uid="{00000000-0005-0000-0000-000036460000}"/>
    <cellStyle name="Actual year 2 5 7 2" xfId="40492" xr:uid="{00000000-0005-0000-0000-000037460000}"/>
    <cellStyle name="Actual year 2 5 8" xfId="33091" xr:uid="{00000000-0005-0000-0000-000038460000}"/>
    <cellStyle name="Actual year 2 6" xfId="14239" xr:uid="{00000000-0005-0000-0000-000039460000}"/>
    <cellStyle name="Actual year 2 6 2" xfId="16742" xr:uid="{00000000-0005-0000-0000-00003A460000}"/>
    <cellStyle name="Actual year 2 6 2 2" xfId="36096" xr:uid="{00000000-0005-0000-0000-00003B460000}"/>
    <cellStyle name="Actual year 2 6 3" xfId="19173" xr:uid="{00000000-0005-0000-0000-00003C460000}"/>
    <cellStyle name="Actual year 2 6 3 2" xfId="38526" xr:uid="{00000000-0005-0000-0000-00003D460000}"/>
    <cellStyle name="Actual year 2 6 4" xfId="21660" xr:uid="{00000000-0005-0000-0000-00003E460000}"/>
    <cellStyle name="Actual year 2 6 4 2" xfId="41002" xr:uid="{00000000-0005-0000-0000-00003F460000}"/>
    <cellStyle name="Actual year 2 6 5" xfId="33601" xr:uid="{00000000-0005-0000-0000-000040460000}"/>
    <cellStyle name="Actual year 2 7" xfId="14201" xr:uid="{00000000-0005-0000-0000-000041460000}"/>
    <cellStyle name="Actual year 2 7 2" xfId="16705" xr:uid="{00000000-0005-0000-0000-000042460000}"/>
    <cellStyle name="Actual year 2 7 2 2" xfId="36059" xr:uid="{00000000-0005-0000-0000-000043460000}"/>
    <cellStyle name="Actual year 2 7 3" xfId="19136" xr:uid="{00000000-0005-0000-0000-000044460000}"/>
    <cellStyle name="Actual year 2 7 3 2" xfId="38489" xr:uid="{00000000-0005-0000-0000-000045460000}"/>
    <cellStyle name="Actual year 2 7 4" xfId="21623" xr:uid="{00000000-0005-0000-0000-000046460000}"/>
    <cellStyle name="Actual year 2 7 4 2" xfId="40965" xr:uid="{00000000-0005-0000-0000-000047460000}"/>
    <cellStyle name="Actual year 2 7 5" xfId="33564" xr:uid="{00000000-0005-0000-0000-000048460000}"/>
    <cellStyle name="Actual year 2 8" xfId="13300" xr:uid="{00000000-0005-0000-0000-000049460000}"/>
    <cellStyle name="Actual year 2 8 2" xfId="32737" xr:uid="{00000000-0005-0000-0000-00004A460000}"/>
    <cellStyle name="Actual year 2 9" xfId="13371" xr:uid="{00000000-0005-0000-0000-00004B460000}"/>
    <cellStyle name="Actual year 2 9 2" xfId="32770" xr:uid="{00000000-0005-0000-0000-00004C460000}"/>
    <cellStyle name="Actual year 3" xfId="4876" xr:uid="{00000000-0005-0000-0000-00004D460000}"/>
    <cellStyle name="Actual year 3 2" xfId="13556" xr:uid="{00000000-0005-0000-0000-00004E460000}"/>
    <cellStyle name="Actual year 3 2 2" xfId="13854" xr:uid="{00000000-0005-0000-0000-00004F460000}"/>
    <cellStyle name="Actual year 3 2 2 2" xfId="14649" xr:uid="{00000000-0005-0000-0000-000050460000}"/>
    <cellStyle name="Actual year 3 2 2 2 2" xfId="17130" xr:uid="{00000000-0005-0000-0000-000051460000}"/>
    <cellStyle name="Actual year 3 2 2 2 2 2" xfId="36484" xr:uid="{00000000-0005-0000-0000-000052460000}"/>
    <cellStyle name="Actual year 3 2 2 2 3" xfId="19561" xr:uid="{00000000-0005-0000-0000-000053460000}"/>
    <cellStyle name="Actual year 3 2 2 2 3 2" xfId="38914" xr:uid="{00000000-0005-0000-0000-000054460000}"/>
    <cellStyle name="Actual year 3 2 2 2 4" xfId="22069" xr:uid="{00000000-0005-0000-0000-000055460000}"/>
    <cellStyle name="Actual year 3 2 2 2 4 2" xfId="41411" xr:uid="{00000000-0005-0000-0000-000056460000}"/>
    <cellStyle name="Actual year 3 2 2 2 5" xfId="34010" xr:uid="{00000000-0005-0000-0000-000057460000}"/>
    <cellStyle name="Actual year 3 2 2 3" xfId="15202" xr:uid="{00000000-0005-0000-0000-000058460000}"/>
    <cellStyle name="Actual year 3 2 2 3 2" xfId="17678" xr:uid="{00000000-0005-0000-0000-000059460000}"/>
    <cellStyle name="Actual year 3 2 2 3 2 2" xfId="37032" xr:uid="{00000000-0005-0000-0000-00005A460000}"/>
    <cellStyle name="Actual year 3 2 2 3 3" xfId="20109" xr:uid="{00000000-0005-0000-0000-00005B460000}"/>
    <cellStyle name="Actual year 3 2 2 3 3 2" xfId="39462" xr:uid="{00000000-0005-0000-0000-00005C460000}"/>
    <cellStyle name="Actual year 3 2 2 3 4" xfId="22622" xr:uid="{00000000-0005-0000-0000-00005D460000}"/>
    <cellStyle name="Actual year 3 2 2 3 4 2" xfId="41964" xr:uid="{00000000-0005-0000-0000-00005E460000}"/>
    <cellStyle name="Actual year 3 2 2 3 5" xfId="34563" xr:uid="{00000000-0005-0000-0000-00005F460000}"/>
    <cellStyle name="Actual year 3 2 2 4" xfId="15673" xr:uid="{00000000-0005-0000-0000-000060460000}"/>
    <cellStyle name="Actual year 3 2 2 4 2" xfId="18149" xr:uid="{00000000-0005-0000-0000-000061460000}"/>
    <cellStyle name="Actual year 3 2 2 4 2 2" xfId="37503" xr:uid="{00000000-0005-0000-0000-000062460000}"/>
    <cellStyle name="Actual year 3 2 2 4 3" xfId="20580" xr:uid="{00000000-0005-0000-0000-000063460000}"/>
    <cellStyle name="Actual year 3 2 2 4 3 2" xfId="39933" xr:uid="{00000000-0005-0000-0000-000064460000}"/>
    <cellStyle name="Actual year 3 2 2 4 4" xfId="23093" xr:uid="{00000000-0005-0000-0000-000065460000}"/>
    <cellStyle name="Actual year 3 2 2 4 4 2" xfId="42435" xr:uid="{00000000-0005-0000-0000-000066460000}"/>
    <cellStyle name="Actual year 3 2 2 4 5" xfId="35034" xr:uid="{00000000-0005-0000-0000-000067460000}"/>
    <cellStyle name="Actual year 3 2 2 5" xfId="16363" xr:uid="{00000000-0005-0000-0000-000068460000}"/>
    <cellStyle name="Actual year 3 2 2 5 2" xfId="35717" xr:uid="{00000000-0005-0000-0000-000069460000}"/>
    <cellStyle name="Actual year 3 2 2 6" xfId="18794" xr:uid="{00000000-0005-0000-0000-00006A460000}"/>
    <cellStyle name="Actual year 3 2 2 6 2" xfId="38147" xr:uid="{00000000-0005-0000-0000-00006B460000}"/>
    <cellStyle name="Actual year 3 2 2 7" xfId="21277" xr:uid="{00000000-0005-0000-0000-00006C460000}"/>
    <cellStyle name="Actual year 3 2 2 7 2" xfId="40619" xr:uid="{00000000-0005-0000-0000-00006D460000}"/>
    <cellStyle name="Actual year 3 2 2 8" xfId="33218" xr:uid="{00000000-0005-0000-0000-00006E460000}"/>
    <cellStyle name="Actual year 3 2 3" xfId="14072" xr:uid="{00000000-0005-0000-0000-00006F460000}"/>
    <cellStyle name="Actual year 3 2 3 2" xfId="16578" xr:uid="{00000000-0005-0000-0000-000070460000}"/>
    <cellStyle name="Actual year 3 2 3 2 2" xfId="35932" xr:uid="{00000000-0005-0000-0000-000071460000}"/>
    <cellStyle name="Actual year 3 2 3 3" xfId="19009" xr:uid="{00000000-0005-0000-0000-000072460000}"/>
    <cellStyle name="Actual year 3 2 3 3 2" xfId="38362" xr:uid="{00000000-0005-0000-0000-000073460000}"/>
    <cellStyle name="Actual year 3 2 3 4" xfId="21495" xr:uid="{00000000-0005-0000-0000-000074460000}"/>
    <cellStyle name="Actual year 3 2 3 4 2" xfId="40837" xr:uid="{00000000-0005-0000-0000-000075460000}"/>
    <cellStyle name="Actual year 3 2 3 5" xfId="33436" xr:uid="{00000000-0005-0000-0000-000076460000}"/>
    <cellStyle name="Actual year 3 2 4" xfId="14367" xr:uid="{00000000-0005-0000-0000-000077460000}"/>
    <cellStyle name="Actual year 3 2 4 2" xfId="16860" xr:uid="{00000000-0005-0000-0000-000078460000}"/>
    <cellStyle name="Actual year 3 2 4 2 2" xfId="36214" xr:uid="{00000000-0005-0000-0000-000079460000}"/>
    <cellStyle name="Actual year 3 2 4 3" xfId="19291" xr:uid="{00000000-0005-0000-0000-00007A460000}"/>
    <cellStyle name="Actual year 3 2 4 3 2" xfId="38644" xr:uid="{00000000-0005-0000-0000-00007B460000}"/>
    <cellStyle name="Actual year 3 2 4 4" xfId="21787" xr:uid="{00000000-0005-0000-0000-00007C460000}"/>
    <cellStyle name="Actual year 3 2 4 4 2" xfId="41129" xr:uid="{00000000-0005-0000-0000-00007D460000}"/>
    <cellStyle name="Actual year 3 2 4 5" xfId="33728" xr:uid="{00000000-0005-0000-0000-00007E460000}"/>
    <cellStyle name="Actual year 3 2 5" xfId="14998" xr:uid="{00000000-0005-0000-0000-00007F460000}"/>
    <cellStyle name="Actual year 3 2 5 2" xfId="17474" xr:uid="{00000000-0005-0000-0000-000080460000}"/>
    <cellStyle name="Actual year 3 2 5 2 2" xfId="36828" xr:uid="{00000000-0005-0000-0000-000081460000}"/>
    <cellStyle name="Actual year 3 2 5 3" xfId="19905" xr:uid="{00000000-0005-0000-0000-000082460000}"/>
    <cellStyle name="Actual year 3 2 5 3 2" xfId="39258" xr:uid="{00000000-0005-0000-0000-000083460000}"/>
    <cellStyle name="Actual year 3 2 5 4" xfId="22418" xr:uid="{00000000-0005-0000-0000-000084460000}"/>
    <cellStyle name="Actual year 3 2 5 4 2" xfId="41760" xr:uid="{00000000-0005-0000-0000-000085460000}"/>
    <cellStyle name="Actual year 3 2 5 5" xfId="34359" xr:uid="{00000000-0005-0000-0000-000086460000}"/>
    <cellStyle name="Actual year 3 2 6" xfId="16098" xr:uid="{00000000-0005-0000-0000-000087460000}"/>
    <cellStyle name="Actual year 3 2 6 2" xfId="35452" xr:uid="{00000000-0005-0000-0000-000088460000}"/>
    <cellStyle name="Actual year 3 2 7" xfId="18510" xr:uid="{00000000-0005-0000-0000-000089460000}"/>
    <cellStyle name="Actual year 3 2 7 2" xfId="37863" xr:uid="{00000000-0005-0000-0000-00008A460000}"/>
    <cellStyle name="Actual year 3 2 8" xfId="32925" xr:uid="{00000000-0005-0000-0000-00008B460000}"/>
    <cellStyle name="Actual year 3 3" xfId="13757" xr:uid="{00000000-0005-0000-0000-00008C460000}"/>
    <cellStyle name="Actual year 3 3 2" xfId="16272" xr:uid="{00000000-0005-0000-0000-00008D460000}"/>
    <cellStyle name="Actual year 3 3 2 2" xfId="35626" xr:uid="{00000000-0005-0000-0000-00008E460000}"/>
    <cellStyle name="Actual year 3 3 3" xfId="18703" xr:uid="{00000000-0005-0000-0000-00008F460000}"/>
    <cellStyle name="Actual year 3 3 3 2" xfId="38056" xr:uid="{00000000-0005-0000-0000-000090460000}"/>
    <cellStyle name="Actual year 3 3 4" xfId="21180" xr:uid="{00000000-0005-0000-0000-000091460000}"/>
    <cellStyle name="Actual year 3 3 4 2" xfId="40522" xr:uid="{00000000-0005-0000-0000-000092460000}"/>
    <cellStyle name="Actual year 3 3 5" xfId="33121" xr:uid="{00000000-0005-0000-0000-000093460000}"/>
    <cellStyle name="Actual year 3 4" xfId="13428" xr:uid="{00000000-0005-0000-0000-000094460000}"/>
    <cellStyle name="Actual year 3 4 2" xfId="32807" xr:uid="{00000000-0005-0000-0000-000095460000}"/>
    <cellStyle name="Actual year 3 5" xfId="15998" xr:uid="{00000000-0005-0000-0000-000096460000}"/>
    <cellStyle name="Actual year 3 5 2" xfId="35352" xr:uid="{00000000-0005-0000-0000-000097460000}"/>
    <cellStyle name="Actual year 3 6" xfId="24372" xr:uid="{00000000-0005-0000-0000-000098460000}"/>
    <cellStyle name="Actual year 4" xfId="13427" xr:uid="{00000000-0005-0000-0000-000099460000}"/>
    <cellStyle name="Actual year 4 2" xfId="13555" xr:uid="{00000000-0005-0000-0000-00009A460000}"/>
    <cellStyle name="Actual year 4 2 2" xfId="13853" xr:uid="{00000000-0005-0000-0000-00009B460000}"/>
    <cellStyle name="Actual year 4 2 2 2" xfId="14648" xr:uid="{00000000-0005-0000-0000-00009C460000}"/>
    <cellStyle name="Actual year 4 2 2 2 2" xfId="17129" xr:uid="{00000000-0005-0000-0000-00009D460000}"/>
    <cellStyle name="Actual year 4 2 2 2 2 2" xfId="36483" xr:uid="{00000000-0005-0000-0000-00009E460000}"/>
    <cellStyle name="Actual year 4 2 2 2 3" xfId="19560" xr:uid="{00000000-0005-0000-0000-00009F460000}"/>
    <cellStyle name="Actual year 4 2 2 2 3 2" xfId="38913" xr:uid="{00000000-0005-0000-0000-0000A0460000}"/>
    <cellStyle name="Actual year 4 2 2 2 4" xfId="22068" xr:uid="{00000000-0005-0000-0000-0000A1460000}"/>
    <cellStyle name="Actual year 4 2 2 2 4 2" xfId="41410" xr:uid="{00000000-0005-0000-0000-0000A2460000}"/>
    <cellStyle name="Actual year 4 2 2 2 5" xfId="34009" xr:uid="{00000000-0005-0000-0000-0000A3460000}"/>
    <cellStyle name="Actual year 4 2 2 3" xfId="15201" xr:uid="{00000000-0005-0000-0000-0000A4460000}"/>
    <cellStyle name="Actual year 4 2 2 3 2" xfId="17677" xr:uid="{00000000-0005-0000-0000-0000A5460000}"/>
    <cellStyle name="Actual year 4 2 2 3 2 2" xfId="37031" xr:uid="{00000000-0005-0000-0000-0000A6460000}"/>
    <cellStyle name="Actual year 4 2 2 3 3" xfId="20108" xr:uid="{00000000-0005-0000-0000-0000A7460000}"/>
    <cellStyle name="Actual year 4 2 2 3 3 2" xfId="39461" xr:uid="{00000000-0005-0000-0000-0000A8460000}"/>
    <cellStyle name="Actual year 4 2 2 3 4" xfId="22621" xr:uid="{00000000-0005-0000-0000-0000A9460000}"/>
    <cellStyle name="Actual year 4 2 2 3 4 2" xfId="41963" xr:uid="{00000000-0005-0000-0000-0000AA460000}"/>
    <cellStyle name="Actual year 4 2 2 3 5" xfId="34562" xr:uid="{00000000-0005-0000-0000-0000AB460000}"/>
    <cellStyle name="Actual year 4 2 2 4" xfId="15672" xr:uid="{00000000-0005-0000-0000-0000AC460000}"/>
    <cellStyle name="Actual year 4 2 2 4 2" xfId="18148" xr:uid="{00000000-0005-0000-0000-0000AD460000}"/>
    <cellStyle name="Actual year 4 2 2 4 2 2" xfId="37502" xr:uid="{00000000-0005-0000-0000-0000AE460000}"/>
    <cellStyle name="Actual year 4 2 2 4 3" xfId="20579" xr:uid="{00000000-0005-0000-0000-0000AF460000}"/>
    <cellStyle name="Actual year 4 2 2 4 3 2" xfId="39932" xr:uid="{00000000-0005-0000-0000-0000B0460000}"/>
    <cellStyle name="Actual year 4 2 2 4 4" xfId="23092" xr:uid="{00000000-0005-0000-0000-0000B1460000}"/>
    <cellStyle name="Actual year 4 2 2 4 4 2" xfId="42434" xr:uid="{00000000-0005-0000-0000-0000B2460000}"/>
    <cellStyle name="Actual year 4 2 2 4 5" xfId="35033" xr:uid="{00000000-0005-0000-0000-0000B3460000}"/>
    <cellStyle name="Actual year 4 2 2 5" xfId="16362" xr:uid="{00000000-0005-0000-0000-0000B4460000}"/>
    <cellStyle name="Actual year 4 2 2 5 2" xfId="35716" xr:uid="{00000000-0005-0000-0000-0000B5460000}"/>
    <cellStyle name="Actual year 4 2 2 6" xfId="18793" xr:uid="{00000000-0005-0000-0000-0000B6460000}"/>
    <cellStyle name="Actual year 4 2 2 6 2" xfId="38146" xr:uid="{00000000-0005-0000-0000-0000B7460000}"/>
    <cellStyle name="Actual year 4 2 2 7" xfId="21276" xr:uid="{00000000-0005-0000-0000-0000B8460000}"/>
    <cellStyle name="Actual year 4 2 2 7 2" xfId="40618" xr:uid="{00000000-0005-0000-0000-0000B9460000}"/>
    <cellStyle name="Actual year 4 2 2 8" xfId="33217" xr:uid="{00000000-0005-0000-0000-0000BA460000}"/>
    <cellStyle name="Actual year 4 2 3" xfId="14071" xr:uid="{00000000-0005-0000-0000-0000BB460000}"/>
    <cellStyle name="Actual year 4 2 3 2" xfId="16577" xr:uid="{00000000-0005-0000-0000-0000BC460000}"/>
    <cellStyle name="Actual year 4 2 3 2 2" xfId="35931" xr:uid="{00000000-0005-0000-0000-0000BD460000}"/>
    <cellStyle name="Actual year 4 2 3 3" xfId="19008" xr:uid="{00000000-0005-0000-0000-0000BE460000}"/>
    <cellStyle name="Actual year 4 2 3 3 2" xfId="38361" xr:uid="{00000000-0005-0000-0000-0000BF460000}"/>
    <cellStyle name="Actual year 4 2 3 4" xfId="21494" xr:uid="{00000000-0005-0000-0000-0000C0460000}"/>
    <cellStyle name="Actual year 4 2 3 4 2" xfId="40836" xr:uid="{00000000-0005-0000-0000-0000C1460000}"/>
    <cellStyle name="Actual year 4 2 3 5" xfId="33435" xr:uid="{00000000-0005-0000-0000-0000C2460000}"/>
    <cellStyle name="Actual year 4 2 4" xfId="14366" xr:uid="{00000000-0005-0000-0000-0000C3460000}"/>
    <cellStyle name="Actual year 4 2 4 2" xfId="16859" xr:uid="{00000000-0005-0000-0000-0000C4460000}"/>
    <cellStyle name="Actual year 4 2 4 2 2" xfId="36213" xr:uid="{00000000-0005-0000-0000-0000C5460000}"/>
    <cellStyle name="Actual year 4 2 4 3" xfId="19290" xr:uid="{00000000-0005-0000-0000-0000C6460000}"/>
    <cellStyle name="Actual year 4 2 4 3 2" xfId="38643" xr:uid="{00000000-0005-0000-0000-0000C7460000}"/>
    <cellStyle name="Actual year 4 2 4 4" xfId="21786" xr:uid="{00000000-0005-0000-0000-0000C8460000}"/>
    <cellStyle name="Actual year 4 2 4 4 2" xfId="41128" xr:uid="{00000000-0005-0000-0000-0000C9460000}"/>
    <cellStyle name="Actual year 4 2 4 5" xfId="33727" xr:uid="{00000000-0005-0000-0000-0000CA460000}"/>
    <cellStyle name="Actual year 4 2 5" xfId="14997" xr:uid="{00000000-0005-0000-0000-0000CB460000}"/>
    <cellStyle name="Actual year 4 2 5 2" xfId="17473" xr:uid="{00000000-0005-0000-0000-0000CC460000}"/>
    <cellStyle name="Actual year 4 2 5 2 2" xfId="36827" xr:uid="{00000000-0005-0000-0000-0000CD460000}"/>
    <cellStyle name="Actual year 4 2 5 3" xfId="19904" xr:uid="{00000000-0005-0000-0000-0000CE460000}"/>
    <cellStyle name="Actual year 4 2 5 3 2" xfId="39257" xr:uid="{00000000-0005-0000-0000-0000CF460000}"/>
    <cellStyle name="Actual year 4 2 5 4" xfId="22417" xr:uid="{00000000-0005-0000-0000-0000D0460000}"/>
    <cellStyle name="Actual year 4 2 5 4 2" xfId="41759" xr:uid="{00000000-0005-0000-0000-0000D1460000}"/>
    <cellStyle name="Actual year 4 2 5 5" xfId="34358" xr:uid="{00000000-0005-0000-0000-0000D2460000}"/>
    <cellStyle name="Actual year 4 2 6" xfId="16097" xr:uid="{00000000-0005-0000-0000-0000D3460000}"/>
    <cellStyle name="Actual year 4 2 6 2" xfId="35451" xr:uid="{00000000-0005-0000-0000-0000D4460000}"/>
    <cellStyle name="Actual year 4 2 7" xfId="18509" xr:uid="{00000000-0005-0000-0000-0000D5460000}"/>
    <cellStyle name="Actual year 4 2 7 2" xfId="37862" xr:uid="{00000000-0005-0000-0000-0000D6460000}"/>
    <cellStyle name="Actual year 4 2 8" xfId="32924" xr:uid="{00000000-0005-0000-0000-0000D7460000}"/>
    <cellStyle name="Actual year 4 3" xfId="13627" xr:uid="{00000000-0005-0000-0000-0000D8460000}"/>
    <cellStyle name="Actual year 4 3 2" xfId="16147" xr:uid="{00000000-0005-0000-0000-0000D9460000}"/>
    <cellStyle name="Actual year 4 3 2 2" xfId="35501" xr:uid="{00000000-0005-0000-0000-0000DA460000}"/>
    <cellStyle name="Actual year 4 3 3" xfId="18578" xr:uid="{00000000-0005-0000-0000-0000DB460000}"/>
    <cellStyle name="Actual year 4 3 3 2" xfId="37931" xr:uid="{00000000-0005-0000-0000-0000DC460000}"/>
    <cellStyle name="Actual year 4 3 4" xfId="21052" xr:uid="{00000000-0005-0000-0000-0000DD460000}"/>
    <cellStyle name="Actual year 4 3 4 2" xfId="40394" xr:uid="{00000000-0005-0000-0000-0000DE460000}"/>
    <cellStyle name="Actual year 4 3 5" xfId="32993" xr:uid="{00000000-0005-0000-0000-0000DF460000}"/>
    <cellStyle name="Actual year 4 4" xfId="15997" xr:uid="{00000000-0005-0000-0000-0000E0460000}"/>
    <cellStyle name="Actual year 4 4 2" xfId="35351" xr:uid="{00000000-0005-0000-0000-0000E1460000}"/>
    <cellStyle name="Actual year 4 5" xfId="13284" xr:uid="{00000000-0005-0000-0000-0000E2460000}"/>
    <cellStyle name="Actual year 4 5 2" xfId="32729" xr:uid="{00000000-0005-0000-0000-0000E3460000}"/>
    <cellStyle name="Actual year 4 6" xfId="20931" xr:uid="{00000000-0005-0000-0000-0000E4460000}"/>
    <cellStyle name="Actual year 4 6 2" xfId="40273" xr:uid="{00000000-0005-0000-0000-0000E5460000}"/>
    <cellStyle name="Actual year 4 7" xfId="32806" xr:uid="{00000000-0005-0000-0000-0000E6460000}"/>
    <cellStyle name="Actual year 5" xfId="13500" xr:uid="{00000000-0005-0000-0000-0000E7460000}"/>
    <cellStyle name="Actual year 5 2" xfId="13804" xr:uid="{00000000-0005-0000-0000-0000E8460000}"/>
    <cellStyle name="Actual year 5 2 2" xfId="16316" xr:uid="{00000000-0005-0000-0000-0000E9460000}"/>
    <cellStyle name="Actual year 5 2 2 2" xfId="35670" xr:uid="{00000000-0005-0000-0000-0000EA460000}"/>
    <cellStyle name="Actual year 5 2 3" xfId="18747" xr:uid="{00000000-0005-0000-0000-0000EB460000}"/>
    <cellStyle name="Actual year 5 2 3 2" xfId="38100" xr:uid="{00000000-0005-0000-0000-0000EC460000}"/>
    <cellStyle name="Actual year 5 2 4" xfId="21227" xr:uid="{00000000-0005-0000-0000-0000ED460000}"/>
    <cellStyle name="Actual year 5 2 4 2" xfId="40569" xr:uid="{00000000-0005-0000-0000-0000EE460000}"/>
    <cellStyle name="Actual year 5 2 5" xfId="33168" xr:uid="{00000000-0005-0000-0000-0000EF460000}"/>
    <cellStyle name="Actual year 5 3" xfId="16064" xr:uid="{00000000-0005-0000-0000-0000F0460000}"/>
    <cellStyle name="Actual year 5 3 2" xfId="35418" xr:uid="{00000000-0005-0000-0000-0000F1460000}"/>
    <cellStyle name="Actual year 5 4" xfId="18461" xr:uid="{00000000-0005-0000-0000-0000F2460000}"/>
    <cellStyle name="Actual year 5 4 2" xfId="37814" xr:uid="{00000000-0005-0000-0000-0000F3460000}"/>
    <cellStyle name="Actual year 5 5" xfId="20997" xr:uid="{00000000-0005-0000-0000-0000F4460000}"/>
    <cellStyle name="Actual year 5 5 2" xfId="40339" xr:uid="{00000000-0005-0000-0000-0000F5460000}"/>
    <cellStyle name="Actual year 5 6" xfId="32875" xr:uid="{00000000-0005-0000-0000-0000F6460000}"/>
    <cellStyle name="Actual year 6" xfId="13703" xr:uid="{00000000-0005-0000-0000-0000F7460000}"/>
    <cellStyle name="Actual year 6 2" xfId="14506" xr:uid="{00000000-0005-0000-0000-0000F8460000}"/>
    <cellStyle name="Actual year 6 2 2" xfId="16996" xr:uid="{00000000-0005-0000-0000-0000F9460000}"/>
    <cellStyle name="Actual year 6 2 2 2" xfId="36350" xr:uid="{00000000-0005-0000-0000-0000FA460000}"/>
    <cellStyle name="Actual year 6 2 3" xfId="19427" xr:uid="{00000000-0005-0000-0000-0000FB460000}"/>
    <cellStyle name="Actual year 6 2 3 2" xfId="38780" xr:uid="{00000000-0005-0000-0000-0000FC460000}"/>
    <cellStyle name="Actual year 6 2 4" xfId="21926" xr:uid="{00000000-0005-0000-0000-0000FD460000}"/>
    <cellStyle name="Actual year 6 2 4 2" xfId="41268" xr:uid="{00000000-0005-0000-0000-0000FE460000}"/>
    <cellStyle name="Actual year 6 2 5" xfId="33867" xr:uid="{00000000-0005-0000-0000-0000FF460000}"/>
    <cellStyle name="Actual year 6 3" xfId="15070" xr:uid="{00000000-0005-0000-0000-000000470000}"/>
    <cellStyle name="Actual year 6 3 2" xfId="17546" xr:uid="{00000000-0005-0000-0000-000001470000}"/>
    <cellStyle name="Actual year 6 3 2 2" xfId="36900" xr:uid="{00000000-0005-0000-0000-000002470000}"/>
    <cellStyle name="Actual year 6 3 3" xfId="19977" xr:uid="{00000000-0005-0000-0000-000003470000}"/>
    <cellStyle name="Actual year 6 3 3 2" xfId="39330" xr:uid="{00000000-0005-0000-0000-000004470000}"/>
    <cellStyle name="Actual year 6 3 4" xfId="22490" xr:uid="{00000000-0005-0000-0000-000005470000}"/>
    <cellStyle name="Actual year 6 3 4 2" xfId="41832" xr:uid="{00000000-0005-0000-0000-000006470000}"/>
    <cellStyle name="Actual year 6 3 5" xfId="34431" xr:uid="{00000000-0005-0000-0000-000007470000}"/>
    <cellStyle name="Actual year 6 4" xfId="15553" xr:uid="{00000000-0005-0000-0000-000008470000}"/>
    <cellStyle name="Actual year 6 4 2" xfId="18029" xr:uid="{00000000-0005-0000-0000-000009470000}"/>
    <cellStyle name="Actual year 6 4 2 2" xfId="37383" xr:uid="{00000000-0005-0000-0000-00000A470000}"/>
    <cellStyle name="Actual year 6 4 3" xfId="20460" xr:uid="{00000000-0005-0000-0000-00000B470000}"/>
    <cellStyle name="Actual year 6 4 3 2" xfId="39813" xr:uid="{00000000-0005-0000-0000-00000C470000}"/>
    <cellStyle name="Actual year 6 4 4" xfId="22973" xr:uid="{00000000-0005-0000-0000-00000D470000}"/>
    <cellStyle name="Actual year 6 4 4 2" xfId="42315" xr:uid="{00000000-0005-0000-0000-00000E470000}"/>
    <cellStyle name="Actual year 6 4 5" xfId="34914" xr:uid="{00000000-0005-0000-0000-00000F470000}"/>
    <cellStyle name="Actual year 6 5" xfId="16222" xr:uid="{00000000-0005-0000-0000-000010470000}"/>
    <cellStyle name="Actual year 6 5 2" xfId="35576" xr:uid="{00000000-0005-0000-0000-000011470000}"/>
    <cellStyle name="Actual year 6 6" xfId="18653" xr:uid="{00000000-0005-0000-0000-000012470000}"/>
    <cellStyle name="Actual year 6 6 2" xfId="38006" xr:uid="{00000000-0005-0000-0000-000013470000}"/>
    <cellStyle name="Actual year 6 7" xfId="21127" xr:uid="{00000000-0005-0000-0000-000014470000}"/>
    <cellStyle name="Actual year 6 7 2" xfId="40469" xr:uid="{00000000-0005-0000-0000-000015470000}"/>
    <cellStyle name="Actual year 6 8" xfId="33068" xr:uid="{00000000-0005-0000-0000-000016470000}"/>
    <cellStyle name="Actual year 7" xfId="14210" xr:uid="{00000000-0005-0000-0000-000017470000}"/>
    <cellStyle name="Actual year 7 2" xfId="16713" xr:uid="{00000000-0005-0000-0000-000018470000}"/>
    <cellStyle name="Actual year 7 2 2" xfId="36067" xr:uid="{00000000-0005-0000-0000-000019470000}"/>
    <cellStyle name="Actual year 7 3" xfId="19144" xr:uid="{00000000-0005-0000-0000-00001A470000}"/>
    <cellStyle name="Actual year 7 3 2" xfId="38497" xr:uid="{00000000-0005-0000-0000-00001B470000}"/>
    <cellStyle name="Actual year 7 4" xfId="21631" xr:uid="{00000000-0005-0000-0000-00001C470000}"/>
    <cellStyle name="Actual year 7 4 2" xfId="40973" xr:uid="{00000000-0005-0000-0000-00001D470000}"/>
    <cellStyle name="Actual year 7 5" xfId="33572" xr:uid="{00000000-0005-0000-0000-00001E470000}"/>
    <cellStyle name="Actual year 8" xfId="14569" xr:uid="{00000000-0005-0000-0000-00001F470000}"/>
    <cellStyle name="Actual year 8 2" xfId="17056" xr:uid="{00000000-0005-0000-0000-000020470000}"/>
    <cellStyle name="Actual year 8 2 2" xfId="36410" xr:uid="{00000000-0005-0000-0000-000021470000}"/>
    <cellStyle name="Actual year 8 3" xfId="19487" xr:uid="{00000000-0005-0000-0000-000022470000}"/>
    <cellStyle name="Actual year 8 3 2" xfId="38840" xr:uid="{00000000-0005-0000-0000-000023470000}"/>
    <cellStyle name="Actual year 8 4" xfId="21989" xr:uid="{00000000-0005-0000-0000-000024470000}"/>
    <cellStyle name="Actual year 8 4 2" xfId="41331" xr:uid="{00000000-0005-0000-0000-000025470000}"/>
    <cellStyle name="Actual year 8 5" xfId="33930" xr:uid="{00000000-0005-0000-0000-000026470000}"/>
    <cellStyle name="Actual year 9" xfId="13228" xr:uid="{00000000-0005-0000-0000-000027470000}"/>
    <cellStyle name="Actual year 9 2" xfId="32686" xr:uid="{00000000-0005-0000-0000-000028470000}"/>
    <cellStyle name="actuals" xfId="1414" xr:uid="{00000000-0005-0000-0000-000029470000}"/>
    <cellStyle name="actuals 2" xfId="4546" xr:uid="{00000000-0005-0000-0000-00002A470000}"/>
    <cellStyle name="actuals 2 2" xfId="5209" xr:uid="{00000000-0005-0000-0000-00002B470000}"/>
    <cellStyle name="actuals 2 2 10" xfId="24700" xr:uid="{00000000-0005-0000-0000-00002C470000}"/>
    <cellStyle name="actuals 2 2 2" xfId="6353" xr:uid="{00000000-0005-0000-0000-00002D470000}"/>
    <cellStyle name="actuals 2 2 2 2" xfId="8153" xr:uid="{00000000-0005-0000-0000-00002E470000}"/>
    <cellStyle name="actuals 2 2 2 2 2" xfId="12477" xr:uid="{00000000-0005-0000-0000-00002F470000}"/>
    <cellStyle name="actuals 2 2 2 2 2 2" xfId="14685" xr:uid="{00000000-0005-0000-0000-000030470000}"/>
    <cellStyle name="actuals 2 2 2 2 2 2 2" xfId="34046" xr:uid="{00000000-0005-0000-0000-000031470000}"/>
    <cellStyle name="actuals 2 2 2 2 2 3" xfId="17166" xr:uid="{00000000-0005-0000-0000-000032470000}"/>
    <cellStyle name="actuals 2 2 2 2 2 3 2" xfId="36520" xr:uid="{00000000-0005-0000-0000-000033470000}"/>
    <cellStyle name="actuals 2 2 2 2 2 4" xfId="19597" xr:uid="{00000000-0005-0000-0000-000034470000}"/>
    <cellStyle name="actuals 2 2 2 2 2 4 2" xfId="38950" xr:uid="{00000000-0005-0000-0000-000035470000}"/>
    <cellStyle name="actuals 2 2 2 2 2 5" xfId="22105" xr:uid="{00000000-0005-0000-0000-000036470000}"/>
    <cellStyle name="actuals 2 2 2 2 2 5 2" xfId="41447" xr:uid="{00000000-0005-0000-0000-000037470000}"/>
    <cellStyle name="actuals 2 2 2 2 2 6" xfId="31947" xr:uid="{00000000-0005-0000-0000-000038470000}"/>
    <cellStyle name="actuals 2 2 2 2 3" xfId="13890" xr:uid="{00000000-0005-0000-0000-000039470000}"/>
    <cellStyle name="actuals 2 2 2 2 3 2" xfId="33254" xr:uid="{00000000-0005-0000-0000-00003A470000}"/>
    <cellStyle name="actuals 2 2 2 2 4" xfId="16399" xr:uid="{00000000-0005-0000-0000-00003B470000}"/>
    <cellStyle name="actuals 2 2 2 2 4 2" xfId="35753" xr:uid="{00000000-0005-0000-0000-00003C470000}"/>
    <cellStyle name="actuals 2 2 2 2 5" xfId="18830" xr:uid="{00000000-0005-0000-0000-00003D470000}"/>
    <cellStyle name="actuals 2 2 2 2 5 2" xfId="38183" xr:uid="{00000000-0005-0000-0000-00003E470000}"/>
    <cellStyle name="actuals 2 2 2 2 6" xfId="21313" xr:uid="{00000000-0005-0000-0000-00003F470000}"/>
    <cellStyle name="actuals 2 2 2 2 6 2" xfId="40655" xr:uid="{00000000-0005-0000-0000-000040470000}"/>
    <cellStyle name="actuals 2 2 2 2 7" xfId="27636" xr:uid="{00000000-0005-0000-0000-000041470000}"/>
    <cellStyle name="actuals 2 2 2 3" xfId="10769" xr:uid="{00000000-0005-0000-0000-000042470000}"/>
    <cellStyle name="actuals 2 2 2 3 2" xfId="14889" xr:uid="{00000000-0005-0000-0000-000043470000}"/>
    <cellStyle name="actuals 2 2 2 3 2 2" xfId="17367" xr:uid="{00000000-0005-0000-0000-000044470000}"/>
    <cellStyle name="actuals 2 2 2 3 2 2 2" xfId="36721" xr:uid="{00000000-0005-0000-0000-000045470000}"/>
    <cellStyle name="actuals 2 2 2 3 2 3" xfId="19798" xr:uid="{00000000-0005-0000-0000-000046470000}"/>
    <cellStyle name="actuals 2 2 2 3 2 3 2" xfId="39151" xr:uid="{00000000-0005-0000-0000-000047470000}"/>
    <cellStyle name="actuals 2 2 2 3 2 4" xfId="22309" xr:uid="{00000000-0005-0000-0000-000048470000}"/>
    <cellStyle name="actuals 2 2 2 3 2 4 2" xfId="41651" xr:uid="{00000000-0005-0000-0000-000049470000}"/>
    <cellStyle name="actuals 2 2 2 3 2 5" xfId="34250" xr:uid="{00000000-0005-0000-0000-00004A470000}"/>
    <cellStyle name="actuals 2 2 2 3 3" xfId="15436" xr:uid="{00000000-0005-0000-0000-00004B470000}"/>
    <cellStyle name="actuals 2 2 2 3 3 2" xfId="17912" xr:uid="{00000000-0005-0000-0000-00004C470000}"/>
    <cellStyle name="actuals 2 2 2 3 3 2 2" xfId="37266" xr:uid="{00000000-0005-0000-0000-00004D470000}"/>
    <cellStyle name="actuals 2 2 2 3 3 3" xfId="20343" xr:uid="{00000000-0005-0000-0000-00004E470000}"/>
    <cellStyle name="actuals 2 2 2 3 3 3 2" xfId="39696" xr:uid="{00000000-0005-0000-0000-00004F470000}"/>
    <cellStyle name="actuals 2 2 2 3 3 4" xfId="22856" xr:uid="{00000000-0005-0000-0000-000050470000}"/>
    <cellStyle name="actuals 2 2 2 3 3 4 2" xfId="42198" xr:uid="{00000000-0005-0000-0000-000051470000}"/>
    <cellStyle name="actuals 2 2 2 3 3 5" xfId="34797" xr:uid="{00000000-0005-0000-0000-000052470000}"/>
    <cellStyle name="actuals 2 2 2 3 4" xfId="15895" xr:uid="{00000000-0005-0000-0000-000053470000}"/>
    <cellStyle name="actuals 2 2 2 3 4 2" xfId="18371" xr:uid="{00000000-0005-0000-0000-000054470000}"/>
    <cellStyle name="actuals 2 2 2 3 4 2 2" xfId="37725" xr:uid="{00000000-0005-0000-0000-000055470000}"/>
    <cellStyle name="actuals 2 2 2 3 4 3" xfId="20802" xr:uid="{00000000-0005-0000-0000-000056470000}"/>
    <cellStyle name="actuals 2 2 2 3 4 3 2" xfId="40155" xr:uid="{00000000-0005-0000-0000-000057470000}"/>
    <cellStyle name="actuals 2 2 2 3 4 4" xfId="23315" xr:uid="{00000000-0005-0000-0000-000058470000}"/>
    <cellStyle name="actuals 2 2 2 3 4 4 2" xfId="42657" xr:uid="{00000000-0005-0000-0000-000059470000}"/>
    <cellStyle name="actuals 2 2 2 3 4 5" xfId="35256" xr:uid="{00000000-0005-0000-0000-00005A470000}"/>
    <cellStyle name="actuals 2 2 2 3 5" xfId="14108" xr:uid="{00000000-0005-0000-0000-00005B470000}"/>
    <cellStyle name="actuals 2 2 2 3 5 2" xfId="33472" xr:uid="{00000000-0005-0000-0000-00005C470000}"/>
    <cellStyle name="actuals 2 2 2 3 6" xfId="16614" xr:uid="{00000000-0005-0000-0000-00005D470000}"/>
    <cellStyle name="actuals 2 2 2 3 6 2" xfId="35968" xr:uid="{00000000-0005-0000-0000-00005E470000}"/>
    <cellStyle name="actuals 2 2 2 3 7" xfId="19045" xr:uid="{00000000-0005-0000-0000-00005F470000}"/>
    <cellStyle name="actuals 2 2 2 3 7 2" xfId="38398" xr:uid="{00000000-0005-0000-0000-000060470000}"/>
    <cellStyle name="actuals 2 2 2 3 8" xfId="21531" xr:uid="{00000000-0005-0000-0000-000061470000}"/>
    <cellStyle name="actuals 2 2 2 3 8 2" xfId="40873" xr:uid="{00000000-0005-0000-0000-000062470000}"/>
    <cellStyle name="actuals 2 2 2 3 9" xfId="30239" xr:uid="{00000000-0005-0000-0000-000063470000}"/>
    <cellStyle name="actuals 2 2 2 4" xfId="14400" xr:uid="{00000000-0005-0000-0000-000064470000}"/>
    <cellStyle name="actuals 2 2 2 4 2" xfId="16893" xr:uid="{00000000-0005-0000-0000-000065470000}"/>
    <cellStyle name="actuals 2 2 2 4 2 2" xfId="36247" xr:uid="{00000000-0005-0000-0000-000066470000}"/>
    <cellStyle name="actuals 2 2 2 4 3" xfId="19324" xr:uid="{00000000-0005-0000-0000-000067470000}"/>
    <cellStyle name="actuals 2 2 2 4 3 2" xfId="38677" xr:uid="{00000000-0005-0000-0000-000068470000}"/>
    <cellStyle name="actuals 2 2 2 4 4" xfId="21820" xr:uid="{00000000-0005-0000-0000-000069470000}"/>
    <cellStyle name="actuals 2 2 2 4 4 2" xfId="41162" xr:uid="{00000000-0005-0000-0000-00006A470000}"/>
    <cellStyle name="actuals 2 2 2 4 5" xfId="33761" xr:uid="{00000000-0005-0000-0000-00006B470000}"/>
    <cellStyle name="actuals 2 2 2 5" xfId="15030" xr:uid="{00000000-0005-0000-0000-00006C470000}"/>
    <cellStyle name="actuals 2 2 2 5 2" xfId="17506" xr:uid="{00000000-0005-0000-0000-00006D470000}"/>
    <cellStyle name="actuals 2 2 2 5 2 2" xfId="36860" xr:uid="{00000000-0005-0000-0000-00006E470000}"/>
    <cellStyle name="actuals 2 2 2 5 3" xfId="19937" xr:uid="{00000000-0005-0000-0000-00006F470000}"/>
    <cellStyle name="actuals 2 2 2 5 3 2" xfId="39290" xr:uid="{00000000-0005-0000-0000-000070470000}"/>
    <cellStyle name="actuals 2 2 2 5 4" xfId="22450" xr:uid="{00000000-0005-0000-0000-000071470000}"/>
    <cellStyle name="actuals 2 2 2 5 4 2" xfId="41792" xr:uid="{00000000-0005-0000-0000-000072470000}"/>
    <cellStyle name="actuals 2 2 2 5 5" xfId="34391" xr:uid="{00000000-0005-0000-0000-000073470000}"/>
    <cellStyle name="actuals 2 2 2 6" xfId="14222" xr:uid="{00000000-0005-0000-0000-000074470000}"/>
    <cellStyle name="actuals 2 2 2 6 2" xfId="16725" xr:uid="{00000000-0005-0000-0000-000075470000}"/>
    <cellStyle name="actuals 2 2 2 6 2 2" xfId="36079" xr:uid="{00000000-0005-0000-0000-000076470000}"/>
    <cellStyle name="actuals 2 2 2 6 3" xfId="19156" xr:uid="{00000000-0005-0000-0000-000077470000}"/>
    <cellStyle name="actuals 2 2 2 6 3 2" xfId="38509" xr:uid="{00000000-0005-0000-0000-000078470000}"/>
    <cellStyle name="actuals 2 2 2 6 4" xfId="21643" xr:uid="{00000000-0005-0000-0000-000079470000}"/>
    <cellStyle name="actuals 2 2 2 6 4 2" xfId="40985" xr:uid="{00000000-0005-0000-0000-00007A470000}"/>
    <cellStyle name="actuals 2 2 2 6 5" xfId="33584" xr:uid="{00000000-0005-0000-0000-00007B470000}"/>
    <cellStyle name="actuals 2 2 2 7" xfId="16120" xr:uid="{00000000-0005-0000-0000-00007C470000}"/>
    <cellStyle name="actuals 2 2 2 7 2" xfId="35474" xr:uid="{00000000-0005-0000-0000-00007D470000}"/>
    <cellStyle name="actuals 2 2 2 8" xfId="18543" xr:uid="{00000000-0005-0000-0000-00007E470000}"/>
    <cellStyle name="actuals 2 2 2 8 2" xfId="37896" xr:uid="{00000000-0005-0000-0000-00007F470000}"/>
    <cellStyle name="actuals 2 2 2 9" xfId="25838" xr:uid="{00000000-0005-0000-0000-000080470000}"/>
    <cellStyle name="actuals 2 2 3" xfId="6684" xr:uid="{00000000-0005-0000-0000-000081470000}"/>
    <cellStyle name="actuals 2 2 3 2" xfId="8154" xr:uid="{00000000-0005-0000-0000-000082470000}"/>
    <cellStyle name="actuals 2 2 3 2 2" xfId="12478" xr:uid="{00000000-0005-0000-0000-000083470000}"/>
    <cellStyle name="actuals 2 2 3 2 2 2" xfId="14752" xr:uid="{00000000-0005-0000-0000-000084470000}"/>
    <cellStyle name="actuals 2 2 3 2 2 2 2" xfId="34113" xr:uid="{00000000-0005-0000-0000-000085470000}"/>
    <cellStyle name="actuals 2 2 3 2 2 3" xfId="17230" xr:uid="{00000000-0005-0000-0000-000086470000}"/>
    <cellStyle name="actuals 2 2 3 2 2 3 2" xfId="36584" xr:uid="{00000000-0005-0000-0000-000087470000}"/>
    <cellStyle name="actuals 2 2 3 2 2 4" xfId="19661" xr:uid="{00000000-0005-0000-0000-000088470000}"/>
    <cellStyle name="actuals 2 2 3 2 2 4 2" xfId="39014" xr:uid="{00000000-0005-0000-0000-000089470000}"/>
    <cellStyle name="actuals 2 2 3 2 2 5" xfId="22172" xr:uid="{00000000-0005-0000-0000-00008A470000}"/>
    <cellStyle name="actuals 2 2 3 2 2 5 2" xfId="41514" xr:uid="{00000000-0005-0000-0000-00008B470000}"/>
    <cellStyle name="actuals 2 2 3 2 2 6" xfId="31948" xr:uid="{00000000-0005-0000-0000-00008C470000}"/>
    <cellStyle name="actuals 2 2 3 2 3" xfId="15300" xr:uid="{00000000-0005-0000-0000-00008D470000}"/>
    <cellStyle name="actuals 2 2 3 2 3 2" xfId="17776" xr:uid="{00000000-0005-0000-0000-00008E470000}"/>
    <cellStyle name="actuals 2 2 3 2 3 2 2" xfId="37130" xr:uid="{00000000-0005-0000-0000-00008F470000}"/>
    <cellStyle name="actuals 2 2 3 2 3 3" xfId="20207" xr:uid="{00000000-0005-0000-0000-000090470000}"/>
    <cellStyle name="actuals 2 2 3 2 3 3 2" xfId="39560" xr:uid="{00000000-0005-0000-0000-000091470000}"/>
    <cellStyle name="actuals 2 2 3 2 3 4" xfId="22720" xr:uid="{00000000-0005-0000-0000-000092470000}"/>
    <cellStyle name="actuals 2 2 3 2 3 4 2" xfId="42062" xr:uid="{00000000-0005-0000-0000-000093470000}"/>
    <cellStyle name="actuals 2 2 3 2 3 5" xfId="34661" xr:uid="{00000000-0005-0000-0000-000094470000}"/>
    <cellStyle name="actuals 2 2 3 2 4" xfId="15759" xr:uid="{00000000-0005-0000-0000-000095470000}"/>
    <cellStyle name="actuals 2 2 3 2 4 2" xfId="18235" xr:uid="{00000000-0005-0000-0000-000096470000}"/>
    <cellStyle name="actuals 2 2 3 2 4 2 2" xfId="37589" xr:uid="{00000000-0005-0000-0000-000097470000}"/>
    <cellStyle name="actuals 2 2 3 2 4 3" xfId="20666" xr:uid="{00000000-0005-0000-0000-000098470000}"/>
    <cellStyle name="actuals 2 2 3 2 4 3 2" xfId="40019" xr:uid="{00000000-0005-0000-0000-000099470000}"/>
    <cellStyle name="actuals 2 2 3 2 4 4" xfId="23179" xr:uid="{00000000-0005-0000-0000-00009A470000}"/>
    <cellStyle name="actuals 2 2 3 2 4 4 2" xfId="42521" xr:uid="{00000000-0005-0000-0000-00009B470000}"/>
    <cellStyle name="actuals 2 2 3 2 4 5" xfId="35120" xr:uid="{00000000-0005-0000-0000-00009C470000}"/>
    <cellStyle name="actuals 2 2 3 2 5" xfId="13957" xr:uid="{00000000-0005-0000-0000-00009D470000}"/>
    <cellStyle name="actuals 2 2 3 2 5 2" xfId="33321" xr:uid="{00000000-0005-0000-0000-00009E470000}"/>
    <cellStyle name="actuals 2 2 3 2 6" xfId="16463" xr:uid="{00000000-0005-0000-0000-00009F470000}"/>
    <cellStyle name="actuals 2 2 3 2 6 2" xfId="35817" xr:uid="{00000000-0005-0000-0000-0000A0470000}"/>
    <cellStyle name="actuals 2 2 3 2 7" xfId="18894" xr:uid="{00000000-0005-0000-0000-0000A1470000}"/>
    <cellStyle name="actuals 2 2 3 2 7 2" xfId="38247" xr:uid="{00000000-0005-0000-0000-0000A2470000}"/>
    <cellStyle name="actuals 2 2 3 2 8" xfId="21380" xr:uid="{00000000-0005-0000-0000-0000A3470000}"/>
    <cellStyle name="actuals 2 2 3 2 8 2" xfId="40722" xr:uid="{00000000-0005-0000-0000-0000A4470000}"/>
    <cellStyle name="actuals 2 2 3 3" xfId="14467" xr:uid="{00000000-0005-0000-0000-0000A5470000}"/>
    <cellStyle name="actuals 2 2 3 3 2" xfId="16957" xr:uid="{00000000-0005-0000-0000-0000A6470000}"/>
    <cellStyle name="actuals 2 2 3 3 2 2" xfId="36311" xr:uid="{00000000-0005-0000-0000-0000A7470000}"/>
    <cellStyle name="actuals 2 2 3 3 3" xfId="19388" xr:uid="{00000000-0005-0000-0000-0000A8470000}"/>
    <cellStyle name="actuals 2 2 3 3 3 2" xfId="38741" xr:uid="{00000000-0005-0000-0000-0000A9470000}"/>
    <cellStyle name="actuals 2 2 3 3 4" xfId="21887" xr:uid="{00000000-0005-0000-0000-0000AA470000}"/>
    <cellStyle name="actuals 2 2 3 3 4 2" xfId="41229" xr:uid="{00000000-0005-0000-0000-0000AB470000}"/>
    <cellStyle name="actuals 2 2 3 3 5" xfId="33828" xr:uid="{00000000-0005-0000-0000-0000AC470000}"/>
    <cellStyle name="actuals 2 2 3 4" xfId="13659" xr:uid="{00000000-0005-0000-0000-0000AD470000}"/>
    <cellStyle name="actuals 2 2 3 4 2" xfId="33025" xr:uid="{00000000-0005-0000-0000-0000AE470000}"/>
    <cellStyle name="actuals 2 2 3 5" xfId="16179" xr:uid="{00000000-0005-0000-0000-0000AF470000}"/>
    <cellStyle name="actuals 2 2 3 5 2" xfId="35533" xr:uid="{00000000-0005-0000-0000-0000B0470000}"/>
    <cellStyle name="actuals 2 2 3 6" xfId="18610" xr:uid="{00000000-0005-0000-0000-0000B1470000}"/>
    <cellStyle name="actuals 2 2 3 6 2" xfId="37963" xr:uid="{00000000-0005-0000-0000-0000B2470000}"/>
    <cellStyle name="actuals 2 2 3 7" xfId="21084" xr:uid="{00000000-0005-0000-0000-0000B3470000}"/>
    <cellStyle name="actuals 2 2 3 7 2" xfId="40426" xr:uid="{00000000-0005-0000-0000-0000B4470000}"/>
    <cellStyle name="actuals 2 2 3 8" xfId="26169" xr:uid="{00000000-0005-0000-0000-0000B5470000}"/>
    <cellStyle name="actuals 2 2 4" xfId="8152" xr:uid="{00000000-0005-0000-0000-0000B6470000}"/>
    <cellStyle name="actuals 2 2 4 2" xfId="12476" xr:uid="{00000000-0005-0000-0000-0000B7470000}"/>
    <cellStyle name="actuals 2 2 4 2 2" xfId="14576" xr:uid="{00000000-0005-0000-0000-0000B8470000}"/>
    <cellStyle name="actuals 2 2 4 2 2 2" xfId="33937" xr:uid="{00000000-0005-0000-0000-0000B9470000}"/>
    <cellStyle name="actuals 2 2 4 2 3" xfId="17063" xr:uid="{00000000-0005-0000-0000-0000BA470000}"/>
    <cellStyle name="actuals 2 2 4 2 3 2" xfId="36417" xr:uid="{00000000-0005-0000-0000-0000BB470000}"/>
    <cellStyle name="actuals 2 2 4 2 4" xfId="19494" xr:uid="{00000000-0005-0000-0000-0000BC470000}"/>
    <cellStyle name="actuals 2 2 4 2 4 2" xfId="38847" xr:uid="{00000000-0005-0000-0000-0000BD470000}"/>
    <cellStyle name="actuals 2 2 4 2 5" xfId="21996" xr:uid="{00000000-0005-0000-0000-0000BE470000}"/>
    <cellStyle name="actuals 2 2 4 2 5 2" xfId="41338" xr:uid="{00000000-0005-0000-0000-0000BF470000}"/>
    <cellStyle name="actuals 2 2 4 2 6" xfId="31946" xr:uid="{00000000-0005-0000-0000-0000C0470000}"/>
    <cellStyle name="actuals 2 2 4 3" xfId="15136" xr:uid="{00000000-0005-0000-0000-0000C1470000}"/>
    <cellStyle name="actuals 2 2 4 3 2" xfId="17612" xr:uid="{00000000-0005-0000-0000-0000C2470000}"/>
    <cellStyle name="actuals 2 2 4 3 2 2" xfId="36966" xr:uid="{00000000-0005-0000-0000-0000C3470000}"/>
    <cellStyle name="actuals 2 2 4 3 3" xfId="20043" xr:uid="{00000000-0005-0000-0000-0000C4470000}"/>
    <cellStyle name="actuals 2 2 4 3 3 2" xfId="39396" xr:uid="{00000000-0005-0000-0000-0000C5470000}"/>
    <cellStyle name="actuals 2 2 4 3 4" xfId="22556" xr:uid="{00000000-0005-0000-0000-0000C6470000}"/>
    <cellStyle name="actuals 2 2 4 3 4 2" xfId="41898" xr:uid="{00000000-0005-0000-0000-0000C7470000}"/>
    <cellStyle name="actuals 2 2 4 3 5" xfId="34497" xr:uid="{00000000-0005-0000-0000-0000C8470000}"/>
    <cellStyle name="actuals 2 2 4 4" xfId="15617" xr:uid="{00000000-0005-0000-0000-0000C9470000}"/>
    <cellStyle name="actuals 2 2 4 4 2" xfId="18093" xr:uid="{00000000-0005-0000-0000-0000CA470000}"/>
    <cellStyle name="actuals 2 2 4 4 2 2" xfId="37447" xr:uid="{00000000-0005-0000-0000-0000CB470000}"/>
    <cellStyle name="actuals 2 2 4 4 3" xfId="20524" xr:uid="{00000000-0005-0000-0000-0000CC470000}"/>
    <cellStyle name="actuals 2 2 4 4 3 2" xfId="39877" xr:uid="{00000000-0005-0000-0000-0000CD470000}"/>
    <cellStyle name="actuals 2 2 4 4 4" xfId="23037" xr:uid="{00000000-0005-0000-0000-0000CE470000}"/>
    <cellStyle name="actuals 2 2 4 4 4 2" xfId="42379" xr:uid="{00000000-0005-0000-0000-0000CF470000}"/>
    <cellStyle name="actuals 2 2 4 4 5" xfId="34978" xr:uid="{00000000-0005-0000-0000-0000D0470000}"/>
    <cellStyle name="actuals 2 2 4 5" xfId="13777" xr:uid="{00000000-0005-0000-0000-0000D1470000}"/>
    <cellStyle name="actuals 2 2 4 5 2" xfId="33141" xr:uid="{00000000-0005-0000-0000-0000D2470000}"/>
    <cellStyle name="actuals 2 2 4 6" xfId="16292" xr:uid="{00000000-0005-0000-0000-0000D3470000}"/>
    <cellStyle name="actuals 2 2 4 6 2" xfId="35646" xr:uid="{00000000-0005-0000-0000-0000D4470000}"/>
    <cellStyle name="actuals 2 2 4 7" xfId="18723" xr:uid="{00000000-0005-0000-0000-0000D5470000}"/>
    <cellStyle name="actuals 2 2 4 7 2" xfId="38076" xr:uid="{00000000-0005-0000-0000-0000D6470000}"/>
    <cellStyle name="actuals 2 2 4 8" xfId="21200" xr:uid="{00000000-0005-0000-0000-0000D7470000}"/>
    <cellStyle name="actuals 2 2 4 8 2" xfId="40542" xr:uid="{00000000-0005-0000-0000-0000D8470000}"/>
    <cellStyle name="actuals 2 2 4 9" xfId="27635" xr:uid="{00000000-0005-0000-0000-0000D9470000}"/>
    <cellStyle name="actuals 2 2 5" xfId="14295" xr:uid="{00000000-0005-0000-0000-0000DA470000}"/>
    <cellStyle name="actuals 2 2 5 2" xfId="16794" xr:uid="{00000000-0005-0000-0000-0000DB470000}"/>
    <cellStyle name="actuals 2 2 5 2 2" xfId="36148" xr:uid="{00000000-0005-0000-0000-0000DC470000}"/>
    <cellStyle name="actuals 2 2 5 3" xfId="19225" xr:uid="{00000000-0005-0000-0000-0000DD470000}"/>
    <cellStyle name="actuals 2 2 5 3 2" xfId="38578" xr:uid="{00000000-0005-0000-0000-0000DE470000}"/>
    <cellStyle name="actuals 2 2 5 4" xfId="21715" xr:uid="{00000000-0005-0000-0000-0000DF470000}"/>
    <cellStyle name="actuals 2 2 5 4 2" xfId="41057" xr:uid="{00000000-0005-0000-0000-0000E0470000}"/>
    <cellStyle name="actuals 2 2 5 5" xfId="33656" xr:uid="{00000000-0005-0000-0000-0000E1470000}"/>
    <cellStyle name="actuals 2 2 6" xfId="13464" xr:uid="{00000000-0005-0000-0000-0000E2470000}"/>
    <cellStyle name="actuals 2 2 6 2" xfId="32843" xr:uid="{00000000-0005-0000-0000-0000E3470000}"/>
    <cellStyle name="actuals 2 2 7" xfId="16034" xr:uid="{00000000-0005-0000-0000-0000E4470000}"/>
    <cellStyle name="actuals 2 2 7 2" xfId="35388" xr:uid="{00000000-0005-0000-0000-0000E5470000}"/>
    <cellStyle name="actuals 2 2 8" xfId="13273" xr:uid="{00000000-0005-0000-0000-0000E6470000}"/>
    <cellStyle name="actuals 2 2 8 2" xfId="32721" xr:uid="{00000000-0005-0000-0000-0000E7470000}"/>
    <cellStyle name="actuals 2 2 9" xfId="20964" xr:uid="{00000000-0005-0000-0000-0000E8470000}"/>
    <cellStyle name="actuals 2 2 9 2" xfId="40306" xr:uid="{00000000-0005-0000-0000-0000E9470000}"/>
    <cellStyle name="actuals 2 3" xfId="8151" xr:uid="{00000000-0005-0000-0000-0000EA470000}"/>
    <cellStyle name="actuals 2 3 2" xfId="12475" xr:uid="{00000000-0005-0000-0000-0000EB470000}"/>
    <cellStyle name="actuals 2 3 2 2" xfId="13865" xr:uid="{00000000-0005-0000-0000-0000EC470000}"/>
    <cellStyle name="actuals 2 3 2 2 2" xfId="14660" xr:uid="{00000000-0005-0000-0000-0000ED470000}"/>
    <cellStyle name="actuals 2 3 2 2 2 2" xfId="17141" xr:uid="{00000000-0005-0000-0000-0000EE470000}"/>
    <cellStyle name="actuals 2 3 2 2 2 2 2" xfId="36495" xr:uid="{00000000-0005-0000-0000-0000EF470000}"/>
    <cellStyle name="actuals 2 3 2 2 2 3" xfId="19572" xr:uid="{00000000-0005-0000-0000-0000F0470000}"/>
    <cellStyle name="actuals 2 3 2 2 2 3 2" xfId="38925" xr:uid="{00000000-0005-0000-0000-0000F1470000}"/>
    <cellStyle name="actuals 2 3 2 2 2 4" xfId="22080" xr:uid="{00000000-0005-0000-0000-0000F2470000}"/>
    <cellStyle name="actuals 2 3 2 2 2 4 2" xfId="41422" xr:uid="{00000000-0005-0000-0000-0000F3470000}"/>
    <cellStyle name="actuals 2 3 2 2 2 5" xfId="34021" xr:uid="{00000000-0005-0000-0000-0000F4470000}"/>
    <cellStyle name="actuals 2 3 2 2 3" xfId="16374" xr:uid="{00000000-0005-0000-0000-0000F5470000}"/>
    <cellStyle name="actuals 2 3 2 2 3 2" xfId="35728" xr:uid="{00000000-0005-0000-0000-0000F6470000}"/>
    <cellStyle name="actuals 2 3 2 2 4" xfId="18805" xr:uid="{00000000-0005-0000-0000-0000F7470000}"/>
    <cellStyle name="actuals 2 3 2 2 4 2" xfId="38158" xr:uid="{00000000-0005-0000-0000-0000F8470000}"/>
    <cellStyle name="actuals 2 3 2 2 5" xfId="21288" xr:uid="{00000000-0005-0000-0000-0000F9470000}"/>
    <cellStyle name="actuals 2 3 2 2 5 2" xfId="40630" xr:uid="{00000000-0005-0000-0000-0000FA470000}"/>
    <cellStyle name="actuals 2 3 2 2 6" xfId="33229" xr:uid="{00000000-0005-0000-0000-0000FB470000}"/>
    <cellStyle name="actuals 2 3 2 3" xfId="14083" xr:uid="{00000000-0005-0000-0000-0000FC470000}"/>
    <cellStyle name="actuals 2 3 2 3 2" xfId="14870" xr:uid="{00000000-0005-0000-0000-0000FD470000}"/>
    <cellStyle name="actuals 2 3 2 3 2 2" xfId="17348" xr:uid="{00000000-0005-0000-0000-0000FE470000}"/>
    <cellStyle name="actuals 2 3 2 3 2 2 2" xfId="36702" xr:uid="{00000000-0005-0000-0000-0000FF470000}"/>
    <cellStyle name="actuals 2 3 2 3 2 3" xfId="19779" xr:uid="{00000000-0005-0000-0000-000000480000}"/>
    <cellStyle name="actuals 2 3 2 3 2 3 2" xfId="39132" xr:uid="{00000000-0005-0000-0000-000001480000}"/>
    <cellStyle name="actuals 2 3 2 3 2 4" xfId="22290" xr:uid="{00000000-0005-0000-0000-000002480000}"/>
    <cellStyle name="actuals 2 3 2 3 2 4 2" xfId="41632" xr:uid="{00000000-0005-0000-0000-000003480000}"/>
    <cellStyle name="actuals 2 3 2 3 2 5" xfId="34231" xr:uid="{00000000-0005-0000-0000-000004480000}"/>
    <cellStyle name="actuals 2 3 2 3 3" xfId="15417" xr:uid="{00000000-0005-0000-0000-000005480000}"/>
    <cellStyle name="actuals 2 3 2 3 3 2" xfId="17893" xr:uid="{00000000-0005-0000-0000-000006480000}"/>
    <cellStyle name="actuals 2 3 2 3 3 2 2" xfId="37247" xr:uid="{00000000-0005-0000-0000-000007480000}"/>
    <cellStyle name="actuals 2 3 2 3 3 3" xfId="20324" xr:uid="{00000000-0005-0000-0000-000008480000}"/>
    <cellStyle name="actuals 2 3 2 3 3 3 2" xfId="39677" xr:uid="{00000000-0005-0000-0000-000009480000}"/>
    <cellStyle name="actuals 2 3 2 3 3 4" xfId="22837" xr:uid="{00000000-0005-0000-0000-00000A480000}"/>
    <cellStyle name="actuals 2 3 2 3 3 4 2" xfId="42179" xr:uid="{00000000-0005-0000-0000-00000B480000}"/>
    <cellStyle name="actuals 2 3 2 3 3 5" xfId="34778" xr:uid="{00000000-0005-0000-0000-00000C480000}"/>
    <cellStyle name="actuals 2 3 2 3 4" xfId="15876" xr:uid="{00000000-0005-0000-0000-00000D480000}"/>
    <cellStyle name="actuals 2 3 2 3 4 2" xfId="18352" xr:uid="{00000000-0005-0000-0000-00000E480000}"/>
    <cellStyle name="actuals 2 3 2 3 4 2 2" xfId="37706" xr:uid="{00000000-0005-0000-0000-00000F480000}"/>
    <cellStyle name="actuals 2 3 2 3 4 3" xfId="20783" xr:uid="{00000000-0005-0000-0000-000010480000}"/>
    <cellStyle name="actuals 2 3 2 3 4 3 2" xfId="40136" xr:uid="{00000000-0005-0000-0000-000011480000}"/>
    <cellStyle name="actuals 2 3 2 3 4 4" xfId="23296" xr:uid="{00000000-0005-0000-0000-000012480000}"/>
    <cellStyle name="actuals 2 3 2 3 4 4 2" xfId="42638" xr:uid="{00000000-0005-0000-0000-000013480000}"/>
    <cellStyle name="actuals 2 3 2 3 4 5" xfId="35237" xr:uid="{00000000-0005-0000-0000-000014480000}"/>
    <cellStyle name="actuals 2 3 2 3 5" xfId="16589" xr:uid="{00000000-0005-0000-0000-000015480000}"/>
    <cellStyle name="actuals 2 3 2 3 5 2" xfId="35943" xr:uid="{00000000-0005-0000-0000-000016480000}"/>
    <cellStyle name="actuals 2 3 2 3 6" xfId="19020" xr:uid="{00000000-0005-0000-0000-000017480000}"/>
    <cellStyle name="actuals 2 3 2 3 6 2" xfId="38373" xr:uid="{00000000-0005-0000-0000-000018480000}"/>
    <cellStyle name="actuals 2 3 2 3 7" xfId="21506" xr:uid="{00000000-0005-0000-0000-000019480000}"/>
    <cellStyle name="actuals 2 3 2 3 7 2" xfId="40848" xr:uid="{00000000-0005-0000-0000-00001A480000}"/>
    <cellStyle name="actuals 2 3 2 3 8" xfId="33447" xr:uid="{00000000-0005-0000-0000-00001B480000}"/>
    <cellStyle name="actuals 2 3 2 4" xfId="14378" xr:uid="{00000000-0005-0000-0000-00001C480000}"/>
    <cellStyle name="actuals 2 3 2 4 2" xfId="16871" xr:uid="{00000000-0005-0000-0000-00001D480000}"/>
    <cellStyle name="actuals 2 3 2 4 2 2" xfId="36225" xr:uid="{00000000-0005-0000-0000-00001E480000}"/>
    <cellStyle name="actuals 2 3 2 4 3" xfId="19302" xr:uid="{00000000-0005-0000-0000-00001F480000}"/>
    <cellStyle name="actuals 2 3 2 4 3 2" xfId="38655" xr:uid="{00000000-0005-0000-0000-000020480000}"/>
    <cellStyle name="actuals 2 3 2 4 4" xfId="21798" xr:uid="{00000000-0005-0000-0000-000021480000}"/>
    <cellStyle name="actuals 2 3 2 4 4 2" xfId="41140" xr:uid="{00000000-0005-0000-0000-000022480000}"/>
    <cellStyle name="actuals 2 3 2 4 5" xfId="33739" xr:uid="{00000000-0005-0000-0000-000023480000}"/>
    <cellStyle name="actuals 2 3 2 5" xfId="15009" xr:uid="{00000000-0005-0000-0000-000024480000}"/>
    <cellStyle name="actuals 2 3 2 5 2" xfId="17485" xr:uid="{00000000-0005-0000-0000-000025480000}"/>
    <cellStyle name="actuals 2 3 2 5 2 2" xfId="36839" xr:uid="{00000000-0005-0000-0000-000026480000}"/>
    <cellStyle name="actuals 2 3 2 5 3" xfId="19916" xr:uid="{00000000-0005-0000-0000-000027480000}"/>
    <cellStyle name="actuals 2 3 2 5 3 2" xfId="39269" xr:uid="{00000000-0005-0000-0000-000028480000}"/>
    <cellStyle name="actuals 2 3 2 5 4" xfId="22429" xr:uid="{00000000-0005-0000-0000-000029480000}"/>
    <cellStyle name="actuals 2 3 2 5 4 2" xfId="41771" xr:uid="{00000000-0005-0000-0000-00002A480000}"/>
    <cellStyle name="actuals 2 3 2 5 5" xfId="34370" xr:uid="{00000000-0005-0000-0000-00002B480000}"/>
    <cellStyle name="actuals 2 3 2 6" xfId="14226" xr:uid="{00000000-0005-0000-0000-00002C480000}"/>
    <cellStyle name="actuals 2 3 2 6 2" xfId="16729" xr:uid="{00000000-0005-0000-0000-00002D480000}"/>
    <cellStyle name="actuals 2 3 2 6 2 2" xfId="36083" xr:uid="{00000000-0005-0000-0000-00002E480000}"/>
    <cellStyle name="actuals 2 3 2 6 3" xfId="19160" xr:uid="{00000000-0005-0000-0000-00002F480000}"/>
    <cellStyle name="actuals 2 3 2 6 3 2" xfId="38513" xr:uid="{00000000-0005-0000-0000-000030480000}"/>
    <cellStyle name="actuals 2 3 2 6 4" xfId="21647" xr:uid="{00000000-0005-0000-0000-000031480000}"/>
    <cellStyle name="actuals 2 3 2 6 4 2" xfId="40989" xr:uid="{00000000-0005-0000-0000-000032480000}"/>
    <cellStyle name="actuals 2 3 2 6 5" xfId="33588" xr:uid="{00000000-0005-0000-0000-000033480000}"/>
    <cellStyle name="actuals 2 3 2 7" xfId="16108" xr:uid="{00000000-0005-0000-0000-000034480000}"/>
    <cellStyle name="actuals 2 3 2 7 2" xfId="35462" xr:uid="{00000000-0005-0000-0000-000035480000}"/>
    <cellStyle name="actuals 2 3 2 8" xfId="18521" xr:uid="{00000000-0005-0000-0000-000036480000}"/>
    <cellStyle name="actuals 2 3 2 8 2" xfId="37874" xr:uid="{00000000-0005-0000-0000-000037480000}"/>
    <cellStyle name="actuals 2 3 2 9" xfId="31945" xr:uid="{00000000-0005-0000-0000-000038480000}"/>
    <cellStyle name="actuals 2 3 3" xfId="13635" xr:uid="{00000000-0005-0000-0000-000039480000}"/>
    <cellStyle name="actuals 2 3 3 2" xfId="13935" xr:uid="{00000000-0005-0000-0000-00003A480000}"/>
    <cellStyle name="actuals 2 3 3 2 2" xfId="14730" xr:uid="{00000000-0005-0000-0000-00003B480000}"/>
    <cellStyle name="actuals 2 3 3 2 2 2" xfId="17208" xr:uid="{00000000-0005-0000-0000-00003C480000}"/>
    <cellStyle name="actuals 2 3 3 2 2 2 2" xfId="36562" xr:uid="{00000000-0005-0000-0000-00003D480000}"/>
    <cellStyle name="actuals 2 3 3 2 2 3" xfId="19639" xr:uid="{00000000-0005-0000-0000-00003E480000}"/>
    <cellStyle name="actuals 2 3 3 2 2 3 2" xfId="38992" xr:uid="{00000000-0005-0000-0000-00003F480000}"/>
    <cellStyle name="actuals 2 3 3 2 2 4" xfId="22150" xr:uid="{00000000-0005-0000-0000-000040480000}"/>
    <cellStyle name="actuals 2 3 3 2 2 4 2" xfId="41492" xr:uid="{00000000-0005-0000-0000-000041480000}"/>
    <cellStyle name="actuals 2 3 3 2 2 5" xfId="34091" xr:uid="{00000000-0005-0000-0000-000042480000}"/>
    <cellStyle name="actuals 2 3 3 2 3" xfId="15278" xr:uid="{00000000-0005-0000-0000-000043480000}"/>
    <cellStyle name="actuals 2 3 3 2 3 2" xfId="17754" xr:uid="{00000000-0005-0000-0000-000044480000}"/>
    <cellStyle name="actuals 2 3 3 2 3 2 2" xfId="37108" xr:uid="{00000000-0005-0000-0000-000045480000}"/>
    <cellStyle name="actuals 2 3 3 2 3 3" xfId="20185" xr:uid="{00000000-0005-0000-0000-000046480000}"/>
    <cellStyle name="actuals 2 3 3 2 3 3 2" xfId="39538" xr:uid="{00000000-0005-0000-0000-000047480000}"/>
    <cellStyle name="actuals 2 3 3 2 3 4" xfId="22698" xr:uid="{00000000-0005-0000-0000-000048480000}"/>
    <cellStyle name="actuals 2 3 3 2 3 4 2" xfId="42040" xr:uid="{00000000-0005-0000-0000-000049480000}"/>
    <cellStyle name="actuals 2 3 3 2 3 5" xfId="34639" xr:uid="{00000000-0005-0000-0000-00004A480000}"/>
    <cellStyle name="actuals 2 3 3 2 4" xfId="15737" xr:uid="{00000000-0005-0000-0000-00004B480000}"/>
    <cellStyle name="actuals 2 3 3 2 4 2" xfId="18213" xr:uid="{00000000-0005-0000-0000-00004C480000}"/>
    <cellStyle name="actuals 2 3 3 2 4 2 2" xfId="37567" xr:uid="{00000000-0005-0000-0000-00004D480000}"/>
    <cellStyle name="actuals 2 3 3 2 4 3" xfId="20644" xr:uid="{00000000-0005-0000-0000-00004E480000}"/>
    <cellStyle name="actuals 2 3 3 2 4 3 2" xfId="39997" xr:uid="{00000000-0005-0000-0000-00004F480000}"/>
    <cellStyle name="actuals 2 3 3 2 4 4" xfId="23157" xr:uid="{00000000-0005-0000-0000-000050480000}"/>
    <cellStyle name="actuals 2 3 3 2 4 4 2" xfId="42499" xr:uid="{00000000-0005-0000-0000-000051480000}"/>
    <cellStyle name="actuals 2 3 3 2 4 5" xfId="35098" xr:uid="{00000000-0005-0000-0000-000052480000}"/>
    <cellStyle name="actuals 2 3 3 2 5" xfId="16441" xr:uid="{00000000-0005-0000-0000-000053480000}"/>
    <cellStyle name="actuals 2 3 3 2 5 2" xfId="35795" xr:uid="{00000000-0005-0000-0000-000054480000}"/>
    <cellStyle name="actuals 2 3 3 2 6" xfId="18872" xr:uid="{00000000-0005-0000-0000-000055480000}"/>
    <cellStyle name="actuals 2 3 3 2 6 2" xfId="38225" xr:uid="{00000000-0005-0000-0000-000056480000}"/>
    <cellStyle name="actuals 2 3 3 2 7" xfId="21358" xr:uid="{00000000-0005-0000-0000-000057480000}"/>
    <cellStyle name="actuals 2 3 3 2 7 2" xfId="40700" xr:uid="{00000000-0005-0000-0000-000058480000}"/>
    <cellStyle name="actuals 2 3 3 2 8" xfId="33299" xr:uid="{00000000-0005-0000-0000-000059480000}"/>
    <cellStyle name="actuals 2 3 3 3" xfId="14445" xr:uid="{00000000-0005-0000-0000-00005A480000}"/>
    <cellStyle name="actuals 2 3 3 3 2" xfId="16935" xr:uid="{00000000-0005-0000-0000-00005B480000}"/>
    <cellStyle name="actuals 2 3 3 3 2 2" xfId="36289" xr:uid="{00000000-0005-0000-0000-00005C480000}"/>
    <cellStyle name="actuals 2 3 3 3 3" xfId="19366" xr:uid="{00000000-0005-0000-0000-00005D480000}"/>
    <cellStyle name="actuals 2 3 3 3 3 2" xfId="38719" xr:uid="{00000000-0005-0000-0000-00005E480000}"/>
    <cellStyle name="actuals 2 3 3 3 4" xfId="21865" xr:uid="{00000000-0005-0000-0000-00005F480000}"/>
    <cellStyle name="actuals 2 3 3 3 4 2" xfId="41207" xr:uid="{00000000-0005-0000-0000-000060480000}"/>
    <cellStyle name="actuals 2 3 3 3 5" xfId="33806" xr:uid="{00000000-0005-0000-0000-000061480000}"/>
    <cellStyle name="actuals 2 3 3 4" xfId="16155" xr:uid="{00000000-0005-0000-0000-000062480000}"/>
    <cellStyle name="actuals 2 3 3 4 2" xfId="35509" xr:uid="{00000000-0005-0000-0000-000063480000}"/>
    <cellStyle name="actuals 2 3 3 5" xfId="18586" xr:uid="{00000000-0005-0000-0000-000064480000}"/>
    <cellStyle name="actuals 2 3 3 5 2" xfId="37939" xr:uid="{00000000-0005-0000-0000-000065480000}"/>
    <cellStyle name="actuals 2 3 3 6" xfId="21060" xr:uid="{00000000-0005-0000-0000-000066480000}"/>
    <cellStyle name="actuals 2 3 3 6 2" xfId="40402" xr:uid="{00000000-0005-0000-0000-000067480000}"/>
    <cellStyle name="actuals 2 3 3 7" xfId="33001" xr:uid="{00000000-0005-0000-0000-000068480000}"/>
    <cellStyle name="actuals 2 3 4" xfId="13768" xr:uid="{00000000-0005-0000-0000-000069480000}"/>
    <cellStyle name="actuals 2 3 4 2" xfId="14567" xr:uid="{00000000-0005-0000-0000-00006A480000}"/>
    <cellStyle name="actuals 2 3 4 2 2" xfId="17054" xr:uid="{00000000-0005-0000-0000-00006B480000}"/>
    <cellStyle name="actuals 2 3 4 2 2 2" xfId="36408" xr:uid="{00000000-0005-0000-0000-00006C480000}"/>
    <cellStyle name="actuals 2 3 4 2 3" xfId="19485" xr:uid="{00000000-0005-0000-0000-00006D480000}"/>
    <cellStyle name="actuals 2 3 4 2 3 2" xfId="38838" xr:uid="{00000000-0005-0000-0000-00006E480000}"/>
    <cellStyle name="actuals 2 3 4 2 4" xfId="21987" xr:uid="{00000000-0005-0000-0000-00006F480000}"/>
    <cellStyle name="actuals 2 3 4 2 4 2" xfId="41329" xr:uid="{00000000-0005-0000-0000-000070480000}"/>
    <cellStyle name="actuals 2 3 4 2 5" xfId="33928" xr:uid="{00000000-0005-0000-0000-000071480000}"/>
    <cellStyle name="actuals 2 3 4 3" xfId="15128" xr:uid="{00000000-0005-0000-0000-000072480000}"/>
    <cellStyle name="actuals 2 3 4 3 2" xfId="17604" xr:uid="{00000000-0005-0000-0000-000073480000}"/>
    <cellStyle name="actuals 2 3 4 3 2 2" xfId="36958" xr:uid="{00000000-0005-0000-0000-000074480000}"/>
    <cellStyle name="actuals 2 3 4 3 3" xfId="20035" xr:uid="{00000000-0005-0000-0000-000075480000}"/>
    <cellStyle name="actuals 2 3 4 3 3 2" xfId="39388" xr:uid="{00000000-0005-0000-0000-000076480000}"/>
    <cellStyle name="actuals 2 3 4 3 4" xfId="22548" xr:uid="{00000000-0005-0000-0000-000077480000}"/>
    <cellStyle name="actuals 2 3 4 3 4 2" xfId="41890" xr:uid="{00000000-0005-0000-0000-000078480000}"/>
    <cellStyle name="actuals 2 3 4 3 5" xfId="34489" xr:uid="{00000000-0005-0000-0000-000079480000}"/>
    <cellStyle name="actuals 2 3 4 4" xfId="15609" xr:uid="{00000000-0005-0000-0000-00007A480000}"/>
    <cellStyle name="actuals 2 3 4 4 2" xfId="18085" xr:uid="{00000000-0005-0000-0000-00007B480000}"/>
    <cellStyle name="actuals 2 3 4 4 2 2" xfId="37439" xr:uid="{00000000-0005-0000-0000-00007C480000}"/>
    <cellStyle name="actuals 2 3 4 4 3" xfId="20516" xr:uid="{00000000-0005-0000-0000-00007D480000}"/>
    <cellStyle name="actuals 2 3 4 4 3 2" xfId="39869" xr:uid="{00000000-0005-0000-0000-00007E480000}"/>
    <cellStyle name="actuals 2 3 4 4 4" xfId="23029" xr:uid="{00000000-0005-0000-0000-00007F480000}"/>
    <cellStyle name="actuals 2 3 4 4 4 2" xfId="42371" xr:uid="{00000000-0005-0000-0000-000080480000}"/>
    <cellStyle name="actuals 2 3 4 4 5" xfId="34970" xr:uid="{00000000-0005-0000-0000-000081480000}"/>
    <cellStyle name="actuals 2 3 4 5" xfId="16283" xr:uid="{00000000-0005-0000-0000-000082480000}"/>
    <cellStyle name="actuals 2 3 4 5 2" xfId="35637" xr:uid="{00000000-0005-0000-0000-000083480000}"/>
    <cellStyle name="actuals 2 3 4 6" xfId="18714" xr:uid="{00000000-0005-0000-0000-000084480000}"/>
    <cellStyle name="actuals 2 3 4 6 2" xfId="38067" xr:uid="{00000000-0005-0000-0000-000085480000}"/>
    <cellStyle name="actuals 2 3 4 7" xfId="21191" xr:uid="{00000000-0005-0000-0000-000086480000}"/>
    <cellStyle name="actuals 2 3 4 7 2" xfId="40533" xr:uid="{00000000-0005-0000-0000-000087480000}"/>
    <cellStyle name="actuals 2 3 4 8" xfId="33132" xr:uid="{00000000-0005-0000-0000-000088480000}"/>
    <cellStyle name="actuals 2 3 5" xfId="14285" xr:uid="{00000000-0005-0000-0000-000089480000}"/>
    <cellStyle name="actuals 2 3 5 2" xfId="16784" xr:uid="{00000000-0005-0000-0000-00008A480000}"/>
    <cellStyle name="actuals 2 3 5 2 2" xfId="36138" xr:uid="{00000000-0005-0000-0000-00008B480000}"/>
    <cellStyle name="actuals 2 3 5 3" xfId="19215" xr:uid="{00000000-0005-0000-0000-00008C480000}"/>
    <cellStyle name="actuals 2 3 5 3 2" xfId="38568" xr:uid="{00000000-0005-0000-0000-00008D480000}"/>
    <cellStyle name="actuals 2 3 5 4" xfId="21705" xr:uid="{00000000-0005-0000-0000-00008E480000}"/>
    <cellStyle name="actuals 2 3 5 4 2" xfId="41047" xr:uid="{00000000-0005-0000-0000-00008F480000}"/>
    <cellStyle name="actuals 2 3 5 5" xfId="33646" xr:uid="{00000000-0005-0000-0000-000090480000}"/>
    <cellStyle name="actuals 2 3 6" xfId="13439" xr:uid="{00000000-0005-0000-0000-000091480000}"/>
    <cellStyle name="actuals 2 3 6 2" xfId="32818" xr:uid="{00000000-0005-0000-0000-000092480000}"/>
    <cellStyle name="actuals 2 3 7" xfId="16009" xr:uid="{00000000-0005-0000-0000-000093480000}"/>
    <cellStyle name="actuals 2 3 7 2" xfId="35363" xr:uid="{00000000-0005-0000-0000-000094480000}"/>
    <cellStyle name="actuals 2 3 8" xfId="13266" xr:uid="{00000000-0005-0000-0000-000095480000}"/>
    <cellStyle name="actuals 2 3 8 2" xfId="32714" xr:uid="{00000000-0005-0000-0000-000096480000}"/>
    <cellStyle name="actuals 2 3 9" xfId="20940" xr:uid="{00000000-0005-0000-0000-000097480000}"/>
    <cellStyle name="actuals 2 3 9 2" xfId="40282" xr:uid="{00000000-0005-0000-0000-000098480000}"/>
    <cellStyle name="actuals 2 4" xfId="13531" xr:uid="{00000000-0005-0000-0000-000099480000}"/>
    <cellStyle name="actuals 2 4 2" xfId="13831" xr:uid="{00000000-0005-0000-0000-00009A480000}"/>
    <cellStyle name="actuals 2 4 2 2" xfId="14626" xr:uid="{00000000-0005-0000-0000-00009B480000}"/>
    <cellStyle name="actuals 2 4 2 2 2" xfId="17110" xr:uid="{00000000-0005-0000-0000-00009C480000}"/>
    <cellStyle name="actuals 2 4 2 2 2 2" xfId="36464" xr:uid="{00000000-0005-0000-0000-00009D480000}"/>
    <cellStyle name="actuals 2 4 2 2 3" xfId="19541" xr:uid="{00000000-0005-0000-0000-00009E480000}"/>
    <cellStyle name="actuals 2 4 2 2 3 2" xfId="38894" xr:uid="{00000000-0005-0000-0000-00009F480000}"/>
    <cellStyle name="actuals 2 4 2 2 4" xfId="22046" xr:uid="{00000000-0005-0000-0000-0000A0480000}"/>
    <cellStyle name="actuals 2 4 2 2 4 2" xfId="41388" xr:uid="{00000000-0005-0000-0000-0000A1480000}"/>
    <cellStyle name="actuals 2 4 2 2 5" xfId="33987" xr:uid="{00000000-0005-0000-0000-0000A2480000}"/>
    <cellStyle name="actuals 2 4 2 3" xfId="16343" xr:uid="{00000000-0005-0000-0000-0000A3480000}"/>
    <cellStyle name="actuals 2 4 2 3 2" xfId="35697" xr:uid="{00000000-0005-0000-0000-0000A4480000}"/>
    <cellStyle name="actuals 2 4 2 4" xfId="18774" xr:uid="{00000000-0005-0000-0000-0000A5480000}"/>
    <cellStyle name="actuals 2 4 2 4 2" xfId="38127" xr:uid="{00000000-0005-0000-0000-0000A6480000}"/>
    <cellStyle name="actuals 2 4 2 5" xfId="21254" xr:uid="{00000000-0005-0000-0000-0000A7480000}"/>
    <cellStyle name="actuals 2 4 2 5 2" xfId="40596" xr:uid="{00000000-0005-0000-0000-0000A8480000}"/>
    <cellStyle name="actuals 2 4 2 6" xfId="33195" xr:uid="{00000000-0005-0000-0000-0000A9480000}"/>
    <cellStyle name="actuals 2 4 3" xfId="14052" xr:uid="{00000000-0005-0000-0000-0000AA480000}"/>
    <cellStyle name="actuals 2 4 3 2" xfId="14847" xr:uid="{00000000-0005-0000-0000-0000AB480000}"/>
    <cellStyle name="actuals 2 4 3 2 2" xfId="17325" xr:uid="{00000000-0005-0000-0000-0000AC480000}"/>
    <cellStyle name="actuals 2 4 3 2 2 2" xfId="36679" xr:uid="{00000000-0005-0000-0000-0000AD480000}"/>
    <cellStyle name="actuals 2 4 3 2 3" xfId="19756" xr:uid="{00000000-0005-0000-0000-0000AE480000}"/>
    <cellStyle name="actuals 2 4 3 2 3 2" xfId="39109" xr:uid="{00000000-0005-0000-0000-0000AF480000}"/>
    <cellStyle name="actuals 2 4 3 2 4" xfId="22267" xr:uid="{00000000-0005-0000-0000-0000B0480000}"/>
    <cellStyle name="actuals 2 4 3 2 4 2" xfId="41609" xr:uid="{00000000-0005-0000-0000-0000B1480000}"/>
    <cellStyle name="actuals 2 4 3 2 5" xfId="34208" xr:uid="{00000000-0005-0000-0000-0000B2480000}"/>
    <cellStyle name="actuals 2 4 3 3" xfId="15395" xr:uid="{00000000-0005-0000-0000-0000B3480000}"/>
    <cellStyle name="actuals 2 4 3 3 2" xfId="17871" xr:uid="{00000000-0005-0000-0000-0000B4480000}"/>
    <cellStyle name="actuals 2 4 3 3 2 2" xfId="37225" xr:uid="{00000000-0005-0000-0000-0000B5480000}"/>
    <cellStyle name="actuals 2 4 3 3 3" xfId="20302" xr:uid="{00000000-0005-0000-0000-0000B6480000}"/>
    <cellStyle name="actuals 2 4 3 3 3 2" xfId="39655" xr:uid="{00000000-0005-0000-0000-0000B7480000}"/>
    <cellStyle name="actuals 2 4 3 3 4" xfId="22815" xr:uid="{00000000-0005-0000-0000-0000B8480000}"/>
    <cellStyle name="actuals 2 4 3 3 4 2" xfId="42157" xr:uid="{00000000-0005-0000-0000-0000B9480000}"/>
    <cellStyle name="actuals 2 4 3 3 5" xfId="34756" xr:uid="{00000000-0005-0000-0000-0000BA480000}"/>
    <cellStyle name="actuals 2 4 3 4" xfId="15854" xr:uid="{00000000-0005-0000-0000-0000BB480000}"/>
    <cellStyle name="actuals 2 4 3 4 2" xfId="18330" xr:uid="{00000000-0005-0000-0000-0000BC480000}"/>
    <cellStyle name="actuals 2 4 3 4 2 2" xfId="37684" xr:uid="{00000000-0005-0000-0000-0000BD480000}"/>
    <cellStyle name="actuals 2 4 3 4 3" xfId="20761" xr:uid="{00000000-0005-0000-0000-0000BE480000}"/>
    <cellStyle name="actuals 2 4 3 4 3 2" xfId="40114" xr:uid="{00000000-0005-0000-0000-0000BF480000}"/>
    <cellStyle name="actuals 2 4 3 4 4" xfId="23274" xr:uid="{00000000-0005-0000-0000-0000C0480000}"/>
    <cellStyle name="actuals 2 4 3 4 4 2" xfId="42616" xr:uid="{00000000-0005-0000-0000-0000C1480000}"/>
    <cellStyle name="actuals 2 4 3 4 5" xfId="35215" xr:uid="{00000000-0005-0000-0000-0000C2480000}"/>
    <cellStyle name="actuals 2 4 3 5" xfId="16558" xr:uid="{00000000-0005-0000-0000-0000C3480000}"/>
    <cellStyle name="actuals 2 4 3 5 2" xfId="35912" xr:uid="{00000000-0005-0000-0000-0000C4480000}"/>
    <cellStyle name="actuals 2 4 3 6" xfId="18989" xr:uid="{00000000-0005-0000-0000-0000C5480000}"/>
    <cellStyle name="actuals 2 4 3 6 2" xfId="38342" xr:uid="{00000000-0005-0000-0000-0000C6480000}"/>
    <cellStyle name="actuals 2 4 3 7" xfId="21475" xr:uid="{00000000-0005-0000-0000-0000C7480000}"/>
    <cellStyle name="actuals 2 4 3 7 2" xfId="40817" xr:uid="{00000000-0005-0000-0000-0000C8480000}"/>
    <cellStyle name="actuals 2 4 3 8" xfId="33416" xr:uid="{00000000-0005-0000-0000-0000C9480000}"/>
    <cellStyle name="actuals 2 4 4" xfId="14347" xr:uid="{00000000-0005-0000-0000-0000CA480000}"/>
    <cellStyle name="actuals 2 4 4 2" xfId="16843" xr:uid="{00000000-0005-0000-0000-0000CB480000}"/>
    <cellStyle name="actuals 2 4 4 2 2" xfId="36197" xr:uid="{00000000-0005-0000-0000-0000CC480000}"/>
    <cellStyle name="actuals 2 4 4 3" xfId="19274" xr:uid="{00000000-0005-0000-0000-0000CD480000}"/>
    <cellStyle name="actuals 2 4 4 3 2" xfId="38627" xr:uid="{00000000-0005-0000-0000-0000CE480000}"/>
    <cellStyle name="actuals 2 4 4 4" xfId="21767" xr:uid="{00000000-0005-0000-0000-0000CF480000}"/>
    <cellStyle name="actuals 2 4 4 4 2" xfId="41109" xr:uid="{00000000-0005-0000-0000-0000D0480000}"/>
    <cellStyle name="actuals 2 4 4 5" xfId="33708" xr:uid="{00000000-0005-0000-0000-0000D1480000}"/>
    <cellStyle name="actuals 2 4 5" xfId="14982" xr:uid="{00000000-0005-0000-0000-0000D2480000}"/>
    <cellStyle name="actuals 2 4 5 2" xfId="17458" xr:uid="{00000000-0005-0000-0000-0000D3480000}"/>
    <cellStyle name="actuals 2 4 5 2 2" xfId="36812" xr:uid="{00000000-0005-0000-0000-0000D4480000}"/>
    <cellStyle name="actuals 2 4 5 3" xfId="19889" xr:uid="{00000000-0005-0000-0000-0000D5480000}"/>
    <cellStyle name="actuals 2 4 5 3 2" xfId="39242" xr:uid="{00000000-0005-0000-0000-0000D6480000}"/>
    <cellStyle name="actuals 2 4 5 4" xfId="22402" xr:uid="{00000000-0005-0000-0000-0000D7480000}"/>
    <cellStyle name="actuals 2 4 5 4 2" xfId="41744" xr:uid="{00000000-0005-0000-0000-0000D8480000}"/>
    <cellStyle name="actuals 2 4 5 5" xfId="34343" xr:uid="{00000000-0005-0000-0000-0000D9480000}"/>
    <cellStyle name="actuals 2 4 6" xfId="14206" xr:uid="{00000000-0005-0000-0000-0000DA480000}"/>
    <cellStyle name="actuals 2 4 6 2" xfId="16710" xr:uid="{00000000-0005-0000-0000-0000DB480000}"/>
    <cellStyle name="actuals 2 4 6 2 2" xfId="36064" xr:uid="{00000000-0005-0000-0000-0000DC480000}"/>
    <cellStyle name="actuals 2 4 6 3" xfId="19141" xr:uid="{00000000-0005-0000-0000-0000DD480000}"/>
    <cellStyle name="actuals 2 4 6 3 2" xfId="38494" xr:uid="{00000000-0005-0000-0000-0000DE480000}"/>
    <cellStyle name="actuals 2 4 6 4" xfId="21628" xr:uid="{00000000-0005-0000-0000-0000DF480000}"/>
    <cellStyle name="actuals 2 4 6 4 2" xfId="40970" xr:uid="{00000000-0005-0000-0000-0000E0480000}"/>
    <cellStyle name="actuals 2 4 6 5" xfId="33569" xr:uid="{00000000-0005-0000-0000-0000E1480000}"/>
    <cellStyle name="actuals 2 4 7" xfId="16082" xr:uid="{00000000-0005-0000-0000-0000E2480000}"/>
    <cellStyle name="actuals 2 4 7 2" xfId="35436" xr:uid="{00000000-0005-0000-0000-0000E3480000}"/>
    <cellStyle name="actuals 2 4 8" xfId="18492" xr:uid="{00000000-0005-0000-0000-0000E4480000}"/>
    <cellStyle name="actuals 2 4 8 2" xfId="37845" xr:uid="{00000000-0005-0000-0000-0000E5480000}"/>
    <cellStyle name="actuals 2 4 9" xfId="32906" xr:uid="{00000000-0005-0000-0000-0000E6480000}"/>
    <cellStyle name="actuals 2 5" xfId="13734" xr:uid="{00000000-0005-0000-0000-0000E7480000}"/>
    <cellStyle name="actuals 2 5 2" xfId="14537" xr:uid="{00000000-0005-0000-0000-0000E8480000}"/>
    <cellStyle name="actuals 2 5 2 2" xfId="17027" xr:uid="{00000000-0005-0000-0000-0000E9480000}"/>
    <cellStyle name="actuals 2 5 2 2 2" xfId="36381" xr:uid="{00000000-0005-0000-0000-0000EA480000}"/>
    <cellStyle name="actuals 2 5 2 3" xfId="19458" xr:uid="{00000000-0005-0000-0000-0000EB480000}"/>
    <cellStyle name="actuals 2 5 2 3 2" xfId="38811" xr:uid="{00000000-0005-0000-0000-0000EC480000}"/>
    <cellStyle name="actuals 2 5 2 4" xfId="21957" xr:uid="{00000000-0005-0000-0000-0000ED480000}"/>
    <cellStyle name="actuals 2 5 2 4 2" xfId="41299" xr:uid="{00000000-0005-0000-0000-0000EE480000}"/>
    <cellStyle name="actuals 2 5 2 5" xfId="33898" xr:uid="{00000000-0005-0000-0000-0000EF480000}"/>
    <cellStyle name="actuals 2 5 3" xfId="15101" xr:uid="{00000000-0005-0000-0000-0000F0480000}"/>
    <cellStyle name="actuals 2 5 3 2" xfId="17577" xr:uid="{00000000-0005-0000-0000-0000F1480000}"/>
    <cellStyle name="actuals 2 5 3 2 2" xfId="36931" xr:uid="{00000000-0005-0000-0000-0000F2480000}"/>
    <cellStyle name="actuals 2 5 3 3" xfId="20008" xr:uid="{00000000-0005-0000-0000-0000F3480000}"/>
    <cellStyle name="actuals 2 5 3 3 2" xfId="39361" xr:uid="{00000000-0005-0000-0000-0000F4480000}"/>
    <cellStyle name="actuals 2 5 3 4" xfId="22521" xr:uid="{00000000-0005-0000-0000-0000F5480000}"/>
    <cellStyle name="actuals 2 5 3 4 2" xfId="41863" xr:uid="{00000000-0005-0000-0000-0000F6480000}"/>
    <cellStyle name="actuals 2 5 3 5" xfId="34462" xr:uid="{00000000-0005-0000-0000-0000F7480000}"/>
    <cellStyle name="actuals 2 5 4" xfId="15584" xr:uid="{00000000-0005-0000-0000-0000F8480000}"/>
    <cellStyle name="actuals 2 5 4 2" xfId="18060" xr:uid="{00000000-0005-0000-0000-0000F9480000}"/>
    <cellStyle name="actuals 2 5 4 2 2" xfId="37414" xr:uid="{00000000-0005-0000-0000-0000FA480000}"/>
    <cellStyle name="actuals 2 5 4 3" xfId="20491" xr:uid="{00000000-0005-0000-0000-0000FB480000}"/>
    <cellStyle name="actuals 2 5 4 3 2" xfId="39844" xr:uid="{00000000-0005-0000-0000-0000FC480000}"/>
    <cellStyle name="actuals 2 5 4 4" xfId="23004" xr:uid="{00000000-0005-0000-0000-0000FD480000}"/>
    <cellStyle name="actuals 2 5 4 4 2" xfId="42346" xr:uid="{00000000-0005-0000-0000-0000FE480000}"/>
    <cellStyle name="actuals 2 5 4 5" xfId="34945" xr:uid="{00000000-0005-0000-0000-0000FF480000}"/>
    <cellStyle name="actuals 2 5 5" xfId="16253" xr:uid="{00000000-0005-0000-0000-000000490000}"/>
    <cellStyle name="actuals 2 5 5 2" xfId="35607" xr:uid="{00000000-0005-0000-0000-000001490000}"/>
    <cellStyle name="actuals 2 5 6" xfId="18684" xr:uid="{00000000-0005-0000-0000-000002490000}"/>
    <cellStyle name="actuals 2 5 6 2" xfId="38037" xr:uid="{00000000-0005-0000-0000-000003490000}"/>
    <cellStyle name="actuals 2 5 7" xfId="21158" xr:uid="{00000000-0005-0000-0000-000004490000}"/>
    <cellStyle name="actuals 2 5 7 2" xfId="40500" xr:uid="{00000000-0005-0000-0000-000005490000}"/>
    <cellStyle name="actuals 2 5 8" xfId="33099" xr:uid="{00000000-0005-0000-0000-000006490000}"/>
    <cellStyle name="actuals 2 6" xfId="14250" xr:uid="{00000000-0005-0000-0000-000007490000}"/>
    <cellStyle name="actuals 2 6 2" xfId="16753" xr:uid="{00000000-0005-0000-0000-000008490000}"/>
    <cellStyle name="actuals 2 6 2 2" xfId="36107" xr:uid="{00000000-0005-0000-0000-000009490000}"/>
    <cellStyle name="actuals 2 6 3" xfId="19184" xr:uid="{00000000-0005-0000-0000-00000A490000}"/>
    <cellStyle name="actuals 2 6 3 2" xfId="38537" xr:uid="{00000000-0005-0000-0000-00000B490000}"/>
    <cellStyle name="actuals 2 6 4" xfId="21671" xr:uid="{00000000-0005-0000-0000-00000C490000}"/>
    <cellStyle name="actuals 2 6 4 2" xfId="41013" xr:uid="{00000000-0005-0000-0000-00000D490000}"/>
    <cellStyle name="actuals 2 6 5" xfId="33612" xr:uid="{00000000-0005-0000-0000-00000E490000}"/>
    <cellStyle name="actuals 2 7" xfId="13343" xr:uid="{00000000-0005-0000-0000-00000F490000}"/>
    <cellStyle name="actuals 2 7 2" xfId="32753" xr:uid="{00000000-0005-0000-0000-000010490000}"/>
    <cellStyle name="actuals 2 8" xfId="13206" xr:uid="{00000000-0005-0000-0000-000011490000}"/>
    <cellStyle name="actuals 2 8 2" xfId="32674" xr:uid="{00000000-0005-0000-0000-000012490000}"/>
    <cellStyle name="actuals 2 9" xfId="20911" xr:uid="{00000000-0005-0000-0000-000013490000}"/>
    <cellStyle name="actuals 2 9 2" xfId="40256" xr:uid="{00000000-0005-0000-0000-000014490000}"/>
    <cellStyle name="actuals 3" xfId="13501" xr:uid="{00000000-0005-0000-0000-000015490000}"/>
    <cellStyle name="actuals 3 2" xfId="13805" xr:uid="{00000000-0005-0000-0000-000016490000}"/>
    <cellStyle name="actuals 3 2 2" xfId="14603" xr:uid="{00000000-0005-0000-0000-000017490000}"/>
    <cellStyle name="actuals 3 2 2 2" xfId="17087" xr:uid="{00000000-0005-0000-0000-000018490000}"/>
    <cellStyle name="actuals 3 2 2 2 2" xfId="36441" xr:uid="{00000000-0005-0000-0000-000019490000}"/>
    <cellStyle name="actuals 3 2 2 3" xfId="19518" xr:uid="{00000000-0005-0000-0000-00001A490000}"/>
    <cellStyle name="actuals 3 2 2 3 2" xfId="38871" xr:uid="{00000000-0005-0000-0000-00001B490000}"/>
    <cellStyle name="actuals 3 2 2 4" xfId="22023" xr:uid="{00000000-0005-0000-0000-00001C490000}"/>
    <cellStyle name="actuals 3 2 2 4 2" xfId="41365" xr:uid="{00000000-0005-0000-0000-00001D490000}"/>
    <cellStyle name="actuals 3 2 2 5" xfId="33964" xr:uid="{00000000-0005-0000-0000-00001E490000}"/>
    <cellStyle name="actuals 3 2 3" xfId="15160" xr:uid="{00000000-0005-0000-0000-00001F490000}"/>
    <cellStyle name="actuals 3 2 3 2" xfId="17636" xr:uid="{00000000-0005-0000-0000-000020490000}"/>
    <cellStyle name="actuals 3 2 3 2 2" xfId="36990" xr:uid="{00000000-0005-0000-0000-000021490000}"/>
    <cellStyle name="actuals 3 2 3 3" xfId="20067" xr:uid="{00000000-0005-0000-0000-000022490000}"/>
    <cellStyle name="actuals 3 2 3 3 2" xfId="39420" xr:uid="{00000000-0005-0000-0000-000023490000}"/>
    <cellStyle name="actuals 3 2 3 4" xfId="22580" xr:uid="{00000000-0005-0000-0000-000024490000}"/>
    <cellStyle name="actuals 3 2 3 4 2" xfId="41922" xr:uid="{00000000-0005-0000-0000-000025490000}"/>
    <cellStyle name="actuals 3 2 3 5" xfId="34521" xr:uid="{00000000-0005-0000-0000-000026490000}"/>
    <cellStyle name="actuals 3 2 4" xfId="15641" xr:uid="{00000000-0005-0000-0000-000027490000}"/>
    <cellStyle name="actuals 3 2 4 2" xfId="18117" xr:uid="{00000000-0005-0000-0000-000028490000}"/>
    <cellStyle name="actuals 3 2 4 2 2" xfId="37471" xr:uid="{00000000-0005-0000-0000-000029490000}"/>
    <cellStyle name="actuals 3 2 4 3" xfId="20548" xr:uid="{00000000-0005-0000-0000-00002A490000}"/>
    <cellStyle name="actuals 3 2 4 3 2" xfId="39901" xr:uid="{00000000-0005-0000-0000-00002B490000}"/>
    <cellStyle name="actuals 3 2 4 4" xfId="23061" xr:uid="{00000000-0005-0000-0000-00002C490000}"/>
    <cellStyle name="actuals 3 2 4 4 2" xfId="42403" xr:uid="{00000000-0005-0000-0000-00002D490000}"/>
    <cellStyle name="actuals 3 2 4 5" xfId="35002" xr:uid="{00000000-0005-0000-0000-00002E490000}"/>
    <cellStyle name="actuals 3 2 5" xfId="16317" xr:uid="{00000000-0005-0000-0000-00002F490000}"/>
    <cellStyle name="actuals 3 2 5 2" xfId="35671" xr:uid="{00000000-0005-0000-0000-000030490000}"/>
    <cellStyle name="actuals 3 2 6" xfId="18748" xr:uid="{00000000-0005-0000-0000-000031490000}"/>
    <cellStyle name="actuals 3 2 6 2" xfId="38101" xr:uid="{00000000-0005-0000-0000-000032490000}"/>
    <cellStyle name="actuals 3 2 7" xfId="21228" xr:uid="{00000000-0005-0000-0000-000033490000}"/>
    <cellStyle name="actuals 3 2 7 2" xfId="40570" xr:uid="{00000000-0005-0000-0000-000034490000}"/>
    <cellStyle name="actuals 3 2 8" xfId="33169" xr:uid="{00000000-0005-0000-0000-000035490000}"/>
    <cellStyle name="actuals 3 3" xfId="14324" xr:uid="{00000000-0005-0000-0000-000036490000}"/>
    <cellStyle name="actuals 3 3 2" xfId="16820" xr:uid="{00000000-0005-0000-0000-000037490000}"/>
    <cellStyle name="actuals 3 3 2 2" xfId="36174" xr:uid="{00000000-0005-0000-0000-000038490000}"/>
    <cellStyle name="actuals 3 3 3" xfId="19251" xr:uid="{00000000-0005-0000-0000-000039490000}"/>
    <cellStyle name="actuals 3 3 3 2" xfId="38604" xr:uid="{00000000-0005-0000-0000-00003A490000}"/>
    <cellStyle name="actuals 3 3 4" xfId="21744" xr:uid="{00000000-0005-0000-0000-00003B490000}"/>
    <cellStyle name="actuals 3 3 4 2" xfId="41086" xr:uid="{00000000-0005-0000-0000-00003C490000}"/>
    <cellStyle name="actuals 3 3 5" xfId="33685" xr:uid="{00000000-0005-0000-0000-00003D490000}"/>
    <cellStyle name="actuals 3 4" xfId="16065" xr:uid="{00000000-0005-0000-0000-00003E490000}"/>
    <cellStyle name="actuals 3 4 2" xfId="35419" xr:uid="{00000000-0005-0000-0000-00003F490000}"/>
    <cellStyle name="actuals 3 5" xfId="18462" xr:uid="{00000000-0005-0000-0000-000040490000}"/>
    <cellStyle name="actuals 3 5 2" xfId="37815" xr:uid="{00000000-0005-0000-0000-000041490000}"/>
    <cellStyle name="actuals 3 6" xfId="20998" xr:uid="{00000000-0005-0000-0000-000042490000}"/>
    <cellStyle name="actuals 3 6 2" xfId="40340" xr:uid="{00000000-0005-0000-0000-000043490000}"/>
    <cellStyle name="actuals 3 7" xfId="32876" xr:uid="{00000000-0005-0000-0000-000044490000}"/>
    <cellStyle name="Actuals Cells" xfId="1415" xr:uid="{00000000-0005-0000-0000-000045490000}"/>
    <cellStyle name="Actuals Cells 2" xfId="1416" xr:uid="{00000000-0005-0000-0000-000046490000}"/>
    <cellStyle name="Actuals Cells 2 2" xfId="4548" xr:uid="{00000000-0005-0000-0000-000047490000}"/>
    <cellStyle name="Actuals Cells 3" xfId="4547" xr:uid="{00000000-0005-0000-0000-000048490000}"/>
    <cellStyle name="Adj L1" xfId="1417" xr:uid="{00000000-0005-0000-0000-000049490000}"/>
    <cellStyle name="Adj L2" xfId="1418" xr:uid="{00000000-0005-0000-0000-00004A490000}"/>
    <cellStyle name="Adj L3" xfId="1419" xr:uid="{00000000-0005-0000-0000-00004B490000}"/>
    <cellStyle name="Adj Space" xfId="1420" xr:uid="{00000000-0005-0000-0000-00004C490000}"/>
    <cellStyle name="AFE" xfId="4493" xr:uid="{00000000-0005-0000-0000-00004D490000}"/>
    <cellStyle name="afl" xfId="4494" xr:uid="{00000000-0005-0000-0000-00004E490000}"/>
    <cellStyle name="Alex - red 0.0" xfId="2751" xr:uid="{00000000-0005-0000-0000-00004F490000}"/>
    <cellStyle name="Person0075 Title" xfId="4495" xr:uid="{00000000-0005-0000-0000-000050490000}"/>
    <cellStyle name="Arial" xfId="1421" xr:uid="{00000000-0005-0000-0000-000051490000}"/>
    <cellStyle name="Arial 2" xfId="13301" xr:uid="{00000000-0005-0000-0000-000052490000}"/>
    <cellStyle name="Arial 2 2" xfId="13313" xr:uid="{00000000-0005-0000-0000-000053490000}"/>
    <cellStyle name="ArialNormal" xfId="1422" xr:uid="{00000000-0005-0000-0000-000054490000}"/>
    <cellStyle name="ArialNormal 10" xfId="13229" xr:uid="{00000000-0005-0000-0000-000055490000}"/>
    <cellStyle name="ArialNormal 10 2" xfId="32687" xr:uid="{00000000-0005-0000-0000-000056490000}"/>
    <cellStyle name="ArialNormal 11" xfId="13201" xr:uid="{00000000-0005-0000-0000-000057490000}"/>
    <cellStyle name="ArialNormal 11 2" xfId="32669" xr:uid="{00000000-0005-0000-0000-000058490000}"/>
    <cellStyle name="ArialNormal 2" xfId="2120" xr:uid="{00000000-0005-0000-0000-000059490000}"/>
    <cellStyle name="ArialNormal 2 10" xfId="13238" xr:uid="{00000000-0005-0000-0000-00005A490000}"/>
    <cellStyle name="ArialNormal 2 10 2" xfId="32691" xr:uid="{00000000-0005-0000-0000-00005B490000}"/>
    <cellStyle name="ArialNormal 2 2" xfId="4564" xr:uid="{00000000-0005-0000-0000-00005C490000}"/>
    <cellStyle name="ArialNormal 2 2 2" xfId="5211" xr:uid="{00000000-0005-0000-0000-00005D490000}"/>
    <cellStyle name="ArialNormal 2 2 2 2" xfId="6686" xr:uid="{00000000-0005-0000-0000-00005E490000}"/>
    <cellStyle name="ArialNormal 2 2 2 2 2" xfId="13881" xr:uid="{00000000-0005-0000-0000-00005F490000}"/>
    <cellStyle name="ArialNormal 2 2 2 2 2 2" xfId="14676" xr:uid="{00000000-0005-0000-0000-000060490000}"/>
    <cellStyle name="ArialNormal 2 2 2 2 2 2 2" xfId="17157" xr:uid="{00000000-0005-0000-0000-000061490000}"/>
    <cellStyle name="ArialNormal 2 2 2 2 2 2 2 2" xfId="36511" xr:uid="{00000000-0005-0000-0000-000062490000}"/>
    <cellStyle name="ArialNormal 2 2 2 2 2 2 3" xfId="19588" xr:uid="{00000000-0005-0000-0000-000063490000}"/>
    <cellStyle name="ArialNormal 2 2 2 2 2 2 3 2" xfId="38941" xr:uid="{00000000-0005-0000-0000-000064490000}"/>
    <cellStyle name="ArialNormal 2 2 2 2 2 2 4" xfId="22096" xr:uid="{00000000-0005-0000-0000-000065490000}"/>
    <cellStyle name="ArialNormal 2 2 2 2 2 2 4 2" xfId="41438" xr:uid="{00000000-0005-0000-0000-000066490000}"/>
    <cellStyle name="ArialNormal 2 2 2 2 2 2 5" xfId="34037" xr:uid="{00000000-0005-0000-0000-000067490000}"/>
    <cellStyle name="ArialNormal 2 2 2 2 2 3" xfId="15228" xr:uid="{00000000-0005-0000-0000-000068490000}"/>
    <cellStyle name="ArialNormal 2 2 2 2 2 3 2" xfId="17704" xr:uid="{00000000-0005-0000-0000-000069490000}"/>
    <cellStyle name="ArialNormal 2 2 2 2 2 3 2 2" xfId="37058" xr:uid="{00000000-0005-0000-0000-00006A490000}"/>
    <cellStyle name="ArialNormal 2 2 2 2 2 3 3" xfId="20135" xr:uid="{00000000-0005-0000-0000-00006B490000}"/>
    <cellStyle name="ArialNormal 2 2 2 2 2 3 3 2" xfId="39488" xr:uid="{00000000-0005-0000-0000-00006C490000}"/>
    <cellStyle name="ArialNormal 2 2 2 2 2 3 4" xfId="22648" xr:uid="{00000000-0005-0000-0000-00006D490000}"/>
    <cellStyle name="ArialNormal 2 2 2 2 2 3 4 2" xfId="41990" xr:uid="{00000000-0005-0000-0000-00006E490000}"/>
    <cellStyle name="ArialNormal 2 2 2 2 2 3 5" xfId="34589" xr:uid="{00000000-0005-0000-0000-00006F490000}"/>
    <cellStyle name="ArialNormal 2 2 2 2 2 4" xfId="15698" xr:uid="{00000000-0005-0000-0000-000070490000}"/>
    <cellStyle name="ArialNormal 2 2 2 2 2 4 2" xfId="18174" xr:uid="{00000000-0005-0000-0000-000071490000}"/>
    <cellStyle name="ArialNormal 2 2 2 2 2 4 2 2" xfId="37528" xr:uid="{00000000-0005-0000-0000-000072490000}"/>
    <cellStyle name="ArialNormal 2 2 2 2 2 4 3" xfId="20605" xr:uid="{00000000-0005-0000-0000-000073490000}"/>
    <cellStyle name="ArialNormal 2 2 2 2 2 4 3 2" xfId="39958" xr:uid="{00000000-0005-0000-0000-000074490000}"/>
    <cellStyle name="ArialNormal 2 2 2 2 2 4 4" xfId="23118" xr:uid="{00000000-0005-0000-0000-000075490000}"/>
    <cellStyle name="ArialNormal 2 2 2 2 2 4 4 2" xfId="42460" xr:uid="{00000000-0005-0000-0000-000076490000}"/>
    <cellStyle name="ArialNormal 2 2 2 2 2 4 5" xfId="35059" xr:uid="{00000000-0005-0000-0000-000077490000}"/>
    <cellStyle name="ArialNormal 2 2 2 2 2 5" xfId="16390" xr:uid="{00000000-0005-0000-0000-000078490000}"/>
    <cellStyle name="ArialNormal 2 2 2 2 2 5 2" xfId="35744" xr:uid="{00000000-0005-0000-0000-000079490000}"/>
    <cellStyle name="ArialNormal 2 2 2 2 2 6" xfId="18821" xr:uid="{00000000-0005-0000-0000-00007A490000}"/>
    <cellStyle name="ArialNormal 2 2 2 2 2 6 2" xfId="38174" xr:uid="{00000000-0005-0000-0000-00007B490000}"/>
    <cellStyle name="ArialNormal 2 2 2 2 2 7" xfId="21304" xr:uid="{00000000-0005-0000-0000-00007C490000}"/>
    <cellStyle name="ArialNormal 2 2 2 2 2 7 2" xfId="40646" xr:uid="{00000000-0005-0000-0000-00007D490000}"/>
    <cellStyle name="ArialNormal 2 2 2 2 2 8" xfId="33245" xr:uid="{00000000-0005-0000-0000-00007E490000}"/>
    <cellStyle name="ArialNormal 2 2 2 2 3" xfId="14099" xr:uid="{00000000-0005-0000-0000-00007F490000}"/>
    <cellStyle name="ArialNormal 2 2 2 2 3 2" xfId="14880" xr:uid="{00000000-0005-0000-0000-000080490000}"/>
    <cellStyle name="ArialNormal 2 2 2 2 3 2 2" xfId="17358" xr:uid="{00000000-0005-0000-0000-000081490000}"/>
    <cellStyle name="ArialNormal 2 2 2 2 3 2 2 2" xfId="36712" xr:uid="{00000000-0005-0000-0000-000082490000}"/>
    <cellStyle name="ArialNormal 2 2 2 2 3 2 3" xfId="19789" xr:uid="{00000000-0005-0000-0000-000083490000}"/>
    <cellStyle name="ArialNormal 2 2 2 2 3 2 3 2" xfId="39142" xr:uid="{00000000-0005-0000-0000-000084490000}"/>
    <cellStyle name="ArialNormal 2 2 2 2 3 2 4" xfId="22300" xr:uid="{00000000-0005-0000-0000-000085490000}"/>
    <cellStyle name="ArialNormal 2 2 2 2 3 2 4 2" xfId="41642" xr:uid="{00000000-0005-0000-0000-000086490000}"/>
    <cellStyle name="ArialNormal 2 2 2 2 3 2 5" xfId="34241" xr:uid="{00000000-0005-0000-0000-000087490000}"/>
    <cellStyle name="ArialNormal 2 2 2 2 3 3" xfId="15427" xr:uid="{00000000-0005-0000-0000-000088490000}"/>
    <cellStyle name="ArialNormal 2 2 2 2 3 3 2" xfId="17903" xr:uid="{00000000-0005-0000-0000-000089490000}"/>
    <cellStyle name="ArialNormal 2 2 2 2 3 3 2 2" xfId="37257" xr:uid="{00000000-0005-0000-0000-00008A490000}"/>
    <cellStyle name="ArialNormal 2 2 2 2 3 3 3" xfId="20334" xr:uid="{00000000-0005-0000-0000-00008B490000}"/>
    <cellStyle name="ArialNormal 2 2 2 2 3 3 3 2" xfId="39687" xr:uid="{00000000-0005-0000-0000-00008C490000}"/>
    <cellStyle name="ArialNormal 2 2 2 2 3 3 4" xfId="22847" xr:uid="{00000000-0005-0000-0000-00008D490000}"/>
    <cellStyle name="ArialNormal 2 2 2 2 3 3 4 2" xfId="42189" xr:uid="{00000000-0005-0000-0000-00008E490000}"/>
    <cellStyle name="ArialNormal 2 2 2 2 3 3 5" xfId="34788" xr:uid="{00000000-0005-0000-0000-00008F490000}"/>
    <cellStyle name="ArialNormal 2 2 2 2 3 4" xfId="15886" xr:uid="{00000000-0005-0000-0000-000090490000}"/>
    <cellStyle name="ArialNormal 2 2 2 2 3 4 2" xfId="18362" xr:uid="{00000000-0005-0000-0000-000091490000}"/>
    <cellStyle name="ArialNormal 2 2 2 2 3 4 2 2" xfId="37716" xr:uid="{00000000-0005-0000-0000-000092490000}"/>
    <cellStyle name="ArialNormal 2 2 2 2 3 4 3" xfId="20793" xr:uid="{00000000-0005-0000-0000-000093490000}"/>
    <cellStyle name="ArialNormal 2 2 2 2 3 4 3 2" xfId="40146" xr:uid="{00000000-0005-0000-0000-000094490000}"/>
    <cellStyle name="ArialNormal 2 2 2 2 3 4 4" xfId="23306" xr:uid="{00000000-0005-0000-0000-000095490000}"/>
    <cellStyle name="ArialNormal 2 2 2 2 3 4 4 2" xfId="42648" xr:uid="{00000000-0005-0000-0000-000096490000}"/>
    <cellStyle name="ArialNormal 2 2 2 2 3 4 5" xfId="35247" xr:uid="{00000000-0005-0000-0000-000097490000}"/>
    <cellStyle name="ArialNormal 2 2 2 2 3 5" xfId="16605" xr:uid="{00000000-0005-0000-0000-000098490000}"/>
    <cellStyle name="ArialNormal 2 2 2 2 3 5 2" xfId="35959" xr:uid="{00000000-0005-0000-0000-000099490000}"/>
    <cellStyle name="ArialNormal 2 2 2 2 3 6" xfId="19036" xr:uid="{00000000-0005-0000-0000-00009A490000}"/>
    <cellStyle name="ArialNormal 2 2 2 2 3 6 2" xfId="38389" xr:uid="{00000000-0005-0000-0000-00009B490000}"/>
    <cellStyle name="ArialNormal 2 2 2 2 3 7" xfId="21522" xr:uid="{00000000-0005-0000-0000-00009C490000}"/>
    <cellStyle name="ArialNormal 2 2 2 2 3 7 2" xfId="40864" xr:uid="{00000000-0005-0000-0000-00009D490000}"/>
    <cellStyle name="ArialNormal 2 2 2 2 3 8" xfId="33463" xr:uid="{00000000-0005-0000-0000-00009E490000}"/>
    <cellStyle name="ArialNormal 2 2 2 2 4" xfId="14391" xr:uid="{00000000-0005-0000-0000-00009F490000}"/>
    <cellStyle name="ArialNormal 2 2 2 2 4 2" xfId="16884" xr:uid="{00000000-0005-0000-0000-0000A0490000}"/>
    <cellStyle name="ArialNormal 2 2 2 2 4 2 2" xfId="36238" xr:uid="{00000000-0005-0000-0000-0000A1490000}"/>
    <cellStyle name="ArialNormal 2 2 2 2 4 3" xfId="19315" xr:uid="{00000000-0005-0000-0000-0000A2490000}"/>
    <cellStyle name="ArialNormal 2 2 2 2 4 3 2" xfId="38668" xr:uid="{00000000-0005-0000-0000-0000A3490000}"/>
    <cellStyle name="ArialNormal 2 2 2 2 4 4" xfId="21811" xr:uid="{00000000-0005-0000-0000-0000A4490000}"/>
    <cellStyle name="ArialNormal 2 2 2 2 4 4 2" xfId="41153" xr:uid="{00000000-0005-0000-0000-0000A5490000}"/>
    <cellStyle name="ArialNormal 2 2 2 2 4 5" xfId="33752" xr:uid="{00000000-0005-0000-0000-0000A6490000}"/>
    <cellStyle name="ArialNormal 2 2 2 2 5" xfId="15024" xr:uid="{00000000-0005-0000-0000-0000A7490000}"/>
    <cellStyle name="ArialNormal 2 2 2 2 5 2" xfId="17500" xr:uid="{00000000-0005-0000-0000-0000A8490000}"/>
    <cellStyle name="ArialNormal 2 2 2 2 5 2 2" xfId="36854" xr:uid="{00000000-0005-0000-0000-0000A9490000}"/>
    <cellStyle name="ArialNormal 2 2 2 2 5 3" xfId="19931" xr:uid="{00000000-0005-0000-0000-0000AA490000}"/>
    <cellStyle name="ArialNormal 2 2 2 2 5 3 2" xfId="39284" xr:uid="{00000000-0005-0000-0000-0000AB490000}"/>
    <cellStyle name="ArialNormal 2 2 2 2 5 4" xfId="22444" xr:uid="{00000000-0005-0000-0000-0000AC490000}"/>
    <cellStyle name="ArialNormal 2 2 2 2 5 4 2" xfId="41786" xr:uid="{00000000-0005-0000-0000-0000AD490000}"/>
    <cellStyle name="ArialNormal 2 2 2 2 5 5" xfId="34385" xr:uid="{00000000-0005-0000-0000-0000AE490000}"/>
    <cellStyle name="ArialNormal 2 2 2 2 6" xfId="13582" xr:uid="{00000000-0005-0000-0000-0000AF490000}"/>
    <cellStyle name="ArialNormal 2 2 2 2 6 2" xfId="32948" xr:uid="{00000000-0005-0000-0000-0000B0490000}"/>
    <cellStyle name="ArialNormal 2 2 2 2 7" xfId="16115" xr:uid="{00000000-0005-0000-0000-0000B1490000}"/>
    <cellStyle name="ArialNormal 2 2 2 2 7 2" xfId="35469" xr:uid="{00000000-0005-0000-0000-0000B2490000}"/>
    <cellStyle name="ArialNormal 2 2 2 2 8" xfId="18534" xr:uid="{00000000-0005-0000-0000-0000B3490000}"/>
    <cellStyle name="ArialNormal 2 2 2 2 8 2" xfId="37887" xr:uid="{00000000-0005-0000-0000-0000B4490000}"/>
    <cellStyle name="ArialNormal 2 2 2 2 9" xfId="26171" xr:uid="{00000000-0005-0000-0000-0000B5490000}"/>
    <cellStyle name="ArialNormal 2 2 2 3" xfId="13650" xr:uid="{00000000-0005-0000-0000-0000B6490000}"/>
    <cellStyle name="ArialNormal 2 2 2 3 2" xfId="13948" xr:uid="{00000000-0005-0000-0000-0000B7490000}"/>
    <cellStyle name="ArialNormal 2 2 2 3 2 2" xfId="14743" xr:uid="{00000000-0005-0000-0000-0000B8490000}"/>
    <cellStyle name="ArialNormal 2 2 2 3 2 2 2" xfId="17221" xr:uid="{00000000-0005-0000-0000-0000B9490000}"/>
    <cellStyle name="ArialNormal 2 2 2 3 2 2 2 2" xfId="36575" xr:uid="{00000000-0005-0000-0000-0000BA490000}"/>
    <cellStyle name="ArialNormal 2 2 2 3 2 2 3" xfId="19652" xr:uid="{00000000-0005-0000-0000-0000BB490000}"/>
    <cellStyle name="ArialNormal 2 2 2 3 2 2 3 2" xfId="39005" xr:uid="{00000000-0005-0000-0000-0000BC490000}"/>
    <cellStyle name="ArialNormal 2 2 2 3 2 2 4" xfId="22163" xr:uid="{00000000-0005-0000-0000-0000BD490000}"/>
    <cellStyle name="ArialNormal 2 2 2 3 2 2 4 2" xfId="41505" xr:uid="{00000000-0005-0000-0000-0000BE490000}"/>
    <cellStyle name="ArialNormal 2 2 2 3 2 2 5" xfId="34104" xr:uid="{00000000-0005-0000-0000-0000BF490000}"/>
    <cellStyle name="ArialNormal 2 2 2 3 2 3" xfId="15291" xr:uid="{00000000-0005-0000-0000-0000C0490000}"/>
    <cellStyle name="ArialNormal 2 2 2 3 2 3 2" xfId="17767" xr:uid="{00000000-0005-0000-0000-0000C1490000}"/>
    <cellStyle name="ArialNormal 2 2 2 3 2 3 2 2" xfId="37121" xr:uid="{00000000-0005-0000-0000-0000C2490000}"/>
    <cellStyle name="ArialNormal 2 2 2 3 2 3 3" xfId="20198" xr:uid="{00000000-0005-0000-0000-0000C3490000}"/>
    <cellStyle name="ArialNormal 2 2 2 3 2 3 3 2" xfId="39551" xr:uid="{00000000-0005-0000-0000-0000C4490000}"/>
    <cellStyle name="ArialNormal 2 2 2 3 2 3 4" xfId="22711" xr:uid="{00000000-0005-0000-0000-0000C5490000}"/>
    <cellStyle name="ArialNormal 2 2 2 3 2 3 4 2" xfId="42053" xr:uid="{00000000-0005-0000-0000-0000C6490000}"/>
    <cellStyle name="ArialNormal 2 2 2 3 2 3 5" xfId="34652" xr:uid="{00000000-0005-0000-0000-0000C7490000}"/>
    <cellStyle name="ArialNormal 2 2 2 3 2 4" xfId="15750" xr:uid="{00000000-0005-0000-0000-0000C8490000}"/>
    <cellStyle name="ArialNormal 2 2 2 3 2 4 2" xfId="18226" xr:uid="{00000000-0005-0000-0000-0000C9490000}"/>
    <cellStyle name="ArialNormal 2 2 2 3 2 4 2 2" xfId="37580" xr:uid="{00000000-0005-0000-0000-0000CA490000}"/>
    <cellStyle name="ArialNormal 2 2 2 3 2 4 3" xfId="20657" xr:uid="{00000000-0005-0000-0000-0000CB490000}"/>
    <cellStyle name="ArialNormal 2 2 2 3 2 4 3 2" xfId="40010" xr:uid="{00000000-0005-0000-0000-0000CC490000}"/>
    <cellStyle name="ArialNormal 2 2 2 3 2 4 4" xfId="23170" xr:uid="{00000000-0005-0000-0000-0000CD490000}"/>
    <cellStyle name="ArialNormal 2 2 2 3 2 4 4 2" xfId="42512" xr:uid="{00000000-0005-0000-0000-0000CE490000}"/>
    <cellStyle name="ArialNormal 2 2 2 3 2 4 5" xfId="35111" xr:uid="{00000000-0005-0000-0000-0000CF490000}"/>
    <cellStyle name="ArialNormal 2 2 2 3 2 5" xfId="16454" xr:uid="{00000000-0005-0000-0000-0000D0490000}"/>
    <cellStyle name="ArialNormal 2 2 2 3 2 5 2" xfId="35808" xr:uid="{00000000-0005-0000-0000-0000D1490000}"/>
    <cellStyle name="ArialNormal 2 2 2 3 2 6" xfId="18885" xr:uid="{00000000-0005-0000-0000-0000D2490000}"/>
    <cellStyle name="ArialNormal 2 2 2 3 2 6 2" xfId="38238" xr:uid="{00000000-0005-0000-0000-0000D3490000}"/>
    <cellStyle name="ArialNormal 2 2 2 3 2 7" xfId="21371" xr:uid="{00000000-0005-0000-0000-0000D4490000}"/>
    <cellStyle name="ArialNormal 2 2 2 3 2 7 2" xfId="40713" xr:uid="{00000000-0005-0000-0000-0000D5490000}"/>
    <cellStyle name="ArialNormal 2 2 2 3 2 8" xfId="33312" xr:uid="{00000000-0005-0000-0000-0000D6490000}"/>
    <cellStyle name="ArialNormal 2 2 2 3 3" xfId="14162" xr:uid="{00000000-0005-0000-0000-0000D7490000}"/>
    <cellStyle name="ArialNormal 2 2 2 3 3 2" xfId="14939" xr:uid="{00000000-0005-0000-0000-0000D8490000}"/>
    <cellStyle name="ArialNormal 2 2 2 3 3 2 2" xfId="17417" xr:uid="{00000000-0005-0000-0000-0000D9490000}"/>
    <cellStyle name="ArialNormal 2 2 2 3 3 2 2 2" xfId="36771" xr:uid="{00000000-0005-0000-0000-0000DA490000}"/>
    <cellStyle name="ArialNormal 2 2 2 3 3 2 3" xfId="19848" xr:uid="{00000000-0005-0000-0000-0000DB490000}"/>
    <cellStyle name="ArialNormal 2 2 2 3 3 2 3 2" xfId="39201" xr:uid="{00000000-0005-0000-0000-0000DC490000}"/>
    <cellStyle name="ArialNormal 2 2 2 3 3 2 4" xfId="22359" xr:uid="{00000000-0005-0000-0000-0000DD490000}"/>
    <cellStyle name="ArialNormal 2 2 2 3 3 2 4 2" xfId="41701" xr:uid="{00000000-0005-0000-0000-0000DE490000}"/>
    <cellStyle name="ArialNormal 2 2 2 3 3 2 5" xfId="34300" xr:uid="{00000000-0005-0000-0000-0000DF490000}"/>
    <cellStyle name="ArialNormal 2 2 2 3 3 3" xfId="15485" xr:uid="{00000000-0005-0000-0000-0000E0490000}"/>
    <cellStyle name="ArialNormal 2 2 2 3 3 3 2" xfId="17961" xr:uid="{00000000-0005-0000-0000-0000E1490000}"/>
    <cellStyle name="ArialNormal 2 2 2 3 3 3 2 2" xfId="37315" xr:uid="{00000000-0005-0000-0000-0000E2490000}"/>
    <cellStyle name="ArialNormal 2 2 2 3 3 3 3" xfId="20392" xr:uid="{00000000-0005-0000-0000-0000E3490000}"/>
    <cellStyle name="ArialNormal 2 2 2 3 3 3 3 2" xfId="39745" xr:uid="{00000000-0005-0000-0000-0000E4490000}"/>
    <cellStyle name="ArialNormal 2 2 2 3 3 3 4" xfId="22905" xr:uid="{00000000-0005-0000-0000-0000E5490000}"/>
    <cellStyle name="ArialNormal 2 2 2 3 3 3 4 2" xfId="42247" xr:uid="{00000000-0005-0000-0000-0000E6490000}"/>
    <cellStyle name="ArialNormal 2 2 2 3 3 3 5" xfId="34846" xr:uid="{00000000-0005-0000-0000-0000E7490000}"/>
    <cellStyle name="ArialNormal 2 2 2 3 3 4" xfId="15944" xr:uid="{00000000-0005-0000-0000-0000E8490000}"/>
    <cellStyle name="ArialNormal 2 2 2 3 3 4 2" xfId="18420" xr:uid="{00000000-0005-0000-0000-0000E9490000}"/>
    <cellStyle name="ArialNormal 2 2 2 3 3 4 2 2" xfId="37774" xr:uid="{00000000-0005-0000-0000-0000EA490000}"/>
    <cellStyle name="ArialNormal 2 2 2 3 3 4 3" xfId="20851" xr:uid="{00000000-0005-0000-0000-0000EB490000}"/>
    <cellStyle name="ArialNormal 2 2 2 3 3 4 3 2" xfId="40204" xr:uid="{00000000-0005-0000-0000-0000EC490000}"/>
    <cellStyle name="ArialNormal 2 2 2 3 3 4 4" xfId="23364" xr:uid="{00000000-0005-0000-0000-0000ED490000}"/>
    <cellStyle name="ArialNormal 2 2 2 3 3 4 4 2" xfId="42706" xr:uid="{00000000-0005-0000-0000-0000EE490000}"/>
    <cellStyle name="ArialNormal 2 2 2 3 3 4 5" xfId="35305" xr:uid="{00000000-0005-0000-0000-0000EF490000}"/>
    <cellStyle name="ArialNormal 2 2 2 3 3 5" xfId="16668" xr:uid="{00000000-0005-0000-0000-0000F0490000}"/>
    <cellStyle name="ArialNormal 2 2 2 3 3 5 2" xfId="36022" xr:uid="{00000000-0005-0000-0000-0000F1490000}"/>
    <cellStyle name="ArialNormal 2 2 2 3 3 6" xfId="19099" xr:uid="{00000000-0005-0000-0000-0000F2490000}"/>
    <cellStyle name="ArialNormal 2 2 2 3 3 6 2" xfId="38452" xr:uid="{00000000-0005-0000-0000-0000F3490000}"/>
    <cellStyle name="ArialNormal 2 2 2 3 3 7" xfId="21585" xr:uid="{00000000-0005-0000-0000-0000F4490000}"/>
    <cellStyle name="ArialNormal 2 2 2 3 3 7 2" xfId="40927" xr:uid="{00000000-0005-0000-0000-0000F5490000}"/>
    <cellStyle name="ArialNormal 2 2 2 3 3 8" xfId="33526" xr:uid="{00000000-0005-0000-0000-0000F6490000}"/>
    <cellStyle name="ArialNormal 2 2 2 3 4" xfId="14458" xr:uid="{00000000-0005-0000-0000-0000F7490000}"/>
    <cellStyle name="ArialNormal 2 2 2 3 4 2" xfId="16948" xr:uid="{00000000-0005-0000-0000-0000F8490000}"/>
    <cellStyle name="ArialNormal 2 2 2 3 4 2 2" xfId="36302" xr:uid="{00000000-0005-0000-0000-0000F9490000}"/>
    <cellStyle name="ArialNormal 2 2 2 3 4 3" xfId="19379" xr:uid="{00000000-0005-0000-0000-0000FA490000}"/>
    <cellStyle name="ArialNormal 2 2 2 3 4 3 2" xfId="38732" xr:uid="{00000000-0005-0000-0000-0000FB490000}"/>
    <cellStyle name="ArialNormal 2 2 2 3 4 4" xfId="21878" xr:uid="{00000000-0005-0000-0000-0000FC490000}"/>
    <cellStyle name="ArialNormal 2 2 2 3 4 4 2" xfId="41220" xr:uid="{00000000-0005-0000-0000-0000FD490000}"/>
    <cellStyle name="ArialNormal 2 2 2 3 4 5" xfId="33819" xr:uid="{00000000-0005-0000-0000-0000FE490000}"/>
    <cellStyle name="ArialNormal 2 2 2 3 5" xfId="15530" xr:uid="{00000000-0005-0000-0000-0000FF490000}"/>
    <cellStyle name="ArialNormal 2 2 2 3 5 2" xfId="18006" xr:uid="{00000000-0005-0000-0000-0000004A0000}"/>
    <cellStyle name="ArialNormal 2 2 2 3 5 2 2" xfId="37360" xr:uid="{00000000-0005-0000-0000-0000014A0000}"/>
    <cellStyle name="ArialNormal 2 2 2 3 5 3" xfId="20437" xr:uid="{00000000-0005-0000-0000-0000024A0000}"/>
    <cellStyle name="ArialNormal 2 2 2 3 5 3 2" xfId="39790" xr:uid="{00000000-0005-0000-0000-0000034A0000}"/>
    <cellStyle name="ArialNormal 2 2 2 3 5 4" xfId="22950" xr:uid="{00000000-0005-0000-0000-0000044A0000}"/>
    <cellStyle name="ArialNormal 2 2 2 3 5 4 2" xfId="42292" xr:uid="{00000000-0005-0000-0000-0000054A0000}"/>
    <cellStyle name="ArialNormal 2 2 2 3 5 5" xfId="34891" xr:uid="{00000000-0005-0000-0000-0000064A0000}"/>
    <cellStyle name="ArialNormal 2 2 2 3 6" xfId="16170" xr:uid="{00000000-0005-0000-0000-0000074A0000}"/>
    <cellStyle name="ArialNormal 2 2 2 3 6 2" xfId="35524" xr:uid="{00000000-0005-0000-0000-0000084A0000}"/>
    <cellStyle name="ArialNormal 2 2 2 3 7" xfId="18601" xr:uid="{00000000-0005-0000-0000-0000094A0000}"/>
    <cellStyle name="ArialNormal 2 2 2 3 7 2" xfId="37954" xr:uid="{00000000-0005-0000-0000-00000A4A0000}"/>
    <cellStyle name="ArialNormal 2 2 2 3 8" xfId="21075" xr:uid="{00000000-0005-0000-0000-00000B4A0000}"/>
    <cellStyle name="ArialNormal 2 2 2 3 8 2" xfId="40417" xr:uid="{00000000-0005-0000-0000-00000C4A0000}"/>
    <cellStyle name="ArialNormal 2 2 2 3 9" xfId="33016" xr:uid="{00000000-0005-0000-0000-00000D4A0000}"/>
    <cellStyle name="ArialNormal 2 2 2 4" xfId="13998" xr:uid="{00000000-0005-0000-0000-00000E4A0000}"/>
    <cellStyle name="ArialNormal 2 2 2 4 2" xfId="14793" xr:uid="{00000000-0005-0000-0000-00000F4A0000}"/>
    <cellStyle name="ArialNormal 2 2 2 4 2 2" xfId="17271" xr:uid="{00000000-0005-0000-0000-0000104A0000}"/>
    <cellStyle name="ArialNormal 2 2 2 4 2 2 2" xfId="36625" xr:uid="{00000000-0005-0000-0000-0000114A0000}"/>
    <cellStyle name="ArialNormal 2 2 2 4 2 3" xfId="19702" xr:uid="{00000000-0005-0000-0000-0000124A0000}"/>
    <cellStyle name="ArialNormal 2 2 2 4 2 3 2" xfId="39055" xr:uid="{00000000-0005-0000-0000-0000134A0000}"/>
    <cellStyle name="ArialNormal 2 2 2 4 2 4" xfId="22213" xr:uid="{00000000-0005-0000-0000-0000144A0000}"/>
    <cellStyle name="ArialNormal 2 2 2 4 2 4 2" xfId="41555" xr:uid="{00000000-0005-0000-0000-0000154A0000}"/>
    <cellStyle name="ArialNormal 2 2 2 4 2 5" xfId="34154" xr:uid="{00000000-0005-0000-0000-0000164A0000}"/>
    <cellStyle name="ArialNormal 2 2 2 4 3" xfId="15341" xr:uid="{00000000-0005-0000-0000-0000174A0000}"/>
    <cellStyle name="ArialNormal 2 2 2 4 3 2" xfId="17817" xr:uid="{00000000-0005-0000-0000-0000184A0000}"/>
    <cellStyle name="ArialNormal 2 2 2 4 3 2 2" xfId="37171" xr:uid="{00000000-0005-0000-0000-0000194A0000}"/>
    <cellStyle name="ArialNormal 2 2 2 4 3 3" xfId="20248" xr:uid="{00000000-0005-0000-0000-00001A4A0000}"/>
    <cellStyle name="ArialNormal 2 2 2 4 3 3 2" xfId="39601" xr:uid="{00000000-0005-0000-0000-00001B4A0000}"/>
    <cellStyle name="ArialNormal 2 2 2 4 3 4" xfId="22761" xr:uid="{00000000-0005-0000-0000-00001C4A0000}"/>
    <cellStyle name="ArialNormal 2 2 2 4 3 4 2" xfId="42103" xr:uid="{00000000-0005-0000-0000-00001D4A0000}"/>
    <cellStyle name="ArialNormal 2 2 2 4 3 5" xfId="34702" xr:uid="{00000000-0005-0000-0000-00001E4A0000}"/>
    <cellStyle name="ArialNormal 2 2 2 4 4" xfId="15800" xr:uid="{00000000-0005-0000-0000-00001F4A0000}"/>
    <cellStyle name="ArialNormal 2 2 2 4 4 2" xfId="18276" xr:uid="{00000000-0005-0000-0000-0000204A0000}"/>
    <cellStyle name="ArialNormal 2 2 2 4 4 2 2" xfId="37630" xr:uid="{00000000-0005-0000-0000-0000214A0000}"/>
    <cellStyle name="ArialNormal 2 2 2 4 4 3" xfId="20707" xr:uid="{00000000-0005-0000-0000-0000224A0000}"/>
    <cellStyle name="ArialNormal 2 2 2 4 4 3 2" xfId="40060" xr:uid="{00000000-0005-0000-0000-0000234A0000}"/>
    <cellStyle name="ArialNormal 2 2 2 4 4 4" xfId="23220" xr:uid="{00000000-0005-0000-0000-0000244A0000}"/>
    <cellStyle name="ArialNormal 2 2 2 4 4 4 2" xfId="42562" xr:uid="{00000000-0005-0000-0000-0000254A0000}"/>
    <cellStyle name="ArialNormal 2 2 2 4 4 5" xfId="35161" xr:uid="{00000000-0005-0000-0000-0000264A0000}"/>
    <cellStyle name="ArialNormal 2 2 2 4 5" xfId="16504" xr:uid="{00000000-0005-0000-0000-0000274A0000}"/>
    <cellStyle name="ArialNormal 2 2 2 4 5 2" xfId="35858" xr:uid="{00000000-0005-0000-0000-0000284A0000}"/>
    <cellStyle name="ArialNormal 2 2 2 4 6" xfId="18935" xr:uid="{00000000-0005-0000-0000-0000294A0000}"/>
    <cellStyle name="ArialNormal 2 2 2 4 6 2" xfId="38288" xr:uid="{00000000-0005-0000-0000-00002A4A0000}"/>
    <cellStyle name="ArialNormal 2 2 2 4 7" xfId="21421" xr:uid="{00000000-0005-0000-0000-00002B4A0000}"/>
    <cellStyle name="ArialNormal 2 2 2 4 7 2" xfId="40763" xr:uid="{00000000-0005-0000-0000-00002C4A0000}"/>
    <cellStyle name="ArialNormal 2 2 2 4 8" xfId="33362" xr:uid="{00000000-0005-0000-0000-00002D4A0000}"/>
    <cellStyle name="ArialNormal 2 2 2 5" xfId="13455" xr:uid="{00000000-0005-0000-0000-00002E4A0000}"/>
    <cellStyle name="ArialNormal 2 2 2 5 2" xfId="32834" xr:uid="{00000000-0005-0000-0000-00002F4A0000}"/>
    <cellStyle name="ArialNormal 2 2 2 6" xfId="16025" xr:uid="{00000000-0005-0000-0000-0000304A0000}"/>
    <cellStyle name="ArialNormal 2 2 2 6 2" xfId="35379" xr:uid="{00000000-0005-0000-0000-0000314A0000}"/>
    <cellStyle name="ArialNormal 2 2 2 7" xfId="13271" xr:uid="{00000000-0005-0000-0000-0000324A0000}"/>
    <cellStyle name="ArialNormal 2 2 2 7 2" xfId="32719" xr:uid="{00000000-0005-0000-0000-0000334A0000}"/>
    <cellStyle name="ArialNormal 2 2 2 8" xfId="20955" xr:uid="{00000000-0005-0000-0000-0000344A0000}"/>
    <cellStyle name="ArialNormal 2 2 2 8 2" xfId="40297" xr:uid="{00000000-0005-0000-0000-0000354A0000}"/>
    <cellStyle name="ArialNormal 2 2 2 9" xfId="24702" xr:uid="{00000000-0005-0000-0000-0000364A0000}"/>
    <cellStyle name="ArialNormal 2 2 3" xfId="6624" xr:uid="{00000000-0005-0000-0000-0000374A0000}"/>
    <cellStyle name="ArialNormal 2 2 3 10" xfId="20981" xr:uid="{00000000-0005-0000-0000-0000384A0000}"/>
    <cellStyle name="ArialNormal 2 2 3 10 2" xfId="40323" xr:uid="{00000000-0005-0000-0000-0000394A0000}"/>
    <cellStyle name="ArialNormal 2 2 3 11" xfId="26109" xr:uid="{00000000-0005-0000-0000-00003A4A0000}"/>
    <cellStyle name="ArialNormal 2 2 3 2" xfId="13606" xr:uid="{00000000-0005-0000-0000-00003B4A0000}"/>
    <cellStyle name="ArialNormal 2 2 3 2 2" xfId="13907" xr:uid="{00000000-0005-0000-0000-00003C4A0000}"/>
    <cellStyle name="ArialNormal 2 2 3 2 2 2" xfId="14702" xr:uid="{00000000-0005-0000-0000-00003D4A0000}"/>
    <cellStyle name="ArialNormal 2 2 3 2 2 2 2" xfId="17180" xr:uid="{00000000-0005-0000-0000-00003E4A0000}"/>
    <cellStyle name="ArialNormal 2 2 3 2 2 2 2 2" xfId="36534" xr:uid="{00000000-0005-0000-0000-00003F4A0000}"/>
    <cellStyle name="ArialNormal 2 2 3 2 2 2 3" xfId="19611" xr:uid="{00000000-0005-0000-0000-0000404A0000}"/>
    <cellStyle name="ArialNormal 2 2 3 2 2 2 3 2" xfId="38964" xr:uid="{00000000-0005-0000-0000-0000414A0000}"/>
    <cellStyle name="ArialNormal 2 2 3 2 2 2 4" xfId="22122" xr:uid="{00000000-0005-0000-0000-0000424A0000}"/>
    <cellStyle name="ArialNormal 2 2 3 2 2 2 4 2" xfId="41464" xr:uid="{00000000-0005-0000-0000-0000434A0000}"/>
    <cellStyle name="ArialNormal 2 2 3 2 2 2 5" xfId="34063" xr:uid="{00000000-0005-0000-0000-0000444A0000}"/>
    <cellStyle name="ArialNormal 2 2 3 2 2 3" xfId="15250" xr:uid="{00000000-0005-0000-0000-0000454A0000}"/>
    <cellStyle name="ArialNormal 2 2 3 2 2 3 2" xfId="17726" xr:uid="{00000000-0005-0000-0000-0000464A0000}"/>
    <cellStyle name="ArialNormal 2 2 3 2 2 3 2 2" xfId="37080" xr:uid="{00000000-0005-0000-0000-0000474A0000}"/>
    <cellStyle name="ArialNormal 2 2 3 2 2 3 3" xfId="20157" xr:uid="{00000000-0005-0000-0000-0000484A0000}"/>
    <cellStyle name="ArialNormal 2 2 3 2 2 3 3 2" xfId="39510" xr:uid="{00000000-0005-0000-0000-0000494A0000}"/>
    <cellStyle name="ArialNormal 2 2 3 2 2 3 4" xfId="22670" xr:uid="{00000000-0005-0000-0000-00004A4A0000}"/>
    <cellStyle name="ArialNormal 2 2 3 2 2 3 4 2" xfId="42012" xr:uid="{00000000-0005-0000-0000-00004B4A0000}"/>
    <cellStyle name="ArialNormal 2 2 3 2 2 3 5" xfId="34611" xr:uid="{00000000-0005-0000-0000-00004C4A0000}"/>
    <cellStyle name="ArialNormal 2 2 3 2 2 4" xfId="15709" xr:uid="{00000000-0005-0000-0000-00004D4A0000}"/>
    <cellStyle name="ArialNormal 2 2 3 2 2 4 2" xfId="18185" xr:uid="{00000000-0005-0000-0000-00004E4A0000}"/>
    <cellStyle name="ArialNormal 2 2 3 2 2 4 2 2" xfId="37539" xr:uid="{00000000-0005-0000-0000-00004F4A0000}"/>
    <cellStyle name="ArialNormal 2 2 3 2 2 4 3" xfId="20616" xr:uid="{00000000-0005-0000-0000-0000504A0000}"/>
    <cellStyle name="ArialNormal 2 2 3 2 2 4 3 2" xfId="39969" xr:uid="{00000000-0005-0000-0000-0000514A0000}"/>
    <cellStyle name="ArialNormal 2 2 3 2 2 4 4" xfId="23129" xr:uid="{00000000-0005-0000-0000-0000524A0000}"/>
    <cellStyle name="ArialNormal 2 2 3 2 2 4 4 2" xfId="42471" xr:uid="{00000000-0005-0000-0000-0000534A0000}"/>
    <cellStyle name="ArialNormal 2 2 3 2 2 4 5" xfId="35070" xr:uid="{00000000-0005-0000-0000-0000544A0000}"/>
    <cellStyle name="ArialNormal 2 2 3 2 2 5" xfId="16413" xr:uid="{00000000-0005-0000-0000-0000554A0000}"/>
    <cellStyle name="ArialNormal 2 2 3 2 2 5 2" xfId="35767" xr:uid="{00000000-0005-0000-0000-0000564A0000}"/>
    <cellStyle name="ArialNormal 2 2 3 2 2 6" xfId="18844" xr:uid="{00000000-0005-0000-0000-0000574A0000}"/>
    <cellStyle name="ArialNormal 2 2 3 2 2 6 2" xfId="38197" xr:uid="{00000000-0005-0000-0000-0000584A0000}"/>
    <cellStyle name="ArialNormal 2 2 3 2 2 7" xfId="21330" xr:uid="{00000000-0005-0000-0000-0000594A0000}"/>
    <cellStyle name="ArialNormal 2 2 3 2 2 7 2" xfId="40672" xr:uid="{00000000-0005-0000-0000-00005A4A0000}"/>
    <cellStyle name="ArialNormal 2 2 3 2 2 8" xfId="33271" xr:uid="{00000000-0005-0000-0000-00005B4A0000}"/>
    <cellStyle name="ArialNormal 2 2 3 2 3" xfId="14122" xr:uid="{00000000-0005-0000-0000-00005C4A0000}"/>
    <cellStyle name="ArialNormal 2 2 3 2 3 2" xfId="14903" xr:uid="{00000000-0005-0000-0000-00005D4A0000}"/>
    <cellStyle name="ArialNormal 2 2 3 2 3 2 2" xfId="17381" xr:uid="{00000000-0005-0000-0000-00005E4A0000}"/>
    <cellStyle name="ArialNormal 2 2 3 2 3 2 2 2" xfId="36735" xr:uid="{00000000-0005-0000-0000-00005F4A0000}"/>
    <cellStyle name="ArialNormal 2 2 3 2 3 2 3" xfId="19812" xr:uid="{00000000-0005-0000-0000-0000604A0000}"/>
    <cellStyle name="ArialNormal 2 2 3 2 3 2 3 2" xfId="39165" xr:uid="{00000000-0005-0000-0000-0000614A0000}"/>
    <cellStyle name="ArialNormal 2 2 3 2 3 2 4" xfId="22323" xr:uid="{00000000-0005-0000-0000-0000624A0000}"/>
    <cellStyle name="ArialNormal 2 2 3 2 3 2 4 2" xfId="41665" xr:uid="{00000000-0005-0000-0000-0000634A0000}"/>
    <cellStyle name="ArialNormal 2 2 3 2 3 2 5" xfId="34264" xr:uid="{00000000-0005-0000-0000-0000644A0000}"/>
    <cellStyle name="ArialNormal 2 2 3 2 3 3" xfId="15450" xr:uid="{00000000-0005-0000-0000-0000654A0000}"/>
    <cellStyle name="ArialNormal 2 2 3 2 3 3 2" xfId="17926" xr:uid="{00000000-0005-0000-0000-0000664A0000}"/>
    <cellStyle name="ArialNormal 2 2 3 2 3 3 2 2" xfId="37280" xr:uid="{00000000-0005-0000-0000-0000674A0000}"/>
    <cellStyle name="ArialNormal 2 2 3 2 3 3 3" xfId="20357" xr:uid="{00000000-0005-0000-0000-0000684A0000}"/>
    <cellStyle name="ArialNormal 2 2 3 2 3 3 3 2" xfId="39710" xr:uid="{00000000-0005-0000-0000-0000694A0000}"/>
    <cellStyle name="ArialNormal 2 2 3 2 3 3 4" xfId="22870" xr:uid="{00000000-0005-0000-0000-00006A4A0000}"/>
    <cellStyle name="ArialNormal 2 2 3 2 3 3 4 2" xfId="42212" xr:uid="{00000000-0005-0000-0000-00006B4A0000}"/>
    <cellStyle name="ArialNormal 2 2 3 2 3 3 5" xfId="34811" xr:uid="{00000000-0005-0000-0000-00006C4A0000}"/>
    <cellStyle name="ArialNormal 2 2 3 2 3 4" xfId="15909" xr:uid="{00000000-0005-0000-0000-00006D4A0000}"/>
    <cellStyle name="ArialNormal 2 2 3 2 3 4 2" xfId="18385" xr:uid="{00000000-0005-0000-0000-00006E4A0000}"/>
    <cellStyle name="ArialNormal 2 2 3 2 3 4 2 2" xfId="37739" xr:uid="{00000000-0005-0000-0000-00006F4A0000}"/>
    <cellStyle name="ArialNormal 2 2 3 2 3 4 3" xfId="20816" xr:uid="{00000000-0005-0000-0000-0000704A0000}"/>
    <cellStyle name="ArialNormal 2 2 3 2 3 4 3 2" xfId="40169" xr:uid="{00000000-0005-0000-0000-0000714A0000}"/>
    <cellStyle name="ArialNormal 2 2 3 2 3 4 4" xfId="23329" xr:uid="{00000000-0005-0000-0000-0000724A0000}"/>
    <cellStyle name="ArialNormal 2 2 3 2 3 4 4 2" xfId="42671" xr:uid="{00000000-0005-0000-0000-0000734A0000}"/>
    <cellStyle name="ArialNormal 2 2 3 2 3 4 5" xfId="35270" xr:uid="{00000000-0005-0000-0000-0000744A0000}"/>
    <cellStyle name="ArialNormal 2 2 3 2 3 5" xfId="16628" xr:uid="{00000000-0005-0000-0000-0000754A0000}"/>
    <cellStyle name="ArialNormal 2 2 3 2 3 5 2" xfId="35982" xr:uid="{00000000-0005-0000-0000-0000764A0000}"/>
    <cellStyle name="ArialNormal 2 2 3 2 3 6" xfId="19059" xr:uid="{00000000-0005-0000-0000-0000774A0000}"/>
    <cellStyle name="ArialNormal 2 2 3 2 3 6 2" xfId="38412" xr:uid="{00000000-0005-0000-0000-0000784A0000}"/>
    <cellStyle name="ArialNormal 2 2 3 2 3 7" xfId="21545" xr:uid="{00000000-0005-0000-0000-0000794A0000}"/>
    <cellStyle name="ArialNormal 2 2 3 2 3 7 2" xfId="40887" xr:uid="{00000000-0005-0000-0000-00007A4A0000}"/>
    <cellStyle name="ArialNormal 2 2 3 2 3 8" xfId="33486" xr:uid="{00000000-0005-0000-0000-00007B4A0000}"/>
    <cellStyle name="ArialNormal 2 2 3 2 4" xfId="14417" xr:uid="{00000000-0005-0000-0000-00007C4A0000}"/>
    <cellStyle name="ArialNormal 2 2 3 2 4 2" xfId="16907" xr:uid="{00000000-0005-0000-0000-00007D4A0000}"/>
    <cellStyle name="ArialNormal 2 2 3 2 4 2 2" xfId="36261" xr:uid="{00000000-0005-0000-0000-00007E4A0000}"/>
    <cellStyle name="ArialNormal 2 2 3 2 4 3" xfId="19338" xr:uid="{00000000-0005-0000-0000-00007F4A0000}"/>
    <cellStyle name="ArialNormal 2 2 3 2 4 3 2" xfId="38691" xr:uid="{00000000-0005-0000-0000-0000804A0000}"/>
    <cellStyle name="ArialNormal 2 2 3 2 4 4" xfId="21837" xr:uid="{00000000-0005-0000-0000-0000814A0000}"/>
    <cellStyle name="ArialNormal 2 2 3 2 4 4 2" xfId="41179" xr:uid="{00000000-0005-0000-0000-0000824A0000}"/>
    <cellStyle name="ArialNormal 2 2 3 2 4 5" xfId="33778" xr:uid="{00000000-0005-0000-0000-0000834A0000}"/>
    <cellStyle name="ArialNormal 2 2 3 2 5" xfId="15041" xr:uid="{00000000-0005-0000-0000-0000844A0000}"/>
    <cellStyle name="ArialNormal 2 2 3 2 5 2" xfId="17517" xr:uid="{00000000-0005-0000-0000-0000854A0000}"/>
    <cellStyle name="ArialNormal 2 2 3 2 5 2 2" xfId="36871" xr:uid="{00000000-0005-0000-0000-0000864A0000}"/>
    <cellStyle name="ArialNormal 2 2 3 2 5 3" xfId="19948" xr:uid="{00000000-0005-0000-0000-0000874A0000}"/>
    <cellStyle name="ArialNormal 2 2 3 2 5 3 2" xfId="39301" xr:uid="{00000000-0005-0000-0000-0000884A0000}"/>
    <cellStyle name="ArialNormal 2 2 3 2 5 4" xfId="22461" xr:uid="{00000000-0005-0000-0000-0000894A0000}"/>
    <cellStyle name="ArialNormal 2 2 3 2 5 4 2" xfId="41803" xr:uid="{00000000-0005-0000-0000-00008A4A0000}"/>
    <cellStyle name="ArialNormal 2 2 3 2 5 5" xfId="34402" xr:uid="{00000000-0005-0000-0000-00008B4A0000}"/>
    <cellStyle name="ArialNormal 2 2 3 2 6" xfId="16130" xr:uid="{00000000-0005-0000-0000-00008C4A0000}"/>
    <cellStyle name="ArialNormal 2 2 3 2 6 2" xfId="35484" xr:uid="{00000000-0005-0000-0000-00008D4A0000}"/>
    <cellStyle name="ArialNormal 2 2 3 2 7" xfId="18557" xr:uid="{00000000-0005-0000-0000-00008E4A0000}"/>
    <cellStyle name="ArialNormal 2 2 3 2 7 2" xfId="37910" xr:uid="{00000000-0005-0000-0000-00008F4A0000}"/>
    <cellStyle name="ArialNormal 2 2 3 2 8" xfId="32972" xr:uid="{00000000-0005-0000-0000-0000904A0000}"/>
    <cellStyle name="ArialNormal 2 2 3 3" xfId="13673" xr:uid="{00000000-0005-0000-0000-0000914A0000}"/>
    <cellStyle name="ArialNormal 2 2 3 3 2" xfId="13971" xr:uid="{00000000-0005-0000-0000-0000924A0000}"/>
    <cellStyle name="ArialNormal 2 2 3 3 2 2" xfId="14766" xr:uid="{00000000-0005-0000-0000-0000934A0000}"/>
    <cellStyle name="ArialNormal 2 2 3 3 2 2 2" xfId="17244" xr:uid="{00000000-0005-0000-0000-0000944A0000}"/>
    <cellStyle name="ArialNormal 2 2 3 3 2 2 2 2" xfId="36598" xr:uid="{00000000-0005-0000-0000-0000954A0000}"/>
    <cellStyle name="ArialNormal 2 2 3 3 2 2 3" xfId="19675" xr:uid="{00000000-0005-0000-0000-0000964A0000}"/>
    <cellStyle name="ArialNormal 2 2 3 3 2 2 3 2" xfId="39028" xr:uid="{00000000-0005-0000-0000-0000974A0000}"/>
    <cellStyle name="ArialNormal 2 2 3 3 2 2 4" xfId="22186" xr:uid="{00000000-0005-0000-0000-0000984A0000}"/>
    <cellStyle name="ArialNormal 2 2 3 3 2 2 4 2" xfId="41528" xr:uid="{00000000-0005-0000-0000-0000994A0000}"/>
    <cellStyle name="ArialNormal 2 2 3 3 2 2 5" xfId="34127" xr:uid="{00000000-0005-0000-0000-00009A4A0000}"/>
    <cellStyle name="ArialNormal 2 2 3 3 2 3" xfId="15314" xr:uid="{00000000-0005-0000-0000-00009B4A0000}"/>
    <cellStyle name="ArialNormal 2 2 3 3 2 3 2" xfId="17790" xr:uid="{00000000-0005-0000-0000-00009C4A0000}"/>
    <cellStyle name="ArialNormal 2 2 3 3 2 3 2 2" xfId="37144" xr:uid="{00000000-0005-0000-0000-00009D4A0000}"/>
    <cellStyle name="ArialNormal 2 2 3 3 2 3 3" xfId="20221" xr:uid="{00000000-0005-0000-0000-00009E4A0000}"/>
    <cellStyle name="ArialNormal 2 2 3 3 2 3 3 2" xfId="39574" xr:uid="{00000000-0005-0000-0000-00009F4A0000}"/>
    <cellStyle name="ArialNormal 2 2 3 3 2 3 4" xfId="22734" xr:uid="{00000000-0005-0000-0000-0000A04A0000}"/>
    <cellStyle name="ArialNormal 2 2 3 3 2 3 4 2" xfId="42076" xr:uid="{00000000-0005-0000-0000-0000A14A0000}"/>
    <cellStyle name="ArialNormal 2 2 3 3 2 3 5" xfId="34675" xr:uid="{00000000-0005-0000-0000-0000A24A0000}"/>
    <cellStyle name="ArialNormal 2 2 3 3 2 4" xfId="15773" xr:uid="{00000000-0005-0000-0000-0000A34A0000}"/>
    <cellStyle name="ArialNormal 2 2 3 3 2 4 2" xfId="18249" xr:uid="{00000000-0005-0000-0000-0000A44A0000}"/>
    <cellStyle name="ArialNormal 2 2 3 3 2 4 2 2" xfId="37603" xr:uid="{00000000-0005-0000-0000-0000A54A0000}"/>
    <cellStyle name="ArialNormal 2 2 3 3 2 4 3" xfId="20680" xr:uid="{00000000-0005-0000-0000-0000A64A0000}"/>
    <cellStyle name="ArialNormal 2 2 3 3 2 4 3 2" xfId="40033" xr:uid="{00000000-0005-0000-0000-0000A74A0000}"/>
    <cellStyle name="ArialNormal 2 2 3 3 2 4 4" xfId="23193" xr:uid="{00000000-0005-0000-0000-0000A84A0000}"/>
    <cellStyle name="ArialNormal 2 2 3 3 2 4 4 2" xfId="42535" xr:uid="{00000000-0005-0000-0000-0000A94A0000}"/>
    <cellStyle name="ArialNormal 2 2 3 3 2 4 5" xfId="35134" xr:uid="{00000000-0005-0000-0000-0000AA4A0000}"/>
    <cellStyle name="ArialNormal 2 2 3 3 2 5" xfId="16477" xr:uid="{00000000-0005-0000-0000-0000AB4A0000}"/>
    <cellStyle name="ArialNormal 2 2 3 3 2 5 2" xfId="35831" xr:uid="{00000000-0005-0000-0000-0000AC4A0000}"/>
    <cellStyle name="ArialNormal 2 2 3 3 2 6" xfId="18908" xr:uid="{00000000-0005-0000-0000-0000AD4A0000}"/>
    <cellStyle name="ArialNormal 2 2 3 3 2 6 2" xfId="38261" xr:uid="{00000000-0005-0000-0000-0000AE4A0000}"/>
    <cellStyle name="ArialNormal 2 2 3 3 2 7" xfId="21394" xr:uid="{00000000-0005-0000-0000-0000AF4A0000}"/>
    <cellStyle name="ArialNormal 2 2 3 3 2 7 2" xfId="40736" xr:uid="{00000000-0005-0000-0000-0000B04A0000}"/>
    <cellStyle name="ArialNormal 2 2 3 3 2 8" xfId="33335" xr:uid="{00000000-0005-0000-0000-0000B14A0000}"/>
    <cellStyle name="ArialNormal 2 2 3 3 3" xfId="14184" xr:uid="{00000000-0005-0000-0000-0000B24A0000}"/>
    <cellStyle name="ArialNormal 2 2 3 3 3 2" xfId="14961" xr:uid="{00000000-0005-0000-0000-0000B34A0000}"/>
    <cellStyle name="ArialNormal 2 2 3 3 3 2 2" xfId="17439" xr:uid="{00000000-0005-0000-0000-0000B44A0000}"/>
    <cellStyle name="ArialNormal 2 2 3 3 3 2 2 2" xfId="36793" xr:uid="{00000000-0005-0000-0000-0000B54A0000}"/>
    <cellStyle name="ArialNormal 2 2 3 3 3 2 3" xfId="19870" xr:uid="{00000000-0005-0000-0000-0000B64A0000}"/>
    <cellStyle name="ArialNormal 2 2 3 3 3 2 3 2" xfId="39223" xr:uid="{00000000-0005-0000-0000-0000B74A0000}"/>
    <cellStyle name="ArialNormal 2 2 3 3 3 2 4" xfId="22381" xr:uid="{00000000-0005-0000-0000-0000B84A0000}"/>
    <cellStyle name="ArialNormal 2 2 3 3 3 2 4 2" xfId="41723" xr:uid="{00000000-0005-0000-0000-0000B94A0000}"/>
    <cellStyle name="ArialNormal 2 2 3 3 3 2 5" xfId="34322" xr:uid="{00000000-0005-0000-0000-0000BA4A0000}"/>
    <cellStyle name="ArialNormal 2 2 3 3 3 3" xfId="15507" xr:uid="{00000000-0005-0000-0000-0000BB4A0000}"/>
    <cellStyle name="ArialNormal 2 2 3 3 3 3 2" xfId="17983" xr:uid="{00000000-0005-0000-0000-0000BC4A0000}"/>
    <cellStyle name="ArialNormal 2 2 3 3 3 3 2 2" xfId="37337" xr:uid="{00000000-0005-0000-0000-0000BD4A0000}"/>
    <cellStyle name="ArialNormal 2 2 3 3 3 3 3" xfId="20414" xr:uid="{00000000-0005-0000-0000-0000BE4A0000}"/>
    <cellStyle name="ArialNormal 2 2 3 3 3 3 3 2" xfId="39767" xr:uid="{00000000-0005-0000-0000-0000BF4A0000}"/>
    <cellStyle name="ArialNormal 2 2 3 3 3 3 4" xfId="22927" xr:uid="{00000000-0005-0000-0000-0000C04A0000}"/>
    <cellStyle name="ArialNormal 2 2 3 3 3 3 4 2" xfId="42269" xr:uid="{00000000-0005-0000-0000-0000C14A0000}"/>
    <cellStyle name="ArialNormal 2 2 3 3 3 3 5" xfId="34868" xr:uid="{00000000-0005-0000-0000-0000C24A0000}"/>
    <cellStyle name="ArialNormal 2 2 3 3 3 4" xfId="15966" xr:uid="{00000000-0005-0000-0000-0000C34A0000}"/>
    <cellStyle name="ArialNormal 2 2 3 3 3 4 2" xfId="18442" xr:uid="{00000000-0005-0000-0000-0000C44A0000}"/>
    <cellStyle name="ArialNormal 2 2 3 3 3 4 2 2" xfId="37796" xr:uid="{00000000-0005-0000-0000-0000C54A0000}"/>
    <cellStyle name="ArialNormal 2 2 3 3 3 4 3" xfId="20873" xr:uid="{00000000-0005-0000-0000-0000C64A0000}"/>
    <cellStyle name="ArialNormal 2 2 3 3 3 4 3 2" xfId="40226" xr:uid="{00000000-0005-0000-0000-0000C74A0000}"/>
    <cellStyle name="ArialNormal 2 2 3 3 3 4 4" xfId="23386" xr:uid="{00000000-0005-0000-0000-0000C84A0000}"/>
    <cellStyle name="ArialNormal 2 2 3 3 3 4 4 2" xfId="42728" xr:uid="{00000000-0005-0000-0000-0000C94A0000}"/>
    <cellStyle name="ArialNormal 2 2 3 3 3 4 5" xfId="35327" xr:uid="{00000000-0005-0000-0000-0000CA4A0000}"/>
    <cellStyle name="ArialNormal 2 2 3 3 3 5" xfId="16690" xr:uid="{00000000-0005-0000-0000-0000CB4A0000}"/>
    <cellStyle name="ArialNormal 2 2 3 3 3 5 2" xfId="36044" xr:uid="{00000000-0005-0000-0000-0000CC4A0000}"/>
    <cellStyle name="ArialNormal 2 2 3 3 3 6" xfId="19121" xr:uid="{00000000-0005-0000-0000-0000CD4A0000}"/>
    <cellStyle name="ArialNormal 2 2 3 3 3 6 2" xfId="38474" xr:uid="{00000000-0005-0000-0000-0000CE4A0000}"/>
    <cellStyle name="ArialNormal 2 2 3 3 3 7" xfId="21607" xr:uid="{00000000-0005-0000-0000-0000CF4A0000}"/>
    <cellStyle name="ArialNormal 2 2 3 3 3 7 2" xfId="40949" xr:uid="{00000000-0005-0000-0000-0000D04A0000}"/>
    <cellStyle name="ArialNormal 2 2 3 3 3 8" xfId="33548" xr:uid="{00000000-0005-0000-0000-0000D14A0000}"/>
    <cellStyle name="ArialNormal 2 2 3 3 4" xfId="14481" xr:uid="{00000000-0005-0000-0000-0000D24A0000}"/>
    <cellStyle name="ArialNormal 2 2 3 3 4 2" xfId="16971" xr:uid="{00000000-0005-0000-0000-0000D34A0000}"/>
    <cellStyle name="ArialNormal 2 2 3 3 4 2 2" xfId="36325" xr:uid="{00000000-0005-0000-0000-0000D44A0000}"/>
    <cellStyle name="ArialNormal 2 2 3 3 4 3" xfId="19402" xr:uid="{00000000-0005-0000-0000-0000D54A0000}"/>
    <cellStyle name="ArialNormal 2 2 3 3 4 3 2" xfId="38755" xr:uid="{00000000-0005-0000-0000-0000D64A0000}"/>
    <cellStyle name="ArialNormal 2 2 3 3 4 4" xfId="21901" xr:uid="{00000000-0005-0000-0000-0000D74A0000}"/>
    <cellStyle name="ArialNormal 2 2 3 3 4 4 2" xfId="41243" xr:uid="{00000000-0005-0000-0000-0000D84A0000}"/>
    <cellStyle name="ArialNormal 2 2 3 3 4 5" xfId="33842" xr:uid="{00000000-0005-0000-0000-0000D94A0000}"/>
    <cellStyle name="ArialNormal 2 2 3 3 5" xfId="15533" xr:uid="{00000000-0005-0000-0000-0000DA4A0000}"/>
    <cellStyle name="ArialNormal 2 2 3 3 5 2" xfId="18009" xr:uid="{00000000-0005-0000-0000-0000DB4A0000}"/>
    <cellStyle name="ArialNormal 2 2 3 3 5 2 2" xfId="37363" xr:uid="{00000000-0005-0000-0000-0000DC4A0000}"/>
    <cellStyle name="ArialNormal 2 2 3 3 5 3" xfId="20440" xr:uid="{00000000-0005-0000-0000-0000DD4A0000}"/>
    <cellStyle name="ArialNormal 2 2 3 3 5 3 2" xfId="39793" xr:uid="{00000000-0005-0000-0000-0000DE4A0000}"/>
    <cellStyle name="ArialNormal 2 2 3 3 5 4" xfId="22953" xr:uid="{00000000-0005-0000-0000-0000DF4A0000}"/>
    <cellStyle name="ArialNormal 2 2 3 3 5 4 2" xfId="42295" xr:uid="{00000000-0005-0000-0000-0000E04A0000}"/>
    <cellStyle name="ArialNormal 2 2 3 3 5 5" xfId="34894" xr:uid="{00000000-0005-0000-0000-0000E14A0000}"/>
    <cellStyle name="ArialNormal 2 2 3 3 6" xfId="16193" xr:uid="{00000000-0005-0000-0000-0000E24A0000}"/>
    <cellStyle name="ArialNormal 2 2 3 3 6 2" xfId="35547" xr:uid="{00000000-0005-0000-0000-0000E34A0000}"/>
    <cellStyle name="ArialNormal 2 2 3 3 7" xfId="18624" xr:uid="{00000000-0005-0000-0000-0000E44A0000}"/>
    <cellStyle name="ArialNormal 2 2 3 3 7 2" xfId="37977" xr:uid="{00000000-0005-0000-0000-0000E54A0000}"/>
    <cellStyle name="ArialNormal 2 2 3 3 8" xfId="21098" xr:uid="{00000000-0005-0000-0000-0000E64A0000}"/>
    <cellStyle name="ArialNormal 2 2 3 3 8 2" xfId="40440" xr:uid="{00000000-0005-0000-0000-0000E74A0000}"/>
    <cellStyle name="ArialNormal 2 2 3 3 9" xfId="33039" xr:uid="{00000000-0005-0000-0000-0000E84A0000}"/>
    <cellStyle name="ArialNormal 2 2 3 4" xfId="13794" xr:uid="{00000000-0005-0000-0000-0000E94A0000}"/>
    <cellStyle name="ArialNormal 2 2 3 4 2" xfId="14593" xr:uid="{00000000-0005-0000-0000-0000EA4A0000}"/>
    <cellStyle name="ArialNormal 2 2 3 4 2 2" xfId="17077" xr:uid="{00000000-0005-0000-0000-0000EB4A0000}"/>
    <cellStyle name="ArialNormal 2 2 3 4 2 2 2" xfId="36431" xr:uid="{00000000-0005-0000-0000-0000EC4A0000}"/>
    <cellStyle name="ArialNormal 2 2 3 4 2 3" xfId="19508" xr:uid="{00000000-0005-0000-0000-0000ED4A0000}"/>
    <cellStyle name="ArialNormal 2 2 3 4 2 3 2" xfId="38861" xr:uid="{00000000-0005-0000-0000-0000EE4A0000}"/>
    <cellStyle name="ArialNormal 2 2 3 4 2 4" xfId="22013" xr:uid="{00000000-0005-0000-0000-0000EF4A0000}"/>
    <cellStyle name="ArialNormal 2 2 3 4 2 4 2" xfId="41355" xr:uid="{00000000-0005-0000-0000-0000F04A0000}"/>
    <cellStyle name="ArialNormal 2 2 3 4 2 5" xfId="33954" xr:uid="{00000000-0005-0000-0000-0000F14A0000}"/>
    <cellStyle name="ArialNormal 2 2 3 4 3" xfId="15150" xr:uid="{00000000-0005-0000-0000-0000F24A0000}"/>
    <cellStyle name="ArialNormal 2 2 3 4 3 2" xfId="17626" xr:uid="{00000000-0005-0000-0000-0000F34A0000}"/>
    <cellStyle name="ArialNormal 2 2 3 4 3 2 2" xfId="36980" xr:uid="{00000000-0005-0000-0000-0000F44A0000}"/>
    <cellStyle name="ArialNormal 2 2 3 4 3 3" xfId="20057" xr:uid="{00000000-0005-0000-0000-0000F54A0000}"/>
    <cellStyle name="ArialNormal 2 2 3 4 3 3 2" xfId="39410" xr:uid="{00000000-0005-0000-0000-0000F64A0000}"/>
    <cellStyle name="ArialNormal 2 2 3 4 3 4" xfId="22570" xr:uid="{00000000-0005-0000-0000-0000F74A0000}"/>
    <cellStyle name="ArialNormal 2 2 3 4 3 4 2" xfId="41912" xr:uid="{00000000-0005-0000-0000-0000F84A0000}"/>
    <cellStyle name="ArialNormal 2 2 3 4 3 5" xfId="34511" xr:uid="{00000000-0005-0000-0000-0000F94A0000}"/>
    <cellStyle name="ArialNormal 2 2 3 4 4" xfId="15631" xr:uid="{00000000-0005-0000-0000-0000FA4A0000}"/>
    <cellStyle name="ArialNormal 2 2 3 4 4 2" xfId="18107" xr:uid="{00000000-0005-0000-0000-0000FB4A0000}"/>
    <cellStyle name="ArialNormal 2 2 3 4 4 2 2" xfId="37461" xr:uid="{00000000-0005-0000-0000-0000FC4A0000}"/>
    <cellStyle name="ArialNormal 2 2 3 4 4 3" xfId="20538" xr:uid="{00000000-0005-0000-0000-0000FD4A0000}"/>
    <cellStyle name="ArialNormal 2 2 3 4 4 3 2" xfId="39891" xr:uid="{00000000-0005-0000-0000-0000FE4A0000}"/>
    <cellStyle name="ArialNormal 2 2 3 4 4 4" xfId="23051" xr:uid="{00000000-0005-0000-0000-0000FF4A0000}"/>
    <cellStyle name="ArialNormal 2 2 3 4 4 4 2" xfId="42393" xr:uid="{00000000-0005-0000-0000-0000004B0000}"/>
    <cellStyle name="ArialNormal 2 2 3 4 4 5" xfId="34992" xr:uid="{00000000-0005-0000-0000-0000014B0000}"/>
    <cellStyle name="ArialNormal 2 2 3 4 5" xfId="16306" xr:uid="{00000000-0005-0000-0000-0000024B0000}"/>
    <cellStyle name="ArialNormal 2 2 3 4 5 2" xfId="35660" xr:uid="{00000000-0005-0000-0000-0000034B0000}"/>
    <cellStyle name="ArialNormal 2 2 3 4 6" xfId="18737" xr:uid="{00000000-0005-0000-0000-0000044B0000}"/>
    <cellStyle name="ArialNormal 2 2 3 4 6 2" xfId="38090" xr:uid="{00000000-0005-0000-0000-0000054B0000}"/>
    <cellStyle name="ArialNormal 2 2 3 4 7" xfId="21217" xr:uid="{00000000-0005-0000-0000-0000064B0000}"/>
    <cellStyle name="ArialNormal 2 2 3 4 7 2" xfId="40559" xr:uid="{00000000-0005-0000-0000-0000074B0000}"/>
    <cellStyle name="ArialNormal 2 2 3 4 8" xfId="33158" xr:uid="{00000000-0005-0000-0000-0000084B0000}"/>
    <cellStyle name="ArialNormal 2 2 3 5" xfId="14020" xr:uid="{00000000-0005-0000-0000-0000094B0000}"/>
    <cellStyle name="ArialNormal 2 2 3 5 2" xfId="14815" xr:uid="{00000000-0005-0000-0000-00000A4B0000}"/>
    <cellStyle name="ArialNormal 2 2 3 5 2 2" xfId="17293" xr:uid="{00000000-0005-0000-0000-00000B4B0000}"/>
    <cellStyle name="ArialNormal 2 2 3 5 2 2 2" xfId="36647" xr:uid="{00000000-0005-0000-0000-00000C4B0000}"/>
    <cellStyle name="ArialNormal 2 2 3 5 2 3" xfId="19724" xr:uid="{00000000-0005-0000-0000-00000D4B0000}"/>
    <cellStyle name="ArialNormal 2 2 3 5 2 3 2" xfId="39077" xr:uid="{00000000-0005-0000-0000-00000E4B0000}"/>
    <cellStyle name="ArialNormal 2 2 3 5 2 4" xfId="22235" xr:uid="{00000000-0005-0000-0000-00000F4B0000}"/>
    <cellStyle name="ArialNormal 2 2 3 5 2 4 2" xfId="41577" xr:uid="{00000000-0005-0000-0000-0000104B0000}"/>
    <cellStyle name="ArialNormal 2 2 3 5 2 5" xfId="34176" xr:uid="{00000000-0005-0000-0000-0000114B0000}"/>
    <cellStyle name="ArialNormal 2 2 3 5 3" xfId="15363" xr:uid="{00000000-0005-0000-0000-0000124B0000}"/>
    <cellStyle name="ArialNormal 2 2 3 5 3 2" xfId="17839" xr:uid="{00000000-0005-0000-0000-0000134B0000}"/>
    <cellStyle name="ArialNormal 2 2 3 5 3 2 2" xfId="37193" xr:uid="{00000000-0005-0000-0000-0000144B0000}"/>
    <cellStyle name="ArialNormal 2 2 3 5 3 3" xfId="20270" xr:uid="{00000000-0005-0000-0000-0000154B0000}"/>
    <cellStyle name="ArialNormal 2 2 3 5 3 3 2" xfId="39623" xr:uid="{00000000-0005-0000-0000-0000164B0000}"/>
    <cellStyle name="ArialNormal 2 2 3 5 3 4" xfId="22783" xr:uid="{00000000-0005-0000-0000-0000174B0000}"/>
    <cellStyle name="ArialNormal 2 2 3 5 3 4 2" xfId="42125" xr:uid="{00000000-0005-0000-0000-0000184B0000}"/>
    <cellStyle name="ArialNormal 2 2 3 5 3 5" xfId="34724" xr:uid="{00000000-0005-0000-0000-0000194B0000}"/>
    <cellStyle name="ArialNormal 2 2 3 5 4" xfId="15822" xr:uid="{00000000-0005-0000-0000-00001A4B0000}"/>
    <cellStyle name="ArialNormal 2 2 3 5 4 2" xfId="18298" xr:uid="{00000000-0005-0000-0000-00001B4B0000}"/>
    <cellStyle name="ArialNormal 2 2 3 5 4 2 2" xfId="37652" xr:uid="{00000000-0005-0000-0000-00001C4B0000}"/>
    <cellStyle name="ArialNormal 2 2 3 5 4 3" xfId="20729" xr:uid="{00000000-0005-0000-0000-00001D4B0000}"/>
    <cellStyle name="ArialNormal 2 2 3 5 4 3 2" xfId="40082" xr:uid="{00000000-0005-0000-0000-00001E4B0000}"/>
    <cellStyle name="ArialNormal 2 2 3 5 4 4" xfId="23242" xr:uid="{00000000-0005-0000-0000-00001F4B0000}"/>
    <cellStyle name="ArialNormal 2 2 3 5 4 4 2" xfId="42584" xr:uid="{00000000-0005-0000-0000-0000204B0000}"/>
    <cellStyle name="ArialNormal 2 2 3 5 4 5" xfId="35183" xr:uid="{00000000-0005-0000-0000-0000214B0000}"/>
    <cellStyle name="ArialNormal 2 2 3 5 5" xfId="16526" xr:uid="{00000000-0005-0000-0000-0000224B0000}"/>
    <cellStyle name="ArialNormal 2 2 3 5 5 2" xfId="35880" xr:uid="{00000000-0005-0000-0000-0000234B0000}"/>
    <cellStyle name="ArialNormal 2 2 3 5 6" xfId="18957" xr:uid="{00000000-0005-0000-0000-0000244B0000}"/>
    <cellStyle name="ArialNormal 2 2 3 5 6 2" xfId="38310" xr:uid="{00000000-0005-0000-0000-0000254B0000}"/>
    <cellStyle name="ArialNormal 2 2 3 5 7" xfId="21443" xr:uid="{00000000-0005-0000-0000-0000264B0000}"/>
    <cellStyle name="ArialNormal 2 2 3 5 7 2" xfId="40785" xr:uid="{00000000-0005-0000-0000-0000274B0000}"/>
    <cellStyle name="ArialNormal 2 2 3 5 8" xfId="33384" xr:uid="{00000000-0005-0000-0000-0000284B0000}"/>
    <cellStyle name="ArialNormal 2 2 3 6" xfId="14312" xr:uid="{00000000-0005-0000-0000-0000294B0000}"/>
    <cellStyle name="ArialNormal 2 2 3 6 2" xfId="16808" xr:uid="{00000000-0005-0000-0000-00002A4B0000}"/>
    <cellStyle name="ArialNormal 2 2 3 6 2 2" xfId="36162" xr:uid="{00000000-0005-0000-0000-00002B4B0000}"/>
    <cellStyle name="ArialNormal 2 2 3 6 3" xfId="19239" xr:uid="{00000000-0005-0000-0000-00002C4B0000}"/>
    <cellStyle name="ArialNormal 2 2 3 6 3 2" xfId="38592" xr:uid="{00000000-0005-0000-0000-00002D4B0000}"/>
    <cellStyle name="ArialNormal 2 2 3 6 4" xfId="21732" xr:uid="{00000000-0005-0000-0000-00002E4B0000}"/>
    <cellStyle name="ArialNormal 2 2 3 6 4 2" xfId="41074" xr:uid="{00000000-0005-0000-0000-00002F4B0000}"/>
    <cellStyle name="ArialNormal 2 2 3 6 5" xfId="33673" xr:uid="{00000000-0005-0000-0000-0000304B0000}"/>
    <cellStyle name="ArialNormal 2 2 3 7" xfId="13482" xr:uid="{00000000-0005-0000-0000-0000314B0000}"/>
    <cellStyle name="ArialNormal 2 2 3 7 2" xfId="32860" xr:uid="{00000000-0005-0000-0000-0000324B0000}"/>
    <cellStyle name="ArialNormal 2 2 3 8" xfId="16048" xr:uid="{00000000-0005-0000-0000-0000334B0000}"/>
    <cellStyle name="ArialNormal 2 2 3 8 2" xfId="35402" xr:uid="{00000000-0005-0000-0000-0000344B0000}"/>
    <cellStyle name="ArialNormal 2 2 3 9" xfId="13409" xr:uid="{00000000-0005-0000-0000-0000354B0000}"/>
    <cellStyle name="ArialNormal 2 2 3 9 2" xfId="32793" xr:uid="{00000000-0005-0000-0000-0000364B0000}"/>
    <cellStyle name="ArialNormal 2 2 4" xfId="13522" xr:uid="{00000000-0005-0000-0000-0000374B0000}"/>
    <cellStyle name="ArialNormal 2 2 4 2" xfId="13822" xr:uid="{00000000-0005-0000-0000-0000384B0000}"/>
    <cellStyle name="ArialNormal 2 2 4 2 2" xfId="14617" xr:uid="{00000000-0005-0000-0000-0000394B0000}"/>
    <cellStyle name="ArialNormal 2 2 4 2 2 2" xfId="17101" xr:uid="{00000000-0005-0000-0000-00003A4B0000}"/>
    <cellStyle name="ArialNormal 2 2 4 2 2 2 2" xfId="36455" xr:uid="{00000000-0005-0000-0000-00003B4B0000}"/>
    <cellStyle name="ArialNormal 2 2 4 2 2 3" xfId="19532" xr:uid="{00000000-0005-0000-0000-00003C4B0000}"/>
    <cellStyle name="ArialNormal 2 2 4 2 2 3 2" xfId="38885" xr:uid="{00000000-0005-0000-0000-00003D4B0000}"/>
    <cellStyle name="ArialNormal 2 2 4 2 2 4" xfId="22037" xr:uid="{00000000-0005-0000-0000-00003E4B0000}"/>
    <cellStyle name="ArialNormal 2 2 4 2 2 4 2" xfId="41379" xr:uid="{00000000-0005-0000-0000-00003F4B0000}"/>
    <cellStyle name="ArialNormal 2 2 4 2 2 5" xfId="33978" xr:uid="{00000000-0005-0000-0000-0000404B0000}"/>
    <cellStyle name="ArialNormal 2 2 4 2 3" xfId="15174" xr:uid="{00000000-0005-0000-0000-0000414B0000}"/>
    <cellStyle name="ArialNormal 2 2 4 2 3 2" xfId="17650" xr:uid="{00000000-0005-0000-0000-0000424B0000}"/>
    <cellStyle name="ArialNormal 2 2 4 2 3 2 2" xfId="37004" xr:uid="{00000000-0005-0000-0000-0000434B0000}"/>
    <cellStyle name="ArialNormal 2 2 4 2 3 3" xfId="20081" xr:uid="{00000000-0005-0000-0000-0000444B0000}"/>
    <cellStyle name="ArialNormal 2 2 4 2 3 3 2" xfId="39434" xr:uid="{00000000-0005-0000-0000-0000454B0000}"/>
    <cellStyle name="ArialNormal 2 2 4 2 3 4" xfId="22594" xr:uid="{00000000-0005-0000-0000-0000464B0000}"/>
    <cellStyle name="ArialNormal 2 2 4 2 3 4 2" xfId="41936" xr:uid="{00000000-0005-0000-0000-0000474B0000}"/>
    <cellStyle name="ArialNormal 2 2 4 2 3 5" xfId="34535" xr:uid="{00000000-0005-0000-0000-0000484B0000}"/>
    <cellStyle name="ArialNormal 2 2 4 2 4" xfId="15654" xr:uid="{00000000-0005-0000-0000-0000494B0000}"/>
    <cellStyle name="ArialNormal 2 2 4 2 4 2" xfId="18130" xr:uid="{00000000-0005-0000-0000-00004A4B0000}"/>
    <cellStyle name="ArialNormal 2 2 4 2 4 2 2" xfId="37484" xr:uid="{00000000-0005-0000-0000-00004B4B0000}"/>
    <cellStyle name="ArialNormal 2 2 4 2 4 3" xfId="20561" xr:uid="{00000000-0005-0000-0000-00004C4B0000}"/>
    <cellStyle name="ArialNormal 2 2 4 2 4 3 2" xfId="39914" xr:uid="{00000000-0005-0000-0000-00004D4B0000}"/>
    <cellStyle name="ArialNormal 2 2 4 2 4 4" xfId="23074" xr:uid="{00000000-0005-0000-0000-00004E4B0000}"/>
    <cellStyle name="ArialNormal 2 2 4 2 4 4 2" xfId="42416" xr:uid="{00000000-0005-0000-0000-00004F4B0000}"/>
    <cellStyle name="ArialNormal 2 2 4 2 4 5" xfId="35015" xr:uid="{00000000-0005-0000-0000-0000504B0000}"/>
    <cellStyle name="ArialNormal 2 2 4 2 5" xfId="16334" xr:uid="{00000000-0005-0000-0000-0000514B0000}"/>
    <cellStyle name="ArialNormal 2 2 4 2 5 2" xfId="35688" xr:uid="{00000000-0005-0000-0000-0000524B0000}"/>
    <cellStyle name="ArialNormal 2 2 4 2 6" xfId="18765" xr:uid="{00000000-0005-0000-0000-0000534B0000}"/>
    <cellStyle name="ArialNormal 2 2 4 2 6 2" xfId="38118" xr:uid="{00000000-0005-0000-0000-0000544B0000}"/>
    <cellStyle name="ArialNormal 2 2 4 2 7" xfId="21245" xr:uid="{00000000-0005-0000-0000-0000554B0000}"/>
    <cellStyle name="ArialNormal 2 2 4 2 7 2" xfId="40587" xr:uid="{00000000-0005-0000-0000-0000564B0000}"/>
    <cellStyle name="ArialNormal 2 2 4 2 8" xfId="33186" xr:uid="{00000000-0005-0000-0000-0000574B0000}"/>
    <cellStyle name="ArialNormal 2 2 4 3" xfId="14043" xr:uid="{00000000-0005-0000-0000-0000584B0000}"/>
    <cellStyle name="ArialNormal 2 2 4 3 2" xfId="14838" xr:uid="{00000000-0005-0000-0000-0000594B0000}"/>
    <cellStyle name="ArialNormal 2 2 4 3 2 2" xfId="17316" xr:uid="{00000000-0005-0000-0000-00005A4B0000}"/>
    <cellStyle name="ArialNormal 2 2 4 3 2 2 2" xfId="36670" xr:uid="{00000000-0005-0000-0000-00005B4B0000}"/>
    <cellStyle name="ArialNormal 2 2 4 3 2 3" xfId="19747" xr:uid="{00000000-0005-0000-0000-00005C4B0000}"/>
    <cellStyle name="ArialNormal 2 2 4 3 2 3 2" xfId="39100" xr:uid="{00000000-0005-0000-0000-00005D4B0000}"/>
    <cellStyle name="ArialNormal 2 2 4 3 2 4" xfId="22258" xr:uid="{00000000-0005-0000-0000-00005E4B0000}"/>
    <cellStyle name="ArialNormal 2 2 4 3 2 4 2" xfId="41600" xr:uid="{00000000-0005-0000-0000-00005F4B0000}"/>
    <cellStyle name="ArialNormal 2 2 4 3 2 5" xfId="34199" xr:uid="{00000000-0005-0000-0000-0000604B0000}"/>
    <cellStyle name="ArialNormal 2 2 4 3 3" xfId="15386" xr:uid="{00000000-0005-0000-0000-0000614B0000}"/>
    <cellStyle name="ArialNormal 2 2 4 3 3 2" xfId="17862" xr:uid="{00000000-0005-0000-0000-0000624B0000}"/>
    <cellStyle name="ArialNormal 2 2 4 3 3 2 2" xfId="37216" xr:uid="{00000000-0005-0000-0000-0000634B0000}"/>
    <cellStyle name="ArialNormal 2 2 4 3 3 3" xfId="20293" xr:uid="{00000000-0005-0000-0000-0000644B0000}"/>
    <cellStyle name="ArialNormal 2 2 4 3 3 3 2" xfId="39646" xr:uid="{00000000-0005-0000-0000-0000654B0000}"/>
    <cellStyle name="ArialNormal 2 2 4 3 3 4" xfId="22806" xr:uid="{00000000-0005-0000-0000-0000664B0000}"/>
    <cellStyle name="ArialNormal 2 2 4 3 3 4 2" xfId="42148" xr:uid="{00000000-0005-0000-0000-0000674B0000}"/>
    <cellStyle name="ArialNormal 2 2 4 3 3 5" xfId="34747" xr:uid="{00000000-0005-0000-0000-0000684B0000}"/>
    <cellStyle name="ArialNormal 2 2 4 3 4" xfId="15845" xr:uid="{00000000-0005-0000-0000-0000694B0000}"/>
    <cellStyle name="ArialNormal 2 2 4 3 4 2" xfId="18321" xr:uid="{00000000-0005-0000-0000-00006A4B0000}"/>
    <cellStyle name="ArialNormal 2 2 4 3 4 2 2" xfId="37675" xr:uid="{00000000-0005-0000-0000-00006B4B0000}"/>
    <cellStyle name="ArialNormal 2 2 4 3 4 3" xfId="20752" xr:uid="{00000000-0005-0000-0000-00006C4B0000}"/>
    <cellStyle name="ArialNormal 2 2 4 3 4 3 2" xfId="40105" xr:uid="{00000000-0005-0000-0000-00006D4B0000}"/>
    <cellStyle name="ArialNormal 2 2 4 3 4 4" xfId="23265" xr:uid="{00000000-0005-0000-0000-00006E4B0000}"/>
    <cellStyle name="ArialNormal 2 2 4 3 4 4 2" xfId="42607" xr:uid="{00000000-0005-0000-0000-00006F4B0000}"/>
    <cellStyle name="ArialNormal 2 2 4 3 4 5" xfId="35206" xr:uid="{00000000-0005-0000-0000-0000704B0000}"/>
    <cellStyle name="ArialNormal 2 2 4 3 5" xfId="16549" xr:uid="{00000000-0005-0000-0000-0000714B0000}"/>
    <cellStyle name="ArialNormal 2 2 4 3 5 2" xfId="35903" xr:uid="{00000000-0005-0000-0000-0000724B0000}"/>
    <cellStyle name="ArialNormal 2 2 4 3 6" xfId="18980" xr:uid="{00000000-0005-0000-0000-0000734B0000}"/>
    <cellStyle name="ArialNormal 2 2 4 3 6 2" xfId="38333" xr:uid="{00000000-0005-0000-0000-0000744B0000}"/>
    <cellStyle name="ArialNormal 2 2 4 3 7" xfId="21466" xr:uid="{00000000-0005-0000-0000-0000754B0000}"/>
    <cellStyle name="ArialNormal 2 2 4 3 7 2" xfId="40808" xr:uid="{00000000-0005-0000-0000-0000764B0000}"/>
    <cellStyle name="ArialNormal 2 2 4 3 8" xfId="33407" xr:uid="{00000000-0005-0000-0000-0000774B0000}"/>
    <cellStyle name="ArialNormal 2 2 4 4" xfId="14338" xr:uid="{00000000-0005-0000-0000-0000784B0000}"/>
    <cellStyle name="ArialNormal 2 2 4 4 2" xfId="16834" xr:uid="{00000000-0005-0000-0000-0000794B0000}"/>
    <cellStyle name="ArialNormal 2 2 4 4 2 2" xfId="36188" xr:uid="{00000000-0005-0000-0000-00007A4B0000}"/>
    <cellStyle name="ArialNormal 2 2 4 4 3" xfId="19265" xr:uid="{00000000-0005-0000-0000-00007B4B0000}"/>
    <cellStyle name="ArialNormal 2 2 4 4 3 2" xfId="38618" xr:uid="{00000000-0005-0000-0000-00007C4B0000}"/>
    <cellStyle name="ArialNormal 2 2 4 4 4" xfId="21758" xr:uid="{00000000-0005-0000-0000-00007D4B0000}"/>
    <cellStyle name="ArialNormal 2 2 4 4 4 2" xfId="41100" xr:uid="{00000000-0005-0000-0000-00007E4B0000}"/>
    <cellStyle name="ArialNormal 2 2 4 4 5" xfId="33699" xr:uid="{00000000-0005-0000-0000-00007F4B0000}"/>
    <cellStyle name="ArialNormal 2 2 4 5" xfId="14976" xr:uid="{00000000-0005-0000-0000-0000804B0000}"/>
    <cellStyle name="ArialNormal 2 2 4 5 2" xfId="17452" xr:uid="{00000000-0005-0000-0000-0000814B0000}"/>
    <cellStyle name="ArialNormal 2 2 4 5 2 2" xfId="36806" xr:uid="{00000000-0005-0000-0000-0000824B0000}"/>
    <cellStyle name="ArialNormal 2 2 4 5 3" xfId="19883" xr:uid="{00000000-0005-0000-0000-0000834B0000}"/>
    <cellStyle name="ArialNormal 2 2 4 5 3 2" xfId="39236" xr:uid="{00000000-0005-0000-0000-0000844B0000}"/>
    <cellStyle name="ArialNormal 2 2 4 5 4" xfId="22396" xr:uid="{00000000-0005-0000-0000-0000854B0000}"/>
    <cellStyle name="ArialNormal 2 2 4 5 4 2" xfId="41738" xr:uid="{00000000-0005-0000-0000-0000864B0000}"/>
    <cellStyle name="ArialNormal 2 2 4 5 5" xfId="34337" xr:uid="{00000000-0005-0000-0000-0000874B0000}"/>
    <cellStyle name="ArialNormal 2 2 4 6" xfId="16077" xr:uid="{00000000-0005-0000-0000-0000884B0000}"/>
    <cellStyle name="ArialNormal 2 2 4 6 2" xfId="35431" xr:uid="{00000000-0005-0000-0000-0000894B0000}"/>
    <cellStyle name="ArialNormal 2 2 4 7" xfId="18483" xr:uid="{00000000-0005-0000-0000-00008A4B0000}"/>
    <cellStyle name="ArialNormal 2 2 4 7 2" xfId="37836" xr:uid="{00000000-0005-0000-0000-00008B4B0000}"/>
    <cellStyle name="ArialNormal 2 2 4 8" xfId="32897" xr:uid="{00000000-0005-0000-0000-00008C4B0000}"/>
    <cellStyle name="ArialNormal 2 2 5" xfId="13697" xr:uid="{00000000-0005-0000-0000-00008D4B0000}"/>
    <cellStyle name="ArialNormal 2 2 5 2" xfId="14500" xr:uid="{00000000-0005-0000-0000-00008E4B0000}"/>
    <cellStyle name="ArialNormal 2 2 5 2 2" xfId="16990" xr:uid="{00000000-0005-0000-0000-00008F4B0000}"/>
    <cellStyle name="ArialNormal 2 2 5 2 2 2" xfId="36344" xr:uid="{00000000-0005-0000-0000-0000904B0000}"/>
    <cellStyle name="ArialNormal 2 2 5 2 3" xfId="19421" xr:uid="{00000000-0005-0000-0000-0000914B0000}"/>
    <cellStyle name="ArialNormal 2 2 5 2 3 2" xfId="38774" xr:uid="{00000000-0005-0000-0000-0000924B0000}"/>
    <cellStyle name="ArialNormal 2 2 5 2 4" xfId="21920" xr:uid="{00000000-0005-0000-0000-0000934B0000}"/>
    <cellStyle name="ArialNormal 2 2 5 2 4 2" xfId="41262" xr:uid="{00000000-0005-0000-0000-0000944B0000}"/>
    <cellStyle name="ArialNormal 2 2 5 2 5" xfId="33861" xr:uid="{00000000-0005-0000-0000-0000954B0000}"/>
    <cellStyle name="ArialNormal 2 2 5 3" xfId="15064" xr:uid="{00000000-0005-0000-0000-0000964B0000}"/>
    <cellStyle name="ArialNormal 2 2 5 3 2" xfId="17540" xr:uid="{00000000-0005-0000-0000-0000974B0000}"/>
    <cellStyle name="ArialNormal 2 2 5 3 2 2" xfId="36894" xr:uid="{00000000-0005-0000-0000-0000984B0000}"/>
    <cellStyle name="ArialNormal 2 2 5 3 3" xfId="19971" xr:uid="{00000000-0005-0000-0000-0000994B0000}"/>
    <cellStyle name="ArialNormal 2 2 5 3 3 2" xfId="39324" xr:uid="{00000000-0005-0000-0000-00009A4B0000}"/>
    <cellStyle name="ArialNormal 2 2 5 3 4" xfId="22484" xr:uid="{00000000-0005-0000-0000-00009B4B0000}"/>
    <cellStyle name="ArialNormal 2 2 5 3 4 2" xfId="41826" xr:uid="{00000000-0005-0000-0000-00009C4B0000}"/>
    <cellStyle name="ArialNormal 2 2 5 3 5" xfId="34425" xr:uid="{00000000-0005-0000-0000-00009D4B0000}"/>
    <cellStyle name="ArialNormal 2 2 5 4" xfId="15547" xr:uid="{00000000-0005-0000-0000-00009E4B0000}"/>
    <cellStyle name="ArialNormal 2 2 5 4 2" xfId="18023" xr:uid="{00000000-0005-0000-0000-00009F4B0000}"/>
    <cellStyle name="ArialNormal 2 2 5 4 2 2" xfId="37377" xr:uid="{00000000-0005-0000-0000-0000A04B0000}"/>
    <cellStyle name="ArialNormal 2 2 5 4 3" xfId="20454" xr:uid="{00000000-0005-0000-0000-0000A14B0000}"/>
    <cellStyle name="ArialNormal 2 2 5 4 3 2" xfId="39807" xr:uid="{00000000-0005-0000-0000-0000A24B0000}"/>
    <cellStyle name="ArialNormal 2 2 5 4 4" xfId="22967" xr:uid="{00000000-0005-0000-0000-0000A34B0000}"/>
    <cellStyle name="ArialNormal 2 2 5 4 4 2" xfId="42309" xr:uid="{00000000-0005-0000-0000-0000A44B0000}"/>
    <cellStyle name="ArialNormal 2 2 5 4 5" xfId="34908" xr:uid="{00000000-0005-0000-0000-0000A54B0000}"/>
    <cellStyle name="ArialNormal 2 2 5 5" xfId="16216" xr:uid="{00000000-0005-0000-0000-0000A64B0000}"/>
    <cellStyle name="ArialNormal 2 2 5 5 2" xfId="35570" xr:uid="{00000000-0005-0000-0000-0000A74B0000}"/>
    <cellStyle name="ArialNormal 2 2 5 6" xfId="18647" xr:uid="{00000000-0005-0000-0000-0000A84B0000}"/>
    <cellStyle name="ArialNormal 2 2 5 6 2" xfId="38000" xr:uid="{00000000-0005-0000-0000-0000A94B0000}"/>
    <cellStyle name="ArialNormal 2 2 5 7" xfId="21121" xr:uid="{00000000-0005-0000-0000-0000AA4B0000}"/>
    <cellStyle name="ArialNormal 2 2 5 7 2" xfId="40463" xr:uid="{00000000-0005-0000-0000-0000AB4B0000}"/>
    <cellStyle name="ArialNormal 2 2 5 8" xfId="33062" xr:uid="{00000000-0005-0000-0000-0000AC4B0000}"/>
    <cellStyle name="ArialNormal 2 2 6" xfId="13326" xr:uid="{00000000-0005-0000-0000-0000AD4B0000}"/>
    <cellStyle name="ArialNormal 2 2 6 2" xfId="32747" xr:uid="{00000000-0005-0000-0000-0000AE4B0000}"/>
    <cellStyle name="ArialNormal 2 2 7" xfId="13240" xr:uid="{00000000-0005-0000-0000-0000AF4B0000}"/>
    <cellStyle name="ArialNormal 2 2 7 2" xfId="32693" xr:uid="{00000000-0005-0000-0000-0000B04B0000}"/>
    <cellStyle name="ArialNormal 2 2 8" xfId="20901" xr:uid="{00000000-0005-0000-0000-0000B14B0000}"/>
    <cellStyle name="ArialNormal 2 2 8 2" xfId="40246" xr:uid="{00000000-0005-0000-0000-0000B24B0000}"/>
    <cellStyle name="ArialNormal 2 3" xfId="4888" xr:uid="{00000000-0005-0000-0000-0000B34B0000}"/>
    <cellStyle name="ArialNormal 2 3 10" xfId="24383" xr:uid="{00000000-0005-0000-0000-0000B44B0000}"/>
    <cellStyle name="ArialNormal 2 3 2" xfId="6643" xr:uid="{00000000-0005-0000-0000-0000B54B0000}"/>
    <cellStyle name="ArialNormal 2 3 2 2" xfId="13873" xr:uid="{00000000-0005-0000-0000-0000B64B0000}"/>
    <cellStyle name="ArialNormal 2 3 2 2 2" xfId="14668" xr:uid="{00000000-0005-0000-0000-0000B74B0000}"/>
    <cellStyle name="ArialNormal 2 3 2 2 2 2" xfId="17149" xr:uid="{00000000-0005-0000-0000-0000B84B0000}"/>
    <cellStyle name="ArialNormal 2 3 2 2 2 2 2" xfId="36503" xr:uid="{00000000-0005-0000-0000-0000B94B0000}"/>
    <cellStyle name="ArialNormal 2 3 2 2 2 3" xfId="19580" xr:uid="{00000000-0005-0000-0000-0000BA4B0000}"/>
    <cellStyle name="ArialNormal 2 3 2 2 2 3 2" xfId="38933" xr:uid="{00000000-0005-0000-0000-0000BB4B0000}"/>
    <cellStyle name="ArialNormal 2 3 2 2 2 4" xfId="22088" xr:uid="{00000000-0005-0000-0000-0000BC4B0000}"/>
    <cellStyle name="ArialNormal 2 3 2 2 2 4 2" xfId="41430" xr:uid="{00000000-0005-0000-0000-0000BD4B0000}"/>
    <cellStyle name="ArialNormal 2 3 2 2 2 5" xfId="34029" xr:uid="{00000000-0005-0000-0000-0000BE4B0000}"/>
    <cellStyle name="ArialNormal 2 3 2 2 3" xfId="15220" xr:uid="{00000000-0005-0000-0000-0000BF4B0000}"/>
    <cellStyle name="ArialNormal 2 3 2 2 3 2" xfId="17696" xr:uid="{00000000-0005-0000-0000-0000C04B0000}"/>
    <cellStyle name="ArialNormal 2 3 2 2 3 2 2" xfId="37050" xr:uid="{00000000-0005-0000-0000-0000C14B0000}"/>
    <cellStyle name="ArialNormal 2 3 2 2 3 3" xfId="20127" xr:uid="{00000000-0005-0000-0000-0000C24B0000}"/>
    <cellStyle name="ArialNormal 2 3 2 2 3 3 2" xfId="39480" xr:uid="{00000000-0005-0000-0000-0000C34B0000}"/>
    <cellStyle name="ArialNormal 2 3 2 2 3 4" xfId="22640" xr:uid="{00000000-0005-0000-0000-0000C44B0000}"/>
    <cellStyle name="ArialNormal 2 3 2 2 3 4 2" xfId="41982" xr:uid="{00000000-0005-0000-0000-0000C54B0000}"/>
    <cellStyle name="ArialNormal 2 3 2 2 3 5" xfId="34581" xr:uid="{00000000-0005-0000-0000-0000C64B0000}"/>
    <cellStyle name="ArialNormal 2 3 2 2 4" xfId="15690" xr:uid="{00000000-0005-0000-0000-0000C74B0000}"/>
    <cellStyle name="ArialNormal 2 3 2 2 4 2" xfId="18166" xr:uid="{00000000-0005-0000-0000-0000C84B0000}"/>
    <cellStyle name="ArialNormal 2 3 2 2 4 2 2" xfId="37520" xr:uid="{00000000-0005-0000-0000-0000C94B0000}"/>
    <cellStyle name="ArialNormal 2 3 2 2 4 3" xfId="20597" xr:uid="{00000000-0005-0000-0000-0000CA4B0000}"/>
    <cellStyle name="ArialNormal 2 3 2 2 4 3 2" xfId="39950" xr:uid="{00000000-0005-0000-0000-0000CB4B0000}"/>
    <cellStyle name="ArialNormal 2 3 2 2 4 4" xfId="23110" xr:uid="{00000000-0005-0000-0000-0000CC4B0000}"/>
    <cellStyle name="ArialNormal 2 3 2 2 4 4 2" xfId="42452" xr:uid="{00000000-0005-0000-0000-0000CD4B0000}"/>
    <cellStyle name="ArialNormal 2 3 2 2 4 5" xfId="35051" xr:uid="{00000000-0005-0000-0000-0000CE4B0000}"/>
    <cellStyle name="ArialNormal 2 3 2 2 5" xfId="16382" xr:uid="{00000000-0005-0000-0000-0000CF4B0000}"/>
    <cellStyle name="ArialNormal 2 3 2 2 5 2" xfId="35736" xr:uid="{00000000-0005-0000-0000-0000D04B0000}"/>
    <cellStyle name="ArialNormal 2 3 2 2 6" xfId="18813" xr:uid="{00000000-0005-0000-0000-0000D14B0000}"/>
    <cellStyle name="ArialNormal 2 3 2 2 6 2" xfId="38166" xr:uid="{00000000-0005-0000-0000-0000D24B0000}"/>
    <cellStyle name="ArialNormal 2 3 2 2 7" xfId="21296" xr:uid="{00000000-0005-0000-0000-0000D34B0000}"/>
    <cellStyle name="ArialNormal 2 3 2 2 7 2" xfId="40638" xr:uid="{00000000-0005-0000-0000-0000D44B0000}"/>
    <cellStyle name="ArialNormal 2 3 2 2 8" xfId="33237" xr:uid="{00000000-0005-0000-0000-0000D54B0000}"/>
    <cellStyle name="ArialNormal 2 3 2 3" xfId="14091" xr:uid="{00000000-0005-0000-0000-0000D64B0000}"/>
    <cellStyle name="ArialNormal 2 3 2 3 2" xfId="14872" xr:uid="{00000000-0005-0000-0000-0000D74B0000}"/>
    <cellStyle name="ArialNormal 2 3 2 3 2 2" xfId="17350" xr:uid="{00000000-0005-0000-0000-0000D84B0000}"/>
    <cellStyle name="ArialNormal 2 3 2 3 2 2 2" xfId="36704" xr:uid="{00000000-0005-0000-0000-0000D94B0000}"/>
    <cellStyle name="ArialNormal 2 3 2 3 2 3" xfId="19781" xr:uid="{00000000-0005-0000-0000-0000DA4B0000}"/>
    <cellStyle name="ArialNormal 2 3 2 3 2 3 2" xfId="39134" xr:uid="{00000000-0005-0000-0000-0000DB4B0000}"/>
    <cellStyle name="ArialNormal 2 3 2 3 2 4" xfId="22292" xr:uid="{00000000-0005-0000-0000-0000DC4B0000}"/>
    <cellStyle name="ArialNormal 2 3 2 3 2 4 2" xfId="41634" xr:uid="{00000000-0005-0000-0000-0000DD4B0000}"/>
    <cellStyle name="ArialNormal 2 3 2 3 2 5" xfId="34233" xr:uid="{00000000-0005-0000-0000-0000DE4B0000}"/>
    <cellStyle name="ArialNormal 2 3 2 3 3" xfId="15419" xr:uid="{00000000-0005-0000-0000-0000DF4B0000}"/>
    <cellStyle name="ArialNormal 2 3 2 3 3 2" xfId="17895" xr:uid="{00000000-0005-0000-0000-0000E04B0000}"/>
    <cellStyle name="ArialNormal 2 3 2 3 3 2 2" xfId="37249" xr:uid="{00000000-0005-0000-0000-0000E14B0000}"/>
    <cellStyle name="ArialNormal 2 3 2 3 3 3" xfId="20326" xr:uid="{00000000-0005-0000-0000-0000E24B0000}"/>
    <cellStyle name="ArialNormal 2 3 2 3 3 3 2" xfId="39679" xr:uid="{00000000-0005-0000-0000-0000E34B0000}"/>
    <cellStyle name="ArialNormal 2 3 2 3 3 4" xfId="22839" xr:uid="{00000000-0005-0000-0000-0000E44B0000}"/>
    <cellStyle name="ArialNormal 2 3 2 3 3 4 2" xfId="42181" xr:uid="{00000000-0005-0000-0000-0000E54B0000}"/>
    <cellStyle name="ArialNormal 2 3 2 3 3 5" xfId="34780" xr:uid="{00000000-0005-0000-0000-0000E64B0000}"/>
    <cellStyle name="ArialNormal 2 3 2 3 4" xfId="15878" xr:uid="{00000000-0005-0000-0000-0000E74B0000}"/>
    <cellStyle name="ArialNormal 2 3 2 3 4 2" xfId="18354" xr:uid="{00000000-0005-0000-0000-0000E84B0000}"/>
    <cellStyle name="ArialNormal 2 3 2 3 4 2 2" xfId="37708" xr:uid="{00000000-0005-0000-0000-0000E94B0000}"/>
    <cellStyle name="ArialNormal 2 3 2 3 4 3" xfId="20785" xr:uid="{00000000-0005-0000-0000-0000EA4B0000}"/>
    <cellStyle name="ArialNormal 2 3 2 3 4 3 2" xfId="40138" xr:uid="{00000000-0005-0000-0000-0000EB4B0000}"/>
    <cellStyle name="ArialNormal 2 3 2 3 4 4" xfId="23298" xr:uid="{00000000-0005-0000-0000-0000EC4B0000}"/>
    <cellStyle name="ArialNormal 2 3 2 3 4 4 2" xfId="42640" xr:uid="{00000000-0005-0000-0000-0000ED4B0000}"/>
    <cellStyle name="ArialNormal 2 3 2 3 4 5" xfId="35239" xr:uid="{00000000-0005-0000-0000-0000EE4B0000}"/>
    <cellStyle name="ArialNormal 2 3 2 3 5" xfId="16597" xr:uid="{00000000-0005-0000-0000-0000EF4B0000}"/>
    <cellStyle name="ArialNormal 2 3 2 3 5 2" xfId="35951" xr:uid="{00000000-0005-0000-0000-0000F04B0000}"/>
    <cellStyle name="ArialNormal 2 3 2 3 6" xfId="19028" xr:uid="{00000000-0005-0000-0000-0000F14B0000}"/>
    <cellStyle name="ArialNormal 2 3 2 3 6 2" xfId="38381" xr:uid="{00000000-0005-0000-0000-0000F24B0000}"/>
    <cellStyle name="ArialNormal 2 3 2 3 7" xfId="21514" xr:uid="{00000000-0005-0000-0000-0000F34B0000}"/>
    <cellStyle name="ArialNormal 2 3 2 3 7 2" xfId="40856" xr:uid="{00000000-0005-0000-0000-0000F44B0000}"/>
    <cellStyle name="ArialNormal 2 3 2 3 8" xfId="33455" xr:uid="{00000000-0005-0000-0000-0000F54B0000}"/>
    <cellStyle name="ArialNormal 2 3 2 4" xfId="14383" xr:uid="{00000000-0005-0000-0000-0000F64B0000}"/>
    <cellStyle name="ArialNormal 2 3 2 4 2" xfId="16876" xr:uid="{00000000-0005-0000-0000-0000F74B0000}"/>
    <cellStyle name="ArialNormal 2 3 2 4 2 2" xfId="36230" xr:uid="{00000000-0005-0000-0000-0000F84B0000}"/>
    <cellStyle name="ArialNormal 2 3 2 4 3" xfId="19307" xr:uid="{00000000-0005-0000-0000-0000F94B0000}"/>
    <cellStyle name="ArialNormal 2 3 2 4 3 2" xfId="38660" xr:uid="{00000000-0005-0000-0000-0000FA4B0000}"/>
    <cellStyle name="ArialNormal 2 3 2 4 4" xfId="21803" xr:uid="{00000000-0005-0000-0000-0000FB4B0000}"/>
    <cellStyle name="ArialNormal 2 3 2 4 4 2" xfId="41145" xr:uid="{00000000-0005-0000-0000-0000FC4B0000}"/>
    <cellStyle name="ArialNormal 2 3 2 4 5" xfId="33744" xr:uid="{00000000-0005-0000-0000-0000FD4B0000}"/>
    <cellStyle name="ArialNormal 2 3 2 5" xfId="15017" xr:uid="{00000000-0005-0000-0000-0000FE4B0000}"/>
    <cellStyle name="ArialNormal 2 3 2 5 2" xfId="17493" xr:uid="{00000000-0005-0000-0000-0000FF4B0000}"/>
    <cellStyle name="ArialNormal 2 3 2 5 2 2" xfId="36847" xr:uid="{00000000-0005-0000-0000-0000004C0000}"/>
    <cellStyle name="ArialNormal 2 3 2 5 3" xfId="19924" xr:uid="{00000000-0005-0000-0000-0000014C0000}"/>
    <cellStyle name="ArialNormal 2 3 2 5 3 2" xfId="39277" xr:uid="{00000000-0005-0000-0000-0000024C0000}"/>
    <cellStyle name="ArialNormal 2 3 2 5 4" xfId="22437" xr:uid="{00000000-0005-0000-0000-0000034C0000}"/>
    <cellStyle name="ArialNormal 2 3 2 5 4 2" xfId="41779" xr:uid="{00000000-0005-0000-0000-0000044C0000}"/>
    <cellStyle name="ArialNormal 2 3 2 5 5" xfId="34378" xr:uid="{00000000-0005-0000-0000-0000054C0000}"/>
    <cellStyle name="ArialNormal 2 3 2 6" xfId="13574" xr:uid="{00000000-0005-0000-0000-0000064C0000}"/>
    <cellStyle name="ArialNormal 2 3 2 6 2" xfId="32940" xr:uid="{00000000-0005-0000-0000-0000074C0000}"/>
    <cellStyle name="ArialNormal 2 3 2 7" xfId="16112" xr:uid="{00000000-0005-0000-0000-0000084C0000}"/>
    <cellStyle name="ArialNormal 2 3 2 7 2" xfId="35466" xr:uid="{00000000-0005-0000-0000-0000094C0000}"/>
    <cellStyle name="ArialNormal 2 3 2 8" xfId="18526" xr:uid="{00000000-0005-0000-0000-00000A4C0000}"/>
    <cellStyle name="ArialNormal 2 3 2 8 2" xfId="37879" xr:uid="{00000000-0005-0000-0000-00000B4C0000}"/>
    <cellStyle name="ArialNormal 2 3 2 9" xfId="26128" xr:uid="{00000000-0005-0000-0000-00000C4C0000}"/>
    <cellStyle name="ArialNormal 2 3 3" xfId="13642" xr:uid="{00000000-0005-0000-0000-00000D4C0000}"/>
    <cellStyle name="ArialNormal 2 3 3 2" xfId="13940" xr:uid="{00000000-0005-0000-0000-00000E4C0000}"/>
    <cellStyle name="ArialNormal 2 3 3 2 2" xfId="14735" xr:uid="{00000000-0005-0000-0000-00000F4C0000}"/>
    <cellStyle name="ArialNormal 2 3 3 2 2 2" xfId="17213" xr:uid="{00000000-0005-0000-0000-0000104C0000}"/>
    <cellStyle name="ArialNormal 2 3 3 2 2 2 2" xfId="36567" xr:uid="{00000000-0005-0000-0000-0000114C0000}"/>
    <cellStyle name="ArialNormal 2 3 3 2 2 3" xfId="19644" xr:uid="{00000000-0005-0000-0000-0000124C0000}"/>
    <cellStyle name="ArialNormal 2 3 3 2 2 3 2" xfId="38997" xr:uid="{00000000-0005-0000-0000-0000134C0000}"/>
    <cellStyle name="ArialNormal 2 3 3 2 2 4" xfId="22155" xr:uid="{00000000-0005-0000-0000-0000144C0000}"/>
    <cellStyle name="ArialNormal 2 3 3 2 2 4 2" xfId="41497" xr:uid="{00000000-0005-0000-0000-0000154C0000}"/>
    <cellStyle name="ArialNormal 2 3 3 2 2 5" xfId="34096" xr:uid="{00000000-0005-0000-0000-0000164C0000}"/>
    <cellStyle name="ArialNormal 2 3 3 2 3" xfId="15283" xr:uid="{00000000-0005-0000-0000-0000174C0000}"/>
    <cellStyle name="ArialNormal 2 3 3 2 3 2" xfId="17759" xr:uid="{00000000-0005-0000-0000-0000184C0000}"/>
    <cellStyle name="ArialNormal 2 3 3 2 3 2 2" xfId="37113" xr:uid="{00000000-0005-0000-0000-0000194C0000}"/>
    <cellStyle name="ArialNormal 2 3 3 2 3 3" xfId="20190" xr:uid="{00000000-0005-0000-0000-00001A4C0000}"/>
    <cellStyle name="ArialNormal 2 3 3 2 3 3 2" xfId="39543" xr:uid="{00000000-0005-0000-0000-00001B4C0000}"/>
    <cellStyle name="ArialNormal 2 3 3 2 3 4" xfId="22703" xr:uid="{00000000-0005-0000-0000-00001C4C0000}"/>
    <cellStyle name="ArialNormal 2 3 3 2 3 4 2" xfId="42045" xr:uid="{00000000-0005-0000-0000-00001D4C0000}"/>
    <cellStyle name="ArialNormal 2 3 3 2 3 5" xfId="34644" xr:uid="{00000000-0005-0000-0000-00001E4C0000}"/>
    <cellStyle name="ArialNormal 2 3 3 2 4" xfId="15742" xr:uid="{00000000-0005-0000-0000-00001F4C0000}"/>
    <cellStyle name="ArialNormal 2 3 3 2 4 2" xfId="18218" xr:uid="{00000000-0005-0000-0000-0000204C0000}"/>
    <cellStyle name="ArialNormal 2 3 3 2 4 2 2" xfId="37572" xr:uid="{00000000-0005-0000-0000-0000214C0000}"/>
    <cellStyle name="ArialNormal 2 3 3 2 4 3" xfId="20649" xr:uid="{00000000-0005-0000-0000-0000224C0000}"/>
    <cellStyle name="ArialNormal 2 3 3 2 4 3 2" xfId="40002" xr:uid="{00000000-0005-0000-0000-0000234C0000}"/>
    <cellStyle name="ArialNormal 2 3 3 2 4 4" xfId="23162" xr:uid="{00000000-0005-0000-0000-0000244C0000}"/>
    <cellStyle name="ArialNormal 2 3 3 2 4 4 2" xfId="42504" xr:uid="{00000000-0005-0000-0000-0000254C0000}"/>
    <cellStyle name="ArialNormal 2 3 3 2 4 5" xfId="35103" xr:uid="{00000000-0005-0000-0000-0000264C0000}"/>
    <cellStyle name="ArialNormal 2 3 3 2 5" xfId="16446" xr:uid="{00000000-0005-0000-0000-0000274C0000}"/>
    <cellStyle name="ArialNormal 2 3 3 2 5 2" xfId="35800" xr:uid="{00000000-0005-0000-0000-0000284C0000}"/>
    <cellStyle name="ArialNormal 2 3 3 2 6" xfId="18877" xr:uid="{00000000-0005-0000-0000-0000294C0000}"/>
    <cellStyle name="ArialNormal 2 3 3 2 6 2" xfId="38230" xr:uid="{00000000-0005-0000-0000-00002A4C0000}"/>
    <cellStyle name="ArialNormal 2 3 3 2 7" xfId="21363" xr:uid="{00000000-0005-0000-0000-00002B4C0000}"/>
    <cellStyle name="ArialNormal 2 3 3 2 7 2" xfId="40705" xr:uid="{00000000-0005-0000-0000-00002C4C0000}"/>
    <cellStyle name="ArialNormal 2 3 3 2 8" xfId="33304" xr:uid="{00000000-0005-0000-0000-00002D4C0000}"/>
    <cellStyle name="ArialNormal 2 3 3 3" xfId="14154" xr:uid="{00000000-0005-0000-0000-00002E4C0000}"/>
    <cellStyle name="ArialNormal 2 3 3 3 2" xfId="14931" xr:uid="{00000000-0005-0000-0000-00002F4C0000}"/>
    <cellStyle name="ArialNormal 2 3 3 3 2 2" xfId="17409" xr:uid="{00000000-0005-0000-0000-0000304C0000}"/>
    <cellStyle name="ArialNormal 2 3 3 3 2 2 2" xfId="36763" xr:uid="{00000000-0005-0000-0000-0000314C0000}"/>
    <cellStyle name="ArialNormal 2 3 3 3 2 3" xfId="19840" xr:uid="{00000000-0005-0000-0000-0000324C0000}"/>
    <cellStyle name="ArialNormal 2 3 3 3 2 3 2" xfId="39193" xr:uid="{00000000-0005-0000-0000-0000334C0000}"/>
    <cellStyle name="ArialNormal 2 3 3 3 2 4" xfId="22351" xr:uid="{00000000-0005-0000-0000-0000344C0000}"/>
    <cellStyle name="ArialNormal 2 3 3 3 2 4 2" xfId="41693" xr:uid="{00000000-0005-0000-0000-0000354C0000}"/>
    <cellStyle name="ArialNormal 2 3 3 3 2 5" xfId="34292" xr:uid="{00000000-0005-0000-0000-0000364C0000}"/>
    <cellStyle name="ArialNormal 2 3 3 3 3" xfId="15477" xr:uid="{00000000-0005-0000-0000-0000374C0000}"/>
    <cellStyle name="ArialNormal 2 3 3 3 3 2" xfId="17953" xr:uid="{00000000-0005-0000-0000-0000384C0000}"/>
    <cellStyle name="ArialNormal 2 3 3 3 3 2 2" xfId="37307" xr:uid="{00000000-0005-0000-0000-0000394C0000}"/>
    <cellStyle name="ArialNormal 2 3 3 3 3 3" xfId="20384" xr:uid="{00000000-0005-0000-0000-00003A4C0000}"/>
    <cellStyle name="ArialNormal 2 3 3 3 3 3 2" xfId="39737" xr:uid="{00000000-0005-0000-0000-00003B4C0000}"/>
    <cellStyle name="ArialNormal 2 3 3 3 3 4" xfId="22897" xr:uid="{00000000-0005-0000-0000-00003C4C0000}"/>
    <cellStyle name="ArialNormal 2 3 3 3 3 4 2" xfId="42239" xr:uid="{00000000-0005-0000-0000-00003D4C0000}"/>
    <cellStyle name="ArialNormal 2 3 3 3 3 5" xfId="34838" xr:uid="{00000000-0005-0000-0000-00003E4C0000}"/>
    <cellStyle name="ArialNormal 2 3 3 3 4" xfId="15936" xr:uid="{00000000-0005-0000-0000-00003F4C0000}"/>
    <cellStyle name="ArialNormal 2 3 3 3 4 2" xfId="18412" xr:uid="{00000000-0005-0000-0000-0000404C0000}"/>
    <cellStyle name="ArialNormal 2 3 3 3 4 2 2" xfId="37766" xr:uid="{00000000-0005-0000-0000-0000414C0000}"/>
    <cellStyle name="ArialNormal 2 3 3 3 4 3" xfId="20843" xr:uid="{00000000-0005-0000-0000-0000424C0000}"/>
    <cellStyle name="ArialNormal 2 3 3 3 4 3 2" xfId="40196" xr:uid="{00000000-0005-0000-0000-0000434C0000}"/>
    <cellStyle name="ArialNormal 2 3 3 3 4 4" xfId="23356" xr:uid="{00000000-0005-0000-0000-0000444C0000}"/>
    <cellStyle name="ArialNormal 2 3 3 3 4 4 2" xfId="42698" xr:uid="{00000000-0005-0000-0000-0000454C0000}"/>
    <cellStyle name="ArialNormal 2 3 3 3 4 5" xfId="35297" xr:uid="{00000000-0005-0000-0000-0000464C0000}"/>
    <cellStyle name="ArialNormal 2 3 3 3 5" xfId="16660" xr:uid="{00000000-0005-0000-0000-0000474C0000}"/>
    <cellStyle name="ArialNormal 2 3 3 3 5 2" xfId="36014" xr:uid="{00000000-0005-0000-0000-0000484C0000}"/>
    <cellStyle name="ArialNormal 2 3 3 3 6" xfId="19091" xr:uid="{00000000-0005-0000-0000-0000494C0000}"/>
    <cellStyle name="ArialNormal 2 3 3 3 6 2" xfId="38444" xr:uid="{00000000-0005-0000-0000-00004A4C0000}"/>
    <cellStyle name="ArialNormal 2 3 3 3 7" xfId="21577" xr:uid="{00000000-0005-0000-0000-00004B4C0000}"/>
    <cellStyle name="ArialNormal 2 3 3 3 7 2" xfId="40919" xr:uid="{00000000-0005-0000-0000-00004C4C0000}"/>
    <cellStyle name="ArialNormal 2 3 3 3 8" xfId="33518" xr:uid="{00000000-0005-0000-0000-00004D4C0000}"/>
    <cellStyle name="ArialNormal 2 3 3 4" xfId="14450" xr:uid="{00000000-0005-0000-0000-00004E4C0000}"/>
    <cellStyle name="ArialNormal 2 3 3 4 2" xfId="16940" xr:uid="{00000000-0005-0000-0000-00004F4C0000}"/>
    <cellStyle name="ArialNormal 2 3 3 4 2 2" xfId="36294" xr:uid="{00000000-0005-0000-0000-0000504C0000}"/>
    <cellStyle name="ArialNormal 2 3 3 4 3" xfId="19371" xr:uid="{00000000-0005-0000-0000-0000514C0000}"/>
    <cellStyle name="ArialNormal 2 3 3 4 3 2" xfId="38724" xr:uid="{00000000-0005-0000-0000-0000524C0000}"/>
    <cellStyle name="ArialNormal 2 3 3 4 4" xfId="21870" xr:uid="{00000000-0005-0000-0000-0000534C0000}"/>
    <cellStyle name="ArialNormal 2 3 3 4 4 2" xfId="41212" xr:uid="{00000000-0005-0000-0000-0000544C0000}"/>
    <cellStyle name="ArialNormal 2 3 3 4 5" xfId="33811" xr:uid="{00000000-0005-0000-0000-0000554C0000}"/>
    <cellStyle name="ArialNormal 2 3 3 5" xfId="15527" xr:uid="{00000000-0005-0000-0000-0000564C0000}"/>
    <cellStyle name="ArialNormal 2 3 3 5 2" xfId="18003" xr:uid="{00000000-0005-0000-0000-0000574C0000}"/>
    <cellStyle name="ArialNormal 2 3 3 5 2 2" xfId="37357" xr:uid="{00000000-0005-0000-0000-0000584C0000}"/>
    <cellStyle name="ArialNormal 2 3 3 5 3" xfId="20434" xr:uid="{00000000-0005-0000-0000-0000594C0000}"/>
    <cellStyle name="ArialNormal 2 3 3 5 3 2" xfId="39787" xr:uid="{00000000-0005-0000-0000-00005A4C0000}"/>
    <cellStyle name="ArialNormal 2 3 3 5 4" xfId="22947" xr:uid="{00000000-0005-0000-0000-00005B4C0000}"/>
    <cellStyle name="ArialNormal 2 3 3 5 4 2" xfId="42289" xr:uid="{00000000-0005-0000-0000-00005C4C0000}"/>
    <cellStyle name="ArialNormal 2 3 3 5 5" xfId="34888" xr:uid="{00000000-0005-0000-0000-00005D4C0000}"/>
    <cellStyle name="ArialNormal 2 3 3 6" xfId="16162" xr:uid="{00000000-0005-0000-0000-00005E4C0000}"/>
    <cellStyle name="ArialNormal 2 3 3 6 2" xfId="35516" xr:uid="{00000000-0005-0000-0000-00005F4C0000}"/>
    <cellStyle name="ArialNormal 2 3 3 7" xfId="18593" xr:uid="{00000000-0005-0000-0000-0000604C0000}"/>
    <cellStyle name="ArialNormal 2 3 3 7 2" xfId="37946" xr:uid="{00000000-0005-0000-0000-0000614C0000}"/>
    <cellStyle name="ArialNormal 2 3 3 8" xfId="21067" xr:uid="{00000000-0005-0000-0000-0000624C0000}"/>
    <cellStyle name="ArialNormal 2 3 3 8 2" xfId="40409" xr:uid="{00000000-0005-0000-0000-0000634C0000}"/>
    <cellStyle name="ArialNormal 2 3 3 9" xfId="33008" xr:uid="{00000000-0005-0000-0000-0000644C0000}"/>
    <cellStyle name="ArialNormal 2 3 4" xfId="13771" xr:uid="{00000000-0005-0000-0000-0000654C0000}"/>
    <cellStyle name="ArialNormal 2 3 4 2" xfId="14570" xr:uid="{00000000-0005-0000-0000-0000664C0000}"/>
    <cellStyle name="ArialNormal 2 3 4 2 2" xfId="17057" xr:uid="{00000000-0005-0000-0000-0000674C0000}"/>
    <cellStyle name="ArialNormal 2 3 4 2 2 2" xfId="36411" xr:uid="{00000000-0005-0000-0000-0000684C0000}"/>
    <cellStyle name="ArialNormal 2 3 4 2 3" xfId="19488" xr:uid="{00000000-0005-0000-0000-0000694C0000}"/>
    <cellStyle name="ArialNormal 2 3 4 2 3 2" xfId="38841" xr:uid="{00000000-0005-0000-0000-00006A4C0000}"/>
    <cellStyle name="ArialNormal 2 3 4 2 4" xfId="21990" xr:uid="{00000000-0005-0000-0000-00006B4C0000}"/>
    <cellStyle name="ArialNormal 2 3 4 2 4 2" xfId="41332" xr:uid="{00000000-0005-0000-0000-00006C4C0000}"/>
    <cellStyle name="ArialNormal 2 3 4 2 5" xfId="33931" xr:uid="{00000000-0005-0000-0000-00006D4C0000}"/>
    <cellStyle name="ArialNormal 2 3 4 3" xfId="15130" xr:uid="{00000000-0005-0000-0000-00006E4C0000}"/>
    <cellStyle name="ArialNormal 2 3 4 3 2" xfId="17606" xr:uid="{00000000-0005-0000-0000-00006F4C0000}"/>
    <cellStyle name="ArialNormal 2 3 4 3 2 2" xfId="36960" xr:uid="{00000000-0005-0000-0000-0000704C0000}"/>
    <cellStyle name="ArialNormal 2 3 4 3 3" xfId="20037" xr:uid="{00000000-0005-0000-0000-0000714C0000}"/>
    <cellStyle name="ArialNormal 2 3 4 3 3 2" xfId="39390" xr:uid="{00000000-0005-0000-0000-0000724C0000}"/>
    <cellStyle name="ArialNormal 2 3 4 3 4" xfId="22550" xr:uid="{00000000-0005-0000-0000-0000734C0000}"/>
    <cellStyle name="ArialNormal 2 3 4 3 4 2" xfId="41892" xr:uid="{00000000-0005-0000-0000-0000744C0000}"/>
    <cellStyle name="ArialNormal 2 3 4 3 5" xfId="34491" xr:uid="{00000000-0005-0000-0000-0000754C0000}"/>
    <cellStyle name="ArialNormal 2 3 4 4" xfId="15611" xr:uid="{00000000-0005-0000-0000-0000764C0000}"/>
    <cellStyle name="ArialNormal 2 3 4 4 2" xfId="18087" xr:uid="{00000000-0005-0000-0000-0000774C0000}"/>
    <cellStyle name="ArialNormal 2 3 4 4 2 2" xfId="37441" xr:uid="{00000000-0005-0000-0000-0000784C0000}"/>
    <cellStyle name="ArialNormal 2 3 4 4 3" xfId="20518" xr:uid="{00000000-0005-0000-0000-0000794C0000}"/>
    <cellStyle name="ArialNormal 2 3 4 4 3 2" xfId="39871" xr:uid="{00000000-0005-0000-0000-00007A4C0000}"/>
    <cellStyle name="ArialNormal 2 3 4 4 4" xfId="23031" xr:uid="{00000000-0005-0000-0000-00007B4C0000}"/>
    <cellStyle name="ArialNormal 2 3 4 4 4 2" xfId="42373" xr:uid="{00000000-0005-0000-0000-00007C4C0000}"/>
    <cellStyle name="ArialNormal 2 3 4 4 5" xfId="34972" xr:uid="{00000000-0005-0000-0000-00007D4C0000}"/>
    <cellStyle name="ArialNormal 2 3 4 5" xfId="16286" xr:uid="{00000000-0005-0000-0000-00007E4C0000}"/>
    <cellStyle name="ArialNormal 2 3 4 5 2" xfId="35640" xr:uid="{00000000-0005-0000-0000-00007F4C0000}"/>
    <cellStyle name="ArialNormal 2 3 4 6" xfId="18717" xr:uid="{00000000-0005-0000-0000-0000804C0000}"/>
    <cellStyle name="ArialNormal 2 3 4 6 2" xfId="38070" xr:uid="{00000000-0005-0000-0000-0000814C0000}"/>
    <cellStyle name="ArialNormal 2 3 4 7" xfId="21194" xr:uid="{00000000-0005-0000-0000-0000824C0000}"/>
    <cellStyle name="ArialNormal 2 3 4 7 2" xfId="40536" xr:uid="{00000000-0005-0000-0000-0000834C0000}"/>
    <cellStyle name="ArialNormal 2 3 4 8" xfId="33135" xr:uid="{00000000-0005-0000-0000-0000844C0000}"/>
    <cellStyle name="ArialNormal 2 3 5" xfId="13990" xr:uid="{00000000-0005-0000-0000-0000854C0000}"/>
    <cellStyle name="ArialNormal 2 3 5 2" xfId="14785" xr:uid="{00000000-0005-0000-0000-0000864C0000}"/>
    <cellStyle name="ArialNormal 2 3 5 2 2" xfId="17263" xr:uid="{00000000-0005-0000-0000-0000874C0000}"/>
    <cellStyle name="ArialNormal 2 3 5 2 2 2" xfId="36617" xr:uid="{00000000-0005-0000-0000-0000884C0000}"/>
    <cellStyle name="ArialNormal 2 3 5 2 3" xfId="19694" xr:uid="{00000000-0005-0000-0000-0000894C0000}"/>
    <cellStyle name="ArialNormal 2 3 5 2 3 2" xfId="39047" xr:uid="{00000000-0005-0000-0000-00008A4C0000}"/>
    <cellStyle name="ArialNormal 2 3 5 2 4" xfId="22205" xr:uid="{00000000-0005-0000-0000-00008B4C0000}"/>
    <cellStyle name="ArialNormal 2 3 5 2 4 2" xfId="41547" xr:uid="{00000000-0005-0000-0000-00008C4C0000}"/>
    <cellStyle name="ArialNormal 2 3 5 2 5" xfId="34146" xr:uid="{00000000-0005-0000-0000-00008D4C0000}"/>
    <cellStyle name="ArialNormal 2 3 5 3" xfId="15333" xr:uid="{00000000-0005-0000-0000-00008E4C0000}"/>
    <cellStyle name="ArialNormal 2 3 5 3 2" xfId="17809" xr:uid="{00000000-0005-0000-0000-00008F4C0000}"/>
    <cellStyle name="ArialNormal 2 3 5 3 2 2" xfId="37163" xr:uid="{00000000-0005-0000-0000-0000904C0000}"/>
    <cellStyle name="ArialNormal 2 3 5 3 3" xfId="20240" xr:uid="{00000000-0005-0000-0000-0000914C0000}"/>
    <cellStyle name="ArialNormal 2 3 5 3 3 2" xfId="39593" xr:uid="{00000000-0005-0000-0000-0000924C0000}"/>
    <cellStyle name="ArialNormal 2 3 5 3 4" xfId="22753" xr:uid="{00000000-0005-0000-0000-0000934C0000}"/>
    <cellStyle name="ArialNormal 2 3 5 3 4 2" xfId="42095" xr:uid="{00000000-0005-0000-0000-0000944C0000}"/>
    <cellStyle name="ArialNormal 2 3 5 3 5" xfId="34694" xr:uid="{00000000-0005-0000-0000-0000954C0000}"/>
    <cellStyle name="ArialNormal 2 3 5 4" xfId="15792" xr:uid="{00000000-0005-0000-0000-0000964C0000}"/>
    <cellStyle name="ArialNormal 2 3 5 4 2" xfId="18268" xr:uid="{00000000-0005-0000-0000-0000974C0000}"/>
    <cellStyle name="ArialNormal 2 3 5 4 2 2" xfId="37622" xr:uid="{00000000-0005-0000-0000-0000984C0000}"/>
    <cellStyle name="ArialNormal 2 3 5 4 3" xfId="20699" xr:uid="{00000000-0005-0000-0000-0000994C0000}"/>
    <cellStyle name="ArialNormal 2 3 5 4 3 2" xfId="40052" xr:uid="{00000000-0005-0000-0000-00009A4C0000}"/>
    <cellStyle name="ArialNormal 2 3 5 4 4" xfId="23212" xr:uid="{00000000-0005-0000-0000-00009B4C0000}"/>
    <cellStyle name="ArialNormal 2 3 5 4 4 2" xfId="42554" xr:uid="{00000000-0005-0000-0000-00009C4C0000}"/>
    <cellStyle name="ArialNormal 2 3 5 4 5" xfId="35153" xr:uid="{00000000-0005-0000-0000-00009D4C0000}"/>
    <cellStyle name="ArialNormal 2 3 5 5" xfId="16496" xr:uid="{00000000-0005-0000-0000-00009E4C0000}"/>
    <cellStyle name="ArialNormal 2 3 5 5 2" xfId="35850" xr:uid="{00000000-0005-0000-0000-00009F4C0000}"/>
    <cellStyle name="ArialNormal 2 3 5 6" xfId="18927" xr:uid="{00000000-0005-0000-0000-0000A04C0000}"/>
    <cellStyle name="ArialNormal 2 3 5 6 2" xfId="38280" xr:uid="{00000000-0005-0000-0000-0000A14C0000}"/>
    <cellStyle name="ArialNormal 2 3 5 7" xfId="21413" xr:uid="{00000000-0005-0000-0000-0000A24C0000}"/>
    <cellStyle name="ArialNormal 2 3 5 7 2" xfId="40755" xr:uid="{00000000-0005-0000-0000-0000A34C0000}"/>
    <cellStyle name="ArialNormal 2 3 5 8" xfId="33354" xr:uid="{00000000-0005-0000-0000-0000A44C0000}"/>
    <cellStyle name="ArialNormal 2 3 6" xfId="13447" xr:uid="{00000000-0005-0000-0000-0000A54C0000}"/>
    <cellStyle name="ArialNormal 2 3 6 2" xfId="32826" xr:uid="{00000000-0005-0000-0000-0000A64C0000}"/>
    <cellStyle name="ArialNormal 2 3 7" xfId="16017" xr:uid="{00000000-0005-0000-0000-0000A74C0000}"/>
    <cellStyle name="ArialNormal 2 3 7 2" xfId="35371" xr:uid="{00000000-0005-0000-0000-0000A84C0000}"/>
    <cellStyle name="ArialNormal 2 3 8" xfId="13395" xr:uid="{00000000-0005-0000-0000-0000A94C0000}"/>
    <cellStyle name="ArialNormal 2 3 8 2" xfId="32783" xr:uid="{00000000-0005-0000-0000-0000AA4C0000}"/>
    <cellStyle name="ArialNormal 2 3 9" xfId="20947" xr:uid="{00000000-0005-0000-0000-0000AB4C0000}"/>
    <cellStyle name="ArialNormal 2 3 9 2" xfId="40289" xr:uid="{00000000-0005-0000-0000-0000AC4C0000}"/>
    <cellStyle name="ArialNormal 2 4" xfId="5518" xr:uid="{00000000-0005-0000-0000-0000AD4C0000}"/>
    <cellStyle name="ArialNormal 2 4 10" xfId="20986" xr:uid="{00000000-0005-0000-0000-0000AE4C0000}"/>
    <cellStyle name="ArialNormal 2 4 10 2" xfId="40328" xr:uid="{00000000-0005-0000-0000-0000AF4C0000}"/>
    <cellStyle name="ArialNormal 2 4 11" xfId="25006" xr:uid="{00000000-0005-0000-0000-0000B04C0000}"/>
    <cellStyle name="ArialNormal 2 4 2" xfId="13611" xr:uid="{00000000-0005-0000-0000-0000B14C0000}"/>
    <cellStyle name="ArialNormal 2 4 2 2" xfId="13912" xr:uid="{00000000-0005-0000-0000-0000B24C0000}"/>
    <cellStyle name="ArialNormal 2 4 2 2 2" xfId="14707" xr:uid="{00000000-0005-0000-0000-0000B34C0000}"/>
    <cellStyle name="ArialNormal 2 4 2 2 2 2" xfId="17185" xr:uid="{00000000-0005-0000-0000-0000B44C0000}"/>
    <cellStyle name="ArialNormal 2 4 2 2 2 2 2" xfId="36539" xr:uid="{00000000-0005-0000-0000-0000B54C0000}"/>
    <cellStyle name="ArialNormal 2 4 2 2 2 3" xfId="19616" xr:uid="{00000000-0005-0000-0000-0000B64C0000}"/>
    <cellStyle name="ArialNormal 2 4 2 2 2 3 2" xfId="38969" xr:uid="{00000000-0005-0000-0000-0000B74C0000}"/>
    <cellStyle name="ArialNormal 2 4 2 2 2 4" xfId="22127" xr:uid="{00000000-0005-0000-0000-0000B84C0000}"/>
    <cellStyle name="ArialNormal 2 4 2 2 2 4 2" xfId="41469" xr:uid="{00000000-0005-0000-0000-0000B94C0000}"/>
    <cellStyle name="ArialNormal 2 4 2 2 2 5" xfId="34068" xr:uid="{00000000-0005-0000-0000-0000BA4C0000}"/>
    <cellStyle name="ArialNormal 2 4 2 2 3" xfId="15255" xr:uid="{00000000-0005-0000-0000-0000BB4C0000}"/>
    <cellStyle name="ArialNormal 2 4 2 2 3 2" xfId="17731" xr:uid="{00000000-0005-0000-0000-0000BC4C0000}"/>
    <cellStyle name="ArialNormal 2 4 2 2 3 2 2" xfId="37085" xr:uid="{00000000-0005-0000-0000-0000BD4C0000}"/>
    <cellStyle name="ArialNormal 2 4 2 2 3 3" xfId="20162" xr:uid="{00000000-0005-0000-0000-0000BE4C0000}"/>
    <cellStyle name="ArialNormal 2 4 2 2 3 3 2" xfId="39515" xr:uid="{00000000-0005-0000-0000-0000BF4C0000}"/>
    <cellStyle name="ArialNormal 2 4 2 2 3 4" xfId="22675" xr:uid="{00000000-0005-0000-0000-0000C04C0000}"/>
    <cellStyle name="ArialNormal 2 4 2 2 3 4 2" xfId="42017" xr:uid="{00000000-0005-0000-0000-0000C14C0000}"/>
    <cellStyle name="ArialNormal 2 4 2 2 3 5" xfId="34616" xr:uid="{00000000-0005-0000-0000-0000C24C0000}"/>
    <cellStyle name="ArialNormal 2 4 2 2 4" xfId="15714" xr:uid="{00000000-0005-0000-0000-0000C34C0000}"/>
    <cellStyle name="ArialNormal 2 4 2 2 4 2" xfId="18190" xr:uid="{00000000-0005-0000-0000-0000C44C0000}"/>
    <cellStyle name="ArialNormal 2 4 2 2 4 2 2" xfId="37544" xr:uid="{00000000-0005-0000-0000-0000C54C0000}"/>
    <cellStyle name="ArialNormal 2 4 2 2 4 3" xfId="20621" xr:uid="{00000000-0005-0000-0000-0000C64C0000}"/>
    <cellStyle name="ArialNormal 2 4 2 2 4 3 2" xfId="39974" xr:uid="{00000000-0005-0000-0000-0000C74C0000}"/>
    <cellStyle name="ArialNormal 2 4 2 2 4 4" xfId="23134" xr:uid="{00000000-0005-0000-0000-0000C84C0000}"/>
    <cellStyle name="ArialNormal 2 4 2 2 4 4 2" xfId="42476" xr:uid="{00000000-0005-0000-0000-0000C94C0000}"/>
    <cellStyle name="ArialNormal 2 4 2 2 4 5" xfId="35075" xr:uid="{00000000-0005-0000-0000-0000CA4C0000}"/>
    <cellStyle name="ArialNormal 2 4 2 2 5" xfId="16418" xr:uid="{00000000-0005-0000-0000-0000CB4C0000}"/>
    <cellStyle name="ArialNormal 2 4 2 2 5 2" xfId="35772" xr:uid="{00000000-0005-0000-0000-0000CC4C0000}"/>
    <cellStyle name="ArialNormal 2 4 2 2 6" xfId="18849" xr:uid="{00000000-0005-0000-0000-0000CD4C0000}"/>
    <cellStyle name="ArialNormal 2 4 2 2 6 2" xfId="38202" xr:uid="{00000000-0005-0000-0000-0000CE4C0000}"/>
    <cellStyle name="ArialNormal 2 4 2 2 7" xfId="21335" xr:uid="{00000000-0005-0000-0000-0000CF4C0000}"/>
    <cellStyle name="ArialNormal 2 4 2 2 7 2" xfId="40677" xr:uid="{00000000-0005-0000-0000-0000D04C0000}"/>
    <cellStyle name="ArialNormal 2 4 2 2 8" xfId="33276" xr:uid="{00000000-0005-0000-0000-0000D14C0000}"/>
    <cellStyle name="ArialNormal 2 4 2 3" xfId="14127" xr:uid="{00000000-0005-0000-0000-0000D24C0000}"/>
    <cellStyle name="ArialNormal 2 4 2 3 2" xfId="14908" xr:uid="{00000000-0005-0000-0000-0000D34C0000}"/>
    <cellStyle name="ArialNormal 2 4 2 3 2 2" xfId="17386" xr:uid="{00000000-0005-0000-0000-0000D44C0000}"/>
    <cellStyle name="ArialNormal 2 4 2 3 2 2 2" xfId="36740" xr:uid="{00000000-0005-0000-0000-0000D54C0000}"/>
    <cellStyle name="ArialNormal 2 4 2 3 2 3" xfId="19817" xr:uid="{00000000-0005-0000-0000-0000D64C0000}"/>
    <cellStyle name="ArialNormal 2 4 2 3 2 3 2" xfId="39170" xr:uid="{00000000-0005-0000-0000-0000D74C0000}"/>
    <cellStyle name="ArialNormal 2 4 2 3 2 4" xfId="22328" xr:uid="{00000000-0005-0000-0000-0000D84C0000}"/>
    <cellStyle name="ArialNormal 2 4 2 3 2 4 2" xfId="41670" xr:uid="{00000000-0005-0000-0000-0000D94C0000}"/>
    <cellStyle name="ArialNormal 2 4 2 3 2 5" xfId="34269" xr:uid="{00000000-0005-0000-0000-0000DA4C0000}"/>
    <cellStyle name="ArialNormal 2 4 2 3 3" xfId="15455" xr:uid="{00000000-0005-0000-0000-0000DB4C0000}"/>
    <cellStyle name="ArialNormal 2 4 2 3 3 2" xfId="17931" xr:uid="{00000000-0005-0000-0000-0000DC4C0000}"/>
    <cellStyle name="ArialNormal 2 4 2 3 3 2 2" xfId="37285" xr:uid="{00000000-0005-0000-0000-0000DD4C0000}"/>
    <cellStyle name="ArialNormal 2 4 2 3 3 3" xfId="20362" xr:uid="{00000000-0005-0000-0000-0000DE4C0000}"/>
    <cellStyle name="ArialNormal 2 4 2 3 3 3 2" xfId="39715" xr:uid="{00000000-0005-0000-0000-0000DF4C0000}"/>
    <cellStyle name="ArialNormal 2 4 2 3 3 4" xfId="22875" xr:uid="{00000000-0005-0000-0000-0000E04C0000}"/>
    <cellStyle name="ArialNormal 2 4 2 3 3 4 2" xfId="42217" xr:uid="{00000000-0005-0000-0000-0000E14C0000}"/>
    <cellStyle name="ArialNormal 2 4 2 3 3 5" xfId="34816" xr:uid="{00000000-0005-0000-0000-0000E24C0000}"/>
    <cellStyle name="ArialNormal 2 4 2 3 4" xfId="15914" xr:uid="{00000000-0005-0000-0000-0000E34C0000}"/>
    <cellStyle name="ArialNormal 2 4 2 3 4 2" xfId="18390" xr:uid="{00000000-0005-0000-0000-0000E44C0000}"/>
    <cellStyle name="ArialNormal 2 4 2 3 4 2 2" xfId="37744" xr:uid="{00000000-0005-0000-0000-0000E54C0000}"/>
    <cellStyle name="ArialNormal 2 4 2 3 4 3" xfId="20821" xr:uid="{00000000-0005-0000-0000-0000E64C0000}"/>
    <cellStyle name="ArialNormal 2 4 2 3 4 3 2" xfId="40174" xr:uid="{00000000-0005-0000-0000-0000E74C0000}"/>
    <cellStyle name="ArialNormal 2 4 2 3 4 4" xfId="23334" xr:uid="{00000000-0005-0000-0000-0000E84C0000}"/>
    <cellStyle name="ArialNormal 2 4 2 3 4 4 2" xfId="42676" xr:uid="{00000000-0005-0000-0000-0000E94C0000}"/>
    <cellStyle name="ArialNormal 2 4 2 3 4 5" xfId="35275" xr:uid="{00000000-0005-0000-0000-0000EA4C0000}"/>
    <cellStyle name="ArialNormal 2 4 2 3 5" xfId="16633" xr:uid="{00000000-0005-0000-0000-0000EB4C0000}"/>
    <cellStyle name="ArialNormal 2 4 2 3 5 2" xfId="35987" xr:uid="{00000000-0005-0000-0000-0000EC4C0000}"/>
    <cellStyle name="ArialNormal 2 4 2 3 6" xfId="19064" xr:uid="{00000000-0005-0000-0000-0000ED4C0000}"/>
    <cellStyle name="ArialNormal 2 4 2 3 6 2" xfId="38417" xr:uid="{00000000-0005-0000-0000-0000EE4C0000}"/>
    <cellStyle name="ArialNormal 2 4 2 3 7" xfId="21550" xr:uid="{00000000-0005-0000-0000-0000EF4C0000}"/>
    <cellStyle name="ArialNormal 2 4 2 3 7 2" xfId="40892" xr:uid="{00000000-0005-0000-0000-0000F04C0000}"/>
    <cellStyle name="ArialNormal 2 4 2 3 8" xfId="33491" xr:uid="{00000000-0005-0000-0000-0000F14C0000}"/>
    <cellStyle name="ArialNormal 2 4 2 4" xfId="14422" xr:uid="{00000000-0005-0000-0000-0000F24C0000}"/>
    <cellStyle name="ArialNormal 2 4 2 4 2" xfId="16912" xr:uid="{00000000-0005-0000-0000-0000F34C0000}"/>
    <cellStyle name="ArialNormal 2 4 2 4 2 2" xfId="36266" xr:uid="{00000000-0005-0000-0000-0000F44C0000}"/>
    <cellStyle name="ArialNormal 2 4 2 4 3" xfId="19343" xr:uid="{00000000-0005-0000-0000-0000F54C0000}"/>
    <cellStyle name="ArialNormal 2 4 2 4 3 2" xfId="38696" xr:uid="{00000000-0005-0000-0000-0000F64C0000}"/>
    <cellStyle name="ArialNormal 2 4 2 4 4" xfId="21842" xr:uid="{00000000-0005-0000-0000-0000F74C0000}"/>
    <cellStyle name="ArialNormal 2 4 2 4 4 2" xfId="41184" xr:uid="{00000000-0005-0000-0000-0000F84C0000}"/>
    <cellStyle name="ArialNormal 2 4 2 4 5" xfId="33783" xr:uid="{00000000-0005-0000-0000-0000F94C0000}"/>
    <cellStyle name="ArialNormal 2 4 2 5" xfId="15045" xr:uid="{00000000-0005-0000-0000-0000FA4C0000}"/>
    <cellStyle name="ArialNormal 2 4 2 5 2" xfId="17521" xr:uid="{00000000-0005-0000-0000-0000FB4C0000}"/>
    <cellStyle name="ArialNormal 2 4 2 5 2 2" xfId="36875" xr:uid="{00000000-0005-0000-0000-0000FC4C0000}"/>
    <cellStyle name="ArialNormal 2 4 2 5 3" xfId="19952" xr:uid="{00000000-0005-0000-0000-0000FD4C0000}"/>
    <cellStyle name="ArialNormal 2 4 2 5 3 2" xfId="39305" xr:uid="{00000000-0005-0000-0000-0000FE4C0000}"/>
    <cellStyle name="ArialNormal 2 4 2 5 4" xfId="22465" xr:uid="{00000000-0005-0000-0000-0000FF4C0000}"/>
    <cellStyle name="ArialNormal 2 4 2 5 4 2" xfId="41807" xr:uid="{00000000-0005-0000-0000-0000004D0000}"/>
    <cellStyle name="ArialNormal 2 4 2 5 5" xfId="34406" xr:uid="{00000000-0005-0000-0000-0000014D0000}"/>
    <cellStyle name="ArialNormal 2 4 2 6" xfId="16131" xr:uid="{00000000-0005-0000-0000-0000024D0000}"/>
    <cellStyle name="ArialNormal 2 4 2 6 2" xfId="35485" xr:uid="{00000000-0005-0000-0000-0000034D0000}"/>
    <cellStyle name="ArialNormal 2 4 2 7" xfId="18562" xr:uid="{00000000-0005-0000-0000-0000044D0000}"/>
    <cellStyle name="ArialNormal 2 4 2 7 2" xfId="37915" xr:uid="{00000000-0005-0000-0000-0000054D0000}"/>
    <cellStyle name="ArialNormal 2 4 2 8" xfId="32977" xr:uid="{00000000-0005-0000-0000-0000064D0000}"/>
    <cellStyle name="ArialNormal 2 4 3" xfId="13678" xr:uid="{00000000-0005-0000-0000-0000074D0000}"/>
    <cellStyle name="ArialNormal 2 4 3 2" xfId="13976" xr:uid="{00000000-0005-0000-0000-0000084D0000}"/>
    <cellStyle name="ArialNormal 2 4 3 2 2" xfId="14771" xr:uid="{00000000-0005-0000-0000-0000094D0000}"/>
    <cellStyle name="ArialNormal 2 4 3 2 2 2" xfId="17249" xr:uid="{00000000-0005-0000-0000-00000A4D0000}"/>
    <cellStyle name="ArialNormal 2 4 3 2 2 2 2" xfId="36603" xr:uid="{00000000-0005-0000-0000-00000B4D0000}"/>
    <cellStyle name="ArialNormal 2 4 3 2 2 3" xfId="19680" xr:uid="{00000000-0005-0000-0000-00000C4D0000}"/>
    <cellStyle name="ArialNormal 2 4 3 2 2 3 2" xfId="39033" xr:uid="{00000000-0005-0000-0000-00000D4D0000}"/>
    <cellStyle name="ArialNormal 2 4 3 2 2 4" xfId="22191" xr:uid="{00000000-0005-0000-0000-00000E4D0000}"/>
    <cellStyle name="ArialNormal 2 4 3 2 2 4 2" xfId="41533" xr:uid="{00000000-0005-0000-0000-00000F4D0000}"/>
    <cellStyle name="ArialNormal 2 4 3 2 2 5" xfId="34132" xr:uid="{00000000-0005-0000-0000-0000104D0000}"/>
    <cellStyle name="ArialNormal 2 4 3 2 3" xfId="15319" xr:uid="{00000000-0005-0000-0000-0000114D0000}"/>
    <cellStyle name="ArialNormal 2 4 3 2 3 2" xfId="17795" xr:uid="{00000000-0005-0000-0000-0000124D0000}"/>
    <cellStyle name="ArialNormal 2 4 3 2 3 2 2" xfId="37149" xr:uid="{00000000-0005-0000-0000-0000134D0000}"/>
    <cellStyle name="ArialNormal 2 4 3 2 3 3" xfId="20226" xr:uid="{00000000-0005-0000-0000-0000144D0000}"/>
    <cellStyle name="ArialNormal 2 4 3 2 3 3 2" xfId="39579" xr:uid="{00000000-0005-0000-0000-0000154D0000}"/>
    <cellStyle name="ArialNormal 2 4 3 2 3 4" xfId="22739" xr:uid="{00000000-0005-0000-0000-0000164D0000}"/>
    <cellStyle name="ArialNormal 2 4 3 2 3 4 2" xfId="42081" xr:uid="{00000000-0005-0000-0000-0000174D0000}"/>
    <cellStyle name="ArialNormal 2 4 3 2 3 5" xfId="34680" xr:uid="{00000000-0005-0000-0000-0000184D0000}"/>
    <cellStyle name="ArialNormal 2 4 3 2 4" xfId="15778" xr:uid="{00000000-0005-0000-0000-0000194D0000}"/>
    <cellStyle name="ArialNormal 2 4 3 2 4 2" xfId="18254" xr:uid="{00000000-0005-0000-0000-00001A4D0000}"/>
    <cellStyle name="ArialNormal 2 4 3 2 4 2 2" xfId="37608" xr:uid="{00000000-0005-0000-0000-00001B4D0000}"/>
    <cellStyle name="ArialNormal 2 4 3 2 4 3" xfId="20685" xr:uid="{00000000-0005-0000-0000-00001C4D0000}"/>
    <cellStyle name="ArialNormal 2 4 3 2 4 3 2" xfId="40038" xr:uid="{00000000-0005-0000-0000-00001D4D0000}"/>
    <cellStyle name="ArialNormal 2 4 3 2 4 4" xfId="23198" xr:uid="{00000000-0005-0000-0000-00001E4D0000}"/>
    <cellStyle name="ArialNormal 2 4 3 2 4 4 2" xfId="42540" xr:uid="{00000000-0005-0000-0000-00001F4D0000}"/>
    <cellStyle name="ArialNormal 2 4 3 2 4 5" xfId="35139" xr:uid="{00000000-0005-0000-0000-0000204D0000}"/>
    <cellStyle name="ArialNormal 2 4 3 2 5" xfId="16482" xr:uid="{00000000-0005-0000-0000-0000214D0000}"/>
    <cellStyle name="ArialNormal 2 4 3 2 5 2" xfId="35836" xr:uid="{00000000-0005-0000-0000-0000224D0000}"/>
    <cellStyle name="ArialNormal 2 4 3 2 6" xfId="18913" xr:uid="{00000000-0005-0000-0000-0000234D0000}"/>
    <cellStyle name="ArialNormal 2 4 3 2 6 2" xfId="38266" xr:uid="{00000000-0005-0000-0000-0000244D0000}"/>
    <cellStyle name="ArialNormal 2 4 3 2 7" xfId="21399" xr:uid="{00000000-0005-0000-0000-0000254D0000}"/>
    <cellStyle name="ArialNormal 2 4 3 2 7 2" xfId="40741" xr:uid="{00000000-0005-0000-0000-0000264D0000}"/>
    <cellStyle name="ArialNormal 2 4 3 2 8" xfId="33340" xr:uid="{00000000-0005-0000-0000-0000274D0000}"/>
    <cellStyle name="ArialNormal 2 4 3 3" xfId="14189" xr:uid="{00000000-0005-0000-0000-0000284D0000}"/>
    <cellStyle name="ArialNormal 2 4 3 3 2" xfId="14966" xr:uid="{00000000-0005-0000-0000-0000294D0000}"/>
    <cellStyle name="ArialNormal 2 4 3 3 2 2" xfId="17444" xr:uid="{00000000-0005-0000-0000-00002A4D0000}"/>
    <cellStyle name="ArialNormal 2 4 3 3 2 2 2" xfId="36798" xr:uid="{00000000-0005-0000-0000-00002B4D0000}"/>
    <cellStyle name="ArialNormal 2 4 3 3 2 3" xfId="19875" xr:uid="{00000000-0005-0000-0000-00002C4D0000}"/>
    <cellStyle name="ArialNormal 2 4 3 3 2 3 2" xfId="39228" xr:uid="{00000000-0005-0000-0000-00002D4D0000}"/>
    <cellStyle name="ArialNormal 2 4 3 3 2 4" xfId="22386" xr:uid="{00000000-0005-0000-0000-00002E4D0000}"/>
    <cellStyle name="ArialNormal 2 4 3 3 2 4 2" xfId="41728" xr:uid="{00000000-0005-0000-0000-00002F4D0000}"/>
    <cellStyle name="ArialNormal 2 4 3 3 2 5" xfId="34327" xr:uid="{00000000-0005-0000-0000-0000304D0000}"/>
    <cellStyle name="ArialNormal 2 4 3 3 3" xfId="15512" xr:uid="{00000000-0005-0000-0000-0000314D0000}"/>
    <cellStyle name="ArialNormal 2 4 3 3 3 2" xfId="17988" xr:uid="{00000000-0005-0000-0000-0000324D0000}"/>
    <cellStyle name="ArialNormal 2 4 3 3 3 2 2" xfId="37342" xr:uid="{00000000-0005-0000-0000-0000334D0000}"/>
    <cellStyle name="ArialNormal 2 4 3 3 3 3" xfId="20419" xr:uid="{00000000-0005-0000-0000-0000344D0000}"/>
    <cellStyle name="ArialNormal 2 4 3 3 3 3 2" xfId="39772" xr:uid="{00000000-0005-0000-0000-0000354D0000}"/>
    <cellStyle name="ArialNormal 2 4 3 3 3 4" xfId="22932" xr:uid="{00000000-0005-0000-0000-0000364D0000}"/>
    <cellStyle name="ArialNormal 2 4 3 3 3 4 2" xfId="42274" xr:uid="{00000000-0005-0000-0000-0000374D0000}"/>
    <cellStyle name="ArialNormal 2 4 3 3 3 5" xfId="34873" xr:uid="{00000000-0005-0000-0000-0000384D0000}"/>
    <cellStyle name="ArialNormal 2 4 3 3 4" xfId="15971" xr:uid="{00000000-0005-0000-0000-0000394D0000}"/>
    <cellStyle name="ArialNormal 2 4 3 3 4 2" xfId="18447" xr:uid="{00000000-0005-0000-0000-00003A4D0000}"/>
    <cellStyle name="ArialNormal 2 4 3 3 4 2 2" xfId="37801" xr:uid="{00000000-0005-0000-0000-00003B4D0000}"/>
    <cellStyle name="ArialNormal 2 4 3 3 4 3" xfId="20878" xr:uid="{00000000-0005-0000-0000-00003C4D0000}"/>
    <cellStyle name="ArialNormal 2 4 3 3 4 3 2" xfId="40231" xr:uid="{00000000-0005-0000-0000-00003D4D0000}"/>
    <cellStyle name="ArialNormal 2 4 3 3 4 4" xfId="23391" xr:uid="{00000000-0005-0000-0000-00003E4D0000}"/>
    <cellStyle name="ArialNormal 2 4 3 3 4 4 2" xfId="42733" xr:uid="{00000000-0005-0000-0000-00003F4D0000}"/>
    <cellStyle name="ArialNormal 2 4 3 3 4 5" xfId="35332" xr:uid="{00000000-0005-0000-0000-0000404D0000}"/>
    <cellStyle name="ArialNormal 2 4 3 3 5" xfId="16695" xr:uid="{00000000-0005-0000-0000-0000414D0000}"/>
    <cellStyle name="ArialNormal 2 4 3 3 5 2" xfId="36049" xr:uid="{00000000-0005-0000-0000-0000424D0000}"/>
    <cellStyle name="ArialNormal 2 4 3 3 6" xfId="19126" xr:uid="{00000000-0005-0000-0000-0000434D0000}"/>
    <cellStyle name="ArialNormal 2 4 3 3 6 2" xfId="38479" xr:uid="{00000000-0005-0000-0000-0000444D0000}"/>
    <cellStyle name="ArialNormal 2 4 3 3 7" xfId="21612" xr:uid="{00000000-0005-0000-0000-0000454D0000}"/>
    <cellStyle name="ArialNormal 2 4 3 3 7 2" xfId="40954" xr:uid="{00000000-0005-0000-0000-0000464D0000}"/>
    <cellStyle name="ArialNormal 2 4 3 3 8" xfId="33553" xr:uid="{00000000-0005-0000-0000-0000474D0000}"/>
    <cellStyle name="ArialNormal 2 4 3 4" xfId="14486" xr:uid="{00000000-0005-0000-0000-0000484D0000}"/>
    <cellStyle name="ArialNormal 2 4 3 4 2" xfId="16976" xr:uid="{00000000-0005-0000-0000-0000494D0000}"/>
    <cellStyle name="ArialNormal 2 4 3 4 2 2" xfId="36330" xr:uid="{00000000-0005-0000-0000-00004A4D0000}"/>
    <cellStyle name="ArialNormal 2 4 3 4 3" xfId="19407" xr:uid="{00000000-0005-0000-0000-00004B4D0000}"/>
    <cellStyle name="ArialNormal 2 4 3 4 3 2" xfId="38760" xr:uid="{00000000-0005-0000-0000-00004C4D0000}"/>
    <cellStyle name="ArialNormal 2 4 3 4 4" xfId="21906" xr:uid="{00000000-0005-0000-0000-00004D4D0000}"/>
    <cellStyle name="ArialNormal 2 4 3 4 4 2" xfId="41248" xr:uid="{00000000-0005-0000-0000-00004E4D0000}"/>
    <cellStyle name="ArialNormal 2 4 3 4 5" xfId="33847" xr:uid="{00000000-0005-0000-0000-00004F4D0000}"/>
    <cellStyle name="ArialNormal 2 4 3 5" xfId="15534" xr:uid="{00000000-0005-0000-0000-0000504D0000}"/>
    <cellStyle name="ArialNormal 2 4 3 5 2" xfId="18010" xr:uid="{00000000-0005-0000-0000-0000514D0000}"/>
    <cellStyle name="ArialNormal 2 4 3 5 2 2" xfId="37364" xr:uid="{00000000-0005-0000-0000-0000524D0000}"/>
    <cellStyle name="ArialNormal 2 4 3 5 3" xfId="20441" xr:uid="{00000000-0005-0000-0000-0000534D0000}"/>
    <cellStyle name="ArialNormal 2 4 3 5 3 2" xfId="39794" xr:uid="{00000000-0005-0000-0000-0000544D0000}"/>
    <cellStyle name="ArialNormal 2 4 3 5 4" xfId="22954" xr:uid="{00000000-0005-0000-0000-0000554D0000}"/>
    <cellStyle name="ArialNormal 2 4 3 5 4 2" xfId="42296" xr:uid="{00000000-0005-0000-0000-0000564D0000}"/>
    <cellStyle name="ArialNormal 2 4 3 5 5" xfId="34895" xr:uid="{00000000-0005-0000-0000-0000574D0000}"/>
    <cellStyle name="ArialNormal 2 4 3 6" xfId="16198" xr:uid="{00000000-0005-0000-0000-0000584D0000}"/>
    <cellStyle name="ArialNormal 2 4 3 6 2" xfId="35552" xr:uid="{00000000-0005-0000-0000-0000594D0000}"/>
    <cellStyle name="ArialNormal 2 4 3 7" xfId="18629" xr:uid="{00000000-0005-0000-0000-00005A4D0000}"/>
    <cellStyle name="ArialNormal 2 4 3 7 2" xfId="37982" xr:uid="{00000000-0005-0000-0000-00005B4D0000}"/>
    <cellStyle name="ArialNormal 2 4 3 8" xfId="21103" xr:uid="{00000000-0005-0000-0000-00005C4D0000}"/>
    <cellStyle name="ArialNormal 2 4 3 8 2" xfId="40445" xr:uid="{00000000-0005-0000-0000-00005D4D0000}"/>
    <cellStyle name="ArialNormal 2 4 3 9" xfId="33044" xr:uid="{00000000-0005-0000-0000-00005E4D0000}"/>
    <cellStyle name="ArialNormal 2 4 4" xfId="13799" xr:uid="{00000000-0005-0000-0000-00005F4D0000}"/>
    <cellStyle name="ArialNormal 2 4 4 2" xfId="14598" xr:uid="{00000000-0005-0000-0000-0000604D0000}"/>
    <cellStyle name="ArialNormal 2 4 4 2 2" xfId="17082" xr:uid="{00000000-0005-0000-0000-0000614D0000}"/>
    <cellStyle name="ArialNormal 2 4 4 2 2 2" xfId="36436" xr:uid="{00000000-0005-0000-0000-0000624D0000}"/>
    <cellStyle name="ArialNormal 2 4 4 2 3" xfId="19513" xr:uid="{00000000-0005-0000-0000-0000634D0000}"/>
    <cellStyle name="ArialNormal 2 4 4 2 3 2" xfId="38866" xr:uid="{00000000-0005-0000-0000-0000644D0000}"/>
    <cellStyle name="ArialNormal 2 4 4 2 4" xfId="22018" xr:uid="{00000000-0005-0000-0000-0000654D0000}"/>
    <cellStyle name="ArialNormal 2 4 4 2 4 2" xfId="41360" xr:uid="{00000000-0005-0000-0000-0000664D0000}"/>
    <cellStyle name="ArialNormal 2 4 4 2 5" xfId="33959" xr:uid="{00000000-0005-0000-0000-0000674D0000}"/>
    <cellStyle name="ArialNormal 2 4 4 3" xfId="15155" xr:uid="{00000000-0005-0000-0000-0000684D0000}"/>
    <cellStyle name="ArialNormal 2 4 4 3 2" xfId="17631" xr:uid="{00000000-0005-0000-0000-0000694D0000}"/>
    <cellStyle name="ArialNormal 2 4 4 3 2 2" xfId="36985" xr:uid="{00000000-0005-0000-0000-00006A4D0000}"/>
    <cellStyle name="ArialNormal 2 4 4 3 3" xfId="20062" xr:uid="{00000000-0005-0000-0000-00006B4D0000}"/>
    <cellStyle name="ArialNormal 2 4 4 3 3 2" xfId="39415" xr:uid="{00000000-0005-0000-0000-00006C4D0000}"/>
    <cellStyle name="ArialNormal 2 4 4 3 4" xfId="22575" xr:uid="{00000000-0005-0000-0000-00006D4D0000}"/>
    <cellStyle name="ArialNormal 2 4 4 3 4 2" xfId="41917" xr:uid="{00000000-0005-0000-0000-00006E4D0000}"/>
    <cellStyle name="ArialNormal 2 4 4 3 5" xfId="34516" xr:uid="{00000000-0005-0000-0000-00006F4D0000}"/>
    <cellStyle name="ArialNormal 2 4 4 4" xfId="15636" xr:uid="{00000000-0005-0000-0000-0000704D0000}"/>
    <cellStyle name="ArialNormal 2 4 4 4 2" xfId="18112" xr:uid="{00000000-0005-0000-0000-0000714D0000}"/>
    <cellStyle name="ArialNormal 2 4 4 4 2 2" xfId="37466" xr:uid="{00000000-0005-0000-0000-0000724D0000}"/>
    <cellStyle name="ArialNormal 2 4 4 4 3" xfId="20543" xr:uid="{00000000-0005-0000-0000-0000734D0000}"/>
    <cellStyle name="ArialNormal 2 4 4 4 3 2" xfId="39896" xr:uid="{00000000-0005-0000-0000-0000744D0000}"/>
    <cellStyle name="ArialNormal 2 4 4 4 4" xfId="23056" xr:uid="{00000000-0005-0000-0000-0000754D0000}"/>
    <cellStyle name="ArialNormal 2 4 4 4 4 2" xfId="42398" xr:uid="{00000000-0005-0000-0000-0000764D0000}"/>
    <cellStyle name="ArialNormal 2 4 4 4 5" xfId="34997" xr:uid="{00000000-0005-0000-0000-0000774D0000}"/>
    <cellStyle name="ArialNormal 2 4 4 5" xfId="16311" xr:uid="{00000000-0005-0000-0000-0000784D0000}"/>
    <cellStyle name="ArialNormal 2 4 4 5 2" xfId="35665" xr:uid="{00000000-0005-0000-0000-0000794D0000}"/>
    <cellStyle name="ArialNormal 2 4 4 6" xfId="18742" xr:uid="{00000000-0005-0000-0000-00007A4D0000}"/>
    <cellStyle name="ArialNormal 2 4 4 6 2" xfId="38095" xr:uid="{00000000-0005-0000-0000-00007B4D0000}"/>
    <cellStyle name="ArialNormal 2 4 4 7" xfId="21222" xr:uid="{00000000-0005-0000-0000-00007C4D0000}"/>
    <cellStyle name="ArialNormal 2 4 4 7 2" xfId="40564" xr:uid="{00000000-0005-0000-0000-00007D4D0000}"/>
    <cellStyle name="ArialNormal 2 4 4 8" xfId="33163" xr:uid="{00000000-0005-0000-0000-00007E4D0000}"/>
    <cellStyle name="ArialNormal 2 4 5" xfId="14025" xr:uid="{00000000-0005-0000-0000-00007F4D0000}"/>
    <cellStyle name="ArialNormal 2 4 5 2" xfId="14820" xr:uid="{00000000-0005-0000-0000-0000804D0000}"/>
    <cellStyle name="ArialNormal 2 4 5 2 2" xfId="17298" xr:uid="{00000000-0005-0000-0000-0000814D0000}"/>
    <cellStyle name="ArialNormal 2 4 5 2 2 2" xfId="36652" xr:uid="{00000000-0005-0000-0000-0000824D0000}"/>
    <cellStyle name="ArialNormal 2 4 5 2 3" xfId="19729" xr:uid="{00000000-0005-0000-0000-0000834D0000}"/>
    <cellStyle name="ArialNormal 2 4 5 2 3 2" xfId="39082" xr:uid="{00000000-0005-0000-0000-0000844D0000}"/>
    <cellStyle name="ArialNormal 2 4 5 2 4" xfId="22240" xr:uid="{00000000-0005-0000-0000-0000854D0000}"/>
    <cellStyle name="ArialNormal 2 4 5 2 4 2" xfId="41582" xr:uid="{00000000-0005-0000-0000-0000864D0000}"/>
    <cellStyle name="ArialNormal 2 4 5 2 5" xfId="34181" xr:uid="{00000000-0005-0000-0000-0000874D0000}"/>
    <cellStyle name="ArialNormal 2 4 5 3" xfId="15368" xr:uid="{00000000-0005-0000-0000-0000884D0000}"/>
    <cellStyle name="ArialNormal 2 4 5 3 2" xfId="17844" xr:uid="{00000000-0005-0000-0000-0000894D0000}"/>
    <cellStyle name="ArialNormal 2 4 5 3 2 2" xfId="37198" xr:uid="{00000000-0005-0000-0000-00008A4D0000}"/>
    <cellStyle name="ArialNormal 2 4 5 3 3" xfId="20275" xr:uid="{00000000-0005-0000-0000-00008B4D0000}"/>
    <cellStyle name="ArialNormal 2 4 5 3 3 2" xfId="39628" xr:uid="{00000000-0005-0000-0000-00008C4D0000}"/>
    <cellStyle name="ArialNormal 2 4 5 3 4" xfId="22788" xr:uid="{00000000-0005-0000-0000-00008D4D0000}"/>
    <cellStyle name="ArialNormal 2 4 5 3 4 2" xfId="42130" xr:uid="{00000000-0005-0000-0000-00008E4D0000}"/>
    <cellStyle name="ArialNormal 2 4 5 3 5" xfId="34729" xr:uid="{00000000-0005-0000-0000-00008F4D0000}"/>
    <cellStyle name="ArialNormal 2 4 5 4" xfId="15827" xr:uid="{00000000-0005-0000-0000-0000904D0000}"/>
    <cellStyle name="ArialNormal 2 4 5 4 2" xfId="18303" xr:uid="{00000000-0005-0000-0000-0000914D0000}"/>
    <cellStyle name="ArialNormal 2 4 5 4 2 2" xfId="37657" xr:uid="{00000000-0005-0000-0000-0000924D0000}"/>
    <cellStyle name="ArialNormal 2 4 5 4 3" xfId="20734" xr:uid="{00000000-0005-0000-0000-0000934D0000}"/>
    <cellStyle name="ArialNormal 2 4 5 4 3 2" xfId="40087" xr:uid="{00000000-0005-0000-0000-0000944D0000}"/>
    <cellStyle name="ArialNormal 2 4 5 4 4" xfId="23247" xr:uid="{00000000-0005-0000-0000-0000954D0000}"/>
    <cellStyle name="ArialNormal 2 4 5 4 4 2" xfId="42589" xr:uid="{00000000-0005-0000-0000-0000964D0000}"/>
    <cellStyle name="ArialNormal 2 4 5 4 5" xfId="35188" xr:uid="{00000000-0005-0000-0000-0000974D0000}"/>
    <cellStyle name="ArialNormal 2 4 5 5" xfId="16531" xr:uid="{00000000-0005-0000-0000-0000984D0000}"/>
    <cellStyle name="ArialNormal 2 4 5 5 2" xfId="35885" xr:uid="{00000000-0005-0000-0000-0000994D0000}"/>
    <cellStyle name="ArialNormal 2 4 5 6" xfId="18962" xr:uid="{00000000-0005-0000-0000-00009A4D0000}"/>
    <cellStyle name="ArialNormal 2 4 5 6 2" xfId="38315" xr:uid="{00000000-0005-0000-0000-00009B4D0000}"/>
    <cellStyle name="ArialNormal 2 4 5 7" xfId="21448" xr:uid="{00000000-0005-0000-0000-00009C4D0000}"/>
    <cellStyle name="ArialNormal 2 4 5 7 2" xfId="40790" xr:uid="{00000000-0005-0000-0000-00009D4D0000}"/>
    <cellStyle name="ArialNormal 2 4 5 8" xfId="33389" xr:uid="{00000000-0005-0000-0000-00009E4D0000}"/>
    <cellStyle name="ArialNormal 2 4 6" xfId="14317" xr:uid="{00000000-0005-0000-0000-00009F4D0000}"/>
    <cellStyle name="ArialNormal 2 4 6 2" xfId="16813" xr:uid="{00000000-0005-0000-0000-0000A04D0000}"/>
    <cellStyle name="ArialNormal 2 4 6 2 2" xfId="36167" xr:uid="{00000000-0005-0000-0000-0000A14D0000}"/>
    <cellStyle name="ArialNormal 2 4 6 3" xfId="19244" xr:uid="{00000000-0005-0000-0000-0000A24D0000}"/>
    <cellStyle name="ArialNormal 2 4 6 3 2" xfId="38597" xr:uid="{00000000-0005-0000-0000-0000A34D0000}"/>
    <cellStyle name="ArialNormal 2 4 6 4" xfId="21737" xr:uid="{00000000-0005-0000-0000-0000A44D0000}"/>
    <cellStyle name="ArialNormal 2 4 6 4 2" xfId="41079" xr:uid="{00000000-0005-0000-0000-0000A54D0000}"/>
    <cellStyle name="ArialNormal 2 4 6 5" xfId="33678" xr:uid="{00000000-0005-0000-0000-0000A64D0000}"/>
    <cellStyle name="ArialNormal 2 4 7" xfId="13487" xr:uid="{00000000-0005-0000-0000-0000A74D0000}"/>
    <cellStyle name="ArialNormal 2 4 7 2" xfId="32865" xr:uid="{00000000-0005-0000-0000-0000A84D0000}"/>
    <cellStyle name="ArialNormal 2 4 8" xfId="16053" xr:uid="{00000000-0005-0000-0000-0000A94D0000}"/>
    <cellStyle name="ArialNormal 2 4 8 2" xfId="35407" xr:uid="{00000000-0005-0000-0000-0000AA4D0000}"/>
    <cellStyle name="ArialNormal 2 4 9" xfId="18450" xr:uid="{00000000-0005-0000-0000-0000AB4D0000}"/>
    <cellStyle name="ArialNormal 2 4 9 2" xfId="37804" xr:uid="{00000000-0005-0000-0000-0000AC4D0000}"/>
    <cellStyle name="ArialNormal 2 5" xfId="13512" xr:uid="{00000000-0005-0000-0000-0000AD4D0000}"/>
    <cellStyle name="ArialNormal 2 5 2" xfId="13814" xr:uid="{00000000-0005-0000-0000-0000AE4D0000}"/>
    <cellStyle name="ArialNormal 2 5 2 2" xfId="14609" xr:uid="{00000000-0005-0000-0000-0000AF4D0000}"/>
    <cellStyle name="ArialNormal 2 5 2 2 2" xfId="17093" xr:uid="{00000000-0005-0000-0000-0000B04D0000}"/>
    <cellStyle name="ArialNormal 2 5 2 2 2 2" xfId="36447" xr:uid="{00000000-0005-0000-0000-0000B14D0000}"/>
    <cellStyle name="ArialNormal 2 5 2 2 3" xfId="19524" xr:uid="{00000000-0005-0000-0000-0000B24D0000}"/>
    <cellStyle name="ArialNormal 2 5 2 2 3 2" xfId="38877" xr:uid="{00000000-0005-0000-0000-0000B34D0000}"/>
    <cellStyle name="ArialNormal 2 5 2 2 4" xfId="22029" xr:uid="{00000000-0005-0000-0000-0000B44D0000}"/>
    <cellStyle name="ArialNormal 2 5 2 2 4 2" xfId="41371" xr:uid="{00000000-0005-0000-0000-0000B54D0000}"/>
    <cellStyle name="ArialNormal 2 5 2 2 5" xfId="33970" xr:uid="{00000000-0005-0000-0000-0000B64D0000}"/>
    <cellStyle name="ArialNormal 2 5 2 3" xfId="15166" xr:uid="{00000000-0005-0000-0000-0000B74D0000}"/>
    <cellStyle name="ArialNormal 2 5 2 3 2" xfId="17642" xr:uid="{00000000-0005-0000-0000-0000B84D0000}"/>
    <cellStyle name="ArialNormal 2 5 2 3 2 2" xfId="36996" xr:uid="{00000000-0005-0000-0000-0000B94D0000}"/>
    <cellStyle name="ArialNormal 2 5 2 3 3" xfId="20073" xr:uid="{00000000-0005-0000-0000-0000BA4D0000}"/>
    <cellStyle name="ArialNormal 2 5 2 3 3 2" xfId="39426" xr:uid="{00000000-0005-0000-0000-0000BB4D0000}"/>
    <cellStyle name="ArialNormal 2 5 2 3 4" xfId="22586" xr:uid="{00000000-0005-0000-0000-0000BC4D0000}"/>
    <cellStyle name="ArialNormal 2 5 2 3 4 2" xfId="41928" xr:uid="{00000000-0005-0000-0000-0000BD4D0000}"/>
    <cellStyle name="ArialNormal 2 5 2 3 5" xfId="34527" xr:uid="{00000000-0005-0000-0000-0000BE4D0000}"/>
    <cellStyle name="ArialNormal 2 5 2 4" xfId="15646" xr:uid="{00000000-0005-0000-0000-0000BF4D0000}"/>
    <cellStyle name="ArialNormal 2 5 2 4 2" xfId="18122" xr:uid="{00000000-0005-0000-0000-0000C04D0000}"/>
    <cellStyle name="ArialNormal 2 5 2 4 2 2" xfId="37476" xr:uid="{00000000-0005-0000-0000-0000C14D0000}"/>
    <cellStyle name="ArialNormal 2 5 2 4 3" xfId="20553" xr:uid="{00000000-0005-0000-0000-0000C24D0000}"/>
    <cellStyle name="ArialNormal 2 5 2 4 3 2" xfId="39906" xr:uid="{00000000-0005-0000-0000-0000C34D0000}"/>
    <cellStyle name="ArialNormal 2 5 2 4 4" xfId="23066" xr:uid="{00000000-0005-0000-0000-0000C44D0000}"/>
    <cellStyle name="ArialNormal 2 5 2 4 4 2" xfId="42408" xr:uid="{00000000-0005-0000-0000-0000C54D0000}"/>
    <cellStyle name="ArialNormal 2 5 2 4 5" xfId="35007" xr:uid="{00000000-0005-0000-0000-0000C64D0000}"/>
    <cellStyle name="ArialNormal 2 5 2 5" xfId="16326" xr:uid="{00000000-0005-0000-0000-0000C74D0000}"/>
    <cellStyle name="ArialNormal 2 5 2 5 2" xfId="35680" xr:uid="{00000000-0005-0000-0000-0000C84D0000}"/>
    <cellStyle name="ArialNormal 2 5 2 6" xfId="18757" xr:uid="{00000000-0005-0000-0000-0000C94D0000}"/>
    <cellStyle name="ArialNormal 2 5 2 6 2" xfId="38110" xr:uid="{00000000-0005-0000-0000-0000CA4D0000}"/>
    <cellStyle name="ArialNormal 2 5 2 7" xfId="21237" xr:uid="{00000000-0005-0000-0000-0000CB4D0000}"/>
    <cellStyle name="ArialNormal 2 5 2 7 2" xfId="40579" xr:uid="{00000000-0005-0000-0000-0000CC4D0000}"/>
    <cellStyle name="ArialNormal 2 5 2 8" xfId="33178" xr:uid="{00000000-0005-0000-0000-0000CD4D0000}"/>
    <cellStyle name="ArialNormal 2 5 3" xfId="14035" xr:uid="{00000000-0005-0000-0000-0000CE4D0000}"/>
    <cellStyle name="ArialNormal 2 5 3 2" xfId="14830" xr:uid="{00000000-0005-0000-0000-0000CF4D0000}"/>
    <cellStyle name="ArialNormal 2 5 3 2 2" xfId="17308" xr:uid="{00000000-0005-0000-0000-0000D04D0000}"/>
    <cellStyle name="ArialNormal 2 5 3 2 2 2" xfId="36662" xr:uid="{00000000-0005-0000-0000-0000D14D0000}"/>
    <cellStyle name="ArialNormal 2 5 3 2 3" xfId="19739" xr:uid="{00000000-0005-0000-0000-0000D24D0000}"/>
    <cellStyle name="ArialNormal 2 5 3 2 3 2" xfId="39092" xr:uid="{00000000-0005-0000-0000-0000D34D0000}"/>
    <cellStyle name="ArialNormal 2 5 3 2 4" xfId="22250" xr:uid="{00000000-0005-0000-0000-0000D44D0000}"/>
    <cellStyle name="ArialNormal 2 5 3 2 4 2" xfId="41592" xr:uid="{00000000-0005-0000-0000-0000D54D0000}"/>
    <cellStyle name="ArialNormal 2 5 3 2 5" xfId="34191" xr:uid="{00000000-0005-0000-0000-0000D64D0000}"/>
    <cellStyle name="ArialNormal 2 5 3 3" xfId="15378" xr:uid="{00000000-0005-0000-0000-0000D74D0000}"/>
    <cellStyle name="ArialNormal 2 5 3 3 2" xfId="17854" xr:uid="{00000000-0005-0000-0000-0000D84D0000}"/>
    <cellStyle name="ArialNormal 2 5 3 3 2 2" xfId="37208" xr:uid="{00000000-0005-0000-0000-0000D94D0000}"/>
    <cellStyle name="ArialNormal 2 5 3 3 3" xfId="20285" xr:uid="{00000000-0005-0000-0000-0000DA4D0000}"/>
    <cellStyle name="ArialNormal 2 5 3 3 3 2" xfId="39638" xr:uid="{00000000-0005-0000-0000-0000DB4D0000}"/>
    <cellStyle name="ArialNormal 2 5 3 3 4" xfId="22798" xr:uid="{00000000-0005-0000-0000-0000DC4D0000}"/>
    <cellStyle name="ArialNormal 2 5 3 3 4 2" xfId="42140" xr:uid="{00000000-0005-0000-0000-0000DD4D0000}"/>
    <cellStyle name="ArialNormal 2 5 3 3 5" xfId="34739" xr:uid="{00000000-0005-0000-0000-0000DE4D0000}"/>
    <cellStyle name="ArialNormal 2 5 3 4" xfId="15837" xr:uid="{00000000-0005-0000-0000-0000DF4D0000}"/>
    <cellStyle name="ArialNormal 2 5 3 4 2" xfId="18313" xr:uid="{00000000-0005-0000-0000-0000E04D0000}"/>
    <cellStyle name="ArialNormal 2 5 3 4 2 2" xfId="37667" xr:uid="{00000000-0005-0000-0000-0000E14D0000}"/>
    <cellStyle name="ArialNormal 2 5 3 4 3" xfId="20744" xr:uid="{00000000-0005-0000-0000-0000E24D0000}"/>
    <cellStyle name="ArialNormal 2 5 3 4 3 2" xfId="40097" xr:uid="{00000000-0005-0000-0000-0000E34D0000}"/>
    <cellStyle name="ArialNormal 2 5 3 4 4" xfId="23257" xr:uid="{00000000-0005-0000-0000-0000E44D0000}"/>
    <cellStyle name="ArialNormal 2 5 3 4 4 2" xfId="42599" xr:uid="{00000000-0005-0000-0000-0000E54D0000}"/>
    <cellStyle name="ArialNormal 2 5 3 4 5" xfId="35198" xr:uid="{00000000-0005-0000-0000-0000E64D0000}"/>
    <cellStyle name="ArialNormal 2 5 3 5" xfId="16541" xr:uid="{00000000-0005-0000-0000-0000E74D0000}"/>
    <cellStyle name="ArialNormal 2 5 3 5 2" xfId="35895" xr:uid="{00000000-0005-0000-0000-0000E84D0000}"/>
    <cellStyle name="ArialNormal 2 5 3 6" xfId="18972" xr:uid="{00000000-0005-0000-0000-0000E94D0000}"/>
    <cellStyle name="ArialNormal 2 5 3 6 2" xfId="38325" xr:uid="{00000000-0005-0000-0000-0000EA4D0000}"/>
    <cellStyle name="ArialNormal 2 5 3 7" xfId="21458" xr:uid="{00000000-0005-0000-0000-0000EB4D0000}"/>
    <cellStyle name="ArialNormal 2 5 3 7 2" xfId="40800" xr:uid="{00000000-0005-0000-0000-0000EC4D0000}"/>
    <cellStyle name="ArialNormal 2 5 3 8" xfId="33399" xr:uid="{00000000-0005-0000-0000-0000ED4D0000}"/>
    <cellStyle name="ArialNormal 2 5 4" xfId="14330" xr:uid="{00000000-0005-0000-0000-0000EE4D0000}"/>
    <cellStyle name="ArialNormal 2 5 4 2" xfId="16826" xr:uid="{00000000-0005-0000-0000-0000EF4D0000}"/>
    <cellStyle name="ArialNormal 2 5 4 2 2" xfId="36180" xr:uid="{00000000-0005-0000-0000-0000F04D0000}"/>
    <cellStyle name="ArialNormal 2 5 4 3" xfId="19257" xr:uid="{00000000-0005-0000-0000-0000F14D0000}"/>
    <cellStyle name="ArialNormal 2 5 4 3 2" xfId="38610" xr:uid="{00000000-0005-0000-0000-0000F24D0000}"/>
    <cellStyle name="ArialNormal 2 5 4 4" xfId="21750" xr:uid="{00000000-0005-0000-0000-0000F34D0000}"/>
    <cellStyle name="ArialNormal 2 5 4 4 2" xfId="41092" xr:uid="{00000000-0005-0000-0000-0000F44D0000}"/>
    <cellStyle name="ArialNormal 2 5 4 5" xfId="33691" xr:uid="{00000000-0005-0000-0000-0000F54D0000}"/>
    <cellStyle name="ArialNormal 2 5 5" xfId="14258" xr:uid="{00000000-0005-0000-0000-0000F64D0000}"/>
    <cellStyle name="ArialNormal 2 5 5 2" xfId="16758" xr:uid="{00000000-0005-0000-0000-0000F74D0000}"/>
    <cellStyle name="ArialNormal 2 5 5 2 2" xfId="36112" xr:uid="{00000000-0005-0000-0000-0000F84D0000}"/>
    <cellStyle name="ArialNormal 2 5 5 3" xfId="19189" xr:uid="{00000000-0005-0000-0000-0000F94D0000}"/>
    <cellStyle name="ArialNormal 2 5 5 3 2" xfId="38542" xr:uid="{00000000-0005-0000-0000-0000FA4D0000}"/>
    <cellStyle name="ArialNormal 2 5 5 4" xfId="21679" xr:uid="{00000000-0005-0000-0000-0000FB4D0000}"/>
    <cellStyle name="ArialNormal 2 5 5 4 2" xfId="41021" xr:uid="{00000000-0005-0000-0000-0000FC4D0000}"/>
    <cellStyle name="ArialNormal 2 5 5 5" xfId="33620" xr:uid="{00000000-0005-0000-0000-0000FD4D0000}"/>
    <cellStyle name="ArialNormal 2 5 6" xfId="16074" xr:uid="{00000000-0005-0000-0000-0000FE4D0000}"/>
    <cellStyle name="ArialNormal 2 5 6 2" xfId="35428" xr:uid="{00000000-0005-0000-0000-0000FF4D0000}"/>
    <cellStyle name="ArialNormal 2 5 7" xfId="18473" xr:uid="{00000000-0005-0000-0000-0000004E0000}"/>
    <cellStyle name="ArialNormal 2 5 7 2" xfId="37826" xr:uid="{00000000-0005-0000-0000-0000014E0000}"/>
    <cellStyle name="ArialNormal 2 5 8" xfId="21007" xr:uid="{00000000-0005-0000-0000-0000024E0000}"/>
    <cellStyle name="ArialNormal 2 5 8 2" xfId="40349" xr:uid="{00000000-0005-0000-0000-0000034E0000}"/>
    <cellStyle name="ArialNormal 2 5 9" xfId="32887" xr:uid="{00000000-0005-0000-0000-0000044E0000}"/>
    <cellStyle name="ArialNormal 2 6" xfId="13727" xr:uid="{00000000-0005-0000-0000-0000054E0000}"/>
    <cellStyle name="ArialNormal 2 6 2" xfId="14530" xr:uid="{00000000-0005-0000-0000-0000064E0000}"/>
    <cellStyle name="ArialNormal 2 6 2 2" xfId="17020" xr:uid="{00000000-0005-0000-0000-0000074E0000}"/>
    <cellStyle name="ArialNormal 2 6 2 2 2" xfId="36374" xr:uid="{00000000-0005-0000-0000-0000084E0000}"/>
    <cellStyle name="ArialNormal 2 6 2 3" xfId="19451" xr:uid="{00000000-0005-0000-0000-0000094E0000}"/>
    <cellStyle name="ArialNormal 2 6 2 3 2" xfId="38804" xr:uid="{00000000-0005-0000-0000-00000A4E0000}"/>
    <cellStyle name="ArialNormal 2 6 2 4" xfId="21950" xr:uid="{00000000-0005-0000-0000-00000B4E0000}"/>
    <cellStyle name="ArialNormal 2 6 2 4 2" xfId="41292" xr:uid="{00000000-0005-0000-0000-00000C4E0000}"/>
    <cellStyle name="ArialNormal 2 6 2 5" xfId="33891" xr:uid="{00000000-0005-0000-0000-00000D4E0000}"/>
    <cellStyle name="ArialNormal 2 6 3" xfId="15094" xr:uid="{00000000-0005-0000-0000-00000E4E0000}"/>
    <cellStyle name="ArialNormal 2 6 3 2" xfId="17570" xr:uid="{00000000-0005-0000-0000-00000F4E0000}"/>
    <cellStyle name="ArialNormal 2 6 3 2 2" xfId="36924" xr:uid="{00000000-0005-0000-0000-0000104E0000}"/>
    <cellStyle name="ArialNormal 2 6 3 3" xfId="20001" xr:uid="{00000000-0005-0000-0000-0000114E0000}"/>
    <cellStyle name="ArialNormal 2 6 3 3 2" xfId="39354" xr:uid="{00000000-0005-0000-0000-0000124E0000}"/>
    <cellStyle name="ArialNormal 2 6 3 4" xfId="22514" xr:uid="{00000000-0005-0000-0000-0000134E0000}"/>
    <cellStyle name="ArialNormal 2 6 3 4 2" xfId="41856" xr:uid="{00000000-0005-0000-0000-0000144E0000}"/>
    <cellStyle name="ArialNormal 2 6 3 5" xfId="34455" xr:uid="{00000000-0005-0000-0000-0000154E0000}"/>
    <cellStyle name="ArialNormal 2 6 4" xfId="15577" xr:uid="{00000000-0005-0000-0000-0000164E0000}"/>
    <cellStyle name="ArialNormal 2 6 4 2" xfId="18053" xr:uid="{00000000-0005-0000-0000-0000174E0000}"/>
    <cellStyle name="ArialNormal 2 6 4 2 2" xfId="37407" xr:uid="{00000000-0005-0000-0000-0000184E0000}"/>
    <cellStyle name="ArialNormal 2 6 4 3" xfId="20484" xr:uid="{00000000-0005-0000-0000-0000194E0000}"/>
    <cellStyle name="ArialNormal 2 6 4 3 2" xfId="39837" xr:uid="{00000000-0005-0000-0000-00001A4E0000}"/>
    <cellStyle name="ArialNormal 2 6 4 4" xfId="22997" xr:uid="{00000000-0005-0000-0000-00001B4E0000}"/>
    <cellStyle name="ArialNormal 2 6 4 4 2" xfId="42339" xr:uid="{00000000-0005-0000-0000-00001C4E0000}"/>
    <cellStyle name="ArialNormal 2 6 4 5" xfId="34938" xr:uid="{00000000-0005-0000-0000-00001D4E0000}"/>
    <cellStyle name="ArialNormal 2 6 5" xfId="16246" xr:uid="{00000000-0005-0000-0000-00001E4E0000}"/>
    <cellStyle name="ArialNormal 2 6 5 2" xfId="35600" xr:uid="{00000000-0005-0000-0000-00001F4E0000}"/>
    <cellStyle name="ArialNormal 2 6 6" xfId="18677" xr:uid="{00000000-0005-0000-0000-0000204E0000}"/>
    <cellStyle name="ArialNormal 2 6 6 2" xfId="38030" xr:uid="{00000000-0005-0000-0000-0000214E0000}"/>
    <cellStyle name="ArialNormal 2 6 7" xfId="21151" xr:uid="{00000000-0005-0000-0000-0000224E0000}"/>
    <cellStyle name="ArialNormal 2 6 7 2" xfId="40493" xr:uid="{00000000-0005-0000-0000-0000234E0000}"/>
    <cellStyle name="ArialNormal 2 6 8" xfId="33092" xr:uid="{00000000-0005-0000-0000-0000244E0000}"/>
    <cellStyle name="ArialNormal 2 7" xfId="13748" xr:uid="{00000000-0005-0000-0000-0000254E0000}"/>
    <cellStyle name="ArialNormal 2 7 2" xfId="14551" xr:uid="{00000000-0005-0000-0000-0000264E0000}"/>
    <cellStyle name="ArialNormal 2 7 2 2" xfId="17038" xr:uid="{00000000-0005-0000-0000-0000274E0000}"/>
    <cellStyle name="ArialNormal 2 7 2 2 2" xfId="36392" xr:uid="{00000000-0005-0000-0000-0000284E0000}"/>
    <cellStyle name="ArialNormal 2 7 2 3" xfId="19469" xr:uid="{00000000-0005-0000-0000-0000294E0000}"/>
    <cellStyle name="ArialNormal 2 7 2 3 2" xfId="38822" xr:uid="{00000000-0005-0000-0000-00002A4E0000}"/>
    <cellStyle name="ArialNormal 2 7 2 4" xfId="21971" xr:uid="{00000000-0005-0000-0000-00002B4E0000}"/>
    <cellStyle name="ArialNormal 2 7 2 4 2" xfId="41313" xr:uid="{00000000-0005-0000-0000-00002C4E0000}"/>
    <cellStyle name="ArialNormal 2 7 2 5" xfId="33912" xr:uid="{00000000-0005-0000-0000-00002D4E0000}"/>
    <cellStyle name="ArialNormal 2 7 3" xfId="15112" xr:uid="{00000000-0005-0000-0000-00002E4E0000}"/>
    <cellStyle name="ArialNormal 2 7 3 2" xfId="17588" xr:uid="{00000000-0005-0000-0000-00002F4E0000}"/>
    <cellStyle name="ArialNormal 2 7 3 2 2" xfId="36942" xr:uid="{00000000-0005-0000-0000-0000304E0000}"/>
    <cellStyle name="ArialNormal 2 7 3 3" xfId="20019" xr:uid="{00000000-0005-0000-0000-0000314E0000}"/>
    <cellStyle name="ArialNormal 2 7 3 3 2" xfId="39372" xr:uid="{00000000-0005-0000-0000-0000324E0000}"/>
    <cellStyle name="ArialNormal 2 7 3 4" xfId="22532" xr:uid="{00000000-0005-0000-0000-0000334E0000}"/>
    <cellStyle name="ArialNormal 2 7 3 4 2" xfId="41874" xr:uid="{00000000-0005-0000-0000-0000344E0000}"/>
    <cellStyle name="ArialNormal 2 7 3 5" xfId="34473" xr:uid="{00000000-0005-0000-0000-0000354E0000}"/>
    <cellStyle name="ArialNormal 2 7 4" xfId="15595" xr:uid="{00000000-0005-0000-0000-0000364E0000}"/>
    <cellStyle name="ArialNormal 2 7 4 2" xfId="18071" xr:uid="{00000000-0005-0000-0000-0000374E0000}"/>
    <cellStyle name="ArialNormal 2 7 4 2 2" xfId="37425" xr:uid="{00000000-0005-0000-0000-0000384E0000}"/>
    <cellStyle name="ArialNormal 2 7 4 3" xfId="20502" xr:uid="{00000000-0005-0000-0000-0000394E0000}"/>
    <cellStyle name="ArialNormal 2 7 4 3 2" xfId="39855" xr:uid="{00000000-0005-0000-0000-00003A4E0000}"/>
    <cellStyle name="ArialNormal 2 7 4 4" xfId="23015" xr:uid="{00000000-0005-0000-0000-00003B4E0000}"/>
    <cellStyle name="ArialNormal 2 7 4 4 2" xfId="42357" xr:uid="{00000000-0005-0000-0000-00003C4E0000}"/>
    <cellStyle name="ArialNormal 2 7 4 5" xfId="34956" xr:uid="{00000000-0005-0000-0000-00003D4E0000}"/>
    <cellStyle name="ArialNormal 2 7 5" xfId="16264" xr:uid="{00000000-0005-0000-0000-00003E4E0000}"/>
    <cellStyle name="ArialNormal 2 7 5 2" xfId="35618" xr:uid="{00000000-0005-0000-0000-00003F4E0000}"/>
    <cellStyle name="ArialNormal 2 7 6" xfId="18695" xr:uid="{00000000-0005-0000-0000-0000404E0000}"/>
    <cellStyle name="ArialNormal 2 7 6 2" xfId="38048" xr:uid="{00000000-0005-0000-0000-0000414E0000}"/>
    <cellStyle name="ArialNormal 2 7 7" xfId="21172" xr:uid="{00000000-0005-0000-0000-0000424E0000}"/>
    <cellStyle name="ArialNormal 2 7 7 2" xfId="40514" xr:uid="{00000000-0005-0000-0000-0000434E0000}"/>
    <cellStyle name="ArialNormal 2 7 8" xfId="33113" xr:uid="{00000000-0005-0000-0000-0000444E0000}"/>
    <cellStyle name="ArialNormal 2 8" xfId="14240" xr:uid="{00000000-0005-0000-0000-0000454E0000}"/>
    <cellStyle name="ArialNormal 2 8 2" xfId="16743" xr:uid="{00000000-0005-0000-0000-0000464E0000}"/>
    <cellStyle name="ArialNormal 2 8 2 2" xfId="36097" xr:uid="{00000000-0005-0000-0000-0000474E0000}"/>
    <cellStyle name="ArialNormal 2 8 3" xfId="19174" xr:uid="{00000000-0005-0000-0000-0000484E0000}"/>
    <cellStyle name="ArialNormal 2 8 3 2" xfId="38527" xr:uid="{00000000-0005-0000-0000-0000494E0000}"/>
    <cellStyle name="ArialNormal 2 8 4" xfId="21661" xr:uid="{00000000-0005-0000-0000-00004A4E0000}"/>
    <cellStyle name="ArialNormal 2 8 4 2" xfId="41003" xr:uid="{00000000-0005-0000-0000-00004B4E0000}"/>
    <cellStyle name="ArialNormal 2 8 5" xfId="33602" xr:uid="{00000000-0005-0000-0000-00004C4E0000}"/>
    <cellStyle name="ArialNormal 2 9" xfId="13302" xr:uid="{00000000-0005-0000-0000-00004D4E0000}"/>
    <cellStyle name="ArialNormal 2 9 2" xfId="32738" xr:uid="{00000000-0005-0000-0000-00004E4E0000}"/>
    <cellStyle name="ArialNormal 3" xfId="4549" xr:uid="{00000000-0005-0000-0000-00004F4E0000}"/>
    <cellStyle name="ArialNormal 3 2" xfId="5210" xr:uid="{00000000-0005-0000-0000-0000504E0000}"/>
    <cellStyle name="ArialNormal 3 2 2" xfId="6685" xr:uid="{00000000-0005-0000-0000-0000514E0000}"/>
    <cellStyle name="ArialNormal 3 2 2 2" xfId="13884" xr:uid="{00000000-0005-0000-0000-0000524E0000}"/>
    <cellStyle name="ArialNormal 3 2 2 2 2" xfId="14679" xr:uid="{00000000-0005-0000-0000-0000534E0000}"/>
    <cellStyle name="ArialNormal 3 2 2 2 2 2" xfId="17160" xr:uid="{00000000-0005-0000-0000-0000544E0000}"/>
    <cellStyle name="ArialNormal 3 2 2 2 2 2 2" xfId="36514" xr:uid="{00000000-0005-0000-0000-0000554E0000}"/>
    <cellStyle name="ArialNormal 3 2 2 2 2 3" xfId="19591" xr:uid="{00000000-0005-0000-0000-0000564E0000}"/>
    <cellStyle name="ArialNormal 3 2 2 2 2 3 2" xfId="38944" xr:uid="{00000000-0005-0000-0000-0000574E0000}"/>
    <cellStyle name="ArialNormal 3 2 2 2 2 4" xfId="22099" xr:uid="{00000000-0005-0000-0000-0000584E0000}"/>
    <cellStyle name="ArialNormal 3 2 2 2 2 4 2" xfId="41441" xr:uid="{00000000-0005-0000-0000-0000594E0000}"/>
    <cellStyle name="ArialNormal 3 2 2 2 2 5" xfId="34040" xr:uid="{00000000-0005-0000-0000-00005A4E0000}"/>
    <cellStyle name="ArialNormal 3 2 2 2 3" xfId="15231" xr:uid="{00000000-0005-0000-0000-00005B4E0000}"/>
    <cellStyle name="ArialNormal 3 2 2 2 3 2" xfId="17707" xr:uid="{00000000-0005-0000-0000-00005C4E0000}"/>
    <cellStyle name="ArialNormal 3 2 2 2 3 2 2" xfId="37061" xr:uid="{00000000-0005-0000-0000-00005D4E0000}"/>
    <cellStyle name="ArialNormal 3 2 2 2 3 3" xfId="20138" xr:uid="{00000000-0005-0000-0000-00005E4E0000}"/>
    <cellStyle name="ArialNormal 3 2 2 2 3 3 2" xfId="39491" xr:uid="{00000000-0005-0000-0000-00005F4E0000}"/>
    <cellStyle name="ArialNormal 3 2 2 2 3 4" xfId="22651" xr:uid="{00000000-0005-0000-0000-0000604E0000}"/>
    <cellStyle name="ArialNormal 3 2 2 2 3 4 2" xfId="41993" xr:uid="{00000000-0005-0000-0000-0000614E0000}"/>
    <cellStyle name="ArialNormal 3 2 2 2 3 5" xfId="34592" xr:uid="{00000000-0005-0000-0000-0000624E0000}"/>
    <cellStyle name="ArialNormal 3 2 2 2 4" xfId="15701" xr:uid="{00000000-0005-0000-0000-0000634E0000}"/>
    <cellStyle name="ArialNormal 3 2 2 2 4 2" xfId="18177" xr:uid="{00000000-0005-0000-0000-0000644E0000}"/>
    <cellStyle name="ArialNormal 3 2 2 2 4 2 2" xfId="37531" xr:uid="{00000000-0005-0000-0000-0000654E0000}"/>
    <cellStyle name="ArialNormal 3 2 2 2 4 3" xfId="20608" xr:uid="{00000000-0005-0000-0000-0000664E0000}"/>
    <cellStyle name="ArialNormal 3 2 2 2 4 3 2" xfId="39961" xr:uid="{00000000-0005-0000-0000-0000674E0000}"/>
    <cellStyle name="ArialNormal 3 2 2 2 4 4" xfId="23121" xr:uid="{00000000-0005-0000-0000-0000684E0000}"/>
    <cellStyle name="ArialNormal 3 2 2 2 4 4 2" xfId="42463" xr:uid="{00000000-0005-0000-0000-0000694E0000}"/>
    <cellStyle name="ArialNormal 3 2 2 2 4 5" xfId="35062" xr:uid="{00000000-0005-0000-0000-00006A4E0000}"/>
    <cellStyle name="ArialNormal 3 2 2 2 5" xfId="16393" xr:uid="{00000000-0005-0000-0000-00006B4E0000}"/>
    <cellStyle name="ArialNormal 3 2 2 2 5 2" xfId="35747" xr:uid="{00000000-0005-0000-0000-00006C4E0000}"/>
    <cellStyle name="ArialNormal 3 2 2 2 6" xfId="18824" xr:uid="{00000000-0005-0000-0000-00006D4E0000}"/>
    <cellStyle name="ArialNormal 3 2 2 2 6 2" xfId="38177" xr:uid="{00000000-0005-0000-0000-00006E4E0000}"/>
    <cellStyle name="ArialNormal 3 2 2 2 7" xfId="21307" xr:uid="{00000000-0005-0000-0000-00006F4E0000}"/>
    <cellStyle name="ArialNormal 3 2 2 2 7 2" xfId="40649" xr:uid="{00000000-0005-0000-0000-0000704E0000}"/>
    <cellStyle name="ArialNormal 3 2 2 2 8" xfId="33248" xr:uid="{00000000-0005-0000-0000-0000714E0000}"/>
    <cellStyle name="ArialNormal 3 2 2 3" xfId="14102" xr:uid="{00000000-0005-0000-0000-0000724E0000}"/>
    <cellStyle name="ArialNormal 3 2 2 3 2" xfId="14883" xr:uid="{00000000-0005-0000-0000-0000734E0000}"/>
    <cellStyle name="ArialNormal 3 2 2 3 2 2" xfId="17361" xr:uid="{00000000-0005-0000-0000-0000744E0000}"/>
    <cellStyle name="ArialNormal 3 2 2 3 2 2 2" xfId="36715" xr:uid="{00000000-0005-0000-0000-0000754E0000}"/>
    <cellStyle name="ArialNormal 3 2 2 3 2 3" xfId="19792" xr:uid="{00000000-0005-0000-0000-0000764E0000}"/>
    <cellStyle name="ArialNormal 3 2 2 3 2 3 2" xfId="39145" xr:uid="{00000000-0005-0000-0000-0000774E0000}"/>
    <cellStyle name="ArialNormal 3 2 2 3 2 4" xfId="22303" xr:uid="{00000000-0005-0000-0000-0000784E0000}"/>
    <cellStyle name="ArialNormal 3 2 2 3 2 4 2" xfId="41645" xr:uid="{00000000-0005-0000-0000-0000794E0000}"/>
    <cellStyle name="ArialNormal 3 2 2 3 2 5" xfId="34244" xr:uid="{00000000-0005-0000-0000-00007A4E0000}"/>
    <cellStyle name="ArialNormal 3 2 2 3 3" xfId="15430" xr:uid="{00000000-0005-0000-0000-00007B4E0000}"/>
    <cellStyle name="ArialNormal 3 2 2 3 3 2" xfId="17906" xr:uid="{00000000-0005-0000-0000-00007C4E0000}"/>
    <cellStyle name="ArialNormal 3 2 2 3 3 2 2" xfId="37260" xr:uid="{00000000-0005-0000-0000-00007D4E0000}"/>
    <cellStyle name="ArialNormal 3 2 2 3 3 3" xfId="20337" xr:uid="{00000000-0005-0000-0000-00007E4E0000}"/>
    <cellStyle name="ArialNormal 3 2 2 3 3 3 2" xfId="39690" xr:uid="{00000000-0005-0000-0000-00007F4E0000}"/>
    <cellStyle name="ArialNormal 3 2 2 3 3 4" xfId="22850" xr:uid="{00000000-0005-0000-0000-0000804E0000}"/>
    <cellStyle name="ArialNormal 3 2 2 3 3 4 2" xfId="42192" xr:uid="{00000000-0005-0000-0000-0000814E0000}"/>
    <cellStyle name="ArialNormal 3 2 2 3 3 5" xfId="34791" xr:uid="{00000000-0005-0000-0000-0000824E0000}"/>
    <cellStyle name="ArialNormal 3 2 2 3 4" xfId="15889" xr:uid="{00000000-0005-0000-0000-0000834E0000}"/>
    <cellStyle name="ArialNormal 3 2 2 3 4 2" xfId="18365" xr:uid="{00000000-0005-0000-0000-0000844E0000}"/>
    <cellStyle name="ArialNormal 3 2 2 3 4 2 2" xfId="37719" xr:uid="{00000000-0005-0000-0000-0000854E0000}"/>
    <cellStyle name="ArialNormal 3 2 2 3 4 3" xfId="20796" xr:uid="{00000000-0005-0000-0000-0000864E0000}"/>
    <cellStyle name="ArialNormal 3 2 2 3 4 3 2" xfId="40149" xr:uid="{00000000-0005-0000-0000-0000874E0000}"/>
    <cellStyle name="ArialNormal 3 2 2 3 4 4" xfId="23309" xr:uid="{00000000-0005-0000-0000-0000884E0000}"/>
    <cellStyle name="ArialNormal 3 2 2 3 4 4 2" xfId="42651" xr:uid="{00000000-0005-0000-0000-0000894E0000}"/>
    <cellStyle name="ArialNormal 3 2 2 3 4 5" xfId="35250" xr:uid="{00000000-0005-0000-0000-00008A4E0000}"/>
    <cellStyle name="ArialNormal 3 2 2 3 5" xfId="16608" xr:uid="{00000000-0005-0000-0000-00008B4E0000}"/>
    <cellStyle name="ArialNormal 3 2 2 3 5 2" xfId="35962" xr:uid="{00000000-0005-0000-0000-00008C4E0000}"/>
    <cellStyle name="ArialNormal 3 2 2 3 6" xfId="19039" xr:uid="{00000000-0005-0000-0000-00008D4E0000}"/>
    <cellStyle name="ArialNormal 3 2 2 3 6 2" xfId="38392" xr:uid="{00000000-0005-0000-0000-00008E4E0000}"/>
    <cellStyle name="ArialNormal 3 2 2 3 7" xfId="21525" xr:uid="{00000000-0005-0000-0000-00008F4E0000}"/>
    <cellStyle name="ArialNormal 3 2 2 3 7 2" xfId="40867" xr:uid="{00000000-0005-0000-0000-0000904E0000}"/>
    <cellStyle name="ArialNormal 3 2 2 3 8" xfId="33466" xr:uid="{00000000-0005-0000-0000-0000914E0000}"/>
    <cellStyle name="ArialNormal 3 2 2 4" xfId="14394" xr:uid="{00000000-0005-0000-0000-0000924E0000}"/>
    <cellStyle name="ArialNormal 3 2 2 4 2" xfId="16887" xr:uid="{00000000-0005-0000-0000-0000934E0000}"/>
    <cellStyle name="ArialNormal 3 2 2 4 2 2" xfId="36241" xr:uid="{00000000-0005-0000-0000-0000944E0000}"/>
    <cellStyle name="ArialNormal 3 2 2 4 3" xfId="19318" xr:uid="{00000000-0005-0000-0000-0000954E0000}"/>
    <cellStyle name="ArialNormal 3 2 2 4 3 2" xfId="38671" xr:uid="{00000000-0005-0000-0000-0000964E0000}"/>
    <cellStyle name="ArialNormal 3 2 2 4 4" xfId="21814" xr:uid="{00000000-0005-0000-0000-0000974E0000}"/>
    <cellStyle name="ArialNormal 3 2 2 4 4 2" xfId="41156" xr:uid="{00000000-0005-0000-0000-0000984E0000}"/>
    <cellStyle name="ArialNormal 3 2 2 4 5" xfId="33755" xr:uid="{00000000-0005-0000-0000-0000994E0000}"/>
    <cellStyle name="ArialNormal 3 2 2 5" xfId="15025" xr:uid="{00000000-0005-0000-0000-00009A4E0000}"/>
    <cellStyle name="ArialNormal 3 2 2 5 2" xfId="17501" xr:uid="{00000000-0005-0000-0000-00009B4E0000}"/>
    <cellStyle name="ArialNormal 3 2 2 5 2 2" xfId="36855" xr:uid="{00000000-0005-0000-0000-00009C4E0000}"/>
    <cellStyle name="ArialNormal 3 2 2 5 3" xfId="19932" xr:uid="{00000000-0005-0000-0000-00009D4E0000}"/>
    <cellStyle name="ArialNormal 3 2 2 5 3 2" xfId="39285" xr:uid="{00000000-0005-0000-0000-00009E4E0000}"/>
    <cellStyle name="ArialNormal 3 2 2 5 4" xfId="22445" xr:uid="{00000000-0005-0000-0000-00009F4E0000}"/>
    <cellStyle name="ArialNormal 3 2 2 5 4 2" xfId="41787" xr:uid="{00000000-0005-0000-0000-0000A04E0000}"/>
    <cellStyle name="ArialNormal 3 2 2 5 5" xfId="34386" xr:uid="{00000000-0005-0000-0000-0000A14E0000}"/>
    <cellStyle name="ArialNormal 3 2 2 6" xfId="13585" xr:uid="{00000000-0005-0000-0000-0000A24E0000}"/>
    <cellStyle name="ArialNormal 3 2 2 6 2" xfId="32951" xr:uid="{00000000-0005-0000-0000-0000A34E0000}"/>
    <cellStyle name="ArialNormal 3 2 2 7" xfId="16116" xr:uid="{00000000-0005-0000-0000-0000A44E0000}"/>
    <cellStyle name="ArialNormal 3 2 2 7 2" xfId="35470" xr:uid="{00000000-0005-0000-0000-0000A54E0000}"/>
    <cellStyle name="ArialNormal 3 2 2 8" xfId="18537" xr:uid="{00000000-0005-0000-0000-0000A64E0000}"/>
    <cellStyle name="ArialNormal 3 2 2 8 2" xfId="37890" xr:uid="{00000000-0005-0000-0000-0000A74E0000}"/>
    <cellStyle name="ArialNormal 3 2 2 9" xfId="26170" xr:uid="{00000000-0005-0000-0000-0000A84E0000}"/>
    <cellStyle name="ArialNormal 3 2 3" xfId="13653" xr:uid="{00000000-0005-0000-0000-0000A94E0000}"/>
    <cellStyle name="ArialNormal 3 2 3 2" xfId="13951" xr:uid="{00000000-0005-0000-0000-0000AA4E0000}"/>
    <cellStyle name="ArialNormal 3 2 3 2 2" xfId="14746" xr:uid="{00000000-0005-0000-0000-0000AB4E0000}"/>
    <cellStyle name="ArialNormal 3 2 3 2 2 2" xfId="17224" xr:uid="{00000000-0005-0000-0000-0000AC4E0000}"/>
    <cellStyle name="ArialNormal 3 2 3 2 2 2 2" xfId="36578" xr:uid="{00000000-0005-0000-0000-0000AD4E0000}"/>
    <cellStyle name="ArialNormal 3 2 3 2 2 3" xfId="19655" xr:uid="{00000000-0005-0000-0000-0000AE4E0000}"/>
    <cellStyle name="ArialNormal 3 2 3 2 2 3 2" xfId="39008" xr:uid="{00000000-0005-0000-0000-0000AF4E0000}"/>
    <cellStyle name="ArialNormal 3 2 3 2 2 4" xfId="22166" xr:uid="{00000000-0005-0000-0000-0000B04E0000}"/>
    <cellStyle name="ArialNormal 3 2 3 2 2 4 2" xfId="41508" xr:uid="{00000000-0005-0000-0000-0000B14E0000}"/>
    <cellStyle name="ArialNormal 3 2 3 2 2 5" xfId="34107" xr:uid="{00000000-0005-0000-0000-0000B24E0000}"/>
    <cellStyle name="ArialNormal 3 2 3 2 3" xfId="15294" xr:uid="{00000000-0005-0000-0000-0000B34E0000}"/>
    <cellStyle name="ArialNormal 3 2 3 2 3 2" xfId="17770" xr:uid="{00000000-0005-0000-0000-0000B44E0000}"/>
    <cellStyle name="ArialNormal 3 2 3 2 3 2 2" xfId="37124" xr:uid="{00000000-0005-0000-0000-0000B54E0000}"/>
    <cellStyle name="ArialNormal 3 2 3 2 3 3" xfId="20201" xr:uid="{00000000-0005-0000-0000-0000B64E0000}"/>
    <cellStyle name="ArialNormal 3 2 3 2 3 3 2" xfId="39554" xr:uid="{00000000-0005-0000-0000-0000B74E0000}"/>
    <cellStyle name="ArialNormal 3 2 3 2 3 4" xfId="22714" xr:uid="{00000000-0005-0000-0000-0000B84E0000}"/>
    <cellStyle name="ArialNormal 3 2 3 2 3 4 2" xfId="42056" xr:uid="{00000000-0005-0000-0000-0000B94E0000}"/>
    <cellStyle name="ArialNormal 3 2 3 2 3 5" xfId="34655" xr:uid="{00000000-0005-0000-0000-0000BA4E0000}"/>
    <cellStyle name="ArialNormal 3 2 3 2 4" xfId="15753" xr:uid="{00000000-0005-0000-0000-0000BB4E0000}"/>
    <cellStyle name="ArialNormal 3 2 3 2 4 2" xfId="18229" xr:uid="{00000000-0005-0000-0000-0000BC4E0000}"/>
    <cellStyle name="ArialNormal 3 2 3 2 4 2 2" xfId="37583" xr:uid="{00000000-0005-0000-0000-0000BD4E0000}"/>
    <cellStyle name="ArialNormal 3 2 3 2 4 3" xfId="20660" xr:uid="{00000000-0005-0000-0000-0000BE4E0000}"/>
    <cellStyle name="ArialNormal 3 2 3 2 4 3 2" xfId="40013" xr:uid="{00000000-0005-0000-0000-0000BF4E0000}"/>
    <cellStyle name="ArialNormal 3 2 3 2 4 4" xfId="23173" xr:uid="{00000000-0005-0000-0000-0000C04E0000}"/>
    <cellStyle name="ArialNormal 3 2 3 2 4 4 2" xfId="42515" xr:uid="{00000000-0005-0000-0000-0000C14E0000}"/>
    <cellStyle name="ArialNormal 3 2 3 2 4 5" xfId="35114" xr:uid="{00000000-0005-0000-0000-0000C24E0000}"/>
    <cellStyle name="ArialNormal 3 2 3 2 5" xfId="16457" xr:uid="{00000000-0005-0000-0000-0000C34E0000}"/>
    <cellStyle name="ArialNormal 3 2 3 2 5 2" xfId="35811" xr:uid="{00000000-0005-0000-0000-0000C44E0000}"/>
    <cellStyle name="ArialNormal 3 2 3 2 6" xfId="18888" xr:uid="{00000000-0005-0000-0000-0000C54E0000}"/>
    <cellStyle name="ArialNormal 3 2 3 2 6 2" xfId="38241" xr:uid="{00000000-0005-0000-0000-0000C64E0000}"/>
    <cellStyle name="ArialNormal 3 2 3 2 7" xfId="21374" xr:uid="{00000000-0005-0000-0000-0000C74E0000}"/>
    <cellStyle name="ArialNormal 3 2 3 2 7 2" xfId="40716" xr:uid="{00000000-0005-0000-0000-0000C84E0000}"/>
    <cellStyle name="ArialNormal 3 2 3 2 8" xfId="33315" xr:uid="{00000000-0005-0000-0000-0000C94E0000}"/>
    <cellStyle name="ArialNormal 3 2 3 3" xfId="14165" xr:uid="{00000000-0005-0000-0000-0000CA4E0000}"/>
    <cellStyle name="ArialNormal 3 2 3 3 2" xfId="14942" xr:uid="{00000000-0005-0000-0000-0000CB4E0000}"/>
    <cellStyle name="ArialNormal 3 2 3 3 2 2" xfId="17420" xr:uid="{00000000-0005-0000-0000-0000CC4E0000}"/>
    <cellStyle name="ArialNormal 3 2 3 3 2 2 2" xfId="36774" xr:uid="{00000000-0005-0000-0000-0000CD4E0000}"/>
    <cellStyle name="ArialNormal 3 2 3 3 2 3" xfId="19851" xr:uid="{00000000-0005-0000-0000-0000CE4E0000}"/>
    <cellStyle name="ArialNormal 3 2 3 3 2 3 2" xfId="39204" xr:uid="{00000000-0005-0000-0000-0000CF4E0000}"/>
    <cellStyle name="ArialNormal 3 2 3 3 2 4" xfId="22362" xr:uid="{00000000-0005-0000-0000-0000D04E0000}"/>
    <cellStyle name="ArialNormal 3 2 3 3 2 4 2" xfId="41704" xr:uid="{00000000-0005-0000-0000-0000D14E0000}"/>
    <cellStyle name="ArialNormal 3 2 3 3 2 5" xfId="34303" xr:uid="{00000000-0005-0000-0000-0000D24E0000}"/>
    <cellStyle name="ArialNormal 3 2 3 3 3" xfId="15488" xr:uid="{00000000-0005-0000-0000-0000D34E0000}"/>
    <cellStyle name="ArialNormal 3 2 3 3 3 2" xfId="17964" xr:uid="{00000000-0005-0000-0000-0000D44E0000}"/>
    <cellStyle name="ArialNormal 3 2 3 3 3 2 2" xfId="37318" xr:uid="{00000000-0005-0000-0000-0000D54E0000}"/>
    <cellStyle name="ArialNormal 3 2 3 3 3 3" xfId="20395" xr:uid="{00000000-0005-0000-0000-0000D64E0000}"/>
    <cellStyle name="ArialNormal 3 2 3 3 3 3 2" xfId="39748" xr:uid="{00000000-0005-0000-0000-0000D74E0000}"/>
    <cellStyle name="ArialNormal 3 2 3 3 3 4" xfId="22908" xr:uid="{00000000-0005-0000-0000-0000D84E0000}"/>
    <cellStyle name="ArialNormal 3 2 3 3 3 4 2" xfId="42250" xr:uid="{00000000-0005-0000-0000-0000D94E0000}"/>
    <cellStyle name="ArialNormal 3 2 3 3 3 5" xfId="34849" xr:uid="{00000000-0005-0000-0000-0000DA4E0000}"/>
    <cellStyle name="ArialNormal 3 2 3 3 4" xfId="15947" xr:uid="{00000000-0005-0000-0000-0000DB4E0000}"/>
    <cellStyle name="ArialNormal 3 2 3 3 4 2" xfId="18423" xr:uid="{00000000-0005-0000-0000-0000DC4E0000}"/>
    <cellStyle name="ArialNormal 3 2 3 3 4 2 2" xfId="37777" xr:uid="{00000000-0005-0000-0000-0000DD4E0000}"/>
    <cellStyle name="ArialNormal 3 2 3 3 4 3" xfId="20854" xr:uid="{00000000-0005-0000-0000-0000DE4E0000}"/>
    <cellStyle name="ArialNormal 3 2 3 3 4 3 2" xfId="40207" xr:uid="{00000000-0005-0000-0000-0000DF4E0000}"/>
    <cellStyle name="ArialNormal 3 2 3 3 4 4" xfId="23367" xr:uid="{00000000-0005-0000-0000-0000E04E0000}"/>
    <cellStyle name="ArialNormal 3 2 3 3 4 4 2" xfId="42709" xr:uid="{00000000-0005-0000-0000-0000E14E0000}"/>
    <cellStyle name="ArialNormal 3 2 3 3 4 5" xfId="35308" xr:uid="{00000000-0005-0000-0000-0000E24E0000}"/>
    <cellStyle name="ArialNormal 3 2 3 3 5" xfId="16671" xr:uid="{00000000-0005-0000-0000-0000E34E0000}"/>
    <cellStyle name="ArialNormal 3 2 3 3 5 2" xfId="36025" xr:uid="{00000000-0005-0000-0000-0000E44E0000}"/>
    <cellStyle name="ArialNormal 3 2 3 3 6" xfId="19102" xr:uid="{00000000-0005-0000-0000-0000E54E0000}"/>
    <cellStyle name="ArialNormal 3 2 3 3 6 2" xfId="38455" xr:uid="{00000000-0005-0000-0000-0000E64E0000}"/>
    <cellStyle name="ArialNormal 3 2 3 3 7" xfId="21588" xr:uid="{00000000-0005-0000-0000-0000E74E0000}"/>
    <cellStyle name="ArialNormal 3 2 3 3 7 2" xfId="40930" xr:uid="{00000000-0005-0000-0000-0000E84E0000}"/>
    <cellStyle name="ArialNormal 3 2 3 3 8" xfId="33529" xr:uid="{00000000-0005-0000-0000-0000E94E0000}"/>
    <cellStyle name="ArialNormal 3 2 3 4" xfId="14461" xr:uid="{00000000-0005-0000-0000-0000EA4E0000}"/>
    <cellStyle name="ArialNormal 3 2 3 4 2" xfId="16951" xr:uid="{00000000-0005-0000-0000-0000EB4E0000}"/>
    <cellStyle name="ArialNormal 3 2 3 4 2 2" xfId="36305" xr:uid="{00000000-0005-0000-0000-0000EC4E0000}"/>
    <cellStyle name="ArialNormal 3 2 3 4 3" xfId="19382" xr:uid="{00000000-0005-0000-0000-0000ED4E0000}"/>
    <cellStyle name="ArialNormal 3 2 3 4 3 2" xfId="38735" xr:uid="{00000000-0005-0000-0000-0000EE4E0000}"/>
    <cellStyle name="ArialNormal 3 2 3 4 4" xfId="21881" xr:uid="{00000000-0005-0000-0000-0000EF4E0000}"/>
    <cellStyle name="ArialNormal 3 2 3 4 4 2" xfId="41223" xr:uid="{00000000-0005-0000-0000-0000F04E0000}"/>
    <cellStyle name="ArialNormal 3 2 3 4 5" xfId="33822" xr:uid="{00000000-0005-0000-0000-0000F14E0000}"/>
    <cellStyle name="ArialNormal 3 2 3 5" xfId="15531" xr:uid="{00000000-0005-0000-0000-0000F24E0000}"/>
    <cellStyle name="ArialNormal 3 2 3 5 2" xfId="18007" xr:uid="{00000000-0005-0000-0000-0000F34E0000}"/>
    <cellStyle name="ArialNormal 3 2 3 5 2 2" xfId="37361" xr:uid="{00000000-0005-0000-0000-0000F44E0000}"/>
    <cellStyle name="ArialNormal 3 2 3 5 3" xfId="20438" xr:uid="{00000000-0005-0000-0000-0000F54E0000}"/>
    <cellStyle name="ArialNormal 3 2 3 5 3 2" xfId="39791" xr:uid="{00000000-0005-0000-0000-0000F64E0000}"/>
    <cellStyle name="ArialNormal 3 2 3 5 4" xfId="22951" xr:uid="{00000000-0005-0000-0000-0000F74E0000}"/>
    <cellStyle name="ArialNormal 3 2 3 5 4 2" xfId="42293" xr:uid="{00000000-0005-0000-0000-0000F84E0000}"/>
    <cellStyle name="ArialNormal 3 2 3 5 5" xfId="34892" xr:uid="{00000000-0005-0000-0000-0000F94E0000}"/>
    <cellStyle name="ArialNormal 3 2 3 6" xfId="16173" xr:uid="{00000000-0005-0000-0000-0000FA4E0000}"/>
    <cellStyle name="ArialNormal 3 2 3 6 2" xfId="35527" xr:uid="{00000000-0005-0000-0000-0000FB4E0000}"/>
    <cellStyle name="ArialNormal 3 2 3 7" xfId="18604" xr:uid="{00000000-0005-0000-0000-0000FC4E0000}"/>
    <cellStyle name="ArialNormal 3 2 3 7 2" xfId="37957" xr:uid="{00000000-0005-0000-0000-0000FD4E0000}"/>
    <cellStyle name="ArialNormal 3 2 3 8" xfId="21078" xr:uid="{00000000-0005-0000-0000-0000FE4E0000}"/>
    <cellStyle name="ArialNormal 3 2 3 8 2" xfId="40420" xr:uid="{00000000-0005-0000-0000-0000FF4E0000}"/>
    <cellStyle name="ArialNormal 3 2 3 9" xfId="33019" xr:uid="{00000000-0005-0000-0000-0000004F0000}"/>
    <cellStyle name="ArialNormal 3 2 4" xfId="14001" xr:uid="{00000000-0005-0000-0000-0000014F0000}"/>
    <cellStyle name="ArialNormal 3 2 4 2" xfId="14796" xr:uid="{00000000-0005-0000-0000-0000024F0000}"/>
    <cellStyle name="ArialNormal 3 2 4 2 2" xfId="17274" xr:uid="{00000000-0005-0000-0000-0000034F0000}"/>
    <cellStyle name="ArialNormal 3 2 4 2 2 2" xfId="36628" xr:uid="{00000000-0005-0000-0000-0000044F0000}"/>
    <cellStyle name="ArialNormal 3 2 4 2 3" xfId="19705" xr:uid="{00000000-0005-0000-0000-0000054F0000}"/>
    <cellStyle name="ArialNormal 3 2 4 2 3 2" xfId="39058" xr:uid="{00000000-0005-0000-0000-0000064F0000}"/>
    <cellStyle name="ArialNormal 3 2 4 2 4" xfId="22216" xr:uid="{00000000-0005-0000-0000-0000074F0000}"/>
    <cellStyle name="ArialNormal 3 2 4 2 4 2" xfId="41558" xr:uid="{00000000-0005-0000-0000-0000084F0000}"/>
    <cellStyle name="ArialNormal 3 2 4 2 5" xfId="34157" xr:uid="{00000000-0005-0000-0000-0000094F0000}"/>
    <cellStyle name="ArialNormal 3 2 4 3" xfId="15344" xr:uid="{00000000-0005-0000-0000-00000A4F0000}"/>
    <cellStyle name="ArialNormal 3 2 4 3 2" xfId="17820" xr:uid="{00000000-0005-0000-0000-00000B4F0000}"/>
    <cellStyle name="ArialNormal 3 2 4 3 2 2" xfId="37174" xr:uid="{00000000-0005-0000-0000-00000C4F0000}"/>
    <cellStyle name="ArialNormal 3 2 4 3 3" xfId="20251" xr:uid="{00000000-0005-0000-0000-00000D4F0000}"/>
    <cellStyle name="ArialNormal 3 2 4 3 3 2" xfId="39604" xr:uid="{00000000-0005-0000-0000-00000E4F0000}"/>
    <cellStyle name="ArialNormal 3 2 4 3 4" xfId="22764" xr:uid="{00000000-0005-0000-0000-00000F4F0000}"/>
    <cellStyle name="ArialNormal 3 2 4 3 4 2" xfId="42106" xr:uid="{00000000-0005-0000-0000-0000104F0000}"/>
    <cellStyle name="ArialNormal 3 2 4 3 5" xfId="34705" xr:uid="{00000000-0005-0000-0000-0000114F0000}"/>
    <cellStyle name="ArialNormal 3 2 4 4" xfId="15803" xr:uid="{00000000-0005-0000-0000-0000124F0000}"/>
    <cellStyle name="ArialNormal 3 2 4 4 2" xfId="18279" xr:uid="{00000000-0005-0000-0000-0000134F0000}"/>
    <cellStyle name="ArialNormal 3 2 4 4 2 2" xfId="37633" xr:uid="{00000000-0005-0000-0000-0000144F0000}"/>
    <cellStyle name="ArialNormal 3 2 4 4 3" xfId="20710" xr:uid="{00000000-0005-0000-0000-0000154F0000}"/>
    <cellStyle name="ArialNormal 3 2 4 4 3 2" xfId="40063" xr:uid="{00000000-0005-0000-0000-0000164F0000}"/>
    <cellStyle name="ArialNormal 3 2 4 4 4" xfId="23223" xr:uid="{00000000-0005-0000-0000-0000174F0000}"/>
    <cellStyle name="ArialNormal 3 2 4 4 4 2" xfId="42565" xr:uid="{00000000-0005-0000-0000-0000184F0000}"/>
    <cellStyle name="ArialNormal 3 2 4 4 5" xfId="35164" xr:uid="{00000000-0005-0000-0000-0000194F0000}"/>
    <cellStyle name="ArialNormal 3 2 4 5" xfId="16507" xr:uid="{00000000-0005-0000-0000-00001A4F0000}"/>
    <cellStyle name="ArialNormal 3 2 4 5 2" xfId="35861" xr:uid="{00000000-0005-0000-0000-00001B4F0000}"/>
    <cellStyle name="ArialNormal 3 2 4 6" xfId="18938" xr:uid="{00000000-0005-0000-0000-00001C4F0000}"/>
    <cellStyle name="ArialNormal 3 2 4 6 2" xfId="38291" xr:uid="{00000000-0005-0000-0000-00001D4F0000}"/>
    <cellStyle name="ArialNormal 3 2 4 7" xfId="21424" xr:uid="{00000000-0005-0000-0000-00001E4F0000}"/>
    <cellStyle name="ArialNormal 3 2 4 7 2" xfId="40766" xr:uid="{00000000-0005-0000-0000-00001F4F0000}"/>
    <cellStyle name="ArialNormal 3 2 4 8" xfId="33365" xr:uid="{00000000-0005-0000-0000-0000204F0000}"/>
    <cellStyle name="ArialNormal 3 2 5" xfId="13458" xr:uid="{00000000-0005-0000-0000-0000214F0000}"/>
    <cellStyle name="ArialNormal 3 2 5 2" xfId="32837" xr:uid="{00000000-0005-0000-0000-0000224F0000}"/>
    <cellStyle name="ArialNormal 3 2 6" xfId="16028" xr:uid="{00000000-0005-0000-0000-0000234F0000}"/>
    <cellStyle name="ArialNormal 3 2 6 2" xfId="35382" xr:uid="{00000000-0005-0000-0000-0000244F0000}"/>
    <cellStyle name="ArialNormal 3 2 7" xfId="13198" xr:uid="{00000000-0005-0000-0000-0000254F0000}"/>
    <cellStyle name="ArialNormal 3 2 7 2" xfId="32666" xr:uid="{00000000-0005-0000-0000-0000264F0000}"/>
    <cellStyle name="ArialNormal 3 2 8" xfId="20958" xr:uid="{00000000-0005-0000-0000-0000274F0000}"/>
    <cellStyle name="ArialNormal 3 2 8 2" xfId="40300" xr:uid="{00000000-0005-0000-0000-0000284F0000}"/>
    <cellStyle name="ArialNormal 3 2 9" xfId="24701" xr:uid="{00000000-0005-0000-0000-0000294F0000}"/>
    <cellStyle name="ArialNormal 3 3" xfId="6623" xr:uid="{00000000-0005-0000-0000-00002A4F0000}"/>
    <cellStyle name="ArialNormal 3 3 10" xfId="20978" xr:uid="{00000000-0005-0000-0000-00002B4F0000}"/>
    <cellStyle name="ArialNormal 3 3 10 2" xfId="40320" xr:uid="{00000000-0005-0000-0000-00002C4F0000}"/>
    <cellStyle name="ArialNormal 3 3 11" xfId="26108" xr:uid="{00000000-0005-0000-0000-00002D4F0000}"/>
    <cellStyle name="ArialNormal 3 3 2" xfId="13603" xr:uid="{00000000-0005-0000-0000-00002E4F0000}"/>
    <cellStyle name="ArialNormal 3 3 2 2" xfId="13904" xr:uid="{00000000-0005-0000-0000-00002F4F0000}"/>
    <cellStyle name="ArialNormal 3 3 2 2 2" xfId="14699" xr:uid="{00000000-0005-0000-0000-0000304F0000}"/>
    <cellStyle name="ArialNormal 3 3 2 2 2 2" xfId="17177" xr:uid="{00000000-0005-0000-0000-0000314F0000}"/>
    <cellStyle name="ArialNormal 3 3 2 2 2 2 2" xfId="36531" xr:uid="{00000000-0005-0000-0000-0000324F0000}"/>
    <cellStyle name="ArialNormal 3 3 2 2 2 3" xfId="19608" xr:uid="{00000000-0005-0000-0000-0000334F0000}"/>
    <cellStyle name="ArialNormal 3 3 2 2 2 3 2" xfId="38961" xr:uid="{00000000-0005-0000-0000-0000344F0000}"/>
    <cellStyle name="ArialNormal 3 3 2 2 2 4" xfId="22119" xr:uid="{00000000-0005-0000-0000-0000354F0000}"/>
    <cellStyle name="ArialNormal 3 3 2 2 2 4 2" xfId="41461" xr:uid="{00000000-0005-0000-0000-0000364F0000}"/>
    <cellStyle name="ArialNormal 3 3 2 2 2 5" xfId="34060" xr:uid="{00000000-0005-0000-0000-0000374F0000}"/>
    <cellStyle name="ArialNormal 3 3 2 2 3" xfId="15247" xr:uid="{00000000-0005-0000-0000-0000384F0000}"/>
    <cellStyle name="ArialNormal 3 3 2 2 3 2" xfId="17723" xr:uid="{00000000-0005-0000-0000-0000394F0000}"/>
    <cellStyle name="ArialNormal 3 3 2 2 3 2 2" xfId="37077" xr:uid="{00000000-0005-0000-0000-00003A4F0000}"/>
    <cellStyle name="ArialNormal 3 3 2 2 3 3" xfId="20154" xr:uid="{00000000-0005-0000-0000-00003B4F0000}"/>
    <cellStyle name="ArialNormal 3 3 2 2 3 3 2" xfId="39507" xr:uid="{00000000-0005-0000-0000-00003C4F0000}"/>
    <cellStyle name="ArialNormal 3 3 2 2 3 4" xfId="22667" xr:uid="{00000000-0005-0000-0000-00003D4F0000}"/>
    <cellStyle name="ArialNormal 3 3 2 2 3 4 2" xfId="42009" xr:uid="{00000000-0005-0000-0000-00003E4F0000}"/>
    <cellStyle name="ArialNormal 3 3 2 2 3 5" xfId="34608" xr:uid="{00000000-0005-0000-0000-00003F4F0000}"/>
    <cellStyle name="ArialNormal 3 3 2 2 4" xfId="15706" xr:uid="{00000000-0005-0000-0000-0000404F0000}"/>
    <cellStyle name="ArialNormal 3 3 2 2 4 2" xfId="18182" xr:uid="{00000000-0005-0000-0000-0000414F0000}"/>
    <cellStyle name="ArialNormal 3 3 2 2 4 2 2" xfId="37536" xr:uid="{00000000-0005-0000-0000-0000424F0000}"/>
    <cellStyle name="ArialNormal 3 3 2 2 4 3" xfId="20613" xr:uid="{00000000-0005-0000-0000-0000434F0000}"/>
    <cellStyle name="ArialNormal 3 3 2 2 4 3 2" xfId="39966" xr:uid="{00000000-0005-0000-0000-0000444F0000}"/>
    <cellStyle name="ArialNormal 3 3 2 2 4 4" xfId="23126" xr:uid="{00000000-0005-0000-0000-0000454F0000}"/>
    <cellStyle name="ArialNormal 3 3 2 2 4 4 2" xfId="42468" xr:uid="{00000000-0005-0000-0000-0000464F0000}"/>
    <cellStyle name="ArialNormal 3 3 2 2 4 5" xfId="35067" xr:uid="{00000000-0005-0000-0000-0000474F0000}"/>
    <cellStyle name="ArialNormal 3 3 2 2 5" xfId="16410" xr:uid="{00000000-0005-0000-0000-0000484F0000}"/>
    <cellStyle name="ArialNormal 3 3 2 2 5 2" xfId="35764" xr:uid="{00000000-0005-0000-0000-0000494F0000}"/>
    <cellStyle name="ArialNormal 3 3 2 2 6" xfId="18841" xr:uid="{00000000-0005-0000-0000-00004A4F0000}"/>
    <cellStyle name="ArialNormal 3 3 2 2 6 2" xfId="38194" xr:uid="{00000000-0005-0000-0000-00004B4F0000}"/>
    <cellStyle name="ArialNormal 3 3 2 2 7" xfId="21327" xr:uid="{00000000-0005-0000-0000-00004C4F0000}"/>
    <cellStyle name="ArialNormal 3 3 2 2 7 2" xfId="40669" xr:uid="{00000000-0005-0000-0000-00004D4F0000}"/>
    <cellStyle name="ArialNormal 3 3 2 2 8" xfId="33268" xr:uid="{00000000-0005-0000-0000-00004E4F0000}"/>
    <cellStyle name="ArialNormal 3 3 2 3" xfId="14119" xr:uid="{00000000-0005-0000-0000-00004F4F0000}"/>
    <cellStyle name="ArialNormal 3 3 2 3 2" xfId="14900" xr:uid="{00000000-0005-0000-0000-0000504F0000}"/>
    <cellStyle name="ArialNormal 3 3 2 3 2 2" xfId="17378" xr:uid="{00000000-0005-0000-0000-0000514F0000}"/>
    <cellStyle name="ArialNormal 3 3 2 3 2 2 2" xfId="36732" xr:uid="{00000000-0005-0000-0000-0000524F0000}"/>
    <cellStyle name="ArialNormal 3 3 2 3 2 3" xfId="19809" xr:uid="{00000000-0005-0000-0000-0000534F0000}"/>
    <cellStyle name="ArialNormal 3 3 2 3 2 3 2" xfId="39162" xr:uid="{00000000-0005-0000-0000-0000544F0000}"/>
    <cellStyle name="ArialNormal 3 3 2 3 2 4" xfId="22320" xr:uid="{00000000-0005-0000-0000-0000554F0000}"/>
    <cellStyle name="ArialNormal 3 3 2 3 2 4 2" xfId="41662" xr:uid="{00000000-0005-0000-0000-0000564F0000}"/>
    <cellStyle name="ArialNormal 3 3 2 3 2 5" xfId="34261" xr:uid="{00000000-0005-0000-0000-0000574F0000}"/>
    <cellStyle name="ArialNormal 3 3 2 3 3" xfId="15447" xr:uid="{00000000-0005-0000-0000-0000584F0000}"/>
    <cellStyle name="ArialNormal 3 3 2 3 3 2" xfId="17923" xr:uid="{00000000-0005-0000-0000-0000594F0000}"/>
    <cellStyle name="ArialNormal 3 3 2 3 3 2 2" xfId="37277" xr:uid="{00000000-0005-0000-0000-00005A4F0000}"/>
    <cellStyle name="ArialNormal 3 3 2 3 3 3" xfId="20354" xr:uid="{00000000-0005-0000-0000-00005B4F0000}"/>
    <cellStyle name="ArialNormal 3 3 2 3 3 3 2" xfId="39707" xr:uid="{00000000-0005-0000-0000-00005C4F0000}"/>
    <cellStyle name="ArialNormal 3 3 2 3 3 4" xfId="22867" xr:uid="{00000000-0005-0000-0000-00005D4F0000}"/>
    <cellStyle name="ArialNormal 3 3 2 3 3 4 2" xfId="42209" xr:uid="{00000000-0005-0000-0000-00005E4F0000}"/>
    <cellStyle name="ArialNormal 3 3 2 3 3 5" xfId="34808" xr:uid="{00000000-0005-0000-0000-00005F4F0000}"/>
    <cellStyle name="ArialNormal 3 3 2 3 4" xfId="15906" xr:uid="{00000000-0005-0000-0000-0000604F0000}"/>
    <cellStyle name="ArialNormal 3 3 2 3 4 2" xfId="18382" xr:uid="{00000000-0005-0000-0000-0000614F0000}"/>
    <cellStyle name="ArialNormal 3 3 2 3 4 2 2" xfId="37736" xr:uid="{00000000-0005-0000-0000-0000624F0000}"/>
    <cellStyle name="ArialNormal 3 3 2 3 4 3" xfId="20813" xr:uid="{00000000-0005-0000-0000-0000634F0000}"/>
    <cellStyle name="ArialNormal 3 3 2 3 4 3 2" xfId="40166" xr:uid="{00000000-0005-0000-0000-0000644F0000}"/>
    <cellStyle name="ArialNormal 3 3 2 3 4 4" xfId="23326" xr:uid="{00000000-0005-0000-0000-0000654F0000}"/>
    <cellStyle name="ArialNormal 3 3 2 3 4 4 2" xfId="42668" xr:uid="{00000000-0005-0000-0000-0000664F0000}"/>
    <cellStyle name="ArialNormal 3 3 2 3 4 5" xfId="35267" xr:uid="{00000000-0005-0000-0000-0000674F0000}"/>
    <cellStyle name="ArialNormal 3 3 2 3 5" xfId="16625" xr:uid="{00000000-0005-0000-0000-0000684F0000}"/>
    <cellStyle name="ArialNormal 3 3 2 3 5 2" xfId="35979" xr:uid="{00000000-0005-0000-0000-0000694F0000}"/>
    <cellStyle name="ArialNormal 3 3 2 3 6" xfId="19056" xr:uid="{00000000-0005-0000-0000-00006A4F0000}"/>
    <cellStyle name="ArialNormal 3 3 2 3 6 2" xfId="38409" xr:uid="{00000000-0005-0000-0000-00006B4F0000}"/>
    <cellStyle name="ArialNormal 3 3 2 3 7" xfId="21542" xr:uid="{00000000-0005-0000-0000-00006C4F0000}"/>
    <cellStyle name="ArialNormal 3 3 2 3 7 2" xfId="40884" xr:uid="{00000000-0005-0000-0000-00006D4F0000}"/>
    <cellStyle name="ArialNormal 3 3 2 3 8" xfId="33483" xr:uid="{00000000-0005-0000-0000-00006E4F0000}"/>
    <cellStyle name="ArialNormal 3 3 2 4" xfId="14414" xr:uid="{00000000-0005-0000-0000-00006F4F0000}"/>
    <cellStyle name="ArialNormal 3 3 2 4 2" xfId="16904" xr:uid="{00000000-0005-0000-0000-0000704F0000}"/>
    <cellStyle name="ArialNormal 3 3 2 4 2 2" xfId="36258" xr:uid="{00000000-0005-0000-0000-0000714F0000}"/>
    <cellStyle name="ArialNormal 3 3 2 4 3" xfId="19335" xr:uid="{00000000-0005-0000-0000-0000724F0000}"/>
    <cellStyle name="ArialNormal 3 3 2 4 3 2" xfId="38688" xr:uid="{00000000-0005-0000-0000-0000734F0000}"/>
    <cellStyle name="ArialNormal 3 3 2 4 4" xfId="21834" xr:uid="{00000000-0005-0000-0000-0000744F0000}"/>
    <cellStyle name="ArialNormal 3 3 2 4 4 2" xfId="41176" xr:uid="{00000000-0005-0000-0000-0000754F0000}"/>
    <cellStyle name="ArialNormal 3 3 2 4 5" xfId="33775" xr:uid="{00000000-0005-0000-0000-0000764F0000}"/>
    <cellStyle name="ArialNormal 3 3 2 5" xfId="15040" xr:uid="{00000000-0005-0000-0000-0000774F0000}"/>
    <cellStyle name="ArialNormal 3 3 2 5 2" xfId="17516" xr:uid="{00000000-0005-0000-0000-0000784F0000}"/>
    <cellStyle name="ArialNormal 3 3 2 5 2 2" xfId="36870" xr:uid="{00000000-0005-0000-0000-0000794F0000}"/>
    <cellStyle name="ArialNormal 3 3 2 5 3" xfId="19947" xr:uid="{00000000-0005-0000-0000-00007A4F0000}"/>
    <cellStyle name="ArialNormal 3 3 2 5 3 2" xfId="39300" xr:uid="{00000000-0005-0000-0000-00007B4F0000}"/>
    <cellStyle name="ArialNormal 3 3 2 5 4" xfId="22460" xr:uid="{00000000-0005-0000-0000-00007C4F0000}"/>
    <cellStyle name="ArialNormal 3 3 2 5 4 2" xfId="41802" xr:uid="{00000000-0005-0000-0000-00007D4F0000}"/>
    <cellStyle name="ArialNormal 3 3 2 5 5" xfId="34401" xr:uid="{00000000-0005-0000-0000-00007E4F0000}"/>
    <cellStyle name="ArialNormal 3 3 2 6" xfId="16129" xr:uid="{00000000-0005-0000-0000-00007F4F0000}"/>
    <cellStyle name="ArialNormal 3 3 2 6 2" xfId="35483" xr:uid="{00000000-0005-0000-0000-0000804F0000}"/>
    <cellStyle name="ArialNormal 3 3 2 7" xfId="18554" xr:uid="{00000000-0005-0000-0000-0000814F0000}"/>
    <cellStyle name="ArialNormal 3 3 2 7 2" xfId="37907" xr:uid="{00000000-0005-0000-0000-0000824F0000}"/>
    <cellStyle name="ArialNormal 3 3 2 8" xfId="32969" xr:uid="{00000000-0005-0000-0000-0000834F0000}"/>
    <cellStyle name="ArialNormal 3 3 3" xfId="13670" xr:uid="{00000000-0005-0000-0000-0000844F0000}"/>
    <cellStyle name="ArialNormal 3 3 3 2" xfId="13968" xr:uid="{00000000-0005-0000-0000-0000854F0000}"/>
    <cellStyle name="ArialNormal 3 3 3 2 2" xfId="14763" xr:uid="{00000000-0005-0000-0000-0000864F0000}"/>
    <cellStyle name="ArialNormal 3 3 3 2 2 2" xfId="17241" xr:uid="{00000000-0005-0000-0000-0000874F0000}"/>
    <cellStyle name="ArialNormal 3 3 3 2 2 2 2" xfId="36595" xr:uid="{00000000-0005-0000-0000-0000884F0000}"/>
    <cellStyle name="ArialNormal 3 3 3 2 2 3" xfId="19672" xr:uid="{00000000-0005-0000-0000-0000894F0000}"/>
    <cellStyle name="ArialNormal 3 3 3 2 2 3 2" xfId="39025" xr:uid="{00000000-0005-0000-0000-00008A4F0000}"/>
    <cellStyle name="ArialNormal 3 3 3 2 2 4" xfId="22183" xr:uid="{00000000-0005-0000-0000-00008B4F0000}"/>
    <cellStyle name="ArialNormal 3 3 3 2 2 4 2" xfId="41525" xr:uid="{00000000-0005-0000-0000-00008C4F0000}"/>
    <cellStyle name="ArialNormal 3 3 3 2 2 5" xfId="34124" xr:uid="{00000000-0005-0000-0000-00008D4F0000}"/>
    <cellStyle name="ArialNormal 3 3 3 2 3" xfId="15311" xr:uid="{00000000-0005-0000-0000-00008E4F0000}"/>
    <cellStyle name="ArialNormal 3 3 3 2 3 2" xfId="17787" xr:uid="{00000000-0005-0000-0000-00008F4F0000}"/>
    <cellStyle name="ArialNormal 3 3 3 2 3 2 2" xfId="37141" xr:uid="{00000000-0005-0000-0000-0000904F0000}"/>
    <cellStyle name="ArialNormal 3 3 3 2 3 3" xfId="20218" xr:uid="{00000000-0005-0000-0000-0000914F0000}"/>
    <cellStyle name="ArialNormal 3 3 3 2 3 3 2" xfId="39571" xr:uid="{00000000-0005-0000-0000-0000924F0000}"/>
    <cellStyle name="ArialNormal 3 3 3 2 3 4" xfId="22731" xr:uid="{00000000-0005-0000-0000-0000934F0000}"/>
    <cellStyle name="ArialNormal 3 3 3 2 3 4 2" xfId="42073" xr:uid="{00000000-0005-0000-0000-0000944F0000}"/>
    <cellStyle name="ArialNormal 3 3 3 2 3 5" xfId="34672" xr:uid="{00000000-0005-0000-0000-0000954F0000}"/>
    <cellStyle name="ArialNormal 3 3 3 2 4" xfId="15770" xr:uid="{00000000-0005-0000-0000-0000964F0000}"/>
    <cellStyle name="ArialNormal 3 3 3 2 4 2" xfId="18246" xr:uid="{00000000-0005-0000-0000-0000974F0000}"/>
    <cellStyle name="ArialNormal 3 3 3 2 4 2 2" xfId="37600" xr:uid="{00000000-0005-0000-0000-0000984F0000}"/>
    <cellStyle name="ArialNormal 3 3 3 2 4 3" xfId="20677" xr:uid="{00000000-0005-0000-0000-0000994F0000}"/>
    <cellStyle name="ArialNormal 3 3 3 2 4 3 2" xfId="40030" xr:uid="{00000000-0005-0000-0000-00009A4F0000}"/>
    <cellStyle name="ArialNormal 3 3 3 2 4 4" xfId="23190" xr:uid="{00000000-0005-0000-0000-00009B4F0000}"/>
    <cellStyle name="ArialNormal 3 3 3 2 4 4 2" xfId="42532" xr:uid="{00000000-0005-0000-0000-00009C4F0000}"/>
    <cellStyle name="ArialNormal 3 3 3 2 4 5" xfId="35131" xr:uid="{00000000-0005-0000-0000-00009D4F0000}"/>
    <cellStyle name="ArialNormal 3 3 3 2 5" xfId="16474" xr:uid="{00000000-0005-0000-0000-00009E4F0000}"/>
    <cellStyle name="ArialNormal 3 3 3 2 5 2" xfId="35828" xr:uid="{00000000-0005-0000-0000-00009F4F0000}"/>
    <cellStyle name="ArialNormal 3 3 3 2 6" xfId="18905" xr:uid="{00000000-0005-0000-0000-0000A04F0000}"/>
    <cellStyle name="ArialNormal 3 3 3 2 6 2" xfId="38258" xr:uid="{00000000-0005-0000-0000-0000A14F0000}"/>
    <cellStyle name="ArialNormal 3 3 3 2 7" xfId="21391" xr:uid="{00000000-0005-0000-0000-0000A24F0000}"/>
    <cellStyle name="ArialNormal 3 3 3 2 7 2" xfId="40733" xr:uid="{00000000-0005-0000-0000-0000A34F0000}"/>
    <cellStyle name="ArialNormal 3 3 3 2 8" xfId="33332" xr:uid="{00000000-0005-0000-0000-0000A44F0000}"/>
    <cellStyle name="ArialNormal 3 3 3 3" xfId="14181" xr:uid="{00000000-0005-0000-0000-0000A54F0000}"/>
    <cellStyle name="ArialNormal 3 3 3 3 2" xfId="14958" xr:uid="{00000000-0005-0000-0000-0000A64F0000}"/>
    <cellStyle name="ArialNormal 3 3 3 3 2 2" xfId="17436" xr:uid="{00000000-0005-0000-0000-0000A74F0000}"/>
    <cellStyle name="ArialNormal 3 3 3 3 2 2 2" xfId="36790" xr:uid="{00000000-0005-0000-0000-0000A84F0000}"/>
    <cellStyle name="ArialNormal 3 3 3 3 2 3" xfId="19867" xr:uid="{00000000-0005-0000-0000-0000A94F0000}"/>
    <cellStyle name="ArialNormal 3 3 3 3 2 3 2" xfId="39220" xr:uid="{00000000-0005-0000-0000-0000AA4F0000}"/>
    <cellStyle name="ArialNormal 3 3 3 3 2 4" xfId="22378" xr:uid="{00000000-0005-0000-0000-0000AB4F0000}"/>
    <cellStyle name="ArialNormal 3 3 3 3 2 4 2" xfId="41720" xr:uid="{00000000-0005-0000-0000-0000AC4F0000}"/>
    <cellStyle name="ArialNormal 3 3 3 3 2 5" xfId="34319" xr:uid="{00000000-0005-0000-0000-0000AD4F0000}"/>
    <cellStyle name="ArialNormal 3 3 3 3 3" xfId="15504" xr:uid="{00000000-0005-0000-0000-0000AE4F0000}"/>
    <cellStyle name="ArialNormal 3 3 3 3 3 2" xfId="17980" xr:uid="{00000000-0005-0000-0000-0000AF4F0000}"/>
    <cellStyle name="ArialNormal 3 3 3 3 3 2 2" xfId="37334" xr:uid="{00000000-0005-0000-0000-0000B04F0000}"/>
    <cellStyle name="ArialNormal 3 3 3 3 3 3" xfId="20411" xr:uid="{00000000-0005-0000-0000-0000B14F0000}"/>
    <cellStyle name="ArialNormal 3 3 3 3 3 3 2" xfId="39764" xr:uid="{00000000-0005-0000-0000-0000B24F0000}"/>
    <cellStyle name="ArialNormal 3 3 3 3 3 4" xfId="22924" xr:uid="{00000000-0005-0000-0000-0000B34F0000}"/>
    <cellStyle name="ArialNormal 3 3 3 3 3 4 2" xfId="42266" xr:uid="{00000000-0005-0000-0000-0000B44F0000}"/>
    <cellStyle name="ArialNormal 3 3 3 3 3 5" xfId="34865" xr:uid="{00000000-0005-0000-0000-0000B54F0000}"/>
    <cellStyle name="ArialNormal 3 3 3 3 4" xfId="15963" xr:uid="{00000000-0005-0000-0000-0000B64F0000}"/>
    <cellStyle name="ArialNormal 3 3 3 3 4 2" xfId="18439" xr:uid="{00000000-0005-0000-0000-0000B74F0000}"/>
    <cellStyle name="ArialNormal 3 3 3 3 4 2 2" xfId="37793" xr:uid="{00000000-0005-0000-0000-0000B84F0000}"/>
    <cellStyle name="ArialNormal 3 3 3 3 4 3" xfId="20870" xr:uid="{00000000-0005-0000-0000-0000B94F0000}"/>
    <cellStyle name="ArialNormal 3 3 3 3 4 3 2" xfId="40223" xr:uid="{00000000-0005-0000-0000-0000BA4F0000}"/>
    <cellStyle name="ArialNormal 3 3 3 3 4 4" xfId="23383" xr:uid="{00000000-0005-0000-0000-0000BB4F0000}"/>
    <cellStyle name="ArialNormal 3 3 3 3 4 4 2" xfId="42725" xr:uid="{00000000-0005-0000-0000-0000BC4F0000}"/>
    <cellStyle name="ArialNormal 3 3 3 3 4 5" xfId="35324" xr:uid="{00000000-0005-0000-0000-0000BD4F0000}"/>
    <cellStyle name="ArialNormal 3 3 3 3 5" xfId="16687" xr:uid="{00000000-0005-0000-0000-0000BE4F0000}"/>
    <cellStyle name="ArialNormal 3 3 3 3 5 2" xfId="36041" xr:uid="{00000000-0005-0000-0000-0000BF4F0000}"/>
    <cellStyle name="ArialNormal 3 3 3 3 6" xfId="19118" xr:uid="{00000000-0005-0000-0000-0000C04F0000}"/>
    <cellStyle name="ArialNormal 3 3 3 3 6 2" xfId="38471" xr:uid="{00000000-0005-0000-0000-0000C14F0000}"/>
    <cellStyle name="ArialNormal 3 3 3 3 7" xfId="21604" xr:uid="{00000000-0005-0000-0000-0000C24F0000}"/>
    <cellStyle name="ArialNormal 3 3 3 3 7 2" xfId="40946" xr:uid="{00000000-0005-0000-0000-0000C34F0000}"/>
    <cellStyle name="ArialNormal 3 3 3 3 8" xfId="33545" xr:uid="{00000000-0005-0000-0000-0000C44F0000}"/>
    <cellStyle name="ArialNormal 3 3 3 4" xfId="14478" xr:uid="{00000000-0005-0000-0000-0000C54F0000}"/>
    <cellStyle name="ArialNormal 3 3 3 4 2" xfId="16968" xr:uid="{00000000-0005-0000-0000-0000C64F0000}"/>
    <cellStyle name="ArialNormal 3 3 3 4 2 2" xfId="36322" xr:uid="{00000000-0005-0000-0000-0000C74F0000}"/>
    <cellStyle name="ArialNormal 3 3 3 4 3" xfId="19399" xr:uid="{00000000-0005-0000-0000-0000C84F0000}"/>
    <cellStyle name="ArialNormal 3 3 3 4 3 2" xfId="38752" xr:uid="{00000000-0005-0000-0000-0000C94F0000}"/>
    <cellStyle name="ArialNormal 3 3 3 4 4" xfId="21898" xr:uid="{00000000-0005-0000-0000-0000CA4F0000}"/>
    <cellStyle name="ArialNormal 3 3 3 4 4 2" xfId="41240" xr:uid="{00000000-0005-0000-0000-0000CB4F0000}"/>
    <cellStyle name="ArialNormal 3 3 3 4 5" xfId="33839" xr:uid="{00000000-0005-0000-0000-0000CC4F0000}"/>
    <cellStyle name="ArialNormal 3 3 3 5" xfId="15532" xr:uid="{00000000-0005-0000-0000-0000CD4F0000}"/>
    <cellStyle name="ArialNormal 3 3 3 5 2" xfId="18008" xr:uid="{00000000-0005-0000-0000-0000CE4F0000}"/>
    <cellStyle name="ArialNormal 3 3 3 5 2 2" xfId="37362" xr:uid="{00000000-0005-0000-0000-0000CF4F0000}"/>
    <cellStyle name="ArialNormal 3 3 3 5 3" xfId="20439" xr:uid="{00000000-0005-0000-0000-0000D04F0000}"/>
    <cellStyle name="ArialNormal 3 3 3 5 3 2" xfId="39792" xr:uid="{00000000-0005-0000-0000-0000D14F0000}"/>
    <cellStyle name="ArialNormal 3 3 3 5 4" xfId="22952" xr:uid="{00000000-0005-0000-0000-0000D24F0000}"/>
    <cellStyle name="ArialNormal 3 3 3 5 4 2" xfId="42294" xr:uid="{00000000-0005-0000-0000-0000D34F0000}"/>
    <cellStyle name="ArialNormal 3 3 3 5 5" xfId="34893" xr:uid="{00000000-0005-0000-0000-0000D44F0000}"/>
    <cellStyle name="ArialNormal 3 3 3 6" xfId="16190" xr:uid="{00000000-0005-0000-0000-0000D54F0000}"/>
    <cellStyle name="ArialNormal 3 3 3 6 2" xfId="35544" xr:uid="{00000000-0005-0000-0000-0000D64F0000}"/>
    <cellStyle name="ArialNormal 3 3 3 7" xfId="18621" xr:uid="{00000000-0005-0000-0000-0000D74F0000}"/>
    <cellStyle name="ArialNormal 3 3 3 7 2" xfId="37974" xr:uid="{00000000-0005-0000-0000-0000D84F0000}"/>
    <cellStyle name="ArialNormal 3 3 3 8" xfId="21095" xr:uid="{00000000-0005-0000-0000-0000D94F0000}"/>
    <cellStyle name="ArialNormal 3 3 3 8 2" xfId="40437" xr:uid="{00000000-0005-0000-0000-0000DA4F0000}"/>
    <cellStyle name="ArialNormal 3 3 3 9" xfId="33036" xr:uid="{00000000-0005-0000-0000-0000DB4F0000}"/>
    <cellStyle name="ArialNormal 3 3 4" xfId="13791" xr:uid="{00000000-0005-0000-0000-0000DC4F0000}"/>
    <cellStyle name="ArialNormal 3 3 4 2" xfId="14590" xr:uid="{00000000-0005-0000-0000-0000DD4F0000}"/>
    <cellStyle name="ArialNormal 3 3 4 2 2" xfId="17074" xr:uid="{00000000-0005-0000-0000-0000DE4F0000}"/>
    <cellStyle name="ArialNormal 3 3 4 2 2 2" xfId="36428" xr:uid="{00000000-0005-0000-0000-0000DF4F0000}"/>
    <cellStyle name="ArialNormal 3 3 4 2 3" xfId="19505" xr:uid="{00000000-0005-0000-0000-0000E04F0000}"/>
    <cellStyle name="ArialNormal 3 3 4 2 3 2" xfId="38858" xr:uid="{00000000-0005-0000-0000-0000E14F0000}"/>
    <cellStyle name="ArialNormal 3 3 4 2 4" xfId="22010" xr:uid="{00000000-0005-0000-0000-0000E24F0000}"/>
    <cellStyle name="ArialNormal 3 3 4 2 4 2" xfId="41352" xr:uid="{00000000-0005-0000-0000-0000E34F0000}"/>
    <cellStyle name="ArialNormal 3 3 4 2 5" xfId="33951" xr:uid="{00000000-0005-0000-0000-0000E44F0000}"/>
    <cellStyle name="ArialNormal 3 3 4 3" xfId="15147" xr:uid="{00000000-0005-0000-0000-0000E54F0000}"/>
    <cellStyle name="ArialNormal 3 3 4 3 2" xfId="17623" xr:uid="{00000000-0005-0000-0000-0000E64F0000}"/>
    <cellStyle name="ArialNormal 3 3 4 3 2 2" xfId="36977" xr:uid="{00000000-0005-0000-0000-0000E74F0000}"/>
    <cellStyle name="ArialNormal 3 3 4 3 3" xfId="20054" xr:uid="{00000000-0005-0000-0000-0000E84F0000}"/>
    <cellStyle name="ArialNormal 3 3 4 3 3 2" xfId="39407" xr:uid="{00000000-0005-0000-0000-0000E94F0000}"/>
    <cellStyle name="ArialNormal 3 3 4 3 4" xfId="22567" xr:uid="{00000000-0005-0000-0000-0000EA4F0000}"/>
    <cellStyle name="ArialNormal 3 3 4 3 4 2" xfId="41909" xr:uid="{00000000-0005-0000-0000-0000EB4F0000}"/>
    <cellStyle name="ArialNormal 3 3 4 3 5" xfId="34508" xr:uid="{00000000-0005-0000-0000-0000EC4F0000}"/>
    <cellStyle name="ArialNormal 3 3 4 4" xfId="15628" xr:uid="{00000000-0005-0000-0000-0000ED4F0000}"/>
    <cellStyle name="ArialNormal 3 3 4 4 2" xfId="18104" xr:uid="{00000000-0005-0000-0000-0000EE4F0000}"/>
    <cellStyle name="ArialNormal 3 3 4 4 2 2" xfId="37458" xr:uid="{00000000-0005-0000-0000-0000EF4F0000}"/>
    <cellStyle name="ArialNormal 3 3 4 4 3" xfId="20535" xr:uid="{00000000-0005-0000-0000-0000F04F0000}"/>
    <cellStyle name="ArialNormal 3 3 4 4 3 2" xfId="39888" xr:uid="{00000000-0005-0000-0000-0000F14F0000}"/>
    <cellStyle name="ArialNormal 3 3 4 4 4" xfId="23048" xr:uid="{00000000-0005-0000-0000-0000F24F0000}"/>
    <cellStyle name="ArialNormal 3 3 4 4 4 2" xfId="42390" xr:uid="{00000000-0005-0000-0000-0000F34F0000}"/>
    <cellStyle name="ArialNormal 3 3 4 4 5" xfId="34989" xr:uid="{00000000-0005-0000-0000-0000F44F0000}"/>
    <cellStyle name="ArialNormal 3 3 4 5" xfId="16303" xr:uid="{00000000-0005-0000-0000-0000F54F0000}"/>
    <cellStyle name="ArialNormal 3 3 4 5 2" xfId="35657" xr:uid="{00000000-0005-0000-0000-0000F64F0000}"/>
    <cellStyle name="ArialNormal 3 3 4 6" xfId="18734" xr:uid="{00000000-0005-0000-0000-0000F74F0000}"/>
    <cellStyle name="ArialNormal 3 3 4 6 2" xfId="38087" xr:uid="{00000000-0005-0000-0000-0000F84F0000}"/>
    <cellStyle name="ArialNormal 3 3 4 7" xfId="21214" xr:uid="{00000000-0005-0000-0000-0000F94F0000}"/>
    <cellStyle name="ArialNormal 3 3 4 7 2" xfId="40556" xr:uid="{00000000-0005-0000-0000-0000FA4F0000}"/>
    <cellStyle name="ArialNormal 3 3 4 8" xfId="33155" xr:uid="{00000000-0005-0000-0000-0000FB4F0000}"/>
    <cellStyle name="ArialNormal 3 3 5" xfId="14017" xr:uid="{00000000-0005-0000-0000-0000FC4F0000}"/>
    <cellStyle name="ArialNormal 3 3 5 2" xfId="14812" xr:uid="{00000000-0005-0000-0000-0000FD4F0000}"/>
    <cellStyle name="ArialNormal 3 3 5 2 2" xfId="17290" xr:uid="{00000000-0005-0000-0000-0000FE4F0000}"/>
    <cellStyle name="ArialNormal 3 3 5 2 2 2" xfId="36644" xr:uid="{00000000-0005-0000-0000-0000FF4F0000}"/>
    <cellStyle name="ArialNormal 3 3 5 2 3" xfId="19721" xr:uid="{00000000-0005-0000-0000-000000500000}"/>
    <cellStyle name="ArialNormal 3 3 5 2 3 2" xfId="39074" xr:uid="{00000000-0005-0000-0000-000001500000}"/>
    <cellStyle name="ArialNormal 3 3 5 2 4" xfId="22232" xr:uid="{00000000-0005-0000-0000-000002500000}"/>
    <cellStyle name="ArialNormal 3 3 5 2 4 2" xfId="41574" xr:uid="{00000000-0005-0000-0000-000003500000}"/>
    <cellStyle name="ArialNormal 3 3 5 2 5" xfId="34173" xr:uid="{00000000-0005-0000-0000-000004500000}"/>
    <cellStyle name="ArialNormal 3 3 5 3" xfId="15360" xr:uid="{00000000-0005-0000-0000-000005500000}"/>
    <cellStyle name="ArialNormal 3 3 5 3 2" xfId="17836" xr:uid="{00000000-0005-0000-0000-000006500000}"/>
    <cellStyle name="ArialNormal 3 3 5 3 2 2" xfId="37190" xr:uid="{00000000-0005-0000-0000-000007500000}"/>
    <cellStyle name="ArialNormal 3 3 5 3 3" xfId="20267" xr:uid="{00000000-0005-0000-0000-000008500000}"/>
    <cellStyle name="ArialNormal 3 3 5 3 3 2" xfId="39620" xr:uid="{00000000-0005-0000-0000-000009500000}"/>
    <cellStyle name="ArialNormal 3 3 5 3 4" xfId="22780" xr:uid="{00000000-0005-0000-0000-00000A500000}"/>
    <cellStyle name="ArialNormal 3 3 5 3 4 2" xfId="42122" xr:uid="{00000000-0005-0000-0000-00000B500000}"/>
    <cellStyle name="ArialNormal 3 3 5 3 5" xfId="34721" xr:uid="{00000000-0005-0000-0000-00000C500000}"/>
    <cellStyle name="ArialNormal 3 3 5 4" xfId="15819" xr:uid="{00000000-0005-0000-0000-00000D500000}"/>
    <cellStyle name="ArialNormal 3 3 5 4 2" xfId="18295" xr:uid="{00000000-0005-0000-0000-00000E500000}"/>
    <cellStyle name="ArialNormal 3 3 5 4 2 2" xfId="37649" xr:uid="{00000000-0005-0000-0000-00000F500000}"/>
    <cellStyle name="ArialNormal 3 3 5 4 3" xfId="20726" xr:uid="{00000000-0005-0000-0000-000010500000}"/>
    <cellStyle name="ArialNormal 3 3 5 4 3 2" xfId="40079" xr:uid="{00000000-0005-0000-0000-000011500000}"/>
    <cellStyle name="ArialNormal 3 3 5 4 4" xfId="23239" xr:uid="{00000000-0005-0000-0000-000012500000}"/>
    <cellStyle name="ArialNormal 3 3 5 4 4 2" xfId="42581" xr:uid="{00000000-0005-0000-0000-000013500000}"/>
    <cellStyle name="ArialNormal 3 3 5 4 5" xfId="35180" xr:uid="{00000000-0005-0000-0000-000014500000}"/>
    <cellStyle name="ArialNormal 3 3 5 5" xfId="16523" xr:uid="{00000000-0005-0000-0000-000015500000}"/>
    <cellStyle name="ArialNormal 3 3 5 5 2" xfId="35877" xr:uid="{00000000-0005-0000-0000-000016500000}"/>
    <cellStyle name="ArialNormal 3 3 5 6" xfId="18954" xr:uid="{00000000-0005-0000-0000-000017500000}"/>
    <cellStyle name="ArialNormal 3 3 5 6 2" xfId="38307" xr:uid="{00000000-0005-0000-0000-000018500000}"/>
    <cellStyle name="ArialNormal 3 3 5 7" xfId="21440" xr:uid="{00000000-0005-0000-0000-000019500000}"/>
    <cellStyle name="ArialNormal 3 3 5 7 2" xfId="40782" xr:uid="{00000000-0005-0000-0000-00001A500000}"/>
    <cellStyle name="ArialNormal 3 3 5 8" xfId="33381" xr:uid="{00000000-0005-0000-0000-00001B500000}"/>
    <cellStyle name="ArialNormal 3 3 6" xfId="14309" xr:uid="{00000000-0005-0000-0000-00001C500000}"/>
    <cellStyle name="ArialNormal 3 3 6 2" xfId="16805" xr:uid="{00000000-0005-0000-0000-00001D500000}"/>
    <cellStyle name="ArialNormal 3 3 6 2 2" xfId="36159" xr:uid="{00000000-0005-0000-0000-00001E500000}"/>
    <cellStyle name="ArialNormal 3 3 6 3" xfId="19236" xr:uid="{00000000-0005-0000-0000-00001F500000}"/>
    <cellStyle name="ArialNormal 3 3 6 3 2" xfId="38589" xr:uid="{00000000-0005-0000-0000-000020500000}"/>
    <cellStyle name="ArialNormal 3 3 6 4" xfId="21729" xr:uid="{00000000-0005-0000-0000-000021500000}"/>
    <cellStyle name="ArialNormal 3 3 6 4 2" xfId="41071" xr:uid="{00000000-0005-0000-0000-000022500000}"/>
    <cellStyle name="ArialNormal 3 3 6 5" xfId="33670" xr:uid="{00000000-0005-0000-0000-000023500000}"/>
    <cellStyle name="ArialNormal 3 3 7" xfId="13479" xr:uid="{00000000-0005-0000-0000-000024500000}"/>
    <cellStyle name="ArialNormal 3 3 7 2" xfId="32857" xr:uid="{00000000-0005-0000-0000-000025500000}"/>
    <cellStyle name="ArialNormal 3 3 8" xfId="16045" xr:uid="{00000000-0005-0000-0000-000026500000}"/>
    <cellStyle name="ArialNormal 3 3 8 2" xfId="35399" xr:uid="{00000000-0005-0000-0000-000027500000}"/>
    <cellStyle name="ArialNormal 3 3 9" xfId="13213" xr:uid="{00000000-0005-0000-0000-000028500000}"/>
    <cellStyle name="ArialNormal 3 3 9 2" xfId="32680" xr:uid="{00000000-0005-0000-0000-000029500000}"/>
    <cellStyle name="ArialNormal 3 4" xfId="13525" xr:uid="{00000000-0005-0000-0000-00002A500000}"/>
    <cellStyle name="ArialNormal 3 4 2" xfId="13825" xr:uid="{00000000-0005-0000-0000-00002B500000}"/>
    <cellStyle name="ArialNormal 3 4 2 2" xfId="14620" xr:uid="{00000000-0005-0000-0000-00002C500000}"/>
    <cellStyle name="ArialNormal 3 4 2 2 2" xfId="17104" xr:uid="{00000000-0005-0000-0000-00002D500000}"/>
    <cellStyle name="ArialNormal 3 4 2 2 2 2" xfId="36458" xr:uid="{00000000-0005-0000-0000-00002E500000}"/>
    <cellStyle name="ArialNormal 3 4 2 2 3" xfId="19535" xr:uid="{00000000-0005-0000-0000-00002F500000}"/>
    <cellStyle name="ArialNormal 3 4 2 2 3 2" xfId="38888" xr:uid="{00000000-0005-0000-0000-000030500000}"/>
    <cellStyle name="ArialNormal 3 4 2 2 4" xfId="22040" xr:uid="{00000000-0005-0000-0000-000031500000}"/>
    <cellStyle name="ArialNormal 3 4 2 2 4 2" xfId="41382" xr:uid="{00000000-0005-0000-0000-000032500000}"/>
    <cellStyle name="ArialNormal 3 4 2 2 5" xfId="33981" xr:uid="{00000000-0005-0000-0000-000033500000}"/>
    <cellStyle name="ArialNormal 3 4 2 3" xfId="15177" xr:uid="{00000000-0005-0000-0000-000034500000}"/>
    <cellStyle name="ArialNormal 3 4 2 3 2" xfId="17653" xr:uid="{00000000-0005-0000-0000-000035500000}"/>
    <cellStyle name="ArialNormal 3 4 2 3 2 2" xfId="37007" xr:uid="{00000000-0005-0000-0000-000036500000}"/>
    <cellStyle name="ArialNormal 3 4 2 3 3" xfId="20084" xr:uid="{00000000-0005-0000-0000-000037500000}"/>
    <cellStyle name="ArialNormal 3 4 2 3 3 2" xfId="39437" xr:uid="{00000000-0005-0000-0000-000038500000}"/>
    <cellStyle name="ArialNormal 3 4 2 3 4" xfId="22597" xr:uid="{00000000-0005-0000-0000-000039500000}"/>
    <cellStyle name="ArialNormal 3 4 2 3 4 2" xfId="41939" xr:uid="{00000000-0005-0000-0000-00003A500000}"/>
    <cellStyle name="ArialNormal 3 4 2 3 5" xfId="34538" xr:uid="{00000000-0005-0000-0000-00003B500000}"/>
    <cellStyle name="ArialNormal 3 4 2 4" xfId="15657" xr:uid="{00000000-0005-0000-0000-00003C500000}"/>
    <cellStyle name="ArialNormal 3 4 2 4 2" xfId="18133" xr:uid="{00000000-0005-0000-0000-00003D500000}"/>
    <cellStyle name="ArialNormal 3 4 2 4 2 2" xfId="37487" xr:uid="{00000000-0005-0000-0000-00003E500000}"/>
    <cellStyle name="ArialNormal 3 4 2 4 3" xfId="20564" xr:uid="{00000000-0005-0000-0000-00003F500000}"/>
    <cellStyle name="ArialNormal 3 4 2 4 3 2" xfId="39917" xr:uid="{00000000-0005-0000-0000-000040500000}"/>
    <cellStyle name="ArialNormal 3 4 2 4 4" xfId="23077" xr:uid="{00000000-0005-0000-0000-000041500000}"/>
    <cellStyle name="ArialNormal 3 4 2 4 4 2" xfId="42419" xr:uid="{00000000-0005-0000-0000-000042500000}"/>
    <cellStyle name="ArialNormal 3 4 2 4 5" xfId="35018" xr:uid="{00000000-0005-0000-0000-000043500000}"/>
    <cellStyle name="ArialNormal 3 4 2 5" xfId="16337" xr:uid="{00000000-0005-0000-0000-000044500000}"/>
    <cellStyle name="ArialNormal 3 4 2 5 2" xfId="35691" xr:uid="{00000000-0005-0000-0000-000045500000}"/>
    <cellStyle name="ArialNormal 3 4 2 6" xfId="18768" xr:uid="{00000000-0005-0000-0000-000046500000}"/>
    <cellStyle name="ArialNormal 3 4 2 6 2" xfId="38121" xr:uid="{00000000-0005-0000-0000-000047500000}"/>
    <cellStyle name="ArialNormal 3 4 2 7" xfId="21248" xr:uid="{00000000-0005-0000-0000-000048500000}"/>
    <cellStyle name="ArialNormal 3 4 2 7 2" xfId="40590" xr:uid="{00000000-0005-0000-0000-000049500000}"/>
    <cellStyle name="ArialNormal 3 4 2 8" xfId="33189" xr:uid="{00000000-0005-0000-0000-00004A500000}"/>
    <cellStyle name="ArialNormal 3 4 3" xfId="14046" xr:uid="{00000000-0005-0000-0000-00004B500000}"/>
    <cellStyle name="ArialNormal 3 4 3 2" xfId="14841" xr:uid="{00000000-0005-0000-0000-00004C500000}"/>
    <cellStyle name="ArialNormal 3 4 3 2 2" xfId="17319" xr:uid="{00000000-0005-0000-0000-00004D500000}"/>
    <cellStyle name="ArialNormal 3 4 3 2 2 2" xfId="36673" xr:uid="{00000000-0005-0000-0000-00004E500000}"/>
    <cellStyle name="ArialNormal 3 4 3 2 3" xfId="19750" xr:uid="{00000000-0005-0000-0000-00004F500000}"/>
    <cellStyle name="ArialNormal 3 4 3 2 3 2" xfId="39103" xr:uid="{00000000-0005-0000-0000-000050500000}"/>
    <cellStyle name="ArialNormal 3 4 3 2 4" xfId="22261" xr:uid="{00000000-0005-0000-0000-000051500000}"/>
    <cellStyle name="ArialNormal 3 4 3 2 4 2" xfId="41603" xr:uid="{00000000-0005-0000-0000-000052500000}"/>
    <cellStyle name="ArialNormal 3 4 3 2 5" xfId="34202" xr:uid="{00000000-0005-0000-0000-000053500000}"/>
    <cellStyle name="ArialNormal 3 4 3 3" xfId="15389" xr:uid="{00000000-0005-0000-0000-000054500000}"/>
    <cellStyle name="ArialNormal 3 4 3 3 2" xfId="17865" xr:uid="{00000000-0005-0000-0000-000055500000}"/>
    <cellStyle name="ArialNormal 3 4 3 3 2 2" xfId="37219" xr:uid="{00000000-0005-0000-0000-000056500000}"/>
    <cellStyle name="ArialNormal 3 4 3 3 3" xfId="20296" xr:uid="{00000000-0005-0000-0000-000057500000}"/>
    <cellStyle name="ArialNormal 3 4 3 3 3 2" xfId="39649" xr:uid="{00000000-0005-0000-0000-000058500000}"/>
    <cellStyle name="ArialNormal 3 4 3 3 4" xfId="22809" xr:uid="{00000000-0005-0000-0000-000059500000}"/>
    <cellStyle name="ArialNormal 3 4 3 3 4 2" xfId="42151" xr:uid="{00000000-0005-0000-0000-00005A500000}"/>
    <cellStyle name="ArialNormal 3 4 3 3 5" xfId="34750" xr:uid="{00000000-0005-0000-0000-00005B500000}"/>
    <cellStyle name="ArialNormal 3 4 3 4" xfId="15848" xr:uid="{00000000-0005-0000-0000-00005C500000}"/>
    <cellStyle name="ArialNormal 3 4 3 4 2" xfId="18324" xr:uid="{00000000-0005-0000-0000-00005D500000}"/>
    <cellStyle name="ArialNormal 3 4 3 4 2 2" xfId="37678" xr:uid="{00000000-0005-0000-0000-00005E500000}"/>
    <cellStyle name="ArialNormal 3 4 3 4 3" xfId="20755" xr:uid="{00000000-0005-0000-0000-00005F500000}"/>
    <cellStyle name="ArialNormal 3 4 3 4 3 2" xfId="40108" xr:uid="{00000000-0005-0000-0000-000060500000}"/>
    <cellStyle name="ArialNormal 3 4 3 4 4" xfId="23268" xr:uid="{00000000-0005-0000-0000-000061500000}"/>
    <cellStyle name="ArialNormal 3 4 3 4 4 2" xfId="42610" xr:uid="{00000000-0005-0000-0000-000062500000}"/>
    <cellStyle name="ArialNormal 3 4 3 4 5" xfId="35209" xr:uid="{00000000-0005-0000-0000-000063500000}"/>
    <cellStyle name="ArialNormal 3 4 3 5" xfId="16552" xr:uid="{00000000-0005-0000-0000-000064500000}"/>
    <cellStyle name="ArialNormal 3 4 3 5 2" xfId="35906" xr:uid="{00000000-0005-0000-0000-000065500000}"/>
    <cellStyle name="ArialNormal 3 4 3 6" xfId="18983" xr:uid="{00000000-0005-0000-0000-000066500000}"/>
    <cellStyle name="ArialNormal 3 4 3 6 2" xfId="38336" xr:uid="{00000000-0005-0000-0000-000067500000}"/>
    <cellStyle name="ArialNormal 3 4 3 7" xfId="21469" xr:uid="{00000000-0005-0000-0000-000068500000}"/>
    <cellStyle name="ArialNormal 3 4 3 7 2" xfId="40811" xr:uid="{00000000-0005-0000-0000-000069500000}"/>
    <cellStyle name="ArialNormal 3 4 3 8" xfId="33410" xr:uid="{00000000-0005-0000-0000-00006A500000}"/>
    <cellStyle name="ArialNormal 3 4 4" xfId="14341" xr:uid="{00000000-0005-0000-0000-00006B500000}"/>
    <cellStyle name="ArialNormal 3 4 4 2" xfId="16837" xr:uid="{00000000-0005-0000-0000-00006C500000}"/>
    <cellStyle name="ArialNormal 3 4 4 2 2" xfId="36191" xr:uid="{00000000-0005-0000-0000-00006D500000}"/>
    <cellStyle name="ArialNormal 3 4 4 3" xfId="19268" xr:uid="{00000000-0005-0000-0000-00006E500000}"/>
    <cellStyle name="ArialNormal 3 4 4 3 2" xfId="38621" xr:uid="{00000000-0005-0000-0000-00006F500000}"/>
    <cellStyle name="ArialNormal 3 4 4 4" xfId="21761" xr:uid="{00000000-0005-0000-0000-000070500000}"/>
    <cellStyle name="ArialNormal 3 4 4 4 2" xfId="41103" xr:uid="{00000000-0005-0000-0000-000071500000}"/>
    <cellStyle name="ArialNormal 3 4 4 5" xfId="33702" xr:uid="{00000000-0005-0000-0000-000072500000}"/>
    <cellStyle name="ArialNormal 3 4 5" xfId="14977" xr:uid="{00000000-0005-0000-0000-000073500000}"/>
    <cellStyle name="ArialNormal 3 4 5 2" xfId="17453" xr:uid="{00000000-0005-0000-0000-000074500000}"/>
    <cellStyle name="ArialNormal 3 4 5 2 2" xfId="36807" xr:uid="{00000000-0005-0000-0000-000075500000}"/>
    <cellStyle name="ArialNormal 3 4 5 3" xfId="19884" xr:uid="{00000000-0005-0000-0000-000076500000}"/>
    <cellStyle name="ArialNormal 3 4 5 3 2" xfId="39237" xr:uid="{00000000-0005-0000-0000-000077500000}"/>
    <cellStyle name="ArialNormal 3 4 5 4" xfId="22397" xr:uid="{00000000-0005-0000-0000-000078500000}"/>
    <cellStyle name="ArialNormal 3 4 5 4 2" xfId="41739" xr:uid="{00000000-0005-0000-0000-000079500000}"/>
    <cellStyle name="ArialNormal 3 4 5 5" xfId="34338" xr:uid="{00000000-0005-0000-0000-00007A500000}"/>
    <cellStyle name="ArialNormal 3 4 6" xfId="16078" xr:uid="{00000000-0005-0000-0000-00007B500000}"/>
    <cellStyle name="ArialNormal 3 4 6 2" xfId="35432" xr:uid="{00000000-0005-0000-0000-00007C500000}"/>
    <cellStyle name="ArialNormal 3 4 7" xfId="18486" xr:uid="{00000000-0005-0000-0000-00007D500000}"/>
    <cellStyle name="ArialNormal 3 4 7 2" xfId="37839" xr:uid="{00000000-0005-0000-0000-00007E500000}"/>
    <cellStyle name="ArialNormal 3 4 8" xfId="32900" xr:uid="{00000000-0005-0000-0000-00007F500000}"/>
    <cellStyle name="ArialNormal 3 5" xfId="13719" xr:uid="{00000000-0005-0000-0000-000080500000}"/>
    <cellStyle name="ArialNormal 3 5 2" xfId="14522" xr:uid="{00000000-0005-0000-0000-000081500000}"/>
    <cellStyle name="ArialNormal 3 5 2 2" xfId="17012" xr:uid="{00000000-0005-0000-0000-000082500000}"/>
    <cellStyle name="ArialNormal 3 5 2 2 2" xfId="36366" xr:uid="{00000000-0005-0000-0000-000083500000}"/>
    <cellStyle name="ArialNormal 3 5 2 3" xfId="19443" xr:uid="{00000000-0005-0000-0000-000084500000}"/>
    <cellStyle name="ArialNormal 3 5 2 3 2" xfId="38796" xr:uid="{00000000-0005-0000-0000-000085500000}"/>
    <cellStyle name="ArialNormal 3 5 2 4" xfId="21942" xr:uid="{00000000-0005-0000-0000-000086500000}"/>
    <cellStyle name="ArialNormal 3 5 2 4 2" xfId="41284" xr:uid="{00000000-0005-0000-0000-000087500000}"/>
    <cellStyle name="ArialNormal 3 5 2 5" xfId="33883" xr:uid="{00000000-0005-0000-0000-000088500000}"/>
    <cellStyle name="ArialNormal 3 5 3" xfId="15086" xr:uid="{00000000-0005-0000-0000-000089500000}"/>
    <cellStyle name="ArialNormal 3 5 3 2" xfId="17562" xr:uid="{00000000-0005-0000-0000-00008A500000}"/>
    <cellStyle name="ArialNormal 3 5 3 2 2" xfId="36916" xr:uid="{00000000-0005-0000-0000-00008B500000}"/>
    <cellStyle name="ArialNormal 3 5 3 3" xfId="19993" xr:uid="{00000000-0005-0000-0000-00008C500000}"/>
    <cellStyle name="ArialNormal 3 5 3 3 2" xfId="39346" xr:uid="{00000000-0005-0000-0000-00008D500000}"/>
    <cellStyle name="ArialNormal 3 5 3 4" xfId="22506" xr:uid="{00000000-0005-0000-0000-00008E500000}"/>
    <cellStyle name="ArialNormal 3 5 3 4 2" xfId="41848" xr:uid="{00000000-0005-0000-0000-00008F500000}"/>
    <cellStyle name="ArialNormal 3 5 3 5" xfId="34447" xr:uid="{00000000-0005-0000-0000-000090500000}"/>
    <cellStyle name="ArialNormal 3 5 4" xfId="15569" xr:uid="{00000000-0005-0000-0000-000091500000}"/>
    <cellStyle name="ArialNormal 3 5 4 2" xfId="18045" xr:uid="{00000000-0005-0000-0000-000092500000}"/>
    <cellStyle name="ArialNormal 3 5 4 2 2" xfId="37399" xr:uid="{00000000-0005-0000-0000-000093500000}"/>
    <cellStyle name="ArialNormal 3 5 4 3" xfId="20476" xr:uid="{00000000-0005-0000-0000-000094500000}"/>
    <cellStyle name="ArialNormal 3 5 4 3 2" xfId="39829" xr:uid="{00000000-0005-0000-0000-000095500000}"/>
    <cellStyle name="ArialNormal 3 5 4 4" xfId="22989" xr:uid="{00000000-0005-0000-0000-000096500000}"/>
    <cellStyle name="ArialNormal 3 5 4 4 2" xfId="42331" xr:uid="{00000000-0005-0000-0000-000097500000}"/>
    <cellStyle name="ArialNormal 3 5 4 5" xfId="34930" xr:uid="{00000000-0005-0000-0000-000098500000}"/>
    <cellStyle name="ArialNormal 3 5 5" xfId="16238" xr:uid="{00000000-0005-0000-0000-000099500000}"/>
    <cellStyle name="ArialNormal 3 5 5 2" xfId="35592" xr:uid="{00000000-0005-0000-0000-00009A500000}"/>
    <cellStyle name="ArialNormal 3 5 6" xfId="18669" xr:uid="{00000000-0005-0000-0000-00009B500000}"/>
    <cellStyle name="ArialNormal 3 5 6 2" xfId="38022" xr:uid="{00000000-0005-0000-0000-00009C500000}"/>
    <cellStyle name="ArialNormal 3 5 7" xfId="21143" xr:uid="{00000000-0005-0000-0000-00009D500000}"/>
    <cellStyle name="ArialNormal 3 5 7 2" xfId="40485" xr:uid="{00000000-0005-0000-0000-00009E500000}"/>
    <cellStyle name="ArialNormal 3 5 8" xfId="33084" xr:uid="{00000000-0005-0000-0000-00009F500000}"/>
    <cellStyle name="ArialNormal 3 6" xfId="13332" xr:uid="{00000000-0005-0000-0000-0000A0500000}"/>
    <cellStyle name="ArialNormal 3 6 2" xfId="32750" xr:uid="{00000000-0005-0000-0000-0000A1500000}"/>
    <cellStyle name="ArialNormal 3 7" xfId="13242" xr:uid="{00000000-0005-0000-0000-0000A2500000}"/>
    <cellStyle name="ArialNormal 3 7 2" xfId="32695" xr:uid="{00000000-0005-0000-0000-0000A3500000}"/>
    <cellStyle name="ArialNormal 3 8" xfId="20904" xr:uid="{00000000-0005-0000-0000-0000A4500000}"/>
    <cellStyle name="ArialNormal 3 8 2" xfId="40249" xr:uid="{00000000-0005-0000-0000-0000A5500000}"/>
    <cellStyle name="ArialNormal 4" xfId="4877" xr:uid="{00000000-0005-0000-0000-0000A6500000}"/>
    <cellStyle name="ArialNormal 4 10" xfId="24373" xr:uid="{00000000-0005-0000-0000-0000A7500000}"/>
    <cellStyle name="ArialNormal 4 2" xfId="6635" xr:uid="{00000000-0005-0000-0000-0000A8500000}"/>
    <cellStyle name="ArialNormal 4 2 2" xfId="13855" xr:uid="{00000000-0005-0000-0000-0000A9500000}"/>
    <cellStyle name="ArialNormal 4 2 2 2" xfId="14650" xr:uid="{00000000-0005-0000-0000-0000AA500000}"/>
    <cellStyle name="ArialNormal 4 2 2 2 2" xfId="17131" xr:uid="{00000000-0005-0000-0000-0000AB500000}"/>
    <cellStyle name="ArialNormal 4 2 2 2 2 2" xfId="36485" xr:uid="{00000000-0005-0000-0000-0000AC500000}"/>
    <cellStyle name="ArialNormal 4 2 2 2 3" xfId="19562" xr:uid="{00000000-0005-0000-0000-0000AD500000}"/>
    <cellStyle name="ArialNormal 4 2 2 2 3 2" xfId="38915" xr:uid="{00000000-0005-0000-0000-0000AE500000}"/>
    <cellStyle name="ArialNormal 4 2 2 2 4" xfId="22070" xr:uid="{00000000-0005-0000-0000-0000AF500000}"/>
    <cellStyle name="ArialNormal 4 2 2 2 4 2" xfId="41412" xr:uid="{00000000-0005-0000-0000-0000B0500000}"/>
    <cellStyle name="ArialNormal 4 2 2 2 5" xfId="34011" xr:uid="{00000000-0005-0000-0000-0000B1500000}"/>
    <cellStyle name="ArialNormal 4 2 2 3" xfId="15203" xr:uid="{00000000-0005-0000-0000-0000B2500000}"/>
    <cellStyle name="ArialNormal 4 2 2 3 2" xfId="17679" xr:uid="{00000000-0005-0000-0000-0000B3500000}"/>
    <cellStyle name="ArialNormal 4 2 2 3 2 2" xfId="37033" xr:uid="{00000000-0005-0000-0000-0000B4500000}"/>
    <cellStyle name="ArialNormal 4 2 2 3 3" xfId="20110" xr:uid="{00000000-0005-0000-0000-0000B5500000}"/>
    <cellStyle name="ArialNormal 4 2 2 3 3 2" xfId="39463" xr:uid="{00000000-0005-0000-0000-0000B6500000}"/>
    <cellStyle name="ArialNormal 4 2 2 3 4" xfId="22623" xr:uid="{00000000-0005-0000-0000-0000B7500000}"/>
    <cellStyle name="ArialNormal 4 2 2 3 4 2" xfId="41965" xr:uid="{00000000-0005-0000-0000-0000B8500000}"/>
    <cellStyle name="ArialNormal 4 2 2 3 5" xfId="34564" xr:uid="{00000000-0005-0000-0000-0000B9500000}"/>
    <cellStyle name="ArialNormal 4 2 2 4" xfId="15674" xr:uid="{00000000-0005-0000-0000-0000BA500000}"/>
    <cellStyle name="ArialNormal 4 2 2 4 2" xfId="18150" xr:uid="{00000000-0005-0000-0000-0000BB500000}"/>
    <cellStyle name="ArialNormal 4 2 2 4 2 2" xfId="37504" xr:uid="{00000000-0005-0000-0000-0000BC500000}"/>
    <cellStyle name="ArialNormal 4 2 2 4 3" xfId="20581" xr:uid="{00000000-0005-0000-0000-0000BD500000}"/>
    <cellStyle name="ArialNormal 4 2 2 4 3 2" xfId="39934" xr:uid="{00000000-0005-0000-0000-0000BE500000}"/>
    <cellStyle name="ArialNormal 4 2 2 4 4" xfId="23094" xr:uid="{00000000-0005-0000-0000-0000BF500000}"/>
    <cellStyle name="ArialNormal 4 2 2 4 4 2" xfId="42436" xr:uid="{00000000-0005-0000-0000-0000C0500000}"/>
    <cellStyle name="ArialNormal 4 2 2 4 5" xfId="35035" xr:uid="{00000000-0005-0000-0000-0000C1500000}"/>
    <cellStyle name="ArialNormal 4 2 2 5" xfId="16364" xr:uid="{00000000-0005-0000-0000-0000C2500000}"/>
    <cellStyle name="ArialNormal 4 2 2 5 2" xfId="35718" xr:uid="{00000000-0005-0000-0000-0000C3500000}"/>
    <cellStyle name="ArialNormal 4 2 2 6" xfId="18795" xr:uid="{00000000-0005-0000-0000-0000C4500000}"/>
    <cellStyle name="ArialNormal 4 2 2 6 2" xfId="38148" xr:uid="{00000000-0005-0000-0000-0000C5500000}"/>
    <cellStyle name="ArialNormal 4 2 2 7" xfId="21278" xr:uid="{00000000-0005-0000-0000-0000C6500000}"/>
    <cellStyle name="ArialNormal 4 2 2 7 2" xfId="40620" xr:uid="{00000000-0005-0000-0000-0000C7500000}"/>
    <cellStyle name="ArialNormal 4 2 2 8" xfId="33219" xr:uid="{00000000-0005-0000-0000-0000C8500000}"/>
    <cellStyle name="ArialNormal 4 2 3" xfId="14073" xr:uid="{00000000-0005-0000-0000-0000C9500000}"/>
    <cellStyle name="ArialNormal 4 2 3 2" xfId="14862" xr:uid="{00000000-0005-0000-0000-0000CA500000}"/>
    <cellStyle name="ArialNormal 4 2 3 2 2" xfId="17340" xr:uid="{00000000-0005-0000-0000-0000CB500000}"/>
    <cellStyle name="ArialNormal 4 2 3 2 2 2" xfId="36694" xr:uid="{00000000-0005-0000-0000-0000CC500000}"/>
    <cellStyle name="ArialNormal 4 2 3 2 3" xfId="19771" xr:uid="{00000000-0005-0000-0000-0000CD500000}"/>
    <cellStyle name="ArialNormal 4 2 3 2 3 2" xfId="39124" xr:uid="{00000000-0005-0000-0000-0000CE500000}"/>
    <cellStyle name="ArialNormal 4 2 3 2 4" xfId="22282" xr:uid="{00000000-0005-0000-0000-0000CF500000}"/>
    <cellStyle name="ArialNormal 4 2 3 2 4 2" xfId="41624" xr:uid="{00000000-0005-0000-0000-0000D0500000}"/>
    <cellStyle name="ArialNormal 4 2 3 2 5" xfId="34223" xr:uid="{00000000-0005-0000-0000-0000D1500000}"/>
    <cellStyle name="ArialNormal 4 2 3 3" xfId="15409" xr:uid="{00000000-0005-0000-0000-0000D2500000}"/>
    <cellStyle name="ArialNormal 4 2 3 3 2" xfId="17885" xr:uid="{00000000-0005-0000-0000-0000D3500000}"/>
    <cellStyle name="ArialNormal 4 2 3 3 2 2" xfId="37239" xr:uid="{00000000-0005-0000-0000-0000D4500000}"/>
    <cellStyle name="ArialNormal 4 2 3 3 3" xfId="20316" xr:uid="{00000000-0005-0000-0000-0000D5500000}"/>
    <cellStyle name="ArialNormal 4 2 3 3 3 2" xfId="39669" xr:uid="{00000000-0005-0000-0000-0000D6500000}"/>
    <cellStyle name="ArialNormal 4 2 3 3 4" xfId="22829" xr:uid="{00000000-0005-0000-0000-0000D7500000}"/>
    <cellStyle name="ArialNormal 4 2 3 3 4 2" xfId="42171" xr:uid="{00000000-0005-0000-0000-0000D8500000}"/>
    <cellStyle name="ArialNormal 4 2 3 3 5" xfId="34770" xr:uid="{00000000-0005-0000-0000-0000D9500000}"/>
    <cellStyle name="ArialNormal 4 2 3 4" xfId="15868" xr:uid="{00000000-0005-0000-0000-0000DA500000}"/>
    <cellStyle name="ArialNormal 4 2 3 4 2" xfId="18344" xr:uid="{00000000-0005-0000-0000-0000DB500000}"/>
    <cellStyle name="ArialNormal 4 2 3 4 2 2" xfId="37698" xr:uid="{00000000-0005-0000-0000-0000DC500000}"/>
    <cellStyle name="ArialNormal 4 2 3 4 3" xfId="20775" xr:uid="{00000000-0005-0000-0000-0000DD500000}"/>
    <cellStyle name="ArialNormal 4 2 3 4 3 2" xfId="40128" xr:uid="{00000000-0005-0000-0000-0000DE500000}"/>
    <cellStyle name="ArialNormal 4 2 3 4 4" xfId="23288" xr:uid="{00000000-0005-0000-0000-0000DF500000}"/>
    <cellStyle name="ArialNormal 4 2 3 4 4 2" xfId="42630" xr:uid="{00000000-0005-0000-0000-0000E0500000}"/>
    <cellStyle name="ArialNormal 4 2 3 4 5" xfId="35229" xr:uid="{00000000-0005-0000-0000-0000E1500000}"/>
    <cellStyle name="ArialNormal 4 2 3 5" xfId="16579" xr:uid="{00000000-0005-0000-0000-0000E2500000}"/>
    <cellStyle name="ArialNormal 4 2 3 5 2" xfId="35933" xr:uid="{00000000-0005-0000-0000-0000E3500000}"/>
    <cellStyle name="ArialNormal 4 2 3 6" xfId="19010" xr:uid="{00000000-0005-0000-0000-0000E4500000}"/>
    <cellStyle name="ArialNormal 4 2 3 6 2" xfId="38363" xr:uid="{00000000-0005-0000-0000-0000E5500000}"/>
    <cellStyle name="ArialNormal 4 2 3 7" xfId="21496" xr:uid="{00000000-0005-0000-0000-0000E6500000}"/>
    <cellStyle name="ArialNormal 4 2 3 7 2" xfId="40838" xr:uid="{00000000-0005-0000-0000-0000E7500000}"/>
    <cellStyle name="ArialNormal 4 2 3 8" xfId="33437" xr:uid="{00000000-0005-0000-0000-0000E8500000}"/>
    <cellStyle name="ArialNormal 4 2 4" xfId="14368" xr:uid="{00000000-0005-0000-0000-0000E9500000}"/>
    <cellStyle name="ArialNormal 4 2 4 2" xfId="16861" xr:uid="{00000000-0005-0000-0000-0000EA500000}"/>
    <cellStyle name="ArialNormal 4 2 4 2 2" xfId="36215" xr:uid="{00000000-0005-0000-0000-0000EB500000}"/>
    <cellStyle name="ArialNormal 4 2 4 3" xfId="19292" xr:uid="{00000000-0005-0000-0000-0000EC500000}"/>
    <cellStyle name="ArialNormal 4 2 4 3 2" xfId="38645" xr:uid="{00000000-0005-0000-0000-0000ED500000}"/>
    <cellStyle name="ArialNormal 4 2 4 4" xfId="21788" xr:uid="{00000000-0005-0000-0000-0000EE500000}"/>
    <cellStyle name="ArialNormal 4 2 4 4 2" xfId="41130" xr:uid="{00000000-0005-0000-0000-0000EF500000}"/>
    <cellStyle name="ArialNormal 4 2 4 5" xfId="33729" xr:uid="{00000000-0005-0000-0000-0000F0500000}"/>
    <cellStyle name="ArialNormal 4 2 5" xfId="14999" xr:uid="{00000000-0005-0000-0000-0000F1500000}"/>
    <cellStyle name="ArialNormal 4 2 5 2" xfId="17475" xr:uid="{00000000-0005-0000-0000-0000F2500000}"/>
    <cellStyle name="ArialNormal 4 2 5 2 2" xfId="36829" xr:uid="{00000000-0005-0000-0000-0000F3500000}"/>
    <cellStyle name="ArialNormal 4 2 5 3" xfId="19906" xr:uid="{00000000-0005-0000-0000-0000F4500000}"/>
    <cellStyle name="ArialNormal 4 2 5 3 2" xfId="39259" xr:uid="{00000000-0005-0000-0000-0000F5500000}"/>
    <cellStyle name="ArialNormal 4 2 5 4" xfId="22419" xr:uid="{00000000-0005-0000-0000-0000F6500000}"/>
    <cellStyle name="ArialNormal 4 2 5 4 2" xfId="41761" xr:uid="{00000000-0005-0000-0000-0000F7500000}"/>
    <cellStyle name="ArialNormal 4 2 5 5" xfId="34360" xr:uid="{00000000-0005-0000-0000-0000F8500000}"/>
    <cellStyle name="ArialNormal 4 2 6" xfId="13557" xr:uid="{00000000-0005-0000-0000-0000F9500000}"/>
    <cellStyle name="ArialNormal 4 2 6 2" xfId="32926" xr:uid="{00000000-0005-0000-0000-0000FA500000}"/>
    <cellStyle name="ArialNormal 4 2 7" xfId="16099" xr:uid="{00000000-0005-0000-0000-0000FB500000}"/>
    <cellStyle name="ArialNormal 4 2 7 2" xfId="35453" xr:uid="{00000000-0005-0000-0000-0000FC500000}"/>
    <cellStyle name="ArialNormal 4 2 8" xfId="18511" xr:uid="{00000000-0005-0000-0000-0000FD500000}"/>
    <cellStyle name="ArialNormal 4 2 8 2" xfId="37864" xr:uid="{00000000-0005-0000-0000-0000FE500000}"/>
    <cellStyle name="ArialNormal 4 2 9" xfId="26120" xr:uid="{00000000-0005-0000-0000-0000FF500000}"/>
    <cellStyle name="ArialNormal 4 3" xfId="13628" xr:uid="{00000000-0005-0000-0000-000000510000}"/>
    <cellStyle name="ArialNormal 4 3 2" xfId="13928" xr:uid="{00000000-0005-0000-0000-000001510000}"/>
    <cellStyle name="ArialNormal 4 3 2 2" xfId="14723" xr:uid="{00000000-0005-0000-0000-000002510000}"/>
    <cellStyle name="ArialNormal 4 3 2 2 2" xfId="17201" xr:uid="{00000000-0005-0000-0000-000003510000}"/>
    <cellStyle name="ArialNormal 4 3 2 2 2 2" xfId="36555" xr:uid="{00000000-0005-0000-0000-000004510000}"/>
    <cellStyle name="ArialNormal 4 3 2 2 3" xfId="19632" xr:uid="{00000000-0005-0000-0000-000005510000}"/>
    <cellStyle name="ArialNormal 4 3 2 2 3 2" xfId="38985" xr:uid="{00000000-0005-0000-0000-000006510000}"/>
    <cellStyle name="ArialNormal 4 3 2 2 4" xfId="22143" xr:uid="{00000000-0005-0000-0000-000007510000}"/>
    <cellStyle name="ArialNormal 4 3 2 2 4 2" xfId="41485" xr:uid="{00000000-0005-0000-0000-000008510000}"/>
    <cellStyle name="ArialNormal 4 3 2 2 5" xfId="34084" xr:uid="{00000000-0005-0000-0000-000009510000}"/>
    <cellStyle name="ArialNormal 4 3 2 3" xfId="15271" xr:uid="{00000000-0005-0000-0000-00000A510000}"/>
    <cellStyle name="ArialNormal 4 3 2 3 2" xfId="17747" xr:uid="{00000000-0005-0000-0000-00000B510000}"/>
    <cellStyle name="ArialNormal 4 3 2 3 2 2" xfId="37101" xr:uid="{00000000-0005-0000-0000-00000C510000}"/>
    <cellStyle name="ArialNormal 4 3 2 3 3" xfId="20178" xr:uid="{00000000-0005-0000-0000-00000D510000}"/>
    <cellStyle name="ArialNormal 4 3 2 3 3 2" xfId="39531" xr:uid="{00000000-0005-0000-0000-00000E510000}"/>
    <cellStyle name="ArialNormal 4 3 2 3 4" xfId="22691" xr:uid="{00000000-0005-0000-0000-00000F510000}"/>
    <cellStyle name="ArialNormal 4 3 2 3 4 2" xfId="42033" xr:uid="{00000000-0005-0000-0000-000010510000}"/>
    <cellStyle name="ArialNormal 4 3 2 3 5" xfId="34632" xr:uid="{00000000-0005-0000-0000-000011510000}"/>
    <cellStyle name="ArialNormal 4 3 2 4" xfId="15730" xr:uid="{00000000-0005-0000-0000-000012510000}"/>
    <cellStyle name="ArialNormal 4 3 2 4 2" xfId="18206" xr:uid="{00000000-0005-0000-0000-000013510000}"/>
    <cellStyle name="ArialNormal 4 3 2 4 2 2" xfId="37560" xr:uid="{00000000-0005-0000-0000-000014510000}"/>
    <cellStyle name="ArialNormal 4 3 2 4 3" xfId="20637" xr:uid="{00000000-0005-0000-0000-000015510000}"/>
    <cellStyle name="ArialNormal 4 3 2 4 3 2" xfId="39990" xr:uid="{00000000-0005-0000-0000-000016510000}"/>
    <cellStyle name="ArialNormal 4 3 2 4 4" xfId="23150" xr:uid="{00000000-0005-0000-0000-000017510000}"/>
    <cellStyle name="ArialNormal 4 3 2 4 4 2" xfId="42492" xr:uid="{00000000-0005-0000-0000-000018510000}"/>
    <cellStyle name="ArialNormal 4 3 2 4 5" xfId="35091" xr:uid="{00000000-0005-0000-0000-000019510000}"/>
    <cellStyle name="ArialNormal 4 3 2 5" xfId="16434" xr:uid="{00000000-0005-0000-0000-00001A510000}"/>
    <cellStyle name="ArialNormal 4 3 2 5 2" xfId="35788" xr:uid="{00000000-0005-0000-0000-00001B510000}"/>
    <cellStyle name="ArialNormal 4 3 2 6" xfId="18865" xr:uid="{00000000-0005-0000-0000-00001C510000}"/>
    <cellStyle name="ArialNormal 4 3 2 6 2" xfId="38218" xr:uid="{00000000-0005-0000-0000-00001D510000}"/>
    <cellStyle name="ArialNormal 4 3 2 7" xfId="21351" xr:uid="{00000000-0005-0000-0000-00001E510000}"/>
    <cellStyle name="ArialNormal 4 3 2 7 2" xfId="40693" xr:uid="{00000000-0005-0000-0000-00001F510000}"/>
    <cellStyle name="ArialNormal 4 3 2 8" xfId="33292" xr:uid="{00000000-0005-0000-0000-000020510000}"/>
    <cellStyle name="ArialNormal 4 3 3" xfId="14143" xr:uid="{00000000-0005-0000-0000-000021510000}"/>
    <cellStyle name="ArialNormal 4 3 3 2" xfId="14920" xr:uid="{00000000-0005-0000-0000-000022510000}"/>
    <cellStyle name="ArialNormal 4 3 3 2 2" xfId="17398" xr:uid="{00000000-0005-0000-0000-000023510000}"/>
    <cellStyle name="ArialNormal 4 3 3 2 2 2" xfId="36752" xr:uid="{00000000-0005-0000-0000-000024510000}"/>
    <cellStyle name="ArialNormal 4 3 3 2 3" xfId="19829" xr:uid="{00000000-0005-0000-0000-000025510000}"/>
    <cellStyle name="ArialNormal 4 3 3 2 3 2" xfId="39182" xr:uid="{00000000-0005-0000-0000-000026510000}"/>
    <cellStyle name="ArialNormal 4 3 3 2 4" xfId="22340" xr:uid="{00000000-0005-0000-0000-000027510000}"/>
    <cellStyle name="ArialNormal 4 3 3 2 4 2" xfId="41682" xr:uid="{00000000-0005-0000-0000-000028510000}"/>
    <cellStyle name="ArialNormal 4 3 3 2 5" xfId="34281" xr:uid="{00000000-0005-0000-0000-000029510000}"/>
    <cellStyle name="ArialNormal 4 3 3 3" xfId="15466" xr:uid="{00000000-0005-0000-0000-00002A510000}"/>
    <cellStyle name="ArialNormal 4 3 3 3 2" xfId="17942" xr:uid="{00000000-0005-0000-0000-00002B510000}"/>
    <cellStyle name="ArialNormal 4 3 3 3 2 2" xfId="37296" xr:uid="{00000000-0005-0000-0000-00002C510000}"/>
    <cellStyle name="ArialNormal 4 3 3 3 3" xfId="20373" xr:uid="{00000000-0005-0000-0000-00002D510000}"/>
    <cellStyle name="ArialNormal 4 3 3 3 3 2" xfId="39726" xr:uid="{00000000-0005-0000-0000-00002E510000}"/>
    <cellStyle name="ArialNormal 4 3 3 3 4" xfId="22886" xr:uid="{00000000-0005-0000-0000-00002F510000}"/>
    <cellStyle name="ArialNormal 4 3 3 3 4 2" xfId="42228" xr:uid="{00000000-0005-0000-0000-000030510000}"/>
    <cellStyle name="ArialNormal 4 3 3 3 5" xfId="34827" xr:uid="{00000000-0005-0000-0000-000031510000}"/>
    <cellStyle name="ArialNormal 4 3 3 4" xfId="15925" xr:uid="{00000000-0005-0000-0000-000032510000}"/>
    <cellStyle name="ArialNormal 4 3 3 4 2" xfId="18401" xr:uid="{00000000-0005-0000-0000-000033510000}"/>
    <cellStyle name="ArialNormal 4 3 3 4 2 2" xfId="37755" xr:uid="{00000000-0005-0000-0000-000034510000}"/>
    <cellStyle name="ArialNormal 4 3 3 4 3" xfId="20832" xr:uid="{00000000-0005-0000-0000-000035510000}"/>
    <cellStyle name="ArialNormal 4 3 3 4 3 2" xfId="40185" xr:uid="{00000000-0005-0000-0000-000036510000}"/>
    <cellStyle name="ArialNormal 4 3 3 4 4" xfId="23345" xr:uid="{00000000-0005-0000-0000-000037510000}"/>
    <cellStyle name="ArialNormal 4 3 3 4 4 2" xfId="42687" xr:uid="{00000000-0005-0000-0000-000038510000}"/>
    <cellStyle name="ArialNormal 4 3 3 4 5" xfId="35286" xr:uid="{00000000-0005-0000-0000-000039510000}"/>
    <cellStyle name="ArialNormal 4 3 3 5" xfId="16649" xr:uid="{00000000-0005-0000-0000-00003A510000}"/>
    <cellStyle name="ArialNormal 4 3 3 5 2" xfId="36003" xr:uid="{00000000-0005-0000-0000-00003B510000}"/>
    <cellStyle name="ArialNormal 4 3 3 6" xfId="19080" xr:uid="{00000000-0005-0000-0000-00003C510000}"/>
    <cellStyle name="ArialNormal 4 3 3 6 2" xfId="38433" xr:uid="{00000000-0005-0000-0000-00003D510000}"/>
    <cellStyle name="ArialNormal 4 3 3 7" xfId="21566" xr:uid="{00000000-0005-0000-0000-00003E510000}"/>
    <cellStyle name="ArialNormal 4 3 3 7 2" xfId="40908" xr:uid="{00000000-0005-0000-0000-00003F510000}"/>
    <cellStyle name="ArialNormal 4 3 3 8" xfId="33507" xr:uid="{00000000-0005-0000-0000-000040510000}"/>
    <cellStyle name="ArialNormal 4 3 4" xfId="14438" xr:uid="{00000000-0005-0000-0000-000041510000}"/>
    <cellStyle name="ArialNormal 4 3 4 2" xfId="16928" xr:uid="{00000000-0005-0000-0000-000042510000}"/>
    <cellStyle name="ArialNormal 4 3 4 2 2" xfId="36282" xr:uid="{00000000-0005-0000-0000-000043510000}"/>
    <cellStyle name="ArialNormal 4 3 4 3" xfId="19359" xr:uid="{00000000-0005-0000-0000-000044510000}"/>
    <cellStyle name="ArialNormal 4 3 4 3 2" xfId="38712" xr:uid="{00000000-0005-0000-0000-000045510000}"/>
    <cellStyle name="ArialNormal 4 3 4 4" xfId="21858" xr:uid="{00000000-0005-0000-0000-000046510000}"/>
    <cellStyle name="ArialNormal 4 3 4 4 2" xfId="41200" xr:uid="{00000000-0005-0000-0000-000047510000}"/>
    <cellStyle name="ArialNormal 4 3 4 5" xfId="33799" xr:uid="{00000000-0005-0000-0000-000048510000}"/>
    <cellStyle name="ArialNormal 4 3 5" xfId="15518" xr:uid="{00000000-0005-0000-0000-000049510000}"/>
    <cellStyle name="ArialNormal 4 3 5 2" xfId="17994" xr:uid="{00000000-0005-0000-0000-00004A510000}"/>
    <cellStyle name="ArialNormal 4 3 5 2 2" xfId="37348" xr:uid="{00000000-0005-0000-0000-00004B510000}"/>
    <cellStyle name="ArialNormal 4 3 5 3" xfId="20425" xr:uid="{00000000-0005-0000-0000-00004C510000}"/>
    <cellStyle name="ArialNormal 4 3 5 3 2" xfId="39778" xr:uid="{00000000-0005-0000-0000-00004D510000}"/>
    <cellStyle name="ArialNormal 4 3 5 4" xfId="22938" xr:uid="{00000000-0005-0000-0000-00004E510000}"/>
    <cellStyle name="ArialNormal 4 3 5 4 2" xfId="42280" xr:uid="{00000000-0005-0000-0000-00004F510000}"/>
    <cellStyle name="ArialNormal 4 3 5 5" xfId="34879" xr:uid="{00000000-0005-0000-0000-000050510000}"/>
    <cellStyle name="ArialNormal 4 3 6" xfId="16148" xr:uid="{00000000-0005-0000-0000-000051510000}"/>
    <cellStyle name="ArialNormal 4 3 6 2" xfId="35502" xr:uid="{00000000-0005-0000-0000-000052510000}"/>
    <cellStyle name="ArialNormal 4 3 7" xfId="18579" xr:uid="{00000000-0005-0000-0000-000053510000}"/>
    <cellStyle name="ArialNormal 4 3 7 2" xfId="37932" xr:uid="{00000000-0005-0000-0000-000054510000}"/>
    <cellStyle name="ArialNormal 4 3 8" xfId="21053" xr:uid="{00000000-0005-0000-0000-000055510000}"/>
    <cellStyle name="ArialNormal 4 3 8 2" xfId="40395" xr:uid="{00000000-0005-0000-0000-000056510000}"/>
    <cellStyle name="ArialNormal 4 3 9" xfId="32994" xr:uid="{00000000-0005-0000-0000-000057510000}"/>
    <cellStyle name="ArialNormal 4 4" xfId="13758" xr:uid="{00000000-0005-0000-0000-000058510000}"/>
    <cellStyle name="ArialNormal 4 4 2" xfId="14559" xr:uid="{00000000-0005-0000-0000-000059510000}"/>
    <cellStyle name="ArialNormal 4 4 2 2" xfId="17046" xr:uid="{00000000-0005-0000-0000-00005A510000}"/>
    <cellStyle name="ArialNormal 4 4 2 2 2" xfId="36400" xr:uid="{00000000-0005-0000-0000-00005B510000}"/>
    <cellStyle name="ArialNormal 4 4 2 3" xfId="19477" xr:uid="{00000000-0005-0000-0000-00005C510000}"/>
    <cellStyle name="ArialNormal 4 4 2 3 2" xfId="38830" xr:uid="{00000000-0005-0000-0000-00005D510000}"/>
    <cellStyle name="ArialNormal 4 4 2 4" xfId="21979" xr:uid="{00000000-0005-0000-0000-00005E510000}"/>
    <cellStyle name="ArialNormal 4 4 2 4 2" xfId="41321" xr:uid="{00000000-0005-0000-0000-00005F510000}"/>
    <cellStyle name="ArialNormal 4 4 2 5" xfId="33920" xr:uid="{00000000-0005-0000-0000-000060510000}"/>
    <cellStyle name="ArialNormal 4 4 3" xfId="15120" xr:uid="{00000000-0005-0000-0000-000061510000}"/>
    <cellStyle name="ArialNormal 4 4 3 2" xfId="17596" xr:uid="{00000000-0005-0000-0000-000062510000}"/>
    <cellStyle name="ArialNormal 4 4 3 2 2" xfId="36950" xr:uid="{00000000-0005-0000-0000-000063510000}"/>
    <cellStyle name="ArialNormal 4 4 3 3" xfId="20027" xr:uid="{00000000-0005-0000-0000-000064510000}"/>
    <cellStyle name="ArialNormal 4 4 3 3 2" xfId="39380" xr:uid="{00000000-0005-0000-0000-000065510000}"/>
    <cellStyle name="ArialNormal 4 4 3 4" xfId="22540" xr:uid="{00000000-0005-0000-0000-000066510000}"/>
    <cellStyle name="ArialNormal 4 4 3 4 2" xfId="41882" xr:uid="{00000000-0005-0000-0000-000067510000}"/>
    <cellStyle name="ArialNormal 4 4 3 5" xfId="34481" xr:uid="{00000000-0005-0000-0000-000068510000}"/>
    <cellStyle name="ArialNormal 4 4 4" xfId="15602" xr:uid="{00000000-0005-0000-0000-000069510000}"/>
    <cellStyle name="ArialNormal 4 4 4 2" xfId="18078" xr:uid="{00000000-0005-0000-0000-00006A510000}"/>
    <cellStyle name="ArialNormal 4 4 4 2 2" xfId="37432" xr:uid="{00000000-0005-0000-0000-00006B510000}"/>
    <cellStyle name="ArialNormal 4 4 4 3" xfId="20509" xr:uid="{00000000-0005-0000-0000-00006C510000}"/>
    <cellStyle name="ArialNormal 4 4 4 3 2" xfId="39862" xr:uid="{00000000-0005-0000-0000-00006D510000}"/>
    <cellStyle name="ArialNormal 4 4 4 4" xfId="23022" xr:uid="{00000000-0005-0000-0000-00006E510000}"/>
    <cellStyle name="ArialNormal 4 4 4 4 2" xfId="42364" xr:uid="{00000000-0005-0000-0000-00006F510000}"/>
    <cellStyle name="ArialNormal 4 4 4 5" xfId="34963" xr:uid="{00000000-0005-0000-0000-000070510000}"/>
    <cellStyle name="ArialNormal 4 4 5" xfId="16273" xr:uid="{00000000-0005-0000-0000-000071510000}"/>
    <cellStyle name="ArialNormal 4 4 5 2" xfId="35627" xr:uid="{00000000-0005-0000-0000-000072510000}"/>
    <cellStyle name="ArialNormal 4 4 6" xfId="18704" xr:uid="{00000000-0005-0000-0000-000073510000}"/>
    <cellStyle name="ArialNormal 4 4 6 2" xfId="38057" xr:uid="{00000000-0005-0000-0000-000074510000}"/>
    <cellStyle name="ArialNormal 4 4 7" xfId="21181" xr:uid="{00000000-0005-0000-0000-000075510000}"/>
    <cellStyle name="ArialNormal 4 4 7 2" xfId="40523" xr:uid="{00000000-0005-0000-0000-000076510000}"/>
    <cellStyle name="ArialNormal 4 4 8" xfId="33122" xr:uid="{00000000-0005-0000-0000-000077510000}"/>
    <cellStyle name="ArialNormal 4 5" xfId="13981" xr:uid="{00000000-0005-0000-0000-000078510000}"/>
    <cellStyle name="ArialNormal 4 5 2" xfId="14776" xr:uid="{00000000-0005-0000-0000-000079510000}"/>
    <cellStyle name="ArialNormal 4 5 2 2" xfId="17254" xr:uid="{00000000-0005-0000-0000-00007A510000}"/>
    <cellStyle name="ArialNormal 4 5 2 2 2" xfId="36608" xr:uid="{00000000-0005-0000-0000-00007B510000}"/>
    <cellStyle name="ArialNormal 4 5 2 3" xfId="19685" xr:uid="{00000000-0005-0000-0000-00007C510000}"/>
    <cellStyle name="ArialNormal 4 5 2 3 2" xfId="39038" xr:uid="{00000000-0005-0000-0000-00007D510000}"/>
    <cellStyle name="ArialNormal 4 5 2 4" xfId="22196" xr:uid="{00000000-0005-0000-0000-00007E510000}"/>
    <cellStyle name="ArialNormal 4 5 2 4 2" xfId="41538" xr:uid="{00000000-0005-0000-0000-00007F510000}"/>
    <cellStyle name="ArialNormal 4 5 2 5" xfId="34137" xr:uid="{00000000-0005-0000-0000-000080510000}"/>
    <cellStyle name="ArialNormal 4 5 3" xfId="15324" xr:uid="{00000000-0005-0000-0000-000081510000}"/>
    <cellStyle name="ArialNormal 4 5 3 2" xfId="17800" xr:uid="{00000000-0005-0000-0000-000082510000}"/>
    <cellStyle name="ArialNormal 4 5 3 2 2" xfId="37154" xr:uid="{00000000-0005-0000-0000-000083510000}"/>
    <cellStyle name="ArialNormal 4 5 3 3" xfId="20231" xr:uid="{00000000-0005-0000-0000-000084510000}"/>
    <cellStyle name="ArialNormal 4 5 3 3 2" xfId="39584" xr:uid="{00000000-0005-0000-0000-000085510000}"/>
    <cellStyle name="ArialNormal 4 5 3 4" xfId="22744" xr:uid="{00000000-0005-0000-0000-000086510000}"/>
    <cellStyle name="ArialNormal 4 5 3 4 2" xfId="42086" xr:uid="{00000000-0005-0000-0000-000087510000}"/>
    <cellStyle name="ArialNormal 4 5 3 5" xfId="34685" xr:uid="{00000000-0005-0000-0000-000088510000}"/>
    <cellStyle name="ArialNormal 4 5 4" xfId="15783" xr:uid="{00000000-0005-0000-0000-000089510000}"/>
    <cellStyle name="ArialNormal 4 5 4 2" xfId="18259" xr:uid="{00000000-0005-0000-0000-00008A510000}"/>
    <cellStyle name="ArialNormal 4 5 4 2 2" xfId="37613" xr:uid="{00000000-0005-0000-0000-00008B510000}"/>
    <cellStyle name="ArialNormal 4 5 4 3" xfId="20690" xr:uid="{00000000-0005-0000-0000-00008C510000}"/>
    <cellStyle name="ArialNormal 4 5 4 3 2" xfId="40043" xr:uid="{00000000-0005-0000-0000-00008D510000}"/>
    <cellStyle name="ArialNormal 4 5 4 4" xfId="23203" xr:uid="{00000000-0005-0000-0000-00008E510000}"/>
    <cellStyle name="ArialNormal 4 5 4 4 2" xfId="42545" xr:uid="{00000000-0005-0000-0000-00008F510000}"/>
    <cellStyle name="ArialNormal 4 5 4 5" xfId="35144" xr:uid="{00000000-0005-0000-0000-000090510000}"/>
    <cellStyle name="ArialNormal 4 5 5" xfId="16487" xr:uid="{00000000-0005-0000-0000-000091510000}"/>
    <cellStyle name="ArialNormal 4 5 5 2" xfId="35841" xr:uid="{00000000-0005-0000-0000-000092510000}"/>
    <cellStyle name="ArialNormal 4 5 6" xfId="18918" xr:uid="{00000000-0005-0000-0000-000093510000}"/>
    <cellStyle name="ArialNormal 4 5 6 2" xfId="38271" xr:uid="{00000000-0005-0000-0000-000094510000}"/>
    <cellStyle name="ArialNormal 4 5 7" xfId="21404" xr:uid="{00000000-0005-0000-0000-000095510000}"/>
    <cellStyle name="ArialNormal 4 5 7 2" xfId="40746" xr:uid="{00000000-0005-0000-0000-000096510000}"/>
    <cellStyle name="ArialNormal 4 5 8" xfId="33345" xr:uid="{00000000-0005-0000-0000-000097510000}"/>
    <cellStyle name="ArialNormal 4 6" xfId="13429" xr:uid="{00000000-0005-0000-0000-000098510000}"/>
    <cellStyle name="ArialNormal 4 6 2" xfId="32808" xr:uid="{00000000-0005-0000-0000-000099510000}"/>
    <cellStyle name="ArialNormal 4 7" xfId="15999" xr:uid="{00000000-0005-0000-0000-00009A510000}"/>
    <cellStyle name="ArialNormal 4 7 2" xfId="35353" xr:uid="{00000000-0005-0000-0000-00009B510000}"/>
    <cellStyle name="ArialNormal 4 8" xfId="13362" xr:uid="{00000000-0005-0000-0000-00009C510000}"/>
    <cellStyle name="ArialNormal 4 8 2" xfId="32761" xr:uid="{00000000-0005-0000-0000-00009D510000}"/>
    <cellStyle name="ArialNormal 4 9" xfId="20932" xr:uid="{00000000-0005-0000-0000-00009E510000}"/>
    <cellStyle name="ArialNormal 4 9 2" xfId="40274" xr:uid="{00000000-0005-0000-0000-00009F510000}"/>
    <cellStyle name="ArialNormal 5" xfId="5702" xr:uid="{00000000-0005-0000-0000-0000A0510000}"/>
    <cellStyle name="ArialNormal 5 10" xfId="20930" xr:uid="{00000000-0005-0000-0000-0000A1510000}"/>
    <cellStyle name="ArialNormal 5 10 2" xfId="40272" xr:uid="{00000000-0005-0000-0000-0000A2510000}"/>
    <cellStyle name="ArialNormal 5 11" xfId="25187" xr:uid="{00000000-0005-0000-0000-0000A3510000}"/>
    <cellStyle name="ArialNormal 5 2" xfId="13554" xr:uid="{00000000-0005-0000-0000-0000A4510000}"/>
    <cellStyle name="ArialNormal 5 2 2" xfId="13852" xr:uid="{00000000-0005-0000-0000-0000A5510000}"/>
    <cellStyle name="ArialNormal 5 2 2 2" xfId="14647" xr:uid="{00000000-0005-0000-0000-0000A6510000}"/>
    <cellStyle name="ArialNormal 5 2 2 2 2" xfId="17128" xr:uid="{00000000-0005-0000-0000-0000A7510000}"/>
    <cellStyle name="ArialNormal 5 2 2 2 2 2" xfId="36482" xr:uid="{00000000-0005-0000-0000-0000A8510000}"/>
    <cellStyle name="ArialNormal 5 2 2 2 3" xfId="19559" xr:uid="{00000000-0005-0000-0000-0000A9510000}"/>
    <cellStyle name="ArialNormal 5 2 2 2 3 2" xfId="38912" xr:uid="{00000000-0005-0000-0000-0000AA510000}"/>
    <cellStyle name="ArialNormal 5 2 2 2 4" xfId="22067" xr:uid="{00000000-0005-0000-0000-0000AB510000}"/>
    <cellStyle name="ArialNormal 5 2 2 2 4 2" xfId="41409" xr:uid="{00000000-0005-0000-0000-0000AC510000}"/>
    <cellStyle name="ArialNormal 5 2 2 2 5" xfId="34008" xr:uid="{00000000-0005-0000-0000-0000AD510000}"/>
    <cellStyle name="ArialNormal 5 2 2 3" xfId="15200" xr:uid="{00000000-0005-0000-0000-0000AE510000}"/>
    <cellStyle name="ArialNormal 5 2 2 3 2" xfId="17676" xr:uid="{00000000-0005-0000-0000-0000AF510000}"/>
    <cellStyle name="ArialNormal 5 2 2 3 2 2" xfId="37030" xr:uid="{00000000-0005-0000-0000-0000B0510000}"/>
    <cellStyle name="ArialNormal 5 2 2 3 3" xfId="20107" xr:uid="{00000000-0005-0000-0000-0000B1510000}"/>
    <cellStyle name="ArialNormal 5 2 2 3 3 2" xfId="39460" xr:uid="{00000000-0005-0000-0000-0000B2510000}"/>
    <cellStyle name="ArialNormal 5 2 2 3 4" xfId="22620" xr:uid="{00000000-0005-0000-0000-0000B3510000}"/>
    <cellStyle name="ArialNormal 5 2 2 3 4 2" xfId="41962" xr:uid="{00000000-0005-0000-0000-0000B4510000}"/>
    <cellStyle name="ArialNormal 5 2 2 3 5" xfId="34561" xr:uid="{00000000-0005-0000-0000-0000B5510000}"/>
    <cellStyle name="ArialNormal 5 2 2 4" xfId="15671" xr:uid="{00000000-0005-0000-0000-0000B6510000}"/>
    <cellStyle name="ArialNormal 5 2 2 4 2" xfId="18147" xr:uid="{00000000-0005-0000-0000-0000B7510000}"/>
    <cellStyle name="ArialNormal 5 2 2 4 2 2" xfId="37501" xr:uid="{00000000-0005-0000-0000-0000B8510000}"/>
    <cellStyle name="ArialNormal 5 2 2 4 3" xfId="20578" xr:uid="{00000000-0005-0000-0000-0000B9510000}"/>
    <cellStyle name="ArialNormal 5 2 2 4 3 2" xfId="39931" xr:uid="{00000000-0005-0000-0000-0000BA510000}"/>
    <cellStyle name="ArialNormal 5 2 2 4 4" xfId="23091" xr:uid="{00000000-0005-0000-0000-0000BB510000}"/>
    <cellStyle name="ArialNormal 5 2 2 4 4 2" xfId="42433" xr:uid="{00000000-0005-0000-0000-0000BC510000}"/>
    <cellStyle name="ArialNormal 5 2 2 4 5" xfId="35032" xr:uid="{00000000-0005-0000-0000-0000BD510000}"/>
    <cellStyle name="ArialNormal 5 2 2 5" xfId="16361" xr:uid="{00000000-0005-0000-0000-0000BE510000}"/>
    <cellStyle name="ArialNormal 5 2 2 5 2" xfId="35715" xr:uid="{00000000-0005-0000-0000-0000BF510000}"/>
    <cellStyle name="ArialNormal 5 2 2 6" xfId="18792" xr:uid="{00000000-0005-0000-0000-0000C0510000}"/>
    <cellStyle name="ArialNormal 5 2 2 6 2" xfId="38145" xr:uid="{00000000-0005-0000-0000-0000C1510000}"/>
    <cellStyle name="ArialNormal 5 2 2 7" xfId="21275" xr:uid="{00000000-0005-0000-0000-0000C2510000}"/>
    <cellStyle name="ArialNormal 5 2 2 7 2" xfId="40617" xr:uid="{00000000-0005-0000-0000-0000C3510000}"/>
    <cellStyle name="ArialNormal 5 2 2 8" xfId="33216" xr:uid="{00000000-0005-0000-0000-0000C4510000}"/>
    <cellStyle name="ArialNormal 5 2 3" xfId="14070" xr:uid="{00000000-0005-0000-0000-0000C5510000}"/>
    <cellStyle name="ArialNormal 5 2 3 2" xfId="14861" xr:uid="{00000000-0005-0000-0000-0000C6510000}"/>
    <cellStyle name="ArialNormal 5 2 3 2 2" xfId="17339" xr:uid="{00000000-0005-0000-0000-0000C7510000}"/>
    <cellStyle name="ArialNormal 5 2 3 2 2 2" xfId="36693" xr:uid="{00000000-0005-0000-0000-0000C8510000}"/>
    <cellStyle name="ArialNormal 5 2 3 2 3" xfId="19770" xr:uid="{00000000-0005-0000-0000-0000C9510000}"/>
    <cellStyle name="ArialNormal 5 2 3 2 3 2" xfId="39123" xr:uid="{00000000-0005-0000-0000-0000CA510000}"/>
    <cellStyle name="ArialNormal 5 2 3 2 4" xfId="22281" xr:uid="{00000000-0005-0000-0000-0000CB510000}"/>
    <cellStyle name="ArialNormal 5 2 3 2 4 2" xfId="41623" xr:uid="{00000000-0005-0000-0000-0000CC510000}"/>
    <cellStyle name="ArialNormal 5 2 3 2 5" xfId="34222" xr:uid="{00000000-0005-0000-0000-0000CD510000}"/>
    <cellStyle name="ArialNormal 5 2 3 3" xfId="15408" xr:uid="{00000000-0005-0000-0000-0000CE510000}"/>
    <cellStyle name="ArialNormal 5 2 3 3 2" xfId="17884" xr:uid="{00000000-0005-0000-0000-0000CF510000}"/>
    <cellStyle name="ArialNormal 5 2 3 3 2 2" xfId="37238" xr:uid="{00000000-0005-0000-0000-0000D0510000}"/>
    <cellStyle name="ArialNormal 5 2 3 3 3" xfId="20315" xr:uid="{00000000-0005-0000-0000-0000D1510000}"/>
    <cellStyle name="ArialNormal 5 2 3 3 3 2" xfId="39668" xr:uid="{00000000-0005-0000-0000-0000D2510000}"/>
    <cellStyle name="ArialNormal 5 2 3 3 4" xfId="22828" xr:uid="{00000000-0005-0000-0000-0000D3510000}"/>
    <cellStyle name="ArialNormal 5 2 3 3 4 2" xfId="42170" xr:uid="{00000000-0005-0000-0000-0000D4510000}"/>
    <cellStyle name="ArialNormal 5 2 3 3 5" xfId="34769" xr:uid="{00000000-0005-0000-0000-0000D5510000}"/>
    <cellStyle name="ArialNormal 5 2 3 4" xfId="15867" xr:uid="{00000000-0005-0000-0000-0000D6510000}"/>
    <cellStyle name="ArialNormal 5 2 3 4 2" xfId="18343" xr:uid="{00000000-0005-0000-0000-0000D7510000}"/>
    <cellStyle name="ArialNormal 5 2 3 4 2 2" xfId="37697" xr:uid="{00000000-0005-0000-0000-0000D8510000}"/>
    <cellStyle name="ArialNormal 5 2 3 4 3" xfId="20774" xr:uid="{00000000-0005-0000-0000-0000D9510000}"/>
    <cellStyle name="ArialNormal 5 2 3 4 3 2" xfId="40127" xr:uid="{00000000-0005-0000-0000-0000DA510000}"/>
    <cellStyle name="ArialNormal 5 2 3 4 4" xfId="23287" xr:uid="{00000000-0005-0000-0000-0000DB510000}"/>
    <cellStyle name="ArialNormal 5 2 3 4 4 2" xfId="42629" xr:uid="{00000000-0005-0000-0000-0000DC510000}"/>
    <cellStyle name="ArialNormal 5 2 3 4 5" xfId="35228" xr:uid="{00000000-0005-0000-0000-0000DD510000}"/>
    <cellStyle name="ArialNormal 5 2 3 5" xfId="16576" xr:uid="{00000000-0005-0000-0000-0000DE510000}"/>
    <cellStyle name="ArialNormal 5 2 3 5 2" xfId="35930" xr:uid="{00000000-0005-0000-0000-0000DF510000}"/>
    <cellStyle name="ArialNormal 5 2 3 6" xfId="19007" xr:uid="{00000000-0005-0000-0000-0000E0510000}"/>
    <cellStyle name="ArialNormal 5 2 3 6 2" xfId="38360" xr:uid="{00000000-0005-0000-0000-0000E1510000}"/>
    <cellStyle name="ArialNormal 5 2 3 7" xfId="21493" xr:uid="{00000000-0005-0000-0000-0000E2510000}"/>
    <cellStyle name="ArialNormal 5 2 3 7 2" xfId="40835" xr:uid="{00000000-0005-0000-0000-0000E3510000}"/>
    <cellStyle name="ArialNormal 5 2 3 8" xfId="33434" xr:uid="{00000000-0005-0000-0000-0000E4510000}"/>
    <cellStyle name="ArialNormal 5 2 4" xfId="14365" xr:uid="{00000000-0005-0000-0000-0000E5510000}"/>
    <cellStyle name="ArialNormal 5 2 4 2" xfId="16858" xr:uid="{00000000-0005-0000-0000-0000E6510000}"/>
    <cellStyle name="ArialNormal 5 2 4 2 2" xfId="36212" xr:uid="{00000000-0005-0000-0000-0000E7510000}"/>
    <cellStyle name="ArialNormal 5 2 4 3" xfId="19289" xr:uid="{00000000-0005-0000-0000-0000E8510000}"/>
    <cellStyle name="ArialNormal 5 2 4 3 2" xfId="38642" xr:uid="{00000000-0005-0000-0000-0000E9510000}"/>
    <cellStyle name="ArialNormal 5 2 4 4" xfId="21785" xr:uid="{00000000-0005-0000-0000-0000EA510000}"/>
    <cellStyle name="ArialNormal 5 2 4 4 2" xfId="41127" xr:uid="{00000000-0005-0000-0000-0000EB510000}"/>
    <cellStyle name="ArialNormal 5 2 4 5" xfId="33726" xr:uid="{00000000-0005-0000-0000-0000EC510000}"/>
    <cellStyle name="ArialNormal 5 2 5" xfId="14996" xr:uid="{00000000-0005-0000-0000-0000ED510000}"/>
    <cellStyle name="ArialNormal 5 2 5 2" xfId="17472" xr:uid="{00000000-0005-0000-0000-0000EE510000}"/>
    <cellStyle name="ArialNormal 5 2 5 2 2" xfId="36826" xr:uid="{00000000-0005-0000-0000-0000EF510000}"/>
    <cellStyle name="ArialNormal 5 2 5 3" xfId="19903" xr:uid="{00000000-0005-0000-0000-0000F0510000}"/>
    <cellStyle name="ArialNormal 5 2 5 3 2" xfId="39256" xr:uid="{00000000-0005-0000-0000-0000F1510000}"/>
    <cellStyle name="ArialNormal 5 2 5 4" xfId="22416" xr:uid="{00000000-0005-0000-0000-0000F2510000}"/>
    <cellStyle name="ArialNormal 5 2 5 4 2" xfId="41758" xr:uid="{00000000-0005-0000-0000-0000F3510000}"/>
    <cellStyle name="ArialNormal 5 2 5 5" xfId="34357" xr:uid="{00000000-0005-0000-0000-0000F4510000}"/>
    <cellStyle name="ArialNormal 5 2 6" xfId="16096" xr:uid="{00000000-0005-0000-0000-0000F5510000}"/>
    <cellStyle name="ArialNormal 5 2 6 2" xfId="35450" xr:uid="{00000000-0005-0000-0000-0000F6510000}"/>
    <cellStyle name="ArialNormal 5 2 7" xfId="18508" xr:uid="{00000000-0005-0000-0000-0000F7510000}"/>
    <cellStyle name="ArialNormal 5 2 7 2" xfId="37861" xr:uid="{00000000-0005-0000-0000-0000F8510000}"/>
    <cellStyle name="ArialNormal 5 2 8" xfId="32923" xr:uid="{00000000-0005-0000-0000-0000F9510000}"/>
    <cellStyle name="ArialNormal 5 3" xfId="13626" xr:uid="{00000000-0005-0000-0000-0000FA510000}"/>
    <cellStyle name="ArialNormal 5 3 2" xfId="13927" xr:uid="{00000000-0005-0000-0000-0000FB510000}"/>
    <cellStyle name="ArialNormal 5 3 2 2" xfId="14722" xr:uid="{00000000-0005-0000-0000-0000FC510000}"/>
    <cellStyle name="ArialNormal 5 3 2 2 2" xfId="17200" xr:uid="{00000000-0005-0000-0000-0000FD510000}"/>
    <cellStyle name="ArialNormal 5 3 2 2 2 2" xfId="36554" xr:uid="{00000000-0005-0000-0000-0000FE510000}"/>
    <cellStyle name="ArialNormal 5 3 2 2 3" xfId="19631" xr:uid="{00000000-0005-0000-0000-0000FF510000}"/>
    <cellStyle name="ArialNormal 5 3 2 2 3 2" xfId="38984" xr:uid="{00000000-0005-0000-0000-000000520000}"/>
    <cellStyle name="ArialNormal 5 3 2 2 4" xfId="22142" xr:uid="{00000000-0005-0000-0000-000001520000}"/>
    <cellStyle name="ArialNormal 5 3 2 2 4 2" xfId="41484" xr:uid="{00000000-0005-0000-0000-000002520000}"/>
    <cellStyle name="ArialNormal 5 3 2 2 5" xfId="34083" xr:uid="{00000000-0005-0000-0000-000003520000}"/>
    <cellStyle name="ArialNormal 5 3 2 3" xfId="15270" xr:uid="{00000000-0005-0000-0000-000004520000}"/>
    <cellStyle name="ArialNormal 5 3 2 3 2" xfId="17746" xr:uid="{00000000-0005-0000-0000-000005520000}"/>
    <cellStyle name="ArialNormal 5 3 2 3 2 2" xfId="37100" xr:uid="{00000000-0005-0000-0000-000006520000}"/>
    <cellStyle name="ArialNormal 5 3 2 3 3" xfId="20177" xr:uid="{00000000-0005-0000-0000-000007520000}"/>
    <cellStyle name="ArialNormal 5 3 2 3 3 2" xfId="39530" xr:uid="{00000000-0005-0000-0000-000008520000}"/>
    <cellStyle name="ArialNormal 5 3 2 3 4" xfId="22690" xr:uid="{00000000-0005-0000-0000-000009520000}"/>
    <cellStyle name="ArialNormal 5 3 2 3 4 2" xfId="42032" xr:uid="{00000000-0005-0000-0000-00000A520000}"/>
    <cellStyle name="ArialNormal 5 3 2 3 5" xfId="34631" xr:uid="{00000000-0005-0000-0000-00000B520000}"/>
    <cellStyle name="ArialNormal 5 3 2 4" xfId="15729" xr:uid="{00000000-0005-0000-0000-00000C520000}"/>
    <cellStyle name="ArialNormal 5 3 2 4 2" xfId="18205" xr:uid="{00000000-0005-0000-0000-00000D520000}"/>
    <cellStyle name="ArialNormal 5 3 2 4 2 2" xfId="37559" xr:uid="{00000000-0005-0000-0000-00000E520000}"/>
    <cellStyle name="ArialNormal 5 3 2 4 3" xfId="20636" xr:uid="{00000000-0005-0000-0000-00000F520000}"/>
    <cellStyle name="ArialNormal 5 3 2 4 3 2" xfId="39989" xr:uid="{00000000-0005-0000-0000-000010520000}"/>
    <cellStyle name="ArialNormal 5 3 2 4 4" xfId="23149" xr:uid="{00000000-0005-0000-0000-000011520000}"/>
    <cellStyle name="ArialNormal 5 3 2 4 4 2" xfId="42491" xr:uid="{00000000-0005-0000-0000-000012520000}"/>
    <cellStyle name="ArialNormal 5 3 2 4 5" xfId="35090" xr:uid="{00000000-0005-0000-0000-000013520000}"/>
    <cellStyle name="ArialNormal 5 3 2 5" xfId="16433" xr:uid="{00000000-0005-0000-0000-000014520000}"/>
    <cellStyle name="ArialNormal 5 3 2 5 2" xfId="35787" xr:uid="{00000000-0005-0000-0000-000015520000}"/>
    <cellStyle name="ArialNormal 5 3 2 6" xfId="18864" xr:uid="{00000000-0005-0000-0000-000016520000}"/>
    <cellStyle name="ArialNormal 5 3 2 6 2" xfId="38217" xr:uid="{00000000-0005-0000-0000-000017520000}"/>
    <cellStyle name="ArialNormal 5 3 2 7" xfId="21350" xr:uid="{00000000-0005-0000-0000-000018520000}"/>
    <cellStyle name="ArialNormal 5 3 2 7 2" xfId="40692" xr:uid="{00000000-0005-0000-0000-000019520000}"/>
    <cellStyle name="ArialNormal 5 3 2 8" xfId="33291" xr:uid="{00000000-0005-0000-0000-00001A520000}"/>
    <cellStyle name="ArialNormal 5 3 3" xfId="14142" xr:uid="{00000000-0005-0000-0000-00001B520000}"/>
    <cellStyle name="ArialNormal 5 3 3 2" xfId="14919" xr:uid="{00000000-0005-0000-0000-00001C520000}"/>
    <cellStyle name="ArialNormal 5 3 3 2 2" xfId="17397" xr:uid="{00000000-0005-0000-0000-00001D520000}"/>
    <cellStyle name="ArialNormal 5 3 3 2 2 2" xfId="36751" xr:uid="{00000000-0005-0000-0000-00001E520000}"/>
    <cellStyle name="ArialNormal 5 3 3 2 3" xfId="19828" xr:uid="{00000000-0005-0000-0000-00001F520000}"/>
    <cellStyle name="ArialNormal 5 3 3 2 3 2" xfId="39181" xr:uid="{00000000-0005-0000-0000-000020520000}"/>
    <cellStyle name="ArialNormal 5 3 3 2 4" xfId="22339" xr:uid="{00000000-0005-0000-0000-000021520000}"/>
    <cellStyle name="ArialNormal 5 3 3 2 4 2" xfId="41681" xr:uid="{00000000-0005-0000-0000-000022520000}"/>
    <cellStyle name="ArialNormal 5 3 3 2 5" xfId="34280" xr:uid="{00000000-0005-0000-0000-000023520000}"/>
    <cellStyle name="ArialNormal 5 3 3 3" xfId="15465" xr:uid="{00000000-0005-0000-0000-000024520000}"/>
    <cellStyle name="ArialNormal 5 3 3 3 2" xfId="17941" xr:uid="{00000000-0005-0000-0000-000025520000}"/>
    <cellStyle name="ArialNormal 5 3 3 3 2 2" xfId="37295" xr:uid="{00000000-0005-0000-0000-000026520000}"/>
    <cellStyle name="ArialNormal 5 3 3 3 3" xfId="20372" xr:uid="{00000000-0005-0000-0000-000027520000}"/>
    <cellStyle name="ArialNormal 5 3 3 3 3 2" xfId="39725" xr:uid="{00000000-0005-0000-0000-000028520000}"/>
    <cellStyle name="ArialNormal 5 3 3 3 4" xfId="22885" xr:uid="{00000000-0005-0000-0000-000029520000}"/>
    <cellStyle name="ArialNormal 5 3 3 3 4 2" xfId="42227" xr:uid="{00000000-0005-0000-0000-00002A520000}"/>
    <cellStyle name="ArialNormal 5 3 3 3 5" xfId="34826" xr:uid="{00000000-0005-0000-0000-00002B520000}"/>
    <cellStyle name="ArialNormal 5 3 3 4" xfId="15924" xr:uid="{00000000-0005-0000-0000-00002C520000}"/>
    <cellStyle name="ArialNormal 5 3 3 4 2" xfId="18400" xr:uid="{00000000-0005-0000-0000-00002D520000}"/>
    <cellStyle name="ArialNormal 5 3 3 4 2 2" xfId="37754" xr:uid="{00000000-0005-0000-0000-00002E520000}"/>
    <cellStyle name="ArialNormal 5 3 3 4 3" xfId="20831" xr:uid="{00000000-0005-0000-0000-00002F520000}"/>
    <cellStyle name="ArialNormal 5 3 3 4 3 2" xfId="40184" xr:uid="{00000000-0005-0000-0000-000030520000}"/>
    <cellStyle name="ArialNormal 5 3 3 4 4" xfId="23344" xr:uid="{00000000-0005-0000-0000-000031520000}"/>
    <cellStyle name="ArialNormal 5 3 3 4 4 2" xfId="42686" xr:uid="{00000000-0005-0000-0000-000032520000}"/>
    <cellStyle name="ArialNormal 5 3 3 4 5" xfId="35285" xr:uid="{00000000-0005-0000-0000-000033520000}"/>
    <cellStyle name="ArialNormal 5 3 3 5" xfId="16648" xr:uid="{00000000-0005-0000-0000-000034520000}"/>
    <cellStyle name="ArialNormal 5 3 3 5 2" xfId="36002" xr:uid="{00000000-0005-0000-0000-000035520000}"/>
    <cellStyle name="ArialNormal 5 3 3 6" xfId="19079" xr:uid="{00000000-0005-0000-0000-000036520000}"/>
    <cellStyle name="ArialNormal 5 3 3 6 2" xfId="38432" xr:uid="{00000000-0005-0000-0000-000037520000}"/>
    <cellStyle name="ArialNormal 5 3 3 7" xfId="21565" xr:uid="{00000000-0005-0000-0000-000038520000}"/>
    <cellStyle name="ArialNormal 5 3 3 7 2" xfId="40907" xr:uid="{00000000-0005-0000-0000-000039520000}"/>
    <cellStyle name="ArialNormal 5 3 3 8" xfId="33506" xr:uid="{00000000-0005-0000-0000-00003A520000}"/>
    <cellStyle name="ArialNormal 5 3 4" xfId="14437" xr:uid="{00000000-0005-0000-0000-00003B520000}"/>
    <cellStyle name="ArialNormal 5 3 4 2" xfId="16927" xr:uid="{00000000-0005-0000-0000-00003C520000}"/>
    <cellStyle name="ArialNormal 5 3 4 2 2" xfId="36281" xr:uid="{00000000-0005-0000-0000-00003D520000}"/>
    <cellStyle name="ArialNormal 5 3 4 3" xfId="19358" xr:uid="{00000000-0005-0000-0000-00003E520000}"/>
    <cellStyle name="ArialNormal 5 3 4 3 2" xfId="38711" xr:uid="{00000000-0005-0000-0000-00003F520000}"/>
    <cellStyle name="ArialNormal 5 3 4 4" xfId="21857" xr:uid="{00000000-0005-0000-0000-000040520000}"/>
    <cellStyle name="ArialNormal 5 3 4 4 2" xfId="41199" xr:uid="{00000000-0005-0000-0000-000041520000}"/>
    <cellStyle name="ArialNormal 5 3 4 5" xfId="33798" xr:uid="{00000000-0005-0000-0000-000042520000}"/>
    <cellStyle name="ArialNormal 5 3 5" xfId="15517" xr:uid="{00000000-0005-0000-0000-000043520000}"/>
    <cellStyle name="ArialNormal 5 3 5 2" xfId="17993" xr:uid="{00000000-0005-0000-0000-000044520000}"/>
    <cellStyle name="ArialNormal 5 3 5 2 2" xfId="37347" xr:uid="{00000000-0005-0000-0000-000045520000}"/>
    <cellStyle name="ArialNormal 5 3 5 3" xfId="20424" xr:uid="{00000000-0005-0000-0000-000046520000}"/>
    <cellStyle name="ArialNormal 5 3 5 3 2" xfId="39777" xr:uid="{00000000-0005-0000-0000-000047520000}"/>
    <cellStyle name="ArialNormal 5 3 5 4" xfId="22937" xr:uid="{00000000-0005-0000-0000-000048520000}"/>
    <cellStyle name="ArialNormal 5 3 5 4 2" xfId="42279" xr:uid="{00000000-0005-0000-0000-000049520000}"/>
    <cellStyle name="ArialNormal 5 3 5 5" xfId="34878" xr:uid="{00000000-0005-0000-0000-00004A520000}"/>
    <cellStyle name="ArialNormal 5 3 6" xfId="16146" xr:uid="{00000000-0005-0000-0000-00004B520000}"/>
    <cellStyle name="ArialNormal 5 3 6 2" xfId="35500" xr:uid="{00000000-0005-0000-0000-00004C520000}"/>
    <cellStyle name="ArialNormal 5 3 7" xfId="18577" xr:uid="{00000000-0005-0000-0000-00004D520000}"/>
    <cellStyle name="ArialNormal 5 3 7 2" xfId="37930" xr:uid="{00000000-0005-0000-0000-00004E520000}"/>
    <cellStyle name="ArialNormal 5 3 8" xfId="21051" xr:uid="{00000000-0005-0000-0000-00004F520000}"/>
    <cellStyle name="ArialNormal 5 3 8 2" xfId="40393" xr:uid="{00000000-0005-0000-0000-000050520000}"/>
    <cellStyle name="ArialNormal 5 3 9" xfId="32992" xr:uid="{00000000-0005-0000-0000-000051520000}"/>
    <cellStyle name="ArialNormal 5 4" xfId="13756" xr:uid="{00000000-0005-0000-0000-000052520000}"/>
    <cellStyle name="ArialNormal 5 4 2" xfId="14558" xr:uid="{00000000-0005-0000-0000-000053520000}"/>
    <cellStyle name="ArialNormal 5 4 2 2" xfId="17045" xr:uid="{00000000-0005-0000-0000-000054520000}"/>
    <cellStyle name="ArialNormal 5 4 2 2 2" xfId="36399" xr:uid="{00000000-0005-0000-0000-000055520000}"/>
    <cellStyle name="ArialNormal 5 4 2 3" xfId="19476" xr:uid="{00000000-0005-0000-0000-000056520000}"/>
    <cellStyle name="ArialNormal 5 4 2 3 2" xfId="38829" xr:uid="{00000000-0005-0000-0000-000057520000}"/>
    <cellStyle name="ArialNormal 5 4 2 4" xfId="21978" xr:uid="{00000000-0005-0000-0000-000058520000}"/>
    <cellStyle name="ArialNormal 5 4 2 4 2" xfId="41320" xr:uid="{00000000-0005-0000-0000-000059520000}"/>
    <cellStyle name="ArialNormal 5 4 2 5" xfId="33919" xr:uid="{00000000-0005-0000-0000-00005A520000}"/>
    <cellStyle name="ArialNormal 5 4 3" xfId="15119" xr:uid="{00000000-0005-0000-0000-00005B520000}"/>
    <cellStyle name="ArialNormal 5 4 3 2" xfId="17595" xr:uid="{00000000-0005-0000-0000-00005C520000}"/>
    <cellStyle name="ArialNormal 5 4 3 2 2" xfId="36949" xr:uid="{00000000-0005-0000-0000-00005D520000}"/>
    <cellStyle name="ArialNormal 5 4 3 3" xfId="20026" xr:uid="{00000000-0005-0000-0000-00005E520000}"/>
    <cellStyle name="ArialNormal 5 4 3 3 2" xfId="39379" xr:uid="{00000000-0005-0000-0000-00005F520000}"/>
    <cellStyle name="ArialNormal 5 4 3 4" xfId="22539" xr:uid="{00000000-0005-0000-0000-000060520000}"/>
    <cellStyle name="ArialNormal 5 4 3 4 2" xfId="41881" xr:uid="{00000000-0005-0000-0000-000061520000}"/>
    <cellStyle name="ArialNormal 5 4 3 5" xfId="34480" xr:uid="{00000000-0005-0000-0000-000062520000}"/>
    <cellStyle name="ArialNormal 5 4 4" xfId="15601" xr:uid="{00000000-0005-0000-0000-000063520000}"/>
    <cellStyle name="ArialNormal 5 4 4 2" xfId="18077" xr:uid="{00000000-0005-0000-0000-000064520000}"/>
    <cellStyle name="ArialNormal 5 4 4 2 2" xfId="37431" xr:uid="{00000000-0005-0000-0000-000065520000}"/>
    <cellStyle name="ArialNormal 5 4 4 3" xfId="20508" xr:uid="{00000000-0005-0000-0000-000066520000}"/>
    <cellStyle name="ArialNormal 5 4 4 3 2" xfId="39861" xr:uid="{00000000-0005-0000-0000-000067520000}"/>
    <cellStyle name="ArialNormal 5 4 4 4" xfId="23021" xr:uid="{00000000-0005-0000-0000-000068520000}"/>
    <cellStyle name="ArialNormal 5 4 4 4 2" xfId="42363" xr:uid="{00000000-0005-0000-0000-000069520000}"/>
    <cellStyle name="ArialNormal 5 4 4 5" xfId="34962" xr:uid="{00000000-0005-0000-0000-00006A520000}"/>
    <cellStyle name="ArialNormal 5 4 5" xfId="16271" xr:uid="{00000000-0005-0000-0000-00006B520000}"/>
    <cellStyle name="ArialNormal 5 4 5 2" xfId="35625" xr:uid="{00000000-0005-0000-0000-00006C520000}"/>
    <cellStyle name="ArialNormal 5 4 6" xfId="18702" xr:uid="{00000000-0005-0000-0000-00006D520000}"/>
    <cellStyle name="ArialNormal 5 4 6 2" xfId="38055" xr:uid="{00000000-0005-0000-0000-00006E520000}"/>
    <cellStyle name="ArialNormal 5 4 7" xfId="21179" xr:uid="{00000000-0005-0000-0000-00006F520000}"/>
    <cellStyle name="ArialNormal 5 4 7 2" xfId="40521" xr:uid="{00000000-0005-0000-0000-000070520000}"/>
    <cellStyle name="ArialNormal 5 4 8" xfId="33120" xr:uid="{00000000-0005-0000-0000-000071520000}"/>
    <cellStyle name="ArialNormal 5 5" xfId="13980" xr:uid="{00000000-0005-0000-0000-000072520000}"/>
    <cellStyle name="ArialNormal 5 5 2" xfId="14775" xr:uid="{00000000-0005-0000-0000-000073520000}"/>
    <cellStyle name="ArialNormal 5 5 2 2" xfId="17253" xr:uid="{00000000-0005-0000-0000-000074520000}"/>
    <cellStyle name="ArialNormal 5 5 2 2 2" xfId="36607" xr:uid="{00000000-0005-0000-0000-000075520000}"/>
    <cellStyle name="ArialNormal 5 5 2 3" xfId="19684" xr:uid="{00000000-0005-0000-0000-000076520000}"/>
    <cellStyle name="ArialNormal 5 5 2 3 2" xfId="39037" xr:uid="{00000000-0005-0000-0000-000077520000}"/>
    <cellStyle name="ArialNormal 5 5 2 4" xfId="22195" xr:uid="{00000000-0005-0000-0000-000078520000}"/>
    <cellStyle name="ArialNormal 5 5 2 4 2" xfId="41537" xr:uid="{00000000-0005-0000-0000-000079520000}"/>
    <cellStyle name="ArialNormal 5 5 2 5" xfId="34136" xr:uid="{00000000-0005-0000-0000-00007A520000}"/>
    <cellStyle name="ArialNormal 5 5 3" xfId="15323" xr:uid="{00000000-0005-0000-0000-00007B520000}"/>
    <cellStyle name="ArialNormal 5 5 3 2" xfId="17799" xr:uid="{00000000-0005-0000-0000-00007C520000}"/>
    <cellStyle name="ArialNormal 5 5 3 2 2" xfId="37153" xr:uid="{00000000-0005-0000-0000-00007D520000}"/>
    <cellStyle name="ArialNormal 5 5 3 3" xfId="20230" xr:uid="{00000000-0005-0000-0000-00007E520000}"/>
    <cellStyle name="ArialNormal 5 5 3 3 2" xfId="39583" xr:uid="{00000000-0005-0000-0000-00007F520000}"/>
    <cellStyle name="ArialNormal 5 5 3 4" xfId="22743" xr:uid="{00000000-0005-0000-0000-000080520000}"/>
    <cellStyle name="ArialNormal 5 5 3 4 2" xfId="42085" xr:uid="{00000000-0005-0000-0000-000081520000}"/>
    <cellStyle name="ArialNormal 5 5 3 5" xfId="34684" xr:uid="{00000000-0005-0000-0000-000082520000}"/>
    <cellStyle name="ArialNormal 5 5 4" xfId="15782" xr:uid="{00000000-0005-0000-0000-000083520000}"/>
    <cellStyle name="ArialNormal 5 5 4 2" xfId="18258" xr:uid="{00000000-0005-0000-0000-000084520000}"/>
    <cellStyle name="ArialNormal 5 5 4 2 2" xfId="37612" xr:uid="{00000000-0005-0000-0000-000085520000}"/>
    <cellStyle name="ArialNormal 5 5 4 3" xfId="20689" xr:uid="{00000000-0005-0000-0000-000086520000}"/>
    <cellStyle name="ArialNormal 5 5 4 3 2" xfId="40042" xr:uid="{00000000-0005-0000-0000-000087520000}"/>
    <cellStyle name="ArialNormal 5 5 4 4" xfId="23202" xr:uid="{00000000-0005-0000-0000-000088520000}"/>
    <cellStyle name="ArialNormal 5 5 4 4 2" xfId="42544" xr:uid="{00000000-0005-0000-0000-000089520000}"/>
    <cellStyle name="ArialNormal 5 5 4 5" xfId="35143" xr:uid="{00000000-0005-0000-0000-00008A520000}"/>
    <cellStyle name="ArialNormal 5 5 5" xfId="16486" xr:uid="{00000000-0005-0000-0000-00008B520000}"/>
    <cellStyle name="ArialNormal 5 5 5 2" xfId="35840" xr:uid="{00000000-0005-0000-0000-00008C520000}"/>
    <cellStyle name="ArialNormal 5 5 6" xfId="18917" xr:uid="{00000000-0005-0000-0000-00008D520000}"/>
    <cellStyle name="ArialNormal 5 5 6 2" xfId="38270" xr:uid="{00000000-0005-0000-0000-00008E520000}"/>
    <cellStyle name="ArialNormal 5 5 7" xfId="21403" xr:uid="{00000000-0005-0000-0000-00008F520000}"/>
    <cellStyle name="ArialNormal 5 5 7 2" xfId="40745" xr:uid="{00000000-0005-0000-0000-000090520000}"/>
    <cellStyle name="ArialNormal 5 5 8" xfId="33344" xr:uid="{00000000-0005-0000-0000-000091520000}"/>
    <cellStyle name="ArialNormal 5 6" xfId="14277" xr:uid="{00000000-0005-0000-0000-000092520000}"/>
    <cellStyle name="ArialNormal 5 6 2" xfId="16776" xr:uid="{00000000-0005-0000-0000-000093520000}"/>
    <cellStyle name="ArialNormal 5 6 2 2" xfId="36130" xr:uid="{00000000-0005-0000-0000-000094520000}"/>
    <cellStyle name="ArialNormal 5 6 3" xfId="19207" xr:uid="{00000000-0005-0000-0000-000095520000}"/>
    <cellStyle name="ArialNormal 5 6 3 2" xfId="38560" xr:uid="{00000000-0005-0000-0000-000096520000}"/>
    <cellStyle name="ArialNormal 5 6 4" xfId="21697" xr:uid="{00000000-0005-0000-0000-000097520000}"/>
    <cellStyle name="ArialNormal 5 6 4 2" xfId="41039" xr:uid="{00000000-0005-0000-0000-000098520000}"/>
    <cellStyle name="ArialNormal 5 6 5" xfId="33638" xr:uid="{00000000-0005-0000-0000-000099520000}"/>
    <cellStyle name="ArialNormal 5 7" xfId="13426" xr:uid="{00000000-0005-0000-0000-00009A520000}"/>
    <cellStyle name="ArialNormal 5 7 2" xfId="32805" xr:uid="{00000000-0005-0000-0000-00009B520000}"/>
    <cellStyle name="ArialNormal 5 8" xfId="15996" xr:uid="{00000000-0005-0000-0000-00009C520000}"/>
    <cellStyle name="ArialNormal 5 8 2" xfId="35350" xr:uid="{00000000-0005-0000-0000-00009D520000}"/>
    <cellStyle name="ArialNormal 5 9" xfId="13262" xr:uid="{00000000-0005-0000-0000-00009E520000}"/>
    <cellStyle name="ArialNormal 5 9 2" xfId="32710" xr:uid="{00000000-0005-0000-0000-00009F520000}"/>
    <cellStyle name="ArialNormal 6" xfId="13502" xr:uid="{00000000-0005-0000-0000-0000A0520000}"/>
    <cellStyle name="ArialNormal 6 2" xfId="13806" xr:uid="{00000000-0005-0000-0000-0000A1520000}"/>
    <cellStyle name="ArialNormal 6 2 2" xfId="14604" xr:uid="{00000000-0005-0000-0000-0000A2520000}"/>
    <cellStyle name="ArialNormal 6 2 2 2" xfId="17088" xr:uid="{00000000-0005-0000-0000-0000A3520000}"/>
    <cellStyle name="ArialNormal 6 2 2 2 2" xfId="36442" xr:uid="{00000000-0005-0000-0000-0000A4520000}"/>
    <cellStyle name="ArialNormal 6 2 2 3" xfId="19519" xr:uid="{00000000-0005-0000-0000-0000A5520000}"/>
    <cellStyle name="ArialNormal 6 2 2 3 2" xfId="38872" xr:uid="{00000000-0005-0000-0000-0000A6520000}"/>
    <cellStyle name="ArialNormal 6 2 2 4" xfId="22024" xr:uid="{00000000-0005-0000-0000-0000A7520000}"/>
    <cellStyle name="ArialNormal 6 2 2 4 2" xfId="41366" xr:uid="{00000000-0005-0000-0000-0000A8520000}"/>
    <cellStyle name="ArialNormal 6 2 2 5" xfId="33965" xr:uid="{00000000-0005-0000-0000-0000A9520000}"/>
    <cellStyle name="ArialNormal 6 2 3" xfId="15161" xr:uid="{00000000-0005-0000-0000-0000AA520000}"/>
    <cellStyle name="ArialNormal 6 2 3 2" xfId="17637" xr:uid="{00000000-0005-0000-0000-0000AB520000}"/>
    <cellStyle name="ArialNormal 6 2 3 2 2" xfId="36991" xr:uid="{00000000-0005-0000-0000-0000AC520000}"/>
    <cellStyle name="ArialNormal 6 2 3 3" xfId="20068" xr:uid="{00000000-0005-0000-0000-0000AD520000}"/>
    <cellStyle name="ArialNormal 6 2 3 3 2" xfId="39421" xr:uid="{00000000-0005-0000-0000-0000AE520000}"/>
    <cellStyle name="ArialNormal 6 2 3 4" xfId="22581" xr:uid="{00000000-0005-0000-0000-0000AF520000}"/>
    <cellStyle name="ArialNormal 6 2 3 4 2" xfId="41923" xr:uid="{00000000-0005-0000-0000-0000B0520000}"/>
    <cellStyle name="ArialNormal 6 2 3 5" xfId="34522" xr:uid="{00000000-0005-0000-0000-0000B1520000}"/>
    <cellStyle name="ArialNormal 6 2 4" xfId="15642" xr:uid="{00000000-0005-0000-0000-0000B2520000}"/>
    <cellStyle name="ArialNormal 6 2 4 2" xfId="18118" xr:uid="{00000000-0005-0000-0000-0000B3520000}"/>
    <cellStyle name="ArialNormal 6 2 4 2 2" xfId="37472" xr:uid="{00000000-0005-0000-0000-0000B4520000}"/>
    <cellStyle name="ArialNormal 6 2 4 3" xfId="20549" xr:uid="{00000000-0005-0000-0000-0000B5520000}"/>
    <cellStyle name="ArialNormal 6 2 4 3 2" xfId="39902" xr:uid="{00000000-0005-0000-0000-0000B6520000}"/>
    <cellStyle name="ArialNormal 6 2 4 4" xfId="23062" xr:uid="{00000000-0005-0000-0000-0000B7520000}"/>
    <cellStyle name="ArialNormal 6 2 4 4 2" xfId="42404" xr:uid="{00000000-0005-0000-0000-0000B8520000}"/>
    <cellStyle name="ArialNormal 6 2 4 5" xfId="35003" xr:uid="{00000000-0005-0000-0000-0000B9520000}"/>
    <cellStyle name="ArialNormal 6 2 5" xfId="16318" xr:uid="{00000000-0005-0000-0000-0000BA520000}"/>
    <cellStyle name="ArialNormal 6 2 5 2" xfId="35672" xr:uid="{00000000-0005-0000-0000-0000BB520000}"/>
    <cellStyle name="ArialNormal 6 2 6" xfId="18749" xr:uid="{00000000-0005-0000-0000-0000BC520000}"/>
    <cellStyle name="ArialNormal 6 2 6 2" xfId="38102" xr:uid="{00000000-0005-0000-0000-0000BD520000}"/>
    <cellStyle name="ArialNormal 6 2 7" xfId="21229" xr:uid="{00000000-0005-0000-0000-0000BE520000}"/>
    <cellStyle name="ArialNormal 6 2 7 2" xfId="40571" xr:uid="{00000000-0005-0000-0000-0000BF520000}"/>
    <cellStyle name="ArialNormal 6 2 8" xfId="33170" xr:uid="{00000000-0005-0000-0000-0000C0520000}"/>
    <cellStyle name="ArialNormal 6 3" xfId="14030" xr:uid="{00000000-0005-0000-0000-0000C1520000}"/>
    <cellStyle name="ArialNormal 6 3 2" xfId="14825" xr:uid="{00000000-0005-0000-0000-0000C2520000}"/>
    <cellStyle name="ArialNormal 6 3 2 2" xfId="17303" xr:uid="{00000000-0005-0000-0000-0000C3520000}"/>
    <cellStyle name="ArialNormal 6 3 2 2 2" xfId="36657" xr:uid="{00000000-0005-0000-0000-0000C4520000}"/>
    <cellStyle name="ArialNormal 6 3 2 3" xfId="19734" xr:uid="{00000000-0005-0000-0000-0000C5520000}"/>
    <cellStyle name="ArialNormal 6 3 2 3 2" xfId="39087" xr:uid="{00000000-0005-0000-0000-0000C6520000}"/>
    <cellStyle name="ArialNormal 6 3 2 4" xfId="22245" xr:uid="{00000000-0005-0000-0000-0000C7520000}"/>
    <cellStyle name="ArialNormal 6 3 2 4 2" xfId="41587" xr:uid="{00000000-0005-0000-0000-0000C8520000}"/>
    <cellStyle name="ArialNormal 6 3 2 5" xfId="34186" xr:uid="{00000000-0005-0000-0000-0000C9520000}"/>
    <cellStyle name="ArialNormal 6 3 3" xfId="15373" xr:uid="{00000000-0005-0000-0000-0000CA520000}"/>
    <cellStyle name="ArialNormal 6 3 3 2" xfId="17849" xr:uid="{00000000-0005-0000-0000-0000CB520000}"/>
    <cellStyle name="ArialNormal 6 3 3 2 2" xfId="37203" xr:uid="{00000000-0005-0000-0000-0000CC520000}"/>
    <cellStyle name="ArialNormal 6 3 3 3" xfId="20280" xr:uid="{00000000-0005-0000-0000-0000CD520000}"/>
    <cellStyle name="ArialNormal 6 3 3 3 2" xfId="39633" xr:uid="{00000000-0005-0000-0000-0000CE520000}"/>
    <cellStyle name="ArialNormal 6 3 3 4" xfId="22793" xr:uid="{00000000-0005-0000-0000-0000CF520000}"/>
    <cellStyle name="ArialNormal 6 3 3 4 2" xfId="42135" xr:uid="{00000000-0005-0000-0000-0000D0520000}"/>
    <cellStyle name="ArialNormal 6 3 3 5" xfId="34734" xr:uid="{00000000-0005-0000-0000-0000D1520000}"/>
    <cellStyle name="ArialNormal 6 3 4" xfId="15832" xr:uid="{00000000-0005-0000-0000-0000D2520000}"/>
    <cellStyle name="ArialNormal 6 3 4 2" xfId="18308" xr:uid="{00000000-0005-0000-0000-0000D3520000}"/>
    <cellStyle name="ArialNormal 6 3 4 2 2" xfId="37662" xr:uid="{00000000-0005-0000-0000-0000D4520000}"/>
    <cellStyle name="ArialNormal 6 3 4 3" xfId="20739" xr:uid="{00000000-0005-0000-0000-0000D5520000}"/>
    <cellStyle name="ArialNormal 6 3 4 3 2" xfId="40092" xr:uid="{00000000-0005-0000-0000-0000D6520000}"/>
    <cellStyle name="ArialNormal 6 3 4 4" xfId="23252" xr:uid="{00000000-0005-0000-0000-0000D7520000}"/>
    <cellStyle name="ArialNormal 6 3 4 4 2" xfId="42594" xr:uid="{00000000-0005-0000-0000-0000D8520000}"/>
    <cellStyle name="ArialNormal 6 3 4 5" xfId="35193" xr:uid="{00000000-0005-0000-0000-0000D9520000}"/>
    <cellStyle name="ArialNormal 6 3 5" xfId="16536" xr:uid="{00000000-0005-0000-0000-0000DA520000}"/>
    <cellStyle name="ArialNormal 6 3 5 2" xfId="35890" xr:uid="{00000000-0005-0000-0000-0000DB520000}"/>
    <cellStyle name="ArialNormal 6 3 6" xfId="18967" xr:uid="{00000000-0005-0000-0000-0000DC520000}"/>
    <cellStyle name="ArialNormal 6 3 6 2" xfId="38320" xr:uid="{00000000-0005-0000-0000-0000DD520000}"/>
    <cellStyle name="ArialNormal 6 3 7" xfId="21453" xr:uid="{00000000-0005-0000-0000-0000DE520000}"/>
    <cellStyle name="ArialNormal 6 3 7 2" xfId="40795" xr:uid="{00000000-0005-0000-0000-0000DF520000}"/>
    <cellStyle name="ArialNormal 6 3 8" xfId="33394" xr:uid="{00000000-0005-0000-0000-0000E0520000}"/>
    <cellStyle name="ArialNormal 6 4" xfId="14325" xr:uid="{00000000-0005-0000-0000-0000E1520000}"/>
    <cellStyle name="ArialNormal 6 4 2" xfId="16821" xr:uid="{00000000-0005-0000-0000-0000E2520000}"/>
    <cellStyle name="ArialNormal 6 4 2 2" xfId="36175" xr:uid="{00000000-0005-0000-0000-0000E3520000}"/>
    <cellStyle name="ArialNormal 6 4 3" xfId="19252" xr:uid="{00000000-0005-0000-0000-0000E4520000}"/>
    <cellStyle name="ArialNormal 6 4 3 2" xfId="38605" xr:uid="{00000000-0005-0000-0000-0000E5520000}"/>
    <cellStyle name="ArialNormal 6 4 4" xfId="21745" xr:uid="{00000000-0005-0000-0000-0000E6520000}"/>
    <cellStyle name="ArialNormal 6 4 4 2" xfId="41087" xr:uid="{00000000-0005-0000-0000-0000E7520000}"/>
    <cellStyle name="ArialNormal 6 4 5" xfId="33686" xr:uid="{00000000-0005-0000-0000-0000E8520000}"/>
    <cellStyle name="ArialNormal 6 5" xfId="14221" xr:uid="{00000000-0005-0000-0000-0000E9520000}"/>
    <cellStyle name="ArialNormal 6 5 2" xfId="16724" xr:uid="{00000000-0005-0000-0000-0000EA520000}"/>
    <cellStyle name="ArialNormal 6 5 2 2" xfId="36078" xr:uid="{00000000-0005-0000-0000-0000EB520000}"/>
    <cellStyle name="ArialNormal 6 5 3" xfId="19155" xr:uid="{00000000-0005-0000-0000-0000EC520000}"/>
    <cellStyle name="ArialNormal 6 5 3 2" xfId="38508" xr:uid="{00000000-0005-0000-0000-0000ED520000}"/>
    <cellStyle name="ArialNormal 6 5 4" xfId="21642" xr:uid="{00000000-0005-0000-0000-0000EE520000}"/>
    <cellStyle name="ArialNormal 6 5 4 2" xfId="40984" xr:uid="{00000000-0005-0000-0000-0000EF520000}"/>
    <cellStyle name="ArialNormal 6 5 5" xfId="33583" xr:uid="{00000000-0005-0000-0000-0000F0520000}"/>
    <cellStyle name="ArialNormal 6 6" xfId="16066" xr:uid="{00000000-0005-0000-0000-0000F1520000}"/>
    <cellStyle name="ArialNormal 6 6 2" xfId="35420" xr:uid="{00000000-0005-0000-0000-0000F2520000}"/>
    <cellStyle name="ArialNormal 6 7" xfId="18463" xr:uid="{00000000-0005-0000-0000-0000F3520000}"/>
    <cellStyle name="ArialNormal 6 7 2" xfId="37816" xr:uid="{00000000-0005-0000-0000-0000F4520000}"/>
    <cellStyle name="ArialNormal 6 8" xfId="20999" xr:uid="{00000000-0005-0000-0000-0000F5520000}"/>
    <cellStyle name="ArialNormal 6 8 2" xfId="40341" xr:uid="{00000000-0005-0000-0000-0000F6520000}"/>
    <cellStyle name="ArialNormal 6 9" xfId="32877" xr:uid="{00000000-0005-0000-0000-0000F7520000}"/>
    <cellStyle name="ArialNormal 7" xfId="13704" xr:uid="{00000000-0005-0000-0000-0000F8520000}"/>
    <cellStyle name="ArialNormal 7 2" xfId="14507" xr:uid="{00000000-0005-0000-0000-0000F9520000}"/>
    <cellStyle name="ArialNormal 7 2 2" xfId="16997" xr:uid="{00000000-0005-0000-0000-0000FA520000}"/>
    <cellStyle name="ArialNormal 7 2 2 2" xfId="36351" xr:uid="{00000000-0005-0000-0000-0000FB520000}"/>
    <cellStyle name="ArialNormal 7 2 3" xfId="19428" xr:uid="{00000000-0005-0000-0000-0000FC520000}"/>
    <cellStyle name="ArialNormal 7 2 3 2" xfId="38781" xr:uid="{00000000-0005-0000-0000-0000FD520000}"/>
    <cellStyle name="ArialNormal 7 2 4" xfId="21927" xr:uid="{00000000-0005-0000-0000-0000FE520000}"/>
    <cellStyle name="ArialNormal 7 2 4 2" xfId="41269" xr:uid="{00000000-0005-0000-0000-0000FF520000}"/>
    <cellStyle name="ArialNormal 7 2 5" xfId="33868" xr:uid="{00000000-0005-0000-0000-000000530000}"/>
    <cellStyle name="ArialNormal 7 3" xfId="15071" xr:uid="{00000000-0005-0000-0000-000001530000}"/>
    <cellStyle name="ArialNormal 7 3 2" xfId="17547" xr:uid="{00000000-0005-0000-0000-000002530000}"/>
    <cellStyle name="ArialNormal 7 3 2 2" xfId="36901" xr:uid="{00000000-0005-0000-0000-000003530000}"/>
    <cellStyle name="ArialNormal 7 3 3" xfId="19978" xr:uid="{00000000-0005-0000-0000-000004530000}"/>
    <cellStyle name="ArialNormal 7 3 3 2" xfId="39331" xr:uid="{00000000-0005-0000-0000-000005530000}"/>
    <cellStyle name="ArialNormal 7 3 4" xfId="22491" xr:uid="{00000000-0005-0000-0000-000006530000}"/>
    <cellStyle name="ArialNormal 7 3 4 2" xfId="41833" xr:uid="{00000000-0005-0000-0000-000007530000}"/>
    <cellStyle name="ArialNormal 7 3 5" xfId="34432" xr:uid="{00000000-0005-0000-0000-000008530000}"/>
    <cellStyle name="ArialNormal 7 4" xfId="15554" xr:uid="{00000000-0005-0000-0000-000009530000}"/>
    <cellStyle name="ArialNormal 7 4 2" xfId="18030" xr:uid="{00000000-0005-0000-0000-00000A530000}"/>
    <cellStyle name="ArialNormal 7 4 2 2" xfId="37384" xr:uid="{00000000-0005-0000-0000-00000B530000}"/>
    <cellStyle name="ArialNormal 7 4 3" xfId="20461" xr:uid="{00000000-0005-0000-0000-00000C530000}"/>
    <cellStyle name="ArialNormal 7 4 3 2" xfId="39814" xr:uid="{00000000-0005-0000-0000-00000D530000}"/>
    <cellStyle name="ArialNormal 7 4 4" xfId="22974" xr:uid="{00000000-0005-0000-0000-00000E530000}"/>
    <cellStyle name="ArialNormal 7 4 4 2" xfId="42316" xr:uid="{00000000-0005-0000-0000-00000F530000}"/>
    <cellStyle name="ArialNormal 7 4 5" xfId="34915" xr:uid="{00000000-0005-0000-0000-000010530000}"/>
    <cellStyle name="ArialNormal 7 5" xfId="16223" xr:uid="{00000000-0005-0000-0000-000011530000}"/>
    <cellStyle name="ArialNormal 7 5 2" xfId="35577" xr:uid="{00000000-0005-0000-0000-000012530000}"/>
    <cellStyle name="ArialNormal 7 6" xfId="18654" xr:uid="{00000000-0005-0000-0000-000013530000}"/>
    <cellStyle name="ArialNormal 7 6 2" xfId="38007" xr:uid="{00000000-0005-0000-0000-000014530000}"/>
    <cellStyle name="ArialNormal 7 7" xfId="21128" xr:uid="{00000000-0005-0000-0000-000015530000}"/>
    <cellStyle name="ArialNormal 7 7 2" xfId="40470" xr:uid="{00000000-0005-0000-0000-000016530000}"/>
    <cellStyle name="ArialNormal 7 8" xfId="33069" xr:uid="{00000000-0005-0000-0000-000017530000}"/>
    <cellStyle name="ArialNormal 8" xfId="13702" xr:uid="{00000000-0005-0000-0000-000018530000}"/>
    <cellStyle name="ArialNormal 8 2" xfId="14505" xr:uid="{00000000-0005-0000-0000-000019530000}"/>
    <cellStyle name="ArialNormal 8 2 2" xfId="16995" xr:uid="{00000000-0005-0000-0000-00001A530000}"/>
    <cellStyle name="ArialNormal 8 2 2 2" xfId="36349" xr:uid="{00000000-0005-0000-0000-00001B530000}"/>
    <cellStyle name="ArialNormal 8 2 3" xfId="19426" xr:uid="{00000000-0005-0000-0000-00001C530000}"/>
    <cellStyle name="ArialNormal 8 2 3 2" xfId="38779" xr:uid="{00000000-0005-0000-0000-00001D530000}"/>
    <cellStyle name="ArialNormal 8 2 4" xfId="21925" xr:uid="{00000000-0005-0000-0000-00001E530000}"/>
    <cellStyle name="ArialNormal 8 2 4 2" xfId="41267" xr:uid="{00000000-0005-0000-0000-00001F530000}"/>
    <cellStyle name="ArialNormal 8 2 5" xfId="33866" xr:uid="{00000000-0005-0000-0000-000020530000}"/>
    <cellStyle name="ArialNormal 8 3" xfId="15069" xr:uid="{00000000-0005-0000-0000-000021530000}"/>
    <cellStyle name="ArialNormal 8 3 2" xfId="17545" xr:uid="{00000000-0005-0000-0000-000022530000}"/>
    <cellStyle name="ArialNormal 8 3 2 2" xfId="36899" xr:uid="{00000000-0005-0000-0000-000023530000}"/>
    <cellStyle name="ArialNormal 8 3 3" xfId="19976" xr:uid="{00000000-0005-0000-0000-000024530000}"/>
    <cellStyle name="ArialNormal 8 3 3 2" xfId="39329" xr:uid="{00000000-0005-0000-0000-000025530000}"/>
    <cellStyle name="ArialNormal 8 3 4" xfId="22489" xr:uid="{00000000-0005-0000-0000-000026530000}"/>
    <cellStyle name="ArialNormal 8 3 4 2" xfId="41831" xr:uid="{00000000-0005-0000-0000-000027530000}"/>
    <cellStyle name="ArialNormal 8 3 5" xfId="34430" xr:uid="{00000000-0005-0000-0000-000028530000}"/>
    <cellStyle name="ArialNormal 8 4" xfId="15552" xr:uid="{00000000-0005-0000-0000-000029530000}"/>
    <cellStyle name="ArialNormal 8 4 2" xfId="18028" xr:uid="{00000000-0005-0000-0000-00002A530000}"/>
    <cellStyle name="ArialNormal 8 4 2 2" xfId="37382" xr:uid="{00000000-0005-0000-0000-00002B530000}"/>
    <cellStyle name="ArialNormal 8 4 3" xfId="20459" xr:uid="{00000000-0005-0000-0000-00002C530000}"/>
    <cellStyle name="ArialNormal 8 4 3 2" xfId="39812" xr:uid="{00000000-0005-0000-0000-00002D530000}"/>
    <cellStyle name="ArialNormal 8 4 4" xfId="22972" xr:uid="{00000000-0005-0000-0000-00002E530000}"/>
    <cellStyle name="ArialNormal 8 4 4 2" xfId="42314" xr:uid="{00000000-0005-0000-0000-00002F530000}"/>
    <cellStyle name="ArialNormal 8 4 5" xfId="34913" xr:uid="{00000000-0005-0000-0000-000030530000}"/>
    <cellStyle name="ArialNormal 8 5" xfId="16221" xr:uid="{00000000-0005-0000-0000-000031530000}"/>
    <cellStyle name="ArialNormal 8 5 2" xfId="35575" xr:uid="{00000000-0005-0000-0000-000032530000}"/>
    <cellStyle name="ArialNormal 8 6" xfId="18652" xr:uid="{00000000-0005-0000-0000-000033530000}"/>
    <cellStyle name="ArialNormal 8 6 2" xfId="38005" xr:uid="{00000000-0005-0000-0000-000034530000}"/>
    <cellStyle name="ArialNormal 8 7" xfId="21126" xr:uid="{00000000-0005-0000-0000-000035530000}"/>
    <cellStyle name="ArialNormal 8 7 2" xfId="40468" xr:uid="{00000000-0005-0000-0000-000036530000}"/>
    <cellStyle name="ArialNormal 8 8" xfId="33067" xr:uid="{00000000-0005-0000-0000-000037530000}"/>
    <cellStyle name="ArialNormal 9" xfId="14211" xr:uid="{00000000-0005-0000-0000-000038530000}"/>
    <cellStyle name="ArialNormal 9 2" xfId="16714" xr:uid="{00000000-0005-0000-0000-000039530000}"/>
    <cellStyle name="ArialNormal 9 2 2" xfId="36068" xr:uid="{00000000-0005-0000-0000-00003A530000}"/>
    <cellStyle name="ArialNormal 9 3" xfId="19145" xr:uid="{00000000-0005-0000-0000-00003B530000}"/>
    <cellStyle name="ArialNormal 9 3 2" xfId="38498" xr:uid="{00000000-0005-0000-0000-00003C530000}"/>
    <cellStyle name="ArialNormal 9 4" xfId="21632" xr:uid="{00000000-0005-0000-0000-00003D530000}"/>
    <cellStyle name="ArialNormal 9 4 2" xfId="40974" xr:uid="{00000000-0005-0000-0000-00003E530000}"/>
    <cellStyle name="ArialNormal 9 5" xfId="33573" xr:uid="{00000000-0005-0000-0000-00003F530000}"/>
    <cellStyle name="Ariel 7 pt. plain" xfId="3905" xr:uid="{00000000-0005-0000-0000-000040530000}"/>
    <cellStyle name="assumption" xfId="1423" xr:uid="{00000000-0005-0000-0000-000041530000}"/>
    <cellStyle name="assumption 2" xfId="13430" xr:uid="{00000000-0005-0000-0000-000042530000}"/>
    <cellStyle name="assumption 2 10" xfId="20933" xr:uid="{00000000-0005-0000-0000-000043530000}"/>
    <cellStyle name="assumption 2 10 2" xfId="40275" xr:uid="{00000000-0005-0000-0000-000044530000}"/>
    <cellStyle name="assumption 2 11" xfId="32809" xr:uid="{00000000-0005-0000-0000-000045530000}"/>
    <cellStyle name="assumption 2 2" xfId="13558" xr:uid="{00000000-0005-0000-0000-000046530000}"/>
    <cellStyle name="assumption 2 2 10" xfId="32927" xr:uid="{00000000-0005-0000-0000-000047530000}"/>
    <cellStyle name="assumption 2 2 2" xfId="13856" xr:uid="{00000000-0005-0000-0000-000048530000}"/>
    <cellStyle name="assumption 2 2 2 2" xfId="14651" xr:uid="{00000000-0005-0000-0000-000049530000}"/>
    <cellStyle name="assumption 2 2 2 2 2" xfId="17132" xr:uid="{00000000-0005-0000-0000-00004A530000}"/>
    <cellStyle name="assumption 2 2 2 2 2 2" xfId="36486" xr:uid="{00000000-0005-0000-0000-00004B530000}"/>
    <cellStyle name="assumption 2 2 2 2 3" xfId="19563" xr:uid="{00000000-0005-0000-0000-00004C530000}"/>
    <cellStyle name="assumption 2 2 2 2 3 2" xfId="38916" xr:uid="{00000000-0005-0000-0000-00004D530000}"/>
    <cellStyle name="assumption 2 2 2 2 4" xfId="22071" xr:uid="{00000000-0005-0000-0000-00004E530000}"/>
    <cellStyle name="assumption 2 2 2 2 4 2" xfId="41413" xr:uid="{00000000-0005-0000-0000-00004F530000}"/>
    <cellStyle name="assumption 2 2 2 2 5" xfId="34012" xr:uid="{00000000-0005-0000-0000-000050530000}"/>
    <cellStyle name="assumption 2 2 2 3" xfId="15204" xr:uid="{00000000-0005-0000-0000-000051530000}"/>
    <cellStyle name="assumption 2 2 2 3 2" xfId="17680" xr:uid="{00000000-0005-0000-0000-000052530000}"/>
    <cellStyle name="assumption 2 2 2 3 2 2" xfId="37034" xr:uid="{00000000-0005-0000-0000-000053530000}"/>
    <cellStyle name="assumption 2 2 2 3 3" xfId="20111" xr:uid="{00000000-0005-0000-0000-000054530000}"/>
    <cellStyle name="assumption 2 2 2 3 3 2" xfId="39464" xr:uid="{00000000-0005-0000-0000-000055530000}"/>
    <cellStyle name="assumption 2 2 2 3 4" xfId="22624" xr:uid="{00000000-0005-0000-0000-000056530000}"/>
    <cellStyle name="assumption 2 2 2 3 4 2" xfId="41966" xr:uid="{00000000-0005-0000-0000-000057530000}"/>
    <cellStyle name="assumption 2 2 2 3 5" xfId="34565" xr:uid="{00000000-0005-0000-0000-000058530000}"/>
    <cellStyle name="assumption 2 2 2 4" xfId="15675" xr:uid="{00000000-0005-0000-0000-000059530000}"/>
    <cellStyle name="assumption 2 2 2 4 2" xfId="18151" xr:uid="{00000000-0005-0000-0000-00005A530000}"/>
    <cellStyle name="assumption 2 2 2 4 2 2" xfId="37505" xr:uid="{00000000-0005-0000-0000-00005B530000}"/>
    <cellStyle name="assumption 2 2 2 4 3" xfId="20582" xr:uid="{00000000-0005-0000-0000-00005C530000}"/>
    <cellStyle name="assumption 2 2 2 4 3 2" xfId="39935" xr:uid="{00000000-0005-0000-0000-00005D530000}"/>
    <cellStyle name="assumption 2 2 2 4 4" xfId="23095" xr:uid="{00000000-0005-0000-0000-00005E530000}"/>
    <cellStyle name="assumption 2 2 2 4 4 2" xfId="42437" xr:uid="{00000000-0005-0000-0000-00005F530000}"/>
    <cellStyle name="assumption 2 2 2 4 5" xfId="35036" xr:uid="{00000000-0005-0000-0000-000060530000}"/>
    <cellStyle name="assumption 2 2 2 5" xfId="16365" xr:uid="{00000000-0005-0000-0000-000061530000}"/>
    <cellStyle name="assumption 2 2 2 5 2" xfId="35719" xr:uid="{00000000-0005-0000-0000-000062530000}"/>
    <cellStyle name="assumption 2 2 2 6" xfId="18796" xr:uid="{00000000-0005-0000-0000-000063530000}"/>
    <cellStyle name="assumption 2 2 2 6 2" xfId="38149" xr:uid="{00000000-0005-0000-0000-000064530000}"/>
    <cellStyle name="assumption 2 2 2 7" xfId="21279" xr:uid="{00000000-0005-0000-0000-000065530000}"/>
    <cellStyle name="assumption 2 2 2 7 2" xfId="40621" xr:uid="{00000000-0005-0000-0000-000066530000}"/>
    <cellStyle name="assumption 2 2 2 8" xfId="33220" xr:uid="{00000000-0005-0000-0000-000067530000}"/>
    <cellStyle name="assumption 2 2 3" xfId="14074" xr:uid="{00000000-0005-0000-0000-000068530000}"/>
    <cellStyle name="assumption 2 2 3 2" xfId="14863" xr:uid="{00000000-0005-0000-0000-000069530000}"/>
    <cellStyle name="assumption 2 2 3 2 2" xfId="17341" xr:uid="{00000000-0005-0000-0000-00006A530000}"/>
    <cellStyle name="assumption 2 2 3 2 2 2" xfId="36695" xr:uid="{00000000-0005-0000-0000-00006B530000}"/>
    <cellStyle name="assumption 2 2 3 2 3" xfId="19772" xr:uid="{00000000-0005-0000-0000-00006C530000}"/>
    <cellStyle name="assumption 2 2 3 2 3 2" xfId="39125" xr:uid="{00000000-0005-0000-0000-00006D530000}"/>
    <cellStyle name="assumption 2 2 3 2 4" xfId="22283" xr:uid="{00000000-0005-0000-0000-00006E530000}"/>
    <cellStyle name="assumption 2 2 3 2 4 2" xfId="41625" xr:uid="{00000000-0005-0000-0000-00006F530000}"/>
    <cellStyle name="assumption 2 2 3 2 5" xfId="34224" xr:uid="{00000000-0005-0000-0000-000070530000}"/>
    <cellStyle name="assumption 2 2 3 3" xfId="15410" xr:uid="{00000000-0005-0000-0000-000071530000}"/>
    <cellStyle name="assumption 2 2 3 3 2" xfId="17886" xr:uid="{00000000-0005-0000-0000-000072530000}"/>
    <cellStyle name="assumption 2 2 3 3 2 2" xfId="37240" xr:uid="{00000000-0005-0000-0000-000073530000}"/>
    <cellStyle name="assumption 2 2 3 3 3" xfId="20317" xr:uid="{00000000-0005-0000-0000-000074530000}"/>
    <cellStyle name="assumption 2 2 3 3 3 2" xfId="39670" xr:uid="{00000000-0005-0000-0000-000075530000}"/>
    <cellStyle name="assumption 2 2 3 3 4" xfId="22830" xr:uid="{00000000-0005-0000-0000-000076530000}"/>
    <cellStyle name="assumption 2 2 3 3 4 2" xfId="42172" xr:uid="{00000000-0005-0000-0000-000077530000}"/>
    <cellStyle name="assumption 2 2 3 3 5" xfId="34771" xr:uid="{00000000-0005-0000-0000-000078530000}"/>
    <cellStyle name="assumption 2 2 3 4" xfId="15869" xr:uid="{00000000-0005-0000-0000-000079530000}"/>
    <cellStyle name="assumption 2 2 3 4 2" xfId="18345" xr:uid="{00000000-0005-0000-0000-00007A530000}"/>
    <cellStyle name="assumption 2 2 3 4 2 2" xfId="37699" xr:uid="{00000000-0005-0000-0000-00007B530000}"/>
    <cellStyle name="assumption 2 2 3 4 3" xfId="20776" xr:uid="{00000000-0005-0000-0000-00007C530000}"/>
    <cellStyle name="assumption 2 2 3 4 3 2" xfId="40129" xr:uid="{00000000-0005-0000-0000-00007D530000}"/>
    <cellStyle name="assumption 2 2 3 4 4" xfId="23289" xr:uid="{00000000-0005-0000-0000-00007E530000}"/>
    <cellStyle name="assumption 2 2 3 4 4 2" xfId="42631" xr:uid="{00000000-0005-0000-0000-00007F530000}"/>
    <cellStyle name="assumption 2 2 3 4 5" xfId="35230" xr:uid="{00000000-0005-0000-0000-000080530000}"/>
    <cellStyle name="assumption 2 2 3 5" xfId="16580" xr:uid="{00000000-0005-0000-0000-000081530000}"/>
    <cellStyle name="assumption 2 2 3 5 2" xfId="35934" xr:uid="{00000000-0005-0000-0000-000082530000}"/>
    <cellStyle name="assumption 2 2 3 6" xfId="19011" xr:uid="{00000000-0005-0000-0000-000083530000}"/>
    <cellStyle name="assumption 2 2 3 6 2" xfId="38364" xr:uid="{00000000-0005-0000-0000-000084530000}"/>
    <cellStyle name="assumption 2 2 3 7" xfId="21497" xr:uid="{00000000-0005-0000-0000-000085530000}"/>
    <cellStyle name="assumption 2 2 3 7 2" xfId="40839" xr:uid="{00000000-0005-0000-0000-000086530000}"/>
    <cellStyle name="assumption 2 2 3 8" xfId="33438" xr:uid="{00000000-0005-0000-0000-000087530000}"/>
    <cellStyle name="assumption 2 2 4" xfId="14369" xr:uid="{00000000-0005-0000-0000-000088530000}"/>
    <cellStyle name="assumption 2 2 4 2" xfId="16862" xr:uid="{00000000-0005-0000-0000-000089530000}"/>
    <cellStyle name="assumption 2 2 4 2 2" xfId="36216" xr:uid="{00000000-0005-0000-0000-00008A530000}"/>
    <cellStyle name="assumption 2 2 4 3" xfId="19293" xr:uid="{00000000-0005-0000-0000-00008B530000}"/>
    <cellStyle name="assumption 2 2 4 3 2" xfId="38646" xr:uid="{00000000-0005-0000-0000-00008C530000}"/>
    <cellStyle name="assumption 2 2 4 4" xfId="21789" xr:uid="{00000000-0005-0000-0000-00008D530000}"/>
    <cellStyle name="assumption 2 2 4 4 2" xfId="41131" xr:uid="{00000000-0005-0000-0000-00008E530000}"/>
    <cellStyle name="assumption 2 2 4 5" xfId="33730" xr:uid="{00000000-0005-0000-0000-00008F530000}"/>
    <cellStyle name="assumption 2 2 5" xfId="15000" xr:uid="{00000000-0005-0000-0000-000090530000}"/>
    <cellStyle name="assumption 2 2 5 2" xfId="17476" xr:uid="{00000000-0005-0000-0000-000091530000}"/>
    <cellStyle name="assumption 2 2 5 2 2" xfId="36830" xr:uid="{00000000-0005-0000-0000-000092530000}"/>
    <cellStyle name="assumption 2 2 5 3" xfId="19907" xr:uid="{00000000-0005-0000-0000-000093530000}"/>
    <cellStyle name="assumption 2 2 5 3 2" xfId="39260" xr:uid="{00000000-0005-0000-0000-000094530000}"/>
    <cellStyle name="assumption 2 2 5 4" xfId="22420" xr:uid="{00000000-0005-0000-0000-000095530000}"/>
    <cellStyle name="assumption 2 2 5 4 2" xfId="41762" xr:uid="{00000000-0005-0000-0000-000096530000}"/>
    <cellStyle name="assumption 2 2 5 5" xfId="34361" xr:uid="{00000000-0005-0000-0000-000097530000}"/>
    <cellStyle name="assumption 2 2 6" xfId="14269" xr:uid="{00000000-0005-0000-0000-000098530000}"/>
    <cellStyle name="assumption 2 2 6 2" xfId="16769" xr:uid="{00000000-0005-0000-0000-000099530000}"/>
    <cellStyle name="assumption 2 2 6 2 2" xfId="36123" xr:uid="{00000000-0005-0000-0000-00009A530000}"/>
    <cellStyle name="assumption 2 2 6 3" xfId="19200" xr:uid="{00000000-0005-0000-0000-00009B530000}"/>
    <cellStyle name="assumption 2 2 6 3 2" xfId="38553" xr:uid="{00000000-0005-0000-0000-00009C530000}"/>
    <cellStyle name="assumption 2 2 6 4" xfId="21690" xr:uid="{00000000-0005-0000-0000-00009D530000}"/>
    <cellStyle name="assumption 2 2 6 4 2" xfId="41032" xr:uid="{00000000-0005-0000-0000-00009E530000}"/>
    <cellStyle name="assumption 2 2 6 5" xfId="33631" xr:uid="{00000000-0005-0000-0000-00009F530000}"/>
    <cellStyle name="assumption 2 2 7" xfId="16100" xr:uid="{00000000-0005-0000-0000-0000A0530000}"/>
    <cellStyle name="assumption 2 2 7 2" xfId="35454" xr:uid="{00000000-0005-0000-0000-0000A1530000}"/>
    <cellStyle name="assumption 2 2 8" xfId="18512" xr:uid="{00000000-0005-0000-0000-0000A2530000}"/>
    <cellStyle name="assumption 2 2 8 2" xfId="37865" xr:uid="{00000000-0005-0000-0000-0000A3530000}"/>
    <cellStyle name="assumption 2 2 9" xfId="21022" xr:uid="{00000000-0005-0000-0000-0000A4530000}"/>
    <cellStyle name="assumption 2 2 9 2" xfId="40364" xr:uid="{00000000-0005-0000-0000-0000A5530000}"/>
    <cellStyle name="assumption 2 3" xfId="13629" xr:uid="{00000000-0005-0000-0000-0000A6530000}"/>
    <cellStyle name="assumption 2 3 2" xfId="13929" xr:uid="{00000000-0005-0000-0000-0000A7530000}"/>
    <cellStyle name="assumption 2 3 2 2" xfId="14724" xr:uid="{00000000-0005-0000-0000-0000A8530000}"/>
    <cellStyle name="assumption 2 3 2 2 2" xfId="17202" xr:uid="{00000000-0005-0000-0000-0000A9530000}"/>
    <cellStyle name="assumption 2 3 2 2 2 2" xfId="36556" xr:uid="{00000000-0005-0000-0000-0000AA530000}"/>
    <cellStyle name="assumption 2 3 2 2 3" xfId="19633" xr:uid="{00000000-0005-0000-0000-0000AB530000}"/>
    <cellStyle name="assumption 2 3 2 2 3 2" xfId="38986" xr:uid="{00000000-0005-0000-0000-0000AC530000}"/>
    <cellStyle name="assumption 2 3 2 2 4" xfId="22144" xr:uid="{00000000-0005-0000-0000-0000AD530000}"/>
    <cellStyle name="assumption 2 3 2 2 4 2" xfId="41486" xr:uid="{00000000-0005-0000-0000-0000AE530000}"/>
    <cellStyle name="assumption 2 3 2 2 5" xfId="34085" xr:uid="{00000000-0005-0000-0000-0000AF530000}"/>
    <cellStyle name="assumption 2 3 2 3" xfId="15272" xr:uid="{00000000-0005-0000-0000-0000B0530000}"/>
    <cellStyle name="assumption 2 3 2 3 2" xfId="17748" xr:uid="{00000000-0005-0000-0000-0000B1530000}"/>
    <cellStyle name="assumption 2 3 2 3 2 2" xfId="37102" xr:uid="{00000000-0005-0000-0000-0000B2530000}"/>
    <cellStyle name="assumption 2 3 2 3 3" xfId="20179" xr:uid="{00000000-0005-0000-0000-0000B3530000}"/>
    <cellStyle name="assumption 2 3 2 3 3 2" xfId="39532" xr:uid="{00000000-0005-0000-0000-0000B4530000}"/>
    <cellStyle name="assumption 2 3 2 3 4" xfId="22692" xr:uid="{00000000-0005-0000-0000-0000B5530000}"/>
    <cellStyle name="assumption 2 3 2 3 4 2" xfId="42034" xr:uid="{00000000-0005-0000-0000-0000B6530000}"/>
    <cellStyle name="assumption 2 3 2 3 5" xfId="34633" xr:uid="{00000000-0005-0000-0000-0000B7530000}"/>
    <cellStyle name="assumption 2 3 2 4" xfId="15731" xr:uid="{00000000-0005-0000-0000-0000B8530000}"/>
    <cellStyle name="assumption 2 3 2 4 2" xfId="18207" xr:uid="{00000000-0005-0000-0000-0000B9530000}"/>
    <cellStyle name="assumption 2 3 2 4 2 2" xfId="37561" xr:uid="{00000000-0005-0000-0000-0000BA530000}"/>
    <cellStyle name="assumption 2 3 2 4 3" xfId="20638" xr:uid="{00000000-0005-0000-0000-0000BB530000}"/>
    <cellStyle name="assumption 2 3 2 4 3 2" xfId="39991" xr:uid="{00000000-0005-0000-0000-0000BC530000}"/>
    <cellStyle name="assumption 2 3 2 4 4" xfId="23151" xr:uid="{00000000-0005-0000-0000-0000BD530000}"/>
    <cellStyle name="assumption 2 3 2 4 4 2" xfId="42493" xr:uid="{00000000-0005-0000-0000-0000BE530000}"/>
    <cellStyle name="assumption 2 3 2 4 5" xfId="35092" xr:uid="{00000000-0005-0000-0000-0000BF530000}"/>
    <cellStyle name="assumption 2 3 2 5" xfId="16435" xr:uid="{00000000-0005-0000-0000-0000C0530000}"/>
    <cellStyle name="assumption 2 3 2 5 2" xfId="35789" xr:uid="{00000000-0005-0000-0000-0000C1530000}"/>
    <cellStyle name="assumption 2 3 2 6" xfId="18866" xr:uid="{00000000-0005-0000-0000-0000C2530000}"/>
    <cellStyle name="assumption 2 3 2 6 2" xfId="38219" xr:uid="{00000000-0005-0000-0000-0000C3530000}"/>
    <cellStyle name="assumption 2 3 2 7" xfId="21352" xr:uid="{00000000-0005-0000-0000-0000C4530000}"/>
    <cellStyle name="assumption 2 3 2 7 2" xfId="40694" xr:uid="{00000000-0005-0000-0000-0000C5530000}"/>
    <cellStyle name="assumption 2 3 2 8" xfId="33293" xr:uid="{00000000-0005-0000-0000-0000C6530000}"/>
    <cellStyle name="assumption 2 3 3" xfId="14144" xr:uid="{00000000-0005-0000-0000-0000C7530000}"/>
    <cellStyle name="assumption 2 3 3 2" xfId="14921" xr:uid="{00000000-0005-0000-0000-0000C8530000}"/>
    <cellStyle name="assumption 2 3 3 2 2" xfId="17399" xr:uid="{00000000-0005-0000-0000-0000C9530000}"/>
    <cellStyle name="assumption 2 3 3 2 2 2" xfId="36753" xr:uid="{00000000-0005-0000-0000-0000CA530000}"/>
    <cellStyle name="assumption 2 3 3 2 3" xfId="19830" xr:uid="{00000000-0005-0000-0000-0000CB530000}"/>
    <cellStyle name="assumption 2 3 3 2 3 2" xfId="39183" xr:uid="{00000000-0005-0000-0000-0000CC530000}"/>
    <cellStyle name="assumption 2 3 3 2 4" xfId="22341" xr:uid="{00000000-0005-0000-0000-0000CD530000}"/>
    <cellStyle name="assumption 2 3 3 2 4 2" xfId="41683" xr:uid="{00000000-0005-0000-0000-0000CE530000}"/>
    <cellStyle name="assumption 2 3 3 2 5" xfId="34282" xr:uid="{00000000-0005-0000-0000-0000CF530000}"/>
    <cellStyle name="assumption 2 3 3 3" xfId="15467" xr:uid="{00000000-0005-0000-0000-0000D0530000}"/>
    <cellStyle name="assumption 2 3 3 3 2" xfId="17943" xr:uid="{00000000-0005-0000-0000-0000D1530000}"/>
    <cellStyle name="assumption 2 3 3 3 2 2" xfId="37297" xr:uid="{00000000-0005-0000-0000-0000D2530000}"/>
    <cellStyle name="assumption 2 3 3 3 3" xfId="20374" xr:uid="{00000000-0005-0000-0000-0000D3530000}"/>
    <cellStyle name="assumption 2 3 3 3 3 2" xfId="39727" xr:uid="{00000000-0005-0000-0000-0000D4530000}"/>
    <cellStyle name="assumption 2 3 3 3 4" xfId="22887" xr:uid="{00000000-0005-0000-0000-0000D5530000}"/>
    <cellStyle name="assumption 2 3 3 3 4 2" xfId="42229" xr:uid="{00000000-0005-0000-0000-0000D6530000}"/>
    <cellStyle name="assumption 2 3 3 3 5" xfId="34828" xr:uid="{00000000-0005-0000-0000-0000D7530000}"/>
    <cellStyle name="assumption 2 3 3 4" xfId="15926" xr:uid="{00000000-0005-0000-0000-0000D8530000}"/>
    <cellStyle name="assumption 2 3 3 4 2" xfId="18402" xr:uid="{00000000-0005-0000-0000-0000D9530000}"/>
    <cellStyle name="assumption 2 3 3 4 2 2" xfId="37756" xr:uid="{00000000-0005-0000-0000-0000DA530000}"/>
    <cellStyle name="assumption 2 3 3 4 3" xfId="20833" xr:uid="{00000000-0005-0000-0000-0000DB530000}"/>
    <cellStyle name="assumption 2 3 3 4 3 2" xfId="40186" xr:uid="{00000000-0005-0000-0000-0000DC530000}"/>
    <cellStyle name="assumption 2 3 3 4 4" xfId="23346" xr:uid="{00000000-0005-0000-0000-0000DD530000}"/>
    <cellStyle name="assumption 2 3 3 4 4 2" xfId="42688" xr:uid="{00000000-0005-0000-0000-0000DE530000}"/>
    <cellStyle name="assumption 2 3 3 4 5" xfId="35287" xr:uid="{00000000-0005-0000-0000-0000DF530000}"/>
    <cellStyle name="assumption 2 3 3 5" xfId="16650" xr:uid="{00000000-0005-0000-0000-0000E0530000}"/>
    <cellStyle name="assumption 2 3 3 5 2" xfId="36004" xr:uid="{00000000-0005-0000-0000-0000E1530000}"/>
    <cellStyle name="assumption 2 3 3 6" xfId="19081" xr:uid="{00000000-0005-0000-0000-0000E2530000}"/>
    <cellStyle name="assumption 2 3 3 6 2" xfId="38434" xr:uid="{00000000-0005-0000-0000-0000E3530000}"/>
    <cellStyle name="assumption 2 3 3 7" xfId="21567" xr:uid="{00000000-0005-0000-0000-0000E4530000}"/>
    <cellStyle name="assumption 2 3 3 7 2" xfId="40909" xr:uid="{00000000-0005-0000-0000-0000E5530000}"/>
    <cellStyle name="assumption 2 3 3 8" xfId="33508" xr:uid="{00000000-0005-0000-0000-0000E6530000}"/>
    <cellStyle name="assumption 2 3 4" xfId="14439" xr:uid="{00000000-0005-0000-0000-0000E7530000}"/>
    <cellStyle name="assumption 2 3 4 2" xfId="16929" xr:uid="{00000000-0005-0000-0000-0000E8530000}"/>
    <cellStyle name="assumption 2 3 4 2 2" xfId="36283" xr:uid="{00000000-0005-0000-0000-0000E9530000}"/>
    <cellStyle name="assumption 2 3 4 3" xfId="19360" xr:uid="{00000000-0005-0000-0000-0000EA530000}"/>
    <cellStyle name="assumption 2 3 4 3 2" xfId="38713" xr:uid="{00000000-0005-0000-0000-0000EB530000}"/>
    <cellStyle name="assumption 2 3 4 4" xfId="21859" xr:uid="{00000000-0005-0000-0000-0000EC530000}"/>
    <cellStyle name="assumption 2 3 4 4 2" xfId="41201" xr:uid="{00000000-0005-0000-0000-0000ED530000}"/>
    <cellStyle name="assumption 2 3 4 5" xfId="33800" xr:uid="{00000000-0005-0000-0000-0000EE530000}"/>
    <cellStyle name="assumption 2 3 5" xfId="15519" xr:uid="{00000000-0005-0000-0000-0000EF530000}"/>
    <cellStyle name="assumption 2 3 5 2" xfId="17995" xr:uid="{00000000-0005-0000-0000-0000F0530000}"/>
    <cellStyle name="assumption 2 3 5 2 2" xfId="37349" xr:uid="{00000000-0005-0000-0000-0000F1530000}"/>
    <cellStyle name="assumption 2 3 5 3" xfId="20426" xr:uid="{00000000-0005-0000-0000-0000F2530000}"/>
    <cellStyle name="assumption 2 3 5 3 2" xfId="39779" xr:uid="{00000000-0005-0000-0000-0000F3530000}"/>
    <cellStyle name="assumption 2 3 5 4" xfId="22939" xr:uid="{00000000-0005-0000-0000-0000F4530000}"/>
    <cellStyle name="assumption 2 3 5 4 2" xfId="42281" xr:uid="{00000000-0005-0000-0000-0000F5530000}"/>
    <cellStyle name="assumption 2 3 5 5" xfId="34880" xr:uid="{00000000-0005-0000-0000-0000F6530000}"/>
    <cellStyle name="assumption 2 3 6" xfId="16149" xr:uid="{00000000-0005-0000-0000-0000F7530000}"/>
    <cellStyle name="assumption 2 3 6 2" xfId="35503" xr:uid="{00000000-0005-0000-0000-0000F8530000}"/>
    <cellStyle name="assumption 2 3 7" xfId="18580" xr:uid="{00000000-0005-0000-0000-0000F9530000}"/>
    <cellStyle name="assumption 2 3 7 2" xfId="37933" xr:uid="{00000000-0005-0000-0000-0000FA530000}"/>
    <cellStyle name="assumption 2 3 8" xfId="21054" xr:uid="{00000000-0005-0000-0000-0000FB530000}"/>
    <cellStyle name="assumption 2 3 8 2" xfId="40396" xr:uid="{00000000-0005-0000-0000-0000FC530000}"/>
    <cellStyle name="assumption 2 3 9" xfId="32995" xr:uid="{00000000-0005-0000-0000-0000FD530000}"/>
    <cellStyle name="assumption 2 4" xfId="13759" xr:uid="{00000000-0005-0000-0000-0000FE530000}"/>
    <cellStyle name="assumption 2 4 2" xfId="14560" xr:uid="{00000000-0005-0000-0000-0000FF530000}"/>
    <cellStyle name="assumption 2 4 2 2" xfId="17047" xr:uid="{00000000-0005-0000-0000-000000540000}"/>
    <cellStyle name="assumption 2 4 2 2 2" xfId="36401" xr:uid="{00000000-0005-0000-0000-000001540000}"/>
    <cellStyle name="assumption 2 4 2 3" xfId="19478" xr:uid="{00000000-0005-0000-0000-000002540000}"/>
    <cellStyle name="assumption 2 4 2 3 2" xfId="38831" xr:uid="{00000000-0005-0000-0000-000003540000}"/>
    <cellStyle name="assumption 2 4 2 4" xfId="21980" xr:uid="{00000000-0005-0000-0000-000004540000}"/>
    <cellStyle name="assumption 2 4 2 4 2" xfId="41322" xr:uid="{00000000-0005-0000-0000-000005540000}"/>
    <cellStyle name="assumption 2 4 2 5" xfId="33921" xr:uid="{00000000-0005-0000-0000-000006540000}"/>
    <cellStyle name="assumption 2 4 3" xfId="15121" xr:uid="{00000000-0005-0000-0000-000007540000}"/>
    <cellStyle name="assumption 2 4 3 2" xfId="17597" xr:uid="{00000000-0005-0000-0000-000008540000}"/>
    <cellStyle name="assumption 2 4 3 2 2" xfId="36951" xr:uid="{00000000-0005-0000-0000-000009540000}"/>
    <cellStyle name="assumption 2 4 3 3" xfId="20028" xr:uid="{00000000-0005-0000-0000-00000A540000}"/>
    <cellStyle name="assumption 2 4 3 3 2" xfId="39381" xr:uid="{00000000-0005-0000-0000-00000B540000}"/>
    <cellStyle name="assumption 2 4 3 4" xfId="22541" xr:uid="{00000000-0005-0000-0000-00000C540000}"/>
    <cellStyle name="assumption 2 4 3 4 2" xfId="41883" xr:uid="{00000000-0005-0000-0000-00000D540000}"/>
    <cellStyle name="assumption 2 4 3 5" xfId="34482" xr:uid="{00000000-0005-0000-0000-00000E540000}"/>
    <cellStyle name="assumption 2 4 4" xfId="15603" xr:uid="{00000000-0005-0000-0000-00000F540000}"/>
    <cellStyle name="assumption 2 4 4 2" xfId="18079" xr:uid="{00000000-0005-0000-0000-000010540000}"/>
    <cellStyle name="assumption 2 4 4 2 2" xfId="37433" xr:uid="{00000000-0005-0000-0000-000011540000}"/>
    <cellStyle name="assumption 2 4 4 3" xfId="20510" xr:uid="{00000000-0005-0000-0000-000012540000}"/>
    <cellStyle name="assumption 2 4 4 3 2" xfId="39863" xr:uid="{00000000-0005-0000-0000-000013540000}"/>
    <cellStyle name="assumption 2 4 4 4" xfId="23023" xr:uid="{00000000-0005-0000-0000-000014540000}"/>
    <cellStyle name="assumption 2 4 4 4 2" xfId="42365" xr:uid="{00000000-0005-0000-0000-000015540000}"/>
    <cellStyle name="assumption 2 4 4 5" xfId="34964" xr:uid="{00000000-0005-0000-0000-000016540000}"/>
    <cellStyle name="assumption 2 4 5" xfId="16274" xr:uid="{00000000-0005-0000-0000-000017540000}"/>
    <cellStyle name="assumption 2 4 5 2" xfId="35628" xr:uid="{00000000-0005-0000-0000-000018540000}"/>
    <cellStyle name="assumption 2 4 6" xfId="18705" xr:uid="{00000000-0005-0000-0000-000019540000}"/>
    <cellStyle name="assumption 2 4 6 2" xfId="38058" xr:uid="{00000000-0005-0000-0000-00001A540000}"/>
    <cellStyle name="assumption 2 4 7" xfId="21182" xr:uid="{00000000-0005-0000-0000-00001B540000}"/>
    <cellStyle name="assumption 2 4 7 2" xfId="40524" xr:uid="{00000000-0005-0000-0000-00001C540000}"/>
    <cellStyle name="assumption 2 4 8" xfId="33123" xr:uid="{00000000-0005-0000-0000-00001D540000}"/>
    <cellStyle name="assumption 2 5" xfId="13982" xr:uid="{00000000-0005-0000-0000-00001E540000}"/>
    <cellStyle name="assumption 2 5 2" xfId="14777" xr:uid="{00000000-0005-0000-0000-00001F540000}"/>
    <cellStyle name="assumption 2 5 2 2" xfId="17255" xr:uid="{00000000-0005-0000-0000-000020540000}"/>
    <cellStyle name="assumption 2 5 2 2 2" xfId="36609" xr:uid="{00000000-0005-0000-0000-000021540000}"/>
    <cellStyle name="assumption 2 5 2 3" xfId="19686" xr:uid="{00000000-0005-0000-0000-000022540000}"/>
    <cellStyle name="assumption 2 5 2 3 2" xfId="39039" xr:uid="{00000000-0005-0000-0000-000023540000}"/>
    <cellStyle name="assumption 2 5 2 4" xfId="22197" xr:uid="{00000000-0005-0000-0000-000024540000}"/>
    <cellStyle name="assumption 2 5 2 4 2" xfId="41539" xr:uid="{00000000-0005-0000-0000-000025540000}"/>
    <cellStyle name="assumption 2 5 2 5" xfId="34138" xr:uid="{00000000-0005-0000-0000-000026540000}"/>
    <cellStyle name="assumption 2 5 3" xfId="15325" xr:uid="{00000000-0005-0000-0000-000027540000}"/>
    <cellStyle name="assumption 2 5 3 2" xfId="17801" xr:uid="{00000000-0005-0000-0000-000028540000}"/>
    <cellStyle name="assumption 2 5 3 2 2" xfId="37155" xr:uid="{00000000-0005-0000-0000-000029540000}"/>
    <cellStyle name="assumption 2 5 3 3" xfId="20232" xr:uid="{00000000-0005-0000-0000-00002A540000}"/>
    <cellStyle name="assumption 2 5 3 3 2" xfId="39585" xr:uid="{00000000-0005-0000-0000-00002B540000}"/>
    <cellStyle name="assumption 2 5 3 4" xfId="22745" xr:uid="{00000000-0005-0000-0000-00002C540000}"/>
    <cellStyle name="assumption 2 5 3 4 2" xfId="42087" xr:uid="{00000000-0005-0000-0000-00002D540000}"/>
    <cellStyle name="assumption 2 5 3 5" xfId="34686" xr:uid="{00000000-0005-0000-0000-00002E540000}"/>
    <cellStyle name="assumption 2 5 4" xfId="15784" xr:uid="{00000000-0005-0000-0000-00002F540000}"/>
    <cellStyle name="assumption 2 5 4 2" xfId="18260" xr:uid="{00000000-0005-0000-0000-000030540000}"/>
    <cellStyle name="assumption 2 5 4 2 2" xfId="37614" xr:uid="{00000000-0005-0000-0000-000031540000}"/>
    <cellStyle name="assumption 2 5 4 3" xfId="20691" xr:uid="{00000000-0005-0000-0000-000032540000}"/>
    <cellStyle name="assumption 2 5 4 3 2" xfId="40044" xr:uid="{00000000-0005-0000-0000-000033540000}"/>
    <cellStyle name="assumption 2 5 4 4" xfId="23204" xr:uid="{00000000-0005-0000-0000-000034540000}"/>
    <cellStyle name="assumption 2 5 4 4 2" xfId="42546" xr:uid="{00000000-0005-0000-0000-000035540000}"/>
    <cellStyle name="assumption 2 5 4 5" xfId="35145" xr:uid="{00000000-0005-0000-0000-000036540000}"/>
    <cellStyle name="assumption 2 5 5" xfId="16488" xr:uid="{00000000-0005-0000-0000-000037540000}"/>
    <cellStyle name="assumption 2 5 5 2" xfId="35842" xr:uid="{00000000-0005-0000-0000-000038540000}"/>
    <cellStyle name="assumption 2 5 6" xfId="18919" xr:uid="{00000000-0005-0000-0000-000039540000}"/>
    <cellStyle name="assumption 2 5 6 2" xfId="38272" xr:uid="{00000000-0005-0000-0000-00003A540000}"/>
    <cellStyle name="assumption 2 5 7" xfId="21405" xr:uid="{00000000-0005-0000-0000-00003B540000}"/>
    <cellStyle name="assumption 2 5 7 2" xfId="40747" xr:uid="{00000000-0005-0000-0000-00003C540000}"/>
    <cellStyle name="assumption 2 5 8" xfId="33346" xr:uid="{00000000-0005-0000-0000-00003D540000}"/>
    <cellStyle name="assumption 2 6" xfId="14278" xr:uid="{00000000-0005-0000-0000-00003E540000}"/>
    <cellStyle name="assumption 2 6 2" xfId="16777" xr:uid="{00000000-0005-0000-0000-00003F540000}"/>
    <cellStyle name="assumption 2 6 2 2" xfId="36131" xr:uid="{00000000-0005-0000-0000-000040540000}"/>
    <cellStyle name="assumption 2 6 3" xfId="19208" xr:uid="{00000000-0005-0000-0000-000041540000}"/>
    <cellStyle name="assumption 2 6 3 2" xfId="38561" xr:uid="{00000000-0005-0000-0000-000042540000}"/>
    <cellStyle name="assumption 2 6 4" xfId="21698" xr:uid="{00000000-0005-0000-0000-000043540000}"/>
    <cellStyle name="assumption 2 6 4 2" xfId="41040" xr:uid="{00000000-0005-0000-0000-000044540000}"/>
    <cellStyle name="assumption 2 6 5" xfId="33639" xr:uid="{00000000-0005-0000-0000-000045540000}"/>
    <cellStyle name="assumption 2 7" xfId="14231" xr:uid="{00000000-0005-0000-0000-000046540000}"/>
    <cellStyle name="assumption 2 7 2" xfId="16734" xr:uid="{00000000-0005-0000-0000-000047540000}"/>
    <cellStyle name="assumption 2 7 2 2" xfId="36088" xr:uid="{00000000-0005-0000-0000-000048540000}"/>
    <cellStyle name="assumption 2 7 3" xfId="19165" xr:uid="{00000000-0005-0000-0000-000049540000}"/>
    <cellStyle name="assumption 2 7 3 2" xfId="38518" xr:uid="{00000000-0005-0000-0000-00004A540000}"/>
    <cellStyle name="assumption 2 7 4" xfId="21652" xr:uid="{00000000-0005-0000-0000-00004B540000}"/>
    <cellStyle name="assumption 2 7 4 2" xfId="40994" xr:uid="{00000000-0005-0000-0000-00004C540000}"/>
    <cellStyle name="assumption 2 7 5" xfId="33593" xr:uid="{00000000-0005-0000-0000-00004D540000}"/>
    <cellStyle name="assumption 2 8" xfId="16000" xr:uid="{00000000-0005-0000-0000-00004E540000}"/>
    <cellStyle name="assumption 2 8 2" xfId="35354" xr:uid="{00000000-0005-0000-0000-00004F540000}"/>
    <cellStyle name="assumption 2 9" xfId="13363" xr:uid="{00000000-0005-0000-0000-000050540000}"/>
    <cellStyle name="assumption 2 9 2" xfId="32762" xr:uid="{00000000-0005-0000-0000-000051540000}"/>
    <cellStyle name="assumption 3" xfId="13445" xr:uid="{00000000-0005-0000-0000-000052540000}"/>
    <cellStyle name="assumption 3 2" xfId="13572" xr:uid="{00000000-0005-0000-0000-000053540000}"/>
    <cellStyle name="assumption 3 2 2" xfId="13871" xr:uid="{00000000-0005-0000-0000-000054540000}"/>
    <cellStyle name="assumption 3 2 2 2" xfId="14666" xr:uid="{00000000-0005-0000-0000-000055540000}"/>
    <cellStyle name="assumption 3 2 2 2 2" xfId="17147" xr:uid="{00000000-0005-0000-0000-000056540000}"/>
    <cellStyle name="assumption 3 2 2 2 2 2" xfId="36501" xr:uid="{00000000-0005-0000-0000-000057540000}"/>
    <cellStyle name="assumption 3 2 2 2 3" xfId="19578" xr:uid="{00000000-0005-0000-0000-000058540000}"/>
    <cellStyle name="assumption 3 2 2 2 3 2" xfId="38931" xr:uid="{00000000-0005-0000-0000-000059540000}"/>
    <cellStyle name="assumption 3 2 2 2 4" xfId="22086" xr:uid="{00000000-0005-0000-0000-00005A540000}"/>
    <cellStyle name="assumption 3 2 2 2 4 2" xfId="41428" xr:uid="{00000000-0005-0000-0000-00005B540000}"/>
    <cellStyle name="assumption 3 2 2 2 5" xfId="34027" xr:uid="{00000000-0005-0000-0000-00005C540000}"/>
    <cellStyle name="assumption 3 2 2 3" xfId="15218" xr:uid="{00000000-0005-0000-0000-00005D540000}"/>
    <cellStyle name="assumption 3 2 2 3 2" xfId="17694" xr:uid="{00000000-0005-0000-0000-00005E540000}"/>
    <cellStyle name="assumption 3 2 2 3 2 2" xfId="37048" xr:uid="{00000000-0005-0000-0000-00005F540000}"/>
    <cellStyle name="assumption 3 2 2 3 3" xfId="20125" xr:uid="{00000000-0005-0000-0000-000060540000}"/>
    <cellStyle name="assumption 3 2 2 3 3 2" xfId="39478" xr:uid="{00000000-0005-0000-0000-000061540000}"/>
    <cellStyle name="assumption 3 2 2 3 4" xfId="22638" xr:uid="{00000000-0005-0000-0000-000062540000}"/>
    <cellStyle name="assumption 3 2 2 3 4 2" xfId="41980" xr:uid="{00000000-0005-0000-0000-000063540000}"/>
    <cellStyle name="assumption 3 2 2 3 5" xfId="34579" xr:uid="{00000000-0005-0000-0000-000064540000}"/>
    <cellStyle name="assumption 3 2 2 4" xfId="15688" xr:uid="{00000000-0005-0000-0000-000065540000}"/>
    <cellStyle name="assumption 3 2 2 4 2" xfId="18164" xr:uid="{00000000-0005-0000-0000-000066540000}"/>
    <cellStyle name="assumption 3 2 2 4 2 2" xfId="37518" xr:uid="{00000000-0005-0000-0000-000067540000}"/>
    <cellStyle name="assumption 3 2 2 4 3" xfId="20595" xr:uid="{00000000-0005-0000-0000-000068540000}"/>
    <cellStyle name="assumption 3 2 2 4 3 2" xfId="39948" xr:uid="{00000000-0005-0000-0000-000069540000}"/>
    <cellStyle name="assumption 3 2 2 4 4" xfId="23108" xr:uid="{00000000-0005-0000-0000-00006A540000}"/>
    <cellStyle name="assumption 3 2 2 4 4 2" xfId="42450" xr:uid="{00000000-0005-0000-0000-00006B540000}"/>
    <cellStyle name="assumption 3 2 2 4 5" xfId="35049" xr:uid="{00000000-0005-0000-0000-00006C540000}"/>
    <cellStyle name="assumption 3 2 2 5" xfId="16380" xr:uid="{00000000-0005-0000-0000-00006D540000}"/>
    <cellStyle name="assumption 3 2 2 5 2" xfId="35734" xr:uid="{00000000-0005-0000-0000-00006E540000}"/>
    <cellStyle name="assumption 3 2 2 6" xfId="18811" xr:uid="{00000000-0005-0000-0000-00006F540000}"/>
    <cellStyle name="assumption 3 2 2 6 2" xfId="38164" xr:uid="{00000000-0005-0000-0000-000070540000}"/>
    <cellStyle name="assumption 3 2 2 7" xfId="21294" xr:uid="{00000000-0005-0000-0000-000071540000}"/>
    <cellStyle name="assumption 3 2 2 7 2" xfId="40636" xr:uid="{00000000-0005-0000-0000-000072540000}"/>
    <cellStyle name="assumption 3 2 2 8" xfId="33235" xr:uid="{00000000-0005-0000-0000-000073540000}"/>
    <cellStyle name="assumption 3 2 3" xfId="14089" xr:uid="{00000000-0005-0000-0000-000074540000}"/>
    <cellStyle name="assumption 3 2 3 2" xfId="16595" xr:uid="{00000000-0005-0000-0000-000075540000}"/>
    <cellStyle name="assumption 3 2 3 2 2" xfId="35949" xr:uid="{00000000-0005-0000-0000-000076540000}"/>
    <cellStyle name="assumption 3 2 3 3" xfId="19026" xr:uid="{00000000-0005-0000-0000-000077540000}"/>
    <cellStyle name="assumption 3 2 3 3 2" xfId="38379" xr:uid="{00000000-0005-0000-0000-000078540000}"/>
    <cellStyle name="assumption 3 2 3 4" xfId="21512" xr:uid="{00000000-0005-0000-0000-000079540000}"/>
    <cellStyle name="assumption 3 2 3 4 2" xfId="40854" xr:uid="{00000000-0005-0000-0000-00007A540000}"/>
    <cellStyle name="assumption 3 2 3 5" xfId="33453" xr:uid="{00000000-0005-0000-0000-00007B540000}"/>
    <cellStyle name="assumption 3 2 4" xfId="15015" xr:uid="{00000000-0005-0000-0000-00007C540000}"/>
    <cellStyle name="assumption 3 2 4 2" xfId="17491" xr:uid="{00000000-0005-0000-0000-00007D540000}"/>
    <cellStyle name="assumption 3 2 4 2 2" xfId="36845" xr:uid="{00000000-0005-0000-0000-00007E540000}"/>
    <cellStyle name="assumption 3 2 4 3" xfId="19922" xr:uid="{00000000-0005-0000-0000-00007F540000}"/>
    <cellStyle name="assumption 3 2 4 3 2" xfId="39275" xr:uid="{00000000-0005-0000-0000-000080540000}"/>
    <cellStyle name="assumption 3 2 4 4" xfId="22435" xr:uid="{00000000-0005-0000-0000-000081540000}"/>
    <cellStyle name="assumption 3 2 4 4 2" xfId="41777" xr:uid="{00000000-0005-0000-0000-000082540000}"/>
    <cellStyle name="assumption 3 2 4 5" xfId="34376" xr:uid="{00000000-0005-0000-0000-000083540000}"/>
    <cellStyle name="assumption 3 3" xfId="13641" xr:uid="{00000000-0005-0000-0000-000084540000}"/>
    <cellStyle name="assumption 3 3 2" xfId="13939" xr:uid="{00000000-0005-0000-0000-000085540000}"/>
    <cellStyle name="assumption 3 3 2 2" xfId="14734" xr:uid="{00000000-0005-0000-0000-000086540000}"/>
    <cellStyle name="assumption 3 3 2 2 2" xfId="17212" xr:uid="{00000000-0005-0000-0000-000087540000}"/>
    <cellStyle name="assumption 3 3 2 2 2 2" xfId="36566" xr:uid="{00000000-0005-0000-0000-000088540000}"/>
    <cellStyle name="assumption 3 3 2 2 3" xfId="19643" xr:uid="{00000000-0005-0000-0000-000089540000}"/>
    <cellStyle name="assumption 3 3 2 2 3 2" xfId="38996" xr:uid="{00000000-0005-0000-0000-00008A540000}"/>
    <cellStyle name="assumption 3 3 2 2 4" xfId="22154" xr:uid="{00000000-0005-0000-0000-00008B540000}"/>
    <cellStyle name="assumption 3 3 2 2 4 2" xfId="41496" xr:uid="{00000000-0005-0000-0000-00008C540000}"/>
    <cellStyle name="assumption 3 3 2 2 5" xfId="34095" xr:uid="{00000000-0005-0000-0000-00008D540000}"/>
    <cellStyle name="assumption 3 3 2 3" xfId="15282" xr:uid="{00000000-0005-0000-0000-00008E540000}"/>
    <cellStyle name="assumption 3 3 2 3 2" xfId="17758" xr:uid="{00000000-0005-0000-0000-00008F540000}"/>
    <cellStyle name="assumption 3 3 2 3 2 2" xfId="37112" xr:uid="{00000000-0005-0000-0000-000090540000}"/>
    <cellStyle name="assumption 3 3 2 3 3" xfId="20189" xr:uid="{00000000-0005-0000-0000-000091540000}"/>
    <cellStyle name="assumption 3 3 2 3 3 2" xfId="39542" xr:uid="{00000000-0005-0000-0000-000092540000}"/>
    <cellStyle name="assumption 3 3 2 3 4" xfId="22702" xr:uid="{00000000-0005-0000-0000-000093540000}"/>
    <cellStyle name="assumption 3 3 2 3 4 2" xfId="42044" xr:uid="{00000000-0005-0000-0000-000094540000}"/>
    <cellStyle name="assumption 3 3 2 3 5" xfId="34643" xr:uid="{00000000-0005-0000-0000-000095540000}"/>
    <cellStyle name="assumption 3 3 2 4" xfId="15741" xr:uid="{00000000-0005-0000-0000-000096540000}"/>
    <cellStyle name="assumption 3 3 2 4 2" xfId="18217" xr:uid="{00000000-0005-0000-0000-000097540000}"/>
    <cellStyle name="assumption 3 3 2 4 2 2" xfId="37571" xr:uid="{00000000-0005-0000-0000-000098540000}"/>
    <cellStyle name="assumption 3 3 2 4 3" xfId="20648" xr:uid="{00000000-0005-0000-0000-000099540000}"/>
    <cellStyle name="assumption 3 3 2 4 3 2" xfId="40001" xr:uid="{00000000-0005-0000-0000-00009A540000}"/>
    <cellStyle name="assumption 3 3 2 4 4" xfId="23161" xr:uid="{00000000-0005-0000-0000-00009B540000}"/>
    <cellStyle name="assumption 3 3 2 4 4 2" xfId="42503" xr:uid="{00000000-0005-0000-0000-00009C540000}"/>
    <cellStyle name="assumption 3 3 2 4 5" xfId="35102" xr:uid="{00000000-0005-0000-0000-00009D540000}"/>
    <cellStyle name="assumption 3 3 2 5" xfId="16445" xr:uid="{00000000-0005-0000-0000-00009E540000}"/>
    <cellStyle name="assumption 3 3 2 5 2" xfId="35799" xr:uid="{00000000-0005-0000-0000-00009F540000}"/>
    <cellStyle name="assumption 3 3 2 6" xfId="18876" xr:uid="{00000000-0005-0000-0000-0000A0540000}"/>
    <cellStyle name="assumption 3 3 2 6 2" xfId="38229" xr:uid="{00000000-0005-0000-0000-0000A1540000}"/>
    <cellStyle name="assumption 3 3 2 7" xfId="21362" xr:uid="{00000000-0005-0000-0000-0000A2540000}"/>
    <cellStyle name="assumption 3 3 2 7 2" xfId="40704" xr:uid="{00000000-0005-0000-0000-0000A3540000}"/>
    <cellStyle name="assumption 3 3 2 8" xfId="33303" xr:uid="{00000000-0005-0000-0000-0000A4540000}"/>
    <cellStyle name="assumption 3 3 3" xfId="14153" xr:uid="{00000000-0005-0000-0000-0000A5540000}"/>
    <cellStyle name="assumption 3 3 3 2" xfId="14930" xr:uid="{00000000-0005-0000-0000-0000A6540000}"/>
    <cellStyle name="assumption 3 3 3 2 2" xfId="17408" xr:uid="{00000000-0005-0000-0000-0000A7540000}"/>
    <cellStyle name="assumption 3 3 3 2 2 2" xfId="36762" xr:uid="{00000000-0005-0000-0000-0000A8540000}"/>
    <cellStyle name="assumption 3 3 3 2 3" xfId="19839" xr:uid="{00000000-0005-0000-0000-0000A9540000}"/>
    <cellStyle name="assumption 3 3 3 2 3 2" xfId="39192" xr:uid="{00000000-0005-0000-0000-0000AA540000}"/>
    <cellStyle name="assumption 3 3 3 2 4" xfId="22350" xr:uid="{00000000-0005-0000-0000-0000AB540000}"/>
    <cellStyle name="assumption 3 3 3 2 4 2" xfId="41692" xr:uid="{00000000-0005-0000-0000-0000AC540000}"/>
    <cellStyle name="assumption 3 3 3 2 5" xfId="34291" xr:uid="{00000000-0005-0000-0000-0000AD540000}"/>
    <cellStyle name="assumption 3 3 3 3" xfId="15476" xr:uid="{00000000-0005-0000-0000-0000AE540000}"/>
    <cellStyle name="assumption 3 3 3 3 2" xfId="17952" xr:uid="{00000000-0005-0000-0000-0000AF540000}"/>
    <cellStyle name="assumption 3 3 3 3 2 2" xfId="37306" xr:uid="{00000000-0005-0000-0000-0000B0540000}"/>
    <cellStyle name="assumption 3 3 3 3 3" xfId="20383" xr:uid="{00000000-0005-0000-0000-0000B1540000}"/>
    <cellStyle name="assumption 3 3 3 3 3 2" xfId="39736" xr:uid="{00000000-0005-0000-0000-0000B2540000}"/>
    <cellStyle name="assumption 3 3 3 3 4" xfId="22896" xr:uid="{00000000-0005-0000-0000-0000B3540000}"/>
    <cellStyle name="assumption 3 3 3 3 4 2" xfId="42238" xr:uid="{00000000-0005-0000-0000-0000B4540000}"/>
    <cellStyle name="assumption 3 3 3 3 5" xfId="34837" xr:uid="{00000000-0005-0000-0000-0000B5540000}"/>
    <cellStyle name="assumption 3 3 3 4" xfId="15935" xr:uid="{00000000-0005-0000-0000-0000B6540000}"/>
    <cellStyle name="assumption 3 3 3 4 2" xfId="18411" xr:uid="{00000000-0005-0000-0000-0000B7540000}"/>
    <cellStyle name="assumption 3 3 3 4 2 2" xfId="37765" xr:uid="{00000000-0005-0000-0000-0000B8540000}"/>
    <cellStyle name="assumption 3 3 3 4 3" xfId="20842" xr:uid="{00000000-0005-0000-0000-0000B9540000}"/>
    <cellStyle name="assumption 3 3 3 4 3 2" xfId="40195" xr:uid="{00000000-0005-0000-0000-0000BA540000}"/>
    <cellStyle name="assumption 3 3 3 4 4" xfId="23355" xr:uid="{00000000-0005-0000-0000-0000BB540000}"/>
    <cellStyle name="assumption 3 3 3 4 4 2" xfId="42697" xr:uid="{00000000-0005-0000-0000-0000BC540000}"/>
    <cellStyle name="assumption 3 3 3 4 5" xfId="35296" xr:uid="{00000000-0005-0000-0000-0000BD540000}"/>
    <cellStyle name="assumption 3 3 3 5" xfId="16659" xr:uid="{00000000-0005-0000-0000-0000BE540000}"/>
    <cellStyle name="assumption 3 3 3 5 2" xfId="36013" xr:uid="{00000000-0005-0000-0000-0000BF540000}"/>
    <cellStyle name="assumption 3 3 3 6" xfId="19090" xr:uid="{00000000-0005-0000-0000-0000C0540000}"/>
    <cellStyle name="assumption 3 3 3 6 2" xfId="38443" xr:uid="{00000000-0005-0000-0000-0000C1540000}"/>
    <cellStyle name="assumption 3 3 3 7" xfId="21576" xr:uid="{00000000-0005-0000-0000-0000C2540000}"/>
    <cellStyle name="assumption 3 3 3 7 2" xfId="40918" xr:uid="{00000000-0005-0000-0000-0000C3540000}"/>
    <cellStyle name="assumption 3 3 3 8" xfId="33517" xr:uid="{00000000-0005-0000-0000-0000C4540000}"/>
    <cellStyle name="assumption 3 3 4" xfId="14449" xr:uid="{00000000-0005-0000-0000-0000C5540000}"/>
    <cellStyle name="assumption 3 3 4 2" xfId="16939" xr:uid="{00000000-0005-0000-0000-0000C6540000}"/>
    <cellStyle name="assumption 3 3 4 2 2" xfId="36293" xr:uid="{00000000-0005-0000-0000-0000C7540000}"/>
    <cellStyle name="assumption 3 3 4 3" xfId="19370" xr:uid="{00000000-0005-0000-0000-0000C8540000}"/>
    <cellStyle name="assumption 3 3 4 3 2" xfId="38723" xr:uid="{00000000-0005-0000-0000-0000C9540000}"/>
    <cellStyle name="assumption 3 3 4 4" xfId="21869" xr:uid="{00000000-0005-0000-0000-0000CA540000}"/>
    <cellStyle name="assumption 3 3 4 4 2" xfId="41211" xr:uid="{00000000-0005-0000-0000-0000CB540000}"/>
    <cellStyle name="assumption 3 3 4 5" xfId="33810" xr:uid="{00000000-0005-0000-0000-0000CC540000}"/>
    <cellStyle name="assumption 3 3 5" xfId="15526" xr:uid="{00000000-0005-0000-0000-0000CD540000}"/>
    <cellStyle name="assumption 3 3 5 2" xfId="18002" xr:uid="{00000000-0005-0000-0000-0000CE540000}"/>
    <cellStyle name="assumption 3 3 5 2 2" xfId="37356" xr:uid="{00000000-0005-0000-0000-0000CF540000}"/>
    <cellStyle name="assumption 3 3 5 3" xfId="20433" xr:uid="{00000000-0005-0000-0000-0000D0540000}"/>
    <cellStyle name="assumption 3 3 5 3 2" xfId="39786" xr:uid="{00000000-0005-0000-0000-0000D1540000}"/>
    <cellStyle name="assumption 3 3 5 4" xfId="22946" xr:uid="{00000000-0005-0000-0000-0000D2540000}"/>
    <cellStyle name="assumption 3 3 5 4 2" xfId="42288" xr:uid="{00000000-0005-0000-0000-0000D3540000}"/>
    <cellStyle name="assumption 3 3 5 5" xfId="34887" xr:uid="{00000000-0005-0000-0000-0000D4540000}"/>
    <cellStyle name="assumption 3 3 6" xfId="16161" xr:uid="{00000000-0005-0000-0000-0000D5540000}"/>
    <cellStyle name="assumption 3 3 6 2" xfId="35515" xr:uid="{00000000-0005-0000-0000-0000D6540000}"/>
    <cellStyle name="assumption 3 3 7" xfId="18592" xr:uid="{00000000-0005-0000-0000-0000D7540000}"/>
    <cellStyle name="assumption 3 3 7 2" xfId="37945" xr:uid="{00000000-0005-0000-0000-0000D8540000}"/>
    <cellStyle name="assumption 3 3 8" xfId="21066" xr:uid="{00000000-0005-0000-0000-0000D9540000}"/>
    <cellStyle name="assumption 3 3 8 2" xfId="40408" xr:uid="{00000000-0005-0000-0000-0000DA540000}"/>
    <cellStyle name="assumption 3 3 9" xfId="33007" xr:uid="{00000000-0005-0000-0000-0000DB540000}"/>
    <cellStyle name="assumption 3 4" xfId="16015" xr:uid="{00000000-0005-0000-0000-0000DC540000}"/>
    <cellStyle name="assumption 3 4 2" xfId="35369" xr:uid="{00000000-0005-0000-0000-0000DD540000}"/>
    <cellStyle name="assumption 3 5" xfId="13268" xr:uid="{00000000-0005-0000-0000-0000DE540000}"/>
    <cellStyle name="assumption 3 5 2" xfId="32716" xr:uid="{00000000-0005-0000-0000-0000DF540000}"/>
    <cellStyle name="assumption 3 6" xfId="20946" xr:uid="{00000000-0005-0000-0000-0000E0540000}"/>
    <cellStyle name="assumption 3 6 2" xfId="40288" xr:uid="{00000000-0005-0000-0000-0000E1540000}"/>
    <cellStyle name="assumption 3 7" xfId="32824" xr:uid="{00000000-0005-0000-0000-0000E2540000}"/>
    <cellStyle name="assumption 4" xfId="13705" xr:uid="{00000000-0005-0000-0000-0000E3540000}"/>
    <cellStyle name="assumption 4 2" xfId="14508" xr:uid="{00000000-0005-0000-0000-0000E4540000}"/>
    <cellStyle name="assumption 4 2 2" xfId="16998" xr:uid="{00000000-0005-0000-0000-0000E5540000}"/>
    <cellStyle name="assumption 4 2 2 2" xfId="36352" xr:uid="{00000000-0005-0000-0000-0000E6540000}"/>
    <cellStyle name="assumption 4 2 3" xfId="19429" xr:uid="{00000000-0005-0000-0000-0000E7540000}"/>
    <cellStyle name="assumption 4 2 3 2" xfId="38782" xr:uid="{00000000-0005-0000-0000-0000E8540000}"/>
    <cellStyle name="assumption 4 2 4" xfId="21928" xr:uid="{00000000-0005-0000-0000-0000E9540000}"/>
    <cellStyle name="assumption 4 2 4 2" xfId="41270" xr:uid="{00000000-0005-0000-0000-0000EA540000}"/>
    <cellStyle name="assumption 4 2 5" xfId="33869" xr:uid="{00000000-0005-0000-0000-0000EB540000}"/>
    <cellStyle name="assumption 4 3" xfId="15072" xr:uid="{00000000-0005-0000-0000-0000EC540000}"/>
    <cellStyle name="assumption 4 3 2" xfId="17548" xr:uid="{00000000-0005-0000-0000-0000ED540000}"/>
    <cellStyle name="assumption 4 3 2 2" xfId="36902" xr:uid="{00000000-0005-0000-0000-0000EE540000}"/>
    <cellStyle name="assumption 4 3 3" xfId="19979" xr:uid="{00000000-0005-0000-0000-0000EF540000}"/>
    <cellStyle name="assumption 4 3 3 2" xfId="39332" xr:uid="{00000000-0005-0000-0000-0000F0540000}"/>
    <cellStyle name="assumption 4 3 4" xfId="22492" xr:uid="{00000000-0005-0000-0000-0000F1540000}"/>
    <cellStyle name="assumption 4 3 4 2" xfId="41834" xr:uid="{00000000-0005-0000-0000-0000F2540000}"/>
    <cellStyle name="assumption 4 3 5" xfId="34433" xr:uid="{00000000-0005-0000-0000-0000F3540000}"/>
    <cellStyle name="assumption 4 4" xfId="15555" xr:uid="{00000000-0005-0000-0000-0000F4540000}"/>
    <cellStyle name="assumption 4 4 2" xfId="18031" xr:uid="{00000000-0005-0000-0000-0000F5540000}"/>
    <cellStyle name="assumption 4 4 2 2" xfId="37385" xr:uid="{00000000-0005-0000-0000-0000F6540000}"/>
    <cellStyle name="assumption 4 4 3" xfId="20462" xr:uid="{00000000-0005-0000-0000-0000F7540000}"/>
    <cellStyle name="assumption 4 4 3 2" xfId="39815" xr:uid="{00000000-0005-0000-0000-0000F8540000}"/>
    <cellStyle name="assumption 4 4 4" xfId="22975" xr:uid="{00000000-0005-0000-0000-0000F9540000}"/>
    <cellStyle name="assumption 4 4 4 2" xfId="42317" xr:uid="{00000000-0005-0000-0000-0000FA540000}"/>
    <cellStyle name="assumption 4 4 5" xfId="34916" xr:uid="{00000000-0005-0000-0000-0000FB540000}"/>
    <cellStyle name="assumption 4 5" xfId="16224" xr:uid="{00000000-0005-0000-0000-0000FC540000}"/>
    <cellStyle name="assumption 4 5 2" xfId="35578" xr:uid="{00000000-0005-0000-0000-0000FD540000}"/>
    <cellStyle name="assumption 4 6" xfId="18655" xr:uid="{00000000-0005-0000-0000-0000FE540000}"/>
    <cellStyle name="assumption 4 6 2" xfId="38008" xr:uid="{00000000-0005-0000-0000-0000FF540000}"/>
    <cellStyle name="assumption 4 7" xfId="21129" xr:uid="{00000000-0005-0000-0000-000000550000}"/>
    <cellStyle name="assumption 4 7 2" xfId="40471" xr:uid="{00000000-0005-0000-0000-000001550000}"/>
    <cellStyle name="assumption 4 8" xfId="33070" xr:uid="{00000000-0005-0000-0000-000002550000}"/>
    <cellStyle name="Bad" xfId="1424" builtinId="27" customBuiltin="1"/>
    <cellStyle name="Bad 2" xfId="2072" xr:uid="{00000000-0005-0000-0000-000004550000}"/>
    <cellStyle name="Bad 2 2" xfId="4115" xr:uid="{00000000-0005-0000-0000-000005550000}"/>
    <cellStyle name="Bad 3" xfId="2121" xr:uid="{00000000-0005-0000-0000-000006550000}"/>
    <cellStyle name="Balance Sheet" xfId="1425" xr:uid="{00000000-0005-0000-0000-000007550000}"/>
    <cellStyle name="BalanceSheet" xfId="1426" xr:uid="{00000000-0005-0000-0000-000008550000}"/>
    <cellStyle name="Bank1" xfId="3906" xr:uid="{00000000-0005-0000-0000-000009550000}"/>
    <cellStyle name="Black Decimal" xfId="1427" xr:uid="{00000000-0005-0000-0000-00000A550000}"/>
    <cellStyle name="Black Dollar" xfId="1428" xr:uid="{00000000-0005-0000-0000-00000B550000}"/>
    <cellStyle name="Black EPS" xfId="1429" xr:uid="{00000000-0005-0000-0000-00000C550000}"/>
    <cellStyle name="Black EPS 2" xfId="1430" xr:uid="{00000000-0005-0000-0000-00000D550000}"/>
    <cellStyle name="Black Percent" xfId="1431" xr:uid="{00000000-0005-0000-0000-00000E550000}"/>
    <cellStyle name="Black Percent 2" xfId="1432" xr:uid="{00000000-0005-0000-0000-00000F550000}"/>
    <cellStyle name="Black Times" xfId="1433" xr:uid="{00000000-0005-0000-0000-000010550000}"/>
    <cellStyle name="Black Times 2" xfId="2526" xr:uid="{00000000-0005-0000-0000-000011550000}"/>
    <cellStyle name="Blank" xfId="1434" xr:uid="{00000000-0005-0000-0000-000012550000}"/>
    <cellStyle name="blue" xfId="1435" xr:uid="{00000000-0005-0000-0000-000013550000}"/>
    <cellStyle name="Blue Decimal" xfId="1436" xr:uid="{00000000-0005-0000-0000-000014550000}"/>
    <cellStyle name="Blue Decimal 2" xfId="2527" xr:uid="{00000000-0005-0000-0000-000015550000}"/>
    <cellStyle name="Blue Dollar" xfId="1437" xr:uid="{00000000-0005-0000-0000-000016550000}"/>
    <cellStyle name="Blue Dollar 2" xfId="1438" xr:uid="{00000000-0005-0000-0000-000017550000}"/>
    <cellStyle name="Blue EPS" xfId="1439" xr:uid="{00000000-0005-0000-0000-000018550000}"/>
    <cellStyle name="Blue EPS 2" xfId="2528" xr:uid="{00000000-0005-0000-0000-000019550000}"/>
    <cellStyle name="Blue Text" xfId="1440" xr:uid="{00000000-0005-0000-0000-00001A550000}"/>
    <cellStyle name="Blue Text 2" xfId="1441" xr:uid="{00000000-0005-0000-0000-00001B550000}"/>
    <cellStyle name="Blue Title" xfId="4496" xr:uid="{00000000-0005-0000-0000-00001C550000}"/>
    <cellStyle name="Blue Zero Deci" xfId="1442" xr:uid="{00000000-0005-0000-0000-00001D550000}"/>
    <cellStyle name="Blue Zero Deci 2" xfId="1443" xr:uid="{00000000-0005-0000-0000-00001E550000}"/>
    <cellStyle name="blue_Company0187 Model" xfId="1444" xr:uid="{00000000-0005-0000-0000-00001F550000}"/>
    <cellStyle name="Bold" xfId="1445" xr:uid="{00000000-0005-0000-0000-000020550000}"/>
    <cellStyle name="Bold 2" xfId="1446" xr:uid="{00000000-0005-0000-0000-000021550000}"/>
    <cellStyle name="bold big" xfId="1447" xr:uid="{00000000-0005-0000-0000-000022550000}"/>
    <cellStyle name="bold bot bord" xfId="1448" xr:uid="{00000000-0005-0000-0000-000023550000}"/>
    <cellStyle name="bold bot bord 2" xfId="2529" xr:uid="{00000000-0005-0000-0000-000024550000}"/>
    <cellStyle name="bold bot bord 2 2" xfId="2653" xr:uid="{00000000-0005-0000-0000-000025550000}"/>
    <cellStyle name="bold bot bord 2 2 2" xfId="4527" xr:uid="{00000000-0005-0000-0000-000026550000}"/>
    <cellStyle name="bold bot bord 2 2 2 2" xfId="5203" xr:uid="{00000000-0005-0000-0000-000027550000}"/>
    <cellStyle name="bold bot bord 2 2 2 2 2" xfId="8155" xr:uid="{00000000-0005-0000-0000-000028550000}"/>
    <cellStyle name="bold bot bord 2 2 2 2 2 2" xfId="12479" xr:uid="{00000000-0005-0000-0000-000029550000}"/>
    <cellStyle name="bold bot bord 2 2 2 2 2 2 2" xfId="31949" xr:uid="{00000000-0005-0000-0000-00002A550000}"/>
    <cellStyle name="bold bot bord 2 2 2 2 2 3" xfId="27637" xr:uid="{00000000-0005-0000-0000-00002B550000}"/>
    <cellStyle name="bold bot bord 2 2 2 2 3" xfId="24694" xr:uid="{00000000-0005-0000-0000-00002C550000}"/>
    <cellStyle name="bold bot bord 2 2 2 3" xfId="24071" xr:uid="{00000000-0005-0000-0000-00002D550000}"/>
    <cellStyle name="bold bot bord 2 2 3" xfId="13513" xr:uid="{00000000-0005-0000-0000-00002E550000}"/>
    <cellStyle name="bold bot bord 2 2 3 2" xfId="32888" xr:uid="{00000000-0005-0000-0000-00002F550000}"/>
    <cellStyle name="bold bot bord 2 2 4" xfId="18474" xr:uid="{00000000-0005-0000-0000-000030550000}"/>
    <cellStyle name="bold bot bord 2 2 4 2" xfId="37827" xr:uid="{00000000-0005-0000-0000-000031550000}"/>
    <cellStyle name="bold bot bord 2 3" xfId="4532" xr:uid="{00000000-0005-0000-0000-000032550000}"/>
    <cellStyle name="bold bot bord 2 3 2" xfId="5208" xr:uid="{00000000-0005-0000-0000-000033550000}"/>
    <cellStyle name="bold bot bord 2 3 2 2" xfId="8156" xr:uid="{00000000-0005-0000-0000-000034550000}"/>
    <cellStyle name="bold bot bord 2 3 2 2 2" xfId="12480" xr:uid="{00000000-0005-0000-0000-000035550000}"/>
    <cellStyle name="bold bot bord 2 3 2 2 2 2" xfId="31950" xr:uid="{00000000-0005-0000-0000-000036550000}"/>
    <cellStyle name="bold bot bord 2 3 2 2 3" xfId="27638" xr:uid="{00000000-0005-0000-0000-000037550000}"/>
    <cellStyle name="bold bot bord 2 3 2 3" xfId="24699" xr:uid="{00000000-0005-0000-0000-000038550000}"/>
    <cellStyle name="bold bot bord 2 3 3" xfId="24076" xr:uid="{00000000-0005-0000-0000-000039550000}"/>
    <cellStyle name="bold bot bord 3" xfId="2530" xr:uid="{00000000-0005-0000-0000-00003A550000}"/>
    <cellStyle name="bold bot bord 3 2" xfId="2654" xr:uid="{00000000-0005-0000-0000-00003B550000}"/>
    <cellStyle name="bold bot bord 3 2 2" xfId="4526" xr:uid="{00000000-0005-0000-0000-00003C550000}"/>
    <cellStyle name="bold bot bord 3 2 2 2" xfId="5202" xr:uid="{00000000-0005-0000-0000-00003D550000}"/>
    <cellStyle name="bold bot bord 3 2 2 2 2" xfId="8157" xr:uid="{00000000-0005-0000-0000-00003E550000}"/>
    <cellStyle name="bold bot bord 3 2 2 2 2 2" xfId="12481" xr:uid="{00000000-0005-0000-0000-00003F550000}"/>
    <cellStyle name="bold bot bord 3 2 2 2 2 2 2" xfId="31951" xr:uid="{00000000-0005-0000-0000-000040550000}"/>
    <cellStyle name="bold bot bord 3 2 2 2 2 3" xfId="27639" xr:uid="{00000000-0005-0000-0000-000041550000}"/>
    <cellStyle name="bold bot bord 3 2 2 2 3" xfId="24693" xr:uid="{00000000-0005-0000-0000-000042550000}"/>
    <cellStyle name="bold bot bord 3 2 2 3" xfId="24070" xr:uid="{00000000-0005-0000-0000-000043550000}"/>
    <cellStyle name="bold bot bord 3 2 3" xfId="23546" xr:uid="{00000000-0005-0000-0000-000044550000}"/>
    <cellStyle name="bold bot bord 3 3" xfId="4531" xr:uid="{00000000-0005-0000-0000-000045550000}"/>
    <cellStyle name="bold bot bord 3 3 2" xfId="5207" xr:uid="{00000000-0005-0000-0000-000046550000}"/>
    <cellStyle name="bold bot bord 3 3 2 2" xfId="8158" xr:uid="{00000000-0005-0000-0000-000047550000}"/>
    <cellStyle name="bold bot bord 3 3 2 2 2" xfId="12482" xr:uid="{00000000-0005-0000-0000-000048550000}"/>
    <cellStyle name="bold bot bord 3 3 2 2 2 2" xfId="31952" xr:uid="{00000000-0005-0000-0000-000049550000}"/>
    <cellStyle name="bold bot bord 3 3 2 2 3" xfId="27640" xr:uid="{00000000-0005-0000-0000-00004A550000}"/>
    <cellStyle name="bold bot bord 3 3 2 3" xfId="24698" xr:uid="{00000000-0005-0000-0000-00004B550000}"/>
    <cellStyle name="bold bot bord 3 3 3" xfId="24075" xr:uid="{00000000-0005-0000-0000-00004C550000}"/>
    <cellStyle name="bold bot bord 3 4" xfId="13503" xr:uid="{00000000-0005-0000-0000-00004D550000}"/>
    <cellStyle name="bold bot bord 3 4 2" xfId="32878" xr:uid="{00000000-0005-0000-0000-00004E550000}"/>
    <cellStyle name="bold bot bord 3 5" xfId="18464" xr:uid="{00000000-0005-0000-0000-00004F550000}"/>
    <cellStyle name="bold bot bord 3 5 2" xfId="37817" xr:uid="{00000000-0005-0000-0000-000050550000}"/>
    <cellStyle name="bold bot bord 4" xfId="2781" xr:uid="{00000000-0005-0000-0000-000051550000}"/>
    <cellStyle name="bold bot bord 4 2" xfId="2975" xr:uid="{00000000-0005-0000-0000-000052550000}"/>
    <cellStyle name="bold bot bord 4 2 2" xfId="4682" xr:uid="{00000000-0005-0000-0000-000053550000}"/>
    <cellStyle name="bold bot bord 4 2 2 2" xfId="8159" xr:uid="{00000000-0005-0000-0000-000054550000}"/>
    <cellStyle name="bold bot bord 4 2 2 2 2" xfId="12483" xr:uid="{00000000-0005-0000-0000-000055550000}"/>
    <cellStyle name="bold bot bord 4 2 2 2 2 2" xfId="31953" xr:uid="{00000000-0005-0000-0000-000056550000}"/>
    <cellStyle name="bold bot bord 4 2 2 2 3" xfId="27641" xr:uid="{00000000-0005-0000-0000-000057550000}"/>
    <cellStyle name="bold bot bord 4 2 2 3" xfId="24193" xr:uid="{00000000-0005-0000-0000-000058550000}"/>
    <cellStyle name="bold bot bord 4 2 3" xfId="23784" xr:uid="{00000000-0005-0000-0000-000059550000}"/>
    <cellStyle name="bold bot bord 4 3" xfId="23592" xr:uid="{00000000-0005-0000-0000-00005A550000}"/>
    <cellStyle name="bold underline" xfId="1449" xr:uid="{00000000-0005-0000-0000-00005B550000}"/>
    <cellStyle name="Bold/Border" xfId="1450" xr:uid="{00000000-0005-0000-0000-00005C550000}"/>
    <cellStyle name="Bold/Border 2" xfId="2531" xr:uid="{00000000-0005-0000-0000-00005D550000}"/>
    <cellStyle name="Bold/Border 2 2" xfId="2655" xr:uid="{00000000-0005-0000-0000-00005E550000}"/>
    <cellStyle name="Bold/Border 2 2 2" xfId="4570" xr:uid="{00000000-0005-0000-0000-00005F550000}"/>
    <cellStyle name="Bold/Border 2 2 2 2" xfId="5213" xr:uid="{00000000-0005-0000-0000-000060550000}"/>
    <cellStyle name="Bold/Border 2 2 2 2 2" xfId="8160" xr:uid="{00000000-0005-0000-0000-000061550000}"/>
    <cellStyle name="Bold/Border 2 2 2 2 2 2" xfId="12484" xr:uid="{00000000-0005-0000-0000-000062550000}"/>
    <cellStyle name="Bold/Border 2 2 2 2 2 2 2" xfId="31954" xr:uid="{00000000-0005-0000-0000-000063550000}"/>
    <cellStyle name="Bold/Border 2 2 2 2 2 3" xfId="27642" xr:uid="{00000000-0005-0000-0000-000064550000}"/>
    <cellStyle name="Bold/Border 2 2 2 2 3" xfId="24704" xr:uid="{00000000-0005-0000-0000-000065550000}"/>
    <cellStyle name="Bold/Border 2 2 2 3" xfId="24084" xr:uid="{00000000-0005-0000-0000-000066550000}"/>
    <cellStyle name="Bold/Border 2 2 3" xfId="13514" xr:uid="{00000000-0005-0000-0000-000067550000}"/>
    <cellStyle name="Bold/Border 2 2 3 2" xfId="32889" xr:uid="{00000000-0005-0000-0000-000068550000}"/>
    <cellStyle name="Bold/Border 2 2 4" xfId="18475" xr:uid="{00000000-0005-0000-0000-000069550000}"/>
    <cellStyle name="Bold/Border 2 2 4 2" xfId="37828" xr:uid="{00000000-0005-0000-0000-00006A550000}"/>
    <cellStyle name="Bold/Border 2 3" xfId="4530" xr:uid="{00000000-0005-0000-0000-00006B550000}"/>
    <cellStyle name="Bold/Border 2 3 2" xfId="5206" xr:uid="{00000000-0005-0000-0000-00006C550000}"/>
    <cellStyle name="Bold/Border 2 3 2 2" xfId="8161" xr:uid="{00000000-0005-0000-0000-00006D550000}"/>
    <cellStyle name="Bold/Border 2 3 2 2 2" xfId="12485" xr:uid="{00000000-0005-0000-0000-00006E550000}"/>
    <cellStyle name="Bold/Border 2 3 2 2 2 2" xfId="31955" xr:uid="{00000000-0005-0000-0000-00006F550000}"/>
    <cellStyle name="Bold/Border 2 3 2 2 3" xfId="27643" xr:uid="{00000000-0005-0000-0000-000070550000}"/>
    <cellStyle name="Bold/Border 2 3 2 3" xfId="24697" xr:uid="{00000000-0005-0000-0000-000071550000}"/>
    <cellStyle name="Bold/Border 2 3 3" xfId="24074" xr:uid="{00000000-0005-0000-0000-000072550000}"/>
    <cellStyle name="Bold/Border 3" xfId="2532" xr:uid="{00000000-0005-0000-0000-000073550000}"/>
    <cellStyle name="Bold/Border 3 2" xfId="2656" xr:uid="{00000000-0005-0000-0000-000074550000}"/>
    <cellStyle name="Bold/Border 3 2 2" xfId="4525" xr:uid="{00000000-0005-0000-0000-000075550000}"/>
    <cellStyle name="Bold/Border 3 2 2 2" xfId="5201" xr:uid="{00000000-0005-0000-0000-000076550000}"/>
    <cellStyle name="Bold/Border 3 2 2 2 2" xfId="8162" xr:uid="{00000000-0005-0000-0000-000077550000}"/>
    <cellStyle name="Bold/Border 3 2 2 2 2 2" xfId="12486" xr:uid="{00000000-0005-0000-0000-000078550000}"/>
    <cellStyle name="Bold/Border 3 2 2 2 2 2 2" xfId="31956" xr:uid="{00000000-0005-0000-0000-000079550000}"/>
    <cellStyle name="Bold/Border 3 2 2 2 2 3" xfId="27644" xr:uid="{00000000-0005-0000-0000-00007A550000}"/>
    <cellStyle name="Bold/Border 3 2 2 2 3" xfId="24692" xr:uid="{00000000-0005-0000-0000-00007B550000}"/>
    <cellStyle name="Bold/Border 3 2 2 3" xfId="24069" xr:uid="{00000000-0005-0000-0000-00007C550000}"/>
    <cellStyle name="Bold/Border 3 2 3" xfId="23547" xr:uid="{00000000-0005-0000-0000-00007D550000}"/>
    <cellStyle name="Bold/Border 3 3" xfId="4573" xr:uid="{00000000-0005-0000-0000-00007E550000}"/>
    <cellStyle name="Bold/Border 3 3 2" xfId="5216" xr:uid="{00000000-0005-0000-0000-00007F550000}"/>
    <cellStyle name="Bold/Border 3 3 2 2" xfId="8163" xr:uid="{00000000-0005-0000-0000-000080550000}"/>
    <cellStyle name="Bold/Border 3 3 2 2 2" xfId="12487" xr:uid="{00000000-0005-0000-0000-000081550000}"/>
    <cellStyle name="Bold/Border 3 3 2 2 2 2" xfId="31957" xr:uid="{00000000-0005-0000-0000-000082550000}"/>
    <cellStyle name="Bold/Border 3 3 2 2 3" xfId="27645" xr:uid="{00000000-0005-0000-0000-000083550000}"/>
    <cellStyle name="Bold/Border 3 3 2 3" xfId="24707" xr:uid="{00000000-0005-0000-0000-000084550000}"/>
    <cellStyle name="Bold/Border 3 3 3" xfId="24087" xr:uid="{00000000-0005-0000-0000-000085550000}"/>
    <cellStyle name="Bold/Border 3 4" xfId="13504" xr:uid="{00000000-0005-0000-0000-000086550000}"/>
    <cellStyle name="Bold/Border 3 4 2" xfId="32879" xr:uid="{00000000-0005-0000-0000-000087550000}"/>
    <cellStyle name="Bold/Border 3 5" xfId="18465" xr:uid="{00000000-0005-0000-0000-000088550000}"/>
    <cellStyle name="Bold/Border 3 5 2" xfId="37818" xr:uid="{00000000-0005-0000-0000-000089550000}"/>
    <cellStyle name="Bold/Border 4" xfId="2819" xr:uid="{00000000-0005-0000-0000-00008A550000}"/>
    <cellStyle name="Bold/Border 4 2" xfId="3013" xr:uid="{00000000-0005-0000-0000-00008B550000}"/>
    <cellStyle name="Bold/Border 4 2 2" xfId="4683" xr:uid="{00000000-0005-0000-0000-00008C550000}"/>
    <cellStyle name="Bold/Border 4 2 2 2" xfId="8164" xr:uid="{00000000-0005-0000-0000-00008D550000}"/>
    <cellStyle name="Bold/Border 4 2 2 2 2" xfId="12488" xr:uid="{00000000-0005-0000-0000-00008E550000}"/>
    <cellStyle name="Bold/Border 4 2 2 2 2 2" xfId="31958" xr:uid="{00000000-0005-0000-0000-00008F550000}"/>
    <cellStyle name="Bold/Border 4 2 2 2 3" xfId="27646" xr:uid="{00000000-0005-0000-0000-000090550000}"/>
    <cellStyle name="Bold/Border 4 2 2 3" xfId="24194" xr:uid="{00000000-0005-0000-0000-000091550000}"/>
    <cellStyle name="Bold/Border 4 2 3" xfId="23822" xr:uid="{00000000-0005-0000-0000-000092550000}"/>
    <cellStyle name="Bold/Border 4 3" xfId="23630" xr:uid="{00000000-0005-0000-0000-000093550000}"/>
    <cellStyle name="Bold_Company0187 Model" xfId="1451" xr:uid="{00000000-0005-0000-0000-000094550000}"/>
    <cellStyle name="Border Bottom Thick" xfId="1452" xr:uid="{00000000-0005-0000-0000-000095550000}"/>
    <cellStyle name="Border Bottom Thick 2" xfId="13303" xr:uid="{00000000-0005-0000-0000-000096550000}"/>
    <cellStyle name="Border Bottom Thick 2 2" xfId="13330" xr:uid="{00000000-0005-0000-0000-000097550000}"/>
    <cellStyle name="Border Heavy" xfId="1453" xr:uid="{00000000-0005-0000-0000-000098550000}"/>
    <cellStyle name="Border Heavy 2" xfId="1454" xr:uid="{00000000-0005-0000-0000-000099550000}"/>
    <cellStyle name="Border Heavy 2 2" xfId="13322" xr:uid="{00000000-0005-0000-0000-00009A550000}"/>
    <cellStyle name="Border Thin" xfId="1455" xr:uid="{00000000-0005-0000-0000-00009B550000}"/>
    <cellStyle name="Border Thin 2" xfId="1456" xr:uid="{00000000-0005-0000-0000-00009C550000}"/>
    <cellStyle name="Border Thin 2 2" xfId="2598" xr:uid="{00000000-0005-0000-0000-00009D550000}"/>
    <cellStyle name="Border Thin 2 2 2" xfId="2824" xr:uid="{00000000-0005-0000-0000-00009E550000}"/>
    <cellStyle name="Border Thin 2 2 2 2" xfId="3018" xr:uid="{00000000-0005-0000-0000-00009F550000}"/>
    <cellStyle name="Border Thin 2 2 2 2 2" xfId="23827" xr:uid="{00000000-0005-0000-0000-0000A0550000}"/>
    <cellStyle name="Border Thin 2 2 2 3" xfId="23635" xr:uid="{00000000-0005-0000-0000-0000A1550000}"/>
    <cellStyle name="Border Thin 2 2 3" xfId="2900" xr:uid="{00000000-0005-0000-0000-0000A2550000}"/>
    <cellStyle name="Border Thin 2 2 3 2" xfId="23709" xr:uid="{00000000-0005-0000-0000-0000A3550000}"/>
    <cellStyle name="Border Thin 2 2 4" xfId="23494" xr:uid="{00000000-0005-0000-0000-0000A4550000}"/>
    <cellStyle name="Border Thin 2 3" xfId="2783" xr:uid="{00000000-0005-0000-0000-0000A5550000}"/>
    <cellStyle name="Border Thin 2 3 2" xfId="2977" xr:uid="{00000000-0005-0000-0000-0000A6550000}"/>
    <cellStyle name="Border Thin 2 3 2 2" xfId="23786" xr:uid="{00000000-0005-0000-0000-0000A7550000}"/>
    <cellStyle name="Border Thin 2 3 3" xfId="23594" xr:uid="{00000000-0005-0000-0000-0000A8550000}"/>
    <cellStyle name="Border Thin 2 4" xfId="13189" xr:uid="{00000000-0005-0000-0000-0000A9550000}"/>
    <cellStyle name="Border Thin 2 4 2" xfId="32657" xr:uid="{00000000-0005-0000-0000-0000AA550000}"/>
    <cellStyle name="Border Thin 3" xfId="2597" xr:uid="{00000000-0005-0000-0000-0000AB550000}"/>
    <cellStyle name="Border Thin 3 2" xfId="2823" xr:uid="{00000000-0005-0000-0000-0000AC550000}"/>
    <cellStyle name="Border Thin 3 2 2" xfId="3017" xr:uid="{00000000-0005-0000-0000-0000AD550000}"/>
    <cellStyle name="Border Thin 3 2 2 2" xfId="23826" xr:uid="{00000000-0005-0000-0000-0000AE550000}"/>
    <cellStyle name="Border Thin 3 2 3" xfId="23634" xr:uid="{00000000-0005-0000-0000-0000AF550000}"/>
    <cellStyle name="Border Thin 3 3" xfId="2899" xr:uid="{00000000-0005-0000-0000-0000B0550000}"/>
    <cellStyle name="Border Thin 3 3 2" xfId="23708" xr:uid="{00000000-0005-0000-0000-0000B1550000}"/>
    <cellStyle name="Border Thin 3 4" xfId="23493" xr:uid="{00000000-0005-0000-0000-0000B2550000}"/>
    <cellStyle name="Border Thin 4" xfId="2782" xr:uid="{00000000-0005-0000-0000-0000B3550000}"/>
    <cellStyle name="Border Thin 4 2" xfId="2976" xr:uid="{00000000-0005-0000-0000-0000B4550000}"/>
    <cellStyle name="Border Thin 4 2 2" xfId="23785" xr:uid="{00000000-0005-0000-0000-0000B5550000}"/>
    <cellStyle name="Border Thin 4 3" xfId="23593" xr:uid="{00000000-0005-0000-0000-0000B6550000}"/>
    <cellStyle name="Border Top Thin" xfId="1457" xr:uid="{00000000-0005-0000-0000-0000B7550000}"/>
    <cellStyle name="Border Top Thin 2" xfId="2122" xr:uid="{00000000-0005-0000-0000-0000B8550000}"/>
    <cellStyle name="Border Top Thin 2 2" xfId="2657" xr:uid="{00000000-0005-0000-0000-0000B9550000}"/>
    <cellStyle name="Border Top Thin 2 2 2" xfId="4921" xr:uid="{00000000-0005-0000-0000-0000BA550000}"/>
    <cellStyle name="Border Top Thin 2 2 2 2" xfId="6673" xr:uid="{00000000-0005-0000-0000-0000BB550000}"/>
    <cellStyle name="Border Top Thin 2 2 2 2 2" xfId="26158" xr:uid="{00000000-0005-0000-0000-0000BC550000}"/>
    <cellStyle name="Border Top Thin 2 2 2 3" xfId="24415" xr:uid="{00000000-0005-0000-0000-0000BD550000}"/>
    <cellStyle name="Border Top Thin 2 2 3" xfId="5805" xr:uid="{00000000-0005-0000-0000-0000BE550000}"/>
    <cellStyle name="Border Top Thin 2 2 3 2" xfId="25290" xr:uid="{00000000-0005-0000-0000-0000BF550000}"/>
    <cellStyle name="Border Top Thin 2 2 4" xfId="23548" xr:uid="{00000000-0005-0000-0000-0000C0550000}"/>
    <cellStyle name="Border Top Thin 2 3" xfId="13304" xr:uid="{00000000-0005-0000-0000-0000C1550000}"/>
    <cellStyle name="Border Top Thin 2 4" xfId="13370" xr:uid="{00000000-0005-0000-0000-0000C2550000}"/>
    <cellStyle name="Border Top Thin 2 4 2" xfId="32769" xr:uid="{00000000-0005-0000-0000-0000C3550000}"/>
    <cellStyle name="Border Top Thin 2 5" xfId="20892" xr:uid="{00000000-0005-0000-0000-0000C4550000}"/>
    <cellStyle name="Border Top Thin 2 5 2" xfId="40237" xr:uid="{00000000-0005-0000-0000-0000C5550000}"/>
    <cellStyle name="Border Top Thin 2 6" xfId="23479" xr:uid="{00000000-0005-0000-0000-0000C6550000}"/>
    <cellStyle name="Border Top Thin 3" xfId="2599" xr:uid="{00000000-0005-0000-0000-0000C7550000}"/>
    <cellStyle name="Border Top Thin 3 10" xfId="20912" xr:uid="{00000000-0005-0000-0000-0000C8550000}"/>
    <cellStyle name="Border Top Thin 3 10 2" xfId="40257" xr:uid="{00000000-0005-0000-0000-0000C9550000}"/>
    <cellStyle name="Border Top Thin 3 2" xfId="4177" xr:uid="{00000000-0005-0000-0000-0000CA550000}"/>
    <cellStyle name="Border Top Thin 3 2 10" xfId="20965" xr:uid="{00000000-0005-0000-0000-0000CB550000}"/>
    <cellStyle name="Border Top Thin 3 2 10 2" xfId="40307" xr:uid="{00000000-0005-0000-0000-0000CC550000}"/>
    <cellStyle name="Border Top Thin 3 2 2" xfId="4520" xr:uid="{00000000-0005-0000-0000-0000CD550000}"/>
    <cellStyle name="Border Top Thin 3 2 2 2" xfId="5198" xr:uid="{00000000-0005-0000-0000-0000CE550000}"/>
    <cellStyle name="Border Top Thin 3 2 2 2 2" xfId="6681" xr:uid="{00000000-0005-0000-0000-0000CF550000}"/>
    <cellStyle name="Border Top Thin 3 2 2 2 2 2" xfId="14686" xr:uid="{00000000-0005-0000-0000-0000D0550000}"/>
    <cellStyle name="Border Top Thin 3 2 2 2 2 2 2" xfId="34047" xr:uid="{00000000-0005-0000-0000-0000D1550000}"/>
    <cellStyle name="Border Top Thin 3 2 2 2 2 3" xfId="17167" xr:uid="{00000000-0005-0000-0000-0000D2550000}"/>
    <cellStyle name="Border Top Thin 3 2 2 2 2 3 2" xfId="36521" xr:uid="{00000000-0005-0000-0000-0000D3550000}"/>
    <cellStyle name="Border Top Thin 3 2 2 2 2 4" xfId="19598" xr:uid="{00000000-0005-0000-0000-0000D4550000}"/>
    <cellStyle name="Border Top Thin 3 2 2 2 2 4 2" xfId="38951" xr:uid="{00000000-0005-0000-0000-0000D5550000}"/>
    <cellStyle name="Border Top Thin 3 2 2 2 2 5" xfId="22106" xr:uid="{00000000-0005-0000-0000-0000D6550000}"/>
    <cellStyle name="Border Top Thin 3 2 2 2 2 5 2" xfId="41448" xr:uid="{00000000-0005-0000-0000-0000D7550000}"/>
    <cellStyle name="Border Top Thin 3 2 2 2 2 6" xfId="26166" xr:uid="{00000000-0005-0000-0000-0000D8550000}"/>
    <cellStyle name="Border Top Thin 3 2 2 2 3" xfId="15237" xr:uid="{00000000-0005-0000-0000-0000D9550000}"/>
    <cellStyle name="Border Top Thin 3 2 2 2 3 2" xfId="17713" xr:uid="{00000000-0005-0000-0000-0000DA550000}"/>
    <cellStyle name="Border Top Thin 3 2 2 2 3 2 2" xfId="37067" xr:uid="{00000000-0005-0000-0000-0000DB550000}"/>
    <cellStyle name="Border Top Thin 3 2 2 2 3 3" xfId="20144" xr:uid="{00000000-0005-0000-0000-0000DC550000}"/>
    <cellStyle name="Border Top Thin 3 2 2 2 3 3 2" xfId="39497" xr:uid="{00000000-0005-0000-0000-0000DD550000}"/>
    <cellStyle name="Border Top Thin 3 2 2 2 3 4" xfId="22657" xr:uid="{00000000-0005-0000-0000-0000DE550000}"/>
    <cellStyle name="Border Top Thin 3 2 2 2 3 4 2" xfId="41999" xr:uid="{00000000-0005-0000-0000-0000DF550000}"/>
    <cellStyle name="Border Top Thin 3 2 2 2 3 5" xfId="34598" xr:uid="{00000000-0005-0000-0000-0000E0550000}"/>
    <cellStyle name="Border Top Thin 3 2 2 2 4" xfId="13891" xr:uid="{00000000-0005-0000-0000-0000E1550000}"/>
    <cellStyle name="Border Top Thin 3 2 2 2 4 2" xfId="33255" xr:uid="{00000000-0005-0000-0000-0000E2550000}"/>
    <cellStyle name="Border Top Thin 3 2 2 2 5" xfId="16400" xr:uid="{00000000-0005-0000-0000-0000E3550000}"/>
    <cellStyle name="Border Top Thin 3 2 2 2 5 2" xfId="35754" xr:uid="{00000000-0005-0000-0000-0000E4550000}"/>
    <cellStyle name="Border Top Thin 3 2 2 2 6" xfId="18831" xr:uid="{00000000-0005-0000-0000-0000E5550000}"/>
    <cellStyle name="Border Top Thin 3 2 2 2 6 2" xfId="38184" xr:uid="{00000000-0005-0000-0000-0000E6550000}"/>
    <cellStyle name="Border Top Thin 3 2 2 2 7" xfId="21314" xr:uid="{00000000-0005-0000-0000-0000E7550000}"/>
    <cellStyle name="Border Top Thin 3 2 2 2 7 2" xfId="40656" xr:uid="{00000000-0005-0000-0000-0000E8550000}"/>
    <cellStyle name="Border Top Thin 3 2 2 2 8" xfId="24689" xr:uid="{00000000-0005-0000-0000-0000E9550000}"/>
    <cellStyle name="Border Top Thin 3 2 2 3" xfId="6620" xr:uid="{00000000-0005-0000-0000-0000EA550000}"/>
    <cellStyle name="Border Top Thin 3 2 2 3 2" xfId="14890" xr:uid="{00000000-0005-0000-0000-0000EB550000}"/>
    <cellStyle name="Border Top Thin 3 2 2 3 2 2" xfId="17368" xr:uid="{00000000-0005-0000-0000-0000EC550000}"/>
    <cellStyle name="Border Top Thin 3 2 2 3 2 2 2" xfId="36722" xr:uid="{00000000-0005-0000-0000-0000ED550000}"/>
    <cellStyle name="Border Top Thin 3 2 2 3 2 3" xfId="19799" xr:uid="{00000000-0005-0000-0000-0000EE550000}"/>
    <cellStyle name="Border Top Thin 3 2 2 3 2 3 2" xfId="39152" xr:uid="{00000000-0005-0000-0000-0000EF550000}"/>
    <cellStyle name="Border Top Thin 3 2 2 3 2 4" xfId="22310" xr:uid="{00000000-0005-0000-0000-0000F0550000}"/>
    <cellStyle name="Border Top Thin 3 2 2 3 2 4 2" xfId="41652" xr:uid="{00000000-0005-0000-0000-0000F1550000}"/>
    <cellStyle name="Border Top Thin 3 2 2 3 2 5" xfId="34251" xr:uid="{00000000-0005-0000-0000-0000F2550000}"/>
    <cellStyle name="Border Top Thin 3 2 2 3 3" xfId="15437" xr:uid="{00000000-0005-0000-0000-0000F3550000}"/>
    <cellStyle name="Border Top Thin 3 2 2 3 3 2" xfId="17913" xr:uid="{00000000-0005-0000-0000-0000F4550000}"/>
    <cellStyle name="Border Top Thin 3 2 2 3 3 2 2" xfId="37267" xr:uid="{00000000-0005-0000-0000-0000F5550000}"/>
    <cellStyle name="Border Top Thin 3 2 2 3 3 3" xfId="20344" xr:uid="{00000000-0005-0000-0000-0000F6550000}"/>
    <cellStyle name="Border Top Thin 3 2 2 3 3 3 2" xfId="39697" xr:uid="{00000000-0005-0000-0000-0000F7550000}"/>
    <cellStyle name="Border Top Thin 3 2 2 3 3 4" xfId="22857" xr:uid="{00000000-0005-0000-0000-0000F8550000}"/>
    <cellStyle name="Border Top Thin 3 2 2 3 3 4 2" xfId="42199" xr:uid="{00000000-0005-0000-0000-0000F9550000}"/>
    <cellStyle name="Border Top Thin 3 2 2 3 3 5" xfId="34798" xr:uid="{00000000-0005-0000-0000-0000FA550000}"/>
    <cellStyle name="Border Top Thin 3 2 2 3 4" xfId="15896" xr:uid="{00000000-0005-0000-0000-0000FB550000}"/>
    <cellStyle name="Border Top Thin 3 2 2 3 4 2" xfId="18372" xr:uid="{00000000-0005-0000-0000-0000FC550000}"/>
    <cellStyle name="Border Top Thin 3 2 2 3 4 2 2" xfId="37726" xr:uid="{00000000-0005-0000-0000-0000FD550000}"/>
    <cellStyle name="Border Top Thin 3 2 2 3 4 3" xfId="20803" xr:uid="{00000000-0005-0000-0000-0000FE550000}"/>
    <cellStyle name="Border Top Thin 3 2 2 3 4 3 2" xfId="40156" xr:uid="{00000000-0005-0000-0000-0000FF550000}"/>
    <cellStyle name="Border Top Thin 3 2 2 3 4 4" xfId="23316" xr:uid="{00000000-0005-0000-0000-000000560000}"/>
    <cellStyle name="Border Top Thin 3 2 2 3 4 4 2" xfId="42658" xr:uid="{00000000-0005-0000-0000-000001560000}"/>
    <cellStyle name="Border Top Thin 3 2 2 3 4 5" xfId="35257" xr:uid="{00000000-0005-0000-0000-000002560000}"/>
    <cellStyle name="Border Top Thin 3 2 2 3 5" xfId="14109" xr:uid="{00000000-0005-0000-0000-000003560000}"/>
    <cellStyle name="Border Top Thin 3 2 2 3 5 2" xfId="33473" xr:uid="{00000000-0005-0000-0000-000004560000}"/>
    <cellStyle name="Border Top Thin 3 2 2 3 6" xfId="16615" xr:uid="{00000000-0005-0000-0000-000005560000}"/>
    <cellStyle name="Border Top Thin 3 2 2 3 6 2" xfId="35969" xr:uid="{00000000-0005-0000-0000-000006560000}"/>
    <cellStyle name="Border Top Thin 3 2 2 3 7" xfId="19046" xr:uid="{00000000-0005-0000-0000-000007560000}"/>
    <cellStyle name="Border Top Thin 3 2 2 3 7 2" xfId="38399" xr:uid="{00000000-0005-0000-0000-000008560000}"/>
    <cellStyle name="Border Top Thin 3 2 2 3 8" xfId="21532" xr:uid="{00000000-0005-0000-0000-000009560000}"/>
    <cellStyle name="Border Top Thin 3 2 2 3 8 2" xfId="40874" xr:uid="{00000000-0005-0000-0000-00000A560000}"/>
    <cellStyle name="Border Top Thin 3 2 2 3 9" xfId="26105" xr:uid="{00000000-0005-0000-0000-00000B560000}"/>
    <cellStyle name="Border Top Thin 3 2 2 4" xfId="14401" xr:uid="{00000000-0005-0000-0000-00000C560000}"/>
    <cellStyle name="Border Top Thin 3 2 2 4 2" xfId="16894" xr:uid="{00000000-0005-0000-0000-00000D560000}"/>
    <cellStyle name="Border Top Thin 3 2 2 4 2 2" xfId="36248" xr:uid="{00000000-0005-0000-0000-00000E560000}"/>
    <cellStyle name="Border Top Thin 3 2 2 4 3" xfId="19325" xr:uid="{00000000-0005-0000-0000-00000F560000}"/>
    <cellStyle name="Border Top Thin 3 2 2 4 3 2" xfId="38678" xr:uid="{00000000-0005-0000-0000-000010560000}"/>
    <cellStyle name="Border Top Thin 3 2 2 4 4" xfId="21821" xr:uid="{00000000-0005-0000-0000-000011560000}"/>
    <cellStyle name="Border Top Thin 3 2 2 4 4 2" xfId="41163" xr:uid="{00000000-0005-0000-0000-000012560000}"/>
    <cellStyle name="Border Top Thin 3 2 2 4 5" xfId="33762" xr:uid="{00000000-0005-0000-0000-000013560000}"/>
    <cellStyle name="Border Top Thin 3 2 2 5" xfId="15031" xr:uid="{00000000-0005-0000-0000-000014560000}"/>
    <cellStyle name="Border Top Thin 3 2 2 5 2" xfId="17507" xr:uid="{00000000-0005-0000-0000-000015560000}"/>
    <cellStyle name="Border Top Thin 3 2 2 5 2 2" xfId="36861" xr:uid="{00000000-0005-0000-0000-000016560000}"/>
    <cellStyle name="Border Top Thin 3 2 2 5 3" xfId="19938" xr:uid="{00000000-0005-0000-0000-000017560000}"/>
    <cellStyle name="Border Top Thin 3 2 2 5 3 2" xfId="39291" xr:uid="{00000000-0005-0000-0000-000018560000}"/>
    <cellStyle name="Border Top Thin 3 2 2 5 4" xfId="22451" xr:uid="{00000000-0005-0000-0000-000019560000}"/>
    <cellStyle name="Border Top Thin 3 2 2 5 4 2" xfId="41793" xr:uid="{00000000-0005-0000-0000-00001A560000}"/>
    <cellStyle name="Border Top Thin 3 2 2 5 5" xfId="34392" xr:uid="{00000000-0005-0000-0000-00001B560000}"/>
    <cellStyle name="Border Top Thin 3 2 2 6" xfId="14199" xr:uid="{00000000-0005-0000-0000-00001C560000}"/>
    <cellStyle name="Border Top Thin 3 2 2 6 2" xfId="16703" xr:uid="{00000000-0005-0000-0000-00001D560000}"/>
    <cellStyle name="Border Top Thin 3 2 2 6 2 2" xfId="36057" xr:uid="{00000000-0005-0000-0000-00001E560000}"/>
    <cellStyle name="Border Top Thin 3 2 2 6 3" xfId="19134" xr:uid="{00000000-0005-0000-0000-00001F560000}"/>
    <cellStyle name="Border Top Thin 3 2 2 6 3 2" xfId="38487" xr:uid="{00000000-0005-0000-0000-000020560000}"/>
    <cellStyle name="Border Top Thin 3 2 2 6 4" xfId="21621" xr:uid="{00000000-0005-0000-0000-000021560000}"/>
    <cellStyle name="Border Top Thin 3 2 2 6 4 2" xfId="40963" xr:uid="{00000000-0005-0000-0000-000022560000}"/>
    <cellStyle name="Border Top Thin 3 2 2 6 5" xfId="33562" xr:uid="{00000000-0005-0000-0000-000023560000}"/>
    <cellStyle name="Border Top Thin 3 2 2 7" xfId="13591" xr:uid="{00000000-0005-0000-0000-000024560000}"/>
    <cellStyle name="Border Top Thin 3 2 2 7 2" xfId="32957" xr:uid="{00000000-0005-0000-0000-000025560000}"/>
    <cellStyle name="Border Top Thin 3 2 2 8" xfId="16121" xr:uid="{00000000-0005-0000-0000-000026560000}"/>
    <cellStyle name="Border Top Thin 3 2 2 8 2" xfId="35475" xr:uid="{00000000-0005-0000-0000-000027560000}"/>
    <cellStyle name="Border Top Thin 3 2 2 9" xfId="18544" xr:uid="{00000000-0005-0000-0000-000028560000}"/>
    <cellStyle name="Border Top Thin 3 2 2 9 2" xfId="37897" xr:uid="{00000000-0005-0000-0000-000029560000}"/>
    <cellStyle name="Border Top Thin 3 2 3" xfId="13660" xr:uid="{00000000-0005-0000-0000-00002A560000}"/>
    <cellStyle name="Border Top Thin 3 2 3 2" xfId="13958" xr:uid="{00000000-0005-0000-0000-00002B560000}"/>
    <cellStyle name="Border Top Thin 3 2 3 2 2" xfId="14753" xr:uid="{00000000-0005-0000-0000-00002C560000}"/>
    <cellStyle name="Border Top Thin 3 2 3 2 2 2" xfId="17231" xr:uid="{00000000-0005-0000-0000-00002D560000}"/>
    <cellStyle name="Border Top Thin 3 2 3 2 2 2 2" xfId="36585" xr:uid="{00000000-0005-0000-0000-00002E560000}"/>
    <cellStyle name="Border Top Thin 3 2 3 2 2 3" xfId="19662" xr:uid="{00000000-0005-0000-0000-00002F560000}"/>
    <cellStyle name="Border Top Thin 3 2 3 2 2 3 2" xfId="39015" xr:uid="{00000000-0005-0000-0000-000030560000}"/>
    <cellStyle name="Border Top Thin 3 2 3 2 2 4" xfId="22173" xr:uid="{00000000-0005-0000-0000-000031560000}"/>
    <cellStyle name="Border Top Thin 3 2 3 2 2 4 2" xfId="41515" xr:uid="{00000000-0005-0000-0000-000032560000}"/>
    <cellStyle name="Border Top Thin 3 2 3 2 2 5" xfId="34114" xr:uid="{00000000-0005-0000-0000-000033560000}"/>
    <cellStyle name="Border Top Thin 3 2 3 2 3" xfId="15301" xr:uid="{00000000-0005-0000-0000-000034560000}"/>
    <cellStyle name="Border Top Thin 3 2 3 2 3 2" xfId="17777" xr:uid="{00000000-0005-0000-0000-000035560000}"/>
    <cellStyle name="Border Top Thin 3 2 3 2 3 2 2" xfId="37131" xr:uid="{00000000-0005-0000-0000-000036560000}"/>
    <cellStyle name="Border Top Thin 3 2 3 2 3 3" xfId="20208" xr:uid="{00000000-0005-0000-0000-000037560000}"/>
    <cellStyle name="Border Top Thin 3 2 3 2 3 3 2" xfId="39561" xr:uid="{00000000-0005-0000-0000-000038560000}"/>
    <cellStyle name="Border Top Thin 3 2 3 2 3 4" xfId="22721" xr:uid="{00000000-0005-0000-0000-000039560000}"/>
    <cellStyle name="Border Top Thin 3 2 3 2 3 4 2" xfId="42063" xr:uid="{00000000-0005-0000-0000-00003A560000}"/>
    <cellStyle name="Border Top Thin 3 2 3 2 3 5" xfId="34662" xr:uid="{00000000-0005-0000-0000-00003B560000}"/>
    <cellStyle name="Border Top Thin 3 2 3 2 4" xfId="15760" xr:uid="{00000000-0005-0000-0000-00003C560000}"/>
    <cellStyle name="Border Top Thin 3 2 3 2 4 2" xfId="18236" xr:uid="{00000000-0005-0000-0000-00003D560000}"/>
    <cellStyle name="Border Top Thin 3 2 3 2 4 2 2" xfId="37590" xr:uid="{00000000-0005-0000-0000-00003E560000}"/>
    <cellStyle name="Border Top Thin 3 2 3 2 4 3" xfId="20667" xr:uid="{00000000-0005-0000-0000-00003F560000}"/>
    <cellStyle name="Border Top Thin 3 2 3 2 4 3 2" xfId="40020" xr:uid="{00000000-0005-0000-0000-000040560000}"/>
    <cellStyle name="Border Top Thin 3 2 3 2 4 4" xfId="23180" xr:uid="{00000000-0005-0000-0000-000041560000}"/>
    <cellStyle name="Border Top Thin 3 2 3 2 4 4 2" xfId="42522" xr:uid="{00000000-0005-0000-0000-000042560000}"/>
    <cellStyle name="Border Top Thin 3 2 3 2 4 5" xfId="35121" xr:uid="{00000000-0005-0000-0000-000043560000}"/>
    <cellStyle name="Border Top Thin 3 2 3 2 5" xfId="16464" xr:uid="{00000000-0005-0000-0000-000044560000}"/>
    <cellStyle name="Border Top Thin 3 2 3 2 5 2" xfId="35818" xr:uid="{00000000-0005-0000-0000-000045560000}"/>
    <cellStyle name="Border Top Thin 3 2 3 2 6" xfId="18895" xr:uid="{00000000-0005-0000-0000-000046560000}"/>
    <cellStyle name="Border Top Thin 3 2 3 2 6 2" xfId="38248" xr:uid="{00000000-0005-0000-0000-000047560000}"/>
    <cellStyle name="Border Top Thin 3 2 3 2 7" xfId="21381" xr:uid="{00000000-0005-0000-0000-000048560000}"/>
    <cellStyle name="Border Top Thin 3 2 3 2 7 2" xfId="40723" xr:uid="{00000000-0005-0000-0000-000049560000}"/>
    <cellStyle name="Border Top Thin 3 2 3 2 8" xfId="33322" xr:uid="{00000000-0005-0000-0000-00004A560000}"/>
    <cellStyle name="Border Top Thin 3 2 3 3" xfId="14171" xr:uid="{00000000-0005-0000-0000-00004B560000}"/>
    <cellStyle name="Border Top Thin 3 2 3 3 2" xfId="14948" xr:uid="{00000000-0005-0000-0000-00004C560000}"/>
    <cellStyle name="Border Top Thin 3 2 3 3 2 2" xfId="17426" xr:uid="{00000000-0005-0000-0000-00004D560000}"/>
    <cellStyle name="Border Top Thin 3 2 3 3 2 2 2" xfId="36780" xr:uid="{00000000-0005-0000-0000-00004E560000}"/>
    <cellStyle name="Border Top Thin 3 2 3 3 2 3" xfId="19857" xr:uid="{00000000-0005-0000-0000-00004F560000}"/>
    <cellStyle name="Border Top Thin 3 2 3 3 2 3 2" xfId="39210" xr:uid="{00000000-0005-0000-0000-000050560000}"/>
    <cellStyle name="Border Top Thin 3 2 3 3 2 4" xfId="22368" xr:uid="{00000000-0005-0000-0000-000051560000}"/>
    <cellStyle name="Border Top Thin 3 2 3 3 2 4 2" xfId="41710" xr:uid="{00000000-0005-0000-0000-000052560000}"/>
    <cellStyle name="Border Top Thin 3 2 3 3 2 5" xfId="34309" xr:uid="{00000000-0005-0000-0000-000053560000}"/>
    <cellStyle name="Border Top Thin 3 2 3 3 3" xfId="15494" xr:uid="{00000000-0005-0000-0000-000054560000}"/>
    <cellStyle name="Border Top Thin 3 2 3 3 3 2" xfId="17970" xr:uid="{00000000-0005-0000-0000-000055560000}"/>
    <cellStyle name="Border Top Thin 3 2 3 3 3 2 2" xfId="37324" xr:uid="{00000000-0005-0000-0000-000056560000}"/>
    <cellStyle name="Border Top Thin 3 2 3 3 3 3" xfId="20401" xr:uid="{00000000-0005-0000-0000-000057560000}"/>
    <cellStyle name="Border Top Thin 3 2 3 3 3 3 2" xfId="39754" xr:uid="{00000000-0005-0000-0000-000058560000}"/>
    <cellStyle name="Border Top Thin 3 2 3 3 3 4" xfId="22914" xr:uid="{00000000-0005-0000-0000-000059560000}"/>
    <cellStyle name="Border Top Thin 3 2 3 3 3 4 2" xfId="42256" xr:uid="{00000000-0005-0000-0000-00005A560000}"/>
    <cellStyle name="Border Top Thin 3 2 3 3 3 5" xfId="34855" xr:uid="{00000000-0005-0000-0000-00005B560000}"/>
    <cellStyle name="Border Top Thin 3 2 3 3 4" xfId="15953" xr:uid="{00000000-0005-0000-0000-00005C560000}"/>
    <cellStyle name="Border Top Thin 3 2 3 3 4 2" xfId="18429" xr:uid="{00000000-0005-0000-0000-00005D560000}"/>
    <cellStyle name="Border Top Thin 3 2 3 3 4 2 2" xfId="37783" xr:uid="{00000000-0005-0000-0000-00005E560000}"/>
    <cellStyle name="Border Top Thin 3 2 3 3 4 3" xfId="20860" xr:uid="{00000000-0005-0000-0000-00005F560000}"/>
    <cellStyle name="Border Top Thin 3 2 3 3 4 3 2" xfId="40213" xr:uid="{00000000-0005-0000-0000-000060560000}"/>
    <cellStyle name="Border Top Thin 3 2 3 3 4 4" xfId="23373" xr:uid="{00000000-0005-0000-0000-000061560000}"/>
    <cellStyle name="Border Top Thin 3 2 3 3 4 4 2" xfId="42715" xr:uid="{00000000-0005-0000-0000-000062560000}"/>
    <cellStyle name="Border Top Thin 3 2 3 3 4 5" xfId="35314" xr:uid="{00000000-0005-0000-0000-000063560000}"/>
    <cellStyle name="Border Top Thin 3 2 3 3 5" xfId="16677" xr:uid="{00000000-0005-0000-0000-000064560000}"/>
    <cellStyle name="Border Top Thin 3 2 3 3 5 2" xfId="36031" xr:uid="{00000000-0005-0000-0000-000065560000}"/>
    <cellStyle name="Border Top Thin 3 2 3 3 6" xfId="19108" xr:uid="{00000000-0005-0000-0000-000066560000}"/>
    <cellStyle name="Border Top Thin 3 2 3 3 6 2" xfId="38461" xr:uid="{00000000-0005-0000-0000-000067560000}"/>
    <cellStyle name="Border Top Thin 3 2 3 3 7" xfId="21594" xr:uid="{00000000-0005-0000-0000-000068560000}"/>
    <cellStyle name="Border Top Thin 3 2 3 3 7 2" xfId="40936" xr:uid="{00000000-0005-0000-0000-000069560000}"/>
    <cellStyle name="Border Top Thin 3 2 3 3 8" xfId="33535" xr:uid="{00000000-0005-0000-0000-00006A560000}"/>
    <cellStyle name="Border Top Thin 3 2 3 4" xfId="14468" xr:uid="{00000000-0005-0000-0000-00006B560000}"/>
    <cellStyle name="Border Top Thin 3 2 3 4 2" xfId="16958" xr:uid="{00000000-0005-0000-0000-00006C560000}"/>
    <cellStyle name="Border Top Thin 3 2 3 4 2 2" xfId="36312" xr:uid="{00000000-0005-0000-0000-00006D560000}"/>
    <cellStyle name="Border Top Thin 3 2 3 4 3" xfId="19389" xr:uid="{00000000-0005-0000-0000-00006E560000}"/>
    <cellStyle name="Border Top Thin 3 2 3 4 3 2" xfId="38742" xr:uid="{00000000-0005-0000-0000-00006F560000}"/>
    <cellStyle name="Border Top Thin 3 2 3 4 4" xfId="21888" xr:uid="{00000000-0005-0000-0000-000070560000}"/>
    <cellStyle name="Border Top Thin 3 2 3 4 4 2" xfId="41230" xr:uid="{00000000-0005-0000-0000-000071560000}"/>
    <cellStyle name="Border Top Thin 3 2 3 4 5" xfId="33829" xr:uid="{00000000-0005-0000-0000-000072560000}"/>
    <cellStyle name="Border Top Thin 3 2 3 5" xfId="16180" xr:uid="{00000000-0005-0000-0000-000073560000}"/>
    <cellStyle name="Border Top Thin 3 2 3 5 2" xfId="35534" xr:uid="{00000000-0005-0000-0000-000074560000}"/>
    <cellStyle name="Border Top Thin 3 2 3 6" xfId="18611" xr:uid="{00000000-0005-0000-0000-000075560000}"/>
    <cellStyle name="Border Top Thin 3 2 3 6 2" xfId="37964" xr:uid="{00000000-0005-0000-0000-000076560000}"/>
    <cellStyle name="Border Top Thin 3 2 3 7" xfId="21085" xr:uid="{00000000-0005-0000-0000-000077560000}"/>
    <cellStyle name="Border Top Thin 3 2 3 7 2" xfId="40427" xr:uid="{00000000-0005-0000-0000-000078560000}"/>
    <cellStyle name="Border Top Thin 3 2 3 8" xfId="33026" xr:uid="{00000000-0005-0000-0000-000079560000}"/>
    <cellStyle name="Border Top Thin 3 2 4" xfId="13778" xr:uid="{00000000-0005-0000-0000-00007A560000}"/>
    <cellStyle name="Border Top Thin 3 2 4 2" xfId="14577" xr:uid="{00000000-0005-0000-0000-00007B560000}"/>
    <cellStyle name="Border Top Thin 3 2 4 2 2" xfId="17064" xr:uid="{00000000-0005-0000-0000-00007C560000}"/>
    <cellStyle name="Border Top Thin 3 2 4 2 2 2" xfId="36418" xr:uid="{00000000-0005-0000-0000-00007D560000}"/>
    <cellStyle name="Border Top Thin 3 2 4 2 3" xfId="19495" xr:uid="{00000000-0005-0000-0000-00007E560000}"/>
    <cellStyle name="Border Top Thin 3 2 4 2 3 2" xfId="38848" xr:uid="{00000000-0005-0000-0000-00007F560000}"/>
    <cellStyle name="Border Top Thin 3 2 4 2 4" xfId="21997" xr:uid="{00000000-0005-0000-0000-000080560000}"/>
    <cellStyle name="Border Top Thin 3 2 4 2 4 2" xfId="41339" xr:uid="{00000000-0005-0000-0000-000081560000}"/>
    <cellStyle name="Border Top Thin 3 2 4 2 5" xfId="33938" xr:uid="{00000000-0005-0000-0000-000082560000}"/>
    <cellStyle name="Border Top Thin 3 2 4 3" xfId="15137" xr:uid="{00000000-0005-0000-0000-000083560000}"/>
    <cellStyle name="Border Top Thin 3 2 4 3 2" xfId="17613" xr:uid="{00000000-0005-0000-0000-000084560000}"/>
    <cellStyle name="Border Top Thin 3 2 4 3 2 2" xfId="36967" xr:uid="{00000000-0005-0000-0000-000085560000}"/>
    <cellStyle name="Border Top Thin 3 2 4 3 3" xfId="20044" xr:uid="{00000000-0005-0000-0000-000086560000}"/>
    <cellStyle name="Border Top Thin 3 2 4 3 3 2" xfId="39397" xr:uid="{00000000-0005-0000-0000-000087560000}"/>
    <cellStyle name="Border Top Thin 3 2 4 3 4" xfId="22557" xr:uid="{00000000-0005-0000-0000-000088560000}"/>
    <cellStyle name="Border Top Thin 3 2 4 3 4 2" xfId="41899" xr:uid="{00000000-0005-0000-0000-000089560000}"/>
    <cellStyle name="Border Top Thin 3 2 4 3 5" xfId="34498" xr:uid="{00000000-0005-0000-0000-00008A560000}"/>
    <cellStyle name="Border Top Thin 3 2 4 4" xfId="15618" xr:uid="{00000000-0005-0000-0000-00008B560000}"/>
    <cellStyle name="Border Top Thin 3 2 4 4 2" xfId="18094" xr:uid="{00000000-0005-0000-0000-00008C560000}"/>
    <cellStyle name="Border Top Thin 3 2 4 4 2 2" xfId="37448" xr:uid="{00000000-0005-0000-0000-00008D560000}"/>
    <cellStyle name="Border Top Thin 3 2 4 4 3" xfId="20525" xr:uid="{00000000-0005-0000-0000-00008E560000}"/>
    <cellStyle name="Border Top Thin 3 2 4 4 3 2" xfId="39878" xr:uid="{00000000-0005-0000-0000-00008F560000}"/>
    <cellStyle name="Border Top Thin 3 2 4 4 4" xfId="23038" xr:uid="{00000000-0005-0000-0000-000090560000}"/>
    <cellStyle name="Border Top Thin 3 2 4 4 4 2" xfId="42380" xr:uid="{00000000-0005-0000-0000-000091560000}"/>
    <cellStyle name="Border Top Thin 3 2 4 4 5" xfId="34979" xr:uid="{00000000-0005-0000-0000-000092560000}"/>
    <cellStyle name="Border Top Thin 3 2 4 5" xfId="16293" xr:uid="{00000000-0005-0000-0000-000093560000}"/>
    <cellStyle name="Border Top Thin 3 2 4 5 2" xfId="35647" xr:uid="{00000000-0005-0000-0000-000094560000}"/>
    <cellStyle name="Border Top Thin 3 2 4 6" xfId="18724" xr:uid="{00000000-0005-0000-0000-000095560000}"/>
    <cellStyle name="Border Top Thin 3 2 4 6 2" xfId="38077" xr:uid="{00000000-0005-0000-0000-000096560000}"/>
    <cellStyle name="Border Top Thin 3 2 4 7" xfId="21201" xr:uid="{00000000-0005-0000-0000-000097560000}"/>
    <cellStyle name="Border Top Thin 3 2 4 7 2" xfId="40543" xr:uid="{00000000-0005-0000-0000-000098560000}"/>
    <cellStyle name="Border Top Thin 3 2 4 8" xfId="33142" xr:uid="{00000000-0005-0000-0000-000099560000}"/>
    <cellStyle name="Border Top Thin 3 2 5" xfId="14007" xr:uid="{00000000-0005-0000-0000-00009A560000}"/>
    <cellStyle name="Border Top Thin 3 2 5 2" xfId="14802" xr:uid="{00000000-0005-0000-0000-00009B560000}"/>
    <cellStyle name="Border Top Thin 3 2 5 2 2" xfId="17280" xr:uid="{00000000-0005-0000-0000-00009C560000}"/>
    <cellStyle name="Border Top Thin 3 2 5 2 2 2" xfId="36634" xr:uid="{00000000-0005-0000-0000-00009D560000}"/>
    <cellStyle name="Border Top Thin 3 2 5 2 3" xfId="19711" xr:uid="{00000000-0005-0000-0000-00009E560000}"/>
    <cellStyle name="Border Top Thin 3 2 5 2 3 2" xfId="39064" xr:uid="{00000000-0005-0000-0000-00009F560000}"/>
    <cellStyle name="Border Top Thin 3 2 5 2 4" xfId="22222" xr:uid="{00000000-0005-0000-0000-0000A0560000}"/>
    <cellStyle name="Border Top Thin 3 2 5 2 4 2" xfId="41564" xr:uid="{00000000-0005-0000-0000-0000A1560000}"/>
    <cellStyle name="Border Top Thin 3 2 5 2 5" xfId="34163" xr:uid="{00000000-0005-0000-0000-0000A2560000}"/>
    <cellStyle name="Border Top Thin 3 2 5 3" xfId="15350" xr:uid="{00000000-0005-0000-0000-0000A3560000}"/>
    <cellStyle name="Border Top Thin 3 2 5 3 2" xfId="17826" xr:uid="{00000000-0005-0000-0000-0000A4560000}"/>
    <cellStyle name="Border Top Thin 3 2 5 3 2 2" xfId="37180" xr:uid="{00000000-0005-0000-0000-0000A5560000}"/>
    <cellStyle name="Border Top Thin 3 2 5 3 3" xfId="20257" xr:uid="{00000000-0005-0000-0000-0000A6560000}"/>
    <cellStyle name="Border Top Thin 3 2 5 3 3 2" xfId="39610" xr:uid="{00000000-0005-0000-0000-0000A7560000}"/>
    <cellStyle name="Border Top Thin 3 2 5 3 4" xfId="22770" xr:uid="{00000000-0005-0000-0000-0000A8560000}"/>
    <cellStyle name="Border Top Thin 3 2 5 3 4 2" xfId="42112" xr:uid="{00000000-0005-0000-0000-0000A9560000}"/>
    <cellStyle name="Border Top Thin 3 2 5 3 5" xfId="34711" xr:uid="{00000000-0005-0000-0000-0000AA560000}"/>
    <cellStyle name="Border Top Thin 3 2 5 4" xfId="15809" xr:uid="{00000000-0005-0000-0000-0000AB560000}"/>
    <cellStyle name="Border Top Thin 3 2 5 4 2" xfId="18285" xr:uid="{00000000-0005-0000-0000-0000AC560000}"/>
    <cellStyle name="Border Top Thin 3 2 5 4 2 2" xfId="37639" xr:uid="{00000000-0005-0000-0000-0000AD560000}"/>
    <cellStyle name="Border Top Thin 3 2 5 4 3" xfId="20716" xr:uid="{00000000-0005-0000-0000-0000AE560000}"/>
    <cellStyle name="Border Top Thin 3 2 5 4 3 2" xfId="40069" xr:uid="{00000000-0005-0000-0000-0000AF560000}"/>
    <cellStyle name="Border Top Thin 3 2 5 4 4" xfId="23229" xr:uid="{00000000-0005-0000-0000-0000B0560000}"/>
    <cellStyle name="Border Top Thin 3 2 5 4 4 2" xfId="42571" xr:uid="{00000000-0005-0000-0000-0000B1560000}"/>
    <cellStyle name="Border Top Thin 3 2 5 4 5" xfId="35170" xr:uid="{00000000-0005-0000-0000-0000B2560000}"/>
    <cellStyle name="Border Top Thin 3 2 5 5" xfId="16513" xr:uid="{00000000-0005-0000-0000-0000B3560000}"/>
    <cellStyle name="Border Top Thin 3 2 5 5 2" xfId="35867" xr:uid="{00000000-0005-0000-0000-0000B4560000}"/>
    <cellStyle name="Border Top Thin 3 2 5 6" xfId="18944" xr:uid="{00000000-0005-0000-0000-0000B5560000}"/>
    <cellStyle name="Border Top Thin 3 2 5 6 2" xfId="38297" xr:uid="{00000000-0005-0000-0000-0000B6560000}"/>
    <cellStyle name="Border Top Thin 3 2 5 7" xfId="21430" xr:uid="{00000000-0005-0000-0000-0000B7560000}"/>
    <cellStyle name="Border Top Thin 3 2 5 7 2" xfId="40772" xr:uid="{00000000-0005-0000-0000-0000B8560000}"/>
    <cellStyle name="Border Top Thin 3 2 5 8" xfId="33371" xr:uid="{00000000-0005-0000-0000-0000B9560000}"/>
    <cellStyle name="Border Top Thin 3 2 6" xfId="14296" xr:uid="{00000000-0005-0000-0000-0000BA560000}"/>
    <cellStyle name="Border Top Thin 3 2 6 2" xfId="16795" xr:uid="{00000000-0005-0000-0000-0000BB560000}"/>
    <cellStyle name="Border Top Thin 3 2 6 2 2" xfId="36149" xr:uid="{00000000-0005-0000-0000-0000BC560000}"/>
    <cellStyle name="Border Top Thin 3 2 6 3" xfId="19226" xr:uid="{00000000-0005-0000-0000-0000BD560000}"/>
    <cellStyle name="Border Top Thin 3 2 6 3 2" xfId="38579" xr:uid="{00000000-0005-0000-0000-0000BE560000}"/>
    <cellStyle name="Border Top Thin 3 2 6 4" xfId="21716" xr:uid="{00000000-0005-0000-0000-0000BF560000}"/>
    <cellStyle name="Border Top Thin 3 2 6 4 2" xfId="41058" xr:uid="{00000000-0005-0000-0000-0000C0560000}"/>
    <cellStyle name="Border Top Thin 3 2 6 5" xfId="33657" xr:uid="{00000000-0005-0000-0000-0000C1560000}"/>
    <cellStyle name="Border Top Thin 3 2 7" xfId="13465" xr:uid="{00000000-0005-0000-0000-0000C2560000}"/>
    <cellStyle name="Border Top Thin 3 2 7 2" xfId="32844" xr:uid="{00000000-0005-0000-0000-0000C3560000}"/>
    <cellStyle name="Border Top Thin 3 2 8" xfId="16035" xr:uid="{00000000-0005-0000-0000-0000C4560000}"/>
    <cellStyle name="Border Top Thin 3 2 8 2" xfId="35389" xr:uid="{00000000-0005-0000-0000-0000C5560000}"/>
    <cellStyle name="Border Top Thin 3 2 9" xfId="13212" xr:uid="{00000000-0005-0000-0000-0000C6560000}"/>
    <cellStyle name="Border Top Thin 3 2 9 2" xfId="32679" xr:uid="{00000000-0005-0000-0000-0000C7560000}"/>
    <cellStyle name="Border Top Thin 3 3" xfId="4907" xr:uid="{00000000-0005-0000-0000-0000C8560000}"/>
    <cellStyle name="Border Top Thin 3 3 10" xfId="20924" xr:uid="{00000000-0005-0000-0000-0000C9560000}"/>
    <cellStyle name="Border Top Thin 3 3 10 2" xfId="40266" xr:uid="{00000000-0005-0000-0000-0000CA560000}"/>
    <cellStyle name="Border Top Thin 3 3 11" xfId="24401" xr:uid="{00000000-0005-0000-0000-0000CB560000}"/>
    <cellStyle name="Border Top Thin 3 3 2" xfId="6659" xr:uid="{00000000-0005-0000-0000-0000CC560000}"/>
    <cellStyle name="Border Top Thin 3 3 2 10" xfId="26144" xr:uid="{00000000-0005-0000-0000-0000CD560000}"/>
    <cellStyle name="Border Top Thin 3 3 2 2" xfId="13846" xr:uid="{00000000-0005-0000-0000-0000CE560000}"/>
    <cellStyle name="Border Top Thin 3 3 2 2 2" xfId="14641" xr:uid="{00000000-0005-0000-0000-0000CF560000}"/>
    <cellStyle name="Border Top Thin 3 3 2 2 2 2" xfId="17122" xr:uid="{00000000-0005-0000-0000-0000D0560000}"/>
    <cellStyle name="Border Top Thin 3 3 2 2 2 2 2" xfId="36476" xr:uid="{00000000-0005-0000-0000-0000D1560000}"/>
    <cellStyle name="Border Top Thin 3 3 2 2 2 3" xfId="19553" xr:uid="{00000000-0005-0000-0000-0000D2560000}"/>
    <cellStyle name="Border Top Thin 3 3 2 2 2 3 2" xfId="38906" xr:uid="{00000000-0005-0000-0000-0000D3560000}"/>
    <cellStyle name="Border Top Thin 3 3 2 2 2 4" xfId="22061" xr:uid="{00000000-0005-0000-0000-0000D4560000}"/>
    <cellStyle name="Border Top Thin 3 3 2 2 2 4 2" xfId="41403" xr:uid="{00000000-0005-0000-0000-0000D5560000}"/>
    <cellStyle name="Border Top Thin 3 3 2 2 2 5" xfId="34002" xr:uid="{00000000-0005-0000-0000-0000D6560000}"/>
    <cellStyle name="Border Top Thin 3 3 2 2 3" xfId="15194" xr:uid="{00000000-0005-0000-0000-0000D7560000}"/>
    <cellStyle name="Border Top Thin 3 3 2 2 3 2" xfId="17670" xr:uid="{00000000-0005-0000-0000-0000D8560000}"/>
    <cellStyle name="Border Top Thin 3 3 2 2 3 2 2" xfId="37024" xr:uid="{00000000-0005-0000-0000-0000D9560000}"/>
    <cellStyle name="Border Top Thin 3 3 2 2 3 3" xfId="20101" xr:uid="{00000000-0005-0000-0000-0000DA560000}"/>
    <cellStyle name="Border Top Thin 3 3 2 2 3 3 2" xfId="39454" xr:uid="{00000000-0005-0000-0000-0000DB560000}"/>
    <cellStyle name="Border Top Thin 3 3 2 2 3 4" xfId="22614" xr:uid="{00000000-0005-0000-0000-0000DC560000}"/>
    <cellStyle name="Border Top Thin 3 3 2 2 3 4 2" xfId="41956" xr:uid="{00000000-0005-0000-0000-0000DD560000}"/>
    <cellStyle name="Border Top Thin 3 3 2 2 3 5" xfId="34555" xr:uid="{00000000-0005-0000-0000-0000DE560000}"/>
    <cellStyle name="Border Top Thin 3 3 2 2 4" xfId="16355" xr:uid="{00000000-0005-0000-0000-0000DF560000}"/>
    <cellStyle name="Border Top Thin 3 3 2 2 4 2" xfId="35709" xr:uid="{00000000-0005-0000-0000-0000E0560000}"/>
    <cellStyle name="Border Top Thin 3 3 2 2 5" xfId="18786" xr:uid="{00000000-0005-0000-0000-0000E1560000}"/>
    <cellStyle name="Border Top Thin 3 3 2 2 5 2" xfId="38139" xr:uid="{00000000-0005-0000-0000-0000E2560000}"/>
    <cellStyle name="Border Top Thin 3 3 2 2 6" xfId="21269" xr:uid="{00000000-0005-0000-0000-0000E3560000}"/>
    <cellStyle name="Border Top Thin 3 3 2 2 6 2" xfId="40611" xr:uid="{00000000-0005-0000-0000-0000E4560000}"/>
    <cellStyle name="Border Top Thin 3 3 2 2 7" xfId="33210" xr:uid="{00000000-0005-0000-0000-0000E5560000}"/>
    <cellStyle name="Border Top Thin 3 3 2 3" xfId="14064" xr:uid="{00000000-0005-0000-0000-0000E6560000}"/>
    <cellStyle name="Border Top Thin 3 3 2 3 2" xfId="14858" xr:uid="{00000000-0005-0000-0000-0000E7560000}"/>
    <cellStyle name="Border Top Thin 3 3 2 3 2 2" xfId="17336" xr:uid="{00000000-0005-0000-0000-0000E8560000}"/>
    <cellStyle name="Border Top Thin 3 3 2 3 2 2 2" xfId="36690" xr:uid="{00000000-0005-0000-0000-0000E9560000}"/>
    <cellStyle name="Border Top Thin 3 3 2 3 2 3" xfId="19767" xr:uid="{00000000-0005-0000-0000-0000EA560000}"/>
    <cellStyle name="Border Top Thin 3 3 2 3 2 3 2" xfId="39120" xr:uid="{00000000-0005-0000-0000-0000EB560000}"/>
    <cellStyle name="Border Top Thin 3 3 2 3 2 4" xfId="22278" xr:uid="{00000000-0005-0000-0000-0000EC560000}"/>
    <cellStyle name="Border Top Thin 3 3 2 3 2 4 2" xfId="41620" xr:uid="{00000000-0005-0000-0000-0000ED560000}"/>
    <cellStyle name="Border Top Thin 3 3 2 3 2 5" xfId="34219" xr:uid="{00000000-0005-0000-0000-0000EE560000}"/>
    <cellStyle name="Border Top Thin 3 3 2 3 3" xfId="15405" xr:uid="{00000000-0005-0000-0000-0000EF560000}"/>
    <cellStyle name="Border Top Thin 3 3 2 3 3 2" xfId="17881" xr:uid="{00000000-0005-0000-0000-0000F0560000}"/>
    <cellStyle name="Border Top Thin 3 3 2 3 3 2 2" xfId="37235" xr:uid="{00000000-0005-0000-0000-0000F1560000}"/>
    <cellStyle name="Border Top Thin 3 3 2 3 3 3" xfId="20312" xr:uid="{00000000-0005-0000-0000-0000F2560000}"/>
    <cellStyle name="Border Top Thin 3 3 2 3 3 3 2" xfId="39665" xr:uid="{00000000-0005-0000-0000-0000F3560000}"/>
    <cellStyle name="Border Top Thin 3 3 2 3 3 4" xfId="22825" xr:uid="{00000000-0005-0000-0000-0000F4560000}"/>
    <cellStyle name="Border Top Thin 3 3 2 3 3 4 2" xfId="42167" xr:uid="{00000000-0005-0000-0000-0000F5560000}"/>
    <cellStyle name="Border Top Thin 3 3 2 3 3 5" xfId="34766" xr:uid="{00000000-0005-0000-0000-0000F6560000}"/>
    <cellStyle name="Border Top Thin 3 3 2 3 4" xfId="15864" xr:uid="{00000000-0005-0000-0000-0000F7560000}"/>
    <cellStyle name="Border Top Thin 3 3 2 3 4 2" xfId="18340" xr:uid="{00000000-0005-0000-0000-0000F8560000}"/>
    <cellStyle name="Border Top Thin 3 3 2 3 4 2 2" xfId="37694" xr:uid="{00000000-0005-0000-0000-0000F9560000}"/>
    <cellStyle name="Border Top Thin 3 3 2 3 4 3" xfId="20771" xr:uid="{00000000-0005-0000-0000-0000FA560000}"/>
    <cellStyle name="Border Top Thin 3 3 2 3 4 3 2" xfId="40124" xr:uid="{00000000-0005-0000-0000-0000FB560000}"/>
    <cellStyle name="Border Top Thin 3 3 2 3 4 4" xfId="23284" xr:uid="{00000000-0005-0000-0000-0000FC560000}"/>
    <cellStyle name="Border Top Thin 3 3 2 3 4 4 2" xfId="42626" xr:uid="{00000000-0005-0000-0000-0000FD560000}"/>
    <cellStyle name="Border Top Thin 3 3 2 3 4 5" xfId="35225" xr:uid="{00000000-0005-0000-0000-0000FE560000}"/>
    <cellStyle name="Border Top Thin 3 3 2 3 5" xfId="16570" xr:uid="{00000000-0005-0000-0000-0000FF560000}"/>
    <cellStyle name="Border Top Thin 3 3 2 3 5 2" xfId="35924" xr:uid="{00000000-0005-0000-0000-000000570000}"/>
    <cellStyle name="Border Top Thin 3 3 2 3 6" xfId="19001" xr:uid="{00000000-0005-0000-0000-000001570000}"/>
    <cellStyle name="Border Top Thin 3 3 2 3 6 2" xfId="38354" xr:uid="{00000000-0005-0000-0000-000002570000}"/>
    <cellStyle name="Border Top Thin 3 3 2 3 7" xfId="21487" xr:uid="{00000000-0005-0000-0000-000003570000}"/>
    <cellStyle name="Border Top Thin 3 3 2 3 7 2" xfId="40829" xr:uid="{00000000-0005-0000-0000-000004570000}"/>
    <cellStyle name="Border Top Thin 3 3 2 3 8" xfId="33428" xr:uid="{00000000-0005-0000-0000-000005570000}"/>
    <cellStyle name="Border Top Thin 3 3 2 4" xfId="14362" xr:uid="{00000000-0005-0000-0000-000006570000}"/>
    <cellStyle name="Border Top Thin 3 3 2 4 2" xfId="16855" xr:uid="{00000000-0005-0000-0000-000007570000}"/>
    <cellStyle name="Border Top Thin 3 3 2 4 2 2" xfId="36209" xr:uid="{00000000-0005-0000-0000-000008570000}"/>
    <cellStyle name="Border Top Thin 3 3 2 4 3" xfId="19286" xr:uid="{00000000-0005-0000-0000-000009570000}"/>
    <cellStyle name="Border Top Thin 3 3 2 4 3 2" xfId="38639" xr:uid="{00000000-0005-0000-0000-00000A570000}"/>
    <cellStyle name="Border Top Thin 3 3 2 4 4" xfId="21782" xr:uid="{00000000-0005-0000-0000-00000B570000}"/>
    <cellStyle name="Border Top Thin 3 3 2 4 4 2" xfId="41124" xr:uid="{00000000-0005-0000-0000-00000C570000}"/>
    <cellStyle name="Border Top Thin 3 3 2 4 5" xfId="33723" xr:uid="{00000000-0005-0000-0000-00000D570000}"/>
    <cellStyle name="Border Top Thin 3 3 2 5" xfId="14990" xr:uid="{00000000-0005-0000-0000-00000E570000}"/>
    <cellStyle name="Border Top Thin 3 3 2 5 2" xfId="17466" xr:uid="{00000000-0005-0000-0000-00000F570000}"/>
    <cellStyle name="Border Top Thin 3 3 2 5 2 2" xfId="36820" xr:uid="{00000000-0005-0000-0000-000010570000}"/>
    <cellStyle name="Border Top Thin 3 3 2 5 3" xfId="19897" xr:uid="{00000000-0005-0000-0000-000011570000}"/>
    <cellStyle name="Border Top Thin 3 3 2 5 3 2" xfId="39250" xr:uid="{00000000-0005-0000-0000-000012570000}"/>
    <cellStyle name="Border Top Thin 3 3 2 5 4" xfId="22410" xr:uid="{00000000-0005-0000-0000-000013570000}"/>
    <cellStyle name="Border Top Thin 3 3 2 5 4 2" xfId="41752" xr:uid="{00000000-0005-0000-0000-000014570000}"/>
    <cellStyle name="Border Top Thin 3 3 2 5 5" xfId="34351" xr:uid="{00000000-0005-0000-0000-000015570000}"/>
    <cellStyle name="Border Top Thin 3 3 2 6" xfId="14197" xr:uid="{00000000-0005-0000-0000-000016570000}"/>
    <cellStyle name="Border Top Thin 3 3 2 6 2" xfId="16701" xr:uid="{00000000-0005-0000-0000-000017570000}"/>
    <cellStyle name="Border Top Thin 3 3 2 6 2 2" xfId="36055" xr:uid="{00000000-0005-0000-0000-000018570000}"/>
    <cellStyle name="Border Top Thin 3 3 2 6 3" xfId="19132" xr:uid="{00000000-0005-0000-0000-000019570000}"/>
    <cellStyle name="Border Top Thin 3 3 2 6 3 2" xfId="38485" xr:uid="{00000000-0005-0000-0000-00001A570000}"/>
    <cellStyle name="Border Top Thin 3 3 2 6 4" xfId="21619" xr:uid="{00000000-0005-0000-0000-00001B570000}"/>
    <cellStyle name="Border Top Thin 3 3 2 6 4 2" xfId="40961" xr:uid="{00000000-0005-0000-0000-00001C570000}"/>
    <cellStyle name="Border Top Thin 3 3 2 6 5" xfId="33560" xr:uid="{00000000-0005-0000-0000-00001D570000}"/>
    <cellStyle name="Border Top Thin 3 3 2 7" xfId="13548" xr:uid="{00000000-0005-0000-0000-00001E570000}"/>
    <cellStyle name="Border Top Thin 3 3 2 7 2" xfId="32920" xr:uid="{00000000-0005-0000-0000-00001F570000}"/>
    <cellStyle name="Border Top Thin 3 3 2 8" xfId="16094" xr:uid="{00000000-0005-0000-0000-000020570000}"/>
    <cellStyle name="Border Top Thin 3 3 2 8 2" xfId="35448" xr:uid="{00000000-0005-0000-0000-000021570000}"/>
    <cellStyle name="Border Top Thin 3 3 2 9" xfId="18505" xr:uid="{00000000-0005-0000-0000-000022570000}"/>
    <cellStyle name="Border Top Thin 3 3 2 9 2" xfId="37858" xr:uid="{00000000-0005-0000-0000-000023570000}"/>
    <cellStyle name="Border Top Thin 3 3 3" xfId="13620" xr:uid="{00000000-0005-0000-0000-000024570000}"/>
    <cellStyle name="Border Top Thin 3 3 3 2" xfId="13921" xr:uid="{00000000-0005-0000-0000-000025570000}"/>
    <cellStyle name="Border Top Thin 3 3 3 2 2" xfId="14716" xr:uid="{00000000-0005-0000-0000-000026570000}"/>
    <cellStyle name="Border Top Thin 3 3 3 2 2 2" xfId="17194" xr:uid="{00000000-0005-0000-0000-000027570000}"/>
    <cellStyle name="Border Top Thin 3 3 3 2 2 2 2" xfId="36548" xr:uid="{00000000-0005-0000-0000-000028570000}"/>
    <cellStyle name="Border Top Thin 3 3 3 2 2 3" xfId="19625" xr:uid="{00000000-0005-0000-0000-000029570000}"/>
    <cellStyle name="Border Top Thin 3 3 3 2 2 3 2" xfId="38978" xr:uid="{00000000-0005-0000-0000-00002A570000}"/>
    <cellStyle name="Border Top Thin 3 3 3 2 2 4" xfId="22136" xr:uid="{00000000-0005-0000-0000-00002B570000}"/>
    <cellStyle name="Border Top Thin 3 3 3 2 2 4 2" xfId="41478" xr:uid="{00000000-0005-0000-0000-00002C570000}"/>
    <cellStyle name="Border Top Thin 3 3 3 2 2 5" xfId="34077" xr:uid="{00000000-0005-0000-0000-00002D570000}"/>
    <cellStyle name="Border Top Thin 3 3 3 2 3" xfId="15264" xr:uid="{00000000-0005-0000-0000-00002E570000}"/>
    <cellStyle name="Border Top Thin 3 3 3 2 3 2" xfId="17740" xr:uid="{00000000-0005-0000-0000-00002F570000}"/>
    <cellStyle name="Border Top Thin 3 3 3 2 3 2 2" xfId="37094" xr:uid="{00000000-0005-0000-0000-000030570000}"/>
    <cellStyle name="Border Top Thin 3 3 3 2 3 3" xfId="20171" xr:uid="{00000000-0005-0000-0000-000031570000}"/>
    <cellStyle name="Border Top Thin 3 3 3 2 3 3 2" xfId="39524" xr:uid="{00000000-0005-0000-0000-000032570000}"/>
    <cellStyle name="Border Top Thin 3 3 3 2 3 4" xfId="22684" xr:uid="{00000000-0005-0000-0000-000033570000}"/>
    <cellStyle name="Border Top Thin 3 3 3 2 3 4 2" xfId="42026" xr:uid="{00000000-0005-0000-0000-000034570000}"/>
    <cellStyle name="Border Top Thin 3 3 3 2 3 5" xfId="34625" xr:uid="{00000000-0005-0000-0000-000035570000}"/>
    <cellStyle name="Border Top Thin 3 3 3 2 4" xfId="15723" xr:uid="{00000000-0005-0000-0000-000036570000}"/>
    <cellStyle name="Border Top Thin 3 3 3 2 4 2" xfId="18199" xr:uid="{00000000-0005-0000-0000-000037570000}"/>
    <cellStyle name="Border Top Thin 3 3 3 2 4 2 2" xfId="37553" xr:uid="{00000000-0005-0000-0000-000038570000}"/>
    <cellStyle name="Border Top Thin 3 3 3 2 4 3" xfId="20630" xr:uid="{00000000-0005-0000-0000-000039570000}"/>
    <cellStyle name="Border Top Thin 3 3 3 2 4 3 2" xfId="39983" xr:uid="{00000000-0005-0000-0000-00003A570000}"/>
    <cellStyle name="Border Top Thin 3 3 3 2 4 4" xfId="23143" xr:uid="{00000000-0005-0000-0000-00003B570000}"/>
    <cellStyle name="Border Top Thin 3 3 3 2 4 4 2" xfId="42485" xr:uid="{00000000-0005-0000-0000-00003C570000}"/>
    <cellStyle name="Border Top Thin 3 3 3 2 4 5" xfId="35084" xr:uid="{00000000-0005-0000-0000-00003D570000}"/>
    <cellStyle name="Border Top Thin 3 3 3 2 5" xfId="16427" xr:uid="{00000000-0005-0000-0000-00003E570000}"/>
    <cellStyle name="Border Top Thin 3 3 3 2 5 2" xfId="35781" xr:uid="{00000000-0005-0000-0000-00003F570000}"/>
    <cellStyle name="Border Top Thin 3 3 3 2 6" xfId="18858" xr:uid="{00000000-0005-0000-0000-000040570000}"/>
    <cellStyle name="Border Top Thin 3 3 3 2 6 2" xfId="38211" xr:uid="{00000000-0005-0000-0000-000041570000}"/>
    <cellStyle name="Border Top Thin 3 3 3 2 7" xfId="21344" xr:uid="{00000000-0005-0000-0000-000042570000}"/>
    <cellStyle name="Border Top Thin 3 3 3 2 7 2" xfId="40686" xr:uid="{00000000-0005-0000-0000-000043570000}"/>
    <cellStyle name="Border Top Thin 3 3 3 2 8" xfId="33285" xr:uid="{00000000-0005-0000-0000-000044570000}"/>
    <cellStyle name="Border Top Thin 3 3 3 3" xfId="14136" xr:uid="{00000000-0005-0000-0000-000045570000}"/>
    <cellStyle name="Border Top Thin 3 3 3 3 2" xfId="14913" xr:uid="{00000000-0005-0000-0000-000046570000}"/>
    <cellStyle name="Border Top Thin 3 3 3 3 2 2" xfId="17391" xr:uid="{00000000-0005-0000-0000-000047570000}"/>
    <cellStyle name="Border Top Thin 3 3 3 3 2 2 2" xfId="36745" xr:uid="{00000000-0005-0000-0000-000048570000}"/>
    <cellStyle name="Border Top Thin 3 3 3 3 2 3" xfId="19822" xr:uid="{00000000-0005-0000-0000-000049570000}"/>
    <cellStyle name="Border Top Thin 3 3 3 3 2 3 2" xfId="39175" xr:uid="{00000000-0005-0000-0000-00004A570000}"/>
    <cellStyle name="Border Top Thin 3 3 3 3 2 4" xfId="22333" xr:uid="{00000000-0005-0000-0000-00004B570000}"/>
    <cellStyle name="Border Top Thin 3 3 3 3 2 4 2" xfId="41675" xr:uid="{00000000-0005-0000-0000-00004C570000}"/>
    <cellStyle name="Border Top Thin 3 3 3 3 2 5" xfId="34274" xr:uid="{00000000-0005-0000-0000-00004D570000}"/>
    <cellStyle name="Border Top Thin 3 3 3 3 3" xfId="15459" xr:uid="{00000000-0005-0000-0000-00004E570000}"/>
    <cellStyle name="Border Top Thin 3 3 3 3 3 2" xfId="17935" xr:uid="{00000000-0005-0000-0000-00004F570000}"/>
    <cellStyle name="Border Top Thin 3 3 3 3 3 2 2" xfId="37289" xr:uid="{00000000-0005-0000-0000-000050570000}"/>
    <cellStyle name="Border Top Thin 3 3 3 3 3 3" xfId="20366" xr:uid="{00000000-0005-0000-0000-000051570000}"/>
    <cellStyle name="Border Top Thin 3 3 3 3 3 3 2" xfId="39719" xr:uid="{00000000-0005-0000-0000-000052570000}"/>
    <cellStyle name="Border Top Thin 3 3 3 3 3 4" xfId="22879" xr:uid="{00000000-0005-0000-0000-000053570000}"/>
    <cellStyle name="Border Top Thin 3 3 3 3 3 4 2" xfId="42221" xr:uid="{00000000-0005-0000-0000-000054570000}"/>
    <cellStyle name="Border Top Thin 3 3 3 3 3 5" xfId="34820" xr:uid="{00000000-0005-0000-0000-000055570000}"/>
    <cellStyle name="Border Top Thin 3 3 3 3 4" xfId="15918" xr:uid="{00000000-0005-0000-0000-000056570000}"/>
    <cellStyle name="Border Top Thin 3 3 3 3 4 2" xfId="18394" xr:uid="{00000000-0005-0000-0000-000057570000}"/>
    <cellStyle name="Border Top Thin 3 3 3 3 4 2 2" xfId="37748" xr:uid="{00000000-0005-0000-0000-000058570000}"/>
    <cellStyle name="Border Top Thin 3 3 3 3 4 3" xfId="20825" xr:uid="{00000000-0005-0000-0000-000059570000}"/>
    <cellStyle name="Border Top Thin 3 3 3 3 4 3 2" xfId="40178" xr:uid="{00000000-0005-0000-0000-00005A570000}"/>
    <cellStyle name="Border Top Thin 3 3 3 3 4 4" xfId="23338" xr:uid="{00000000-0005-0000-0000-00005B570000}"/>
    <cellStyle name="Border Top Thin 3 3 3 3 4 4 2" xfId="42680" xr:uid="{00000000-0005-0000-0000-00005C570000}"/>
    <cellStyle name="Border Top Thin 3 3 3 3 4 5" xfId="35279" xr:uid="{00000000-0005-0000-0000-00005D570000}"/>
    <cellStyle name="Border Top Thin 3 3 3 3 5" xfId="16642" xr:uid="{00000000-0005-0000-0000-00005E570000}"/>
    <cellStyle name="Border Top Thin 3 3 3 3 5 2" xfId="35996" xr:uid="{00000000-0005-0000-0000-00005F570000}"/>
    <cellStyle name="Border Top Thin 3 3 3 3 6" xfId="19073" xr:uid="{00000000-0005-0000-0000-000060570000}"/>
    <cellStyle name="Border Top Thin 3 3 3 3 6 2" xfId="38426" xr:uid="{00000000-0005-0000-0000-000061570000}"/>
    <cellStyle name="Border Top Thin 3 3 3 3 7" xfId="21559" xr:uid="{00000000-0005-0000-0000-000062570000}"/>
    <cellStyle name="Border Top Thin 3 3 3 3 7 2" xfId="40901" xr:uid="{00000000-0005-0000-0000-000063570000}"/>
    <cellStyle name="Border Top Thin 3 3 3 3 8" xfId="33500" xr:uid="{00000000-0005-0000-0000-000064570000}"/>
    <cellStyle name="Border Top Thin 3 3 3 4" xfId="14431" xr:uid="{00000000-0005-0000-0000-000065570000}"/>
    <cellStyle name="Border Top Thin 3 3 3 4 2" xfId="16921" xr:uid="{00000000-0005-0000-0000-000066570000}"/>
    <cellStyle name="Border Top Thin 3 3 3 4 2 2" xfId="36275" xr:uid="{00000000-0005-0000-0000-000067570000}"/>
    <cellStyle name="Border Top Thin 3 3 3 4 3" xfId="19352" xr:uid="{00000000-0005-0000-0000-000068570000}"/>
    <cellStyle name="Border Top Thin 3 3 3 4 3 2" xfId="38705" xr:uid="{00000000-0005-0000-0000-000069570000}"/>
    <cellStyle name="Border Top Thin 3 3 3 4 4" xfId="21851" xr:uid="{00000000-0005-0000-0000-00006A570000}"/>
    <cellStyle name="Border Top Thin 3 3 3 4 4 2" xfId="41193" xr:uid="{00000000-0005-0000-0000-00006B570000}"/>
    <cellStyle name="Border Top Thin 3 3 3 4 5" xfId="33792" xr:uid="{00000000-0005-0000-0000-00006C570000}"/>
    <cellStyle name="Border Top Thin 3 3 3 5" xfId="16140" xr:uid="{00000000-0005-0000-0000-00006D570000}"/>
    <cellStyle name="Border Top Thin 3 3 3 5 2" xfId="35494" xr:uid="{00000000-0005-0000-0000-00006E570000}"/>
    <cellStyle name="Border Top Thin 3 3 3 6" xfId="18571" xr:uid="{00000000-0005-0000-0000-00006F570000}"/>
    <cellStyle name="Border Top Thin 3 3 3 6 2" xfId="37924" xr:uid="{00000000-0005-0000-0000-000070570000}"/>
    <cellStyle name="Border Top Thin 3 3 3 7" xfId="21045" xr:uid="{00000000-0005-0000-0000-000071570000}"/>
    <cellStyle name="Border Top Thin 3 3 3 7 2" xfId="40387" xr:uid="{00000000-0005-0000-0000-000072570000}"/>
    <cellStyle name="Border Top Thin 3 3 3 8" xfId="32986" xr:uid="{00000000-0005-0000-0000-000073570000}"/>
    <cellStyle name="Border Top Thin 3 3 4" xfId="13754" xr:uid="{00000000-0005-0000-0000-000074570000}"/>
    <cellStyle name="Border Top Thin 3 3 4 2" xfId="14556" xr:uid="{00000000-0005-0000-0000-000075570000}"/>
    <cellStyle name="Border Top Thin 3 3 4 2 2" xfId="17043" xr:uid="{00000000-0005-0000-0000-000076570000}"/>
    <cellStyle name="Border Top Thin 3 3 4 2 2 2" xfId="36397" xr:uid="{00000000-0005-0000-0000-000077570000}"/>
    <cellStyle name="Border Top Thin 3 3 4 2 3" xfId="19474" xr:uid="{00000000-0005-0000-0000-000078570000}"/>
    <cellStyle name="Border Top Thin 3 3 4 2 3 2" xfId="38827" xr:uid="{00000000-0005-0000-0000-000079570000}"/>
    <cellStyle name="Border Top Thin 3 3 4 2 4" xfId="21976" xr:uid="{00000000-0005-0000-0000-00007A570000}"/>
    <cellStyle name="Border Top Thin 3 3 4 2 4 2" xfId="41318" xr:uid="{00000000-0005-0000-0000-00007B570000}"/>
    <cellStyle name="Border Top Thin 3 3 4 2 5" xfId="33917" xr:uid="{00000000-0005-0000-0000-00007C570000}"/>
    <cellStyle name="Border Top Thin 3 3 4 3" xfId="15117" xr:uid="{00000000-0005-0000-0000-00007D570000}"/>
    <cellStyle name="Border Top Thin 3 3 4 3 2" xfId="17593" xr:uid="{00000000-0005-0000-0000-00007E570000}"/>
    <cellStyle name="Border Top Thin 3 3 4 3 2 2" xfId="36947" xr:uid="{00000000-0005-0000-0000-00007F570000}"/>
    <cellStyle name="Border Top Thin 3 3 4 3 3" xfId="20024" xr:uid="{00000000-0005-0000-0000-000080570000}"/>
    <cellStyle name="Border Top Thin 3 3 4 3 3 2" xfId="39377" xr:uid="{00000000-0005-0000-0000-000081570000}"/>
    <cellStyle name="Border Top Thin 3 3 4 3 4" xfId="22537" xr:uid="{00000000-0005-0000-0000-000082570000}"/>
    <cellStyle name="Border Top Thin 3 3 4 3 4 2" xfId="41879" xr:uid="{00000000-0005-0000-0000-000083570000}"/>
    <cellStyle name="Border Top Thin 3 3 4 3 5" xfId="34478" xr:uid="{00000000-0005-0000-0000-000084570000}"/>
    <cellStyle name="Border Top Thin 3 3 4 4" xfId="15599" xr:uid="{00000000-0005-0000-0000-000085570000}"/>
    <cellStyle name="Border Top Thin 3 3 4 4 2" xfId="18075" xr:uid="{00000000-0005-0000-0000-000086570000}"/>
    <cellStyle name="Border Top Thin 3 3 4 4 2 2" xfId="37429" xr:uid="{00000000-0005-0000-0000-000087570000}"/>
    <cellStyle name="Border Top Thin 3 3 4 4 3" xfId="20506" xr:uid="{00000000-0005-0000-0000-000088570000}"/>
    <cellStyle name="Border Top Thin 3 3 4 4 3 2" xfId="39859" xr:uid="{00000000-0005-0000-0000-000089570000}"/>
    <cellStyle name="Border Top Thin 3 3 4 4 4" xfId="23019" xr:uid="{00000000-0005-0000-0000-00008A570000}"/>
    <cellStyle name="Border Top Thin 3 3 4 4 4 2" xfId="42361" xr:uid="{00000000-0005-0000-0000-00008B570000}"/>
    <cellStyle name="Border Top Thin 3 3 4 4 5" xfId="34960" xr:uid="{00000000-0005-0000-0000-00008C570000}"/>
    <cellStyle name="Border Top Thin 3 3 4 5" xfId="16269" xr:uid="{00000000-0005-0000-0000-00008D570000}"/>
    <cellStyle name="Border Top Thin 3 3 4 5 2" xfId="35623" xr:uid="{00000000-0005-0000-0000-00008E570000}"/>
    <cellStyle name="Border Top Thin 3 3 4 6" xfId="18700" xr:uid="{00000000-0005-0000-0000-00008F570000}"/>
    <cellStyle name="Border Top Thin 3 3 4 6 2" xfId="38053" xr:uid="{00000000-0005-0000-0000-000090570000}"/>
    <cellStyle name="Border Top Thin 3 3 4 7" xfId="21177" xr:uid="{00000000-0005-0000-0000-000091570000}"/>
    <cellStyle name="Border Top Thin 3 3 4 7 2" xfId="40519" xr:uid="{00000000-0005-0000-0000-000092570000}"/>
    <cellStyle name="Border Top Thin 3 3 4 8" xfId="33118" xr:uid="{00000000-0005-0000-0000-000093570000}"/>
    <cellStyle name="Border Top Thin 3 3 5" xfId="13686" xr:uid="{00000000-0005-0000-0000-000094570000}"/>
    <cellStyle name="Border Top Thin 3 3 5 2" xfId="14489" xr:uid="{00000000-0005-0000-0000-000095570000}"/>
    <cellStyle name="Border Top Thin 3 3 5 2 2" xfId="16979" xr:uid="{00000000-0005-0000-0000-000096570000}"/>
    <cellStyle name="Border Top Thin 3 3 5 2 2 2" xfId="36333" xr:uid="{00000000-0005-0000-0000-000097570000}"/>
    <cellStyle name="Border Top Thin 3 3 5 2 3" xfId="19410" xr:uid="{00000000-0005-0000-0000-000098570000}"/>
    <cellStyle name="Border Top Thin 3 3 5 2 3 2" xfId="38763" xr:uid="{00000000-0005-0000-0000-000099570000}"/>
    <cellStyle name="Border Top Thin 3 3 5 2 4" xfId="21909" xr:uid="{00000000-0005-0000-0000-00009A570000}"/>
    <cellStyle name="Border Top Thin 3 3 5 2 4 2" xfId="41251" xr:uid="{00000000-0005-0000-0000-00009B570000}"/>
    <cellStyle name="Border Top Thin 3 3 5 2 5" xfId="33850" xr:uid="{00000000-0005-0000-0000-00009C570000}"/>
    <cellStyle name="Border Top Thin 3 3 5 3" xfId="15053" xr:uid="{00000000-0005-0000-0000-00009D570000}"/>
    <cellStyle name="Border Top Thin 3 3 5 3 2" xfId="17529" xr:uid="{00000000-0005-0000-0000-00009E570000}"/>
    <cellStyle name="Border Top Thin 3 3 5 3 2 2" xfId="36883" xr:uid="{00000000-0005-0000-0000-00009F570000}"/>
    <cellStyle name="Border Top Thin 3 3 5 3 3" xfId="19960" xr:uid="{00000000-0005-0000-0000-0000A0570000}"/>
    <cellStyle name="Border Top Thin 3 3 5 3 3 2" xfId="39313" xr:uid="{00000000-0005-0000-0000-0000A1570000}"/>
    <cellStyle name="Border Top Thin 3 3 5 3 4" xfId="22473" xr:uid="{00000000-0005-0000-0000-0000A2570000}"/>
    <cellStyle name="Border Top Thin 3 3 5 3 4 2" xfId="41815" xr:uid="{00000000-0005-0000-0000-0000A3570000}"/>
    <cellStyle name="Border Top Thin 3 3 5 3 5" xfId="34414" xr:uid="{00000000-0005-0000-0000-0000A4570000}"/>
    <cellStyle name="Border Top Thin 3 3 5 4" xfId="15536" xr:uid="{00000000-0005-0000-0000-0000A5570000}"/>
    <cellStyle name="Border Top Thin 3 3 5 4 2" xfId="18012" xr:uid="{00000000-0005-0000-0000-0000A6570000}"/>
    <cellStyle name="Border Top Thin 3 3 5 4 2 2" xfId="37366" xr:uid="{00000000-0005-0000-0000-0000A7570000}"/>
    <cellStyle name="Border Top Thin 3 3 5 4 3" xfId="20443" xr:uid="{00000000-0005-0000-0000-0000A8570000}"/>
    <cellStyle name="Border Top Thin 3 3 5 4 3 2" xfId="39796" xr:uid="{00000000-0005-0000-0000-0000A9570000}"/>
    <cellStyle name="Border Top Thin 3 3 5 4 4" xfId="22956" xr:uid="{00000000-0005-0000-0000-0000AA570000}"/>
    <cellStyle name="Border Top Thin 3 3 5 4 4 2" xfId="42298" xr:uid="{00000000-0005-0000-0000-0000AB570000}"/>
    <cellStyle name="Border Top Thin 3 3 5 4 5" xfId="34897" xr:uid="{00000000-0005-0000-0000-0000AC570000}"/>
    <cellStyle name="Border Top Thin 3 3 5 5" xfId="16205" xr:uid="{00000000-0005-0000-0000-0000AD570000}"/>
    <cellStyle name="Border Top Thin 3 3 5 5 2" xfId="35559" xr:uid="{00000000-0005-0000-0000-0000AE570000}"/>
    <cellStyle name="Border Top Thin 3 3 5 6" xfId="18636" xr:uid="{00000000-0005-0000-0000-0000AF570000}"/>
    <cellStyle name="Border Top Thin 3 3 5 6 2" xfId="37989" xr:uid="{00000000-0005-0000-0000-0000B0570000}"/>
    <cellStyle name="Border Top Thin 3 3 5 7" xfId="21110" xr:uid="{00000000-0005-0000-0000-0000B1570000}"/>
    <cellStyle name="Border Top Thin 3 3 5 7 2" xfId="40452" xr:uid="{00000000-0005-0000-0000-0000B2570000}"/>
    <cellStyle name="Border Top Thin 3 3 5 8" xfId="33051" xr:uid="{00000000-0005-0000-0000-0000B3570000}"/>
    <cellStyle name="Border Top Thin 3 3 6" xfId="14275" xr:uid="{00000000-0005-0000-0000-0000B4570000}"/>
    <cellStyle name="Border Top Thin 3 3 6 2" xfId="16774" xr:uid="{00000000-0005-0000-0000-0000B5570000}"/>
    <cellStyle name="Border Top Thin 3 3 6 2 2" xfId="36128" xr:uid="{00000000-0005-0000-0000-0000B6570000}"/>
    <cellStyle name="Border Top Thin 3 3 6 3" xfId="19205" xr:uid="{00000000-0005-0000-0000-0000B7570000}"/>
    <cellStyle name="Border Top Thin 3 3 6 3 2" xfId="38558" xr:uid="{00000000-0005-0000-0000-0000B8570000}"/>
    <cellStyle name="Border Top Thin 3 3 6 4" xfId="21695" xr:uid="{00000000-0005-0000-0000-0000B9570000}"/>
    <cellStyle name="Border Top Thin 3 3 6 4 2" xfId="41037" xr:uid="{00000000-0005-0000-0000-0000BA570000}"/>
    <cellStyle name="Border Top Thin 3 3 6 5" xfId="33636" xr:uid="{00000000-0005-0000-0000-0000BB570000}"/>
    <cellStyle name="Border Top Thin 3 3 7" xfId="13420" xr:uid="{00000000-0005-0000-0000-0000BC570000}"/>
    <cellStyle name="Border Top Thin 3 3 7 2" xfId="32799" xr:uid="{00000000-0005-0000-0000-0000BD570000}"/>
    <cellStyle name="Border Top Thin 3 3 8" xfId="15990" xr:uid="{00000000-0005-0000-0000-0000BE570000}"/>
    <cellStyle name="Border Top Thin 3 3 8 2" xfId="35344" xr:uid="{00000000-0005-0000-0000-0000BF570000}"/>
    <cellStyle name="Border Top Thin 3 3 9" xfId="13210" xr:uid="{00000000-0005-0000-0000-0000C0570000}"/>
    <cellStyle name="Border Top Thin 3 3 9 2" xfId="32677" xr:uid="{00000000-0005-0000-0000-0000C1570000}"/>
    <cellStyle name="Border Top Thin 3 4" xfId="5507" xr:uid="{00000000-0005-0000-0000-0000C2570000}"/>
    <cellStyle name="Border Top Thin 3 4 10" xfId="24995" xr:uid="{00000000-0005-0000-0000-0000C3570000}"/>
    <cellStyle name="Border Top Thin 3 4 2" xfId="13832" xr:uid="{00000000-0005-0000-0000-0000C4570000}"/>
    <cellStyle name="Border Top Thin 3 4 2 2" xfId="14627" xr:uid="{00000000-0005-0000-0000-0000C5570000}"/>
    <cellStyle name="Border Top Thin 3 4 2 2 2" xfId="17111" xr:uid="{00000000-0005-0000-0000-0000C6570000}"/>
    <cellStyle name="Border Top Thin 3 4 2 2 2 2" xfId="36465" xr:uid="{00000000-0005-0000-0000-0000C7570000}"/>
    <cellStyle name="Border Top Thin 3 4 2 2 3" xfId="19542" xr:uid="{00000000-0005-0000-0000-0000C8570000}"/>
    <cellStyle name="Border Top Thin 3 4 2 2 3 2" xfId="38895" xr:uid="{00000000-0005-0000-0000-0000C9570000}"/>
    <cellStyle name="Border Top Thin 3 4 2 2 4" xfId="22047" xr:uid="{00000000-0005-0000-0000-0000CA570000}"/>
    <cellStyle name="Border Top Thin 3 4 2 2 4 2" xfId="41389" xr:uid="{00000000-0005-0000-0000-0000CB570000}"/>
    <cellStyle name="Border Top Thin 3 4 2 2 5" xfId="33988" xr:uid="{00000000-0005-0000-0000-0000CC570000}"/>
    <cellStyle name="Border Top Thin 3 4 2 3" xfId="15183" xr:uid="{00000000-0005-0000-0000-0000CD570000}"/>
    <cellStyle name="Border Top Thin 3 4 2 3 2" xfId="17659" xr:uid="{00000000-0005-0000-0000-0000CE570000}"/>
    <cellStyle name="Border Top Thin 3 4 2 3 2 2" xfId="37013" xr:uid="{00000000-0005-0000-0000-0000CF570000}"/>
    <cellStyle name="Border Top Thin 3 4 2 3 3" xfId="20090" xr:uid="{00000000-0005-0000-0000-0000D0570000}"/>
    <cellStyle name="Border Top Thin 3 4 2 3 3 2" xfId="39443" xr:uid="{00000000-0005-0000-0000-0000D1570000}"/>
    <cellStyle name="Border Top Thin 3 4 2 3 4" xfId="22603" xr:uid="{00000000-0005-0000-0000-0000D2570000}"/>
    <cellStyle name="Border Top Thin 3 4 2 3 4 2" xfId="41945" xr:uid="{00000000-0005-0000-0000-0000D3570000}"/>
    <cellStyle name="Border Top Thin 3 4 2 3 5" xfId="34544" xr:uid="{00000000-0005-0000-0000-0000D4570000}"/>
    <cellStyle name="Border Top Thin 3 4 2 4" xfId="16344" xr:uid="{00000000-0005-0000-0000-0000D5570000}"/>
    <cellStyle name="Border Top Thin 3 4 2 4 2" xfId="35698" xr:uid="{00000000-0005-0000-0000-0000D6570000}"/>
    <cellStyle name="Border Top Thin 3 4 2 5" xfId="18775" xr:uid="{00000000-0005-0000-0000-0000D7570000}"/>
    <cellStyle name="Border Top Thin 3 4 2 5 2" xfId="38128" xr:uid="{00000000-0005-0000-0000-0000D8570000}"/>
    <cellStyle name="Border Top Thin 3 4 2 6" xfId="21255" xr:uid="{00000000-0005-0000-0000-0000D9570000}"/>
    <cellStyle name="Border Top Thin 3 4 2 6 2" xfId="40597" xr:uid="{00000000-0005-0000-0000-0000DA570000}"/>
    <cellStyle name="Border Top Thin 3 4 2 7" xfId="33196" xr:uid="{00000000-0005-0000-0000-0000DB570000}"/>
    <cellStyle name="Border Top Thin 3 4 3" xfId="14053" xr:uid="{00000000-0005-0000-0000-0000DC570000}"/>
    <cellStyle name="Border Top Thin 3 4 3 2" xfId="14848" xr:uid="{00000000-0005-0000-0000-0000DD570000}"/>
    <cellStyle name="Border Top Thin 3 4 3 2 2" xfId="17326" xr:uid="{00000000-0005-0000-0000-0000DE570000}"/>
    <cellStyle name="Border Top Thin 3 4 3 2 2 2" xfId="36680" xr:uid="{00000000-0005-0000-0000-0000DF570000}"/>
    <cellStyle name="Border Top Thin 3 4 3 2 3" xfId="19757" xr:uid="{00000000-0005-0000-0000-0000E0570000}"/>
    <cellStyle name="Border Top Thin 3 4 3 2 3 2" xfId="39110" xr:uid="{00000000-0005-0000-0000-0000E1570000}"/>
    <cellStyle name="Border Top Thin 3 4 3 2 4" xfId="22268" xr:uid="{00000000-0005-0000-0000-0000E2570000}"/>
    <cellStyle name="Border Top Thin 3 4 3 2 4 2" xfId="41610" xr:uid="{00000000-0005-0000-0000-0000E3570000}"/>
    <cellStyle name="Border Top Thin 3 4 3 2 5" xfId="34209" xr:uid="{00000000-0005-0000-0000-0000E4570000}"/>
    <cellStyle name="Border Top Thin 3 4 3 3" xfId="15396" xr:uid="{00000000-0005-0000-0000-0000E5570000}"/>
    <cellStyle name="Border Top Thin 3 4 3 3 2" xfId="17872" xr:uid="{00000000-0005-0000-0000-0000E6570000}"/>
    <cellStyle name="Border Top Thin 3 4 3 3 2 2" xfId="37226" xr:uid="{00000000-0005-0000-0000-0000E7570000}"/>
    <cellStyle name="Border Top Thin 3 4 3 3 3" xfId="20303" xr:uid="{00000000-0005-0000-0000-0000E8570000}"/>
    <cellStyle name="Border Top Thin 3 4 3 3 3 2" xfId="39656" xr:uid="{00000000-0005-0000-0000-0000E9570000}"/>
    <cellStyle name="Border Top Thin 3 4 3 3 4" xfId="22816" xr:uid="{00000000-0005-0000-0000-0000EA570000}"/>
    <cellStyle name="Border Top Thin 3 4 3 3 4 2" xfId="42158" xr:uid="{00000000-0005-0000-0000-0000EB570000}"/>
    <cellStyle name="Border Top Thin 3 4 3 3 5" xfId="34757" xr:uid="{00000000-0005-0000-0000-0000EC570000}"/>
    <cellStyle name="Border Top Thin 3 4 3 4" xfId="15855" xr:uid="{00000000-0005-0000-0000-0000ED570000}"/>
    <cellStyle name="Border Top Thin 3 4 3 4 2" xfId="18331" xr:uid="{00000000-0005-0000-0000-0000EE570000}"/>
    <cellStyle name="Border Top Thin 3 4 3 4 2 2" xfId="37685" xr:uid="{00000000-0005-0000-0000-0000EF570000}"/>
    <cellStyle name="Border Top Thin 3 4 3 4 3" xfId="20762" xr:uid="{00000000-0005-0000-0000-0000F0570000}"/>
    <cellStyle name="Border Top Thin 3 4 3 4 3 2" xfId="40115" xr:uid="{00000000-0005-0000-0000-0000F1570000}"/>
    <cellStyle name="Border Top Thin 3 4 3 4 4" xfId="23275" xr:uid="{00000000-0005-0000-0000-0000F2570000}"/>
    <cellStyle name="Border Top Thin 3 4 3 4 4 2" xfId="42617" xr:uid="{00000000-0005-0000-0000-0000F3570000}"/>
    <cellStyle name="Border Top Thin 3 4 3 4 5" xfId="35216" xr:uid="{00000000-0005-0000-0000-0000F4570000}"/>
    <cellStyle name="Border Top Thin 3 4 3 5" xfId="16559" xr:uid="{00000000-0005-0000-0000-0000F5570000}"/>
    <cellStyle name="Border Top Thin 3 4 3 5 2" xfId="35913" xr:uid="{00000000-0005-0000-0000-0000F6570000}"/>
    <cellStyle name="Border Top Thin 3 4 3 6" xfId="18990" xr:uid="{00000000-0005-0000-0000-0000F7570000}"/>
    <cellStyle name="Border Top Thin 3 4 3 6 2" xfId="38343" xr:uid="{00000000-0005-0000-0000-0000F8570000}"/>
    <cellStyle name="Border Top Thin 3 4 3 7" xfId="21476" xr:uid="{00000000-0005-0000-0000-0000F9570000}"/>
    <cellStyle name="Border Top Thin 3 4 3 7 2" xfId="40818" xr:uid="{00000000-0005-0000-0000-0000FA570000}"/>
    <cellStyle name="Border Top Thin 3 4 3 8" xfId="33417" xr:uid="{00000000-0005-0000-0000-0000FB570000}"/>
    <cellStyle name="Border Top Thin 3 4 4" xfId="14348" xr:uid="{00000000-0005-0000-0000-0000FC570000}"/>
    <cellStyle name="Border Top Thin 3 4 4 2" xfId="16844" xr:uid="{00000000-0005-0000-0000-0000FD570000}"/>
    <cellStyle name="Border Top Thin 3 4 4 2 2" xfId="36198" xr:uid="{00000000-0005-0000-0000-0000FE570000}"/>
    <cellStyle name="Border Top Thin 3 4 4 3" xfId="19275" xr:uid="{00000000-0005-0000-0000-0000FF570000}"/>
    <cellStyle name="Border Top Thin 3 4 4 3 2" xfId="38628" xr:uid="{00000000-0005-0000-0000-000000580000}"/>
    <cellStyle name="Border Top Thin 3 4 4 4" xfId="21768" xr:uid="{00000000-0005-0000-0000-000001580000}"/>
    <cellStyle name="Border Top Thin 3 4 4 4 2" xfId="41110" xr:uid="{00000000-0005-0000-0000-000002580000}"/>
    <cellStyle name="Border Top Thin 3 4 4 5" xfId="33709" xr:uid="{00000000-0005-0000-0000-000003580000}"/>
    <cellStyle name="Border Top Thin 3 4 5" xfId="14983" xr:uid="{00000000-0005-0000-0000-000004580000}"/>
    <cellStyle name="Border Top Thin 3 4 5 2" xfId="17459" xr:uid="{00000000-0005-0000-0000-000005580000}"/>
    <cellStyle name="Border Top Thin 3 4 5 2 2" xfId="36813" xr:uid="{00000000-0005-0000-0000-000006580000}"/>
    <cellStyle name="Border Top Thin 3 4 5 3" xfId="19890" xr:uid="{00000000-0005-0000-0000-000007580000}"/>
    <cellStyle name="Border Top Thin 3 4 5 3 2" xfId="39243" xr:uid="{00000000-0005-0000-0000-000008580000}"/>
    <cellStyle name="Border Top Thin 3 4 5 4" xfId="22403" xr:uid="{00000000-0005-0000-0000-000009580000}"/>
    <cellStyle name="Border Top Thin 3 4 5 4 2" xfId="41745" xr:uid="{00000000-0005-0000-0000-00000A580000}"/>
    <cellStyle name="Border Top Thin 3 4 5 5" xfId="34344" xr:uid="{00000000-0005-0000-0000-00000B580000}"/>
    <cellStyle name="Border Top Thin 3 4 6" xfId="14319" xr:uid="{00000000-0005-0000-0000-00000C580000}"/>
    <cellStyle name="Border Top Thin 3 4 6 2" xfId="16815" xr:uid="{00000000-0005-0000-0000-00000D580000}"/>
    <cellStyle name="Border Top Thin 3 4 6 2 2" xfId="36169" xr:uid="{00000000-0005-0000-0000-00000E580000}"/>
    <cellStyle name="Border Top Thin 3 4 6 3" xfId="19246" xr:uid="{00000000-0005-0000-0000-00000F580000}"/>
    <cellStyle name="Border Top Thin 3 4 6 3 2" xfId="38599" xr:uid="{00000000-0005-0000-0000-000010580000}"/>
    <cellStyle name="Border Top Thin 3 4 6 4" xfId="21739" xr:uid="{00000000-0005-0000-0000-000011580000}"/>
    <cellStyle name="Border Top Thin 3 4 6 4 2" xfId="41081" xr:uid="{00000000-0005-0000-0000-000012580000}"/>
    <cellStyle name="Border Top Thin 3 4 6 5" xfId="33680" xr:uid="{00000000-0005-0000-0000-000013580000}"/>
    <cellStyle name="Border Top Thin 3 4 7" xfId="13532" xr:uid="{00000000-0005-0000-0000-000014580000}"/>
    <cellStyle name="Border Top Thin 3 4 7 2" xfId="32907" xr:uid="{00000000-0005-0000-0000-000015580000}"/>
    <cellStyle name="Border Top Thin 3 4 8" xfId="16083" xr:uid="{00000000-0005-0000-0000-000016580000}"/>
    <cellStyle name="Border Top Thin 3 4 8 2" xfId="35437" xr:uid="{00000000-0005-0000-0000-000017580000}"/>
    <cellStyle name="Border Top Thin 3 4 9" xfId="18493" xr:uid="{00000000-0005-0000-0000-000018580000}"/>
    <cellStyle name="Border Top Thin 3 4 9 2" xfId="37846" xr:uid="{00000000-0005-0000-0000-000019580000}"/>
    <cellStyle name="Border Top Thin 3 5" xfId="13735" xr:uid="{00000000-0005-0000-0000-00001A580000}"/>
    <cellStyle name="Border Top Thin 3 5 2" xfId="14538" xr:uid="{00000000-0005-0000-0000-00001B580000}"/>
    <cellStyle name="Border Top Thin 3 5 2 2" xfId="17028" xr:uid="{00000000-0005-0000-0000-00001C580000}"/>
    <cellStyle name="Border Top Thin 3 5 2 2 2" xfId="36382" xr:uid="{00000000-0005-0000-0000-00001D580000}"/>
    <cellStyle name="Border Top Thin 3 5 2 3" xfId="19459" xr:uid="{00000000-0005-0000-0000-00001E580000}"/>
    <cellStyle name="Border Top Thin 3 5 2 3 2" xfId="38812" xr:uid="{00000000-0005-0000-0000-00001F580000}"/>
    <cellStyle name="Border Top Thin 3 5 2 4" xfId="21958" xr:uid="{00000000-0005-0000-0000-000020580000}"/>
    <cellStyle name="Border Top Thin 3 5 2 4 2" xfId="41300" xr:uid="{00000000-0005-0000-0000-000021580000}"/>
    <cellStyle name="Border Top Thin 3 5 2 5" xfId="33899" xr:uid="{00000000-0005-0000-0000-000022580000}"/>
    <cellStyle name="Border Top Thin 3 5 3" xfId="15102" xr:uid="{00000000-0005-0000-0000-000023580000}"/>
    <cellStyle name="Border Top Thin 3 5 3 2" xfId="17578" xr:uid="{00000000-0005-0000-0000-000024580000}"/>
    <cellStyle name="Border Top Thin 3 5 3 2 2" xfId="36932" xr:uid="{00000000-0005-0000-0000-000025580000}"/>
    <cellStyle name="Border Top Thin 3 5 3 3" xfId="20009" xr:uid="{00000000-0005-0000-0000-000026580000}"/>
    <cellStyle name="Border Top Thin 3 5 3 3 2" xfId="39362" xr:uid="{00000000-0005-0000-0000-000027580000}"/>
    <cellStyle name="Border Top Thin 3 5 3 4" xfId="22522" xr:uid="{00000000-0005-0000-0000-000028580000}"/>
    <cellStyle name="Border Top Thin 3 5 3 4 2" xfId="41864" xr:uid="{00000000-0005-0000-0000-000029580000}"/>
    <cellStyle name="Border Top Thin 3 5 3 5" xfId="34463" xr:uid="{00000000-0005-0000-0000-00002A580000}"/>
    <cellStyle name="Border Top Thin 3 5 4" xfId="15585" xr:uid="{00000000-0005-0000-0000-00002B580000}"/>
    <cellStyle name="Border Top Thin 3 5 4 2" xfId="18061" xr:uid="{00000000-0005-0000-0000-00002C580000}"/>
    <cellStyle name="Border Top Thin 3 5 4 2 2" xfId="37415" xr:uid="{00000000-0005-0000-0000-00002D580000}"/>
    <cellStyle name="Border Top Thin 3 5 4 3" xfId="20492" xr:uid="{00000000-0005-0000-0000-00002E580000}"/>
    <cellStyle name="Border Top Thin 3 5 4 3 2" xfId="39845" xr:uid="{00000000-0005-0000-0000-00002F580000}"/>
    <cellStyle name="Border Top Thin 3 5 4 4" xfId="23005" xr:uid="{00000000-0005-0000-0000-000030580000}"/>
    <cellStyle name="Border Top Thin 3 5 4 4 2" xfId="42347" xr:uid="{00000000-0005-0000-0000-000031580000}"/>
    <cellStyle name="Border Top Thin 3 5 4 5" xfId="34946" xr:uid="{00000000-0005-0000-0000-000032580000}"/>
    <cellStyle name="Border Top Thin 3 5 5" xfId="16254" xr:uid="{00000000-0005-0000-0000-000033580000}"/>
    <cellStyle name="Border Top Thin 3 5 5 2" xfId="35608" xr:uid="{00000000-0005-0000-0000-000034580000}"/>
    <cellStyle name="Border Top Thin 3 5 6" xfId="18685" xr:uid="{00000000-0005-0000-0000-000035580000}"/>
    <cellStyle name="Border Top Thin 3 5 6 2" xfId="38038" xr:uid="{00000000-0005-0000-0000-000036580000}"/>
    <cellStyle name="Border Top Thin 3 5 7" xfId="21159" xr:uid="{00000000-0005-0000-0000-000037580000}"/>
    <cellStyle name="Border Top Thin 3 5 7 2" xfId="40501" xr:uid="{00000000-0005-0000-0000-000038580000}"/>
    <cellStyle name="Border Top Thin 3 5 8" xfId="33100" xr:uid="{00000000-0005-0000-0000-000039580000}"/>
    <cellStyle name="Border Top Thin 3 6" xfId="13693" xr:uid="{00000000-0005-0000-0000-00003A580000}"/>
    <cellStyle name="Border Top Thin 3 6 2" xfId="14496" xr:uid="{00000000-0005-0000-0000-00003B580000}"/>
    <cellStyle name="Border Top Thin 3 6 2 2" xfId="16986" xr:uid="{00000000-0005-0000-0000-00003C580000}"/>
    <cellStyle name="Border Top Thin 3 6 2 2 2" xfId="36340" xr:uid="{00000000-0005-0000-0000-00003D580000}"/>
    <cellStyle name="Border Top Thin 3 6 2 3" xfId="19417" xr:uid="{00000000-0005-0000-0000-00003E580000}"/>
    <cellStyle name="Border Top Thin 3 6 2 3 2" xfId="38770" xr:uid="{00000000-0005-0000-0000-00003F580000}"/>
    <cellStyle name="Border Top Thin 3 6 2 4" xfId="21916" xr:uid="{00000000-0005-0000-0000-000040580000}"/>
    <cellStyle name="Border Top Thin 3 6 2 4 2" xfId="41258" xr:uid="{00000000-0005-0000-0000-000041580000}"/>
    <cellStyle name="Border Top Thin 3 6 2 5" xfId="33857" xr:uid="{00000000-0005-0000-0000-000042580000}"/>
    <cellStyle name="Border Top Thin 3 6 3" xfId="15060" xr:uid="{00000000-0005-0000-0000-000043580000}"/>
    <cellStyle name="Border Top Thin 3 6 3 2" xfId="17536" xr:uid="{00000000-0005-0000-0000-000044580000}"/>
    <cellStyle name="Border Top Thin 3 6 3 2 2" xfId="36890" xr:uid="{00000000-0005-0000-0000-000045580000}"/>
    <cellStyle name="Border Top Thin 3 6 3 3" xfId="19967" xr:uid="{00000000-0005-0000-0000-000046580000}"/>
    <cellStyle name="Border Top Thin 3 6 3 3 2" xfId="39320" xr:uid="{00000000-0005-0000-0000-000047580000}"/>
    <cellStyle name="Border Top Thin 3 6 3 4" xfId="22480" xr:uid="{00000000-0005-0000-0000-000048580000}"/>
    <cellStyle name="Border Top Thin 3 6 3 4 2" xfId="41822" xr:uid="{00000000-0005-0000-0000-000049580000}"/>
    <cellStyle name="Border Top Thin 3 6 3 5" xfId="34421" xr:uid="{00000000-0005-0000-0000-00004A580000}"/>
    <cellStyle name="Border Top Thin 3 6 4" xfId="15543" xr:uid="{00000000-0005-0000-0000-00004B580000}"/>
    <cellStyle name="Border Top Thin 3 6 4 2" xfId="18019" xr:uid="{00000000-0005-0000-0000-00004C580000}"/>
    <cellStyle name="Border Top Thin 3 6 4 2 2" xfId="37373" xr:uid="{00000000-0005-0000-0000-00004D580000}"/>
    <cellStyle name="Border Top Thin 3 6 4 3" xfId="20450" xr:uid="{00000000-0005-0000-0000-00004E580000}"/>
    <cellStyle name="Border Top Thin 3 6 4 3 2" xfId="39803" xr:uid="{00000000-0005-0000-0000-00004F580000}"/>
    <cellStyle name="Border Top Thin 3 6 4 4" xfId="22963" xr:uid="{00000000-0005-0000-0000-000050580000}"/>
    <cellStyle name="Border Top Thin 3 6 4 4 2" xfId="42305" xr:uid="{00000000-0005-0000-0000-000051580000}"/>
    <cellStyle name="Border Top Thin 3 6 4 5" xfId="34904" xr:uid="{00000000-0005-0000-0000-000052580000}"/>
    <cellStyle name="Border Top Thin 3 6 5" xfId="16212" xr:uid="{00000000-0005-0000-0000-000053580000}"/>
    <cellStyle name="Border Top Thin 3 6 5 2" xfId="35566" xr:uid="{00000000-0005-0000-0000-000054580000}"/>
    <cellStyle name="Border Top Thin 3 6 6" xfId="18643" xr:uid="{00000000-0005-0000-0000-000055580000}"/>
    <cellStyle name="Border Top Thin 3 6 6 2" xfId="37996" xr:uid="{00000000-0005-0000-0000-000056580000}"/>
    <cellStyle name="Border Top Thin 3 6 7" xfId="21117" xr:uid="{00000000-0005-0000-0000-000057580000}"/>
    <cellStyle name="Border Top Thin 3 6 7 2" xfId="40459" xr:uid="{00000000-0005-0000-0000-000058580000}"/>
    <cellStyle name="Border Top Thin 3 6 8" xfId="33058" xr:uid="{00000000-0005-0000-0000-000059580000}"/>
    <cellStyle name="Border Top Thin 3 7" xfId="14251" xr:uid="{00000000-0005-0000-0000-00005A580000}"/>
    <cellStyle name="Border Top Thin 3 7 2" xfId="16754" xr:uid="{00000000-0005-0000-0000-00005B580000}"/>
    <cellStyle name="Border Top Thin 3 7 2 2" xfId="36108" xr:uid="{00000000-0005-0000-0000-00005C580000}"/>
    <cellStyle name="Border Top Thin 3 7 3" xfId="19185" xr:uid="{00000000-0005-0000-0000-00005D580000}"/>
    <cellStyle name="Border Top Thin 3 7 3 2" xfId="38538" xr:uid="{00000000-0005-0000-0000-00005E580000}"/>
    <cellStyle name="Border Top Thin 3 7 4" xfId="21672" xr:uid="{00000000-0005-0000-0000-00005F580000}"/>
    <cellStyle name="Border Top Thin 3 7 4 2" xfId="41014" xr:uid="{00000000-0005-0000-0000-000060580000}"/>
    <cellStyle name="Border Top Thin 3 7 5" xfId="33613" xr:uid="{00000000-0005-0000-0000-000061580000}"/>
    <cellStyle name="Border Top Thin 3 8" xfId="13344" xr:uid="{00000000-0005-0000-0000-000062580000}"/>
    <cellStyle name="Border Top Thin 3 9" xfId="13245" xr:uid="{00000000-0005-0000-0000-000063580000}"/>
    <cellStyle name="Border Top Thin 3 9 2" xfId="32698" xr:uid="{00000000-0005-0000-0000-000064580000}"/>
    <cellStyle name="Border Top Thin 4" xfId="13505" xr:uid="{00000000-0005-0000-0000-000065580000}"/>
    <cellStyle name="Border Top Thin 4 2" xfId="13807" xr:uid="{00000000-0005-0000-0000-000066580000}"/>
    <cellStyle name="Border Top Thin 4 2 2" xfId="14605" xr:uid="{00000000-0005-0000-0000-000067580000}"/>
    <cellStyle name="Border Top Thin 4 2 2 2" xfId="17089" xr:uid="{00000000-0005-0000-0000-000068580000}"/>
    <cellStyle name="Border Top Thin 4 2 2 2 2" xfId="36443" xr:uid="{00000000-0005-0000-0000-000069580000}"/>
    <cellStyle name="Border Top Thin 4 2 2 3" xfId="19520" xr:uid="{00000000-0005-0000-0000-00006A580000}"/>
    <cellStyle name="Border Top Thin 4 2 2 3 2" xfId="38873" xr:uid="{00000000-0005-0000-0000-00006B580000}"/>
    <cellStyle name="Border Top Thin 4 2 2 4" xfId="22025" xr:uid="{00000000-0005-0000-0000-00006C580000}"/>
    <cellStyle name="Border Top Thin 4 2 2 4 2" xfId="41367" xr:uid="{00000000-0005-0000-0000-00006D580000}"/>
    <cellStyle name="Border Top Thin 4 2 2 5" xfId="33966" xr:uid="{00000000-0005-0000-0000-00006E580000}"/>
    <cellStyle name="Border Top Thin 4 2 3" xfId="15162" xr:uid="{00000000-0005-0000-0000-00006F580000}"/>
    <cellStyle name="Border Top Thin 4 2 3 2" xfId="17638" xr:uid="{00000000-0005-0000-0000-000070580000}"/>
    <cellStyle name="Border Top Thin 4 2 3 2 2" xfId="36992" xr:uid="{00000000-0005-0000-0000-000071580000}"/>
    <cellStyle name="Border Top Thin 4 2 3 3" xfId="20069" xr:uid="{00000000-0005-0000-0000-000072580000}"/>
    <cellStyle name="Border Top Thin 4 2 3 3 2" xfId="39422" xr:uid="{00000000-0005-0000-0000-000073580000}"/>
    <cellStyle name="Border Top Thin 4 2 3 4" xfId="22582" xr:uid="{00000000-0005-0000-0000-000074580000}"/>
    <cellStyle name="Border Top Thin 4 2 3 4 2" xfId="41924" xr:uid="{00000000-0005-0000-0000-000075580000}"/>
    <cellStyle name="Border Top Thin 4 2 3 5" xfId="34523" xr:uid="{00000000-0005-0000-0000-000076580000}"/>
    <cellStyle name="Border Top Thin 4 2 4" xfId="15643" xr:uid="{00000000-0005-0000-0000-000077580000}"/>
    <cellStyle name="Border Top Thin 4 2 4 2" xfId="18119" xr:uid="{00000000-0005-0000-0000-000078580000}"/>
    <cellStyle name="Border Top Thin 4 2 4 2 2" xfId="37473" xr:uid="{00000000-0005-0000-0000-000079580000}"/>
    <cellStyle name="Border Top Thin 4 2 4 3" xfId="20550" xr:uid="{00000000-0005-0000-0000-00007A580000}"/>
    <cellStyle name="Border Top Thin 4 2 4 3 2" xfId="39903" xr:uid="{00000000-0005-0000-0000-00007B580000}"/>
    <cellStyle name="Border Top Thin 4 2 4 4" xfId="23063" xr:uid="{00000000-0005-0000-0000-00007C580000}"/>
    <cellStyle name="Border Top Thin 4 2 4 4 2" xfId="42405" xr:uid="{00000000-0005-0000-0000-00007D580000}"/>
    <cellStyle name="Border Top Thin 4 2 4 5" xfId="35004" xr:uid="{00000000-0005-0000-0000-00007E580000}"/>
    <cellStyle name="Border Top Thin 4 2 5" xfId="16319" xr:uid="{00000000-0005-0000-0000-00007F580000}"/>
    <cellStyle name="Border Top Thin 4 2 5 2" xfId="35673" xr:uid="{00000000-0005-0000-0000-000080580000}"/>
    <cellStyle name="Border Top Thin 4 2 6" xfId="18750" xr:uid="{00000000-0005-0000-0000-000081580000}"/>
    <cellStyle name="Border Top Thin 4 2 6 2" xfId="38103" xr:uid="{00000000-0005-0000-0000-000082580000}"/>
    <cellStyle name="Border Top Thin 4 2 7" xfId="21230" xr:uid="{00000000-0005-0000-0000-000083580000}"/>
    <cellStyle name="Border Top Thin 4 2 7 2" xfId="40572" xr:uid="{00000000-0005-0000-0000-000084580000}"/>
    <cellStyle name="Border Top Thin 4 2 8" xfId="33171" xr:uid="{00000000-0005-0000-0000-000085580000}"/>
    <cellStyle name="Border Top Thin 4 3" xfId="14031" xr:uid="{00000000-0005-0000-0000-000086580000}"/>
    <cellStyle name="Border Top Thin 4 3 2" xfId="14826" xr:uid="{00000000-0005-0000-0000-000087580000}"/>
    <cellStyle name="Border Top Thin 4 3 2 2" xfId="17304" xr:uid="{00000000-0005-0000-0000-000088580000}"/>
    <cellStyle name="Border Top Thin 4 3 2 2 2" xfId="36658" xr:uid="{00000000-0005-0000-0000-000089580000}"/>
    <cellStyle name="Border Top Thin 4 3 2 3" xfId="19735" xr:uid="{00000000-0005-0000-0000-00008A580000}"/>
    <cellStyle name="Border Top Thin 4 3 2 3 2" xfId="39088" xr:uid="{00000000-0005-0000-0000-00008B580000}"/>
    <cellStyle name="Border Top Thin 4 3 2 4" xfId="22246" xr:uid="{00000000-0005-0000-0000-00008C580000}"/>
    <cellStyle name="Border Top Thin 4 3 2 4 2" xfId="41588" xr:uid="{00000000-0005-0000-0000-00008D580000}"/>
    <cellStyle name="Border Top Thin 4 3 2 5" xfId="34187" xr:uid="{00000000-0005-0000-0000-00008E580000}"/>
    <cellStyle name="Border Top Thin 4 3 3" xfId="15374" xr:uid="{00000000-0005-0000-0000-00008F580000}"/>
    <cellStyle name="Border Top Thin 4 3 3 2" xfId="17850" xr:uid="{00000000-0005-0000-0000-000090580000}"/>
    <cellStyle name="Border Top Thin 4 3 3 2 2" xfId="37204" xr:uid="{00000000-0005-0000-0000-000091580000}"/>
    <cellStyle name="Border Top Thin 4 3 3 3" xfId="20281" xr:uid="{00000000-0005-0000-0000-000092580000}"/>
    <cellStyle name="Border Top Thin 4 3 3 3 2" xfId="39634" xr:uid="{00000000-0005-0000-0000-000093580000}"/>
    <cellStyle name="Border Top Thin 4 3 3 4" xfId="22794" xr:uid="{00000000-0005-0000-0000-000094580000}"/>
    <cellStyle name="Border Top Thin 4 3 3 4 2" xfId="42136" xr:uid="{00000000-0005-0000-0000-000095580000}"/>
    <cellStyle name="Border Top Thin 4 3 3 5" xfId="34735" xr:uid="{00000000-0005-0000-0000-000096580000}"/>
    <cellStyle name="Border Top Thin 4 3 4" xfId="15833" xr:uid="{00000000-0005-0000-0000-000097580000}"/>
    <cellStyle name="Border Top Thin 4 3 4 2" xfId="18309" xr:uid="{00000000-0005-0000-0000-000098580000}"/>
    <cellStyle name="Border Top Thin 4 3 4 2 2" xfId="37663" xr:uid="{00000000-0005-0000-0000-000099580000}"/>
    <cellStyle name="Border Top Thin 4 3 4 3" xfId="20740" xr:uid="{00000000-0005-0000-0000-00009A580000}"/>
    <cellStyle name="Border Top Thin 4 3 4 3 2" xfId="40093" xr:uid="{00000000-0005-0000-0000-00009B580000}"/>
    <cellStyle name="Border Top Thin 4 3 4 4" xfId="23253" xr:uid="{00000000-0005-0000-0000-00009C580000}"/>
    <cellStyle name="Border Top Thin 4 3 4 4 2" xfId="42595" xr:uid="{00000000-0005-0000-0000-00009D580000}"/>
    <cellStyle name="Border Top Thin 4 3 4 5" xfId="35194" xr:uid="{00000000-0005-0000-0000-00009E580000}"/>
    <cellStyle name="Border Top Thin 4 3 5" xfId="16537" xr:uid="{00000000-0005-0000-0000-00009F580000}"/>
    <cellStyle name="Border Top Thin 4 3 5 2" xfId="35891" xr:uid="{00000000-0005-0000-0000-0000A0580000}"/>
    <cellStyle name="Border Top Thin 4 3 6" xfId="18968" xr:uid="{00000000-0005-0000-0000-0000A1580000}"/>
    <cellStyle name="Border Top Thin 4 3 6 2" xfId="38321" xr:uid="{00000000-0005-0000-0000-0000A2580000}"/>
    <cellStyle name="Border Top Thin 4 3 7" xfId="21454" xr:uid="{00000000-0005-0000-0000-0000A3580000}"/>
    <cellStyle name="Border Top Thin 4 3 7 2" xfId="40796" xr:uid="{00000000-0005-0000-0000-0000A4580000}"/>
    <cellStyle name="Border Top Thin 4 3 8" xfId="33395" xr:uid="{00000000-0005-0000-0000-0000A5580000}"/>
    <cellStyle name="Border Top Thin 4 4" xfId="14326" xr:uid="{00000000-0005-0000-0000-0000A6580000}"/>
    <cellStyle name="Border Top Thin 4 4 2" xfId="16822" xr:uid="{00000000-0005-0000-0000-0000A7580000}"/>
    <cellStyle name="Border Top Thin 4 4 2 2" xfId="36176" xr:uid="{00000000-0005-0000-0000-0000A8580000}"/>
    <cellStyle name="Border Top Thin 4 4 3" xfId="19253" xr:uid="{00000000-0005-0000-0000-0000A9580000}"/>
    <cellStyle name="Border Top Thin 4 4 3 2" xfId="38606" xr:uid="{00000000-0005-0000-0000-0000AA580000}"/>
    <cellStyle name="Border Top Thin 4 4 4" xfId="21746" xr:uid="{00000000-0005-0000-0000-0000AB580000}"/>
    <cellStyle name="Border Top Thin 4 4 4 2" xfId="41088" xr:uid="{00000000-0005-0000-0000-0000AC580000}"/>
    <cellStyle name="Border Top Thin 4 4 5" xfId="33687" xr:uid="{00000000-0005-0000-0000-0000AD580000}"/>
    <cellStyle name="Border Top Thin 4 5" xfId="16067" xr:uid="{00000000-0005-0000-0000-0000AE580000}"/>
    <cellStyle name="Border Top Thin 4 5 2" xfId="35421" xr:uid="{00000000-0005-0000-0000-0000AF580000}"/>
    <cellStyle name="Border Top Thin 4 6" xfId="18466" xr:uid="{00000000-0005-0000-0000-0000B0580000}"/>
    <cellStyle name="Border Top Thin 4 6 2" xfId="37819" xr:uid="{00000000-0005-0000-0000-0000B1580000}"/>
    <cellStyle name="Border Top Thin 4 7" xfId="21000" xr:uid="{00000000-0005-0000-0000-0000B2580000}"/>
    <cellStyle name="Border Top Thin 4 7 2" xfId="40342" xr:uid="{00000000-0005-0000-0000-0000B3580000}"/>
    <cellStyle name="Border Top Thin 4 8" xfId="32880" xr:uid="{00000000-0005-0000-0000-0000B4580000}"/>
    <cellStyle name="Bottom bold border" xfId="3907" xr:uid="{00000000-0005-0000-0000-0000B5580000}"/>
    <cellStyle name="Bottom single border" xfId="3908" xr:uid="{00000000-0005-0000-0000-0000B6580000}"/>
    <cellStyle name="Bottom single border 2" xfId="4736" xr:uid="{00000000-0005-0000-0000-0000B7580000}"/>
    <cellStyle name="Bottom single border 2 2" xfId="8165" xr:uid="{00000000-0005-0000-0000-0000B8580000}"/>
    <cellStyle name="Bottom single border 2 2 2" xfId="12489" xr:uid="{00000000-0005-0000-0000-0000B9580000}"/>
    <cellStyle name="Bottom single border 2 2 2 2" xfId="31959" xr:uid="{00000000-0005-0000-0000-0000BA580000}"/>
    <cellStyle name="Bottom single border 2 2 3" xfId="27647" xr:uid="{00000000-0005-0000-0000-0000BB580000}"/>
    <cellStyle name="Bottom single border 2 3" xfId="24243" xr:uid="{00000000-0005-0000-0000-0000BC580000}"/>
    <cellStyle name="Bottom single border 3" xfId="23934" xr:uid="{00000000-0005-0000-0000-0000BD580000}"/>
    <cellStyle name="BP" xfId="1458" xr:uid="{00000000-0005-0000-0000-0000BE580000}"/>
    <cellStyle name="Bullet" xfId="1459" xr:uid="{00000000-0005-0000-0000-0000BF580000}"/>
    <cellStyle name="Author34" xfId="1460" xr:uid="{00000000-0005-0000-0000-0000C0580000}"/>
    <cellStyle name="Author34 2" xfId="2533" xr:uid="{00000000-0005-0000-0000-0000C1580000}"/>
    <cellStyle name="Author34_Company0320 DCF" xfId="1461" xr:uid="{00000000-0005-0000-0000-0000C2580000}"/>
    <cellStyle name="Author34_Company0320 DCF 2" xfId="1972" xr:uid="{00000000-0005-0000-0000-0000C3580000}"/>
    <cellStyle name="Author34_Company0320 DCF_Sales Model" xfId="1462" xr:uid="{00000000-0005-0000-0000-0000C4580000}"/>
    <cellStyle name="Author34_Company0320 for Client" xfId="1463" xr:uid="{00000000-0005-0000-0000-0000C5580000}"/>
    <cellStyle name="Author34_Company0320 for Client 2" xfId="1973" xr:uid="{00000000-0005-0000-0000-0000C6580000}"/>
    <cellStyle name="Author34_Company0320 for Client_Sales Model" xfId="1464" xr:uid="{00000000-0005-0000-0000-0000C7580000}"/>
    <cellStyle name="Author34_Company0320 working" xfId="1465" xr:uid="{00000000-0005-0000-0000-0000C8580000}"/>
    <cellStyle name="Author34_Company0320 working 2" xfId="1974" xr:uid="{00000000-0005-0000-0000-0000C9580000}"/>
    <cellStyle name="Author34_Company0320 working_Sales Model" xfId="1466" xr:uid="{00000000-0005-0000-0000-0000CA580000}"/>
    <cellStyle name="Author34_Check" xfId="1467" xr:uid="{00000000-0005-0000-0000-0000CB580000}"/>
    <cellStyle name="Author34_Check 2" xfId="1975" xr:uid="{00000000-0005-0000-0000-0000CC580000}"/>
    <cellStyle name="Author34_Check_Sales Model" xfId="1468" xr:uid="{00000000-0005-0000-0000-0000CD580000}"/>
    <cellStyle name="Author34_Company1232 " xfId="1469" xr:uid="{00000000-0005-0000-0000-0000CE580000}"/>
    <cellStyle name="Author34_Company1232 _Company0320 DCF" xfId="1470" xr:uid="{00000000-0005-0000-0000-0000CF580000}"/>
    <cellStyle name="Author34_Company1232 _Company0320 DCF 2" xfId="1976" xr:uid="{00000000-0005-0000-0000-0000D0580000}"/>
    <cellStyle name="Author34_Company1232 _Company0320 DCF_Sales Model" xfId="1471" xr:uid="{00000000-0005-0000-0000-0000D1580000}"/>
    <cellStyle name="Author34_Company1232 _Company0320 for Client" xfId="1472" xr:uid="{00000000-0005-0000-0000-0000D2580000}"/>
    <cellStyle name="Author34_Company1232 _Company0320 for Client 2" xfId="1977" xr:uid="{00000000-0005-0000-0000-0000D3580000}"/>
    <cellStyle name="Author34_Company1232 _Company0320 for Client_Sales Model" xfId="1473" xr:uid="{00000000-0005-0000-0000-0000D4580000}"/>
    <cellStyle name="Author34_Company1232 _Company0320 working" xfId="1474" xr:uid="{00000000-0005-0000-0000-0000D5580000}"/>
    <cellStyle name="Author34_Company1232 _Company0320 working 2" xfId="1978" xr:uid="{00000000-0005-0000-0000-0000D6580000}"/>
    <cellStyle name="Author34_Company1232 _Company0320 working_Sales Model" xfId="1475" xr:uid="{00000000-0005-0000-0000-0000D7580000}"/>
    <cellStyle name="Author34_Company1232 _CF" xfId="1476" xr:uid="{00000000-0005-0000-0000-0000D8580000}"/>
    <cellStyle name="Author34_Company1232 _CF 2" xfId="1979" xr:uid="{00000000-0005-0000-0000-0000D9580000}"/>
    <cellStyle name="Author34_Company1232 _CF_Sales Model" xfId="1477" xr:uid="{00000000-0005-0000-0000-0000DA580000}"/>
    <cellStyle name="Author34_Company1232 _Check" xfId="1478" xr:uid="{00000000-0005-0000-0000-0000DB580000}"/>
    <cellStyle name="Author34_Company1232 _Check 2" xfId="1980" xr:uid="{00000000-0005-0000-0000-0000DC580000}"/>
    <cellStyle name="Author34_Company1232 _Check_Sales Model" xfId="1479" xr:uid="{00000000-0005-0000-0000-0000DD580000}"/>
    <cellStyle name="Author34_Company1232 _CROCI" xfId="1480" xr:uid="{00000000-0005-0000-0000-0000DE580000}"/>
    <cellStyle name="Author34_Company1232 _CROCI 2" xfId="1481" xr:uid="{00000000-0005-0000-0000-0000DF580000}"/>
    <cellStyle name="Author34_Company1232 _DCF Analysis" xfId="1482" xr:uid="{00000000-0005-0000-0000-0000E0580000}"/>
    <cellStyle name="Author34_Company1232 _DCF Analysis 2" xfId="1483" xr:uid="{00000000-0005-0000-0000-0000E1580000}"/>
    <cellStyle name="Author34_Company1232 _DCF Analysis_CROCI" xfId="1484" xr:uid="{00000000-0005-0000-0000-0000E2580000}"/>
    <cellStyle name="Author34_Company1232 _Ticker0018 DCF" xfId="1485" xr:uid="{00000000-0005-0000-0000-0000E3580000}"/>
    <cellStyle name="Author34_Company1232 _Ticker0018 DCF 2" xfId="1981" xr:uid="{00000000-0005-0000-0000-0000E4580000}"/>
    <cellStyle name="Author34_Company1232 _Ticker0018 DCF published 8.13.2009" xfId="1486" xr:uid="{00000000-0005-0000-0000-0000E5580000}"/>
    <cellStyle name="Author34_Company1232 _Ticker0018 DCF published 8.13.2009 2" xfId="1982" xr:uid="{00000000-0005-0000-0000-0000E6580000}"/>
    <cellStyle name="Author34_Company1232 _Ticker0018 DCF published 8.13.2009_Sales Model" xfId="1487" xr:uid="{00000000-0005-0000-0000-0000E7580000}"/>
    <cellStyle name="Author34_Company1232 _Ticker0018 DCF_Sales Model" xfId="1488" xr:uid="{00000000-0005-0000-0000-0000E8580000}"/>
    <cellStyle name="Author34_Company1232 _LC Rx trend vs est" xfId="1489" xr:uid="{00000000-0005-0000-0000-0000E9580000}"/>
    <cellStyle name="Author34_Company1232 _LC Rx trend vs est 2" xfId="1983" xr:uid="{00000000-0005-0000-0000-0000EA580000}"/>
    <cellStyle name="Author34_Company1232 _LC Rx trend vs est_Sales Model" xfId="1490" xr:uid="{00000000-0005-0000-0000-0000EB580000}"/>
    <cellStyle name="Author34_Company1232 _Company1562 working" xfId="1491" xr:uid="{00000000-0005-0000-0000-0000EC580000}"/>
    <cellStyle name="Author34_Company1232 _Company1562 working 2" xfId="1984" xr:uid="{00000000-0005-0000-0000-0000ED580000}"/>
    <cellStyle name="Author34_Company1232 _Company1562 working_Sales Model" xfId="1492" xr:uid="{00000000-0005-0000-0000-0000EE580000}"/>
    <cellStyle name="Author34_Company1232 _MRK working" xfId="1493" xr:uid="{00000000-0005-0000-0000-0000EF580000}"/>
    <cellStyle name="Author34_Company1232 _MRK working 2" xfId="1494" xr:uid="{00000000-0005-0000-0000-0000F0580000}"/>
    <cellStyle name="Author34_Company1232 _MRK working_CROCI" xfId="1495" xr:uid="{00000000-0005-0000-0000-0000F1580000}"/>
    <cellStyle name="Author34_Company1232 _MRK working_CROCI 2" xfId="1496" xr:uid="{00000000-0005-0000-0000-0000F2580000}"/>
    <cellStyle name="Author34_Company1232 _MRK working_CROCI_1" xfId="1497" xr:uid="{00000000-0005-0000-0000-0000F3580000}"/>
    <cellStyle name="Author34_Company1232 _Patent" xfId="1498" xr:uid="{00000000-0005-0000-0000-0000F4580000}"/>
    <cellStyle name="Author34_Company1232 _Patent 2" xfId="1985" xr:uid="{00000000-0005-0000-0000-0000F5580000}"/>
    <cellStyle name="Author34_Company1232 _Patent_Sales Model" xfId="1499" xr:uid="{00000000-0005-0000-0000-0000F6580000}"/>
    <cellStyle name="Author34_Company1232 _Company2068 working" xfId="1500" xr:uid="{00000000-0005-0000-0000-0000F7580000}"/>
    <cellStyle name="Author34_Company1232 _Company2068 working 2" xfId="1986" xr:uid="{00000000-0005-0000-0000-0000F8580000}"/>
    <cellStyle name="Author34_Company1232 _Company2068 working_Sales Model" xfId="1501" xr:uid="{00000000-0005-0000-0000-0000F9580000}"/>
    <cellStyle name="Author34_Company1232 _Qtr Review" xfId="1502" xr:uid="{00000000-0005-0000-0000-0000FA580000}"/>
    <cellStyle name="Author34_Company1232 _Qtr Review 2" xfId="2534" xr:uid="{00000000-0005-0000-0000-0000FB580000}"/>
    <cellStyle name="Author34_Company1232 _ROIC_New" xfId="1503" xr:uid="{00000000-0005-0000-0000-0000FC580000}"/>
    <cellStyle name="Author34_Company1232 _ROIC_New 2" xfId="2535" xr:uid="{00000000-0005-0000-0000-0000FD580000}"/>
    <cellStyle name="Author34_Ticker0018 DCF" xfId="1504" xr:uid="{00000000-0005-0000-0000-0000FE580000}"/>
    <cellStyle name="Author34_Ticker0018 DCF 2" xfId="1987" xr:uid="{00000000-0005-0000-0000-0000FF580000}"/>
    <cellStyle name="Author34_Ticker0018 DCF published 8.13.2009" xfId="1505" xr:uid="{00000000-0005-0000-0000-000000590000}"/>
    <cellStyle name="Author34_Ticker0018 DCF published 8.13.2009 2" xfId="1988" xr:uid="{00000000-0005-0000-0000-000001590000}"/>
    <cellStyle name="Author34_Ticker0018 DCF published 8.13.2009_Sales Model" xfId="1506" xr:uid="{00000000-0005-0000-0000-000002590000}"/>
    <cellStyle name="Author34_Ticker0018 DCF_Sales Model" xfId="1507" xr:uid="{00000000-0005-0000-0000-000003590000}"/>
    <cellStyle name="Author34_LC Rx trend vs est" xfId="1508" xr:uid="{00000000-0005-0000-0000-000004590000}"/>
    <cellStyle name="Author34_LC Rx trend vs est 2" xfId="1989" xr:uid="{00000000-0005-0000-0000-000005590000}"/>
    <cellStyle name="Author34_LC Rx trend vs est_Sales Model" xfId="1509" xr:uid="{00000000-0005-0000-0000-000006590000}"/>
    <cellStyle name="Author34_Company1562 working" xfId="1510" xr:uid="{00000000-0005-0000-0000-000007590000}"/>
    <cellStyle name="Author34_Company1562 working 2" xfId="1990" xr:uid="{00000000-0005-0000-0000-000008590000}"/>
    <cellStyle name="Author34_Company1562 working_Sales Model" xfId="1511" xr:uid="{00000000-0005-0000-0000-000009590000}"/>
    <cellStyle name="Cabecera 1" xfId="1512" xr:uid="{00000000-0005-0000-0000-00000A590000}"/>
    <cellStyle name="Cabecera 2" xfId="1513" xr:uid="{00000000-0005-0000-0000-00000B590000}"/>
    <cellStyle name="Calc Cells" xfId="1514" xr:uid="{00000000-0005-0000-0000-00000C590000}"/>
    <cellStyle name="Calc Cells 2" xfId="1515" xr:uid="{00000000-0005-0000-0000-00000D590000}"/>
    <cellStyle name="Calc Cells 2 2" xfId="4551" xr:uid="{00000000-0005-0000-0000-00000E590000}"/>
    <cellStyle name="Calc Cells 3" xfId="4550" xr:uid="{00000000-0005-0000-0000-00000F590000}"/>
    <cellStyle name="Calc Currency (0)" xfId="1516" xr:uid="{00000000-0005-0000-0000-000010590000}"/>
    <cellStyle name="Calc Currency (0) 2" xfId="2536" xr:uid="{00000000-0005-0000-0000-000011590000}"/>
    <cellStyle name="Calculation" xfId="1517" builtinId="22" customBuiltin="1"/>
    <cellStyle name="Calculation 2" xfId="2073" xr:uid="{00000000-0005-0000-0000-000013590000}"/>
    <cellStyle name="Calculation 2 2" xfId="2644" xr:uid="{00000000-0005-0000-0000-000014590000}"/>
    <cellStyle name="Calculation 2 2 2" xfId="4915" xr:uid="{00000000-0005-0000-0000-000015590000}"/>
    <cellStyle name="Calculation 2 2 2 2" xfId="6667" xr:uid="{00000000-0005-0000-0000-000016590000}"/>
    <cellStyle name="Calculation 2 2 2 2 2" xfId="14673" xr:uid="{00000000-0005-0000-0000-000017590000}"/>
    <cellStyle name="Calculation 2 2 2 2 2 2" xfId="17154" xr:uid="{00000000-0005-0000-0000-000018590000}"/>
    <cellStyle name="Calculation 2 2 2 2 2 2 2" xfId="36508" xr:uid="{00000000-0005-0000-0000-000019590000}"/>
    <cellStyle name="Calculation 2 2 2 2 2 3" xfId="19585" xr:uid="{00000000-0005-0000-0000-00001A590000}"/>
    <cellStyle name="Calculation 2 2 2 2 2 3 2" xfId="38938" xr:uid="{00000000-0005-0000-0000-00001B590000}"/>
    <cellStyle name="Calculation 2 2 2 2 2 4" xfId="22093" xr:uid="{00000000-0005-0000-0000-00001C590000}"/>
    <cellStyle name="Calculation 2 2 2 2 2 4 2" xfId="41435" xr:uid="{00000000-0005-0000-0000-00001D590000}"/>
    <cellStyle name="Calculation 2 2 2 2 2 5" xfId="34034" xr:uid="{00000000-0005-0000-0000-00001E590000}"/>
    <cellStyle name="Calculation 2 2 2 2 3" xfId="15225" xr:uid="{00000000-0005-0000-0000-00001F590000}"/>
    <cellStyle name="Calculation 2 2 2 2 3 2" xfId="17701" xr:uid="{00000000-0005-0000-0000-000020590000}"/>
    <cellStyle name="Calculation 2 2 2 2 3 2 2" xfId="37055" xr:uid="{00000000-0005-0000-0000-000021590000}"/>
    <cellStyle name="Calculation 2 2 2 2 3 3" xfId="20132" xr:uid="{00000000-0005-0000-0000-000022590000}"/>
    <cellStyle name="Calculation 2 2 2 2 3 3 2" xfId="39485" xr:uid="{00000000-0005-0000-0000-000023590000}"/>
    <cellStyle name="Calculation 2 2 2 2 3 4" xfId="22645" xr:uid="{00000000-0005-0000-0000-000024590000}"/>
    <cellStyle name="Calculation 2 2 2 2 3 4 2" xfId="41987" xr:uid="{00000000-0005-0000-0000-000025590000}"/>
    <cellStyle name="Calculation 2 2 2 2 3 5" xfId="34586" xr:uid="{00000000-0005-0000-0000-000026590000}"/>
    <cellStyle name="Calculation 2 2 2 2 4" xfId="15695" xr:uid="{00000000-0005-0000-0000-000027590000}"/>
    <cellStyle name="Calculation 2 2 2 2 4 2" xfId="18171" xr:uid="{00000000-0005-0000-0000-000028590000}"/>
    <cellStyle name="Calculation 2 2 2 2 4 2 2" xfId="37525" xr:uid="{00000000-0005-0000-0000-000029590000}"/>
    <cellStyle name="Calculation 2 2 2 2 4 3" xfId="20602" xr:uid="{00000000-0005-0000-0000-00002A590000}"/>
    <cellStyle name="Calculation 2 2 2 2 4 3 2" xfId="39955" xr:uid="{00000000-0005-0000-0000-00002B590000}"/>
    <cellStyle name="Calculation 2 2 2 2 4 4" xfId="23115" xr:uid="{00000000-0005-0000-0000-00002C590000}"/>
    <cellStyle name="Calculation 2 2 2 2 4 4 2" xfId="42457" xr:uid="{00000000-0005-0000-0000-00002D590000}"/>
    <cellStyle name="Calculation 2 2 2 2 4 5" xfId="35056" xr:uid="{00000000-0005-0000-0000-00002E590000}"/>
    <cellStyle name="Calculation 2 2 2 2 5" xfId="13878" xr:uid="{00000000-0005-0000-0000-00002F590000}"/>
    <cellStyle name="Calculation 2 2 2 2 5 2" xfId="33242" xr:uid="{00000000-0005-0000-0000-000030590000}"/>
    <cellStyle name="Calculation 2 2 2 2 6" xfId="16387" xr:uid="{00000000-0005-0000-0000-000031590000}"/>
    <cellStyle name="Calculation 2 2 2 2 6 2" xfId="35741" xr:uid="{00000000-0005-0000-0000-000032590000}"/>
    <cellStyle name="Calculation 2 2 2 2 7" xfId="18818" xr:uid="{00000000-0005-0000-0000-000033590000}"/>
    <cellStyle name="Calculation 2 2 2 2 7 2" xfId="38171" xr:uid="{00000000-0005-0000-0000-000034590000}"/>
    <cellStyle name="Calculation 2 2 2 2 8" xfId="21301" xr:uid="{00000000-0005-0000-0000-000035590000}"/>
    <cellStyle name="Calculation 2 2 2 2 8 2" xfId="40643" xr:uid="{00000000-0005-0000-0000-000036590000}"/>
    <cellStyle name="Calculation 2 2 2 2 9" xfId="26152" xr:uid="{00000000-0005-0000-0000-000037590000}"/>
    <cellStyle name="Calculation 2 2 2 3" xfId="14096" xr:uid="{00000000-0005-0000-0000-000038590000}"/>
    <cellStyle name="Calculation 2 2 2 3 2" xfId="14877" xr:uid="{00000000-0005-0000-0000-000039590000}"/>
    <cellStyle name="Calculation 2 2 2 3 2 2" xfId="17355" xr:uid="{00000000-0005-0000-0000-00003A590000}"/>
    <cellStyle name="Calculation 2 2 2 3 2 2 2" xfId="36709" xr:uid="{00000000-0005-0000-0000-00003B590000}"/>
    <cellStyle name="Calculation 2 2 2 3 2 3" xfId="19786" xr:uid="{00000000-0005-0000-0000-00003C590000}"/>
    <cellStyle name="Calculation 2 2 2 3 2 3 2" xfId="39139" xr:uid="{00000000-0005-0000-0000-00003D590000}"/>
    <cellStyle name="Calculation 2 2 2 3 2 4" xfId="22297" xr:uid="{00000000-0005-0000-0000-00003E590000}"/>
    <cellStyle name="Calculation 2 2 2 3 2 4 2" xfId="41639" xr:uid="{00000000-0005-0000-0000-00003F590000}"/>
    <cellStyle name="Calculation 2 2 2 3 2 5" xfId="34238" xr:uid="{00000000-0005-0000-0000-000040590000}"/>
    <cellStyle name="Calculation 2 2 2 3 3" xfId="15424" xr:uid="{00000000-0005-0000-0000-000041590000}"/>
    <cellStyle name="Calculation 2 2 2 3 3 2" xfId="17900" xr:uid="{00000000-0005-0000-0000-000042590000}"/>
    <cellStyle name="Calculation 2 2 2 3 3 2 2" xfId="37254" xr:uid="{00000000-0005-0000-0000-000043590000}"/>
    <cellStyle name="Calculation 2 2 2 3 3 3" xfId="20331" xr:uid="{00000000-0005-0000-0000-000044590000}"/>
    <cellStyle name="Calculation 2 2 2 3 3 3 2" xfId="39684" xr:uid="{00000000-0005-0000-0000-000045590000}"/>
    <cellStyle name="Calculation 2 2 2 3 3 4" xfId="22844" xr:uid="{00000000-0005-0000-0000-000046590000}"/>
    <cellStyle name="Calculation 2 2 2 3 3 4 2" xfId="42186" xr:uid="{00000000-0005-0000-0000-000047590000}"/>
    <cellStyle name="Calculation 2 2 2 3 3 5" xfId="34785" xr:uid="{00000000-0005-0000-0000-000048590000}"/>
    <cellStyle name="Calculation 2 2 2 3 4" xfId="15883" xr:uid="{00000000-0005-0000-0000-000049590000}"/>
    <cellStyle name="Calculation 2 2 2 3 4 2" xfId="18359" xr:uid="{00000000-0005-0000-0000-00004A590000}"/>
    <cellStyle name="Calculation 2 2 2 3 4 2 2" xfId="37713" xr:uid="{00000000-0005-0000-0000-00004B590000}"/>
    <cellStyle name="Calculation 2 2 2 3 4 3" xfId="20790" xr:uid="{00000000-0005-0000-0000-00004C590000}"/>
    <cellStyle name="Calculation 2 2 2 3 4 3 2" xfId="40143" xr:uid="{00000000-0005-0000-0000-00004D590000}"/>
    <cellStyle name="Calculation 2 2 2 3 4 4" xfId="23303" xr:uid="{00000000-0005-0000-0000-00004E590000}"/>
    <cellStyle name="Calculation 2 2 2 3 4 4 2" xfId="42645" xr:uid="{00000000-0005-0000-0000-00004F590000}"/>
    <cellStyle name="Calculation 2 2 2 3 4 5" xfId="35244" xr:uid="{00000000-0005-0000-0000-000050590000}"/>
    <cellStyle name="Calculation 2 2 2 3 5" xfId="16602" xr:uid="{00000000-0005-0000-0000-000051590000}"/>
    <cellStyle name="Calculation 2 2 2 3 5 2" xfId="35956" xr:uid="{00000000-0005-0000-0000-000052590000}"/>
    <cellStyle name="Calculation 2 2 2 3 6" xfId="19033" xr:uid="{00000000-0005-0000-0000-000053590000}"/>
    <cellStyle name="Calculation 2 2 2 3 6 2" xfId="38386" xr:uid="{00000000-0005-0000-0000-000054590000}"/>
    <cellStyle name="Calculation 2 2 2 3 7" xfId="21519" xr:uid="{00000000-0005-0000-0000-000055590000}"/>
    <cellStyle name="Calculation 2 2 2 3 7 2" xfId="40861" xr:uid="{00000000-0005-0000-0000-000056590000}"/>
    <cellStyle name="Calculation 2 2 2 3 8" xfId="33460" xr:uid="{00000000-0005-0000-0000-000057590000}"/>
    <cellStyle name="Calculation 2 2 2 4" xfId="14388" xr:uid="{00000000-0005-0000-0000-000058590000}"/>
    <cellStyle name="Calculation 2 2 2 4 2" xfId="16881" xr:uid="{00000000-0005-0000-0000-000059590000}"/>
    <cellStyle name="Calculation 2 2 2 4 2 2" xfId="36235" xr:uid="{00000000-0005-0000-0000-00005A590000}"/>
    <cellStyle name="Calculation 2 2 2 4 3" xfId="19312" xr:uid="{00000000-0005-0000-0000-00005B590000}"/>
    <cellStyle name="Calculation 2 2 2 4 3 2" xfId="38665" xr:uid="{00000000-0005-0000-0000-00005C590000}"/>
    <cellStyle name="Calculation 2 2 2 4 4" xfId="21808" xr:uid="{00000000-0005-0000-0000-00005D590000}"/>
    <cellStyle name="Calculation 2 2 2 4 4 2" xfId="41150" xr:uid="{00000000-0005-0000-0000-00005E590000}"/>
    <cellStyle name="Calculation 2 2 2 4 5" xfId="33749" xr:uid="{00000000-0005-0000-0000-00005F590000}"/>
    <cellStyle name="Calculation 2 2 2 5" xfId="15021" xr:uid="{00000000-0005-0000-0000-000060590000}"/>
    <cellStyle name="Calculation 2 2 2 5 2" xfId="17497" xr:uid="{00000000-0005-0000-0000-000061590000}"/>
    <cellStyle name="Calculation 2 2 2 5 2 2" xfId="36851" xr:uid="{00000000-0005-0000-0000-000062590000}"/>
    <cellStyle name="Calculation 2 2 2 5 3" xfId="19928" xr:uid="{00000000-0005-0000-0000-000063590000}"/>
    <cellStyle name="Calculation 2 2 2 5 3 2" xfId="39281" xr:uid="{00000000-0005-0000-0000-000064590000}"/>
    <cellStyle name="Calculation 2 2 2 5 4" xfId="22441" xr:uid="{00000000-0005-0000-0000-000065590000}"/>
    <cellStyle name="Calculation 2 2 2 5 4 2" xfId="41783" xr:uid="{00000000-0005-0000-0000-000066590000}"/>
    <cellStyle name="Calculation 2 2 2 5 5" xfId="34382" xr:uid="{00000000-0005-0000-0000-000067590000}"/>
    <cellStyle name="Calculation 2 2 2 6" xfId="13579" xr:uid="{00000000-0005-0000-0000-000068590000}"/>
    <cellStyle name="Calculation 2 2 2 6 2" xfId="32945" xr:uid="{00000000-0005-0000-0000-000069590000}"/>
    <cellStyle name="Calculation 2 2 2 7" xfId="18531" xr:uid="{00000000-0005-0000-0000-00006A590000}"/>
    <cellStyle name="Calculation 2 2 2 7 2" xfId="37884" xr:uid="{00000000-0005-0000-0000-00006B590000}"/>
    <cellStyle name="Calculation 2 2 2 8" xfId="21031" xr:uid="{00000000-0005-0000-0000-00006C590000}"/>
    <cellStyle name="Calculation 2 2 2 8 2" xfId="40373" xr:uid="{00000000-0005-0000-0000-00006D590000}"/>
    <cellStyle name="Calculation 2 2 2 9" xfId="24409" xr:uid="{00000000-0005-0000-0000-00006E590000}"/>
    <cellStyle name="Calculation 2 2 3" xfId="5502" xr:uid="{00000000-0005-0000-0000-00006F590000}"/>
    <cellStyle name="Calculation 2 2 3 2" xfId="13945" xr:uid="{00000000-0005-0000-0000-000070590000}"/>
    <cellStyle name="Calculation 2 2 3 2 2" xfId="14740" xr:uid="{00000000-0005-0000-0000-000071590000}"/>
    <cellStyle name="Calculation 2 2 3 2 2 2" xfId="17218" xr:uid="{00000000-0005-0000-0000-000072590000}"/>
    <cellStyle name="Calculation 2 2 3 2 2 2 2" xfId="36572" xr:uid="{00000000-0005-0000-0000-000073590000}"/>
    <cellStyle name="Calculation 2 2 3 2 2 3" xfId="19649" xr:uid="{00000000-0005-0000-0000-000074590000}"/>
    <cellStyle name="Calculation 2 2 3 2 2 3 2" xfId="39002" xr:uid="{00000000-0005-0000-0000-000075590000}"/>
    <cellStyle name="Calculation 2 2 3 2 2 4" xfId="22160" xr:uid="{00000000-0005-0000-0000-000076590000}"/>
    <cellStyle name="Calculation 2 2 3 2 2 4 2" xfId="41502" xr:uid="{00000000-0005-0000-0000-000077590000}"/>
    <cellStyle name="Calculation 2 2 3 2 2 5" xfId="34101" xr:uid="{00000000-0005-0000-0000-000078590000}"/>
    <cellStyle name="Calculation 2 2 3 2 3" xfId="15288" xr:uid="{00000000-0005-0000-0000-000079590000}"/>
    <cellStyle name="Calculation 2 2 3 2 3 2" xfId="17764" xr:uid="{00000000-0005-0000-0000-00007A590000}"/>
    <cellStyle name="Calculation 2 2 3 2 3 2 2" xfId="37118" xr:uid="{00000000-0005-0000-0000-00007B590000}"/>
    <cellStyle name="Calculation 2 2 3 2 3 3" xfId="20195" xr:uid="{00000000-0005-0000-0000-00007C590000}"/>
    <cellStyle name="Calculation 2 2 3 2 3 3 2" xfId="39548" xr:uid="{00000000-0005-0000-0000-00007D590000}"/>
    <cellStyle name="Calculation 2 2 3 2 3 4" xfId="22708" xr:uid="{00000000-0005-0000-0000-00007E590000}"/>
    <cellStyle name="Calculation 2 2 3 2 3 4 2" xfId="42050" xr:uid="{00000000-0005-0000-0000-00007F590000}"/>
    <cellStyle name="Calculation 2 2 3 2 3 5" xfId="34649" xr:uid="{00000000-0005-0000-0000-000080590000}"/>
    <cellStyle name="Calculation 2 2 3 2 4" xfId="15747" xr:uid="{00000000-0005-0000-0000-000081590000}"/>
    <cellStyle name="Calculation 2 2 3 2 4 2" xfId="18223" xr:uid="{00000000-0005-0000-0000-000082590000}"/>
    <cellStyle name="Calculation 2 2 3 2 4 2 2" xfId="37577" xr:uid="{00000000-0005-0000-0000-000083590000}"/>
    <cellStyle name="Calculation 2 2 3 2 4 3" xfId="20654" xr:uid="{00000000-0005-0000-0000-000084590000}"/>
    <cellStyle name="Calculation 2 2 3 2 4 3 2" xfId="40007" xr:uid="{00000000-0005-0000-0000-000085590000}"/>
    <cellStyle name="Calculation 2 2 3 2 4 4" xfId="23167" xr:uid="{00000000-0005-0000-0000-000086590000}"/>
    <cellStyle name="Calculation 2 2 3 2 4 4 2" xfId="42509" xr:uid="{00000000-0005-0000-0000-000087590000}"/>
    <cellStyle name="Calculation 2 2 3 2 4 5" xfId="35108" xr:uid="{00000000-0005-0000-0000-000088590000}"/>
    <cellStyle name="Calculation 2 2 3 2 5" xfId="16451" xr:uid="{00000000-0005-0000-0000-000089590000}"/>
    <cellStyle name="Calculation 2 2 3 2 5 2" xfId="35805" xr:uid="{00000000-0005-0000-0000-00008A590000}"/>
    <cellStyle name="Calculation 2 2 3 2 6" xfId="18882" xr:uid="{00000000-0005-0000-0000-00008B590000}"/>
    <cellStyle name="Calculation 2 2 3 2 6 2" xfId="38235" xr:uid="{00000000-0005-0000-0000-00008C590000}"/>
    <cellStyle name="Calculation 2 2 3 2 7" xfId="21368" xr:uid="{00000000-0005-0000-0000-00008D590000}"/>
    <cellStyle name="Calculation 2 2 3 2 7 2" xfId="40710" xr:uid="{00000000-0005-0000-0000-00008E590000}"/>
    <cellStyle name="Calculation 2 2 3 2 8" xfId="33309" xr:uid="{00000000-0005-0000-0000-00008F590000}"/>
    <cellStyle name="Calculation 2 2 3 3" xfId="14159" xr:uid="{00000000-0005-0000-0000-000090590000}"/>
    <cellStyle name="Calculation 2 2 3 3 2" xfId="14936" xr:uid="{00000000-0005-0000-0000-000091590000}"/>
    <cellStyle name="Calculation 2 2 3 3 2 2" xfId="17414" xr:uid="{00000000-0005-0000-0000-000092590000}"/>
    <cellStyle name="Calculation 2 2 3 3 2 2 2" xfId="36768" xr:uid="{00000000-0005-0000-0000-000093590000}"/>
    <cellStyle name="Calculation 2 2 3 3 2 3" xfId="19845" xr:uid="{00000000-0005-0000-0000-000094590000}"/>
    <cellStyle name="Calculation 2 2 3 3 2 3 2" xfId="39198" xr:uid="{00000000-0005-0000-0000-000095590000}"/>
    <cellStyle name="Calculation 2 2 3 3 2 4" xfId="22356" xr:uid="{00000000-0005-0000-0000-000096590000}"/>
    <cellStyle name="Calculation 2 2 3 3 2 4 2" xfId="41698" xr:uid="{00000000-0005-0000-0000-000097590000}"/>
    <cellStyle name="Calculation 2 2 3 3 2 5" xfId="34297" xr:uid="{00000000-0005-0000-0000-000098590000}"/>
    <cellStyle name="Calculation 2 2 3 3 3" xfId="15482" xr:uid="{00000000-0005-0000-0000-000099590000}"/>
    <cellStyle name="Calculation 2 2 3 3 3 2" xfId="17958" xr:uid="{00000000-0005-0000-0000-00009A590000}"/>
    <cellStyle name="Calculation 2 2 3 3 3 2 2" xfId="37312" xr:uid="{00000000-0005-0000-0000-00009B590000}"/>
    <cellStyle name="Calculation 2 2 3 3 3 3" xfId="20389" xr:uid="{00000000-0005-0000-0000-00009C590000}"/>
    <cellStyle name="Calculation 2 2 3 3 3 3 2" xfId="39742" xr:uid="{00000000-0005-0000-0000-00009D590000}"/>
    <cellStyle name="Calculation 2 2 3 3 3 4" xfId="22902" xr:uid="{00000000-0005-0000-0000-00009E590000}"/>
    <cellStyle name="Calculation 2 2 3 3 3 4 2" xfId="42244" xr:uid="{00000000-0005-0000-0000-00009F590000}"/>
    <cellStyle name="Calculation 2 2 3 3 3 5" xfId="34843" xr:uid="{00000000-0005-0000-0000-0000A0590000}"/>
    <cellStyle name="Calculation 2 2 3 3 4" xfId="15941" xr:uid="{00000000-0005-0000-0000-0000A1590000}"/>
    <cellStyle name="Calculation 2 2 3 3 4 2" xfId="18417" xr:uid="{00000000-0005-0000-0000-0000A2590000}"/>
    <cellStyle name="Calculation 2 2 3 3 4 2 2" xfId="37771" xr:uid="{00000000-0005-0000-0000-0000A3590000}"/>
    <cellStyle name="Calculation 2 2 3 3 4 3" xfId="20848" xr:uid="{00000000-0005-0000-0000-0000A4590000}"/>
    <cellStyle name="Calculation 2 2 3 3 4 3 2" xfId="40201" xr:uid="{00000000-0005-0000-0000-0000A5590000}"/>
    <cellStyle name="Calculation 2 2 3 3 4 4" xfId="23361" xr:uid="{00000000-0005-0000-0000-0000A6590000}"/>
    <cellStyle name="Calculation 2 2 3 3 4 4 2" xfId="42703" xr:uid="{00000000-0005-0000-0000-0000A7590000}"/>
    <cellStyle name="Calculation 2 2 3 3 4 5" xfId="35302" xr:uid="{00000000-0005-0000-0000-0000A8590000}"/>
    <cellStyle name="Calculation 2 2 3 3 5" xfId="16665" xr:uid="{00000000-0005-0000-0000-0000A9590000}"/>
    <cellStyle name="Calculation 2 2 3 3 5 2" xfId="36019" xr:uid="{00000000-0005-0000-0000-0000AA590000}"/>
    <cellStyle name="Calculation 2 2 3 3 6" xfId="19096" xr:uid="{00000000-0005-0000-0000-0000AB590000}"/>
    <cellStyle name="Calculation 2 2 3 3 6 2" xfId="38449" xr:uid="{00000000-0005-0000-0000-0000AC590000}"/>
    <cellStyle name="Calculation 2 2 3 3 7" xfId="21582" xr:uid="{00000000-0005-0000-0000-0000AD590000}"/>
    <cellStyle name="Calculation 2 2 3 3 7 2" xfId="40924" xr:uid="{00000000-0005-0000-0000-0000AE590000}"/>
    <cellStyle name="Calculation 2 2 3 3 8" xfId="33523" xr:uid="{00000000-0005-0000-0000-0000AF590000}"/>
    <cellStyle name="Calculation 2 2 3 4" xfId="14455" xr:uid="{00000000-0005-0000-0000-0000B0590000}"/>
    <cellStyle name="Calculation 2 2 3 4 2" xfId="16945" xr:uid="{00000000-0005-0000-0000-0000B1590000}"/>
    <cellStyle name="Calculation 2 2 3 4 2 2" xfId="36299" xr:uid="{00000000-0005-0000-0000-0000B2590000}"/>
    <cellStyle name="Calculation 2 2 3 4 3" xfId="19376" xr:uid="{00000000-0005-0000-0000-0000B3590000}"/>
    <cellStyle name="Calculation 2 2 3 4 3 2" xfId="38729" xr:uid="{00000000-0005-0000-0000-0000B4590000}"/>
    <cellStyle name="Calculation 2 2 3 4 4" xfId="21875" xr:uid="{00000000-0005-0000-0000-0000B5590000}"/>
    <cellStyle name="Calculation 2 2 3 4 4 2" xfId="41217" xr:uid="{00000000-0005-0000-0000-0000B6590000}"/>
    <cellStyle name="Calculation 2 2 3 4 5" xfId="33816" xr:uid="{00000000-0005-0000-0000-0000B7590000}"/>
    <cellStyle name="Calculation 2 2 3 5" xfId="13647" xr:uid="{00000000-0005-0000-0000-0000B8590000}"/>
    <cellStyle name="Calculation 2 2 3 5 2" xfId="33013" xr:uid="{00000000-0005-0000-0000-0000B9590000}"/>
    <cellStyle name="Calculation 2 2 3 6" xfId="16167" xr:uid="{00000000-0005-0000-0000-0000BA590000}"/>
    <cellStyle name="Calculation 2 2 3 6 2" xfId="35521" xr:uid="{00000000-0005-0000-0000-0000BB590000}"/>
    <cellStyle name="Calculation 2 2 3 7" xfId="18598" xr:uid="{00000000-0005-0000-0000-0000BC590000}"/>
    <cellStyle name="Calculation 2 2 3 7 2" xfId="37951" xr:uid="{00000000-0005-0000-0000-0000BD590000}"/>
    <cellStyle name="Calculation 2 2 3 8" xfId="21072" xr:uid="{00000000-0005-0000-0000-0000BE590000}"/>
    <cellStyle name="Calculation 2 2 3 8 2" xfId="40414" xr:uid="{00000000-0005-0000-0000-0000BF590000}"/>
    <cellStyle name="Calculation 2 2 3 9" xfId="24990" xr:uid="{00000000-0005-0000-0000-0000C0590000}"/>
    <cellStyle name="Calculation 2 2 4" xfId="13995" xr:uid="{00000000-0005-0000-0000-0000C1590000}"/>
    <cellStyle name="Calculation 2 2 4 2" xfId="14790" xr:uid="{00000000-0005-0000-0000-0000C2590000}"/>
    <cellStyle name="Calculation 2 2 4 2 2" xfId="17268" xr:uid="{00000000-0005-0000-0000-0000C3590000}"/>
    <cellStyle name="Calculation 2 2 4 2 2 2" xfId="36622" xr:uid="{00000000-0005-0000-0000-0000C4590000}"/>
    <cellStyle name="Calculation 2 2 4 2 3" xfId="19699" xr:uid="{00000000-0005-0000-0000-0000C5590000}"/>
    <cellStyle name="Calculation 2 2 4 2 3 2" xfId="39052" xr:uid="{00000000-0005-0000-0000-0000C6590000}"/>
    <cellStyle name="Calculation 2 2 4 2 4" xfId="22210" xr:uid="{00000000-0005-0000-0000-0000C7590000}"/>
    <cellStyle name="Calculation 2 2 4 2 4 2" xfId="41552" xr:uid="{00000000-0005-0000-0000-0000C8590000}"/>
    <cellStyle name="Calculation 2 2 4 2 5" xfId="34151" xr:uid="{00000000-0005-0000-0000-0000C9590000}"/>
    <cellStyle name="Calculation 2 2 4 3" xfId="15338" xr:uid="{00000000-0005-0000-0000-0000CA590000}"/>
    <cellStyle name="Calculation 2 2 4 3 2" xfId="17814" xr:uid="{00000000-0005-0000-0000-0000CB590000}"/>
    <cellStyle name="Calculation 2 2 4 3 2 2" xfId="37168" xr:uid="{00000000-0005-0000-0000-0000CC590000}"/>
    <cellStyle name="Calculation 2 2 4 3 3" xfId="20245" xr:uid="{00000000-0005-0000-0000-0000CD590000}"/>
    <cellStyle name="Calculation 2 2 4 3 3 2" xfId="39598" xr:uid="{00000000-0005-0000-0000-0000CE590000}"/>
    <cellStyle name="Calculation 2 2 4 3 4" xfId="22758" xr:uid="{00000000-0005-0000-0000-0000CF590000}"/>
    <cellStyle name="Calculation 2 2 4 3 4 2" xfId="42100" xr:uid="{00000000-0005-0000-0000-0000D0590000}"/>
    <cellStyle name="Calculation 2 2 4 3 5" xfId="34699" xr:uid="{00000000-0005-0000-0000-0000D1590000}"/>
    <cellStyle name="Calculation 2 2 4 4" xfId="15797" xr:uid="{00000000-0005-0000-0000-0000D2590000}"/>
    <cellStyle name="Calculation 2 2 4 4 2" xfId="18273" xr:uid="{00000000-0005-0000-0000-0000D3590000}"/>
    <cellStyle name="Calculation 2 2 4 4 2 2" xfId="37627" xr:uid="{00000000-0005-0000-0000-0000D4590000}"/>
    <cellStyle name="Calculation 2 2 4 4 3" xfId="20704" xr:uid="{00000000-0005-0000-0000-0000D5590000}"/>
    <cellStyle name="Calculation 2 2 4 4 3 2" xfId="40057" xr:uid="{00000000-0005-0000-0000-0000D6590000}"/>
    <cellStyle name="Calculation 2 2 4 4 4" xfId="23217" xr:uid="{00000000-0005-0000-0000-0000D7590000}"/>
    <cellStyle name="Calculation 2 2 4 4 4 2" xfId="42559" xr:uid="{00000000-0005-0000-0000-0000D8590000}"/>
    <cellStyle name="Calculation 2 2 4 4 5" xfId="35158" xr:uid="{00000000-0005-0000-0000-0000D9590000}"/>
    <cellStyle name="Calculation 2 2 4 5" xfId="16501" xr:uid="{00000000-0005-0000-0000-0000DA590000}"/>
    <cellStyle name="Calculation 2 2 4 5 2" xfId="35855" xr:uid="{00000000-0005-0000-0000-0000DB590000}"/>
    <cellStyle name="Calculation 2 2 4 6" xfId="18932" xr:uid="{00000000-0005-0000-0000-0000DC590000}"/>
    <cellStyle name="Calculation 2 2 4 6 2" xfId="38285" xr:uid="{00000000-0005-0000-0000-0000DD590000}"/>
    <cellStyle name="Calculation 2 2 4 7" xfId="21418" xr:uid="{00000000-0005-0000-0000-0000DE590000}"/>
    <cellStyle name="Calculation 2 2 4 7 2" xfId="40760" xr:uid="{00000000-0005-0000-0000-0000DF590000}"/>
    <cellStyle name="Calculation 2 2 4 8" xfId="33359" xr:uid="{00000000-0005-0000-0000-0000E0590000}"/>
    <cellStyle name="Calculation 2 2 5" xfId="13452" xr:uid="{00000000-0005-0000-0000-0000E1590000}"/>
    <cellStyle name="Calculation 2 2 5 2" xfId="32831" xr:uid="{00000000-0005-0000-0000-0000E2590000}"/>
    <cellStyle name="Calculation 2 2 6" xfId="16022" xr:uid="{00000000-0005-0000-0000-0000E3590000}"/>
    <cellStyle name="Calculation 2 2 6 2" xfId="35376" xr:uid="{00000000-0005-0000-0000-0000E4590000}"/>
    <cellStyle name="Calculation 2 2 7" xfId="13286" xr:uid="{00000000-0005-0000-0000-0000E5590000}"/>
    <cellStyle name="Calculation 2 2 7 2" xfId="32731" xr:uid="{00000000-0005-0000-0000-0000E6590000}"/>
    <cellStyle name="Calculation 2 2 8" xfId="20952" xr:uid="{00000000-0005-0000-0000-0000E7590000}"/>
    <cellStyle name="Calculation 2 2 8 2" xfId="40294" xr:uid="{00000000-0005-0000-0000-0000E8590000}"/>
    <cellStyle name="Calculation 2 2 9" xfId="23537" xr:uid="{00000000-0005-0000-0000-0000E9590000}"/>
    <cellStyle name="Calculation 2 3" xfId="4119" xr:uid="{00000000-0005-0000-0000-0000EA590000}"/>
    <cellStyle name="Calculation 2 3 10" xfId="20984" xr:uid="{00000000-0005-0000-0000-0000EB590000}"/>
    <cellStyle name="Calculation 2 3 10 2" xfId="40326" xr:uid="{00000000-0005-0000-0000-0000EC590000}"/>
    <cellStyle name="Calculation 2 3 2" xfId="13609" xr:uid="{00000000-0005-0000-0000-0000ED590000}"/>
    <cellStyle name="Calculation 2 3 2 2" xfId="13910" xr:uid="{00000000-0005-0000-0000-0000EE590000}"/>
    <cellStyle name="Calculation 2 3 2 2 2" xfId="14705" xr:uid="{00000000-0005-0000-0000-0000EF590000}"/>
    <cellStyle name="Calculation 2 3 2 2 2 2" xfId="17183" xr:uid="{00000000-0005-0000-0000-0000F0590000}"/>
    <cellStyle name="Calculation 2 3 2 2 2 2 2" xfId="36537" xr:uid="{00000000-0005-0000-0000-0000F1590000}"/>
    <cellStyle name="Calculation 2 3 2 2 2 3" xfId="19614" xr:uid="{00000000-0005-0000-0000-0000F2590000}"/>
    <cellStyle name="Calculation 2 3 2 2 2 3 2" xfId="38967" xr:uid="{00000000-0005-0000-0000-0000F3590000}"/>
    <cellStyle name="Calculation 2 3 2 2 2 4" xfId="22125" xr:uid="{00000000-0005-0000-0000-0000F4590000}"/>
    <cellStyle name="Calculation 2 3 2 2 2 4 2" xfId="41467" xr:uid="{00000000-0005-0000-0000-0000F5590000}"/>
    <cellStyle name="Calculation 2 3 2 2 2 5" xfId="34066" xr:uid="{00000000-0005-0000-0000-0000F6590000}"/>
    <cellStyle name="Calculation 2 3 2 2 3" xfId="15253" xr:uid="{00000000-0005-0000-0000-0000F7590000}"/>
    <cellStyle name="Calculation 2 3 2 2 3 2" xfId="17729" xr:uid="{00000000-0005-0000-0000-0000F8590000}"/>
    <cellStyle name="Calculation 2 3 2 2 3 2 2" xfId="37083" xr:uid="{00000000-0005-0000-0000-0000F9590000}"/>
    <cellStyle name="Calculation 2 3 2 2 3 3" xfId="20160" xr:uid="{00000000-0005-0000-0000-0000FA590000}"/>
    <cellStyle name="Calculation 2 3 2 2 3 3 2" xfId="39513" xr:uid="{00000000-0005-0000-0000-0000FB590000}"/>
    <cellStyle name="Calculation 2 3 2 2 3 4" xfId="22673" xr:uid="{00000000-0005-0000-0000-0000FC590000}"/>
    <cellStyle name="Calculation 2 3 2 2 3 4 2" xfId="42015" xr:uid="{00000000-0005-0000-0000-0000FD590000}"/>
    <cellStyle name="Calculation 2 3 2 2 3 5" xfId="34614" xr:uid="{00000000-0005-0000-0000-0000FE590000}"/>
    <cellStyle name="Calculation 2 3 2 2 4" xfId="15712" xr:uid="{00000000-0005-0000-0000-0000FF590000}"/>
    <cellStyle name="Calculation 2 3 2 2 4 2" xfId="18188" xr:uid="{00000000-0005-0000-0000-0000005A0000}"/>
    <cellStyle name="Calculation 2 3 2 2 4 2 2" xfId="37542" xr:uid="{00000000-0005-0000-0000-0000015A0000}"/>
    <cellStyle name="Calculation 2 3 2 2 4 3" xfId="20619" xr:uid="{00000000-0005-0000-0000-0000025A0000}"/>
    <cellStyle name="Calculation 2 3 2 2 4 3 2" xfId="39972" xr:uid="{00000000-0005-0000-0000-0000035A0000}"/>
    <cellStyle name="Calculation 2 3 2 2 4 4" xfId="23132" xr:uid="{00000000-0005-0000-0000-0000045A0000}"/>
    <cellStyle name="Calculation 2 3 2 2 4 4 2" xfId="42474" xr:uid="{00000000-0005-0000-0000-0000055A0000}"/>
    <cellStyle name="Calculation 2 3 2 2 4 5" xfId="35073" xr:uid="{00000000-0005-0000-0000-0000065A0000}"/>
    <cellStyle name="Calculation 2 3 2 2 5" xfId="16416" xr:uid="{00000000-0005-0000-0000-0000075A0000}"/>
    <cellStyle name="Calculation 2 3 2 2 5 2" xfId="35770" xr:uid="{00000000-0005-0000-0000-0000085A0000}"/>
    <cellStyle name="Calculation 2 3 2 2 6" xfId="18847" xr:uid="{00000000-0005-0000-0000-0000095A0000}"/>
    <cellStyle name="Calculation 2 3 2 2 6 2" xfId="38200" xr:uid="{00000000-0005-0000-0000-00000A5A0000}"/>
    <cellStyle name="Calculation 2 3 2 2 7" xfId="21333" xr:uid="{00000000-0005-0000-0000-00000B5A0000}"/>
    <cellStyle name="Calculation 2 3 2 2 7 2" xfId="40675" xr:uid="{00000000-0005-0000-0000-00000C5A0000}"/>
    <cellStyle name="Calculation 2 3 2 2 8" xfId="33274" xr:uid="{00000000-0005-0000-0000-00000D5A0000}"/>
    <cellStyle name="Calculation 2 3 2 3" xfId="14125" xr:uid="{00000000-0005-0000-0000-00000E5A0000}"/>
    <cellStyle name="Calculation 2 3 2 3 2" xfId="14906" xr:uid="{00000000-0005-0000-0000-00000F5A0000}"/>
    <cellStyle name="Calculation 2 3 2 3 2 2" xfId="17384" xr:uid="{00000000-0005-0000-0000-0000105A0000}"/>
    <cellStyle name="Calculation 2 3 2 3 2 2 2" xfId="36738" xr:uid="{00000000-0005-0000-0000-0000115A0000}"/>
    <cellStyle name="Calculation 2 3 2 3 2 3" xfId="19815" xr:uid="{00000000-0005-0000-0000-0000125A0000}"/>
    <cellStyle name="Calculation 2 3 2 3 2 3 2" xfId="39168" xr:uid="{00000000-0005-0000-0000-0000135A0000}"/>
    <cellStyle name="Calculation 2 3 2 3 2 4" xfId="22326" xr:uid="{00000000-0005-0000-0000-0000145A0000}"/>
    <cellStyle name="Calculation 2 3 2 3 2 4 2" xfId="41668" xr:uid="{00000000-0005-0000-0000-0000155A0000}"/>
    <cellStyle name="Calculation 2 3 2 3 2 5" xfId="34267" xr:uid="{00000000-0005-0000-0000-0000165A0000}"/>
    <cellStyle name="Calculation 2 3 2 3 3" xfId="15453" xr:uid="{00000000-0005-0000-0000-0000175A0000}"/>
    <cellStyle name="Calculation 2 3 2 3 3 2" xfId="17929" xr:uid="{00000000-0005-0000-0000-0000185A0000}"/>
    <cellStyle name="Calculation 2 3 2 3 3 2 2" xfId="37283" xr:uid="{00000000-0005-0000-0000-0000195A0000}"/>
    <cellStyle name="Calculation 2 3 2 3 3 3" xfId="20360" xr:uid="{00000000-0005-0000-0000-00001A5A0000}"/>
    <cellStyle name="Calculation 2 3 2 3 3 3 2" xfId="39713" xr:uid="{00000000-0005-0000-0000-00001B5A0000}"/>
    <cellStyle name="Calculation 2 3 2 3 3 4" xfId="22873" xr:uid="{00000000-0005-0000-0000-00001C5A0000}"/>
    <cellStyle name="Calculation 2 3 2 3 3 4 2" xfId="42215" xr:uid="{00000000-0005-0000-0000-00001D5A0000}"/>
    <cellStyle name="Calculation 2 3 2 3 3 5" xfId="34814" xr:uid="{00000000-0005-0000-0000-00001E5A0000}"/>
    <cellStyle name="Calculation 2 3 2 3 4" xfId="15912" xr:uid="{00000000-0005-0000-0000-00001F5A0000}"/>
    <cellStyle name="Calculation 2 3 2 3 4 2" xfId="18388" xr:uid="{00000000-0005-0000-0000-0000205A0000}"/>
    <cellStyle name="Calculation 2 3 2 3 4 2 2" xfId="37742" xr:uid="{00000000-0005-0000-0000-0000215A0000}"/>
    <cellStyle name="Calculation 2 3 2 3 4 3" xfId="20819" xr:uid="{00000000-0005-0000-0000-0000225A0000}"/>
    <cellStyle name="Calculation 2 3 2 3 4 3 2" xfId="40172" xr:uid="{00000000-0005-0000-0000-0000235A0000}"/>
    <cellStyle name="Calculation 2 3 2 3 4 4" xfId="23332" xr:uid="{00000000-0005-0000-0000-0000245A0000}"/>
    <cellStyle name="Calculation 2 3 2 3 4 4 2" xfId="42674" xr:uid="{00000000-0005-0000-0000-0000255A0000}"/>
    <cellStyle name="Calculation 2 3 2 3 4 5" xfId="35273" xr:uid="{00000000-0005-0000-0000-0000265A0000}"/>
    <cellStyle name="Calculation 2 3 2 3 5" xfId="16631" xr:uid="{00000000-0005-0000-0000-0000275A0000}"/>
    <cellStyle name="Calculation 2 3 2 3 5 2" xfId="35985" xr:uid="{00000000-0005-0000-0000-0000285A0000}"/>
    <cellStyle name="Calculation 2 3 2 3 6" xfId="19062" xr:uid="{00000000-0005-0000-0000-0000295A0000}"/>
    <cellStyle name="Calculation 2 3 2 3 6 2" xfId="38415" xr:uid="{00000000-0005-0000-0000-00002A5A0000}"/>
    <cellStyle name="Calculation 2 3 2 3 7" xfId="21548" xr:uid="{00000000-0005-0000-0000-00002B5A0000}"/>
    <cellStyle name="Calculation 2 3 2 3 7 2" xfId="40890" xr:uid="{00000000-0005-0000-0000-00002C5A0000}"/>
    <cellStyle name="Calculation 2 3 2 3 8" xfId="33489" xr:uid="{00000000-0005-0000-0000-00002D5A0000}"/>
    <cellStyle name="Calculation 2 3 2 4" xfId="14420" xr:uid="{00000000-0005-0000-0000-00002E5A0000}"/>
    <cellStyle name="Calculation 2 3 2 4 2" xfId="16910" xr:uid="{00000000-0005-0000-0000-00002F5A0000}"/>
    <cellStyle name="Calculation 2 3 2 4 2 2" xfId="36264" xr:uid="{00000000-0005-0000-0000-0000305A0000}"/>
    <cellStyle name="Calculation 2 3 2 4 3" xfId="19341" xr:uid="{00000000-0005-0000-0000-0000315A0000}"/>
    <cellStyle name="Calculation 2 3 2 4 3 2" xfId="38694" xr:uid="{00000000-0005-0000-0000-0000325A0000}"/>
    <cellStyle name="Calculation 2 3 2 4 4" xfId="21840" xr:uid="{00000000-0005-0000-0000-0000335A0000}"/>
    <cellStyle name="Calculation 2 3 2 4 4 2" xfId="41182" xr:uid="{00000000-0005-0000-0000-0000345A0000}"/>
    <cellStyle name="Calculation 2 3 2 4 5" xfId="33781" xr:uid="{00000000-0005-0000-0000-0000355A0000}"/>
    <cellStyle name="Calculation 2 3 2 5" xfId="15044" xr:uid="{00000000-0005-0000-0000-0000365A0000}"/>
    <cellStyle name="Calculation 2 3 2 5 2" xfId="17520" xr:uid="{00000000-0005-0000-0000-0000375A0000}"/>
    <cellStyle name="Calculation 2 3 2 5 2 2" xfId="36874" xr:uid="{00000000-0005-0000-0000-0000385A0000}"/>
    <cellStyle name="Calculation 2 3 2 5 3" xfId="19951" xr:uid="{00000000-0005-0000-0000-0000395A0000}"/>
    <cellStyle name="Calculation 2 3 2 5 3 2" xfId="39304" xr:uid="{00000000-0005-0000-0000-00003A5A0000}"/>
    <cellStyle name="Calculation 2 3 2 5 4" xfId="22464" xr:uid="{00000000-0005-0000-0000-00003B5A0000}"/>
    <cellStyle name="Calculation 2 3 2 5 4 2" xfId="41806" xr:uid="{00000000-0005-0000-0000-00003C5A0000}"/>
    <cellStyle name="Calculation 2 3 2 5 5" xfId="34405" xr:uid="{00000000-0005-0000-0000-00003D5A0000}"/>
    <cellStyle name="Calculation 2 3 2 6" xfId="18560" xr:uid="{00000000-0005-0000-0000-00003E5A0000}"/>
    <cellStyle name="Calculation 2 3 2 6 2" xfId="37913" xr:uid="{00000000-0005-0000-0000-00003F5A0000}"/>
    <cellStyle name="Calculation 2 3 2 7" xfId="21041" xr:uid="{00000000-0005-0000-0000-0000405A0000}"/>
    <cellStyle name="Calculation 2 3 2 7 2" xfId="40383" xr:uid="{00000000-0005-0000-0000-0000415A0000}"/>
    <cellStyle name="Calculation 2 3 2 8" xfId="32975" xr:uid="{00000000-0005-0000-0000-0000425A0000}"/>
    <cellStyle name="Calculation 2 3 3" xfId="13676" xr:uid="{00000000-0005-0000-0000-0000435A0000}"/>
    <cellStyle name="Calculation 2 3 3 2" xfId="13974" xr:uid="{00000000-0005-0000-0000-0000445A0000}"/>
    <cellStyle name="Calculation 2 3 3 2 2" xfId="14769" xr:uid="{00000000-0005-0000-0000-0000455A0000}"/>
    <cellStyle name="Calculation 2 3 3 2 2 2" xfId="17247" xr:uid="{00000000-0005-0000-0000-0000465A0000}"/>
    <cellStyle name="Calculation 2 3 3 2 2 2 2" xfId="36601" xr:uid="{00000000-0005-0000-0000-0000475A0000}"/>
    <cellStyle name="Calculation 2 3 3 2 2 3" xfId="19678" xr:uid="{00000000-0005-0000-0000-0000485A0000}"/>
    <cellStyle name="Calculation 2 3 3 2 2 3 2" xfId="39031" xr:uid="{00000000-0005-0000-0000-0000495A0000}"/>
    <cellStyle name="Calculation 2 3 3 2 2 4" xfId="22189" xr:uid="{00000000-0005-0000-0000-00004A5A0000}"/>
    <cellStyle name="Calculation 2 3 3 2 2 4 2" xfId="41531" xr:uid="{00000000-0005-0000-0000-00004B5A0000}"/>
    <cellStyle name="Calculation 2 3 3 2 2 5" xfId="34130" xr:uid="{00000000-0005-0000-0000-00004C5A0000}"/>
    <cellStyle name="Calculation 2 3 3 2 3" xfId="15317" xr:uid="{00000000-0005-0000-0000-00004D5A0000}"/>
    <cellStyle name="Calculation 2 3 3 2 3 2" xfId="17793" xr:uid="{00000000-0005-0000-0000-00004E5A0000}"/>
    <cellStyle name="Calculation 2 3 3 2 3 2 2" xfId="37147" xr:uid="{00000000-0005-0000-0000-00004F5A0000}"/>
    <cellStyle name="Calculation 2 3 3 2 3 3" xfId="20224" xr:uid="{00000000-0005-0000-0000-0000505A0000}"/>
    <cellStyle name="Calculation 2 3 3 2 3 3 2" xfId="39577" xr:uid="{00000000-0005-0000-0000-0000515A0000}"/>
    <cellStyle name="Calculation 2 3 3 2 3 4" xfId="22737" xr:uid="{00000000-0005-0000-0000-0000525A0000}"/>
    <cellStyle name="Calculation 2 3 3 2 3 4 2" xfId="42079" xr:uid="{00000000-0005-0000-0000-0000535A0000}"/>
    <cellStyle name="Calculation 2 3 3 2 3 5" xfId="34678" xr:uid="{00000000-0005-0000-0000-0000545A0000}"/>
    <cellStyle name="Calculation 2 3 3 2 4" xfId="15776" xr:uid="{00000000-0005-0000-0000-0000555A0000}"/>
    <cellStyle name="Calculation 2 3 3 2 4 2" xfId="18252" xr:uid="{00000000-0005-0000-0000-0000565A0000}"/>
    <cellStyle name="Calculation 2 3 3 2 4 2 2" xfId="37606" xr:uid="{00000000-0005-0000-0000-0000575A0000}"/>
    <cellStyle name="Calculation 2 3 3 2 4 3" xfId="20683" xr:uid="{00000000-0005-0000-0000-0000585A0000}"/>
    <cellStyle name="Calculation 2 3 3 2 4 3 2" xfId="40036" xr:uid="{00000000-0005-0000-0000-0000595A0000}"/>
    <cellStyle name="Calculation 2 3 3 2 4 4" xfId="23196" xr:uid="{00000000-0005-0000-0000-00005A5A0000}"/>
    <cellStyle name="Calculation 2 3 3 2 4 4 2" xfId="42538" xr:uid="{00000000-0005-0000-0000-00005B5A0000}"/>
    <cellStyle name="Calculation 2 3 3 2 4 5" xfId="35137" xr:uid="{00000000-0005-0000-0000-00005C5A0000}"/>
    <cellStyle name="Calculation 2 3 3 2 5" xfId="16480" xr:uid="{00000000-0005-0000-0000-00005D5A0000}"/>
    <cellStyle name="Calculation 2 3 3 2 5 2" xfId="35834" xr:uid="{00000000-0005-0000-0000-00005E5A0000}"/>
    <cellStyle name="Calculation 2 3 3 2 6" xfId="18911" xr:uid="{00000000-0005-0000-0000-00005F5A0000}"/>
    <cellStyle name="Calculation 2 3 3 2 6 2" xfId="38264" xr:uid="{00000000-0005-0000-0000-0000605A0000}"/>
    <cellStyle name="Calculation 2 3 3 2 7" xfId="21397" xr:uid="{00000000-0005-0000-0000-0000615A0000}"/>
    <cellStyle name="Calculation 2 3 3 2 7 2" xfId="40739" xr:uid="{00000000-0005-0000-0000-0000625A0000}"/>
    <cellStyle name="Calculation 2 3 3 2 8" xfId="33338" xr:uid="{00000000-0005-0000-0000-0000635A0000}"/>
    <cellStyle name="Calculation 2 3 3 3" xfId="14187" xr:uid="{00000000-0005-0000-0000-0000645A0000}"/>
    <cellStyle name="Calculation 2 3 3 3 2" xfId="14964" xr:uid="{00000000-0005-0000-0000-0000655A0000}"/>
    <cellStyle name="Calculation 2 3 3 3 2 2" xfId="17442" xr:uid="{00000000-0005-0000-0000-0000665A0000}"/>
    <cellStyle name="Calculation 2 3 3 3 2 2 2" xfId="36796" xr:uid="{00000000-0005-0000-0000-0000675A0000}"/>
    <cellStyle name="Calculation 2 3 3 3 2 3" xfId="19873" xr:uid="{00000000-0005-0000-0000-0000685A0000}"/>
    <cellStyle name="Calculation 2 3 3 3 2 3 2" xfId="39226" xr:uid="{00000000-0005-0000-0000-0000695A0000}"/>
    <cellStyle name="Calculation 2 3 3 3 2 4" xfId="22384" xr:uid="{00000000-0005-0000-0000-00006A5A0000}"/>
    <cellStyle name="Calculation 2 3 3 3 2 4 2" xfId="41726" xr:uid="{00000000-0005-0000-0000-00006B5A0000}"/>
    <cellStyle name="Calculation 2 3 3 3 2 5" xfId="34325" xr:uid="{00000000-0005-0000-0000-00006C5A0000}"/>
    <cellStyle name="Calculation 2 3 3 3 3" xfId="15510" xr:uid="{00000000-0005-0000-0000-00006D5A0000}"/>
    <cellStyle name="Calculation 2 3 3 3 3 2" xfId="17986" xr:uid="{00000000-0005-0000-0000-00006E5A0000}"/>
    <cellStyle name="Calculation 2 3 3 3 3 2 2" xfId="37340" xr:uid="{00000000-0005-0000-0000-00006F5A0000}"/>
    <cellStyle name="Calculation 2 3 3 3 3 3" xfId="20417" xr:uid="{00000000-0005-0000-0000-0000705A0000}"/>
    <cellStyle name="Calculation 2 3 3 3 3 3 2" xfId="39770" xr:uid="{00000000-0005-0000-0000-0000715A0000}"/>
    <cellStyle name="Calculation 2 3 3 3 3 4" xfId="22930" xr:uid="{00000000-0005-0000-0000-0000725A0000}"/>
    <cellStyle name="Calculation 2 3 3 3 3 4 2" xfId="42272" xr:uid="{00000000-0005-0000-0000-0000735A0000}"/>
    <cellStyle name="Calculation 2 3 3 3 3 5" xfId="34871" xr:uid="{00000000-0005-0000-0000-0000745A0000}"/>
    <cellStyle name="Calculation 2 3 3 3 4" xfId="15969" xr:uid="{00000000-0005-0000-0000-0000755A0000}"/>
    <cellStyle name="Calculation 2 3 3 3 4 2" xfId="18445" xr:uid="{00000000-0005-0000-0000-0000765A0000}"/>
    <cellStyle name="Calculation 2 3 3 3 4 2 2" xfId="37799" xr:uid="{00000000-0005-0000-0000-0000775A0000}"/>
    <cellStyle name="Calculation 2 3 3 3 4 3" xfId="20876" xr:uid="{00000000-0005-0000-0000-0000785A0000}"/>
    <cellStyle name="Calculation 2 3 3 3 4 3 2" xfId="40229" xr:uid="{00000000-0005-0000-0000-0000795A0000}"/>
    <cellStyle name="Calculation 2 3 3 3 4 4" xfId="23389" xr:uid="{00000000-0005-0000-0000-00007A5A0000}"/>
    <cellStyle name="Calculation 2 3 3 3 4 4 2" xfId="42731" xr:uid="{00000000-0005-0000-0000-00007B5A0000}"/>
    <cellStyle name="Calculation 2 3 3 3 4 5" xfId="35330" xr:uid="{00000000-0005-0000-0000-00007C5A0000}"/>
    <cellStyle name="Calculation 2 3 3 3 5" xfId="16693" xr:uid="{00000000-0005-0000-0000-00007D5A0000}"/>
    <cellStyle name="Calculation 2 3 3 3 5 2" xfId="36047" xr:uid="{00000000-0005-0000-0000-00007E5A0000}"/>
    <cellStyle name="Calculation 2 3 3 3 6" xfId="19124" xr:uid="{00000000-0005-0000-0000-00007F5A0000}"/>
    <cellStyle name="Calculation 2 3 3 3 6 2" xfId="38477" xr:uid="{00000000-0005-0000-0000-0000805A0000}"/>
    <cellStyle name="Calculation 2 3 3 3 7" xfId="21610" xr:uid="{00000000-0005-0000-0000-0000815A0000}"/>
    <cellStyle name="Calculation 2 3 3 3 7 2" xfId="40952" xr:uid="{00000000-0005-0000-0000-0000825A0000}"/>
    <cellStyle name="Calculation 2 3 3 3 8" xfId="33551" xr:uid="{00000000-0005-0000-0000-0000835A0000}"/>
    <cellStyle name="Calculation 2 3 3 4" xfId="14484" xr:uid="{00000000-0005-0000-0000-0000845A0000}"/>
    <cellStyle name="Calculation 2 3 3 4 2" xfId="16974" xr:uid="{00000000-0005-0000-0000-0000855A0000}"/>
    <cellStyle name="Calculation 2 3 3 4 2 2" xfId="36328" xr:uid="{00000000-0005-0000-0000-0000865A0000}"/>
    <cellStyle name="Calculation 2 3 3 4 3" xfId="19405" xr:uid="{00000000-0005-0000-0000-0000875A0000}"/>
    <cellStyle name="Calculation 2 3 3 4 3 2" xfId="38758" xr:uid="{00000000-0005-0000-0000-0000885A0000}"/>
    <cellStyle name="Calculation 2 3 3 4 4" xfId="21904" xr:uid="{00000000-0005-0000-0000-0000895A0000}"/>
    <cellStyle name="Calculation 2 3 3 4 4 2" xfId="41246" xr:uid="{00000000-0005-0000-0000-00008A5A0000}"/>
    <cellStyle name="Calculation 2 3 3 4 5" xfId="33845" xr:uid="{00000000-0005-0000-0000-00008B5A0000}"/>
    <cellStyle name="Calculation 2 3 3 5" xfId="16196" xr:uid="{00000000-0005-0000-0000-00008C5A0000}"/>
    <cellStyle name="Calculation 2 3 3 5 2" xfId="35550" xr:uid="{00000000-0005-0000-0000-00008D5A0000}"/>
    <cellStyle name="Calculation 2 3 3 6" xfId="18627" xr:uid="{00000000-0005-0000-0000-00008E5A0000}"/>
    <cellStyle name="Calculation 2 3 3 6 2" xfId="37980" xr:uid="{00000000-0005-0000-0000-00008F5A0000}"/>
    <cellStyle name="Calculation 2 3 3 7" xfId="21101" xr:uid="{00000000-0005-0000-0000-0000905A0000}"/>
    <cellStyle name="Calculation 2 3 3 7 2" xfId="40443" xr:uid="{00000000-0005-0000-0000-0000915A0000}"/>
    <cellStyle name="Calculation 2 3 3 8" xfId="33042" xr:uid="{00000000-0005-0000-0000-0000925A0000}"/>
    <cellStyle name="Calculation 2 3 4" xfId="13797" xr:uid="{00000000-0005-0000-0000-0000935A0000}"/>
    <cellStyle name="Calculation 2 3 4 2" xfId="14596" xr:uid="{00000000-0005-0000-0000-0000945A0000}"/>
    <cellStyle name="Calculation 2 3 4 2 2" xfId="17080" xr:uid="{00000000-0005-0000-0000-0000955A0000}"/>
    <cellStyle name="Calculation 2 3 4 2 2 2" xfId="36434" xr:uid="{00000000-0005-0000-0000-0000965A0000}"/>
    <cellStyle name="Calculation 2 3 4 2 3" xfId="19511" xr:uid="{00000000-0005-0000-0000-0000975A0000}"/>
    <cellStyle name="Calculation 2 3 4 2 3 2" xfId="38864" xr:uid="{00000000-0005-0000-0000-0000985A0000}"/>
    <cellStyle name="Calculation 2 3 4 2 4" xfId="22016" xr:uid="{00000000-0005-0000-0000-0000995A0000}"/>
    <cellStyle name="Calculation 2 3 4 2 4 2" xfId="41358" xr:uid="{00000000-0005-0000-0000-00009A5A0000}"/>
    <cellStyle name="Calculation 2 3 4 2 5" xfId="33957" xr:uid="{00000000-0005-0000-0000-00009B5A0000}"/>
    <cellStyle name="Calculation 2 3 4 3" xfId="15153" xr:uid="{00000000-0005-0000-0000-00009C5A0000}"/>
    <cellStyle name="Calculation 2 3 4 3 2" xfId="17629" xr:uid="{00000000-0005-0000-0000-00009D5A0000}"/>
    <cellStyle name="Calculation 2 3 4 3 2 2" xfId="36983" xr:uid="{00000000-0005-0000-0000-00009E5A0000}"/>
    <cellStyle name="Calculation 2 3 4 3 3" xfId="20060" xr:uid="{00000000-0005-0000-0000-00009F5A0000}"/>
    <cellStyle name="Calculation 2 3 4 3 3 2" xfId="39413" xr:uid="{00000000-0005-0000-0000-0000A05A0000}"/>
    <cellStyle name="Calculation 2 3 4 3 4" xfId="22573" xr:uid="{00000000-0005-0000-0000-0000A15A0000}"/>
    <cellStyle name="Calculation 2 3 4 3 4 2" xfId="41915" xr:uid="{00000000-0005-0000-0000-0000A25A0000}"/>
    <cellStyle name="Calculation 2 3 4 3 5" xfId="34514" xr:uid="{00000000-0005-0000-0000-0000A35A0000}"/>
    <cellStyle name="Calculation 2 3 4 4" xfId="15634" xr:uid="{00000000-0005-0000-0000-0000A45A0000}"/>
    <cellStyle name="Calculation 2 3 4 4 2" xfId="18110" xr:uid="{00000000-0005-0000-0000-0000A55A0000}"/>
    <cellStyle name="Calculation 2 3 4 4 2 2" xfId="37464" xr:uid="{00000000-0005-0000-0000-0000A65A0000}"/>
    <cellStyle name="Calculation 2 3 4 4 3" xfId="20541" xr:uid="{00000000-0005-0000-0000-0000A75A0000}"/>
    <cellStyle name="Calculation 2 3 4 4 3 2" xfId="39894" xr:uid="{00000000-0005-0000-0000-0000A85A0000}"/>
    <cellStyle name="Calculation 2 3 4 4 4" xfId="23054" xr:uid="{00000000-0005-0000-0000-0000A95A0000}"/>
    <cellStyle name="Calculation 2 3 4 4 4 2" xfId="42396" xr:uid="{00000000-0005-0000-0000-0000AA5A0000}"/>
    <cellStyle name="Calculation 2 3 4 4 5" xfId="34995" xr:uid="{00000000-0005-0000-0000-0000AB5A0000}"/>
    <cellStyle name="Calculation 2 3 4 5" xfId="16309" xr:uid="{00000000-0005-0000-0000-0000AC5A0000}"/>
    <cellStyle name="Calculation 2 3 4 5 2" xfId="35663" xr:uid="{00000000-0005-0000-0000-0000AD5A0000}"/>
    <cellStyle name="Calculation 2 3 4 6" xfId="18740" xr:uid="{00000000-0005-0000-0000-0000AE5A0000}"/>
    <cellStyle name="Calculation 2 3 4 6 2" xfId="38093" xr:uid="{00000000-0005-0000-0000-0000AF5A0000}"/>
    <cellStyle name="Calculation 2 3 4 7" xfId="21220" xr:uid="{00000000-0005-0000-0000-0000B05A0000}"/>
    <cellStyle name="Calculation 2 3 4 7 2" xfId="40562" xr:uid="{00000000-0005-0000-0000-0000B15A0000}"/>
    <cellStyle name="Calculation 2 3 4 8" xfId="33161" xr:uid="{00000000-0005-0000-0000-0000B25A0000}"/>
    <cellStyle name="Calculation 2 3 5" xfId="14023" xr:uid="{00000000-0005-0000-0000-0000B35A0000}"/>
    <cellStyle name="Calculation 2 3 5 2" xfId="14818" xr:uid="{00000000-0005-0000-0000-0000B45A0000}"/>
    <cellStyle name="Calculation 2 3 5 2 2" xfId="17296" xr:uid="{00000000-0005-0000-0000-0000B55A0000}"/>
    <cellStyle name="Calculation 2 3 5 2 2 2" xfId="36650" xr:uid="{00000000-0005-0000-0000-0000B65A0000}"/>
    <cellStyle name="Calculation 2 3 5 2 3" xfId="19727" xr:uid="{00000000-0005-0000-0000-0000B75A0000}"/>
    <cellStyle name="Calculation 2 3 5 2 3 2" xfId="39080" xr:uid="{00000000-0005-0000-0000-0000B85A0000}"/>
    <cellStyle name="Calculation 2 3 5 2 4" xfId="22238" xr:uid="{00000000-0005-0000-0000-0000B95A0000}"/>
    <cellStyle name="Calculation 2 3 5 2 4 2" xfId="41580" xr:uid="{00000000-0005-0000-0000-0000BA5A0000}"/>
    <cellStyle name="Calculation 2 3 5 2 5" xfId="34179" xr:uid="{00000000-0005-0000-0000-0000BB5A0000}"/>
    <cellStyle name="Calculation 2 3 5 3" xfId="15366" xr:uid="{00000000-0005-0000-0000-0000BC5A0000}"/>
    <cellStyle name="Calculation 2 3 5 3 2" xfId="17842" xr:uid="{00000000-0005-0000-0000-0000BD5A0000}"/>
    <cellStyle name="Calculation 2 3 5 3 2 2" xfId="37196" xr:uid="{00000000-0005-0000-0000-0000BE5A0000}"/>
    <cellStyle name="Calculation 2 3 5 3 3" xfId="20273" xr:uid="{00000000-0005-0000-0000-0000BF5A0000}"/>
    <cellStyle name="Calculation 2 3 5 3 3 2" xfId="39626" xr:uid="{00000000-0005-0000-0000-0000C05A0000}"/>
    <cellStyle name="Calculation 2 3 5 3 4" xfId="22786" xr:uid="{00000000-0005-0000-0000-0000C15A0000}"/>
    <cellStyle name="Calculation 2 3 5 3 4 2" xfId="42128" xr:uid="{00000000-0005-0000-0000-0000C25A0000}"/>
    <cellStyle name="Calculation 2 3 5 3 5" xfId="34727" xr:uid="{00000000-0005-0000-0000-0000C35A0000}"/>
    <cellStyle name="Calculation 2 3 5 4" xfId="15825" xr:uid="{00000000-0005-0000-0000-0000C45A0000}"/>
    <cellStyle name="Calculation 2 3 5 4 2" xfId="18301" xr:uid="{00000000-0005-0000-0000-0000C55A0000}"/>
    <cellStyle name="Calculation 2 3 5 4 2 2" xfId="37655" xr:uid="{00000000-0005-0000-0000-0000C65A0000}"/>
    <cellStyle name="Calculation 2 3 5 4 3" xfId="20732" xr:uid="{00000000-0005-0000-0000-0000C75A0000}"/>
    <cellStyle name="Calculation 2 3 5 4 3 2" xfId="40085" xr:uid="{00000000-0005-0000-0000-0000C85A0000}"/>
    <cellStyle name="Calculation 2 3 5 4 4" xfId="23245" xr:uid="{00000000-0005-0000-0000-0000C95A0000}"/>
    <cellStyle name="Calculation 2 3 5 4 4 2" xfId="42587" xr:uid="{00000000-0005-0000-0000-0000CA5A0000}"/>
    <cellStyle name="Calculation 2 3 5 4 5" xfId="35186" xr:uid="{00000000-0005-0000-0000-0000CB5A0000}"/>
    <cellStyle name="Calculation 2 3 5 5" xfId="16529" xr:uid="{00000000-0005-0000-0000-0000CC5A0000}"/>
    <cellStyle name="Calculation 2 3 5 5 2" xfId="35883" xr:uid="{00000000-0005-0000-0000-0000CD5A0000}"/>
    <cellStyle name="Calculation 2 3 5 6" xfId="18960" xr:uid="{00000000-0005-0000-0000-0000CE5A0000}"/>
    <cellStyle name="Calculation 2 3 5 6 2" xfId="38313" xr:uid="{00000000-0005-0000-0000-0000CF5A0000}"/>
    <cellStyle name="Calculation 2 3 5 7" xfId="21446" xr:uid="{00000000-0005-0000-0000-0000D05A0000}"/>
    <cellStyle name="Calculation 2 3 5 7 2" xfId="40788" xr:uid="{00000000-0005-0000-0000-0000D15A0000}"/>
    <cellStyle name="Calculation 2 3 5 8" xfId="33387" xr:uid="{00000000-0005-0000-0000-0000D25A0000}"/>
    <cellStyle name="Calculation 2 3 6" xfId="14315" xr:uid="{00000000-0005-0000-0000-0000D35A0000}"/>
    <cellStyle name="Calculation 2 3 6 2" xfId="16811" xr:uid="{00000000-0005-0000-0000-0000D45A0000}"/>
    <cellStyle name="Calculation 2 3 6 2 2" xfId="36165" xr:uid="{00000000-0005-0000-0000-0000D55A0000}"/>
    <cellStyle name="Calculation 2 3 6 3" xfId="19242" xr:uid="{00000000-0005-0000-0000-0000D65A0000}"/>
    <cellStyle name="Calculation 2 3 6 3 2" xfId="38595" xr:uid="{00000000-0005-0000-0000-0000D75A0000}"/>
    <cellStyle name="Calculation 2 3 6 4" xfId="21735" xr:uid="{00000000-0005-0000-0000-0000D85A0000}"/>
    <cellStyle name="Calculation 2 3 6 4 2" xfId="41077" xr:uid="{00000000-0005-0000-0000-0000D95A0000}"/>
    <cellStyle name="Calculation 2 3 6 5" xfId="33676" xr:uid="{00000000-0005-0000-0000-0000DA5A0000}"/>
    <cellStyle name="Calculation 2 3 7" xfId="13485" xr:uid="{00000000-0005-0000-0000-0000DB5A0000}"/>
    <cellStyle name="Calculation 2 3 7 2" xfId="32863" xr:uid="{00000000-0005-0000-0000-0000DC5A0000}"/>
    <cellStyle name="Calculation 2 3 8" xfId="16051" xr:uid="{00000000-0005-0000-0000-0000DD5A0000}"/>
    <cellStyle name="Calculation 2 3 8 2" xfId="35405" xr:uid="{00000000-0005-0000-0000-0000DE5A0000}"/>
    <cellStyle name="Calculation 2 3 9" xfId="13259" xr:uid="{00000000-0005-0000-0000-0000DF5A0000}"/>
    <cellStyle name="Calculation 2 3 9 2" xfId="32708" xr:uid="{00000000-0005-0000-0000-0000E05A0000}"/>
    <cellStyle name="Calculation 2 4" xfId="4885" xr:uid="{00000000-0005-0000-0000-0000E15A0000}"/>
    <cellStyle name="Calculation 2 4 2" xfId="6640" xr:uid="{00000000-0005-0000-0000-0000E25A0000}"/>
    <cellStyle name="Calculation 2 4 2 2" xfId="14614" xr:uid="{00000000-0005-0000-0000-0000E35A0000}"/>
    <cellStyle name="Calculation 2 4 2 2 2" xfId="17098" xr:uid="{00000000-0005-0000-0000-0000E45A0000}"/>
    <cellStyle name="Calculation 2 4 2 2 2 2" xfId="36452" xr:uid="{00000000-0005-0000-0000-0000E55A0000}"/>
    <cellStyle name="Calculation 2 4 2 2 3" xfId="19529" xr:uid="{00000000-0005-0000-0000-0000E65A0000}"/>
    <cellStyle name="Calculation 2 4 2 2 3 2" xfId="38882" xr:uid="{00000000-0005-0000-0000-0000E75A0000}"/>
    <cellStyle name="Calculation 2 4 2 2 4" xfId="22034" xr:uid="{00000000-0005-0000-0000-0000E85A0000}"/>
    <cellStyle name="Calculation 2 4 2 2 4 2" xfId="41376" xr:uid="{00000000-0005-0000-0000-0000E95A0000}"/>
    <cellStyle name="Calculation 2 4 2 2 5" xfId="33975" xr:uid="{00000000-0005-0000-0000-0000EA5A0000}"/>
    <cellStyle name="Calculation 2 4 2 3" xfId="15171" xr:uid="{00000000-0005-0000-0000-0000EB5A0000}"/>
    <cellStyle name="Calculation 2 4 2 3 2" xfId="17647" xr:uid="{00000000-0005-0000-0000-0000EC5A0000}"/>
    <cellStyle name="Calculation 2 4 2 3 2 2" xfId="37001" xr:uid="{00000000-0005-0000-0000-0000ED5A0000}"/>
    <cellStyle name="Calculation 2 4 2 3 3" xfId="20078" xr:uid="{00000000-0005-0000-0000-0000EE5A0000}"/>
    <cellStyle name="Calculation 2 4 2 3 3 2" xfId="39431" xr:uid="{00000000-0005-0000-0000-0000EF5A0000}"/>
    <cellStyle name="Calculation 2 4 2 3 4" xfId="22591" xr:uid="{00000000-0005-0000-0000-0000F05A0000}"/>
    <cellStyle name="Calculation 2 4 2 3 4 2" xfId="41933" xr:uid="{00000000-0005-0000-0000-0000F15A0000}"/>
    <cellStyle name="Calculation 2 4 2 3 5" xfId="34532" xr:uid="{00000000-0005-0000-0000-0000F25A0000}"/>
    <cellStyle name="Calculation 2 4 2 4" xfId="15651" xr:uid="{00000000-0005-0000-0000-0000F35A0000}"/>
    <cellStyle name="Calculation 2 4 2 4 2" xfId="18127" xr:uid="{00000000-0005-0000-0000-0000F45A0000}"/>
    <cellStyle name="Calculation 2 4 2 4 2 2" xfId="37481" xr:uid="{00000000-0005-0000-0000-0000F55A0000}"/>
    <cellStyle name="Calculation 2 4 2 4 3" xfId="20558" xr:uid="{00000000-0005-0000-0000-0000F65A0000}"/>
    <cellStyle name="Calculation 2 4 2 4 3 2" xfId="39911" xr:uid="{00000000-0005-0000-0000-0000F75A0000}"/>
    <cellStyle name="Calculation 2 4 2 4 4" xfId="23071" xr:uid="{00000000-0005-0000-0000-0000F85A0000}"/>
    <cellStyle name="Calculation 2 4 2 4 4 2" xfId="42413" xr:uid="{00000000-0005-0000-0000-0000F95A0000}"/>
    <cellStyle name="Calculation 2 4 2 4 5" xfId="35012" xr:uid="{00000000-0005-0000-0000-0000FA5A0000}"/>
    <cellStyle name="Calculation 2 4 2 5" xfId="13819" xr:uid="{00000000-0005-0000-0000-0000FB5A0000}"/>
    <cellStyle name="Calculation 2 4 2 5 2" xfId="33183" xr:uid="{00000000-0005-0000-0000-0000FC5A0000}"/>
    <cellStyle name="Calculation 2 4 2 6" xfId="16331" xr:uid="{00000000-0005-0000-0000-0000FD5A0000}"/>
    <cellStyle name="Calculation 2 4 2 6 2" xfId="35685" xr:uid="{00000000-0005-0000-0000-0000FE5A0000}"/>
    <cellStyle name="Calculation 2 4 2 7" xfId="18762" xr:uid="{00000000-0005-0000-0000-0000FF5A0000}"/>
    <cellStyle name="Calculation 2 4 2 7 2" xfId="38115" xr:uid="{00000000-0005-0000-0000-0000005B0000}"/>
    <cellStyle name="Calculation 2 4 2 8" xfId="21242" xr:uid="{00000000-0005-0000-0000-0000015B0000}"/>
    <cellStyle name="Calculation 2 4 2 8 2" xfId="40584" xr:uid="{00000000-0005-0000-0000-0000025B0000}"/>
    <cellStyle name="Calculation 2 4 2 9" xfId="26125" xr:uid="{00000000-0005-0000-0000-0000035B0000}"/>
    <cellStyle name="Calculation 2 4 3" xfId="14040" xr:uid="{00000000-0005-0000-0000-0000045B0000}"/>
    <cellStyle name="Calculation 2 4 3 2" xfId="14835" xr:uid="{00000000-0005-0000-0000-0000055B0000}"/>
    <cellStyle name="Calculation 2 4 3 2 2" xfId="17313" xr:uid="{00000000-0005-0000-0000-0000065B0000}"/>
    <cellStyle name="Calculation 2 4 3 2 2 2" xfId="36667" xr:uid="{00000000-0005-0000-0000-0000075B0000}"/>
    <cellStyle name="Calculation 2 4 3 2 3" xfId="19744" xr:uid="{00000000-0005-0000-0000-0000085B0000}"/>
    <cellStyle name="Calculation 2 4 3 2 3 2" xfId="39097" xr:uid="{00000000-0005-0000-0000-0000095B0000}"/>
    <cellStyle name="Calculation 2 4 3 2 4" xfId="22255" xr:uid="{00000000-0005-0000-0000-00000A5B0000}"/>
    <cellStyle name="Calculation 2 4 3 2 4 2" xfId="41597" xr:uid="{00000000-0005-0000-0000-00000B5B0000}"/>
    <cellStyle name="Calculation 2 4 3 2 5" xfId="34196" xr:uid="{00000000-0005-0000-0000-00000C5B0000}"/>
    <cellStyle name="Calculation 2 4 3 3" xfId="15383" xr:uid="{00000000-0005-0000-0000-00000D5B0000}"/>
    <cellStyle name="Calculation 2 4 3 3 2" xfId="17859" xr:uid="{00000000-0005-0000-0000-00000E5B0000}"/>
    <cellStyle name="Calculation 2 4 3 3 2 2" xfId="37213" xr:uid="{00000000-0005-0000-0000-00000F5B0000}"/>
    <cellStyle name="Calculation 2 4 3 3 3" xfId="20290" xr:uid="{00000000-0005-0000-0000-0000105B0000}"/>
    <cellStyle name="Calculation 2 4 3 3 3 2" xfId="39643" xr:uid="{00000000-0005-0000-0000-0000115B0000}"/>
    <cellStyle name="Calculation 2 4 3 3 4" xfId="22803" xr:uid="{00000000-0005-0000-0000-0000125B0000}"/>
    <cellStyle name="Calculation 2 4 3 3 4 2" xfId="42145" xr:uid="{00000000-0005-0000-0000-0000135B0000}"/>
    <cellStyle name="Calculation 2 4 3 3 5" xfId="34744" xr:uid="{00000000-0005-0000-0000-0000145B0000}"/>
    <cellStyle name="Calculation 2 4 3 4" xfId="15842" xr:uid="{00000000-0005-0000-0000-0000155B0000}"/>
    <cellStyle name="Calculation 2 4 3 4 2" xfId="18318" xr:uid="{00000000-0005-0000-0000-0000165B0000}"/>
    <cellStyle name="Calculation 2 4 3 4 2 2" xfId="37672" xr:uid="{00000000-0005-0000-0000-0000175B0000}"/>
    <cellStyle name="Calculation 2 4 3 4 3" xfId="20749" xr:uid="{00000000-0005-0000-0000-0000185B0000}"/>
    <cellStyle name="Calculation 2 4 3 4 3 2" xfId="40102" xr:uid="{00000000-0005-0000-0000-0000195B0000}"/>
    <cellStyle name="Calculation 2 4 3 4 4" xfId="23262" xr:uid="{00000000-0005-0000-0000-00001A5B0000}"/>
    <cellStyle name="Calculation 2 4 3 4 4 2" xfId="42604" xr:uid="{00000000-0005-0000-0000-00001B5B0000}"/>
    <cellStyle name="Calculation 2 4 3 4 5" xfId="35203" xr:uid="{00000000-0005-0000-0000-00001C5B0000}"/>
    <cellStyle name="Calculation 2 4 3 5" xfId="16546" xr:uid="{00000000-0005-0000-0000-00001D5B0000}"/>
    <cellStyle name="Calculation 2 4 3 5 2" xfId="35900" xr:uid="{00000000-0005-0000-0000-00001E5B0000}"/>
    <cellStyle name="Calculation 2 4 3 6" xfId="18977" xr:uid="{00000000-0005-0000-0000-00001F5B0000}"/>
    <cellStyle name="Calculation 2 4 3 6 2" xfId="38330" xr:uid="{00000000-0005-0000-0000-0000205B0000}"/>
    <cellStyle name="Calculation 2 4 3 7" xfId="21463" xr:uid="{00000000-0005-0000-0000-0000215B0000}"/>
    <cellStyle name="Calculation 2 4 3 7 2" xfId="40805" xr:uid="{00000000-0005-0000-0000-0000225B0000}"/>
    <cellStyle name="Calculation 2 4 3 8" xfId="33404" xr:uid="{00000000-0005-0000-0000-0000235B0000}"/>
    <cellStyle name="Calculation 2 4 4" xfId="14335" xr:uid="{00000000-0005-0000-0000-0000245B0000}"/>
    <cellStyle name="Calculation 2 4 4 2" xfId="16831" xr:uid="{00000000-0005-0000-0000-0000255B0000}"/>
    <cellStyle name="Calculation 2 4 4 2 2" xfId="36185" xr:uid="{00000000-0005-0000-0000-0000265B0000}"/>
    <cellStyle name="Calculation 2 4 4 3" xfId="19262" xr:uid="{00000000-0005-0000-0000-0000275B0000}"/>
    <cellStyle name="Calculation 2 4 4 3 2" xfId="38615" xr:uid="{00000000-0005-0000-0000-0000285B0000}"/>
    <cellStyle name="Calculation 2 4 4 4" xfId="21755" xr:uid="{00000000-0005-0000-0000-0000295B0000}"/>
    <cellStyle name="Calculation 2 4 4 4 2" xfId="41097" xr:uid="{00000000-0005-0000-0000-00002A5B0000}"/>
    <cellStyle name="Calculation 2 4 4 5" xfId="33696" xr:uid="{00000000-0005-0000-0000-00002B5B0000}"/>
    <cellStyle name="Calculation 2 4 5" xfId="14973" xr:uid="{00000000-0005-0000-0000-00002C5B0000}"/>
    <cellStyle name="Calculation 2 4 5 2" xfId="17449" xr:uid="{00000000-0005-0000-0000-00002D5B0000}"/>
    <cellStyle name="Calculation 2 4 5 2 2" xfId="36803" xr:uid="{00000000-0005-0000-0000-00002E5B0000}"/>
    <cellStyle name="Calculation 2 4 5 3" xfId="19880" xr:uid="{00000000-0005-0000-0000-00002F5B0000}"/>
    <cellStyle name="Calculation 2 4 5 3 2" xfId="39233" xr:uid="{00000000-0005-0000-0000-0000305B0000}"/>
    <cellStyle name="Calculation 2 4 5 4" xfId="22393" xr:uid="{00000000-0005-0000-0000-0000315B0000}"/>
    <cellStyle name="Calculation 2 4 5 4 2" xfId="41735" xr:uid="{00000000-0005-0000-0000-0000325B0000}"/>
    <cellStyle name="Calculation 2 4 5 5" xfId="34334" xr:uid="{00000000-0005-0000-0000-0000335B0000}"/>
    <cellStyle name="Calculation 2 4 6" xfId="13519" xr:uid="{00000000-0005-0000-0000-0000345B0000}"/>
    <cellStyle name="Calculation 2 4 6 2" xfId="32894" xr:uid="{00000000-0005-0000-0000-0000355B0000}"/>
    <cellStyle name="Calculation 2 4 7" xfId="18480" xr:uid="{00000000-0005-0000-0000-0000365B0000}"/>
    <cellStyle name="Calculation 2 4 7 2" xfId="37833" xr:uid="{00000000-0005-0000-0000-0000375B0000}"/>
    <cellStyle name="Calculation 2 4 8" xfId="21010" xr:uid="{00000000-0005-0000-0000-0000385B0000}"/>
    <cellStyle name="Calculation 2 4 8 2" xfId="40352" xr:uid="{00000000-0005-0000-0000-0000395B0000}"/>
    <cellStyle name="Calculation 2 4 9" xfId="24380" xr:uid="{00000000-0005-0000-0000-00003A5B0000}"/>
    <cellStyle name="Calculation 2 5" xfId="5520" xr:uid="{00000000-0005-0000-0000-00003B5B0000}"/>
    <cellStyle name="Calculation 2 5 2" xfId="14548" xr:uid="{00000000-0005-0000-0000-00003C5B0000}"/>
    <cellStyle name="Calculation 2 5 2 2" xfId="17035" xr:uid="{00000000-0005-0000-0000-00003D5B0000}"/>
    <cellStyle name="Calculation 2 5 2 2 2" xfId="36389" xr:uid="{00000000-0005-0000-0000-00003E5B0000}"/>
    <cellStyle name="Calculation 2 5 2 3" xfId="19466" xr:uid="{00000000-0005-0000-0000-00003F5B0000}"/>
    <cellStyle name="Calculation 2 5 2 3 2" xfId="38819" xr:uid="{00000000-0005-0000-0000-0000405B0000}"/>
    <cellStyle name="Calculation 2 5 2 4" xfId="21968" xr:uid="{00000000-0005-0000-0000-0000415B0000}"/>
    <cellStyle name="Calculation 2 5 2 4 2" xfId="41310" xr:uid="{00000000-0005-0000-0000-0000425B0000}"/>
    <cellStyle name="Calculation 2 5 2 5" xfId="33909" xr:uid="{00000000-0005-0000-0000-0000435B0000}"/>
    <cellStyle name="Calculation 2 5 3" xfId="15109" xr:uid="{00000000-0005-0000-0000-0000445B0000}"/>
    <cellStyle name="Calculation 2 5 3 2" xfId="17585" xr:uid="{00000000-0005-0000-0000-0000455B0000}"/>
    <cellStyle name="Calculation 2 5 3 2 2" xfId="36939" xr:uid="{00000000-0005-0000-0000-0000465B0000}"/>
    <cellStyle name="Calculation 2 5 3 3" xfId="20016" xr:uid="{00000000-0005-0000-0000-0000475B0000}"/>
    <cellStyle name="Calculation 2 5 3 3 2" xfId="39369" xr:uid="{00000000-0005-0000-0000-0000485B0000}"/>
    <cellStyle name="Calculation 2 5 3 4" xfId="22529" xr:uid="{00000000-0005-0000-0000-0000495B0000}"/>
    <cellStyle name="Calculation 2 5 3 4 2" xfId="41871" xr:uid="{00000000-0005-0000-0000-00004A5B0000}"/>
    <cellStyle name="Calculation 2 5 3 5" xfId="34470" xr:uid="{00000000-0005-0000-0000-00004B5B0000}"/>
    <cellStyle name="Calculation 2 5 4" xfId="15592" xr:uid="{00000000-0005-0000-0000-00004C5B0000}"/>
    <cellStyle name="Calculation 2 5 4 2" xfId="18068" xr:uid="{00000000-0005-0000-0000-00004D5B0000}"/>
    <cellStyle name="Calculation 2 5 4 2 2" xfId="37422" xr:uid="{00000000-0005-0000-0000-00004E5B0000}"/>
    <cellStyle name="Calculation 2 5 4 3" xfId="20499" xr:uid="{00000000-0005-0000-0000-00004F5B0000}"/>
    <cellStyle name="Calculation 2 5 4 3 2" xfId="39852" xr:uid="{00000000-0005-0000-0000-0000505B0000}"/>
    <cellStyle name="Calculation 2 5 4 4" xfId="23012" xr:uid="{00000000-0005-0000-0000-0000515B0000}"/>
    <cellStyle name="Calculation 2 5 4 4 2" xfId="42354" xr:uid="{00000000-0005-0000-0000-0000525B0000}"/>
    <cellStyle name="Calculation 2 5 4 5" xfId="34953" xr:uid="{00000000-0005-0000-0000-0000535B0000}"/>
    <cellStyle name="Calculation 2 5 5" xfId="13745" xr:uid="{00000000-0005-0000-0000-0000545B0000}"/>
    <cellStyle name="Calculation 2 5 5 2" xfId="33110" xr:uid="{00000000-0005-0000-0000-0000555B0000}"/>
    <cellStyle name="Calculation 2 5 6" xfId="16261" xr:uid="{00000000-0005-0000-0000-0000565B0000}"/>
    <cellStyle name="Calculation 2 5 6 2" xfId="35615" xr:uid="{00000000-0005-0000-0000-0000575B0000}"/>
    <cellStyle name="Calculation 2 5 7" xfId="18692" xr:uid="{00000000-0005-0000-0000-0000585B0000}"/>
    <cellStyle name="Calculation 2 5 7 2" xfId="38045" xr:uid="{00000000-0005-0000-0000-0000595B0000}"/>
    <cellStyle name="Calculation 2 5 8" xfId="21169" xr:uid="{00000000-0005-0000-0000-00005A5B0000}"/>
    <cellStyle name="Calculation 2 5 8 2" xfId="40511" xr:uid="{00000000-0005-0000-0000-00005B5B0000}"/>
    <cellStyle name="Calculation 2 5 9" xfId="25008" xr:uid="{00000000-0005-0000-0000-00005C5B0000}"/>
    <cellStyle name="Calculation 2 6" xfId="13319" xr:uid="{00000000-0005-0000-0000-00005D5B0000}"/>
    <cellStyle name="Calculation 2 6 2" xfId="32744" xr:uid="{00000000-0005-0000-0000-00005E5B0000}"/>
    <cellStyle name="Calculation 2 7" xfId="13261" xr:uid="{00000000-0005-0000-0000-00005F5B0000}"/>
    <cellStyle name="Calculation 2 7 2" xfId="32709" xr:uid="{00000000-0005-0000-0000-0000605B0000}"/>
    <cellStyle name="Calculation 2 8" xfId="20898" xr:uid="{00000000-0005-0000-0000-0000615B0000}"/>
    <cellStyle name="Calculation 2 8 2" xfId="40243" xr:uid="{00000000-0005-0000-0000-0000625B0000}"/>
    <cellStyle name="Calculation 2 9" xfId="23473" xr:uid="{00000000-0005-0000-0000-0000635B0000}"/>
    <cellStyle name="Calculation 3" xfId="2123" xr:uid="{00000000-0005-0000-0000-0000645B0000}"/>
    <cellStyle name="Calculation 3 2" xfId="4889" xr:uid="{00000000-0005-0000-0000-0000655B0000}"/>
    <cellStyle name="Calculation 3 2 2" xfId="6644" xr:uid="{00000000-0005-0000-0000-0000665B0000}"/>
    <cellStyle name="Calculation 3 2 2 2" xfId="26129" xr:uid="{00000000-0005-0000-0000-0000675B0000}"/>
    <cellStyle name="Calculation 3 2 3" xfId="14509" xr:uid="{00000000-0005-0000-0000-0000685B0000}"/>
    <cellStyle name="Calculation 3 2 3 2" xfId="33870" xr:uid="{00000000-0005-0000-0000-0000695B0000}"/>
    <cellStyle name="Calculation 3 2 4" xfId="16999" xr:uid="{00000000-0005-0000-0000-00006A5B0000}"/>
    <cellStyle name="Calculation 3 2 4 2" xfId="36353" xr:uid="{00000000-0005-0000-0000-00006B5B0000}"/>
    <cellStyle name="Calculation 3 2 5" xfId="19430" xr:uid="{00000000-0005-0000-0000-00006C5B0000}"/>
    <cellStyle name="Calculation 3 2 5 2" xfId="38783" xr:uid="{00000000-0005-0000-0000-00006D5B0000}"/>
    <cellStyle name="Calculation 3 2 6" xfId="21929" xr:uid="{00000000-0005-0000-0000-00006E5B0000}"/>
    <cellStyle name="Calculation 3 2 6 2" xfId="41271" xr:uid="{00000000-0005-0000-0000-00006F5B0000}"/>
    <cellStyle name="Calculation 3 2 7" xfId="24384" xr:uid="{00000000-0005-0000-0000-0000705B0000}"/>
    <cellStyle name="Calculation 3 3" xfId="5517" xr:uid="{00000000-0005-0000-0000-0000715B0000}"/>
    <cellStyle name="Calculation 3 3 2" xfId="15073" xr:uid="{00000000-0005-0000-0000-0000725B0000}"/>
    <cellStyle name="Calculation 3 3 2 2" xfId="34434" xr:uid="{00000000-0005-0000-0000-0000735B0000}"/>
    <cellStyle name="Calculation 3 3 3" xfId="17549" xr:uid="{00000000-0005-0000-0000-0000745B0000}"/>
    <cellStyle name="Calculation 3 3 3 2" xfId="36903" xr:uid="{00000000-0005-0000-0000-0000755B0000}"/>
    <cellStyle name="Calculation 3 3 4" xfId="19980" xr:uid="{00000000-0005-0000-0000-0000765B0000}"/>
    <cellStyle name="Calculation 3 3 4 2" xfId="39333" xr:uid="{00000000-0005-0000-0000-0000775B0000}"/>
    <cellStyle name="Calculation 3 3 5" xfId="22493" xr:uid="{00000000-0005-0000-0000-0000785B0000}"/>
    <cellStyle name="Calculation 3 3 5 2" xfId="41835" xr:uid="{00000000-0005-0000-0000-0000795B0000}"/>
    <cellStyle name="Calculation 3 3 6" xfId="25005" xr:uid="{00000000-0005-0000-0000-00007A5B0000}"/>
    <cellStyle name="Calculation 3 4" xfId="15556" xr:uid="{00000000-0005-0000-0000-00007B5B0000}"/>
    <cellStyle name="Calculation 3 4 2" xfId="18032" xr:uid="{00000000-0005-0000-0000-00007C5B0000}"/>
    <cellStyle name="Calculation 3 4 2 2" xfId="37386" xr:uid="{00000000-0005-0000-0000-00007D5B0000}"/>
    <cellStyle name="Calculation 3 4 3" xfId="20463" xr:uid="{00000000-0005-0000-0000-00007E5B0000}"/>
    <cellStyle name="Calculation 3 4 3 2" xfId="39816" xr:uid="{00000000-0005-0000-0000-00007F5B0000}"/>
    <cellStyle name="Calculation 3 4 4" xfId="22976" xr:uid="{00000000-0005-0000-0000-0000805B0000}"/>
    <cellStyle name="Calculation 3 4 4 2" xfId="42318" xr:uid="{00000000-0005-0000-0000-0000815B0000}"/>
    <cellStyle name="Calculation 3 4 5" xfId="34917" xr:uid="{00000000-0005-0000-0000-0000825B0000}"/>
    <cellStyle name="Calculation 3 5" xfId="13706" xr:uid="{00000000-0005-0000-0000-0000835B0000}"/>
    <cellStyle name="Calculation 3 5 2" xfId="33071" xr:uid="{00000000-0005-0000-0000-0000845B0000}"/>
    <cellStyle name="Calculation 3 6" xfId="16225" xr:uid="{00000000-0005-0000-0000-0000855B0000}"/>
    <cellStyle name="Calculation 3 6 2" xfId="35579" xr:uid="{00000000-0005-0000-0000-0000865B0000}"/>
    <cellStyle name="Calculation 3 7" xfId="18656" xr:uid="{00000000-0005-0000-0000-0000875B0000}"/>
    <cellStyle name="Calculation 3 7 2" xfId="38009" xr:uid="{00000000-0005-0000-0000-0000885B0000}"/>
    <cellStyle name="Calculation 3 8" xfId="21130" xr:uid="{00000000-0005-0000-0000-0000895B0000}"/>
    <cellStyle name="Calculation 3 8 2" xfId="40472" xr:uid="{00000000-0005-0000-0000-00008A5B0000}"/>
    <cellStyle name="Calculation 4" xfId="2600" xr:uid="{00000000-0005-0000-0000-00008B5B0000}"/>
    <cellStyle name="Calculation 4 2" xfId="4908" xr:uid="{00000000-0005-0000-0000-00008C5B0000}"/>
    <cellStyle name="Calculation 4 2 2" xfId="6660" xr:uid="{00000000-0005-0000-0000-00008D5B0000}"/>
    <cellStyle name="Calculation 4 2 2 2" xfId="26145" xr:uid="{00000000-0005-0000-0000-00008E5B0000}"/>
    <cellStyle name="Calculation 4 2 3" xfId="14504" xr:uid="{00000000-0005-0000-0000-00008F5B0000}"/>
    <cellStyle name="Calculation 4 2 3 2" xfId="33865" xr:uid="{00000000-0005-0000-0000-0000905B0000}"/>
    <cellStyle name="Calculation 4 2 4" xfId="16994" xr:uid="{00000000-0005-0000-0000-0000915B0000}"/>
    <cellStyle name="Calculation 4 2 4 2" xfId="36348" xr:uid="{00000000-0005-0000-0000-0000925B0000}"/>
    <cellStyle name="Calculation 4 2 5" xfId="19425" xr:uid="{00000000-0005-0000-0000-0000935B0000}"/>
    <cellStyle name="Calculation 4 2 5 2" xfId="38778" xr:uid="{00000000-0005-0000-0000-0000945B0000}"/>
    <cellStyle name="Calculation 4 2 6" xfId="21924" xr:uid="{00000000-0005-0000-0000-0000955B0000}"/>
    <cellStyle name="Calculation 4 2 6 2" xfId="41266" xr:uid="{00000000-0005-0000-0000-0000965B0000}"/>
    <cellStyle name="Calculation 4 2 7" xfId="24402" xr:uid="{00000000-0005-0000-0000-0000975B0000}"/>
    <cellStyle name="Calculation 4 3" xfId="5666" xr:uid="{00000000-0005-0000-0000-0000985B0000}"/>
    <cellStyle name="Calculation 4 3 2" xfId="15068" xr:uid="{00000000-0005-0000-0000-0000995B0000}"/>
    <cellStyle name="Calculation 4 3 2 2" xfId="34429" xr:uid="{00000000-0005-0000-0000-00009A5B0000}"/>
    <cellStyle name="Calculation 4 3 3" xfId="17544" xr:uid="{00000000-0005-0000-0000-00009B5B0000}"/>
    <cellStyle name="Calculation 4 3 3 2" xfId="36898" xr:uid="{00000000-0005-0000-0000-00009C5B0000}"/>
    <cellStyle name="Calculation 4 3 4" xfId="19975" xr:uid="{00000000-0005-0000-0000-00009D5B0000}"/>
    <cellStyle name="Calculation 4 3 4 2" xfId="39328" xr:uid="{00000000-0005-0000-0000-00009E5B0000}"/>
    <cellStyle name="Calculation 4 3 5" xfId="22488" xr:uid="{00000000-0005-0000-0000-00009F5B0000}"/>
    <cellStyle name="Calculation 4 3 5 2" xfId="41830" xr:uid="{00000000-0005-0000-0000-0000A05B0000}"/>
    <cellStyle name="Calculation 4 3 6" xfId="25153" xr:uid="{00000000-0005-0000-0000-0000A15B0000}"/>
    <cellStyle name="Calculation 4 4" xfId="15551" xr:uid="{00000000-0005-0000-0000-0000A25B0000}"/>
    <cellStyle name="Calculation 4 4 2" xfId="18027" xr:uid="{00000000-0005-0000-0000-0000A35B0000}"/>
    <cellStyle name="Calculation 4 4 2 2" xfId="37381" xr:uid="{00000000-0005-0000-0000-0000A45B0000}"/>
    <cellStyle name="Calculation 4 4 3" xfId="20458" xr:uid="{00000000-0005-0000-0000-0000A55B0000}"/>
    <cellStyle name="Calculation 4 4 3 2" xfId="39811" xr:uid="{00000000-0005-0000-0000-0000A65B0000}"/>
    <cellStyle name="Calculation 4 4 4" xfId="22971" xr:uid="{00000000-0005-0000-0000-0000A75B0000}"/>
    <cellStyle name="Calculation 4 4 4 2" xfId="42313" xr:uid="{00000000-0005-0000-0000-0000A85B0000}"/>
    <cellStyle name="Calculation 4 4 5" xfId="34912" xr:uid="{00000000-0005-0000-0000-0000A95B0000}"/>
    <cellStyle name="Calculation 4 5" xfId="13701" xr:uid="{00000000-0005-0000-0000-0000AA5B0000}"/>
    <cellStyle name="Calculation 4 5 2" xfId="33066" xr:uid="{00000000-0005-0000-0000-0000AB5B0000}"/>
    <cellStyle name="Calculation 4 6" xfId="16220" xr:uid="{00000000-0005-0000-0000-0000AC5B0000}"/>
    <cellStyle name="Calculation 4 6 2" xfId="35574" xr:uid="{00000000-0005-0000-0000-0000AD5B0000}"/>
    <cellStyle name="Calculation 4 7" xfId="18651" xr:uid="{00000000-0005-0000-0000-0000AE5B0000}"/>
    <cellStyle name="Calculation 4 7 2" xfId="38004" xr:uid="{00000000-0005-0000-0000-0000AF5B0000}"/>
    <cellStyle name="Calculation 4 8" xfId="21125" xr:uid="{00000000-0005-0000-0000-0000B05B0000}"/>
    <cellStyle name="Calculation 4 8 2" xfId="40467" xr:uid="{00000000-0005-0000-0000-0000B15B0000}"/>
    <cellStyle name="Calculation 4 9" xfId="23495" xr:uid="{00000000-0005-0000-0000-0000B25B0000}"/>
    <cellStyle name="Calculation 5" xfId="4878" xr:uid="{00000000-0005-0000-0000-0000B35B0000}"/>
    <cellStyle name="Calculation 5 2" xfId="6636" xr:uid="{00000000-0005-0000-0000-0000B45B0000}"/>
    <cellStyle name="Calculation 5 2 2" xfId="26121" xr:uid="{00000000-0005-0000-0000-0000B55B0000}"/>
    <cellStyle name="Calculation 5 3" xfId="14212" xr:uid="{00000000-0005-0000-0000-0000B65B0000}"/>
    <cellStyle name="Calculation 5 3 2" xfId="33574" xr:uid="{00000000-0005-0000-0000-0000B75B0000}"/>
    <cellStyle name="Calculation 5 4" xfId="16715" xr:uid="{00000000-0005-0000-0000-0000B85B0000}"/>
    <cellStyle name="Calculation 5 4 2" xfId="36069" xr:uid="{00000000-0005-0000-0000-0000B95B0000}"/>
    <cellStyle name="Calculation 5 5" xfId="19146" xr:uid="{00000000-0005-0000-0000-0000BA5B0000}"/>
    <cellStyle name="Calculation 5 5 2" xfId="38499" xr:uid="{00000000-0005-0000-0000-0000BB5B0000}"/>
    <cellStyle name="Calculation 5 6" xfId="21633" xr:uid="{00000000-0005-0000-0000-0000BC5B0000}"/>
    <cellStyle name="Calculation 5 6 2" xfId="40975" xr:uid="{00000000-0005-0000-0000-0000BD5B0000}"/>
    <cellStyle name="Calculation 5 7" xfId="24374" xr:uid="{00000000-0005-0000-0000-0000BE5B0000}"/>
    <cellStyle name="Calculation 6" xfId="5806" xr:uid="{00000000-0005-0000-0000-0000BF5B0000}"/>
    <cellStyle name="Calculation 6 2" xfId="25291" xr:uid="{00000000-0005-0000-0000-0000C05B0000}"/>
    <cellStyle name="Calculation 7" xfId="13230" xr:uid="{00000000-0005-0000-0000-0000C15B0000}"/>
    <cellStyle name="Calculation 7 2" xfId="32688" xr:uid="{00000000-0005-0000-0000-0000C25B0000}"/>
    <cellStyle name="Calculation 8" xfId="13374" xr:uid="{00000000-0005-0000-0000-0000C35B0000}"/>
    <cellStyle name="Calculation 8 2" xfId="32773" xr:uid="{00000000-0005-0000-0000-0000C45B0000}"/>
    <cellStyle name="Calculation 9" xfId="23421" xr:uid="{00000000-0005-0000-0000-0000C55B0000}"/>
    <cellStyle name="Case" xfId="4497" xr:uid="{00000000-0005-0000-0000-0000C65B0000}"/>
    <cellStyle name="Case 2" xfId="4870" xr:uid="{00000000-0005-0000-0000-0000C75B0000}"/>
    <cellStyle name="Cash Flow Statement" xfId="3909" xr:uid="{00000000-0005-0000-0000-0000C85B0000}"/>
    <cellStyle name="CashFlow" xfId="1518" xr:uid="{00000000-0005-0000-0000-0000C95B0000}"/>
    <cellStyle name="Changeable" xfId="1519" xr:uid="{00000000-0005-0000-0000-0000CA5B0000}"/>
    <cellStyle name="Chart Fonts" xfId="1520" xr:uid="{00000000-0005-0000-0000-0000CB5B0000}"/>
    <cellStyle name="Check Cell" xfId="1521" builtinId="23" customBuiltin="1"/>
    <cellStyle name="Check Cell 2" xfId="1522" xr:uid="{00000000-0005-0000-0000-0000CD5B0000}"/>
    <cellStyle name="Check Cell 2 2" xfId="4121" xr:uid="{00000000-0005-0000-0000-0000CE5B0000}"/>
    <cellStyle name="Check Cell 3" xfId="2074" xr:uid="{00000000-0005-0000-0000-0000CF5B0000}"/>
    <cellStyle name="Check Cell 3 2" xfId="4163" xr:uid="{00000000-0005-0000-0000-0000D05B0000}"/>
    <cellStyle name="Check Cell 4" xfId="2124" xr:uid="{00000000-0005-0000-0000-0000D15B0000}"/>
    <cellStyle name="Check Cell 4 2" xfId="4212" xr:uid="{00000000-0005-0000-0000-0000D25B0000}"/>
    <cellStyle name="Check Cell 5" xfId="2752" xr:uid="{00000000-0005-0000-0000-0000D35B0000}"/>
    <cellStyle name="Clean" xfId="1523" xr:uid="{00000000-0005-0000-0000-0000D45B0000}"/>
    <cellStyle name="Client Name" xfId="3910" xr:uid="{00000000-0005-0000-0000-0000D55B0000}"/>
    <cellStyle name="Co. Names" xfId="3911" xr:uid="{00000000-0005-0000-0000-0000D65B0000}"/>
    <cellStyle name="Co. Names - Bold" xfId="3912" xr:uid="{00000000-0005-0000-0000-0000D75B0000}"/>
    <cellStyle name="Co. Names 10" xfId="8878" xr:uid="{00000000-0005-0000-0000-0000D85B0000}"/>
    <cellStyle name="Co. Names 11" xfId="9055" xr:uid="{00000000-0005-0000-0000-0000D95B0000}"/>
    <cellStyle name="Co. Names 12" xfId="9042" xr:uid="{00000000-0005-0000-0000-0000DA5B0000}"/>
    <cellStyle name="Co. Names 13" xfId="13382" xr:uid="{00000000-0005-0000-0000-0000DB5B0000}"/>
    <cellStyle name="Co. Names 14" xfId="15981" xr:uid="{00000000-0005-0000-0000-0000DC5B0000}"/>
    <cellStyle name="Co. Names 15" xfId="13280" xr:uid="{00000000-0005-0000-0000-0000DD5B0000}"/>
    <cellStyle name="Co. Names 16" xfId="20919" xr:uid="{00000000-0005-0000-0000-0000DE5B0000}"/>
    <cellStyle name="Co. Names 17" xfId="23935" xr:uid="{00000000-0005-0000-0000-0000DF5B0000}"/>
    <cellStyle name="Co. Names 2" xfId="4737" xr:uid="{00000000-0005-0000-0000-0000E05B0000}"/>
    <cellStyle name="Co. Names 3" xfId="4867" xr:uid="{00000000-0005-0000-0000-0000E15B0000}"/>
    <cellStyle name="Co. Names 4" xfId="4874" xr:uid="{00000000-0005-0000-0000-0000E25B0000}"/>
    <cellStyle name="Co. Names 5" xfId="5069" xr:uid="{00000000-0005-0000-0000-0000E35B0000}"/>
    <cellStyle name="Co. Names 6" xfId="5056" xr:uid="{00000000-0005-0000-0000-0000E45B0000}"/>
    <cellStyle name="Co. Names 7" xfId="5681" xr:uid="{00000000-0005-0000-0000-0000E55B0000}"/>
    <cellStyle name="Co. Names 8" xfId="5496" xr:uid="{00000000-0005-0000-0000-0000E65B0000}"/>
    <cellStyle name="Co. Names 9" xfId="8166" xr:uid="{00000000-0005-0000-0000-0000E75B0000}"/>
    <cellStyle name="Co. Names_Blend" xfId="4498" xr:uid="{00000000-0005-0000-0000-0000E85B0000}"/>
    <cellStyle name="Col Head" xfId="4499" xr:uid="{00000000-0005-0000-0000-0000E95B0000}"/>
    <cellStyle name="ColHeading" xfId="3913" xr:uid="{00000000-0005-0000-0000-0000EA5B0000}"/>
    <cellStyle name="Column Headings" xfId="3914" xr:uid="{00000000-0005-0000-0000-0000EB5B0000}"/>
    <cellStyle name="Column_Title" xfId="1524" xr:uid="{00000000-0005-0000-0000-0000EC5B0000}"/>
    <cellStyle name="Comma" xfId="1525" builtinId="3"/>
    <cellStyle name="Comma  - Style1" xfId="1526" xr:uid="{00000000-0005-0000-0000-0000EE5B0000}"/>
    <cellStyle name="Comma  - Style2" xfId="1527" xr:uid="{00000000-0005-0000-0000-0000EF5B0000}"/>
    <cellStyle name="Comma  - Style3" xfId="1528" xr:uid="{00000000-0005-0000-0000-0000F05B0000}"/>
    <cellStyle name="Comma  - Style4" xfId="1529" xr:uid="{00000000-0005-0000-0000-0000F15B0000}"/>
    <cellStyle name="Comma  - Style5" xfId="1530" xr:uid="{00000000-0005-0000-0000-0000F25B0000}"/>
    <cellStyle name="Comma  - Style6" xfId="1531" xr:uid="{00000000-0005-0000-0000-0000F35B0000}"/>
    <cellStyle name="Comma  - Style7" xfId="1532" xr:uid="{00000000-0005-0000-0000-0000F45B0000}"/>
    <cellStyle name="Comma  - Style8" xfId="1533" xr:uid="{00000000-0005-0000-0000-0000F55B0000}"/>
    <cellStyle name="comma (1)" xfId="1534" xr:uid="{00000000-0005-0000-0000-0000F65B0000}"/>
    <cellStyle name="Comma [_x0001_]_SHEET" xfId="3915" xr:uid="{00000000-0005-0000-0000-0000F75B0000}"/>
    <cellStyle name="Comma [1]" xfId="1535" xr:uid="{00000000-0005-0000-0000-0000F85B0000}"/>
    <cellStyle name="Comma [2]" xfId="1536" xr:uid="{00000000-0005-0000-0000-0000F95B0000}"/>
    <cellStyle name="Comma [2] 2" xfId="1991" xr:uid="{00000000-0005-0000-0000-0000FA5B0000}"/>
    <cellStyle name="Comma 0" xfId="1537" xr:uid="{00000000-0005-0000-0000-0000FB5B0000}"/>
    <cellStyle name="Comma 0 2" xfId="1538" xr:uid="{00000000-0005-0000-0000-0000FC5B0000}"/>
    <cellStyle name="Comma 0*" xfId="3916" xr:uid="{00000000-0005-0000-0000-0000FD5B0000}"/>
    <cellStyle name="Comma 0_ABC" xfId="3917" xr:uid="{00000000-0005-0000-0000-0000FE5B0000}"/>
    <cellStyle name="Comma 10" xfId="2658" xr:uid="{00000000-0005-0000-0000-0000FF5B0000}"/>
    <cellStyle name="Comma 11" xfId="2689" xr:uid="{00000000-0005-0000-0000-0000005C0000}"/>
    <cellStyle name="Comma 12" xfId="4092" xr:uid="{00000000-0005-0000-0000-0000015C0000}"/>
    <cellStyle name="Comma 12 2" xfId="13416" xr:uid="{00000000-0005-0000-0000-0000025C0000}"/>
    <cellStyle name="Comma 13" xfId="13231" xr:uid="{00000000-0005-0000-0000-0000035C0000}"/>
    <cellStyle name="Comma 14" xfId="13220" xr:uid="{00000000-0005-0000-0000-0000045C0000}"/>
    <cellStyle name="Comma 15" xfId="13375" xr:uid="{00000000-0005-0000-0000-0000055C0000}"/>
    <cellStyle name="Comma 16" xfId="20881" xr:uid="{00000000-0005-0000-0000-0000065C0000}"/>
    <cellStyle name="Comma 17" xfId="23394" xr:uid="{00000000-0005-0000-0000-0000075C0000}"/>
    <cellStyle name="Comma 17 2" xfId="42736" xr:uid="{00000000-0005-0000-0000-0000085C0000}"/>
    <cellStyle name="Comma 18" xfId="42740" xr:uid="{00000000-0005-0000-0000-0000095C0000}"/>
    <cellStyle name="Comma 19" xfId="42755" xr:uid="{FC5D2D8B-ACAD-4610-A433-8F939B277F02}"/>
    <cellStyle name="Comma 2" xfId="1539" xr:uid="{00000000-0005-0000-0000-00000A5C0000}"/>
    <cellStyle name="Comma 2 2" xfId="1540" xr:uid="{00000000-0005-0000-0000-00000B5C0000}"/>
    <cellStyle name="Comma 2 3" xfId="2537" xr:uid="{00000000-0005-0000-0000-00000C5C0000}"/>
    <cellStyle name="Comma 2 4" xfId="2895" xr:uid="{00000000-0005-0000-0000-00000D5C0000}"/>
    <cellStyle name="Comma 2 5" xfId="2897" xr:uid="{00000000-0005-0000-0000-00000E5C0000}"/>
    <cellStyle name="Comma 2 5 2" xfId="3090" xr:uid="{00000000-0005-0000-0000-00000F5C0000}"/>
    <cellStyle name="Comma 2 5 2 2" xfId="4717" xr:uid="{00000000-0005-0000-0000-0000105C0000}"/>
    <cellStyle name="Comma 2 5 2 2 2" xfId="5351" xr:uid="{00000000-0005-0000-0000-0000115C0000}"/>
    <cellStyle name="Comma 2 5 2 2 2 2" xfId="6485" xr:uid="{00000000-0005-0000-0000-0000125C0000}"/>
    <cellStyle name="Comma 2 5 2 2 2 2 2" xfId="8171" xr:uid="{00000000-0005-0000-0000-0000135C0000}"/>
    <cellStyle name="Comma 2 5 2 2 2 2 2 2" xfId="12494" xr:uid="{00000000-0005-0000-0000-0000145C0000}"/>
    <cellStyle name="Comma 2 5 2 2 2 2 2 2 2" xfId="31964" xr:uid="{00000000-0005-0000-0000-0000155C0000}"/>
    <cellStyle name="Comma 2 5 2 2 2 2 2 3" xfId="27652" xr:uid="{00000000-0005-0000-0000-0000165C0000}"/>
    <cellStyle name="Comma 2 5 2 2 2 2 3" xfId="10901" xr:uid="{00000000-0005-0000-0000-0000175C0000}"/>
    <cellStyle name="Comma 2 5 2 2 2 2 3 2" xfId="30371" xr:uid="{00000000-0005-0000-0000-0000185C0000}"/>
    <cellStyle name="Comma 2 5 2 2 2 2 4" xfId="25970" xr:uid="{00000000-0005-0000-0000-0000195C0000}"/>
    <cellStyle name="Comma 2 5 2 2 2 3" xfId="8170" xr:uid="{00000000-0005-0000-0000-00001A5C0000}"/>
    <cellStyle name="Comma 2 5 2 2 2 3 2" xfId="12493" xr:uid="{00000000-0005-0000-0000-00001B5C0000}"/>
    <cellStyle name="Comma 2 5 2 2 2 3 2 2" xfId="31963" xr:uid="{00000000-0005-0000-0000-00001C5C0000}"/>
    <cellStyle name="Comma 2 5 2 2 2 3 3" xfId="27651" xr:uid="{00000000-0005-0000-0000-00001D5C0000}"/>
    <cellStyle name="Comma 2 5 2 2 2 4" xfId="9840" xr:uid="{00000000-0005-0000-0000-00001E5C0000}"/>
    <cellStyle name="Comma 2 5 2 2 2 4 2" xfId="29310" xr:uid="{00000000-0005-0000-0000-00001F5C0000}"/>
    <cellStyle name="Comma 2 5 2 2 2 5" xfId="24842" xr:uid="{00000000-0005-0000-0000-0000205C0000}"/>
    <cellStyle name="Comma 2 5 2 2 3" xfId="5948" xr:uid="{00000000-0005-0000-0000-0000215C0000}"/>
    <cellStyle name="Comma 2 5 2 2 3 2" xfId="8172" xr:uid="{00000000-0005-0000-0000-0000225C0000}"/>
    <cellStyle name="Comma 2 5 2 2 3 2 2" xfId="12495" xr:uid="{00000000-0005-0000-0000-0000235C0000}"/>
    <cellStyle name="Comma 2 5 2 2 3 2 2 2" xfId="31965" xr:uid="{00000000-0005-0000-0000-0000245C0000}"/>
    <cellStyle name="Comma 2 5 2 2 3 2 3" xfId="27653" xr:uid="{00000000-0005-0000-0000-0000255C0000}"/>
    <cellStyle name="Comma 2 5 2 2 3 3" xfId="10370" xr:uid="{00000000-0005-0000-0000-0000265C0000}"/>
    <cellStyle name="Comma 2 5 2 2 3 3 2" xfId="29840" xr:uid="{00000000-0005-0000-0000-0000275C0000}"/>
    <cellStyle name="Comma 2 5 2 2 3 4" xfId="25433" xr:uid="{00000000-0005-0000-0000-0000285C0000}"/>
    <cellStyle name="Comma 2 5 2 2 4" xfId="8169" xr:uid="{00000000-0005-0000-0000-0000295C0000}"/>
    <cellStyle name="Comma 2 5 2 2 4 2" xfId="12492" xr:uid="{00000000-0005-0000-0000-00002A5C0000}"/>
    <cellStyle name="Comma 2 5 2 2 4 2 2" xfId="31962" xr:uid="{00000000-0005-0000-0000-00002B5C0000}"/>
    <cellStyle name="Comma 2 5 2 2 4 3" xfId="27650" xr:uid="{00000000-0005-0000-0000-00002C5C0000}"/>
    <cellStyle name="Comma 2 5 2 2 5" xfId="9310" xr:uid="{00000000-0005-0000-0000-00002D5C0000}"/>
    <cellStyle name="Comma 2 5 2 2 5 2" xfId="28780" xr:uid="{00000000-0005-0000-0000-00002E5C0000}"/>
    <cellStyle name="Comma 2 5 2 2 6" xfId="24228" xr:uid="{00000000-0005-0000-0000-00002F5C0000}"/>
    <cellStyle name="Comma 2 5 2 3" xfId="5055" xr:uid="{00000000-0005-0000-0000-0000305C0000}"/>
    <cellStyle name="Comma 2 5 2 3 2" xfId="6217" xr:uid="{00000000-0005-0000-0000-0000315C0000}"/>
    <cellStyle name="Comma 2 5 2 3 2 2" xfId="8174" xr:uid="{00000000-0005-0000-0000-0000325C0000}"/>
    <cellStyle name="Comma 2 5 2 3 2 2 2" xfId="12497" xr:uid="{00000000-0005-0000-0000-0000335C0000}"/>
    <cellStyle name="Comma 2 5 2 3 2 2 2 2" xfId="31967" xr:uid="{00000000-0005-0000-0000-0000345C0000}"/>
    <cellStyle name="Comma 2 5 2 3 2 2 3" xfId="27655" xr:uid="{00000000-0005-0000-0000-0000355C0000}"/>
    <cellStyle name="Comma 2 5 2 3 2 3" xfId="10635" xr:uid="{00000000-0005-0000-0000-0000365C0000}"/>
    <cellStyle name="Comma 2 5 2 3 2 3 2" xfId="30105" xr:uid="{00000000-0005-0000-0000-0000375C0000}"/>
    <cellStyle name="Comma 2 5 2 3 2 4" xfId="25702" xr:uid="{00000000-0005-0000-0000-0000385C0000}"/>
    <cellStyle name="Comma 2 5 2 3 3" xfId="8173" xr:uid="{00000000-0005-0000-0000-0000395C0000}"/>
    <cellStyle name="Comma 2 5 2 3 3 2" xfId="12496" xr:uid="{00000000-0005-0000-0000-00003A5C0000}"/>
    <cellStyle name="Comma 2 5 2 3 3 2 2" xfId="31966" xr:uid="{00000000-0005-0000-0000-00003B5C0000}"/>
    <cellStyle name="Comma 2 5 2 3 3 3" xfId="27654" xr:uid="{00000000-0005-0000-0000-00003C5C0000}"/>
    <cellStyle name="Comma 2 5 2 3 4" xfId="9575" xr:uid="{00000000-0005-0000-0000-00003D5C0000}"/>
    <cellStyle name="Comma 2 5 2 3 4 2" xfId="29045" xr:uid="{00000000-0005-0000-0000-00003E5C0000}"/>
    <cellStyle name="Comma 2 5 2 3 5" xfId="24549" xr:uid="{00000000-0005-0000-0000-00003F5C0000}"/>
    <cellStyle name="Comma 2 5 2 4" xfId="5660" xr:uid="{00000000-0005-0000-0000-0000405C0000}"/>
    <cellStyle name="Comma 2 5 2 4 2" xfId="8175" xr:uid="{00000000-0005-0000-0000-0000415C0000}"/>
    <cellStyle name="Comma 2 5 2 4 2 2" xfId="12498" xr:uid="{00000000-0005-0000-0000-0000425C0000}"/>
    <cellStyle name="Comma 2 5 2 4 2 2 2" xfId="31968" xr:uid="{00000000-0005-0000-0000-0000435C0000}"/>
    <cellStyle name="Comma 2 5 2 4 2 3" xfId="27656" xr:uid="{00000000-0005-0000-0000-0000445C0000}"/>
    <cellStyle name="Comma 2 5 2 4 3" xfId="10105" xr:uid="{00000000-0005-0000-0000-0000455C0000}"/>
    <cellStyle name="Comma 2 5 2 4 3 2" xfId="29575" xr:uid="{00000000-0005-0000-0000-0000465C0000}"/>
    <cellStyle name="Comma 2 5 2 4 4" xfId="25147" xr:uid="{00000000-0005-0000-0000-0000475C0000}"/>
    <cellStyle name="Comma 2 5 2 5" xfId="8168" xr:uid="{00000000-0005-0000-0000-0000485C0000}"/>
    <cellStyle name="Comma 2 5 2 5 2" xfId="12491" xr:uid="{00000000-0005-0000-0000-0000495C0000}"/>
    <cellStyle name="Comma 2 5 2 5 2 2" xfId="31961" xr:uid="{00000000-0005-0000-0000-00004A5C0000}"/>
    <cellStyle name="Comma 2 5 2 5 3" xfId="27649" xr:uid="{00000000-0005-0000-0000-00004B5C0000}"/>
    <cellStyle name="Comma 2 5 2 6" xfId="9041" xr:uid="{00000000-0005-0000-0000-00004C5C0000}"/>
    <cellStyle name="Comma 2 5 2 6 2" xfId="28515" xr:uid="{00000000-0005-0000-0000-00004D5C0000}"/>
    <cellStyle name="Comma 2 5 2 7" xfId="23899" xr:uid="{00000000-0005-0000-0000-00004E5C0000}"/>
    <cellStyle name="Comma 2 5 3" xfId="4645" xr:uid="{00000000-0005-0000-0000-00004F5C0000}"/>
    <cellStyle name="Comma 2 5 3 2" xfId="5285" xr:uid="{00000000-0005-0000-0000-0000505C0000}"/>
    <cellStyle name="Comma 2 5 3 2 2" xfId="6419" xr:uid="{00000000-0005-0000-0000-0000515C0000}"/>
    <cellStyle name="Comma 2 5 3 2 2 2" xfId="8178" xr:uid="{00000000-0005-0000-0000-0000525C0000}"/>
    <cellStyle name="Comma 2 5 3 2 2 2 2" xfId="12501" xr:uid="{00000000-0005-0000-0000-0000535C0000}"/>
    <cellStyle name="Comma 2 5 3 2 2 2 2 2" xfId="31971" xr:uid="{00000000-0005-0000-0000-0000545C0000}"/>
    <cellStyle name="Comma 2 5 3 2 2 2 3" xfId="27659" xr:uid="{00000000-0005-0000-0000-0000555C0000}"/>
    <cellStyle name="Comma 2 5 3 2 2 3" xfId="10835" xr:uid="{00000000-0005-0000-0000-0000565C0000}"/>
    <cellStyle name="Comma 2 5 3 2 2 3 2" xfId="30305" xr:uid="{00000000-0005-0000-0000-0000575C0000}"/>
    <cellStyle name="Comma 2 5 3 2 2 4" xfId="25904" xr:uid="{00000000-0005-0000-0000-0000585C0000}"/>
    <cellStyle name="Comma 2 5 3 2 3" xfId="8177" xr:uid="{00000000-0005-0000-0000-0000595C0000}"/>
    <cellStyle name="Comma 2 5 3 2 3 2" xfId="12500" xr:uid="{00000000-0005-0000-0000-00005A5C0000}"/>
    <cellStyle name="Comma 2 5 3 2 3 2 2" xfId="31970" xr:uid="{00000000-0005-0000-0000-00005B5C0000}"/>
    <cellStyle name="Comma 2 5 3 2 3 3" xfId="27658" xr:uid="{00000000-0005-0000-0000-00005C5C0000}"/>
    <cellStyle name="Comma 2 5 3 2 4" xfId="9774" xr:uid="{00000000-0005-0000-0000-00005D5C0000}"/>
    <cellStyle name="Comma 2 5 3 2 4 2" xfId="29244" xr:uid="{00000000-0005-0000-0000-00005E5C0000}"/>
    <cellStyle name="Comma 2 5 3 2 5" xfId="24776" xr:uid="{00000000-0005-0000-0000-00005F5C0000}"/>
    <cellStyle name="Comma 2 5 3 3" xfId="5882" xr:uid="{00000000-0005-0000-0000-0000605C0000}"/>
    <cellStyle name="Comma 2 5 3 3 2" xfId="8179" xr:uid="{00000000-0005-0000-0000-0000615C0000}"/>
    <cellStyle name="Comma 2 5 3 3 2 2" xfId="12502" xr:uid="{00000000-0005-0000-0000-0000625C0000}"/>
    <cellStyle name="Comma 2 5 3 3 2 2 2" xfId="31972" xr:uid="{00000000-0005-0000-0000-0000635C0000}"/>
    <cellStyle name="Comma 2 5 3 3 2 3" xfId="27660" xr:uid="{00000000-0005-0000-0000-0000645C0000}"/>
    <cellStyle name="Comma 2 5 3 3 3" xfId="10304" xr:uid="{00000000-0005-0000-0000-0000655C0000}"/>
    <cellStyle name="Comma 2 5 3 3 3 2" xfId="29774" xr:uid="{00000000-0005-0000-0000-0000665C0000}"/>
    <cellStyle name="Comma 2 5 3 3 4" xfId="25367" xr:uid="{00000000-0005-0000-0000-0000675C0000}"/>
    <cellStyle name="Comma 2 5 3 4" xfId="8176" xr:uid="{00000000-0005-0000-0000-0000685C0000}"/>
    <cellStyle name="Comma 2 5 3 4 2" xfId="12499" xr:uid="{00000000-0005-0000-0000-0000695C0000}"/>
    <cellStyle name="Comma 2 5 3 4 2 2" xfId="31969" xr:uid="{00000000-0005-0000-0000-00006A5C0000}"/>
    <cellStyle name="Comma 2 5 3 4 3" xfId="27657" xr:uid="{00000000-0005-0000-0000-00006B5C0000}"/>
    <cellStyle name="Comma 2 5 3 5" xfId="9244" xr:uid="{00000000-0005-0000-0000-00006C5C0000}"/>
    <cellStyle name="Comma 2 5 3 5 2" xfId="28714" xr:uid="{00000000-0005-0000-0000-00006D5C0000}"/>
    <cellStyle name="Comma 2 5 3 6" xfId="24156" xr:uid="{00000000-0005-0000-0000-00006E5C0000}"/>
    <cellStyle name="Comma 2 5 4" xfId="4989" xr:uid="{00000000-0005-0000-0000-00006F5C0000}"/>
    <cellStyle name="Comma 2 5 4 2" xfId="6151" xr:uid="{00000000-0005-0000-0000-0000705C0000}"/>
    <cellStyle name="Comma 2 5 4 2 2" xfId="8181" xr:uid="{00000000-0005-0000-0000-0000715C0000}"/>
    <cellStyle name="Comma 2 5 4 2 2 2" xfId="12504" xr:uid="{00000000-0005-0000-0000-0000725C0000}"/>
    <cellStyle name="Comma 2 5 4 2 2 2 2" xfId="31974" xr:uid="{00000000-0005-0000-0000-0000735C0000}"/>
    <cellStyle name="Comma 2 5 4 2 2 3" xfId="27662" xr:uid="{00000000-0005-0000-0000-0000745C0000}"/>
    <cellStyle name="Comma 2 5 4 2 3" xfId="10569" xr:uid="{00000000-0005-0000-0000-0000755C0000}"/>
    <cellStyle name="Comma 2 5 4 2 3 2" xfId="30039" xr:uid="{00000000-0005-0000-0000-0000765C0000}"/>
    <cellStyle name="Comma 2 5 4 2 4" xfId="25636" xr:uid="{00000000-0005-0000-0000-0000775C0000}"/>
    <cellStyle name="Comma 2 5 4 3" xfId="8180" xr:uid="{00000000-0005-0000-0000-0000785C0000}"/>
    <cellStyle name="Comma 2 5 4 3 2" xfId="12503" xr:uid="{00000000-0005-0000-0000-0000795C0000}"/>
    <cellStyle name="Comma 2 5 4 3 2 2" xfId="31973" xr:uid="{00000000-0005-0000-0000-00007A5C0000}"/>
    <cellStyle name="Comma 2 5 4 3 3" xfId="27661" xr:uid="{00000000-0005-0000-0000-00007B5C0000}"/>
    <cellStyle name="Comma 2 5 4 4" xfId="9509" xr:uid="{00000000-0005-0000-0000-00007C5C0000}"/>
    <cellStyle name="Comma 2 5 4 4 2" xfId="28979" xr:uid="{00000000-0005-0000-0000-00007D5C0000}"/>
    <cellStyle name="Comma 2 5 4 5" xfId="24483" xr:uid="{00000000-0005-0000-0000-00007E5C0000}"/>
    <cellStyle name="Comma 2 5 5" xfId="5594" xr:uid="{00000000-0005-0000-0000-00007F5C0000}"/>
    <cellStyle name="Comma 2 5 5 2" xfId="8182" xr:uid="{00000000-0005-0000-0000-0000805C0000}"/>
    <cellStyle name="Comma 2 5 5 2 2" xfId="12505" xr:uid="{00000000-0005-0000-0000-0000815C0000}"/>
    <cellStyle name="Comma 2 5 5 2 2 2" xfId="31975" xr:uid="{00000000-0005-0000-0000-0000825C0000}"/>
    <cellStyle name="Comma 2 5 5 2 3" xfId="27663" xr:uid="{00000000-0005-0000-0000-0000835C0000}"/>
    <cellStyle name="Comma 2 5 5 3" xfId="10039" xr:uid="{00000000-0005-0000-0000-0000845C0000}"/>
    <cellStyle name="Comma 2 5 5 3 2" xfId="29509" xr:uid="{00000000-0005-0000-0000-0000855C0000}"/>
    <cellStyle name="Comma 2 5 5 4" xfId="25081" xr:uid="{00000000-0005-0000-0000-0000865C0000}"/>
    <cellStyle name="Comma 2 5 6" xfId="8167" xr:uid="{00000000-0005-0000-0000-0000875C0000}"/>
    <cellStyle name="Comma 2 5 6 2" xfId="12490" xr:uid="{00000000-0005-0000-0000-0000885C0000}"/>
    <cellStyle name="Comma 2 5 6 2 2" xfId="31960" xr:uid="{00000000-0005-0000-0000-0000895C0000}"/>
    <cellStyle name="Comma 2 5 6 3" xfId="27648" xr:uid="{00000000-0005-0000-0000-00008A5C0000}"/>
    <cellStyle name="Comma 2 5 7" xfId="8975" xr:uid="{00000000-0005-0000-0000-00008B5C0000}"/>
    <cellStyle name="Comma 2 5 7 2" xfId="28449" xr:uid="{00000000-0005-0000-0000-00008C5C0000}"/>
    <cellStyle name="Comma 2 5 8" xfId="23707" xr:uid="{00000000-0005-0000-0000-00008D5C0000}"/>
    <cellStyle name="Comma 21" xfId="42747" xr:uid="{DCEFE977-940B-4EA2-9F1C-A700E2D7CC1D}"/>
    <cellStyle name="Comma 3" xfId="2075" xr:uid="{00000000-0005-0000-0000-00008E5C0000}"/>
    <cellStyle name="Comma 3 2" xfId="2753" xr:uid="{00000000-0005-0000-0000-00008F5C0000}"/>
    <cellStyle name="Comma 3 2 10" xfId="23579" xr:uid="{00000000-0005-0000-0000-0000905C0000}"/>
    <cellStyle name="Comma 3 2 2" xfId="2887" xr:uid="{00000000-0005-0000-0000-0000915C0000}"/>
    <cellStyle name="Comma 3 2 2 2" xfId="3081" xr:uid="{00000000-0005-0000-0000-0000925C0000}"/>
    <cellStyle name="Comma 3 2 2 2 2" xfId="4708" xr:uid="{00000000-0005-0000-0000-0000935C0000}"/>
    <cellStyle name="Comma 3 2 2 2 2 2" xfId="5342" xr:uid="{00000000-0005-0000-0000-0000945C0000}"/>
    <cellStyle name="Comma 3 2 2 2 2 2 2" xfId="6476" xr:uid="{00000000-0005-0000-0000-0000955C0000}"/>
    <cellStyle name="Comma 3 2 2 2 2 2 2 2" xfId="8188" xr:uid="{00000000-0005-0000-0000-0000965C0000}"/>
    <cellStyle name="Comma 3 2 2 2 2 2 2 2 2" xfId="12511" xr:uid="{00000000-0005-0000-0000-0000975C0000}"/>
    <cellStyle name="Comma 3 2 2 2 2 2 2 2 2 2" xfId="31981" xr:uid="{00000000-0005-0000-0000-0000985C0000}"/>
    <cellStyle name="Comma 3 2 2 2 2 2 2 2 3" xfId="27669" xr:uid="{00000000-0005-0000-0000-0000995C0000}"/>
    <cellStyle name="Comma 3 2 2 2 2 2 2 3" xfId="10892" xr:uid="{00000000-0005-0000-0000-00009A5C0000}"/>
    <cellStyle name="Comma 3 2 2 2 2 2 2 3 2" xfId="30362" xr:uid="{00000000-0005-0000-0000-00009B5C0000}"/>
    <cellStyle name="Comma 3 2 2 2 2 2 2 4" xfId="25961" xr:uid="{00000000-0005-0000-0000-00009C5C0000}"/>
    <cellStyle name="Comma 3 2 2 2 2 2 3" xfId="8187" xr:uid="{00000000-0005-0000-0000-00009D5C0000}"/>
    <cellStyle name="Comma 3 2 2 2 2 2 3 2" xfId="12510" xr:uid="{00000000-0005-0000-0000-00009E5C0000}"/>
    <cellStyle name="Comma 3 2 2 2 2 2 3 2 2" xfId="31980" xr:uid="{00000000-0005-0000-0000-00009F5C0000}"/>
    <cellStyle name="Comma 3 2 2 2 2 2 3 3" xfId="27668" xr:uid="{00000000-0005-0000-0000-0000A05C0000}"/>
    <cellStyle name="Comma 3 2 2 2 2 2 4" xfId="9831" xr:uid="{00000000-0005-0000-0000-0000A15C0000}"/>
    <cellStyle name="Comma 3 2 2 2 2 2 4 2" xfId="29301" xr:uid="{00000000-0005-0000-0000-0000A25C0000}"/>
    <cellStyle name="Comma 3 2 2 2 2 2 5" xfId="24833" xr:uid="{00000000-0005-0000-0000-0000A35C0000}"/>
    <cellStyle name="Comma 3 2 2 2 2 3" xfId="5939" xr:uid="{00000000-0005-0000-0000-0000A45C0000}"/>
    <cellStyle name="Comma 3 2 2 2 2 3 2" xfId="8189" xr:uid="{00000000-0005-0000-0000-0000A55C0000}"/>
    <cellStyle name="Comma 3 2 2 2 2 3 2 2" xfId="12512" xr:uid="{00000000-0005-0000-0000-0000A65C0000}"/>
    <cellStyle name="Comma 3 2 2 2 2 3 2 2 2" xfId="31982" xr:uid="{00000000-0005-0000-0000-0000A75C0000}"/>
    <cellStyle name="Comma 3 2 2 2 2 3 2 3" xfId="27670" xr:uid="{00000000-0005-0000-0000-0000A85C0000}"/>
    <cellStyle name="Comma 3 2 2 2 2 3 3" xfId="10361" xr:uid="{00000000-0005-0000-0000-0000A95C0000}"/>
    <cellStyle name="Comma 3 2 2 2 2 3 3 2" xfId="29831" xr:uid="{00000000-0005-0000-0000-0000AA5C0000}"/>
    <cellStyle name="Comma 3 2 2 2 2 3 4" xfId="25424" xr:uid="{00000000-0005-0000-0000-0000AB5C0000}"/>
    <cellStyle name="Comma 3 2 2 2 2 4" xfId="8186" xr:uid="{00000000-0005-0000-0000-0000AC5C0000}"/>
    <cellStyle name="Comma 3 2 2 2 2 4 2" xfId="12509" xr:uid="{00000000-0005-0000-0000-0000AD5C0000}"/>
    <cellStyle name="Comma 3 2 2 2 2 4 2 2" xfId="31979" xr:uid="{00000000-0005-0000-0000-0000AE5C0000}"/>
    <cellStyle name="Comma 3 2 2 2 2 4 3" xfId="27667" xr:uid="{00000000-0005-0000-0000-0000AF5C0000}"/>
    <cellStyle name="Comma 3 2 2 2 2 5" xfId="9301" xr:uid="{00000000-0005-0000-0000-0000B05C0000}"/>
    <cellStyle name="Comma 3 2 2 2 2 5 2" xfId="28771" xr:uid="{00000000-0005-0000-0000-0000B15C0000}"/>
    <cellStyle name="Comma 3 2 2 2 2 6" xfId="24219" xr:uid="{00000000-0005-0000-0000-0000B25C0000}"/>
    <cellStyle name="Comma 3 2 2 2 3" xfId="5046" xr:uid="{00000000-0005-0000-0000-0000B35C0000}"/>
    <cellStyle name="Comma 3 2 2 2 3 2" xfId="6208" xr:uid="{00000000-0005-0000-0000-0000B45C0000}"/>
    <cellStyle name="Comma 3 2 2 2 3 2 2" xfId="8191" xr:uid="{00000000-0005-0000-0000-0000B55C0000}"/>
    <cellStyle name="Comma 3 2 2 2 3 2 2 2" xfId="12514" xr:uid="{00000000-0005-0000-0000-0000B65C0000}"/>
    <cellStyle name="Comma 3 2 2 2 3 2 2 2 2" xfId="31984" xr:uid="{00000000-0005-0000-0000-0000B75C0000}"/>
    <cellStyle name="Comma 3 2 2 2 3 2 2 3" xfId="27672" xr:uid="{00000000-0005-0000-0000-0000B85C0000}"/>
    <cellStyle name="Comma 3 2 2 2 3 2 3" xfId="10626" xr:uid="{00000000-0005-0000-0000-0000B95C0000}"/>
    <cellStyle name="Comma 3 2 2 2 3 2 3 2" xfId="30096" xr:uid="{00000000-0005-0000-0000-0000BA5C0000}"/>
    <cellStyle name="Comma 3 2 2 2 3 2 4" xfId="25693" xr:uid="{00000000-0005-0000-0000-0000BB5C0000}"/>
    <cellStyle name="Comma 3 2 2 2 3 3" xfId="8190" xr:uid="{00000000-0005-0000-0000-0000BC5C0000}"/>
    <cellStyle name="Comma 3 2 2 2 3 3 2" xfId="12513" xr:uid="{00000000-0005-0000-0000-0000BD5C0000}"/>
    <cellStyle name="Comma 3 2 2 2 3 3 2 2" xfId="31983" xr:uid="{00000000-0005-0000-0000-0000BE5C0000}"/>
    <cellStyle name="Comma 3 2 2 2 3 3 3" xfId="27671" xr:uid="{00000000-0005-0000-0000-0000BF5C0000}"/>
    <cellStyle name="Comma 3 2 2 2 3 4" xfId="9566" xr:uid="{00000000-0005-0000-0000-0000C05C0000}"/>
    <cellStyle name="Comma 3 2 2 2 3 4 2" xfId="29036" xr:uid="{00000000-0005-0000-0000-0000C15C0000}"/>
    <cellStyle name="Comma 3 2 2 2 3 5" xfId="24540" xr:uid="{00000000-0005-0000-0000-0000C25C0000}"/>
    <cellStyle name="Comma 3 2 2 2 4" xfId="5651" xr:uid="{00000000-0005-0000-0000-0000C35C0000}"/>
    <cellStyle name="Comma 3 2 2 2 4 2" xfId="8192" xr:uid="{00000000-0005-0000-0000-0000C45C0000}"/>
    <cellStyle name="Comma 3 2 2 2 4 2 2" xfId="12515" xr:uid="{00000000-0005-0000-0000-0000C55C0000}"/>
    <cellStyle name="Comma 3 2 2 2 4 2 2 2" xfId="31985" xr:uid="{00000000-0005-0000-0000-0000C65C0000}"/>
    <cellStyle name="Comma 3 2 2 2 4 2 3" xfId="27673" xr:uid="{00000000-0005-0000-0000-0000C75C0000}"/>
    <cellStyle name="Comma 3 2 2 2 4 3" xfId="10096" xr:uid="{00000000-0005-0000-0000-0000C85C0000}"/>
    <cellStyle name="Comma 3 2 2 2 4 3 2" xfId="29566" xr:uid="{00000000-0005-0000-0000-0000C95C0000}"/>
    <cellStyle name="Comma 3 2 2 2 4 4" xfId="25138" xr:uid="{00000000-0005-0000-0000-0000CA5C0000}"/>
    <cellStyle name="Comma 3 2 2 2 5" xfId="8185" xr:uid="{00000000-0005-0000-0000-0000CB5C0000}"/>
    <cellStyle name="Comma 3 2 2 2 5 2" xfId="12508" xr:uid="{00000000-0005-0000-0000-0000CC5C0000}"/>
    <cellStyle name="Comma 3 2 2 2 5 2 2" xfId="31978" xr:uid="{00000000-0005-0000-0000-0000CD5C0000}"/>
    <cellStyle name="Comma 3 2 2 2 5 3" xfId="27666" xr:uid="{00000000-0005-0000-0000-0000CE5C0000}"/>
    <cellStyle name="Comma 3 2 2 2 6" xfId="9032" xr:uid="{00000000-0005-0000-0000-0000CF5C0000}"/>
    <cellStyle name="Comma 3 2 2 2 6 2" xfId="28506" xr:uid="{00000000-0005-0000-0000-0000D05C0000}"/>
    <cellStyle name="Comma 3 2 2 2 7" xfId="23890" xr:uid="{00000000-0005-0000-0000-0000D15C0000}"/>
    <cellStyle name="Comma 3 2 2 3" xfId="4272" xr:uid="{00000000-0005-0000-0000-0000D25C0000}"/>
    <cellStyle name="Comma 3 2 2 3 2" xfId="4847" xr:uid="{00000000-0005-0000-0000-0000D35C0000}"/>
    <cellStyle name="Comma 3 2 2 3 2 2" xfId="5472" xr:uid="{00000000-0005-0000-0000-0000D45C0000}"/>
    <cellStyle name="Comma 3 2 2 3 2 2 2" xfId="6600" xr:uid="{00000000-0005-0000-0000-0000D55C0000}"/>
    <cellStyle name="Comma 3 2 2 3 2 2 2 2" xfId="8196" xr:uid="{00000000-0005-0000-0000-0000D65C0000}"/>
    <cellStyle name="Comma 3 2 2 3 2 2 2 2 2" xfId="12519" xr:uid="{00000000-0005-0000-0000-0000D75C0000}"/>
    <cellStyle name="Comma 3 2 2 3 2 2 2 2 2 2" xfId="31989" xr:uid="{00000000-0005-0000-0000-0000D85C0000}"/>
    <cellStyle name="Comma 3 2 2 3 2 2 2 2 3" xfId="27677" xr:uid="{00000000-0005-0000-0000-0000D95C0000}"/>
    <cellStyle name="Comma 3 2 2 3 2 2 2 3" xfId="11016" xr:uid="{00000000-0005-0000-0000-0000DA5C0000}"/>
    <cellStyle name="Comma 3 2 2 3 2 2 2 3 2" xfId="30486" xr:uid="{00000000-0005-0000-0000-0000DB5C0000}"/>
    <cellStyle name="Comma 3 2 2 3 2 2 2 4" xfId="26085" xr:uid="{00000000-0005-0000-0000-0000DC5C0000}"/>
    <cellStyle name="Comma 3 2 2 3 2 2 3" xfId="8195" xr:uid="{00000000-0005-0000-0000-0000DD5C0000}"/>
    <cellStyle name="Comma 3 2 2 3 2 2 3 2" xfId="12518" xr:uid="{00000000-0005-0000-0000-0000DE5C0000}"/>
    <cellStyle name="Comma 3 2 2 3 2 2 3 2 2" xfId="31988" xr:uid="{00000000-0005-0000-0000-0000DF5C0000}"/>
    <cellStyle name="Comma 3 2 2 3 2 2 3 3" xfId="27676" xr:uid="{00000000-0005-0000-0000-0000E05C0000}"/>
    <cellStyle name="Comma 3 2 2 3 2 2 4" xfId="9955" xr:uid="{00000000-0005-0000-0000-0000E15C0000}"/>
    <cellStyle name="Comma 3 2 2 3 2 2 4 2" xfId="29425" xr:uid="{00000000-0005-0000-0000-0000E25C0000}"/>
    <cellStyle name="Comma 3 2 2 3 2 2 5" xfId="24963" xr:uid="{00000000-0005-0000-0000-0000E35C0000}"/>
    <cellStyle name="Comma 3 2 2 3 2 3" xfId="6065" xr:uid="{00000000-0005-0000-0000-0000E45C0000}"/>
    <cellStyle name="Comma 3 2 2 3 2 3 2" xfId="8197" xr:uid="{00000000-0005-0000-0000-0000E55C0000}"/>
    <cellStyle name="Comma 3 2 2 3 2 3 2 2" xfId="12520" xr:uid="{00000000-0005-0000-0000-0000E65C0000}"/>
    <cellStyle name="Comma 3 2 2 3 2 3 2 2 2" xfId="31990" xr:uid="{00000000-0005-0000-0000-0000E75C0000}"/>
    <cellStyle name="Comma 3 2 2 3 2 3 2 3" xfId="27678" xr:uid="{00000000-0005-0000-0000-0000E85C0000}"/>
    <cellStyle name="Comma 3 2 2 3 2 3 3" xfId="10485" xr:uid="{00000000-0005-0000-0000-0000E95C0000}"/>
    <cellStyle name="Comma 3 2 2 3 2 3 3 2" xfId="29955" xr:uid="{00000000-0005-0000-0000-0000EA5C0000}"/>
    <cellStyle name="Comma 3 2 2 3 2 3 4" xfId="25550" xr:uid="{00000000-0005-0000-0000-0000EB5C0000}"/>
    <cellStyle name="Comma 3 2 2 3 2 4" xfId="8194" xr:uid="{00000000-0005-0000-0000-0000EC5C0000}"/>
    <cellStyle name="Comma 3 2 2 3 2 4 2" xfId="12517" xr:uid="{00000000-0005-0000-0000-0000ED5C0000}"/>
    <cellStyle name="Comma 3 2 2 3 2 4 2 2" xfId="31987" xr:uid="{00000000-0005-0000-0000-0000EE5C0000}"/>
    <cellStyle name="Comma 3 2 2 3 2 4 3" xfId="27675" xr:uid="{00000000-0005-0000-0000-0000EF5C0000}"/>
    <cellStyle name="Comma 3 2 2 3 2 5" xfId="9425" xr:uid="{00000000-0005-0000-0000-0000F05C0000}"/>
    <cellStyle name="Comma 3 2 2 3 2 5 2" xfId="28895" xr:uid="{00000000-0005-0000-0000-0000F15C0000}"/>
    <cellStyle name="Comma 3 2 2 3 2 6" xfId="24349" xr:uid="{00000000-0005-0000-0000-0000F25C0000}"/>
    <cellStyle name="Comma 3 2 2 3 3" xfId="5177" xr:uid="{00000000-0005-0000-0000-0000F35C0000}"/>
    <cellStyle name="Comma 3 2 2 3 3 2" xfId="6333" xr:uid="{00000000-0005-0000-0000-0000F45C0000}"/>
    <cellStyle name="Comma 3 2 2 3 3 2 2" xfId="8199" xr:uid="{00000000-0005-0000-0000-0000F55C0000}"/>
    <cellStyle name="Comma 3 2 2 3 3 2 2 2" xfId="12522" xr:uid="{00000000-0005-0000-0000-0000F65C0000}"/>
    <cellStyle name="Comma 3 2 2 3 3 2 2 2 2" xfId="31992" xr:uid="{00000000-0005-0000-0000-0000F75C0000}"/>
    <cellStyle name="Comma 3 2 2 3 3 2 2 3" xfId="27680" xr:uid="{00000000-0005-0000-0000-0000F85C0000}"/>
    <cellStyle name="Comma 3 2 2 3 3 2 3" xfId="10750" xr:uid="{00000000-0005-0000-0000-0000F95C0000}"/>
    <cellStyle name="Comma 3 2 2 3 3 2 3 2" xfId="30220" xr:uid="{00000000-0005-0000-0000-0000FA5C0000}"/>
    <cellStyle name="Comma 3 2 2 3 3 2 4" xfId="25818" xr:uid="{00000000-0005-0000-0000-0000FB5C0000}"/>
    <cellStyle name="Comma 3 2 2 3 3 3" xfId="8198" xr:uid="{00000000-0005-0000-0000-0000FC5C0000}"/>
    <cellStyle name="Comma 3 2 2 3 3 3 2" xfId="12521" xr:uid="{00000000-0005-0000-0000-0000FD5C0000}"/>
    <cellStyle name="Comma 3 2 2 3 3 3 2 2" xfId="31991" xr:uid="{00000000-0005-0000-0000-0000FE5C0000}"/>
    <cellStyle name="Comma 3 2 2 3 3 3 3" xfId="27679" xr:uid="{00000000-0005-0000-0000-0000FF5C0000}"/>
    <cellStyle name="Comma 3 2 2 3 3 4" xfId="9690" xr:uid="{00000000-0005-0000-0000-0000005D0000}"/>
    <cellStyle name="Comma 3 2 2 3 3 4 2" xfId="29160" xr:uid="{00000000-0005-0000-0000-0000015D0000}"/>
    <cellStyle name="Comma 3 2 2 3 3 5" xfId="24668" xr:uid="{00000000-0005-0000-0000-0000025D0000}"/>
    <cellStyle name="Comma 3 2 2 3 4" xfId="5786" xr:uid="{00000000-0005-0000-0000-0000035D0000}"/>
    <cellStyle name="Comma 3 2 2 3 4 2" xfId="8200" xr:uid="{00000000-0005-0000-0000-0000045D0000}"/>
    <cellStyle name="Comma 3 2 2 3 4 2 2" xfId="12523" xr:uid="{00000000-0005-0000-0000-0000055D0000}"/>
    <cellStyle name="Comma 3 2 2 3 4 2 2 2" xfId="31993" xr:uid="{00000000-0005-0000-0000-0000065D0000}"/>
    <cellStyle name="Comma 3 2 2 3 4 2 3" xfId="27681" xr:uid="{00000000-0005-0000-0000-0000075D0000}"/>
    <cellStyle name="Comma 3 2 2 3 4 3" xfId="10220" xr:uid="{00000000-0005-0000-0000-0000085D0000}"/>
    <cellStyle name="Comma 3 2 2 3 4 3 2" xfId="29690" xr:uid="{00000000-0005-0000-0000-0000095D0000}"/>
    <cellStyle name="Comma 3 2 2 3 4 4" xfId="25271" xr:uid="{00000000-0005-0000-0000-00000A5D0000}"/>
    <cellStyle name="Comma 3 2 2 3 5" xfId="8193" xr:uid="{00000000-0005-0000-0000-00000B5D0000}"/>
    <cellStyle name="Comma 3 2 2 3 5 2" xfId="12516" xr:uid="{00000000-0005-0000-0000-00000C5D0000}"/>
    <cellStyle name="Comma 3 2 2 3 5 2 2" xfId="31986" xr:uid="{00000000-0005-0000-0000-00000D5D0000}"/>
    <cellStyle name="Comma 3 2 2 3 5 3" xfId="27674" xr:uid="{00000000-0005-0000-0000-00000E5D0000}"/>
    <cellStyle name="Comma 3 2 2 3 6" xfId="9159" xr:uid="{00000000-0005-0000-0000-00000F5D0000}"/>
    <cellStyle name="Comma 3 2 2 3 6 2" xfId="28630" xr:uid="{00000000-0005-0000-0000-0000105D0000}"/>
    <cellStyle name="Comma 3 2 2 3 7" xfId="24048" xr:uid="{00000000-0005-0000-0000-0000115D0000}"/>
    <cellStyle name="Comma 3 2 2 4" xfId="4636" xr:uid="{00000000-0005-0000-0000-0000125D0000}"/>
    <cellStyle name="Comma 3 2 2 4 2" xfId="5276" xr:uid="{00000000-0005-0000-0000-0000135D0000}"/>
    <cellStyle name="Comma 3 2 2 4 2 2" xfId="6410" xr:uid="{00000000-0005-0000-0000-0000145D0000}"/>
    <cellStyle name="Comma 3 2 2 4 2 2 2" xfId="8203" xr:uid="{00000000-0005-0000-0000-0000155D0000}"/>
    <cellStyle name="Comma 3 2 2 4 2 2 2 2" xfId="12526" xr:uid="{00000000-0005-0000-0000-0000165D0000}"/>
    <cellStyle name="Comma 3 2 2 4 2 2 2 2 2" xfId="31996" xr:uid="{00000000-0005-0000-0000-0000175D0000}"/>
    <cellStyle name="Comma 3 2 2 4 2 2 2 3" xfId="27684" xr:uid="{00000000-0005-0000-0000-0000185D0000}"/>
    <cellStyle name="Comma 3 2 2 4 2 2 3" xfId="10826" xr:uid="{00000000-0005-0000-0000-0000195D0000}"/>
    <cellStyle name="Comma 3 2 2 4 2 2 3 2" xfId="30296" xr:uid="{00000000-0005-0000-0000-00001A5D0000}"/>
    <cellStyle name="Comma 3 2 2 4 2 2 4" xfId="25895" xr:uid="{00000000-0005-0000-0000-00001B5D0000}"/>
    <cellStyle name="Comma 3 2 2 4 2 3" xfId="8202" xr:uid="{00000000-0005-0000-0000-00001C5D0000}"/>
    <cellStyle name="Comma 3 2 2 4 2 3 2" xfId="12525" xr:uid="{00000000-0005-0000-0000-00001D5D0000}"/>
    <cellStyle name="Comma 3 2 2 4 2 3 2 2" xfId="31995" xr:uid="{00000000-0005-0000-0000-00001E5D0000}"/>
    <cellStyle name="Comma 3 2 2 4 2 3 3" xfId="27683" xr:uid="{00000000-0005-0000-0000-00001F5D0000}"/>
    <cellStyle name="Comma 3 2 2 4 2 4" xfId="9765" xr:uid="{00000000-0005-0000-0000-0000205D0000}"/>
    <cellStyle name="Comma 3 2 2 4 2 4 2" xfId="29235" xr:uid="{00000000-0005-0000-0000-0000215D0000}"/>
    <cellStyle name="Comma 3 2 2 4 2 5" xfId="24767" xr:uid="{00000000-0005-0000-0000-0000225D0000}"/>
    <cellStyle name="Comma 3 2 2 4 3" xfId="5873" xr:uid="{00000000-0005-0000-0000-0000235D0000}"/>
    <cellStyle name="Comma 3 2 2 4 3 2" xfId="8204" xr:uid="{00000000-0005-0000-0000-0000245D0000}"/>
    <cellStyle name="Comma 3 2 2 4 3 2 2" xfId="12527" xr:uid="{00000000-0005-0000-0000-0000255D0000}"/>
    <cellStyle name="Comma 3 2 2 4 3 2 2 2" xfId="31997" xr:uid="{00000000-0005-0000-0000-0000265D0000}"/>
    <cellStyle name="Comma 3 2 2 4 3 2 3" xfId="27685" xr:uid="{00000000-0005-0000-0000-0000275D0000}"/>
    <cellStyle name="Comma 3 2 2 4 3 3" xfId="10295" xr:uid="{00000000-0005-0000-0000-0000285D0000}"/>
    <cellStyle name="Comma 3 2 2 4 3 3 2" xfId="29765" xr:uid="{00000000-0005-0000-0000-0000295D0000}"/>
    <cellStyle name="Comma 3 2 2 4 3 4" xfId="25358" xr:uid="{00000000-0005-0000-0000-00002A5D0000}"/>
    <cellStyle name="Comma 3 2 2 4 4" xfId="8201" xr:uid="{00000000-0005-0000-0000-00002B5D0000}"/>
    <cellStyle name="Comma 3 2 2 4 4 2" xfId="12524" xr:uid="{00000000-0005-0000-0000-00002C5D0000}"/>
    <cellStyle name="Comma 3 2 2 4 4 2 2" xfId="31994" xr:uid="{00000000-0005-0000-0000-00002D5D0000}"/>
    <cellStyle name="Comma 3 2 2 4 4 3" xfId="27682" xr:uid="{00000000-0005-0000-0000-00002E5D0000}"/>
    <cellStyle name="Comma 3 2 2 4 5" xfId="9235" xr:uid="{00000000-0005-0000-0000-00002F5D0000}"/>
    <cellStyle name="Comma 3 2 2 4 5 2" xfId="28705" xr:uid="{00000000-0005-0000-0000-0000305D0000}"/>
    <cellStyle name="Comma 3 2 2 4 6" xfId="24147" xr:uid="{00000000-0005-0000-0000-0000315D0000}"/>
    <cellStyle name="Comma 3 2 2 5" xfId="4980" xr:uid="{00000000-0005-0000-0000-0000325D0000}"/>
    <cellStyle name="Comma 3 2 2 5 2" xfId="6142" xr:uid="{00000000-0005-0000-0000-0000335D0000}"/>
    <cellStyle name="Comma 3 2 2 5 2 2" xfId="8206" xr:uid="{00000000-0005-0000-0000-0000345D0000}"/>
    <cellStyle name="Comma 3 2 2 5 2 2 2" xfId="12529" xr:uid="{00000000-0005-0000-0000-0000355D0000}"/>
    <cellStyle name="Comma 3 2 2 5 2 2 2 2" xfId="31999" xr:uid="{00000000-0005-0000-0000-0000365D0000}"/>
    <cellStyle name="Comma 3 2 2 5 2 2 3" xfId="27687" xr:uid="{00000000-0005-0000-0000-0000375D0000}"/>
    <cellStyle name="Comma 3 2 2 5 2 3" xfId="10560" xr:uid="{00000000-0005-0000-0000-0000385D0000}"/>
    <cellStyle name="Comma 3 2 2 5 2 3 2" xfId="30030" xr:uid="{00000000-0005-0000-0000-0000395D0000}"/>
    <cellStyle name="Comma 3 2 2 5 2 4" xfId="25627" xr:uid="{00000000-0005-0000-0000-00003A5D0000}"/>
    <cellStyle name="Comma 3 2 2 5 3" xfId="8205" xr:uid="{00000000-0005-0000-0000-00003B5D0000}"/>
    <cellStyle name="Comma 3 2 2 5 3 2" xfId="12528" xr:uid="{00000000-0005-0000-0000-00003C5D0000}"/>
    <cellStyle name="Comma 3 2 2 5 3 2 2" xfId="31998" xr:uid="{00000000-0005-0000-0000-00003D5D0000}"/>
    <cellStyle name="Comma 3 2 2 5 3 3" xfId="27686" xr:uid="{00000000-0005-0000-0000-00003E5D0000}"/>
    <cellStyle name="Comma 3 2 2 5 4" xfId="9500" xr:uid="{00000000-0005-0000-0000-00003F5D0000}"/>
    <cellStyle name="Comma 3 2 2 5 4 2" xfId="28970" xr:uid="{00000000-0005-0000-0000-0000405D0000}"/>
    <cellStyle name="Comma 3 2 2 5 5" xfId="24474" xr:uid="{00000000-0005-0000-0000-0000415D0000}"/>
    <cellStyle name="Comma 3 2 2 6" xfId="5585" xr:uid="{00000000-0005-0000-0000-0000425D0000}"/>
    <cellStyle name="Comma 3 2 2 6 2" xfId="8207" xr:uid="{00000000-0005-0000-0000-0000435D0000}"/>
    <cellStyle name="Comma 3 2 2 6 2 2" xfId="12530" xr:uid="{00000000-0005-0000-0000-0000445D0000}"/>
    <cellStyle name="Comma 3 2 2 6 2 2 2" xfId="32000" xr:uid="{00000000-0005-0000-0000-0000455D0000}"/>
    <cellStyle name="Comma 3 2 2 6 2 3" xfId="27688" xr:uid="{00000000-0005-0000-0000-0000465D0000}"/>
    <cellStyle name="Comma 3 2 2 6 3" xfId="10030" xr:uid="{00000000-0005-0000-0000-0000475D0000}"/>
    <cellStyle name="Comma 3 2 2 6 3 2" xfId="29500" xr:uid="{00000000-0005-0000-0000-0000485D0000}"/>
    <cellStyle name="Comma 3 2 2 6 4" xfId="25072" xr:uid="{00000000-0005-0000-0000-0000495D0000}"/>
    <cellStyle name="Comma 3 2 2 7" xfId="8184" xr:uid="{00000000-0005-0000-0000-00004A5D0000}"/>
    <cellStyle name="Comma 3 2 2 7 2" xfId="12507" xr:uid="{00000000-0005-0000-0000-00004B5D0000}"/>
    <cellStyle name="Comma 3 2 2 7 2 2" xfId="31977" xr:uid="{00000000-0005-0000-0000-00004C5D0000}"/>
    <cellStyle name="Comma 3 2 2 7 3" xfId="27665" xr:uid="{00000000-0005-0000-0000-00004D5D0000}"/>
    <cellStyle name="Comma 3 2 2 8" xfId="8966" xr:uid="{00000000-0005-0000-0000-00004E5D0000}"/>
    <cellStyle name="Comma 3 2 2 8 2" xfId="28440" xr:uid="{00000000-0005-0000-0000-00004F5D0000}"/>
    <cellStyle name="Comma 3 2 2 9" xfId="23698" xr:uid="{00000000-0005-0000-0000-0000505D0000}"/>
    <cellStyle name="Comma 3 2 3" xfId="2963" xr:uid="{00000000-0005-0000-0000-0000515D0000}"/>
    <cellStyle name="Comma 3 2 3 2" xfId="4670" xr:uid="{00000000-0005-0000-0000-0000525D0000}"/>
    <cellStyle name="Comma 3 2 3 2 2" xfId="5310" xr:uid="{00000000-0005-0000-0000-0000535D0000}"/>
    <cellStyle name="Comma 3 2 3 2 2 2" xfId="6444" xr:uid="{00000000-0005-0000-0000-0000545D0000}"/>
    <cellStyle name="Comma 3 2 3 2 2 2 2" xfId="8211" xr:uid="{00000000-0005-0000-0000-0000555D0000}"/>
    <cellStyle name="Comma 3 2 3 2 2 2 2 2" xfId="12534" xr:uid="{00000000-0005-0000-0000-0000565D0000}"/>
    <cellStyle name="Comma 3 2 3 2 2 2 2 2 2" xfId="32004" xr:uid="{00000000-0005-0000-0000-0000575D0000}"/>
    <cellStyle name="Comma 3 2 3 2 2 2 2 3" xfId="27692" xr:uid="{00000000-0005-0000-0000-0000585D0000}"/>
    <cellStyle name="Comma 3 2 3 2 2 2 3" xfId="10860" xr:uid="{00000000-0005-0000-0000-0000595D0000}"/>
    <cellStyle name="Comma 3 2 3 2 2 2 3 2" xfId="30330" xr:uid="{00000000-0005-0000-0000-00005A5D0000}"/>
    <cellStyle name="Comma 3 2 3 2 2 2 4" xfId="25929" xr:uid="{00000000-0005-0000-0000-00005B5D0000}"/>
    <cellStyle name="Comma 3 2 3 2 2 3" xfId="8210" xr:uid="{00000000-0005-0000-0000-00005C5D0000}"/>
    <cellStyle name="Comma 3 2 3 2 2 3 2" xfId="12533" xr:uid="{00000000-0005-0000-0000-00005D5D0000}"/>
    <cellStyle name="Comma 3 2 3 2 2 3 2 2" xfId="32003" xr:uid="{00000000-0005-0000-0000-00005E5D0000}"/>
    <cellStyle name="Comma 3 2 3 2 2 3 3" xfId="27691" xr:uid="{00000000-0005-0000-0000-00005F5D0000}"/>
    <cellStyle name="Comma 3 2 3 2 2 4" xfId="9799" xr:uid="{00000000-0005-0000-0000-0000605D0000}"/>
    <cellStyle name="Comma 3 2 3 2 2 4 2" xfId="29269" xr:uid="{00000000-0005-0000-0000-0000615D0000}"/>
    <cellStyle name="Comma 3 2 3 2 2 5" xfId="24801" xr:uid="{00000000-0005-0000-0000-0000625D0000}"/>
    <cellStyle name="Comma 3 2 3 2 3" xfId="5907" xr:uid="{00000000-0005-0000-0000-0000635D0000}"/>
    <cellStyle name="Comma 3 2 3 2 3 2" xfId="8212" xr:uid="{00000000-0005-0000-0000-0000645D0000}"/>
    <cellStyle name="Comma 3 2 3 2 3 2 2" xfId="12535" xr:uid="{00000000-0005-0000-0000-0000655D0000}"/>
    <cellStyle name="Comma 3 2 3 2 3 2 2 2" xfId="32005" xr:uid="{00000000-0005-0000-0000-0000665D0000}"/>
    <cellStyle name="Comma 3 2 3 2 3 2 3" xfId="27693" xr:uid="{00000000-0005-0000-0000-0000675D0000}"/>
    <cellStyle name="Comma 3 2 3 2 3 3" xfId="10329" xr:uid="{00000000-0005-0000-0000-0000685D0000}"/>
    <cellStyle name="Comma 3 2 3 2 3 3 2" xfId="29799" xr:uid="{00000000-0005-0000-0000-0000695D0000}"/>
    <cellStyle name="Comma 3 2 3 2 3 4" xfId="25392" xr:uid="{00000000-0005-0000-0000-00006A5D0000}"/>
    <cellStyle name="Comma 3 2 3 2 4" xfId="8209" xr:uid="{00000000-0005-0000-0000-00006B5D0000}"/>
    <cellStyle name="Comma 3 2 3 2 4 2" xfId="12532" xr:uid="{00000000-0005-0000-0000-00006C5D0000}"/>
    <cellStyle name="Comma 3 2 3 2 4 2 2" xfId="32002" xr:uid="{00000000-0005-0000-0000-00006D5D0000}"/>
    <cellStyle name="Comma 3 2 3 2 4 3" xfId="27690" xr:uid="{00000000-0005-0000-0000-00006E5D0000}"/>
    <cellStyle name="Comma 3 2 3 2 5" xfId="9269" xr:uid="{00000000-0005-0000-0000-00006F5D0000}"/>
    <cellStyle name="Comma 3 2 3 2 5 2" xfId="28739" xr:uid="{00000000-0005-0000-0000-0000705D0000}"/>
    <cellStyle name="Comma 3 2 3 2 6" xfId="24181" xr:uid="{00000000-0005-0000-0000-0000715D0000}"/>
    <cellStyle name="Comma 3 2 3 3" xfId="5014" xr:uid="{00000000-0005-0000-0000-0000725D0000}"/>
    <cellStyle name="Comma 3 2 3 3 2" xfId="6176" xr:uid="{00000000-0005-0000-0000-0000735D0000}"/>
    <cellStyle name="Comma 3 2 3 3 2 2" xfId="8214" xr:uid="{00000000-0005-0000-0000-0000745D0000}"/>
    <cellStyle name="Comma 3 2 3 3 2 2 2" xfId="12537" xr:uid="{00000000-0005-0000-0000-0000755D0000}"/>
    <cellStyle name="Comma 3 2 3 3 2 2 2 2" xfId="32007" xr:uid="{00000000-0005-0000-0000-0000765D0000}"/>
    <cellStyle name="Comma 3 2 3 3 2 2 3" xfId="27695" xr:uid="{00000000-0005-0000-0000-0000775D0000}"/>
    <cellStyle name="Comma 3 2 3 3 2 3" xfId="10594" xr:uid="{00000000-0005-0000-0000-0000785D0000}"/>
    <cellStyle name="Comma 3 2 3 3 2 3 2" xfId="30064" xr:uid="{00000000-0005-0000-0000-0000795D0000}"/>
    <cellStyle name="Comma 3 2 3 3 2 4" xfId="25661" xr:uid="{00000000-0005-0000-0000-00007A5D0000}"/>
    <cellStyle name="Comma 3 2 3 3 3" xfId="8213" xr:uid="{00000000-0005-0000-0000-00007B5D0000}"/>
    <cellStyle name="Comma 3 2 3 3 3 2" xfId="12536" xr:uid="{00000000-0005-0000-0000-00007C5D0000}"/>
    <cellStyle name="Comma 3 2 3 3 3 2 2" xfId="32006" xr:uid="{00000000-0005-0000-0000-00007D5D0000}"/>
    <cellStyle name="Comma 3 2 3 3 3 3" xfId="27694" xr:uid="{00000000-0005-0000-0000-00007E5D0000}"/>
    <cellStyle name="Comma 3 2 3 3 4" xfId="9534" xr:uid="{00000000-0005-0000-0000-00007F5D0000}"/>
    <cellStyle name="Comma 3 2 3 3 4 2" xfId="29004" xr:uid="{00000000-0005-0000-0000-0000805D0000}"/>
    <cellStyle name="Comma 3 2 3 3 5" xfId="24508" xr:uid="{00000000-0005-0000-0000-0000815D0000}"/>
    <cellStyle name="Comma 3 2 3 4" xfId="5619" xr:uid="{00000000-0005-0000-0000-0000825D0000}"/>
    <cellStyle name="Comma 3 2 3 4 2" xfId="8215" xr:uid="{00000000-0005-0000-0000-0000835D0000}"/>
    <cellStyle name="Comma 3 2 3 4 2 2" xfId="12538" xr:uid="{00000000-0005-0000-0000-0000845D0000}"/>
    <cellStyle name="Comma 3 2 3 4 2 2 2" xfId="32008" xr:uid="{00000000-0005-0000-0000-0000855D0000}"/>
    <cellStyle name="Comma 3 2 3 4 2 3" xfId="27696" xr:uid="{00000000-0005-0000-0000-0000865D0000}"/>
    <cellStyle name="Comma 3 2 3 4 3" xfId="10064" xr:uid="{00000000-0005-0000-0000-0000875D0000}"/>
    <cellStyle name="Comma 3 2 3 4 3 2" xfId="29534" xr:uid="{00000000-0005-0000-0000-0000885D0000}"/>
    <cellStyle name="Comma 3 2 3 4 4" xfId="25106" xr:uid="{00000000-0005-0000-0000-0000895D0000}"/>
    <cellStyle name="Comma 3 2 3 5" xfId="8208" xr:uid="{00000000-0005-0000-0000-00008A5D0000}"/>
    <cellStyle name="Comma 3 2 3 5 2" xfId="12531" xr:uid="{00000000-0005-0000-0000-00008B5D0000}"/>
    <cellStyle name="Comma 3 2 3 5 2 2" xfId="32001" xr:uid="{00000000-0005-0000-0000-00008C5D0000}"/>
    <cellStyle name="Comma 3 2 3 5 3" xfId="27689" xr:uid="{00000000-0005-0000-0000-00008D5D0000}"/>
    <cellStyle name="Comma 3 2 3 6" xfId="9000" xr:uid="{00000000-0005-0000-0000-00008E5D0000}"/>
    <cellStyle name="Comma 3 2 3 6 2" xfId="28474" xr:uid="{00000000-0005-0000-0000-00008F5D0000}"/>
    <cellStyle name="Comma 3 2 3 7" xfId="23772" xr:uid="{00000000-0005-0000-0000-0000905D0000}"/>
    <cellStyle name="Comma 3 2 4" xfId="4217" xr:uid="{00000000-0005-0000-0000-0000915D0000}"/>
    <cellStyle name="Comma 3 2 4 2" xfId="4792" xr:uid="{00000000-0005-0000-0000-0000925D0000}"/>
    <cellStyle name="Comma 3 2 4 2 2" xfId="5418" xr:uid="{00000000-0005-0000-0000-0000935D0000}"/>
    <cellStyle name="Comma 3 2 4 2 2 2" xfId="6546" xr:uid="{00000000-0005-0000-0000-0000945D0000}"/>
    <cellStyle name="Comma 3 2 4 2 2 2 2" xfId="8219" xr:uid="{00000000-0005-0000-0000-0000955D0000}"/>
    <cellStyle name="Comma 3 2 4 2 2 2 2 2" xfId="12542" xr:uid="{00000000-0005-0000-0000-0000965D0000}"/>
    <cellStyle name="Comma 3 2 4 2 2 2 2 2 2" xfId="32012" xr:uid="{00000000-0005-0000-0000-0000975D0000}"/>
    <cellStyle name="Comma 3 2 4 2 2 2 2 3" xfId="27700" xr:uid="{00000000-0005-00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e="Comma 3 2 4 2 2 3" xfId="8218" xr:uid="{00000000-0005-0000-0000-00009C5D0000}"/>
    <cellStyle name="Comma 3 2 4 2 2 3 2" xfId="12541" xr:uid="{00000000-0005-0000-0000-00009D5D0000}"/>
    <cellStyle name="Comma 3 2 4 2 2 3 2 2" xfId="32011" xr:uid="{00000000-0005-0000-0000-00009E5D0000}"/>
    <cellStyle name="Comma 3 2 4 2 2 3 3" xfId="27699" xr:uid="{00000000-0005-0000-0000-00009F5D0000}"/>
    <cellStyle name="Comma 3 2 4 2 2 4" xfId="9901" xr:uid="{00000000-0005-0000-0000-0000A05D0000}"/>
    <cellStyle name="Comma 3 2 4 2 2 4 2" xfId="29371" xr:uid="{00000000-0005-0000-0000-0000A15D0000}"/>
    <cellStyle name="Comma 3 2 4 2 2 5" xfId="24909" xr:uid="{00000000-0005-0000-0000-0000A25D0000}"/>
    <cellStyle name="Comma 3 2 4 2 3" xfId="6010" xr:uid="{00000000-0005-0000-0000-0000A35D0000}"/>
    <cellStyle name="Comma 3 2 4 2 3 2" xfId="8220" xr:uid="{00000000-0005-0000-0000-0000A45D0000}"/>
    <cellStyle name="Comma 3 2 4 2 3 2 2" xfId="12543" xr:uid="{00000000-0005-0000-0000-0000A55D0000}"/>
    <cellStyle name="Comma 3 2 4 2 3 2 2 2" xfId="32013" xr:uid="{00000000-0005-0000-0000-0000A65D0000}"/>
    <cellStyle name="Comma 3 2 4 2 3 2 3" xfId="27701" xr:uid="{00000000-0005-0000-0000-0000A75D0000}"/>
    <cellStyle name="Comma 3 2 4 2 3 3" xfId="10431" xr:uid="{00000000-0005-0000-0000-0000A85D0000}"/>
    <cellStyle name="Comma 3 2 4 2 3 3 2" xfId="29901" xr:uid="{00000000-0005-0000-0000-0000A95D0000}"/>
    <cellStyle name="Comma 3 2 4 2 3 4" xfId="25495" xr:uid="{00000000-0005-0000-0000-0000AA5D0000}"/>
    <cellStyle name="Comma 3 2 4 2 4" xfId="8217" xr:uid="{00000000-0005-0000-0000-0000AB5D0000}"/>
    <cellStyle name="Comma 3 2 4 2 4 2" xfId="12540" xr:uid="{00000000-0005-0000-0000-0000AC5D0000}"/>
    <cellStyle name="Comma 3 2 4 2 4 2 2" xfId="32010" xr:uid="{00000000-0005-0000-0000-0000AD5D0000}"/>
    <cellStyle name="Comma 3 2 4 2 4 3" xfId="27698" xr:uid="{00000000-0005-0000-0000-0000AE5D0000}"/>
    <cellStyle name="Comma 3 2 4 2 5" xfId="9371" xr:uid="{00000000-0005-0000-0000-0000AF5D0000}"/>
    <cellStyle name="Comma 3 2 4 2 5 2" xfId="28841" xr:uid="{00000000-0005-0000-0000-0000B05D0000}"/>
    <cellStyle name="Comma 3 2 4 2 6" xfId="24294" xr:uid="{00000000-0005-0000-0000-0000B15D0000}"/>
    <cellStyle name="Comma 3 2 4 3" xfId="5123" xr:uid="{00000000-0005-0000-0000-0000B25D0000}"/>
    <cellStyle name="Comma 3 2 4 3 2" xfId="6279" xr:uid="{00000000-0005-0000-0000-0000B35D0000}"/>
    <cellStyle name="Comma 3 2 4 3 2 2" xfId="8222" xr:uid="{00000000-0005-0000-0000-0000B45D0000}"/>
    <cellStyle name="Comma 3 2 4 3 2 2 2" xfId="12545" xr:uid="{00000000-0005-0000-0000-0000B55D0000}"/>
    <cellStyle name="Comma 3 2 4 3 2 2 2 2" xfId="32015" xr:uid="{00000000-0005-0000-0000-0000B65D0000}"/>
    <cellStyle name="Comma 3 2 4 3 2 2 3" xfId="27703" xr:uid="{00000000-0005-0000-0000-0000B75D0000}"/>
    <cellStyle name="Comma 3 2 4 3 2 3" xfId="10696" xr:uid="{00000000-0005-0000-0000-0000B85D0000}"/>
    <cellStyle name="Comma 3 2 4 3 2 3 2" xfId="30166" xr:uid="{00000000-0005-0000-0000-0000B95D0000}"/>
    <cellStyle name="Comma 3 2 4 3 2 4" xfId="25764" xr:uid="{00000000-0005-0000-0000-0000BA5D0000}"/>
    <cellStyle name="Comma 3 2 4 3 3" xfId="8221" xr:uid="{00000000-0005-0000-0000-0000BB5D0000}"/>
    <cellStyle name="Comma 3 2 4 3 3 2" xfId="12544" xr:uid="{00000000-0005-0000-0000-0000BC5D0000}"/>
    <cellStyle name="Comma 3 2 4 3 3 2 2" xfId="32014" xr:uid="{00000000-0005-0000-0000-0000BD5D0000}"/>
    <cellStyle name="Comma 3 2 4 3 3 3" xfId="27702" xr:uid="{00000000-0005-0000-0000-0000BE5D0000}"/>
    <cellStyle name="Comma 3 2 4 3 4" xfId="9636" xr:uid="{00000000-0005-0000-0000-0000BF5D0000}"/>
    <cellStyle name="Comma 3 2 4 3 4 2" xfId="29106" xr:uid="{00000000-0005-0000-0000-0000C05D0000}"/>
    <cellStyle name="Comma 3 2 4 3 5" xfId="24614" xr:uid="{00000000-0005-0000-0000-0000C15D0000}"/>
    <cellStyle name="Comma 3 2 4 4" xfId="5732" xr:uid="{00000000-0005-0000-0000-0000C25D0000}"/>
    <cellStyle name="Comma 3 2 4 4 2" xfId="8223" xr:uid="{00000000-0005-0000-0000-0000C35D0000}"/>
    <cellStyle name="Comma 3 2 4 4 2 2" xfId="12546" xr:uid="{00000000-0005-0000-0000-0000C45D0000}"/>
    <cellStyle name="Comma 3 2 4 4 2 2 2" xfId="32016" xr:uid="{00000000-0005-0000-0000-0000C55D0000}"/>
    <cellStyle name="Comma 3 2 4 4 2 3" xfId="27704" xr:uid="{00000000-0005-0000-0000-0000C65D0000}"/>
    <cellStyle name="Comma 3 2 4 4 3" xfId="10166" xr:uid="{00000000-0005-0000-0000-0000C75D0000}"/>
    <cellStyle name="Comma 3 2 4 4 3 2" xfId="29636" xr:uid="{00000000-0005-0000-0000-0000C85D0000}"/>
    <cellStyle name="Comma 3 2 4 4 4" xfId="25217" xr:uid="{00000000-0005-0000-0000-0000C95D0000}"/>
    <cellStyle name="Comma 3 2 4 5" xfId="8216" xr:uid="{00000000-0005-0000-0000-0000CA5D0000}"/>
    <cellStyle name="Comma 3 2 4 5 2" xfId="12539" xr:uid="{00000000-0005-0000-0000-0000CB5D0000}"/>
    <cellStyle name="Comma 3 2 4 5 2 2" xfId="32009" xr:uid="{00000000-0005-0000-0000-0000CC5D0000}"/>
    <cellStyle name="Comma 3 2 4 5 3" xfId="27697" xr:uid="{00000000-0005-0000-0000-0000CD5D0000}"/>
    <cellStyle name="Comma 3 2 4 6" xfId="9105" xr:uid="{00000000-0005-0000-0000-0000CE5D0000}"/>
    <cellStyle name="Comma 3 2 4 6 2" xfId="28576" xr:uid="{00000000-0005-0000-0000-0000CF5D0000}"/>
    <cellStyle name="Comma 3 2 4 7" xfId="23993" xr:uid="{00000000-0005-0000-0000-0000D05D0000}"/>
    <cellStyle name="Comma 3 2 5" xfId="4603" xr:uid="{00000000-0005-0000-0000-0000D15D0000}"/>
    <cellStyle name="Comma 3 2 5 2" xfId="5244" xr:uid="{00000000-0005-0000-0000-0000D25D0000}"/>
    <cellStyle name="Comma 3 2 5 2 2" xfId="6378" xr:uid="{00000000-0005-0000-0000-0000D35D0000}"/>
    <cellStyle name="Comma 3 2 5 2 2 2" xfId="8226" xr:uid="{00000000-0005-0000-0000-0000D45D0000}"/>
    <cellStyle name="Comma 3 2 5 2 2 2 2" xfId="12549" xr:uid="{00000000-0005-0000-0000-0000D55D0000}"/>
    <cellStyle name="Comma 3 2 5 2 2 2 2 2" xfId="32019" xr:uid="{00000000-0005-0000-0000-0000D65D0000}"/>
    <cellStyle name="Comma 3 2 5 2 2 2 3" xfId="27707" xr:uid="{00000000-0005-0000-0000-0000D75D0000}"/>
    <cellStyle name="Comma 3 2 5 2 2 3" xfId="10794" xr:uid="{00000000-0005-0000-0000-0000D85D0000}"/>
    <cellStyle name="Comma 3 2 5 2 2 3 2" xfId="30264" xr:uid="{00000000-0005-0000-0000-0000D95D0000}"/>
    <cellStyle name="Comma 3 2 5 2 2 4" xfId="25863" xr:uid="{00000000-0005-0000-0000-0000DA5D0000}"/>
    <cellStyle name="Comma 3 2 5 2 3" xfId="8225" xr:uid="{00000000-0005-0000-0000-0000DB5D0000}"/>
    <cellStyle name="Comma 3 2 5 2 3 2" xfId="12548" xr:uid="{00000000-0005-0000-0000-0000DC5D0000}"/>
    <cellStyle name="Comma 3 2 5 2 3 2 2" xfId="32018" xr:uid="{00000000-0005-0000-0000-0000DD5D0000}"/>
    <cellStyle name="Comma 3 2 5 2 3 3" xfId="27706" xr:uid="{00000000-0005-0000-0000-0000DE5D0000}"/>
    <cellStyle name="Comma 3 2 5 2 4" xfId="9733" xr:uid="{00000000-0005-0000-0000-0000DF5D0000}"/>
    <cellStyle name="Comma 3 2 5 2 4 2" xfId="29203" xr:uid="{00000000-0005-0000-0000-0000E05D0000}"/>
    <cellStyle name="Comma 3 2 5 2 5" xfId="24735" xr:uid="{00000000-0005-0000-0000-0000E15D0000}"/>
    <cellStyle name="Comma 3 2 5 3" xfId="5840" xr:uid="{00000000-0005-0000-0000-0000E25D0000}"/>
    <cellStyle name="Comma 3 2 5 3 2" xfId="8227" xr:uid="{00000000-0005-0000-0000-0000E35D0000}"/>
    <cellStyle name="Comma 3 2 5 3 2 2" xfId="12550" xr:uid="{00000000-0005-0000-0000-0000E45D0000}"/>
    <cellStyle name="Comma 3 2 5 3 2 2 2" xfId="32020" xr:uid="{00000000-0005-0000-0000-0000E55D0000}"/>
    <cellStyle name="Comma 3 2 5 3 2 3" xfId="27708" xr:uid="{00000000-0005-0000-0000-0000E65D0000}"/>
    <cellStyle name="Comma 3 2 5 3 3" xfId="10263" xr:uid="{00000000-0005-0000-0000-0000E75D0000}"/>
    <cellStyle name="Comma 3 2 5 3 3 2" xfId="29733" xr:uid="{00000000-0005-0000-0000-0000E85D0000}"/>
    <cellStyle name="Comma 3 2 5 3 4" xfId="25325" xr:uid="{00000000-0005-0000-0000-0000E95D0000}"/>
    <cellStyle name="Comma 3 2 5 4" xfId="8224" xr:uid="{00000000-0005-0000-0000-0000EA5D0000}"/>
    <cellStyle name="Comma 3 2 5 4 2" xfId="12547" xr:uid="{00000000-0005-0000-0000-0000EB5D0000}"/>
    <cellStyle name="Comma 3 2 5 4 2 2" xfId="32017" xr:uid="{00000000-0005-0000-0000-0000EC5D0000}"/>
    <cellStyle name="Comma 3 2 5 4 3" xfId="27705" xr:uid="{00000000-0005-0000-0000-0000ED5D0000}"/>
    <cellStyle name="Comma 3 2 5 5" xfId="9203" xr:uid="{00000000-0005-0000-0000-0000EE5D0000}"/>
    <cellStyle name="Comma 3 2 5 5 2" xfId="28673" xr:uid="{00000000-0005-0000-0000-0000EF5D0000}"/>
    <cellStyle name="Comma 3 2 5 6" xfId="24114" xr:uid="{00000000-0005-0000-0000-0000F05D0000}"/>
    <cellStyle name="Comma 3 2 6" xfId="4948" xr:uid="{00000000-0005-0000-0000-0000F15D0000}"/>
    <cellStyle name="Comma 3 2 6 2" xfId="6110" xr:uid="{00000000-0005-0000-0000-0000F25D0000}"/>
    <cellStyle name="Comma 3 2 6 2 2" xfId="8229" xr:uid="{00000000-0005-0000-0000-0000F35D0000}"/>
    <cellStyle name="Comma 3 2 6 2 2 2" xfId="12552" xr:uid="{00000000-0005-0000-0000-0000F45D0000}"/>
    <cellStyle name="Comma 3 2 6 2 2 2 2" xfId="32022" xr:uid="{00000000-0005-0000-0000-0000F55D0000}"/>
    <cellStyle name="Comma 3 2 6 2 2 3" xfId="27710" xr:uid="{00000000-0005-0000-0000-0000F65D0000}"/>
    <cellStyle name="Comma 3 2 6 2 3" xfId="10528" xr:uid="{00000000-0005-0000-0000-0000F75D0000}"/>
    <cellStyle name="Comma 3 2 6 2 3 2" xfId="29998" xr:uid="{00000000-0005-0000-0000-0000F85D0000}"/>
    <cellStyle name="Comma 3 2 6 2 4" xfId="25595" xr:uid="{00000000-0005-0000-0000-0000F95D0000}"/>
    <cellStyle name="Comma 3 2 6 3" xfId="8228" xr:uid="{00000000-0005-0000-0000-0000FA5D0000}"/>
    <cellStyle name="Comma 3 2 6 3 2" xfId="12551" xr:uid="{00000000-0005-0000-0000-0000FB5D0000}"/>
    <cellStyle name="Comma 3 2 6 3 2 2" xfId="32021" xr:uid="{00000000-0005-0000-0000-0000FC5D0000}"/>
    <cellStyle name="Comma 3 2 6 3 3" xfId="27709" xr:uid="{00000000-0005-0000-0000-0000FD5D0000}"/>
    <cellStyle name="Comma 3 2 6 4" xfId="9468" xr:uid="{00000000-0005-0000-0000-0000FE5D0000}"/>
    <cellStyle name="Comma 3 2 6 4 2" xfId="28938" xr:uid="{00000000-0005-0000-0000-0000FF5D0000}"/>
    <cellStyle name="Comma 3 2 6 5" xfId="24442" xr:uid="{00000000-0005-0000-0000-0000005E0000}"/>
    <cellStyle name="Comma 3 2 7" xfId="5552" xr:uid="{00000000-0005-0000-0000-0000015E0000}"/>
    <cellStyle name="Comma 3 2 7 2" xfId="8230" xr:uid="{00000000-0005-0000-0000-0000025E0000}"/>
    <cellStyle name="Comma 3 2 7 2 2" xfId="12553" xr:uid="{00000000-0005-0000-0000-0000035E0000}"/>
    <cellStyle name="Comma 3 2 7 2 2 2" xfId="32023" xr:uid="{00000000-0005-0000-0000-0000045E0000}"/>
    <cellStyle name="Comma 3 2 7 2 3" xfId="27711" xr:uid="{00000000-0005-0000-0000-0000055E0000}"/>
    <cellStyle name="Comma 3 2 7 3" xfId="9998" xr:uid="{00000000-0005-0000-0000-0000065E0000}"/>
    <cellStyle name="Comma 3 2 7 3 2" xfId="29468" xr:uid="{00000000-0005-0000-0000-0000075E0000}"/>
    <cellStyle name="Comma 3 2 7 4" xfId="25040" xr:uid="{00000000-0005-0000-0000-0000085E0000}"/>
    <cellStyle name="Comma 3 2 8" xfId="8183" xr:uid="{00000000-0005-0000-0000-0000095E0000}"/>
    <cellStyle name="Comma 3 2 8 2" xfId="12506" xr:uid="{00000000-0005-0000-0000-00000A5E0000}"/>
    <cellStyle name="Comma 3 2 8 2 2" xfId="31976" xr:uid="{00000000-0005-0000-0000-00000B5E0000}"/>
    <cellStyle name="Comma 3 2 8 3" xfId="27664" xr:uid="{00000000-0005-0000-0000-00000C5E0000}"/>
    <cellStyle name="Comma 3 2 9" xfId="8934" xr:uid="{00000000-0005-0000-0000-00000D5E0000}"/>
    <cellStyle name="Comma 3 2 9 2" xfId="28408" xr:uid="{00000000-0005-0000-0000-00000E5E0000}"/>
    <cellStyle name="Comma 3 3" xfId="2754" xr:uid="{00000000-0005-0000-0000-00000F5E0000}"/>
    <cellStyle name="Comma 3 3 10" xfId="23580" xr:uid="{00000000-0005-0000-0000-0000105E0000}"/>
    <cellStyle name="Comma 3 3 2" xfId="2888" xr:uid="{00000000-0005-0000-0000-0000115E0000}"/>
    <cellStyle name="Comma 3 3 2 2" xfId="3082" xr:uid="{00000000-0005-0000-0000-0000125E0000}"/>
    <cellStyle name="Comma 3 3 2 2 2" xfId="4709" xr:uid="{00000000-0005-0000-0000-0000135E0000}"/>
    <cellStyle name="Comma 3 3 2 2 2 2" xfId="5343" xr:uid="{00000000-0005-0000-0000-0000145E0000}"/>
    <cellStyle name="Comma 3 3 2 2 2 2 2" xfId="6477" xr:uid="{00000000-0005-0000-0000-0000155E0000}"/>
    <cellStyle name="Comma 3 3 2 2 2 2 2 2" xfId="8236" xr:uid="{00000000-0005-0000-0000-0000165E0000}"/>
    <cellStyle name="Comma 3 3 2 2 2 2 2 2 2" xfId="12559" xr:uid="{00000000-0005-0000-0000-0000175E0000}"/>
    <cellStyle name="Comma 3 3 2 2 2 2 2 2 2 2" xfId="32029" xr:uid="{00000000-0005-0000-0000-0000185E0000}"/>
    <cellStyle name="Comma 3 3 2 2 2 2 2 2 3" xfId="27717" xr:uid="{00000000-0005-0000-0000-0000195E0000}"/>
    <cellStyle name="Comma 3 3 2 2 2 2 2 3" xfId="10893" xr:uid="{00000000-0005-0000-0000-00001A5E0000}"/>
    <cellStyle name="Comma 3 3 2 2 2 2 2 3 2" xfId="30363" xr:uid="{00000000-0005-0000-0000-00001B5E0000}"/>
    <cellStyle name="Comma 3 3 2 2 2 2 2 4" xfId="25962" xr:uid="{00000000-0005-0000-0000-00001C5E0000}"/>
    <cellStyle name="Comma 3 3 2 2 2 2 3" xfId="8235" xr:uid="{00000000-0005-0000-0000-00001D5E0000}"/>
    <cellStyle name="Comma 3 3 2 2 2 2 3 2" xfId="12558" xr:uid="{00000000-0005-0000-0000-00001E5E0000}"/>
    <cellStyle name="Comma 3 3 2 2 2 2 3 2 2" xfId="32028" xr:uid="{00000000-0005-0000-0000-00001F5E0000}"/>
    <cellStyle name="Comma 3 3 2 2 2 2 3 3" xfId="27716" xr:uid="{00000000-0005-0000-0000-0000205E0000}"/>
    <cellStyle name="Comma 3 3 2 2 2 2 4" xfId="9832" xr:uid="{00000000-0005-0000-0000-0000215E0000}"/>
    <cellStyle name="Comma 3 3 2 2 2 2 4 2" xfId="29302" xr:uid="{00000000-0005-0000-0000-0000225E0000}"/>
    <cellStyle name="Comma 3 3 2 2 2 2 5" xfId="24834" xr:uid="{00000000-0005-0000-0000-0000235E0000}"/>
    <cellStyle name="Comma 3 3 2 2 2 3" xfId="5940" xr:uid="{00000000-0005-0000-0000-0000245E0000}"/>
    <cellStyle name="Comma 3 3 2 2 2 3 2" xfId="8237" xr:uid="{00000000-0005-0000-0000-0000255E0000}"/>
    <cellStyle name="Comma 3 3 2 2 2 3 2 2" xfId="12560" xr:uid="{00000000-0005-0000-0000-0000265E0000}"/>
    <cellStyle name="Comma 3 3 2 2 2 3 2 2 2" xfId="32030" xr:uid="{00000000-0005-0000-0000-0000275E0000}"/>
    <cellStyle name="Comma 3 3 2 2 2 3 2 3" xfId="27718" xr:uid="{00000000-0005-0000-0000-0000285E0000}"/>
    <cellStyle name="Comma 3 3 2 2 2 3 3" xfId="10362" xr:uid="{00000000-0005-0000-0000-0000295E0000}"/>
    <cellStyle name="Comma 3 3 2 2 2 3 3 2" xfId="29832" xr:uid="{00000000-0005-0000-0000-00002A5E0000}"/>
    <cellStyle name="Comma 3 3 2 2 2 3 4" xfId="25425" xr:uid="{00000000-0005-0000-0000-00002B5E0000}"/>
    <cellStyle name="Comma 3 3 2 2 2 4" xfId="8234" xr:uid="{00000000-0005-0000-0000-00002C5E0000}"/>
    <cellStyle name="Comma 3 3 2 2 2 4 2" xfId="12557" xr:uid="{00000000-0005-0000-0000-00002D5E0000}"/>
    <cellStyle name="Comma 3 3 2 2 2 4 2 2" xfId="32027" xr:uid="{00000000-0005-0000-0000-00002E5E0000}"/>
    <cellStyle name="Comma 3 3 2 2 2 4 3" xfId="27715" xr:uid="{00000000-0005-0000-0000-00002F5E0000}"/>
    <cellStyle name="Comma 3 3 2 2 2 5" xfId="9302" xr:uid="{00000000-0005-0000-0000-0000305E0000}"/>
    <cellStyle name="Comma 3 3 2 2 2 5 2" xfId="28772" xr:uid="{00000000-0005-0000-0000-0000315E0000}"/>
    <cellStyle name="Comma 3 3 2 2 2 6" xfId="24220" xr:uid="{00000000-0005-0000-0000-0000325E0000}"/>
    <cellStyle name="Comma 3 3 2 2 3" xfId="5047" xr:uid="{00000000-0005-0000-0000-0000335E0000}"/>
    <cellStyle name="Comma 3 3 2 2 3 2" xfId="6209" xr:uid="{00000000-0005-0000-0000-0000345E0000}"/>
    <cellStyle name="Comma 3 3 2 2 3 2 2" xfId="8239" xr:uid="{00000000-0005-0000-0000-0000355E0000}"/>
    <cellStyle name="Comma 3 3 2 2 3 2 2 2" xfId="12562" xr:uid="{00000000-0005-0000-0000-0000365E0000}"/>
    <cellStyle name="Comma 3 3 2 2 3 2 2 2 2" xfId="32032" xr:uid="{00000000-0005-0000-0000-0000375E0000}"/>
    <cellStyle name="Comma 3 3 2 2 3 2 2 3" xfId="27720" xr:uid="{00000000-0005-0000-0000-0000385E0000}"/>
    <cellStyle name="Comma 3 3 2 2 3 2 3" xfId="10627" xr:uid="{00000000-0005-0000-0000-0000395E0000}"/>
    <cellStyle name="Comma 3 3 2 2 3 2 3 2" xfId="30097" xr:uid="{00000000-0005-0000-0000-00003A5E0000}"/>
    <cellStyle name="Comma 3 3 2 2 3 2 4" xfId="25694" xr:uid="{00000000-0005-0000-0000-00003B5E0000}"/>
    <cellStyle name="Comma 3 3 2 2 3 3" xfId="8238" xr:uid="{00000000-0005-0000-0000-00003C5E0000}"/>
    <cellStyle name="Comma 3 3 2 2 3 3 2" xfId="12561" xr:uid="{00000000-0005-0000-0000-00003D5E0000}"/>
    <cellStyle name="Comma 3 3 2 2 3 3 2 2" xfId="32031" xr:uid="{00000000-0005-0000-0000-00003E5E0000}"/>
    <cellStyle name="Comma 3 3 2 2 3 3 3" xfId="27719" xr:uid="{00000000-0005-0000-0000-00003F5E0000}"/>
    <cellStyle name="Comma 3 3 2 2 3 4" xfId="9567" xr:uid="{00000000-0005-0000-0000-0000405E0000}"/>
    <cellStyle name="Comma 3 3 2 2 3 4 2" xfId="29037" xr:uid="{00000000-0005-0000-0000-0000415E0000}"/>
    <cellStyle name="Comma 3 3 2 2 3 5" xfId="24541" xr:uid="{00000000-0005-0000-0000-0000425E0000}"/>
    <cellStyle name="Comma 3 3 2 2 4" xfId="5652" xr:uid="{00000000-0005-0000-0000-0000435E0000}"/>
    <cellStyle name="Comma 3 3 2 2 4 2" xfId="8240" xr:uid="{00000000-0005-0000-0000-0000445E0000}"/>
    <cellStyle name="Comma 3 3 2 2 4 2 2" xfId="12563" xr:uid="{00000000-0005-0000-0000-0000455E0000}"/>
    <cellStyle name="Comma 3 3 2 2 4 2 2 2" xfId="32033" xr:uid="{00000000-0005-0000-0000-0000465E0000}"/>
    <cellStyle name="Comma 3 3 2 2 4 2 3" xfId="27721" xr:uid="{00000000-0005-0000-0000-0000475E0000}"/>
    <cellStyle name="Comma 3 3 2 2 4 3" xfId="10097" xr:uid="{00000000-0005-0000-0000-0000485E0000}"/>
    <cellStyle name="Comma 3 3 2 2 4 3 2" xfId="29567" xr:uid="{00000000-0005-0000-0000-0000495E0000}"/>
    <cellStyle name="Comma 3 3 2 2 4 4" xfId="25139" xr:uid="{00000000-0005-0000-0000-00004A5E0000}"/>
    <cellStyle name="Comma 3 3 2 2 5" xfId="8233" xr:uid="{00000000-0005-0000-0000-00004B5E0000}"/>
    <cellStyle name="Comma 3 3 2 2 5 2" xfId="12556" xr:uid="{00000000-0005-0000-0000-00004C5E0000}"/>
    <cellStyle name="Comma 3 3 2 2 5 2 2" xfId="32026" xr:uid="{00000000-0005-0000-0000-00004D5E0000}"/>
    <cellStyle name="Comma 3 3 2 2 5 3" xfId="27714" xr:uid="{00000000-0005-0000-0000-00004E5E0000}"/>
    <cellStyle name="Comma 3 3 2 2 6" xfId="9033" xr:uid="{00000000-0005-0000-0000-00004F5E0000}"/>
    <cellStyle name="Comma 3 3 2 2 6 2" xfId="28507" xr:uid="{00000000-0005-0000-0000-0000505E0000}"/>
    <cellStyle name="Comma 3 3 2 2 7" xfId="23891" xr:uid="{00000000-0005-0000-0000-0000515E0000}"/>
    <cellStyle name="Comma 3 3 2 3" xfId="4254" xr:uid="{00000000-0005-0000-0000-0000525E0000}"/>
    <cellStyle name="Comma 3 3 2 3 2" xfId="4829" xr:uid="{00000000-0005-0000-0000-0000535E0000}"/>
    <cellStyle name="Comma 3 3 2 3 2 2" xfId="5454" xr:uid="{00000000-0005-0000-0000-0000545E0000}"/>
    <cellStyle name="Comma 3 3 2 3 2 2 2" xfId="6582" xr:uid="{00000000-0005-0000-0000-0000555E0000}"/>
    <cellStyle name="Comma 3 3 2 3 2 2 2 2" xfId="8244" xr:uid="{00000000-0005-0000-0000-0000565E0000}"/>
    <cellStyle name="Comma 3 3 2 3 2 2 2 2 2" xfId="12567" xr:uid="{00000000-0005-0000-0000-0000575E0000}"/>
    <cellStyle name="Comma 3 3 2 3 2 2 2 2 2 2" xfId="32037" xr:uid="{00000000-0005-0000-0000-0000585E0000}"/>
    <cellStyle name="Comma 3 3 2 3 2 2 2 2 3" xfId="27725" xr:uid="{00000000-0005-0000-0000-0000595E0000}"/>
    <cellStyle name="Comma 3 3 2 3 2 2 2 3" xfId="10998" xr:uid="{00000000-0005-0000-0000-00005A5E0000}"/>
    <cellStyle name="Comma 3 3 2 3 2 2 2 3 2" xfId="30468" xr:uid="{00000000-0005-0000-0000-00005B5E0000}"/>
    <cellStyle name="Comma 3 3 2 3 2 2 2 4" xfId="26067" xr:uid="{00000000-0005-0000-0000-00005C5E0000}"/>
    <cellStyle name="Comma 3 3 2 3 2 2 3" xfId="8243" xr:uid="{00000000-0005-0000-0000-00005D5E0000}"/>
    <cellStyle name="Comma 3 3 2 3 2 2 3 2" xfId="12566" xr:uid="{00000000-0005-0000-0000-00005E5E0000}"/>
    <cellStyle name="Comma 3 3 2 3 2 2 3 2 2" xfId="32036" xr:uid="{00000000-0005-0000-0000-00005F5E0000}"/>
    <cellStyle name="Comma 3 3 2 3 2 2 3 3" xfId="27724" xr:uid="{00000000-0005-0000-0000-0000605E0000}"/>
    <cellStyle name="Comma 3 3 2 3 2 2 4" xfId="9937" xr:uid="{00000000-0005-0000-0000-0000615E0000}"/>
    <cellStyle name="Comma 3 3 2 3 2 2 4 2" xfId="29407" xr:uid="{00000000-0005-0000-0000-0000625E0000}"/>
    <cellStyle name="Comma 3 3 2 3 2 2 5" xfId="24945" xr:uid="{00000000-0005-0000-0000-0000635E0000}"/>
    <cellStyle name="Comma 3 3 2 3 2 3" xfId="6047" xr:uid="{00000000-0005-0000-0000-0000645E0000}"/>
    <cellStyle name="Comma 3 3 2 3 2 3 2" xfId="8245" xr:uid="{00000000-0005-0000-0000-0000655E0000}"/>
    <cellStyle name="Comma 3 3 2 3 2 3 2 2" xfId="12568" xr:uid="{00000000-0005-0000-0000-0000665E0000}"/>
    <cellStyle name="Comma 3 3 2 3 2 3 2 2 2" xfId="32038" xr:uid="{00000000-0005-0000-0000-0000675E0000}"/>
    <cellStyle name="Comma 3 3 2 3 2 3 2 3" xfId="27726" xr:uid="{00000000-0005-0000-0000-0000685E0000}"/>
    <cellStyle name="Comma 3 3 2 3 2 3 3" xfId="10467" xr:uid="{00000000-0005-0000-0000-0000695E0000}"/>
    <cellStyle name="Comma 3 3 2 3 2 3 3 2" xfId="29937" xr:uid="{00000000-0005-0000-0000-00006A5E0000}"/>
    <cellStyle name="Comma 3 3 2 3 2 3 4" xfId="25532" xr:uid="{00000000-0005-0000-0000-00006B5E0000}"/>
    <cellStyle name="Comma 3 3 2 3 2 4" xfId="8242" xr:uid="{00000000-0005-0000-0000-00006C5E0000}"/>
    <cellStyle name="Comma 3 3 2 3 2 4 2" xfId="12565" xr:uid="{00000000-0005-0000-0000-00006D5E0000}"/>
    <cellStyle name="Comma 3 3 2 3 2 4 2 2" xfId="32035" xr:uid="{00000000-0005-0000-0000-00006E5E0000}"/>
    <cellStyle name="Comma 3 3 2 3 2 4 3" xfId="27723" xr:uid="{00000000-0005-0000-0000-00006F5E0000}"/>
    <cellStyle name="Comma 3 3 2 3 2 5" xfId="9407" xr:uid="{00000000-0005-0000-0000-0000705E0000}"/>
    <cellStyle name="Comma 3 3 2 3 2 5 2" xfId="28877" xr:uid="{00000000-0005-0000-0000-0000715E0000}"/>
    <cellStyle name="Comma 3 3 2 3 2 6" xfId="24331" xr:uid="{00000000-0005-0000-0000-0000725E0000}"/>
    <cellStyle name="Comma 3 3 2 3 3" xfId="5159" xr:uid="{00000000-0005-0000-0000-0000735E0000}"/>
    <cellStyle name="Comma 3 3 2 3 3 2" xfId="6315" xr:uid="{00000000-0005-0000-0000-0000745E0000}"/>
    <cellStyle name="Comma 3 3 2 3 3 2 2" xfId="8247" xr:uid="{00000000-0005-0000-0000-0000755E0000}"/>
    <cellStyle name="Comma 3 3 2 3 3 2 2 2" xfId="12570" xr:uid="{00000000-0005-0000-0000-0000765E0000}"/>
    <cellStyle name="Comma 3 3 2 3 3 2 2 2 2" xfId="32040" xr:uid="{00000000-0005-0000-0000-0000775E0000}"/>
    <cellStyle name="Comma 3 3 2 3 3 2 2 3" xfId="27728" xr:uid="{00000000-0005-0000-0000-0000785E0000}"/>
    <cellStyle name="Comma 3 3 2 3 3 2 3" xfId="10732" xr:uid="{00000000-0005-0000-0000-0000795E0000}"/>
    <cellStyle name="Comma 3 3 2 3 3 2 3 2" xfId="30202" xr:uid="{00000000-0005-0000-0000-00007A5E0000}"/>
    <cellStyle name="Comma 3 3 2 3 3 2 4" xfId="25800" xr:uid="{00000000-0005-0000-0000-00007B5E0000}"/>
    <cellStyle name="Comma 3 3 2 3 3 3" xfId="8246" xr:uid="{00000000-0005-0000-0000-00007C5E0000}"/>
    <cellStyle name="Comma 3 3 2 3 3 3 2" xfId="12569" xr:uid="{00000000-0005-0000-0000-00007D5E0000}"/>
    <cellStyle name="Comma 3 3 2 3 3 3 2 2" xfId="32039" xr:uid="{00000000-0005-0000-0000-00007E5E0000}"/>
    <cellStyle name="Comma 3 3 2 3 3 3 3" xfId="27727" xr:uid="{00000000-0005-0000-0000-00007F5E0000}"/>
    <cellStyle name="Comma 3 3 2 3 3 4" xfId="9672" xr:uid="{00000000-0005-0000-0000-0000805E0000}"/>
    <cellStyle name="Comma 3 3 2 3 3 4 2" xfId="29142" xr:uid="{00000000-0005-0000-0000-0000815E0000}"/>
    <cellStyle name="Comma 3 3 2 3 3 5" xfId="24650" xr:uid="{00000000-0005-0000-0000-0000825E0000}"/>
    <cellStyle name="Comma 3 3 2 3 4" xfId="5768" xr:uid="{00000000-0005-0000-0000-0000835E0000}"/>
    <cellStyle name="Comma 3 3 2 3 4 2" xfId="8248" xr:uid="{00000000-0005-0000-0000-0000845E0000}"/>
    <cellStyle name="Comma 3 3 2 3 4 2 2" xfId="12571" xr:uid="{00000000-0005-0000-0000-0000855E0000}"/>
    <cellStyle name="Comma 3 3 2 3 4 2 2 2" xfId="32041" xr:uid="{00000000-0005-0000-0000-0000865E0000}"/>
    <cellStyle name="Comma 3 3 2 3 4 2 3" xfId="27729" xr:uid="{00000000-0005-0000-0000-0000875E0000}"/>
    <cellStyle name="Comma 3 3 2 3 4 3" xfId="10202" xr:uid="{00000000-0005-0000-0000-0000885E0000}"/>
    <cellStyle name="Comma 3 3 2 3 4 3 2" xfId="29672" xr:uid="{00000000-0005-0000-0000-0000895E0000}"/>
    <cellStyle name="Comma 3 3 2 3 4 4" xfId="25253" xr:uid="{00000000-0005-0000-0000-00008A5E0000}"/>
    <cellStyle name="Comma 3 3 2 3 5" xfId="8241" xr:uid="{00000000-0005-0000-0000-00008B5E0000}"/>
    <cellStyle name="Comma 3 3 2 3 5 2" xfId="12564" xr:uid="{00000000-0005-0000-0000-00008C5E0000}"/>
    <cellStyle name="Comma 3 3 2 3 5 2 2" xfId="32034" xr:uid="{00000000-0005-0000-0000-00008D5E0000}"/>
    <cellStyle name="Comma 3 3 2 3 5 3" xfId="27722" xr:uid="{00000000-0005-0000-0000-00008E5E0000}"/>
    <cellStyle name="Comma 3 3 2 3 6" xfId="9141" xr:uid="{00000000-0005-0000-0000-00008F5E0000}"/>
    <cellStyle name="Comma 3 3 2 3 6 2" xfId="28612" xr:uid="{00000000-0005-0000-0000-0000905E0000}"/>
    <cellStyle name="Comma 3 3 2 3 7" xfId="24030" xr:uid="{00000000-0005-0000-0000-0000915E0000}"/>
    <cellStyle name="Comma 3 3 2 4" xfId="4637" xr:uid="{00000000-0005-0000-0000-0000925E0000}"/>
    <cellStyle name="Comma 3 3 2 4 2" xfId="5277" xr:uid="{00000000-0005-0000-0000-0000935E0000}"/>
    <cellStyle name="Comma 3 3 2 4 2 2" xfId="6411" xr:uid="{00000000-0005-0000-0000-0000945E0000}"/>
    <cellStyle name="Comma 3 3 2 4 2 2 2" xfId="8251" xr:uid="{00000000-0005-0000-0000-0000955E0000}"/>
    <cellStyle name="Comma 3 3 2 4 2 2 2 2" xfId="12574" xr:uid="{00000000-0005-0000-0000-0000965E0000}"/>
    <cellStyle name="Comma 3 3 2 4 2 2 2 2 2" xfId="32044" xr:uid="{00000000-0005-0000-0000-0000975E0000}"/>
    <cellStyle name="Comma 3 3 2 4 2 2 2 3" xfId="27732" xr:uid="{00000000-0005-0000-0000-0000985E0000}"/>
    <cellStyle name="Comma 3 3 2 4 2 2 3" xfId="10827" xr:uid="{00000000-0005-0000-0000-0000995E0000}"/>
    <cellStyle name="Comma 3 3 2 4 2 2 3 2" xfId="30297" xr:uid="{00000000-0005-0000-0000-00009A5E0000}"/>
    <cellStyle name="Comma 3 3 2 4 2 2 4" xfId="25896" xr:uid="{00000000-0005-0000-0000-00009B5E0000}"/>
    <cellStyle name="Comma 3 3 2 4 2 3" xfId="8250" xr:uid="{00000000-0005-0000-0000-00009C5E0000}"/>
    <cellStyle name="Comma 3 3 2 4 2 3 2" xfId="12573" xr:uid="{00000000-0005-0000-0000-00009D5E0000}"/>
    <cellStyle name="Comma 3 3 2 4 2 3 2 2" xfId="32043" xr:uid="{00000000-0005-0000-0000-00009E5E0000}"/>
    <cellStyle name="Comma 3 3 2 4 2 3 3" xfId="27731" xr:uid="{00000000-0005-0000-0000-00009F5E0000}"/>
    <cellStyle name="Comma 3 3 2 4 2 4" xfId="9766" xr:uid="{00000000-0005-0000-0000-0000A05E0000}"/>
    <cellStyle name="Comma 3 3 2 4 2 4 2" xfId="29236" xr:uid="{00000000-0005-0000-0000-0000A15E0000}"/>
    <cellStyle name="Comma 3 3 2 4 2 5" xfId="24768" xr:uid="{00000000-0005-0000-0000-0000A25E0000}"/>
    <cellStyle name="Comma 3 3 2 4 3" xfId="5874" xr:uid="{00000000-0005-0000-0000-0000A35E0000}"/>
    <cellStyle name="Comma 3 3 2 4 3 2" xfId="8252" xr:uid="{00000000-0005-0000-0000-0000A45E0000}"/>
    <cellStyle name="Comma 3 3 2 4 3 2 2" xfId="12575" xr:uid="{00000000-0005-0000-0000-0000A55E0000}"/>
    <cellStyle name="Comma 3 3 2 4 3 2 2 2" xfId="32045" xr:uid="{00000000-0005-0000-0000-0000A65E0000}"/>
    <cellStyle name="Comma 3 3 2 4 3 2 3" xfId="27733" xr:uid="{00000000-0005-0000-0000-0000A75E0000}"/>
    <cellStyle name="Comma 3 3 2 4 3 3" xfId="10296" xr:uid="{00000000-0005-0000-0000-0000A85E0000}"/>
    <cellStyle name="Comma 3 3 2 4 3 3 2" xfId="29766" xr:uid="{00000000-0005-0000-0000-0000A95E0000}"/>
    <cellStyle name="Comma 3 3 2 4 3 4" xfId="25359" xr:uid="{00000000-0005-0000-0000-0000AA5E0000}"/>
    <cellStyle name="Comma 3 3 2 4 4" xfId="8249" xr:uid="{00000000-0005-0000-0000-0000AB5E0000}"/>
    <cellStyle name="Comma 3 3 2 4 4 2" xfId="12572" xr:uid="{00000000-0005-0000-0000-0000AC5E0000}"/>
    <cellStyle name="Comma 3 3 2 4 4 2 2" xfId="32042" xr:uid="{00000000-0005-0000-0000-0000AD5E0000}"/>
    <cellStyle name="Comma 3 3 2 4 4 3" xfId="27730" xr:uid="{00000000-0005-0000-0000-0000AE5E0000}"/>
    <cellStyle name="Comma 3 3 2 4 5" xfId="9236" xr:uid="{00000000-0005-0000-0000-0000AF5E0000}"/>
    <cellStyle name="Comma 3 3 2 4 5 2" xfId="28706" xr:uid="{00000000-0005-0000-0000-0000B05E0000}"/>
    <cellStyle name="Comma 3 3 2 4 6" xfId="24148" xr:uid="{00000000-0005-0000-0000-0000B15E0000}"/>
    <cellStyle name="Comma 3 3 2 5" xfId="4981" xr:uid="{00000000-0005-0000-0000-0000B25E0000}"/>
    <cellStyle name="Comma 3 3 2 5 2" xfId="6143" xr:uid="{00000000-0005-0000-0000-0000B35E0000}"/>
    <cellStyle name="Comma 3 3 2 5 2 2" xfId="8254" xr:uid="{00000000-0005-0000-0000-0000B45E0000}"/>
    <cellStyle name="Comma 3 3 2 5 2 2 2" xfId="12577" xr:uid="{00000000-0005-0000-0000-0000B55E0000}"/>
    <cellStyle name="Comma 3 3 2 5 2 2 2 2" xfId="32047" xr:uid="{00000000-0005-0000-0000-0000B65E0000}"/>
    <cellStyle name="Comma 3 3 2 5 2 2 3" xfId="27735" xr:uid="{00000000-0005-0000-0000-0000B75E0000}"/>
    <cellStyle name="Comma 3 3 2 5 2 3" xfId="10561" xr:uid="{00000000-0005-0000-0000-0000B85E0000}"/>
    <cellStyle name="Comma 3 3 2 5 2 3 2" xfId="30031" xr:uid="{00000000-0005-0000-0000-0000B95E0000}"/>
    <cellStyle name="Comma 3 3 2 5 2 4" xfId="25628" xr:uid="{00000000-0005-0000-0000-0000BA5E0000}"/>
    <cellStyle name="Comma 3 3 2 5 3" xfId="8253" xr:uid="{00000000-0005-0000-0000-0000BB5E0000}"/>
    <cellStyle name="Comma 3 3 2 5 3 2" xfId="12576" xr:uid="{00000000-0005-0000-0000-0000BC5E0000}"/>
    <cellStyle name="Comma 3 3 2 5 3 2 2" xfId="32046" xr:uid="{00000000-0005-0000-0000-0000BD5E0000}"/>
    <cellStyle name="Comma 3 3 2 5 3 3" xfId="27734" xr:uid="{00000000-0005-0000-0000-0000BE5E0000}"/>
    <cellStyle name="Comma 3 3 2 5 4" xfId="9501" xr:uid="{00000000-0005-0000-0000-0000BF5E0000}"/>
    <cellStyle name="Comma 3 3 2 5 4 2" xfId="28971" xr:uid="{00000000-0005-0000-0000-0000C05E0000}"/>
    <cellStyle name="Comma 3 3 2 5 5" xfId="24475" xr:uid="{00000000-0005-0000-0000-0000C15E0000}"/>
    <cellStyle name="Comma 3 3 2 6" xfId="5586" xr:uid="{00000000-0005-0000-0000-0000C25E0000}"/>
    <cellStyle name="Comma 3 3 2 6 2" xfId="8255" xr:uid="{00000000-0005-0000-0000-0000C35E0000}"/>
    <cellStyle name="Comma 3 3 2 6 2 2" xfId="12578" xr:uid="{00000000-0005-0000-0000-0000C45E0000}"/>
    <cellStyle name="Comma 3 3 2 6 2 2 2" xfId="32048" xr:uid="{00000000-0005-0000-0000-0000C55E0000}"/>
    <cellStyle name="Comma 3 3 2 6 2 3" xfId="27736" xr:uid="{00000000-0005-0000-0000-0000C65E0000}"/>
    <cellStyle name="Comma 3 3 2 6 3" xfId="10031" xr:uid="{00000000-0005-0000-0000-0000C75E0000}"/>
    <cellStyle name="Comma 3 3 2 6 3 2" xfId="29501" xr:uid="{00000000-0005-0000-0000-0000C85E0000}"/>
    <cellStyle name="Comma 3 3 2 6 4" xfId="25073" xr:uid="{00000000-0005-0000-0000-0000C95E0000}"/>
    <cellStyle name="Comma 3 3 2 7" xfId="8232" xr:uid="{00000000-0005-0000-0000-0000CA5E0000}"/>
    <cellStyle name="Comma 3 3 2 7 2" xfId="12555" xr:uid="{00000000-0005-0000-0000-0000CB5E0000}"/>
    <cellStyle name="Comma 3 3 2 7 2 2" xfId="32025" xr:uid="{00000000-0005-0000-0000-0000CC5E0000}"/>
    <cellStyle name="Comma 3 3 2 7 3" xfId="27713" xr:uid="{00000000-0005-0000-0000-0000CD5E0000}"/>
    <cellStyle name="Comma 3 3 2 8" xfId="8967" xr:uid="{00000000-0005-0000-0000-0000CE5E0000}"/>
    <cellStyle name="Comma 3 3 2 8 2" xfId="28441" xr:uid="{00000000-0005-0000-0000-0000CF5E0000}"/>
    <cellStyle name="Comma 3 3 2 9" xfId="23699" xr:uid="{00000000-0005-0000-0000-0000D05E0000}"/>
    <cellStyle name="Comma 3 3 3" xfId="2964" xr:uid="{00000000-0005-0000-0000-0000D15E0000}"/>
    <cellStyle name="Comma 3 3 3 2" xfId="4671" xr:uid="{00000000-0005-0000-0000-0000D25E0000}"/>
    <cellStyle name="Comma 3 3 3 2 2" xfId="5311" xr:uid="{00000000-0005-0000-0000-0000D35E0000}"/>
    <cellStyle name="Comma 3 3 3 2 2 2" xfId="6445" xr:uid="{00000000-0005-0000-0000-0000D45E0000}"/>
    <cellStyle name="Comma 3 3 3 2 2 2 2" xfId="8259" xr:uid="{00000000-0005-0000-0000-0000D55E0000}"/>
    <cellStyle name="Comma 3 3 3 2 2 2 2 2" xfId="12582" xr:uid="{00000000-0005-0000-0000-0000D65E0000}"/>
    <cellStyle name="Comma 3 3 3 2 2 2 2 2 2" xfId="32052" xr:uid="{00000000-0005-0000-0000-0000D75E0000}"/>
    <cellStyle name="Comma 3 3 3 2 2 2 2 3" xfId="27740" xr:uid="{00000000-0005-0000-0000-0000D85E0000}"/>
    <cellStyle name="Comma 3 3 3 2 2 2 3" xfId="10861" xr:uid="{00000000-0005-0000-0000-0000D95E0000}"/>
    <cellStyle name="Comma 3 3 3 2 2 2 3 2" xfId="30331" xr:uid="{00000000-0005-0000-0000-0000DA5E0000}"/>
    <cellStyle name="Comma 3 3 3 2 2 2 4" xfId="25930" xr:uid="{00000000-0005-0000-0000-0000DB5E0000}"/>
    <cellStyle name="Comma 3 3 3 2 2 3" xfId="8258" xr:uid="{00000000-0005-0000-0000-0000DC5E0000}"/>
    <cellStyle name="Comma 3 3 3 2 2 3 2" xfId="12581" xr:uid="{00000000-0005-0000-0000-0000DD5E0000}"/>
    <cellStyle name="Comma 3 3 3 2 2 3 2 2" xfId="32051" xr:uid="{00000000-0005-0000-0000-0000DE5E0000}"/>
    <cellStyle name="Comma 3 3 3 2 2 3 3" xfId="27739" xr:uid="{00000000-0005-0000-0000-0000DF5E0000}"/>
    <cellStyle name="Comma 3 3 3 2 2 4" xfId="9800" xr:uid="{00000000-0005-0000-0000-0000E05E0000}"/>
    <cellStyle name="Comma 3 3 3 2 2 4 2" xfId="29270" xr:uid="{00000000-0005-0000-0000-0000E15E0000}"/>
    <cellStyle name="Comma 3 3 3 2 2 5" xfId="24802" xr:uid="{00000000-0005-0000-0000-0000E25E0000}"/>
    <cellStyle name="Comma 3 3 3 2 3" xfId="5908" xr:uid="{00000000-0005-0000-0000-0000E35E0000}"/>
    <cellStyle name="Comma 3 3 3 2 3 2" xfId="8260" xr:uid="{00000000-0005-0000-0000-0000E45E0000}"/>
    <cellStyle name="Comma 3 3 3 2 3 2 2" xfId="12583" xr:uid="{00000000-0005-0000-0000-0000E55E0000}"/>
    <cellStyle name="Comma 3 3 3 2 3 2 2 2" xfId="32053" xr:uid="{00000000-0005-0000-0000-0000E65E0000}"/>
    <cellStyle name="Comma 3 3 3 2 3 2 3" xfId="27741" xr:uid="{00000000-0005-0000-0000-0000E75E0000}"/>
    <cellStyle name="Comma 3 3 3 2 3 3" xfId="10330" xr:uid="{00000000-0005-0000-0000-0000E85E0000}"/>
    <cellStyle name="Comma 3 3 3 2 3 3 2" xfId="29800" xr:uid="{00000000-0005-0000-0000-0000E95E0000}"/>
    <cellStyle name="Comma 3 3 3 2 3 4" xfId="25393" xr:uid="{00000000-0005-0000-0000-0000EA5E0000}"/>
    <cellStyle name="Comma 3 3 3 2 4" xfId="8257" xr:uid="{00000000-0005-0000-0000-0000EB5E0000}"/>
    <cellStyle name="Comma 3 3 3 2 4 2" xfId="12580" xr:uid="{00000000-0005-0000-0000-0000EC5E0000}"/>
    <cellStyle name="Comma 3 3 3 2 4 2 2" xfId="32050" xr:uid="{00000000-0005-0000-0000-0000ED5E0000}"/>
    <cellStyle name="Comma 3 3 3 2 4 3" xfId="27738" xr:uid="{00000000-0005-0000-0000-0000EE5E0000}"/>
    <cellStyle name="Comma 3 3 3 2 5" xfId="9270" xr:uid="{00000000-0005-0000-0000-0000EF5E0000}"/>
    <cellStyle name="Comma 3 3 3 2 5 2" xfId="28740" xr:uid="{00000000-0005-0000-0000-0000F05E0000}"/>
    <cellStyle name="Comma 3 3 3 2 6" xfId="24182" xr:uid="{00000000-0005-0000-0000-0000F15E0000}"/>
    <cellStyle name="Comma 3 3 3 3" xfId="5015" xr:uid="{00000000-0005-0000-0000-0000F25E0000}"/>
    <cellStyle name="Comma 3 3 3 3 2" xfId="6177" xr:uid="{00000000-0005-0000-0000-0000F35E0000}"/>
    <cellStyle name="Comma 3 3 3 3 2 2" xfId="8262" xr:uid="{00000000-0005-0000-0000-0000F45E0000}"/>
    <cellStyle name="Comma 3 3 3 3 2 2 2" xfId="12585" xr:uid="{00000000-0005-0000-0000-0000F55E0000}"/>
    <cellStyle name="Comma 3 3 3 3 2 2 2 2" xfId="32055" xr:uid="{00000000-0005-0000-0000-0000F65E0000}"/>
    <cellStyle name="Comma 3 3 3 3 2 2 3" xfId="27743" xr:uid="{00000000-0005-0000-0000-0000F75E0000}"/>
    <cellStyle name="Comma 3 3 3 3 2 3" xfId="10595" xr:uid="{00000000-0005-0000-0000-0000F85E0000}"/>
    <cellStyle name="Comma 3 3 3 3 2 3 2" xfId="30065" xr:uid="{00000000-0005-0000-0000-0000F95E0000}"/>
    <cellStyle name="Comma 3 3 3 3 2 4" xfId="25662" xr:uid="{00000000-0005-0000-0000-0000FA5E0000}"/>
    <cellStyle name="Comma 3 3 3 3 3" xfId="8261" xr:uid="{00000000-0005-0000-0000-0000FB5E0000}"/>
    <cellStyle name="Comma 3 3 3 3 3 2" xfId="12584" xr:uid="{00000000-0005-0000-0000-0000FC5E0000}"/>
    <cellStyle name="Comma 3 3 3 3 3 2 2" xfId="32054" xr:uid="{00000000-0005-0000-0000-0000FD5E0000}"/>
    <cellStyle name="Comma 3 3 3 3 3 3" xfId="27742" xr:uid="{00000000-0005-0000-0000-0000FE5E0000}"/>
    <cellStyle name="Comma 3 3 3 3 4" xfId="9535" xr:uid="{00000000-0005-0000-0000-0000FF5E0000}"/>
    <cellStyle name="Comma 3 3 3 3 4 2" xfId="29005" xr:uid="{00000000-0005-0000-0000-0000005F0000}"/>
    <cellStyle name="Comma 3 3 3 3 5" xfId="24509" xr:uid="{00000000-0005-0000-0000-0000015F0000}"/>
    <cellStyle name="Comma 3 3 3 4" xfId="5620" xr:uid="{00000000-0005-0000-0000-0000025F0000}"/>
    <cellStyle name="Comma 3 3 3 4 2" xfId="8263" xr:uid="{00000000-0005-0000-0000-0000035F0000}"/>
    <cellStyle name="Comma 3 3 3 4 2 2" xfId="12586" xr:uid="{00000000-0005-0000-0000-0000045F0000}"/>
    <cellStyle name="Comma 3 3 3 4 2 2 2" xfId="32056" xr:uid="{00000000-0005-0000-0000-0000055F0000}"/>
    <cellStyle name="Comma 3 3 3 4 2 3" xfId="27744" xr:uid="{00000000-0005-0000-0000-0000065F0000}"/>
    <cellStyle name="Comma 3 3 3 4 3" xfId="10065" xr:uid="{00000000-0005-0000-0000-0000075F0000}"/>
    <cellStyle name="Comma 3 3 3 4 3 2" xfId="29535" xr:uid="{00000000-0005-0000-0000-0000085F0000}"/>
    <cellStyle name="Comma 3 3 3 4 4" xfId="25107" xr:uid="{00000000-0005-0000-0000-0000095F0000}"/>
    <cellStyle name="Comma 3 3 3 5" xfId="8256" xr:uid="{00000000-0005-0000-0000-00000A5F0000}"/>
    <cellStyle name="Comma 3 3 3 5 2" xfId="12579" xr:uid="{00000000-0005-0000-0000-00000B5F0000}"/>
    <cellStyle name="Comma 3 3 3 5 2 2" xfId="32049" xr:uid="{00000000-0005-0000-0000-00000C5F0000}"/>
    <cellStyle name="Comma 3 3 3 5 3" xfId="27737" xr:uid="{00000000-0005-0000-0000-00000D5F0000}"/>
    <cellStyle name="Comma 3 3 3 6" xfId="9001" xr:uid="{00000000-0005-0000-0000-00000E5F0000}"/>
    <cellStyle name="Comma 3 3 3 6 2" xfId="28475" xr:uid="{00000000-0005-0000-0000-00000F5F0000}"/>
    <cellStyle name="Comma 3 3 3 7" xfId="23773" xr:uid="{00000000-0005-0000-0000-0000105F0000}"/>
    <cellStyle name="Comma 3 3 4" xfId="4182" xr:uid="{00000000-0005-0000-0000-0000115F0000}"/>
    <cellStyle name="Comma 3 3 4 2" xfId="4774" xr:uid="{00000000-0005-0000-0000-0000125F0000}"/>
    <cellStyle name="Comma 3 3 4 2 2" xfId="5400" xr:uid="{00000000-0005-0000-0000-0000135F0000}"/>
    <cellStyle name="Comma 3 3 4 2 2 2" xfId="6528" xr:uid="{00000000-0005-0000-0000-0000145F0000}"/>
    <cellStyle name="Comma 3 3 4 2 2 2 2" xfId="8267" xr:uid="{00000000-0005-0000-0000-0000155F0000}"/>
    <cellStyle name="Comma 3 3 4 2 2 2 2 2" xfId="12590" xr:uid="{00000000-0005-0000-0000-0000165F0000}"/>
    <cellStyle name="Comma 3 3 4 2 2 2 2 2 2" xfId="32060" xr:uid="{00000000-0005-0000-0000-0000175F0000}"/>
    <cellStyle name="Comma 3 3 4 2 2 2 2 3" xfId="27748" xr:uid="{00000000-0005-0000-0000-0000185F0000}"/>
    <cellStyle name="Comma 3 3 4 2 2 2 3" xfId="10944" xr:uid="{00000000-0005-0000-0000-0000195F0000}"/>
    <cellStyle name="Comma 3 3 4 2 2 2 3 2" xfId="30414" xr:uid="{00000000-0005-0000-0000-00001A5F0000}"/>
    <cellStyle name="Comma 3 3 4 2 2 2 4" xfId="26013" xr:uid="{00000000-0005-0000-0000-00001B5F0000}"/>
    <cellStyle name="Comma 3 3 4 2 2 3" xfId="8266" xr:uid="{00000000-0005-0000-0000-00001C5F0000}"/>
    <cellStyle name="Comma 3 3 4 2 2 3 2" xfId="12589" xr:uid="{00000000-0005-0000-0000-00001D5F0000}"/>
    <cellStyle name="Comma 3 3 4 2 2 3 2 2" xfId="32059" xr:uid="{00000000-0005-0000-0000-00001E5F0000}"/>
    <cellStyle name="Comma 3 3 4 2 2 3 3" xfId="27747" xr:uid="{00000000-0005-0000-0000-00001F5F0000}"/>
    <cellStyle name="Comma 3 3 4 2 2 4" xfId="9883" xr:uid="{00000000-0005-0000-0000-0000205F0000}"/>
    <cellStyle name="Comma 3 3 4 2 2 4 2" xfId="29353" xr:uid="{00000000-0005-0000-0000-0000215F0000}"/>
    <cellStyle name="Comma 3 3 4 2 2 5" xfId="24891" xr:uid="{00000000-0005-0000-0000-0000225F0000}"/>
    <cellStyle name="Comma 3 3 4 2 3" xfId="5992" xr:uid="{00000000-0005-0000-0000-0000235F0000}"/>
    <cellStyle name="Comma 3 3 4 2 3 2" xfId="8268" xr:uid="{00000000-0005-0000-0000-0000245F0000}"/>
    <cellStyle name="Comma 3 3 4 2 3 2 2" xfId="12591" xr:uid="{00000000-0005-0000-0000-0000255F0000}"/>
    <cellStyle name="Comma 3 3 4 2 3 2 2 2" xfId="32061" xr:uid="{00000000-0005-0000-0000-0000265F0000}"/>
    <cellStyle name="Comma 3 3 4 2 3 2 3" xfId="27749" xr:uid="{00000000-0005-0000-0000-0000275F0000}"/>
    <cellStyle name="Comma 3 3 4 2 3 3" xfId="10413" xr:uid="{00000000-0005-0000-0000-0000285F0000}"/>
    <cellStyle name="Comma 3 3 4 2 3 3 2" xfId="29883" xr:uid="{00000000-0005-0000-0000-0000295F0000}"/>
    <cellStyle name="Comma 3 3 4 2 3 4" xfId="25477" xr:uid="{00000000-0005-0000-0000-00002A5F0000}"/>
    <cellStyle name="Comma 3 3 4 2 4" xfId="8265" xr:uid="{00000000-0005-0000-0000-00002B5F0000}"/>
    <cellStyle name="Comma 3 3 4 2 4 2" xfId="12588" xr:uid="{00000000-0005-0000-0000-00002C5F0000}"/>
    <cellStyle name="Comma 3 3 4 2 4 2 2" xfId="32058" xr:uid="{00000000-0005-0000-0000-00002D5F0000}"/>
    <cellStyle name="Comma 3 3 4 2 4 3" xfId="27746" xr:uid="{00000000-0005-0000-0000-00002E5F0000}"/>
    <cellStyle name="Comma 3 3 4 2 5" xfId="9353" xr:uid="{00000000-0005-0000-0000-00002F5F0000}"/>
    <cellStyle name="Comma 3 3 4 2 5 2" xfId="28823" xr:uid="{00000000-0005-0000-0000-0000305F0000}"/>
    <cellStyle name="Comma 3 3 4 2 6" xfId="24276" xr:uid="{00000000-0005-0000-0000-0000315F0000}"/>
    <cellStyle name="Comma 3 3 4 3" xfId="5105" xr:uid="{00000000-0005-0000-0000-0000325F0000}"/>
    <cellStyle name="Comma 3 3 4 3 2" xfId="6261" xr:uid="{00000000-0005-0000-0000-0000335F0000}"/>
    <cellStyle name="Comma 3 3 4 3 2 2" xfId="8270" xr:uid="{00000000-0005-0000-0000-0000345F0000}"/>
    <cellStyle name="Comma 3 3 4 3 2 2 2" xfId="12593" xr:uid="{00000000-0005-0000-0000-0000355F0000}"/>
    <cellStyle name="Comma 3 3 4 3 2 2 2 2" xfId="32063" xr:uid="{00000000-0005-0000-0000-0000365F0000}"/>
    <cellStyle name="Comma 3 3 4 3 2 2 3" xfId="27751" xr:uid="{00000000-0005-0000-0000-0000375F0000}"/>
    <cellStyle name="Comma 3 3 4 3 2 3" xfId="10678" xr:uid="{00000000-0005-0000-0000-0000385F0000}"/>
    <cellStyle name="Comma 3 3 4 3 2 3 2" xfId="30148" xr:uid="{00000000-0005-0000-0000-0000395F0000}"/>
    <cellStyle name="Comma 3 3 4 3 2 4" xfId="25746" xr:uid="{00000000-0005-0000-0000-00003A5F0000}"/>
    <cellStyle name="Comma 3 3 4 3 3" xfId="8269" xr:uid="{00000000-0005-0000-0000-00003B5F0000}"/>
    <cellStyle name="Comma 3 3 4 3 3 2" xfId="12592" xr:uid="{00000000-0005-0000-0000-00003C5F0000}"/>
    <cellStyle name="Comma 3 3 4 3 3 2 2" xfId="32062" xr:uid="{00000000-0005-0000-0000-00003D5F0000}"/>
    <cellStyle name="Comma 3 3 4 3 3 3" xfId="27750" xr:uid="{00000000-0005-0000-0000-00003E5F0000}"/>
    <cellStyle name="Comma 3 3 4 3 4" xfId="9618" xr:uid="{00000000-0005-0000-0000-00003F5F0000}"/>
    <cellStyle name="Comma 3 3 4 3 4 2" xfId="29088" xr:uid="{00000000-0005-0000-0000-0000405F0000}"/>
    <cellStyle name="Comma 3 3 4 3 5" xfId="24596" xr:uid="{00000000-0005-0000-0000-0000415F0000}"/>
    <cellStyle name="Comma 3 3 4 4" xfId="5714" xr:uid="{00000000-0005-0000-0000-0000425F0000}"/>
    <cellStyle name="Comma 3 3 4 4 2" xfId="8271" xr:uid="{00000000-0005-0000-0000-0000435F0000}"/>
    <cellStyle name="Comma 3 3 4 4 2 2" xfId="12594" xr:uid="{00000000-0005-0000-0000-0000445F0000}"/>
    <cellStyle name="Comma 3 3 4 4 2 2 2" xfId="32064" xr:uid="{00000000-0005-0000-0000-0000455F0000}"/>
    <cellStyle name="Comma 3 3 4 4 2 3" xfId="27752" xr:uid="{00000000-0005-0000-0000-0000465F0000}"/>
    <cellStyle name="Comma 3 3 4 4 3" xfId="10148" xr:uid="{00000000-0005-0000-0000-0000475F0000}"/>
    <cellStyle name="Comma 3 3 4 4 3 2" xfId="29618" xr:uid="{00000000-0005-0000-0000-0000485F0000}"/>
    <cellStyle name="Comma 3 3 4 4 4" xfId="25199" xr:uid="{00000000-0005-0000-0000-0000495F0000}"/>
    <cellStyle name="Comma 3 3 4 5" xfId="8264" xr:uid="{00000000-0005-0000-0000-00004A5F0000}"/>
    <cellStyle name="Comma 3 3 4 5 2" xfId="12587" xr:uid="{00000000-0005-0000-0000-00004B5F0000}"/>
    <cellStyle name="Comma 3 3 4 5 2 2" xfId="32057" xr:uid="{00000000-0005-0000-0000-00004C5F0000}"/>
    <cellStyle name="Comma 3 3 4 5 3" xfId="27745" xr:uid="{00000000-0005-0000-0000-00004D5F0000}"/>
    <cellStyle name="Comma 3 3 4 6" xfId="9087" xr:uid="{00000000-0005-0000-0000-00004E5F0000}"/>
    <cellStyle name="Comma 3 3 4 6 2" xfId="28558" xr:uid="{00000000-0005-0000-0000-00004F5F0000}"/>
    <cellStyle name="Comma 3 3 4 7" xfId="23974" xr:uid="{00000000-0005-0000-0000-0000505F0000}"/>
    <cellStyle name="Comma 3 3 5" xfId="4604" xr:uid="{00000000-0005-0000-0000-0000515F0000}"/>
    <cellStyle name="Comma 3 3 5 2" xfId="5245" xr:uid="{00000000-0005-0000-0000-0000525F0000}"/>
    <cellStyle name="Comma 3 3 5 2 2" xfId="6379" xr:uid="{00000000-0005-0000-0000-0000535F0000}"/>
    <cellStyle name="Comma 3 3 5 2 2 2" xfId="8274" xr:uid="{00000000-0005-0000-0000-0000545F0000}"/>
    <cellStyle name="Comma 3 3 5 2 2 2 2" xfId="12597" xr:uid="{00000000-0005-0000-0000-0000555F0000}"/>
    <cellStyle name="Comma 3 3 5 2 2 2 2 2" xfId="32067" xr:uid="{00000000-0005-0000-0000-0000565F0000}"/>
    <cellStyle name="Comma 3 3 5 2 2 2 3" xfId="27755" xr:uid="{00000000-0005-0000-0000-0000575F0000}"/>
    <cellStyle name="Comma 3 3 5 2 2 3" xfId="10795" xr:uid="{00000000-0005-0000-0000-0000585F0000}"/>
    <cellStyle name="Comma 3 3 5 2 2 3 2" xfId="30265" xr:uid="{00000000-0005-0000-0000-0000595F0000}"/>
    <cellStyle name="Comma 3 3 5 2 2 4" xfId="25864" xr:uid="{00000000-0005-0000-0000-00005A5F0000}"/>
    <cellStyle name="Comma 3 3 5 2 3" xfId="8273" xr:uid="{00000000-0005-0000-0000-00005B5F0000}"/>
    <cellStyle name="Comma 3 3 5 2 3 2" xfId="12596" xr:uid="{00000000-0005-0000-0000-00005C5F0000}"/>
    <cellStyle name="Comma 3 3 5 2 3 2 2" xfId="32066" xr:uid="{00000000-0005-0000-0000-00005D5F0000}"/>
    <cellStyle name="Comma 3 3 5 2 3 3" xfId="27754" xr:uid="{00000000-0005-0000-0000-00005E5F0000}"/>
    <cellStyle name="Comma 3 3 5 2 4" xfId="9734" xr:uid="{00000000-0005-0000-0000-00005F5F0000}"/>
    <cellStyle name="Comma 3 3 5 2 4 2" xfId="29204" xr:uid="{00000000-0005-0000-0000-0000605F0000}"/>
    <cellStyle name="Comma 3 3 5 2 5" xfId="24736" xr:uid="{00000000-0005-0000-0000-0000615F0000}"/>
    <cellStyle name="Comma 3 3 5 3" xfId="5841" xr:uid="{00000000-0005-0000-0000-0000625F0000}"/>
    <cellStyle name="Comma 3 3 5 3 2" xfId="8275" xr:uid="{00000000-0005-0000-0000-0000635F0000}"/>
    <cellStyle name="Comma 3 3 5 3 2 2" xfId="12598" xr:uid="{00000000-0005-0000-0000-0000645F0000}"/>
    <cellStyle name="Comma 3 3 5 3 2 2 2" xfId="32068" xr:uid="{00000000-0005-0000-0000-0000655F0000}"/>
    <cellStyle name="Comma 3 3 5 3 2 3" xfId="27756" xr:uid="{00000000-0005-0000-0000-0000665F0000}"/>
    <cellStyle name="Comma 3 3 5 3 3" xfId="10264" xr:uid="{00000000-0005-0000-0000-0000675F0000}"/>
    <cellStyle name="Comma 3 3 5 3 3 2" xfId="29734" xr:uid="{00000000-0005-0000-0000-0000685F0000}"/>
    <cellStyle name="Comma 3 3 5 3 4" xfId="25326" xr:uid="{00000000-0005-0000-0000-0000695F0000}"/>
    <cellStyle name="Comma 3 3 5 4" xfId="8272" xr:uid="{00000000-0005-0000-0000-00006A5F0000}"/>
    <cellStyle name="Comma 3 3 5 4 2" xfId="12595" xr:uid="{00000000-0005-0000-0000-00006B5F0000}"/>
    <cellStyle name="Comma 3 3 5 4 2 2" xfId="32065" xr:uid="{00000000-0005-0000-0000-00006C5F0000}"/>
    <cellStyle name="Comma 3 3 5 4 3" xfId="27753" xr:uid="{00000000-0005-0000-0000-00006D5F0000}"/>
    <cellStyle name="Comma 3 3 5 5" xfId="9204" xr:uid="{00000000-0005-0000-0000-00006E5F0000}"/>
    <cellStyle name="Comma 3 3 5 5 2" xfId="28674" xr:uid="{00000000-0005-0000-0000-00006F5F0000}"/>
    <cellStyle name="Comma 3 3 5 6" xfId="24115" xr:uid="{00000000-0005-0000-0000-0000705F0000}"/>
    <cellStyle name="Comma 3 3 6" xfId="4949" xr:uid="{00000000-0005-0000-0000-0000715F0000}"/>
    <cellStyle name="Comma 3 3 6 2" xfId="6111" xr:uid="{00000000-0005-0000-0000-0000725F0000}"/>
    <cellStyle name="Comma 3 3 6 2 2" xfId="8277" xr:uid="{00000000-0005-0000-0000-0000735F0000}"/>
    <cellStyle name="Comma 3 3 6 2 2 2" xfId="12600" xr:uid="{00000000-0005-0000-0000-0000745F0000}"/>
    <cellStyle name="Comma 3 3 6 2 2 2 2" xfId="32070" xr:uid="{00000000-0005-0000-0000-0000755F0000}"/>
    <cellStyle name="Comma 3 3 6 2 2 3" xfId="27758" xr:uid="{00000000-0005-0000-0000-0000765F0000}"/>
    <cellStyle name="Comma 3 3 6 2 3" xfId="10529" xr:uid="{00000000-0005-0000-0000-0000775F0000}"/>
    <cellStyle name="Comma 3 3 6 2 3 2" xfId="29999" xr:uid="{00000000-0005-0000-0000-0000785F0000}"/>
    <cellStyle name="Comma 3 3 6 2 4" xfId="25596" xr:uid="{00000000-0005-0000-0000-0000795F0000}"/>
    <cellStyle name="Comma 3 3 6 3" xfId="8276" xr:uid="{00000000-0005-0000-0000-00007A5F0000}"/>
    <cellStyle name="Comma 3 3 6 3 2" xfId="12599" xr:uid="{00000000-0005-0000-0000-00007B5F0000}"/>
    <cellStyle name="Comma 3 3 6 3 2 2" xfId="32069" xr:uid="{00000000-0005-0000-0000-00007C5F0000}"/>
    <cellStyle name="Comma 3 3 6 3 3" xfId="27757" xr:uid="{00000000-0005-0000-0000-00007D5F0000}"/>
    <cellStyle name="Comma 3 3 6 4" xfId="9469" xr:uid="{00000000-0005-0000-0000-00007E5F0000}"/>
    <cellStyle name="Comma 3 3 6 4 2" xfId="28939" xr:uid="{00000000-0005-0000-0000-00007F5F0000}"/>
    <cellStyle name="Comma 3 3 6 5" xfId="24443" xr:uid="{00000000-0005-0000-0000-0000805F0000}"/>
    <cellStyle name="Comma 3 3 7" xfId="5553" xr:uid="{00000000-0005-0000-0000-0000815F0000}"/>
    <cellStyle name="Comma 3 3 7 2" xfId="8278" xr:uid="{00000000-0005-0000-0000-0000825F0000}"/>
    <cellStyle name="Comma 3 3 7 2 2" xfId="12601" xr:uid="{00000000-0005-0000-0000-0000835F0000}"/>
    <cellStyle name="Comma 3 3 7 2 2 2" xfId="32071" xr:uid="{00000000-0005-0000-0000-0000845F0000}"/>
    <cellStyle name="Comma 3 3 7 2 3" xfId="27759" xr:uid="{00000000-0005-0000-0000-0000855F0000}"/>
    <cellStyle name="Comma 3 3 7 3" xfId="9999" xr:uid="{00000000-0005-0000-0000-0000865F0000}"/>
    <cellStyle name="Comma 3 3 7 3 2" xfId="29469" xr:uid="{00000000-0005-0000-0000-0000875F0000}"/>
    <cellStyle name="Comma 3 3 7 4" xfId="25041" xr:uid="{00000000-0005-0000-0000-0000885F0000}"/>
    <cellStyle name="Comma 3 3 8" xfId="8231" xr:uid="{00000000-0005-0000-0000-0000895F0000}"/>
    <cellStyle name="Comma 3 3 8 2" xfId="12554" xr:uid="{00000000-0005-0000-0000-00008A5F0000}"/>
    <cellStyle name="Comma 3 3 8 2 2" xfId="32024" xr:uid="{00000000-0005-0000-0000-00008B5F0000}"/>
    <cellStyle name="Comma 3 3 8 3" xfId="27712" xr:uid="{00000000-0005-0000-0000-00008C5F0000}"/>
    <cellStyle name="Comma 3 3 9" xfId="8935" xr:uid="{00000000-0005-0000-0000-00008D5F0000}"/>
    <cellStyle name="Comma 3 3 9 2" xfId="28409" xr:uid="{00000000-0005-0000-0000-00008E5F0000}"/>
    <cellStyle name="Comma 3 4" xfId="3918" xr:uid="{00000000-0005-0000-0000-00008F5F0000}"/>
    <cellStyle name="Comma 3 4 2" xfId="4236" xr:uid="{00000000-0005-0000-0000-0000905F0000}"/>
    <cellStyle name="Comma 3 4 2 2" xfId="4811" xr:uid="{00000000-0005-0000-0000-0000915F0000}"/>
    <cellStyle name="Comma 3 4 2 2 2" xfId="5436" xr:uid="{00000000-0005-0000-0000-0000925F0000}"/>
    <cellStyle name="Comma 3 4 2 2 2 2" xfId="6564" xr:uid="{00000000-0005-0000-0000-0000935F0000}"/>
    <cellStyle name="Comma 3 4 2 2 2 2 2" xfId="8283" xr:uid="{00000000-0005-0000-0000-0000945F0000}"/>
    <cellStyle name="Comma 3 4 2 2 2 2 2 2" xfId="12606" xr:uid="{00000000-0005-0000-0000-0000955F0000}"/>
    <cellStyle name="Comma 3 4 2 2 2 2 2 2 2" xfId="32076" xr:uid="{00000000-0005-0000-0000-0000965F0000}"/>
    <cellStyle name="Comma 3 4 2 2 2 2 2 3" xfId="27764" xr:uid="{00000000-0005-0000-0000-0000975F0000}"/>
    <cellStyle name="Comma 3 4 2 2 2 2 3" xfId="10980" xr:uid="{00000000-0005-0000-0000-0000985F0000}"/>
    <cellStyle name="Comma 3 4 2 2 2 2 3 2" xfId="30450" xr:uid="{00000000-0005-0000-0000-0000995F0000}"/>
    <cellStyle name="Comma 3 4 2 2 2 2 4" xfId="26049" xr:uid="{00000000-0005-0000-0000-00009A5F0000}"/>
    <cellStyle name="Comma 3 4 2 2 2 3" xfId="8282" xr:uid="{00000000-0005-0000-0000-00009B5F0000}"/>
    <cellStyle name="Comma 3 4 2 2 2 3 2" xfId="12605" xr:uid="{00000000-0005-0000-0000-00009C5F0000}"/>
    <cellStyle name="Comma 3 4 2 2 2 3 2 2" xfId="32075" xr:uid="{00000000-0005-0000-0000-00009D5F0000}"/>
    <cellStyle name="Comma 3 4 2 2 2 3 3" xfId="27763" xr:uid="{00000000-0005-0000-0000-00009E5F0000}"/>
    <cellStyle name="Comma 3 4 2 2 2 4" xfId="9919" xr:uid="{00000000-0005-0000-0000-00009F5F0000}"/>
    <cellStyle name="Comma 3 4 2 2 2 4 2" xfId="29389" xr:uid="{00000000-0005-0000-0000-0000A05F0000}"/>
    <cellStyle name="Comma 3 4 2 2 2 5" xfId="24927" xr:uid="{00000000-0005-0000-0000-0000A15F0000}"/>
    <cellStyle name="Comma 3 4 2 2 3" xfId="6029" xr:uid="{00000000-0005-0000-0000-0000A25F0000}"/>
    <cellStyle name="Comma 3 4 2 2 3 2" xfId="8284" xr:uid="{00000000-0005-0000-0000-0000A35F0000}"/>
    <cellStyle name="Comma 3 4 2 2 3 2 2" xfId="12607" xr:uid="{00000000-0005-0000-0000-0000A45F0000}"/>
    <cellStyle name="Comma 3 4 2 2 3 2 2 2" xfId="32077" xr:uid="{00000000-0005-0000-0000-0000A55F0000}"/>
    <cellStyle name="Comma 3 4 2 2 3 2 3" xfId="27765" xr:uid="{00000000-0005-0000-0000-0000A65F0000}"/>
    <cellStyle name="Comma 3 4 2 2 3 3" xfId="10449" xr:uid="{00000000-0005-0000-0000-0000A75F0000}"/>
    <cellStyle name="Comma 3 4 2 2 3 3 2" xfId="29919" xr:uid="{00000000-0005-0000-0000-0000A85F0000}"/>
    <cellStyle name="Comma 3 4 2 2 3 4" xfId="25514" xr:uid="{00000000-0005-0000-0000-0000A95F0000}"/>
    <cellStyle name="Comma 3 4 2 2 4" xfId="8281" xr:uid="{00000000-0005-0000-0000-0000AA5F0000}"/>
    <cellStyle name="Comma 3 4 2 2 4 2" xfId="12604" xr:uid="{00000000-0005-0000-0000-0000AB5F0000}"/>
    <cellStyle name="Comma 3 4 2 2 4 2 2" xfId="32074" xr:uid="{00000000-0005-0000-0000-0000AC5F0000}"/>
    <cellStyle name="Comma 3 4 2 2 4 3" xfId="27762" xr:uid="{00000000-0005-0000-0000-0000AD5F0000}"/>
    <cellStyle name="Comma 3 4 2 2 5" xfId="9389" xr:uid="{00000000-0005-0000-0000-0000AE5F0000}"/>
    <cellStyle name="Comma 3 4 2 2 5 2" xfId="28859" xr:uid="{00000000-0005-0000-0000-0000AF5F0000}"/>
    <cellStyle name="Comma 3 4 2 2 6" xfId="24313" xr:uid="{00000000-0005-0000-0000-0000B05F0000}"/>
    <cellStyle name="Comma 3 4 2 3" xfId="5141" xr:uid="{00000000-0005-0000-0000-0000B15F0000}"/>
    <cellStyle name="Comma 3 4 2 3 2" xfId="6297" xr:uid="{00000000-0005-0000-0000-0000B25F0000}"/>
    <cellStyle name="Comma 3 4 2 3 2 2" xfId="8286" xr:uid="{00000000-0005-0000-0000-0000B35F0000}"/>
    <cellStyle name="Comma 3 4 2 3 2 2 2" xfId="12609" xr:uid="{00000000-0005-0000-0000-0000B45F0000}"/>
    <cellStyle name="Comma 3 4 2 3 2 2 2 2" xfId="32079" xr:uid="{00000000-0005-0000-0000-0000B55F0000}"/>
    <cellStyle name="Comma 3 4 2 3 2 2 3" xfId="27767" xr:uid="{00000000-0005-0000-0000-0000B65F0000}"/>
    <cellStyle name="Comma 3 4 2 3 2 3" xfId="10714" xr:uid="{00000000-0005-0000-0000-0000B75F0000}"/>
    <cellStyle name="Comma 3 4 2 3 2 3 2" xfId="30184" xr:uid="{00000000-0005-0000-0000-0000B85F0000}"/>
    <cellStyle name="Comma 3 4 2 3 2 4" xfId="25782" xr:uid="{00000000-0005-0000-0000-0000B95F0000}"/>
    <cellStyle name="Comma 3 4 2 3 3" xfId="8285" xr:uid="{00000000-0005-0000-0000-0000BA5F0000}"/>
    <cellStyle name="Comma 3 4 2 3 3 2" xfId="12608" xr:uid="{00000000-0005-0000-0000-0000BB5F0000}"/>
    <cellStyle name="Comma 3 4 2 3 3 2 2" xfId="32078" xr:uid="{00000000-0005-0000-0000-0000BC5F0000}"/>
    <cellStyle name="Comma 3 4 2 3 3 3" xfId="27766" xr:uid="{00000000-0005-0000-0000-0000BD5F0000}"/>
    <cellStyle name="Comma 3 4 2 3 4" xfId="9654" xr:uid="{00000000-0005-0000-0000-0000BE5F0000}"/>
    <cellStyle name="Comma 3 4 2 3 4 2" xfId="29124" xr:uid="{00000000-0005-0000-0000-0000BF5F0000}"/>
    <cellStyle name="Comma 3 4 2 3 5" xfId="24632" xr:uid="{00000000-0005-0000-0000-0000C05F0000}"/>
    <cellStyle name="Comma 3 4 2 4" xfId="5750" xr:uid="{00000000-0005-0000-0000-0000C15F0000}"/>
    <cellStyle name="Comma 3 4 2 4 2" xfId="8287" xr:uid="{00000000-0005-0000-0000-0000C25F0000}"/>
    <cellStyle name="Comma 3 4 2 4 2 2" xfId="12610" xr:uid="{00000000-0005-0000-0000-0000C35F0000}"/>
    <cellStyle name="Comma 3 4 2 4 2 2 2" xfId="32080" xr:uid="{00000000-0005-0000-0000-0000C45F0000}"/>
    <cellStyle name="Comma 3 4 2 4 2 3" xfId="27768" xr:uid="{00000000-0005-0000-0000-0000C55F0000}"/>
    <cellStyle name="Comma 3 4 2 4 3" xfId="10184" xr:uid="{00000000-0005-0000-0000-0000C65F0000}"/>
    <cellStyle name="Comma 3 4 2 4 3 2" xfId="29654" xr:uid="{00000000-0005-0000-0000-0000C75F0000}"/>
    <cellStyle name="Comma 3 4 2 4 4" xfId="25235" xr:uid="{00000000-0005-0000-0000-0000C85F0000}"/>
    <cellStyle name="Comma 3 4 2 5" xfId="8280" xr:uid="{00000000-0005-0000-0000-0000C95F0000}"/>
    <cellStyle name="Comma 3 4 2 5 2" xfId="12603" xr:uid="{00000000-0005-0000-0000-0000CA5F0000}"/>
    <cellStyle name="Comma 3 4 2 5 2 2" xfId="32073" xr:uid="{00000000-0005-0000-0000-0000CB5F0000}"/>
    <cellStyle name="Comma 3 4 2 5 3" xfId="27761" xr:uid="{00000000-0005-0000-0000-0000CC5F0000}"/>
    <cellStyle name="Comma 3 4 2 6" xfId="9123" xr:uid="{00000000-0005-0000-0000-0000CD5F0000}"/>
    <cellStyle name="Comma 3 4 2 6 2" xfId="28594" xr:uid="{00000000-0005-0000-0000-0000CE5F0000}"/>
    <cellStyle name="Comma 3 4 2 7" xfId="24012" xr:uid="{00000000-0005-0000-0000-0000CF5F0000}"/>
    <cellStyle name="Comma 3 4 3" xfId="4738" xr:uid="{00000000-0005-0000-0000-0000D05F0000}"/>
    <cellStyle name="Comma 3 4 3 2" xfId="5370" xr:uid="{00000000-0005-0000-0000-0000D15F0000}"/>
    <cellStyle name="Comma 3 4 3 2 2" xfId="6498" xr:uid="{00000000-0005-0000-0000-0000D25F0000}"/>
    <cellStyle name="Comma 3 4 3 2 2 2" xfId="8290" xr:uid="{00000000-0005-0000-0000-0000D35F0000}"/>
    <cellStyle name="Comma 3 4 3 2 2 2 2" xfId="12613" xr:uid="{00000000-0005-0000-0000-0000D45F0000}"/>
    <cellStyle name="Comma 3 4 3 2 2 2 2 2" xfId="32083" xr:uid="{00000000-0005-0000-0000-0000D55F0000}"/>
    <cellStyle name="Comma 3 4 3 2 2 2 3" xfId="27771" xr:uid="{00000000-0005-0000-0000-0000D65F0000}"/>
    <cellStyle name="Comma 3 4 3 2 2 3" xfId="10914" xr:uid="{00000000-0005-0000-0000-0000D75F0000}"/>
    <cellStyle name="Comma 3 4 3 2 2 3 2" xfId="30384" xr:uid="{00000000-0005-0000-0000-0000D85F0000}"/>
    <cellStyle name="Comma 3 4 3 2 2 4" xfId="25983" xr:uid="{00000000-0005-0000-0000-0000D95F0000}"/>
    <cellStyle name="Comma 3 4 3 2 3" xfId="8289" xr:uid="{00000000-0005-0000-0000-0000DA5F0000}"/>
    <cellStyle name="Comma 3 4 3 2 3 2" xfId="12612" xr:uid="{00000000-0005-0000-0000-0000DB5F0000}"/>
    <cellStyle name="Comma 3 4 3 2 3 2 2" xfId="32082" xr:uid="{00000000-0005-0000-0000-0000DC5F0000}"/>
    <cellStyle name="Comma 3 4 3 2 3 3" xfId="27770" xr:uid="{00000000-0005-0000-0000-0000DD5F0000}"/>
    <cellStyle name="Comma 3 4 3 2 4" xfId="9853" xr:uid="{00000000-0005-0000-0000-0000DE5F0000}"/>
    <cellStyle name="Comma 3 4 3 2 4 2" xfId="29323" xr:uid="{00000000-0005-0000-0000-0000DF5F0000}"/>
    <cellStyle name="Comma 3 4 3 2 5" xfId="24861" xr:uid="{00000000-0005-0000-0000-0000E05F0000}"/>
    <cellStyle name="Comma 3 4 3 3" xfId="5961" xr:uid="{00000000-0005-0000-0000-0000E15F0000}"/>
    <cellStyle name="Comma 3 4 3 3 2" xfId="8291" xr:uid="{00000000-0005-0000-0000-0000E25F0000}"/>
    <cellStyle name="Comma 3 4 3 3 2 2" xfId="12614" xr:uid="{00000000-0005-0000-0000-0000E35F0000}"/>
    <cellStyle name="Comma 3 4 3 3 2 2 2" xfId="32084" xr:uid="{00000000-0005-0000-0000-0000E45F0000}"/>
    <cellStyle name="Comma 3 4 3 3 2 3" xfId="27772" xr:uid="{00000000-0005-0000-0000-0000E55F0000}"/>
    <cellStyle name="Comma 3 4 3 3 3" xfId="10383" xr:uid="{00000000-0005-0000-0000-0000E65F0000}"/>
    <cellStyle name="Comma 3 4 3 3 3 2" xfId="29853" xr:uid="{00000000-0005-0000-0000-0000E75F0000}"/>
    <cellStyle name="Comma 3 4 3 3 4" xfId="25446" xr:uid="{00000000-0005-0000-0000-0000E85F0000}"/>
    <cellStyle name="Comma 3 4 3 4" xfId="8288" xr:uid="{00000000-0005-0000-0000-0000E95F0000}"/>
    <cellStyle name="Comma 3 4 3 4 2" xfId="12611" xr:uid="{00000000-0005-0000-0000-0000EA5F0000}"/>
    <cellStyle name="Comma 3 4 3 4 2 2" xfId="32081" xr:uid="{00000000-0005-0000-0000-0000EB5F0000}"/>
    <cellStyle name="Comma 3 4 3 4 3" xfId="27769" xr:uid="{00000000-0005-0000-0000-0000EC5F0000}"/>
    <cellStyle name="Comma 3 4 3 5" xfId="9323" xr:uid="{00000000-0005-0000-0000-0000ED5F0000}"/>
    <cellStyle name="Comma 3 4 3 5 2" xfId="28793" xr:uid="{00000000-0005-0000-0000-0000EE5F0000}"/>
    <cellStyle name="Comma 3 4 3 6" xfId="24244" xr:uid="{00000000-0005-0000-0000-0000EF5F0000}"/>
    <cellStyle name="Comma 3 4 4" xfId="5070" xr:uid="{00000000-0005-0000-0000-0000F05F0000}"/>
    <cellStyle name="Comma 3 4 4 2" xfId="6230" xr:uid="{00000000-0005-0000-0000-0000F15F0000}"/>
    <cellStyle name="Comma 3 4 4 2 2" xfId="8293" xr:uid="{00000000-0005-0000-0000-0000F25F0000}"/>
    <cellStyle name="Comma 3 4 4 2 2 2" xfId="12616" xr:uid="{00000000-0005-0000-0000-0000F35F0000}"/>
    <cellStyle name="Comma 3 4 4 2 2 2 2" xfId="32086" xr:uid="{00000000-0005-0000-0000-0000F45F0000}"/>
    <cellStyle name="Comma 3 4 4 2 2 3" xfId="27774" xr:uid="{00000000-0005-0000-0000-0000F55F0000}"/>
    <cellStyle name="Comma 3 4 4 2 3" xfId="10648" xr:uid="{00000000-0005-0000-0000-0000F65F0000}"/>
    <cellStyle name="Comma 3 4 4 2 3 2" xfId="30118" xr:uid="{00000000-0005-0000-0000-0000F75F0000}"/>
    <cellStyle name="Comma 3 4 4 2 4" xfId="25715" xr:uid="{00000000-0005-0000-0000-0000F85F0000}"/>
    <cellStyle name="Comma 3 4 4 3" xfId="8292" xr:uid="{00000000-0005-0000-0000-0000F95F0000}"/>
    <cellStyle name="Comma 3 4 4 3 2" xfId="12615" xr:uid="{00000000-0005-0000-0000-0000FA5F0000}"/>
    <cellStyle name="Comma 3 4 4 3 2 2" xfId="32085" xr:uid="{00000000-0005-0000-0000-0000FB5F0000}"/>
    <cellStyle name="Comma 3 4 4 3 3" xfId="27773" xr:uid="{00000000-0005-0000-0000-0000FC5F0000}"/>
    <cellStyle name="Comma 3 4 4 4" xfId="9588" xr:uid="{00000000-0005-0000-0000-0000FD5F0000}"/>
    <cellStyle name="Comma 3 4 4 4 2" xfId="29058" xr:uid="{00000000-0005-0000-0000-0000FE5F0000}"/>
    <cellStyle name="Comma 3 4 4 5" xfId="24562" xr:uid="{00000000-0005-0000-0000-0000FF5F0000}"/>
    <cellStyle name="Comma 3 4 5" xfId="5682" xr:uid="{00000000-0005-0000-0000-000000600000}"/>
    <cellStyle name="Comma 3 4 5 2" xfId="8294" xr:uid="{00000000-0005-0000-0000-000001600000}"/>
    <cellStyle name="Comma 3 4 5 2 2" xfId="12617" xr:uid="{00000000-0005-0000-0000-000002600000}"/>
    <cellStyle name="Comma 3 4 5 2 2 2" xfId="32087" xr:uid="{00000000-0005-0000-0000-000003600000}"/>
    <cellStyle name="Comma 3 4 5 2 3" xfId="27775" xr:uid="{00000000-0005-0000-0000-000004600000}"/>
    <cellStyle name="Comma 3 4 5 3" xfId="10118" xr:uid="{00000000-0005-0000-0000-000005600000}"/>
    <cellStyle name="Comma 3 4 5 3 2" xfId="29588" xr:uid="{00000000-0005-0000-0000-000006600000}"/>
    <cellStyle name="Comma 3 4 5 4" xfId="25168" xr:uid="{00000000-0005-0000-0000-000007600000}"/>
    <cellStyle name="Comma 3 4 6" xfId="8279" xr:uid="{00000000-0005-0000-0000-000008600000}"/>
    <cellStyle name="Comma 3 4 6 2" xfId="12602" xr:uid="{00000000-0005-0000-0000-000009600000}"/>
    <cellStyle name="Comma 3 4 6 2 2" xfId="32072" xr:uid="{00000000-0005-0000-0000-00000A600000}"/>
    <cellStyle name="Comma 3 4 6 3" xfId="27760" xr:uid="{00000000-0005-0000-0000-00000B600000}"/>
    <cellStyle name="Comma 3 4 7" xfId="9056" xr:uid="{00000000-0005-0000-0000-00000C600000}"/>
    <cellStyle name="Comma 3 4 7 2" xfId="28528" xr:uid="{00000000-0005-0000-0000-00000D600000}"/>
    <cellStyle name="Comma 3 4 8" xfId="23936" xr:uid="{00000000-0005-0000-0000-00000E600000}"/>
    <cellStyle name="Comma 3 5" xfId="3919" xr:uid="{00000000-0005-0000-0000-00000F600000}"/>
    <cellStyle name="Comma 3 5 2" xfId="4288" xr:uid="{00000000-0005-0000-0000-000010600000}"/>
    <cellStyle name="Comma 3 5 2 2" xfId="4863" xr:uid="{00000000-0005-0000-0000-000011600000}"/>
    <cellStyle name="Comma 3 5 2 2 2" xfId="5488" xr:uid="{00000000-0005-0000-0000-000012600000}"/>
    <cellStyle name="Comma 3 5 2 2 2 2" xfId="6616" xr:uid="{00000000-0005-0000-0000-000013600000}"/>
    <cellStyle name="Comma 3 5 2 2 2 2 2" xfId="8299" xr:uid="{00000000-0005-0000-0000-000014600000}"/>
    <cellStyle name="Comma 3 5 2 2 2 2 2 2" xfId="12622" xr:uid="{00000000-0005-0000-0000-000015600000}"/>
    <cellStyle name="Comma 3 5 2 2 2 2 2 2 2" xfId="32092" xr:uid="{00000000-0005-0000-0000-000016600000}"/>
    <cellStyle name="Comma 3 5 2 2 2 2 2 3" xfId="27780" xr:uid="{00000000-0005-0000-0000-000017600000}"/>
    <cellStyle name="Comma 3 5 2 2 2 2 3" xfId="11032" xr:uid="{00000000-0005-0000-0000-000018600000}"/>
    <cellStyle name="Comma 3 5 2 2 2 2 3 2" xfId="30502" xr:uid="{00000000-0005-0000-0000-000019600000}"/>
    <cellStyle name="Comma 3 5 2 2 2 2 4" xfId="26101" xr:uid="{00000000-0005-0000-0000-00001A600000}"/>
    <cellStyle name="Comma 3 5 2 2 2 3" xfId="8298" xr:uid="{00000000-0005-0000-0000-00001B600000}"/>
    <cellStyle name="Comma 3 5 2 2 2 3 2" xfId="12621" xr:uid="{00000000-0005-0000-0000-00001C600000}"/>
    <cellStyle name="Comma 3 5 2 2 2 3 2 2" xfId="32091" xr:uid="{00000000-0005-0000-0000-00001D600000}"/>
    <cellStyle name="Comma 3 5 2 2 2 3 3" xfId="27779" xr:uid="{00000000-0005-0000-0000-00001E600000}"/>
    <cellStyle name="Comma 3 5 2 2 2 4" xfId="9971" xr:uid="{00000000-0005-0000-0000-00001F600000}"/>
    <cellStyle name="Comma 3 5 2 2 2 4 2" xfId="29441" xr:uid="{00000000-0005-0000-0000-000020600000}"/>
    <cellStyle name="Comma 3 5 2 2 2 5" xfId="24979" xr:uid="{00000000-0005-0000-0000-000021600000}"/>
    <cellStyle name="Comma 3 5 2 2 3" xfId="6081" xr:uid="{00000000-0005-0000-0000-000022600000}"/>
    <cellStyle name="Comma 3 5 2 2 3 2" xfId="8300" xr:uid="{00000000-0005-0000-0000-000023600000}"/>
    <cellStyle name="Comma 3 5 2 2 3 2 2" xfId="12623" xr:uid="{00000000-0005-0000-0000-000024600000}"/>
    <cellStyle name="Comma 3 5 2 2 3 2 2 2" xfId="32093" xr:uid="{00000000-0005-0000-0000-000025600000}"/>
    <cellStyle name="Comma 3 5 2 2 3 2 3" xfId="27781" xr:uid="{00000000-0005-0000-0000-000026600000}"/>
    <cellStyle name="Comma 3 5 2 2 3 3" xfId="10501" xr:uid="{00000000-0005-0000-0000-000027600000}"/>
    <cellStyle name="Comma 3 5 2 2 3 3 2" xfId="29971" xr:uid="{00000000-0005-0000-0000-000028600000}"/>
    <cellStyle name="Comma 3 5 2 2 3 4" xfId="25566" xr:uid="{00000000-0005-0000-0000-000029600000}"/>
    <cellStyle name="Comma 3 5 2 2 4" xfId="8297" xr:uid="{00000000-0005-0000-0000-00002A600000}"/>
    <cellStyle name="Comma 3 5 2 2 4 2" xfId="12620" xr:uid="{00000000-0005-0000-0000-00002B600000}"/>
    <cellStyle name="Comma 3 5 2 2 4 2 2" xfId="32090" xr:uid="{00000000-0005-0000-0000-00002C600000}"/>
    <cellStyle name="Comma 3 5 2 2 4 3" xfId="27778" xr:uid="{00000000-0005-0000-0000-00002D600000}"/>
    <cellStyle name="Comma 3 5 2 2 5" xfId="9441" xr:uid="{00000000-0005-0000-0000-00002E600000}"/>
    <cellStyle name="Comma 3 5 2 2 5 2" xfId="28911" xr:uid="{00000000-0005-0000-0000-00002F600000}"/>
    <cellStyle name="Comma 3 5 2 2 6" xfId="24365" xr:uid="{00000000-0005-0000-0000-000030600000}"/>
    <cellStyle name="Comma 3 5 2 3" xfId="5193" xr:uid="{00000000-0005-0000-0000-000031600000}"/>
    <cellStyle name="Comma 3 5 2 3 2" xfId="6349" xr:uid="{00000000-0005-0000-0000-000032600000}"/>
    <cellStyle name="Comma 3 5 2 3 2 2" xfId="8302" xr:uid="{00000000-0005-0000-0000-000033600000}"/>
    <cellStyle name="Comma 3 5 2 3 2 2 2" xfId="12625" xr:uid="{00000000-0005-0000-0000-000034600000}"/>
    <cellStyle name="Comma 3 5 2 3 2 2 2 2" xfId="32095" xr:uid="{00000000-0005-0000-0000-000035600000}"/>
    <cellStyle name="Comma 3 5 2 3 2 2 3" xfId="27783" xr:uid="{00000000-0005-0000-0000-000036600000}"/>
    <cellStyle name="Comma 3 5 2 3 2 3" xfId="10766" xr:uid="{00000000-0005-0000-0000-000037600000}"/>
    <cellStyle name="Comma 3 5 2 3 2 3 2" xfId="30236" xr:uid="{00000000-0005-0000-0000-000038600000}"/>
    <cellStyle name="Comma 3 5 2 3 2 4" xfId="25834" xr:uid="{00000000-0005-0000-0000-000039600000}"/>
    <cellStyle name="Comma 3 5 2 3 3" xfId="8301" xr:uid="{00000000-0005-0000-0000-00003A600000}"/>
    <cellStyle name="Comma 3 5 2 3 3 2" xfId="12624" xr:uid="{00000000-0005-0000-0000-00003B600000}"/>
    <cellStyle name="Comma 3 5 2 3 3 2 2" xfId="32094" xr:uid="{00000000-0005-0000-0000-00003C600000}"/>
    <cellStyle name="Comma 3 5 2 3 3 3" xfId="27782" xr:uid="{00000000-0005-0000-0000-00003D600000}"/>
    <cellStyle name="Comma 3 5 2 3 4" xfId="9706" xr:uid="{00000000-0005-0000-0000-00003E600000}"/>
    <cellStyle name="Comma 3 5 2 3 4 2" xfId="29176" xr:uid="{00000000-0005-0000-0000-00003F600000}"/>
    <cellStyle name="Comma 3 5 2 3 5" xfId="24684" xr:uid="{00000000-0005-0000-0000-000040600000}"/>
    <cellStyle name="Comma 3 5 2 4" xfId="5802" xr:uid="{00000000-0005-0000-0000-000041600000}"/>
    <cellStyle name="Comma 3 5 2 4 2" xfId="8303" xr:uid="{00000000-0005-0000-0000-000042600000}"/>
    <cellStyle name="Comma 3 5 2 4 2 2" xfId="12626" xr:uid="{00000000-0005-0000-0000-000043600000}"/>
    <cellStyle name="Comma 3 5 2 4 2 2 2" xfId="32096" xr:uid="{00000000-0005-0000-0000-000044600000}"/>
    <cellStyle name="Comma 3 5 2 4 2 3" xfId="27784" xr:uid="{00000000-0005-0000-0000-000045600000}"/>
    <cellStyle name="Comma 3 5 2 4 3" xfId="10236" xr:uid="{00000000-0005-0000-0000-000046600000}"/>
    <cellStyle name="Comma 3 5 2 4 3 2" xfId="29706" xr:uid="{00000000-0005-0000-0000-000047600000}"/>
    <cellStyle name="Comma 3 5 2 4 4" xfId="25287" xr:uid="{00000000-0005-0000-0000-000048600000}"/>
    <cellStyle name="Comma 3 5 2 5" xfId="8296" xr:uid="{00000000-0005-0000-0000-000049600000}"/>
    <cellStyle name="Comma 3 5 2 5 2" xfId="12619" xr:uid="{00000000-0005-0000-0000-00004A600000}"/>
    <cellStyle name="Comma 3 5 2 5 2 2" xfId="32089" xr:uid="{00000000-0005-0000-0000-00004B600000}"/>
    <cellStyle name="Comma 3 5 2 5 3" xfId="27777" xr:uid="{00000000-0005-0000-0000-00004C600000}"/>
    <cellStyle name="Comma 3 5 2 6" xfId="9175" xr:uid="{00000000-0005-0000-0000-00004D600000}"/>
    <cellStyle name="Comma 3 5 2 6 2" xfId="28646" xr:uid="{00000000-0005-0000-0000-00004E600000}"/>
    <cellStyle name="Comma 3 5 2 7" xfId="24064" xr:uid="{00000000-0005-0000-0000-00004F600000}"/>
    <cellStyle name="Comma 3 5 3" xfId="4739" xr:uid="{00000000-0005-0000-0000-000050600000}"/>
    <cellStyle name="Comma 3 5 3 2" xfId="5371" xr:uid="{00000000-0005-0000-0000-000051600000}"/>
    <cellStyle name="Comma 3 5 3 2 2" xfId="6499" xr:uid="{00000000-0005-0000-0000-000052600000}"/>
    <cellStyle name="Comma 3 5 3 2 2 2" xfId="8306" xr:uid="{00000000-0005-0000-0000-000053600000}"/>
    <cellStyle name="Comma 3 5 3 2 2 2 2" xfId="12629" xr:uid="{00000000-0005-0000-0000-000054600000}"/>
    <cellStyle name="Comma 3 5 3 2 2 2 2 2" xfId="32099" xr:uid="{00000000-0005-0000-0000-000055600000}"/>
    <cellStyle name="Comma 3 5 3 2 2 2 3" xfId="27787" xr:uid="{00000000-0005-0000-0000-000056600000}"/>
    <cellStyle name="Comma 3 5 3 2 2 3" xfId="10915" xr:uid="{00000000-0005-0000-0000-000057600000}"/>
    <cellStyle name="Comma 3 5 3 2 2 3 2" xfId="30385" xr:uid="{00000000-0005-0000-0000-000058600000}"/>
    <cellStyle name="Comma 3 5 3 2 2 4" xfId="25984" xr:uid="{00000000-0005-0000-0000-000059600000}"/>
    <cellStyle name="Comma 3 5 3 2 3" xfId="8305" xr:uid="{00000000-0005-0000-0000-00005A600000}"/>
    <cellStyle name="Comma 3 5 3 2 3 2" xfId="12628" xr:uid="{00000000-0005-0000-0000-00005B600000}"/>
    <cellStyle name="Comma 3 5 3 2 3 2 2" xfId="32098" xr:uid="{00000000-0005-0000-0000-00005C600000}"/>
    <cellStyle name="Comma 3 5 3 2 3 3" xfId="27786" xr:uid="{00000000-0005-0000-0000-00005D600000}"/>
    <cellStyle name="Comma 3 5 3 2 4" xfId="9854" xr:uid="{00000000-0005-0000-0000-00005E600000}"/>
    <cellStyle name="Comma 3 5 3 2 4 2" xfId="29324" xr:uid="{00000000-0005-0000-0000-00005F600000}"/>
    <cellStyle name="Comma 3 5 3 2 5" xfId="24862" xr:uid="{00000000-0005-0000-0000-000060600000}"/>
    <cellStyle name="Comma 3 5 3 3" xfId="5962" xr:uid="{00000000-0005-0000-0000-000061600000}"/>
    <cellStyle name="Comma 3 5 3 3 2" xfId="8307" xr:uid="{00000000-0005-0000-0000-000062600000}"/>
    <cellStyle name="Comma 3 5 3 3 2 2" xfId="12630" xr:uid="{00000000-0005-0000-0000-000063600000}"/>
    <cellStyle name="Comma 3 5 3 3 2 2 2" xfId="32100" xr:uid="{00000000-0005-0000-0000-000064600000}"/>
    <cellStyle name="Comma 3 5 3 3 2 3" xfId="27788" xr:uid="{00000000-0005-0000-0000-000065600000}"/>
    <cellStyle name="Comma 3 5 3 3 3" xfId="10384" xr:uid="{00000000-0005-0000-0000-000066600000}"/>
    <cellStyle name="Comma 3 5 3 3 3 2" xfId="29854" xr:uid="{00000000-0005-0000-0000-000067600000}"/>
    <cellStyle name="Comma 3 5 3 3 4" xfId="25447" xr:uid="{00000000-0005-0000-0000-000068600000}"/>
    <cellStyle name="Comma 3 5 3 4" xfId="8304" xr:uid="{00000000-0005-0000-0000-000069600000}"/>
    <cellStyle name="Comma 3 5 3 4 2" xfId="12627" xr:uid="{00000000-0005-0000-0000-00006A600000}"/>
    <cellStyle name="Comma 3 5 3 4 2 2" xfId="32097" xr:uid="{00000000-0005-0000-0000-00006B600000}"/>
    <cellStyle name="Comma 3 5 3 4 3" xfId="27785" xr:uid="{00000000-0005-0000-0000-00006C600000}"/>
    <cellStyle name="Comma 3 5 3 5" xfId="9324" xr:uid="{00000000-0005-0000-0000-00006D600000}"/>
    <cellStyle name="Comma 3 5 3 5 2" xfId="28794" xr:uid="{00000000-0005-0000-0000-00006E600000}"/>
    <cellStyle name="Comma 3 5 3 6" xfId="24245" xr:uid="{00000000-0005-0000-0000-00006F600000}"/>
    <cellStyle name="Comma 3 5 4" xfId="5071" xr:uid="{00000000-0005-0000-0000-000070600000}"/>
    <cellStyle name="Comma 3 5 4 2" xfId="6231" xr:uid="{00000000-0005-0000-0000-000071600000}"/>
    <cellStyle name="Comma 3 5 4 2 2" xfId="8309" xr:uid="{00000000-0005-0000-0000-000072600000}"/>
    <cellStyle name="Comma 3 5 4 2 2 2" xfId="12632" xr:uid="{00000000-0005-0000-0000-000073600000}"/>
    <cellStyle name="Comma 3 5 4 2 2 2 2" xfId="32102" xr:uid="{00000000-0005-0000-0000-000074600000}"/>
    <cellStyle name="Comma 3 5 4 2 2 3" xfId="27790" xr:uid="{00000000-0005-0000-0000-000075600000}"/>
    <cellStyle name="Comma 3 5 4 2 3" xfId="10649" xr:uid="{00000000-0005-0000-0000-000076600000}"/>
    <cellStyle name="Comma 3 5 4 2 3 2" xfId="30119" xr:uid="{00000000-0005-0000-0000-000077600000}"/>
    <cellStyle name="Comma 3 5 4 2 4" xfId="25716" xr:uid="{00000000-0005-0000-0000-000078600000}"/>
    <cellStyle name="Comma 3 5 4 3" xfId="8308" xr:uid="{00000000-0005-0000-0000-000079600000}"/>
    <cellStyle name="Comma 3 5 4 3 2" xfId="12631" xr:uid="{00000000-0005-0000-0000-00007A600000}"/>
    <cellStyle name="Comma 3 5 4 3 2 2" xfId="32101" xr:uid="{00000000-0005-0000-0000-00007B600000}"/>
    <cellStyle name="Comma 3 5 4 3 3" xfId="27789" xr:uid="{00000000-0005-0000-0000-00007C600000}"/>
    <cellStyle name="Comma 3 5 4 4" xfId="9589" xr:uid="{00000000-0005-0000-0000-00007D600000}"/>
    <cellStyle name="Comma 3 5 4 4 2" xfId="29059" xr:uid="{00000000-0005-0000-0000-00007E600000}"/>
    <cellStyle name="Comma 3 5 4 5" xfId="24563" xr:uid="{00000000-0005-0000-0000-00007F600000}"/>
    <cellStyle name="Comma 3 5 5" xfId="5683" xr:uid="{00000000-0005-0000-0000-000080600000}"/>
    <cellStyle name="Comma 3 5 5 2" xfId="8310" xr:uid="{00000000-0005-0000-0000-000081600000}"/>
    <cellStyle name="Comma 3 5 5 2 2" xfId="12633" xr:uid="{00000000-0005-0000-0000-000082600000}"/>
    <cellStyle name="Comma 3 5 5 2 2 2" xfId="32103" xr:uid="{00000000-0005-0000-0000-000083600000}"/>
    <cellStyle name="Comma 3 5 5 2 3" xfId="27791" xr:uid="{00000000-0005-0000-0000-000084600000}"/>
    <cellStyle name="Comma 3 5 5 3" xfId="10119" xr:uid="{00000000-0005-0000-0000-000085600000}"/>
    <cellStyle name="Comma 3 5 5 3 2" xfId="29589" xr:uid="{00000000-0005-0000-0000-000086600000}"/>
    <cellStyle name="Comma 3 5 5 4" xfId="25169" xr:uid="{00000000-0005-0000-0000-000087600000}"/>
    <cellStyle name="Comma 3 5 6" xfId="8295" xr:uid="{00000000-0005-0000-0000-000088600000}"/>
    <cellStyle name="Comma 3 5 6 2" xfId="12618" xr:uid="{00000000-0005-0000-0000-000089600000}"/>
    <cellStyle name="Comma 3 5 6 2 2" xfId="32088" xr:uid="{00000000-0005-0000-0000-00008A600000}"/>
    <cellStyle name="Comma 3 5 6 3" xfId="27776" xr:uid="{00000000-0005-0000-0000-00008B600000}"/>
    <cellStyle name="Comma 3 5 7" xfId="9057" xr:uid="{00000000-0005-0000-0000-00008C600000}"/>
    <cellStyle name="Comma 3 5 7 2" xfId="28529" xr:uid="{00000000-0005-0000-0000-00008D600000}"/>
    <cellStyle name="Comma 3 5 8" xfId="23937" xr:uid="{00000000-0005-0000-0000-00008E600000}"/>
    <cellStyle name="Comma 3 6" xfId="4107" xr:uid="{00000000-0005-0000-0000-00008F600000}"/>
    <cellStyle name="Comma 3 6 2" xfId="4753" xr:uid="{00000000-0005-0000-0000-000090600000}"/>
    <cellStyle name="Comma 3 6 2 2" xfId="5382" xr:uid="{00000000-0005-0000-0000-000091600000}"/>
    <cellStyle name="Comma 3 6 2 2 2" xfId="6510" xr:uid="{00000000-0005-0000-0000-000092600000}"/>
    <cellStyle name="Comma 3 6 2 2 2 2" xfId="8314" xr:uid="{00000000-0005-0000-0000-000093600000}"/>
    <cellStyle name="Comma 3 6 2 2 2 2 2" xfId="12637" xr:uid="{00000000-0005-0000-0000-000094600000}"/>
    <cellStyle name="Comma 3 6 2 2 2 2 2 2" xfId="32107" xr:uid="{00000000-0005-0000-0000-000095600000}"/>
    <cellStyle name="Comma 3 6 2 2 2 2 3" xfId="27795" xr:uid="{00000000-0005-0000-0000-000096600000}"/>
    <cellStyle name="Comma 3 6 2 2 2 3" xfId="10926" xr:uid="{00000000-0005-0000-0000-000097600000}"/>
    <cellStyle name="Comma 3 6 2 2 2 3 2" xfId="30396" xr:uid="{00000000-0005-0000-0000-000098600000}"/>
    <cellStyle name="Comma 3 6 2 2 2 4" xfId="25995" xr:uid="{00000000-0005-0000-0000-000099600000}"/>
    <cellStyle name="Comma 3 6 2 2 3" xfId="8313" xr:uid="{00000000-0005-0000-0000-00009A600000}"/>
    <cellStyle name="Comma 3 6 2 2 3 2" xfId="12636" xr:uid="{00000000-0005-0000-0000-00009B600000}"/>
    <cellStyle name="Comma 3 6 2 2 3 2 2" xfId="32106" xr:uid="{00000000-0005-0000-0000-00009C600000}"/>
    <cellStyle name="Comma 3 6 2 2 3 3" xfId="27794" xr:uid="{00000000-0005-0000-0000-00009D600000}"/>
    <cellStyle name="Comma 3 6 2 2 4" xfId="9865" xr:uid="{00000000-0005-0000-0000-00009E600000}"/>
    <cellStyle name="Comma 3 6 2 2 4 2" xfId="29335" xr:uid="{00000000-0005-0000-0000-00009F600000}"/>
    <cellStyle name="Comma 3 6 2 2 5" xfId="24873" xr:uid="{00000000-0005-0000-0000-0000A0600000}"/>
    <cellStyle name="Comma 3 6 2 3" xfId="5973" xr:uid="{00000000-0005-0000-0000-0000A1600000}"/>
    <cellStyle name="Comma 3 6 2 3 2" xfId="8315" xr:uid="{00000000-0005-0000-0000-0000A2600000}"/>
    <cellStyle name="Comma 3 6 2 3 2 2" xfId="12638" xr:uid="{00000000-0005-0000-0000-0000A3600000}"/>
    <cellStyle name="Comma 3 6 2 3 2 2 2" xfId="32108" xr:uid="{00000000-0005-0000-0000-0000A4600000}"/>
    <cellStyle name="Comma 3 6 2 3 2 3" xfId="27796" xr:uid="{00000000-0005-0000-0000-0000A5600000}"/>
    <cellStyle name="Comma 3 6 2 3 3" xfId="10395" xr:uid="{00000000-0005-0000-0000-0000A6600000}"/>
    <cellStyle name="Comma 3 6 2 3 3 2" xfId="29865" xr:uid="{00000000-0005-0000-0000-0000A7600000}"/>
    <cellStyle name="Comma 3 6 2 3 4" xfId="25458" xr:uid="{00000000-0005-0000-0000-0000A8600000}"/>
    <cellStyle name="Comma 3 6 2 4" xfId="8312" xr:uid="{00000000-0005-0000-0000-0000A9600000}"/>
    <cellStyle name="Comma 3 6 2 4 2" xfId="12635" xr:uid="{00000000-0005-0000-0000-0000AA600000}"/>
    <cellStyle name="Comma 3 6 2 4 2 2" xfId="32105" xr:uid="{00000000-0005-0000-0000-0000AB600000}"/>
    <cellStyle name="Comma 3 6 2 4 3" xfId="27793" xr:uid="{00000000-0005-0000-0000-0000AC600000}"/>
    <cellStyle name="Comma 3 6 2 5" xfId="9335" xr:uid="{00000000-0005-0000-0000-0000AD600000}"/>
    <cellStyle name="Comma 3 6 2 5 2" xfId="28805" xr:uid="{00000000-0005-0000-0000-0000AE600000}"/>
    <cellStyle name="Comma 3 6 2 6" xfId="24258" xr:uid="{00000000-0005-0000-0000-0000AF600000}"/>
    <cellStyle name="Comma 3 6 3" xfId="5087" xr:uid="{00000000-0005-0000-0000-0000B0600000}"/>
    <cellStyle name="Comma 3 6 3 2" xfId="6243" xr:uid="{00000000-0005-0000-0000-0000B1600000}"/>
    <cellStyle name="Comma 3 6 3 2 2" xfId="8317" xr:uid="{00000000-0005-0000-0000-0000B2600000}"/>
    <cellStyle name="Comma 3 6 3 2 2 2" xfId="12640" xr:uid="{00000000-0005-0000-0000-0000B3600000}"/>
    <cellStyle name="Comma 3 6 3 2 2 2 2" xfId="32110" xr:uid="{00000000-0005-0000-0000-0000B4600000}"/>
    <cellStyle name="Comma 3 6 3 2 2 3" xfId="27798" xr:uid="{00000000-0005-0000-0000-0000B5600000}"/>
    <cellStyle name="Comma 3 6 3 2 3" xfId="10660" xr:uid="{00000000-0005-0000-0000-0000B6600000}"/>
    <cellStyle name="Comma 3 6 3 2 3 2" xfId="30130" xr:uid="{00000000-0005-0000-0000-0000B7600000}"/>
    <cellStyle name="Comma 3 6 3 2 4" xfId="25728" xr:uid="{00000000-0005-0000-0000-0000B8600000}"/>
    <cellStyle name="Comma 3 6 3 3" xfId="8316" xr:uid="{00000000-0005-0000-0000-0000B9600000}"/>
    <cellStyle name="Comma 3 6 3 3 2" xfId="12639" xr:uid="{00000000-0005-0000-0000-0000BA600000}"/>
    <cellStyle name="Comma 3 6 3 3 2 2" xfId="32109" xr:uid="{00000000-0005-0000-0000-0000BB600000}"/>
    <cellStyle name="Comma 3 6 3 3 3" xfId="27797" xr:uid="{00000000-0005-0000-0000-0000BC600000}"/>
    <cellStyle name="Comma 3 6 3 4" xfId="9600" xr:uid="{00000000-0005-0000-0000-0000BD600000}"/>
    <cellStyle name="Comma 3 6 3 4 2" xfId="29070" xr:uid="{00000000-0005-0000-0000-0000BE600000}"/>
    <cellStyle name="Comma 3 6 3 5" xfId="24578" xr:uid="{00000000-0005-0000-0000-0000BF600000}"/>
    <cellStyle name="Comma 3 6 4" xfId="5695" xr:uid="{00000000-0005-0000-0000-0000C0600000}"/>
    <cellStyle name="Comma 3 6 4 2" xfId="8318" xr:uid="{00000000-0005-0000-0000-0000C1600000}"/>
    <cellStyle name="Comma 3 6 4 2 2" xfId="12641" xr:uid="{00000000-0005-0000-0000-0000C2600000}"/>
    <cellStyle name="Comma 3 6 4 2 2 2" xfId="32111" xr:uid="{00000000-0005-0000-0000-0000C3600000}"/>
    <cellStyle name="Comma 3 6 4 2 3" xfId="27799" xr:uid="{00000000-0005-0000-0000-0000C4600000}"/>
    <cellStyle name="Comma 3 6 4 3" xfId="10130" xr:uid="{00000000-0005-0000-0000-0000C5600000}"/>
    <cellStyle name="Comma 3 6 4 3 2" xfId="29600" xr:uid="{00000000-0005-0000-0000-0000C6600000}"/>
    <cellStyle name="Comma 3 6 4 4" xfId="25180" xr:uid="{00000000-0005-0000-0000-0000C7600000}"/>
    <cellStyle name="Comma 3 6 5" xfId="8311" xr:uid="{00000000-0005-0000-0000-0000C8600000}"/>
    <cellStyle name="Comma 3 6 5 2" xfId="12634" xr:uid="{00000000-0005-0000-0000-0000C9600000}"/>
    <cellStyle name="Comma 3 6 5 2 2" xfId="32104" xr:uid="{00000000-0005-0000-0000-0000CA600000}"/>
    <cellStyle name="Comma 3 6 5 3" xfId="27792" xr:uid="{00000000-0005-0000-0000-0000CB600000}"/>
    <cellStyle name="Comma 3 6 6" xfId="9069" xr:uid="{00000000-0005-0000-0000-0000CC600000}"/>
    <cellStyle name="Comma 3 6 6 2" xfId="28540" xr:uid="{00000000-0005-0000-0000-0000CD600000}"/>
    <cellStyle name="Comma 3 6 7" xfId="23955" xr:uid="{00000000-0005-0000-0000-0000CE600000}"/>
    <cellStyle name="Comma 3 7" xfId="13339" xr:uid="{00000000-0005-0000-0000-0000CF600000}"/>
    <cellStyle name="Comma 4" xfId="2125" xr:uid="{00000000-0005-0000-0000-0000D0600000}"/>
    <cellStyle name="Comma 4 2" xfId="4565" xr:uid="{00000000-0005-0000-0000-0000D1600000}"/>
    <cellStyle name="Comma 4 2 2" xfId="13594" xr:uid="{00000000-0005-0000-0000-0000D2600000}"/>
    <cellStyle name="Comma 4 2 2 2" xfId="13895" xr:uid="{00000000-0005-0000-0000-0000D3600000}"/>
    <cellStyle name="Comma 4 2 2 2 2" xfId="14690" xr:uid="{00000000-0005-0000-0000-0000D4600000}"/>
    <cellStyle name="Comma 4 2 2 2 2 2" xfId="22110" xr:uid="{00000000-0005-0000-0000-0000D5600000}"/>
    <cellStyle name="Comma 4 2 2 2 2 2 2" xfId="41452" xr:uid="{00000000-0005-0000-0000-0000D6600000}"/>
    <cellStyle name="Comma 4 2 2 2 2 3" xfId="34051" xr:uid="{00000000-0005-0000-0000-0000D7600000}"/>
    <cellStyle name="Comma 4 2 2 2 3" xfId="21318" xr:uid="{00000000-0005-0000-0000-0000D8600000}"/>
    <cellStyle name="Comma 4 2 2 2 3 2" xfId="40660" xr:uid="{00000000-0005-0000-0000-0000D9600000}"/>
    <cellStyle name="Comma 4 2 2 2 4" xfId="33259" xr:uid="{00000000-0005-0000-0000-0000DA600000}"/>
    <cellStyle name="Comma 4 2 2 3" xfId="14405" xr:uid="{00000000-0005-0000-0000-0000DB600000}"/>
    <cellStyle name="Comma 4 2 2 3 2" xfId="21825" xr:uid="{00000000-0005-0000-0000-0000DC600000}"/>
    <cellStyle name="Comma 4 2 2 3 2 2" xfId="41167" xr:uid="{00000000-0005-0000-0000-0000DD600000}"/>
    <cellStyle name="Comma 4 2 2 3 3" xfId="33766" xr:uid="{00000000-0005-0000-0000-0000DE600000}"/>
    <cellStyle name="Comma 4 2 2 4" xfId="21035" xr:uid="{00000000-0005-0000-0000-0000DF600000}"/>
    <cellStyle name="Comma 4 2 2 4 2" xfId="40377" xr:uid="{00000000-0005-0000-0000-0000E0600000}"/>
    <cellStyle name="Comma 4 2 2 5" xfId="32960" xr:uid="{00000000-0005-0000-0000-0000E1600000}"/>
    <cellStyle name="Comma 4 2 3" xfId="13782" xr:uid="{00000000-0005-0000-0000-0000E2600000}"/>
    <cellStyle name="Comma 4 2 3 2" xfId="14581" xr:uid="{00000000-0005-0000-0000-0000E3600000}"/>
    <cellStyle name="Comma 4 2 3 2 2" xfId="22001" xr:uid="{00000000-0005-0000-0000-0000E4600000}"/>
    <cellStyle name="Comma 4 2 3 2 2 2" xfId="41343" xr:uid="{00000000-0005-0000-0000-0000E5600000}"/>
    <cellStyle name="Comma 4 2 3 2 3" xfId="33942" xr:uid="{00000000-0005-0000-0000-0000E6600000}"/>
    <cellStyle name="Comma 4 2 3 3" xfId="21205" xr:uid="{00000000-0005-0000-0000-0000E7600000}"/>
    <cellStyle name="Comma 4 2 3 3 2" xfId="40547" xr:uid="{00000000-0005-0000-0000-0000E8600000}"/>
    <cellStyle name="Comma 4 2 3 4" xfId="33146" xr:uid="{00000000-0005-0000-0000-0000E9600000}"/>
    <cellStyle name="Comma 4 2 4" xfId="14300" xr:uid="{00000000-0005-0000-0000-0000EA600000}"/>
    <cellStyle name="Comma 4 2 4 2" xfId="21720" xr:uid="{00000000-0005-0000-0000-0000EB600000}"/>
    <cellStyle name="Comma 4 2 4 2 2" xfId="41062" xr:uid="{00000000-0005-0000-0000-0000EC600000}"/>
    <cellStyle name="Comma 4 2 4 3" xfId="33661" xr:uid="{00000000-0005-0000-0000-0000ED600000}"/>
    <cellStyle name="Comma 4 2 5" xfId="13470" xr:uid="{00000000-0005-0000-0000-0000EE600000}"/>
    <cellStyle name="Comma 4 2 5 2" xfId="32848" xr:uid="{00000000-0005-0000-0000-0000EF600000}"/>
    <cellStyle name="Comma 4 2 6" xfId="20969" xr:uid="{00000000-0005-0000-0000-0000F0600000}"/>
    <cellStyle name="Comma 4 2 6 2" xfId="40311" xr:uid="{00000000-0005-0000-0000-0000F1600000}"/>
    <cellStyle name="Comma 4 3" xfId="13536" xr:uid="{00000000-0005-0000-0000-0000F2600000}"/>
    <cellStyle name="Comma 4 3 2" xfId="13836" xr:uid="{00000000-0005-0000-0000-0000F3600000}"/>
    <cellStyle name="Comma 4 3 2 2" xfId="14631" xr:uid="{00000000-0005-0000-0000-0000F4600000}"/>
    <cellStyle name="Comma 4 3 2 2 2" xfId="22051" xr:uid="{00000000-0005-0000-0000-0000F5600000}"/>
    <cellStyle name="Comma 4 3 2 2 2 2" xfId="41393" xr:uid="{00000000-0005-0000-0000-0000F6600000}"/>
    <cellStyle name="Comma 4 3 2 2 3" xfId="33992" xr:uid="{00000000-0005-0000-0000-0000F7600000}"/>
    <cellStyle name="Comma 4 3 2 3" xfId="21259" xr:uid="{00000000-0005-0000-0000-0000F8600000}"/>
    <cellStyle name="Comma 4 3 2 3 2" xfId="40601" xr:uid="{00000000-0005-0000-0000-0000F9600000}"/>
    <cellStyle name="Comma 4 3 2 4" xfId="33200" xr:uid="{00000000-0005-0000-0000-0000FA600000}"/>
    <cellStyle name="Comma 4 3 3" xfId="14352" xr:uid="{00000000-0005-0000-0000-0000FB600000}"/>
    <cellStyle name="Comma 4 3 3 2" xfId="21772" xr:uid="{00000000-0005-0000-0000-0000FC600000}"/>
    <cellStyle name="Comma 4 3 3 2 2" xfId="41114" xr:uid="{00000000-0005-0000-0000-0000FD600000}"/>
    <cellStyle name="Comma 4 3 3 3" xfId="33713" xr:uid="{00000000-0005-0000-0000-0000FE600000}"/>
    <cellStyle name="Comma 4 3 4" xfId="21014" xr:uid="{00000000-0005-0000-0000-0000FF600000}"/>
    <cellStyle name="Comma 4 3 4 2" xfId="40356" xr:uid="{00000000-0005-0000-0000-000000610000}"/>
    <cellStyle name="Comma 4 3 5" xfId="32910" xr:uid="{00000000-0005-0000-0000-000001610000}"/>
    <cellStyle name="Comma 4 4" xfId="13739" xr:uid="{00000000-0005-0000-0000-000002610000}"/>
    <cellStyle name="Comma 4 4 2" xfId="14542" xr:uid="{00000000-0005-0000-0000-000003610000}"/>
    <cellStyle name="Comma 4 4 2 2" xfId="21962" xr:uid="{00000000-0005-0000-0000-000004610000}"/>
    <cellStyle name="Comma 4 4 2 2 2" xfId="41304" xr:uid="{00000000-0005-0000-0000-000005610000}"/>
    <cellStyle name="Comma 4 4 2 3" xfId="33903" xr:uid="{00000000-0005-0000-0000-000006610000}"/>
    <cellStyle name="Comma 4 4 3" xfId="21163" xr:uid="{00000000-0005-0000-0000-000007610000}"/>
    <cellStyle name="Comma 4 4 3 2" xfId="40505" xr:uid="{00000000-0005-0000-0000-000008610000}"/>
    <cellStyle name="Comma 4 4 4" xfId="33104" xr:uid="{00000000-0005-0000-0000-000009610000}"/>
    <cellStyle name="Comma 4 5" xfId="14255" xr:uid="{00000000-0005-0000-0000-00000A610000}"/>
    <cellStyle name="Comma 4 5 2" xfId="21676" xr:uid="{00000000-0005-0000-0000-00000B610000}"/>
    <cellStyle name="Comma 4 5 2 2" xfId="41018" xr:uid="{00000000-0005-0000-0000-00000C610000}"/>
    <cellStyle name="Comma 4 5 3" xfId="33617" xr:uid="{00000000-0005-0000-0000-00000D610000}"/>
    <cellStyle name="Comma 4 6" xfId="13354" xr:uid="{00000000-0005-0000-0000-00000E610000}"/>
    <cellStyle name="Comma 4 6 2" xfId="32754" xr:uid="{00000000-0005-0000-0000-00000F610000}"/>
    <cellStyle name="Comma 4 7" xfId="20916" xr:uid="{00000000-0005-0000-0000-000010610000}"/>
    <cellStyle name="Comma 4 7 2" xfId="40261" xr:uid="{00000000-0005-0000-0000-000011610000}"/>
    <cellStyle name="Comma 5" xfId="2659" xr:uid="{00000000-0005-0000-0000-000012610000}"/>
    <cellStyle name="Comma 5 2" xfId="4290" xr:uid="{00000000-0005-0000-0000-000013610000}"/>
    <cellStyle name="Comma 6" xfId="2660" xr:uid="{00000000-0005-0000-0000-000014610000}"/>
    <cellStyle name="Comma 7" xfId="2661" xr:uid="{00000000-0005-0000-0000-000015610000}"/>
    <cellStyle name="Comma 8" xfId="2662" xr:uid="{00000000-0005-0000-0000-000016610000}"/>
    <cellStyle name="Comma 9" xfId="2663" xr:uid="{00000000-0005-0000-0000-000017610000}"/>
    <cellStyle name="Comma(1)" xfId="1541" xr:uid="{00000000-0005-0000-0000-000018610000}"/>
    <cellStyle name="Comma(2)" xfId="1542" xr:uid="{00000000-0005-0000-0000-000019610000}"/>
    <cellStyle name="comma(3)" xfId="1543" xr:uid="{00000000-0005-0000-0000-00001A610000}"/>
    <cellStyle name="comma[0]" xfId="1544" xr:uid="{00000000-0005-0000-0000-00001B610000}"/>
    <cellStyle name="Comma_Company0320 working" xfId="1545" xr:uid="{00000000-0005-0000-0000-00001C610000}"/>
    <cellStyle name="Comma0" xfId="1546" xr:uid="{00000000-0005-0000-0000-00001F610000}"/>
    <cellStyle name="Comma0 - Modelo1" xfId="1547" xr:uid="{00000000-0005-0000-0000-000020610000}"/>
    <cellStyle name="Comma0 - Style1" xfId="1548" xr:uid="{00000000-0005-0000-0000-000021610000}"/>
    <cellStyle name="Comma0 2" xfId="2126" xr:uid="{00000000-0005-0000-0000-000022610000}"/>
    <cellStyle name="Comma0 3" xfId="4093" xr:uid="{00000000-0005-0000-0000-000023610000}"/>
    <cellStyle name="Comma0 4" xfId="13232" xr:uid="{00000000-0005-0000-0000-000024610000}"/>
    <cellStyle name="Comma0 5" xfId="13219" xr:uid="{00000000-0005-0000-0000-000025610000}"/>
    <cellStyle name="Comma0 6" xfId="13221" xr:uid="{00000000-0005-0000-0000-000026610000}"/>
    <cellStyle name="Comma0 7" xfId="20882" xr:uid="{00000000-0005-0000-0000-000027610000}"/>
    <cellStyle name="Comma1" xfId="1549" xr:uid="{00000000-0005-0000-0000-000028610000}"/>
    <cellStyle name="Comma1 - Modelo2" xfId="1550" xr:uid="{00000000-0005-0000-0000-000029610000}"/>
    <cellStyle name="Comma1 - Style2" xfId="1551" xr:uid="{00000000-0005-0000-0000-00002A610000}"/>
    <cellStyle name="Comma1_Company0187 Model" xfId="1552" xr:uid="{00000000-0005-0000-0000-00002B610000}"/>
    <cellStyle name="Comma2" xfId="1553" xr:uid="{00000000-0005-0000-0000-00002C610000}"/>
    <cellStyle name="Comma2 2" xfId="13431" xr:uid="{00000000-0005-0000-0000-00002D610000}"/>
    <cellStyle name="Comma2 2 10" xfId="20934" xr:uid="{00000000-0005-0000-0000-00002E610000}"/>
    <cellStyle name="Comma2 2 10 2" xfId="40276" xr:uid="{00000000-0005-0000-0000-00002F610000}"/>
    <cellStyle name="Comma2 2 11" xfId="32810" xr:uid="{00000000-0005-0000-0000-000030610000}"/>
    <cellStyle name="Comma2 2 2" xfId="13559" xr:uid="{00000000-0005-0000-0000-000031610000}"/>
    <cellStyle name="Comma2 2 2 10" xfId="32928" xr:uid="{00000000-0005-0000-0000-000032610000}"/>
    <cellStyle name="Comma2 2 2 2" xfId="13857" xr:uid="{00000000-0005-0000-0000-000033610000}"/>
    <cellStyle name="Comma2 2 2 2 2" xfId="14652" xr:uid="{00000000-0005-0000-0000-000034610000}"/>
    <cellStyle name="Comma2 2 2 2 2 2" xfId="17133" xr:uid="{00000000-0005-0000-0000-000035610000}"/>
    <cellStyle name="Comma2 2 2 2 2 2 2" xfId="36487" xr:uid="{00000000-0005-0000-0000-000036610000}"/>
    <cellStyle name="Comma2 2 2 2 2 3" xfId="19564" xr:uid="{00000000-0005-0000-0000-000037610000}"/>
    <cellStyle name="Comma2 2 2 2 2 3 2" xfId="38917" xr:uid="{00000000-0005-0000-0000-000038610000}"/>
    <cellStyle name="Comma2 2 2 2 2 4" xfId="22072" xr:uid="{00000000-0005-0000-0000-000039610000}"/>
    <cellStyle name="Comma2 2 2 2 2 4 2" xfId="41414" xr:uid="{00000000-0005-0000-0000-00003A610000}"/>
    <cellStyle name="Comma2 2 2 2 2 5" xfId="34013" xr:uid="{00000000-0005-0000-0000-00003B610000}"/>
    <cellStyle name="Comma2 2 2 2 3" xfId="15205" xr:uid="{00000000-0005-0000-0000-00003C610000}"/>
    <cellStyle name="Comma2 2 2 2 3 2" xfId="17681" xr:uid="{00000000-0005-0000-0000-00003D610000}"/>
    <cellStyle name="Comma2 2 2 2 3 2 2" xfId="37035" xr:uid="{00000000-0005-0000-0000-00003E610000}"/>
    <cellStyle name="Comma2 2 2 2 3 3" xfId="20112" xr:uid="{00000000-0005-0000-0000-00003F610000}"/>
    <cellStyle name="Comma2 2 2 2 3 3 2" xfId="39465" xr:uid="{00000000-0005-0000-0000-000040610000}"/>
    <cellStyle name="Comma2 2 2 2 3 4" xfId="22625" xr:uid="{00000000-0005-0000-0000-000041610000}"/>
    <cellStyle name="Comma2 2 2 2 3 4 2" xfId="41967" xr:uid="{00000000-0005-0000-0000-000042610000}"/>
    <cellStyle name="Comma2 2 2 2 3 5" xfId="34566" xr:uid="{00000000-0005-0000-0000-000043610000}"/>
    <cellStyle name="Comma2 2 2 2 4" xfId="15676" xr:uid="{00000000-0005-0000-0000-000044610000}"/>
    <cellStyle name="Comma2 2 2 2 4 2" xfId="18152" xr:uid="{00000000-0005-0000-0000-000045610000}"/>
    <cellStyle name="Comma2 2 2 2 4 2 2" xfId="37506" xr:uid="{00000000-0005-0000-0000-000046610000}"/>
    <cellStyle name="Comma2 2 2 2 4 3" xfId="20583" xr:uid="{00000000-0005-0000-0000-000047610000}"/>
    <cellStyle name="Comma2 2 2 2 4 3 2" xfId="39936" xr:uid="{00000000-0005-0000-0000-000048610000}"/>
    <cellStyle name="Comma2 2 2 2 4 4" xfId="23096" xr:uid="{00000000-0005-0000-0000-000049610000}"/>
    <cellStyle name="Comma2 2 2 2 4 4 2" xfId="42438" xr:uid="{00000000-0005-0000-0000-00004A610000}"/>
    <cellStyle name="Comma2 2 2 2 4 5" xfId="35037" xr:uid="{00000000-0005-0000-0000-00004B610000}"/>
    <cellStyle name="Comma2 2 2 2 5" xfId="16366" xr:uid="{00000000-0005-0000-0000-00004C610000}"/>
    <cellStyle name="Comma2 2 2 2 5 2" xfId="35720" xr:uid="{00000000-0005-0000-0000-00004D610000}"/>
    <cellStyle name="Comma2 2 2 2 6" xfId="18797" xr:uid="{00000000-0005-0000-0000-00004E610000}"/>
    <cellStyle name="Comma2 2 2 2 6 2" xfId="38150" xr:uid="{00000000-0005-0000-0000-00004F610000}"/>
    <cellStyle name="Comma2 2 2 2 7" xfId="21280" xr:uid="{00000000-0005-0000-0000-000050610000}"/>
    <cellStyle name="Comma2 2 2 2 7 2" xfId="40622" xr:uid="{00000000-0005-0000-0000-000051610000}"/>
    <cellStyle name="Comma2 2 2 2 8" xfId="33221" xr:uid="{00000000-0005-0000-0000-000052610000}"/>
    <cellStyle name="Comma2 2 2 3" xfId="14075" xr:uid="{00000000-0005-0000-0000-000053610000}"/>
    <cellStyle name="Comma2 2 2 3 2" xfId="14864" xr:uid="{00000000-0005-0000-0000-000054610000}"/>
    <cellStyle name="Comma2 2 2 3 2 2" xfId="17342" xr:uid="{00000000-0005-0000-0000-000055610000}"/>
    <cellStyle name="Comma2 2 2 3 2 2 2" xfId="36696" xr:uid="{00000000-0005-0000-0000-000056610000}"/>
    <cellStyle name="Comma2 2 2 3 2 3" xfId="19773" xr:uid="{00000000-0005-0000-0000-000057610000}"/>
    <cellStyle name="Comma2 2 2 3 2 3 2" xfId="39126" xr:uid="{00000000-0005-0000-0000-000058610000}"/>
    <cellStyle name="Comma2 2 2 3 2 4" xfId="22284" xr:uid="{00000000-0005-0000-0000-000059610000}"/>
    <cellStyle name="Comma2 2 2 3 2 4 2" xfId="41626" xr:uid="{00000000-0005-0000-0000-00005A610000}"/>
    <cellStyle name="Comma2 2 2 3 2 5" xfId="34225" xr:uid="{00000000-0005-0000-0000-00005B610000}"/>
    <cellStyle name="Comma2 2 2 3 3" xfId="15411" xr:uid="{00000000-0005-0000-0000-00005C610000}"/>
    <cellStyle name="Comma2 2 2 3 3 2" xfId="17887" xr:uid="{00000000-0005-0000-0000-00005D610000}"/>
    <cellStyle name="Comma2 2 2 3 3 2 2" xfId="37241" xr:uid="{00000000-0005-0000-0000-00005E610000}"/>
    <cellStyle name="Comma2 2 2 3 3 3" xfId="20318" xr:uid="{00000000-0005-0000-0000-00005F610000}"/>
    <cellStyle name="Comma2 2 2 3 3 3 2" xfId="39671" xr:uid="{00000000-0005-0000-0000-000060610000}"/>
    <cellStyle name="Comma2 2 2 3 3 4" xfId="22831" xr:uid="{00000000-0005-0000-0000-000061610000}"/>
    <cellStyle name="Comma2 2 2 3 3 4 2" xfId="42173" xr:uid="{00000000-0005-0000-0000-000062610000}"/>
    <cellStyle name="Comma2 2 2 3 3 5" xfId="34772" xr:uid="{00000000-0005-0000-0000-000063610000}"/>
    <cellStyle name="Comma2 2 2 3 4" xfId="15870" xr:uid="{00000000-0005-0000-0000-000064610000}"/>
    <cellStyle name="Comma2 2 2 3 4 2" xfId="18346" xr:uid="{00000000-0005-0000-0000-000065610000}"/>
    <cellStyle name="Comma2 2 2 3 4 2 2" xfId="37700" xr:uid="{00000000-0005-0000-0000-000066610000}"/>
    <cellStyle name="Comma2 2 2 3 4 3" xfId="20777" xr:uid="{00000000-0005-0000-0000-000067610000}"/>
    <cellStyle name="Comma2 2 2 3 4 3 2" xfId="40130" xr:uid="{00000000-0005-0000-0000-000068610000}"/>
    <cellStyle name="Comma2 2 2 3 4 4" xfId="23290" xr:uid="{00000000-0005-0000-0000-000069610000}"/>
    <cellStyle name="Comma2 2 2 3 4 4 2" xfId="42632" xr:uid="{00000000-0005-0000-0000-00006A610000}"/>
    <cellStyle name="Comma2 2 2 3 4 5" xfId="35231" xr:uid="{00000000-0005-0000-0000-00006B610000}"/>
    <cellStyle name="Comma2 2 2 3 5" xfId="16581" xr:uid="{00000000-0005-0000-0000-00006C610000}"/>
    <cellStyle name="Comma2 2 2 3 5 2" xfId="35935" xr:uid="{00000000-0005-0000-0000-00006D610000}"/>
    <cellStyle name="Comma2 2 2 3 6" xfId="19012" xr:uid="{00000000-0005-0000-0000-00006E610000}"/>
    <cellStyle name="Comma2 2 2 3 6 2" xfId="38365" xr:uid="{00000000-0005-0000-0000-00006F610000}"/>
    <cellStyle name="Comma2 2 2 3 7" xfId="21498" xr:uid="{00000000-0005-0000-0000-000070610000}"/>
    <cellStyle name="Comma2 2 2 3 7 2" xfId="40840" xr:uid="{00000000-0005-0000-0000-000071610000}"/>
    <cellStyle name="Comma2 2 2 3 8" xfId="33439" xr:uid="{00000000-0005-0000-0000-000072610000}"/>
    <cellStyle name="Comma2 2 2 4" xfId="14370" xr:uid="{00000000-0005-0000-0000-000073610000}"/>
    <cellStyle name="Comma2 2 2 4 2" xfId="16863" xr:uid="{00000000-0005-0000-0000-000074610000}"/>
    <cellStyle name="Comma2 2 2 4 2 2" xfId="36217" xr:uid="{00000000-0005-0000-0000-000075610000}"/>
    <cellStyle name="Comma2 2 2 4 3" xfId="19294" xr:uid="{00000000-0005-0000-0000-000076610000}"/>
    <cellStyle name="Comma2 2 2 4 3 2" xfId="38647" xr:uid="{00000000-0005-0000-0000-000077610000}"/>
    <cellStyle name="Comma2 2 2 4 4" xfId="21790" xr:uid="{00000000-0005-0000-0000-000078610000}"/>
    <cellStyle name="Comma2 2 2 4 4 2" xfId="41132" xr:uid="{00000000-0005-0000-0000-000079610000}"/>
    <cellStyle name="Comma2 2 2 4 5" xfId="33731" xr:uid="{00000000-0005-0000-0000-00007A610000}"/>
    <cellStyle name="Comma2 2 2 5" xfId="15001" xr:uid="{00000000-0005-0000-0000-00007B610000}"/>
    <cellStyle name="Comma2 2 2 5 2" xfId="17477" xr:uid="{00000000-0005-0000-0000-00007C610000}"/>
    <cellStyle name="Comma2 2 2 5 2 2" xfId="36831" xr:uid="{00000000-0005-0000-0000-00007D610000}"/>
    <cellStyle name="Comma2 2 2 5 3" xfId="19908" xr:uid="{00000000-0005-0000-0000-00007E610000}"/>
    <cellStyle name="Comma2 2 2 5 3 2" xfId="39261" xr:uid="{00000000-0005-0000-0000-00007F610000}"/>
    <cellStyle name="Comma2 2 2 5 4" xfId="22421" xr:uid="{00000000-0005-0000-0000-000080610000}"/>
    <cellStyle name="Comma2 2 2 5 4 2" xfId="41763" xr:uid="{00000000-0005-0000-0000-000081610000}"/>
    <cellStyle name="Comma2 2 2 5 5" xfId="34362" xr:uid="{00000000-0005-0000-0000-000082610000}"/>
    <cellStyle name="Comma2 2 2 6" xfId="14234" xr:uid="{00000000-0005-0000-0000-000083610000}"/>
    <cellStyle name="Comma2 2 2 6 2" xfId="16737" xr:uid="{00000000-0005-0000-0000-000084610000}"/>
    <cellStyle name="Comma2 2 2 6 2 2" xfId="36091" xr:uid="{00000000-0005-0000-0000-000085610000}"/>
    <cellStyle name="Comma2 2 2 6 3" xfId="19168" xr:uid="{00000000-0005-0000-0000-000086610000}"/>
    <cellStyle name="Comma2 2 2 6 3 2" xfId="38521" xr:uid="{00000000-0005-0000-0000-000087610000}"/>
    <cellStyle name="Comma2 2 2 6 4" xfId="21655" xr:uid="{00000000-0005-0000-0000-000088610000}"/>
    <cellStyle name="Comma2 2 2 6 4 2" xfId="40997" xr:uid="{00000000-0005-0000-0000-000089610000}"/>
    <cellStyle name="Comma2 2 2 6 5" xfId="33596" xr:uid="{00000000-0005-0000-0000-00008A610000}"/>
    <cellStyle name="Comma2 2 2 7" xfId="16101" xr:uid="{00000000-0005-0000-0000-00008B610000}"/>
    <cellStyle name="Comma2 2 2 7 2" xfId="35455" xr:uid="{00000000-0005-0000-0000-00008C610000}"/>
    <cellStyle name="Comma2 2 2 8" xfId="18513" xr:uid="{00000000-0005-0000-0000-00008D610000}"/>
    <cellStyle name="Comma2 2 2 8 2" xfId="37866" xr:uid="{00000000-0005-0000-0000-00008E610000}"/>
    <cellStyle name="Comma2 2 2 9" xfId="21023" xr:uid="{00000000-0005-0000-0000-00008F610000}"/>
    <cellStyle name="Comma2 2 2 9 2" xfId="40365" xr:uid="{00000000-0005-0000-0000-000090610000}"/>
    <cellStyle name="Comma2 2 3" xfId="13630" xr:uid="{00000000-0005-0000-0000-000091610000}"/>
    <cellStyle name="Comma2 2 3 2" xfId="13930" xr:uid="{00000000-0005-0000-0000-000092610000}"/>
    <cellStyle name="Comma2 2 3 2 2" xfId="14725" xr:uid="{00000000-0005-0000-0000-000093610000}"/>
    <cellStyle name="Comma2 2 3 2 2 2" xfId="17203" xr:uid="{00000000-0005-0000-0000-000094610000}"/>
    <cellStyle name="Comma2 2 3 2 2 2 2" xfId="36557" xr:uid="{00000000-0005-0000-0000-000095610000}"/>
    <cellStyle name="Comma2 2 3 2 2 3" xfId="19634" xr:uid="{00000000-0005-0000-0000-000096610000}"/>
    <cellStyle name="Comma2 2 3 2 2 3 2" xfId="38987" xr:uid="{00000000-0005-0000-0000-000097610000}"/>
    <cellStyle name="Comma2 2 3 2 2 4" xfId="22145" xr:uid="{00000000-0005-0000-0000-000098610000}"/>
    <cellStyle name="Comma2 2 3 2 2 4 2" xfId="41487" xr:uid="{00000000-0005-0000-0000-000099610000}"/>
    <cellStyle name="Comma2 2 3 2 2 5" xfId="34086" xr:uid="{00000000-0005-0000-0000-00009A610000}"/>
    <cellStyle name="Comma2 2 3 2 3" xfId="15273" xr:uid="{00000000-0005-0000-0000-00009B610000}"/>
    <cellStyle name="Comma2 2 3 2 3 2" xfId="17749" xr:uid="{00000000-0005-0000-0000-00009C610000}"/>
    <cellStyle name="Comma2 2 3 2 3 2 2" xfId="37103" xr:uid="{00000000-0005-0000-0000-00009D610000}"/>
    <cellStyle name="Comma2 2 3 2 3 3" xfId="20180" xr:uid="{00000000-0005-0000-0000-00009E610000}"/>
    <cellStyle name="Comma2 2 3 2 3 3 2" xfId="39533" xr:uid="{00000000-0005-0000-0000-00009F610000}"/>
    <cellStyle name="Comma2 2 3 2 3 4" xfId="22693" xr:uid="{00000000-0005-0000-0000-0000A0610000}"/>
    <cellStyle name="Comma2 2 3 2 3 4 2" xfId="42035" xr:uid="{00000000-0005-0000-0000-0000A1610000}"/>
    <cellStyle name="Comma2 2 3 2 3 5" xfId="34634" xr:uid="{00000000-0005-0000-0000-0000A2610000}"/>
    <cellStyle name="Comma2 2 3 2 4" xfId="15732" xr:uid="{00000000-0005-0000-0000-0000A3610000}"/>
    <cellStyle name="Comma2 2 3 2 4 2" xfId="18208" xr:uid="{00000000-0005-0000-0000-0000A4610000}"/>
    <cellStyle name="Comma2 2 3 2 4 2 2" xfId="37562" xr:uid="{00000000-0005-0000-0000-0000A5610000}"/>
    <cellStyle name="Comma2 2 3 2 4 3" xfId="20639" xr:uid="{00000000-0005-0000-0000-0000A6610000}"/>
    <cellStyle name="Comma2 2 3 2 4 3 2" xfId="39992" xr:uid="{00000000-0005-0000-0000-0000A7610000}"/>
    <cellStyle name="Comma2 2 3 2 4 4" xfId="23152" xr:uid="{00000000-0005-0000-0000-0000A8610000}"/>
    <cellStyle name="Comma2 2 3 2 4 4 2" xfId="42494" xr:uid="{00000000-0005-0000-0000-0000A9610000}"/>
    <cellStyle name="Comma2 2 3 2 4 5" xfId="35093" xr:uid="{00000000-0005-0000-0000-0000AA610000}"/>
    <cellStyle name="Comma2 2 3 2 5" xfId="16436" xr:uid="{00000000-0005-0000-0000-0000AB610000}"/>
    <cellStyle name="Comma2 2 3 2 5 2" xfId="35790" xr:uid="{00000000-0005-0000-0000-0000AC610000}"/>
    <cellStyle name="Comma2 2 3 2 6" xfId="18867" xr:uid="{00000000-0005-0000-0000-0000AD610000}"/>
    <cellStyle name="Comma2 2 3 2 6 2" xfId="38220" xr:uid="{00000000-0005-0000-0000-0000AE610000}"/>
    <cellStyle name="Comma2 2 3 2 7" xfId="21353" xr:uid="{00000000-0005-0000-0000-0000AF610000}"/>
    <cellStyle name="Comma2 2 3 2 7 2" xfId="40695" xr:uid="{00000000-0005-0000-0000-0000B0610000}"/>
    <cellStyle name="Comma2 2 3 2 8" xfId="33294" xr:uid="{00000000-0005-0000-0000-0000B1610000}"/>
    <cellStyle name="Comma2 2 3 3" xfId="14145" xr:uid="{00000000-0005-0000-0000-0000B2610000}"/>
    <cellStyle name="Comma2 2 3 3 2" xfId="14922" xr:uid="{00000000-0005-0000-0000-0000B3610000}"/>
    <cellStyle name="Comma2 2 3 3 2 2" xfId="17400" xr:uid="{00000000-0005-0000-0000-0000B4610000}"/>
    <cellStyle name="Comma2 2 3 3 2 2 2" xfId="36754" xr:uid="{00000000-0005-0000-0000-0000B5610000}"/>
    <cellStyle name="Comma2 2 3 3 2 3" xfId="19831" xr:uid="{00000000-0005-0000-0000-0000B6610000}"/>
    <cellStyle name="Comma2 2 3 3 2 3 2" xfId="39184" xr:uid="{00000000-0005-0000-0000-0000B7610000}"/>
    <cellStyle name="Comma2 2 3 3 2 4" xfId="22342" xr:uid="{00000000-0005-0000-0000-0000B8610000}"/>
    <cellStyle name="Comma2 2 3 3 2 4 2" xfId="41684" xr:uid="{00000000-0005-0000-0000-0000B9610000}"/>
    <cellStyle name="Comma2 2 3 3 2 5" xfId="34283" xr:uid="{00000000-0005-0000-0000-0000BA610000}"/>
    <cellStyle name="Comma2 2 3 3 3" xfId="15468" xr:uid="{00000000-0005-0000-0000-0000BB610000}"/>
    <cellStyle name="Comma2 2 3 3 3 2" xfId="17944" xr:uid="{00000000-0005-0000-0000-0000BC610000}"/>
    <cellStyle name="Comma2 2 3 3 3 2 2" xfId="37298" xr:uid="{00000000-0005-0000-0000-0000BD610000}"/>
    <cellStyle name="Comma2 2 3 3 3 3" xfId="20375" xr:uid="{00000000-0005-0000-0000-0000BE610000}"/>
    <cellStyle name="Comma2 2 3 3 3 3 2" xfId="39728" xr:uid="{00000000-0005-0000-0000-0000BF610000}"/>
    <cellStyle name="Comma2 2 3 3 3 4" xfId="22888" xr:uid="{00000000-0005-0000-0000-0000C0610000}"/>
    <cellStyle name="Comma2 2 3 3 3 4 2" xfId="42230" xr:uid="{00000000-0005-0000-0000-0000C1610000}"/>
    <cellStyle name="Comma2 2 3 3 3 5" xfId="34829" xr:uid="{00000000-0005-0000-0000-0000C2610000}"/>
    <cellStyle name="Comma2 2 3 3 4" xfId="15927" xr:uid="{00000000-0005-0000-0000-0000C3610000}"/>
    <cellStyle name="Comma2 2 3 3 4 2" xfId="18403" xr:uid="{00000000-0005-0000-0000-0000C4610000}"/>
    <cellStyle name="Comma2 2 3 3 4 2 2" xfId="37757" xr:uid="{00000000-0005-0000-0000-0000C5610000}"/>
    <cellStyle name="Comma2 2 3 3 4 3" xfId="20834" xr:uid="{00000000-0005-0000-0000-0000C6610000}"/>
    <cellStyle name="Comma2 2 3 3 4 3 2" xfId="40187" xr:uid="{00000000-0005-0000-0000-0000C7610000}"/>
    <cellStyle name="Comma2 2 3 3 4 4" xfId="23347" xr:uid="{00000000-0005-0000-0000-0000C8610000}"/>
    <cellStyle name="Comma2 2 3 3 4 4 2" xfId="42689" xr:uid="{00000000-0005-0000-0000-0000C9610000}"/>
    <cellStyle name="Comma2 2 3 3 4 5" xfId="35288" xr:uid="{00000000-0005-0000-0000-0000CA610000}"/>
    <cellStyle name="Comma2 2 3 3 5" xfId="16651" xr:uid="{00000000-0005-0000-0000-0000CB610000}"/>
    <cellStyle name="Comma2 2 3 3 5 2" xfId="36005" xr:uid="{00000000-0005-0000-0000-0000CC610000}"/>
    <cellStyle name="Comma2 2 3 3 6" xfId="19082" xr:uid="{00000000-0005-0000-0000-0000CD610000}"/>
    <cellStyle name="Comma2 2 3 3 6 2" xfId="38435" xr:uid="{00000000-0005-0000-0000-0000CE610000}"/>
    <cellStyle name="Comma2 2 3 3 7" xfId="21568" xr:uid="{00000000-0005-0000-0000-0000CF610000}"/>
    <cellStyle name="Comma2 2 3 3 7 2" xfId="40910" xr:uid="{00000000-0005-0000-0000-0000D0610000}"/>
    <cellStyle name="Comma2 2 3 3 8" xfId="33509" xr:uid="{00000000-0005-0000-0000-0000D1610000}"/>
    <cellStyle name="Comma2 2 3 4" xfId="14440" xr:uid="{00000000-0005-0000-0000-0000D2610000}"/>
    <cellStyle name="Comma2 2 3 4 2" xfId="16930" xr:uid="{00000000-0005-0000-0000-0000D3610000}"/>
    <cellStyle name="Comma2 2 3 4 2 2" xfId="36284" xr:uid="{00000000-0005-0000-0000-0000D4610000}"/>
    <cellStyle name="Comma2 2 3 4 3" xfId="19361" xr:uid="{00000000-0005-0000-0000-0000D5610000}"/>
    <cellStyle name="Comma2 2 3 4 3 2" xfId="38714" xr:uid="{00000000-0005-0000-0000-0000D6610000}"/>
    <cellStyle name="Comma2 2 3 4 4" xfId="21860" xr:uid="{00000000-0005-0000-0000-0000D7610000}"/>
    <cellStyle name="Comma2 2 3 4 4 2" xfId="41202" xr:uid="{00000000-0005-0000-0000-0000D8610000}"/>
    <cellStyle name="Comma2 2 3 4 5" xfId="33801" xr:uid="{00000000-0005-0000-0000-0000D9610000}"/>
    <cellStyle name="Comma2 2 3 5" xfId="15520" xr:uid="{00000000-0005-0000-0000-0000DA610000}"/>
    <cellStyle name="Comma2 2 3 5 2" xfId="17996" xr:uid="{00000000-0005-0000-0000-0000DB610000}"/>
    <cellStyle name="Comma2 2 3 5 2 2" xfId="37350" xr:uid="{00000000-0005-0000-0000-0000DC610000}"/>
    <cellStyle name="Comma2 2 3 5 3" xfId="20427" xr:uid="{00000000-0005-0000-0000-0000DD610000}"/>
    <cellStyle name="Comma2 2 3 5 3 2" xfId="39780" xr:uid="{00000000-0005-0000-0000-0000DE610000}"/>
    <cellStyle name="Comma2 2 3 5 4" xfId="22940" xr:uid="{00000000-0005-0000-0000-0000DF610000}"/>
    <cellStyle name="Comma2 2 3 5 4 2" xfId="42282" xr:uid="{00000000-0005-0000-0000-0000E0610000}"/>
    <cellStyle name="Comma2 2 3 5 5" xfId="34881" xr:uid="{00000000-0005-0000-0000-0000E1610000}"/>
    <cellStyle name="Comma2 2 3 6" xfId="16150" xr:uid="{00000000-0005-0000-0000-0000E2610000}"/>
    <cellStyle name="Comma2 2 3 6 2" xfId="35504" xr:uid="{00000000-0005-0000-0000-0000E3610000}"/>
    <cellStyle name="Comma2 2 3 7" xfId="18581" xr:uid="{00000000-0005-0000-0000-0000E4610000}"/>
    <cellStyle name="Comma2 2 3 7 2" xfId="37934" xr:uid="{00000000-0005-0000-0000-0000E5610000}"/>
    <cellStyle name="Comma2 2 3 8" xfId="21055" xr:uid="{00000000-0005-0000-0000-0000E6610000}"/>
    <cellStyle name="Comma2 2 3 8 2" xfId="40397" xr:uid="{00000000-0005-0000-0000-0000E7610000}"/>
    <cellStyle name="Comma2 2 3 9" xfId="32996" xr:uid="{00000000-0005-0000-0000-0000E8610000}"/>
    <cellStyle name="Comma2 2 4" xfId="13760" xr:uid="{00000000-0005-0000-0000-0000E9610000}"/>
    <cellStyle name="Comma2 2 4 2" xfId="14561" xr:uid="{00000000-0005-0000-0000-0000EA610000}"/>
    <cellStyle name="Comma2 2 4 2 2" xfId="17048" xr:uid="{00000000-0005-0000-0000-0000EB610000}"/>
    <cellStyle name="Comma2 2 4 2 2 2" xfId="36402" xr:uid="{00000000-0005-0000-0000-0000EC610000}"/>
    <cellStyle name="Comma2 2 4 2 3" xfId="19479" xr:uid="{00000000-0005-0000-0000-0000ED610000}"/>
    <cellStyle name="Comma2 2 4 2 3 2" xfId="38832" xr:uid="{00000000-0005-0000-0000-0000EE610000}"/>
    <cellStyle name="Comma2 2 4 2 4" xfId="21981" xr:uid="{00000000-0005-0000-0000-0000EF610000}"/>
    <cellStyle name="Comma2 2 4 2 4 2" xfId="41323" xr:uid="{00000000-0005-0000-0000-0000F0610000}"/>
    <cellStyle name="Comma2 2 4 2 5" xfId="33922" xr:uid="{00000000-0005-0000-0000-0000F1610000}"/>
    <cellStyle name="Comma2 2 4 3" xfId="15122" xr:uid="{00000000-0005-0000-0000-0000F2610000}"/>
    <cellStyle name="Comma2 2 4 3 2" xfId="17598" xr:uid="{00000000-0005-0000-0000-0000F3610000}"/>
    <cellStyle name="Comma2 2 4 3 2 2" xfId="36952" xr:uid="{00000000-0005-0000-0000-0000F4610000}"/>
    <cellStyle name="Comma2 2 4 3 3" xfId="20029" xr:uid="{00000000-0005-0000-0000-0000F5610000}"/>
    <cellStyle name="Comma2 2 4 3 3 2" xfId="39382" xr:uid="{00000000-0005-0000-0000-0000F6610000}"/>
    <cellStyle name="Comma2 2 4 3 4" xfId="22542" xr:uid="{00000000-0005-0000-0000-0000F7610000}"/>
    <cellStyle name="Comma2 2 4 3 4 2" xfId="41884" xr:uid="{00000000-0005-0000-0000-0000F8610000}"/>
    <cellStyle name="Comma2 2 4 3 5" xfId="34483" xr:uid="{00000000-0005-0000-0000-0000F9610000}"/>
    <cellStyle name="Comma2 2 4 4" xfId="15604" xr:uid="{00000000-0005-0000-0000-0000FA610000}"/>
    <cellStyle name="Comma2 2 4 4 2" xfId="18080" xr:uid="{00000000-0005-0000-0000-0000FB610000}"/>
    <cellStyle name="Comma2 2 4 4 2 2" xfId="37434" xr:uid="{00000000-0005-0000-0000-0000FC610000}"/>
    <cellStyle name="Comma2 2 4 4 3" xfId="20511" xr:uid="{00000000-0005-0000-0000-0000FD610000}"/>
    <cellStyle name="Comma2 2 4 4 3 2" xfId="39864" xr:uid="{00000000-0005-0000-0000-0000FE610000}"/>
    <cellStyle name="Comma2 2 4 4 4" xfId="23024" xr:uid="{00000000-0005-0000-0000-0000FF610000}"/>
    <cellStyle name="Comma2 2 4 4 4 2" xfId="42366" xr:uid="{00000000-0005-0000-0000-000000620000}"/>
    <cellStyle name="Comma2 2 4 4 5" xfId="34965" xr:uid="{00000000-0005-0000-0000-000001620000}"/>
    <cellStyle name="Comma2 2 4 5" xfId="16275" xr:uid="{00000000-0005-0000-0000-000002620000}"/>
    <cellStyle name="Comma2 2 4 5 2" xfId="35629" xr:uid="{00000000-0005-0000-0000-000003620000}"/>
    <cellStyle name="Comma2 2 4 6" xfId="18706" xr:uid="{00000000-0005-0000-0000-000004620000}"/>
    <cellStyle name="Comma2 2 4 6 2" xfId="38059" xr:uid="{00000000-0005-0000-0000-000005620000}"/>
    <cellStyle name="Comma2 2 4 7" xfId="21183" xr:uid="{00000000-0005-0000-0000-000006620000}"/>
    <cellStyle name="Comma2 2 4 7 2" xfId="40525" xr:uid="{00000000-0005-0000-0000-000007620000}"/>
    <cellStyle name="Comma2 2 4 8" xfId="33124" xr:uid="{00000000-0005-0000-0000-000008620000}"/>
    <cellStyle name="Comma2 2 5" xfId="13983" xr:uid="{00000000-0005-0000-0000-000009620000}"/>
    <cellStyle name="Comma2 2 5 2" xfId="14778" xr:uid="{00000000-0005-0000-0000-00000A620000}"/>
    <cellStyle name="Comma2 2 5 2 2" xfId="17256" xr:uid="{00000000-0005-0000-0000-00000B620000}"/>
    <cellStyle name="Comma2 2 5 2 2 2" xfId="36610" xr:uid="{00000000-0005-0000-0000-00000C620000}"/>
    <cellStyle name="Comma2 2 5 2 3" xfId="19687" xr:uid="{00000000-0005-0000-0000-00000D620000}"/>
    <cellStyle name="Comma2 2 5 2 3 2" xfId="39040" xr:uid="{00000000-0005-0000-0000-00000E620000}"/>
    <cellStyle name="Comma2 2 5 2 4" xfId="22198" xr:uid="{00000000-0005-0000-0000-00000F620000}"/>
    <cellStyle name="Comma2 2 5 2 4 2" xfId="41540" xr:uid="{00000000-0005-0000-0000-000010620000}"/>
    <cellStyle name="Comma2 2 5 2 5" xfId="34139" xr:uid="{00000000-0005-0000-0000-000011620000}"/>
    <cellStyle name="Comma2 2 5 3" xfId="15326" xr:uid="{00000000-0005-0000-0000-000012620000}"/>
    <cellStyle name="Comma2 2 5 3 2" xfId="17802" xr:uid="{00000000-0005-0000-0000-000013620000}"/>
    <cellStyle name="Comma2 2 5 3 2 2" xfId="37156" xr:uid="{00000000-0005-0000-0000-000014620000}"/>
    <cellStyle name="Comma2 2 5 3 3" xfId="20233" xr:uid="{00000000-0005-0000-0000-000015620000}"/>
    <cellStyle name="Comma2 2 5 3 3 2" xfId="39586" xr:uid="{00000000-0005-0000-0000-000016620000}"/>
    <cellStyle name="Comma2 2 5 3 4" xfId="22746" xr:uid="{00000000-0005-0000-0000-000017620000}"/>
    <cellStyle name="Comma2 2 5 3 4 2" xfId="42088" xr:uid="{00000000-0005-0000-0000-000018620000}"/>
    <cellStyle name="Comma2 2 5 3 5" xfId="34687" xr:uid="{00000000-0005-0000-0000-000019620000}"/>
    <cellStyle name="Comma2 2 5 4" xfId="15785" xr:uid="{00000000-0005-0000-0000-00001A620000}"/>
    <cellStyle name="Comma2 2 5 4 2" xfId="18261" xr:uid="{00000000-0005-0000-0000-00001B620000}"/>
    <cellStyle name="Comma2 2 5 4 2 2" xfId="37615" xr:uid="{00000000-0005-0000-0000-00001C620000}"/>
    <cellStyle name="Comma2 2 5 4 3" xfId="20692" xr:uid="{00000000-0005-0000-0000-00001D620000}"/>
    <cellStyle name="Comma2 2 5 4 3 2" xfId="40045" xr:uid="{00000000-0005-0000-0000-00001E620000}"/>
    <cellStyle name="Comma2 2 5 4 4" xfId="23205" xr:uid="{00000000-0005-0000-0000-00001F620000}"/>
    <cellStyle name="Comma2 2 5 4 4 2" xfId="42547" xr:uid="{00000000-0005-0000-0000-000020620000}"/>
    <cellStyle name="Comma2 2 5 4 5" xfId="35146" xr:uid="{00000000-0005-0000-0000-000021620000}"/>
    <cellStyle name="Comma2 2 5 5" xfId="16489" xr:uid="{00000000-0005-0000-0000-000022620000}"/>
    <cellStyle name="Comma2 2 5 5 2" xfId="35843" xr:uid="{00000000-0005-0000-0000-000023620000}"/>
    <cellStyle name="Comma2 2 5 6" xfId="18920" xr:uid="{00000000-0005-0000-0000-000024620000}"/>
    <cellStyle name="Comma2 2 5 6 2" xfId="38273" xr:uid="{00000000-0005-0000-0000-000025620000}"/>
    <cellStyle name="Comma2 2 5 7" xfId="21406" xr:uid="{00000000-0005-0000-0000-000026620000}"/>
    <cellStyle name="Comma2 2 5 7 2" xfId="40748" xr:uid="{00000000-0005-0000-0000-000027620000}"/>
    <cellStyle name="Comma2 2 5 8" xfId="33347" xr:uid="{00000000-0005-0000-0000-000028620000}"/>
    <cellStyle name="Comma2 2 6" xfId="14279" xr:uid="{00000000-0005-0000-0000-000029620000}"/>
    <cellStyle name="Comma2 2 6 2" xfId="16778" xr:uid="{00000000-0005-0000-0000-00002A620000}"/>
    <cellStyle name="Comma2 2 6 2 2" xfId="36132" xr:uid="{00000000-0005-0000-0000-00002B620000}"/>
    <cellStyle name="Comma2 2 6 3" xfId="19209" xr:uid="{00000000-0005-0000-0000-00002C620000}"/>
    <cellStyle name="Comma2 2 6 3 2" xfId="38562" xr:uid="{00000000-0005-0000-0000-00002D620000}"/>
    <cellStyle name="Comma2 2 6 4" xfId="21699" xr:uid="{00000000-0005-0000-0000-00002E620000}"/>
    <cellStyle name="Comma2 2 6 4 2" xfId="41041" xr:uid="{00000000-0005-0000-0000-00002F620000}"/>
    <cellStyle name="Comma2 2 6 5" xfId="33640" xr:uid="{00000000-0005-0000-0000-000030620000}"/>
    <cellStyle name="Comma2 2 7" xfId="14203" xr:uid="{00000000-0005-0000-0000-000031620000}"/>
    <cellStyle name="Comma2 2 7 2" xfId="16707" xr:uid="{00000000-0005-0000-0000-000032620000}"/>
    <cellStyle name="Comma2 2 7 2 2" xfId="36061" xr:uid="{00000000-0005-0000-0000-000033620000}"/>
    <cellStyle name="Comma2 2 7 3" xfId="19138" xr:uid="{00000000-0005-0000-0000-000034620000}"/>
    <cellStyle name="Comma2 2 7 3 2" xfId="38491" xr:uid="{00000000-0005-0000-0000-000035620000}"/>
    <cellStyle name="Comma2 2 7 4" xfId="21625" xr:uid="{00000000-0005-0000-0000-000036620000}"/>
    <cellStyle name="Comma2 2 7 4 2" xfId="40967" xr:uid="{00000000-0005-0000-0000-000037620000}"/>
    <cellStyle name="Comma2 2 7 5" xfId="33566" xr:uid="{00000000-0005-0000-0000-000038620000}"/>
    <cellStyle name="Comma2 2 8" xfId="16001" xr:uid="{00000000-0005-0000-0000-000039620000}"/>
    <cellStyle name="Comma2 2 8 2" xfId="35355" xr:uid="{00000000-0005-0000-0000-00003A620000}"/>
    <cellStyle name="Comma2 2 9" xfId="13263" xr:uid="{00000000-0005-0000-0000-00003B620000}"/>
    <cellStyle name="Comma2 2 9 2" xfId="32711" xr:uid="{00000000-0005-0000-0000-00003C620000}"/>
    <cellStyle name="Comma2 3" xfId="13444" xr:uid="{00000000-0005-0000-0000-00003D620000}"/>
    <cellStyle name="Comma2 3 2" xfId="13571" xr:uid="{00000000-0005-0000-0000-00003E620000}"/>
    <cellStyle name="Comma2 3 2 2" xfId="13870" xr:uid="{00000000-0005-0000-0000-00003F620000}"/>
    <cellStyle name="Comma2 3 2 2 2" xfId="14665" xr:uid="{00000000-0005-0000-0000-000040620000}"/>
    <cellStyle name="Comma2 3 2 2 2 2" xfId="17146" xr:uid="{00000000-0005-0000-0000-000041620000}"/>
    <cellStyle name="Comma2 3 2 2 2 2 2" xfId="36500" xr:uid="{00000000-0005-0000-0000-000042620000}"/>
    <cellStyle name="Comma2 3 2 2 2 3" xfId="19577" xr:uid="{00000000-0005-0000-0000-000043620000}"/>
    <cellStyle name="Comma2 3 2 2 2 3 2" xfId="38930" xr:uid="{00000000-0005-0000-0000-000044620000}"/>
    <cellStyle name="Comma2 3 2 2 2 4" xfId="22085" xr:uid="{00000000-0005-0000-0000-000045620000}"/>
    <cellStyle name="Comma2 3 2 2 2 4 2" xfId="41427" xr:uid="{00000000-0005-0000-0000-000046620000}"/>
    <cellStyle name="Comma2 3 2 2 2 5" xfId="34026" xr:uid="{00000000-0005-0000-0000-000047620000}"/>
    <cellStyle name="Comma2 3 2 2 3" xfId="15217" xr:uid="{00000000-0005-0000-0000-000048620000}"/>
    <cellStyle name="Comma2 3 2 2 3 2" xfId="17693" xr:uid="{00000000-0005-0000-0000-000049620000}"/>
    <cellStyle name="Comma2 3 2 2 3 2 2" xfId="37047" xr:uid="{00000000-0005-0000-0000-00004A620000}"/>
    <cellStyle name="Comma2 3 2 2 3 3" xfId="20124" xr:uid="{00000000-0005-0000-0000-00004B620000}"/>
    <cellStyle name="Comma2 3 2 2 3 3 2" xfId="39477" xr:uid="{00000000-0005-0000-0000-00004C620000}"/>
    <cellStyle name="Comma2 3 2 2 3 4" xfId="22637" xr:uid="{00000000-0005-0000-0000-00004D620000}"/>
    <cellStyle name="Comma2 3 2 2 3 4 2" xfId="41979" xr:uid="{00000000-0005-0000-0000-00004E620000}"/>
    <cellStyle name="Comma2 3 2 2 3 5" xfId="34578" xr:uid="{00000000-0005-0000-0000-00004F620000}"/>
    <cellStyle name="Comma2 3 2 2 4" xfId="15687" xr:uid="{00000000-0005-0000-0000-000050620000}"/>
    <cellStyle name="Comma2 3 2 2 4 2" xfId="18163" xr:uid="{00000000-0005-0000-0000-000051620000}"/>
    <cellStyle name="Comma2 3 2 2 4 2 2" xfId="37517" xr:uid="{00000000-0005-0000-0000-000052620000}"/>
    <cellStyle name="Comma2 3 2 2 4 3" xfId="20594" xr:uid="{00000000-0005-0000-0000-000053620000}"/>
    <cellStyle name="Comma2 3 2 2 4 3 2" xfId="39947" xr:uid="{00000000-0005-0000-0000-000054620000}"/>
    <cellStyle name="Comma2 3 2 2 4 4" xfId="23107" xr:uid="{00000000-0005-0000-0000-000055620000}"/>
    <cellStyle name="Comma2 3 2 2 4 4 2" xfId="42449" xr:uid="{00000000-0005-0000-0000-000056620000}"/>
    <cellStyle name="Comma2 3 2 2 4 5" xfId="35048" xr:uid="{00000000-0005-0000-0000-000057620000}"/>
    <cellStyle name="Comma2 3 2 2 5" xfId="16379" xr:uid="{00000000-0005-0000-0000-000058620000}"/>
    <cellStyle name="Comma2 3 2 2 5 2" xfId="35733" xr:uid="{00000000-0005-0000-0000-000059620000}"/>
    <cellStyle name="Comma2 3 2 2 6" xfId="18810" xr:uid="{00000000-0005-0000-0000-00005A620000}"/>
    <cellStyle name="Comma2 3 2 2 6 2" xfId="38163" xr:uid="{00000000-0005-0000-0000-00005B620000}"/>
    <cellStyle name="Comma2 3 2 2 7" xfId="21293" xr:uid="{00000000-0005-0000-0000-00005C620000}"/>
    <cellStyle name="Comma2 3 2 2 7 2" xfId="40635" xr:uid="{00000000-0005-0000-0000-00005D620000}"/>
    <cellStyle name="Comma2 3 2 2 8" xfId="33234" xr:uid="{00000000-0005-0000-0000-00005E620000}"/>
    <cellStyle name="Comma2 3 2 3" xfId="14088" xr:uid="{00000000-0005-0000-0000-00005F620000}"/>
    <cellStyle name="Comma2 3 2 3 2" xfId="16594" xr:uid="{00000000-0005-0000-0000-000060620000}"/>
    <cellStyle name="Comma2 3 2 3 2 2" xfId="35948" xr:uid="{00000000-0005-0000-0000-000061620000}"/>
    <cellStyle name="Comma2 3 2 3 3" xfId="19025" xr:uid="{00000000-0005-0000-0000-000062620000}"/>
    <cellStyle name="Comma2 3 2 3 3 2" xfId="38378" xr:uid="{00000000-0005-0000-0000-000063620000}"/>
    <cellStyle name="Comma2 3 2 3 4" xfId="21511" xr:uid="{00000000-0005-0000-0000-000064620000}"/>
    <cellStyle name="Comma2 3 2 3 4 2" xfId="40853" xr:uid="{00000000-0005-0000-0000-000065620000}"/>
    <cellStyle name="Comma2 3 2 3 5" xfId="33452" xr:uid="{00000000-0005-0000-0000-000066620000}"/>
    <cellStyle name="Comma2 3 2 4" xfId="15014" xr:uid="{00000000-0005-0000-0000-000067620000}"/>
    <cellStyle name="Comma2 3 2 4 2" xfId="17490" xr:uid="{00000000-0005-0000-0000-000068620000}"/>
    <cellStyle name="Comma2 3 2 4 2 2" xfId="36844" xr:uid="{00000000-0005-0000-0000-000069620000}"/>
    <cellStyle name="Comma2 3 2 4 3" xfId="19921" xr:uid="{00000000-0005-0000-0000-00006A620000}"/>
    <cellStyle name="Comma2 3 2 4 3 2" xfId="39274" xr:uid="{00000000-0005-0000-0000-00006B620000}"/>
    <cellStyle name="Comma2 3 2 4 4" xfId="22434" xr:uid="{00000000-0005-0000-0000-00006C620000}"/>
    <cellStyle name="Comma2 3 2 4 4 2" xfId="41776" xr:uid="{00000000-0005-0000-0000-00006D620000}"/>
    <cellStyle name="Comma2 3 2 4 5" xfId="34375" xr:uid="{00000000-0005-0000-0000-00006E620000}"/>
    <cellStyle name="Comma2 3 3" xfId="13640" xr:uid="{00000000-0005-0000-0000-00006F620000}"/>
    <cellStyle name="Comma2 3 3 2" xfId="13938" xr:uid="{00000000-0005-0000-0000-000070620000}"/>
    <cellStyle name="Comma2 3 3 2 2" xfId="14733" xr:uid="{00000000-0005-0000-0000-000071620000}"/>
    <cellStyle name="Comma2 3 3 2 2 2" xfId="17211" xr:uid="{00000000-0005-0000-0000-000072620000}"/>
    <cellStyle name="Comma2 3 3 2 2 2 2" xfId="36565" xr:uid="{00000000-0005-0000-0000-000073620000}"/>
    <cellStyle name="Comma2 3 3 2 2 3" xfId="19642" xr:uid="{00000000-0005-0000-0000-000074620000}"/>
    <cellStyle name="Comma2 3 3 2 2 3 2" xfId="38995" xr:uid="{00000000-0005-0000-0000-000075620000}"/>
    <cellStyle name="Comma2 3 3 2 2 4" xfId="22153" xr:uid="{00000000-0005-0000-0000-000076620000}"/>
    <cellStyle name="Comma2 3 3 2 2 4 2" xfId="41495" xr:uid="{00000000-0005-0000-0000-000077620000}"/>
    <cellStyle name="Comma2 3 3 2 2 5" xfId="34094" xr:uid="{00000000-0005-0000-0000-000078620000}"/>
    <cellStyle name="Comma2 3 3 2 3" xfId="15281" xr:uid="{00000000-0005-0000-0000-000079620000}"/>
    <cellStyle name="Comma2 3 3 2 3 2" xfId="17757" xr:uid="{00000000-0005-0000-0000-00007A620000}"/>
    <cellStyle name="Comma2 3 3 2 3 2 2" xfId="37111" xr:uid="{00000000-0005-0000-0000-00007B620000}"/>
    <cellStyle name="Comma2 3 3 2 3 3" xfId="20188" xr:uid="{00000000-0005-0000-0000-00007C620000}"/>
    <cellStyle name="Comma2 3 3 2 3 3 2" xfId="39541" xr:uid="{00000000-0005-0000-0000-00007D620000}"/>
    <cellStyle name="Comma2 3 3 2 3 4" xfId="22701" xr:uid="{00000000-0005-0000-0000-00007E620000}"/>
    <cellStyle name="Comma2 3 3 2 3 4 2" xfId="42043" xr:uid="{00000000-0005-0000-0000-00007F620000}"/>
    <cellStyle name="Comma2 3 3 2 3 5" xfId="34642" xr:uid="{00000000-0005-0000-0000-000080620000}"/>
    <cellStyle name="Comma2 3 3 2 4" xfId="15740" xr:uid="{00000000-0005-0000-0000-000081620000}"/>
    <cellStyle name="Comma2 3 3 2 4 2" xfId="18216" xr:uid="{00000000-0005-0000-0000-000082620000}"/>
    <cellStyle name="Comma2 3 3 2 4 2 2" xfId="37570" xr:uid="{00000000-0005-0000-0000-000083620000}"/>
    <cellStyle name="Comma2 3 3 2 4 3" xfId="20647" xr:uid="{00000000-0005-0000-0000-000084620000}"/>
    <cellStyle name="Comma2 3 3 2 4 3 2" xfId="40000" xr:uid="{00000000-0005-0000-0000-000085620000}"/>
    <cellStyle name="Comma2 3 3 2 4 4" xfId="23160" xr:uid="{00000000-0005-0000-0000-000086620000}"/>
    <cellStyle name="Comma2 3 3 2 4 4 2" xfId="42502" xr:uid="{00000000-0005-0000-0000-000087620000}"/>
    <cellStyle name="Comma2 3 3 2 4 5" xfId="35101" xr:uid="{00000000-0005-0000-0000-000088620000}"/>
    <cellStyle name="Comma2 3 3 2 5" xfId="16444" xr:uid="{00000000-0005-0000-0000-000089620000}"/>
    <cellStyle name="Comma2 3 3 2 5 2" xfId="35798" xr:uid="{00000000-0005-0000-0000-00008A620000}"/>
    <cellStyle name="Comma2 3 3 2 6" xfId="18875" xr:uid="{00000000-0005-0000-0000-00008B620000}"/>
    <cellStyle name="Comma2 3 3 2 6 2" xfId="38228" xr:uid="{00000000-0005-0000-0000-00008C620000}"/>
    <cellStyle name="Comma2 3 3 2 7" xfId="21361" xr:uid="{00000000-0005-0000-0000-00008D620000}"/>
    <cellStyle name="Comma2 3 3 2 7 2" xfId="40703" xr:uid="{00000000-0005-0000-0000-00008E620000}"/>
    <cellStyle name="Comma2 3 3 2 8" xfId="33302" xr:uid="{00000000-0005-0000-0000-00008F620000}"/>
    <cellStyle name="Comma2 3 3 3" xfId="14152" xr:uid="{00000000-0005-0000-0000-000090620000}"/>
    <cellStyle name="Comma2 3 3 3 2" xfId="14929" xr:uid="{00000000-0005-0000-0000-000091620000}"/>
    <cellStyle name="Comma2 3 3 3 2 2" xfId="17407" xr:uid="{00000000-0005-0000-0000-000092620000}"/>
    <cellStyle name="Comma2 3 3 3 2 2 2" xfId="36761" xr:uid="{00000000-0005-0000-0000-000093620000}"/>
    <cellStyle name="Comma2 3 3 3 2 3" xfId="19838" xr:uid="{00000000-0005-0000-0000-000094620000}"/>
    <cellStyle name="Comma2 3 3 3 2 3 2" xfId="39191" xr:uid="{00000000-0005-0000-0000-000095620000}"/>
    <cellStyle name="Comma2 3 3 3 2 4" xfId="22349" xr:uid="{00000000-0005-0000-0000-000096620000}"/>
    <cellStyle name="Comma2 3 3 3 2 4 2" xfId="41691" xr:uid="{00000000-0005-0000-0000-000097620000}"/>
    <cellStyle name="Comma2 3 3 3 2 5" xfId="34290" xr:uid="{00000000-0005-0000-0000-000098620000}"/>
    <cellStyle name="Comma2 3 3 3 3" xfId="15475" xr:uid="{00000000-0005-0000-0000-000099620000}"/>
    <cellStyle name="Comma2 3 3 3 3 2" xfId="17951" xr:uid="{00000000-0005-0000-0000-00009A620000}"/>
    <cellStyle name="Comma2 3 3 3 3 2 2" xfId="37305" xr:uid="{00000000-0005-0000-0000-00009B620000}"/>
    <cellStyle name="Comma2 3 3 3 3 3" xfId="20382" xr:uid="{00000000-0005-0000-0000-00009C620000}"/>
    <cellStyle name="Comma2 3 3 3 3 3 2" xfId="39735" xr:uid="{00000000-0005-0000-0000-00009D620000}"/>
    <cellStyle name="Comma2 3 3 3 3 4" xfId="22895" xr:uid="{00000000-0005-0000-0000-00009E620000}"/>
    <cellStyle name="Comma2 3 3 3 3 4 2" xfId="42237" xr:uid="{00000000-0005-0000-0000-00009F620000}"/>
    <cellStyle name="Comma2 3 3 3 3 5" xfId="34836" xr:uid="{00000000-0005-0000-0000-0000A0620000}"/>
    <cellStyle name="Comma2 3 3 3 4" xfId="15934" xr:uid="{00000000-0005-0000-0000-0000A1620000}"/>
    <cellStyle name="Comma2 3 3 3 4 2" xfId="18410" xr:uid="{00000000-0005-0000-0000-0000A2620000}"/>
    <cellStyle name="Comma2 3 3 3 4 2 2" xfId="37764" xr:uid="{00000000-0005-0000-0000-0000A3620000}"/>
    <cellStyle name="Comma2 3 3 3 4 3" xfId="20841" xr:uid="{00000000-0005-0000-0000-0000A4620000}"/>
    <cellStyle name="Comma2 3 3 3 4 3 2" xfId="40194" xr:uid="{00000000-0005-0000-0000-0000A5620000}"/>
    <cellStyle name="Comma2 3 3 3 4 4" xfId="23354" xr:uid="{00000000-0005-0000-0000-0000A6620000}"/>
    <cellStyle name="Comma2 3 3 3 4 4 2" xfId="42696" xr:uid="{00000000-0005-0000-0000-0000A7620000}"/>
    <cellStyle name="Comma2 3 3 3 4 5" xfId="35295" xr:uid="{00000000-0005-0000-0000-0000A8620000}"/>
    <cellStyle name="Comma2 3 3 3 5" xfId="16658" xr:uid="{00000000-0005-0000-0000-0000A9620000}"/>
    <cellStyle name="Comma2 3 3 3 5 2" xfId="36012" xr:uid="{00000000-0005-0000-0000-0000AA620000}"/>
    <cellStyle name="Comma2 3 3 3 6" xfId="19089" xr:uid="{00000000-0005-0000-0000-0000AB620000}"/>
    <cellStyle name="Comma2 3 3 3 6 2" xfId="38442" xr:uid="{00000000-0005-0000-0000-0000AC620000}"/>
    <cellStyle name="Comma2 3 3 3 7" xfId="21575" xr:uid="{00000000-0005-0000-0000-0000AD620000}"/>
    <cellStyle name="Comma2 3 3 3 7 2" xfId="40917" xr:uid="{00000000-0005-0000-0000-0000AE620000}"/>
    <cellStyle name="Comma2 3 3 3 8" xfId="33516" xr:uid="{00000000-0005-0000-0000-0000AF620000}"/>
    <cellStyle name="Comma2 3 3 4" xfId="14448" xr:uid="{00000000-0005-0000-0000-0000B0620000}"/>
    <cellStyle name="Comma2 3 3 4 2" xfId="16938" xr:uid="{00000000-0005-0000-0000-0000B1620000}"/>
    <cellStyle name="Comma2 3 3 4 2 2" xfId="36292" xr:uid="{00000000-0005-0000-0000-0000B2620000}"/>
    <cellStyle name="Comma2 3 3 4 3" xfId="19369" xr:uid="{00000000-0005-0000-0000-0000B3620000}"/>
    <cellStyle name="Comma2 3 3 4 3 2" xfId="38722" xr:uid="{00000000-0005-0000-0000-0000B4620000}"/>
    <cellStyle name="Comma2 3 3 4 4" xfId="21868" xr:uid="{00000000-0005-0000-0000-0000B5620000}"/>
    <cellStyle name="Comma2 3 3 4 4 2" xfId="41210" xr:uid="{00000000-0005-0000-0000-0000B6620000}"/>
    <cellStyle name="Comma2 3 3 4 5" xfId="33809" xr:uid="{00000000-0005-0000-0000-0000B7620000}"/>
    <cellStyle name="Comma2 3 3 5" xfId="15525" xr:uid="{00000000-0005-0000-0000-0000B8620000}"/>
    <cellStyle name="Comma2 3 3 5 2" xfId="18001" xr:uid="{00000000-0005-0000-0000-0000B9620000}"/>
    <cellStyle name="Comma2 3 3 5 2 2" xfId="37355" xr:uid="{00000000-0005-0000-0000-0000BA620000}"/>
    <cellStyle name="Comma2 3 3 5 3" xfId="20432" xr:uid="{00000000-0005-0000-0000-0000BB620000}"/>
    <cellStyle name="Comma2 3 3 5 3 2" xfId="39785" xr:uid="{00000000-0005-0000-0000-0000BC620000}"/>
    <cellStyle name="Comma2 3 3 5 4" xfId="22945" xr:uid="{00000000-0005-0000-0000-0000BD620000}"/>
    <cellStyle name="Comma2 3 3 5 4 2" xfId="42287" xr:uid="{00000000-0005-0000-0000-0000BE620000}"/>
    <cellStyle name="Comma2 3 3 5 5" xfId="34886" xr:uid="{00000000-0005-0000-0000-0000BF620000}"/>
    <cellStyle name="Comma2 3 3 6" xfId="16160" xr:uid="{00000000-0005-0000-0000-0000C0620000}"/>
    <cellStyle name="Comma2 3 3 6 2" xfId="35514" xr:uid="{00000000-0005-0000-0000-0000C1620000}"/>
    <cellStyle name="Comma2 3 3 7" xfId="18591" xr:uid="{00000000-0005-0000-0000-0000C2620000}"/>
    <cellStyle name="Comma2 3 3 7 2" xfId="37944" xr:uid="{00000000-0005-0000-0000-0000C3620000}"/>
    <cellStyle name="Comma2 3 3 8" xfId="21065" xr:uid="{00000000-0005-0000-0000-0000C4620000}"/>
    <cellStyle name="Comma2 3 3 8 2" xfId="40407" xr:uid="{00000000-0005-0000-0000-0000C5620000}"/>
    <cellStyle name="Comma2 3 3 9" xfId="33006" xr:uid="{00000000-0005-0000-0000-0000C6620000}"/>
    <cellStyle name="Comma2 3 4" xfId="16014" xr:uid="{00000000-0005-0000-0000-0000C7620000}"/>
    <cellStyle name="Comma2 3 4 2" xfId="35368" xr:uid="{00000000-0005-0000-0000-0000C8620000}"/>
    <cellStyle name="Comma2 3 5" xfId="13194" xr:uid="{00000000-0005-0000-0000-0000C9620000}"/>
    <cellStyle name="Comma2 3 5 2" xfId="32662" xr:uid="{00000000-0005-0000-0000-0000CA620000}"/>
    <cellStyle name="Comma2 3 6" xfId="20945" xr:uid="{00000000-0005-0000-0000-0000CB620000}"/>
    <cellStyle name="Comma2 3 6 2" xfId="40287" xr:uid="{00000000-0005-0000-0000-0000CC620000}"/>
    <cellStyle name="Comma2 3 7" xfId="32823" xr:uid="{00000000-0005-0000-0000-0000CD620000}"/>
    <cellStyle name="Comma2 4" xfId="13707" xr:uid="{00000000-0005-0000-0000-0000CE620000}"/>
    <cellStyle name="Comma2 4 2" xfId="14510" xr:uid="{00000000-0005-0000-0000-0000CF620000}"/>
    <cellStyle name="Comma2 4 2 2" xfId="17000" xr:uid="{00000000-0005-0000-0000-0000D0620000}"/>
    <cellStyle name="Comma2 4 2 2 2" xfId="36354" xr:uid="{00000000-0005-0000-0000-0000D1620000}"/>
    <cellStyle name="Comma2 4 2 3" xfId="19431" xr:uid="{00000000-0005-0000-0000-0000D2620000}"/>
    <cellStyle name="Comma2 4 2 3 2" xfId="38784" xr:uid="{00000000-0005-0000-0000-0000D3620000}"/>
    <cellStyle name="Comma2 4 2 4" xfId="21930" xr:uid="{00000000-0005-0000-0000-0000D4620000}"/>
    <cellStyle name="Comma2 4 2 4 2" xfId="41272" xr:uid="{00000000-0005-0000-0000-0000D5620000}"/>
    <cellStyle name="Comma2 4 2 5" xfId="33871" xr:uid="{00000000-0005-0000-0000-0000D6620000}"/>
    <cellStyle name="Comma2 4 3" xfId="15074" xr:uid="{00000000-0005-0000-0000-0000D7620000}"/>
    <cellStyle name="Comma2 4 3 2" xfId="17550" xr:uid="{00000000-0005-0000-0000-0000D8620000}"/>
    <cellStyle name="Comma2 4 3 2 2" xfId="36904" xr:uid="{00000000-0005-0000-0000-0000D9620000}"/>
    <cellStyle name="Comma2 4 3 3" xfId="19981" xr:uid="{00000000-0005-0000-0000-0000DA620000}"/>
    <cellStyle name="Comma2 4 3 3 2" xfId="39334" xr:uid="{00000000-0005-0000-0000-0000DB620000}"/>
    <cellStyle name="Comma2 4 3 4" xfId="22494" xr:uid="{00000000-0005-0000-0000-0000DC620000}"/>
    <cellStyle name="Comma2 4 3 4 2" xfId="41836" xr:uid="{00000000-0005-0000-0000-0000DD620000}"/>
    <cellStyle name="Comma2 4 3 5" xfId="34435" xr:uid="{00000000-0005-0000-0000-0000DE620000}"/>
    <cellStyle name="Comma2 4 4" xfId="15557" xr:uid="{00000000-0005-0000-0000-0000DF620000}"/>
    <cellStyle name="Comma2 4 4 2" xfId="18033" xr:uid="{00000000-0005-0000-0000-0000E0620000}"/>
    <cellStyle name="Comma2 4 4 2 2" xfId="37387" xr:uid="{00000000-0005-0000-0000-0000E1620000}"/>
    <cellStyle name="Comma2 4 4 3" xfId="20464" xr:uid="{00000000-0005-0000-0000-0000E2620000}"/>
    <cellStyle name="Comma2 4 4 3 2" xfId="39817" xr:uid="{00000000-0005-0000-0000-0000E3620000}"/>
    <cellStyle name="Comma2 4 4 4" xfId="22977" xr:uid="{00000000-0005-0000-0000-0000E4620000}"/>
    <cellStyle name="Comma2 4 4 4 2" xfId="42319" xr:uid="{00000000-0005-0000-0000-0000E5620000}"/>
    <cellStyle name="Comma2 4 4 5" xfId="34918" xr:uid="{00000000-0005-0000-0000-0000E6620000}"/>
    <cellStyle name="Comma2 4 5" xfId="16226" xr:uid="{00000000-0005-0000-0000-0000E7620000}"/>
    <cellStyle name="Comma2 4 5 2" xfId="35580" xr:uid="{00000000-0005-0000-0000-0000E8620000}"/>
    <cellStyle name="Comma2 4 6" xfId="18657" xr:uid="{00000000-0005-0000-0000-0000E9620000}"/>
    <cellStyle name="Comma2 4 6 2" xfId="38010" xr:uid="{00000000-0005-0000-0000-0000EA620000}"/>
    <cellStyle name="Comma2 4 7" xfId="21131" xr:uid="{00000000-0005-0000-0000-0000EB620000}"/>
    <cellStyle name="Comma2 4 7 2" xfId="40473" xr:uid="{00000000-0005-0000-0000-0000EC620000}"/>
    <cellStyle name="Comma2 4 8" xfId="33072" xr:uid="{00000000-0005-0000-0000-0000ED620000}"/>
    <cellStyle name="Comma3" xfId="1554" xr:uid="{00000000-0005-0000-0000-0000EE620000}"/>
    <cellStyle name="Company" xfId="3920" xr:uid="{00000000-0005-0000-0000-0000EF620000}"/>
    <cellStyle name="Company name" xfId="1555" xr:uid="{00000000-0005-0000-0000-0000F0620000}"/>
    <cellStyle name="CompanyTitle" xfId="4500" xr:uid="{00000000-0005-0000-0000-0000F1620000}"/>
    <cellStyle name="Copied" xfId="1556" xr:uid="{00000000-0005-0000-0000-0000F2620000}"/>
    <cellStyle name="Copied 2" xfId="2538" xr:uid="{00000000-0005-0000-0000-0000F3620000}"/>
    <cellStyle name="Cover Date" xfId="3921" xr:uid="{00000000-0005-0000-0000-0000F4620000}"/>
    <cellStyle name="Cover Subtitle" xfId="3922" xr:uid="{00000000-0005-0000-0000-0000F5620000}"/>
    <cellStyle name="Cover Title" xfId="3923" xr:uid="{00000000-0005-0000-0000-0000F6620000}"/>
    <cellStyle name="Cuadro 1" xfId="1557" xr:uid="{00000000-0005-0000-0000-0000F7620000}"/>
    <cellStyle name="Cuadro 2" xfId="1558" xr:uid="{00000000-0005-0000-0000-0000F8620000}"/>
    <cellStyle name="CurRatio" xfId="3924" xr:uid="{00000000-0005-0000-0000-0000F9620000}"/>
    <cellStyle name="Currency" xfId="1559" builtinId="4"/>
    <cellStyle name="Currency (3)" xfId="3925" xr:uid="{00000000-0005-0000-0000-0000FB620000}"/>
    <cellStyle name="Currency [2]" xfId="1560" xr:uid="{00000000-0005-0000-0000-0000FC620000}"/>
    <cellStyle name="Currency [2] 2" xfId="2128" xr:uid="{00000000-0005-0000-0000-0000FD620000}"/>
    <cellStyle name="Currency [2] 2 2" xfId="4890" xr:uid="{00000000-0005-0000-0000-0000FE620000}"/>
    <cellStyle name="Currency [2] 2 2 10" xfId="24385" xr:uid="{00000000-0005-0000-0000-0000FF620000}"/>
    <cellStyle name="Currency [2] 2 2 2" xfId="6085" xr:uid="{00000000-0005-0000-0000-000000630000}"/>
    <cellStyle name="Currency [2] 2 2 2 2" xfId="8319" xr:uid="{00000000-0005-0000-0000-000001630000}"/>
    <cellStyle name="Currency [2] 2 2 2 2 2" xfId="14672" xr:uid="{00000000-0005-0000-0000-000002630000}"/>
    <cellStyle name="Currency [2] 2 2 2 2 2 2" xfId="17153" xr:uid="{00000000-0005-0000-0000-000003630000}"/>
    <cellStyle name="Currency [2] 2 2 2 2 2 2 2" xfId="36507" xr:uid="{00000000-0005-0000-0000-000004630000}"/>
    <cellStyle name="Currency [2] 2 2 2 2 2 3" xfId="19584" xr:uid="{00000000-0005-0000-0000-000005630000}"/>
    <cellStyle name="Currency [2] 2 2 2 2 2 3 2" xfId="38937" xr:uid="{00000000-0005-0000-0000-000006630000}"/>
    <cellStyle name="Currency [2] 2 2 2 2 2 4" xfId="22092" xr:uid="{00000000-0005-0000-0000-000007630000}"/>
    <cellStyle name="Currency [2] 2 2 2 2 2 4 2" xfId="41434" xr:uid="{00000000-0005-0000-0000-000008630000}"/>
    <cellStyle name="Currency [2] 2 2 2 2 2 5" xfId="34033" xr:uid="{00000000-0005-0000-0000-000009630000}"/>
    <cellStyle name="Currency [2] 2 2 2 2 3" xfId="15224" xr:uid="{00000000-0005-0000-0000-00000A630000}"/>
    <cellStyle name="Currency [2] 2 2 2 2 3 2" xfId="17700" xr:uid="{00000000-0005-0000-0000-00000B630000}"/>
    <cellStyle name="Currency [2] 2 2 2 2 3 2 2" xfId="37054" xr:uid="{00000000-0005-0000-0000-00000C630000}"/>
    <cellStyle name="Currency [2] 2 2 2 2 3 3" xfId="20131" xr:uid="{00000000-0005-0000-0000-00000D630000}"/>
    <cellStyle name="Currency [2] 2 2 2 2 3 3 2" xfId="39484" xr:uid="{00000000-0005-0000-0000-00000E630000}"/>
    <cellStyle name="Currency [2] 2 2 2 2 3 4" xfId="22644" xr:uid="{00000000-0005-0000-0000-00000F630000}"/>
    <cellStyle name="Currency [2] 2 2 2 2 3 4 2" xfId="41986" xr:uid="{00000000-0005-0000-0000-000010630000}"/>
    <cellStyle name="Currency [2] 2 2 2 2 3 5" xfId="34585" xr:uid="{00000000-0005-0000-0000-000011630000}"/>
    <cellStyle name="Currency [2] 2 2 2 2 4" xfId="15694" xr:uid="{00000000-0005-0000-0000-000012630000}"/>
    <cellStyle name="Currency [2] 2 2 2 2 4 2" xfId="18170" xr:uid="{00000000-0005-0000-0000-000013630000}"/>
    <cellStyle name="Currency [2] 2 2 2 2 4 2 2" xfId="37524" xr:uid="{00000000-0005-0000-0000-000014630000}"/>
    <cellStyle name="Currency [2] 2 2 2 2 4 3" xfId="20601" xr:uid="{00000000-0005-0000-0000-000015630000}"/>
    <cellStyle name="Currency [2] 2 2 2 2 4 3 2" xfId="39954" xr:uid="{00000000-0005-0000-0000-000016630000}"/>
    <cellStyle name="Currency [2] 2 2 2 2 4 4" xfId="23114" xr:uid="{00000000-0005-0000-0000-000017630000}"/>
    <cellStyle name="Currency [2] 2 2 2 2 4 4 2" xfId="42456" xr:uid="{00000000-0005-0000-0000-000018630000}"/>
    <cellStyle name="Currency [2] 2 2 2 2 4 5" xfId="35055" xr:uid="{00000000-0005-0000-0000-000019630000}"/>
    <cellStyle name="Currency [2] 2 2 2 2 5" xfId="13877" xr:uid="{00000000-0005-0000-0000-00001A630000}"/>
    <cellStyle name="Currency [2] 2 2 2 2 5 2" xfId="33241" xr:uid="{00000000-0005-0000-0000-00001B630000}"/>
    <cellStyle name="Currency [2] 2 2 2 2 6" xfId="16386" xr:uid="{00000000-0005-0000-0000-00001C630000}"/>
    <cellStyle name="Currency [2] 2 2 2 2 6 2" xfId="35740" xr:uid="{00000000-0005-0000-0000-00001D630000}"/>
    <cellStyle name="Currency [2] 2 2 2 2 7" xfId="18817" xr:uid="{00000000-0005-0000-0000-00001E630000}"/>
    <cellStyle name="Currency [2] 2 2 2 2 7 2" xfId="38170" xr:uid="{00000000-0005-0000-0000-00001F630000}"/>
    <cellStyle name="Currency [2] 2 2 2 2 8" xfId="21300" xr:uid="{00000000-0005-0000-0000-000020630000}"/>
    <cellStyle name="Currency [2] 2 2 2 2 8 2" xfId="40642" xr:uid="{00000000-0005-0000-0000-000021630000}"/>
    <cellStyle name="Currency [2] 2 2 2 2 9" xfId="27800" xr:uid="{00000000-0005-0000-0000-000022630000}"/>
    <cellStyle name="Currency [2] 2 2 2 3" xfId="14095" xr:uid="{00000000-0005-0000-0000-000023630000}"/>
    <cellStyle name="Currency [2] 2 2 2 3 2" xfId="14876" xr:uid="{00000000-0005-0000-0000-000024630000}"/>
    <cellStyle name="Currency [2] 2 2 2 3 2 2" xfId="17354" xr:uid="{00000000-0005-0000-0000-000025630000}"/>
    <cellStyle name="Currency [2] 2 2 2 3 2 2 2" xfId="36708" xr:uid="{00000000-0005-0000-0000-000026630000}"/>
    <cellStyle name="Currency [2] 2 2 2 3 2 3" xfId="19785" xr:uid="{00000000-0005-0000-0000-000027630000}"/>
    <cellStyle name="Currency [2] 2 2 2 3 2 3 2" xfId="39138" xr:uid="{00000000-0005-0000-0000-000028630000}"/>
    <cellStyle name="Currency [2] 2 2 2 3 2 4" xfId="22296" xr:uid="{00000000-0005-0000-0000-000029630000}"/>
    <cellStyle name="Currency [2] 2 2 2 3 2 4 2" xfId="41638" xr:uid="{00000000-0005-0000-0000-00002A630000}"/>
    <cellStyle name="Currency [2] 2 2 2 3 2 5" xfId="34237" xr:uid="{00000000-0005-0000-0000-00002B630000}"/>
    <cellStyle name="Currency [2] 2 2 2 3 3" xfId="15423" xr:uid="{00000000-0005-0000-0000-00002C630000}"/>
    <cellStyle name="Currency [2] 2 2 2 3 3 2" xfId="17899" xr:uid="{00000000-0005-0000-0000-00002D630000}"/>
    <cellStyle name="Currency [2] 2 2 2 3 3 2 2" xfId="37253" xr:uid="{00000000-0005-0000-0000-00002E630000}"/>
    <cellStyle name="Currency [2] 2 2 2 3 3 3" xfId="20330" xr:uid="{00000000-0005-0000-0000-00002F630000}"/>
    <cellStyle name="Currency [2] 2 2 2 3 3 3 2" xfId="39683" xr:uid="{00000000-0005-0000-0000-000030630000}"/>
    <cellStyle name="Currency [2] 2 2 2 3 3 4" xfId="22843" xr:uid="{00000000-0005-0000-0000-000031630000}"/>
    <cellStyle name="Currency [2] 2 2 2 3 3 4 2" xfId="42185" xr:uid="{00000000-0005-0000-0000-000032630000}"/>
    <cellStyle name="Currency [2] 2 2 2 3 3 5" xfId="34784" xr:uid="{00000000-0005-0000-0000-000033630000}"/>
    <cellStyle name="Currency [2] 2 2 2 3 4" xfId="15882" xr:uid="{00000000-0005-0000-0000-000034630000}"/>
    <cellStyle name="Currency [2] 2 2 2 3 4 2" xfId="18358" xr:uid="{00000000-0005-0000-0000-000035630000}"/>
    <cellStyle name="Currency [2] 2 2 2 3 4 2 2" xfId="37712" xr:uid="{00000000-0005-0000-0000-000036630000}"/>
    <cellStyle name="Currency [2] 2 2 2 3 4 3" xfId="20789" xr:uid="{00000000-0005-0000-0000-000037630000}"/>
    <cellStyle name="Currency [2] 2 2 2 3 4 3 2" xfId="40142" xr:uid="{00000000-0005-0000-0000-000038630000}"/>
    <cellStyle name="Currency [2] 2 2 2 3 4 4" xfId="23302" xr:uid="{00000000-0005-0000-0000-000039630000}"/>
    <cellStyle name="Currency [2] 2 2 2 3 4 4 2" xfId="42644" xr:uid="{00000000-0005-0000-0000-00003A630000}"/>
    <cellStyle name="Currency [2] 2 2 2 3 4 5" xfId="35243" xr:uid="{00000000-0005-0000-0000-00003B630000}"/>
    <cellStyle name="Currency [2] 2 2 2 3 5" xfId="16601" xr:uid="{00000000-0005-0000-0000-00003C630000}"/>
    <cellStyle name="Currency [2] 2 2 2 3 5 2" xfId="35955" xr:uid="{00000000-0005-0000-0000-00003D630000}"/>
    <cellStyle name="Currency [2] 2 2 2 3 6" xfId="19032" xr:uid="{00000000-0005-0000-0000-00003E630000}"/>
    <cellStyle name="Currency [2] 2 2 2 3 6 2" xfId="38385" xr:uid="{00000000-0005-0000-0000-00003F630000}"/>
    <cellStyle name="Currency [2] 2 2 2 3 7" xfId="21518" xr:uid="{00000000-0005-0000-0000-000040630000}"/>
    <cellStyle name="Currency [2] 2 2 2 3 7 2" xfId="40860" xr:uid="{00000000-0005-0000-0000-000041630000}"/>
    <cellStyle name="Currency [2] 2 2 2 3 8" xfId="33459" xr:uid="{00000000-0005-0000-0000-000042630000}"/>
    <cellStyle name="Currency [2] 2 2 2 4" xfId="14387" xr:uid="{00000000-0005-0000-0000-000043630000}"/>
    <cellStyle name="Currency [2] 2 2 2 4 2" xfId="16880" xr:uid="{00000000-0005-0000-0000-000044630000}"/>
    <cellStyle name="Currency [2] 2 2 2 4 2 2" xfId="36234" xr:uid="{00000000-0005-0000-0000-000045630000}"/>
    <cellStyle name="Currency [2] 2 2 2 4 3" xfId="19311" xr:uid="{00000000-0005-0000-0000-000046630000}"/>
    <cellStyle name="Currency [2] 2 2 2 4 3 2" xfId="38664" xr:uid="{00000000-0005-0000-0000-000047630000}"/>
    <cellStyle name="Currency [2] 2 2 2 4 4" xfId="21807" xr:uid="{00000000-0005-0000-0000-000048630000}"/>
    <cellStyle name="Currency [2] 2 2 2 4 4 2" xfId="41149" xr:uid="{00000000-0005-0000-0000-000049630000}"/>
    <cellStyle name="Currency [2] 2 2 2 4 5" xfId="33748" xr:uid="{00000000-0005-0000-0000-00004A630000}"/>
    <cellStyle name="Currency [2] 2 2 2 5" xfId="15020" xr:uid="{00000000-0005-0000-0000-00004B630000}"/>
    <cellStyle name="Currency [2] 2 2 2 5 2" xfId="17496" xr:uid="{00000000-0005-0000-0000-00004C630000}"/>
    <cellStyle name="Currency [2] 2 2 2 5 2 2" xfId="36850" xr:uid="{00000000-0005-0000-0000-00004D630000}"/>
    <cellStyle name="Currency [2] 2 2 2 5 3" xfId="19927" xr:uid="{00000000-0005-0000-0000-00004E630000}"/>
    <cellStyle name="Currency [2] 2 2 2 5 3 2" xfId="39280" xr:uid="{00000000-0005-0000-0000-00004F630000}"/>
    <cellStyle name="Currency [2] 2 2 2 5 4" xfId="22440" xr:uid="{00000000-0005-0000-0000-000050630000}"/>
    <cellStyle name="Currency [2] 2 2 2 5 4 2" xfId="41782" xr:uid="{00000000-0005-0000-0000-000051630000}"/>
    <cellStyle name="Currency [2] 2 2 2 5 5" xfId="34381" xr:uid="{00000000-0005-0000-0000-000052630000}"/>
    <cellStyle name="Currency [2] 2 2 2 6" xfId="13578" xr:uid="{00000000-0005-0000-0000-000053630000}"/>
    <cellStyle name="Currency [2] 2 2 2 6 2" xfId="32944" xr:uid="{00000000-0005-0000-0000-000054630000}"/>
    <cellStyle name="Currency [2] 2 2 2 7" xfId="16114" xr:uid="{00000000-0005-0000-0000-000055630000}"/>
    <cellStyle name="Currency [2] 2 2 2 7 2" xfId="35468" xr:uid="{00000000-0005-0000-0000-000056630000}"/>
    <cellStyle name="Currency [2] 2 2 2 8" xfId="18530" xr:uid="{00000000-0005-0000-0000-000057630000}"/>
    <cellStyle name="Currency [2] 2 2 2 8 2" xfId="37883" xr:uid="{00000000-0005-0000-0000-000058630000}"/>
    <cellStyle name="Currency [2] 2 2 2 9" xfId="25570" xr:uid="{00000000-0005-0000-0000-000059630000}"/>
    <cellStyle name="Currency [2] 2 2 3" xfId="6645" xr:uid="{00000000-0005-0000-0000-00005A630000}"/>
    <cellStyle name="Currency [2] 2 2 3 10" xfId="21071" xr:uid="{00000000-0005-0000-0000-00005B630000}"/>
    <cellStyle name="Currency [2] 2 2 3 10 2" xfId="40413" xr:uid="{00000000-0005-0000-0000-00005C630000}"/>
    <cellStyle name="Currency [2] 2 2 3 11" xfId="26130" xr:uid="{00000000-0005-0000-0000-00005D630000}"/>
    <cellStyle name="Currency [2] 2 2 3 2" xfId="13944" xr:uid="{00000000-0005-0000-0000-00005E630000}"/>
    <cellStyle name="Currency [2] 2 2 3 2 2" xfId="14739" xr:uid="{00000000-0005-0000-0000-00005F630000}"/>
    <cellStyle name="Currency [2] 2 2 3 2 2 2" xfId="17217" xr:uid="{00000000-0005-0000-0000-000060630000}"/>
    <cellStyle name="Currency [2] 2 2 3 2 2 2 2" xfId="36571" xr:uid="{00000000-0005-0000-0000-000061630000}"/>
    <cellStyle name="Currency [2] 2 2 3 2 2 3" xfId="19648" xr:uid="{00000000-0005-0000-0000-000062630000}"/>
    <cellStyle name="Currency [2] 2 2 3 2 2 3 2" xfId="39001" xr:uid="{00000000-0005-0000-0000-000063630000}"/>
    <cellStyle name="Currency [2] 2 2 3 2 2 4" xfId="22159" xr:uid="{00000000-0005-0000-0000-000064630000}"/>
    <cellStyle name="Currency [2] 2 2 3 2 2 4 2" xfId="41501" xr:uid="{00000000-0005-0000-0000-000065630000}"/>
    <cellStyle name="Currency [2] 2 2 3 2 2 5" xfId="34100" xr:uid="{00000000-0005-0000-0000-000066630000}"/>
    <cellStyle name="Currency [2] 2 2 3 2 3" xfId="15287" xr:uid="{00000000-0005-0000-0000-000067630000}"/>
    <cellStyle name="Currency [2] 2 2 3 2 3 2" xfId="17763" xr:uid="{00000000-0005-0000-0000-000068630000}"/>
    <cellStyle name="Currency [2] 2 2 3 2 3 2 2" xfId="37117" xr:uid="{00000000-0005-0000-0000-000069630000}"/>
    <cellStyle name="Currency [2] 2 2 3 2 3 3" xfId="20194" xr:uid="{00000000-0005-0000-0000-00006A630000}"/>
    <cellStyle name="Currency [2] 2 2 3 2 3 3 2" xfId="39547" xr:uid="{00000000-0005-0000-0000-00006B630000}"/>
    <cellStyle name="Currency [2] 2 2 3 2 3 4" xfId="22707" xr:uid="{00000000-0005-0000-0000-00006C630000}"/>
    <cellStyle name="Currency [2] 2 2 3 2 3 4 2" xfId="42049" xr:uid="{00000000-0005-0000-0000-00006D630000}"/>
    <cellStyle name="Currency [2] 2 2 3 2 3 5" xfId="34648" xr:uid="{00000000-0005-0000-0000-00006E630000}"/>
    <cellStyle name="Currency [2] 2 2 3 2 4" xfId="15746" xr:uid="{00000000-0005-0000-0000-00006F630000}"/>
    <cellStyle name="Currency [2] 2 2 3 2 4 2" xfId="18222" xr:uid="{00000000-0005-0000-0000-000070630000}"/>
    <cellStyle name="Currency [2] 2 2 3 2 4 2 2" xfId="37576" xr:uid="{00000000-0005-0000-0000-000071630000}"/>
    <cellStyle name="Currency [2] 2 2 3 2 4 3" xfId="20653" xr:uid="{00000000-0005-0000-0000-000072630000}"/>
    <cellStyle name="Currency [2] 2 2 3 2 4 3 2" xfId="40006" xr:uid="{00000000-0005-0000-0000-000073630000}"/>
    <cellStyle name="Currency [2] 2 2 3 2 4 4" xfId="23166" xr:uid="{00000000-0005-0000-0000-000074630000}"/>
    <cellStyle name="Currency [2] 2 2 3 2 4 4 2" xfId="42508" xr:uid="{00000000-0005-0000-0000-000075630000}"/>
    <cellStyle name="Currency [2] 2 2 3 2 4 5" xfId="35107" xr:uid="{00000000-0005-0000-0000-000076630000}"/>
    <cellStyle name="Currency [2] 2 2 3 2 5" xfId="16450" xr:uid="{00000000-0005-0000-0000-000077630000}"/>
    <cellStyle name="Currency [2] 2 2 3 2 5 2" xfId="35804" xr:uid="{00000000-0005-0000-0000-000078630000}"/>
    <cellStyle name="Currency [2] 2 2 3 2 6" xfId="18881" xr:uid="{00000000-0005-0000-0000-000079630000}"/>
    <cellStyle name="Currency [2] 2 2 3 2 6 2" xfId="38234" xr:uid="{00000000-0005-0000-0000-00007A630000}"/>
    <cellStyle name="Currency [2] 2 2 3 2 7" xfId="21367" xr:uid="{00000000-0005-0000-0000-00007B630000}"/>
    <cellStyle name="Currency [2] 2 2 3 2 7 2" xfId="40709" xr:uid="{00000000-0005-0000-0000-00007C630000}"/>
    <cellStyle name="Currency [2] 2 2 3 2 8" xfId="33308" xr:uid="{00000000-0005-0000-0000-00007D630000}"/>
    <cellStyle name="Currency [2] 2 2 3 3" xfId="14158" xr:uid="{00000000-0005-0000-0000-00007E630000}"/>
    <cellStyle name="Currency [2] 2 2 3 3 2" xfId="14935" xr:uid="{00000000-0005-0000-0000-00007F630000}"/>
    <cellStyle name="Currency [2] 2 2 3 3 2 2" xfId="17413" xr:uid="{00000000-0005-0000-0000-000080630000}"/>
    <cellStyle name="Currency [2] 2 2 3 3 2 2 2" xfId="36767" xr:uid="{00000000-0005-0000-0000-000081630000}"/>
    <cellStyle name="Currency [2] 2 2 3 3 2 3" xfId="19844" xr:uid="{00000000-0005-0000-0000-000082630000}"/>
    <cellStyle name="Currency [2] 2 2 3 3 2 3 2" xfId="39197" xr:uid="{00000000-0005-0000-0000-000083630000}"/>
    <cellStyle name="Currency [2] 2 2 3 3 2 4" xfId="22355" xr:uid="{00000000-0005-0000-0000-000084630000}"/>
    <cellStyle name="Currency [2] 2 2 3 3 2 4 2" xfId="41697" xr:uid="{00000000-0005-0000-0000-000085630000}"/>
    <cellStyle name="Currency [2] 2 2 3 3 2 5" xfId="34296" xr:uid="{00000000-0005-0000-0000-000086630000}"/>
    <cellStyle name="Currency [2] 2 2 3 3 3" xfId="15481" xr:uid="{00000000-0005-0000-0000-000087630000}"/>
    <cellStyle name="Currency [2] 2 2 3 3 3 2" xfId="17957" xr:uid="{00000000-0005-0000-0000-000088630000}"/>
    <cellStyle name="Currency [2] 2 2 3 3 3 2 2" xfId="37311" xr:uid="{00000000-0005-0000-0000-000089630000}"/>
    <cellStyle name="Currency [2] 2 2 3 3 3 3" xfId="20388" xr:uid="{00000000-0005-0000-0000-00008A630000}"/>
    <cellStyle name="Currency [2] 2 2 3 3 3 3 2" xfId="39741" xr:uid="{00000000-0005-0000-0000-00008B630000}"/>
    <cellStyle name="Currency [2] 2 2 3 3 3 4" xfId="22901" xr:uid="{00000000-0005-0000-0000-00008C630000}"/>
    <cellStyle name="Currency [2] 2 2 3 3 3 4 2" xfId="42243" xr:uid="{00000000-0005-0000-0000-00008D630000}"/>
    <cellStyle name="Currency [2] 2 2 3 3 3 5" xfId="34842" xr:uid="{00000000-0005-0000-0000-00008E630000}"/>
    <cellStyle name="Currency [2] 2 2 3 3 4" xfId="15940" xr:uid="{00000000-0005-0000-0000-00008F630000}"/>
    <cellStyle name="Currency [2] 2 2 3 3 4 2" xfId="18416" xr:uid="{00000000-0005-0000-0000-000090630000}"/>
    <cellStyle name="Currency [2] 2 2 3 3 4 2 2" xfId="37770" xr:uid="{00000000-0005-0000-0000-000091630000}"/>
    <cellStyle name="Currency [2] 2 2 3 3 4 3" xfId="20847" xr:uid="{00000000-0005-0000-0000-000092630000}"/>
    <cellStyle name="Currency [2] 2 2 3 3 4 3 2" xfId="40200" xr:uid="{00000000-0005-0000-0000-000093630000}"/>
    <cellStyle name="Currency [2] 2 2 3 3 4 4" xfId="23360" xr:uid="{00000000-0005-0000-0000-000094630000}"/>
    <cellStyle name="Currency [2] 2 2 3 3 4 4 2" xfId="42702" xr:uid="{00000000-0005-0000-0000-000095630000}"/>
    <cellStyle name="Currency [2] 2 2 3 3 4 5" xfId="35301" xr:uid="{00000000-0005-0000-0000-000096630000}"/>
    <cellStyle name="Currency [2] 2 2 3 3 5" xfId="16664" xr:uid="{00000000-0005-0000-0000-000097630000}"/>
    <cellStyle name="Currency [2] 2 2 3 3 5 2" xfId="36018" xr:uid="{00000000-0005-0000-0000-000098630000}"/>
    <cellStyle name="Currency [2] 2 2 3 3 6" xfId="19095" xr:uid="{00000000-0005-0000-0000-000099630000}"/>
    <cellStyle name="Currency [2] 2 2 3 3 6 2" xfId="38448" xr:uid="{00000000-0005-0000-0000-00009A630000}"/>
    <cellStyle name="Currency [2] 2 2 3 3 7" xfId="21581" xr:uid="{00000000-0005-0000-0000-00009B630000}"/>
    <cellStyle name="Currency [2] 2 2 3 3 7 2" xfId="40923" xr:uid="{00000000-0005-0000-0000-00009C630000}"/>
    <cellStyle name="Currency [2] 2 2 3 3 8" xfId="33522" xr:uid="{00000000-0005-0000-0000-00009D630000}"/>
    <cellStyle name="Currency [2] 2 2 3 4" xfId="14454" xr:uid="{00000000-0005-0000-0000-00009E630000}"/>
    <cellStyle name="Currency [2] 2 2 3 4 2" xfId="16944" xr:uid="{00000000-0005-0000-0000-00009F630000}"/>
    <cellStyle name="Currency [2] 2 2 3 4 2 2" xfId="36298" xr:uid="{00000000-0005-0000-0000-0000A0630000}"/>
    <cellStyle name="Currency [2] 2 2 3 4 3" xfId="19375" xr:uid="{00000000-0005-0000-0000-0000A1630000}"/>
    <cellStyle name="Currency [2] 2 2 3 4 3 2" xfId="38728" xr:uid="{00000000-0005-0000-0000-0000A2630000}"/>
    <cellStyle name="Currency [2] 2 2 3 4 4" xfId="21874" xr:uid="{00000000-0005-0000-0000-0000A3630000}"/>
    <cellStyle name="Currency [2] 2 2 3 4 4 2" xfId="41216" xr:uid="{00000000-0005-0000-0000-0000A4630000}"/>
    <cellStyle name="Currency [2] 2 2 3 4 5" xfId="33815" xr:uid="{00000000-0005-0000-0000-0000A5630000}"/>
    <cellStyle name="Currency [2] 2 2 3 5" xfId="15052" xr:uid="{00000000-0005-0000-0000-0000A6630000}"/>
    <cellStyle name="Currency [2] 2 2 3 5 2" xfId="17528" xr:uid="{00000000-0005-0000-0000-0000A7630000}"/>
    <cellStyle name="Currency [2] 2 2 3 5 2 2" xfId="36882" xr:uid="{00000000-0005-0000-0000-0000A8630000}"/>
    <cellStyle name="Currency [2] 2 2 3 5 3" xfId="19959" xr:uid="{00000000-0005-0000-0000-0000A9630000}"/>
    <cellStyle name="Currency [2] 2 2 3 5 3 2" xfId="39312" xr:uid="{00000000-0005-0000-0000-0000AA630000}"/>
    <cellStyle name="Currency [2] 2 2 3 5 4" xfId="22472" xr:uid="{00000000-0005-0000-0000-0000AB630000}"/>
    <cellStyle name="Currency [2] 2 2 3 5 4 2" xfId="41814" xr:uid="{00000000-0005-0000-0000-0000AC630000}"/>
    <cellStyle name="Currency [2] 2 2 3 5 5" xfId="34413" xr:uid="{00000000-0005-0000-0000-0000AD630000}"/>
    <cellStyle name="Currency [2] 2 2 3 6" xfId="15529" xr:uid="{00000000-0005-0000-0000-0000AE630000}"/>
    <cellStyle name="Currency [2] 2 2 3 6 2" xfId="18005" xr:uid="{00000000-0005-0000-0000-0000AF630000}"/>
    <cellStyle name="Currency [2] 2 2 3 6 2 2" xfId="37359" xr:uid="{00000000-0005-0000-0000-0000B0630000}"/>
    <cellStyle name="Currency [2] 2 2 3 6 3" xfId="20436" xr:uid="{00000000-0005-0000-0000-0000B1630000}"/>
    <cellStyle name="Currency [2] 2 2 3 6 3 2" xfId="39789" xr:uid="{00000000-0005-0000-0000-0000B2630000}"/>
    <cellStyle name="Currency [2] 2 2 3 6 4" xfId="22949" xr:uid="{00000000-0005-0000-0000-0000B3630000}"/>
    <cellStyle name="Currency [2] 2 2 3 6 4 2" xfId="42291" xr:uid="{00000000-0005-0000-0000-0000B4630000}"/>
    <cellStyle name="Currency [2] 2 2 3 6 5" xfId="34890" xr:uid="{00000000-0005-0000-0000-0000B5630000}"/>
    <cellStyle name="Currency [2] 2 2 3 7" xfId="13646" xr:uid="{00000000-0005-0000-0000-0000B6630000}"/>
    <cellStyle name="Currency [2] 2 2 3 7 2" xfId="33012" xr:uid="{00000000-0005-0000-0000-0000B7630000}"/>
    <cellStyle name="Currency [2] 2 2 3 8" xfId="16166" xr:uid="{00000000-0005-0000-0000-0000B8630000}"/>
    <cellStyle name="Currency [2] 2 2 3 8 2" xfId="35520" xr:uid="{00000000-0005-0000-0000-0000B9630000}"/>
    <cellStyle name="Currency [2] 2 2 3 9" xfId="18597" xr:uid="{00000000-0005-0000-0000-0000BA630000}"/>
    <cellStyle name="Currency [2] 2 2 3 9 2" xfId="37950" xr:uid="{00000000-0005-0000-0000-0000BB630000}"/>
    <cellStyle name="Currency [2] 2 2 4" xfId="13994" xr:uid="{00000000-0005-0000-0000-0000BC630000}"/>
    <cellStyle name="Currency [2] 2 2 4 2" xfId="14789" xr:uid="{00000000-0005-0000-0000-0000BD630000}"/>
    <cellStyle name="Currency [2] 2 2 4 2 2" xfId="17267" xr:uid="{00000000-0005-0000-0000-0000BE630000}"/>
    <cellStyle name="Currency [2] 2 2 4 2 2 2" xfId="36621" xr:uid="{00000000-0005-0000-0000-0000BF630000}"/>
    <cellStyle name="Currency [2] 2 2 4 2 3" xfId="19698" xr:uid="{00000000-0005-0000-0000-0000C0630000}"/>
    <cellStyle name="Currency [2] 2 2 4 2 3 2" xfId="39051" xr:uid="{00000000-0005-0000-0000-0000C1630000}"/>
    <cellStyle name="Currency [2] 2 2 4 2 4" xfId="22209" xr:uid="{00000000-0005-0000-0000-0000C2630000}"/>
    <cellStyle name="Currency [2] 2 2 4 2 4 2" xfId="41551" xr:uid="{00000000-0005-0000-0000-0000C3630000}"/>
    <cellStyle name="Currency [2] 2 2 4 2 5" xfId="34150" xr:uid="{00000000-0005-0000-0000-0000C4630000}"/>
    <cellStyle name="Currency [2] 2 2 4 3" xfId="15337" xr:uid="{00000000-0005-0000-0000-0000C5630000}"/>
    <cellStyle name="Currency [2] 2 2 4 3 2" xfId="17813" xr:uid="{00000000-0005-0000-0000-0000C6630000}"/>
    <cellStyle name="Currency [2] 2 2 4 3 2 2" xfId="37167" xr:uid="{00000000-0005-0000-0000-0000C7630000}"/>
    <cellStyle name="Currency [2] 2 2 4 3 3" xfId="20244" xr:uid="{00000000-0005-0000-0000-0000C8630000}"/>
    <cellStyle name="Currency [2] 2 2 4 3 3 2" xfId="39597" xr:uid="{00000000-0005-0000-0000-0000C9630000}"/>
    <cellStyle name="Currency [2] 2 2 4 3 4" xfId="22757" xr:uid="{00000000-0005-0000-0000-0000CA630000}"/>
    <cellStyle name="Currency [2] 2 2 4 3 4 2" xfId="42099" xr:uid="{00000000-0005-0000-0000-0000CB630000}"/>
    <cellStyle name="Currency [2] 2 2 4 3 5" xfId="34698" xr:uid="{00000000-0005-0000-0000-0000CC630000}"/>
    <cellStyle name="Currency [2] 2 2 4 4" xfId="15796" xr:uid="{00000000-0005-0000-0000-0000CD630000}"/>
    <cellStyle name="Currency [2] 2 2 4 4 2" xfId="18272" xr:uid="{00000000-0005-0000-0000-0000CE630000}"/>
    <cellStyle name="Currency [2] 2 2 4 4 2 2" xfId="37626" xr:uid="{00000000-0005-0000-0000-0000CF630000}"/>
    <cellStyle name="Currency [2] 2 2 4 4 3" xfId="20703" xr:uid="{00000000-0005-0000-0000-0000D0630000}"/>
    <cellStyle name="Currency [2] 2 2 4 4 3 2" xfId="40056" xr:uid="{00000000-0005-0000-0000-0000D1630000}"/>
    <cellStyle name="Currency [2] 2 2 4 4 4" xfId="23216" xr:uid="{00000000-0005-0000-0000-0000D2630000}"/>
    <cellStyle name="Currency [2] 2 2 4 4 4 2" xfId="42558" xr:uid="{00000000-0005-0000-0000-0000D3630000}"/>
    <cellStyle name="Currency [2] 2 2 4 4 5" xfId="35157" xr:uid="{00000000-0005-0000-0000-0000D4630000}"/>
    <cellStyle name="Currency [2] 2 2 4 5" xfId="16500" xr:uid="{00000000-0005-0000-0000-0000D5630000}"/>
    <cellStyle name="Currency [2] 2 2 4 5 2" xfId="35854" xr:uid="{00000000-0005-0000-0000-0000D6630000}"/>
    <cellStyle name="Currency [2] 2 2 4 6" xfId="18931" xr:uid="{00000000-0005-0000-0000-0000D7630000}"/>
    <cellStyle name="Currency [2] 2 2 4 6 2" xfId="38284" xr:uid="{00000000-0005-0000-0000-0000D8630000}"/>
    <cellStyle name="Currency [2] 2 2 4 7" xfId="21417" xr:uid="{00000000-0005-0000-0000-0000D9630000}"/>
    <cellStyle name="Currency [2] 2 2 4 7 2" xfId="40759" xr:uid="{00000000-0005-0000-0000-0000DA630000}"/>
    <cellStyle name="Currency [2] 2 2 4 8" xfId="33358" xr:uid="{00000000-0005-0000-0000-0000DB630000}"/>
    <cellStyle name="Currency [2] 2 2 5" xfId="14224" xr:uid="{00000000-0005-0000-0000-0000DC630000}"/>
    <cellStyle name="Currency [2] 2 2 5 2" xfId="16727" xr:uid="{00000000-0005-0000-0000-0000DD630000}"/>
    <cellStyle name="Currency [2] 2 2 5 2 2" xfId="36081" xr:uid="{00000000-0005-0000-0000-0000DE630000}"/>
    <cellStyle name="Currency [2] 2 2 5 3" xfId="19158" xr:uid="{00000000-0005-0000-0000-0000DF630000}"/>
    <cellStyle name="Currency [2] 2 2 5 3 2" xfId="38511" xr:uid="{00000000-0005-0000-0000-0000E0630000}"/>
    <cellStyle name="Currency [2] 2 2 5 4" xfId="21645" xr:uid="{00000000-0005-0000-0000-0000E1630000}"/>
    <cellStyle name="Currency [2] 2 2 5 4 2" xfId="40987" xr:uid="{00000000-0005-0000-0000-0000E2630000}"/>
    <cellStyle name="Currency [2] 2 2 5 5" xfId="33586" xr:uid="{00000000-0005-0000-0000-0000E3630000}"/>
    <cellStyle name="Currency [2] 2 2 6" xfId="13451" xr:uid="{00000000-0005-0000-0000-0000E4630000}"/>
    <cellStyle name="Currency [2] 2 2 6 2" xfId="32830" xr:uid="{00000000-0005-0000-0000-0000E5630000}"/>
    <cellStyle name="Currency [2] 2 2 7" xfId="16021" xr:uid="{00000000-0005-0000-0000-0000E6630000}"/>
    <cellStyle name="Currency [2] 2 2 7 2" xfId="35375" xr:uid="{00000000-0005-0000-0000-0000E7630000}"/>
    <cellStyle name="Currency [2] 2 2 8" xfId="13270" xr:uid="{00000000-0005-0000-0000-0000E8630000}"/>
    <cellStyle name="Currency [2] 2 2 8 2" xfId="32718" xr:uid="{00000000-0005-0000-0000-0000E9630000}"/>
    <cellStyle name="Currency [2] 2 2 9" xfId="20951" xr:uid="{00000000-0005-0000-0000-0000EA630000}"/>
    <cellStyle name="Currency [2] 2 2 9 2" xfId="40293" xr:uid="{00000000-0005-0000-0000-0000EB630000}"/>
    <cellStyle name="Currency [2] 2 3" xfId="13421" xr:uid="{00000000-0005-0000-0000-0000EC630000}"/>
    <cellStyle name="Currency [2] 2 3 10" xfId="32800" xr:uid="{00000000-0005-0000-0000-0000ED630000}"/>
    <cellStyle name="Currency [2] 2 3 2" xfId="13549" xr:uid="{00000000-0005-0000-0000-0000EE630000}"/>
    <cellStyle name="Currency [2] 2 3 2 2" xfId="13847" xr:uid="{00000000-0005-0000-0000-0000EF630000}"/>
    <cellStyle name="Currency [2] 2 3 2 2 2" xfId="14642" xr:uid="{00000000-0005-0000-0000-0000F0630000}"/>
    <cellStyle name="Currency [2] 2 3 2 2 2 2" xfId="17123" xr:uid="{00000000-0005-0000-0000-0000F1630000}"/>
    <cellStyle name="Currency [2] 2 3 2 2 2 2 2" xfId="36477" xr:uid="{00000000-0005-0000-0000-0000F2630000}"/>
    <cellStyle name="Currency [2] 2 3 2 2 2 3" xfId="19554" xr:uid="{00000000-0005-0000-0000-0000F3630000}"/>
    <cellStyle name="Currency [2] 2 3 2 2 2 3 2" xfId="38907" xr:uid="{00000000-0005-0000-0000-0000F4630000}"/>
    <cellStyle name="Currency [2] 2 3 2 2 2 4" xfId="22062" xr:uid="{00000000-0005-0000-0000-0000F5630000}"/>
    <cellStyle name="Currency [2] 2 3 2 2 2 4 2" xfId="41404" xr:uid="{00000000-0005-0000-0000-0000F6630000}"/>
    <cellStyle name="Currency [2] 2 3 2 2 2 5" xfId="34003" xr:uid="{00000000-0005-0000-0000-0000F7630000}"/>
    <cellStyle name="Currency [2] 2 3 2 2 3" xfId="15195" xr:uid="{00000000-0005-0000-0000-0000F8630000}"/>
    <cellStyle name="Currency [2] 2 3 2 2 3 2" xfId="17671" xr:uid="{00000000-0005-0000-0000-0000F9630000}"/>
    <cellStyle name="Currency [2] 2 3 2 2 3 2 2" xfId="37025" xr:uid="{00000000-0005-0000-0000-0000FA630000}"/>
    <cellStyle name="Currency [2] 2 3 2 2 3 3" xfId="20102" xr:uid="{00000000-0005-0000-0000-0000FB630000}"/>
    <cellStyle name="Currency [2] 2 3 2 2 3 3 2" xfId="39455" xr:uid="{00000000-0005-0000-0000-0000FC630000}"/>
    <cellStyle name="Currency [2] 2 3 2 2 3 4" xfId="22615" xr:uid="{00000000-0005-0000-0000-0000FD630000}"/>
    <cellStyle name="Currency [2] 2 3 2 2 3 4 2" xfId="41957" xr:uid="{00000000-0005-0000-0000-0000FE630000}"/>
    <cellStyle name="Currency [2] 2 3 2 2 3 5" xfId="34556" xr:uid="{00000000-0005-0000-0000-0000FF630000}"/>
    <cellStyle name="Currency [2] 2 3 2 2 4" xfId="15666" xr:uid="{00000000-0005-0000-0000-000000640000}"/>
    <cellStyle name="Currency [2] 2 3 2 2 4 2" xfId="18142" xr:uid="{00000000-0005-0000-0000-000001640000}"/>
    <cellStyle name="Currency [2] 2 3 2 2 4 2 2" xfId="37496" xr:uid="{00000000-0005-0000-0000-000002640000}"/>
    <cellStyle name="Currency [2] 2 3 2 2 4 3" xfId="20573" xr:uid="{00000000-0005-0000-0000-000003640000}"/>
    <cellStyle name="Currency [2] 2 3 2 2 4 3 2" xfId="39926" xr:uid="{00000000-0005-0000-0000-000004640000}"/>
    <cellStyle name="Currency [2] 2 3 2 2 4 4" xfId="23086" xr:uid="{00000000-0005-0000-0000-000005640000}"/>
    <cellStyle name="Currency [2] 2 3 2 2 4 4 2" xfId="42428" xr:uid="{00000000-0005-0000-0000-000006640000}"/>
    <cellStyle name="Currency [2] 2 3 2 2 4 5" xfId="35027" xr:uid="{00000000-0005-0000-0000-000007640000}"/>
    <cellStyle name="Currency [2] 2 3 2 2 5" xfId="16356" xr:uid="{00000000-0005-0000-0000-000008640000}"/>
    <cellStyle name="Currency [2] 2 3 2 2 5 2" xfId="35710" xr:uid="{00000000-0005-0000-0000-000009640000}"/>
    <cellStyle name="Currency [2] 2 3 2 2 6" xfId="18787" xr:uid="{00000000-0005-0000-0000-00000A640000}"/>
    <cellStyle name="Currency [2] 2 3 2 2 6 2" xfId="38140" xr:uid="{00000000-0005-0000-0000-00000B640000}"/>
    <cellStyle name="Currency [2] 2 3 2 2 7" xfId="21270" xr:uid="{00000000-0005-0000-0000-00000C640000}"/>
    <cellStyle name="Currency [2] 2 3 2 2 7 2" xfId="40612" xr:uid="{00000000-0005-0000-0000-00000D640000}"/>
    <cellStyle name="Currency [2] 2 3 2 2 8" xfId="33211" xr:uid="{00000000-0005-0000-0000-00000E640000}"/>
    <cellStyle name="Currency [2] 2 3 2 3" xfId="14065" xr:uid="{00000000-0005-0000-0000-00000F640000}"/>
    <cellStyle name="Currency [2] 2 3 2 3 2" xfId="14859" xr:uid="{00000000-0005-0000-0000-000010640000}"/>
    <cellStyle name="Currency [2] 2 3 2 3 2 2" xfId="17337" xr:uid="{00000000-0005-0000-0000-000011640000}"/>
    <cellStyle name="Currency [2] 2 3 2 3 2 2 2" xfId="36691" xr:uid="{00000000-0005-0000-0000-000012640000}"/>
    <cellStyle name="Currency [2] 2 3 2 3 2 3" xfId="19768" xr:uid="{00000000-0005-0000-0000-000013640000}"/>
    <cellStyle name="Currency [2] 2 3 2 3 2 3 2" xfId="39121" xr:uid="{00000000-0005-0000-0000-000014640000}"/>
    <cellStyle name="Currency [2] 2 3 2 3 2 4" xfId="22279" xr:uid="{00000000-0005-0000-0000-000015640000}"/>
    <cellStyle name="Currency [2] 2 3 2 3 2 4 2" xfId="41621" xr:uid="{00000000-0005-0000-0000-000016640000}"/>
    <cellStyle name="Currency [2] 2 3 2 3 2 5" xfId="34220" xr:uid="{00000000-0005-0000-0000-000017640000}"/>
    <cellStyle name="Currency [2] 2 3 2 3 3" xfId="15406" xr:uid="{00000000-0005-0000-0000-000018640000}"/>
    <cellStyle name="Currency [2] 2 3 2 3 3 2" xfId="17882" xr:uid="{00000000-0005-0000-0000-000019640000}"/>
    <cellStyle name="Currency [2] 2 3 2 3 3 2 2" xfId="37236" xr:uid="{00000000-0005-0000-0000-00001A640000}"/>
    <cellStyle name="Currency [2] 2 3 2 3 3 3" xfId="20313" xr:uid="{00000000-0005-0000-0000-00001B640000}"/>
    <cellStyle name="Currency [2] 2 3 2 3 3 3 2" xfId="39666" xr:uid="{00000000-0005-0000-0000-00001C640000}"/>
    <cellStyle name="Currency [2] 2 3 2 3 3 4" xfId="22826" xr:uid="{00000000-0005-0000-0000-00001D640000}"/>
    <cellStyle name="Currency [2] 2 3 2 3 3 4 2" xfId="42168" xr:uid="{00000000-0005-0000-0000-00001E640000}"/>
    <cellStyle name="Currency [2] 2 3 2 3 3 5" xfId="34767" xr:uid="{00000000-0005-0000-0000-00001F640000}"/>
    <cellStyle name="Currency [2] 2 3 2 3 4" xfId="15865" xr:uid="{00000000-0005-0000-0000-000020640000}"/>
    <cellStyle name="Currency [2] 2 3 2 3 4 2" xfId="18341" xr:uid="{00000000-0005-0000-0000-000021640000}"/>
    <cellStyle name="Currency [2] 2 3 2 3 4 2 2" xfId="37695" xr:uid="{00000000-0005-0000-0000-000022640000}"/>
    <cellStyle name="Currency [2] 2 3 2 3 4 3" xfId="20772" xr:uid="{00000000-0005-0000-0000-000023640000}"/>
    <cellStyle name="Currency [2] 2 3 2 3 4 3 2" xfId="40125" xr:uid="{00000000-0005-0000-0000-000024640000}"/>
    <cellStyle name="Currency [2] 2 3 2 3 4 4" xfId="23285" xr:uid="{00000000-0005-0000-0000-000025640000}"/>
    <cellStyle name="Currency [2] 2 3 2 3 4 4 2" xfId="42627" xr:uid="{00000000-0005-0000-0000-000026640000}"/>
    <cellStyle name="Currency [2] 2 3 2 3 4 5" xfId="35226" xr:uid="{00000000-0005-0000-0000-000027640000}"/>
    <cellStyle name="Currency [2] 2 3 2 3 5" xfId="16571" xr:uid="{00000000-0005-0000-0000-000028640000}"/>
    <cellStyle name="Currency [2] 2 3 2 3 5 2" xfId="35925" xr:uid="{00000000-0005-0000-0000-000029640000}"/>
    <cellStyle name="Currency [2] 2 3 2 3 6" xfId="19002" xr:uid="{00000000-0005-0000-0000-00002A640000}"/>
    <cellStyle name="Currency [2] 2 3 2 3 6 2" xfId="38355" xr:uid="{00000000-0005-0000-0000-00002B640000}"/>
    <cellStyle name="Currency [2] 2 3 2 3 7" xfId="21488" xr:uid="{00000000-0005-0000-0000-00002C640000}"/>
    <cellStyle name="Currency [2] 2 3 2 3 7 2" xfId="40830" xr:uid="{00000000-0005-0000-0000-00002D640000}"/>
    <cellStyle name="Currency [2] 2 3 2 3 8" xfId="33429" xr:uid="{00000000-0005-0000-0000-00002E640000}"/>
    <cellStyle name="Currency [2] 2 3 2 4" xfId="14363" xr:uid="{00000000-0005-0000-0000-00002F640000}"/>
    <cellStyle name="Currency [2] 2 3 2 4 2" xfId="16856" xr:uid="{00000000-0005-0000-0000-000030640000}"/>
    <cellStyle name="Currency [2] 2 3 2 4 2 2" xfId="36210" xr:uid="{00000000-0005-0000-0000-000031640000}"/>
    <cellStyle name="Currency [2] 2 3 2 4 3" xfId="19287" xr:uid="{00000000-0005-0000-0000-000032640000}"/>
    <cellStyle name="Currency [2] 2 3 2 4 3 2" xfId="38640" xr:uid="{00000000-0005-0000-0000-000033640000}"/>
    <cellStyle name="Currency [2] 2 3 2 4 4" xfId="21783" xr:uid="{00000000-0005-0000-0000-000034640000}"/>
    <cellStyle name="Currency [2] 2 3 2 4 4 2" xfId="41125" xr:uid="{00000000-0005-0000-0000-000035640000}"/>
    <cellStyle name="Currency [2] 2 3 2 4 5" xfId="33724" xr:uid="{00000000-0005-0000-0000-000036640000}"/>
    <cellStyle name="Currency [2] 2 3 2 5" xfId="14991" xr:uid="{00000000-0005-0000-0000-000037640000}"/>
    <cellStyle name="Currency [2] 2 3 2 5 2" xfId="17467" xr:uid="{00000000-0005-0000-0000-000038640000}"/>
    <cellStyle name="Currency [2] 2 3 2 5 2 2" xfId="36821" xr:uid="{00000000-0005-0000-0000-000039640000}"/>
    <cellStyle name="Currency [2] 2 3 2 5 3" xfId="19898" xr:uid="{00000000-0005-0000-0000-00003A640000}"/>
    <cellStyle name="Currency [2] 2 3 2 5 3 2" xfId="39251" xr:uid="{00000000-0005-0000-0000-00003B640000}"/>
    <cellStyle name="Currency [2] 2 3 2 5 4" xfId="22411" xr:uid="{00000000-0005-0000-0000-00003C640000}"/>
    <cellStyle name="Currency [2] 2 3 2 5 4 2" xfId="41753" xr:uid="{00000000-0005-0000-0000-00003D640000}"/>
    <cellStyle name="Currency [2] 2 3 2 5 5" xfId="34352" xr:uid="{00000000-0005-0000-0000-00003E640000}"/>
    <cellStyle name="Currency [2] 2 3 2 6" xfId="16095" xr:uid="{00000000-0005-0000-0000-00003F640000}"/>
    <cellStyle name="Currency [2] 2 3 2 6 2" xfId="35449" xr:uid="{00000000-0005-0000-0000-000040640000}"/>
    <cellStyle name="Currency [2] 2 3 2 7" xfId="18506" xr:uid="{00000000-0005-0000-0000-000041640000}"/>
    <cellStyle name="Currency [2] 2 3 2 7 2" xfId="37859" xr:uid="{00000000-0005-0000-0000-000042640000}"/>
    <cellStyle name="Currency [2] 2 3 2 8" xfId="32921" xr:uid="{00000000-0005-0000-0000-000043640000}"/>
    <cellStyle name="Currency [2] 2 3 3" xfId="13621" xr:uid="{00000000-0005-0000-0000-000044640000}"/>
    <cellStyle name="Currency [2] 2 3 3 10" xfId="32987" xr:uid="{00000000-0005-0000-0000-000045640000}"/>
    <cellStyle name="Currency [2] 2 3 3 2" xfId="13922" xr:uid="{00000000-0005-0000-0000-000046640000}"/>
    <cellStyle name="Currency [2] 2 3 3 2 2" xfId="14717" xr:uid="{00000000-0005-0000-0000-000047640000}"/>
    <cellStyle name="Currency [2] 2 3 3 2 2 2" xfId="17195" xr:uid="{00000000-0005-0000-0000-000048640000}"/>
    <cellStyle name="Currency [2] 2 3 3 2 2 2 2" xfId="36549" xr:uid="{00000000-0005-0000-0000-000049640000}"/>
    <cellStyle name="Currency [2] 2 3 3 2 2 3" xfId="19626" xr:uid="{00000000-0005-0000-0000-00004A640000}"/>
    <cellStyle name="Currency [2] 2 3 3 2 2 3 2" xfId="38979" xr:uid="{00000000-0005-0000-0000-00004B640000}"/>
    <cellStyle name="Currency [2] 2 3 3 2 2 4" xfId="22137" xr:uid="{00000000-0005-0000-0000-00004C640000}"/>
    <cellStyle name="Currency [2] 2 3 3 2 2 4 2" xfId="41479" xr:uid="{00000000-0005-0000-0000-00004D640000}"/>
    <cellStyle name="Currency [2] 2 3 3 2 2 5" xfId="34078" xr:uid="{00000000-0005-0000-0000-00004E640000}"/>
    <cellStyle name="Currency [2] 2 3 3 2 3" xfId="15265" xr:uid="{00000000-0005-0000-0000-00004F640000}"/>
    <cellStyle name="Currency [2] 2 3 3 2 3 2" xfId="17741" xr:uid="{00000000-0005-0000-0000-000050640000}"/>
    <cellStyle name="Currency [2] 2 3 3 2 3 2 2" xfId="37095" xr:uid="{00000000-0005-0000-0000-000051640000}"/>
    <cellStyle name="Currency [2] 2 3 3 2 3 3" xfId="20172" xr:uid="{00000000-0005-0000-0000-000052640000}"/>
    <cellStyle name="Currency [2] 2 3 3 2 3 3 2" xfId="39525" xr:uid="{00000000-0005-0000-0000-000053640000}"/>
    <cellStyle name="Currency [2] 2 3 3 2 3 4" xfId="22685" xr:uid="{00000000-0005-0000-0000-000054640000}"/>
    <cellStyle name="Currency [2] 2 3 3 2 3 4 2" xfId="42027" xr:uid="{00000000-0005-0000-0000-000055640000}"/>
    <cellStyle name="Currency [2] 2 3 3 2 3 5" xfId="34626" xr:uid="{00000000-0005-0000-0000-000056640000}"/>
    <cellStyle name="Currency [2] 2 3 3 2 4" xfId="15724" xr:uid="{00000000-0005-0000-0000-000057640000}"/>
    <cellStyle name="Currency [2] 2 3 3 2 4 2" xfId="18200" xr:uid="{00000000-0005-0000-0000-000058640000}"/>
    <cellStyle name="Currency [2] 2 3 3 2 4 2 2" xfId="37554" xr:uid="{00000000-0005-0000-0000-000059640000}"/>
    <cellStyle name="Currency [2] 2 3 3 2 4 3" xfId="20631" xr:uid="{00000000-0005-0000-0000-00005A640000}"/>
    <cellStyle name="Currency [2] 2 3 3 2 4 3 2" xfId="39984" xr:uid="{00000000-0005-0000-0000-00005B640000}"/>
    <cellStyle name="Currency [2] 2 3 3 2 4 4" xfId="23144" xr:uid="{00000000-0005-0000-0000-00005C640000}"/>
    <cellStyle name="Currency [2] 2 3 3 2 4 4 2" xfId="42486" xr:uid="{00000000-0005-0000-0000-00005D640000}"/>
    <cellStyle name="Currency [2] 2 3 3 2 4 5" xfId="35085" xr:uid="{00000000-0005-0000-0000-00005E640000}"/>
    <cellStyle name="Currency [2] 2 3 3 2 5" xfId="16428" xr:uid="{00000000-0005-0000-0000-00005F640000}"/>
    <cellStyle name="Currency [2] 2 3 3 2 5 2" xfId="35782" xr:uid="{00000000-0005-0000-0000-000060640000}"/>
    <cellStyle name="Currency [2] 2 3 3 2 6" xfId="18859" xr:uid="{00000000-0005-0000-0000-000061640000}"/>
    <cellStyle name="Currency [2] 2 3 3 2 6 2" xfId="38212" xr:uid="{00000000-0005-0000-0000-000062640000}"/>
    <cellStyle name="Currency [2] 2 3 3 2 7" xfId="21345" xr:uid="{00000000-0005-0000-0000-000063640000}"/>
    <cellStyle name="Currency [2] 2 3 3 2 7 2" xfId="40687" xr:uid="{00000000-0005-0000-0000-000064640000}"/>
    <cellStyle name="Currency [2] 2 3 3 2 8" xfId="33286" xr:uid="{00000000-0005-0000-0000-000065640000}"/>
    <cellStyle name="Currency [2] 2 3 3 3" xfId="14137" xr:uid="{00000000-0005-0000-0000-000066640000}"/>
    <cellStyle name="Currency [2] 2 3 3 3 2" xfId="14914" xr:uid="{00000000-0005-0000-0000-000067640000}"/>
    <cellStyle name="Currency [2] 2 3 3 3 2 2" xfId="17392" xr:uid="{00000000-0005-0000-0000-000068640000}"/>
    <cellStyle name="Currency [2] 2 3 3 3 2 2 2" xfId="36746" xr:uid="{00000000-0005-0000-0000-000069640000}"/>
    <cellStyle name="Currency [2] 2 3 3 3 2 3" xfId="19823" xr:uid="{00000000-0005-0000-0000-00006A640000}"/>
    <cellStyle name="Currency [2] 2 3 3 3 2 3 2" xfId="39176" xr:uid="{00000000-0005-0000-0000-00006B640000}"/>
    <cellStyle name="Currency [2] 2 3 3 3 2 4" xfId="22334" xr:uid="{00000000-0005-0000-0000-00006C640000}"/>
    <cellStyle name="Currency [2] 2 3 3 3 2 4 2" xfId="41676" xr:uid="{00000000-0005-0000-0000-00006D640000}"/>
    <cellStyle name="Currency [2] 2 3 3 3 2 5" xfId="34275" xr:uid="{00000000-0005-0000-0000-00006E640000}"/>
    <cellStyle name="Currency [2] 2 3 3 3 3" xfId="15460" xr:uid="{00000000-0005-0000-0000-00006F640000}"/>
    <cellStyle name="Currency [2] 2 3 3 3 3 2" xfId="17936" xr:uid="{00000000-0005-0000-0000-000070640000}"/>
    <cellStyle name="Currency [2] 2 3 3 3 3 2 2" xfId="37290" xr:uid="{00000000-0005-0000-0000-000071640000}"/>
    <cellStyle name="Currency [2] 2 3 3 3 3 3" xfId="20367" xr:uid="{00000000-0005-0000-0000-000072640000}"/>
    <cellStyle name="Currency [2] 2 3 3 3 3 3 2" xfId="39720" xr:uid="{00000000-0005-0000-0000-000073640000}"/>
    <cellStyle name="Currency [2] 2 3 3 3 3 4" xfId="22880" xr:uid="{00000000-0005-0000-0000-000074640000}"/>
    <cellStyle name="Currency [2] 2 3 3 3 3 4 2" xfId="42222" xr:uid="{00000000-0005-0000-0000-000075640000}"/>
    <cellStyle name="Currency [2] 2 3 3 3 3 5" xfId="34821" xr:uid="{00000000-0005-0000-0000-000076640000}"/>
    <cellStyle name="Currency [2] 2 3 3 3 4" xfId="15919" xr:uid="{00000000-0005-0000-0000-000077640000}"/>
    <cellStyle name="Currency [2] 2 3 3 3 4 2" xfId="18395" xr:uid="{00000000-0005-0000-0000-000078640000}"/>
    <cellStyle name="Currency [2] 2 3 3 3 4 2 2" xfId="37749" xr:uid="{00000000-0005-0000-0000-000079640000}"/>
    <cellStyle name="Currency [2] 2 3 3 3 4 3" xfId="20826" xr:uid="{00000000-0005-0000-0000-00007A640000}"/>
    <cellStyle name="Currency [2] 2 3 3 3 4 3 2" xfId="40179" xr:uid="{00000000-0005-0000-0000-00007B640000}"/>
    <cellStyle name="Currency [2] 2 3 3 3 4 4" xfId="23339" xr:uid="{00000000-0005-0000-0000-00007C640000}"/>
    <cellStyle name="Currency [2] 2 3 3 3 4 4 2" xfId="42681" xr:uid="{00000000-0005-0000-0000-00007D640000}"/>
    <cellStyle name="Currency [2] 2 3 3 3 4 5" xfId="35280" xr:uid="{00000000-0005-0000-0000-00007E640000}"/>
    <cellStyle name="Currency [2] 2 3 3 3 5" xfId="16643" xr:uid="{00000000-0005-0000-0000-00007F640000}"/>
    <cellStyle name="Currency [2] 2 3 3 3 5 2" xfId="35997" xr:uid="{00000000-0005-0000-0000-000080640000}"/>
    <cellStyle name="Currency [2] 2 3 3 3 6" xfId="19074" xr:uid="{00000000-0005-0000-0000-000081640000}"/>
    <cellStyle name="Currency [2] 2 3 3 3 6 2" xfId="38427" xr:uid="{00000000-0005-0000-0000-000082640000}"/>
    <cellStyle name="Currency [2] 2 3 3 3 7" xfId="21560" xr:uid="{00000000-0005-0000-0000-000083640000}"/>
    <cellStyle name="Currency [2] 2 3 3 3 7 2" xfId="40902" xr:uid="{00000000-0005-0000-0000-000084640000}"/>
    <cellStyle name="Currency [2] 2 3 3 3 8" xfId="33501" xr:uid="{00000000-0005-0000-0000-000085640000}"/>
    <cellStyle name="Currency [2] 2 3 3 4" xfId="14432" xr:uid="{00000000-0005-0000-0000-000086640000}"/>
    <cellStyle name="Currency [2] 2 3 3 4 2" xfId="16922" xr:uid="{00000000-0005-0000-0000-000087640000}"/>
    <cellStyle name="Currency [2] 2 3 3 4 2 2" xfId="36276" xr:uid="{00000000-0005-0000-0000-000088640000}"/>
    <cellStyle name="Currency [2] 2 3 3 4 3" xfId="19353" xr:uid="{00000000-0005-0000-0000-000089640000}"/>
    <cellStyle name="Currency [2] 2 3 3 4 3 2" xfId="38706" xr:uid="{00000000-0005-0000-0000-00008A640000}"/>
    <cellStyle name="Currency [2] 2 3 3 4 4" xfId="21852" xr:uid="{00000000-0005-0000-0000-00008B640000}"/>
    <cellStyle name="Currency [2] 2 3 3 4 4 2" xfId="41194" xr:uid="{00000000-0005-0000-0000-00008C640000}"/>
    <cellStyle name="Currency [2] 2 3 3 4 5" xfId="33793" xr:uid="{00000000-0005-0000-0000-00008D640000}"/>
    <cellStyle name="Currency [2] 2 3 3 5" xfId="15051" xr:uid="{00000000-0005-0000-0000-00008E640000}"/>
    <cellStyle name="Currency [2] 2 3 3 5 2" xfId="17527" xr:uid="{00000000-0005-0000-0000-00008F640000}"/>
    <cellStyle name="Currency [2] 2 3 3 5 2 2" xfId="36881" xr:uid="{00000000-0005-0000-0000-000090640000}"/>
    <cellStyle name="Currency [2] 2 3 3 5 3" xfId="19958" xr:uid="{00000000-0005-0000-0000-000091640000}"/>
    <cellStyle name="Currency [2] 2 3 3 5 3 2" xfId="39311" xr:uid="{00000000-0005-0000-0000-000092640000}"/>
    <cellStyle name="Currency [2] 2 3 3 5 4" xfId="22471" xr:uid="{00000000-0005-0000-0000-000093640000}"/>
    <cellStyle name="Currency [2] 2 3 3 5 4 2" xfId="41813" xr:uid="{00000000-0005-0000-0000-000094640000}"/>
    <cellStyle name="Currency [2] 2 3 3 5 5" xfId="34412" xr:uid="{00000000-0005-0000-0000-000095640000}"/>
    <cellStyle name="Currency [2] 2 3 3 6" xfId="14855" xr:uid="{00000000-0005-0000-0000-000096640000}"/>
    <cellStyle name="Currency [2] 2 3 3 6 2" xfId="17333" xr:uid="{00000000-0005-0000-0000-000097640000}"/>
    <cellStyle name="Currency [2] 2 3 3 6 2 2" xfId="36687" xr:uid="{00000000-0005-0000-0000-000098640000}"/>
    <cellStyle name="Currency [2] 2 3 3 6 3" xfId="19764" xr:uid="{00000000-0005-0000-0000-000099640000}"/>
    <cellStyle name="Currency [2] 2 3 3 6 3 2" xfId="39117" xr:uid="{00000000-0005-0000-0000-00009A640000}"/>
    <cellStyle name="Currency [2] 2 3 3 6 4" xfId="22275" xr:uid="{00000000-0005-0000-0000-00009B640000}"/>
    <cellStyle name="Currency [2] 2 3 3 6 4 2" xfId="41617" xr:uid="{00000000-0005-0000-0000-00009C640000}"/>
    <cellStyle name="Currency [2] 2 3 3 6 5" xfId="34216" xr:uid="{00000000-0005-0000-0000-00009D640000}"/>
    <cellStyle name="Currency [2] 2 3 3 7" xfId="16141" xr:uid="{00000000-0005-0000-0000-00009E640000}"/>
    <cellStyle name="Currency [2] 2 3 3 7 2" xfId="35495" xr:uid="{00000000-0005-0000-0000-00009F640000}"/>
    <cellStyle name="Currency [2] 2 3 3 8" xfId="18572" xr:uid="{00000000-0005-0000-0000-0000A0640000}"/>
    <cellStyle name="Currency [2] 2 3 3 8 2" xfId="37925" xr:uid="{00000000-0005-0000-0000-0000A1640000}"/>
    <cellStyle name="Currency [2] 2 3 3 9" xfId="21046" xr:uid="{00000000-0005-0000-0000-0000A2640000}"/>
    <cellStyle name="Currency [2] 2 3 3 9 2" xfId="40388" xr:uid="{00000000-0005-0000-0000-0000A3640000}"/>
    <cellStyle name="Currency [2] 2 3 4" xfId="13755" xr:uid="{00000000-0005-0000-0000-0000A4640000}"/>
    <cellStyle name="Currency [2] 2 3 4 2" xfId="14557" xr:uid="{00000000-0005-0000-0000-0000A5640000}"/>
    <cellStyle name="Currency [2] 2 3 4 2 2" xfId="17044" xr:uid="{00000000-0005-0000-0000-0000A6640000}"/>
    <cellStyle name="Currency [2] 2 3 4 2 2 2" xfId="36398" xr:uid="{00000000-0005-0000-0000-0000A7640000}"/>
    <cellStyle name="Currency [2] 2 3 4 2 3" xfId="19475" xr:uid="{00000000-0005-0000-0000-0000A8640000}"/>
    <cellStyle name="Currency [2] 2 3 4 2 3 2" xfId="38828" xr:uid="{00000000-0005-0000-0000-0000A9640000}"/>
    <cellStyle name="Currency [2] 2 3 4 2 4" xfId="21977" xr:uid="{00000000-0005-0000-0000-0000AA640000}"/>
    <cellStyle name="Currency [2] 2 3 4 2 4 2" xfId="41319" xr:uid="{00000000-0005-0000-0000-0000AB640000}"/>
    <cellStyle name="Currency [2] 2 3 4 2 5" xfId="33918" xr:uid="{00000000-0005-0000-0000-0000AC640000}"/>
    <cellStyle name="Currency [2] 2 3 4 3" xfId="15118" xr:uid="{00000000-0005-0000-0000-0000AD640000}"/>
    <cellStyle name="Currency [2] 2 3 4 3 2" xfId="17594" xr:uid="{00000000-0005-0000-0000-0000AE640000}"/>
    <cellStyle name="Currency [2] 2 3 4 3 2 2" xfId="36948" xr:uid="{00000000-0005-0000-0000-0000AF640000}"/>
    <cellStyle name="Currency [2] 2 3 4 3 3" xfId="20025" xr:uid="{00000000-0005-0000-0000-0000B0640000}"/>
    <cellStyle name="Currency [2] 2 3 4 3 3 2" xfId="39378" xr:uid="{00000000-0005-0000-0000-0000B1640000}"/>
    <cellStyle name="Currency [2] 2 3 4 3 4" xfId="22538" xr:uid="{00000000-0005-0000-0000-0000B2640000}"/>
    <cellStyle name="Currency [2] 2 3 4 3 4 2" xfId="41880" xr:uid="{00000000-0005-0000-0000-0000B3640000}"/>
    <cellStyle name="Currency [2] 2 3 4 3 5" xfId="34479" xr:uid="{00000000-0005-0000-0000-0000B4640000}"/>
    <cellStyle name="Currency [2] 2 3 4 4" xfId="15600" xr:uid="{00000000-0005-0000-0000-0000B5640000}"/>
    <cellStyle name="Currency [2] 2 3 4 4 2" xfId="18076" xr:uid="{00000000-0005-0000-0000-0000B6640000}"/>
    <cellStyle name="Currency [2] 2 3 4 4 2 2" xfId="37430" xr:uid="{00000000-0005-0000-0000-0000B7640000}"/>
    <cellStyle name="Currency [2] 2 3 4 4 3" xfId="20507" xr:uid="{00000000-0005-0000-0000-0000B8640000}"/>
    <cellStyle name="Currency [2] 2 3 4 4 3 2" xfId="39860" xr:uid="{00000000-0005-0000-0000-0000B9640000}"/>
    <cellStyle name="Currency [2] 2 3 4 4 4" xfId="23020" xr:uid="{00000000-0005-0000-0000-0000BA640000}"/>
    <cellStyle name="Currency [2] 2 3 4 4 4 2" xfId="42362" xr:uid="{00000000-0005-0000-0000-0000BB640000}"/>
    <cellStyle name="Currency [2] 2 3 4 4 5" xfId="34961" xr:uid="{00000000-0005-0000-0000-0000BC640000}"/>
    <cellStyle name="Currency [2] 2 3 4 5" xfId="16270" xr:uid="{00000000-0005-0000-0000-0000BD640000}"/>
    <cellStyle name="Currency [2] 2 3 4 5 2" xfId="35624" xr:uid="{00000000-0005-0000-0000-0000BE640000}"/>
    <cellStyle name="Currency [2] 2 3 4 6" xfId="18701" xr:uid="{00000000-0005-0000-0000-0000BF640000}"/>
    <cellStyle name="Currency [2] 2 3 4 6 2" xfId="38054" xr:uid="{00000000-0005-0000-0000-0000C0640000}"/>
    <cellStyle name="Currency [2] 2 3 4 7" xfId="21178" xr:uid="{00000000-0005-0000-0000-0000C1640000}"/>
    <cellStyle name="Currency [2] 2 3 4 7 2" xfId="40520" xr:uid="{00000000-0005-0000-0000-0000C2640000}"/>
    <cellStyle name="Currency [2] 2 3 4 8" xfId="33119" xr:uid="{00000000-0005-0000-0000-0000C3640000}"/>
    <cellStyle name="Currency [2] 2 3 5" xfId="13978" xr:uid="{00000000-0005-0000-0000-0000C4640000}"/>
    <cellStyle name="Currency [2] 2 3 5 2" xfId="14773" xr:uid="{00000000-0005-0000-0000-0000C5640000}"/>
    <cellStyle name="Currency [2] 2 3 5 2 2" xfId="17251" xr:uid="{00000000-0005-0000-0000-0000C6640000}"/>
    <cellStyle name="Currency [2] 2 3 5 2 2 2" xfId="36605" xr:uid="{00000000-0005-0000-0000-0000C7640000}"/>
    <cellStyle name="Currency [2] 2 3 5 2 3" xfId="19682" xr:uid="{00000000-0005-0000-0000-0000C8640000}"/>
    <cellStyle name="Currency [2] 2 3 5 2 3 2" xfId="39035" xr:uid="{00000000-0005-0000-0000-0000C9640000}"/>
    <cellStyle name="Currency [2] 2 3 5 2 4" xfId="22193" xr:uid="{00000000-0005-0000-0000-0000CA640000}"/>
    <cellStyle name="Currency [2] 2 3 5 2 4 2" xfId="41535" xr:uid="{00000000-0005-0000-0000-0000CB640000}"/>
    <cellStyle name="Currency [2] 2 3 5 2 5" xfId="34134" xr:uid="{00000000-0005-0000-0000-0000CC640000}"/>
    <cellStyle name="Currency [2] 2 3 5 3" xfId="15321" xr:uid="{00000000-0005-0000-0000-0000CD640000}"/>
    <cellStyle name="Currency [2] 2 3 5 3 2" xfId="17797" xr:uid="{00000000-0005-0000-0000-0000CE640000}"/>
    <cellStyle name="Currency [2] 2 3 5 3 2 2" xfId="37151" xr:uid="{00000000-0005-0000-0000-0000CF640000}"/>
    <cellStyle name="Currency [2] 2 3 5 3 3" xfId="20228" xr:uid="{00000000-0005-0000-0000-0000D0640000}"/>
    <cellStyle name="Currency [2] 2 3 5 3 3 2" xfId="39581" xr:uid="{00000000-0005-0000-0000-0000D1640000}"/>
    <cellStyle name="Currency [2] 2 3 5 3 4" xfId="22741" xr:uid="{00000000-0005-0000-0000-0000D2640000}"/>
    <cellStyle name="Currency [2] 2 3 5 3 4 2" xfId="42083" xr:uid="{00000000-0005-0000-0000-0000D3640000}"/>
    <cellStyle name="Currency [2] 2 3 5 3 5" xfId="34682" xr:uid="{00000000-0005-0000-0000-0000D4640000}"/>
    <cellStyle name="Currency [2] 2 3 5 4" xfId="15780" xr:uid="{00000000-0005-0000-0000-0000D5640000}"/>
    <cellStyle name="Currency [2] 2 3 5 4 2" xfId="18256" xr:uid="{00000000-0005-0000-0000-0000D6640000}"/>
    <cellStyle name="Currency [2] 2 3 5 4 2 2" xfId="37610" xr:uid="{00000000-0005-0000-0000-0000D7640000}"/>
    <cellStyle name="Currency [2] 2 3 5 4 3" xfId="20687" xr:uid="{00000000-0005-0000-0000-0000D8640000}"/>
    <cellStyle name="Currency [2] 2 3 5 4 3 2" xfId="40040" xr:uid="{00000000-0005-0000-0000-0000D9640000}"/>
    <cellStyle name="Currency [2] 2 3 5 4 4" xfId="23200" xr:uid="{00000000-0005-0000-0000-0000DA640000}"/>
    <cellStyle name="Currency [2] 2 3 5 4 4 2" xfId="42542" xr:uid="{00000000-0005-0000-0000-0000DB640000}"/>
    <cellStyle name="Currency [2] 2 3 5 4 5" xfId="35141" xr:uid="{00000000-0005-0000-0000-0000DC640000}"/>
    <cellStyle name="Currency [2] 2 3 5 5" xfId="16484" xr:uid="{00000000-0005-0000-0000-0000DD640000}"/>
    <cellStyle name="Currency [2] 2 3 5 5 2" xfId="35838" xr:uid="{00000000-0005-0000-0000-0000DE640000}"/>
    <cellStyle name="Currency [2] 2 3 5 6" xfId="18915" xr:uid="{00000000-0005-0000-0000-0000DF640000}"/>
    <cellStyle name="Currency [2] 2 3 5 6 2" xfId="38268" xr:uid="{00000000-0005-0000-0000-0000E0640000}"/>
    <cellStyle name="Currency [2] 2 3 5 7" xfId="21401" xr:uid="{00000000-0005-0000-0000-0000E1640000}"/>
    <cellStyle name="Currency [2] 2 3 5 7 2" xfId="40743" xr:uid="{00000000-0005-0000-0000-0000E2640000}"/>
    <cellStyle name="Currency [2] 2 3 5 8" xfId="33342" xr:uid="{00000000-0005-0000-0000-0000E3640000}"/>
    <cellStyle name="Currency [2] 2 3 6" xfId="14276" xr:uid="{00000000-0005-0000-0000-0000E4640000}"/>
    <cellStyle name="Currency [2] 2 3 6 2" xfId="16775" xr:uid="{00000000-0005-0000-0000-0000E5640000}"/>
    <cellStyle name="Currency [2] 2 3 6 2 2" xfId="36129" xr:uid="{00000000-0005-0000-0000-0000E6640000}"/>
    <cellStyle name="Currency [2] 2 3 6 3" xfId="19206" xr:uid="{00000000-0005-0000-0000-0000E7640000}"/>
    <cellStyle name="Currency [2] 2 3 6 3 2" xfId="38559" xr:uid="{00000000-0005-0000-0000-0000E8640000}"/>
    <cellStyle name="Currency [2] 2 3 6 4" xfId="21696" xr:uid="{00000000-0005-0000-0000-0000E9640000}"/>
    <cellStyle name="Currency [2] 2 3 6 4 2" xfId="41038" xr:uid="{00000000-0005-0000-0000-0000EA640000}"/>
    <cellStyle name="Currency [2] 2 3 6 5" xfId="33637" xr:uid="{00000000-0005-0000-0000-0000EB640000}"/>
    <cellStyle name="Currency [2] 2 3 7" xfId="15991" xr:uid="{00000000-0005-0000-0000-0000EC640000}"/>
    <cellStyle name="Currency [2] 2 3 7 2" xfId="35345" xr:uid="{00000000-0005-0000-0000-0000ED640000}"/>
    <cellStyle name="Currency [2] 2 3 8" xfId="13389" xr:uid="{00000000-0005-0000-0000-0000EE640000}"/>
    <cellStyle name="Currency [2] 2 3 8 2" xfId="32778" xr:uid="{00000000-0005-0000-0000-0000EF640000}"/>
    <cellStyle name="Currency [2] 2 3 9" xfId="20925" xr:uid="{00000000-0005-0000-0000-0000F0640000}"/>
    <cellStyle name="Currency [2] 2 3 9 2" xfId="40267" xr:uid="{00000000-0005-0000-0000-0000F1640000}"/>
    <cellStyle name="Currency [2] 2 4" xfId="13518" xr:uid="{00000000-0005-0000-0000-0000F2640000}"/>
    <cellStyle name="Currency [2] 2 4 2" xfId="13818" xr:uid="{00000000-0005-0000-0000-0000F3640000}"/>
    <cellStyle name="Currency [2] 2 4 2 2" xfId="14613" xr:uid="{00000000-0005-0000-0000-0000F4640000}"/>
    <cellStyle name="Currency [2] 2 4 2 2 2" xfId="17097" xr:uid="{00000000-0005-0000-0000-0000F5640000}"/>
    <cellStyle name="Currency [2] 2 4 2 2 2 2" xfId="36451" xr:uid="{00000000-0005-0000-0000-0000F6640000}"/>
    <cellStyle name="Currency [2] 2 4 2 2 3" xfId="19528" xr:uid="{00000000-0005-0000-0000-0000F7640000}"/>
    <cellStyle name="Currency [2] 2 4 2 2 3 2" xfId="38881" xr:uid="{00000000-0005-0000-0000-0000F8640000}"/>
    <cellStyle name="Currency [2] 2 4 2 2 4" xfId="22033" xr:uid="{00000000-0005-0000-0000-0000F9640000}"/>
    <cellStyle name="Currency [2] 2 4 2 2 4 2" xfId="41375" xr:uid="{00000000-0005-0000-0000-0000FA640000}"/>
    <cellStyle name="Currency [2] 2 4 2 2 5" xfId="33974" xr:uid="{00000000-0005-0000-0000-0000FB640000}"/>
    <cellStyle name="Currency [2] 2 4 2 3" xfId="15170" xr:uid="{00000000-0005-0000-0000-0000FC640000}"/>
    <cellStyle name="Currency [2] 2 4 2 3 2" xfId="17646" xr:uid="{00000000-0005-0000-0000-0000FD640000}"/>
    <cellStyle name="Currency [2] 2 4 2 3 2 2" xfId="37000" xr:uid="{00000000-0005-0000-0000-0000FE640000}"/>
    <cellStyle name="Currency [2] 2 4 2 3 3" xfId="20077" xr:uid="{00000000-0005-0000-0000-0000FF640000}"/>
    <cellStyle name="Currency [2] 2 4 2 3 3 2" xfId="39430" xr:uid="{00000000-0005-0000-0000-000000650000}"/>
    <cellStyle name="Currency [2] 2 4 2 3 4" xfId="22590" xr:uid="{00000000-0005-0000-0000-000001650000}"/>
    <cellStyle name="Currency [2] 2 4 2 3 4 2" xfId="41932" xr:uid="{00000000-0005-0000-0000-000002650000}"/>
    <cellStyle name="Currency [2] 2 4 2 3 5" xfId="34531" xr:uid="{00000000-0005-0000-0000-000003650000}"/>
    <cellStyle name="Currency [2] 2 4 2 4" xfId="15650" xr:uid="{00000000-0005-0000-0000-000004650000}"/>
    <cellStyle name="Currency [2] 2 4 2 4 2" xfId="18126" xr:uid="{00000000-0005-0000-0000-000005650000}"/>
    <cellStyle name="Currency [2] 2 4 2 4 2 2" xfId="37480" xr:uid="{00000000-0005-0000-0000-000006650000}"/>
    <cellStyle name="Currency [2] 2 4 2 4 3" xfId="20557" xr:uid="{00000000-0005-0000-0000-000007650000}"/>
    <cellStyle name="Currency [2] 2 4 2 4 3 2" xfId="39910" xr:uid="{00000000-0005-0000-0000-000008650000}"/>
    <cellStyle name="Currency [2] 2 4 2 4 4" xfId="23070" xr:uid="{00000000-0005-0000-0000-000009650000}"/>
    <cellStyle name="Currency [2] 2 4 2 4 4 2" xfId="42412" xr:uid="{00000000-0005-0000-0000-00000A650000}"/>
    <cellStyle name="Currency [2] 2 4 2 4 5" xfId="35011" xr:uid="{00000000-0005-0000-0000-00000B650000}"/>
    <cellStyle name="Currency [2] 2 4 2 5" xfId="16330" xr:uid="{00000000-0005-0000-0000-00000C650000}"/>
    <cellStyle name="Currency [2] 2 4 2 5 2" xfId="35684" xr:uid="{00000000-0005-0000-0000-00000D650000}"/>
    <cellStyle name="Currency [2] 2 4 2 6" xfId="18761" xr:uid="{00000000-0005-0000-0000-00000E650000}"/>
    <cellStyle name="Currency [2] 2 4 2 6 2" xfId="38114" xr:uid="{00000000-0005-0000-0000-00000F650000}"/>
    <cellStyle name="Currency [2] 2 4 2 7" xfId="21241" xr:uid="{00000000-0005-0000-0000-000010650000}"/>
    <cellStyle name="Currency [2] 2 4 2 7 2" xfId="40583" xr:uid="{00000000-0005-0000-0000-000011650000}"/>
    <cellStyle name="Currency [2] 2 4 2 8" xfId="33182" xr:uid="{00000000-0005-0000-0000-000012650000}"/>
    <cellStyle name="Currency [2] 2 4 3" xfId="14039" xr:uid="{00000000-0005-0000-0000-000013650000}"/>
    <cellStyle name="Currency [2] 2 4 3 2" xfId="14834" xr:uid="{00000000-0005-0000-0000-000014650000}"/>
    <cellStyle name="Currency [2] 2 4 3 2 2" xfId="17312" xr:uid="{00000000-0005-0000-0000-000015650000}"/>
    <cellStyle name="Currency [2] 2 4 3 2 2 2" xfId="36666" xr:uid="{00000000-0005-0000-0000-000016650000}"/>
    <cellStyle name="Currency [2] 2 4 3 2 3" xfId="19743" xr:uid="{00000000-0005-0000-0000-000017650000}"/>
    <cellStyle name="Currency [2] 2 4 3 2 3 2" xfId="39096" xr:uid="{00000000-0005-0000-0000-000018650000}"/>
    <cellStyle name="Currency [2] 2 4 3 2 4" xfId="22254" xr:uid="{00000000-0005-0000-0000-000019650000}"/>
    <cellStyle name="Currency [2] 2 4 3 2 4 2" xfId="41596" xr:uid="{00000000-0005-0000-0000-00001A650000}"/>
    <cellStyle name="Currency [2] 2 4 3 2 5" xfId="34195" xr:uid="{00000000-0005-0000-0000-00001B650000}"/>
    <cellStyle name="Currency [2] 2 4 3 3" xfId="15382" xr:uid="{00000000-0005-0000-0000-00001C650000}"/>
    <cellStyle name="Currency [2] 2 4 3 3 2" xfId="17858" xr:uid="{00000000-0005-0000-0000-00001D650000}"/>
    <cellStyle name="Currency [2] 2 4 3 3 2 2" xfId="37212" xr:uid="{00000000-0005-0000-0000-00001E650000}"/>
    <cellStyle name="Currency [2] 2 4 3 3 3" xfId="20289" xr:uid="{00000000-0005-0000-0000-00001F650000}"/>
    <cellStyle name="Currency [2] 2 4 3 3 3 2" xfId="39642" xr:uid="{00000000-0005-0000-0000-000020650000}"/>
    <cellStyle name="Currency [2] 2 4 3 3 4" xfId="22802" xr:uid="{00000000-0005-0000-0000-000021650000}"/>
    <cellStyle name="Currency [2] 2 4 3 3 4 2" xfId="42144" xr:uid="{00000000-0005-0000-0000-000022650000}"/>
    <cellStyle name="Currency [2] 2 4 3 3 5" xfId="34743" xr:uid="{00000000-0005-0000-0000-000023650000}"/>
    <cellStyle name="Currency [2] 2 4 3 4" xfId="15841" xr:uid="{00000000-0005-0000-0000-000024650000}"/>
    <cellStyle name="Currency [2] 2 4 3 4 2" xfId="18317" xr:uid="{00000000-0005-0000-0000-000025650000}"/>
    <cellStyle name="Currency [2] 2 4 3 4 2 2" xfId="37671" xr:uid="{00000000-0005-0000-0000-000026650000}"/>
    <cellStyle name="Currency [2] 2 4 3 4 3" xfId="20748" xr:uid="{00000000-0005-0000-0000-000027650000}"/>
    <cellStyle name="Currency [2] 2 4 3 4 3 2" xfId="40101" xr:uid="{00000000-0005-0000-0000-000028650000}"/>
    <cellStyle name="Currency [2] 2 4 3 4 4" xfId="23261" xr:uid="{00000000-0005-0000-0000-000029650000}"/>
    <cellStyle name="Currency [2] 2 4 3 4 4 2" xfId="42603" xr:uid="{00000000-0005-0000-0000-00002A650000}"/>
    <cellStyle name="Currency [2] 2 4 3 4 5" xfId="35202" xr:uid="{00000000-0005-0000-0000-00002B650000}"/>
    <cellStyle name="Currency [2] 2 4 3 5" xfId="16545" xr:uid="{00000000-0005-0000-0000-00002C650000}"/>
    <cellStyle name="Currency [2] 2 4 3 5 2" xfId="35899" xr:uid="{00000000-0005-0000-0000-00002D650000}"/>
    <cellStyle name="Currency [2] 2 4 3 6" xfId="18976" xr:uid="{00000000-0005-0000-0000-00002E650000}"/>
    <cellStyle name="Currency [2] 2 4 3 6 2" xfId="38329" xr:uid="{00000000-0005-0000-0000-00002F650000}"/>
    <cellStyle name="Currency [2] 2 4 3 7" xfId="21462" xr:uid="{00000000-0005-0000-0000-000030650000}"/>
    <cellStyle name="Currency [2] 2 4 3 7 2" xfId="40804" xr:uid="{00000000-0005-0000-0000-000031650000}"/>
    <cellStyle name="Currency [2] 2 4 3 8" xfId="33403" xr:uid="{00000000-0005-0000-0000-000032650000}"/>
    <cellStyle name="Currency [2] 2 4 4" xfId="14334" xr:uid="{00000000-0005-0000-0000-000033650000}"/>
    <cellStyle name="Currency [2] 2 4 4 2" xfId="16830" xr:uid="{00000000-0005-0000-0000-000034650000}"/>
    <cellStyle name="Currency [2] 2 4 4 2 2" xfId="36184" xr:uid="{00000000-0005-0000-0000-000035650000}"/>
    <cellStyle name="Currency [2] 2 4 4 3" xfId="19261" xr:uid="{00000000-0005-0000-0000-000036650000}"/>
    <cellStyle name="Currency [2] 2 4 4 3 2" xfId="38614" xr:uid="{00000000-0005-0000-0000-000037650000}"/>
    <cellStyle name="Currency [2] 2 4 4 4" xfId="21754" xr:uid="{00000000-0005-0000-0000-000038650000}"/>
    <cellStyle name="Currency [2] 2 4 4 4 2" xfId="41096" xr:uid="{00000000-0005-0000-0000-000039650000}"/>
    <cellStyle name="Currency [2] 2 4 4 5" xfId="33695" xr:uid="{00000000-0005-0000-0000-00003A650000}"/>
    <cellStyle name="Currency [2] 2 4 5" xfId="14972" xr:uid="{00000000-0005-0000-0000-00003B650000}"/>
    <cellStyle name="Currency [2] 2 4 5 2" xfId="17448" xr:uid="{00000000-0005-0000-0000-00003C650000}"/>
    <cellStyle name="Currency [2] 2 4 5 2 2" xfId="36802" xr:uid="{00000000-0005-0000-0000-00003D650000}"/>
    <cellStyle name="Currency [2] 2 4 5 3" xfId="19879" xr:uid="{00000000-0005-0000-0000-00003E650000}"/>
    <cellStyle name="Currency [2] 2 4 5 3 2" xfId="39232" xr:uid="{00000000-0005-0000-0000-00003F650000}"/>
    <cellStyle name="Currency [2] 2 4 5 4" xfId="22392" xr:uid="{00000000-0005-0000-0000-000040650000}"/>
    <cellStyle name="Currency [2] 2 4 5 4 2" xfId="41734" xr:uid="{00000000-0005-0000-0000-000041650000}"/>
    <cellStyle name="Currency [2] 2 4 5 5" xfId="34333" xr:uid="{00000000-0005-0000-0000-000042650000}"/>
    <cellStyle name="Currency [2] 2 4 6" xfId="16076" xr:uid="{00000000-0005-0000-0000-000043650000}"/>
    <cellStyle name="Currency [2] 2 4 6 2" xfId="35430" xr:uid="{00000000-0005-0000-0000-000044650000}"/>
    <cellStyle name="Currency [2] 2 4 7" xfId="18479" xr:uid="{00000000-0005-0000-0000-000045650000}"/>
    <cellStyle name="Currency [2] 2 4 7 2" xfId="37832" xr:uid="{00000000-0005-0000-0000-000046650000}"/>
    <cellStyle name="Currency [2] 2 4 8" xfId="32893" xr:uid="{00000000-0005-0000-0000-000047650000}"/>
    <cellStyle name="Currency [2] 2 5" xfId="13746" xr:uid="{00000000-0005-0000-0000-000048650000}"/>
    <cellStyle name="Currency [2] 2 5 2" xfId="14549" xr:uid="{00000000-0005-0000-0000-000049650000}"/>
    <cellStyle name="Currency [2] 2 5 2 2" xfId="17036" xr:uid="{00000000-0005-0000-0000-00004A650000}"/>
    <cellStyle name="Currency [2] 2 5 2 2 2" xfId="36390" xr:uid="{00000000-0005-0000-0000-00004B650000}"/>
    <cellStyle name="Currency [2] 2 5 2 3" xfId="19467" xr:uid="{00000000-0005-0000-0000-00004C650000}"/>
    <cellStyle name="Currency [2] 2 5 2 3 2" xfId="38820" xr:uid="{00000000-0005-0000-0000-00004D650000}"/>
    <cellStyle name="Currency [2] 2 5 2 4" xfId="21969" xr:uid="{00000000-0005-0000-0000-00004E650000}"/>
    <cellStyle name="Currency [2] 2 5 2 4 2" xfId="41311" xr:uid="{00000000-0005-0000-0000-00004F650000}"/>
    <cellStyle name="Currency [2] 2 5 2 5" xfId="33910" xr:uid="{00000000-0005-0000-0000-000050650000}"/>
    <cellStyle name="Currency [2] 2 5 3" xfId="15110" xr:uid="{00000000-0005-0000-0000-000051650000}"/>
    <cellStyle name="Currency [2] 2 5 3 2" xfId="17586" xr:uid="{00000000-0005-0000-0000-000052650000}"/>
    <cellStyle name="Currency [2] 2 5 3 2 2" xfId="36940" xr:uid="{00000000-0005-0000-0000-000053650000}"/>
    <cellStyle name="Currency [2] 2 5 3 3" xfId="20017" xr:uid="{00000000-0005-0000-0000-000054650000}"/>
    <cellStyle name="Currency [2] 2 5 3 3 2" xfId="39370" xr:uid="{00000000-0005-0000-0000-000055650000}"/>
    <cellStyle name="Currency [2] 2 5 3 4" xfId="22530" xr:uid="{00000000-0005-0000-0000-000056650000}"/>
    <cellStyle name="Currency [2] 2 5 3 4 2" xfId="41872" xr:uid="{00000000-0005-0000-0000-000057650000}"/>
    <cellStyle name="Currency [2] 2 5 3 5" xfId="34471" xr:uid="{00000000-0005-0000-0000-000058650000}"/>
    <cellStyle name="Currency [2] 2 5 4" xfId="15593" xr:uid="{00000000-0005-0000-0000-000059650000}"/>
    <cellStyle name="Currency [2] 2 5 4 2" xfId="18069" xr:uid="{00000000-0005-0000-0000-00005A650000}"/>
    <cellStyle name="Currency [2] 2 5 4 2 2" xfId="37423" xr:uid="{00000000-0005-0000-0000-00005B650000}"/>
    <cellStyle name="Currency [2] 2 5 4 3" xfId="20500" xr:uid="{00000000-0005-0000-0000-00005C650000}"/>
    <cellStyle name="Currency [2] 2 5 4 3 2" xfId="39853" xr:uid="{00000000-0005-0000-0000-00005D650000}"/>
    <cellStyle name="Currency [2] 2 5 4 4" xfId="23013" xr:uid="{00000000-0005-0000-0000-00005E650000}"/>
    <cellStyle name="Currency [2] 2 5 4 4 2" xfId="42355" xr:uid="{00000000-0005-0000-0000-00005F650000}"/>
    <cellStyle name="Currency [2] 2 5 4 5" xfId="34954" xr:uid="{00000000-0005-0000-0000-000060650000}"/>
    <cellStyle name="Currency [2] 2 5 5" xfId="16262" xr:uid="{00000000-0005-0000-0000-000061650000}"/>
    <cellStyle name="Currency [2] 2 5 5 2" xfId="35616" xr:uid="{00000000-0005-0000-0000-000062650000}"/>
    <cellStyle name="Currency [2] 2 5 6" xfId="18693" xr:uid="{00000000-0005-0000-0000-000063650000}"/>
    <cellStyle name="Currency [2] 2 5 6 2" xfId="38046" xr:uid="{00000000-0005-0000-0000-000064650000}"/>
    <cellStyle name="Currency [2] 2 5 7" xfId="21170" xr:uid="{00000000-0005-0000-0000-000065650000}"/>
    <cellStyle name="Currency [2] 2 5 7 2" xfId="40512" xr:uid="{00000000-0005-0000-0000-000066650000}"/>
    <cellStyle name="Currency [2] 2 5 8" xfId="33111" xr:uid="{00000000-0005-0000-0000-000067650000}"/>
    <cellStyle name="Currency [2] 2 6" xfId="13317" xr:uid="{00000000-0005-0000-0000-000068650000}"/>
    <cellStyle name="Currency [2] 2 6 2" xfId="32743" xr:uid="{00000000-0005-0000-0000-000069650000}"/>
    <cellStyle name="Currency [2] 2 7" xfId="20897" xr:uid="{00000000-0005-0000-0000-00006A650000}"/>
    <cellStyle name="Currency [2] 2 7 2" xfId="40242" xr:uid="{00000000-0005-0000-0000-00006B650000}"/>
    <cellStyle name="Currency [2] 3" xfId="4879" xr:uid="{00000000-0005-0000-0000-00006C650000}"/>
    <cellStyle name="Currency [2] 3 2" xfId="6084" xr:uid="{00000000-0005-0000-0000-00006D650000}"/>
    <cellStyle name="Currency [2] 3 2 2" xfId="8320" xr:uid="{00000000-0005-0000-0000-00006E650000}"/>
    <cellStyle name="Currency [2] 3 2 2 2" xfId="27801" xr:uid="{00000000-0005-0000-0000-00006F650000}"/>
    <cellStyle name="Currency [2] 3 2 3" xfId="14511" xr:uid="{00000000-0005-0000-0000-000070650000}"/>
    <cellStyle name="Currency [2] 3 2 3 2" xfId="33872" xr:uid="{00000000-0005-0000-0000-000071650000}"/>
    <cellStyle name="Currency [2] 3 2 4" xfId="17001" xr:uid="{00000000-0005-0000-0000-000072650000}"/>
    <cellStyle name="Currency [2] 3 2 4 2" xfId="36355" xr:uid="{00000000-0005-0000-0000-000073650000}"/>
    <cellStyle name="Currency [2] 3 2 5" xfId="19432" xr:uid="{00000000-0005-0000-0000-000074650000}"/>
    <cellStyle name="Currency [2] 3 2 5 2" xfId="38785" xr:uid="{00000000-0005-0000-0000-000075650000}"/>
    <cellStyle name="Currency [2] 3 2 6" xfId="21931" xr:uid="{00000000-0005-0000-0000-000076650000}"/>
    <cellStyle name="Currency [2] 3 2 6 2" xfId="41273" xr:uid="{00000000-0005-0000-0000-000077650000}"/>
    <cellStyle name="Currency [2] 3 2 7" xfId="25569" xr:uid="{00000000-0005-0000-0000-000078650000}"/>
    <cellStyle name="Currency [2] 3 3" xfId="6637" xr:uid="{00000000-0005-0000-0000-000079650000}"/>
    <cellStyle name="Currency [2] 3 3 2" xfId="15075" xr:uid="{00000000-0005-0000-0000-00007A650000}"/>
    <cellStyle name="Currency [2] 3 3 2 2" xfId="34436" xr:uid="{00000000-0005-0000-0000-00007B650000}"/>
    <cellStyle name="Currency [2] 3 3 3" xfId="17551" xr:uid="{00000000-0005-0000-0000-00007C650000}"/>
    <cellStyle name="Currency [2] 3 3 3 2" xfId="36905" xr:uid="{00000000-0005-0000-0000-00007D650000}"/>
    <cellStyle name="Currency [2] 3 3 4" xfId="19982" xr:uid="{00000000-0005-0000-0000-00007E650000}"/>
    <cellStyle name="Currency [2] 3 3 4 2" xfId="39335" xr:uid="{00000000-0005-0000-0000-00007F650000}"/>
    <cellStyle name="Currency [2] 3 3 5" xfId="22495" xr:uid="{00000000-0005-0000-0000-000080650000}"/>
    <cellStyle name="Currency [2] 3 3 5 2" xfId="41837" xr:uid="{00000000-0005-0000-0000-000081650000}"/>
    <cellStyle name="Currency [2] 3 3 6" xfId="26122" xr:uid="{00000000-0005-0000-0000-000082650000}"/>
    <cellStyle name="Currency [2] 3 4" xfId="15558" xr:uid="{00000000-0005-0000-0000-000083650000}"/>
    <cellStyle name="Currency [2] 3 4 2" xfId="18034" xr:uid="{00000000-0005-0000-0000-000084650000}"/>
    <cellStyle name="Currency [2] 3 4 2 2" xfId="37388" xr:uid="{00000000-0005-0000-0000-000085650000}"/>
    <cellStyle name="Currency [2] 3 4 3" xfId="20465" xr:uid="{00000000-0005-0000-0000-000086650000}"/>
    <cellStyle name="Currency [2] 3 4 3 2" xfId="39818" xr:uid="{00000000-0005-0000-0000-000087650000}"/>
    <cellStyle name="Currency [2] 3 4 4" xfId="22978" xr:uid="{00000000-0005-0000-0000-000088650000}"/>
    <cellStyle name="Currency [2] 3 4 4 2" xfId="42320" xr:uid="{00000000-0005-0000-0000-000089650000}"/>
    <cellStyle name="Currency [2] 3 4 5" xfId="34919" xr:uid="{00000000-0005-0000-0000-00008A650000}"/>
    <cellStyle name="Currency [2] 3 5" xfId="13708" xr:uid="{00000000-0005-0000-0000-00008B650000}"/>
    <cellStyle name="Currency [2] 3 5 2" xfId="33073" xr:uid="{00000000-0005-0000-0000-00008C650000}"/>
    <cellStyle name="Currency [2] 3 6" xfId="16227" xr:uid="{00000000-0005-0000-0000-00008D650000}"/>
    <cellStyle name="Currency [2] 3 6 2" xfId="35581" xr:uid="{00000000-0005-0000-0000-00008E650000}"/>
    <cellStyle name="Currency [2] 3 7" xfId="18658" xr:uid="{00000000-0005-0000-0000-00008F650000}"/>
    <cellStyle name="Currency [2] 3 7 2" xfId="38011" xr:uid="{00000000-0005-0000-0000-000090650000}"/>
    <cellStyle name="Currency [2] 3 8" xfId="21132" xr:uid="{00000000-0005-0000-0000-000091650000}"/>
    <cellStyle name="Currency [2] 3 8 2" xfId="40474" xr:uid="{00000000-0005-0000-0000-000092650000}"/>
    <cellStyle name="Currency [2] 3 9" xfId="24375" xr:uid="{00000000-0005-0000-0000-000093650000}"/>
    <cellStyle name="Currency [2] 4" xfId="13700" xr:uid="{00000000-0005-0000-0000-000094650000}"/>
    <cellStyle name="Currency [2] 4 2" xfId="14503" xr:uid="{00000000-0005-0000-0000-000095650000}"/>
    <cellStyle name="Currency [2] 4 2 2" xfId="16993" xr:uid="{00000000-0005-0000-0000-000096650000}"/>
    <cellStyle name="Currency [2] 4 2 2 2" xfId="36347" xr:uid="{00000000-0005-0000-0000-000097650000}"/>
    <cellStyle name="Currency [2] 4 2 3" xfId="19424" xr:uid="{00000000-0005-0000-0000-000098650000}"/>
    <cellStyle name="Currency [2] 4 2 3 2" xfId="38777" xr:uid="{00000000-0005-0000-0000-000099650000}"/>
    <cellStyle name="Currency [2] 4 2 4" xfId="21923" xr:uid="{00000000-0005-0000-0000-00009A650000}"/>
    <cellStyle name="Currency [2] 4 2 4 2" xfId="41265" xr:uid="{00000000-0005-0000-0000-00009B650000}"/>
    <cellStyle name="Currency [2] 4 2 5" xfId="33864" xr:uid="{00000000-0005-0000-0000-00009C650000}"/>
    <cellStyle name="Currency [2] 4 3" xfId="15067" xr:uid="{00000000-0005-0000-0000-00009D650000}"/>
    <cellStyle name="Currency [2] 4 3 2" xfId="17543" xr:uid="{00000000-0005-0000-0000-00009E650000}"/>
    <cellStyle name="Currency [2] 4 3 2 2" xfId="36897" xr:uid="{00000000-0005-0000-0000-00009F650000}"/>
    <cellStyle name="Currency [2] 4 3 3" xfId="19974" xr:uid="{00000000-0005-0000-0000-0000A0650000}"/>
    <cellStyle name="Currency [2] 4 3 3 2" xfId="39327" xr:uid="{00000000-0005-0000-0000-0000A1650000}"/>
    <cellStyle name="Currency [2] 4 3 4" xfId="22487" xr:uid="{00000000-0005-0000-0000-0000A2650000}"/>
    <cellStyle name="Currency [2] 4 3 4 2" xfId="41829" xr:uid="{00000000-0005-0000-0000-0000A3650000}"/>
    <cellStyle name="Currency [2] 4 3 5" xfId="34428" xr:uid="{00000000-0005-0000-0000-0000A4650000}"/>
    <cellStyle name="Currency [2] 4 4" xfId="15550" xr:uid="{00000000-0005-0000-0000-0000A5650000}"/>
    <cellStyle name="Currency [2] 4 4 2" xfId="18026" xr:uid="{00000000-0005-0000-0000-0000A6650000}"/>
    <cellStyle name="Currency [2] 4 4 2 2" xfId="37380" xr:uid="{00000000-0005-0000-0000-0000A7650000}"/>
    <cellStyle name="Currency [2] 4 4 3" xfId="20457" xr:uid="{00000000-0005-0000-0000-0000A8650000}"/>
    <cellStyle name="Currency [2] 4 4 3 2" xfId="39810" xr:uid="{00000000-0005-0000-0000-0000A9650000}"/>
    <cellStyle name="Currency [2] 4 4 4" xfId="22970" xr:uid="{00000000-0005-0000-0000-0000AA650000}"/>
    <cellStyle name="Currency [2] 4 4 4 2" xfId="42312" xr:uid="{00000000-0005-0000-0000-0000AB650000}"/>
    <cellStyle name="Currency [2] 4 4 5" xfId="34911" xr:uid="{00000000-0005-0000-0000-0000AC650000}"/>
    <cellStyle name="Currency [2] 4 5" xfId="16219" xr:uid="{00000000-0005-0000-0000-0000AD650000}"/>
    <cellStyle name="Currency [2] 4 5 2" xfId="35573" xr:uid="{00000000-0005-0000-0000-0000AE650000}"/>
    <cellStyle name="Currency [2] 4 6" xfId="18650" xr:uid="{00000000-0005-0000-0000-0000AF650000}"/>
    <cellStyle name="Currency [2] 4 6 2" xfId="38003" xr:uid="{00000000-0005-0000-0000-0000B0650000}"/>
    <cellStyle name="Currency [2] 4 7" xfId="21124" xr:uid="{00000000-0005-0000-0000-0000B1650000}"/>
    <cellStyle name="Currency [2] 4 7 2" xfId="40466" xr:uid="{00000000-0005-0000-0000-0000B2650000}"/>
    <cellStyle name="Currency [2] 4 8" xfId="33065" xr:uid="{00000000-0005-0000-0000-0000B3650000}"/>
    <cellStyle name="Currency [2] 5" xfId="14213" xr:uid="{00000000-0005-0000-0000-0000B4650000}"/>
    <cellStyle name="Currency [2] 5 2" xfId="16716" xr:uid="{00000000-0005-0000-0000-0000B5650000}"/>
    <cellStyle name="Currency [2] 5 2 2" xfId="36070" xr:uid="{00000000-0005-0000-0000-0000B6650000}"/>
    <cellStyle name="Currency [2] 5 3" xfId="19147" xr:uid="{00000000-0005-0000-0000-0000B7650000}"/>
    <cellStyle name="Currency [2] 5 3 2" xfId="38500" xr:uid="{00000000-0005-0000-0000-0000B8650000}"/>
    <cellStyle name="Currency [2] 5 4" xfId="21634" xr:uid="{00000000-0005-0000-0000-0000B9650000}"/>
    <cellStyle name="Currency [2] 5 4 2" xfId="40976" xr:uid="{00000000-0005-0000-0000-0000BA650000}"/>
    <cellStyle name="Currency [2] 5 5" xfId="33575" xr:uid="{00000000-0005-0000-0000-0000BB650000}"/>
    <cellStyle name="Currency [2] 6" xfId="13234" xr:uid="{00000000-0005-0000-0000-0000BC650000}"/>
    <cellStyle name="Currency [2] 6 2" xfId="32689" xr:uid="{00000000-0005-0000-0000-0000BD650000}"/>
    <cellStyle name="Currency [2] 7" xfId="13380" xr:uid="{00000000-0005-0000-0000-0000BE650000}"/>
    <cellStyle name="Currency [2] 7 2" xfId="32776" xr:uid="{00000000-0005-0000-0000-0000BF650000}"/>
    <cellStyle name="Currency 0" xfId="1561" xr:uid="{00000000-0005-0000-0000-0000C0650000}"/>
    <cellStyle name="Currency 0 2" xfId="1562" xr:uid="{00000000-0005-0000-0000-0000C1650000}"/>
    <cellStyle name="Currency 10" xfId="2664" xr:uid="{00000000-0005-0000-0000-0000C2650000}"/>
    <cellStyle name="Currency 11" xfId="2690" xr:uid="{00000000-0005-0000-0000-0000C3650000}"/>
    <cellStyle name="Currency 12" xfId="3092" xr:uid="{00000000-0005-0000-0000-0000C4650000}"/>
    <cellStyle name="Currency 13" xfId="4094" xr:uid="{00000000-0005-0000-0000-0000C5650000}"/>
    <cellStyle name="Currency 14" xfId="13233" xr:uid="{00000000-0005-0000-0000-0000C6650000}"/>
    <cellStyle name="Currency 15" xfId="13218" xr:uid="{00000000-0005-0000-0000-0000C7650000}"/>
    <cellStyle name="Currency 16" xfId="13379" xr:uid="{00000000-0005-0000-0000-0000C8650000}"/>
    <cellStyle name="Currency 17" xfId="20883" xr:uid="{00000000-0005-0000-0000-0000C9650000}"/>
    <cellStyle name="Currency 18" xfId="42738" xr:uid="{00000000-0005-0000-0000-0000CA650000}"/>
    <cellStyle name="Currency 2" xfId="1563" xr:uid="{00000000-0005-0000-0000-0000CB650000}"/>
    <cellStyle name="Currency 2 2" xfId="1564" xr:uid="{00000000-0005-0000-0000-0000CC650000}"/>
    <cellStyle name="Currency 2 3" xfId="2539" xr:uid="{00000000-0005-0000-0000-0000CD650000}"/>
    <cellStyle name="Currency 2 4" xfId="2153" xr:uid="{00000000-0005-0000-0000-0000CE650000}"/>
    <cellStyle name="Currency 3" xfId="2076" xr:uid="{00000000-0005-0000-0000-0000CF650000}"/>
    <cellStyle name="Currency 3 2" xfId="4164" xr:uid="{00000000-0005-0000-0000-0000D0650000}"/>
    <cellStyle name="Currency 3 2 2" xfId="4769" xr:uid="{00000000-0005-0000-0000-0000D1650000}"/>
    <cellStyle name="Currency 4" xfId="2127" xr:uid="{00000000-0005-0000-0000-0000D2650000}"/>
    <cellStyle name="Currency 4 2" xfId="4291" xr:uid="{00000000-0005-0000-0000-0000D3650000}"/>
    <cellStyle name="Currency 4 3" xfId="4566" xr:uid="{00000000-0005-0000-0000-0000D4650000}"/>
    <cellStyle name="Currency 5" xfId="2665" xr:uid="{00000000-0005-0000-0000-0000D5650000}"/>
    <cellStyle name="Currency 6" xfId="2666" xr:uid="{00000000-0005-0000-0000-0000D6650000}"/>
    <cellStyle name="Currency 7" xfId="2667" xr:uid="{00000000-0005-0000-0000-0000D7650000}"/>
    <cellStyle name="Currency 8" xfId="2668" xr:uid="{00000000-0005-0000-0000-0000D8650000}"/>
    <cellStyle name="Currency 9" xfId="2669" xr:uid="{00000000-0005-0000-0000-0000D9650000}"/>
    <cellStyle name="Currency(1)" xfId="1565" xr:uid="{00000000-0005-0000-0000-0000DA650000}"/>
    <cellStyle name="Currency0" xfId="1566" xr:uid="{00000000-0005-0000-0000-0000DE650000}"/>
    <cellStyle name="Currency0 2" xfId="2129" xr:uid="{00000000-0005-0000-0000-0000DF650000}"/>
    <cellStyle name="Currency1" xfId="1567" xr:uid="{00000000-0005-0000-0000-0000E0650000}"/>
    <cellStyle name="Currency2" xfId="3926" xr:uid="{00000000-0005-0000-0000-0000E1650000}"/>
    <cellStyle name="Currency3" xfId="1568" xr:uid="{00000000-0005-0000-0000-0000E2650000}"/>
    <cellStyle name="Currsmall" xfId="1569" xr:uid="{00000000-0005-0000-0000-0000E3650000}"/>
    <cellStyle name="custom" xfId="1570" xr:uid="{00000000-0005-0000-0000-0000E4650000}"/>
    <cellStyle name="custom 2" xfId="2540" xr:uid="{00000000-0005-0000-0000-0000E5650000}"/>
    <cellStyle name="Dash" xfId="1571" xr:uid="{00000000-0005-0000-0000-0000E6650000}"/>
    <cellStyle name="data" xfId="3927" xr:uid="{00000000-0005-0000-0000-0000E7650000}"/>
    <cellStyle name="Date" xfId="1572" xr:uid="{00000000-0005-0000-0000-0000E8650000}"/>
    <cellStyle name="Date [mmm-yy]" xfId="1573" xr:uid="{00000000-0005-0000-0000-0000E9650000}"/>
    <cellStyle name="Date [mmm-yy] 2" xfId="1574" xr:uid="{00000000-0005-0000-0000-0000EA650000}"/>
    <cellStyle name="date 2" xfId="2130" xr:uid="{00000000-0005-0000-0000-0000EB650000}"/>
    <cellStyle name="date 3" xfId="4095" xr:uid="{00000000-0005-0000-0000-0000EC650000}"/>
    <cellStyle name="date 4" xfId="13235" xr:uid="{00000000-0005-0000-0000-0000ED650000}"/>
    <cellStyle name="date 5" xfId="13217" xr:uid="{00000000-0005-0000-0000-0000EE650000}"/>
    <cellStyle name="date 6" xfId="13222" xr:uid="{00000000-0005-0000-0000-0000EF650000}"/>
    <cellStyle name="date 7" xfId="20884" xr:uid="{00000000-0005-0000-0000-0000F0650000}"/>
    <cellStyle name="Date Aligned" xfId="1575" xr:uid="{00000000-0005-0000-0000-0000F1650000}"/>
    <cellStyle name="Date Aligned 2" xfId="1576" xr:uid="{00000000-0005-0000-0000-0000F2650000}"/>
    <cellStyle name="Date Day" xfId="3928" xr:uid="{00000000-0005-0000-0000-0000F3650000}"/>
    <cellStyle name="Date Year" xfId="3929" xr:uid="{00000000-0005-0000-0000-0000F4650000}"/>
    <cellStyle name="date_Company0187 working" xfId="1577" xr:uid="{00000000-0005-0000-0000-0000F5650000}"/>
    <cellStyle name="Date2" xfId="1578" xr:uid="{00000000-0005-0000-0000-0000F6650000}"/>
    <cellStyle name="Date2 2" xfId="2541" xr:uid="{00000000-0005-0000-0000-0000F7650000}"/>
    <cellStyle name="Dates" xfId="1579" xr:uid="{00000000-0005-0000-0000-0000F8650000}"/>
    <cellStyle name="DateYear" xfId="1580" xr:uid="{00000000-0005-0000-0000-0000F9650000}"/>
    <cellStyle name="default" xfId="4501" xr:uid="{00000000-0005-0000-0000-0000FA650000}"/>
    <cellStyle name="Dollar" xfId="1581" xr:uid="{00000000-0005-0000-0000-0000FB650000}"/>
    <cellStyle name="Dollar - Style5" xfId="1582" xr:uid="{00000000-0005-0000-0000-0000FC650000}"/>
    <cellStyle name="Dollar (Canadian)" xfId="3930" xr:uid="{00000000-0005-0000-0000-0000FD650000}"/>
    <cellStyle name="Dollar 2" xfId="2131" xr:uid="{00000000-0005-0000-0000-0000FE650000}"/>
    <cellStyle name="Dollar 2 2" xfId="4168" xr:uid="{00000000-0005-0000-0000-0000FF650000}"/>
    <cellStyle name="Dollar 3" xfId="2755" xr:uid="{00000000-0005-0000-0000-000000660000}"/>
    <cellStyle name="Dollar 4" xfId="4096" xr:uid="{00000000-0005-0000-0000-000001660000}"/>
    <cellStyle name="Dollar 5" xfId="13236" xr:uid="{00000000-0005-0000-0000-000002660000}"/>
    <cellStyle name="Dollar 6" xfId="13291" xr:uid="{00000000-0005-0000-0000-000003660000}"/>
    <cellStyle name="Dollar 7" xfId="15980" xr:uid="{00000000-0005-0000-0000-000004660000}"/>
    <cellStyle name="Dollar 8" xfId="20885" xr:uid="{00000000-0005-0000-0000-000005660000}"/>
    <cellStyle name="Dollar Whole" xfId="3931" xr:uid="{00000000-0005-0000-0000-000006660000}"/>
    <cellStyle name="dollar[0]" xfId="1583" xr:uid="{00000000-0005-0000-0000-000007660000}"/>
    <cellStyle name="Dollar_Company0187 Model" xfId="1584" xr:uid="{00000000-0005-0000-0000-000008660000}"/>
    <cellStyle name="Dollars" xfId="1585" xr:uid="{00000000-0005-0000-0000-000009660000}"/>
    <cellStyle name="DollarWhole" xfId="1586" xr:uid="{00000000-0005-0000-0000-00000A660000}"/>
    <cellStyle name="Dotted Line" xfId="1587" xr:uid="{00000000-0005-0000-0000-00000B660000}"/>
    <cellStyle name="Dotted Line 2" xfId="1588" xr:uid="{00000000-0005-0000-0000-00000C660000}"/>
    <cellStyle name="Double Underline" xfId="3932" xr:uid="{00000000-0005-0000-0000-00000D660000}"/>
    <cellStyle name="Download" xfId="1589" xr:uid="{00000000-0005-0000-0000-00000E660000}"/>
    <cellStyle name="Download 2" xfId="2132" xr:uid="{00000000-0005-0000-0000-00000F660000}"/>
    <cellStyle name="Download 2 2" xfId="2670" xr:uid="{00000000-0005-0000-0000-000010660000}"/>
    <cellStyle name="Download 2 2 2" xfId="4922" xr:uid="{00000000-0005-0000-0000-000011660000}"/>
    <cellStyle name="Download 2 2 2 2" xfId="6674" xr:uid="{00000000-0005-0000-0000-000012660000}"/>
    <cellStyle name="Download 2 2 2 2 2" xfId="26159" xr:uid="{00000000-0005-0000-0000-000013660000}"/>
    <cellStyle name="Download 2 2 2 3" xfId="24416" xr:uid="{00000000-0005-0000-0000-000014660000}"/>
    <cellStyle name="Download 2 2 3" xfId="5664" xr:uid="{00000000-0005-0000-0000-000015660000}"/>
    <cellStyle name="Download 2 2 3 2" xfId="25151" xr:uid="{00000000-0005-0000-0000-000016660000}"/>
    <cellStyle name="Download 2 2 4" xfId="23549" xr:uid="{00000000-0005-0000-0000-000017660000}"/>
    <cellStyle name="Download 2 3" xfId="13305" xr:uid="{00000000-0005-0000-0000-000018660000}"/>
    <cellStyle name="Download 2 4" xfId="13274" xr:uid="{00000000-0005-0000-0000-000019660000}"/>
    <cellStyle name="Download 2 4 2" xfId="32722" xr:uid="{00000000-0005-0000-0000-00001A660000}"/>
    <cellStyle name="Download 2 5" xfId="20893" xr:uid="{00000000-0005-0000-0000-00001B660000}"/>
    <cellStyle name="Download 2 5 2" xfId="40238" xr:uid="{00000000-0005-0000-0000-00001C660000}"/>
    <cellStyle name="Download 2 6" xfId="23480" xr:uid="{00000000-0005-0000-0000-00001D660000}"/>
    <cellStyle name="Download 3" xfId="2601" xr:uid="{00000000-0005-0000-0000-00001E660000}"/>
    <cellStyle name="Download 3 10" xfId="20913" xr:uid="{00000000-0005-0000-0000-00001F660000}"/>
    <cellStyle name="Download 3 10 2" xfId="40258" xr:uid="{00000000-0005-0000-0000-000020660000}"/>
    <cellStyle name="Download 3 2" xfId="4178" xr:uid="{00000000-0005-0000-0000-000021660000}"/>
    <cellStyle name="Download 3 2 10" xfId="20966" xr:uid="{00000000-0005-0000-0000-000022660000}"/>
    <cellStyle name="Download 3 2 10 2" xfId="40308" xr:uid="{00000000-0005-0000-0000-000023660000}"/>
    <cellStyle name="Download 3 2 2" xfId="4519" xr:uid="{00000000-0005-0000-0000-000024660000}"/>
    <cellStyle name="Download 3 2 2 2" xfId="5197" xr:uid="{00000000-0005-0000-0000-000025660000}"/>
    <cellStyle name="Download 3 2 2 2 2" xfId="6680" xr:uid="{00000000-0005-0000-0000-000026660000}"/>
    <cellStyle name="Download 3 2 2 2 2 2" xfId="14687" xr:uid="{00000000-0005-0000-0000-000027660000}"/>
    <cellStyle name="Download 3 2 2 2 2 2 2" xfId="34048" xr:uid="{00000000-0005-0000-0000-000028660000}"/>
    <cellStyle name="Download 3 2 2 2 2 3" xfId="17168" xr:uid="{00000000-0005-0000-0000-000029660000}"/>
    <cellStyle name="Download 3 2 2 2 2 3 2" xfId="36522" xr:uid="{00000000-0005-0000-0000-00002A660000}"/>
    <cellStyle name="Download 3 2 2 2 2 4" xfId="19599" xr:uid="{00000000-0005-0000-0000-00002B660000}"/>
    <cellStyle name="Download 3 2 2 2 2 4 2" xfId="38952" xr:uid="{00000000-0005-0000-0000-00002C660000}"/>
    <cellStyle name="Download 3 2 2 2 2 5" xfId="22107" xr:uid="{00000000-0005-0000-0000-00002D660000}"/>
    <cellStyle name="Download 3 2 2 2 2 5 2" xfId="41449" xr:uid="{00000000-0005-0000-0000-00002E660000}"/>
    <cellStyle name="Download 3 2 2 2 2 6" xfId="26165" xr:uid="{00000000-0005-0000-0000-00002F660000}"/>
    <cellStyle name="Download 3 2 2 2 3" xfId="15238" xr:uid="{00000000-0005-0000-0000-000030660000}"/>
    <cellStyle name="Download 3 2 2 2 3 2" xfId="17714" xr:uid="{00000000-0005-0000-0000-000031660000}"/>
    <cellStyle name="Download 3 2 2 2 3 2 2" xfId="37068" xr:uid="{00000000-0005-0000-0000-000032660000}"/>
    <cellStyle name="Download 3 2 2 2 3 3" xfId="20145" xr:uid="{00000000-0005-0000-0000-000033660000}"/>
    <cellStyle name="Download 3 2 2 2 3 3 2" xfId="39498" xr:uid="{00000000-0005-0000-0000-000034660000}"/>
    <cellStyle name="Download 3 2 2 2 3 4" xfId="22658" xr:uid="{00000000-0005-0000-0000-000035660000}"/>
    <cellStyle name="Download 3 2 2 2 3 4 2" xfId="42000" xr:uid="{00000000-0005-0000-0000-000036660000}"/>
    <cellStyle name="Download 3 2 2 2 3 5" xfId="34599" xr:uid="{00000000-0005-0000-0000-000037660000}"/>
    <cellStyle name="Download 3 2 2 2 4" xfId="13892" xr:uid="{00000000-0005-0000-0000-000038660000}"/>
    <cellStyle name="Download 3 2 2 2 4 2" xfId="33256" xr:uid="{00000000-0005-0000-0000-000039660000}"/>
    <cellStyle name="Download 3 2 2 2 5" xfId="16401" xr:uid="{00000000-0005-0000-0000-00003A660000}"/>
    <cellStyle name="Download 3 2 2 2 5 2" xfId="35755" xr:uid="{00000000-0005-0000-0000-00003B660000}"/>
    <cellStyle name="Download 3 2 2 2 6" xfId="18832" xr:uid="{00000000-0005-0000-0000-00003C660000}"/>
    <cellStyle name="Download 3 2 2 2 6 2" xfId="38185" xr:uid="{00000000-0005-0000-0000-00003D660000}"/>
    <cellStyle name="Download 3 2 2 2 7" xfId="21315" xr:uid="{00000000-0005-0000-0000-00003E660000}"/>
    <cellStyle name="Download 3 2 2 2 7 2" xfId="40657" xr:uid="{00000000-0005-0000-0000-00003F660000}"/>
    <cellStyle name="Download 3 2 2 2 8" xfId="24688" xr:uid="{00000000-0005-0000-0000-000040660000}"/>
    <cellStyle name="Download 3 2 2 3" xfId="6619" xr:uid="{00000000-0005-0000-0000-000041660000}"/>
    <cellStyle name="Download 3 2 2 3 2" xfId="14891" xr:uid="{00000000-0005-0000-0000-000042660000}"/>
    <cellStyle name="Download 3 2 2 3 2 2" xfId="17369" xr:uid="{00000000-0005-0000-0000-000043660000}"/>
    <cellStyle name="Download 3 2 2 3 2 2 2" xfId="36723" xr:uid="{00000000-0005-0000-0000-000044660000}"/>
    <cellStyle name="Download 3 2 2 3 2 3" xfId="19800" xr:uid="{00000000-0005-0000-0000-000045660000}"/>
    <cellStyle name="Download 3 2 2 3 2 3 2" xfId="39153" xr:uid="{00000000-0005-0000-0000-000046660000}"/>
    <cellStyle name="Download 3 2 2 3 2 4" xfId="22311" xr:uid="{00000000-0005-0000-0000-000047660000}"/>
    <cellStyle name="Download 3 2 2 3 2 4 2" xfId="41653" xr:uid="{00000000-0005-0000-0000-000048660000}"/>
    <cellStyle name="Download 3 2 2 3 2 5" xfId="34252" xr:uid="{00000000-0005-0000-0000-000049660000}"/>
    <cellStyle name="Download 3 2 2 3 3" xfId="15438" xr:uid="{00000000-0005-0000-0000-00004A660000}"/>
    <cellStyle name="Download 3 2 2 3 3 2" xfId="17914" xr:uid="{00000000-0005-0000-0000-00004B660000}"/>
    <cellStyle name="Download 3 2 2 3 3 2 2" xfId="37268" xr:uid="{00000000-0005-0000-0000-00004C660000}"/>
    <cellStyle name="Download 3 2 2 3 3 3" xfId="20345" xr:uid="{00000000-0005-0000-0000-00004D660000}"/>
    <cellStyle name="Download 3 2 2 3 3 3 2" xfId="39698" xr:uid="{00000000-0005-0000-0000-00004E660000}"/>
    <cellStyle name="Download 3 2 2 3 3 4" xfId="22858" xr:uid="{00000000-0005-0000-0000-00004F660000}"/>
    <cellStyle name="Download 3 2 2 3 3 4 2" xfId="42200" xr:uid="{00000000-0005-0000-0000-000050660000}"/>
    <cellStyle name="Download 3 2 2 3 3 5" xfId="34799" xr:uid="{00000000-0005-0000-0000-000051660000}"/>
    <cellStyle name="Download 3 2 2 3 4" xfId="15897" xr:uid="{00000000-0005-0000-0000-000052660000}"/>
    <cellStyle name="Download 3 2 2 3 4 2" xfId="18373" xr:uid="{00000000-0005-0000-0000-000053660000}"/>
    <cellStyle name="Download 3 2 2 3 4 2 2" xfId="37727" xr:uid="{00000000-0005-0000-0000-000054660000}"/>
    <cellStyle name="Download 3 2 2 3 4 3" xfId="20804" xr:uid="{00000000-0005-0000-0000-000055660000}"/>
    <cellStyle name="Download 3 2 2 3 4 3 2" xfId="40157" xr:uid="{00000000-0005-0000-0000-000056660000}"/>
    <cellStyle name="Download 3 2 2 3 4 4" xfId="23317" xr:uid="{00000000-0005-0000-0000-000057660000}"/>
    <cellStyle name="Download 3 2 2 3 4 4 2" xfId="42659" xr:uid="{00000000-0005-0000-0000-000058660000}"/>
    <cellStyle name="Download 3 2 2 3 4 5" xfId="35258" xr:uid="{00000000-0005-0000-0000-000059660000}"/>
    <cellStyle name="Download 3 2 2 3 5" xfId="14110" xr:uid="{00000000-0005-0000-0000-00005A660000}"/>
    <cellStyle name="Download 3 2 2 3 5 2" xfId="33474" xr:uid="{00000000-0005-0000-0000-00005B660000}"/>
    <cellStyle name="Download 3 2 2 3 6" xfId="16616" xr:uid="{00000000-0005-0000-0000-00005C660000}"/>
    <cellStyle name="Download 3 2 2 3 6 2" xfId="35970" xr:uid="{00000000-0005-0000-0000-00005D660000}"/>
    <cellStyle name="Download 3 2 2 3 7" xfId="19047" xr:uid="{00000000-0005-0000-0000-00005E660000}"/>
    <cellStyle name="Download 3 2 2 3 7 2" xfId="38400" xr:uid="{00000000-0005-0000-0000-00005F660000}"/>
    <cellStyle name="Download 3 2 2 3 8" xfId="21533" xr:uid="{00000000-0005-0000-0000-000060660000}"/>
    <cellStyle name="Download 3 2 2 3 8 2" xfId="40875" xr:uid="{00000000-0005-0000-0000-000061660000}"/>
    <cellStyle name="Download 3 2 2 3 9" xfId="26104" xr:uid="{00000000-0005-0000-0000-000062660000}"/>
    <cellStyle name="Download 3 2 2 4" xfId="14402" xr:uid="{00000000-0005-0000-0000-000063660000}"/>
    <cellStyle name="Download 3 2 2 4 2" xfId="16895" xr:uid="{00000000-0005-0000-0000-000064660000}"/>
    <cellStyle name="Download 3 2 2 4 2 2" xfId="36249" xr:uid="{00000000-0005-0000-0000-000065660000}"/>
    <cellStyle name="Download 3 2 2 4 3" xfId="19326" xr:uid="{00000000-0005-0000-0000-000066660000}"/>
    <cellStyle name="Download 3 2 2 4 3 2" xfId="38679" xr:uid="{00000000-0005-0000-0000-000067660000}"/>
    <cellStyle name="Download 3 2 2 4 4" xfId="21822" xr:uid="{00000000-0005-0000-0000-000068660000}"/>
    <cellStyle name="Download 3 2 2 4 4 2" xfId="41164" xr:uid="{00000000-0005-0000-0000-000069660000}"/>
    <cellStyle name="Download 3 2 2 4 5" xfId="33763" xr:uid="{00000000-0005-0000-0000-00006A660000}"/>
    <cellStyle name="Download 3 2 2 5" xfId="15032" xr:uid="{00000000-0005-0000-0000-00006B660000}"/>
    <cellStyle name="Download 3 2 2 5 2" xfId="17508" xr:uid="{00000000-0005-0000-0000-00006C660000}"/>
    <cellStyle name="Download 3 2 2 5 2 2" xfId="36862" xr:uid="{00000000-0005-0000-0000-00006D660000}"/>
    <cellStyle name="Download 3 2 2 5 3" xfId="19939" xr:uid="{00000000-0005-0000-0000-00006E660000}"/>
    <cellStyle name="Download 3 2 2 5 3 2" xfId="39292" xr:uid="{00000000-0005-0000-0000-00006F660000}"/>
    <cellStyle name="Download 3 2 2 5 4" xfId="22452" xr:uid="{00000000-0005-0000-0000-000070660000}"/>
    <cellStyle name="Download 3 2 2 5 4 2" xfId="41794" xr:uid="{00000000-0005-0000-0000-000071660000}"/>
    <cellStyle name="Download 3 2 2 5 5" xfId="34393" xr:uid="{00000000-0005-0000-0000-000072660000}"/>
    <cellStyle name="Download 3 2 2 6" xfId="14228" xr:uid="{00000000-0005-0000-0000-000073660000}"/>
    <cellStyle name="Download 3 2 2 6 2" xfId="16731" xr:uid="{00000000-0005-0000-0000-000074660000}"/>
    <cellStyle name="Download 3 2 2 6 2 2" xfId="36085" xr:uid="{00000000-0005-0000-0000-000075660000}"/>
    <cellStyle name="Download 3 2 2 6 3" xfId="19162" xr:uid="{00000000-0005-0000-0000-000076660000}"/>
    <cellStyle name="Download 3 2 2 6 3 2" xfId="38515" xr:uid="{00000000-0005-0000-0000-000077660000}"/>
    <cellStyle name="Download 3 2 2 6 4" xfId="21649" xr:uid="{00000000-0005-0000-0000-000078660000}"/>
    <cellStyle name="Download 3 2 2 6 4 2" xfId="40991" xr:uid="{00000000-0005-0000-0000-000079660000}"/>
    <cellStyle name="Download 3 2 2 6 5" xfId="33590" xr:uid="{00000000-0005-0000-0000-00007A660000}"/>
    <cellStyle name="Download 3 2 2 7" xfId="13592" xr:uid="{00000000-0005-0000-0000-00007B660000}"/>
    <cellStyle name="Download 3 2 2 7 2" xfId="32958" xr:uid="{00000000-0005-0000-0000-00007C660000}"/>
    <cellStyle name="Download 3 2 2 8" xfId="16122" xr:uid="{00000000-0005-0000-0000-00007D660000}"/>
    <cellStyle name="Download 3 2 2 8 2" xfId="35476" xr:uid="{00000000-0005-0000-0000-00007E660000}"/>
    <cellStyle name="Download 3 2 2 9" xfId="18545" xr:uid="{00000000-0005-0000-0000-00007F660000}"/>
    <cellStyle name="Download 3 2 2 9 2" xfId="37898" xr:uid="{00000000-0005-0000-0000-000080660000}"/>
    <cellStyle name="Download 3 2 3" xfId="13661" xr:uid="{00000000-0005-0000-0000-000081660000}"/>
    <cellStyle name="Download 3 2 3 2" xfId="13959" xr:uid="{00000000-0005-0000-0000-000082660000}"/>
    <cellStyle name="Download 3 2 3 2 2" xfId="14754" xr:uid="{00000000-0005-0000-0000-000083660000}"/>
    <cellStyle name="Download 3 2 3 2 2 2" xfId="17232" xr:uid="{00000000-0005-0000-0000-000084660000}"/>
    <cellStyle name="Download 3 2 3 2 2 2 2" xfId="36586" xr:uid="{00000000-0005-0000-0000-000085660000}"/>
    <cellStyle name="Download 3 2 3 2 2 3" xfId="19663" xr:uid="{00000000-0005-0000-0000-000086660000}"/>
    <cellStyle name="Download 3 2 3 2 2 3 2" xfId="39016" xr:uid="{00000000-0005-0000-0000-000087660000}"/>
    <cellStyle name="Download 3 2 3 2 2 4" xfId="22174" xr:uid="{00000000-0005-0000-0000-000088660000}"/>
    <cellStyle name="Download 3 2 3 2 2 4 2" xfId="41516" xr:uid="{00000000-0005-0000-0000-000089660000}"/>
    <cellStyle name="Download 3 2 3 2 2 5" xfId="34115" xr:uid="{00000000-0005-0000-0000-00008A660000}"/>
    <cellStyle name="Download 3 2 3 2 3" xfId="15302" xr:uid="{00000000-0005-0000-0000-00008B660000}"/>
    <cellStyle name="Download 3 2 3 2 3 2" xfId="17778" xr:uid="{00000000-0005-0000-0000-00008C660000}"/>
    <cellStyle name="Download 3 2 3 2 3 2 2" xfId="37132" xr:uid="{00000000-0005-0000-0000-00008D660000}"/>
    <cellStyle name="Download 3 2 3 2 3 3" xfId="20209" xr:uid="{00000000-0005-0000-0000-00008E660000}"/>
    <cellStyle name="Download 3 2 3 2 3 3 2" xfId="39562" xr:uid="{00000000-0005-0000-0000-00008F660000}"/>
    <cellStyle name="Download 3 2 3 2 3 4" xfId="22722" xr:uid="{00000000-0005-0000-0000-000090660000}"/>
    <cellStyle name="Download 3 2 3 2 3 4 2" xfId="42064" xr:uid="{00000000-0005-0000-0000-000091660000}"/>
    <cellStyle name="Download 3 2 3 2 3 5" xfId="34663" xr:uid="{00000000-0005-0000-0000-000092660000}"/>
    <cellStyle name="Download 3 2 3 2 4" xfId="15761" xr:uid="{00000000-0005-0000-0000-000093660000}"/>
    <cellStyle name="Download 3 2 3 2 4 2" xfId="18237" xr:uid="{00000000-0005-0000-0000-000094660000}"/>
    <cellStyle name="Download 3 2 3 2 4 2 2" xfId="37591" xr:uid="{00000000-0005-0000-0000-000095660000}"/>
    <cellStyle name="Download 3 2 3 2 4 3" xfId="20668" xr:uid="{00000000-0005-0000-0000-000096660000}"/>
    <cellStyle name="Download 3 2 3 2 4 3 2" xfId="40021" xr:uid="{00000000-0005-0000-0000-000097660000}"/>
    <cellStyle name="Download 3 2 3 2 4 4" xfId="23181" xr:uid="{00000000-0005-0000-0000-000098660000}"/>
    <cellStyle name="Download 3 2 3 2 4 4 2" xfId="42523" xr:uid="{00000000-0005-0000-0000-000099660000}"/>
    <cellStyle name="Download 3 2 3 2 4 5" xfId="35122" xr:uid="{00000000-0005-0000-0000-00009A660000}"/>
    <cellStyle name="Download 3 2 3 2 5" xfId="16465" xr:uid="{00000000-0005-0000-0000-00009B660000}"/>
    <cellStyle name="Download 3 2 3 2 5 2" xfId="35819" xr:uid="{00000000-0005-0000-0000-00009C660000}"/>
    <cellStyle name="Download 3 2 3 2 6" xfId="18896" xr:uid="{00000000-0005-0000-0000-00009D660000}"/>
    <cellStyle name="Download 3 2 3 2 6 2" xfId="38249" xr:uid="{00000000-0005-0000-0000-00009E660000}"/>
    <cellStyle name="Download 3 2 3 2 7" xfId="21382" xr:uid="{00000000-0005-0000-0000-00009F660000}"/>
    <cellStyle name="Download 3 2 3 2 7 2" xfId="40724" xr:uid="{00000000-0005-0000-0000-0000A0660000}"/>
    <cellStyle name="Download 3 2 3 2 8" xfId="33323" xr:uid="{00000000-0005-0000-0000-0000A1660000}"/>
    <cellStyle name="Download 3 2 3 3" xfId="14172" xr:uid="{00000000-0005-0000-0000-0000A2660000}"/>
    <cellStyle name="Download 3 2 3 3 2" xfId="14949" xr:uid="{00000000-0005-0000-0000-0000A3660000}"/>
    <cellStyle name="Download 3 2 3 3 2 2" xfId="17427" xr:uid="{00000000-0005-0000-0000-0000A4660000}"/>
    <cellStyle name="Download 3 2 3 3 2 2 2" xfId="36781" xr:uid="{00000000-0005-0000-0000-0000A5660000}"/>
    <cellStyle name="Download 3 2 3 3 2 3" xfId="19858" xr:uid="{00000000-0005-0000-0000-0000A6660000}"/>
    <cellStyle name="Download 3 2 3 3 2 3 2" xfId="39211" xr:uid="{00000000-0005-0000-0000-0000A7660000}"/>
    <cellStyle name="Download 3 2 3 3 2 4" xfId="22369" xr:uid="{00000000-0005-0000-0000-0000A8660000}"/>
    <cellStyle name="Download 3 2 3 3 2 4 2" xfId="41711" xr:uid="{00000000-0005-0000-0000-0000A9660000}"/>
    <cellStyle name="Download 3 2 3 3 2 5" xfId="34310" xr:uid="{00000000-0005-0000-0000-0000AA660000}"/>
    <cellStyle name="Download 3 2 3 3 3" xfId="15495" xr:uid="{00000000-0005-0000-0000-0000AB660000}"/>
    <cellStyle name="Download 3 2 3 3 3 2" xfId="17971" xr:uid="{00000000-0005-0000-0000-0000AC660000}"/>
    <cellStyle name="Download 3 2 3 3 3 2 2" xfId="37325" xr:uid="{00000000-0005-0000-0000-0000AD660000}"/>
    <cellStyle name="Download 3 2 3 3 3 3" xfId="20402" xr:uid="{00000000-0005-0000-0000-0000AE660000}"/>
    <cellStyle name="Download 3 2 3 3 3 3 2" xfId="39755" xr:uid="{00000000-0005-0000-0000-0000AF660000}"/>
    <cellStyle name="Download 3 2 3 3 3 4" xfId="22915" xr:uid="{00000000-0005-0000-0000-0000B0660000}"/>
    <cellStyle name="Download 3 2 3 3 3 4 2" xfId="42257" xr:uid="{00000000-0005-0000-0000-0000B1660000}"/>
    <cellStyle name="Download 3 2 3 3 3 5" xfId="34856" xr:uid="{00000000-0005-0000-0000-0000B2660000}"/>
    <cellStyle name="Download 3 2 3 3 4" xfId="15954" xr:uid="{00000000-0005-0000-0000-0000B3660000}"/>
    <cellStyle name="Download 3 2 3 3 4 2" xfId="18430" xr:uid="{00000000-0005-0000-0000-0000B4660000}"/>
    <cellStyle name="Download 3 2 3 3 4 2 2" xfId="37784" xr:uid="{00000000-0005-0000-0000-0000B5660000}"/>
    <cellStyle name="Download 3 2 3 3 4 3" xfId="20861" xr:uid="{00000000-0005-0000-0000-0000B6660000}"/>
    <cellStyle name="Download 3 2 3 3 4 3 2" xfId="40214" xr:uid="{00000000-0005-0000-0000-0000B7660000}"/>
    <cellStyle name="Download 3 2 3 3 4 4" xfId="23374" xr:uid="{00000000-0005-0000-0000-0000B8660000}"/>
    <cellStyle name="Download 3 2 3 3 4 4 2" xfId="42716" xr:uid="{00000000-0005-0000-0000-0000B9660000}"/>
    <cellStyle name="Download 3 2 3 3 4 5" xfId="35315" xr:uid="{00000000-0005-0000-0000-0000BA660000}"/>
    <cellStyle name="Download 3 2 3 3 5" xfId="16678" xr:uid="{00000000-0005-0000-0000-0000BB660000}"/>
    <cellStyle name="Download 3 2 3 3 5 2" xfId="36032" xr:uid="{00000000-0005-0000-0000-0000BC660000}"/>
    <cellStyle name="Download 3 2 3 3 6" xfId="19109" xr:uid="{00000000-0005-0000-0000-0000BD660000}"/>
    <cellStyle name="Download 3 2 3 3 6 2" xfId="38462" xr:uid="{00000000-0005-0000-0000-0000BE660000}"/>
    <cellStyle name="Download 3 2 3 3 7" xfId="21595" xr:uid="{00000000-0005-0000-0000-0000BF660000}"/>
    <cellStyle name="Download 3 2 3 3 7 2" xfId="40937" xr:uid="{00000000-0005-0000-0000-0000C0660000}"/>
    <cellStyle name="Download 3 2 3 3 8" xfId="33536" xr:uid="{00000000-0005-0000-0000-0000C1660000}"/>
    <cellStyle name="Download 3 2 3 4" xfId="14469" xr:uid="{00000000-0005-0000-0000-0000C2660000}"/>
    <cellStyle name="Download 3 2 3 4 2" xfId="16959" xr:uid="{00000000-0005-0000-0000-0000C3660000}"/>
    <cellStyle name="Download 3 2 3 4 2 2" xfId="36313" xr:uid="{00000000-0005-0000-0000-0000C4660000}"/>
    <cellStyle name="Download 3 2 3 4 3" xfId="19390" xr:uid="{00000000-0005-0000-0000-0000C5660000}"/>
    <cellStyle name="Download 3 2 3 4 3 2" xfId="38743" xr:uid="{00000000-0005-0000-0000-0000C6660000}"/>
    <cellStyle name="Download 3 2 3 4 4" xfId="21889" xr:uid="{00000000-0005-0000-0000-0000C7660000}"/>
    <cellStyle name="Download 3 2 3 4 4 2" xfId="41231" xr:uid="{00000000-0005-0000-0000-0000C8660000}"/>
    <cellStyle name="Download 3 2 3 4 5" xfId="33830" xr:uid="{00000000-0005-0000-0000-0000C9660000}"/>
    <cellStyle name="Download 3 2 3 5" xfId="16181" xr:uid="{00000000-0005-0000-0000-0000CA660000}"/>
    <cellStyle name="Download 3 2 3 5 2" xfId="35535" xr:uid="{00000000-0005-0000-0000-0000CB660000}"/>
    <cellStyle name="Download 3 2 3 6" xfId="18612" xr:uid="{00000000-0005-0000-0000-0000CC660000}"/>
    <cellStyle name="Download 3 2 3 6 2" xfId="37965" xr:uid="{00000000-0005-0000-0000-0000CD660000}"/>
    <cellStyle name="Download 3 2 3 7" xfId="21086" xr:uid="{00000000-0005-0000-0000-0000CE660000}"/>
    <cellStyle name="Download 3 2 3 7 2" xfId="40428" xr:uid="{00000000-0005-0000-0000-0000CF660000}"/>
    <cellStyle name="Download 3 2 3 8" xfId="33027" xr:uid="{00000000-0005-0000-0000-0000D0660000}"/>
    <cellStyle name="Download 3 2 4" xfId="13779" xr:uid="{00000000-0005-0000-0000-0000D1660000}"/>
    <cellStyle name="Download 3 2 4 2" xfId="14578" xr:uid="{00000000-0005-0000-0000-0000D2660000}"/>
    <cellStyle name="Download 3 2 4 2 2" xfId="17065" xr:uid="{00000000-0005-0000-0000-0000D3660000}"/>
    <cellStyle name="Download 3 2 4 2 2 2" xfId="36419" xr:uid="{00000000-0005-0000-0000-0000D4660000}"/>
    <cellStyle name="Download 3 2 4 2 3" xfId="19496" xr:uid="{00000000-0005-0000-0000-0000D5660000}"/>
    <cellStyle name="Download 3 2 4 2 3 2" xfId="38849" xr:uid="{00000000-0005-0000-0000-0000D6660000}"/>
    <cellStyle name="Download 3 2 4 2 4" xfId="21998" xr:uid="{00000000-0005-0000-0000-0000D7660000}"/>
    <cellStyle name="Download 3 2 4 2 4 2" xfId="41340" xr:uid="{00000000-0005-0000-0000-0000D8660000}"/>
    <cellStyle name="Download 3 2 4 2 5" xfId="33939" xr:uid="{00000000-0005-0000-0000-0000D9660000}"/>
    <cellStyle name="Download 3 2 4 3" xfId="15138" xr:uid="{00000000-0005-0000-0000-0000DA660000}"/>
    <cellStyle name="Download 3 2 4 3 2" xfId="17614" xr:uid="{00000000-0005-0000-0000-0000DB660000}"/>
    <cellStyle name="Download 3 2 4 3 2 2" xfId="36968" xr:uid="{00000000-0005-0000-0000-0000DC660000}"/>
    <cellStyle name="Download 3 2 4 3 3" xfId="20045" xr:uid="{00000000-0005-0000-0000-0000DD660000}"/>
    <cellStyle name="Download 3 2 4 3 3 2" xfId="39398" xr:uid="{00000000-0005-0000-0000-0000DE660000}"/>
    <cellStyle name="Download 3 2 4 3 4" xfId="22558" xr:uid="{00000000-0005-0000-0000-0000DF660000}"/>
    <cellStyle name="Download 3 2 4 3 4 2" xfId="41900" xr:uid="{00000000-0005-0000-0000-0000E0660000}"/>
    <cellStyle name="Download 3 2 4 3 5" xfId="34499" xr:uid="{00000000-0005-0000-0000-0000E1660000}"/>
    <cellStyle name="Download 3 2 4 4" xfId="15619" xr:uid="{00000000-0005-0000-0000-0000E2660000}"/>
    <cellStyle name="Download 3 2 4 4 2" xfId="18095" xr:uid="{00000000-0005-0000-0000-0000E3660000}"/>
    <cellStyle name="Download 3 2 4 4 2 2" xfId="37449" xr:uid="{00000000-0005-0000-0000-0000E4660000}"/>
    <cellStyle name="Download 3 2 4 4 3" xfId="20526" xr:uid="{00000000-0005-0000-0000-0000E5660000}"/>
    <cellStyle name="Download 3 2 4 4 3 2" xfId="39879" xr:uid="{00000000-0005-0000-0000-0000E6660000}"/>
    <cellStyle name="Download 3 2 4 4 4" xfId="23039" xr:uid="{00000000-0005-0000-0000-0000E7660000}"/>
    <cellStyle name="Download 3 2 4 4 4 2" xfId="42381" xr:uid="{00000000-0005-0000-0000-0000E8660000}"/>
    <cellStyle name="Download 3 2 4 4 5" xfId="34980" xr:uid="{00000000-0005-0000-0000-0000E9660000}"/>
    <cellStyle name="Download 3 2 4 5" xfId="16294" xr:uid="{00000000-0005-0000-0000-0000EA660000}"/>
    <cellStyle name="Download 3 2 4 5 2" xfId="35648" xr:uid="{00000000-0005-0000-0000-0000EB660000}"/>
    <cellStyle name="Download 3 2 4 6" xfId="18725" xr:uid="{00000000-0005-0000-0000-0000EC660000}"/>
    <cellStyle name="Download 3 2 4 6 2" xfId="38078" xr:uid="{00000000-0005-0000-0000-0000ED660000}"/>
    <cellStyle name="Download 3 2 4 7" xfId="21202" xr:uid="{00000000-0005-0000-0000-0000EE660000}"/>
    <cellStyle name="Download 3 2 4 7 2" xfId="40544" xr:uid="{00000000-0005-0000-0000-0000EF660000}"/>
    <cellStyle name="Download 3 2 4 8" xfId="33143" xr:uid="{00000000-0005-0000-0000-0000F0660000}"/>
    <cellStyle name="Download 3 2 5" xfId="14008" xr:uid="{00000000-0005-0000-0000-0000F1660000}"/>
    <cellStyle name="Download 3 2 5 2" xfId="14803" xr:uid="{00000000-0005-0000-0000-0000F2660000}"/>
    <cellStyle name="Download 3 2 5 2 2" xfId="17281" xr:uid="{00000000-0005-0000-0000-0000F3660000}"/>
    <cellStyle name="Download 3 2 5 2 2 2" xfId="36635" xr:uid="{00000000-0005-0000-0000-0000F4660000}"/>
    <cellStyle name="Download 3 2 5 2 3" xfId="19712" xr:uid="{00000000-0005-0000-0000-0000F5660000}"/>
    <cellStyle name="Download 3 2 5 2 3 2" xfId="39065" xr:uid="{00000000-0005-0000-0000-0000F6660000}"/>
    <cellStyle name="Download 3 2 5 2 4" xfId="22223" xr:uid="{00000000-0005-0000-0000-0000F7660000}"/>
    <cellStyle name="Download 3 2 5 2 4 2" xfId="41565" xr:uid="{00000000-0005-0000-0000-0000F8660000}"/>
    <cellStyle name="Download 3 2 5 2 5" xfId="34164" xr:uid="{00000000-0005-0000-0000-0000F9660000}"/>
    <cellStyle name="Download 3 2 5 3" xfId="15351" xr:uid="{00000000-0005-0000-0000-0000FA660000}"/>
    <cellStyle name="Download 3 2 5 3 2" xfId="17827" xr:uid="{00000000-0005-0000-0000-0000FB660000}"/>
    <cellStyle name="Download 3 2 5 3 2 2" xfId="37181" xr:uid="{00000000-0005-0000-0000-0000FC660000}"/>
    <cellStyle name="Download 3 2 5 3 3" xfId="20258" xr:uid="{00000000-0005-0000-0000-0000FD660000}"/>
    <cellStyle name="Download 3 2 5 3 3 2" xfId="39611" xr:uid="{00000000-0005-0000-0000-0000FE660000}"/>
    <cellStyle name="Download 3 2 5 3 4" xfId="22771" xr:uid="{00000000-0005-0000-0000-0000FF660000}"/>
    <cellStyle name="Download 3 2 5 3 4 2" xfId="42113" xr:uid="{00000000-0005-0000-0000-000000670000}"/>
    <cellStyle name="Download 3 2 5 3 5" xfId="34712" xr:uid="{00000000-0005-0000-0000-000001670000}"/>
    <cellStyle name="Download 3 2 5 4" xfId="15810" xr:uid="{00000000-0005-0000-0000-000002670000}"/>
    <cellStyle name="Download 3 2 5 4 2" xfId="18286" xr:uid="{00000000-0005-0000-0000-000003670000}"/>
    <cellStyle name="Download 3 2 5 4 2 2" xfId="37640" xr:uid="{00000000-0005-0000-0000-000004670000}"/>
    <cellStyle name="Download 3 2 5 4 3" xfId="20717" xr:uid="{00000000-0005-0000-0000-000005670000}"/>
    <cellStyle name="Download 3 2 5 4 3 2" xfId="40070" xr:uid="{00000000-0005-0000-0000-000006670000}"/>
    <cellStyle name="Download 3 2 5 4 4" xfId="23230" xr:uid="{00000000-0005-0000-0000-000007670000}"/>
    <cellStyle name="Download 3 2 5 4 4 2" xfId="42572" xr:uid="{00000000-0005-0000-0000-000008670000}"/>
    <cellStyle name="Download 3 2 5 4 5" xfId="35171" xr:uid="{00000000-0005-0000-0000-000009670000}"/>
    <cellStyle name="Download 3 2 5 5" xfId="16514" xr:uid="{00000000-0005-0000-0000-00000A670000}"/>
    <cellStyle name="Download 3 2 5 5 2" xfId="35868" xr:uid="{00000000-0005-0000-0000-00000B670000}"/>
    <cellStyle name="Download 3 2 5 6" xfId="18945" xr:uid="{00000000-0005-0000-0000-00000C670000}"/>
    <cellStyle name="Download 3 2 5 6 2" xfId="38298" xr:uid="{00000000-0005-0000-0000-00000D670000}"/>
    <cellStyle name="Download 3 2 5 7" xfId="21431" xr:uid="{00000000-0005-0000-0000-00000E670000}"/>
    <cellStyle name="Download 3 2 5 7 2" xfId="40773" xr:uid="{00000000-0005-0000-0000-00000F670000}"/>
    <cellStyle name="Download 3 2 5 8" xfId="33372" xr:uid="{00000000-0005-0000-0000-000010670000}"/>
    <cellStyle name="Download 3 2 6" xfId="14297" xr:uid="{00000000-0005-0000-0000-000011670000}"/>
    <cellStyle name="Download 3 2 6 2" xfId="16796" xr:uid="{00000000-0005-0000-0000-000012670000}"/>
    <cellStyle name="Download 3 2 6 2 2" xfId="36150" xr:uid="{00000000-0005-0000-0000-000013670000}"/>
    <cellStyle name="Download 3 2 6 3" xfId="19227" xr:uid="{00000000-0005-0000-0000-000014670000}"/>
    <cellStyle name="Download 3 2 6 3 2" xfId="38580" xr:uid="{00000000-0005-0000-0000-000015670000}"/>
    <cellStyle name="Download 3 2 6 4" xfId="21717" xr:uid="{00000000-0005-0000-0000-000016670000}"/>
    <cellStyle name="Download 3 2 6 4 2" xfId="41059" xr:uid="{00000000-0005-0000-0000-000017670000}"/>
    <cellStyle name="Download 3 2 6 5" xfId="33658" xr:uid="{00000000-0005-0000-0000-000018670000}"/>
    <cellStyle name="Download 3 2 7" xfId="13466" xr:uid="{00000000-0005-0000-0000-000019670000}"/>
    <cellStyle name="Download 3 2 7 2" xfId="32845" xr:uid="{00000000-0005-0000-0000-00001A670000}"/>
    <cellStyle name="Download 3 2 8" xfId="16036" xr:uid="{00000000-0005-0000-0000-00001B670000}"/>
    <cellStyle name="Download 3 2 8 2" xfId="35390" xr:uid="{00000000-0005-0000-0000-00001C670000}"/>
    <cellStyle name="Download 3 2 9" xfId="13397" xr:uid="{00000000-0005-0000-0000-00001D670000}"/>
    <cellStyle name="Download 3 2 9 2" xfId="32785" xr:uid="{00000000-0005-0000-0000-00001E670000}"/>
    <cellStyle name="Download 3 3" xfId="4909" xr:uid="{00000000-0005-0000-0000-00001F670000}"/>
    <cellStyle name="Download 3 3 10" xfId="20972" xr:uid="{00000000-0005-0000-0000-000020670000}"/>
    <cellStyle name="Download 3 3 10 2" xfId="40314" xr:uid="{00000000-0005-0000-0000-000021670000}"/>
    <cellStyle name="Download 3 3 11" xfId="24403" xr:uid="{00000000-0005-0000-0000-000022670000}"/>
    <cellStyle name="Download 3 3 2" xfId="6661" xr:uid="{00000000-0005-0000-0000-000023670000}"/>
    <cellStyle name="Download 3 3 2 10" xfId="26146" xr:uid="{00000000-0005-0000-0000-000024670000}"/>
    <cellStyle name="Download 3 3 2 2" xfId="13898" xr:uid="{00000000-0005-0000-0000-000025670000}"/>
    <cellStyle name="Download 3 3 2 2 2" xfId="14693" xr:uid="{00000000-0005-0000-0000-000026670000}"/>
    <cellStyle name="Download 3 3 2 2 2 2" xfId="17171" xr:uid="{00000000-0005-0000-0000-000027670000}"/>
    <cellStyle name="Download 3 3 2 2 2 2 2" xfId="36525" xr:uid="{00000000-0005-0000-0000-000028670000}"/>
    <cellStyle name="Download 3 3 2 2 2 3" xfId="19602" xr:uid="{00000000-0005-0000-0000-000029670000}"/>
    <cellStyle name="Download 3 3 2 2 2 3 2" xfId="38955" xr:uid="{00000000-0005-0000-0000-00002A670000}"/>
    <cellStyle name="Download 3 3 2 2 2 4" xfId="22113" xr:uid="{00000000-0005-0000-0000-00002B670000}"/>
    <cellStyle name="Download 3 3 2 2 2 4 2" xfId="41455" xr:uid="{00000000-0005-0000-0000-00002C670000}"/>
    <cellStyle name="Download 3 3 2 2 2 5" xfId="34054" xr:uid="{00000000-0005-0000-0000-00002D670000}"/>
    <cellStyle name="Download 3 3 2 2 3" xfId="15241" xr:uid="{00000000-0005-0000-0000-00002E670000}"/>
    <cellStyle name="Download 3 3 2 2 3 2" xfId="17717" xr:uid="{00000000-0005-0000-0000-00002F670000}"/>
    <cellStyle name="Download 3 3 2 2 3 2 2" xfId="37071" xr:uid="{00000000-0005-0000-0000-000030670000}"/>
    <cellStyle name="Download 3 3 2 2 3 3" xfId="20148" xr:uid="{00000000-0005-0000-0000-000031670000}"/>
    <cellStyle name="Download 3 3 2 2 3 3 2" xfId="39501" xr:uid="{00000000-0005-0000-0000-000032670000}"/>
    <cellStyle name="Download 3 3 2 2 3 4" xfId="22661" xr:uid="{00000000-0005-0000-0000-000033670000}"/>
    <cellStyle name="Download 3 3 2 2 3 4 2" xfId="42003" xr:uid="{00000000-0005-0000-0000-000034670000}"/>
    <cellStyle name="Download 3 3 2 2 3 5" xfId="34602" xr:uid="{00000000-0005-0000-0000-000035670000}"/>
    <cellStyle name="Download 3 3 2 2 4" xfId="16404" xr:uid="{00000000-0005-0000-0000-000036670000}"/>
    <cellStyle name="Download 3 3 2 2 4 2" xfId="35758" xr:uid="{00000000-0005-0000-0000-000037670000}"/>
    <cellStyle name="Download 3 3 2 2 5" xfId="18835" xr:uid="{00000000-0005-0000-0000-000038670000}"/>
    <cellStyle name="Download 3 3 2 2 5 2" xfId="38188" xr:uid="{00000000-0005-0000-0000-000039670000}"/>
    <cellStyle name="Download 3 3 2 2 6" xfId="21321" xr:uid="{00000000-0005-0000-0000-00003A670000}"/>
    <cellStyle name="Download 3 3 2 2 6 2" xfId="40663" xr:uid="{00000000-0005-0000-0000-00003B670000}"/>
    <cellStyle name="Download 3 3 2 2 7" xfId="33262" xr:uid="{00000000-0005-0000-0000-00003C670000}"/>
    <cellStyle name="Download 3 3 2 3" xfId="14113" xr:uid="{00000000-0005-0000-0000-00003D670000}"/>
    <cellStyle name="Download 3 3 2 3 2" xfId="14894" xr:uid="{00000000-0005-0000-0000-00003E670000}"/>
    <cellStyle name="Download 3 3 2 3 2 2" xfId="17372" xr:uid="{00000000-0005-0000-0000-00003F670000}"/>
    <cellStyle name="Download 3 3 2 3 2 2 2" xfId="36726" xr:uid="{00000000-0005-0000-0000-000040670000}"/>
    <cellStyle name="Download 3 3 2 3 2 3" xfId="19803" xr:uid="{00000000-0005-0000-0000-000041670000}"/>
    <cellStyle name="Download 3 3 2 3 2 3 2" xfId="39156" xr:uid="{00000000-0005-0000-0000-000042670000}"/>
    <cellStyle name="Download 3 3 2 3 2 4" xfId="22314" xr:uid="{00000000-0005-0000-0000-000043670000}"/>
    <cellStyle name="Download 3 3 2 3 2 4 2" xfId="41656" xr:uid="{00000000-0005-0000-0000-000044670000}"/>
    <cellStyle name="Download 3 3 2 3 2 5" xfId="34255" xr:uid="{00000000-0005-0000-0000-000045670000}"/>
    <cellStyle name="Download 3 3 2 3 3" xfId="15441" xr:uid="{00000000-0005-0000-0000-000046670000}"/>
    <cellStyle name="Download 3 3 2 3 3 2" xfId="17917" xr:uid="{00000000-0005-0000-0000-000047670000}"/>
    <cellStyle name="Download 3 3 2 3 3 2 2" xfId="37271" xr:uid="{00000000-0005-0000-0000-000048670000}"/>
    <cellStyle name="Download 3 3 2 3 3 3" xfId="20348" xr:uid="{00000000-0005-0000-0000-000049670000}"/>
    <cellStyle name="Download 3 3 2 3 3 3 2" xfId="39701" xr:uid="{00000000-0005-0000-0000-00004A670000}"/>
    <cellStyle name="Download 3 3 2 3 3 4" xfId="22861" xr:uid="{00000000-0005-0000-0000-00004B670000}"/>
    <cellStyle name="Download 3 3 2 3 3 4 2" xfId="42203" xr:uid="{00000000-0005-0000-0000-00004C670000}"/>
    <cellStyle name="Download 3 3 2 3 3 5" xfId="34802" xr:uid="{00000000-0005-0000-0000-00004D670000}"/>
    <cellStyle name="Download 3 3 2 3 4" xfId="15900" xr:uid="{00000000-0005-0000-0000-00004E670000}"/>
    <cellStyle name="Download 3 3 2 3 4 2" xfId="18376" xr:uid="{00000000-0005-0000-0000-00004F670000}"/>
    <cellStyle name="Download 3 3 2 3 4 2 2" xfId="37730" xr:uid="{00000000-0005-0000-0000-000050670000}"/>
    <cellStyle name="Download 3 3 2 3 4 3" xfId="20807" xr:uid="{00000000-0005-0000-0000-000051670000}"/>
    <cellStyle name="Download 3 3 2 3 4 3 2" xfId="40160" xr:uid="{00000000-0005-0000-0000-000052670000}"/>
    <cellStyle name="Download 3 3 2 3 4 4" xfId="23320" xr:uid="{00000000-0005-0000-0000-000053670000}"/>
    <cellStyle name="Download 3 3 2 3 4 4 2" xfId="42662" xr:uid="{00000000-0005-0000-0000-000054670000}"/>
    <cellStyle name="Download 3 3 2 3 4 5" xfId="35261" xr:uid="{00000000-0005-0000-0000-000055670000}"/>
    <cellStyle name="Download 3 3 2 3 5" xfId="16619" xr:uid="{00000000-0005-0000-0000-000056670000}"/>
    <cellStyle name="Download 3 3 2 3 5 2" xfId="35973" xr:uid="{00000000-0005-0000-0000-000057670000}"/>
    <cellStyle name="Download 3 3 2 3 6" xfId="19050" xr:uid="{00000000-0005-0000-0000-000058670000}"/>
    <cellStyle name="Download 3 3 2 3 6 2" xfId="38403" xr:uid="{00000000-0005-0000-0000-000059670000}"/>
    <cellStyle name="Download 3 3 2 3 7" xfId="21536" xr:uid="{00000000-0005-0000-0000-00005A670000}"/>
    <cellStyle name="Download 3 3 2 3 7 2" xfId="40878" xr:uid="{00000000-0005-0000-0000-00005B670000}"/>
    <cellStyle name="Download 3 3 2 3 8" xfId="33477" xr:uid="{00000000-0005-0000-0000-00005C670000}"/>
    <cellStyle name="Download 3 3 2 4" xfId="14408" xr:uid="{00000000-0005-0000-0000-00005D670000}"/>
    <cellStyle name="Download 3 3 2 4 2" xfId="16898" xr:uid="{00000000-0005-0000-0000-00005E670000}"/>
    <cellStyle name="Download 3 3 2 4 2 2" xfId="36252" xr:uid="{00000000-0005-0000-0000-00005F670000}"/>
    <cellStyle name="Download 3 3 2 4 3" xfId="19329" xr:uid="{00000000-0005-0000-0000-000060670000}"/>
    <cellStyle name="Download 3 3 2 4 3 2" xfId="38682" xr:uid="{00000000-0005-0000-0000-000061670000}"/>
    <cellStyle name="Download 3 3 2 4 4" xfId="21828" xr:uid="{00000000-0005-0000-0000-000062670000}"/>
    <cellStyle name="Download 3 3 2 4 4 2" xfId="41170" xr:uid="{00000000-0005-0000-0000-000063670000}"/>
    <cellStyle name="Download 3 3 2 4 5" xfId="33769" xr:uid="{00000000-0005-0000-0000-000064670000}"/>
    <cellStyle name="Download 3 3 2 5" xfId="15035" xr:uid="{00000000-0005-0000-0000-000065670000}"/>
    <cellStyle name="Download 3 3 2 5 2" xfId="17511" xr:uid="{00000000-0005-0000-0000-000066670000}"/>
    <cellStyle name="Download 3 3 2 5 2 2" xfId="36865" xr:uid="{00000000-0005-0000-0000-000067670000}"/>
    <cellStyle name="Download 3 3 2 5 3" xfId="19942" xr:uid="{00000000-0005-0000-0000-000068670000}"/>
    <cellStyle name="Download 3 3 2 5 3 2" xfId="39295" xr:uid="{00000000-0005-0000-0000-000069670000}"/>
    <cellStyle name="Download 3 3 2 5 4" xfId="22455" xr:uid="{00000000-0005-0000-0000-00006A670000}"/>
    <cellStyle name="Download 3 3 2 5 4 2" xfId="41797" xr:uid="{00000000-0005-0000-0000-00006B670000}"/>
    <cellStyle name="Download 3 3 2 5 5" xfId="34396" xr:uid="{00000000-0005-0000-0000-00006C670000}"/>
    <cellStyle name="Download 3 3 2 6" xfId="14263" xr:uid="{00000000-0005-0000-0000-00006D670000}"/>
    <cellStyle name="Download 3 3 2 6 2" xfId="16763" xr:uid="{00000000-0005-0000-0000-00006E670000}"/>
    <cellStyle name="Download 3 3 2 6 2 2" xfId="36117" xr:uid="{00000000-0005-0000-0000-00006F670000}"/>
    <cellStyle name="Download 3 3 2 6 3" xfId="19194" xr:uid="{00000000-0005-0000-0000-000070670000}"/>
    <cellStyle name="Download 3 3 2 6 3 2" xfId="38547" xr:uid="{00000000-0005-0000-0000-000071670000}"/>
    <cellStyle name="Download 3 3 2 6 4" xfId="21684" xr:uid="{00000000-0005-0000-0000-000072670000}"/>
    <cellStyle name="Download 3 3 2 6 4 2" xfId="41026" xr:uid="{00000000-0005-0000-0000-000073670000}"/>
    <cellStyle name="Download 3 3 2 6 5" xfId="33625" xr:uid="{00000000-0005-0000-0000-000074670000}"/>
    <cellStyle name="Download 3 3 2 7" xfId="13597" xr:uid="{00000000-0005-0000-0000-000075670000}"/>
    <cellStyle name="Download 3 3 2 7 2" xfId="32963" xr:uid="{00000000-0005-0000-0000-000076670000}"/>
    <cellStyle name="Download 3 3 2 8" xfId="16125" xr:uid="{00000000-0005-0000-0000-000077670000}"/>
    <cellStyle name="Download 3 3 2 8 2" xfId="35479" xr:uid="{00000000-0005-0000-0000-000078670000}"/>
    <cellStyle name="Download 3 3 2 9" xfId="18548" xr:uid="{00000000-0005-0000-0000-000079670000}"/>
    <cellStyle name="Download 3 3 2 9 2" xfId="37901" xr:uid="{00000000-0005-0000-0000-00007A670000}"/>
    <cellStyle name="Download 3 3 3" xfId="13664" xr:uid="{00000000-0005-0000-0000-00007B670000}"/>
    <cellStyle name="Download 3 3 3 2" xfId="13962" xr:uid="{00000000-0005-0000-0000-00007C670000}"/>
    <cellStyle name="Download 3 3 3 2 2" xfId="14757" xr:uid="{00000000-0005-0000-0000-00007D670000}"/>
    <cellStyle name="Download 3 3 3 2 2 2" xfId="17235" xr:uid="{00000000-0005-0000-0000-00007E670000}"/>
    <cellStyle name="Download 3 3 3 2 2 2 2" xfId="36589" xr:uid="{00000000-0005-0000-0000-00007F670000}"/>
    <cellStyle name="Download 3 3 3 2 2 3" xfId="19666" xr:uid="{00000000-0005-0000-0000-000080670000}"/>
    <cellStyle name="Download 3 3 3 2 2 3 2" xfId="39019" xr:uid="{00000000-0005-0000-0000-000081670000}"/>
    <cellStyle name="Download 3 3 3 2 2 4" xfId="22177" xr:uid="{00000000-0005-0000-0000-000082670000}"/>
    <cellStyle name="Download 3 3 3 2 2 4 2" xfId="41519" xr:uid="{00000000-0005-0000-0000-000083670000}"/>
    <cellStyle name="Download 3 3 3 2 2 5" xfId="34118" xr:uid="{00000000-0005-0000-0000-000084670000}"/>
    <cellStyle name="Download 3 3 3 2 3" xfId="15305" xr:uid="{00000000-0005-0000-0000-000085670000}"/>
    <cellStyle name="Download 3 3 3 2 3 2" xfId="17781" xr:uid="{00000000-0005-0000-0000-000086670000}"/>
    <cellStyle name="Download 3 3 3 2 3 2 2" xfId="37135" xr:uid="{00000000-0005-0000-0000-000087670000}"/>
    <cellStyle name="Download 3 3 3 2 3 3" xfId="20212" xr:uid="{00000000-0005-0000-0000-000088670000}"/>
    <cellStyle name="Download 3 3 3 2 3 3 2" xfId="39565" xr:uid="{00000000-0005-0000-0000-000089670000}"/>
    <cellStyle name="Download 3 3 3 2 3 4" xfId="22725" xr:uid="{00000000-0005-0000-0000-00008A670000}"/>
    <cellStyle name="Download 3 3 3 2 3 4 2" xfId="42067" xr:uid="{00000000-0005-0000-0000-00008B670000}"/>
    <cellStyle name="Download 3 3 3 2 3 5" xfId="34666" xr:uid="{00000000-0005-0000-0000-00008C670000}"/>
    <cellStyle name="Download 3 3 3 2 4" xfId="15764" xr:uid="{00000000-0005-0000-0000-00008D670000}"/>
    <cellStyle name="Download 3 3 3 2 4 2" xfId="18240" xr:uid="{00000000-0005-0000-0000-00008E670000}"/>
    <cellStyle name="Download 3 3 3 2 4 2 2" xfId="37594" xr:uid="{00000000-0005-0000-0000-00008F670000}"/>
    <cellStyle name="Download 3 3 3 2 4 3" xfId="20671" xr:uid="{00000000-0005-0000-0000-000090670000}"/>
    <cellStyle name="Download 3 3 3 2 4 3 2" xfId="40024" xr:uid="{00000000-0005-0000-0000-000091670000}"/>
    <cellStyle name="Download 3 3 3 2 4 4" xfId="23184" xr:uid="{00000000-0005-0000-0000-000092670000}"/>
    <cellStyle name="Download 3 3 3 2 4 4 2" xfId="42526" xr:uid="{00000000-0005-0000-0000-000093670000}"/>
    <cellStyle name="Download 3 3 3 2 4 5" xfId="35125" xr:uid="{00000000-0005-0000-0000-000094670000}"/>
    <cellStyle name="Download 3 3 3 2 5" xfId="16468" xr:uid="{00000000-0005-0000-0000-000095670000}"/>
    <cellStyle name="Download 3 3 3 2 5 2" xfId="35822" xr:uid="{00000000-0005-0000-0000-000096670000}"/>
    <cellStyle name="Download 3 3 3 2 6" xfId="18899" xr:uid="{00000000-0005-0000-0000-000097670000}"/>
    <cellStyle name="Download 3 3 3 2 6 2" xfId="38252" xr:uid="{00000000-0005-0000-0000-000098670000}"/>
    <cellStyle name="Download 3 3 3 2 7" xfId="21385" xr:uid="{00000000-0005-0000-0000-000099670000}"/>
    <cellStyle name="Download 3 3 3 2 7 2" xfId="40727" xr:uid="{00000000-0005-0000-0000-00009A670000}"/>
    <cellStyle name="Download 3 3 3 2 8" xfId="33326" xr:uid="{00000000-0005-0000-0000-00009B670000}"/>
    <cellStyle name="Download 3 3 3 3" xfId="14175" xr:uid="{00000000-0005-0000-0000-00009C670000}"/>
    <cellStyle name="Download 3 3 3 3 2" xfId="14952" xr:uid="{00000000-0005-0000-0000-00009D670000}"/>
    <cellStyle name="Download 3 3 3 3 2 2" xfId="17430" xr:uid="{00000000-0005-0000-0000-00009E670000}"/>
    <cellStyle name="Download 3 3 3 3 2 2 2" xfId="36784" xr:uid="{00000000-0005-0000-0000-00009F670000}"/>
    <cellStyle name="Download 3 3 3 3 2 3" xfId="19861" xr:uid="{00000000-0005-0000-0000-0000A0670000}"/>
    <cellStyle name="Download 3 3 3 3 2 3 2" xfId="39214" xr:uid="{00000000-0005-0000-0000-0000A1670000}"/>
    <cellStyle name="Download 3 3 3 3 2 4" xfId="22372" xr:uid="{00000000-0005-0000-0000-0000A2670000}"/>
    <cellStyle name="Download 3 3 3 3 2 4 2" xfId="41714" xr:uid="{00000000-0005-0000-0000-0000A3670000}"/>
    <cellStyle name="Download 3 3 3 3 2 5" xfId="34313" xr:uid="{00000000-0005-0000-0000-0000A4670000}"/>
    <cellStyle name="Download 3 3 3 3 3" xfId="15498" xr:uid="{00000000-0005-0000-0000-0000A5670000}"/>
    <cellStyle name="Download 3 3 3 3 3 2" xfId="17974" xr:uid="{00000000-0005-0000-0000-0000A6670000}"/>
    <cellStyle name="Download 3 3 3 3 3 2 2" xfId="37328" xr:uid="{00000000-0005-0000-0000-0000A7670000}"/>
    <cellStyle name="Download 3 3 3 3 3 3" xfId="20405" xr:uid="{00000000-0005-0000-0000-0000A8670000}"/>
    <cellStyle name="Download 3 3 3 3 3 3 2" xfId="39758" xr:uid="{00000000-0005-0000-0000-0000A9670000}"/>
    <cellStyle name="Download 3 3 3 3 3 4" xfId="22918" xr:uid="{00000000-0005-0000-0000-0000AA670000}"/>
    <cellStyle name="Download 3 3 3 3 3 4 2" xfId="42260" xr:uid="{00000000-0005-0000-0000-0000AB670000}"/>
    <cellStyle name="Download 3 3 3 3 3 5" xfId="34859" xr:uid="{00000000-0005-0000-0000-0000AC670000}"/>
    <cellStyle name="Download 3 3 3 3 4" xfId="15957" xr:uid="{00000000-0005-0000-0000-0000AD670000}"/>
    <cellStyle name="Download 3 3 3 3 4 2" xfId="18433" xr:uid="{00000000-0005-0000-0000-0000AE670000}"/>
    <cellStyle name="Download 3 3 3 3 4 2 2" xfId="37787" xr:uid="{00000000-0005-0000-0000-0000AF670000}"/>
    <cellStyle name="Download 3 3 3 3 4 3" xfId="20864" xr:uid="{00000000-0005-0000-0000-0000B0670000}"/>
    <cellStyle name="Download 3 3 3 3 4 3 2" xfId="40217" xr:uid="{00000000-0005-0000-0000-0000B1670000}"/>
    <cellStyle name="Download 3 3 3 3 4 4" xfId="23377" xr:uid="{00000000-0005-0000-0000-0000B2670000}"/>
    <cellStyle name="Download 3 3 3 3 4 4 2" xfId="42719" xr:uid="{00000000-0005-0000-0000-0000B3670000}"/>
    <cellStyle name="Download 3 3 3 3 4 5" xfId="35318" xr:uid="{00000000-0005-0000-0000-0000B4670000}"/>
    <cellStyle name="Download 3 3 3 3 5" xfId="16681" xr:uid="{00000000-0005-0000-0000-0000B5670000}"/>
    <cellStyle name="Download 3 3 3 3 5 2" xfId="36035" xr:uid="{00000000-0005-0000-0000-0000B6670000}"/>
    <cellStyle name="Download 3 3 3 3 6" xfId="19112" xr:uid="{00000000-0005-0000-0000-0000B7670000}"/>
    <cellStyle name="Download 3 3 3 3 6 2" xfId="38465" xr:uid="{00000000-0005-0000-0000-0000B8670000}"/>
    <cellStyle name="Download 3 3 3 3 7" xfId="21598" xr:uid="{00000000-0005-0000-0000-0000B9670000}"/>
    <cellStyle name="Download 3 3 3 3 7 2" xfId="40940" xr:uid="{00000000-0005-0000-0000-0000BA670000}"/>
    <cellStyle name="Download 3 3 3 3 8" xfId="33539" xr:uid="{00000000-0005-0000-0000-0000BB670000}"/>
    <cellStyle name="Download 3 3 3 4" xfId="14472" xr:uid="{00000000-0005-0000-0000-0000BC670000}"/>
    <cellStyle name="Download 3 3 3 4 2" xfId="16962" xr:uid="{00000000-0005-0000-0000-0000BD670000}"/>
    <cellStyle name="Download 3 3 3 4 2 2" xfId="36316" xr:uid="{00000000-0005-0000-0000-0000BE670000}"/>
    <cellStyle name="Download 3 3 3 4 3" xfId="19393" xr:uid="{00000000-0005-0000-0000-0000BF670000}"/>
    <cellStyle name="Download 3 3 3 4 3 2" xfId="38746" xr:uid="{00000000-0005-0000-0000-0000C0670000}"/>
    <cellStyle name="Download 3 3 3 4 4" xfId="21892" xr:uid="{00000000-0005-0000-0000-0000C1670000}"/>
    <cellStyle name="Download 3 3 3 4 4 2" xfId="41234" xr:uid="{00000000-0005-0000-0000-0000C2670000}"/>
    <cellStyle name="Download 3 3 3 4 5" xfId="33833" xr:uid="{00000000-0005-0000-0000-0000C3670000}"/>
    <cellStyle name="Download 3 3 3 5" xfId="16184" xr:uid="{00000000-0005-0000-0000-0000C4670000}"/>
    <cellStyle name="Download 3 3 3 5 2" xfId="35538" xr:uid="{00000000-0005-0000-0000-0000C5670000}"/>
    <cellStyle name="Download 3 3 3 6" xfId="18615" xr:uid="{00000000-0005-0000-0000-0000C6670000}"/>
    <cellStyle name="Download 3 3 3 6 2" xfId="37968" xr:uid="{00000000-0005-0000-0000-0000C7670000}"/>
    <cellStyle name="Download 3 3 3 7" xfId="21089" xr:uid="{00000000-0005-0000-0000-0000C8670000}"/>
    <cellStyle name="Download 3 3 3 7 2" xfId="40431" xr:uid="{00000000-0005-0000-0000-0000C9670000}"/>
    <cellStyle name="Download 3 3 3 8" xfId="33030" xr:uid="{00000000-0005-0000-0000-0000CA670000}"/>
    <cellStyle name="Download 3 3 4" xfId="13785" xr:uid="{00000000-0005-0000-0000-0000CB670000}"/>
    <cellStyle name="Download 3 3 4 2" xfId="14584" xr:uid="{00000000-0005-0000-0000-0000CC670000}"/>
    <cellStyle name="Download 3 3 4 2 2" xfId="17068" xr:uid="{00000000-0005-0000-0000-0000CD670000}"/>
    <cellStyle name="Download 3 3 4 2 2 2" xfId="36422" xr:uid="{00000000-0005-0000-0000-0000CE670000}"/>
    <cellStyle name="Download 3 3 4 2 3" xfId="19499" xr:uid="{00000000-0005-0000-0000-0000CF670000}"/>
    <cellStyle name="Download 3 3 4 2 3 2" xfId="38852" xr:uid="{00000000-0005-0000-0000-0000D0670000}"/>
    <cellStyle name="Download 3 3 4 2 4" xfId="22004" xr:uid="{00000000-0005-0000-0000-0000D1670000}"/>
    <cellStyle name="Download 3 3 4 2 4 2" xfId="41346" xr:uid="{00000000-0005-0000-0000-0000D2670000}"/>
    <cellStyle name="Download 3 3 4 2 5" xfId="33945" xr:uid="{00000000-0005-0000-0000-0000D3670000}"/>
    <cellStyle name="Download 3 3 4 3" xfId="15141" xr:uid="{00000000-0005-0000-0000-0000D4670000}"/>
    <cellStyle name="Download 3 3 4 3 2" xfId="17617" xr:uid="{00000000-0005-0000-0000-0000D5670000}"/>
    <cellStyle name="Download 3 3 4 3 2 2" xfId="36971" xr:uid="{00000000-0005-0000-0000-0000D6670000}"/>
    <cellStyle name="Download 3 3 4 3 3" xfId="20048" xr:uid="{00000000-0005-0000-0000-0000D7670000}"/>
    <cellStyle name="Download 3 3 4 3 3 2" xfId="39401" xr:uid="{00000000-0005-0000-0000-0000D8670000}"/>
    <cellStyle name="Download 3 3 4 3 4" xfId="22561" xr:uid="{00000000-0005-0000-0000-0000D9670000}"/>
    <cellStyle name="Download 3 3 4 3 4 2" xfId="41903" xr:uid="{00000000-0005-0000-0000-0000DA670000}"/>
    <cellStyle name="Download 3 3 4 3 5" xfId="34502" xr:uid="{00000000-0005-0000-0000-0000DB670000}"/>
    <cellStyle name="Download 3 3 4 4" xfId="15622" xr:uid="{00000000-0005-0000-0000-0000DC670000}"/>
    <cellStyle name="Download 3 3 4 4 2" xfId="18098" xr:uid="{00000000-0005-0000-0000-0000DD670000}"/>
    <cellStyle name="Download 3 3 4 4 2 2" xfId="37452" xr:uid="{00000000-0005-0000-0000-0000DE670000}"/>
    <cellStyle name="Download 3 3 4 4 3" xfId="20529" xr:uid="{00000000-0005-0000-0000-0000DF670000}"/>
    <cellStyle name="Download 3 3 4 4 3 2" xfId="39882" xr:uid="{00000000-0005-0000-0000-0000E0670000}"/>
    <cellStyle name="Download 3 3 4 4 4" xfId="23042" xr:uid="{00000000-0005-0000-0000-0000E1670000}"/>
    <cellStyle name="Download 3 3 4 4 4 2" xfId="42384" xr:uid="{00000000-0005-0000-0000-0000E2670000}"/>
    <cellStyle name="Download 3 3 4 4 5" xfId="34983" xr:uid="{00000000-0005-0000-0000-0000E3670000}"/>
    <cellStyle name="Download 3 3 4 5" xfId="16297" xr:uid="{00000000-0005-0000-0000-0000E4670000}"/>
    <cellStyle name="Download 3 3 4 5 2" xfId="35651" xr:uid="{00000000-0005-0000-0000-0000E5670000}"/>
    <cellStyle name="Download 3 3 4 6" xfId="18728" xr:uid="{00000000-0005-0000-0000-0000E6670000}"/>
    <cellStyle name="Download 3 3 4 6 2" xfId="38081" xr:uid="{00000000-0005-0000-0000-0000E7670000}"/>
    <cellStyle name="Download 3 3 4 7" xfId="21208" xr:uid="{00000000-0005-0000-0000-0000E8670000}"/>
    <cellStyle name="Download 3 3 4 7 2" xfId="40550" xr:uid="{00000000-0005-0000-0000-0000E9670000}"/>
    <cellStyle name="Download 3 3 4 8" xfId="33149" xr:uid="{00000000-0005-0000-0000-0000EA670000}"/>
    <cellStyle name="Download 3 3 5" xfId="14011" xr:uid="{00000000-0005-0000-0000-0000EB670000}"/>
    <cellStyle name="Download 3 3 5 2" xfId="14806" xr:uid="{00000000-0005-0000-0000-0000EC670000}"/>
    <cellStyle name="Download 3 3 5 2 2" xfId="17284" xr:uid="{00000000-0005-0000-0000-0000ED670000}"/>
    <cellStyle name="Download 3 3 5 2 2 2" xfId="36638" xr:uid="{00000000-0005-0000-0000-0000EE670000}"/>
    <cellStyle name="Download 3 3 5 2 3" xfId="19715" xr:uid="{00000000-0005-0000-0000-0000EF670000}"/>
    <cellStyle name="Download 3 3 5 2 3 2" xfId="39068" xr:uid="{00000000-0005-0000-0000-0000F0670000}"/>
    <cellStyle name="Download 3 3 5 2 4" xfId="22226" xr:uid="{00000000-0005-0000-0000-0000F1670000}"/>
    <cellStyle name="Download 3 3 5 2 4 2" xfId="41568" xr:uid="{00000000-0005-0000-0000-0000F2670000}"/>
    <cellStyle name="Download 3 3 5 2 5" xfId="34167" xr:uid="{00000000-0005-0000-0000-0000F3670000}"/>
    <cellStyle name="Download 3 3 5 3" xfId="15354" xr:uid="{00000000-0005-0000-0000-0000F4670000}"/>
    <cellStyle name="Download 3 3 5 3 2" xfId="17830" xr:uid="{00000000-0005-0000-0000-0000F5670000}"/>
    <cellStyle name="Download 3 3 5 3 2 2" xfId="37184" xr:uid="{00000000-0005-0000-0000-0000F6670000}"/>
    <cellStyle name="Download 3 3 5 3 3" xfId="20261" xr:uid="{00000000-0005-0000-0000-0000F7670000}"/>
    <cellStyle name="Download 3 3 5 3 3 2" xfId="39614" xr:uid="{00000000-0005-0000-0000-0000F8670000}"/>
    <cellStyle name="Download 3 3 5 3 4" xfId="22774" xr:uid="{00000000-0005-0000-0000-0000F9670000}"/>
    <cellStyle name="Download 3 3 5 3 4 2" xfId="42116" xr:uid="{00000000-0005-0000-0000-0000FA670000}"/>
    <cellStyle name="Download 3 3 5 3 5" xfId="34715" xr:uid="{00000000-0005-0000-0000-0000FB670000}"/>
    <cellStyle name="Download 3 3 5 4" xfId="15813" xr:uid="{00000000-0005-0000-0000-0000FC670000}"/>
    <cellStyle name="Download 3 3 5 4 2" xfId="18289" xr:uid="{00000000-0005-0000-0000-0000FD670000}"/>
    <cellStyle name="Download 3 3 5 4 2 2" xfId="37643" xr:uid="{00000000-0005-0000-0000-0000FE670000}"/>
    <cellStyle name="Download 3 3 5 4 3" xfId="20720" xr:uid="{00000000-0005-0000-0000-0000FF670000}"/>
    <cellStyle name="Download 3 3 5 4 3 2" xfId="40073" xr:uid="{00000000-0005-0000-0000-000000680000}"/>
    <cellStyle name="Download 3 3 5 4 4" xfId="23233" xr:uid="{00000000-0005-0000-0000-000001680000}"/>
    <cellStyle name="Download 3 3 5 4 4 2" xfId="42575" xr:uid="{00000000-0005-0000-0000-000002680000}"/>
    <cellStyle name="Download 3 3 5 4 5" xfId="35174" xr:uid="{00000000-0005-0000-0000-000003680000}"/>
    <cellStyle name="Download 3 3 5 5" xfId="16517" xr:uid="{00000000-0005-0000-0000-000004680000}"/>
    <cellStyle name="Download 3 3 5 5 2" xfId="35871" xr:uid="{00000000-0005-0000-0000-000005680000}"/>
    <cellStyle name="Download 3 3 5 6" xfId="18948" xr:uid="{00000000-0005-0000-0000-000006680000}"/>
    <cellStyle name="Download 3 3 5 6 2" xfId="38301" xr:uid="{00000000-0005-0000-0000-000007680000}"/>
    <cellStyle name="Download 3 3 5 7" xfId="21434" xr:uid="{00000000-0005-0000-0000-000008680000}"/>
    <cellStyle name="Download 3 3 5 7 2" xfId="40776" xr:uid="{00000000-0005-0000-0000-000009680000}"/>
    <cellStyle name="Download 3 3 5 8" xfId="33375" xr:uid="{00000000-0005-0000-0000-00000A680000}"/>
    <cellStyle name="Download 3 3 6" xfId="14303" xr:uid="{00000000-0005-0000-0000-00000B680000}"/>
    <cellStyle name="Download 3 3 6 2" xfId="16799" xr:uid="{00000000-0005-0000-0000-00000C680000}"/>
    <cellStyle name="Download 3 3 6 2 2" xfId="36153" xr:uid="{00000000-0005-0000-0000-00000D680000}"/>
    <cellStyle name="Download 3 3 6 3" xfId="19230" xr:uid="{00000000-0005-0000-0000-00000E680000}"/>
    <cellStyle name="Download 3 3 6 3 2" xfId="38583" xr:uid="{00000000-0005-0000-0000-00000F680000}"/>
    <cellStyle name="Download 3 3 6 4" xfId="21723" xr:uid="{00000000-0005-0000-0000-000010680000}"/>
    <cellStyle name="Download 3 3 6 4 2" xfId="41065" xr:uid="{00000000-0005-0000-0000-000011680000}"/>
    <cellStyle name="Download 3 3 6 5" xfId="33664" xr:uid="{00000000-0005-0000-0000-000012680000}"/>
    <cellStyle name="Download 3 3 7" xfId="13473" xr:uid="{00000000-0005-0000-0000-000013680000}"/>
    <cellStyle name="Download 3 3 7 2" xfId="32851" xr:uid="{00000000-0005-0000-0000-000014680000}"/>
    <cellStyle name="Download 3 3 8" xfId="16039" xr:uid="{00000000-0005-0000-0000-000015680000}"/>
    <cellStyle name="Download 3 3 8 2" xfId="35393" xr:uid="{00000000-0005-0000-0000-000016680000}"/>
    <cellStyle name="Download 3 3 9" xfId="13400" xr:uid="{00000000-0005-0000-0000-000017680000}"/>
    <cellStyle name="Download 3 3 9 2" xfId="32788" xr:uid="{00000000-0005-0000-0000-000018680000}"/>
    <cellStyle name="Download 3 4" xfId="5665" xr:uid="{00000000-0005-0000-0000-000019680000}"/>
    <cellStyle name="Download 3 4 10" xfId="25152" xr:uid="{00000000-0005-0000-0000-00001A680000}"/>
    <cellStyle name="Download 3 4 2" xfId="13833" xr:uid="{00000000-0005-0000-0000-00001B680000}"/>
    <cellStyle name="Download 3 4 2 2" xfId="14628" xr:uid="{00000000-0005-0000-0000-00001C680000}"/>
    <cellStyle name="Download 3 4 2 2 2" xfId="17112" xr:uid="{00000000-0005-0000-0000-00001D680000}"/>
    <cellStyle name="Download 3 4 2 2 2 2" xfId="36466" xr:uid="{00000000-0005-0000-0000-00001E680000}"/>
    <cellStyle name="Download 3 4 2 2 3" xfId="19543" xr:uid="{00000000-0005-0000-0000-00001F680000}"/>
    <cellStyle name="Download 3 4 2 2 3 2" xfId="38896" xr:uid="{00000000-0005-0000-0000-000020680000}"/>
    <cellStyle name="Download 3 4 2 2 4" xfId="22048" xr:uid="{00000000-0005-0000-0000-000021680000}"/>
    <cellStyle name="Download 3 4 2 2 4 2" xfId="41390" xr:uid="{00000000-0005-0000-0000-000022680000}"/>
    <cellStyle name="Download 3 4 2 2 5" xfId="33989" xr:uid="{00000000-0005-0000-0000-000023680000}"/>
    <cellStyle name="Download 3 4 2 3" xfId="15184" xr:uid="{00000000-0005-0000-0000-000024680000}"/>
    <cellStyle name="Download 3 4 2 3 2" xfId="17660" xr:uid="{00000000-0005-0000-0000-000025680000}"/>
    <cellStyle name="Download 3 4 2 3 2 2" xfId="37014" xr:uid="{00000000-0005-0000-0000-000026680000}"/>
    <cellStyle name="Download 3 4 2 3 3" xfId="20091" xr:uid="{00000000-0005-0000-0000-000027680000}"/>
    <cellStyle name="Download 3 4 2 3 3 2" xfId="39444" xr:uid="{00000000-0005-0000-0000-000028680000}"/>
    <cellStyle name="Download 3 4 2 3 4" xfId="22604" xr:uid="{00000000-0005-0000-0000-000029680000}"/>
    <cellStyle name="Download 3 4 2 3 4 2" xfId="41946" xr:uid="{00000000-0005-0000-0000-00002A680000}"/>
    <cellStyle name="Download 3 4 2 3 5" xfId="34545" xr:uid="{00000000-0005-0000-0000-00002B680000}"/>
    <cellStyle name="Download 3 4 2 4" xfId="16345" xr:uid="{00000000-0005-0000-0000-00002C680000}"/>
    <cellStyle name="Download 3 4 2 4 2" xfId="35699" xr:uid="{00000000-0005-0000-0000-00002D680000}"/>
    <cellStyle name="Download 3 4 2 5" xfId="18776" xr:uid="{00000000-0005-0000-0000-00002E680000}"/>
    <cellStyle name="Download 3 4 2 5 2" xfId="38129" xr:uid="{00000000-0005-0000-0000-00002F680000}"/>
    <cellStyle name="Download 3 4 2 6" xfId="21256" xr:uid="{00000000-0005-0000-0000-000030680000}"/>
    <cellStyle name="Download 3 4 2 6 2" xfId="40598" xr:uid="{00000000-0005-0000-0000-000031680000}"/>
    <cellStyle name="Download 3 4 2 7" xfId="33197" xr:uid="{00000000-0005-0000-0000-000032680000}"/>
    <cellStyle name="Download 3 4 3" xfId="14054" xr:uid="{00000000-0005-0000-0000-000033680000}"/>
    <cellStyle name="Download 3 4 3 2" xfId="14849" xr:uid="{00000000-0005-0000-0000-000034680000}"/>
    <cellStyle name="Download 3 4 3 2 2" xfId="17327" xr:uid="{00000000-0005-0000-0000-000035680000}"/>
    <cellStyle name="Download 3 4 3 2 2 2" xfId="36681" xr:uid="{00000000-0005-0000-0000-000036680000}"/>
    <cellStyle name="Download 3 4 3 2 3" xfId="19758" xr:uid="{00000000-0005-0000-0000-000037680000}"/>
    <cellStyle name="Download 3 4 3 2 3 2" xfId="39111" xr:uid="{00000000-0005-0000-0000-000038680000}"/>
    <cellStyle name="Download 3 4 3 2 4" xfId="22269" xr:uid="{00000000-0005-0000-0000-000039680000}"/>
    <cellStyle name="Download 3 4 3 2 4 2" xfId="41611" xr:uid="{00000000-0005-0000-0000-00003A680000}"/>
    <cellStyle name="Download 3 4 3 2 5" xfId="34210" xr:uid="{00000000-0005-0000-0000-00003B680000}"/>
    <cellStyle name="Download 3 4 3 3" xfId="15397" xr:uid="{00000000-0005-0000-0000-00003C680000}"/>
    <cellStyle name="Download 3 4 3 3 2" xfId="17873" xr:uid="{00000000-0005-0000-0000-00003D680000}"/>
    <cellStyle name="Download 3 4 3 3 2 2" xfId="37227" xr:uid="{00000000-0005-0000-0000-00003E680000}"/>
    <cellStyle name="Download 3 4 3 3 3" xfId="20304" xr:uid="{00000000-0005-0000-0000-00003F680000}"/>
    <cellStyle name="Download 3 4 3 3 3 2" xfId="39657" xr:uid="{00000000-0005-0000-0000-000040680000}"/>
    <cellStyle name="Download 3 4 3 3 4" xfId="22817" xr:uid="{00000000-0005-0000-0000-000041680000}"/>
    <cellStyle name="Download 3 4 3 3 4 2" xfId="42159" xr:uid="{00000000-0005-0000-0000-000042680000}"/>
    <cellStyle name="Download 3 4 3 3 5" xfId="34758" xr:uid="{00000000-0005-0000-0000-000043680000}"/>
    <cellStyle name="Download 3 4 3 4" xfId="15856" xr:uid="{00000000-0005-0000-0000-000044680000}"/>
    <cellStyle name="Download 3 4 3 4 2" xfId="18332" xr:uid="{00000000-0005-0000-0000-000045680000}"/>
    <cellStyle name="Download 3 4 3 4 2 2" xfId="37686" xr:uid="{00000000-0005-0000-0000-000046680000}"/>
    <cellStyle name="Download 3 4 3 4 3" xfId="20763" xr:uid="{00000000-0005-0000-0000-000047680000}"/>
    <cellStyle name="Download 3 4 3 4 3 2" xfId="40116" xr:uid="{00000000-0005-0000-0000-000048680000}"/>
    <cellStyle name="Download 3 4 3 4 4" xfId="23276" xr:uid="{00000000-0005-0000-0000-000049680000}"/>
    <cellStyle name="Download 3 4 3 4 4 2" xfId="42618" xr:uid="{00000000-0005-0000-0000-00004A680000}"/>
    <cellStyle name="Download 3 4 3 4 5" xfId="35217" xr:uid="{00000000-0005-0000-0000-00004B680000}"/>
    <cellStyle name="Download 3 4 3 5" xfId="16560" xr:uid="{00000000-0005-0000-0000-00004C680000}"/>
    <cellStyle name="Download 3 4 3 5 2" xfId="35914" xr:uid="{00000000-0005-0000-0000-00004D680000}"/>
    <cellStyle name="Download 3 4 3 6" xfId="18991" xr:uid="{00000000-0005-0000-0000-00004E680000}"/>
    <cellStyle name="Download 3 4 3 6 2" xfId="38344" xr:uid="{00000000-0005-0000-0000-00004F680000}"/>
    <cellStyle name="Download 3 4 3 7" xfId="21477" xr:uid="{00000000-0005-0000-0000-000050680000}"/>
    <cellStyle name="Download 3 4 3 7 2" xfId="40819" xr:uid="{00000000-0005-0000-0000-000051680000}"/>
    <cellStyle name="Download 3 4 3 8" xfId="33418" xr:uid="{00000000-0005-0000-0000-000052680000}"/>
    <cellStyle name="Download 3 4 4" xfId="14349" xr:uid="{00000000-0005-0000-0000-000053680000}"/>
    <cellStyle name="Download 3 4 4 2" xfId="16845" xr:uid="{00000000-0005-0000-0000-000054680000}"/>
    <cellStyle name="Download 3 4 4 2 2" xfId="36199" xr:uid="{00000000-0005-0000-0000-000055680000}"/>
    <cellStyle name="Download 3 4 4 3" xfId="19276" xr:uid="{00000000-0005-0000-0000-000056680000}"/>
    <cellStyle name="Download 3 4 4 3 2" xfId="38629" xr:uid="{00000000-0005-0000-0000-000057680000}"/>
    <cellStyle name="Download 3 4 4 4" xfId="21769" xr:uid="{00000000-0005-0000-0000-000058680000}"/>
    <cellStyle name="Download 3 4 4 4 2" xfId="41111" xr:uid="{00000000-0005-0000-0000-000059680000}"/>
    <cellStyle name="Download 3 4 4 5" xfId="33710" xr:uid="{00000000-0005-0000-0000-00005A680000}"/>
    <cellStyle name="Download 3 4 5" xfId="14984" xr:uid="{00000000-0005-0000-0000-00005B680000}"/>
    <cellStyle name="Download 3 4 5 2" xfId="17460" xr:uid="{00000000-0005-0000-0000-00005C680000}"/>
    <cellStyle name="Download 3 4 5 2 2" xfId="36814" xr:uid="{00000000-0005-0000-0000-00005D680000}"/>
    <cellStyle name="Download 3 4 5 3" xfId="19891" xr:uid="{00000000-0005-0000-0000-00005E680000}"/>
    <cellStyle name="Download 3 4 5 3 2" xfId="39244" xr:uid="{00000000-0005-0000-0000-00005F680000}"/>
    <cellStyle name="Download 3 4 5 4" xfId="22404" xr:uid="{00000000-0005-0000-0000-000060680000}"/>
    <cellStyle name="Download 3 4 5 4 2" xfId="41746" xr:uid="{00000000-0005-0000-0000-000061680000}"/>
    <cellStyle name="Download 3 4 5 5" xfId="34345" xr:uid="{00000000-0005-0000-0000-000062680000}"/>
    <cellStyle name="Download 3 4 6" xfId="14195" xr:uid="{00000000-0005-0000-0000-000063680000}"/>
    <cellStyle name="Download 3 4 6 2" xfId="16699" xr:uid="{00000000-0005-0000-0000-000064680000}"/>
    <cellStyle name="Download 3 4 6 2 2" xfId="36053" xr:uid="{00000000-0005-0000-0000-000065680000}"/>
    <cellStyle name="Download 3 4 6 3" xfId="19130" xr:uid="{00000000-0005-0000-0000-000066680000}"/>
    <cellStyle name="Download 3 4 6 3 2" xfId="38483" xr:uid="{00000000-0005-0000-0000-000067680000}"/>
    <cellStyle name="Download 3 4 6 4" xfId="21617" xr:uid="{00000000-0005-0000-0000-000068680000}"/>
    <cellStyle name="Download 3 4 6 4 2" xfId="40959" xr:uid="{00000000-0005-0000-0000-000069680000}"/>
    <cellStyle name="Download 3 4 6 5" xfId="33558" xr:uid="{00000000-0005-0000-0000-00006A680000}"/>
    <cellStyle name="Download 3 4 7" xfId="13533" xr:uid="{00000000-0005-0000-0000-00006B680000}"/>
    <cellStyle name="Download 3 4 7 2" xfId="32908" xr:uid="{00000000-0005-0000-0000-00006C680000}"/>
    <cellStyle name="Download 3 4 8" xfId="16084" xr:uid="{00000000-0005-0000-0000-00006D680000}"/>
    <cellStyle name="Download 3 4 8 2" xfId="35438" xr:uid="{00000000-0005-0000-0000-00006E680000}"/>
    <cellStyle name="Download 3 4 9" xfId="18494" xr:uid="{00000000-0005-0000-0000-00006F680000}"/>
    <cellStyle name="Download 3 4 9 2" xfId="37847" xr:uid="{00000000-0005-0000-0000-000070680000}"/>
    <cellStyle name="Download 3 5" xfId="13736" xr:uid="{00000000-0005-0000-0000-000071680000}"/>
    <cellStyle name="Download 3 5 2" xfId="14539" xr:uid="{00000000-0005-0000-0000-000072680000}"/>
    <cellStyle name="Download 3 5 2 2" xfId="17029" xr:uid="{00000000-0005-0000-0000-000073680000}"/>
    <cellStyle name="Download 3 5 2 2 2" xfId="36383" xr:uid="{00000000-0005-0000-0000-000074680000}"/>
    <cellStyle name="Download 3 5 2 3" xfId="19460" xr:uid="{00000000-0005-0000-0000-000075680000}"/>
    <cellStyle name="Download 3 5 2 3 2" xfId="38813" xr:uid="{00000000-0005-0000-0000-000076680000}"/>
    <cellStyle name="Download 3 5 2 4" xfId="21959" xr:uid="{00000000-0005-0000-0000-000077680000}"/>
    <cellStyle name="Download 3 5 2 4 2" xfId="41301" xr:uid="{00000000-0005-0000-0000-000078680000}"/>
    <cellStyle name="Download 3 5 2 5" xfId="33900" xr:uid="{00000000-0005-0000-0000-000079680000}"/>
    <cellStyle name="Download 3 5 3" xfId="15103" xr:uid="{00000000-0005-0000-0000-00007A680000}"/>
    <cellStyle name="Download 3 5 3 2" xfId="17579" xr:uid="{00000000-0005-0000-0000-00007B680000}"/>
    <cellStyle name="Download 3 5 3 2 2" xfId="36933" xr:uid="{00000000-0005-0000-0000-00007C680000}"/>
    <cellStyle name="Download 3 5 3 3" xfId="20010" xr:uid="{00000000-0005-0000-0000-00007D680000}"/>
    <cellStyle name="Download 3 5 3 3 2" xfId="39363" xr:uid="{00000000-0005-0000-0000-00007E680000}"/>
    <cellStyle name="Download 3 5 3 4" xfId="22523" xr:uid="{00000000-0005-0000-0000-00007F680000}"/>
    <cellStyle name="Download 3 5 3 4 2" xfId="41865" xr:uid="{00000000-0005-0000-0000-000080680000}"/>
    <cellStyle name="Download 3 5 3 5" xfId="34464" xr:uid="{00000000-0005-0000-0000-000081680000}"/>
    <cellStyle name="Download 3 5 4" xfId="15586" xr:uid="{00000000-0005-0000-0000-000082680000}"/>
    <cellStyle name="Download 3 5 4 2" xfId="18062" xr:uid="{00000000-0005-0000-0000-000083680000}"/>
    <cellStyle name="Download 3 5 4 2 2" xfId="37416" xr:uid="{00000000-0005-0000-0000-000084680000}"/>
    <cellStyle name="Download 3 5 4 3" xfId="20493" xr:uid="{00000000-0005-0000-0000-000085680000}"/>
    <cellStyle name="Download 3 5 4 3 2" xfId="39846" xr:uid="{00000000-0005-0000-0000-000086680000}"/>
    <cellStyle name="Download 3 5 4 4" xfId="23006" xr:uid="{00000000-0005-0000-0000-000087680000}"/>
    <cellStyle name="Download 3 5 4 4 2" xfId="42348" xr:uid="{00000000-0005-0000-0000-000088680000}"/>
    <cellStyle name="Download 3 5 4 5" xfId="34947" xr:uid="{00000000-0005-0000-0000-000089680000}"/>
    <cellStyle name="Download 3 5 5" xfId="16255" xr:uid="{00000000-0005-0000-0000-00008A680000}"/>
    <cellStyle name="Download 3 5 5 2" xfId="35609" xr:uid="{00000000-0005-0000-0000-00008B680000}"/>
    <cellStyle name="Download 3 5 6" xfId="18686" xr:uid="{00000000-0005-0000-0000-00008C680000}"/>
    <cellStyle name="Download 3 5 6 2" xfId="38039" xr:uid="{00000000-0005-0000-0000-00008D680000}"/>
    <cellStyle name="Download 3 5 7" xfId="21160" xr:uid="{00000000-0005-0000-0000-00008E680000}"/>
    <cellStyle name="Download 3 5 7 2" xfId="40502" xr:uid="{00000000-0005-0000-0000-00008F680000}"/>
    <cellStyle name="Download 3 5 8" xfId="33101" xr:uid="{00000000-0005-0000-0000-000090680000}"/>
    <cellStyle name="Download 3 6" xfId="13692" xr:uid="{00000000-0005-0000-0000-000091680000}"/>
    <cellStyle name="Download 3 6 2" xfId="14495" xr:uid="{00000000-0005-0000-0000-000092680000}"/>
    <cellStyle name="Download 3 6 2 2" xfId="16985" xr:uid="{00000000-0005-0000-0000-000093680000}"/>
    <cellStyle name="Download 3 6 2 2 2" xfId="36339" xr:uid="{00000000-0005-0000-0000-000094680000}"/>
    <cellStyle name="Download 3 6 2 3" xfId="19416" xr:uid="{00000000-0005-0000-0000-000095680000}"/>
    <cellStyle name="Download 3 6 2 3 2" xfId="38769" xr:uid="{00000000-0005-0000-0000-000096680000}"/>
    <cellStyle name="Download 3 6 2 4" xfId="21915" xr:uid="{00000000-0005-0000-0000-000097680000}"/>
    <cellStyle name="Download 3 6 2 4 2" xfId="41257" xr:uid="{00000000-0005-0000-0000-000098680000}"/>
    <cellStyle name="Download 3 6 2 5" xfId="33856" xr:uid="{00000000-0005-0000-0000-000099680000}"/>
    <cellStyle name="Download 3 6 3" xfId="15059" xr:uid="{00000000-0005-0000-0000-00009A680000}"/>
    <cellStyle name="Download 3 6 3 2" xfId="17535" xr:uid="{00000000-0005-0000-0000-00009B680000}"/>
    <cellStyle name="Download 3 6 3 2 2" xfId="36889" xr:uid="{00000000-0005-0000-0000-00009C680000}"/>
    <cellStyle name="Download 3 6 3 3" xfId="19966" xr:uid="{00000000-0005-0000-0000-00009D680000}"/>
    <cellStyle name="Download 3 6 3 3 2" xfId="39319" xr:uid="{00000000-0005-0000-0000-00009E680000}"/>
    <cellStyle name="Download 3 6 3 4" xfId="22479" xr:uid="{00000000-0005-0000-0000-00009F680000}"/>
    <cellStyle name="Download 3 6 3 4 2" xfId="41821" xr:uid="{00000000-0005-0000-0000-0000A0680000}"/>
    <cellStyle name="Download 3 6 3 5" xfId="34420" xr:uid="{00000000-0005-0000-0000-0000A1680000}"/>
    <cellStyle name="Download 3 6 4" xfId="15542" xr:uid="{00000000-0005-0000-0000-0000A2680000}"/>
    <cellStyle name="Download 3 6 4 2" xfId="18018" xr:uid="{00000000-0005-0000-0000-0000A3680000}"/>
    <cellStyle name="Download 3 6 4 2 2" xfId="37372" xr:uid="{00000000-0005-0000-0000-0000A4680000}"/>
    <cellStyle name="Download 3 6 4 3" xfId="20449" xr:uid="{00000000-0005-0000-0000-0000A5680000}"/>
    <cellStyle name="Download 3 6 4 3 2" xfId="39802" xr:uid="{00000000-0005-0000-0000-0000A6680000}"/>
    <cellStyle name="Download 3 6 4 4" xfId="22962" xr:uid="{00000000-0005-0000-0000-0000A7680000}"/>
    <cellStyle name="Download 3 6 4 4 2" xfId="42304" xr:uid="{00000000-0005-0000-0000-0000A8680000}"/>
    <cellStyle name="Download 3 6 4 5" xfId="34903" xr:uid="{00000000-0005-0000-0000-0000A9680000}"/>
    <cellStyle name="Download 3 6 5" xfId="16211" xr:uid="{00000000-0005-0000-0000-0000AA680000}"/>
    <cellStyle name="Download 3 6 5 2" xfId="35565" xr:uid="{00000000-0005-0000-0000-0000AB680000}"/>
    <cellStyle name="Download 3 6 6" xfId="18642" xr:uid="{00000000-0005-0000-0000-0000AC680000}"/>
    <cellStyle name="Download 3 6 6 2" xfId="37995" xr:uid="{00000000-0005-0000-0000-0000AD680000}"/>
    <cellStyle name="Download 3 6 7" xfId="21116" xr:uid="{00000000-0005-0000-0000-0000AE680000}"/>
    <cellStyle name="Download 3 6 7 2" xfId="40458" xr:uid="{00000000-0005-0000-0000-0000AF680000}"/>
    <cellStyle name="Download 3 6 8" xfId="33057" xr:uid="{00000000-0005-0000-0000-0000B0680000}"/>
    <cellStyle name="Download 3 7" xfId="14252" xr:uid="{00000000-0005-0000-0000-0000B1680000}"/>
    <cellStyle name="Download 3 7 2" xfId="16755" xr:uid="{00000000-0005-0000-0000-0000B2680000}"/>
    <cellStyle name="Download 3 7 2 2" xfId="36109" xr:uid="{00000000-0005-0000-0000-0000B3680000}"/>
    <cellStyle name="Download 3 7 3" xfId="19186" xr:uid="{00000000-0005-0000-0000-0000B4680000}"/>
    <cellStyle name="Download 3 7 3 2" xfId="38539" xr:uid="{00000000-0005-0000-0000-0000B5680000}"/>
    <cellStyle name="Download 3 7 4" xfId="21673" xr:uid="{00000000-0005-0000-0000-0000B6680000}"/>
    <cellStyle name="Download 3 7 4 2" xfId="41015" xr:uid="{00000000-0005-0000-0000-0000B7680000}"/>
    <cellStyle name="Download 3 7 5" xfId="33614" xr:uid="{00000000-0005-0000-0000-0000B8680000}"/>
    <cellStyle name="Download 3 8" xfId="13345" xr:uid="{00000000-0005-0000-0000-0000B9680000}"/>
    <cellStyle name="Download 3 9" xfId="13278" xr:uid="{00000000-0005-0000-0000-0000BA680000}"/>
    <cellStyle name="Download 3 9 2" xfId="32726" xr:uid="{00000000-0005-0000-0000-0000BB680000}"/>
    <cellStyle name="Download 4" xfId="13506" xr:uid="{00000000-0005-0000-0000-0000BC680000}"/>
    <cellStyle name="Download 4 2" xfId="13808" xr:uid="{00000000-0005-0000-0000-0000BD680000}"/>
    <cellStyle name="Download 4 2 2" xfId="14606" xr:uid="{00000000-0005-0000-0000-0000BE680000}"/>
    <cellStyle name="Download 4 2 2 2" xfId="17090" xr:uid="{00000000-0005-0000-0000-0000BF680000}"/>
    <cellStyle name="Download 4 2 2 2 2" xfId="36444" xr:uid="{00000000-0005-0000-0000-0000C0680000}"/>
    <cellStyle name="Download 4 2 2 3" xfId="19521" xr:uid="{00000000-0005-0000-0000-0000C1680000}"/>
    <cellStyle name="Download 4 2 2 3 2" xfId="38874" xr:uid="{00000000-0005-0000-0000-0000C2680000}"/>
    <cellStyle name="Download 4 2 2 4" xfId="22026" xr:uid="{00000000-0005-0000-0000-0000C3680000}"/>
    <cellStyle name="Download 4 2 2 4 2" xfId="41368" xr:uid="{00000000-0005-0000-0000-0000C4680000}"/>
    <cellStyle name="Download 4 2 2 5" xfId="33967" xr:uid="{00000000-0005-0000-0000-0000C5680000}"/>
    <cellStyle name="Download 4 2 3" xfId="15163" xr:uid="{00000000-0005-0000-0000-0000C6680000}"/>
    <cellStyle name="Download 4 2 3 2" xfId="17639" xr:uid="{00000000-0005-0000-0000-0000C7680000}"/>
    <cellStyle name="Download 4 2 3 2 2" xfId="36993" xr:uid="{00000000-0005-0000-0000-0000C8680000}"/>
    <cellStyle name="Download 4 2 3 3" xfId="20070" xr:uid="{00000000-0005-0000-0000-0000C9680000}"/>
    <cellStyle name="Download 4 2 3 3 2" xfId="39423" xr:uid="{00000000-0005-0000-0000-0000CA680000}"/>
    <cellStyle name="Download 4 2 3 4" xfId="22583" xr:uid="{00000000-0005-0000-0000-0000CB680000}"/>
    <cellStyle name="Download 4 2 3 4 2" xfId="41925" xr:uid="{00000000-0005-0000-0000-0000CC680000}"/>
    <cellStyle name="Download 4 2 3 5" xfId="34524" xr:uid="{00000000-0005-0000-0000-0000CD680000}"/>
    <cellStyle name="Download 4 2 4" xfId="15644" xr:uid="{00000000-0005-0000-0000-0000CE680000}"/>
    <cellStyle name="Download 4 2 4 2" xfId="18120" xr:uid="{00000000-0005-0000-0000-0000CF680000}"/>
    <cellStyle name="Download 4 2 4 2 2" xfId="37474" xr:uid="{00000000-0005-0000-0000-0000D0680000}"/>
    <cellStyle name="Download 4 2 4 3" xfId="20551" xr:uid="{00000000-0005-0000-0000-0000D1680000}"/>
    <cellStyle name="Download 4 2 4 3 2" xfId="39904" xr:uid="{00000000-0005-0000-0000-0000D2680000}"/>
    <cellStyle name="Download 4 2 4 4" xfId="23064" xr:uid="{00000000-0005-0000-0000-0000D3680000}"/>
    <cellStyle name="Download 4 2 4 4 2" xfId="42406" xr:uid="{00000000-0005-0000-0000-0000D4680000}"/>
    <cellStyle name="Download 4 2 4 5" xfId="35005" xr:uid="{00000000-0005-0000-0000-0000D5680000}"/>
    <cellStyle name="Download 4 2 5" xfId="16320" xr:uid="{00000000-0005-0000-0000-0000D6680000}"/>
    <cellStyle name="Download 4 2 5 2" xfId="35674" xr:uid="{00000000-0005-0000-0000-0000D7680000}"/>
    <cellStyle name="Download 4 2 6" xfId="18751" xr:uid="{00000000-0005-0000-0000-0000D8680000}"/>
    <cellStyle name="Download 4 2 6 2" xfId="38104" xr:uid="{00000000-0005-0000-0000-0000D9680000}"/>
    <cellStyle name="Download 4 2 7" xfId="21231" xr:uid="{00000000-0005-0000-0000-0000DA680000}"/>
    <cellStyle name="Download 4 2 7 2" xfId="40573" xr:uid="{00000000-0005-0000-0000-0000DB680000}"/>
    <cellStyle name="Download 4 2 8" xfId="33172" xr:uid="{00000000-0005-0000-0000-0000DC680000}"/>
    <cellStyle name="Download 4 3" xfId="14032" xr:uid="{00000000-0005-0000-0000-0000DD680000}"/>
    <cellStyle name="Download 4 3 2" xfId="14827" xr:uid="{00000000-0005-0000-0000-0000DE680000}"/>
    <cellStyle name="Download 4 3 2 2" xfId="17305" xr:uid="{00000000-0005-0000-0000-0000DF680000}"/>
    <cellStyle name="Download 4 3 2 2 2" xfId="36659" xr:uid="{00000000-0005-0000-0000-0000E0680000}"/>
    <cellStyle name="Download 4 3 2 3" xfId="19736" xr:uid="{00000000-0005-0000-0000-0000E1680000}"/>
    <cellStyle name="Download 4 3 2 3 2" xfId="39089" xr:uid="{00000000-0005-0000-0000-0000E2680000}"/>
    <cellStyle name="Download 4 3 2 4" xfId="22247" xr:uid="{00000000-0005-0000-0000-0000E3680000}"/>
    <cellStyle name="Download 4 3 2 4 2" xfId="41589" xr:uid="{00000000-0005-0000-0000-0000E4680000}"/>
    <cellStyle name="Download 4 3 2 5" xfId="34188" xr:uid="{00000000-0005-0000-0000-0000E5680000}"/>
    <cellStyle name="Download 4 3 3" xfId="15375" xr:uid="{00000000-0005-0000-0000-0000E6680000}"/>
    <cellStyle name="Download 4 3 3 2" xfId="17851" xr:uid="{00000000-0005-0000-0000-0000E7680000}"/>
    <cellStyle name="Download 4 3 3 2 2" xfId="37205" xr:uid="{00000000-0005-0000-0000-0000E8680000}"/>
    <cellStyle name="Download 4 3 3 3" xfId="20282" xr:uid="{00000000-0005-0000-0000-0000E9680000}"/>
    <cellStyle name="Download 4 3 3 3 2" xfId="39635" xr:uid="{00000000-0005-0000-0000-0000EA680000}"/>
    <cellStyle name="Download 4 3 3 4" xfId="22795" xr:uid="{00000000-0005-0000-0000-0000EB680000}"/>
    <cellStyle name="Download 4 3 3 4 2" xfId="42137" xr:uid="{00000000-0005-0000-0000-0000EC680000}"/>
    <cellStyle name="Download 4 3 3 5" xfId="34736" xr:uid="{00000000-0005-0000-0000-0000ED680000}"/>
    <cellStyle name="Download 4 3 4" xfId="15834" xr:uid="{00000000-0005-0000-0000-0000EE680000}"/>
    <cellStyle name="Download 4 3 4 2" xfId="18310" xr:uid="{00000000-0005-0000-0000-0000EF680000}"/>
    <cellStyle name="Download 4 3 4 2 2" xfId="37664" xr:uid="{00000000-0005-0000-0000-0000F0680000}"/>
    <cellStyle name="Download 4 3 4 3" xfId="20741" xr:uid="{00000000-0005-0000-0000-0000F1680000}"/>
    <cellStyle name="Download 4 3 4 3 2" xfId="40094" xr:uid="{00000000-0005-0000-0000-0000F2680000}"/>
    <cellStyle name="Download 4 3 4 4" xfId="23254" xr:uid="{00000000-0005-0000-0000-0000F3680000}"/>
    <cellStyle name="Download 4 3 4 4 2" xfId="42596" xr:uid="{00000000-0005-0000-0000-0000F4680000}"/>
    <cellStyle name="Download 4 3 4 5" xfId="35195" xr:uid="{00000000-0005-0000-0000-0000F5680000}"/>
    <cellStyle name="Download 4 3 5" xfId="16538" xr:uid="{00000000-0005-0000-0000-0000F6680000}"/>
    <cellStyle name="Download 4 3 5 2" xfId="35892" xr:uid="{00000000-0005-0000-0000-0000F7680000}"/>
    <cellStyle name="Download 4 3 6" xfId="18969" xr:uid="{00000000-0005-0000-0000-0000F8680000}"/>
    <cellStyle name="Download 4 3 6 2" xfId="38322" xr:uid="{00000000-0005-0000-0000-0000F9680000}"/>
    <cellStyle name="Download 4 3 7" xfId="21455" xr:uid="{00000000-0005-0000-0000-0000FA680000}"/>
    <cellStyle name="Download 4 3 7 2" xfId="40797" xr:uid="{00000000-0005-0000-0000-0000FB680000}"/>
    <cellStyle name="Download 4 3 8" xfId="33396" xr:uid="{00000000-0005-0000-0000-0000FC680000}"/>
    <cellStyle name="Download 4 4" xfId="14327" xr:uid="{00000000-0005-0000-0000-0000FD680000}"/>
    <cellStyle name="Download 4 4 2" xfId="16823" xr:uid="{00000000-0005-0000-0000-0000FE680000}"/>
    <cellStyle name="Download 4 4 2 2" xfId="36177" xr:uid="{00000000-0005-0000-0000-0000FF680000}"/>
    <cellStyle name="Download 4 4 3" xfId="19254" xr:uid="{00000000-0005-0000-0000-000000690000}"/>
    <cellStyle name="Download 4 4 3 2" xfId="38607" xr:uid="{00000000-0005-0000-0000-000001690000}"/>
    <cellStyle name="Download 4 4 4" xfId="21747" xr:uid="{00000000-0005-0000-0000-000002690000}"/>
    <cellStyle name="Download 4 4 4 2" xfId="41089" xr:uid="{00000000-0005-0000-0000-000003690000}"/>
    <cellStyle name="Download 4 4 5" xfId="33688" xr:uid="{00000000-0005-0000-0000-000004690000}"/>
    <cellStyle name="Download 4 5" xfId="16068" xr:uid="{00000000-0005-0000-0000-000005690000}"/>
    <cellStyle name="Download 4 5 2" xfId="35422" xr:uid="{00000000-0005-0000-0000-000006690000}"/>
    <cellStyle name="Download 4 6" xfId="18467" xr:uid="{00000000-0005-0000-0000-000007690000}"/>
    <cellStyle name="Download 4 6 2" xfId="37820" xr:uid="{00000000-0005-0000-0000-000008690000}"/>
    <cellStyle name="Download 4 7" xfId="21001" xr:uid="{00000000-0005-0000-0000-000009690000}"/>
    <cellStyle name="Download 4 7 2" xfId="40343" xr:uid="{00000000-0005-0000-0000-00000A690000}"/>
    <cellStyle name="Download 4 8" xfId="32881" xr:uid="{00000000-0005-0000-0000-00000B690000}"/>
    <cellStyle name="emp" xfId="4502" xr:uid="{00000000-0005-0000-0000-00000C690000}"/>
    <cellStyle name="Entered" xfId="1590" xr:uid="{00000000-0005-0000-0000-00000D690000}"/>
    <cellStyle name="Entered 2" xfId="2542" xr:uid="{00000000-0005-0000-0000-00000E690000}"/>
    <cellStyle name="Entries" xfId="3933" xr:uid="{00000000-0005-0000-0000-00000F690000}"/>
    <cellStyle name="EPS" xfId="1591" xr:uid="{00000000-0005-0000-0000-000010690000}"/>
    <cellStyle name="EPS Input" xfId="3934" xr:uid="{00000000-0005-0000-0000-000011690000}"/>
    <cellStyle name="EPSActual" xfId="1592" xr:uid="{00000000-0005-0000-0000-000012690000}"/>
    <cellStyle name="EPSActual 2" xfId="2543" xr:uid="{00000000-0005-0000-0000-000013690000}"/>
    <cellStyle name="EPSEstimate" xfId="1593" xr:uid="{00000000-0005-0000-0000-000014690000}"/>
    <cellStyle name="EPSEstimate 2" xfId="2544" xr:uid="{00000000-0005-0000-0000-000015690000}"/>
    <cellStyle name="Euro" xfId="1594" xr:uid="{00000000-0005-0000-0000-000016690000}"/>
    <cellStyle name="Euro 2" xfId="2545" xr:uid="{00000000-0005-0000-0000-000017690000}"/>
    <cellStyle name="Explanatory Text" xfId="1595" builtinId="53" customBuiltin="1"/>
    <cellStyle name="Explanatory Text 2" xfId="2077" xr:uid="{00000000-0005-0000-0000-000019690000}"/>
    <cellStyle name="Explanatory Text 2 2" xfId="4124" xr:uid="{00000000-0005-0000-0000-00001A690000}"/>
    <cellStyle name="Explanatory Text 3" xfId="2133" xr:uid="{00000000-0005-0000-0000-00001B690000}"/>
    <cellStyle name="External File Cells" xfId="1596" xr:uid="{00000000-0005-0000-0000-00001C690000}"/>
    <cellStyle name="External File Cells 2" xfId="1597" xr:uid="{00000000-0005-0000-0000-00001D690000}"/>
    <cellStyle name="External File Cells 2 2" xfId="2603" xr:uid="{00000000-0005-0000-0000-00001E690000}"/>
    <cellStyle name="External File Cells 2 2 2" xfId="4233" xr:uid="{00000000-0005-0000-0000-00001F690000}"/>
    <cellStyle name="External File Cells 2 2 2 2" xfId="4808" xr:uid="{00000000-0005-0000-0000-000020690000}"/>
    <cellStyle name="External File Cells 2 2 2 2 2" xfId="6026" xr:uid="{00000000-0005-0000-0000-000021690000}"/>
    <cellStyle name="External File Cells 2 2 2 2 2 2" xfId="8322" xr:uid="{00000000-0005-0000-0000-000022690000}"/>
    <cellStyle name="External File Cells 2 2 2 2 2 2 2" xfId="27803" xr:uid="{00000000-0005-0000-0000-000023690000}"/>
    <cellStyle name="External File Cells 2 2 2 2 2 3" xfId="25511" xr:uid="{00000000-0005-0000-0000-000024690000}"/>
    <cellStyle name="External File Cells 2 2 2 2 3" xfId="8321" xr:uid="{00000000-0005-0000-0000-000025690000}"/>
    <cellStyle name="External File Cells 2 2 2 2 3 2" xfId="27802" xr:uid="{00000000-0005-0000-0000-000026690000}"/>
    <cellStyle name="External File Cells 2 2 2 2 4" xfId="24310" xr:uid="{00000000-0005-0000-0000-000027690000}"/>
    <cellStyle name="External File Cells 2 2 2 3" xfId="4873" xr:uid="{00000000-0005-0000-0000-000028690000}"/>
    <cellStyle name="External File Cells 2 2 2 3 2" xfId="5494" xr:uid="{00000000-0005-0000-0000-000029690000}"/>
    <cellStyle name="External File Cells 2 2 2 3 2 2" xfId="6696" xr:uid="{00000000-0005-0000-0000-00002A690000}"/>
    <cellStyle name="External File Cells 2 2 2 3 2 2 2" xfId="26181" xr:uid="{00000000-0005-0000-0000-00002B690000}"/>
    <cellStyle name="External File Cells 2 2 2 3 2 3" xfId="24985" xr:uid="{00000000-0005-0000-0000-00002C690000}"/>
    <cellStyle name="External File Cells 2 2 2 3 3" xfId="6634" xr:uid="{00000000-0005-0000-0000-00002D690000}"/>
    <cellStyle name="External File Cells 2 2 2 3 3 2" xfId="26119" xr:uid="{00000000-0005-0000-0000-00002E690000}"/>
    <cellStyle name="External File Cells 2 2 2 3 4" xfId="24371" xr:uid="{00000000-0005-0000-0000-00002F690000}"/>
    <cellStyle name="External File Cells 2 2 2 4" xfId="24009" xr:uid="{00000000-0005-0000-0000-000030690000}"/>
    <cellStyle name="External File Cells 2 2 3" xfId="4577" xr:uid="{00000000-0005-0000-0000-000031690000}"/>
    <cellStyle name="External File Cells 2 2 3 2" xfId="5218" xr:uid="{00000000-0005-0000-0000-000032690000}"/>
    <cellStyle name="External File Cells 2 2 3 2 2" xfId="6689" xr:uid="{00000000-0005-0000-0000-000033690000}"/>
    <cellStyle name="External File Cells 2 2 3 2 2 2" xfId="26174" xr:uid="{00000000-0005-0000-0000-000034690000}"/>
    <cellStyle name="External File Cells 2 2 3 2 3" xfId="24709" xr:uid="{00000000-0005-0000-0000-000035690000}"/>
    <cellStyle name="External File Cells 2 2 3 3" xfId="6627" xr:uid="{00000000-0005-0000-0000-000036690000}"/>
    <cellStyle name="External File Cells 2 2 3 3 2" xfId="26112" xr:uid="{00000000-0005-0000-0000-000037690000}"/>
    <cellStyle name="External File Cells 2 2 3 4" xfId="24088" xr:uid="{00000000-0005-0000-0000-000038690000}"/>
    <cellStyle name="External File Cells 2 2 4" xfId="4911" xr:uid="{00000000-0005-0000-0000-000039690000}"/>
    <cellStyle name="External File Cells 2 2 4 2" xfId="6663" xr:uid="{00000000-0005-0000-0000-00003A690000}"/>
    <cellStyle name="External File Cells 2 2 4 2 2" xfId="26148" xr:uid="{00000000-0005-0000-0000-00003B690000}"/>
    <cellStyle name="External File Cells 2 2 4 3" xfId="24405" xr:uid="{00000000-0005-0000-0000-00003C690000}"/>
    <cellStyle name="External File Cells 2 2 5" xfId="5505" xr:uid="{00000000-0005-0000-0000-00003D690000}"/>
    <cellStyle name="External File Cells 2 2 5 2" xfId="24993" xr:uid="{00000000-0005-0000-0000-00003E690000}"/>
    <cellStyle name="External File Cells 2 2 6" xfId="23496" xr:uid="{00000000-0005-0000-0000-00003F690000}"/>
    <cellStyle name="External File Cells 2 3" xfId="2756" xr:uid="{00000000-0005-0000-0000-000040690000}"/>
    <cellStyle name="External File Cells 2 3 2" xfId="4605" xr:uid="{00000000-0005-0000-0000-000041690000}"/>
    <cellStyle name="External File Cells 2 3 2 2" xfId="5842" xr:uid="{00000000-0005-0000-0000-000042690000}"/>
    <cellStyle name="External File Cells 2 3 2 2 2" xfId="8324" xr:uid="{00000000-0005-0000-0000-000043690000}"/>
    <cellStyle name="External File Cells 2 3 2 2 2 2" xfId="27805" xr:uid="{00000000-0005-0000-0000-000044690000}"/>
    <cellStyle name="External File Cells 2 3 2 2 3" xfId="25327" xr:uid="{00000000-0005-0000-0000-000045690000}"/>
    <cellStyle name="External File Cells 2 3 2 3" xfId="8323" xr:uid="{00000000-0005-0000-0000-000046690000}"/>
    <cellStyle name="External File Cells 2 3 2 3 2" xfId="27804" xr:uid="{00000000-0005-0000-0000-000047690000}"/>
    <cellStyle name="External File Cells 2 3 2 4" xfId="24116" xr:uid="{00000000-0005-0000-0000-000048690000}"/>
    <cellStyle name="External File Cells 2 3 3" xfId="4524" xr:uid="{00000000-0005-0000-0000-000049690000}"/>
    <cellStyle name="External File Cells 2 3 3 2" xfId="5200" xr:uid="{00000000-0005-0000-0000-00004A690000}"/>
    <cellStyle name="External File Cells 2 3 3 2 2" xfId="6683" xr:uid="{00000000-0005-0000-0000-00004B690000}"/>
    <cellStyle name="External File Cells 2 3 3 2 2 2" xfId="26168" xr:uid="{00000000-0005-0000-0000-00004C690000}"/>
    <cellStyle name="External File Cells 2 3 3 2 3" xfId="24691" xr:uid="{00000000-0005-0000-0000-00004D690000}"/>
    <cellStyle name="External File Cells 2 3 3 3" xfId="6622" xr:uid="{00000000-0005-0000-0000-00004E690000}"/>
    <cellStyle name="External File Cells 2 3 3 3 2" xfId="26107" xr:uid="{00000000-0005-0000-0000-00004F690000}"/>
    <cellStyle name="External File Cells 2 3 3 4" xfId="24068" xr:uid="{00000000-0005-0000-0000-000050690000}"/>
    <cellStyle name="External File Cells 2 3 4" xfId="23581" xr:uid="{00000000-0005-0000-0000-000051690000}"/>
    <cellStyle name="External File Cells 2 4" xfId="4553" xr:uid="{00000000-0005-0000-0000-000052690000}"/>
    <cellStyle name="External File Cells 2 4 2" xfId="5814" xr:uid="{00000000-0005-0000-0000-000053690000}"/>
    <cellStyle name="External File Cells 2 4 2 2" xfId="8326" xr:uid="{00000000-0005-0000-0000-000054690000}"/>
    <cellStyle name="External File Cells 2 4 2 2 2" xfId="27807" xr:uid="{00000000-0005-0000-0000-000055690000}"/>
    <cellStyle name="External File Cells 2 4 2 3" xfId="25299" xr:uid="{00000000-0005-0000-0000-000056690000}"/>
    <cellStyle name="External File Cells 2 4 3" xfId="8325" xr:uid="{00000000-0005-0000-0000-000057690000}"/>
    <cellStyle name="External File Cells 2 4 3 2" xfId="27806" xr:uid="{00000000-0005-0000-0000-000058690000}"/>
    <cellStyle name="External File Cells 2 4 4" xfId="24083" xr:uid="{00000000-0005-0000-0000-000059690000}"/>
    <cellStyle name="External File Cells 2 5" xfId="13306" xr:uid="{00000000-0005-0000-0000-00005A690000}"/>
    <cellStyle name="External File Cells 2 6" xfId="13369" xr:uid="{00000000-0005-0000-0000-00005B690000}"/>
    <cellStyle name="External File Cells 2 6 2" xfId="32768" xr:uid="{00000000-0005-0000-0000-00005C690000}"/>
    <cellStyle name="External File Cells 2 7" xfId="20894" xr:uid="{00000000-0005-0000-0000-00005D690000}"/>
    <cellStyle name="External File Cells 2 7 2" xfId="40239" xr:uid="{00000000-0005-0000-0000-00005E690000}"/>
    <cellStyle name="External File Cells 2 8" xfId="23422" xr:uid="{00000000-0005-0000-0000-00005F690000}"/>
    <cellStyle name="External File Cells 3" xfId="2134" xr:uid="{00000000-0005-0000-0000-000060690000}"/>
    <cellStyle name="External File Cells 3 2" xfId="2671" xr:uid="{00000000-0005-0000-0000-000061690000}"/>
    <cellStyle name="External File Cells 3 2 2" xfId="4578" xr:uid="{00000000-0005-0000-0000-000062690000}"/>
    <cellStyle name="External File Cells 3 2 2 2" xfId="5219" xr:uid="{00000000-0005-0000-0000-000063690000}"/>
    <cellStyle name="External File Cells 3 2 2 2 2" xfId="6690" xr:uid="{00000000-0005-0000-0000-000064690000}"/>
    <cellStyle name="External File Cells 3 2 2 2 2 2" xfId="26175" xr:uid="{00000000-0005-0000-0000-000065690000}"/>
    <cellStyle name="External File Cells 3 2 2 2 3" xfId="24710" xr:uid="{00000000-0005-0000-0000-000066690000}"/>
    <cellStyle name="External File Cells 3 2 2 3" xfId="6628" xr:uid="{00000000-0005-0000-0000-000067690000}"/>
    <cellStyle name="External File Cells 3 2 2 3 2" xfId="26113" xr:uid="{00000000-0005-0000-0000-000068690000}"/>
    <cellStyle name="External File Cells 3 2 2 4" xfId="24089" xr:uid="{00000000-0005-0000-0000-000069690000}"/>
    <cellStyle name="External File Cells 3 2 3" xfId="4923" xr:uid="{00000000-0005-0000-0000-00006A690000}"/>
    <cellStyle name="External File Cells 3 2 3 2" xfId="6675" xr:uid="{00000000-0005-0000-0000-00006B690000}"/>
    <cellStyle name="External File Cells 3 2 3 2 2" xfId="26160" xr:uid="{00000000-0005-0000-0000-00006C690000}"/>
    <cellStyle name="External File Cells 3 2 3 3" xfId="24417" xr:uid="{00000000-0005-0000-0000-00006D690000}"/>
    <cellStyle name="External File Cells 3 2 4" xfId="5663" xr:uid="{00000000-0005-0000-0000-00006E690000}"/>
    <cellStyle name="External File Cells 3 2 4 2" xfId="25150" xr:uid="{00000000-0005-0000-0000-00006F690000}"/>
    <cellStyle name="External File Cells 3 2 5" xfId="13335" xr:uid="{00000000-0005-0000-0000-000070690000}"/>
    <cellStyle name="External File Cells 3 2 6" xfId="13200" xr:uid="{00000000-0005-0000-0000-000071690000}"/>
    <cellStyle name="External File Cells 3 2 6 2" xfId="32668" xr:uid="{00000000-0005-0000-0000-000072690000}"/>
    <cellStyle name="External File Cells 3 2 7" xfId="20906" xr:uid="{00000000-0005-0000-0000-000073690000}"/>
    <cellStyle name="External File Cells 3 2 7 2" xfId="40251" xr:uid="{00000000-0005-0000-0000-000074690000}"/>
    <cellStyle name="External File Cells 3 2 8" xfId="23550" xr:uid="{00000000-0005-0000-0000-000075690000}"/>
    <cellStyle name="External File Cells 3 3" xfId="4567" xr:uid="{00000000-0005-0000-0000-000076690000}"/>
    <cellStyle name="External File Cells 3 3 10" xfId="20915" xr:uid="{00000000-0005-0000-0000-000077690000}"/>
    <cellStyle name="External File Cells 3 3 10 2" xfId="40260" xr:uid="{00000000-0005-0000-0000-000078690000}"/>
    <cellStyle name="External File Cells 3 3 2" xfId="5815" xr:uid="{00000000-0005-0000-0000-000079690000}"/>
    <cellStyle name="External File Cells 3 3 2 10" xfId="20968" xr:uid="{00000000-0005-0000-0000-00007A690000}"/>
    <cellStyle name="External File Cells 3 3 2 10 2" xfId="40310" xr:uid="{00000000-0005-0000-0000-00007B690000}"/>
    <cellStyle name="External File Cells 3 3 2 11" xfId="25300" xr:uid="{00000000-0005-0000-0000-00007C690000}"/>
    <cellStyle name="External File Cells 3 3 2 2" xfId="8328" xr:uid="{00000000-0005-0000-0000-00007D690000}"/>
    <cellStyle name="External File Cells 3 3 2 2 10" xfId="27809" xr:uid="{00000000-0005-0000-0000-00007E690000}"/>
    <cellStyle name="External File Cells 3 3 2 2 2" xfId="13894" xr:uid="{00000000-0005-0000-0000-00007F690000}"/>
    <cellStyle name="External File Cells 3 3 2 2 2 2" xfId="14689" xr:uid="{00000000-0005-0000-0000-000080690000}"/>
    <cellStyle name="External File Cells 3 3 2 2 2 2 2" xfId="17170" xr:uid="{00000000-0005-0000-0000-000081690000}"/>
    <cellStyle name="External File Cells 3 3 2 2 2 2 2 2" xfId="36524" xr:uid="{00000000-0005-0000-0000-000082690000}"/>
    <cellStyle name="External File Cells 3 3 2 2 2 2 3" xfId="19601" xr:uid="{00000000-0005-0000-0000-000083690000}"/>
    <cellStyle name="External File Cells 3 3 2 2 2 2 3 2" xfId="38954" xr:uid="{00000000-0005-0000-0000-000084690000}"/>
    <cellStyle name="External File Cells 3 3 2 2 2 2 4" xfId="22109" xr:uid="{00000000-0005-0000-0000-000085690000}"/>
    <cellStyle name="External File Cells 3 3 2 2 2 2 4 2" xfId="41451" xr:uid="{00000000-0005-0000-0000-000086690000}"/>
    <cellStyle name="External File Cells 3 3 2 2 2 2 5" xfId="34050" xr:uid="{00000000-0005-0000-0000-000087690000}"/>
    <cellStyle name="External File Cells 3 3 2 2 2 3" xfId="15240" xr:uid="{00000000-0005-0000-0000-000088690000}"/>
    <cellStyle name="External File Cells 3 3 2 2 2 3 2" xfId="17716" xr:uid="{00000000-0005-0000-0000-000089690000}"/>
    <cellStyle name="External File Cells 3 3 2 2 2 3 2 2" xfId="37070" xr:uid="{00000000-0005-0000-0000-00008A690000}"/>
    <cellStyle name="External File Cells 3 3 2 2 2 3 3" xfId="20147" xr:uid="{00000000-0005-0000-0000-00008B690000}"/>
    <cellStyle name="External File Cells 3 3 2 2 2 3 3 2" xfId="39500" xr:uid="{00000000-0005-0000-0000-00008C690000}"/>
    <cellStyle name="External File Cells 3 3 2 2 2 3 4" xfId="22660" xr:uid="{00000000-0005-0000-0000-00008D690000}"/>
    <cellStyle name="External File Cells 3 3 2 2 2 3 4 2" xfId="42002" xr:uid="{00000000-0005-0000-0000-00008E690000}"/>
    <cellStyle name="External File Cells 3 3 2 2 2 3 5" xfId="34601" xr:uid="{00000000-0005-0000-0000-00008F690000}"/>
    <cellStyle name="External File Cells 3 3 2 2 2 4" xfId="16403" xr:uid="{00000000-0005-0000-0000-000090690000}"/>
    <cellStyle name="External File Cells 3 3 2 2 2 4 2" xfId="35757" xr:uid="{00000000-0005-0000-0000-000091690000}"/>
    <cellStyle name="External File Cells 3 3 2 2 2 5" xfId="18834" xr:uid="{00000000-0005-0000-0000-000092690000}"/>
    <cellStyle name="External File Cells 3 3 2 2 2 5 2" xfId="38187" xr:uid="{00000000-0005-0000-0000-000093690000}"/>
    <cellStyle name="External File Cells 3 3 2 2 2 6" xfId="21317" xr:uid="{00000000-0005-0000-0000-000094690000}"/>
    <cellStyle name="External File Cells 3 3 2 2 2 6 2" xfId="40659" xr:uid="{00000000-0005-0000-0000-000095690000}"/>
    <cellStyle name="External File Cells 3 3 2 2 2 7" xfId="33258" xr:uid="{00000000-0005-0000-0000-000096690000}"/>
    <cellStyle name="External File Cells 3 3 2 2 3" xfId="14112" xr:uid="{00000000-0005-0000-0000-000097690000}"/>
    <cellStyle name="External File Cells 3 3 2 2 3 2" xfId="14893" xr:uid="{00000000-0005-0000-0000-000098690000}"/>
    <cellStyle name="External File Cells 3 3 2 2 3 2 2" xfId="17371" xr:uid="{00000000-0005-0000-0000-000099690000}"/>
    <cellStyle name="External File Cells 3 3 2 2 3 2 2 2" xfId="36725" xr:uid="{00000000-0005-0000-0000-00009A690000}"/>
    <cellStyle name="External File Cells 3 3 2 2 3 2 3" xfId="19802" xr:uid="{00000000-0005-0000-0000-00009B690000}"/>
    <cellStyle name="External File Cells 3 3 2 2 3 2 3 2" xfId="39155" xr:uid="{00000000-0005-0000-0000-00009C690000}"/>
    <cellStyle name="External File Cells 3 3 2 2 3 2 4" xfId="22313" xr:uid="{00000000-0005-0000-0000-00009D690000}"/>
    <cellStyle name="External File Cells 3 3 2 2 3 2 4 2" xfId="41655" xr:uid="{00000000-0005-0000-0000-00009E690000}"/>
    <cellStyle name="External File Cells 3 3 2 2 3 2 5" xfId="34254" xr:uid="{00000000-0005-0000-0000-00009F690000}"/>
    <cellStyle name="External File Cells 3 3 2 2 3 3" xfId="15440" xr:uid="{00000000-0005-0000-0000-0000A0690000}"/>
    <cellStyle name="External File Cells 3 3 2 2 3 3 2" xfId="17916" xr:uid="{00000000-0005-0000-0000-0000A1690000}"/>
    <cellStyle name="External File Cells 3 3 2 2 3 3 2 2" xfId="37270" xr:uid="{00000000-0005-0000-0000-0000A2690000}"/>
    <cellStyle name="External File Cells 3 3 2 2 3 3 3" xfId="20347" xr:uid="{00000000-0005-0000-0000-0000A3690000}"/>
    <cellStyle name="External File Cells 3 3 2 2 3 3 3 2" xfId="39700" xr:uid="{00000000-0005-0000-0000-0000A4690000}"/>
    <cellStyle name="External File Cells 3 3 2 2 3 3 4" xfId="22860" xr:uid="{00000000-0005-0000-0000-0000A5690000}"/>
    <cellStyle name="External File Cells 3 3 2 2 3 3 4 2" xfId="42202" xr:uid="{00000000-0005-0000-0000-0000A6690000}"/>
    <cellStyle name="External File Cells 3 3 2 2 3 3 5" xfId="34801" xr:uid="{00000000-0005-0000-0000-0000A7690000}"/>
    <cellStyle name="External File Cells 3 3 2 2 3 4" xfId="15899" xr:uid="{00000000-0005-0000-0000-0000A8690000}"/>
    <cellStyle name="External File Cells 3 3 2 2 3 4 2" xfId="18375" xr:uid="{00000000-0005-0000-0000-0000A9690000}"/>
    <cellStyle name="External File Cells 3 3 2 2 3 4 2 2" xfId="37729" xr:uid="{00000000-0005-0000-0000-0000AA690000}"/>
    <cellStyle name="External File Cells 3 3 2 2 3 4 3" xfId="20806" xr:uid="{00000000-0005-0000-0000-0000AB690000}"/>
    <cellStyle name="External File Cells 3 3 2 2 3 4 3 2" xfId="40159" xr:uid="{00000000-0005-0000-0000-0000AC690000}"/>
    <cellStyle name="External File Cells 3 3 2 2 3 4 4" xfId="23319" xr:uid="{00000000-0005-0000-0000-0000AD690000}"/>
    <cellStyle name="External File Cells 3 3 2 2 3 4 4 2" xfId="42661" xr:uid="{00000000-0005-0000-0000-0000AE690000}"/>
    <cellStyle name="External File Cells 3 3 2 2 3 4 5" xfId="35260" xr:uid="{00000000-0005-0000-0000-0000AF690000}"/>
    <cellStyle name="External File Cells 3 3 2 2 3 5" xfId="16618" xr:uid="{00000000-0005-0000-0000-0000B0690000}"/>
    <cellStyle name="External File Cells 3 3 2 2 3 5 2" xfId="35972" xr:uid="{00000000-0005-0000-0000-0000B1690000}"/>
    <cellStyle name="External File Cells 3 3 2 2 3 6" xfId="19049" xr:uid="{00000000-0005-0000-0000-0000B2690000}"/>
    <cellStyle name="External File Cells 3 3 2 2 3 6 2" xfId="38402" xr:uid="{00000000-0005-0000-0000-0000B3690000}"/>
    <cellStyle name="External File Cells 3 3 2 2 3 7" xfId="21535" xr:uid="{00000000-0005-0000-0000-0000B4690000}"/>
    <cellStyle name="External File Cells 3 3 2 2 3 7 2" xfId="40877" xr:uid="{00000000-0005-0000-0000-0000B5690000}"/>
    <cellStyle name="External File Cells 3 3 2 2 3 8" xfId="33476" xr:uid="{00000000-0005-0000-0000-0000B6690000}"/>
    <cellStyle name="External File Cells 3 3 2 2 4" xfId="14404" xr:uid="{00000000-0005-0000-0000-0000B7690000}"/>
    <cellStyle name="External File Cells 3 3 2 2 4 2" xfId="16897" xr:uid="{00000000-0005-0000-0000-0000B8690000}"/>
    <cellStyle name="External File Cells 3 3 2 2 4 2 2" xfId="36251" xr:uid="{00000000-0005-0000-0000-0000B9690000}"/>
    <cellStyle name="External File Cells 3 3 2 2 4 3" xfId="19328" xr:uid="{00000000-0005-0000-0000-0000BA690000}"/>
    <cellStyle name="External File Cells 3 3 2 2 4 3 2" xfId="38681" xr:uid="{00000000-0005-0000-0000-0000BB690000}"/>
    <cellStyle name="External File Cells 3 3 2 2 4 4" xfId="21824" xr:uid="{00000000-0005-0000-0000-0000BC690000}"/>
    <cellStyle name="External File Cells 3 3 2 2 4 4 2" xfId="41166" xr:uid="{00000000-0005-0000-0000-0000BD690000}"/>
    <cellStyle name="External File Cells 3 3 2 2 4 5" xfId="33765" xr:uid="{00000000-0005-0000-0000-0000BE690000}"/>
    <cellStyle name="External File Cells 3 3 2 2 5" xfId="15034" xr:uid="{00000000-0005-0000-0000-0000BF690000}"/>
    <cellStyle name="External File Cells 3 3 2 2 5 2" xfId="17510" xr:uid="{00000000-0005-0000-0000-0000C0690000}"/>
    <cellStyle name="External File Cells 3 3 2 2 5 2 2" xfId="36864" xr:uid="{00000000-0005-0000-0000-0000C1690000}"/>
    <cellStyle name="External File Cells 3 3 2 2 5 3" xfId="19941" xr:uid="{00000000-0005-0000-0000-0000C2690000}"/>
    <cellStyle name="External File Cells 3 3 2 2 5 3 2" xfId="39294" xr:uid="{00000000-0005-0000-0000-0000C3690000}"/>
    <cellStyle name="External File Cells 3 3 2 2 5 4" xfId="22454" xr:uid="{00000000-0005-0000-0000-0000C4690000}"/>
    <cellStyle name="External File Cells 3 3 2 2 5 4 2" xfId="41796" xr:uid="{00000000-0005-0000-0000-0000C5690000}"/>
    <cellStyle name="External File Cells 3 3 2 2 5 5" xfId="34395" xr:uid="{00000000-0005-0000-0000-0000C6690000}"/>
    <cellStyle name="External File Cells 3 3 2 2 6" xfId="14229" xr:uid="{00000000-0005-0000-0000-0000C7690000}"/>
    <cellStyle name="External File Cells 3 3 2 2 6 2" xfId="16732" xr:uid="{00000000-0005-0000-0000-0000C8690000}"/>
    <cellStyle name="External File Cells 3 3 2 2 6 2 2" xfId="36086" xr:uid="{00000000-0005-0000-0000-0000C9690000}"/>
    <cellStyle name="External File Cells 3 3 2 2 6 3" xfId="19163" xr:uid="{00000000-0005-0000-0000-0000CA690000}"/>
    <cellStyle name="External File Cells 3 3 2 2 6 3 2" xfId="38516" xr:uid="{00000000-0005-0000-0000-0000CB690000}"/>
    <cellStyle name="External File Cells 3 3 2 2 6 4" xfId="21650" xr:uid="{00000000-0005-0000-0000-0000CC690000}"/>
    <cellStyle name="External File Cells 3 3 2 2 6 4 2" xfId="40992" xr:uid="{00000000-0005-0000-0000-0000CD690000}"/>
    <cellStyle name="External File Cells 3 3 2 2 6 5" xfId="33591" xr:uid="{00000000-0005-0000-0000-0000CE690000}"/>
    <cellStyle name="External File Cells 3 3 2 2 7" xfId="13593" xr:uid="{00000000-0005-0000-0000-0000CF690000}"/>
    <cellStyle name="External File Cells 3 3 2 2 7 2" xfId="32959" xr:uid="{00000000-0005-0000-0000-0000D0690000}"/>
    <cellStyle name="External File Cells 3 3 2 2 8" xfId="16124" xr:uid="{00000000-0005-0000-0000-0000D1690000}"/>
    <cellStyle name="External File Cells 3 3 2 2 8 2" xfId="35478" xr:uid="{00000000-0005-0000-0000-0000D2690000}"/>
    <cellStyle name="External File Cells 3 3 2 2 9" xfId="18547" xr:uid="{00000000-0005-0000-0000-0000D3690000}"/>
    <cellStyle name="External File Cells 3 3 2 2 9 2" xfId="37900" xr:uid="{00000000-0005-0000-0000-0000D4690000}"/>
    <cellStyle name="External File Cells 3 3 2 3" xfId="13663" xr:uid="{00000000-0005-0000-0000-0000D5690000}"/>
    <cellStyle name="External File Cells 3 3 2 3 2" xfId="13961" xr:uid="{00000000-0005-0000-0000-0000D6690000}"/>
    <cellStyle name="External File Cells 3 3 2 3 2 2" xfId="14756" xr:uid="{00000000-0005-0000-0000-0000D7690000}"/>
    <cellStyle name="External File Cells 3 3 2 3 2 2 2" xfId="17234" xr:uid="{00000000-0005-0000-0000-0000D8690000}"/>
    <cellStyle name="External File Cells 3 3 2 3 2 2 2 2" xfId="36588" xr:uid="{00000000-0005-0000-0000-0000D9690000}"/>
    <cellStyle name="External File Cells 3 3 2 3 2 2 3" xfId="19665" xr:uid="{00000000-0005-0000-0000-0000DA690000}"/>
    <cellStyle name="External File Cells 3 3 2 3 2 2 3 2" xfId="39018" xr:uid="{00000000-0005-0000-0000-0000DB690000}"/>
    <cellStyle name="External File Cells 3 3 2 3 2 2 4" xfId="22176" xr:uid="{00000000-0005-0000-0000-0000DC690000}"/>
    <cellStyle name="External File Cells 3 3 2 3 2 2 4 2" xfId="41518" xr:uid="{00000000-0005-0000-0000-0000DD690000}"/>
    <cellStyle name="External File Cells 3 3 2 3 2 2 5" xfId="34117" xr:uid="{00000000-0005-0000-0000-0000DE690000}"/>
    <cellStyle name="External File Cells 3 3 2 3 2 3" xfId="15304" xr:uid="{00000000-0005-0000-0000-0000DF690000}"/>
    <cellStyle name="External File Cells 3 3 2 3 2 3 2" xfId="17780" xr:uid="{00000000-0005-0000-0000-0000E0690000}"/>
    <cellStyle name="External File Cells 3 3 2 3 2 3 2 2" xfId="37134" xr:uid="{00000000-0005-0000-0000-0000E1690000}"/>
    <cellStyle name="External File Cells 3 3 2 3 2 3 3" xfId="20211" xr:uid="{00000000-0005-0000-0000-0000E2690000}"/>
    <cellStyle name="External File Cells 3 3 2 3 2 3 3 2" xfId="39564" xr:uid="{00000000-0005-0000-0000-0000E3690000}"/>
    <cellStyle name="External File Cells 3 3 2 3 2 3 4" xfId="22724" xr:uid="{00000000-0005-0000-0000-0000E4690000}"/>
    <cellStyle name="External File Cells 3 3 2 3 2 3 4 2" xfId="42066" xr:uid="{00000000-0005-0000-0000-0000E5690000}"/>
    <cellStyle name="External File Cells 3 3 2 3 2 3 5" xfId="34665" xr:uid="{00000000-0005-0000-0000-0000E6690000}"/>
    <cellStyle name="External File Cells 3 3 2 3 2 4" xfId="15763" xr:uid="{00000000-0005-0000-0000-0000E7690000}"/>
    <cellStyle name="External File Cells 3 3 2 3 2 4 2" xfId="18239" xr:uid="{00000000-0005-0000-0000-0000E8690000}"/>
    <cellStyle name="External File Cells 3 3 2 3 2 4 2 2" xfId="37593" xr:uid="{00000000-0005-0000-0000-0000E9690000}"/>
    <cellStyle name="External File Cells 3 3 2 3 2 4 3" xfId="20670" xr:uid="{00000000-0005-0000-0000-0000EA690000}"/>
    <cellStyle name="External File Cells 3 3 2 3 2 4 3 2" xfId="40023" xr:uid="{00000000-0005-0000-0000-0000EB690000}"/>
    <cellStyle name="External File Cells 3 3 2 3 2 4 4" xfId="23183" xr:uid="{00000000-0005-0000-0000-0000EC690000}"/>
    <cellStyle name="External File Cells 3 3 2 3 2 4 4 2" xfId="42525" xr:uid="{00000000-0005-0000-0000-0000ED690000}"/>
    <cellStyle name="External File Cells 3 3 2 3 2 4 5" xfId="35124" xr:uid="{00000000-0005-0000-0000-0000EE690000}"/>
    <cellStyle name="External File Cells 3 3 2 3 2 5" xfId="16467" xr:uid="{00000000-0005-0000-0000-0000EF690000}"/>
    <cellStyle name="External File Cells 3 3 2 3 2 5 2" xfId="35821" xr:uid="{00000000-0005-0000-0000-0000F0690000}"/>
    <cellStyle name="External File Cells 3 3 2 3 2 6" xfId="18898" xr:uid="{00000000-0005-0000-0000-0000F1690000}"/>
    <cellStyle name="External File Cells 3 3 2 3 2 6 2" xfId="38251" xr:uid="{00000000-0005-0000-0000-0000F2690000}"/>
    <cellStyle name="External File Cells 3 3 2 3 2 7" xfId="21384" xr:uid="{00000000-0005-0000-0000-0000F3690000}"/>
    <cellStyle name="External File Cells 3 3 2 3 2 7 2" xfId="40726" xr:uid="{00000000-0005-0000-0000-0000F4690000}"/>
    <cellStyle name="External File Cells 3 3 2 3 2 8" xfId="33325" xr:uid="{00000000-0005-0000-0000-0000F5690000}"/>
    <cellStyle name="External File Cells 3 3 2 3 3" xfId="14174" xr:uid="{00000000-0005-0000-0000-0000F6690000}"/>
    <cellStyle name="External File Cells 3 3 2 3 3 2" xfId="14951" xr:uid="{00000000-0005-0000-0000-0000F7690000}"/>
    <cellStyle name="External File Cells 3 3 2 3 3 2 2" xfId="17429" xr:uid="{00000000-0005-0000-0000-0000F8690000}"/>
    <cellStyle name="External File Cells 3 3 2 3 3 2 2 2" xfId="36783" xr:uid="{00000000-0005-0000-0000-0000F9690000}"/>
    <cellStyle name="External File Cells 3 3 2 3 3 2 3" xfId="19860" xr:uid="{00000000-0005-0000-0000-0000FA690000}"/>
    <cellStyle name="External File Cells 3 3 2 3 3 2 3 2" xfId="39213" xr:uid="{00000000-0005-0000-0000-0000FB690000}"/>
    <cellStyle name="External File Cells 3 3 2 3 3 2 4" xfId="22371" xr:uid="{00000000-0005-0000-0000-0000FC690000}"/>
    <cellStyle name="External File Cells 3 3 2 3 3 2 4 2" xfId="41713" xr:uid="{00000000-0005-0000-0000-0000FD690000}"/>
    <cellStyle name="External File Cells 3 3 2 3 3 2 5" xfId="34312" xr:uid="{00000000-0005-0000-0000-0000FE690000}"/>
    <cellStyle name="External File Cells 3 3 2 3 3 3" xfId="15497" xr:uid="{00000000-0005-0000-0000-0000FF690000}"/>
    <cellStyle name="External File Cells 3 3 2 3 3 3 2" xfId="17973" xr:uid="{00000000-0005-0000-0000-0000006A0000}"/>
    <cellStyle name="External File Cells 3 3 2 3 3 3 2 2" xfId="37327" xr:uid="{00000000-0005-0000-0000-0000016A0000}"/>
    <cellStyle name="External File Cells 3 3 2 3 3 3 3" xfId="20404" xr:uid="{00000000-0005-0000-0000-0000026A0000}"/>
    <cellStyle name="External File Cells 3 3 2 3 3 3 3 2" xfId="39757" xr:uid="{00000000-0005-0000-0000-0000036A0000}"/>
    <cellStyle name="External File Cells 3 3 2 3 3 3 4" xfId="22917" xr:uid="{00000000-0005-0000-0000-0000046A0000}"/>
    <cellStyle name="External File Cells 3 3 2 3 3 3 4 2" xfId="42259" xr:uid="{00000000-0005-0000-0000-0000056A0000}"/>
    <cellStyle name="External File Cells 3 3 2 3 3 3 5" xfId="34858" xr:uid="{00000000-0005-0000-0000-0000066A0000}"/>
    <cellStyle name="External File Cells 3 3 2 3 3 4" xfId="15956" xr:uid="{00000000-0005-0000-0000-0000076A0000}"/>
    <cellStyle name="External File Cells 3 3 2 3 3 4 2" xfId="18432" xr:uid="{00000000-0005-0000-0000-0000086A0000}"/>
    <cellStyle name="External File Cells 3 3 2 3 3 4 2 2" xfId="37786" xr:uid="{00000000-0005-0000-0000-0000096A0000}"/>
    <cellStyle name="External File Cells 3 3 2 3 3 4 3" xfId="20863" xr:uid="{00000000-0005-0000-0000-00000A6A0000}"/>
    <cellStyle name="External File Cells 3 3 2 3 3 4 3 2" xfId="40216" xr:uid="{00000000-0005-0000-0000-00000B6A0000}"/>
    <cellStyle name="External File Cells 3 3 2 3 3 4 4" xfId="23376" xr:uid="{00000000-0005-0000-0000-00000C6A0000}"/>
    <cellStyle name="External File Cells 3 3 2 3 3 4 4 2" xfId="42718" xr:uid="{00000000-0005-0000-0000-00000D6A0000}"/>
    <cellStyle name="External File Cells 3 3 2 3 3 4 5" xfId="35317" xr:uid="{00000000-0005-0000-0000-00000E6A0000}"/>
    <cellStyle name="External File Cells 3 3 2 3 3 5" xfId="16680" xr:uid="{00000000-0005-0000-0000-00000F6A0000}"/>
    <cellStyle name="External File Cells 3 3 2 3 3 5 2" xfId="36034" xr:uid="{00000000-0005-0000-0000-0000106A0000}"/>
    <cellStyle name="External File Cells 3 3 2 3 3 6" xfId="19111" xr:uid="{00000000-0005-0000-0000-0000116A0000}"/>
    <cellStyle name="External File Cells 3 3 2 3 3 6 2" xfId="38464" xr:uid="{00000000-0005-0000-0000-0000126A0000}"/>
    <cellStyle name="External File Cells 3 3 2 3 3 7" xfId="21597" xr:uid="{00000000-0005-0000-0000-0000136A0000}"/>
    <cellStyle name="External File Cells 3 3 2 3 3 7 2" xfId="40939" xr:uid="{00000000-0005-0000-0000-0000146A0000}"/>
    <cellStyle name="External File Cells 3 3 2 3 3 8" xfId="33538" xr:uid="{00000000-0005-0000-0000-0000156A0000}"/>
    <cellStyle name="External File Cells 3 3 2 3 4" xfId="14471" xr:uid="{00000000-0005-0000-0000-0000166A0000}"/>
    <cellStyle name="External File Cells 3 3 2 3 4 2" xfId="16961" xr:uid="{00000000-0005-0000-0000-0000176A0000}"/>
    <cellStyle name="External File Cells 3 3 2 3 4 2 2" xfId="36315" xr:uid="{00000000-0005-0000-0000-0000186A0000}"/>
    <cellStyle name="External File Cells 3 3 2 3 4 3" xfId="19392" xr:uid="{00000000-0005-0000-0000-0000196A0000}"/>
    <cellStyle name="External File Cells 3 3 2 3 4 3 2" xfId="38745" xr:uid="{00000000-0005-0000-0000-00001A6A0000}"/>
    <cellStyle name="External File Cells 3 3 2 3 4 4" xfId="21891" xr:uid="{00000000-0005-0000-0000-00001B6A0000}"/>
    <cellStyle name="External File Cells 3 3 2 3 4 4 2" xfId="41233" xr:uid="{00000000-0005-0000-0000-00001C6A0000}"/>
    <cellStyle name="External File Cells 3 3 2 3 4 5" xfId="33832" xr:uid="{00000000-0005-0000-0000-00001D6A0000}"/>
    <cellStyle name="External File Cells 3 3 2 3 5" xfId="16183" xr:uid="{00000000-0005-0000-0000-00001E6A0000}"/>
    <cellStyle name="External File Cells 3 3 2 3 5 2" xfId="35537" xr:uid="{00000000-0005-0000-0000-00001F6A0000}"/>
    <cellStyle name="External File Cells 3 3 2 3 6" xfId="18614" xr:uid="{00000000-0005-0000-0000-0000206A0000}"/>
    <cellStyle name="External File Cells 3 3 2 3 6 2" xfId="37967" xr:uid="{00000000-0005-0000-0000-0000216A0000}"/>
    <cellStyle name="External File Cells 3 3 2 3 7" xfId="21088" xr:uid="{00000000-0005-0000-0000-0000226A0000}"/>
    <cellStyle name="External File Cells 3 3 2 3 7 2" xfId="40430" xr:uid="{00000000-0005-0000-0000-0000236A0000}"/>
    <cellStyle name="External File Cells 3 3 2 3 8" xfId="33029" xr:uid="{00000000-0005-0000-0000-0000246A0000}"/>
    <cellStyle name="External File Cells 3 3 2 4" xfId="13781" xr:uid="{00000000-0005-0000-0000-0000256A0000}"/>
    <cellStyle name="External File Cells 3 3 2 4 2" xfId="14580" xr:uid="{00000000-0005-0000-0000-0000266A0000}"/>
    <cellStyle name="External File Cells 3 3 2 4 2 2" xfId="17067" xr:uid="{00000000-0005-0000-0000-0000276A0000}"/>
    <cellStyle name="External File Cells 3 3 2 4 2 2 2" xfId="36421" xr:uid="{00000000-0005-0000-0000-0000286A0000}"/>
    <cellStyle name="External File Cells 3 3 2 4 2 3" xfId="19498" xr:uid="{00000000-0005-0000-0000-0000296A0000}"/>
    <cellStyle name="External File Cells 3 3 2 4 2 3 2" xfId="38851" xr:uid="{00000000-0005-0000-0000-00002A6A0000}"/>
    <cellStyle name="External File Cells 3 3 2 4 2 4" xfId="22000" xr:uid="{00000000-0005-0000-0000-00002B6A0000}"/>
    <cellStyle name="External File Cells 3 3 2 4 2 4 2" xfId="41342" xr:uid="{00000000-0005-0000-0000-00002C6A0000}"/>
    <cellStyle name="External File Cells 3 3 2 4 2 5" xfId="33941" xr:uid="{00000000-0005-0000-0000-00002D6A0000}"/>
    <cellStyle name="External File Cells 3 3 2 4 3" xfId="15140" xr:uid="{00000000-0005-0000-0000-00002E6A0000}"/>
    <cellStyle name="External File Cells 3 3 2 4 3 2" xfId="17616" xr:uid="{00000000-0005-0000-0000-00002F6A0000}"/>
    <cellStyle name="External File Cells 3 3 2 4 3 2 2" xfId="36970" xr:uid="{00000000-0005-0000-0000-0000306A0000}"/>
    <cellStyle name="External File Cells 3 3 2 4 3 3" xfId="20047" xr:uid="{00000000-0005-0000-0000-0000316A0000}"/>
    <cellStyle name="External File Cells 3 3 2 4 3 3 2" xfId="39400" xr:uid="{00000000-0005-0000-0000-0000326A0000}"/>
    <cellStyle name="External File Cells 3 3 2 4 3 4" xfId="22560" xr:uid="{00000000-0005-0000-0000-0000336A0000}"/>
    <cellStyle name="External File Cells 3 3 2 4 3 4 2" xfId="41902" xr:uid="{00000000-0005-0000-0000-0000346A0000}"/>
    <cellStyle name="External File Cells 3 3 2 4 3 5" xfId="34501" xr:uid="{00000000-0005-0000-0000-0000356A0000}"/>
    <cellStyle name="External File Cells 3 3 2 4 4" xfId="15621" xr:uid="{00000000-0005-0000-0000-0000366A0000}"/>
    <cellStyle name="External File Cells 3 3 2 4 4 2" xfId="18097" xr:uid="{00000000-0005-0000-0000-0000376A0000}"/>
    <cellStyle name="External File Cells 3 3 2 4 4 2 2" xfId="37451" xr:uid="{00000000-0005-0000-0000-0000386A0000}"/>
    <cellStyle name="External File Cells 3 3 2 4 4 3" xfId="20528" xr:uid="{00000000-0005-0000-0000-0000396A0000}"/>
    <cellStyle name="External File Cells 3 3 2 4 4 3 2" xfId="39881" xr:uid="{00000000-0005-0000-0000-00003A6A0000}"/>
    <cellStyle name="External File Cells 3 3 2 4 4 4" xfId="23041" xr:uid="{00000000-0005-0000-0000-00003B6A0000}"/>
    <cellStyle name="External File Cells 3 3 2 4 4 4 2" xfId="42383" xr:uid="{00000000-0005-0000-0000-00003C6A0000}"/>
    <cellStyle name="External File Cells 3 3 2 4 4 5" xfId="34982" xr:uid="{00000000-0005-0000-0000-00003D6A0000}"/>
    <cellStyle name="External File Cells 3 3 2 4 5" xfId="16296" xr:uid="{00000000-0005-0000-0000-00003E6A0000}"/>
    <cellStyle name="External File Cells 3 3 2 4 5 2" xfId="35650" xr:uid="{00000000-0005-0000-0000-00003F6A0000}"/>
    <cellStyle name="External File Cells 3 3 2 4 6" xfId="18727" xr:uid="{00000000-0005-0000-0000-0000406A0000}"/>
    <cellStyle name="External File Cells 3 3 2 4 6 2" xfId="38080" xr:uid="{00000000-0005-0000-0000-0000416A0000}"/>
    <cellStyle name="External File Cells 3 3 2 4 7" xfId="21204" xr:uid="{00000000-0005-0000-0000-0000426A0000}"/>
    <cellStyle name="External File Cells 3 3 2 4 7 2" xfId="40546" xr:uid="{00000000-0005-0000-0000-0000436A0000}"/>
    <cellStyle name="External File Cells 3 3 2 4 8" xfId="33145" xr:uid="{00000000-0005-0000-0000-0000446A0000}"/>
    <cellStyle name="External File Cells 3 3 2 5" xfId="14010" xr:uid="{00000000-0005-0000-0000-0000456A0000}"/>
    <cellStyle name="External File Cells 3 3 2 5 2" xfId="14805" xr:uid="{00000000-0005-0000-0000-0000466A0000}"/>
    <cellStyle name="External File Cells 3 3 2 5 2 2" xfId="17283" xr:uid="{00000000-0005-0000-0000-0000476A0000}"/>
    <cellStyle name="External File Cells 3 3 2 5 2 2 2" xfId="36637" xr:uid="{00000000-0005-0000-0000-0000486A0000}"/>
    <cellStyle name="External File Cells 3 3 2 5 2 3" xfId="19714" xr:uid="{00000000-0005-0000-0000-0000496A0000}"/>
    <cellStyle name="External File Cells 3 3 2 5 2 3 2" xfId="39067" xr:uid="{00000000-0005-0000-0000-00004A6A0000}"/>
    <cellStyle name="External File Cells 3 3 2 5 2 4" xfId="22225" xr:uid="{00000000-0005-0000-0000-00004B6A0000}"/>
    <cellStyle name="External File Cells 3 3 2 5 2 4 2" xfId="41567" xr:uid="{00000000-0005-0000-0000-00004C6A0000}"/>
    <cellStyle name="External File Cells 3 3 2 5 2 5" xfId="34166" xr:uid="{00000000-0005-0000-0000-00004D6A0000}"/>
    <cellStyle name="External File Cells 3 3 2 5 3" xfId="15353" xr:uid="{00000000-0005-0000-0000-00004E6A0000}"/>
    <cellStyle name="External File Cells 3 3 2 5 3 2" xfId="17829" xr:uid="{00000000-0005-0000-0000-00004F6A0000}"/>
    <cellStyle name="External File Cells 3 3 2 5 3 2 2" xfId="37183" xr:uid="{00000000-0005-0000-0000-0000506A0000}"/>
    <cellStyle name="External File Cells 3 3 2 5 3 3" xfId="20260" xr:uid="{00000000-0005-0000-0000-0000516A0000}"/>
    <cellStyle name="External File Cells 3 3 2 5 3 3 2" xfId="39613" xr:uid="{00000000-0005-0000-0000-0000526A0000}"/>
    <cellStyle name="External File Cells 3 3 2 5 3 4" xfId="22773" xr:uid="{00000000-0005-0000-0000-0000536A0000}"/>
    <cellStyle name="External File Cells 3 3 2 5 3 4 2" xfId="42115" xr:uid="{00000000-0005-0000-0000-0000546A0000}"/>
    <cellStyle name="External File Cells 3 3 2 5 3 5" xfId="34714" xr:uid="{00000000-0005-0000-0000-0000556A0000}"/>
    <cellStyle name="External File Cells 3 3 2 5 4" xfId="15812" xr:uid="{00000000-0005-0000-0000-0000566A0000}"/>
    <cellStyle name="External File Cells 3 3 2 5 4 2" xfId="18288" xr:uid="{00000000-0005-0000-0000-0000576A0000}"/>
    <cellStyle name="External File Cells 3 3 2 5 4 2 2" xfId="37642" xr:uid="{00000000-0005-0000-0000-0000586A0000}"/>
    <cellStyle name="External File Cells 3 3 2 5 4 3" xfId="20719" xr:uid="{00000000-0005-0000-0000-0000596A0000}"/>
    <cellStyle name="External File Cells 3 3 2 5 4 3 2" xfId="40072" xr:uid="{00000000-0005-0000-0000-00005A6A0000}"/>
    <cellStyle name="External File Cells 3 3 2 5 4 4" xfId="23232" xr:uid="{00000000-0005-0000-0000-00005B6A0000}"/>
    <cellStyle name="External File Cells 3 3 2 5 4 4 2" xfId="42574" xr:uid="{00000000-0005-0000-0000-00005C6A0000}"/>
    <cellStyle name="External File Cells 3 3 2 5 4 5" xfId="35173" xr:uid="{00000000-0005-0000-0000-00005D6A0000}"/>
    <cellStyle name="External File Cells 3 3 2 5 5" xfId="16516" xr:uid="{00000000-0005-0000-0000-00005E6A0000}"/>
    <cellStyle name="External File Cells 3 3 2 5 5 2" xfId="35870" xr:uid="{00000000-0005-0000-0000-00005F6A0000}"/>
    <cellStyle name="External File Cells 3 3 2 5 6" xfId="18947" xr:uid="{00000000-0005-0000-0000-0000606A0000}"/>
    <cellStyle name="External File Cells 3 3 2 5 6 2" xfId="38300" xr:uid="{00000000-0005-0000-0000-0000616A0000}"/>
    <cellStyle name="External File Cells 3 3 2 5 7" xfId="21433" xr:uid="{00000000-0005-0000-0000-0000626A0000}"/>
    <cellStyle name="External File Cells 3 3 2 5 7 2" xfId="40775" xr:uid="{00000000-0005-0000-0000-0000636A0000}"/>
    <cellStyle name="External File Cells 3 3 2 5 8" xfId="33374" xr:uid="{00000000-0005-0000-0000-0000646A0000}"/>
    <cellStyle name="External File Cells 3 3 2 6" xfId="14299" xr:uid="{00000000-0005-0000-0000-0000656A0000}"/>
    <cellStyle name="External File Cells 3 3 2 6 2" xfId="16798" xr:uid="{00000000-0005-0000-0000-0000666A0000}"/>
    <cellStyle name="External File Cells 3 3 2 6 2 2" xfId="36152" xr:uid="{00000000-0005-0000-0000-0000676A0000}"/>
    <cellStyle name="External File Cells 3 3 2 6 3" xfId="19229" xr:uid="{00000000-0005-0000-0000-0000686A0000}"/>
    <cellStyle name="External File Cells 3 3 2 6 3 2" xfId="38582" xr:uid="{00000000-0005-0000-0000-0000696A0000}"/>
    <cellStyle name="External File Cells 3 3 2 6 4" xfId="21719" xr:uid="{00000000-0005-0000-0000-00006A6A0000}"/>
    <cellStyle name="External File Cells 3 3 2 6 4 2" xfId="41061" xr:uid="{00000000-0005-0000-0000-00006B6A0000}"/>
    <cellStyle name="External File Cells 3 3 2 6 5" xfId="33660" xr:uid="{00000000-0005-0000-0000-00006C6A0000}"/>
    <cellStyle name="External File Cells 3 3 2 7" xfId="13468" xr:uid="{00000000-0005-0000-0000-00006D6A0000}"/>
    <cellStyle name="External File Cells 3 3 2 7 2" xfId="32847" xr:uid="{00000000-0005-0000-0000-00006E6A0000}"/>
    <cellStyle name="External File Cells 3 3 2 8" xfId="16038" xr:uid="{00000000-0005-0000-0000-00006F6A0000}"/>
    <cellStyle name="External File Cells 3 3 2 8 2" xfId="35392" xr:uid="{00000000-0005-0000-0000-0000706A0000}"/>
    <cellStyle name="External File Cells 3 3 2 9" xfId="13398" xr:uid="{00000000-0005-0000-0000-0000716A0000}"/>
    <cellStyle name="External File Cells 3 3 2 9 2" xfId="32786" xr:uid="{00000000-0005-0000-0000-0000726A0000}"/>
    <cellStyle name="External File Cells 3 3 3" xfId="8327" xr:uid="{00000000-0005-0000-0000-0000736A0000}"/>
    <cellStyle name="External File Cells 3 3 3 10" xfId="20923" xr:uid="{00000000-0005-0000-0000-0000746A0000}"/>
    <cellStyle name="External File Cells 3 3 3 10 2" xfId="40265" xr:uid="{00000000-0005-0000-0000-0000756A0000}"/>
    <cellStyle name="External File Cells 3 3 3 11" xfId="27808" xr:uid="{00000000-0005-0000-0000-0000766A0000}"/>
    <cellStyle name="External File Cells 3 3 3 2" xfId="13547" xr:uid="{00000000-0005-0000-0000-0000776A0000}"/>
    <cellStyle name="External File Cells 3 3 3 2 2" xfId="13845" xr:uid="{00000000-0005-0000-0000-0000786A0000}"/>
    <cellStyle name="External File Cells 3 3 3 2 2 2" xfId="14640" xr:uid="{00000000-0005-0000-0000-0000796A0000}"/>
    <cellStyle name="External File Cells 3 3 3 2 2 2 2" xfId="17121" xr:uid="{00000000-0005-0000-0000-00007A6A0000}"/>
    <cellStyle name="External File Cells 3 3 3 2 2 2 2 2" xfId="36475" xr:uid="{00000000-0005-0000-0000-00007B6A0000}"/>
    <cellStyle name="External File Cells 3 3 3 2 2 2 3" xfId="19552" xr:uid="{00000000-0005-0000-0000-00007C6A0000}"/>
    <cellStyle name="External File Cells 3 3 3 2 2 2 3 2" xfId="38905" xr:uid="{00000000-0005-0000-0000-00007D6A0000}"/>
    <cellStyle name="External File Cells 3 3 3 2 2 2 4" xfId="22060" xr:uid="{00000000-0005-0000-0000-00007E6A0000}"/>
    <cellStyle name="External File Cells 3 3 3 2 2 2 4 2" xfId="41402" xr:uid="{00000000-0005-0000-0000-00007F6A0000}"/>
    <cellStyle name="External File Cells 3 3 3 2 2 2 5" xfId="34001" xr:uid="{00000000-0005-0000-0000-0000806A0000}"/>
    <cellStyle name="External File Cells 3 3 3 2 2 3" xfId="15193" xr:uid="{00000000-0005-0000-0000-0000816A0000}"/>
    <cellStyle name="External File Cells 3 3 3 2 2 3 2" xfId="17669" xr:uid="{00000000-0005-0000-0000-0000826A0000}"/>
    <cellStyle name="External File Cells 3 3 3 2 2 3 2 2" xfId="37023" xr:uid="{00000000-0005-0000-0000-0000836A0000}"/>
    <cellStyle name="External File Cells 3 3 3 2 2 3 3" xfId="20100" xr:uid="{00000000-0005-0000-0000-0000846A0000}"/>
    <cellStyle name="External File Cells 3 3 3 2 2 3 3 2" xfId="39453" xr:uid="{00000000-0005-0000-0000-0000856A0000}"/>
    <cellStyle name="External File Cells 3 3 3 2 2 3 4" xfId="22613" xr:uid="{00000000-0005-0000-0000-0000866A0000}"/>
    <cellStyle name="External File Cells 3 3 3 2 2 3 4 2" xfId="41955" xr:uid="{00000000-0005-0000-0000-0000876A0000}"/>
    <cellStyle name="External File Cells 3 3 3 2 2 3 5" xfId="34554" xr:uid="{00000000-0005-0000-0000-0000886A0000}"/>
    <cellStyle name="External File Cells 3 3 3 2 2 4" xfId="16354" xr:uid="{00000000-0005-0000-0000-0000896A0000}"/>
    <cellStyle name="External File Cells 3 3 3 2 2 4 2" xfId="35708" xr:uid="{00000000-0005-0000-0000-00008A6A0000}"/>
    <cellStyle name="External File Cells 3 3 3 2 2 5" xfId="18785" xr:uid="{00000000-0005-0000-0000-00008B6A0000}"/>
    <cellStyle name="External File Cells 3 3 3 2 2 5 2" xfId="38138" xr:uid="{00000000-0005-0000-0000-00008C6A0000}"/>
    <cellStyle name="External File Cells 3 3 3 2 2 6" xfId="21268" xr:uid="{00000000-0005-0000-0000-00008D6A0000}"/>
    <cellStyle name="External File Cells 3 3 3 2 2 6 2" xfId="40610" xr:uid="{00000000-0005-0000-0000-00008E6A0000}"/>
    <cellStyle name="External File Cells 3 3 3 2 2 7" xfId="33209" xr:uid="{00000000-0005-0000-0000-00008F6A0000}"/>
    <cellStyle name="External File Cells 3 3 3 2 3" xfId="14063" xr:uid="{00000000-0005-0000-0000-0000906A0000}"/>
    <cellStyle name="External File Cells 3 3 3 2 3 2" xfId="14857" xr:uid="{00000000-0005-0000-0000-0000916A0000}"/>
    <cellStyle name="External File Cells 3 3 3 2 3 2 2" xfId="17335" xr:uid="{00000000-0005-0000-0000-0000926A0000}"/>
    <cellStyle name="External File Cells 3 3 3 2 3 2 2 2" xfId="36689" xr:uid="{00000000-0005-0000-0000-0000936A0000}"/>
    <cellStyle name="External File Cells 3 3 3 2 3 2 3" xfId="19766" xr:uid="{00000000-0005-0000-0000-0000946A0000}"/>
    <cellStyle name="External File Cells 3 3 3 2 3 2 3 2" xfId="39119" xr:uid="{00000000-0005-0000-0000-0000956A0000}"/>
    <cellStyle name="External File Cells 3 3 3 2 3 2 4" xfId="22277" xr:uid="{00000000-0005-0000-0000-0000966A0000}"/>
    <cellStyle name="External File Cells 3 3 3 2 3 2 4 2" xfId="41619" xr:uid="{00000000-0005-0000-0000-0000976A0000}"/>
    <cellStyle name="External File Cells 3 3 3 2 3 2 5" xfId="34218" xr:uid="{00000000-0005-0000-0000-0000986A0000}"/>
    <cellStyle name="External File Cells 3 3 3 2 3 3" xfId="15404" xr:uid="{00000000-0005-0000-0000-0000996A0000}"/>
    <cellStyle name="External File Cells 3 3 3 2 3 3 2" xfId="17880" xr:uid="{00000000-0005-0000-0000-00009A6A0000}"/>
    <cellStyle name="External File Cells 3 3 3 2 3 3 2 2" xfId="37234" xr:uid="{00000000-0005-0000-0000-00009B6A0000}"/>
    <cellStyle name="External File Cells 3 3 3 2 3 3 3" xfId="20311" xr:uid="{00000000-0005-0000-0000-00009C6A0000}"/>
    <cellStyle name="External File Cells 3 3 3 2 3 3 3 2" xfId="39664" xr:uid="{00000000-0005-0000-0000-00009D6A0000}"/>
    <cellStyle name="External File Cells 3 3 3 2 3 3 4" xfId="22824" xr:uid="{00000000-0005-0000-0000-00009E6A0000}"/>
    <cellStyle name="External File Cells 3 3 3 2 3 3 4 2" xfId="42166" xr:uid="{00000000-0005-0000-0000-00009F6A0000}"/>
    <cellStyle name="External File Cells 3 3 3 2 3 3 5" xfId="34765" xr:uid="{00000000-0005-0000-0000-0000A06A0000}"/>
    <cellStyle name="External File Cells 3 3 3 2 3 4" xfId="15863" xr:uid="{00000000-0005-0000-0000-0000A16A0000}"/>
    <cellStyle name="External File Cells 3 3 3 2 3 4 2" xfId="18339" xr:uid="{00000000-0005-0000-0000-0000A26A0000}"/>
    <cellStyle name="External File Cells 3 3 3 2 3 4 2 2" xfId="37693" xr:uid="{00000000-0005-0000-0000-0000A36A0000}"/>
    <cellStyle name="External File Cells 3 3 3 2 3 4 3" xfId="20770" xr:uid="{00000000-0005-0000-0000-0000A46A0000}"/>
    <cellStyle name="External File Cells 3 3 3 2 3 4 3 2" xfId="40123" xr:uid="{00000000-0005-0000-0000-0000A56A0000}"/>
    <cellStyle name="External File Cells 3 3 3 2 3 4 4" xfId="23283" xr:uid="{00000000-0005-0000-0000-0000A66A0000}"/>
    <cellStyle name="External File Cells 3 3 3 2 3 4 4 2" xfId="42625" xr:uid="{00000000-0005-0000-0000-0000A76A0000}"/>
    <cellStyle name="External File Cells 3 3 3 2 3 4 5" xfId="35224" xr:uid="{00000000-0005-0000-0000-0000A86A0000}"/>
    <cellStyle name="External File Cells 3 3 3 2 3 5" xfId="16569" xr:uid="{00000000-0005-0000-0000-0000A96A0000}"/>
    <cellStyle name="External File Cells 3 3 3 2 3 5 2" xfId="35923" xr:uid="{00000000-0005-0000-0000-0000AA6A0000}"/>
    <cellStyle name="External File Cells 3 3 3 2 3 6" xfId="19000" xr:uid="{00000000-0005-0000-0000-0000AB6A0000}"/>
    <cellStyle name="External File Cells 3 3 3 2 3 6 2" xfId="38353" xr:uid="{00000000-0005-0000-0000-0000AC6A0000}"/>
    <cellStyle name="External File Cells 3 3 3 2 3 7" xfId="21486" xr:uid="{00000000-0005-0000-0000-0000AD6A0000}"/>
    <cellStyle name="External File Cells 3 3 3 2 3 7 2" xfId="40828" xr:uid="{00000000-0005-0000-0000-0000AE6A0000}"/>
    <cellStyle name="External File Cells 3 3 3 2 3 8" xfId="33427" xr:uid="{00000000-0005-0000-0000-0000AF6A0000}"/>
    <cellStyle name="External File Cells 3 3 3 2 4" xfId="14361" xr:uid="{00000000-0005-0000-0000-0000B06A0000}"/>
    <cellStyle name="External File Cells 3 3 3 2 4 2" xfId="16854" xr:uid="{00000000-0005-0000-0000-0000B16A0000}"/>
    <cellStyle name="External File Cells 3 3 3 2 4 2 2" xfId="36208" xr:uid="{00000000-0005-0000-0000-0000B26A0000}"/>
    <cellStyle name="External File Cells 3 3 3 2 4 3" xfId="19285" xr:uid="{00000000-0005-0000-0000-0000B36A0000}"/>
    <cellStyle name="External File Cells 3 3 3 2 4 3 2" xfId="38638" xr:uid="{00000000-0005-0000-0000-0000B46A0000}"/>
    <cellStyle name="External File Cells 3 3 3 2 4 4" xfId="21781" xr:uid="{00000000-0005-0000-0000-0000B56A0000}"/>
    <cellStyle name="External File Cells 3 3 3 2 4 4 2" xfId="41123" xr:uid="{00000000-0005-0000-0000-0000B66A0000}"/>
    <cellStyle name="External File Cells 3 3 3 2 4 5" xfId="33722" xr:uid="{00000000-0005-0000-0000-0000B76A0000}"/>
    <cellStyle name="External File Cells 3 3 3 2 5" xfId="14989" xr:uid="{00000000-0005-0000-0000-0000B86A0000}"/>
    <cellStyle name="External File Cells 3 3 3 2 5 2" xfId="17465" xr:uid="{00000000-0005-0000-0000-0000B96A0000}"/>
    <cellStyle name="External File Cells 3 3 3 2 5 2 2" xfId="36819" xr:uid="{00000000-0005-0000-0000-0000BA6A0000}"/>
    <cellStyle name="External File Cells 3 3 3 2 5 3" xfId="19896" xr:uid="{00000000-0005-0000-0000-0000BB6A0000}"/>
    <cellStyle name="External File Cells 3 3 3 2 5 3 2" xfId="39249" xr:uid="{00000000-0005-0000-0000-0000BC6A0000}"/>
    <cellStyle name="External File Cells 3 3 3 2 5 4" xfId="22409" xr:uid="{00000000-0005-0000-0000-0000BD6A0000}"/>
    <cellStyle name="External File Cells 3 3 3 2 5 4 2" xfId="41751" xr:uid="{00000000-0005-0000-0000-0000BE6A0000}"/>
    <cellStyle name="External File Cells 3 3 3 2 5 5" xfId="34350" xr:uid="{00000000-0005-0000-0000-0000BF6A0000}"/>
    <cellStyle name="External File Cells 3 3 3 2 6" xfId="14260" xr:uid="{00000000-0005-0000-0000-0000C06A0000}"/>
    <cellStyle name="External File Cells 3 3 3 2 6 2" xfId="16760" xr:uid="{00000000-0005-0000-0000-0000C16A0000}"/>
    <cellStyle name="External File Cells 3 3 3 2 6 2 2" xfId="36114" xr:uid="{00000000-0005-0000-0000-0000C26A0000}"/>
    <cellStyle name="External File Cells 3 3 3 2 6 3" xfId="19191" xr:uid="{00000000-0005-0000-0000-0000C36A0000}"/>
    <cellStyle name="External File Cells 3 3 3 2 6 3 2" xfId="38544" xr:uid="{00000000-0005-0000-0000-0000C46A0000}"/>
    <cellStyle name="External File Cells 3 3 3 2 6 4" xfId="21681" xr:uid="{00000000-0005-0000-0000-0000C56A0000}"/>
    <cellStyle name="External File Cells 3 3 3 2 6 4 2" xfId="41023" xr:uid="{00000000-0005-0000-0000-0000C66A0000}"/>
    <cellStyle name="External File Cells 3 3 3 2 6 5" xfId="33622" xr:uid="{00000000-0005-0000-0000-0000C76A0000}"/>
    <cellStyle name="External File Cells 3 3 3 2 7" xfId="16093" xr:uid="{00000000-0005-0000-0000-0000C86A0000}"/>
    <cellStyle name="External File Cells 3 3 3 2 7 2" xfId="35447" xr:uid="{00000000-0005-0000-0000-0000C96A0000}"/>
    <cellStyle name="External File Cells 3 3 3 2 8" xfId="18504" xr:uid="{00000000-0005-0000-0000-0000CA6A0000}"/>
    <cellStyle name="External File Cells 3 3 3 2 8 2" xfId="37857" xr:uid="{00000000-0005-0000-0000-0000CB6A0000}"/>
    <cellStyle name="External File Cells 3 3 3 3" xfId="13619" xr:uid="{00000000-0005-0000-0000-0000CC6A0000}"/>
    <cellStyle name="External File Cells 3 3 3 3 2" xfId="13920" xr:uid="{00000000-0005-0000-0000-0000CD6A0000}"/>
    <cellStyle name="External File Cells 3 3 3 3 2 2" xfId="14715" xr:uid="{00000000-0005-0000-0000-0000CE6A0000}"/>
    <cellStyle name="External File Cells 3 3 3 3 2 2 2" xfId="17193" xr:uid="{00000000-0005-0000-0000-0000CF6A0000}"/>
    <cellStyle name="External File Cells 3 3 3 3 2 2 2 2" xfId="36547" xr:uid="{00000000-0005-0000-0000-0000D06A0000}"/>
    <cellStyle name="External File Cells 3 3 3 3 2 2 3" xfId="19624" xr:uid="{00000000-0005-0000-0000-0000D16A0000}"/>
    <cellStyle name="External File Cells 3 3 3 3 2 2 3 2" xfId="38977" xr:uid="{00000000-0005-0000-0000-0000D26A0000}"/>
    <cellStyle name="External File Cells 3 3 3 3 2 2 4" xfId="22135" xr:uid="{00000000-0005-0000-0000-0000D36A0000}"/>
    <cellStyle name="External File Cells 3 3 3 3 2 2 4 2" xfId="41477" xr:uid="{00000000-0005-0000-0000-0000D46A0000}"/>
    <cellStyle name="External File Cells 3 3 3 3 2 2 5" xfId="34076" xr:uid="{00000000-0005-0000-0000-0000D56A0000}"/>
    <cellStyle name="External File Cells 3 3 3 3 2 3" xfId="15263" xr:uid="{00000000-0005-0000-0000-0000D66A0000}"/>
    <cellStyle name="External File Cells 3 3 3 3 2 3 2" xfId="17739" xr:uid="{00000000-0005-0000-0000-0000D76A0000}"/>
    <cellStyle name="External File Cells 3 3 3 3 2 3 2 2" xfId="37093" xr:uid="{00000000-0005-0000-0000-0000D86A0000}"/>
    <cellStyle name="External File Cells 3 3 3 3 2 3 3" xfId="20170" xr:uid="{00000000-0005-0000-0000-0000D96A0000}"/>
    <cellStyle name="External File Cells 3 3 3 3 2 3 3 2" xfId="39523" xr:uid="{00000000-0005-0000-0000-0000DA6A0000}"/>
    <cellStyle name="External File Cells 3 3 3 3 2 3 4" xfId="22683" xr:uid="{00000000-0005-0000-0000-0000DB6A0000}"/>
    <cellStyle name="External File Cells 3 3 3 3 2 3 4 2" xfId="42025" xr:uid="{00000000-0005-0000-0000-0000DC6A0000}"/>
    <cellStyle name="External File Cells 3 3 3 3 2 3 5" xfId="34624" xr:uid="{00000000-0005-0000-0000-0000DD6A0000}"/>
    <cellStyle name="External File Cells 3 3 3 3 2 4" xfId="15722" xr:uid="{00000000-0005-0000-0000-0000DE6A0000}"/>
    <cellStyle name="External File Cells 3 3 3 3 2 4 2" xfId="18198" xr:uid="{00000000-0005-0000-0000-0000DF6A0000}"/>
    <cellStyle name="External File Cells 3 3 3 3 2 4 2 2" xfId="37552" xr:uid="{00000000-0005-0000-0000-0000E06A0000}"/>
    <cellStyle name="External File Cells 3 3 3 3 2 4 3" xfId="20629" xr:uid="{00000000-0005-0000-0000-0000E16A0000}"/>
    <cellStyle name="External File Cells 3 3 3 3 2 4 3 2" xfId="39982" xr:uid="{00000000-0005-0000-0000-0000E26A0000}"/>
    <cellStyle name="External File Cells 3 3 3 3 2 4 4" xfId="23142" xr:uid="{00000000-0005-0000-0000-0000E36A0000}"/>
    <cellStyle name="External File Cells 3 3 3 3 2 4 4 2" xfId="42484" xr:uid="{00000000-0005-0000-0000-0000E46A0000}"/>
    <cellStyle name="External File Cells 3 3 3 3 2 4 5" xfId="35083" xr:uid="{00000000-0005-0000-0000-0000E56A0000}"/>
    <cellStyle name="External File Cells 3 3 3 3 2 5" xfId="16426" xr:uid="{00000000-0005-0000-0000-0000E66A0000}"/>
    <cellStyle name="External File Cells 3 3 3 3 2 5 2" xfId="35780" xr:uid="{00000000-0005-0000-0000-0000E76A0000}"/>
    <cellStyle name="External File Cells 3 3 3 3 2 6" xfId="18857" xr:uid="{00000000-0005-0000-0000-0000E86A0000}"/>
    <cellStyle name="External File Cells 3 3 3 3 2 6 2" xfId="38210" xr:uid="{00000000-0005-0000-0000-0000E96A0000}"/>
    <cellStyle name="External File Cells 3 3 3 3 2 7" xfId="21343" xr:uid="{00000000-0005-0000-0000-0000EA6A0000}"/>
    <cellStyle name="External File Cells 3 3 3 3 2 7 2" xfId="40685" xr:uid="{00000000-0005-0000-0000-0000EB6A0000}"/>
    <cellStyle name="External File Cells 3 3 3 3 2 8" xfId="33284" xr:uid="{00000000-0005-0000-0000-0000EC6A0000}"/>
    <cellStyle name="External File Cells 3 3 3 3 3" xfId="14135" xr:uid="{00000000-0005-0000-0000-0000ED6A0000}"/>
    <cellStyle name="External File Cells 3 3 3 3 3 2" xfId="14912" xr:uid="{00000000-0005-0000-0000-0000EE6A0000}"/>
    <cellStyle name="External File Cells 3 3 3 3 3 2 2" xfId="17390" xr:uid="{00000000-0005-0000-0000-0000EF6A0000}"/>
    <cellStyle name="External File Cells 3 3 3 3 3 2 2 2" xfId="36744" xr:uid="{00000000-0005-0000-0000-0000F06A0000}"/>
    <cellStyle name="External File Cells 3 3 3 3 3 2 3" xfId="19821" xr:uid="{00000000-0005-0000-0000-0000F16A0000}"/>
    <cellStyle name="External File Cells 3 3 3 3 3 2 3 2" xfId="39174" xr:uid="{00000000-0005-0000-0000-0000F26A0000}"/>
    <cellStyle name="External File Cells 3 3 3 3 3 2 4" xfId="22332" xr:uid="{00000000-0005-0000-0000-0000F36A0000}"/>
    <cellStyle name="External File Cells 3 3 3 3 3 2 4 2" xfId="41674" xr:uid="{00000000-0005-0000-0000-0000F46A0000}"/>
    <cellStyle name="External File Cells 3 3 3 3 3 2 5" xfId="34273" xr:uid="{00000000-0005-0000-0000-0000F56A0000}"/>
    <cellStyle name="External File Cells 3 3 3 3 3 3" xfId="15458" xr:uid="{00000000-0005-0000-0000-0000F66A0000}"/>
    <cellStyle name="External File Cells 3 3 3 3 3 3 2" xfId="17934" xr:uid="{00000000-0005-0000-0000-0000F76A0000}"/>
    <cellStyle name="External File Cells 3 3 3 3 3 3 2 2" xfId="37288" xr:uid="{00000000-0005-0000-0000-0000F86A0000}"/>
    <cellStyle name="External File Cells 3 3 3 3 3 3 3" xfId="20365" xr:uid="{00000000-0005-0000-0000-0000F96A0000}"/>
    <cellStyle name="External File Cells 3 3 3 3 3 3 3 2" xfId="39718" xr:uid="{00000000-0005-0000-0000-0000FA6A0000}"/>
    <cellStyle name="External File Cells 3 3 3 3 3 3 4" xfId="22878" xr:uid="{00000000-0005-0000-0000-0000FB6A0000}"/>
    <cellStyle name="External File Cells 3 3 3 3 3 3 4 2" xfId="42220" xr:uid="{00000000-0005-0000-0000-0000FC6A0000}"/>
    <cellStyle name="External File Cells 3 3 3 3 3 3 5" xfId="34819" xr:uid="{00000000-0005-0000-0000-0000FD6A0000}"/>
    <cellStyle name="External File Cells 3 3 3 3 3 4" xfId="15917" xr:uid="{00000000-0005-0000-0000-0000FE6A0000}"/>
    <cellStyle name="External File Cells 3 3 3 3 3 4 2" xfId="18393" xr:uid="{00000000-0005-0000-0000-0000FF6A0000}"/>
    <cellStyle name="External File Cells 3 3 3 3 3 4 2 2" xfId="37747" xr:uid="{00000000-0005-0000-0000-0000006B0000}"/>
    <cellStyle name="External File Cells 3 3 3 3 3 4 3" xfId="20824" xr:uid="{00000000-0005-0000-0000-0000016B0000}"/>
    <cellStyle name="External File Cells 3 3 3 3 3 4 3 2" xfId="40177" xr:uid="{00000000-0005-0000-0000-0000026B0000}"/>
    <cellStyle name="External File Cells 3 3 3 3 3 4 4" xfId="23337" xr:uid="{00000000-0005-0000-0000-0000036B0000}"/>
    <cellStyle name="External File Cells 3 3 3 3 3 4 4 2" xfId="42679" xr:uid="{00000000-0005-0000-0000-0000046B0000}"/>
    <cellStyle name="External File Cells 3 3 3 3 3 4 5" xfId="35278" xr:uid="{00000000-0005-0000-0000-0000056B0000}"/>
    <cellStyle name="External File Cells 3 3 3 3 3 5" xfId="16641" xr:uid="{00000000-0005-0000-0000-0000066B0000}"/>
    <cellStyle name="External File Cells 3 3 3 3 3 5 2" xfId="35995" xr:uid="{00000000-0005-0000-0000-0000076B0000}"/>
    <cellStyle name="External File Cells 3 3 3 3 3 6" xfId="19072" xr:uid="{00000000-0005-0000-0000-0000086B0000}"/>
    <cellStyle name="External File Cells 3 3 3 3 3 6 2" xfId="38425" xr:uid="{00000000-0005-0000-0000-0000096B0000}"/>
    <cellStyle name="External File Cells 3 3 3 3 3 7" xfId="21558" xr:uid="{00000000-0005-0000-0000-00000A6B0000}"/>
    <cellStyle name="External File Cells 3 3 3 3 3 7 2" xfId="40900" xr:uid="{00000000-0005-0000-0000-00000B6B0000}"/>
    <cellStyle name="External File Cells 3 3 3 3 3 8" xfId="33499" xr:uid="{00000000-0005-0000-0000-00000C6B0000}"/>
    <cellStyle name="External File Cells 3 3 3 3 4" xfId="14430" xr:uid="{00000000-0005-0000-0000-00000D6B0000}"/>
    <cellStyle name="External File Cells 3 3 3 3 4 2" xfId="16920" xr:uid="{00000000-0005-0000-0000-00000E6B0000}"/>
    <cellStyle name="External File Cells 3 3 3 3 4 2 2" xfId="36274" xr:uid="{00000000-0005-0000-0000-00000F6B0000}"/>
    <cellStyle name="External File Cells 3 3 3 3 4 3" xfId="19351" xr:uid="{00000000-0005-0000-0000-0000106B0000}"/>
    <cellStyle name="External File Cells 3 3 3 3 4 3 2" xfId="38704" xr:uid="{00000000-0005-0000-0000-0000116B0000}"/>
    <cellStyle name="External File Cells 3 3 3 3 4 4" xfId="21850" xr:uid="{00000000-0005-0000-0000-0000126B0000}"/>
    <cellStyle name="External File Cells 3 3 3 3 4 4 2" xfId="41192" xr:uid="{00000000-0005-0000-0000-0000136B0000}"/>
    <cellStyle name="External File Cells 3 3 3 3 4 5" xfId="33791" xr:uid="{00000000-0005-0000-0000-0000146B0000}"/>
    <cellStyle name="External File Cells 3 3 3 3 5" xfId="16139" xr:uid="{00000000-0005-0000-0000-0000156B0000}"/>
    <cellStyle name="External File Cells 3 3 3 3 5 2" xfId="35493" xr:uid="{00000000-0005-0000-0000-0000166B0000}"/>
    <cellStyle name="External File Cells 3 3 3 3 6" xfId="18570" xr:uid="{00000000-0005-0000-0000-0000176B0000}"/>
    <cellStyle name="External File Cells 3 3 3 3 6 2" xfId="37923" xr:uid="{00000000-0005-0000-0000-0000186B0000}"/>
    <cellStyle name="External File Cells 3 3 3 3 7" xfId="21044" xr:uid="{00000000-0005-0000-0000-0000196B0000}"/>
    <cellStyle name="External File Cells 3 3 3 3 7 2" xfId="40386" xr:uid="{00000000-0005-0000-0000-00001A6B0000}"/>
    <cellStyle name="External File Cells 3 3 3 3 8" xfId="32985" xr:uid="{00000000-0005-0000-0000-00001B6B0000}"/>
    <cellStyle name="External File Cells 3 3 3 4" xfId="13753" xr:uid="{00000000-0005-0000-0000-00001C6B0000}"/>
    <cellStyle name="External File Cells 3 3 3 4 2" xfId="14555" xr:uid="{00000000-0005-0000-0000-00001D6B0000}"/>
    <cellStyle name="External File Cells 3 3 3 4 2 2" xfId="17042" xr:uid="{00000000-0005-0000-0000-00001E6B0000}"/>
    <cellStyle name="External File Cells 3 3 3 4 2 2 2" xfId="36396" xr:uid="{00000000-0005-0000-0000-00001F6B0000}"/>
    <cellStyle name="External File Cells 3 3 3 4 2 3" xfId="19473" xr:uid="{00000000-0005-0000-0000-0000206B0000}"/>
    <cellStyle name="External File Cells 3 3 3 4 2 3 2" xfId="38826" xr:uid="{00000000-0005-0000-0000-0000216B0000}"/>
    <cellStyle name="External File Cells 3 3 3 4 2 4" xfId="21975" xr:uid="{00000000-0005-0000-0000-0000226B0000}"/>
    <cellStyle name="External File Cells 3 3 3 4 2 4 2" xfId="41317" xr:uid="{00000000-0005-0000-0000-0000236B0000}"/>
    <cellStyle name="External File Cells 3 3 3 4 2 5" xfId="33916" xr:uid="{00000000-0005-0000-0000-0000246B0000}"/>
    <cellStyle name="External File Cells 3 3 3 4 3" xfId="15116" xr:uid="{00000000-0005-0000-0000-0000256B0000}"/>
    <cellStyle name="External File Cells 3 3 3 4 3 2" xfId="17592" xr:uid="{00000000-0005-0000-0000-0000266B0000}"/>
    <cellStyle name="External File Cells 3 3 3 4 3 2 2" xfId="36946" xr:uid="{00000000-0005-0000-0000-0000276B0000}"/>
    <cellStyle name="External File Cells 3 3 3 4 3 3" xfId="20023" xr:uid="{00000000-0005-0000-0000-0000286B0000}"/>
    <cellStyle name="External File Cells 3 3 3 4 3 3 2" xfId="39376" xr:uid="{00000000-0005-0000-0000-0000296B0000}"/>
    <cellStyle name="External File Cells 3 3 3 4 3 4" xfId="22536" xr:uid="{00000000-0005-0000-0000-00002A6B0000}"/>
    <cellStyle name="External File Cells 3 3 3 4 3 4 2" xfId="41878" xr:uid="{00000000-0005-0000-0000-00002B6B0000}"/>
    <cellStyle name="External File Cells 3 3 3 4 3 5" xfId="34477" xr:uid="{00000000-0005-0000-0000-00002C6B0000}"/>
    <cellStyle name="External File Cells 3 3 3 4 4" xfId="15598" xr:uid="{00000000-0005-0000-0000-00002D6B0000}"/>
    <cellStyle name="External File Cells 3 3 3 4 4 2" xfId="18074" xr:uid="{00000000-0005-0000-0000-00002E6B0000}"/>
    <cellStyle name="External File Cells 3 3 3 4 4 2 2" xfId="37428" xr:uid="{00000000-0005-0000-0000-00002F6B0000}"/>
    <cellStyle name="External File Cells 3 3 3 4 4 3" xfId="20505" xr:uid="{00000000-0005-0000-0000-0000306B0000}"/>
    <cellStyle name="External File Cells 3 3 3 4 4 3 2" xfId="39858" xr:uid="{00000000-0005-0000-0000-0000316B0000}"/>
    <cellStyle name="External File Cells 3 3 3 4 4 4" xfId="23018" xr:uid="{00000000-0005-0000-0000-0000326B0000}"/>
    <cellStyle name="External File Cells 3 3 3 4 4 4 2" xfId="42360" xr:uid="{00000000-0005-0000-0000-0000336B0000}"/>
    <cellStyle name="External File Cells 3 3 3 4 4 5" xfId="34959" xr:uid="{00000000-0005-0000-0000-0000346B0000}"/>
    <cellStyle name="External File Cells 3 3 3 4 5" xfId="16268" xr:uid="{00000000-0005-0000-0000-0000356B0000}"/>
    <cellStyle name="External File Cells 3 3 3 4 5 2" xfId="35622" xr:uid="{00000000-0005-0000-0000-0000366B0000}"/>
    <cellStyle name="External File Cells 3 3 3 4 6" xfId="18699" xr:uid="{00000000-0005-0000-0000-0000376B0000}"/>
    <cellStyle name="External File Cells 3 3 3 4 6 2" xfId="38052" xr:uid="{00000000-0005-0000-0000-0000386B0000}"/>
    <cellStyle name="External File Cells 3 3 3 4 7" xfId="21176" xr:uid="{00000000-0005-0000-0000-0000396B0000}"/>
    <cellStyle name="External File Cells 3 3 3 4 7 2" xfId="40518" xr:uid="{00000000-0005-0000-0000-00003A6B0000}"/>
    <cellStyle name="External File Cells 3 3 3 4 8" xfId="33117" xr:uid="{00000000-0005-0000-0000-00003B6B0000}"/>
    <cellStyle name="External File Cells 3 3 3 5" xfId="13687" xr:uid="{00000000-0005-0000-0000-00003C6B0000}"/>
    <cellStyle name="External File Cells 3 3 3 5 2" xfId="14490" xr:uid="{00000000-0005-0000-0000-00003D6B0000}"/>
    <cellStyle name="External File Cells 3 3 3 5 2 2" xfId="16980" xr:uid="{00000000-0005-0000-0000-00003E6B0000}"/>
    <cellStyle name="External File Cells 3 3 3 5 2 2 2" xfId="36334" xr:uid="{00000000-0005-0000-0000-00003F6B0000}"/>
    <cellStyle name="External File Cells 3 3 3 5 2 3" xfId="19411" xr:uid="{00000000-0005-0000-0000-0000406B0000}"/>
    <cellStyle name="External File Cells 3 3 3 5 2 3 2" xfId="38764" xr:uid="{00000000-0005-0000-0000-0000416B0000}"/>
    <cellStyle name="External File Cells 3 3 3 5 2 4" xfId="21910" xr:uid="{00000000-0005-0000-0000-0000426B0000}"/>
    <cellStyle name="External File Cells 3 3 3 5 2 4 2" xfId="41252" xr:uid="{00000000-0005-0000-0000-0000436B0000}"/>
    <cellStyle name="External File Cells 3 3 3 5 2 5" xfId="33851" xr:uid="{00000000-0005-0000-0000-0000446B0000}"/>
    <cellStyle name="External File Cells 3 3 3 5 3" xfId="15054" xr:uid="{00000000-0005-0000-0000-0000456B0000}"/>
    <cellStyle name="External File Cells 3 3 3 5 3 2" xfId="17530" xr:uid="{00000000-0005-0000-0000-0000466B0000}"/>
    <cellStyle name="External File Cells 3 3 3 5 3 2 2" xfId="36884" xr:uid="{00000000-0005-0000-0000-0000476B0000}"/>
    <cellStyle name="External File Cells 3 3 3 5 3 3" xfId="19961" xr:uid="{00000000-0005-0000-0000-0000486B0000}"/>
    <cellStyle name="External File Cells 3 3 3 5 3 3 2" xfId="39314" xr:uid="{00000000-0005-0000-0000-0000496B0000}"/>
    <cellStyle name="External File Cells 3 3 3 5 3 4" xfId="22474" xr:uid="{00000000-0005-0000-0000-00004A6B0000}"/>
    <cellStyle name="External File Cells 3 3 3 5 3 4 2" xfId="41816" xr:uid="{00000000-0005-0000-0000-00004B6B0000}"/>
    <cellStyle name="External File Cells 3 3 3 5 3 5" xfId="34415" xr:uid="{00000000-0005-0000-0000-00004C6B0000}"/>
    <cellStyle name="External File Cells 3 3 3 5 4" xfId="15537" xr:uid="{00000000-0005-0000-0000-00004D6B0000}"/>
    <cellStyle name="External File Cells 3 3 3 5 4 2" xfId="18013" xr:uid="{00000000-0005-0000-0000-00004E6B0000}"/>
    <cellStyle name="External File Cells 3 3 3 5 4 2 2" xfId="37367" xr:uid="{00000000-0005-0000-0000-00004F6B0000}"/>
    <cellStyle name="External File Cells 3 3 3 5 4 3" xfId="20444" xr:uid="{00000000-0005-0000-0000-0000506B0000}"/>
    <cellStyle name="External File Cells 3 3 3 5 4 3 2" xfId="39797" xr:uid="{00000000-0005-0000-0000-0000516B0000}"/>
    <cellStyle name="External File Cells 3 3 3 5 4 4" xfId="22957" xr:uid="{00000000-0005-0000-0000-0000526B0000}"/>
    <cellStyle name="External File Cells 3 3 3 5 4 4 2" xfId="42299" xr:uid="{00000000-0005-0000-0000-0000536B0000}"/>
    <cellStyle name="External File Cells 3 3 3 5 4 5" xfId="34898" xr:uid="{00000000-0005-0000-0000-0000546B0000}"/>
    <cellStyle name="External File Cells 3 3 3 5 5" xfId="16206" xr:uid="{00000000-0005-0000-0000-0000556B0000}"/>
    <cellStyle name="External File Cells 3 3 3 5 5 2" xfId="35560" xr:uid="{00000000-0005-0000-0000-0000566B0000}"/>
    <cellStyle name="External File Cells 3 3 3 5 6" xfId="18637" xr:uid="{00000000-0005-0000-0000-0000576B0000}"/>
    <cellStyle name="External File Cells 3 3 3 5 6 2" xfId="37990" xr:uid="{00000000-0005-0000-0000-0000586B0000}"/>
    <cellStyle name="External File Cells 3 3 3 5 7" xfId="21111" xr:uid="{00000000-0005-0000-0000-0000596B0000}"/>
    <cellStyle name="External File Cells 3 3 3 5 7 2" xfId="40453" xr:uid="{00000000-0005-0000-0000-00005A6B0000}"/>
    <cellStyle name="External File Cells 3 3 3 5 8" xfId="33052" xr:uid="{00000000-0005-0000-0000-00005B6B0000}"/>
    <cellStyle name="External File Cells 3 3 3 6" xfId="14274" xr:uid="{00000000-0005-0000-0000-00005C6B0000}"/>
    <cellStyle name="External File Cells 3 3 3 6 2" xfId="16773" xr:uid="{00000000-0005-0000-0000-00005D6B0000}"/>
    <cellStyle name="External File Cells 3 3 3 6 2 2" xfId="36127" xr:uid="{00000000-0005-0000-0000-00005E6B0000}"/>
    <cellStyle name="External File Cells 3 3 3 6 3" xfId="19204" xr:uid="{00000000-0005-0000-0000-00005F6B0000}"/>
    <cellStyle name="External File Cells 3 3 3 6 3 2" xfId="38557" xr:uid="{00000000-0005-0000-0000-0000606B0000}"/>
    <cellStyle name="External File Cells 3 3 3 6 4" xfId="21694" xr:uid="{00000000-0005-0000-0000-0000616B0000}"/>
    <cellStyle name="External File Cells 3 3 3 6 4 2" xfId="41036" xr:uid="{00000000-0005-0000-0000-0000626B0000}"/>
    <cellStyle name="External File Cells 3 3 3 6 5" xfId="33635" xr:uid="{00000000-0005-0000-0000-0000636B0000}"/>
    <cellStyle name="External File Cells 3 3 3 7" xfId="13419" xr:uid="{00000000-0005-0000-0000-0000646B0000}"/>
    <cellStyle name="External File Cells 3 3 3 7 2" xfId="32798" xr:uid="{00000000-0005-0000-0000-0000656B0000}"/>
    <cellStyle name="External File Cells 3 3 3 8" xfId="15989" xr:uid="{00000000-0005-0000-0000-0000666B0000}"/>
    <cellStyle name="External File Cells 3 3 3 8 2" xfId="35343" xr:uid="{00000000-0005-0000-0000-0000676B0000}"/>
    <cellStyle name="External File Cells 3 3 3 9" xfId="13254" xr:uid="{00000000-0005-0000-0000-0000686B0000}"/>
    <cellStyle name="External File Cells 3 3 3 9 2" xfId="32705" xr:uid="{00000000-0005-0000-0000-0000696B0000}"/>
    <cellStyle name="External File Cells 3 3 4" xfId="13535" xr:uid="{00000000-0005-0000-0000-00006A6B0000}"/>
    <cellStyle name="External File Cells 3 3 4 2" xfId="13835" xr:uid="{00000000-0005-0000-0000-00006B6B0000}"/>
    <cellStyle name="External File Cells 3 3 4 2 2" xfId="14630" xr:uid="{00000000-0005-0000-0000-00006C6B0000}"/>
    <cellStyle name="External File Cells 3 3 4 2 2 2" xfId="17114" xr:uid="{00000000-0005-0000-0000-00006D6B0000}"/>
    <cellStyle name="External File Cells 3 3 4 2 2 2 2" xfId="36468" xr:uid="{00000000-0005-0000-0000-00006E6B0000}"/>
    <cellStyle name="External File Cells 3 3 4 2 2 3" xfId="19545" xr:uid="{00000000-0005-0000-0000-00006F6B0000}"/>
    <cellStyle name="External File Cells 3 3 4 2 2 3 2" xfId="38898" xr:uid="{00000000-0005-0000-0000-0000706B0000}"/>
    <cellStyle name="External File Cells 3 3 4 2 2 4" xfId="22050" xr:uid="{00000000-0005-0000-0000-0000716B0000}"/>
    <cellStyle name="External File Cells 3 3 4 2 2 4 2" xfId="41392" xr:uid="{00000000-0005-0000-0000-0000726B0000}"/>
    <cellStyle name="External File Cells 3 3 4 2 2 5" xfId="33991" xr:uid="{00000000-0005-0000-0000-0000736B0000}"/>
    <cellStyle name="External File Cells 3 3 4 2 3" xfId="15186" xr:uid="{00000000-0005-0000-0000-0000746B0000}"/>
    <cellStyle name="External File Cells 3 3 4 2 3 2" xfId="17662" xr:uid="{00000000-0005-0000-0000-0000756B0000}"/>
    <cellStyle name="External File Cells 3 3 4 2 3 2 2" xfId="37016" xr:uid="{00000000-0005-0000-0000-0000766B0000}"/>
    <cellStyle name="External File Cells 3 3 4 2 3 3" xfId="20093" xr:uid="{00000000-0005-0000-0000-0000776B0000}"/>
    <cellStyle name="External File Cells 3 3 4 2 3 3 2" xfId="39446" xr:uid="{00000000-0005-0000-0000-0000786B0000}"/>
    <cellStyle name="External File Cells 3 3 4 2 3 4" xfId="22606" xr:uid="{00000000-0005-0000-0000-0000796B0000}"/>
    <cellStyle name="External File Cells 3 3 4 2 3 4 2" xfId="41948" xr:uid="{00000000-0005-0000-0000-00007A6B0000}"/>
    <cellStyle name="External File Cells 3 3 4 2 3 5" xfId="34547" xr:uid="{00000000-0005-0000-0000-00007B6B0000}"/>
    <cellStyle name="External File Cells 3 3 4 2 4" xfId="16347" xr:uid="{00000000-0005-0000-0000-00007C6B0000}"/>
    <cellStyle name="External File Cells 3 3 4 2 4 2" xfId="35701" xr:uid="{00000000-0005-0000-0000-00007D6B0000}"/>
    <cellStyle name="External File Cells 3 3 4 2 5" xfId="18778" xr:uid="{00000000-0005-0000-0000-00007E6B0000}"/>
    <cellStyle name="External File Cells 3 3 4 2 5 2" xfId="38131" xr:uid="{00000000-0005-0000-0000-00007F6B0000}"/>
    <cellStyle name="External File Cells 3 3 4 2 6" xfId="21258" xr:uid="{00000000-0005-0000-0000-0000806B0000}"/>
    <cellStyle name="External File Cells 3 3 4 2 6 2" xfId="40600" xr:uid="{00000000-0005-0000-0000-0000816B0000}"/>
    <cellStyle name="External File Cells 3 3 4 2 7" xfId="33199" xr:uid="{00000000-0005-0000-0000-0000826B0000}"/>
    <cellStyle name="External File Cells 3 3 4 3" xfId="14056" xr:uid="{00000000-0005-0000-0000-0000836B0000}"/>
    <cellStyle name="External File Cells 3 3 4 3 2" xfId="14851" xr:uid="{00000000-0005-0000-0000-0000846B0000}"/>
    <cellStyle name="External File Cells 3 3 4 3 2 2" xfId="17329" xr:uid="{00000000-0005-0000-0000-0000856B0000}"/>
    <cellStyle name="External File Cells 3 3 4 3 2 2 2" xfId="36683" xr:uid="{00000000-0005-0000-0000-0000866B0000}"/>
    <cellStyle name="External File Cells 3 3 4 3 2 3" xfId="19760" xr:uid="{00000000-0005-0000-0000-0000876B0000}"/>
    <cellStyle name="External File Cells 3 3 4 3 2 3 2" xfId="39113" xr:uid="{00000000-0005-0000-0000-0000886B0000}"/>
    <cellStyle name="External File Cells 3 3 4 3 2 4" xfId="22271" xr:uid="{00000000-0005-0000-0000-0000896B0000}"/>
    <cellStyle name="External File Cells 3 3 4 3 2 4 2" xfId="41613" xr:uid="{00000000-0005-0000-0000-00008A6B0000}"/>
    <cellStyle name="External File Cells 3 3 4 3 2 5" xfId="34212" xr:uid="{00000000-0005-0000-0000-00008B6B0000}"/>
    <cellStyle name="External File Cells 3 3 4 3 3" xfId="15399" xr:uid="{00000000-0005-0000-0000-00008C6B0000}"/>
    <cellStyle name="External File Cells 3 3 4 3 3 2" xfId="17875" xr:uid="{00000000-0005-0000-0000-00008D6B0000}"/>
    <cellStyle name="External File Cells 3 3 4 3 3 2 2" xfId="37229" xr:uid="{00000000-0005-0000-0000-00008E6B0000}"/>
    <cellStyle name="External File Cells 3 3 4 3 3 3" xfId="20306" xr:uid="{00000000-0005-0000-0000-00008F6B0000}"/>
    <cellStyle name="External File Cells 3 3 4 3 3 3 2" xfId="39659" xr:uid="{00000000-0005-0000-0000-0000906B0000}"/>
    <cellStyle name="External File Cells 3 3 4 3 3 4" xfId="22819" xr:uid="{00000000-0005-0000-0000-0000916B0000}"/>
    <cellStyle name="External File Cells 3 3 4 3 3 4 2" xfId="42161" xr:uid="{00000000-0005-0000-0000-0000926B0000}"/>
    <cellStyle name="External File Cells 3 3 4 3 3 5" xfId="34760" xr:uid="{00000000-0005-0000-0000-0000936B0000}"/>
    <cellStyle name="External File Cells 3 3 4 3 4" xfId="15858" xr:uid="{00000000-0005-0000-0000-0000946B0000}"/>
    <cellStyle name="External File Cells 3 3 4 3 4 2" xfId="18334" xr:uid="{00000000-0005-0000-0000-0000956B0000}"/>
    <cellStyle name="External File Cells 3 3 4 3 4 2 2" xfId="37688" xr:uid="{00000000-0005-0000-0000-0000966B0000}"/>
    <cellStyle name="External File Cells 3 3 4 3 4 3" xfId="20765" xr:uid="{00000000-0005-0000-0000-0000976B0000}"/>
    <cellStyle name="External File Cells 3 3 4 3 4 3 2" xfId="40118" xr:uid="{00000000-0005-0000-0000-0000986B0000}"/>
    <cellStyle name="External File Cells 3 3 4 3 4 4" xfId="23278" xr:uid="{00000000-0005-0000-0000-0000996B0000}"/>
    <cellStyle name="External File Cells 3 3 4 3 4 4 2" xfId="42620" xr:uid="{00000000-0005-0000-0000-00009A6B0000}"/>
    <cellStyle name="External File Cells 3 3 4 3 4 5" xfId="35219" xr:uid="{00000000-0005-0000-0000-00009B6B0000}"/>
    <cellStyle name="External File Cells 3 3 4 3 5" xfId="16562" xr:uid="{00000000-0005-0000-0000-00009C6B0000}"/>
    <cellStyle name="External File Cells 3 3 4 3 5 2" xfId="35916" xr:uid="{00000000-0005-0000-0000-00009D6B0000}"/>
    <cellStyle name="External File Cells 3 3 4 3 6" xfId="18993" xr:uid="{00000000-0005-0000-0000-00009E6B0000}"/>
    <cellStyle name="External File Cells 3 3 4 3 6 2" xfId="38346" xr:uid="{00000000-0005-0000-0000-00009F6B0000}"/>
    <cellStyle name="External File Cells 3 3 4 3 7" xfId="21479" xr:uid="{00000000-0005-0000-0000-0000A06B0000}"/>
    <cellStyle name="External File Cells 3 3 4 3 7 2" xfId="40821" xr:uid="{00000000-0005-0000-0000-0000A16B0000}"/>
    <cellStyle name="External File Cells 3 3 4 3 8" xfId="33420" xr:uid="{00000000-0005-0000-0000-0000A26B0000}"/>
    <cellStyle name="External File Cells 3 3 4 4" xfId="14351" xr:uid="{00000000-0005-0000-0000-0000A36B0000}"/>
    <cellStyle name="External File Cells 3 3 4 4 2" xfId="16847" xr:uid="{00000000-0005-0000-0000-0000A46B0000}"/>
    <cellStyle name="External File Cells 3 3 4 4 2 2" xfId="36201" xr:uid="{00000000-0005-0000-0000-0000A56B0000}"/>
    <cellStyle name="External File Cells 3 3 4 4 3" xfId="19278" xr:uid="{00000000-0005-0000-0000-0000A66B0000}"/>
    <cellStyle name="External File Cells 3 3 4 4 3 2" xfId="38631" xr:uid="{00000000-0005-0000-0000-0000A76B0000}"/>
    <cellStyle name="External File Cells 3 3 4 4 4" xfId="21771" xr:uid="{00000000-0005-0000-0000-0000A86B0000}"/>
    <cellStyle name="External File Cells 3 3 4 4 4 2" xfId="41113" xr:uid="{00000000-0005-0000-0000-0000A96B0000}"/>
    <cellStyle name="External File Cells 3 3 4 4 5" xfId="33712" xr:uid="{00000000-0005-0000-0000-0000AA6B0000}"/>
    <cellStyle name="External File Cells 3 3 4 5" xfId="14986" xr:uid="{00000000-0005-0000-0000-0000AB6B0000}"/>
    <cellStyle name="External File Cells 3 3 4 5 2" xfId="17462" xr:uid="{00000000-0005-0000-0000-0000AC6B0000}"/>
    <cellStyle name="External File Cells 3 3 4 5 2 2" xfId="36816" xr:uid="{00000000-0005-0000-0000-0000AD6B0000}"/>
    <cellStyle name="External File Cells 3 3 4 5 3" xfId="19893" xr:uid="{00000000-0005-0000-0000-0000AE6B0000}"/>
    <cellStyle name="External File Cells 3 3 4 5 3 2" xfId="39246" xr:uid="{00000000-0005-0000-0000-0000AF6B0000}"/>
    <cellStyle name="External File Cells 3 3 4 5 4" xfId="22406" xr:uid="{00000000-0005-0000-0000-0000B06B0000}"/>
    <cellStyle name="External File Cells 3 3 4 5 4 2" xfId="41748" xr:uid="{00000000-0005-0000-0000-0000B16B0000}"/>
    <cellStyle name="External File Cells 3 3 4 5 5" xfId="34347" xr:uid="{00000000-0005-0000-0000-0000B26B0000}"/>
    <cellStyle name="External File Cells 3 3 4 6" xfId="14910" xr:uid="{00000000-0005-0000-0000-0000B36B0000}"/>
    <cellStyle name="External File Cells 3 3 4 6 2" xfId="17388" xr:uid="{00000000-0005-0000-0000-0000B46B0000}"/>
    <cellStyle name="External File Cells 3 3 4 6 2 2" xfId="36742" xr:uid="{00000000-0005-0000-0000-0000B56B0000}"/>
    <cellStyle name="External File Cells 3 3 4 6 3" xfId="19819" xr:uid="{00000000-0005-0000-0000-0000B66B0000}"/>
    <cellStyle name="External File Cells 3 3 4 6 3 2" xfId="39172" xr:uid="{00000000-0005-0000-0000-0000B76B0000}"/>
    <cellStyle name="External File Cells 3 3 4 6 4" xfId="22330" xr:uid="{00000000-0005-0000-0000-0000B86B0000}"/>
    <cellStyle name="External File Cells 3 3 4 6 4 2" xfId="41672" xr:uid="{00000000-0005-0000-0000-0000B96B0000}"/>
    <cellStyle name="External File Cells 3 3 4 6 5" xfId="34271" xr:uid="{00000000-0005-0000-0000-0000BA6B0000}"/>
    <cellStyle name="External File Cells 3 3 4 7" xfId="16086" xr:uid="{00000000-0005-0000-0000-0000BB6B0000}"/>
    <cellStyle name="External File Cells 3 3 4 7 2" xfId="35440" xr:uid="{00000000-0005-0000-0000-0000BC6B0000}"/>
    <cellStyle name="External File Cells 3 3 4 8" xfId="18496" xr:uid="{00000000-0005-0000-0000-0000BD6B0000}"/>
    <cellStyle name="External File Cells 3 3 4 8 2" xfId="37849" xr:uid="{00000000-0005-0000-0000-0000BE6B0000}"/>
    <cellStyle name="External File Cells 3 3 5" xfId="13738" xr:uid="{00000000-0005-0000-0000-0000BF6B0000}"/>
    <cellStyle name="External File Cells 3 3 5 2" xfId="14541" xr:uid="{00000000-0005-0000-0000-0000C06B0000}"/>
    <cellStyle name="External File Cells 3 3 5 2 2" xfId="17031" xr:uid="{00000000-0005-0000-0000-0000C16B0000}"/>
    <cellStyle name="External File Cells 3 3 5 2 2 2" xfId="36385" xr:uid="{00000000-0005-0000-0000-0000C26B0000}"/>
    <cellStyle name="External File Cells 3 3 5 2 3" xfId="19462" xr:uid="{00000000-0005-0000-0000-0000C36B0000}"/>
    <cellStyle name="External File Cells 3 3 5 2 3 2" xfId="38815" xr:uid="{00000000-0005-0000-0000-0000C46B0000}"/>
    <cellStyle name="External File Cells 3 3 5 2 4" xfId="21961" xr:uid="{00000000-0005-0000-0000-0000C56B0000}"/>
    <cellStyle name="External File Cells 3 3 5 2 4 2" xfId="41303" xr:uid="{00000000-0005-0000-0000-0000C66B0000}"/>
    <cellStyle name="External File Cells 3 3 5 2 5" xfId="33902" xr:uid="{00000000-0005-0000-0000-0000C76B0000}"/>
    <cellStyle name="External File Cells 3 3 5 3" xfId="15105" xr:uid="{00000000-0005-0000-0000-0000C86B0000}"/>
    <cellStyle name="External File Cells 3 3 5 3 2" xfId="17581" xr:uid="{00000000-0005-0000-0000-0000C96B0000}"/>
    <cellStyle name="External File Cells 3 3 5 3 2 2" xfId="36935" xr:uid="{00000000-0005-0000-0000-0000CA6B0000}"/>
    <cellStyle name="External File Cells 3 3 5 3 3" xfId="20012" xr:uid="{00000000-0005-0000-0000-0000CB6B0000}"/>
    <cellStyle name="External File Cells 3 3 5 3 3 2" xfId="39365" xr:uid="{00000000-0005-0000-0000-0000CC6B0000}"/>
    <cellStyle name="External File Cells 3 3 5 3 4" xfId="22525" xr:uid="{00000000-0005-0000-0000-0000CD6B0000}"/>
    <cellStyle name="External File Cells 3 3 5 3 4 2" xfId="41867" xr:uid="{00000000-0005-0000-0000-0000CE6B0000}"/>
    <cellStyle name="External File Cells 3 3 5 3 5" xfId="34466" xr:uid="{00000000-0005-0000-0000-0000CF6B0000}"/>
    <cellStyle name="External File Cells 3 3 5 4" xfId="15588" xr:uid="{00000000-0005-0000-0000-0000D06B0000}"/>
    <cellStyle name="External File Cells 3 3 5 4 2" xfId="18064" xr:uid="{00000000-0005-0000-0000-0000D16B0000}"/>
    <cellStyle name="External File Cells 3 3 5 4 2 2" xfId="37418" xr:uid="{00000000-0005-0000-0000-0000D26B0000}"/>
    <cellStyle name="External File Cells 3 3 5 4 3" xfId="20495" xr:uid="{00000000-0005-0000-0000-0000D36B0000}"/>
    <cellStyle name="External File Cells 3 3 5 4 3 2" xfId="39848" xr:uid="{00000000-0005-0000-0000-0000D46B0000}"/>
    <cellStyle name="External File Cells 3 3 5 4 4" xfId="23008" xr:uid="{00000000-0005-0000-0000-0000D56B0000}"/>
    <cellStyle name="External File Cells 3 3 5 4 4 2" xfId="42350" xr:uid="{00000000-0005-0000-0000-0000D66B0000}"/>
    <cellStyle name="External File Cells 3 3 5 4 5" xfId="34949" xr:uid="{00000000-0005-0000-0000-0000D76B0000}"/>
    <cellStyle name="External File Cells 3 3 5 5" xfId="16257" xr:uid="{00000000-0005-0000-0000-0000D86B0000}"/>
    <cellStyle name="External File Cells 3 3 5 5 2" xfId="35611" xr:uid="{00000000-0005-0000-0000-0000D96B0000}"/>
    <cellStyle name="External File Cells 3 3 5 6" xfId="18688" xr:uid="{00000000-0005-0000-0000-0000DA6B0000}"/>
    <cellStyle name="External File Cells 3 3 5 6 2" xfId="38041" xr:uid="{00000000-0005-0000-0000-0000DB6B0000}"/>
    <cellStyle name="External File Cells 3 3 5 7" xfId="21162" xr:uid="{00000000-0005-0000-0000-0000DC6B0000}"/>
    <cellStyle name="External File Cells 3 3 5 7 2" xfId="40504" xr:uid="{00000000-0005-0000-0000-0000DD6B0000}"/>
    <cellStyle name="External File Cells 3 3 5 8" xfId="33103" xr:uid="{00000000-0005-0000-0000-0000DE6B0000}"/>
    <cellStyle name="External File Cells 3 3 6" xfId="13690" xr:uid="{00000000-0005-0000-0000-0000DF6B0000}"/>
    <cellStyle name="External File Cells 3 3 6 2" xfId="14493" xr:uid="{00000000-0005-0000-0000-0000E06B0000}"/>
    <cellStyle name="External File Cells 3 3 6 2 2" xfId="16983" xr:uid="{00000000-0005-0000-0000-0000E16B0000}"/>
    <cellStyle name="External File Cells 3 3 6 2 2 2" xfId="36337" xr:uid="{00000000-0005-0000-0000-0000E26B0000}"/>
    <cellStyle name="External File Cells 3 3 6 2 3" xfId="19414" xr:uid="{00000000-0005-0000-0000-0000E36B0000}"/>
    <cellStyle name="External File Cells 3 3 6 2 3 2" xfId="38767" xr:uid="{00000000-0005-0000-0000-0000E46B0000}"/>
    <cellStyle name="External File Cells 3 3 6 2 4" xfId="21913" xr:uid="{00000000-0005-0000-0000-0000E56B0000}"/>
    <cellStyle name="External File Cells 3 3 6 2 4 2" xfId="41255" xr:uid="{00000000-0005-0000-0000-0000E66B0000}"/>
    <cellStyle name="External File Cells 3 3 6 2 5" xfId="33854" xr:uid="{00000000-0005-0000-0000-0000E76B0000}"/>
    <cellStyle name="External File Cells 3 3 6 3" xfId="15057" xr:uid="{00000000-0005-0000-0000-0000E86B0000}"/>
    <cellStyle name="External File Cells 3 3 6 3 2" xfId="17533" xr:uid="{00000000-0005-0000-0000-0000E96B0000}"/>
    <cellStyle name="External File Cells 3 3 6 3 2 2" xfId="36887" xr:uid="{00000000-0005-0000-0000-0000EA6B0000}"/>
    <cellStyle name="External File Cells 3 3 6 3 3" xfId="19964" xr:uid="{00000000-0005-0000-0000-0000EB6B0000}"/>
    <cellStyle name="External File Cells 3 3 6 3 3 2" xfId="39317" xr:uid="{00000000-0005-0000-0000-0000EC6B0000}"/>
    <cellStyle name="External File Cells 3 3 6 3 4" xfId="22477" xr:uid="{00000000-0005-0000-0000-0000ED6B0000}"/>
    <cellStyle name="External File Cells 3 3 6 3 4 2" xfId="41819" xr:uid="{00000000-0005-0000-0000-0000EE6B0000}"/>
    <cellStyle name="External File Cells 3 3 6 3 5" xfId="34418" xr:uid="{00000000-0005-0000-0000-0000EF6B0000}"/>
    <cellStyle name="External File Cells 3 3 6 4" xfId="15540" xr:uid="{00000000-0005-0000-0000-0000F06B0000}"/>
    <cellStyle name="External File Cells 3 3 6 4 2" xfId="18016" xr:uid="{00000000-0005-0000-0000-0000F16B0000}"/>
    <cellStyle name="External File Cells 3 3 6 4 2 2" xfId="37370" xr:uid="{00000000-0005-0000-0000-0000F26B0000}"/>
    <cellStyle name="External File Cells 3 3 6 4 3" xfId="20447" xr:uid="{00000000-0005-0000-0000-0000F36B0000}"/>
    <cellStyle name="External File Cells 3 3 6 4 3 2" xfId="39800" xr:uid="{00000000-0005-0000-0000-0000F46B0000}"/>
    <cellStyle name="External File Cells 3 3 6 4 4" xfId="22960" xr:uid="{00000000-0005-0000-0000-0000F56B0000}"/>
    <cellStyle name="External File Cells 3 3 6 4 4 2" xfId="42302" xr:uid="{00000000-0005-0000-0000-0000F66B0000}"/>
    <cellStyle name="External File Cells 3 3 6 4 5" xfId="34901" xr:uid="{00000000-0005-0000-0000-0000F76B0000}"/>
    <cellStyle name="External File Cells 3 3 6 5" xfId="16209" xr:uid="{00000000-0005-0000-0000-0000F86B0000}"/>
    <cellStyle name="External File Cells 3 3 6 5 2" xfId="35563" xr:uid="{00000000-0005-0000-0000-0000F96B0000}"/>
    <cellStyle name="External File Cells 3 3 6 6" xfId="18640" xr:uid="{00000000-0005-0000-0000-0000FA6B0000}"/>
    <cellStyle name="External File Cells 3 3 6 6 2" xfId="37993" xr:uid="{00000000-0005-0000-0000-0000FB6B0000}"/>
    <cellStyle name="External File Cells 3 3 6 7" xfId="21114" xr:uid="{00000000-0005-0000-0000-0000FC6B0000}"/>
    <cellStyle name="External File Cells 3 3 6 7 2" xfId="40456" xr:uid="{00000000-0005-0000-0000-0000FD6B0000}"/>
    <cellStyle name="External File Cells 3 3 6 8" xfId="33055" xr:uid="{00000000-0005-0000-0000-0000FE6B0000}"/>
    <cellStyle name="External File Cells 3 3 7" xfId="14254" xr:uid="{00000000-0005-0000-0000-0000FF6B0000}"/>
    <cellStyle name="External File Cells 3 3 7 2" xfId="16757" xr:uid="{00000000-0005-0000-0000-0000006C0000}"/>
    <cellStyle name="External File Cells 3 3 7 2 2" xfId="36111" xr:uid="{00000000-0005-0000-0000-0000016C0000}"/>
    <cellStyle name="External File Cells 3 3 7 3" xfId="19188" xr:uid="{00000000-0005-0000-0000-0000026C0000}"/>
    <cellStyle name="External File Cells 3 3 7 3 2" xfId="38541" xr:uid="{00000000-0005-0000-0000-0000036C0000}"/>
    <cellStyle name="External File Cells 3 3 7 4" xfId="21675" xr:uid="{00000000-0005-0000-0000-0000046C0000}"/>
    <cellStyle name="External File Cells 3 3 7 4 2" xfId="41017" xr:uid="{00000000-0005-0000-0000-0000056C0000}"/>
    <cellStyle name="External File Cells 3 3 7 5" xfId="33616" xr:uid="{00000000-0005-0000-0000-0000066C0000}"/>
    <cellStyle name="External File Cells 3 3 8" xfId="13352" xr:uid="{00000000-0005-0000-0000-0000076C0000}"/>
    <cellStyle name="External File Cells 3 3 9" xfId="13207" xr:uid="{00000000-0005-0000-0000-0000086C0000}"/>
    <cellStyle name="External File Cells 3 3 9 2" xfId="32675" xr:uid="{00000000-0005-0000-0000-0000096C0000}"/>
    <cellStyle name="External File Cells 3 4" xfId="13515" xr:uid="{00000000-0005-0000-0000-00000A6C0000}"/>
    <cellStyle name="External File Cells 3 4 2" xfId="13815" xr:uid="{00000000-0005-0000-0000-00000B6C0000}"/>
    <cellStyle name="External File Cells 3 4 2 2" xfId="14610" xr:uid="{00000000-0005-0000-0000-00000C6C0000}"/>
    <cellStyle name="External File Cells 3 4 2 2 2" xfId="17094" xr:uid="{00000000-0005-0000-0000-00000D6C0000}"/>
    <cellStyle name="External File Cells 3 4 2 2 2 2" xfId="36448" xr:uid="{00000000-0005-0000-0000-00000E6C0000}"/>
    <cellStyle name="External File Cells 3 4 2 2 3" xfId="19525" xr:uid="{00000000-0005-0000-0000-00000F6C0000}"/>
    <cellStyle name="External File Cells 3 4 2 2 3 2" xfId="38878" xr:uid="{00000000-0005-0000-0000-0000106C0000}"/>
    <cellStyle name="External File Cells 3 4 2 2 4" xfId="22030" xr:uid="{00000000-0005-0000-0000-0000116C0000}"/>
    <cellStyle name="External File Cells 3 4 2 2 4 2" xfId="41372" xr:uid="{00000000-0005-0000-0000-0000126C0000}"/>
    <cellStyle name="External File Cells 3 4 2 2 5" xfId="33971" xr:uid="{00000000-0005-0000-0000-0000136C0000}"/>
    <cellStyle name="External File Cells 3 4 2 3" xfId="15167" xr:uid="{00000000-0005-0000-0000-0000146C0000}"/>
    <cellStyle name="External File Cells 3 4 2 3 2" xfId="17643" xr:uid="{00000000-0005-0000-0000-0000156C0000}"/>
    <cellStyle name="External File Cells 3 4 2 3 2 2" xfId="36997" xr:uid="{00000000-0005-0000-0000-0000166C0000}"/>
    <cellStyle name="External File Cells 3 4 2 3 3" xfId="20074" xr:uid="{00000000-0005-0000-0000-0000176C0000}"/>
    <cellStyle name="External File Cells 3 4 2 3 3 2" xfId="39427" xr:uid="{00000000-0005-0000-0000-0000186C0000}"/>
    <cellStyle name="External File Cells 3 4 2 3 4" xfId="22587" xr:uid="{00000000-0005-0000-0000-0000196C0000}"/>
    <cellStyle name="External File Cells 3 4 2 3 4 2" xfId="41929" xr:uid="{00000000-0005-0000-0000-00001A6C0000}"/>
    <cellStyle name="External File Cells 3 4 2 3 5" xfId="34528" xr:uid="{00000000-0005-0000-0000-00001B6C0000}"/>
    <cellStyle name="External File Cells 3 4 2 4" xfId="15647" xr:uid="{00000000-0005-0000-0000-00001C6C0000}"/>
    <cellStyle name="External File Cells 3 4 2 4 2" xfId="18123" xr:uid="{00000000-0005-0000-0000-00001D6C0000}"/>
    <cellStyle name="External File Cells 3 4 2 4 2 2" xfId="37477" xr:uid="{00000000-0005-0000-0000-00001E6C0000}"/>
    <cellStyle name="External File Cells 3 4 2 4 3" xfId="20554" xr:uid="{00000000-0005-0000-0000-00001F6C0000}"/>
    <cellStyle name="External File Cells 3 4 2 4 3 2" xfId="39907" xr:uid="{00000000-0005-0000-0000-0000206C0000}"/>
    <cellStyle name="External File Cells 3 4 2 4 4" xfId="23067" xr:uid="{00000000-0005-0000-0000-0000216C0000}"/>
    <cellStyle name="External File Cells 3 4 2 4 4 2" xfId="42409" xr:uid="{00000000-0005-0000-0000-0000226C0000}"/>
    <cellStyle name="External File Cells 3 4 2 4 5" xfId="35008" xr:uid="{00000000-0005-0000-0000-0000236C0000}"/>
    <cellStyle name="External File Cells 3 4 2 5" xfId="16327" xr:uid="{00000000-0005-0000-0000-0000246C0000}"/>
    <cellStyle name="External File Cells 3 4 2 5 2" xfId="35681" xr:uid="{00000000-0005-0000-0000-0000256C0000}"/>
    <cellStyle name="External File Cells 3 4 2 6" xfId="18758" xr:uid="{00000000-0005-0000-0000-0000266C0000}"/>
    <cellStyle name="External File Cells 3 4 2 6 2" xfId="38111" xr:uid="{00000000-0005-0000-0000-0000276C0000}"/>
    <cellStyle name="External File Cells 3 4 2 7" xfId="21238" xr:uid="{00000000-0005-0000-0000-0000286C0000}"/>
    <cellStyle name="External File Cells 3 4 2 7 2" xfId="40580" xr:uid="{00000000-0005-0000-0000-0000296C0000}"/>
    <cellStyle name="External File Cells 3 4 2 8" xfId="33179" xr:uid="{00000000-0005-0000-0000-00002A6C0000}"/>
    <cellStyle name="External File Cells 3 4 3" xfId="14036" xr:uid="{00000000-0005-0000-0000-00002B6C0000}"/>
    <cellStyle name="External File Cells 3 4 3 2" xfId="14831" xr:uid="{00000000-0005-0000-0000-00002C6C0000}"/>
    <cellStyle name="External File Cells 3 4 3 2 2" xfId="17309" xr:uid="{00000000-0005-0000-0000-00002D6C0000}"/>
    <cellStyle name="External File Cells 3 4 3 2 2 2" xfId="36663" xr:uid="{00000000-0005-0000-0000-00002E6C0000}"/>
    <cellStyle name="External File Cells 3 4 3 2 3" xfId="19740" xr:uid="{00000000-0005-0000-0000-00002F6C0000}"/>
    <cellStyle name="External File Cells 3 4 3 2 3 2" xfId="39093" xr:uid="{00000000-0005-0000-0000-0000306C0000}"/>
    <cellStyle name="External File Cells 3 4 3 2 4" xfId="22251" xr:uid="{00000000-0005-0000-0000-0000316C0000}"/>
    <cellStyle name="External File Cells 3 4 3 2 4 2" xfId="41593" xr:uid="{00000000-0005-0000-0000-0000326C0000}"/>
    <cellStyle name="External File Cells 3 4 3 2 5" xfId="34192" xr:uid="{00000000-0005-0000-0000-0000336C0000}"/>
    <cellStyle name="External File Cells 3 4 3 3" xfId="15379" xr:uid="{00000000-0005-0000-0000-0000346C0000}"/>
    <cellStyle name="External File Cells 3 4 3 3 2" xfId="17855" xr:uid="{00000000-0005-0000-0000-0000356C0000}"/>
    <cellStyle name="External File Cells 3 4 3 3 2 2" xfId="37209" xr:uid="{00000000-0005-0000-0000-0000366C0000}"/>
    <cellStyle name="External File Cells 3 4 3 3 3" xfId="20286" xr:uid="{00000000-0005-0000-0000-0000376C0000}"/>
    <cellStyle name="External File Cells 3 4 3 3 3 2" xfId="39639" xr:uid="{00000000-0005-0000-0000-0000386C0000}"/>
    <cellStyle name="External File Cells 3 4 3 3 4" xfId="22799" xr:uid="{00000000-0005-0000-0000-0000396C0000}"/>
    <cellStyle name="External File Cells 3 4 3 3 4 2" xfId="42141" xr:uid="{00000000-0005-0000-0000-00003A6C0000}"/>
    <cellStyle name="External File Cells 3 4 3 3 5" xfId="34740" xr:uid="{00000000-0005-0000-0000-00003B6C0000}"/>
    <cellStyle name="External File Cells 3 4 3 4" xfId="15838" xr:uid="{00000000-0005-0000-0000-00003C6C0000}"/>
    <cellStyle name="External File Cells 3 4 3 4 2" xfId="18314" xr:uid="{00000000-0005-0000-0000-00003D6C0000}"/>
    <cellStyle name="External File Cells 3 4 3 4 2 2" xfId="37668" xr:uid="{00000000-0005-0000-0000-00003E6C0000}"/>
    <cellStyle name="External File Cells 3 4 3 4 3" xfId="20745" xr:uid="{00000000-0005-0000-0000-00003F6C0000}"/>
    <cellStyle name="External File Cells 3 4 3 4 3 2" xfId="40098" xr:uid="{00000000-0005-0000-0000-0000406C0000}"/>
    <cellStyle name="External File Cells 3 4 3 4 4" xfId="23258" xr:uid="{00000000-0005-0000-0000-0000416C0000}"/>
    <cellStyle name="External File Cells 3 4 3 4 4 2" xfId="42600" xr:uid="{00000000-0005-0000-0000-0000426C0000}"/>
    <cellStyle name="External File Cells 3 4 3 4 5" xfId="35199" xr:uid="{00000000-0005-0000-0000-0000436C0000}"/>
    <cellStyle name="External File Cells 3 4 3 5" xfId="16542" xr:uid="{00000000-0005-0000-0000-0000446C0000}"/>
    <cellStyle name="External File Cells 3 4 3 5 2" xfId="35896" xr:uid="{00000000-0005-0000-0000-0000456C0000}"/>
    <cellStyle name="External File Cells 3 4 3 6" xfId="18973" xr:uid="{00000000-0005-0000-0000-0000466C0000}"/>
    <cellStyle name="External File Cells 3 4 3 6 2" xfId="38326" xr:uid="{00000000-0005-0000-0000-0000476C0000}"/>
    <cellStyle name="External File Cells 3 4 3 7" xfId="21459" xr:uid="{00000000-0005-0000-0000-0000486C0000}"/>
    <cellStyle name="External File Cells 3 4 3 7 2" xfId="40801" xr:uid="{00000000-0005-0000-0000-0000496C0000}"/>
    <cellStyle name="External File Cells 3 4 3 8" xfId="33400" xr:uid="{00000000-0005-0000-0000-00004A6C0000}"/>
    <cellStyle name="External File Cells 3 4 4" xfId="14331" xr:uid="{00000000-0005-0000-0000-00004B6C0000}"/>
    <cellStyle name="External File Cells 3 4 4 2" xfId="16827" xr:uid="{00000000-0005-0000-0000-00004C6C0000}"/>
    <cellStyle name="External File Cells 3 4 4 2 2" xfId="36181" xr:uid="{00000000-0005-0000-0000-00004D6C0000}"/>
    <cellStyle name="External File Cells 3 4 4 3" xfId="19258" xr:uid="{00000000-0005-0000-0000-00004E6C0000}"/>
    <cellStyle name="External File Cells 3 4 4 3 2" xfId="38611" xr:uid="{00000000-0005-0000-0000-00004F6C0000}"/>
    <cellStyle name="External File Cells 3 4 4 4" xfId="21751" xr:uid="{00000000-0005-0000-0000-0000506C0000}"/>
    <cellStyle name="External File Cells 3 4 4 4 2" xfId="41093" xr:uid="{00000000-0005-0000-0000-0000516C0000}"/>
    <cellStyle name="External File Cells 3 4 4 5" xfId="33692" xr:uid="{00000000-0005-0000-0000-0000526C0000}"/>
    <cellStyle name="External File Cells 3 4 5" xfId="16075" xr:uid="{00000000-0005-0000-0000-0000536C0000}"/>
    <cellStyle name="External File Cells 3 4 5 2" xfId="35429" xr:uid="{00000000-0005-0000-0000-0000546C0000}"/>
    <cellStyle name="External File Cells 3 4 6" xfId="18476" xr:uid="{00000000-0005-0000-0000-0000556C0000}"/>
    <cellStyle name="External File Cells 3 4 6 2" xfId="37829" xr:uid="{00000000-0005-0000-0000-0000566C0000}"/>
    <cellStyle name="External File Cells 3 4 7" xfId="21008" xr:uid="{00000000-0005-0000-0000-0000576C0000}"/>
    <cellStyle name="External File Cells 3 4 7 2" xfId="40350" xr:uid="{00000000-0005-0000-0000-0000586C0000}"/>
    <cellStyle name="External File Cells 3 4 8" xfId="32890" xr:uid="{00000000-0005-0000-0000-0000596C0000}"/>
    <cellStyle name="External File Cells 4" xfId="2602" xr:uid="{00000000-0005-0000-0000-00005A6C0000}"/>
    <cellStyle name="External File Cells 4 10" xfId="20914" xr:uid="{00000000-0005-0000-0000-00005B6C0000}"/>
    <cellStyle name="External File Cells 4 10 2" xfId="40259" xr:uid="{00000000-0005-0000-0000-00005C6C0000}"/>
    <cellStyle name="External File Cells 4 2" xfId="4179" xr:uid="{00000000-0005-0000-0000-00005D6C0000}"/>
    <cellStyle name="External File Cells 4 2 10" xfId="20967" xr:uid="{00000000-0005-0000-0000-00005E6C0000}"/>
    <cellStyle name="External File Cells 4 2 10 2" xfId="40309" xr:uid="{00000000-0005-0000-0000-00005F6C0000}"/>
    <cellStyle name="External File Cells 4 2 2" xfId="4771" xr:uid="{00000000-0005-0000-0000-0000606C0000}"/>
    <cellStyle name="External File Cells 4 2 2 2" xfId="5989" xr:uid="{00000000-0005-0000-0000-0000616C0000}"/>
    <cellStyle name="External File Cells 4 2 2 2 2" xfId="8330" xr:uid="{00000000-0005-0000-0000-0000626C0000}"/>
    <cellStyle name="External File Cells 4 2 2 2 2 2" xfId="14688" xr:uid="{00000000-0005-0000-0000-0000636C0000}"/>
    <cellStyle name="External File Cells 4 2 2 2 2 2 2" xfId="34049" xr:uid="{00000000-0005-0000-0000-0000646C0000}"/>
    <cellStyle name="External File Cells 4 2 2 2 2 3" xfId="17169" xr:uid="{00000000-0005-0000-0000-0000656C0000}"/>
    <cellStyle name="External File Cells 4 2 2 2 2 3 2" xfId="36523" xr:uid="{00000000-0005-0000-0000-0000666C0000}"/>
    <cellStyle name="External File Cells 4 2 2 2 2 4" xfId="19600" xr:uid="{00000000-0005-0000-0000-0000676C0000}"/>
    <cellStyle name="External File Cells 4 2 2 2 2 4 2" xfId="38953" xr:uid="{00000000-0005-0000-0000-0000686C0000}"/>
    <cellStyle name="External File Cells 4 2 2 2 2 5" xfId="22108" xr:uid="{00000000-0005-0000-0000-0000696C0000}"/>
    <cellStyle name="External File Cells 4 2 2 2 2 5 2" xfId="41450" xr:uid="{00000000-0005-0000-0000-00006A6C0000}"/>
    <cellStyle name="External File Cells 4 2 2 2 2 6" xfId="27811" xr:uid="{00000000-0005-0000-0000-00006B6C0000}"/>
    <cellStyle name="External File Cells 4 2 2 2 3" xfId="15239" xr:uid="{00000000-0005-0000-0000-00006C6C0000}"/>
    <cellStyle name="External File Cells 4 2 2 2 3 2" xfId="17715" xr:uid="{00000000-0005-0000-0000-00006D6C0000}"/>
    <cellStyle name="External File Cells 4 2 2 2 3 2 2" xfId="37069" xr:uid="{00000000-0005-0000-0000-00006E6C0000}"/>
    <cellStyle name="External File Cells 4 2 2 2 3 3" xfId="20146" xr:uid="{00000000-0005-0000-0000-00006F6C0000}"/>
    <cellStyle name="External File Cells 4 2 2 2 3 3 2" xfId="39499" xr:uid="{00000000-0005-0000-0000-0000706C0000}"/>
    <cellStyle name="External File Cells 4 2 2 2 3 4" xfId="22659" xr:uid="{00000000-0005-0000-0000-0000716C0000}"/>
    <cellStyle name="External File Cells 4 2 2 2 3 4 2" xfId="42001" xr:uid="{00000000-0005-0000-0000-0000726C0000}"/>
    <cellStyle name="External File Cells 4 2 2 2 3 5" xfId="34600" xr:uid="{00000000-0005-0000-0000-0000736C0000}"/>
    <cellStyle name="External File Cells 4 2 2 2 4" xfId="13893" xr:uid="{00000000-0005-0000-0000-0000746C0000}"/>
    <cellStyle name="External File Cells 4 2 2 2 4 2" xfId="33257" xr:uid="{00000000-0005-0000-0000-0000756C0000}"/>
    <cellStyle name="External File Cells 4 2 2 2 5" xfId="16402" xr:uid="{00000000-0005-0000-0000-0000766C0000}"/>
    <cellStyle name="External File Cells 4 2 2 2 5 2" xfId="35756" xr:uid="{00000000-0005-0000-0000-0000776C0000}"/>
    <cellStyle name="External File Cells 4 2 2 2 6" xfId="18833" xr:uid="{00000000-0005-0000-0000-0000786C0000}"/>
    <cellStyle name="External File Cells 4 2 2 2 6 2" xfId="38186" xr:uid="{00000000-0005-0000-0000-0000796C0000}"/>
    <cellStyle name="External File Cells 4 2 2 2 7" xfId="21316" xr:uid="{00000000-0005-0000-0000-00007A6C0000}"/>
    <cellStyle name="External File Cells 4 2 2 2 7 2" xfId="40658" xr:uid="{00000000-0005-0000-0000-00007B6C0000}"/>
    <cellStyle name="External File Cells 4 2 2 2 8" xfId="25474" xr:uid="{00000000-0005-0000-0000-00007C6C0000}"/>
    <cellStyle name="External File Cells 4 2 2 3" xfId="8329" xr:uid="{00000000-0005-0000-0000-00007D6C0000}"/>
    <cellStyle name="External File Cells 4 2 2 3 2" xfId="14892" xr:uid="{00000000-0005-0000-0000-00007E6C0000}"/>
    <cellStyle name="External File Cells 4 2 2 3 2 2" xfId="17370" xr:uid="{00000000-0005-0000-0000-00007F6C0000}"/>
    <cellStyle name="External File Cells 4 2 2 3 2 2 2" xfId="36724" xr:uid="{00000000-0005-0000-0000-0000806C0000}"/>
    <cellStyle name="External File Cells 4 2 2 3 2 3" xfId="19801" xr:uid="{00000000-0005-0000-0000-0000816C0000}"/>
    <cellStyle name="External File Cells 4 2 2 3 2 3 2" xfId="39154" xr:uid="{00000000-0005-0000-0000-0000826C0000}"/>
    <cellStyle name="External File Cells 4 2 2 3 2 4" xfId="22312" xr:uid="{00000000-0005-0000-0000-0000836C0000}"/>
    <cellStyle name="External File Cells 4 2 2 3 2 4 2" xfId="41654" xr:uid="{00000000-0005-0000-0000-0000846C0000}"/>
    <cellStyle name="External File Cells 4 2 2 3 2 5" xfId="34253" xr:uid="{00000000-0005-0000-0000-0000856C0000}"/>
    <cellStyle name="External File Cells 4 2 2 3 3" xfId="15439" xr:uid="{00000000-0005-0000-0000-0000866C0000}"/>
    <cellStyle name="External File Cells 4 2 2 3 3 2" xfId="17915" xr:uid="{00000000-0005-0000-0000-0000876C0000}"/>
    <cellStyle name="External File Cells 4 2 2 3 3 2 2" xfId="37269" xr:uid="{00000000-0005-0000-0000-0000886C0000}"/>
    <cellStyle name="External File Cells 4 2 2 3 3 3" xfId="20346" xr:uid="{00000000-0005-0000-0000-0000896C0000}"/>
    <cellStyle name="External File Cells 4 2 2 3 3 3 2" xfId="39699" xr:uid="{00000000-0005-0000-0000-00008A6C0000}"/>
    <cellStyle name="External File Cells 4 2 2 3 3 4" xfId="22859" xr:uid="{00000000-0005-0000-0000-00008B6C0000}"/>
    <cellStyle name="External File Cells 4 2 2 3 3 4 2" xfId="42201" xr:uid="{00000000-0005-0000-0000-00008C6C0000}"/>
    <cellStyle name="External File Cells 4 2 2 3 3 5" xfId="34800" xr:uid="{00000000-0005-0000-0000-00008D6C0000}"/>
    <cellStyle name="External File Cells 4 2 2 3 4" xfId="15898" xr:uid="{00000000-0005-0000-0000-00008E6C0000}"/>
    <cellStyle name="External File Cells 4 2 2 3 4 2" xfId="18374" xr:uid="{00000000-0005-0000-0000-00008F6C0000}"/>
    <cellStyle name="External File Cells 4 2 2 3 4 2 2" xfId="37728" xr:uid="{00000000-0005-0000-0000-0000906C0000}"/>
    <cellStyle name="External File Cells 4 2 2 3 4 3" xfId="20805" xr:uid="{00000000-0005-0000-0000-0000916C0000}"/>
    <cellStyle name="External File Cells 4 2 2 3 4 3 2" xfId="40158" xr:uid="{00000000-0005-0000-0000-0000926C0000}"/>
    <cellStyle name="External File Cells 4 2 2 3 4 4" xfId="23318" xr:uid="{00000000-0005-0000-0000-0000936C0000}"/>
    <cellStyle name="External File Cells 4 2 2 3 4 4 2" xfId="42660" xr:uid="{00000000-0005-0000-0000-0000946C0000}"/>
    <cellStyle name="External File Cells 4 2 2 3 4 5" xfId="35259" xr:uid="{00000000-0005-0000-0000-0000956C0000}"/>
    <cellStyle name="External File Cells 4 2 2 3 5" xfId="14111" xr:uid="{00000000-0005-0000-0000-0000966C0000}"/>
    <cellStyle name="External File Cells 4 2 2 3 5 2" xfId="33475" xr:uid="{00000000-0005-0000-0000-0000976C0000}"/>
    <cellStyle name="External File Cells 4 2 2 3 6" xfId="16617" xr:uid="{00000000-0005-0000-0000-0000986C0000}"/>
    <cellStyle name="External File Cells 4 2 2 3 6 2" xfId="35971" xr:uid="{00000000-0005-0000-0000-0000996C0000}"/>
    <cellStyle name="External File Cells 4 2 2 3 7" xfId="19048" xr:uid="{00000000-0005-0000-0000-00009A6C0000}"/>
    <cellStyle name="External File Cells 4 2 2 3 7 2" xfId="38401" xr:uid="{00000000-0005-0000-0000-00009B6C0000}"/>
    <cellStyle name="External File Cells 4 2 2 3 8" xfId="21534" xr:uid="{00000000-0005-0000-0000-00009C6C0000}"/>
    <cellStyle name="External File Cells 4 2 2 3 8 2" xfId="40876" xr:uid="{00000000-0005-0000-0000-00009D6C0000}"/>
    <cellStyle name="External File Cells 4 2 2 3 9" xfId="27810" xr:uid="{00000000-0005-0000-0000-00009E6C0000}"/>
    <cellStyle name="External File Cells 4 2 2 4" xfId="14403" xr:uid="{00000000-0005-0000-0000-00009F6C0000}"/>
    <cellStyle name="External File Cells 4 2 2 4 2" xfId="16896" xr:uid="{00000000-0005-0000-0000-0000A06C0000}"/>
    <cellStyle name="External File Cells 4 2 2 4 2 2" xfId="36250" xr:uid="{00000000-0005-0000-0000-0000A16C0000}"/>
    <cellStyle name="External File Cells 4 2 2 4 3" xfId="19327" xr:uid="{00000000-0005-0000-0000-0000A26C0000}"/>
    <cellStyle name="External File Cells 4 2 2 4 3 2" xfId="38680" xr:uid="{00000000-0005-0000-0000-0000A36C0000}"/>
    <cellStyle name="External File Cells 4 2 2 4 4" xfId="21823" xr:uid="{00000000-0005-0000-0000-0000A46C0000}"/>
    <cellStyle name="External File Cells 4 2 2 4 4 2" xfId="41165" xr:uid="{00000000-0005-0000-0000-0000A56C0000}"/>
    <cellStyle name="External File Cells 4 2 2 4 5" xfId="33764" xr:uid="{00000000-0005-0000-0000-0000A66C0000}"/>
    <cellStyle name="External File Cells 4 2 2 5" xfId="15033" xr:uid="{00000000-0005-0000-0000-0000A76C0000}"/>
    <cellStyle name="External File Cells 4 2 2 5 2" xfId="17509" xr:uid="{00000000-0005-0000-0000-0000A86C0000}"/>
    <cellStyle name="External File Cells 4 2 2 5 2 2" xfId="36863" xr:uid="{00000000-0005-0000-0000-0000A96C0000}"/>
    <cellStyle name="External File Cells 4 2 2 5 3" xfId="19940" xr:uid="{00000000-0005-0000-0000-0000AA6C0000}"/>
    <cellStyle name="External File Cells 4 2 2 5 3 2" xfId="39293" xr:uid="{00000000-0005-0000-0000-0000AB6C0000}"/>
    <cellStyle name="External File Cells 4 2 2 5 4" xfId="22453" xr:uid="{00000000-0005-0000-0000-0000AC6C0000}"/>
    <cellStyle name="External File Cells 4 2 2 5 4 2" xfId="41795" xr:uid="{00000000-0005-0000-0000-0000AD6C0000}"/>
    <cellStyle name="External File Cells 4 2 2 5 5" xfId="34394" xr:uid="{00000000-0005-0000-0000-0000AE6C0000}"/>
    <cellStyle name="External File Cells 4 2 2 6" xfId="14200" xr:uid="{00000000-0005-0000-0000-0000AF6C0000}"/>
    <cellStyle name="External File Cells 4 2 2 6 2" xfId="16704" xr:uid="{00000000-0005-0000-0000-0000B06C0000}"/>
    <cellStyle name="External File Cells 4 2 2 6 2 2" xfId="36058" xr:uid="{00000000-0005-0000-0000-0000B16C0000}"/>
    <cellStyle name="External File Cells 4 2 2 6 3" xfId="19135" xr:uid="{00000000-0005-0000-0000-0000B26C0000}"/>
    <cellStyle name="External File Cells 4 2 2 6 3 2" xfId="38488" xr:uid="{00000000-0005-0000-0000-0000B36C0000}"/>
    <cellStyle name="External File Cells 4 2 2 6 4" xfId="21622" xr:uid="{00000000-0005-0000-0000-0000B46C0000}"/>
    <cellStyle name="External File Cells 4 2 2 6 4 2" xfId="40964" xr:uid="{00000000-0005-0000-0000-0000B56C0000}"/>
    <cellStyle name="External File Cells 4 2 2 6 5" xfId="33563" xr:uid="{00000000-0005-0000-0000-0000B66C0000}"/>
    <cellStyle name="External File Cells 4 2 2 7" xfId="16123" xr:uid="{00000000-0005-0000-0000-0000B76C0000}"/>
    <cellStyle name="External File Cells 4 2 2 7 2" xfId="35477" xr:uid="{00000000-0005-0000-0000-0000B86C0000}"/>
    <cellStyle name="External File Cells 4 2 2 8" xfId="18546" xr:uid="{00000000-0005-0000-0000-0000B96C0000}"/>
    <cellStyle name="External File Cells 4 2 2 8 2" xfId="37899" xr:uid="{00000000-0005-0000-0000-0000BA6C0000}"/>
    <cellStyle name="External File Cells 4 2 3" xfId="4718" xr:uid="{00000000-0005-0000-0000-0000BB6C0000}"/>
    <cellStyle name="External File Cells 4 2 3 2" xfId="5352" xr:uid="{00000000-0005-0000-0000-0000BC6C0000}"/>
    <cellStyle name="External File Cells 4 2 3 2 2" xfId="6691" xr:uid="{00000000-0005-0000-0000-0000BD6C0000}"/>
    <cellStyle name="External File Cells 4 2 3 2 2 2" xfId="14755" xr:uid="{00000000-0005-0000-0000-0000BE6C0000}"/>
    <cellStyle name="External File Cells 4 2 3 2 2 2 2" xfId="34116" xr:uid="{00000000-0005-0000-0000-0000BF6C0000}"/>
    <cellStyle name="External File Cells 4 2 3 2 2 3" xfId="17233" xr:uid="{00000000-0005-0000-0000-0000C06C0000}"/>
    <cellStyle name="External File Cells 4 2 3 2 2 3 2" xfId="36587" xr:uid="{00000000-0005-0000-0000-0000C16C0000}"/>
    <cellStyle name="External File Cells 4 2 3 2 2 4" xfId="19664" xr:uid="{00000000-0005-0000-0000-0000C26C0000}"/>
    <cellStyle name="External File Cells 4 2 3 2 2 4 2" xfId="39017" xr:uid="{00000000-0005-0000-0000-0000C36C0000}"/>
    <cellStyle name="External File Cells 4 2 3 2 2 5" xfId="22175" xr:uid="{00000000-0005-0000-0000-0000C46C0000}"/>
    <cellStyle name="External File Cells 4 2 3 2 2 5 2" xfId="41517" xr:uid="{00000000-0005-0000-0000-0000C56C0000}"/>
    <cellStyle name="External File Cells 4 2 3 2 2 6" xfId="26176" xr:uid="{00000000-0005-0000-0000-0000C66C0000}"/>
    <cellStyle name="External File Cells 4 2 3 2 3" xfId="15303" xr:uid="{00000000-0005-0000-0000-0000C76C0000}"/>
    <cellStyle name="External File Cells 4 2 3 2 3 2" xfId="17779" xr:uid="{00000000-0005-0000-0000-0000C86C0000}"/>
    <cellStyle name="External File Cells 4 2 3 2 3 2 2" xfId="37133" xr:uid="{00000000-0005-0000-0000-0000C96C0000}"/>
    <cellStyle name="External File Cells 4 2 3 2 3 3" xfId="20210" xr:uid="{00000000-0005-0000-0000-0000CA6C0000}"/>
    <cellStyle name="External File Cells 4 2 3 2 3 3 2" xfId="39563" xr:uid="{00000000-0005-0000-0000-0000CB6C0000}"/>
    <cellStyle name="External File Cells 4 2 3 2 3 4" xfId="22723" xr:uid="{00000000-0005-0000-0000-0000CC6C0000}"/>
    <cellStyle name="External File Cells 4 2 3 2 3 4 2" xfId="42065" xr:uid="{00000000-0005-0000-0000-0000CD6C0000}"/>
    <cellStyle name="External File Cells 4 2 3 2 3 5" xfId="34664" xr:uid="{00000000-0005-0000-0000-0000CE6C0000}"/>
    <cellStyle name="External File Cells 4 2 3 2 4" xfId="15762" xr:uid="{00000000-0005-0000-0000-0000CF6C0000}"/>
    <cellStyle name="External File Cells 4 2 3 2 4 2" xfId="18238" xr:uid="{00000000-0005-0000-0000-0000D06C0000}"/>
    <cellStyle name="External File Cells 4 2 3 2 4 2 2" xfId="37592" xr:uid="{00000000-0005-0000-0000-0000D16C0000}"/>
    <cellStyle name="External File Cells 4 2 3 2 4 3" xfId="20669" xr:uid="{00000000-0005-0000-0000-0000D26C0000}"/>
    <cellStyle name="External File Cells 4 2 3 2 4 3 2" xfId="40022" xr:uid="{00000000-0005-0000-0000-0000D36C0000}"/>
    <cellStyle name="External File Cells 4 2 3 2 4 4" xfId="23182" xr:uid="{00000000-0005-0000-0000-0000D46C0000}"/>
    <cellStyle name="External File Cells 4 2 3 2 4 4 2" xfId="42524" xr:uid="{00000000-0005-0000-0000-0000D56C0000}"/>
    <cellStyle name="External File Cells 4 2 3 2 4 5" xfId="35123" xr:uid="{00000000-0005-0000-0000-0000D66C0000}"/>
    <cellStyle name="External File Cells 4 2 3 2 5" xfId="13960" xr:uid="{00000000-0005-0000-0000-0000D76C0000}"/>
    <cellStyle name="External File Cells 4 2 3 2 5 2" xfId="33324" xr:uid="{00000000-0005-0000-0000-0000D86C0000}"/>
    <cellStyle name="External File Cells 4 2 3 2 6" xfId="16466" xr:uid="{00000000-0005-0000-0000-0000D96C0000}"/>
    <cellStyle name="External File Cells 4 2 3 2 6 2" xfId="35820" xr:uid="{00000000-0005-0000-0000-0000DA6C0000}"/>
    <cellStyle name="External File Cells 4 2 3 2 7" xfId="18897" xr:uid="{00000000-0005-0000-0000-0000DB6C0000}"/>
    <cellStyle name="External File Cells 4 2 3 2 7 2" xfId="38250" xr:uid="{00000000-0005-0000-0000-0000DC6C0000}"/>
    <cellStyle name="External File Cells 4 2 3 2 8" xfId="21383" xr:uid="{00000000-0005-0000-0000-0000DD6C0000}"/>
    <cellStyle name="External File Cells 4 2 3 2 8 2" xfId="40725" xr:uid="{00000000-0005-0000-0000-0000DE6C0000}"/>
    <cellStyle name="External File Cells 4 2 3 2 9" xfId="24843" xr:uid="{00000000-0005-0000-0000-0000DF6C0000}"/>
    <cellStyle name="External File Cells 4 2 3 3" xfId="6629" xr:uid="{00000000-0005-0000-0000-0000E06C0000}"/>
    <cellStyle name="External File Cells 4 2 3 3 2" xfId="14950" xr:uid="{00000000-0005-0000-0000-0000E16C0000}"/>
    <cellStyle name="External File Cells 4 2 3 3 2 2" xfId="17428" xr:uid="{00000000-0005-0000-0000-0000E26C0000}"/>
    <cellStyle name="External File Cells 4 2 3 3 2 2 2" xfId="36782" xr:uid="{00000000-0005-0000-0000-0000E36C0000}"/>
    <cellStyle name="External File Cells 4 2 3 3 2 3" xfId="19859" xr:uid="{00000000-0005-0000-0000-0000E46C0000}"/>
    <cellStyle name="External File Cells 4 2 3 3 2 3 2" xfId="39212" xr:uid="{00000000-0005-0000-0000-0000E56C0000}"/>
    <cellStyle name="External File Cells 4 2 3 3 2 4" xfId="22370" xr:uid="{00000000-0005-0000-0000-0000E66C0000}"/>
    <cellStyle name="External File Cells 4 2 3 3 2 4 2" xfId="41712" xr:uid="{00000000-0005-0000-0000-0000E76C0000}"/>
    <cellStyle name="External File Cells 4 2 3 3 2 5" xfId="34311" xr:uid="{00000000-0005-0000-0000-0000E86C0000}"/>
    <cellStyle name="External File Cells 4 2 3 3 3" xfId="15496" xr:uid="{00000000-0005-0000-0000-0000E96C0000}"/>
    <cellStyle name="External File Cells 4 2 3 3 3 2" xfId="17972" xr:uid="{00000000-0005-0000-0000-0000EA6C0000}"/>
    <cellStyle name="External File Cells 4 2 3 3 3 2 2" xfId="37326" xr:uid="{00000000-0005-0000-0000-0000EB6C0000}"/>
    <cellStyle name="External File Cells 4 2 3 3 3 3" xfId="20403" xr:uid="{00000000-0005-0000-0000-0000EC6C0000}"/>
    <cellStyle name="External File Cells 4 2 3 3 3 3 2" xfId="39756" xr:uid="{00000000-0005-0000-0000-0000ED6C0000}"/>
    <cellStyle name="External File Cells 4 2 3 3 3 4" xfId="22916" xr:uid="{00000000-0005-0000-0000-0000EE6C0000}"/>
    <cellStyle name="External File Cells 4 2 3 3 3 4 2" xfId="42258" xr:uid="{00000000-0005-0000-0000-0000EF6C0000}"/>
    <cellStyle name="External File Cells 4 2 3 3 3 5" xfId="34857" xr:uid="{00000000-0005-0000-0000-0000F06C0000}"/>
    <cellStyle name="External File Cells 4 2 3 3 4" xfId="15955" xr:uid="{00000000-0005-0000-0000-0000F16C0000}"/>
    <cellStyle name="External File Cells 4 2 3 3 4 2" xfId="18431" xr:uid="{00000000-0005-0000-0000-0000F26C0000}"/>
    <cellStyle name="External File Cells 4 2 3 3 4 2 2" xfId="37785" xr:uid="{00000000-0005-0000-0000-0000F36C0000}"/>
    <cellStyle name="External File Cells 4 2 3 3 4 3" xfId="20862" xr:uid="{00000000-0005-0000-0000-0000F46C0000}"/>
    <cellStyle name="External File Cells 4 2 3 3 4 3 2" xfId="40215" xr:uid="{00000000-0005-0000-0000-0000F56C0000}"/>
    <cellStyle name="External File Cells 4 2 3 3 4 4" xfId="23375" xr:uid="{00000000-0005-0000-0000-0000F66C0000}"/>
    <cellStyle name="External File Cells 4 2 3 3 4 4 2" xfId="42717" xr:uid="{00000000-0005-0000-0000-0000F76C0000}"/>
    <cellStyle name="External File Cells 4 2 3 3 4 5" xfId="35316" xr:uid="{00000000-0005-0000-0000-0000F86C0000}"/>
    <cellStyle name="External File Cells 4 2 3 3 5" xfId="14173" xr:uid="{00000000-0005-0000-0000-0000F96C0000}"/>
    <cellStyle name="External File Cells 4 2 3 3 5 2" xfId="33537" xr:uid="{00000000-0005-0000-0000-0000FA6C0000}"/>
    <cellStyle name="External File Cells 4 2 3 3 6" xfId="16679" xr:uid="{00000000-0005-0000-0000-0000FB6C0000}"/>
    <cellStyle name="External File Cells 4 2 3 3 6 2" xfId="36033" xr:uid="{00000000-0005-0000-0000-0000FC6C0000}"/>
    <cellStyle name="External File Cells 4 2 3 3 7" xfId="19110" xr:uid="{00000000-0005-0000-0000-0000FD6C0000}"/>
    <cellStyle name="External File Cells 4 2 3 3 7 2" xfId="38463" xr:uid="{00000000-0005-0000-0000-0000FE6C0000}"/>
    <cellStyle name="External File Cells 4 2 3 3 8" xfId="21596" xr:uid="{00000000-0005-0000-0000-0000FF6C0000}"/>
    <cellStyle name="External File Cells 4 2 3 3 8 2" xfId="40938" xr:uid="{00000000-0005-0000-0000-0000006D0000}"/>
    <cellStyle name="External File Cells 4 2 3 3 9" xfId="26114" xr:uid="{00000000-0005-0000-0000-0000016D0000}"/>
    <cellStyle name="External File Cells 4 2 3 4" xfId="14470" xr:uid="{00000000-0005-0000-0000-0000026D0000}"/>
    <cellStyle name="External File Cells 4 2 3 4 2" xfId="16960" xr:uid="{00000000-0005-0000-0000-0000036D0000}"/>
    <cellStyle name="External File Cells 4 2 3 4 2 2" xfId="36314" xr:uid="{00000000-0005-0000-0000-0000046D0000}"/>
    <cellStyle name="External File Cells 4 2 3 4 3" xfId="19391" xr:uid="{00000000-0005-0000-0000-0000056D0000}"/>
    <cellStyle name="External File Cells 4 2 3 4 3 2" xfId="38744" xr:uid="{00000000-0005-0000-0000-0000066D0000}"/>
    <cellStyle name="External File Cells 4 2 3 4 4" xfId="21890" xr:uid="{00000000-0005-0000-0000-0000076D0000}"/>
    <cellStyle name="External File Cells 4 2 3 4 4 2" xfId="41232" xr:uid="{00000000-0005-0000-0000-0000086D0000}"/>
    <cellStyle name="External File Cells 4 2 3 4 5" xfId="33831" xr:uid="{00000000-0005-0000-0000-0000096D0000}"/>
    <cellStyle name="External File Cells 4 2 3 5" xfId="13662" xr:uid="{00000000-0005-0000-0000-00000A6D0000}"/>
    <cellStyle name="External File Cells 4 2 3 5 2" xfId="33028" xr:uid="{00000000-0005-0000-0000-00000B6D0000}"/>
    <cellStyle name="External File Cells 4 2 3 6" xfId="16182" xr:uid="{00000000-0005-0000-0000-00000C6D0000}"/>
    <cellStyle name="External File Cells 4 2 3 6 2" xfId="35536" xr:uid="{00000000-0005-0000-0000-00000D6D0000}"/>
    <cellStyle name="External File Cells 4 2 3 7" xfId="18613" xr:uid="{00000000-0005-0000-0000-00000E6D0000}"/>
    <cellStyle name="External File Cells 4 2 3 7 2" xfId="37966" xr:uid="{00000000-0005-0000-0000-00000F6D0000}"/>
    <cellStyle name="External File Cells 4 2 3 8" xfId="21087" xr:uid="{00000000-0005-0000-0000-0000106D0000}"/>
    <cellStyle name="External File Cells 4 2 3 8 2" xfId="40429" xr:uid="{00000000-0005-0000-0000-0000116D0000}"/>
    <cellStyle name="External File Cells 4 2 4" xfId="13780" xr:uid="{00000000-0005-0000-0000-0000126D0000}"/>
    <cellStyle name="External File Cells 4 2 4 2" xfId="14579" xr:uid="{00000000-0005-0000-0000-0000136D0000}"/>
    <cellStyle name="External File Cells 4 2 4 2 2" xfId="17066" xr:uid="{00000000-0005-0000-0000-0000146D0000}"/>
    <cellStyle name="External File Cells 4 2 4 2 2 2" xfId="36420" xr:uid="{00000000-0005-0000-0000-0000156D0000}"/>
    <cellStyle name="External File Cells 4 2 4 2 3" xfId="19497" xr:uid="{00000000-0005-0000-0000-0000166D0000}"/>
    <cellStyle name="External File Cells 4 2 4 2 3 2" xfId="38850" xr:uid="{00000000-0005-0000-0000-0000176D0000}"/>
    <cellStyle name="External File Cells 4 2 4 2 4" xfId="21999" xr:uid="{00000000-0005-0000-0000-0000186D0000}"/>
    <cellStyle name="External File Cells 4 2 4 2 4 2" xfId="41341" xr:uid="{00000000-0005-0000-0000-0000196D0000}"/>
    <cellStyle name="External File Cells 4 2 4 2 5" xfId="33940" xr:uid="{00000000-0005-0000-0000-00001A6D0000}"/>
    <cellStyle name="External File Cells 4 2 4 3" xfId="15139" xr:uid="{00000000-0005-0000-0000-00001B6D0000}"/>
    <cellStyle name="External File Cells 4 2 4 3 2" xfId="17615" xr:uid="{00000000-0005-0000-0000-00001C6D0000}"/>
    <cellStyle name="External File Cells 4 2 4 3 2 2" xfId="36969" xr:uid="{00000000-0005-0000-0000-00001D6D0000}"/>
    <cellStyle name="External File Cells 4 2 4 3 3" xfId="20046" xr:uid="{00000000-0005-0000-0000-00001E6D0000}"/>
    <cellStyle name="External File Cells 4 2 4 3 3 2" xfId="39399" xr:uid="{00000000-0005-0000-0000-00001F6D0000}"/>
    <cellStyle name="External File Cells 4 2 4 3 4" xfId="22559" xr:uid="{00000000-0005-0000-0000-0000206D0000}"/>
    <cellStyle name="External File Cells 4 2 4 3 4 2" xfId="41901" xr:uid="{00000000-0005-0000-0000-0000216D0000}"/>
    <cellStyle name="External File Cells 4 2 4 3 5" xfId="34500" xr:uid="{00000000-0005-0000-0000-0000226D0000}"/>
    <cellStyle name="External File Cells 4 2 4 4" xfId="15620" xr:uid="{00000000-0005-0000-0000-0000236D0000}"/>
    <cellStyle name="External File Cells 4 2 4 4 2" xfId="18096" xr:uid="{00000000-0005-0000-0000-0000246D0000}"/>
    <cellStyle name="External File Cells 4 2 4 4 2 2" xfId="37450" xr:uid="{00000000-0005-0000-0000-0000256D0000}"/>
    <cellStyle name="External File Cells 4 2 4 4 3" xfId="20527" xr:uid="{00000000-0005-0000-0000-0000266D0000}"/>
    <cellStyle name="External File Cells 4 2 4 4 3 2" xfId="39880" xr:uid="{00000000-0005-0000-0000-0000276D0000}"/>
    <cellStyle name="External File Cells 4 2 4 4 4" xfId="23040" xr:uid="{00000000-0005-0000-0000-0000286D0000}"/>
    <cellStyle name="External File Cells 4 2 4 4 4 2" xfId="42382" xr:uid="{00000000-0005-0000-0000-0000296D0000}"/>
    <cellStyle name="External File Cells 4 2 4 4 5" xfId="34981" xr:uid="{00000000-0005-0000-0000-00002A6D0000}"/>
    <cellStyle name="External File Cells 4 2 4 5" xfId="16295" xr:uid="{00000000-0005-0000-0000-00002B6D0000}"/>
    <cellStyle name="External File Cells 4 2 4 5 2" xfId="35649" xr:uid="{00000000-0005-0000-0000-00002C6D0000}"/>
    <cellStyle name="External File Cells 4 2 4 6" xfId="18726" xr:uid="{00000000-0005-0000-0000-00002D6D0000}"/>
    <cellStyle name="External File Cells 4 2 4 6 2" xfId="38079" xr:uid="{00000000-0005-0000-0000-00002E6D0000}"/>
    <cellStyle name="External File Cells 4 2 4 7" xfId="21203" xr:uid="{00000000-0005-0000-0000-00002F6D0000}"/>
    <cellStyle name="External File Cells 4 2 4 7 2" xfId="40545" xr:uid="{00000000-0005-0000-0000-0000306D0000}"/>
    <cellStyle name="External File Cells 4 2 4 8" xfId="33144" xr:uid="{00000000-0005-0000-0000-0000316D0000}"/>
    <cellStyle name="External File Cells 4 2 5" xfId="14009" xr:uid="{00000000-0005-0000-0000-0000326D0000}"/>
    <cellStyle name="External File Cells 4 2 5 2" xfId="14804" xr:uid="{00000000-0005-0000-0000-0000336D0000}"/>
    <cellStyle name="External File Cells 4 2 5 2 2" xfId="17282" xr:uid="{00000000-0005-0000-0000-0000346D0000}"/>
    <cellStyle name="External File Cells 4 2 5 2 2 2" xfId="36636" xr:uid="{00000000-0005-0000-0000-0000356D0000}"/>
    <cellStyle name="External File Cells 4 2 5 2 3" xfId="19713" xr:uid="{00000000-0005-0000-0000-0000366D0000}"/>
    <cellStyle name="External File Cells 4 2 5 2 3 2" xfId="39066" xr:uid="{00000000-0005-0000-0000-0000376D0000}"/>
    <cellStyle name="External File Cells 4 2 5 2 4" xfId="22224" xr:uid="{00000000-0005-0000-0000-0000386D0000}"/>
    <cellStyle name="External File Cells 4 2 5 2 4 2" xfId="41566" xr:uid="{00000000-0005-0000-0000-0000396D0000}"/>
    <cellStyle name="External File Cells 4 2 5 2 5" xfId="34165" xr:uid="{00000000-0005-0000-0000-00003A6D0000}"/>
    <cellStyle name="External File Cells 4 2 5 3" xfId="15352" xr:uid="{00000000-0005-0000-0000-00003B6D0000}"/>
    <cellStyle name="External File Cells 4 2 5 3 2" xfId="17828" xr:uid="{00000000-0005-0000-0000-00003C6D0000}"/>
    <cellStyle name="External File Cells 4 2 5 3 2 2" xfId="37182" xr:uid="{00000000-0005-0000-0000-00003D6D0000}"/>
    <cellStyle name="External File Cells 4 2 5 3 3" xfId="20259" xr:uid="{00000000-0005-0000-0000-00003E6D0000}"/>
    <cellStyle name="External File Cells 4 2 5 3 3 2" xfId="39612" xr:uid="{00000000-0005-0000-0000-00003F6D0000}"/>
    <cellStyle name="External File Cells 4 2 5 3 4" xfId="22772" xr:uid="{00000000-0005-0000-0000-0000406D0000}"/>
    <cellStyle name="External File Cells 4 2 5 3 4 2" xfId="42114" xr:uid="{00000000-0005-0000-0000-0000416D0000}"/>
    <cellStyle name="External File Cells 4 2 5 3 5" xfId="34713" xr:uid="{00000000-0005-0000-0000-0000426D0000}"/>
    <cellStyle name="External File Cells 4 2 5 4" xfId="15811" xr:uid="{00000000-0005-0000-0000-0000436D0000}"/>
    <cellStyle name="External File Cells 4 2 5 4 2" xfId="18287" xr:uid="{00000000-0005-0000-0000-0000446D0000}"/>
    <cellStyle name="External File Cells 4 2 5 4 2 2" xfId="37641" xr:uid="{00000000-0005-0000-0000-0000456D0000}"/>
    <cellStyle name="External File Cells 4 2 5 4 3" xfId="20718" xr:uid="{00000000-0005-0000-0000-0000466D0000}"/>
    <cellStyle name="External File Cells 4 2 5 4 3 2" xfId="40071" xr:uid="{00000000-0005-0000-0000-0000476D0000}"/>
    <cellStyle name="External File Cells 4 2 5 4 4" xfId="23231" xr:uid="{00000000-0005-0000-0000-0000486D0000}"/>
    <cellStyle name="External File Cells 4 2 5 4 4 2" xfId="42573" xr:uid="{00000000-0005-0000-0000-0000496D0000}"/>
    <cellStyle name="External File Cells 4 2 5 4 5" xfId="35172" xr:uid="{00000000-0005-0000-0000-00004A6D0000}"/>
    <cellStyle name="External File Cells 4 2 5 5" xfId="16515" xr:uid="{00000000-0005-0000-0000-00004B6D0000}"/>
    <cellStyle name="External File Cells 4 2 5 5 2" xfId="35869" xr:uid="{00000000-0005-0000-0000-00004C6D0000}"/>
    <cellStyle name="External File Cells 4 2 5 6" xfId="18946" xr:uid="{00000000-0005-0000-0000-00004D6D0000}"/>
    <cellStyle name="External File Cells 4 2 5 6 2" xfId="38299" xr:uid="{00000000-0005-0000-0000-00004E6D0000}"/>
    <cellStyle name="External File Cells 4 2 5 7" xfId="21432" xr:uid="{00000000-0005-0000-0000-00004F6D0000}"/>
    <cellStyle name="External File Cells 4 2 5 7 2" xfId="40774" xr:uid="{00000000-0005-0000-0000-0000506D0000}"/>
    <cellStyle name="External File Cells 4 2 5 8" xfId="33373" xr:uid="{00000000-0005-0000-0000-0000516D0000}"/>
    <cellStyle name="External File Cells 4 2 6" xfId="14298" xr:uid="{00000000-0005-0000-0000-0000526D0000}"/>
    <cellStyle name="External File Cells 4 2 6 2" xfId="16797" xr:uid="{00000000-0005-0000-0000-0000536D0000}"/>
    <cellStyle name="External File Cells 4 2 6 2 2" xfId="36151" xr:uid="{00000000-0005-0000-0000-0000546D0000}"/>
    <cellStyle name="External File Cells 4 2 6 3" xfId="19228" xr:uid="{00000000-0005-0000-0000-0000556D0000}"/>
    <cellStyle name="External File Cells 4 2 6 3 2" xfId="38581" xr:uid="{00000000-0005-0000-0000-0000566D0000}"/>
    <cellStyle name="External File Cells 4 2 6 4" xfId="21718" xr:uid="{00000000-0005-0000-0000-0000576D0000}"/>
    <cellStyle name="External File Cells 4 2 6 4 2" xfId="41060" xr:uid="{00000000-0005-0000-0000-0000586D0000}"/>
    <cellStyle name="External File Cells 4 2 6 5" xfId="33659" xr:uid="{00000000-0005-0000-0000-0000596D0000}"/>
    <cellStyle name="External File Cells 4 2 7" xfId="13467" xr:uid="{00000000-0005-0000-0000-00005A6D0000}"/>
    <cellStyle name="External File Cells 4 2 7 2" xfId="32846" xr:uid="{00000000-0005-0000-0000-00005B6D0000}"/>
    <cellStyle name="External File Cells 4 2 8" xfId="16037" xr:uid="{00000000-0005-0000-0000-00005C6D0000}"/>
    <cellStyle name="External File Cells 4 2 8 2" xfId="35391" xr:uid="{00000000-0005-0000-0000-00005D6D0000}"/>
    <cellStyle name="External File Cells 4 2 9" xfId="13287" xr:uid="{00000000-0005-0000-0000-00005E6D0000}"/>
    <cellStyle name="External File Cells 4 2 9 2" xfId="32732" xr:uid="{00000000-0005-0000-0000-00005F6D0000}"/>
    <cellStyle name="External File Cells 4 3" xfId="4576" xr:uid="{00000000-0005-0000-0000-0000606D0000}"/>
    <cellStyle name="External File Cells 4 3 10" xfId="20939" xr:uid="{00000000-0005-0000-0000-0000616D0000}"/>
    <cellStyle name="External File Cells 4 3 10 2" xfId="40281" xr:uid="{00000000-0005-0000-0000-0000626D0000}"/>
    <cellStyle name="External File Cells 4 3 2" xfId="5217" xr:uid="{00000000-0005-0000-0000-0000636D0000}"/>
    <cellStyle name="External File Cells 4 3 2 10" xfId="24708" xr:uid="{00000000-0005-0000-0000-0000646D0000}"/>
    <cellStyle name="External File Cells 4 3 2 2" xfId="6688" xr:uid="{00000000-0005-0000-0000-0000656D0000}"/>
    <cellStyle name="External File Cells 4 3 2 2 2" xfId="14659" xr:uid="{00000000-0005-0000-0000-0000666D0000}"/>
    <cellStyle name="External File Cells 4 3 2 2 2 2" xfId="17140" xr:uid="{00000000-0005-0000-0000-0000676D0000}"/>
    <cellStyle name="External File Cells 4 3 2 2 2 2 2" xfId="36494" xr:uid="{00000000-0005-0000-0000-0000686D0000}"/>
    <cellStyle name="External File Cells 4 3 2 2 2 3" xfId="19571" xr:uid="{00000000-0005-0000-0000-0000696D0000}"/>
    <cellStyle name="External File Cells 4 3 2 2 2 3 2" xfId="38924" xr:uid="{00000000-0005-0000-0000-00006A6D0000}"/>
    <cellStyle name="External File Cells 4 3 2 2 2 4" xfId="22079" xr:uid="{00000000-0005-0000-0000-00006B6D0000}"/>
    <cellStyle name="External File Cells 4 3 2 2 2 4 2" xfId="41421" xr:uid="{00000000-0005-0000-0000-00006C6D0000}"/>
    <cellStyle name="External File Cells 4 3 2 2 2 5" xfId="34020" xr:uid="{00000000-0005-0000-0000-00006D6D0000}"/>
    <cellStyle name="External File Cells 4 3 2 2 3" xfId="15212" xr:uid="{00000000-0005-0000-0000-00006E6D0000}"/>
    <cellStyle name="External File Cells 4 3 2 2 3 2" xfId="17688" xr:uid="{00000000-0005-0000-0000-00006F6D0000}"/>
    <cellStyle name="External File Cells 4 3 2 2 3 2 2" xfId="37042" xr:uid="{00000000-0005-0000-0000-0000706D0000}"/>
    <cellStyle name="External File Cells 4 3 2 2 3 3" xfId="20119" xr:uid="{00000000-0005-0000-0000-0000716D0000}"/>
    <cellStyle name="External File Cells 4 3 2 2 3 3 2" xfId="39472" xr:uid="{00000000-0005-0000-0000-0000726D0000}"/>
    <cellStyle name="External File Cells 4 3 2 2 3 4" xfId="22632" xr:uid="{00000000-0005-0000-0000-0000736D0000}"/>
    <cellStyle name="External File Cells 4 3 2 2 3 4 2" xfId="41974" xr:uid="{00000000-0005-0000-0000-0000746D0000}"/>
    <cellStyle name="External File Cells 4 3 2 2 3 5" xfId="34573" xr:uid="{00000000-0005-0000-0000-0000756D0000}"/>
    <cellStyle name="External File Cells 4 3 2 2 4" xfId="13864" xr:uid="{00000000-0005-0000-0000-0000766D0000}"/>
    <cellStyle name="External File Cells 4 3 2 2 4 2" xfId="33228" xr:uid="{00000000-0005-0000-0000-0000776D0000}"/>
    <cellStyle name="External File Cells 4 3 2 2 5" xfId="16373" xr:uid="{00000000-0005-0000-0000-0000786D0000}"/>
    <cellStyle name="External File Cells 4 3 2 2 5 2" xfId="35727" xr:uid="{00000000-0005-0000-0000-0000796D0000}"/>
    <cellStyle name="External File Cells 4 3 2 2 6" xfId="18804" xr:uid="{00000000-0005-0000-0000-00007A6D0000}"/>
    <cellStyle name="External File Cells 4 3 2 2 6 2" xfId="38157" xr:uid="{00000000-0005-0000-0000-00007B6D0000}"/>
    <cellStyle name="External File Cells 4 3 2 2 7" xfId="21287" xr:uid="{00000000-0005-0000-0000-00007C6D0000}"/>
    <cellStyle name="External File Cells 4 3 2 2 7 2" xfId="40629" xr:uid="{00000000-0005-0000-0000-00007D6D0000}"/>
    <cellStyle name="External File Cells 4 3 2 2 8" xfId="26173" xr:uid="{00000000-0005-0000-0000-00007E6D0000}"/>
    <cellStyle name="External File Cells 4 3 2 3" xfId="14082" xr:uid="{00000000-0005-0000-0000-00007F6D0000}"/>
    <cellStyle name="External File Cells 4 3 2 3 2" xfId="14869" xr:uid="{00000000-0005-0000-0000-0000806D0000}"/>
    <cellStyle name="External File Cells 4 3 2 3 2 2" xfId="17347" xr:uid="{00000000-0005-0000-0000-0000816D0000}"/>
    <cellStyle name="External File Cells 4 3 2 3 2 2 2" xfId="36701" xr:uid="{00000000-0005-0000-0000-0000826D0000}"/>
    <cellStyle name="External File Cells 4 3 2 3 2 3" xfId="19778" xr:uid="{00000000-0005-0000-0000-0000836D0000}"/>
    <cellStyle name="External File Cells 4 3 2 3 2 3 2" xfId="39131" xr:uid="{00000000-0005-0000-0000-0000846D0000}"/>
    <cellStyle name="External File Cells 4 3 2 3 2 4" xfId="22289" xr:uid="{00000000-0005-0000-0000-0000856D0000}"/>
    <cellStyle name="External File Cells 4 3 2 3 2 4 2" xfId="41631" xr:uid="{00000000-0005-0000-0000-0000866D0000}"/>
    <cellStyle name="External File Cells 4 3 2 3 2 5" xfId="34230" xr:uid="{00000000-0005-0000-0000-0000876D0000}"/>
    <cellStyle name="External File Cells 4 3 2 3 3" xfId="15416" xr:uid="{00000000-0005-0000-0000-0000886D0000}"/>
    <cellStyle name="External File Cells 4 3 2 3 3 2" xfId="17892" xr:uid="{00000000-0005-0000-0000-0000896D0000}"/>
    <cellStyle name="External File Cells 4 3 2 3 3 2 2" xfId="37246" xr:uid="{00000000-0005-0000-0000-00008A6D0000}"/>
    <cellStyle name="External File Cells 4 3 2 3 3 3" xfId="20323" xr:uid="{00000000-0005-0000-0000-00008B6D0000}"/>
    <cellStyle name="External File Cells 4 3 2 3 3 3 2" xfId="39676" xr:uid="{00000000-0005-0000-0000-00008C6D0000}"/>
    <cellStyle name="External File Cells 4 3 2 3 3 4" xfId="22836" xr:uid="{00000000-0005-0000-0000-00008D6D0000}"/>
    <cellStyle name="External File Cells 4 3 2 3 3 4 2" xfId="42178" xr:uid="{00000000-0005-0000-0000-00008E6D0000}"/>
    <cellStyle name="External File Cells 4 3 2 3 3 5" xfId="34777" xr:uid="{00000000-0005-0000-0000-00008F6D0000}"/>
    <cellStyle name="External File Cells 4 3 2 3 4" xfId="15875" xr:uid="{00000000-0005-0000-0000-0000906D0000}"/>
    <cellStyle name="External File Cells 4 3 2 3 4 2" xfId="18351" xr:uid="{00000000-0005-0000-0000-0000916D0000}"/>
    <cellStyle name="External File Cells 4 3 2 3 4 2 2" xfId="37705" xr:uid="{00000000-0005-0000-0000-0000926D0000}"/>
    <cellStyle name="External File Cells 4 3 2 3 4 3" xfId="20782" xr:uid="{00000000-0005-0000-0000-0000936D0000}"/>
    <cellStyle name="External File Cells 4 3 2 3 4 3 2" xfId="40135" xr:uid="{00000000-0005-0000-0000-0000946D0000}"/>
    <cellStyle name="External File Cells 4 3 2 3 4 4" xfId="23295" xr:uid="{00000000-0005-0000-0000-0000956D0000}"/>
    <cellStyle name="External File Cells 4 3 2 3 4 4 2" xfId="42637" xr:uid="{00000000-0005-0000-0000-0000966D0000}"/>
    <cellStyle name="External File Cells 4 3 2 3 4 5" xfId="35236" xr:uid="{00000000-0005-0000-0000-0000976D0000}"/>
    <cellStyle name="External File Cells 4 3 2 3 5" xfId="16588" xr:uid="{00000000-0005-0000-0000-0000986D0000}"/>
    <cellStyle name="External File Cells 4 3 2 3 5 2" xfId="35942" xr:uid="{00000000-0005-0000-0000-0000996D0000}"/>
    <cellStyle name="External File Cells 4 3 2 3 6" xfId="19019" xr:uid="{00000000-0005-0000-0000-00009A6D0000}"/>
    <cellStyle name="External File Cells 4 3 2 3 6 2" xfId="38372" xr:uid="{00000000-0005-0000-0000-00009B6D0000}"/>
    <cellStyle name="External File Cells 4 3 2 3 7" xfId="21505" xr:uid="{00000000-0005-0000-0000-00009C6D0000}"/>
    <cellStyle name="External File Cells 4 3 2 3 7 2" xfId="40847" xr:uid="{00000000-0005-0000-0000-00009D6D0000}"/>
    <cellStyle name="External File Cells 4 3 2 3 8" xfId="33446" xr:uid="{00000000-0005-0000-0000-00009E6D0000}"/>
    <cellStyle name="External File Cells 4 3 2 4" xfId="14377" xr:uid="{00000000-0005-0000-0000-00009F6D0000}"/>
    <cellStyle name="External File Cells 4 3 2 4 2" xfId="16870" xr:uid="{00000000-0005-0000-0000-0000A06D0000}"/>
    <cellStyle name="External File Cells 4 3 2 4 2 2" xfId="36224" xr:uid="{00000000-0005-0000-0000-0000A16D0000}"/>
    <cellStyle name="External File Cells 4 3 2 4 3" xfId="19301" xr:uid="{00000000-0005-0000-0000-0000A26D0000}"/>
    <cellStyle name="External File Cells 4 3 2 4 3 2" xfId="38654" xr:uid="{00000000-0005-0000-0000-0000A36D0000}"/>
    <cellStyle name="External File Cells 4 3 2 4 4" xfId="21797" xr:uid="{00000000-0005-0000-0000-0000A46D0000}"/>
    <cellStyle name="External File Cells 4 3 2 4 4 2" xfId="41139" xr:uid="{00000000-0005-0000-0000-0000A56D0000}"/>
    <cellStyle name="External File Cells 4 3 2 4 5" xfId="33738" xr:uid="{00000000-0005-0000-0000-0000A66D0000}"/>
    <cellStyle name="External File Cells 4 3 2 5" xfId="15008" xr:uid="{00000000-0005-0000-0000-0000A76D0000}"/>
    <cellStyle name="External File Cells 4 3 2 5 2" xfId="17484" xr:uid="{00000000-0005-0000-0000-0000A86D0000}"/>
    <cellStyle name="External File Cells 4 3 2 5 2 2" xfId="36838" xr:uid="{00000000-0005-0000-0000-0000A96D0000}"/>
    <cellStyle name="External File Cells 4 3 2 5 3" xfId="19915" xr:uid="{00000000-0005-0000-0000-0000AA6D0000}"/>
    <cellStyle name="External File Cells 4 3 2 5 3 2" xfId="39268" xr:uid="{00000000-0005-0000-0000-0000AB6D0000}"/>
    <cellStyle name="External File Cells 4 3 2 5 4" xfId="22428" xr:uid="{00000000-0005-0000-0000-0000AC6D0000}"/>
    <cellStyle name="External File Cells 4 3 2 5 4 2" xfId="41770" xr:uid="{00000000-0005-0000-0000-0000AD6D0000}"/>
    <cellStyle name="External File Cells 4 3 2 5 5" xfId="34369" xr:uid="{00000000-0005-0000-0000-0000AE6D0000}"/>
    <cellStyle name="External File Cells 4 3 2 6" xfId="14198" xr:uid="{00000000-0005-0000-0000-0000AF6D0000}"/>
    <cellStyle name="External File Cells 4 3 2 6 2" xfId="16702" xr:uid="{00000000-0005-0000-0000-0000B06D0000}"/>
    <cellStyle name="External File Cells 4 3 2 6 2 2" xfId="36056" xr:uid="{00000000-0005-0000-0000-0000B16D0000}"/>
    <cellStyle name="External File Cells 4 3 2 6 3" xfId="19133" xr:uid="{00000000-0005-0000-0000-0000B26D0000}"/>
    <cellStyle name="External File Cells 4 3 2 6 3 2" xfId="38486" xr:uid="{00000000-0005-0000-0000-0000B36D0000}"/>
    <cellStyle name="External File Cells 4 3 2 6 4" xfId="21620" xr:uid="{00000000-0005-0000-0000-0000B46D0000}"/>
    <cellStyle name="External File Cells 4 3 2 6 4 2" xfId="40962" xr:uid="{00000000-0005-0000-0000-0000B56D0000}"/>
    <cellStyle name="External File Cells 4 3 2 6 5" xfId="33561" xr:uid="{00000000-0005-0000-0000-0000B66D0000}"/>
    <cellStyle name="External File Cells 4 3 2 7" xfId="13566" xr:uid="{00000000-0005-0000-0000-0000B76D0000}"/>
    <cellStyle name="External File Cells 4 3 2 7 2" xfId="32935" xr:uid="{00000000-0005-0000-0000-0000B86D0000}"/>
    <cellStyle name="External File Cells 4 3 2 8" xfId="16107" xr:uid="{00000000-0005-0000-0000-0000B96D0000}"/>
    <cellStyle name="External File Cells 4 3 2 8 2" xfId="35461" xr:uid="{00000000-0005-0000-0000-0000BA6D0000}"/>
    <cellStyle name="External File Cells 4 3 2 9" xfId="18520" xr:uid="{00000000-0005-0000-0000-0000BB6D0000}"/>
    <cellStyle name="External File Cells 4 3 2 9 2" xfId="37873" xr:uid="{00000000-0005-0000-0000-0000BC6D0000}"/>
    <cellStyle name="External File Cells 4 3 3" xfId="6626" xr:uid="{00000000-0005-0000-0000-0000BD6D0000}"/>
    <cellStyle name="External File Cells 4 3 3 2" xfId="13934" xr:uid="{00000000-0005-0000-0000-0000BE6D0000}"/>
    <cellStyle name="External File Cells 4 3 3 2 2" xfId="14729" xr:uid="{00000000-0005-0000-0000-0000BF6D0000}"/>
    <cellStyle name="External File Cells 4 3 3 2 2 2" xfId="17207" xr:uid="{00000000-0005-0000-0000-0000C06D0000}"/>
    <cellStyle name="External File Cells 4 3 3 2 2 2 2" xfId="36561" xr:uid="{00000000-0005-0000-0000-0000C16D0000}"/>
    <cellStyle name="External File Cells 4 3 3 2 2 3" xfId="19638" xr:uid="{00000000-0005-0000-0000-0000C26D0000}"/>
    <cellStyle name="External File Cells 4 3 3 2 2 3 2" xfId="38991" xr:uid="{00000000-0005-0000-0000-0000C36D0000}"/>
    <cellStyle name="External File Cells 4 3 3 2 2 4" xfId="22149" xr:uid="{00000000-0005-0000-0000-0000C46D0000}"/>
    <cellStyle name="External File Cells 4 3 3 2 2 4 2" xfId="41491" xr:uid="{00000000-0005-0000-0000-0000C56D0000}"/>
    <cellStyle name="External File Cells 4 3 3 2 2 5" xfId="34090" xr:uid="{00000000-0005-0000-0000-0000C66D0000}"/>
    <cellStyle name="External File Cells 4 3 3 2 3" xfId="15277" xr:uid="{00000000-0005-0000-0000-0000C76D0000}"/>
    <cellStyle name="External File Cells 4 3 3 2 3 2" xfId="17753" xr:uid="{00000000-0005-0000-0000-0000C86D0000}"/>
    <cellStyle name="External File Cells 4 3 3 2 3 2 2" xfId="37107" xr:uid="{00000000-0005-0000-0000-0000C96D0000}"/>
    <cellStyle name="External File Cells 4 3 3 2 3 3" xfId="20184" xr:uid="{00000000-0005-0000-0000-0000CA6D0000}"/>
    <cellStyle name="External File Cells 4 3 3 2 3 3 2" xfId="39537" xr:uid="{00000000-0005-0000-0000-0000CB6D0000}"/>
    <cellStyle name="External File Cells 4 3 3 2 3 4" xfId="22697" xr:uid="{00000000-0005-0000-0000-0000CC6D0000}"/>
    <cellStyle name="External File Cells 4 3 3 2 3 4 2" xfId="42039" xr:uid="{00000000-0005-0000-0000-0000CD6D0000}"/>
    <cellStyle name="External File Cells 4 3 3 2 3 5" xfId="34638" xr:uid="{00000000-0005-0000-0000-0000CE6D0000}"/>
    <cellStyle name="External File Cells 4 3 3 2 4" xfId="15736" xr:uid="{00000000-0005-0000-0000-0000CF6D0000}"/>
    <cellStyle name="External File Cells 4 3 3 2 4 2" xfId="18212" xr:uid="{00000000-0005-0000-0000-0000D06D0000}"/>
    <cellStyle name="External File Cells 4 3 3 2 4 2 2" xfId="37566" xr:uid="{00000000-0005-0000-0000-0000D16D0000}"/>
    <cellStyle name="External File Cells 4 3 3 2 4 3" xfId="20643" xr:uid="{00000000-0005-0000-0000-0000D26D0000}"/>
    <cellStyle name="External File Cells 4 3 3 2 4 3 2" xfId="39996" xr:uid="{00000000-0005-0000-0000-0000D36D0000}"/>
    <cellStyle name="External File Cells 4 3 3 2 4 4" xfId="23156" xr:uid="{00000000-0005-0000-0000-0000D46D0000}"/>
    <cellStyle name="External File Cells 4 3 3 2 4 4 2" xfId="42498" xr:uid="{00000000-0005-0000-0000-0000D56D0000}"/>
    <cellStyle name="External File Cells 4 3 3 2 4 5" xfId="35097" xr:uid="{00000000-0005-0000-0000-0000D66D0000}"/>
    <cellStyle name="External File Cells 4 3 3 2 5" xfId="16440" xr:uid="{00000000-0005-0000-0000-0000D76D0000}"/>
    <cellStyle name="External File Cells 4 3 3 2 5 2" xfId="35794" xr:uid="{00000000-0005-0000-0000-0000D86D0000}"/>
    <cellStyle name="External File Cells 4 3 3 2 6" xfId="18871" xr:uid="{00000000-0005-0000-0000-0000D96D0000}"/>
    <cellStyle name="External File Cells 4 3 3 2 6 2" xfId="38224" xr:uid="{00000000-0005-0000-0000-0000DA6D0000}"/>
    <cellStyle name="External File Cells 4 3 3 2 7" xfId="21357" xr:uid="{00000000-0005-0000-0000-0000DB6D0000}"/>
    <cellStyle name="External File Cells 4 3 3 2 7 2" xfId="40699" xr:uid="{00000000-0005-0000-0000-0000DC6D0000}"/>
    <cellStyle name="External File Cells 4 3 3 2 8" xfId="33298" xr:uid="{00000000-0005-0000-0000-0000DD6D0000}"/>
    <cellStyle name="External File Cells 4 3 3 3" xfId="14149" xr:uid="{00000000-0005-0000-0000-0000DE6D0000}"/>
    <cellStyle name="External File Cells 4 3 3 3 2" xfId="14926" xr:uid="{00000000-0005-0000-0000-0000DF6D0000}"/>
    <cellStyle name="External File Cells 4 3 3 3 2 2" xfId="17404" xr:uid="{00000000-0005-0000-0000-0000E06D0000}"/>
    <cellStyle name="External File Cells 4 3 3 3 2 2 2" xfId="36758" xr:uid="{00000000-0005-0000-0000-0000E16D0000}"/>
    <cellStyle name="External File Cells 4 3 3 3 2 3" xfId="19835" xr:uid="{00000000-0005-0000-0000-0000E26D0000}"/>
    <cellStyle name="External File Cells 4 3 3 3 2 3 2" xfId="39188" xr:uid="{00000000-0005-0000-0000-0000E36D0000}"/>
    <cellStyle name="External File Cells 4 3 3 3 2 4" xfId="22346" xr:uid="{00000000-0005-0000-0000-0000E46D0000}"/>
    <cellStyle name="External File Cells 4 3 3 3 2 4 2" xfId="41688" xr:uid="{00000000-0005-0000-0000-0000E56D0000}"/>
    <cellStyle name="External File Cells 4 3 3 3 2 5" xfId="34287" xr:uid="{00000000-0005-0000-0000-0000E66D0000}"/>
    <cellStyle name="External File Cells 4 3 3 3 3" xfId="15472" xr:uid="{00000000-0005-0000-0000-0000E76D0000}"/>
    <cellStyle name="External File Cells 4 3 3 3 3 2" xfId="17948" xr:uid="{00000000-0005-0000-0000-0000E86D0000}"/>
    <cellStyle name="External File Cells 4 3 3 3 3 2 2" xfId="37302" xr:uid="{00000000-0005-0000-0000-0000E96D0000}"/>
    <cellStyle name="External File Cells 4 3 3 3 3 3" xfId="20379" xr:uid="{00000000-0005-0000-0000-0000EA6D0000}"/>
    <cellStyle name="External File Cells 4 3 3 3 3 3 2" xfId="39732" xr:uid="{00000000-0005-0000-0000-0000EB6D0000}"/>
    <cellStyle name="External File Cells 4 3 3 3 3 4" xfId="22892" xr:uid="{00000000-0005-0000-0000-0000EC6D0000}"/>
    <cellStyle name="External File Cells 4 3 3 3 3 4 2" xfId="42234" xr:uid="{00000000-0005-0000-0000-0000ED6D0000}"/>
    <cellStyle name="External File Cells 4 3 3 3 3 5" xfId="34833" xr:uid="{00000000-0005-0000-0000-0000EE6D0000}"/>
    <cellStyle name="External File Cells 4 3 3 3 4" xfId="15931" xr:uid="{00000000-0005-0000-0000-0000EF6D0000}"/>
    <cellStyle name="External File Cells 4 3 3 3 4 2" xfId="18407" xr:uid="{00000000-0005-0000-0000-0000F06D0000}"/>
    <cellStyle name="External File Cells 4 3 3 3 4 2 2" xfId="37761" xr:uid="{00000000-0005-0000-0000-0000F16D0000}"/>
    <cellStyle name="External File Cells 4 3 3 3 4 3" xfId="20838" xr:uid="{00000000-0005-0000-0000-0000F26D0000}"/>
    <cellStyle name="External File Cells 4 3 3 3 4 3 2" xfId="40191" xr:uid="{00000000-0005-0000-0000-0000F36D0000}"/>
    <cellStyle name="External File Cells 4 3 3 3 4 4" xfId="23351" xr:uid="{00000000-0005-0000-0000-0000F46D0000}"/>
    <cellStyle name="External File Cells 4 3 3 3 4 4 2" xfId="42693" xr:uid="{00000000-0005-0000-0000-0000F56D0000}"/>
    <cellStyle name="External File Cells 4 3 3 3 4 5" xfId="35292" xr:uid="{00000000-0005-0000-0000-0000F66D0000}"/>
    <cellStyle name="External File Cells 4 3 3 3 5" xfId="16655" xr:uid="{00000000-0005-0000-0000-0000F76D0000}"/>
    <cellStyle name="External File Cells 4 3 3 3 5 2" xfId="36009" xr:uid="{00000000-0005-0000-0000-0000F86D0000}"/>
    <cellStyle name="External File Cells 4 3 3 3 6" xfId="19086" xr:uid="{00000000-0005-0000-0000-0000F96D0000}"/>
    <cellStyle name="External File Cells 4 3 3 3 6 2" xfId="38439" xr:uid="{00000000-0005-0000-0000-0000FA6D0000}"/>
    <cellStyle name="External File Cells 4 3 3 3 7" xfId="21572" xr:uid="{00000000-0005-0000-0000-0000FB6D0000}"/>
    <cellStyle name="External File Cells 4 3 3 3 7 2" xfId="40914" xr:uid="{00000000-0005-0000-0000-0000FC6D0000}"/>
    <cellStyle name="External File Cells 4 3 3 3 8" xfId="33513" xr:uid="{00000000-0005-0000-0000-0000FD6D0000}"/>
    <cellStyle name="External File Cells 4 3 3 4" xfId="14444" xr:uid="{00000000-0005-0000-0000-0000FE6D0000}"/>
    <cellStyle name="External File Cells 4 3 3 4 2" xfId="16934" xr:uid="{00000000-0005-0000-0000-0000FF6D0000}"/>
    <cellStyle name="External File Cells 4 3 3 4 2 2" xfId="36288" xr:uid="{00000000-0005-0000-0000-0000006E0000}"/>
    <cellStyle name="External File Cells 4 3 3 4 3" xfId="19365" xr:uid="{00000000-0005-0000-0000-0000016E0000}"/>
    <cellStyle name="External File Cells 4 3 3 4 3 2" xfId="38718" xr:uid="{00000000-0005-0000-0000-0000026E0000}"/>
    <cellStyle name="External File Cells 4 3 3 4 4" xfId="21864" xr:uid="{00000000-0005-0000-0000-0000036E0000}"/>
    <cellStyle name="External File Cells 4 3 3 4 4 2" xfId="41206" xr:uid="{00000000-0005-0000-0000-0000046E0000}"/>
    <cellStyle name="External File Cells 4 3 3 4 5" xfId="33805" xr:uid="{00000000-0005-0000-0000-0000056E0000}"/>
    <cellStyle name="External File Cells 4 3 3 5" xfId="13634" xr:uid="{00000000-0005-0000-0000-0000066E0000}"/>
    <cellStyle name="External File Cells 4 3 3 5 2" xfId="33000" xr:uid="{00000000-0005-0000-0000-0000076E0000}"/>
    <cellStyle name="External File Cells 4 3 3 6" xfId="16154" xr:uid="{00000000-0005-0000-0000-0000086E0000}"/>
    <cellStyle name="External File Cells 4 3 3 6 2" xfId="35508" xr:uid="{00000000-0005-0000-0000-0000096E0000}"/>
    <cellStyle name="External File Cells 4 3 3 7" xfId="18585" xr:uid="{00000000-0005-0000-0000-00000A6E0000}"/>
    <cellStyle name="External File Cells 4 3 3 7 2" xfId="37938" xr:uid="{00000000-0005-0000-0000-00000B6E0000}"/>
    <cellStyle name="External File Cells 4 3 3 8" xfId="21059" xr:uid="{00000000-0005-0000-0000-00000C6E0000}"/>
    <cellStyle name="External File Cells 4 3 3 8 2" xfId="40401" xr:uid="{00000000-0005-0000-0000-00000D6E0000}"/>
    <cellStyle name="External File Cells 4 3 3 9" xfId="26111" xr:uid="{00000000-0005-0000-0000-00000E6E0000}"/>
    <cellStyle name="External File Cells 4 3 4" xfId="13767" xr:uid="{00000000-0005-0000-0000-00000F6E0000}"/>
    <cellStyle name="External File Cells 4 3 4 2" xfId="14566" xr:uid="{00000000-0005-0000-0000-0000106E0000}"/>
    <cellStyle name="External File Cells 4 3 4 2 2" xfId="17053" xr:uid="{00000000-0005-0000-0000-0000116E0000}"/>
    <cellStyle name="External File Cells 4 3 4 2 2 2" xfId="36407" xr:uid="{00000000-0005-0000-0000-0000126E0000}"/>
    <cellStyle name="External File Cells 4 3 4 2 3" xfId="19484" xr:uid="{00000000-0005-0000-0000-0000136E0000}"/>
    <cellStyle name="External File Cells 4 3 4 2 3 2" xfId="38837" xr:uid="{00000000-0005-0000-0000-0000146E0000}"/>
    <cellStyle name="External File Cells 4 3 4 2 4" xfId="21986" xr:uid="{00000000-0005-0000-0000-0000156E0000}"/>
    <cellStyle name="External File Cells 4 3 4 2 4 2" xfId="41328" xr:uid="{00000000-0005-0000-0000-0000166E0000}"/>
    <cellStyle name="External File Cells 4 3 4 2 5" xfId="33927" xr:uid="{00000000-0005-0000-0000-0000176E0000}"/>
    <cellStyle name="External File Cells 4 3 4 3" xfId="15127" xr:uid="{00000000-0005-0000-0000-0000186E0000}"/>
    <cellStyle name="External File Cells 4 3 4 3 2" xfId="17603" xr:uid="{00000000-0005-0000-0000-0000196E0000}"/>
    <cellStyle name="External File Cells 4 3 4 3 2 2" xfId="36957" xr:uid="{00000000-0005-0000-0000-00001A6E0000}"/>
    <cellStyle name="External File Cells 4 3 4 3 3" xfId="20034" xr:uid="{00000000-0005-0000-0000-00001B6E0000}"/>
    <cellStyle name="External File Cells 4 3 4 3 3 2" xfId="39387" xr:uid="{00000000-0005-0000-0000-00001C6E0000}"/>
    <cellStyle name="External File Cells 4 3 4 3 4" xfId="22547" xr:uid="{00000000-0005-0000-0000-00001D6E0000}"/>
    <cellStyle name="External File Cells 4 3 4 3 4 2" xfId="41889" xr:uid="{00000000-0005-0000-0000-00001E6E0000}"/>
    <cellStyle name="External File Cells 4 3 4 3 5" xfId="34488" xr:uid="{00000000-0005-0000-0000-00001F6E0000}"/>
    <cellStyle name="External File Cells 4 3 4 4" xfId="15608" xr:uid="{00000000-0005-0000-0000-0000206E0000}"/>
    <cellStyle name="External File Cells 4 3 4 4 2" xfId="18084" xr:uid="{00000000-0005-0000-0000-0000216E0000}"/>
    <cellStyle name="External File Cells 4 3 4 4 2 2" xfId="37438" xr:uid="{00000000-0005-0000-0000-0000226E0000}"/>
    <cellStyle name="External File Cells 4 3 4 4 3" xfId="20515" xr:uid="{00000000-0005-0000-0000-0000236E0000}"/>
    <cellStyle name="External File Cells 4 3 4 4 3 2" xfId="39868" xr:uid="{00000000-0005-0000-0000-0000246E0000}"/>
    <cellStyle name="External File Cells 4 3 4 4 4" xfId="23028" xr:uid="{00000000-0005-0000-0000-0000256E0000}"/>
    <cellStyle name="External File Cells 4 3 4 4 4 2" xfId="42370" xr:uid="{00000000-0005-0000-0000-0000266E0000}"/>
    <cellStyle name="External File Cells 4 3 4 4 5" xfId="34969" xr:uid="{00000000-0005-0000-0000-0000276E0000}"/>
    <cellStyle name="External File Cells 4 3 4 5" xfId="16282" xr:uid="{00000000-0005-0000-0000-0000286E0000}"/>
    <cellStyle name="External File Cells 4 3 4 5 2" xfId="35636" xr:uid="{00000000-0005-0000-0000-0000296E0000}"/>
    <cellStyle name="External File Cells 4 3 4 6" xfId="18713" xr:uid="{00000000-0005-0000-0000-00002A6E0000}"/>
    <cellStyle name="External File Cells 4 3 4 6 2" xfId="38066" xr:uid="{00000000-0005-0000-0000-00002B6E0000}"/>
    <cellStyle name="External File Cells 4 3 4 7" xfId="21190" xr:uid="{00000000-0005-0000-0000-00002C6E0000}"/>
    <cellStyle name="External File Cells 4 3 4 7 2" xfId="40532" xr:uid="{00000000-0005-0000-0000-00002D6E0000}"/>
    <cellStyle name="External File Cells 4 3 4 8" xfId="33131" xr:uid="{00000000-0005-0000-0000-00002E6E0000}"/>
    <cellStyle name="External File Cells 4 3 5" xfId="13988" xr:uid="{00000000-0005-0000-0000-00002F6E0000}"/>
    <cellStyle name="External File Cells 4 3 5 2" xfId="14783" xr:uid="{00000000-0005-0000-0000-0000306E0000}"/>
    <cellStyle name="External File Cells 4 3 5 2 2" xfId="17261" xr:uid="{00000000-0005-0000-0000-0000316E0000}"/>
    <cellStyle name="External File Cells 4 3 5 2 2 2" xfId="36615" xr:uid="{00000000-0005-0000-0000-0000326E0000}"/>
    <cellStyle name="External File Cells 4 3 5 2 3" xfId="19692" xr:uid="{00000000-0005-0000-0000-0000336E0000}"/>
    <cellStyle name="External File Cells 4 3 5 2 3 2" xfId="39045" xr:uid="{00000000-0005-0000-0000-0000346E0000}"/>
    <cellStyle name="External File Cells 4 3 5 2 4" xfId="22203" xr:uid="{00000000-0005-0000-0000-0000356E0000}"/>
    <cellStyle name="External File Cells 4 3 5 2 4 2" xfId="41545" xr:uid="{00000000-0005-0000-0000-0000366E0000}"/>
    <cellStyle name="External File Cells 4 3 5 2 5" xfId="34144" xr:uid="{00000000-0005-0000-0000-0000376E0000}"/>
    <cellStyle name="External File Cells 4 3 5 3" xfId="15331" xr:uid="{00000000-0005-0000-0000-0000386E0000}"/>
    <cellStyle name="External File Cells 4 3 5 3 2" xfId="17807" xr:uid="{00000000-0005-0000-0000-0000396E0000}"/>
    <cellStyle name="External File Cells 4 3 5 3 2 2" xfId="37161" xr:uid="{00000000-0005-0000-0000-00003A6E0000}"/>
    <cellStyle name="External File Cells 4 3 5 3 3" xfId="20238" xr:uid="{00000000-0005-0000-0000-00003B6E0000}"/>
    <cellStyle name="External File Cells 4 3 5 3 3 2" xfId="39591" xr:uid="{00000000-0005-0000-0000-00003C6E0000}"/>
    <cellStyle name="External File Cells 4 3 5 3 4" xfId="22751" xr:uid="{00000000-0005-0000-0000-00003D6E0000}"/>
    <cellStyle name="External File Cells 4 3 5 3 4 2" xfId="42093" xr:uid="{00000000-0005-0000-0000-00003E6E0000}"/>
    <cellStyle name="External File Cells 4 3 5 3 5" xfId="34692" xr:uid="{00000000-0005-0000-0000-00003F6E0000}"/>
    <cellStyle name="External File Cells 4 3 5 4" xfId="15790" xr:uid="{00000000-0005-0000-0000-0000406E0000}"/>
    <cellStyle name="External File Cells 4 3 5 4 2" xfId="18266" xr:uid="{00000000-0005-0000-0000-0000416E0000}"/>
    <cellStyle name="External File Cells 4 3 5 4 2 2" xfId="37620" xr:uid="{00000000-0005-0000-0000-0000426E0000}"/>
    <cellStyle name="External File Cells 4 3 5 4 3" xfId="20697" xr:uid="{00000000-0005-0000-0000-0000436E0000}"/>
    <cellStyle name="External File Cells 4 3 5 4 3 2" xfId="40050" xr:uid="{00000000-0005-0000-0000-0000446E0000}"/>
    <cellStyle name="External File Cells 4 3 5 4 4" xfId="23210" xr:uid="{00000000-0005-0000-0000-0000456E0000}"/>
    <cellStyle name="External File Cells 4 3 5 4 4 2" xfId="42552" xr:uid="{00000000-0005-0000-0000-0000466E0000}"/>
    <cellStyle name="External File Cells 4 3 5 4 5" xfId="35151" xr:uid="{00000000-0005-0000-0000-0000476E0000}"/>
    <cellStyle name="External File Cells 4 3 5 5" xfId="16494" xr:uid="{00000000-0005-0000-0000-0000486E0000}"/>
    <cellStyle name="External File Cells 4 3 5 5 2" xfId="35848" xr:uid="{00000000-0005-0000-0000-0000496E0000}"/>
    <cellStyle name="External File Cells 4 3 5 6" xfId="18925" xr:uid="{00000000-0005-0000-0000-00004A6E0000}"/>
    <cellStyle name="External File Cells 4 3 5 6 2" xfId="38278" xr:uid="{00000000-0005-0000-0000-00004B6E0000}"/>
    <cellStyle name="External File Cells 4 3 5 7" xfId="21411" xr:uid="{00000000-0005-0000-0000-00004C6E0000}"/>
    <cellStyle name="External File Cells 4 3 5 7 2" xfId="40753" xr:uid="{00000000-0005-0000-0000-00004D6E0000}"/>
    <cellStyle name="External File Cells 4 3 5 8" xfId="33352" xr:uid="{00000000-0005-0000-0000-00004E6E0000}"/>
    <cellStyle name="External File Cells 4 3 6" xfId="14284" xr:uid="{00000000-0005-0000-0000-00004F6E0000}"/>
    <cellStyle name="External File Cells 4 3 6 2" xfId="16783" xr:uid="{00000000-0005-0000-0000-0000506E0000}"/>
    <cellStyle name="External File Cells 4 3 6 2 2" xfId="36137" xr:uid="{00000000-0005-0000-0000-0000516E0000}"/>
    <cellStyle name="External File Cells 4 3 6 3" xfId="19214" xr:uid="{00000000-0005-0000-0000-0000526E0000}"/>
    <cellStyle name="External File Cells 4 3 6 3 2" xfId="38567" xr:uid="{00000000-0005-0000-0000-0000536E0000}"/>
    <cellStyle name="External File Cells 4 3 6 4" xfId="21704" xr:uid="{00000000-0005-0000-0000-0000546E0000}"/>
    <cellStyle name="External File Cells 4 3 6 4 2" xfId="41046" xr:uid="{00000000-0005-0000-0000-0000556E0000}"/>
    <cellStyle name="External File Cells 4 3 6 5" xfId="33645" xr:uid="{00000000-0005-0000-0000-0000566E0000}"/>
    <cellStyle name="External File Cells 4 3 7" xfId="13438" xr:uid="{00000000-0005-0000-0000-0000576E0000}"/>
    <cellStyle name="External File Cells 4 3 7 2" xfId="32817" xr:uid="{00000000-0005-0000-0000-0000586E0000}"/>
    <cellStyle name="External File Cells 4 3 8" xfId="16008" xr:uid="{00000000-0005-0000-0000-0000596E0000}"/>
    <cellStyle name="External File Cells 4 3 8 2" xfId="35362" xr:uid="{00000000-0005-0000-0000-00005A6E0000}"/>
    <cellStyle name="External File Cells 4 3 9" xfId="13192" xr:uid="{00000000-0005-0000-0000-00005B6E0000}"/>
    <cellStyle name="External File Cells 4 3 9 2" xfId="32660" xr:uid="{00000000-0005-0000-0000-00005C6E0000}"/>
    <cellStyle name="External File Cells 4 4" xfId="4910" xr:uid="{00000000-0005-0000-0000-00005D6E0000}"/>
    <cellStyle name="External File Cells 4 4 10" xfId="24404" xr:uid="{00000000-0005-0000-0000-00005E6E0000}"/>
    <cellStyle name="External File Cells 4 4 2" xfId="6662" xr:uid="{00000000-0005-0000-0000-00005F6E0000}"/>
    <cellStyle name="External File Cells 4 4 2 2" xfId="14629" xr:uid="{00000000-0005-0000-0000-0000606E0000}"/>
    <cellStyle name="External File Cells 4 4 2 2 2" xfId="17113" xr:uid="{00000000-0005-0000-0000-0000616E0000}"/>
    <cellStyle name="External File Cells 4 4 2 2 2 2" xfId="36467" xr:uid="{00000000-0005-0000-0000-0000626E0000}"/>
    <cellStyle name="External File Cells 4 4 2 2 3" xfId="19544" xr:uid="{00000000-0005-0000-0000-0000636E0000}"/>
    <cellStyle name="External File Cells 4 4 2 2 3 2" xfId="38897" xr:uid="{00000000-0005-0000-0000-0000646E0000}"/>
    <cellStyle name="External File Cells 4 4 2 2 4" xfId="22049" xr:uid="{00000000-0005-0000-0000-0000656E0000}"/>
    <cellStyle name="External File Cells 4 4 2 2 4 2" xfId="41391" xr:uid="{00000000-0005-0000-0000-0000666E0000}"/>
    <cellStyle name="External File Cells 4 4 2 2 5" xfId="33990" xr:uid="{00000000-0005-0000-0000-0000676E0000}"/>
    <cellStyle name="External File Cells 4 4 2 3" xfId="15185" xr:uid="{00000000-0005-0000-0000-0000686E0000}"/>
    <cellStyle name="External File Cells 4 4 2 3 2" xfId="17661" xr:uid="{00000000-0005-0000-0000-0000696E0000}"/>
    <cellStyle name="External File Cells 4 4 2 3 2 2" xfId="37015" xr:uid="{00000000-0005-0000-0000-00006A6E0000}"/>
    <cellStyle name="External File Cells 4 4 2 3 3" xfId="20092" xr:uid="{00000000-0005-0000-0000-00006B6E0000}"/>
    <cellStyle name="External File Cells 4 4 2 3 3 2" xfId="39445" xr:uid="{00000000-0005-0000-0000-00006C6E0000}"/>
    <cellStyle name="External File Cells 4 4 2 3 4" xfId="22605" xr:uid="{00000000-0005-0000-0000-00006D6E0000}"/>
    <cellStyle name="External File Cells 4 4 2 3 4 2" xfId="41947" xr:uid="{00000000-0005-0000-0000-00006E6E0000}"/>
    <cellStyle name="External File Cells 4 4 2 3 5" xfId="34546" xr:uid="{00000000-0005-0000-0000-00006F6E0000}"/>
    <cellStyle name="External File Cells 4 4 2 4" xfId="13834" xr:uid="{00000000-0005-0000-0000-0000706E0000}"/>
    <cellStyle name="External File Cells 4 4 2 4 2" xfId="33198" xr:uid="{00000000-0005-0000-0000-0000716E0000}"/>
    <cellStyle name="External File Cells 4 4 2 5" xfId="16346" xr:uid="{00000000-0005-0000-0000-0000726E0000}"/>
    <cellStyle name="External File Cells 4 4 2 5 2" xfId="35700" xr:uid="{00000000-0005-0000-0000-0000736E0000}"/>
    <cellStyle name="External File Cells 4 4 2 6" xfId="18777" xr:uid="{00000000-0005-0000-0000-0000746E0000}"/>
    <cellStyle name="External File Cells 4 4 2 6 2" xfId="38130" xr:uid="{00000000-0005-0000-0000-0000756E0000}"/>
    <cellStyle name="External File Cells 4 4 2 7" xfId="21257" xr:uid="{00000000-0005-0000-0000-0000766E0000}"/>
    <cellStyle name="External File Cells 4 4 2 7 2" xfId="40599" xr:uid="{00000000-0005-0000-0000-0000776E0000}"/>
    <cellStyle name="External File Cells 4 4 2 8" xfId="26147" xr:uid="{00000000-0005-0000-0000-0000786E0000}"/>
    <cellStyle name="External File Cells 4 4 3" xfId="14055" xr:uid="{00000000-0005-0000-0000-0000796E0000}"/>
    <cellStyle name="External File Cells 4 4 3 2" xfId="14850" xr:uid="{00000000-0005-0000-0000-00007A6E0000}"/>
    <cellStyle name="External File Cells 4 4 3 2 2" xfId="17328" xr:uid="{00000000-0005-0000-0000-00007B6E0000}"/>
    <cellStyle name="External File Cells 4 4 3 2 2 2" xfId="36682" xr:uid="{00000000-0005-0000-0000-00007C6E0000}"/>
    <cellStyle name="External File Cells 4 4 3 2 3" xfId="19759" xr:uid="{00000000-0005-0000-0000-00007D6E0000}"/>
    <cellStyle name="External File Cells 4 4 3 2 3 2" xfId="39112" xr:uid="{00000000-0005-0000-0000-00007E6E0000}"/>
    <cellStyle name="External File Cells 4 4 3 2 4" xfId="22270" xr:uid="{00000000-0005-0000-0000-00007F6E0000}"/>
    <cellStyle name="External File Cells 4 4 3 2 4 2" xfId="41612" xr:uid="{00000000-0005-0000-0000-0000806E0000}"/>
    <cellStyle name="External File Cells 4 4 3 2 5" xfId="34211" xr:uid="{00000000-0005-0000-0000-0000816E0000}"/>
    <cellStyle name="External File Cells 4 4 3 3" xfId="15398" xr:uid="{00000000-0005-0000-0000-0000826E0000}"/>
    <cellStyle name="External File Cells 4 4 3 3 2" xfId="17874" xr:uid="{00000000-0005-0000-0000-0000836E0000}"/>
    <cellStyle name="External File Cells 4 4 3 3 2 2" xfId="37228" xr:uid="{00000000-0005-0000-0000-0000846E0000}"/>
    <cellStyle name="External File Cells 4 4 3 3 3" xfId="20305" xr:uid="{00000000-0005-0000-0000-0000856E0000}"/>
    <cellStyle name="External File Cells 4 4 3 3 3 2" xfId="39658" xr:uid="{00000000-0005-0000-0000-0000866E0000}"/>
    <cellStyle name="External File Cells 4 4 3 3 4" xfId="22818" xr:uid="{00000000-0005-0000-0000-0000876E0000}"/>
    <cellStyle name="External File Cells 4 4 3 3 4 2" xfId="42160" xr:uid="{00000000-0005-0000-0000-0000886E0000}"/>
    <cellStyle name="External File Cells 4 4 3 3 5" xfId="34759" xr:uid="{00000000-0005-0000-0000-0000896E0000}"/>
    <cellStyle name="External File Cells 4 4 3 4" xfId="15857" xr:uid="{00000000-0005-0000-0000-00008A6E0000}"/>
    <cellStyle name="External File Cells 4 4 3 4 2" xfId="18333" xr:uid="{00000000-0005-0000-0000-00008B6E0000}"/>
    <cellStyle name="External File Cells 4 4 3 4 2 2" xfId="37687" xr:uid="{00000000-0005-0000-0000-00008C6E0000}"/>
    <cellStyle name="External File Cells 4 4 3 4 3" xfId="20764" xr:uid="{00000000-0005-0000-0000-00008D6E0000}"/>
    <cellStyle name="External File Cells 4 4 3 4 3 2" xfId="40117" xr:uid="{00000000-0005-0000-0000-00008E6E0000}"/>
    <cellStyle name="External File Cells 4 4 3 4 4" xfId="23277" xr:uid="{00000000-0005-0000-0000-00008F6E0000}"/>
    <cellStyle name="External File Cells 4 4 3 4 4 2" xfId="42619" xr:uid="{00000000-0005-0000-0000-0000906E0000}"/>
    <cellStyle name="External File Cells 4 4 3 4 5" xfId="35218" xr:uid="{00000000-0005-0000-0000-0000916E0000}"/>
    <cellStyle name="External File Cells 4 4 3 5" xfId="16561" xr:uid="{00000000-0005-0000-0000-0000926E0000}"/>
    <cellStyle name="External File Cells 4 4 3 5 2" xfId="35915" xr:uid="{00000000-0005-0000-0000-0000936E0000}"/>
    <cellStyle name="External File Cells 4 4 3 6" xfId="18992" xr:uid="{00000000-0005-0000-0000-0000946E0000}"/>
    <cellStyle name="External File Cells 4 4 3 6 2" xfId="38345" xr:uid="{00000000-0005-0000-0000-0000956E0000}"/>
    <cellStyle name="External File Cells 4 4 3 7" xfId="21478" xr:uid="{00000000-0005-0000-0000-0000966E0000}"/>
    <cellStyle name="External File Cells 4 4 3 7 2" xfId="40820" xr:uid="{00000000-0005-0000-0000-0000976E0000}"/>
    <cellStyle name="External File Cells 4 4 3 8" xfId="33419" xr:uid="{00000000-0005-0000-0000-0000986E0000}"/>
    <cellStyle name="External File Cells 4 4 4" xfId="14350" xr:uid="{00000000-0005-0000-0000-0000996E0000}"/>
    <cellStyle name="External File Cells 4 4 4 2" xfId="16846" xr:uid="{00000000-0005-0000-0000-00009A6E0000}"/>
    <cellStyle name="External File Cells 4 4 4 2 2" xfId="36200" xr:uid="{00000000-0005-0000-0000-00009B6E0000}"/>
    <cellStyle name="External File Cells 4 4 4 3" xfId="19277" xr:uid="{00000000-0005-0000-0000-00009C6E0000}"/>
    <cellStyle name="External File Cells 4 4 4 3 2" xfId="38630" xr:uid="{00000000-0005-0000-0000-00009D6E0000}"/>
    <cellStyle name="External File Cells 4 4 4 4" xfId="21770" xr:uid="{00000000-0005-0000-0000-00009E6E0000}"/>
    <cellStyle name="External File Cells 4 4 4 4 2" xfId="41112" xr:uid="{00000000-0005-0000-0000-00009F6E0000}"/>
    <cellStyle name="External File Cells 4 4 4 5" xfId="33711" xr:uid="{00000000-0005-0000-0000-0000A06E0000}"/>
    <cellStyle name="External File Cells 4 4 5" xfId="14985" xr:uid="{00000000-0005-0000-0000-0000A16E0000}"/>
    <cellStyle name="External File Cells 4 4 5 2" xfId="17461" xr:uid="{00000000-0005-0000-0000-0000A26E0000}"/>
    <cellStyle name="External File Cells 4 4 5 2 2" xfId="36815" xr:uid="{00000000-0005-0000-0000-0000A36E0000}"/>
    <cellStyle name="External File Cells 4 4 5 3" xfId="19892" xr:uid="{00000000-0005-0000-0000-0000A46E0000}"/>
    <cellStyle name="External File Cells 4 4 5 3 2" xfId="39245" xr:uid="{00000000-0005-0000-0000-0000A56E0000}"/>
    <cellStyle name="External File Cells 4 4 5 4" xfId="22405" xr:uid="{00000000-0005-0000-0000-0000A66E0000}"/>
    <cellStyle name="External File Cells 4 4 5 4 2" xfId="41747" xr:uid="{00000000-0005-0000-0000-0000A76E0000}"/>
    <cellStyle name="External File Cells 4 4 5 5" xfId="34346" xr:uid="{00000000-0005-0000-0000-0000A86E0000}"/>
    <cellStyle name="External File Cells 4 4 6" xfId="14233" xr:uid="{00000000-0005-0000-0000-0000A96E0000}"/>
    <cellStyle name="External File Cells 4 4 6 2" xfId="16736" xr:uid="{00000000-0005-0000-0000-0000AA6E0000}"/>
    <cellStyle name="External File Cells 4 4 6 2 2" xfId="36090" xr:uid="{00000000-0005-0000-0000-0000AB6E0000}"/>
    <cellStyle name="External File Cells 4 4 6 3" xfId="19167" xr:uid="{00000000-0005-0000-0000-0000AC6E0000}"/>
    <cellStyle name="External File Cells 4 4 6 3 2" xfId="38520" xr:uid="{00000000-0005-0000-0000-0000AD6E0000}"/>
    <cellStyle name="External File Cells 4 4 6 4" xfId="21654" xr:uid="{00000000-0005-0000-0000-0000AE6E0000}"/>
    <cellStyle name="External File Cells 4 4 6 4 2" xfId="40996" xr:uid="{00000000-0005-0000-0000-0000AF6E0000}"/>
    <cellStyle name="External File Cells 4 4 6 5" xfId="33595" xr:uid="{00000000-0005-0000-0000-0000B06E0000}"/>
    <cellStyle name="External File Cells 4 4 7" xfId="13534" xr:uid="{00000000-0005-0000-0000-0000B16E0000}"/>
    <cellStyle name="External File Cells 4 4 7 2" xfId="32909" xr:uid="{00000000-0005-0000-0000-0000B26E0000}"/>
    <cellStyle name="External File Cells 4 4 8" xfId="16085" xr:uid="{00000000-0005-0000-0000-0000B36E0000}"/>
    <cellStyle name="External File Cells 4 4 8 2" xfId="35439" xr:uid="{00000000-0005-0000-0000-0000B46E0000}"/>
    <cellStyle name="External File Cells 4 4 9" xfId="18495" xr:uid="{00000000-0005-0000-0000-0000B56E0000}"/>
    <cellStyle name="External File Cells 4 4 9 2" xfId="37848" xr:uid="{00000000-0005-0000-0000-0000B66E0000}"/>
    <cellStyle name="External File Cells 4 5" xfId="5506" xr:uid="{00000000-0005-0000-0000-0000B76E0000}"/>
    <cellStyle name="External File Cells 4 5 2" xfId="14540" xr:uid="{00000000-0005-0000-0000-0000B86E0000}"/>
    <cellStyle name="External File Cells 4 5 2 2" xfId="17030" xr:uid="{00000000-0005-0000-0000-0000B96E0000}"/>
    <cellStyle name="External File Cells 4 5 2 2 2" xfId="36384" xr:uid="{00000000-0005-0000-0000-0000BA6E0000}"/>
    <cellStyle name="External File Cells 4 5 2 3" xfId="19461" xr:uid="{00000000-0005-0000-0000-0000BB6E0000}"/>
    <cellStyle name="External File Cells 4 5 2 3 2" xfId="38814" xr:uid="{00000000-0005-0000-0000-0000BC6E0000}"/>
    <cellStyle name="External File Cells 4 5 2 4" xfId="21960" xr:uid="{00000000-0005-0000-0000-0000BD6E0000}"/>
    <cellStyle name="External File Cells 4 5 2 4 2" xfId="41302" xr:uid="{00000000-0005-0000-0000-0000BE6E0000}"/>
    <cellStyle name="External File Cells 4 5 2 5" xfId="33901" xr:uid="{00000000-0005-0000-0000-0000BF6E0000}"/>
    <cellStyle name="External File Cells 4 5 3" xfId="15104" xr:uid="{00000000-0005-0000-0000-0000C06E0000}"/>
    <cellStyle name="External File Cells 4 5 3 2" xfId="17580" xr:uid="{00000000-0005-0000-0000-0000C16E0000}"/>
    <cellStyle name="External File Cells 4 5 3 2 2" xfId="36934" xr:uid="{00000000-0005-0000-0000-0000C26E0000}"/>
    <cellStyle name="External File Cells 4 5 3 3" xfId="20011" xr:uid="{00000000-0005-0000-0000-0000C36E0000}"/>
    <cellStyle name="External File Cells 4 5 3 3 2" xfId="39364" xr:uid="{00000000-0005-0000-0000-0000C46E0000}"/>
    <cellStyle name="External File Cells 4 5 3 4" xfId="22524" xr:uid="{00000000-0005-0000-0000-0000C56E0000}"/>
    <cellStyle name="External File Cells 4 5 3 4 2" xfId="41866" xr:uid="{00000000-0005-0000-0000-0000C66E0000}"/>
    <cellStyle name="External File Cells 4 5 3 5" xfId="34465" xr:uid="{00000000-0005-0000-0000-0000C76E0000}"/>
    <cellStyle name="External File Cells 4 5 4" xfId="15587" xr:uid="{00000000-0005-0000-0000-0000C86E0000}"/>
    <cellStyle name="External File Cells 4 5 4 2" xfId="18063" xr:uid="{00000000-0005-0000-0000-0000C96E0000}"/>
    <cellStyle name="External File Cells 4 5 4 2 2" xfId="37417" xr:uid="{00000000-0005-0000-0000-0000CA6E0000}"/>
    <cellStyle name="External File Cells 4 5 4 3" xfId="20494" xr:uid="{00000000-0005-0000-0000-0000CB6E0000}"/>
    <cellStyle name="External File Cells 4 5 4 3 2" xfId="39847" xr:uid="{00000000-0005-0000-0000-0000CC6E0000}"/>
    <cellStyle name="External File Cells 4 5 4 4" xfId="23007" xr:uid="{00000000-0005-0000-0000-0000CD6E0000}"/>
    <cellStyle name="External File Cells 4 5 4 4 2" xfId="42349" xr:uid="{00000000-0005-0000-0000-0000CE6E0000}"/>
    <cellStyle name="External File Cells 4 5 4 5" xfId="34948" xr:uid="{00000000-0005-0000-0000-0000CF6E0000}"/>
    <cellStyle name="External File Cells 4 5 5" xfId="13737" xr:uid="{00000000-0005-0000-0000-0000D06E0000}"/>
    <cellStyle name="External File Cells 4 5 5 2" xfId="33102" xr:uid="{00000000-0005-0000-0000-0000D16E0000}"/>
    <cellStyle name="External File Cells 4 5 6" xfId="16256" xr:uid="{00000000-0005-0000-0000-0000D26E0000}"/>
    <cellStyle name="External File Cells 4 5 6 2" xfId="35610" xr:uid="{00000000-0005-0000-0000-0000D36E0000}"/>
    <cellStyle name="External File Cells 4 5 7" xfId="18687" xr:uid="{00000000-0005-0000-0000-0000D46E0000}"/>
    <cellStyle name="External File Cells 4 5 7 2" xfId="38040" xr:uid="{00000000-0005-0000-0000-0000D56E0000}"/>
    <cellStyle name="External File Cells 4 5 8" xfId="21161" xr:uid="{00000000-0005-0000-0000-0000D66E0000}"/>
    <cellStyle name="External File Cells 4 5 8 2" xfId="40503" xr:uid="{00000000-0005-0000-0000-0000D76E0000}"/>
    <cellStyle name="External File Cells 4 5 9" xfId="24994" xr:uid="{00000000-0005-0000-0000-0000D86E0000}"/>
    <cellStyle name="External File Cells 4 6" xfId="13691" xr:uid="{00000000-0005-0000-0000-0000D96E0000}"/>
    <cellStyle name="External File Cells 4 6 2" xfId="14494" xr:uid="{00000000-0005-0000-0000-0000DA6E0000}"/>
    <cellStyle name="External File Cells 4 6 2 2" xfId="16984" xr:uid="{00000000-0005-0000-0000-0000DB6E0000}"/>
    <cellStyle name="External File Cells 4 6 2 2 2" xfId="36338" xr:uid="{00000000-0005-0000-0000-0000DC6E0000}"/>
    <cellStyle name="External File Cells 4 6 2 3" xfId="19415" xr:uid="{00000000-0005-0000-0000-0000DD6E0000}"/>
    <cellStyle name="External File Cells 4 6 2 3 2" xfId="38768" xr:uid="{00000000-0005-0000-0000-0000DE6E0000}"/>
    <cellStyle name="External File Cells 4 6 2 4" xfId="21914" xr:uid="{00000000-0005-0000-0000-0000DF6E0000}"/>
    <cellStyle name="External File Cells 4 6 2 4 2" xfId="41256" xr:uid="{00000000-0005-0000-0000-0000E06E0000}"/>
    <cellStyle name="External File Cells 4 6 2 5" xfId="33855" xr:uid="{00000000-0005-0000-0000-0000E16E0000}"/>
    <cellStyle name="External File Cells 4 6 3" xfId="15058" xr:uid="{00000000-0005-0000-0000-0000E26E0000}"/>
    <cellStyle name="External File Cells 4 6 3 2" xfId="17534" xr:uid="{00000000-0005-0000-0000-0000E36E0000}"/>
    <cellStyle name="External File Cells 4 6 3 2 2" xfId="36888" xr:uid="{00000000-0005-0000-0000-0000E46E0000}"/>
    <cellStyle name="External File Cells 4 6 3 3" xfId="19965" xr:uid="{00000000-0005-0000-0000-0000E56E0000}"/>
    <cellStyle name="External File Cells 4 6 3 3 2" xfId="39318" xr:uid="{00000000-0005-0000-0000-0000E66E0000}"/>
    <cellStyle name="External File Cells 4 6 3 4" xfId="22478" xr:uid="{00000000-0005-0000-0000-0000E76E0000}"/>
    <cellStyle name="External File Cells 4 6 3 4 2" xfId="41820" xr:uid="{00000000-0005-0000-0000-0000E86E0000}"/>
    <cellStyle name="External File Cells 4 6 3 5" xfId="34419" xr:uid="{00000000-0005-0000-0000-0000E96E0000}"/>
    <cellStyle name="External File Cells 4 6 4" xfId="15541" xr:uid="{00000000-0005-0000-0000-0000EA6E0000}"/>
    <cellStyle name="External File Cells 4 6 4 2" xfId="18017" xr:uid="{00000000-0005-0000-0000-0000EB6E0000}"/>
    <cellStyle name="External File Cells 4 6 4 2 2" xfId="37371" xr:uid="{00000000-0005-0000-0000-0000EC6E0000}"/>
    <cellStyle name="External File Cells 4 6 4 3" xfId="20448" xr:uid="{00000000-0005-0000-0000-0000ED6E0000}"/>
    <cellStyle name="External File Cells 4 6 4 3 2" xfId="39801" xr:uid="{00000000-0005-0000-0000-0000EE6E0000}"/>
    <cellStyle name="External File Cells 4 6 4 4" xfId="22961" xr:uid="{00000000-0005-0000-0000-0000EF6E0000}"/>
    <cellStyle name="External File Cells 4 6 4 4 2" xfId="42303" xr:uid="{00000000-0005-0000-0000-0000F06E0000}"/>
    <cellStyle name="External File Cells 4 6 4 5" xfId="34902" xr:uid="{00000000-0005-0000-0000-0000F16E0000}"/>
    <cellStyle name="External File Cells 4 6 5" xfId="16210" xr:uid="{00000000-0005-0000-0000-0000F26E0000}"/>
    <cellStyle name="External File Cells 4 6 5 2" xfId="35564" xr:uid="{00000000-0005-0000-0000-0000F36E0000}"/>
    <cellStyle name="External File Cells 4 6 6" xfId="18641" xr:uid="{00000000-0005-0000-0000-0000F46E0000}"/>
    <cellStyle name="External File Cells 4 6 6 2" xfId="37994" xr:uid="{00000000-0005-0000-0000-0000F56E0000}"/>
    <cellStyle name="External File Cells 4 6 7" xfId="21115" xr:uid="{00000000-0005-0000-0000-0000F66E0000}"/>
    <cellStyle name="External File Cells 4 6 7 2" xfId="40457" xr:uid="{00000000-0005-0000-0000-0000F76E0000}"/>
    <cellStyle name="External File Cells 4 6 8" xfId="33056" xr:uid="{00000000-0005-0000-0000-0000F86E0000}"/>
    <cellStyle name="External File Cells 4 7" xfId="14253" xr:uid="{00000000-0005-0000-0000-0000F96E0000}"/>
    <cellStyle name="External File Cells 4 7 2" xfId="16756" xr:uid="{00000000-0005-0000-0000-0000FA6E0000}"/>
    <cellStyle name="External File Cells 4 7 2 2" xfId="36110" xr:uid="{00000000-0005-0000-0000-0000FB6E0000}"/>
    <cellStyle name="External File Cells 4 7 3" xfId="19187" xr:uid="{00000000-0005-0000-0000-0000FC6E0000}"/>
    <cellStyle name="External File Cells 4 7 3 2" xfId="38540" xr:uid="{00000000-0005-0000-0000-0000FD6E0000}"/>
    <cellStyle name="External File Cells 4 7 4" xfId="21674" xr:uid="{00000000-0005-0000-0000-0000FE6E0000}"/>
    <cellStyle name="External File Cells 4 7 4 2" xfId="41016" xr:uid="{00000000-0005-0000-0000-0000FF6E0000}"/>
    <cellStyle name="External File Cells 4 7 5" xfId="33615" xr:uid="{00000000-0005-0000-0000-0000006F0000}"/>
    <cellStyle name="External File Cells 4 8" xfId="13346" xr:uid="{00000000-0005-0000-0000-0000016F0000}"/>
    <cellStyle name="External File Cells 4 9" xfId="13246" xr:uid="{00000000-0005-0000-0000-0000026F0000}"/>
    <cellStyle name="External File Cells 4 9 2" xfId="32699" xr:uid="{00000000-0005-0000-0000-0000036F0000}"/>
    <cellStyle name="External File Cells 5" xfId="4552" xr:uid="{00000000-0005-0000-0000-0000046F0000}"/>
    <cellStyle name="External File Cells 5 2" xfId="5813" xr:uid="{00000000-0005-0000-0000-0000056F0000}"/>
    <cellStyle name="External File Cells 5 2 2" xfId="8332" xr:uid="{00000000-0005-0000-0000-0000066F0000}"/>
    <cellStyle name="External File Cells 5 2 2 2" xfId="14607" xr:uid="{00000000-0005-0000-0000-0000076F0000}"/>
    <cellStyle name="External File Cells 5 2 2 2 2" xfId="33968" xr:uid="{00000000-0005-0000-0000-0000086F0000}"/>
    <cellStyle name="External File Cells 5 2 2 3" xfId="17091" xr:uid="{00000000-0005-0000-0000-0000096F0000}"/>
    <cellStyle name="External File Cells 5 2 2 3 2" xfId="36445" xr:uid="{00000000-0005-0000-0000-00000A6F0000}"/>
    <cellStyle name="External File Cells 5 2 2 4" xfId="19522" xr:uid="{00000000-0005-0000-0000-00000B6F0000}"/>
    <cellStyle name="External File Cells 5 2 2 4 2" xfId="38875" xr:uid="{00000000-0005-0000-0000-00000C6F0000}"/>
    <cellStyle name="External File Cells 5 2 2 5" xfId="22027" xr:uid="{00000000-0005-0000-0000-00000D6F0000}"/>
    <cellStyle name="External File Cells 5 2 2 5 2" xfId="41369" xr:uid="{00000000-0005-0000-0000-00000E6F0000}"/>
    <cellStyle name="External File Cells 5 2 2 6" xfId="27813" xr:uid="{00000000-0005-0000-0000-00000F6F0000}"/>
    <cellStyle name="External File Cells 5 2 3" xfId="15164" xr:uid="{00000000-0005-0000-0000-0000106F0000}"/>
    <cellStyle name="External File Cells 5 2 3 2" xfId="17640" xr:uid="{00000000-0005-0000-0000-0000116F0000}"/>
    <cellStyle name="External File Cells 5 2 3 2 2" xfId="36994" xr:uid="{00000000-0005-0000-0000-0000126F0000}"/>
    <cellStyle name="External File Cells 5 2 3 3" xfId="20071" xr:uid="{00000000-0005-0000-0000-0000136F0000}"/>
    <cellStyle name="External File Cells 5 2 3 3 2" xfId="39424" xr:uid="{00000000-0005-0000-0000-0000146F0000}"/>
    <cellStyle name="External File Cells 5 2 3 4" xfId="22584" xr:uid="{00000000-0005-0000-0000-0000156F0000}"/>
    <cellStyle name="External File Cells 5 2 3 4 2" xfId="41926" xr:uid="{00000000-0005-0000-0000-0000166F0000}"/>
    <cellStyle name="External File Cells 5 2 3 5" xfId="34525" xr:uid="{00000000-0005-0000-0000-0000176F0000}"/>
    <cellStyle name="External File Cells 5 2 4" xfId="15645" xr:uid="{00000000-0005-0000-0000-0000186F0000}"/>
    <cellStyle name="External File Cells 5 2 4 2" xfId="18121" xr:uid="{00000000-0005-0000-0000-0000196F0000}"/>
    <cellStyle name="External File Cells 5 2 4 2 2" xfId="37475" xr:uid="{00000000-0005-0000-0000-00001A6F0000}"/>
    <cellStyle name="External File Cells 5 2 4 3" xfId="20552" xr:uid="{00000000-0005-0000-0000-00001B6F0000}"/>
    <cellStyle name="External File Cells 5 2 4 3 2" xfId="39905" xr:uid="{00000000-0005-0000-0000-00001C6F0000}"/>
    <cellStyle name="External File Cells 5 2 4 4" xfId="23065" xr:uid="{00000000-0005-0000-0000-00001D6F0000}"/>
    <cellStyle name="External File Cells 5 2 4 4 2" xfId="42407" xr:uid="{00000000-0005-0000-0000-00001E6F0000}"/>
    <cellStyle name="External File Cells 5 2 4 5" xfId="35006" xr:uid="{00000000-0005-0000-0000-00001F6F0000}"/>
    <cellStyle name="External File Cells 5 2 5" xfId="13809" xr:uid="{00000000-0005-0000-0000-0000206F0000}"/>
    <cellStyle name="External File Cells 5 2 5 2" xfId="33173" xr:uid="{00000000-0005-0000-0000-0000216F0000}"/>
    <cellStyle name="External File Cells 5 2 6" xfId="16321" xr:uid="{00000000-0005-0000-0000-0000226F0000}"/>
    <cellStyle name="External File Cells 5 2 6 2" xfId="35675" xr:uid="{00000000-0005-0000-0000-0000236F0000}"/>
    <cellStyle name="External File Cells 5 2 7" xfId="18752" xr:uid="{00000000-0005-0000-0000-0000246F0000}"/>
    <cellStyle name="External File Cells 5 2 7 2" xfId="38105" xr:uid="{00000000-0005-0000-0000-0000256F0000}"/>
    <cellStyle name="External File Cells 5 2 8" xfId="21232" xr:uid="{00000000-0005-0000-0000-0000266F0000}"/>
    <cellStyle name="External File Cells 5 2 8 2" xfId="40574" xr:uid="{00000000-0005-0000-0000-0000276F0000}"/>
    <cellStyle name="External File Cells 5 2 9" xfId="25298" xr:uid="{00000000-0005-0000-0000-0000286F0000}"/>
    <cellStyle name="External File Cells 5 3" xfId="8331" xr:uid="{00000000-0005-0000-0000-0000296F0000}"/>
    <cellStyle name="External File Cells 5 3 2" xfId="14828" xr:uid="{00000000-0005-0000-0000-00002A6F0000}"/>
    <cellStyle name="External File Cells 5 3 2 2" xfId="17306" xr:uid="{00000000-0005-0000-0000-00002B6F0000}"/>
    <cellStyle name="External File Cells 5 3 2 2 2" xfId="36660" xr:uid="{00000000-0005-0000-0000-00002C6F0000}"/>
    <cellStyle name="External File Cells 5 3 2 3" xfId="19737" xr:uid="{00000000-0005-0000-0000-00002D6F0000}"/>
    <cellStyle name="External File Cells 5 3 2 3 2" xfId="39090" xr:uid="{00000000-0005-0000-0000-00002E6F0000}"/>
    <cellStyle name="External File Cells 5 3 2 4" xfId="22248" xr:uid="{00000000-0005-0000-0000-00002F6F0000}"/>
    <cellStyle name="External File Cells 5 3 2 4 2" xfId="41590" xr:uid="{00000000-0005-0000-0000-0000306F0000}"/>
    <cellStyle name="External File Cells 5 3 2 5" xfId="34189" xr:uid="{00000000-0005-0000-0000-0000316F0000}"/>
    <cellStyle name="External File Cells 5 3 3" xfId="15376" xr:uid="{00000000-0005-0000-0000-0000326F0000}"/>
    <cellStyle name="External File Cells 5 3 3 2" xfId="17852" xr:uid="{00000000-0005-0000-0000-0000336F0000}"/>
    <cellStyle name="External File Cells 5 3 3 2 2" xfId="37206" xr:uid="{00000000-0005-0000-0000-0000346F0000}"/>
    <cellStyle name="External File Cells 5 3 3 3" xfId="20283" xr:uid="{00000000-0005-0000-0000-0000356F0000}"/>
    <cellStyle name="External File Cells 5 3 3 3 2" xfId="39636" xr:uid="{00000000-0005-0000-0000-0000366F0000}"/>
    <cellStyle name="External File Cells 5 3 3 4" xfId="22796" xr:uid="{00000000-0005-0000-0000-0000376F0000}"/>
    <cellStyle name="External File Cells 5 3 3 4 2" xfId="42138" xr:uid="{00000000-0005-0000-0000-0000386F0000}"/>
    <cellStyle name="External File Cells 5 3 3 5" xfId="34737" xr:uid="{00000000-0005-0000-0000-0000396F0000}"/>
    <cellStyle name="External File Cells 5 3 4" xfId="15835" xr:uid="{00000000-0005-0000-0000-00003A6F0000}"/>
    <cellStyle name="External File Cells 5 3 4 2" xfId="18311" xr:uid="{00000000-0005-0000-0000-00003B6F0000}"/>
    <cellStyle name="External File Cells 5 3 4 2 2" xfId="37665" xr:uid="{00000000-0005-0000-0000-00003C6F0000}"/>
    <cellStyle name="External File Cells 5 3 4 3" xfId="20742" xr:uid="{00000000-0005-0000-0000-00003D6F0000}"/>
    <cellStyle name="External File Cells 5 3 4 3 2" xfId="40095" xr:uid="{00000000-0005-0000-0000-00003E6F0000}"/>
    <cellStyle name="External File Cells 5 3 4 4" xfId="23255" xr:uid="{00000000-0005-0000-0000-00003F6F0000}"/>
    <cellStyle name="External File Cells 5 3 4 4 2" xfId="42597" xr:uid="{00000000-0005-0000-0000-0000406F0000}"/>
    <cellStyle name="External File Cells 5 3 4 5" xfId="35196" xr:uid="{00000000-0005-0000-0000-0000416F0000}"/>
    <cellStyle name="External File Cells 5 3 5" xfId="14033" xr:uid="{00000000-0005-0000-0000-0000426F0000}"/>
    <cellStyle name="External File Cells 5 3 5 2" xfId="33397" xr:uid="{00000000-0005-0000-0000-0000436F0000}"/>
    <cellStyle name="External File Cells 5 3 6" xfId="16539" xr:uid="{00000000-0005-0000-0000-0000446F0000}"/>
    <cellStyle name="External File Cells 5 3 6 2" xfId="35893" xr:uid="{00000000-0005-0000-0000-0000456F0000}"/>
    <cellStyle name="External File Cells 5 3 7" xfId="18970" xr:uid="{00000000-0005-0000-0000-0000466F0000}"/>
    <cellStyle name="External File Cells 5 3 7 2" xfId="38323" xr:uid="{00000000-0005-0000-0000-0000476F0000}"/>
    <cellStyle name="External File Cells 5 3 8" xfId="21456" xr:uid="{00000000-0005-0000-0000-0000486F0000}"/>
    <cellStyle name="External File Cells 5 3 8 2" xfId="40798" xr:uid="{00000000-0005-0000-0000-0000496F0000}"/>
    <cellStyle name="External File Cells 5 3 9" xfId="27812" xr:uid="{00000000-0005-0000-0000-00004A6F0000}"/>
    <cellStyle name="External File Cells 5 4" xfId="14328" xr:uid="{00000000-0005-0000-0000-00004B6F0000}"/>
    <cellStyle name="External File Cells 5 4 2" xfId="16824" xr:uid="{00000000-0005-0000-0000-00004C6F0000}"/>
    <cellStyle name="External File Cells 5 4 2 2" xfId="36178" xr:uid="{00000000-0005-0000-0000-00004D6F0000}"/>
    <cellStyle name="External File Cells 5 4 3" xfId="19255" xr:uid="{00000000-0005-0000-0000-00004E6F0000}"/>
    <cellStyle name="External File Cells 5 4 3 2" xfId="38608" xr:uid="{00000000-0005-0000-0000-00004F6F0000}"/>
    <cellStyle name="External File Cells 5 4 4" xfId="21748" xr:uid="{00000000-0005-0000-0000-0000506F0000}"/>
    <cellStyle name="External File Cells 5 4 4 2" xfId="41090" xr:uid="{00000000-0005-0000-0000-0000516F0000}"/>
    <cellStyle name="External File Cells 5 4 5" xfId="33689" xr:uid="{00000000-0005-0000-0000-0000526F0000}"/>
    <cellStyle name="External File Cells 5 5" xfId="13507" xr:uid="{00000000-0005-0000-0000-0000536F0000}"/>
    <cellStyle name="External File Cells 5 5 2" xfId="32882" xr:uid="{00000000-0005-0000-0000-0000546F0000}"/>
    <cellStyle name="External File Cells 5 6" xfId="16069" xr:uid="{00000000-0005-0000-0000-0000556F0000}"/>
    <cellStyle name="External File Cells 5 6 2" xfId="35423" xr:uid="{00000000-0005-0000-0000-0000566F0000}"/>
    <cellStyle name="External File Cells 5 7" xfId="18468" xr:uid="{00000000-0005-0000-0000-0000576F0000}"/>
    <cellStyle name="External File Cells 5 7 2" xfId="37821" xr:uid="{00000000-0005-0000-0000-0000586F0000}"/>
    <cellStyle name="External File Cells 5 8" xfId="21002" xr:uid="{00000000-0005-0000-0000-0000596F0000}"/>
    <cellStyle name="External File Cells 5 8 2" xfId="40344" xr:uid="{00000000-0005-0000-0000-00005A6F0000}"/>
    <cellStyle name="Company0903%colcalc" xfId="3935" xr:uid="{00000000-0005-0000-0000-00005B6F0000}"/>
    <cellStyle name="Company0903%input" xfId="3936" xr:uid="{00000000-0005-0000-0000-00005C6F0000}"/>
    <cellStyle name="Company0903%rowcalc" xfId="3937" xr:uid="{00000000-0005-0000-0000-00005D6F0000}"/>
    <cellStyle name="EY0dp" xfId="3938" xr:uid="{00000000-0005-0000-0000-00005E6F0000}"/>
    <cellStyle name="EY1dp" xfId="3939" xr:uid="{00000000-0005-0000-0000-00005F6F0000}"/>
    <cellStyle name="EY2dp" xfId="3940" xr:uid="{00000000-0005-0000-0000-0000606F0000}"/>
    <cellStyle name="EY3dp" xfId="3941" xr:uid="{00000000-0005-0000-0000-0000616F0000}"/>
    <cellStyle name="EYColumnHeading" xfId="3942" xr:uid="{00000000-0005-0000-0000-0000626F0000}"/>
    <cellStyle name="EYHeading1" xfId="3943" xr:uid="{00000000-0005-0000-0000-0000636F0000}"/>
    <cellStyle name="EYheading2" xfId="3944" xr:uid="{00000000-0005-0000-0000-0000646F0000}"/>
    <cellStyle name="EYheading3" xfId="3945" xr:uid="{00000000-0005-0000-0000-0000656F0000}"/>
    <cellStyle name="EYnumber" xfId="3946" xr:uid="{00000000-0005-0000-0000-0000666F0000}"/>
    <cellStyle name="EYSheetHeader1" xfId="3947" xr:uid="{00000000-0005-0000-0000-0000676F0000}"/>
    <cellStyle name="EYtext" xfId="3948" xr:uid="{00000000-0005-0000-0000-0000686F0000}"/>
    <cellStyle name="Fecha" xfId="1598" xr:uid="{00000000-0005-0000-0000-0000696F0000}"/>
    <cellStyle name="FF" xfId="1599" xr:uid="{00000000-0005-0000-0000-00006A6F0000}"/>
    <cellStyle name="Fijo" xfId="1600" xr:uid="{00000000-0005-0000-0000-00006B6F0000}"/>
    <cellStyle name="Fit" xfId="4503" xr:uid="{00000000-0005-0000-0000-00006C6F0000}"/>
    <cellStyle name="Fixed" xfId="1601" xr:uid="{00000000-0005-0000-0000-00006D6F0000}"/>
    <cellStyle name="Fixed 10" xfId="15975" xr:uid="{00000000-0005-0000-0000-00006E6F0000}"/>
    <cellStyle name="Fixed 10 2" xfId="35334" xr:uid="{00000000-0005-0000-0000-00006F6F0000}"/>
    <cellStyle name="Fixed 2" xfId="2135" xr:uid="{00000000-0005-0000-0000-0000706F0000}"/>
    <cellStyle name="Fixed 2 2" xfId="4891" xr:uid="{00000000-0005-0000-0000-0000716F0000}"/>
    <cellStyle name="Fixed 2 2 2" xfId="13858" xr:uid="{00000000-0005-0000-0000-0000726F0000}"/>
    <cellStyle name="Fixed 2 2 2 2" xfId="14653" xr:uid="{00000000-0005-0000-0000-0000736F0000}"/>
    <cellStyle name="Fixed 2 2 2 2 2" xfId="17134" xr:uid="{00000000-0005-0000-0000-0000746F0000}"/>
    <cellStyle name="Fixed 2 2 2 2 2 2" xfId="36488" xr:uid="{00000000-0005-0000-0000-0000756F0000}"/>
    <cellStyle name="Fixed 2 2 2 2 3" xfId="19565" xr:uid="{00000000-0005-0000-0000-0000766F0000}"/>
    <cellStyle name="Fixed 2 2 2 2 3 2" xfId="38918" xr:uid="{00000000-0005-0000-0000-0000776F0000}"/>
    <cellStyle name="Fixed 2 2 2 2 4" xfId="22073" xr:uid="{00000000-0005-0000-0000-0000786F0000}"/>
    <cellStyle name="Fixed 2 2 2 2 4 2" xfId="41415" xr:uid="{00000000-0005-0000-0000-0000796F0000}"/>
    <cellStyle name="Fixed 2 2 2 2 5" xfId="34014" xr:uid="{00000000-0005-0000-0000-00007A6F0000}"/>
    <cellStyle name="Fixed 2 2 2 3" xfId="15206" xr:uid="{00000000-0005-0000-0000-00007B6F0000}"/>
    <cellStyle name="Fixed 2 2 2 3 2" xfId="17682" xr:uid="{00000000-0005-0000-0000-00007C6F0000}"/>
    <cellStyle name="Fixed 2 2 2 3 2 2" xfId="37036" xr:uid="{00000000-0005-0000-0000-00007D6F0000}"/>
    <cellStyle name="Fixed 2 2 2 3 3" xfId="20113" xr:uid="{00000000-0005-0000-0000-00007E6F0000}"/>
    <cellStyle name="Fixed 2 2 2 3 3 2" xfId="39466" xr:uid="{00000000-0005-0000-0000-00007F6F0000}"/>
    <cellStyle name="Fixed 2 2 2 3 4" xfId="22626" xr:uid="{00000000-0005-0000-0000-0000806F0000}"/>
    <cellStyle name="Fixed 2 2 2 3 4 2" xfId="41968" xr:uid="{00000000-0005-0000-0000-0000816F0000}"/>
    <cellStyle name="Fixed 2 2 2 3 5" xfId="34567" xr:uid="{00000000-0005-0000-0000-0000826F0000}"/>
    <cellStyle name="Fixed 2 2 2 4" xfId="15677" xr:uid="{00000000-0005-0000-0000-0000836F0000}"/>
    <cellStyle name="Fixed 2 2 2 4 2" xfId="18153" xr:uid="{00000000-0005-0000-0000-0000846F0000}"/>
    <cellStyle name="Fixed 2 2 2 4 2 2" xfId="37507" xr:uid="{00000000-0005-0000-0000-0000856F0000}"/>
    <cellStyle name="Fixed 2 2 2 4 3" xfId="20584" xr:uid="{00000000-0005-0000-0000-0000866F0000}"/>
    <cellStyle name="Fixed 2 2 2 4 3 2" xfId="39937" xr:uid="{00000000-0005-0000-0000-0000876F0000}"/>
    <cellStyle name="Fixed 2 2 2 4 4" xfId="23097" xr:uid="{00000000-0005-0000-0000-0000886F0000}"/>
    <cellStyle name="Fixed 2 2 2 4 4 2" xfId="42439" xr:uid="{00000000-0005-0000-0000-0000896F0000}"/>
    <cellStyle name="Fixed 2 2 2 4 5" xfId="35038" xr:uid="{00000000-0005-0000-0000-00008A6F0000}"/>
    <cellStyle name="Fixed 2 2 2 5" xfId="16367" xr:uid="{00000000-0005-0000-0000-00008B6F0000}"/>
    <cellStyle name="Fixed 2 2 2 5 2" xfId="35721" xr:uid="{00000000-0005-0000-0000-00008C6F0000}"/>
    <cellStyle name="Fixed 2 2 2 6" xfId="18798" xr:uid="{00000000-0005-0000-0000-00008D6F0000}"/>
    <cellStyle name="Fixed 2 2 2 6 2" xfId="38151" xr:uid="{00000000-0005-0000-0000-00008E6F0000}"/>
    <cellStyle name="Fixed 2 2 2 7" xfId="21281" xr:uid="{00000000-0005-0000-0000-00008F6F0000}"/>
    <cellStyle name="Fixed 2 2 2 7 2" xfId="40623" xr:uid="{00000000-0005-0000-0000-0000906F0000}"/>
    <cellStyle name="Fixed 2 2 2 8" xfId="33222" xr:uid="{00000000-0005-0000-0000-0000916F0000}"/>
    <cellStyle name="Fixed 2 2 3" xfId="14076" xr:uid="{00000000-0005-0000-0000-0000926F0000}"/>
    <cellStyle name="Fixed 2 2 3 2" xfId="16582" xr:uid="{00000000-0005-0000-0000-0000936F0000}"/>
    <cellStyle name="Fixed 2 2 3 2 2" xfId="35936" xr:uid="{00000000-0005-0000-0000-0000946F0000}"/>
    <cellStyle name="Fixed 2 2 3 3" xfId="19013" xr:uid="{00000000-0005-0000-0000-0000956F0000}"/>
    <cellStyle name="Fixed 2 2 3 3 2" xfId="38366" xr:uid="{00000000-0005-0000-0000-0000966F0000}"/>
    <cellStyle name="Fixed 2 2 3 4" xfId="21499" xr:uid="{00000000-0005-0000-0000-0000976F0000}"/>
    <cellStyle name="Fixed 2 2 3 4 2" xfId="40841" xr:uid="{00000000-0005-0000-0000-0000986F0000}"/>
    <cellStyle name="Fixed 2 2 3 5" xfId="33440" xr:uid="{00000000-0005-0000-0000-0000996F0000}"/>
    <cellStyle name="Fixed 2 2 4" xfId="14371" xr:uid="{00000000-0005-0000-0000-00009A6F0000}"/>
    <cellStyle name="Fixed 2 2 4 2" xfId="16864" xr:uid="{00000000-0005-0000-0000-00009B6F0000}"/>
    <cellStyle name="Fixed 2 2 4 2 2" xfId="36218" xr:uid="{00000000-0005-0000-0000-00009C6F0000}"/>
    <cellStyle name="Fixed 2 2 4 3" xfId="19295" xr:uid="{00000000-0005-0000-0000-00009D6F0000}"/>
    <cellStyle name="Fixed 2 2 4 3 2" xfId="38648" xr:uid="{00000000-0005-0000-0000-00009E6F0000}"/>
    <cellStyle name="Fixed 2 2 4 4" xfId="21791" xr:uid="{00000000-0005-0000-0000-00009F6F0000}"/>
    <cellStyle name="Fixed 2 2 4 4 2" xfId="41133" xr:uid="{00000000-0005-0000-0000-0000A06F0000}"/>
    <cellStyle name="Fixed 2 2 4 5" xfId="33732" xr:uid="{00000000-0005-0000-0000-0000A16F0000}"/>
    <cellStyle name="Fixed 2 2 5" xfId="15002" xr:uid="{00000000-0005-0000-0000-0000A26F0000}"/>
    <cellStyle name="Fixed 2 2 5 2" xfId="17478" xr:uid="{00000000-0005-0000-0000-0000A36F0000}"/>
    <cellStyle name="Fixed 2 2 5 2 2" xfId="36832" xr:uid="{00000000-0005-0000-0000-0000A46F0000}"/>
    <cellStyle name="Fixed 2 2 5 3" xfId="19909" xr:uid="{00000000-0005-0000-0000-0000A56F0000}"/>
    <cellStyle name="Fixed 2 2 5 3 2" xfId="39262" xr:uid="{00000000-0005-0000-0000-0000A66F0000}"/>
    <cellStyle name="Fixed 2 2 5 4" xfId="22422" xr:uid="{00000000-0005-0000-0000-0000A76F0000}"/>
    <cellStyle name="Fixed 2 2 5 4 2" xfId="41764" xr:uid="{00000000-0005-0000-0000-0000A86F0000}"/>
    <cellStyle name="Fixed 2 2 5 5" xfId="34363" xr:uid="{00000000-0005-0000-0000-0000A96F0000}"/>
    <cellStyle name="Fixed 2 2 6" xfId="13560" xr:uid="{00000000-0005-0000-0000-0000AA6F0000}"/>
    <cellStyle name="Fixed 2 2 6 2" xfId="32929" xr:uid="{00000000-0005-0000-0000-0000AB6F0000}"/>
    <cellStyle name="Fixed 2 2 7" xfId="16102" xr:uid="{00000000-0005-0000-0000-0000AC6F0000}"/>
    <cellStyle name="Fixed 2 2 7 2" xfId="35456" xr:uid="{00000000-0005-0000-0000-0000AD6F0000}"/>
    <cellStyle name="Fixed 2 2 8" xfId="18514" xr:uid="{00000000-0005-0000-0000-0000AE6F0000}"/>
    <cellStyle name="Fixed 2 2 8 2" xfId="37867" xr:uid="{00000000-0005-0000-0000-0000AF6F0000}"/>
    <cellStyle name="Fixed 2 2 9" xfId="24386" xr:uid="{00000000-0005-0000-0000-0000B06F0000}"/>
    <cellStyle name="Fixed 2 3" xfId="13761" xr:uid="{00000000-0005-0000-0000-0000B16F0000}"/>
    <cellStyle name="Fixed 2 3 2" xfId="16276" xr:uid="{00000000-0005-0000-0000-0000B26F0000}"/>
    <cellStyle name="Fixed 2 3 2 2" xfId="35630" xr:uid="{00000000-0005-0000-0000-0000B36F0000}"/>
    <cellStyle name="Fixed 2 3 3" xfId="18707" xr:uid="{00000000-0005-0000-0000-0000B46F0000}"/>
    <cellStyle name="Fixed 2 3 3 2" xfId="38060" xr:uid="{00000000-0005-0000-0000-0000B56F0000}"/>
    <cellStyle name="Fixed 2 3 4" xfId="21184" xr:uid="{00000000-0005-0000-0000-0000B66F0000}"/>
    <cellStyle name="Fixed 2 3 4 2" xfId="40526" xr:uid="{00000000-0005-0000-0000-0000B76F0000}"/>
    <cellStyle name="Fixed 2 3 5" xfId="33125" xr:uid="{00000000-0005-0000-0000-0000B86F0000}"/>
    <cellStyle name="Fixed 2 4" xfId="13432" xr:uid="{00000000-0005-0000-0000-0000B96F0000}"/>
    <cellStyle name="Fixed 2 4 2" xfId="32811" xr:uid="{00000000-0005-0000-0000-0000BA6F0000}"/>
    <cellStyle name="Fixed 2 5" xfId="16002" xr:uid="{00000000-0005-0000-0000-0000BB6F0000}"/>
    <cellStyle name="Fixed 2 5 2" xfId="35356" xr:uid="{00000000-0005-0000-0000-0000BC6F0000}"/>
    <cellStyle name="Fixed 2 6" xfId="23481" xr:uid="{00000000-0005-0000-0000-0000BD6F0000}"/>
    <cellStyle name="Fixed 3" xfId="13443" xr:uid="{00000000-0005-0000-0000-0000BE6F0000}"/>
    <cellStyle name="Fixed 3 2" xfId="13570" xr:uid="{00000000-0005-0000-0000-0000BF6F0000}"/>
    <cellStyle name="Fixed 3 2 2" xfId="13869" xr:uid="{00000000-0005-0000-0000-0000C06F0000}"/>
    <cellStyle name="Fixed 3 2 2 2" xfId="14664" xr:uid="{00000000-0005-0000-0000-0000C16F0000}"/>
    <cellStyle name="Fixed 3 2 2 2 2" xfId="17145" xr:uid="{00000000-0005-0000-0000-0000C26F0000}"/>
    <cellStyle name="Fixed 3 2 2 2 2 2" xfId="36499" xr:uid="{00000000-0005-0000-0000-0000C36F0000}"/>
    <cellStyle name="Fixed 3 2 2 2 3" xfId="19576" xr:uid="{00000000-0005-0000-0000-0000C46F0000}"/>
    <cellStyle name="Fixed 3 2 2 2 3 2" xfId="38929" xr:uid="{00000000-0005-0000-0000-0000C56F0000}"/>
    <cellStyle name="Fixed 3 2 2 2 4" xfId="22084" xr:uid="{00000000-0005-0000-0000-0000C66F0000}"/>
    <cellStyle name="Fixed 3 2 2 2 4 2" xfId="41426" xr:uid="{00000000-0005-0000-0000-0000C76F0000}"/>
    <cellStyle name="Fixed 3 2 2 2 5" xfId="34025" xr:uid="{00000000-0005-0000-0000-0000C86F0000}"/>
    <cellStyle name="Fixed 3 2 2 3" xfId="15216" xr:uid="{00000000-0005-0000-0000-0000C96F0000}"/>
    <cellStyle name="Fixed 3 2 2 3 2" xfId="17692" xr:uid="{00000000-0005-0000-0000-0000CA6F0000}"/>
    <cellStyle name="Fixed 3 2 2 3 2 2" xfId="37046" xr:uid="{00000000-0005-0000-0000-0000CB6F0000}"/>
    <cellStyle name="Fixed 3 2 2 3 3" xfId="20123" xr:uid="{00000000-0005-0000-0000-0000CC6F0000}"/>
    <cellStyle name="Fixed 3 2 2 3 3 2" xfId="39476" xr:uid="{00000000-0005-0000-0000-0000CD6F0000}"/>
    <cellStyle name="Fixed 3 2 2 3 4" xfId="22636" xr:uid="{00000000-0005-0000-0000-0000CE6F0000}"/>
    <cellStyle name="Fixed 3 2 2 3 4 2" xfId="41978" xr:uid="{00000000-0005-0000-0000-0000CF6F0000}"/>
    <cellStyle name="Fixed 3 2 2 3 5" xfId="34577" xr:uid="{00000000-0005-0000-0000-0000D06F0000}"/>
    <cellStyle name="Fixed 3 2 2 4" xfId="15686" xr:uid="{00000000-0005-0000-0000-0000D16F0000}"/>
    <cellStyle name="Fixed 3 2 2 4 2" xfId="18162" xr:uid="{00000000-0005-0000-0000-0000D26F0000}"/>
    <cellStyle name="Fixed 3 2 2 4 2 2" xfId="37516" xr:uid="{00000000-0005-0000-0000-0000D36F0000}"/>
    <cellStyle name="Fixed 3 2 2 4 3" xfId="20593" xr:uid="{00000000-0005-0000-0000-0000D46F0000}"/>
    <cellStyle name="Fixed 3 2 2 4 3 2" xfId="39946" xr:uid="{00000000-0005-0000-0000-0000D56F0000}"/>
    <cellStyle name="Fixed 3 2 2 4 4" xfId="23106" xr:uid="{00000000-0005-0000-0000-0000D66F0000}"/>
    <cellStyle name="Fixed 3 2 2 4 4 2" xfId="42448" xr:uid="{00000000-0005-0000-0000-0000D76F0000}"/>
    <cellStyle name="Fixed 3 2 2 4 5" xfId="35047" xr:uid="{00000000-0005-0000-0000-0000D86F0000}"/>
    <cellStyle name="Fixed 3 2 2 5" xfId="16378" xr:uid="{00000000-0005-0000-0000-0000D96F0000}"/>
    <cellStyle name="Fixed 3 2 2 5 2" xfId="35732" xr:uid="{00000000-0005-0000-0000-0000DA6F0000}"/>
    <cellStyle name="Fixed 3 2 2 6" xfId="18809" xr:uid="{00000000-0005-0000-0000-0000DB6F0000}"/>
    <cellStyle name="Fixed 3 2 2 6 2" xfId="38162" xr:uid="{00000000-0005-0000-0000-0000DC6F0000}"/>
    <cellStyle name="Fixed 3 2 2 7" xfId="21292" xr:uid="{00000000-0005-0000-0000-0000DD6F0000}"/>
    <cellStyle name="Fixed 3 2 2 7 2" xfId="40634" xr:uid="{00000000-0005-0000-0000-0000DE6F0000}"/>
    <cellStyle name="Fixed 3 2 2 8" xfId="33233" xr:uid="{00000000-0005-0000-0000-0000DF6F0000}"/>
    <cellStyle name="Fixed 3 2 3" xfId="14087" xr:uid="{00000000-0005-0000-0000-0000E06F0000}"/>
    <cellStyle name="Fixed 3 2 3 2" xfId="16593" xr:uid="{00000000-0005-0000-0000-0000E16F0000}"/>
    <cellStyle name="Fixed 3 2 3 2 2" xfId="35947" xr:uid="{00000000-0005-0000-0000-0000E26F0000}"/>
    <cellStyle name="Fixed 3 2 3 3" xfId="19024" xr:uid="{00000000-0005-0000-0000-0000E36F0000}"/>
    <cellStyle name="Fixed 3 2 3 3 2" xfId="38377" xr:uid="{00000000-0005-0000-0000-0000E46F0000}"/>
    <cellStyle name="Fixed 3 2 3 4" xfId="21510" xr:uid="{00000000-0005-0000-0000-0000E56F0000}"/>
    <cellStyle name="Fixed 3 2 3 4 2" xfId="40852" xr:uid="{00000000-0005-0000-0000-0000E66F0000}"/>
    <cellStyle name="Fixed 3 2 3 5" xfId="33451" xr:uid="{00000000-0005-0000-0000-0000E76F0000}"/>
    <cellStyle name="Fixed 3 2 4" xfId="14381" xr:uid="{00000000-0005-0000-0000-0000E86F0000}"/>
    <cellStyle name="Fixed 3 2 4 2" xfId="16874" xr:uid="{00000000-0005-0000-0000-0000E96F0000}"/>
    <cellStyle name="Fixed 3 2 4 2 2" xfId="36228" xr:uid="{00000000-0005-0000-0000-0000EA6F0000}"/>
    <cellStyle name="Fixed 3 2 4 3" xfId="19305" xr:uid="{00000000-0005-0000-0000-0000EB6F0000}"/>
    <cellStyle name="Fixed 3 2 4 3 2" xfId="38658" xr:uid="{00000000-0005-0000-0000-0000EC6F0000}"/>
    <cellStyle name="Fixed 3 2 4 4" xfId="21801" xr:uid="{00000000-0005-0000-0000-0000ED6F0000}"/>
    <cellStyle name="Fixed 3 2 4 4 2" xfId="41143" xr:uid="{00000000-0005-0000-0000-0000EE6F0000}"/>
    <cellStyle name="Fixed 3 2 4 5" xfId="33742" xr:uid="{00000000-0005-0000-0000-0000EF6F0000}"/>
    <cellStyle name="Fixed 3 2 5" xfId="15013" xr:uid="{00000000-0005-0000-0000-0000F06F0000}"/>
    <cellStyle name="Fixed 3 2 5 2" xfId="17489" xr:uid="{00000000-0005-0000-0000-0000F16F0000}"/>
    <cellStyle name="Fixed 3 2 5 2 2" xfId="36843" xr:uid="{00000000-0005-0000-0000-0000F26F0000}"/>
    <cellStyle name="Fixed 3 2 5 3" xfId="19920" xr:uid="{00000000-0005-0000-0000-0000F36F0000}"/>
    <cellStyle name="Fixed 3 2 5 3 2" xfId="39273" xr:uid="{00000000-0005-0000-0000-0000F46F0000}"/>
    <cellStyle name="Fixed 3 2 5 4" xfId="22433" xr:uid="{00000000-0005-0000-0000-0000F56F0000}"/>
    <cellStyle name="Fixed 3 2 5 4 2" xfId="41775" xr:uid="{00000000-0005-0000-0000-0000F66F0000}"/>
    <cellStyle name="Fixed 3 2 5 5" xfId="34374" xr:uid="{00000000-0005-0000-0000-0000F76F0000}"/>
    <cellStyle name="Fixed 3 2 6" xfId="16110" xr:uid="{00000000-0005-0000-0000-0000F86F0000}"/>
    <cellStyle name="Fixed 3 2 6 2" xfId="35464" xr:uid="{00000000-0005-0000-0000-0000F96F0000}"/>
    <cellStyle name="Fixed 3 2 7" xfId="18524" xr:uid="{00000000-0005-0000-0000-0000FA6F0000}"/>
    <cellStyle name="Fixed 3 2 7 2" xfId="37877" xr:uid="{00000000-0005-0000-0000-0000FB6F0000}"/>
    <cellStyle name="Fixed 3 2 8" xfId="32938" xr:uid="{00000000-0005-0000-0000-0000FC6F0000}"/>
    <cellStyle name="Fixed 3 3" xfId="13639" xr:uid="{00000000-0005-0000-0000-0000FD6F0000}"/>
    <cellStyle name="Fixed 3 3 2" xfId="16159" xr:uid="{00000000-0005-0000-0000-0000FE6F0000}"/>
    <cellStyle name="Fixed 3 3 2 2" xfId="35513" xr:uid="{00000000-0005-0000-0000-0000FF6F0000}"/>
    <cellStyle name="Fixed 3 3 3" xfId="18590" xr:uid="{00000000-0005-0000-0000-000000700000}"/>
    <cellStyle name="Fixed 3 3 3 2" xfId="37943" xr:uid="{00000000-0005-0000-0000-000001700000}"/>
    <cellStyle name="Fixed 3 3 4" xfId="21064" xr:uid="{00000000-0005-0000-0000-000002700000}"/>
    <cellStyle name="Fixed 3 3 4 2" xfId="40406" xr:uid="{00000000-0005-0000-0000-000003700000}"/>
    <cellStyle name="Fixed 3 3 5" xfId="33005" xr:uid="{00000000-0005-0000-0000-000004700000}"/>
    <cellStyle name="Fixed 3 4" xfId="16013" xr:uid="{00000000-0005-0000-0000-000005700000}"/>
    <cellStyle name="Fixed 3 4 2" xfId="35367" xr:uid="{00000000-0005-0000-0000-000006700000}"/>
    <cellStyle name="Fixed 3 5" xfId="13267" xr:uid="{00000000-0005-0000-0000-000007700000}"/>
    <cellStyle name="Fixed 3 5 2" xfId="32715" xr:uid="{00000000-0005-0000-0000-000008700000}"/>
    <cellStyle name="Fixed 3 6" xfId="20944" xr:uid="{00000000-0005-0000-0000-000009700000}"/>
    <cellStyle name="Fixed 3 6 2" xfId="40286" xr:uid="{00000000-0005-0000-0000-00000A700000}"/>
    <cellStyle name="Fixed 3 7" xfId="32822" xr:uid="{00000000-0005-0000-0000-00000B700000}"/>
    <cellStyle name="Fixed 4" xfId="13508" xr:uid="{00000000-0005-0000-0000-00000C700000}"/>
    <cellStyle name="Fixed 4 2" xfId="13810" xr:uid="{00000000-0005-0000-0000-00000D700000}"/>
    <cellStyle name="Fixed 4 2 2" xfId="16322" xr:uid="{00000000-0005-0000-0000-00000E700000}"/>
    <cellStyle name="Fixed 4 2 2 2" xfId="35676" xr:uid="{00000000-0005-0000-0000-00000F700000}"/>
    <cellStyle name="Fixed 4 2 3" xfId="18753" xr:uid="{00000000-0005-0000-0000-000010700000}"/>
    <cellStyle name="Fixed 4 2 3 2" xfId="38106" xr:uid="{00000000-0005-0000-0000-000011700000}"/>
    <cellStyle name="Fixed 4 2 4" xfId="21233" xr:uid="{00000000-0005-0000-0000-000012700000}"/>
    <cellStyle name="Fixed 4 2 4 2" xfId="40575" xr:uid="{00000000-0005-0000-0000-000013700000}"/>
    <cellStyle name="Fixed 4 2 5" xfId="33174" xr:uid="{00000000-0005-0000-0000-000014700000}"/>
    <cellStyle name="Fixed 4 3" xfId="16070" xr:uid="{00000000-0005-0000-0000-000015700000}"/>
    <cellStyle name="Fixed 4 3 2" xfId="35424" xr:uid="{00000000-0005-0000-0000-000016700000}"/>
    <cellStyle name="Fixed 4 4" xfId="18469" xr:uid="{00000000-0005-0000-0000-000017700000}"/>
    <cellStyle name="Fixed 4 4 2" xfId="37822" xr:uid="{00000000-0005-0000-0000-000018700000}"/>
    <cellStyle name="Fixed 4 5" xfId="21003" xr:uid="{00000000-0005-0000-0000-000019700000}"/>
    <cellStyle name="Fixed 4 5 2" xfId="40345" xr:uid="{00000000-0005-0000-0000-00001A700000}"/>
    <cellStyle name="Fixed 4 6" xfId="32883" xr:uid="{00000000-0005-0000-0000-00001B700000}"/>
    <cellStyle name="Fixed 5" xfId="13709" xr:uid="{00000000-0005-0000-0000-00001C700000}"/>
    <cellStyle name="Fixed 5 2" xfId="14512" xr:uid="{00000000-0005-0000-0000-00001D700000}"/>
    <cellStyle name="Fixed 5 2 2" xfId="17002" xr:uid="{00000000-0005-0000-0000-00001E700000}"/>
    <cellStyle name="Fixed 5 2 2 2" xfId="36356" xr:uid="{00000000-0005-0000-0000-00001F700000}"/>
    <cellStyle name="Fixed 5 2 3" xfId="19433" xr:uid="{00000000-0005-0000-0000-000020700000}"/>
    <cellStyle name="Fixed 5 2 3 2" xfId="38786" xr:uid="{00000000-0005-0000-0000-000021700000}"/>
    <cellStyle name="Fixed 5 2 4" xfId="21932" xr:uid="{00000000-0005-0000-0000-000022700000}"/>
    <cellStyle name="Fixed 5 2 4 2" xfId="41274" xr:uid="{00000000-0005-0000-0000-000023700000}"/>
    <cellStyle name="Fixed 5 2 5" xfId="33873" xr:uid="{00000000-0005-0000-0000-000024700000}"/>
    <cellStyle name="Fixed 5 3" xfId="15076" xr:uid="{00000000-0005-0000-0000-000025700000}"/>
    <cellStyle name="Fixed 5 3 2" xfId="17552" xr:uid="{00000000-0005-0000-0000-000026700000}"/>
    <cellStyle name="Fixed 5 3 2 2" xfId="36906" xr:uid="{00000000-0005-0000-0000-000027700000}"/>
    <cellStyle name="Fixed 5 3 3" xfId="19983" xr:uid="{00000000-0005-0000-0000-000028700000}"/>
    <cellStyle name="Fixed 5 3 3 2" xfId="39336" xr:uid="{00000000-0005-0000-0000-000029700000}"/>
    <cellStyle name="Fixed 5 3 4" xfId="22496" xr:uid="{00000000-0005-0000-0000-00002A700000}"/>
    <cellStyle name="Fixed 5 3 4 2" xfId="41838" xr:uid="{00000000-0005-0000-0000-00002B700000}"/>
    <cellStyle name="Fixed 5 3 5" xfId="34437" xr:uid="{00000000-0005-0000-0000-00002C700000}"/>
    <cellStyle name="Fixed 5 4" xfId="15559" xr:uid="{00000000-0005-0000-0000-00002D700000}"/>
    <cellStyle name="Fixed 5 4 2" xfId="18035" xr:uid="{00000000-0005-0000-0000-00002E700000}"/>
    <cellStyle name="Fixed 5 4 2 2" xfId="37389" xr:uid="{00000000-0005-0000-0000-00002F700000}"/>
    <cellStyle name="Fixed 5 4 3" xfId="20466" xr:uid="{00000000-0005-0000-0000-000030700000}"/>
    <cellStyle name="Fixed 5 4 3 2" xfId="39819" xr:uid="{00000000-0005-0000-0000-000031700000}"/>
    <cellStyle name="Fixed 5 4 4" xfId="22979" xr:uid="{00000000-0005-0000-0000-000032700000}"/>
    <cellStyle name="Fixed 5 4 4 2" xfId="42321" xr:uid="{00000000-0005-0000-0000-000033700000}"/>
    <cellStyle name="Fixed 5 4 5" xfId="34920" xr:uid="{00000000-0005-0000-0000-000034700000}"/>
    <cellStyle name="Fixed 5 5" xfId="16228" xr:uid="{00000000-0005-0000-0000-000035700000}"/>
    <cellStyle name="Fixed 5 5 2" xfId="35582" xr:uid="{00000000-0005-0000-0000-000036700000}"/>
    <cellStyle name="Fixed 5 6" xfId="18659" xr:uid="{00000000-0005-0000-0000-000037700000}"/>
    <cellStyle name="Fixed 5 6 2" xfId="38012" xr:uid="{00000000-0005-0000-0000-000038700000}"/>
    <cellStyle name="Fixed 5 7" xfId="21133" xr:uid="{00000000-0005-0000-0000-000039700000}"/>
    <cellStyle name="Fixed 5 7 2" xfId="40475" xr:uid="{00000000-0005-0000-0000-00003A700000}"/>
    <cellStyle name="Fixed 5 8" xfId="33074" xr:uid="{00000000-0005-0000-0000-00003B700000}"/>
    <cellStyle name="Fixed 6" xfId="14214" xr:uid="{00000000-0005-0000-0000-00003C700000}"/>
    <cellStyle name="Fixed 6 2" xfId="16717" xr:uid="{00000000-0005-0000-0000-00003D700000}"/>
    <cellStyle name="Fixed 6 2 2" xfId="36071" xr:uid="{00000000-0005-0000-0000-00003E700000}"/>
    <cellStyle name="Fixed 6 3" xfId="19148" xr:uid="{00000000-0005-0000-0000-00003F700000}"/>
    <cellStyle name="Fixed 6 3 2" xfId="38501" xr:uid="{00000000-0005-0000-0000-000040700000}"/>
    <cellStyle name="Fixed 6 4" xfId="21635" xr:uid="{00000000-0005-0000-0000-000041700000}"/>
    <cellStyle name="Fixed 6 4 2" xfId="40977" xr:uid="{00000000-0005-0000-0000-000042700000}"/>
    <cellStyle name="Fixed 6 5" xfId="33576" xr:uid="{00000000-0005-0000-0000-000043700000}"/>
    <cellStyle name="Fixed 7" xfId="14238" xr:uid="{00000000-0005-0000-0000-000044700000}"/>
    <cellStyle name="Fixed 7 2" xfId="16741" xr:uid="{00000000-0005-0000-0000-000045700000}"/>
    <cellStyle name="Fixed 7 2 2" xfId="36095" xr:uid="{00000000-0005-0000-0000-000046700000}"/>
    <cellStyle name="Fixed 7 3" xfId="19172" xr:uid="{00000000-0005-0000-0000-000047700000}"/>
    <cellStyle name="Fixed 7 3 2" xfId="38525" xr:uid="{00000000-0005-0000-0000-000048700000}"/>
    <cellStyle name="Fixed 7 4" xfId="21659" xr:uid="{00000000-0005-0000-0000-000049700000}"/>
    <cellStyle name="Fixed 7 4 2" xfId="41001" xr:uid="{00000000-0005-0000-0000-00004A700000}"/>
    <cellStyle name="Fixed 7 5" xfId="33600" xr:uid="{00000000-0005-0000-0000-00004B700000}"/>
    <cellStyle name="Fixed 8" xfId="13237" xr:uid="{00000000-0005-0000-0000-00004C700000}"/>
    <cellStyle name="Fixed 8 2" xfId="32690" xr:uid="{00000000-0005-0000-0000-00004D700000}"/>
    <cellStyle name="Fixed 9" xfId="13216" xr:uid="{00000000-0005-0000-0000-00004E700000}"/>
    <cellStyle name="Fixed 9 2" xfId="32682" xr:uid="{00000000-0005-0000-0000-00004F700000}"/>
    <cellStyle name="Fixed0" xfId="1602" xr:uid="{00000000-0005-0000-0000-000050700000}"/>
    <cellStyle name="Fixlong" xfId="1603" xr:uid="{00000000-0005-0000-0000-000051700000}"/>
    <cellStyle name="FOOTER - Style1" xfId="1604" xr:uid="{00000000-0005-0000-0000-000052700000}"/>
    <cellStyle name="Footer SBILogo1" xfId="3949" xr:uid="{00000000-0005-0000-0000-000053700000}"/>
    <cellStyle name="Footer SBILogo2" xfId="3950" xr:uid="{00000000-0005-0000-0000-000054700000}"/>
    <cellStyle name="Footnote" xfId="1605" xr:uid="{00000000-0005-0000-0000-000055700000}"/>
    <cellStyle name="Footnote Reference" xfId="3951" xr:uid="{00000000-0005-0000-0000-000056700000}"/>
    <cellStyle name="Footnote_ACCC" xfId="3952" xr:uid="{00000000-0005-0000-0000-000057700000}"/>
    <cellStyle name="Footnotes" xfId="3953" xr:uid="{00000000-0005-0000-0000-000058700000}"/>
    <cellStyle name="Forecast Cells" xfId="1606" xr:uid="{00000000-0005-0000-0000-000059700000}"/>
    <cellStyle name="Forecast Cells 2" xfId="1607" xr:uid="{00000000-0005-0000-0000-00005A700000}"/>
    <cellStyle name="Forecast Cells 2 2" xfId="4555" xr:uid="{00000000-0005-0000-0000-00005B700000}"/>
    <cellStyle name="Forecast Cells 3" xfId="4554" xr:uid="{00000000-0005-0000-0000-00005C700000}"/>
    <cellStyle name="G1_1999 figures" xfId="1608" xr:uid="{00000000-0005-0000-0000-00005D700000}"/>
    <cellStyle name="General" xfId="1609" xr:uid="{00000000-0005-0000-0000-00005E700000}"/>
    <cellStyle name="GIRExhibit-Bold" xfId="2546" xr:uid="{00000000-0005-0000-0000-00005F700000}"/>
    <cellStyle name="Good" xfId="1610" builtinId="26" customBuiltin="1"/>
    <cellStyle name="Good 2" xfId="2078" xr:uid="{00000000-0005-0000-0000-000061700000}"/>
    <cellStyle name="Good 2 2" xfId="4114" xr:uid="{00000000-0005-0000-0000-000062700000}"/>
    <cellStyle name="Good 3" xfId="2136" xr:uid="{00000000-0005-0000-0000-000063700000}"/>
    <cellStyle name="Grey" xfId="1611" xr:uid="{00000000-0005-0000-0000-000064700000}"/>
    <cellStyle name="Grey 2" xfId="4556" xr:uid="{00000000-0005-0000-0000-000065700000}"/>
    <cellStyle name="Growth" xfId="3954" xr:uid="{00000000-0005-0000-0000-000066700000}"/>
    <cellStyle name="GrowthRate" xfId="1612" xr:uid="{00000000-0005-0000-0000-000067700000}"/>
    <cellStyle name="GrowthSeq" xfId="1613" xr:uid="{00000000-0005-0000-0000-000068700000}"/>
    <cellStyle name="H_1998_col_head" xfId="1614" xr:uid="{00000000-0005-0000-0000-000069700000}"/>
    <cellStyle name="H_1998_col_head 2" xfId="1992" xr:uid="{00000000-0005-0000-0000-00006A700000}"/>
    <cellStyle name="H_1998_col_head_Company0320 DCF" xfId="1615" xr:uid="{00000000-0005-0000-0000-00006B700000}"/>
    <cellStyle name="H_1998_col_head_Company0320 for Client" xfId="1616" xr:uid="{00000000-0005-0000-0000-00006C700000}"/>
    <cellStyle name="H_1998_col_head_Company0320 working" xfId="1617" xr:uid="{00000000-0005-0000-0000-00006D700000}"/>
    <cellStyle name="H_1998_col_head_Check" xfId="1618" xr:uid="{00000000-0005-0000-0000-00006E700000}"/>
    <cellStyle name="H_1998_col_head_CROCI" xfId="1619" xr:uid="{00000000-0005-0000-0000-00006F700000}"/>
    <cellStyle name="H_1998_col_head_Ticker0018 DCF" xfId="1620" xr:uid="{00000000-0005-0000-0000-000070700000}"/>
    <cellStyle name="H_1998_col_head_Ticker0018 DCF published 8.13.2009" xfId="1621" xr:uid="{00000000-0005-0000-0000-000071700000}"/>
    <cellStyle name="H_1998_col_head_LC Rx trend vs est" xfId="1622" xr:uid="{00000000-0005-0000-0000-000072700000}"/>
    <cellStyle name="H_1998_col_head_Company1562 working" xfId="1623" xr:uid="{00000000-0005-0000-0000-000073700000}"/>
    <cellStyle name="H_1999_col_head" xfId="1624" xr:uid="{00000000-0005-0000-0000-000074700000}"/>
    <cellStyle name="H1_1998 figures" xfId="1625" xr:uid="{00000000-0005-0000-0000-000075700000}"/>
    <cellStyle name="hard no." xfId="1626" xr:uid="{00000000-0005-0000-0000-000076700000}"/>
    <cellStyle name="hard no. 2" xfId="13433" xr:uid="{00000000-0005-0000-0000-000077700000}"/>
    <cellStyle name="hard no. 2 10" xfId="20935" xr:uid="{00000000-0005-0000-0000-000078700000}"/>
    <cellStyle name="hard no. 2 10 2" xfId="40277" xr:uid="{00000000-0005-0000-0000-000079700000}"/>
    <cellStyle name="hard no. 2 11" xfId="32812" xr:uid="{00000000-0005-0000-0000-00007A700000}"/>
    <cellStyle name="hard no. 2 2" xfId="13561" xr:uid="{00000000-0005-0000-0000-00007B700000}"/>
    <cellStyle name="hard no. 2 2 10" xfId="32930" xr:uid="{00000000-0005-0000-0000-00007C700000}"/>
    <cellStyle name="hard no. 2 2 2" xfId="13859" xr:uid="{00000000-0005-0000-0000-00007D700000}"/>
    <cellStyle name="hard no. 2 2 2 2" xfId="14654" xr:uid="{00000000-0005-0000-0000-00007E700000}"/>
    <cellStyle name="hard no. 2 2 2 2 2" xfId="17135" xr:uid="{00000000-0005-0000-0000-00007F700000}"/>
    <cellStyle name="hard no. 2 2 2 2 2 2" xfId="36489" xr:uid="{00000000-0005-0000-0000-000080700000}"/>
    <cellStyle name="hard no. 2 2 2 2 3" xfId="19566" xr:uid="{00000000-0005-0000-0000-000081700000}"/>
    <cellStyle name="hard no. 2 2 2 2 3 2" xfId="38919" xr:uid="{00000000-0005-0000-0000-000082700000}"/>
    <cellStyle name="hard no. 2 2 2 2 4" xfId="22074" xr:uid="{00000000-0005-0000-0000-000083700000}"/>
    <cellStyle name="hard no. 2 2 2 2 4 2" xfId="41416" xr:uid="{00000000-0005-0000-0000-000084700000}"/>
    <cellStyle name="hard no. 2 2 2 2 5" xfId="34015" xr:uid="{00000000-0005-0000-0000-000085700000}"/>
    <cellStyle name="hard no. 2 2 2 3" xfId="15207" xr:uid="{00000000-0005-0000-0000-000086700000}"/>
    <cellStyle name="hard no. 2 2 2 3 2" xfId="17683" xr:uid="{00000000-0005-0000-0000-000087700000}"/>
    <cellStyle name="hard no. 2 2 2 3 2 2" xfId="37037" xr:uid="{00000000-0005-0000-0000-000088700000}"/>
    <cellStyle name="hard no. 2 2 2 3 3" xfId="20114" xr:uid="{00000000-0005-0000-0000-000089700000}"/>
    <cellStyle name="hard no. 2 2 2 3 3 2" xfId="39467" xr:uid="{00000000-0005-0000-0000-00008A700000}"/>
    <cellStyle name="hard no. 2 2 2 3 4" xfId="22627" xr:uid="{00000000-0005-0000-0000-00008B700000}"/>
    <cellStyle name="hard no. 2 2 2 3 4 2" xfId="41969" xr:uid="{00000000-0005-0000-0000-00008C700000}"/>
    <cellStyle name="hard no. 2 2 2 3 5" xfId="34568" xr:uid="{00000000-0005-0000-0000-00008D700000}"/>
    <cellStyle name="hard no. 2 2 2 4" xfId="15678" xr:uid="{00000000-0005-0000-0000-00008E700000}"/>
    <cellStyle name="hard no. 2 2 2 4 2" xfId="18154" xr:uid="{00000000-0005-0000-0000-00008F700000}"/>
    <cellStyle name="hard no. 2 2 2 4 2 2" xfId="37508" xr:uid="{00000000-0005-0000-0000-000090700000}"/>
    <cellStyle name="hard no. 2 2 2 4 3" xfId="20585" xr:uid="{00000000-0005-0000-0000-000091700000}"/>
    <cellStyle name="hard no. 2 2 2 4 3 2" xfId="39938" xr:uid="{00000000-0005-0000-0000-000092700000}"/>
    <cellStyle name="hard no. 2 2 2 4 4" xfId="23098" xr:uid="{00000000-0005-0000-0000-000093700000}"/>
    <cellStyle name="hard no. 2 2 2 4 4 2" xfId="42440" xr:uid="{00000000-0005-0000-0000-000094700000}"/>
    <cellStyle name="hard no. 2 2 2 4 5" xfId="35039" xr:uid="{00000000-0005-0000-0000-000095700000}"/>
    <cellStyle name="hard no. 2 2 2 5" xfId="16368" xr:uid="{00000000-0005-0000-0000-000096700000}"/>
    <cellStyle name="hard no. 2 2 2 5 2" xfId="35722" xr:uid="{00000000-0005-0000-0000-000097700000}"/>
    <cellStyle name="hard no. 2 2 2 6" xfId="18799" xr:uid="{00000000-0005-0000-0000-000098700000}"/>
    <cellStyle name="hard no. 2 2 2 6 2" xfId="38152" xr:uid="{00000000-0005-0000-0000-000099700000}"/>
    <cellStyle name="hard no. 2 2 2 7" xfId="21282" xr:uid="{00000000-0005-0000-0000-00009A700000}"/>
    <cellStyle name="hard no. 2 2 2 7 2" xfId="40624" xr:uid="{00000000-0005-0000-0000-00009B700000}"/>
    <cellStyle name="hard no. 2 2 2 8" xfId="33223" xr:uid="{00000000-0005-0000-0000-00009C700000}"/>
    <cellStyle name="hard no. 2 2 3" xfId="14077" xr:uid="{00000000-0005-0000-0000-00009D700000}"/>
    <cellStyle name="hard no. 2 2 3 2" xfId="14865" xr:uid="{00000000-0005-0000-0000-00009E700000}"/>
    <cellStyle name="hard no. 2 2 3 2 2" xfId="17343" xr:uid="{00000000-0005-0000-0000-00009F700000}"/>
    <cellStyle name="hard no. 2 2 3 2 2 2" xfId="36697" xr:uid="{00000000-0005-0000-0000-0000A0700000}"/>
    <cellStyle name="hard no. 2 2 3 2 3" xfId="19774" xr:uid="{00000000-0005-0000-0000-0000A1700000}"/>
    <cellStyle name="hard no. 2 2 3 2 3 2" xfId="39127" xr:uid="{00000000-0005-0000-0000-0000A2700000}"/>
    <cellStyle name="hard no. 2 2 3 2 4" xfId="22285" xr:uid="{00000000-0005-0000-0000-0000A3700000}"/>
    <cellStyle name="hard no. 2 2 3 2 4 2" xfId="41627" xr:uid="{00000000-0005-0000-0000-0000A4700000}"/>
    <cellStyle name="hard no. 2 2 3 2 5" xfId="34226" xr:uid="{00000000-0005-0000-0000-0000A5700000}"/>
    <cellStyle name="hard no. 2 2 3 3" xfId="15412" xr:uid="{00000000-0005-0000-0000-0000A6700000}"/>
    <cellStyle name="hard no. 2 2 3 3 2" xfId="17888" xr:uid="{00000000-0005-0000-0000-0000A7700000}"/>
    <cellStyle name="hard no. 2 2 3 3 2 2" xfId="37242" xr:uid="{00000000-0005-0000-0000-0000A8700000}"/>
    <cellStyle name="hard no. 2 2 3 3 3" xfId="20319" xr:uid="{00000000-0005-0000-0000-0000A9700000}"/>
    <cellStyle name="hard no. 2 2 3 3 3 2" xfId="39672" xr:uid="{00000000-0005-0000-0000-0000AA700000}"/>
    <cellStyle name="hard no. 2 2 3 3 4" xfId="22832" xr:uid="{00000000-0005-0000-0000-0000AB700000}"/>
    <cellStyle name="hard no. 2 2 3 3 4 2" xfId="42174" xr:uid="{00000000-0005-0000-0000-0000AC700000}"/>
    <cellStyle name="hard no. 2 2 3 3 5" xfId="34773" xr:uid="{00000000-0005-0000-0000-0000AD700000}"/>
    <cellStyle name="hard no. 2 2 3 4" xfId="15871" xr:uid="{00000000-0005-0000-0000-0000AE700000}"/>
    <cellStyle name="hard no. 2 2 3 4 2" xfId="18347" xr:uid="{00000000-0005-0000-0000-0000AF700000}"/>
    <cellStyle name="hard no. 2 2 3 4 2 2" xfId="37701" xr:uid="{00000000-0005-0000-0000-0000B0700000}"/>
    <cellStyle name="hard no. 2 2 3 4 3" xfId="20778" xr:uid="{00000000-0005-0000-0000-0000B1700000}"/>
    <cellStyle name="hard no. 2 2 3 4 3 2" xfId="40131" xr:uid="{00000000-0005-0000-0000-0000B2700000}"/>
    <cellStyle name="hard no. 2 2 3 4 4" xfId="23291" xr:uid="{00000000-0005-0000-0000-0000B3700000}"/>
    <cellStyle name="hard no. 2 2 3 4 4 2" xfId="42633" xr:uid="{00000000-0005-0000-0000-0000B4700000}"/>
    <cellStyle name="hard no. 2 2 3 4 5" xfId="35232" xr:uid="{00000000-0005-0000-0000-0000B5700000}"/>
    <cellStyle name="hard no. 2 2 3 5" xfId="16583" xr:uid="{00000000-0005-0000-0000-0000B6700000}"/>
    <cellStyle name="hard no. 2 2 3 5 2" xfId="35937" xr:uid="{00000000-0005-0000-0000-0000B7700000}"/>
    <cellStyle name="hard no. 2 2 3 6" xfId="19014" xr:uid="{00000000-0005-0000-0000-0000B8700000}"/>
    <cellStyle name="hard no. 2 2 3 6 2" xfId="38367" xr:uid="{00000000-0005-0000-0000-0000B9700000}"/>
    <cellStyle name="hard no. 2 2 3 7" xfId="21500" xr:uid="{00000000-0005-0000-0000-0000BA700000}"/>
    <cellStyle name="hard no. 2 2 3 7 2" xfId="40842" xr:uid="{00000000-0005-0000-0000-0000BB700000}"/>
    <cellStyle name="hard no. 2 2 3 8" xfId="33441" xr:uid="{00000000-0005-0000-0000-0000BC700000}"/>
    <cellStyle name="hard no. 2 2 4" xfId="14372" xr:uid="{00000000-0005-0000-0000-0000BD700000}"/>
    <cellStyle name="hard no. 2 2 4 2" xfId="16865" xr:uid="{00000000-0005-0000-0000-0000BE700000}"/>
    <cellStyle name="hard no. 2 2 4 2 2" xfId="36219" xr:uid="{00000000-0005-0000-0000-0000BF700000}"/>
    <cellStyle name="hard no. 2 2 4 3" xfId="19296" xr:uid="{00000000-0005-0000-0000-0000C0700000}"/>
    <cellStyle name="hard no. 2 2 4 3 2" xfId="38649" xr:uid="{00000000-0005-0000-0000-0000C1700000}"/>
    <cellStyle name="hard no. 2 2 4 4" xfId="21792" xr:uid="{00000000-0005-0000-0000-0000C2700000}"/>
    <cellStyle name="hard no. 2 2 4 4 2" xfId="41134" xr:uid="{00000000-0005-0000-0000-0000C3700000}"/>
    <cellStyle name="hard no. 2 2 4 5" xfId="33733" xr:uid="{00000000-0005-0000-0000-0000C4700000}"/>
    <cellStyle name="hard no. 2 2 5" xfId="15003" xr:uid="{00000000-0005-0000-0000-0000C5700000}"/>
    <cellStyle name="hard no. 2 2 5 2" xfId="17479" xr:uid="{00000000-0005-0000-0000-0000C6700000}"/>
    <cellStyle name="hard no. 2 2 5 2 2" xfId="36833" xr:uid="{00000000-0005-0000-0000-0000C7700000}"/>
    <cellStyle name="hard no. 2 2 5 3" xfId="19910" xr:uid="{00000000-0005-0000-0000-0000C8700000}"/>
    <cellStyle name="hard no. 2 2 5 3 2" xfId="39263" xr:uid="{00000000-0005-0000-0000-0000C9700000}"/>
    <cellStyle name="hard no. 2 2 5 4" xfId="22423" xr:uid="{00000000-0005-0000-0000-0000CA700000}"/>
    <cellStyle name="hard no. 2 2 5 4 2" xfId="41765" xr:uid="{00000000-0005-0000-0000-0000CB700000}"/>
    <cellStyle name="hard no. 2 2 5 5" xfId="34364" xr:uid="{00000000-0005-0000-0000-0000CC700000}"/>
    <cellStyle name="hard no. 2 2 6" xfId="14207" xr:uid="{00000000-0005-0000-0000-0000CD700000}"/>
    <cellStyle name="hard no. 2 2 6 2" xfId="16711" xr:uid="{00000000-0005-0000-0000-0000CE700000}"/>
    <cellStyle name="hard no. 2 2 6 2 2" xfId="36065" xr:uid="{00000000-0005-0000-0000-0000CF700000}"/>
    <cellStyle name="hard no. 2 2 6 3" xfId="19142" xr:uid="{00000000-0005-0000-0000-0000D0700000}"/>
    <cellStyle name="hard no. 2 2 6 3 2" xfId="38495" xr:uid="{00000000-0005-0000-0000-0000D1700000}"/>
    <cellStyle name="hard no. 2 2 6 4" xfId="21629" xr:uid="{00000000-0005-0000-0000-0000D2700000}"/>
    <cellStyle name="hard no. 2 2 6 4 2" xfId="40971" xr:uid="{00000000-0005-0000-0000-0000D3700000}"/>
    <cellStyle name="hard no. 2 2 6 5" xfId="33570" xr:uid="{00000000-0005-0000-0000-0000D4700000}"/>
    <cellStyle name="hard no. 2 2 7" xfId="16103" xr:uid="{00000000-0005-0000-0000-0000D5700000}"/>
    <cellStyle name="hard no. 2 2 7 2" xfId="35457" xr:uid="{00000000-0005-0000-0000-0000D6700000}"/>
    <cellStyle name="hard no. 2 2 8" xfId="18515" xr:uid="{00000000-0005-0000-0000-0000D7700000}"/>
    <cellStyle name="hard no. 2 2 8 2" xfId="37868" xr:uid="{00000000-0005-0000-0000-0000D8700000}"/>
    <cellStyle name="hard no. 2 2 9" xfId="21024" xr:uid="{00000000-0005-0000-0000-0000D9700000}"/>
    <cellStyle name="hard no. 2 2 9 2" xfId="40366" xr:uid="{00000000-0005-0000-0000-0000DA700000}"/>
    <cellStyle name="hard no. 2 3" xfId="13631" xr:uid="{00000000-0005-0000-0000-0000DB700000}"/>
    <cellStyle name="hard no. 2 3 2" xfId="13931" xr:uid="{00000000-0005-0000-0000-0000DC700000}"/>
    <cellStyle name="hard no. 2 3 2 2" xfId="14726" xr:uid="{00000000-0005-0000-0000-0000DD700000}"/>
    <cellStyle name="hard no. 2 3 2 2 2" xfId="17204" xr:uid="{00000000-0005-0000-0000-0000DE700000}"/>
    <cellStyle name="hard no. 2 3 2 2 2 2" xfId="36558" xr:uid="{00000000-0005-0000-0000-0000DF700000}"/>
    <cellStyle name="hard no. 2 3 2 2 3" xfId="19635" xr:uid="{00000000-0005-0000-0000-0000E0700000}"/>
    <cellStyle name="hard no. 2 3 2 2 3 2" xfId="38988" xr:uid="{00000000-0005-0000-0000-0000E1700000}"/>
    <cellStyle name="hard no. 2 3 2 2 4" xfId="22146" xr:uid="{00000000-0005-0000-0000-0000E2700000}"/>
    <cellStyle name="hard no. 2 3 2 2 4 2" xfId="41488" xr:uid="{00000000-0005-0000-0000-0000E3700000}"/>
    <cellStyle name="hard no. 2 3 2 2 5" xfId="34087" xr:uid="{00000000-0005-0000-0000-0000E4700000}"/>
    <cellStyle name="hard no. 2 3 2 3" xfId="15274" xr:uid="{00000000-0005-0000-0000-0000E5700000}"/>
    <cellStyle name="hard no. 2 3 2 3 2" xfId="17750" xr:uid="{00000000-0005-0000-0000-0000E6700000}"/>
    <cellStyle name="hard no. 2 3 2 3 2 2" xfId="37104" xr:uid="{00000000-0005-0000-0000-0000E7700000}"/>
    <cellStyle name="hard no. 2 3 2 3 3" xfId="20181" xr:uid="{00000000-0005-0000-0000-0000E8700000}"/>
    <cellStyle name="hard no. 2 3 2 3 3 2" xfId="39534" xr:uid="{00000000-0005-0000-0000-0000E9700000}"/>
    <cellStyle name="hard no. 2 3 2 3 4" xfId="22694" xr:uid="{00000000-0005-0000-0000-0000EA700000}"/>
    <cellStyle name="hard no. 2 3 2 3 4 2" xfId="42036" xr:uid="{00000000-0005-0000-0000-0000EB700000}"/>
    <cellStyle name="hard no. 2 3 2 3 5" xfId="34635" xr:uid="{00000000-0005-0000-0000-0000EC700000}"/>
    <cellStyle name="hard no. 2 3 2 4" xfId="15733" xr:uid="{00000000-0005-0000-0000-0000ED700000}"/>
    <cellStyle name="hard no. 2 3 2 4 2" xfId="18209" xr:uid="{00000000-0005-0000-0000-0000EE700000}"/>
    <cellStyle name="hard no. 2 3 2 4 2 2" xfId="37563" xr:uid="{00000000-0005-0000-0000-0000EF700000}"/>
    <cellStyle name="hard no. 2 3 2 4 3" xfId="20640" xr:uid="{00000000-0005-0000-0000-0000F0700000}"/>
    <cellStyle name="hard no. 2 3 2 4 3 2" xfId="39993" xr:uid="{00000000-0005-0000-0000-0000F1700000}"/>
    <cellStyle name="hard no. 2 3 2 4 4" xfId="23153" xr:uid="{00000000-0005-0000-0000-0000F2700000}"/>
    <cellStyle name="hard no. 2 3 2 4 4 2" xfId="42495" xr:uid="{00000000-0005-0000-0000-0000F3700000}"/>
    <cellStyle name="hard no. 2 3 2 4 5" xfId="35094" xr:uid="{00000000-0005-0000-0000-0000F4700000}"/>
    <cellStyle name="hard no. 2 3 2 5" xfId="16437" xr:uid="{00000000-0005-0000-0000-0000F5700000}"/>
    <cellStyle name="hard no. 2 3 2 5 2" xfId="35791" xr:uid="{00000000-0005-0000-0000-0000F6700000}"/>
    <cellStyle name="hard no. 2 3 2 6" xfId="18868" xr:uid="{00000000-0005-0000-0000-0000F7700000}"/>
    <cellStyle name="hard no. 2 3 2 6 2" xfId="38221" xr:uid="{00000000-0005-0000-0000-0000F8700000}"/>
    <cellStyle name="hard no. 2 3 2 7" xfId="21354" xr:uid="{00000000-0005-0000-0000-0000F9700000}"/>
    <cellStyle name="hard no. 2 3 2 7 2" xfId="40696" xr:uid="{00000000-0005-0000-0000-0000FA700000}"/>
    <cellStyle name="hard no. 2 3 2 8" xfId="33295" xr:uid="{00000000-0005-0000-0000-0000FB700000}"/>
    <cellStyle name="hard no. 2 3 3" xfId="14146" xr:uid="{00000000-0005-0000-0000-0000FC700000}"/>
    <cellStyle name="hard no. 2 3 3 2" xfId="14923" xr:uid="{00000000-0005-0000-0000-0000FD700000}"/>
    <cellStyle name="hard no. 2 3 3 2 2" xfId="17401" xr:uid="{00000000-0005-0000-0000-0000FE700000}"/>
    <cellStyle name="hard no. 2 3 3 2 2 2" xfId="36755" xr:uid="{00000000-0005-0000-0000-0000FF700000}"/>
    <cellStyle name="hard no. 2 3 3 2 3" xfId="19832" xr:uid="{00000000-0005-0000-0000-000000710000}"/>
    <cellStyle name="hard no. 2 3 3 2 3 2" xfId="39185" xr:uid="{00000000-0005-0000-0000-000001710000}"/>
    <cellStyle name="hard no. 2 3 3 2 4" xfId="22343" xr:uid="{00000000-0005-0000-0000-000002710000}"/>
    <cellStyle name="hard no. 2 3 3 2 4 2" xfId="41685" xr:uid="{00000000-0005-0000-0000-000003710000}"/>
    <cellStyle name="hard no. 2 3 3 2 5" xfId="34284" xr:uid="{00000000-0005-0000-0000-000004710000}"/>
    <cellStyle name="hard no. 2 3 3 3" xfId="15469" xr:uid="{00000000-0005-0000-0000-000005710000}"/>
    <cellStyle name="hard no. 2 3 3 3 2" xfId="17945" xr:uid="{00000000-0005-0000-0000-000006710000}"/>
    <cellStyle name="hard no. 2 3 3 3 2 2" xfId="37299" xr:uid="{00000000-0005-0000-0000-000007710000}"/>
    <cellStyle name="hard no. 2 3 3 3 3" xfId="20376" xr:uid="{00000000-0005-0000-0000-000008710000}"/>
    <cellStyle name="hard no. 2 3 3 3 3 2" xfId="39729" xr:uid="{00000000-0005-0000-0000-000009710000}"/>
    <cellStyle name="hard no. 2 3 3 3 4" xfId="22889" xr:uid="{00000000-0005-0000-0000-00000A710000}"/>
    <cellStyle name="hard no. 2 3 3 3 4 2" xfId="42231" xr:uid="{00000000-0005-0000-0000-00000B710000}"/>
    <cellStyle name="hard no. 2 3 3 3 5" xfId="34830" xr:uid="{00000000-0005-0000-0000-00000C710000}"/>
    <cellStyle name="hard no. 2 3 3 4" xfId="15928" xr:uid="{00000000-0005-0000-0000-00000D710000}"/>
    <cellStyle name="hard no. 2 3 3 4 2" xfId="18404" xr:uid="{00000000-0005-0000-0000-00000E710000}"/>
    <cellStyle name="hard no. 2 3 3 4 2 2" xfId="37758" xr:uid="{00000000-0005-0000-0000-00000F710000}"/>
    <cellStyle name="hard no. 2 3 3 4 3" xfId="20835" xr:uid="{00000000-0005-0000-0000-000010710000}"/>
    <cellStyle name="hard no. 2 3 3 4 3 2" xfId="40188" xr:uid="{00000000-0005-0000-0000-000011710000}"/>
    <cellStyle name="hard no. 2 3 3 4 4" xfId="23348" xr:uid="{00000000-0005-0000-0000-000012710000}"/>
    <cellStyle name="hard no. 2 3 3 4 4 2" xfId="42690" xr:uid="{00000000-0005-0000-0000-000013710000}"/>
    <cellStyle name="hard no. 2 3 3 4 5" xfId="35289" xr:uid="{00000000-0005-0000-0000-000014710000}"/>
    <cellStyle name="hard no. 2 3 3 5" xfId="16652" xr:uid="{00000000-0005-0000-0000-000015710000}"/>
    <cellStyle name="hard no. 2 3 3 5 2" xfId="36006" xr:uid="{00000000-0005-0000-0000-000016710000}"/>
    <cellStyle name="hard no. 2 3 3 6" xfId="19083" xr:uid="{00000000-0005-0000-0000-000017710000}"/>
    <cellStyle name="hard no. 2 3 3 6 2" xfId="38436" xr:uid="{00000000-0005-0000-0000-000018710000}"/>
    <cellStyle name="hard no. 2 3 3 7" xfId="21569" xr:uid="{00000000-0005-0000-0000-000019710000}"/>
    <cellStyle name="hard no. 2 3 3 7 2" xfId="40911" xr:uid="{00000000-0005-0000-0000-00001A710000}"/>
    <cellStyle name="hard no. 2 3 3 8" xfId="33510" xr:uid="{00000000-0005-0000-0000-00001B710000}"/>
    <cellStyle name="hard no. 2 3 4" xfId="14441" xr:uid="{00000000-0005-0000-0000-00001C710000}"/>
    <cellStyle name="hard no. 2 3 4 2" xfId="16931" xr:uid="{00000000-0005-0000-0000-00001D710000}"/>
    <cellStyle name="hard no. 2 3 4 2 2" xfId="36285" xr:uid="{00000000-0005-0000-0000-00001E710000}"/>
    <cellStyle name="hard no. 2 3 4 3" xfId="19362" xr:uid="{00000000-0005-0000-0000-00001F710000}"/>
    <cellStyle name="hard no. 2 3 4 3 2" xfId="38715" xr:uid="{00000000-0005-0000-0000-000020710000}"/>
    <cellStyle name="hard no. 2 3 4 4" xfId="21861" xr:uid="{00000000-0005-0000-0000-000021710000}"/>
    <cellStyle name="hard no. 2 3 4 4 2" xfId="41203" xr:uid="{00000000-0005-0000-0000-000022710000}"/>
    <cellStyle name="hard no. 2 3 4 5" xfId="33802" xr:uid="{00000000-0005-0000-0000-000023710000}"/>
    <cellStyle name="hard no. 2 3 5" xfId="15521" xr:uid="{00000000-0005-0000-0000-000024710000}"/>
    <cellStyle name="hard no. 2 3 5 2" xfId="17997" xr:uid="{00000000-0005-0000-0000-000025710000}"/>
    <cellStyle name="hard no. 2 3 5 2 2" xfId="37351" xr:uid="{00000000-0005-0000-0000-000026710000}"/>
    <cellStyle name="hard no. 2 3 5 3" xfId="20428" xr:uid="{00000000-0005-0000-0000-000027710000}"/>
    <cellStyle name="hard no. 2 3 5 3 2" xfId="39781" xr:uid="{00000000-0005-0000-0000-000028710000}"/>
    <cellStyle name="hard no. 2 3 5 4" xfId="22941" xr:uid="{00000000-0005-0000-0000-000029710000}"/>
    <cellStyle name="hard no. 2 3 5 4 2" xfId="42283" xr:uid="{00000000-0005-0000-0000-00002A710000}"/>
    <cellStyle name="hard no. 2 3 5 5" xfId="34882" xr:uid="{00000000-0005-0000-0000-00002B710000}"/>
    <cellStyle name="hard no. 2 3 6" xfId="16151" xr:uid="{00000000-0005-0000-0000-00002C710000}"/>
    <cellStyle name="hard no. 2 3 6 2" xfId="35505" xr:uid="{00000000-0005-0000-0000-00002D710000}"/>
    <cellStyle name="hard no. 2 3 7" xfId="18582" xr:uid="{00000000-0005-0000-0000-00002E710000}"/>
    <cellStyle name="hard no. 2 3 7 2" xfId="37935" xr:uid="{00000000-0005-0000-0000-00002F710000}"/>
    <cellStyle name="hard no. 2 3 8" xfId="21056" xr:uid="{00000000-0005-0000-0000-000030710000}"/>
    <cellStyle name="hard no. 2 3 8 2" xfId="40398" xr:uid="{00000000-0005-0000-0000-000031710000}"/>
    <cellStyle name="hard no. 2 3 9" xfId="32997" xr:uid="{00000000-0005-0000-0000-000032710000}"/>
    <cellStyle name="hard no. 2 4" xfId="13762" xr:uid="{00000000-0005-0000-0000-000033710000}"/>
    <cellStyle name="hard no. 2 4 2" xfId="14562" xr:uid="{00000000-0005-0000-0000-000034710000}"/>
    <cellStyle name="hard no. 2 4 2 2" xfId="17049" xr:uid="{00000000-0005-0000-0000-000035710000}"/>
    <cellStyle name="hard no. 2 4 2 2 2" xfId="36403" xr:uid="{00000000-0005-0000-0000-000036710000}"/>
    <cellStyle name="hard no. 2 4 2 3" xfId="19480" xr:uid="{00000000-0005-0000-0000-000037710000}"/>
    <cellStyle name="hard no. 2 4 2 3 2" xfId="38833" xr:uid="{00000000-0005-0000-0000-000038710000}"/>
    <cellStyle name="hard no. 2 4 2 4" xfId="21982" xr:uid="{00000000-0005-0000-0000-000039710000}"/>
    <cellStyle name="hard no. 2 4 2 4 2" xfId="41324" xr:uid="{00000000-0005-0000-0000-00003A710000}"/>
    <cellStyle name="hard no. 2 4 2 5" xfId="33923" xr:uid="{00000000-0005-0000-0000-00003B710000}"/>
    <cellStyle name="hard no. 2 4 3" xfId="15123" xr:uid="{00000000-0005-0000-0000-00003C710000}"/>
    <cellStyle name="hard no. 2 4 3 2" xfId="17599" xr:uid="{00000000-0005-0000-0000-00003D710000}"/>
    <cellStyle name="hard no. 2 4 3 2 2" xfId="36953" xr:uid="{00000000-0005-0000-0000-00003E710000}"/>
    <cellStyle name="hard no. 2 4 3 3" xfId="20030" xr:uid="{00000000-0005-0000-0000-00003F710000}"/>
    <cellStyle name="hard no. 2 4 3 3 2" xfId="39383" xr:uid="{00000000-0005-0000-0000-000040710000}"/>
    <cellStyle name="hard no. 2 4 3 4" xfId="22543" xr:uid="{00000000-0005-0000-0000-000041710000}"/>
    <cellStyle name="hard no. 2 4 3 4 2" xfId="41885" xr:uid="{00000000-0005-0000-0000-000042710000}"/>
    <cellStyle name="hard no. 2 4 3 5" xfId="34484" xr:uid="{00000000-0005-0000-0000-000043710000}"/>
    <cellStyle name="hard no. 2 4 4" xfId="15605" xr:uid="{00000000-0005-0000-0000-000044710000}"/>
    <cellStyle name="hard no. 2 4 4 2" xfId="18081" xr:uid="{00000000-0005-0000-0000-000045710000}"/>
    <cellStyle name="hard no. 2 4 4 2 2" xfId="37435" xr:uid="{00000000-0005-0000-0000-000046710000}"/>
    <cellStyle name="hard no. 2 4 4 3" xfId="20512" xr:uid="{00000000-0005-0000-0000-000047710000}"/>
    <cellStyle name="hard no. 2 4 4 3 2" xfId="39865" xr:uid="{00000000-0005-0000-0000-000048710000}"/>
    <cellStyle name="hard no. 2 4 4 4" xfId="23025" xr:uid="{00000000-0005-0000-0000-000049710000}"/>
    <cellStyle name="hard no. 2 4 4 4 2" xfId="42367" xr:uid="{00000000-0005-0000-0000-00004A710000}"/>
    <cellStyle name="hard no. 2 4 4 5" xfId="34966" xr:uid="{00000000-0005-0000-0000-00004B710000}"/>
    <cellStyle name="hard no. 2 4 5" xfId="16277" xr:uid="{00000000-0005-0000-0000-00004C710000}"/>
    <cellStyle name="hard no. 2 4 5 2" xfId="35631" xr:uid="{00000000-0005-0000-0000-00004D710000}"/>
    <cellStyle name="hard no. 2 4 6" xfId="18708" xr:uid="{00000000-0005-0000-0000-00004E710000}"/>
    <cellStyle name="hard no. 2 4 6 2" xfId="38061" xr:uid="{00000000-0005-0000-0000-00004F710000}"/>
    <cellStyle name="hard no. 2 4 7" xfId="21185" xr:uid="{00000000-0005-0000-0000-000050710000}"/>
    <cellStyle name="hard no. 2 4 7 2" xfId="40527" xr:uid="{00000000-0005-0000-0000-000051710000}"/>
    <cellStyle name="hard no. 2 4 8" xfId="33126" xr:uid="{00000000-0005-0000-0000-000052710000}"/>
    <cellStyle name="hard no. 2 5" xfId="13984" xr:uid="{00000000-0005-0000-0000-000053710000}"/>
    <cellStyle name="hard no. 2 5 2" xfId="14779" xr:uid="{00000000-0005-0000-0000-000054710000}"/>
    <cellStyle name="hard no. 2 5 2 2" xfId="17257" xr:uid="{00000000-0005-0000-0000-000055710000}"/>
    <cellStyle name="hard no. 2 5 2 2 2" xfId="36611" xr:uid="{00000000-0005-0000-0000-000056710000}"/>
    <cellStyle name="hard no. 2 5 2 3" xfId="19688" xr:uid="{00000000-0005-0000-0000-000057710000}"/>
    <cellStyle name="hard no. 2 5 2 3 2" xfId="39041" xr:uid="{00000000-0005-0000-0000-000058710000}"/>
    <cellStyle name="hard no. 2 5 2 4" xfId="22199" xr:uid="{00000000-0005-0000-0000-000059710000}"/>
    <cellStyle name="hard no. 2 5 2 4 2" xfId="41541" xr:uid="{00000000-0005-0000-0000-00005A710000}"/>
    <cellStyle name="hard no. 2 5 2 5" xfId="34140" xr:uid="{00000000-0005-0000-0000-00005B710000}"/>
    <cellStyle name="hard no. 2 5 3" xfId="15327" xr:uid="{00000000-0005-0000-0000-00005C710000}"/>
    <cellStyle name="hard no. 2 5 3 2" xfId="17803" xr:uid="{00000000-0005-0000-0000-00005D710000}"/>
    <cellStyle name="hard no. 2 5 3 2 2" xfId="37157" xr:uid="{00000000-0005-0000-0000-00005E710000}"/>
    <cellStyle name="hard no. 2 5 3 3" xfId="20234" xr:uid="{00000000-0005-0000-0000-00005F710000}"/>
    <cellStyle name="hard no. 2 5 3 3 2" xfId="39587" xr:uid="{00000000-0005-0000-0000-000060710000}"/>
    <cellStyle name="hard no. 2 5 3 4" xfId="22747" xr:uid="{00000000-0005-0000-0000-000061710000}"/>
    <cellStyle name="hard no. 2 5 3 4 2" xfId="42089" xr:uid="{00000000-0005-0000-0000-000062710000}"/>
    <cellStyle name="hard no. 2 5 3 5" xfId="34688" xr:uid="{00000000-0005-0000-0000-000063710000}"/>
    <cellStyle name="hard no. 2 5 4" xfId="15786" xr:uid="{00000000-0005-0000-0000-000064710000}"/>
    <cellStyle name="hard no. 2 5 4 2" xfId="18262" xr:uid="{00000000-0005-0000-0000-000065710000}"/>
    <cellStyle name="hard no. 2 5 4 2 2" xfId="37616" xr:uid="{00000000-0005-0000-0000-000066710000}"/>
    <cellStyle name="hard no. 2 5 4 3" xfId="20693" xr:uid="{00000000-0005-0000-0000-000067710000}"/>
    <cellStyle name="hard no. 2 5 4 3 2" xfId="40046" xr:uid="{00000000-0005-0000-0000-000068710000}"/>
    <cellStyle name="hard no. 2 5 4 4" xfId="23206" xr:uid="{00000000-0005-0000-0000-000069710000}"/>
    <cellStyle name="hard no. 2 5 4 4 2" xfId="42548" xr:uid="{00000000-0005-0000-0000-00006A710000}"/>
    <cellStyle name="hard no. 2 5 4 5" xfId="35147" xr:uid="{00000000-0005-0000-0000-00006B710000}"/>
    <cellStyle name="hard no. 2 5 5" xfId="16490" xr:uid="{00000000-0005-0000-0000-00006C710000}"/>
    <cellStyle name="hard no. 2 5 5 2" xfId="35844" xr:uid="{00000000-0005-0000-0000-00006D710000}"/>
    <cellStyle name="hard no. 2 5 6" xfId="18921" xr:uid="{00000000-0005-0000-0000-00006E710000}"/>
    <cellStyle name="hard no. 2 5 6 2" xfId="38274" xr:uid="{00000000-0005-0000-0000-00006F710000}"/>
    <cellStyle name="hard no. 2 5 7" xfId="21407" xr:uid="{00000000-0005-0000-0000-000070710000}"/>
    <cellStyle name="hard no. 2 5 7 2" xfId="40749" xr:uid="{00000000-0005-0000-0000-000071710000}"/>
    <cellStyle name="hard no. 2 5 8" xfId="33348" xr:uid="{00000000-0005-0000-0000-000072710000}"/>
    <cellStyle name="hard no. 2 6" xfId="14280" xr:uid="{00000000-0005-0000-0000-000073710000}"/>
    <cellStyle name="hard no. 2 6 2" xfId="16779" xr:uid="{00000000-0005-0000-0000-000074710000}"/>
    <cellStyle name="hard no. 2 6 2 2" xfId="36133" xr:uid="{00000000-0005-0000-0000-000075710000}"/>
    <cellStyle name="hard no. 2 6 3" xfId="19210" xr:uid="{00000000-0005-0000-0000-000076710000}"/>
    <cellStyle name="hard no. 2 6 3 2" xfId="38563" xr:uid="{00000000-0005-0000-0000-000077710000}"/>
    <cellStyle name="hard no. 2 6 4" xfId="21700" xr:uid="{00000000-0005-0000-0000-000078710000}"/>
    <cellStyle name="hard no. 2 6 4 2" xfId="41042" xr:uid="{00000000-0005-0000-0000-000079710000}"/>
    <cellStyle name="hard no. 2 6 5" xfId="33641" xr:uid="{00000000-0005-0000-0000-00007A710000}"/>
    <cellStyle name="hard no. 2 7" xfId="14219" xr:uid="{00000000-0005-0000-0000-00007B710000}"/>
    <cellStyle name="hard no. 2 7 2" xfId="16722" xr:uid="{00000000-0005-0000-0000-00007C710000}"/>
    <cellStyle name="hard no. 2 7 2 2" xfId="36076" xr:uid="{00000000-0005-0000-0000-00007D710000}"/>
    <cellStyle name="hard no. 2 7 3" xfId="19153" xr:uid="{00000000-0005-0000-0000-00007E710000}"/>
    <cellStyle name="hard no. 2 7 3 2" xfId="38506" xr:uid="{00000000-0005-0000-0000-00007F710000}"/>
    <cellStyle name="hard no. 2 7 4" xfId="21640" xr:uid="{00000000-0005-0000-0000-000080710000}"/>
    <cellStyle name="hard no. 2 7 4 2" xfId="40982" xr:uid="{00000000-0005-0000-0000-000081710000}"/>
    <cellStyle name="hard no. 2 7 5" xfId="33581" xr:uid="{00000000-0005-0000-0000-000082710000}"/>
    <cellStyle name="hard no. 2 8" xfId="16003" xr:uid="{00000000-0005-0000-0000-000083710000}"/>
    <cellStyle name="hard no. 2 8 2" xfId="35357" xr:uid="{00000000-0005-0000-0000-000084710000}"/>
    <cellStyle name="hard no. 2 9" xfId="13393" xr:uid="{00000000-0005-0000-0000-000085710000}"/>
    <cellStyle name="hard no. 2 9 2" xfId="32781" xr:uid="{00000000-0005-0000-0000-000086710000}"/>
    <cellStyle name="hard no. 3" xfId="13425" xr:uid="{00000000-0005-0000-0000-000087710000}"/>
    <cellStyle name="hard no. 3 2" xfId="13553" xr:uid="{00000000-0005-0000-0000-000088710000}"/>
    <cellStyle name="hard no. 3 2 2" xfId="13851" xr:uid="{00000000-0005-0000-0000-000089710000}"/>
    <cellStyle name="hard no. 3 2 2 2" xfId="14646" xr:uid="{00000000-0005-0000-0000-00008A710000}"/>
    <cellStyle name="hard no. 3 2 2 2 2" xfId="17127" xr:uid="{00000000-0005-0000-0000-00008B710000}"/>
    <cellStyle name="hard no. 3 2 2 2 2 2" xfId="36481" xr:uid="{00000000-0005-0000-0000-00008C710000}"/>
    <cellStyle name="hard no. 3 2 2 2 3" xfId="19558" xr:uid="{00000000-0005-0000-0000-00008D710000}"/>
    <cellStyle name="hard no. 3 2 2 2 3 2" xfId="38911" xr:uid="{00000000-0005-0000-0000-00008E710000}"/>
    <cellStyle name="hard no. 3 2 2 2 4" xfId="22066" xr:uid="{00000000-0005-0000-0000-00008F710000}"/>
    <cellStyle name="hard no. 3 2 2 2 4 2" xfId="41408" xr:uid="{00000000-0005-0000-0000-000090710000}"/>
    <cellStyle name="hard no. 3 2 2 2 5" xfId="34007" xr:uid="{00000000-0005-0000-0000-000091710000}"/>
    <cellStyle name="hard no. 3 2 2 3" xfId="15199" xr:uid="{00000000-0005-0000-0000-000092710000}"/>
    <cellStyle name="hard no. 3 2 2 3 2" xfId="17675" xr:uid="{00000000-0005-0000-0000-000093710000}"/>
    <cellStyle name="hard no. 3 2 2 3 2 2" xfId="37029" xr:uid="{00000000-0005-0000-0000-000094710000}"/>
    <cellStyle name="hard no. 3 2 2 3 3" xfId="20106" xr:uid="{00000000-0005-0000-0000-000095710000}"/>
    <cellStyle name="hard no. 3 2 2 3 3 2" xfId="39459" xr:uid="{00000000-0005-0000-0000-000096710000}"/>
    <cellStyle name="hard no. 3 2 2 3 4" xfId="22619" xr:uid="{00000000-0005-0000-0000-000097710000}"/>
    <cellStyle name="hard no. 3 2 2 3 4 2" xfId="41961" xr:uid="{00000000-0005-0000-0000-000098710000}"/>
    <cellStyle name="hard no. 3 2 2 3 5" xfId="34560" xr:uid="{00000000-0005-0000-0000-000099710000}"/>
    <cellStyle name="hard no. 3 2 2 4" xfId="15670" xr:uid="{00000000-0005-0000-0000-00009A710000}"/>
    <cellStyle name="hard no. 3 2 2 4 2" xfId="18146" xr:uid="{00000000-0005-0000-0000-00009B710000}"/>
    <cellStyle name="hard no. 3 2 2 4 2 2" xfId="37500" xr:uid="{00000000-0005-0000-0000-00009C710000}"/>
    <cellStyle name="hard no. 3 2 2 4 3" xfId="20577" xr:uid="{00000000-0005-0000-0000-00009D710000}"/>
    <cellStyle name="hard no. 3 2 2 4 3 2" xfId="39930" xr:uid="{00000000-0005-0000-0000-00009E710000}"/>
    <cellStyle name="hard no. 3 2 2 4 4" xfId="23090" xr:uid="{00000000-0005-0000-0000-00009F710000}"/>
    <cellStyle name="hard no. 3 2 2 4 4 2" xfId="42432" xr:uid="{00000000-0005-0000-0000-0000A0710000}"/>
    <cellStyle name="hard no. 3 2 2 4 5" xfId="35031" xr:uid="{00000000-0005-0000-0000-0000A1710000}"/>
    <cellStyle name="hard no. 3 2 2 5" xfId="16360" xr:uid="{00000000-0005-0000-0000-0000A2710000}"/>
    <cellStyle name="hard no. 3 2 2 5 2" xfId="35714" xr:uid="{00000000-0005-0000-0000-0000A3710000}"/>
    <cellStyle name="hard no. 3 2 2 6" xfId="18791" xr:uid="{00000000-0005-0000-0000-0000A4710000}"/>
    <cellStyle name="hard no. 3 2 2 6 2" xfId="38144" xr:uid="{00000000-0005-0000-0000-0000A5710000}"/>
    <cellStyle name="hard no. 3 2 2 7" xfId="21274" xr:uid="{00000000-0005-0000-0000-0000A6710000}"/>
    <cellStyle name="hard no. 3 2 2 7 2" xfId="40616" xr:uid="{00000000-0005-0000-0000-0000A7710000}"/>
    <cellStyle name="hard no. 3 2 2 8" xfId="33215" xr:uid="{00000000-0005-0000-0000-0000A8710000}"/>
    <cellStyle name="hard no. 3 2 3" xfId="14069" xr:uid="{00000000-0005-0000-0000-0000A9710000}"/>
    <cellStyle name="hard no. 3 2 3 2" xfId="16575" xr:uid="{00000000-0005-0000-0000-0000AA710000}"/>
    <cellStyle name="hard no. 3 2 3 2 2" xfId="35929" xr:uid="{00000000-0005-0000-0000-0000AB710000}"/>
    <cellStyle name="hard no. 3 2 3 3" xfId="19006" xr:uid="{00000000-0005-0000-0000-0000AC710000}"/>
    <cellStyle name="hard no. 3 2 3 3 2" xfId="38359" xr:uid="{00000000-0005-0000-0000-0000AD710000}"/>
    <cellStyle name="hard no. 3 2 3 4" xfId="21492" xr:uid="{00000000-0005-0000-0000-0000AE710000}"/>
    <cellStyle name="hard no. 3 2 3 4 2" xfId="40834" xr:uid="{00000000-0005-0000-0000-0000AF710000}"/>
    <cellStyle name="hard no. 3 2 3 5" xfId="33433" xr:uid="{00000000-0005-0000-0000-0000B0710000}"/>
    <cellStyle name="hard no. 3 2 4" xfId="14995" xr:uid="{00000000-0005-0000-0000-0000B1710000}"/>
    <cellStyle name="hard no. 3 2 4 2" xfId="17471" xr:uid="{00000000-0005-0000-0000-0000B2710000}"/>
    <cellStyle name="hard no. 3 2 4 2 2" xfId="36825" xr:uid="{00000000-0005-0000-0000-0000B3710000}"/>
    <cellStyle name="hard no. 3 2 4 3" xfId="19902" xr:uid="{00000000-0005-0000-0000-0000B4710000}"/>
    <cellStyle name="hard no. 3 2 4 3 2" xfId="39255" xr:uid="{00000000-0005-0000-0000-0000B5710000}"/>
    <cellStyle name="hard no. 3 2 4 4" xfId="22415" xr:uid="{00000000-0005-0000-0000-0000B6710000}"/>
    <cellStyle name="hard no. 3 2 4 4 2" xfId="41757" xr:uid="{00000000-0005-0000-0000-0000B7710000}"/>
    <cellStyle name="hard no. 3 2 4 5" xfId="34356" xr:uid="{00000000-0005-0000-0000-0000B8710000}"/>
    <cellStyle name="hard no. 3 3" xfId="13625" xr:uid="{00000000-0005-0000-0000-0000B9710000}"/>
    <cellStyle name="hard no. 3 3 2" xfId="13926" xr:uid="{00000000-0005-0000-0000-0000BA710000}"/>
    <cellStyle name="hard no. 3 3 2 2" xfId="14721" xr:uid="{00000000-0005-0000-0000-0000BB710000}"/>
    <cellStyle name="hard no. 3 3 2 2 2" xfId="17199" xr:uid="{00000000-0005-0000-0000-0000BC710000}"/>
    <cellStyle name="hard no. 3 3 2 2 2 2" xfId="36553" xr:uid="{00000000-0005-0000-0000-0000BD710000}"/>
    <cellStyle name="hard no. 3 3 2 2 3" xfId="19630" xr:uid="{00000000-0005-0000-0000-0000BE710000}"/>
    <cellStyle name="hard no. 3 3 2 2 3 2" xfId="38983" xr:uid="{00000000-0005-0000-0000-0000BF710000}"/>
    <cellStyle name="hard no. 3 3 2 2 4" xfId="22141" xr:uid="{00000000-0005-0000-0000-0000C0710000}"/>
    <cellStyle name="hard no. 3 3 2 2 4 2" xfId="41483" xr:uid="{00000000-0005-0000-0000-0000C1710000}"/>
    <cellStyle name="hard no. 3 3 2 2 5" xfId="34082" xr:uid="{00000000-0005-0000-0000-0000C2710000}"/>
    <cellStyle name="hard no. 3 3 2 3" xfId="15269" xr:uid="{00000000-0005-0000-0000-0000C3710000}"/>
    <cellStyle name="hard no. 3 3 2 3 2" xfId="17745" xr:uid="{00000000-0005-0000-0000-0000C4710000}"/>
    <cellStyle name="hard no. 3 3 2 3 2 2" xfId="37099" xr:uid="{00000000-0005-0000-0000-0000C5710000}"/>
    <cellStyle name="hard no. 3 3 2 3 3" xfId="20176" xr:uid="{00000000-0005-0000-0000-0000C6710000}"/>
    <cellStyle name="hard no. 3 3 2 3 3 2" xfId="39529" xr:uid="{00000000-0005-0000-0000-0000C7710000}"/>
    <cellStyle name="hard no. 3 3 2 3 4" xfId="22689" xr:uid="{00000000-0005-0000-0000-0000C8710000}"/>
    <cellStyle name="hard no. 3 3 2 3 4 2" xfId="42031" xr:uid="{00000000-0005-0000-0000-0000C9710000}"/>
    <cellStyle name="hard no. 3 3 2 3 5" xfId="34630" xr:uid="{00000000-0005-0000-0000-0000CA710000}"/>
    <cellStyle name="hard no. 3 3 2 4" xfId="15728" xr:uid="{00000000-0005-0000-0000-0000CB710000}"/>
    <cellStyle name="hard no. 3 3 2 4 2" xfId="18204" xr:uid="{00000000-0005-0000-0000-0000CC710000}"/>
    <cellStyle name="hard no. 3 3 2 4 2 2" xfId="37558" xr:uid="{00000000-0005-0000-0000-0000CD710000}"/>
    <cellStyle name="hard no. 3 3 2 4 3" xfId="20635" xr:uid="{00000000-0005-0000-0000-0000CE710000}"/>
    <cellStyle name="hard no. 3 3 2 4 3 2" xfId="39988" xr:uid="{00000000-0005-0000-0000-0000CF710000}"/>
    <cellStyle name="hard no. 3 3 2 4 4" xfId="23148" xr:uid="{00000000-0005-0000-0000-0000D0710000}"/>
    <cellStyle name="hard no. 3 3 2 4 4 2" xfId="42490" xr:uid="{00000000-0005-0000-0000-0000D1710000}"/>
    <cellStyle name="hard no. 3 3 2 4 5" xfId="35089" xr:uid="{00000000-0005-0000-0000-0000D2710000}"/>
    <cellStyle name="hard no. 3 3 2 5" xfId="16432" xr:uid="{00000000-0005-0000-0000-0000D3710000}"/>
    <cellStyle name="hard no. 3 3 2 5 2" xfId="35786" xr:uid="{00000000-0005-0000-0000-0000D4710000}"/>
    <cellStyle name="hard no. 3 3 2 6" xfId="18863" xr:uid="{00000000-0005-0000-0000-0000D5710000}"/>
    <cellStyle name="hard no. 3 3 2 6 2" xfId="38216" xr:uid="{00000000-0005-0000-0000-0000D6710000}"/>
    <cellStyle name="hard no. 3 3 2 7" xfId="21349" xr:uid="{00000000-0005-0000-0000-0000D7710000}"/>
    <cellStyle name="hard no. 3 3 2 7 2" xfId="40691" xr:uid="{00000000-0005-0000-0000-0000D8710000}"/>
    <cellStyle name="hard no. 3 3 2 8" xfId="33290" xr:uid="{00000000-0005-0000-0000-0000D9710000}"/>
    <cellStyle name="hard no. 3 3 3" xfId="14141" xr:uid="{00000000-0005-0000-0000-0000DA710000}"/>
    <cellStyle name="hard no. 3 3 3 2" xfId="14918" xr:uid="{00000000-0005-0000-0000-0000DB710000}"/>
    <cellStyle name="hard no. 3 3 3 2 2" xfId="17396" xr:uid="{00000000-0005-0000-0000-0000DC710000}"/>
    <cellStyle name="hard no. 3 3 3 2 2 2" xfId="36750" xr:uid="{00000000-0005-0000-0000-0000DD710000}"/>
    <cellStyle name="hard no. 3 3 3 2 3" xfId="19827" xr:uid="{00000000-0005-0000-0000-0000DE710000}"/>
    <cellStyle name="hard no. 3 3 3 2 3 2" xfId="39180" xr:uid="{00000000-0005-0000-0000-0000DF710000}"/>
    <cellStyle name="hard no. 3 3 3 2 4" xfId="22338" xr:uid="{00000000-0005-0000-0000-0000E0710000}"/>
    <cellStyle name="hard no. 3 3 3 2 4 2" xfId="41680" xr:uid="{00000000-0005-0000-0000-0000E1710000}"/>
    <cellStyle name="hard no. 3 3 3 2 5" xfId="34279" xr:uid="{00000000-0005-0000-0000-0000E2710000}"/>
    <cellStyle name="hard no. 3 3 3 3" xfId="15464" xr:uid="{00000000-0005-0000-0000-0000E3710000}"/>
    <cellStyle name="hard no. 3 3 3 3 2" xfId="17940" xr:uid="{00000000-0005-0000-0000-0000E4710000}"/>
    <cellStyle name="hard no. 3 3 3 3 2 2" xfId="37294" xr:uid="{00000000-0005-0000-0000-0000E5710000}"/>
    <cellStyle name="hard no. 3 3 3 3 3" xfId="20371" xr:uid="{00000000-0005-0000-0000-0000E6710000}"/>
    <cellStyle name="hard no. 3 3 3 3 3 2" xfId="39724" xr:uid="{00000000-0005-0000-0000-0000E7710000}"/>
    <cellStyle name="hard no. 3 3 3 3 4" xfId="22884" xr:uid="{00000000-0005-0000-0000-0000E8710000}"/>
    <cellStyle name="hard no. 3 3 3 3 4 2" xfId="42226" xr:uid="{00000000-0005-0000-0000-0000E9710000}"/>
    <cellStyle name="hard no. 3 3 3 3 5" xfId="34825" xr:uid="{00000000-0005-0000-0000-0000EA710000}"/>
    <cellStyle name="hard no. 3 3 3 4" xfId="15923" xr:uid="{00000000-0005-0000-0000-0000EB710000}"/>
    <cellStyle name="hard no. 3 3 3 4 2" xfId="18399" xr:uid="{00000000-0005-0000-0000-0000EC710000}"/>
    <cellStyle name="hard no. 3 3 3 4 2 2" xfId="37753" xr:uid="{00000000-0005-0000-0000-0000ED710000}"/>
    <cellStyle name="hard no. 3 3 3 4 3" xfId="20830" xr:uid="{00000000-0005-0000-0000-0000EE710000}"/>
    <cellStyle name="hard no. 3 3 3 4 3 2" xfId="40183" xr:uid="{00000000-0005-0000-0000-0000EF710000}"/>
    <cellStyle name="hard no. 3 3 3 4 4" xfId="23343" xr:uid="{00000000-0005-0000-0000-0000F0710000}"/>
    <cellStyle name="hard no. 3 3 3 4 4 2" xfId="42685" xr:uid="{00000000-0005-0000-0000-0000F1710000}"/>
    <cellStyle name="hard no. 3 3 3 4 5" xfId="35284" xr:uid="{00000000-0005-0000-0000-0000F2710000}"/>
    <cellStyle name="hard no. 3 3 3 5" xfId="16647" xr:uid="{00000000-0005-0000-0000-0000F3710000}"/>
    <cellStyle name="hard no. 3 3 3 5 2" xfId="36001" xr:uid="{00000000-0005-0000-0000-0000F4710000}"/>
    <cellStyle name="hard no. 3 3 3 6" xfId="19078" xr:uid="{00000000-0005-0000-0000-0000F5710000}"/>
    <cellStyle name="hard no. 3 3 3 6 2" xfId="38431" xr:uid="{00000000-0005-0000-0000-0000F6710000}"/>
    <cellStyle name="hard no. 3 3 3 7" xfId="21564" xr:uid="{00000000-0005-0000-0000-0000F7710000}"/>
    <cellStyle name="hard no. 3 3 3 7 2" xfId="40906" xr:uid="{00000000-0005-0000-0000-0000F8710000}"/>
    <cellStyle name="hard no. 3 3 3 8" xfId="33505" xr:uid="{00000000-0005-0000-0000-0000F9710000}"/>
    <cellStyle name="hard no. 3 3 4" xfId="14436" xr:uid="{00000000-0005-0000-0000-0000FA710000}"/>
    <cellStyle name="hard no. 3 3 4 2" xfId="16926" xr:uid="{00000000-0005-0000-0000-0000FB710000}"/>
    <cellStyle name="hard no. 3 3 4 2 2" xfId="36280" xr:uid="{00000000-0005-0000-0000-0000FC710000}"/>
    <cellStyle name="hard no. 3 3 4 3" xfId="19357" xr:uid="{00000000-0005-0000-0000-0000FD710000}"/>
    <cellStyle name="hard no. 3 3 4 3 2" xfId="38710" xr:uid="{00000000-0005-0000-0000-0000FE710000}"/>
    <cellStyle name="hard no. 3 3 4 4" xfId="21856" xr:uid="{00000000-0005-0000-0000-0000FF710000}"/>
    <cellStyle name="hard no. 3 3 4 4 2" xfId="41198" xr:uid="{00000000-0005-0000-0000-000000720000}"/>
    <cellStyle name="hard no. 3 3 4 5" xfId="33797" xr:uid="{00000000-0005-0000-0000-000001720000}"/>
    <cellStyle name="hard no. 3 3 5" xfId="15516" xr:uid="{00000000-0005-0000-0000-000002720000}"/>
    <cellStyle name="hard no. 3 3 5 2" xfId="17992" xr:uid="{00000000-0005-0000-0000-000003720000}"/>
    <cellStyle name="hard no. 3 3 5 2 2" xfId="37346" xr:uid="{00000000-0005-0000-0000-000004720000}"/>
    <cellStyle name="hard no. 3 3 5 3" xfId="20423" xr:uid="{00000000-0005-0000-0000-000005720000}"/>
    <cellStyle name="hard no. 3 3 5 3 2" xfId="39776" xr:uid="{00000000-0005-0000-0000-000006720000}"/>
    <cellStyle name="hard no. 3 3 5 4" xfId="22936" xr:uid="{00000000-0005-0000-0000-000007720000}"/>
    <cellStyle name="hard no. 3 3 5 4 2" xfId="42278" xr:uid="{00000000-0005-0000-0000-000008720000}"/>
    <cellStyle name="hard no. 3 3 5 5" xfId="34877" xr:uid="{00000000-0005-0000-0000-000009720000}"/>
    <cellStyle name="hard no. 3 3 6" xfId="16145" xr:uid="{00000000-0005-0000-0000-00000A720000}"/>
    <cellStyle name="hard no. 3 3 6 2" xfId="35499" xr:uid="{00000000-0005-0000-0000-00000B720000}"/>
    <cellStyle name="hard no. 3 3 7" xfId="18576" xr:uid="{00000000-0005-0000-0000-00000C720000}"/>
    <cellStyle name="hard no. 3 3 7 2" xfId="37929" xr:uid="{00000000-0005-0000-0000-00000D720000}"/>
    <cellStyle name="hard no. 3 3 8" xfId="21050" xr:uid="{00000000-0005-0000-0000-00000E720000}"/>
    <cellStyle name="hard no. 3 3 8 2" xfId="40392" xr:uid="{00000000-0005-0000-0000-00000F720000}"/>
    <cellStyle name="hard no. 3 3 9" xfId="32991" xr:uid="{00000000-0005-0000-0000-000010720000}"/>
    <cellStyle name="hard no. 3 4" xfId="15995" xr:uid="{00000000-0005-0000-0000-000011720000}"/>
    <cellStyle name="hard no. 3 4 2" xfId="35349" xr:uid="{00000000-0005-0000-0000-000012720000}"/>
    <cellStyle name="hard no. 3 5" xfId="13391" xr:uid="{00000000-0005-0000-0000-000013720000}"/>
    <cellStyle name="hard no. 3 5 2" xfId="32780" xr:uid="{00000000-0005-0000-0000-000014720000}"/>
    <cellStyle name="hard no. 3 6" xfId="20929" xr:uid="{00000000-0005-0000-0000-000015720000}"/>
    <cellStyle name="hard no. 3 6 2" xfId="40271" xr:uid="{00000000-0005-0000-0000-000016720000}"/>
    <cellStyle name="hard no. 3 7" xfId="32804" xr:uid="{00000000-0005-0000-0000-000017720000}"/>
    <cellStyle name="hard no. 4" xfId="13710" xr:uid="{00000000-0005-0000-0000-000018720000}"/>
    <cellStyle name="hard no. 4 2" xfId="14513" xr:uid="{00000000-0005-0000-0000-000019720000}"/>
    <cellStyle name="hard no. 4 2 2" xfId="17003" xr:uid="{00000000-0005-0000-0000-00001A720000}"/>
    <cellStyle name="hard no. 4 2 2 2" xfId="36357" xr:uid="{00000000-0005-0000-0000-00001B720000}"/>
    <cellStyle name="hard no. 4 2 3" xfId="19434" xr:uid="{00000000-0005-0000-0000-00001C720000}"/>
    <cellStyle name="hard no. 4 2 3 2" xfId="38787" xr:uid="{00000000-0005-0000-0000-00001D720000}"/>
    <cellStyle name="hard no. 4 2 4" xfId="21933" xr:uid="{00000000-0005-0000-0000-00001E720000}"/>
    <cellStyle name="hard no. 4 2 4 2" xfId="41275" xr:uid="{00000000-0005-0000-0000-00001F720000}"/>
    <cellStyle name="hard no. 4 2 5" xfId="33874" xr:uid="{00000000-0005-0000-0000-000020720000}"/>
    <cellStyle name="hard no. 4 3" xfId="15077" xr:uid="{00000000-0005-0000-0000-000021720000}"/>
    <cellStyle name="hard no. 4 3 2" xfId="17553" xr:uid="{00000000-0005-0000-0000-000022720000}"/>
    <cellStyle name="hard no. 4 3 2 2" xfId="36907" xr:uid="{00000000-0005-0000-0000-000023720000}"/>
    <cellStyle name="hard no. 4 3 3" xfId="19984" xr:uid="{00000000-0005-0000-0000-000024720000}"/>
    <cellStyle name="hard no. 4 3 3 2" xfId="39337" xr:uid="{00000000-0005-0000-0000-000025720000}"/>
    <cellStyle name="hard no. 4 3 4" xfId="22497" xr:uid="{00000000-0005-0000-0000-000026720000}"/>
    <cellStyle name="hard no. 4 3 4 2" xfId="41839" xr:uid="{00000000-0005-0000-0000-000027720000}"/>
    <cellStyle name="hard no. 4 3 5" xfId="34438" xr:uid="{00000000-0005-0000-0000-000028720000}"/>
    <cellStyle name="hard no. 4 4" xfId="15560" xr:uid="{00000000-0005-0000-0000-000029720000}"/>
    <cellStyle name="hard no. 4 4 2" xfId="18036" xr:uid="{00000000-0005-0000-0000-00002A720000}"/>
    <cellStyle name="hard no. 4 4 2 2" xfId="37390" xr:uid="{00000000-0005-0000-0000-00002B720000}"/>
    <cellStyle name="hard no. 4 4 3" xfId="20467" xr:uid="{00000000-0005-0000-0000-00002C720000}"/>
    <cellStyle name="hard no. 4 4 3 2" xfId="39820" xr:uid="{00000000-0005-0000-0000-00002D720000}"/>
    <cellStyle name="hard no. 4 4 4" xfId="22980" xr:uid="{00000000-0005-0000-0000-00002E720000}"/>
    <cellStyle name="hard no. 4 4 4 2" xfId="42322" xr:uid="{00000000-0005-0000-0000-00002F720000}"/>
    <cellStyle name="hard no. 4 4 5" xfId="34921" xr:uid="{00000000-0005-0000-0000-000030720000}"/>
    <cellStyle name="hard no. 4 5" xfId="16229" xr:uid="{00000000-0005-0000-0000-000031720000}"/>
    <cellStyle name="hard no. 4 5 2" xfId="35583" xr:uid="{00000000-0005-0000-0000-000032720000}"/>
    <cellStyle name="hard no. 4 6" xfId="18660" xr:uid="{00000000-0005-0000-0000-000033720000}"/>
    <cellStyle name="hard no. 4 6 2" xfId="38013" xr:uid="{00000000-0005-0000-0000-000034720000}"/>
    <cellStyle name="hard no. 4 7" xfId="21134" xr:uid="{00000000-0005-0000-0000-000035720000}"/>
    <cellStyle name="hard no. 4 7 2" xfId="40476" xr:uid="{00000000-0005-0000-0000-000036720000}"/>
    <cellStyle name="hard no. 4 8" xfId="33075" xr:uid="{00000000-0005-0000-0000-000037720000}"/>
    <cellStyle name="Hard Percent" xfId="1627" xr:uid="{00000000-0005-0000-0000-000038720000}"/>
    <cellStyle name="Hard Percent 2" xfId="1628" xr:uid="{00000000-0005-0000-0000-000039720000}"/>
    <cellStyle name="Header" xfId="1629" xr:uid="{00000000-0005-0000-0000-00003A720000}"/>
    <cellStyle name="Header Draft Stamp" xfId="3955" xr:uid="{00000000-0005-0000-0000-00003B720000}"/>
    <cellStyle name="Header_ACCC" xfId="3956" xr:uid="{00000000-0005-0000-0000-00003C720000}"/>
    <cellStyle name="Header1" xfId="1630" xr:uid="{00000000-0005-0000-0000-00003D720000}"/>
    <cellStyle name="Header2" xfId="1631" xr:uid="{00000000-0005-0000-0000-00003E720000}"/>
    <cellStyle name="Header2 10" xfId="13224" xr:uid="{00000000-0005-0000-0000-00003F720000}"/>
    <cellStyle name="Header2 10 2" xfId="32684" xr:uid="{00000000-0005-0000-0000-000040720000}"/>
    <cellStyle name="Header2 11" xfId="23423" xr:uid="{00000000-0005-0000-0000-000041720000}"/>
    <cellStyle name="Header2 2" xfId="4880" xr:uid="{00000000-0005-0000-0000-000042720000}"/>
    <cellStyle name="Header2 2 2" xfId="13562" xr:uid="{00000000-0005-0000-0000-000043720000}"/>
    <cellStyle name="Header2 2 2 2" xfId="13860" xr:uid="{00000000-0005-0000-0000-000044720000}"/>
    <cellStyle name="Header2 2 2 2 2" xfId="14655" xr:uid="{00000000-0005-0000-0000-000045720000}"/>
    <cellStyle name="Header2 2 2 2 2 2" xfId="17136" xr:uid="{00000000-0005-0000-0000-000046720000}"/>
    <cellStyle name="Header2 2 2 2 2 2 2" xfId="36490" xr:uid="{00000000-0005-0000-0000-000047720000}"/>
    <cellStyle name="Header2 2 2 2 2 3" xfId="19567" xr:uid="{00000000-0005-0000-0000-000048720000}"/>
    <cellStyle name="Header2 2 2 2 2 3 2" xfId="38920" xr:uid="{00000000-0005-0000-0000-000049720000}"/>
    <cellStyle name="Header2 2 2 2 2 4" xfId="22075" xr:uid="{00000000-0005-0000-0000-00004A720000}"/>
    <cellStyle name="Header2 2 2 2 2 4 2" xfId="41417" xr:uid="{00000000-0005-0000-0000-00004B720000}"/>
    <cellStyle name="Header2 2 2 2 2 5" xfId="34016" xr:uid="{00000000-0005-0000-0000-00004C720000}"/>
    <cellStyle name="Header2 2 2 2 3" xfId="15208" xr:uid="{00000000-0005-0000-0000-00004D720000}"/>
    <cellStyle name="Header2 2 2 2 3 2" xfId="17684" xr:uid="{00000000-0005-0000-0000-00004E720000}"/>
    <cellStyle name="Header2 2 2 2 3 2 2" xfId="37038" xr:uid="{00000000-0005-0000-0000-00004F720000}"/>
    <cellStyle name="Header2 2 2 2 3 3" xfId="20115" xr:uid="{00000000-0005-0000-0000-000050720000}"/>
    <cellStyle name="Header2 2 2 2 3 3 2" xfId="39468" xr:uid="{00000000-0005-0000-0000-000051720000}"/>
    <cellStyle name="Header2 2 2 2 3 4" xfId="22628" xr:uid="{00000000-0005-0000-0000-000052720000}"/>
    <cellStyle name="Header2 2 2 2 3 4 2" xfId="41970" xr:uid="{00000000-0005-0000-0000-000053720000}"/>
    <cellStyle name="Header2 2 2 2 3 5" xfId="34569" xr:uid="{00000000-0005-0000-0000-000054720000}"/>
    <cellStyle name="Header2 2 2 2 4" xfId="15679" xr:uid="{00000000-0005-0000-0000-000055720000}"/>
    <cellStyle name="Header2 2 2 2 4 2" xfId="18155" xr:uid="{00000000-0005-0000-0000-000056720000}"/>
    <cellStyle name="Header2 2 2 2 4 2 2" xfId="37509" xr:uid="{00000000-0005-0000-0000-000057720000}"/>
    <cellStyle name="Header2 2 2 2 4 3" xfId="20586" xr:uid="{00000000-0005-0000-0000-000058720000}"/>
    <cellStyle name="Header2 2 2 2 4 3 2" xfId="39939" xr:uid="{00000000-0005-0000-0000-000059720000}"/>
    <cellStyle name="Header2 2 2 2 4 4" xfId="23099" xr:uid="{00000000-0005-0000-0000-00005A720000}"/>
    <cellStyle name="Header2 2 2 2 4 4 2" xfId="42441" xr:uid="{00000000-0005-0000-0000-00005B720000}"/>
    <cellStyle name="Header2 2 2 2 4 5" xfId="35040" xr:uid="{00000000-0005-0000-0000-00005C720000}"/>
    <cellStyle name="Header2 2 2 2 5" xfId="16369" xr:uid="{00000000-0005-0000-0000-00005D720000}"/>
    <cellStyle name="Header2 2 2 2 5 2" xfId="35723" xr:uid="{00000000-0005-0000-0000-00005E720000}"/>
    <cellStyle name="Header2 2 2 2 6" xfId="18800" xr:uid="{00000000-0005-0000-0000-00005F720000}"/>
    <cellStyle name="Header2 2 2 2 6 2" xfId="38153" xr:uid="{00000000-0005-0000-0000-000060720000}"/>
    <cellStyle name="Header2 2 2 2 7" xfId="21283" xr:uid="{00000000-0005-0000-0000-000061720000}"/>
    <cellStyle name="Header2 2 2 2 7 2" xfId="40625" xr:uid="{00000000-0005-0000-0000-000062720000}"/>
    <cellStyle name="Header2 2 2 2 8" xfId="33224" xr:uid="{00000000-0005-0000-0000-000063720000}"/>
    <cellStyle name="Header2 2 2 3" xfId="14078" xr:uid="{00000000-0005-0000-0000-000064720000}"/>
    <cellStyle name="Header2 2 2 3 2" xfId="16584" xr:uid="{00000000-0005-0000-0000-000065720000}"/>
    <cellStyle name="Header2 2 2 3 2 2" xfId="35938" xr:uid="{00000000-0005-0000-0000-000066720000}"/>
    <cellStyle name="Header2 2 2 3 3" xfId="19015" xr:uid="{00000000-0005-0000-0000-000067720000}"/>
    <cellStyle name="Header2 2 2 3 3 2" xfId="38368" xr:uid="{00000000-0005-0000-0000-000068720000}"/>
    <cellStyle name="Header2 2 2 3 4" xfId="21501" xr:uid="{00000000-0005-0000-0000-000069720000}"/>
    <cellStyle name="Header2 2 2 3 4 2" xfId="40843" xr:uid="{00000000-0005-0000-0000-00006A720000}"/>
    <cellStyle name="Header2 2 2 3 5" xfId="33442" xr:uid="{00000000-0005-0000-0000-00006B720000}"/>
    <cellStyle name="Header2 2 2 4" xfId="14373" xr:uid="{00000000-0005-0000-0000-00006C720000}"/>
    <cellStyle name="Header2 2 2 4 2" xfId="16866" xr:uid="{00000000-0005-0000-0000-00006D720000}"/>
    <cellStyle name="Header2 2 2 4 2 2" xfId="36220" xr:uid="{00000000-0005-0000-0000-00006E720000}"/>
    <cellStyle name="Header2 2 2 4 3" xfId="19297" xr:uid="{00000000-0005-0000-0000-00006F720000}"/>
    <cellStyle name="Header2 2 2 4 3 2" xfId="38650" xr:uid="{00000000-0005-0000-0000-000070720000}"/>
    <cellStyle name="Header2 2 2 4 4" xfId="21793" xr:uid="{00000000-0005-0000-0000-000071720000}"/>
    <cellStyle name="Header2 2 2 4 4 2" xfId="41135" xr:uid="{00000000-0005-0000-0000-000072720000}"/>
    <cellStyle name="Header2 2 2 4 5" xfId="33734" xr:uid="{00000000-0005-0000-0000-000073720000}"/>
    <cellStyle name="Header2 2 2 5" xfId="15004" xr:uid="{00000000-0005-0000-0000-000074720000}"/>
    <cellStyle name="Header2 2 2 5 2" xfId="17480" xr:uid="{00000000-0005-0000-0000-000075720000}"/>
    <cellStyle name="Header2 2 2 5 2 2" xfId="36834" xr:uid="{00000000-0005-0000-0000-000076720000}"/>
    <cellStyle name="Header2 2 2 5 3" xfId="19911" xr:uid="{00000000-0005-0000-0000-000077720000}"/>
    <cellStyle name="Header2 2 2 5 3 2" xfId="39264" xr:uid="{00000000-0005-0000-0000-000078720000}"/>
    <cellStyle name="Header2 2 2 5 4" xfId="22424" xr:uid="{00000000-0005-0000-0000-000079720000}"/>
    <cellStyle name="Header2 2 2 5 4 2" xfId="41766" xr:uid="{00000000-0005-0000-0000-00007A720000}"/>
    <cellStyle name="Header2 2 2 5 5" xfId="34365" xr:uid="{00000000-0005-0000-0000-00007B720000}"/>
    <cellStyle name="Header2 2 2 6" xfId="16104" xr:uid="{00000000-0005-0000-0000-00007C720000}"/>
    <cellStyle name="Header2 2 2 6 2" xfId="35458" xr:uid="{00000000-0005-0000-0000-00007D720000}"/>
    <cellStyle name="Header2 2 2 7" xfId="18516" xr:uid="{00000000-0005-0000-0000-00007E720000}"/>
    <cellStyle name="Header2 2 2 7 2" xfId="37869" xr:uid="{00000000-0005-0000-0000-00007F720000}"/>
    <cellStyle name="Header2 2 2 8" xfId="32931" xr:uid="{00000000-0005-0000-0000-000080720000}"/>
    <cellStyle name="Header2 2 3" xfId="13763" xr:uid="{00000000-0005-0000-0000-000081720000}"/>
    <cellStyle name="Header2 2 3 2" xfId="16278" xr:uid="{00000000-0005-0000-0000-000082720000}"/>
    <cellStyle name="Header2 2 3 2 2" xfId="35632" xr:uid="{00000000-0005-0000-0000-000083720000}"/>
    <cellStyle name="Header2 2 3 3" xfId="18709" xr:uid="{00000000-0005-0000-0000-000084720000}"/>
    <cellStyle name="Header2 2 3 3 2" xfId="38062" xr:uid="{00000000-0005-0000-0000-000085720000}"/>
    <cellStyle name="Header2 2 3 4" xfId="21186" xr:uid="{00000000-0005-0000-0000-000086720000}"/>
    <cellStyle name="Header2 2 3 4 2" xfId="40528" xr:uid="{00000000-0005-0000-0000-000087720000}"/>
    <cellStyle name="Header2 2 3 5" xfId="33127" xr:uid="{00000000-0005-0000-0000-000088720000}"/>
    <cellStyle name="Header2 2 4" xfId="13434" xr:uid="{00000000-0005-0000-0000-000089720000}"/>
    <cellStyle name="Header2 2 4 2" xfId="32813" xr:uid="{00000000-0005-0000-0000-00008A720000}"/>
    <cellStyle name="Header2 2 5" xfId="16004" xr:uid="{00000000-0005-0000-0000-00008B720000}"/>
    <cellStyle name="Header2 2 5 2" xfId="35358" xr:uid="{00000000-0005-0000-0000-00008C720000}"/>
    <cellStyle name="Header2 2 6" xfId="24376" xr:uid="{00000000-0005-0000-0000-00008D720000}"/>
    <cellStyle name="Header2 3" xfId="13442" xr:uid="{00000000-0005-0000-0000-00008E720000}"/>
    <cellStyle name="Header2 3 2" xfId="13569" xr:uid="{00000000-0005-0000-0000-00008F720000}"/>
    <cellStyle name="Header2 3 2 2" xfId="13868" xr:uid="{00000000-0005-0000-0000-000090720000}"/>
    <cellStyle name="Header2 3 2 2 2" xfId="14663" xr:uid="{00000000-0005-0000-0000-000091720000}"/>
    <cellStyle name="Header2 3 2 2 2 2" xfId="17144" xr:uid="{00000000-0005-0000-0000-000092720000}"/>
    <cellStyle name="Header2 3 2 2 2 2 2" xfId="36498" xr:uid="{00000000-0005-0000-0000-000093720000}"/>
    <cellStyle name="Header2 3 2 2 2 3" xfId="19575" xr:uid="{00000000-0005-0000-0000-000094720000}"/>
    <cellStyle name="Header2 3 2 2 2 3 2" xfId="38928" xr:uid="{00000000-0005-0000-0000-000095720000}"/>
    <cellStyle name="Header2 3 2 2 2 4" xfId="22083" xr:uid="{00000000-0005-0000-0000-000096720000}"/>
    <cellStyle name="Header2 3 2 2 2 4 2" xfId="41425" xr:uid="{00000000-0005-0000-0000-000097720000}"/>
    <cellStyle name="Header2 3 2 2 2 5" xfId="34024" xr:uid="{00000000-0005-0000-0000-000098720000}"/>
    <cellStyle name="Header2 3 2 2 3" xfId="15215" xr:uid="{00000000-0005-0000-0000-000099720000}"/>
    <cellStyle name="Header2 3 2 2 3 2" xfId="17691" xr:uid="{00000000-0005-0000-0000-00009A720000}"/>
    <cellStyle name="Header2 3 2 2 3 2 2" xfId="37045" xr:uid="{00000000-0005-0000-0000-00009B720000}"/>
    <cellStyle name="Header2 3 2 2 3 3" xfId="20122" xr:uid="{00000000-0005-0000-0000-00009C720000}"/>
    <cellStyle name="Header2 3 2 2 3 3 2" xfId="39475" xr:uid="{00000000-0005-0000-0000-00009D720000}"/>
    <cellStyle name="Header2 3 2 2 3 4" xfId="22635" xr:uid="{00000000-0005-0000-0000-00009E720000}"/>
    <cellStyle name="Header2 3 2 2 3 4 2" xfId="41977" xr:uid="{00000000-0005-0000-0000-00009F720000}"/>
    <cellStyle name="Header2 3 2 2 3 5" xfId="34576" xr:uid="{00000000-0005-0000-0000-0000A0720000}"/>
    <cellStyle name="Header2 3 2 2 4" xfId="15685" xr:uid="{00000000-0005-0000-0000-0000A1720000}"/>
    <cellStyle name="Header2 3 2 2 4 2" xfId="18161" xr:uid="{00000000-0005-0000-0000-0000A2720000}"/>
    <cellStyle name="Header2 3 2 2 4 2 2" xfId="37515" xr:uid="{00000000-0005-0000-0000-0000A3720000}"/>
    <cellStyle name="Header2 3 2 2 4 3" xfId="20592" xr:uid="{00000000-0005-0000-0000-0000A4720000}"/>
    <cellStyle name="Header2 3 2 2 4 3 2" xfId="39945" xr:uid="{00000000-0005-0000-0000-0000A5720000}"/>
    <cellStyle name="Header2 3 2 2 4 4" xfId="23105" xr:uid="{00000000-0005-0000-0000-0000A6720000}"/>
    <cellStyle name="Header2 3 2 2 4 4 2" xfId="42447" xr:uid="{00000000-0005-0000-0000-0000A7720000}"/>
    <cellStyle name="Header2 3 2 2 4 5" xfId="35046" xr:uid="{00000000-0005-0000-0000-0000A8720000}"/>
    <cellStyle name="Header2 3 2 2 5" xfId="16377" xr:uid="{00000000-0005-0000-0000-0000A9720000}"/>
    <cellStyle name="Header2 3 2 2 5 2" xfId="35731" xr:uid="{00000000-0005-0000-0000-0000AA720000}"/>
    <cellStyle name="Header2 3 2 2 6" xfId="18808" xr:uid="{00000000-0005-0000-0000-0000AB720000}"/>
    <cellStyle name="Header2 3 2 2 6 2" xfId="38161" xr:uid="{00000000-0005-0000-0000-0000AC720000}"/>
    <cellStyle name="Header2 3 2 2 7" xfId="21291" xr:uid="{00000000-0005-0000-0000-0000AD720000}"/>
    <cellStyle name="Header2 3 2 2 7 2" xfId="40633" xr:uid="{00000000-0005-0000-0000-0000AE720000}"/>
    <cellStyle name="Header2 3 2 2 8" xfId="33232" xr:uid="{00000000-0005-0000-0000-0000AF720000}"/>
    <cellStyle name="Header2 3 2 3" xfId="14086" xr:uid="{00000000-0005-0000-0000-0000B0720000}"/>
    <cellStyle name="Header2 3 2 3 2" xfId="16592" xr:uid="{00000000-0005-0000-0000-0000B1720000}"/>
    <cellStyle name="Header2 3 2 3 2 2" xfId="35946" xr:uid="{00000000-0005-0000-0000-0000B2720000}"/>
    <cellStyle name="Header2 3 2 3 3" xfId="19023" xr:uid="{00000000-0005-0000-0000-0000B3720000}"/>
    <cellStyle name="Header2 3 2 3 3 2" xfId="38376" xr:uid="{00000000-0005-0000-0000-0000B4720000}"/>
    <cellStyle name="Header2 3 2 3 4" xfId="21509" xr:uid="{00000000-0005-0000-0000-0000B5720000}"/>
    <cellStyle name="Header2 3 2 3 4 2" xfId="40851" xr:uid="{00000000-0005-0000-0000-0000B6720000}"/>
    <cellStyle name="Header2 3 2 3 5" xfId="33450" xr:uid="{00000000-0005-0000-0000-0000B7720000}"/>
    <cellStyle name="Header2 3 2 4" xfId="14380" xr:uid="{00000000-0005-0000-0000-0000B8720000}"/>
    <cellStyle name="Header2 3 2 4 2" xfId="16873" xr:uid="{00000000-0005-0000-0000-0000B9720000}"/>
    <cellStyle name="Header2 3 2 4 2 2" xfId="36227" xr:uid="{00000000-0005-0000-0000-0000BA720000}"/>
    <cellStyle name="Header2 3 2 4 3" xfId="19304" xr:uid="{00000000-0005-0000-0000-0000BB720000}"/>
    <cellStyle name="Header2 3 2 4 3 2" xfId="38657" xr:uid="{00000000-0005-0000-0000-0000BC720000}"/>
    <cellStyle name="Header2 3 2 4 4" xfId="21800" xr:uid="{00000000-0005-0000-0000-0000BD720000}"/>
    <cellStyle name="Header2 3 2 4 4 2" xfId="41142" xr:uid="{00000000-0005-0000-0000-0000BE720000}"/>
    <cellStyle name="Header2 3 2 4 5" xfId="33741" xr:uid="{00000000-0005-0000-0000-0000BF720000}"/>
    <cellStyle name="Header2 3 2 5" xfId="15012" xr:uid="{00000000-0005-0000-0000-0000C0720000}"/>
    <cellStyle name="Header2 3 2 5 2" xfId="17488" xr:uid="{00000000-0005-0000-0000-0000C1720000}"/>
    <cellStyle name="Header2 3 2 5 2 2" xfId="36842" xr:uid="{00000000-0005-0000-0000-0000C2720000}"/>
    <cellStyle name="Header2 3 2 5 3" xfId="19919" xr:uid="{00000000-0005-0000-0000-0000C3720000}"/>
    <cellStyle name="Header2 3 2 5 3 2" xfId="39272" xr:uid="{00000000-0005-0000-0000-0000C4720000}"/>
    <cellStyle name="Header2 3 2 5 4" xfId="22432" xr:uid="{00000000-0005-0000-0000-0000C5720000}"/>
    <cellStyle name="Header2 3 2 5 4 2" xfId="41774" xr:uid="{00000000-0005-0000-0000-0000C6720000}"/>
    <cellStyle name="Header2 3 2 5 5" xfId="34373" xr:uid="{00000000-0005-0000-0000-0000C7720000}"/>
    <cellStyle name="Header2 3 2 6" xfId="16109" xr:uid="{00000000-0005-0000-0000-0000C8720000}"/>
    <cellStyle name="Header2 3 2 6 2" xfId="35463" xr:uid="{00000000-0005-0000-0000-0000C9720000}"/>
    <cellStyle name="Header2 3 2 7" xfId="18523" xr:uid="{00000000-0005-0000-0000-0000CA720000}"/>
    <cellStyle name="Header2 3 2 7 2" xfId="37876" xr:uid="{00000000-0005-0000-0000-0000CB720000}"/>
    <cellStyle name="Header2 3 2 8" xfId="32937" xr:uid="{00000000-0005-0000-0000-0000CC720000}"/>
    <cellStyle name="Header2 3 3" xfId="13638" xr:uid="{00000000-0005-0000-0000-0000CD720000}"/>
    <cellStyle name="Header2 3 3 2" xfId="16158" xr:uid="{00000000-0005-0000-0000-0000CE720000}"/>
    <cellStyle name="Header2 3 3 2 2" xfId="35512" xr:uid="{00000000-0005-0000-0000-0000CF720000}"/>
    <cellStyle name="Header2 3 3 3" xfId="18589" xr:uid="{00000000-0005-0000-0000-0000D0720000}"/>
    <cellStyle name="Header2 3 3 3 2" xfId="37942" xr:uid="{00000000-0005-0000-0000-0000D1720000}"/>
    <cellStyle name="Header2 3 3 4" xfId="21063" xr:uid="{00000000-0005-0000-0000-0000D2720000}"/>
    <cellStyle name="Header2 3 3 4 2" xfId="40405" xr:uid="{00000000-0005-0000-0000-0000D3720000}"/>
    <cellStyle name="Header2 3 3 5" xfId="33004" xr:uid="{00000000-0005-0000-0000-0000D4720000}"/>
    <cellStyle name="Header2 3 4" xfId="16012" xr:uid="{00000000-0005-0000-0000-0000D5720000}"/>
    <cellStyle name="Header2 3 4 2" xfId="35366" xr:uid="{00000000-0005-0000-0000-0000D6720000}"/>
    <cellStyle name="Header2 3 5" xfId="13394" xr:uid="{00000000-0005-0000-0000-0000D7720000}"/>
    <cellStyle name="Header2 3 5 2" xfId="32782" xr:uid="{00000000-0005-0000-0000-0000D8720000}"/>
    <cellStyle name="Header2 3 6" xfId="20943" xr:uid="{00000000-0005-0000-0000-0000D9720000}"/>
    <cellStyle name="Header2 3 6 2" xfId="40285" xr:uid="{00000000-0005-0000-0000-0000DA720000}"/>
    <cellStyle name="Header2 3 7" xfId="32821" xr:uid="{00000000-0005-0000-0000-0000DB720000}"/>
    <cellStyle name="Header2 4" xfId="13509" xr:uid="{00000000-0005-0000-0000-0000DC720000}"/>
    <cellStyle name="Header2 4 2" xfId="13811" xr:uid="{00000000-0005-0000-0000-0000DD720000}"/>
    <cellStyle name="Header2 4 2 2" xfId="16323" xr:uid="{00000000-0005-0000-0000-0000DE720000}"/>
    <cellStyle name="Header2 4 2 2 2" xfId="35677" xr:uid="{00000000-0005-0000-0000-0000DF720000}"/>
    <cellStyle name="Header2 4 2 3" xfId="18754" xr:uid="{00000000-0005-0000-0000-0000E0720000}"/>
    <cellStyle name="Header2 4 2 3 2" xfId="38107" xr:uid="{00000000-0005-0000-0000-0000E1720000}"/>
    <cellStyle name="Header2 4 2 4" xfId="21234" xr:uid="{00000000-0005-0000-0000-0000E2720000}"/>
    <cellStyle name="Header2 4 2 4 2" xfId="40576" xr:uid="{00000000-0005-0000-0000-0000E3720000}"/>
    <cellStyle name="Header2 4 2 5" xfId="33175" xr:uid="{00000000-0005-0000-0000-0000E4720000}"/>
    <cellStyle name="Header2 4 3" xfId="16071" xr:uid="{00000000-0005-0000-0000-0000E5720000}"/>
    <cellStyle name="Header2 4 3 2" xfId="35425" xr:uid="{00000000-0005-0000-0000-0000E6720000}"/>
    <cellStyle name="Header2 4 4" xfId="18470" xr:uid="{00000000-0005-0000-0000-0000E7720000}"/>
    <cellStyle name="Header2 4 4 2" xfId="37823" xr:uid="{00000000-0005-0000-0000-0000E8720000}"/>
    <cellStyle name="Header2 4 5" xfId="21004" xr:uid="{00000000-0005-0000-0000-0000E9720000}"/>
    <cellStyle name="Header2 4 5 2" xfId="40346" xr:uid="{00000000-0005-0000-0000-0000EA720000}"/>
    <cellStyle name="Header2 4 6" xfId="32884" xr:uid="{00000000-0005-0000-0000-0000EB720000}"/>
    <cellStyle name="Header2 5" xfId="13711" xr:uid="{00000000-0005-0000-0000-0000EC720000}"/>
    <cellStyle name="Header2 5 2" xfId="14514" xr:uid="{00000000-0005-0000-0000-0000ED720000}"/>
    <cellStyle name="Header2 5 2 2" xfId="17004" xr:uid="{00000000-0005-0000-0000-0000EE720000}"/>
    <cellStyle name="Header2 5 2 2 2" xfId="36358" xr:uid="{00000000-0005-0000-0000-0000EF720000}"/>
    <cellStyle name="Header2 5 2 3" xfId="19435" xr:uid="{00000000-0005-0000-0000-0000F0720000}"/>
    <cellStyle name="Header2 5 2 3 2" xfId="38788" xr:uid="{00000000-0005-0000-0000-0000F1720000}"/>
    <cellStyle name="Header2 5 2 4" xfId="21934" xr:uid="{00000000-0005-0000-0000-0000F2720000}"/>
    <cellStyle name="Header2 5 2 4 2" xfId="41276" xr:uid="{00000000-0005-0000-0000-0000F3720000}"/>
    <cellStyle name="Header2 5 2 5" xfId="33875" xr:uid="{00000000-0005-0000-0000-0000F4720000}"/>
    <cellStyle name="Header2 5 3" xfId="15078" xr:uid="{00000000-0005-0000-0000-0000F5720000}"/>
    <cellStyle name="Header2 5 3 2" xfId="17554" xr:uid="{00000000-0005-0000-0000-0000F6720000}"/>
    <cellStyle name="Header2 5 3 2 2" xfId="36908" xr:uid="{00000000-0005-0000-0000-0000F7720000}"/>
    <cellStyle name="Header2 5 3 3" xfId="19985" xr:uid="{00000000-0005-0000-0000-0000F8720000}"/>
    <cellStyle name="Header2 5 3 3 2" xfId="39338" xr:uid="{00000000-0005-0000-0000-0000F9720000}"/>
    <cellStyle name="Header2 5 3 4" xfId="22498" xr:uid="{00000000-0005-0000-0000-0000FA720000}"/>
    <cellStyle name="Header2 5 3 4 2" xfId="41840" xr:uid="{00000000-0005-0000-0000-0000FB720000}"/>
    <cellStyle name="Header2 5 3 5" xfId="34439" xr:uid="{00000000-0005-0000-0000-0000FC720000}"/>
    <cellStyle name="Header2 5 4" xfId="15561" xr:uid="{00000000-0005-0000-0000-0000FD720000}"/>
    <cellStyle name="Header2 5 4 2" xfId="18037" xr:uid="{00000000-0005-0000-0000-0000FE720000}"/>
    <cellStyle name="Header2 5 4 2 2" xfId="37391" xr:uid="{00000000-0005-0000-0000-0000FF720000}"/>
    <cellStyle name="Header2 5 4 3" xfId="20468" xr:uid="{00000000-0005-0000-0000-000000730000}"/>
    <cellStyle name="Header2 5 4 3 2" xfId="39821" xr:uid="{00000000-0005-0000-0000-000001730000}"/>
    <cellStyle name="Header2 5 4 4" xfId="22981" xr:uid="{00000000-0005-0000-0000-000002730000}"/>
    <cellStyle name="Header2 5 4 4 2" xfId="42323" xr:uid="{00000000-0005-0000-0000-000003730000}"/>
    <cellStyle name="Header2 5 4 5" xfId="34922" xr:uid="{00000000-0005-0000-0000-000004730000}"/>
    <cellStyle name="Header2 5 5" xfId="16230" xr:uid="{00000000-0005-0000-0000-000005730000}"/>
    <cellStyle name="Header2 5 5 2" xfId="35584" xr:uid="{00000000-0005-0000-0000-000006730000}"/>
    <cellStyle name="Header2 5 6" xfId="18661" xr:uid="{00000000-0005-0000-0000-000007730000}"/>
    <cellStyle name="Header2 5 6 2" xfId="38014" xr:uid="{00000000-0005-0000-0000-000008730000}"/>
    <cellStyle name="Header2 5 7" xfId="21135" xr:uid="{00000000-0005-0000-0000-000009730000}"/>
    <cellStyle name="Header2 5 7 2" xfId="40477" xr:uid="{00000000-0005-0000-0000-00000A730000}"/>
    <cellStyle name="Header2 5 8" xfId="33076" xr:uid="{00000000-0005-0000-0000-00000B730000}"/>
    <cellStyle name="Header2 6" xfId="14215" xr:uid="{00000000-0005-0000-0000-00000C730000}"/>
    <cellStyle name="Header2 6 2" xfId="16718" xr:uid="{00000000-0005-0000-0000-00000D730000}"/>
    <cellStyle name="Header2 6 2 2" xfId="36072" xr:uid="{00000000-0005-0000-0000-00000E730000}"/>
    <cellStyle name="Header2 6 3" xfId="19149" xr:uid="{00000000-0005-0000-0000-00000F730000}"/>
    <cellStyle name="Header2 6 3 2" xfId="38502" xr:uid="{00000000-0005-0000-0000-000010730000}"/>
    <cellStyle name="Header2 6 4" xfId="21636" xr:uid="{00000000-0005-0000-0000-000011730000}"/>
    <cellStyle name="Header2 6 4 2" xfId="40978" xr:uid="{00000000-0005-0000-0000-000012730000}"/>
    <cellStyle name="Header2 6 5" xfId="33577" xr:uid="{00000000-0005-0000-0000-000013730000}"/>
    <cellStyle name="Header2 7" xfId="14209" xr:uid="{00000000-0005-0000-0000-000014730000}"/>
    <cellStyle name="Header2 7 2" xfId="16712" xr:uid="{00000000-0005-0000-0000-000015730000}"/>
    <cellStyle name="Header2 7 2 2" xfId="36066" xr:uid="{00000000-0005-0000-0000-000016730000}"/>
    <cellStyle name="Header2 7 3" xfId="19143" xr:uid="{00000000-0005-0000-0000-000017730000}"/>
    <cellStyle name="Header2 7 3 2" xfId="38496" xr:uid="{00000000-0005-0000-0000-000018730000}"/>
    <cellStyle name="Header2 7 4" xfId="21630" xr:uid="{00000000-0005-0000-0000-000019730000}"/>
    <cellStyle name="Header2 7 4 2" xfId="40972" xr:uid="{00000000-0005-0000-0000-00001A730000}"/>
    <cellStyle name="Header2 7 5" xfId="33571" xr:uid="{00000000-0005-0000-0000-00001B730000}"/>
    <cellStyle name="Header2 8" xfId="13239" xr:uid="{00000000-0005-0000-0000-00001C730000}"/>
    <cellStyle name="Header2 8 2" xfId="32692" xr:uid="{00000000-0005-0000-0000-00001D730000}"/>
    <cellStyle name="Header2 9" xfId="13290" xr:uid="{00000000-0005-0000-0000-00001E730000}"/>
    <cellStyle name="Header2 9 2" xfId="32734" xr:uid="{00000000-0005-0000-0000-00001F730000}"/>
    <cellStyle name="headers" xfId="3957" xr:uid="{00000000-0005-0000-0000-000020730000}"/>
    <cellStyle name="Headin - Style6" xfId="1632" xr:uid="{00000000-0005-0000-0000-000021730000}"/>
    <cellStyle name="Heading" xfId="3958" xr:uid="{00000000-0005-0000-0000-000022730000}"/>
    <cellStyle name="Heading 1" xfId="1633" builtinId="16" customBuiltin="1"/>
    <cellStyle name="Heading 1 2" xfId="2079" xr:uid="{00000000-0005-0000-0000-000024730000}"/>
    <cellStyle name="Heading 1 2 2" xfId="4110" xr:uid="{00000000-0005-0000-0000-000025730000}"/>
    <cellStyle name="Heading 1 3" xfId="2137" xr:uid="{00000000-0005-0000-0000-000026730000}"/>
    <cellStyle name="Heading 1 4" xfId="4097" xr:uid="{00000000-0005-0000-0000-000027730000}"/>
    <cellStyle name="Heading 1 Above" xfId="3959" xr:uid="{00000000-0005-0000-0000-000028730000}"/>
    <cellStyle name="Heading 1+" xfId="3960" xr:uid="{00000000-0005-0000-0000-000029730000}"/>
    <cellStyle name="Heading 2" xfId="1634" builtinId="17" customBuiltin="1"/>
    <cellStyle name="Heading 2 2" xfId="2080" xr:uid="{00000000-0005-0000-0000-00002B730000}"/>
    <cellStyle name="Heading 2 2 2" xfId="4111" xr:uid="{00000000-0005-0000-0000-00002C730000}"/>
    <cellStyle name="Heading 2 3" xfId="2138" xr:uid="{00000000-0005-0000-0000-00002D730000}"/>
    <cellStyle name="Heading 2 4" xfId="4098" xr:uid="{00000000-0005-0000-0000-00002E730000}"/>
    <cellStyle name="Heading 2 Below" xfId="3961" xr:uid="{00000000-0005-0000-0000-00002F730000}"/>
    <cellStyle name="Heading 2+" xfId="3962" xr:uid="{00000000-0005-0000-0000-000030730000}"/>
    <cellStyle name="Heading 3" xfId="1635" builtinId="18" customBuiltin="1"/>
    <cellStyle name="Heading 3 2" xfId="2081" xr:uid="{00000000-0005-0000-0000-000032730000}"/>
    <cellStyle name="Heading 3 2 2" xfId="4112" xr:uid="{00000000-0005-0000-0000-000033730000}"/>
    <cellStyle name="Heading 3 2 2 2" xfId="13338" xr:uid="{00000000-0005-0000-0000-000034730000}"/>
    <cellStyle name="Heading 3 2 3" xfId="13310" xr:uid="{00000000-0005-0000-0000-000035730000}"/>
    <cellStyle name="Heading 3 3" xfId="2139" xr:uid="{00000000-0005-0000-0000-000036730000}"/>
    <cellStyle name="Heading 3+" xfId="3963" xr:uid="{00000000-0005-0000-0000-000037730000}"/>
    <cellStyle name="Heading 4" xfId="1636" builtinId="19" customBuiltin="1"/>
    <cellStyle name="Heading 4 2" xfId="2082" xr:uid="{00000000-0005-0000-0000-000039730000}"/>
    <cellStyle name="Heading 4 2 2" xfId="4113" xr:uid="{00000000-0005-0000-0000-00003A730000}"/>
    <cellStyle name="Heading 4 3" xfId="2140" xr:uid="{00000000-0005-0000-0000-00003B730000}"/>
    <cellStyle name="Heading 5" xfId="13383" xr:uid="{00000000-0005-0000-0000-00003C730000}"/>
    <cellStyle name="Heading 6" xfId="15982" xr:uid="{00000000-0005-0000-0000-00003D730000}"/>
    <cellStyle name="Heading 7" xfId="13252" xr:uid="{00000000-0005-0000-0000-00003E730000}"/>
    <cellStyle name="Heading 8" xfId="20920" xr:uid="{00000000-0005-0000-0000-00003F730000}"/>
    <cellStyle name="Heading1" xfId="1637" xr:uid="{00000000-0005-0000-0000-000040730000}"/>
    <cellStyle name="Headings" xfId="1638" xr:uid="{00000000-0005-0000-0000-000041730000}"/>
    <cellStyle name="Helv" xfId="3964" xr:uid="{00000000-0005-0000-0000-000042730000}"/>
    <cellStyle name="Helv 10 Bold" xfId="1639" xr:uid="{00000000-0005-0000-0000-000043730000}"/>
    <cellStyle name="Helv 12 Bold" xfId="1640" xr:uid="{00000000-0005-0000-0000-000044730000}"/>
    <cellStyle name="Helv 9 ctr wrap" xfId="3965" xr:uid="{00000000-0005-0000-0000-000045730000}"/>
    <cellStyle name="Helv 9 ctr wrap 2" xfId="4740" xr:uid="{00000000-0005-0000-0000-000046730000}"/>
    <cellStyle name="Helv 9 ctr wrap 2 2" xfId="8333" xr:uid="{00000000-0005-0000-0000-000047730000}"/>
    <cellStyle name="Helv 9 ctr wrap 2 2 2" xfId="12642" xr:uid="{00000000-0005-0000-0000-000048730000}"/>
    <cellStyle name="Helv 9 ctr wrap 2 2 2 2" xfId="32112" xr:uid="{00000000-0005-0000-0000-000049730000}"/>
    <cellStyle name="Helv 9 ctr wrap 2 2 3" xfId="27814" xr:uid="{00000000-0005-0000-0000-00004A730000}"/>
    <cellStyle name="Helv 9 ctr wrap 2 3" xfId="24246" xr:uid="{00000000-0005-0000-0000-00004B730000}"/>
    <cellStyle name="Helv 9 ctr wrap 3" xfId="23938" xr:uid="{00000000-0005-0000-0000-00004C730000}"/>
    <cellStyle name="Helv 9 lft wrap" xfId="3966" xr:uid="{00000000-0005-0000-0000-00004D730000}"/>
    <cellStyle name="hidebold" xfId="1641" xr:uid="{00000000-0005-0000-0000-00004E730000}"/>
    <cellStyle name="hidenorm" xfId="1642" xr:uid="{00000000-0005-0000-0000-00004F730000}"/>
    <cellStyle name="Hyperlink" xfId="1643" builtinId="8"/>
    <cellStyle name="Hyperlink 2" xfId="1644" xr:uid="{00000000-0005-0000-0000-000051730000}"/>
    <cellStyle name="Hyperlink 2 2" xfId="4165" xr:uid="{00000000-0005-0000-0000-000052730000}"/>
    <cellStyle name="Hyperlink 3" xfId="2141" xr:uid="{00000000-0005-0000-0000-000053730000}"/>
    <cellStyle name="Hyperlink 3 2" xfId="15973" xr:uid="{00000000-0005-0000-0000-000054730000}"/>
    <cellStyle name="Hyperlink 4" xfId="4099" xr:uid="{00000000-0005-0000-0000-000055730000}"/>
    <cellStyle name="Hyperlink 5" xfId="8883" xr:uid="{00000000-0005-0000-0000-000056730000}"/>
    <cellStyle name="IncomeStatement" xfId="1645" xr:uid="{00000000-0005-0000-0000-000059730000}"/>
    <cellStyle name="Input" xfId="1646" builtinId="20" customBuiltin="1"/>
    <cellStyle name="Input [yellow]" xfId="1647" xr:uid="{00000000-0005-0000-0000-00005B730000}"/>
    <cellStyle name="Input [yellow] 2" xfId="4557" xr:uid="{00000000-0005-0000-0000-00005C730000}"/>
    <cellStyle name="Input [yellow] 2 2" xfId="13448" xr:uid="{00000000-0005-0000-0000-00005D730000}"/>
    <cellStyle name="Input [yellow] 2 2 10" xfId="20948" xr:uid="{00000000-0005-0000-0000-00005E730000}"/>
    <cellStyle name="Input [yellow] 2 2 10 2" xfId="40290" xr:uid="{00000000-0005-0000-0000-00005F730000}"/>
    <cellStyle name="Input [yellow] 2 2 11" xfId="32827" xr:uid="{00000000-0005-0000-0000-000060730000}"/>
    <cellStyle name="Input [yellow] 2 2 2" xfId="13575" xr:uid="{00000000-0005-0000-0000-000061730000}"/>
    <cellStyle name="Input [yellow] 2 2 2 10" xfId="32941" xr:uid="{00000000-0005-0000-0000-000062730000}"/>
    <cellStyle name="Input [yellow] 2 2 2 2" xfId="13874" xr:uid="{00000000-0005-0000-0000-000063730000}"/>
    <cellStyle name="Input [yellow] 2 2 2 2 2" xfId="14669" xr:uid="{00000000-0005-0000-0000-000064730000}"/>
    <cellStyle name="Input [yellow] 2 2 2 2 2 2" xfId="17150" xr:uid="{00000000-0005-0000-0000-000065730000}"/>
    <cellStyle name="Input [yellow] 2 2 2 2 2 2 2" xfId="36504" xr:uid="{00000000-0005-0000-0000-000066730000}"/>
    <cellStyle name="Input [yellow] 2 2 2 2 2 3" xfId="19581" xr:uid="{00000000-0005-0000-0000-000067730000}"/>
    <cellStyle name="Input [yellow] 2 2 2 2 2 3 2" xfId="38934" xr:uid="{00000000-0005-0000-0000-000068730000}"/>
    <cellStyle name="Input [yellow] 2 2 2 2 2 4" xfId="22089" xr:uid="{00000000-0005-0000-0000-000069730000}"/>
    <cellStyle name="Input [yellow] 2 2 2 2 2 4 2" xfId="41431" xr:uid="{00000000-0005-0000-0000-00006A730000}"/>
    <cellStyle name="Input [yellow] 2 2 2 2 2 5" xfId="34030" xr:uid="{00000000-0005-0000-0000-00006B730000}"/>
    <cellStyle name="Input [yellow] 2 2 2 2 3" xfId="15221" xr:uid="{00000000-0005-0000-0000-00006C730000}"/>
    <cellStyle name="Input [yellow] 2 2 2 2 3 2" xfId="17697" xr:uid="{00000000-0005-0000-0000-00006D730000}"/>
    <cellStyle name="Input [yellow] 2 2 2 2 3 2 2" xfId="37051" xr:uid="{00000000-0005-0000-0000-00006E730000}"/>
    <cellStyle name="Input [yellow] 2 2 2 2 3 3" xfId="20128" xr:uid="{00000000-0005-0000-0000-00006F730000}"/>
    <cellStyle name="Input [yellow] 2 2 2 2 3 3 2" xfId="39481" xr:uid="{00000000-0005-0000-0000-000070730000}"/>
    <cellStyle name="Input [yellow] 2 2 2 2 3 4" xfId="22641" xr:uid="{00000000-0005-0000-0000-000071730000}"/>
    <cellStyle name="Input [yellow] 2 2 2 2 3 4 2" xfId="41983" xr:uid="{00000000-0005-0000-0000-000072730000}"/>
    <cellStyle name="Input [yellow] 2 2 2 2 3 5" xfId="34582" xr:uid="{00000000-0005-0000-0000-000073730000}"/>
    <cellStyle name="Input [yellow] 2 2 2 2 4" xfId="15691" xr:uid="{00000000-0005-0000-0000-000074730000}"/>
    <cellStyle name="Input [yellow] 2 2 2 2 4 2" xfId="18167" xr:uid="{00000000-0005-0000-0000-000075730000}"/>
    <cellStyle name="Input [yellow] 2 2 2 2 4 2 2" xfId="37521" xr:uid="{00000000-0005-0000-0000-000076730000}"/>
    <cellStyle name="Input [yellow] 2 2 2 2 4 3" xfId="20598" xr:uid="{00000000-0005-0000-0000-000077730000}"/>
    <cellStyle name="Input [yellow] 2 2 2 2 4 3 2" xfId="39951" xr:uid="{00000000-0005-0000-0000-000078730000}"/>
    <cellStyle name="Input [yellow] 2 2 2 2 4 4" xfId="23111" xr:uid="{00000000-0005-0000-0000-000079730000}"/>
    <cellStyle name="Input [yellow] 2 2 2 2 4 4 2" xfId="42453" xr:uid="{00000000-0005-0000-0000-00007A730000}"/>
    <cellStyle name="Input [yellow] 2 2 2 2 4 5" xfId="35052" xr:uid="{00000000-0005-0000-0000-00007B730000}"/>
    <cellStyle name="Input [yellow] 2 2 2 2 5" xfId="16383" xr:uid="{00000000-0005-0000-0000-00007C730000}"/>
    <cellStyle name="Input [yellow] 2 2 2 2 5 2" xfId="35737" xr:uid="{00000000-0005-0000-0000-00007D730000}"/>
    <cellStyle name="Input [yellow] 2 2 2 2 6" xfId="18814" xr:uid="{00000000-0005-0000-0000-00007E730000}"/>
    <cellStyle name="Input [yellow] 2 2 2 2 6 2" xfId="38167" xr:uid="{00000000-0005-0000-0000-00007F730000}"/>
    <cellStyle name="Input [yellow] 2 2 2 2 7" xfId="21297" xr:uid="{00000000-0005-0000-0000-000080730000}"/>
    <cellStyle name="Input [yellow] 2 2 2 2 7 2" xfId="40639" xr:uid="{00000000-0005-0000-0000-000081730000}"/>
    <cellStyle name="Input [yellow] 2 2 2 2 8" xfId="33238" xr:uid="{00000000-0005-0000-0000-000082730000}"/>
    <cellStyle name="Input [yellow] 2 2 2 3" xfId="14092" xr:uid="{00000000-0005-0000-0000-000083730000}"/>
    <cellStyle name="Input [yellow] 2 2 2 3 2" xfId="14873" xr:uid="{00000000-0005-0000-0000-000084730000}"/>
    <cellStyle name="Input [yellow] 2 2 2 3 2 2" xfId="17351" xr:uid="{00000000-0005-0000-0000-000085730000}"/>
    <cellStyle name="Input [yellow] 2 2 2 3 2 2 2" xfId="36705" xr:uid="{00000000-0005-0000-0000-000086730000}"/>
    <cellStyle name="Input [yellow] 2 2 2 3 2 3" xfId="19782" xr:uid="{00000000-0005-0000-0000-000087730000}"/>
    <cellStyle name="Input [yellow] 2 2 2 3 2 3 2" xfId="39135" xr:uid="{00000000-0005-0000-0000-000088730000}"/>
    <cellStyle name="Input [yellow] 2 2 2 3 2 4" xfId="22293" xr:uid="{00000000-0005-0000-0000-000089730000}"/>
    <cellStyle name="Input [yellow] 2 2 2 3 2 4 2" xfId="41635" xr:uid="{00000000-0005-0000-0000-00008A730000}"/>
    <cellStyle name="Input [yellow] 2 2 2 3 2 5" xfId="34234" xr:uid="{00000000-0005-0000-0000-00008B730000}"/>
    <cellStyle name="Input [yellow] 2 2 2 3 3" xfId="15420" xr:uid="{00000000-0005-0000-0000-00008C730000}"/>
    <cellStyle name="Input [yellow] 2 2 2 3 3 2" xfId="17896" xr:uid="{00000000-0005-0000-0000-00008D730000}"/>
    <cellStyle name="Input [yellow] 2 2 2 3 3 2 2" xfId="37250" xr:uid="{00000000-0005-0000-0000-00008E730000}"/>
    <cellStyle name="Input [yellow] 2 2 2 3 3 3" xfId="20327" xr:uid="{00000000-0005-0000-0000-00008F730000}"/>
    <cellStyle name="Input [yellow] 2 2 2 3 3 3 2" xfId="39680" xr:uid="{00000000-0005-0000-0000-000090730000}"/>
    <cellStyle name="Input [yellow] 2 2 2 3 3 4" xfId="22840" xr:uid="{00000000-0005-0000-0000-000091730000}"/>
    <cellStyle name="Input [yellow] 2 2 2 3 3 4 2" xfId="42182" xr:uid="{00000000-0005-0000-0000-000092730000}"/>
    <cellStyle name="Input [yellow] 2 2 2 3 3 5" xfId="34781" xr:uid="{00000000-0005-0000-0000-000093730000}"/>
    <cellStyle name="Input [yellow] 2 2 2 3 4" xfId="15879" xr:uid="{00000000-0005-0000-0000-000094730000}"/>
    <cellStyle name="Input [yellow] 2 2 2 3 4 2" xfId="18355" xr:uid="{00000000-0005-0000-0000-000095730000}"/>
    <cellStyle name="Input [yellow] 2 2 2 3 4 2 2" xfId="37709" xr:uid="{00000000-0005-0000-0000-000096730000}"/>
    <cellStyle name="Input [yellow] 2 2 2 3 4 3" xfId="20786" xr:uid="{00000000-0005-0000-0000-000097730000}"/>
    <cellStyle name="Input [yellow] 2 2 2 3 4 3 2" xfId="40139" xr:uid="{00000000-0005-0000-0000-000098730000}"/>
    <cellStyle name="Input [yellow] 2 2 2 3 4 4" xfId="23299" xr:uid="{00000000-0005-0000-0000-000099730000}"/>
    <cellStyle name="Input [yellow] 2 2 2 3 4 4 2" xfId="42641" xr:uid="{00000000-0005-0000-0000-00009A730000}"/>
    <cellStyle name="Input [yellow] 2 2 2 3 4 5" xfId="35240" xr:uid="{00000000-0005-0000-0000-00009B730000}"/>
    <cellStyle name="Input [yellow] 2 2 2 3 5" xfId="16598" xr:uid="{00000000-0005-0000-0000-00009C730000}"/>
    <cellStyle name="Input [yellow] 2 2 2 3 5 2" xfId="35952" xr:uid="{00000000-0005-0000-0000-00009D730000}"/>
    <cellStyle name="Input [yellow] 2 2 2 3 6" xfId="19029" xr:uid="{00000000-0005-0000-0000-00009E730000}"/>
    <cellStyle name="Input [yellow] 2 2 2 3 6 2" xfId="38382" xr:uid="{00000000-0005-0000-0000-00009F730000}"/>
    <cellStyle name="Input [yellow] 2 2 2 3 7" xfId="21515" xr:uid="{00000000-0005-0000-0000-0000A0730000}"/>
    <cellStyle name="Input [yellow] 2 2 2 3 7 2" xfId="40857" xr:uid="{00000000-0005-0000-0000-0000A1730000}"/>
    <cellStyle name="Input [yellow] 2 2 2 3 8" xfId="33456" xr:uid="{00000000-0005-0000-0000-0000A2730000}"/>
    <cellStyle name="Input [yellow] 2 2 2 4" xfId="14384" xr:uid="{00000000-0005-0000-0000-0000A3730000}"/>
    <cellStyle name="Input [yellow] 2 2 2 4 2" xfId="16877" xr:uid="{00000000-0005-0000-0000-0000A4730000}"/>
    <cellStyle name="Input [yellow] 2 2 2 4 2 2" xfId="36231" xr:uid="{00000000-0005-0000-0000-0000A5730000}"/>
    <cellStyle name="Input [yellow] 2 2 2 4 3" xfId="19308" xr:uid="{00000000-0005-0000-0000-0000A6730000}"/>
    <cellStyle name="Input [yellow] 2 2 2 4 3 2" xfId="38661" xr:uid="{00000000-0005-0000-0000-0000A7730000}"/>
    <cellStyle name="Input [yellow] 2 2 2 4 4" xfId="21804" xr:uid="{00000000-0005-0000-0000-0000A8730000}"/>
    <cellStyle name="Input [yellow] 2 2 2 4 4 2" xfId="41146" xr:uid="{00000000-0005-0000-0000-0000A9730000}"/>
    <cellStyle name="Input [yellow] 2 2 2 4 5" xfId="33745" xr:uid="{00000000-0005-0000-0000-0000AA730000}"/>
    <cellStyle name="Input [yellow] 2 2 2 5" xfId="15018" xr:uid="{00000000-0005-0000-0000-0000AB730000}"/>
    <cellStyle name="Input [yellow] 2 2 2 5 2" xfId="17494" xr:uid="{00000000-0005-0000-0000-0000AC730000}"/>
    <cellStyle name="Input [yellow] 2 2 2 5 2 2" xfId="36848" xr:uid="{00000000-0005-0000-0000-0000AD730000}"/>
    <cellStyle name="Input [yellow] 2 2 2 5 3" xfId="19925" xr:uid="{00000000-0005-0000-0000-0000AE730000}"/>
    <cellStyle name="Input [yellow] 2 2 2 5 3 2" xfId="39278" xr:uid="{00000000-0005-0000-0000-0000AF730000}"/>
    <cellStyle name="Input [yellow] 2 2 2 5 4" xfId="22438" xr:uid="{00000000-0005-0000-0000-0000B0730000}"/>
    <cellStyle name="Input [yellow] 2 2 2 5 4 2" xfId="41780" xr:uid="{00000000-0005-0000-0000-0000B1730000}"/>
    <cellStyle name="Input [yellow] 2 2 2 5 5" xfId="34379" xr:uid="{00000000-0005-0000-0000-0000B2730000}"/>
    <cellStyle name="Input [yellow] 2 2 2 6" xfId="14227" xr:uid="{00000000-0005-0000-0000-0000B3730000}"/>
    <cellStyle name="Input [yellow] 2 2 2 6 2" xfId="16730" xr:uid="{00000000-0005-0000-0000-0000B4730000}"/>
    <cellStyle name="Input [yellow] 2 2 2 6 2 2" xfId="36084" xr:uid="{00000000-0005-0000-0000-0000B5730000}"/>
    <cellStyle name="Input [yellow] 2 2 2 6 3" xfId="19161" xr:uid="{00000000-0005-0000-0000-0000B6730000}"/>
    <cellStyle name="Input [yellow] 2 2 2 6 3 2" xfId="38514" xr:uid="{00000000-0005-0000-0000-0000B7730000}"/>
    <cellStyle name="Input [yellow] 2 2 2 6 4" xfId="21648" xr:uid="{00000000-0005-0000-0000-0000B8730000}"/>
    <cellStyle name="Input [yellow] 2 2 2 6 4 2" xfId="40990" xr:uid="{00000000-0005-0000-0000-0000B9730000}"/>
    <cellStyle name="Input [yellow] 2 2 2 6 5" xfId="33589" xr:uid="{00000000-0005-0000-0000-0000BA730000}"/>
    <cellStyle name="Input [yellow] 2 2 2 7" xfId="16113" xr:uid="{00000000-0005-0000-0000-0000BB730000}"/>
    <cellStyle name="Input [yellow] 2 2 2 7 2" xfId="35467" xr:uid="{00000000-0005-0000-0000-0000BC730000}"/>
    <cellStyle name="Input [yellow] 2 2 2 8" xfId="18527" xr:uid="{00000000-0005-0000-0000-0000BD730000}"/>
    <cellStyle name="Input [yellow] 2 2 2 8 2" xfId="37880" xr:uid="{00000000-0005-0000-0000-0000BE730000}"/>
    <cellStyle name="Input [yellow] 2 2 2 9" xfId="21029" xr:uid="{00000000-0005-0000-0000-0000BF730000}"/>
    <cellStyle name="Input [yellow] 2 2 2 9 2" xfId="40371" xr:uid="{00000000-0005-0000-0000-0000C0730000}"/>
    <cellStyle name="Input [yellow] 2 2 3" xfId="13643" xr:uid="{00000000-0005-0000-0000-0000C1730000}"/>
    <cellStyle name="Input [yellow] 2 2 3 2" xfId="13941" xr:uid="{00000000-0005-0000-0000-0000C2730000}"/>
    <cellStyle name="Input [yellow] 2 2 3 2 2" xfId="14736" xr:uid="{00000000-0005-0000-0000-0000C3730000}"/>
    <cellStyle name="Input [yellow] 2 2 3 2 2 2" xfId="17214" xr:uid="{00000000-0005-0000-0000-0000C4730000}"/>
    <cellStyle name="Input [yellow] 2 2 3 2 2 2 2" xfId="36568" xr:uid="{00000000-0005-0000-0000-0000C5730000}"/>
    <cellStyle name="Input [yellow] 2 2 3 2 2 3" xfId="19645" xr:uid="{00000000-0005-0000-0000-0000C6730000}"/>
    <cellStyle name="Input [yellow] 2 2 3 2 2 3 2" xfId="38998" xr:uid="{00000000-0005-0000-0000-0000C7730000}"/>
    <cellStyle name="Input [yellow] 2 2 3 2 2 4" xfId="22156" xr:uid="{00000000-0005-0000-0000-0000C8730000}"/>
    <cellStyle name="Input [yellow] 2 2 3 2 2 4 2" xfId="41498" xr:uid="{00000000-0005-0000-0000-0000C9730000}"/>
    <cellStyle name="Input [yellow] 2 2 3 2 2 5" xfId="34097" xr:uid="{00000000-0005-0000-0000-0000CA730000}"/>
    <cellStyle name="Input [yellow] 2 2 3 2 3" xfId="15284" xr:uid="{00000000-0005-0000-0000-0000CB730000}"/>
    <cellStyle name="Input [yellow] 2 2 3 2 3 2" xfId="17760" xr:uid="{00000000-0005-0000-0000-0000CC730000}"/>
    <cellStyle name="Input [yellow] 2 2 3 2 3 2 2" xfId="37114" xr:uid="{00000000-0005-0000-0000-0000CD730000}"/>
    <cellStyle name="Input [yellow] 2 2 3 2 3 3" xfId="20191" xr:uid="{00000000-0005-0000-0000-0000CE730000}"/>
    <cellStyle name="Input [yellow] 2 2 3 2 3 3 2" xfId="39544" xr:uid="{00000000-0005-0000-0000-0000CF730000}"/>
    <cellStyle name="Input [yellow] 2 2 3 2 3 4" xfId="22704" xr:uid="{00000000-0005-0000-0000-0000D0730000}"/>
    <cellStyle name="Input [yellow] 2 2 3 2 3 4 2" xfId="42046" xr:uid="{00000000-0005-0000-0000-0000D1730000}"/>
    <cellStyle name="Input [yellow] 2 2 3 2 3 5" xfId="34645" xr:uid="{00000000-0005-0000-0000-0000D2730000}"/>
    <cellStyle name="Input [yellow] 2 2 3 2 4" xfId="15743" xr:uid="{00000000-0005-0000-0000-0000D3730000}"/>
    <cellStyle name="Input [yellow] 2 2 3 2 4 2" xfId="18219" xr:uid="{00000000-0005-0000-0000-0000D4730000}"/>
    <cellStyle name="Input [yellow] 2 2 3 2 4 2 2" xfId="37573" xr:uid="{00000000-0005-0000-0000-0000D5730000}"/>
    <cellStyle name="Input [yellow] 2 2 3 2 4 3" xfId="20650" xr:uid="{00000000-0005-0000-0000-0000D6730000}"/>
    <cellStyle name="Input [yellow] 2 2 3 2 4 3 2" xfId="40003" xr:uid="{00000000-0005-0000-0000-0000D7730000}"/>
    <cellStyle name="Input [yellow] 2 2 3 2 4 4" xfId="23163" xr:uid="{00000000-0005-0000-0000-0000D8730000}"/>
    <cellStyle name="Input [yellow] 2 2 3 2 4 4 2" xfId="42505" xr:uid="{00000000-0005-0000-0000-0000D9730000}"/>
    <cellStyle name="Input [yellow] 2 2 3 2 4 5" xfId="35104" xr:uid="{00000000-0005-0000-0000-0000DA730000}"/>
    <cellStyle name="Input [yellow] 2 2 3 2 5" xfId="16447" xr:uid="{00000000-0005-0000-0000-0000DB730000}"/>
    <cellStyle name="Input [yellow] 2 2 3 2 5 2" xfId="35801" xr:uid="{00000000-0005-0000-0000-0000DC730000}"/>
    <cellStyle name="Input [yellow] 2 2 3 2 6" xfId="18878" xr:uid="{00000000-0005-0000-0000-0000DD730000}"/>
    <cellStyle name="Input [yellow] 2 2 3 2 6 2" xfId="38231" xr:uid="{00000000-0005-0000-0000-0000DE730000}"/>
    <cellStyle name="Input [yellow] 2 2 3 2 7" xfId="21364" xr:uid="{00000000-0005-0000-0000-0000DF730000}"/>
    <cellStyle name="Input [yellow] 2 2 3 2 7 2" xfId="40706" xr:uid="{00000000-0005-0000-0000-0000E0730000}"/>
    <cellStyle name="Input [yellow] 2 2 3 2 8" xfId="33305" xr:uid="{00000000-0005-0000-0000-0000E1730000}"/>
    <cellStyle name="Input [yellow] 2 2 3 3" xfId="14155" xr:uid="{00000000-0005-0000-0000-0000E2730000}"/>
    <cellStyle name="Input [yellow] 2 2 3 3 2" xfId="14932" xr:uid="{00000000-0005-0000-0000-0000E3730000}"/>
    <cellStyle name="Input [yellow] 2 2 3 3 2 2" xfId="17410" xr:uid="{00000000-0005-0000-0000-0000E4730000}"/>
    <cellStyle name="Input [yellow] 2 2 3 3 2 2 2" xfId="36764" xr:uid="{00000000-0005-0000-0000-0000E5730000}"/>
    <cellStyle name="Input [yellow] 2 2 3 3 2 3" xfId="19841" xr:uid="{00000000-0005-0000-0000-0000E6730000}"/>
    <cellStyle name="Input [yellow] 2 2 3 3 2 3 2" xfId="39194" xr:uid="{00000000-0005-0000-0000-0000E7730000}"/>
    <cellStyle name="Input [yellow] 2 2 3 3 2 4" xfId="22352" xr:uid="{00000000-0005-0000-0000-0000E8730000}"/>
    <cellStyle name="Input [yellow] 2 2 3 3 2 4 2" xfId="41694" xr:uid="{00000000-0005-0000-0000-0000E9730000}"/>
    <cellStyle name="Input [yellow] 2 2 3 3 2 5" xfId="34293" xr:uid="{00000000-0005-0000-0000-0000EA730000}"/>
    <cellStyle name="Input [yellow] 2 2 3 3 3" xfId="15478" xr:uid="{00000000-0005-0000-0000-0000EB730000}"/>
    <cellStyle name="Input [yellow] 2 2 3 3 3 2" xfId="17954" xr:uid="{00000000-0005-0000-0000-0000EC730000}"/>
    <cellStyle name="Input [yellow] 2 2 3 3 3 2 2" xfId="37308" xr:uid="{00000000-0005-0000-0000-0000ED730000}"/>
    <cellStyle name="Input [yellow] 2 2 3 3 3 3" xfId="20385" xr:uid="{00000000-0005-0000-0000-0000EE730000}"/>
    <cellStyle name="Input [yellow] 2 2 3 3 3 3 2" xfId="39738" xr:uid="{00000000-0005-0000-0000-0000EF730000}"/>
    <cellStyle name="Input [yellow] 2 2 3 3 3 4" xfId="22898" xr:uid="{00000000-0005-0000-0000-0000F0730000}"/>
    <cellStyle name="Input [yellow] 2 2 3 3 3 4 2" xfId="42240" xr:uid="{00000000-0005-0000-0000-0000F1730000}"/>
    <cellStyle name="Input [yellow] 2 2 3 3 3 5" xfId="34839" xr:uid="{00000000-0005-0000-0000-0000F2730000}"/>
    <cellStyle name="Input [yellow] 2 2 3 3 4" xfId="15937" xr:uid="{00000000-0005-0000-0000-0000F3730000}"/>
    <cellStyle name="Input [yellow] 2 2 3 3 4 2" xfId="18413" xr:uid="{00000000-0005-0000-0000-0000F4730000}"/>
    <cellStyle name="Input [yellow] 2 2 3 3 4 2 2" xfId="37767" xr:uid="{00000000-0005-0000-0000-0000F5730000}"/>
    <cellStyle name="Input [yellow] 2 2 3 3 4 3" xfId="20844" xr:uid="{00000000-0005-0000-0000-0000F6730000}"/>
    <cellStyle name="Input [yellow] 2 2 3 3 4 3 2" xfId="40197" xr:uid="{00000000-0005-0000-0000-0000F7730000}"/>
    <cellStyle name="Input [yellow] 2 2 3 3 4 4" xfId="23357" xr:uid="{00000000-0005-0000-0000-0000F8730000}"/>
    <cellStyle name="Input [yellow] 2 2 3 3 4 4 2" xfId="42699" xr:uid="{00000000-0005-0000-0000-0000F9730000}"/>
    <cellStyle name="Input [yellow] 2 2 3 3 4 5" xfId="35298" xr:uid="{00000000-0005-0000-0000-0000FA730000}"/>
    <cellStyle name="Input [yellow] 2 2 3 3 5" xfId="16661" xr:uid="{00000000-0005-0000-0000-0000FB730000}"/>
    <cellStyle name="Input [yellow] 2 2 3 3 5 2" xfId="36015" xr:uid="{00000000-0005-0000-0000-0000FC730000}"/>
    <cellStyle name="Input [yellow] 2 2 3 3 6" xfId="19092" xr:uid="{00000000-0005-0000-0000-0000FD730000}"/>
    <cellStyle name="Input [yellow] 2 2 3 3 6 2" xfId="38445" xr:uid="{00000000-0005-0000-0000-0000FE730000}"/>
    <cellStyle name="Input [yellow] 2 2 3 3 7" xfId="21578" xr:uid="{00000000-0005-0000-0000-0000FF730000}"/>
    <cellStyle name="Input [yellow] 2 2 3 3 7 2" xfId="40920" xr:uid="{00000000-0005-0000-0000-000000740000}"/>
    <cellStyle name="Input [yellow] 2 2 3 3 8" xfId="33519" xr:uid="{00000000-0005-0000-0000-000001740000}"/>
    <cellStyle name="Input [yellow] 2 2 3 4" xfId="14451" xr:uid="{00000000-0005-0000-0000-000002740000}"/>
    <cellStyle name="Input [yellow] 2 2 3 4 2" xfId="16941" xr:uid="{00000000-0005-0000-0000-000003740000}"/>
    <cellStyle name="Input [yellow] 2 2 3 4 2 2" xfId="36295" xr:uid="{00000000-0005-0000-0000-000004740000}"/>
    <cellStyle name="Input [yellow] 2 2 3 4 3" xfId="19372" xr:uid="{00000000-0005-0000-0000-000005740000}"/>
    <cellStyle name="Input [yellow] 2 2 3 4 3 2" xfId="38725" xr:uid="{00000000-0005-0000-0000-000006740000}"/>
    <cellStyle name="Input [yellow] 2 2 3 4 4" xfId="21871" xr:uid="{00000000-0005-0000-0000-000007740000}"/>
    <cellStyle name="Input [yellow] 2 2 3 4 4 2" xfId="41213" xr:uid="{00000000-0005-0000-0000-000008740000}"/>
    <cellStyle name="Input [yellow] 2 2 3 4 5" xfId="33812" xr:uid="{00000000-0005-0000-0000-000009740000}"/>
    <cellStyle name="Input [yellow] 2 2 3 5" xfId="15528" xr:uid="{00000000-0005-0000-0000-00000A740000}"/>
    <cellStyle name="Input [yellow] 2 2 3 5 2" xfId="18004" xr:uid="{00000000-0005-0000-0000-00000B740000}"/>
    <cellStyle name="Input [yellow] 2 2 3 5 2 2" xfId="37358" xr:uid="{00000000-0005-0000-0000-00000C740000}"/>
    <cellStyle name="Input [yellow] 2 2 3 5 3" xfId="20435" xr:uid="{00000000-0005-0000-0000-00000D740000}"/>
    <cellStyle name="Input [yellow] 2 2 3 5 3 2" xfId="39788" xr:uid="{00000000-0005-0000-0000-00000E740000}"/>
    <cellStyle name="Input [yellow] 2 2 3 5 4" xfId="22948" xr:uid="{00000000-0005-0000-0000-00000F740000}"/>
    <cellStyle name="Input [yellow] 2 2 3 5 4 2" xfId="42290" xr:uid="{00000000-0005-0000-0000-000010740000}"/>
    <cellStyle name="Input [yellow] 2 2 3 5 5" xfId="34889" xr:uid="{00000000-0005-0000-0000-000011740000}"/>
    <cellStyle name="Input [yellow] 2 2 3 6" xfId="16163" xr:uid="{00000000-0005-0000-0000-000012740000}"/>
    <cellStyle name="Input [yellow] 2 2 3 6 2" xfId="35517" xr:uid="{00000000-0005-0000-0000-000013740000}"/>
    <cellStyle name="Input [yellow] 2 2 3 7" xfId="18594" xr:uid="{00000000-0005-0000-0000-000014740000}"/>
    <cellStyle name="Input [yellow] 2 2 3 7 2" xfId="37947" xr:uid="{00000000-0005-0000-0000-000015740000}"/>
    <cellStyle name="Input [yellow] 2 2 3 8" xfId="21068" xr:uid="{00000000-0005-0000-0000-000016740000}"/>
    <cellStyle name="Input [yellow] 2 2 3 8 2" xfId="40410" xr:uid="{00000000-0005-0000-0000-000017740000}"/>
    <cellStyle name="Input [yellow] 2 2 3 9" xfId="33009" xr:uid="{00000000-0005-0000-0000-000018740000}"/>
    <cellStyle name="Input [yellow] 2 2 4" xfId="13772" xr:uid="{00000000-0005-0000-0000-000019740000}"/>
    <cellStyle name="Input [yellow] 2 2 4 2" xfId="14571" xr:uid="{00000000-0005-0000-0000-00001A740000}"/>
    <cellStyle name="Input [yellow] 2 2 4 2 2" xfId="17058" xr:uid="{00000000-0005-0000-0000-00001B740000}"/>
    <cellStyle name="Input [yellow] 2 2 4 2 2 2" xfId="36412" xr:uid="{00000000-0005-0000-0000-00001C740000}"/>
    <cellStyle name="Input [yellow] 2 2 4 2 3" xfId="19489" xr:uid="{00000000-0005-0000-0000-00001D740000}"/>
    <cellStyle name="Input [yellow] 2 2 4 2 3 2" xfId="38842" xr:uid="{00000000-0005-0000-0000-00001E740000}"/>
    <cellStyle name="Input [yellow] 2 2 4 2 4" xfId="21991" xr:uid="{00000000-0005-0000-0000-00001F740000}"/>
    <cellStyle name="Input [yellow] 2 2 4 2 4 2" xfId="41333" xr:uid="{00000000-0005-0000-0000-000020740000}"/>
    <cellStyle name="Input [yellow] 2 2 4 2 5" xfId="33932" xr:uid="{00000000-0005-0000-0000-000021740000}"/>
    <cellStyle name="Input [yellow] 2 2 4 3" xfId="15131" xr:uid="{00000000-0005-0000-0000-000022740000}"/>
    <cellStyle name="Input [yellow] 2 2 4 3 2" xfId="17607" xr:uid="{00000000-0005-0000-0000-000023740000}"/>
    <cellStyle name="Input [yellow] 2 2 4 3 2 2" xfId="36961" xr:uid="{00000000-0005-0000-0000-000024740000}"/>
    <cellStyle name="Input [yellow] 2 2 4 3 3" xfId="20038" xr:uid="{00000000-0005-0000-0000-000025740000}"/>
    <cellStyle name="Input [yellow] 2 2 4 3 3 2" xfId="39391" xr:uid="{00000000-0005-0000-0000-000026740000}"/>
    <cellStyle name="Input [yellow] 2 2 4 3 4" xfId="22551" xr:uid="{00000000-0005-0000-0000-000027740000}"/>
    <cellStyle name="Input [yellow] 2 2 4 3 4 2" xfId="41893" xr:uid="{00000000-0005-0000-0000-000028740000}"/>
    <cellStyle name="Input [yellow] 2 2 4 3 5" xfId="34492" xr:uid="{00000000-0005-0000-0000-000029740000}"/>
    <cellStyle name="Input [yellow] 2 2 4 4" xfId="15612" xr:uid="{00000000-0005-0000-0000-00002A740000}"/>
    <cellStyle name="Input [yellow] 2 2 4 4 2" xfId="18088" xr:uid="{00000000-0005-0000-0000-00002B740000}"/>
    <cellStyle name="Input [yellow] 2 2 4 4 2 2" xfId="37442" xr:uid="{00000000-0005-0000-0000-00002C740000}"/>
    <cellStyle name="Input [yellow] 2 2 4 4 3" xfId="20519" xr:uid="{00000000-0005-0000-0000-00002D740000}"/>
    <cellStyle name="Input [yellow] 2 2 4 4 3 2" xfId="39872" xr:uid="{00000000-0005-0000-0000-00002E740000}"/>
    <cellStyle name="Input [yellow] 2 2 4 4 4" xfId="23032" xr:uid="{00000000-0005-0000-0000-00002F740000}"/>
    <cellStyle name="Input [yellow] 2 2 4 4 4 2" xfId="42374" xr:uid="{00000000-0005-0000-0000-000030740000}"/>
    <cellStyle name="Input [yellow] 2 2 4 4 5" xfId="34973" xr:uid="{00000000-0005-0000-0000-000031740000}"/>
    <cellStyle name="Input [yellow] 2 2 4 5" xfId="16287" xr:uid="{00000000-0005-0000-0000-000032740000}"/>
    <cellStyle name="Input [yellow] 2 2 4 5 2" xfId="35641" xr:uid="{00000000-0005-0000-0000-000033740000}"/>
    <cellStyle name="Input [yellow] 2 2 4 6" xfId="18718" xr:uid="{00000000-0005-0000-0000-000034740000}"/>
    <cellStyle name="Input [yellow] 2 2 4 6 2" xfId="38071" xr:uid="{00000000-0005-0000-0000-000035740000}"/>
    <cellStyle name="Input [yellow] 2 2 4 7" xfId="21195" xr:uid="{00000000-0005-0000-0000-000036740000}"/>
    <cellStyle name="Input [yellow] 2 2 4 7 2" xfId="40537" xr:uid="{00000000-0005-0000-0000-000037740000}"/>
    <cellStyle name="Input [yellow] 2 2 4 8" xfId="33136" xr:uid="{00000000-0005-0000-0000-000038740000}"/>
    <cellStyle name="Input [yellow] 2 2 5" xfId="13991" xr:uid="{00000000-0005-0000-0000-000039740000}"/>
    <cellStyle name="Input [yellow] 2 2 5 2" xfId="14786" xr:uid="{00000000-0005-0000-0000-00003A740000}"/>
    <cellStyle name="Input [yellow] 2 2 5 2 2" xfId="17264" xr:uid="{00000000-0005-0000-0000-00003B740000}"/>
    <cellStyle name="Input [yellow] 2 2 5 2 2 2" xfId="36618" xr:uid="{00000000-0005-0000-0000-00003C740000}"/>
    <cellStyle name="Input [yellow] 2 2 5 2 3" xfId="19695" xr:uid="{00000000-0005-0000-0000-00003D740000}"/>
    <cellStyle name="Input [yellow] 2 2 5 2 3 2" xfId="39048" xr:uid="{00000000-0005-0000-0000-00003E740000}"/>
    <cellStyle name="Input [yellow] 2 2 5 2 4" xfId="22206" xr:uid="{00000000-0005-0000-0000-00003F740000}"/>
    <cellStyle name="Input [yellow] 2 2 5 2 4 2" xfId="41548" xr:uid="{00000000-0005-0000-0000-000040740000}"/>
    <cellStyle name="Input [yellow] 2 2 5 2 5" xfId="34147" xr:uid="{00000000-0005-0000-0000-000041740000}"/>
    <cellStyle name="Input [yellow] 2 2 5 3" xfId="15334" xr:uid="{00000000-0005-0000-0000-000042740000}"/>
    <cellStyle name="Input [yellow] 2 2 5 3 2" xfId="17810" xr:uid="{00000000-0005-0000-0000-000043740000}"/>
    <cellStyle name="Input [yellow] 2 2 5 3 2 2" xfId="37164" xr:uid="{00000000-0005-0000-0000-000044740000}"/>
    <cellStyle name="Input [yellow] 2 2 5 3 3" xfId="20241" xr:uid="{00000000-0005-0000-0000-000045740000}"/>
    <cellStyle name="Input [yellow] 2 2 5 3 3 2" xfId="39594" xr:uid="{00000000-0005-0000-0000-000046740000}"/>
    <cellStyle name="Input [yellow] 2 2 5 3 4" xfId="22754" xr:uid="{00000000-0005-0000-0000-000047740000}"/>
    <cellStyle name="Input [yellow] 2 2 5 3 4 2" xfId="42096" xr:uid="{00000000-0005-0000-0000-000048740000}"/>
    <cellStyle name="Input [yellow] 2 2 5 3 5" xfId="34695" xr:uid="{00000000-0005-0000-0000-000049740000}"/>
    <cellStyle name="Input [yellow] 2 2 5 4" xfId="15793" xr:uid="{00000000-0005-0000-0000-00004A740000}"/>
    <cellStyle name="Input [yellow] 2 2 5 4 2" xfId="18269" xr:uid="{00000000-0005-0000-0000-00004B740000}"/>
    <cellStyle name="Input [yellow] 2 2 5 4 2 2" xfId="37623" xr:uid="{00000000-0005-0000-0000-00004C740000}"/>
    <cellStyle name="Input [yellow] 2 2 5 4 3" xfId="20700" xr:uid="{00000000-0005-0000-0000-00004D740000}"/>
    <cellStyle name="Input [yellow] 2 2 5 4 3 2" xfId="40053" xr:uid="{00000000-0005-0000-0000-00004E740000}"/>
    <cellStyle name="Input [yellow] 2 2 5 4 4" xfId="23213" xr:uid="{00000000-0005-0000-0000-00004F740000}"/>
    <cellStyle name="Input [yellow] 2 2 5 4 4 2" xfId="42555" xr:uid="{00000000-0005-0000-0000-000050740000}"/>
    <cellStyle name="Input [yellow] 2 2 5 4 5" xfId="35154" xr:uid="{00000000-0005-0000-0000-000051740000}"/>
    <cellStyle name="Input [yellow] 2 2 5 5" xfId="16497" xr:uid="{00000000-0005-0000-0000-000052740000}"/>
    <cellStyle name="Input [yellow] 2 2 5 5 2" xfId="35851" xr:uid="{00000000-0005-0000-0000-000053740000}"/>
    <cellStyle name="Input [yellow] 2 2 5 6" xfId="18928" xr:uid="{00000000-0005-0000-0000-000054740000}"/>
    <cellStyle name="Input [yellow] 2 2 5 6 2" xfId="38281" xr:uid="{00000000-0005-0000-0000-000055740000}"/>
    <cellStyle name="Input [yellow] 2 2 5 7" xfId="21414" xr:uid="{00000000-0005-0000-0000-000056740000}"/>
    <cellStyle name="Input [yellow] 2 2 5 7 2" xfId="40756" xr:uid="{00000000-0005-0000-0000-000057740000}"/>
    <cellStyle name="Input [yellow] 2 2 5 8" xfId="33355" xr:uid="{00000000-0005-0000-0000-000058740000}"/>
    <cellStyle name="Input [yellow] 2 2 6" xfId="14287" xr:uid="{00000000-0005-0000-0000-000059740000}"/>
    <cellStyle name="Input [yellow] 2 2 6 2" xfId="16786" xr:uid="{00000000-0005-0000-0000-00005A740000}"/>
    <cellStyle name="Input [yellow] 2 2 6 2 2" xfId="36140" xr:uid="{00000000-0005-0000-0000-00005B740000}"/>
    <cellStyle name="Input [yellow] 2 2 6 3" xfId="19217" xr:uid="{00000000-0005-0000-0000-00005C740000}"/>
    <cellStyle name="Input [yellow] 2 2 6 3 2" xfId="38570" xr:uid="{00000000-0005-0000-0000-00005D740000}"/>
    <cellStyle name="Input [yellow] 2 2 6 4" xfId="21707" xr:uid="{00000000-0005-0000-0000-00005E740000}"/>
    <cellStyle name="Input [yellow] 2 2 6 4 2" xfId="41049" xr:uid="{00000000-0005-0000-0000-00005F740000}"/>
    <cellStyle name="Input [yellow] 2 2 6 5" xfId="33648" xr:uid="{00000000-0005-0000-0000-000060740000}"/>
    <cellStyle name="Input [yellow] 2 2 7" xfId="14220" xr:uid="{00000000-0005-0000-0000-000061740000}"/>
    <cellStyle name="Input [yellow] 2 2 7 2" xfId="16723" xr:uid="{00000000-0005-0000-0000-000062740000}"/>
    <cellStyle name="Input [yellow] 2 2 7 2 2" xfId="36077" xr:uid="{00000000-0005-0000-0000-000063740000}"/>
    <cellStyle name="Input [yellow] 2 2 7 3" xfId="19154" xr:uid="{00000000-0005-0000-0000-000064740000}"/>
    <cellStyle name="Input [yellow] 2 2 7 3 2" xfId="38507" xr:uid="{00000000-0005-0000-0000-000065740000}"/>
    <cellStyle name="Input [yellow] 2 2 7 4" xfId="21641" xr:uid="{00000000-0005-0000-0000-000066740000}"/>
    <cellStyle name="Input [yellow] 2 2 7 4 2" xfId="40983" xr:uid="{00000000-0005-0000-0000-000067740000}"/>
    <cellStyle name="Input [yellow] 2 2 7 5" xfId="33582" xr:uid="{00000000-0005-0000-0000-000068740000}"/>
    <cellStyle name="Input [yellow] 2 2 8" xfId="16018" xr:uid="{00000000-0005-0000-0000-000069740000}"/>
    <cellStyle name="Input [yellow] 2 2 8 2" xfId="35372" xr:uid="{00000000-0005-0000-0000-00006A740000}"/>
    <cellStyle name="Input [yellow] 2 2 9" xfId="13195" xr:uid="{00000000-0005-0000-0000-00006B740000}"/>
    <cellStyle name="Input [yellow] 2 2 9 2" xfId="32663" xr:uid="{00000000-0005-0000-0000-00006C740000}"/>
    <cellStyle name="Input [yellow] 2 3" xfId="13422" xr:uid="{00000000-0005-0000-0000-00006D740000}"/>
    <cellStyle name="Input [yellow] 2 3 2" xfId="13550" xr:uid="{00000000-0005-0000-0000-00006E740000}"/>
    <cellStyle name="Input [yellow] 2 3 2 2" xfId="13848" xr:uid="{00000000-0005-0000-0000-00006F740000}"/>
    <cellStyle name="Input [yellow] 2 3 2 2 2" xfId="14643" xr:uid="{00000000-0005-0000-0000-000070740000}"/>
    <cellStyle name="Input [yellow] 2 3 2 2 2 2" xfId="17124" xr:uid="{00000000-0005-0000-0000-000071740000}"/>
    <cellStyle name="Input [yellow] 2 3 2 2 2 2 2" xfId="36478" xr:uid="{00000000-0005-0000-0000-000072740000}"/>
    <cellStyle name="Input [yellow] 2 3 2 2 2 3" xfId="19555" xr:uid="{00000000-0005-0000-0000-000073740000}"/>
    <cellStyle name="Input [yellow] 2 3 2 2 2 3 2" xfId="38908" xr:uid="{00000000-0005-0000-0000-000074740000}"/>
    <cellStyle name="Input [yellow] 2 3 2 2 2 4" xfId="22063" xr:uid="{00000000-0005-0000-0000-000075740000}"/>
    <cellStyle name="Input [yellow] 2 3 2 2 2 4 2" xfId="41405" xr:uid="{00000000-0005-0000-0000-000076740000}"/>
    <cellStyle name="Input [yellow] 2 3 2 2 2 5" xfId="34004" xr:uid="{00000000-0005-0000-0000-000077740000}"/>
    <cellStyle name="Input [yellow] 2 3 2 2 3" xfId="15196" xr:uid="{00000000-0005-0000-0000-000078740000}"/>
    <cellStyle name="Input [yellow] 2 3 2 2 3 2" xfId="17672" xr:uid="{00000000-0005-0000-0000-000079740000}"/>
    <cellStyle name="Input [yellow] 2 3 2 2 3 2 2" xfId="37026" xr:uid="{00000000-0005-0000-0000-00007A740000}"/>
    <cellStyle name="Input [yellow] 2 3 2 2 3 3" xfId="20103" xr:uid="{00000000-0005-0000-0000-00007B740000}"/>
    <cellStyle name="Input [yellow] 2 3 2 2 3 3 2" xfId="39456" xr:uid="{00000000-0005-0000-0000-00007C740000}"/>
    <cellStyle name="Input [yellow] 2 3 2 2 3 4" xfId="22616" xr:uid="{00000000-0005-0000-0000-00007D740000}"/>
    <cellStyle name="Input [yellow] 2 3 2 2 3 4 2" xfId="41958" xr:uid="{00000000-0005-0000-0000-00007E740000}"/>
    <cellStyle name="Input [yellow] 2 3 2 2 3 5" xfId="34557" xr:uid="{00000000-0005-0000-0000-00007F740000}"/>
    <cellStyle name="Input [yellow] 2 3 2 2 4" xfId="15667" xr:uid="{00000000-0005-0000-0000-000080740000}"/>
    <cellStyle name="Input [yellow] 2 3 2 2 4 2" xfId="18143" xr:uid="{00000000-0005-0000-0000-000081740000}"/>
    <cellStyle name="Input [yellow] 2 3 2 2 4 2 2" xfId="37497" xr:uid="{00000000-0005-0000-0000-000082740000}"/>
    <cellStyle name="Input [yellow] 2 3 2 2 4 3" xfId="20574" xr:uid="{00000000-0005-0000-0000-000083740000}"/>
    <cellStyle name="Input [yellow] 2 3 2 2 4 3 2" xfId="39927" xr:uid="{00000000-0005-0000-0000-000084740000}"/>
    <cellStyle name="Input [yellow] 2 3 2 2 4 4" xfId="23087" xr:uid="{00000000-0005-0000-0000-000085740000}"/>
    <cellStyle name="Input [yellow] 2 3 2 2 4 4 2" xfId="42429" xr:uid="{00000000-0005-0000-0000-000086740000}"/>
    <cellStyle name="Input [yellow] 2 3 2 2 4 5" xfId="35028" xr:uid="{00000000-0005-0000-0000-000087740000}"/>
    <cellStyle name="Input [yellow] 2 3 2 2 5" xfId="16357" xr:uid="{00000000-0005-0000-0000-000088740000}"/>
    <cellStyle name="Input [yellow] 2 3 2 2 5 2" xfId="35711" xr:uid="{00000000-0005-0000-0000-000089740000}"/>
    <cellStyle name="Input [yellow] 2 3 2 2 6" xfId="18788" xr:uid="{00000000-0005-0000-0000-00008A740000}"/>
    <cellStyle name="Input [yellow] 2 3 2 2 6 2" xfId="38141" xr:uid="{00000000-0005-0000-0000-00008B740000}"/>
    <cellStyle name="Input [yellow] 2 3 2 2 7" xfId="21271" xr:uid="{00000000-0005-0000-0000-00008C740000}"/>
    <cellStyle name="Input [yellow] 2 3 2 2 7 2" xfId="40613" xr:uid="{00000000-0005-0000-0000-00008D740000}"/>
    <cellStyle name="Input [yellow] 2 3 2 2 8" xfId="33212" xr:uid="{00000000-0005-0000-0000-00008E740000}"/>
    <cellStyle name="Input [yellow] 2 3 2 3" xfId="14066" xr:uid="{00000000-0005-0000-0000-00008F740000}"/>
    <cellStyle name="Input [yellow] 2 3 2 3 2" xfId="16572" xr:uid="{00000000-0005-0000-0000-000090740000}"/>
    <cellStyle name="Input [yellow] 2 3 2 3 2 2" xfId="35926" xr:uid="{00000000-0005-0000-0000-000091740000}"/>
    <cellStyle name="Input [yellow] 2 3 2 3 3" xfId="19003" xr:uid="{00000000-0005-0000-0000-000092740000}"/>
    <cellStyle name="Input [yellow] 2 3 2 3 3 2" xfId="38356" xr:uid="{00000000-0005-0000-0000-000093740000}"/>
    <cellStyle name="Input [yellow] 2 3 2 3 4" xfId="21489" xr:uid="{00000000-0005-0000-0000-000094740000}"/>
    <cellStyle name="Input [yellow] 2 3 2 3 4 2" xfId="40831" xr:uid="{00000000-0005-0000-0000-000095740000}"/>
    <cellStyle name="Input [yellow] 2 3 2 3 5" xfId="33430" xr:uid="{00000000-0005-0000-0000-000096740000}"/>
    <cellStyle name="Input [yellow] 2 3 2 4" xfId="14992" xr:uid="{00000000-0005-0000-0000-000097740000}"/>
    <cellStyle name="Input [yellow] 2 3 2 4 2" xfId="17468" xr:uid="{00000000-0005-0000-0000-000098740000}"/>
    <cellStyle name="Input [yellow] 2 3 2 4 2 2" xfId="36822" xr:uid="{00000000-0005-0000-0000-000099740000}"/>
    <cellStyle name="Input [yellow] 2 3 2 4 3" xfId="19899" xr:uid="{00000000-0005-0000-0000-00009A740000}"/>
    <cellStyle name="Input [yellow] 2 3 2 4 3 2" xfId="39252" xr:uid="{00000000-0005-0000-0000-00009B740000}"/>
    <cellStyle name="Input [yellow] 2 3 2 4 4" xfId="22412" xr:uid="{00000000-0005-0000-0000-00009C740000}"/>
    <cellStyle name="Input [yellow] 2 3 2 4 4 2" xfId="41754" xr:uid="{00000000-0005-0000-0000-00009D740000}"/>
    <cellStyle name="Input [yellow] 2 3 2 4 5" xfId="34353" xr:uid="{00000000-0005-0000-0000-00009E740000}"/>
    <cellStyle name="Input [yellow] 2 3 3" xfId="13622" xr:uid="{00000000-0005-0000-0000-00009F740000}"/>
    <cellStyle name="Input [yellow] 2 3 3 2" xfId="13923" xr:uid="{00000000-0005-0000-0000-0000A0740000}"/>
    <cellStyle name="Input [yellow] 2 3 3 2 2" xfId="14718" xr:uid="{00000000-0005-0000-0000-0000A1740000}"/>
    <cellStyle name="Input [yellow] 2 3 3 2 2 2" xfId="17196" xr:uid="{00000000-0005-0000-0000-0000A2740000}"/>
    <cellStyle name="Input [yellow] 2 3 3 2 2 2 2" xfId="36550" xr:uid="{00000000-0005-0000-0000-0000A3740000}"/>
    <cellStyle name="Input [yellow] 2 3 3 2 2 3" xfId="19627" xr:uid="{00000000-0005-0000-0000-0000A4740000}"/>
    <cellStyle name="Input [yellow] 2 3 3 2 2 3 2" xfId="38980" xr:uid="{00000000-0005-0000-0000-0000A5740000}"/>
    <cellStyle name="Input [yellow] 2 3 3 2 2 4" xfId="22138" xr:uid="{00000000-0005-0000-0000-0000A6740000}"/>
    <cellStyle name="Input [yellow] 2 3 3 2 2 4 2" xfId="41480" xr:uid="{00000000-0005-0000-0000-0000A7740000}"/>
    <cellStyle name="Input [yellow] 2 3 3 2 2 5" xfId="34079" xr:uid="{00000000-0005-0000-0000-0000A8740000}"/>
    <cellStyle name="Input [yellow] 2 3 3 2 3" xfId="15266" xr:uid="{00000000-0005-0000-0000-0000A9740000}"/>
    <cellStyle name="Input [yellow] 2 3 3 2 3 2" xfId="17742" xr:uid="{00000000-0005-0000-0000-0000AA740000}"/>
    <cellStyle name="Input [yellow] 2 3 3 2 3 2 2" xfId="37096" xr:uid="{00000000-0005-0000-0000-0000AB740000}"/>
    <cellStyle name="Input [yellow] 2 3 3 2 3 3" xfId="20173" xr:uid="{00000000-0005-0000-0000-0000AC740000}"/>
    <cellStyle name="Input [yellow] 2 3 3 2 3 3 2" xfId="39526" xr:uid="{00000000-0005-0000-0000-0000AD740000}"/>
    <cellStyle name="Input [yellow] 2 3 3 2 3 4" xfId="22686" xr:uid="{00000000-0005-0000-0000-0000AE740000}"/>
    <cellStyle name="Input [yellow] 2 3 3 2 3 4 2" xfId="42028" xr:uid="{00000000-0005-0000-0000-0000AF740000}"/>
    <cellStyle name="Input [yellow] 2 3 3 2 3 5" xfId="34627" xr:uid="{00000000-0005-0000-0000-0000B0740000}"/>
    <cellStyle name="Input [yellow] 2 3 3 2 4" xfId="15725" xr:uid="{00000000-0005-0000-0000-0000B1740000}"/>
    <cellStyle name="Input [yellow] 2 3 3 2 4 2" xfId="18201" xr:uid="{00000000-0005-0000-0000-0000B2740000}"/>
    <cellStyle name="Input [yellow] 2 3 3 2 4 2 2" xfId="37555" xr:uid="{00000000-0005-0000-0000-0000B3740000}"/>
    <cellStyle name="Input [yellow] 2 3 3 2 4 3" xfId="20632" xr:uid="{00000000-0005-0000-0000-0000B4740000}"/>
    <cellStyle name="Input [yellow] 2 3 3 2 4 3 2" xfId="39985" xr:uid="{00000000-0005-0000-0000-0000B5740000}"/>
    <cellStyle name="Input [yellow] 2 3 3 2 4 4" xfId="23145" xr:uid="{00000000-0005-0000-0000-0000B6740000}"/>
    <cellStyle name="Input [yellow] 2 3 3 2 4 4 2" xfId="42487" xr:uid="{00000000-0005-0000-0000-0000B7740000}"/>
    <cellStyle name="Input [yellow] 2 3 3 2 4 5" xfId="35086" xr:uid="{00000000-0005-0000-0000-0000B8740000}"/>
    <cellStyle name="Input [yellow] 2 3 3 2 5" xfId="16429" xr:uid="{00000000-0005-0000-0000-0000B9740000}"/>
    <cellStyle name="Input [yellow] 2 3 3 2 5 2" xfId="35783" xr:uid="{00000000-0005-0000-0000-0000BA740000}"/>
    <cellStyle name="Input [yellow] 2 3 3 2 6" xfId="18860" xr:uid="{00000000-0005-0000-0000-0000BB740000}"/>
    <cellStyle name="Input [yellow] 2 3 3 2 6 2" xfId="38213" xr:uid="{00000000-0005-0000-0000-0000BC740000}"/>
    <cellStyle name="Input [yellow] 2 3 3 2 7" xfId="21346" xr:uid="{00000000-0005-0000-0000-0000BD740000}"/>
    <cellStyle name="Input [yellow] 2 3 3 2 7 2" xfId="40688" xr:uid="{00000000-0005-0000-0000-0000BE740000}"/>
    <cellStyle name="Input [yellow] 2 3 3 2 8" xfId="33287" xr:uid="{00000000-0005-0000-0000-0000BF740000}"/>
    <cellStyle name="Input [yellow] 2 3 3 3" xfId="14138" xr:uid="{00000000-0005-0000-0000-0000C0740000}"/>
    <cellStyle name="Input [yellow] 2 3 3 3 2" xfId="14915" xr:uid="{00000000-0005-0000-0000-0000C1740000}"/>
    <cellStyle name="Input [yellow] 2 3 3 3 2 2" xfId="17393" xr:uid="{00000000-0005-0000-0000-0000C2740000}"/>
    <cellStyle name="Input [yellow] 2 3 3 3 2 2 2" xfId="36747" xr:uid="{00000000-0005-0000-0000-0000C3740000}"/>
    <cellStyle name="Input [yellow] 2 3 3 3 2 3" xfId="19824" xr:uid="{00000000-0005-0000-0000-0000C4740000}"/>
    <cellStyle name="Input [yellow] 2 3 3 3 2 3 2" xfId="39177" xr:uid="{00000000-0005-0000-0000-0000C5740000}"/>
    <cellStyle name="Input [yellow] 2 3 3 3 2 4" xfId="22335" xr:uid="{00000000-0005-0000-0000-0000C6740000}"/>
    <cellStyle name="Input [yellow] 2 3 3 3 2 4 2" xfId="41677" xr:uid="{00000000-0005-0000-0000-0000C7740000}"/>
    <cellStyle name="Input [yellow] 2 3 3 3 2 5" xfId="34276" xr:uid="{00000000-0005-0000-0000-0000C8740000}"/>
    <cellStyle name="Input [yellow] 2 3 3 3 3" xfId="15461" xr:uid="{00000000-0005-0000-0000-0000C9740000}"/>
    <cellStyle name="Input [yellow] 2 3 3 3 3 2" xfId="17937" xr:uid="{00000000-0005-0000-0000-0000CA740000}"/>
    <cellStyle name="Input [yellow] 2 3 3 3 3 2 2" xfId="37291" xr:uid="{00000000-0005-0000-0000-0000CB740000}"/>
    <cellStyle name="Input [yellow] 2 3 3 3 3 3" xfId="20368" xr:uid="{00000000-0005-0000-0000-0000CC740000}"/>
    <cellStyle name="Input [yellow] 2 3 3 3 3 3 2" xfId="39721" xr:uid="{00000000-0005-0000-0000-0000CD740000}"/>
    <cellStyle name="Input [yellow] 2 3 3 3 3 4" xfId="22881" xr:uid="{00000000-0005-0000-0000-0000CE740000}"/>
    <cellStyle name="Input [yellow] 2 3 3 3 3 4 2" xfId="42223" xr:uid="{00000000-0005-0000-0000-0000CF740000}"/>
    <cellStyle name="Input [yellow] 2 3 3 3 3 5" xfId="34822" xr:uid="{00000000-0005-0000-0000-0000D0740000}"/>
    <cellStyle name="Input [yellow] 2 3 3 3 4" xfId="15920" xr:uid="{00000000-0005-0000-0000-0000D1740000}"/>
    <cellStyle name="Input [yellow] 2 3 3 3 4 2" xfId="18396" xr:uid="{00000000-0005-0000-0000-0000D2740000}"/>
    <cellStyle name="Input [yellow] 2 3 3 3 4 2 2" xfId="37750" xr:uid="{00000000-0005-0000-0000-0000D3740000}"/>
    <cellStyle name="Input [yellow] 2 3 3 3 4 3" xfId="20827" xr:uid="{00000000-0005-0000-0000-0000D4740000}"/>
    <cellStyle name="Input [yellow] 2 3 3 3 4 3 2" xfId="40180" xr:uid="{00000000-0005-0000-0000-0000D5740000}"/>
    <cellStyle name="Input [yellow] 2 3 3 3 4 4" xfId="23340" xr:uid="{00000000-0005-0000-0000-0000D6740000}"/>
    <cellStyle name="Input [yellow] 2 3 3 3 4 4 2" xfId="42682" xr:uid="{00000000-0005-0000-0000-0000D7740000}"/>
    <cellStyle name="Input [yellow] 2 3 3 3 4 5" xfId="35281" xr:uid="{00000000-0005-0000-0000-0000D8740000}"/>
    <cellStyle name="Input [yellow] 2 3 3 3 5" xfId="16644" xr:uid="{00000000-0005-0000-0000-0000D9740000}"/>
    <cellStyle name="Input [yellow] 2 3 3 3 5 2" xfId="35998" xr:uid="{00000000-0005-0000-0000-0000DA740000}"/>
    <cellStyle name="Input [yellow] 2 3 3 3 6" xfId="19075" xr:uid="{00000000-0005-0000-0000-0000DB740000}"/>
    <cellStyle name="Input [yellow] 2 3 3 3 6 2" xfId="38428" xr:uid="{00000000-0005-0000-0000-0000DC740000}"/>
    <cellStyle name="Input [yellow] 2 3 3 3 7" xfId="21561" xr:uid="{00000000-0005-0000-0000-0000DD740000}"/>
    <cellStyle name="Input [yellow] 2 3 3 3 7 2" xfId="40903" xr:uid="{00000000-0005-0000-0000-0000DE740000}"/>
    <cellStyle name="Input [yellow] 2 3 3 3 8" xfId="33502" xr:uid="{00000000-0005-0000-0000-0000DF740000}"/>
    <cellStyle name="Input [yellow] 2 3 3 4" xfId="14433" xr:uid="{00000000-0005-0000-0000-0000E0740000}"/>
    <cellStyle name="Input [yellow] 2 3 3 4 2" xfId="16923" xr:uid="{00000000-0005-0000-0000-0000E1740000}"/>
    <cellStyle name="Input [yellow] 2 3 3 4 2 2" xfId="36277" xr:uid="{00000000-0005-0000-0000-0000E2740000}"/>
    <cellStyle name="Input [yellow] 2 3 3 4 3" xfId="19354" xr:uid="{00000000-0005-0000-0000-0000E3740000}"/>
    <cellStyle name="Input [yellow] 2 3 3 4 3 2" xfId="38707" xr:uid="{00000000-0005-0000-0000-0000E4740000}"/>
    <cellStyle name="Input [yellow] 2 3 3 4 4" xfId="21853" xr:uid="{00000000-0005-0000-0000-0000E5740000}"/>
    <cellStyle name="Input [yellow] 2 3 3 4 4 2" xfId="41195" xr:uid="{00000000-0005-0000-0000-0000E6740000}"/>
    <cellStyle name="Input [yellow] 2 3 3 4 5" xfId="33794" xr:uid="{00000000-0005-0000-0000-0000E7740000}"/>
    <cellStyle name="Input [yellow] 2 3 3 5" xfId="15514" xr:uid="{00000000-0005-0000-0000-0000E8740000}"/>
    <cellStyle name="Input [yellow] 2 3 3 5 2" xfId="17990" xr:uid="{00000000-0005-0000-0000-0000E9740000}"/>
    <cellStyle name="Input [yellow] 2 3 3 5 2 2" xfId="37344" xr:uid="{00000000-0005-0000-0000-0000EA740000}"/>
    <cellStyle name="Input [yellow] 2 3 3 5 3" xfId="20421" xr:uid="{00000000-0005-0000-0000-0000EB740000}"/>
    <cellStyle name="Input [yellow] 2 3 3 5 3 2" xfId="39774" xr:uid="{00000000-0005-0000-0000-0000EC740000}"/>
    <cellStyle name="Input [yellow] 2 3 3 5 4" xfId="22934" xr:uid="{00000000-0005-0000-0000-0000ED740000}"/>
    <cellStyle name="Input [yellow] 2 3 3 5 4 2" xfId="42276" xr:uid="{00000000-0005-0000-0000-0000EE740000}"/>
    <cellStyle name="Input [yellow] 2 3 3 5 5" xfId="34875" xr:uid="{00000000-0005-0000-0000-0000EF740000}"/>
    <cellStyle name="Input [yellow] 2 3 3 6" xfId="16142" xr:uid="{00000000-0005-0000-0000-0000F0740000}"/>
    <cellStyle name="Input [yellow] 2 3 3 6 2" xfId="35496" xr:uid="{00000000-0005-0000-0000-0000F1740000}"/>
    <cellStyle name="Input [yellow] 2 3 3 7" xfId="18573" xr:uid="{00000000-0005-0000-0000-0000F2740000}"/>
    <cellStyle name="Input [yellow] 2 3 3 7 2" xfId="37926" xr:uid="{00000000-0005-0000-0000-0000F3740000}"/>
    <cellStyle name="Input [yellow] 2 3 3 8" xfId="21047" xr:uid="{00000000-0005-0000-0000-0000F4740000}"/>
    <cellStyle name="Input [yellow] 2 3 3 8 2" xfId="40389" xr:uid="{00000000-0005-0000-0000-0000F5740000}"/>
    <cellStyle name="Input [yellow] 2 3 3 9" xfId="32988" xr:uid="{00000000-0005-0000-0000-0000F6740000}"/>
    <cellStyle name="Input [yellow] 2 3 4" xfId="15992" xr:uid="{00000000-0005-0000-0000-0000F7740000}"/>
    <cellStyle name="Input [yellow] 2 3 4 2" xfId="35346" xr:uid="{00000000-0005-0000-0000-0000F8740000}"/>
    <cellStyle name="Input [yellow] 2 3 5" xfId="13283" xr:uid="{00000000-0005-0000-0000-0000F9740000}"/>
    <cellStyle name="Input [yellow] 2 3 5 2" xfId="32728" xr:uid="{00000000-0005-0000-0000-0000FA740000}"/>
    <cellStyle name="Input [yellow] 2 3 6" xfId="20926" xr:uid="{00000000-0005-0000-0000-0000FB740000}"/>
    <cellStyle name="Input [yellow] 2 3 6 2" xfId="40268" xr:uid="{00000000-0005-0000-0000-0000FC740000}"/>
    <cellStyle name="Input [yellow] 2 3 7" xfId="32801" xr:uid="{00000000-0005-0000-0000-0000FD740000}"/>
    <cellStyle name="Input [yellow] 2 4" xfId="13728" xr:uid="{00000000-0005-0000-0000-0000FE740000}"/>
    <cellStyle name="Input [yellow] 2 4 2" xfId="14531" xr:uid="{00000000-0005-0000-0000-0000FF740000}"/>
    <cellStyle name="Input [yellow] 2 4 2 2" xfId="17021" xr:uid="{00000000-0005-0000-0000-000000750000}"/>
    <cellStyle name="Input [yellow] 2 4 2 2 2" xfId="36375" xr:uid="{00000000-0005-0000-0000-000001750000}"/>
    <cellStyle name="Input [yellow] 2 4 2 3" xfId="19452" xr:uid="{00000000-0005-0000-0000-000002750000}"/>
    <cellStyle name="Input [yellow] 2 4 2 3 2" xfId="38805" xr:uid="{00000000-0005-0000-0000-000003750000}"/>
    <cellStyle name="Input [yellow] 2 4 2 4" xfId="21951" xr:uid="{00000000-0005-0000-0000-000004750000}"/>
    <cellStyle name="Input [yellow] 2 4 2 4 2" xfId="41293" xr:uid="{00000000-0005-0000-0000-000005750000}"/>
    <cellStyle name="Input [yellow] 2 4 2 5" xfId="33892" xr:uid="{00000000-0005-0000-0000-000006750000}"/>
    <cellStyle name="Input [yellow] 2 4 3" xfId="15095" xr:uid="{00000000-0005-0000-0000-000007750000}"/>
    <cellStyle name="Input [yellow] 2 4 3 2" xfId="17571" xr:uid="{00000000-0005-0000-0000-000008750000}"/>
    <cellStyle name="Input [yellow] 2 4 3 2 2" xfId="36925" xr:uid="{00000000-0005-0000-0000-000009750000}"/>
    <cellStyle name="Input [yellow] 2 4 3 3" xfId="20002" xr:uid="{00000000-0005-0000-0000-00000A750000}"/>
    <cellStyle name="Input [yellow] 2 4 3 3 2" xfId="39355" xr:uid="{00000000-0005-0000-0000-00000B750000}"/>
    <cellStyle name="Input [yellow] 2 4 3 4" xfId="22515" xr:uid="{00000000-0005-0000-0000-00000C750000}"/>
    <cellStyle name="Input [yellow] 2 4 3 4 2" xfId="41857" xr:uid="{00000000-0005-0000-0000-00000D750000}"/>
    <cellStyle name="Input [yellow] 2 4 3 5" xfId="34456" xr:uid="{00000000-0005-0000-0000-00000E750000}"/>
    <cellStyle name="Input [yellow] 2 4 4" xfId="15578" xr:uid="{00000000-0005-0000-0000-00000F750000}"/>
    <cellStyle name="Input [yellow] 2 4 4 2" xfId="18054" xr:uid="{00000000-0005-0000-0000-000010750000}"/>
    <cellStyle name="Input [yellow] 2 4 4 2 2" xfId="37408" xr:uid="{00000000-0005-0000-0000-000011750000}"/>
    <cellStyle name="Input [yellow] 2 4 4 3" xfId="20485" xr:uid="{00000000-0005-0000-0000-000012750000}"/>
    <cellStyle name="Input [yellow] 2 4 4 3 2" xfId="39838" xr:uid="{00000000-0005-0000-0000-000013750000}"/>
    <cellStyle name="Input [yellow] 2 4 4 4" xfId="22998" xr:uid="{00000000-0005-0000-0000-000014750000}"/>
    <cellStyle name="Input [yellow] 2 4 4 4 2" xfId="42340" xr:uid="{00000000-0005-0000-0000-000015750000}"/>
    <cellStyle name="Input [yellow] 2 4 4 5" xfId="34939" xr:uid="{00000000-0005-0000-0000-000016750000}"/>
    <cellStyle name="Input [yellow] 2 4 5" xfId="16247" xr:uid="{00000000-0005-0000-0000-000017750000}"/>
    <cellStyle name="Input [yellow] 2 4 5 2" xfId="35601" xr:uid="{00000000-0005-0000-0000-000018750000}"/>
    <cellStyle name="Input [yellow] 2 4 6" xfId="18678" xr:uid="{00000000-0005-0000-0000-000019750000}"/>
    <cellStyle name="Input [yellow] 2 4 6 2" xfId="38031" xr:uid="{00000000-0005-0000-0000-00001A750000}"/>
    <cellStyle name="Input [yellow] 2 4 7" xfId="21152" xr:uid="{00000000-0005-0000-0000-00001B750000}"/>
    <cellStyle name="Input [yellow] 2 4 7 2" xfId="40494" xr:uid="{00000000-0005-0000-0000-00001C750000}"/>
    <cellStyle name="Input [yellow] 2 4 8" xfId="33093" xr:uid="{00000000-0005-0000-0000-00001D750000}"/>
    <cellStyle name="Input [yellow] 3" xfId="13436" xr:uid="{00000000-0005-0000-0000-00001E750000}"/>
    <cellStyle name="Input [yellow] 3 10" xfId="20937" xr:uid="{00000000-0005-0000-0000-00001F750000}"/>
    <cellStyle name="Input [yellow] 3 10 2" xfId="40279" xr:uid="{00000000-0005-0000-0000-000020750000}"/>
    <cellStyle name="Input [yellow] 3 11" xfId="32815" xr:uid="{00000000-0005-0000-0000-000021750000}"/>
    <cellStyle name="Input [yellow] 3 2" xfId="13564" xr:uid="{00000000-0005-0000-0000-000022750000}"/>
    <cellStyle name="Input [yellow] 3 2 10" xfId="32933" xr:uid="{00000000-0005-0000-0000-000023750000}"/>
    <cellStyle name="Input [yellow] 3 2 2" xfId="13862" xr:uid="{00000000-0005-0000-0000-000024750000}"/>
    <cellStyle name="Input [yellow] 3 2 2 2" xfId="14657" xr:uid="{00000000-0005-0000-0000-000025750000}"/>
    <cellStyle name="Input [yellow] 3 2 2 2 2" xfId="17138" xr:uid="{00000000-0005-0000-0000-000026750000}"/>
    <cellStyle name="Input [yellow] 3 2 2 2 2 2" xfId="36492" xr:uid="{00000000-0005-0000-0000-000027750000}"/>
    <cellStyle name="Input [yellow] 3 2 2 2 3" xfId="19569" xr:uid="{00000000-0005-0000-0000-000028750000}"/>
    <cellStyle name="Input [yellow] 3 2 2 2 3 2" xfId="38922" xr:uid="{00000000-0005-0000-0000-000029750000}"/>
    <cellStyle name="Input [yellow] 3 2 2 2 4" xfId="22077" xr:uid="{00000000-0005-0000-0000-00002A750000}"/>
    <cellStyle name="Input [yellow] 3 2 2 2 4 2" xfId="41419" xr:uid="{00000000-0005-0000-0000-00002B750000}"/>
    <cellStyle name="Input [yellow] 3 2 2 2 5" xfId="34018" xr:uid="{00000000-0005-0000-0000-00002C750000}"/>
    <cellStyle name="Input [yellow] 3 2 2 3" xfId="15210" xr:uid="{00000000-0005-0000-0000-00002D750000}"/>
    <cellStyle name="Input [yellow] 3 2 2 3 2" xfId="17686" xr:uid="{00000000-0005-0000-0000-00002E750000}"/>
    <cellStyle name="Input [yellow] 3 2 2 3 2 2" xfId="37040" xr:uid="{00000000-0005-0000-0000-00002F750000}"/>
    <cellStyle name="Input [yellow] 3 2 2 3 3" xfId="20117" xr:uid="{00000000-0005-0000-0000-000030750000}"/>
    <cellStyle name="Input [yellow] 3 2 2 3 3 2" xfId="39470" xr:uid="{00000000-0005-0000-0000-000031750000}"/>
    <cellStyle name="Input [yellow] 3 2 2 3 4" xfId="22630" xr:uid="{00000000-0005-0000-0000-000032750000}"/>
    <cellStyle name="Input [yellow] 3 2 2 3 4 2" xfId="41972" xr:uid="{00000000-0005-0000-0000-000033750000}"/>
    <cellStyle name="Input [yellow] 3 2 2 3 5" xfId="34571" xr:uid="{00000000-0005-0000-0000-000034750000}"/>
    <cellStyle name="Input [yellow] 3 2 2 4" xfId="15681" xr:uid="{00000000-0005-0000-0000-000035750000}"/>
    <cellStyle name="Input [yellow] 3 2 2 4 2" xfId="18157" xr:uid="{00000000-0005-0000-0000-000036750000}"/>
    <cellStyle name="Input [yellow] 3 2 2 4 2 2" xfId="37511" xr:uid="{00000000-0005-0000-0000-000037750000}"/>
    <cellStyle name="Input [yellow] 3 2 2 4 3" xfId="20588" xr:uid="{00000000-0005-0000-0000-000038750000}"/>
    <cellStyle name="Input [yellow] 3 2 2 4 3 2" xfId="39941" xr:uid="{00000000-0005-0000-0000-000039750000}"/>
    <cellStyle name="Input [yellow] 3 2 2 4 4" xfId="23101" xr:uid="{00000000-0005-0000-0000-00003A750000}"/>
    <cellStyle name="Input [yellow] 3 2 2 4 4 2" xfId="42443" xr:uid="{00000000-0005-0000-0000-00003B750000}"/>
    <cellStyle name="Input [yellow] 3 2 2 4 5" xfId="35042" xr:uid="{00000000-0005-0000-0000-00003C750000}"/>
    <cellStyle name="Input [yellow] 3 2 2 5" xfId="16371" xr:uid="{00000000-0005-0000-0000-00003D750000}"/>
    <cellStyle name="Input [yellow] 3 2 2 5 2" xfId="35725" xr:uid="{00000000-0005-0000-0000-00003E750000}"/>
    <cellStyle name="Input [yellow] 3 2 2 6" xfId="18802" xr:uid="{00000000-0005-0000-0000-00003F750000}"/>
    <cellStyle name="Input [yellow] 3 2 2 6 2" xfId="38155" xr:uid="{00000000-0005-0000-0000-000040750000}"/>
    <cellStyle name="Input [yellow] 3 2 2 7" xfId="21285" xr:uid="{00000000-0005-0000-0000-000041750000}"/>
    <cellStyle name="Input [yellow] 3 2 2 7 2" xfId="40627" xr:uid="{00000000-0005-0000-0000-000042750000}"/>
    <cellStyle name="Input [yellow] 3 2 2 8" xfId="33226" xr:uid="{00000000-0005-0000-0000-000043750000}"/>
    <cellStyle name="Input [yellow] 3 2 3" xfId="14080" xr:uid="{00000000-0005-0000-0000-000044750000}"/>
    <cellStyle name="Input [yellow] 3 2 3 2" xfId="14867" xr:uid="{00000000-0005-0000-0000-000045750000}"/>
    <cellStyle name="Input [yellow] 3 2 3 2 2" xfId="17345" xr:uid="{00000000-0005-0000-0000-000046750000}"/>
    <cellStyle name="Input [yellow] 3 2 3 2 2 2" xfId="36699" xr:uid="{00000000-0005-0000-0000-000047750000}"/>
    <cellStyle name="Input [yellow] 3 2 3 2 3" xfId="19776" xr:uid="{00000000-0005-0000-0000-000048750000}"/>
    <cellStyle name="Input [yellow] 3 2 3 2 3 2" xfId="39129" xr:uid="{00000000-0005-0000-0000-000049750000}"/>
    <cellStyle name="Input [yellow] 3 2 3 2 4" xfId="22287" xr:uid="{00000000-0005-0000-0000-00004A750000}"/>
    <cellStyle name="Input [yellow] 3 2 3 2 4 2" xfId="41629" xr:uid="{00000000-0005-0000-0000-00004B750000}"/>
    <cellStyle name="Input [yellow] 3 2 3 2 5" xfId="34228" xr:uid="{00000000-0005-0000-0000-00004C750000}"/>
    <cellStyle name="Input [yellow] 3 2 3 3" xfId="15414" xr:uid="{00000000-0005-0000-0000-00004D750000}"/>
    <cellStyle name="Input [yellow] 3 2 3 3 2" xfId="17890" xr:uid="{00000000-0005-0000-0000-00004E750000}"/>
    <cellStyle name="Input [yellow] 3 2 3 3 2 2" xfId="37244" xr:uid="{00000000-0005-0000-0000-00004F750000}"/>
    <cellStyle name="Input [yellow] 3 2 3 3 3" xfId="20321" xr:uid="{00000000-0005-0000-0000-000050750000}"/>
    <cellStyle name="Input [yellow] 3 2 3 3 3 2" xfId="39674" xr:uid="{00000000-0005-0000-0000-000051750000}"/>
    <cellStyle name="Input [yellow] 3 2 3 3 4" xfId="22834" xr:uid="{00000000-0005-0000-0000-000052750000}"/>
    <cellStyle name="Input [yellow] 3 2 3 3 4 2" xfId="42176" xr:uid="{00000000-0005-0000-0000-000053750000}"/>
    <cellStyle name="Input [yellow] 3 2 3 3 5" xfId="34775" xr:uid="{00000000-0005-0000-0000-000054750000}"/>
    <cellStyle name="Input [yellow] 3 2 3 4" xfId="15873" xr:uid="{00000000-0005-0000-0000-000055750000}"/>
    <cellStyle name="Input [yellow] 3 2 3 4 2" xfId="18349" xr:uid="{00000000-0005-0000-0000-000056750000}"/>
    <cellStyle name="Input [yellow] 3 2 3 4 2 2" xfId="37703" xr:uid="{00000000-0005-0000-0000-000057750000}"/>
    <cellStyle name="Input [yellow] 3 2 3 4 3" xfId="20780" xr:uid="{00000000-0005-0000-0000-000058750000}"/>
    <cellStyle name="Input [yellow] 3 2 3 4 3 2" xfId="40133" xr:uid="{00000000-0005-0000-0000-000059750000}"/>
    <cellStyle name="Input [yellow] 3 2 3 4 4" xfId="23293" xr:uid="{00000000-0005-0000-0000-00005A750000}"/>
    <cellStyle name="Input [yellow] 3 2 3 4 4 2" xfId="42635" xr:uid="{00000000-0005-0000-0000-00005B750000}"/>
    <cellStyle name="Input [yellow] 3 2 3 4 5" xfId="35234" xr:uid="{00000000-0005-0000-0000-00005C750000}"/>
    <cellStyle name="Input [yellow] 3 2 3 5" xfId="16586" xr:uid="{00000000-0005-0000-0000-00005D750000}"/>
    <cellStyle name="Input [yellow] 3 2 3 5 2" xfId="35940" xr:uid="{00000000-0005-0000-0000-00005E750000}"/>
    <cellStyle name="Input [yellow] 3 2 3 6" xfId="19017" xr:uid="{00000000-0005-0000-0000-00005F750000}"/>
    <cellStyle name="Input [yellow] 3 2 3 6 2" xfId="38370" xr:uid="{00000000-0005-0000-0000-000060750000}"/>
    <cellStyle name="Input [yellow] 3 2 3 7" xfId="21503" xr:uid="{00000000-0005-0000-0000-000061750000}"/>
    <cellStyle name="Input [yellow] 3 2 3 7 2" xfId="40845" xr:uid="{00000000-0005-0000-0000-000062750000}"/>
    <cellStyle name="Input [yellow] 3 2 3 8" xfId="33444" xr:uid="{00000000-0005-0000-0000-000063750000}"/>
    <cellStyle name="Input [yellow] 3 2 4" xfId="14375" xr:uid="{00000000-0005-0000-0000-000064750000}"/>
    <cellStyle name="Input [yellow] 3 2 4 2" xfId="16868" xr:uid="{00000000-0005-0000-0000-000065750000}"/>
    <cellStyle name="Input [yellow] 3 2 4 2 2" xfId="36222" xr:uid="{00000000-0005-0000-0000-000066750000}"/>
    <cellStyle name="Input [yellow] 3 2 4 3" xfId="19299" xr:uid="{00000000-0005-0000-0000-000067750000}"/>
    <cellStyle name="Input [yellow] 3 2 4 3 2" xfId="38652" xr:uid="{00000000-0005-0000-0000-000068750000}"/>
    <cellStyle name="Input [yellow] 3 2 4 4" xfId="21795" xr:uid="{00000000-0005-0000-0000-000069750000}"/>
    <cellStyle name="Input [yellow] 3 2 4 4 2" xfId="41137" xr:uid="{00000000-0005-0000-0000-00006A750000}"/>
    <cellStyle name="Input [yellow] 3 2 4 5" xfId="33736" xr:uid="{00000000-0005-0000-0000-00006B750000}"/>
    <cellStyle name="Input [yellow] 3 2 5" xfId="15006" xr:uid="{00000000-0005-0000-0000-00006C750000}"/>
    <cellStyle name="Input [yellow] 3 2 5 2" xfId="17482" xr:uid="{00000000-0005-0000-0000-00006D750000}"/>
    <cellStyle name="Input [yellow] 3 2 5 2 2" xfId="36836" xr:uid="{00000000-0005-0000-0000-00006E750000}"/>
    <cellStyle name="Input [yellow] 3 2 5 3" xfId="19913" xr:uid="{00000000-0005-0000-0000-00006F750000}"/>
    <cellStyle name="Input [yellow] 3 2 5 3 2" xfId="39266" xr:uid="{00000000-0005-0000-0000-000070750000}"/>
    <cellStyle name="Input [yellow] 3 2 5 4" xfId="22426" xr:uid="{00000000-0005-0000-0000-000071750000}"/>
    <cellStyle name="Input [yellow] 3 2 5 4 2" xfId="41768" xr:uid="{00000000-0005-0000-0000-000072750000}"/>
    <cellStyle name="Input [yellow] 3 2 5 5" xfId="34367" xr:uid="{00000000-0005-0000-0000-000073750000}"/>
    <cellStyle name="Input [yellow] 3 2 6" xfId="14235" xr:uid="{00000000-0005-0000-0000-000074750000}"/>
    <cellStyle name="Input [yellow] 3 2 6 2" xfId="16738" xr:uid="{00000000-0005-0000-0000-000075750000}"/>
    <cellStyle name="Input [yellow] 3 2 6 2 2" xfId="36092" xr:uid="{00000000-0005-0000-0000-000076750000}"/>
    <cellStyle name="Input [yellow] 3 2 6 3" xfId="19169" xr:uid="{00000000-0005-0000-0000-000077750000}"/>
    <cellStyle name="Input [yellow] 3 2 6 3 2" xfId="38522" xr:uid="{00000000-0005-0000-0000-000078750000}"/>
    <cellStyle name="Input [yellow] 3 2 6 4" xfId="21656" xr:uid="{00000000-0005-0000-0000-000079750000}"/>
    <cellStyle name="Input [yellow] 3 2 6 4 2" xfId="40998" xr:uid="{00000000-0005-0000-0000-00007A750000}"/>
    <cellStyle name="Input [yellow] 3 2 6 5" xfId="33597" xr:uid="{00000000-0005-0000-0000-00007B750000}"/>
    <cellStyle name="Input [yellow] 3 2 7" xfId="16105" xr:uid="{00000000-0005-0000-0000-00007C750000}"/>
    <cellStyle name="Input [yellow] 3 2 7 2" xfId="35459" xr:uid="{00000000-0005-0000-0000-00007D750000}"/>
    <cellStyle name="Input [yellow] 3 2 8" xfId="18518" xr:uid="{00000000-0005-0000-0000-00007E750000}"/>
    <cellStyle name="Input [yellow] 3 2 8 2" xfId="37871" xr:uid="{00000000-0005-0000-0000-00007F750000}"/>
    <cellStyle name="Input [yellow] 3 2 9" xfId="21026" xr:uid="{00000000-0005-0000-0000-000080750000}"/>
    <cellStyle name="Input [yellow] 3 2 9 2" xfId="40368" xr:uid="{00000000-0005-0000-0000-000081750000}"/>
    <cellStyle name="Input [yellow] 3 3" xfId="13632" xr:uid="{00000000-0005-0000-0000-000082750000}"/>
    <cellStyle name="Input [yellow] 3 3 2" xfId="13932" xr:uid="{00000000-0005-0000-0000-000083750000}"/>
    <cellStyle name="Input [yellow] 3 3 2 2" xfId="14727" xr:uid="{00000000-0005-0000-0000-000084750000}"/>
    <cellStyle name="Input [yellow] 3 3 2 2 2" xfId="17205" xr:uid="{00000000-0005-0000-0000-000085750000}"/>
    <cellStyle name="Input [yellow] 3 3 2 2 2 2" xfId="36559" xr:uid="{00000000-0005-0000-0000-000086750000}"/>
    <cellStyle name="Input [yellow] 3 3 2 2 3" xfId="19636" xr:uid="{00000000-0005-0000-0000-000087750000}"/>
    <cellStyle name="Input [yellow] 3 3 2 2 3 2" xfId="38989" xr:uid="{00000000-0005-0000-0000-000088750000}"/>
    <cellStyle name="Input [yellow] 3 3 2 2 4" xfId="22147" xr:uid="{00000000-0005-0000-0000-000089750000}"/>
    <cellStyle name="Input [yellow] 3 3 2 2 4 2" xfId="41489" xr:uid="{00000000-0005-0000-0000-00008A750000}"/>
    <cellStyle name="Input [yellow] 3 3 2 2 5" xfId="34088" xr:uid="{00000000-0005-0000-0000-00008B750000}"/>
    <cellStyle name="Input [yellow] 3 3 2 3" xfId="15275" xr:uid="{00000000-0005-0000-0000-00008C750000}"/>
    <cellStyle name="Input [yellow] 3 3 2 3 2" xfId="17751" xr:uid="{00000000-0005-0000-0000-00008D750000}"/>
    <cellStyle name="Input [yellow] 3 3 2 3 2 2" xfId="37105" xr:uid="{00000000-0005-0000-0000-00008E750000}"/>
    <cellStyle name="Input [yellow] 3 3 2 3 3" xfId="20182" xr:uid="{00000000-0005-0000-0000-00008F750000}"/>
    <cellStyle name="Input [yellow] 3 3 2 3 3 2" xfId="39535" xr:uid="{00000000-0005-0000-0000-000090750000}"/>
    <cellStyle name="Input [yellow] 3 3 2 3 4" xfId="22695" xr:uid="{00000000-0005-0000-0000-000091750000}"/>
    <cellStyle name="Input [yellow] 3 3 2 3 4 2" xfId="42037" xr:uid="{00000000-0005-0000-0000-000092750000}"/>
    <cellStyle name="Input [yellow] 3 3 2 3 5" xfId="34636" xr:uid="{00000000-0005-0000-0000-000093750000}"/>
    <cellStyle name="Input [yellow] 3 3 2 4" xfId="15734" xr:uid="{00000000-0005-0000-0000-000094750000}"/>
    <cellStyle name="Input [yellow] 3 3 2 4 2" xfId="18210" xr:uid="{00000000-0005-0000-0000-000095750000}"/>
    <cellStyle name="Input [yellow] 3 3 2 4 2 2" xfId="37564" xr:uid="{00000000-0005-0000-0000-000096750000}"/>
    <cellStyle name="Input [yellow] 3 3 2 4 3" xfId="20641" xr:uid="{00000000-0005-0000-0000-000097750000}"/>
    <cellStyle name="Input [yellow] 3 3 2 4 3 2" xfId="39994" xr:uid="{00000000-0005-0000-0000-000098750000}"/>
    <cellStyle name="Input [yellow] 3 3 2 4 4" xfId="23154" xr:uid="{00000000-0005-0000-0000-000099750000}"/>
    <cellStyle name="Input [yellow] 3 3 2 4 4 2" xfId="42496" xr:uid="{00000000-0005-0000-0000-00009A750000}"/>
    <cellStyle name="Input [yellow] 3 3 2 4 5" xfId="35095" xr:uid="{00000000-0005-0000-0000-00009B750000}"/>
    <cellStyle name="Input [yellow] 3 3 2 5" xfId="16438" xr:uid="{00000000-0005-0000-0000-00009C750000}"/>
    <cellStyle name="Input [yellow] 3 3 2 5 2" xfId="35792" xr:uid="{00000000-0005-0000-0000-00009D750000}"/>
    <cellStyle name="Input [yellow] 3 3 2 6" xfId="18869" xr:uid="{00000000-0005-0000-0000-00009E750000}"/>
    <cellStyle name="Input [yellow] 3 3 2 6 2" xfId="38222" xr:uid="{00000000-0005-0000-0000-00009F750000}"/>
    <cellStyle name="Input [yellow] 3 3 2 7" xfId="21355" xr:uid="{00000000-0005-0000-0000-0000A0750000}"/>
    <cellStyle name="Input [yellow] 3 3 2 7 2" xfId="40697" xr:uid="{00000000-0005-0000-0000-0000A1750000}"/>
    <cellStyle name="Input [yellow] 3 3 2 8" xfId="33296" xr:uid="{00000000-0005-0000-0000-0000A2750000}"/>
    <cellStyle name="Input [yellow] 3 3 3" xfId="14147" xr:uid="{00000000-0005-0000-0000-0000A3750000}"/>
    <cellStyle name="Input [yellow] 3 3 3 2" xfId="14924" xr:uid="{00000000-0005-0000-0000-0000A4750000}"/>
    <cellStyle name="Input [yellow] 3 3 3 2 2" xfId="17402" xr:uid="{00000000-0005-0000-0000-0000A5750000}"/>
    <cellStyle name="Input [yellow] 3 3 3 2 2 2" xfId="36756" xr:uid="{00000000-0005-0000-0000-0000A6750000}"/>
    <cellStyle name="Input [yellow] 3 3 3 2 3" xfId="19833" xr:uid="{00000000-0005-0000-0000-0000A7750000}"/>
    <cellStyle name="Input [yellow] 3 3 3 2 3 2" xfId="39186" xr:uid="{00000000-0005-0000-0000-0000A8750000}"/>
    <cellStyle name="Input [yellow] 3 3 3 2 4" xfId="22344" xr:uid="{00000000-0005-0000-0000-0000A9750000}"/>
    <cellStyle name="Input [yellow] 3 3 3 2 4 2" xfId="41686" xr:uid="{00000000-0005-0000-0000-0000AA750000}"/>
    <cellStyle name="Input [yellow] 3 3 3 2 5" xfId="34285" xr:uid="{00000000-0005-0000-0000-0000AB750000}"/>
    <cellStyle name="Input [yellow] 3 3 3 3" xfId="15470" xr:uid="{00000000-0005-0000-0000-0000AC750000}"/>
    <cellStyle name="Input [yellow] 3 3 3 3 2" xfId="17946" xr:uid="{00000000-0005-0000-0000-0000AD750000}"/>
    <cellStyle name="Input [yellow] 3 3 3 3 2 2" xfId="37300" xr:uid="{00000000-0005-0000-0000-0000AE750000}"/>
    <cellStyle name="Input [yellow] 3 3 3 3 3" xfId="20377" xr:uid="{00000000-0005-0000-0000-0000AF750000}"/>
    <cellStyle name="Input [yellow] 3 3 3 3 3 2" xfId="39730" xr:uid="{00000000-0005-0000-0000-0000B0750000}"/>
    <cellStyle name="Input [yellow] 3 3 3 3 4" xfId="22890" xr:uid="{00000000-0005-0000-0000-0000B1750000}"/>
    <cellStyle name="Input [yellow] 3 3 3 3 4 2" xfId="42232" xr:uid="{00000000-0005-0000-0000-0000B2750000}"/>
    <cellStyle name="Input [yellow] 3 3 3 3 5" xfId="34831" xr:uid="{00000000-0005-0000-0000-0000B3750000}"/>
    <cellStyle name="Input [yellow] 3 3 3 4" xfId="15929" xr:uid="{00000000-0005-0000-0000-0000B4750000}"/>
    <cellStyle name="Input [yellow] 3 3 3 4 2" xfId="18405" xr:uid="{00000000-0005-0000-0000-0000B5750000}"/>
    <cellStyle name="Input [yellow] 3 3 3 4 2 2" xfId="37759" xr:uid="{00000000-0005-0000-0000-0000B6750000}"/>
    <cellStyle name="Input [yellow] 3 3 3 4 3" xfId="20836" xr:uid="{00000000-0005-0000-0000-0000B7750000}"/>
    <cellStyle name="Input [yellow] 3 3 3 4 3 2" xfId="40189" xr:uid="{00000000-0005-0000-0000-0000B8750000}"/>
    <cellStyle name="Input [yellow] 3 3 3 4 4" xfId="23349" xr:uid="{00000000-0005-0000-0000-0000B9750000}"/>
    <cellStyle name="Input [yellow] 3 3 3 4 4 2" xfId="42691" xr:uid="{00000000-0005-0000-0000-0000BA750000}"/>
    <cellStyle name="Input [yellow] 3 3 3 4 5" xfId="35290" xr:uid="{00000000-0005-0000-0000-0000BB750000}"/>
    <cellStyle name="Input [yellow] 3 3 3 5" xfId="16653" xr:uid="{00000000-0005-0000-0000-0000BC750000}"/>
    <cellStyle name="Input [yellow] 3 3 3 5 2" xfId="36007" xr:uid="{00000000-0005-0000-0000-0000BD750000}"/>
    <cellStyle name="Input [yellow] 3 3 3 6" xfId="19084" xr:uid="{00000000-0005-0000-0000-0000BE750000}"/>
    <cellStyle name="Input [yellow] 3 3 3 6 2" xfId="38437" xr:uid="{00000000-0005-0000-0000-0000BF750000}"/>
    <cellStyle name="Input [yellow] 3 3 3 7" xfId="21570" xr:uid="{00000000-0005-0000-0000-0000C0750000}"/>
    <cellStyle name="Input [yellow] 3 3 3 7 2" xfId="40912" xr:uid="{00000000-0005-0000-0000-0000C1750000}"/>
    <cellStyle name="Input [yellow] 3 3 3 8" xfId="33511" xr:uid="{00000000-0005-0000-0000-0000C2750000}"/>
    <cellStyle name="Input [yellow] 3 3 4" xfId="14442" xr:uid="{00000000-0005-0000-0000-0000C3750000}"/>
    <cellStyle name="Input [yellow] 3 3 4 2" xfId="16932" xr:uid="{00000000-0005-0000-0000-0000C4750000}"/>
    <cellStyle name="Input [yellow] 3 3 4 2 2" xfId="36286" xr:uid="{00000000-0005-0000-0000-0000C5750000}"/>
    <cellStyle name="Input [yellow] 3 3 4 3" xfId="19363" xr:uid="{00000000-0005-0000-0000-0000C6750000}"/>
    <cellStyle name="Input [yellow] 3 3 4 3 2" xfId="38716" xr:uid="{00000000-0005-0000-0000-0000C7750000}"/>
    <cellStyle name="Input [yellow] 3 3 4 4" xfId="21862" xr:uid="{00000000-0005-0000-0000-0000C8750000}"/>
    <cellStyle name="Input [yellow] 3 3 4 4 2" xfId="41204" xr:uid="{00000000-0005-0000-0000-0000C9750000}"/>
    <cellStyle name="Input [yellow] 3 3 4 5" xfId="33803" xr:uid="{00000000-0005-0000-0000-0000CA750000}"/>
    <cellStyle name="Input [yellow] 3 3 5" xfId="15522" xr:uid="{00000000-0005-0000-0000-0000CB750000}"/>
    <cellStyle name="Input [yellow] 3 3 5 2" xfId="17998" xr:uid="{00000000-0005-0000-0000-0000CC750000}"/>
    <cellStyle name="Input [yellow] 3 3 5 2 2" xfId="37352" xr:uid="{00000000-0005-0000-0000-0000CD750000}"/>
    <cellStyle name="Input [yellow] 3 3 5 3" xfId="20429" xr:uid="{00000000-0005-0000-0000-0000CE750000}"/>
    <cellStyle name="Input [yellow] 3 3 5 3 2" xfId="39782" xr:uid="{00000000-0005-0000-0000-0000CF750000}"/>
    <cellStyle name="Input [yellow] 3 3 5 4" xfId="22942" xr:uid="{00000000-0005-0000-0000-0000D0750000}"/>
    <cellStyle name="Input [yellow] 3 3 5 4 2" xfId="42284" xr:uid="{00000000-0005-0000-0000-0000D1750000}"/>
    <cellStyle name="Input [yellow] 3 3 5 5" xfId="34883" xr:uid="{00000000-0005-0000-0000-0000D2750000}"/>
    <cellStyle name="Input [yellow] 3 3 6" xfId="16152" xr:uid="{00000000-0005-0000-0000-0000D3750000}"/>
    <cellStyle name="Input [yellow] 3 3 6 2" xfId="35506" xr:uid="{00000000-0005-0000-0000-0000D4750000}"/>
    <cellStyle name="Input [yellow] 3 3 7" xfId="18583" xr:uid="{00000000-0005-0000-0000-0000D5750000}"/>
    <cellStyle name="Input [yellow] 3 3 7 2" xfId="37936" xr:uid="{00000000-0005-0000-0000-0000D6750000}"/>
    <cellStyle name="Input [yellow] 3 3 8" xfId="21057" xr:uid="{00000000-0005-0000-0000-0000D7750000}"/>
    <cellStyle name="Input [yellow] 3 3 8 2" xfId="40399" xr:uid="{00000000-0005-0000-0000-0000D8750000}"/>
    <cellStyle name="Input [yellow] 3 3 9" xfId="32998" xr:uid="{00000000-0005-0000-0000-0000D9750000}"/>
    <cellStyle name="Input [yellow] 3 4" xfId="13765" xr:uid="{00000000-0005-0000-0000-0000DA750000}"/>
    <cellStyle name="Input [yellow] 3 4 2" xfId="14564" xr:uid="{00000000-0005-0000-0000-0000DB750000}"/>
    <cellStyle name="Input [yellow] 3 4 2 2" xfId="17051" xr:uid="{00000000-0005-0000-0000-0000DC750000}"/>
    <cellStyle name="Input [yellow] 3 4 2 2 2" xfId="36405" xr:uid="{00000000-0005-0000-0000-0000DD750000}"/>
    <cellStyle name="Input [yellow] 3 4 2 3" xfId="19482" xr:uid="{00000000-0005-0000-0000-0000DE750000}"/>
    <cellStyle name="Input [yellow] 3 4 2 3 2" xfId="38835" xr:uid="{00000000-0005-0000-0000-0000DF750000}"/>
    <cellStyle name="Input [yellow] 3 4 2 4" xfId="21984" xr:uid="{00000000-0005-0000-0000-0000E0750000}"/>
    <cellStyle name="Input [yellow] 3 4 2 4 2" xfId="41326" xr:uid="{00000000-0005-0000-0000-0000E1750000}"/>
    <cellStyle name="Input [yellow] 3 4 2 5" xfId="33925" xr:uid="{00000000-0005-0000-0000-0000E2750000}"/>
    <cellStyle name="Input [yellow] 3 4 3" xfId="15125" xr:uid="{00000000-0005-0000-0000-0000E3750000}"/>
    <cellStyle name="Input [yellow] 3 4 3 2" xfId="17601" xr:uid="{00000000-0005-0000-0000-0000E4750000}"/>
    <cellStyle name="Input [yellow] 3 4 3 2 2" xfId="36955" xr:uid="{00000000-0005-0000-0000-0000E5750000}"/>
    <cellStyle name="Input [yellow] 3 4 3 3" xfId="20032" xr:uid="{00000000-0005-0000-0000-0000E6750000}"/>
    <cellStyle name="Input [yellow] 3 4 3 3 2" xfId="39385" xr:uid="{00000000-0005-0000-0000-0000E7750000}"/>
    <cellStyle name="Input [yellow] 3 4 3 4" xfId="22545" xr:uid="{00000000-0005-0000-0000-0000E8750000}"/>
    <cellStyle name="Input [yellow] 3 4 3 4 2" xfId="41887" xr:uid="{00000000-0005-0000-0000-0000E9750000}"/>
    <cellStyle name="Input [yellow] 3 4 3 5" xfId="34486" xr:uid="{00000000-0005-0000-0000-0000EA750000}"/>
    <cellStyle name="Input [yellow] 3 4 4" xfId="15606" xr:uid="{00000000-0005-0000-0000-0000EB750000}"/>
    <cellStyle name="Input [yellow] 3 4 4 2" xfId="18082" xr:uid="{00000000-0005-0000-0000-0000EC750000}"/>
    <cellStyle name="Input [yellow] 3 4 4 2 2" xfId="37436" xr:uid="{00000000-0005-0000-0000-0000ED750000}"/>
    <cellStyle name="Input [yellow] 3 4 4 3" xfId="20513" xr:uid="{00000000-0005-0000-0000-0000EE750000}"/>
    <cellStyle name="Input [yellow] 3 4 4 3 2" xfId="39866" xr:uid="{00000000-0005-0000-0000-0000EF750000}"/>
    <cellStyle name="Input [yellow] 3 4 4 4" xfId="23026" xr:uid="{00000000-0005-0000-0000-0000F0750000}"/>
    <cellStyle name="Input [yellow] 3 4 4 4 2" xfId="42368" xr:uid="{00000000-0005-0000-0000-0000F1750000}"/>
    <cellStyle name="Input [yellow] 3 4 4 5" xfId="34967" xr:uid="{00000000-0005-0000-0000-0000F2750000}"/>
    <cellStyle name="Input [yellow] 3 4 5" xfId="16280" xr:uid="{00000000-0005-0000-0000-0000F3750000}"/>
    <cellStyle name="Input [yellow] 3 4 5 2" xfId="35634" xr:uid="{00000000-0005-0000-0000-0000F4750000}"/>
    <cellStyle name="Input [yellow] 3 4 6" xfId="18711" xr:uid="{00000000-0005-0000-0000-0000F5750000}"/>
    <cellStyle name="Input [yellow] 3 4 6 2" xfId="38064" xr:uid="{00000000-0005-0000-0000-0000F6750000}"/>
    <cellStyle name="Input [yellow] 3 4 7" xfId="21188" xr:uid="{00000000-0005-0000-0000-0000F7750000}"/>
    <cellStyle name="Input [yellow] 3 4 7 2" xfId="40530" xr:uid="{00000000-0005-0000-0000-0000F8750000}"/>
    <cellStyle name="Input [yellow] 3 4 8" xfId="33129" xr:uid="{00000000-0005-0000-0000-0000F9750000}"/>
    <cellStyle name="Input [yellow] 3 5" xfId="13986" xr:uid="{00000000-0005-0000-0000-0000FA750000}"/>
    <cellStyle name="Input [yellow] 3 5 2" xfId="14781" xr:uid="{00000000-0005-0000-0000-0000FB750000}"/>
    <cellStyle name="Input [yellow] 3 5 2 2" xfId="17259" xr:uid="{00000000-0005-0000-0000-0000FC750000}"/>
    <cellStyle name="Input [yellow] 3 5 2 2 2" xfId="36613" xr:uid="{00000000-0005-0000-0000-0000FD750000}"/>
    <cellStyle name="Input [yellow] 3 5 2 3" xfId="19690" xr:uid="{00000000-0005-0000-0000-0000FE750000}"/>
    <cellStyle name="Input [yellow] 3 5 2 3 2" xfId="39043" xr:uid="{00000000-0005-0000-0000-0000FF750000}"/>
    <cellStyle name="Input [yellow] 3 5 2 4" xfId="22201" xr:uid="{00000000-0005-0000-0000-000000760000}"/>
    <cellStyle name="Input [yellow] 3 5 2 4 2" xfId="41543" xr:uid="{00000000-0005-0000-0000-000001760000}"/>
    <cellStyle name="Input [yellow] 3 5 2 5" xfId="34142" xr:uid="{00000000-0005-0000-0000-000002760000}"/>
    <cellStyle name="Input [yellow] 3 5 3" xfId="15329" xr:uid="{00000000-0005-0000-0000-000003760000}"/>
    <cellStyle name="Input [yellow] 3 5 3 2" xfId="17805" xr:uid="{00000000-0005-0000-0000-000004760000}"/>
    <cellStyle name="Input [yellow] 3 5 3 2 2" xfId="37159" xr:uid="{00000000-0005-0000-0000-000005760000}"/>
    <cellStyle name="Input [yellow] 3 5 3 3" xfId="20236" xr:uid="{00000000-0005-0000-0000-000006760000}"/>
    <cellStyle name="Input [yellow] 3 5 3 3 2" xfId="39589" xr:uid="{00000000-0005-0000-0000-000007760000}"/>
    <cellStyle name="Input [yellow] 3 5 3 4" xfId="22749" xr:uid="{00000000-0005-0000-0000-000008760000}"/>
    <cellStyle name="Input [yellow] 3 5 3 4 2" xfId="42091" xr:uid="{00000000-0005-0000-0000-000009760000}"/>
    <cellStyle name="Input [yellow] 3 5 3 5" xfId="34690" xr:uid="{00000000-0005-0000-0000-00000A760000}"/>
    <cellStyle name="Input [yellow] 3 5 4" xfId="15788" xr:uid="{00000000-0005-0000-0000-00000B760000}"/>
    <cellStyle name="Input [yellow] 3 5 4 2" xfId="18264" xr:uid="{00000000-0005-0000-0000-00000C760000}"/>
    <cellStyle name="Input [yellow] 3 5 4 2 2" xfId="37618" xr:uid="{00000000-0005-0000-0000-00000D760000}"/>
    <cellStyle name="Input [yellow] 3 5 4 3" xfId="20695" xr:uid="{00000000-0005-0000-0000-00000E760000}"/>
    <cellStyle name="Input [yellow] 3 5 4 3 2" xfId="40048" xr:uid="{00000000-0005-0000-0000-00000F760000}"/>
    <cellStyle name="Input [yellow] 3 5 4 4" xfId="23208" xr:uid="{00000000-0005-0000-0000-000010760000}"/>
    <cellStyle name="Input [yellow] 3 5 4 4 2" xfId="42550" xr:uid="{00000000-0005-0000-0000-000011760000}"/>
    <cellStyle name="Input [yellow] 3 5 4 5" xfId="35149" xr:uid="{00000000-0005-0000-0000-000012760000}"/>
    <cellStyle name="Input [yellow] 3 5 5" xfId="16492" xr:uid="{00000000-0005-0000-0000-000013760000}"/>
    <cellStyle name="Input [yellow] 3 5 5 2" xfId="35846" xr:uid="{00000000-0005-0000-0000-000014760000}"/>
    <cellStyle name="Input [yellow] 3 5 6" xfId="18923" xr:uid="{00000000-0005-0000-0000-000015760000}"/>
    <cellStyle name="Input [yellow] 3 5 6 2" xfId="38276" xr:uid="{00000000-0005-0000-0000-000016760000}"/>
    <cellStyle name="Input [yellow] 3 5 7" xfId="21409" xr:uid="{00000000-0005-0000-0000-000017760000}"/>
    <cellStyle name="Input [yellow] 3 5 7 2" xfId="40751" xr:uid="{00000000-0005-0000-0000-000018760000}"/>
    <cellStyle name="Input [yellow] 3 5 8" xfId="33350" xr:uid="{00000000-0005-0000-0000-000019760000}"/>
    <cellStyle name="Input [yellow] 3 6" xfId="14282" xr:uid="{00000000-0005-0000-0000-00001A760000}"/>
    <cellStyle name="Input [yellow] 3 6 2" xfId="16781" xr:uid="{00000000-0005-0000-0000-00001B760000}"/>
    <cellStyle name="Input [yellow] 3 6 2 2" xfId="36135" xr:uid="{00000000-0005-0000-0000-00001C760000}"/>
    <cellStyle name="Input [yellow] 3 6 3" xfId="19212" xr:uid="{00000000-0005-0000-0000-00001D760000}"/>
    <cellStyle name="Input [yellow] 3 6 3 2" xfId="38565" xr:uid="{00000000-0005-0000-0000-00001E760000}"/>
    <cellStyle name="Input [yellow] 3 6 4" xfId="21702" xr:uid="{00000000-0005-0000-0000-00001F760000}"/>
    <cellStyle name="Input [yellow] 3 6 4 2" xfId="41044" xr:uid="{00000000-0005-0000-0000-000020760000}"/>
    <cellStyle name="Input [yellow] 3 6 5" xfId="33643" xr:uid="{00000000-0005-0000-0000-000021760000}"/>
    <cellStyle name="Input [yellow] 3 7" xfId="14204" xr:uid="{00000000-0005-0000-0000-000022760000}"/>
    <cellStyle name="Input [yellow] 3 7 2" xfId="16708" xr:uid="{00000000-0005-0000-0000-000023760000}"/>
    <cellStyle name="Input [yellow] 3 7 2 2" xfId="36062" xr:uid="{00000000-0005-0000-0000-000024760000}"/>
    <cellStyle name="Input [yellow] 3 7 3" xfId="19139" xr:uid="{00000000-0005-0000-0000-000025760000}"/>
    <cellStyle name="Input [yellow] 3 7 3 2" xfId="38492" xr:uid="{00000000-0005-0000-0000-000026760000}"/>
    <cellStyle name="Input [yellow] 3 7 4" xfId="21626" xr:uid="{00000000-0005-0000-0000-000027760000}"/>
    <cellStyle name="Input [yellow] 3 7 4 2" xfId="40968" xr:uid="{00000000-0005-0000-0000-000028760000}"/>
    <cellStyle name="Input [yellow] 3 7 5" xfId="33567" xr:uid="{00000000-0005-0000-0000-000029760000}"/>
    <cellStyle name="Input [yellow] 3 8" xfId="16006" xr:uid="{00000000-0005-0000-0000-00002A760000}"/>
    <cellStyle name="Input [yellow] 3 8 2" xfId="35360" xr:uid="{00000000-0005-0000-0000-00002B760000}"/>
    <cellStyle name="Input [yellow] 3 9" xfId="13264" xr:uid="{00000000-0005-0000-0000-00002C760000}"/>
    <cellStyle name="Input [yellow] 3 9 2" xfId="32712" xr:uid="{00000000-0005-0000-0000-00002D760000}"/>
    <cellStyle name="Input [yellow] 4" xfId="13441" xr:uid="{00000000-0005-0000-0000-00002E760000}"/>
    <cellStyle name="Input [yellow] 4 2" xfId="13568" xr:uid="{00000000-0005-0000-0000-00002F760000}"/>
    <cellStyle name="Input [yellow] 4 2 2" xfId="13867" xr:uid="{00000000-0005-0000-0000-000030760000}"/>
    <cellStyle name="Input [yellow] 4 2 2 2" xfId="14662" xr:uid="{00000000-0005-0000-0000-000031760000}"/>
    <cellStyle name="Input [yellow] 4 2 2 2 2" xfId="17143" xr:uid="{00000000-0005-0000-0000-000032760000}"/>
    <cellStyle name="Input [yellow] 4 2 2 2 2 2" xfId="36497" xr:uid="{00000000-0005-0000-0000-000033760000}"/>
    <cellStyle name="Input [yellow] 4 2 2 2 3" xfId="19574" xr:uid="{00000000-0005-0000-0000-000034760000}"/>
    <cellStyle name="Input [yellow] 4 2 2 2 3 2" xfId="38927" xr:uid="{00000000-0005-0000-0000-000035760000}"/>
    <cellStyle name="Input [yellow] 4 2 2 2 4" xfId="22082" xr:uid="{00000000-0005-0000-0000-000036760000}"/>
    <cellStyle name="Input [yellow] 4 2 2 2 4 2" xfId="41424" xr:uid="{00000000-0005-0000-0000-000037760000}"/>
    <cellStyle name="Input [yellow] 4 2 2 2 5" xfId="34023" xr:uid="{00000000-0005-0000-0000-000038760000}"/>
    <cellStyle name="Input [yellow] 4 2 2 3" xfId="15214" xr:uid="{00000000-0005-0000-0000-000039760000}"/>
    <cellStyle name="Input [yellow] 4 2 2 3 2" xfId="17690" xr:uid="{00000000-0005-0000-0000-00003A760000}"/>
    <cellStyle name="Input [yellow] 4 2 2 3 2 2" xfId="37044" xr:uid="{00000000-0005-0000-0000-00003B760000}"/>
    <cellStyle name="Input [yellow] 4 2 2 3 3" xfId="20121" xr:uid="{00000000-0005-0000-0000-00003C760000}"/>
    <cellStyle name="Input [yellow] 4 2 2 3 3 2" xfId="39474" xr:uid="{00000000-0005-0000-0000-00003D760000}"/>
    <cellStyle name="Input [yellow] 4 2 2 3 4" xfId="22634" xr:uid="{00000000-0005-0000-0000-00003E760000}"/>
    <cellStyle name="Input [yellow] 4 2 2 3 4 2" xfId="41976" xr:uid="{00000000-0005-0000-0000-00003F760000}"/>
    <cellStyle name="Input [yellow] 4 2 2 3 5" xfId="34575" xr:uid="{00000000-0005-0000-0000-000040760000}"/>
    <cellStyle name="Input [yellow] 4 2 2 4" xfId="15684" xr:uid="{00000000-0005-0000-0000-000041760000}"/>
    <cellStyle name="Input [yellow] 4 2 2 4 2" xfId="18160" xr:uid="{00000000-0005-0000-0000-000042760000}"/>
    <cellStyle name="Input [yellow] 4 2 2 4 2 2" xfId="37514" xr:uid="{00000000-0005-0000-0000-000043760000}"/>
    <cellStyle name="Input [yellow] 4 2 2 4 3" xfId="20591" xr:uid="{00000000-0005-0000-0000-000044760000}"/>
    <cellStyle name="Input [yellow] 4 2 2 4 3 2" xfId="39944" xr:uid="{00000000-0005-0000-0000-000045760000}"/>
    <cellStyle name="Input [yellow] 4 2 2 4 4" xfId="23104" xr:uid="{00000000-0005-0000-0000-000046760000}"/>
    <cellStyle name="Input [yellow] 4 2 2 4 4 2" xfId="42446" xr:uid="{00000000-0005-0000-0000-000047760000}"/>
    <cellStyle name="Input [yellow] 4 2 2 4 5" xfId="35045" xr:uid="{00000000-0005-0000-0000-000048760000}"/>
    <cellStyle name="Input [yellow] 4 2 2 5" xfId="16376" xr:uid="{00000000-0005-0000-0000-000049760000}"/>
    <cellStyle name="Input [yellow] 4 2 2 5 2" xfId="35730" xr:uid="{00000000-0005-0000-0000-00004A760000}"/>
    <cellStyle name="Input [yellow] 4 2 2 6" xfId="18807" xr:uid="{00000000-0005-0000-0000-00004B760000}"/>
    <cellStyle name="Input [yellow] 4 2 2 6 2" xfId="38160" xr:uid="{00000000-0005-0000-0000-00004C760000}"/>
    <cellStyle name="Input [yellow] 4 2 2 7" xfId="21290" xr:uid="{00000000-0005-0000-0000-00004D760000}"/>
    <cellStyle name="Input [yellow] 4 2 2 7 2" xfId="40632" xr:uid="{00000000-0005-0000-0000-00004E760000}"/>
    <cellStyle name="Input [yellow] 4 2 2 8" xfId="33231" xr:uid="{00000000-0005-0000-0000-00004F760000}"/>
    <cellStyle name="Input [yellow] 4 2 3" xfId="14085" xr:uid="{00000000-0005-0000-0000-000050760000}"/>
    <cellStyle name="Input [yellow] 4 2 3 2" xfId="16591" xr:uid="{00000000-0005-0000-0000-000051760000}"/>
    <cellStyle name="Input [yellow] 4 2 3 2 2" xfId="35945" xr:uid="{00000000-0005-0000-0000-000052760000}"/>
    <cellStyle name="Input [yellow] 4 2 3 3" xfId="19022" xr:uid="{00000000-0005-0000-0000-000053760000}"/>
    <cellStyle name="Input [yellow] 4 2 3 3 2" xfId="38375" xr:uid="{00000000-0005-0000-0000-000054760000}"/>
    <cellStyle name="Input [yellow] 4 2 3 4" xfId="21508" xr:uid="{00000000-0005-0000-0000-000055760000}"/>
    <cellStyle name="Input [yellow] 4 2 3 4 2" xfId="40850" xr:uid="{00000000-0005-0000-0000-000056760000}"/>
    <cellStyle name="Input [yellow] 4 2 3 5" xfId="33449" xr:uid="{00000000-0005-0000-0000-000057760000}"/>
    <cellStyle name="Input [yellow] 4 2 4" xfId="15011" xr:uid="{00000000-0005-0000-0000-000058760000}"/>
    <cellStyle name="Input [yellow] 4 2 4 2" xfId="17487" xr:uid="{00000000-0005-0000-0000-000059760000}"/>
    <cellStyle name="Input [yellow] 4 2 4 2 2" xfId="36841" xr:uid="{00000000-0005-0000-0000-00005A760000}"/>
    <cellStyle name="Input [yellow] 4 2 4 3" xfId="19918" xr:uid="{00000000-0005-0000-0000-00005B760000}"/>
    <cellStyle name="Input [yellow] 4 2 4 3 2" xfId="39271" xr:uid="{00000000-0005-0000-0000-00005C760000}"/>
    <cellStyle name="Input [yellow] 4 2 4 4" xfId="22431" xr:uid="{00000000-0005-0000-0000-00005D760000}"/>
    <cellStyle name="Input [yellow] 4 2 4 4 2" xfId="41773" xr:uid="{00000000-0005-0000-0000-00005E760000}"/>
    <cellStyle name="Input [yellow] 4 2 4 5" xfId="34372" xr:uid="{00000000-0005-0000-0000-00005F760000}"/>
    <cellStyle name="Input [yellow] 4 3" xfId="13637" xr:uid="{00000000-0005-0000-0000-000060760000}"/>
    <cellStyle name="Input [yellow] 4 3 2" xfId="13937" xr:uid="{00000000-0005-0000-0000-000061760000}"/>
    <cellStyle name="Input [yellow] 4 3 2 2" xfId="14732" xr:uid="{00000000-0005-0000-0000-000062760000}"/>
    <cellStyle name="Input [yellow] 4 3 2 2 2" xfId="17210" xr:uid="{00000000-0005-0000-0000-000063760000}"/>
    <cellStyle name="Input [yellow] 4 3 2 2 2 2" xfId="36564" xr:uid="{00000000-0005-0000-0000-000064760000}"/>
    <cellStyle name="Input [yellow] 4 3 2 2 3" xfId="19641" xr:uid="{00000000-0005-0000-0000-000065760000}"/>
    <cellStyle name="Input [yellow] 4 3 2 2 3 2" xfId="38994" xr:uid="{00000000-0005-0000-0000-000066760000}"/>
    <cellStyle name="Input [yellow] 4 3 2 2 4" xfId="22152" xr:uid="{00000000-0005-0000-0000-000067760000}"/>
    <cellStyle name="Input [yellow] 4 3 2 2 4 2" xfId="41494" xr:uid="{00000000-0005-0000-0000-000068760000}"/>
    <cellStyle name="Input [yellow] 4 3 2 2 5" xfId="34093" xr:uid="{00000000-0005-0000-0000-000069760000}"/>
    <cellStyle name="Input [yellow] 4 3 2 3" xfId="15280" xr:uid="{00000000-0005-0000-0000-00006A760000}"/>
    <cellStyle name="Input [yellow] 4 3 2 3 2" xfId="17756" xr:uid="{00000000-0005-0000-0000-00006B760000}"/>
    <cellStyle name="Input [yellow] 4 3 2 3 2 2" xfId="37110" xr:uid="{00000000-0005-0000-0000-00006C760000}"/>
    <cellStyle name="Input [yellow] 4 3 2 3 3" xfId="20187" xr:uid="{00000000-0005-0000-0000-00006D760000}"/>
    <cellStyle name="Input [yellow] 4 3 2 3 3 2" xfId="39540" xr:uid="{00000000-0005-0000-0000-00006E760000}"/>
    <cellStyle name="Input [yellow] 4 3 2 3 4" xfId="22700" xr:uid="{00000000-0005-0000-0000-00006F760000}"/>
    <cellStyle name="Input [yellow] 4 3 2 3 4 2" xfId="42042" xr:uid="{00000000-0005-0000-0000-000070760000}"/>
    <cellStyle name="Input [yellow] 4 3 2 3 5" xfId="34641" xr:uid="{00000000-0005-0000-0000-000071760000}"/>
    <cellStyle name="Input [yellow] 4 3 2 4" xfId="15739" xr:uid="{00000000-0005-0000-0000-000072760000}"/>
    <cellStyle name="Input [yellow] 4 3 2 4 2" xfId="18215" xr:uid="{00000000-0005-0000-0000-000073760000}"/>
    <cellStyle name="Input [yellow] 4 3 2 4 2 2" xfId="37569" xr:uid="{00000000-0005-0000-0000-000074760000}"/>
    <cellStyle name="Input [yellow] 4 3 2 4 3" xfId="20646" xr:uid="{00000000-0005-0000-0000-000075760000}"/>
    <cellStyle name="Input [yellow] 4 3 2 4 3 2" xfId="39999" xr:uid="{00000000-0005-0000-0000-000076760000}"/>
    <cellStyle name="Input [yellow] 4 3 2 4 4" xfId="23159" xr:uid="{00000000-0005-0000-0000-000077760000}"/>
    <cellStyle name="Input [yellow] 4 3 2 4 4 2" xfId="42501" xr:uid="{00000000-0005-0000-0000-000078760000}"/>
    <cellStyle name="Input [yellow] 4 3 2 4 5" xfId="35100" xr:uid="{00000000-0005-0000-0000-000079760000}"/>
    <cellStyle name="Input [yellow] 4 3 2 5" xfId="16443" xr:uid="{00000000-0005-0000-0000-00007A760000}"/>
    <cellStyle name="Input [yellow] 4 3 2 5 2" xfId="35797" xr:uid="{00000000-0005-0000-0000-00007B760000}"/>
    <cellStyle name="Input [yellow] 4 3 2 6" xfId="18874" xr:uid="{00000000-0005-0000-0000-00007C760000}"/>
    <cellStyle name="Input [yellow] 4 3 2 6 2" xfId="38227" xr:uid="{00000000-0005-0000-0000-00007D760000}"/>
    <cellStyle name="Input [yellow] 4 3 2 7" xfId="21360" xr:uid="{00000000-0005-0000-0000-00007E760000}"/>
    <cellStyle name="Input [yellow] 4 3 2 7 2" xfId="40702" xr:uid="{00000000-0005-0000-0000-00007F760000}"/>
    <cellStyle name="Input [yellow] 4 3 2 8" xfId="33301" xr:uid="{00000000-0005-0000-0000-000080760000}"/>
    <cellStyle name="Input [yellow] 4 3 3" xfId="14151" xr:uid="{00000000-0005-0000-0000-000081760000}"/>
    <cellStyle name="Input [yellow] 4 3 3 2" xfId="14928" xr:uid="{00000000-0005-0000-0000-000082760000}"/>
    <cellStyle name="Input [yellow] 4 3 3 2 2" xfId="17406" xr:uid="{00000000-0005-0000-0000-000083760000}"/>
    <cellStyle name="Input [yellow] 4 3 3 2 2 2" xfId="36760" xr:uid="{00000000-0005-0000-0000-000084760000}"/>
    <cellStyle name="Input [yellow] 4 3 3 2 3" xfId="19837" xr:uid="{00000000-0005-0000-0000-000085760000}"/>
    <cellStyle name="Input [yellow] 4 3 3 2 3 2" xfId="39190" xr:uid="{00000000-0005-0000-0000-000086760000}"/>
    <cellStyle name="Input [yellow] 4 3 3 2 4" xfId="22348" xr:uid="{00000000-0005-0000-0000-000087760000}"/>
    <cellStyle name="Input [yellow] 4 3 3 2 4 2" xfId="41690" xr:uid="{00000000-0005-0000-0000-000088760000}"/>
    <cellStyle name="Input [yellow] 4 3 3 2 5" xfId="34289" xr:uid="{00000000-0005-0000-0000-000089760000}"/>
    <cellStyle name="Input [yellow] 4 3 3 3" xfId="15474" xr:uid="{00000000-0005-0000-0000-00008A760000}"/>
    <cellStyle name="Input [yellow] 4 3 3 3 2" xfId="17950" xr:uid="{00000000-0005-0000-0000-00008B760000}"/>
    <cellStyle name="Input [yellow] 4 3 3 3 2 2" xfId="37304" xr:uid="{00000000-0005-0000-0000-00008C760000}"/>
    <cellStyle name="Input [yellow] 4 3 3 3 3" xfId="20381" xr:uid="{00000000-0005-0000-0000-00008D760000}"/>
    <cellStyle name="Input [yellow] 4 3 3 3 3 2" xfId="39734" xr:uid="{00000000-0005-0000-0000-00008E760000}"/>
    <cellStyle name="Input [yellow] 4 3 3 3 4" xfId="22894" xr:uid="{00000000-0005-0000-0000-00008F760000}"/>
    <cellStyle name="Input [yellow] 4 3 3 3 4 2" xfId="42236" xr:uid="{00000000-0005-0000-0000-000090760000}"/>
    <cellStyle name="Input [yellow] 4 3 3 3 5" xfId="34835" xr:uid="{00000000-0005-0000-0000-000091760000}"/>
    <cellStyle name="Input [yellow] 4 3 3 4" xfId="15933" xr:uid="{00000000-0005-0000-0000-000092760000}"/>
    <cellStyle name="Input [yellow] 4 3 3 4 2" xfId="18409" xr:uid="{00000000-0005-0000-0000-000093760000}"/>
    <cellStyle name="Input [yellow] 4 3 3 4 2 2" xfId="37763" xr:uid="{00000000-0005-0000-0000-000094760000}"/>
    <cellStyle name="Input [yellow] 4 3 3 4 3" xfId="20840" xr:uid="{00000000-0005-0000-0000-000095760000}"/>
    <cellStyle name="Input [yellow] 4 3 3 4 3 2" xfId="40193" xr:uid="{00000000-0005-0000-0000-000096760000}"/>
    <cellStyle name="Input [yellow] 4 3 3 4 4" xfId="23353" xr:uid="{00000000-0005-0000-0000-000097760000}"/>
    <cellStyle name="Input [yellow] 4 3 3 4 4 2" xfId="42695" xr:uid="{00000000-0005-0000-0000-000098760000}"/>
    <cellStyle name="Input [yellow] 4 3 3 4 5" xfId="35294" xr:uid="{00000000-0005-0000-0000-000099760000}"/>
    <cellStyle name="Input [yellow] 4 3 3 5" xfId="16657" xr:uid="{00000000-0005-0000-0000-00009A760000}"/>
    <cellStyle name="Input [yellow] 4 3 3 5 2" xfId="36011" xr:uid="{00000000-0005-0000-0000-00009B760000}"/>
    <cellStyle name="Input [yellow] 4 3 3 6" xfId="19088" xr:uid="{00000000-0005-0000-0000-00009C760000}"/>
    <cellStyle name="Input [yellow] 4 3 3 6 2" xfId="38441" xr:uid="{00000000-0005-0000-0000-00009D760000}"/>
    <cellStyle name="Input [yellow] 4 3 3 7" xfId="21574" xr:uid="{00000000-0005-0000-0000-00009E760000}"/>
    <cellStyle name="Input [yellow] 4 3 3 7 2" xfId="40916" xr:uid="{00000000-0005-0000-0000-00009F760000}"/>
    <cellStyle name="Input [yellow] 4 3 3 8" xfId="33515" xr:uid="{00000000-0005-0000-0000-0000A0760000}"/>
    <cellStyle name="Input [yellow] 4 3 4" xfId="14447" xr:uid="{00000000-0005-0000-0000-0000A1760000}"/>
    <cellStyle name="Input [yellow] 4 3 4 2" xfId="16937" xr:uid="{00000000-0005-0000-0000-0000A2760000}"/>
    <cellStyle name="Input [yellow] 4 3 4 2 2" xfId="36291" xr:uid="{00000000-0005-0000-0000-0000A3760000}"/>
    <cellStyle name="Input [yellow] 4 3 4 3" xfId="19368" xr:uid="{00000000-0005-0000-0000-0000A4760000}"/>
    <cellStyle name="Input [yellow] 4 3 4 3 2" xfId="38721" xr:uid="{00000000-0005-0000-0000-0000A5760000}"/>
    <cellStyle name="Input [yellow] 4 3 4 4" xfId="21867" xr:uid="{00000000-0005-0000-0000-0000A6760000}"/>
    <cellStyle name="Input [yellow] 4 3 4 4 2" xfId="41209" xr:uid="{00000000-0005-0000-0000-0000A7760000}"/>
    <cellStyle name="Input [yellow] 4 3 4 5" xfId="33808" xr:uid="{00000000-0005-0000-0000-0000A8760000}"/>
    <cellStyle name="Input [yellow] 4 3 5" xfId="15524" xr:uid="{00000000-0005-0000-0000-0000A9760000}"/>
    <cellStyle name="Input [yellow] 4 3 5 2" xfId="18000" xr:uid="{00000000-0005-0000-0000-0000AA760000}"/>
    <cellStyle name="Input [yellow] 4 3 5 2 2" xfId="37354" xr:uid="{00000000-0005-0000-0000-0000AB760000}"/>
    <cellStyle name="Input [yellow] 4 3 5 3" xfId="20431" xr:uid="{00000000-0005-0000-0000-0000AC760000}"/>
    <cellStyle name="Input [yellow] 4 3 5 3 2" xfId="39784" xr:uid="{00000000-0005-0000-0000-0000AD760000}"/>
    <cellStyle name="Input [yellow] 4 3 5 4" xfId="22944" xr:uid="{00000000-0005-0000-0000-0000AE760000}"/>
    <cellStyle name="Input [yellow] 4 3 5 4 2" xfId="42286" xr:uid="{00000000-0005-0000-0000-0000AF760000}"/>
    <cellStyle name="Input [yellow] 4 3 5 5" xfId="34885" xr:uid="{00000000-0005-0000-0000-0000B0760000}"/>
    <cellStyle name="Input [yellow] 4 3 6" xfId="16157" xr:uid="{00000000-0005-0000-0000-0000B1760000}"/>
    <cellStyle name="Input [yellow] 4 3 6 2" xfId="35511" xr:uid="{00000000-0005-0000-0000-0000B2760000}"/>
    <cellStyle name="Input [yellow] 4 3 7" xfId="18588" xr:uid="{00000000-0005-0000-0000-0000B3760000}"/>
    <cellStyle name="Input [yellow] 4 3 7 2" xfId="37941" xr:uid="{00000000-0005-0000-0000-0000B4760000}"/>
    <cellStyle name="Input [yellow] 4 3 8" xfId="21062" xr:uid="{00000000-0005-0000-0000-0000B5760000}"/>
    <cellStyle name="Input [yellow] 4 3 8 2" xfId="40404" xr:uid="{00000000-0005-0000-0000-0000B6760000}"/>
    <cellStyle name="Input [yellow] 4 3 9" xfId="33003" xr:uid="{00000000-0005-0000-0000-0000B7760000}"/>
    <cellStyle name="Input [yellow] 4 4" xfId="16011" xr:uid="{00000000-0005-0000-0000-0000B8760000}"/>
    <cellStyle name="Input [yellow] 4 4 2" xfId="35365" xr:uid="{00000000-0005-0000-0000-0000B9760000}"/>
    <cellStyle name="Input [yellow] 4 5" xfId="13285" xr:uid="{00000000-0005-0000-0000-0000BA760000}"/>
    <cellStyle name="Input [yellow] 4 5 2" xfId="32730" xr:uid="{00000000-0005-0000-0000-0000BB760000}"/>
    <cellStyle name="Input [yellow] 4 6" xfId="20942" xr:uid="{00000000-0005-0000-0000-0000BC760000}"/>
    <cellStyle name="Input [yellow] 4 6 2" xfId="40284" xr:uid="{00000000-0005-0000-0000-0000BD760000}"/>
    <cellStyle name="Input [yellow] 4 7" xfId="32820" xr:uid="{00000000-0005-0000-0000-0000BE760000}"/>
    <cellStyle name="Input [yellow] 5" xfId="13713" xr:uid="{00000000-0005-0000-0000-0000BF760000}"/>
    <cellStyle name="Input [yellow] 5 2" xfId="14516" xr:uid="{00000000-0005-0000-0000-0000C0760000}"/>
    <cellStyle name="Input [yellow] 5 2 2" xfId="17006" xr:uid="{00000000-0005-0000-0000-0000C1760000}"/>
    <cellStyle name="Input [yellow] 5 2 2 2" xfId="36360" xr:uid="{00000000-0005-0000-0000-0000C2760000}"/>
    <cellStyle name="Input [yellow] 5 2 3" xfId="19437" xr:uid="{00000000-0005-0000-0000-0000C3760000}"/>
    <cellStyle name="Input [yellow] 5 2 3 2" xfId="38790" xr:uid="{00000000-0005-0000-0000-0000C4760000}"/>
    <cellStyle name="Input [yellow] 5 2 4" xfId="21936" xr:uid="{00000000-0005-0000-0000-0000C5760000}"/>
    <cellStyle name="Input [yellow] 5 2 4 2" xfId="41278" xr:uid="{00000000-0005-0000-0000-0000C6760000}"/>
    <cellStyle name="Input [yellow] 5 2 5" xfId="33877" xr:uid="{00000000-0005-0000-0000-0000C7760000}"/>
    <cellStyle name="Input [yellow] 5 3" xfId="15080" xr:uid="{00000000-0005-0000-0000-0000C8760000}"/>
    <cellStyle name="Input [yellow] 5 3 2" xfId="17556" xr:uid="{00000000-0005-0000-0000-0000C9760000}"/>
    <cellStyle name="Input [yellow] 5 3 2 2" xfId="36910" xr:uid="{00000000-0005-0000-0000-0000CA760000}"/>
    <cellStyle name="Input [yellow] 5 3 3" xfId="19987" xr:uid="{00000000-0005-0000-0000-0000CB760000}"/>
    <cellStyle name="Input [yellow] 5 3 3 2" xfId="39340" xr:uid="{00000000-0005-0000-0000-0000CC760000}"/>
    <cellStyle name="Input [yellow] 5 3 4" xfId="22500" xr:uid="{00000000-0005-0000-0000-0000CD760000}"/>
    <cellStyle name="Input [yellow] 5 3 4 2" xfId="41842" xr:uid="{00000000-0005-0000-0000-0000CE760000}"/>
    <cellStyle name="Input [yellow] 5 3 5" xfId="34441" xr:uid="{00000000-0005-0000-0000-0000CF760000}"/>
    <cellStyle name="Input [yellow] 5 4" xfId="15563" xr:uid="{00000000-0005-0000-0000-0000D0760000}"/>
    <cellStyle name="Input [yellow] 5 4 2" xfId="18039" xr:uid="{00000000-0005-0000-0000-0000D1760000}"/>
    <cellStyle name="Input [yellow] 5 4 2 2" xfId="37393" xr:uid="{00000000-0005-0000-0000-0000D2760000}"/>
    <cellStyle name="Input [yellow] 5 4 3" xfId="20470" xr:uid="{00000000-0005-0000-0000-0000D3760000}"/>
    <cellStyle name="Input [yellow] 5 4 3 2" xfId="39823" xr:uid="{00000000-0005-0000-0000-0000D4760000}"/>
    <cellStyle name="Input [yellow] 5 4 4" xfId="22983" xr:uid="{00000000-0005-0000-0000-0000D5760000}"/>
    <cellStyle name="Input [yellow] 5 4 4 2" xfId="42325" xr:uid="{00000000-0005-0000-0000-0000D6760000}"/>
    <cellStyle name="Input [yellow] 5 4 5" xfId="34924" xr:uid="{00000000-0005-0000-0000-0000D7760000}"/>
    <cellStyle name="Input [yellow] 5 5" xfId="16232" xr:uid="{00000000-0005-0000-0000-0000D8760000}"/>
    <cellStyle name="Input [yellow] 5 5 2" xfId="35586" xr:uid="{00000000-0005-0000-0000-0000D9760000}"/>
    <cellStyle name="Input [yellow] 5 6" xfId="18663" xr:uid="{00000000-0005-0000-0000-0000DA760000}"/>
    <cellStyle name="Input [yellow] 5 6 2" xfId="38016" xr:uid="{00000000-0005-0000-0000-0000DB760000}"/>
    <cellStyle name="Input [yellow] 5 7" xfId="21137" xr:uid="{00000000-0005-0000-0000-0000DC760000}"/>
    <cellStyle name="Input [yellow] 5 7 2" xfId="40479" xr:uid="{00000000-0005-0000-0000-0000DD760000}"/>
    <cellStyle name="Input [yellow] 5 8" xfId="33078" xr:uid="{00000000-0005-0000-0000-0000DE760000}"/>
    <cellStyle name="Input 10" xfId="13699" xr:uid="{00000000-0005-0000-0000-0000DF760000}"/>
    <cellStyle name="Input 10 2" xfId="14502" xr:uid="{00000000-0005-0000-0000-0000E0760000}"/>
    <cellStyle name="Input 10 2 2" xfId="16992" xr:uid="{00000000-0005-0000-0000-0000E1760000}"/>
    <cellStyle name="Input 10 2 2 2" xfId="36346" xr:uid="{00000000-0005-0000-0000-0000E2760000}"/>
    <cellStyle name="Input 10 2 3" xfId="19423" xr:uid="{00000000-0005-0000-0000-0000E3760000}"/>
    <cellStyle name="Input 10 2 3 2" xfId="38776" xr:uid="{00000000-0005-0000-0000-0000E4760000}"/>
    <cellStyle name="Input 10 2 4" xfId="21922" xr:uid="{00000000-0005-0000-0000-0000E5760000}"/>
    <cellStyle name="Input 10 2 4 2" xfId="41264" xr:uid="{00000000-0005-0000-0000-0000E6760000}"/>
    <cellStyle name="Input 10 2 5" xfId="33863" xr:uid="{00000000-0005-0000-0000-0000E7760000}"/>
    <cellStyle name="Input 10 3" xfId="15066" xr:uid="{00000000-0005-0000-0000-0000E8760000}"/>
    <cellStyle name="Input 10 3 2" xfId="17542" xr:uid="{00000000-0005-0000-0000-0000E9760000}"/>
    <cellStyle name="Input 10 3 2 2" xfId="36896" xr:uid="{00000000-0005-0000-0000-0000EA760000}"/>
    <cellStyle name="Input 10 3 3" xfId="19973" xr:uid="{00000000-0005-0000-0000-0000EB760000}"/>
    <cellStyle name="Input 10 3 3 2" xfId="39326" xr:uid="{00000000-0005-0000-0000-0000EC760000}"/>
    <cellStyle name="Input 10 3 4" xfId="22486" xr:uid="{00000000-0005-0000-0000-0000ED760000}"/>
    <cellStyle name="Input 10 3 4 2" xfId="41828" xr:uid="{00000000-0005-0000-0000-0000EE760000}"/>
    <cellStyle name="Input 10 3 5" xfId="34427" xr:uid="{00000000-0005-0000-0000-0000EF760000}"/>
    <cellStyle name="Input 10 4" xfId="15549" xr:uid="{00000000-0005-0000-0000-0000F0760000}"/>
    <cellStyle name="Input 10 4 2" xfId="18025" xr:uid="{00000000-0005-0000-0000-0000F1760000}"/>
    <cellStyle name="Input 10 4 2 2" xfId="37379" xr:uid="{00000000-0005-0000-0000-0000F2760000}"/>
    <cellStyle name="Input 10 4 3" xfId="20456" xr:uid="{00000000-0005-0000-0000-0000F3760000}"/>
    <cellStyle name="Input 10 4 3 2" xfId="39809" xr:uid="{00000000-0005-0000-0000-0000F4760000}"/>
    <cellStyle name="Input 10 4 4" xfId="22969" xr:uid="{00000000-0005-0000-0000-0000F5760000}"/>
    <cellStyle name="Input 10 4 4 2" xfId="42311" xr:uid="{00000000-0005-0000-0000-0000F6760000}"/>
    <cellStyle name="Input 10 4 5" xfId="34910" xr:uid="{00000000-0005-0000-0000-0000F7760000}"/>
    <cellStyle name="Input 10 5" xfId="16218" xr:uid="{00000000-0005-0000-0000-0000F8760000}"/>
    <cellStyle name="Input 10 5 2" xfId="35572" xr:uid="{00000000-0005-0000-0000-0000F9760000}"/>
    <cellStyle name="Input 10 6" xfId="18649" xr:uid="{00000000-0005-0000-0000-0000FA760000}"/>
    <cellStyle name="Input 10 6 2" xfId="38002" xr:uid="{00000000-0005-0000-0000-0000FB760000}"/>
    <cellStyle name="Input 10 7" xfId="21123" xr:uid="{00000000-0005-0000-0000-0000FC760000}"/>
    <cellStyle name="Input 10 7 2" xfId="40465" xr:uid="{00000000-0005-0000-0000-0000FD760000}"/>
    <cellStyle name="Input 10 8" xfId="33064" xr:uid="{00000000-0005-0000-0000-0000FE760000}"/>
    <cellStyle name="Input 11" xfId="14216" xr:uid="{00000000-0005-0000-0000-0000FF760000}"/>
    <cellStyle name="Input 11 2" xfId="16719" xr:uid="{00000000-0005-0000-0000-000000770000}"/>
    <cellStyle name="Input 11 2 2" xfId="36073" xr:uid="{00000000-0005-0000-0000-000001770000}"/>
    <cellStyle name="Input 11 3" xfId="19150" xr:uid="{00000000-0005-0000-0000-000002770000}"/>
    <cellStyle name="Input 11 3 2" xfId="38503" xr:uid="{00000000-0005-0000-0000-000003770000}"/>
    <cellStyle name="Input 11 4" xfId="21637" xr:uid="{00000000-0005-0000-0000-000004770000}"/>
    <cellStyle name="Input 11 4 2" xfId="40979" xr:uid="{00000000-0005-0000-0000-000005770000}"/>
    <cellStyle name="Input 11 5" xfId="33578" xr:uid="{00000000-0005-0000-0000-000006770000}"/>
    <cellStyle name="Input 12" xfId="14237" xr:uid="{00000000-0005-0000-0000-000007770000}"/>
    <cellStyle name="Input 12 2" xfId="16740" xr:uid="{00000000-0005-0000-0000-000008770000}"/>
    <cellStyle name="Input 12 2 2" xfId="36094" xr:uid="{00000000-0005-0000-0000-000009770000}"/>
    <cellStyle name="Input 12 3" xfId="19171" xr:uid="{00000000-0005-0000-0000-00000A770000}"/>
    <cellStyle name="Input 12 3 2" xfId="38524" xr:uid="{00000000-0005-0000-0000-00000B770000}"/>
    <cellStyle name="Input 12 4" xfId="21658" xr:uid="{00000000-0005-0000-0000-00000C770000}"/>
    <cellStyle name="Input 12 4 2" xfId="41000" xr:uid="{00000000-0005-0000-0000-00000D770000}"/>
    <cellStyle name="Input 12 5" xfId="33599" xr:uid="{00000000-0005-0000-0000-00000E770000}"/>
    <cellStyle name="Input 13" xfId="14970" xr:uid="{00000000-0005-0000-0000-00000F770000}"/>
    <cellStyle name="Input 13 2" xfId="17446" xr:uid="{00000000-0005-0000-0000-000010770000}"/>
    <cellStyle name="Input 13 2 2" xfId="36800" xr:uid="{00000000-0005-0000-0000-000011770000}"/>
    <cellStyle name="Input 13 3" xfId="19877" xr:uid="{00000000-0005-0000-0000-000012770000}"/>
    <cellStyle name="Input 13 3 2" xfId="39230" xr:uid="{00000000-0005-0000-0000-000013770000}"/>
    <cellStyle name="Input 13 4" xfId="22390" xr:uid="{00000000-0005-0000-0000-000014770000}"/>
    <cellStyle name="Input 13 4 2" xfId="41732" xr:uid="{00000000-0005-0000-0000-000015770000}"/>
    <cellStyle name="Input 13 5" xfId="34331" xr:uid="{00000000-0005-0000-0000-000016770000}"/>
    <cellStyle name="Input 14" xfId="13247" xr:uid="{00000000-0005-0000-0000-000017770000}"/>
    <cellStyle name="Input 14 2" xfId="32700" xr:uid="{00000000-0005-0000-0000-000018770000}"/>
    <cellStyle name="Input 15" xfId="13215" xr:uid="{00000000-0005-0000-0000-000019770000}"/>
    <cellStyle name="Input 15 2" xfId="32681" xr:uid="{00000000-0005-0000-0000-00001A770000}"/>
    <cellStyle name="Input 16" xfId="13376" xr:uid="{00000000-0005-0000-0000-00001B770000}"/>
    <cellStyle name="Input 16 2" xfId="32774" xr:uid="{00000000-0005-0000-0000-00001C770000}"/>
    <cellStyle name="Input 17" xfId="20886" xr:uid="{00000000-0005-0000-0000-00001D770000}"/>
    <cellStyle name="Input 17 2" xfId="40233" xr:uid="{00000000-0005-0000-0000-00001E770000}"/>
    <cellStyle name="Input 2" xfId="2083" xr:uid="{00000000-0005-0000-0000-00001F770000}"/>
    <cellStyle name="Input 2 2" xfId="4117" xr:uid="{00000000-0005-0000-0000-000020770000}"/>
    <cellStyle name="Input 2 2 2" xfId="13577" xr:uid="{00000000-0005-0000-0000-000021770000}"/>
    <cellStyle name="Input 2 2 2 2" xfId="13876" xr:uid="{00000000-0005-0000-0000-000022770000}"/>
    <cellStyle name="Input 2 2 2 2 2" xfId="14671" xr:uid="{00000000-0005-0000-0000-000023770000}"/>
    <cellStyle name="Input 2 2 2 2 2 2" xfId="17152" xr:uid="{00000000-0005-0000-0000-000024770000}"/>
    <cellStyle name="Input 2 2 2 2 2 2 2" xfId="36506" xr:uid="{00000000-0005-0000-0000-000025770000}"/>
    <cellStyle name="Input 2 2 2 2 2 3" xfId="19583" xr:uid="{00000000-0005-0000-0000-000026770000}"/>
    <cellStyle name="Input 2 2 2 2 2 3 2" xfId="38936" xr:uid="{00000000-0005-0000-0000-000027770000}"/>
    <cellStyle name="Input 2 2 2 2 2 4" xfId="22091" xr:uid="{00000000-0005-0000-0000-000028770000}"/>
    <cellStyle name="Input 2 2 2 2 2 4 2" xfId="41433" xr:uid="{00000000-0005-0000-0000-000029770000}"/>
    <cellStyle name="Input 2 2 2 2 2 5" xfId="34032" xr:uid="{00000000-0005-0000-0000-00002A770000}"/>
    <cellStyle name="Input 2 2 2 2 3" xfId="15223" xr:uid="{00000000-0005-0000-0000-00002B770000}"/>
    <cellStyle name="Input 2 2 2 2 3 2" xfId="17699" xr:uid="{00000000-0005-0000-0000-00002C770000}"/>
    <cellStyle name="Input 2 2 2 2 3 2 2" xfId="37053" xr:uid="{00000000-0005-0000-0000-00002D770000}"/>
    <cellStyle name="Input 2 2 2 2 3 3" xfId="20130" xr:uid="{00000000-0005-0000-0000-00002E770000}"/>
    <cellStyle name="Input 2 2 2 2 3 3 2" xfId="39483" xr:uid="{00000000-0005-0000-0000-00002F770000}"/>
    <cellStyle name="Input 2 2 2 2 3 4" xfId="22643" xr:uid="{00000000-0005-0000-0000-000030770000}"/>
    <cellStyle name="Input 2 2 2 2 3 4 2" xfId="41985" xr:uid="{00000000-0005-0000-0000-000031770000}"/>
    <cellStyle name="Input 2 2 2 2 3 5" xfId="34584" xr:uid="{00000000-0005-0000-0000-000032770000}"/>
    <cellStyle name="Input 2 2 2 2 4" xfId="15693" xr:uid="{00000000-0005-0000-0000-000033770000}"/>
    <cellStyle name="Input 2 2 2 2 4 2" xfId="18169" xr:uid="{00000000-0005-0000-0000-000034770000}"/>
    <cellStyle name="Input 2 2 2 2 4 2 2" xfId="37523" xr:uid="{00000000-0005-0000-0000-000035770000}"/>
    <cellStyle name="Input 2 2 2 2 4 3" xfId="20600" xr:uid="{00000000-0005-0000-0000-000036770000}"/>
    <cellStyle name="Input 2 2 2 2 4 3 2" xfId="39953" xr:uid="{00000000-0005-0000-0000-000037770000}"/>
    <cellStyle name="Input 2 2 2 2 4 4" xfId="23113" xr:uid="{00000000-0005-0000-0000-000038770000}"/>
    <cellStyle name="Input 2 2 2 2 4 4 2" xfId="42455" xr:uid="{00000000-0005-0000-0000-000039770000}"/>
    <cellStyle name="Input 2 2 2 2 4 5" xfId="35054" xr:uid="{00000000-0005-0000-0000-00003A770000}"/>
    <cellStyle name="Input 2 2 2 2 5" xfId="16385" xr:uid="{00000000-0005-0000-0000-00003B770000}"/>
    <cellStyle name="Input 2 2 2 2 5 2" xfId="35739" xr:uid="{00000000-0005-0000-0000-00003C770000}"/>
    <cellStyle name="Input 2 2 2 2 6" xfId="18816" xr:uid="{00000000-0005-0000-0000-00003D770000}"/>
    <cellStyle name="Input 2 2 2 2 6 2" xfId="38169" xr:uid="{00000000-0005-0000-0000-00003E770000}"/>
    <cellStyle name="Input 2 2 2 2 7" xfId="21299" xr:uid="{00000000-0005-0000-0000-00003F770000}"/>
    <cellStyle name="Input 2 2 2 2 7 2" xfId="40641" xr:uid="{00000000-0005-0000-0000-000040770000}"/>
    <cellStyle name="Input 2 2 2 2 8" xfId="33240" xr:uid="{00000000-0005-0000-0000-000041770000}"/>
    <cellStyle name="Input 2 2 2 3" xfId="14094" xr:uid="{00000000-0005-0000-0000-000042770000}"/>
    <cellStyle name="Input 2 2 2 3 2" xfId="14875" xr:uid="{00000000-0005-0000-0000-000043770000}"/>
    <cellStyle name="Input 2 2 2 3 2 2" xfId="17353" xr:uid="{00000000-0005-0000-0000-000044770000}"/>
    <cellStyle name="Input 2 2 2 3 2 2 2" xfId="36707" xr:uid="{00000000-0005-0000-0000-000045770000}"/>
    <cellStyle name="Input 2 2 2 3 2 3" xfId="19784" xr:uid="{00000000-0005-0000-0000-000046770000}"/>
    <cellStyle name="Input 2 2 2 3 2 3 2" xfId="39137" xr:uid="{00000000-0005-0000-0000-000047770000}"/>
    <cellStyle name="Input 2 2 2 3 2 4" xfId="22295" xr:uid="{00000000-0005-0000-0000-000048770000}"/>
    <cellStyle name="Input 2 2 2 3 2 4 2" xfId="41637" xr:uid="{00000000-0005-0000-0000-000049770000}"/>
    <cellStyle name="Input 2 2 2 3 2 5" xfId="34236" xr:uid="{00000000-0005-0000-0000-00004A770000}"/>
    <cellStyle name="Input 2 2 2 3 3" xfId="15422" xr:uid="{00000000-0005-0000-0000-00004B770000}"/>
    <cellStyle name="Input 2 2 2 3 3 2" xfId="17898" xr:uid="{00000000-0005-0000-0000-00004C770000}"/>
    <cellStyle name="Input 2 2 2 3 3 2 2" xfId="37252" xr:uid="{00000000-0005-0000-0000-00004D770000}"/>
    <cellStyle name="Input 2 2 2 3 3 3" xfId="20329" xr:uid="{00000000-0005-0000-0000-00004E770000}"/>
    <cellStyle name="Input 2 2 2 3 3 3 2" xfId="39682" xr:uid="{00000000-0005-0000-0000-00004F770000}"/>
    <cellStyle name="Input 2 2 2 3 3 4" xfId="22842" xr:uid="{00000000-0005-0000-0000-000050770000}"/>
    <cellStyle name="Input 2 2 2 3 3 4 2" xfId="42184" xr:uid="{00000000-0005-0000-0000-000051770000}"/>
    <cellStyle name="Input 2 2 2 3 3 5" xfId="34783" xr:uid="{00000000-0005-0000-0000-000052770000}"/>
    <cellStyle name="Input 2 2 2 3 4" xfId="15881" xr:uid="{00000000-0005-0000-0000-000053770000}"/>
    <cellStyle name="Input 2 2 2 3 4 2" xfId="18357" xr:uid="{00000000-0005-0000-0000-000054770000}"/>
    <cellStyle name="Input 2 2 2 3 4 2 2" xfId="37711" xr:uid="{00000000-0005-0000-0000-000055770000}"/>
    <cellStyle name="Input 2 2 2 3 4 3" xfId="20788" xr:uid="{00000000-0005-0000-0000-000056770000}"/>
    <cellStyle name="Input 2 2 2 3 4 3 2" xfId="40141" xr:uid="{00000000-0005-0000-0000-000057770000}"/>
    <cellStyle name="Input 2 2 2 3 4 4" xfId="23301" xr:uid="{00000000-0005-0000-0000-000058770000}"/>
    <cellStyle name="Input 2 2 2 3 4 4 2" xfId="42643" xr:uid="{00000000-0005-0000-0000-000059770000}"/>
    <cellStyle name="Input 2 2 2 3 4 5" xfId="35242" xr:uid="{00000000-0005-0000-0000-00005A770000}"/>
    <cellStyle name="Input 2 2 2 3 5" xfId="16600" xr:uid="{00000000-0005-0000-0000-00005B770000}"/>
    <cellStyle name="Input 2 2 2 3 5 2" xfId="35954" xr:uid="{00000000-0005-0000-0000-00005C770000}"/>
    <cellStyle name="Input 2 2 2 3 6" xfId="19031" xr:uid="{00000000-0005-0000-0000-00005D770000}"/>
    <cellStyle name="Input 2 2 2 3 6 2" xfId="38384" xr:uid="{00000000-0005-0000-0000-00005E770000}"/>
    <cellStyle name="Input 2 2 2 3 7" xfId="21517" xr:uid="{00000000-0005-0000-0000-00005F770000}"/>
    <cellStyle name="Input 2 2 2 3 7 2" xfId="40859" xr:uid="{00000000-0005-0000-0000-000060770000}"/>
    <cellStyle name="Input 2 2 2 3 8" xfId="33458" xr:uid="{00000000-0005-0000-0000-000061770000}"/>
    <cellStyle name="Input 2 2 2 4" xfId="14386" xr:uid="{00000000-0005-0000-0000-000062770000}"/>
    <cellStyle name="Input 2 2 2 4 2" xfId="16879" xr:uid="{00000000-0005-0000-0000-000063770000}"/>
    <cellStyle name="Input 2 2 2 4 2 2" xfId="36233" xr:uid="{00000000-0005-0000-0000-000064770000}"/>
    <cellStyle name="Input 2 2 2 4 3" xfId="19310" xr:uid="{00000000-0005-0000-0000-000065770000}"/>
    <cellStyle name="Input 2 2 2 4 3 2" xfId="38663" xr:uid="{00000000-0005-0000-0000-000066770000}"/>
    <cellStyle name="Input 2 2 2 4 4" xfId="21806" xr:uid="{00000000-0005-0000-0000-000067770000}"/>
    <cellStyle name="Input 2 2 2 4 4 2" xfId="41148" xr:uid="{00000000-0005-0000-0000-000068770000}"/>
    <cellStyle name="Input 2 2 2 4 5" xfId="33747" xr:uid="{00000000-0005-0000-0000-000069770000}"/>
    <cellStyle name="Input 2 2 2 5" xfId="15019" xr:uid="{00000000-0005-0000-0000-00006A770000}"/>
    <cellStyle name="Input 2 2 2 5 2" xfId="17495" xr:uid="{00000000-0005-0000-0000-00006B770000}"/>
    <cellStyle name="Input 2 2 2 5 2 2" xfId="36849" xr:uid="{00000000-0005-0000-0000-00006C770000}"/>
    <cellStyle name="Input 2 2 2 5 3" xfId="19926" xr:uid="{00000000-0005-0000-0000-00006D770000}"/>
    <cellStyle name="Input 2 2 2 5 3 2" xfId="39279" xr:uid="{00000000-0005-0000-0000-00006E770000}"/>
    <cellStyle name="Input 2 2 2 5 4" xfId="22439" xr:uid="{00000000-0005-0000-0000-00006F770000}"/>
    <cellStyle name="Input 2 2 2 5 4 2" xfId="41781" xr:uid="{00000000-0005-0000-0000-000070770000}"/>
    <cellStyle name="Input 2 2 2 5 5" xfId="34380" xr:uid="{00000000-0005-0000-0000-000071770000}"/>
    <cellStyle name="Input 2 2 2 6" xfId="18529" xr:uid="{00000000-0005-0000-0000-000072770000}"/>
    <cellStyle name="Input 2 2 2 6 2" xfId="37882" xr:uid="{00000000-0005-0000-0000-000073770000}"/>
    <cellStyle name="Input 2 2 2 7" xfId="21030" xr:uid="{00000000-0005-0000-0000-000074770000}"/>
    <cellStyle name="Input 2 2 2 7 2" xfId="40372" xr:uid="{00000000-0005-0000-0000-000075770000}"/>
    <cellStyle name="Input 2 2 2 8" xfId="32943" xr:uid="{00000000-0005-0000-0000-000076770000}"/>
    <cellStyle name="Input 2 2 3" xfId="13645" xr:uid="{00000000-0005-0000-0000-000077770000}"/>
    <cellStyle name="Input 2 2 3 2" xfId="13943" xr:uid="{00000000-0005-0000-0000-000078770000}"/>
    <cellStyle name="Input 2 2 3 2 2" xfId="14738" xr:uid="{00000000-0005-0000-0000-000079770000}"/>
    <cellStyle name="Input 2 2 3 2 2 2" xfId="17216" xr:uid="{00000000-0005-0000-0000-00007A770000}"/>
    <cellStyle name="Input 2 2 3 2 2 2 2" xfId="36570" xr:uid="{00000000-0005-0000-0000-00007B770000}"/>
    <cellStyle name="Input 2 2 3 2 2 3" xfId="19647" xr:uid="{00000000-0005-0000-0000-00007C770000}"/>
    <cellStyle name="Input 2 2 3 2 2 3 2" xfId="39000" xr:uid="{00000000-0005-0000-0000-00007D770000}"/>
    <cellStyle name="Input 2 2 3 2 2 4" xfId="22158" xr:uid="{00000000-0005-0000-0000-00007E770000}"/>
    <cellStyle name="Input 2 2 3 2 2 4 2" xfId="41500" xr:uid="{00000000-0005-0000-0000-00007F770000}"/>
    <cellStyle name="Input 2 2 3 2 2 5" xfId="34099" xr:uid="{00000000-0005-0000-0000-000080770000}"/>
    <cellStyle name="Input 2 2 3 2 3" xfId="15286" xr:uid="{00000000-0005-0000-0000-000081770000}"/>
    <cellStyle name="Input 2 2 3 2 3 2" xfId="17762" xr:uid="{00000000-0005-0000-0000-000082770000}"/>
    <cellStyle name="Input 2 2 3 2 3 2 2" xfId="37116" xr:uid="{00000000-0005-0000-0000-000083770000}"/>
    <cellStyle name="Input 2 2 3 2 3 3" xfId="20193" xr:uid="{00000000-0005-0000-0000-000084770000}"/>
    <cellStyle name="Input 2 2 3 2 3 3 2" xfId="39546" xr:uid="{00000000-0005-0000-0000-000085770000}"/>
    <cellStyle name="Input 2 2 3 2 3 4" xfId="22706" xr:uid="{00000000-0005-0000-0000-000086770000}"/>
    <cellStyle name="Input 2 2 3 2 3 4 2" xfId="42048" xr:uid="{00000000-0005-0000-0000-000087770000}"/>
    <cellStyle name="Input 2 2 3 2 3 5" xfId="34647" xr:uid="{00000000-0005-0000-0000-000088770000}"/>
    <cellStyle name="Input 2 2 3 2 4" xfId="15745" xr:uid="{00000000-0005-0000-0000-000089770000}"/>
    <cellStyle name="Input 2 2 3 2 4 2" xfId="18221" xr:uid="{00000000-0005-0000-0000-00008A770000}"/>
    <cellStyle name="Input 2 2 3 2 4 2 2" xfId="37575" xr:uid="{00000000-0005-0000-0000-00008B770000}"/>
    <cellStyle name="Input 2 2 3 2 4 3" xfId="20652" xr:uid="{00000000-0005-0000-0000-00008C770000}"/>
    <cellStyle name="Input 2 2 3 2 4 3 2" xfId="40005" xr:uid="{00000000-0005-0000-0000-00008D770000}"/>
    <cellStyle name="Input 2 2 3 2 4 4" xfId="23165" xr:uid="{00000000-0005-0000-0000-00008E770000}"/>
    <cellStyle name="Input 2 2 3 2 4 4 2" xfId="42507" xr:uid="{00000000-0005-0000-0000-00008F770000}"/>
    <cellStyle name="Input 2 2 3 2 4 5" xfId="35106" xr:uid="{00000000-0005-0000-0000-000090770000}"/>
    <cellStyle name="Input 2 2 3 2 5" xfId="16449" xr:uid="{00000000-0005-0000-0000-000091770000}"/>
    <cellStyle name="Input 2 2 3 2 5 2" xfId="35803" xr:uid="{00000000-0005-0000-0000-000092770000}"/>
    <cellStyle name="Input 2 2 3 2 6" xfId="18880" xr:uid="{00000000-0005-0000-0000-000093770000}"/>
    <cellStyle name="Input 2 2 3 2 6 2" xfId="38233" xr:uid="{00000000-0005-0000-0000-000094770000}"/>
    <cellStyle name="Input 2 2 3 2 7" xfId="21366" xr:uid="{00000000-0005-0000-0000-000095770000}"/>
    <cellStyle name="Input 2 2 3 2 7 2" xfId="40708" xr:uid="{00000000-0005-0000-0000-000096770000}"/>
    <cellStyle name="Input 2 2 3 2 8" xfId="33307" xr:uid="{00000000-0005-0000-0000-000097770000}"/>
    <cellStyle name="Input 2 2 3 3" xfId="14157" xr:uid="{00000000-0005-0000-0000-000098770000}"/>
    <cellStyle name="Input 2 2 3 3 2" xfId="14934" xr:uid="{00000000-0005-0000-0000-000099770000}"/>
    <cellStyle name="Input 2 2 3 3 2 2" xfId="17412" xr:uid="{00000000-0005-0000-0000-00009A770000}"/>
    <cellStyle name="Input 2 2 3 3 2 2 2" xfId="36766" xr:uid="{00000000-0005-0000-0000-00009B770000}"/>
    <cellStyle name="Input 2 2 3 3 2 3" xfId="19843" xr:uid="{00000000-0005-0000-0000-00009C770000}"/>
    <cellStyle name="Input 2 2 3 3 2 3 2" xfId="39196" xr:uid="{00000000-0005-0000-0000-00009D770000}"/>
    <cellStyle name="Input 2 2 3 3 2 4" xfId="22354" xr:uid="{00000000-0005-0000-0000-00009E770000}"/>
    <cellStyle name="Input 2 2 3 3 2 4 2" xfId="41696" xr:uid="{00000000-0005-0000-0000-00009F770000}"/>
    <cellStyle name="Input 2 2 3 3 2 5" xfId="34295" xr:uid="{00000000-0005-0000-0000-0000A0770000}"/>
    <cellStyle name="Input 2 2 3 3 3" xfId="15480" xr:uid="{00000000-0005-0000-0000-0000A1770000}"/>
    <cellStyle name="Input 2 2 3 3 3 2" xfId="17956" xr:uid="{00000000-0005-0000-0000-0000A2770000}"/>
    <cellStyle name="Input 2 2 3 3 3 2 2" xfId="37310" xr:uid="{00000000-0005-0000-0000-0000A3770000}"/>
    <cellStyle name="Input 2 2 3 3 3 3" xfId="20387" xr:uid="{00000000-0005-0000-0000-0000A4770000}"/>
    <cellStyle name="Input 2 2 3 3 3 3 2" xfId="39740" xr:uid="{00000000-0005-0000-0000-0000A5770000}"/>
    <cellStyle name="Input 2 2 3 3 3 4" xfId="22900" xr:uid="{00000000-0005-0000-0000-0000A6770000}"/>
    <cellStyle name="Input 2 2 3 3 3 4 2" xfId="42242" xr:uid="{00000000-0005-0000-0000-0000A7770000}"/>
    <cellStyle name="Input 2 2 3 3 3 5" xfId="34841" xr:uid="{00000000-0005-0000-0000-0000A8770000}"/>
    <cellStyle name="Input 2 2 3 3 4" xfId="15939" xr:uid="{00000000-0005-0000-0000-0000A9770000}"/>
    <cellStyle name="Input 2 2 3 3 4 2" xfId="18415" xr:uid="{00000000-0005-0000-0000-0000AA770000}"/>
    <cellStyle name="Input 2 2 3 3 4 2 2" xfId="37769" xr:uid="{00000000-0005-0000-0000-0000AB770000}"/>
    <cellStyle name="Input 2 2 3 3 4 3" xfId="20846" xr:uid="{00000000-0005-0000-0000-0000AC770000}"/>
    <cellStyle name="Input 2 2 3 3 4 3 2" xfId="40199" xr:uid="{00000000-0005-0000-0000-0000AD770000}"/>
    <cellStyle name="Input 2 2 3 3 4 4" xfId="23359" xr:uid="{00000000-0005-0000-0000-0000AE770000}"/>
    <cellStyle name="Input 2 2 3 3 4 4 2" xfId="42701" xr:uid="{00000000-0005-0000-0000-0000AF770000}"/>
    <cellStyle name="Input 2 2 3 3 4 5" xfId="35300" xr:uid="{00000000-0005-0000-0000-0000B0770000}"/>
    <cellStyle name="Input 2 2 3 3 5" xfId="16663" xr:uid="{00000000-0005-0000-0000-0000B1770000}"/>
    <cellStyle name="Input 2 2 3 3 5 2" xfId="36017" xr:uid="{00000000-0005-0000-0000-0000B2770000}"/>
    <cellStyle name="Input 2 2 3 3 6" xfId="19094" xr:uid="{00000000-0005-0000-0000-0000B3770000}"/>
    <cellStyle name="Input 2 2 3 3 6 2" xfId="38447" xr:uid="{00000000-0005-0000-0000-0000B4770000}"/>
    <cellStyle name="Input 2 2 3 3 7" xfId="21580" xr:uid="{00000000-0005-0000-0000-0000B5770000}"/>
    <cellStyle name="Input 2 2 3 3 7 2" xfId="40922" xr:uid="{00000000-0005-0000-0000-0000B6770000}"/>
    <cellStyle name="Input 2 2 3 3 8" xfId="33521" xr:uid="{00000000-0005-0000-0000-0000B7770000}"/>
    <cellStyle name="Input 2 2 3 4" xfId="14453" xr:uid="{00000000-0005-0000-0000-0000B8770000}"/>
    <cellStyle name="Input 2 2 3 4 2" xfId="16943" xr:uid="{00000000-0005-0000-0000-0000B9770000}"/>
    <cellStyle name="Input 2 2 3 4 2 2" xfId="36297" xr:uid="{00000000-0005-0000-0000-0000BA770000}"/>
    <cellStyle name="Input 2 2 3 4 3" xfId="19374" xr:uid="{00000000-0005-0000-0000-0000BB770000}"/>
    <cellStyle name="Input 2 2 3 4 3 2" xfId="38727" xr:uid="{00000000-0005-0000-0000-0000BC770000}"/>
    <cellStyle name="Input 2 2 3 4 4" xfId="21873" xr:uid="{00000000-0005-0000-0000-0000BD770000}"/>
    <cellStyle name="Input 2 2 3 4 4 2" xfId="41215" xr:uid="{00000000-0005-0000-0000-0000BE770000}"/>
    <cellStyle name="Input 2 2 3 4 5" xfId="33814" xr:uid="{00000000-0005-0000-0000-0000BF770000}"/>
    <cellStyle name="Input 2 2 3 5" xfId="16165" xr:uid="{00000000-0005-0000-0000-0000C0770000}"/>
    <cellStyle name="Input 2 2 3 5 2" xfId="35519" xr:uid="{00000000-0005-0000-0000-0000C1770000}"/>
    <cellStyle name="Input 2 2 3 6" xfId="18596" xr:uid="{00000000-0005-0000-0000-0000C2770000}"/>
    <cellStyle name="Input 2 2 3 6 2" xfId="37949" xr:uid="{00000000-0005-0000-0000-0000C3770000}"/>
    <cellStyle name="Input 2 2 3 7" xfId="21070" xr:uid="{00000000-0005-0000-0000-0000C4770000}"/>
    <cellStyle name="Input 2 2 3 7 2" xfId="40412" xr:uid="{00000000-0005-0000-0000-0000C5770000}"/>
    <cellStyle name="Input 2 2 3 8" xfId="33011" xr:uid="{00000000-0005-0000-0000-0000C6770000}"/>
    <cellStyle name="Input 2 2 4" xfId="13993" xr:uid="{00000000-0005-0000-0000-0000C7770000}"/>
    <cellStyle name="Input 2 2 4 2" xfId="14788" xr:uid="{00000000-0005-0000-0000-0000C8770000}"/>
    <cellStyle name="Input 2 2 4 2 2" xfId="17266" xr:uid="{00000000-0005-0000-0000-0000C9770000}"/>
    <cellStyle name="Input 2 2 4 2 2 2" xfId="36620" xr:uid="{00000000-0005-0000-0000-0000CA770000}"/>
    <cellStyle name="Input 2 2 4 2 3" xfId="19697" xr:uid="{00000000-0005-0000-0000-0000CB770000}"/>
    <cellStyle name="Input 2 2 4 2 3 2" xfId="39050" xr:uid="{00000000-0005-0000-0000-0000CC770000}"/>
    <cellStyle name="Input 2 2 4 2 4" xfId="22208" xr:uid="{00000000-0005-0000-0000-0000CD770000}"/>
    <cellStyle name="Input 2 2 4 2 4 2" xfId="41550" xr:uid="{00000000-0005-0000-0000-0000CE770000}"/>
    <cellStyle name="Input 2 2 4 2 5" xfId="34149" xr:uid="{00000000-0005-0000-0000-0000CF770000}"/>
    <cellStyle name="Input 2 2 4 3" xfId="15336" xr:uid="{00000000-0005-0000-0000-0000D0770000}"/>
    <cellStyle name="Input 2 2 4 3 2" xfId="17812" xr:uid="{00000000-0005-0000-0000-0000D1770000}"/>
    <cellStyle name="Input 2 2 4 3 2 2" xfId="37166" xr:uid="{00000000-0005-0000-0000-0000D2770000}"/>
    <cellStyle name="Input 2 2 4 3 3" xfId="20243" xr:uid="{00000000-0005-0000-0000-0000D3770000}"/>
    <cellStyle name="Input 2 2 4 3 3 2" xfId="39596" xr:uid="{00000000-0005-0000-0000-0000D4770000}"/>
    <cellStyle name="Input 2 2 4 3 4" xfId="22756" xr:uid="{00000000-0005-0000-0000-0000D5770000}"/>
    <cellStyle name="Input 2 2 4 3 4 2" xfId="42098" xr:uid="{00000000-0005-0000-0000-0000D6770000}"/>
    <cellStyle name="Input 2 2 4 3 5" xfId="34697" xr:uid="{00000000-0005-0000-0000-0000D7770000}"/>
    <cellStyle name="Input 2 2 4 4" xfId="15795" xr:uid="{00000000-0005-0000-0000-0000D8770000}"/>
    <cellStyle name="Input 2 2 4 4 2" xfId="18271" xr:uid="{00000000-0005-0000-0000-0000D9770000}"/>
    <cellStyle name="Input 2 2 4 4 2 2" xfId="37625" xr:uid="{00000000-0005-0000-0000-0000DA770000}"/>
    <cellStyle name="Input 2 2 4 4 3" xfId="20702" xr:uid="{00000000-0005-0000-0000-0000DB770000}"/>
    <cellStyle name="Input 2 2 4 4 3 2" xfId="40055" xr:uid="{00000000-0005-0000-0000-0000DC770000}"/>
    <cellStyle name="Input 2 2 4 4 4" xfId="23215" xr:uid="{00000000-0005-0000-0000-0000DD770000}"/>
    <cellStyle name="Input 2 2 4 4 4 2" xfId="42557" xr:uid="{00000000-0005-0000-0000-0000DE770000}"/>
    <cellStyle name="Input 2 2 4 4 5" xfId="35156" xr:uid="{00000000-0005-0000-0000-0000DF770000}"/>
    <cellStyle name="Input 2 2 4 5" xfId="16499" xr:uid="{00000000-0005-0000-0000-0000E0770000}"/>
    <cellStyle name="Input 2 2 4 5 2" xfId="35853" xr:uid="{00000000-0005-0000-0000-0000E1770000}"/>
    <cellStyle name="Input 2 2 4 6" xfId="18930" xr:uid="{00000000-0005-0000-0000-0000E2770000}"/>
    <cellStyle name="Input 2 2 4 6 2" xfId="38283" xr:uid="{00000000-0005-0000-0000-0000E3770000}"/>
    <cellStyle name="Input 2 2 4 7" xfId="21416" xr:uid="{00000000-0005-0000-0000-0000E4770000}"/>
    <cellStyle name="Input 2 2 4 7 2" xfId="40758" xr:uid="{00000000-0005-0000-0000-0000E5770000}"/>
    <cellStyle name="Input 2 2 4 8" xfId="33357" xr:uid="{00000000-0005-0000-0000-0000E6770000}"/>
    <cellStyle name="Input 2 2 5" xfId="13450" xr:uid="{00000000-0005-0000-0000-0000E7770000}"/>
    <cellStyle name="Input 2 2 5 2" xfId="32829" xr:uid="{00000000-0005-0000-0000-0000E8770000}"/>
    <cellStyle name="Input 2 2 6" xfId="16020" xr:uid="{00000000-0005-0000-0000-0000E9770000}"/>
    <cellStyle name="Input 2 2 6 2" xfId="35374" xr:uid="{00000000-0005-0000-0000-0000EA770000}"/>
    <cellStyle name="Input 2 2 7" xfId="13196" xr:uid="{00000000-0005-0000-0000-0000EB770000}"/>
    <cellStyle name="Input 2 2 7 2" xfId="32664" xr:uid="{00000000-0005-0000-0000-0000EC770000}"/>
    <cellStyle name="Input 2 2 8" xfId="20950" xr:uid="{00000000-0005-0000-0000-0000ED770000}"/>
    <cellStyle name="Input 2 2 8 2" xfId="40292" xr:uid="{00000000-0005-0000-0000-0000EE770000}"/>
    <cellStyle name="Input 2 3" xfId="13440" xr:uid="{00000000-0005-0000-0000-0000EF770000}"/>
    <cellStyle name="Input 2 3 10" xfId="32819" xr:uid="{00000000-0005-0000-0000-0000F0770000}"/>
    <cellStyle name="Input 2 3 2" xfId="13567" xr:uid="{00000000-0005-0000-0000-0000F1770000}"/>
    <cellStyle name="Input 2 3 2 2" xfId="13866" xr:uid="{00000000-0005-0000-0000-0000F2770000}"/>
    <cellStyle name="Input 2 3 2 2 2" xfId="14661" xr:uid="{00000000-0005-0000-0000-0000F3770000}"/>
    <cellStyle name="Input 2 3 2 2 2 2" xfId="17142" xr:uid="{00000000-0005-0000-0000-0000F4770000}"/>
    <cellStyle name="Input 2 3 2 2 2 2 2" xfId="36496" xr:uid="{00000000-0005-0000-0000-0000F5770000}"/>
    <cellStyle name="Input 2 3 2 2 2 3" xfId="19573" xr:uid="{00000000-0005-0000-0000-0000F6770000}"/>
    <cellStyle name="Input 2 3 2 2 2 3 2" xfId="38926" xr:uid="{00000000-0005-0000-0000-0000F7770000}"/>
    <cellStyle name="Input 2 3 2 2 2 4" xfId="22081" xr:uid="{00000000-0005-0000-0000-0000F8770000}"/>
    <cellStyle name="Input 2 3 2 2 2 4 2" xfId="41423" xr:uid="{00000000-0005-0000-0000-0000F9770000}"/>
    <cellStyle name="Input 2 3 2 2 2 5" xfId="34022" xr:uid="{00000000-0005-0000-0000-0000FA770000}"/>
    <cellStyle name="Input 2 3 2 2 3" xfId="15213" xr:uid="{00000000-0005-0000-0000-0000FB770000}"/>
    <cellStyle name="Input 2 3 2 2 3 2" xfId="17689" xr:uid="{00000000-0005-0000-0000-0000FC770000}"/>
    <cellStyle name="Input 2 3 2 2 3 2 2" xfId="37043" xr:uid="{00000000-0005-0000-0000-0000FD770000}"/>
    <cellStyle name="Input 2 3 2 2 3 3" xfId="20120" xr:uid="{00000000-0005-0000-0000-0000FE770000}"/>
    <cellStyle name="Input 2 3 2 2 3 3 2" xfId="39473" xr:uid="{00000000-0005-0000-0000-0000FF770000}"/>
    <cellStyle name="Input 2 3 2 2 3 4" xfId="22633" xr:uid="{00000000-0005-0000-0000-000000780000}"/>
    <cellStyle name="Input 2 3 2 2 3 4 2" xfId="41975" xr:uid="{00000000-0005-0000-0000-000001780000}"/>
    <cellStyle name="Input 2 3 2 2 3 5" xfId="34574" xr:uid="{00000000-0005-0000-0000-000002780000}"/>
    <cellStyle name="Input 2 3 2 2 4" xfId="15683" xr:uid="{00000000-0005-0000-0000-000003780000}"/>
    <cellStyle name="Input 2 3 2 2 4 2" xfId="18159" xr:uid="{00000000-0005-0000-0000-000004780000}"/>
    <cellStyle name="Input 2 3 2 2 4 2 2" xfId="37513" xr:uid="{00000000-0005-0000-0000-000005780000}"/>
    <cellStyle name="Input 2 3 2 2 4 3" xfId="20590" xr:uid="{00000000-0005-0000-0000-000006780000}"/>
    <cellStyle name="Input 2 3 2 2 4 3 2" xfId="39943" xr:uid="{00000000-0005-0000-0000-000007780000}"/>
    <cellStyle name="Input 2 3 2 2 4 4" xfId="23103" xr:uid="{00000000-0005-0000-0000-000008780000}"/>
    <cellStyle name="Input 2 3 2 2 4 4 2" xfId="42445" xr:uid="{00000000-0005-0000-0000-000009780000}"/>
    <cellStyle name="Input 2 3 2 2 4 5" xfId="35044" xr:uid="{00000000-0005-0000-0000-00000A780000}"/>
    <cellStyle name="Input 2 3 2 2 5" xfId="16375" xr:uid="{00000000-0005-0000-0000-00000B780000}"/>
    <cellStyle name="Input 2 3 2 2 5 2" xfId="35729" xr:uid="{00000000-0005-0000-0000-00000C780000}"/>
    <cellStyle name="Input 2 3 2 2 6" xfId="18806" xr:uid="{00000000-0005-0000-0000-00000D780000}"/>
    <cellStyle name="Input 2 3 2 2 6 2" xfId="38159" xr:uid="{00000000-0005-0000-0000-00000E780000}"/>
    <cellStyle name="Input 2 3 2 2 7" xfId="21289" xr:uid="{00000000-0005-0000-0000-00000F780000}"/>
    <cellStyle name="Input 2 3 2 2 7 2" xfId="40631" xr:uid="{00000000-0005-0000-0000-000010780000}"/>
    <cellStyle name="Input 2 3 2 2 8" xfId="33230" xr:uid="{00000000-0005-0000-0000-000011780000}"/>
    <cellStyle name="Input 2 3 2 3" xfId="14084" xr:uid="{00000000-0005-0000-0000-000012780000}"/>
    <cellStyle name="Input 2 3 2 3 2" xfId="14871" xr:uid="{00000000-0005-0000-0000-000013780000}"/>
    <cellStyle name="Input 2 3 2 3 2 2" xfId="17349" xr:uid="{00000000-0005-0000-0000-000014780000}"/>
    <cellStyle name="Input 2 3 2 3 2 2 2" xfId="36703" xr:uid="{00000000-0005-0000-0000-000015780000}"/>
    <cellStyle name="Input 2 3 2 3 2 3" xfId="19780" xr:uid="{00000000-0005-0000-0000-000016780000}"/>
    <cellStyle name="Input 2 3 2 3 2 3 2" xfId="39133" xr:uid="{00000000-0005-0000-0000-000017780000}"/>
    <cellStyle name="Input 2 3 2 3 2 4" xfId="22291" xr:uid="{00000000-0005-0000-0000-000018780000}"/>
    <cellStyle name="Input 2 3 2 3 2 4 2" xfId="41633" xr:uid="{00000000-0005-0000-0000-000019780000}"/>
    <cellStyle name="Input 2 3 2 3 2 5" xfId="34232" xr:uid="{00000000-0005-0000-0000-00001A780000}"/>
    <cellStyle name="Input 2 3 2 3 3" xfId="15418" xr:uid="{00000000-0005-0000-0000-00001B780000}"/>
    <cellStyle name="Input 2 3 2 3 3 2" xfId="17894" xr:uid="{00000000-0005-0000-0000-00001C780000}"/>
    <cellStyle name="Input 2 3 2 3 3 2 2" xfId="37248" xr:uid="{00000000-0005-0000-0000-00001D780000}"/>
    <cellStyle name="Input 2 3 2 3 3 3" xfId="20325" xr:uid="{00000000-0005-0000-0000-00001E780000}"/>
    <cellStyle name="Input 2 3 2 3 3 3 2" xfId="39678" xr:uid="{00000000-0005-0000-0000-00001F780000}"/>
    <cellStyle name="Input 2 3 2 3 3 4" xfId="22838" xr:uid="{00000000-0005-0000-0000-000020780000}"/>
    <cellStyle name="Input 2 3 2 3 3 4 2" xfId="42180" xr:uid="{00000000-0005-0000-0000-000021780000}"/>
    <cellStyle name="Input 2 3 2 3 3 5" xfId="34779" xr:uid="{00000000-0005-0000-0000-000022780000}"/>
    <cellStyle name="Input 2 3 2 3 4" xfId="15877" xr:uid="{00000000-0005-0000-0000-000023780000}"/>
    <cellStyle name="Input 2 3 2 3 4 2" xfId="18353" xr:uid="{00000000-0005-0000-0000-000024780000}"/>
    <cellStyle name="Input 2 3 2 3 4 2 2" xfId="37707" xr:uid="{00000000-0005-0000-0000-000025780000}"/>
    <cellStyle name="Input 2 3 2 3 4 3" xfId="20784" xr:uid="{00000000-0005-0000-0000-000026780000}"/>
    <cellStyle name="Input 2 3 2 3 4 3 2" xfId="40137" xr:uid="{00000000-0005-0000-0000-000027780000}"/>
    <cellStyle name="Input 2 3 2 3 4 4" xfId="23297" xr:uid="{00000000-0005-0000-0000-000028780000}"/>
    <cellStyle name="Input 2 3 2 3 4 4 2" xfId="42639" xr:uid="{00000000-0005-0000-0000-000029780000}"/>
    <cellStyle name="Input 2 3 2 3 4 5" xfId="35238" xr:uid="{00000000-0005-0000-0000-00002A780000}"/>
    <cellStyle name="Input 2 3 2 3 5" xfId="16590" xr:uid="{00000000-0005-0000-0000-00002B780000}"/>
    <cellStyle name="Input 2 3 2 3 5 2" xfId="35944" xr:uid="{00000000-0005-0000-0000-00002C780000}"/>
    <cellStyle name="Input 2 3 2 3 6" xfId="19021" xr:uid="{00000000-0005-0000-0000-00002D780000}"/>
    <cellStyle name="Input 2 3 2 3 6 2" xfId="38374" xr:uid="{00000000-0005-0000-0000-00002E780000}"/>
    <cellStyle name="Input 2 3 2 3 7" xfId="21507" xr:uid="{00000000-0005-0000-0000-00002F780000}"/>
    <cellStyle name="Input 2 3 2 3 7 2" xfId="40849" xr:uid="{00000000-0005-0000-0000-000030780000}"/>
    <cellStyle name="Input 2 3 2 3 8" xfId="33448" xr:uid="{00000000-0005-0000-0000-000031780000}"/>
    <cellStyle name="Input 2 3 2 4" xfId="14379" xr:uid="{00000000-0005-0000-0000-000032780000}"/>
    <cellStyle name="Input 2 3 2 4 2" xfId="16872" xr:uid="{00000000-0005-0000-0000-000033780000}"/>
    <cellStyle name="Input 2 3 2 4 2 2" xfId="36226" xr:uid="{00000000-0005-0000-0000-000034780000}"/>
    <cellStyle name="Input 2 3 2 4 3" xfId="19303" xr:uid="{00000000-0005-0000-0000-000035780000}"/>
    <cellStyle name="Input 2 3 2 4 3 2" xfId="38656" xr:uid="{00000000-0005-0000-0000-000036780000}"/>
    <cellStyle name="Input 2 3 2 4 4" xfId="21799" xr:uid="{00000000-0005-0000-0000-000037780000}"/>
    <cellStyle name="Input 2 3 2 4 4 2" xfId="41141" xr:uid="{00000000-0005-0000-0000-000038780000}"/>
    <cellStyle name="Input 2 3 2 4 5" xfId="33740" xr:uid="{00000000-0005-0000-0000-000039780000}"/>
    <cellStyle name="Input 2 3 2 5" xfId="15010" xr:uid="{00000000-0005-0000-0000-00003A780000}"/>
    <cellStyle name="Input 2 3 2 5 2" xfId="17486" xr:uid="{00000000-0005-0000-0000-00003B780000}"/>
    <cellStyle name="Input 2 3 2 5 2 2" xfId="36840" xr:uid="{00000000-0005-0000-0000-00003C780000}"/>
    <cellStyle name="Input 2 3 2 5 3" xfId="19917" xr:uid="{00000000-0005-0000-0000-00003D780000}"/>
    <cellStyle name="Input 2 3 2 5 3 2" xfId="39270" xr:uid="{00000000-0005-0000-0000-00003E780000}"/>
    <cellStyle name="Input 2 3 2 5 4" xfId="22430" xr:uid="{00000000-0005-0000-0000-00003F780000}"/>
    <cellStyle name="Input 2 3 2 5 4 2" xfId="41772" xr:uid="{00000000-0005-0000-0000-000040780000}"/>
    <cellStyle name="Input 2 3 2 5 5" xfId="34371" xr:uid="{00000000-0005-0000-0000-000041780000}"/>
    <cellStyle name="Input 2 3 2 6" xfId="18522" xr:uid="{00000000-0005-0000-0000-000042780000}"/>
    <cellStyle name="Input 2 3 2 6 2" xfId="37875" xr:uid="{00000000-0005-0000-0000-000043780000}"/>
    <cellStyle name="Input 2 3 2 7" xfId="21028" xr:uid="{00000000-0005-0000-0000-000044780000}"/>
    <cellStyle name="Input 2 3 2 7 2" xfId="40370" xr:uid="{00000000-0005-0000-0000-000045780000}"/>
    <cellStyle name="Input 2 3 2 8" xfId="32936" xr:uid="{00000000-0005-0000-0000-000046780000}"/>
    <cellStyle name="Input 2 3 3" xfId="13636" xr:uid="{00000000-0005-0000-0000-000047780000}"/>
    <cellStyle name="Input 2 3 3 2" xfId="13936" xr:uid="{00000000-0005-0000-0000-000048780000}"/>
    <cellStyle name="Input 2 3 3 2 2" xfId="14731" xr:uid="{00000000-0005-0000-0000-000049780000}"/>
    <cellStyle name="Input 2 3 3 2 2 2" xfId="17209" xr:uid="{00000000-0005-0000-0000-00004A780000}"/>
    <cellStyle name="Input 2 3 3 2 2 2 2" xfId="36563" xr:uid="{00000000-0005-0000-0000-00004B780000}"/>
    <cellStyle name="Input 2 3 3 2 2 3" xfId="19640" xr:uid="{00000000-0005-0000-0000-00004C780000}"/>
    <cellStyle name="Input 2 3 3 2 2 3 2" xfId="38993" xr:uid="{00000000-0005-0000-0000-00004D780000}"/>
    <cellStyle name="Input 2 3 3 2 2 4" xfId="22151" xr:uid="{00000000-0005-0000-0000-00004E780000}"/>
    <cellStyle name="Input 2 3 3 2 2 4 2" xfId="41493" xr:uid="{00000000-0005-0000-0000-00004F780000}"/>
    <cellStyle name="Input 2 3 3 2 2 5" xfId="34092" xr:uid="{00000000-0005-0000-0000-000050780000}"/>
    <cellStyle name="Input 2 3 3 2 3" xfId="15279" xr:uid="{00000000-0005-0000-0000-000051780000}"/>
    <cellStyle name="Input 2 3 3 2 3 2" xfId="17755" xr:uid="{00000000-0005-0000-0000-000052780000}"/>
    <cellStyle name="Input 2 3 3 2 3 2 2" xfId="37109" xr:uid="{00000000-0005-0000-0000-000053780000}"/>
    <cellStyle name="Input 2 3 3 2 3 3" xfId="20186" xr:uid="{00000000-0005-0000-0000-000054780000}"/>
    <cellStyle name="Input 2 3 3 2 3 3 2" xfId="39539" xr:uid="{00000000-0005-0000-0000-000055780000}"/>
    <cellStyle name="Input 2 3 3 2 3 4" xfId="22699" xr:uid="{00000000-0005-0000-0000-000056780000}"/>
    <cellStyle name="Input 2 3 3 2 3 4 2" xfId="42041" xr:uid="{00000000-0005-0000-0000-000057780000}"/>
    <cellStyle name="Input 2 3 3 2 3 5" xfId="34640" xr:uid="{00000000-0005-0000-0000-000058780000}"/>
    <cellStyle name="Input 2 3 3 2 4" xfId="15738" xr:uid="{00000000-0005-0000-0000-000059780000}"/>
    <cellStyle name="Input 2 3 3 2 4 2" xfId="18214" xr:uid="{00000000-0005-0000-0000-00005A780000}"/>
    <cellStyle name="Input 2 3 3 2 4 2 2" xfId="37568" xr:uid="{00000000-0005-0000-0000-00005B780000}"/>
    <cellStyle name="Input 2 3 3 2 4 3" xfId="20645" xr:uid="{00000000-0005-0000-0000-00005C780000}"/>
    <cellStyle name="Input 2 3 3 2 4 3 2" xfId="39998" xr:uid="{00000000-0005-0000-0000-00005D780000}"/>
    <cellStyle name="Input 2 3 3 2 4 4" xfId="23158" xr:uid="{00000000-0005-0000-0000-00005E780000}"/>
    <cellStyle name="Input 2 3 3 2 4 4 2" xfId="42500" xr:uid="{00000000-0005-0000-0000-00005F780000}"/>
    <cellStyle name="Input 2 3 3 2 4 5" xfId="35099" xr:uid="{00000000-0005-0000-0000-000060780000}"/>
    <cellStyle name="Input 2 3 3 2 5" xfId="16442" xr:uid="{00000000-0005-0000-0000-000061780000}"/>
    <cellStyle name="Input 2 3 3 2 5 2" xfId="35796" xr:uid="{00000000-0005-0000-0000-000062780000}"/>
    <cellStyle name="Input 2 3 3 2 6" xfId="18873" xr:uid="{00000000-0005-0000-0000-000063780000}"/>
    <cellStyle name="Input 2 3 3 2 6 2" xfId="38226" xr:uid="{00000000-0005-0000-0000-000064780000}"/>
    <cellStyle name="Input 2 3 3 2 7" xfId="21359" xr:uid="{00000000-0005-0000-0000-000065780000}"/>
    <cellStyle name="Input 2 3 3 2 7 2" xfId="40701" xr:uid="{00000000-0005-0000-0000-000066780000}"/>
    <cellStyle name="Input 2 3 3 2 8" xfId="33300" xr:uid="{00000000-0005-0000-0000-000067780000}"/>
    <cellStyle name="Input 2 3 3 3" xfId="14150" xr:uid="{00000000-0005-0000-0000-000068780000}"/>
    <cellStyle name="Input 2 3 3 3 2" xfId="14927" xr:uid="{00000000-0005-0000-0000-000069780000}"/>
    <cellStyle name="Input 2 3 3 3 2 2" xfId="17405" xr:uid="{00000000-0005-0000-0000-00006A780000}"/>
    <cellStyle name="Input 2 3 3 3 2 2 2" xfId="36759" xr:uid="{00000000-0005-0000-0000-00006B780000}"/>
    <cellStyle name="Input 2 3 3 3 2 3" xfId="19836" xr:uid="{00000000-0005-0000-0000-00006C780000}"/>
    <cellStyle name="Input 2 3 3 3 2 3 2" xfId="39189" xr:uid="{00000000-0005-0000-0000-00006D780000}"/>
    <cellStyle name="Input 2 3 3 3 2 4" xfId="22347" xr:uid="{00000000-0005-0000-0000-00006E780000}"/>
    <cellStyle name="Input 2 3 3 3 2 4 2" xfId="41689" xr:uid="{00000000-0005-0000-0000-00006F780000}"/>
    <cellStyle name="Input 2 3 3 3 2 5" xfId="34288" xr:uid="{00000000-0005-0000-0000-000070780000}"/>
    <cellStyle name="Input 2 3 3 3 3" xfId="15473" xr:uid="{00000000-0005-0000-0000-000071780000}"/>
    <cellStyle name="Input 2 3 3 3 3 2" xfId="17949" xr:uid="{00000000-0005-0000-0000-000072780000}"/>
    <cellStyle name="Input 2 3 3 3 3 2 2" xfId="37303" xr:uid="{00000000-0005-0000-0000-000073780000}"/>
    <cellStyle name="Input 2 3 3 3 3 3" xfId="20380" xr:uid="{00000000-0005-0000-0000-000074780000}"/>
    <cellStyle name="Input 2 3 3 3 3 3 2" xfId="39733" xr:uid="{00000000-0005-0000-0000-000075780000}"/>
    <cellStyle name="Input 2 3 3 3 3 4" xfId="22893" xr:uid="{00000000-0005-0000-0000-000076780000}"/>
    <cellStyle name="Input 2 3 3 3 3 4 2" xfId="42235" xr:uid="{00000000-0005-0000-0000-000077780000}"/>
    <cellStyle name="Input 2 3 3 3 3 5" xfId="34834" xr:uid="{00000000-0005-0000-0000-000078780000}"/>
    <cellStyle name="Input 2 3 3 3 4" xfId="15932" xr:uid="{00000000-0005-0000-0000-000079780000}"/>
    <cellStyle name="Input 2 3 3 3 4 2" xfId="18408" xr:uid="{00000000-0005-0000-0000-00007A780000}"/>
    <cellStyle name="Input 2 3 3 3 4 2 2" xfId="37762" xr:uid="{00000000-0005-0000-0000-00007B780000}"/>
    <cellStyle name="Input 2 3 3 3 4 3" xfId="20839" xr:uid="{00000000-0005-0000-0000-00007C780000}"/>
    <cellStyle name="Input 2 3 3 3 4 3 2" xfId="40192" xr:uid="{00000000-0005-0000-0000-00007D780000}"/>
    <cellStyle name="Input 2 3 3 3 4 4" xfId="23352" xr:uid="{00000000-0005-0000-0000-00007E780000}"/>
    <cellStyle name="Input 2 3 3 3 4 4 2" xfId="42694" xr:uid="{00000000-0005-0000-0000-00007F780000}"/>
    <cellStyle name="Input 2 3 3 3 4 5" xfId="35293" xr:uid="{00000000-0005-0000-0000-000080780000}"/>
    <cellStyle name="Input 2 3 3 3 5" xfId="16656" xr:uid="{00000000-0005-0000-0000-000081780000}"/>
    <cellStyle name="Input 2 3 3 3 5 2" xfId="36010" xr:uid="{00000000-0005-0000-0000-000082780000}"/>
    <cellStyle name="Input 2 3 3 3 6" xfId="19087" xr:uid="{00000000-0005-0000-0000-000083780000}"/>
    <cellStyle name="Input 2 3 3 3 6 2" xfId="38440" xr:uid="{00000000-0005-0000-0000-000084780000}"/>
    <cellStyle name="Input 2 3 3 3 7" xfId="21573" xr:uid="{00000000-0005-0000-0000-000085780000}"/>
    <cellStyle name="Input 2 3 3 3 7 2" xfId="40915" xr:uid="{00000000-0005-0000-0000-000086780000}"/>
    <cellStyle name="Input 2 3 3 3 8" xfId="33514" xr:uid="{00000000-0005-0000-0000-000087780000}"/>
    <cellStyle name="Input 2 3 3 4" xfId="14446" xr:uid="{00000000-0005-0000-0000-000088780000}"/>
    <cellStyle name="Input 2 3 3 4 2" xfId="16936" xr:uid="{00000000-0005-0000-0000-000089780000}"/>
    <cellStyle name="Input 2 3 3 4 2 2" xfId="36290" xr:uid="{00000000-0005-0000-0000-00008A780000}"/>
    <cellStyle name="Input 2 3 3 4 3" xfId="19367" xr:uid="{00000000-0005-0000-0000-00008B780000}"/>
    <cellStyle name="Input 2 3 3 4 3 2" xfId="38720" xr:uid="{00000000-0005-0000-0000-00008C780000}"/>
    <cellStyle name="Input 2 3 3 4 4" xfId="21866" xr:uid="{00000000-0005-0000-0000-00008D780000}"/>
    <cellStyle name="Input 2 3 3 4 4 2" xfId="41208" xr:uid="{00000000-0005-0000-0000-00008E780000}"/>
    <cellStyle name="Input 2 3 3 4 5" xfId="33807" xr:uid="{00000000-0005-0000-0000-00008F780000}"/>
    <cellStyle name="Input 2 3 3 5" xfId="16156" xr:uid="{00000000-0005-0000-0000-000090780000}"/>
    <cellStyle name="Input 2 3 3 5 2" xfId="35510" xr:uid="{00000000-0005-0000-0000-000091780000}"/>
    <cellStyle name="Input 2 3 3 6" xfId="18587" xr:uid="{00000000-0005-0000-0000-000092780000}"/>
    <cellStyle name="Input 2 3 3 6 2" xfId="37940" xr:uid="{00000000-0005-0000-0000-000093780000}"/>
    <cellStyle name="Input 2 3 3 7" xfId="21061" xr:uid="{00000000-0005-0000-0000-000094780000}"/>
    <cellStyle name="Input 2 3 3 7 2" xfId="40403" xr:uid="{00000000-0005-0000-0000-000095780000}"/>
    <cellStyle name="Input 2 3 3 8" xfId="33002" xr:uid="{00000000-0005-0000-0000-000096780000}"/>
    <cellStyle name="Input 2 3 4" xfId="13769" xr:uid="{00000000-0005-0000-0000-000097780000}"/>
    <cellStyle name="Input 2 3 4 2" xfId="14568" xr:uid="{00000000-0005-0000-0000-000098780000}"/>
    <cellStyle name="Input 2 3 4 2 2" xfId="17055" xr:uid="{00000000-0005-0000-0000-000099780000}"/>
    <cellStyle name="Input 2 3 4 2 2 2" xfId="36409" xr:uid="{00000000-0005-0000-0000-00009A780000}"/>
    <cellStyle name="Input 2 3 4 2 3" xfId="19486" xr:uid="{00000000-0005-0000-0000-00009B780000}"/>
    <cellStyle name="Input 2 3 4 2 3 2" xfId="38839" xr:uid="{00000000-0005-0000-0000-00009C780000}"/>
    <cellStyle name="Input 2 3 4 2 4" xfId="21988" xr:uid="{00000000-0005-0000-0000-00009D780000}"/>
    <cellStyle name="Input 2 3 4 2 4 2" xfId="41330" xr:uid="{00000000-0005-0000-0000-00009E780000}"/>
    <cellStyle name="Input 2 3 4 2 5" xfId="33929" xr:uid="{00000000-0005-0000-0000-00009F780000}"/>
    <cellStyle name="Input 2 3 4 3" xfId="15129" xr:uid="{00000000-0005-0000-0000-0000A0780000}"/>
    <cellStyle name="Input 2 3 4 3 2" xfId="17605" xr:uid="{00000000-0005-0000-0000-0000A1780000}"/>
    <cellStyle name="Input 2 3 4 3 2 2" xfId="36959" xr:uid="{00000000-0005-0000-0000-0000A2780000}"/>
    <cellStyle name="Input 2 3 4 3 3" xfId="20036" xr:uid="{00000000-0005-0000-0000-0000A3780000}"/>
    <cellStyle name="Input 2 3 4 3 3 2" xfId="39389" xr:uid="{00000000-0005-0000-0000-0000A4780000}"/>
    <cellStyle name="Input 2 3 4 3 4" xfId="22549" xr:uid="{00000000-0005-0000-0000-0000A5780000}"/>
    <cellStyle name="Input 2 3 4 3 4 2" xfId="41891" xr:uid="{00000000-0005-0000-0000-0000A6780000}"/>
    <cellStyle name="Input 2 3 4 3 5" xfId="34490" xr:uid="{00000000-0005-0000-0000-0000A7780000}"/>
    <cellStyle name="Input 2 3 4 4" xfId="15610" xr:uid="{00000000-0005-0000-0000-0000A8780000}"/>
    <cellStyle name="Input 2 3 4 4 2" xfId="18086" xr:uid="{00000000-0005-0000-0000-0000A9780000}"/>
    <cellStyle name="Input 2 3 4 4 2 2" xfId="37440" xr:uid="{00000000-0005-0000-0000-0000AA780000}"/>
    <cellStyle name="Input 2 3 4 4 3" xfId="20517" xr:uid="{00000000-0005-0000-0000-0000AB780000}"/>
    <cellStyle name="Input 2 3 4 4 3 2" xfId="39870" xr:uid="{00000000-0005-0000-0000-0000AC780000}"/>
    <cellStyle name="Input 2 3 4 4 4" xfId="23030" xr:uid="{00000000-0005-0000-0000-0000AD780000}"/>
    <cellStyle name="Input 2 3 4 4 4 2" xfId="42372" xr:uid="{00000000-0005-0000-0000-0000AE780000}"/>
    <cellStyle name="Input 2 3 4 4 5" xfId="34971" xr:uid="{00000000-0005-0000-0000-0000AF780000}"/>
    <cellStyle name="Input 2 3 4 5" xfId="16284" xr:uid="{00000000-0005-0000-0000-0000B0780000}"/>
    <cellStyle name="Input 2 3 4 5 2" xfId="35638" xr:uid="{00000000-0005-0000-0000-0000B1780000}"/>
    <cellStyle name="Input 2 3 4 6" xfId="18715" xr:uid="{00000000-0005-0000-0000-0000B2780000}"/>
    <cellStyle name="Input 2 3 4 6 2" xfId="38068" xr:uid="{00000000-0005-0000-0000-0000B3780000}"/>
    <cellStyle name="Input 2 3 4 7" xfId="21192" xr:uid="{00000000-0005-0000-0000-0000B4780000}"/>
    <cellStyle name="Input 2 3 4 7 2" xfId="40534" xr:uid="{00000000-0005-0000-0000-0000B5780000}"/>
    <cellStyle name="Input 2 3 4 8" xfId="33133" xr:uid="{00000000-0005-0000-0000-0000B6780000}"/>
    <cellStyle name="Input 2 3 5" xfId="13989" xr:uid="{00000000-0005-0000-0000-0000B7780000}"/>
    <cellStyle name="Input 2 3 5 2" xfId="14784" xr:uid="{00000000-0005-0000-0000-0000B8780000}"/>
    <cellStyle name="Input 2 3 5 2 2" xfId="17262" xr:uid="{00000000-0005-0000-0000-0000B9780000}"/>
    <cellStyle name="Input 2 3 5 2 2 2" xfId="36616" xr:uid="{00000000-0005-0000-0000-0000BA780000}"/>
    <cellStyle name="Input 2 3 5 2 3" xfId="19693" xr:uid="{00000000-0005-0000-0000-0000BB780000}"/>
    <cellStyle name="Input 2 3 5 2 3 2" xfId="39046" xr:uid="{00000000-0005-0000-0000-0000BC780000}"/>
    <cellStyle name="Input 2 3 5 2 4" xfId="22204" xr:uid="{00000000-0005-0000-0000-0000BD780000}"/>
    <cellStyle name="Input 2 3 5 2 4 2" xfId="41546" xr:uid="{00000000-0005-0000-0000-0000BE780000}"/>
    <cellStyle name="Input 2 3 5 2 5" xfId="34145" xr:uid="{00000000-0005-0000-0000-0000BF780000}"/>
    <cellStyle name="Input 2 3 5 3" xfId="15332" xr:uid="{00000000-0005-0000-0000-0000C0780000}"/>
    <cellStyle name="Input 2 3 5 3 2" xfId="17808" xr:uid="{00000000-0005-0000-0000-0000C1780000}"/>
    <cellStyle name="Input 2 3 5 3 2 2" xfId="37162" xr:uid="{00000000-0005-0000-0000-0000C2780000}"/>
    <cellStyle name="Input 2 3 5 3 3" xfId="20239" xr:uid="{00000000-0005-0000-0000-0000C3780000}"/>
    <cellStyle name="Input 2 3 5 3 3 2" xfId="39592" xr:uid="{00000000-0005-0000-0000-0000C4780000}"/>
    <cellStyle name="Input 2 3 5 3 4" xfId="22752" xr:uid="{00000000-0005-0000-0000-0000C5780000}"/>
    <cellStyle name="Input 2 3 5 3 4 2" xfId="42094" xr:uid="{00000000-0005-0000-0000-0000C6780000}"/>
    <cellStyle name="Input 2 3 5 3 5" xfId="34693" xr:uid="{00000000-0005-0000-0000-0000C7780000}"/>
    <cellStyle name="Input 2 3 5 4" xfId="15791" xr:uid="{00000000-0005-0000-0000-0000C8780000}"/>
    <cellStyle name="Input 2 3 5 4 2" xfId="18267" xr:uid="{00000000-0005-0000-0000-0000C9780000}"/>
    <cellStyle name="Input 2 3 5 4 2 2" xfId="37621" xr:uid="{00000000-0005-0000-0000-0000CA780000}"/>
    <cellStyle name="Input 2 3 5 4 3" xfId="20698" xr:uid="{00000000-0005-0000-0000-0000CB780000}"/>
    <cellStyle name="Input 2 3 5 4 3 2" xfId="40051" xr:uid="{00000000-0005-0000-0000-0000CC780000}"/>
    <cellStyle name="Input 2 3 5 4 4" xfId="23211" xr:uid="{00000000-0005-0000-0000-0000CD780000}"/>
    <cellStyle name="Input 2 3 5 4 4 2" xfId="42553" xr:uid="{00000000-0005-0000-0000-0000CE780000}"/>
    <cellStyle name="Input 2 3 5 4 5" xfId="35152" xr:uid="{00000000-0005-0000-0000-0000CF780000}"/>
    <cellStyle name="Input 2 3 5 5" xfId="16495" xr:uid="{00000000-0005-0000-0000-0000D0780000}"/>
    <cellStyle name="Input 2 3 5 5 2" xfId="35849" xr:uid="{00000000-0005-0000-0000-0000D1780000}"/>
    <cellStyle name="Input 2 3 5 6" xfId="18926" xr:uid="{00000000-0005-0000-0000-0000D2780000}"/>
    <cellStyle name="Input 2 3 5 6 2" xfId="38279" xr:uid="{00000000-0005-0000-0000-0000D3780000}"/>
    <cellStyle name="Input 2 3 5 7" xfId="21412" xr:uid="{00000000-0005-0000-0000-0000D4780000}"/>
    <cellStyle name="Input 2 3 5 7 2" xfId="40754" xr:uid="{00000000-0005-0000-0000-0000D5780000}"/>
    <cellStyle name="Input 2 3 5 8" xfId="33353" xr:uid="{00000000-0005-0000-0000-0000D6780000}"/>
    <cellStyle name="Input 2 3 6" xfId="14286" xr:uid="{00000000-0005-0000-0000-0000D7780000}"/>
    <cellStyle name="Input 2 3 6 2" xfId="16785" xr:uid="{00000000-0005-0000-0000-0000D8780000}"/>
    <cellStyle name="Input 2 3 6 2 2" xfId="36139" xr:uid="{00000000-0005-0000-0000-0000D9780000}"/>
    <cellStyle name="Input 2 3 6 3" xfId="19216" xr:uid="{00000000-0005-0000-0000-0000DA780000}"/>
    <cellStyle name="Input 2 3 6 3 2" xfId="38569" xr:uid="{00000000-0005-0000-0000-0000DB780000}"/>
    <cellStyle name="Input 2 3 6 4" xfId="21706" xr:uid="{00000000-0005-0000-0000-0000DC780000}"/>
    <cellStyle name="Input 2 3 6 4 2" xfId="41048" xr:uid="{00000000-0005-0000-0000-0000DD780000}"/>
    <cellStyle name="Input 2 3 6 5" xfId="33647" xr:uid="{00000000-0005-0000-0000-0000DE780000}"/>
    <cellStyle name="Input 2 3 7" xfId="16010" xr:uid="{00000000-0005-0000-0000-0000DF780000}"/>
    <cellStyle name="Input 2 3 7 2" xfId="35364" xr:uid="{00000000-0005-0000-0000-0000E0780000}"/>
    <cellStyle name="Input 2 3 8" xfId="13193" xr:uid="{00000000-0005-0000-0000-0000E1780000}"/>
    <cellStyle name="Input 2 3 8 2" xfId="32661" xr:uid="{00000000-0005-0000-0000-0000E2780000}"/>
    <cellStyle name="Input 2 3 9" xfId="20941" xr:uid="{00000000-0005-0000-0000-0000E3780000}"/>
    <cellStyle name="Input 2 3 9 2" xfId="40283" xr:uid="{00000000-0005-0000-0000-0000E4780000}"/>
    <cellStyle name="Input 2 4" xfId="13517" xr:uid="{00000000-0005-0000-0000-0000E5780000}"/>
    <cellStyle name="Input 2 4 2" xfId="13817" xr:uid="{00000000-0005-0000-0000-0000E6780000}"/>
    <cellStyle name="Input 2 4 2 2" xfId="14612" xr:uid="{00000000-0005-0000-0000-0000E7780000}"/>
    <cellStyle name="Input 2 4 2 2 2" xfId="17096" xr:uid="{00000000-0005-0000-0000-0000E8780000}"/>
    <cellStyle name="Input 2 4 2 2 2 2" xfId="36450" xr:uid="{00000000-0005-0000-0000-0000E9780000}"/>
    <cellStyle name="Input 2 4 2 2 3" xfId="19527" xr:uid="{00000000-0005-0000-0000-0000EA780000}"/>
    <cellStyle name="Input 2 4 2 2 3 2" xfId="38880" xr:uid="{00000000-0005-0000-0000-0000EB780000}"/>
    <cellStyle name="Input 2 4 2 2 4" xfId="22032" xr:uid="{00000000-0005-0000-0000-0000EC780000}"/>
    <cellStyle name="Input 2 4 2 2 4 2" xfId="41374" xr:uid="{00000000-0005-0000-0000-0000ED780000}"/>
    <cellStyle name="Input 2 4 2 2 5" xfId="33973" xr:uid="{00000000-0005-0000-0000-0000EE780000}"/>
    <cellStyle name="Input 2 4 2 3" xfId="15169" xr:uid="{00000000-0005-0000-0000-0000EF780000}"/>
    <cellStyle name="Input 2 4 2 3 2" xfId="17645" xr:uid="{00000000-0005-0000-0000-0000F0780000}"/>
    <cellStyle name="Input 2 4 2 3 2 2" xfId="36999" xr:uid="{00000000-0005-0000-0000-0000F1780000}"/>
    <cellStyle name="Input 2 4 2 3 3" xfId="20076" xr:uid="{00000000-0005-0000-0000-0000F2780000}"/>
    <cellStyle name="Input 2 4 2 3 3 2" xfId="39429" xr:uid="{00000000-0005-0000-0000-0000F3780000}"/>
    <cellStyle name="Input 2 4 2 3 4" xfId="22589" xr:uid="{00000000-0005-0000-0000-0000F4780000}"/>
    <cellStyle name="Input 2 4 2 3 4 2" xfId="41931" xr:uid="{00000000-0005-0000-0000-0000F5780000}"/>
    <cellStyle name="Input 2 4 2 3 5" xfId="34530" xr:uid="{00000000-0005-0000-0000-0000F6780000}"/>
    <cellStyle name="Input 2 4 2 4" xfId="15649" xr:uid="{00000000-0005-0000-0000-0000F7780000}"/>
    <cellStyle name="Input 2 4 2 4 2" xfId="18125" xr:uid="{00000000-0005-0000-0000-0000F8780000}"/>
    <cellStyle name="Input 2 4 2 4 2 2" xfId="37479" xr:uid="{00000000-0005-0000-0000-0000F9780000}"/>
    <cellStyle name="Input 2 4 2 4 3" xfId="20556" xr:uid="{00000000-0005-0000-0000-0000FA780000}"/>
    <cellStyle name="Input 2 4 2 4 3 2" xfId="39909" xr:uid="{00000000-0005-0000-0000-0000FB780000}"/>
    <cellStyle name="Input 2 4 2 4 4" xfId="23069" xr:uid="{00000000-0005-0000-0000-0000FC780000}"/>
    <cellStyle name="Input 2 4 2 4 4 2" xfId="42411" xr:uid="{00000000-0005-0000-0000-0000FD780000}"/>
    <cellStyle name="Input 2 4 2 4 5" xfId="35010" xr:uid="{00000000-0005-0000-0000-0000FE780000}"/>
    <cellStyle name="Input 2 4 2 5" xfId="16329" xr:uid="{00000000-0005-0000-0000-0000FF780000}"/>
    <cellStyle name="Input 2 4 2 5 2" xfId="35683" xr:uid="{00000000-0005-0000-0000-000000790000}"/>
    <cellStyle name="Input 2 4 2 6" xfId="18760" xr:uid="{00000000-0005-0000-0000-000001790000}"/>
    <cellStyle name="Input 2 4 2 6 2" xfId="38113" xr:uid="{00000000-0005-0000-0000-000002790000}"/>
    <cellStyle name="Input 2 4 2 7" xfId="21240" xr:uid="{00000000-0005-0000-0000-000003790000}"/>
    <cellStyle name="Input 2 4 2 7 2" xfId="40582" xr:uid="{00000000-0005-0000-0000-000004790000}"/>
    <cellStyle name="Input 2 4 2 8" xfId="33181" xr:uid="{00000000-0005-0000-0000-000005790000}"/>
    <cellStyle name="Input 2 4 3" xfId="14038" xr:uid="{00000000-0005-0000-0000-000006790000}"/>
    <cellStyle name="Input 2 4 3 2" xfId="14833" xr:uid="{00000000-0005-0000-0000-000007790000}"/>
    <cellStyle name="Input 2 4 3 2 2" xfId="17311" xr:uid="{00000000-0005-0000-0000-000008790000}"/>
    <cellStyle name="Input 2 4 3 2 2 2" xfId="36665" xr:uid="{00000000-0005-0000-0000-000009790000}"/>
    <cellStyle name="Input 2 4 3 2 3" xfId="19742" xr:uid="{00000000-0005-0000-0000-00000A790000}"/>
    <cellStyle name="Input 2 4 3 2 3 2" xfId="39095" xr:uid="{00000000-0005-0000-0000-00000B790000}"/>
    <cellStyle name="Input 2 4 3 2 4" xfId="22253" xr:uid="{00000000-0005-0000-0000-00000C790000}"/>
    <cellStyle name="Input 2 4 3 2 4 2" xfId="41595" xr:uid="{00000000-0005-0000-0000-00000D790000}"/>
    <cellStyle name="Input 2 4 3 2 5" xfId="34194" xr:uid="{00000000-0005-0000-0000-00000E790000}"/>
    <cellStyle name="Input 2 4 3 3" xfId="15381" xr:uid="{00000000-0005-0000-0000-00000F790000}"/>
    <cellStyle name="Input 2 4 3 3 2" xfId="17857" xr:uid="{00000000-0005-0000-0000-000010790000}"/>
    <cellStyle name="Input 2 4 3 3 2 2" xfId="37211" xr:uid="{00000000-0005-0000-0000-000011790000}"/>
    <cellStyle name="Input 2 4 3 3 3" xfId="20288" xr:uid="{00000000-0005-0000-0000-000012790000}"/>
    <cellStyle name="Input 2 4 3 3 3 2" xfId="39641" xr:uid="{00000000-0005-0000-0000-000013790000}"/>
    <cellStyle name="Input 2 4 3 3 4" xfId="22801" xr:uid="{00000000-0005-0000-0000-000014790000}"/>
    <cellStyle name="Input 2 4 3 3 4 2" xfId="42143" xr:uid="{00000000-0005-0000-0000-000015790000}"/>
    <cellStyle name="Input 2 4 3 3 5" xfId="34742" xr:uid="{00000000-0005-0000-0000-000016790000}"/>
    <cellStyle name="Input 2 4 3 4" xfId="15840" xr:uid="{00000000-0005-0000-0000-000017790000}"/>
    <cellStyle name="Input 2 4 3 4 2" xfId="18316" xr:uid="{00000000-0005-0000-0000-000018790000}"/>
    <cellStyle name="Input 2 4 3 4 2 2" xfId="37670" xr:uid="{00000000-0005-0000-0000-000019790000}"/>
    <cellStyle name="Input 2 4 3 4 3" xfId="20747" xr:uid="{00000000-0005-0000-0000-00001A790000}"/>
    <cellStyle name="Input 2 4 3 4 3 2" xfId="40100" xr:uid="{00000000-0005-0000-0000-00001B790000}"/>
    <cellStyle name="Input 2 4 3 4 4" xfId="23260" xr:uid="{00000000-0005-0000-0000-00001C790000}"/>
    <cellStyle name="Input 2 4 3 4 4 2" xfId="42602" xr:uid="{00000000-0005-0000-0000-00001D790000}"/>
    <cellStyle name="Input 2 4 3 4 5" xfId="35201" xr:uid="{00000000-0005-0000-0000-00001E790000}"/>
    <cellStyle name="Input 2 4 3 5" xfId="16544" xr:uid="{00000000-0005-0000-0000-00001F790000}"/>
    <cellStyle name="Input 2 4 3 5 2" xfId="35898" xr:uid="{00000000-0005-0000-0000-000020790000}"/>
    <cellStyle name="Input 2 4 3 6" xfId="18975" xr:uid="{00000000-0005-0000-0000-000021790000}"/>
    <cellStyle name="Input 2 4 3 6 2" xfId="38328" xr:uid="{00000000-0005-0000-0000-000022790000}"/>
    <cellStyle name="Input 2 4 3 7" xfId="21461" xr:uid="{00000000-0005-0000-0000-000023790000}"/>
    <cellStyle name="Input 2 4 3 7 2" xfId="40803" xr:uid="{00000000-0005-0000-0000-000024790000}"/>
    <cellStyle name="Input 2 4 3 8" xfId="33402" xr:uid="{00000000-0005-0000-0000-000025790000}"/>
    <cellStyle name="Input 2 4 4" xfId="14333" xr:uid="{00000000-0005-0000-0000-000026790000}"/>
    <cellStyle name="Input 2 4 4 2" xfId="16829" xr:uid="{00000000-0005-0000-0000-000027790000}"/>
    <cellStyle name="Input 2 4 4 2 2" xfId="36183" xr:uid="{00000000-0005-0000-0000-000028790000}"/>
    <cellStyle name="Input 2 4 4 3" xfId="19260" xr:uid="{00000000-0005-0000-0000-000029790000}"/>
    <cellStyle name="Input 2 4 4 3 2" xfId="38613" xr:uid="{00000000-0005-0000-0000-00002A790000}"/>
    <cellStyle name="Input 2 4 4 4" xfId="21753" xr:uid="{00000000-0005-0000-0000-00002B790000}"/>
    <cellStyle name="Input 2 4 4 4 2" xfId="41095" xr:uid="{00000000-0005-0000-0000-00002C790000}"/>
    <cellStyle name="Input 2 4 4 5" xfId="33694" xr:uid="{00000000-0005-0000-0000-00002D790000}"/>
    <cellStyle name="Input 2 4 5" xfId="14971" xr:uid="{00000000-0005-0000-0000-00002E790000}"/>
    <cellStyle name="Input 2 4 5 2" xfId="17447" xr:uid="{00000000-0005-0000-0000-00002F790000}"/>
    <cellStyle name="Input 2 4 5 2 2" xfId="36801" xr:uid="{00000000-0005-0000-0000-000030790000}"/>
    <cellStyle name="Input 2 4 5 3" xfId="19878" xr:uid="{00000000-0005-0000-0000-000031790000}"/>
    <cellStyle name="Input 2 4 5 3 2" xfId="39231" xr:uid="{00000000-0005-0000-0000-000032790000}"/>
    <cellStyle name="Input 2 4 5 4" xfId="22391" xr:uid="{00000000-0005-0000-0000-000033790000}"/>
    <cellStyle name="Input 2 4 5 4 2" xfId="41733" xr:uid="{00000000-0005-0000-0000-000034790000}"/>
    <cellStyle name="Input 2 4 5 5" xfId="34332" xr:uid="{00000000-0005-0000-0000-000035790000}"/>
    <cellStyle name="Input 2 4 6" xfId="18478" xr:uid="{00000000-0005-0000-0000-000036790000}"/>
    <cellStyle name="Input 2 4 6 2" xfId="37831" xr:uid="{00000000-0005-0000-0000-000037790000}"/>
    <cellStyle name="Input 2 4 7" xfId="21009" xr:uid="{00000000-0005-0000-0000-000038790000}"/>
    <cellStyle name="Input 2 4 7 2" xfId="40351" xr:uid="{00000000-0005-0000-0000-000039790000}"/>
    <cellStyle name="Input 2 4 8" xfId="32892" xr:uid="{00000000-0005-0000-0000-00003A790000}"/>
    <cellStyle name="Input 2 5" xfId="13747" xr:uid="{00000000-0005-0000-0000-00003B790000}"/>
    <cellStyle name="Input 2 5 2" xfId="14550" xr:uid="{00000000-0005-0000-0000-00003C790000}"/>
    <cellStyle name="Input 2 5 2 2" xfId="17037" xr:uid="{00000000-0005-0000-0000-00003D790000}"/>
    <cellStyle name="Input 2 5 2 2 2" xfId="36391" xr:uid="{00000000-0005-0000-0000-00003E790000}"/>
    <cellStyle name="Input 2 5 2 3" xfId="19468" xr:uid="{00000000-0005-0000-0000-00003F790000}"/>
    <cellStyle name="Input 2 5 2 3 2" xfId="38821" xr:uid="{00000000-0005-0000-0000-000040790000}"/>
    <cellStyle name="Input 2 5 2 4" xfId="21970" xr:uid="{00000000-0005-0000-0000-000041790000}"/>
    <cellStyle name="Input 2 5 2 4 2" xfId="41312" xr:uid="{00000000-0005-0000-0000-000042790000}"/>
    <cellStyle name="Input 2 5 2 5" xfId="33911" xr:uid="{00000000-0005-0000-0000-000043790000}"/>
    <cellStyle name="Input 2 5 3" xfId="15111" xr:uid="{00000000-0005-0000-0000-000044790000}"/>
    <cellStyle name="Input 2 5 3 2" xfId="17587" xr:uid="{00000000-0005-0000-0000-000045790000}"/>
    <cellStyle name="Input 2 5 3 2 2" xfId="36941" xr:uid="{00000000-0005-0000-0000-000046790000}"/>
    <cellStyle name="Input 2 5 3 3" xfId="20018" xr:uid="{00000000-0005-0000-0000-000047790000}"/>
    <cellStyle name="Input 2 5 3 3 2" xfId="39371" xr:uid="{00000000-0005-0000-0000-000048790000}"/>
    <cellStyle name="Input 2 5 3 4" xfId="22531" xr:uid="{00000000-0005-0000-0000-000049790000}"/>
    <cellStyle name="Input 2 5 3 4 2" xfId="41873" xr:uid="{00000000-0005-0000-0000-00004A790000}"/>
    <cellStyle name="Input 2 5 3 5" xfId="34472" xr:uid="{00000000-0005-0000-0000-00004B790000}"/>
    <cellStyle name="Input 2 5 4" xfId="15594" xr:uid="{00000000-0005-0000-0000-00004C790000}"/>
    <cellStyle name="Input 2 5 4 2" xfId="18070" xr:uid="{00000000-0005-0000-0000-00004D790000}"/>
    <cellStyle name="Input 2 5 4 2 2" xfId="37424" xr:uid="{00000000-0005-0000-0000-00004E790000}"/>
    <cellStyle name="Input 2 5 4 3" xfId="20501" xr:uid="{00000000-0005-0000-0000-00004F790000}"/>
    <cellStyle name="Input 2 5 4 3 2" xfId="39854" xr:uid="{00000000-0005-0000-0000-000050790000}"/>
    <cellStyle name="Input 2 5 4 4" xfId="23014" xr:uid="{00000000-0005-0000-0000-000051790000}"/>
    <cellStyle name="Input 2 5 4 4 2" xfId="42356" xr:uid="{00000000-0005-0000-0000-000052790000}"/>
    <cellStyle name="Input 2 5 4 5" xfId="34955" xr:uid="{00000000-0005-0000-0000-000053790000}"/>
    <cellStyle name="Input 2 5 5" xfId="16263" xr:uid="{00000000-0005-0000-0000-000054790000}"/>
    <cellStyle name="Input 2 5 5 2" xfId="35617" xr:uid="{00000000-0005-0000-0000-000055790000}"/>
    <cellStyle name="Input 2 5 6" xfId="18694" xr:uid="{00000000-0005-0000-0000-000056790000}"/>
    <cellStyle name="Input 2 5 6 2" xfId="38047" xr:uid="{00000000-0005-0000-0000-000057790000}"/>
    <cellStyle name="Input 2 5 7" xfId="21171" xr:uid="{00000000-0005-0000-0000-000058790000}"/>
    <cellStyle name="Input 2 5 7 2" xfId="40513" xr:uid="{00000000-0005-0000-0000-000059790000}"/>
    <cellStyle name="Input 2 5 8" xfId="33112" xr:uid="{00000000-0005-0000-0000-00005A790000}"/>
    <cellStyle name="Input 2 6" xfId="13316" xr:uid="{00000000-0005-0000-0000-00005B790000}"/>
    <cellStyle name="Input 2 6 2" xfId="32742" xr:uid="{00000000-0005-0000-0000-00005C790000}"/>
    <cellStyle name="Input 2 7" xfId="13188" xr:uid="{00000000-0005-0000-0000-00005D790000}"/>
    <cellStyle name="Input 2 7 2" xfId="32656" xr:uid="{00000000-0005-0000-0000-00005E790000}"/>
    <cellStyle name="Input 2 8" xfId="20896" xr:uid="{00000000-0005-0000-0000-00005F790000}"/>
    <cellStyle name="Input 2 8 2" xfId="40241" xr:uid="{00000000-0005-0000-0000-000060790000}"/>
    <cellStyle name="Input 3" xfId="2142" xr:uid="{00000000-0005-0000-0000-000061790000}"/>
    <cellStyle name="Input 3 2" xfId="4892" xr:uid="{00000000-0005-0000-0000-000062790000}"/>
    <cellStyle name="Input 3 2 2" xfId="6646" xr:uid="{00000000-0005-0000-0000-000063790000}"/>
    <cellStyle name="Input 3 2 2 2" xfId="13885" xr:uid="{00000000-0005-0000-0000-000064790000}"/>
    <cellStyle name="Input 3 2 2 2 2" xfId="14680" xr:uid="{00000000-0005-0000-0000-000065790000}"/>
    <cellStyle name="Input 3 2 2 2 2 2" xfId="17161" xr:uid="{00000000-0005-0000-0000-000066790000}"/>
    <cellStyle name="Input 3 2 2 2 2 2 2" xfId="36515" xr:uid="{00000000-0005-0000-0000-000067790000}"/>
    <cellStyle name="Input 3 2 2 2 2 3" xfId="19592" xr:uid="{00000000-0005-0000-0000-000068790000}"/>
    <cellStyle name="Input 3 2 2 2 2 3 2" xfId="38945" xr:uid="{00000000-0005-0000-0000-000069790000}"/>
    <cellStyle name="Input 3 2 2 2 2 4" xfId="22100" xr:uid="{00000000-0005-0000-0000-00006A790000}"/>
    <cellStyle name="Input 3 2 2 2 2 4 2" xfId="41442" xr:uid="{00000000-0005-0000-0000-00006B790000}"/>
    <cellStyle name="Input 3 2 2 2 2 5" xfId="34041" xr:uid="{00000000-0005-0000-0000-00006C790000}"/>
    <cellStyle name="Input 3 2 2 2 3" xfId="15232" xr:uid="{00000000-0005-0000-0000-00006D790000}"/>
    <cellStyle name="Input 3 2 2 2 3 2" xfId="17708" xr:uid="{00000000-0005-0000-0000-00006E790000}"/>
    <cellStyle name="Input 3 2 2 2 3 2 2" xfId="37062" xr:uid="{00000000-0005-0000-0000-00006F790000}"/>
    <cellStyle name="Input 3 2 2 2 3 3" xfId="20139" xr:uid="{00000000-0005-0000-0000-000070790000}"/>
    <cellStyle name="Input 3 2 2 2 3 3 2" xfId="39492" xr:uid="{00000000-0005-0000-0000-000071790000}"/>
    <cellStyle name="Input 3 2 2 2 3 4" xfId="22652" xr:uid="{00000000-0005-0000-0000-000072790000}"/>
    <cellStyle name="Input 3 2 2 2 3 4 2" xfId="41994" xr:uid="{00000000-0005-0000-0000-000073790000}"/>
    <cellStyle name="Input 3 2 2 2 3 5" xfId="34593" xr:uid="{00000000-0005-0000-0000-000074790000}"/>
    <cellStyle name="Input 3 2 2 2 4" xfId="15702" xr:uid="{00000000-0005-0000-0000-000075790000}"/>
    <cellStyle name="Input 3 2 2 2 4 2" xfId="18178" xr:uid="{00000000-0005-0000-0000-000076790000}"/>
    <cellStyle name="Input 3 2 2 2 4 2 2" xfId="37532" xr:uid="{00000000-0005-0000-0000-000077790000}"/>
    <cellStyle name="Input 3 2 2 2 4 3" xfId="20609" xr:uid="{00000000-0005-0000-0000-000078790000}"/>
    <cellStyle name="Input 3 2 2 2 4 3 2" xfId="39962" xr:uid="{00000000-0005-0000-0000-000079790000}"/>
    <cellStyle name="Input 3 2 2 2 4 4" xfId="23122" xr:uid="{00000000-0005-0000-0000-00007A790000}"/>
    <cellStyle name="Input 3 2 2 2 4 4 2" xfId="42464" xr:uid="{00000000-0005-0000-0000-00007B790000}"/>
    <cellStyle name="Input 3 2 2 2 4 5" xfId="35063" xr:uid="{00000000-0005-0000-0000-00007C790000}"/>
    <cellStyle name="Input 3 2 2 2 5" xfId="16394" xr:uid="{00000000-0005-0000-0000-00007D790000}"/>
    <cellStyle name="Input 3 2 2 2 5 2" xfId="35748" xr:uid="{00000000-0005-0000-0000-00007E790000}"/>
    <cellStyle name="Input 3 2 2 2 6" xfId="18825" xr:uid="{00000000-0005-0000-0000-00007F790000}"/>
    <cellStyle name="Input 3 2 2 2 6 2" xfId="38178" xr:uid="{00000000-0005-0000-0000-000080790000}"/>
    <cellStyle name="Input 3 2 2 2 7" xfId="21308" xr:uid="{00000000-0005-0000-0000-000081790000}"/>
    <cellStyle name="Input 3 2 2 2 7 2" xfId="40650" xr:uid="{00000000-0005-0000-0000-000082790000}"/>
    <cellStyle name="Input 3 2 2 2 8" xfId="33249" xr:uid="{00000000-0005-0000-0000-000083790000}"/>
    <cellStyle name="Input 3 2 2 3" xfId="14103" xr:uid="{00000000-0005-0000-0000-000084790000}"/>
    <cellStyle name="Input 3 2 2 3 2" xfId="14884" xr:uid="{00000000-0005-0000-0000-000085790000}"/>
    <cellStyle name="Input 3 2 2 3 2 2" xfId="17362" xr:uid="{00000000-0005-0000-0000-000086790000}"/>
    <cellStyle name="Input 3 2 2 3 2 2 2" xfId="36716" xr:uid="{00000000-0005-0000-0000-000087790000}"/>
    <cellStyle name="Input 3 2 2 3 2 3" xfId="19793" xr:uid="{00000000-0005-0000-0000-000088790000}"/>
    <cellStyle name="Input 3 2 2 3 2 3 2" xfId="39146" xr:uid="{00000000-0005-0000-0000-000089790000}"/>
    <cellStyle name="Input 3 2 2 3 2 4" xfId="22304" xr:uid="{00000000-0005-0000-0000-00008A790000}"/>
    <cellStyle name="Input 3 2 2 3 2 4 2" xfId="41646" xr:uid="{00000000-0005-0000-0000-00008B790000}"/>
    <cellStyle name="Input 3 2 2 3 2 5" xfId="34245" xr:uid="{00000000-0005-0000-0000-00008C790000}"/>
    <cellStyle name="Input 3 2 2 3 3" xfId="15431" xr:uid="{00000000-0005-0000-0000-00008D790000}"/>
    <cellStyle name="Input 3 2 2 3 3 2" xfId="17907" xr:uid="{00000000-0005-0000-0000-00008E790000}"/>
    <cellStyle name="Input 3 2 2 3 3 2 2" xfId="37261" xr:uid="{00000000-0005-0000-0000-00008F790000}"/>
    <cellStyle name="Input 3 2 2 3 3 3" xfId="20338" xr:uid="{00000000-0005-0000-0000-000090790000}"/>
    <cellStyle name="Input 3 2 2 3 3 3 2" xfId="39691" xr:uid="{00000000-0005-0000-0000-000091790000}"/>
    <cellStyle name="Input 3 2 2 3 3 4" xfId="22851" xr:uid="{00000000-0005-0000-0000-000092790000}"/>
    <cellStyle name="Input 3 2 2 3 3 4 2" xfId="42193" xr:uid="{00000000-0005-0000-0000-000093790000}"/>
    <cellStyle name="Input 3 2 2 3 3 5" xfId="34792" xr:uid="{00000000-0005-0000-0000-000094790000}"/>
    <cellStyle name="Input 3 2 2 3 4" xfId="15890" xr:uid="{00000000-0005-0000-0000-000095790000}"/>
    <cellStyle name="Input 3 2 2 3 4 2" xfId="18366" xr:uid="{00000000-0005-0000-0000-000096790000}"/>
    <cellStyle name="Input 3 2 2 3 4 2 2" xfId="37720" xr:uid="{00000000-0005-0000-0000-000097790000}"/>
    <cellStyle name="Input 3 2 2 3 4 3" xfId="20797" xr:uid="{00000000-0005-0000-0000-000098790000}"/>
    <cellStyle name="Input 3 2 2 3 4 3 2" xfId="40150" xr:uid="{00000000-0005-0000-0000-000099790000}"/>
    <cellStyle name="Input 3 2 2 3 4 4" xfId="23310" xr:uid="{00000000-0005-0000-0000-00009A790000}"/>
    <cellStyle name="Input 3 2 2 3 4 4 2" xfId="42652" xr:uid="{00000000-0005-0000-0000-00009B790000}"/>
    <cellStyle name="Input 3 2 2 3 4 5" xfId="35251" xr:uid="{00000000-0005-0000-0000-00009C790000}"/>
    <cellStyle name="Input 3 2 2 3 5" xfId="16609" xr:uid="{00000000-0005-0000-0000-00009D790000}"/>
    <cellStyle name="Input 3 2 2 3 5 2" xfId="35963" xr:uid="{00000000-0005-0000-0000-00009E790000}"/>
    <cellStyle name="Input 3 2 2 3 6" xfId="19040" xr:uid="{00000000-0005-0000-0000-00009F790000}"/>
    <cellStyle name="Input 3 2 2 3 6 2" xfId="38393" xr:uid="{00000000-0005-0000-0000-0000A0790000}"/>
    <cellStyle name="Input 3 2 2 3 7" xfId="21526" xr:uid="{00000000-0005-0000-0000-0000A1790000}"/>
    <cellStyle name="Input 3 2 2 3 7 2" xfId="40868" xr:uid="{00000000-0005-0000-0000-0000A2790000}"/>
    <cellStyle name="Input 3 2 2 3 8" xfId="33467" xr:uid="{00000000-0005-0000-0000-0000A3790000}"/>
    <cellStyle name="Input 3 2 2 4" xfId="14395" xr:uid="{00000000-0005-0000-0000-0000A4790000}"/>
    <cellStyle name="Input 3 2 2 4 2" xfId="16888" xr:uid="{00000000-0005-0000-0000-0000A5790000}"/>
    <cellStyle name="Input 3 2 2 4 2 2" xfId="36242" xr:uid="{00000000-0005-0000-0000-0000A6790000}"/>
    <cellStyle name="Input 3 2 2 4 3" xfId="19319" xr:uid="{00000000-0005-0000-0000-0000A7790000}"/>
    <cellStyle name="Input 3 2 2 4 3 2" xfId="38672" xr:uid="{00000000-0005-0000-0000-0000A8790000}"/>
    <cellStyle name="Input 3 2 2 4 4" xfId="21815" xr:uid="{00000000-0005-0000-0000-0000A9790000}"/>
    <cellStyle name="Input 3 2 2 4 4 2" xfId="41157" xr:uid="{00000000-0005-0000-0000-0000AA790000}"/>
    <cellStyle name="Input 3 2 2 4 5" xfId="33756" xr:uid="{00000000-0005-0000-0000-0000AB790000}"/>
    <cellStyle name="Input 3 2 2 5" xfId="15026" xr:uid="{00000000-0005-0000-0000-0000AC790000}"/>
    <cellStyle name="Input 3 2 2 5 2" xfId="17502" xr:uid="{00000000-0005-0000-0000-0000AD790000}"/>
    <cellStyle name="Input 3 2 2 5 2 2" xfId="36856" xr:uid="{00000000-0005-0000-0000-0000AE790000}"/>
    <cellStyle name="Input 3 2 2 5 3" xfId="19933" xr:uid="{00000000-0005-0000-0000-0000AF790000}"/>
    <cellStyle name="Input 3 2 2 5 3 2" xfId="39286" xr:uid="{00000000-0005-0000-0000-0000B0790000}"/>
    <cellStyle name="Input 3 2 2 5 4" xfId="22446" xr:uid="{00000000-0005-0000-0000-0000B1790000}"/>
    <cellStyle name="Input 3 2 2 5 4 2" xfId="41788" xr:uid="{00000000-0005-0000-0000-0000B2790000}"/>
    <cellStyle name="Input 3 2 2 5 5" xfId="34387" xr:uid="{00000000-0005-0000-0000-0000B3790000}"/>
    <cellStyle name="Input 3 2 2 6" xfId="13586" xr:uid="{00000000-0005-0000-0000-0000B4790000}"/>
    <cellStyle name="Input 3 2 2 6 2" xfId="32952" xr:uid="{00000000-0005-0000-0000-0000B5790000}"/>
    <cellStyle name="Input 3 2 2 7" xfId="18538" xr:uid="{00000000-0005-0000-0000-0000B6790000}"/>
    <cellStyle name="Input 3 2 2 7 2" xfId="37891" xr:uid="{00000000-0005-0000-0000-0000B7790000}"/>
    <cellStyle name="Input 3 2 2 8" xfId="21034" xr:uid="{00000000-0005-0000-0000-0000B8790000}"/>
    <cellStyle name="Input 3 2 2 8 2" xfId="40376" xr:uid="{00000000-0005-0000-0000-0000B9790000}"/>
    <cellStyle name="Input 3 2 2 9" xfId="26131" xr:uid="{00000000-0005-0000-0000-0000BA790000}"/>
    <cellStyle name="Input 3 2 3" xfId="13654" xr:uid="{00000000-0005-0000-0000-0000BB790000}"/>
    <cellStyle name="Input 3 2 3 2" xfId="13952" xr:uid="{00000000-0005-0000-0000-0000BC790000}"/>
    <cellStyle name="Input 3 2 3 2 2" xfId="14747" xr:uid="{00000000-0005-0000-0000-0000BD790000}"/>
    <cellStyle name="Input 3 2 3 2 2 2" xfId="17225" xr:uid="{00000000-0005-0000-0000-0000BE790000}"/>
    <cellStyle name="Input 3 2 3 2 2 2 2" xfId="36579" xr:uid="{00000000-0005-0000-0000-0000BF790000}"/>
    <cellStyle name="Input 3 2 3 2 2 3" xfId="19656" xr:uid="{00000000-0005-0000-0000-0000C0790000}"/>
    <cellStyle name="Input 3 2 3 2 2 3 2" xfId="39009" xr:uid="{00000000-0005-0000-0000-0000C1790000}"/>
    <cellStyle name="Input 3 2 3 2 2 4" xfId="22167" xr:uid="{00000000-0005-0000-0000-0000C2790000}"/>
    <cellStyle name="Input 3 2 3 2 2 4 2" xfId="41509" xr:uid="{00000000-0005-0000-0000-0000C3790000}"/>
    <cellStyle name="Input 3 2 3 2 2 5" xfId="34108" xr:uid="{00000000-0005-0000-0000-0000C4790000}"/>
    <cellStyle name="Input 3 2 3 2 3" xfId="15295" xr:uid="{00000000-0005-0000-0000-0000C5790000}"/>
    <cellStyle name="Input 3 2 3 2 3 2" xfId="17771" xr:uid="{00000000-0005-0000-0000-0000C6790000}"/>
    <cellStyle name="Input 3 2 3 2 3 2 2" xfId="37125" xr:uid="{00000000-0005-0000-0000-0000C7790000}"/>
    <cellStyle name="Input 3 2 3 2 3 3" xfId="20202" xr:uid="{00000000-0005-0000-0000-0000C8790000}"/>
    <cellStyle name="Input 3 2 3 2 3 3 2" xfId="39555" xr:uid="{00000000-0005-0000-0000-0000C9790000}"/>
    <cellStyle name="Input 3 2 3 2 3 4" xfId="22715" xr:uid="{00000000-0005-0000-0000-0000CA790000}"/>
    <cellStyle name="Input 3 2 3 2 3 4 2" xfId="42057" xr:uid="{00000000-0005-0000-0000-0000CB790000}"/>
    <cellStyle name="Input 3 2 3 2 3 5" xfId="34656" xr:uid="{00000000-0005-0000-0000-0000CC790000}"/>
    <cellStyle name="Input 3 2 3 2 4" xfId="15754" xr:uid="{00000000-0005-0000-0000-0000CD790000}"/>
    <cellStyle name="Input 3 2 3 2 4 2" xfId="18230" xr:uid="{00000000-0005-0000-0000-0000CE790000}"/>
    <cellStyle name="Input 3 2 3 2 4 2 2" xfId="37584" xr:uid="{00000000-0005-0000-0000-0000CF790000}"/>
    <cellStyle name="Input 3 2 3 2 4 3" xfId="20661" xr:uid="{00000000-0005-0000-0000-0000D0790000}"/>
    <cellStyle name="Input 3 2 3 2 4 3 2" xfId="40014" xr:uid="{00000000-0005-0000-0000-0000D1790000}"/>
    <cellStyle name="Input 3 2 3 2 4 4" xfId="23174" xr:uid="{00000000-0005-0000-0000-0000D2790000}"/>
    <cellStyle name="Input 3 2 3 2 4 4 2" xfId="42516" xr:uid="{00000000-0005-0000-0000-0000D3790000}"/>
    <cellStyle name="Input 3 2 3 2 4 5" xfId="35115" xr:uid="{00000000-0005-0000-0000-0000D4790000}"/>
    <cellStyle name="Input 3 2 3 2 5" xfId="16458" xr:uid="{00000000-0005-0000-0000-0000D5790000}"/>
    <cellStyle name="Input 3 2 3 2 5 2" xfId="35812" xr:uid="{00000000-0005-0000-0000-0000D6790000}"/>
    <cellStyle name="Input 3 2 3 2 6" xfId="18889" xr:uid="{00000000-0005-0000-0000-0000D7790000}"/>
    <cellStyle name="Input 3 2 3 2 6 2" xfId="38242" xr:uid="{00000000-0005-0000-0000-0000D8790000}"/>
    <cellStyle name="Input 3 2 3 2 7" xfId="21375" xr:uid="{00000000-0005-0000-0000-0000D9790000}"/>
    <cellStyle name="Input 3 2 3 2 7 2" xfId="40717" xr:uid="{00000000-0005-0000-0000-0000DA790000}"/>
    <cellStyle name="Input 3 2 3 2 8" xfId="33316" xr:uid="{00000000-0005-0000-0000-0000DB790000}"/>
    <cellStyle name="Input 3 2 3 3" xfId="14166" xr:uid="{00000000-0005-0000-0000-0000DC790000}"/>
    <cellStyle name="Input 3 2 3 3 2" xfId="14943" xr:uid="{00000000-0005-0000-0000-0000DD790000}"/>
    <cellStyle name="Input 3 2 3 3 2 2" xfId="17421" xr:uid="{00000000-0005-0000-0000-0000DE790000}"/>
    <cellStyle name="Input 3 2 3 3 2 2 2" xfId="36775" xr:uid="{00000000-0005-0000-0000-0000DF790000}"/>
    <cellStyle name="Input 3 2 3 3 2 3" xfId="19852" xr:uid="{00000000-0005-0000-0000-0000E0790000}"/>
    <cellStyle name="Input 3 2 3 3 2 3 2" xfId="39205" xr:uid="{00000000-0005-0000-0000-0000E1790000}"/>
    <cellStyle name="Input 3 2 3 3 2 4" xfId="22363" xr:uid="{00000000-0005-0000-0000-0000E2790000}"/>
    <cellStyle name="Input 3 2 3 3 2 4 2" xfId="41705" xr:uid="{00000000-0005-0000-0000-0000E3790000}"/>
    <cellStyle name="Input 3 2 3 3 2 5" xfId="34304" xr:uid="{00000000-0005-0000-0000-0000E4790000}"/>
    <cellStyle name="Input 3 2 3 3 3" xfId="15489" xr:uid="{00000000-0005-0000-0000-0000E5790000}"/>
    <cellStyle name="Input 3 2 3 3 3 2" xfId="17965" xr:uid="{00000000-0005-0000-0000-0000E6790000}"/>
    <cellStyle name="Input 3 2 3 3 3 2 2" xfId="37319" xr:uid="{00000000-0005-0000-0000-0000E7790000}"/>
    <cellStyle name="Input 3 2 3 3 3 3" xfId="20396" xr:uid="{00000000-0005-0000-0000-0000E8790000}"/>
    <cellStyle name="Input 3 2 3 3 3 3 2" xfId="39749" xr:uid="{00000000-0005-0000-0000-0000E9790000}"/>
    <cellStyle name="Input 3 2 3 3 3 4" xfId="22909" xr:uid="{00000000-0005-0000-0000-0000EA790000}"/>
    <cellStyle name="Input 3 2 3 3 3 4 2" xfId="42251" xr:uid="{00000000-0005-0000-0000-0000EB790000}"/>
    <cellStyle name="Input 3 2 3 3 3 5" xfId="34850" xr:uid="{00000000-0005-0000-0000-0000EC790000}"/>
    <cellStyle name="Input 3 2 3 3 4" xfId="15948" xr:uid="{00000000-0005-0000-0000-0000ED790000}"/>
    <cellStyle name="Input 3 2 3 3 4 2" xfId="18424" xr:uid="{00000000-0005-0000-0000-0000EE790000}"/>
    <cellStyle name="Input 3 2 3 3 4 2 2" xfId="37778" xr:uid="{00000000-0005-0000-0000-0000EF790000}"/>
    <cellStyle name="Input 3 2 3 3 4 3" xfId="20855" xr:uid="{00000000-0005-0000-0000-0000F0790000}"/>
    <cellStyle name="Input 3 2 3 3 4 3 2" xfId="40208" xr:uid="{00000000-0005-0000-0000-0000F1790000}"/>
    <cellStyle name="Input 3 2 3 3 4 4" xfId="23368" xr:uid="{00000000-0005-0000-0000-0000F2790000}"/>
    <cellStyle name="Input 3 2 3 3 4 4 2" xfId="42710" xr:uid="{00000000-0005-0000-0000-0000F3790000}"/>
    <cellStyle name="Input 3 2 3 3 4 5" xfId="35309" xr:uid="{00000000-0005-0000-0000-0000F4790000}"/>
    <cellStyle name="Input 3 2 3 3 5" xfId="16672" xr:uid="{00000000-0005-0000-0000-0000F5790000}"/>
    <cellStyle name="Input 3 2 3 3 5 2" xfId="36026" xr:uid="{00000000-0005-0000-0000-0000F6790000}"/>
    <cellStyle name="Input 3 2 3 3 6" xfId="19103" xr:uid="{00000000-0005-0000-0000-0000F7790000}"/>
    <cellStyle name="Input 3 2 3 3 6 2" xfId="38456" xr:uid="{00000000-0005-0000-0000-0000F8790000}"/>
    <cellStyle name="Input 3 2 3 3 7" xfId="21589" xr:uid="{00000000-0005-0000-0000-0000F9790000}"/>
    <cellStyle name="Input 3 2 3 3 7 2" xfId="40931" xr:uid="{00000000-0005-0000-0000-0000FA790000}"/>
    <cellStyle name="Input 3 2 3 3 8" xfId="33530" xr:uid="{00000000-0005-0000-0000-0000FB790000}"/>
    <cellStyle name="Input 3 2 3 4" xfId="14462" xr:uid="{00000000-0005-0000-0000-0000FC790000}"/>
    <cellStyle name="Input 3 2 3 4 2" xfId="16952" xr:uid="{00000000-0005-0000-0000-0000FD790000}"/>
    <cellStyle name="Input 3 2 3 4 2 2" xfId="36306" xr:uid="{00000000-0005-0000-0000-0000FE790000}"/>
    <cellStyle name="Input 3 2 3 4 3" xfId="19383" xr:uid="{00000000-0005-0000-0000-0000FF790000}"/>
    <cellStyle name="Input 3 2 3 4 3 2" xfId="38736" xr:uid="{00000000-0005-0000-0000-0000007A0000}"/>
    <cellStyle name="Input 3 2 3 4 4" xfId="21882" xr:uid="{00000000-0005-0000-0000-0000017A0000}"/>
    <cellStyle name="Input 3 2 3 4 4 2" xfId="41224" xr:uid="{00000000-0005-0000-0000-0000027A0000}"/>
    <cellStyle name="Input 3 2 3 4 5" xfId="33823" xr:uid="{00000000-0005-0000-0000-0000037A0000}"/>
    <cellStyle name="Input 3 2 3 5" xfId="16174" xr:uid="{00000000-0005-0000-0000-0000047A0000}"/>
    <cellStyle name="Input 3 2 3 5 2" xfId="35528" xr:uid="{00000000-0005-0000-0000-0000057A0000}"/>
    <cellStyle name="Input 3 2 3 6" xfId="18605" xr:uid="{00000000-0005-0000-0000-0000067A0000}"/>
    <cellStyle name="Input 3 2 3 6 2" xfId="37958" xr:uid="{00000000-0005-0000-0000-0000077A0000}"/>
    <cellStyle name="Input 3 2 3 7" xfId="21079" xr:uid="{00000000-0005-0000-0000-0000087A0000}"/>
    <cellStyle name="Input 3 2 3 7 2" xfId="40421" xr:uid="{00000000-0005-0000-0000-0000097A0000}"/>
    <cellStyle name="Input 3 2 3 8" xfId="33020" xr:uid="{00000000-0005-0000-0000-00000A7A0000}"/>
    <cellStyle name="Input 3 2 4" xfId="14002" xr:uid="{00000000-0005-0000-0000-00000B7A0000}"/>
    <cellStyle name="Input 3 2 4 2" xfId="14797" xr:uid="{00000000-0005-0000-0000-00000C7A0000}"/>
    <cellStyle name="Input 3 2 4 2 2" xfId="17275" xr:uid="{00000000-0005-0000-0000-00000D7A0000}"/>
    <cellStyle name="Input 3 2 4 2 2 2" xfId="36629" xr:uid="{00000000-0005-0000-0000-00000E7A0000}"/>
    <cellStyle name="Input 3 2 4 2 3" xfId="19706" xr:uid="{00000000-0005-0000-0000-00000F7A0000}"/>
    <cellStyle name="Input 3 2 4 2 3 2" xfId="39059" xr:uid="{00000000-0005-0000-0000-0000107A0000}"/>
    <cellStyle name="Input 3 2 4 2 4" xfId="22217" xr:uid="{00000000-0005-0000-0000-0000117A0000}"/>
    <cellStyle name="Input 3 2 4 2 4 2" xfId="41559" xr:uid="{00000000-0005-0000-0000-0000127A0000}"/>
    <cellStyle name="Input 3 2 4 2 5" xfId="34158" xr:uid="{00000000-0005-0000-0000-0000137A0000}"/>
    <cellStyle name="Input 3 2 4 3" xfId="15345" xr:uid="{00000000-0005-0000-0000-0000147A0000}"/>
    <cellStyle name="Input 3 2 4 3 2" xfId="17821" xr:uid="{00000000-0005-0000-0000-0000157A0000}"/>
    <cellStyle name="Input 3 2 4 3 2 2" xfId="37175" xr:uid="{00000000-0005-0000-0000-0000167A0000}"/>
    <cellStyle name="Input 3 2 4 3 3" xfId="20252" xr:uid="{00000000-0005-0000-0000-0000177A0000}"/>
    <cellStyle name="Input 3 2 4 3 3 2" xfId="39605" xr:uid="{00000000-0005-0000-0000-0000187A0000}"/>
    <cellStyle name="Input 3 2 4 3 4" xfId="22765" xr:uid="{00000000-0005-0000-0000-0000197A0000}"/>
    <cellStyle name="Input 3 2 4 3 4 2" xfId="42107" xr:uid="{00000000-0005-0000-0000-00001A7A0000}"/>
    <cellStyle name="Input 3 2 4 3 5" xfId="34706" xr:uid="{00000000-0005-0000-0000-00001B7A0000}"/>
    <cellStyle name="Input 3 2 4 4" xfId="15804" xr:uid="{00000000-0005-0000-0000-00001C7A0000}"/>
    <cellStyle name="Input 3 2 4 4 2" xfId="18280" xr:uid="{00000000-0005-0000-0000-00001D7A0000}"/>
    <cellStyle name="Input 3 2 4 4 2 2" xfId="37634" xr:uid="{00000000-0005-0000-0000-00001E7A0000}"/>
    <cellStyle name="Input 3 2 4 4 3" xfId="20711" xr:uid="{00000000-0005-0000-0000-00001F7A0000}"/>
    <cellStyle name="Input 3 2 4 4 3 2" xfId="40064" xr:uid="{00000000-0005-0000-0000-0000207A0000}"/>
    <cellStyle name="Input 3 2 4 4 4" xfId="23224" xr:uid="{00000000-0005-0000-0000-0000217A0000}"/>
    <cellStyle name="Input 3 2 4 4 4 2" xfId="42566" xr:uid="{00000000-0005-0000-0000-0000227A0000}"/>
    <cellStyle name="Input 3 2 4 4 5" xfId="35165" xr:uid="{00000000-0005-0000-0000-0000237A0000}"/>
    <cellStyle name="Input 3 2 4 5" xfId="16508" xr:uid="{00000000-0005-0000-0000-0000247A0000}"/>
    <cellStyle name="Input 3 2 4 5 2" xfId="35862" xr:uid="{00000000-0005-0000-0000-0000257A0000}"/>
    <cellStyle name="Input 3 2 4 6" xfId="18939" xr:uid="{00000000-0005-0000-0000-0000267A0000}"/>
    <cellStyle name="Input 3 2 4 6 2" xfId="38292" xr:uid="{00000000-0005-0000-0000-0000277A0000}"/>
    <cellStyle name="Input 3 2 4 7" xfId="21425" xr:uid="{00000000-0005-0000-0000-0000287A0000}"/>
    <cellStyle name="Input 3 2 4 7 2" xfId="40767" xr:uid="{00000000-0005-0000-0000-0000297A0000}"/>
    <cellStyle name="Input 3 2 4 8" xfId="33366" xr:uid="{00000000-0005-0000-0000-00002A7A0000}"/>
    <cellStyle name="Input 3 2 5" xfId="13459" xr:uid="{00000000-0005-0000-0000-00002B7A0000}"/>
    <cellStyle name="Input 3 2 5 2" xfId="32838" xr:uid="{00000000-0005-0000-0000-00002C7A0000}"/>
    <cellStyle name="Input 3 2 6" xfId="16029" xr:uid="{00000000-0005-0000-0000-00002D7A0000}"/>
    <cellStyle name="Input 3 2 6 2" xfId="35383" xr:uid="{00000000-0005-0000-0000-00002E7A0000}"/>
    <cellStyle name="Input 3 2 7" xfId="13272" xr:uid="{00000000-0005-0000-0000-00002F7A0000}"/>
    <cellStyle name="Input 3 2 7 2" xfId="32720" xr:uid="{00000000-0005-0000-0000-0000307A0000}"/>
    <cellStyle name="Input 3 2 8" xfId="20959" xr:uid="{00000000-0005-0000-0000-0000317A0000}"/>
    <cellStyle name="Input 3 2 8 2" xfId="40301" xr:uid="{00000000-0005-0000-0000-0000327A0000}"/>
    <cellStyle name="Input 3 2 9" xfId="24387" xr:uid="{00000000-0005-0000-0000-0000337A0000}"/>
    <cellStyle name="Input 3 3" xfId="5516" xr:uid="{00000000-0005-0000-0000-0000347A0000}"/>
    <cellStyle name="Input 3 3 10" xfId="20977" xr:uid="{00000000-0005-0000-0000-0000357A0000}"/>
    <cellStyle name="Input 3 3 10 2" xfId="40319" xr:uid="{00000000-0005-0000-0000-0000367A0000}"/>
    <cellStyle name="Input 3 3 11" xfId="25004" xr:uid="{00000000-0005-0000-0000-0000377A0000}"/>
    <cellStyle name="Input 3 3 2" xfId="13602" xr:uid="{00000000-0005-0000-0000-0000387A0000}"/>
    <cellStyle name="Input 3 3 2 2" xfId="13903" xr:uid="{00000000-0005-0000-0000-0000397A0000}"/>
    <cellStyle name="Input 3 3 2 2 2" xfId="14698" xr:uid="{00000000-0005-0000-0000-00003A7A0000}"/>
    <cellStyle name="Input 3 3 2 2 2 2" xfId="17176" xr:uid="{00000000-0005-0000-0000-00003B7A0000}"/>
    <cellStyle name="Input 3 3 2 2 2 2 2" xfId="36530" xr:uid="{00000000-0005-0000-0000-00003C7A0000}"/>
    <cellStyle name="Input 3 3 2 2 2 3" xfId="19607" xr:uid="{00000000-0005-0000-0000-00003D7A0000}"/>
    <cellStyle name="Input 3 3 2 2 2 3 2" xfId="38960" xr:uid="{00000000-0005-0000-0000-00003E7A0000}"/>
    <cellStyle name="Input 3 3 2 2 2 4" xfId="22118" xr:uid="{00000000-0005-0000-0000-00003F7A0000}"/>
    <cellStyle name="Input 3 3 2 2 2 4 2" xfId="41460" xr:uid="{00000000-0005-0000-0000-0000407A0000}"/>
    <cellStyle name="Input 3 3 2 2 2 5" xfId="34059" xr:uid="{00000000-0005-0000-0000-0000417A0000}"/>
    <cellStyle name="Input 3 3 2 2 3" xfId="15246" xr:uid="{00000000-0005-0000-0000-0000427A0000}"/>
    <cellStyle name="Input 3 3 2 2 3 2" xfId="17722" xr:uid="{00000000-0005-0000-0000-0000437A0000}"/>
    <cellStyle name="Input 3 3 2 2 3 2 2" xfId="37076" xr:uid="{00000000-0005-0000-0000-0000447A0000}"/>
    <cellStyle name="Input 3 3 2 2 3 3" xfId="20153" xr:uid="{00000000-0005-0000-0000-0000457A0000}"/>
    <cellStyle name="Input 3 3 2 2 3 3 2" xfId="39506" xr:uid="{00000000-0005-0000-0000-0000467A0000}"/>
    <cellStyle name="Input 3 3 2 2 3 4" xfId="22666" xr:uid="{00000000-0005-0000-0000-0000477A0000}"/>
    <cellStyle name="Input 3 3 2 2 3 4 2" xfId="42008" xr:uid="{00000000-0005-0000-0000-0000487A0000}"/>
    <cellStyle name="Input 3 3 2 2 3 5" xfId="34607" xr:uid="{00000000-0005-0000-0000-0000497A0000}"/>
    <cellStyle name="Input 3 3 2 2 4" xfId="15705" xr:uid="{00000000-0005-0000-0000-00004A7A0000}"/>
    <cellStyle name="Input 3 3 2 2 4 2" xfId="18181" xr:uid="{00000000-0005-0000-0000-00004B7A0000}"/>
    <cellStyle name="Input 3 3 2 2 4 2 2" xfId="37535" xr:uid="{00000000-0005-0000-0000-00004C7A0000}"/>
    <cellStyle name="Input 3 3 2 2 4 3" xfId="20612" xr:uid="{00000000-0005-0000-0000-00004D7A0000}"/>
    <cellStyle name="Input 3 3 2 2 4 3 2" xfId="39965" xr:uid="{00000000-0005-0000-0000-00004E7A0000}"/>
    <cellStyle name="Input 3 3 2 2 4 4" xfId="23125" xr:uid="{00000000-0005-0000-0000-00004F7A0000}"/>
    <cellStyle name="Input 3 3 2 2 4 4 2" xfId="42467" xr:uid="{00000000-0005-0000-0000-0000507A0000}"/>
    <cellStyle name="Input 3 3 2 2 4 5" xfId="35066" xr:uid="{00000000-0005-0000-0000-0000517A0000}"/>
    <cellStyle name="Input 3 3 2 2 5" xfId="16409" xr:uid="{00000000-0005-0000-0000-0000527A0000}"/>
    <cellStyle name="Input 3 3 2 2 5 2" xfId="35763" xr:uid="{00000000-0005-0000-0000-0000537A0000}"/>
    <cellStyle name="Input 3 3 2 2 6" xfId="18840" xr:uid="{00000000-0005-0000-0000-0000547A0000}"/>
    <cellStyle name="Input 3 3 2 2 6 2" xfId="38193" xr:uid="{00000000-0005-0000-0000-0000557A0000}"/>
    <cellStyle name="Input 3 3 2 2 7" xfId="21326" xr:uid="{00000000-0005-0000-0000-0000567A0000}"/>
    <cellStyle name="Input 3 3 2 2 7 2" xfId="40668" xr:uid="{00000000-0005-0000-0000-0000577A0000}"/>
    <cellStyle name="Input 3 3 2 2 8" xfId="33267" xr:uid="{00000000-0005-0000-0000-0000587A0000}"/>
    <cellStyle name="Input 3 3 2 3" xfId="14118" xr:uid="{00000000-0005-0000-0000-0000597A0000}"/>
    <cellStyle name="Input 3 3 2 3 2" xfId="14899" xr:uid="{00000000-0005-0000-0000-00005A7A0000}"/>
    <cellStyle name="Input 3 3 2 3 2 2" xfId="17377" xr:uid="{00000000-0005-0000-0000-00005B7A0000}"/>
    <cellStyle name="Input 3 3 2 3 2 2 2" xfId="36731" xr:uid="{00000000-0005-0000-0000-00005C7A0000}"/>
    <cellStyle name="Input 3 3 2 3 2 3" xfId="19808" xr:uid="{00000000-0005-0000-0000-00005D7A0000}"/>
    <cellStyle name="Input 3 3 2 3 2 3 2" xfId="39161" xr:uid="{00000000-0005-0000-0000-00005E7A0000}"/>
    <cellStyle name="Input 3 3 2 3 2 4" xfId="22319" xr:uid="{00000000-0005-0000-0000-00005F7A0000}"/>
    <cellStyle name="Input 3 3 2 3 2 4 2" xfId="41661" xr:uid="{00000000-0005-0000-0000-0000607A0000}"/>
    <cellStyle name="Input 3 3 2 3 2 5" xfId="34260" xr:uid="{00000000-0005-0000-0000-0000617A0000}"/>
    <cellStyle name="Input 3 3 2 3 3" xfId="15446" xr:uid="{00000000-0005-0000-0000-0000627A0000}"/>
    <cellStyle name="Input 3 3 2 3 3 2" xfId="17922" xr:uid="{00000000-0005-0000-0000-0000637A0000}"/>
    <cellStyle name="Input 3 3 2 3 3 2 2" xfId="37276" xr:uid="{00000000-0005-0000-0000-0000647A0000}"/>
    <cellStyle name="Input 3 3 2 3 3 3" xfId="20353" xr:uid="{00000000-0005-0000-0000-0000657A0000}"/>
    <cellStyle name="Input 3 3 2 3 3 3 2" xfId="39706" xr:uid="{00000000-0005-0000-0000-0000667A0000}"/>
    <cellStyle name="Input 3 3 2 3 3 4" xfId="22866" xr:uid="{00000000-0005-0000-0000-0000677A0000}"/>
    <cellStyle name="Input 3 3 2 3 3 4 2" xfId="42208" xr:uid="{00000000-0005-0000-0000-0000687A0000}"/>
    <cellStyle name="Input 3 3 2 3 3 5" xfId="34807" xr:uid="{00000000-0005-0000-0000-0000697A0000}"/>
    <cellStyle name="Input 3 3 2 3 4" xfId="15905" xr:uid="{00000000-0005-0000-0000-00006A7A0000}"/>
    <cellStyle name="Input 3 3 2 3 4 2" xfId="18381" xr:uid="{00000000-0005-0000-0000-00006B7A0000}"/>
    <cellStyle name="Input 3 3 2 3 4 2 2" xfId="37735" xr:uid="{00000000-0005-0000-0000-00006C7A0000}"/>
    <cellStyle name="Input 3 3 2 3 4 3" xfId="20812" xr:uid="{00000000-0005-0000-0000-00006D7A0000}"/>
    <cellStyle name="Input 3 3 2 3 4 3 2" xfId="40165" xr:uid="{00000000-0005-0000-0000-00006E7A0000}"/>
    <cellStyle name="Input 3 3 2 3 4 4" xfId="23325" xr:uid="{00000000-0005-0000-0000-00006F7A0000}"/>
    <cellStyle name="Input 3 3 2 3 4 4 2" xfId="42667" xr:uid="{00000000-0005-0000-0000-0000707A0000}"/>
    <cellStyle name="Input 3 3 2 3 4 5" xfId="35266" xr:uid="{00000000-0005-0000-0000-0000717A0000}"/>
    <cellStyle name="Input 3 3 2 3 5" xfId="16624" xr:uid="{00000000-0005-0000-0000-0000727A0000}"/>
    <cellStyle name="Input 3 3 2 3 5 2" xfId="35978" xr:uid="{00000000-0005-0000-0000-0000737A0000}"/>
    <cellStyle name="Input 3 3 2 3 6" xfId="19055" xr:uid="{00000000-0005-0000-0000-0000747A0000}"/>
    <cellStyle name="Input 3 3 2 3 6 2" xfId="38408" xr:uid="{00000000-0005-0000-0000-0000757A0000}"/>
    <cellStyle name="Input 3 3 2 3 7" xfId="21541" xr:uid="{00000000-0005-0000-0000-0000767A0000}"/>
    <cellStyle name="Input 3 3 2 3 7 2" xfId="40883" xr:uid="{00000000-0005-0000-0000-0000777A0000}"/>
    <cellStyle name="Input 3 3 2 3 8" xfId="33482" xr:uid="{00000000-0005-0000-0000-0000787A0000}"/>
    <cellStyle name="Input 3 3 2 4" xfId="14413" xr:uid="{00000000-0005-0000-0000-0000797A0000}"/>
    <cellStyle name="Input 3 3 2 4 2" xfId="16903" xr:uid="{00000000-0005-0000-0000-00007A7A0000}"/>
    <cellStyle name="Input 3 3 2 4 2 2" xfId="36257" xr:uid="{00000000-0005-0000-0000-00007B7A0000}"/>
    <cellStyle name="Input 3 3 2 4 3" xfId="19334" xr:uid="{00000000-0005-0000-0000-00007C7A0000}"/>
    <cellStyle name="Input 3 3 2 4 3 2" xfId="38687" xr:uid="{00000000-0005-0000-0000-00007D7A0000}"/>
    <cellStyle name="Input 3 3 2 4 4" xfId="21833" xr:uid="{00000000-0005-0000-0000-00007E7A0000}"/>
    <cellStyle name="Input 3 3 2 4 4 2" xfId="41175" xr:uid="{00000000-0005-0000-0000-00007F7A0000}"/>
    <cellStyle name="Input 3 3 2 4 5" xfId="33774" xr:uid="{00000000-0005-0000-0000-0000807A0000}"/>
    <cellStyle name="Input 3 3 2 5" xfId="15039" xr:uid="{00000000-0005-0000-0000-0000817A0000}"/>
    <cellStyle name="Input 3 3 2 5 2" xfId="17515" xr:uid="{00000000-0005-0000-0000-0000827A0000}"/>
    <cellStyle name="Input 3 3 2 5 2 2" xfId="36869" xr:uid="{00000000-0005-0000-0000-0000837A0000}"/>
    <cellStyle name="Input 3 3 2 5 3" xfId="19946" xr:uid="{00000000-0005-0000-0000-0000847A0000}"/>
    <cellStyle name="Input 3 3 2 5 3 2" xfId="39299" xr:uid="{00000000-0005-0000-0000-0000857A0000}"/>
    <cellStyle name="Input 3 3 2 5 4" xfId="22459" xr:uid="{00000000-0005-0000-0000-0000867A0000}"/>
    <cellStyle name="Input 3 3 2 5 4 2" xfId="41801" xr:uid="{00000000-0005-0000-0000-0000877A0000}"/>
    <cellStyle name="Input 3 3 2 5 5" xfId="34400" xr:uid="{00000000-0005-0000-0000-0000887A0000}"/>
    <cellStyle name="Input 3 3 2 6" xfId="18553" xr:uid="{00000000-0005-0000-0000-0000897A0000}"/>
    <cellStyle name="Input 3 3 2 6 2" xfId="37906" xr:uid="{00000000-0005-0000-0000-00008A7A0000}"/>
    <cellStyle name="Input 3 3 2 7" xfId="21038" xr:uid="{00000000-0005-0000-0000-00008B7A0000}"/>
    <cellStyle name="Input 3 3 2 7 2" xfId="40380" xr:uid="{00000000-0005-0000-0000-00008C7A0000}"/>
    <cellStyle name="Input 3 3 2 8" xfId="32968" xr:uid="{00000000-0005-0000-0000-00008D7A0000}"/>
    <cellStyle name="Input 3 3 3" xfId="13669" xr:uid="{00000000-0005-0000-0000-00008E7A0000}"/>
    <cellStyle name="Input 3 3 3 2" xfId="13967" xr:uid="{00000000-0005-0000-0000-00008F7A0000}"/>
    <cellStyle name="Input 3 3 3 2 2" xfId="14762" xr:uid="{00000000-0005-0000-0000-0000907A0000}"/>
    <cellStyle name="Input 3 3 3 2 2 2" xfId="17240" xr:uid="{00000000-0005-0000-0000-0000917A0000}"/>
    <cellStyle name="Input 3 3 3 2 2 2 2" xfId="36594" xr:uid="{00000000-0005-0000-0000-0000927A0000}"/>
    <cellStyle name="Input 3 3 3 2 2 3" xfId="19671" xr:uid="{00000000-0005-0000-0000-0000937A0000}"/>
    <cellStyle name="Input 3 3 3 2 2 3 2" xfId="39024" xr:uid="{00000000-0005-0000-0000-0000947A0000}"/>
    <cellStyle name="Input 3 3 3 2 2 4" xfId="22182" xr:uid="{00000000-0005-0000-0000-0000957A0000}"/>
    <cellStyle name="Input 3 3 3 2 2 4 2" xfId="41524" xr:uid="{00000000-0005-0000-0000-0000967A0000}"/>
    <cellStyle name="Input 3 3 3 2 2 5" xfId="34123" xr:uid="{00000000-0005-0000-0000-0000977A0000}"/>
    <cellStyle name="Input 3 3 3 2 3" xfId="15310" xr:uid="{00000000-0005-0000-0000-0000987A0000}"/>
    <cellStyle name="Input 3 3 3 2 3 2" xfId="17786" xr:uid="{00000000-0005-0000-0000-0000997A0000}"/>
    <cellStyle name="Input 3 3 3 2 3 2 2" xfId="37140" xr:uid="{00000000-0005-0000-0000-00009A7A0000}"/>
    <cellStyle name="Input 3 3 3 2 3 3" xfId="20217" xr:uid="{00000000-0005-0000-0000-00009B7A0000}"/>
    <cellStyle name="Input 3 3 3 2 3 3 2" xfId="39570" xr:uid="{00000000-0005-0000-0000-00009C7A0000}"/>
    <cellStyle name="Input 3 3 3 2 3 4" xfId="22730" xr:uid="{00000000-0005-0000-0000-00009D7A0000}"/>
    <cellStyle name="Input 3 3 3 2 3 4 2" xfId="42072" xr:uid="{00000000-0005-0000-0000-00009E7A0000}"/>
    <cellStyle name="Input 3 3 3 2 3 5" xfId="34671" xr:uid="{00000000-0005-0000-0000-00009F7A0000}"/>
    <cellStyle name="Input 3 3 3 2 4" xfId="15769" xr:uid="{00000000-0005-0000-0000-0000A07A0000}"/>
    <cellStyle name="Input 3 3 3 2 4 2" xfId="18245" xr:uid="{00000000-0005-0000-0000-0000A17A0000}"/>
    <cellStyle name="Input 3 3 3 2 4 2 2" xfId="37599" xr:uid="{00000000-0005-0000-0000-0000A27A0000}"/>
    <cellStyle name="Input 3 3 3 2 4 3" xfId="20676" xr:uid="{00000000-0005-0000-0000-0000A37A0000}"/>
    <cellStyle name="Input 3 3 3 2 4 3 2" xfId="40029" xr:uid="{00000000-0005-0000-0000-0000A47A0000}"/>
    <cellStyle name="Input 3 3 3 2 4 4" xfId="23189" xr:uid="{00000000-0005-0000-0000-0000A57A0000}"/>
    <cellStyle name="Input 3 3 3 2 4 4 2" xfId="42531" xr:uid="{00000000-0005-0000-0000-0000A67A0000}"/>
    <cellStyle name="Input 3 3 3 2 4 5" xfId="35130" xr:uid="{00000000-0005-0000-0000-0000A77A0000}"/>
    <cellStyle name="Input 3 3 3 2 5" xfId="16473" xr:uid="{00000000-0005-0000-0000-0000A87A0000}"/>
    <cellStyle name="Input 3 3 3 2 5 2" xfId="35827" xr:uid="{00000000-0005-0000-0000-0000A97A0000}"/>
    <cellStyle name="Input 3 3 3 2 6" xfId="18904" xr:uid="{00000000-0005-0000-0000-0000AA7A0000}"/>
    <cellStyle name="Input 3 3 3 2 6 2" xfId="38257" xr:uid="{00000000-0005-0000-0000-0000AB7A0000}"/>
    <cellStyle name="Input 3 3 3 2 7" xfId="21390" xr:uid="{00000000-0005-0000-0000-0000AC7A0000}"/>
    <cellStyle name="Input 3 3 3 2 7 2" xfId="40732" xr:uid="{00000000-0005-0000-0000-0000AD7A0000}"/>
    <cellStyle name="Input 3 3 3 2 8" xfId="33331" xr:uid="{00000000-0005-0000-0000-0000AE7A0000}"/>
    <cellStyle name="Input 3 3 3 3" xfId="14180" xr:uid="{00000000-0005-0000-0000-0000AF7A0000}"/>
    <cellStyle name="Input 3 3 3 3 2" xfId="14957" xr:uid="{00000000-0005-0000-0000-0000B07A0000}"/>
    <cellStyle name="Input 3 3 3 3 2 2" xfId="17435" xr:uid="{00000000-0005-0000-0000-0000B17A0000}"/>
    <cellStyle name="Input 3 3 3 3 2 2 2" xfId="36789" xr:uid="{00000000-0005-0000-0000-0000B27A0000}"/>
    <cellStyle name="Input 3 3 3 3 2 3" xfId="19866" xr:uid="{00000000-0005-0000-0000-0000B37A0000}"/>
    <cellStyle name="Input 3 3 3 3 2 3 2" xfId="39219" xr:uid="{00000000-0005-0000-0000-0000B47A0000}"/>
    <cellStyle name="Input 3 3 3 3 2 4" xfId="22377" xr:uid="{00000000-0005-0000-0000-0000B57A0000}"/>
    <cellStyle name="Input 3 3 3 3 2 4 2" xfId="41719" xr:uid="{00000000-0005-0000-0000-0000B67A0000}"/>
    <cellStyle name="Input 3 3 3 3 2 5" xfId="34318" xr:uid="{00000000-0005-0000-0000-0000B77A0000}"/>
    <cellStyle name="Input 3 3 3 3 3" xfId="15503" xr:uid="{00000000-0005-0000-0000-0000B87A0000}"/>
    <cellStyle name="Input 3 3 3 3 3 2" xfId="17979" xr:uid="{00000000-0005-0000-0000-0000B97A0000}"/>
    <cellStyle name="Input 3 3 3 3 3 2 2" xfId="37333" xr:uid="{00000000-0005-0000-0000-0000BA7A0000}"/>
    <cellStyle name="Input 3 3 3 3 3 3" xfId="20410" xr:uid="{00000000-0005-0000-0000-0000BB7A0000}"/>
    <cellStyle name="Input 3 3 3 3 3 3 2" xfId="39763" xr:uid="{00000000-0005-0000-0000-0000BC7A0000}"/>
    <cellStyle name="Input 3 3 3 3 3 4" xfId="22923" xr:uid="{00000000-0005-0000-0000-0000BD7A0000}"/>
    <cellStyle name="Input 3 3 3 3 3 4 2" xfId="42265" xr:uid="{00000000-0005-0000-0000-0000BE7A0000}"/>
    <cellStyle name="Input 3 3 3 3 3 5" xfId="34864" xr:uid="{00000000-0005-0000-0000-0000BF7A0000}"/>
    <cellStyle name="Input 3 3 3 3 4" xfId="15962" xr:uid="{00000000-0005-0000-0000-0000C07A0000}"/>
    <cellStyle name="Input 3 3 3 3 4 2" xfId="18438" xr:uid="{00000000-0005-0000-0000-0000C17A0000}"/>
    <cellStyle name="Input 3 3 3 3 4 2 2" xfId="37792" xr:uid="{00000000-0005-0000-0000-0000C27A0000}"/>
    <cellStyle name="Input 3 3 3 3 4 3" xfId="20869" xr:uid="{00000000-0005-0000-0000-0000C37A0000}"/>
    <cellStyle name="Input 3 3 3 3 4 3 2" xfId="40222" xr:uid="{00000000-0005-0000-0000-0000C47A0000}"/>
    <cellStyle name="Input 3 3 3 3 4 4" xfId="23382" xr:uid="{00000000-0005-0000-0000-0000C57A0000}"/>
    <cellStyle name="Input 3 3 3 3 4 4 2" xfId="42724" xr:uid="{00000000-0005-0000-0000-0000C67A0000}"/>
    <cellStyle name="Input 3 3 3 3 4 5" xfId="35323" xr:uid="{00000000-0005-0000-0000-0000C77A0000}"/>
    <cellStyle name="Input 3 3 3 3 5" xfId="16686" xr:uid="{00000000-0005-0000-0000-0000C87A0000}"/>
    <cellStyle name="Input 3 3 3 3 5 2" xfId="36040" xr:uid="{00000000-0005-0000-0000-0000C97A0000}"/>
    <cellStyle name="Input 3 3 3 3 6" xfId="19117" xr:uid="{00000000-0005-0000-0000-0000CA7A0000}"/>
    <cellStyle name="Input 3 3 3 3 6 2" xfId="38470" xr:uid="{00000000-0005-0000-0000-0000CB7A0000}"/>
    <cellStyle name="Input 3 3 3 3 7" xfId="21603" xr:uid="{00000000-0005-0000-0000-0000CC7A0000}"/>
    <cellStyle name="Input 3 3 3 3 7 2" xfId="40945" xr:uid="{00000000-0005-0000-0000-0000CD7A0000}"/>
    <cellStyle name="Input 3 3 3 3 8" xfId="33544" xr:uid="{00000000-0005-0000-0000-0000CE7A0000}"/>
    <cellStyle name="Input 3 3 3 4" xfId="14477" xr:uid="{00000000-0005-0000-0000-0000CF7A0000}"/>
    <cellStyle name="Input 3 3 3 4 2" xfId="16967" xr:uid="{00000000-0005-0000-0000-0000D07A0000}"/>
    <cellStyle name="Input 3 3 3 4 2 2" xfId="36321" xr:uid="{00000000-0005-0000-0000-0000D17A0000}"/>
    <cellStyle name="Input 3 3 3 4 3" xfId="19398" xr:uid="{00000000-0005-0000-0000-0000D27A0000}"/>
    <cellStyle name="Input 3 3 3 4 3 2" xfId="38751" xr:uid="{00000000-0005-0000-0000-0000D37A0000}"/>
    <cellStyle name="Input 3 3 3 4 4" xfId="21897" xr:uid="{00000000-0005-0000-0000-0000D47A0000}"/>
    <cellStyle name="Input 3 3 3 4 4 2" xfId="41239" xr:uid="{00000000-0005-0000-0000-0000D57A0000}"/>
    <cellStyle name="Input 3 3 3 4 5" xfId="33838" xr:uid="{00000000-0005-0000-0000-0000D67A0000}"/>
    <cellStyle name="Input 3 3 3 5" xfId="16189" xr:uid="{00000000-0005-0000-0000-0000D77A0000}"/>
    <cellStyle name="Input 3 3 3 5 2" xfId="35543" xr:uid="{00000000-0005-0000-0000-0000D87A0000}"/>
    <cellStyle name="Input 3 3 3 6" xfId="18620" xr:uid="{00000000-0005-0000-0000-0000D97A0000}"/>
    <cellStyle name="Input 3 3 3 6 2" xfId="37973" xr:uid="{00000000-0005-0000-0000-0000DA7A0000}"/>
    <cellStyle name="Input 3 3 3 7" xfId="21094" xr:uid="{00000000-0005-0000-0000-0000DB7A0000}"/>
    <cellStyle name="Input 3 3 3 7 2" xfId="40436" xr:uid="{00000000-0005-0000-0000-0000DC7A0000}"/>
    <cellStyle name="Input 3 3 3 8" xfId="33035" xr:uid="{00000000-0005-0000-0000-0000DD7A0000}"/>
    <cellStyle name="Input 3 3 4" xfId="13790" xr:uid="{00000000-0005-0000-0000-0000DE7A0000}"/>
    <cellStyle name="Input 3 3 4 2" xfId="14589" xr:uid="{00000000-0005-0000-0000-0000DF7A0000}"/>
    <cellStyle name="Input 3 3 4 2 2" xfId="17073" xr:uid="{00000000-0005-0000-0000-0000E07A0000}"/>
    <cellStyle name="Input 3 3 4 2 2 2" xfId="36427" xr:uid="{00000000-0005-0000-0000-0000E17A0000}"/>
    <cellStyle name="Input 3 3 4 2 3" xfId="19504" xr:uid="{00000000-0005-0000-0000-0000E27A0000}"/>
    <cellStyle name="Input 3 3 4 2 3 2" xfId="38857" xr:uid="{00000000-0005-0000-0000-0000E37A0000}"/>
    <cellStyle name="Input 3 3 4 2 4" xfId="22009" xr:uid="{00000000-0005-0000-0000-0000E47A0000}"/>
    <cellStyle name="Input 3 3 4 2 4 2" xfId="41351" xr:uid="{00000000-0005-0000-0000-0000E57A0000}"/>
    <cellStyle name="Input 3 3 4 2 5" xfId="33950" xr:uid="{00000000-0005-0000-0000-0000E67A0000}"/>
    <cellStyle name="Input 3 3 4 3" xfId="15146" xr:uid="{00000000-0005-0000-0000-0000E77A0000}"/>
    <cellStyle name="Input 3 3 4 3 2" xfId="17622" xr:uid="{00000000-0005-0000-0000-0000E87A0000}"/>
    <cellStyle name="Input 3 3 4 3 2 2" xfId="36976" xr:uid="{00000000-0005-0000-0000-0000E97A0000}"/>
    <cellStyle name="Input 3 3 4 3 3" xfId="20053" xr:uid="{00000000-0005-0000-0000-0000EA7A0000}"/>
    <cellStyle name="Input 3 3 4 3 3 2" xfId="39406" xr:uid="{00000000-0005-0000-0000-0000EB7A0000}"/>
    <cellStyle name="Input 3 3 4 3 4" xfId="22566" xr:uid="{00000000-0005-0000-0000-0000EC7A0000}"/>
    <cellStyle name="Input 3 3 4 3 4 2" xfId="41908" xr:uid="{00000000-0005-0000-0000-0000ED7A0000}"/>
    <cellStyle name="Input 3 3 4 3 5" xfId="34507" xr:uid="{00000000-0005-0000-0000-0000EE7A0000}"/>
    <cellStyle name="Input 3 3 4 4" xfId="15627" xr:uid="{00000000-0005-0000-0000-0000EF7A0000}"/>
    <cellStyle name="Input 3 3 4 4 2" xfId="18103" xr:uid="{00000000-0005-0000-0000-0000F07A0000}"/>
    <cellStyle name="Input 3 3 4 4 2 2" xfId="37457" xr:uid="{00000000-0005-0000-0000-0000F17A0000}"/>
    <cellStyle name="Input 3 3 4 4 3" xfId="20534" xr:uid="{00000000-0005-0000-0000-0000F27A0000}"/>
    <cellStyle name="Input 3 3 4 4 3 2" xfId="39887" xr:uid="{00000000-0005-0000-0000-0000F37A0000}"/>
    <cellStyle name="Input 3 3 4 4 4" xfId="23047" xr:uid="{00000000-0005-0000-0000-0000F47A0000}"/>
    <cellStyle name="Input 3 3 4 4 4 2" xfId="42389" xr:uid="{00000000-0005-0000-0000-0000F57A0000}"/>
    <cellStyle name="Input 3 3 4 4 5" xfId="34988" xr:uid="{00000000-0005-0000-0000-0000F67A0000}"/>
    <cellStyle name="Input 3 3 4 5" xfId="16302" xr:uid="{00000000-0005-0000-0000-0000F77A0000}"/>
    <cellStyle name="Input 3 3 4 5 2" xfId="35656" xr:uid="{00000000-0005-0000-0000-0000F87A0000}"/>
    <cellStyle name="Input 3 3 4 6" xfId="18733" xr:uid="{00000000-0005-0000-0000-0000F97A0000}"/>
    <cellStyle name="Input 3 3 4 6 2" xfId="38086" xr:uid="{00000000-0005-0000-0000-0000FA7A0000}"/>
    <cellStyle name="Input 3 3 4 7" xfId="21213" xr:uid="{00000000-0005-0000-0000-0000FB7A0000}"/>
    <cellStyle name="Input 3 3 4 7 2" xfId="40555" xr:uid="{00000000-0005-0000-0000-0000FC7A0000}"/>
    <cellStyle name="Input 3 3 4 8" xfId="33154" xr:uid="{00000000-0005-0000-0000-0000FD7A0000}"/>
    <cellStyle name="Input 3 3 5" xfId="14016" xr:uid="{00000000-0005-0000-0000-0000FE7A0000}"/>
    <cellStyle name="Input 3 3 5 2" xfId="14811" xr:uid="{00000000-0005-0000-0000-0000FF7A0000}"/>
    <cellStyle name="Input 3 3 5 2 2" xfId="17289" xr:uid="{00000000-0005-0000-0000-0000007B0000}"/>
    <cellStyle name="Input 3 3 5 2 2 2" xfId="36643" xr:uid="{00000000-0005-0000-0000-0000017B0000}"/>
    <cellStyle name="Input 3 3 5 2 3" xfId="19720" xr:uid="{00000000-0005-0000-0000-0000027B0000}"/>
    <cellStyle name="Input 3 3 5 2 3 2" xfId="39073" xr:uid="{00000000-0005-0000-0000-0000037B0000}"/>
    <cellStyle name="Input 3 3 5 2 4" xfId="22231" xr:uid="{00000000-0005-0000-0000-0000047B0000}"/>
    <cellStyle name="Input 3 3 5 2 4 2" xfId="41573" xr:uid="{00000000-0005-0000-0000-0000057B0000}"/>
    <cellStyle name="Input 3 3 5 2 5" xfId="34172" xr:uid="{00000000-0005-0000-0000-0000067B0000}"/>
    <cellStyle name="Input 3 3 5 3" xfId="15359" xr:uid="{00000000-0005-0000-0000-0000077B0000}"/>
    <cellStyle name="Input 3 3 5 3 2" xfId="17835" xr:uid="{00000000-0005-0000-0000-0000087B0000}"/>
    <cellStyle name="Input 3 3 5 3 2 2" xfId="37189" xr:uid="{00000000-0005-0000-0000-0000097B0000}"/>
    <cellStyle name="Input 3 3 5 3 3" xfId="20266" xr:uid="{00000000-0005-0000-0000-00000A7B0000}"/>
    <cellStyle name="Input 3 3 5 3 3 2" xfId="39619" xr:uid="{00000000-0005-0000-0000-00000B7B0000}"/>
    <cellStyle name="Input 3 3 5 3 4" xfId="22779" xr:uid="{00000000-0005-0000-0000-00000C7B0000}"/>
    <cellStyle name="Input 3 3 5 3 4 2" xfId="42121" xr:uid="{00000000-0005-0000-0000-00000D7B0000}"/>
    <cellStyle name="Input 3 3 5 3 5" xfId="34720" xr:uid="{00000000-0005-0000-0000-00000E7B0000}"/>
    <cellStyle name="Input 3 3 5 4" xfId="15818" xr:uid="{00000000-0005-0000-0000-00000F7B0000}"/>
    <cellStyle name="Input 3 3 5 4 2" xfId="18294" xr:uid="{00000000-0005-0000-0000-0000107B0000}"/>
    <cellStyle name="Input 3 3 5 4 2 2" xfId="37648" xr:uid="{00000000-0005-0000-0000-0000117B0000}"/>
    <cellStyle name="Input 3 3 5 4 3" xfId="20725" xr:uid="{00000000-0005-0000-0000-0000127B0000}"/>
    <cellStyle name="Input 3 3 5 4 3 2" xfId="40078" xr:uid="{00000000-0005-0000-0000-0000137B0000}"/>
    <cellStyle name="Input 3 3 5 4 4" xfId="23238" xr:uid="{00000000-0005-0000-0000-0000147B0000}"/>
    <cellStyle name="Input 3 3 5 4 4 2" xfId="42580" xr:uid="{00000000-0005-0000-0000-0000157B0000}"/>
    <cellStyle name="Input 3 3 5 4 5" xfId="35179" xr:uid="{00000000-0005-0000-0000-0000167B0000}"/>
    <cellStyle name="Input 3 3 5 5" xfId="16522" xr:uid="{00000000-0005-0000-0000-0000177B0000}"/>
    <cellStyle name="Input 3 3 5 5 2" xfId="35876" xr:uid="{00000000-0005-0000-0000-0000187B0000}"/>
    <cellStyle name="Input 3 3 5 6" xfId="18953" xr:uid="{00000000-0005-0000-0000-0000197B0000}"/>
    <cellStyle name="Input 3 3 5 6 2" xfId="38306" xr:uid="{00000000-0005-0000-0000-00001A7B0000}"/>
    <cellStyle name="Input 3 3 5 7" xfId="21439" xr:uid="{00000000-0005-0000-0000-00001B7B0000}"/>
    <cellStyle name="Input 3 3 5 7 2" xfId="40781" xr:uid="{00000000-0005-0000-0000-00001C7B0000}"/>
    <cellStyle name="Input 3 3 5 8" xfId="33380" xr:uid="{00000000-0005-0000-0000-00001D7B0000}"/>
    <cellStyle name="Input 3 3 6" xfId="14308" xr:uid="{00000000-0005-0000-0000-00001E7B0000}"/>
    <cellStyle name="Input 3 3 6 2" xfId="16804" xr:uid="{00000000-0005-0000-0000-00001F7B0000}"/>
    <cellStyle name="Input 3 3 6 2 2" xfId="36158" xr:uid="{00000000-0005-0000-0000-0000207B0000}"/>
    <cellStyle name="Input 3 3 6 3" xfId="19235" xr:uid="{00000000-0005-0000-0000-0000217B0000}"/>
    <cellStyle name="Input 3 3 6 3 2" xfId="38588" xr:uid="{00000000-0005-0000-0000-0000227B0000}"/>
    <cellStyle name="Input 3 3 6 4" xfId="21728" xr:uid="{00000000-0005-0000-0000-0000237B0000}"/>
    <cellStyle name="Input 3 3 6 4 2" xfId="41070" xr:uid="{00000000-0005-0000-0000-0000247B0000}"/>
    <cellStyle name="Input 3 3 6 5" xfId="33669" xr:uid="{00000000-0005-0000-0000-0000257B0000}"/>
    <cellStyle name="Input 3 3 7" xfId="13478" xr:uid="{00000000-0005-0000-0000-0000267B0000}"/>
    <cellStyle name="Input 3 3 7 2" xfId="32856" xr:uid="{00000000-0005-0000-0000-0000277B0000}"/>
    <cellStyle name="Input 3 3 8" xfId="16044" xr:uid="{00000000-0005-0000-0000-0000287B0000}"/>
    <cellStyle name="Input 3 3 8 2" xfId="35398" xr:uid="{00000000-0005-0000-0000-0000297B0000}"/>
    <cellStyle name="Input 3 3 9" xfId="13404" xr:uid="{00000000-0005-0000-0000-00002A7B0000}"/>
    <cellStyle name="Input 3 3 9 2" xfId="32790" xr:uid="{00000000-0005-0000-0000-00002B7B0000}"/>
    <cellStyle name="Input 3 4" xfId="13526" xr:uid="{00000000-0005-0000-0000-00002C7B0000}"/>
    <cellStyle name="Input 3 4 2" xfId="13826" xr:uid="{00000000-0005-0000-0000-00002D7B0000}"/>
    <cellStyle name="Input 3 4 2 2" xfId="14621" xr:uid="{00000000-0005-0000-0000-00002E7B0000}"/>
    <cellStyle name="Input 3 4 2 2 2" xfId="17105" xr:uid="{00000000-0005-0000-0000-00002F7B0000}"/>
    <cellStyle name="Input 3 4 2 2 2 2" xfId="36459" xr:uid="{00000000-0005-0000-0000-0000307B0000}"/>
    <cellStyle name="Input 3 4 2 2 3" xfId="19536" xr:uid="{00000000-0005-0000-0000-0000317B0000}"/>
    <cellStyle name="Input 3 4 2 2 3 2" xfId="38889" xr:uid="{00000000-0005-0000-0000-0000327B0000}"/>
    <cellStyle name="Input 3 4 2 2 4" xfId="22041" xr:uid="{00000000-0005-0000-0000-0000337B0000}"/>
    <cellStyle name="Input 3 4 2 2 4 2" xfId="41383" xr:uid="{00000000-0005-0000-0000-0000347B0000}"/>
    <cellStyle name="Input 3 4 2 2 5" xfId="33982" xr:uid="{00000000-0005-0000-0000-0000357B0000}"/>
    <cellStyle name="Input 3 4 2 3" xfId="15178" xr:uid="{00000000-0005-0000-0000-0000367B0000}"/>
    <cellStyle name="Input 3 4 2 3 2" xfId="17654" xr:uid="{00000000-0005-0000-0000-0000377B0000}"/>
    <cellStyle name="Input 3 4 2 3 2 2" xfId="37008" xr:uid="{00000000-0005-0000-0000-0000387B0000}"/>
    <cellStyle name="Input 3 4 2 3 3" xfId="20085" xr:uid="{00000000-0005-0000-0000-0000397B0000}"/>
    <cellStyle name="Input 3 4 2 3 3 2" xfId="39438" xr:uid="{00000000-0005-0000-0000-00003A7B0000}"/>
    <cellStyle name="Input 3 4 2 3 4" xfId="22598" xr:uid="{00000000-0005-0000-0000-00003B7B0000}"/>
    <cellStyle name="Input 3 4 2 3 4 2" xfId="41940" xr:uid="{00000000-0005-0000-0000-00003C7B0000}"/>
    <cellStyle name="Input 3 4 2 3 5" xfId="34539" xr:uid="{00000000-0005-0000-0000-00003D7B0000}"/>
    <cellStyle name="Input 3 4 2 4" xfId="15658" xr:uid="{00000000-0005-0000-0000-00003E7B0000}"/>
    <cellStyle name="Input 3 4 2 4 2" xfId="18134" xr:uid="{00000000-0005-0000-0000-00003F7B0000}"/>
    <cellStyle name="Input 3 4 2 4 2 2" xfId="37488" xr:uid="{00000000-0005-0000-0000-0000407B0000}"/>
    <cellStyle name="Input 3 4 2 4 3" xfId="20565" xr:uid="{00000000-0005-0000-0000-0000417B0000}"/>
    <cellStyle name="Input 3 4 2 4 3 2" xfId="39918" xr:uid="{00000000-0005-0000-0000-0000427B0000}"/>
    <cellStyle name="Input 3 4 2 4 4" xfId="23078" xr:uid="{00000000-0005-0000-0000-0000437B0000}"/>
    <cellStyle name="Input 3 4 2 4 4 2" xfId="42420" xr:uid="{00000000-0005-0000-0000-0000447B0000}"/>
    <cellStyle name="Input 3 4 2 4 5" xfId="35019" xr:uid="{00000000-0005-0000-0000-0000457B0000}"/>
    <cellStyle name="Input 3 4 2 5" xfId="16338" xr:uid="{00000000-0005-0000-0000-0000467B0000}"/>
    <cellStyle name="Input 3 4 2 5 2" xfId="35692" xr:uid="{00000000-0005-0000-0000-0000477B0000}"/>
    <cellStyle name="Input 3 4 2 6" xfId="18769" xr:uid="{00000000-0005-0000-0000-0000487B0000}"/>
    <cellStyle name="Input 3 4 2 6 2" xfId="38122" xr:uid="{00000000-0005-0000-0000-0000497B0000}"/>
    <cellStyle name="Input 3 4 2 7" xfId="21249" xr:uid="{00000000-0005-0000-0000-00004A7B0000}"/>
    <cellStyle name="Input 3 4 2 7 2" xfId="40591" xr:uid="{00000000-0005-0000-0000-00004B7B0000}"/>
    <cellStyle name="Input 3 4 2 8" xfId="33190" xr:uid="{00000000-0005-0000-0000-00004C7B0000}"/>
    <cellStyle name="Input 3 4 3" xfId="14047" xr:uid="{00000000-0005-0000-0000-00004D7B0000}"/>
    <cellStyle name="Input 3 4 3 2" xfId="14842" xr:uid="{00000000-0005-0000-0000-00004E7B0000}"/>
    <cellStyle name="Input 3 4 3 2 2" xfId="17320" xr:uid="{00000000-0005-0000-0000-00004F7B0000}"/>
    <cellStyle name="Input 3 4 3 2 2 2" xfId="36674" xr:uid="{00000000-0005-0000-0000-0000507B0000}"/>
    <cellStyle name="Input 3 4 3 2 3" xfId="19751" xr:uid="{00000000-0005-0000-0000-0000517B0000}"/>
    <cellStyle name="Input 3 4 3 2 3 2" xfId="39104" xr:uid="{00000000-0005-0000-0000-0000527B0000}"/>
    <cellStyle name="Input 3 4 3 2 4" xfId="22262" xr:uid="{00000000-0005-0000-0000-0000537B0000}"/>
    <cellStyle name="Input 3 4 3 2 4 2" xfId="41604" xr:uid="{00000000-0005-0000-0000-0000547B0000}"/>
    <cellStyle name="Input 3 4 3 2 5" xfId="34203" xr:uid="{00000000-0005-0000-0000-0000557B0000}"/>
    <cellStyle name="Input 3 4 3 3" xfId="15390" xr:uid="{00000000-0005-0000-0000-0000567B0000}"/>
    <cellStyle name="Input 3 4 3 3 2" xfId="17866" xr:uid="{00000000-0005-0000-0000-0000577B0000}"/>
    <cellStyle name="Input 3 4 3 3 2 2" xfId="37220" xr:uid="{00000000-0005-0000-0000-0000587B0000}"/>
    <cellStyle name="Input 3 4 3 3 3" xfId="20297" xr:uid="{00000000-0005-0000-0000-0000597B0000}"/>
    <cellStyle name="Input 3 4 3 3 3 2" xfId="39650" xr:uid="{00000000-0005-0000-0000-00005A7B0000}"/>
    <cellStyle name="Input 3 4 3 3 4" xfId="22810" xr:uid="{00000000-0005-0000-0000-00005B7B0000}"/>
    <cellStyle name="Input 3 4 3 3 4 2" xfId="42152" xr:uid="{00000000-0005-0000-0000-00005C7B0000}"/>
    <cellStyle name="Input 3 4 3 3 5" xfId="34751" xr:uid="{00000000-0005-0000-0000-00005D7B0000}"/>
    <cellStyle name="Input 3 4 3 4" xfId="15849" xr:uid="{00000000-0005-0000-0000-00005E7B0000}"/>
    <cellStyle name="Input 3 4 3 4 2" xfId="18325" xr:uid="{00000000-0005-0000-0000-00005F7B0000}"/>
    <cellStyle name="Input 3 4 3 4 2 2" xfId="37679" xr:uid="{00000000-0005-0000-0000-0000607B0000}"/>
    <cellStyle name="Input 3 4 3 4 3" xfId="20756" xr:uid="{00000000-0005-0000-0000-0000617B0000}"/>
    <cellStyle name="Input 3 4 3 4 3 2" xfId="40109" xr:uid="{00000000-0005-0000-0000-0000627B0000}"/>
    <cellStyle name="Input 3 4 3 4 4" xfId="23269" xr:uid="{00000000-0005-0000-0000-0000637B0000}"/>
    <cellStyle name="Input 3 4 3 4 4 2" xfId="42611" xr:uid="{00000000-0005-0000-0000-0000647B0000}"/>
    <cellStyle name="Input 3 4 3 4 5" xfId="35210" xr:uid="{00000000-0005-0000-0000-0000657B0000}"/>
    <cellStyle name="Input 3 4 3 5" xfId="16553" xr:uid="{00000000-0005-0000-0000-0000667B0000}"/>
    <cellStyle name="Input 3 4 3 5 2" xfId="35907" xr:uid="{00000000-0005-0000-0000-0000677B0000}"/>
    <cellStyle name="Input 3 4 3 6" xfId="18984" xr:uid="{00000000-0005-0000-0000-0000687B0000}"/>
    <cellStyle name="Input 3 4 3 6 2" xfId="38337" xr:uid="{00000000-0005-0000-0000-0000697B0000}"/>
    <cellStyle name="Input 3 4 3 7" xfId="21470" xr:uid="{00000000-0005-0000-0000-00006A7B0000}"/>
    <cellStyle name="Input 3 4 3 7 2" xfId="40812" xr:uid="{00000000-0005-0000-0000-00006B7B0000}"/>
    <cellStyle name="Input 3 4 3 8" xfId="33411" xr:uid="{00000000-0005-0000-0000-00006C7B0000}"/>
    <cellStyle name="Input 3 4 4" xfId="14342" xr:uid="{00000000-0005-0000-0000-00006D7B0000}"/>
    <cellStyle name="Input 3 4 4 2" xfId="16838" xr:uid="{00000000-0005-0000-0000-00006E7B0000}"/>
    <cellStyle name="Input 3 4 4 2 2" xfId="36192" xr:uid="{00000000-0005-0000-0000-00006F7B0000}"/>
    <cellStyle name="Input 3 4 4 3" xfId="19269" xr:uid="{00000000-0005-0000-0000-0000707B0000}"/>
    <cellStyle name="Input 3 4 4 3 2" xfId="38622" xr:uid="{00000000-0005-0000-0000-0000717B0000}"/>
    <cellStyle name="Input 3 4 4 4" xfId="21762" xr:uid="{00000000-0005-0000-0000-0000727B0000}"/>
    <cellStyle name="Input 3 4 4 4 2" xfId="41104" xr:uid="{00000000-0005-0000-0000-0000737B0000}"/>
    <cellStyle name="Input 3 4 4 5" xfId="33703" xr:uid="{00000000-0005-0000-0000-0000747B0000}"/>
    <cellStyle name="Input 3 4 5" xfId="14978" xr:uid="{00000000-0005-0000-0000-0000757B0000}"/>
    <cellStyle name="Input 3 4 5 2" xfId="17454" xr:uid="{00000000-0005-0000-0000-0000767B0000}"/>
    <cellStyle name="Input 3 4 5 2 2" xfId="36808" xr:uid="{00000000-0005-0000-0000-0000777B0000}"/>
    <cellStyle name="Input 3 4 5 3" xfId="19885" xr:uid="{00000000-0005-0000-0000-0000787B0000}"/>
    <cellStyle name="Input 3 4 5 3 2" xfId="39238" xr:uid="{00000000-0005-0000-0000-0000797B0000}"/>
    <cellStyle name="Input 3 4 5 4" xfId="22398" xr:uid="{00000000-0005-0000-0000-00007A7B0000}"/>
    <cellStyle name="Input 3 4 5 4 2" xfId="41740" xr:uid="{00000000-0005-0000-0000-00007B7B0000}"/>
    <cellStyle name="Input 3 4 5 5" xfId="34339" xr:uid="{00000000-0005-0000-0000-00007C7B0000}"/>
    <cellStyle name="Input 3 4 6" xfId="18487" xr:uid="{00000000-0005-0000-0000-00007D7B0000}"/>
    <cellStyle name="Input 3 4 6 2" xfId="37840" xr:uid="{00000000-0005-0000-0000-00007E7B0000}"/>
    <cellStyle name="Input 3 4 7" xfId="21013" xr:uid="{00000000-0005-0000-0000-00007F7B0000}"/>
    <cellStyle name="Input 3 4 7 2" xfId="40355" xr:uid="{00000000-0005-0000-0000-0000807B0000}"/>
    <cellStyle name="Input 3 4 8" xfId="32901" xr:uid="{00000000-0005-0000-0000-0000817B0000}"/>
    <cellStyle name="Input 3 5" xfId="13696" xr:uid="{00000000-0005-0000-0000-0000827B0000}"/>
    <cellStyle name="Input 3 5 2" xfId="14499" xr:uid="{00000000-0005-0000-0000-0000837B0000}"/>
    <cellStyle name="Input 3 5 2 2" xfId="16989" xr:uid="{00000000-0005-0000-0000-0000847B0000}"/>
    <cellStyle name="Input 3 5 2 2 2" xfId="36343" xr:uid="{00000000-0005-0000-0000-0000857B0000}"/>
    <cellStyle name="Input 3 5 2 3" xfId="19420" xr:uid="{00000000-0005-0000-0000-0000867B0000}"/>
    <cellStyle name="Input 3 5 2 3 2" xfId="38773" xr:uid="{00000000-0005-0000-0000-0000877B0000}"/>
    <cellStyle name="Input 3 5 2 4" xfId="21919" xr:uid="{00000000-0005-0000-0000-0000887B0000}"/>
    <cellStyle name="Input 3 5 2 4 2" xfId="41261" xr:uid="{00000000-0005-0000-0000-0000897B0000}"/>
    <cellStyle name="Input 3 5 2 5" xfId="33860" xr:uid="{00000000-0005-0000-0000-00008A7B0000}"/>
    <cellStyle name="Input 3 5 3" xfId="15063" xr:uid="{00000000-0005-0000-0000-00008B7B0000}"/>
    <cellStyle name="Input 3 5 3 2" xfId="17539" xr:uid="{00000000-0005-0000-0000-00008C7B0000}"/>
    <cellStyle name="Input 3 5 3 2 2" xfId="36893" xr:uid="{00000000-0005-0000-0000-00008D7B0000}"/>
    <cellStyle name="Input 3 5 3 3" xfId="19970" xr:uid="{00000000-0005-0000-0000-00008E7B0000}"/>
    <cellStyle name="Input 3 5 3 3 2" xfId="39323" xr:uid="{00000000-0005-0000-0000-00008F7B0000}"/>
    <cellStyle name="Input 3 5 3 4" xfId="22483" xr:uid="{00000000-0005-0000-0000-0000907B0000}"/>
    <cellStyle name="Input 3 5 3 4 2" xfId="41825" xr:uid="{00000000-0005-0000-0000-0000917B0000}"/>
    <cellStyle name="Input 3 5 3 5" xfId="34424" xr:uid="{00000000-0005-0000-0000-0000927B0000}"/>
    <cellStyle name="Input 3 5 4" xfId="15546" xr:uid="{00000000-0005-0000-0000-0000937B0000}"/>
    <cellStyle name="Input 3 5 4 2" xfId="18022" xr:uid="{00000000-0005-0000-0000-0000947B0000}"/>
    <cellStyle name="Input 3 5 4 2 2" xfId="37376" xr:uid="{00000000-0005-0000-0000-0000957B0000}"/>
    <cellStyle name="Input 3 5 4 3" xfId="20453" xr:uid="{00000000-0005-0000-0000-0000967B0000}"/>
    <cellStyle name="Input 3 5 4 3 2" xfId="39806" xr:uid="{00000000-0005-0000-0000-0000977B0000}"/>
    <cellStyle name="Input 3 5 4 4" xfId="22966" xr:uid="{00000000-0005-0000-0000-0000987B0000}"/>
    <cellStyle name="Input 3 5 4 4 2" xfId="42308" xr:uid="{00000000-0005-0000-0000-0000997B0000}"/>
    <cellStyle name="Input 3 5 4 5" xfId="34907" xr:uid="{00000000-0005-0000-0000-00009A7B0000}"/>
    <cellStyle name="Input 3 5 5" xfId="16215" xr:uid="{00000000-0005-0000-0000-00009B7B0000}"/>
    <cellStyle name="Input 3 5 5 2" xfId="35569" xr:uid="{00000000-0005-0000-0000-00009C7B0000}"/>
    <cellStyle name="Input 3 5 6" xfId="18646" xr:uid="{00000000-0005-0000-0000-00009D7B0000}"/>
    <cellStyle name="Input 3 5 6 2" xfId="37999" xr:uid="{00000000-0005-0000-0000-00009E7B0000}"/>
    <cellStyle name="Input 3 5 7" xfId="21120" xr:uid="{00000000-0005-0000-0000-00009F7B0000}"/>
    <cellStyle name="Input 3 5 7 2" xfId="40462" xr:uid="{00000000-0005-0000-0000-0000A07B0000}"/>
    <cellStyle name="Input 3 5 8" xfId="33061" xr:uid="{00000000-0005-0000-0000-0000A17B0000}"/>
    <cellStyle name="Input 3 6" xfId="13333" xr:uid="{00000000-0005-0000-0000-0000A27B0000}"/>
    <cellStyle name="Input 3 6 2" xfId="32751" xr:uid="{00000000-0005-0000-0000-0000A37B0000}"/>
    <cellStyle name="Input 3 7" xfId="13205" xr:uid="{00000000-0005-0000-0000-0000A47B0000}"/>
    <cellStyle name="Input 3 7 2" xfId="32673" xr:uid="{00000000-0005-0000-0000-0000A57B0000}"/>
    <cellStyle name="Input 3 8" xfId="20905" xr:uid="{00000000-0005-0000-0000-0000A67B0000}"/>
    <cellStyle name="Input 3 8 2" xfId="40250" xr:uid="{00000000-0005-0000-0000-0000A77B0000}"/>
    <cellStyle name="Input 4" xfId="2672" xr:uid="{00000000-0005-0000-0000-0000A87B0000}"/>
    <cellStyle name="Input 4 2" xfId="13453" xr:uid="{00000000-0005-0000-0000-0000A97B0000}"/>
    <cellStyle name="Input 4 2 2" xfId="13580" xr:uid="{00000000-0005-0000-0000-0000AA7B0000}"/>
    <cellStyle name="Input 4 2 2 2" xfId="13879" xr:uid="{00000000-0005-0000-0000-0000AB7B0000}"/>
    <cellStyle name="Input 4 2 2 2 2" xfId="14674" xr:uid="{00000000-0005-0000-0000-0000AC7B0000}"/>
    <cellStyle name="Input 4 2 2 2 2 2" xfId="17155" xr:uid="{00000000-0005-0000-0000-0000AD7B0000}"/>
    <cellStyle name="Input 4 2 2 2 2 2 2" xfId="36509" xr:uid="{00000000-0005-0000-0000-0000AE7B0000}"/>
    <cellStyle name="Input 4 2 2 2 2 3" xfId="19586" xr:uid="{00000000-0005-0000-0000-0000AF7B0000}"/>
    <cellStyle name="Input 4 2 2 2 2 3 2" xfId="38939" xr:uid="{00000000-0005-0000-0000-0000B07B0000}"/>
    <cellStyle name="Input 4 2 2 2 2 4" xfId="22094" xr:uid="{00000000-0005-0000-0000-0000B17B0000}"/>
    <cellStyle name="Input 4 2 2 2 2 4 2" xfId="41436" xr:uid="{00000000-0005-0000-0000-0000B27B0000}"/>
    <cellStyle name="Input 4 2 2 2 2 5" xfId="34035" xr:uid="{00000000-0005-0000-0000-0000B37B0000}"/>
    <cellStyle name="Input 4 2 2 2 3" xfId="15226" xr:uid="{00000000-0005-0000-0000-0000B47B0000}"/>
    <cellStyle name="Input 4 2 2 2 3 2" xfId="17702" xr:uid="{00000000-0005-0000-0000-0000B57B0000}"/>
    <cellStyle name="Input 4 2 2 2 3 2 2" xfId="37056" xr:uid="{00000000-0005-0000-0000-0000B67B0000}"/>
    <cellStyle name="Input 4 2 2 2 3 3" xfId="20133" xr:uid="{00000000-0005-0000-0000-0000B77B0000}"/>
    <cellStyle name="Input 4 2 2 2 3 3 2" xfId="39486" xr:uid="{00000000-0005-0000-0000-0000B87B0000}"/>
    <cellStyle name="Input 4 2 2 2 3 4" xfId="22646" xr:uid="{00000000-0005-0000-0000-0000B97B0000}"/>
    <cellStyle name="Input 4 2 2 2 3 4 2" xfId="41988" xr:uid="{00000000-0005-0000-0000-0000BA7B0000}"/>
    <cellStyle name="Input 4 2 2 2 3 5" xfId="34587" xr:uid="{00000000-0005-0000-0000-0000BB7B0000}"/>
    <cellStyle name="Input 4 2 2 2 4" xfId="15696" xr:uid="{00000000-0005-0000-0000-0000BC7B0000}"/>
    <cellStyle name="Input 4 2 2 2 4 2" xfId="18172" xr:uid="{00000000-0005-0000-0000-0000BD7B0000}"/>
    <cellStyle name="Input 4 2 2 2 4 2 2" xfId="37526" xr:uid="{00000000-0005-0000-0000-0000BE7B0000}"/>
    <cellStyle name="Input 4 2 2 2 4 3" xfId="20603" xr:uid="{00000000-0005-0000-0000-0000BF7B0000}"/>
    <cellStyle name="Input 4 2 2 2 4 3 2" xfId="39956" xr:uid="{00000000-0005-0000-0000-0000C07B0000}"/>
    <cellStyle name="Input 4 2 2 2 4 4" xfId="23116" xr:uid="{00000000-0005-0000-0000-0000C17B0000}"/>
    <cellStyle name="Input 4 2 2 2 4 4 2" xfId="42458" xr:uid="{00000000-0005-0000-0000-0000C27B0000}"/>
    <cellStyle name="Input 4 2 2 2 4 5" xfId="35057" xr:uid="{00000000-0005-0000-0000-0000C37B0000}"/>
    <cellStyle name="Input 4 2 2 2 5" xfId="16388" xr:uid="{00000000-0005-0000-0000-0000C47B0000}"/>
    <cellStyle name="Input 4 2 2 2 5 2" xfId="35742" xr:uid="{00000000-0005-0000-0000-0000C57B0000}"/>
    <cellStyle name="Input 4 2 2 2 6" xfId="18819" xr:uid="{00000000-0005-0000-0000-0000C67B0000}"/>
    <cellStyle name="Input 4 2 2 2 6 2" xfId="38172" xr:uid="{00000000-0005-0000-0000-0000C77B0000}"/>
    <cellStyle name="Input 4 2 2 2 7" xfId="21302" xr:uid="{00000000-0005-0000-0000-0000C87B0000}"/>
    <cellStyle name="Input 4 2 2 2 7 2" xfId="40644" xr:uid="{00000000-0005-0000-0000-0000C97B0000}"/>
    <cellStyle name="Input 4 2 2 2 8" xfId="33243" xr:uid="{00000000-0005-0000-0000-0000CA7B0000}"/>
    <cellStyle name="Input 4 2 2 3" xfId="14097" xr:uid="{00000000-0005-0000-0000-0000CB7B0000}"/>
    <cellStyle name="Input 4 2 2 3 2" xfId="14878" xr:uid="{00000000-0005-0000-0000-0000CC7B0000}"/>
    <cellStyle name="Input 4 2 2 3 2 2" xfId="17356" xr:uid="{00000000-0005-0000-0000-0000CD7B0000}"/>
    <cellStyle name="Input 4 2 2 3 2 2 2" xfId="36710" xr:uid="{00000000-0005-0000-0000-0000CE7B0000}"/>
    <cellStyle name="Input 4 2 2 3 2 3" xfId="19787" xr:uid="{00000000-0005-0000-0000-0000CF7B0000}"/>
    <cellStyle name="Input 4 2 2 3 2 3 2" xfId="39140" xr:uid="{00000000-0005-0000-0000-0000D07B0000}"/>
    <cellStyle name="Input 4 2 2 3 2 4" xfId="22298" xr:uid="{00000000-0005-0000-0000-0000D17B0000}"/>
    <cellStyle name="Input 4 2 2 3 2 4 2" xfId="41640" xr:uid="{00000000-0005-0000-0000-0000D27B0000}"/>
    <cellStyle name="Input 4 2 2 3 2 5" xfId="34239" xr:uid="{00000000-0005-0000-0000-0000D37B0000}"/>
    <cellStyle name="Input 4 2 2 3 3" xfId="15425" xr:uid="{00000000-0005-0000-0000-0000D47B0000}"/>
    <cellStyle name="Input 4 2 2 3 3 2" xfId="17901" xr:uid="{00000000-0005-0000-0000-0000D57B0000}"/>
    <cellStyle name="Input 4 2 2 3 3 2 2" xfId="37255" xr:uid="{00000000-0005-0000-0000-0000D67B0000}"/>
    <cellStyle name="Input 4 2 2 3 3 3" xfId="20332" xr:uid="{00000000-0005-0000-0000-0000D77B0000}"/>
    <cellStyle name="Input 4 2 2 3 3 3 2" xfId="39685" xr:uid="{00000000-0005-0000-0000-0000D87B0000}"/>
    <cellStyle name="Input 4 2 2 3 3 4" xfId="22845" xr:uid="{00000000-0005-0000-0000-0000D97B0000}"/>
    <cellStyle name="Input 4 2 2 3 3 4 2" xfId="42187" xr:uid="{00000000-0005-0000-0000-0000DA7B0000}"/>
    <cellStyle name="Input 4 2 2 3 3 5" xfId="34786" xr:uid="{00000000-0005-0000-0000-0000DB7B0000}"/>
    <cellStyle name="Input 4 2 2 3 4" xfId="15884" xr:uid="{00000000-0005-0000-0000-0000DC7B0000}"/>
    <cellStyle name="Input 4 2 2 3 4 2" xfId="18360" xr:uid="{00000000-0005-0000-0000-0000DD7B0000}"/>
    <cellStyle name="Input 4 2 2 3 4 2 2" xfId="37714" xr:uid="{00000000-0005-0000-0000-0000DE7B0000}"/>
    <cellStyle name="Input 4 2 2 3 4 3" xfId="20791" xr:uid="{00000000-0005-0000-0000-0000DF7B0000}"/>
    <cellStyle name="Input 4 2 2 3 4 3 2" xfId="40144" xr:uid="{00000000-0005-0000-0000-0000E07B0000}"/>
    <cellStyle name="Input 4 2 2 3 4 4" xfId="23304" xr:uid="{00000000-0005-0000-0000-0000E17B0000}"/>
    <cellStyle name="Input 4 2 2 3 4 4 2" xfId="42646" xr:uid="{00000000-0005-0000-0000-0000E27B0000}"/>
    <cellStyle name="Input 4 2 2 3 4 5" xfId="35245" xr:uid="{00000000-0005-0000-0000-0000E37B0000}"/>
    <cellStyle name="Input 4 2 2 3 5" xfId="16603" xr:uid="{00000000-0005-0000-0000-0000E47B0000}"/>
    <cellStyle name="Input 4 2 2 3 5 2" xfId="35957" xr:uid="{00000000-0005-0000-0000-0000E57B0000}"/>
    <cellStyle name="Input 4 2 2 3 6" xfId="19034" xr:uid="{00000000-0005-0000-0000-0000E67B0000}"/>
    <cellStyle name="Input 4 2 2 3 6 2" xfId="38387" xr:uid="{00000000-0005-0000-0000-0000E77B0000}"/>
    <cellStyle name="Input 4 2 2 3 7" xfId="21520" xr:uid="{00000000-0005-0000-0000-0000E87B0000}"/>
    <cellStyle name="Input 4 2 2 3 7 2" xfId="40862" xr:uid="{00000000-0005-0000-0000-0000E97B0000}"/>
    <cellStyle name="Input 4 2 2 3 8" xfId="33461" xr:uid="{00000000-0005-0000-0000-0000EA7B0000}"/>
    <cellStyle name="Input 4 2 2 4" xfId="14389" xr:uid="{00000000-0005-0000-0000-0000EB7B0000}"/>
    <cellStyle name="Input 4 2 2 4 2" xfId="16882" xr:uid="{00000000-0005-0000-0000-0000EC7B0000}"/>
    <cellStyle name="Input 4 2 2 4 2 2" xfId="36236" xr:uid="{00000000-0005-0000-0000-0000ED7B0000}"/>
    <cellStyle name="Input 4 2 2 4 3" xfId="19313" xr:uid="{00000000-0005-0000-0000-0000EE7B0000}"/>
    <cellStyle name="Input 4 2 2 4 3 2" xfId="38666" xr:uid="{00000000-0005-0000-0000-0000EF7B0000}"/>
    <cellStyle name="Input 4 2 2 4 4" xfId="21809" xr:uid="{00000000-0005-0000-0000-0000F07B0000}"/>
    <cellStyle name="Input 4 2 2 4 4 2" xfId="41151" xr:uid="{00000000-0005-0000-0000-0000F17B0000}"/>
    <cellStyle name="Input 4 2 2 4 5" xfId="33750" xr:uid="{00000000-0005-0000-0000-0000F27B0000}"/>
    <cellStyle name="Input 4 2 2 5" xfId="15022" xr:uid="{00000000-0005-0000-0000-0000F37B0000}"/>
    <cellStyle name="Input 4 2 2 5 2" xfId="17498" xr:uid="{00000000-0005-0000-0000-0000F47B0000}"/>
    <cellStyle name="Input 4 2 2 5 2 2" xfId="36852" xr:uid="{00000000-0005-0000-0000-0000F57B0000}"/>
    <cellStyle name="Input 4 2 2 5 3" xfId="19929" xr:uid="{00000000-0005-0000-0000-0000F67B0000}"/>
    <cellStyle name="Input 4 2 2 5 3 2" xfId="39282" xr:uid="{00000000-0005-0000-0000-0000F77B0000}"/>
    <cellStyle name="Input 4 2 2 5 4" xfId="22442" xr:uid="{00000000-0005-0000-0000-0000F87B0000}"/>
    <cellStyle name="Input 4 2 2 5 4 2" xfId="41784" xr:uid="{00000000-0005-0000-0000-0000F97B0000}"/>
    <cellStyle name="Input 4 2 2 5 5" xfId="34383" xr:uid="{00000000-0005-0000-0000-0000FA7B0000}"/>
    <cellStyle name="Input 4 2 2 6" xfId="18532" xr:uid="{00000000-0005-0000-0000-0000FB7B0000}"/>
    <cellStyle name="Input 4 2 2 6 2" xfId="37885" xr:uid="{00000000-0005-0000-0000-0000FC7B0000}"/>
    <cellStyle name="Input 4 2 2 7" xfId="21032" xr:uid="{00000000-0005-0000-0000-0000FD7B0000}"/>
    <cellStyle name="Input 4 2 2 7 2" xfId="40374" xr:uid="{00000000-0005-0000-0000-0000FE7B0000}"/>
    <cellStyle name="Input 4 2 2 8" xfId="32946" xr:uid="{00000000-0005-0000-0000-0000FF7B0000}"/>
    <cellStyle name="Input 4 2 3" xfId="13648" xr:uid="{00000000-0005-0000-0000-0000007C0000}"/>
    <cellStyle name="Input 4 2 3 2" xfId="13946" xr:uid="{00000000-0005-0000-0000-0000017C0000}"/>
    <cellStyle name="Input 4 2 3 2 2" xfId="14741" xr:uid="{00000000-0005-0000-0000-0000027C0000}"/>
    <cellStyle name="Input 4 2 3 2 2 2" xfId="17219" xr:uid="{00000000-0005-0000-0000-0000037C0000}"/>
    <cellStyle name="Input 4 2 3 2 2 2 2" xfId="36573" xr:uid="{00000000-0005-0000-0000-0000047C0000}"/>
    <cellStyle name="Input 4 2 3 2 2 3" xfId="19650" xr:uid="{00000000-0005-0000-0000-0000057C0000}"/>
    <cellStyle name="Input 4 2 3 2 2 3 2" xfId="39003" xr:uid="{00000000-0005-0000-0000-0000067C0000}"/>
    <cellStyle name="Input 4 2 3 2 2 4" xfId="22161" xr:uid="{00000000-0005-0000-0000-0000077C0000}"/>
    <cellStyle name="Input 4 2 3 2 2 4 2" xfId="41503" xr:uid="{00000000-0005-0000-0000-0000087C0000}"/>
    <cellStyle name="Input 4 2 3 2 2 5" xfId="34102" xr:uid="{00000000-0005-0000-0000-0000097C0000}"/>
    <cellStyle name="Input 4 2 3 2 3" xfId="15289" xr:uid="{00000000-0005-0000-0000-00000A7C0000}"/>
    <cellStyle name="Input 4 2 3 2 3 2" xfId="17765" xr:uid="{00000000-0005-0000-0000-00000B7C0000}"/>
    <cellStyle name="Input 4 2 3 2 3 2 2" xfId="37119" xr:uid="{00000000-0005-0000-0000-00000C7C0000}"/>
    <cellStyle name="Input 4 2 3 2 3 3" xfId="20196" xr:uid="{00000000-0005-0000-0000-00000D7C0000}"/>
    <cellStyle name="Input 4 2 3 2 3 3 2" xfId="39549" xr:uid="{00000000-0005-0000-0000-00000E7C0000}"/>
    <cellStyle name="Input 4 2 3 2 3 4" xfId="22709" xr:uid="{00000000-0005-0000-0000-00000F7C0000}"/>
    <cellStyle name="Input 4 2 3 2 3 4 2" xfId="42051" xr:uid="{00000000-0005-0000-0000-0000107C0000}"/>
    <cellStyle name="Input 4 2 3 2 3 5" xfId="34650" xr:uid="{00000000-0005-0000-0000-0000117C0000}"/>
    <cellStyle name="Input 4 2 3 2 4" xfId="15748" xr:uid="{00000000-0005-0000-0000-0000127C0000}"/>
    <cellStyle name="Input 4 2 3 2 4 2" xfId="18224" xr:uid="{00000000-0005-0000-0000-0000137C0000}"/>
    <cellStyle name="Input 4 2 3 2 4 2 2" xfId="37578" xr:uid="{00000000-0005-0000-0000-0000147C0000}"/>
    <cellStyle name="Input 4 2 3 2 4 3" xfId="20655" xr:uid="{00000000-0005-0000-0000-0000157C0000}"/>
    <cellStyle name="Input 4 2 3 2 4 3 2" xfId="40008" xr:uid="{00000000-0005-0000-0000-0000167C0000}"/>
    <cellStyle name="Input 4 2 3 2 4 4" xfId="23168" xr:uid="{00000000-0005-0000-0000-0000177C0000}"/>
    <cellStyle name="Input 4 2 3 2 4 4 2" xfId="42510" xr:uid="{00000000-0005-0000-0000-0000187C0000}"/>
    <cellStyle name="Input 4 2 3 2 4 5" xfId="35109" xr:uid="{00000000-0005-0000-0000-0000197C0000}"/>
    <cellStyle name="Input 4 2 3 2 5" xfId="16452" xr:uid="{00000000-0005-0000-0000-00001A7C0000}"/>
    <cellStyle name="Input 4 2 3 2 5 2" xfId="35806" xr:uid="{00000000-0005-0000-0000-00001B7C0000}"/>
    <cellStyle name="Input 4 2 3 2 6" xfId="18883" xr:uid="{00000000-0005-0000-0000-00001C7C0000}"/>
    <cellStyle name="Input 4 2 3 2 6 2" xfId="38236" xr:uid="{00000000-0005-0000-0000-00001D7C0000}"/>
    <cellStyle name="Input 4 2 3 2 7" xfId="21369" xr:uid="{00000000-0005-0000-0000-00001E7C0000}"/>
    <cellStyle name="Input 4 2 3 2 7 2" xfId="40711" xr:uid="{00000000-0005-0000-0000-00001F7C0000}"/>
    <cellStyle name="Input 4 2 3 2 8" xfId="33310" xr:uid="{00000000-0005-0000-0000-0000207C0000}"/>
    <cellStyle name="Input 4 2 3 3" xfId="14160" xr:uid="{00000000-0005-0000-0000-0000217C0000}"/>
    <cellStyle name="Input 4 2 3 3 2" xfId="14937" xr:uid="{00000000-0005-0000-0000-0000227C0000}"/>
    <cellStyle name="Input 4 2 3 3 2 2" xfId="17415" xr:uid="{00000000-0005-0000-0000-0000237C0000}"/>
    <cellStyle name="Input 4 2 3 3 2 2 2" xfId="36769" xr:uid="{00000000-0005-0000-0000-0000247C0000}"/>
    <cellStyle name="Input 4 2 3 3 2 3" xfId="19846" xr:uid="{00000000-0005-0000-0000-0000257C0000}"/>
    <cellStyle name="Input 4 2 3 3 2 3 2" xfId="39199" xr:uid="{00000000-0005-0000-0000-0000267C0000}"/>
    <cellStyle name="Input 4 2 3 3 2 4" xfId="22357" xr:uid="{00000000-0005-0000-0000-0000277C0000}"/>
    <cellStyle name="Input 4 2 3 3 2 4 2" xfId="41699" xr:uid="{00000000-0005-0000-0000-0000287C0000}"/>
    <cellStyle name="Input 4 2 3 3 2 5" xfId="34298" xr:uid="{00000000-0005-0000-0000-0000297C0000}"/>
    <cellStyle name="Input 4 2 3 3 3" xfId="15483" xr:uid="{00000000-0005-0000-0000-00002A7C0000}"/>
    <cellStyle name="Input 4 2 3 3 3 2" xfId="17959" xr:uid="{00000000-0005-0000-0000-00002B7C0000}"/>
    <cellStyle name="Input 4 2 3 3 3 2 2" xfId="37313" xr:uid="{00000000-0005-0000-0000-00002C7C0000}"/>
    <cellStyle name="Input 4 2 3 3 3 3" xfId="20390" xr:uid="{00000000-0005-0000-0000-00002D7C0000}"/>
    <cellStyle name="Input 4 2 3 3 3 3 2" xfId="39743" xr:uid="{00000000-0005-0000-0000-00002E7C0000}"/>
    <cellStyle name="Input 4 2 3 3 3 4" xfId="22903" xr:uid="{00000000-0005-0000-0000-00002F7C0000}"/>
    <cellStyle name="Input 4 2 3 3 3 4 2" xfId="42245" xr:uid="{00000000-0005-0000-0000-0000307C0000}"/>
    <cellStyle name="Input 4 2 3 3 3 5" xfId="34844" xr:uid="{00000000-0005-0000-0000-0000317C0000}"/>
    <cellStyle name="Input 4 2 3 3 4" xfId="15942" xr:uid="{00000000-0005-0000-0000-0000327C0000}"/>
    <cellStyle name="Input 4 2 3 3 4 2" xfId="18418" xr:uid="{00000000-0005-0000-0000-0000337C0000}"/>
    <cellStyle name="Input 4 2 3 3 4 2 2" xfId="37772" xr:uid="{00000000-0005-0000-0000-0000347C0000}"/>
    <cellStyle name="Input 4 2 3 3 4 3" xfId="20849" xr:uid="{00000000-0005-0000-0000-0000357C0000}"/>
    <cellStyle name="Input 4 2 3 3 4 3 2" xfId="40202" xr:uid="{00000000-0005-0000-0000-0000367C0000}"/>
    <cellStyle name="Input 4 2 3 3 4 4" xfId="23362" xr:uid="{00000000-0005-0000-0000-0000377C0000}"/>
    <cellStyle name="Input 4 2 3 3 4 4 2" xfId="42704" xr:uid="{00000000-0005-0000-0000-0000387C0000}"/>
    <cellStyle name="Input 4 2 3 3 4 5" xfId="35303" xr:uid="{00000000-0005-0000-0000-0000397C0000}"/>
    <cellStyle name="Input 4 2 3 3 5" xfId="16666" xr:uid="{00000000-0005-0000-0000-00003A7C0000}"/>
    <cellStyle name="Input 4 2 3 3 5 2" xfId="36020" xr:uid="{00000000-0005-0000-0000-00003B7C0000}"/>
    <cellStyle name="Input 4 2 3 3 6" xfId="19097" xr:uid="{00000000-0005-0000-0000-00003C7C0000}"/>
    <cellStyle name="Input 4 2 3 3 6 2" xfId="38450" xr:uid="{00000000-0005-0000-0000-00003D7C0000}"/>
    <cellStyle name="Input 4 2 3 3 7" xfId="21583" xr:uid="{00000000-0005-0000-0000-00003E7C0000}"/>
    <cellStyle name="Input 4 2 3 3 7 2" xfId="40925" xr:uid="{00000000-0005-0000-0000-00003F7C0000}"/>
    <cellStyle name="Input 4 2 3 3 8" xfId="33524" xr:uid="{00000000-0005-0000-0000-0000407C0000}"/>
    <cellStyle name="Input 4 2 3 4" xfId="14456" xr:uid="{00000000-0005-0000-0000-0000417C0000}"/>
    <cellStyle name="Input 4 2 3 4 2" xfId="16946" xr:uid="{00000000-0005-0000-0000-0000427C0000}"/>
    <cellStyle name="Input 4 2 3 4 2 2" xfId="36300" xr:uid="{00000000-0005-0000-0000-0000437C0000}"/>
    <cellStyle name="Input 4 2 3 4 3" xfId="19377" xr:uid="{00000000-0005-0000-0000-0000447C0000}"/>
    <cellStyle name="Input 4 2 3 4 3 2" xfId="38730" xr:uid="{00000000-0005-0000-0000-0000457C0000}"/>
    <cellStyle name="Input 4 2 3 4 4" xfId="21876" xr:uid="{00000000-0005-0000-0000-0000467C0000}"/>
    <cellStyle name="Input 4 2 3 4 4 2" xfId="41218" xr:uid="{00000000-0005-0000-0000-0000477C0000}"/>
    <cellStyle name="Input 4 2 3 4 5" xfId="33817" xr:uid="{00000000-0005-0000-0000-0000487C0000}"/>
    <cellStyle name="Input 4 2 3 5" xfId="16168" xr:uid="{00000000-0005-0000-0000-0000497C0000}"/>
    <cellStyle name="Input 4 2 3 5 2" xfId="35522" xr:uid="{00000000-0005-0000-0000-00004A7C0000}"/>
    <cellStyle name="Input 4 2 3 6" xfId="18599" xr:uid="{00000000-0005-0000-0000-00004B7C0000}"/>
    <cellStyle name="Input 4 2 3 6 2" xfId="37952" xr:uid="{00000000-0005-0000-0000-00004C7C0000}"/>
    <cellStyle name="Input 4 2 3 7" xfId="21073" xr:uid="{00000000-0005-0000-0000-00004D7C0000}"/>
    <cellStyle name="Input 4 2 3 7 2" xfId="40415" xr:uid="{00000000-0005-0000-0000-00004E7C0000}"/>
    <cellStyle name="Input 4 2 3 8" xfId="33014" xr:uid="{00000000-0005-0000-0000-00004F7C0000}"/>
    <cellStyle name="Input 4 2 4" xfId="13996" xr:uid="{00000000-0005-0000-0000-0000507C0000}"/>
    <cellStyle name="Input 4 2 4 2" xfId="14791" xr:uid="{00000000-0005-0000-0000-0000517C0000}"/>
    <cellStyle name="Input 4 2 4 2 2" xfId="17269" xr:uid="{00000000-0005-0000-0000-0000527C0000}"/>
    <cellStyle name="Input 4 2 4 2 2 2" xfId="36623" xr:uid="{00000000-0005-0000-0000-0000537C0000}"/>
    <cellStyle name="Input 4 2 4 2 3" xfId="19700" xr:uid="{00000000-0005-0000-0000-0000547C0000}"/>
    <cellStyle name="Input 4 2 4 2 3 2" xfId="39053" xr:uid="{00000000-0005-0000-0000-0000557C0000}"/>
    <cellStyle name="Input 4 2 4 2 4" xfId="22211" xr:uid="{00000000-0005-0000-0000-0000567C0000}"/>
    <cellStyle name="Input 4 2 4 2 4 2" xfId="41553" xr:uid="{00000000-0005-0000-0000-0000577C0000}"/>
    <cellStyle name="Input 4 2 4 2 5" xfId="34152" xr:uid="{00000000-0005-0000-0000-0000587C0000}"/>
    <cellStyle name="Input 4 2 4 3" xfId="15339" xr:uid="{00000000-0005-0000-0000-0000597C0000}"/>
    <cellStyle name="Input 4 2 4 3 2" xfId="17815" xr:uid="{00000000-0005-0000-0000-00005A7C0000}"/>
    <cellStyle name="Input 4 2 4 3 2 2" xfId="37169" xr:uid="{00000000-0005-0000-0000-00005B7C0000}"/>
    <cellStyle name="Input 4 2 4 3 3" xfId="20246" xr:uid="{00000000-0005-0000-0000-00005C7C0000}"/>
    <cellStyle name="Input 4 2 4 3 3 2" xfId="39599" xr:uid="{00000000-0005-0000-0000-00005D7C0000}"/>
    <cellStyle name="Input 4 2 4 3 4" xfId="22759" xr:uid="{00000000-0005-0000-0000-00005E7C0000}"/>
    <cellStyle name="Input 4 2 4 3 4 2" xfId="42101" xr:uid="{00000000-0005-0000-0000-00005F7C0000}"/>
    <cellStyle name="Input 4 2 4 3 5" xfId="34700" xr:uid="{00000000-0005-0000-0000-0000607C0000}"/>
    <cellStyle name="Input 4 2 4 4" xfId="15798" xr:uid="{00000000-0005-0000-0000-0000617C0000}"/>
    <cellStyle name="Input 4 2 4 4 2" xfId="18274" xr:uid="{00000000-0005-0000-0000-0000627C0000}"/>
    <cellStyle name="Input 4 2 4 4 2 2" xfId="37628" xr:uid="{00000000-0005-0000-0000-0000637C0000}"/>
    <cellStyle name="Input 4 2 4 4 3" xfId="20705" xr:uid="{00000000-0005-0000-0000-0000647C0000}"/>
    <cellStyle name="Input 4 2 4 4 3 2" xfId="40058" xr:uid="{00000000-0005-0000-0000-0000657C0000}"/>
    <cellStyle name="Input 4 2 4 4 4" xfId="23218" xr:uid="{00000000-0005-0000-0000-0000667C0000}"/>
    <cellStyle name="Input 4 2 4 4 4 2" xfId="42560" xr:uid="{00000000-0005-0000-0000-0000677C0000}"/>
    <cellStyle name="Input 4 2 4 4 5" xfId="35159" xr:uid="{00000000-0005-0000-0000-0000687C0000}"/>
    <cellStyle name="Input 4 2 4 5" xfId="16502" xr:uid="{00000000-0005-0000-0000-0000697C0000}"/>
    <cellStyle name="Input 4 2 4 5 2" xfId="35856" xr:uid="{00000000-0005-0000-0000-00006A7C0000}"/>
    <cellStyle name="Input 4 2 4 6" xfId="18933" xr:uid="{00000000-0005-0000-0000-00006B7C0000}"/>
    <cellStyle name="Input 4 2 4 6 2" xfId="38286" xr:uid="{00000000-0005-0000-0000-00006C7C0000}"/>
    <cellStyle name="Input 4 2 4 7" xfId="21419" xr:uid="{00000000-0005-0000-0000-00006D7C0000}"/>
    <cellStyle name="Input 4 2 4 7 2" xfId="40761" xr:uid="{00000000-0005-0000-0000-00006E7C0000}"/>
    <cellStyle name="Input 4 2 4 8" xfId="33360" xr:uid="{00000000-0005-0000-0000-00006F7C0000}"/>
    <cellStyle name="Input 4 2 5" xfId="16023" xr:uid="{00000000-0005-0000-0000-0000707C0000}"/>
    <cellStyle name="Input 4 2 5 2" xfId="35377" xr:uid="{00000000-0005-0000-0000-0000717C0000}"/>
    <cellStyle name="Input 4 2 6" xfId="13396" xr:uid="{00000000-0005-0000-0000-0000727C0000}"/>
    <cellStyle name="Input 4 2 6 2" xfId="32784" xr:uid="{00000000-0005-0000-0000-0000737C0000}"/>
    <cellStyle name="Input 4 2 7" xfId="20953" xr:uid="{00000000-0005-0000-0000-0000747C0000}"/>
    <cellStyle name="Input 4 2 7 2" xfId="40295" xr:uid="{00000000-0005-0000-0000-0000757C0000}"/>
    <cellStyle name="Input 4 2 8" xfId="32832" xr:uid="{00000000-0005-0000-0000-0000767C0000}"/>
    <cellStyle name="Input 4 3" xfId="13484" xr:uid="{00000000-0005-0000-0000-0000777C0000}"/>
    <cellStyle name="Input 4 3 10" xfId="32862" xr:uid="{00000000-0005-0000-0000-0000787C0000}"/>
    <cellStyle name="Input 4 3 2" xfId="13608" xr:uid="{00000000-0005-0000-0000-0000797C0000}"/>
    <cellStyle name="Input 4 3 2 2" xfId="13909" xr:uid="{00000000-0005-0000-0000-00007A7C0000}"/>
    <cellStyle name="Input 4 3 2 2 2" xfId="14704" xr:uid="{00000000-0005-0000-0000-00007B7C0000}"/>
    <cellStyle name="Input 4 3 2 2 2 2" xfId="17182" xr:uid="{00000000-0005-0000-0000-00007C7C0000}"/>
    <cellStyle name="Input 4 3 2 2 2 2 2" xfId="36536" xr:uid="{00000000-0005-0000-0000-00007D7C0000}"/>
    <cellStyle name="Input 4 3 2 2 2 3" xfId="19613" xr:uid="{00000000-0005-0000-0000-00007E7C0000}"/>
    <cellStyle name="Input 4 3 2 2 2 3 2" xfId="38966" xr:uid="{00000000-0005-0000-0000-00007F7C0000}"/>
    <cellStyle name="Input 4 3 2 2 2 4" xfId="22124" xr:uid="{00000000-0005-0000-0000-0000807C0000}"/>
    <cellStyle name="Input 4 3 2 2 2 4 2" xfId="41466" xr:uid="{00000000-0005-0000-0000-0000817C0000}"/>
    <cellStyle name="Input 4 3 2 2 2 5" xfId="34065" xr:uid="{00000000-0005-0000-0000-0000827C0000}"/>
    <cellStyle name="Input 4 3 2 2 3" xfId="15252" xr:uid="{00000000-0005-0000-0000-0000837C0000}"/>
    <cellStyle name="Input 4 3 2 2 3 2" xfId="17728" xr:uid="{00000000-0005-0000-0000-0000847C0000}"/>
    <cellStyle name="Input 4 3 2 2 3 2 2" xfId="37082" xr:uid="{00000000-0005-0000-0000-0000857C0000}"/>
    <cellStyle name="Input 4 3 2 2 3 3" xfId="20159" xr:uid="{00000000-0005-0000-0000-0000867C0000}"/>
    <cellStyle name="Input 4 3 2 2 3 3 2" xfId="39512" xr:uid="{00000000-0005-0000-0000-0000877C0000}"/>
    <cellStyle name="Input 4 3 2 2 3 4" xfId="22672" xr:uid="{00000000-0005-0000-0000-0000887C0000}"/>
    <cellStyle name="Input 4 3 2 2 3 4 2" xfId="42014" xr:uid="{00000000-0005-0000-0000-0000897C0000}"/>
    <cellStyle name="Input 4 3 2 2 3 5" xfId="34613" xr:uid="{00000000-0005-0000-0000-00008A7C0000}"/>
    <cellStyle name="Input 4 3 2 2 4" xfId="15711" xr:uid="{00000000-0005-0000-0000-00008B7C0000}"/>
    <cellStyle name="Input 4 3 2 2 4 2" xfId="18187" xr:uid="{00000000-0005-0000-0000-00008C7C0000}"/>
    <cellStyle name="Input 4 3 2 2 4 2 2" xfId="37541" xr:uid="{00000000-0005-0000-0000-00008D7C0000}"/>
    <cellStyle name="Input 4 3 2 2 4 3" xfId="20618" xr:uid="{00000000-0005-0000-0000-00008E7C0000}"/>
    <cellStyle name="Input 4 3 2 2 4 3 2" xfId="39971" xr:uid="{00000000-0005-0000-0000-00008F7C0000}"/>
    <cellStyle name="Input 4 3 2 2 4 4" xfId="23131" xr:uid="{00000000-0005-0000-0000-0000907C0000}"/>
    <cellStyle name="Input 4 3 2 2 4 4 2" xfId="42473" xr:uid="{00000000-0005-0000-0000-0000917C0000}"/>
    <cellStyle name="Input 4 3 2 2 4 5" xfId="35072" xr:uid="{00000000-0005-0000-0000-0000927C0000}"/>
    <cellStyle name="Input 4 3 2 2 5" xfId="16415" xr:uid="{00000000-0005-0000-0000-0000937C0000}"/>
    <cellStyle name="Input 4 3 2 2 5 2" xfId="35769" xr:uid="{00000000-0005-0000-0000-0000947C0000}"/>
    <cellStyle name="Input 4 3 2 2 6" xfId="18846" xr:uid="{00000000-0005-0000-0000-0000957C0000}"/>
    <cellStyle name="Input 4 3 2 2 6 2" xfId="38199" xr:uid="{00000000-0005-0000-0000-0000967C0000}"/>
    <cellStyle name="Input 4 3 2 2 7" xfId="21332" xr:uid="{00000000-0005-0000-0000-0000977C0000}"/>
    <cellStyle name="Input 4 3 2 2 7 2" xfId="40674" xr:uid="{00000000-0005-0000-0000-0000987C0000}"/>
    <cellStyle name="Input 4 3 2 2 8" xfId="33273" xr:uid="{00000000-0005-0000-0000-0000997C0000}"/>
    <cellStyle name="Input 4 3 2 3" xfId="14124" xr:uid="{00000000-0005-0000-0000-00009A7C0000}"/>
    <cellStyle name="Input 4 3 2 3 2" xfId="14905" xr:uid="{00000000-0005-0000-0000-00009B7C0000}"/>
    <cellStyle name="Input 4 3 2 3 2 2" xfId="17383" xr:uid="{00000000-0005-0000-0000-00009C7C0000}"/>
    <cellStyle name="Input 4 3 2 3 2 2 2" xfId="36737" xr:uid="{00000000-0005-0000-0000-00009D7C0000}"/>
    <cellStyle name="Input 4 3 2 3 2 3" xfId="19814" xr:uid="{00000000-0005-0000-0000-00009E7C0000}"/>
    <cellStyle name="Input 4 3 2 3 2 3 2" xfId="39167" xr:uid="{00000000-0005-0000-0000-00009F7C0000}"/>
    <cellStyle name="Input 4 3 2 3 2 4" xfId="22325" xr:uid="{00000000-0005-0000-0000-0000A07C0000}"/>
    <cellStyle name="Input 4 3 2 3 2 4 2" xfId="41667" xr:uid="{00000000-0005-0000-0000-0000A17C0000}"/>
    <cellStyle name="Input 4 3 2 3 2 5" xfId="34266" xr:uid="{00000000-0005-0000-0000-0000A27C0000}"/>
    <cellStyle name="Input 4 3 2 3 3" xfId="15452" xr:uid="{00000000-0005-0000-0000-0000A37C0000}"/>
    <cellStyle name="Input 4 3 2 3 3 2" xfId="17928" xr:uid="{00000000-0005-0000-0000-0000A47C0000}"/>
    <cellStyle name="Input 4 3 2 3 3 2 2" xfId="37282" xr:uid="{00000000-0005-0000-0000-0000A57C0000}"/>
    <cellStyle name="Input 4 3 2 3 3 3" xfId="20359" xr:uid="{00000000-0005-0000-0000-0000A67C0000}"/>
    <cellStyle name="Input 4 3 2 3 3 3 2" xfId="39712" xr:uid="{00000000-0005-0000-0000-0000A77C0000}"/>
    <cellStyle name="Input 4 3 2 3 3 4" xfId="22872" xr:uid="{00000000-0005-0000-0000-0000A87C0000}"/>
    <cellStyle name="Input 4 3 2 3 3 4 2" xfId="42214" xr:uid="{00000000-0005-0000-0000-0000A97C0000}"/>
    <cellStyle name="Input 4 3 2 3 3 5" xfId="34813" xr:uid="{00000000-0005-0000-0000-0000AA7C0000}"/>
    <cellStyle name="Input 4 3 2 3 4" xfId="15911" xr:uid="{00000000-0005-0000-0000-0000AB7C0000}"/>
    <cellStyle name="Input 4 3 2 3 4 2" xfId="18387" xr:uid="{00000000-0005-0000-0000-0000AC7C0000}"/>
    <cellStyle name="Input 4 3 2 3 4 2 2" xfId="37741" xr:uid="{00000000-0005-0000-0000-0000AD7C0000}"/>
    <cellStyle name="Input 4 3 2 3 4 3" xfId="20818" xr:uid="{00000000-0005-0000-0000-0000AE7C0000}"/>
    <cellStyle name="Input 4 3 2 3 4 3 2" xfId="40171" xr:uid="{00000000-0005-0000-0000-0000AF7C0000}"/>
    <cellStyle name="Input 4 3 2 3 4 4" xfId="23331" xr:uid="{00000000-0005-0000-0000-0000B07C0000}"/>
    <cellStyle name="Input 4 3 2 3 4 4 2" xfId="42673" xr:uid="{00000000-0005-0000-0000-0000B17C0000}"/>
    <cellStyle name="Input 4 3 2 3 4 5" xfId="35272" xr:uid="{00000000-0005-0000-0000-0000B27C0000}"/>
    <cellStyle name="Input 4 3 2 3 5" xfId="16630" xr:uid="{00000000-0005-0000-0000-0000B37C0000}"/>
    <cellStyle name="Input 4 3 2 3 5 2" xfId="35984" xr:uid="{00000000-0005-0000-0000-0000B47C0000}"/>
    <cellStyle name="Input 4 3 2 3 6" xfId="19061" xr:uid="{00000000-0005-0000-0000-0000B57C0000}"/>
    <cellStyle name="Input 4 3 2 3 6 2" xfId="38414" xr:uid="{00000000-0005-0000-0000-0000B67C0000}"/>
    <cellStyle name="Input 4 3 2 3 7" xfId="21547" xr:uid="{00000000-0005-0000-0000-0000B77C0000}"/>
    <cellStyle name="Input 4 3 2 3 7 2" xfId="40889" xr:uid="{00000000-0005-0000-0000-0000B87C0000}"/>
    <cellStyle name="Input 4 3 2 3 8" xfId="33488" xr:uid="{00000000-0005-0000-0000-0000B97C0000}"/>
    <cellStyle name="Input 4 3 2 4" xfId="14419" xr:uid="{00000000-0005-0000-0000-0000BA7C0000}"/>
    <cellStyle name="Input 4 3 2 4 2" xfId="16909" xr:uid="{00000000-0005-0000-0000-0000BB7C0000}"/>
    <cellStyle name="Input 4 3 2 4 2 2" xfId="36263" xr:uid="{00000000-0005-0000-0000-0000BC7C0000}"/>
    <cellStyle name="Input 4 3 2 4 3" xfId="19340" xr:uid="{00000000-0005-0000-0000-0000BD7C0000}"/>
    <cellStyle name="Input 4 3 2 4 3 2" xfId="38693" xr:uid="{00000000-0005-0000-0000-0000BE7C0000}"/>
    <cellStyle name="Input 4 3 2 4 4" xfId="21839" xr:uid="{00000000-0005-0000-0000-0000BF7C0000}"/>
    <cellStyle name="Input 4 3 2 4 4 2" xfId="41181" xr:uid="{00000000-0005-0000-0000-0000C07C0000}"/>
    <cellStyle name="Input 4 3 2 4 5" xfId="33780" xr:uid="{00000000-0005-0000-0000-0000C17C0000}"/>
    <cellStyle name="Input 4 3 2 5" xfId="15043" xr:uid="{00000000-0005-0000-0000-0000C27C0000}"/>
    <cellStyle name="Input 4 3 2 5 2" xfId="17519" xr:uid="{00000000-0005-0000-0000-0000C37C0000}"/>
    <cellStyle name="Input 4 3 2 5 2 2" xfId="36873" xr:uid="{00000000-0005-0000-0000-0000C47C0000}"/>
    <cellStyle name="Input 4 3 2 5 3" xfId="19950" xr:uid="{00000000-0005-0000-0000-0000C57C0000}"/>
    <cellStyle name="Input 4 3 2 5 3 2" xfId="39303" xr:uid="{00000000-0005-0000-0000-0000C67C0000}"/>
    <cellStyle name="Input 4 3 2 5 4" xfId="22463" xr:uid="{00000000-0005-0000-0000-0000C77C0000}"/>
    <cellStyle name="Input 4 3 2 5 4 2" xfId="41805" xr:uid="{00000000-0005-0000-0000-0000C87C0000}"/>
    <cellStyle name="Input 4 3 2 5 5" xfId="34404" xr:uid="{00000000-0005-0000-0000-0000C97C0000}"/>
    <cellStyle name="Input 4 3 2 6" xfId="18559" xr:uid="{00000000-0005-0000-0000-0000CA7C0000}"/>
    <cellStyle name="Input 4 3 2 6 2" xfId="37912" xr:uid="{00000000-0005-0000-0000-0000CB7C0000}"/>
    <cellStyle name="Input 4 3 2 7" xfId="21040" xr:uid="{00000000-0005-0000-0000-0000CC7C0000}"/>
    <cellStyle name="Input 4 3 2 7 2" xfId="40382" xr:uid="{00000000-0005-0000-0000-0000CD7C0000}"/>
    <cellStyle name="Input 4 3 2 8" xfId="32974" xr:uid="{00000000-0005-0000-0000-0000CE7C0000}"/>
    <cellStyle name="Input 4 3 3" xfId="13675" xr:uid="{00000000-0005-0000-0000-0000CF7C0000}"/>
    <cellStyle name="Input 4 3 3 2" xfId="13973" xr:uid="{00000000-0005-0000-0000-0000D07C0000}"/>
    <cellStyle name="Input 4 3 3 2 2" xfId="14768" xr:uid="{00000000-0005-0000-0000-0000D17C0000}"/>
    <cellStyle name="Input 4 3 3 2 2 2" xfId="17246" xr:uid="{00000000-0005-0000-0000-0000D27C0000}"/>
    <cellStyle name="Input 4 3 3 2 2 2 2" xfId="36600" xr:uid="{00000000-0005-0000-0000-0000D37C0000}"/>
    <cellStyle name="Input 4 3 3 2 2 3" xfId="19677" xr:uid="{00000000-0005-0000-0000-0000D47C0000}"/>
    <cellStyle name="Input 4 3 3 2 2 3 2" xfId="39030" xr:uid="{00000000-0005-0000-0000-0000D57C0000}"/>
    <cellStyle name="Input 4 3 3 2 2 4" xfId="22188" xr:uid="{00000000-0005-0000-0000-0000D67C0000}"/>
    <cellStyle name="Input 4 3 3 2 2 4 2" xfId="41530" xr:uid="{00000000-0005-0000-0000-0000D77C0000}"/>
    <cellStyle name="Input 4 3 3 2 2 5" xfId="34129" xr:uid="{00000000-0005-0000-0000-0000D87C0000}"/>
    <cellStyle name="Input 4 3 3 2 3" xfId="15316" xr:uid="{00000000-0005-0000-0000-0000D97C0000}"/>
    <cellStyle name="Input 4 3 3 2 3 2" xfId="17792" xr:uid="{00000000-0005-0000-0000-0000DA7C0000}"/>
    <cellStyle name="Input 4 3 3 2 3 2 2" xfId="37146" xr:uid="{00000000-0005-0000-0000-0000DB7C0000}"/>
    <cellStyle name="Input 4 3 3 2 3 3" xfId="20223" xr:uid="{00000000-0005-0000-0000-0000DC7C0000}"/>
    <cellStyle name="Input 4 3 3 2 3 3 2" xfId="39576" xr:uid="{00000000-0005-0000-0000-0000DD7C0000}"/>
    <cellStyle name="Input 4 3 3 2 3 4" xfId="22736" xr:uid="{00000000-0005-0000-0000-0000DE7C0000}"/>
    <cellStyle name="Input 4 3 3 2 3 4 2" xfId="42078" xr:uid="{00000000-0005-0000-0000-0000DF7C0000}"/>
    <cellStyle name="Input 4 3 3 2 3 5" xfId="34677" xr:uid="{00000000-0005-0000-0000-0000E07C0000}"/>
    <cellStyle name="Input 4 3 3 2 4" xfId="15775" xr:uid="{00000000-0005-0000-0000-0000E17C0000}"/>
    <cellStyle name="Input 4 3 3 2 4 2" xfId="18251" xr:uid="{00000000-0005-0000-0000-0000E27C0000}"/>
    <cellStyle name="Input 4 3 3 2 4 2 2" xfId="37605" xr:uid="{00000000-0005-0000-0000-0000E37C0000}"/>
    <cellStyle name="Input 4 3 3 2 4 3" xfId="20682" xr:uid="{00000000-0005-0000-0000-0000E47C0000}"/>
    <cellStyle name="Input 4 3 3 2 4 3 2" xfId="40035" xr:uid="{00000000-0005-0000-0000-0000E57C0000}"/>
    <cellStyle name="Input 4 3 3 2 4 4" xfId="23195" xr:uid="{00000000-0005-0000-0000-0000E67C0000}"/>
    <cellStyle name="Input 4 3 3 2 4 4 2" xfId="42537" xr:uid="{00000000-0005-0000-0000-0000E77C0000}"/>
    <cellStyle name="Input 4 3 3 2 4 5" xfId="35136" xr:uid="{00000000-0005-0000-0000-0000E87C0000}"/>
    <cellStyle name="Input 4 3 3 2 5" xfId="16479" xr:uid="{00000000-0005-0000-0000-0000E97C0000}"/>
    <cellStyle name="Input 4 3 3 2 5 2" xfId="35833" xr:uid="{00000000-0005-0000-0000-0000EA7C0000}"/>
    <cellStyle name="Input 4 3 3 2 6" xfId="18910" xr:uid="{00000000-0005-0000-0000-0000EB7C0000}"/>
    <cellStyle name="Input 4 3 3 2 6 2" xfId="38263" xr:uid="{00000000-0005-0000-0000-0000EC7C0000}"/>
    <cellStyle name="Input 4 3 3 2 7" xfId="21396" xr:uid="{00000000-0005-0000-0000-0000ED7C0000}"/>
    <cellStyle name="Input 4 3 3 2 7 2" xfId="40738" xr:uid="{00000000-0005-0000-0000-0000EE7C0000}"/>
    <cellStyle name="Input 4 3 3 2 8" xfId="33337" xr:uid="{00000000-0005-0000-0000-0000EF7C0000}"/>
    <cellStyle name="Input 4 3 3 3" xfId="14186" xr:uid="{00000000-0005-0000-0000-0000F07C0000}"/>
    <cellStyle name="Input 4 3 3 3 2" xfId="14963" xr:uid="{00000000-0005-0000-0000-0000F17C0000}"/>
    <cellStyle name="Input 4 3 3 3 2 2" xfId="17441" xr:uid="{00000000-0005-0000-0000-0000F27C0000}"/>
    <cellStyle name="Input 4 3 3 3 2 2 2" xfId="36795" xr:uid="{00000000-0005-0000-0000-0000F37C0000}"/>
    <cellStyle name="Input 4 3 3 3 2 3" xfId="19872" xr:uid="{00000000-0005-0000-0000-0000F47C0000}"/>
    <cellStyle name="Input 4 3 3 3 2 3 2" xfId="39225" xr:uid="{00000000-0005-0000-0000-0000F57C0000}"/>
    <cellStyle name="Input 4 3 3 3 2 4" xfId="22383" xr:uid="{00000000-0005-0000-0000-0000F67C0000}"/>
    <cellStyle name="Input 4 3 3 3 2 4 2" xfId="41725" xr:uid="{00000000-0005-0000-0000-0000F77C0000}"/>
    <cellStyle name="Input 4 3 3 3 2 5" xfId="34324" xr:uid="{00000000-0005-0000-0000-0000F87C0000}"/>
    <cellStyle name="Input 4 3 3 3 3" xfId="15509" xr:uid="{00000000-0005-0000-0000-0000F97C0000}"/>
    <cellStyle name="Input 4 3 3 3 3 2" xfId="17985" xr:uid="{00000000-0005-0000-0000-0000FA7C0000}"/>
    <cellStyle name="Input 4 3 3 3 3 2 2" xfId="37339" xr:uid="{00000000-0005-0000-0000-0000FB7C0000}"/>
    <cellStyle name="Input 4 3 3 3 3 3" xfId="20416" xr:uid="{00000000-0005-0000-0000-0000FC7C0000}"/>
    <cellStyle name="Input 4 3 3 3 3 3 2" xfId="39769" xr:uid="{00000000-0005-0000-0000-0000FD7C0000}"/>
    <cellStyle name="Input 4 3 3 3 3 4" xfId="22929" xr:uid="{00000000-0005-0000-0000-0000FE7C0000}"/>
    <cellStyle name="Input 4 3 3 3 3 4 2" xfId="42271" xr:uid="{00000000-0005-0000-0000-0000FF7C0000}"/>
    <cellStyle name="Input 4 3 3 3 3 5" xfId="34870" xr:uid="{00000000-0005-0000-0000-0000007D0000}"/>
    <cellStyle name="Input 4 3 3 3 4" xfId="15968" xr:uid="{00000000-0005-0000-0000-0000017D0000}"/>
    <cellStyle name="Input 4 3 3 3 4 2" xfId="18444" xr:uid="{00000000-0005-0000-0000-0000027D0000}"/>
    <cellStyle name="Input 4 3 3 3 4 2 2" xfId="37798" xr:uid="{00000000-0005-0000-0000-0000037D0000}"/>
    <cellStyle name="Input 4 3 3 3 4 3" xfId="20875" xr:uid="{00000000-0005-0000-0000-0000047D0000}"/>
    <cellStyle name="Input 4 3 3 3 4 3 2" xfId="40228" xr:uid="{00000000-0005-0000-0000-0000057D0000}"/>
    <cellStyle name="Input 4 3 3 3 4 4" xfId="23388" xr:uid="{00000000-0005-0000-0000-0000067D0000}"/>
    <cellStyle name="Input 4 3 3 3 4 4 2" xfId="42730" xr:uid="{00000000-0005-0000-0000-0000077D0000}"/>
    <cellStyle name="Input 4 3 3 3 4 5" xfId="35329" xr:uid="{00000000-0005-0000-0000-0000087D0000}"/>
    <cellStyle name="Input 4 3 3 3 5" xfId="16692" xr:uid="{00000000-0005-0000-0000-0000097D0000}"/>
    <cellStyle name="Input 4 3 3 3 5 2" xfId="36046" xr:uid="{00000000-0005-0000-0000-00000A7D0000}"/>
    <cellStyle name="Input 4 3 3 3 6" xfId="19123" xr:uid="{00000000-0005-0000-0000-00000B7D0000}"/>
    <cellStyle name="Input 4 3 3 3 6 2" xfId="38476" xr:uid="{00000000-0005-0000-0000-00000C7D0000}"/>
    <cellStyle name="Input 4 3 3 3 7" xfId="21609" xr:uid="{00000000-0005-0000-0000-00000D7D0000}"/>
    <cellStyle name="Input 4 3 3 3 7 2" xfId="40951" xr:uid="{00000000-0005-0000-0000-00000E7D0000}"/>
    <cellStyle name="Input 4 3 3 3 8" xfId="33550" xr:uid="{00000000-0005-0000-0000-00000F7D0000}"/>
    <cellStyle name="Input 4 3 3 4" xfId="14483" xr:uid="{00000000-0005-0000-0000-0000107D0000}"/>
    <cellStyle name="Input 4 3 3 4 2" xfId="16973" xr:uid="{00000000-0005-0000-0000-0000117D0000}"/>
    <cellStyle name="Input 4 3 3 4 2 2" xfId="36327" xr:uid="{00000000-0005-0000-0000-0000127D0000}"/>
    <cellStyle name="Input 4 3 3 4 3" xfId="19404" xr:uid="{00000000-0005-0000-0000-0000137D0000}"/>
    <cellStyle name="Input 4 3 3 4 3 2" xfId="38757" xr:uid="{00000000-0005-0000-0000-0000147D0000}"/>
    <cellStyle name="Input 4 3 3 4 4" xfId="21903" xr:uid="{00000000-0005-0000-0000-0000157D0000}"/>
    <cellStyle name="Input 4 3 3 4 4 2" xfId="41245" xr:uid="{00000000-0005-0000-0000-0000167D0000}"/>
    <cellStyle name="Input 4 3 3 4 5" xfId="33844" xr:uid="{00000000-0005-0000-0000-0000177D0000}"/>
    <cellStyle name="Input 4 3 3 5" xfId="16195" xr:uid="{00000000-0005-0000-0000-0000187D0000}"/>
    <cellStyle name="Input 4 3 3 5 2" xfId="35549" xr:uid="{00000000-0005-0000-0000-0000197D0000}"/>
    <cellStyle name="Input 4 3 3 6" xfId="18626" xr:uid="{00000000-0005-0000-0000-00001A7D0000}"/>
    <cellStyle name="Input 4 3 3 6 2" xfId="37979" xr:uid="{00000000-0005-0000-0000-00001B7D0000}"/>
    <cellStyle name="Input 4 3 3 7" xfId="21100" xr:uid="{00000000-0005-0000-0000-00001C7D0000}"/>
    <cellStyle name="Input 4 3 3 7 2" xfId="40442" xr:uid="{00000000-0005-0000-0000-00001D7D0000}"/>
    <cellStyle name="Input 4 3 3 8" xfId="33041" xr:uid="{00000000-0005-0000-0000-00001E7D0000}"/>
    <cellStyle name="Input 4 3 4" xfId="13796" xr:uid="{00000000-0005-0000-0000-00001F7D0000}"/>
    <cellStyle name="Input 4 3 4 2" xfId="14595" xr:uid="{00000000-0005-0000-0000-0000207D0000}"/>
    <cellStyle name="Input 4 3 4 2 2" xfId="17079" xr:uid="{00000000-0005-0000-0000-0000217D0000}"/>
    <cellStyle name="Input 4 3 4 2 2 2" xfId="36433" xr:uid="{00000000-0005-0000-0000-0000227D0000}"/>
    <cellStyle name="Input 4 3 4 2 3" xfId="19510" xr:uid="{00000000-0005-0000-0000-0000237D0000}"/>
    <cellStyle name="Input 4 3 4 2 3 2" xfId="38863" xr:uid="{00000000-0005-0000-0000-0000247D0000}"/>
    <cellStyle name="Input 4 3 4 2 4" xfId="22015" xr:uid="{00000000-0005-0000-0000-0000257D0000}"/>
    <cellStyle name="Input 4 3 4 2 4 2" xfId="41357" xr:uid="{00000000-0005-0000-0000-0000267D0000}"/>
    <cellStyle name="Input 4 3 4 2 5" xfId="33956" xr:uid="{00000000-0005-0000-0000-0000277D0000}"/>
    <cellStyle name="Input 4 3 4 3" xfId="15152" xr:uid="{00000000-0005-0000-0000-0000287D0000}"/>
    <cellStyle name="Input 4 3 4 3 2" xfId="17628" xr:uid="{00000000-0005-0000-0000-0000297D0000}"/>
    <cellStyle name="Input 4 3 4 3 2 2" xfId="36982" xr:uid="{00000000-0005-0000-0000-00002A7D0000}"/>
    <cellStyle name="Input 4 3 4 3 3" xfId="20059" xr:uid="{00000000-0005-0000-0000-00002B7D0000}"/>
    <cellStyle name="Input 4 3 4 3 3 2" xfId="39412" xr:uid="{00000000-0005-0000-0000-00002C7D0000}"/>
    <cellStyle name="Input 4 3 4 3 4" xfId="22572" xr:uid="{00000000-0005-0000-0000-00002D7D0000}"/>
    <cellStyle name="Input 4 3 4 3 4 2" xfId="41914" xr:uid="{00000000-0005-0000-0000-00002E7D0000}"/>
    <cellStyle name="Input 4 3 4 3 5" xfId="34513" xr:uid="{00000000-0005-0000-0000-00002F7D0000}"/>
    <cellStyle name="Input 4 3 4 4" xfId="15633" xr:uid="{00000000-0005-0000-0000-0000307D0000}"/>
    <cellStyle name="Input 4 3 4 4 2" xfId="18109" xr:uid="{00000000-0005-0000-0000-0000317D0000}"/>
    <cellStyle name="Input 4 3 4 4 2 2" xfId="37463" xr:uid="{00000000-0005-0000-0000-0000327D0000}"/>
    <cellStyle name="Input 4 3 4 4 3" xfId="20540" xr:uid="{00000000-0005-0000-0000-0000337D0000}"/>
    <cellStyle name="Input 4 3 4 4 3 2" xfId="39893" xr:uid="{00000000-0005-0000-0000-0000347D0000}"/>
    <cellStyle name="Input 4 3 4 4 4" xfId="23053" xr:uid="{00000000-0005-0000-0000-0000357D0000}"/>
    <cellStyle name="Input 4 3 4 4 4 2" xfId="42395" xr:uid="{00000000-0005-0000-0000-0000367D0000}"/>
    <cellStyle name="Input 4 3 4 4 5" xfId="34994" xr:uid="{00000000-0005-0000-0000-0000377D0000}"/>
    <cellStyle name="Input 4 3 4 5" xfId="16308" xr:uid="{00000000-0005-0000-0000-0000387D0000}"/>
    <cellStyle name="Input 4 3 4 5 2" xfId="35662" xr:uid="{00000000-0005-0000-0000-0000397D0000}"/>
    <cellStyle name="Input 4 3 4 6" xfId="18739" xr:uid="{00000000-0005-0000-0000-00003A7D0000}"/>
    <cellStyle name="Input 4 3 4 6 2" xfId="38092" xr:uid="{00000000-0005-0000-0000-00003B7D0000}"/>
    <cellStyle name="Input 4 3 4 7" xfId="21219" xr:uid="{00000000-0005-0000-0000-00003C7D0000}"/>
    <cellStyle name="Input 4 3 4 7 2" xfId="40561" xr:uid="{00000000-0005-0000-0000-00003D7D0000}"/>
    <cellStyle name="Input 4 3 4 8" xfId="33160" xr:uid="{00000000-0005-0000-0000-00003E7D0000}"/>
    <cellStyle name="Input 4 3 5" xfId="14022" xr:uid="{00000000-0005-0000-0000-00003F7D0000}"/>
    <cellStyle name="Input 4 3 5 2" xfId="14817" xr:uid="{00000000-0005-0000-0000-0000407D0000}"/>
    <cellStyle name="Input 4 3 5 2 2" xfId="17295" xr:uid="{00000000-0005-0000-0000-0000417D0000}"/>
    <cellStyle name="Input 4 3 5 2 2 2" xfId="36649" xr:uid="{00000000-0005-0000-0000-0000427D0000}"/>
    <cellStyle name="Input 4 3 5 2 3" xfId="19726" xr:uid="{00000000-0005-0000-0000-0000437D0000}"/>
    <cellStyle name="Input 4 3 5 2 3 2" xfId="39079" xr:uid="{00000000-0005-0000-0000-0000447D0000}"/>
    <cellStyle name="Input 4 3 5 2 4" xfId="22237" xr:uid="{00000000-0005-0000-0000-0000457D0000}"/>
    <cellStyle name="Input 4 3 5 2 4 2" xfId="41579" xr:uid="{00000000-0005-0000-0000-0000467D0000}"/>
    <cellStyle name="Input 4 3 5 2 5" xfId="34178" xr:uid="{00000000-0005-0000-0000-0000477D0000}"/>
    <cellStyle name="Input 4 3 5 3" xfId="15365" xr:uid="{00000000-0005-0000-0000-0000487D0000}"/>
    <cellStyle name="Input 4 3 5 3 2" xfId="17841" xr:uid="{00000000-0005-0000-0000-0000497D0000}"/>
    <cellStyle name="Input 4 3 5 3 2 2" xfId="37195" xr:uid="{00000000-0005-0000-0000-00004A7D0000}"/>
    <cellStyle name="Input 4 3 5 3 3" xfId="20272" xr:uid="{00000000-0005-0000-0000-00004B7D0000}"/>
    <cellStyle name="Input 4 3 5 3 3 2" xfId="39625" xr:uid="{00000000-0005-0000-0000-00004C7D0000}"/>
    <cellStyle name="Input 4 3 5 3 4" xfId="22785" xr:uid="{00000000-0005-0000-0000-00004D7D0000}"/>
    <cellStyle name="Input 4 3 5 3 4 2" xfId="42127" xr:uid="{00000000-0005-0000-0000-00004E7D0000}"/>
    <cellStyle name="Input 4 3 5 3 5" xfId="34726" xr:uid="{00000000-0005-0000-0000-00004F7D0000}"/>
    <cellStyle name="Input 4 3 5 4" xfId="15824" xr:uid="{00000000-0005-0000-0000-0000507D0000}"/>
    <cellStyle name="Input 4 3 5 4 2" xfId="18300" xr:uid="{00000000-0005-0000-0000-0000517D0000}"/>
    <cellStyle name="Input 4 3 5 4 2 2" xfId="37654" xr:uid="{00000000-0005-0000-0000-0000527D0000}"/>
    <cellStyle name="Input 4 3 5 4 3" xfId="20731" xr:uid="{00000000-0005-0000-0000-0000537D0000}"/>
    <cellStyle name="Input 4 3 5 4 3 2" xfId="40084" xr:uid="{00000000-0005-0000-0000-0000547D0000}"/>
    <cellStyle name="Input 4 3 5 4 4" xfId="23244" xr:uid="{00000000-0005-0000-0000-0000557D0000}"/>
    <cellStyle name="Input 4 3 5 4 4 2" xfId="42586" xr:uid="{00000000-0005-0000-0000-0000567D0000}"/>
    <cellStyle name="Input 4 3 5 4 5" xfId="35185" xr:uid="{00000000-0005-0000-0000-0000577D0000}"/>
    <cellStyle name="Input 4 3 5 5" xfId="16528" xr:uid="{00000000-0005-0000-0000-0000587D0000}"/>
    <cellStyle name="Input 4 3 5 5 2" xfId="35882" xr:uid="{00000000-0005-0000-0000-0000597D0000}"/>
    <cellStyle name="Input 4 3 5 6" xfId="18959" xr:uid="{00000000-0005-0000-0000-00005A7D0000}"/>
    <cellStyle name="Input 4 3 5 6 2" xfId="38312" xr:uid="{00000000-0005-0000-0000-00005B7D0000}"/>
    <cellStyle name="Input 4 3 5 7" xfId="21445" xr:uid="{00000000-0005-0000-0000-00005C7D0000}"/>
    <cellStyle name="Input 4 3 5 7 2" xfId="40787" xr:uid="{00000000-0005-0000-0000-00005D7D0000}"/>
    <cellStyle name="Input 4 3 5 8" xfId="33386" xr:uid="{00000000-0005-0000-0000-00005E7D0000}"/>
    <cellStyle name="Input 4 3 6" xfId="14314" xr:uid="{00000000-0005-0000-0000-00005F7D0000}"/>
    <cellStyle name="Input 4 3 6 2" xfId="16810" xr:uid="{00000000-0005-0000-0000-0000607D0000}"/>
    <cellStyle name="Input 4 3 6 2 2" xfId="36164" xr:uid="{00000000-0005-0000-0000-0000617D0000}"/>
    <cellStyle name="Input 4 3 6 3" xfId="19241" xr:uid="{00000000-0005-0000-0000-0000627D0000}"/>
    <cellStyle name="Input 4 3 6 3 2" xfId="38594" xr:uid="{00000000-0005-0000-0000-0000637D0000}"/>
    <cellStyle name="Input 4 3 6 4" xfId="21734" xr:uid="{00000000-0005-0000-0000-0000647D0000}"/>
    <cellStyle name="Input 4 3 6 4 2" xfId="41076" xr:uid="{00000000-0005-0000-0000-0000657D0000}"/>
    <cellStyle name="Input 4 3 6 5" xfId="33675" xr:uid="{00000000-0005-0000-0000-0000667D0000}"/>
    <cellStyle name="Input 4 3 7" xfId="16050" xr:uid="{00000000-0005-0000-0000-0000677D0000}"/>
    <cellStyle name="Input 4 3 7 2" xfId="35404" xr:uid="{00000000-0005-0000-0000-0000687D0000}"/>
    <cellStyle name="Input 4 3 8" xfId="13411" xr:uid="{00000000-0005-0000-0000-0000697D0000}"/>
    <cellStyle name="Input 4 3 8 2" xfId="32795" xr:uid="{00000000-0005-0000-0000-00006A7D0000}"/>
    <cellStyle name="Input 4 3 9" xfId="20983" xr:uid="{00000000-0005-0000-0000-00006B7D0000}"/>
    <cellStyle name="Input 4 3 9 2" xfId="40325" xr:uid="{00000000-0005-0000-0000-00006C7D0000}"/>
    <cellStyle name="Input 4 4" xfId="13520" xr:uid="{00000000-0005-0000-0000-00006D7D0000}"/>
    <cellStyle name="Input 4 4 2" xfId="13820" xr:uid="{00000000-0005-0000-0000-00006E7D0000}"/>
    <cellStyle name="Input 4 4 2 2" xfId="14615" xr:uid="{00000000-0005-0000-0000-00006F7D0000}"/>
    <cellStyle name="Input 4 4 2 2 2" xfId="17099" xr:uid="{00000000-0005-0000-0000-0000707D0000}"/>
    <cellStyle name="Input 4 4 2 2 2 2" xfId="36453" xr:uid="{00000000-0005-0000-0000-0000717D0000}"/>
    <cellStyle name="Input 4 4 2 2 3" xfId="19530" xr:uid="{00000000-0005-0000-0000-0000727D0000}"/>
    <cellStyle name="Input 4 4 2 2 3 2" xfId="38883" xr:uid="{00000000-0005-0000-0000-0000737D0000}"/>
    <cellStyle name="Input 4 4 2 2 4" xfId="22035" xr:uid="{00000000-0005-0000-0000-0000747D0000}"/>
    <cellStyle name="Input 4 4 2 2 4 2" xfId="41377" xr:uid="{00000000-0005-0000-0000-0000757D0000}"/>
    <cellStyle name="Input 4 4 2 2 5" xfId="33976" xr:uid="{00000000-0005-0000-0000-0000767D0000}"/>
    <cellStyle name="Input 4 4 2 3" xfId="15172" xr:uid="{00000000-0005-0000-0000-0000777D0000}"/>
    <cellStyle name="Input 4 4 2 3 2" xfId="17648" xr:uid="{00000000-0005-0000-0000-0000787D0000}"/>
    <cellStyle name="Input 4 4 2 3 2 2" xfId="37002" xr:uid="{00000000-0005-0000-0000-0000797D0000}"/>
    <cellStyle name="Input 4 4 2 3 3" xfId="20079" xr:uid="{00000000-0005-0000-0000-00007A7D0000}"/>
    <cellStyle name="Input 4 4 2 3 3 2" xfId="39432" xr:uid="{00000000-0005-0000-0000-00007B7D0000}"/>
    <cellStyle name="Input 4 4 2 3 4" xfId="22592" xr:uid="{00000000-0005-0000-0000-00007C7D0000}"/>
    <cellStyle name="Input 4 4 2 3 4 2" xfId="41934" xr:uid="{00000000-0005-0000-0000-00007D7D0000}"/>
    <cellStyle name="Input 4 4 2 3 5" xfId="34533" xr:uid="{00000000-0005-0000-0000-00007E7D0000}"/>
    <cellStyle name="Input 4 4 2 4" xfId="15652" xr:uid="{00000000-0005-0000-0000-00007F7D0000}"/>
    <cellStyle name="Input 4 4 2 4 2" xfId="18128" xr:uid="{00000000-0005-0000-0000-0000807D0000}"/>
    <cellStyle name="Input 4 4 2 4 2 2" xfId="37482" xr:uid="{00000000-0005-0000-0000-0000817D0000}"/>
    <cellStyle name="Input 4 4 2 4 3" xfId="20559" xr:uid="{00000000-0005-0000-0000-0000827D0000}"/>
    <cellStyle name="Input 4 4 2 4 3 2" xfId="39912" xr:uid="{00000000-0005-0000-0000-0000837D0000}"/>
    <cellStyle name="Input 4 4 2 4 4" xfId="23072" xr:uid="{00000000-0005-0000-0000-0000847D0000}"/>
    <cellStyle name="Input 4 4 2 4 4 2" xfId="42414" xr:uid="{00000000-0005-0000-0000-0000857D0000}"/>
    <cellStyle name="Input 4 4 2 4 5" xfId="35013" xr:uid="{00000000-0005-0000-0000-0000867D0000}"/>
    <cellStyle name="Input 4 4 2 5" xfId="16332" xr:uid="{00000000-0005-0000-0000-0000877D0000}"/>
    <cellStyle name="Input 4 4 2 5 2" xfId="35686" xr:uid="{00000000-0005-0000-0000-0000887D0000}"/>
    <cellStyle name="Input 4 4 2 6" xfId="18763" xr:uid="{00000000-0005-0000-0000-0000897D0000}"/>
    <cellStyle name="Input 4 4 2 6 2" xfId="38116" xr:uid="{00000000-0005-0000-0000-00008A7D0000}"/>
    <cellStyle name="Input 4 4 2 7" xfId="21243" xr:uid="{00000000-0005-0000-0000-00008B7D0000}"/>
    <cellStyle name="Input 4 4 2 7 2" xfId="40585" xr:uid="{00000000-0005-0000-0000-00008C7D0000}"/>
    <cellStyle name="Input 4 4 2 8" xfId="33184" xr:uid="{00000000-0005-0000-0000-00008D7D0000}"/>
    <cellStyle name="Input 4 4 3" xfId="14041" xr:uid="{00000000-0005-0000-0000-00008E7D0000}"/>
    <cellStyle name="Input 4 4 3 2" xfId="14836" xr:uid="{00000000-0005-0000-0000-00008F7D0000}"/>
    <cellStyle name="Input 4 4 3 2 2" xfId="17314" xr:uid="{00000000-0005-0000-0000-0000907D0000}"/>
    <cellStyle name="Input 4 4 3 2 2 2" xfId="36668" xr:uid="{00000000-0005-0000-0000-0000917D0000}"/>
    <cellStyle name="Input 4 4 3 2 3" xfId="19745" xr:uid="{00000000-0005-0000-0000-0000927D0000}"/>
    <cellStyle name="Input 4 4 3 2 3 2" xfId="39098" xr:uid="{00000000-0005-0000-0000-0000937D0000}"/>
    <cellStyle name="Input 4 4 3 2 4" xfId="22256" xr:uid="{00000000-0005-0000-0000-0000947D0000}"/>
    <cellStyle name="Input 4 4 3 2 4 2" xfId="41598" xr:uid="{00000000-0005-0000-0000-0000957D0000}"/>
    <cellStyle name="Input 4 4 3 2 5" xfId="34197" xr:uid="{00000000-0005-0000-0000-0000967D0000}"/>
    <cellStyle name="Input 4 4 3 3" xfId="15384" xr:uid="{00000000-0005-0000-0000-0000977D0000}"/>
    <cellStyle name="Input 4 4 3 3 2" xfId="17860" xr:uid="{00000000-0005-0000-0000-0000987D0000}"/>
    <cellStyle name="Input 4 4 3 3 2 2" xfId="37214" xr:uid="{00000000-0005-0000-0000-0000997D0000}"/>
    <cellStyle name="Input 4 4 3 3 3" xfId="20291" xr:uid="{00000000-0005-0000-0000-00009A7D0000}"/>
    <cellStyle name="Input 4 4 3 3 3 2" xfId="39644" xr:uid="{00000000-0005-0000-0000-00009B7D0000}"/>
    <cellStyle name="Input 4 4 3 3 4" xfId="22804" xr:uid="{00000000-0005-0000-0000-00009C7D0000}"/>
    <cellStyle name="Input 4 4 3 3 4 2" xfId="42146" xr:uid="{00000000-0005-0000-0000-00009D7D0000}"/>
    <cellStyle name="Input 4 4 3 3 5" xfId="34745" xr:uid="{00000000-0005-0000-0000-00009E7D0000}"/>
    <cellStyle name="Input 4 4 3 4" xfId="15843" xr:uid="{00000000-0005-0000-0000-00009F7D0000}"/>
    <cellStyle name="Input 4 4 3 4 2" xfId="18319" xr:uid="{00000000-0005-0000-0000-0000A07D0000}"/>
    <cellStyle name="Input 4 4 3 4 2 2" xfId="37673" xr:uid="{00000000-0005-0000-0000-0000A17D0000}"/>
    <cellStyle name="Input 4 4 3 4 3" xfId="20750" xr:uid="{00000000-0005-0000-0000-0000A27D0000}"/>
    <cellStyle name="Input 4 4 3 4 3 2" xfId="40103" xr:uid="{00000000-0005-0000-0000-0000A37D0000}"/>
    <cellStyle name="Input 4 4 3 4 4" xfId="23263" xr:uid="{00000000-0005-0000-0000-0000A47D0000}"/>
    <cellStyle name="Input 4 4 3 4 4 2" xfId="42605" xr:uid="{00000000-0005-0000-0000-0000A57D0000}"/>
    <cellStyle name="Input 4 4 3 4 5" xfId="35204" xr:uid="{00000000-0005-0000-0000-0000A67D0000}"/>
    <cellStyle name="Input 4 4 3 5" xfId="16547" xr:uid="{00000000-0005-0000-0000-0000A77D0000}"/>
    <cellStyle name="Input 4 4 3 5 2" xfId="35901" xr:uid="{00000000-0005-0000-0000-0000A87D0000}"/>
    <cellStyle name="Input 4 4 3 6" xfId="18978" xr:uid="{00000000-0005-0000-0000-0000A97D0000}"/>
    <cellStyle name="Input 4 4 3 6 2" xfId="38331" xr:uid="{00000000-0005-0000-0000-0000AA7D0000}"/>
    <cellStyle name="Input 4 4 3 7" xfId="21464" xr:uid="{00000000-0005-0000-0000-0000AB7D0000}"/>
    <cellStyle name="Input 4 4 3 7 2" xfId="40806" xr:uid="{00000000-0005-0000-0000-0000AC7D0000}"/>
    <cellStyle name="Input 4 4 3 8" xfId="33405" xr:uid="{00000000-0005-0000-0000-0000AD7D0000}"/>
    <cellStyle name="Input 4 4 4" xfId="14336" xr:uid="{00000000-0005-0000-0000-0000AE7D0000}"/>
    <cellStyle name="Input 4 4 4 2" xfId="16832" xr:uid="{00000000-0005-0000-0000-0000AF7D0000}"/>
    <cellStyle name="Input 4 4 4 2 2" xfId="36186" xr:uid="{00000000-0005-0000-0000-0000B07D0000}"/>
    <cellStyle name="Input 4 4 4 3" xfId="19263" xr:uid="{00000000-0005-0000-0000-0000B17D0000}"/>
    <cellStyle name="Input 4 4 4 3 2" xfId="38616" xr:uid="{00000000-0005-0000-0000-0000B27D0000}"/>
    <cellStyle name="Input 4 4 4 4" xfId="21756" xr:uid="{00000000-0005-0000-0000-0000B37D0000}"/>
    <cellStyle name="Input 4 4 4 4 2" xfId="41098" xr:uid="{00000000-0005-0000-0000-0000B47D0000}"/>
    <cellStyle name="Input 4 4 4 5" xfId="33697" xr:uid="{00000000-0005-0000-0000-0000B57D0000}"/>
    <cellStyle name="Input 4 4 5" xfId="14974" xr:uid="{00000000-0005-0000-0000-0000B67D0000}"/>
    <cellStyle name="Input 4 4 5 2" xfId="17450" xr:uid="{00000000-0005-0000-0000-0000B77D0000}"/>
    <cellStyle name="Input 4 4 5 2 2" xfId="36804" xr:uid="{00000000-0005-0000-0000-0000B87D0000}"/>
    <cellStyle name="Input 4 4 5 3" xfId="19881" xr:uid="{00000000-0005-0000-0000-0000B97D0000}"/>
    <cellStyle name="Input 4 4 5 3 2" xfId="39234" xr:uid="{00000000-0005-0000-0000-0000BA7D0000}"/>
    <cellStyle name="Input 4 4 5 4" xfId="22394" xr:uid="{00000000-0005-0000-0000-0000BB7D0000}"/>
    <cellStyle name="Input 4 4 5 4 2" xfId="41736" xr:uid="{00000000-0005-0000-0000-0000BC7D0000}"/>
    <cellStyle name="Input 4 4 5 5" xfId="34335" xr:uid="{00000000-0005-0000-0000-0000BD7D0000}"/>
    <cellStyle name="Input 4 4 6" xfId="18481" xr:uid="{00000000-0005-0000-0000-0000BE7D0000}"/>
    <cellStyle name="Input 4 4 6 2" xfId="37834" xr:uid="{00000000-0005-0000-0000-0000BF7D0000}"/>
    <cellStyle name="Input 4 4 7" xfId="21011" xr:uid="{00000000-0005-0000-0000-0000C07D0000}"/>
    <cellStyle name="Input 4 4 7 2" xfId="40353" xr:uid="{00000000-0005-0000-0000-0000C17D0000}"/>
    <cellStyle name="Input 4 4 8" xfId="32895" xr:uid="{00000000-0005-0000-0000-0000C27D0000}"/>
    <cellStyle name="Input 4 5" xfId="13744" xr:uid="{00000000-0005-0000-0000-0000C37D0000}"/>
    <cellStyle name="Input 4 5 2" xfId="14547" xr:uid="{00000000-0005-0000-0000-0000C47D0000}"/>
    <cellStyle name="Input 4 5 2 2" xfId="17034" xr:uid="{00000000-0005-0000-0000-0000C57D0000}"/>
    <cellStyle name="Input 4 5 2 2 2" xfId="36388" xr:uid="{00000000-0005-0000-0000-0000C67D0000}"/>
    <cellStyle name="Input 4 5 2 3" xfId="19465" xr:uid="{00000000-0005-0000-0000-0000C77D0000}"/>
    <cellStyle name="Input 4 5 2 3 2" xfId="38818" xr:uid="{00000000-0005-0000-0000-0000C87D0000}"/>
    <cellStyle name="Input 4 5 2 4" xfId="21967" xr:uid="{00000000-0005-0000-0000-0000C97D0000}"/>
    <cellStyle name="Input 4 5 2 4 2" xfId="41309" xr:uid="{00000000-0005-0000-0000-0000CA7D0000}"/>
    <cellStyle name="Input 4 5 2 5" xfId="33908" xr:uid="{00000000-0005-0000-0000-0000CB7D0000}"/>
    <cellStyle name="Input 4 5 3" xfId="15108" xr:uid="{00000000-0005-0000-0000-0000CC7D0000}"/>
    <cellStyle name="Input 4 5 3 2" xfId="17584" xr:uid="{00000000-0005-0000-0000-0000CD7D0000}"/>
    <cellStyle name="Input 4 5 3 2 2" xfId="36938" xr:uid="{00000000-0005-0000-0000-0000CE7D0000}"/>
    <cellStyle name="Input 4 5 3 3" xfId="20015" xr:uid="{00000000-0005-0000-0000-0000CF7D0000}"/>
    <cellStyle name="Input 4 5 3 3 2" xfId="39368" xr:uid="{00000000-0005-0000-0000-0000D07D0000}"/>
    <cellStyle name="Input 4 5 3 4" xfId="22528" xr:uid="{00000000-0005-0000-0000-0000D17D0000}"/>
    <cellStyle name="Input 4 5 3 4 2" xfId="41870" xr:uid="{00000000-0005-0000-0000-0000D27D0000}"/>
    <cellStyle name="Input 4 5 3 5" xfId="34469" xr:uid="{00000000-0005-0000-0000-0000D37D0000}"/>
    <cellStyle name="Input 4 5 4" xfId="15591" xr:uid="{00000000-0005-0000-0000-0000D47D0000}"/>
    <cellStyle name="Input 4 5 4 2" xfId="18067" xr:uid="{00000000-0005-0000-0000-0000D57D0000}"/>
    <cellStyle name="Input 4 5 4 2 2" xfId="37421" xr:uid="{00000000-0005-0000-0000-0000D67D0000}"/>
    <cellStyle name="Input 4 5 4 3" xfId="20498" xr:uid="{00000000-0005-0000-0000-0000D77D0000}"/>
    <cellStyle name="Input 4 5 4 3 2" xfId="39851" xr:uid="{00000000-0005-0000-0000-0000D87D0000}"/>
    <cellStyle name="Input 4 5 4 4" xfId="23011" xr:uid="{00000000-0005-0000-0000-0000D97D0000}"/>
    <cellStyle name="Input 4 5 4 4 2" xfId="42353" xr:uid="{00000000-0005-0000-0000-0000DA7D0000}"/>
    <cellStyle name="Input 4 5 4 5" xfId="34952" xr:uid="{00000000-0005-0000-0000-0000DB7D0000}"/>
    <cellStyle name="Input 4 5 5" xfId="16260" xr:uid="{00000000-0005-0000-0000-0000DC7D0000}"/>
    <cellStyle name="Input 4 5 5 2" xfId="35614" xr:uid="{00000000-0005-0000-0000-0000DD7D0000}"/>
    <cellStyle name="Input 4 5 6" xfId="18691" xr:uid="{00000000-0005-0000-0000-0000DE7D0000}"/>
    <cellStyle name="Input 4 5 6 2" xfId="38044" xr:uid="{00000000-0005-0000-0000-0000DF7D0000}"/>
    <cellStyle name="Input 4 5 7" xfId="21168" xr:uid="{00000000-0005-0000-0000-0000E07D0000}"/>
    <cellStyle name="Input 4 5 7 2" xfId="40510" xr:uid="{00000000-0005-0000-0000-0000E17D0000}"/>
    <cellStyle name="Input 4 5 8" xfId="33109" xr:uid="{00000000-0005-0000-0000-0000E27D0000}"/>
    <cellStyle name="Input 4 6" xfId="13320" xr:uid="{00000000-0005-0000-0000-0000E37D0000}"/>
    <cellStyle name="Input 4 6 2" xfId="32745" xr:uid="{00000000-0005-0000-0000-0000E47D0000}"/>
    <cellStyle name="Input 4 7" xfId="13360" xr:uid="{00000000-0005-0000-0000-0000E57D0000}"/>
    <cellStyle name="Input 4 7 2" xfId="32759" xr:uid="{00000000-0005-0000-0000-0000E67D0000}"/>
    <cellStyle name="Input 4 8" xfId="20899" xr:uid="{00000000-0005-0000-0000-0000E77D0000}"/>
    <cellStyle name="Input 4 8 2" xfId="40244" xr:uid="{00000000-0005-0000-0000-0000E87D0000}"/>
    <cellStyle name="Input 5" xfId="2673" xr:uid="{00000000-0005-0000-0000-0000E97D0000}"/>
    <cellStyle name="Input 5 2" xfId="13454" xr:uid="{00000000-0005-0000-0000-0000EA7D0000}"/>
    <cellStyle name="Input 5 2 2" xfId="13581" xr:uid="{00000000-0005-0000-0000-0000EB7D0000}"/>
    <cellStyle name="Input 5 2 2 2" xfId="13880" xr:uid="{00000000-0005-0000-0000-0000EC7D0000}"/>
    <cellStyle name="Input 5 2 2 2 2" xfId="14675" xr:uid="{00000000-0005-0000-0000-0000ED7D0000}"/>
    <cellStyle name="Input 5 2 2 2 2 2" xfId="17156" xr:uid="{00000000-0005-0000-0000-0000EE7D0000}"/>
    <cellStyle name="Input 5 2 2 2 2 2 2" xfId="36510" xr:uid="{00000000-0005-0000-0000-0000EF7D0000}"/>
    <cellStyle name="Input 5 2 2 2 2 3" xfId="19587" xr:uid="{00000000-0005-0000-0000-0000F07D0000}"/>
    <cellStyle name="Input 5 2 2 2 2 3 2" xfId="38940" xr:uid="{00000000-0005-0000-0000-0000F17D0000}"/>
    <cellStyle name="Input 5 2 2 2 2 4" xfId="22095" xr:uid="{00000000-0005-0000-0000-0000F27D0000}"/>
    <cellStyle name="Input 5 2 2 2 2 4 2" xfId="41437" xr:uid="{00000000-0005-0000-0000-0000F37D0000}"/>
    <cellStyle name="Input 5 2 2 2 2 5" xfId="34036" xr:uid="{00000000-0005-0000-0000-0000F47D0000}"/>
    <cellStyle name="Input 5 2 2 2 3" xfId="15227" xr:uid="{00000000-0005-0000-0000-0000F57D0000}"/>
    <cellStyle name="Input 5 2 2 2 3 2" xfId="17703" xr:uid="{00000000-0005-0000-0000-0000F67D0000}"/>
    <cellStyle name="Input 5 2 2 2 3 2 2" xfId="37057" xr:uid="{00000000-0005-0000-0000-0000F77D0000}"/>
    <cellStyle name="Input 5 2 2 2 3 3" xfId="20134" xr:uid="{00000000-0005-0000-0000-0000F87D0000}"/>
    <cellStyle name="Input 5 2 2 2 3 3 2" xfId="39487" xr:uid="{00000000-0005-0000-0000-0000F97D0000}"/>
    <cellStyle name="Input 5 2 2 2 3 4" xfId="22647" xr:uid="{00000000-0005-0000-0000-0000FA7D0000}"/>
    <cellStyle name="Input 5 2 2 2 3 4 2" xfId="41989" xr:uid="{00000000-0005-0000-0000-0000FB7D0000}"/>
    <cellStyle name="Input 5 2 2 2 3 5" xfId="34588" xr:uid="{00000000-0005-0000-0000-0000FC7D0000}"/>
    <cellStyle name="Input 5 2 2 2 4" xfId="15697" xr:uid="{00000000-0005-0000-0000-0000FD7D0000}"/>
    <cellStyle name="Input 5 2 2 2 4 2" xfId="18173" xr:uid="{00000000-0005-0000-0000-0000FE7D0000}"/>
    <cellStyle name="Input 5 2 2 2 4 2 2" xfId="37527" xr:uid="{00000000-0005-0000-0000-0000FF7D0000}"/>
    <cellStyle name="Input 5 2 2 2 4 3" xfId="20604" xr:uid="{00000000-0005-0000-0000-0000007E0000}"/>
    <cellStyle name="Input 5 2 2 2 4 3 2" xfId="39957" xr:uid="{00000000-0005-0000-0000-0000017E0000}"/>
    <cellStyle name="Input 5 2 2 2 4 4" xfId="23117" xr:uid="{00000000-0005-0000-0000-0000027E0000}"/>
    <cellStyle name="Input 5 2 2 2 4 4 2" xfId="42459" xr:uid="{00000000-0005-0000-0000-0000037E0000}"/>
    <cellStyle name="Input 5 2 2 2 4 5" xfId="35058" xr:uid="{00000000-0005-0000-0000-0000047E0000}"/>
    <cellStyle name="Input 5 2 2 2 5" xfId="16389" xr:uid="{00000000-0005-0000-0000-0000057E0000}"/>
    <cellStyle name="Input 5 2 2 2 5 2" xfId="35743" xr:uid="{00000000-0005-0000-0000-0000067E0000}"/>
    <cellStyle name="Input 5 2 2 2 6" xfId="18820" xr:uid="{00000000-0005-0000-0000-0000077E0000}"/>
    <cellStyle name="Input 5 2 2 2 6 2" xfId="38173" xr:uid="{00000000-0005-0000-0000-0000087E0000}"/>
    <cellStyle name="Input 5 2 2 2 7" xfId="21303" xr:uid="{00000000-0005-0000-0000-0000097E0000}"/>
    <cellStyle name="Input 5 2 2 2 7 2" xfId="40645" xr:uid="{00000000-0005-0000-0000-00000A7E0000}"/>
    <cellStyle name="Input 5 2 2 2 8" xfId="33244" xr:uid="{00000000-0005-0000-0000-00000B7E0000}"/>
    <cellStyle name="Input 5 2 2 3" xfId="14098" xr:uid="{00000000-0005-0000-0000-00000C7E0000}"/>
    <cellStyle name="Input 5 2 2 3 2" xfId="14879" xr:uid="{00000000-0005-0000-0000-00000D7E0000}"/>
    <cellStyle name="Input 5 2 2 3 2 2" xfId="17357" xr:uid="{00000000-0005-0000-0000-00000E7E0000}"/>
    <cellStyle name="Input 5 2 2 3 2 2 2" xfId="36711" xr:uid="{00000000-0005-0000-0000-00000F7E0000}"/>
    <cellStyle name="Input 5 2 2 3 2 3" xfId="19788" xr:uid="{00000000-0005-0000-0000-0000107E0000}"/>
    <cellStyle name="Input 5 2 2 3 2 3 2" xfId="39141" xr:uid="{00000000-0005-0000-0000-0000117E0000}"/>
    <cellStyle name="Input 5 2 2 3 2 4" xfId="22299" xr:uid="{00000000-0005-0000-0000-0000127E0000}"/>
    <cellStyle name="Input 5 2 2 3 2 4 2" xfId="41641" xr:uid="{00000000-0005-0000-0000-0000137E0000}"/>
    <cellStyle name="Input 5 2 2 3 2 5" xfId="34240" xr:uid="{00000000-0005-0000-0000-0000147E0000}"/>
    <cellStyle name="Input 5 2 2 3 3" xfId="15426" xr:uid="{00000000-0005-0000-0000-0000157E0000}"/>
    <cellStyle name="Input 5 2 2 3 3 2" xfId="17902" xr:uid="{00000000-0005-0000-0000-0000167E0000}"/>
    <cellStyle name="Input 5 2 2 3 3 2 2" xfId="37256" xr:uid="{00000000-0005-0000-0000-0000177E0000}"/>
    <cellStyle name="Input 5 2 2 3 3 3" xfId="20333" xr:uid="{00000000-0005-0000-0000-0000187E0000}"/>
    <cellStyle name="Input 5 2 2 3 3 3 2" xfId="39686" xr:uid="{00000000-0005-0000-0000-0000197E0000}"/>
    <cellStyle name="Input 5 2 2 3 3 4" xfId="22846" xr:uid="{00000000-0005-0000-0000-00001A7E0000}"/>
    <cellStyle name="Input 5 2 2 3 3 4 2" xfId="42188" xr:uid="{00000000-0005-0000-0000-00001B7E0000}"/>
    <cellStyle name="Input 5 2 2 3 3 5" xfId="34787" xr:uid="{00000000-0005-0000-0000-00001C7E0000}"/>
    <cellStyle name="Input 5 2 2 3 4" xfId="15885" xr:uid="{00000000-0005-0000-0000-00001D7E0000}"/>
    <cellStyle name="Input 5 2 2 3 4 2" xfId="18361" xr:uid="{00000000-0005-0000-0000-00001E7E0000}"/>
    <cellStyle name="Input 5 2 2 3 4 2 2" xfId="37715" xr:uid="{00000000-0005-0000-0000-00001F7E0000}"/>
    <cellStyle name="Input 5 2 2 3 4 3" xfId="20792" xr:uid="{00000000-0005-0000-0000-0000207E0000}"/>
    <cellStyle name="Input 5 2 2 3 4 3 2" xfId="40145" xr:uid="{00000000-0005-0000-0000-0000217E0000}"/>
    <cellStyle name="Input 5 2 2 3 4 4" xfId="23305" xr:uid="{00000000-0005-0000-0000-0000227E0000}"/>
    <cellStyle name="Input 5 2 2 3 4 4 2" xfId="42647" xr:uid="{00000000-0005-0000-0000-0000237E0000}"/>
    <cellStyle name="Input 5 2 2 3 4 5" xfId="35246" xr:uid="{00000000-0005-0000-0000-0000247E0000}"/>
    <cellStyle name="Input 5 2 2 3 5" xfId="16604" xr:uid="{00000000-0005-0000-0000-0000257E0000}"/>
    <cellStyle name="Input 5 2 2 3 5 2" xfId="35958" xr:uid="{00000000-0005-0000-0000-0000267E0000}"/>
    <cellStyle name="Input 5 2 2 3 6" xfId="19035" xr:uid="{00000000-0005-0000-0000-0000277E0000}"/>
    <cellStyle name="Input 5 2 2 3 6 2" xfId="38388" xr:uid="{00000000-0005-0000-0000-0000287E0000}"/>
    <cellStyle name="Input 5 2 2 3 7" xfId="21521" xr:uid="{00000000-0005-0000-0000-0000297E0000}"/>
    <cellStyle name="Input 5 2 2 3 7 2" xfId="40863" xr:uid="{00000000-0005-0000-0000-00002A7E0000}"/>
    <cellStyle name="Input 5 2 2 3 8" xfId="33462" xr:uid="{00000000-0005-0000-0000-00002B7E0000}"/>
    <cellStyle name="Input 5 2 2 4" xfId="14390" xr:uid="{00000000-0005-0000-0000-00002C7E0000}"/>
    <cellStyle name="Input 5 2 2 4 2" xfId="16883" xr:uid="{00000000-0005-0000-0000-00002D7E0000}"/>
    <cellStyle name="Input 5 2 2 4 2 2" xfId="36237" xr:uid="{00000000-0005-0000-0000-00002E7E0000}"/>
    <cellStyle name="Input 5 2 2 4 3" xfId="19314" xr:uid="{00000000-0005-0000-0000-00002F7E0000}"/>
    <cellStyle name="Input 5 2 2 4 3 2" xfId="38667" xr:uid="{00000000-0005-0000-0000-0000307E0000}"/>
    <cellStyle name="Input 5 2 2 4 4" xfId="21810" xr:uid="{00000000-0005-0000-0000-0000317E0000}"/>
    <cellStyle name="Input 5 2 2 4 4 2" xfId="41152" xr:uid="{00000000-0005-0000-0000-0000327E0000}"/>
    <cellStyle name="Input 5 2 2 4 5" xfId="33751" xr:uid="{00000000-0005-0000-0000-0000337E0000}"/>
    <cellStyle name="Input 5 2 2 5" xfId="15023" xr:uid="{00000000-0005-0000-0000-0000347E0000}"/>
    <cellStyle name="Input 5 2 2 5 2" xfId="17499" xr:uid="{00000000-0005-0000-0000-0000357E0000}"/>
    <cellStyle name="Input 5 2 2 5 2 2" xfId="36853" xr:uid="{00000000-0005-0000-0000-0000367E0000}"/>
    <cellStyle name="Input 5 2 2 5 3" xfId="19930" xr:uid="{00000000-0005-0000-0000-0000377E0000}"/>
    <cellStyle name="Input 5 2 2 5 3 2" xfId="39283" xr:uid="{00000000-0005-0000-0000-0000387E0000}"/>
    <cellStyle name="Input 5 2 2 5 4" xfId="22443" xr:uid="{00000000-0005-0000-0000-0000397E0000}"/>
    <cellStyle name="Input 5 2 2 5 4 2" xfId="41785" xr:uid="{00000000-0005-0000-0000-00003A7E0000}"/>
    <cellStyle name="Input 5 2 2 5 5" xfId="34384" xr:uid="{00000000-0005-0000-0000-00003B7E0000}"/>
    <cellStyle name="Input 5 2 2 6" xfId="18533" xr:uid="{00000000-0005-0000-0000-00003C7E0000}"/>
    <cellStyle name="Input 5 2 2 6 2" xfId="37886" xr:uid="{00000000-0005-0000-0000-00003D7E0000}"/>
    <cellStyle name="Input 5 2 2 7" xfId="21033" xr:uid="{00000000-0005-0000-0000-00003E7E0000}"/>
    <cellStyle name="Input 5 2 2 7 2" xfId="40375" xr:uid="{00000000-0005-0000-0000-00003F7E0000}"/>
    <cellStyle name="Input 5 2 2 8" xfId="32947" xr:uid="{00000000-0005-0000-0000-0000407E0000}"/>
    <cellStyle name="Input 5 2 3" xfId="13649" xr:uid="{00000000-0005-0000-0000-0000417E0000}"/>
    <cellStyle name="Input 5 2 3 2" xfId="13947" xr:uid="{00000000-0005-0000-0000-0000427E0000}"/>
    <cellStyle name="Input 5 2 3 2 2" xfId="14742" xr:uid="{00000000-0005-0000-0000-0000437E0000}"/>
    <cellStyle name="Input 5 2 3 2 2 2" xfId="17220" xr:uid="{00000000-0005-0000-0000-0000447E0000}"/>
    <cellStyle name="Input 5 2 3 2 2 2 2" xfId="36574" xr:uid="{00000000-0005-0000-0000-0000457E0000}"/>
    <cellStyle name="Input 5 2 3 2 2 3" xfId="19651" xr:uid="{00000000-0005-0000-0000-0000467E0000}"/>
    <cellStyle name="Input 5 2 3 2 2 3 2" xfId="39004" xr:uid="{00000000-0005-0000-0000-0000477E0000}"/>
    <cellStyle name="Input 5 2 3 2 2 4" xfId="22162" xr:uid="{00000000-0005-0000-0000-0000487E0000}"/>
    <cellStyle name="Input 5 2 3 2 2 4 2" xfId="41504" xr:uid="{00000000-0005-0000-0000-0000497E0000}"/>
    <cellStyle name="Input 5 2 3 2 2 5" xfId="34103" xr:uid="{00000000-0005-0000-0000-00004A7E0000}"/>
    <cellStyle name="Input 5 2 3 2 3" xfId="15290" xr:uid="{00000000-0005-0000-0000-00004B7E0000}"/>
    <cellStyle name="Input 5 2 3 2 3 2" xfId="17766" xr:uid="{00000000-0005-0000-0000-00004C7E0000}"/>
    <cellStyle name="Input 5 2 3 2 3 2 2" xfId="37120" xr:uid="{00000000-0005-0000-0000-00004D7E0000}"/>
    <cellStyle name="Input 5 2 3 2 3 3" xfId="20197" xr:uid="{00000000-0005-0000-0000-00004E7E0000}"/>
    <cellStyle name="Input 5 2 3 2 3 3 2" xfId="39550" xr:uid="{00000000-0005-0000-0000-00004F7E0000}"/>
    <cellStyle name="Input 5 2 3 2 3 4" xfId="22710" xr:uid="{00000000-0005-0000-0000-0000507E0000}"/>
    <cellStyle name="Input 5 2 3 2 3 4 2" xfId="42052" xr:uid="{00000000-0005-0000-0000-0000517E0000}"/>
    <cellStyle name="Input 5 2 3 2 3 5" xfId="34651" xr:uid="{00000000-0005-0000-0000-0000527E0000}"/>
    <cellStyle name="Input 5 2 3 2 4" xfId="15749" xr:uid="{00000000-0005-0000-0000-0000537E0000}"/>
    <cellStyle name="Input 5 2 3 2 4 2" xfId="18225" xr:uid="{00000000-0005-0000-0000-0000547E0000}"/>
    <cellStyle name="Input 5 2 3 2 4 2 2" xfId="37579" xr:uid="{00000000-0005-0000-0000-0000557E0000}"/>
    <cellStyle name="Input 5 2 3 2 4 3" xfId="20656" xr:uid="{00000000-0005-0000-0000-0000567E0000}"/>
    <cellStyle name="Input 5 2 3 2 4 3 2" xfId="40009" xr:uid="{00000000-0005-0000-0000-0000577E0000}"/>
    <cellStyle name="Input 5 2 3 2 4 4" xfId="23169" xr:uid="{00000000-0005-0000-0000-0000587E0000}"/>
    <cellStyle name="Input 5 2 3 2 4 4 2" xfId="42511" xr:uid="{00000000-0005-0000-0000-0000597E0000}"/>
    <cellStyle name="Input 5 2 3 2 4 5" xfId="35110" xr:uid="{00000000-0005-0000-0000-00005A7E0000}"/>
    <cellStyle name="Input 5 2 3 2 5" xfId="16453" xr:uid="{00000000-0005-0000-0000-00005B7E0000}"/>
    <cellStyle name="Input 5 2 3 2 5 2" xfId="35807" xr:uid="{00000000-0005-0000-0000-00005C7E0000}"/>
    <cellStyle name="Input 5 2 3 2 6" xfId="18884" xr:uid="{00000000-0005-0000-0000-00005D7E0000}"/>
    <cellStyle name="Input 5 2 3 2 6 2" xfId="38237" xr:uid="{00000000-0005-0000-0000-00005E7E0000}"/>
    <cellStyle name="Input 5 2 3 2 7" xfId="21370" xr:uid="{00000000-0005-0000-0000-00005F7E0000}"/>
    <cellStyle name="Input 5 2 3 2 7 2" xfId="40712" xr:uid="{00000000-0005-0000-0000-0000607E0000}"/>
    <cellStyle name="Input 5 2 3 2 8" xfId="33311" xr:uid="{00000000-0005-0000-0000-0000617E0000}"/>
    <cellStyle name="Input 5 2 3 3" xfId="14161" xr:uid="{00000000-0005-0000-0000-0000627E0000}"/>
    <cellStyle name="Input 5 2 3 3 2" xfId="14938" xr:uid="{00000000-0005-0000-0000-0000637E0000}"/>
    <cellStyle name="Input 5 2 3 3 2 2" xfId="17416" xr:uid="{00000000-0005-0000-0000-0000647E0000}"/>
    <cellStyle name="Input 5 2 3 3 2 2 2" xfId="36770" xr:uid="{00000000-0005-0000-0000-0000657E0000}"/>
    <cellStyle name="Input 5 2 3 3 2 3" xfId="19847" xr:uid="{00000000-0005-0000-0000-0000667E0000}"/>
    <cellStyle name="Input 5 2 3 3 2 3 2" xfId="39200" xr:uid="{00000000-0005-0000-0000-0000677E0000}"/>
    <cellStyle name="Input 5 2 3 3 2 4" xfId="22358" xr:uid="{00000000-0005-0000-0000-0000687E0000}"/>
    <cellStyle name="Input 5 2 3 3 2 4 2" xfId="41700" xr:uid="{00000000-0005-0000-0000-0000697E0000}"/>
    <cellStyle name="Input 5 2 3 3 2 5" xfId="34299" xr:uid="{00000000-0005-0000-0000-00006A7E0000}"/>
    <cellStyle name="Input 5 2 3 3 3" xfId="15484" xr:uid="{00000000-0005-0000-0000-00006B7E0000}"/>
    <cellStyle name="Input 5 2 3 3 3 2" xfId="17960" xr:uid="{00000000-0005-0000-0000-00006C7E0000}"/>
    <cellStyle name="Input 5 2 3 3 3 2 2" xfId="37314" xr:uid="{00000000-0005-0000-0000-00006D7E0000}"/>
    <cellStyle name="Input 5 2 3 3 3 3" xfId="20391" xr:uid="{00000000-0005-0000-0000-00006E7E0000}"/>
    <cellStyle name="Input 5 2 3 3 3 3 2" xfId="39744" xr:uid="{00000000-0005-0000-0000-00006F7E0000}"/>
    <cellStyle name="Input 5 2 3 3 3 4" xfId="22904" xr:uid="{00000000-0005-0000-0000-0000707E0000}"/>
    <cellStyle name="Input 5 2 3 3 3 4 2" xfId="42246" xr:uid="{00000000-0005-0000-0000-0000717E0000}"/>
    <cellStyle name="Input 5 2 3 3 3 5" xfId="34845" xr:uid="{00000000-0005-0000-0000-0000727E0000}"/>
    <cellStyle name="Input 5 2 3 3 4" xfId="15943" xr:uid="{00000000-0005-0000-0000-0000737E0000}"/>
    <cellStyle name="Input 5 2 3 3 4 2" xfId="18419" xr:uid="{00000000-0005-0000-0000-0000747E0000}"/>
    <cellStyle name="Input 5 2 3 3 4 2 2" xfId="37773" xr:uid="{00000000-0005-0000-0000-0000757E0000}"/>
    <cellStyle name="Input 5 2 3 3 4 3" xfId="20850" xr:uid="{00000000-0005-0000-0000-0000767E0000}"/>
    <cellStyle name="Input 5 2 3 3 4 3 2" xfId="40203" xr:uid="{00000000-0005-0000-0000-0000777E0000}"/>
    <cellStyle name="Input 5 2 3 3 4 4" xfId="23363" xr:uid="{00000000-0005-0000-0000-0000787E0000}"/>
    <cellStyle name="Input 5 2 3 3 4 4 2" xfId="42705" xr:uid="{00000000-0005-0000-0000-0000797E0000}"/>
    <cellStyle name="Input 5 2 3 3 4 5" xfId="35304" xr:uid="{00000000-0005-0000-0000-00007A7E0000}"/>
    <cellStyle name="Input 5 2 3 3 5" xfId="16667" xr:uid="{00000000-0005-0000-0000-00007B7E0000}"/>
    <cellStyle name="Input 5 2 3 3 5 2" xfId="36021" xr:uid="{00000000-0005-0000-0000-00007C7E0000}"/>
    <cellStyle name="Input 5 2 3 3 6" xfId="19098" xr:uid="{00000000-0005-0000-0000-00007D7E0000}"/>
    <cellStyle name="Input 5 2 3 3 6 2" xfId="38451" xr:uid="{00000000-0005-0000-0000-00007E7E0000}"/>
    <cellStyle name="Input 5 2 3 3 7" xfId="21584" xr:uid="{00000000-0005-0000-0000-00007F7E0000}"/>
    <cellStyle name="Input 5 2 3 3 7 2" xfId="40926" xr:uid="{00000000-0005-0000-0000-0000807E0000}"/>
    <cellStyle name="Input 5 2 3 3 8" xfId="33525" xr:uid="{00000000-0005-0000-0000-0000817E0000}"/>
    <cellStyle name="Input 5 2 3 4" xfId="14457" xr:uid="{00000000-0005-0000-0000-0000827E0000}"/>
    <cellStyle name="Input 5 2 3 4 2" xfId="16947" xr:uid="{00000000-0005-0000-0000-0000837E0000}"/>
    <cellStyle name="Input 5 2 3 4 2 2" xfId="36301" xr:uid="{00000000-0005-0000-0000-0000847E0000}"/>
    <cellStyle name="Input 5 2 3 4 3" xfId="19378" xr:uid="{00000000-0005-0000-0000-0000857E0000}"/>
    <cellStyle name="Input 5 2 3 4 3 2" xfId="38731" xr:uid="{00000000-0005-0000-0000-0000867E0000}"/>
    <cellStyle name="Input 5 2 3 4 4" xfId="21877" xr:uid="{00000000-0005-0000-0000-0000877E0000}"/>
    <cellStyle name="Input 5 2 3 4 4 2" xfId="41219" xr:uid="{00000000-0005-0000-0000-0000887E0000}"/>
    <cellStyle name="Input 5 2 3 4 5" xfId="33818" xr:uid="{00000000-0005-0000-0000-0000897E0000}"/>
    <cellStyle name="Input 5 2 3 5" xfId="16169" xr:uid="{00000000-0005-0000-0000-00008A7E0000}"/>
    <cellStyle name="Input 5 2 3 5 2" xfId="35523" xr:uid="{00000000-0005-0000-0000-00008B7E0000}"/>
    <cellStyle name="Input 5 2 3 6" xfId="18600" xr:uid="{00000000-0005-0000-0000-00008C7E0000}"/>
    <cellStyle name="Input 5 2 3 6 2" xfId="37953" xr:uid="{00000000-0005-0000-0000-00008D7E0000}"/>
    <cellStyle name="Input 5 2 3 7" xfId="21074" xr:uid="{00000000-0005-0000-0000-00008E7E0000}"/>
    <cellStyle name="Input 5 2 3 7 2" xfId="40416" xr:uid="{00000000-0005-0000-0000-00008F7E0000}"/>
    <cellStyle name="Input 5 2 3 8" xfId="33015" xr:uid="{00000000-0005-0000-0000-0000907E0000}"/>
    <cellStyle name="Input 5 2 4" xfId="13997" xr:uid="{00000000-0005-0000-0000-0000917E0000}"/>
    <cellStyle name="Input 5 2 4 2" xfId="14792" xr:uid="{00000000-0005-0000-0000-0000927E0000}"/>
    <cellStyle name="Input 5 2 4 2 2" xfId="17270" xr:uid="{00000000-0005-0000-0000-0000937E0000}"/>
    <cellStyle name="Input 5 2 4 2 2 2" xfId="36624" xr:uid="{00000000-0005-0000-0000-0000947E0000}"/>
    <cellStyle name="Input 5 2 4 2 3" xfId="19701" xr:uid="{00000000-0005-0000-0000-0000957E0000}"/>
    <cellStyle name="Input 5 2 4 2 3 2" xfId="39054" xr:uid="{00000000-0005-0000-0000-0000967E0000}"/>
    <cellStyle name="Input 5 2 4 2 4" xfId="22212" xr:uid="{00000000-0005-0000-0000-0000977E0000}"/>
    <cellStyle name="Input 5 2 4 2 4 2" xfId="41554" xr:uid="{00000000-0005-0000-0000-0000987E0000}"/>
    <cellStyle name="Input 5 2 4 2 5" xfId="34153" xr:uid="{00000000-0005-0000-0000-0000997E0000}"/>
    <cellStyle name="Input 5 2 4 3" xfId="15340" xr:uid="{00000000-0005-0000-0000-00009A7E0000}"/>
    <cellStyle name="Input 5 2 4 3 2" xfId="17816" xr:uid="{00000000-0005-0000-0000-00009B7E0000}"/>
    <cellStyle name="Input 5 2 4 3 2 2" xfId="37170" xr:uid="{00000000-0005-0000-0000-00009C7E0000}"/>
    <cellStyle name="Input 5 2 4 3 3" xfId="20247" xr:uid="{00000000-0005-0000-0000-00009D7E0000}"/>
    <cellStyle name="Input 5 2 4 3 3 2" xfId="39600" xr:uid="{00000000-0005-0000-0000-00009E7E0000}"/>
    <cellStyle name="Input 5 2 4 3 4" xfId="22760" xr:uid="{00000000-0005-0000-0000-00009F7E0000}"/>
    <cellStyle name="Input 5 2 4 3 4 2" xfId="42102" xr:uid="{00000000-0005-0000-0000-0000A07E0000}"/>
    <cellStyle name="Input 5 2 4 3 5" xfId="34701" xr:uid="{00000000-0005-0000-0000-0000A17E0000}"/>
    <cellStyle name="Input 5 2 4 4" xfId="15799" xr:uid="{00000000-0005-0000-0000-0000A27E0000}"/>
    <cellStyle name="Input 5 2 4 4 2" xfId="18275" xr:uid="{00000000-0005-0000-0000-0000A37E0000}"/>
    <cellStyle name="Input 5 2 4 4 2 2" xfId="37629" xr:uid="{00000000-0005-0000-0000-0000A47E0000}"/>
    <cellStyle name="Input 5 2 4 4 3" xfId="20706" xr:uid="{00000000-0005-0000-0000-0000A57E0000}"/>
    <cellStyle name="Input 5 2 4 4 3 2" xfId="40059" xr:uid="{00000000-0005-0000-0000-0000A67E0000}"/>
    <cellStyle name="Input 5 2 4 4 4" xfId="23219" xr:uid="{00000000-0005-0000-0000-0000A77E0000}"/>
    <cellStyle name="Input 5 2 4 4 4 2" xfId="42561" xr:uid="{00000000-0005-0000-0000-0000A87E0000}"/>
    <cellStyle name="Input 5 2 4 4 5" xfId="35160" xr:uid="{00000000-0005-0000-0000-0000A97E0000}"/>
    <cellStyle name="Input 5 2 4 5" xfId="16503" xr:uid="{00000000-0005-0000-0000-0000AA7E0000}"/>
    <cellStyle name="Input 5 2 4 5 2" xfId="35857" xr:uid="{00000000-0005-0000-0000-0000AB7E0000}"/>
    <cellStyle name="Input 5 2 4 6" xfId="18934" xr:uid="{00000000-0005-0000-0000-0000AC7E0000}"/>
    <cellStyle name="Input 5 2 4 6 2" xfId="38287" xr:uid="{00000000-0005-0000-0000-0000AD7E0000}"/>
    <cellStyle name="Input 5 2 4 7" xfId="21420" xr:uid="{00000000-0005-0000-0000-0000AE7E0000}"/>
    <cellStyle name="Input 5 2 4 7 2" xfId="40762" xr:uid="{00000000-0005-0000-0000-0000AF7E0000}"/>
    <cellStyle name="Input 5 2 4 8" xfId="33361" xr:uid="{00000000-0005-0000-0000-0000B07E0000}"/>
    <cellStyle name="Input 5 2 5" xfId="16024" xr:uid="{00000000-0005-0000-0000-0000B17E0000}"/>
    <cellStyle name="Input 5 2 5 2" xfId="35378" xr:uid="{00000000-0005-0000-0000-0000B27E0000}"/>
    <cellStyle name="Input 5 2 6" xfId="13197" xr:uid="{00000000-0005-0000-0000-0000B37E0000}"/>
    <cellStyle name="Input 5 2 6 2" xfId="32665" xr:uid="{00000000-0005-0000-0000-0000B47E0000}"/>
    <cellStyle name="Input 5 2 7" xfId="20954" xr:uid="{00000000-0005-0000-0000-0000B57E0000}"/>
    <cellStyle name="Input 5 2 7 2" xfId="40296" xr:uid="{00000000-0005-0000-0000-0000B67E0000}"/>
    <cellStyle name="Input 5 2 8" xfId="32833" xr:uid="{00000000-0005-0000-0000-0000B77E0000}"/>
    <cellStyle name="Input 5 3" xfId="13483" xr:uid="{00000000-0005-0000-0000-0000B87E0000}"/>
    <cellStyle name="Input 5 3 10" xfId="32861" xr:uid="{00000000-0005-0000-0000-0000B97E0000}"/>
    <cellStyle name="Input 5 3 2" xfId="13607" xr:uid="{00000000-0005-0000-0000-0000BA7E0000}"/>
    <cellStyle name="Input 5 3 2 2" xfId="13908" xr:uid="{00000000-0005-0000-0000-0000BB7E0000}"/>
    <cellStyle name="Input 5 3 2 2 2" xfId="14703" xr:uid="{00000000-0005-0000-0000-0000BC7E0000}"/>
    <cellStyle name="Input 5 3 2 2 2 2" xfId="17181" xr:uid="{00000000-0005-0000-0000-0000BD7E0000}"/>
    <cellStyle name="Input 5 3 2 2 2 2 2" xfId="36535" xr:uid="{00000000-0005-0000-0000-0000BE7E0000}"/>
    <cellStyle name="Input 5 3 2 2 2 3" xfId="19612" xr:uid="{00000000-0005-0000-0000-0000BF7E0000}"/>
    <cellStyle name="Input 5 3 2 2 2 3 2" xfId="38965" xr:uid="{00000000-0005-0000-0000-0000C07E0000}"/>
    <cellStyle name="Input 5 3 2 2 2 4" xfId="22123" xr:uid="{00000000-0005-0000-0000-0000C17E0000}"/>
    <cellStyle name="Input 5 3 2 2 2 4 2" xfId="41465" xr:uid="{00000000-0005-0000-0000-0000C27E0000}"/>
    <cellStyle name="Input 5 3 2 2 2 5" xfId="34064" xr:uid="{00000000-0005-0000-0000-0000C37E0000}"/>
    <cellStyle name="Input 5 3 2 2 3" xfId="15251" xr:uid="{00000000-0005-0000-0000-0000C47E0000}"/>
    <cellStyle name="Input 5 3 2 2 3 2" xfId="17727" xr:uid="{00000000-0005-0000-0000-0000C57E0000}"/>
    <cellStyle name="Input 5 3 2 2 3 2 2" xfId="37081" xr:uid="{00000000-0005-0000-0000-0000C67E0000}"/>
    <cellStyle name="Input 5 3 2 2 3 3" xfId="20158" xr:uid="{00000000-0005-0000-0000-0000C77E0000}"/>
    <cellStyle name="Input 5 3 2 2 3 3 2" xfId="39511" xr:uid="{00000000-0005-0000-0000-0000C87E0000}"/>
    <cellStyle name="Input 5 3 2 2 3 4" xfId="22671" xr:uid="{00000000-0005-0000-0000-0000C97E0000}"/>
    <cellStyle name="Input 5 3 2 2 3 4 2" xfId="42013" xr:uid="{00000000-0005-0000-0000-0000CA7E0000}"/>
    <cellStyle name="Input 5 3 2 2 3 5" xfId="34612" xr:uid="{00000000-0005-0000-0000-0000CB7E0000}"/>
    <cellStyle name="Input 5 3 2 2 4" xfId="15710" xr:uid="{00000000-0005-0000-0000-0000CC7E0000}"/>
    <cellStyle name="Input 5 3 2 2 4 2" xfId="18186" xr:uid="{00000000-0005-0000-0000-0000CD7E0000}"/>
    <cellStyle name="Input 5 3 2 2 4 2 2" xfId="37540" xr:uid="{00000000-0005-0000-0000-0000CE7E0000}"/>
    <cellStyle name="Input 5 3 2 2 4 3" xfId="20617" xr:uid="{00000000-0005-0000-0000-0000CF7E0000}"/>
    <cellStyle name="Input 5 3 2 2 4 3 2" xfId="39970" xr:uid="{00000000-0005-0000-0000-0000D07E0000}"/>
    <cellStyle name="Input 5 3 2 2 4 4" xfId="23130" xr:uid="{00000000-0005-0000-0000-0000D17E0000}"/>
    <cellStyle name="Input 5 3 2 2 4 4 2" xfId="42472" xr:uid="{00000000-0005-0000-0000-0000D27E0000}"/>
    <cellStyle name="Input 5 3 2 2 4 5" xfId="35071" xr:uid="{00000000-0005-0000-0000-0000D37E0000}"/>
    <cellStyle name="Input 5 3 2 2 5" xfId="16414" xr:uid="{00000000-0005-0000-0000-0000D47E0000}"/>
    <cellStyle name="Input 5 3 2 2 5 2" xfId="35768" xr:uid="{00000000-0005-0000-0000-0000D57E0000}"/>
    <cellStyle name="Input 5 3 2 2 6" xfId="18845" xr:uid="{00000000-0005-0000-0000-0000D67E0000}"/>
    <cellStyle name="Input 5 3 2 2 6 2" xfId="38198" xr:uid="{00000000-0005-0000-0000-0000D77E0000}"/>
    <cellStyle name="Input 5 3 2 2 7" xfId="21331" xr:uid="{00000000-0005-0000-0000-0000D87E0000}"/>
    <cellStyle name="Input 5 3 2 2 7 2" xfId="40673" xr:uid="{00000000-0005-0000-0000-0000D97E0000}"/>
    <cellStyle name="Input 5 3 2 2 8" xfId="33272" xr:uid="{00000000-0005-0000-0000-0000DA7E0000}"/>
    <cellStyle name="Input 5 3 2 3" xfId="14123" xr:uid="{00000000-0005-0000-0000-0000DB7E0000}"/>
    <cellStyle name="Input 5 3 2 3 2" xfId="14904" xr:uid="{00000000-0005-0000-0000-0000DC7E0000}"/>
    <cellStyle name="Input 5 3 2 3 2 2" xfId="17382" xr:uid="{00000000-0005-0000-0000-0000DD7E0000}"/>
    <cellStyle name="Input 5 3 2 3 2 2 2" xfId="36736" xr:uid="{00000000-0005-0000-0000-0000DE7E0000}"/>
    <cellStyle name="Input 5 3 2 3 2 3" xfId="19813" xr:uid="{00000000-0005-0000-0000-0000DF7E0000}"/>
    <cellStyle name="Input 5 3 2 3 2 3 2" xfId="39166" xr:uid="{00000000-0005-0000-0000-0000E07E0000}"/>
    <cellStyle name="Input 5 3 2 3 2 4" xfId="22324" xr:uid="{00000000-0005-0000-0000-0000E17E0000}"/>
    <cellStyle name="Input 5 3 2 3 2 4 2" xfId="41666" xr:uid="{00000000-0005-0000-0000-0000E27E0000}"/>
    <cellStyle name="Input 5 3 2 3 2 5" xfId="34265" xr:uid="{00000000-0005-0000-0000-0000E37E0000}"/>
    <cellStyle name="Input 5 3 2 3 3" xfId="15451" xr:uid="{00000000-0005-0000-0000-0000E47E0000}"/>
    <cellStyle name="Input 5 3 2 3 3 2" xfId="17927" xr:uid="{00000000-0005-0000-0000-0000E57E0000}"/>
    <cellStyle name="Input 5 3 2 3 3 2 2" xfId="37281" xr:uid="{00000000-0005-0000-0000-0000E67E0000}"/>
    <cellStyle name="Input 5 3 2 3 3 3" xfId="20358" xr:uid="{00000000-0005-0000-0000-0000E77E0000}"/>
    <cellStyle name="Input 5 3 2 3 3 3 2" xfId="39711" xr:uid="{00000000-0005-0000-0000-0000E87E0000}"/>
    <cellStyle name="Input 5 3 2 3 3 4" xfId="22871" xr:uid="{00000000-0005-0000-0000-0000E97E0000}"/>
    <cellStyle name="Input 5 3 2 3 3 4 2" xfId="42213" xr:uid="{00000000-0005-0000-0000-0000EA7E0000}"/>
    <cellStyle name="Input 5 3 2 3 3 5" xfId="34812" xr:uid="{00000000-0005-0000-0000-0000EB7E0000}"/>
    <cellStyle name="Input 5 3 2 3 4" xfId="15910" xr:uid="{00000000-0005-0000-0000-0000EC7E0000}"/>
    <cellStyle name="Input 5 3 2 3 4 2" xfId="18386" xr:uid="{00000000-0005-0000-0000-0000ED7E0000}"/>
    <cellStyle name="Input 5 3 2 3 4 2 2" xfId="37740" xr:uid="{00000000-0005-0000-0000-0000EE7E0000}"/>
    <cellStyle name="Input 5 3 2 3 4 3" xfId="20817" xr:uid="{00000000-0005-0000-0000-0000EF7E0000}"/>
    <cellStyle name="Input 5 3 2 3 4 3 2" xfId="40170" xr:uid="{00000000-0005-0000-0000-0000F07E0000}"/>
    <cellStyle name="Input 5 3 2 3 4 4" xfId="23330" xr:uid="{00000000-0005-0000-0000-0000F17E0000}"/>
    <cellStyle name="Input 5 3 2 3 4 4 2" xfId="42672" xr:uid="{00000000-0005-0000-0000-0000F27E0000}"/>
    <cellStyle name="Input 5 3 2 3 4 5" xfId="35271" xr:uid="{00000000-0005-0000-0000-0000F37E0000}"/>
    <cellStyle name="Input 5 3 2 3 5" xfId="16629" xr:uid="{00000000-0005-0000-0000-0000F47E0000}"/>
    <cellStyle name="Input 5 3 2 3 5 2" xfId="35983" xr:uid="{00000000-0005-0000-0000-0000F57E0000}"/>
    <cellStyle name="Input 5 3 2 3 6" xfId="19060" xr:uid="{00000000-0005-0000-0000-0000F67E0000}"/>
    <cellStyle name="Input 5 3 2 3 6 2" xfId="38413" xr:uid="{00000000-0005-0000-0000-0000F77E0000}"/>
    <cellStyle name="Input 5 3 2 3 7" xfId="21546" xr:uid="{00000000-0005-0000-0000-0000F87E0000}"/>
    <cellStyle name="Input 5 3 2 3 7 2" xfId="40888" xr:uid="{00000000-0005-0000-0000-0000F97E0000}"/>
    <cellStyle name="Input 5 3 2 3 8" xfId="33487" xr:uid="{00000000-0005-0000-0000-0000FA7E0000}"/>
    <cellStyle name="Input 5 3 2 4" xfId="14418" xr:uid="{00000000-0005-0000-0000-0000FB7E0000}"/>
    <cellStyle name="Input 5 3 2 4 2" xfId="16908" xr:uid="{00000000-0005-0000-0000-0000FC7E0000}"/>
    <cellStyle name="Input 5 3 2 4 2 2" xfId="36262" xr:uid="{00000000-0005-0000-0000-0000FD7E0000}"/>
    <cellStyle name="Input 5 3 2 4 3" xfId="19339" xr:uid="{00000000-0005-0000-0000-0000FE7E0000}"/>
    <cellStyle name="Input 5 3 2 4 3 2" xfId="38692" xr:uid="{00000000-0005-0000-0000-0000FF7E0000}"/>
    <cellStyle name="Input 5 3 2 4 4" xfId="21838" xr:uid="{00000000-0005-0000-0000-0000007F0000}"/>
    <cellStyle name="Input 5 3 2 4 4 2" xfId="41180" xr:uid="{00000000-0005-0000-0000-0000017F0000}"/>
    <cellStyle name="Input 5 3 2 4 5" xfId="33779" xr:uid="{00000000-0005-0000-0000-0000027F0000}"/>
    <cellStyle name="Input 5 3 2 5" xfId="15042" xr:uid="{00000000-0005-0000-0000-0000037F0000}"/>
    <cellStyle name="Input 5 3 2 5 2" xfId="17518" xr:uid="{00000000-0005-0000-0000-0000047F0000}"/>
    <cellStyle name="Input 5 3 2 5 2 2" xfId="36872" xr:uid="{00000000-0005-0000-0000-0000057F0000}"/>
    <cellStyle name="Input 5 3 2 5 3" xfId="19949" xr:uid="{00000000-0005-0000-0000-0000067F0000}"/>
    <cellStyle name="Input 5 3 2 5 3 2" xfId="39302" xr:uid="{00000000-0005-0000-0000-0000077F0000}"/>
    <cellStyle name="Input 5 3 2 5 4" xfId="22462" xr:uid="{00000000-0005-0000-0000-0000087F0000}"/>
    <cellStyle name="Input 5 3 2 5 4 2" xfId="41804" xr:uid="{00000000-0005-0000-0000-0000097F0000}"/>
    <cellStyle name="Input 5 3 2 5 5" xfId="34403" xr:uid="{00000000-0005-0000-0000-00000A7F0000}"/>
    <cellStyle name="Input 5 3 2 6" xfId="18558" xr:uid="{00000000-0005-0000-0000-00000B7F0000}"/>
    <cellStyle name="Input 5 3 2 6 2" xfId="37911" xr:uid="{00000000-0005-0000-0000-00000C7F0000}"/>
    <cellStyle name="Input 5 3 2 7" xfId="21039" xr:uid="{00000000-0005-0000-0000-00000D7F0000}"/>
    <cellStyle name="Input 5 3 2 7 2" xfId="40381" xr:uid="{00000000-0005-0000-0000-00000E7F0000}"/>
    <cellStyle name="Input 5 3 2 8" xfId="32973" xr:uid="{00000000-0005-0000-0000-00000F7F0000}"/>
    <cellStyle name="Input 5 3 3" xfId="13674" xr:uid="{00000000-0005-0000-0000-0000107F0000}"/>
    <cellStyle name="Input 5 3 3 2" xfId="13972" xr:uid="{00000000-0005-0000-0000-0000117F0000}"/>
    <cellStyle name="Input 5 3 3 2 2" xfId="14767" xr:uid="{00000000-0005-0000-0000-0000127F0000}"/>
    <cellStyle name="Input 5 3 3 2 2 2" xfId="17245" xr:uid="{00000000-0005-0000-0000-0000137F0000}"/>
    <cellStyle name="Input 5 3 3 2 2 2 2" xfId="36599" xr:uid="{00000000-0005-0000-0000-0000147F0000}"/>
    <cellStyle name="Input 5 3 3 2 2 3" xfId="19676" xr:uid="{00000000-0005-0000-0000-0000157F0000}"/>
    <cellStyle name="Input 5 3 3 2 2 3 2" xfId="39029" xr:uid="{00000000-0005-0000-0000-0000167F0000}"/>
    <cellStyle name="Input 5 3 3 2 2 4" xfId="22187" xr:uid="{00000000-0005-0000-0000-0000177F0000}"/>
    <cellStyle name="Input 5 3 3 2 2 4 2" xfId="41529" xr:uid="{00000000-0005-0000-0000-0000187F0000}"/>
    <cellStyle name="Input 5 3 3 2 2 5" xfId="34128" xr:uid="{00000000-0005-0000-0000-0000197F0000}"/>
    <cellStyle name="Input 5 3 3 2 3" xfId="15315" xr:uid="{00000000-0005-0000-0000-00001A7F0000}"/>
    <cellStyle name="Input 5 3 3 2 3 2" xfId="17791" xr:uid="{00000000-0005-0000-0000-00001B7F0000}"/>
    <cellStyle name="Input 5 3 3 2 3 2 2" xfId="37145" xr:uid="{00000000-0005-0000-0000-00001C7F0000}"/>
    <cellStyle name="Input 5 3 3 2 3 3" xfId="20222" xr:uid="{00000000-0005-0000-0000-00001D7F0000}"/>
    <cellStyle name="Input 5 3 3 2 3 3 2" xfId="39575" xr:uid="{00000000-0005-0000-0000-00001E7F0000}"/>
    <cellStyle name="Input 5 3 3 2 3 4" xfId="22735" xr:uid="{00000000-0005-0000-0000-00001F7F0000}"/>
    <cellStyle name="Input 5 3 3 2 3 4 2" xfId="42077" xr:uid="{00000000-0005-0000-0000-0000207F0000}"/>
    <cellStyle name="Input 5 3 3 2 3 5" xfId="34676" xr:uid="{00000000-0005-0000-0000-0000217F0000}"/>
    <cellStyle name="Input 5 3 3 2 4" xfId="15774" xr:uid="{00000000-0005-0000-0000-0000227F0000}"/>
    <cellStyle name="Input 5 3 3 2 4 2" xfId="18250" xr:uid="{00000000-0005-0000-0000-0000237F0000}"/>
    <cellStyle name="Input 5 3 3 2 4 2 2" xfId="37604" xr:uid="{00000000-0005-0000-0000-0000247F0000}"/>
    <cellStyle name="Input 5 3 3 2 4 3" xfId="20681" xr:uid="{00000000-0005-0000-0000-0000257F0000}"/>
    <cellStyle name="Input 5 3 3 2 4 3 2" xfId="40034" xr:uid="{00000000-0005-0000-0000-0000267F0000}"/>
    <cellStyle name="Input 5 3 3 2 4 4" xfId="23194" xr:uid="{00000000-0005-0000-0000-0000277F0000}"/>
    <cellStyle name="Input 5 3 3 2 4 4 2" xfId="42536" xr:uid="{00000000-0005-0000-0000-0000287F0000}"/>
    <cellStyle name="Input 5 3 3 2 4 5" xfId="35135" xr:uid="{00000000-0005-0000-0000-0000297F0000}"/>
    <cellStyle name="Input 5 3 3 2 5" xfId="16478" xr:uid="{00000000-0005-0000-0000-00002A7F0000}"/>
    <cellStyle name="Input 5 3 3 2 5 2" xfId="35832" xr:uid="{00000000-0005-0000-0000-00002B7F0000}"/>
    <cellStyle name="Input 5 3 3 2 6" xfId="18909" xr:uid="{00000000-0005-0000-0000-00002C7F0000}"/>
    <cellStyle name="Input 5 3 3 2 6 2" xfId="38262" xr:uid="{00000000-0005-0000-0000-00002D7F0000}"/>
    <cellStyle name="Input 5 3 3 2 7" xfId="21395" xr:uid="{00000000-0005-0000-0000-00002E7F0000}"/>
    <cellStyle name="Input 5 3 3 2 7 2" xfId="40737" xr:uid="{00000000-0005-0000-0000-00002F7F0000}"/>
    <cellStyle name="Input 5 3 3 2 8" xfId="33336" xr:uid="{00000000-0005-0000-0000-0000307F0000}"/>
    <cellStyle name="Input 5 3 3 3" xfId="14185" xr:uid="{00000000-0005-0000-0000-0000317F0000}"/>
    <cellStyle name="Input 5 3 3 3 2" xfId="14962" xr:uid="{00000000-0005-0000-0000-0000327F0000}"/>
    <cellStyle name="Input 5 3 3 3 2 2" xfId="17440" xr:uid="{00000000-0005-0000-0000-0000337F0000}"/>
    <cellStyle name="Input 5 3 3 3 2 2 2" xfId="36794" xr:uid="{00000000-0005-0000-0000-0000347F0000}"/>
    <cellStyle name="Input 5 3 3 3 2 3" xfId="19871" xr:uid="{00000000-0005-0000-0000-0000357F0000}"/>
    <cellStyle name="Input 5 3 3 3 2 3 2" xfId="39224" xr:uid="{00000000-0005-0000-0000-0000367F0000}"/>
    <cellStyle name="Input 5 3 3 3 2 4" xfId="22382" xr:uid="{00000000-0005-0000-0000-0000377F0000}"/>
    <cellStyle name="Input 5 3 3 3 2 4 2" xfId="41724" xr:uid="{00000000-0005-0000-0000-0000387F0000}"/>
    <cellStyle name="Input 5 3 3 3 2 5" xfId="34323" xr:uid="{00000000-0005-0000-0000-0000397F0000}"/>
    <cellStyle name="Input 5 3 3 3 3" xfId="15508" xr:uid="{00000000-0005-0000-0000-00003A7F0000}"/>
    <cellStyle name="Input 5 3 3 3 3 2" xfId="17984" xr:uid="{00000000-0005-0000-0000-00003B7F0000}"/>
    <cellStyle name="Input 5 3 3 3 3 2 2" xfId="37338" xr:uid="{00000000-0005-0000-0000-00003C7F0000}"/>
    <cellStyle name="Input 5 3 3 3 3 3" xfId="20415" xr:uid="{00000000-0005-0000-0000-00003D7F0000}"/>
    <cellStyle name="Input 5 3 3 3 3 3 2" xfId="39768" xr:uid="{00000000-0005-0000-0000-00003E7F0000}"/>
    <cellStyle name="Input 5 3 3 3 3 4" xfId="22928" xr:uid="{00000000-0005-0000-0000-00003F7F0000}"/>
    <cellStyle name="Input 5 3 3 3 3 4 2" xfId="42270" xr:uid="{00000000-0005-0000-0000-0000407F0000}"/>
    <cellStyle name="Input 5 3 3 3 3 5" xfId="34869" xr:uid="{00000000-0005-0000-0000-0000417F0000}"/>
    <cellStyle name="Input 5 3 3 3 4" xfId="15967" xr:uid="{00000000-0005-0000-0000-0000427F0000}"/>
    <cellStyle name="Input 5 3 3 3 4 2" xfId="18443" xr:uid="{00000000-0005-0000-0000-0000437F0000}"/>
    <cellStyle name="Input 5 3 3 3 4 2 2" xfId="37797" xr:uid="{00000000-0005-0000-0000-0000447F0000}"/>
    <cellStyle name="Input 5 3 3 3 4 3" xfId="20874" xr:uid="{00000000-0005-0000-0000-0000457F0000}"/>
    <cellStyle name="Input 5 3 3 3 4 3 2" xfId="40227" xr:uid="{00000000-0005-0000-0000-0000467F0000}"/>
    <cellStyle name="Input 5 3 3 3 4 4" xfId="23387" xr:uid="{00000000-0005-0000-0000-0000477F0000}"/>
    <cellStyle name="Input 5 3 3 3 4 4 2" xfId="42729" xr:uid="{00000000-0005-0000-0000-0000487F0000}"/>
    <cellStyle name="Input 5 3 3 3 4 5" xfId="35328" xr:uid="{00000000-0005-0000-0000-0000497F0000}"/>
    <cellStyle name="Input 5 3 3 3 5" xfId="16691" xr:uid="{00000000-0005-0000-0000-00004A7F0000}"/>
    <cellStyle name="Input 5 3 3 3 5 2" xfId="36045" xr:uid="{00000000-0005-0000-0000-00004B7F0000}"/>
    <cellStyle name="Input 5 3 3 3 6" xfId="19122" xr:uid="{00000000-0005-0000-0000-00004C7F0000}"/>
    <cellStyle name="Input 5 3 3 3 6 2" xfId="38475" xr:uid="{00000000-0005-0000-0000-00004D7F0000}"/>
    <cellStyle name="Input 5 3 3 3 7" xfId="21608" xr:uid="{00000000-0005-0000-0000-00004E7F0000}"/>
    <cellStyle name="Input 5 3 3 3 7 2" xfId="40950" xr:uid="{00000000-0005-0000-0000-00004F7F0000}"/>
    <cellStyle name="Input 5 3 3 3 8" xfId="33549" xr:uid="{00000000-0005-0000-0000-0000507F0000}"/>
    <cellStyle name="Input 5 3 3 4" xfId="14482" xr:uid="{00000000-0005-0000-0000-0000517F0000}"/>
    <cellStyle name="Input 5 3 3 4 2" xfId="16972" xr:uid="{00000000-0005-0000-0000-0000527F0000}"/>
    <cellStyle name="Input 5 3 3 4 2 2" xfId="36326" xr:uid="{00000000-0005-0000-0000-0000537F0000}"/>
    <cellStyle name="Input 5 3 3 4 3" xfId="19403" xr:uid="{00000000-0005-0000-0000-0000547F0000}"/>
    <cellStyle name="Input 5 3 3 4 3 2" xfId="38756" xr:uid="{00000000-0005-0000-0000-0000557F0000}"/>
    <cellStyle name="Input 5 3 3 4 4" xfId="21902" xr:uid="{00000000-0005-0000-0000-0000567F0000}"/>
    <cellStyle name="Input 5 3 3 4 4 2" xfId="41244" xr:uid="{00000000-0005-0000-0000-0000577F0000}"/>
    <cellStyle name="Input 5 3 3 4 5" xfId="33843" xr:uid="{00000000-0005-0000-0000-0000587F0000}"/>
    <cellStyle name="Input 5 3 3 5" xfId="16194" xr:uid="{00000000-0005-0000-0000-0000597F0000}"/>
    <cellStyle name="Input 5 3 3 5 2" xfId="35548" xr:uid="{00000000-0005-0000-0000-00005A7F0000}"/>
    <cellStyle name="Input 5 3 3 6" xfId="18625" xr:uid="{00000000-0005-0000-0000-00005B7F0000}"/>
    <cellStyle name="Input 5 3 3 6 2" xfId="37978" xr:uid="{00000000-0005-0000-0000-00005C7F0000}"/>
    <cellStyle name="Input 5 3 3 7" xfId="21099" xr:uid="{00000000-0005-0000-0000-00005D7F0000}"/>
    <cellStyle name="Input 5 3 3 7 2" xfId="40441" xr:uid="{00000000-0005-0000-0000-00005E7F0000}"/>
    <cellStyle name="Input 5 3 3 8" xfId="33040" xr:uid="{00000000-0005-0000-0000-00005F7F0000}"/>
    <cellStyle name="Input 5 3 4" xfId="13795" xr:uid="{00000000-0005-0000-0000-0000607F0000}"/>
    <cellStyle name="Input 5 3 4 2" xfId="14594" xr:uid="{00000000-0005-0000-0000-0000617F0000}"/>
    <cellStyle name="Input 5 3 4 2 2" xfId="17078" xr:uid="{00000000-0005-0000-0000-0000627F0000}"/>
    <cellStyle name="Input 5 3 4 2 2 2" xfId="36432" xr:uid="{00000000-0005-0000-0000-0000637F0000}"/>
    <cellStyle name="Input 5 3 4 2 3" xfId="19509" xr:uid="{00000000-0005-0000-0000-0000647F0000}"/>
    <cellStyle name="Input 5 3 4 2 3 2" xfId="38862" xr:uid="{00000000-0005-0000-0000-0000657F0000}"/>
    <cellStyle name="Input 5 3 4 2 4" xfId="22014" xr:uid="{00000000-0005-0000-0000-0000667F0000}"/>
    <cellStyle name="Input 5 3 4 2 4 2" xfId="41356" xr:uid="{00000000-0005-0000-0000-0000677F0000}"/>
    <cellStyle name="Input 5 3 4 2 5" xfId="33955" xr:uid="{00000000-0005-0000-0000-0000687F0000}"/>
    <cellStyle name="Input 5 3 4 3" xfId="15151" xr:uid="{00000000-0005-0000-0000-0000697F0000}"/>
    <cellStyle name="Input 5 3 4 3 2" xfId="17627" xr:uid="{00000000-0005-0000-0000-00006A7F0000}"/>
    <cellStyle name="Input 5 3 4 3 2 2" xfId="36981" xr:uid="{00000000-0005-0000-0000-00006B7F0000}"/>
    <cellStyle name="Input 5 3 4 3 3" xfId="20058" xr:uid="{00000000-0005-0000-0000-00006C7F0000}"/>
    <cellStyle name="Input 5 3 4 3 3 2" xfId="39411" xr:uid="{00000000-0005-0000-0000-00006D7F0000}"/>
    <cellStyle name="Input 5 3 4 3 4" xfId="22571" xr:uid="{00000000-0005-0000-0000-00006E7F0000}"/>
    <cellStyle name="Input 5 3 4 3 4 2" xfId="41913" xr:uid="{00000000-0005-0000-0000-00006F7F0000}"/>
    <cellStyle name="Input 5 3 4 3 5" xfId="34512" xr:uid="{00000000-0005-0000-0000-0000707F0000}"/>
    <cellStyle name="Input 5 3 4 4" xfId="15632" xr:uid="{00000000-0005-0000-0000-0000717F0000}"/>
    <cellStyle name="Input 5 3 4 4 2" xfId="18108" xr:uid="{00000000-0005-0000-0000-0000727F0000}"/>
    <cellStyle name="Input 5 3 4 4 2 2" xfId="37462" xr:uid="{00000000-0005-0000-0000-0000737F0000}"/>
    <cellStyle name="Input 5 3 4 4 3" xfId="20539" xr:uid="{00000000-0005-0000-0000-0000747F0000}"/>
    <cellStyle name="Input 5 3 4 4 3 2" xfId="39892" xr:uid="{00000000-0005-0000-0000-0000757F0000}"/>
    <cellStyle name="Input 5 3 4 4 4" xfId="23052" xr:uid="{00000000-0005-0000-0000-0000767F0000}"/>
    <cellStyle name="Input 5 3 4 4 4 2" xfId="42394" xr:uid="{00000000-0005-0000-0000-0000777F0000}"/>
    <cellStyle name="Input 5 3 4 4 5" xfId="34993" xr:uid="{00000000-0005-0000-0000-0000787F0000}"/>
    <cellStyle name="Input 5 3 4 5" xfId="16307" xr:uid="{00000000-0005-0000-0000-0000797F0000}"/>
    <cellStyle name="Input 5 3 4 5 2" xfId="35661" xr:uid="{00000000-0005-0000-0000-00007A7F0000}"/>
    <cellStyle name="Input 5 3 4 6" xfId="18738" xr:uid="{00000000-0005-0000-0000-00007B7F0000}"/>
    <cellStyle name="Input 5 3 4 6 2" xfId="38091" xr:uid="{00000000-0005-0000-0000-00007C7F0000}"/>
    <cellStyle name="Input 5 3 4 7" xfId="21218" xr:uid="{00000000-0005-0000-0000-00007D7F0000}"/>
    <cellStyle name="Input 5 3 4 7 2" xfId="40560" xr:uid="{00000000-0005-0000-0000-00007E7F0000}"/>
    <cellStyle name="Input 5 3 4 8" xfId="33159" xr:uid="{00000000-0005-0000-0000-00007F7F0000}"/>
    <cellStyle name="Input 5 3 5" xfId="14021" xr:uid="{00000000-0005-0000-0000-0000807F0000}"/>
    <cellStyle name="Input 5 3 5 2" xfId="14816" xr:uid="{00000000-0005-0000-0000-0000817F0000}"/>
    <cellStyle name="Input 5 3 5 2 2" xfId="17294" xr:uid="{00000000-0005-0000-0000-0000827F0000}"/>
    <cellStyle name="Input 5 3 5 2 2 2" xfId="36648" xr:uid="{00000000-0005-0000-0000-0000837F0000}"/>
    <cellStyle name="Input 5 3 5 2 3" xfId="19725" xr:uid="{00000000-0005-0000-0000-0000847F0000}"/>
    <cellStyle name="Input 5 3 5 2 3 2" xfId="39078" xr:uid="{00000000-0005-0000-0000-0000857F0000}"/>
    <cellStyle name="Input 5 3 5 2 4" xfId="22236" xr:uid="{00000000-0005-0000-0000-0000867F0000}"/>
    <cellStyle name="Input 5 3 5 2 4 2" xfId="41578" xr:uid="{00000000-0005-0000-0000-0000877F0000}"/>
    <cellStyle name="Input 5 3 5 2 5" xfId="34177" xr:uid="{00000000-0005-0000-0000-0000887F0000}"/>
    <cellStyle name="Input 5 3 5 3" xfId="15364" xr:uid="{00000000-0005-0000-0000-0000897F0000}"/>
    <cellStyle name="Input 5 3 5 3 2" xfId="17840" xr:uid="{00000000-0005-0000-0000-00008A7F0000}"/>
    <cellStyle name="Input 5 3 5 3 2 2" xfId="37194" xr:uid="{00000000-0005-0000-0000-00008B7F0000}"/>
    <cellStyle name="Input 5 3 5 3 3" xfId="20271" xr:uid="{00000000-0005-0000-0000-00008C7F0000}"/>
    <cellStyle name="Input 5 3 5 3 3 2" xfId="39624" xr:uid="{00000000-0005-0000-0000-00008D7F0000}"/>
    <cellStyle name="Input 5 3 5 3 4" xfId="22784" xr:uid="{00000000-0005-0000-0000-00008E7F0000}"/>
    <cellStyle name="Input 5 3 5 3 4 2" xfId="42126" xr:uid="{00000000-0005-0000-0000-00008F7F0000}"/>
    <cellStyle name="Input 5 3 5 3 5" xfId="34725" xr:uid="{00000000-0005-0000-0000-0000907F0000}"/>
    <cellStyle name="Input 5 3 5 4" xfId="15823" xr:uid="{00000000-0005-0000-0000-0000917F0000}"/>
    <cellStyle name="Input 5 3 5 4 2" xfId="18299" xr:uid="{00000000-0005-0000-0000-0000927F0000}"/>
    <cellStyle name="Input 5 3 5 4 2 2" xfId="37653" xr:uid="{00000000-0005-0000-0000-0000937F0000}"/>
    <cellStyle name="Input 5 3 5 4 3" xfId="20730" xr:uid="{00000000-0005-0000-0000-0000947F0000}"/>
    <cellStyle name="Input 5 3 5 4 3 2" xfId="40083" xr:uid="{00000000-0005-0000-0000-0000957F0000}"/>
    <cellStyle name="Input 5 3 5 4 4" xfId="23243" xr:uid="{00000000-0005-0000-0000-0000967F0000}"/>
    <cellStyle name="Input 5 3 5 4 4 2" xfId="42585" xr:uid="{00000000-0005-0000-0000-0000977F0000}"/>
    <cellStyle name="Input 5 3 5 4 5" xfId="35184" xr:uid="{00000000-0005-0000-0000-0000987F0000}"/>
    <cellStyle name="Input 5 3 5 5" xfId="16527" xr:uid="{00000000-0005-0000-0000-0000997F0000}"/>
    <cellStyle name="Input 5 3 5 5 2" xfId="35881" xr:uid="{00000000-0005-0000-0000-00009A7F0000}"/>
    <cellStyle name="Input 5 3 5 6" xfId="18958" xr:uid="{00000000-0005-0000-0000-00009B7F0000}"/>
    <cellStyle name="Input 5 3 5 6 2" xfId="38311" xr:uid="{00000000-0005-0000-0000-00009C7F0000}"/>
    <cellStyle name="Input 5 3 5 7" xfId="21444" xr:uid="{00000000-0005-0000-0000-00009D7F0000}"/>
    <cellStyle name="Input 5 3 5 7 2" xfId="40786" xr:uid="{00000000-0005-0000-0000-00009E7F0000}"/>
    <cellStyle name="Input 5 3 5 8" xfId="33385" xr:uid="{00000000-0005-0000-0000-00009F7F0000}"/>
    <cellStyle name="Input 5 3 6" xfId="14313" xr:uid="{00000000-0005-0000-0000-0000A07F0000}"/>
    <cellStyle name="Input 5 3 6 2" xfId="16809" xr:uid="{00000000-0005-0000-0000-0000A17F0000}"/>
    <cellStyle name="Input 5 3 6 2 2" xfId="36163" xr:uid="{00000000-0005-0000-0000-0000A27F0000}"/>
    <cellStyle name="Input 5 3 6 3" xfId="19240" xr:uid="{00000000-0005-0000-0000-0000A37F0000}"/>
    <cellStyle name="Input 5 3 6 3 2" xfId="38593" xr:uid="{00000000-0005-0000-0000-0000A47F0000}"/>
    <cellStyle name="Input 5 3 6 4" xfId="21733" xr:uid="{00000000-0005-0000-0000-0000A57F0000}"/>
    <cellStyle name="Input 5 3 6 4 2" xfId="41075" xr:uid="{00000000-0005-0000-0000-0000A67F0000}"/>
    <cellStyle name="Input 5 3 6 5" xfId="33674" xr:uid="{00000000-0005-0000-0000-0000A77F0000}"/>
    <cellStyle name="Input 5 3 7" xfId="16049" xr:uid="{00000000-0005-0000-0000-0000A87F0000}"/>
    <cellStyle name="Input 5 3 7 2" xfId="35403" xr:uid="{00000000-0005-0000-0000-0000A97F0000}"/>
    <cellStyle name="Input 5 3 8" xfId="13410" xr:uid="{00000000-0005-0000-0000-0000AA7F0000}"/>
    <cellStyle name="Input 5 3 8 2" xfId="32794" xr:uid="{00000000-0005-0000-0000-0000AB7F0000}"/>
    <cellStyle name="Input 5 3 9" xfId="20982" xr:uid="{00000000-0005-0000-0000-0000AC7F0000}"/>
    <cellStyle name="Input 5 3 9 2" xfId="40324" xr:uid="{00000000-0005-0000-0000-0000AD7F0000}"/>
    <cellStyle name="Input 5 4" xfId="13521" xr:uid="{00000000-0005-0000-0000-0000AE7F0000}"/>
    <cellStyle name="Input 5 4 2" xfId="13821" xr:uid="{00000000-0005-0000-0000-0000AF7F0000}"/>
    <cellStyle name="Input 5 4 2 2" xfId="14616" xr:uid="{00000000-0005-0000-0000-0000B07F0000}"/>
    <cellStyle name="Input 5 4 2 2 2" xfId="17100" xr:uid="{00000000-0005-0000-0000-0000B17F0000}"/>
    <cellStyle name="Input 5 4 2 2 2 2" xfId="36454" xr:uid="{00000000-0005-0000-0000-0000B27F0000}"/>
    <cellStyle name="Input 5 4 2 2 3" xfId="19531" xr:uid="{00000000-0005-0000-0000-0000B37F0000}"/>
    <cellStyle name="Input 5 4 2 2 3 2" xfId="38884" xr:uid="{00000000-0005-0000-0000-0000B47F0000}"/>
    <cellStyle name="Input 5 4 2 2 4" xfId="22036" xr:uid="{00000000-0005-0000-0000-0000B57F0000}"/>
    <cellStyle name="Input 5 4 2 2 4 2" xfId="41378" xr:uid="{00000000-0005-0000-0000-0000B67F0000}"/>
    <cellStyle name="Input 5 4 2 2 5" xfId="33977" xr:uid="{00000000-0005-0000-0000-0000B77F0000}"/>
    <cellStyle name="Input 5 4 2 3" xfId="15173" xr:uid="{00000000-0005-0000-0000-0000B87F0000}"/>
    <cellStyle name="Input 5 4 2 3 2" xfId="17649" xr:uid="{00000000-0005-0000-0000-0000B97F0000}"/>
    <cellStyle name="Input 5 4 2 3 2 2" xfId="37003" xr:uid="{00000000-0005-0000-0000-0000BA7F0000}"/>
    <cellStyle name="Input 5 4 2 3 3" xfId="20080" xr:uid="{00000000-0005-0000-0000-0000BB7F0000}"/>
    <cellStyle name="Input 5 4 2 3 3 2" xfId="39433" xr:uid="{00000000-0005-0000-0000-0000BC7F0000}"/>
    <cellStyle name="Input 5 4 2 3 4" xfId="22593" xr:uid="{00000000-0005-0000-0000-0000BD7F0000}"/>
    <cellStyle name="Input 5 4 2 3 4 2" xfId="41935" xr:uid="{00000000-0005-0000-0000-0000BE7F0000}"/>
    <cellStyle name="Input 5 4 2 3 5" xfId="34534" xr:uid="{00000000-0005-0000-0000-0000BF7F0000}"/>
    <cellStyle name="Input 5 4 2 4" xfId="15653" xr:uid="{00000000-0005-0000-0000-0000C07F0000}"/>
    <cellStyle name="Input 5 4 2 4 2" xfId="18129" xr:uid="{00000000-0005-0000-0000-0000C17F0000}"/>
    <cellStyle name="Input 5 4 2 4 2 2" xfId="37483" xr:uid="{00000000-0005-0000-0000-0000C27F0000}"/>
    <cellStyle name="Input 5 4 2 4 3" xfId="20560" xr:uid="{00000000-0005-0000-0000-0000C37F0000}"/>
    <cellStyle name="Input 5 4 2 4 3 2" xfId="39913" xr:uid="{00000000-0005-0000-0000-0000C47F0000}"/>
    <cellStyle name="Input 5 4 2 4 4" xfId="23073" xr:uid="{00000000-0005-0000-0000-0000C57F0000}"/>
    <cellStyle name="Input 5 4 2 4 4 2" xfId="42415" xr:uid="{00000000-0005-0000-0000-0000C67F0000}"/>
    <cellStyle name="Input 5 4 2 4 5" xfId="35014" xr:uid="{00000000-0005-0000-0000-0000C77F0000}"/>
    <cellStyle name="Input 5 4 2 5" xfId="16333" xr:uid="{00000000-0005-0000-0000-0000C87F0000}"/>
    <cellStyle name="Input 5 4 2 5 2" xfId="35687" xr:uid="{00000000-0005-0000-0000-0000C97F0000}"/>
    <cellStyle name="Input 5 4 2 6" xfId="18764" xr:uid="{00000000-0005-0000-0000-0000CA7F0000}"/>
    <cellStyle name="Input 5 4 2 6 2" xfId="38117" xr:uid="{00000000-0005-0000-0000-0000CB7F0000}"/>
    <cellStyle name="Input 5 4 2 7" xfId="21244" xr:uid="{00000000-0005-0000-0000-0000CC7F0000}"/>
    <cellStyle name="Input 5 4 2 7 2" xfId="40586" xr:uid="{00000000-0005-0000-0000-0000CD7F0000}"/>
    <cellStyle name="Input 5 4 2 8" xfId="33185" xr:uid="{00000000-0005-0000-0000-0000CE7F0000}"/>
    <cellStyle name="Input 5 4 3" xfId="14042" xr:uid="{00000000-0005-0000-0000-0000CF7F0000}"/>
    <cellStyle name="Input 5 4 3 2" xfId="14837" xr:uid="{00000000-0005-0000-0000-0000D07F0000}"/>
    <cellStyle name="Input 5 4 3 2 2" xfId="17315" xr:uid="{00000000-0005-0000-0000-0000D17F0000}"/>
    <cellStyle name="Input 5 4 3 2 2 2" xfId="36669" xr:uid="{00000000-0005-0000-0000-0000D27F0000}"/>
    <cellStyle name="Input 5 4 3 2 3" xfId="19746" xr:uid="{00000000-0005-0000-0000-0000D37F0000}"/>
    <cellStyle name="Input 5 4 3 2 3 2" xfId="39099" xr:uid="{00000000-0005-0000-0000-0000D47F0000}"/>
    <cellStyle name="Input 5 4 3 2 4" xfId="22257" xr:uid="{00000000-0005-0000-0000-0000D57F0000}"/>
    <cellStyle name="Input 5 4 3 2 4 2" xfId="41599" xr:uid="{00000000-0005-0000-0000-0000D67F0000}"/>
    <cellStyle name="Input 5 4 3 2 5" xfId="34198" xr:uid="{00000000-0005-0000-0000-0000D77F0000}"/>
    <cellStyle name="Input 5 4 3 3" xfId="15385" xr:uid="{00000000-0005-0000-0000-0000D87F0000}"/>
    <cellStyle name="Input 5 4 3 3 2" xfId="17861" xr:uid="{00000000-0005-0000-0000-0000D97F0000}"/>
    <cellStyle name="Input 5 4 3 3 2 2" xfId="37215" xr:uid="{00000000-0005-0000-0000-0000DA7F0000}"/>
    <cellStyle name="Input 5 4 3 3 3" xfId="20292" xr:uid="{00000000-0005-0000-0000-0000DB7F0000}"/>
    <cellStyle name="Input 5 4 3 3 3 2" xfId="39645" xr:uid="{00000000-0005-0000-0000-0000DC7F0000}"/>
    <cellStyle name="Input 5 4 3 3 4" xfId="22805" xr:uid="{00000000-0005-0000-0000-0000DD7F0000}"/>
    <cellStyle name="Input 5 4 3 3 4 2" xfId="42147" xr:uid="{00000000-0005-0000-0000-0000DE7F0000}"/>
    <cellStyle name="Input 5 4 3 3 5" xfId="34746" xr:uid="{00000000-0005-0000-0000-0000DF7F0000}"/>
    <cellStyle name="Input 5 4 3 4" xfId="15844" xr:uid="{00000000-0005-0000-0000-0000E07F0000}"/>
    <cellStyle name="Input 5 4 3 4 2" xfId="18320" xr:uid="{00000000-0005-0000-0000-0000E17F0000}"/>
    <cellStyle name="Input 5 4 3 4 2 2" xfId="37674" xr:uid="{00000000-0005-0000-0000-0000E27F0000}"/>
    <cellStyle name="Input 5 4 3 4 3" xfId="20751" xr:uid="{00000000-0005-0000-0000-0000E37F0000}"/>
    <cellStyle name="Input 5 4 3 4 3 2" xfId="40104" xr:uid="{00000000-0005-0000-0000-0000E47F0000}"/>
    <cellStyle name="Input 5 4 3 4 4" xfId="23264" xr:uid="{00000000-0005-0000-0000-0000E57F0000}"/>
    <cellStyle name="Input 5 4 3 4 4 2" xfId="42606" xr:uid="{00000000-0005-0000-0000-0000E67F0000}"/>
    <cellStyle name="Input 5 4 3 4 5" xfId="35205" xr:uid="{00000000-0005-0000-0000-0000E77F0000}"/>
    <cellStyle name="Input 5 4 3 5" xfId="16548" xr:uid="{00000000-0005-0000-0000-0000E87F0000}"/>
    <cellStyle name="Input 5 4 3 5 2" xfId="35902" xr:uid="{00000000-0005-0000-0000-0000E97F0000}"/>
    <cellStyle name="Input 5 4 3 6" xfId="18979" xr:uid="{00000000-0005-0000-0000-0000EA7F0000}"/>
    <cellStyle name="Input 5 4 3 6 2" xfId="38332" xr:uid="{00000000-0005-0000-0000-0000EB7F0000}"/>
    <cellStyle name="Input 5 4 3 7" xfId="21465" xr:uid="{00000000-0005-0000-0000-0000EC7F0000}"/>
    <cellStyle name="Input 5 4 3 7 2" xfId="40807" xr:uid="{00000000-0005-0000-0000-0000ED7F0000}"/>
    <cellStyle name="Input 5 4 3 8" xfId="33406" xr:uid="{00000000-0005-0000-0000-0000EE7F0000}"/>
    <cellStyle name="Input 5 4 4" xfId="14337" xr:uid="{00000000-0005-0000-0000-0000EF7F0000}"/>
    <cellStyle name="Input 5 4 4 2" xfId="16833" xr:uid="{00000000-0005-0000-0000-0000F07F0000}"/>
    <cellStyle name="Input 5 4 4 2 2" xfId="36187" xr:uid="{00000000-0005-0000-0000-0000F17F0000}"/>
    <cellStyle name="Input 5 4 4 3" xfId="19264" xr:uid="{00000000-0005-0000-0000-0000F27F0000}"/>
    <cellStyle name="Input 5 4 4 3 2" xfId="38617" xr:uid="{00000000-0005-0000-0000-0000F37F0000}"/>
    <cellStyle name="Input 5 4 4 4" xfId="21757" xr:uid="{00000000-0005-0000-0000-0000F47F0000}"/>
    <cellStyle name="Input 5 4 4 4 2" xfId="41099" xr:uid="{00000000-0005-0000-0000-0000F57F0000}"/>
    <cellStyle name="Input 5 4 4 5" xfId="33698" xr:uid="{00000000-0005-0000-0000-0000F67F0000}"/>
    <cellStyle name="Input 5 4 5" xfId="14975" xr:uid="{00000000-0005-0000-0000-0000F77F0000}"/>
    <cellStyle name="Input 5 4 5 2" xfId="17451" xr:uid="{00000000-0005-0000-0000-0000F87F0000}"/>
    <cellStyle name="Input 5 4 5 2 2" xfId="36805" xr:uid="{00000000-0005-0000-0000-0000F97F0000}"/>
    <cellStyle name="Input 5 4 5 3" xfId="19882" xr:uid="{00000000-0005-0000-0000-0000FA7F0000}"/>
    <cellStyle name="Input 5 4 5 3 2" xfId="39235" xr:uid="{00000000-0005-0000-0000-0000FB7F0000}"/>
    <cellStyle name="Input 5 4 5 4" xfId="22395" xr:uid="{00000000-0005-0000-0000-0000FC7F0000}"/>
    <cellStyle name="Input 5 4 5 4 2" xfId="41737" xr:uid="{00000000-0005-0000-0000-0000FD7F0000}"/>
    <cellStyle name="Input 5 4 5 5" xfId="34336" xr:uid="{00000000-0005-0000-0000-0000FE7F0000}"/>
    <cellStyle name="Input 5 4 6" xfId="18482" xr:uid="{00000000-0005-0000-0000-0000FF7F0000}"/>
    <cellStyle name="Input 5 4 6 2" xfId="37835" xr:uid="{00000000-0005-0000-0000-000000800000}"/>
    <cellStyle name="Input 5 4 7" xfId="21012" xr:uid="{00000000-0005-0000-0000-000001800000}"/>
    <cellStyle name="Input 5 4 7 2" xfId="40354" xr:uid="{00000000-0005-0000-0000-000002800000}"/>
    <cellStyle name="Input 5 4 8" xfId="32896" xr:uid="{00000000-0005-0000-0000-000003800000}"/>
    <cellStyle name="Input 5 5" xfId="13721" xr:uid="{00000000-0005-0000-0000-000004800000}"/>
    <cellStyle name="Input 5 5 2" xfId="14524" xr:uid="{00000000-0005-0000-0000-000005800000}"/>
    <cellStyle name="Input 5 5 2 2" xfId="17014" xr:uid="{00000000-0005-0000-0000-000006800000}"/>
    <cellStyle name="Input 5 5 2 2 2" xfId="36368" xr:uid="{00000000-0005-0000-0000-000007800000}"/>
    <cellStyle name="Input 5 5 2 3" xfId="19445" xr:uid="{00000000-0005-0000-0000-000008800000}"/>
    <cellStyle name="Input 5 5 2 3 2" xfId="38798" xr:uid="{00000000-0005-0000-0000-000009800000}"/>
    <cellStyle name="Input 5 5 2 4" xfId="21944" xr:uid="{00000000-0005-0000-0000-00000A800000}"/>
    <cellStyle name="Input 5 5 2 4 2" xfId="41286" xr:uid="{00000000-0005-0000-0000-00000B800000}"/>
    <cellStyle name="Input 5 5 2 5" xfId="33885" xr:uid="{00000000-0005-0000-0000-00000C800000}"/>
    <cellStyle name="Input 5 5 3" xfId="15088" xr:uid="{00000000-0005-0000-0000-00000D800000}"/>
    <cellStyle name="Input 5 5 3 2" xfId="17564" xr:uid="{00000000-0005-0000-0000-00000E800000}"/>
    <cellStyle name="Input 5 5 3 2 2" xfId="36918" xr:uid="{00000000-0005-0000-0000-00000F800000}"/>
    <cellStyle name="Input 5 5 3 3" xfId="19995" xr:uid="{00000000-0005-0000-0000-000010800000}"/>
    <cellStyle name="Input 5 5 3 3 2" xfId="39348" xr:uid="{00000000-0005-0000-0000-000011800000}"/>
    <cellStyle name="Input 5 5 3 4" xfId="22508" xr:uid="{00000000-0005-0000-0000-000012800000}"/>
    <cellStyle name="Input 5 5 3 4 2" xfId="41850" xr:uid="{00000000-0005-0000-0000-000013800000}"/>
    <cellStyle name="Input 5 5 3 5" xfId="34449" xr:uid="{00000000-0005-0000-0000-000014800000}"/>
    <cellStyle name="Input 5 5 4" xfId="15571" xr:uid="{00000000-0005-0000-0000-000015800000}"/>
    <cellStyle name="Input 5 5 4 2" xfId="18047" xr:uid="{00000000-0005-0000-0000-000016800000}"/>
    <cellStyle name="Input 5 5 4 2 2" xfId="37401" xr:uid="{00000000-0005-0000-0000-000017800000}"/>
    <cellStyle name="Input 5 5 4 3" xfId="20478" xr:uid="{00000000-0005-0000-0000-000018800000}"/>
    <cellStyle name="Input 5 5 4 3 2" xfId="39831" xr:uid="{00000000-0005-0000-0000-000019800000}"/>
    <cellStyle name="Input 5 5 4 4" xfId="22991" xr:uid="{00000000-0005-0000-0000-00001A800000}"/>
    <cellStyle name="Input 5 5 4 4 2" xfId="42333" xr:uid="{00000000-0005-0000-0000-00001B800000}"/>
    <cellStyle name="Input 5 5 4 5" xfId="34932" xr:uid="{00000000-0005-0000-0000-00001C800000}"/>
    <cellStyle name="Input 5 5 5" xfId="16240" xr:uid="{00000000-0005-0000-0000-00001D800000}"/>
    <cellStyle name="Input 5 5 5 2" xfId="35594" xr:uid="{00000000-0005-0000-0000-00001E800000}"/>
    <cellStyle name="Input 5 5 6" xfId="18671" xr:uid="{00000000-0005-0000-0000-00001F800000}"/>
    <cellStyle name="Input 5 5 6 2" xfId="38024" xr:uid="{00000000-0005-0000-0000-000020800000}"/>
    <cellStyle name="Input 5 5 7" xfId="21145" xr:uid="{00000000-0005-0000-0000-000021800000}"/>
    <cellStyle name="Input 5 5 7 2" xfId="40487" xr:uid="{00000000-0005-0000-0000-000022800000}"/>
    <cellStyle name="Input 5 5 8" xfId="33086" xr:uid="{00000000-0005-0000-0000-000023800000}"/>
    <cellStyle name="Input 5 6" xfId="13321" xr:uid="{00000000-0005-0000-0000-000024800000}"/>
    <cellStyle name="Input 5 6 2" xfId="32746" xr:uid="{00000000-0005-0000-0000-000025800000}"/>
    <cellStyle name="Input 5 7" xfId="13204" xr:uid="{00000000-0005-0000-0000-000026800000}"/>
    <cellStyle name="Input 5 7 2" xfId="32672" xr:uid="{00000000-0005-0000-0000-000027800000}"/>
    <cellStyle name="Input 5 8" xfId="20900" xr:uid="{00000000-0005-0000-0000-000028800000}"/>
    <cellStyle name="Input 5 8 2" xfId="40245" xr:uid="{00000000-0005-0000-0000-000029800000}"/>
    <cellStyle name="Input 6" xfId="2674" xr:uid="{00000000-0005-0000-0000-00002A800000}"/>
    <cellStyle name="Input 6 2" xfId="13563" xr:uid="{00000000-0005-0000-0000-00002B800000}"/>
    <cellStyle name="Input 6 2 2" xfId="13861" xr:uid="{00000000-0005-0000-0000-00002C800000}"/>
    <cellStyle name="Input 6 2 2 2" xfId="14656" xr:uid="{00000000-0005-0000-0000-00002D800000}"/>
    <cellStyle name="Input 6 2 2 2 2" xfId="17137" xr:uid="{00000000-0005-0000-0000-00002E800000}"/>
    <cellStyle name="Input 6 2 2 2 2 2" xfId="36491" xr:uid="{00000000-0005-0000-0000-00002F800000}"/>
    <cellStyle name="Input 6 2 2 2 3" xfId="19568" xr:uid="{00000000-0005-0000-0000-000030800000}"/>
    <cellStyle name="Input 6 2 2 2 3 2" xfId="38921" xr:uid="{00000000-0005-0000-0000-000031800000}"/>
    <cellStyle name="Input 6 2 2 2 4" xfId="22076" xr:uid="{00000000-0005-0000-0000-000032800000}"/>
    <cellStyle name="Input 6 2 2 2 4 2" xfId="41418" xr:uid="{00000000-0005-0000-0000-000033800000}"/>
    <cellStyle name="Input 6 2 2 2 5" xfId="34017" xr:uid="{00000000-0005-0000-0000-000034800000}"/>
    <cellStyle name="Input 6 2 2 3" xfId="15209" xr:uid="{00000000-0005-0000-0000-000035800000}"/>
    <cellStyle name="Input 6 2 2 3 2" xfId="17685" xr:uid="{00000000-0005-0000-0000-000036800000}"/>
    <cellStyle name="Input 6 2 2 3 2 2" xfId="37039" xr:uid="{00000000-0005-0000-0000-000037800000}"/>
    <cellStyle name="Input 6 2 2 3 3" xfId="20116" xr:uid="{00000000-0005-0000-0000-000038800000}"/>
    <cellStyle name="Input 6 2 2 3 3 2" xfId="39469" xr:uid="{00000000-0005-0000-0000-000039800000}"/>
    <cellStyle name="Input 6 2 2 3 4" xfId="22629" xr:uid="{00000000-0005-0000-0000-00003A800000}"/>
    <cellStyle name="Input 6 2 2 3 4 2" xfId="41971" xr:uid="{00000000-0005-0000-0000-00003B800000}"/>
    <cellStyle name="Input 6 2 2 3 5" xfId="34570" xr:uid="{00000000-0005-0000-0000-00003C800000}"/>
    <cellStyle name="Input 6 2 2 4" xfId="15680" xr:uid="{00000000-0005-0000-0000-00003D800000}"/>
    <cellStyle name="Input 6 2 2 4 2" xfId="18156" xr:uid="{00000000-0005-0000-0000-00003E800000}"/>
    <cellStyle name="Input 6 2 2 4 2 2" xfId="37510" xr:uid="{00000000-0005-0000-0000-00003F800000}"/>
    <cellStyle name="Input 6 2 2 4 3" xfId="20587" xr:uid="{00000000-0005-0000-0000-000040800000}"/>
    <cellStyle name="Input 6 2 2 4 3 2" xfId="39940" xr:uid="{00000000-0005-0000-0000-000041800000}"/>
    <cellStyle name="Input 6 2 2 4 4" xfId="23100" xr:uid="{00000000-0005-0000-0000-000042800000}"/>
    <cellStyle name="Input 6 2 2 4 4 2" xfId="42442" xr:uid="{00000000-0005-0000-0000-000043800000}"/>
    <cellStyle name="Input 6 2 2 4 5" xfId="35041" xr:uid="{00000000-0005-0000-0000-000044800000}"/>
    <cellStyle name="Input 6 2 2 5" xfId="16370" xr:uid="{00000000-0005-0000-0000-000045800000}"/>
    <cellStyle name="Input 6 2 2 5 2" xfId="35724" xr:uid="{00000000-0005-0000-0000-000046800000}"/>
    <cellStyle name="Input 6 2 2 6" xfId="18801" xr:uid="{00000000-0005-0000-0000-000047800000}"/>
    <cellStyle name="Input 6 2 2 6 2" xfId="38154" xr:uid="{00000000-0005-0000-0000-000048800000}"/>
    <cellStyle name="Input 6 2 2 7" xfId="21284" xr:uid="{00000000-0005-0000-0000-000049800000}"/>
    <cellStyle name="Input 6 2 2 7 2" xfId="40626" xr:uid="{00000000-0005-0000-0000-00004A800000}"/>
    <cellStyle name="Input 6 2 2 8" xfId="33225" xr:uid="{00000000-0005-0000-0000-00004B800000}"/>
    <cellStyle name="Input 6 2 3" xfId="14079" xr:uid="{00000000-0005-0000-0000-00004C800000}"/>
    <cellStyle name="Input 6 2 3 2" xfId="14866" xr:uid="{00000000-0005-0000-0000-00004D800000}"/>
    <cellStyle name="Input 6 2 3 2 2" xfId="17344" xr:uid="{00000000-0005-0000-0000-00004E800000}"/>
    <cellStyle name="Input 6 2 3 2 2 2" xfId="36698" xr:uid="{00000000-0005-0000-0000-00004F800000}"/>
    <cellStyle name="Input 6 2 3 2 3" xfId="19775" xr:uid="{00000000-0005-0000-0000-000050800000}"/>
    <cellStyle name="Input 6 2 3 2 3 2" xfId="39128" xr:uid="{00000000-0005-0000-0000-000051800000}"/>
    <cellStyle name="Input 6 2 3 2 4" xfId="22286" xr:uid="{00000000-0005-0000-0000-000052800000}"/>
    <cellStyle name="Input 6 2 3 2 4 2" xfId="41628" xr:uid="{00000000-0005-0000-0000-000053800000}"/>
    <cellStyle name="Input 6 2 3 2 5" xfId="34227" xr:uid="{00000000-0005-0000-0000-000054800000}"/>
    <cellStyle name="Input 6 2 3 3" xfId="15413" xr:uid="{00000000-0005-0000-0000-000055800000}"/>
    <cellStyle name="Input 6 2 3 3 2" xfId="17889" xr:uid="{00000000-0005-0000-0000-000056800000}"/>
    <cellStyle name="Input 6 2 3 3 2 2" xfId="37243" xr:uid="{00000000-0005-0000-0000-000057800000}"/>
    <cellStyle name="Input 6 2 3 3 3" xfId="20320" xr:uid="{00000000-0005-0000-0000-000058800000}"/>
    <cellStyle name="Input 6 2 3 3 3 2" xfId="39673" xr:uid="{00000000-0005-0000-0000-000059800000}"/>
    <cellStyle name="Input 6 2 3 3 4" xfId="22833" xr:uid="{00000000-0005-0000-0000-00005A800000}"/>
    <cellStyle name="Input 6 2 3 3 4 2" xfId="42175" xr:uid="{00000000-0005-0000-0000-00005B800000}"/>
    <cellStyle name="Input 6 2 3 3 5" xfId="34774" xr:uid="{00000000-0005-0000-0000-00005C800000}"/>
    <cellStyle name="Input 6 2 3 4" xfId="15872" xr:uid="{00000000-0005-0000-0000-00005D800000}"/>
    <cellStyle name="Input 6 2 3 4 2" xfId="18348" xr:uid="{00000000-0005-0000-0000-00005E800000}"/>
    <cellStyle name="Input 6 2 3 4 2 2" xfId="37702" xr:uid="{00000000-0005-0000-0000-00005F800000}"/>
    <cellStyle name="Input 6 2 3 4 3" xfId="20779" xr:uid="{00000000-0005-0000-0000-000060800000}"/>
    <cellStyle name="Input 6 2 3 4 3 2" xfId="40132" xr:uid="{00000000-0005-0000-0000-000061800000}"/>
    <cellStyle name="Input 6 2 3 4 4" xfId="23292" xr:uid="{00000000-0005-0000-0000-000062800000}"/>
    <cellStyle name="Input 6 2 3 4 4 2" xfId="42634" xr:uid="{00000000-0005-0000-0000-000063800000}"/>
    <cellStyle name="Input 6 2 3 4 5" xfId="35233" xr:uid="{00000000-0005-0000-0000-000064800000}"/>
    <cellStyle name="Input 6 2 3 5" xfId="16585" xr:uid="{00000000-0005-0000-0000-000065800000}"/>
    <cellStyle name="Input 6 2 3 5 2" xfId="35939" xr:uid="{00000000-0005-0000-0000-000066800000}"/>
    <cellStyle name="Input 6 2 3 6" xfId="19016" xr:uid="{00000000-0005-0000-0000-000067800000}"/>
    <cellStyle name="Input 6 2 3 6 2" xfId="38369" xr:uid="{00000000-0005-0000-0000-000068800000}"/>
    <cellStyle name="Input 6 2 3 7" xfId="21502" xr:uid="{00000000-0005-0000-0000-000069800000}"/>
    <cellStyle name="Input 6 2 3 7 2" xfId="40844" xr:uid="{00000000-0005-0000-0000-00006A800000}"/>
    <cellStyle name="Input 6 2 3 8" xfId="33443" xr:uid="{00000000-0005-0000-0000-00006B800000}"/>
    <cellStyle name="Input 6 2 4" xfId="14374" xr:uid="{00000000-0005-0000-0000-00006C800000}"/>
    <cellStyle name="Input 6 2 4 2" xfId="16867" xr:uid="{00000000-0005-0000-0000-00006D800000}"/>
    <cellStyle name="Input 6 2 4 2 2" xfId="36221" xr:uid="{00000000-0005-0000-0000-00006E800000}"/>
    <cellStyle name="Input 6 2 4 3" xfId="19298" xr:uid="{00000000-0005-0000-0000-00006F800000}"/>
    <cellStyle name="Input 6 2 4 3 2" xfId="38651" xr:uid="{00000000-0005-0000-0000-000070800000}"/>
    <cellStyle name="Input 6 2 4 4" xfId="21794" xr:uid="{00000000-0005-0000-0000-000071800000}"/>
    <cellStyle name="Input 6 2 4 4 2" xfId="41136" xr:uid="{00000000-0005-0000-0000-000072800000}"/>
    <cellStyle name="Input 6 2 4 5" xfId="33735" xr:uid="{00000000-0005-0000-0000-000073800000}"/>
    <cellStyle name="Input 6 2 5" xfId="15005" xr:uid="{00000000-0005-0000-0000-000074800000}"/>
    <cellStyle name="Input 6 2 5 2" xfId="17481" xr:uid="{00000000-0005-0000-0000-000075800000}"/>
    <cellStyle name="Input 6 2 5 2 2" xfId="36835" xr:uid="{00000000-0005-0000-0000-000076800000}"/>
    <cellStyle name="Input 6 2 5 3" xfId="19912" xr:uid="{00000000-0005-0000-0000-000077800000}"/>
    <cellStyle name="Input 6 2 5 3 2" xfId="39265" xr:uid="{00000000-0005-0000-0000-000078800000}"/>
    <cellStyle name="Input 6 2 5 4" xfId="22425" xr:uid="{00000000-0005-0000-0000-000079800000}"/>
    <cellStyle name="Input 6 2 5 4 2" xfId="41767" xr:uid="{00000000-0005-0000-0000-00007A800000}"/>
    <cellStyle name="Input 6 2 5 5" xfId="34366" xr:uid="{00000000-0005-0000-0000-00007B800000}"/>
    <cellStyle name="Input 6 2 6" xfId="18517" xr:uid="{00000000-0005-0000-0000-00007C800000}"/>
    <cellStyle name="Input 6 2 6 2" xfId="37870" xr:uid="{00000000-0005-0000-0000-00007D800000}"/>
    <cellStyle name="Input 6 2 7" xfId="21025" xr:uid="{00000000-0005-0000-0000-00007E800000}"/>
    <cellStyle name="Input 6 2 7 2" xfId="40367" xr:uid="{00000000-0005-0000-0000-00007F800000}"/>
    <cellStyle name="Input 6 2 8" xfId="32932" xr:uid="{00000000-0005-0000-0000-000080800000}"/>
    <cellStyle name="Input 6 3" xfId="13764" xr:uid="{00000000-0005-0000-0000-000081800000}"/>
    <cellStyle name="Input 6 3 2" xfId="14563" xr:uid="{00000000-0005-0000-0000-000082800000}"/>
    <cellStyle name="Input 6 3 2 2" xfId="17050" xr:uid="{00000000-0005-0000-0000-000083800000}"/>
    <cellStyle name="Input 6 3 2 2 2" xfId="36404" xr:uid="{00000000-0005-0000-0000-000084800000}"/>
    <cellStyle name="Input 6 3 2 3" xfId="19481" xr:uid="{00000000-0005-0000-0000-000085800000}"/>
    <cellStyle name="Input 6 3 2 3 2" xfId="38834" xr:uid="{00000000-0005-0000-0000-000086800000}"/>
    <cellStyle name="Input 6 3 2 4" xfId="21983" xr:uid="{00000000-0005-0000-0000-000087800000}"/>
    <cellStyle name="Input 6 3 2 4 2" xfId="41325" xr:uid="{00000000-0005-0000-0000-000088800000}"/>
    <cellStyle name="Input 6 3 2 5" xfId="33924" xr:uid="{00000000-0005-0000-0000-000089800000}"/>
    <cellStyle name="Input 6 3 3" xfId="15124" xr:uid="{00000000-0005-0000-0000-00008A800000}"/>
    <cellStyle name="Input 6 3 3 2" xfId="17600" xr:uid="{00000000-0005-0000-0000-00008B800000}"/>
    <cellStyle name="Input 6 3 3 2 2" xfId="36954" xr:uid="{00000000-0005-0000-0000-00008C800000}"/>
    <cellStyle name="Input 6 3 3 3" xfId="20031" xr:uid="{00000000-0005-0000-0000-00008D800000}"/>
    <cellStyle name="Input 6 3 3 3 2" xfId="39384" xr:uid="{00000000-0005-0000-0000-00008E800000}"/>
    <cellStyle name="Input 6 3 3 4" xfId="22544" xr:uid="{00000000-0005-0000-0000-00008F800000}"/>
    <cellStyle name="Input 6 3 3 4 2" xfId="41886" xr:uid="{00000000-0005-0000-0000-000090800000}"/>
    <cellStyle name="Input 6 3 3 5" xfId="34485" xr:uid="{00000000-0005-0000-0000-000091800000}"/>
    <cellStyle name="Input 6 3 4" xfId="16279" xr:uid="{00000000-0005-0000-0000-000092800000}"/>
    <cellStyle name="Input 6 3 4 2" xfId="35633" xr:uid="{00000000-0005-0000-0000-000093800000}"/>
    <cellStyle name="Input 6 3 5" xfId="18710" xr:uid="{00000000-0005-0000-0000-000094800000}"/>
    <cellStyle name="Input 6 3 5 2" xfId="38063" xr:uid="{00000000-0005-0000-0000-000095800000}"/>
    <cellStyle name="Input 6 3 6" xfId="21187" xr:uid="{00000000-0005-0000-0000-000096800000}"/>
    <cellStyle name="Input 6 3 6 2" xfId="40529" xr:uid="{00000000-0005-0000-0000-000097800000}"/>
    <cellStyle name="Input 6 3 7" xfId="33128" xr:uid="{00000000-0005-0000-0000-000098800000}"/>
    <cellStyle name="Input 6 4" xfId="13985" xr:uid="{00000000-0005-0000-0000-000099800000}"/>
    <cellStyle name="Input 6 4 2" xfId="14780" xr:uid="{00000000-0005-0000-0000-00009A800000}"/>
    <cellStyle name="Input 6 4 2 2" xfId="17258" xr:uid="{00000000-0005-0000-0000-00009B800000}"/>
    <cellStyle name="Input 6 4 2 2 2" xfId="36612" xr:uid="{00000000-0005-0000-0000-00009C800000}"/>
    <cellStyle name="Input 6 4 2 3" xfId="19689" xr:uid="{00000000-0005-0000-0000-00009D800000}"/>
    <cellStyle name="Input 6 4 2 3 2" xfId="39042" xr:uid="{00000000-0005-0000-0000-00009E800000}"/>
    <cellStyle name="Input 6 4 2 4" xfId="22200" xr:uid="{00000000-0005-0000-0000-00009F800000}"/>
    <cellStyle name="Input 6 4 2 4 2" xfId="41542" xr:uid="{00000000-0005-0000-0000-0000A0800000}"/>
    <cellStyle name="Input 6 4 2 5" xfId="34141" xr:uid="{00000000-0005-0000-0000-0000A1800000}"/>
    <cellStyle name="Input 6 4 3" xfId="15328" xr:uid="{00000000-0005-0000-0000-0000A2800000}"/>
    <cellStyle name="Input 6 4 3 2" xfId="17804" xr:uid="{00000000-0005-0000-0000-0000A3800000}"/>
    <cellStyle name="Input 6 4 3 2 2" xfId="37158" xr:uid="{00000000-0005-0000-0000-0000A4800000}"/>
    <cellStyle name="Input 6 4 3 3" xfId="20235" xr:uid="{00000000-0005-0000-0000-0000A5800000}"/>
    <cellStyle name="Input 6 4 3 3 2" xfId="39588" xr:uid="{00000000-0005-0000-0000-0000A6800000}"/>
    <cellStyle name="Input 6 4 3 4" xfId="22748" xr:uid="{00000000-0005-0000-0000-0000A7800000}"/>
    <cellStyle name="Input 6 4 3 4 2" xfId="42090" xr:uid="{00000000-0005-0000-0000-0000A8800000}"/>
    <cellStyle name="Input 6 4 3 5" xfId="34689" xr:uid="{00000000-0005-0000-0000-0000A9800000}"/>
    <cellStyle name="Input 6 4 4" xfId="15787" xr:uid="{00000000-0005-0000-0000-0000AA800000}"/>
    <cellStyle name="Input 6 4 4 2" xfId="18263" xr:uid="{00000000-0005-0000-0000-0000AB800000}"/>
    <cellStyle name="Input 6 4 4 2 2" xfId="37617" xr:uid="{00000000-0005-0000-0000-0000AC800000}"/>
    <cellStyle name="Input 6 4 4 3" xfId="20694" xr:uid="{00000000-0005-0000-0000-0000AD800000}"/>
    <cellStyle name="Input 6 4 4 3 2" xfId="40047" xr:uid="{00000000-0005-0000-0000-0000AE800000}"/>
    <cellStyle name="Input 6 4 4 4" xfId="23207" xr:uid="{00000000-0005-0000-0000-0000AF800000}"/>
    <cellStyle name="Input 6 4 4 4 2" xfId="42549" xr:uid="{00000000-0005-0000-0000-0000B0800000}"/>
    <cellStyle name="Input 6 4 4 5" xfId="35148" xr:uid="{00000000-0005-0000-0000-0000B1800000}"/>
    <cellStyle name="Input 6 4 5" xfId="16491" xr:uid="{00000000-0005-0000-0000-0000B2800000}"/>
    <cellStyle name="Input 6 4 5 2" xfId="35845" xr:uid="{00000000-0005-0000-0000-0000B3800000}"/>
    <cellStyle name="Input 6 4 6" xfId="18922" xr:uid="{00000000-0005-0000-0000-0000B4800000}"/>
    <cellStyle name="Input 6 4 6 2" xfId="38275" xr:uid="{00000000-0005-0000-0000-0000B5800000}"/>
    <cellStyle name="Input 6 4 7" xfId="21408" xr:uid="{00000000-0005-0000-0000-0000B6800000}"/>
    <cellStyle name="Input 6 4 7 2" xfId="40750" xr:uid="{00000000-0005-0000-0000-0000B7800000}"/>
    <cellStyle name="Input 6 4 8" xfId="33349" xr:uid="{00000000-0005-0000-0000-0000B8800000}"/>
    <cellStyle name="Input 6 5" xfId="14281" xr:uid="{00000000-0005-0000-0000-0000B9800000}"/>
    <cellStyle name="Input 6 5 2" xfId="16780" xr:uid="{00000000-0005-0000-0000-0000BA800000}"/>
    <cellStyle name="Input 6 5 2 2" xfId="36134" xr:uid="{00000000-0005-0000-0000-0000BB800000}"/>
    <cellStyle name="Input 6 5 3" xfId="19211" xr:uid="{00000000-0005-0000-0000-0000BC800000}"/>
    <cellStyle name="Input 6 5 3 2" xfId="38564" xr:uid="{00000000-0005-0000-0000-0000BD800000}"/>
    <cellStyle name="Input 6 5 4" xfId="21701" xr:uid="{00000000-0005-0000-0000-0000BE800000}"/>
    <cellStyle name="Input 6 5 4 2" xfId="41043" xr:uid="{00000000-0005-0000-0000-0000BF800000}"/>
    <cellStyle name="Input 6 5 5" xfId="33642" xr:uid="{00000000-0005-0000-0000-0000C0800000}"/>
    <cellStyle name="Input 6 6" xfId="13435" xr:uid="{00000000-0005-0000-0000-0000C1800000}"/>
    <cellStyle name="Input 6 6 2" xfId="32814" xr:uid="{00000000-0005-0000-0000-0000C2800000}"/>
    <cellStyle name="Input 6 7" xfId="16005" xr:uid="{00000000-0005-0000-0000-0000C3800000}"/>
    <cellStyle name="Input 6 7 2" xfId="35359" xr:uid="{00000000-0005-0000-0000-0000C4800000}"/>
    <cellStyle name="Input 6 8" xfId="13190" xr:uid="{00000000-0005-0000-0000-0000C5800000}"/>
    <cellStyle name="Input 6 8 2" xfId="32658" xr:uid="{00000000-0005-0000-0000-0000C6800000}"/>
    <cellStyle name="Input 6 9" xfId="20936" xr:uid="{00000000-0005-0000-0000-0000C7800000}"/>
    <cellStyle name="Input 6 9 2" xfId="40278" xr:uid="{00000000-0005-0000-0000-0000C8800000}"/>
    <cellStyle name="Input 7" xfId="2675" xr:uid="{00000000-0005-0000-0000-0000C9800000}"/>
    <cellStyle name="Input 7 2" xfId="13552" xr:uid="{00000000-0005-0000-0000-0000CA800000}"/>
    <cellStyle name="Input 7 2 2" xfId="13850" xr:uid="{00000000-0005-0000-0000-0000CB800000}"/>
    <cellStyle name="Input 7 2 2 2" xfId="14645" xr:uid="{00000000-0005-0000-0000-0000CC800000}"/>
    <cellStyle name="Input 7 2 2 2 2" xfId="17126" xr:uid="{00000000-0005-0000-0000-0000CD800000}"/>
    <cellStyle name="Input 7 2 2 2 2 2" xfId="36480" xr:uid="{00000000-0005-0000-0000-0000CE800000}"/>
    <cellStyle name="Input 7 2 2 2 3" xfId="19557" xr:uid="{00000000-0005-0000-0000-0000CF800000}"/>
    <cellStyle name="Input 7 2 2 2 3 2" xfId="38910" xr:uid="{00000000-0005-0000-0000-0000D0800000}"/>
    <cellStyle name="Input 7 2 2 2 4" xfId="22065" xr:uid="{00000000-0005-0000-0000-0000D1800000}"/>
    <cellStyle name="Input 7 2 2 2 4 2" xfId="41407" xr:uid="{00000000-0005-0000-0000-0000D2800000}"/>
    <cellStyle name="Input 7 2 2 2 5" xfId="34006" xr:uid="{00000000-0005-0000-0000-0000D3800000}"/>
    <cellStyle name="Input 7 2 2 3" xfId="15198" xr:uid="{00000000-0005-0000-0000-0000D4800000}"/>
    <cellStyle name="Input 7 2 2 3 2" xfId="17674" xr:uid="{00000000-0005-0000-0000-0000D5800000}"/>
    <cellStyle name="Input 7 2 2 3 2 2" xfId="37028" xr:uid="{00000000-0005-0000-0000-0000D6800000}"/>
    <cellStyle name="Input 7 2 2 3 3" xfId="20105" xr:uid="{00000000-0005-0000-0000-0000D7800000}"/>
    <cellStyle name="Input 7 2 2 3 3 2" xfId="39458" xr:uid="{00000000-0005-0000-0000-0000D8800000}"/>
    <cellStyle name="Input 7 2 2 3 4" xfId="22618" xr:uid="{00000000-0005-0000-0000-0000D9800000}"/>
    <cellStyle name="Input 7 2 2 3 4 2" xfId="41960" xr:uid="{00000000-0005-0000-0000-0000DA800000}"/>
    <cellStyle name="Input 7 2 2 3 5" xfId="34559" xr:uid="{00000000-0005-0000-0000-0000DB800000}"/>
    <cellStyle name="Input 7 2 2 4" xfId="15669" xr:uid="{00000000-0005-0000-0000-0000DC800000}"/>
    <cellStyle name="Input 7 2 2 4 2" xfId="18145" xr:uid="{00000000-0005-0000-0000-0000DD800000}"/>
    <cellStyle name="Input 7 2 2 4 2 2" xfId="37499" xr:uid="{00000000-0005-0000-0000-0000DE800000}"/>
    <cellStyle name="Input 7 2 2 4 3" xfId="20576" xr:uid="{00000000-0005-0000-0000-0000DF800000}"/>
    <cellStyle name="Input 7 2 2 4 3 2" xfId="39929" xr:uid="{00000000-0005-0000-0000-0000E0800000}"/>
    <cellStyle name="Input 7 2 2 4 4" xfId="23089" xr:uid="{00000000-0005-0000-0000-0000E1800000}"/>
    <cellStyle name="Input 7 2 2 4 4 2" xfId="42431" xr:uid="{00000000-0005-0000-0000-0000E2800000}"/>
    <cellStyle name="Input 7 2 2 4 5" xfId="35030" xr:uid="{00000000-0005-0000-0000-0000E3800000}"/>
    <cellStyle name="Input 7 2 2 5" xfId="16359" xr:uid="{00000000-0005-0000-0000-0000E4800000}"/>
    <cellStyle name="Input 7 2 2 5 2" xfId="35713" xr:uid="{00000000-0005-0000-0000-0000E5800000}"/>
    <cellStyle name="Input 7 2 2 6" xfId="18790" xr:uid="{00000000-0005-0000-0000-0000E6800000}"/>
    <cellStyle name="Input 7 2 2 6 2" xfId="38143" xr:uid="{00000000-0005-0000-0000-0000E7800000}"/>
    <cellStyle name="Input 7 2 2 7" xfId="21273" xr:uid="{00000000-0005-0000-0000-0000E8800000}"/>
    <cellStyle name="Input 7 2 2 7 2" xfId="40615" xr:uid="{00000000-0005-0000-0000-0000E9800000}"/>
    <cellStyle name="Input 7 2 2 8" xfId="33214" xr:uid="{00000000-0005-0000-0000-0000EA800000}"/>
    <cellStyle name="Input 7 2 3" xfId="14068" xr:uid="{00000000-0005-0000-0000-0000EB800000}"/>
    <cellStyle name="Input 7 2 3 2" xfId="14860" xr:uid="{00000000-0005-0000-0000-0000EC800000}"/>
    <cellStyle name="Input 7 2 3 2 2" xfId="17338" xr:uid="{00000000-0005-0000-0000-0000ED800000}"/>
    <cellStyle name="Input 7 2 3 2 2 2" xfId="36692" xr:uid="{00000000-0005-0000-0000-0000EE800000}"/>
    <cellStyle name="Input 7 2 3 2 3" xfId="19769" xr:uid="{00000000-0005-0000-0000-0000EF800000}"/>
    <cellStyle name="Input 7 2 3 2 3 2" xfId="39122" xr:uid="{00000000-0005-0000-0000-0000F0800000}"/>
    <cellStyle name="Input 7 2 3 2 4" xfId="22280" xr:uid="{00000000-0005-0000-0000-0000F1800000}"/>
    <cellStyle name="Input 7 2 3 2 4 2" xfId="41622" xr:uid="{00000000-0005-0000-0000-0000F2800000}"/>
    <cellStyle name="Input 7 2 3 2 5" xfId="34221" xr:uid="{00000000-0005-0000-0000-0000F3800000}"/>
    <cellStyle name="Input 7 2 3 3" xfId="15407" xr:uid="{00000000-0005-0000-0000-0000F4800000}"/>
    <cellStyle name="Input 7 2 3 3 2" xfId="17883" xr:uid="{00000000-0005-0000-0000-0000F5800000}"/>
    <cellStyle name="Input 7 2 3 3 2 2" xfId="37237" xr:uid="{00000000-0005-0000-0000-0000F6800000}"/>
    <cellStyle name="Input 7 2 3 3 3" xfId="20314" xr:uid="{00000000-0005-0000-0000-0000F7800000}"/>
    <cellStyle name="Input 7 2 3 3 3 2" xfId="39667" xr:uid="{00000000-0005-0000-0000-0000F8800000}"/>
    <cellStyle name="Input 7 2 3 3 4" xfId="22827" xr:uid="{00000000-0005-0000-0000-0000F9800000}"/>
    <cellStyle name="Input 7 2 3 3 4 2" xfId="42169" xr:uid="{00000000-0005-0000-0000-0000FA800000}"/>
    <cellStyle name="Input 7 2 3 3 5" xfId="34768" xr:uid="{00000000-0005-0000-0000-0000FB800000}"/>
    <cellStyle name="Input 7 2 3 4" xfId="15866" xr:uid="{00000000-0005-0000-0000-0000FC800000}"/>
    <cellStyle name="Input 7 2 3 4 2" xfId="18342" xr:uid="{00000000-0005-0000-0000-0000FD800000}"/>
    <cellStyle name="Input 7 2 3 4 2 2" xfId="37696" xr:uid="{00000000-0005-0000-0000-0000FE800000}"/>
    <cellStyle name="Input 7 2 3 4 3" xfId="20773" xr:uid="{00000000-0005-0000-0000-0000FF800000}"/>
    <cellStyle name="Input 7 2 3 4 3 2" xfId="40126" xr:uid="{00000000-0005-0000-0000-000000810000}"/>
    <cellStyle name="Input 7 2 3 4 4" xfId="23286" xr:uid="{00000000-0005-0000-0000-000001810000}"/>
    <cellStyle name="Input 7 2 3 4 4 2" xfId="42628" xr:uid="{00000000-0005-0000-0000-000002810000}"/>
    <cellStyle name="Input 7 2 3 4 5" xfId="35227" xr:uid="{00000000-0005-0000-0000-000003810000}"/>
    <cellStyle name="Input 7 2 3 5" xfId="16574" xr:uid="{00000000-0005-0000-0000-000004810000}"/>
    <cellStyle name="Input 7 2 3 5 2" xfId="35928" xr:uid="{00000000-0005-0000-0000-000005810000}"/>
    <cellStyle name="Input 7 2 3 6" xfId="19005" xr:uid="{00000000-0005-0000-0000-000006810000}"/>
    <cellStyle name="Input 7 2 3 6 2" xfId="38358" xr:uid="{00000000-0005-0000-0000-000007810000}"/>
    <cellStyle name="Input 7 2 3 7" xfId="21491" xr:uid="{00000000-0005-0000-0000-000008810000}"/>
    <cellStyle name="Input 7 2 3 7 2" xfId="40833" xr:uid="{00000000-0005-0000-0000-000009810000}"/>
    <cellStyle name="Input 7 2 3 8" xfId="33432" xr:uid="{00000000-0005-0000-0000-00000A810000}"/>
    <cellStyle name="Input 7 2 4" xfId="14364" xr:uid="{00000000-0005-0000-0000-00000B810000}"/>
    <cellStyle name="Input 7 2 4 2" xfId="16857" xr:uid="{00000000-0005-0000-0000-00000C810000}"/>
    <cellStyle name="Input 7 2 4 2 2" xfId="36211" xr:uid="{00000000-0005-0000-0000-00000D810000}"/>
    <cellStyle name="Input 7 2 4 3" xfId="19288" xr:uid="{00000000-0005-0000-0000-00000E810000}"/>
    <cellStyle name="Input 7 2 4 3 2" xfId="38641" xr:uid="{00000000-0005-0000-0000-00000F810000}"/>
    <cellStyle name="Input 7 2 4 4" xfId="21784" xr:uid="{00000000-0005-0000-0000-000010810000}"/>
    <cellStyle name="Input 7 2 4 4 2" xfId="41126" xr:uid="{00000000-0005-0000-0000-000011810000}"/>
    <cellStyle name="Input 7 2 4 5" xfId="33725" xr:uid="{00000000-0005-0000-0000-000012810000}"/>
    <cellStyle name="Input 7 2 5" xfId="14994" xr:uid="{00000000-0005-0000-0000-000013810000}"/>
    <cellStyle name="Input 7 2 5 2" xfId="17470" xr:uid="{00000000-0005-0000-0000-000014810000}"/>
    <cellStyle name="Input 7 2 5 2 2" xfId="36824" xr:uid="{00000000-0005-0000-0000-000015810000}"/>
    <cellStyle name="Input 7 2 5 3" xfId="19901" xr:uid="{00000000-0005-0000-0000-000016810000}"/>
    <cellStyle name="Input 7 2 5 3 2" xfId="39254" xr:uid="{00000000-0005-0000-0000-000017810000}"/>
    <cellStyle name="Input 7 2 5 4" xfId="22414" xr:uid="{00000000-0005-0000-0000-000018810000}"/>
    <cellStyle name="Input 7 2 5 4 2" xfId="41756" xr:uid="{00000000-0005-0000-0000-000019810000}"/>
    <cellStyle name="Input 7 2 5 5" xfId="34355" xr:uid="{00000000-0005-0000-0000-00001A810000}"/>
    <cellStyle name="Input 7 2 6" xfId="18507" xr:uid="{00000000-0005-0000-0000-00001B810000}"/>
    <cellStyle name="Input 7 2 6 2" xfId="37860" xr:uid="{00000000-0005-0000-0000-00001C810000}"/>
    <cellStyle name="Input 7 2 7" xfId="21021" xr:uid="{00000000-0005-0000-0000-00001D810000}"/>
    <cellStyle name="Input 7 2 7 2" xfId="40363" xr:uid="{00000000-0005-0000-0000-00001E810000}"/>
    <cellStyle name="Input 7 2 8" xfId="32922" xr:uid="{00000000-0005-0000-0000-00001F810000}"/>
    <cellStyle name="Input 7 3" xfId="13624" xr:uid="{00000000-0005-0000-0000-000020810000}"/>
    <cellStyle name="Input 7 3 2" xfId="13925" xr:uid="{00000000-0005-0000-0000-000021810000}"/>
    <cellStyle name="Input 7 3 2 2" xfId="14720" xr:uid="{00000000-0005-0000-0000-000022810000}"/>
    <cellStyle name="Input 7 3 2 2 2" xfId="17198" xr:uid="{00000000-0005-0000-0000-000023810000}"/>
    <cellStyle name="Input 7 3 2 2 2 2" xfId="36552" xr:uid="{00000000-0005-0000-0000-000024810000}"/>
    <cellStyle name="Input 7 3 2 2 3" xfId="19629" xr:uid="{00000000-0005-0000-0000-000025810000}"/>
    <cellStyle name="Input 7 3 2 2 3 2" xfId="38982" xr:uid="{00000000-0005-0000-0000-000026810000}"/>
    <cellStyle name="Input 7 3 2 2 4" xfId="22140" xr:uid="{00000000-0005-0000-0000-000027810000}"/>
    <cellStyle name="Input 7 3 2 2 4 2" xfId="41482" xr:uid="{00000000-0005-0000-0000-000028810000}"/>
    <cellStyle name="Input 7 3 2 2 5" xfId="34081" xr:uid="{00000000-0005-0000-0000-000029810000}"/>
    <cellStyle name="Input 7 3 2 3" xfId="15268" xr:uid="{00000000-0005-0000-0000-00002A810000}"/>
    <cellStyle name="Input 7 3 2 3 2" xfId="17744" xr:uid="{00000000-0005-0000-0000-00002B810000}"/>
    <cellStyle name="Input 7 3 2 3 2 2" xfId="37098" xr:uid="{00000000-0005-0000-0000-00002C810000}"/>
    <cellStyle name="Input 7 3 2 3 3" xfId="20175" xr:uid="{00000000-0005-0000-0000-00002D810000}"/>
    <cellStyle name="Input 7 3 2 3 3 2" xfId="39528" xr:uid="{00000000-0005-0000-0000-00002E810000}"/>
    <cellStyle name="Input 7 3 2 3 4" xfId="22688" xr:uid="{00000000-0005-0000-0000-00002F810000}"/>
    <cellStyle name="Input 7 3 2 3 4 2" xfId="42030" xr:uid="{00000000-0005-0000-0000-000030810000}"/>
    <cellStyle name="Input 7 3 2 3 5" xfId="34629" xr:uid="{00000000-0005-0000-0000-000031810000}"/>
    <cellStyle name="Input 7 3 2 4" xfId="15727" xr:uid="{00000000-0005-0000-0000-000032810000}"/>
    <cellStyle name="Input 7 3 2 4 2" xfId="18203" xr:uid="{00000000-0005-0000-0000-000033810000}"/>
    <cellStyle name="Input 7 3 2 4 2 2" xfId="37557" xr:uid="{00000000-0005-0000-0000-000034810000}"/>
    <cellStyle name="Input 7 3 2 4 3" xfId="20634" xr:uid="{00000000-0005-0000-0000-000035810000}"/>
    <cellStyle name="Input 7 3 2 4 3 2" xfId="39987" xr:uid="{00000000-0005-0000-0000-000036810000}"/>
    <cellStyle name="Input 7 3 2 4 4" xfId="23147" xr:uid="{00000000-0005-0000-0000-000037810000}"/>
    <cellStyle name="Input 7 3 2 4 4 2" xfId="42489" xr:uid="{00000000-0005-0000-0000-000038810000}"/>
    <cellStyle name="Input 7 3 2 4 5" xfId="35088" xr:uid="{00000000-0005-0000-0000-000039810000}"/>
    <cellStyle name="Input 7 3 2 5" xfId="16431" xr:uid="{00000000-0005-0000-0000-00003A810000}"/>
    <cellStyle name="Input 7 3 2 5 2" xfId="35785" xr:uid="{00000000-0005-0000-0000-00003B810000}"/>
    <cellStyle name="Input 7 3 2 6" xfId="18862" xr:uid="{00000000-0005-0000-0000-00003C810000}"/>
    <cellStyle name="Input 7 3 2 6 2" xfId="38215" xr:uid="{00000000-0005-0000-0000-00003D810000}"/>
    <cellStyle name="Input 7 3 2 7" xfId="21348" xr:uid="{00000000-0005-0000-0000-00003E810000}"/>
    <cellStyle name="Input 7 3 2 7 2" xfId="40690" xr:uid="{00000000-0005-0000-0000-00003F810000}"/>
    <cellStyle name="Input 7 3 2 8" xfId="33289" xr:uid="{00000000-0005-0000-0000-000040810000}"/>
    <cellStyle name="Input 7 3 3" xfId="14140" xr:uid="{00000000-0005-0000-0000-000041810000}"/>
    <cellStyle name="Input 7 3 3 2" xfId="14917" xr:uid="{00000000-0005-0000-0000-000042810000}"/>
    <cellStyle name="Input 7 3 3 2 2" xfId="17395" xr:uid="{00000000-0005-0000-0000-000043810000}"/>
    <cellStyle name="Input 7 3 3 2 2 2" xfId="36749" xr:uid="{00000000-0005-0000-0000-000044810000}"/>
    <cellStyle name="Input 7 3 3 2 3" xfId="19826" xr:uid="{00000000-0005-0000-0000-000045810000}"/>
    <cellStyle name="Input 7 3 3 2 3 2" xfId="39179" xr:uid="{00000000-0005-0000-0000-000046810000}"/>
    <cellStyle name="Input 7 3 3 2 4" xfId="22337" xr:uid="{00000000-0005-0000-0000-000047810000}"/>
    <cellStyle name="Input 7 3 3 2 4 2" xfId="41679" xr:uid="{00000000-0005-0000-0000-000048810000}"/>
    <cellStyle name="Input 7 3 3 2 5" xfId="34278" xr:uid="{00000000-0005-0000-0000-000049810000}"/>
    <cellStyle name="Input 7 3 3 3" xfId="15463" xr:uid="{00000000-0005-0000-0000-00004A810000}"/>
    <cellStyle name="Input 7 3 3 3 2" xfId="17939" xr:uid="{00000000-0005-0000-0000-00004B810000}"/>
    <cellStyle name="Input 7 3 3 3 2 2" xfId="37293" xr:uid="{00000000-0005-0000-0000-00004C810000}"/>
    <cellStyle name="Input 7 3 3 3 3" xfId="20370" xr:uid="{00000000-0005-0000-0000-00004D810000}"/>
    <cellStyle name="Input 7 3 3 3 3 2" xfId="39723" xr:uid="{00000000-0005-0000-0000-00004E810000}"/>
    <cellStyle name="Input 7 3 3 3 4" xfId="22883" xr:uid="{00000000-0005-0000-0000-00004F810000}"/>
    <cellStyle name="Input 7 3 3 3 4 2" xfId="42225" xr:uid="{00000000-0005-0000-0000-000050810000}"/>
    <cellStyle name="Input 7 3 3 3 5" xfId="34824" xr:uid="{00000000-0005-0000-0000-000051810000}"/>
    <cellStyle name="Input 7 3 3 4" xfId="15922" xr:uid="{00000000-0005-0000-0000-000052810000}"/>
    <cellStyle name="Input 7 3 3 4 2" xfId="18398" xr:uid="{00000000-0005-0000-0000-000053810000}"/>
    <cellStyle name="Input 7 3 3 4 2 2" xfId="37752" xr:uid="{00000000-0005-0000-0000-000054810000}"/>
    <cellStyle name="Input 7 3 3 4 3" xfId="20829" xr:uid="{00000000-0005-0000-0000-000055810000}"/>
    <cellStyle name="Input 7 3 3 4 3 2" xfId="40182" xr:uid="{00000000-0005-0000-0000-000056810000}"/>
    <cellStyle name="Input 7 3 3 4 4" xfId="23342" xr:uid="{00000000-0005-0000-0000-000057810000}"/>
    <cellStyle name="Input 7 3 3 4 4 2" xfId="42684" xr:uid="{00000000-0005-0000-0000-000058810000}"/>
    <cellStyle name="Input 7 3 3 4 5" xfId="35283" xr:uid="{00000000-0005-0000-0000-000059810000}"/>
    <cellStyle name="Input 7 3 3 5" xfId="16646" xr:uid="{00000000-0005-0000-0000-00005A810000}"/>
    <cellStyle name="Input 7 3 3 5 2" xfId="36000" xr:uid="{00000000-0005-0000-0000-00005B810000}"/>
    <cellStyle name="Input 7 3 3 6" xfId="19077" xr:uid="{00000000-0005-0000-0000-00005C810000}"/>
    <cellStyle name="Input 7 3 3 6 2" xfId="38430" xr:uid="{00000000-0005-0000-0000-00005D810000}"/>
    <cellStyle name="Input 7 3 3 7" xfId="21563" xr:uid="{00000000-0005-0000-0000-00005E810000}"/>
    <cellStyle name="Input 7 3 3 7 2" xfId="40905" xr:uid="{00000000-0005-0000-0000-00005F810000}"/>
    <cellStyle name="Input 7 3 3 8" xfId="33504" xr:uid="{00000000-0005-0000-0000-000060810000}"/>
    <cellStyle name="Input 7 3 4" xfId="14435" xr:uid="{00000000-0005-0000-0000-000061810000}"/>
    <cellStyle name="Input 7 3 4 2" xfId="16925" xr:uid="{00000000-0005-0000-0000-000062810000}"/>
    <cellStyle name="Input 7 3 4 2 2" xfId="36279" xr:uid="{00000000-0005-0000-0000-000063810000}"/>
    <cellStyle name="Input 7 3 4 3" xfId="19356" xr:uid="{00000000-0005-0000-0000-000064810000}"/>
    <cellStyle name="Input 7 3 4 3 2" xfId="38709" xr:uid="{00000000-0005-0000-0000-000065810000}"/>
    <cellStyle name="Input 7 3 4 4" xfId="21855" xr:uid="{00000000-0005-0000-0000-000066810000}"/>
    <cellStyle name="Input 7 3 4 4 2" xfId="41197" xr:uid="{00000000-0005-0000-0000-000067810000}"/>
    <cellStyle name="Input 7 3 4 5" xfId="33796" xr:uid="{00000000-0005-0000-0000-000068810000}"/>
    <cellStyle name="Input 7 3 5" xfId="16144" xr:uid="{00000000-0005-0000-0000-000069810000}"/>
    <cellStyle name="Input 7 3 5 2" xfId="35498" xr:uid="{00000000-0005-0000-0000-00006A810000}"/>
    <cellStyle name="Input 7 3 6" xfId="18575" xr:uid="{00000000-0005-0000-0000-00006B810000}"/>
    <cellStyle name="Input 7 3 6 2" xfId="37928" xr:uid="{00000000-0005-0000-0000-00006C810000}"/>
    <cellStyle name="Input 7 3 7" xfId="21049" xr:uid="{00000000-0005-0000-0000-00006D810000}"/>
    <cellStyle name="Input 7 3 7 2" xfId="40391" xr:uid="{00000000-0005-0000-0000-00006E810000}"/>
    <cellStyle name="Input 7 3 8" xfId="32990" xr:uid="{00000000-0005-0000-0000-00006F810000}"/>
    <cellStyle name="Input 7 4" xfId="13979" xr:uid="{00000000-0005-0000-0000-000070810000}"/>
    <cellStyle name="Input 7 4 2" xfId="14774" xr:uid="{00000000-0005-0000-0000-000071810000}"/>
    <cellStyle name="Input 7 4 2 2" xfId="17252" xr:uid="{00000000-0005-0000-0000-000072810000}"/>
    <cellStyle name="Input 7 4 2 2 2" xfId="36606" xr:uid="{00000000-0005-0000-0000-000073810000}"/>
    <cellStyle name="Input 7 4 2 3" xfId="19683" xr:uid="{00000000-0005-0000-0000-000074810000}"/>
    <cellStyle name="Input 7 4 2 3 2" xfId="39036" xr:uid="{00000000-0005-0000-0000-000075810000}"/>
    <cellStyle name="Input 7 4 2 4" xfId="22194" xr:uid="{00000000-0005-0000-0000-000076810000}"/>
    <cellStyle name="Input 7 4 2 4 2" xfId="41536" xr:uid="{00000000-0005-0000-0000-000077810000}"/>
    <cellStyle name="Input 7 4 2 5" xfId="34135" xr:uid="{00000000-0005-0000-0000-000078810000}"/>
    <cellStyle name="Input 7 4 3" xfId="15322" xr:uid="{00000000-0005-0000-0000-000079810000}"/>
    <cellStyle name="Input 7 4 3 2" xfId="17798" xr:uid="{00000000-0005-0000-0000-00007A810000}"/>
    <cellStyle name="Input 7 4 3 2 2" xfId="37152" xr:uid="{00000000-0005-0000-0000-00007B810000}"/>
    <cellStyle name="Input 7 4 3 3" xfId="20229" xr:uid="{00000000-0005-0000-0000-00007C810000}"/>
    <cellStyle name="Input 7 4 3 3 2" xfId="39582" xr:uid="{00000000-0005-0000-0000-00007D810000}"/>
    <cellStyle name="Input 7 4 3 4" xfId="22742" xr:uid="{00000000-0005-0000-0000-00007E810000}"/>
    <cellStyle name="Input 7 4 3 4 2" xfId="42084" xr:uid="{00000000-0005-0000-0000-00007F810000}"/>
    <cellStyle name="Input 7 4 3 5" xfId="34683" xr:uid="{00000000-0005-0000-0000-000080810000}"/>
    <cellStyle name="Input 7 4 4" xfId="15781" xr:uid="{00000000-0005-0000-0000-000081810000}"/>
    <cellStyle name="Input 7 4 4 2" xfId="18257" xr:uid="{00000000-0005-0000-0000-000082810000}"/>
    <cellStyle name="Input 7 4 4 2 2" xfId="37611" xr:uid="{00000000-0005-0000-0000-000083810000}"/>
    <cellStyle name="Input 7 4 4 3" xfId="20688" xr:uid="{00000000-0005-0000-0000-000084810000}"/>
    <cellStyle name="Input 7 4 4 3 2" xfId="40041" xr:uid="{00000000-0005-0000-0000-000085810000}"/>
    <cellStyle name="Input 7 4 4 4" xfId="23201" xr:uid="{00000000-0005-0000-0000-000086810000}"/>
    <cellStyle name="Input 7 4 4 4 2" xfId="42543" xr:uid="{00000000-0005-0000-0000-000087810000}"/>
    <cellStyle name="Input 7 4 4 5" xfId="35142" xr:uid="{00000000-0005-0000-0000-000088810000}"/>
    <cellStyle name="Input 7 4 5" xfId="16485" xr:uid="{00000000-0005-0000-0000-000089810000}"/>
    <cellStyle name="Input 7 4 5 2" xfId="35839" xr:uid="{00000000-0005-0000-0000-00008A810000}"/>
    <cellStyle name="Input 7 4 6" xfId="18916" xr:uid="{00000000-0005-0000-0000-00008B810000}"/>
    <cellStyle name="Input 7 4 6 2" xfId="38269" xr:uid="{00000000-0005-0000-0000-00008C810000}"/>
    <cellStyle name="Input 7 4 7" xfId="21402" xr:uid="{00000000-0005-0000-0000-00008D810000}"/>
    <cellStyle name="Input 7 4 7 2" xfId="40744" xr:uid="{00000000-0005-0000-0000-00008E810000}"/>
    <cellStyle name="Input 7 4 8" xfId="33343" xr:uid="{00000000-0005-0000-0000-00008F810000}"/>
    <cellStyle name="Input 7 5" xfId="13424" xr:uid="{00000000-0005-0000-0000-000090810000}"/>
    <cellStyle name="Input 7 5 2" xfId="32803" xr:uid="{00000000-0005-0000-0000-000091810000}"/>
    <cellStyle name="Input 7 6" xfId="15994" xr:uid="{00000000-0005-0000-0000-000092810000}"/>
    <cellStyle name="Input 7 6 2" xfId="35348" xr:uid="{00000000-0005-0000-0000-000093810000}"/>
    <cellStyle name="Input 7 7" xfId="13211" xr:uid="{00000000-0005-0000-0000-000094810000}"/>
    <cellStyle name="Input 7 7 2" xfId="32678" xr:uid="{00000000-0005-0000-0000-000095810000}"/>
    <cellStyle name="Input 7 8" xfId="20928" xr:uid="{00000000-0005-0000-0000-000096810000}"/>
    <cellStyle name="Input 7 8 2" xfId="40270" xr:uid="{00000000-0005-0000-0000-000097810000}"/>
    <cellStyle name="Input 8" xfId="2676" xr:uid="{00000000-0005-0000-0000-000098810000}"/>
    <cellStyle name="Input 8 2" xfId="13812" xr:uid="{00000000-0005-0000-0000-000099810000}"/>
    <cellStyle name="Input 8 2 2" xfId="14608" xr:uid="{00000000-0005-0000-0000-00009A810000}"/>
    <cellStyle name="Input 8 2 2 2" xfId="17092" xr:uid="{00000000-0005-0000-0000-00009B810000}"/>
    <cellStyle name="Input 8 2 2 2 2" xfId="36446" xr:uid="{00000000-0005-0000-0000-00009C810000}"/>
    <cellStyle name="Input 8 2 2 3" xfId="19523" xr:uid="{00000000-0005-0000-0000-00009D810000}"/>
    <cellStyle name="Input 8 2 2 3 2" xfId="38876" xr:uid="{00000000-0005-0000-0000-00009E810000}"/>
    <cellStyle name="Input 8 2 2 4" xfId="22028" xr:uid="{00000000-0005-0000-0000-00009F810000}"/>
    <cellStyle name="Input 8 2 2 4 2" xfId="41370" xr:uid="{00000000-0005-0000-0000-0000A0810000}"/>
    <cellStyle name="Input 8 2 2 5" xfId="33969" xr:uid="{00000000-0005-0000-0000-0000A1810000}"/>
    <cellStyle name="Input 8 2 3" xfId="15165" xr:uid="{00000000-0005-0000-0000-0000A2810000}"/>
    <cellStyle name="Input 8 2 3 2" xfId="17641" xr:uid="{00000000-0005-0000-0000-0000A3810000}"/>
    <cellStyle name="Input 8 2 3 2 2" xfId="36995" xr:uid="{00000000-0005-0000-0000-0000A4810000}"/>
    <cellStyle name="Input 8 2 3 3" xfId="20072" xr:uid="{00000000-0005-0000-0000-0000A5810000}"/>
    <cellStyle name="Input 8 2 3 3 2" xfId="39425" xr:uid="{00000000-0005-0000-0000-0000A6810000}"/>
    <cellStyle name="Input 8 2 3 4" xfId="22585" xr:uid="{00000000-0005-0000-0000-0000A7810000}"/>
    <cellStyle name="Input 8 2 3 4 2" xfId="41927" xr:uid="{00000000-0005-0000-0000-0000A8810000}"/>
    <cellStyle name="Input 8 2 3 5" xfId="34526" xr:uid="{00000000-0005-0000-0000-0000A9810000}"/>
    <cellStyle name="Input 8 2 4" xfId="16324" xr:uid="{00000000-0005-0000-0000-0000AA810000}"/>
    <cellStyle name="Input 8 2 4 2" xfId="35678" xr:uid="{00000000-0005-0000-0000-0000AB810000}"/>
    <cellStyle name="Input 8 2 5" xfId="18755" xr:uid="{00000000-0005-0000-0000-0000AC810000}"/>
    <cellStyle name="Input 8 2 5 2" xfId="38108" xr:uid="{00000000-0005-0000-0000-0000AD810000}"/>
    <cellStyle name="Input 8 2 6" xfId="21235" xr:uid="{00000000-0005-0000-0000-0000AE810000}"/>
    <cellStyle name="Input 8 2 6 2" xfId="40577" xr:uid="{00000000-0005-0000-0000-0000AF810000}"/>
    <cellStyle name="Input 8 2 7" xfId="33176" xr:uid="{00000000-0005-0000-0000-0000B0810000}"/>
    <cellStyle name="Input 8 3" xfId="14034" xr:uid="{00000000-0005-0000-0000-0000B1810000}"/>
    <cellStyle name="Input 8 3 2" xfId="14829" xr:uid="{00000000-0005-0000-0000-0000B2810000}"/>
    <cellStyle name="Input 8 3 2 2" xfId="17307" xr:uid="{00000000-0005-0000-0000-0000B3810000}"/>
    <cellStyle name="Input 8 3 2 2 2" xfId="36661" xr:uid="{00000000-0005-0000-0000-0000B4810000}"/>
    <cellStyle name="Input 8 3 2 3" xfId="19738" xr:uid="{00000000-0005-0000-0000-0000B5810000}"/>
    <cellStyle name="Input 8 3 2 3 2" xfId="39091" xr:uid="{00000000-0005-0000-0000-0000B6810000}"/>
    <cellStyle name="Input 8 3 2 4" xfId="22249" xr:uid="{00000000-0005-0000-0000-0000B7810000}"/>
    <cellStyle name="Input 8 3 2 4 2" xfId="41591" xr:uid="{00000000-0005-0000-0000-0000B8810000}"/>
    <cellStyle name="Input 8 3 2 5" xfId="34190" xr:uid="{00000000-0005-0000-0000-0000B9810000}"/>
    <cellStyle name="Input 8 3 3" xfId="15377" xr:uid="{00000000-0005-0000-0000-0000BA810000}"/>
    <cellStyle name="Input 8 3 3 2" xfId="17853" xr:uid="{00000000-0005-0000-0000-0000BB810000}"/>
    <cellStyle name="Input 8 3 3 2 2" xfId="37207" xr:uid="{00000000-0005-0000-0000-0000BC810000}"/>
    <cellStyle name="Input 8 3 3 3" xfId="20284" xr:uid="{00000000-0005-0000-0000-0000BD810000}"/>
    <cellStyle name="Input 8 3 3 3 2" xfId="39637" xr:uid="{00000000-0005-0000-0000-0000BE810000}"/>
    <cellStyle name="Input 8 3 3 4" xfId="22797" xr:uid="{00000000-0005-0000-0000-0000BF810000}"/>
    <cellStyle name="Input 8 3 3 4 2" xfId="42139" xr:uid="{00000000-0005-0000-0000-0000C0810000}"/>
    <cellStyle name="Input 8 3 3 5" xfId="34738" xr:uid="{00000000-0005-0000-0000-0000C1810000}"/>
    <cellStyle name="Input 8 3 4" xfId="15836" xr:uid="{00000000-0005-0000-0000-0000C2810000}"/>
    <cellStyle name="Input 8 3 4 2" xfId="18312" xr:uid="{00000000-0005-0000-0000-0000C3810000}"/>
    <cellStyle name="Input 8 3 4 2 2" xfId="37666" xr:uid="{00000000-0005-0000-0000-0000C4810000}"/>
    <cellStyle name="Input 8 3 4 3" xfId="20743" xr:uid="{00000000-0005-0000-0000-0000C5810000}"/>
    <cellStyle name="Input 8 3 4 3 2" xfId="40096" xr:uid="{00000000-0005-0000-0000-0000C6810000}"/>
    <cellStyle name="Input 8 3 4 4" xfId="23256" xr:uid="{00000000-0005-0000-0000-0000C7810000}"/>
    <cellStyle name="Input 8 3 4 4 2" xfId="42598" xr:uid="{00000000-0005-0000-0000-0000C8810000}"/>
    <cellStyle name="Input 8 3 4 5" xfId="35197" xr:uid="{00000000-0005-0000-0000-0000C9810000}"/>
    <cellStyle name="Input 8 3 5" xfId="16540" xr:uid="{00000000-0005-0000-0000-0000CA810000}"/>
    <cellStyle name="Input 8 3 5 2" xfId="35894" xr:uid="{00000000-0005-0000-0000-0000CB810000}"/>
    <cellStyle name="Input 8 3 6" xfId="18971" xr:uid="{00000000-0005-0000-0000-0000CC810000}"/>
    <cellStyle name="Input 8 3 6 2" xfId="38324" xr:uid="{00000000-0005-0000-0000-0000CD810000}"/>
    <cellStyle name="Input 8 3 7" xfId="21457" xr:uid="{00000000-0005-0000-0000-0000CE810000}"/>
    <cellStyle name="Input 8 3 7 2" xfId="40799" xr:uid="{00000000-0005-0000-0000-0000CF810000}"/>
    <cellStyle name="Input 8 3 8" xfId="33398" xr:uid="{00000000-0005-0000-0000-0000D0810000}"/>
    <cellStyle name="Input 8 4" xfId="14329" xr:uid="{00000000-0005-0000-0000-0000D1810000}"/>
    <cellStyle name="Input 8 4 2" xfId="16825" xr:uid="{00000000-0005-0000-0000-0000D2810000}"/>
    <cellStyle name="Input 8 4 2 2" xfId="36179" xr:uid="{00000000-0005-0000-0000-0000D3810000}"/>
    <cellStyle name="Input 8 4 3" xfId="19256" xr:uid="{00000000-0005-0000-0000-0000D4810000}"/>
    <cellStyle name="Input 8 4 3 2" xfId="38609" xr:uid="{00000000-0005-0000-0000-0000D5810000}"/>
    <cellStyle name="Input 8 4 4" xfId="21749" xr:uid="{00000000-0005-0000-0000-0000D6810000}"/>
    <cellStyle name="Input 8 4 4 2" xfId="41091" xr:uid="{00000000-0005-0000-0000-0000D7810000}"/>
    <cellStyle name="Input 8 4 5" xfId="33690" xr:uid="{00000000-0005-0000-0000-0000D8810000}"/>
    <cellStyle name="Input 8 5" xfId="13510" xr:uid="{00000000-0005-0000-0000-0000D9810000}"/>
    <cellStyle name="Input 8 5 2" xfId="32885" xr:uid="{00000000-0005-0000-0000-0000DA810000}"/>
    <cellStyle name="Input 8 6" xfId="16072" xr:uid="{00000000-0005-0000-0000-0000DB810000}"/>
    <cellStyle name="Input 8 6 2" xfId="35426" xr:uid="{00000000-0005-0000-0000-0000DC810000}"/>
    <cellStyle name="Input 8 7" xfId="18471" xr:uid="{00000000-0005-0000-0000-0000DD810000}"/>
    <cellStyle name="Input 8 7 2" xfId="37824" xr:uid="{00000000-0005-0000-0000-0000DE810000}"/>
    <cellStyle name="Input 8 8" xfId="21005" xr:uid="{00000000-0005-0000-0000-0000DF810000}"/>
    <cellStyle name="Input 8 8 2" xfId="40347" xr:uid="{00000000-0005-0000-0000-0000E0810000}"/>
    <cellStyle name="Input 9" xfId="2677" xr:uid="{00000000-0005-0000-0000-0000E1810000}"/>
    <cellStyle name="Input 9 2" xfId="14515" xr:uid="{00000000-0005-0000-0000-0000E2810000}"/>
    <cellStyle name="Input 9 2 2" xfId="17005" xr:uid="{00000000-0005-0000-0000-0000E3810000}"/>
    <cellStyle name="Input 9 2 2 2" xfId="36359" xr:uid="{00000000-0005-0000-0000-0000E4810000}"/>
    <cellStyle name="Input 9 2 3" xfId="19436" xr:uid="{00000000-0005-0000-0000-0000E5810000}"/>
    <cellStyle name="Input 9 2 3 2" xfId="38789" xr:uid="{00000000-0005-0000-0000-0000E6810000}"/>
    <cellStyle name="Input 9 2 4" xfId="21935" xr:uid="{00000000-0005-0000-0000-0000E7810000}"/>
    <cellStyle name="Input 9 2 4 2" xfId="41277" xr:uid="{00000000-0005-0000-0000-0000E8810000}"/>
    <cellStyle name="Input 9 2 5" xfId="33876" xr:uid="{00000000-0005-0000-0000-0000E9810000}"/>
    <cellStyle name="Input 9 3" xfId="15079" xr:uid="{00000000-0005-0000-0000-0000EA810000}"/>
    <cellStyle name="Input 9 3 2" xfId="17555" xr:uid="{00000000-0005-0000-0000-0000EB810000}"/>
    <cellStyle name="Input 9 3 2 2" xfId="36909" xr:uid="{00000000-0005-0000-0000-0000EC810000}"/>
    <cellStyle name="Input 9 3 3" xfId="19986" xr:uid="{00000000-0005-0000-0000-0000ED810000}"/>
    <cellStyle name="Input 9 3 3 2" xfId="39339" xr:uid="{00000000-0005-0000-0000-0000EE810000}"/>
    <cellStyle name="Input 9 3 4" xfId="22499" xr:uid="{00000000-0005-0000-0000-0000EF810000}"/>
    <cellStyle name="Input 9 3 4 2" xfId="41841" xr:uid="{00000000-0005-0000-0000-0000F0810000}"/>
    <cellStyle name="Input 9 3 5" xfId="34440" xr:uid="{00000000-0005-0000-0000-0000F1810000}"/>
    <cellStyle name="Input 9 4" xfId="15562" xr:uid="{00000000-0005-0000-0000-0000F2810000}"/>
    <cellStyle name="Input 9 4 2" xfId="18038" xr:uid="{00000000-0005-0000-0000-0000F3810000}"/>
    <cellStyle name="Input 9 4 2 2" xfId="37392" xr:uid="{00000000-0005-0000-0000-0000F4810000}"/>
    <cellStyle name="Input 9 4 3" xfId="20469" xr:uid="{00000000-0005-0000-0000-0000F5810000}"/>
    <cellStyle name="Input 9 4 3 2" xfId="39822" xr:uid="{00000000-0005-0000-0000-0000F6810000}"/>
    <cellStyle name="Input 9 4 4" xfId="22982" xr:uid="{00000000-0005-0000-0000-0000F7810000}"/>
    <cellStyle name="Input 9 4 4 2" xfId="42324" xr:uid="{00000000-0005-0000-0000-0000F8810000}"/>
    <cellStyle name="Input 9 4 5" xfId="34923" xr:uid="{00000000-0005-0000-0000-0000F9810000}"/>
    <cellStyle name="Input 9 5" xfId="13712" xr:uid="{00000000-0005-0000-0000-0000FA810000}"/>
    <cellStyle name="Input 9 5 2" xfId="33077" xr:uid="{00000000-0005-0000-0000-0000FB810000}"/>
    <cellStyle name="Input 9 6" xfId="16231" xr:uid="{00000000-0005-0000-0000-0000FC810000}"/>
    <cellStyle name="Input 9 6 2" xfId="35585" xr:uid="{00000000-0005-0000-0000-0000FD810000}"/>
    <cellStyle name="Input 9 7" xfId="18662" xr:uid="{00000000-0005-0000-0000-0000FE810000}"/>
    <cellStyle name="Input 9 7 2" xfId="38015" xr:uid="{00000000-0005-0000-0000-0000FF810000}"/>
    <cellStyle name="Input 9 8" xfId="21136" xr:uid="{00000000-0005-0000-0000-000000820000}"/>
    <cellStyle name="Input 9 8 2" xfId="40478" xr:uid="{00000000-0005-0000-0000-000001820000}"/>
    <cellStyle name="Input cell" xfId="1648" xr:uid="{00000000-0005-0000-0000-000002820000}"/>
    <cellStyle name="Input cell 2" xfId="13437" xr:uid="{00000000-0005-0000-0000-000003820000}"/>
    <cellStyle name="Input cell 2 10" xfId="20938" xr:uid="{00000000-0005-0000-0000-000004820000}"/>
    <cellStyle name="Input cell 2 10 2" xfId="40280" xr:uid="{00000000-0005-0000-0000-000005820000}"/>
    <cellStyle name="Input cell 2 11" xfId="32816" xr:uid="{00000000-0005-0000-0000-000006820000}"/>
    <cellStyle name="Input cell 2 2" xfId="13565" xr:uid="{00000000-0005-0000-0000-000007820000}"/>
    <cellStyle name="Input cell 2 2 10" xfId="32934" xr:uid="{00000000-0005-0000-0000-000008820000}"/>
    <cellStyle name="Input cell 2 2 2" xfId="13863" xr:uid="{00000000-0005-0000-0000-000009820000}"/>
    <cellStyle name="Input cell 2 2 2 2" xfId="14658" xr:uid="{00000000-0005-0000-0000-00000A820000}"/>
    <cellStyle name="Input cell 2 2 2 2 2" xfId="17139" xr:uid="{00000000-0005-0000-0000-00000B820000}"/>
    <cellStyle name="Input cell 2 2 2 2 2 2" xfId="36493" xr:uid="{00000000-0005-0000-0000-00000C820000}"/>
    <cellStyle name="Input cell 2 2 2 2 3" xfId="19570" xr:uid="{00000000-0005-0000-0000-00000D820000}"/>
    <cellStyle name="Input cell 2 2 2 2 3 2" xfId="38923" xr:uid="{00000000-0005-0000-0000-00000E820000}"/>
    <cellStyle name="Input cell 2 2 2 2 4" xfId="22078" xr:uid="{00000000-0005-0000-0000-00000F820000}"/>
    <cellStyle name="Input cell 2 2 2 2 4 2" xfId="41420" xr:uid="{00000000-0005-0000-0000-000010820000}"/>
    <cellStyle name="Input cell 2 2 2 2 5" xfId="34019" xr:uid="{00000000-0005-0000-0000-000011820000}"/>
    <cellStyle name="Input cell 2 2 2 3" xfId="15211" xr:uid="{00000000-0005-0000-0000-000012820000}"/>
    <cellStyle name="Input cell 2 2 2 3 2" xfId="17687" xr:uid="{00000000-0005-0000-0000-000013820000}"/>
    <cellStyle name="Input cell 2 2 2 3 2 2" xfId="37041" xr:uid="{00000000-0005-0000-0000-000014820000}"/>
    <cellStyle name="Input cell 2 2 2 3 3" xfId="20118" xr:uid="{00000000-0005-0000-0000-000015820000}"/>
    <cellStyle name="Input cell 2 2 2 3 3 2" xfId="39471" xr:uid="{00000000-0005-0000-0000-000016820000}"/>
    <cellStyle name="Input cell 2 2 2 3 4" xfId="22631" xr:uid="{00000000-0005-0000-0000-000017820000}"/>
    <cellStyle name="Input cell 2 2 2 3 4 2" xfId="41973" xr:uid="{00000000-0005-0000-0000-000018820000}"/>
    <cellStyle name="Input cell 2 2 2 3 5" xfId="34572" xr:uid="{00000000-0005-0000-0000-000019820000}"/>
    <cellStyle name="Input cell 2 2 2 4" xfId="15682" xr:uid="{00000000-0005-0000-0000-00001A820000}"/>
    <cellStyle name="Input cell 2 2 2 4 2" xfId="18158" xr:uid="{00000000-0005-0000-0000-00001B820000}"/>
    <cellStyle name="Input cell 2 2 2 4 2 2" xfId="37512" xr:uid="{00000000-0005-0000-0000-00001C820000}"/>
    <cellStyle name="Input cell 2 2 2 4 3" xfId="20589" xr:uid="{00000000-0005-0000-0000-00001D820000}"/>
    <cellStyle name="Input cell 2 2 2 4 3 2" xfId="39942" xr:uid="{00000000-0005-0000-0000-00001E820000}"/>
    <cellStyle name="Input cell 2 2 2 4 4" xfId="23102" xr:uid="{00000000-0005-0000-0000-00001F820000}"/>
    <cellStyle name="Input cell 2 2 2 4 4 2" xfId="42444" xr:uid="{00000000-0005-0000-0000-000020820000}"/>
    <cellStyle name="Input cell 2 2 2 4 5" xfId="35043" xr:uid="{00000000-0005-0000-0000-000021820000}"/>
    <cellStyle name="Input cell 2 2 2 5" xfId="16372" xr:uid="{00000000-0005-0000-0000-000022820000}"/>
    <cellStyle name="Input cell 2 2 2 5 2" xfId="35726" xr:uid="{00000000-0005-0000-0000-000023820000}"/>
    <cellStyle name="Input cell 2 2 2 6" xfId="18803" xr:uid="{00000000-0005-0000-0000-000024820000}"/>
    <cellStyle name="Input cell 2 2 2 6 2" xfId="38156" xr:uid="{00000000-0005-0000-0000-000025820000}"/>
    <cellStyle name="Input cell 2 2 2 7" xfId="21286" xr:uid="{00000000-0005-0000-0000-000026820000}"/>
    <cellStyle name="Input cell 2 2 2 7 2" xfId="40628" xr:uid="{00000000-0005-0000-0000-000027820000}"/>
    <cellStyle name="Input cell 2 2 2 8" xfId="33227" xr:uid="{00000000-0005-0000-0000-000028820000}"/>
    <cellStyle name="Input cell 2 2 3" xfId="14081" xr:uid="{00000000-0005-0000-0000-000029820000}"/>
    <cellStyle name="Input cell 2 2 3 2" xfId="14868" xr:uid="{00000000-0005-0000-0000-00002A820000}"/>
    <cellStyle name="Input cell 2 2 3 2 2" xfId="17346" xr:uid="{00000000-0005-0000-0000-00002B820000}"/>
    <cellStyle name="Input cell 2 2 3 2 2 2" xfId="36700" xr:uid="{00000000-0005-0000-0000-00002C820000}"/>
    <cellStyle name="Input cell 2 2 3 2 3" xfId="19777" xr:uid="{00000000-0005-0000-0000-00002D820000}"/>
    <cellStyle name="Input cell 2 2 3 2 3 2" xfId="39130" xr:uid="{00000000-0005-0000-0000-00002E820000}"/>
    <cellStyle name="Input cell 2 2 3 2 4" xfId="22288" xr:uid="{00000000-0005-0000-0000-00002F820000}"/>
    <cellStyle name="Input cell 2 2 3 2 4 2" xfId="41630" xr:uid="{00000000-0005-0000-0000-000030820000}"/>
    <cellStyle name="Input cell 2 2 3 2 5" xfId="34229" xr:uid="{00000000-0005-0000-0000-000031820000}"/>
    <cellStyle name="Input cell 2 2 3 3" xfId="15415" xr:uid="{00000000-0005-0000-0000-000032820000}"/>
    <cellStyle name="Input cell 2 2 3 3 2" xfId="17891" xr:uid="{00000000-0005-0000-0000-000033820000}"/>
    <cellStyle name="Input cell 2 2 3 3 2 2" xfId="37245" xr:uid="{00000000-0005-0000-0000-000034820000}"/>
    <cellStyle name="Input cell 2 2 3 3 3" xfId="20322" xr:uid="{00000000-0005-0000-0000-000035820000}"/>
    <cellStyle name="Input cell 2 2 3 3 3 2" xfId="39675" xr:uid="{00000000-0005-0000-0000-000036820000}"/>
    <cellStyle name="Input cell 2 2 3 3 4" xfId="22835" xr:uid="{00000000-0005-0000-0000-000037820000}"/>
    <cellStyle name="Input cell 2 2 3 3 4 2" xfId="42177" xr:uid="{00000000-0005-0000-0000-000038820000}"/>
    <cellStyle name="Input cell 2 2 3 3 5" xfId="34776" xr:uid="{00000000-0005-0000-0000-000039820000}"/>
    <cellStyle name="Input cell 2 2 3 4" xfId="15874" xr:uid="{00000000-0005-0000-0000-00003A820000}"/>
    <cellStyle name="Input cell 2 2 3 4 2" xfId="18350" xr:uid="{00000000-0005-0000-0000-00003B820000}"/>
    <cellStyle name="Input cell 2 2 3 4 2 2" xfId="37704" xr:uid="{00000000-0005-0000-0000-00003C820000}"/>
    <cellStyle name="Input cell 2 2 3 4 3" xfId="20781" xr:uid="{00000000-0005-0000-0000-00003D820000}"/>
    <cellStyle name="Input cell 2 2 3 4 3 2" xfId="40134" xr:uid="{00000000-0005-0000-0000-00003E820000}"/>
    <cellStyle name="Input cell 2 2 3 4 4" xfId="23294" xr:uid="{00000000-0005-0000-0000-00003F820000}"/>
    <cellStyle name="Input cell 2 2 3 4 4 2" xfId="42636" xr:uid="{00000000-0005-0000-0000-000040820000}"/>
    <cellStyle name="Input cell 2 2 3 4 5" xfId="35235" xr:uid="{00000000-0005-0000-0000-000041820000}"/>
    <cellStyle name="Input cell 2 2 3 5" xfId="16587" xr:uid="{00000000-0005-0000-0000-000042820000}"/>
    <cellStyle name="Input cell 2 2 3 5 2" xfId="35941" xr:uid="{00000000-0005-0000-0000-000043820000}"/>
    <cellStyle name="Input cell 2 2 3 6" xfId="19018" xr:uid="{00000000-0005-0000-0000-000044820000}"/>
    <cellStyle name="Input cell 2 2 3 6 2" xfId="38371" xr:uid="{00000000-0005-0000-0000-000045820000}"/>
    <cellStyle name="Input cell 2 2 3 7" xfId="21504" xr:uid="{00000000-0005-0000-0000-000046820000}"/>
    <cellStyle name="Input cell 2 2 3 7 2" xfId="40846" xr:uid="{00000000-0005-0000-0000-000047820000}"/>
    <cellStyle name="Input cell 2 2 3 8" xfId="33445" xr:uid="{00000000-0005-0000-0000-000048820000}"/>
    <cellStyle name="Input cell 2 2 4" xfId="14376" xr:uid="{00000000-0005-0000-0000-000049820000}"/>
    <cellStyle name="Input cell 2 2 4 2" xfId="16869" xr:uid="{00000000-0005-0000-0000-00004A820000}"/>
    <cellStyle name="Input cell 2 2 4 2 2" xfId="36223" xr:uid="{00000000-0005-0000-0000-00004B820000}"/>
    <cellStyle name="Input cell 2 2 4 3" xfId="19300" xr:uid="{00000000-0005-0000-0000-00004C820000}"/>
    <cellStyle name="Input cell 2 2 4 3 2" xfId="38653" xr:uid="{00000000-0005-0000-0000-00004D820000}"/>
    <cellStyle name="Input cell 2 2 4 4" xfId="21796" xr:uid="{00000000-0005-0000-0000-00004E820000}"/>
    <cellStyle name="Input cell 2 2 4 4 2" xfId="41138" xr:uid="{00000000-0005-0000-0000-00004F820000}"/>
    <cellStyle name="Input cell 2 2 4 5" xfId="33737" xr:uid="{00000000-0005-0000-0000-000050820000}"/>
    <cellStyle name="Input cell 2 2 5" xfId="15007" xr:uid="{00000000-0005-0000-0000-000051820000}"/>
    <cellStyle name="Input cell 2 2 5 2" xfId="17483" xr:uid="{00000000-0005-0000-0000-000052820000}"/>
    <cellStyle name="Input cell 2 2 5 2 2" xfId="36837" xr:uid="{00000000-0005-0000-0000-000053820000}"/>
    <cellStyle name="Input cell 2 2 5 3" xfId="19914" xr:uid="{00000000-0005-0000-0000-000054820000}"/>
    <cellStyle name="Input cell 2 2 5 3 2" xfId="39267" xr:uid="{00000000-0005-0000-0000-000055820000}"/>
    <cellStyle name="Input cell 2 2 5 4" xfId="22427" xr:uid="{00000000-0005-0000-0000-000056820000}"/>
    <cellStyle name="Input cell 2 2 5 4 2" xfId="41769" xr:uid="{00000000-0005-0000-0000-000057820000}"/>
    <cellStyle name="Input cell 2 2 5 5" xfId="34368" xr:uid="{00000000-0005-0000-0000-000058820000}"/>
    <cellStyle name="Input cell 2 2 6" xfId="14270" xr:uid="{00000000-0005-0000-0000-000059820000}"/>
    <cellStyle name="Input cell 2 2 6 2" xfId="16770" xr:uid="{00000000-0005-0000-0000-00005A820000}"/>
    <cellStyle name="Input cell 2 2 6 2 2" xfId="36124" xr:uid="{00000000-0005-0000-0000-00005B820000}"/>
    <cellStyle name="Input cell 2 2 6 3" xfId="19201" xr:uid="{00000000-0005-0000-0000-00005C820000}"/>
    <cellStyle name="Input cell 2 2 6 3 2" xfId="38554" xr:uid="{00000000-0005-0000-0000-00005D820000}"/>
    <cellStyle name="Input cell 2 2 6 4" xfId="21691" xr:uid="{00000000-0005-0000-0000-00005E820000}"/>
    <cellStyle name="Input cell 2 2 6 4 2" xfId="41033" xr:uid="{00000000-0005-0000-0000-00005F820000}"/>
    <cellStyle name="Input cell 2 2 6 5" xfId="33632" xr:uid="{00000000-0005-0000-0000-000060820000}"/>
    <cellStyle name="Input cell 2 2 7" xfId="16106" xr:uid="{00000000-0005-0000-0000-000061820000}"/>
    <cellStyle name="Input cell 2 2 7 2" xfId="35460" xr:uid="{00000000-0005-0000-0000-000062820000}"/>
    <cellStyle name="Input cell 2 2 8" xfId="18519" xr:uid="{00000000-0005-0000-0000-000063820000}"/>
    <cellStyle name="Input cell 2 2 8 2" xfId="37872" xr:uid="{00000000-0005-0000-0000-000064820000}"/>
    <cellStyle name="Input cell 2 2 9" xfId="21027" xr:uid="{00000000-0005-0000-0000-000065820000}"/>
    <cellStyle name="Input cell 2 2 9 2" xfId="40369" xr:uid="{00000000-0005-0000-0000-000066820000}"/>
    <cellStyle name="Input cell 2 3" xfId="13633" xr:uid="{00000000-0005-0000-0000-000067820000}"/>
    <cellStyle name="Input cell 2 3 2" xfId="13933" xr:uid="{00000000-0005-0000-0000-000068820000}"/>
    <cellStyle name="Input cell 2 3 2 2" xfId="14728" xr:uid="{00000000-0005-0000-0000-000069820000}"/>
    <cellStyle name="Input cell 2 3 2 2 2" xfId="17206" xr:uid="{00000000-0005-0000-0000-00006A820000}"/>
    <cellStyle name="Input cell 2 3 2 2 2 2" xfId="36560" xr:uid="{00000000-0005-0000-0000-00006B820000}"/>
    <cellStyle name="Input cell 2 3 2 2 3" xfId="19637" xr:uid="{00000000-0005-0000-0000-00006C820000}"/>
    <cellStyle name="Input cell 2 3 2 2 3 2" xfId="38990" xr:uid="{00000000-0005-0000-0000-00006D820000}"/>
    <cellStyle name="Input cell 2 3 2 2 4" xfId="22148" xr:uid="{00000000-0005-0000-0000-00006E820000}"/>
    <cellStyle name="Input cell 2 3 2 2 4 2" xfId="41490" xr:uid="{00000000-0005-0000-0000-00006F820000}"/>
    <cellStyle name="Input cell 2 3 2 2 5" xfId="34089" xr:uid="{00000000-0005-0000-0000-000070820000}"/>
    <cellStyle name="Input cell 2 3 2 3" xfId="15276" xr:uid="{00000000-0005-0000-0000-000071820000}"/>
    <cellStyle name="Input cell 2 3 2 3 2" xfId="17752" xr:uid="{00000000-0005-0000-0000-000072820000}"/>
    <cellStyle name="Input cell 2 3 2 3 2 2" xfId="37106" xr:uid="{00000000-0005-0000-0000-000073820000}"/>
    <cellStyle name="Input cell 2 3 2 3 3" xfId="20183" xr:uid="{00000000-0005-0000-0000-000074820000}"/>
    <cellStyle name="Input cell 2 3 2 3 3 2" xfId="39536" xr:uid="{00000000-0005-0000-0000-000075820000}"/>
    <cellStyle name="Input cell 2 3 2 3 4" xfId="22696" xr:uid="{00000000-0005-0000-0000-000076820000}"/>
    <cellStyle name="Input cell 2 3 2 3 4 2" xfId="42038" xr:uid="{00000000-0005-0000-0000-000077820000}"/>
    <cellStyle name="Input cell 2 3 2 3 5" xfId="34637" xr:uid="{00000000-0005-0000-0000-000078820000}"/>
    <cellStyle name="Input cell 2 3 2 4" xfId="15735" xr:uid="{00000000-0005-0000-0000-000079820000}"/>
    <cellStyle name="Input cell 2 3 2 4 2" xfId="18211" xr:uid="{00000000-0005-0000-0000-00007A820000}"/>
    <cellStyle name="Input cell 2 3 2 4 2 2" xfId="37565" xr:uid="{00000000-0005-0000-0000-00007B820000}"/>
    <cellStyle name="Input cell 2 3 2 4 3" xfId="20642" xr:uid="{00000000-0005-0000-0000-00007C820000}"/>
    <cellStyle name="Input cell 2 3 2 4 3 2" xfId="39995" xr:uid="{00000000-0005-0000-0000-00007D820000}"/>
    <cellStyle name="Input cell 2 3 2 4 4" xfId="23155" xr:uid="{00000000-0005-0000-0000-00007E820000}"/>
    <cellStyle name="Input cell 2 3 2 4 4 2" xfId="42497" xr:uid="{00000000-0005-0000-0000-00007F820000}"/>
    <cellStyle name="Input cell 2 3 2 4 5" xfId="35096" xr:uid="{00000000-0005-0000-0000-000080820000}"/>
    <cellStyle name="Input cell 2 3 2 5" xfId="16439" xr:uid="{00000000-0005-0000-0000-000081820000}"/>
    <cellStyle name="Input cell 2 3 2 5 2" xfId="35793" xr:uid="{00000000-0005-0000-0000-000082820000}"/>
    <cellStyle name="Input cell 2 3 2 6" xfId="18870" xr:uid="{00000000-0005-0000-0000-000083820000}"/>
    <cellStyle name="Input cell 2 3 2 6 2" xfId="38223" xr:uid="{00000000-0005-0000-0000-000084820000}"/>
    <cellStyle name="Input cell 2 3 2 7" xfId="21356" xr:uid="{00000000-0005-0000-0000-000085820000}"/>
    <cellStyle name="Input cell 2 3 2 7 2" xfId="40698" xr:uid="{00000000-0005-0000-0000-000086820000}"/>
    <cellStyle name="Input cell 2 3 2 8" xfId="33297" xr:uid="{00000000-0005-0000-0000-000087820000}"/>
    <cellStyle name="Input cell 2 3 3" xfId="14148" xr:uid="{00000000-0005-0000-0000-000088820000}"/>
    <cellStyle name="Input cell 2 3 3 2" xfId="14925" xr:uid="{00000000-0005-0000-0000-000089820000}"/>
    <cellStyle name="Input cell 2 3 3 2 2" xfId="17403" xr:uid="{00000000-0005-0000-0000-00008A820000}"/>
    <cellStyle name="Input cell 2 3 3 2 2 2" xfId="36757" xr:uid="{00000000-0005-0000-0000-00008B820000}"/>
    <cellStyle name="Input cell 2 3 3 2 3" xfId="19834" xr:uid="{00000000-0005-0000-0000-00008C820000}"/>
    <cellStyle name="Input cell 2 3 3 2 3 2" xfId="39187" xr:uid="{00000000-0005-0000-0000-00008D820000}"/>
    <cellStyle name="Input cell 2 3 3 2 4" xfId="22345" xr:uid="{00000000-0005-0000-0000-00008E820000}"/>
    <cellStyle name="Input cell 2 3 3 2 4 2" xfId="41687" xr:uid="{00000000-0005-0000-0000-00008F820000}"/>
    <cellStyle name="Input cell 2 3 3 2 5" xfId="34286" xr:uid="{00000000-0005-0000-0000-000090820000}"/>
    <cellStyle name="Input cell 2 3 3 3" xfId="15471" xr:uid="{00000000-0005-0000-0000-000091820000}"/>
    <cellStyle name="Input cell 2 3 3 3 2" xfId="17947" xr:uid="{00000000-0005-0000-0000-000092820000}"/>
    <cellStyle name="Input cell 2 3 3 3 2 2" xfId="37301" xr:uid="{00000000-0005-0000-0000-000093820000}"/>
    <cellStyle name="Input cell 2 3 3 3 3" xfId="20378" xr:uid="{00000000-0005-0000-0000-000094820000}"/>
    <cellStyle name="Input cell 2 3 3 3 3 2" xfId="39731" xr:uid="{00000000-0005-0000-0000-000095820000}"/>
    <cellStyle name="Input cell 2 3 3 3 4" xfId="22891" xr:uid="{00000000-0005-0000-0000-000096820000}"/>
    <cellStyle name="Input cell 2 3 3 3 4 2" xfId="42233" xr:uid="{00000000-0005-0000-0000-000097820000}"/>
    <cellStyle name="Input cell 2 3 3 3 5" xfId="34832" xr:uid="{00000000-0005-0000-0000-000098820000}"/>
    <cellStyle name="Input cell 2 3 3 4" xfId="15930" xr:uid="{00000000-0005-0000-0000-000099820000}"/>
    <cellStyle name="Input cell 2 3 3 4 2" xfId="18406" xr:uid="{00000000-0005-0000-0000-00009A820000}"/>
    <cellStyle name="Input cell 2 3 3 4 2 2" xfId="37760" xr:uid="{00000000-0005-0000-0000-00009B820000}"/>
    <cellStyle name="Input cell 2 3 3 4 3" xfId="20837" xr:uid="{00000000-0005-0000-0000-00009C820000}"/>
    <cellStyle name="Input cell 2 3 3 4 3 2" xfId="40190" xr:uid="{00000000-0005-0000-0000-00009D820000}"/>
    <cellStyle name="Input cell 2 3 3 4 4" xfId="23350" xr:uid="{00000000-0005-0000-0000-00009E820000}"/>
    <cellStyle name="Input cell 2 3 3 4 4 2" xfId="42692" xr:uid="{00000000-0005-0000-0000-00009F820000}"/>
    <cellStyle name="Input cell 2 3 3 4 5" xfId="35291" xr:uid="{00000000-0005-0000-0000-0000A0820000}"/>
    <cellStyle name="Input cell 2 3 3 5" xfId="16654" xr:uid="{00000000-0005-0000-0000-0000A1820000}"/>
    <cellStyle name="Input cell 2 3 3 5 2" xfId="36008" xr:uid="{00000000-0005-0000-0000-0000A2820000}"/>
    <cellStyle name="Input cell 2 3 3 6" xfId="19085" xr:uid="{00000000-0005-0000-0000-0000A3820000}"/>
    <cellStyle name="Input cell 2 3 3 6 2" xfId="38438" xr:uid="{00000000-0005-0000-0000-0000A4820000}"/>
    <cellStyle name="Input cell 2 3 3 7" xfId="21571" xr:uid="{00000000-0005-0000-0000-0000A5820000}"/>
    <cellStyle name="Input cell 2 3 3 7 2" xfId="40913" xr:uid="{00000000-0005-0000-0000-0000A6820000}"/>
    <cellStyle name="Input cell 2 3 3 8" xfId="33512" xr:uid="{00000000-0005-0000-0000-0000A7820000}"/>
    <cellStyle name="Input cell 2 3 4" xfId="14443" xr:uid="{00000000-0005-0000-0000-0000A8820000}"/>
    <cellStyle name="Input cell 2 3 4 2" xfId="16933" xr:uid="{00000000-0005-0000-0000-0000A9820000}"/>
    <cellStyle name="Input cell 2 3 4 2 2" xfId="36287" xr:uid="{00000000-0005-0000-0000-0000AA820000}"/>
    <cellStyle name="Input cell 2 3 4 3" xfId="19364" xr:uid="{00000000-0005-0000-0000-0000AB820000}"/>
    <cellStyle name="Input cell 2 3 4 3 2" xfId="38717" xr:uid="{00000000-0005-0000-0000-0000AC820000}"/>
    <cellStyle name="Input cell 2 3 4 4" xfId="21863" xr:uid="{00000000-0005-0000-0000-0000AD820000}"/>
    <cellStyle name="Input cell 2 3 4 4 2" xfId="41205" xr:uid="{00000000-0005-0000-0000-0000AE820000}"/>
    <cellStyle name="Input cell 2 3 4 5" xfId="33804" xr:uid="{00000000-0005-0000-0000-0000AF820000}"/>
    <cellStyle name="Input cell 2 3 5" xfId="15523" xr:uid="{00000000-0005-0000-0000-0000B0820000}"/>
    <cellStyle name="Input cell 2 3 5 2" xfId="17999" xr:uid="{00000000-0005-0000-0000-0000B1820000}"/>
    <cellStyle name="Input cell 2 3 5 2 2" xfId="37353" xr:uid="{00000000-0005-0000-0000-0000B2820000}"/>
    <cellStyle name="Input cell 2 3 5 3" xfId="20430" xr:uid="{00000000-0005-0000-0000-0000B3820000}"/>
    <cellStyle name="Input cell 2 3 5 3 2" xfId="39783" xr:uid="{00000000-0005-0000-0000-0000B4820000}"/>
    <cellStyle name="Input cell 2 3 5 4" xfId="22943" xr:uid="{00000000-0005-0000-0000-0000B5820000}"/>
    <cellStyle name="Input cell 2 3 5 4 2" xfId="42285" xr:uid="{00000000-0005-0000-0000-0000B6820000}"/>
    <cellStyle name="Input cell 2 3 5 5" xfId="34884" xr:uid="{00000000-0005-0000-0000-0000B7820000}"/>
    <cellStyle name="Input cell 2 3 6" xfId="16153" xr:uid="{00000000-0005-0000-0000-0000B8820000}"/>
    <cellStyle name="Input cell 2 3 6 2" xfId="35507" xr:uid="{00000000-0005-0000-0000-0000B9820000}"/>
    <cellStyle name="Input cell 2 3 7" xfId="18584" xr:uid="{00000000-0005-0000-0000-0000BA820000}"/>
    <cellStyle name="Input cell 2 3 7 2" xfId="37937" xr:uid="{00000000-0005-0000-0000-0000BB820000}"/>
    <cellStyle name="Input cell 2 3 8" xfId="21058" xr:uid="{00000000-0005-0000-0000-0000BC820000}"/>
    <cellStyle name="Input cell 2 3 8 2" xfId="40400" xr:uid="{00000000-0005-0000-0000-0000BD820000}"/>
    <cellStyle name="Input cell 2 3 9" xfId="32999" xr:uid="{00000000-0005-0000-0000-0000BE820000}"/>
    <cellStyle name="Input cell 2 4" xfId="13766" xr:uid="{00000000-0005-0000-0000-0000BF820000}"/>
    <cellStyle name="Input cell 2 4 2" xfId="14565" xr:uid="{00000000-0005-0000-0000-0000C0820000}"/>
    <cellStyle name="Input cell 2 4 2 2" xfId="17052" xr:uid="{00000000-0005-0000-0000-0000C1820000}"/>
    <cellStyle name="Input cell 2 4 2 2 2" xfId="36406" xr:uid="{00000000-0005-0000-0000-0000C2820000}"/>
    <cellStyle name="Input cell 2 4 2 3" xfId="19483" xr:uid="{00000000-0005-0000-0000-0000C3820000}"/>
    <cellStyle name="Input cell 2 4 2 3 2" xfId="38836" xr:uid="{00000000-0005-0000-0000-0000C4820000}"/>
    <cellStyle name="Input cell 2 4 2 4" xfId="21985" xr:uid="{00000000-0005-0000-0000-0000C5820000}"/>
    <cellStyle name="Input cell 2 4 2 4 2" xfId="41327" xr:uid="{00000000-0005-0000-0000-0000C6820000}"/>
    <cellStyle name="Input cell 2 4 2 5" xfId="33926" xr:uid="{00000000-0005-0000-0000-0000C7820000}"/>
    <cellStyle name="Input cell 2 4 3" xfId="15126" xr:uid="{00000000-0005-0000-0000-0000C8820000}"/>
    <cellStyle name="Input cell 2 4 3 2" xfId="17602" xr:uid="{00000000-0005-0000-0000-0000C9820000}"/>
    <cellStyle name="Input cell 2 4 3 2 2" xfId="36956" xr:uid="{00000000-0005-0000-0000-0000CA820000}"/>
    <cellStyle name="Input cell 2 4 3 3" xfId="20033" xr:uid="{00000000-0005-0000-0000-0000CB820000}"/>
    <cellStyle name="Input cell 2 4 3 3 2" xfId="39386" xr:uid="{00000000-0005-0000-0000-0000CC820000}"/>
    <cellStyle name="Input cell 2 4 3 4" xfId="22546" xr:uid="{00000000-0005-0000-0000-0000CD820000}"/>
    <cellStyle name="Input cell 2 4 3 4 2" xfId="41888" xr:uid="{00000000-0005-0000-0000-0000CE820000}"/>
    <cellStyle name="Input cell 2 4 3 5" xfId="34487" xr:uid="{00000000-0005-0000-0000-0000CF820000}"/>
    <cellStyle name="Input cell 2 4 4" xfId="15607" xr:uid="{00000000-0005-0000-0000-0000D0820000}"/>
    <cellStyle name="Input cell 2 4 4 2" xfId="18083" xr:uid="{00000000-0005-0000-0000-0000D1820000}"/>
    <cellStyle name="Input cell 2 4 4 2 2" xfId="37437" xr:uid="{00000000-0005-0000-0000-0000D2820000}"/>
    <cellStyle name="Input cell 2 4 4 3" xfId="20514" xr:uid="{00000000-0005-0000-0000-0000D3820000}"/>
    <cellStyle name="Input cell 2 4 4 3 2" xfId="39867" xr:uid="{00000000-0005-0000-0000-0000D4820000}"/>
    <cellStyle name="Input cell 2 4 4 4" xfId="23027" xr:uid="{00000000-0005-0000-0000-0000D5820000}"/>
    <cellStyle name="Input cell 2 4 4 4 2" xfId="42369" xr:uid="{00000000-0005-0000-0000-0000D6820000}"/>
    <cellStyle name="Input cell 2 4 4 5" xfId="34968" xr:uid="{00000000-0005-0000-0000-0000D7820000}"/>
    <cellStyle name="Input cell 2 4 5" xfId="16281" xr:uid="{00000000-0005-0000-0000-0000D8820000}"/>
    <cellStyle name="Input cell 2 4 5 2" xfId="35635" xr:uid="{00000000-0005-0000-0000-0000D9820000}"/>
    <cellStyle name="Input cell 2 4 6" xfId="18712" xr:uid="{00000000-0005-0000-0000-0000DA820000}"/>
    <cellStyle name="Input cell 2 4 6 2" xfId="38065" xr:uid="{00000000-0005-0000-0000-0000DB820000}"/>
    <cellStyle name="Input cell 2 4 7" xfId="21189" xr:uid="{00000000-0005-0000-0000-0000DC820000}"/>
    <cellStyle name="Input cell 2 4 7 2" xfId="40531" xr:uid="{00000000-0005-0000-0000-0000DD820000}"/>
    <cellStyle name="Input cell 2 4 8" xfId="33130" xr:uid="{00000000-0005-0000-0000-0000DE820000}"/>
    <cellStyle name="Input cell 2 5" xfId="13987" xr:uid="{00000000-0005-0000-0000-0000DF820000}"/>
    <cellStyle name="Input cell 2 5 2" xfId="14782" xr:uid="{00000000-0005-0000-0000-0000E0820000}"/>
    <cellStyle name="Input cell 2 5 2 2" xfId="17260" xr:uid="{00000000-0005-0000-0000-0000E1820000}"/>
    <cellStyle name="Input cell 2 5 2 2 2" xfId="36614" xr:uid="{00000000-0005-0000-0000-0000E2820000}"/>
    <cellStyle name="Input cell 2 5 2 3" xfId="19691" xr:uid="{00000000-0005-0000-0000-0000E3820000}"/>
    <cellStyle name="Input cell 2 5 2 3 2" xfId="39044" xr:uid="{00000000-0005-0000-0000-0000E4820000}"/>
    <cellStyle name="Input cell 2 5 2 4" xfId="22202" xr:uid="{00000000-0005-0000-0000-0000E5820000}"/>
    <cellStyle name="Input cell 2 5 2 4 2" xfId="41544" xr:uid="{00000000-0005-0000-0000-0000E6820000}"/>
    <cellStyle name="Input cell 2 5 2 5" xfId="34143" xr:uid="{00000000-0005-0000-0000-0000E7820000}"/>
    <cellStyle name="Input cell 2 5 3" xfId="15330" xr:uid="{00000000-0005-0000-0000-0000E8820000}"/>
    <cellStyle name="Input cell 2 5 3 2" xfId="17806" xr:uid="{00000000-0005-0000-0000-0000E9820000}"/>
    <cellStyle name="Input cell 2 5 3 2 2" xfId="37160" xr:uid="{00000000-0005-0000-0000-0000EA820000}"/>
    <cellStyle name="Input cell 2 5 3 3" xfId="20237" xr:uid="{00000000-0005-0000-0000-0000EB820000}"/>
    <cellStyle name="Input cell 2 5 3 3 2" xfId="39590" xr:uid="{00000000-0005-0000-0000-0000EC820000}"/>
    <cellStyle name="Input cell 2 5 3 4" xfId="22750" xr:uid="{00000000-0005-0000-0000-0000ED820000}"/>
    <cellStyle name="Input cell 2 5 3 4 2" xfId="42092" xr:uid="{00000000-0005-0000-0000-0000EE820000}"/>
    <cellStyle name="Input cell 2 5 3 5" xfId="34691" xr:uid="{00000000-0005-0000-0000-0000EF820000}"/>
    <cellStyle name="Input cell 2 5 4" xfId="15789" xr:uid="{00000000-0005-0000-0000-0000F0820000}"/>
    <cellStyle name="Input cell 2 5 4 2" xfId="18265" xr:uid="{00000000-0005-0000-0000-0000F1820000}"/>
    <cellStyle name="Input cell 2 5 4 2 2" xfId="37619" xr:uid="{00000000-0005-0000-0000-0000F2820000}"/>
    <cellStyle name="Input cell 2 5 4 3" xfId="20696" xr:uid="{00000000-0005-0000-0000-0000F3820000}"/>
    <cellStyle name="Input cell 2 5 4 3 2" xfId="40049" xr:uid="{00000000-0005-0000-0000-0000F4820000}"/>
    <cellStyle name="Input cell 2 5 4 4" xfId="23209" xr:uid="{00000000-0005-0000-0000-0000F5820000}"/>
    <cellStyle name="Input cell 2 5 4 4 2" xfId="42551" xr:uid="{00000000-0005-0000-0000-0000F6820000}"/>
    <cellStyle name="Input cell 2 5 4 5" xfId="35150" xr:uid="{00000000-0005-0000-0000-0000F7820000}"/>
    <cellStyle name="Input cell 2 5 5" xfId="16493" xr:uid="{00000000-0005-0000-0000-0000F8820000}"/>
    <cellStyle name="Input cell 2 5 5 2" xfId="35847" xr:uid="{00000000-0005-0000-0000-0000F9820000}"/>
    <cellStyle name="Input cell 2 5 6" xfId="18924" xr:uid="{00000000-0005-0000-0000-0000FA820000}"/>
    <cellStyle name="Input cell 2 5 6 2" xfId="38277" xr:uid="{00000000-0005-0000-0000-0000FB820000}"/>
    <cellStyle name="Input cell 2 5 7" xfId="21410" xr:uid="{00000000-0005-0000-0000-0000FC820000}"/>
    <cellStyle name="Input cell 2 5 7 2" xfId="40752" xr:uid="{00000000-0005-0000-0000-0000FD820000}"/>
    <cellStyle name="Input cell 2 5 8" xfId="33351" xr:uid="{00000000-0005-0000-0000-0000FE820000}"/>
    <cellStyle name="Input cell 2 6" xfId="14283" xr:uid="{00000000-0005-0000-0000-0000FF820000}"/>
    <cellStyle name="Input cell 2 6 2" xfId="16782" xr:uid="{00000000-0005-0000-0000-000000830000}"/>
    <cellStyle name="Input cell 2 6 2 2" xfId="36136" xr:uid="{00000000-0005-0000-0000-000001830000}"/>
    <cellStyle name="Input cell 2 6 3" xfId="19213" xr:uid="{00000000-0005-0000-0000-000002830000}"/>
    <cellStyle name="Input cell 2 6 3 2" xfId="38566" xr:uid="{00000000-0005-0000-0000-000003830000}"/>
    <cellStyle name="Input cell 2 6 4" xfId="21703" xr:uid="{00000000-0005-0000-0000-000004830000}"/>
    <cellStyle name="Input cell 2 6 4 2" xfId="41045" xr:uid="{00000000-0005-0000-0000-000005830000}"/>
    <cellStyle name="Input cell 2 6 5" xfId="33644" xr:uid="{00000000-0005-0000-0000-000006830000}"/>
    <cellStyle name="Input cell 2 7" xfId="14241" xr:uid="{00000000-0005-0000-0000-000007830000}"/>
    <cellStyle name="Input cell 2 7 2" xfId="16744" xr:uid="{00000000-0005-0000-0000-000008830000}"/>
    <cellStyle name="Input cell 2 7 2 2" xfId="36098" xr:uid="{00000000-0005-0000-0000-000009830000}"/>
    <cellStyle name="Input cell 2 7 3" xfId="19175" xr:uid="{00000000-0005-0000-0000-00000A830000}"/>
    <cellStyle name="Input cell 2 7 3 2" xfId="38528" xr:uid="{00000000-0005-0000-0000-00000B830000}"/>
    <cellStyle name="Input cell 2 7 4" xfId="21662" xr:uid="{00000000-0005-0000-0000-00000C830000}"/>
    <cellStyle name="Input cell 2 7 4 2" xfId="41004" xr:uid="{00000000-0005-0000-0000-00000D830000}"/>
    <cellStyle name="Input cell 2 7 5" xfId="33603" xr:uid="{00000000-0005-0000-0000-00000E830000}"/>
    <cellStyle name="Input cell 2 8" xfId="16007" xr:uid="{00000000-0005-0000-0000-00000F830000}"/>
    <cellStyle name="Input cell 2 8 2" xfId="35361" xr:uid="{00000000-0005-0000-0000-000010830000}"/>
    <cellStyle name="Input cell 2 9" xfId="13191" xr:uid="{00000000-0005-0000-0000-000011830000}"/>
    <cellStyle name="Input cell 2 9 2" xfId="32659" xr:uid="{00000000-0005-0000-0000-000012830000}"/>
    <cellStyle name="Input cell 3" xfId="13423" xr:uid="{00000000-0005-0000-0000-000013830000}"/>
    <cellStyle name="Input cell 3 2" xfId="13551" xr:uid="{00000000-0005-0000-0000-000014830000}"/>
    <cellStyle name="Input cell 3 2 2" xfId="13849" xr:uid="{00000000-0005-0000-0000-000015830000}"/>
    <cellStyle name="Input cell 3 2 2 2" xfId="14644" xr:uid="{00000000-0005-0000-0000-000016830000}"/>
    <cellStyle name="Input cell 3 2 2 2 2" xfId="17125" xr:uid="{00000000-0005-0000-0000-000017830000}"/>
    <cellStyle name="Input cell 3 2 2 2 2 2" xfId="36479" xr:uid="{00000000-0005-0000-0000-000018830000}"/>
    <cellStyle name="Input cell 3 2 2 2 3" xfId="19556" xr:uid="{00000000-0005-0000-0000-000019830000}"/>
    <cellStyle name="Input cell 3 2 2 2 3 2" xfId="38909" xr:uid="{00000000-0005-0000-0000-00001A830000}"/>
    <cellStyle name="Input cell 3 2 2 2 4" xfId="22064" xr:uid="{00000000-0005-0000-0000-00001B830000}"/>
    <cellStyle name="Input cell 3 2 2 2 4 2" xfId="41406" xr:uid="{00000000-0005-0000-0000-00001C830000}"/>
    <cellStyle name="Input cell 3 2 2 2 5" xfId="34005" xr:uid="{00000000-0005-0000-0000-00001D830000}"/>
    <cellStyle name="Input cell 3 2 2 3" xfId="15197" xr:uid="{00000000-0005-0000-0000-00001E830000}"/>
    <cellStyle name="Input cell 3 2 2 3 2" xfId="17673" xr:uid="{00000000-0005-0000-0000-00001F830000}"/>
    <cellStyle name="Input cell 3 2 2 3 2 2" xfId="37027" xr:uid="{00000000-0005-0000-0000-000020830000}"/>
    <cellStyle name="Input cell 3 2 2 3 3" xfId="20104" xr:uid="{00000000-0005-0000-0000-000021830000}"/>
    <cellStyle name="Input cell 3 2 2 3 3 2" xfId="39457" xr:uid="{00000000-0005-0000-0000-000022830000}"/>
    <cellStyle name="Input cell 3 2 2 3 4" xfId="22617" xr:uid="{00000000-0005-0000-0000-000023830000}"/>
    <cellStyle name="Input cell 3 2 2 3 4 2" xfId="41959" xr:uid="{00000000-0005-0000-0000-000024830000}"/>
    <cellStyle name="Input cell 3 2 2 3 5" xfId="34558" xr:uid="{00000000-0005-0000-0000-000025830000}"/>
    <cellStyle name="Input cell 3 2 2 4" xfId="15668" xr:uid="{00000000-0005-0000-0000-000026830000}"/>
    <cellStyle name="Input cell 3 2 2 4 2" xfId="18144" xr:uid="{00000000-0005-0000-0000-000027830000}"/>
    <cellStyle name="Input cell 3 2 2 4 2 2" xfId="37498" xr:uid="{00000000-0005-0000-0000-000028830000}"/>
    <cellStyle name="Input cell 3 2 2 4 3" xfId="20575" xr:uid="{00000000-0005-0000-0000-000029830000}"/>
    <cellStyle name="Input cell 3 2 2 4 3 2" xfId="39928" xr:uid="{00000000-0005-0000-0000-00002A830000}"/>
    <cellStyle name="Input cell 3 2 2 4 4" xfId="23088" xr:uid="{00000000-0005-0000-0000-00002B830000}"/>
    <cellStyle name="Input cell 3 2 2 4 4 2" xfId="42430" xr:uid="{00000000-0005-0000-0000-00002C830000}"/>
    <cellStyle name="Input cell 3 2 2 4 5" xfId="35029" xr:uid="{00000000-0005-0000-0000-00002D830000}"/>
    <cellStyle name="Input cell 3 2 2 5" xfId="16358" xr:uid="{00000000-0005-0000-0000-00002E830000}"/>
    <cellStyle name="Input cell 3 2 2 5 2" xfId="35712" xr:uid="{00000000-0005-0000-0000-00002F830000}"/>
    <cellStyle name="Input cell 3 2 2 6" xfId="18789" xr:uid="{00000000-0005-0000-0000-000030830000}"/>
    <cellStyle name="Input cell 3 2 2 6 2" xfId="38142" xr:uid="{00000000-0005-0000-0000-000031830000}"/>
    <cellStyle name="Input cell 3 2 2 7" xfId="21272" xr:uid="{00000000-0005-0000-0000-000032830000}"/>
    <cellStyle name="Input cell 3 2 2 7 2" xfId="40614" xr:uid="{00000000-0005-0000-0000-000033830000}"/>
    <cellStyle name="Input cell 3 2 2 8" xfId="33213" xr:uid="{00000000-0005-0000-0000-000034830000}"/>
    <cellStyle name="Input cell 3 2 3" xfId="14067" xr:uid="{00000000-0005-0000-0000-000035830000}"/>
    <cellStyle name="Input cell 3 2 3 2" xfId="16573" xr:uid="{00000000-0005-0000-0000-000036830000}"/>
    <cellStyle name="Input cell 3 2 3 2 2" xfId="35927" xr:uid="{00000000-0005-0000-0000-000037830000}"/>
    <cellStyle name="Input cell 3 2 3 3" xfId="19004" xr:uid="{00000000-0005-0000-0000-000038830000}"/>
    <cellStyle name="Input cell 3 2 3 3 2" xfId="38357" xr:uid="{00000000-0005-0000-0000-000039830000}"/>
    <cellStyle name="Input cell 3 2 3 4" xfId="21490" xr:uid="{00000000-0005-0000-0000-00003A830000}"/>
    <cellStyle name="Input cell 3 2 3 4 2" xfId="40832" xr:uid="{00000000-0005-0000-0000-00003B830000}"/>
    <cellStyle name="Input cell 3 2 3 5" xfId="33431" xr:uid="{00000000-0005-0000-0000-00003C830000}"/>
    <cellStyle name="Input cell 3 2 4" xfId="14993" xr:uid="{00000000-0005-0000-0000-00003D830000}"/>
    <cellStyle name="Input cell 3 2 4 2" xfId="17469" xr:uid="{00000000-0005-0000-0000-00003E830000}"/>
    <cellStyle name="Input cell 3 2 4 2 2" xfId="36823" xr:uid="{00000000-0005-0000-0000-00003F830000}"/>
    <cellStyle name="Input cell 3 2 4 3" xfId="19900" xr:uid="{00000000-0005-0000-0000-000040830000}"/>
    <cellStyle name="Input cell 3 2 4 3 2" xfId="39253" xr:uid="{00000000-0005-0000-0000-000041830000}"/>
    <cellStyle name="Input cell 3 2 4 4" xfId="22413" xr:uid="{00000000-0005-0000-0000-000042830000}"/>
    <cellStyle name="Input cell 3 2 4 4 2" xfId="41755" xr:uid="{00000000-0005-0000-0000-000043830000}"/>
    <cellStyle name="Input cell 3 2 4 5" xfId="34354" xr:uid="{00000000-0005-0000-0000-000044830000}"/>
    <cellStyle name="Input cell 3 3" xfId="13623" xr:uid="{00000000-0005-0000-0000-000045830000}"/>
    <cellStyle name="Input cell 3 3 2" xfId="13924" xr:uid="{00000000-0005-0000-0000-000046830000}"/>
    <cellStyle name="Input cell 3 3 2 2" xfId="14719" xr:uid="{00000000-0005-0000-0000-000047830000}"/>
    <cellStyle name="Input cell 3 3 2 2 2" xfId="17197" xr:uid="{00000000-0005-0000-0000-000048830000}"/>
    <cellStyle name="Input cell 3 3 2 2 2 2" xfId="36551" xr:uid="{00000000-0005-0000-0000-000049830000}"/>
    <cellStyle name="Input cell 3 3 2 2 3" xfId="19628" xr:uid="{00000000-0005-0000-0000-00004A830000}"/>
    <cellStyle name="Input cell 3 3 2 2 3 2" xfId="38981" xr:uid="{00000000-0005-0000-0000-00004B830000}"/>
    <cellStyle name="Input cell 3 3 2 2 4" xfId="22139" xr:uid="{00000000-0005-0000-0000-00004C830000}"/>
    <cellStyle name="Input cell 3 3 2 2 4 2" xfId="41481" xr:uid="{00000000-0005-0000-0000-00004D830000}"/>
    <cellStyle name="Input cell 3 3 2 2 5" xfId="34080" xr:uid="{00000000-0005-0000-0000-00004E830000}"/>
    <cellStyle name="Input cell 3 3 2 3" xfId="15267" xr:uid="{00000000-0005-0000-0000-00004F830000}"/>
    <cellStyle name="Input cell 3 3 2 3 2" xfId="17743" xr:uid="{00000000-0005-0000-0000-000050830000}"/>
    <cellStyle name="Input cell 3 3 2 3 2 2" xfId="37097" xr:uid="{00000000-0005-0000-0000-000051830000}"/>
    <cellStyle name="Input cell 3 3 2 3 3" xfId="20174" xr:uid="{00000000-0005-0000-0000-000052830000}"/>
    <cellStyle name="Input cell 3 3 2 3 3 2" xfId="39527" xr:uid="{00000000-0005-0000-0000-000053830000}"/>
    <cellStyle name="Input cell 3 3 2 3 4" xfId="22687" xr:uid="{00000000-0005-0000-0000-000054830000}"/>
    <cellStyle name="Input cell 3 3 2 3 4 2" xfId="42029" xr:uid="{00000000-0005-0000-0000-000055830000}"/>
    <cellStyle name="Input cell 3 3 2 3 5" xfId="34628" xr:uid="{00000000-0005-0000-0000-000056830000}"/>
    <cellStyle name="Input cell 3 3 2 4" xfId="15726" xr:uid="{00000000-0005-0000-0000-000057830000}"/>
    <cellStyle name="Input cell 3 3 2 4 2" xfId="18202" xr:uid="{00000000-0005-0000-0000-000058830000}"/>
    <cellStyle name="Input cell 3 3 2 4 2 2" xfId="37556" xr:uid="{00000000-0005-0000-0000-000059830000}"/>
    <cellStyle name="Input cell 3 3 2 4 3" xfId="20633" xr:uid="{00000000-0005-0000-0000-00005A830000}"/>
    <cellStyle name="Input cell 3 3 2 4 3 2" xfId="39986" xr:uid="{00000000-0005-0000-0000-00005B830000}"/>
    <cellStyle name="Input cell 3 3 2 4 4" xfId="23146" xr:uid="{00000000-0005-0000-0000-00005C830000}"/>
    <cellStyle name="Input cell 3 3 2 4 4 2" xfId="42488" xr:uid="{00000000-0005-0000-0000-00005D830000}"/>
    <cellStyle name="Input cell 3 3 2 4 5" xfId="35087" xr:uid="{00000000-0005-0000-0000-00005E830000}"/>
    <cellStyle name="Input cell 3 3 2 5" xfId="16430" xr:uid="{00000000-0005-0000-0000-00005F830000}"/>
    <cellStyle name="Input cell 3 3 2 5 2" xfId="35784" xr:uid="{00000000-0005-0000-0000-000060830000}"/>
    <cellStyle name="Input cell 3 3 2 6" xfId="18861" xr:uid="{00000000-0005-0000-0000-000061830000}"/>
    <cellStyle name="Input cell 3 3 2 6 2" xfId="38214" xr:uid="{00000000-0005-0000-0000-000062830000}"/>
    <cellStyle name="Input cell 3 3 2 7" xfId="21347" xr:uid="{00000000-0005-0000-0000-000063830000}"/>
    <cellStyle name="Input cell 3 3 2 7 2" xfId="40689" xr:uid="{00000000-0005-0000-0000-000064830000}"/>
    <cellStyle name="Input cell 3 3 2 8" xfId="33288" xr:uid="{00000000-0005-0000-0000-000065830000}"/>
    <cellStyle name="Input cell 3 3 3" xfId="14139" xr:uid="{00000000-0005-0000-0000-000066830000}"/>
    <cellStyle name="Input cell 3 3 3 2" xfId="14916" xr:uid="{00000000-0005-0000-0000-000067830000}"/>
    <cellStyle name="Input cell 3 3 3 2 2" xfId="17394" xr:uid="{00000000-0005-0000-0000-000068830000}"/>
    <cellStyle name="Input cell 3 3 3 2 2 2" xfId="36748" xr:uid="{00000000-0005-0000-0000-000069830000}"/>
    <cellStyle name="Input cell 3 3 3 2 3" xfId="19825" xr:uid="{00000000-0005-0000-0000-00006A830000}"/>
    <cellStyle name="Input cell 3 3 3 2 3 2" xfId="39178" xr:uid="{00000000-0005-0000-0000-00006B830000}"/>
    <cellStyle name="Input cell 3 3 3 2 4" xfId="22336" xr:uid="{00000000-0005-0000-0000-00006C830000}"/>
    <cellStyle name="Input cell 3 3 3 2 4 2" xfId="41678" xr:uid="{00000000-0005-0000-0000-00006D830000}"/>
    <cellStyle name="Input cell 3 3 3 2 5" xfId="34277" xr:uid="{00000000-0005-0000-0000-00006E830000}"/>
    <cellStyle name="Input cell 3 3 3 3" xfId="15462" xr:uid="{00000000-0005-0000-0000-00006F830000}"/>
    <cellStyle name="Input cell 3 3 3 3 2" xfId="17938" xr:uid="{00000000-0005-0000-0000-000070830000}"/>
    <cellStyle name="Input cell 3 3 3 3 2 2" xfId="37292" xr:uid="{00000000-0005-0000-0000-000071830000}"/>
    <cellStyle name="Input cell 3 3 3 3 3" xfId="20369" xr:uid="{00000000-0005-0000-0000-000072830000}"/>
    <cellStyle name="Input cell 3 3 3 3 3 2" xfId="39722" xr:uid="{00000000-0005-0000-0000-000073830000}"/>
    <cellStyle name="Input cell 3 3 3 3 4" xfId="22882" xr:uid="{00000000-0005-0000-0000-000074830000}"/>
    <cellStyle name="Input cell 3 3 3 3 4 2" xfId="42224" xr:uid="{00000000-0005-0000-0000-000075830000}"/>
    <cellStyle name="Input cell 3 3 3 3 5" xfId="34823" xr:uid="{00000000-0005-0000-0000-000076830000}"/>
    <cellStyle name="Input cell 3 3 3 4" xfId="15921" xr:uid="{00000000-0005-0000-0000-000077830000}"/>
    <cellStyle name="Input cell 3 3 3 4 2" xfId="18397" xr:uid="{00000000-0005-0000-0000-000078830000}"/>
    <cellStyle name="Input cell 3 3 3 4 2 2" xfId="37751" xr:uid="{00000000-0005-0000-0000-000079830000}"/>
    <cellStyle name="Input cell 3 3 3 4 3" xfId="20828" xr:uid="{00000000-0005-0000-0000-00007A830000}"/>
    <cellStyle name="Input cell 3 3 3 4 3 2" xfId="40181" xr:uid="{00000000-0005-0000-0000-00007B830000}"/>
    <cellStyle name="Input cell 3 3 3 4 4" xfId="23341" xr:uid="{00000000-0005-0000-0000-00007C830000}"/>
    <cellStyle name="Input cell 3 3 3 4 4 2" xfId="42683" xr:uid="{00000000-0005-0000-0000-00007D830000}"/>
    <cellStyle name="Input cell 3 3 3 4 5" xfId="35282" xr:uid="{00000000-0005-0000-0000-00007E830000}"/>
    <cellStyle name="Input cell 3 3 3 5" xfId="16645" xr:uid="{00000000-0005-0000-0000-00007F830000}"/>
    <cellStyle name="Input cell 3 3 3 5 2" xfId="35999" xr:uid="{00000000-0005-0000-0000-000080830000}"/>
    <cellStyle name="Input cell 3 3 3 6" xfId="19076" xr:uid="{00000000-0005-0000-0000-000081830000}"/>
    <cellStyle name="Input cell 3 3 3 6 2" xfId="38429" xr:uid="{00000000-0005-0000-0000-000082830000}"/>
    <cellStyle name="Input cell 3 3 3 7" xfId="21562" xr:uid="{00000000-0005-0000-0000-000083830000}"/>
    <cellStyle name="Input cell 3 3 3 7 2" xfId="40904" xr:uid="{00000000-0005-0000-0000-000084830000}"/>
    <cellStyle name="Input cell 3 3 3 8" xfId="33503" xr:uid="{00000000-0005-0000-0000-000085830000}"/>
    <cellStyle name="Input cell 3 3 4" xfId="14434" xr:uid="{00000000-0005-0000-0000-000086830000}"/>
    <cellStyle name="Input cell 3 3 4 2" xfId="16924" xr:uid="{00000000-0005-0000-0000-000087830000}"/>
    <cellStyle name="Input cell 3 3 4 2 2" xfId="36278" xr:uid="{00000000-0005-0000-0000-000088830000}"/>
    <cellStyle name="Input cell 3 3 4 3" xfId="19355" xr:uid="{00000000-0005-0000-0000-000089830000}"/>
    <cellStyle name="Input cell 3 3 4 3 2" xfId="38708" xr:uid="{00000000-0005-0000-0000-00008A830000}"/>
    <cellStyle name="Input cell 3 3 4 4" xfId="21854" xr:uid="{00000000-0005-0000-0000-00008B830000}"/>
    <cellStyle name="Input cell 3 3 4 4 2" xfId="41196" xr:uid="{00000000-0005-0000-0000-00008C830000}"/>
    <cellStyle name="Input cell 3 3 4 5" xfId="33795" xr:uid="{00000000-0005-0000-0000-00008D830000}"/>
    <cellStyle name="Input cell 3 3 5" xfId="15515" xr:uid="{00000000-0005-0000-0000-00008E830000}"/>
    <cellStyle name="Input cell 3 3 5 2" xfId="17991" xr:uid="{00000000-0005-0000-0000-00008F830000}"/>
    <cellStyle name="Input cell 3 3 5 2 2" xfId="37345" xr:uid="{00000000-0005-0000-0000-000090830000}"/>
    <cellStyle name="Input cell 3 3 5 3" xfId="20422" xr:uid="{00000000-0005-0000-0000-000091830000}"/>
    <cellStyle name="Input cell 3 3 5 3 2" xfId="39775" xr:uid="{00000000-0005-0000-0000-000092830000}"/>
    <cellStyle name="Input cell 3 3 5 4" xfId="22935" xr:uid="{00000000-0005-0000-0000-000093830000}"/>
    <cellStyle name="Input cell 3 3 5 4 2" xfId="42277" xr:uid="{00000000-0005-0000-0000-000094830000}"/>
    <cellStyle name="Input cell 3 3 5 5" xfId="34876" xr:uid="{00000000-0005-0000-0000-000095830000}"/>
    <cellStyle name="Input cell 3 3 6" xfId="16143" xr:uid="{00000000-0005-0000-0000-000096830000}"/>
    <cellStyle name="Input cell 3 3 6 2" xfId="35497" xr:uid="{00000000-0005-0000-0000-000097830000}"/>
    <cellStyle name="Input cell 3 3 7" xfId="18574" xr:uid="{00000000-0005-0000-0000-000098830000}"/>
    <cellStyle name="Input cell 3 3 7 2" xfId="37927" xr:uid="{00000000-0005-0000-0000-000099830000}"/>
    <cellStyle name="Input cell 3 3 8" xfId="21048" xr:uid="{00000000-0005-0000-0000-00009A830000}"/>
    <cellStyle name="Input cell 3 3 8 2" xfId="40390" xr:uid="{00000000-0005-0000-0000-00009B830000}"/>
    <cellStyle name="Input cell 3 3 9" xfId="32989" xr:uid="{00000000-0005-0000-0000-00009C830000}"/>
    <cellStyle name="Input cell 3 4" xfId="15993" xr:uid="{00000000-0005-0000-0000-00009D830000}"/>
    <cellStyle name="Input cell 3 4 2" xfId="35347" xr:uid="{00000000-0005-0000-0000-00009E830000}"/>
    <cellStyle name="Input cell 3 5" xfId="13390" xr:uid="{00000000-0005-0000-0000-00009F830000}"/>
    <cellStyle name="Input cell 3 5 2" xfId="32779" xr:uid="{00000000-0005-0000-0000-0000A0830000}"/>
    <cellStyle name="Input cell 3 6" xfId="20927" xr:uid="{00000000-0005-0000-0000-0000A1830000}"/>
    <cellStyle name="Input cell 3 6 2" xfId="40269" xr:uid="{00000000-0005-0000-0000-0000A2830000}"/>
    <cellStyle name="Input cell 3 7" xfId="32802" xr:uid="{00000000-0005-0000-0000-0000A3830000}"/>
    <cellStyle name="Input cell 4" xfId="13714" xr:uid="{00000000-0005-0000-0000-0000A4830000}"/>
    <cellStyle name="Input cell 4 2" xfId="14517" xr:uid="{00000000-0005-0000-0000-0000A5830000}"/>
    <cellStyle name="Input cell 4 2 2" xfId="17007" xr:uid="{00000000-0005-0000-0000-0000A6830000}"/>
    <cellStyle name="Input cell 4 2 2 2" xfId="36361" xr:uid="{00000000-0005-0000-0000-0000A7830000}"/>
    <cellStyle name="Input cell 4 2 3" xfId="19438" xr:uid="{00000000-0005-0000-0000-0000A8830000}"/>
    <cellStyle name="Input cell 4 2 3 2" xfId="38791" xr:uid="{00000000-0005-0000-0000-0000A9830000}"/>
    <cellStyle name="Input cell 4 2 4" xfId="21937" xr:uid="{00000000-0005-0000-0000-0000AA830000}"/>
    <cellStyle name="Input cell 4 2 4 2" xfId="41279" xr:uid="{00000000-0005-0000-0000-0000AB830000}"/>
    <cellStyle name="Input cell 4 2 5" xfId="33878" xr:uid="{00000000-0005-0000-0000-0000AC830000}"/>
    <cellStyle name="Input cell 4 3" xfId="15081" xr:uid="{00000000-0005-0000-0000-0000AD830000}"/>
    <cellStyle name="Input cell 4 3 2" xfId="17557" xr:uid="{00000000-0005-0000-0000-0000AE830000}"/>
    <cellStyle name="Input cell 4 3 2 2" xfId="36911" xr:uid="{00000000-0005-0000-0000-0000AF830000}"/>
    <cellStyle name="Input cell 4 3 3" xfId="19988" xr:uid="{00000000-0005-0000-0000-0000B0830000}"/>
    <cellStyle name="Input cell 4 3 3 2" xfId="39341" xr:uid="{00000000-0005-0000-0000-0000B1830000}"/>
    <cellStyle name="Input cell 4 3 4" xfId="22501" xr:uid="{00000000-0005-0000-0000-0000B2830000}"/>
    <cellStyle name="Input cell 4 3 4 2" xfId="41843" xr:uid="{00000000-0005-0000-0000-0000B3830000}"/>
    <cellStyle name="Input cell 4 3 5" xfId="34442" xr:uid="{00000000-0005-0000-0000-0000B4830000}"/>
    <cellStyle name="Input cell 4 4" xfId="15564" xr:uid="{00000000-0005-0000-0000-0000B5830000}"/>
    <cellStyle name="Input cell 4 4 2" xfId="18040" xr:uid="{00000000-0005-0000-0000-0000B6830000}"/>
    <cellStyle name="Input cell 4 4 2 2" xfId="37394" xr:uid="{00000000-0005-0000-0000-0000B7830000}"/>
    <cellStyle name="Input cell 4 4 3" xfId="20471" xr:uid="{00000000-0005-0000-0000-0000B8830000}"/>
    <cellStyle name="Input cell 4 4 3 2" xfId="39824" xr:uid="{00000000-0005-0000-0000-0000B9830000}"/>
    <cellStyle name="Input cell 4 4 4" xfId="22984" xr:uid="{00000000-0005-0000-0000-0000BA830000}"/>
    <cellStyle name="Input cell 4 4 4 2" xfId="42326" xr:uid="{00000000-0005-0000-0000-0000BB830000}"/>
    <cellStyle name="Input cell 4 4 5" xfId="34925" xr:uid="{00000000-0005-0000-0000-0000BC830000}"/>
    <cellStyle name="Input cell 4 5" xfId="16233" xr:uid="{00000000-0005-0000-0000-0000BD830000}"/>
    <cellStyle name="Input cell 4 5 2" xfId="35587" xr:uid="{00000000-0005-0000-0000-0000BE830000}"/>
    <cellStyle name="Input cell 4 6" xfId="18664" xr:uid="{00000000-0005-0000-0000-0000BF830000}"/>
    <cellStyle name="Input cell 4 6 2" xfId="38017" xr:uid="{00000000-0005-0000-0000-0000C0830000}"/>
    <cellStyle name="Input cell 4 7" xfId="21138" xr:uid="{00000000-0005-0000-0000-0000C1830000}"/>
    <cellStyle name="Input cell 4 7 2" xfId="40480" xr:uid="{00000000-0005-0000-0000-0000C2830000}"/>
    <cellStyle name="Input cell 4 8" xfId="33079" xr:uid="{00000000-0005-0000-0000-0000C3830000}"/>
    <cellStyle name="Input Cells" xfId="1649" xr:uid="{00000000-0005-0000-0000-0000C4830000}"/>
    <cellStyle name="Input Currency" xfId="3967" xr:uid="{00000000-0005-0000-0000-0000C5830000}"/>
    <cellStyle name="Input Currency 2" xfId="3968" xr:uid="{00000000-0005-0000-0000-0000C6830000}"/>
    <cellStyle name="Input Currency_WACC" xfId="3969" xr:uid="{00000000-0005-0000-0000-0000C7830000}"/>
    <cellStyle name="Input Multiple" xfId="3970" xr:uid="{00000000-0005-0000-0000-0000C8830000}"/>
    <cellStyle name="Input Percent" xfId="3971" xr:uid="{00000000-0005-0000-0000-0000C9830000}"/>
    <cellStyle name="InputBlueFont" xfId="1650" xr:uid="{00000000-0005-0000-0000-0000CA830000}"/>
    <cellStyle name="InputCurrency" xfId="3972" xr:uid="{00000000-0005-0000-0000-0000CB830000}"/>
    <cellStyle name="InputCurrency2" xfId="3973" xr:uid="{00000000-0005-0000-0000-0000CC830000}"/>
    <cellStyle name="InputMultiple1" xfId="3974" xr:uid="{00000000-0005-0000-0000-0000CD830000}"/>
    <cellStyle name="InputPercent1" xfId="3975" xr:uid="{00000000-0005-0000-0000-0000CE830000}"/>
    <cellStyle name="Integer" xfId="3976" xr:uid="{00000000-0005-0000-0000-0000CF830000}"/>
    <cellStyle name="Îormal_IPO_1" xfId="1651" xr:uid="{00000000-0005-0000-0000-0000D0830000}"/>
    <cellStyle name="Italics" xfId="1652" xr:uid="{00000000-0005-0000-0000-0000D1830000}"/>
    <cellStyle name="Item" xfId="3977" xr:uid="{00000000-0005-0000-0000-0000D2830000}"/>
    <cellStyle name="Item Descriptions" xfId="4504" xr:uid="{00000000-0005-0000-0000-0000D3830000}"/>
    <cellStyle name="ItemTypeClass" xfId="3978" xr:uid="{00000000-0005-0000-0000-0000D4830000}"/>
    <cellStyle name="ItemTypeClass 2" xfId="5072" xr:uid="{00000000-0005-0000-0000-0000D5830000}"/>
    <cellStyle name="ItemTypeClass 2 2" xfId="6232" xr:uid="{00000000-0005-0000-0000-0000D6830000}"/>
    <cellStyle name="ItemTypeClass 2 2 2" xfId="8334" xr:uid="{00000000-0005-0000-0000-0000D7830000}"/>
    <cellStyle name="ItemTypeClass 2 2 2 2" xfId="27815" xr:uid="{00000000-0005-0000-0000-0000D8830000}"/>
    <cellStyle name="ItemTypeClass 2 2 3" xfId="25717" xr:uid="{00000000-0005-0000-0000-0000D9830000}"/>
    <cellStyle name="ItemTypeClass 2 3" xfId="6676" xr:uid="{00000000-0005-0000-0000-0000DA830000}"/>
    <cellStyle name="ItemTypeClass 2 3 2" xfId="26161" xr:uid="{00000000-0005-0000-0000-0000DB830000}"/>
    <cellStyle name="ItemTypeClass 2 4" xfId="24564" xr:uid="{00000000-0005-0000-0000-0000DC830000}"/>
    <cellStyle name="ItemTypeClass 3" xfId="23939" xr:uid="{00000000-0005-0000-0000-0000DD830000}"/>
    <cellStyle name="Jason" xfId="3979" xr:uid="{00000000-0005-0000-0000-0000DE830000}"/>
    <cellStyle name="Line" xfId="1653" xr:uid="{00000000-0005-0000-0000-0000DF830000}"/>
    <cellStyle name="Line 2" xfId="2547" xr:uid="{00000000-0005-0000-0000-0000E0830000}"/>
    <cellStyle name="Linked Cell" xfId="1654" builtinId="24" customBuiltin="1"/>
    <cellStyle name="Linked Cell 2" xfId="2084" xr:uid="{00000000-0005-0000-0000-0000E2830000}"/>
    <cellStyle name="Linked Cell 2 2" xfId="4120" xr:uid="{00000000-0005-0000-0000-0000E3830000}"/>
    <cellStyle name="Linked Cell 3" xfId="2143" xr:uid="{00000000-0005-0000-0000-0000E4830000}"/>
    <cellStyle name="LTGR" xfId="3980" xr:uid="{00000000-0005-0000-0000-0000E5830000}"/>
    <cellStyle name="mag" xfId="1655" xr:uid="{00000000-0005-0000-0000-0000E6830000}"/>
    <cellStyle name="Mainhead" xfId="1656" xr:uid="{00000000-0005-0000-0000-0000E7830000}"/>
    <cellStyle name="Major item" xfId="1657" xr:uid="{00000000-0005-0000-0000-0000E8830000}"/>
    <cellStyle name="Margin" xfId="3981" xr:uid="{00000000-0005-0000-0000-0000E9830000}"/>
    <cellStyle name="Margins" xfId="1658" xr:uid="{00000000-0005-0000-0000-0000EA830000}"/>
    <cellStyle name="Company1806" xfId="4505" xr:uid="{00000000-0005-0000-0000-0000EB830000}"/>
    <cellStyle name="Person0769 [0]_adolfo3" xfId="1659" xr:uid="{00000000-0005-0000-0000-0000EC830000}"/>
    <cellStyle name="Person0769_adolfo3" xfId="1660" xr:uid="{00000000-0005-0000-0000-0000ED830000}"/>
    <cellStyle name="Mix" xfId="4506" xr:uid="{00000000-0005-0000-0000-0000EE830000}"/>
    <cellStyle name="Person0778 [0]_adolfo3" xfId="1661" xr:uid="{00000000-0005-0000-0000-0000EF830000}"/>
    <cellStyle name="Person0778_adolfo3" xfId="1662" xr:uid="{00000000-0005-0000-0000-0000F0830000}"/>
    <cellStyle name="Monetario0" xfId="1663" xr:uid="{00000000-0005-0000-0000-0000F1830000}"/>
    <cellStyle name="Monitor" xfId="1664" xr:uid="{00000000-0005-0000-0000-0000F2830000}"/>
    <cellStyle name="mult" xfId="1665" xr:uid="{00000000-0005-0000-0000-0000F3830000}"/>
    <cellStyle name="multiple" xfId="1666" xr:uid="{00000000-0005-0000-0000-0000F4830000}"/>
    <cellStyle name="Multiple Without" xfId="3982" xr:uid="{00000000-0005-0000-0000-0000F5830000}"/>
    <cellStyle name="Multiple_Master sheet" xfId="3983" xr:uid="{00000000-0005-0000-0000-0000F6830000}"/>
    <cellStyle name="Multiple1" xfId="3984" xr:uid="{00000000-0005-0000-0000-0000F7830000}"/>
    <cellStyle name="Name - Style7" xfId="1667" xr:uid="{00000000-0005-0000-0000-0000F8830000}"/>
    <cellStyle name="Negative" xfId="1668" xr:uid="{00000000-0005-0000-0000-0000F9830000}"/>
    <cellStyle name="Negative 2" xfId="1669" xr:uid="{00000000-0005-0000-0000-0000FA830000}"/>
    <cellStyle name="Neutral" xfId="1670" builtinId="28" customBuiltin="1"/>
    <cellStyle name="Neutral 2" xfId="2085" xr:uid="{00000000-0005-0000-0000-0000FC830000}"/>
    <cellStyle name="Neutral 2 2" xfId="4116" xr:uid="{00000000-0005-0000-0000-0000FD830000}"/>
    <cellStyle name="Neutral 3" xfId="2144" xr:uid="{00000000-0005-0000-0000-0000FE830000}"/>
    <cellStyle name="No Border" xfId="3985" xr:uid="{00000000-0005-0000-0000-0000FF830000}"/>
    <cellStyle name="No Commas" xfId="1671" xr:uid="{00000000-0005-0000-0000-000000840000}"/>
    <cellStyle name="No Commas 2" xfId="1993" xr:uid="{00000000-0005-0000-0000-000001840000}"/>
    <cellStyle name="no dec" xfId="1672" xr:uid="{00000000-0005-0000-0000-000002840000}"/>
    <cellStyle name="no dec 2" xfId="2548" xr:uid="{00000000-0005-0000-0000-000003840000}"/>
    <cellStyle name="No Decimal" xfId="3986" xr:uid="{00000000-0005-0000-0000-000004840000}"/>
    <cellStyle name="Normal" xfId="0" builtinId="0"/>
    <cellStyle name="Normal - Style1" xfId="1673" xr:uid="{00000000-0005-0000-0000-000006840000}"/>
    <cellStyle name="Normal - Style8" xfId="1674" xr:uid="{00000000-0005-0000-0000-000007840000}"/>
    <cellStyle name="Normal 10" xfId="2047" xr:uid="{00000000-0005-0000-0000-000008840000}"/>
    <cellStyle name="Normal 10 2" xfId="4214" xr:uid="{00000000-0005-0000-0000-000009840000}"/>
    <cellStyle name="Normal 10 3" xfId="13331" xr:uid="{00000000-0005-0000-0000-00000A840000}"/>
    <cellStyle name="Normal 11" xfId="2092" xr:uid="{00000000-0005-0000-0000-00000B840000}"/>
    <cellStyle name="Normal 11 2" xfId="4173" xr:uid="{00000000-0005-0000-0000-00000C840000}"/>
    <cellStyle name="Normal 11 3" xfId="4563" xr:uid="{00000000-0005-0000-0000-00000D840000}"/>
    <cellStyle name="Normal 12" xfId="2757" xr:uid="{00000000-0005-0000-0000-00000E840000}"/>
    <cellStyle name="Normal 12 2" xfId="13469" xr:uid="{00000000-0005-0000-0000-00000F840000}"/>
    <cellStyle name="Normal 12 3" xfId="13353" xr:uid="{00000000-0005-0000-0000-000010840000}"/>
    <cellStyle name="Normal 13" xfId="2758" xr:uid="{00000000-0005-0000-0000-000011840000}"/>
    <cellStyle name="Normal 13 2" xfId="13472" xr:uid="{00000000-0005-0000-0000-000012840000}"/>
    <cellStyle name="Normal 13 2 2" xfId="13596" xr:uid="{00000000-0005-0000-0000-000013840000}"/>
    <cellStyle name="Normal 13 2 2 2" xfId="13897" xr:uid="{00000000-0005-0000-0000-000014840000}"/>
    <cellStyle name="Normal 13 2 2 2 2" xfId="14692" xr:uid="{00000000-0005-0000-0000-000015840000}"/>
    <cellStyle name="Normal 13 2 2 2 2 2" xfId="22112" xr:uid="{00000000-0005-0000-0000-000016840000}"/>
    <cellStyle name="Normal 13 2 2 2 2 2 2" xfId="41454" xr:uid="{00000000-0005-0000-0000-000017840000}"/>
    <cellStyle name="Normal 13 2 2 2 2 3" xfId="34053" xr:uid="{00000000-0005-0000-0000-000018840000}"/>
    <cellStyle name="Normal 13 2 2 2 3" xfId="21320" xr:uid="{00000000-0005-0000-0000-000019840000}"/>
    <cellStyle name="Normal 13 2 2 2 3 2" xfId="40662" xr:uid="{00000000-0005-0000-0000-00001A840000}"/>
    <cellStyle name="Normal 13 2 2 2 4" xfId="33261" xr:uid="{00000000-0005-0000-0000-00001B840000}"/>
    <cellStyle name="Normal 13 2 2 3" xfId="14407" xr:uid="{00000000-0005-0000-0000-00001C840000}"/>
    <cellStyle name="Normal 13 2 2 3 2" xfId="21827" xr:uid="{00000000-0005-0000-0000-00001D840000}"/>
    <cellStyle name="Normal 13 2 2 3 2 2" xfId="41169" xr:uid="{00000000-0005-0000-0000-00001E840000}"/>
    <cellStyle name="Normal 13 2 2 3 3" xfId="33768" xr:uid="{00000000-0005-0000-0000-00001F840000}"/>
    <cellStyle name="Normal 13 2 2 4" xfId="21037" xr:uid="{00000000-0005-0000-0000-000020840000}"/>
    <cellStyle name="Normal 13 2 2 4 2" xfId="40379" xr:uid="{00000000-0005-0000-0000-000021840000}"/>
    <cellStyle name="Normal 13 2 2 5" xfId="32962" xr:uid="{00000000-0005-0000-0000-000022840000}"/>
    <cellStyle name="Normal 13 2 3" xfId="13784" xr:uid="{00000000-0005-0000-0000-000023840000}"/>
    <cellStyle name="Normal 13 2 3 2" xfId="14583" xr:uid="{00000000-0005-0000-0000-000024840000}"/>
    <cellStyle name="Normal 13 2 3 2 2" xfId="22003" xr:uid="{00000000-0005-0000-0000-000025840000}"/>
    <cellStyle name="Normal 13 2 3 2 2 2" xfId="41345" xr:uid="{00000000-0005-0000-0000-000026840000}"/>
    <cellStyle name="Normal 13 2 3 2 3" xfId="33944" xr:uid="{00000000-0005-0000-0000-000027840000}"/>
    <cellStyle name="Normal 13 2 3 3" xfId="21207" xr:uid="{00000000-0005-0000-0000-000028840000}"/>
    <cellStyle name="Normal 13 2 3 3 2" xfId="40549" xr:uid="{00000000-0005-0000-0000-000029840000}"/>
    <cellStyle name="Normal 13 2 3 4" xfId="33148" xr:uid="{00000000-0005-0000-0000-00002A840000}"/>
    <cellStyle name="Normal 13 2 4" xfId="14302" xr:uid="{00000000-0005-0000-0000-00002B840000}"/>
    <cellStyle name="Normal 13 2 4 2" xfId="21722" xr:uid="{00000000-0005-0000-0000-00002C840000}"/>
    <cellStyle name="Normal 13 2 4 2 2" xfId="41064" xr:uid="{00000000-0005-0000-0000-00002D840000}"/>
    <cellStyle name="Normal 13 2 4 3" xfId="33663" xr:uid="{00000000-0005-0000-0000-00002E840000}"/>
    <cellStyle name="Normal 13 2 5" xfId="20971" xr:uid="{00000000-0005-0000-0000-00002F840000}"/>
    <cellStyle name="Normal 13 2 5 2" xfId="40313" xr:uid="{00000000-0005-0000-0000-000030840000}"/>
    <cellStyle name="Normal 13 2 6" xfId="32850" xr:uid="{00000000-0005-0000-0000-000031840000}"/>
    <cellStyle name="Normal 13 3" xfId="13538" xr:uid="{00000000-0005-0000-0000-000032840000}"/>
    <cellStyle name="Normal 13 3 2" xfId="13838" xr:uid="{00000000-0005-0000-0000-000033840000}"/>
    <cellStyle name="Normal 13 3 2 2" xfId="14633" xr:uid="{00000000-0005-0000-0000-000034840000}"/>
    <cellStyle name="Normal 13 3 2 2 2" xfId="22053" xr:uid="{00000000-0005-0000-0000-000035840000}"/>
    <cellStyle name="Normal 13 3 2 2 2 2" xfId="41395" xr:uid="{00000000-0005-0000-0000-000036840000}"/>
    <cellStyle name="Normal 13 3 2 2 3" xfId="33994" xr:uid="{00000000-0005-0000-0000-000037840000}"/>
    <cellStyle name="Normal 13 3 2 3" xfId="21261" xr:uid="{00000000-0005-0000-0000-000038840000}"/>
    <cellStyle name="Normal 13 3 2 3 2" xfId="40603" xr:uid="{00000000-0005-0000-0000-000039840000}"/>
    <cellStyle name="Normal 13 3 2 4" xfId="33202" xr:uid="{00000000-0005-0000-0000-00003A840000}"/>
    <cellStyle name="Normal 13 3 3" xfId="14354" xr:uid="{00000000-0005-0000-0000-00003B840000}"/>
    <cellStyle name="Normal 13 3 3 2" xfId="21774" xr:uid="{00000000-0005-0000-0000-00003C840000}"/>
    <cellStyle name="Normal 13 3 3 2 2" xfId="41116" xr:uid="{00000000-0005-0000-0000-00003D840000}"/>
    <cellStyle name="Normal 13 3 3 3" xfId="33715" xr:uid="{00000000-0005-0000-0000-00003E840000}"/>
    <cellStyle name="Normal 13 3 4" xfId="21016" xr:uid="{00000000-0005-0000-0000-00003F840000}"/>
    <cellStyle name="Normal 13 3 4 2" xfId="40358" xr:uid="{00000000-0005-0000-0000-000040840000}"/>
    <cellStyle name="Normal 13 3 5" xfId="32912" xr:uid="{00000000-0005-0000-0000-000041840000}"/>
    <cellStyle name="Normal 13 4" xfId="13741" xr:uid="{00000000-0005-0000-0000-000042840000}"/>
    <cellStyle name="Normal 13 4 2" xfId="14544" xr:uid="{00000000-0005-0000-0000-000043840000}"/>
    <cellStyle name="Normal 13 4 2 2" xfId="21964" xr:uid="{00000000-0005-0000-0000-000044840000}"/>
    <cellStyle name="Normal 13 4 2 2 2" xfId="41306" xr:uid="{00000000-0005-0000-0000-000045840000}"/>
    <cellStyle name="Normal 13 4 2 3" xfId="33905" xr:uid="{00000000-0005-0000-0000-000046840000}"/>
    <cellStyle name="Normal 13 4 3" xfId="21165" xr:uid="{00000000-0005-0000-0000-000047840000}"/>
    <cellStyle name="Normal 13 4 3 2" xfId="40507" xr:uid="{00000000-0005-0000-0000-000048840000}"/>
    <cellStyle name="Normal 13 4 4" xfId="33106" xr:uid="{00000000-0005-0000-0000-000049840000}"/>
    <cellStyle name="Normal 13 5" xfId="14257" xr:uid="{00000000-0005-0000-0000-00004A840000}"/>
    <cellStyle name="Normal 13 5 2" xfId="21678" xr:uid="{00000000-0005-0000-0000-00004B840000}"/>
    <cellStyle name="Normal 13 5 2 2" xfId="41020" xr:uid="{00000000-0005-0000-0000-00004C840000}"/>
    <cellStyle name="Normal 13 5 3" xfId="33619" xr:uid="{00000000-0005-0000-0000-00004D840000}"/>
    <cellStyle name="Normal 13 6" xfId="13356" xr:uid="{00000000-0005-0000-0000-00004E840000}"/>
    <cellStyle name="Normal 13 6 2" xfId="32756" xr:uid="{00000000-0005-0000-0000-00004F840000}"/>
    <cellStyle name="Normal 13 7" xfId="20918" xr:uid="{00000000-0005-0000-0000-000050840000}"/>
    <cellStyle name="Normal 13 7 2" xfId="40263" xr:uid="{00000000-0005-0000-0000-000051840000}"/>
    <cellStyle name="Normal 14" xfId="2759" xr:uid="{00000000-0005-0000-0000-000052840000}"/>
    <cellStyle name="Normal 14 2" xfId="13417" xr:uid="{00000000-0005-0000-0000-000053840000}"/>
    <cellStyle name="Normal 14 2 2" xfId="42753" xr:uid="{984BADD9-93E1-42CD-A354-365A3CACA6CE}"/>
    <cellStyle name="Normal 15" xfId="2760" xr:uid="{00000000-0005-0000-0000-000054840000}"/>
    <cellStyle name="Normal 15 2" xfId="13493" xr:uid="{00000000-0005-0000-0000-000055840000}"/>
    <cellStyle name="Normal 16" xfId="3987" xr:uid="{00000000-0005-0000-0000-000056840000}"/>
    <cellStyle name="Normal 16 2" xfId="13496" xr:uid="{00000000-0005-0000-0000-000057840000}"/>
    <cellStyle name="Normal 17" xfId="4091" xr:uid="{00000000-0005-0000-0000-000058840000}"/>
    <cellStyle name="Normal 17 2" xfId="13414" xr:uid="{00000000-0005-0000-0000-000059840000}"/>
    <cellStyle name="Normal 18" xfId="4293" xr:uid="{00000000-0005-0000-0000-00005A840000}"/>
    <cellStyle name="Normal 18 2" xfId="4866" xr:uid="{00000000-0005-0000-0000-00005B840000}"/>
    <cellStyle name="Normal 18 2 2" xfId="5490" xr:uid="{00000000-0005-0000-0000-00005C840000}"/>
    <cellStyle name="Normal 18 2 2 2" xfId="6618" xr:uid="{00000000-0005-0000-0000-00005D840000}"/>
    <cellStyle name="Normal 18 2 2 2 2" xfId="8339" xr:uid="{00000000-0005-0000-0000-00005E840000}"/>
    <cellStyle name="Normal 18 2 2 2 2 2" xfId="12646" xr:uid="{00000000-0005-0000-0000-00005F840000}"/>
    <cellStyle name="Normal 18 2 2 2 2 2 2" xfId="32116" xr:uid="{00000000-0005-0000-0000-000060840000}"/>
    <cellStyle name="Normal 18 2 2 2 2 3" xfId="27819" xr:uid="{00000000-0005-0000-0000-000061840000}"/>
    <cellStyle name="Normal 18 2 2 2 3" xfId="11034" xr:uid="{00000000-0005-0000-0000-000062840000}"/>
    <cellStyle name="Normal 18 2 2 2 3 2" xfId="30504" xr:uid="{00000000-0005-0000-0000-000063840000}"/>
    <cellStyle name="Normal 18 2 2 2 4" xfId="26103" xr:uid="{00000000-0005-0000-0000-000064840000}"/>
    <cellStyle name="Normal 18 2 2 3" xfId="8338" xr:uid="{00000000-0005-0000-0000-000065840000}"/>
    <cellStyle name="Normal 18 2 2 3 2" xfId="12645" xr:uid="{00000000-0005-0000-0000-000066840000}"/>
    <cellStyle name="Normal 18 2 2 3 2 2" xfId="32115" xr:uid="{00000000-0005-0000-0000-000067840000}"/>
    <cellStyle name="Normal 18 2 2 3 3" xfId="27818" xr:uid="{00000000-0005-0000-0000-000068840000}"/>
    <cellStyle name="Normal 18 2 2 4" xfId="9973" xr:uid="{00000000-0005-0000-0000-000069840000}"/>
    <cellStyle name="Normal 18 2 2 4 2" xfId="29443" xr:uid="{00000000-0005-0000-0000-00006A840000}"/>
    <cellStyle name="Normal 18 2 2 5" xfId="24981" xr:uid="{00000000-0005-0000-0000-00006B840000}"/>
    <cellStyle name="Normal 18 2 3" xfId="6083" xr:uid="{00000000-0005-0000-0000-00006C840000}"/>
    <cellStyle name="Normal 18 2 3 2" xfId="8340" xr:uid="{00000000-0005-0000-0000-00006D840000}"/>
    <cellStyle name="Normal 18 2 3 2 2" xfId="12647" xr:uid="{00000000-0005-0000-0000-00006E840000}"/>
    <cellStyle name="Normal 18 2 3 2 2 2" xfId="32117" xr:uid="{00000000-0005-0000-0000-00006F840000}"/>
    <cellStyle name="Normal 18 2 3 2 3" xfId="27820" xr:uid="{00000000-0005-0000-0000-000070840000}"/>
    <cellStyle name="Normal 18 2 3 3" xfId="10503" xr:uid="{00000000-0005-0000-0000-000071840000}"/>
    <cellStyle name="Normal 18 2 3 3 2" xfId="29973" xr:uid="{00000000-0005-0000-0000-000072840000}"/>
    <cellStyle name="Normal 18 2 3 4" xfId="25568" xr:uid="{00000000-0005-0000-0000-000073840000}"/>
    <cellStyle name="Normal 18 2 4" xfId="8337" xr:uid="{00000000-0005-0000-0000-000074840000}"/>
    <cellStyle name="Normal 18 2 4 2" xfId="12644" xr:uid="{00000000-0005-0000-0000-000075840000}"/>
    <cellStyle name="Normal 18 2 4 2 2" xfId="32114" xr:uid="{00000000-0005-0000-0000-000076840000}"/>
    <cellStyle name="Normal 18 2 4 3" xfId="27817" xr:uid="{00000000-0005-0000-0000-000077840000}"/>
    <cellStyle name="Normal 18 2 5" xfId="9443" xr:uid="{00000000-0005-0000-0000-000078840000}"/>
    <cellStyle name="Normal 18 2 5 2" xfId="28913" xr:uid="{00000000-0005-0000-0000-000079840000}"/>
    <cellStyle name="Normal 18 2 6" xfId="24367" xr:uid="{00000000-0005-0000-0000-00007A840000}"/>
    <cellStyle name="Normal 18 3" xfId="5195" xr:uid="{00000000-0005-0000-0000-00007B840000}"/>
    <cellStyle name="Normal 18 3 2" xfId="6351" xr:uid="{00000000-0005-0000-0000-00007C840000}"/>
    <cellStyle name="Normal 18 3 2 2" xfId="8342" xr:uid="{00000000-0005-0000-0000-00007D840000}"/>
    <cellStyle name="Normal 18 3 2 2 2" xfId="12649" xr:uid="{00000000-0005-0000-0000-00007E840000}"/>
    <cellStyle name="Normal 18 3 2 2 2 2" xfId="32119" xr:uid="{00000000-0005-0000-0000-00007F840000}"/>
    <cellStyle name="Normal 18 3 2 2 3" xfId="27822" xr:uid="{00000000-0005-0000-0000-000080840000}"/>
    <cellStyle name="Normal 18 3 2 3" xfId="10768" xr:uid="{00000000-0005-0000-0000-000081840000}"/>
    <cellStyle name="Normal 18 3 2 3 2" xfId="30238" xr:uid="{00000000-0005-0000-0000-000082840000}"/>
    <cellStyle name="Normal 18 3 2 4" xfId="25836" xr:uid="{00000000-0005-0000-0000-000083840000}"/>
    <cellStyle name="Normal 18 3 3" xfId="8341" xr:uid="{00000000-0005-0000-0000-000084840000}"/>
    <cellStyle name="Normal 18 3 3 2" xfId="12648" xr:uid="{00000000-0005-0000-0000-000085840000}"/>
    <cellStyle name="Normal 18 3 3 2 2" xfId="32118" xr:uid="{00000000-0005-0000-0000-000086840000}"/>
    <cellStyle name="Normal 18 3 3 3" xfId="27821" xr:uid="{00000000-0005-0000-0000-000087840000}"/>
    <cellStyle name="Normal 18 3 4" xfId="9708" xr:uid="{00000000-0005-0000-0000-000088840000}"/>
    <cellStyle name="Normal 18 3 4 2" xfId="29178" xr:uid="{00000000-0005-0000-0000-000089840000}"/>
    <cellStyle name="Normal 18 3 5" xfId="24686" xr:uid="{00000000-0005-0000-0000-00008A840000}"/>
    <cellStyle name="Normal 18 4" xfId="5804" xr:uid="{00000000-0005-0000-0000-00008B840000}"/>
    <cellStyle name="Normal 18 4 2" xfId="8343" xr:uid="{00000000-0005-0000-0000-00008C840000}"/>
    <cellStyle name="Normal 18 4 2 2" xfId="12650" xr:uid="{00000000-0005-0000-0000-00008D840000}"/>
    <cellStyle name="Normal 18 4 2 2 2" xfId="32120" xr:uid="{00000000-0005-0000-0000-00008E840000}"/>
    <cellStyle name="Normal 18 4 2 3" xfId="27823" xr:uid="{00000000-0005-0000-0000-00008F840000}"/>
    <cellStyle name="Normal 18 4 3" xfId="10238" xr:uid="{00000000-0005-0000-0000-000090840000}"/>
    <cellStyle name="Normal 18 4 3 2" xfId="29708" xr:uid="{00000000-0005-0000-0000-000091840000}"/>
    <cellStyle name="Normal 18 4 4" xfId="25289" xr:uid="{00000000-0005-0000-0000-000092840000}"/>
    <cellStyle name="Normal 18 5" xfId="8336" xr:uid="{00000000-0005-0000-0000-000093840000}"/>
    <cellStyle name="Normal 18 5 2" xfId="12643" xr:uid="{00000000-0005-0000-0000-000094840000}"/>
    <cellStyle name="Normal 18 5 2 2" xfId="32113" xr:uid="{00000000-0005-0000-0000-000095840000}"/>
    <cellStyle name="Normal 18 5 3" xfId="27816" xr:uid="{00000000-0005-0000-0000-000096840000}"/>
    <cellStyle name="Normal 18 6" xfId="9177" xr:uid="{00000000-0005-0000-0000-000097840000}"/>
    <cellStyle name="Normal 18 6 2" xfId="28648" xr:uid="{00000000-0005-0000-0000-000098840000}"/>
    <cellStyle name="Normal 18 7" xfId="13545" xr:uid="{00000000-0005-0000-0000-000099840000}"/>
    <cellStyle name="Normal 18 8" xfId="24066" xr:uid="{00000000-0005-0000-0000-00009A840000}"/>
    <cellStyle name="Normal 19" xfId="8880" xr:uid="{00000000-0005-0000-0000-00009B840000}"/>
    <cellStyle name="Normal 19 2" xfId="13184" xr:uid="{00000000-0005-0000-0000-00009C840000}"/>
    <cellStyle name="Normal 19 2 2" xfId="32654" xr:uid="{00000000-0005-0000-0000-00009D840000}"/>
    <cellStyle name="Normal 19 3" xfId="13685" xr:uid="{00000000-0005-0000-0000-00009E840000}"/>
    <cellStyle name="Normal 19 4" xfId="28357" xr:uid="{00000000-0005-0000-0000-00009F840000}"/>
    <cellStyle name="Normal 2" xfId="1675" xr:uid="{00000000-0005-0000-0000-0000A0840000}"/>
    <cellStyle name="Normal 2 2" xfId="1994" xr:uid="{00000000-0005-0000-0000-0000A1840000}"/>
    <cellStyle name="Normal 2 2 2" xfId="4167" xr:uid="{00000000-0005-0000-0000-0000A2840000}"/>
    <cellStyle name="Normal 2 2 2 2" xfId="23970" xr:uid="{00000000-0005-0000-0000-0000A3840000}"/>
    <cellStyle name="Normal 2 3" xfId="2046" xr:uid="{00000000-0005-0000-0000-0000A4840000}"/>
    <cellStyle name="Normal 2 3 2" xfId="2151" xr:uid="{00000000-0005-0000-0000-0000A5840000}"/>
    <cellStyle name="Normal 2 3 3" xfId="4169" xr:uid="{00000000-0005-0000-0000-0000A6840000}"/>
    <cellStyle name="Normal 2 3 4" xfId="23472" xr:uid="{00000000-0005-0000-0000-0000A7840000}"/>
    <cellStyle name="Normal 2 4" xfId="2761" xr:uid="{00000000-0005-0000-0000-0000A8840000}"/>
    <cellStyle name="Normal 2 4 10" xfId="23582" xr:uid="{00000000-0005-0000-0000-0000A9840000}"/>
    <cellStyle name="Normal 2 4 2" xfId="2889" xr:uid="{00000000-0005-0000-0000-0000AA840000}"/>
    <cellStyle name="Normal 2 4 2 2" xfId="3083" xr:uid="{00000000-0005-0000-0000-0000AB840000}"/>
    <cellStyle name="Normal 2 4 2 2 2" xfId="4710" xr:uid="{00000000-0005-0000-0000-0000AC840000}"/>
    <cellStyle name="Normal 2 4 2 2 2 2" xfId="5344" xr:uid="{00000000-0005-0000-0000-0000AD840000}"/>
    <cellStyle name="Normal 2 4 2 2 2 2 2" xfId="6478" xr:uid="{00000000-0005-0000-0000-0000AE840000}"/>
    <cellStyle name="Normal 2 4 2 2 2 2 2 2" xfId="8349" xr:uid="{00000000-0005-0000-0000-0000AF840000}"/>
    <cellStyle name="Normal 2 4 2 2 2 2 2 2 2" xfId="12656" xr:uid="{00000000-0005-0000-0000-0000B0840000}"/>
    <cellStyle name="Normal 2 4 2 2 2 2 2 2 2 2" xfId="32126" xr:uid="{00000000-0005-0000-0000-0000B1840000}"/>
    <cellStyle name="Normal 2 4 2 2 2 2 2 2 3" xfId="27829" xr:uid="{00000000-0005-0000-0000-0000B2840000}"/>
    <cellStyle name="Normal 2 4 2 2 2 2 2 3" xfId="10894" xr:uid="{00000000-0005-0000-0000-0000B3840000}"/>
    <cellStyle name="Normal 2 4 2 2 2 2 2 3 2" xfId="30364" xr:uid="{00000000-0005-0000-0000-0000B4840000}"/>
    <cellStyle name="Normal 2 4 2 2 2 2 2 4" xfId="25963" xr:uid="{00000000-0005-0000-0000-0000B5840000}"/>
    <cellStyle name="Normal 2 4 2 2 2 2 3" xfId="8348" xr:uid="{00000000-0005-0000-0000-0000B6840000}"/>
    <cellStyle name="Normal 2 4 2 2 2 2 3 2" xfId="12655" xr:uid="{00000000-0005-0000-0000-0000B7840000}"/>
    <cellStyle name="Normal 2 4 2 2 2 2 3 2 2" xfId="32125" xr:uid="{00000000-0005-0000-0000-0000B8840000}"/>
    <cellStyle name="Normal 2 4 2 2 2 2 3 3" xfId="27828" xr:uid="{00000000-0005-0000-0000-0000B9840000}"/>
    <cellStyle name="Normal 2 4 2 2 2 2 4" xfId="9833" xr:uid="{00000000-0005-0000-0000-0000BA840000}"/>
    <cellStyle name="Normal 2 4 2 2 2 2 4 2" xfId="29303" xr:uid="{00000000-0005-0000-0000-0000BB840000}"/>
    <cellStyle name="Normal 2 4 2 2 2 2 5" xfId="24835" xr:uid="{00000000-0005-0000-0000-0000BC840000}"/>
    <cellStyle name="Normal 2 4 2 2 2 3" xfId="5941" xr:uid="{00000000-0005-0000-0000-0000BD840000}"/>
    <cellStyle name="Normal 2 4 2 2 2 3 2" xfId="8350" xr:uid="{00000000-0005-0000-0000-0000BE840000}"/>
    <cellStyle name="Normal 2 4 2 2 2 3 2 2" xfId="12657" xr:uid="{00000000-0005-0000-0000-0000BF840000}"/>
    <cellStyle name="Normal 2 4 2 2 2 3 2 2 2" xfId="32127" xr:uid="{00000000-0005-0000-0000-0000C0840000}"/>
    <cellStyle name="Normal 2 4 2 2 2 3 2 3" xfId="27830" xr:uid="{00000000-0005-0000-0000-0000C1840000}"/>
    <cellStyle name="Normal 2 4 2 2 2 3 3" xfId="10363" xr:uid="{00000000-0005-0000-0000-0000C2840000}"/>
    <cellStyle name="Normal 2 4 2 2 2 3 3 2" xfId="29833" xr:uid="{00000000-0005-0000-0000-0000C3840000}"/>
    <cellStyle name="Normal 2 4 2 2 2 3 4" xfId="25426" xr:uid="{00000000-0005-0000-0000-0000C4840000}"/>
    <cellStyle name="Normal 2 4 2 2 2 4" xfId="8347" xr:uid="{00000000-0005-0000-0000-0000C5840000}"/>
    <cellStyle name="Normal 2 4 2 2 2 4 2" xfId="12654" xr:uid="{00000000-0005-0000-0000-0000C6840000}"/>
    <cellStyle name="Normal 2 4 2 2 2 4 2 2" xfId="32124" xr:uid="{00000000-0005-0000-0000-0000C7840000}"/>
    <cellStyle name="Normal 2 4 2 2 2 4 3" xfId="27827" xr:uid="{00000000-0005-0000-0000-0000C8840000}"/>
    <cellStyle name="Normal 2 4 2 2 2 5" xfId="9303" xr:uid="{00000000-0005-0000-0000-0000C9840000}"/>
    <cellStyle name="Normal 2 4 2 2 2 5 2" xfId="28773" xr:uid="{00000000-0005-0000-0000-0000CA840000}"/>
    <cellStyle name="Normal 2 4 2 2 2 6" xfId="24221" xr:uid="{00000000-0005-0000-0000-0000CB840000}"/>
    <cellStyle name="Normal 2 4 2 2 3" xfId="5048" xr:uid="{00000000-0005-0000-0000-0000CC840000}"/>
    <cellStyle name="Normal 2 4 2 2 3 2" xfId="6210" xr:uid="{00000000-0005-0000-0000-0000CD840000}"/>
    <cellStyle name="Normal 2 4 2 2 3 2 2" xfId="8352" xr:uid="{00000000-0005-0000-0000-0000CE840000}"/>
    <cellStyle name="Normal 2 4 2 2 3 2 2 2" xfId="12659" xr:uid="{00000000-0005-0000-0000-0000CF840000}"/>
    <cellStyle name="Normal 2 4 2 2 3 2 2 2 2" xfId="32129" xr:uid="{00000000-0005-0000-0000-0000D0840000}"/>
    <cellStyle name="Normal 2 4 2 2 3 2 2 3" xfId="27832" xr:uid="{00000000-0005-0000-0000-0000D1840000}"/>
    <cellStyle name="Normal 2 4 2 2 3 2 3" xfId="10628" xr:uid="{00000000-0005-0000-0000-0000D2840000}"/>
    <cellStyle name="Normal 2 4 2 2 3 2 3 2" xfId="30098" xr:uid="{00000000-0005-0000-0000-0000D3840000}"/>
    <cellStyle name="Normal 2 4 2 2 3 2 4" xfId="25695" xr:uid="{00000000-0005-0000-0000-0000D4840000}"/>
    <cellStyle name="Normal 2 4 2 2 3 3" xfId="8351" xr:uid="{00000000-0005-0000-0000-0000D5840000}"/>
    <cellStyle name="Normal 2 4 2 2 3 3 2" xfId="12658" xr:uid="{00000000-0005-0000-0000-0000D6840000}"/>
    <cellStyle name="Normal 2 4 2 2 3 3 2 2" xfId="32128" xr:uid="{00000000-0005-0000-0000-0000D7840000}"/>
    <cellStyle name="Normal 2 4 2 2 3 3 3" xfId="27831" xr:uid="{00000000-0005-0000-0000-0000D8840000}"/>
    <cellStyle name="Normal 2 4 2 2 3 4" xfId="9568" xr:uid="{00000000-0005-0000-0000-0000D9840000}"/>
    <cellStyle name="Normal 2 4 2 2 3 4 2" xfId="29038" xr:uid="{00000000-0005-0000-0000-0000DA840000}"/>
    <cellStyle name="Normal 2 4 2 2 3 5" xfId="24542" xr:uid="{00000000-0005-0000-0000-0000DB840000}"/>
    <cellStyle name="Normal 2 4 2 2 4" xfId="5653" xr:uid="{00000000-0005-0000-0000-0000DC840000}"/>
    <cellStyle name="Normal 2 4 2 2 4 2" xfId="8353" xr:uid="{00000000-0005-0000-0000-0000DD840000}"/>
    <cellStyle name="Normal 2 4 2 2 4 2 2" xfId="12660" xr:uid="{00000000-0005-0000-0000-0000DE840000}"/>
    <cellStyle name="Normal 2 4 2 2 4 2 2 2" xfId="32130" xr:uid="{00000000-0005-0000-0000-0000DF840000}"/>
    <cellStyle name="Normal 2 4 2 2 4 2 3" xfId="27833" xr:uid="{00000000-0005-0000-0000-0000E0840000}"/>
    <cellStyle name="Normal 2 4 2 2 4 3" xfId="10098" xr:uid="{00000000-0005-0000-0000-0000E1840000}"/>
    <cellStyle name="Normal 2 4 2 2 4 3 2" xfId="29568" xr:uid="{00000000-0005-0000-0000-0000E2840000}"/>
    <cellStyle name="Normal 2 4 2 2 4 4" xfId="25140" xr:uid="{00000000-0005-0000-0000-0000E3840000}"/>
    <cellStyle name="Normal 2 4 2 2 5" xfId="8346" xr:uid="{00000000-0005-0000-0000-0000E4840000}"/>
    <cellStyle name="Normal 2 4 2 2 5 2" xfId="12653" xr:uid="{00000000-0005-0000-0000-0000E5840000}"/>
    <cellStyle name="Normal 2 4 2 2 5 2 2" xfId="32123" xr:uid="{00000000-0005-0000-0000-0000E6840000}"/>
    <cellStyle name="Normal 2 4 2 2 5 3" xfId="27826" xr:uid="{00000000-0005-0000-0000-0000E7840000}"/>
    <cellStyle name="Normal 2 4 2 2 6" xfId="9034" xr:uid="{00000000-0005-0000-0000-0000E8840000}"/>
    <cellStyle name="Normal 2 4 2 2 6 2" xfId="28508" xr:uid="{00000000-0005-0000-0000-0000E9840000}"/>
    <cellStyle name="Normal 2 4 2 2 7" xfId="23892" xr:uid="{00000000-0005-0000-0000-0000EA840000}"/>
    <cellStyle name="Normal 2 4 2 3" xfId="4270" xr:uid="{00000000-0005-0000-0000-0000EB840000}"/>
    <cellStyle name="Normal 2 4 2 3 2" xfId="4845" xr:uid="{00000000-0005-0000-0000-0000EC840000}"/>
    <cellStyle name="Normal 2 4 2 3 2 2" xfId="5470" xr:uid="{00000000-0005-0000-0000-0000ED840000}"/>
    <cellStyle name="Normal 2 4 2 3 2 2 2" xfId="6598" xr:uid="{00000000-0005-0000-0000-0000EE840000}"/>
    <cellStyle name="Normal 2 4 2 3 2 2 2 2" xfId="8357" xr:uid="{00000000-0005-0000-0000-0000EF840000}"/>
    <cellStyle name="Normal 2 4 2 3 2 2 2 2 2" xfId="12664" xr:uid="{00000000-0005-0000-0000-0000F0840000}"/>
    <cellStyle name="Normal 2 4 2 3 2 2 2 2 2 2" xfId="32134" xr:uid="{00000000-0005-0000-0000-0000F1840000}"/>
    <cellStyle name="Normal 2 4 2 3 2 2 2 2 3" xfId="27837" xr:uid="{00000000-0005-0000-0000-0000F2840000}"/>
    <cellStyle name="Normal 2 4 2 3 2 2 2 3" xfId="11014" xr:uid="{00000000-0005-0000-0000-0000F3840000}"/>
    <cellStyle name="Normal 2 4 2 3 2 2 2 3 2" xfId="30484" xr:uid="{00000000-0005-0000-0000-0000F4840000}"/>
    <cellStyle name="Normal 2 4 2 3 2 2 2 4" xfId="26083" xr:uid="{00000000-0005-0000-0000-0000F5840000}"/>
    <cellStyle name="Normal 2 4 2 3 2 2 3" xfId="8356" xr:uid="{00000000-0005-0000-0000-0000F6840000}"/>
    <cellStyle name="Normal 2 4 2 3 2 2 3 2" xfId="12663" xr:uid="{00000000-0005-0000-0000-0000F7840000}"/>
    <cellStyle name="Normal 2 4 2 3 2 2 3 2 2" xfId="32133" xr:uid="{00000000-0005-0000-0000-0000F8840000}"/>
    <cellStyle name="Normal 2 4 2 3 2 2 3 3" xfId="27836" xr:uid="{00000000-0005-0000-0000-0000F9840000}"/>
    <cellStyle name="Normal 2 4 2 3 2 2 4" xfId="9953" xr:uid="{00000000-0005-0000-0000-0000FA840000}"/>
    <cellStyle name="Normal 2 4 2 3 2 2 4 2" xfId="29423" xr:uid="{00000000-0005-0000-0000-0000FB840000}"/>
    <cellStyle name="Normal 2 4 2 3 2 2 5" xfId="24961" xr:uid="{00000000-0005-0000-0000-0000FC840000}"/>
    <cellStyle name="Normal 2 4 2 3 2 3" xfId="6063" xr:uid="{00000000-0005-0000-0000-0000FD840000}"/>
    <cellStyle name="Normal 2 4 2 3 2 3 2" xfId="8358" xr:uid="{00000000-0005-0000-0000-0000FE840000}"/>
    <cellStyle name="Normal 2 4 2 3 2 3 2 2" xfId="12665" xr:uid="{00000000-0005-0000-0000-0000FF840000}"/>
    <cellStyle name="Normal 2 4 2 3 2 3 2 2 2" xfId="32135" xr:uid="{00000000-0005-0000-0000-000000850000}"/>
    <cellStyle name="Normal 2 4 2 3 2 3 2 3" xfId="27838" xr:uid="{00000000-0005-0000-0000-000001850000}"/>
    <cellStyle name="Normal 2 4 2 3 2 3 3" xfId="10483" xr:uid="{00000000-0005-0000-0000-000002850000}"/>
    <cellStyle name="Normal 2 4 2 3 2 3 3 2" xfId="29953" xr:uid="{00000000-0005-0000-0000-000003850000}"/>
    <cellStyle name="Normal 2 4 2 3 2 3 4" xfId="25548" xr:uid="{00000000-0005-0000-0000-000004850000}"/>
    <cellStyle name="Normal 2 4 2 3 2 4" xfId="8355" xr:uid="{00000000-0005-0000-0000-000005850000}"/>
    <cellStyle name="Normal 2 4 2 3 2 4 2" xfId="12662" xr:uid="{00000000-0005-0000-0000-000006850000}"/>
    <cellStyle name="Normal 2 4 2 3 2 4 2 2" xfId="32132" xr:uid="{00000000-0005-0000-0000-000007850000}"/>
    <cellStyle name="Normal 2 4 2 3 2 4 3" xfId="27835" xr:uid="{00000000-0005-0000-0000-000008850000}"/>
    <cellStyle name="Normal 2 4 2 3 2 5" xfId="9423" xr:uid="{00000000-0005-0000-0000-000009850000}"/>
    <cellStyle name="Normal 2 4 2 3 2 5 2" xfId="28893" xr:uid="{00000000-0005-0000-0000-00000A850000}"/>
    <cellStyle name="Normal 2 4 2 3 2 6" xfId="24347" xr:uid="{00000000-0005-0000-0000-00000B850000}"/>
    <cellStyle name="Normal 2 4 2 3 3" xfId="5175" xr:uid="{00000000-0005-0000-0000-00000C850000}"/>
    <cellStyle name="Normal 2 4 2 3 3 2" xfId="6331" xr:uid="{00000000-0005-0000-0000-00000D850000}"/>
    <cellStyle name="Normal 2 4 2 3 3 2 2" xfId="8360" xr:uid="{00000000-0005-0000-0000-00000E850000}"/>
    <cellStyle name="Normal 2 4 2 3 3 2 2 2" xfId="12667" xr:uid="{00000000-0005-0000-0000-00000F850000}"/>
    <cellStyle name="Normal 2 4 2 3 3 2 2 2 2" xfId="32137" xr:uid="{00000000-0005-0000-0000-000010850000}"/>
    <cellStyle name="Normal 2 4 2 3 3 2 2 3" xfId="27840" xr:uid="{00000000-0005-0000-0000-000011850000}"/>
    <cellStyle name="Normal 2 4 2 3 3 2 3" xfId="10748" xr:uid="{00000000-0005-0000-0000-000012850000}"/>
    <cellStyle name="Normal 2 4 2 3 3 2 3 2" xfId="30218" xr:uid="{00000000-0005-0000-0000-000013850000}"/>
    <cellStyle name="Normal 2 4 2 3 3 2 4" xfId="25816" xr:uid="{00000000-0005-0000-0000-000014850000}"/>
    <cellStyle name="Normal 2 4 2 3 3 3" xfId="8359" xr:uid="{00000000-0005-0000-0000-000015850000}"/>
    <cellStyle name="Normal 2 4 2 3 3 3 2" xfId="12666" xr:uid="{00000000-0005-0000-0000-000016850000}"/>
    <cellStyle name="Normal 2 4 2 3 3 3 2 2" xfId="32136" xr:uid="{00000000-0005-0000-0000-000017850000}"/>
    <cellStyle name="Normal 2 4 2 3 3 3 3" xfId="27839" xr:uid="{00000000-0005-0000-0000-000018850000}"/>
    <cellStyle name="Normal 2 4 2 3 3 4" xfId="9688" xr:uid="{00000000-0005-0000-0000-000019850000}"/>
    <cellStyle name="Normal 2 4 2 3 3 4 2" xfId="29158" xr:uid="{00000000-0005-0000-0000-00001A850000}"/>
    <cellStyle name="Normal 2 4 2 3 3 5" xfId="24666" xr:uid="{00000000-0005-0000-0000-00001B850000}"/>
    <cellStyle name="Normal 2 4 2 3 4" xfId="5784" xr:uid="{00000000-0005-0000-0000-00001C850000}"/>
    <cellStyle name="Normal 2 4 2 3 4 2" xfId="8361" xr:uid="{00000000-0005-0000-0000-00001D850000}"/>
    <cellStyle name="Normal 2 4 2 3 4 2 2" xfId="12668" xr:uid="{00000000-0005-0000-0000-00001E850000}"/>
    <cellStyle name="Normal 2 4 2 3 4 2 2 2" xfId="32138" xr:uid="{00000000-0005-0000-0000-00001F850000}"/>
    <cellStyle name="Normal 2 4 2 3 4 2 3" xfId="27841" xr:uid="{00000000-0005-0000-0000-000020850000}"/>
    <cellStyle name="Normal 2 4 2 3 4 3" xfId="10218" xr:uid="{00000000-0005-0000-0000-000021850000}"/>
    <cellStyle name="Normal 2 4 2 3 4 3 2" xfId="29688" xr:uid="{00000000-0005-0000-0000-000022850000}"/>
    <cellStyle name="Normal 2 4 2 3 4 4" xfId="25269" xr:uid="{00000000-0005-0000-0000-000023850000}"/>
    <cellStyle name="Normal 2 4 2 3 5" xfId="8354" xr:uid="{00000000-0005-0000-0000-000024850000}"/>
    <cellStyle name="Normal 2 4 2 3 5 2" xfId="12661" xr:uid="{00000000-0005-0000-0000-000025850000}"/>
    <cellStyle name="Normal 2 4 2 3 5 2 2" xfId="32131" xr:uid="{00000000-0005-0000-0000-000026850000}"/>
    <cellStyle name="Normal 2 4 2 3 5 3" xfId="27834" xr:uid="{00000000-0005-0000-0000-000027850000}"/>
    <cellStyle name="Normal 2 4 2 3 6" xfId="9157" xr:uid="{00000000-0005-0000-0000-000028850000}"/>
    <cellStyle name="Normal 2 4 2 3 6 2" xfId="28628" xr:uid="{00000000-0005-0000-0000-000029850000}"/>
    <cellStyle name="Normal 2 4 2 3 7" xfId="24046" xr:uid="{00000000-0005-0000-0000-00002A850000}"/>
    <cellStyle name="Normal 2 4 2 4" xfId="4638" xr:uid="{00000000-0005-0000-0000-00002B850000}"/>
    <cellStyle name="Normal 2 4 2 4 2" xfId="5278" xr:uid="{00000000-0005-0000-0000-00002C850000}"/>
    <cellStyle name="Normal 2 4 2 4 2 2" xfId="6412" xr:uid="{00000000-0005-0000-0000-00002D850000}"/>
    <cellStyle name="Normal 2 4 2 4 2 2 2" xfId="8364" xr:uid="{00000000-0005-0000-0000-00002E850000}"/>
    <cellStyle name="Normal 2 4 2 4 2 2 2 2" xfId="12671" xr:uid="{00000000-0005-0000-0000-00002F850000}"/>
    <cellStyle name="Normal 2 4 2 4 2 2 2 2 2" xfId="32141" xr:uid="{00000000-0005-0000-0000-000030850000}"/>
    <cellStyle name="Normal 2 4 2 4 2 2 2 3" xfId="27844" xr:uid="{00000000-0005-0000-0000-000031850000}"/>
    <cellStyle name="Normal 2 4 2 4 2 2 3" xfId="10828" xr:uid="{00000000-0005-0000-0000-000032850000}"/>
    <cellStyle name="Normal 2 4 2 4 2 2 3 2" xfId="30298" xr:uid="{00000000-0005-0000-0000-000033850000}"/>
    <cellStyle name="Normal 2 4 2 4 2 2 4" xfId="25897" xr:uid="{00000000-0005-0000-0000-000034850000}"/>
    <cellStyle name="Normal 2 4 2 4 2 3" xfId="8363" xr:uid="{00000000-0005-0000-0000-000035850000}"/>
    <cellStyle name="Normal 2 4 2 4 2 3 2" xfId="12670" xr:uid="{00000000-0005-0000-0000-000036850000}"/>
    <cellStyle name="Normal 2 4 2 4 2 3 2 2" xfId="32140" xr:uid="{00000000-0005-0000-0000-000037850000}"/>
    <cellStyle name="Normal 2 4 2 4 2 3 3" xfId="27843" xr:uid="{00000000-0005-0000-0000-000038850000}"/>
    <cellStyle name="Normal 2 4 2 4 2 4" xfId="9767" xr:uid="{00000000-0005-0000-0000-000039850000}"/>
    <cellStyle name="Normal 2 4 2 4 2 4 2" xfId="29237" xr:uid="{00000000-0005-0000-0000-00003A850000}"/>
    <cellStyle name="Normal 2 4 2 4 2 5" xfId="24769" xr:uid="{00000000-0005-0000-0000-00003B850000}"/>
    <cellStyle name="Normal 2 4 2 4 3" xfId="5875" xr:uid="{00000000-0005-0000-0000-00003C850000}"/>
    <cellStyle name="Normal 2 4 2 4 3 2" xfId="8365" xr:uid="{00000000-0005-0000-0000-00003D850000}"/>
    <cellStyle name="Normal 2 4 2 4 3 2 2" xfId="12672" xr:uid="{00000000-0005-0000-0000-00003E850000}"/>
    <cellStyle name="Normal 2 4 2 4 3 2 2 2" xfId="32142" xr:uid="{00000000-0005-0000-0000-00003F850000}"/>
    <cellStyle name="Normal 2 4 2 4 3 2 3" xfId="27845" xr:uid="{00000000-0005-0000-0000-000040850000}"/>
    <cellStyle name="Normal 2 4 2 4 3 3" xfId="10297" xr:uid="{00000000-0005-0000-0000-000041850000}"/>
    <cellStyle name="Normal 2 4 2 4 3 3 2" xfId="29767" xr:uid="{00000000-0005-0000-0000-000042850000}"/>
    <cellStyle name="Normal 2 4 2 4 3 4" xfId="25360" xr:uid="{00000000-0005-0000-0000-000043850000}"/>
    <cellStyle name="Normal 2 4 2 4 4" xfId="8362" xr:uid="{00000000-0005-0000-0000-000044850000}"/>
    <cellStyle name="Normal 2 4 2 4 4 2" xfId="12669" xr:uid="{00000000-0005-0000-0000-000045850000}"/>
    <cellStyle name="Normal 2 4 2 4 4 2 2" xfId="32139" xr:uid="{00000000-0005-0000-0000-000046850000}"/>
    <cellStyle name="Normal 2 4 2 4 4 3" xfId="27842" xr:uid="{00000000-0005-0000-0000-000047850000}"/>
    <cellStyle name="Normal 2 4 2 4 5" xfId="9237" xr:uid="{00000000-0005-0000-0000-000048850000}"/>
    <cellStyle name="Normal 2 4 2 4 5 2" xfId="28707" xr:uid="{00000000-0005-0000-0000-000049850000}"/>
    <cellStyle name="Normal 2 4 2 4 6" xfId="24149" xr:uid="{00000000-0005-0000-0000-00004A850000}"/>
    <cellStyle name="Normal 2 4 2 5" xfId="4982" xr:uid="{00000000-0005-0000-0000-00004B850000}"/>
    <cellStyle name="Normal 2 4 2 5 2" xfId="6144" xr:uid="{00000000-0005-0000-0000-00004C850000}"/>
    <cellStyle name="Normal 2 4 2 5 2 2" xfId="8367" xr:uid="{00000000-0005-0000-0000-00004D850000}"/>
    <cellStyle name="Normal 2 4 2 5 2 2 2" xfId="12674" xr:uid="{00000000-0005-0000-0000-00004E850000}"/>
    <cellStyle name="Normal 2 4 2 5 2 2 2 2" xfId="32144" xr:uid="{00000000-0005-0000-0000-00004F850000}"/>
    <cellStyle name="Normal 2 4 2 5 2 2 3" xfId="27847" xr:uid="{00000000-0005-0000-0000-000050850000}"/>
    <cellStyle name="Normal 2 4 2 5 2 3" xfId="10562" xr:uid="{00000000-0005-0000-0000-000051850000}"/>
    <cellStyle name="Normal 2 4 2 5 2 3 2" xfId="30032" xr:uid="{00000000-0005-0000-0000-000052850000}"/>
    <cellStyle name="Normal 2 4 2 5 2 4" xfId="25629" xr:uid="{00000000-0005-0000-0000-000053850000}"/>
    <cellStyle name="Normal 2 4 2 5 3" xfId="8366" xr:uid="{00000000-0005-0000-0000-000054850000}"/>
    <cellStyle name="Normal 2 4 2 5 3 2" xfId="12673" xr:uid="{00000000-0005-0000-0000-000055850000}"/>
    <cellStyle name="Normal 2 4 2 5 3 2 2" xfId="32143" xr:uid="{00000000-0005-0000-0000-000056850000}"/>
    <cellStyle name="Normal 2 4 2 5 3 3" xfId="27846" xr:uid="{00000000-0005-0000-0000-000057850000}"/>
    <cellStyle name="Normal 2 4 2 5 4" xfId="9502" xr:uid="{00000000-0005-0000-0000-000058850000}"/>
    <cellStyle name="Normal 2 4 2 5 4 2" xfId="28972" xr:uid="{00000000-0005-0000-0000-000059850000}"/>
    <cellStyle name="Normal 2 4 2 5 5" xfId="24476" xr:uid="{00000000-0005-0000-0000-00005A850000}"/>
    <cellStyle name="Normal 2 4 2 6" xfId="5587" xr:uid="{00000000-0005-0000-0000-00005B850000}"/>
    <cellStyle name="Normal 2 4 2 6 2" xfId="8368" xr:uid="{00000000-0005-0000-0000-00005C850000}"/>
    <cellStyle name="Normal 2 4 2 6 2 2" xfId="12675" xr:uid="{00000000-0005-0000-0000-00005D850000}"/>
    <cellStyle name="Normal 2 4 2 6 2 2 2" xfId="32145" xr:uid="{00000000-0005-0000-0000-00005E850000}"/>
    <cellStyle name="Normal 2 4 2 6 2 3" xfId="27848" xr:uid="{00000000-0005-0000-0000-00005F850000}"/>
    <cellStyle name="Normal 2 4 2 6 3" xfId="10032" xr:uid="{00000000-0005-0000-0000-000060850000}"/>
    <cellStyle name="Normal 2 4 2 6 3 2" xfId="29502" xr:uid="{00000000-0005-0000-0000-000061850000}"/>
    <cellStyle name="Normal 2 4 2 6 4" xfId="25074" xr:uid="{00000000-0005-0000-0000-000062850000}"/>
    <cellStyle name="Normal 2 4 2 7" xfId="8345" xr:uid="{00000000-0005-0000-0000-000063850000}"/>
    <cellStyle name="Normal 2 4 2 7 2" xfId="12652" xr:uid="{00000000-0005-0000-0000-000064850000}"/>
    <cellStyle name="Normal 2 4 2 7 2 2" xfId="32122" xr:uid="{00000000-0005-0000-0000-000065850000}"/>
    <cellStyle name="Normal 2 4 2 7 3" xfId="27825" xr:uid="{00000000-0005-0000-0000-000066850000}"/>
    <cellStyle name="Normal 2 4 2 8" xfId="8968" xr:uid="{00000000-0005-0000-0000-000067850000}"/>
    <cellStyle name="Normal 2 4 2 8 2" xfId="28442" xr:uid="{00000000-0005-0000-0000-000068850000}"/>
    <cellStyle name="Normal 2 4 2 9" xfId="23700" xr:uid="{00000000-0005-0000-0000-000069850000}"/>
    <cellStyle name="Normal 2 4 3" xfId="2965" xr:uid="{00000000-0005-0000-0000-00006A850000}"/>
    <cellStyle name="Normal 2 4 3 2" xfId="4672" xr:uid="{00000000-0005-0000-0000-00006B850000}"/>
    <cellStyle name="Normal 2 4 3 2 2" xfId="5312" xr:uid="{00000000-0005-0000-0000-00006C850000}"/>
    <cellStyle name="Normal 2 4 3 2 2 2" xfId="6446" xr:uid="{00000000-0005-0000-0000-00006D850000}"/>
    <cellStyle name="Normal 2 4 3 2 2 2 2" xfId="8372" xr:uid="{00000000-0005-0000-0000-00006E850000}"/>
    <cellStyle name="Normal 2 4 3 2 2 2 2 2" xfId="12679" xr:uid="{00000000-0005-0000-0000-00006F850000}"/>
    <cellStyle name="Normal 2 4 3 2 2 2 2 2 2" xfId="32149" xr:uid="{00000000-0005-0000-0000-000070850000}"/>
    <cellStyle name="Normal 2 4 3 2 2 2 2 3" xfId="27852" xr:uid="{00000000-0005-0000-0000-000071850000}"/>
    <cellStyle name="Normal 2 4 3 2 2 2 3" xfId="10862" xr:uid="{00000000-0005-0000-0000-000072850000}"/>
    <cellStyle name="Normal 2 4 3 2 2 2 3 2" xfId="30332" xr:uid="{00000000-0005-0000-0000-000073850000}"/>
    <cellStyle name="Normal 2 4 3 2 2 2 4" xfId="25931" xr:uid="{00000000-0005-0000-0000-000074850000}"/>
    <cellStyle name="Normal 2 4 3 2 2 3" xfId="8371" xr:uid="{00000000-0005-0000-0000-000075850000}"/>
    <cellStyle name="Normal 2 4 3 2 2 3 2" xfId="12678" xr:uid="{00000000-0005-0000-0000-000076850000}"/>
    <cellStyle name="Normal 2 4 3 2 2 3 2 2" xfId="32148" xr:uid="{00000000-0005-0000-0000-000077850000}"/>
    <cellStyle name="Normal 2 4 3 2 2 3 3" xfId="27851" xr:uid="{00000000-0005-0000-0000-000078850000}"/>
    <cellStyle name="Normal 2 4 3 2 2 4" xfId="9801" xr:uid="{00000000-0005-0000-0000-000079850000}"/>
    <cellStyle name="Normal 2 4 3 2 2 4 2" xfId="29271" xr:uid="{00000000-0005-0000-0000-00007A850000}"/>
    <cellStyle name="Normal 2 4 3 2 2 5" xfId="24803" xr:uid="{00000000-0005-0000-0000-00007B850000}"/>
    <cellStyle name="Normal 2 4 3 2 3" xfId="5909" xr:uid="{00000000-0005-0000-0000-00007C850000}"/>
    <cellStyle name="Normal 2 4 3 2 3 2" xfId="8373" xr:uid="{00000000-0005-0000-0000-00007D850000}"/>
    <cellStyle name="Normal 2 4 3 2 3 2 2" xfId="12680" xr:uid="{00000000-0005-0000-0000-00007E850000}"/>
    <cellStyle name="Normal 2 4 3 2 3 2 2 2" xfId="32150" xr:uid="{00000000-0005-0000-0000-00007F850000}"/>
    <cellStyle name="Normal 2 4 3 2 3 2 3" xfId="27853" xr:uid="{00000000-0005-0000-0000-000080850000}"/>
    <cellStyle name="Normal 2 4 3 2 3 3" xfId="10331" xr:uid="{00000000-0005-0000-0000-000081850000}"/>
    <cellStyle name="Normal 2 4 3 2 3 3 2" xfId="29801" xr:uid="{00000000-0005-0000-0000-000082850000}"/>
    <cellStyle name="Normal 2 4 3 2 3 4" xfId="25394" xr:uid="{00000000-0005-0000-0000-000083850000}"/>
    <cellStyle name="Normal 2 4 3 2 4" xfId="8370" xr:uid="{00000000-0005-0000-0000-000084850000}"/>
    <cellStyle name="Normal 2 4 3 2 4 2" xfId="12677" xr:uid="{00000000-0005-0000-0000-000085850000}"/>
    <cellStyle name="Normal 2 4 3 2 4 2 2" xfId="32147" xr:uid="{00000000-0005-0000-0000-000086850000}"/>
    <cellStyle name="Normal 2 4 3 2 4 3" xfId="27850" xr:uid="{00000000-0005-0000-0000-000087850000}"/>
    <cellStyle name="Normal 2 4 3 2 5" xfId="9271" xr:uid="{00000000-0005-0000-0000-000088850000}"/>
    <cellStyle name="Normal 2 4 3 2 5 2" xfId="28741" xr:uid="{00000000-0005-0000-0000-000089850000}"/>
    <cellStyle name="Normal 2 4 3 2 6" xfId="24183" xr:uid="{00000000-0005-0000-0000-00008A850000}"/>
    <cellStyle name="Normal 2 4 3 3" xfId="5016" xr:uid="{00000000-0005-0000-0000-00008B850000}"/>
    <cellStyle name="Normal 2 4 3 3 2" xfId="6178" xr:uid="{00000000-0005-0000-0000-00008C850000}"/>
    <cellStyle name="Normal 2 4 3 3 2 2" xfId="8375" xr:uid="{00000000-0005-0000-0000-00008D850000}"/>
    <cellStyle name="Normal 2 4 3 3 2 2 2" xfId="12682" xr:uid="{00000000-0005-0000-0000-00008E850000}"/>
    <cellStyle name="Normal 2 4 3 3 2 2 2 2" xfId="32152" xr:uid="{00000000-0005-0000-0000-00008F850000}"/>
    <cellStyle name="Normal 2 4 3 3 2 2 3" xfId="27855" xr:uid="{00000000-0005-0000-0000-000090850000}"/>
    <cellStyle name="Normal 2 4 3 3 2 3" xfId="10596" xr:uid="{00000000-0005-0000-0000-000091850000}"/>
    <cellStyle name="Normal 2 4 3 3 2 3 2" xfId="30066" xr:uid="{00000000-0005-0000-0000-000092850000}"/>
    <cellStyle name="Normal 2 4 3 3 2 4" xfId="25663" xr:uid="{00000000-0005-0000-0000-000093850000}"/>
    <cellStyle name="Normal 2 4 3 3 3" xfId="8374" xr:uid="{00000000-0005-0000-0000-000094850000}"/>
    <cellStyle name="Normal 2 4 3 3 3 2" xfId="12681" xr:uid="{00000000-0005-0000-0000-000095850000}"/>
    <cellStyle name="Normal 2 4 3 3 3 2 2" xfId="32151" xr:uid="{00000000-0005-0000-0000-000096850000}"/>
    <cellStyle name="Normal 2 4 3 3 3 3" xfId="27854" xr:uid="{00000000-0005-0000-0000-000097850000}"/>
    <cellStyle name="Normal 2 4 3 3 4" xfId="9536" xr:uid="{00000000-0005-0000-0000-000098850000}"/>
    <cellStyle name="Normal 2 4 3 3 4 2" xfId="29006" xr:uid="{00000000-0005-0000-0000-000099850000}"/>
    <cellStyle name="Normal 2 4 3 3 5" xfId="24510" xr:uid="{00000000-0005-0000-0000-00009A850000}"/>
    <cellStyle name="Normal 2 4 3 4" xfId="5621" xr:uid="{00000000-0005-0000-0000-00009B850000}"/>
    <cellStyle name="Normal 2 4 3 4 2" xfId="8376" xr:uid="{00000000-0005-0000-0000-00009C850000}"/>
    <cellStyle name="Normal 2 4 3 4 2 2" xfId="12683" xr:uid="{00000000-0005-0000-0000-00009D850000}"/>
    <cellStyle name="Normal 2 4 3 4 2 2 2" xfId="32153" xr:uid="{00000000-0005-0000-0000-00009E850000}"/>
    <cellStyle name="Normal 2 4 3 4 2 3" xfId="27856" xr:uid="{00000000-0005-0000-0000-00009F850000}"/>
    <cellStyle name="Normal 2 4 3 4 3" xfId="10066" xr:uid="{00000000-0005-0000-0000-0000A0850000}"/>
    <cellStyle name="Normal 2 4 3 4 3 2" xfId="29536" xr:uid="{00000000-0005-0000-0000-0000A1850000}"/>
    <cellStyle name="Normal 2 4 3 4 4" xfId="25108" xr:uid="{00000000-0005-0000-0000-0000A2850000}"/>
    <cellStyle name="Normal 2 4 3 5" xfId="8369" xr:uid="{00000000-0005-0000-0000-0000A3850000}"/>
    <cellStyle name="Normal 2 4 3 5 2" xfId="12676" xr:uid="{00000000-0005-0000-0000-0000A4850000}"/>
    <cellStyle name="Normal 2 4 3 5 2 2" xfId="32146" xr:uid="{00000000-0005-0000-0000-0000A5850000}"/>
    <cellStyle name="Normal 2 4 3 5 3" xfId="27849" xr:uid="{00000000-0005-0000-0000-0000A6850000}"/>
    <cellStyle name="Normal 2 4 3 6" xfId="9002" xr:uid="{00000000-0005-0000-0000-0000A7850000}"/>
    <cellStyle name="Normal 2 4 3 6 2" xfId="28476" xr:uid="{00000000-0005-0000-0000-0000A8850000}"/>
    <cellStyle name="Normal 2 4 3 7" xfId="23774" xr:uid="{00000000-0005-0000-0000-0000A9850000}"/>
    <cellStyle name="Normal 2 4 4" xfId="4215" xr:uid="{00000000-0005-0000-0000-0000AA850000}"/>
    <cellStyle name="Normal 2 4 4 2" xfId="4790" xr:uid="{00000000-0005-0000-0000-0000AB850000}"/>
    <cellStyle name="Normal 2 4 4 2 2" xfId="5416" xr:uid="{00000000-0005-0000-0000-0000AC850000}"/>
    <cellStyle name="Normal 2 4 4 2 2 2" xfId="6544" xr:uid="{00000000-0005-0000-0000-0000AD850000}"/>
    <cellStyle name="Normal 2 4 4 2 2 2 2" xfId="8380" xr:uid="{00000000-0005-0000-0000-0000AE850000}"/>
    <cellStyle name="Normal 2 4 4 2 2 2 2 2" xfId="12687" xr:uid="{00000000-0005-0000-0000-0000AF850000}"/>
    <cellStyle name="Normal 2 4 4 2 2 2 2 2 2" xfId="32157" xr:uid="{00000000-0005-0000-0000-0000B0850000}"/>
    <cellStyle name="Normal 2 4 4 2 2 2 2 3" xfId="27860" xr:uid="{00000000-0005-0000-0000-0000B1850000}"/>
    <cellStyle name="Normal 2 4 4 2 2 2 3" xfId="10960" xr:uid="{00000000-0005-0000-0000-0000B2850000}"/>
    <cellStyle name="Normal 2 4 4 2 2 2 3 2" xfId="30430" xr:uid="{00000000-0005-0000-0000-0000B3850000}"/>
    <cellStyle name="Normal 2 4 4 2 2 2 4" xfId="26029" xr:uid="{00000000-0005-0000-0000-0000B4850000}"/>
    <cellStyle name="Normal 2 4 4 2 2 3" xfId="8379" xr:uid="{00000000-0005-0000-0000-0000B5850000}"/>
    <cellStyle name="Normal 2 4 4 2 2 3 2" xfId="12686" xr:uid="{00000000-0005-0000-0000-0000B6850000}"/>
    <cellStyle name="Normal 2 4 4 2 2 3 2 2" xfId="32156" xr:uid="{00000000-0005-0000-0000-0000B7850000}"/>
    <cellStyle name="Normal 2 4 4 2 2 3 3" xfId="27859" xr:uid="{00000000-0005-0000-0000-0000B8850000}"/>
    <cellStyle name="Normal 2 4 4 2 2 4" xfId="9899" xr:uid="{00000000-0005-0000-0000-0000B9850000}"/>
    <cellStyle name="Normal 2 4 4 2 2 4 2" xfId="29369" xr:uid="{00000000-0005-0000-0000-0000BA850000}"/>
    <cellStyle name="Normal 2 4 4 2 2 5" xfId="24907" xr:uid="{00000000-0005-0000-0000-0000BB850000}"/>
    <cellStyle name="Normal 2 4 4 2 3" xfId="6008" xr:uid="{00000000-0005-0000-0000-0000BC850000}"/>
    <cellStyle name="Normal 2 4 4 2 3 2" xfId="8381" xr:uid="{00000000-0005-0000-0000-0000BD850000}"/>
    <cellStyle name="Normal 2 4 4 2 3 2 2" xfId="12688" xr:uid="{00000000-0005-0000-0000-0000BE850000}"/>
    <cellStyle name="Normal 2 4 4 2 3 2 2 2" xfId="32158" xr:uid="{00000000-0005-0000-0000-0000BF850000}"/>
    <cellStyle name="Normal 2 4 4 2 3 2 3" xfId="27861" xr:uid="{00000000-0005-0000-0000-0000C0850000}"/>
    <cellStyle name="Normal 2 4 4 2 3 3" xfId="10429" xr:uid="{00000000-0005-0000-0000-0000C1850000}"/>
    <cellStyle name="Normal 2 4 4 2 3 3 2" xfId="29899" xr:uid="{00000000-0005-0000-0000-0000C2850000}"/>
    <cellStyle name="Normal 2 4 4 2 3 4" xfId="25493" xr:uid="{00000000-0005-0000-0000-0000C3850000}"/>
    <cellStyle name="Normal 2 4 4 2 4" xfId="8378" xr:uid="{00000000-0005-0000-0000-0000C4850000}"/>
    <cellStyle name="Normal 2 4 4 2 4 2" xfId="12685" xr:uid="{00000000-0005-0000-0000-0000C5850000}"/>
    <cellStyle name="Normal 2 4 4 2 4 2 2" xfId="32155" xr:uid="{00000000-0005-0000-0000-0000C6850000}"/>
    <cellStyle name="Normal 2 4 4 2 4 3" xfId="27858" xr:uid="{00000000-0005-0000-0000-0000C7850000}"/>
    <cellStyle name="Normal 2 4 4 2 5" xfId="9369" xr:uid="{00000000-0005-0000-0000-0000C8850000}"/>
    <cellStyle name="Normal 2 4 4 2 5 2" xfId="28839" xr:uid="{00000000-0005-0000-0000-0000C9850000}"/>
    <cellStyle name="Normal 2 4 4 2 6" xfId="24292" xr:uid="{00000000-0005-0000-0000-0000CA850000}"/>
    <cellStyle name="Normal 2 4 4 3" xfId="5121" xr:uid="{00000000-0005-0000-0000-0000CB850000}"/>
    <cellStyle name="Normal 2 4 4 3 2" xfId="6277" xr:uid="{00000000-0005-0000-0000-0000CC850000}"/>
    <cellStyle name="Normal 2 4 4 3 2 2" xfId="8383" xr:uid="{00000000-0005-0000-0000-0000CD850000}"/>
    <cellStyle name="Normal 2 4 4 3 2 2 2" xfId="12690" xr:uid="{00000000-0005-0000-0000-0000CE850000}"/>
    <cellStyle name="Normal 2 4 4 3 2 2 2 2" xfId="32160" xr:uid="{00000000-0005-0000-0000-0000CF850000}"/>
    <cellStyle name="Normal 2 4 4 3 2 2 3" xfId="27863" xr:uid="{00000000-0005-0000-0000-0000D0850000}"/>
    <cellStyle name="Normal 2 4 4 3 2 3" xfId="10694" xr:uid="{00000000-0005-0000-0000-0000D1850000}"/>
    <cellStyle name="Normal 2 4 4 3 2 3 2" xfId="30164" xr:uid="{00000000-0005-0000-0000-0000D2850000}"/>
    <cellStyle name="Normal 2 4 4 3 2 4" xfId="25762" xr:uid="{00000000-0005-0000-0000-0000D3850000}"/>
    <cellStyle name="Normal 2 4 4 3 3" xfId="8382" xr:uid="{00000000-0005-0000-0000-0000D4850000}"/>
    <cellStyle name="Normal 2 4 4 3 3 2" xfId="12689" xr:uid="{00000000-0005-0000-0000-0000D5850000}"/>
    <cellStyle name="Normal 2 4 4 3 3 2 2" xfId="32159" xr:uid="{00000000-0005-0000-0000-0000D6850000}"/>
    <cellStyle name="Normal 2 4 4 3 3 3" xfId="27862" xr:uid="{00000000-0005-0000-0000-0000D7850000}"/>
    <cellStyle name="Normal 2 4 4 3 4" xfId="9634" xr:uid="{00000000-0005-0000-0000-0000D8850000}"/>
    <cellStyle name="Normal 2 4 4 3 4 2" xfId="29104" xr:uid="{00000000-0005-0000-0000-0000D9850000}"/>
    <cellStyle name="Normal 2 4 4 3 5" xfId="24612" xr:uid="{00000000-0005-0000-0000-0000DA850000}"/>
    <cellStyle name="Normal 2 4 4 4" xfId="5730" xr:uid="{00000000-0005-0000-0000-0000DB850000}"/>
    <cellStyle name="Normal 2 4 4 4 2" xfId="8384" xr:uid="{00000000-0005-0000-0000-0000DC850000}"/>
    <cellStyle name="Normal 2 4 4 4 2 2" xfId="12691" xr:uid="{00000000-0005-0000-0000-0000DD850000}"/>
    <cellStyle name="Normal 2 4 4 4 2 2 2" xfId="32161" xr:uid="{00000000-0005-0000-0000-0000DE850000}"/>
    <cellStyle name="Normal 2 4 4 4 2 3" xfId="27864" xr:uid="{00000000-0005-0000-0000-0000DF850000}"/>
    <cellStyle name="Normal 2 4 4 4 3" xfId="10164" xr:uid="{00000000-0005-0000-0000-0000E0850000}"/>
    <cellStyle name="Normal 2 4 4 4 3 2" xfId="29634" xr:uid="{00000000-0005-0000-0000-0000E1850000}"/>
    <cellStyle name="Normal 2 4 4 4 4" xfId="25215" xr:uid="{00000000-0005-0000-0000-0000E2850000}"/>
    <cellStyle name="Normal 2 4 4 5" xfId="8377" xr:uid="{00000000-0005-0000-0000-0000E3850000}"/>
    <cellStyle name="Normal 2 4 4 5 2" xfId="12684" xr:uid="{00000000-0005-0000-0000-0000E4850000}"/>
    <cellStyle name="Normal 2 4 4 5 2 2" xfId="32154" xr:uid="{00000000-0005-0000-0000-0000E5850000}"/>
    <cellStyle name="Normal 2 4 4 5 3" xfId="27857" xr:uid="{00000000-0005-0000-0000-0000E6850000}"/>
    <cellStyle name="Normal 2 4 4 6" xfId="9103" xr:uid="{00000000-0005-0000-0000-0000E7850000}"/>
    <cellStyle name="Normal 2 4 4 6 2" xfId="28574" xr:uid="{00000000-0005-0000-0000-0000E8850000}"/>
    <cellStyle name="Normal 2 4 4 7" xfId="23991" xr:uid="{00000000-0005-0000-0000-0000E9850000}"/>
    <cellStyle name="Normal 2 4 5" xfId="4606" xr:uid="{00000000-0005-0000-0000-0000EA850000}"/>
    <cellStyle name="Normal 2 4 5 2" xfId="5246" xr:uid="{00000000-0005-0000-0000-0000EB850000}"/>
    <cellStyle name="Normal 2 4 5 2 2" xfId="6380" xr:uid="{00000000-0005-0000-0000-0000EC850000}"/>
    <cellStyle name="Normal 2 4 5 2 2 2" xfId="8387" xr:uid="{00000000-0005-0000-0000-0000ED850000}"/>
    <cellStyle name="Normal 2 4 5 2 2 2 2" xfId="12694" xr:uid="{00000000-0005-0000-0000-0000EE850000}"/>
    <cellStyle name="Normal 2 4 5 2 2 2 2 2" xfId="32164" xr:uid="{00000000-0005-0000-0000-0000EF850000}"/>
    <cellStyle name="Normal 2 4 5 2 2 2 3" xfId="27867" xr:uid="{00000000-0005-0000-0000-0000F0850000}"/>
    <cellStyle name="Normal 2 4 5 2 2 3" xfId="10796" xr:uid="{00000000-0005-0000-0000-0000F1850000}"/>
    <cellStyle name="Normal 2 4 5 2 2 3 2" xfId="30266" xr:uid="{00000000-0005-0000-0000-0000F2850000}"/>
    <cellStyle name="Normal 2 4 5 2 2 4" xfId="25865" xr:uid="{00000000-0005-0000-0000-0000F3850000}"/>
    <cellStyle name="Normal 2 4 5 2 3" xfId="8386" xr:uid="{00000000-0005-0000-0000-0000F4850000}"/>
    <cellStyle name="Normal 2 4 5 2 3 2" xfId="12693" xr:uid="{00000000-0005-0000-0000-0000F5850000}"/>
    <cellStyle name="Normal 2 4 5 2 3 2 2" xfId="32163" xr:uid="{00000000-0005-0000-0000-0000F6850000}"/>
    <cellStyle name="Normal 2 4 5 2 3 3" xfId="27866" xr:uid="{00000000-0005-0000-0000-0000F7850000}"/>
    <cellStyle name="Normal 2 4 5 2 4" xfId="9735" xr:uid="{00000000-0005-0000-0000-0000F8850000}"/>
    <cellStyle name="Normal 2 4 5 2 4 2" xfId="29205" xr:uid="{00000000-0005-0000-0000-0000F9850000}"/>
    <cellStyle name="Normal 2 4 5 2 5" xfId="24737" xr:uid="{00000000-0005-0000-0000-0000FA850000}"/>
    <cellStyle name="Normal 2 4 5 3" xfId="5843" xr:uid="{00000000-0005-0000-0000-0000FB850000}"/>
    <cellStyle name="Normal 2 4 5 3 2" xfId="8388" xr:uid="{00000000-0005-0000-0000-0000FC850000}"/>
    <cellStyle name="Normal 2 4 5 3 2 2" xfId="12695" xr:uid="{00000000-0005-0000-0000-0000FD850000}"/>
    <cellStyle name="Normal 2 4 5 3 2 2 2" xfId="32165" xr:uid="{00000000-0005-0000-0000-0000FE850000}"/>
    <cellStyle name="Normal 2 4 5 3 2 3" xfId="27868" xr:uid="{00000000-0005-0000-0000-0000FF850000}"/>
    <cellStyle name="Normal 2 4 5 3 3" xfId="10265" xr:uid="{00000000-0005-0000-0000-000000860000}"/>
    <cellStyle name="Normal 2 4 5 3 3 2" xfId="29735" xr:uid="{00000000-0005-0000-0000-000001860000}"/>
    <cellStyle name="Normal 2 4 5 3 4" xfId="25328" xr:uid="{00000000-0005-0000-0000-000002860000}"/>
    <cellStyle name="Normal 2 4 5 4" xfId="8385" xr:uid="{00000000-0005-0000-0000-000003860000}"/>
    <cellStyle name="Normal 2 4 5 4 2" xfId="12692" xr:uid="{00000000-0005-0000-0000-000004860000}"/>
    <cellStyle name="Normal 2 4 5 4 2 2" xfId="32162" xr:uid="{00000000-0005-0000-0000-000005860000}"/>
    <cellStyle name="Normal 2 4 5 4 3" xfId="27865" xr:uid="{00000000-0005-0000-0000-000006860000}"/>
    <cellStyle name="Normal 2 4 5 5" xfId="9205" xr:uid="{00000000-0005-0000-0000-000007860000}"/>
    <cellStyle name="Normal 2 4 5 5 2" xfId="28675" xr:uid="{00000000-0005-0000-0000-000008860000}"/>
    <cellStyle name="Normal 2 4 5 6" xfId="24117" xr:uid="{00000000-0005-0000-0000-000009860000}"/>
    <cellStyle name="Normal 2 4 6" xfId="4950" xr:uid="{00000000-0005-0000-0000-00000A860000}"/>
    <cellStyle name="Normal 2 4 6 2" xfId="6112" xr:uid="{00000000-0005-0000-0000-00000B860000}"/>
    <cellStyle name="Normal 2 4 6 2 2" xfId="8390" xr:uid="{00000000-0005-0000-0000-00000C860000}"/>
    <cellStyle name="Normal 2 4 6 2 2 2" xfId="12697" xr:uid="{00000000-0005-0000-0000-00000D860000}"/>
    <cellStyle name="Normal 2 4 6 2 2 2 2" xfId="32167" xr:uid="{00000000-0005-0000-0000-00000E860000}"/>
    <cellStyle name="Normal 2 4 6 2 2 3" xfId="27870" xr:uid="{00000000-0005-0000-0000-00000F860000}"/>
    <cellStyle name="Normal 2 4 6 2 3" xfId="10530" xr:uid="{00000000-0005-0000-0000-000010860000}"/>
    <cellStyle name="Normal 2 4 6 2 3 2" xfId="30000" xr:uid="{00000000-0005-0000-0000-000011860000}"/>
    <cellStyle name="Normal 2 4 6 2 4" xfId="25597" xr:uid="{00000000-0005-0000-0000-000012860000}"/>
    <cellStyle name="Normal 2 4 6 3" xfId="8389" xr:uid="{00000000-0005-0000-0000-000013860000}"/>
    <cellStyle name="Normal 2 4 6 3 2" xfId="12696" xr:uid="{00000000-0005-0000-0000-000014860000}"/>
    <cellStyle name="Normal 2 4 6 3 2 2" xfId="32166" xr:uid="{00000000-0005-0000-0000-000015860000}"/>
    <cellStyle name="Normal 2 4 6 3 3" xfId="27869" xr:uid="{00000000-0005-0000-0000-000016860000}"/>
    <cellStyle name="Normal 2 4 6 4" xfId="9470" xr:uid="{00000000-0005-0000-0000-000017860000}"/>
    <cellStyle name="Normal 2 4 6 4 2" xfId="28940" xr:uid="{00000000-0005-0000-0000-000018860000}"/>
    <cellStyle name="Normal 2 4 6 5" xfId="24444" xr:uid="{00000000-0005-0000-0000-000019860000}"/>
    <cellStyle name="Normal 2 4 7" xfId="5554" xr:uid="{00000000-0005-0000-0000-00001A860000}"/>
    <cellStyle name="Normal 2 4 7 2" xfId="8391" xr:uid="{00000000-0005-0000-0000-00001B860000}"/>
    <cellStyle name="Normal 2 4 7 2 2" xfId="12698" xr:uid="{00000000-0005-0000-0000-00001C860000}"/>
    <cellStyle name="Normal 2 4 7 2 2 2" xfId="32168" xr:uid="{00000000-0005-0000-0000-00001D860000}"/>
    <cellStyle name="Normal 2 4 7 2 3" xfId="27871" xr:uid="{00000000-0005-0000-0000-00001E860000}"/>
    <cellStyle name="Normal 2 4 7 3" xfId="10000" xr:uid="{00000000-0005-0000-0000-00001F860000}"/>
    <cellStyle name="Normal 2 4 7 3 2" xfId="29470" xr:uid="{00000000-0005-0000-0000-000020860000}"/>
    <cellStyle name="Normal 2 4 7 4" xfId="25042" xr:uid="{00000000-0005-0000-0000-000021860000}"/>
    <cellStyle name="Normal 2 4 8" xfId="8344" xr:uid="{00000000-0005-0000-0000-000022860000}"/>
    <cellStyle name="Normal 2 4 8 2" xfId="12651" xr:uid="{00000000-0005-0000-0000-000023860000}"/>
    <cellStyle name="Normal 2 4 8 2 2" xfId="32121" xr:uid="{00000000-0005-0000-0000-000024860000}"/>
    <cellStyle name="Normal 2 4 8 3" xfId="27824" xr:uid="{00000000-0005-0000-0000-000025860000}"/>
    <cellStyle name="Normal 2 4 9" xfId="8936" xr:uid="{00000000-0005-0000-0000-000026860000}"/>
    <cellStyle name="Normal 2 4 9 2" xfId="28410" xr:uid="{00000000-0005-0000-0000-000027860000}"/>
    <cellStyle name="Normal 2 5" xfId="2762" xr:uid="{00000000-0005-0000-0000-000028860000}"/>
    <cellStyle name="Normal 2 5 10" xfId="23583" xr:uid="{00000000-0005-0000-0000-000029860000}"/>
    <cellStyle name="Normal 2 5 2" xfId="2890" xr:uid="{00000000-0005-0000-0000-00002A860000}"/>
    <cellStyle name="Normal 2 5 2 2" xfId="3084" xr:uid="{00000000-0005-0000-0000-00002B860000}"/>
    <cellStyle name="Normal 2 5 2 2 2" xfId="4711" xr:uid="{00000000-0005-0000-0000-00002C860000}"/>
    <cellStyle name="Normal 2 5 2 2 2 2" xfId="5345" xr:uid="{00000000-0005-0000-0000-00002D860000}"/>
    <cellStyle name="Normal 2 5 2 2 2 2 2" xfId="6479" xr:uid="{00000000-0005-0000-0000-00002E860000}"/>
    <cellStyle name="Normal 2 5 2 2 2 2 2 2" xfId="8397" xr:uid="{00000000-0005-0000-0000-00002F860000}"/>
    <cellStyle name="Normal 2 5 2 2 2 2 2 2 2" xfId="12704" xr:uid="{00000000-0005-0000-0000-000030860000}"/>
    <cellStyle name="Normal 2 5 2 2 2 2 2 2 2 2" xfId="32174" xr:uid="{00000000-0005-0000-0000-000031860000}"/>
    <cellStyle name="Normal 2 5 2 2 2 2 2 2 3" xfId="27877" xr:uid="{00000000-0005-0000-0000-000032860000}"/>
    <cellStyle name="Normal 2 5 2 2 2 2 2 3" xfId="10895" xr:uid="{00000000-0005-0000-0000-000033860000}"/>
    <cellStyle name="Normal 2 5 2 2 2 2 2 3 2" xfId="30365" xr:uid="{00000000-0005-0000-0000-000034860000}"/>
    <cellStyle name="Normal 2 5 2 2 2 2 2 4" xfId="25964" xr:uid="{00000000-0005-0000-0000-000035860000}"/>
    <cellStyle name="Normal 2 5 2 2 2 2 3" xfId="8396" xr:uid="{00000000-0005-0000-0000-000036860000}"/>
    <cellStyle name="Normal 2 5 2 2 2 2 3 2" xfId="12703" xr:uid="{00000000-0005-0000-0000-000037860000}"/>
    <cellStyle name="Normal 2 5 2 2 2 2 3 2 2" xfId="32173" xr:uid="{00000000-0005-0000-0000-000038860000}"/>
    <cellStyle name="Normal 2 5 2 2 2 2 3 3" xfId="27876" xr:uid="{00000000-0005-0000-0000-000039860000}"/>
    <cellStyle name="Normal 2 5 2 2 2 2 4" xfId="9834" xr:uid="{00000000-0005-0000-0000-00003A860000}"/>
    <cellStyle name="Normal 2 5 2 2 2 2 4 2" xfId="29304" xr:uid="{00000000-0005-0000-0000-00003B860000}"/>
    <cellStyle name="Normal 2 5 2 2 2 2 5" xfId="24836" xr:uid="{00000000-0005-0000-0000-00003C860000}"/>
    <cellStyle name="Normal 2 5 2 2 2 3" xfId="5942" xr:uid="{00000000-0005-0000-0000-00003D860000}"/>
    <cellStyle name="Normal 2 5 2 2 2 3 2" xfId="8398" xr:uid="{00000000-0005-0000-0000-00003E860000}"/>
    <cellStyle name="Normal 2 5 2 2 2 3 2 2" xfId="12705" xr:uid="{00000000-0005-0000-0000-00003F860000}"/>
    <cellStyle name="Normal 2 5 2 2 2 3 2 2 2" xfId="32175" xr:uid="{00000000-0005-0000-0000-000040860000}"/>
    <cellStyle name="Normal 2 5 2 2 2 3 2 3" xfId="27878" xr:uid="{00000000-0005-0000-0000-000041860000}"/>
    <cellStyle name="Normal 2 5 2 2 2 3 3" xfId="10364" xr:uid="{00000000-0005-0000-0000-000042860000}"/>
    <cellStyle name="Normal 2 5 2 2 2 3 3 2" xfId="29834" xr:uid="{00000000-0005-0000-0000-000043860000}"/>
    <cellStyle name="Normal 2 5 2 2 2 3 4" xfId="25427" xr:uid="{00000000-0005-0000-0000-000044860000}"/>
    <cellStyle name="Normal 2 5 2 2 2 4" xfId="8395" xr:uid="{00000000-0005-0000-0000-000045860000}"/>
    <cellStyle name="Normal 2 5 2 2 2 4 2" xfId="12702" xr:uid="{00000000-0005-0000-0000-000046860000}"/>
    <cellStyle name="Normal 2 5 2 2 2 4 2 2" xfId="32172" xr:uid="{00000000-0005-0000-0000-000047860000}"/>
    <cellStyle name="Normal 2 5 2 2 2 4 3" xfId="27875" xr:uid="{00000000-0005-0000-0000-000048860000}"/>
    <cellStyle name="Normal 2 5 2 2 2 5" xfId="9304" xr:uid="{00000000-0005-0000-0000-000049860000}"/>
    <cellStyle name="Normal 2 5 2 2 2 5 2" xfId="28774" xr:uid="{00000000-0005-0000-0000-00004A860000}"/>
    <cellStyle name="Normal 2 5 2 2 2 6" xfId="24222" xr:uid="{00000000-0005-0000-0000-00004B860000}"/>
    <cellStyle name="Normal 2 5 2 2 3" xfId="5049" xr:uid="{00000000-0005-0000-0000-00004C860000}"/>
    <cellStyle name="Normal 2 5 2 2 3 2" xfId="6211" xr:uid="{00000000-0005-0000-0000-00004D860000}"/>
    <cellStyle name="Normal 2 5 2 2 3 2 2" xfId="8400" xr:uid="{00000000-0005-0000-0000-00004E860000}"/>
    <cellStyle name="Normal 2 5 2 2 3 2 2 2" xfId="12707" xr:uid="{00000000-0005-0000-0000-00004F860000}"/>
    <cellStyle name="Normal 2 5 2 2 3 2 2 2 2" xfId="32177" xr:uid="{00000000-0005-0000-0000-000050860000}"/>
    <cellStyle name="Normal 2 5 2 2 3 2 2 3" xfId="27880" xr:uid="{00000000-0005-0000-0000-000051860000}"/>
    <cellStyle name="Normal 2 5 2 2 3 2 3" xfId="10629" xr:uid="{00000000-0005-0000-0000-000052860000}"/>
    <cellStyle name="Normal 2 5 2 2 3 2 3 2" xfId="30099" xr:uid="{00000000-0005-0000-0000-000053860000}"/>
    <cellStyle name="Normal 2 5 2 2 3 2 4" xfId="25696" xr:uid="{00000000-0005-0000-0000-000054860000}"/>
    <cellStyle name="Normal 2 5 2 2 3 3" xfId="8399" xr:uid="{00000000-0005-0000-0000-000055860000}"/>
    <cellStyle name="Normal 2 5 2 2 3 3 2" xfId="12706" xr:uid="{00000000-0005-0000-0000-000056860000}"/>
    <cellStyle name="Normal 2 5 2 2 3 3 2 2" xfId="32176" xr:uid="{00000000-0005-0000-0000-000057860000}"/>
    <cellStyle name="Normal 2 5 2 2 3 3 3" xfId="27879" xr:uid="{00000000-0005-0000-0000-000058860000}"/>
    <cellStyle name="Normal 2 5 2 2 3 4" xfId="9569" xr:uid="{00000000-0005-0000-0000-000059860000}"/>
    <cellStyle name="Normal 2 5 2 2 3 4 2" xfId="29039" xr:uid="{00000000-0005-0000-0000-00005A860000}"/>
    <cellStyle name="Normal 2 5 2 2 3 5" xfId="24543" xr:uid="{00000000-0005-0000-0000-00005B860000}"/>
    <cellStyle name="Normal 2 5 2 2 4" xfId="5654" xr:uid="{00000000-0005-0000-0000-00005C860000}"/>
    <cellStyle name="Normal 2 5 2 2 4 2" xfId="8401" xr:uid="{00000000-0005-0000-0000-00005D860000}"/>
    <cellStyle name="Normal 2 5 2 2 4 2 2" xfId="12708" xr:uid="{00000000-0005-0000-0000-00005E860000}"/>
    <cellStyle name="Normal 2 5 2 2 4 2 2 2" xfId="32178" xr:uid="{00000000-0005-0000-0000-00005F860000}"/>
    <cellStyle name="Normal 2 5 2 2 4 2 3" xfId="27881" xr:uid="{00000000-0005-0000-0000-000060860000}"/>
    <cellStyle name="Normal 2 5 2 2 4 3" xfId="10099" xr:uid="{00000000-0005-0000-0000-000061860000}"/>
    <cellStyle name="Normal 2 5 2 2 4 3 2" xfId="29569" xr:uid="{00000000-0005-0000-0000-000062860000}"/>
    <cellStyle name="Normal 2 5 2 2 4 4" xfId="25141" xr:uid="{00000000-0005-0000-0000-000063860000}"/>
    <cellStyle name="Normal 2 5 2 2 5" xfId="8394" xr:uid="{00000000-0005-0000-0000-000064860000}"/>
    <cellStyle name="Normal 2 5 2 2 5 2" xfId="12701" xr:uid="{00000000-0005-0000-0000-000065860000}"/>
    <cellStyle name="Normal 2 5 2 2 5 2 2" xfId="32171" xr:uid="{00000000-0005-0000-0000-000066860000}"/>
    <cellStyle name="Normal 2 5 2 2 5 3" xfId="27874" xr:uid="{00000000-0005-0000-0000-000067860000}"/>
    <cellStyle name="Normal 2 5 2 2 6" xfId="9035" xr:uid="{00000000-0005-0000-0000-000068860000}"/>
    <cellStyle name="Normal 2 5 2 2 6 2" xfId="28509" xr:uid="{00000000-0005-0000-0000-000069860000}"/>
    <cellStyle name="Normal 2 5 2 2 7" xfId="23893" xr:uid="{00000000-0005-0000-0000-00006A860000}"/>
    <cellStyle name="Normal 2 5 2 3" xfId="4252" xr:uid="{00000000-0005-0000-0000-00006B860000}"/>
    <cellStyle name="Normal 2 5 2 3 2" xfId="4827" xr:uid="{00000000-0005-0000-0000-00006C860000}"/>
    <cellStyle name="Normal 2 5 2 3 2 2" xfId="5452" xr:uid="{00000000-0005-0000-0000-00006D860000}"/>
    <cellStyle name="Normal 2 5 2 3 2 2 2" xfId="6580" xr:uid="{00000000-0005-0000-0000-00006E860000}"/>
    <cellStyle name="Normal 2 5 2 3 2 2 2 2" xfId="8405" xr:uid="{00000000-0005-0000-0000-00006F860000}"/>
    <cellStyle name="Normal 2 5 2 3 2 2 2 2 2" xfId="12712" xr:uid="{00000000-0005-0000-0000-000070860000}"/>
    <cellStyle name="Normal 2 5 2 3 2 2 2 2 2 2" xfId="32182" xr:uid="{00000000-0005-0000-0000-000071860000}"/>
    <cellStyle name="Normal 2 5 2 3 2 2 2 2 3" xfId="27885" xr:uid="{00000000-0005-0000-0000-000072860000}"/>
    <cellStyle name="Normal 2 5 2 3 2 2 2 3" xfId="10996" xr:uid="{00000000-0005-0000-0000-000073860000}"/>
    <cellStyle name="Normal 2 5 2 3 2 2 2 3 2" xfId="30466" xr:uid="{00000000-0005-0000-0000-000074860000}"/>
    <cellStyle name="Normal 2 5 2 3 2 2 2 4" xfId="26065" xr:uid="{00000000-0005-0000-0000-000075860000}"/>
    <cellStyle name="Normal 2 5 2 3 2 2 3" xfId="8404" xr:uid="{00000000-0005-0000-0000-000076860000}"/>
    <cellStyle name="Normal 2 5 2 3 2 2 3 2" xfId="12711" xr:uid="{00000000-0005-0000-0000-000077860000}"/>
    <cellStyle name="Normal 2 5 2 3 2 2 3 2 2" xfId="32181" xr:uid="{00000000-0005-0000-0000-000078860000}"/>
    <cellStyle name="Normal 2 5 2 3 2 2 3 3" xfId="27884" xr:uid="{00000000-0005-0000-0000-000079860000}"/>
    <cellStyle name="Normal 2 5 2 3 2 2 4" xfId="9935" xr:uid="{00000000-0005-0000-0000-00007A860000}"/>
    <cellStyle name="Normal 2 5 2 3 2 2 4 2" xfId="29405" xr:uid="{00000000-0005-0000-0000-00007B860000}"/>
    <cellStyle name="Normal 2 5 2 3 2 2 5" xfId="24943" xr:uid="{00000000-0005-0000-0000-00007C860000}"/>
    <cellStyle name="Normal 2 5 2 3 2 3" xfId="6045" xr:uid="{00000000-0005-0000-0000-00007D860000}"/>
    <cellStyle name="Normal 2 5 2 3 2 3 2" xfId="8406" xr:uid="{00000000-0005-0000-0000-00007E860000}"/>
    <cellStyle name="Normal 2 5 2 3 2 3 2 2" xfId="12713" xr:uid="{00000000-0005-0000-0000-00007F860000}"/>
    <cellStyle name="Normal 2 5 2 3 2 3 2 2 2" xfId="32183" xr:uid="{00000000-0005-0000-0000-000080860000}"/>
    <cellStyle name="Normal 2 5 2 3 2 3 2 3" xfId="27886" xr:uid="{00000000-0005-0000-0000-000081860000}"/>
    <cellStyle name="Normal 2 5 2 3 2 3 3" xfId="10465" xr:uid="{00000000-0005-0000-0000-000082860000}"/>
    <cellStyle name="Normal 2 5 2 3 2 3 3 2" xfId="29935" xr:uid="{00000000-0005-0000-0000-000083860000}"/>
    <cellStyle name="Normal 2 5 2 3 2 3 4" xfId="25530" xr:uid="{00000000-0005-0000-0000-000084860000}"/>
    <cellStyle name="Normal 2 5 2 3 2 4" xfId="8403" xr:uid="{00000000-0005-0000-0000-000085860000}"/>
    <cellStyle name="Normal 2 5 2 3 2 4 2" xfId="12710" xr:uid="{00000000-0005-0000-0000-000086860000}"/>
    <cellStyle name="Normal 2 5 2 3 2 4 2 2" xfId="32180" xr:uid="{00000000-0005-0000-0000-000087860000}"/>
    <cellStyle name="Normal 2 5 2 3 2 4 3" xfId="27883" xr:uid="{00000000-0005-0000-0000-000088860000}"/>
    <cellStyle name="Normal 2 5 2 3 2 5" xfId="9405" xr:uid="{00000000-0005-0000-0000-000089860000}"/>
    <cellStyle name="Normal 2 5 2 3 2 5 2" xfId="28875" xr:uid="{00000000-0005-0000-0000-00008A860000}"/>
    <cellStyle name="Normal 2 5 2 3 2 6" xfId="24329" xr:uid="{00000000-0005-0000-0000-00008B860000}"/>
    <cellStyle name="Normal 2 5 2 3 3" xfId="5157" xr:uid="{00000000-0005-0000-0000-00008C860000}"/>
    <cellStyle name="Normal 2 5 2 3 3 2" xfId="6313" xr:uid="{00000000-0005-0000-0000-00008D860000}"/>
    <cellStyle name="Normal 2 5 2 3 3 2 2" xfId="8408" xr:uid="{00000000-0005-0000-0000-00008E860000}"/>
    <cellStyle name="Normal 2 5 2 3 3 2 2 2" xfId="12715" xr:uid="{00000000-0005-0000-0000-00008F860000}"/>
    <cellStyle name="Normal 2 5 2 3 3 2 2 2 2" xfId="32185" xr:uid="{00000000-0005-0000-0000-000090860000}"/>
    <cellStyle name="Normal 2 5 2 3 3 2 2 3" xfId="27888" xr:uid="{00000000-0005-0000-0000-000091860000}"/>
    <cellStyle name="Normal 2 5 2 3 3 2 3" xfId="10730" xr:uid="{00000000-0005-0000-0000-000092860000}"/>
    <cellStyle name="Normal 2 5 2 3 3 2 3 2" xfId="30200" xr:uid="{00000000-0005-0000-0000-000093860000}"/>
    <cellStyle name="Normal 2 5 2 3 3 2 4" xfId="25798" xr:uid="{00000000-0005-0000-0000-000094860000}"/>
    <cellStyle name="Normal 2 5 2 3 3 3" xfId="8407" xr:uid="{00000000-0005-0000-0000-000095860000}"/>
    <cellStyle name="Normal 2 5 2 3 3 3 2" xfId="12714" xr:uid="{00000000-0005-0000-0000-000096860000}"/>
    <cellStyle name="Normal 2 5 2 3 3 3 2 2" xfId="32184" xr:uid="{00000000-0005-0000-0000-000097860000}"/>
    <cellStyle name="Normal 2 5 2 3 3 3 3" xfId="27887" xr:uid="{00000000-0005-0000-0000-000098860000}"/>
    <cellStyle name="Normal 2 5 2 3 3 4" xfId="9670" xr:uid="{00000000-0005-0000-0000-000099860000}"/>
    <cellStyle name="Normal 2 5 2 3 3 4 2" xfId="29140" xr:uid="{00000000-0005-0000-0000-00009A860000}"/>
    <cellStyle name="Normal 2 5 2 3 3 5" xfId="24648" xr:uid="{00000000-0005-0000-0000-00009B860000}"/>
    <cellStyle name="Normal 2 5 2 3 4" xfId="5766" xr:uid="{00000000-0005-0000-0000-00009C860000}"/>
    <cellStyle name="Normal 2 5 2 3 4 2" xfId="8409" xr:uid="{00000000-0005-0000-0000-00009D860000}"/>
    <cellStyle name="Normal 2 5 2 3 4 2 2" xfId="12716" xr:uid="{00000000-0005-0000-0000-00009E860000}"/>
    <cellStyle name="Normal 2 5 2 3 4 2 2 2" xfId="32186" xr:uid="{00000000-0005-0000-0000-00009F860000}"/>
    <cellStyle name="Normal 2 5 2 3 4 2 3" xfId="27889" xr:uid="{00000000-0005-0000-0000-0000A0860000}"/>
    <cellStyle name="Normal 2 5 2 3 4 3" xfId="10200" xr:uid="{00000000-0005-0000-0000-0000A1860000}"/>
    <cellStyle name="Normal 2 5 2 3 4 3 2" xfId="29670" xr:uid="{00000000-0005-0000-0000-0000A2860000}"/>
    <cellStyle name="Normal 2 5 2 3 4 4" xfId="25251" xr:uid="{00000000-0005-0000-0000-0000A3860000}"/>
    <cellStyle name="Normal 2 5 2 3 5" xfId="8402" xr:uid="{00000000-0005-0000-0000-0000A4860000}"/>
    <cellStyle name="Normal 2 5 2 3 5 2" xfId="12709" xr:uid="{00000000-0005-0000-0000-0000A5860000}"/>
    <cellStyle name="Normal 2 5 2 3 5 2 2" xfId="32179" xr:uid="{00000000-0005-0000-0000-0000A6860000}"/>
    <cellStyle name="Normal 2 5 2 3 5 3" xfId="27882" xr:uid="{00000000-0005-0000-0000-0000A7860000}"/>
    <cellStyle name="Normal 2 5 2 3 6" xfId="9139" xr:uid="{00000000-0005-0000-0000-0000A8860000}"/>
    <cellStyle name="Normal 2 5 2 3 6 2" xfId="28610" xr:uid="{00000000-0005-0000-0000-0000A9860000}"/>
    <cellStyle name="Normal 2 5 2 3 7" xfId="24028" xr:uid="{00000000-0005-0000-0000-0000AA860000}"/>
    <cellStyle name="Normal 2 5 2 4" xfId="4639" xr:uid="{00000000-0005-0000-0000-0000AB860000}"/>
    <cellStyle name="Normal 2 5 2 4 2" xfId="5279" xr:uid="{00000000-0005-0000-0000-0000AC860000}"/>
    <cellStyle name="Normal 2 5 2 4 2 2" xfId="6413" xr:uid="{00000000-0005-0000-0000-0000AD860000}"/>
    <cellStyle name="Normal 2 5 2 4 2 2 2" xfId="8412" xr:uid="{00000000-0005-0000-0000-0000AE860000}"/>
    <cellStyle name="Normal 2 5 2 4 2 2 2 2" xfId="12719" xr:uid="{00000000-0005-0000-0000-0000AF860000}"/>
    <cellStyle name="Normal 2 5 2 4 2 2 2 2 2" xfId="32189" xr:uid="{00000000-0005-0000-0000-0000B0860000}"/>
    <cellStyle name="Normal 2 5 2 4 2 2 2 3" xfId="27892" xr:uid="{00000000-0005-0000-0000-0000B1860000}"/>
    <cellStyle name="Normal 2 5 2 4 2 2 3" xfId="10829" xr:uid="{00000000-0005-0000-0000-0000B2860000}"/>
    <cellStyle name="Normal 2 5 2 4 2 2 3 2" xfId="30299" xr:uid="{00000000-0005-0000-0000-0000B3860000}"/>
    <cellStyle name="Normal 2 5 2 4 2 2 4" xfId="25898" xr:uid="{00000000-0005-0000-0000-0000B4860000}"/>
    <cellStyle name="Normal 2 5 2 4 2 3" xfId="8411" xr:uid="{00000000-0005-0000-0000-0000B5860000}"/>
    <cellStyle name="Normal 2 5 2 4 2 3 2" xfId="12718" xr:uid="{00000000-0005-0000-0000-0000B6860000}"/>
    <cellStyle name="Normal 2 5 2 4 2 3 2 2" xfId="32188" xr:uid="{00000000-0005-0000-0000-0000B7860000}"/>
    <cellStyle name="Normal 2 5 2 4 2 3 3" xfId="27891" xr:uid="{00000000-0005-0000-0000-0000B8860000}"/>
    <cellStyle name="Normal 2 5 2 4 2 4" xfId="9768" xr:uid="{00000000-0005-0000-0000-0000B9860000}"/>
    <cellStyle name="Normal 2 5 2 4 2 4 2" xfId="29238" xr:uid="{00000000-0005-0000-0000-0000BA860000}"/>
    <cellStyle name="Normal 2 5 2 4 2 5" xfId="24770" xr:uid="{00000000-0005-0000-0000-0000BB860000}"/>
    <cellStyle name="Normal 2 5 2 4 3" xfId="5876" xr:uid="{00000000-0005-0000-0000-0000BC860000}"/>
    <cellStyle name="Normal 2 5 2 4 3 2" xfId="8413" xr:uid="{00000000-0005-0000-0000-0000BD860000}"/>
    <cellStyle name="Normal 2 5 2 4 3 2 2" xfId="12720" xr:uid="{00000000-0005-0000-0000-0000BE860000}"/>
    <cellStyle name="Normal 2 5 2 4 3 2 2 2" xfId="32190" xr:uid="{00000000-0005-0000-0000-0000BF860000}"/>
    <cellStyle name="Normal 2 5 2 4 3 2 3" xfId="27893" xr:uid="{00000000-0005-0000-0000-0000C0860000}"/>
    <cellStyle name="Normal 2 5 2 4 3 3" xfId="10298" xr:uid="{00000000-0005-0000-0000-0000C1860000}"/>
    <cellStyle name="Normal 2 5 2 4 3 3 2" xfId="29768" xr:uid="{00000000-0005-0000-0000-0000C2860000}"/>
    <cellStyle name="Normal 2 5 2 4 3 4" xfId="25361" xr:uid="{00000000-0005-0000-0000-0000C3860000}"/>
    <cellStyle name="Normal 2 5 2 4 4" xfId="8410" xr:uid="{00000000-0005-0000-0000-0000C4860000}"/>
    <cellStyle name="Normal 2 5 2 4 4 2" xfId="12717" xr:uid="{00000000-0005-0000-0000-0000C5860000}"/>
    <cellStyle name="Normal 2 5 2 4 4 2 2" xfId="32187" xr:uid="{00000000-0005-0000-0000-0000C6860000}"/>
    <cellStyle name="Normal 2 5 2 4 4 3" xfId="27890" xr:uid="{00000000-0005-0000-0000-0000C7860000}"/>
    <cellStyle name="Normal 2 5 2 4 5" xfId="9238" xr:uid="{00000000-0005-0000-0000-0000C8860000}"/>
    <cellStyle name="Normal 2 5 2 4 5 2" xfId="28708" xr:uid="{00000000-0005-0000-0000-0000C9860000}"/>
    <cellStyle name="Normal 2 5 2 4 6" xfId="24150" xr:uid="{00000000-0005-0000-0000-0000CA860000}"/>
    <cellStyle name="Normal 2 5 2 5" xfId="4983" xr:uid="{00000000-0005-0000-0000-0000CB860000}"/>
    <cellStyle name="Normal 2 5 2 5 2" xfId="6145" xr:uid="{00000000-0005-0000-0000-0000CC860000}"/>
    <cellStyle name="Normal 2 5 2 5 2 2" xfId="8415" xr:uid="{00000000-0005-0000-0000-0000CD860000}"/>
    <cellStyle name="Normal 2 5 2 5 2 2 2" xfId="12722" xr:uid="{00000000-0005-0000-0000-0000CE860000}"/>
    <cellStyle name="Normal 2 5 2 5 2 2 2 2" xfId="32192" xr:uid="{00000000-0005-0000-0000-0000CF860000}"/>
    <cellStyle name="Normal 2 5 2 5 2 2 3" xfId="27895" xr:uid="{00000000-0005-0000-0000-0000D0860000}"/>
    <cellStyle name="Normal 2 5 2 5 2 3" xfId="10563" xr:uid="{00000000-0005-0000-0000-0000D1860000}"/>
    <cellStyle name="Normal 2 5 2 5 2 3 2" xfId="30033" xr:uid="{00000000-0005-0000-0000-0000D2860000}"/>
    <cellStyle name="Normal 2 5 2 5 2 4" xfId="25630" xr:uid="{00000000-0005-0000-0000-0000D3860000}"/>
    <cellStyle name="Normal 2 5 2 5 3" xfId="8414" xr:uid="{00000000-0005-0000-0000-0000D4860000}"/>
    <cellStyle name="Normal 2 5 2 5 3 2" xfId="12721" xr:uid="{00000000-0005-0000-0000-0000D5860000}"/>
    <cellStyle name="Normal 2 5 2 5 3 2 2" xfId="32191" xr:uid="{00000000-0005-0000-0000-0000D6860000}"/>
    <cellStyle name="Normal 2 5 2 5 3 3" xfId="27894" xr:uid="{00000000-0005-0000-0000-0000D7860000}"/>
    <cellStyle name="Normal 2 5 2 5 4" xfId="9503" xr:uid="{00000000-0005-0000-0000-0000D8860000}"/>
    <cellStyle name="Normal 2 5 2 5 4 2" xfId="28973" xr:uid="{00000000-0005-0000-0000-0000D9860000}"/>
    <cellStyle name="Normal 2 5 2 5 5" xfId="24477" xr:uid="{00000000-0005-0000-0000-0000DA860000}"/>
    <cellStyle name="Normal 2 5 2 6" xfId="5588" xr:uid="{00000000-0005-0000-0000-0000DB860000}"/>
    <cellStyle name="Normal 2 5 2 6 2" xfId="8416" xr:uid="{00000000-0005-0000-0000-0000DC860000}"/>
    <cellStyle name="Normal 2 5 2 6 2 2" xfId="12723" xr:uid="{00000000-0005-0000-0000-0000DD860000}"/>
    <cellStyle name="Normal 2 5 2 6 2 2 2" xfId="32193" xr:uid="{00000000-0005-0000-0000-0000DE860000}"/>
    <cellStyle name="Normal 2 5 2 6 2 3" xfId="27896" xr:uid="{00000000-0005-0000-0000-0000DF860000}"/>
    <cellStyle name="Normal 2 5 2 6 3" xfId="10033" xr:uid="{00000000-0005-0000-0000-0000E0860000}"/>
    <cellStyle name="Normal 2 5 2 6 3 2" xfId="29503" xr:uid="{00000000-0005-0000-0000-0000E1860000}"/>
    <cellStyle name="Normal 2 5 2 6 4" xfId="25075" xr:uid="{00000000-0005-0000-0000-0000E2860000}"/>
    <cellStyle name="Normal 2 5 2 7" xfId="8393" xr:uid="{00000000-0005-0000-0000-0000E3860000}"/>
    <cellStyle name="Normal 2 5 2 7 2" xfId="12700" xr:uid="{00000000-0005-0000-0000-0000E4860000}"/>
    <cellStyle name="Normal 2 5 2 7 2 2" xfId="32170" xr:uid="{00000000-0005-0000-0000-0000E5860000}"/>
    <cellStyle name="Normal 2 5 2 7 3" xfId="27873" xr:uid="{00000000-0005-0000-0000-0000E6860000}"/>
    <cellStyle name="Normal 2 5 2 8" xfId="8969" xr:uid="{00000000-0005-0000-0000-0000E7860000}"/>
    <cellStyle name="Normal 2 5 2 8 2" xfId="28443" xr:uid="{00000000-0005-0000-0000-0000E8860000}"/>
    <cellStyle name="Normal 2 5 2 9" xfId="23701" xr:uid="{00000000-0005-0000-0000-0000E9860000}"/>
    <cellStyle name="Normal 2 5 3" xfId="2966" xr:uid="{00000000-0005-0000-0000-0000EA860000}"/>
    <cellStyle name="Normal 2 5 3 2" xfId="4673" xr:uid="{00000000-0005-0000-0000-0000EB860000}"/>
    <cellStyle name="Normal 2 5 3 2 2" xfId="5313" xr:uid="{00000000-0005-0000-0000-0000EC860000}"/>
    <cellStyle name="Normal 2 5 3 2 2 2" xfId="6447" xr:uid="{00000000-0005-0000-0000-0000ED860000}"/>
    <cellStyle name="Normal 2 5 3 2 2 2 2" xfId="8420" xr:uid="{00000000-0005-0000-0000-0000EE860000}"/>
    <cellStyle name="Normal 2 5 3 2 2 2 2 2" xfId="12727" xr:uid="{00000000-0005-0000-0000-0000EF860000}"/>
    <cellStyle name="Normal 2 5 3 2 2 2 2 2 2" xfId="32197" xr:uid="{00000000-0005-0000-0000-0000F0860000}"/>
    <cellStyle name="Normal 2 5 3 2 2 2 2 3" xfId="27900" xr:uid="{00000000-0005-0000-0000-0000F1860000}"/>
    <cellStyle name="Normal 2 5 3 2 2 2 3" xfId="10863" xr:uid="{00000000-0005-0000-0000-0000F2860000}"/>
    <cellStyle name="Normal 2 5 3 2 2 2 3 2" xfId="30333" xr:uid="{00000000-0005-0000-0000-0000F3860000}"/>
    <cellStyle name="Normal 2 5 3 2 2 2 4" xfId="25932" xr:uid="{00000000-0005-0000-0000-0000F4860000}"/>
    <cellStyle name="Normal 2 5 3 2 2 3" xfId="8419" xr:uid="{00000000-0005-0000-0000-0000F5860000}"/>
    <cellStyle name="Normal 2 5 3 2 2 3 2" xfId="12726" xr:uid="{00000000-0005-0000-0000-0000F6860000}"/>
    <cellStyle name="Normal 2 5 3 2 2 3 2 2" xfId="32196" xr:uid="{00000000-0005-0000-0000-0000F7860000}"/>
    <cellStyle name="Normal 2 5 3 2 2 3 3" xfId="27899" xr:uid="{00000000-0005-0000-0000-0000F8860000}"/>
    <cellStyle name="Normal 2 5 3 2 2 4" xfId="9802" xr:uid="{00000000-0005-0000-0000-0000F9860000}"/>
    <cellStyle name="Normal 2 5 3 2 2 4 2" xfId="29272" xr:uid="{00000000-0005-0000-0000-0000FA860000}"/>
    <cellStyle name="Normal 2 5 3 2 2 5" xfId="24804" xr:uid="{00000000-0005-0000-0000-0000FB860000}"/>
    <cellStyle name="Normal 2 5 3 2 3" xfId="5910" xr:uid="{00000000-0005-0000-0000-0000FC860000}"/>
    <cellStyle name="Normal 2 5 3 2 3 2" xfId="8421" xr:uid="{00000000-0005-0000-0000-0000FD860000}"/>
    <cellStyle name="Normal 2 5 3 2 3 2 2" xfId="12728" xr:uid="{00000000-0005-0000-0000-0000FE860000}"/>
    <cellStyle name="Normal 2 5 3 2 3 2 2 2" xfId="32198" xr:uid="{00000000-0005-0000-0000-0000FF860000}"/>
    <cellStyle name="Normal 2 5 3 2 3 2 3" xfId="27901" xr:uid="{00000000-0005-0000-0000-000000870000}"/>
    <cellStyle name="Normal 2 5 3 2 3 3" xfId="10332" xr:uid="{00000000-0005-0000-0000-000001870000}"/>
    <cellStyle name="Normal 2 5 3 2 3 3 2" xfId="29802" xr:uid="{00000000-0005-0000-0000-000002870000}"/>
    <cellStyle name="Normal 2 5 3 2 3 4" xfId="25395" xr:uid="{00000000-0005-0000-0000-000003870000}"/>
    <cellStyle name="Normal 2 5 3 2 4" xfId="8418" xr:uid="{00000000-0005-0000-0000-000004870000}"/>
    <cellStyle name="Normal 2 5 3 2 4 2" xfId="12725" xr:uid="{00000000-0005-0000-0000-000005870000}"/>
    <cellStyle name="Normal 2 5 3 2 4 2 2" xfId="32195" xr:uid="{00000000-0005-0000-0000-000006870000}"/>
    <cellStyle name="Normal 2 5 3 2 4 3" xfId="27898" xr:uid="{00000000-0005-0000-0000-000007870000}"/>
    <cellStyle name="Normal 2 5 3 2 5" xfId="9272" xr:uid="{00000000-0005-0000-0000-000008870000}"/>
    <cellStyle name="Normal 2 5 3 2 5 2" xfId="28742" xr:uid="{00000000-0005-0000-0000-000009870000}"/>
    <cellStyle name="Normal 2 5 3 2 6" xfId="24184" xr:uid="{00000000-0005-0000-0000-00000A870000}"/>
    <cellStyle name="Normal 2 5 3 3" xfId="5017" xr:uid="{00000000-0005-0000-0000-00000B870000}"/>
    <cellStyle name="Normal 2 5 3 3 2" xfId="6179" xr:uid="{00000000-0005-0000-0000-00000C870000}"/>
    <cellStyle name="Normal 2 5 3 3 2 2" xfId="8423" xr:uid="{00000000-0005-0000-0000-00000D870000}"/>
    <cellStyle name="Normal 2 5 3 3 2 2 2" xfId="12730" xr:uid="{00000000-0005-0000-0000-00000E870000}"/>
    <cellStyle name="Normal 2 5 3 3 2 2 2 2" xfId="32200" xr:uid="{00000000-0005-0000-0000-00000F870000}"/>
    <cellStyle name="Normal 2 5 3 3 2 2 3" xfId="27903" xr:uid="{00000000-0005-0000-0000-000010870000}"/>
    <cellStyle name="Normal 2 5 3 3 2 3" xfId="10597" xr:uid="{00000000-0005-0000-0000-000011870000}"/>
    <cellStyle name="Normal 2 5 3 3 2 3 2" xfId="30067" xr:uid="{00000000-0005-0000-0000-000012870000}"/>
    <cellStyle name="Normal 2 5 3 3 2 4" xfId="25664" xr:uid="{00000000-0005-0000-0000-000013870000}"/>
    <cellStyle name="Normal 2 5 3 3 3" xfId="8422" xr:uid="{00000000-0005-0000-0000-000014870000}"/>
    <cellStyle name="Normal 2 5 3 3 3 2" xfId="12729" xr:uid="{00000000-0005-0000-0000-000015870000}"/>
    <cellStyle name="Normal 2 5 3 3 3 2 2" xfId="32199" xr:uid="{00000000-0005-0000-0000-000016870000}"/>
    <cellStyle name="Normal 2 5 3 3 3 3" xfId="27902" xr:uid="{00000000-0005-0000-0000-000017870000}"/>
    <cellStyle name="Normal 2 5 3 3 4" xfId="9537" xr:uid="{00000000-0005-0000-0000-000018870000}"/>
    <cellStyle name="Normal 2 5 3 3 4 2" xfId="29007" xr:uid="{00000000-0005-0000-0000-000019870000}"/>
    <cellStyle name="Normal 2 5 3 3 5" xfId="24511" xr:uid="{00000000-0005-0000-0000-00001A870000}"/>
    <cellStyle name="Normal 2 5 3 4" xfId="5622" xr:uid="{00000000-0005-0000-0000-00001B870000}"/>
    <cellStyle name="Normal 2 5 3 4 2" xfId="8424" xr:uid="{00000000-0005-0000-0000-00001C870000}"/>
    <cellStyle name="Normal 2 5 3 4 2 2" xfId="12731" xr:uid="{00000000-0005-0000-0000-00001D870000}"/>
    <cellStyle name="Normal 2 5 3 4 2 2 2" xfId="32201" xr:uid="{00000000-0005-0000-0000-00001E870000}"/>
    <cellStyle name="Normal 2 5 3 4 2 3" xfId="27904" xr:uid="{00000000-0005-0000-0000-00001F870000}"/>
    <cellStyle name="Normal 2 5 3 4 3" xfId="10067" xr:uid="{00000000-0005-0000-0000-000020870000}"/>
    <cellStyle name="Normal 2 5 3 4 3 2" xfId="29537" xr:uid="{00000000-0005-0000-0000-000021870000}"/>
    <cellStyle name="Normal 2 5 3 4 4" xfId="25109" xr:uid="{00000000-0005-0000-0000-000022870000}"/>
    <cellStyle name="Normal 2 5 3 5" xfId="8417" xr:uid="{00000000-0005-0000-0000-000023870000}"/>
    <cellStyle name="Normal 2 5 3 5 2" xfId="12724" xr:uid="{00000000-0005-0000-0000-000024870000}"/>
    <cellStyle name="Normal 2 5 3 5 2 2" xfId="32194" xr:uid="{00000000-0005-0000-0000-000025870000}"/>
    <cellStyle name="Normal 2 5 3 5 3" xfId="27897" xr:uid="{00000000-0005-0000-0000-000026870000}"/>
    <cellStyle name="Normal 2 5 3 6" xfId="9003" xr:uid="{00000000-0005-0000-0000-000027870000}"/>
    <cellStyle name="Normal 2 5 3 6 2" xfId="28477" xr:uid="{00000000-0005-0000-0000-000028870000}"/>
    <cellStyle name="Normal 2 5 3 7" xfId="23775" xr:uid="{00000000-0005-0000-0000-000029870000}"/>
    <cellStyle name="Normal 2 5 4" xfId="4180" xr:uid="{00000000-0005-0000-0000-00002A870000}"/>
    <cellStyle name="Normal 2 5 4 2" xfId="4772" xr:uid="{00000000-0005-0000-0000-00002B870000}"/>
    <cellStyle name="Normal 2 5 4 2 2" xfId="5398" xr:uid="{00000000-0005-0000-0000-00002C870000}"/>
    <cellStyle name="Normal 2 5 4 2 2 2" xfId="6526" xr:uid="{00000000-0005-0000-0000-00002D870000}"/>
    <cellStyle name="Normal 2 5 4 2 2 2 2" xfId="8428" xr:uid="{00000000-0005-0000-0000-00002E870000}"/>
    <cellStyle name="Normal 2 5 4 2 2 2 2 2" xfId="12735" xr:uid="{00000000-0005-0000-0000-00002F870000}"/>
    <cellStyle name="Normal 2 5 4 2 2 2 2 2 2" xfId="32205" xr:uid="{00000000-0005-0000-0000-000030870000}"/>
    <cellStyle name="Normal 2 5 4 2 2 2 2 3" xfId="27908" xr:uid="{00000000-0005-0000-0000-000031870000}"/>
    <cellStyle name="Normal 2 5 4 2 2 2 3" xfId="10942" xr:uid="{00000000-0005-0000-0000-000032870000}"/>
    <cellStyle name="Normal 2 5 4 2 2 2 3 2" xfId="30412" xr:uid="{00000000-0005-0000-0000-000033870000}"/>
    <cellStyle name="Normal 2 5 4 2 2 2 4" xfId="26011" xr:uid="{00000000-0005-0000-0000-000034870000}"/>
    <cellStyle name="Normal 2 5 4 2 2 3" xfId="8427" xr:uid="{00000000-0005-0000-0000-000035870000}"/>
    <cellStyle name="Normal 2 5 4 2 2 3 2" xfId="12734" xr:uid="{00000000-0005-0000-0000-000036870000}"/>
    <cellStyle name="Normal 2 5 4 2 2 3 2 2" xfId="32204" xr:uid="{00000000-0005-0000-0000-000037870000}"/>
    <cellStyle name="Normal 2 5 4 2 2 3 3" xfId="27907" xr:uid="{00000000-0005-0000-0000-000038870000}"/>
    <cellStyle name="Normal 2 5 4 2 2 4" xfId="9881" xr:uid="{00000000-0005-0000-0000-000039870000}"/>
    <cellStyle name="Normal 2 5 4 2 2 4 2" xfId="29351" xr:uid="{00000000-0005-0000-0000-00003A870000}"/>
    <cellStyle name="Normal 2 5 4 2 2 5" xfId="24889" xr:uid="{00000000-0005-0000-0000-00003B870000}"/>
    <cellStyle name="Normal 2 5 4 2 3" xfId="5990" xr:uid="{00000000-0005-0000-0000-00003C870000}"/>
    <cellStyle name="Normal 2 5 4 2 3 2" xfId="8429" xr:uid="{00000000-0005-0000-0000-00003D870000}"/>
    <cellStyle name="Normal 2 5 4 2 3 2 2" xfId="12736" xr:uid="{00000000-0005-0000-0000-00003E870000}"/>
    <cellStyle name="Normal 2 5 4 2 3 2 2 2" xfId="32206" xr:uid="{00000000-0005-0000-0000-00003F870000}"/>
    <cellStyle name="Normal 2 5 4 2 3 2 3" xfId="27909" xr:uid="{00000000-0005-0000-0000-000040870000}"/>
    <cellStyle name="Normal 2 5 4 2 3 3" xfId="10411" xr:uid="{00000000-0005-0000-0000-000041870000}"/>
    <cellStyle name="Normal 2 5 4 2 3 3 2" xfId="29881" xr:uid="{00000000-0005-0000-0000-000042870000}"/>
    <cellStyle name="Normal 2 5 4 2 3 4" xfId="25475" xr:uid="{00000000-0005-0000-0000-000043870000}"/>
    <cellStyle name="Normal 2 5 4 2 4" xfId="8426" xr:uid="{00000000-0005-0000-0000-000044870000}"/>
    <cellStyle name="Normal 2 5 4 2 4 2" xfId="12733" xr:uid="{00000000-0005-0000-0000-000045870000}"/>
    <cellStyle name="Normal 2 5 4 2 4 2 2" xfId="32203" xr:uid="{00000000-0005-0000-0000-000046870000}"/>
    <cellStyle name="Normal 2 5 4 2 4 3" xfId="27906" xr:uid="{00000000-0005-0000-0000-000047870000}"/>
    <cellStyle name="Normal 2 5 4 2 5" xfId="9351" xr:uid="{00000000-0005-0000-0000-000048870000}"/>
    <cellStyle name="Normal 2 5 4 2 5 2" xfId="28821" xr:uid="{00000000-0005-0000-0000-000049870000}"/>
    <cellStyle name="Normal 2 5 4 2 6" xfId="24274" xr:uid="{00000000-0005-0000-0000-00004A870000}"/>
    <cellStyle name="Normal 2 5 4 3" xfId="5103" xr:uid="{00000000-0005-0000-0000-00004B870000}"/>
    <cellStyle name="Normal 2 5 4 3 2" xfId="6259" xr:uid="{00000000-0005-0000-0000-00004C870000}"/>
    <cellStyle name="Normal 2 5 4 3 2 2" xfId="8431" xr:uid="{00000000-0005-0000-0000-00004D870000}"/>
    <cellStyle name="Normal 2 5 4 3 2 2 2" xfId="12738" xr:uid="{00000000-0005-0000-0000-00004E870000}"/>
    <cellStyle name="Normal 2 5 4 3 2 2 2 2" xfId="32208" xr:uid="{00000000-0005-0000-0000-00004F870000}"/>
    <cellStyle name="Normal 2 5 4 3 2 2 3" xfId="27911" xr:uid="{00000000-0005-0000-0000-000050870000}"/>
    <cellStyle name="Normal 2 5 4 3 2 3" xfId="10676" xr:uid="{00000000-0005-0000-0000-000051870000}"/>
    <cellStyle name="Normal 2 5 4 3 2 3 2" xfId="30146" xr:uid="{00000000-0005-0000-0000-000052870000}"/>
    <cellStyle name="Normal 2 5 4 3 2 4" xfId="25744" xr:uid="{00000000-0005-0000-0000-000053870000}"/>
    <cellStyle name="Normal 2 5 4 3 3" xfId="8430" xr:uid="{00000000-0005-0000-0000-000054870000}"/>
    <cellStyle name="Normal 2 5 4 3 3 2" xfId="12737" xr:uid="{00000000-0005-0000-0000-000055870000}"/>
    <cellStyle name="Normal 2 5 4 3 3 2 2" xfId="32207" xr:uid="{00000000-0005-0000-0000-000056870000}"/>
    <cellStyle name="Normal 2 5 4 3 3 3" xfId="27910" xr:uid="{00000000-0005-0000-0000-000057870000}"/>
    <cellStyle name="Normal 2 5 4 3 4" xfId="9616" xr:uid="{00000000-0005-0000-0000-000058870000}"/>
    <cellStyle name="Normal 2 5 4 3 4 2" xfId="29086" xr:uid="{00000000-0005-0000-0000-000059870000}"/>
    <cellStyle name="Normal 2 5 4 3 5" xfId="24594" xr:uid="{00000000-0005-0000-0000-00005A870000}"/>
    <cellStyle name="Normal 2 5 4 4" xfId="5712" xr:uid="{00000000-0005-0000-0000-00005B870000}"/>
    <cellStyle name="Normal 2 5 4 4 2" xfId="8432" xr:uid="{00000000-0005-0000-0000-00005C870000}"/>
    <cellStyle name="Normal 2 5 4 4 2 2" xfId="12739" xr:uid="{00000000-0005-0000-0000-00005D870000}"/>
    <cellStyle name="Normal 2 5 4 4 2 2 2" xfId="32209" xr:uid="{00000000-0005-0000-0000-00005E870000}"/>
    <cellStyle name="Normal 2 5 4 4 2 3" xfId="27912" xr:uid="{00000000-0005-0000-0000-00005F870000}"/>
    <cellStyle name="Normal 2 5 4 4 3" xfId="10146" xr:uid="{00000000-0005-0000-0000-000060870000}"/>
    <cellStyle name="Normal 2 5 4 4 3 2" xfId="29616" xr:uid="{00000000-0005-0000-0000-000061870000}"/>
    <cellStyle name="Normal 2 5 4 4 4" xfId="25197" xr:uid="{00000000-0005-0000-0000-000062870000}"/>
    <cellStyle name="Normal 2 5 4 5" xfId="8425" xr:uid="{00000000-0005-0000-0000-000063870000}"/>
    <cellStyle name="Normal 2 5 4 5 2" xfId="12732" xr:uid="{00000000-0005-0000-0000-000064870000}"/>
    <cellStyle name="Normal 2 5 4 5 2 2" xfId="32202" xr:uid="{00000000-0005-0000-0000-000065870000}"/>
    <cellStyle name="Normal 2 5 4 5 3" xfId="27905" xr:uid="{00000000-0005-0000-0000-000066870000}"/>
    <cellStyle name="Normal 2 5 4 6" xfId="9085" xr:uid="{00000000-0005-0000-0000-000067870000}"/>
    <cellStyle name="Normal 2 5 4 6 2" xfId="28556" xr:uid="{00000000-0005-0000-0000-000068870000}"/>
    <cellStyle name="Normal 2 5 4 7" xfId="23972" xr:uid="{00000000-0005-0000-0000-000069870000}"/>
    <cellStyle name="Normal 2 5 5" xfId="4607" xr:uid="{00000000-0005-0000-0000-00006A870000}"/>
    <cellStyle name="Normal 2 5 5 2" xfId="5247" xr:uid="{00000000-0005-0000-0000-00006B870000}"/>
    <cellStyle name="Normal 2 5 5 2 2" xfId="6381" xr:uid="{00000000-0005-0000-0000-00006C870000}"/>
    <cellStyle name="Normal 2 5 5 2 2 2" xfId="8435" xr:uid="{00000000-0005-0000-0000-00006D870000}"/>
    <cellStyle name="Normal 2 5 5 2 2 2 2" xfId="12742" xr:uid="{00000000-0005-0000-0000-00006E870000}"/>
    <cellStyle name="Normal 2 5 5 2 2 2 2 2" xfId="32212" xr:uid="{00000000-0005-0000-0000-00006F870000}"/>
    <cellStyle name="Normal 2 5 5 2 2 2 3" xfId="27915" xr:uid="{00000000-0005-0000-0000-000070870000}"/>
    <cellStyle name="Normal 2 5 5 2 2 3" xfId="10797" xr:uid="{00000000-0005-0000-0000-000071870000}"/>
    <cellStyle name="Normal 2 5 5 2 2 3 2" xfId="30267" xr:uid="{00000000-0005-0000-0000-000072870000}"/>
    <cellStyle name="Normal 2 5 5 2 2 4" xfId="25866" xr:uid="{00000000-0005-0000-0000-000073870000}"/>
    <cellStyle name="Normal 2 5 5 2 3" xfId="8434" xr:uid="{00000000-0005-0000-0000-000074870000}"/>
    <cellStyle name="Normal 2 5 5 2 3 2" xfId="12741" xr:uid="{00000000-0005-0000-0000-000075870000}"/>
    <cellStyle name="Normal 2 5 5 2 3 2 2" xfId="32211" xr:uid="{00000000-0005-0000-0000-000076870000}"/>
    <cellStyle name="Normal 2 5 5 2 3 3" xfId="27914" xr:uid="{00000000-0005-0000-0000-000077870000}"/>
    <cellStyle name="Normal 2 5 5 2 4" xfId="9736" xr:uid="{00000000-0005-0000-0000-000078870000}"/>
    <cellStyle name="Normal 2 5 5 2 4 2" xfId="29206" xr:uid="{00000000-0005-0000-0000-000079870000}"/>
    <cellStyle name="Normal 2 5 5 2 5" xfId="24738" xr:uid="{00000000-0005-0000-0000-00007A870000}"/>
    <cellStyle name="Normal 2 5 5 3" xfId="5844" xr:uid="{00000000-0005-0000-0000-00007B870000}"/>
    <cellStyle name="Normal 2 5 5 3 2" xfId="8436" xr:uid="{00000000-0005-0000-0000-00007C870000}"/>
    <cellStyle name="Normal 2 5 5 3 2 2" xfId="12743" xr:uid="{00000000-0005-0000-0000-00007D870000}"/>
    <cellStyle name="Normal 2 5 5 3 2 2 2" xfId="32213" xr:uid="{00000000-0005-0000-0000-00007E870000}"/>
    <cellStyle name="Normal 2 5 5 3 2 3" xfId="27916" xr:uid="{00000000-0005-0000-0000-00007F870000}"/>
    <cellStyle name="Normal 2 5 5 3 3" xfId="10266" xr:uid="{00000000-0005-0000-0000-000080870000}"/>
    <cellStyle name="Normal 2 5 5 3 3 2" xfId="29736" xr:uid="{00000000-0005-0000-0000-000081870000}"/>
    <cellStyle name="Normal 2 5 5 3 4" xfId="25329" xr:uid="{00000000-0005-0000-0000-000082870000}"/>
    <cellStyle name="Normal 2 5 5 4" xfId="8433" xr:uid="{00000000-0005-0000-0000-000083870000}"/>
    <cellStyle name="Normal 2 5 5 4 2" xfId="12740" xr:uid="{00000000-0005-0000-0000-000084870000}"/>
    <cellStyle name="Normal 2 5 5 4 2 2" xfId="32210" xr:uid="{00000000-0005-0000-0000-000085870000}"/>
    <cellStyle name="Normal 2 5 5 4 3" xfId="27913" xr:uid="{00000000-0005-0000-0000-000086870000}"/>
    <cellStyle name="Normal 2 5 5 5" xfId="9206" xr:uid="{00000000-0005-0000-0000-000087870000}"/>
    <cellStyle name="Normal 2 5 5 5 2" xfId="28676" xr:uid="{00000000-0005-0000-0000-000088870000}"/>
    <cellStyle name="Normal 2 5 5 6" xfId="24118" xr:uid="{00000000-0005-0000-0000-000089870000}"/>
    <cellStyle name="Normal 2 5 6" xfId="4951" xr:uid="{00000000-0005-0000-0000-00008A870000}"/>
    <cellStyle name="Normal 2 5 6 2" xfId="6113" xr:uid="{00000000-0005-0000-0000-00008B870000}"/>
    <cellStyle name="Normal 2 5 6 2 2" xfId="8438" xr:uid="{00000000-0005-0000-0000-00008C870000}"/>
    <cellStyle name="Normal 2 5 6 2 2 2" xfId="12745" xr:uid="{00000000-0005-0000-0000-00008D870000}"/>
    <cellStyle name="Normal 2 5 6 2 2 2 2" xfId="32215" xr:uid="{00000000-0005-0000-0000-00008E870000}"/>
    <cellStyle name="Normal 2 5 6 2 2 3" xfId="27918" xr:uid="{00000000-0005-0000-0000-00008F870000}"/>
    <cellStyle name="Normal 2 5 6 2 3" xfId="10531" xr:uid="{00000000-0005-0000-0000-000090870000}"/>
    <cellStyle name="Normal 2 5 6 2 3 2" xfId="30001" xr:uid="{00000000-0005-0000-0000-000091870000}"/>
    <cellStyle name="Normal 2 5 6 2 4" xfId="25598" xr:uid="{00000000-0005-0000-0000-000092870000}"/>
    <cellStyle name="Normal 2 5 6 3" xfId="8437" xr:uid="{00000000-0005-0000-0000-000093870000}"/>
    <cellStyle name="Normal 2 5 6 3 2" xfId="12744" xr:uid="{00000000-0005-0000-0000-000094870000}"/>
    <cellStyle name="Normal 2 5 6 3 2 2" xfId="32214" xr:uid="{00000000-0005-0000-0000-000095870000}"/>
    <cellStyle name="Normal 2 5 6 3 3" xfId="27917" xr:uid="{00000000-0005-0000-0000-000096870000}"/>
    <cellStyle name="Normal 2 5 6 4" xfId="9471" xr:uid="{00000000-0005-0000-0000-000097870000}"/>
    <cellStyle name="Normal 2 5 6 4 2" xfId="28941" xr:uid="{00000000-0005-0000-0000-000098870000}"/>
    <cellStyle name="Normal 2 5 6 5" xfId="24445" xr:uid="{00000000-0005-0000-0000-000099870000}"/>
    <cellStyle name="Normal 2 5 7" xfId="5555" xr:uid="{00000000-0005-0000-0000-00009A870000}"/>
    <cellStyle name="Normal 2 5 7 2" xfId="8439" xr:uid="{00000000-0005-0000-0000-00009B870000}"/>
    <cellStyle name="Normal 2 5 7 2 2" xfId="12746" xr:uid="{00000000-0005-0000-0000-00009C870000}"/>
    <cellStyle name="Normal 2 5 7 2 2 2" xfId="32216" xr:uid="{00000000-0005-0000-0000-00009D870000}"/>
    <cellStyle name="Normal 2 5 7 2 3" xfId="27919" xr:uid="{00000000-0005-0000-0000-00009E870000}"/>
    <cellStyle name="Normal 2 5 7 3" xfId="10001" xr:uid="{00000000-0005-0000-0000-00009F870000}"/>
    <cellStyle name="Normal 2 5 7 3 2" xfId="29471" xr:uid="{00000000-0005-0000-0000-0000A0870000}"/>
    <cellStyle name="Normal 2 5 7 4" xfId="25043" xr:uid="{00000000-0005-0000-0000-0000A1870000}"/>
    <cellStyle name="Normal 2 5 8" xfId="8392" xr:uid="{00000000-0005-0000-0000-0000A2870000}"/>
    <cellStyle name="Normal 2 5 8 2" xfId="12699" xr:uid="{00000000-0005-0000-0000-0000A3870000}"/>
    <cellStyle name="Normal 2 5 8 2 2" xfId="32169" xr:uid="{00000000-0005-0000-0000-0000A4870000}"/>
    <cellStyle name="Normal 2 5 8 3" xfId="27872" xr:uid="{00000000-0005-0000-0000-0000A5870000}"/>
    <cellStyle name="Normal 2 5 9" xfId="8937" xr:uid="{00000000-0005-0000-0000-0000A6870000}"/>
    <cellStyle name="Normal 2 5 9 2" xfId="28411" xr:uid="{00000000-0005-0000-0000-0000A7870000}"/>
    <cellStyle name="Normal 2 6" xfId="2896" xr:uid="{00000000-0005-0000-0000-0000A8870000}"/>
    <cellStyle name="Normal 2 6 2" xfId="3089" xr:uid="{00000000-0005-0000-0000-0000A9870000}"/>
    <cellStyle name="Normal 2 6 2 2" xfId="4716" xr:uid="{00000000-0005-0000-0000-0000AA870000}"/>
    <cellStyle name="Normal 2 6 2 2 2" xfId="5350" xr:uid="{00000000-0005-0000-0000-0000AB870000}"/>
    <cellStyle name="Normal 2 6 2 2 2 2" xfId="6484" xr:uid="{00000000-0005-0000-0000-0000AC870000}"/>
    <cellStyle name="Normal 2 6 2 2 2 2 2" xfId="8444" xr:uid="{00000000-0005-0000-0000-0000AD870000}"/>
    <cellStyle name="Normal 2 6 2 2 2 2 2 2" xfId="12751" xr:uid="{00000000-0005-0000-0000-0000AE870000}"/>
    <cellStyle name="Normal 2 6 2 2 2 2 2 2 2" xfId="32221" xr:uid="{00000000-0005-0000-0000-0000AF870000}"/>
    <cellStyle name="Normal 2 6 2 2 2 2 2 3" xfId="27924" xr:uid="{00000000-0005-0000-0000-0000B0870000}"/>
    <cellStyle name="Normal 2 6 2 2 2 2 3" xfId="10900" xr:uid="{00000000-0005-0000-0000-0000B1870000}"/>
    <cellStyle name="Normal 2 6 2 2 2 2 3 2" xfId="30370" xr:uid="{00000000-0005-0000-0000-0000B2870000}"/>
    <cellStyle name="Normal 2 6 2 2 2 2 4" xfId="25969" xr:uid="{00000000-0005-0000-0000-0000B3870000}"/>
    <cellStyle name="Normal 2 6 2 2 2 3" xfId="8443" xr:uid="{00000000-0005-0000-0000-0000B4870000}"/>
    <cellStyle name="Normal 2 6 2 2 2 3 2" xfId="12750" xr:uid="{00000000-0005-0000-0000-0000B5870000}"/>
    <cellStyle name="Normal 2 6 2 2 2 3 2 2" xfId="32220" xr:uid="{00000000-0005-0000-0000-0000B6870000}"/>
    <cellStyle name="Normal 2 6 2 2 2 3 3" xfId="27923" xr:uid="{00000000-0005-0000-0000-0000B7870000}"/>
    <cellStyle name="Normal 2 6 2 2 2 4" xfId="9839" xr:uid="{00000000-0005-0000-0000-0000B8870000}"/>
    <cellStyle name="Normal 2 6 2 2 2 4 2" xfId="29309" xr:uid="{00000000-0005-0000-0000-0000B9870000}"/>
    <cellStyle name="Normal 2 6 2 2 2 5" xfId="24841" xr:uid="{00000000-0005-0000-0000-0000BA870000}"/>
    <cellStyle name="Normal 2 6 2 2 3" xfId="5947" xr:uid="{00000000-0005-0000-0000-0000BB870000}"/>
    <cellStyle name="Normal 2 6 2 2 3 2" xfId="8445" xr:uid="{00000000-0005-0000-0000-0000BC870000}"/>
    <cellStyle name="Normal 2 6 2 2 3 2 2" xfId="12752" xr:uid="{00000000-0005-0000-0000-0000BD870000}"/>
    <cellStyle name="Normal 2 6 2 2 3 2 2 2" xfId="32222" xr:uid="{00000000-0005-0000-0000-0000BE870000}"/>
    <cellStyle name="Normal 2 6 2 2 3 2 3" xfId="27925" xr:uid="{00000000-0005-0000-0000-0000BF870000}"/>
    <cellStyle name="Normal 2 6 2 2 3 3" xfId="10369" xr:uid="{00000000-0005-0000-0000-0000C0870000}"/>
    <cellStyle name="Normal 2 6 2 2 3 3 2" xfId="29839" xr:uid="{00000000-0005-0000-0000-0000C1870000}"/>
    <cellStyle name="Normal 2 6 2 2 3 4" xfId="25432" xr:uid="{00000000-0005-0000-0000-0000C2870000}"/>
    <cellStyle name="Normal 2 6 2 2 4" xfId="8442" xr:uid="{00000000-0005-0000-0000-0000C3870000}"/>
    <cellStyle name="Normal 2 6 2 2 4 2" xfId="12749" xr:uid="{00000000-0005-0000-0000-0000C4870000}"/>
    <cellStyle name="Normal 2 6 2 2 4 2 2" xfId="32219" xr:uid="{00000000-0005-0000-0000-0000C5870000}"/>
    <cellStyle name="Normal 2 6 2 2 4 3" xfId="27922" xr:uid="{00000000-0005-0000-0000-0000C6870000}"/>
    <cellStyle name="Normal 2 6 2 2 5" xfId="9309" xr:uid="{00000000-0005-0000-0000-0000C7870000}"/>
    <cellStyle name="Normal 2 6 2 2 5 2" xfId="28779" xr:uid="{00000000-0005-0000-0000-0000C8870000}"/>
    <cellStyle name="Normal 2 6 2 2 6" xfId="24227" xr:uid="{00000000-0005-0000-0000-0000C9870000}"/>
    <cellStyle name="Normal 2 6 2 3" xfId="5054" xr:uid="{00000000-0005-0000-0000-0000CA870000}"/>
    <cellStyle name="Normal 2 6 2 3 2" xfId="6216" xr:uid="{00000000-0005-0000-0000-0000CB870000}"/>
    <cellStyle name="Normal 2 6 2 3 2 2" xfId="8447" xr:uid="{00000000-0005-0000-0000-0000CC870000}"/>
    <cellStyle name="Normal 2 6 2 3 2 2 2" xfId="12754" xr:uid="{00000000-0005-0000-0000-0000CD870000}"/>
    <cellStyle name="Normal 2 6 2 3 2 2 2 2" xfId="32224" xr:uid="{00000000-0005-0000-0000-0000CE870000}"/>
    <cellStyle name="Normal 2 6 2 3 2 2 3" xfId="27927" xr:uid="{00000000-0005-0000-0000-0000CF870000}"/>
    <cellStyle name="Normal 2 6 2 3 2 3" xfId="10634" xr:uid="{00000000-0005-0000-0000-0000D0870000}"/>
    <cellStyle name="Normal 2 6 2 3 2 3 2" xfId="30104" xr:uid="{00000000-0005-0000-0000-0000D1870000}"/>
    <cellStyle name="Normal 2 6 2 3 2 4" xfId="25701" xr:uid="{00000000-0005-0000-0000-0000D2870000}"/>
    <cellStyle name="Normal 2 6 2 3 3" xfId="8446" xr:uid="{00000000-0005-0000-0000-0000D3870000}"/>
    <cellStyle name="Normal 2 6 2 3 3 2" xfId="12753" xr:uid="{00000000-0005-0000-0000-0000D4870000}"/>
    <cellStyle name="Normal 2 6 2 3 3 2 2" xfId="32223" xr:uid="{00000000-0005-0000-0000-0000D5870000}"/>
    <cellStyle name="Normal 2 6 2 3 3 3" xfId="27926" xr:uid="{00000000-0005-0000-0000-0000D6870000}"/>
    <cellStyle name="Normal 2 6 2 3 4" xfId="9574" xr:uid="{00000000-0005-0000-0000-0000D7870000}"/>
    <cellStyle name="Normal 2 6 2 3 4 2" xfId="29044" xr:uid="{00000000-0005-0000-0000-0000D8870000}"/>
    <cellStyle name="Normal 2 6 2 3 5" xfId="24548" xr:uid="{00000000-0005-0000-0000-0000D9870000}"/>
    <cellStyle name="Normal 2 6 2 4" xfId="5659" xr:uid="{00000000-0005-0000-0000-0000DA870000}"/>
    <cellStyle name="Normal 2 6 2 4 2" xfId="8448" xr:uid="{00000000-0005-0000-0000-0000DB870000}"/>
    <cellStyle name="Normal 2 6 2 4 2 2" xfId="12755" xr:uid="{00000000-0005-0000-0000-0000DC870000}"/>
    <cellStyle name="Normal 2 6 2 4 2 2 2" xfId="32225" xr:uid="{00000000-0005-0000-0000-0000DD870000}"/>
    <cellStyle name="Normal 2 6 2 4 2 3" xfId="27928" xr:uid="{00000000-0005-0000-0000-0000DE870000}"/>
    <cellStyle name="Normal 2 6 2 4 3" xfId="10104" xr:uid="{00000000-0005-0000-0000-0000DF870000}"/>
    <cellStyle name="Normal 2 6 2 4 3 2" xfId="29574" xr:uid="{00000000-0005-0000-0000-0000E0870000}"/>
    <cellStyle name="Normal 2 6 2 4 4" xfId="25146" xr:uid="{00000000-0005-0000-0000-0000E1870000}"/>
    <cellStyle name="Normal 2 6 2 5" xfId="8441" xr:uid="{00000000-0005-0000-0000-0000E2870000}"/>
    <cellStyle name="Normal 2 6 2 5 2" xfId="12748" xr:uid="{00000000-0005-0000-0000-0000E3870000}"/>
    <cellStyle name="Normal 2 6 2 5 2 2" xfId="32218" xr:uid="{00000000-0005-0000-0000-0000E4870000}"/>
    <cellStyle name="Normal 2 6 2 5 3" xfId="27921" xr:uid="{00000000-0005-0000-0000-0000E5870000}"/>
    <cellStyle name="Normal 2 6 2 6" xfId="9040" xr:uid="{00000000-0005-0000-0000-0000E6870000}"/>
    <cellStyle name="Normal 2 6 2 6 2" xfId="28514" xr:uid="{00000000-0005-0000-0000-0000E7870000}"/>
    <cellStyle name="Normal 2 6 2 7" xfId="23898" xr:uid="{00000000-0005-0000-0000-0000E8870000}"/>
    <cellStyle name="Normal 2 6 3" xfId="4234" xr:uid="{00000000-0005-0000-0000-0000E9870000}"/>
    <cellStyle name="Normal 2 6 3 2" xfId="4809" xr:uid="{00000000-0005-0000-0000-0000EA870000}"/>
    <cellStyle name="Normal 2 6 3 2 2" xfId="5434" xr:uid="{00000000-0005-0000-0000-0000EB870000}"/>
    <cellStyle name="Normal 2 6 3 2 2 2" xfId="6562" xr:uid="{00000000-0005-0000-0000-0000EC870000}"/>
    <cellStyle name="Normal 2 6 3 2 2 2 2" xfId="8452" xr:uid="{00000000-0005-0000-0000-0000ED870000}"/>
    <cellStyle name="Normal 2 6 3 2 2 2 2 2" xfId="12759" xr:uid="{00000000-0005-0000-0000-0000EE870000}"/>
    <cellStyle name="Normal 2 6 3 2 2 2 2 2 2" xfId="32229" xr:uid="{00000000-0005-0000-0000-0000EF870000}"/>
    <cellStyle name="Normal 2 6 3 2 2 2 2 3" xfId="27932" xr:uid="{00000000-0005-0000-0000-0000F0870000}"/>
    <cellStyle name="Normal 2 6 3 2 2 2 3" xfId="10978" xr:uid="{00000000-0005-0000-0000-0000F1870000}"/>
    <cellStyle name="Normal 2 6 3 2 2 2 3 2" xfId="30448" xr:uid="{00000000-0005-0000-0000-0000F2870000}"/>
    <cellStyle name="Normal 2 6 3 2 2 2 4" xfId="26047" xr:uid="{00000000-0005-0000-0000-0000F3870000}"/>
    <cellStyle name="Normal 2 6 3 2 2 3" xfId="8451" xr:uid="{00000000-0005-0000-0000-0000F4870000}"/>
    <cellStyle name="Normal 2 6 3 2 2 3 2" xfId="12758" xr:uid="{00000000-0005-0000-0000-0000F5870000}"/>
    <cellStyle name="Normal 2 6 3 2 2 3 2 2" xfId="32228" xr:uid="{00000000-0005-0000-0000-0000F6870000}"/>
    <cellStyle name="Normal 2 6 3 2 2 3 3" xfId="27931" xr:uid="{00000000-0005-0000-0000-0000F7870000}"/>
    <cellStyle name="Normal 2 6 3 2 2 4" xfId="9917" xr:uid="{00000000-0005-0000-0000-0000F8870000}"/>
    <cellStyle name="Normal 2 6 3 2 2 4 2" xfId="29387" xr:uid="{00000000-0005-0000-0000-0000F9870000}"/>
    <cellStyle name="Normal 2 6 3 2 2 5" xfId="24925" xr:uid="{00000000-0005-0000-0000-0000FA870000}"/>
    <cellStyle name="Normal 2 6 3 2 3" xfId="6027" xr:uid="{00000000-0005-0000-0000-0000FB870000}"/>
    <cellStyle name="Normal 2 6 3 2 3 2" xfId="8453" xr:uid="{00000000-0005-0000-0000-0000FC870000}"/>
    <cellStyle name="Normal 2 6 3 2 3 2 2" xfId="12760" xr:uid="{00000000-0005-0000-0000-0000FD870000}"/>
    <cellStyle name="Normal 2 6 3 2 3 2 2 2" xfId="32230" xr:uid="{00000000-0005-0000-0000-0000FE870000}"/>
    <cellStyle name="Normal 2 6 3 2 3 2 3" xfId="27933" xr:uid="{00000000-0005-0000-0000-0000FF870000}"/>
    <cellStyle name="Normal 2 6 3 2 3 3" xfId="10447" xr:uid="{00000000-0005-0000-0000-000000880000}"/>
    <cellStyle name="Normal 2 6 3 2 3 3 2" xfId="29917" xr:uid="{00000000-0005-0000-0000-000001880000}"/>
    <cellStyle name="Normal 2 6 3 2 3 4" xfId="25512" xr:uid="{00000000-0005-0000-0000-000002880000}"/>
    <cellStyle name="Normal 2 6 3 2 4" xfId="8450" xr:uid="{00000000-0005-0000-0000-000003880000}"/>
    <cellStyle name="Normal 2 6 3 2 4 2" xfId="12757" xr:uid="{00000000-0005-0000-0000-000004880000}"/>
    <cellStyle name="Normal 2 6 3 2 4 2 2" xfId="32227" xr:uid="{00000000-0005-0000-0000-000005880000}"/>
    <cellStyle name="Normal 2 6 3 2 4 3" xfId="27930" xr:uid="{00000000-0005-0000-0000-000006880000}"/>
    <cellStyle name="Normal 2 6 3 2 5" xfId="9387" xr:uid="{00000000-0005-0000-0000-000007880000}"/>
    <cellStyle name="Normal 2 6 3 2 5 2" xfId="28857" xr:uid="{00000000-0005-0000-0000-000008880000}"/>
    <cellStyle name="Normal 2 6 3 2 6" xfId="24311" xr:uid="{00000000-0005-0000-0000-000009880000}"/>
    <cellStyle name="Normal 2 6 3 3" xfId="5139" xr:uid="{00000000-0005-0000-0000-00000A880000}"/>
    <cellStyle name="Normal 2 6 3 3 2" xfId="6295" xr:uid="{00000000-0005-0000-0000-00000B880000}"/>
    <cellStyle name="Normal 2 6 3 3 2 2" xfId="8455" xr:uid="{00000000-0005-0000-0000-00000C880000}"/>
    <cellStyle name="Normal 2 6 3 3 2 2 2" xfId="12762" xr:uid="{00000000-0005-0000-0000-00000D880000}"/>
    <cellStyle name="Normal 2 6 3 3 2 2 2 2" xfId="32232" xr:uid="{00000000-0005-0000-0000-00000E880000}"/>
    <cellStyle name="Normal 2 6 3 3 2 2 3" xfId="27935" xr:uid="{00000000-0005-0000-0000-00000F880000}"/>
    <cellStyle name="Normal 2 6 3 3 2 3" xfId="10712" xr:uid="{00000000-0005-0000-0000-000010880000}"/>
    <cellStyle name="Normal 2 6 3 3 2 3 2" xfId="30182" xr:uid="{00000000-0005-0000-0000-000011880000}"/>
    <cellStyle name="Normal 2 6 3 3 2 4" xfId="25780" xr:uid="{00000000-0005-0000-0000-000012880000}"/>
    <cellStyle name="Normal 2 6 3 3 3" xfId="8454" xr:uid="{00000000-0005-0000-0000-000013880000}"/>
    <cellStyle name="Normal 2 6 3 3 3 2" xfId="12761" xr:uid="{00000000-0005-0000-0000-000014880000}"/>
    <cellStyle name="Normal 2 6 3 3 3 2 2" xfId="32231" xr:uid="{00000000-0005-0000-0000-000015880000}"/>
    <cellStyle name="Normal 2 6 3 3 3 3" xfId="27934" xr:uid="{00000000-0005-0000-0000-000016880000}"/>
    <cellStyle name="Normal 2 6 3 3 4" xfId="9652" xr:uid="{00000000-0005-0000-0000-000017880000}"/>
    <cellStyle name="Normal 2 6 3 3 4 2" xfId="29122" xr:uid="{00000000-0005-0000-0000-000018880000}"/>
    <cellStyle name="Normal 2 6 3 3 5" xfId="24630" xr:uid="{00000000-0005-0000-0000-000019880000}"/>
    <cellStyle name="Normal 2 6 3 4" xfId="5748" xr:uid="{00000000-0005-0000-0000-00001A880000}"/>
    <cellStyle name="Normal 2 6 3 4 2" xfId="8456" xr:uid="{00000000-0005-0000-0000-00001B880000}"/>
    <cellStyle name="Normal 2 6 3 4 2 2" xfId="12763" xr:uid="{00000000-0005-0000-0000-00001C880000}"/>
    <cellStyle name="Normal 2 6 3 4 2 2 2" xfId="32233" xr:uid="{00000000-0005-0000-0000-00001D880000}"/>
    <cellStyle name="Normal 2 6 3 4 2 3" xfId="27936" xr:uid="{00000000-0005-0000-0000-00001E880000}"/>
    <cellStyle name="Normal 2 6 3 4 3" xfId="10182" xr:uid="{00000000-0005-0000-0000-00001F880000}"/>
    <cellStyle name="Normal 2 6 3 4 3 2" xfId="29652" xr:uid="{00000000-0005-0000-0000-000020880000}"/>
    <cellStyle name="Normal 2 6 3 4 4" xfId="25233" xr:uid="{00000000-0005-0000-0000-000021880000}"/>
    <cellStyle name="Normal 2 6 3 5" xfId="8449" xr:uid="{00000000-0005-0000-0000-000022880000}"/>
    <cellStyle name="Normal 2 6 3 5 2" xfId="12756" xr:uid="{00000000-0005-0000-0000-000023880000}"/>
    <cellStyle name="Normal 2 6 3 5 2 2" xfId="32226" xr:uid="{00000000-0005-0000-0000-000024880000}"/>
    <cellStyle name="Normal 2 6 3 5 3" xfId="27929" xr:uid="{00000000-0005-0000-0000-000025880000}"/>
    <cellStyle name="Normal 2 6 3 6" xfId="9121" xr:uid="{00000000-0005-0000-0000-000026880000}"/>
    <cellStyle name="Normal 2 6 3 6 2" xfId="28592" xr:uid="{00000000-0005-0000-0000-000027880000}"/>
    <cellStyle name="Normal 2 6 3 7" xfId="24010" xr:uid="{00000000-0005-0000-0000-000028880000}"/>
    <cellStyle name="Normal 2 6 4" xfId="4644" xr:uid="{00000000-0005-0000-0000-000029880000}"/>
    <cellStyle name="Normal 2 6 4 2" xfId="5284" xr:uid="{00000000-0005-0000-0000-00002A880000}"/>
    <cellStyle name="Normal 2 6 4 2 2" xfId="6418" xr:uid="{00000000-0005-0000-0000-00002B880000}"/>
    <cellStyle name="Normal 2 6 4 2 2 2" xfId="8459" xr:uid="{00000000-0005-0000-0000-00002C880000}"/>
    <cellStyle name="Normal 2 6 4 2 2 2 2" xfId="12766" xr:uid="{00000000-0005-0000-0000-00002D880000}"/>
    <cellStyle name="Normal 2 6 4 2 2 2 2 2" xfId="32236" xr:uid="{00000000-0005-0000-0000-00002E880000}"/>
    <cellStyle name="Normal 2 6 4 2 2 2 3" xfId="27939" xr:uid="{00000000-0005-0000-0000-00002F880000}"/>
    <cellStyle name="Normal 2 6 4 2 2 3" xfId="10834" xr:uid="{00000000-0005-0000-0000-000030880000}"/>
    <cellStyle name="Normal 2 6 4 2 2 3 2" xfId="30304" xr:uid="{00000000-0005-0000-0000-000031880000}"/>
    <cellStyle name="Normal 2 6 4 2 2 4" xfId="25903" xr:uid="{00000000-0005-0000-0000-000032880000}"/>
    <cellStyle name="Normal 2 6 4 2 3" xfId="8458" xr:uid="{00000000-0005-0000-0000-000033880000}"/>
    <cellStyle name="Normal 2 6 4 2 3 2" xfId="12765" xr:uid="{00000000-0005-0000-0000-000034880000}"/>
    <cellStyle name="Normal 2 6 4 2 3 2 2" xfId="32235" xr:uid="{00000000-0005-0000-0000-000035880000}"/>
    <cellStyle name="Normal 2 6 4 2 3 3" xfId="27938" xr:uid="{00000000-0005-0000-0000-000036880000}"/>
    <cellStyle name="Normal 2 6 4 2 4" xfId="9773" xr:uid="{00000000-0005-0000-0000-000037880000}"/>
    <cellStyle name="Normal 2 6 4 2 4 2" xfId="29243" xr:uid="{00000000-0005-0000-0000-000038880000}"/>
    <cellStyle name="Normal 2 6 4 2 5" xfId="24775" xr:uid="{00000000-0005-0000-0000-000039880000}"/>
    <cellStyle name="Normal 2 6 4 3" xfId="5881" xr:uid="{00000000-0005-0000-0000-00003A880000}"/>
    <cellStyle name="Normal 2 6 4 3 2" xfId="8460" xr:uid="{00000000-0005-0000-0000-00003B880000}"/>
    <cellStyle name="Normal 2 6 4 3 2 2" xfId="12767" xr:uid="{00000000-0005-0000-0000-00003C880000}"/>
    <cellStyle name="Normal 2 6 4 3 2 2 2" xfId="32237" xr:uid="{00000000-0005-0000-0000-00003D880000}"/>
    <cellStyle name="Normal 2 6 4 3 2 3" xfId="27940" xr:uid="{00000000-0005-0000-0000-00003E880000}"/>
    <cellStyle name="Normal 2 6 4 3 3" xfId="10303" xr:uid="{00000000-0005-0000-0000-00003F880000}"/>
    <cellStyle name="Normal 2 6 4 3 3 2" xfId="29773" xr:uid="{00000000-0005-0000-0000-000040880000}"/>
    <cellStyle name="Normal 2 6 4 3 4" xfId="25366" xr:uid="{00000000-0005-0000-0000-000041880000}"/>
    <cellStyle name="Normal 2 6 4 4" xfId="8457" xr:uid="{00000000-0005-0000-0000-000042880000}"/>
    <cellStyle name="Normal 2 6 4 4 2" xfId="12764" xr:uid="{00000000-0005-0000-0000-000043880000}"/>
    <cellStyle name="Normal 2 6 4 4 2 2" xfId="32234" xr:uid="{00000000-0005-0000-0000-000044880000}"/>
    <cellStyle name="Normal 2 6 4 4 3" xfId="27937" xr:uid="{00000000-0005-0000-0000-000045880000}"/>
    <cellStyle name="Normal 2 6 4 5" xfId="9243" xr:uid="{00000000-0005-0000-0000-000046880000}"/>
    <cellStyle name="Normal 2 6 4 5 2" xfId="28713" xr:uid="{00000000-0005-0000-0000-000047880000}"/>
    <cellStyle name="Normal 2 6 4 6" xfId="24155" xr:uid="{00000000-0005-0000-0000-000048880000}"/>
    <cellStyle name="Normal 2 6 5" xfId="4988" xr:uid="{00000000-0005-0000-0000-000049880000}"/>
    <cellStyle name="Normal 2 6 5 2" xfId="6150" xr:uid="{00000000-0005-0000-0000-00004A880000}"/>
    <cellStyle name="Normal 2 6 5 2 2" xfId="8462" xr:uid="{00000000-0005-0000-0000-00004B880000}"/>
    <cellStyle name="Normal 2 6 5 2 2 2" xfId="12769" xr:uid="{00000000-0005-0000-0000-00004C880000}"/>
    <cellStyle name="Normal 2 6 5 2 2 2 2" xfId="32239" xr:uid="{00000000-0005-0000-0000-00004D880000}"/>
    <cellStyle name="Normal 2 6 5 2 2 3" xfId="27942" xr:uid="{00000000-0005-0000-0000-00004E880000}"/>
    <cellStyle name="Normal 2 6 5 2 3" xfId="10568" xr:uid="{00000000-0005-0000-0000-00004F880000}"/>
    <cellStyle name="Normal 2 6 5 2 3 2" xfId="30038" xr:uid="{00000000-0005-0000-0000-000050880000}"/>
    <cellStyle name="Normal 2 6 5 2 4" xfId="25635" xr:uid="{00000000-0005-0000-0000-000051880000}"/>
    <cellStyle name="Normal 2 6 5 3" xfId="8461" xr:uid="{00000000-0005-0000-0000-000052880000}"/>
    <cellStyle name="Normal 2 6 5 3 2" xfId="12768" xr:uid="{00000000-0005-0000-0000-000053880000}"/>
    <cellStyle name="Normal 2 6 5 3 2 2" xfId="32238" xr:uid="{00000000-0005-0000-0000-000054880000}"/>
    <cellStyle name="Normal 2 6 5 3 3" xfId="27941" xr:uid="{00000000-0005-0000-0000-000055880000}"/>
    <cellStyle name="Normal 2 6 5 4" xfId="9508" xr:uid="{00000000-0005-0000-0000-000056880000}"/>
    <cellStyle name="Normal 2 6 5 4 2" xfId="28978" xr:uid="{00000000-0005-0000-0000-000057880000}"/>
    <cellStyle name="Normal 2 6 5 5" xfId="24482" xr:uid="{00000000-0005-0000-0000-000058880000}"/>
    <cellStyle name="Normal 2 6 6" xfId="5593" xr:uid="{00000000-0005-0000-0000-000059880000}"/>
    <cellStyle name="Normal 2 6 6 2" xfId="8463" xr:uid="{00000000-0005-0000-0000-00005A880000}"/>
    <cellStyle name="Normal 2 6 6 2 2" xfId="12770" xr:uid="{00000000-0005-0000-0000-00005B880000}"/>
    <cellStyle name="Normal 2 6 6 2 2 2" xfId="32240" xr:uid="{00000000-0005-0000-0000-00005C880000}"/>
    <cellStyle name="Normal 2 6 6 2 3" xfId="27943" xr:uid="{00000000-0005-0000-0000-00005D880000}"/>
    <cellStyle name="Normal 2 6 6 3" xfId="10038" xr:uid="{00000000-0005-0000-0000-00005E880000}"/>
    <cellStyle name="Normal 2 6 6 3 2" xfId="29508" xr:uid="{00000000-0005-0000-0000-00005F880000}"/>
    <cellStyle name="Normal 2 6 6 4" xfId="25080" xr:uid="{00000000-0005-0000-0000-000060880000}"/>
    <cellStyle name="Normal 2 6 7" xfId="8440" xr:uid="{00000000-0005-0000-0000-000061880000}"/>
    <cellStyle name="Normal 2 6 7 2" xfId="12747" xr:uid="{00000000-0005-0000-0000-000062880000}"/>
    <cellStyle name="Normal 2 6 7 2 2" xfId="32217" xr:uid="{00000000-0005-0000-0000-000063880000}"/>
    <cellStyle name="Normal 2 6 7 3" xfId="27920" xr:uid="{00000000-0005-0000-0000-000064880000}"/>
    <cellStyle name="Normal 2 6 8" xfId="8974" xr:uid="{00000000-0005-0000-0000-000065880000}"/>
    <cellStyle name="Normal 2 6 8 2" xfId="28448" xr:uid="{00000000-0005-0000-0000-000066880000}"/>
    <cellStyle name="Normal 2 6 9" xfId="23706" xr:uid="{00000000-0005-0000-0000-000067880000}"/>
    <cellStyle name="Normal 2 7" xfId="4105" xr:uid="{00000000-0005-0000-0000-000068880000}"/>
    <cellStyle name="Normal 2 7 2" xfId="4751" xr:uid="{00000000-0005-0000-0000-000069880000}"/>
    <cellStyle name="Normal 2 7 2 2" xfId="5380" xr:uid="{00000000-0005-0000-0000-00006A880000}"/>
    <cellStyle name="Normal 2 7 2 2 2" xfId="6508" xr:uid="{00000000-0005-0000-0000-00006B880000}"/>
    <cellStyle name="Normal 2 7 2 2 2 2" xfId="8467" xr:uid="{00000000-0005-0000-0000-00006C880000}"/>
    <cellStyle name="Normal 2 7 2 2 2 2 2" xfId="12774" xr:uid="{00000000-0005-0000-0000-00006D880000}"/>
    <cellStyle name="Normal 2 7 2 2 2 2 2 2" xfId="32244" xr:uid="{00000000-0005-0000-0000-00006E880000}"/>
    <cellStyle name="Normal 2 7 2 2 2 2 3" xfId="27947" xr:uid="{00000000-0005-0000-0000-00006F880000}"/>
    <cellStyle name="Normal 2 7 2 2 2 3" xfId="10924" xr:uid="{00000000-0005-0000-0000-000070880000}"/>
    <cellStyle name="Normal 2 7 2 2 2 3 2" xfId="30394" xr:uid="{00000000-0005-0000-0000-000071880000}"/>
    <cellStyle name="Normal 2 7 2 2 2 4" xfId="25993" xr:uid="{00000000-0005-0000-0000-000072880000}"/>
    <cellStyle name="Normal 2 7 2 2 3" xfId="8466" xr:uid="{00000000-0005-0000-0000-000073880000}"/>
    <cellStyle name="Normal 2 7 2 2 3 2" xfId="12773" xr:uid="{00000000-0005-0000-0000-000074880000}"/>
    <cellStyle name="Normal 2 7 2 2 3 2 2" xfId="32243" xr:uid="{00000000-0005-0000-0000-000075880000}"/>
    <cellStyle name="Normal 2 7 2 2 3 3" xfId="27946" xr:uid="{00000000-0005-0000-0000-000076880000}"/>
    <cellStyle name="Normal 2 7 2 2 4" xfId="9863" xr:uid="{00000000-0005-0000-0000-000077880000}"/>
    <cellStyle name="Normal 2 7 2 2 4 2" xfId="29333" xr:uid="{00000000-0005-0000-0000-000078880000}"/>
    <cellStyle name="Normal 2 7 2 2 5" xfId="24871" xr:uid="{00000000-0005-0000-0000-000079880000}"/>
    <cellStyle name="Normal 2 7 2 3" xfId="5971" xr:uid="{00000000-0005-0000-0000-00007A880000}"/>
    <cellStyle name="Normal 2 7 2 3 2" xfId="8468" xr:uid="{00000000-0005-0000-0000-00007B880000}"/>
    <cellStyle name="Normal 2 7 2 3 2 2" xfId="12775" xr:uid="{00000000-0005-0000-0000-00007C880000}"/>
    <cellStyle name="Normal 2 7 2 3 2 2 2" xfId="32245" xr:uid="{00000000-0005-0000-0000-00007D880000}"/>
    <cellStyle name="Normal 2 7 2 3 2 3" xfId="27948" xr:uid="{00000000-0005-0000-0000-00007E880000}"/>
    <cellStyle name="Normal 2 7 2 3 3" xfId="10393" xr:uid="{00000000-0005-0000-0000-00007F880000}"/>
    <cellStyle name="Normal 2 7 2 3 3 2" xfId="29863" xr:uid="{00000000-0005-0000-0000-000080880000}"/>
    <cellStyle name="Normal 2 7 2 3 4" xfId="25456" xr:uid="{00000000-0005-0000-0000-000081880000}"/>
    <cellStyle name="Normal 2 7 2 4" xfId="8465" xr:uid="{00000000-0005-0000-0000-000082880000}"/>
    <cellStyle name="Normal 2 7 2 4 2" xfId="12772" xr:uid="{00000000-0005-0000-0000-000083880000}"/>
    <cellStyle name="Normal 2 7 2 4 2 2" xfId="32242" xr:uid="{00000000-0005-0000-0000-000084880000}"/>
    <cellStyle name="Normal 2 7 2 4 3" xfId="27945" xr:uid="{00000000-0005-0000-0000-000085880000}"/>
    <cellStyle name="Normal 2 7 2 5" xfId="9333" xr:uid="{00000000-0005-0000-0000-000086880000}"/>
    <cellStyle name="Normal 2 7 2 5 2" xfId="28803" xr:uid="{00000000-0005-0000-0000-000087880000}"/>
    <cellStyle name="Normal 2 7 2 6" xfId="24256" xr:uid="{00000000-0005-0000-0000-000088880000}"/>
    <cellStyle name="Normal 2 7 3" xfId="5085" xr:uid="{00000000-0005-0000-0000-000089880000}"/>
    <cellStyle name="Normal 2 7 3 2" xfId="6241" xr:uid="{00000000-0005-0000-0000-00008A880000}"/>
    <cellStyle name="Normal 2 7 3 2 2" xfId="8470" xr:uid="{00000000-0005-0000-0000-00008B880000}"/>
    <cellStyle name="Normal 2 7 3 2 2 2" xfId="12777" xr:uid="{00000000-0005-0000-0000-00008C880000}"/>
    <cellStyle name="Normal 2 7 3 2 2 2 2" xfId="32247" xr:uid="{00000000-0005-0000-0000-00008D880000}"/>
    <cellStyle name="Normal 2 7 3 2 2 3" xfId="27950" xr:uid="{00000000-0005-0000-0000-00008E880000}"/>
    <cellStyle name="Normal 2 7 3 2 3" xfId="10658" xr:uid="{00000000-0005-0000-0000-00008F880000}"/>
    <cellStyle name="Normal 2 7 3 2 3 2" xfId="30128" xr:uid="{00000000-0005-0000-0000-000090880000}"/>
    <cellStyle name="Normal 2 7 3 2 4" xfId="25726" xr:uid="{00000000-0005-0000-0000-000091880000}"/>
    <cellStyle name="Normal 2 7 3 3" xfId="8469" xr:uid="{00000000-0005-0000-0000-000092880000}"/>
    <cellStyle name="Normal 2 7 3 3 2" xfId="12776" xr:uid="{00000000-0005-0000-0000-000093880000}"/>
    <cellStyle name="Normal 2 7 3 3 2 2" xfId="32246" xr:uid="{00000000-0005-0000-0000-000094880000}"/>
    <cellStyle name="Normal 2 7 3 3 3" xfId="27949" xr:uid="{00000000-0005-0000-0000-000095880000}"/>
    <cellStyle name="Normal 2 7 3 4" xfId="9598" xr:uid="{00000000-0005-0000-0000-000096880000}"/>
    <cellStyle name="Normal 2 7 3 4 2" xfId="29068" xr:uid="{00000000-0005-0000-0000-000097880000}"/>
    <cellStyle name="Normal 2 7 3 5" xfId="24576" xr:uid="{00000000-0005-0000-0000-000098880000}"/>
    <cellStyle name="Normal 2 7 4" xfId="5693" xr:uid="{00000000-0005-0000-0000-000099880000}"/>
    <cellStyle name="Normal 2 7 4 2" xfId="8471" xr:uid="{00000000-0005-0000-0000-00009A880000}"/>
    <cellStyle name="Normal 2 7 4 2 2" xfId="12778" xr:uid="{00000000-0005-0000-0000-00009B880000}"/>
    <cellStyle name="Normal 2 7 4 2 2 2" xfId="32248" xr:uid="{00000000-0005-0000-0000-00009C880000}"/>
    <cellStyle name="Normal 2 7 4 2 3" xfId="27951" xr:uid="{00000000-0005-0000-0000-00009D880000}"/>
    <cellStyle name="Normal 2 7 4 3" xfId="10128" xr:uid="{00000000-0005-0000-0000-00009E880000}"/>
    <cellStyle name="Normal 2 7 4 3 2" xfId="29598" xr:uid="{00000000-0005-0000-0000-00009F880000}"/>
    <cellStyle name="Normal 2 7 4 4" xfId="25178" xr:uid="{00000000-0005-0000-0000-0000A0880000}"/>
    <cellStyle name="Normal 2 7 5" xfId="8464" xr:uid="{00000000-0005-0000-0000-0000A1880000}"/>
    <cellStyle name="Normal 2 7 5 2" xfId="12771" xr:uid="{00000000-0005-0000-0000-0000A2880000}"/>
    <cellStyle name="Normal 2 7 5 2 2" xfId="32241" xr:uid="{00000000-0005-0000-0000-0000A3880000}"/>
    <cellStyle name="Normal 2 7 5 3" xfId="27944" xr:uid="{00000000-0005-0000-0000-0000A4880000}"/>
    <cellStyle name="Normal 2 7 6" xfId="9067" xr:uid="{00000000-0005-0000-0000-0000A5880000}"/>
    <cellStyle name="Normal 2 7 6 2" xfId="28538" xr:uid="{00000000-0005-0000-0000-0000A6880000}"/>
    <cellStyle name="Normal 2 7 7" xfId="23953" xr:uid="{00000000-0005-0000-0000-0000A7880000}"/>
    <cellStyle name="Normal 2 8" xfId="13260" xr:uid="{00000000-0005-0000-0000-0000A8880000}"/>
    <cellStyle name="Normal 20" xfId="8882" xr:uid="{00000000-0005-0000-0000-0000A9880000}"/>
    <cellStyle name="Normal 20 2" xfId="13751" xr:uid="{00000000-0005-0000-0000-0000AA880000}"/>
    <cellStyle name="Normal 20 3" xfId="28359" xr:uid="{00000000-0005-0000-0000-0000AB880000}"/>
    <cellStyle name="Normal 21" xfId="8884" xr:uid="{00000000-0005-0000-0000-0000AC880000}"/>
    <cellStyle name="Normal 21 2" xfId="14968" xr:uid="{00000000-0005-0000-0000-0000AD880000}"/>
    <cellStyle name="Normal 21 2 2" xfId="22388" xr:uid="{00000000-0005-0000-0000-0000AE880000}"/>
    <cellStyle name="Normal 21 2 2 2" xfId="41730" xr:uid="{00000000-0005-0000-0000-0000AF880000}"/>
    <cellStyle name="Normal 21 2 3" xfId="34329" xr:uid="{00000000-0005-0000-0000-0000B0880000}"/>
    <cellStyle name="Normal 21 3" xfId="14191" xr:uid="{00000000-0005-0000-0000-0000B1880000}"/>
    <cellStyle name="Normal 21 3 2" xfId="33555" xr:uid="{00000000-0005-0000-0000-0000B2880000}"/>
    <cellStyle name="Normal 21 4" xfId="21614" xr:uid="{00000000-0005-0000-0000-0000B3880000}"/>
    <cellStyle name="Normal 21 4 2" xfId="40956" xr:uid="{00000000-0005-0000-0000-0000B4880000}"/>
    <cellStyle name="Normal 21 5" xfId="28360" xr:uid="{00000000-0005-0000-0000-0000B5880000}"/>
    <cellStyle name="Normal 22" xfId="8885" xr:uid="{00000000-0005-0000-0000-0000B6880000}"/>
    <cellStyle name="Normal 22 2" xfId="14969" xr:uid="{00000000-0005-0000-0000-0000B7880000}"/>
    <cellStyle name="Normal 22 2 2" xfId="34330" xr:uid="{00000000-0005-0000-0000-0000B8880000}"/>
    <cellStyle name="Normal 22 3" xfId="22389" xr:uid="{00000000-0005-0000-0000-0000B9880000}"/>
    <cellStyle name="Normal 22 3 2" xfId="41731" xr:uid="{00000000-0005-0000-0000-0000BA880000}"/>
    <cellStyle name="Normal 22 4" xfId="28361" xr:uid="{00000000-0005-0000-0000-0000BB880000}"/>
    <cellStyle name="Normal 23" xfId="8886" xr:uid="{00000000-0005-0000-0000-0000BC880000}"/>
    <cellStyle name="Normal 23 2" xfId="14192" xr:uid="{00000000-0005-0000-0000-0000BD880000}"/>
    <cellStyle name="Normal 23 3" xfId="28362" xr:uid="{00000000-0005-0000-0000-0000BE880000}"/>
    <cellStyle name="Normal 24" xfId="8887" xr:uid="{00000000-0005-0000-0000-0000BF880000}"/>
    <cellStyle name="Normal 24 2" xfId="14272" xr:uid="{00000000-0005-0000-0000-0000C0880000}"/>
    <cellStyle name="Normal 24 3" xfId="28363" xr:uid="{00000000-0005-0000-0000-0000C1880000}"/>
    <cellStyle name="Normal 25" xfId="8888" xr:uid="{00000000-0005-0000-0000-0000C2880000}"/>
    <cellStyle name="Normal 25 2" xfId="14208" xr:uid="{00000000-0005-0000-0000-0000C3880000}"/>
    <cellStyle name="Normal 25 3" xfId="28364" xr:uid="{00000000-0005-0000-0000-0000C4880000}"/>
    <cellStyle name="Normal 26" xfId="8889" xr:uid="{00000000-0005-0000-0000-0000C5880000}"/>
    <cellStyle name="Normal 26 2" xfId="15974" xr:uid="{00000000-0005-0000-0000-0000C6880000}"/>
    <cellStyle name="Normal 26 3" xfId="28365" xr:uid="{00000000-0005-0000-0000-0000C7880000}"/>
    <cellStyle name="Normal 27" xfId="8890" xr:uid="{00000000-0005-0000-0000-0000C8880000}"/>
    <cellStyle name="Normal 27 2" xfId="28366" xr:uid="{00000000-0005-0000-0000-0000C9880000}"/>
    <cellStyle name="Normal 28" xfId="8891" xr:uid="{00000000-0005-0000-0000-0000CA880000}"/>
    <cellStyle name="Normal 28 2" xfId="28367" xr:uid="{00000000-0005-0000-0000-0000CB880000}"/>
    <cellStyle name="Normal 29" xfId="8892" xr:uid="{00000000-0005-0000-0000-0000CC880000}"/>
    <cellStyle name="Normal 29 2" xfId="28368" xr:uid="{00000000-0005-0000-0000-0000CD880000}"/>
    <cellStyle name="Normal 3" xfId="1676" xr:uid="{00000000-0005-0000-0000-0000CE880000}"/>
    <cellStyle name="Normal 3 2" xfId="1995" xr:uid="{00000000-0005-0000-0000-0000CF880000}"/>
    <cellStyle name="Normal 3 3" xfId="2549" xr:uid="{00000000-0005-0000-0000-0000D0880000}"/>
    <cellStyle name="Normal 3 3 2" xfId="3988" xr:uid="{00000000-0005-0000-0000-0000D1880000}"/>
    <cellStyle name="Normal 3 3 2 2" xfId="4271" xr:uid="{00000000-0005-0000-0000-0000D2880000}"/>
    <cellStyle name="Normal 3 3 2 2 2" xfId="4846" xr:uid="{00000000-0005-0000-0000-0000D3880000}"/>
    <cellStyle name="Normal 3 3 2 2 2 2" xfId="5471" xr:uid="{00000000-0005-0000-0000-0000D4880000}"/>
    <cellStyle name="Normal 3 3 2 2 2 2 2" xfId="6599" xr:uid="{00000000-0005-0000-0000-0000D5880000}"/>
    <cellStyle name="Normal 3 3 2 2 2 2 2 2" xfId="8476" xr:uid="{00000000-0005-0000-0000-0000D6880000}"/>
    <cellStyle name="Normal 3 3 2 2 2 2 2 2 2" xfId="12783" xr:uid="{00000000-0005-0000-0000-0000D7880000}"/>
    <cellStyle name="Normal 3 3 2 2 2 2 2 2 2 2" xfId="32253" xr:uid="{00000000-0005-0000-0000-0000D8880000}"/>
    <cellStyle name="Normal 3 3 2 2 2 2 2 2 3" xfId="27956" xr:uid="{00000000-0005-0000-0000-0000D9880000}"/>
    <cellStyle name="Normal 3 3 2 2 2 2 2 3" xfId="11015" xr:uid="{00000000-0005-0000-0000-0000DA880000}"/>
    <cellStyle name="Normal 3 3 2 2 2 2 2 3 2" xfId="30485" xr:uid="{00000000-0005-0000-0000-0000DB880000}"/>
    <cellStyle name="Normal 3 3 2 2 2 2 2 4" xfId="26084" xr:uid="{00000000-0005-0000-0000-0000DC880000}"/>
    <cellStyle name="Normal 3 3 2 2 2 2 3" xfId="8475" xr:uid="{00000000-0005-0000-0000-0000DD880000}"/>
    <cellStyle name="Normal 3 3 2 2 2 2 3 2" xfId="12782" xr:uid="{00000000-0005-0000-0000-0000DE880000}"/>
    <cellStyle name="Normal 3 3 2 2 2 2 3 2 2" xfId="32252" xr:uid="{00000000-0005-0000-0000-0000DF880000}"/>
    <cellStyle name="Normal 3 3 2 2 2 2 3 3" xfId="27955" xr:uid="{00000000-0005-0000-0000-0000E0880000}"/>
    <cellStyle name="Normal 3 3 2 2 2 2 4" xfId="9954" xr:uid="{00000000-0005-0000-0000-0000E1880000}"/>
    <cellStyle name="Normal 3 3 2 2 2 2 4 2" xfId="29424" xr:uid="{00000000-0005-0000-0000-0000E2880000}"/>
    <cellStyle name="Normal 3 3 2 2 2 2 5" xfId="24962" xr:uid="{00000000-0005-0000-0000-0000E3880000}"/>
    <cellStyle name="Normal 3 3 2 2 2 3" xfId="6064" xr:uid="{00000000-0005-0000-0000-0000E4880000}"/>
    <cellStyle name="Normal 3 3 2 2 2 3 2" xfId="8477" xr:uid="{00000000-0005-0000-0000-0000E5880000}"/>
    <cellStyle name="Normal 3 3 2 2 2 3 2 2" xfId="12784" xr:uid="{00000000-0005-0000-0000-0000E6880000}"/>
    <cellStyle name="Normal 3 3 2 2 2 3 2 2 2" xfId="32254" xr:uid="{00000000-0005-0000-0000-0000E7880000}"/>
    <cellStyle name="Normal 3 3 2 2 2 3 2 3" xfId="27957" xr:uid="{00000000-0005-0000-0000-0000E8880000}"/>
    <cellStyle name="Normal 3 3 2 2 2 3 3" xfId="10484" xr:uid="{00000000-0005-0000-0000-0000E9880000}"/>
    <cellStyle name="Normal 3 3 2 2 2 3 3 2" xfId="29954" xr:uid="{00000000-0005-0000-0000-0000EA880000}"/>
    <cellStyle name="Normal 3 3 2 2 2 3 4" xfId="25549" xr:uid="{00000000-0005-0000-0000-0000EB880000}"/>
    <cellStyle name="Normal 3 3 2 2 2 4" xfId="8474" xr:uid="{00000000-0005-0000-0000-0000EC880000}"/>
    <cellStyle name="Normal 3 3 2 2 2 4 2" xfId="12781" xr:uid="{00000000-0005-0000-0000-0000ED880000}"/>
    <cellStyle name="Normal 3 3 2 2 2 4 2 2" xfId="32251" xr:uid="{00000000-0005-0000-0000-0000EE880000}"/>
    <cellStyle name="Normal 3 3 2 2 2 4 3" xfId="27954" xr:uid="{00000000-0005-0000-0000-0000EF880000}"/>
    <cellStyle name="Normal 3 3 2 2 2 5" xfId="9424" xr:uid="{00000000-0005-0000-0000-0000F0880000}"/>
    <cellStyle name="Normal 3 3 2 2 2 5 2" xfId="28894" xr:uid="{00000000-0005-0000-0000-0000F1880000}"/>
    <cellStyle name="Normal 3 3 2 2 2 6" xfId="24348" xr:uid="{00000000-0005-0000-0000-0000F2880000}"/>
    <cellStyle name="Normal 3 3 2 2 3" xfId="5176" xr:uid="{00000000-0005-0000-0000-0000F3880000}"/>
    <cellStyle name="Normal 3 3 2 2 3 2" xfId="6332" xr:uid="{00000000-0005-0000-0000-0000F4880000}"/>
    <cellStyle name="Normal 3 3 2 2 3 2 2" xfId="8479" xr:uid="{00000000-0005-0000-0000-0000F5880000}"/>
    <cellStyle name="Normal 3 3 2 2 3 2 2 2" xfId="12786" xr:uid="{00000000-0005-0000-0000-0000F6880000}"/>
    <cellStyle name="Normal 3 3 2 2 3 2 2 2 2" xfId="32256" xr:uid="{00000000-0005-0000-0000-0000F7880000}"/>
    <cellStyle name="Normal 3 3 2 2 3 2 2 3" xfId="27959" xr:uid="{00000000-0005-0000-0000-0000F8880000}"/>
    <cellStyle name="Normal 3 3 2 2 3 2 3" xfId="10749" xr:uid="{00000000-0005-0000-0000-0000F9880000}"/>
    <cellStyle name="Normal 3 3 2 2 3 2 3 2" xfId="30219" xr:uid="{00000000-0005-0000-0000-0000FA880000}"/>
    <cellStyle name="Normal 3 3 2 2 3 2 4" xfId="25817" xr:uid="{00000000-0005-0000-0000-0000FB880000}"/>
    <cellStyle name="Normal 3 3 2 2 3 3" xfId="8478" xr:uid="{00000000-0005-0000-0000-0000FC880000}"/>
    <cellStyle name="Normal 3 3 2 2 3 3 2" xfId="12785" xr:uid="{00000000-0005-0000-0000-0000FD880000}"/>
    <cellStyle name="Normal 3 3 2 2 3 3 2 2" xfId="32255" xr:uid="{00000000-0005-0000-0000-0000FE880000}"/>
    <cellStyle name="Normal 3 3 2 2 3 3 3" xfId="27958" xr:uid="{00000000-0005-0000-0000-0000FF880000}"/>
    <cellStyle name="Normal 3 3 2 2 3 4" xfId="9689" xr:uid="{00000000-0005-0000-0000-000000890000}"/>
    <cellStyle name="Normal 3 3 2 2 3 4 2" xfId="29159" xr:uid="{00000000-0005-0000-0000-000001890000}"/>
    <cellStyle name="Normal 3 3 2 2 3 5" xfId="24667" xr:uid="{00000000-0005-0000-0000-000002890000}"/>
    <cellStyle name="Normal 3 3 2 2 4" xfId="5785" xr:uid="{00000000-0005-0000-0000-000003890000}"/>
    <cellStyle name="Normal 3 3 2 2 4 2" xfId="8480" xr:uid="{00000000-0005-0000-0000-000004890000}"/>
    <cellStyle name="Normal 3 3 2 2 4 2 2" xfId="12787" xr:uid="{00000000-0005-0000-0000-000005890000}"/>
    <cellStyle name="Normal 3 3 2 2 4 2 2 2" xfId="32257" xr:uid="{00000000-0005-0000-0000-000006890000}"/>
    <cellStyle name="Normal 3 3 2 2 4 2 3" xfId="27960" xr:uid="{00000000-0005-0000-0000-000007890000}"/>
    <cellStyle name="Normal 3 3 2 2 4 3" xfId="10219" xr:uid="{00000000-0005-0000-0000-000008890000}"/>
    <cellStyle name="Normal 3 3 2 2 4 3 2" xfId="29689" xr:uid="{00000000-0005-0000-0000-000009890000}"/>
    <cellStyle name="Normal 3 3 2 2 4 4" xfId="25270" xr:uid="{00000000-0005-0000-0000-00000A890000}"/>
    <cellStyle name="Normal 3 3 2 2 5" xfId="8473" xr:uid="{00000000-0005-0000-0000-00000B890000}"/>
    <cellStyle name="Normal 3 3 2 2 5 2" xfId="12780" xr:uid="{00000000-0005-0000-0000-00000C890000}"/>
    <cellStyle name="Normal 3 3 2 2 5 2 2" xfId="32250" xr:uid="{00000000-0005-0000-0000-00000D890000}"/>
    <cellStyle name="Normal 3 3 2 2 5 3" xfId="27953" xr:uid="{00000000-0005-0000-0000-00000E890000}"/>
    <cellStyle name="Normal 3 3 2 2 6" xfId="9158" xr:uid="{00000000-0005-0000-0000-00000F890000}"/>
    <cellStyle name="Normal 3 3 2 2 6 2" xfId="28629" xr:uid="{00000000-0005-0000-0000-000010890000}"/>
    <cellStyle name="Normal 3 3 2 2 7" xfId="24047" xr:uid="{00000000-0005-0000-0000-000011890000}"/>
    <cellStyle name="Normal 3 3 2 3" xfId="4741" xr:uid="{00000000-0005-0000-0000-000012890000}"/>
    <cellStyle name="Normal 3 3 2 3 2" xfId="5372" xr:uid="{00000000-0005-0000-0000-000013890000}"/>
    <cellStyle name="Normal 3 3 2 3 2 2" xfId="6500" xr:uid="{00000000-0005-0000-0000-000014890000}"/>
    <cellStyle name="Normal 3 3 2 3 2 2 2" xfId="8483" xr:uid="{00000000-0005-0000-0000-000015890000}"/>
    <cellStyle name="Normal 3 3 2 3 2 2 2 2" xfId="12790" xr:uid="{00000000-0005-0000-0000-000016890000}"/>
    <cellStyle name="Normal 3 3 2 3 2 2 2 2 2" xfId="32260" xr:uid="{00000000-0005-0000-0000-000017890000}"/>
    <cellStyle name="Normal 3 3 2 3 2 2 2 3" xfId="27963" xr:uid="{00000000-0005-0000-0000-000018890000}"/>
    <cellStyle name="Normal 3 3 2 3 2 2 3" xfId="10916" xr:uid="{00000000-0005-0000-0000-000019890000}"/>
    <cellStyle name="Normal 3 3 2 3 2 2 3 2" xfId="30386" xr:uid="{00000000-0005-0000-0000-00001A890000}"/>
    <cellStyle name="Normal 3 3 2 3 2 2 4" xfId="25985" xr:uid="{00000000-0005-0000-0000-00001B890000}"/>
    <cellStyle name="Normal 3 3 2 3 2 3" xfId="8482" xr:uid="{00000000-0005-0000-0000-00001C890000}"/>
    <cellStyle name="Normal 3 3 2 3 2 3 2" xfId="12789" xr:uid="{00000000-0005-0000-0000-00001D890000}"/>
    <cellStyle name="Normal 3 3 2 3 2 3 2 2" xfId="32259" xr:uid="{00000000-0005-0000-0000-00001E890000}"/>
    <cellStyle name="Normal 3 3 2 3 2 3 3" xfId="27962" xr:uid="{00000000-0005-0000-0000-00001F890000}"/>
    <cellStyle name="Normal 3 3 2 3 2 4" xfId="9855" xr:uid="{00000000-0005-0000-0000-000020890000}"/>
    <cellStyle name="Normal 3 3 2 3 2 4 2" xfId="29325" xr:uid="{00000000-0005-0000-0000-000021890000}"/>
    <cellStyle name="Normal 3 3 2 3 2 5" xfId="24863" xr:uid="{00000000-0005-0000-0000-000022890000}"/>
    <cellStyle name="Normal 3 3 2 3 3" xfId="5963" xr:uid="{00000000-0005-0000-0000-000023890000}"/>
    <cellStyle name="Normal 3 3 2 3 3 2" xfId="8484" xr:uid="{00000000-0005-0000-0000-000024890000}"/>
    <cellStyle name="Normal 3 3 2 3 3 2 2" xfId="12791" xr:uid="{00000000-0005-0000-0000-000025890000}"/>
    <cellStyle name="Normal 3 3 2 3 3 2 2 2" xfId="32261" xr:uid="{00000000-0005-0000-0000-000026890000}"/>
    <cellStyle name="Normal 3 3 2 3 3 2 3" xfId="27964" xr:uid="{00000000-0005-0000-0000-000027890000}"/>
    <cellStyle name="Normal 3 3 2 3 3 3" xfId="10385" xr:uid="{00000000-0005-0000-0000-000028890000}"/>
    <cellStyle name="Normal 3 3 2 3 3 3 2" xfId="29855" xr:uid="{00000000-0005-0000-0000-000029890000}"/>
    <cellStyle name="Normal 3 3 2 3 3 4" xfId="25448" xr:uid="{00000000-0005-0000-0000-00002A890000}"/>
    <cellStyle name="Normal 3 3 2 3 4" xfId="8481" xr:uid="{00000000-0005-0000-0000-00002B890000}"/>
    <cellStyle name="Normal 3 3 2 3 4 2" xfId="12788" xr:uid="{00000000-0005-0000-0000-00002C890000}"/>
    <cellStyle name="Normal 3 3 2 3 4 2 2" xfId="32258" xr:uid="{00000000-0005-0000-0000-00002D890000}"/>
    <cellStyle name="Normal 3 3 2 3 4 3" xfId="27961" xr:uid="{00000000-0005-0000-0000-00002E890000}"/>
    <cellStyle name="Normal 3 3 2 3 5" xfId="9325" xr:uid="{00000000-0005-0000-0000-00002F890000}"/>
    <cellStyle name="Normal 3 3 2 3 5 2" xfId="28795" xr:uid="{00000000-0005-0000-0000-000030890000}"/>
    <cellStyle name="Normal 3 3 2 3 6" xfId="24247" xr:uid="{00000000-0005-0000-0000-000031890000}"/>
    <cellStyle name="Normal 3 3 2 4" xfId="5073" xr:uid="{00000000-0005-0000-0000-000032890000}"/>
    <cellStyle name="Normal 3 3 2 4 2" xfId="6233" xr:uid="{00000000-0005-0000-0000-000033890000}"/>
    <cellStyle name="Normal 3 3 2 4 2 2" xfId="8486" xr:uid="{00000000-0005-0000-0000-000034890000}"/>
    <cellStyle name="Normal 3 3 2 4 2 2 2" xfId="12793" xr:uid="{00000000-0005-0000-0000-000035890000}"/>
    <cellStyle name="Normal 3 3 2 4 2 2 2 2" xfId="32263" xr:uid="{00000000-0005-0000-0000-000036890000}"/>
    <cellStyle name="Normal 3 3 2 4 2 2 3" xfId="27966" xr:uid="{00000000-0005-0000-0000-000037890000}"/>
    <cellStyle name="Normal 3 3 2 4 2 3" xfId="10650" xr:uid="{00000000-0005-0000-0000-000038890000}"/>
    <cellStyle name="Normal 3 3 2 4 2 3 2" xfId="30120" xr:uid="{00000000-0005-0000-0000-000039890000}"/>
    <cellStyle name="Normal 3 3 2 4 2 4" xfId="25718" xr:uid="{00000000-0005-0000-0000-00003A890000}"/>
    <cellStyle name="Normal 3 3 2 4 3" xfId="8485" xr:uid="{00000000-0005-0000-0000-00003B890000}"/>
    <cellStyle name="Normal 3 3 2 4 3 2" xfId="12792" xr:uid="{00000000-0005-0000-0000-00003C890000}"/>
    <cellStyle name="Normal 3 3 2 4 3 2 2" xfId="32262" xr:uid="{00000000-0005-0000-0000-00003D890000}"/>
    <cellStyle name="Normal 3 3 2 4 3 3" xfId="27965" xr:uid="{00000000-0005-0000-0000-00003E890000}"/>
    <cellStyle name="Normal 3 3 2 4 4" xfId="9590" xr:uid="{00000000-0005-0000-0000-00003F890000}"/>
    <cellStyle name="Normal 3 3 2 4 4 2" xfId="29060" xr:uid="{00000000-0005-0000-0000-000040890000}"/>
    <cellStyle name="Normal 3 3 2 4 5" xfId="24565" xr:uid="{00000000-0005-0000-0000-000041890000}"/>
    <cellStyle name="Normal 3 3 2 5" xfId="5684" xr:uid="{00000000-0005-0000-0000-000042890000}"/>
    <cellStyle name="Normal 3 3 2 5 2" xfId="8487" xr:uid="{00000000-0005-0000-0000-000043890000}"/>
    <cellStyle name="Normal 3 3 2 5 2 2" xfId="12794" xr:uid="{00000000-0005-0000-0000-000044890000}"/>
    <cellStyle name="Normal 3 3 2 5 2 2 2" xfId="32264" xr:uid="{00000000-0005-0000-0000-000045890000}"/>
    <cellStyle name="Normal 3 3 2 5 2 3" xfId="27967" xr:uid="{00000000-0005-0000-0000-000046890000}"/>
    <cellStyle name="Normal 3 3 2 5 3" xfId="10120" xr:uid="{00000000-0005-0000-0000-000047890000}"/>
    <cellStyle name="Normal 3 3 2 5 3 2" xfId="29590" xr:uid="{00000000-0005-0000-0000-000048890000}"/>
    <cellStyle name="Normal 3 3 2 5 4" xfId="25170" xr:uid="{00000000-0005-0000-0000-000049890000}"/>
    <cellStyle name="Normal 3 3 2 6" xfId="8472" xr:uid="{00000000-0005-0000-0000-00004A890000}"/>
    <cellStyle name="Normal 3 3 2 6 2" xfId="12779" xr:uid="{00000000-0005-0000-0000-00004B890000}"/>
    <cellStyle name="Normal 3 3 2 6 2 2" xfId="32249" xr:uid="{00000000-0005-0000-0000-00004C890000}"/>
    <cellStyle name="Normal 3 3 2 6 3" xfId="27952" xr:uid="{00000000-0005-0000-0000-00004D890000}"/>
    <cellStyle name="Normal 3 3 2 7" xfId="9058" xr:uid="{00000000-0005-0000-0000-00004E890000}"/>
    <cellStyle name="Normal 3 3 2 7 2" xfId="28530" xr:uid="{00000000-0005-0000-0000-00004F890000}"/>
    <cellStyle name="Normal 3 3 2 8" xfId="23940" xr:uid="{00000000-0005-0000-0000-000050890000}"/>
    <cellStyle name="Normal 3 3 3" xfId="4216" xr:uid="{00000000-0005-0000-0000-000051890000}"/>
    <cellStyle name="Normal 3 3 3 2" xfId="4791" xr:uid="{00000000-0005-0000-0000-000052890000}"/>
    <cellStyle name="Normal 3 3 3 2 2" xfId="5417" xr:uid="{00000000-0005-0000-0000-000053890000}"/>
    <cellStyle name="Normal 3 3 3 2 2 2" xfId="6545" xr:uid="{00000000-0005-0000-0000-000054890000}"/>
    <cellStyle name="Normal 3 3 3 2 2 2 2" xfId="8491" xr:uid="{00000000-0005-0000-0000-000055890000}"/>
    <cellStyle name="Normal 3 3 3 2 2 2 2 2" xfId="12798" xr:uid="{00000000-0005-0000-0000-000056890000}"/>
    <cellStyle name="Normal 3 3 3 2 2 2 2 2 2" xfId="32268" xr:uid="{00000000-0005-0000-0000-000057890000}"/>
    <cellStyle name="Normal 3 3 3 2 2 2 2 3" xfId="27971" xr:uid="{00000000-0005-0000-0000-000058890000}"/>
    <cellStyle name="Normal 3 3 3 2 2 2 3" xfId="10961" xr:uid="{00000000-0005-0000-0000-000059890000}"/>
    <cellStyle name="Normal 3 3 3 2 2 2 3 2" xfId="30431" xr:uid="{00000000-0005-0000-0000-00005A890000}"/>
    <cellStyle name="Normal 3 3 3 2 2 2 4" xfId="26030" xr:uid="{00000000-0005-0000-0000-00005B890000}"/>
    <cellStyle name="Normal 3 3 3 2 2 3" xfId="8490" xr:uid="{00000000-0005-0000-0000-00005C890000}"/>
    <cellStyle name="Normal 3 3 3 2 2 3 2" xfId="12797" xr:uid="{00000000-0005-0000-0000-00005D890000}"/>
    <cellStyle name="Normal 3 3 3 2 2 3 2 2" xfId="32267" xr:uid="{00000000-0005-0000-0000-00005E890000}"/>
    <cellStyle name="Normal 3 3 3 2 2 3 3" xfId="27970" xr:uid="{00000000-0005-0000-0000-00005F890000}"/>
    <cellStyle name="Normal 3 3 3 2 2 4" xfId="9900" xr:uid="{00000000-0005-0000-0000-000060890000}"/>
    <cellStyle name="Normal 3 3 3 2 2 4 2" xfId="29370" xr:uid="{00000000-0005-0000-0000-000061890000}"/>
    <cellStyle name="Normal 3 3 3 2 2 5" xfId="24908" xr:uid="{00000000-0005-0000-0000-000062890000}"/>
    <cellStyle name="Normal 3 3 3 2 3" xfId="6009" xr:uid="{00000000-0005-0000-0000-000063890000}"/>
    <cellStyle name="Normal 3 3 3 2 3 2" xfId="8492" xr:uid="{00000000-0005-0000-0000-000064890000}"/>
    <cellStyle name="Normal 3 3 3 2 3 2 2" xfId="12799" xr:uid="{00000000-0005-0000-0000-000065890000}"/>
    <cellStyle name="Normal 3 3 3 2 3 2 2 2" xfId="32269" xr:uid="{00000000-0005-0000-0000-000066890000}"/>
    <cellStyle name="Normal 3 3 3 2 3 2 3" xfId="27972" xr:uid="{00000000-0005-0000-0000-000067890000}"/>
    <cellStyle name="Normal 3 3 3 2 3 3" xfId="10430" xr:uid="{00000000-0005-0000-0000-000068890000}"/>
    <cellStyle name="Normal 3 3 3 2 3 3 2" xfId="29900" xr:uid="{00000000-0005-0000-0000-000069890000}"/>
    <cellStyle name="Normal 3 3 3 2 3 4" xfId="25494" xr:uid="{00000000-0005-0000-0000-00006A890000}"/>
    <cellStyle name="Normal 3 3 3 2 4" xfId="8489" xr:uid="{00000000-0005-0000-0000-00006B890000}"/>
    <cellStyle name="Normal 3 3 3 2 4 2" xfId="12796" xr:uid="{00000000-0005-0000-0000-00006C890000}"/>
    <cellStyle name="Normal 3 3 3 2 4 2 2" xfId="32266" xr:uid="{00000000-0005-0000-0000-00006D890000}"/>
    <cellStyle name="Normal 3 3 3 2 4 3" xfId="27969" xr:uid="{00000000-0005-0000-0000-00006E890000}"/>
    <cellStyle name="Normal 3 3 3 2 5" xfId="9370" xr:uid="{00000000-0005-0000-0000-00006F890000}"/>
    <cellStyle name="Normal 3 3 3 2 5 2" xfId="28840" xr:uid="{00000000-0005-0000-0000-000070890000}"/>
    <cellStyle name="Normal 3 3 3 2 6" xfId="24293" xr:uid="{00000000-0005-0000-0000-000071890000}"/>
    <cellStyle name="Normal 3 3 3 3" xfId="5122" xr:uid="{00000000-0005-0000-0000-000072890000}"/>
    <cellStyle name="Normal 3 3 3 3 2" xfId="6278" xr:uid="{00000000-0005-0000-0000-000073890000}"/>
    <cellStyle name="Normal 3 3 3 3 2 2" xfId="8494" xr:uid="{00000000-0005-0000-0000-000074890000}"/>
    <cellStyle name="Normal 3 3 3 3 2 2 2" xfId="12801" xr:uid="{00000000-0005-0000-0000-000075890000}"/>
    <cellStyle name="Normal 3 3 3 3 2 2 2 2" xfId="32271" xr:uid="{00000000-0005-0000-0000-000076890000}"/>
    <cellStyle name="Normal 3 3 3 3 2 2 3" xfId="27974" xr:uid="{00000000-0005-0000-0000-000077890000}"/>
    <cellStyle name="Normal 3 3 3 3 2 3" xfId="10695" xr:uid="{00000000-0005-0000-0000-000078890000}"/>
    <cellStyle name="Normal 3 3 3 3 2 3 2" xfId="30165" xr:uid="{00000000-0005-0000-0000-000079890000}"/>
    <cellStyle name="Normal 3 3 3 3 2 4" xfId="25763" xr:uid="{00000000-0005-0000-0000-00007A890000}"/>
    <cellStyle name="Normal 3 3 3 3 3" xfId="8493" xr:uid="{00000000-0005-0000-0000-00007B890000}"/>
    <cellStyle name="Normal 3 3 3 3 3 2" xfId="12800" xr:uid="{00000000-0005-0000-0000-00007C890000}"/>
    <cellStyle name="Normal 3 3 3 3 3 2 2" xfId="32270" xr:uid="{00000000-0005-0000-0000-00007D890000}"/>
    <cellStyle name="Normal 3 3 3 3 3 3" xfId="27973" xr:uid="{00000000-0005-0000-0000-00007E890000}"/>
    <cellStyle name="Normal 3 3 3 3 4" xfId="9635" xr:uid="{00000000-0005-0000-0000-00007F890000}"/>
    <cellStyle name="Normal 3 3 3 3 4 2" xfId="29105" xr:uid="{00000000-0005-0000-0000-000080890000}"/>
    <cellStyle name="Normal 3 3 3 3 5" xfId="24613" xr:uid="{00000000-0005-0000-0000-000081890000}"/>
    <cellStyle name="Normal 3 3 3 4" xfId="5731" xr:uid="{00000000-0005-0000-0000-000082890000}"/>
    <cellStyle name="Normal 3 3 3 4 2" xfId="8495" xr:uid="{00000000-0005-0000-0000-000083890000}"/>
    <cellStyle name="Normal 3 3 3 4 2 2" xfId="12802" xr:uid="{00000000-0005-0000-0000-000084890000}"/>
    <cellStyle name="Normal 3 3 3 4 2 2 2" xfId="32272" xr:uid="{00000000-0005-0000-0000-000085890000}"/>
    <cellStyle name="Normal 3 3 3 4 2 3" xfId="27975" xr:uid="{00000000-0005-0000-0000-000086890000}"/>
    <cellStyle name="Normal 3 3 3 4 3" xfId="10165" xr:uid="{00000000-0005-0000-0000-000087890000}"/>
    <cellStyle name="Normal 3 3 3 4 3 2" xfId="29635" xr:uid="{00000000-0005-0000-0000-000088890000}"/>
    <cellStyle name="Normal 3 3 3 4 4" xfId="25216" xr:uid="{00000000-0005-0000-0000-000089890000}"/>
    <cellStyle name="Normal 3 3 3 5" xfId="8488" xr:uid="{00000000-0005-0000-0000-00008A890000}"/>
    <cellStyle name="Normal 3 3 3 5 2" xfId="12795" xr:uid="{00000000-0005-0000-0000-00008B890000}"/>
    <cellStyle name="Normal 3 3 3 5 2 2" xfId="32265" xr:uid="{00000000-0005-0000-0000-00008C890000}"/>
    <cellStyle name="Normal 3 3 3 5 3" xfId="27968" xr:uid="{00000000-0005-0000-0000-00008D890000}"/>
    <cellStyle name="Normal 3 3 3 6" xfId="9104" xr:uid="{00000000-0005-0000-0000-00008E890000}"/>
    <cellStyle name="Normal 3 3 3 6 2" xfId="28575" xr:uid="{00000000-0005-0000-0000-00008F890000}"/>
    <cellStyle name="Normal 3 3 3 7" xfId="23992" xr:uid="{00000000-0005-0000-0000-000090890000}"/>
    <cellStyle name="Normal 3 3 4" xfId="4574" xr:uid="{00000000-0005-0000-0000-000091890000}"/>
    <cellStyle name="Normal 3 4" xfId="2155" xr:uid="{00000000-0005-0000-0000-000092890000}"/>
    <cellStyle name="Normal 3 4 2" xfId="3989" xr:uid="{00000000-0005-0000-0000-000093890000}"/>
    <cellStyle name="Normal 3 4 2 2" xfId="4253" xr:uid="{00000000-0005-0000-0000-000094890000}"/>
    <cellStyle name="Normal 3 4 2 2 2" xfId="4828" xr:uid="{00000000-0005-0000-0000-000095890000}"/>
    <cellStyle name="Normal 3 4 2 2 2 2" xfId="5453" xr:uid="{00000000-0005-0000-0000-000096890000}"/>
    <cellStyle name="Normal 3 4 2 2 2 2 2" xfId="6581" xr:uid="{00000000-0005-0000-0000-000097890000}"/>
    <cellStyle name="Normal 3 4 2 2 2 2 2 2" xfId="8500" xr:uid="{00000000-0005-0000-0000-000098890000}"/>
    <cellStyle name="Normal 3 4 2 2 2 2 2 2 2" xfId="12807" xr:uid="{00000000-0005-0000-0000-000099890000}"/>
    <cellStyle name="Normal 3 4 2 2 2 2 2 2 2 2" xfId="32277" xr:uid="{00000000-0005-0000-0000-00009A890000}"/>
    <cellStyle name="Normal 3 4 2 2 2 2 2 2 3" xfId="27980" xr:uid="{00000000-0005-0000-0000-00009B890000}"/>
    <cellStyle name="Normal 3 4 2 2 2 2 2 3" xfId="10997" xr:uid="{00000000-0005-0000-0000-00009C890000}"/>
    <cellStyle name="Normal 3 4 2 2 2 2 2 3 2" xfId="30467" xr:uid="{00000000-0005-0000-0000-00009D890000}"/>
    <cellStyle name="Normal 3 4 2 2 2 2 2 4" xfId="26066" xr:uid="{00000000-0005-0000-0000-00009E890000}"/>
    <cellStyle name="Normal 3 4 2 2 2 2 3" xfId="8499" xr:uid="{00000000-0005-0000-0000-00009F890000}"/>
    <cellStyle name="Normal 3 4 2 2 2 2 3 2" xfId="12806" xr:uid="{00000000-0005-0000-0000-0000A0890000}"/>
    <cellStyle name="Normal 3 4 2 2 2 2 3 2 2" xfId="32276" xr:uid="{00000000-0005-0000-0000-0000A1890000}"/>
    <cellStyle name="Normal 3 4 2 2 2 2 3 3" xfId="27979" xr:uid="{00000000-0005-0000-0000-0000A2890000}"/>
    <cellStyle name="Normal 3 4 2 2 2 2 4" xfId="9936" xr:uid="{00000000-0005-0000-0000-0000A3890000}"/>
    <cellStyle name="Normal 3 4 2 2 2 2 4 2" xfId="29406" xr:uid="{00000000-0005-0000-0000-0000A4890000}"/>
    <cellStyle name="Normal 3 4 2 2 2 2 5" xfId="24944" xr:uid="{00000000-0005-0000-0000-0000A5890000}"/>
    <cellStyle name="Normal 3 4 2 2 2 3" xfId="6046" xr:uid="{00000000-0005-0000-0000-0000A6890000}"/>
    <cellStyle name="Normal 3 4 2 2 2 3 2" xfId="8501" xr:uid="{00000000-0005-0000-0000-0000A7890000}"/>
    <cellStyle name="Normal 3 4 2 2 2 3 2 2" xfId="12808" xr:uid="{00000000-0005-0000-0000-0000A8890000}"/>
    <cellStyle name="Normal 3 4 2 2 2 3 2 2 2" xfId="32278" xr:uid="{00000000-0005-0000-0000-0000A9890000}"/>
    <cellStyle name="Normal 3 4 2 2 2 3 2 3" xfId="27981" xr:uid="{00000000-0005-0000-0000-0000AA890000}"/>
    <cellStyle name="Normal 3 4 2 2 2 3 3" xfId="10466" xr:uid="{00000000-0005-0000-0000-0000AB890000}"/>
    <cellStyle name="Normal 3 4 2 2 2 3 3 2" xfId="29936" xr:uid="{00000000-0005-0000-0000-0000AC890000}"/>
    <cellStyle name="Normal 3 4 2 2 2 3 4" xfId="25531" xr:uid="{00000000-0005-0000-0000-0000AD890000}"/>
    <cellStyle name="Normal 3 4 2 2 2 4" xfId="8498" xr:uid="{00000000-0005-0000-0000-0000AE890000}"/>
    <cellStyle name="Normal 3 4 2 2 2 4 2" xfId="12805" xr:uid="{00000000-0005-0000-0000-0000AF890000}"/>
    <cellStyle name="Normal 3 4 2 2 2 4 2 2" xfId="32275" xr:uid="{00000000-0005-0000-0000-0000B0890000}"/>
    <cellStyle name="Normal 3 4 2 2 2 4 3" xfId="27978" xr:uid="{00000000-0005-0000-0000-0000B1890000}"/>
    <cellStyle name="Normal 3 4 2 2 2 5" xfId="9406" xr:uid="{00000000-0005-0000-0000-0000B2890000}"/>
    <cellStyle name="Normal 3 4 2 2 2 5 2" xfId="28876" xr:uid="{00000000-0005-0000-0000-0000B3890000}"/>
    <cellStyle name="Normal 3 4 2 2 2 6" xfId="24330" xr:uid="{00000000-0005-0000-0000-0000B4890000}"/>
    <cellStyle name="Normal 3 4 2 2 3" xfId="5158" xr:uid="{00000000-0005-0000-0000-0000B5890000}"/>
    <cellStyle name="Normal 3 4 2 2 3 2" xfId="6314" xr:uid="{00000000-0005-0000-0000-0000B6890000}"/>
    <cellStyle name="Normal 3 4 2 2 3 2 2" xfId="8503" xr:uid="{00000000-0005-0000-0000-0000B7890000}"/>
    <cellStyle name="Normal 3 4 2 2 3 2 2 2" xfId="12810" xr:uid="{00000000-0005-0000-0000-0000B8890000}"/>
    <cellStyle name="Normal 3 4 2 2 3 2 2 2 2" xfId="32280" xr:uid="{00000000-0005-0000-0000-0000B9890000}"/>
    <cellStyle name="Normal 3 4 2 2 3 2 2 3" xfId="27983" xr:uid="{00000000-0005-0000-0000-0000BA890000}"/>
    <cellStyle name="Normal 3 4 2 2 3 2 3" xfId="10731" xr:uid="{00000000-0005-0000-0000-0000BB890000}"/>
    <cellStyle name="Normal 3 4 2 2 3 2 3 2" xfId="30201" xr:uid="{00000000-0005-0000-0000-0000BC890000}"/>
    <cellStyle name="Normal 3 4 2 2 3 2 4" xfId="25799" xr:uid="{00000000-0005-0000-0000-0000BD890000}"/>
    <cellStyle name="Normal 3 4 2 2 3 3" xfId="8502" xr:uid="{00000000-0005-0000-0000-0000BE890000}"/>
    <cellStyle name="Normal 3 4 2 2 3 3 2" xfId="12809" xr:uid="{00000000-0005-0000-0000-0000BF890000}"/>
    <cellStyle name="Normal 3 4 2 2 3 3 2 2" xfId="32279" xr:uid="{00000000-0005-0000-0000-0000C0890000}"/>
    <cellStyle name="Normal 3 4 2 2 3 3 3" xfId="27982" xr:uid="{00000000-0005-0000-0000-0000C1890000}"/>
    <cellStyle name="Normal 3 4 2 2 3 4" xfId="9671" xr:uid="{00000000-0005-0000-0000-0000C2890000}"/>
    <cellStyle name="Normal 3 4 2 2 3 4 2" xfId="29141" xr:uid="{00000000-0005-0000-0000-0000C3890000}"/>
    <cellStyle name="Normal 3 4 2 2 3 5" xfId="24649" xr:uid="{00000000-0005-0000-0000-0000C4890000}"/>
    <cellStyle name="Normal 3 4 2 2 4" xfId="5767" xr:uid="{00000000-0005-0000-0000-0000C5890000}"/>
    <cellStyle name="Normal 3 4 2 2 4 2" xfId="8504" xr:uid="{00000000-0005-0000-0000-0000C6890000}"/>
    <cellStyle name="Normal 3 4 2 2 4 2 2" xfId="12811" xr:uid="{00000000-0005-0000-0000-0000C7890000}"/>
    <cellStyle name="Normal 3 4 2 2 4 2 2 2" xfId="32281" xr:uid="{00000000-0005-0000-0000-0000C8890000}"/>
    <cellStyle name="Normal 3 4 2 2 4 2 3" xfId="27984" xr:uid="{00000000-0005-0000-0000-0000C9890000}"/>
    <cellStyle name="Normal 3 4 2 2 4 3" xfId="10201" xr:uid="{00000000-0005-0000-0000-0000CA890000}"/>
    <cellStyle name="Normal 3 4 2 2 4 3 2" xfId="29671" xr:uid="{00000000-0005-0000-0000-0000CB890000}"/>
    <cellStyle name="Normal 3 4 2 2 4 4" xfId="25252" xr:uid="{00000000-0005-0000-0000-0000CC890000}"/>
    <cellStyle name="Normal 3 4 2 2 5" xfId="8497" xr:uid="{00000000-0005-0000-0000-0000CD890000}"/>
    <cellStyle name="Normal 3 4 2 2 5 2" xfId="12804" xr:uid="{00000000-0005-0000-0000-0000CE890000}"/>
    <cellStyle name="Normal 3 4 2 2 5 2 2" xfId="32274" xr:uid="{00000000-0005-0000-0000-0000CF890000}"/>
    <cellStyle name="Normal 3 4 2 2 5 3" xfId="27977" xr:uid="{00000000-0005-0000-0000-0000D0890000}"/>
    <cellStyle name="Normal 3 4 2 2 6" xfId="9140" xr:uid="{00000000-0005-0000-0000-0000D1890000}"/>
    <cellStyle name="Normal 3 4 2 2 6 2" xfId="28611" xr:uid="{00000000-0005-0000-0000-0000D2890000}"/>
    <cellStyle name="Normal 3 4 2 2 7" xfId="24029" xr:uid="{00000000-0005-0000-0000-0000D3890000}"/>
    <cellStyle name="Normal 3 4 2 3" xfId="4742" xr:uid="{00000000-0005-0000-0000-0000D4890000}"/>
    <cellStyle name="Normal 3 4 2 3 2" xfId="5373" xr:uid="{00000000-0005-0000-0000-0000D5890000}"/>
    <cellStyle name="Normal 3 4 2 3 2 2" xfId="6501" xr:uid="{00000000-0005-0000-0000-0000D6890000}"/>
    <cellStyle name="Normal 3 4 2 3 2 2 2" xfId="8507" xr:uid="{00000000-0005-0000-0000-0000D7890000}"/>
    <cellStyle name="Normal 3 4 2 3 2 2 2 2" xfId="12814" xr:uid="{00000000-0005-0000-0000-0000D8890000}"/>
    <cellStyle name="Normal 3 4 2 3 2 2 2 2 2" xfId="32284" xr:uid="{00000000-0005-0000-0000-0000D9890000}"/>
    <cellStyle name="Normal 3 4 2 3 2 2 2 3" xfId="27987" xr:uid="{00000000-0005-0000-0000-0000DA890000}"/>
    <cellStyle name="Normal 3 4 2 3 2 2 3" xfId="10917" xr:uid="{00000000-0005-0000-0000-0000DB890000}"/>
    <cellStyle name="Normal 3 4 2 3 2 2 3 2" xfId="30387" xr:uid="{00000000-0005-0000-0000-0000DC890000}"/>
    <cellStyle name="Normal 3 4 2 3 2 2 4" xfId="25986" xr:uid="{00000000-0005-0000-0000-0000DD890000}"/>
    <cellStyle name="Normal 3 4 2 3 2 3" xfId="8506" xr:uid="{00000000-0005-0000-0000-0000DE890000}"/>
    <cellStyle name="Normal 3 4 2 3 2 3 2" xfId="12813" xr:uid="{00000000-0005-0000-0000-0000DF890000}"/>
    <cellStyle name="Normal 3 4 2 3 2 3 2 2" xfId="32283" xr:uid="{00000000-0005-0000-0000-0000E0890000}"/>
    <cellStyle name="Normal 3 4 2 3 2 3 3" xfId="27986" xr:uid="{00000000-0005-0000-0000-0000E1890000}"/>
    <cellStyle name="Normal 3 4 2 3 2 4" xfId="9856" xr:uid="{00000000-0005-0000-0000-0000E2890000}"/>
    <cellStyle name="Normal 3 4 2 3 2 4 2" xfId="29326" xr:uid="{00000000-0005-0000-0000-0000E3890000}"/>
    <cellStyle name="Normal 3 4 2 3 2 5" xfId="24864" xr:uid="{00000000-0005-0000-0000-0000E4890000}"/>
    <cellStyle name="Normal 3 4 2 3 3" xfId="5964" xr:uid="{00000000-0005-0000-0000-0000E5890000}"/>
    <cellStyle name="Normal 3 4 2 3 3 2" xfId="8508" xr:uid="{00000000-0005-0000-0000-0000E6890000}"/>
    <cellStyle name="Normal 3 4 2 3 3 2 2" xfId="12815" xr:uid="{00000000-0005-0000-0000-0000E7890000}"/>
    <cellStyle name="Normal 3 4 2 3 3 2 2 2" xfId="32285" xr:uid="{00000000-0005-0000-0000-0000E8890000}"/>
    <cellStyle name="Normal 3 4 2 3 3 2 3" xfId="27988" xr:uid="{00000000-0005-0000-0000-0000E9890000}"/>
    <cellStyle name="Normal 3 4 2 3 3 3" xfId="10386" xr:uid="{00000000-0005-0000-0000-0000EA890000}"/>
    <cellStyle name="Normal 3 4 2 3 3 3 2" xfId="29856" xr:uid="{00000000-0005-0000-0000-0000EB890000}"/>
    <cellStyle name="Normal 3 4 2 3 3 4" xfId="25449" xr:uid="{00000000-0005-0000-0000-0000EC890000}"/>
    <cellStyle name="Normal 3 4 2 3 4" xfId="8505" xr:uid="{00000000-0005-0000-0000-0000ED890000}"/>
    <cellStyle name="Normal 3 4 2 3 4 2" xfId="12812" xr:uid="{00000000-0005-0000-0000-0000EE890000}"/>
    <cellStyle name="Normal 3 4 2 3 4 2 2" xfId="32282" xr:uid="{00000000-0005-0000-0000-0000EF890000}"/>
    <cellStyle name="Normal 3 4 2 3 4 3" xfId="27985" xr:uid="{00000000-0005-0000-0000-0000F0890000}"/>
    <cellStyle name="Normal 3 4 2 3 5" xfId="9326" xr:uid="{00000000-0005-0000-0000-0000F1890000}"/>
    <cellStyle name="Normal 3 4 2 3 5 2" xfId="28796" xr:uid="{00000000-0005-0000-0000-0000F2890000}"/>
    <cellStyle name="Normal 3 4 2 3 6" xfId="24248" xr:uid="{00000000-0005-0000-0000-0000F3890000}"/>
    <cellStyle name="Normal 3 4 2 4" xfId="5074" xr:uid="{00000000-0005-0000-0000-0000F4890000}"/>
    <cellStyle name="Normal 3 4 2 4 2" xfId="6234" xr:uid="{00000000-0005-0000-0000-0000F5890000}"/>
    <cellStyle name="Normal 3 4 2 4 2 2" xfId="8510" xr:uid="{00000000-0005-0000-0000-0000F6890000}"/>
    <cellStyle name="Normal 3 4 2 4 2 2 2" xfId="12817" xr:uid="{00000000-0005-0000-0000-0000F7890000}"/>
    <cellStyle name="Normal 3 4 2 4 2 2 2 2" xfId="32287" xr:uid="{00000000-0005-0000-0000-0000F8890000}"/>
    <cellStyle name="Normal 3 4 2 4 2 2 3" xfId="27990" xr:uid="{00000000-0005-0000-0000-0000F9890000}"/>
    <cellStyle name="Normal 3 4 2 4 2 3" xfId="10651" xr:uid="{00000000-0005-0000-0000-0000FA890000}"/>
    <cellStyle name="Normal 3 4 2 4 2 3 2" xfId="30121" xr:uid="{00000000-0005-0000-0000-0000FB890000}"/>
    <cellStyle name="Normal 3 4 2 4 2 4" xfId="25719" xr:uid="{00000000-0005-0000-0000-0000FC890000}"/>
    <cellStyle name="Normal 3 4 2 4 3" xfId="8509" xr:uid="{00000000-0005-0000-0000-0000FD890000}"/>
    <cellStyle name="Normal 3 4 2 4 3 2" xfId="12816" xr:uid="{00000000-0005-0000-0000-0000FE890000}"/>
    <cellStyle name="Normal 3 4 2 4 3 2 2" xfId="32286" xr:uid="{00000000-0005-0000-0000-0000FF890000}"/>
    <cellStyle name="Normal 3 4 2 4 3 3" xfId="27989" xr:uid="{00000000-0005-0000-0000-0000008A0000}"/>
    <cellStyle name="Normal 3 4 2 4 4" xfId="9591" xr:uid="{00000000-0005-0000-0000-0000018A0000}"/>
    <cellStyle name="Normal 3 4 2 4 4 2" xfId="29061" xr:uid="{00000000-0005-0000-0000-0000028A0000}"/>
    <cellStyle name="Normal 3 4 2 4 5" xfId="24566" xr:uid="{00000000-0005-0000-0000-0000038A0000}"/>
    <cellStyle name="Normal 3 4 2 5" xfId="5685" xr:uid="{00000000-0005-0000-0000-0000048A0000}"/>
    <cellStyle name="Normal 3 4 2 5 2" xfId="8511" xr:uid="{00000000-0005-0000-0000-0000058A0000}"/>
    <cellStyle name="Normal 3 4 2 5 2 2" xfId="12818" xr:uid="{00000000-0005-0000-0000-0000068A0000}"/>
    <cellStyle name="Normal 3 4 2 5 2 2 2" xfId="32288" xr:uid="{00000000-0005-0000-0000-0000078A0000}"/>
    <cellStyle name="Normal 3 4 2 5 2 3" xfId="27991" xr:uid="{00000000-0005-0000-0000-0000088A0000}"/>
    <cellStyle name="Normal 3 4 2 5 3" xfId="10121" xr:uid="{00000000-0005-0000-0000-0000098A0000}"/>
    <cellStyle name="Normal 3 4 2 5 3 2" xfId="29591" xr:uid="{00000000-0005-0000-0000-00000A8A0000}"/>
    <cellStyle name="Normal 3 4 2 5 4" xfId="25171" xr:uid="{00000000-0005-0000-0000-00000B8A0000}"/>
    <cellStyle name="Normal 3 4 2 6" xfId="8496" xr:uid="{00000000-0005-0000-0000-00000C8A0000}"/>
    <cellStyle name="Normal 3 4 2 6 2" xfId="12803" xr:uid="{00000000-0005-0000-0000-00000D8A0000}"/>
    <cellStyle name="Normal 3 4 2 6 2 2" xfId="32273" xr:uid="{00000000-0005-0000-0000-00000E8A0000}"/>
    <cellStyle name="Normal 3 4 2 6 3" xfId="27976" xr:uid="{00000000-0005-0000-0000-00000F8A0000}"/>
    <cellStyle name="Normal 3 4 2 7" xfId="9059" xr:uid="{00000000-0005-0000-0000-0000108A0000}"/>
    <cellStyle name="Normal 3 4 2 7 2" xfId="28531" xr:uid="{00000000-0005-0000-0000-0000118A0000}"/>
    <cellStyle name="Normal 3 4 2 8" xfId="23941" xr:uid="{00000000-0005-0000-0000-0000128A0000}"/>
    <cellStyle name="Normal 3 4 3" xfId="4181" xr:uid="{00000000-0005-0000-0000-0000138A0000}"/>
    <cellStyle name="Normal 3 4 3 2" xfId="4773" xr:uid="{00000000-0005-0000-0000-0000148A0000}"/>
    <cellStyle name="Normal 3 4 3 2 2" xfId="5399" xr:uid="{00000000-0005-0000-0000-0000158A0000}"/>
    <cellStyle name="Normal 3 4 3 2 2 2" xfId="6527" xr:uid="{00000000-0005-0000-0000-0000168A0000}"/>
    <cellStyle name="Normal 3 4 3 2 2 2 2" xfId="8515" xr:uid="{00000000-0005-0000-0000-0000178A0000}"/>
    <cellStyle name="Normal 3 4 3 2 2 2 2 2" xfId="12822" xr:uid="{00000000-0005-0000-0000-0000188A0000}"/>
    <cellStyle name="Normal 3 4 3 2 2 2 2 2 2" xfId="32292" xr:uid="{00000000-0005-0000-0000-0000198A0000}"/>
    <cellStyle name="Normal 3 4 3 2 2 2 2 3" xfId="27995" xr:uid="{00000000-0005-0000-0000-00001A8A0000}"/>
    <cellStyle name="Normal 3 4 3 2 2 2 3" xfId="10943" xr:uid="{00000000-0005-0000-0000-00001B8A0000}"/>
    <cellStyle name="Normal 3 4 3 2 2 2 3 2" xfId="30413" xr:uid="{00000000-0005-0000-0000-00001C8A0000}"/>
    <cellStyle name="Normal 3 4 3 2 2 2 4" xfId="26012" xr:uid="{00000000-0005-0000-0000-00001D8A0000}"/>
    <cellStyle name="Normal 3 4 3 2 2 3" xfId="8514" xr:uid="{00000000-0005-0000-0000-00001E8A0000}"/>
    <cellStyle name="Normal 3 4 3 2 2 3 2" xfId="12821" xr:uid="{00000000-0005-0000-0000-00001F8A0000}"/>
    <cellStyle name="Normal 3 4 3 2 2 3 2 2" xfId="32291" xr:uid="{00000000-0005-0000-0000-0000208A0000}"/>
    <cellStyle name="Normal 3 4 3 2 2 3 3" xfId="27994" xr:uid="{00000000-0005-0000-0000-0000218A0000}"/>
    <cellStyle name="Normal 3 4 3 2 2 4" xfId="9882" xr:uid="{00000000-0005-0000-0000-0000228A0000}"/>
    <cellStyle name="Normal 3 4 3 2 2 4 2" xfId="29352" xr:uid="{00000000-0005-0000-0000-0000238A0000}"/>
    <cellStyle name="Normal 3 4 3 2 2 5" xfId="24890" xr:uid="{00000000-0005-0000-0000-0000248A0000}"/>
    <cellStyle name="Normal 3 4 3 2 3" xfId="5991" xr:uid="{00000000-0005-0000-0000-0000258A0000}"/>
    <cellStyle name="Normal 3 4 3 2 3 2" xfId="8516" xr:uid="{00000000-0005-0000-0000-0000268A0000}"/>
    <cellStyle name="Normal 3 4 3 2 3 2 2" xfId="12823" xr:uid="{00000000-0005-0000-0000-0000278A0000}"/>
    <cellStyle name="Normal 3 4 3 2 3 2 2 2" xfId="32293" xr:uid="{00000000-0005-0000-0000-0000288A0000}"/>
    <cellStyle name="Normal 3 4 3 2 3 2 3" xfId="27996" xr:uid="{00000000-0005-0000-0000-0000298A0000}"/>
    <cellStyle name="Normal 3 4 3 2 3 3" xfId="10412" xr:uid="{00000000-0005-0000-0000-00002A8A0000}"/>
    <cellStyle name="Normal 3 4 3 2 3 3 2" xfId="29882" xr:uid="{00000000-0005-0000-0000-00002B8A0000}"/>
    <cellStyle name="Normal 3 4 3 2 3 4" xfId="25476" xr:uid="{00000000-0005-0000-0000-00002C8A0000}"/>
    <cellStyle name="Normal 3 4 3 2 4" xfId="8513" xr:uid="{00000000-0005-0000-0000-00002D8A0000}"/>
    <cellStyle name="Normal 3 4 3 2 4 2" xfId="12820" xr:uid="{00000000-0005-0000-0000-00002E8A0000}"/>
    <cellStyle name="Normal 3 4 3 2 4 2 2" xfId="32290" xr:uid="{00000000-0005-0000-0000-00002F8A0000}"/>
    <cellStyle name="Normal 3 4 3 2 4 3" xfId="27993" xr:uid="{00000000-0005-0000-0000-0000308A0000}"/>
    <cellStyle name="Normal 3 4 3 2 5" xfId="9352" xr:uid="{00000000-0005-0000-0000-0000318A0000}"/>
    <cellStyle name="Normal 3 4 3 2 5 2" xfId="28822" xr:uid="{00000000-0005-0000-0000-0000328A0000}"/>
    <cellStyle name="Normal 3 4 3 2 6" xfId="24275" xr:uid="{00000000-0005-0000-0000-0000338A0000}"/>
    <cellStyle name="Normal 3 4 3 3" xfId="5104" xr:uid="{00000000-0005-0000-0000-0000348A0000}"/>
    <cellStyle name="Normal 3 4 3 3 2" xfId="6260" xr:uid="{00000000-0005-0000-0000-0000358A0000}"/>
    <cellStyle name="Normal 3 4 3 3 2 2" xfId="8518" xr:uid="{00000000-0005-0000-0000-0000368A0000}"/>
    <cellStyle name="Normal 3 4 3 3 2 2 2" xfId="12825" xr:uid="{00000000-0005-0000-0000-0000378A0000}"/>
    <cellStyle name="Normal 3 4 3 3 2 2 2 2" xfId="32295" xr:uid="{00000000-0005-0000-0000-0000388A0000}"/>
    <cellStyle name="Normal 3 4 3 3 2 2 3" xfId="27998" xr:uid="{00000000-0005-0000-0000-0000398A0000}"/>
    <cellStyle name="Normal 3 4 3 3 2 3" xfId="10677" xr:uid="{00000000-0005-0000-0000-00003A8A0000}"/>
    <cellStyle name="Normal 3 4 3 3 2 3 2" xfId="30147" xr:uid="{00000000-0005-0000-0000-00003B8A0000}"/>
    <cellStyle name="Normal 3 4 3 3 2 4" xfId="25745" xr:uid="{00000000-0005-0000-0000-00003C8A0000}"/>
    <cellStyle name="Normal 3 4 3 3 3" xfId="8517" xr:uid="{00000000-0005-0000-0000-00003D8A0000}"/>
    <cellStyle name="Normal 3 4 3 3 3 2" xfId="12824" xr:uid="{00000000-0005-0000-0000-00003E8A0000}"/>
    <cellStyle name="Normal 3 4 3 3 3 2 2" xfId="32294" xr:uid="{00000000-0005-0000-0000-00003F8A0000}"/>
    <cellStyle name="Normal 3 4 3 3 3 3" xfId="27997" xr:uid="{00000000-0005-0000-0000-0000408A0000}"/>
    <cellStyle name="Normal 3 4 3 3 4" xfId="9617" xr:uid="{00000000-0005-0000-0000-0000418A0000}"/>
    <cellStyle name="Normal 3 4 3 3 4 2" xfId="29087" xr:uid="{00000000-0005-0000-0000-0000428A0000}"/>
    <cellStyle name="Normal 3 4 3 3 5" xfId="24595" xr:uid="{00000000-0005-0000-0000-0000438A0000}"/>
    <cellStyle name="Normal 3 4 3 4" xfId="5713" xr:uid="{00000000-0005-0000-0000-0000448A0000}"/>
    <cellStyle name="Normal 3 4 3 4 2" xfId="8519" xr:uid="{00000000-0005-0000-0000-0000458A0000}"/>
    <cellStyle name="Normal 3 4 3 4 2 2" xfId="12826" xr:uid="{00000000-0005-0000-0000-0000468A0000}"/>
    <cellStyle name="Normal 3 4 3 4 2 2 2" xfId="32296" xr:uid="{00000000-0005-0000-0000-0000478A0000}"/>
    <cellStyle name="Normal 3 4 3 4 2 3" xfId="27999" xr:uid="{00000000-0005-0000-0000-0000488A0000}"/>
    <cellStyle name="Normal 3 4 3 4 3" xfId="10147" xr:uid="{00000000-0005-0000-0000-0000498A0000}"/>
    <cellStyle name="Normal 3 4 3 4 3 2" xfId="29617" xr:uid="{00000000-0005-0000-0000-00004A8A0000}"/>
    <cellStyle name="Normal 3 4 3 4 4" xfId="25198" xr:uid="{00000000-0005-0000-0000-00004B8A0000}"/>
    <cellStyle name="Normal 3 4 3 5" xfId="8512" xr:uid="{00000000-0005-0000-0000-00004C8A0000}"/>
    <cellStyle name="Normal 3 4 3 5 2" xfId="12819" xr:uid="{00000000-0005-0000-0000-00004D8A0000}"/>
    <cellStyle name="Normal 3 4 3 5 2 2" xfId="32289" xr:uid="{00000000-0005-0000-0000-00004E8A0000}"/>
    <cellStyle name="Normal 3 4 3 5 3" xfId="27992" xr:uid="{00000000-0005-0000-0000-00004F8A0000}"/>
    <cellStyle name="Normal 3 4 3 6" xfId="9086" xr:uid="{00000000-0005-0000-0000-0000508A0000}"/>
    <cellStyle name="Normal 3 4 3 6 2" xfId="28557" xr:uid="{00000000-0005-0000-0000-0000518A0000}"/>
    <cellStyle name="Normal 3 4 3 7" xfId="23973" xr:uid="{00000000-0005-0000-0000-0000528A0000}"/>
    <cellStyle name="Normal 3 5" xfId="3990" xr:uid="{00000000-0005-0000-0000-0000538A0000}"/>
    <cellStyle name="Normal 3 5 2" xfId="4235" xr:uid="{00000000-0005-0000-0000-0000548A0000}"/>
    <cellStyle name="Normal 3 5 2 2" xfId="4810" xr:uid="{00000000-0005-0000-0000-0000558A0000}"/>
    <cellStyle name="Normal 3 5 2 2 2" xfId="5435" xr:uid="{00000000-0005-0000-0000-0000568A0000}"/>
    <cellStyle name="Normal 3 5 2 2 2 2" xfId="6563" xr:uid="{00000000-0005-0000-0000-0000578A0000}"/>
    <cellStyle name="Normal 3 5 2 2 2 2 2" xfId="8524" xr:uid="{00000000-0005-0000-0000-0000588A0000}"/>
    <cellStyle name="Normal 3 5 2 2 2 2 2 2" xfId="12831" xr:uid="{00000000-0005-0000-0000-0000598A0000}"/>
    <cellStyle name="Normal 3 5 2 2 2 2 2 2 2" xfId="32301" xr:uid="{00000000-0005-0000-0000-00005A8A0000}"/>
    <cellStyle name="Normal 3 5 2 2 2 2 2 3" xfId="28004" xr:uid="{00000000-0005-0000-0000-00005B8A0000}"/>
    <cellStyle name="Normal 3 5 2 2 2 2 3" xfId="10979" xr:uid="{00000000-0005-0000-0000-00005C8A0000}"/>
    <cellStyle name="Normal 3 5 2 2 2 2 3 2" xfId="30449" xr:uid="{00000000-0005-0000-0000-00005D8A0000}"/>
    <cellStyle name="Normal 3 5 2 2 2 2 4" xfId="26048" xr:uid="{00000000-0005-0000-0000-00005E8A0000}"/>
    <cellStyle name="Normal 3 5 2 2 2 3" xfId="8523" xr:uid="{00000000-0005-0000-0000-00005F8A0000}"/>
    <cellStyle name="Normal 3 5 2 2 2 3 2" xfId="12830" xr:uid="{00000000-0005-0000-0000-0000608A0000}"/>
    <cellStyle name="Normal 3 5 2 2 2 3 2 2" xfId="32300" xr:uid="{00000000-0005-0000-0000-0000618A0000}"/>
    <cellStyle name="Normal 3 5 2 2 2 3 3" xfId="28003" xr:uid="{00000000-0005-0000-0000-0000628A0000}"/>
    <cellStyle name="Normal 3 5 2 2 2 4" xfId="9918" xr:uid="{00000000-0005-0000-0000-0000638A0000}"/>
    <cellStyle name="Normal 3 5 2 2 2 4 2" xfId="29388" xr:uid="{00000000-0005-0000-0000-0000648A0000}"/>
    <cellStyle name="Normal 3 5 2 2 2 5" xfId="24926" xr:uid="{00000000-0005-0000-0000-0000658A0000}"/>
    <cellStyle name="Normal 3 5 2 2 3" xfId="6028" xr:uid="{00000000-0005-0000-0000-0000668A0000}"/>
    <cellStyle name="Normal 3 5 2 2 3 2" xfId="8525" xr:uid="{00000000-0005-0000-0000-0000678A0000}"/>
    <cellStyle name="Normal 3 5 2 2 3 2 2" xfId="12832" xr:uid="{00000000-0005-0000-0000-0000688A0000}"/>
    <cellStyle name="Normal 3 5 2 2 3 2 2 2" xfId="32302" xr:uid="{00000000-0005-0000-0000-0000698A0000}"/>
    <cellStyle name="Normal 3 5 2 2 3 2 3" xfId="28005" xr:uid="{00000000-0005-0000-0000-00006A8A0000}"/>
    <cellStyle name="Normal 3 5 2 2 3 3" xfId="10448" xr:uid="{00000000-0005-0000-0000-00006B8A0000}"/>
    <cellStyle name="Normal 3 5 2 2 3 3 2" xfId="29918" xr:uid="{00000000-0005-0000-0000-00006C8A0000}"/>
    <cellStyle name="Normal 3 5 2 2 3 4" xfId="25513" xr:uid="{00000000-0005-0000-0000-00006D8A0000}"/>
    <cellStyle name="Normal 3 5 2 2 4" xfId="8522" xr:uid="{00000000-0005-0000-0000-00006E8A0000}"/>
    <cellStyle name="Normal 3 5 2 2 4 2" xfId="12829" xr:uid="{00000000-0005-0000-0000-00006F8A0000}"/>
    <cellStyle name="Normal 3 5 2 2 4 2 2" xfId="32299" xr:uid="{00000000-0005-0000-0000-0000708A0000}"/>
    <cellStyle name="Normal 3 5 2 2 4 3" xfId="28002" xr:uid="{00000000-0005-0000-0000-0000718A0000}"/>
    <cellStyle name="Normal 3 5 2 2 5" xfId="9388" xr:uid="{00000000-0005-0000-0000-0000728A0000}"/>
    <cellStyle name="Normal 3 5 2 2 5 2" xfId="28858" xr:uid="{00000000-0005-0000-0000-0000738A0000}"/>
    <cellStyle name="Normal 3 5 2 2 6" xfId="24312" xr:uid="{00000000-0005-0000-0000-0000748A0000}"/>
    <cellStyle name="Normal 3 5 2 3" xfId="5140" xr:uid="{00000000-0005-0000-0000-0000758A0000}"/>
    <cellStyle name="Normal 3 5 2 3 2" xfId="6296" xr:uid="{00000000-0005-0000-0000-0000768A0000}"/>
    <cellStyle name="Normal 3 5 2 3 2 2" xfId="8527" xr:uid="{00000000-0005-0000-0000-0000778A0000}"/>
    <cellStyle name="Normal 3 5 2 3 2 2 2" xfId="12834" xr:uid="{00000000-0005-0000-0000-0000788A0000}"/>
    <cellStyle name="Normal 3 5 2 3 2 2 2 2" xfId="32304" xr:uid="{00000000-0005-0000-0000-0000798A0000}"/>
    <cellStyle name="Normal 3 5 2 3 2 2 3" xfId="28007" xr:uid="{00000000-0005-0000-0000-00007A8A0000}"/>
    <cellStyle name="Normal 3 5 2 3 2 3" xfId="10713" xr:uid="{00000000-0005-0000-0000-00007B8A0000}"/>
    <cellStyle name="Normal 3 5 2 3 2 3 2" xfId="30183" xr:uid="{00000000-0005-0000-0000-00007C8A0000}"/>
    <cellStyle name="Normal 3 5 2 3 2 4" xfId="25781" xr:uid="{00000000-0005-0000-0000-00007D8A0000}"/>
    <cellStyle name="Normal 3 5 2 3 3" xfId="8526" xr:uid="{00000000-0005-0000-0000-00007E8A0000}"/>
    <cellStyle name="Normal 3 5 2 3 3 2" xfId="12833" xr:uid="{00000000-0005-0000-0000-00007F8A0000}"/>
    <cellStyle name="Normal 3 5 2 3 3 2 2" xfId="32303" xr:uid="{00000000-0005-0000-0000-0000808A0000}"/>
    <cellStyle name="Normal 3 5 2 3 3 3" xfId="28006" xr:uid="{00000000-0005-0000-0000-0000818A0000}"/>
    <cellStyle name="Normal 3 5 2 3 4" xfId="9653" xr:uid="{00000000-0005-0000-0000-0000828A0000}"/>
    <cellStyle name="Normal 3 5 2 3 4 2" xfId="29123" xr:uid="{00000000-0005-0000-0000-0000838A0000}"/>
    <cellStyle name="Normal 3 5 2 3 5" xfId="24631" xr:uid="{00000000-0005-0000-0000-0000848A0000}"/>
    <cellStyle name="Normal 3 5 2 4" xfId="5749" xr:uid="{00000000-0005-0000-0000-0000858A0000}"/>
    <cellStyle name="Normal 3 5 2 4 2" xfId="8528" xr:uid="{00000000-0005-0000-0000-0000868A0000}"/>
    <cellStyle name="Normal 3 5 2 4 2 2" xfId="12835" xr:uid="{00000000-0005-0000-0000-0000878A0000}"/>
    <cellStyle name="Normal 3 5 2 4 2 2 2" xfId="32305" xr:uid="{00000000-0005-0000-0000-0000888A0000}"/>
    <cellStyle name="Normal 3 5 2 4 2 3" xfId="28008" xr:uid="{00000000-0005-0000-0000-0000898A0000}"/>
    <cellStyle name="Normal 3 5 2 4 3" xfId="10183" xr:uid="{00000000-0005-0000-0000-00008A8A0000}"/>
    <cellStyle name="Normal 3 5 2 4 3 2" xfId="29653" xr:uid="{00000000-0005-0000-0000-00008B8A0000}"/>
    <cellStyle name="Normal 3 5 2 4 4" xfId="25234" xr:uid="{00000000-0005-0000-0000-00008C8A0000}"/>
    <cellStyle name="Normal 3 5 2 5" xfId="8521" xr:uid="{00000000-0005-0000-0000-00008D8A0000}"/>
    <cellStyle name="Normal 3 5 2 5 2" xfId="12828" xr:uid="{00000000-0005-0000-0000-00008E8A0000}"/>
    <cellStyle name="Normal 3 5 2 5 2 2" xfId="32298" xr:uid="{00000000-0005-0000-0000-00008F8A0000}"/>
    <cellStyle name="Normal 3 5 2 5 3" xfId="28001" xr:uid="{00000000-0005-0000-0000-0000908A0000}"/>
    <cellStyle name="Normal 3 5 2 6" xfId="9122" xr:uid="{00000000-0005-0000-0000-0000918A0000}"/>
    <cellStyle name="Normal 3 5 2 6 2" xfId="28593" xr:uid="{00000000-0005-0000-0000-0000928A0000}"/>
    <cellStyle name="Normal 3 5 2 7" xfId="24011" xr:uid="{00000000-0005-0000-0000-0000938A0000}"/>
    <cellStyle name="Normal 3 5 3" xfId="4743" xr:uid="{00000000-0005-0000-0000-0000948A0000}"/>
    <cellStyle name="Normal 3 5 3 2" xfId="5374" xr:uid="{00000000-0005-0000-0000-0000958A0000}"/>
    <cellStyle name="Normal 3 5 3 2 2" xfId="6502" xr:uid="{00000000-0005-0000-0000-0000968A0000}"/>
    <cellStyle name="Normal 3 5 3 2 2 2" xfId="8531" xr:uid="{00000000-0005-0000-0000-0000978A0000}"/>
    <cellStyle name="Normal 3 5 3 2 2 2 2" xfId="12838" xr:uid="{00000000-0005-0000-0000-0000988A0000}"/>
    <cellStyle name="Normal 3 5 3 2 2 2 2 2" xfId="32308" xr:uid="{00000000-0005-0000-0000-0000998A0000}"/>
    <cellStyle name="Normal 3 5 3 2 2 2 3" xfId="28011" xr:uid="{00000000-0005-0000-0000-00009A8A0000}"/>
    <cellStyle name="Normal 3 5 3 2 2 3" xfId="10918" xr:uid="{00000000-0005-0000-0000-00009B8A0000}"/>
    <cellStyle name="Normal 3 5 3 2 2 3 2" xfId="30388" xr:uid="{00000000-0005-0000-0000-00009C8A0000}"/>
    <cellStyle name="Normal 3 5 3 2 2 4" xfId="25987" xr:uid="{00000000-0005-0000-0000-00009D8A0000}"/>
    <cellStyle name="Normal 3 5 3 2 3" xfId="8530" xr:uid="{00000000-0005-0000-0000-00009E8A0000}"/>
    <cellStyle name="Normal 3 5 3 2 3 2" xfId="12837" xr:uid="{00000000-0005-0000-0000-00009F8A0000}"/>
    <cellStyle name="Normal 3 5 3 2 3 2 2" xfId="32307" xr:uid="{00000000-0005-0000-0000-0000A08A0000}"/>
    <cellStyle name="Normal 3 5 3 2 3 3" xfId="28010" xr:uid="{00000000-0005-0000-0000-0000A18A0000}"/>
    <cellStyle name="Normal 3 5 3 2 4" xfId="9857" xr:uid="{00000000-0005-0000-0000-0000A28A0000}"/>
    <cellStyle name="Normal 3 5 3 2 4 2" xfId="29327" xr:uid="{00000000-0005-0000-0000-0000A38A0000}"/>
    <cellStyle name="Normal 3 5 3 2 5" xfId="24865" xr:uid="{00000000-0005-0000-0000-0000A48A0000}"/>
    <cellStyle name="Normal 3 5 3 3" xfId="5965" xr:uid="{00000000-0005-0000-0000-0000A58A0000}"/>
    <cellStyle name="Normal 3 5 3 3 2" xfId="8532" xr:uid="{00000000-0005-0000-0000-0000A68A0000}"/>
    <cellStyle name="Normal 3 5 3 3 2 2" xfId="12839" xr:uid="{00000000-0005-0000-0000-0000A78A0000}"/>
    <cellStyle name="Normal 3 5 3 3 2 2 2" xfId="32309" xr:uid="{00000000-0005-0000-0000-0000A88A0000}"/>
    <cellStyle name="Normal 3 5 3 3 2 3" xfId="28012" xr:uid="{00000000-0005-0000-0000-0000A98A0000}"/>
    <cellStyle name="Normal 3 5 3 3 3" xfId="10387" xr:uid="{00000000-0005-0000-0000-0000AA8A0000}"/>
    <cellStyle name="Normal 3 5 3 3 3 2" xfId="29857" xr:uid="{00000000-0005-0000-0000-0000AB8A0000}"/>
    <cellStyle name="Normal 3 5 3 3 4" xfId="25450" xr:uid="{00000000-0005-0000-0000-0000AC8A0000}"/>
    <cellStyle name="Normal 3 5 3 4" xfId="8529" xr:uid="{00000000-0005-0000-0000-0000AD8A0000}"/>
    <cellStyle name="Normal 3 5 3 4 2" xfId="12836" xr:uid="{00000000-0005-0000-0000-0000AE8A0000}"/>
    <cellStyle name="Normal 3 5 3 4 2 2" xfId="32306" xr:uid="{00000000-0005-0000-0000-0000AF8A0000}"/>
    <cellStyle name="Normal 3 5 3 4 3" xfId="28009" xr:uid="{00000000-0005-0000-0000-0000B08A0000}"/>
    <cellStyle name="Normal 3 5 3 5" xfId="9327" xr:uid="{00000000-0005-0000-0000-0000B18A0000}"/>
    <cellStyle name="Normal 3 5 3 5 2" xfId="28797" xr:uid="{00000000-0005-0000-0000-0000B28A0000}"/>
    <cellStyle name="Normal 3 5 3 6" xfId="24249" xr:uid="{00000000-0005-0000-0000-0000B38A0000}"/>
    <cellStyle name="Normal 3 5 4" xfId="5075" xr:uid="{00000000-0005-0000-0000-0000B48A0000}"/>
    <cellStyle name="Normal 3 5 4 2" xfId="6235" xr:uid="{00000000-0005-0000-0000-0000B58A0000}"/>
    <cellStyle name="Normal 3 5 4 2 2" xfId="8534" xr:uid="{00000000-0005-0000-0000-0000B68A0000}"/>
    <cellStyle name="Normal 3 5 4 2 2 2" xfId="12841" xr:uid="{00000000-0005-0000-0000-0000B78A0000}"/>
    <cellStyle name="Normal 3 5 4 2 2 2 2" xfId="32311" xr:uid="{00000000-0005-0000-0000-0000B88A0000}"/>
    <cellStyle name="Normal 3 5 4 2 2 3" xfId="28014" xr:uid="{00000000-0005-0000-0000-0000B98A0000}"/>
    <cellStyle name="Normal 3 5 4 2 3" xfId="10652" xr:uid="{00000000-0005-0000-0000-0000BA8A0000}"/>
    <cellStyle name="Normal 3 5 4 2 3 2" xfId="30122" xr:uid="{00000000-0005-0000-0000-0000BB8A0000}"/>
    <cellStyle name="Normal 3 5 4 2 4" xfId="25720" xr:uid="{00000000-0005-0000-0000-0000BC8A0000}"/>
    <cellStyle name="Normal 3 5 4 3" xfId="8533" xr:uid="{00000000-0005-0000-0000-0000BD8A0000}"/>
    <cellStyle name="Normal 3 5 4 3 2" xfId="12840" xr:uid="{00000000-0005-0000-0000-0000BE8A0000}"/>
    <cellStyle name="Normal 3 5 4 3 2 2" xfId="32310" xr:uid="{00000000-0005-0000-0000-0000BF8A0000}"/>
    <cellStyle name="Normal 3 5 4 3 3" xfId="28013" xr:uid="{00000000-0005-0000-0000-0000C08A0000}"/>
    <cellStyle name="Normal 3 5 4 4" xfId="9592" xr:uid="{00000000-0005-0000-0000-0000C18A0000}"/>
    <cellStyle name="Normal 3 5 4 4 2" xfId="29062" xr:uid="{00000000-0005-0000-0000-0000C28A0000}"/>
    <cellStyle name="Normal 3 5 4 5" xfId="24567" xr:uid="{00000000-0005-0000-0000-0000C38A0000}"/>
    <cellStyle name="Normal 3 5 5" xfId="5686" xr:uid="{00000000-0005-0000-0000-0000C48A0000}"/>
    <cellStyle name="Normal 3 5 5 2" xfId="8535" xr:uid="{00000000-0005-0000-0000-0000C58A0000}"/>
    <cellStyle name="Normal 3 5 5 2 2" xfId="12842" xr:uid="{00000000-0005-0000-0000-0000C68A0000}"/>
    <cellStyle name="Normal 3 5 5 2 2 2" xfId="32312" xr:uid="{00000000-0005-0000-0000-0000C78A0000}"/>
    <cellStyle name="Normal 3 5 5 2 3" xfId="28015" xr:uid="{00000000-0005-0000-0000-0000C88A0000}"/>
    <cellStyle name="Normal 3 5 5 3" xfId="10122" xr:uid="{00000000-0005-0000-0000-0000C98A0000}"/>
    <cellStyle name="Normal 3 5 5 3 2" xfId="29592" xr:uid="{00000000-0005-0000-0000-0000CA8A0000}"/>
    <cellStyle name="Normal 3 5 5 4" xfId="25172" xr:uid="{00000000-0005-0000-0000-0000CB8A0000}"/>
    <cellStyle name="Normal 3 5 6" xfId="8520" xr:uid="{00000000-0005-0000-0000-0000CC8A0000}"/>
    <cellStyle name="Normal 3 5 6 2" xfId="12827" xr:uid="{00000000-0005-0000-0000-0000CD8A0000}"/>
    <cellStyle name="Normal 3 5 6 2 2" xfId="32297" xr:uid="{00000000-0005-0000-0000-0000CE8A0000}"/>
    <cellStyle name="Normal 3 5 6 3" xfId="28000" xr:uid="{00000000-0005-0000-0000-0000CF8A0000}"/>
    <cellStyle name="Normal 3 5 7" xfId="9060" xr:uid="{00000000-0005-0000-0000-0000D08A0000}"/>
    <cellStyle name="Normal 3 5 7 2" xfId="28532" xr:uid="{00000000-0005-0000-0000-0000D18A0000}"/>
    <cellStyle name="Normal 3 5 8" xfId="23942" xr:uid="{00000000-0005-0000-0000-0000D28A0000}"/>
    <cellStyle name="Normal 3 6" xfId="4106" xr:uid="{00000000-0005-0000-0000-0000D38A0000}"/>
    <cellStyle name="Normal 3 6 2" xfId="4752" xr:uid="{00000000-0005-0000-0000-0000D48A0000}"/>
    <cellStyle name="Normal 3 6 2 2" xfId="5381" xr:uid="{00000000-0005-0000-0000-0000D58A0000}"/>
    <cellStyle name="Normal 3 6 2 2 2" xfId="6509" xr:uid="{00000000-0005-0000-0000-0000D68A0000}"/>
    <cellStyle name="Normal 3 6 2 2 2 2" xfId="8539" xr:uid="{00000000-0005-0000-0000-0000D78A0000}"/>
    <cellStyle name="Normal 3 6 2 2 2 2 2" xfId="12846" xr:uid="{00000000-0005-0000-0000-0000D88A0000}"/>
    <cellStyle name="Normal 3 6 2 2 2 2 2 2" xfId="32316" xr:uid="{00000000-0005-0000-0000-0000D98A0000}"/>
    <cellStyle name="Normal 3 6 2 2 2 2 3" xfId="28019" xr:uid="{00000000-0005-0000-0000-0000DA8A0000}"/>
    <cellStyle name="Normal 3 6 2 2 2 3" xfId="10925" xr:uid="{00000000-0005-0000-0000-0000DB8A0000}"/>
    <cellStyle name="Normal 3 6 2 2 2 3 2" xfId="30395" xr:uid="{00000000-0005-0000-0000-0000DC8A0000}"/>
    <cellStyle name="Normal 3 6 2 2 2 4" xfId="25994" xr:uid="{00000000-0005-0000-0000-0000DD8A0000}"/>
    <cellStyle name="Normal 3 6 2 2 3" xfId="8538" xr:uid="{00000000-0005-0000-0000-0000DE8A0000}"/>
    <cellStyle name="Normal 3 6 2 2 3 2" xfId="12845" xr:uid="{00000000-0005-0000-0000-0000DF8A0000}"/>
    <cellStyle name="Normal 3 6 2 2 3 2 2" xfId="32315" xr:uid="{00000000-0005-0000-0000-0000E08A0000}"/>
    <cellStyle name="Normal 3 6 2 2 3 3" xfId="28018" xr:uid="{00000000-0005-0000-0000-0000E18A0000}"/>
    <cellStyle name="Normal 3 6 2 2 4" xfId="9864" xr:uid="{00000000-0005-0000-0000-0000E28A0000}"/>
    <cellStyle name="Normal 3 6 2 2 4 2" xfId="29334" xr:uid="{00000000-0005-0000-0000-0000E38A0000}"/>
    <cellStyle name="Normal 3 6 2 2 5" xfId="24872" xr:uid="{00000000-0005-0000-0000-0000E48A0000}"/>
    <cellStyle name="Normal 3 6 2 3" xfId="5972" xr:uid="{00000000-0005-0000-0000-0000E58A0000}"/>
    <cellStyle name="Normal 3 6 2 3 2" xfId="8540" xr:uid="{00000000-0005-0000-0000-0000E68A0000}"/>
    <cellStyle name="Normal 3 6 2 3 2 2" xfId="12847" xr:uid="{00000000-0005-0000-0000-0000E78A0000}"/>
    <cellStyle name="Normal 3 6 2 3 2 2 2" xfId="32317" xr:uid="{00000000-0005-0000-0000-0000E88A0000}"/>
    <cellStyle name="Normal 3 6 2 3 2 3" xfId="28020" xr:uid="{00000000-0005-0000-0000-0000E98A0000}"/>
    <cellStyle name="Normal 3 6 2 3 3" xfId="10394" xr:uid="{00000000-0005-0000-0000-0000EA8A0000}"/>
    <cellStyle name="Normal 3 6 2 3 3 2" xfId="29864" xr:uid="{00000000-0005-0000-0000-0000EB8A0000}"/>
    <cellStyle name="Normal 3 6 2 3 4" xfId="25457" xr:uid="{00000000-0005-0000-0000-0000EC8A0000}"/>
    <cellStyle name="Normal 3 6 2 4" xfId="8537" xr:uid="{00000000-0005-0000-0000-0000ED8A0000}"/>
    <cellStyle name="Normal 3 6 2 4 2" xfId="12844" xr:uid="{00000000-0005-0000-0000-0000EE8A0000}"/>
    <cellStyle name="Normal 3 6 2 4 2 2" xfId="32314" xr:uid="{00000000-0005-0000-0000-0000EF8A0000}"/>
    <cellStyle name="Normal 3 6 2 4 3" xfId="28017" xr:uid="{00000000-0005-0000-0000-0000F08A0000}"/>
    <cellStyle name="Normal 3 6 2 5" xfId="9334" xr:uid="{00000000-0005-0000-0000-0000F18A0000}"/>
    <cellStyle name="Normal 3 6 2 5 2" xfId="28804" xr:uid="{00000000-0005-0000-0000-0000F28A0000}"/>
    <cellStyle name="Normal 3 6 2 6" xfId="24257" xr:uid="{00000000-0005-0000-0000-0000F38A0000}"/>
    <cellStyle name="Normal 3 6 3" xfId="5086" xr:uid="{00000000-0005-0000-0000-0000F48A0000}"/>
    <cellStyle name="Normal 3 6 3 2" xfId="6242" xr:uid="{00000000-0005-0000-0000-0000F58A0000}"/>
    <cellStyle name="Normal 3 6 3 2 2" xfId="8542" xr:uid="{00000000-0005-0000-0000-0000F68A0000}"/>
    <cellStyle name="Normal 3 6 3 2 2 2" xfId="12849" xr:uid="{00000000-0005-0000-0000-0000F78A0000}"/>
    <cellStyle name="Normal 3 6 3 2 2 2 2" xfId="32319" xr:uid="{00000000-0005-0000-0000-0000F88A0000}"/>
    <cellStyle name="Normal 3 6 3 2 2 3" xfId="28022" xr:uid="{00000000-0005-0000-0000-0000F98A0000}"/>
    <cellStyle name="Normal 3 6 3 2 3" xfId="10659" xr:uid="{00000000-0005-0000-0000-0000FA8A0000}"/>
    <cellStyle name="Normal 3 6 3 2 3 2" xfId="30129" xr:uid="{00000000-0005-0000-0000-0000FB8A0000}"/>
    <cellStyle name="Normal 3 6 3 2 4" xfId="25727" xr:uid="{00000000-0005-0000-0000-0000FC8A0000}"/>
    <cellStyle name="Normal 3 6 3 3" xfId="8541" xr:uid="{00000000-0005-0000-0000-0000FD8A0000}"/>
    <cellStyle name="Normal 3 6 3 3 2" xfId="12848" xr:uid="{00000000-0005-0000-0000-0000FE8A0000}"/>
    <cellStyle name="Normal 3 6 3 3 2 2" xfId="32318" xr:uid="{00000000-0005-0000-0000-0000FF8A0000}"/>
    <cellStyle name="Normal 3 6 3 3 3" xfId="28021" xr:uid="{00000000-0005-0000-0000-0000008B0000}"/>
    <cellStyle name="Normal 3 6 3 4" xfId="9599" xr:uid="{00000000-0005-0000-0000-0000018B0000}"/>
    <cellStyle name="Normal 3 6 3 4 2" xfId="29069" xr:uid="{00000000-0005-0000-0000-0000028B0000}"/>
    <cellStyle name="Normal 3 6 3 5" xfId="24577" xr:uid="{00000000-0005-0000-0000-0000038B0000}"/>
    <cellStyle name="Normal 3 6 4" xfId="5694" xr:uid="{00000000-0005-0000-0000-0000048B0000}"/>
    <cellStyle name="Normal 3 6 4 2" xfId="8543" xr:uid="{00000000-0005-0000-0000-0000058B0000}"/>
    <cellStyle name="Normal 3 6 4 2 2" xfId="12850" xr:uid="{00000000-0005-0000-0000-0000068B0000}"/>
    <cellStyle name="Normal 3 6 4 2 2 2" xfId="32320" xr:uid="{00000000-0005-0000-0000-0000078B0000}"/>
    <cellStyle name="Normal 3 6 4 2 3" xfId="28023" xr:uid="{00000000-0005-0000-0000-0000088B0000}"/>
    <cellStyle name="Normal 3 6 4 3" xfId="10129" xr:uid="{00000000-0005-0000-0000-0000098B0000}"/>
    <cellStyle name="Normal 3 6 4 3 2" xfId="29599" xr:uid="{00000000-0005-0000-0000-00000A8B0000}"/>
    <cellStyle name="Normal 3 6 4 4" xfId="25179" xr:uid="{00000000-0005-0000-0000-00000B8B0000}"/>
    <cellStyle name="Normal 3 6 5" xfId="8536" xr:uid="{00000000-0005-0000-0000-00000C8B0000}"/>
    <cellStyle name="Normal 3 6 5 2" xfId="12843" xr:uid="{00000000-0005-0000-0000-00000D8B0000}"/>
    <cellStyle name="Normal 3 6 5 2 2" xfId="32313" xr:uid="{00000000-0005-0000-0000-00000E8B0000}"/>
    <cellStyle name="Normal 3 6 5 3" xfId="28016" xr:uid="{00000000-0005-0000-0000-00000F8B0000}"/>
    <cellStyle name="Normal 3 6 6" xfId="9068" xr:uid="{00000000-0005-0000-0000-0000108B0000}"/>
    <cellStyle name="Normal 3 6 6 2" xfId="28539" xr:uid="{00000000-0005-0000-0000-0000118B0000}"/>
    <cellStyle name="Normal 3 6 7" xfId="23954" xr:uid="{00000000-0005-0000-0000-0000128B0000}"/>
    <cellStyle name="Normal 3 7" xfId="23396" xr:uid="{00000000-0005-0000-0000-0000138B0000}"/>
    <cellStyle name="Normal 30" xfId="8893" xr:uid="{00000000-0005-0000-0000-0000148B0000}"/>
    <cellStyle name="Normal 30 2" xfId="28369" xr:uid="{00000000-0005-0000-0000-0000158B0000}"/>
    <cellStyle name="Normal 30 2 2" xfId="42745" xr:uid="{2DCDDF5A-5632-41B7-A5DB-9417609D9383}"/>
    <cellStyle name="Normal 30 3" xfId="42743" xr:uid="{1664BBC6-DED6-4FA6-99DA-717DC654F571}"/>
    <cellStyle name="Normal 31" xfId="8894" xr:uid="{00000000-0005-0000-0000-0000168B0000}"/>
    <cellStyle name="Normal 31 2" xfId="28370" xr:uid="{00000000-0005-0000-0000-0000178B0000}"/>
    <cellStyle name="Normal 32" xfId="8895" xr:uid="{00000000-0005-0000-0000-0000188B0000}"/>
    <cellStyle name="Normal 32 2" xfId="28371" xr:uid="{00000000-0005-0000-0000-0000198B0000}"/>
    <cellStyle name="Normal 33" xfId="8896" xr:uid="{00000000-0005-0000-0000-00001A8B0000}"/>
    <cellStyle name="Normal 33 2" xfId="28372" xr:uid="{00000000-0005-0000-0000-00001B8B0000}"/>
    <cellStyle name="Normal 34" xfId="8897" xr:uid="{00000000-0005-0000-0000-00001C8B0000}"/>
    <cellStyle name="Normal 34 2" xfId="28373" xr:uid="{00000000-0005-0000-0000-00001D8B0000}"/>
    <cellStyle name="Normal 35" xfId="8898" xr:uid="{00000000-0005-0000-0000-00001E8B0000}"/>
    <cellStyle name="Normal 35 2" xfId="28374" xr:uid="{00000000-0005-0000-0000-00001F8B0000}"/>
    <cellStyle name="Normal 36" xfId="8899" xr:uid="{00000000-0005-0000-0000-0000208B0000}"/>
    <cellStyle name="Normal 36 2" xfId="28375" xr:uid="{00000000-0005-0000-0000-0000218B0000}"/>
    <cellStyle name="Normal 37" xfId="8900" xr:uid="{00000000-0005-0000-0000-0000228B0000}"/>
    <cellStyle name="Normal 37 2" xfId="28376" xr:uid="{00000000-0005-0000-0000-0000238B0000}"/>
    <cellStyle name="Normal 38" xfId="8901" xr:uid="{00000000-0005-0000-0000-0000248B0000}"/>
    <cellStyle name="Normal 38 2" xfId="28377" xr:uid="{00000000-0005-0000-0000-0000258B0000}"/>
    <cellStyle name="Normal 39" xfId="8902" xr:uid="{00000000-0005-0000-0000-0000268B0000}"/>
    <cellStyle name="Normal 39 2" xfId="28378" xr:uid="{00000000-0005-0000-0000-0000278B0000}"/>
    <cellStyle name="Normal 4" xfId="1677" xr:uid="{00000000-0005-0000-0000-0000288B0000}"/>
    <cellStyle name="Normal 4 2" xfId="1996" xr:uid="{00000000-0005-0000-0000-0000298B0000}"/>
    <cellStyle name="Normal 4 2 2" xfId="2763" xr:uid="{00000000-0005-0000-0000-00002A8B0000}"/>
    <cellStyle name="Normal 4 2 2 10" xfId="23584" xr:uid="{00000000-0005-0000-0000-00002B8B0000}"/>
    <cellStyle name="Normal 4 2 2 2" xfId="2891" xr:uid="{00000000-0005-0000-0000-00002C8B0000}"/>
    <cellStyle name="Normal 4 2 2 2 2" xfId="3085" xr:uid="{00000000-0005-0000-0000-00002D8B0000}"/>
    <cellStyle name="Normal 4 2 2 2 2 2" xfId="4712" xr:uid="{00000000-0005-0000-0000-00002E8B0000}"/>
    <cellStyle name="Normal 4 2 2 2 2 2 2" xfId="5346" xr:uid="{00000000-0005-0000-0000-00002F8B0000}"/>
    <cellStyle name="Normal 4 2 2 2 2 2 2 2" xfId="6480" xr:uid="{00000000-0005-0000-0000-0000308B0000}"/>
    <cellStyle name="Normal 4 2 2 2 2 2 2 2 2" xfId="8549" xr:uid="{00000000-0005-0000-0000-0000318B0000}"/>
    <cellStyle name="Normal 4 2 2 2 2 2 2 2 2 2" xfId="12856" xr:uid="{00000000-0005-0000-0000-0000328B0000}"/>
    <cellStyle name="Normal 4 2 2 2 2 2 2 2 2 2 2" xfId="32326" xr:uid="{00000000-0005-0000-0000-0000338B0000}"/>
    <cellStyle name="Normal 4 2 2 2 2 2 2 2 2 3" xfId="28029" xr:uid="{00000000-0005-0000-0000-0000348B0000}"/>
    <cellStyle name="Normal 4 2 2 2 2 2 2 2 3" xfId="10896" xr:uid="{00000000-0005-0000-0000-0000358B0000}"/>
    <cellStyle name="Normal 4 2 2 2 2 2 2 2 3 2" xfId="30366" xr:uid="{00000000-0005-0000-0000-0000368B0000}"/>
    <cellStyle name="Normal 4 2 2 2 2 2 2 2 4" xfId="25965" xr:uid="{00000000-0005-0000-0000-0000378B0000}"/>
    <cellStyle name="Normal 4 2 2 2 2 2 2 3" xfId="8548" xr:uid="{00000000-0005-0000-0000-0000388B0000}"/>
    <cellStyle name="Normal 4 2 2 2 2 2 2 3 2" xfId="12855" xr:uid="{00000000-0005-0000-0000-0000398B0000}"/>
    <cellStyle name="Normal 4 2 2 2 2 2 2 3 2 2" xfId="32325" xr:uid="{00000000-0005-0000-0000-00003A8B0000}"/>
    <cellStyle name="Normal 4 2 2 2 2 2 2 3 3" xfId="28028" xr:uid="{00000000-0005-0000-0000-00003B8B0000}"/>
    <cellStyle name="Normal 4 2 2 2 2 2 2 4" xfId="9835" xr:uid="{00000000-0005-0000-0000-00003C8B0000}"/>
    <cellStyle name="Normal 4 2 2 2 2 2 2 4 2" xfId="29305" xr:uid="{00000000-0005-0000-0000-00003D8B0000}"/>
    <cellStyle name="Normal 4 2 2 2 2 2 2 5" xfId="24837" xr:uid="{00000000-0005-0000-0000-00003E8B0000}"/>
    <cellStyle name="Normal 4 2 2 2 2 2 3" xfId="5943" xr:uid="{00000000-0005-0000-0000-00003F8B0000}"/>
    <cellStyle name="Normal 4 2 2 2 2 2 3 2" xfId="8550" xr:uid="{00000000-0005-0000-0000-0000408B0000}"/>
    <cellStyle name="Normal 4 2 2 2 2 2 3 2 2" xfId="12857" xr:uid="{00000000-0005-0000-0000-0000418B0000}"/>
    <cellStyle name="Normal 4 2 2 2 2 2 3 2 2 2" xfId="32327" xr:uid="{00000000-0005-0000-0000-0000428B0000}"/>
    <cellStyle name="Normal 4 2 2 2 2 2 3 2 3" xfId="28030" xr:uid="{00000000-0005-0000-0000-0000438B0000}"/>
    <cellStyle name="Normal 4 2 2 2 2 2 3 3" xfId="10365" xr:uid="{00000000-0005-0000-0000-0000448B0000}"/>
    <cellStyle name="Normal 4 2 2 2 2 2 3 3 2" xfId="29835" xr:uid="{00000000-0005-0000-0000-0000458B0000}"/>
    <cellStyle name="Normal 4 2 2 2 2 2 3 4" xfId="25428" xr:uid="{00000000-0005-0000-0000-0000468B0000}"/>
    <cellStyle name="Normal 4 2 2 2 2 2 4" xfId="8547" xr:uid="{00000000-0005-0000-0000-0000478B0000}"/>
    <cellStyle name="Normal 4 2 2 2 2 2 4 2" xfId="12854" xr:uid="{00000000-0005-0000-0000-0000488B0000}"/>
    <cellStyle name="Normal 4 2 2 2 2 2 4 2 2" xfId="32324" xr:uid="{00000000-0005-0000-0000-0000498B0000}"/>
    <cellStyle name="Normal 4 2 2 2 2 2 4 3" xfId="28027" xr:uid="{00000000-0005-0000-0000-00004A8B0000}"/>
    <cellStyle name="Normal 4 2 2 2 2 2 5" xfId="9305" xr:uid="{00000000-0005-0000-0000-00004B8B0000}"/>
    <cellStyle name="Normal 4 2 2 2 2 2 5 2" xfId="28775" xr:uid="{00000000-0005-0000-0000-00004C8B0000}"/>
    <cellStyle name="Normal 4 2 2 2 2 2 6" xfId="24223" xr:uid="{00000000-0005-0000-0000-00004D8B0000}"/>
    <cellStyle name="Normal 4 2 2 2 2 3" xfId="5050" xr:uid="{00000000-0005-0000-0000-00004E8B0000}"/>
    <cellStyle name="Normal 4 2 2 2 2 3 2" xfId="6212" xr:uid="{00000000-0005-0000-0000-00004F8B0000}"/>
    <cellStyle name="Normal 4 2 2 2 2 3 2 2" xfId="8552" xr:uid="{00000000-0005-0000-0000-0000508B0000}"/>
    <cellStyle name="Normal 4 2 2 2 2 3 2 2 2" xfId="12859" xr:uid="{00000000-0005-0000-0000-0000518B0000}"/>
    <cellStyle name="Normal 4 2 2 2 2 3 2 2 2 2" xfId="32329" xr:uid="{00000000-0005-0000-0000-0000528B0000}"/>
    <cellStyle name="Normal 4 2 2 2 2 3 2 2 3" xfId="28032" xr:uid="{00000000-0005-0000-0000-0000538B0000}"/>
    <cellStyle name="Normal 4 2 2 2 2 3 2 3" xfId="10630" xr:uid="{00000000-0005-0000-0000-0000548B0000}"/>
    <cellStyle name="Normal 4 2 2 2 2 3 2 3 2" xfId="30100" xr:uid="{00000000-0005-0000-0000-0000558B0000}"/>
    <cellStyle name="Normal 4 2 2 2 2 3 2 4" xfId="25697" xr:uid="{00000000-0005-0000-0000-0000568B0000}"/>
    <cellStyle name="Normal 4 2 2 2 2 3 3" xfId="8551" xr:uid="{00000000-0005-0000-0000-0000578B0000}"/>
    <cellStyle name="Normal 4 2 2 2 2 3 3 2" xfId="12858" xr:uid="{00000000-0005-0000-0000-0000588B0000}"/>
    <cellStyle name="Normal 4 2 2 2 2 3 3 2 2" xfId="32328" xr:uid="{00000000-0005-0000-0000-0000598B0000}"/>
    <cellStyle name="Normal 4 2 2 2 2 3 3 3" xfId="28031" xr:uid="{00000000-0005-0000-0000-00005A8B0000}"/>
    <cellStyle name="Normal 4 2 2 2 2 3 4" xfId="9570" xr:uid="{00000000-0005-0000-0000-00005B8B0000}"/>
    <cellStyle name="Normal 4 2 2 2 2 3 4 2" xfId="29040" xr:uid="{00000000-0005-0000-0000-00005C8B0000}"/>
    <cellStyle name="Normal 4 2 2 2 2 3 5" xfId="24544" xr:uid="{00000000-0005-0000-0000-00005D8B0000}"/>
    <cellStyle name="Normal 4 2 2 2 2 4" xfId="5655" xr:uid="{00000000-0005-0000-0000-00005E8B0000}"/>
    <cellStyle name="Normal 4 2 2 2 2 4 2" xfId="8553" xr:uid="{00000000-0005-0000-0000-00005F8B0000}"/>
    <cellStyle name="Normal 4 2 2 2 2 4 2 2" xfId="12860" xr:uid="{00000000-0005-0000-0000-0000608B0000}"/>
    <cellStyle name="Normal 4 2 2 2 2 4 2 2 2" xfId="32330" xr:uid="{00000000-0005-0000-0000-0000618B0000}"/>
    <cellStyle name="Normal 4 2 2 2 2 4 2 3" xfId="28033" xr:uid="{00000000-0005-0000-0000-0000628B0000}"/>
    <cellStyle name="Normal 4 2 2 2 2 4 3" xfId="10100" xr:uid="{00000000-0005-0000-0000-0000638B0000}"/>
    <cellStyle name="Normal 4 2 2 2 2 4 3 2" xfId="29570" xr:uid="{00000000-0005-0000-0000-0000648B0000}"/>
    <cellStyle name="Normal 4 2 2 2 2 4 4" xfId="25142" xr:uid="{00000000-0005-0000-0000-0000658B0000}"/>
    <cellStyle name="Normal 4 2 2 2 2 5" xfId="8546" xr:uid="{00000000-0005-0000-0000-0000668B0000}"/>
    <cellStyle name="Normal 4 2 2 2 2 5 2" xfId="12853" xr:uid="{00000000-0005-0000-0000-0000678B0000}"/>
    <cellStyle name="Normal 4 2 2 2 2 5 2 2" xfId="32323" xr:uid="{00000000-0005-0000-0000-0000688B0000}"/>
    <cellStyle name="Normal 4 2 2 2 2 5 3" xfId="28026" xr:uid="{00000000-0005-0000-0000-0000698B0000}"/>
    <cellStyle name="Normal 4 2 2 2 2 6" xfId="9036" xr:uid="{00000000-0005-0000-0000-00006A8B0000}"/>
    <cellStyle name="Normal 4 2 2 2 2 6 2" xfId="28510" xr:uid="{00000000-0005-0000-0000-00006B8B0000}"/>
    <cellStyle name="Normal 4 2 2 2 2 7" xfId="23894" xr:uid="{00000000-0005-0000-0000-00006C8B0000}"/>
    <cellStyle name="Normal 4 2 2 2 3" xfId="4287" xr:uid="{00000000-0005-0000-0000-00006D8B0000}"/>
    <cellStyle name="Normal 4 2 2 2 3 2" xfId="4862" xr:uid="{00000000-0005-0000-0000-00006E8B0000}"/>
    <cellStyle name="Normal 4 2 2 2 3 2 2" xfId="5487" xr:uid="{00000000-0005-0000-0000-00006F8B0000}"/>
    <cellStyle name="Normal 4 2 2 2 3 2 2 2" xfId="6615" xr:uid="{00000000-0005-0000-0000-0000708B0000}"/>
    <cellStyle name="Normal 4 2 2 2 3 2 2 2 2" xfId="8557" xr:uid="{00000000-0005-0000-0000-0000718B0000}"/>
    <cellStyle name="Normal 4 2 2 2 3 2 2 2 2 2" xfId="12864" xr:uid="{00000000-0005-0000-0000-0000728B0000}"/>
    <cellStyle name="Normal 4 2 2 2 3 2 2 2 2 2 2" xfId="32334" xr:uid="{00000000-0005-0000-0000-0000738B0000}"/>
    <cellStyle name="Normal 4 2 2 2 3 2 2 2 2 3" xfId="28037" xr:uid="{00000000-0005-0000-0000-0000748B0000}"/>
    <cellStyle name="Normal 4 2 2 2 3 2 2 2 3" xfId="11031" xr:uid="{00000000-0005-0000-0000-0000758B0000}"/>
    <cellStyle name="Normal 4 2 2 2 3 2 2 2 3 2" xfId="30501" xr:uid="{00000000-0005-0000-0000-0000768B0000}"/>
    <cellStyle name="Normal 4 2 2 2 3 2 2 2 4" xfId="26100" xr:uid="{00000000-0005-0000-0000-0000778B0000}"/>
    <cellStyle name="Normal 4 2 2 2 3 2 2 3" xfId="8556" xr:uid="{00000000-0005-0000-0000-0000788B0000}"/>
    <cellStyle name="Normal 4 2 2 2 3 2 2 3 2" xfId="12863" xr:uid="{00000000-0005-0000-0000-0000798B0000}"/>
    <cellStyle name="Normal 4 2 2 2 3 2 2 3 2 2" xfId="32333" xr:uid="{00000000-0005-0000-0000-00007A8B0000}"/>
    <cellStyle name="Normal 4 2 2 2 3 2 2 3 3" xfId="28036" xr:uid="{00000000-0005-0000-0000-00007B8B0000}"/>
    <cellStyle name="Normal 4 2 2 2 3 2 2 4" xfId="9970" xr:uid="{00000000-0005-0000-0000-00007C8B0000}"/>
    <cellStyle name="Normal 4 2 2 2 3 2 2 4 2" xfId="29440" xr:uid="{00000000-0005-0000-0000-00007D8B0000}"/>
    <cellStyle name="Normal 4 2 2 2 3 2 2 5" xfId="24978" xr:uid="{00000000-0005-0000-0000-00007E8B0000}"/>
    <cellStyle name="Normal 4 2 2 2 3 2 3" xfId="6080" xr:uid="{00000000-0005-0000-0000-00007F8B0000}"/>
    <cellStyle name="Normal 4 2 2 2 3 2 3 2" xfId="8558" xr:uid="{00000000-0005-0000-0000-0000808B0000}"/>
    <cellStyle name="Normal 4 2 2 2 3 2 3 2 2" xfId="12865" xr:uid="{00000000-0005-0000-0000-0000818B0000}"/>
    <cellStyle name="Normal 4 2 2 2 3 2 3 2 2 2" xfId="32335" xr:uid="{00000000-0005-0000-0000-0000828B0000}"/>
    <cellStyle name="Normal 4 2 2 2 3 2 3 2 3" xfId="28038" xr:uid="{00000000-0005-0000-0000-0000838B0000}"/>
    <cellStyle name="Normal 4 2 2 2 3 2 3 3" xfId="10500" xr:uid="{00000000-0005-0000-0000-0000848B0000}"/>
    <cellStyle name="Normal 4 2 2 2 3 2 3 3 2" xfId="29970" xr:uid="{00000000-0005-0000-0000-0000858B0000}"/>
    <cellStyle name="Normal 4 2 2 2 3 2 3 4" xfId="25565" xr:uid="{00000000-0005-0000-0000-0000868B0000}"/>
    <cellStyle name="Normal 4 2 2 2 3 2 4" xfId="8555" xr:uid="{00000000-0005-0000-0000-0000878B0000}"/>
    <cellStyle name="Normal 4 2 2 2 3 2 4 2" xfId="12862" xr:uid="{00000000-0005-0000-0000-0000888B0000}"/>
    <cellStyle name="Normal 4 2 2 2 3 2 4 2 2" xfId="32332" xr:uid="{00000000-0005-0000-0000-0000898B0000}"/>
    <cellStyle name="Normal 4 2 2 2 3 2 4 3" xfId="28035" xr:uid="{00000000-0005-0000-0000-00008A8B0000}"/>
    <cellStyle name="Normal 4 2 2 2 3 2 5" xfId="9440" xr:uid="{00000000-0005-0000-0000-00008B8B0000}"/>
    <cellStyle name="Normal 4 2 2 2 3 2 5 2" xfId="28910" xr:uid="{00000000-0005-0000-0000-00008C8B0000}"/>
    <cellStyle name="Normal 4 2 2 2 3 2 6" xfId="24364" xr:uid="{00000000-0005-0000-0000-00008D8B0000}"/>
    <cellStyle name="Normal 4 2 2 2 3 3" xfId="5192" xr:uid="{00000000-0005-0000-0000-00008E8B0000}"/>
    <cellStyle name="Normal 4 2 2 2 3 3 2" xfId="6348" xr:uid="{00000000-0005-0000-0000-00008F8B0000}"/>
    <cellStyle name="Normal 4 2 2 2 3 3 2 2" xfId="8560" xr:uid="{00000000-0005-0000-0000-0000908B0000}"/>
    <cellStyle name="Normal 4 2 2 2 3 3 2 2 2" xfId="12867" xr:uid="{00000000-0005-0000-0000-0000918B0000}"/>
    <cellStyle name="Normal 4 2 2 2 3 3 2 2 2 2" xfId="32337" xr:uid="{00000000-0005-0000-0000-0000928B0000}"/>
    <cellStyle name="Normal 4 2 2 2 3 3 2 2 3" xfId="28040" xr:uid="{00000000-0005-0000-0000-0000938B0000}"/>
    <cellStyle name="Normal 4 2 2 2 3 3 2 3" xfId="10765" xr:uid="{00000000-0005-0000-0000-0000948B0000}"/>
    <cellStyle name="Normal 4 2 2 2 3 3 2 3 2" xfId="30235" xr:uid="{00000000-0005-0000-0000-0000958B0000}"/>
    <cellStyle name="Normal 4 2 2 2 3 3 2 4" xfId="25833" xr:uid="{00000000-0005-0000-0000-0000968B0000}"/>
    <cellStyle name="Normal 4 2 2 2 3 3 3" xfId="8559" xr:uid="{00000000-0005-0000-0000-0000978B0000}"/>
    <cellStyle name="Normal 4 2 2 2 3 3 3 2" xfId="12866" xr:uid="{00000000-0005-0000-0000-0000988B0000}"/>
    <cellStyle name="Normal 4 2 2 2 3 3 3 2 2" xfId="32336" xr:uid="{00000000-0005-0000-0000-0000998B0000}"/>
    <cellStyle name="Normal 4 2 2 2 3 3 3 3" xfId="28039" xr:uid="{00000000-0005-0000-0000-00009A8B0000}"/>
    <cellStyle name="Normal 4 2 2 2 3 3 4" xfId="9705" xr:uid="{00000000-0005-0000-0000-00009B8B0000}"/>
    <cellStyle name="Normal 4 2 2 2 3 3 4 2" xfId="29175" xr:uid="{00000000-0005-0000-0000-00009C8B0000}"/>
    <cellStyle name="Normal 4 2 2 2 3 3 5" xfId="24683" xr:uid="{00000000-0005-0000-0000-00009D8B0000}"/>
    <cellStyle name="Normal 4 2 2 2 3 4" xfId="5801" xr:uid="{00000000-0005-0000-0000-00009E8B0000}"/>
    <cellStyle name="Normal 4 2 2 2 3 4 2" xfId="8561" xr:uid="{00000000-0005-0000-0000-00009F8B0000}"/>
    <cellStyle name="Normal 4 2 2 2 3 4 2 2" xfId="12868" xr:uid="{00000000-0005-0000-0000-0000A08B0000}"/>
    <cellStyle name="Normal 4 2 2 2 3 4 2 2 2" xfId="32338" xr:uid="{00000000-0005-0000-0000-0000A18B0000}"/>
    <cellStyle name="Normal 4 2 2 2 3 4 2 3" xfId="28041" xr:uid="{00000000-0005-0000-0000-0000A28B0000}"/>
    <cellStyle name="Normal 4 2 2 2 3 4 3" xfId="10235" xr:uid="{00000000-0005-0000-0000-0000A38B0000}"/>
    <cellStyle name="Normal 4 2 2 2 3 4 3 2" xfId="29705" xr:uid="{00000000-0005-0000-0000-0000A48B0000}"/>
    <cellStyle name="Normal 4 2 2 2 3 4 4" xfId="25286" xr:uid="{00000000-0005-0000-0000-0000A58B0000}"/>
    <cellStyle name="Normal 4 2 2 2 3 5" xfId="8554" xr:uid="{00000000-0005-0000-0000-0000A68B0000}"/>
    <cellStyle name="Normal 4 2 2 2 3 5 2" xfId="12861" xr:uid="{00000000-0005-0000-0000-0000A78B0000}"/>
    <cellStyle name="Normal 4 2 2 2 3 5 2 2" xfId="32331" xr:uid="{00000000-0005-0000-0000-0000A88B0000}"/>
    <cellStyle name="Normal 4 2 2 2 3 5 3" xfId="28034" xr:uid="{00000000-0005-0000-0000-0000A98B0000}"/>
    <cellStyle name="Normal 4 2 2 2 3 6" xfId="9174" xr:uid="{00000000-0005-0000-0000-0000AA8B0000}"/>
    <cellStyle name="Normal 4 2 2 2 3 6 2" xfId="28645" xr:uid="{00000000-0005-0000-0000-0000AB8B0000}"/>
    <cellStyle name="Normal 4 2 2 2 3 7" xfId="24063" xr:uid="{00000000-0005-0000-0000-0000AC8B0000}"/>
    <cellStyle name="Normal 4 2 2 2 4" xfId="4640" xr:uid="{00000000-0005-0000-0000-0000AD8B0000}"/>
    <cellStyle name="Normal 4 2 2 2 4 2" xfId="5280" xr:uid="{00000000-0005-0000-0000-0000AE8B0000}"/>
    <cellStyle name="Normal 4 2 2 2 4 2 2" xfId="6414" xr:uid="{00000000-0005-0000-0000-0000AF8B0000}"/>
    <cellStyle name="Normal 4 2 2 2 4 2 2 2" xfId="8564" xr:uid="{00000000-0005-0000-0000-0000B08B0000}"/>
    <cellStyle name="Normal 4 2 2 2 4 2 2 2 2" xfId="12871" xr:uid="{00000000-0005-0000-0000-0000B18B0000}"/>
    <cellStyle name="Normal 4 2 2 2 4 2 2 2 2 2" xfId="32341" xr:uid="{00000000-0005-0000-0000-0000B28B0000}"/>
    <cellStyle name="Normal 4 2 2 2 4 2 2 2 3" xfId="28044" xr:uid="{00000000-0005-0000-0000-0000B38B0000}"/>
    <cellStyle name="Normal 4 2 2 2 4 2 2 3" xfId="10830" xr:uid="{00000000-0005-0000-0000-0000B48B0000}"/>
    <cellStyle name="Normal 4 2 2 2 4 2 2 3 2" xfId="30300" xr:uid="{00000000-0005-0000-0000-0000B58B0000}"/>
    <cellStyle name="Normal 4 2 2 2 4 2 2 4" xfId="25899" xr:uid="{00000000-0005-0000-0000-0000B68B0000}"/>
    <cellStyle name="Normal 4 2 2 2 4 2 3" xfId="8563" xr:uid="{00000000-0005-0000-0000-0000B78B0000}"/>
    <cellStyle name="Normal 4 2 2 2 4 2 3 2" xfId="12870" xr:uid="{00000000-0005-0000-0000-0000B88B0000}"/>
    <cellStyle name="Normal 4 2 2 2 4 2 3 2 2" xfId="32340" xr:uid="{00000000-0005-0000-0000-0000B98B0000}"/>
    <cellStyle name="Normal 4 2 2 2 4 2 3 3" xfId="28043" xr:uid="{00000000-0005-0000-0000-0000BA8B0000}"/>
    <cellStyle name="Normal 4 2 2 2 4 2 4" xfId="9769" xr:uid="{00000000-0005-0000-0000-0000BB8B0000}"/>
    <cellStyle name="Normal 4 2 2 2 4 2 4 2" xfId="29239" xr:uid="{00000000-0005-0000-0000-0000BC8B0000}"/>
    <cellStyle name="Normal 4 2 2 2 4 2 5" xfId="24771" xr:uid="{00000000-0005-0000-0000-0000BD8B0000}"/>
    <cellStyle name="Normal 4 2 2 2 4 3" xfId="5877" xr:uid="{00000000-0005-0000-0000-0000BE8B0000}"/>
    <cellStyle name="Normal 4 2 2 2 4 3 2" xfId="8565" xr:uid="{00000000-0005-0000-0000-0000BF8B0000}"/>
    <cellStyle name="Normal 4 2 2 2 4 3 2 2" xfId="12872" xr:uid="{00000000-0005-0000-0000-0000C08B0000}"/>
    <cellStyle name="Normal 4 2 2 2 4 3 2 2 2" xfId="32342" xr:uid="{00000000-0005-0000-0000-0000C18B0000}"/>
    <cellStyle name="Normal 4 2 2 2 4 3 2 3" xfId="28045" xr:uid="{00000000-0005-0000-0000-0000C28B0000}"/>
    <cellStyle name="Normal 4 2 2 2 4 3 3" xfId="10299" xr:uid="{00000000-0005-0000-0000-0000C38B0000}"/>
    <cellStyle name="Normal 4 2 2 2 4 3 3 2" xfId="29769" xr:uid="{00000000-0005-0000-0000-0000C48B0000}"/>
    <cellStyle name="Normal 4 2 2 2 4 3 4" xfId="25362" xr:uid="{00000000-0005-0000-0000-0000C58B0000}"/>
    <cellStyle name="Normal 4 2 2 2 4 4" xfId="8562" xr:uid="{00000000-0005-0000-0000-0000C68B0000}"/>
    <cellStyle name="Normal 4 2 2 2 4 4 2" xfId="12869" xr:uid="{00000000-0005-0000-0000-0000C78B0000}"/>
    <cellStyle name="Normal 4 2 2 2 4 4 2 2" xfId="32339" xr:uid="{00000000-0005-0000-0000-0000C88B0000}"/>
    <cellStyle name="Normal 4 2 2 2 4 4 3" xfId="28042" xr:uid="{00000000-0005-0000-0000-0000C98B0000}"/>
    <cellStyle name="Normal 4 2 2 2 4 5" xfId="9239" xr:uid="{00000000-0005-0000-0000-0000CA8B0000}"/>
    <cellStyle name="Normal 4 2 2 2 4 5 2" xfId="28709" xr:uid="{00000000-0005-0000-0000-0000CB8B0000}"/>
    <cellStyle name="Normal 4 2 2 2 4 6" xfId="24151" xr:uid="{00000000-0005-0000-0000-0000CC8B0000}"/>
    <cellStyle name="Normal 4 2 2 2 5" xfId="4984" xr:uid="{00000000-0005-0000-0000-0000CD8B0000}"/>
    <cellStyle name="Normal 4 2 2 2 5 2" xfId="6146" xr:uid="{00000000-0005-0000-0000-0000CE8B0000}"/>
    <cellStyle name="Normal 4 2 2 2 5 2 2" xfId="8567" xr:uid="{00000000-0005-0000-0000-0000CF8B0000}"/>
    <cellStyle name="Normal 4 2 2 2 5 2 2 2" xfId="12874" xr:uid="{00000000-0005-0000-0000-0000D08B0000}"/>
    <cellStyle name="Normal 4 2 2 2 5 2 2 2 2" xfId="32344" xr:uid="{00000000-0005-0000-0000-0000D18B0000}"/>
    <cellStyle name="Normal 4 2 2 2 5 2 2 3" xfId="28047" xr:uid="{00000000-0005-0000-0000-0000D28B0000}"/>
    <cellStyle name="Normal 4 2 2 2 5 2 3" xfId="10564" xr:uid="{00000000-0005-0000-0000-0000D38B0000}"/>
    <cellStyle name="Normal 4 2 2 2 5 2 3 2" xfId="30034" xr:uid="{00000000-0005-0000-0000-0000D48B0000}"/>
    <cellStyle name="Normal 4 2 2 2 5 2 4" xfId="25631" xr:uid="{00000000-0005-0000-0000-0000D58B0000}"/>
    <cellStyle name="Normal 4 2 2 2 5 3" xfId="8566" xr:uid="{00000000-0005-0000-0000-0000D68B0000}"/>
    <cellStyle name="Normal 4 2 2 2 5 3 2" xfId="12873" xr:uid="{00000000-0005-0000-0000-0000D78B0000}"/>
    <cellStyle name="Normal 4 2 2 2 5 3 2 2" xfId="32343" xr:uid="{00000000-0005-0000-0000-0000D88B0000}"/>
    <cellStyle name="Normal 4 2 2 2 5 3 3" xfId="28046" xr:uid="{00000000-0005-0000-0000-0000D98B0000}"/>
    <cellStyle name="Normal 4 2 2 2 5 4" xfId="9504" xr:uid="{00000000-0005-0000-0000-0000DA8B0000}"/>
    <cellStyle name="Normal 4 2 2 2 5 4 2" xfId="28974" xr:uid="{00000000-0005-0000-0000-0000DB8B0000}"/>
    <cellStyle name="Normal 4 2 2 2 5 5" xfId="24478" xr:uid="{00000000-0005-0000-0000-0000DC8B0000}"/>
    <cellStyle name="Normal 4 2 2 2 6" xfId="5589" xr:uid="{00000000-0005-0000-0000-0000DD8B0000}"/>
    <cellStyle name="Normal 4 2 2 2 6 2" xfId="8568" xr:uid="{00000000-0005-0000-0000-0000DE8B0000}"/>
    <cellStyle name="Normal 4 2 2 2 6 2 2" xfId="12875" xr:uid="{00000000-0005-0000-0000-0000DF8B0000}"/>
    <cellStyle name="Normal 4 2 2 2 6 2 2 2" xfId="32345" xr:uid="{00000000-0005-0000-0000-0000E08B0000}"/>
    <cellStyle name="Normal 4 2 2 2 6 2 3" xfId="28048" xr:uid="{00000000-0005-0000-0000-0000E18B0000}"/>
    <cellStyle name="Normal 4 2 2 2 6 3" xfId="10034" xr:uid="{00000000-0005-0000-0000-0000E28B0000}"/>
    <cellStyle name="Normal 4 2 2 2 6 3 2" xfId="29504" xr:uid="{00000000-0005-0000-0000-0000E38B0000}"/>
    <cellStyle name="Normal 4 2 2 2 6 4" xfId="25076" xr:uid="{00000000-0005-0000-0000-0000E48B0000}"/>
    <cellStyle name="Normal 4 2 2 2 7" xfId="8545" xr:uid="{00000000-0005-0000-0000-0000E58B0000}"/>
    <cellStyle name="Normal 4 2 2 2 7 2" xfId="12852" xr:uid="{00000000-0005-0000-0000-0000E68B0000}"/>
    <cellStyle name="Normal 4 2 2 2 7 2 2" xfId="32322" xr:uid="{00000000-0005-0000-0000-0000E78B0000}"/>
    <cellStyle name="Normal 4 2 2 2 7 3" xfId="28025" xr:uid="{00000000-0005-0000-0000-0000E88B0000}"/>
    <cellStyle name="Normal 4 2 2 2 8" xfId="8970" xr:uid="{00000000-0005-0000-0000-0000E98B0000}"/>
    <cellStyle name="Normal 4 2 2 2 8 2" xfId="28444" xr:uid="{00000000-0005-0000-0000-0000EA8B0000}"/>
    <cellStyle name="Normal 4 2 2 2 9" xfId="23702" xr:uid="{00000000-0005-0000-0000-0000EB8B0000}"/>
    <cellStyle name="Normal 4 2 2 3" xfId="2967" xr:uid="{00000000-0005-0000-0000-0000EC8B0000}"/>
    <cellStyle name="Normal 4 2 2 3 2" xfId="4674" xr:uid="{00000000-0005-0000-0000-0000ED8B0000}"/>
    <cellStyle name="Normal 4 2 2 3 2 2" xfId="5314" xr:uid="{00000000-0005-0000-0000-0000EE8B0000}"/>
    <cellStyle name="Normal 4 2 2 3 2 2 2" xfId="6448" xr:uid="{00000000-0005-0000-0000-0000EF8B0000}"/>
    <cellStyle name="Normal 4 2 2 3 2 2 2 2" xfId="8572" xr:uid="{00000000-0005-0000-0000-0000F08B0000}"/>
    <cellStyle name="Normal 4 2 2 3 2 2 2 2 2" xfId="12879" xr:uid="{00000000-0005-0000-0000-0000F18B0000}"/>
    <cellStyle name="Normal 4 2 2 3 2 2 2 2 2 2" xfId="32349" xr:uid="{00000000-0005-0000-0000-0000F28B0000}"/>
    <cellStyle name="Normal 4 2 2 3 2 2 2 2 3" xfId="28052" xr:uid="{00000000-0005-0000-0000-0000F38B0000}"/>
    <cellStyle name="Normal 4 2 2 3 2 2 2 3" xfId="10864" xr:uid="{00000000-0005-0000-0000-0000F48B0000}"/>
    <cellStyle name="Normal 4 2 2 3 2 2 2 3 2" xfId="30334" xr:uid="{00000000-0005-0000-0000-0000F58B0000}"/>
    <cellStyle name="Normal 4 2 2 3 2 2 2 4" xfId="25933" xr:uid="{00000000-0005-0000-0000-0000F68B0000}"/>
    <cellStyle name="Normal 4 2 2 3 2 2 3" xfId="8571" xr:uid="{00000000-0005-0000-0000-0000F78B0000}"/>
    <cellStyle name="Normal 4 2 2 3 2 2 3 2" xfId="12878" xr:uid="{00000000-0005-0000-0000-0000F88B0000}"/>
    <cellStyle name="Normal 4 2 2 3 2 2 3 2 2" xfId="32348" xr:uid="{00000000-0005-0000-0000-0000F98B0000}"/>
    <cellStyle name="Normal 4 2 2 3 2 2 3 3" xfId="28051" xr:uid="{00000000-0005-0000-0000-0000FA8B0000}"/>
    <cellStyle name="Normal 4 2 2 3 2 2 4" xfId="9803" xr:uid="{00000000-0005-0000-0000-0000FB8B0000}"/>
    <cellStyle name="Normal 4 2 2 3 2 2 4 2" xfId="29273" xr:uid="{00000000-0005-0000-0000-0000FC8B0000}"/>
    <cellStyle name="Normal 4 2 2 3 2 2 5" xfId="24805" xr:uid="{00000000-0005-0000-0000-0000FD8B0000}"/>
    <cellStyle name="Normal 4 2 2 3 2 3" xfId="5911" xr:uid="{00000000-0005-0000-0000-0000FE8B0000}"/>
    <cellStyle name="Normal 4 2 2 3 2 3 2" xfId="8573" xr:uid="{00000000-0005-0000-0000-0000FF8B0000}"/>
    <cellStyle name="Normal 4 2 2 3 2 3 2 2" xfId="12880" xr:uid="{00000000-0005-0000-0000-0000008C0000}"/>
    <cellStyle name="Normal 4 2 2 3 2 3 2 2 2" xfId="32350" xr:uid="{00000000-0005-0000-0000-0000018C0000}"/>
    <cellStyle name="Normal 4 2 2 3 2 3 2 3" xfId="28053" xr:uid="{00000000-0005-0000-0000-0000028C0000}"/>
    <cellStyle name="Normal 4 2 2 3 2 3 3" xfId="10333" xr:uid="{00000000-0005-0000-0000-0000038C0000}"/>
    <cellStyle name="Normal 4 2 2 3 2 3 3 2" xfId="29803" xr:uid="{00000000-0005-0000-0000-0000048C0000}"/>
    <cellStyle name="Normal 4 2 2 3 2 3 4" xfId="25396" xr:uid="{00000000-0005-0000-0000-0000058C0000}"/>
    <cellStyle name="Normal 4 2 2 3 2 4" xfId="8570" xr:uid="{00000000-0005-0000-0000-0000068C0000}"/>
    <cellStyle name="Normal 4 2 2 3 2 4 2" xfId="12877" xr:uid="{00000000-0005-0000-0000-0000078C0000}"/>
    <cellStyle name="Normal 4 2 2 3 2 4 2 2" xfId="32347" xr:uid="{00000000-0005-0000-0000-0000088C0000}"/>
    <cellStyle name="Normal 4 2 2 3 2 4 3" xfId="28050" xr:uid="{00000000-0005-0000-0000-0000098C0000}"/>
    <cellStyle name="Normal 4 2 2 3 2 5" xfId="9273" xr:uid="{00000000-0005-0000-0000-00000A8C0000}"/>
    <cellStyle name="Normal 4 2 2 3 2 5 2" xfId="28743" xr:uid="{00000000-0005-0000-0000-00000B8C0000}"/>
    <cellStyle name="Normal 4 2 2 3 2 6" xfId="24185" xr:uid="{00000000-0005-0000-0000-00000C8C0000}"/>
    <cellStyle name="Normal 4 2 2 3 3" xfId="5018" xr:uid="{00000000-0005-0000-0000-00000D8C0000}"/>
    <cellStyle name="Normal 4 2 2 3 3 2" xfId="6180" xr:uid="{00000000-0005-0000-0000-00000E8C0000}"/>
    <cellStyle name="Normal 4 2 2 3 3 2 2" xfId="8575" xr:uid="{00000000-0005-0000-0000-00000F8C0000}"/>
    <cellStyle name="Normal 4 2 2 3 3 2 2 2" xfId="12882" xr:uid="{00000000-0005-0000-0000-0000108C0000}"/>
    <cellStyle name="Normal 4 2 2 3 3 2 2 2 2" xfId="32352" xr:uid="{00000000-0005-0000-0000-0000118C0000}"/>
    <cellStyle name="Normal 4 2 2 3 3 2 2 3" xfId="28055" xr:uid="{00000000-0005-0000-0000-0000128C0000}"/>
    <cellStyle name="Normal 4 2 2 3 3 2 3" xfId="10598" xr:uid="{00000000-0005-0000-0000-0000138C0000}"/>
    <cellStyle name="Normal 4 2 2 3 3 2 3 2" xfId="30068" xr:uid="{00000000-0005-0000-0000-0000148C0000}"/>
    <cellStyle name="Normal 4 2 2 3 3 2 4" xfId="25665" xr:uid="{00000000-0005-0000-0000-0000158C0000}"/>
    <cellStyle name="Normal 4 2 2 3 3 3" xfId="8574" xr:uid="{00000000-0005-0000-0000-0000168C0000}"/>
    <cellStyle name="Normal 4 2 2 3 3 3 2" xfId="12881" xr:uid="{00000000-0005-0000-0000-0000178C0000}"/>
    <cellStyle name="Normal 4 2 2 3 3 3 2 2" xfId="32351" xr:uid="{00000000-0005-0000-0000-0000188C0000}"/>
    <cellStyle name="Normal 4 2 2 3 3 3 3" xfId="28054" xr:uid="{00000000-0005-0000-0000-0000198C0000}"/>
    <cellStyle name="Normal 4 2 2 3 3 4" xfId="9538" xr:uid="{00000000-0005-0000-0000-00001A8C0000}"/>
    <cellStyle name="Normal 4 2 2 3 3 4 2" xfId="29008" xr:uid="{00000000-0005-0000-0000-00001B8C0000}"/>
    <cellStyle name="Normal 4 2 2 3 3 5" xfId="24512" xr:uid="{00000000-0005-0000-0000-00001C8C0000}"/>
    <cellStyle name="Normal 4 2 2 3 4" xfId="5623" xr:uid="{00000000-0005-0000-0000-00001D8C0000}"/>
    <cellStyle name="Normal 4 2 2 3 4 2" xfId="8576" xr:uid="{00000000-0005-0000-0000-00001E8C0000}"/>
    <cellStyle name="Normal 4 2 2 3 4 2 2" xfId="12883" xr:uid="{00000000-0005-0000-0000-00001F8C0000}"/>
    <cellStyle name="Normal 4 2 2 3 4 2 2 2" xfId="32353" xr:uid="{00000000-0005-0000-0000-0000208C0000}"/>
    <cellStyle name="Normal 4 2 2 3 4 2 3" xfId="28056" xr:uid="{00000000-0005-0000-0000-0000218C0000}"/>
    <cellStyle name="Normal 4 2 2 3 4 3" xfId="10068" xr:uid="{00000000-0005-0000-0000-0000228C0000}"/>
    <cellStyle name="Normal 4 2 2 3 4 3 2" xfId="29538" xr:uid="{00000000-0005-0000-0000-0000238C0000}"/>
    <cellStyle name="Normal 4 2 2 3 4 4" xfId="25110" xr:uid="{00000000-0005-0000-0000-0000248C0000}"/>
    <cellStyle name="Normal 4 2 2 3 5" xfId="8569" xr:uid="{00000000-0005-0000-0000-0000258C0000}"/>
    <cellStyle name="Normal 4 2 2 3 5 2" xfId="12876" xr:uid="{00000000-0005-0000-0000-0000268C0000}"/>
    <cellStyle name="Normal 4 2 2 3 5 2 2" xfId="32346" xr:uid="{00000000-0005-0000-0000-0000278C0000}"/>
    <cellStyle name="Normal 4 2 2 3 5 3" xfId="28049" xr:uid="{00000000-0005-0000-0000-0000288C0000}"/>
    <cellStyle name="Normal 4 2 2 3 6" xfId="9004" xr:uid="{00000000-0005-0000-0000-0000298C0000}"/>
    <cellStyle name="Normal 4 2 2 3 6 2" xfId="28478" xr:uid="{00000000-0005-0000-0000-00002A8C0000}"/>
    <cellStyle name="Normal 4 2 2 3 7" xfId="23776" xr:uid="{00000000-0005-0000-0000-00002B8C0000}"/>
    <cellStyle name="Normal 4 2 2 4" xfId="4232" xr:uid="{00000000-0005-0000-0000-00002C8C0000}"/>
    <cellStyle name="Normal 4 2 2 4 2" xfId="4807" xr:uid="{00000000-0005-0000-0000-00002D8C0000}"/>
    <cellStyle name="Normal 4 2 2 4 2 2" xfId="5433" xr:uid="{00000000-0005-0000-0000-00002E8C0000}"/>
    <cellStyle name="Normal 4 2 2 4 2 2 2" xfId="6561" xr:uid="{00000000-0005-0000-0000-00002F8C0000}"/>
    <cellStyle name="Normal 4 2 2 4 2 2 2 2" xfId="8580" xr:uid="{00000000-0005-0000-0000-0000308C0000}"/>
    <cellStyle name="Normal 4 2 2 4 2 2 2 2 2" xfId="12887" xr:uid="{00000000-0005-0000-0000-0000318C0000}"/>
    <cellStyle name="Normal 4 2 2 4 2 2 2 2 2 2" xfId="32357" xr:uid="{00000000-0005-0000-0000-0000328C0000}"/>
    <cellStyle name="Normal 4 2 2 4 2 2 2 2 3" xfId="28060" xr:uid="{00000000-0005-0000-0000-0000338C0000}"/>
    <cellStyle name="Normal 4 2 2 4 2 2 2 3" xfId="10977" xr:uid="{00000000-0005-0000-0000-0000348C0000}"/>
    <cellStyle name="Normal 4 2 2 4 2 2 2 3 2" xfId="30447" xr:uid="{00000000-0005-0000-0000-0000358C0000}"/>
    <cellStyle name="Normal 4 2 2 4 2 2 2 4" xfId="26046" xr:uid="{00000000-0005-0000-0000-0000368C0000}"/>
    <cellStyle name="Normal 4 2 2 4 2 2 3" xfId="8579" xr:uid="{00000000-0005-0000-0000-0000378C0000}"/>
    <cellStyle name="Normal 4 2 2 4 2 2 3 2" xfId="12886" xr:uid="{00000000-0005-0000-0000-0000388C0000}"/>
    <cellStyle name="Normal 4 2 2 4 2 2 3 2 2" xfId="32356" xr:uid="{00000000-0005-0000-0000-0000398C0000}"/>
    <cellStyle name="Normal 4 2 2 4 2 2 3 3" xfId="28059" xr:uid="{00000000-0005-0000-0000-00003A8C0000}"/>
    <cellStyle name="Normal 4 2 2 4 2 2 4" xfId="9916" xr:uid="{00000000-0005-0000-0000-00003B8C0000}"/>
    <cellStyle name="Normal 4 2 2 4 2 2 4 2" xfId="29386" xr:uid="{00000000-0005-0000-0000-00003C8C0000}"/>
    <cellStyle name="Normal 4 2 2 4 2 2 5" xfId="24924" xr:uid="{00000000-0005-0000-0000-00003D8C0000}"/>
    <cellStyle name="Normal 4 2 2 4 2 3" xfId="6025" xr:uid="{00000000-0005-0000-0000-00003E8C0000}"/>
    <cellStyle name="Normal 4 2 2 4 2 3 2" xfId="8581" xr:uid="{00000000-0005-0000-0000-00003F8C0000}"/>
    <cellStyle name="Normal 4 2 2 4 2 3 2 2" xfId="12888" xr:uid="{00000000-0005-0000-0000-0000408C0000}"/>
    <cellStyle name="Normal 4 2 2 4 2 3 2 2 2" xfId="32358" xr:uid="{00000000-0005-0000-0000-0000418C0000}"/>
    <cellStyle name="Normal 4 2 2 4 2 3 2 3" xfId="28061" xr:uid="{00000000-0005-0000-0000-0000428C0000}"/>
    <cellStyle name="Normal 4 2 2 4 2 3 3" xfId="10446" xr:uid="{00000000-0005-0000-0000-0000438C0000}"/>
    <cellStyle name="Normal 4 2 2 4 2 3 3 2" xfId="29916" xr:uid="{00000000-0005-0000-0000-0000448C0000}"/>
    <cellStyle name="Normal 4 2 2 4 2 3 4" xfId="25510" xr:uid="{00000000-0005-0000-0000-0000458C0000}"/>
    <cellStyle name="Normal 4 2 2 4 2 4" xfId="8578" xr:uid="{00000000-0005-0000-0000-0000468C0000}"/>
    <cellStyle name="Normal 4 2 2 4 2 4 2" xfId="12885" xr:uid="{00000000-0005-0000-0000-0000478C0000}"/>
    <cellStyle name="Normal 4 2 2 4 2 4 2 2" xfId="32355" xr:uid="{00000000-0005-0000-0000-0000488C0000}"/>
    <cellStyle name="Normal 4 2 2 4 2 4 3" xfId="28058" xr:uid="{00000000-0005-0000-0000-0000498C0000}"/>
    <cellStyle name="Normal 4 2 2 4 2 5" xfId="9386" xr:uid="{00000000-0005-0000-0000-00004A8C0000}"/>
    <cellStyle name="Normal 4 2 2 4 2 5 2" xfId="28856" xr:uid="{00000000-0005-0000-0000-00004B8C0000}"/>
    <cellStyle name="Normal 4 2 2 4 2 6" xfId="24309" xr:uid="{00000000-0005-0000-0000-00004C8C0000}"/>
    <cellStyle name="Normal 4 2 2 4 3" xfId="5138" xr:uid="{00000000-0005-0000-0000-00004D8C0000}"/>
    <cellStyle name="Normal 4 2 2 4 3 2" xfId="6294" xr:uid="{00000000-0005-0000-0000-00004E8C0000}"/>
    <cellStyle name="Normal 4 2 2 4 3 2 2" xfId="8583" xr:uid="{00000000-0005-0000-0000-00004F8C0000}"/>
    <cellStyle name="Normal 4 2 2 4 3 2 2 2" xfId="12890" xr:uid="{00000000-0005-0000-0000-0000508C0000}"/>
    <cellStyle name="Normal 4 2 2 4 3 2 2 2 2" xfId="32360" xr:uid="{00000000-0005-0000-0000-0000518C0000}"/>
    <cellStyle name="Normal 4 2 2 4 3 2 2 3" xfId="28063" xr:uid="{00000000-0005-0000-0000-0000528C0000}"/>
    <cellStyle name="Normal 4 2 2 4 3 2 3" xfId="10711" xr:uid="{00000000-0005-0000-0000-0000538C0000}"/>
    <cellStyle name="Normal 4 2 2 4 3 2 3 2" xfId="30181" xr:uid="{00000000-0005-0000-0000-0000548C0000}"/>
    <cellStyle name="Normal 4 2 2 4 3 2 4" xfId="25779" xr:uid="{00000000-0005-0000-0000-0000558C0000}"/>
    <cellStyle name="Normal 4 2 2 4 3 3" xfId="8582" xr:uid="{00000000-0005-0000-0000-0000568C0000}"/>
    <cellStyle name="Normal 4 2 2 4 3 3 2" xfId="12889" xr:uid="{00000000-0005-0000-0000-0000578C0000}"/>
    <cellStyle name="Normal 4 2 2 4 3 3 2 2" xfId="32359" xr:uid="{00000000-0005-0000-0000-0000588C0000}"/>
    <cellStyle name="Normal 4 2 2 4 3 3 3" xfId="28062" xr:uid="{00000000-0005-0000-0000-0000598C0000}"/>
    <cellStyle name="Normal 4 2 2 4 3 4" xfId="9651" xr:uid="{00000000-0005-0000-0000-00005A8C0000}"/>
    <cellStyle name="Normal 4 2 2 4 3 4 2" xfId="29121" xr:uid="{00000000-0005-0000-0000-00005B8C0000}"/>
    <cellStyle name="Normal 4 2 2 4 3 5" xfId="24629" xr:uid="{00000000-0005-0000-0000-00005C8C0000}"/>
    <cellStyle name="Normal 4 2 2 4 4" xfId="5747" xr:uid="{00000000-0005-0000-0000-00005D8C0000}"/>
    <cellStyle name="Normal 4 2 2 4 4 2" xfId="8584" xr:uid="{00000000-0005-0000-0000-00005E8C0000}"/>
    <cellStyle name="Normal 4 2 2 4 4 2 2" xfId="12891" xr:uid="{00000000-0005-0000-0000-00005F8C0000}"/>
    <cellStyle name="Normal 4 2 2 4 4 2 2 2" xfId="32361" xr:uid="{00000000-0005-0000-0000-0000608C0000}"/>
    <cellStyle name="Normal 4 2 2 4 4 2 3" xfId="28064" xr:uid="{00000000-0005-0000-0000-0000618C0000}"/>
    <cellStyle name="Normal 4 2 2 4 4 3" xfId="10181" xr:uid="{00000000-0005-0000-0000-0000628C0000}"/>
    <cellStyle name="Normal 4 2 2 4 4 3 2" xfId="29651" xr:uid="{00000000-0005-0000-0000-0000638C0000}"/>
    <cellStyle name="Normal 4 2 2 4 4 4" xfId="25232" xr:uid="{00000000-0005-0000-0000-0000648C0000}"/>
    <cellStyle name="Normal 4 2 2 4 5" xfId="8577" xr:uid="{00000000-0005-0000-0000-0000658C0000}"/>
    <cellStyle name="Normal 4 2 2 4 5 2" xfId="12884" xr:uid="{00000000-0005-0000-0000-0000668C0000}"/>
    <cellStyle name="Normal 4 2 2 4 5 2 2" xfId="32354" xr:uid="{00000000-0005-0000-0000-0000678C0000}"/>
    <cellStyle name="Normal 4 2 2 4 5 3" xfId="28057" xr:uid="{00000000-0005-0000-0000-0000688C0000}"/>
    <cellStyle name="Normal 4 2 2 4 6" xfId="9120" xr:uid="{00000000-0005-0000-0000-0000698C0000}"/>
    <cellStyle name="Normal 4 2 2 4 6 2" xfId="28591" xr:uid="{00000000-0005-0000-0000-00006A8C0000}"/>
    <cellStyle name="Normal 4 2 2 4 7" xfId="24008" xr:uid="{00000000-0005-0000-0000-00006B8C0000}"/>
    <cellStyle name="Normal 4 2 2 5" xfId="4608" xr:uid="{00000000-0005-0000-0000-00006C8C0000}"/>
    <cellStyle name="Normal 4 2 2 5 2" xfId="5248" xr:uid="{00000000-0005-0000-0000-00006D8C0000}"/>
    <cellStyle name="Normal 4 2 2 5 2 2" xfId="6382" xr:uid="{00000000-0005-0000-0000-00006E8C0000}"/>
    <cellStyle name="Normal 4 2 2 5 2 2 2" xfId="8587" xr:uid="{00000000-0005-0000-0000-00006F8C0000}"/>
    <cellStyle name="Normal 4 2 2 5 2 2 2 2" xfId="12894" xr:uid="{00000000-0005-0000-0000-0000708C0000}"/>
    <cellStyle name="Normal 4 2 2 5 2 2 2 2 2" xfId="32364" xr:uid="{00000000-0005-0000-0000-0000718C0000}"/>
    <cellStyle name="Normal 4 2 2 5 2 2 2 3" xfId="28067" xr:uid="{00000000-0005-0000-0000-0000728C0000}"/>
    <cellStyle name="Normal 4 2 2 5 2 2 3" xfId="10798" xr:uid="{00000000-0005-0000-0000-0000738C0000}"/>
    <cellStyle name="Normal 4 2 2 5 2 2 3 2" xfId="30268" xr:uid="{00000000-0005-0000-0000-0000748C0000}"/>
    <cellStyle name="Normal 4 2 2 5 2 2 4" xfId="25867" xr:uid="{00000000-0005-0000-0000-0000758C0000}"/>
    <cellStyle name="Normal 4 2 2 5 2 3" xfId="8586" xr:uid="{00000000-0005-0000-0000-0000768C0000}"/>
    <cellStyle name="Normal 4 2 2 5 2 3 2" xfId="12893" xr:uid="{00000000-0005-0000-0000-0000778C0000}"/>
    <cellStyle name="Normal 4 2 2 5 2 3 2 2" xfId="32363" xr:uid="{00000000-0005-0000-0000-0000788C0000}"/>
    <cellStyle name="Normal 4 2 2 5 2 3 3" xfId="28066" xr:uid="{00000000-0005-0000-0000-0000798C0000}"/>
    <cellStyle name="Normal 4 2 2 5 2 4" xfId="9737" xr:uid="{00000000-0005-0000-0000-00007A8C0000}"/>
    <cellStyle name="Normal 4 2 2 5 2 4 2" xfId="29207" xr:uid="{00000000-0005-0000-0000-00007B8C0000}"/>
    <cellStyle name="Normal 4 2 2 5 2 5" xfId="24739" xr:uid="{00000000-0005-0000-0000-00007C8C0000}"/>
    <cellStyle name="Normal 4 2 2 5 3" xfId="5845" xr:uid="{00000000-0005-0000-0000-00007D8C0000}"/>
    <cellStyle name="Normal 4 2 2 5 3 2" xfId="8588" xr:uid="{00000000-0005-0000-0000-00007E8C0000}"/>
    <cellStyle name="Normal 4 2 2 5 3 2 2" xfId="12895" xr:uid="{00000000-0005-0000-0000-00007F8C0000}"/>
    <cellStyle name="Normal 4 2 2 5 3 2 2 2" xfId="32365" xr:uid="{00000000-0005-0000-0000-0000808C0000}"/>
    <cellStyle name="Normal 4 2 2 5 3 2 3" xfId="28068" xr:uid="{00000000-0005-0000-0000-0000818C0000}"/>
    <cellStyle name="Normal 4 2 2 5 3 3" xfId="10267" xr:uid="{00000000-0005-0000-0000-0000828C0000}"/>
    <cellStyle name="Normal 4 2 2 5 3 3 2" xfId="29737" xr:uid="{00000000-0005-0000-0000-0000838C0000}"/>
    <cellStyle name="Normal 4 2 2 5 3 4" xfId="25330" xr:uid="{00000000-0005-0000-0000-0000848C0000}"/>
    <cellStyle name="Normal 4 2 2 5 4" xfId="8585" xr:uid="{00000000-0005-0000-0000-0000858C0000}"/>
    <cellStyle name="Normal 4 2 2 5 4 2" xfId="12892" xr:uid="{00000000-0005-0000-0000-0000868C0000}"/>
    <cellStyle name="Normal 4 2 2 5 4 2 2" xfId="32362" xr:uid="{00000000-0005-0000-0000-0000878C0000}"/>
    <cellStyle name="Normal 4 2 2 5 4 3" xfId="28065" xr:uid="{00000000-0005-0000-0000-0000888C0000}"/>
    <cellStyle name="Normal 4 2 2 5 5" xfId="9207" xr:uid="{00000000-0005-0000-0000-0000898C0000}"/>
    <cellStyle name="Normal 4 2 2 5 5 2" xfId="28677" xr:uid="{00000000-0005-0000-0000-00008A8C0000}"/>
    <cellStyle name="Normal 4 2 2 5 6" xfId="24119" xr:uid="{00000000-0005-0000-0000-00008B8C0000}"/>
    <cellStyle name="Normal 4 2 2 6" xfId="4952" xr:uid="{00000000-0005-0000-0000-00008C8C0000}"/>
    <cellStyle name="Normal 4 2 2 6 2" xfId="6114" xr:uid="{00000000-0005-0000-0000-00008D8C0000}"/>
    <cellStyle name="Normal 4 2 2 6 2 2" xfId="8590" xr:uid="{00000000-0005-0000-0000-00008E8C0000}"/>
    <cellStyle name="Normal 4 2 2 6 2 2 2" xfId="12897" xr:uid="{00000000-0005-0000-0000-00008F8C0000}"/>
    <cellStyle name="Normal 4 2 2 6 2 2 2 2" xfId="32367" xr:uid="{00000000-0005-0000-0000-0000908C0000}"/>
    <cellStyle name="Normal 4 2 2 6 2 2 3" xfId="28070" xr:uid="{00000000-0005-0000-0000-0000918C0000}"/>
    <cellStyle name="Normal 4 2 2 6 2 3" xfId="10532" xr:uid="{00000000-0005-0000-0000-0000928C0000}"/>
    <cellStyle name="Normal 4 2 2 6 2 3 2" xfId="30002" xr:uid="{00000000-0005-0000-0000-0000938C0000}"/>
    <cellStyle name="Normal 4 2 2 6 2 4" xfId="25599" xr:uid="{00000000-0005-0000-0000-0000948C0000}"/>
    <cellStyle name="Normal 4 2 2 6 3" xfId="8589" xr:uid="{00000000-0005-0000-0000-0000958C0000}"/>
    <cellStyle name="Normal 4 2 2 6 3 2" xfId="12896" xr:uid="{00000000-0005-0000-0000-0000968C0000}"/>
    <cellStyle name="Normal 4 2 2 6 3 2 2" xfId="32366" xr:uid="{00000000-0005-0000-0000-0000978C0000}"/>
    <cellStyle name="Normal 4 2 2 6 3 3" xfId="28069" xr:uid="{00000000-0005-0000-0000-0000988C0000}"/>
    <cellStyle name="Normal 4 2 2 6 4" xfId="9472" xr:uid="{00000000-0005-0000-0000-0000998C0000}"/>
    <cellStyle name="Normal 4 2 2 6 4 2" xfId="28942" xr:uid="{00000000-0005-0000-0000-00009A8C0000}"/>
    <cellStyle name="Normal 4 2 2 6 5" xfId="24446" xr:uid="{00000000-0005-0000-0000-00009B8C0000}"/>
    <cellStyle name="Normal 4 2 2 7" xfId="5556" xr:uid="{00000000-0005-0000-0000-00009C8C0000}"/>
    <cellStyle name="Normal 4 2 2 7 2" xfId="8591" xr:uid="{00000000-0005-0000-0000-00009D8C0000}"/>
    <cellStyle name="Normal 4 2 2 7 2 2" xfId="12898" xr:uid="{00000000-0005-0000-0000-00009E8C0000}"/>
    <cellStyle name="Normal 4 2 2 7 2 2 2" xfId="32368" xr:uid="{00000000-0005-0000-0000-00009F8C0000}"/>
    <cellStyle name="Normal 4 2 2 7 2 3" xfId="28071" xr:uid="{00000000-0005-0000-0000-0000A08C0000}"/>
    <cellStyle name="Normal 4 2 2 7 3" xfId="10002" xr:uid="{00000000-0005-0000-0000-0000A18C0000}"/>
    <cellStyle name="Normal 4 2 2 7 3 2" xfId="29472" xr:uid="{00000000-0005-0000-0000-0000A28C0000}"/>
    <cellStyle name="Normal 4 2 2 7 4" xfId="25044" xr:uid="{00000000-0005-0000-0000-0000A38C0000}"/>
    <cellStyle name="Normal 4 2 2 8" xfId="8544" xr:uid="{00000000-0005-0000-0000-0000A48C0000}"/>
    <cellStyle name="Normal 4 2 2 8 2" xfId="12851" xr:uid="{00000000-0005-0000-0000-0000A58C0000}"/>
    <cellStyle name="Normal 4 2 2 8 2 2" xfId="32321" xr:uid="{00000000-0005-0000-0000-0000A68C0000}"/>
    <cellStyle name="Normal 4 2 2 8 3" xfId="28024" xr:uid="{00000000-0005-0000-0000-0000A78C0000}"/>
    <cellStyle name="Normal 4 2 2 9" xfId="8938" xr:uid="{00000000-0005-0000-0000-0000A88C0000}"/>
    <cellStyle name="Normal 4 2 2 9 2" xfId="28412" xr:uid="{00000000-0005-0000-0000-0000A98C0000}"/>
    <cellStyle name="Normal 4 2 3" xfId="2764" xr:uid="{00000000-0005-0000-0000-0000AA8C0000}"/>
    <cellStyle name="Normal 4 2 3 10" xfId="23585" xr:uid="{00000000-0005-0000-0000-0000AB8C0000}"/>
    <cellStyle name="Normal 4 2 3 2" xfId="2892" xr:uid="{00000000-0005-0000-0000-0000AC8C0000}"/>
    <cellStyle name="Normal 4 2 3 2 2" xfId="3086" xr:uid="{00000000-0005-0000-0000-0000AD8C0000}"/>
    <cellStyle name="Normal 4 2 3 2 2 2" xfId="4713" xr:uid="{00000000-0005-0000-0000-0000AE8C0000}"/>
    <cellStyle name="Normal 4 2 3 2 2 2 2" xfId="5347" xr:uid="{00000000-0005-0000-0000-0000AF8C0000}"/>
    <cellStyle name="Normal 4 2 3 2 2 2 2 2" xfId="6481" xr:uid="{00000000-0005-0000-0000-0000B08C0000}"/>
    <cellStyle name="Normal 4 2 3 2 2 2 2 2 2" xfId="8597" xr:uid="{00000000-0005-0000-0000-0000B18C0000}"/>
    <cellStyle name="Normal 4 2 3 2 2 2 2 2 2 2" xfId="12904" xr:uid="{00000000-0005-0000-0000-0000B28C0000}"/>
    <cellStyle name="Normal 4 2 3 2 2 2 2 2 2 2 2" xfId="32374" xr:uid="{00000000-0005-0000-0000-0000B38C0000}"/>
    <cellStyle name="Normal 4 2 3 2 2 2 2 2 2 3" xfId="28077" xr:uid="{00000000-0005-0000-0000-0000B48C0000}"/>
    <cellStyle name="Normal 4 2 3 2 2 2 2 2 3" xfId="10897" xr:uid="{00000000-0005-0000-0000-0000B58C0000}"/>
    <cellStyle name="Normal 4 2 3 2 2 2 2 2 3 2" xfId="30367" xr:uid="{00000000-0005-0000-0000-0000B68C0000}"/>
    <cellStyle name="Normal 4 2 3 2 2 2 2 2 4" xfId="25966" xr:uid="{00000000-0005-0000-0000-0000B78C0000}"/>
    <cellStyle name="Normal 4 2 3 2 2 2 2 3" xfId="8596" xr:uid="{00000000-0005-0000-0000-0000B88C0000}"/>
    <cellStyle name="Normal 4 2 3 2 2 2 2 3 2" xfId="12903" xr:uid="{00000000-0005-0000-0000-0000B98C0000}"/>
    <cellStyle name="Normal 4 2 3 2 2 2 2 3 2 2" xfId="32373" xr:uid="{00000000-0005-0000-0000-0000BA8C0000}"/>
    <cellStyle name="Normal 4 2 3 2 2 2 2 3 3" xfId="28076" xr:uid="{00000000-0005-0000-0000-0000BB8C0000}"/>
    <cellStyle name="Normal 4 2 3 2 2 2 2 4" xfId="9836" xr:uid="{00000000-0005-0000-0000-0000BC8C0000}"/>
    <cellStyle name="Normal 4 2 3 2 2 2 2 4 2" xfId="29306" xr:uid="{00000000-0005-0000-0000-0000BD8C0000}"/>
    <cellStyle name="Normal 4 2 3 2 2 2 2 5" xfId="24838" xr:uid="{00000000-0005-0000-0000-0000BE8C0000}"/>
    <cellStyle name="Normal 4 2 3 2 2 2 3" xfId="5944" xr:uid="{00000000-0005-0000-0000-0000BF8C0000}"/>
    <cellStyle name="Normal 4 2 3 2 2 2 3 2" xfId="8598" xr:uid="{00000000-0005-0000-0000-0000C08C0000}"/>
    <cellStyle name="Normal 4 2 3 2 2 2 3 2 2" xfId="12905" xr:uid="{00000000-0005-0000-0000-0000C18C0000}"/>
    <cellStyle name="Normal 4 2 3 2 2 2 3 2 2 2" xfId="32375" xr:uid="{00000000-0005-0000-0000-0000C28C0000}"/>
    <cellStyle name="Normal 4 2 3 2 2 2 3 2 3" xfId="28078" xr:uid="{00000000-0005-0000-0000-0000C38C0000}"/>
    <cellStyle name="Normal 4 2 3 2 2 2 3 3" xfId="10366" xr:uid="{00000000-0005-0000-0000-0000C48C0000}"/>
    <cellStyle name="Normal 4 2 3 2 2 2 3 3 2" xfId="29836" xr:uid="{00000000-0005-0000-0000-0000C58C0000}"/>
    <cellStyle name="Normal 4 2 3 2 2 2 3 4" xfId="25429" xr:uid="{00000000-0005-0000-0000-0000C68C0000}"/>
    <cellStyle name="Normal 4 2 3 2 2 2 4" xfId="8595" xr:uid="{00000000-0005-0000-0000-0000C78C0000}"/>
    <cellStyle name="Normal 4 2 3 2 2 2 4 2" xfId="12902" xr:uid="{00000000-0005-0000-0000-0000C88C0000}"/>
    <cellStyle name="Normal 4 2 3 2 2 2 4 2 2" xfId="32372" xr:uid="{00000000-0005-0000-0000-0000C98C0000}"/>
    <cellStyle name="Normal 4 2 3 2 2 2 4 3" xfId="28075" xr:uid="{00000000-0005-0000-0000-0000CA8C0000}"/>
    <cellStyle name="Normal 4 2 3 2 2 2 5" xfId="9306" xr:uid="{00000000-0005-0000-0000-0000CB8C0000}"/>
    <cellStyle name="Normal 4 2 3 2 2 2 5 2" xfId="28776" xr:uid="{00000000-0005-0000-0000-0000CC8C0000}"/>
    <cellStyle name="Normal 4 2 3 2 2 2 6" xfId="24224" xr:uid="{00000000-0005-0000-0000-0000CD8C0000}"/>
    <cellStyle name="Normal 4 2 3 2 2 3" xfId="5051" xr:uid="{00000000-0005-0000-0000-0000CE8C0000}"/>
    <cellStyle name="Normal 4 2 3 2 2 3 2" xfId="6213" xr:uid="{00000000-0005-0000-0000-0000CF8C0000}"/>
    <cellStyle name="Normal 4 2 3 2 2 3 2 2" xfId="8600" xr:uid="{00000000-0005-0000-0000-0000D08C0000}"/>
    <cellStyle name="Normal 4 2 3 2 2 3 2 2 2" xfId="12907" xr:uid="{00000000-0005-0000-0000-0000D18C0000}"/>
    <cellStyle name="Normal 4 2 3 2 2 3 2 2 2 2" xfId="32377" xr:uid="{00000000-0005-0000-0000-0000D28C0000}"/>
    <cellStyle name="Normal 4 2 3 2 2 3 2 2 3" xfId="28080" xr:uid="{00000000-0005-0000-0000-0000D38C0000}"/>
    <cellStyle name="Normal 4 2 3 2 2 3 2 3" xfId="10631" xr:uid="{00000000-0005-0000-0000-0000D48C0000}"/>
    <cellStyle name="Normal 4 2 3 2 2 3 2 3 2" xfId="30101" xr:uid="{00000000-0005-0000-0000-0000D58C0000}"/>
    <cellStyle name="Normal 4 2 3 2 2 3 2 4" xfId="25698" xr:uid="{00000000-0005-0000-0000-0000D68C0000}"/>
    <cellStyle name="Normal 4 2 3 2 2 3 3" xfId="8599" xr:uid="{00000000-0005-0000-0000-0000D78C0000}"/>
    <cellStyle name="Normal 4 2 3 2 2 3 3 2" xfId="12906" xr:uid="{00000000-0005-0000-0000-0000D88C0000}"/>
    <cellStyle name="Normal 4 2 3 2 2 3 3 2 2" xfId="32376" xr:uid="{00000000-0005-0000-0000-0000D98C0000}"/>
    <cellStyle name="Normal 4 2 3 2 2 3 3 3" xfId="28079" xr:uid="{00000000-0005-0000-0000-0000DA8C0000}"/>
    <cellStyle name="Normal 4 2 3 2 2 3 4" xfId="9571" xr:uid="{00000000-0005-0000-0000-0000DB8C0000}"/>
    <cellStyle name="Normal 4 2 3 2 2 3 4 2" xfId="29041" xr:uid="{00000000-0005-0000-0000-0000DC8C0000}"/>
    <cellStyle name="Normal 4 2 3 2 2 3 5" xfId="24545" xr:uid="{00000000-0005-0000-0000-0000DD8C0000}"/>
    <cellStyle name="Normal 4 2 3 2 2 4" xfId="5656" xr:uid="{00000000-0005-0000-0000-0000DE8C0000}"/>
    <cellStyle name="Normal 4 2 3 2 2 4 2" xfId="8601" xr:uid="{00000000-0005-0000-0000-0000DF8C0000}"/>
    <cellStyle name="Normal 4 2 3 2 2 4 2 2" xfId="12908" xr:uid="{00000000-0005-0000-0000-0000E08C0000}"/>
    <cellStyle name="Normal 4 2 3 2 2 4 2 2 2" xfId="32378" xr:uid="{00000000-0005-0000-0000-0000E18C0000}"/>
    <cellStyle name="Normal 4 2 3 2 2 4 2 3" xfId="28081" xr:uid="{00000000-0005-0000-0000-0000E28C0000}"/>
    <cellStyle name="Normal 4 2 3 2 2 4 3" xfId="10101" xr:uid="{00000000-0005-0000-0000-0000E38C0000}"/>
    <cellStyle name="Normal 4 2 3 2 2 4 3 2" xfId="29571" xr:uid="{00000000-0005-0000-0000-0000E48C0000}"/>
    <cellStyle name="Normal 4 2 3 2 2 4 4" xfId="25143" xr:uid="{00000000-0005-0000-0000-0000E58C0000}"/>
    <cellStyle name="Normal 4 2 3 2 2 5" xfId="8594" xr:uid="{00000000-0005-0000-0000-0000E68C0000}"/>
    <cellStyle name="Normal 4 2 3 2 2 5 2" xfId="12901" xr:uid="{00000000-0005-0000-0000-0000E78C0000}"/>
    <cellStyle name="Normal 4 2 3 2 2 5 2 2" xfId="32371" xr:uid="{00000000-0005-0000-0000-0000E88C0000}"/>
    <cellStyle name="Normal 4 2 3 2 2 5 3" xfId="28074" xr:uid="{00000000-0005-0000-0000-0000E98C0000}"/>
    <cellStyle name="Normal 4 2 3 2 2 6" xfId="9037" xr:uid="{00000000-0005-0000-0000-0000EA8C0000}"/>
    <cellStyle name="Normal 4 2 3 2 2 6 2" xfId="28511" xr:uid="{00000000-0005-0000-0000-0000EB8C0000}"/>
    <cellStyle name="Normal 4 2 3 2 2 7" xfId="23895" xr:uid="{00000000-0005-0000-0000-0000EC8C0000}"/>
    <cellStyle name="Normal 4 2 3 2 3" xfId="4269" xr:uid="{00000000-0005-0000-0000-0000ED8C0000}"/>
    <cellStyle name="Normal 4 2 3 2 3 2" xfId="4844" xr:uid="{00000000-0005-0000-0000-0000EE8C0000}"/>
    <cellStyle name="Normal 4 2 3 2 3 2 2" xfId="5469" xr:uid="{00000000-0005-0000-0000-0000EF8C0000}"/>
    <cellStyle name="Normal 4 2 3 2 3 2 2 2" xfId="6597" xr:uid="{00000000-0005-0000-0000-0000F08C0000}"/>
    <cellStyle name="Normal 4 2 3 2 3 2 2 2 2" xfId="8605" xr:uid="{00000000-0005-0000-0000-0000F18C0000}"/>
    <cellStyle name="Normal 4 2 3 2 3 2 2 2 2 2" xfId="12912" xr:uid="{00000000-0005-0000-0000-0000F28C0000}"/>
    <cellStyle name="Normal 4 2 3 2 3 2 2 2 2 2 2" xfId="32382" xr:uid="{00000000-0005-0000-0000-0000F38C0000}"/>
    <cellStyle name="Normal 4 2 3 2 3 2 2 2 2 3" xfId="28085" xr:uid="{00000000-0005-0000-0000-0000F48C0000}"/>
    <cellStyle name="Normal 4 2 3 2 3 2 2 2 3" xfId="11013" xr:uid="{00000000-0005-0000-0000-0000F58C0000}"/>
    <cellStyle name="Normal 4 2 3 2 3 2 2 2 3 2" xfId="30483" xr:uid="{00000000-0005-0000-0000-0000F68C0000}"/>
    <cellStyle name="Normal 4 2 3 2 3 2 2 2 4" xfId="26082" xr:uid="{00000000-0005-0000-0000-0000F78C0000}"/>
    <cellStyle name="Normal 4 2 3 2 3 2 2 3" xfId="8604" xr:uid="{00000000-0005-0000-0000-0000F88C0000}"/>
    <cellStyle name="Normal 4 2 3 2 3 2 2 3 2" xfId="12911" xr:uid="{00000000-0005-0000-0000-0000F98C0000}"/>
    <cellStyle name="Normal 4 2 3 2 3 2 2 3 2 2" xfId="32381" xr:uid="{00000000-0005-0000-0000-0000FA8C0000}"/>
    <cellStyle name="Normal 4 2 3 2 3 2 2 3 3" xfId="28084" xr:uid="{00000000-0005-0000-0000-0000FB8C0000}"/>
    <cellStyle name="Normal 4 2 3 2 3 2 2 4" xfId="9952" xr:uid="{00000000-0005-0000-0000-0000FC8C0000}"/>
    <cellStyle name="Normal 4 2 3 2 3 2 2 4 2" xfId="29422" xr:uid="{00000000-0005-0000-0000-0000FD8C0000}"/>
    <cellStyle name="Normal 4 2 3 2 3 2 2 5" xfId="24960" xr:uid="{00000000-0005-0000-0000-0000FE8C0000}"/>
    <cellStyle name="Normal 4 2 3 2 3 2 3" xfId="6062" xr:uid="{00000000-0005-0000-0000-0000FF8C0000}"/>
    <cellStyle name="Normal 4 2 3 2 3 2 3 2" xfId="8606" xr:uid="{00000000-0005-0000-0000-0000008D0000}"/>
    <cellStyle name="Normal 4 2 3 2 3 2 3 2 2" xfId="12913" xr:uid="{00000000-0005-0000-0000-0000018D0000}"/>
    <cellStyle name="Normal 4 2 3 2 3 2 3 2 2 2" xfId="32383" xr:uid="{00000000-0005-0000-0000-0000028D0000}"/>
    <cellStyle name="Normal 4 2 3 2 3 2 3 2 3" xfId="28086" xr:uid="{00000000-0005-0000-0000-0000038D0000}"/>
    <cellStyle name="Normal 4 2 3 2 3 2 3 3" xfId="10482" xr:uid="{00000000-0005-0000-0000-0000048D0000}"/>
    <cellStyle name="Normal 4 2 3 2 3 2 3 3 2" xfId="29952" xr:uid="{00000000-0005-0000-0000-0000058D0000}"/>
    <cellStyle name="Normal 4 2 3 2 3 2 3 4" xfId="25547" xr:uid="{00000000-0005-0000-0000-0000068D0000}"/>
    <cellStyle name="Normal 4 2 3 2 3 2 4" xfId="8603" xr:uid="{00000000-0005-0000-0000-0000078D0000}"/>
    <cellStyle name="Normal 4 2 3 2 3 2 4 2" xfId="12910" xr:uid="{00000000-0005-0000-0000-0000088D0000}"/>
    <cellStyle name="Normal 4 2 3 2 3 2 4 2 2" xfId="32380" xr:uid="{00000000-0005-0000-0000-0000098D0000}"/>
    <cellStyle name="Normal 4 2 3 2 3 2 4 3" xfId="28083" xr:uid="{00000000-0005-0000-0000-00000A8D0000}"/>
    <cellStyle name="Normal 4 2 3 2 3 2 5" xfId="9422" xr:uid="{00000000-0005-0000-0000-00000B8D0000}"/>
    <cellStyle name="Normal 4 2 3 2 3 2 5 2" xfId="28892" xr:uid="{00000000-0005-0000-0000-00000C8D0000}"/>
    <cellStyle name="Normal 4 2 3 2 3 2 6" xfId="24346" xr:uid="{00000000-0005-0000-0000-00000D8D0000}"/>
    <cellStyle name="Normal 4 2 3 2 3 3" xfId="5174" xr:uid="{00000000-0005-0000-0000-00000E8D0000}"/>
    <cellStyle name="Normal 4 2 3 2 3 3 2" xfId="6330" xr:uid="{00000000-0005-0000-0000-00000F8D0000}"/>
    <cellStyle name="Normal 4 2 3 2 3 3 2 2" xfId="8608" xr:uid="{00000000-0005-0000-0000-0000108D0000}"/>
    <cellStyle name="Normal 4 2 3 2 3 3 2 2 2" xfId="12915" xr:uid="{00000000-0005-0000-0000-0000118D0000}"/>
    <cellStyle name="Normal 4 2 3 2 3 3 2 2 2 2" xfId="32385" xr:uid="{00000000-0005-0000-0000-0000128D0000}"/>
    <cellStyle name="Normal 4 2 3 2 3 3 2 2 3" xfId="28088" xr:uid="{00000000-0005-0000-0000-0000138D0000}"/>
    <cellStyle name="Normal 4 2 3 2 3 3 2 3" xfId="10747" xr:uid="{00000000-0005-0000-0000-0000148D0000}"/>
    <cellStyle name="Normal 4 2 3 2 3 3 2 3 2" xfId="30217" xr:uid="{00000000-0005-0000-0000-0000158D0000}"/>
    <cellStyle name="Normal 4 2 3 2 3 3 2 4" xfId="25815" xr:uid="{00000000-0005-0000-0000-0000168D0000}"/>
    <cellStyle name="Normal 4 2 3 2 3 3 3" xfId="8607" xr:uid="{00000000-0005-0000-0000-0000178D0000}"/>
    <cellStyle name="Normal 4 2 3 2 3 3 3 2" xfId="12914" xr:uid="{00000000-0005-0000-0000-0000188D0000}"/>
    <cellStyle name="Normal 4 2 3 2 3 3 3 2 2" xfId="32384" xr:uid="{00000000-0005-0000-0000-0000198D0000}"/>
    <cellStyle name="Normal 4 2 3 2 3 3 3 3" xfId="28087" xr:uid="{00000000-0005-0000-0000-00001A8D0000}"/>
    <cellStyle name="Normal 4 2 3 2 3 3 4" xfId="9687" xr:uid="{00000000-0005-0000-0000-00001B8D0000}"/>
    <cellStyle name="Normal 4 2 3 2 3 3 4 2" xfId="29157" xr:uid="{00000000-0005-0000-0000-00001C8D0000}"/>
    <cellStyle name="Normal 4 2 3 2 3 3 5" xfId="24665" xr:uid="{00000000-0005-0000-0000-00001D8D0000}"/>
    <cellStyle name="Normal 4 2 3 2 3 4" xfId="5783" xr:uid="{00000000-0005-0000-0000-00001E8D0000}"/>
    <cellStyle name="Normal 4 2 3 2 3 4 2" xfId="8609" xr:uid="{00000000-0005-0000-0000-00001F8D0000}"/>
    <cellStyle name="Normal 4 2 3 2 3 4 2 2" xfId="12916" xr:uid="{00000000-0005-0000-0000-0000208D0000}"/>
    <cellStyle name="Normal 4 2 3 2 3 4 2 2 2" xfId="32386" xr:uid="{00000000-0005-0000-0000-0000218D0000}"/>
    <cellStyle name="Normal 4 2 3 2 3 4 2 3" xfId="28089" xr:uid="{00000000-0005-0000-0000-0000228D0000}"/>
    <cellStyle name="Normal 4 2 3 2 3 4 3" xfId="10217" xr:uid="{00000000-0005-0000-0000-0000238D0000}"/>
    <cellStyle name="Normal 4 2 3 2 3 4 3 2" xfId="29687" xr:uid="{00000000-0005-0000-0000-0000248D0000}"/>
    <cellStyle name="Normal 4 2 3 2 3 4 4" xfId="25268" xr:uid="{00000000-0005-0000-0000-0000258D0000}"/>
    <cellStyle name="Normal 4 2 3 2 3 5" xfId="8602" xr:uid="{00000000-0005-0000-0000-0000268D0000}"/>
    <cellStyle name="Normal 4 2 3 2 3 5 2" xfId="12909" xr:uid="{00000000-0005-0000-0000-0000278D0000}"/>
    <cellStyle name="Normal 4 2 3 2 3 5 2 2" xfId="32379" xr:uid="{00000000-0005-0000-0000-0000288D0000}"/>
    <cellStyle name="Normal 4 2 3 2 3 5 3" xfId="28082" xr:uid="{00000000-0005-0000-0000-0000298D0000}"/>
    <cellStyle name="Normal 4 2 3 2 3 6" xfId="9156" xr:uid="{00000000-0005-0000-0000-00002A8D0000}"/>
    <cellStyle name="Normal 4 2 3 2 3 6 2" xfId="28627" xr:uid="{00000000-0005-0000-0000-00002B8D0000}"/>
    <cellStyle name="Normal 4 2 3 2 3 7" xfId="24045" xr:uid="{00000000-0005-0000-0000-00002C8D0000}"/>
    <cellStyle name="Normal 4 2 3 2 4" xfId="4641" xr:uid="{00000000-0005-0000-0000-00002D8D0000}"/>
    <cellStyle name="Normal 4 2 3 2 4 2" xfId="5281" xr:uid="{00000000-0005-0000-0000-00002E8D0000}"/>
    <cellStyle name="Normal 4 2 3 2 4 2 2" xfId="6415" xr:uid="{00000000-0005-0000-0000-00002F8D0000}"/>
    <cellStyle name="Normal 4 2 3 2 4 2 2 2" xfId="8612" xr:uid="{00000000-0005-0000-0000-0000308D0000}"/>
    <cellStyle name="Normal 4 2 3 2 4 2 2 2 2" xfId="12919" xr:uid="{00000000-0005-0000-0000-0000318D0000}"/>
    <cellStyle name="Normal 4 2 3 2 4 2 2 2 2 2" xfId="32389" xr:uid="{00000000-0005-0000-0000-0000328D0000}"/>
    <cellStyle name="Normal 4 2 3 2 4 2 2 2 3" xfId="28092" xr:uid="{00000000-0005-0000-0000-0000338D0000}"/>
    <cellStyle name="Normal 4 2 3 2 4 2 2 3" xfId="10831" xr:uid="{00000000-0005-0000-0000-0000348D0000}"/>
    <cellStyle name="Normal 4 2 3 2 4 2 2 3 2" xfId="30301" xr:uid="{00000000-0005-0000-0000-0000358D0000}"/>
    <cellStyle name="Normal 4 2 3 2 4 2 2 4" xfId="25900" xr:uid="{00000000-0005-0000-0000-0000368D0000}"/>
    <cellStyle name="Normal 4 2 3 2 4 2 3" xfId="8611" xr:uid="{00000000-0005-0000-0000-0000378D0000}"/>
    <cellStyle name="Normal 4 2 3 2 4 2 3 2" xfId="12918" xr:uid="{00000000-0005-0000-0000-0000388D0000}"/>
    <cellStyle name="Normal 4 2 3 2 4 2 3 2 2" xfId="32388" xr:uid="{00000000-0005-0000-0000-0000398D0000}"/>
    <cellStyle name="Normal 4 2 3 2 4 2 3 3" xfId="28091" xr:uid="{00000000-0005-0000-0000-00003A8D0000}"/>
    <cellStyle name="Normal 4 2 3 2 4 2 4" xfId="9770" xr:uid="{00000000-0005-0000-0000-00003B8D0000}"/>
    <cellStyle name="Normal 4 2 3 2 4 2 4 2" xfId="29240" xr:uid="{00000000-0005-0000-0000-00003C8D0000}"/>
    <cellStyle name="Normal 4 2 3 2 4 2 5" xfId="24772" xr:uid="{00000000-0005-0000-0000-00003D8D0000}"/>
    <cellStyle name="Normal 4 2 3 2 4 3" xfId="5878" xr:uid="{00000000-0005-0000-0000-00003E8D0000}"/>
    <cellStyle name="Normal 4 2 3 2 4 3 2" xfId="8613" xr:uid="{00000000-0005-0000-0000-00003F8D0000}"/>
    <cellStyle name="Normal 4 2 3 2 4 3 2 2" xfId="12920" xr:uid="{00000000-0005-0000-0000-0000408D0000}"/>
    <cellStyle name="Normal 4 2 3 2 4 3 2 2 2" xfId="32390" xr:uid="{00000000-0005-0000-0000-0000418D0000}"/>
    <cellStyle name="Normal 4 2 3 2 4 3 2 3" xfId="28093" xr:uid="{00000000-0005-0000-0000-0000428D0000}"/>
    <cellStyle name="Normal 4 2 3 2 4 3 3" xfId="10300" xr:uid="{00000000-0005-0000-0000-0000438D0000}"/>
    <cellStyle name="Normal 4 2 3 2 4 3 3 2" xfId="29770" xr:uid="{00000000-0005-0000-0000-0000448D0000}"/>
    <cellStyle name="Normal 4 2 3 2 4 3 4" xfId="25363" xr:uid="{00000000-0005-0000-0000-0000458D0000}"/>
    <cellStyle name="Normal 4 2 3 2 4 4" xfId="8610" xr:uid="{00000000-0005-0000-0000-0000468D0000}"/>
    <cellStyle name="Normal 4 2 3 2 4 4 2" xfId="12917" xr:uid="{00000000-0005-0000-0000-0000478D0000}"/>
    <cellStyle name="Normal 4 2 3 2 4 4 2 2" xfId="32387" xr:uid="{00000000-0005-0000-0000-0000488D0000}"/>
    <cellStyle name="Normal 4 2 3 2 4 4 3" xfId="28090" xr:uid="{00000000-0005-0000-0000-0000498D0000}"/>
    <cellStyle name="Normal 4 2 3 2 4 5" xfId="9240" xr:uid="{00000000-0005-0000-0000-00004A8D0000}"/>
    <cellStyle name="Normal 4 2 3 2 4 5 2" xfId="28710" xr:uid="{00000000-0005-0000-0000-00004B8D0000}"/>
    <cellStyle name="Normal 4 2 3 2 4 6" xfId="24152" xr:uid="{00000000-0005-0000-0000-00004C8D0000}"/>
    <cellStyle name="Normal 4 2 3 2 5" xfId="4985" xr:uid="{00000000-0005-0000-0000-00004D8D0000}"/>
    <cellStyle name="Normal 4 2 3 2 5 2" xfId="6147" xr:uid="{00000000-0005-0000-0000-00004E8D0000}"/>
    <cellStyle name="Normal 4 2 3 2 5 2 2" xfId="8615" xr:uid="{00000000-0005-0000-0000-00004F8D0000}"/>
    <cellStyle name="Normal 4 2 3 2 5 2 2 2" xfId="12922" xr:uid="{00000000-0005-0000-0000-0000508D0000}"/>
    <cellStyle name="Normal 4 2 3 2 5 2 2 2 2" xfId="32392" xr:uid="{00000000-0005-0000-0000-0000518D0000}"/>
    <cellStyle name="Normal 4 2 3 2 5 2 2 3" xfId="28095" xr:uid="{00000000-0005-0000-0000-0000528D0000}"/>
    <cellStyle name="Normal 4 2 3 2 5 2 3" xfId="10565" xr:uid="{00000000-0005-0000-0000-0000538D0000}"/>
    <cellStyle name="Normal 4 2 3 2 5 2 3 2" xfId="30035" xr:uid="{00000000-0005-0000-0000-0000548D0000}"/>
    <cellStyle name="Normal 4 2 3 2 5 2 4" xfId="25632" xr:uid="{00000000-0005-0000-0000-0000558D0000}"/>
    <cellStyle name="Normal 4 2 3 2 5 3" xfId="8614" xr:uid="{00000000-0005-0000-0000-0000568D0000}"/>
    <cellStyle name="Normal 4 2 3 2 5 3 2" xfId="12921" xr:uid="{00000000-0005-0000-0000-0000578D0000}"/>
    <cellStyle name="Normal 4 2 3 2 5 3 2 2" xfId="32391" xr:uid="{00000000-0005-0000-0000-0000588D0000}"/>
    <cellStyle name="Normal 4 2 3 2 5 3 3" xfId="28094" xr:uid="{00000000-0005-0000-0000-0000598D0000}"/>
    <cellStyle name="Normal 4 2 3 2 5 4" xfId="9505" xr:uid="{00000000-0005-0000-0000-00005A8D0000}"/>
    <cellStyle name="Normal 4 2 3 2 5 4 2" xfId="28975" xr:uid="{00000000-0005-0000-0000-00005B8D0000}"/>
    <cellStyle name="Normal 4 2 3 2 5 5" xfId="24479" xr:uid="{00000000-0005-0000-0000-00005C8D0000}"/>
    <cellStyle name="Normal 4 2 3 2 6" xfId="5590" xr:uid="{00000000-0005-0000-0000-00005D8D0000}"/>
    <cellStyle name="Normal 4 2 3 2 6 2" xfId="8616" xr:uid="{00000000-0005-0000-0000-00005E8D0000}"/>
    <cellStyle name="Normal 4 2 3 2 6 2 2" xfId="12923" xr:uid="{00000000-0005-0000-0000-00005F8D0000}"/>
    <cellStyle name="Normal 4 2 3 2 6 2 2 2" xfId="32393" xr:uid="{00000000-0005-0000-0000-0000608D0000}"/>
    <cellStyle name="Normal 4 2 3 2 6 2 3" xfId="28096" xr:uid="{00000000-0005-0000-0000-0000618D0000}"/>
    <cellStyle name="Normal 4 2 3 2 6 3" xfId="10035" xr:uid="{00000000-0005-0000-0000-0000628D0000}"/>
    <cellStyle name="Normal 4 2 3 2 6 3 2" xfId="29505" xr:uid="{00000000-0005-0000-0000-0000638D0000}"/>
    <cellStyle name="Normal 4 2 3 2 6 4" xfId="25077" xr:uid="{00000000-0005-0000-0000-0000648D0000}"/>
    <cellStyle name="Normal 4 2 3 2 7" xfId="8593" xr:uid="{00000000-0005-0000-0000-0000658D0000}"/>
    <cellStyle name="Normal 4 2 3 2 7 2" xfId="12900" xr:uid="{00000000-0005-0000-0000-0000668D0000}"/>
    <cellStyle name="Normal 4 2 3 2 7 2 2" xfId="32370" xr:uid="{00000000-0005-0000-0000-0000678D0000}"/>
    <cellStyle name="Normal 4 2 3 2 7 3" xfId="28073" xr:uid="{00000000-0005-0000-0000-0000688D0000}"/>
    <cellStyle name="Normal 4 2 3 2 8" xfId="8971" xr:uid="{00000000-0005-0000-0000-0000698D0000}"/>
    <cellStyle name="Normal 4 2 3 2 8 2" xfId="28445" xr:uid="{00000000-0005-0000-0000-00006A8D0000}"/>
    <cellStyle name="Normal 4 2 3 2 9" xfId="23703" xr:uid="{00000000-0005-0000-0000-00006B8D0000}"/>
    <cellStyle name="Normal 4 2 3 3" xfId="2968" xr:uid="{00000000-0005-0000-0000-00006C8D0000}"/>
    <cellStyle name="Normal 4 2 3 3 2" xfId="4675" xr:uid="{00000000-0005-0000-0000-00006D8D0000}"/>
    <cellStyle name="Normal 4 2 3 3 2 2" xfId="5315" xr:uid="{00000000-0005-0000-0000-00006E8D0000}"/>
    <cellStyle name="Normal 4 2 3 3 2 2 2" xfId="6449" xr:uid="{00000000-0005-0000-0000-00006F8D0000}"/>
    <cellStyle name="Normal 4 2 3 3 2 2 2 2" xfId="8620" xr:uid="{00000000-0005-0000-0000-0000708D0000}"/>
    <cellStyle name="Normal 4 2 3 3 2 2 2 2 2" xfId="12927" xr:uid="{00000000-0005-0000-0000-0000718D0000}"/>
    <cellStyle name="Normal 4 2 3 3 2 2 2 2 2 2" xfId="32397" xr:uid="{00000000-0005-0000-0000-0000728D0000}"/>
    <cellStyle name="Normal 4 2 3 3 2 2 2 2 3" xfId="28100" xr:uid="{00000000-0005-0000-0000-0000738D0000}"/>
    <cellStyle name="Normal 4 2 3 3 2 2 2 3" xfId="10865" xr:uid="{00000000-0005-0000-0000-0000748D0000}"/>
    <cellStyle name="Normal 4 2 3 3 2 2 2 3 2" xfId="30335" xr:uid="{00000000-0005-0000-0000-0000758D0000}"/>
    <cellStyle name="Normal 4 2 3 3 2 2 2 4" xfId="25934" xr:uid="{00000000-0005-0000-0000-0000768D0000}"/>
    <cellStyle name="Normal 4 2 3 3 2 2 3" xfId="8619" xr:uid="{00000000-0005-0000-0000-0000778D0000}"/>
    <cellStyle name="Normal 4 2 3 3 2 2 3 2" xfId="12926" xr:uid="{00000000-0005-0000-0000-0000788D0000}"/>
    <cellStyle name="Normal 4 2 3 3 2 2 3 2 2" xfId="32396" xr:uid="{00000000-0005-0000-0000-0000798D0000}"/>
    <cellStyle name="Normal 4 2 3 3 2 2 3 3" xfId="28099" xr:uid="{00000000-0005-0000-0000-00007A8D0000}"/>
    <cellStyle name="Normal 4 2 3 3 2 2 4" xfId="9804" xr:uid="{00000000-0005-0000-0000-00007B8D0000}"/>
    <cellStyle name="Normal 4 2 3 3 2 2 4 2" xfId="29274" xr:uid="{00000000-0005-0000-0000-00007C8D0000}"/>
    <cellStyle name="Normal 4 2 3 3 2 2 5" xfId="24806" xr:uid="{00000000-0005-0000-0000-00007D8D0000}"/>
    <cellStyle name="Normal 4 2 3 3 2 3" xfId="5912" xr:uid="{00000000-0005-0000-0000-00007E8D0000}"/>
    <cellStyle name="Normal 4 2 3 3 2 3 2" xfId="8621" xr:uid="{00000000-0005-0000-0000-00007F8D0000}"/>
    <cellStyle name="Normal 4 2 3 3 2 3 2 2" xfId="12928" xr:uid="{00000000-0005-0000-0000-0000808D0000}"/>
    <cellStyle name="Normal 4 2 3 3 2 3 2 2 2" xfId="32398" xr:uid="{00000000-0005-0000-0000-0000818D0000}"/>
    <cellStyle name="Normal 4 2 3 3 2 3 2 3" xfId="28101" xr:uid="{00000000-0005-0000-0000-0000828D0000}"/>
    <cellStyle name="Normal 4 2 3 3 2 3 3" xfId="10334" xr:uid="{00000000-0005-0000-0000-0000838D0000}"/>
    <cellStyle name="Normal 4 2 3 3 2 3 3 2" xfId="29804" xr:uid="{00000000-0005-0000-0000-0000848D0000}"/>
    <cellStyle name="Normal 4 2 3 3 2 3 4" xfId="25397" xr:uid="{00000000-0005-0000-0000-0000858D0000}"/>
    <cellStyle name="Normal 4 2 3 3 2 4" xfId="8618" xr:uid="{00000000-0005-0000-0000-0000868D0000}"/>
    <cellStyle name="Normal 4 2 3 3 2 4 2" xfId="12925" xr:uid="{00000000-0005-0000-0000-0000878D0000}"/>
    <cellStyle name="Normal 4 2 3 3 2 4 2 2" xfId="32395" xr:uid="{00000000-0005-0000-0000-0000888D0000}"/>
    <cellStyle name="Normal 4 2 3 3 2 4 3" xfId="28098" xr:uid="{00000000-0005-0000-0000-0000898D0000}"/>
    <cellStyle name="Normal 4 2 3 3 2 5" xfId="9274" xr:uid="{00000000-0005-0000-0000-00008A8D0000}"/>
    <cellStyle name="Normal 4 2 3 3 2 5 2" xfId="28744" xr:uid="{00000000-0005-0000-0000-00008B8D0000}"/>
    <cellStyle name="Normal 4 2 3 3 2 6" xfId="24186" xr:uid="{00000000-0005-0000-0000-00008C8D0000}"/>
    <cellStyle name="Normal 4 2 3 3 3" xfId="5019" xr:uid="{00000000-0005-0000-0000-00008D8D0000}"/>
    <cellStyle name="Normal 4 2 3 3 3 2" xfId="6181" xr:uid="{00000000-0005-0000-0000-00008E8D0000}"/>
    <cellStyle name="Normal 4 2 3 3 3 2 2" xfId="8623" xr:uid="{00000000-0005-0000-0000-00008F8D0000}"/>
    <cellStyle name="Normal 4 2 3 3 3 2 2 2" xfId="12930" xr:uid="{00000000-0005-0000-0000-0000908D0000}"/>
    <cellStyle name="Normal 4 2 3 3 3 2 2 2 2" xfId="32400" xr:uid="{00000000-0005-0000-0000-0000918D0000}"/>
    <cellStyle name="Normal 4 2 3 3 3 2 2 3" xfId="28103" xr:uid="{00000000-0005-0000-0000-0000928D0000}"/>
    <cellStyle name="Normal 4 2 3 3 3 2 3" xfId="10599" xr:uid="{00000000-0005-0000-0000-0000938D0000}"/>
    <cellStyle name="Normal 4 2 3 3 3 2 3 2" xfId="30069" xr:uid="{00000000-0005-0000-0000-0000948D0000}"/>
    <cellStyle name="Normal 4 2 3 3 3 2 4" xfId="25666" xr:uid="{00000000-0005-0000-0000-0000958D0000}"/>
    <cellStyle name="Normal 4 2 3 3 3 3" xfId="8622" xr:uid="{00000000-0005-0000-0000-0000968D0000}"/>
    <cellStyle name="Normal 4 2 3 3 3 3 2" xfId="12929" xr:uid="{00000000-0005-0000-0000-0000978D0000}"/>
    <cellStyle name="Normal 4 2 3 3 3 3 2 2" xfId="32399" xr:uid="{00000000-0005-0000-0000-0000988D0000}"/>
    <cellStyle name="Normal 4 2 3 3 3 3 3" xfId="28102" xr:uid="{00000000-0005-0000-0000-0000998D0000}"/>
    <cellStyle name="Normal 4 2 3 3 3 4" xfId="9539" xr:uid="{00000000-0005-0000-0000-00009A8D0000}"/>
    <cellStyle name="Normal 4 2 3 3 3 4 2" xfId="29009" xr:uid="{00000000-0005-0000-0000-00009B8D0000}"/>
    <cellStyle name="Normal 4 2 3 3 3 5" xfId="24513" xr:uid="{00000000-0005-0000-0000-00009C8D0000}"/>
    <cellStyle name="Normal 4 2 3 3 4" xfId="5624" xr:uid="{00000000-0005-0000-0000-00009D8D0000}"/>
    <cellStyle name="Normal 4 2 3 3 4 2" xfId="8624" xr:uid="{00000000-0005-0000-0000-00009E8D0000}"/>
    <cellStyle name="Normal 4 2 3 3 4 2 2" xfId="12931" xr:uid="{00000000-0005-0000-0000-00009F8D0000}"/>
    <cellStyle name="Normal 4 2 3 3 4 2 2 2" xfId="32401" xr:uid="{00000000-0005-0000-0000-0000A08D0000}"/>
    <cellStyle name="Normal 4 2 3 3 4 2 3" xfId="28104" xr:uid="{00000000-0005-0000-0000-0000A18D0000}"/>
    <cellStyle name="Normal 4 2 3 3 4 3" xfId="10069" xr:uid="{00000000-0005-0000-0000-0000A28D0000}"/>
    <cellStyle name="Normal 4 2 3 3 4 3 2" xfId="29539" xr:uid="{00000000-0005-0000-0000-0000A38D0000}"/>
    <cellStyle name="Normal 4 2 3 3 4 4" xfId="25111" xr:uid="{00000000-0005-0000-0000-0000A48D0000}"/>
    <cellStyle name="Normal 4 2 3 3 5" xfId="8617" xr:uid="{00000000-0005-0000-0000-0000A58D0000}"/>
    <cellStyle name="Normal 4 2 3 3 5 2" xfId="12924" xr:uid="{00000000-0005-0000-0000-0000A68D0000}"/>
    <cellStyle name="Normal 4 2 3 3 5 2 2" xfId="32394" xr:uid="{00000000-0005-0000-0000-0000A78D0000}"/>
    <cellStyle name="Normal 4 2 3 3 5 3" xfId="28097" xr:uid="{00000000-0005-0000-0000-0000A88D0000}"/>
    <cellStyle name="Normal 4 2 3 3 6" xfId="9005" xr:uid="{00000000-0005-0000-0000-0000A98D0000}"/>
    <cellStyle name="Normal 4 2 3 3 6 2" xfId="28479" xr:uid="{00000000-0005-0000-0000-0000AA8D0000}"/>
    <cellStyle name="Normal 4 2 3 3 7" xfId="23777" xr:uid="{00000000-0005-0000-0000-0000AB8D0000}"/>
    <cellStyle name="Normal 4 2 3 4" xfId="4197" xr:uid="{00000000-0005-0000-0000-0000AC8D0000}"/>
    <cellStyle name="Normal 4 2 3 4 2" xfId="4789" xr:uid="{00000000-0005-0000-0000-0000AD8D0000}"/>
    <cellStyle name="Normal 4 2 3 4 2 2" xfId="5415" xr:uid="{00000000-0005-0000-0000-0000AE8D0000}"/>
    <cellStyle name="Normal 4 2 3 4 2 2 2" xfId="6543" xr:uid="{00000000-0005-0000-0000-0000AF8D0000}"/>
    <cellStyle name="Normal 4 2 3 4 2 2 2 2" xfId="8628" xr:uid="{00000000-0005-0000-0000-0000B08D0000}"/>
    <cellStyle name="Normal 4 2 3 4 2 2 2 2 2" xfId="12935" xr:uid="{00000000-0005-0000-0000-0000B18D0000}"/>
    <cellStyle name="Normal 4 2 3 4 2 2 2 2 2 2" xfId="32405" xr:uid="{00000000-0005-0000-0000-0000B28D0000}"/>
    <cellStyle name="Normal 4 2 3 4 2 2 2 2 3" xfId="28108" xr:uid="{00000000-0005-0000-0000-0000B38D0000}"/>
    <cellStyle name="Normal 4 2 3 4 2 2 2 3" xfId="10959" xr:uid="{00000000-0005-0000-0000-0000B48D0000}"/>
    <cellStyle name="Normal 4 2 3 4 2 2 2 3 2" xfId="30429" xr:uid="{00000000-0005-0000-0000-0000B58D0000}"/>
    <cellStyle name="Normal 4 2 3 4 2 2 2 4" xfId="26028" xr:uid="{00000000-0005-0000-0000-0000B68D0000}"/>
    <cellStyle name="Normal 4 2 3 4 2 2 3" xfId="8627" xr:uid="{00000000-0005-0000-0000-0000B78D0000}"/>
    <cellStyle name="Normal 4 2 3 4 2 2 3 2" xfId="12934" xr:uid="{00000000-0005-0000-0000-0000B88D0000}"/>
    <cellStyle name="Normal 4 2 3 4 2 2 3 2 2" xfId="32404" xr:uid="{00000000-0005-0000-0000-0000B98D0000}"/>
    <cellStyle name="Normal 4 2 3 4 2 2 3 3" xfId="28107" xr:uid="{00000000-0005-0000-0000-0000BA8D0000}"/>
    <cellStyle name="Normal 4 2 3 4 2 2 4" xfId="9898" xr:uid="{00000000-0005-0000-0000-0000BB8D0000}"/>
    <cellStyle name="Normal 4 2 3 4 2 2 4 2" xfId="29368" xr:uid="{00000000-0005-0000-0000-0000BC8D0000}"/>
    <cellStyle name="Normal 4 2 3 4 2 2 5" xfId="24906" xr:uid="{00000000-0005-0000-0000-0000BD8D0000}"/>
    <cellStyle name="Normal 4 2 3 4 2 3" xfId="6007" xr:uid="{00000000-0005-0000-0000-0000BE8D0000}"/>
    <cellStyle name="Normal 4 2 3 4 2 3 2" xfId="8629" xr:uid="{00000000-0005-0000-0000-0000BF8D0000}"/>
    <cellStyle name="Normal 4 2 3 4 2 3 2 2" xfId="12936" xr:uid="{00000000-0005-0000-0000-0000C08D0000}"/>
    <cellStyle name="Normal 4 2 3 4 2 3 2 2 2" xfId="32406" xr:uid="{00000000-0005-0000-0000-0000C18D0000}"/>
    <cellStyle name="Normal 4 2 3 4 2 3 2 3" xfId="28109" xr:uid="{00000000-0005-0000-0000-0000C28D0000}"/>
    <cellStyle name="Normal 4 2 3 4 2 3 3" xfId="10428" xr:uid="{00000000-0005-0000-0000-0000C38D0000}"/>
    <cellStyle name="Normal 4 2 3 4 2 3 3 2" xfId="29898" xr:uid="{00000000-0005-0000-0000-0000C48D0000}"/>
    <cellStyle name="Normal 4 2 3 4 2 3 4" xfId="25492" xr:uid="{00000000-0005-0000-0000-0000C58D0000}"/>
    <cellStyle name="Normal 4 2 3 4 2 4" xfId="8626" xr:uid="{00000000-0005-0000-0000-0000C68D0000}"/>
    <cellStyle name="Normal 4 2 3 4 2 4 2" xfId="12933" xr:uid="{00000000-0005-0000-0000-0000C78D0000}"/>
    <cellStyle name="Normal 4 2 3 4 2 4 2 2" xfId="32403" xr:uid="{00000000-0005-0000-0000-0000C88D0000}"/>
    <cellStyle name="Normal 4 2 3 4 2 4 3" xfId="28106" xr:uid="{00000000-0005-0000-0000-0000C98D0000}"/>
    <cellStyle name="Normal 4 2 3 4 2 5" xfId="9368" xr:uid="{00000000-0005-0000-0000-0000CA8D0000}"/>
    <cellStyle name="Normal 4 2 3 4 2 5 2" xfId="28838" xr:uid="{00000000-0005-0000-0000-0000CB8D0000}"/>
    <cellStyle name="Normal 4 2 3 4 2 6" xfId="24291" xr:uid="{00000000-0005-0000-0000-0000CC8D0000}"/>
    <cellStyle name="Normal 4 2 3 4 3" xfId="5120" xr:uid="{00000000-0005-0000-0000-0000CD8D0000}"/>
    <cellStyle name="Normal 4 2 3 4 3 2" xfId="6276" xr:uid="{00000000-0005-0000-0000-0000CE8D0000}"/>
    <cellStyle name="Normal 4 2 3 4 3 2 2" xfId="8631" xr:uid="{00000000-0005-0000-0000-0000CF8D0000}"/>
    <cellStyle name="Normal 4 2 3 4 3 2 2 2" xfId="12938" xr:uid="{00000000-0005-0000-0000-0000D08D0000}"/>
    <cellStyle name="Normal 4 2 3 4 3 2 2 2 2" xfId="32408" xr:uid="{00000000-0005-0000-0000-0000D18D0000}"/>
    <cellStyle name="Normal 4 2 3 4 3 2 2 3" xfId="28111" xr:uid="{00000000-0005-0000-0000-0000D28D0000}"/>
    <cellStyle name="Normal 4 2 3 4 3 2 3" xfId="10693" xr:uid="{00000000-0005-0000-0000-0000D38D0000}"/>
    <cellStyle name="Normal 4 2 3 4 3 2 3 2" xfId="30163" xr:uid="{00000000-0005-0000-0000-0000D48D0000}"/>
    <cellStyle name="Normal 4 2 3 4 3 2 4" xfId="25761" xr:uid="{00000000-0005-0000-0000-0000D58D0000}"/>
    <cellStyle name="Normal 4 2 3 4 3 3" xfId="8630" xr:uid="{00000000-0005-0000-0000-0000D68D0000}"/>
    <cellStyle name="Normal 4 2 3 4 3 3 2" xfId="12937" xr:uid="{00000000-0005-0000-0000-0000D78D0000}"/>
    <cellStyle name="Normal 4 2 3 4 3 3 2 2" xfId="32407" xr:uid="{00000000-0005-0000-0000-0000D88D0000}"/>
    <cellStyle name="Normal 4 2 3 4 3 3 3" xfId="28110" xr:uid="{00000000-0005-0000-0000-0000D98D0000}"/>
    <cellStyle name="Normal 4 2 3 4 3 4" xfId="9633" xr:uid="{00000000-0005-0000-0000-0000DA8D0000}"/>
    <cellStyle name="Normal 4 2 3 4 3 4 2" xfId="29103" xr:uid="{00000000-0005-0000-0000-0000DB8D0000}"/>
    <cellStyle name="Normal 4 2 3 4 3 5" xfId="24611" xr:uid="{00000000-0005-0000-0000-0000DC8D0000}"/>
    <cellStyle name="Normal 4 2 3 4 4" xfId="5729" xr:uid="{00000000-0005-0000-0000-0000DD8D0000}"/>
    <cellStyle name="Normal 4 2 3 4 4 2" xfId="8632" xr:uid="{00000000-0005-0000-0000-0000DE8D0000}"/>
    <cellStyle name="Normal 4 2 3 4 4 2 2" xfId="12939" xr:uid="{00000000-0005-0000-0000-0000DF8D0000}"/>
    <cellStyle name="Normal 4 2 3 4 4 2 2 2" xfId="32409" xr:uid="{00000000-0005-0000-0000-0000E08D0000}"/>
    <cellStyle name="Normal 4 2 3 4 4 2 3" xfId="28112" xr:uid="{00000000-0005-0000-0000-0000E18D0000}"/>
    <cellStyle name="Normal 4 2 3 4 4 3" xfId="10163" xr:uid="{00000000-0005-0000-0000-0000E28D0000}"/>
    <cellStyle name="Normal 4 2 3 4 4 3 2" xfId="29633" xr:uid="{00000000-0005-0000-0000-0000E38D0000}"/>
    <cellStyle name="Normal 4 2 3 4 4 4" xfId="25214" xr:uid="{00000000-0005-0000-0000-0000E48D0000}"/>
    <cellStyle name="Normal 4 2 3 4 5" xfId="8625" xr:uid="{00000000-0005-0000-0000-0000E58D0000}"/>
    <cellStyle name="Normal 4 2 3 4 5 2" xfId="12932" xr:uid="{00000000-0005-0000-0000-0000E68D0000}"/>
    <cellStyle name="Normal 4 2 3 4 5 2 2" xfId="32402" xr:uid="{00000000-0005-0000-0000-0000E78D0000}"/>
    <cellStyle name="Normal 4 2 3 4 5 3" xfId="28105" xr:uid="{00000000-0005-0000-0000-0000E88D0000}"/>
    <cellStyle name="Normal 4 2 3 4 6" xfId="9102" xr:uid="{00000000-0005-0000-0000-0000E98D0000}"/>
    <cellStyle name="Normal 4 2 3 4 6 2" xfId="28573" xr:uid="{00000000-0005-0000-0000-0000EA8D0000}"/>
    <cellStyle name="Normal 4 2 3 4 7" xfId="23989" xr:uid="{00000000-0005-0000-0000-0000EB8D0000}"/>
    <cellStyle name="Normal 4 2 3 5" xfId="4609" xr:uid="{00000000-0005-0000-0000-0000EC8D0000}"/>
    <cellStyle name="Normal 4 2 3 5 2" xfId="5249" xr:uid="{00000000-0005-0000-0000-0000ED8D0000}"/>
    <cellStyle name="Normal 4 2 3 5 2 2" xfId="6383" xr:uid="{00000000-0005-0000-0000-0000EE8D0000}"/>
    <cellStyle name="Normal 4 2 3 5 2 2 2" xfId="8635" xr:uid="{00000000-0005-0000-0000-0000EF8D0000}"/>
    <cellStyle name="Normal 4 2 3 5 2 2 2 2" xfId="12942" xr:uid="{00000000-0005-0000-0000-0000F08D0000}"/>
    <cellStyle name="Normal 4 2 3 5 2 2 2 2 2" xfId="32412" xr:uid="{00000000-0005-0000-0000-0000F18D0000}"/>
    <cellStyle name="Normal 4 2 3 5 2 2 2 3" xfId="28115" xr:uid="{00000000-0005-0000-0000-0000F28D0000}"/>
    <cellStyle name="Normal 4 2 3 5 2 2 3" xfId="10799" xr:uid="{00000000-0005-0000-0000-0000F38D0000}"/>
    <cellStyle name="Normal 4 2 3 5 2 2 3 2" xfId="30269" xr:uid="{00000000-0005-0000-0000-0000F48D0000}"/>
    <cellStyle name="Normal 4 2 3 5 2 2 4" xfId="25868" xr:uid="{00000000-0005-0000-0000-0000F58D0000}"/>
    <cellStyle name="Normal 4 2 3 5 2 3" xfId="8634" xr:uid="{00000000-0005-0000-0000-0000F68D0000}"/>
    <cellStyle name="Normal 4 2 3 5 2 3 2" xfId="12941" xr:uid="{00000000-0005-0000-0000-0000F78D0000}"/>
    <cellStyle name="Normal 4 2 3 5 2 3 2 2" xfId="32411" xr:uid="{00000000-0005-0000-0000-0000F88D0000}"/>
    <cellStyle name="Normal 4 2 3 5 2 3 3" xfId="28114" xr:uid="{00000000-0005-0000-0000-0000F98D0000}"/>
    <cellStyle name="Normal 4 2 3 5 2 4" xfId="9738" xr:uid="{00000000-0005-0000-0000-0000FA8D0000}"/>
    <cellStyle name="Normal 4 2 3 5 2 4 2" xfId="29208" xr:uid="{00000000-0005-0000-0000-0000FB8D0000}"/>
    <cellStyle name="Normal 4 2 3 5 2 5" xfId="24740" xr:uid="{00000000-0005-0000-0000-0000FC8D0000}"/>
    <cellStyle name="Normal 4 2 3 5 3" xfId="5846" xr:uid="{00000000-0005-0000-0000-0000FD8D0000}"/>
    <cellStyle name="Normal 4 2 3 5 3 2" xfId="8636" xr:uid="{00000000-0005-0000-0000-0000FE8D0000}"/>
    <cellStyle name="Normal 4 2 3 5 3 2 2" xfId="12943" xr:uid="{00000000-0005-0000-0000-0000FF8D0000}"/>
    <cellStyle name="Normal 4 2 3 5 3 2 2 2" xfId="32413" xr:uid="{00000000-0005-0000-0000-0000008E0000}"/>
    <cellStyle name="Normal 4 2 3 5 3 2 3" xfId="28116" xr:uid="{00000000-0005-0000-0000-0000018E0000}"/>
    <cellStyle name="Normal 4 2 3 5 3 3" xfId="10268" xr:uid="{00000000-0005-0000-0000-0000028E0000}"/>
    <cellStyle name="Normal 4 2 3 5 3 3 2" xfId="29738" xr:uid="{00000000-0005-0000-0000-0000038E0000}"/>
    <cellStyle name="Normal 4 2 3 5 3 4" xfId="25331" xr:uid="{00000000-0005-0000-0000-0000048E0000}"/>
    <cellStyle name="Normal 4 2 3 5 4" xfId="8633" xr:uid="{00000000-0005-0000-0000-0000058E0000}"/>
    <cellStyle name="Normal 4 2 3 5 4 2" xfId="12940" xr:uid="{00000000-0005-0000-0000-0000068E0000}"/>
    <cellStyle name="Normal 4 2 3 5 4 2 2" xfId="32410" xr:uid="{00000000-0005-0000-0000-0000078E0000}"/>
    <cellStyle name="Normal 4 2 3 5 4 3" xfId="28113" xr:uid="{00000000-0005-0000-0000-0000088E0000}"/>
    <cellStyle name="Normal 4 2 3 5 5" xfId="9208" xr:uid="{00000000-0005-0000-0000-0000098E0000}"/>
    <cellStyle name="Normal 4 2 3 5 5 2" xfId="28678" xr:uid="{00000000-0005-0000-0000-00000A8E0000}"/>
    <cellStyle name="Normal 4 2 3 5 6" xfId="24120" xr:uid="{00000000-0005-0000-0000-00000B8E0000}"/>
    <cellStyle name="Normal 4 2 3 6" xfId="4953" xr:uid="{00000000-0005-0000-0000-00000C8E0000}"/>
    <cellStyle name="Normal 4 2 3 6 2" xfId="6115" xr:uid="{00000000-0005-0000-0000-00000D8E0000}"/>
    <cellStyle name="Normal 4 2 3 6 2 2" xfId="8638" xr:uid="{00000000-0005-0000-0000-00000E8E0000}"/>
    <cellStyle name="Normal 4 2 3 6 2 2 2" xfId="12945" xr:uid="{00000000-0005-0000-0000-00000F8E0000}"/>
    <cellStyle name="Normal 4 2 3 6 2 2 2 2" xfId="32415" xr:uid="{00000000-0005-0000-0000-0000108E0000}"/>
    <cellStyle name="Normal 4 2 3 6 2 2 3" xfId="28118" xr:uid="{00000000-0005-0000-0000-0000118E0000}"/>
    <cellStyle name="Normal 4 2 3 6 2 3" xfId="10533" xr:uid="{00000000-0005-0000-0000-0000128E0000}"/>
    <cellStyle name="Normal 4 2 3 6 2 3 2" xfId="30003" xr:uid="{00000000-0005-0000-0000-0000138E0000}"/>
    <cellStyle name="Normal 4 2 3 6 2 4" xfId="25600" xr:uid="{00000000-0005-0000-0000-0000148E0000}"/>
    <cellStyle name="Normal 4 2 3 6 3" xfId="8637" xr:uid="{00000000-0005-0000-0000-0000158E0000}"/>
    <cellStyle name="Normal 4 2 3 6 3 2" xfId="12944" xr:uid="{00000000-0005-0000-0000-0000168E0000}"/>
    <cellStyle name="Normal 4 2 3 6 3 2 2" xfId="32414" xr:uid="{00000000-0005-0000-0000-0000178E0000}"/>
    <cellStyle name="Normal 4 2 3 6 3 3" xfId="28117" xr:uid="{00000000-0005-0000-0000-0000188E0000}"/>
    <cellStyle name="Normal 4 2 3 6 4" xfId="9473" xr:uid="{00000000-0005-0000-0000-0000198E0000}"/>
    <cellStyle name="Normal 4 2 3 6 4 2" xfId="28943" xr:uid="{00000000-0005-0000-0000-00001A8E0000}"/>
    <cellStyle name="Normal 4 2 3 6 5" xfId="24447" xr:uid="{00000000-0005-0000-0000-00001B8E0000}"/>
    <cellStyle name="Normal 4 2 3 7" xfId="5557" xr:uid="{00000000-0005-0000-0000-00001C8E0000}"/>
    <cellStyle name="Normal 4 2 3 7 2" xfId="8639" xr:uid="{00000000-0005-0000-0000-00001D8E0000}"/>
    <cellStyle name="Normal 4 2 3 7 2 2" xfId="12946" xr:uid="{00000000-0005-0000-0000-00001E8E0000}"/>
    <cellStyle name="Normal 4 2 3 7 2 2 2" xfId="32416" xr:uid="{00000000-0005-0000-0000-00001F8E0000}"/>
    <cellStyle name="Normal 4 2 3 7 2 3" xfId="28119" xr:uid="{00000000-0005-0000-0000-0000208E0000}"/>
    <cellStyle name="Normal 4 2 3 7 3" xfId="10003" xr:uid="{00000000-0005-0000-0000-0000218E0000}"/>
    <cellStyle name="Normal 4 2 3 7 3 2" xfId="29473" xr:uid="{00000000-0005-0000-0000-0000228E0000}"/>
    <cellStyle name="Normal 4 2 3 7 4" xfId="25045" xr:uid="{00000000-0005-0000-0000-0000238E0000}"/>
    <cellStyle name="Normal 4 2 3 8" xfId="8592" xr:uid="{00000000-0005-0000-0000-0000248E0000}"/>
    <cellStyle name="Normal 4 2 3 8 2" xfId="12899" xr:uid="{00000000-0005-0000-0000-0000258E0000}"/>
    <cellStyle name="Normal 4 2 3 8 2 2" xfId="32369" xr:uid="{00000000-0005-0000-0000-0000268E0000}"/>
    <cellStyle name="Normal 4 2 3 8 3" xfId="28072" xr:uid="{00000000-0005-0000-0000-0000278E0000}"/>
    <cellStyle name="Normal 4 2 3 9" xfId="8939" xr:uid="{00000000-0005-0000-0000-0000288E0000}"/>
    <cellStyle name="Normal 4 2 3 9 2" xfId="28413" xr:uid="{00000000-0005-0000-0000-0000298E0000}"/>
    <cellStyle name="Normal 4 2 4" xfId="3991" xr:uid="{00000000-0005-0000-0000-00002A8E0000}"/>
    <cellStyle name="Normal 4 2 4 2" xfId="4251" xr:uid="{00000000-0005-0000-0000-00002B8E0000}"/>
    <cellStyle name="Normal 4 2 4 2 2" xfId="4826" xr:uid="{00000000-0005-0000-0000-00002C8E0000}"/>
    <cellStyle name="Normal 4 2 4 2 2 2" xfId="5451" xr:uid="{00000000-0005-0000-0000-00002D8E0000}"/>
    <cellStyle name="Normal 4 2 4 2 2 2 2" xfId="6579" xr:uid="{00000000-0005-0000-0000-00002E8E0000}"/>
    <cellStyle name="Normal 4 2 4 2 2 2 2 2" xfId="8644" xr:uid="{00000000-0005-0000-0000-00002F8E0000}"/>
    <cellStyle name="Normal 4 2 4 2 2 2 2 2 2" xfId="12951" xr:uid="{00000000-0005-0000-0000-0000308E0000}"/>
    <cellStyle name="Normal 4 2 4 2 2 2 2 2 2 2" xfId="32421" xr:uid="{00000000-0005-0000-0000-0000318E0000}"/>
    <cellStyle name="Normal 4 2 4 2 2 2 2 2 3" xfId="28124" xr:uid="{00000000-0005-0000-0000-0000328E0000}"/>
    <cellStyle name="Normal 4 2 4 2 2 2 2 3" xfId="10995" xr:uid="{00000000-0005-0000-0000-0000338E0000}"/>
    <cellStyle name="Normal 4 2 4 2 2 2 2 3 2" xfId="30465" xr:uid="{00000000-0005-0000-0000-0000348E0000}"/>
    <cellStyle name="Normal 4 2 4 2 2 2 2 4" xfId="26064" xr:uid="{00000000-0005-0000-0000-0000358E0000}"/>
    <cellStyle name="Normal 4 2 4 2 2 2 3" xfId="8643" xr:uid="{00000000-0005-0000-0000-0000368E0000}"/>
    <cellStyle name="Normal 4 2 4 2 2 2 3 2" xfId="12950" xr:uid="{00000000-0005-0000-0000-0000378E0000}"/>
    <cellStyle name="Normal 4 2 4 2 2 2 3 2 2" xfId="32420" xr:uid="{00000000-0005-0000-0000-0000388E0000}"/>
    <cellStyle name="Normal 4 2 4 2 2 2 3 3" xfId="28123" xr:uid="{00000000-0005-0000-0000-0000398E0000}"/>
    <cellStyle name="Normal 4 2 4 2 2 2 4" xfId="9934" xr:uid="{00000000-0005-0000-0000-00003A8E0000}"/>
    <cellStyle name="Normal 4 2 4 2 2 2 4 2" xfId="29404" xr:uid="{00000000-0005-0000-0000-00003B8E0000}"/>
    <cellStyle name="Normal 4 2 4 2 2 2 5" xfId="24942" xr:uid="{00000000-0005-0000-0000-00003C8E0000}"/>
    <cellStyle name="Normal 4 2 4 2 2 3" xfId="6044" xr:uid="{00000000-0005-0000-0000-00003D8E0000}"/>
    <cellStyle name="Normal 4 2 4 2 2 3 2" xfId="8645" xr:uid="{00000000-0005-0000-0000-00003E8E0000}"/>
    <cellStyle name="Normal 4 2 4 2 2 3 2 2" xfId="12952" xr:uid="{00000000-0005-0000-0000-00003F8E0000}"/>
    <cellStyle name="Normal 4 2 4 2 2 3 2 2 2" xfId="32422" xr:uid="{00000000-0005-0000-0000-0000408E0000}"/>
    <cellStyle name="Normal 4 2 4 2 2 3 2 3" xfId="28125" xr:uid="{00000000-0005-0000-0000-0000418E0000}"/>
    <cellStyle name="Normal 4 2 4 2 2 3 3" xfId="10464" xr:uid="{00000000-0005-0000-0000-0000428E0000}"/>
    <cellStyle name="Normal 4 2 4 2 2 3 3 2" xfId="29934" xr:uid="{00000000-0005-0000-0000-0000438E0000}"/>
    <cellStyle name="Normal 4 2 4 2 2 3 4" xfId="25529" xr:uid="{00000000-0005-0000-0000-0000448E0000}"/>
    <cellStyle name="Normal 4 2 4 2 2 4" xfId="8642" xr:uid="{00000000-0005-0000-0000-0000458E0000}"/>
    <cellStyle name="Normal 4 2 4 2 2 4 2" xfId="12949" xr:uid="{00000000-0005-0000-0000-0000468E0000}"/>
    <cellStyle name="Normal 4 2 4 2 2 4 2 2" xfId="32419" xr:uid="{00000000-0005-0000-0000-0000478E0000}"/>
    <cellStyle name="Normal 4 2 4 2 2 4 3" xfId="28122" xr:uid="{00000000-0005-0000-0000-0000488E0000}"/>
    <cellStyle name="Normal 4 2 4 2 2 5" xfId="9404" xr:uid="{00000000-0005-0000-0000-0000498E0000}"/>
    <cellStyle name="Normal 4 2 4 2 2 5 2" xfId="28874" xr:uid="{00000000-0005-0000-0000-00004A8E0000}"/>
    <cellStyle name="Normal 4 2 4 2 2 6" xfId="24328" xr:uid="{00000000-0005-0000-0000-00004B8E0000}"/>
    <cellStyle name="Normal 4 2 4 2 3" xfId="5156" xr:uid="{00000000-0005-0000-0000-00004C8E0000}"/>
    <cellStyle name="Normal 4 2 4 2 3 2" xfId="6312" xr:uid="{00000000-0005-0000-0000-00004D8E0000}"/>
    <cellStyle name="Normal 4 2 4 2 3 2 2" xfId="8647" xr:uid="{00000000-0005-0000-0000-00004E8E0000}"/>
    <cellStyle name="Normal 4 2 4 2 3 2 2 2" xfId="12954" xr:uid="{00000000-0005-0000-0000-00004F8E0000}"/>
    <cellStyle name="Normal 4 2 4 2 3 2 2 2 2" xfId="32424" xr:uid="{00000000-0005-0000-0000-0000508E0000}"/>
    <cellStyle name="Normal 4 2 4 2 3 2 2 3" xfId="28127" xr:uid="{00000000-0005-0000-0000-0000518E0000}"/>
    <cellStyle name="Normal 4 2 4 2 3 2 3" xfId="10729" xr:uid="{00000000-0005-0000-0000-0000528E0000}"/>
    <cellStyle name="Normal 4 2 4 2 3 2 3 2" xfId="30199" xr:uid="{00000000-0005-0000-0000-0000538E0000}"/>
    <cellStyle name="Normal 4 2 4 2 3 2 4" xfId="25797" xr:uid="{00000000-0005-0000-0000-0000548E0000}"/>
    <cellStyle name="Normal 4 2 4 2 3 3" xfId="8646" xr:uid="{00000000-0005-0000-0000-0000558E0000}"/>
    <cellStyle name="Normal 4 2 4 2 3 3 2" xfId="12953" xr:uid="{00000000-0005-0000-0000-0000568E0000}"/>
    <cellStyle name="Normal 4 2 4 2 3 3 2 2" xfId="32423" xr:uid="{00000000-0005-0000-0000-0000578E0000}"/>
    <cellStyle name="Normal 4 2 4 2 3 3 3" xfId="28126" xr:uid="{00000000-0005-0000-0000-0000588E0000}"/>
    <cellStyle name="Normal 4 2 4 2 3 4" xfId="9669" xr:uid="{00000000-0005-0000-0000-0000598E0000}"/>
    <cellStyle name="Normal 4 2 4 2 3 4 2" xfId="29139" xr:uid="{00000000-0005-0000-0000-00005A8E0000}"/>
    <cellStyle name="Normal 4 2 4 2 3 5" xfId="24647" xr:uid="{00000000-0005-0000-0000-00005B8E0000}"/>
    <cellStyle name="Normal 4 2 4 2 4" xfId="5765" xr:uid="{00000000-0005-0000-0000-00005C8E0000}"/>
    <cellStyle name="Normal 4 2 4 2 4 2" xfId="8648" xr:uid="{00000000-0005-0000-0000-00005D8E0000}"/>
    <cellStyle name="Normal 4 2 4 2 4 2 2" xfId="12955" xr:uid="{00000000-0005-0000-0000-00005E8E0000}"/>
    <cellStyle name="Normal 4 2 4 2 4 2 2 2" xfId="32425" xr:uid="{00000000-0005-0000-0000-00005F8E0000}"/>
    <cellStyle name="Normal 4 2 4 2 4 2 3" xfId="28128" xr:uid="{00000000-0005-0000-0000-0000608E0000}"/>
    <cellStyle name="Normal 4 2 4 2 4 3" xfId="10199" xr:uid="{00000000-0005-0000-0000-0000618E0000}"/>
    <cellStyle name="Normal 4 2 4 2 4 3 2" xfId="29669" xr:uid="{00000000-0005-0000-0000-0000628E0000}"/>
    <cellStyle name="Normal 4 2 4 2 4 4" xfId="25250" xr:uid="{00000000-0005-0000-0000-0000638E0000}"/>
    <cellStyle name="Normal 4 2 4 2 5" xfId="8641" xr:uid="{00000000-0005-0000-0000-0000648E0000}"/>
    <cellStyle name="Normal 4 2 4 2 5 2" xfId="12948" xr:uid="{00000000-0005-0000-0000-0000658E0000}"/>
    <cellStyle name="Normal 4 2 4 2 5 2 2" xfId="32418" xr:uid="{00000000-0005-0000-0000-0000668E0000}"/>
    <cellStyle name="Normal 4 2 4 2 5 3" xfId="28121" xr:uid="{00000000-0005-0000-0000-0000678E0000}"/>
    <cellStyle name="Normal 4 2 4 2 6" xfId="9138" xr:uid="{00000000-0005-0000-0000-0000688E0000}"/>
    <cellStyle name="Normal 4 2 4 2 6 2" xfId="28609" xr:uid="{00000000-0005-0000-0000-0000698E0000}"/>
    <cellStyle name="Normal 4 2 4 2 7" xfId="24027" xr:uid="{00000000-0005-0000-0000-00006A8E0000}"/>
    <cellStyle name="Normal 4 2 4 3" xfId="4744" xr:uid="{00000000-0005-0000-0000-00006B8E0000}"/>
    <cellStyle name="Normal 4 2 4 3 2" xfId="5375" xr:uid="{00000000-0005-0000-0000-00006C8E0000}"/>
    <cellStyle name="Normal 4 2 4 3 2 2" xfId="6503" xr:uid="{00000000-0005-0000-0000-00006D8E0000}"/>
    <cellStyle name="Normal 4 2 4 3 2 2 2" xfId="8651" xr:uid="{00000000-0005-0000-0000-00006E8E0000}"/>
    <cellStyle name="Normal 4 2 4 3 2 2 2 2" xfId="12958" xr:uid="{00000000-0005-0000-0000-00006F8E0000}"/>
    <cellStyle name="Normal 4 2 4 3 2 2 2 2 2" xfId="32428" xr:uid="{00000000-0005-0000-0000-0000708E0000}"/>
    <cellStyle name="Normal 4 2 4 3 2 2 2 3" xfId="28131" xr:uid="{00000000-0005-0000-0000-0000718E0000}"/>
    <cellStyle name="Normal 4 2 4 3 2 2 3" xfId="10919" xr:uid="{00000000-0005-0000-0000-0000728E0000}"/>
    <cellStyle name="Normal 4 2 4 3 2 2 3 2" xfId="30389" xr:uid="{00000000-0005-0000-0000-0000738E0000}"/>
    <cellStyle name="Normal 4 2 4 3 2 2 4" xfId="25988" xr:uid="{00000000-0005-0000-0000-0000748E0000}"/>
    <cellStyle name="Normal 4 2 4 3 2 3" xfId="8650" xr:uid="{00000000-0005-0000-0000-0000758E0000}"/>
    <cellStyle name="Normal 4 2 4 3 2 3 2" xfId="12957" xr:uid="{00000000-0005-0000-0000-0000768E0000}"/>
    <cellStyle name="Normal 4 2 4 3 2 3 2 2" xfId="32427" xr:uid="{00000000-0005-0000-0000-0000778E0000}"/>
    <cellStyle name="Normal 4 2 4 3 2 3 3" xfId="28130" xr:uid="{00000000-0005-0000-0000-0000788E0000}"/>
    <cellStyle name="Normal 4 2 4 3 2 4" xfId="9858" xr:uid="{00000000-0005-0000-0000-0000798E0000}"/>
    <cellStyle name="Normal 4 2 4 3 2 4 2" xfId="29328" xr:uid="{00000000-0005-0000-0000-00007A8E0000}"/>
    <cellStyle name="Normal 4 2 4 3 2 5" xfId="24866" xr:uid="{00000000-0005-0000-0000-00007B8E0000}"/>
    <cellStyle name="Normal 4 2 4 3 3" xfId="5966" xr:uid="{00000000-0005-0000-0000-00007C8E0000}"/>
    <cellStyle name="Normal 4 2 4 3 3 2" xfId="8652" xr:uid="{00000000-0005-0000-0000-00007D8E0000}"/>
    <cellStyle name="Normal 4 2 4 3 3 2 2" xfId="12959" xr:uid="{00000000-0005-0000-0000-00007E8E0000}"/>
    <cellStyle name="Normal 4 2 4 3 3 2 2 2" xfId="32429" xr:uid="{00000000-0005-0000-0000-00007F8E0000}"/>
    <cellStyle name="Normal 4 2 4 3 3 2 3" xfId="28132" xr:uid="{00000000-0005-0000-0000-0000808E0000}"/>
    <cellStyle name="Normal 4 2 4 3 3 3" xfId="10388" xr:uid="{00000000-0005-0000-0000-0000818E0000}"/>
    <cellStyle name="Normal 4 2 4 3 3 3 2" xfId="29858" xr:uid="{00000000-0005-0000-0000-0000828E0000}"/>
    <cellStyle name="Normal 4 2 4 3 3 4" xfId="25451" xr:uid="{00000000-0005-0000-0000-0000838E0000}"/>
    <cellStyle name="Normal 4 2 4 3 4" xfId="8649" xr:uid="{00000000-0005-0000-0000-0000848E0000}"/>
    <cellStyle name="Normal 4 2 4 3 4 2" xfId="12956" xr:uid="{00000000-0005-0000-0000-0000858E0000}"/>
    <cellStyle name="Normal 4 2 4 3 4 2 2" xfId="32426" xr:uid="{00000000-0005-0000-0000-0000868E0000}"/>
    <cellStyle name="Normal 4 2 4 3 4 3" xfId="28129" xr:uid="{00000000-0005-0000-0000-0000878E0000}"/>
    <cellStyle name="Normal 4 2 4 3 5" xfId="9328" xr:uid="{00000000-0005-0000-0000-0000888E0000}"/>
    <cellStyle name="Normal 4 2 4 3 5 2" xfId="28798" xr:uid="{00000000-0005-0000-0000-0000898E0000}"/>
    <cellStyle name="Normal 4 2 4 3 6" xfId="24250" xr:uid="{00000000-0005-0000-0000-00008A8E0000}"/>
    <cellStyle name="Normal 4 2 4 4" xfId="5076" xr:uid="{00000000-0005-0000-0000-00008B8E0000}"/>
    <cellStyle name="Normal 4 2 4 4 2" xfId="6236" xr:uid="{00000000-0005-0000-0000-00008C8E0000}"/>
    <cellStyle name="Normal 4 2 4 4 2 2" xfId="8654" xr:uid="{00000000-0005-0000-0000-00008D8E0000}"/>
    <cellStyle name="Normal 4 2 4 4 2 2 2" xfId="12961" xr:uid="{00000000-0005-0000-0000-00008E8E0000}"/>
    <cellStyle name="Normal 4 2 4 4 2 2 2 2" xfId="32431" xr:uid="{00000000-0005-0000-0000-00008F8E0000}"/>
    <cellStyle name="Normal 4 2 4 4 2 2 3" xfId="28134" xr:uid="{00000000-0005-0000-0000-0000908E0000}"/>
    <cellStyle name="Normal 4 2 4 4 2 3" xfId="10653" xr:uid="{00000000-0005-0000-0000-0000918E0000}"/>
    <cellStyle name="Normal 4 2 4 4 2 3 2" xfId="30123" xr:uid="{00000000-0005-0000-0000-0000928E0000}"/>
    <cellStyle name="Normal 4 2 4 4 2 4" xfId="25721" xr:uid="{00000000-0005-0000-0000-0000938E0000}"/>
    <cellStyle name="Normal 4 2 4 4 3" xfId="8653" xr:uid="{00000000-0005-0000-0000-0000948E0000}"/>
    <cellStyle name="Normal 4 2 4 4 3 2" xfId="12960" xr:uid="{00000000-0005-0000-0000-0000958E0000}"/>
    <cellStyle name="Normal 4 2 4 4 3 2 2" xfId="32430" xr:uid="{00000000-0005-0000-0000-0000968E0000}"/>
    <cellStyle name="Normal 4 2 4 4 3 3" xfId="28133" xr:uid="{00000000-0005-0000-0000-0000978E0000}"/>
    <cellStyle name="Normal 4 2 4 4 4" xfId="9593" xr:uid="{00000000-0005-0000-0000-0000988E0000}"/>
    <cellStyle name="Normal 4 2 4 4 4 2" xfId="29063" xr:uid="{00000000-0005-0000-0000-0000998E0000}"/>
    <cellStyle name="Normal 4 2 4 4 5" xfId="24568" xr:uid="{00000000-0005-0000-0000-00009A8E0000}"/>
    <cellStyle name="Normal 4 2 4 5" xfId="5687" xr:uid="{00000000-0005-0000-0000-00009B8E0000}"/>
    <cellStyle name="Normal 4 2 4 5 2" xfId="8655" xr:uid="{00000000-0005-0000-0000-00009C8E0000}"/>
    <cellStyle name="Normal 4 2 4 5 2 2" xfId="12962" xr:uid="{00000000-0005-0000-0000-00009D8E0000}"/>
    <cellStyle name="Normal 4 2 4 5 2 2 2" xfId="32432" xr:uid="{00000000-0005-0000-0000-00009E8E0000}"/>
    <cellStyle name="Normal 4 2 4 5 2 3" xfId="28135" xr:uid="{00000000-0005-0000-0000-00009F8E0000}"/>
    <cellStyle name="Normal 4 2 4 5 3" xfId="10123" xr:uid="{00000000-0005-0000-0000-0000A08E0000}"/>
    <cellStyle name="Normal 4 2 4 5 3 2" xfId="29593" xr:uid="{00000000-0005-0000-0000-0000A18E0000}"/>
    <cellStyle name="Normal 4 2 4 5 4" xfId="25173" xr:uid="{00000000-0005-0000-0000-0000A28E0000}"/>
    <cellStyle name="Normal 4 2 4 6" xfId="8640" xr:uid="{00000000-0005-0000-0000-0000A38E0000}"/>
    <cellStyle name="Normal 4 2 4 6 2" xfId="12947" xr:uid="{00000000-0005-0000-0000-0000A48E0000}"/>
    <cellStyle name="Normal 4 2 4 6 2 2" xfId="32417" xr:uid="{00000000-0005-0000-0000-0000A58E0000}"/>
    <cellStyle name="Normal 4 2 4 6 3" xfId="28120" xr:uid="{00000000-0005-0000-0000-0000A68E0000}"/>
    <cellStyle name="Normal 4 2 4 7" xfId="9061" xr:uid="{00000000-0005-0000-0000-0000A78E0000}"/>
    <cellStyle name="Normal 4 2 4 7 2" xfId="28533" xr:uid="{00000000-0005-0000-0000-0000A88E0000}"/>
    <cellStyle name="Normal 4 2 4 8" xfId="23943" xr:uid="{00000000-0005-0000-0000-0000A98E0000}"/>
    <cellStyle name="Normal 4 2 5" xfId="4171" xr:uid="{00000000-0005-0000-0000-0000AA8E0000}"/>
    <cellStyle name="Normal 4 2 5 2" xfId="4770" xr:uid="{00000000-0005-0000-0000-0000AB8E0000}"/>
    <cellStyle name="Normal 4 2 5 2 2" xfId="5397" xr:uid="{00000000-0005-0000-0000-0000AC8E0000}"/>
    <cellStyle name="Normal 4 2 5 2 2 2" xfId="6525" xr:uid="{00000000-0005-0000-0000-0000AD8E0000}"/>
    <cellStyle name="Normal 4 2 5 2 2 2 2" xfId="8659" xr:uid="{00000000-0005-0000-0000-0000AE8E0000}"/>
    <cellStyle name="Normal 4 2 5 2 2 2 2 2" xfId="12966" xr:uid="{00000000-0005-0000-0000-0000AF8E0000}"/>
    <cellStyle name="Normal 4 2 5 2 2 2 2 2 2" xfId="32436" xr:uid="{00000000-0005-0000-0000-0000B08E0000}"/>
    <cellStyle name="Normal 4 2 5 2 2 2 2 3" xfId="28139" xr:uid="{00000000-0005-0000-0000-0000B18E0000}"/>
    <cellStyle name="Normal 4 2 5 2 2 2 3" xfId="10941" xr:uid="{00000000-0005-0000-0000-0000B28E0000}"/>
    <cellStyle name="Normal 4 2 5 2 2 2 3 2" xfId="30411" xr:uid="{00000000-0005-0000-0000-0000B38E0000}"/>
    <cellStyle name="Normal 4 2 5 2 2 2 4" xfId="26010" xr:uid="{00000000-0005-0000-0000-0000B48E0000}"/>
    <cellStyle name="Normal 4 2 5 2 2 3" xfId="8658" xr:uid="{00000000-0005-0000-0000-0000B58E0000}"/>
    <cellStyle name="Normal 4 2 5 2 2 3 2" xfId="12965" xr:uid="{00000000-0005-0000-0000-0000B68E0000}"/>
    <cellStyle name="Normal 4 2 5 2 2 3 2 2" xfId="32435" xr:uid="{00000000-0005-0000-0000-0000B78E0000}"/>
    <cellStyle name="Normal 4 2 5 2 2 3 3" xfId="28138" xr:uid="{00000000-0005-0000-0000-0000B88E0000}"/>
    <cellStyle name="Normal 4 2 5 2 2 4" xfId="9880" xr:uid="{00000000-0005-0000-0000-0000B98E0000}"/>
    <cellStyle name="Normal 4 2 5 2 2 4 2" xfId="29350" xr:uid="{00000000-0005-0000-0000-0000BA8E0000}"/>
    <cellStyle name="Normal 4 2 5 2 2 5" xfId="24888" xr:uid="{00000000-0005-0000-0000-0000BB8E0000}"/>
    <cellStyle name="Normal 4 2 5 2 3" xfId="5988" xr:uid="{00000000-0005-0000-0000-0000BC8E0000}"/>
    <cellStyle name="Normal 4 2 5 2 3 2" xfId="8660" xr:uid="{00000000-0005-0000-0000-0000BD8E0000}"/>
    <cellStyle name="Normal 4 2 5 2 3 2 2" xfId="12967" xr:uid="{00000000-0005-0000-0000-0000BE8E0000}"/>
    <cellStyle name="Normal 4 2 5 2 3 2 2 2" xfId="32437" xr:uid="{00000000-0005-0000-0000-0000BF8E0000}"/>
    <cellStyle name="Normal 4 2 5 2 3 2 3" xfId="28140" xr:uid="{00000000-0005-0000-0000-0000C08E0000}"/>
    <cellStyle name="Normal 4 2 5 2 3 3" xfId="10410" xr:uid="{00000000-0005-0000-0000-0000C18E0000}"/>
    <cellStyle name="Normal 4 2 5 2 3 3 2" xfId="29880" xr:uid="{00000000-0005-0000-0000-0000C28E0000}"/>
    <cellStyle name="Normal 4 2 5 2 3 4" xfId="25473" xr:uid="{00000000-0005-0000-0000-0000C38E0000}"/>
    <cellStyle name="Normal 4 2 5 2 4" xfId="8657" xr:uid="{00000000-0005-0000-0000-0000C48E0000}"/>
    <cellStyle name="Normal 4 2 5 2 4 2" xfId="12964" xr:uid="{00000000-0005-0000-0000-0000C58E0000}"/>
    <cellStyle name="Normal 4 2 5 2 4 2 2" xfId="32434" xr:uid="{00000000-0005-0000-0000-0000C68E0000}"/>
    <cellStyle name="Normal 4 2 5 2 4 3" xfId="28137" xr:uid="{00000000-0005-0000-0000-0000C78E0000}"/>
    <cellStyle name="Normal 4 2 5 2 5" xfId="9350" xr:uid="{00000000-0005-0000-0000-0000C88E0000}"/>
    <cellStyle name="Normal 4 2 5 2 5 2" xfId="28820" xr:uid="{00000000-0005-0000-0000-0000C98E0000}"/>
    <cellStyle name="Normal 4 2 5 2 6" xfId="24273" xr:uid="{00000000-0005-0000-0000-0000CA8E0000}"/>
    <cellStyle name="Normal 4 2 5 3" xfId="5102" xr:uid="{00000000-0005-0000-0000-0000CB8E0000}"/>
    <cellStyle name="Normal 4 2 5 3 2" xfId="6258" xr:uid="{00000000-0005-0000-0000-0000CC8E0000}"/>
    <cellStyle name="Normal 4 2 5 3 2 2" xfId="8662" xr:uid="{00000000-0005-0000-0000-0000CD8E0000}"/>
    <cellStyle name="Normal 4 2 5 3 2 2 2" xfId="12969" xr:uid="{00000000-0005-0000-0000-0000CE8E0000}"/>
    <cellStyle name="Normal 4 2 5 3 2 2 2 2" xfId="32439" xr:uid="{00000000-0005-0000-0000-0000CF8E0000}"/>
    <cellStyle name="Normal 4 2 5 3 2 2 3" xfId="28142" xr:uid="{00000000-0005-0000-0000-0000D08E0000}"/>
    <cellStyle name="Normal 4 2 5 3 2 3" xfId="10675" xr:uid="{00000000-0005-0000-0000-0000D18E0000}"/>
    <cellStyle name="Normal 4 2 5 3 2 3 2" xfId="30145" xr:uid="{00000000-0005-0000-0000-0000D28E0000}"/>
    <cellStyle name="Normal 4 2 5 3 2 4" xfId="25743" xr:uid="{00000000-0005-0000-0000-0000D38E0000}"/>
    <cellStyle name="Normal 4 2 5 3 3" xfId="8661" xr:uid="{00000000-0005-0000-0000-0000D48E0000}"/>
    <cellStyle name="Normal 4 2 5 3 3 2" xfId="12968" xr:uid="{00000000-0005-0000-0000-0000D58E0000}"/>
    <cellStyle name="Normal 4 2 5 3 3 2 2" xfId="32438" xr:uid="{00000000-0005-0000-0000-0000D68E0000}"/>
    <cellStyle name="Normal 4 2 5 3 3 3" xfId="28141" xr:uid="{00000000-0005-0000-0000-0000D78E0000}"/>
    <cellStyle name="Normal 4 2 5 3 4" xfId="9615" xr:uid="{00000000-0005-0000-0000-0000D88E0000}"/>
    <cellStyle name="Normal 4 2 5 3 4 2" xfId="29085" xr:uid="{00000000-0005-0000-0000-0000D98E0000}"/>
    <cellStyle name="Normal 4 2 5 3 5" xfId="24593" xr:uid="{00000000-0005-0000-0000-0000DA8E0000}"/>
    <cellStyle name="Normal 4 2 5 4" xfId="5711" xr:uid="{00000000-0005-0000-0000-0000DB8E0000}"/>
    <cellStyle name="Normal 4 2 5 4 2" xfId="8663" xr:uid="{00000000-0005-0000-0000-0000DC8E0000}"/>
    <cellStyle name="Normal 4 2 5 4 2 2" xfId="12970" xr:uid="{00000000-0005-0000-0000-0000DD8E0000}"/>
    <cellStyle name="Normal 4 2 5 4 2 2 2" xfId="32440" xr:uid="{00000000-0005-0000-0000-0000DE8E0000}"/>
    <cellStyle name="Normal 4 2 5 4 2 3" xfId="28143" xr:uid="{00000000-0005-0000-0000-0000DF8E0000}"/>
    <cellStyle name="Normal 4 2 5 4 3" xfId="10145" xr:uid="{00000000-0005-0000-0000-0000E08E0000}"/>
    <cellStyle name="Normal 4 2 5 4 3 2" xfId="29615" xr:uid="{00000000-0005-0000-0000-0000E18E0000}"/>
    <cellStyle name="Normal 4 2 5 4 4" xfId="25196" xr:uid="{00000000-0005-0000-0000-0000E28E0000}"/>
    <cellStyle name="Normal 4 2 5 5" xfId="8656" xr:uid="{00000000-0005-0000-0000-0000E38E0000}"/>
    <cellStyle name="Normal 4 2 5 5 2" xfId="12963" xr:uid="{00000000-0005-0000-0000-0000E48E0000}"/>
    <cellStyle name="Normal 4 2 5 5 2 2" xfId="32433" xr:uid="{00000000-0005-0000-0000-0000E58E0000}"/>
    <cellStyle name="Normal 4 2 5 5 3" xfId="28136" xr:uid="{00000000-0005-0000-0000-0000E68E0000}"/>
    <cellStyle name="Normal 4 2 5 6" xfId="9084" xr:uid="{00000000-0005-0000-0000-0000E78E0000}"/>
    <cellStyle name="Normal 4 2 5 6 2" xfId="28555" xr:uid="{00000000-0005-0000-0000-0000E88E0000}"/>
    <cellStyle name="Normal 4 2 5 7" xfId="23971" xr:uid="{00000000-0005-0000-0000-0000E98E0000}"/>
    <cellStyle name="Normal 4 3" xfId="2154" xr:uid="{00000000-0005-0000-0000-0000EA8E0000}"/>
    <cellStyle name="Normal 4 4" xfId="4150" xr:uid="{00000000-0005-0000-0000-0000EB8E0000}"/>
    <cellStyle name="Normal 4 4 2" xfId="4768" xr:uid="{00000000-0005-0000-0000-0000EC8E0000}"/>
    <cellStyle name="Normal 40" xfId="8903" xr:uid="{00000000-0005-0000-0000-0000ED8E0000}"/>
    <cellStyle name="Normal 40 2" xfId="28379" xr:uid="{00000000-0005-0000-0000-0000EE8E0000}"/>
    <cellStyle name="Normal 41" xfId="8904" xr:uid="{00000000-0005-0000-0000-0000EF8E0000}"/>
    <cellStyle name="Normal 41 2" xfId="28380" xr:uid="{00000000-0005-0000-0000-0000F08E0000}"/>
    <cellStyle name="Normal 42" xfId="8905" xr:uid="{00000000-0005-0000-0000-0000F18E0000}"/>
    <cellStyle name="Normal 42 2" xfId="28381" xr:uid="{00000000-0005-0000-0000-0000F28E0000}"/>
    <cellStyle name="Normal 43" xfId="8906" xr:uid="{00000000-0005-0000-0000-0000F38E0000}"/>
    <cellStyle name="Normal 43 2" xfId="28382" xr:uid="{00000000-0005-0000-0000-0000F48E0000}"/>
    <cellStyle name="Normal 44" xfId="8907" xr:uid="{00000000-0005-0000-0000-0000F58E0000}"/>
    <cellStyle name="Normal 44 2" xfId="28383" xr:uid="{00000000-0005-0000-0000-0000F68E0000}"/>
    <cellStyle name="Normal 45" xfId="13186" xr:uid="{00000000-0005-0000-0000-0000F78E0000}"/>
    <cellStyle name="Normal 46" xfId="13187" xr:uid="{00000000-0005-0000-0000-0000F88E0000}"/>
    <cellStyle name="Normal 47" xfId="13413" xr:uid="{00000000-0005-0000-0000-0000F98E0000}"/>
    <cellStyle name="Normal 48" xfId="15987" xr:uid="{00000000-0005-0000-0000-0000FA8E0000}"/>
    <cellStyle name="Normal 49" xfId="20880" xr:uid="{00000000-0005-0000-0000-0000FB8E0000}"/>
    <cellStyle name="Normal 5" xfId="1678" xr:uid="{00000000-0005-0000-0000-0000FC8E0000}"/>
    <cellStyle name="Normal 5 2" xfId="1997" xr:uid="{00000000-0005-0000-0000-0000FD8E0000}"/>
    <cellStyle name="Normal 5 3" xfId="4172" xr:uid="{00000000-0005-0000-0000-0000FE8E0000}"/>
    <cellStyle name="Normal 5 4" xfId="13309" xr:uid="{00000000-0005-0000-0000-0000FF8E0000}"/>
    <cellStyle name="Normal 50" xfId="23393" xr:uid="{00000000-0005-0000-0000-0000008F0000}"/>
    <cellStyle name="Normal 50 2" xfId="42735" xr:uid="{00000000-0005-0000-0000-0000018F0000}"/>
    <cellStyle name="Normal 51" xfId="42741" xr:uid="{00000000-0005-0000-0000-0000028F0000}"/>
    <cellStyle name="Normal 52" xfId="42742" xr:uid="{7053CF06-A086-4B41-93D5-AFAAD709A25E}"/>
    <cellStyle name="Normal 53" xfId="42744" xr:uid="{CF700897-0413-4FF1-BAA2-66D93D565DA4}"/>
    <cellStyle name="Normal 54" xfId="42748" xr:uid="{E9E76EA0-FEDD-4E88-A505-C20240E89FDF}"/>
    <cellStyle name="Normal 55" xfId="42749" xr:uid="{C94074F2-9BA8-4DAC-AD78-7A2C2F69F91E}"/>
    <cellStyle name="Normal 56" xfId="42751" xr:uid="{AB021A38-7177-4539-854D-CA8E01296B01}"/>
    <cellStyle name="Normal 6" xfId="1679" xr:uid="{00000000-0005-0000-0000-0000038F0000}"/>
    <cellStyle name="Normal 6 2" xfId="1998" xr:uid="{00000000-0005-0000-0000-0000048F0000}"/>
    <cellStyle name="Normal 6 3" xfId="13312" xr:uid="{00000000-0005-0000-0000-0000058F0000}"/>
    <cellStyle name="Normal 7" xfId="1680" xr:uid="{00000000-0005-0000-0000-0000068F0000}"/>
    <cellStyle name="Normal 7 2" xfId="1999" xr:uid="{00000000-0005-0000-0000-0000078F0000}"/>
    <cellStyle name="Normal 7 3" xfId="13325" xr:uid="{00000000-0005-0000-0000-0000088F0000}"/>
    <cellStyle name="Normal 8" xfId="1681" xr:uid="{00000000-0005-0000-0000-0000098F0000}"/>
    <cellStyle name="Normal 8 2" xfId="2000" xr:uid="{00000000-0005-0000-0000-00000A8F0000}"/>
    <cellStyle name="Normal 8 3" xfId="2688" xr:uid="{00000000-0005-0000-0000-00000B8F0000}"/>
    <cellStyle name="Normal 8 3 2" xfId="13415" xr:uid="{00000000-0005-0000-0000-00000C8F0000}"/>
    <cellStyle name="Normal 8 4" xfId="13314" xr:uid="{00000000-0005-0000-0000-00000D8F0000}"/>
    <cellStyle name="Normal 9" xfId="1682" xr:uid="{00000000-0005-0000-0000-00000E8F0000}"/>
    <cellStyle name="Normal 9 2" xfId="4198" xr:uid="{00000000-0005-0000-0000-00000F8F0000}"/>
    <cellStyle name="Normal 9 3" xfId="13323" xr:uid="{00000000-0005-0000-0000-0000108F0000}"/>
    <cellStyle name="Normal Cells" xfId="1683" xr:uid="{00000000-0005-0000-0000-0000118F0000}"/>
    <cellStyle name="Normal_B-S" xfId="1684" xr:uid="{00000000-0005-0000-0000-0000178F0000}"/>
    <cellStyle name="Normal_document(1)" xfId="1685" xr:uid="{00000000-0005-0000-0000-00001B8F0000}"/>
    <cellStyle name="Normal_document(1) 2" xfId="1686" xr:uid="{00000000-0005-0000-0000-00001C8F0000}"/>
    <cellStyle name="Normal_mrk_is2" xfId="1687" xr:uid="{00000000-0005-0000-0000-00001F8F0000}"/>
    <cellStyle name="Normal_spine 2" xfId="42754" xr:uid="{490F8F19-E939-41A4-AF41-913BDD33CBB6}"/>
    <cellStyle name="Normal2" xfId="3992" xr:uid="{00000000-0005-0000-0000-0000248F0000}"/>
    <cellStyle name="NormalGB" xfId="3993" xr:uid="{00000000-0005-0000-0000-0000258F0000}"/>
    <cellStyle name="Note" xfId="1688" builtinId="10" customBuiltin="1"/>
    <cellStyle name="Note 10" xfId="23424" xr:uid="{00000000-0005-0000-0000-0000278F0000}"/>
    <cellStyle name="Note 2" xfId="2086" xr:uid="{00000000-0005-0000-0000-0000288F0000}"/>
    <cellStyle name="Note 2 10" xfId="23474" xr:uid="{00000000-0005-0000-0000-0000298F0000}"/>
    <cellStyle name="Note 2 2" xfId="2645" xr:uid="{00000000-0005-0000-0000-00002A8F0000}"/>
    <cellStyle name="Note 2 2 10" xfId="23538" xr:uid="{00000000-0005-0000-0000-00002B8F0000}"/>
    <cellStyle name="Note 2 2 2" xfId="3994" xr:uid="{00000000-0005-0000-0000-00002C8F0000}"/>
    <cellStyle name="Note 2 2 2 10" xfId="13366" xr:uid="{00000000-0005-0000-0000-00002D8F0000}"/>
    <cellStyle name="Note 2 2 2 10 2" xfId="32765" xr:uid="{00000000-0005-0000-0000-00002E8F0000}"/>
    <cellStyle name="Note 2 2 2 11" xfId="20960" xr:uid="{00000000-0005-0000-0000-00002F8F0000}"/>
    <cellStyle name="Note 2 2 2 11 2" xfId="40302" xr:uid="{00000000-0005-0000-0000-0000308F0000}"/>
    <cellStyle name="Note 2 2 2 12" xfId="23944" xr:uid="{00000000-0005-0000-0000-0000318F0000}"/>
    <cellStyle name="Note 2 2 2 2" xfId="4274" xr:uid="{00000000-0005-0000-0000-0000328F0000}"/>
    <cellStyle name="Note 2 2 2 2 2" xfId="4849" xr:uid="{00000000-0005-0000-0000-0000338F0000}"/>
    <cellStyle name="Note 2 2 2 2 2 10" xfId="24351" xr:uid="{00000000-0005-0000-0000-0000348F0000}"/>
    <cellStyle name="Note 2 2 2 2 2 2" xfId="5474" xr:uid="{00000000-0005-0000-0000-0000358F0000}"/>
    <cellStyle name="Note 2 2 2 2 2 2 2" xfId="6602" xr:uid="{00000000-0005-0000-0000-0000368F0000}"/>
    <cellStyle name="Note 2 2 2 2 2 2 2 2" xfId="8668" xr:uid="{00000000-0005-0000-0000-0000378F0000}"/>
    <cellStyle name="Note 2 2 2 2 2 2 2 2 2" xfId="12975" xr:uid="{00000000-0005-0000-0000-0000388F0000}"/>
    <cellStyle name="Note 2 2 2 2 2 2 2 2 2 2" xfId="32445" xr:uid="{00000000-0005-0000-0000-0000398F0000}"/>
    <cellStyle name="Note 2 2 2 2 2 2 2 2 3" xfId="28148" xr:uid="{00000000-0005-0000-0000-00003A8F0000}"/>
    <cellStyle name="Note 2 2 2 2 2 2 2 3" xfId="11018" xr:uid="{00000000-0005-0000-0000-00003B8F0000}"/>
    <cellStyle name="Note 2 2 2 2 2 2 2 3 2" xfId="30488" xr:uid="{00000000-0005-0000-0000-00003C8F0000}"/>
    <cellStyle name="Note 2 2 2 2 2 2 2 4" xfId="26087" xr:uid="{00000000-0005-0000-0000-00003D8F0000}"/>
    <cellStyle name="Note 2 2 2 2 2 2 3" xfId="8667" xr:uid="{00000000-0005-0000-0000-00003E8F0000}"/>
    <cellStyle name="Note 2 2 2 2 2 2 3 2" xfId="12974" xr:uid="{00000000-0005-0000-0000-00003F8F0000}"/>
    <cellStyle name="Note 2 2 2 2 2 2 3 2 2" xfId="32444" xr:uid="{00000000-0005-0000-0000-0000408F0000}"/>
    <cellStyle name="Note 2 2 2 2 2 2 3 3" xfId="28147" xr:uid="{00000000-0005-0000-0000-0000418F0000}"/>
    <cellStyle name="Note 2 2 2 2 2 2 4" xfId="9957" xr:uid="{00000000-0005-0000-0000-0000428F0000}"/>
    <cellStyle name="Note 2 2 2 2 2 2 4 2" xfId="29427" xr:uid="{00000000-0005-0000-0000-0000438F0000}"/>
    <cellStyle name="Note 2 2 2 2 2 2 5" xfId="14681" xr:uid="{00000000-0005-0000-0000-0000448F0000}"/>
    <cellStyle name="Note 2 2 2 2 2 2 5 2" xfId="34042" xr:uid="{00000000-0005-0000-0000-0000458F0000}"/>
    <cellStyle name="Note 2 2 2 2 2 2 6" xfId="17162" xr:uid="{00000000-0005-0000-0000-0000468F0000}"/>
    <cellStyle name="Note 2 2 2 2 2 2 6 2" xfId="36516" xr:uid="{00000000-0005-0000-0000-0000478F0000}"/>
    <cellStyle name="Note 2 2 2 2 2 2 7" xfId="19593" xr:uid="{00000000-0005-0000-0000-0000488F0000}"/>
    <cellStyle name="Note 2 2 2 2 2 2 7 2" xfId="38946" xr:uid="{00000000-0005-0000-0000-0000498F0000}"/>
    <cellStyle name="Note 2 2 2 2 2 2 8" xfId="22101" xr:uid="{00000000-0005-0000-0000-00004A8F0000}"/>
    <cellStyle name="Note 2 2 2 2 2 2 8 2" xfId="41443" xr:uid="{00000000-0005-0000-0000-00004B8F0000}"/>
    <cellStyle name="Note 2 2 2 2 2 2 9" xfId="24965" xr:uid="{00000000-0005-0000-0000-00004C8F0000}"/>
    <cellStyle name="Note 2 2 2 2 2 3" xfId="6067" xr:uid="{00000000-0005-0000-0000-00004D8F0000}"/>
    <cellStyle name="Note 2 2 2 2 2 3 2" xfId="8669" xr:uid="{00000000-0005-0000-0000-00004E8F0000}"/>
    <cellStyle name="Note 2 2 2 2 2 3 2 2" xfId="12976" xr:uid="{00000000-0005-0000-0000-00004F8F0000}"/>
    <cellStyle name="Note 2 2 2 2 2 3 2 2 2" xfId="32446" xr:uid="{00000000-0005-0000-0000-0000508F0000}"/>
    <cellStyle name="Note 2 2 2 2 2 3 2 3" xfId="28149" xr:uid="{00000000-0005-0000-0000-0000518F0000}"/>
    <cellStyle name="Note 2 2 2 2 2 3 3" xfId="10487" xr:uid="{00000000-0005-0000-0000-0000528F0000}"/>
    <cellStyle name="Note 2 2 2 2 2 3 3 2" xfId="29957" xr:uid="{00000000-0005-0000-0000-0000538F0000}"/>
    <cellStyle name="Note 2 2 2 2 2 3 4" xfId="15233" xr:uid="{00000000-0005-0000-0000-0000548F0000}"/>
    <cellStyle name="Note 2 2 2 2 2 3 4 2" xfId="34594" xr:uid="{00000000-0005-0000-0000-0000558F0000}"/>
    <cellStyle name="Note 2 2 2 2 2 3 5" xfId="17709" xr:uid="{00000000-0005-0000-0000-0000568F0000}"/>
    <cellStyle name="Note 2 2 2 2 2 3 5 2" xfId="37063" xr:uid="{00000000-0005-0000-0000-0000578F0000}"/>
    <cellStyle name="Note 2 2 2 2 2 3 6" xfId="20140" xr:uid="{00000000-0005-0000-0000-0000588F0000}"/>
    <cellStyle name="Note 2 2 2 2 2 3 6 2" xfId="39493" xr:uid="{00000000-0005-0000-0000-0000598F0000}"/>
    <cellStyle name="Note 2 2 2 2 2 3 7" xfId="22653" xr:uid="{00000000-0005-0000-0000-00005A8F0000}"/>
    <cellStyle name="Note 2 2 2 2 2 3 7 2" xfId="41995" xr:uid="{00000000-0005-0000-0000-00005B8F0000}"/>
    <cellStyle name="Note 2 2 2 2 2 3 8" xfId="25552" xr:uid="{00000000-0005-0000-0000-00005C8F0000}"/>
    <cellStyle name="Note 2 2 2 2 2 4" xfId="8666" xr:uid="{00000000-0005-0000-0000-00005D8F0000}"/>
    <cellStyle name="Note 2 2 2 2 2 4 2" xfId="12973" xr:uid="{00000000-0005-0000-0000-00005E8F0000}"/>
    <cellStyle name="Note 2 2 2 2 2 4 2 2" xfId="32443" xr:uid="{00000000-0005-0000-0000-00005F8F0000}"/>
    <cellStyle name="Note 2 2 2 2 2 4 3" xfId="15703" xr:uid="{00000000-0005-0000-0000-0000608F0000}"/>
    <cellStyle name="Note 2 2 2 2 2 4 3 2" xfId="35064" xr:uid="{00000000-0005-0000-0000-0000618F0000}"/>
    <cellStyle name="Note 2 2 2 2 2 4 4" xfId="18179" xr:uid="{00000000-0005-0000-0000-0000628F0000}"/>
    <cellStyle name="Note 2 2 2 2 2 4 4 2" xfId="37533" xr:uid="{00000000-0005-0000-0000-0000638F0000}"/>
    <cellStyle name="Note 2 2 2 2 2 4 5" xfId="20610" xr:uid="{00000000-0005-0000-0000-0000648F0000}"/>
    <cellStyle name="Note 2 2 2 2 2 4 5 2" xfId="39963" xr:uid="{00000000-0005-0000-0000-0000658F0000}"/>
    <cellStyle name="Note 2 2 2 2 2 4 6" xfId="23123" xr:uid="{00000000-0005-0000-0000-0000668F0000}"/>
    <cellStyle name="Note 2 2 2 2 2 4 6 2" xfId="42465" xr:uid="{00000000-0005-0000-0000-0000678F0000}"/>
    <cellStyle name="Note 2 2 2 2 2 4 7" xfId="28146" xr:uid="{00000000-0005-0000-0000-0000688F0000}"/>
    <cellStyle name="Note 2 2 2 2 2 5" xfId="9427" xr:uid="{00000000-0005-0000-0000-0000698F0000}"/>
    <cellStyle name="Note 2 2 2 2 2 5 2" xfId="28897" xr:uid="{00000000-0005-0000-0000-00006A8F0000}"/>
    <cellStyle name="Note 2 2 2 2 2 6" xfId="13886" xr:uid="{00000000-0005-0000-0000-00006B8F0000}"/>
    <cellStyle name="Note 2 2 2 2 2 6 2" xfId="33250" xr:uid="{00000000-0005-0000-0000-00006C8F0000}"/>
    <cellStyle name="Note 2 2 2 2 2 7" xfId="16395" xr:uid="{00000000-0005-0000-0000-00006D8F0000}"/>
    <cellStyle name="Note 2 2 2 2 2 7 2" xfId="35749" xr:uid="{00000000-0005-0000-0000-00006E8F0000}"/>
    <cellStyle name="Note 2 2 2 2 2 8" xfId="18826" xr:uid="{00000000-0005-0000-0000-00006F8F0000}"/>
    <cellStyle name="Note 2 2 2 2 2 8 2" xfId="38179" xr:uid="{00000000-0005-0000-0000-0000708F0000}"/>
    <cellStyle name="Note 2 2 2 2 2 9" xfId="21309" xr:uid="{00000000-0005-0000-0000-0000718F0000}"/>
    <cellStyle name="Note 2 2 2 2 2 9 2" xfId="40651" xr:uid="{00000000-0005-0000-0000-0000728F0000}"/>
    <cellStyle name="Note 2 2 2 2 3" xfId="5179" xr:uid="{00000000-0005-0000-0000-0000738F0000}"/>
    <cellStyle name="Note 2 2 2 2 3 2" xfId="6335" xr:uid="{00000000-0005-0000-0000-0000748F0000}"/>
    <cellStyle name="Note 2 2 2 2 3 2 2" xfId="8671" xr:uid="{00000000-0005-0000-0000-0000758F0000}"/>
    <cellStyle name="Note 2 2 2 2 3 2 2 2" xfId="12978" xr:uid="{00000000-0005-0000-0000-0000768F0000}"/>
    <cellStyle name="Note 2 2 2 2 3 2 2 2 2" xfId="32448" xr:uid="{00000000-0005-0000-0000-0000778F0000}"/>
    <cellStyle name="Note 2 2 2 2 3 2 2 3" xfId="28151" xr:uid="{00000000-0005-0000-0000-0000788F0000}"/>
    <cellStyle name="Note 2 2 2 2 3 2 3" xfId="10752" xr:uid="{00000000-0005-0000-0000-0000798F0000}"/>
    <cellStyle name="Note 2 2 2 2 3 2 3 2" xfId="30222" xr:uid="{00000000-0005-0000-0000-00007A8F0000}"/>
    <cellStyle name="Note 2 2 2 2 3 2 4" xfId="14885" xr:uid="{00000000-0005-0000-0000-00007B8F0000}"/>
    <cellStyle name="Note 2 2 2 2 3 2 4 2" xfId="34246" xr:uid="{00000000-0005-0000-0000-00007C8F0000}"/>
    <cellStyle name="Note 2 2 2 2 3 2 5" xfId="17363" xr:uid="{00000000-0005-0000-0000-00007D8F0000}"/>
    <cellStyle name="Note 2 2 2 2 3 2 5 2" xfId="36717" xr:uid="{00000000-0005-0000-0000-00007E8F0000}"/>
    <cellStyle name="Note 2 2 2 2 3 2 6" xfId="19794" xr:uid="{00000000-0005-0000-0000-00007F8F0000}"/>
    <cellStyle name="Note 2 2 2 2 3 2 6 2" xfId="39147" xr:uid="{00000000-0005-0000-0000-0000808F0000}"/>
    <cellStyle name="Note 2 2 2 2 3 2 7" xfId="22305" xr:uid="{00000000-0005-0000-0000-0000818F0000}"/>
    <cellStyle name="Note 2 2 2 2 3 2 7 2" xfId="41647" xr:uid="{00000000-0005-0000-0000-0000828F0000}"/>
    <cellStyle name="Note 2 2 2 2 3 2 8" xfId="25820" xr:uid="{00000000-0005-0000-0000-0000838F0000}"/>
    <cellStyle name="Note 2 2 2 2 3 3" xfId="8670" xr:uid="{00000000-0005-0000-0000-0000848F0000}"/>
    <cellStyle name="Note 2 2 2 2 3 3 2" xfId="12977" xr:uid="{00000000-0005-0000-0000-0000858F0000}"/>
    <cellStyle name="Note 2 2 2 2 3 3 2 2" xfId="32447" xr:uid="{00000000-0005-0000-0000-0000868F0000}"/>
    <cellStyle name="Note 2 2 2 2 3 3 3" xfId="15432" xr:uid="{00000000-0005-0000-0000-0000878F0000}"/>
    <cellStyle name="Note 2 2 2 2 3 3 3 2" xfId="34793" xr:uid="{00000000-0005-0000-0000-0000888F0000}"/>
    <cellStyle name="Note 2 2 2 2 3 3 4" xfId="17908" xr:uid="{00000000-0005-0000-0000-0000898F0000}"/>
    <cellStyle name="Note 2 2 2 2 3 3 4 2" xfId="37262" xr:uid="{00000000-0005-0000-0000-00008A8F0000}"/>
    <cellStyle name="Note 2 2 2 2 3 3 5" xfId="20339" xr:uid="{00000000-0005-0000-0000-00008B8F0000}"/>
    <cellStyle name="Note 2 2 2 2 3 3 5 2" xfId="39692" xr:uid="{00000000-0005-0000-0000-00008C8F0000}"/>
    <cellStyle name="Note 2 2 2 2 3 3 6" xfId="22852" xr:uid="{00000000-0005-0000-0000-00008D8F0000}"/>
    <cellStyle name="Note 2 2 2 2 3 3 6 2" xfId="42194" xr:uid="{00000000-0005-0000-0000-00008E8F0000}"/>
    <cellStyle name="Note 2 2 2 2 3 3 7" xfId="28150" xr:uid="{00000000-0005-0000-0000-00008F8F0000}"/>
    <cellStyle name="Note 2 2 2 2 3 4" xfId="9692" xr:uid="{00000000-0005-0000-0000-0000908F0000}"/>
    <cellStyle name="Note 2 2 2 2 3 4 2" xfId="15891" xr:uid="{00000000-0005-0000-0000-0000918F0000}"/>
    <cellStyle name="Note 2 2 2 2 3 4 2 2" xfId="35252" xr:uid="{00000000-0005-0000-0000-0000928F0000}"/>
    <cellStyle name="Note 2 2 2 2 3 4 3" xfId="18367" xr:uid="{00000000-0005-0000-0000-0000938F0000}"/>
    <cellStyle name="Note 2 2 2 2 3 4 3 2" xfId="37721" xr:uid="{00000000-0005-0000-0000-0000948F0000}"/>
    <cellStyle name="Note 2 2 2 2 3 4 4" xfId="20798" xr:uid="{00000000-0005-0000-0000-0000958F0000}"/>
    <cellStyle name="Note 2 2 2 2 3 4 4 2" xfId="40151" xr:uid="{00000000-0005-0000-0000-0000968F0000}"/>
    <cellStyle name="Note 2 2 2 2 3 4 5" xfId="23311" xr:uid="{00000000-0005-0000-0000-0000978F0000}"/>
    <cellStyle name="Note 2 2 2 2 3 4 5 2" xfId="42653" xr:uid="{00000000-0005-0000-0000-0000988F0000}"/>
    <cellStyle name="Note 2 2 2 2 3 4 6" xfId="29162" xr:uid="{00000000-0005-0000-0000-0000998F0000}"/>
    <cellStyle name="Note 2 2 2 2 3 5" xfId="14104" xr:uid="{00000000-0005-0000-0000-00009A8F0000}"/>
    <cellStyle name="Note 2 2 2 2 3 5 2" xfId="33468" xr:uid="{00000000-0005-0000-0000-00009B8F0000}"/>
    <cellStyle name="Note 2 2 2 2 3 6" xfId="16610" xr:uid="{00000000-0005-0000-0000-00009C8F0000}"/>
    <cellStyle name="Note 2 2 2 2 3 6 2" xfId="35964" xr:uid="{00000000-0005-0000-0000-00009D8F0000}"/>
    <cellStyle name="Note 2 2 2 2 3 7" xfId="19041" xr:uid="{00000000-0005-0000-0000-00009E8F0000}"/>
    <cellStyle name="Note 2 2 2 2 3 7 2" xfId="38394" xr:uid="{00000000-0005-0000-0000-00009F8F0000}"/>
    <cellStyle name="Note 2 2 2 2 3 8" xfId="21527" xr:uid="{00000000-0005-0000-0000-0000A08F0000}"/>
    <cellStyle name="Note 2 2 2 2 3 8 2" xfId="40869" xr:uid="{00000000-0005-0000-0000-0000A18F0000}"/>
    <cellStyle name="Note 2 2 2 2 3 9" xfId="24670" xr:uid="{00000000-0005-0000-0000-0000A28F0000}"/>
    <cellStyle name="Note 2 2 2 2 4" xfId="5788" xr:uid="{00000000-0005-0000-0000-0000A38F0000}"/>
    <cellStyle name="Note 2 2 2 2 4 2" xfId="8672" xr:uid="{00000000-0005-0000-0000-0000A48F0000}"/>
    <cellStyle name="Note 2 2 2 2 4 2 2" xfId="12979" xr:uid="{00000000-0005-0000-0000-0000A58F0000}"/>
    <cellStyle name="Note 2 2 2 2 4 2 2 2" xfId="32449" xr:uid="{00000000-0005-0000-0000-0000A68F0000}"/>
    <cellStyle name="Note 2 2 2 2 4 2 3" xfId="28152" xr:uid="{00000000-0005-0000-0000-0000A78F0000}"/>
    <cellStyle name="Note 2 2 2 2 4 3" xfId="10222" xr:uid="{00000000-0005-0000-0000-0000A88F0000}"/>
    <cellStyle name="Note 2 2 2 2 4 3 2" xfId="29692" xr:uid="{00000000-0005-0000-0000-0000A98F0000}"/>
    <cellStyle name="Note 2 2 2 2 4 4" xfId="14396" xr:uid="{00000000-0005-0000-0000-0000AA8F0000}"/>
    <cellStyle name="Note 2 2 2 2 4 4 2" xfId="33757" xr:uid="{00000000-0005-0000-0000-0000AB8F0000}"/>
    <cellStyle name="Note 2 2 2 2 4 5" xfId="16889" xr:uid="{00000000-0005-0000-0000-0000AC8F0000}"/>
    <cellStyle name="Note 2 2 2 2 4 5 2" xfId="36243" xr:uid="{00000000-0005-0000-0000-0000AD8F0000}"/>
    <cellStyle name="Note 2 2 2 2 4 6" xfId="19320" xr:uid="{00000000-0005-0000-0000-0000AE8F0000}"/>
    <cellStyle name="Note 2 2 2 2 4 6 2" xfId="38673" xr:uid="{00000000-0005-0000-0000-0000AF8F0000}"/>
    <cellStyle name="Note 2 2 2 2 4 7" xfId="21816" xr:uid="{00000000-0005-0000-0000-0000B08F0000}"/>
    <cellStyle name="Note 2 2 2 2 4 7 2" xfId="41158" xr:uid="{00000000-0005-0000-0000-0000B18F0000}"/>
    <cellStyle name="Note 2 2 2 2 4 8" xfId="25273" xr:uid="{00000000-0005-0000-0000-0000B28F0000}"/>
    <cellStyle name="Note 2 2 2 2 5" xfId="8665" xr:uid="{00000000-0005-0000-0000-0000B38F0000}"/>
    <cellStyle name="Note 2 2 2 2 5 2" xfId="12972" xr:uid="{00000000-0005-0000-0000-0000B48F0000}"/>
    <cellStyle name="Note 2 2 2 2 5 2 2" xfId="32442" xr:uid="{00000000-0005-0000-0000-0000B58F0000}"/>
    <cellStyle name="Note 2 2 2 2 5 3" xfId="28145" xr:uid="{00000000-0005-0000-0000-0000B68F0000}"/>
    <cellStyle name="Note 2 2 2 2 6" xfId="9161" xr:uid="{00000000-0005-0000-0000-0000B78F0000}"/>
    <cellStyle name="Note 2 2 2 2 6 2" xfId="28632" xr:uid="{00000000-0005-0000-0000-0000B88F0000}"/>
    <cellStyle name="Note 2 2 2 2 7" xfId="13587" xr:uid="{00000000-0005-0000-0000-0000B98F0000}"/>
    <cellStyle name="Note 2 2 2 2 7 2" xfId="32953" xr:uid="{00000000-0005-0000-0000-0000BA8F0000}"/>
    <cellStyle name="Note 2 2 2 2 8" xfId="18539" xr:uid="{00000000-0005-0000-0000-0000BB8F0000}"/>
    <cellStyle name="Note 2 2 2 2 8 2" xfId="37892" xr:uid="{00000000-0005-0000-0000-0000BC8F0000}"/>
    <cellStyle name="Note 2 2 2 2 9" xfId="24050" xr:uid="{00000000-0005-0000-0000-0000BD8F0000}"/>
    <cellStyle name="Note 2 2 2 3" xfId="4745" xr:uid="{00000000-0005-0000-0000-0000BE8F0000}"/>
    <cellStyle name="Note 2 2 2 3 10" xfId="24251" xr:uid="{00000000-0005-0000-0000-0000BF8F0000}"/>
    <cellStyle name="Note 2 2 2 3 2" xfId="5376" xr:uid="{00000000-0005-0000-0000-0000C08F0000}"/>
    <cellStyle name="Note 2 2 2 3 2 2" xfId="6504" xr:uid="{00000000-0005-0000-0000-0000C18F0000}"/>
    <cellStyle name="Note 2 2 2 3 2 2 2" xfId="8675" xr:uid="{00000000-0005-0000-0000-0000C28F0000}"/>
    <cellStyle name="Note 2 2 2 3 2 2 2 2" xfId="12982" xr:uid="{00000000-0005-0000-0000-0000C38F0000}"/>
    <cellStyle name="Note 2 2 2 3 2 2 2 2 2" xfId="32452" xr:uid="{00000000-0005-0000-0000-0000C48F0000}"/>
    <cellStyle name="Note 2 2 2 3 2 2 2 3" xfId="28155" xr:uid="{00000000-0005-0000-0000-0000C58F0000}"/>
    <cellStyle name="Note 2 2 2 3 2 2 3" xfId="10920" xr:uid="{00000000-0005-0000-0000-0000C68F0000}"/>
    <cellStyle name="Note 2 2 2 3 2 2 3 2" xfId="30390" xr:uid="{00000000-0005-0000-0000-0000C78F0000}"/>
    <cellStyle name="Note 2 2 2 3 2 2 4" xfId="14748" xr:uid="{00000000-0005-0000-0000-0000C88F0000}"/>
    <cellStyle name="Note 2 2 2 3 2 2 4 2" xfId="34109" xr:uid="{00000000-0005-0000-0000-0000C98F0000}"/>
    <cellStyle name="Note 2 2 2 3 2 2 5" xfId="17226" xr:uid="{00000000-0005-0000-0000-0000CA8F0000}"/>
    <cellStyle name="Note 2 2 2 3 2 2 5 2" xfId="36580" xr:uid="{00000000-0005-0000-0000-0000CB8F0000}"/>
    <cellStyle name="Note 2 2 2 3 2 2 6" xfId="19657" xr:uid="{00000000-0005-0000-0000-0000CC8F0000}"/>
    <cellStyle name="Note 2 2 2 3 2 2 6 2" xfId="39010" xr:uid="{00000000-0005-0000-0000-0000CD8F0000}"/>
    <cellStyle name="Note 2 2 2 3 2 2 7" xfId="22168" xr:uid="{00000000-0005-0000-0000-0000CE8F0000}"/>
    <cellStyle name="Note 2 2 2 3 2 2 7 2" xfId="41510" xr:uid="{00000000-0005-0000-0000-0000CF8F0000}"/>
    <cellStyle name="Note 2 2 2 3 2 2 8" xfId="25989" xr:uid="{00000000-0005-0000-0000-0000D08F0000}"/>
    <cellStyle name="Note 2 2 2 3 2 3" xfId="8674" xr:uid="{00000000-0005-0000-0000-0000D18F0000}"/>
    <cellStyle name="Note 2 2 2 3 2 3 2" xfId="12981" xr:uid="{00000000-0005-0000-0000-0000D28F0000}"/>
    <cellStyle name="Note 2 2 2 3 2 3 2 2" xfId="32451" xr:uid="{00000000-0005-0000-0000-0000D38F0000}"/>
    <cellStyle name="Note 2 2 2 3 2 3 3" xfId="15296" xr:uid="{00000000-0005-0000-0000-0000D48F0000}"/>
    <cellStyle name="Note 2 2 2 3 2 3 3 2" xfId="34657" xr:uid="{00000000-0005-0000-0000-0000D58F0000}"/>
    <cellStyle name="Note 2 2 2 3 2 3 4" xfId="17772" xr:uid="{00000000-0005-0000-0000-0000D68F0000}"/>
    <cellStyle name="Note 2 2 2 3 2 3 4 2" xfId="37126" xr:uid="{00000000-0005-0000-0000-0000D78F0000}"/>
    <cellStyle name="Note 2 2 2 3 2 3 5" xfId="20203" xr:uid="{00000000-0005-0000-0000-0000D88F0000}"/>
    <cellStyle name="Note 2 2 2 3 2 3 5 2" xfId="39556" xr:uid="{00000000-0005-0000-0000-0000D98F0000}"/>
    <cellStyle name="Note 2 2 2 3 2 3 6" xfId="22716" xr:uid="{00000000-0005-0000-0000-0000DA8F0000}"/>
    <cellStyle name="Note 2 2 2 3 2 3 6 2" xfId="42058" xr:uid="{00000000-0005-0000-0000-0000DB8F0000}"/>
    <cellStyle name="Note 2 2 2 3 2 3 7" xfId="28154" xr:uid="{00000000-0005-0000-0000-0000DC8F0000}"/>
    <cellStyle name="Note 2 2 2 3 2 4" xfId="9859" xr:uid="{00000000-0005-0000-0000-0000DD8F0000}"/>
    <cellStyle name="Note 2 2 2 3 2 4 2" xfId="15755" xr:uid="{00000000-0005-0000-0000-0000DE8F0000}"/>
    <cellStyle name="Note 2 2 2 3 2 4 2 2" xfId="35116" xr:uid="{00000000-0005-0000-0000-0000DF8F0000}"/>
    <cellStyle name="Note 2 2 2 3 2 4 3" xfId="18231" xr:uid="{00000000-0005-0000-0000-0000E08F0000}"/>
    <cellStyle name="Note 2 2 2 3 2 4 3 2" xfId="37585" xr:uid="{00000000-0005-0000-0000-0000E18F0000}"/>
    <cellStyle name="Note 2 2 2 3 2 4 4" xfId="20662" xr:uid="{00000000-0005-0000-0000-0000E28F0000}"/>
    <cellStyle name="Note 2 2 2 3 2 4 4 2" xfId="40015" xr:uid="{00000000-0005-0000-0000-0000E38F0000}"/>
    <cellStyle name="Note 2 2 2 3 2 4 5" xfId="23175" xr:uid="{00000000-0005-0000-0000-0000E48F0000}"/>
    <cellStyle name="Note 2 2 2 3 2 4 5 2" xfId="42517" xr:uid="{00000000-0005-0000-0000-0000E58F0000}"/>
    <cellStyle name="Note 2 2 2 3 2 4 6" xfId="29329" xr:uid="{00000000-0005-0000-0000-0000E68F0000}"/>
    <cellStyle name="Note 2 2 2 3 2 5" xfId="13953" xr:uid="{00000000-0005-0000-0000-0000E78F0000}"/>
    <cellStyle name="Note 2 2 2 3 2 5 2" xfId="33317" xr:uid="{00000000-0005-0000-0000-0000E88F0000}"/>
    <cellStyle name="Note 2 2 2 3 2 6" xfId="16459" xr:uid="{00000000-0005-0000-0000-0000E98F0000}"/>
    <cellStyle name="Note 2 2 2 3 2 6 2" xfId="35813" xr:uid="{00000000-0005-0000-0000-0000EA8F0000}"/>
    <cellStyle name="Note 2 2 2 3 2 7" xfId="18890" xr:uid="{00000000-0005-0000-0000-0000EB8F0000}"/>
    <cellStyle name="Note 2 2 2 3 2 7 2" xfId="38243" xr:uid="{00000000-0005-0000-0000-0000EC8F0000}"/>
    <cellStyle name="Note 2 2 2 3 2 8" xfId="21376" xr:uid="{00000000-0005-0000-0000-0000ED8F0000}"/>
    <cellStyle name="Note 2 2 2 3 2 8 2" xfId="40718" xr:uid="{00000000-0005-0000-0000-0000EE8F0000}"/>
    <cellStyle name="Note 2 2 2 3 2 9" xfId="24867" xr:uid="{00000000-0005-0000-0000-0000EF8F0000}"/>
    <cellStyle name="Note 2 2 2 3 3" xfId="5967" xr:uid="{00000000-0005-0000-0000-0000F08F0000}"/>
    <cellStyle name="Note 2 2 2 3 3 2" xfId="8676" xr:uid="{00000000-0005-0000-0000-0000F18F0000}"/>
    <cellStyle name="Note 2 2 2 3 3 2 2" xfId="12983" xr:uid="{00000000-0005-0000-0000-0000F28F0000}"/>
    <cellStyle name="Note 2 2 2 3 3 2 2 2" xfId="32453" xr:uid="{00000000-0005-0000-0000-0000F38F0000}"/>
    <cellStyle name="Note 2 2 2 3 3 2 3" xfId="14944" xr:uid="{00000000-0005-0000-0000-0000F48F0000}"/>
    <cellStyle name="Note 2 2 2 3 3 2 3 2" xfId="34305" xr:uid="{00000000-0005-0000-0000-0000F58F0000}"/>
    <cellStyle name="Note 2 2 2 3 3 2 4" xfId="17422" xr:uid="{00000000-0005-0000-0000-0000F68F0000}"/>
    <cellStyle name="Note 2 2 2 3 3 2 4 2" xfId="36776" xr:uid="{00000000-0005-0000-0000-0000F78F0000}"/>
    <cellStyle name="Note 2 2 2 3 3 2 5" xfId="19853" xr:uid="{00000000-0005-0000-0000-0000F88F0000}"/>
    <cellStyle name="Note 2 2 2 3 3 2 5 2" xfId="39206" xr:uid="{00000000-0005-0000-0000-0000F98F0000}"/>
    <cellStyle name="Note 2 2 2 3 3 2 6" xfId="22364" xr:uid="{00000000-0005-0000-0000-0000FA8F0000}"/>
    <cellStyle name="Note 2 2 2 3 3 2 6 2" xfId="41706" xr:uid="{00000000-0005-0000-0000-0000FB8F0000}"/>
    <cellStyle name="Note 2 2 2 3 3 2 7" xfId="28156" xr:uid="{00000000-0005-0000-0000-0000FC8F0000}"/>
    <cellStyle name="Note 2 2 2 3 3 3" xfId="10389" xr:uid="{00000000-0005-0000-0000-0000FD8F0000}"/>
    <cellStyle name="Note 2 2 2 3 3 3 2" xfId="15490" xr:uid="{00000000-0005-0000-0000-0000FE8F0000}"/>
    <cellStyle name="Note 2 2 2 3 3 3 2 2" xfId="34851" xr:uid="{00000000-0005-0000-0000-0000FF8F0000}"/>
    <cellStyle name="Note 2 2 2 3 3 3 3" xfId="17966" xr:uid="{00000000-0005-0000-0000-000000900000}"/>
    <cellStyle name="Note 2 2 2 3 3 3 3 2" xfId="37320" xr:uid="{00000000-0005-0000-0000-000001900000}"/>
    <cellStyle name="Note 2 2 2 3 3 3 4" xfId="20397" xr:uid="{00000000-0005-0000-0000-000002900000}"/>
    <cellStyle name="Note 2 2 2 3 3 3 4 2" xfId="39750" xr:uid="{00000000-0005-0000-0000-000003900000}"/>
    <cellStyle name="Note 2 2 2 3 3 3 5" xfId="22910" xr:uid="{00000000-0005-0000-0000-000004900000}"/>
    <cellStyle name="Note 2 2 2 3 3 3 5 2" xfId="42252" xr:uid="{00000000-0005-0000-0000-000005900000}"/>
    <cellStyle name="Note 2 2 2 3 3 3 6" xfId="29859" xr:uid="{00000000-0005-0000-0000-000006900000}"/>
    <cellStyle name="Note 2 2 2 3 3 4" xfId="15949" xr:uid="{00000000-0005-0000-0000-000007900000}"/>
    <cellStyle name="Note 2 2 2 3 3 4 2" xfId="18425" xr:uid="{00000000-0005-0000-0000-000008900000}"/>
    <cellStyle name="Note 2 2 2 3 3 4 2 2" xfId="37779" xr:uid="{00000000-0005-0000-0000-000009900000}"/>
    <cellStyle name="Note 2 2 2 3 3 4 3" xfId="20856" xr:uid="{00000000-0005-0000-0000-00000A900000}"/>
    <cellStyle name="Note 2 2 2 3 3 4 3 2" xfId="40209" xr:uid="{00000000-0005-0000-0000-00000B900000}"/>
    <cellStyle name="Note 2 2 2 3 3 4 4" xfId="23369" xr:uid="{00000000-0005-0000-0000-00000C900000}"/>
    <cellStyle name="Note 2 2 2 3 3 4 4 2" xfId="42711" xr:uid="{00000000-0005-0000-0000-00000D900000}"/>
    <cellStyle name="Note 2 2 2 3 3 4 5" xfId="35310" xr:uid="{00000000-0005-0000-0000-00000E900000}"/>
    <cellStyle name="Note 2 2 2 3 3 5" xfId="14167" xr:uid="{00000000-0005-0000-0000-00000F900000}"/>
    <cellStyle name="Note 2 2 2 3 3 5 2" xfId="33531" xr:uid="{00000000-0005-0000-0000-000010900000}"/>
    <cellStyle name="Note 2 2 2 3 3 6" xfId="16673" xr:uid="{00000000-0005-0000-0000-000011900000}"/>
    <cellStyle name="Note 2 2 2 3 3 6 2" xfId="36027" xr:uid="{00000000-0005-0000-0000-000012900000}"/>
    <cellStyle name="Note 2 2 2 3 3 7" xfId="19104" xr:uid="{00000000-0005-0000-0000-000013900000}"/>
    <cellStyle name="Note 2 2 2 3 3 7 2" xfId="38457" xr:uid="{00000000-0005-0000-0000-000014900000}"/>
    <cellStyle name="Note 2 2 2 3 3 8" xfId="21590" xr:uid="{00000000-0005-0000-0000-000015900000}"/>
    <cellStyle name="Note 2 2 2 3 3 8 2" xfId="40932" xr:uid="{00000000-0005-0000-0000-000016900000}"/>
    <cellStyle name="Note 2 2 2 3 3 9" xfId="25452" xr:uid="{00000000-0005-0000-0000-000017900000}"/>
    <cellStyle name="Note 2 2 2 3 4" xfId="8673" xr:uid="{00000000-0005-0000-0000-000018900000}"/>
    <cellStyle name="Note 2 2 2 3 4 2" xfId="12980" xr:uid="{00000000-0005-0000-0000-000019900000}"/>
    <cellStyle name="Note 2 2 2 3 4 2 2" xfId="32450" xr:uid="{00000000-0005-0000-0000-00001A900000}"/>
    <cellStyle name="Note 2 2 2 3 4 3" xfId="14463" xr:uid="{00000000-0005-0000-0000-00001B900000}"/>
    <cellStyle name="Note 2 2 2 3 4 3 2" xfId="33824" xr:uid="{00000000-0005-0000-0000-00001C900000}"/>
    <cellStyle name="Note 2 2 2 3 4 4" xfId="16953" xr:uid="{00000000-0005-0000-0000-00001D900000}"/>
    <cellStyle name="Note 2 2 2 3 4 4 2" xfId="36307" xr:uid="{00000000-0005-0000-0000-00001E900000}"/>
    <cellStyle name="Note 2 2 2 3 4 5" xfId="19384" xr:uid="{00000000-0005-0000-0000-00001F900000}"/>
    <cellStyle name="Note 2 2 2 3 4 5 2" xfId="38737" xr:uid="{00000000-0005-0000-0000-000020900000}"/>
    <cellStyle name="Note 2 2 2 3 4 6" xfId="21883" xr:uid="{00000000-0005-0000-0000-000021900000}"/>
    <cellStyle name="Note 2 2 2 3 4 6 2" xfId="41225" xr:uid="{00000000-0005-0000-0000-000022900000}"/>
    <cellStyle name="Note 2 2 2 3 4 7" xfId="28153" xr:uid="{00000000-0005-0000-0000-000023900000}"/>
    <cellStyle name="Note 2 2 2 3 5" xfId="9329" xr:uid="{00000000-0005-0000-0000-000024900000}"/>
    <cellStyle name="Note 2 2 2 3 5 2" xfId="28799" xr:uid="{00000000-0005-0000-0000-000025900000}"/>
    <cellStyle name="Note 2 2 2 3 6" xfId="13655" xr:uid="{00000000-0005-0000-0000-000026900000}"/>
    <cellStyle name="Note 2 2 2 3 6 2" xfId="33021" xr:uid="{00000000-0005-0000-0000-000027900000}"/>
    <cellStyle name="Note 2 2 2 3 7" xfId="16175" xr:uid="{00000000-0005-0000-0000-000028900000}"/>
    <cellStyle name="Note 2 2 2 3 7 2" xfId="35529" xr:uid="{00000000-0005-0000-0000-000029900000}"/>
    <cellStyle name="Note 2 2 2 3 8" xfId="18606" xr:uid="{00000000-0005-0000-0000-00002A900000}"/>
    <cellStyle name="Note 2 2 2 3 8 2" xfId="37959" xr:uid="{00000000-0005-0000-0000-00002B900000}"/>
    <cellStyle name="Note 2 2 2 3 9" xfId="21080" xr:uid="{00000000-0005-0000-0000-00002C900000}"/>
    <cellStyle name="Note 2 2 2 3 9 2" xfId="40422" xr:uid="{00000000-0005-0000-0000-00002D900000}"/>
    <cellStyle name="Note 2 2 2 4" xfId="5077" xr:uid="{00000000-0005-0000-0000-00002E900000}"/>
    <cellStyle name="Note 2 2 2 4 2" xfId="6237" xr:uid="{00000000-0005-0000-0000-00002F900000}"/>
    <cellStyle name="Note 2 2 2 4 2 2" xfId="8678" xr:uid="{00000000-0005-0000-0000-000030900000}"/>
    <cellStyle name="Note 2 2 2 4 2 2 2" xfId="12985" xr:uid="{00000000-0005-0000-0000-000031900000}"/>
    <cellStyle name="Note 2 2 2 4 2 2 2 2" xfId="32455" xr:uid="{00000000-0005-0000-0000-000032900000}"/>
    <cellStyle name="Note 2 2 2 4 2 2 3" xfId="28158" xr:uid="{00000000-0005-0000-0000-000033900000}"/>
    <cellStyle name="Note 2 2 2 4 2 3" xfId="10654" xr:uid="{00000000-0005-0000-0000-000034900000}"/>
    <cellStyle name="Note 2 2 2 4 2 3 2" xfId="30124" xr:uid="{00000000-0005-0000-0000-000035900000}"/>
    <cellStyle name="Note 2 2 2 4 2 4" xfId="14798" xr:uid="{00000000-0005-0000-0000-000036900000}"/>
    <cellStyle name="Note 2 2 2 4 2 4 2" xfId="34159" xr:uid="{00000000-0005-0000-0000-000037900000}"/>
    <cellStyle name="Note 2 2 2 4 2 5" xfId="17276" xr:uid="{00000000-0005-0000-0000-000038900000}"/>
    <cellStyle name="Note 2 2 2 4 2 5 2" xfId="36630" xr:uid="{00000000-0005-0000-0000-000039900000}"/>
    <cellStyle name="Note 2 2 2 4 2 6" xfId="19707" xr:uid="{00000000-0005-0000-0000-00003A900000}"/>
    <cellStyle name="Note 2 2 2 4 2 6 2" xfId="39060" xr:uid="{00000000-0005-0000-0000-00003B900000}"/>
    <cellStyle name="Note 2 2 2 4 2 7" xfId="22218" xr:uid="{00000000-0005-0000-0000-00003C900000}"/>
    <cellStyle name="Note 2 2 2 4 2 7 2" xfId="41560" xr:uid="{00000000-0005-0000-0000-00003D900000}"/>
    <cellStyle name="Note 2 2 2 4 2 8" xfId="25722" xr:uid="{00000000-0005-0000-0000-00003E900000}"/>
    <cellStyle name="Note 2 2 2 4 3" xfId="8677" xr:uid="{00000000-0005-0000-0000-00003F900000}"/>
    <cellStyle name="Note 2 2 2 4 3 2" xfId="12984" xr:uid="{00000000-0005-0000-0000-000040900000}"/>
    <cellStyle name="Note 2 2 2 4 3 2 2" xfId="32454" xr:uid="{00000000-0005-0000-0000-000041900000}"/>
    <cellStyle name="Note 2 2 2 4 3 3" xfId="15346" xr:uid="{00000000-0005-0000-0000-000042900000}"/>
    <cellStyle name="Note 2 2 2 4 3 3 2" xfId="34707" xr:uid="{00000000-0005-0000-0000-000043900000}"/>
    <cellStyle name="Note 2 2 2 4 3 4" xfId="17822" xr:uid="{00000000-0005-0000-0000-000044900000}"/>
    <cellStyle name="Note 2 2 2 4 3 4 2" xfId="37176" xr:uid="{00000000-0005-0000-0000-000045900000}"/>
    <cellStyle name="Note 2 2 2 4 3 5" xfId="20253" xr:uid="{00000000-0005-0000-0000-000046900000}"/>
    <cellStyle name="Note 2 2 2 4 3 5 2" xfId="39606" xr:uid="{00000000-0005-0000-0000-000047900000}"/>
    <cellStyle name="Note 2 2 2 4 3 6" xfId="22766" xr:uid="{00000000-0005-0000-0000-000048900000}"/>
    <cellStyle name="Note 2 2 2 4 3 6 2" xfId="42108" xr:uid="{00000000-0005-0000-0000-000049900000}"/>
    <cellStyle name="Note 2 2 2 4 3 7" xfId="28157" xr:uid="{00000000-0005-0000-0000-00004A900000}"/>
    <cellStyle name="Note 2 2 2 4 4" xfId="9594" xr:uid="{00000000-0005-0000-0000-00004B900000}"/>
    <cellStyle name="Note 2 2 2 4 4 2" xfId="15805" xr:uid="{00000000-0005-0000-0000-00004C900000}"/>
    <cellStyle name="Note 2 2 2 4 4 2 2" xfId="35166" xr:uid="{00000000-0005-0000-0000-00004D900000}"/>
    <cellStyle name="Note 2 2 2 4 4 3" xfId="18281" xr:uid="{00000000-0005-0000-0000-00004E900000}"/>
    <cellStyle name="Note 2 2 2 4 4 3 2" xfId="37635" xr:uid="{00000000-0005-0000-0000-00004F900000}"/>
    <cellStyle name="Note 2 2 2 4 4 4" xfId="20712" xr:uid="{00000000-0005-0000-0000-000050900000}"/>
    <cellStyle name="Note 2 2 2 4 4 4 2" xfId="40065" xr:uid="{00000000-0005-0000-0000-000051900000}"/>
    <cellStyle name="Note 2 2 2 4 4 5" xfId="23225" xr:uid="{00000000-0005-0000-0000-000052900000}"/>
    <cellStyle name="Note 2 2 2 4 4 5 2" xfId="42567" xr:uid="{00000000-0005-0000-0000-000053900000}"/>
    <cellStyle name="Note 2 2 2 4 4 6" xfId="29064" xr:uid="{00000000-0005-0000-0000-000054900000}"/>
    <cellStyle name="Note 2 2 2 4 5" xfId="14003" xr:uid="{00000000-0005-0000-0000-000055900000}"/>
    <cellStyle name="Note 2 2 2 4 5 2" xfId="33367" xr:uid="{00000000-0005-0000-0000-000056900000}"/>
    <cellStyle name="Note 2 2 2 4 6" xfId="16509" xr:uid="{00000000-0005-0000-0000-000057900000}"/>
    <cellStyle name="Note 2 2 2 4 6 2" xfId="35863" xr:uid="{00000000-0005-0000-0000-000058900000}"/>
    <cellStyle name="Note 2 2 2 4 7" xfId="18940" xr:uid="{00000000-0005-0000-0000-000059900000}"/>
    <cellStyle name="Note 2 2 2 4 7 2" xfId="38293" xr:uid="{00000000-0005-0000-0000-00005A900000}"/>
    <cellStyle name="Note 2 2 2 4 8" xfId="21426" xr:uid="{00000000-0005-0000-0000-00005B900000}"/>
    <cellStyle name="Note 2 2 2 4 8 2" xfId="40768" xr:uid="{00000000-0005-0000-0000-00005C900000}"/>
    <cellStyle name="Note 2 2 2 4 9" xfId="24569" xr:uid="{00000000-0005-0000-0000-00005D900000}"/>
    <cellStyle name="Note 2 2 2 5" xfId="5688" xr:uid="{00000000-0005-0000-0000-00005E900000}"/>
    <cellStyle name="Note 2 2 2 5 2" xfId="8679" xr:uid="{00000000-0005-0000-0000-00005F900000}"/>
    <cellStyle name="Note 2 2 2 5 2 2" xfId="12986" xr:uid="{00000000-0005-0000-0000-000060900000}"/>
    <cellStyle name="Note 2 2 2 5 2 2 2" xfId="32456" xr:uid="{00000000-0005-0000-0000-000061900000}"/>
    <cellStyle name="Note 2 2 2 5 2 3" xfId="28159" xr:uid="{00000000-0005-0000-0000-000062900000}"/>
    <cellStyle name="Note 2 2 2 5 3" xfId="10124" xr:uid="{00000000-0005-0000-0000-000063900000}"/>
    <cellStyle name="Note 2 2 2 5 3 2" xfId="29594" xr:uid="{00000000-0005-0000-0000-000064900000}"/>
    <cellStyle name="Note 2 2 2 5 4" xfId="14291" xr:uid="{00000000-0005-0000-0000-000065900000}"/>
    <cellStyle name="Note 2 2 2 5 4 2" xfId="33652" xr:uid="{00000000-0005-0000-0000-000066900000}"/>
    <cellStyle name="Note 2 2 2 5 5" xfId="16790" xr:uid="{00000000-0005-0000-0000-000067900000}"/>
    <cellStyle name="Note 2 2 2 5 5 2" xfId="36144" xr:uid="{00000000-0005-0000-0000-000068900000}"/>
    <cellStyle name="Note 2 2 2 5 6" xfId="19221" xr:uid="{00000000-0005-0000-0000-000069900000}"/>
    <cellStyle name="Note 2 2 2 5 6 2" xfId="38574" xr:uid="{00000000-0005-0000-0000-00006A900000}"/>
    <cellStyle name="Note 2 2 2 5 7" xfId="21711" xr:uid="{00000000-0005-0000-0000-00006B900000}"/>
    <cellStyle name="Note 2 2 2 5 7 2" xfId="41053" xr:uid="{00000000-0005-0000-0000-00006C900000}"/>
    <cellStyle name="Note 2 2 2 5 8" xfId="25174" xr:uid="{00000000-0005-0000-0000-00006D900000}"/>
    <cellStyle name="Note 2 2 2 6" xfId="8664" xr:uid="{00000000-0005-0000-0000-00006E900000}"/>
    <cellStyle name="Note 2 2 2 6 2" xfId="12971" xr:uid="{00000000-0005-0000-0000-00006F900000}"/>
    <cellStyle name="Note 2 2 2 6 2 2" xfId="32441" xr:uid="{00000000-0005-0000-0000-000070900000}"/>
    <cellStyle name="Note 2 2 2 6 3" xfId="28144" xr:uid="{00000000-0005-0000-0000-000071900000}"/>
    <cellStyle name="Note 2 2 2 7" xfId="9062" xr:uid="{00000000-0005-0000-0000-000072900000}"/>
    <cellStyle name="Note 2 2 2 7 2" xfId="28534" xr:uid="{00000000-0005-0000-0000-000073900000}"/>
    <cellStyle name="Note 2 2 2 8" xfId="13460" xr:uid="{00000000-0005-0000-0000-000074900000}"/>
    <cellStyle name="Note 2 2 2 8 2" xfId="32839" xr:uid="{00000000-0005-0000-0000-000075900000}"/>
    <cellStyle name="Note 2 2 2 9" xfId="16030" xr:uid="{00000000-0005-0000-0000-000076900000}"/>
    <cellStyle name="Note 2 2 2 9 2" xfId="35384" xr:uid="{00000000-0005-0000-0000-000077900000}"/>
    <cellStyle name="Note 2 2 3" xfId="4219" xr:uid="{00000000-0005-0000-0000-000078900000}"/>
    <cellStyle name="Note 2 2 3 10" xfId="20976" xr:uid="{00000000-0005-0000-0000-000079900000}"/>
    <cellStyle name="Note 2 2 3 10 2" xfId="40318" xr:uid="{00000000-0005-0000-0000-00007A900000}"/>
    <cellStyle name="Note 2 2 3 11" xfId="23995" xr:uid="{00000000-0005-0000-0000-00007B900000}"/>
    <cellStyle name="Note 2 2 3 2" xfId="4794" xr:uid="{00000000-0005-0000-0000-00007C900000}"/>
    <cellStyle name="Note 2 2 3 2 2" xfId="5420" xr:uid="{00000000-0005-0000-0000-00007D900000}"/>
    <cellStyle name="Note 2 2 3 2 2 2" xfId="6548" xr:uid="{00000000-0005-0000-0000-00007E900000}"/>
    <cellStyle name="Note 2 2 3 2 2 2 2" xfId="8683" xr:uid="{00000000-0005-0000-0000-00007F900000}"/>
    <cellStyle name="Note 2 2 3 2 2 2 2 2" xfId="12990" xr:uid="{00000000-0005-0000-0000-000080900000}"/>
    <cellStyle name="Note 2 2 3 2 2 2 2 2 2" xfId="32460" xr:uid="{00000000-0005-0000-0000-000081900000}"/>
    <cellStyle name="Note 2 2 3 2 2 2 2 3" xfId="28163" xr:uid="{00000000-0005-0000-0000-000082900000}"/>
    <cellStyle name="Note 2 2 3 2 2 2 3" xfId="10964" xr:uid="{00000000-0005-0000-0000-000083900000}"/>
    <cellStyle name="Note 2 2 3 2 2 2 3 2" xfId="30434" xr:uid="{00000000-0005-0000-0000-000084900000}"/>
    <cellStyle name="Note 2 2 3 2 2 2 4" xfId="14697" xr:uid="{00000000-0005-0000-0000-000085900000}"/>
    <cellStyle name="Note 2 2 3 2 2 2 4 2" xfId="34058" xr:uid="{00000000-0005-0000-0000-000086900000}"/>
    <cellStyle name="Note 2 2 3 2 2 2 5" xfId="17175" xr:uid="{00000000-0005-0000-0000-000087900000}"/>
    <cellStyle name="Note 2 2 3 2 2 2 5 2" xfId="36529" xr:uid="{00000000-0005-0000-0000-000088900000}"/>
    <cellStyle name="Note 2 2 3 2 2 2 6" xfId="19606" xr:uid="{00000000-0005-0000-0000-000089900000}"/>
    <cellStyle name="Note 2 2 3 2 2 2 6 2" xfId="38959" xr:uid="{00000000-0005-0000-0000-00008A900000}"/>
    <cellStyle name="Note 2 2 3 2 2 2 7" xfId="22117" xr:uid="{00000000-0005-0000-0000-00008B900000}"/>
    <cellStyle name="Note 2 2 3 2 2 2 7 2" xfId="41459" xr:uid="{00000000-0005-0000-0000-00008C900000}"/>
    <cellStyle name="Note 2 2 3 2 2 2 8" xfId="26033" xr:uid="{00000000-0005-0000-0000-00008D900000}"/>
    <cellStyle name="Note 2 2 3 2 2 3" xfId="8682" xr:uid="{00000000-0005-0000-0000-00008E900000}"/>
    <cellStyle name="Note 2 2 3 2 2 3 2" xfId="12989" xr:uid="{00000000-0005-0000-0000-00008F900000}"/>
    <cellStyle name="Note 2 2 3 2 2 3 2 2" xfId="32459" xr:uid="{00000000-0005-0000-0000-000090900000}"/>
    <cellStyle name="Note 2 2 3 2 2 3 3" xfId="15245" xr:uid="{00000000-0005-0000-0000-000091900000}"/>
    <cellStyle name="Note 2 2 3 2 2 3 3 2" xfId="34606" xr:uid="{00000000-0005-0000-0000-000092900000}"/>
    <cellStyle name="Note 2 2 3 2 2 3 4" xfId="17721" xr:uid="{00000000-0005-0000-0000-000093900000}"/>
    <cellStyle name="Note 2 2 3 2 2 3 4 2" xfId="37075" xr:uid="{00000000-0005-0000-0000-000094900000}"/>
    <cellStyle name="Note 2 2 3 2 2 3 5" xfId="20152" xr:uid="{00000000-0005-0000-0000-000095900000}"/>
    <cellStyle name="Note 2 2 3 2 2 3 5 2" xfId="39505" xr:uid="{00000000-0005-0000-0000-000096900000}"/>
    <cellStyle name="Note 2 2 3 2 2 3 6" xfId="22665" xr:uid="{00000000-0005-0000-0000-000097900000}"/>
    <cellStyle name="Note 2 2 3 2 2 3 6 2" xfId="42007" xr:uid="{00000000-0005-0000-0000-000098900000}"/>
    <cellStyle name="Note 2 2 3 2 2 3 7" xfId="28162" xr:uid="{00000000-0005-0000-0000-000099900000}"/>
    <cellStyle name="Note 2 2 3 2 2 4" xfId="9903" xr:uid="{00000000-0005-0000-0000-00009A900000}"/>
    <cellStyle name="Note 2 2 3 2 2 4 2" xfId="15704" xr:uid="{00000000-0005-0000-0000-00009B900000}"/>
    <cellStyle name="Note 2 2 3 2 2 4 2 2" xfId="35065" xr:uid="{00000000-0005-0000-0000-00009C900000}"/>
    <cellStyle name="Note 2 2 3 2 2 4 3" xfId="18180" xr:uid="{00000000-0005-0000-0000-00009D900000}"/>
    <cellStyle name="Note 2 2 3 2 2 4 3 2" xfId="37534" xr:uid="{00000000-0005-0000-0000-00009E900000}"/>
    <cellStyle name="Note 2 2 3 2 2 4 4" xfId="20611" xr:uid="{00000000-0005-0000-0000-00009F900000}"/>
    <cellStyle name="Note 2 2 3 2 2 4 4 2" xfId="39964" xr:uid="{00000000-0005-0000-0000-0000A0900000}"/>
    <cellStyle name="Note 2 2 3 2 2 4 5" xfId="23124" xr:uid="{00000000-0005-0000-0000-0000A1900000}"/>
    <cellStyle name="Note 2 2 3 2 2 4 5 2" xfId="42466" xr:uid="{00000000-0005-0000-0000-0000A2900000}"/>
    <cellStyle name="Note 2 2 3 2 2 4 6" xfId="29373" xr:uid="{00000000-0005-0000-0000-0000A3900000}"/>
    <cellStyle name="Note 2 2 3 2 2 5" xfId="13902" xr:uid="{00000000-0005-0000-0000-0000A4900000}"/>
    <cellStyle name="Note 2 2 3 2 2 5 2" xfId="33266" xr:uid="{00000000-0005-0000-0000-0000A5900000}"/>
    <cellStyle name="Note 2 2 3 2 2 6" xfId="16408" xr:uid="{00000000-0005-0000-0000-0000A6900000}"/>
    <cellStyle name="Note 2 2 3 2 2 6 2" xfId="35762" xr:uid="{00000000-0005-0000-0000-0000A7900000}"/>
    <cellStyle name="Note 2 2 3 2 2 7" xfId="18839" xr:uid="{00000000-0005-0000-0000-0000A8900000}"/>
    <cellStyle name="Note 2 2 3 2 2 7 2" xfId="38192" xr:uid="{00000000-0005-0000-0000-0000A9900000}"/>
    <cellStyle name="Note 2 2 3 2 2 8" xfId="21325" xr:uid="{00000000-0005-0000-0000-0000AA900000}"/>
    <cellStyle name="Note 2 2 3 2 2 8 2" xfId="40667" xr:uid="{00000000-0005-0000-0000-0000AB900000}"/>
    <cellStyle name="Note 2 2 3 2 2 9" xfId="24911" xr:uid="{00000000-0005-0000-0000-0000AC900000}"/>
    <cellStyle name="Note 2 2 3 2 3" xfId="6012" xr:uid="{00000000-0005-0000-0000-0000AD900000}"/>
    <cellStyle name="Note 2 2 3 2 3 2" xfId="8684" xr:uid="{00000000-0005-0000-0000-0000AE900000}"/>
    <cellStyle name="Note 2 2 3 2 3 2 2" xfId="12991" xr:uid="{00000000-0005-0000-0000-0000AF900000}"/>
    <cellStyle name="Note 2 2 3 2 3 2 2 2" xfId="32461" xr:uid="{00000000-0005-0000-0000-0000B0900000}"/>
    <cellStyle name="Note 2 2 3 2 3 2 3" xfId="14898" xr:uid="{00000000-0005-0000-0000-0000B1900000}"/>
    <cellStyle name="Note 2 2 3 2 3 2 3 2" xfId="34259" xr:uid="{00000000-0005-0000-0000-0000B2900000}"/>
    <cellStyle name="Note 2 2 3 2 3 2 4" xfId="17376" xr:uid="{00000000-0005-0000-0000-0000B3900000}"/>
    <cellStyle name="Note 2 2 3 2 3 2 4 2" xfId="36730" xr:uid="{00000000-0005-0000-0000-0000B4900000}"/>
    <cellStyle name="Note 2 2 3 2 3 2 5" xfId="19807" xr:uid="{00000000-0005-0000-0000-0000B5900000}"/>
    <cellStyle name="Note 2 2 3 2 3 2 5 2" xfId="39160" xr:uid="{00000000-0005-0000-0000-0000B6900000}"/>
    <cellStyle name="Note 2 2 3 2 3 2 6" xfId="22318" xr:uid="{00000000-0005-0000-0000-0000B7900000}"/>
    <cellStyle name="Note 2 2 3 2 3 2 6 2" xfId="41660" xr:uid="{00000000-0005-0000-0000-0000B8900000}"/>
    <cellStyle name="Note 2 2 3 2 3 2 7" xfId="28164" xr:uid="{00000000-0005-0000-0000-0000B9900000}"/>
    <cellStyle name="Note 2 2 3 2 3 3" xfId="10433" xr:uid="{00000000-0005-0000-0000-0000BA900000}"/>
    <cellStyle name="Note 2 2 3 2 3 3 2" xfId="15445" xr:uid="{00000000-0005-0000-0000-0000BB900000}"/>
    <cellStyle name="Note 2 2 3 2 3 3 2 2" xfId="34806" xr:uid="{00000000-0005-0000-0000-0000BC900000}"/>
    <cellStyle name="Note 2 2 3 2 3 3 3" xfId="17921" xr:uid="{00000000-0005-0000-0000-0000BD900000}"/>
    <cellStyle name="Note 2 2 3 2 3 3 3 2" xfId="37275" xr:uid="{00000000-0005-0000-0000-0000BE900000}"/>
    <cellStyle name="Note 2 2 3 2 3 3 4" xfId="20352" xr:uid="{00000000-0005-0000-0000-0000BF900000}"/>
    <cellStyle name="Note 2 2 3 2 3 3 4 2" xfId="39705" xr:uid="{00000000-0005-0000-0000-0000C0900000}"/>
    <cellStyle name="Note 2 2 3 2 3 3 5" xfId="22865" xr:uid="{00000000-0005-0000-0000-0000C1900000}"/>
    <cellStyle name="Note 2 2 3 2 3 3 5 2" xfId="42207" xr:uid="{00000000-0005-0000-0000-0000C2900000}"/>
    <cellStyle name="Note 2 2 3 2 3 3 6" xfId="29903" xr:uid="{00000000-0005-0000-0000-0000C3900000}"/>
    <cellStyle name="Note 2 2 3 2 3 4" xfId="15904" xr:uid="{00000000-0005-0000-0000-0000C4900000}"/>
    <cellStyle name="Note 2 2 3 2 3 4 2" xfId="18380" xr:uid="{00000000-0005-0000-0000-0000C5900000}"/>
    <cellStyle name="Note 2 2 3 2 3 4 2 2" xfId="37734" xr:uid="{00000000-0005-0000-0000-0000C6900000}"/>
    <cellStyle name="Note 2 2 3 2 3 4 3" xfId="20811" xr:uid="{00000000-0005-0000-0000-0000C7900000}"/>
    <cellStyle name="Note 2 2 3 2 3 4 3 2" xfId="40164" xr:uid="{00000000-0005-0000-0000-0000C8900000}"/>
    <cellStyle name="Note 2 2 3 2 3 4 4" xfId="23324" xr:uid="{00000000-0005-0000-0000-0000C9900000}"/>
    <cellStyle name="Note 2 2 3 2 3 4 4 2" xfId="42666" xr:uid="{00000000-0005-0000-0000-0000CA900000}"/>
    <cellStyle name="Note 2 2 3 2 3 4 5" xfId="35265" xr:uid="{00000000-0005-0000-0000-0000CB900000}"/>
    <cellStyle name="Note 2 2 3 2 3 5" xfId="14117" xr:uid="{00000000-0005-0000-0000-0000CC900000}"/>
    <cellStyle name="Note 2 2 3 2 3 5 2" xfId="33481" xr:uid="{00000000-0005-0000-0000-0000CD900000}"/>
    <cellStyle name="Note 2 2 3 2 3 6" xfId="16623" xr:uid="{00000000-0005-0000-0000-0000CE900000}"/>
    <cellStyle name="Note 2 2 3 2 3 6 2" xfId="35977" xr:uid="{00000000-0005-0000-0000-0000CF900000}"/>
    <cellStyle name="Note 2 2 3 2 3 7" xfId="19054" xr:uid="{00000000-0005-0000-0000-0000D0900000}"/>
    <cellStyle name="Note 2 2 3 2 3 7 2" xfId="38407" xr:uid="{00000000-0005-0000-0000-0000D1900000}"/>
    <cellStyle name="Note 2 2 3 2 3 8" xfId="21540" xr:uid="{00000000-0005-0000-0000-0000D2900000}"/>
    <cellStyle name="Note 2 2 3 2 3 8 2" xfId="40882" xr:uid="{00000000-0005-0000-0000-0000D3900000}"/>
    <cellStyle name="Note 2 2 3 2 3 9" xfId="25497" xr:uid="{00000000-0005-0000-0000-0000D4900000}"/>
    <cellStyle name="Note 2 2 3 2 4" xfId="8681" xr:uid="{00000000-0005-0000-0000-0000D5900000}"/>
    <cellStyle name="Note 2 2 3 2 4 2" xfId="12988" xr:uid="{00000000-0005-0000-0000-0000D6900000}"/>
    <cellStyle name="Note 2 2 3 2 4 2 2" xfId="32458" xr:uid="{00000000-0005-0000-0000-0000D7900000}"/>
    <cellStyle name="Note 2 2 3 2 4 3" xfId="14412" xr:uid="{00000000-0005-0000-0000-0000D8900000}"/>
    <cellStyle name="Note 2 2 3 2 4 3 2" xfId="33773" xr:uid="{00000000-0005-0000-0000-0000D9900000}"/>
    <cellStyle name="Note 2 2 3 2 4 4" xfId="16902" xr:uid="{00000000-0005-0000-0000-0000DA900000}"/>
    <cellStyle name="Note 2 2 3 2 4 4 2" xfId="36256" xr:uid="{00000000-0005-0000-0000-0000DB900000}"/>
    <cellStyle name="Note 2 2 3 2 4 5" xfId="19333" xr:uid="{00000000-0005-0000-0000-0000DC900000}"/>
    <cellStyle name="Note 2 2 3 2 4 5 2" xfId="38686" xr:uid="{00000000-0005-0000-0000-0000DD900000}"/>
    <cellStyle name="Note 2 2 3 2 4 6" xfId="21832" xr:uid="{00000000-0005-0000-0000-0000DE900000}"/>
    <cellStyle name="Note 2 2 3 2 4 6 2" xfId="41174" xr:uid="{00000000-0005-0000-0000-0000DF900000}"/>
    <cellStyle name="Note 2 2 3 2 4 7" xfId="28161" xr:uid="{00000000-0005-0000-0000-0000E0900000}"/>
    <cellStyle name="Note 2 2 3 2 5" xfId="9373" xr:uid="{00000000-0005-0000-0000-0000E1900000}"/>
    <cellStyle name="Note 2 2 3 2 5 2" xfId="28843" xr:uid="{00000000-0005-0000-0000-0000E2900000}"/>
    <cellStyle name="Note 2 2 3 2 6" xfId="13601" xr:uid="{00000000-0005-0000-0000-0000E3900000}"/>
    <cellStyle name="Note 2 2 3 2 6 2" xfId="32967" xr:uid="{00000000-0005-0000-0000-0000E4900000}"/>
    <cellStyle name="Note 2 2 3 2 7" xfId="18552" xr:uid="{00000000-0005-0000-0000-0000E5900000}"/>
    <cellStyle name="Note 2 2 3 2 7 2" xfId="37905" xr:uid="{00000000-0005-0000-0000-0000E6900000}"/>
    <cellStyle name="Note 2 2 3 2 8" xfId="24296" xr:uid="{00000000-0005-0000-0000-0000E7900000}"/>
    <cellStyle name="Note 2 2 3 3" xfId="5125" xr:uid="{00000000-0005-0000-0000-0000E8900000}"/>
    <cellStyle name="Note 2 2 3 3 2" xfId="6281" xr:uid="{00000000-0005-0000-0000-0000E9900000}"/>
    <cellStyle name="Note 2 2 3 3 2 2" xfId="8686" xr:uid="{00000000-0005-0000-0000-0000EA900000}"/>
    <cellStyle name="Note 2 2 3 3 2 2 2" xfId="12993" xr:uid="{00000000-0005-0000-0000-0000EB900000}"/>
    <cellStyle name="Note 2 2 3 3 2 2 2 2" xfId="32463" xr:uid="{00000000-0005-0000-0000-0000EC900000}"/>
    <cellStyle name="Note 2 2 3 3 2 2 3" xfId="14761" xr:uid="{00000000-0005-0000-0000-0000ED900000}"/>
    <cellStyle name="Note 2 2 3 3 2 2 3 2" xfId="34122" xr:uid="{00000000-0005-0000-0000-0000EE900000}"/>
    <cellStyle name="Note 2 2 3 3 2 2 4" xfId="17239" xr:uid="{00000000-0005-0000-0000-0000EF900000}"/>
    <cellStyle name="Note 2 2 3 3 2 2 4 2" xfId="36593" xr:uid="{00000000-0005-0000-0000-0000F0900000}"/>
    <cellStyle name="Note 2 2 3 3 2 2 5" xfId="19670" xr:uid="{00000000-0005-0000-0000-0000F1900000}"/>
    <cellStyle name="Note 2 2 3 3 2 2 5 2" xfId="39023" xr:uid="{00000000-0005-0000-0000-0000F2900000}"/>
    <cellStyle name="Note 2 2 3 3 2 2 6" xfId="22181" xr:uid="{00000000-0005-0000-0000-0000F3900000}"/>
    <cellStyle name="Note 2 2 3 3 2 2 6 2" xfId="41523" xr:uid="{00000000-0005-0000-0000-0000F4900000}"/>
    <cellStyle name="Note 2 2 3 3 2 2 7" xfId="28166" xr:uid="{00000000-0005-0000-0000-0000F5900000}"/>
    <cellStyle name="Note 2 2 3 3 2 3" xfId="10698" xr:uid="{00000000-0005-0000-0000-0000F6900000}"/>
    <cellStyle name="Note 2 2 3 3 2 3 2" xfId="15309" xr:uid="{00000000-0005-0000-0000-0000F7900000}"/>
    <cellStyle name="Note 2 2 3 3 2 3 2 2" xfId="34670" xr:uid="{00000000-0005-0000-0000-0000F8900000}"/>
    <cellStyle name="Note 2 2 3 3 2 3 3" xfId="17785" xr:uid="{00000000-0005-0000-0000-0000F9900000}"/>
    <cellStyle name="Note 2 2 3 3 2 3 3 2" xfId="37139" xr:uid="{00000000-0005-0000-0000-0000FA900000}"/>
    <cellStyle name="Note 2 2 3 3 2 3 4" xfId="20216" xr:uid="{00000000-0005-0000-0000-0000FB900000}"/>
    <cellStyle name="Note 2 2 3 3 2 3 4 2" xfId="39569" xr:uid="{00000000-0005-0000-0000-0000FC900000}"/>
    <cellStyle name="Note 2 2 3 3 2 3 5" xfId="22729" xr:uid="{00000000-0005-0000-0000-0000FD900000}"/>
    <cellStyle name="Note 2 2 3 3 2 3 5 2" xfId="42071" xr:uid="{00000000-0005-0000-0000-0000FE900000}"/>
    <cellStyle name="Note 2 2 3 3 2 3 6" xfId="30168" xr:uid="{00000000-0005-0000-0000-0000FF900000}"/>
    <cellStyle name="Note 2 2 3 3 2 4" xfId="15768" xr:uid="{00000000-0005-0000-0000-000000910000}"/>
    <cellStyle name="Note 2 2 3 3 2 4 2" xfId="18244" xr:uid="{00000000-0005-0000-0000-000001910000}"/>
    <cellStyle name="Note 2 2 3 3 2 4 2 2" xfId="37598" xr:uid="{00000000-0005-0000-0000-000002910000}"/>
    <cellStyle name="Note 2 2 3 3 2 4 3" xfId="20675" xr:uid="{00000000-0005-0000-0000-000003910000}"/>
    <cellStyle name="Note 2 2 3 3 2 4 3 2" xfId="40028" xr:uid="{00000000-0005-0000-0000-000004910000}"/>
    <cellStyle name="Note 2 2 3 3 2 4 4" xfId="23188" xr:uid="{00000000-0005-0000-0000-000005910000}"/>
    <cellStyle name="Note 2 2 3 3 2 4 4 2" xfId="42530" xr:uid="{00000000-0005-0000-0000-000006910000}"/>
    <cellStyle name="Note 2 2 3 3 2 4 5" xfId="35129" xr:uid="{00000000-0005-0000-0000-000007910000}"/>
    <cellStyle name="Note 2 2 3 3 2 5" xfId="13966" xr:uid="{00000000-0005-0000-0000-000008910000}"/>
    <cellStyle name="Note 2 2 3 3 2 5 2" xfId="33330" xr:uid="{00000000-0005-0000-0000-000009910000}"/>
    <cellStyle name="Note 2 2 3 3 2 6" xfId="16472" xr:uid="{00000000-0005-0000-0000-00000A910000}"/>
    <cellStyle name="Note 2 2 3 3 2 6 2" xfId="35826" xr:uid="{00000000-0005-0000-0000-00000B910000}"/>
    <cellStyle name="Note 2 2 3 3 2 7" xfId="18903" xr:uid="{00000000-0005-0000-0000-00000C910000}"/>
    <cellStyle name="Note 2 2 3 3 2 7 2" xfId="38256" xr:uid="{00000000-0005-0000-0000-00000D910000}"/>
    <cellStyle name="Note 2 2 3 3 2 8" xfId="21389" xr:uid="{00000000-0005-0000-0000-00000E910000}"/>
    <cellStyle name="Note 2 2 3 3 2 8 2" xfId="40731" xr:uid="{00000000-0005-0000-0000-00000F910000}"/>
    <cellStyle name="Note 2 2 3 3 2 9" xfId="25766" xr:uid="{00000000-0005-0000-0000-000010910000}"/>
    <cellStyle name="Note 2 2 3 3 3" xfId="8685" xr:uid="{00000000-0005-0000-0000-000011910000}"/>
    <cellStyle name="Note 2 2 3 3 3 2" xfId="12992" xr:uid="{00000000-0005-0000-0000-000012910000}"/>
    <cellStyle name="Note 2 2 3 3 3 2 2" xfId="14956" xr:uid="{00000000-0005-0000-0000-000013910000}"/>
    <cellStyle name="Note 2 2 3 3 3 2 2 2" xfId="34317" xr:uid="{00000000-0005-0000-0000-000014910000}"/>
    <cellStyle name="Note 2 2 3 3 3 2 3" xfId="17434" xr:uid="{00000000-0005-0000-0000-000015910000}"/>
    <cellStyle name="Note 2 2 3 3 3 2 3 2" xfId="36788" xr:uid="{00000000-0005-0000-0000-000016910000}"/>
    <cellStyle name="Note 2 2 3 3 3 2 4" xfId="19865" xr:uid="{00000000-0005-0000-0000-000017910000}"/>
    <cellStyle name="Note 2 2 3 3 3 2 4 2" xfId="39218" xr:uid="{00000000-0005-0000-0000-000018910000}"/>
    <cellStyle name="Note 2 2 3 3 3 2 5" xfId="22376" xr:uid="{00000000-0005-0000-0000-000019910000}"/>
    <cellStyle name="Note 2 2 3 3 3 2 5 2" xfId="41718" xr:uid="{00000000-0005-0000-0000-00001A910000}"/>
    <cellStyle name="Note 2 2 3 3 3 2 6" xfId="32462" xr:uid="{00000000-0005-0000-0000-00001B910000}"/>
    <cellStyle name="Note 2 2 3 3 3 3" xfId="15502" xr:uid="{00000000-0005-0000-0000-00001C910000}"/>
    <cellStyle name="Note 2 2 3 3 3 3 2" xfId="17978" xr:uid="{00000000-0005-0000-0000-00001D910000}"/>
    <cellStyle name="Note 2 2 3 3 3 3 2 2" xfId="37332" xr:uid="{00000000-0005-0000-0000-00001E910000}"/>
    <cellStyle name="Note 2 2 3 3 3 3 3" xfId="20409" xr:uid="{00000000-0005-0000-0000-00001F910000}"/>
    <cellStyle name="Note 2 2 3 3 3 3 3 2" xfId="39762" xr:uid="{00000000-0005-0000-0000-000020910000}"/>
    <cellStyle name="Note 2 2 3 3 3 3 4" xfId="22922" xr:uid="{00000000-0005-0000-0000-000021910000}"/>
    <cellStyle name="Note 2 2 3 3 3 3 4 2" xfId="42264" xr:uid="{00000000-0005-0000-0000-000022910000}"/>
    <cellStyle name="Note 2 2 3 3 3 3 5" xfId="34863" xr:uid="{00000000-0005-0000-0000-000023910000}"/>
    <cellStyle name="Note 2 2 3 3 3 4" xfId="15961" xr:uid="{00000000-0005-0000-0000-000024910000}"/>
    <cellStyle name="Note 2 2 3 3 3 4 2" xfId="18437" xr:uid="{00000000-0005-0000-0000-000025910000}"/>
    <cellStyle name="Note 2 2 3 3 3 4 2 2" xfId="37791" xr:uid="{00000000-0005-0000-0000-000026910000}"/>
    <cellStyle name="Note 2 2 3 3 3 4 3" xfId="20868" xr:uid="{00000000-0005-0000-0000-000027910000}"/>
    <cellStyle name="Note 2 2 3 3 3 4 3 2" xfId="40221" xr:uid="{00000000-0005-0000-0000-000028910000}"/>
    <cellStyle name="Note 2 2 3 3 3 4 4" xfId="23381" xr:uid="{00000000-0005-0000-0000-000029910000}"/>
    <cellStyle name="Note 2 2 3 3 3 4 4 2" xfId="42723" xr:uid="{00000000-0005-0000-0000-00002A910000}"/>
    <cellStyle name="Note 2 2 3 3 3 4 5" xfId="35322" xr:uid="{00000000-0005-0000-0000-00002B910000}"/>
    <cellStyle name="Note 2 2 3 3 3 5" xfId="14179" xr:uid="{00000000-0005-0000-0000-00002C910000}"/>
    <cellStyle name="Note 2 2 3 3 3 5 2" xfId="33543" xr:uid="{00000000-0005-0000-0000-00002D910000}"/>
    <cellStyle name="Note 2 2 3 3 3 6" xfId="16685" xr:uid="{00000000-0005-0000-0000-00002E910000}"/>
    <cellStyle name="Note 2 2 3 3 3 6 2" xfId="36039" xr:uid="{00000000-0005-0000-0000-00002F910000}"/>
    <cellStyle name="Note 2 2 3 3 3 7" xfId="19116" xr:uid="{00000000-0005-0000-0000-000030910000}"/>
    <cellStyle name="Note 2 2 3 3 3 7 2" xfId="38469" xr:uid="{00000000-0005-0000-0000-000031910000}"/>
    <cellStyle name="Note 2 2 3 3 3 8" xfId="21602" xr:uid="{00000000-0005-0000-0000-000032910000}"/>
    <cellStyle name="Note 2 2 3 3 3 8 2" xfId="40944" xr:uid="{00000000-0005-0000-0000-000033910000}"/>
    <cellStyle name="Note 2 2 3 3 3 9" xfId="28165" xr:uid="{00000000-0005-0000-0000-000034910000}"/>
    <cellStyle name="Note 2 2 3 3 4" xfId="9638" xr:uid="{00000000-0005-0000-0000-000035910000}"/>
    <cellStyle name="Note 2 2 3 3 4 2" xfId="14476" xr:uid="{00000000-0005-0000-0000-000036910000}"/>
    <cellStyle name="Note 2 2 3 3 4 2 2" xfId="33837" xr:uid="{00000000-0005-0000-0000-000037910000}"/>
    <cellStyle name="Note 2 2 3 3 4 3" xfId="16966" xr:uid="{00000000-0005-0000-0000-000038910000}"/>
    <cellStyle name="Note 2 2 3 3 4 3 2" xfId="36320" xr:uid="{00000000-0005-0000-0000-000039910000}"/>
    <cellStyle name="Note 2 2 3 3 4 4" xfId="19397" xr:uid="{00000000-0005-0000-0000-00003A910000}"/>
    <cellStyle name="Note 2 2 3 3 4 4 2" xfId="38750" xr:uid="{00000000-0005-0000-0000-00003B910000}"/>
    <cellStyle name="Note 2 2 3 3 4 5" xfId="21896" xr:uid="{00000000-0005-0000-0000-00003C910000}"/>
    <cellStyle name="Note 2 2 3 3 4 5 2" xfId="41238" xr:uid="{00000000-0005-0000-0000-00003D910000}"/>
    <cellStyle name="Note 2 2 3 3 4 6" xfId="29108" xr:uid="{00000000-0005-0000-0000-00003E910000}"/>
    <cellStyle name="Note 2 2 3 3 5" xfId="13668" xr:uid="{00000000-0005-0000-0000-00003F910000}"/>
    <cellStyle name="Note 2 2 3 3 5 2" xfId="33034" xr:uid="{00000000-0005-0000-0000-000040910000}"/>
    <cellStyle name="Note 2 2 3 3 6" xfId="16188" xr:uid="{00000000-0005-0000-0000-000041910000}"/>
    <cellStyle name="Note 2 2 3 3 6 2" xfId="35542" xr:uid="{00000000-0005-0000-0000-000042910000}"/>
    <cellStyle name="Note 2 2 3 3 7" xfId="18619" xr:uid="{00000000-0005-0000-0000-000043910000}"/>
    <cellStyle name="Note 2 2 3 3 7 2" xfId="37972" xr:uid="{00000000-0005-0000-0000-000044910000}"/>
    <cellStyle name="Note 2 2 3 3 8" xfId="21093" xr:uid="{00000000-0005-0000-0000-000045910000}"/>
    <cellStyle name="Note 2 2 3 3 8 2" xfId="40435" xr:uid="{00000000-0005-0000-0000-000046910000}"/>
    <cellStyle name="Note 2 2 3 3 9" xfId="24616" xr:uid="{00000000-0005-0000-0000-000047910000}"/>
    <cellStyle name="Note 2 2 3 4" xfId="5734" xr:uid="{00000000-0005-0000-0000-000048910000}"/>
    <cellStyle name="Note 2 2 3 4 2" xfId="8687" xr:uid="{00000000-0005-0000-0000-000049910000}"/>
    <cellStyle name="Note 2 2 3 4 2 2" xfId="12994" xr:uid="{00000000-0005-0000-0000-00004A910000}"/>
    <cellStyle name="Note 2 2 3 4 2 2 2" xfId="32464" xr:uid="{00000000-0005-0000-0000-00004B910000}"/>
    <cellStyle name="Note 2 2 3 4 2 3" xfId="14588" xr:uid="{00000000-0005-0000-0000-00004C910000}"/>
    <cellStyle name="Note 2 2 3 4 2 3 2" xfId="33949" xr:uid="{00000000-0005-0000-0000-00004D910000}"/>
    <cellStyle name="Note 2 2 3 4 2 4" xfId="17072" xr:uid="{00000000-0005-0000-0000-00004E910000}"/>
    <cellStyle name="Note 2 2 3 4 2 4 2" xfId="36426" xr:uid="{00000000-0005-0000-0000-00004F910000}"/>
    <cellStyle name="Note 2 2 3 4 2 5" xfId="19503" xr:uid="{00000000-0005-0000-0000-000050910000}"/>
    <cellStyle name="Note 2 2 3 4 2 5 2" xfId="38856" xr:uid="{00000000-0005-0000-0000-000051910000}"/>
    <cellStyle name="Note 2 2 3 4 2 6" xfId="22008" xr:uid="{00000000-0005-0000-0000-000052910000}"/>
    <cellStyle name="Note 2 2 3 4 2 6 2" xfId="41350" xr:uid="{00000000-0005-0000-0000-000053910000}"/>
    <cellStyle name="Note 2 2 3 4 2 7" xfId="28167" xr:uid="{00000000-0005-0000-0000-000054910000}"/>
    <cellStyle name="Note 2 2 3 4 3" xfId="10168" xr:uid="{00000000-0005-0000-0000-000055910000}"/>
    <cellStyle name="Note 2 2 3 4 3 2" xfId="15145" xr:uid="{00000000-0005-0000-0000-000056910000}"/>
    <cellStyle name="Note 2 2 3 4 3 2 2" xfId="34506" xr:uid="{00000000-0005-0000-0000-000057910000}"/>
    <cellStyle name="Note 2 2 3 4 3 3" xfId="17621" xr:uid="{00000000-0005-0000-0000-000058910000}"/>
    <cellStyle name="Note 2 2 3 4 3 3 2" xfId="36975" xr:uid="{00000000-0005-0000-0000-000059910000}"/>
    <cellStyle name="Note 2 2 3 4 3 4" xfId="20052" xr:uid="{00000000-0005-0000-0000-00005A910000}"/>
    <cellStyle name="Note 2 2 3 4 3 4 2" xfId="39405" xr:uid="{00000000-0005-0000-0000-00005B910000}"/>
    <cellStyle name="Note 2 2 3 4 3 5" xfId="22565" xr:uid="{00000000-0005-0000-0000-00005C910000}"/>
    <cellStyle name="Note 2 2 3 4 3 5 2" xfId="41907" xr:uid="{00000000-0005-0000-0000-00005D910000}"/>
    <cellStyle name="Note 2 2 3 4 3 6" xfId="29638" xr:uid="{00000000-0005-0000-0000-00005E910000}"/>
    <cellStyle name="Note 2 2 3 4 4" xfId="15626" xr:uid="{00000000-0005-0000-0000-00005F910000}"/>
    <cellStyle name="Note 2 2 3 4 4 2" xfId="18102" xr:uid="{00000000-0005-0000-0000-000060910000}"/>
    <cellStyle name="Note 2 2 3 4 4 2 2" xfId="37456" xr:uid="{00000000-0005-0000-0000-000061910000}"/>
    <cellStyle name="Note 2 2 3 4 4 3" xfId="20533" xr:uid="{00000000-0005-0000-0000-000062910000}"/>
    <cellStyle name="Note 2 2 3 4 4 3 2" xfId="39886" xr:uid="{00000000-0005-0000-0000-000063910000}"/>
    <cellStyle name="Note 2 2 3 4 4 4" xfId="23046" xr:uid="{00000000-0005-0000-0000-000064910000}"/>
    <cellStyle name="Note 2 2 3 4 4 4 2" xfId="42388" xr:uid="{00000000-0005-0000-0000-000065910000}"/>
    <cellStyle name="Note 2 2 3 4 4 5" xfId="34987" xr:uid="{00000000-0005-0000-0000-000066910000}"/>
    <cellStyle name="Note 2 2 3 4 5" xfId="13789" xr:uid="{00000000-0005-0000-0000-000067910000}"/>
    <cellStyle name="Note 2 2 3 4 5 2" xfId="33153" xr:uid="{00000000-0005-0000-0000-000068910000}"/>
    <cellStyle name="Note 2 2 3 4 6" xfId="16301" xr:uid="{00000000-0005-0000-0000-000069910000}"/>
    <cellStyle name="Note 2 2 3 4 6 2" xfId="35655" xr:uid="{00000000-0005-0000-0000-00006A910000}"/>
    <cellStyle name="Note 2 2 3 4 7" xfId="18732" xr:uid="{00000000-0005-0000-0000-00006B910000}"/>
    <cellStyle name="Note 2 2 3 4 7 2" xfId="38085" xr:uid="{00000000-0005-0000-0000-00006C910000}"/>
    <cellStyle name="Note 2 2 3 4 8" xfId="21212" xr:uid="{00000000-0005-0000-0000-00006D910000}"/>
    <cellStyle name="Note 2 2 3 4 8 2" xfId="40554" xr:uid="{00000000-0005-0000-0000-00006E910000}"/>
    <cellStyle name="Note 2 2 3 4 9" xfId="25219" xr:uid="{00000000-0005-0000-0000-00006F910000}"/>
    <cellStyle name="Note 2 2 3 5" xfId="8680" xr:uid="{00000000-0005-0000-0000-000070910000}"/>
    <cellStyle name="Note 2 2 3 5 2" xfId="12987" xr:uid="{00000000-0005-0000-0000-000071910000}"/>
    <cellStyle name="Note 2 2 3 5 2 2" xfId="14810" xr:uid="{00000000-0005-0000-0000-000072910000}"/>
    <cellStyle name="Note 2 2 3 5 2 2 2" xfId="34171" xr:uid="{00000000-0005-0000-0000-000073910000}"/>
    <cellStyle name="Note 2 2 3 5 2 3" xfId="17288" xr:uid="{00000000-0005-0000-0000-000074910000}"/>
    <cellStyle name="Note 2 2 3 5 2 3 2" xfId="36642" xr:uid="{00000000-0005-0000-0000-000075910000}"/>
    <cellStyle name="Note 2 2 3 5 2 4" xfId="19719" xr:uid="{00000000-0005-0000-0000-000076910000}"/>
    <cellStyle name="Note 2 2 3 5 2 4 2" xfId="39072" xr:uid="{00000000-0005-0000-0000-000077910000}"/>
    <cellStyle name="Note 2 2 3 5 2 5" xfId="22230" xr:uid="{00000000-0005-0000-0000-000078910000}"/>
    <cellStyle name="Note 2 2 3 5 2 5 2" xfId="41572" xr:uid="{00000000-0005-0000-0000-000079910000}"/>
    <cellStyle name="Note 2 2 3 5 2 6" xfId="32457" xr:uid="{00000000-0005-0000-0000-00007A910000}"/>
    <cellStyle name="Note 2 2 3 5 3" xfId="15358" xr:uid="{00000000-0005-0000-0000-00007B910000}"/>
    <cellStyle name="Note 2 2 3 5 3 2" xfId="17834" xr:uid="{00000000-0005-0000-0000-00007C910000}"/>
    <cellStyle name="Note 2 2 3 5 3 2 2" xfId="37188" xr:uid="{00000000-0005-0000-0000-00007D910000}"/>
    <cellStyle name="Note 2 2 3 5 3 3" xfId="20265" xr:uid="{00000000-0005-0000-0000-00007E910000}"/>
    <cellStyle name="Note 2 2 3 5 3 3 2" xfId="39618" xr:uid="{00000000-0005-0000-0000-00007F910000}"/>
    <cellStyle name="Note 2 2 3 5 3 4" xfId="22778" xr:uid="{00000000-0005-0000-0000-000080910000}"/>
    <cellStyle name="Note 2 2 3 5 3 4 2" xfId="42120" xr:uid="{00000000-0005-0000-0000-000081910000}"/>
    <cellStyle name="Note 2 2 3 5 3 5" xfId="34719" xr:uid="{00000000-0005-0000-0000-000082910000}"/>
    <cellStyle name="Note 2 2 3 5 4" xfId="15817" xr:uid="{00000000-0005-0000-0000-000083910000}"/>
    <cellStyle name="Note 2 2 3 5 4 2" xfId="18293" xr:uid="{00000000-0005-0000-0000-000084910000}"/>
    <cellStyle name="Note 2 2 3 5 4 2 2" xfId="37647" xr:uid="{00000000-0005-0000-0000-000085910000}"/>
    <cellStyle name="Note 2 2 3 5 4 3" xfId="20724" xr:uid="{00000000-0005-0000-0000-000086910000}"/>
    <cellStyle name="Note 2 2 3 5 4 3 2" xfId="40077" xr:uid="{00000000-0005-0000-0000-000087910000}"/>
    <cellStyle name="Note 2 2 3 5 4 4" xfId="23237" xr:uid="{00000000-0005-0000-0000-000088910000}"/>
    <cellStyle name="Note 2 2 3 5 4 4 2" xfId="42579" xr:uid="{00000000-0005-0000-0000-000089910000}"/>
    <cellStyle name="Note 2 2 3 5 4 5" xfId="35178" xr:uid="{00000000-0005-0000-0000-00008A910000}"/>
    <cellStyle name="Note 2 2 3 5 5" xfId="14015" xr:uid="{00000000-0005-0000-0000-00008B910000}"/>
    <cellStyle name="Note 2 2 3 5 5 2" xfId="33379" xr:uid="{00000000-0005-0000-0000-00008C910000}"/>
    <cellStyle name="Note 2 2 3 5 6" xfId="16521" xr:uid="{00000000-0005-0000-0000-00008D910000}"/>
    <cellStyle name="Note 2 2 3 5 6 2" xfId="35875" xr:uid="{00000000-0005-0000-0000-00008E910000}"/>
    <cellStyle name="Note 2 2 3 5 7" xfId="18952" xr:uid="{00000000-0005-0000-0000-00008F910000}"/>
    <cellStyle name="Note 2 2 3 5 7 2" xfId="38305" xr:uid="{00000000-0005-0000-0000-000090910000}"/>
    <cellStyle name="Note 2 2 3 5 8" xfId="21438" xr:uid="{00000000-0005-0000-0000-000091910000}"/>
    <cellStyle name="Note 2 2 3 5 8 2" xfId="40780" xr:uid="{00000000-0005-0000-0000-000092910000}"/>
    <cellStyle name="Note 2 2 3 5 9" xfId="28160" xr:uid="{00000000-0005-0000-0000-000093910000}"/>
    <cellStyle name="Note 2 2 3 6" xfId="9107" xr:uid="{00000000-0005-0000-0000-000094910000}"/>
    <cellStyle name="Note 2 2 3 6 2" xfId="14307" xr:uid="{00000000-0005-0000-0000-000095910000}"/>
    <cellStyle name="Note 2 2 3 6 2 2" xfId="33668" xr:uid="{00000000-0005-0000-0000-000096910000}"/>
    <cellStyle name="Note 2 2 3 6 3" xfId="16803" xr:uid="{00000000-0005-0000-0000-000097910000}"/>
    <cellStyle name="Note 2 2 3 6 3 2" xfId="36157" xr:uid="{00000000-0005-0000-0000-000098910000}"/>
    <cellStyle name="Note 2 2 3 6 4" xfId="19234" xr:uid="{00000000-0005-0000-0000-000099910000}"/>
    <cellStyle name="Note 2 2 3 6 4 2" xfId="38587" xr:uid="{00000000-0005-0000-0000-00009A910000}"/>
    <cellStyle name="Note 2 2 3 6 5" xfId="21727" xr:uid="{00000000-0005-0000-0000-00009B910000}"/>
    <cellStyle name="Note 2 2 3 6 5 2" xfId="41069" xr:uid="{00000000-0005-0000-0000-00009C910000}"/>
    <cellStyle name="Note 2 2 3 6 6" xfId="28578" xr:uid="{00000000-0005-0000-0000-00009D910000}"/>
    <cellStyle name="Note 2 2 3 7" xfId="13477" xr:uid="{00000000-0005-0000-0000-00009E910000}"/>
    <cellStyle name="Note 2 2 3 7 2" xfId="32855" xr:uid="{00000000-0005-0000-0000-00009F910000}"/>
    <cellStyle name="Note 2 2 3 8" xfId="16043" xr:uid="{00000000-0005-0000-0000-0000A0910000}"/>
    <cellStyle name="Note 2 2 3 8 2" xfId="35397" xr:uid="{00000000-0005-0000-0000-0000A1910000}"/>
    <cellStyle name="Note 2 2 3 9" xfId="13308" xr:uid="{00000000-0005-0000-0000-0000A2910000}"/>
    <cellStyle name="Note 2 2 3 9 2" xfId="32739" xr:uid="{00000000-0005-0000-0000-0000A3910000}"/>
    <cellStyle name="Note 2 2 4" xfId="4916" xr:uid="{00000000-0005-0000-0000-0000A4910000}"/>
    <cellStyle name="Note 2 2 4 2" xfId="6668" xr:uid="{00000000-0005-0000-0000-0000A5910000}"/>
    <cellStyle name="Note 2 2 4 2 2" xfId="14622" xr:uid="{00000000-0005-0000-0000-0000A6910000}"/>
    <cellStyle name="Note 2 2 4 2 2 2" xfId="17106" xr:uid="{00000000-0005-0000-0000-0000A7910000}"/>
    <cellStyle name="Note 2 2 4 2 2 2 2" xfId="36460" xr:uid="{00000000-0005-0000-0000-0000A8910000}"/>
    <cellStyle name="Note 2 2 4 2 2 3" xfId="19537" xr:uid="{00000000-0005-0000-0000-0000A9910000}"/>
    <cellStyle name="Note 2 2 4 2 2 3 2" xfId="38890" xr:uid="{00000000-0005-0000-0000-0000AA910000}"/>
    <cellStyle name="Note 2 2 4 2 2 4" xfId="22042" xr:uid="{00000000-0005-0000-0000-0000AB910000}"/>
    <cellStyle name="Note 2 2 4 2 2 4 2" xfId="41384" xr:uid="{00000000-0005-0000-0000-0000AC910000}"/>
    <cellStyle name="Note 2 2 4 2 2 5" xfId="33983" xr:uid="{00000000-0005-0000-0000-0000AD910000}"/>
    <cellStyle name="Note 2 2 4 2 3" xfId="15179" xr:uid="{00000000-0005-0000-0000-0000AE910000}"/>
    <cellStyle name="Note 2 2 4 2 3 2" xfId="17655" xr:uid="{00000000-0005-0000-0000-0000AF910000}"/>
    <cellStyle name="Note 2 2 4 2 3 2 2" xfId="37009" xr:uid="{00000000-0005-0000-0000-0000B0910000}"/>
    <cellStyle name="Note 2 2 4 2 3 3" xfId="20086" xr:uid="{00000000-0005-0000-0000-0000B1910000}"/>
    <cellStyle name="Note 2 2 4 2 3 3 2" xfId="39439" xr:uid="{00000000-0005-0000-0000-0000B2910000}"/>
    <cellStyle name="Note 2 2 4 2 3 4" xfId="22599" xr:uid="{00000000-0005-0000-0000-0000B3910000}"/>
    <cellStyle name="Note 2 2 4 2 3 4 2" xfId="41941" xr:uid="{00000000-0005-0000-0000-0000B4910000}"/>
    <cellStyle name="Note 2 2 4 2 3 5" xfId="34540" xr:uid="{00000000-0005-0000-0000-0000B5910000}"/>
    <cellStyle name="Note 2 2 4 2 4" xfId="15659" xr:uid="{00000000-0005-0000-0000-0000B6910000}"/>
    <cellStyle name="Note 2 2 4 2 4 2" xfId="18135" xr:uid="{00000000-0005-0000-0000-0000B7910000}"/>
    <cellStyle name="Note 2 2 4 2 4 2 2" xfId="37489" xr:uid="{00000000-0005-0000-0000-0000B8910000}"/>
    <cellStyle name="Note 2 2 4 2 4 3" xfId="20566" xr:uid="{00000000-0005-0000-0000-0000B9910000}"/>
    <cellStyle name="Note 2 2 4 2 4 3 2" xfId="39919" xr:uid="{00000000-0005-0000-0000-0000BA910000}"/>
    <cellStyle name="Note 2 2 4 2 4 4" xfId="23079" xr:uid="{00000000-0005-0000-0000-0000BB910000}"/>
    <cellStyle name="Note 2 2 4 2 4 4 2" xfId="42421" xr:uid="{00000000-0005-0000-0000-0000BC910000}"/>
    <cellStyle name="Note 2 2 4 2 4 5" xfId="35020" xr:uid="{00000000-0005-0000-0000-0000BD910000}"/>
    <cellStyle name="Note 2 2 4 2 5" xfId="13827" xr:uid="{00000000-0005-0000-0000-0000BE910000}"/>
    <cellStyle name="Note 2 2 4 2 5 2" xfId="33191" xr:uid="{00000000-0005-0000-0000-0000BF910000}"/>
    <cellStyle name="Note 2 2 4 2 6" xfId="16339" xr:uid="{00000000-0005-0000-0000-0000C0910000}"/>
    <cellStyle name="Note 2 2 4 2 6 2" xfId="35693" xr:uid="{00000000-0005-0000-0000-0000C1910000}"/>
    <cellStyle name="Note 2 2 4 2 7" xfId="18770" xr:uid="{00000000-0005-0000-0000-0000C2910000}"/>
    <cellStyle name="Note 2 2 4 2 7 2" xfId="38123" xr:uid="{00000000-0005-0000-0000-0000C3910000}"/>
    <cellStyle name="Note 2 2 4 2 8" xfId="21250" xr:uid="{00000000-0005-0000-0000-0000C4910000}"/>
    <cellStyle name="Note 2 2 4 2 8 2" xfId="40592" xr:uid="{00000000-0005-0000-0000-0000C5910000}"/>
    <cellStyle name="Note 2 2 4 2 9" xfId="26153" xr:uid="{00000000-0005-0000-0000-0000C6910000}"/>
    <cellStyle name="Note 2 2 4 3" xfId="14048" xr:uid="{00000000-0005-0000-0000-0000C7910000}"/>
    <cellStyle name="Note 2 2 4 3 2" xfId="14843" xr:uid="{00000000-0005-0000-0000-0000C8910000}"/>
    <cellStyle name="Note 2 2 4 3 2 2" xfId="17321" xr:uid="{00000000-0005-0000-0000-0000C9910000}"/>
    <cellStyle name="Note 2 2 4 3 2 2 2" xfId="36675" xr:uid="{00000000-0005-0000-0000-0000CA910000}"/>
    <cellStyle name="Note 2 2 4 3 2 3" xfId="19752" xr:uid="{00000000-0005-0000-0000-0000CB910000}"/>
    <cellStyle name="Note 2 2 4 3 2 3 2" xfId="39105" xr:uid="{00000000-0005-0000-0000-0000CC910000}"/>
    <cellStyle name="Note 2 2 4 3 2 4" xfId="22263" xr:uid="{00000000-0005-0000-0000-0000CD910000}"/>
    <cellStyle name="Note 2 2 4 3 2 4 2" xfId="41605" xr:uid="{00000000-0005-0000-0000-0000CE910000}"/>
    <cellStyle name="Note 2 2 4 3 2 5" xfId="34204" xr:uid="{00000000-0005-0000-0000-0000CF910000}"/>
    <cellStyle name="Note 2 2 4 3 3" xfId="15391" xr:uid="{00000000-0005-0000-0000-0000D0910000}"/>
    <cellStyle name="Note 2 2 4 3 3 2" xfId="17867" xr:uid="{00000000-0005-0000-0000-0000D1910000}"/>
    <cellStyle name="Note 2 2 4 3 3 2 2" xfId="37221" xr:uid="{00000000-0005-0000-0000-0000D2910000}"/>
    <cellStyle name="Note 2 2 4 3 3 3" xfId="20298" xr:uid="{00000000-0005-0000-0000-0000D3910000}"/>
    <cellStyle name="Note 2 2 4 3 3 3 2" xfId="39651" xr:uid="{00000000-0005-0000-0000-0000D4910000}"/>
    <cellStyle name="Note 2 2 4 3 3 4" xfId="22811" xr:uid="{00000000-0005-0000-0000-0000D5910000}"/>
    <cellStyle name="Note 2 2 4 3 3 4 2" xfId="42153" xr:uid="{00000000-0005-0000-0000-0000D6910000}"/>
    <cellStyle name="Note 2 2 4 3 3 5" xfId="34752" xr:uid="{00000000-0005-0000-0000-0000D7910000}"/>
    <cellStyle name="Note 2 2 4 3 4" xfId="15850" xr:uid="{00000000-0005-0000-0000-0000D8910000}"/>
    <cellStyle name="Note 2 2 4 3 4 2" xfId="18326" xr:uid="{00000000-0005-0000-0000-0000D9910000}"/>
    <cellStyle name="Note 2 2 4 3 4 2 2" xfId="37680" xr:uid="{00000000-0005-0000-0000-0000DA910000}"/>
    <cellStyle name="Note 2 2 4 3 4 3" xfId="20757" xr:uid="{00000000-0005-0000-0000-0000DB910000}"/>
    <cellStyle name="Note 2 2 4 3 4 3 2" xfId="40110" xr:uid="{00000000-0005-0000-0000-0000DC910000}"/>
    <cellStyle name="Note 2 2 4 3 4 4" xfId="23270" xr:uid="{00000000-0005-0000-0000-0000DD910000}"/>
    <cellStyle name="Note 2 2 4 3 4 4 2" xfId="42612" xr:uid="{00000000-0005-0000-0000-0000DE910000}"/>
    <cellStyle name="Note 2 2 4 3 4 5" xfId="35211" xr:uid="{00000000-0005-0000-0000-0000DF910000}"/>
    <cellStyle name="Note 2 2 4 3 5" xfId="16554" xr:uid="{00000000-0005-0000-0000-0000E0910000}"/>
    <cellStyle name="Note 2 2 4 3 5 2" xfId="35908" xr:uid="{00000000-0005-0000-0000-0000E1910000}"/>
    <cellStyle name="Note 2 2 4 3 6" xfId="18985" xr:uid="{00000000-0005-0000-0000-0000E2910000}"/>
    <cellStyle name="Note 2 2 4 3 6 2" xfId="38338" xr:uid="{00000000-0005-0000-0000-0000E3910000}"/>
    <cellStyle name="Note 2 2 4 3 7" xfId="21471" xr:uid="{00000000-0005-0000-0000-0000E4910000}"/>
    <cellStyle name="Note 2 2 4 3 7 2" xfId="40813" xr:uid="{00000000-0005-0000-0000-0000E5910000}"/>
    <cellStyle name="Note 2 2 4 3 8" xfId="33412" xr:uid="{00000000-0005-0000-0000-0000E6910000}"/>
    <cellStyle name="Note 2 2 4 4" xfId="14343" xr:uid="{00000000-0005-0000-0000-0000E7910000}"/>
    <cellStyle name="Note 2 2 4 4 2" xfId="16839" xr:uid="{00000000-0005-0000-0000-0000E8910000}"/>
    <cellStyle name="Note 2 2 4 4 2 2" xfId="36193" xr:uid="{00000000-0005-0000-0000-0000E9910000}"/>
    <cellStyle name="Note 2 2 4 4 3" xfId="19270" xr:uid="{00000000-0005-0000-0000-0000EA910000}"/>
    <cellStyle name="Note 2 2 4 4 3 2" xfId="38623" xr:uid="{00000000-0005-0000-0000-0000EB910000}"/>
    <cellStyle name="Note 2 2 4 4 4" xfId="21763" xr:uid="{00000000-0005-0000-0000-0000EC910000}"/>
    <cellStyle name="Note 2 2 4 4 4 2" xfId="41105" xr:uid="{00000000-0005-0000-0000-0000ED910000}"/>
    <cellStyle name="Note 2 2 4 4 5" xfId="33704" xr:uid="{00000000-0005-0000-0000-0000EE910000}"/>
    <cellStyle name="Note 2 2 4 5" xfId="13527" xr:uid="{00000000-0005-0000-0000-0000EF910000}"/>
    <cellStyle name="Note 2 2 4 5 2" xfId="32902" xr:uid="{00000000-0005-0000-0000-0000F0910000}"/>
    <cellStyle name="Note 2 2 4 6" xfId="18488" xr:uid="{00000000-0005-0000-0000-0000F1910000}"/>
    <cellStyle name="Note 2 2 4 6 2" xfId="37841" xr:uid="{00000000-0005-0000-0000-0000F2910000}"/>
    <cellStyle name="Note 2 2 4 7" xfId="24410" xr:uid="{00000000-0005-0000-0000-0000F3910000}"/>
    <cellStyle name="Note 2 2 5" xfId="5501" xr:uid="{00000000-0005-0000-0000-0000F4910000}"/>
    <cellStyle name="Note 2 2 5 2" xfId="14498" xr:uid="{00000000-0005-0000-0000-0000F5910000}"/>
    <cellStyle name="Note 2 2 5 2 2" xfId="16988" xr:uid="{00000000-0005-0000-0000-0000F6910000}"/>
    <cellStyle name="Note 2 2 5 2 2 2" xfId="36342" xr:uid="{00000000-0005-0000-0000-0000F7910000}"/>
    <cellStyle name="Note 2 2 5 2 3" xfId="19419" xr:uid="{00000000-0005-0000-0000-0000F8910000}"/>
    <cellStyle name="Note 2 2 5 2 3 2" xfId="38772" xr:uid="{00000000-0005-0000-0000-0000F9910000}"/>
    <cellStyle name="Note 2 2 5 2 4" xfId="21918" xr:uid="{00000000-0005-0000-0000-0000FA910000}"/>
    <cellStyle name="Note 2 2 5 2 4 2" xfId="41260" xr:uid="{00000000-0005-0000-0000-0000FB910000}"/>
    <cellStyle name="Note 2 2 5 2 5" xfId="33859" xr:uid="{00000000-0005-0000-0000-0000FC910000}"/>
    <cellStyle name="Note 2 2 5 3" xfId="15062" xr:uid="{00000000-0005-0000-0000-0000FD910000}"/>
    <cellStyle name="Note 2 2 5 3 2" xfId="17538" xr:uid="{00000000-0005-0000-0000-0000FE910000}"/>
    <cellStyle name="Note 2 2 5 3 2 2" xfId="36892" xr:uid="{00000000-0005-0000-0000-0000FF910000}"/>
    <cellStyle name="Note 2 2 5 3 3" xfId="19969" xr:uid="{00000000-0005-0000-0000-000000920000}"/>
    <cellStyle name="Note 2 2 5 3 3 2" xfId="39322" xr:uid="{00000000-0005-0000-0000-000001920000}"/>
    <cellStyle name="Note 2 2 5 3 4" xfId="22482" xr:uid="{00000000-0005-0000-0000-000002920000}"/>
    <cellStyle name="Note 2 2 5 3 4 2" xfId="41824" xr:uid="{00000000-0005-0000-0000-000003920000}"/>
    <cellStyle name="Note 2 2 5 3 5" xfId="34423" xr:uid="{00000000-0005-0000-0000-000004920000}"/>
    <cellStyle name="Note 2 2 5 4" xfId="15545" xr:uid="{00000000-0005-0000-0000-000005920000}"/>
    <cellStyle name="Note 2 2 5 4 2" xfId="18021" xr:uid="{00000000-0005-0000-0000-000006920000}"/>
    <cellStyle name="Note 2 2 5 4 2 2" xfId="37375" xr:uid="{00000000-0005-0000-0000-000007920000}"/>
    <cellStyle name="Note 2 2 5 4 3" xfId="20452" xr:uid="{00000000-0005-0000-0000-000008920000}"/>
    <cellStyle name="Note 2 2 5 4 3 2" xfId="39805" xr:uid="{00000000-0005-0000-0000-000009920000}"/>
    <cellStyle name="Note 2 2 5 4 4" xfId="22965" xr:uid="{00000000-0005-0000-0000-00000A920000}"/>
    <cellStyle name="Note 2 2 5 4 4 2" xfId="42307" xr:uid="{00000000-0005-0000-0000-00000B920000}"/>
    <cellStyle name="Note 2 2 5 4 5" xfId="34906" xr:uid="{00000000-0005-0000-0000-00000C920000}"/>
    <cellStyle name="Note 2 2 5 5" xfId="13695" xr:uid="{00000000-0005-0000-0000-00000D920000}"/>
    <cellStyle name="Note 2 2 5 5 2" xfId="33060" xr:uid="{00000000-0005-0000-0000-00000E920000}"/>
    <cellStyle name="Note 2 2 5 6" xfId="16214" xr:uid="{00000000-0005-0000-0000-00000F920000}"/>
    <cellStyle name="Note 2 2 5 6 2" xfId="35568" xr:uid="{00000000-0005-0000-0000-000010920000}"/>
    <cellStyle name="Note 2 2 5 7" xfId="18645" xr:uid="{00000000-0005-0000-0000-000011920000}"/>
    <cellStyle name="Note 2 2 5 7 2" xfId="37998" xr:uid="{00000000-0005-0000-0000-000012920000}"/>
    <cellStyle name="Note 2 2 5 8" xfId="21119" xr:uid="{00000000-0005-0000-0000-000013920000}"/>
    <cellStyle name="Note 2 2 5 8 2" xfId="40461" xr:uid="{00000000-0005-0000-0000-000014920000}"/>
    <cellStyle name="Note 2 2 5 9" xfId="24989" xr:uid="{00000000-0005-0000-0000-000015920000}"/>
    <cellStyle name="Note 2 2 6" xfId="14246" xr:uid="{00000000-0005-0000-0000-000016920000}"/>
    <cellStyle name="Note 2 2 6 2" xfId="16749" xr:uid="{00000000-0005-0000-0000-000017920000}"/>
    <cellStyle name="Note 2 2 6 2 2" xfId="36103" xr:uid="{00000000-0005-0000-0000-000018920000}"/>
    <cellStyle name="Note 2 2 6 3" xfId="19180" xr:uid="{00000000-0005-0000-0000-000019920000}"/>
    <cellStyle name="Note 2 2 6 3 2" xfId="38533" xr:uid="{00000000-0005-0000-0000-00001A920000}"/>
    <cellStyle name="Note 2 2 6 4" xfId="21667" xr:uid="{00000000-0005-0000-0000-00001B920000}"/>
    <cellStyle name="Note 2 2 6 4 2" xfId="41009" xr:uid="{00000000-0005-0000-0000-00001C920000}"/>
    <cellStyle name="Note 2 2 6 5" xfId="33608" xr:uid="{00000000-0005-0000-0000-00001D920000}"/>
    <cellStyle name="Note 2 2 7" xfId="13336" xr:uid="{00000000-0005-0000-0000-00001E920000}"/>
    <cellStyle name="Note 2 2 7 2" xfId="32752" xr:uid="{00000000-0005-0000-0000-00001F920000}"/>
    <cellStyle name="Note 2 2 8" xfId="13243" xr:uid="{00000000-0005-0000-0000-000020920000}"/>
    <cellStyle name="Note 2 2 8 2" xfId="32696" xr:uid="{00000000-0005-0000-0000-000021920000}"/>
    <cellStyle name="Note 2 2 9" xfId="20907" xr:uid="{00000000-0005-0000-0000-000022920000}"/>
    <cellStyle name="Note 2 2 9 2" xfId="40252" xr:uid="{00000000-0005-0000-0000-000023920000}"/>
    <cellStyle name="Note 2 3" xfId="2765" xr:uid="{00000000-0005-0000-0000-000024920000}"/>
    <cellStyle name="Note 2 3 10" xfId="13729" xr:uid="{00000000-0005-0000-0000-000025920000}"/>
    <cellStyle name="Note 2 3 10 2" xfId="33094" xr:uid="{00000000-0005-0000-0000-000026920000}"/>
    <cellStyle name="Note 2 3 11" xfId="16248" xr:uid="{00000000-0005-0000-0000-000027920000}"/>
    <cellStyle name="Note 2 3 11 2" xfId="35602" xr:uid="{00000000-0005-0000-0000-000028920000}"/>
    <cellStyle name="Note 2 3 12" xfId="18679" xr:uid="{00000000-0005-0000-0000-000029920000}"/>
    <cellStyle name="Note 2 3 12 2" xfId="38032" xr:uid="{00000000-0005-0000-0000-00002A920000}"/>
    <cellStyle name="Note 2 3 13" xfId="21153" xr:uid="{00000000-0005-0000-0000-00002B920000}"/>
    <cellStyle name="Note 2 3 13 2" xfId="40495" xr:uid="{00000000-0005-0000-0000-00002C920000}"/>
    <cellStyle name="Note 2 3 14" xfId="23586" xr:uid="{00000000-0005-0000-0000-00002D920000}"/>
    <cellStyle name="Note 2 3 2" xfId="2893" xr:uid="{00000000-0005-0000-0000-00002E920000}"/>
    <cellStyle name="Note 2 3 2 10" xfId="17022" xr:uid="{00000000-0005-0000-0000-00002F920000}"/>
    <cellStyle name="Note 2 3 2 10 2" xfId="36376" xr:uid="{00000000-0005-0000-0000-000030920000}"/>
    <cellStyle name="Note 2 3 2 11" xfId="19453" xr:uid="{00000000-0005-0000-0000-000031920000}"/>
    <cellStyle name="Note 2 3 2 11 2" xfId="38806" xr:uid="{00000000-0005-0000-0000-000032920000}"/>
    <cellStyle name="Note 2 3 2 12" xfId="21952" xr:uid="{00000000-0005-0000-0000-000033920000}"/>
    <cellStyle name="Note 2 3 2 12 2" xfId="41294" xr:uid="{00000000-0005-0000-0000-000034920000}"/>
    <cellStyle name="Note 2 3 2 13" xfId="23704" xr:uid="{00000000-0005-0000-0000-000035920000}"/>
    <cellStyle name="Note 2 3 2 2" xfId="3087" xr:uid="{00000000-0005-0000-0000-000036920000}"/>
    <cellStyle name="Note 2 3 2 2 2" xfId="4714" xr:uid="{00000000-0005-0000-0000-000037920000}"/>
    <cellStyle name="Note 2 3 2 2 2 2" xfId="5348" xr:uid="{00000000-0005-0000-0000-000038920000}"/>
    <cellStyle name="Note 2 3 2 2 2 2 2" xfId="6482" xr:uid="{00000000-0005-0000-0000-000039920000}"/>
    <cellStyle name="Note 2 3 2 2 2 2 2 2" xfId="8693" xr:uid="{00000000-0005-0000-0000-00003A920000}"/>
    <cellStyle name="Note 2 3 2 2 2 2 2 2 2" xfId="13000" xr:uid="{00000000-0005-0000-0000-00003B920000}"/>
    <cellStyle name="Note 2 3 2 2 2 2 2 2 2 2" xfId="32470" xr:uid="{00000000-0005-0000-0000-00003C920000}"/>
    <cellStyle name="Note 2 3 2 2 2 2 2 2 3" xfId="28173" xr:uid="{00000000-0005-0000-0000-00003D920000}"/>
    <cellStyle name="Note 2 3 2 2 2 2 2 3" xfId="10898" xr:uid="{00000000-0005-0000-0000-00003E920000}"/>
    <cellStyle name="Note 2 3 2 2 2 2 2 3 2" xfId="30368" xr:uid="{00000000-0005-0000-0000-00003F920000}"/>
    <cellStyle name="Note 2 3 2 2 2 2 2 4" xfId="25967" xr:uid="{00000000-0005-0000-0000-000040920000}"/>
    <cellStyle name="Note 2 3 2 2 2 2 3" xfId="8692" xr:uid="{00000000-0005-0000-0000-000041920000}"/>
    <cellStyle name="Note 2 3 2 2 2 2 3 2" xfId="12999" xr:uid="{00000000-0005-0000-0000-000042920000}"/>
    <cellStyle name="Note 2 3 2 2 2 2 3 2 2" xfId="32469" xr:uid="{00000000-0005-0000-0000-000043920000}"/>
    <cellStyle name="Note 2 3 2 2 2 2 3 3" xfId="28172" xr:uid="{00000000-0005-0000-0000-000044920000}"/>
    <cellStyle name="Note 2 3 2 2 2 2 4" xfId="9837" xr:uid="{00000000-0005-0000-0000-000045920000}"/>
    <cellStyle name="Note 2 3 2 2 2 2 4 2" xfId="29307" xr:uid="{00000000-0005-0000-0000-000046920000}"/>
    <cellStyle name="Note 2 3 2 2 2 2 5" xfId="24839" xr:uid="{00000000-0005-0000-0000-000047920000}"/>
    <cellStyle name="Note 2 3 2 2 2 3" xfId="5945" xr:uid="{00000000-0005-0000-0000-000048920000}"/>
    <cellStyle name="Note 2 3 2 2 2 3 2" xfId="8694" xr:uid="{00000000-0005-0000-0000-000049920000}"/>
    <cellStyle name="Note 2 3 2 2 2 3 2 2" xfId="13001" xr:uid="{00000000-0005-0000-0000-00004A920000}"/>
    <cellStyle name="Note 2 3 2 2 2 3 2 2 2" xfId="32471" xr:uid="{00000000-0005-0000-0000-00004B920000}"/>
    <cellStyle name="Note 2 3 2 2 2 3 2 3" xfId="28174" xr:uid="{00000000-0005-0000-0000-00004C920000}"/>
    <cellStyle name="Note 2 3 2 2 2 3 3" xfId="10367" xr:uid="{00000000-0005-0000-0000-00004D920000}"/>
    <cellStyle name="Note 2 3 2 2 2 3 3 2" xfId="29837" xr:uid="{00000000-0005-0000-0000-00004E920000}"/>
    <cellStyle name="Note 2 3 2 2 2 3 4" xfId="25430" xr:uid="{00000000-0005-0000-0000-00004F920000}"/>
    <cellStyle name="Note 2 3 2 2 2 4" xfId="8691" xr:uid="{00000000-0005-0000-0000-000050920000}"/>
    <cellStyle name="Note 2 3 2 2 2 4 2" xfId="12998" xr:uid="{00000000-0005-0000-0000-000051920000}"/>
    <cellStyle name="Note 2 3 2 2 2 4 2 2" xfId="32468" xr:uid="{00000000-0005-0000-0000-000052920000}"/>
    <cellStyle name="Note 2 3 2 2 2 4 3" xfId="28171" xr:uid="{00000000-0005-0000-0000-000053920000}"/>
    <cellStyle name="Note 2 3 2 2 2 5" xfId="9307" xr:uid="{00000000-0005-0000-0000-000054920000}"/>
    <cellStyle name="Note 2 3 2 2 2 5 2" xfId="28777" xr:uid="{00000000-0005-0000-0000-000055920000}"/>
    <cellStyle name="Note 2 3 2 2 2 6" xfId="24225" xr:uid="{00000000-0005-0000-0000-000056920000}"/>
    <cellStyle name="Note 2 3 2 2 3" xfId="5052" xr:uid="{00000000-0005-0000-0000-000057920000}"/>
    <cellStyle name="Note 2 3 2 2 3 2" xfId="6214" xr:uid="{00000000-0005-0000-0000-000058920000}"/>
    <cellStyle name="Note 2 3 2 2 3 2 2" xfId="8696" xr:uid="{00000000-0005-0000-0000-000059920000}"/>
    <cellStyle name="Note 2 3 2 2 3 2 2 2" xfId="13003" xr:uid="{00000000-0005-0000-0000-00005A920000}"/>
    <cellStyle name="Note 2 3 2 2 3 2 2 2 2" xfId="32473" xr:uid="{00000000-0005-0000-0000-00005B920000}"/>
    <cellStyle name="Note 2 3 2 2 3 2 2 3" xfId="28176" xr:uid="{00000000-0005-0000-0000-00005C920000}"/>
    <cellStyle name="Note 2 3 2 2 3 2 3" xfId="10632" xr:uid="{00000000-0005-0000-0000-00005D920000}"/>
    <cellStyle name="Note 2 3 2 2 3 2 3 2" xfId="30102" xr:uid="{00000000-0005-0000-0000-00005E920000}"/>
    <cellStyle name="Note 2 3 2 2 3 2 4" xfId="25699" xr:uid="{00000000-0005-0000-0000-00005F920000}"/>
    <cellStyle name="Note 2 3 2 2 3 3" xfId="8695" xr:uid="{00000000-0005-0000-0000-000060920000}"/>
    <cellStyle name="Note 2 3 2 2 3 3 2" xfId="13002" xr:uid="{00000000-0005-0000-0000-000061920000}"/>
    <cellStyle name="Note 2 3 2 2 3 3 2 2" xfId="32472" xr:uid="{00000000-0005-0000-0000-000062920000}"/>
    <cellStyle name="Note 2 3 2 2 3 3 3" xfId="28175" xr:uid="{00000000-0005-0000-0000-000063920000}"/>
    <cellStyle name="Note 2 3 2 2 3 4" xfId="9572" xr:uid="{00000000-0005-0000-0000-000064920000}"/>
    <cellStyle name="Note 2 3 2 2 3 4 2" xfId="29042" xr:uid="{00000000-0005-0000-0000-000065920000}"/>
    <cellStyle name="Note 2 3 2 2 3 5" xfId="24546" xr:uid="{00000000-0005-0000-0000-000066920000}"/>
    <cellStyle name="Note 2 3 2 2 4" xfId="5657" xr:uid="{00000000-0005-0000-0000-000067920000}"/>
    <cellStyle name="Note 2 3 2 2 4 2" xfId="8697" xr:uid="{00000000-0005-0000-0000-000068920000}"/>
    <cellStyle name="Note 2 3 2 2 4 2 2" xfId="13004" xr:uid="{00000000-0005-0000-0000-000069920000}"/>
    <cellStyle name="Note 2 3 2 2 4 2 2 2" xfId="32474" xr:uid="{00000000-0005-0000-0000-00006A920000}"/>
    <cellStyle name="Note 2 3 2 2 4 2 3" xfId="28177" xr:uid="{00000000-0005-0000-0000-00006B920000}"/>
    <cellStyle name="Note 2 3 2 2 4 3" xfId="10102" xr:uid="{00000000-0005-0000-0000-00006C920000}"/>
    <cellStyle name="Note 2 3 2 2 4 3 2" xfId="29572" xr:uid="{00000000-0005-0000-0000-00006D920000}"/>
    <cellStyle name="Note 2 3 2 2 4 4" xfId="25144" xr:uid="{00000000-0005-0000-0000-00006E920000}"/>
    <cellStyle name="Note 2 3 2 2 5" xfId="8690" xr:uid="{00000000-0005-0000-0000-00006F920000}"/>
    <cellStyle name="Note 2 3 2 2 5 2" xfId="12997" xr:uid="{00000000-0005-0000-0000-000070920000}"/>
    <cellStyle name="Note 2 3 2 2 5 2 2" xfId="32467" xr:uid="{00000000-0005-0000-0000-000071920000}"/>
    <cellStyle name="Note 2 3 2 2 5 3" xfId="28170" xr:uid="{00000000-0005-0000-0000-000072920000}"/>
    <cellStyle name="Note 2 3 2 2 6" xfId="9038" xr:uid="{00000000-0005-0000-0000-000073920000}"/>
    <cellStyle name="Note 2 3 2 2 6 2" xfId="28512" xr:uid="{00000000-0005-0000-0000-000074920000}"/>
    <cellStyle name="Note 2 3 2 2 7" xfId="23896" xr:uid="{00000000-0005-0000-0000-000075920000}"/>
    <cellStyle name="Note 2 3 2 3" xfId="4256" xr:uid="{00000000-0005-0000-0000-000076920000}"/>
    <cellStyle name="Note 2 3 2 3 2" xfId="4831" xr:uid="{00000000-0005-0000-0000-000077920000}"/>
    <cellStyle name="Note 2 3 2 3 2 2" xfId="5456" xr:uid="{00000000-0005-0000-0000-000078920000}"/>
    <cellStyle name="Note 2 3 2 3 2 2 2" xfId="6584" xr:uid="{00000000-0005-0000-0000-000079920000}"/>
    <cellStyle name="Note 2 3 2 3 2 2 2 2" xfId="8701" xr:uid="{00000000-0005-0000-0000-00007A920000}"/>
    <cellStyle name="Note 2 3 2 3 2 2 2 2 2" xfId="13008" xr:uid="{00000000-0005-0000-0000-00007B920000}"/>
    <cellStyle name="Note 2 3 2 3 2 2 2 2 2 2" xfId="32478" xr:uid="{00000000-0005-0000-0000-00007C920000}"/>
    <cellStyle name="Note 2 3 2 3 2 2 2 2 3" xfId="28181" xr:uid="{00000000-0005-0000-0000-00007D920000}"/>
    <cellStyle name="Note 2 3 2 3 2 2 2 3" xfId="11000" xr:uid="{00000000-0005-0000-0000-00007E920000}"/>
    <cellStyle name="Note 2 3 2 3 2 2 2 3 2" xfId="30470" xr:uid="{00000000-0005-0000-0000-00007F920000}"/>
    <cellStyle name="Note 2 3 2 3 2 2 2 4" xfId="26069" xr:uid="{00000000-0005-0000-0000-000080920000}"/>
    <cellStyle name="Note 2 3 2 3 2 2 3" xfId="8700" xr:uid="{00000000-0005-0000-0000-000081920000}"/>
    <cellStyle name="Note 2 3 2 3 2 2 3 2" xfId="13007" xr:uid="{00000000-0005-0000-0000-000082920000}"/>
    <cellStyle name="Note 2 3 2 3 2 2 3 2 2" xfId="32477" xr:uid="{00000000-0005-0000-0000-000083920000}"/>
    <cellStyle name="Note 2 3 2 3 2 2 3 3" xfId="28180" xr:uid="{00000000-0005-0000-0000-000084920000}"/>
    <cellStyle name="Note 2 3 2 3 2 2 4" xfId="9939" xr:uid="{00000000-0005-0000-0000-000085920000}"/>
    <cellStyle name="Note 2 3 2 3 2 2 4 2" xfId="29409" xr:uid="{00000000-0005-0000-0000-000086920000}"/>
    <cellStyle name="Note 2 3 2 3 2 2 5" xfId="24947" xr:uid="{00000000-0005-0000-0000-000087920000}"/>
    <cellStyle name="Note 2 3 2 3 2 3" xfId="6049" xr:uid="{00000000-0005-0000-0000-000088920000}"/>
    <cellStyle name="Note 2 3 2 3 2 3 2" xfId="8702" xr:uid="{00000000-0005-0000-0000-000089920000}"/>
    <cellStyle name="Note 2 3 2 3 2 3 2 2" xfId="13009" xr:uid="{00000000-0005-0000-0000-00008A920000}"/>
    <cellStyle name="Note 2 3 2 3 2 3 2 2 2" xfId="32479" xr:uid="{00000000-0005-0000-0000-00008B920000}"/>
    <cellStyle name="Note 2 3 2 3 2 3 2 3" xfId="28182" xr:uid="{00000000-0005-0000-0000-00008C920000}"/>
    <cellStyle name="Note 2 3 2 3 2 3 3" xfId="10469" xr:uid="{00000000-0005-0000-0000-00008D920000}"/>
    <cellStyle name="Note 2 3 2 3 2 3 3 2" xfId="29939" xr:uid="{00000000-0005-0000-0000-00008E920000}"/>
    <cellStyle name="Note 2 3 2 3 2 3 4" xfId="25534" xr:uid="{00000000-0005-0000-0000-00008F920000}"/>
    <cellStyle name="Note 2 3 2 3 2 4" xfId="8699" xr:uid="{00000000-0005-0000-0000-000090920000}"/>
    <cellStyle name="Note 2 3 2 3 2 4 2" xfId="13006" xr:uid="{00000000-0005-0000-0000-000091920000}"/>
    <cellStyle name="Note 2 3 2 3 2 4 2 2" xfId="32476" xr:uid="{00000000-0005-0000-0000-000092920000}"/>
    <cellStyle name="Note 2 3 2 3 2 4 3" xfId="28179" xr:uid="{00000000-0005-0000-0000-000093920000}"/>
    <cellStyle name="Note 2 3 2 3 2 5" xfId="9409" xr:uid="{00000000-0005-0000-0000-000094920000}"/>
    <cellStyle name="Note 2 3 2 3 2 5 2" xfId="28879" xr:uid="{00000000-0005-0000-0000-000095920000}"/>
    <cellStyle name="Note 2 3 2 3 2 6" xfId="24333" xr:uid="{00000000-0005-0000-0000-000096920000}"/>
    <cellStyle name="Note 2 3 2 3 3" xfId="5161" xr:uid="{00000000-0005-0000-0000-000097920000}"/>
    <cellStyle name="Note 2 3 2 3 3 2" xfId="6317" xr:uid="{00000000-0005-0000-0000-000098920000}"/>
    <cellStyle name="Note 2 3 2 3 3 2 2" xfId="8704" xr:uid="{00000000-0005-0000-0000-000099920000}"/>
    <cellStyle name="Note 2 3 2 3 3 2 2 2" xfId="13011" xr:uid="{00000000-0005-0000-0000-00009A920000}"/>
    <cellStyle name="Note 2 3 2 3 3 2 2 2 2" xfId="32481" xr:uid="{00000000-0005-0000-0000-00009B920000}"/>
    <cellStyle name="Note 2 3 2 3 3 2 2 3" xfId="28184" xr:uid="{00000000-0005-0000-0000-00009C920000}"/>
    <cellStyle name="Note 2 3 2 3 3 2 3" xfId="10734" xr:uid="{00000000-0005-0000-0000-00009D920000}"/>
    <cellStyle name="Note 2 3 2 3 3 2 3 2" xfId="30204" xr:uid="{00000000-0005-0000-0000-00009E920000}"/>
    <cellStyle name="Note 2 3 2 3 3 2 4" xfId="25802" xr:uid="{00000000-0005-0000-0000-00009F920000}"/>
    <cellStyle name="Note 2 3 2 3 3 3" xfId="8703" xr:uid="{00000000-0005-0000-0000-0000A0920000}"/>
    <cellStyle name="Note 2 3 2 3 3 3 2" xfId="13010" xr:uid="{00000000-0005-0000-0000-0000A1920000}"/>
    <cellStyle name="Note 2 3 2 3 3 3 2 2" xfId="32480" xr:uid="{00000000-0005-0000-0000-0000A2920000}"/>
    <cellStyle name="Note 2 3 2 3 3 3 3" xfId="28183" xr:uid="{00000000-0005-0000-0000-0000A3920000}"/>
    <cellStyle name="Note 2 3 2 3 3 4" xfId="9674" xr:uid="{00000000-0005-0000-0000-0000A4920000}"/>
    <cellStyle name="Note 2 3 2 3 3 4 2" xfId="29144" xr:uid="{00000000-0005-0000-0000-0000A5920000}"/>
    <cellStyle name="Note 2 3 2 3 3 5" xfId="24652" xr:uid="{00000000-0005-0000-0000-0000A6920000}"/>
    <cellStyle name="Note 2 3 2 3 4" xfId="5770" xr:uid="{00000000-0005-0000-0000-0000A7920000}"/>
    <cellStyle name="Note 2 3 2 3 4 2" xfId="8705" xr:uid="{00000000-0005-0000-0000-0000A8920000}"/>
    <cellStyle name="Note 2 3 2 3 4 2 2" xfId="13012" xr:uid="{00000000-0005-0000-0000-0000A9920000}"/>
    <cellStyle name="Note 2 3 2 3 4 2 2 2" xfId="32482" xr:uid="{00000000-0005-0000-0000-0000AA920000}"/>
    <cellStyle name="Note 2 3 2 3 4 2 3" xfId="28185" xr:uid="{00000000-0005-0000-0000-0000AB920000}"/>
    <cellStyle name="Note 2 3 2 3 4 3" xfId="10204" xr:uid="{00000000-0005-0000-0000-0000AC920000}"/>
    <cellStyle name="Note 2 3 2 3 4 3 2" xfId="29674" xr:uid="{00000000-0005-0000-0000-0000AD920000}"/>
    <cellStyle name="Note 2 3 2 3 4 4" xfId="25255" xr:uid="{00000000-0005-0000-0000-0000AE920000}"/>
    <cellStyle name="Note 2 3 2 3 5" xfId="8698" xr:uid="{00000000-0005-0000-0000-0000AF920000}"/>
    <cellStyle name="Note 2 3 2 3 5 2" xfId="13005" xr:uid="{00000000-0005-0000-0000-0000B0920000}"/>
    <cellStyle name="Note 2 3 2 3 5 2 2" xfId="32475" xr:uid="{00000000-0005-0000-0000-0000B1920000}"/>
    <cellStyle name="Note 2 3 2 3 5 3" xfId="28178" xr:uid="{00000000-0005-0000-0000-0000B2920000}"/>
    <cellStyle name="Note 2 3 2 3 6" xfId="9143" xr:uid="{00000000-0005-0000-0000-0000B3920000}"/>
    <cellStyle name="Note 2 3 2 3 6 2" xfId="28614" xr:uid="{00000000-0005-0000-0000-0000B4920000}"/>
    <cellStyle name="Note 2 3 2 3 7" xfId="24032" xr:uid="{00000000-0005-0000-0000-0000B5920000}"/>
    <cellStyle name="Note 2 3 2 4" xfId="4642" xr:uid="{00000000-0005-0000-0000-0000B6920000}"/>
    <cellStyle name="Note 2 3 2 4 2" xfId="5282" xr:uid="{00000000-0005-0000-0000-0000B7920000}"/>
    <cellStyle name="Note 2 3 2 4 2 2" xfId="6416" xr:uid="{00000000-0005-0000-0000-0000B8920000}"/>
    <cellStyle name="Note 2 3 2 4 2 2 2" xfId="8708" xr:uid="{00000000-0005-0000-0000-0000B9920000}"/>
    <cellStyle name="Note 2 3 2 4 2 2 2 2" xfId="13015" xr:uid="{00000000-0005-0000-0000-0000BA920000}"/>
    <cellStyle name="Note 2 3 2 4 2 2 2 2 2" xfId="32485" xr:uid="{00000000-0005-0000-0000-0000BB920000}"/>
    <cellStyle name="Note 2 3 2 4 2 2 2 3" xfId="28188" xr:uid="{00000000-0005-0000-0000-0000BC920000}"/>
    <cellStyle name="Note 2 3 2 4 2 2 3" xfId="10832" xr:uid="{00000000-0005-0000-0000-0000BD920000}"/>
    <cellStyle name="Note 2 3 2 4 2 2 3 2" xfId="30302" xr:uid="{00000000-0005-0000-0000-0000BE920000}"/>
    <cellStyle name="Note 2 3 2 4 2 2 4" xfId="25901" xr:uid="{00000000-0005-0000-0000-0000BF920000}"/>
    <cellStyle name="Note 2 3 2 4 2 3" xfId="8707" xr:uid="{00000000-0005-0000-0000-0000C0920000}"/>
    <cellStyle name="Note 2 3 2 4 2 3 2" xfId="13014" xr:uid="{00000000-0005-0000-0000-0000C1920000}"/>
    <cellStyle name="Note 2 3 2 4 2 3 2 2" xfId="32484" xr:uid="{00000000-0005-0000-0000-0000C2920000}"/>
    <cellStyle name="Note 2 3 2 4 2 3 3" xfId="28187" xr:uid="{00000000-0005-0000-0000-0000C3920000}"/>
    <cellStyle name="Note 2 3 2 4 2 4" xfId="9771" xr:uid="{00000000-0005-0000-0000-0000C4920000}"/>
    <cellStyle name="Note 2 3 2 4 2 4 2" xfId="29241" xr:uid="{00000000-0005-0000-0000-0000C5920000}"/>
    <cellStyle name="Note 2 3 2 4 2 5" xfId="24773" xr:uid="{00000000-0005-0000-0000-0000C6920000}"/>
    <cellStyle name="Note 2 3 2 4 3" xfId="5879" xr:uid="{00000000-0005-0000-0000-0000C7920000}"/>
    <cellStyle name="Note 2 3 2 4 3 2" xfId="8709" xr:uid="{00000000-0005-0000-0000-0000C8920000}"/>
    <cellStyle name="Note 2 3 2 4 3 2 2" xfId="13016" xr:uid="{00000000-0005-0000-0000-0000C9920000}"/>
    <cellStyle name="Note 2 3 2 4 3 2 2 2" xfId="32486" xr:uid="{00000000-0005-0000-0000-0000CA920000}"/>
    <cellStyle name="Note 2 3 2 4 3 2 3" xfId="28189" xr:uid="{00000000-0005-0000-0000-0000CB920000}"/>
    <cellStyle name="Note 2 3 2 4 3 3" xfId="10301" xr:uid="{00000000-0005-0000-0000-0000CC920000}"/>
    <cellStyle name="Note 2 3 2 4 3 3 2" xfId="29771" xr:uid="{00000000-0005-0000-0000-0000CD920000}"/>
    <cellStyle name="Note 2 3 2 4 3 4" xfId="25364" xr:uid="{00000000-0005-0000-0000-0000CE920000}"/>
    <cellStyle name="Note 2 3 2 4 4" xfId="8706" xr:uid="{00000000-0005-0000-0000-0000CF920000}"/>
    <cellStyle name="Note 2 3 2 4 4 2" xfId="13013" xr:uid="{00000000-0005-0000-0000-0000D0920000}"/>
    <cellStyle name="Note 2 3 2 4 4 2 2" xfId="32483" xr:uid="{00000000-0005-0000-0000-0000D1920000}"/>
    <cellStyle name="Note 2 3 2 4 4 3" xfId="28186" xr:uid="{00000000-0005-0000-0000-0000D2920000}"/>
    <cellStyle name="Note 2 3 2 4 5" xfId="9241" xr:uid="{00000000-0005-0000-0000-0000D3920000}"/>
    <cellStyle name="Note 2 3 2 4 5 2" xfId="28711" xr:uid="{00000000-0005-0000-0000-0000D4920000}"/>
    <cellStyle name="Note 2 3 2 4 6" xfId="24153" xr:uid="{00000000-0005-0000-0000-0000D5920000}"/>
    <cellStyle name="Note 2 3 2 5" xfId="4986" xr:uid="{00000000-0005-0000-0000-0000D6920000}"/>
    <cellStyle name="Note 2 3 2 5 2" xfId="6148" xr:uid="{00000000-0005-0000-0000-0000D7920000}"/>
    <cellStyle name="Note 2 3 2 5 2 2" xfId="8711" xr:uid="{00000000-0005-0000-0000-0000D8920000}"/>
    <cellStyle name="Note 2 3 2 5 2 2 2" xfId="13018" xr:uid="{00000000-0005-0000-0000-0000D9920000}"/>
    <cellStyle name="Note 2 3 2 5 2 2 2 2" xfId="32488" xr:uid="{00000000-0005-0000-0000-0000DA920000}"/>
    <cellStyle name="Note 2 3 2 5 2 2 3" xfId="28191" xr:uid="{00000000-0005-0000-0000-0000DB920000}"/>
    <cellStyle name="Note 2 3 2 5 2 3" xfId="10566" xr:uid="{00000000-0005-0000-0000-0000DC920000}"/>
    <cellStyle name="Note 2 3 2 5 2 3 2" xfId="30036" xr:uid="{00000000-0005-0000-0000-0000DD920000}"/>
    <cellStyle name="Note 2 3 2 5 2 4" xfId="25633" xr:uid="{00000000-0005-0000-0000-0000DE920000}"/>
    <cellStyle name="Note 2 3 2 5 3" xfId="8710" xr:uid="{00000000-0005-0000-0000-0000DF920000}"/>
    <cellStyle name="Note 2 3 2 5 3 2" xfId="13017" xr:uid="{00000000-0005-0000-0000-0000E0920000}"/>
    <cellStyle name="Note 2 3 2 5 3 2 2" xfId="32487" xr:uid="{00000000-0005-0000-0000-0000E1920000}"/>
    <cellStyle name="Note 2 3 2 5 3 3" xfId="28190" xr:uid="{00000000-0005-0000-0000-0000E2920000}"/>
    <cellStyle name="Note 2 3 2 5 4" xfId="9506" xr:uid="{00000000-0005-0000-0000-0000E3920000}"/>
    <cellStyle name="Note 2 3 2 5 4 2" xfId="28976" xr:uid="{00000000-0005-0000-0000-0000E4920000}"/>
    <cellStyle name="Note 2 3 2 5 5" xfId="24480" xr:uid="{00000000-0005-0000-0000-0000E5920000}"/>
    <cellStyle name="Note 2 3 2 6" xfId="5591" xr:uid="{00000000-0005-0000-0000-0000E6920000}"/>
    <cellStyle name="Note 2 3 2 6 2" xfId="8712" xr:uid="{00000000-0005-0000-0000-0000E7920000}"/>
    <cellStyle name="Note 2 3 2 6 2 2" xfId="13019" xr:uid="{00000000-0005-0000-0000-0000E8920000}"/>
    <cellStyle name="Note 2 3 2 6 2 2 2" xfId="32489" xr:uid="{00000000-0005-0000-0000-0000E9920000}"/>
    <cellStyle name="Note 2 3 2 6 2 3" xfId="28192" xr:uid="{00000000-0005-0000-0000-0000EA920000}"/>
    <cellStyle name="Note 2 3 2 6 3" xfId="10036" xr:uid="{00000000-0005-0000-0000-0000EB920000}"/>
    <cellStyle name="Note 2 3 2 6 3 2" xfId="29506" xr:uid="{00000000-0005-0000-0000-0000EC920000}"/>
    <cellStyle name="Note 2 3 2 6 4" xfId="25078" xr:uid="{00000000-0005-0000-0000-0000ED920000}"/>
    <cellStyle name="Note 2 3 2 7" xfId="8689" xr:uid="{00000000-0005-0000-0000-0000EE920000}"/>
    <cellStyle name="Note 2 3 2 7 2" xfId="12996" xr:uid="{00000000-0005-0000-0000-0000EF920000}"/>
    <cellStyle name="Note 2 3 2 7 2 2" xfId="32466" xr:uid="{00000000-0005-0000-0000-0000F0920000}"/>
    <cellStyle name="Note 2 3 2 7 3" xfId="28169" xr:uid="{00000000-0005-0000-0000-0000F1920000}"/>
    <cellStyle name="Note 2 3 2 8" xfId="8972" xr:uid="{00000000-0005-0000-0000-0000F2920000}"/>
    <cellStyle name="Note 2 3 2 8 2" xfId="28446" xr:uid="{00000000-0005-0000-0000-0000F3920000}"/>
    <cellStyle name="Note 2 3 2 9" xfId="14532" xr:uid="{00000000-0005-0000-0000-0000F4920000}"/>
    <cellStyle name="Note 2 3 2 9 2" xfId="33893" xr:uid="{00000000-0005-0000-0000-0000F5920000}"/>
    <cellStyle name="Note 2 3 3" xfId="2969" xr:uid="{00000000-0005-0000-0000-0000F6920000}"/>
    <cellStyle name="Note 2 3 3 10" xfId="22516" xr:uid="{00000000-0005-0000-0000-0000F7920000}"/>
    <cellStyle name="Note 2 3 3 10 2" xfId="41858" xr:uid="{00000000-0005-0000-0000-0000F8920000}"/>
    <cellStyle name="Note 2 3 3 11" xfId="23778" xr:uid="{00000000-0005-0000-0000-0000F9920000}"/>
    <cellStyle name="Note 2 3 3 2" xfId="4676" xr:uid="{00000000-0005-0000-0000-0000FA920000}"/>
    <cellStyle name="Note 2 3 3 2 2" xfId="5316" xr:uid="{00000000-0005-0000-0000-0000FB920000}"/>
    <cellStyle name="Note 2 3 3 2 2 2" xfId="6450" xr:uid="{00000000-0005-0000-0000-0000FC920000}"/>
    <cellStyle name="Note 2 3 3 2 2 2 2" xfId="8716" xr:uid="{00000000-0005-0000-0000-0000FD920000}"/>
    <cellStyle name="Note 2 3 3 2 2 2 2 2" xfId="13023" xr:uid="{00000000-0005-0000-0000-0000FE920000}"/>
    <cellStyle name="Note 2 3 3 2 2 2 2 2 2" xfId="32493" xr:uid="{00000000-0005-0000-0000-0000FF920000}"/>
    <cellStyle name="Note 2 3 3 2 2 2 2 3" xfId="28196" xr:uid="{00000000-0005-0000-0000-000000930000}"/>
    <cellStyle name="Note 2 3 3 2 2 2 3" xfId="10866" xr:uid="{00000000-0005-0000-0000-000001930000}"/>
    <cellStyle name="Note 2 3 3 2 2 2 3 2" xfId="30336" xr:uid="{00000000-0005-0000-0000-000002930000}"/>
    <cellStyle name="Note 2 3 3 2 2 2 4" xfId="25935" xr:uid="{00000000-0005-0000-0000-000003930000}"/>
    <cellStyle name="Note 2 3 3 2 2 3" xfId="8715" xr:uid="{00000000-0005-0000-0000-000004930000}"/>
    <cellStyle name="Note 2 3 3 2 2 3 2" xfId="13022" xr:uid="{00000000-0005-0000-0000-000005930000}"/>
    <cellStyle name="Note 2 3 3 2 2 3 2 2" xfId="32492" xr:uid="{00000000-0005-0000-0000-000006930000}"/>
    <cellStyle name="Note 2 3 3 2 2 3 3" xfId="28195" xr:uid="{00000000-0005-0000-0000-000007930000}"/>
    <cellStyle name="Note 2 3 3 2 2 4" xfId="9805" xr:uid="{00000000-0005-0000-0000-000008930000}"/>
    <cellStyle name="Note 2 3 3 2 2 4 2" xfId="29275" xr:uid="{00000000-0005-0000-0000-000009930000}"/>
    <cellStyle name="Note 2 3 3 2 2 5" xfId="24807" xr:uid="{00000000-0005-0000-0000-00000A930000}"/>
    <cellStyle name="Note 2 3 3 2 3" xfId="5913" xr:uid="{00000000-0005-0000-0000-00000B930000}"/>
    <cellStyle name="Note 2 3 3 2 3 2" xfId="8717" xr:uid="{00000000-0005-0000-0000-00000C930000}"/>
    <cellStyle name="Note 2 3 3 2 3 2 2" xfId="13024" xr:uid="{00000000-0005-0000-0000-00000D930000}"/>
    <cellStyle name="Note 2 3 3 2 3 2 2 2" xfId="32494" xr:uid="{00000000-0005-0000-0000-00000E930000}"/>
    <cellStyle name="Note 2 3 3 2 3 2 3" xfId="28197" xr:uid="{00000000-0005-0000-0000-00000F930000}"/>
    <cellStyle name="Note 2 3 3 2 3 3" xfId="10335" xr:uid="{00000000-0005-0000-0000-000010930000}"/>
    <cellStyle name="Note 2 3 3 2 3 3 2" xfId="29805" xr:uid="{00000000-0005-0000-0000-000011930000}"/>
    <cellStyle name="Note 2 3 3 2 3 4" xfId="25398" xr:uid="{00000000-0005-0000-0000-000012930000}"/>
    <cellStyle name="Note 2 3 3 2 4" xfId="8714" xr:uid="{00000000-0005-0000-0000-000013930000}"/>
    <cellStyle name="Note 2 3 3 2 4 2" xfId="13021" xr:uid="{00000000-0005-0000-0000-000014930000}"/>
    <cellStyle name="Note 2 3 3 2 4 2 2" xfId="32491" xr:uid="{00000000-0005-0000-0000-000015930000}"/>
    <cellStyle name="Note 2 3 3 2 4 3" xfId="28194" xr:uid="{00000000-0005-0000-0000-000016930000}"/>
    <cellStyle name="Note 2 3 3 2 5" xfId="9275" xr:uid="{00000000-0005-0000-0000-000017930000}"/>
    <cellStyle name="Note 2 3 3 2 5 2" xfId="28745" xr:uid="{00000000-0005-0000-0000-000018930000}"/>
    <cellStyle name="Note 2 3 3 2 6" xfId="24187" xr:uid="{00000000-0005-0000-0000-000019930000}"/>
    <cellStyle name="Note 2 3 3 3" xfId="5020" xr:uid="{00000000-0005-0000-0000-00001A930000}"/>
    <cellStyle name="Note 2 3 3 3 2" xfId="6182" xr:uid="{00000000-0005-0000-0000-00001B930000}"/>
    <cellStyle name="Note 2 3 3 3 2 2" xfId="8719" xr:uid="{00000000-0005-0000-0000-00001C930000}"/>
    <cellStyle name="Note 2 3 3 3 2 2 2" xfId="13026" xr:uid="{00000000-0005-0000-0000-00001D930000}"/>
    <cellStyle name="Note 2 3 3 3 2 2 2 2" xfId="32496" xr:uid="{00000000-0005-0000-0000-00001E930000}"/>
    <cellStyle name="Note 2 3 3 3 2 2 3" xfId="28199" xr:uid="{00000000-0005-0000-0000-00001F930000}"/>
    <cellStyle name="Note 2 3 3 3 2 3" xfId="10600" xr:uid="{00000000-0005-0000-0000-000020930000}"/>
    <cellStyle name="Note 2 3 3 3 2 3 2" xfId="30070" xr:uid="{00000000-0005-0000-0000-000021930000}"/>
    <cellStyle name="Note 2 3 3 3 2 4" xfId="25667" xr:uid="{00000000-0005-0000-0000-000022930000}"/>
    <cellStyle name="Note 2 3 3 3 3" xfId="8718" xr:uid="{00000000-0005-0000-0000-000023930000}"/>
    <cellStyle name="Note 2 3 3 3 3 2" xfId="13025" xr:uid="{00000000-0005-0000-0000-000024930000}"/>
    <cellStyle name="Note 2 3 3 3 3 2 2" xfId="32495" xr:uid="{00000000-0005-0000-0000-000025930000}"/>
    <cellStyle name="Note 2 3 3 3 3 3" xfId="28198" xr:uid="{00000000-0005-0000-0000-000026930000}"/>
    <cellStyle name="Note 2 3 3 3 4" xfId="9540" xr:uid="{00000000-0005-0000-0000-000027930000}"/>
    <cellStyle name="Note 2 3 3 3 4 2" xfId="29010" xr:uid="{00000000-0005-0000-0000-000028930000}"/>
    <cellStyle name="Note 2 3 3 3 5" xfId="24514" xr:uid="{00000000-0005-0000-0000-000029930000}"/>
    <cellStyle name="Note 2 3 3 4" xfId="5625" xr:uid="{00000000-0005-0000-0000-00002A930000}"/>
    <cellStyle name="Note 2 3 3 4 2" xfId="8720" xr:uid="{00000000-0005-0000-0000-00002B930000}"/>
    <cellStyle name="Note 2 3 3 4 2 2" xfId="13027" xr:uid="{00000000-0005-0000-0000-00002C930000}"/>
    <cellStyle name="Note 2 3 3 4 2 2 2" xfId="32497" xr:uid="{00000000-0005-0000-0000-00002D930000}"/>
    <cellStyle name="Note 2 3 3 4 2 3" xfId="28200" xr:uid="{00000000-0005-0000-0000-00002E930000}"/>
    <cellStyle name="Note 2 3 3 4 3" xfId="10070" xr:uid="{00000000-0005-0000-0000-00002F930000}"/>
    <cellStyle name="Note 2 3 3 4 3 2" xfId="29540" xr:uid="{00000000-0005-0000-0000-000030930000}"/>
    <cellStyle name="Note 2 3 3 4 4" xfId="25112" xr:uid="{00000000-0005-0000-0000-000031930000}"/>
    <cellStyle name="Note 2 3 3 5" xfId="8713" xr:uid="{00000000-0005-0000-0000-000032930000}"/>
    <cellStyle name="Note 2 3 3 5 2" xfId="13020" xr:uid="{00000000-0005-0000-0000-000033930000}"/>
    <cellStyle name="Note 2 3 3 5 2 2" xfId="32490" xr:uid="{00000000-0005-0000-0000-000034930000}"/>
    <cellStyle name="Note 2 3 3 5 3" xfId="28193" xr:uid="{00000000-0005-0000-0000-000035930000}"/>
    <cellStyle name="Note 2 3 3 6" xfId="9006" xr:uid="{00000000-0005-0000-0000-000036930000}"/>
    <cellStyle name="Note 2 3 3 6 2" xfId="28480" xr:uid="{00000000-0005-0000-0000-000037930000}"/>
    <cellStyle name="Note 2 3 3 7" xfId="15096" xr:uid="{00000000-0005-0000-0000-000038930000}"/>
    <cellStyle name="Note 2 3 3 7 2" xfId="34457" xr:uid="{00000000-0005-0000-0000-000039930000}"/>
    <cellStyle name="Note 2 3 3 8" xfId="17572" xr:uid="{00000000-0005-0000-0000-00003A930000}"/>
    <cellStyle name="Note 2 3 3 8 2" xfId="36926" xr:uid="{00000000-0005-0000-0000-00003B930000}"/>
    <cellStyle name="Note 2 3 3 9" xfId="20003" xr:uid="{00000000-0005-0000-0000-00003C930000}"/>
    <cellStyle name="Note 2 3 3 9 2" xfId="39356" xr:uid="{00000000-0005-0000-0000-00003D930000}"/>
    <cellStyle name="Note 2 3 4" xfId="4184" xr:uid="{00000000-0005-0000-0000-00003E930000}"/>
    <cellStyle name="Note 2 3 4 10" xfId="22999" xr:uid="{00000000-0005-0000-0000-00003F930000}"/>
    <cellStyle name="Note 2 3 4 10 2" xfId="42341" xr:uid="{00000000-0005-0000-0000-000040930000}"/>
    <cellStyle name="Note 2 3 4 11" xfId="23976" xr:uid="{00000000-0005-0000-0000-000041930000}"/>
    <cellStyle name="Note 2 3 4 2" xfId="4776" xr:uid="{00000000-0005-0000-0000-000042930000}"/>
    <cellStyle name="Note 2 3 4 2 2" xfId="5402" xr:uid="{00000000-0005-0000-0000-000043930000}"/>
    <cellStyle name="Note 2 3 4 2 2 2" xfId="6530" xr:uid="{00000000-0005-0000-0000-000044930000}"/>
    <cellStyle name="Note 2 3 4 2 2 2 2" xfId="8724" xr:uid="{00000000-0005-0000-0000-000045930000}"/>
    <cellStyle name="Note 2 3 4 2 2 2 2 2" xfId="13031" xr:uid="{00000000-0005-0000-0000-000046930000}"/>
    <cellStyle name="Note 2 3 4 2 2 2 2 2 2" xfId="32501" xr:uid="{00000000-0005-0000-0000-000047930000}"/>
    <cellStyle name="Note 2 3 4 2 2 2 2 3" xfId="28204" xr:uid="{00000000-0005-0000-0000-000048930000}"/>
    <cellStyle name="Note 2 3 4 2 2 2 3" xfId="10946" xr:uid="{00000000-0005-0000-0000-000049930000}"/>
    <cellStyle name="Note 2 3 4 2 2 2 3 2" xfId="30416" xr:uid="{00000000-0005-0000-0000-00004A930000}"/>
    <cellStyle name="Note 2 3 4 2 2 2 4" xfId="26015" xr:uid="{00000000-0005-0000-0000-00004B930000}"/>
    <cellStyle name="Note 2 3 4 2 2 3" xfId="8723" xr:uid="{00000000-0005-0000-0000-00004C930000}"/>
    <cellStyle name="Note 2 3 4 2 2 3 2" xfId="13030" xr:uid="{00000000-0005-0000-0000-00004D930000}"/>
    <cellStyle name="Note 2 3 4 2 2 3 2 2" xfId="32500" xr:uid="{00000000-0005-0000-0000-00004E930000}"/>
    <cellStyle name="Note 2 3 4 2 2 3 3" xfId="28203" xr:uid="{00000000-0005-0000-0000-00004F930000}"/>
    <cellStyle name="Note 2 3 4 2 2 4" xfId="9885" xr:uid="{00000000-0005-0000-0000-000050930000}"/>
    <cellStyle name="Note 2 3 4 2 2 4 2" xfId="29355" xr:uid="{00000000-0005-0000-0000-000051930000}"/>
    <cellStyle name="Note 2 3 4 2 2 5" xfId="24893" xr:uid="{00000000-0005-0000-0000-000052930000}"/>
    <cellStyle name="Note 2 3 4 2 3" xfId="5994" xr:uid="{00000000-0005-0000-0000-000053930000}"/>
    <cellStyle name="Note 2 3 4 2 3 2" xfId="8725" xr:uid="{00000000-0005-0000-0000-000054930000}"/>
    <cellStyle name="Note 2 3 4 2 3 2 2" xfId="13032" xr:uid="{00000000-0005-0000-0000-000055930000}"/>
    <cellStyle name="Note 2 3 4 2 3 2 2 2" xfId="32502" xr:uid="{00000000-0005-0000-0000-000056930000}"/>
    <cellStyle name="Note 2 3 4 2 3 2 3" xfId="28205" xr:uid="{00000000-0005-0000-0000-000057930000}"/>
    <cellStyle name="Note 2 3 4 2 3 3" xfId="10415" xr:uid="{00000000-0005-0000-0000-000058930000}"/>
    <cellStyle name="Note 2 3 4 2 3 3 2" xfId="29885" xr:uid="{00000000-0005-0000-0000-000059930000}"/>
    <cellStyle name="Note 2 3 4 2 3 4" xfId="25479" xr:uid="{00000000-0005-0000-0000-00005A930000}"/>
    <cellStyle name="Note 2 3 4 2 4" xfId="8722" xr:uid="{00000000-0005-0000-0000-00005B930000}"/>
    <cellStyle name="Note 2 3 4 2 4 2" xfId="13029" xr:uid="{00000000-0005-0000-0000-00005C930000}"/>
    <cellStyle name="Note 2 3 4 2 4 2 2" xfId="32499" xr:uid="{00000000-0005-0000-0000-00005D930000}"/>
    <cellStyle name="Note 2 3 4 2 4 3" xfId="28202" xr:uid="{00000000-0005-0000-0000-00005E930000}"/>
    <cellStyle name="Note 2 3 4 2 5" xfId="9355" xr:uid="{00000000-0005-0000-0000-00005F930000}"/>
    <cellStyle name="Note 2 3 4 2 5 2" xfId="28825" xr:uid="{00000000-0005-0000-0000-000060930000}"/>
    <cellStyle name="Note 2 3 4 2 6" xfId="24278" xr:uid="{00000000-0005-0000-0000-000061930000}"/>
    <cellStyle name="Note 2 3 4 3" xfId="5107" xr:uid="{00000000-0005-0000-0000-000062930000}"/>
    <cellStyle name="Note 2 3 4 3 2" xfId="6263" xr:uid="{00000000-0005-0000-0000-000063930000}"/>
    <cellStyle name="Note 2 3 4 3 2 2" xfId="8727" xr:uid="{00000000-0005-0000-0000-000064930000}"/>
    <cellStyle name="Note 2 3 4 3 2 2 2" xfId="13034" xr:uid="{00000000-0005-0000-0000-000065930000}"/>
    <cellStyle name="Note 2 3 4 3 2 2 2 2" xfId="32504" xr:uid="{00000000-0005-0000-0000-000066930000}"/>
    <cellStyle name="Note 2 3 4 3 2 2 3" xfId="28207" xr:uid="{00000000-0005-0000-0000-000067930000}"/>
    <cellStyle name="Note 2 3 4 3 2 3" xfId="10680" xr:uid="{00000000-0005-0000-0000-000068930000}"/>
    <cellStyle name="Note 2 3 4 3 2 3 2" xfId="30150" xr:uid="{00000000-0005-0000-0000-000069930000}"/>
    <cellStyle name="Note 2 3 4 3 2 4" xfId="25748" xr:uid="{00000000-0005-0000-0000-00006A930000}"/>
    <cellStyle name="Note 2 3 4 3 3" xfId="8726" xr:uid="{00000000-0005-0000-0000-00006B930000}"/>
    <cellStyle name="Note 2 3 4 3 3 2" xfId="13033" xr:uid="{00000000-0005-0000-0000-00006C930000}"/>
    <cellStyle name="Note 2 3 4 3 3 2 2" xfId="32503" xr:uid="{00000000-0005-0000-0000-00006D930000}"/>
    <cellStyle name="Note 2 3 4 3 3 3" xfId="28206" xr:uid="{00000000-0005-0000-0000-00006E930000}"/>
    <cellStyle name="Note 2 3 4 3 4" xfId="9620" xr:uid="{00000000-0005-0000-0000-00006F930000}"/>
    <cellStyle name="Note 2 3 4 3 4 2" xfId="29090" xr:uid="{00000000-0005-0000-0000-000070930000}"/>
    <cellStyle name="Note 2 3 4 3 5" xfId="24598" xr:uid="{00000000-0005-0000-0000-000071930000}"/>
    <cellStyle name="Note 2 3 4 4" xfId="5716" xr:uid="{00000000-0005-0000-0000-000072930000}"/>
    <cellStyle name="Note 2 3 4 4 2" xfId="8728" xr:uid="{00000000-0005-0000-0000-000073930000}"/>
    <cellStyle name="Note 2 3 4 4 2 2" xfId="13035" xr:uid="{00000000-0005-0000-0000-000074930000}"/>
    <cellStyle name="Note 2 3 4 4 2 2 2" xfId="32505" xr:uid="{00000000-0005-0000-0000-000075930000}"/>
    <cellStyle name="Note 2 3 4 4 2 3" xfId="28208" xr:uid="{00000000-0005-0000-0000-000076930000}"/>
    <cellStyle name="Note 2 3 4 4 3" xfId="10150" xr:uid="{00000000-0005-0000-0000-000077930000}"/>
    <cellStyle name="Note 2 3 4 4 3 2" xfId="29620" xr:uid="{00000000-0005-0000-0000-000078930000}"/>
    <cellStyle name="Note 2 3 4 4 4" xfId="25201" xr:uid="{00000000-0005-0000-0000-000079930000}"/>
    <cellStyle name="Note 2 3 4 5" xfId="8721" xr:uid="{00000000-0005-0000-0000-00007A930000}"/>
    <cellStyle name="Note 2 3 4 5 2" xfId="13028" xr:uid="{00000000-0005-0000-0000-00007B930000}"/>
    <cellStyle name="Note 2 3 4 5 2 2" xfId="32498" xr:uid="{00000000-0005-0000-0000-00007C930000}"/>
    <cellStyle name="Note 2 3 4 5 3" xfId="28201" xr:uid="{00000000-0005-0000-0000-00007D930000}"/>
    <cellStyle name="Note 2 3 4 6" xfId="9089" xr:uid="{00000000-0005-0000-0000-00007E930000}"/>
    <cellStyle name="Note 2 3 4 6 2" xfId="28560" xr:uid="{00000000-0005-0000-0000-00007F930000}"/>
    <cellStyle name="Note 2 3 4 7" xfId="15579" xr:uid="{00000000-0005-0000-0000-000080930000}"/>
    <cellStyle name="Note 2 3 4 7 2" xfId="34940" xr:uid="{00000000-0005-0000-0000-000081930000}"/>
    <cellStyle name="Note 2 3 4 8" xfId="18055" xr:uid="{00000000-0005-0000-0000-000082930000}"/>
    <cellStyle name="Note 2 3 4 8 2" xfId="37409" xr:uid="{00000000-0005-0000-0000-000083930000}"/>
    <cellStyle name="Note 2 3 4 9" xfId="20486" xr:uid="{00000000-0005-0000-0000-000084930000}"/>
    <cellStyle name="Note 2 3 4 9 2" xfId="39839" xr:uid="{00000000-0005-0000-0000-000085930000}"/>
    <cellStyle name="Note 2 3 5" xfId="4610" xr:uid="{00000000-0005-0000-0000-000086930000}"/>
    <cellStyle name="Note 2 3 5 2" xfId="5250" xr:uid="{00000000-0005-0000-0000-000087930000}"/>
    <cellStyle name="Note 2 3 5 2 2" xfId="6384" xr:uid="{00000000-0005-0000-0000-000088930000}"/>
    <cellStyle name="Note 2 3 5 2 2 2" xfId="8731" xr:uid="{00000000-0005-0000-0000-000089930000}"/>
    <cellStyle name="Note 2 3 5 2 2 2 2" xfId="13038" xr:uid="{00000000-0005-0000-0000-00008A930000}"/>
    <cellStyle name="Note 2 3 5 2 2 2 2 2" xfId="32508" xr:uid="{00000000-0005-0000-0000-00008B930000}"/>
    <cellStyle name="Note 2 3 5 2 2 2 3" xfId="28211" xr:uid="{00000000-0005-0000-0000-00008C930000}"/>
    <cellStyle name="Note 2 3 5 2 2 3" xfId="10800" xr:uid="{00000000-0005-0000-0000-00008D930000}"/>
    <cellStyle name="Note 2 3 5 2 2 3 2" xfId="30270" xr:uid="{00000000-0005-0000-0000-00008E930000}"/>
    <cellStyle name="Note 2 3 5 2 2 4" xfId="25869" xr:uid="{00000000-0005-0000-0000-00008F930000}"/>
    <cellStyle name="Note 2 3 5 2 3" xfId="8730" xr:uid="{00000000-0005-0000-0000-000090930000}"/>
    <cellStyle name="Note 2 3 5 2 3 2" xfId="13037" xr:uid="{00000000-0005-0000-0000-000091930000}"/>
    <cellStyle name="Note 2 3 5 2 3 2 2" xfId="32507" xr:uid="{00000000-0005-0000-0000-000092930000}"/>
    <cellStyle name="Note 2 3 5 2 3 3" xfId="28210" xr:uid="{00000000-0005-0000-0000-000093930000}"/>
    <cellStyle name="Note 2 3 5 2 4" xfId="9739" xr:uid="{00000000-0005-0000-0000-000094930000}"/>
    <cellStyle name="Note 2 3 5 2 4 2" xfId="29209" xr:uid="{00000000-0005-0000-0000-000095930000}"/>
    <cellStyle name="Note 2 3 5 2 5" xfId="24741" xr:uid="{00000000-0005-0000-0000-000096930000}"/>
    <cellStyle name="Note 2 3 5 3" xfId="5847" xr:uid="{00000000-0005-0000-0000-000097930000}"/>
    <cellStyle name="Note 2 3 5 3 2" xfId="8732" xr:uid="{00000000-0005-0000-0000-000098930000}"/>
    <cellStyle name="Note 2 3 5 3 2 2" xfId="13039" xr:uid="{00000000-0005-0000-0000-000099930000}"/>
    <cellStyle name="Note 2 3 5 3 2 2 2" xfId="32509" xr:uid="{00000000-0005-0000-0000-00009A930000}"/>
    <cellStyle name="Note 2 3 5 3 2 3" xfId="28212" xr:uid="{00000000-0005-0000-0000-00009B930000}"/>
    <cellStyle name="Note 2 3 5 3 3" xfId="10269" xr:uid="{00000000-0005-0000-0000-00009C930000}"/>
    <cellStyle name="Note 2 3 5 3 3 2" xfId="29739" xr:uid="{00000000-0005-0000-0000-00009D930000}"/>
    <cellStyle name="Note 2 3 5 3 4" xfId="25332" xr:uid="{00000000-0005-0000-0000-00009E930000}"/>
    <cellStyle name="Note 2 3 5 4" xfId="8729" xr:uid="{00000000-0005-0000-0000-00009F930000}"/>
    <cellStyle name="Note 2 3 5 4 2" xfId="13036" xr:uid="{00000000-0005-0000-0000-0000A0930000}"/>
    <cellStyle name="Note 2 3 5 4 2 2" xfId="32506" xr:uid="{00000000-0005-0000-0000-0000A1930000}"/>
    <cellStyle name="Note 2 3 5 4 3" xfId="28209" xr:uid="{00000000-0005-0000-0000-0000A2930000}"/>
    <cellStyle name="Note 2 3 5 5" xfId="9209" xr:uid="{00000000-0005-0000-0000-0000A3930000}"/>
    <cellStyle name="Note 2 3 5 5 2" xfId="28679" xr:uid="{00000000-0005-0000-0000-0000A4930000}"/>
    <cellStyle name="Note 2 3 5 6" xfId="24121" xr:uid="{00000000-0005-0000-0000-0000A5930000}"/>
    <cellStyle name="Note 2 3 6" xfId="4954" xr:uid="{00000000-0005-0000-0000-0000A6930000}"/>
    <cellStyle name="Note 2 3 6 2" xfId="6116" xr:uid="{00000000-0005-0000-0000-0000A7930000}"/>
    <cellStyle name="Note 2 3 6 2 2" xfId="8734" xr:uid="{00000000-0005-0000-0000-0000A8930000}"/>
    <cellStyle name="Note 2 3 6 2 2 2" xfId="13041" xr:uid="{00000000-0005-0000-0000-0000A9930000}"/>
    <cellStyle name="Note 2 3 6 2 2 2 2" xfId="32511" xr:uid="{00000000-0005-0000-0000-0000AA930000}"/>
    <cellStyle name="Note 2 3 6 2 2 3" xfId="28214" xr:uid="{00000000-0005-0000-0000-0000AB930000}"/>
    <cellStyle name="Note 2 3 6 2 3" xfId="10534" xr:uid="{00000000-0005-0000-0000-0000AC930000}"/>
    <cellStyle name="Note 2 3 6 2 3 2" xfId="30004" xr:uid="{00000000-0005-0000-0000-0000AD930000}"/>
    <cellStyle name="Note 2 3 6 2 4" xfId="25601" xr:uid="{00000000-0005-0000-0000-0000AE930000}"/>
    <cellStyle name="Note 2 3 6 3" xfId="8733" xr:uid="{00000000-0005-0000-0000-0000AF930000}"/>
    <cellStyle name="Note 2 3 6 3 2" xfId="13040" xr:uid="{00000000-0005-0000-0000-0000B0930000}"/>
    <cellStyle name="Note 2 3 6 3 2 2" xfId="32510" xr:uid="{00000000-0005-0000-0000-0000B1930000}"/>
    <cellStyle name="Note 2 3 6 3 3" xfId="28213" xr:uid="{00000000-0005-0000-0000-0000B2930000}"/>
    <cellStyle name="Note 2 3 6 4" xfId="9474" xr:uid="{00000000-0005-0000-0000-0000B3930000}"/>
    <cellStyle name="Note 2 3 6 4 2" xfId="28944" xr:uid="{00000000-0005-0000-0000-0000B4930000}"/>
    <cellStyle name="Note 2 3 6 5" xfId="24448" xr:uid="{00000000-0005-0000-0000-0000B5930000}"/>
    <cellStyle name="Note 2 3 7" xfId="5558" xr:uid="{00000000-0005-0000-0000-0000B6930000}"/>
    <cellStyle name="Note 2 3 7 2" xfId="8735" xr:uid="{00000000-0005-0000-0000-0000B7930000}"/>
    <cellStyle name="Note 2 3 7 2 2" xfId="13042" xr:uid="{00000000-0005-0000-0000-0000B8930000}"/>
    <cellStyle name="Note 2 3 7 2 2 2" xfId="32512" xr:uid="{00000000-0005-0000-0000-0000B9930000}"/>
    <cellStyle name="Note 2 3 7 2 3" xfId="28215" xr:uid="{00000000-0005-0000-0000-0000BA930000}"/>
    <cellStyle name="Note 2 3 7 3" xfId="10004" xr:uid="{00000000-0005-0000-0000-0000BB930000}"/>
    <cellStyle name="Note 2 3 7 3 2" xfId="29474" xr:uid="{00000000-0005-0000-0000-0000BC930000}"/>
    <cellStyle name="Note 2 3 7 4" xfId="25046" xr:uid="{00000000-0005-0000-0000-0000BD930000}"/>
    <cellStyle name="Note 2 3 8" xfId="8688" xr:uid="{00000000-0005-0000-0000-0000BE930000}"/>
    <cellStyle name="Note 2 3 8 2" xfId="12995" xr:uid="{00000000-0005-0000-0000-0000BF930000}"/>
    <cellStyle name="Note 2 3 8 2 2" xfId="32465" xr:uid="{00000000-0005-0000-0000-0000C0930000}"/>
    <cellStyle name="Note 2 3 8 3" xfId="28168" xr:uid="{00000000-0005-0000-0000-0000C1930000}"/>
    <cellStyle name="Note 2 3 9" xfId="8940" xr:uid="{00000000-0005-0000-0000-0000C2930000}"/>
    <cellStyle name="Note 2 3 9 2" xfId="28414" xr:uid="{00000000-0005-0000-0000-0000C3930000}"/>
    <cellStyle name="Note 2 4" xfId="3995" xr:uid="{00000000-0005-0000-0000-0000C4930000}"/>
    <cellStyle name="Note 2 4 10" xfId="18672" xr:uid="{00000000-0005-0000-0000-0000C5930000}"/>
    <cellStyle name="Note 2 4 10 2" xfId="38025" xr:uid="{00000000-0005-0000-0000-0000C6930000}"/>
    <cellStyle name="Note 2 4 11" xfId="21146" xr:uid="{00000000-0005-0000-0000-0000C7930000}"/>
    <cellStyle name="Note 2 4 11 2" xfId="40488" xr:uid="{00000000-0005-0000-0000-0000C8930000}"/>
    <cellStyle name="Note 2 4 12" xfId="23945" xr:uid="{00000000-0005-0000-0000-0000C9930000}"/>
    <cellStyle name="Note 2 4 2" xfId="4238" xr:uid="{00000000-0005-0000-0000-0000CA930000}"/>
    <cellStyle name="Note 2 4 2 10" xfId="21945" xr:uid="{00000000-0005-0000-0000-0000CB930000}"/>
    <cellStyle name="Note 2 4 2 10 2" xfId="41287" xr:uid="{00000000-0005-0000-0000-0000CC930000}"/>
    <cellStyle name="Note 2 4 2 11" xfId="24014" xr:uid="{00000000-0005-0000-0000-0000CD930000}"/>
    <cellStyle name="Note 2 4 2 2" xfId="4813" xr:uid="{00000000-0005-0000-0000-0000CE930000}"/>
    <cellStyle name="Note 2 4 2 2 2" xfId="5438" xr:uid="{00000000-0005-0000-0000-0000CF930000}"/>
    <cellStyle name="Note 2 4 2 2 2 2" xfId="6566" xr:uid="{00000000-0005-0000-0000-0000D0930000}"/>
    <cellStyle name="Note 2 4 2 2 2 2 2" xfId="8740" xr:uid="{00000000-0005-0000-0000-0000D1930000}"/>
    <cellStyle name="Note 2 4 2 2 2 2 2 2" xfId="13047" xr:uid="{00000000-0005-0000-0000-0000D2930000}"/>
    <cellStyle name="Note 2 4 2 2 2 2 2 2 2" xfId="32517" xr:uid="{00000000-0005-0000-0000-0000D3930000}"/>
    <cellStyle name="Note 2 4 2 2 2 2 2 3" xfId="28220" xr:uid="{00000000-0005-0000-0000-0000D4930000}"/>
    <cellStyle name="Note 2 4 2 2 2 2 3" xfId="10982" xr:uid="{00000000-0005-0000-0000-0000D5930000}"/>
    <cellStyle name="Note 2 4 2 2 2 2 3 2" xfId="30452" xr:uid="{00000000-0005-0000-0000-0000D6930000}"/>
    <cellStyle name="Note 2 4 2 2 2 2 4" xfId="26051" xr:uid="{00000000-0005-0000-0000-0000D7930000}"/>
    <cellStyle name="Note 2 4 2 2 2 3" xfId="8739" xr:uid="{00000000-0005-0000-0000-0000D8930000}"/>
    <cellStyle name="Note 2 4 2 2 2 3 2" xfId="13046" xr:uid="{00000000-0005-0000-0000-0000D9930000}"/>
    <cellStyle name="Note 2 4 2 2 2 3 2 2" xfId="32516" xr:uid="{00000000-0005-0000-0000-0000DA930000}"/>
    <cellStyle name="Note 2 4 2 2 2 3 3" xfId="28219" xr:uid="{00000000-0005-0000-0000-0000DB930000}"/>
    <cellStyle name="Note 2 4 2 2 2 4" xfId="9921" xr:uid="{00000000-0005-0000-0000-0000DC930000}"/>
    <cellStyle name="Note 2 4 2 2 2 4 2" xfId="29391" xr:uid="{00000000-0005-0000-0000-0000DD930000}"/>
    <cellStyle name="Note 2 4 2 2 2 5" xfId="24929" xr:uid="{00000000-0005-0000-0000-0000DE930000}"/>
    <cellStyle name="Note 2 4 2 2 3" xfId="6031" xr:uid="{00000000-0005-0000-0000-0000DF930000}"/>
    <cellStyle name="Note 2 4 2 2 3 2" xfId="8741" xr:uid="{00000000-0005-0000-0000-0000E0930000}"/>
    <cellStyle name="Note 2 4 2 2 3 2 2" xfId="13048" xr:uid="{00000000-0005-0000-0000-0000E1930000}"/>
    <cellStyle name="Note 2 4 2 2 3 2 2 2" xfId="32518" xr:uid="{00000000-0005-0000-0000-0000E2930000}"/>
    <cellStyle name="Note 2 4 2 2 3 2 3" xfId="28221" xr:uid="{00000000-0005-0000-0000-0000E3930000}"/>
    <cellStyle name="Note 2 4 2 2 3 3" xfId="10451" xr:uid="{00000000-0005-0000-0000-0000E4930000}"/>
    <cellStyle name="Note 2 4 2 2 3 3 2" xfId="29921" xr:uid="{00000000-0005-0000-0000-0000E5930000}"/>
    <cellStyle name="Note 2 4 2 2 3 4" xfId="25516" xr:uid="{00000000-0005-0000-0000-0000E6930000}"/>
    <cellStyle name="Note 2 4 2 2 4" xfId="8738" xr:uid="{00000000-0005-0000-0000-0000E7930000}"/>
    <cellStyle name="Note 2 4 2 2 4 2" xfId="13045" xr:uid="{00000000-0005-0000-0000-0000E8930000}"/>
    <cellStyle name="Note 2 4 2 2 4 2 2" xfId="32515" xr:uid="{00000000-0005-0000-0000-0000E9930000}"/>
    <cellStyle name="Note 2 4 2 2 4 3" xfId="28218" xr:uid="{00000000-0005-0000-0000-0000EA930000}"/>
    <cellStyle name="Note 2 4 2 2 5" xfId="9391" xr:uid="{00000000-0005-0000-0000-0000EB930000}"/>
    <cellStyle name="Note 2 4 2 2 5 2" xfId="28861" xr:uid="{00000000-0005-0000-0000-0000EC930000}"/>
    <cellStyle name="Note 2 4 2 2 6" xfId="24315" xr:uid="{00000000-0005-0000-0000-0000ED930000}"/>
    <cellStyle name="Note 2 4 2 3" xfId="5143" xr:uid="{00000000-0005-0000-0000-0000EE930000}"/>
    <cellStyle name="Note 2 4 2 3 2" xfId="6299" xr:uid="{00000000-0005-0000-0000-0000EF930000}"/>
    <cellStyle name="Note 2 4 2 3 2 2" xfId="8743" xr:uid="{00000000-0005-0000-0000-0000F0930000}"/>
    <cellStyle name="Note 2 4 2 3 2 2 2" xfId="13050" xr:uid="{00000000-0005-0000-0000-0000F1930000}"/>
    <cellStyle name="Note 2 4 2 3 2 2 2 2" xfId="32520" xr:uid="{00000000-0005-0000-0000-0000F2930000}"/>
    <cellStyle name="Note 2 4 2 3 2 2 3" xfId="28223" xr:uid="{00000000-0005-0000-0000-0000F3930000}"/>
    <cellStyle name="Note 2 4 2 3 2 3" xfId="10716" xr:uid="{00000000-0005-0000-0000-0000F4930000}"/>
    <cellStyle name="Note 2 4 2 3 2 3 2" xfId="30186" xr:uid="{00000000-0005-0000-0000-0000F5930000}"/>
    <cellStyle name="Note 2 4 2 3 2 4" xfId="25784" xr:uid="{00000000-0005-0000-0000-0000F6930000}"/>
    <cellStyle name="Note 2 4 2 3 3" xfId="8742" xr:uid="{00000000-0005-0000-0000-0000F7930000}"/>
    <cellStyle name="Note 2 4 2 3 3 2" xfId="13049" xr:uid="{00000000-0005-0000-0000-0000F8930000}"/>
    <cellStyle name="Note 2 4 2 3 3 2 2" xfId="32519" xr:uid="{00000000-0005-0000-0000-0000F9930000}"/>
    <cellStyle name="Note 2 4 2 3 3 3" xfId="28222" xr:uid="{00000000-0005-0000-0000-0000FA930000}"/>
    <cellStyle name="Note 2 4 2 3 4" xfId="9656" xr:uid="{00000000-0005-0000-0000-0000FB930000}"/>
    <cellStyle name="Note 2 4 2 3 4 2" xfId="29126" xr:uid="{00000000-0005-0000-0000-0000FC930000}"/>
    <cellStyle name="Note 2 4 2 3 5" xfId="24634" xr:uid="{00000000-0005-0000-0000-0000FD930000}"/>
    <cellStyle name="Note 2 4 2 4" xfId="5752" xr:uid="{00000000-0005-0000-0000-0000FE930000}"/>
    <cellStyle name="Note 2 4 2 4 2" xfId="8744" xr:uid="{00000000-0005-0000-0000-0000FF930000}"/>
    <cellStyle name="Note 2 4 2 4 2 2" xfId="13051" xr:uid="{00000000-0005-0000-0000-000000940000}"/>
    <cellStyle name="Note 2 4 2 4 2 2 2" xfId="32521" xr:uid="{00000000-0005-0000-0000-000001940000}"/>
    <cellStyle name="Note 2 4 2 4 2 3" xfId="28224" xr:uid="{00000000-0005-0000-0000-000002940000}"/>
    <cellStyle name="Note 2 4 2 4 3" xfId="10186" xr:uid="{00000000-0005-0000-0000-000003940000}"/>
    <cellStyle name="Note 2 4 2 4 3 2" xfId="29656" xr:uid="{00000000-0005-0000-0000-000004940000}"/>
    <cellStyle name="Note 2 4 2 4 4" xfId="25237" xr:uid="{00000000-0005-0000-0000-000005940000}"/>
    <cellStyle name="Note 2 4 2 5" xfId="8737" xr:uid="{00000000-0005-0000-0000-000006940000}"/>
    <cellStyle name="Note 2 4 2 5 2" xfId="13044" xr:uid="{00000000-0005-0000-0000-000007940000}"/>
    <cellStyle name="Note 2 4 2 5 2 2" xfId="32514" xr:uid="{00000000-0005-0000-0000-000008940000}"/>
    <cellStyle name="Note 2 4 2 5 3" xfId="28217" xr:uid="{00000000-0005-0000-0000-000009940000}"/>
    <cellStyle name="Note 2 4 2 6" xfId="9125" xr:uid="{00000000-0005-0000-0000-00000A940000}"/>
    <cellStyle name="Note 2 4 2 6 2" xfId="28596" xr:uid="{00000000-0005-0000-0000-00000B940000}"/>
    <cellStyle name="Note 2 4 2 7" xfId="14525" xr:uid="{00000000-0005-0000-0000-00000C940000}"/>
    <cellStyle name="Note 2 4 2 7 2" xfId="33886" xr:uid="{00000000-0005-0000-0000-00000D940000}"/>
    <cellStyle name="Note 2 4 2 8" xfId="17015" xr:uid="{00000000-0005-0000-0000-00000E940000}"/>
    <cellStyle name="Note 2 4 2 8 2" xfId="36369" xr:uid="{00000000-0005-0000-0000-00000F940000}"/>
    <cellStyle name="Note 2 4 2 9" xfId="19446" xr:uid="{00000000-0005-0000-0000-000010940000}"/>
    <cellStyle name="Note 2 4 2 9 2" xfId="38799" xr:uid="{00000000-0005-0000-0000-000011940000}"/>
    <cellStyle name="Note 2 4 3" xfId="4746" xr:uid="{00000000-0005-0000-0000-000012940000}"/>
    <cellStyle name="Note 2 4 3 10" xfId="24252" xr:uid="{00000000-0005-0000-0000-000013940000}"/>
    <cellStyle name="Note 2 4 3 2" xfId="5377" xr:uid="{00000000-0005-0000-0000-000014940000}"/>
    <cellStyle name="Note 2 4 3 2 2" xfId="6505" xr:uid="{00000000-0005-0000-0000-000015940000}"/>
    <cellStyle name="Note 2 4 3 2 2 2" xfId="8747" xr:uid="{00000000-0005-0000-0000-000016940000}"/>
    <cellStyle name="Note 2 4 3 2 2 2 2" xfId="13054" xr:uid="{00000000-0005-0000-0000-000017940000}"/>
    <cellStyle name="Note 2 4 3 2 2 2 2 2" xfId="32524" xr:uid="{00000000-0005-0000-0000-000018940000}"/>
    <cellStyle name="Note 2 4 3 2 2 2 3" xfId="28227" xr:uid="{00000000-0005-0000-0000-000019940000}"/>
    <cellStyle name="Note 2 4 3 2 2 3" xfId="10921" xr:uid="{00000000-0005-0000-0000-00001A940000}"/>
    <cellStyle name="Note 2 4 3 2 2 3 2" xfId="30391" xr:uid="{00000000-0005-0000-0000-00001B940000}"/>
    <cellStyle name="Note 2 4 3 2 2 4" xfId="25990" xr:uid="{00000000-0005-0000-0000-00001C940000}"/>
    <cellStyle name="Note 2 4 3 2 3" xfId="8746" xr:uid="{00000000-0005-0000-0000-00001D940000}"/>
    <cellStyle name="Note 2 4 3 2 3 2" xfId="13053" xr:uid="{00000000-0005-0000-0000-00001E940000}"/>
    <cellStyle name="Note 2 4 3 2 3 2 2" xfId="32523" xr:uid="{00000000-0005-0000-0000-00001F940000}"/>
    <cellStyle name="Note 2 4 3 2 3 3" xfId="28226" xr:uid="{00000000-0005-0000-0000-000020940000}"/>
    <cellStyle name="Note 2 4 3 2 4" xfId="9860" xr:uid="{00000000-0005-0000-0000-000021940000}"/>
    <cellStyle name="Note 2 4 3 2 4 2" xfId="29330" xr:uid="{00000000-0005-0000-0000-000022940000}"/>
    <cellStyle name="Note 2 4 3 2 5" xfId="24868" xr:uid="{00000000-0005-0000-0000-000023940000}"/>
    <cellStyle name="Note 2 4 3 3" xfId="5968" xr:uid="{00000000-0005-0000-0000-000024940000}"/>
    <cellStyle name="Note 2 4 3 3 2" xfId="8748" xr:uid="{00000000-0005-0000-0000-000025940000}"/>
    <cellStyle name="Note 2 4 3 3 2 2" xfId="13055" xr:uid="{00000000-0005-0000-0000-000026940000}"/>
    <cellStyle name="Note 2 4 3 3 2 2 2" xfId="32525" xr:uid="{00000000-0005-0000-0000-000027940000}"/>
    <cellStyle name="Note 2 4 3 3 2 3" xfId="28228" xr:uid="{00000000-0005-0000-0000-000028940000}"/>
    <cellStyle name="Note 2 4 3 3 3" xfId="10390" xr:uid="{00000000-0005-0000-0000-000029940000}"/>
    <cellStyle name="Note 2 4 3 3 3 2" xfId="29860" xr:uid="{00000000-0005-0000-0000-00002A940000}"/>
    <cellStyle name="Note 2 4 3 3 4" xfId="25453" xr:uid="{00000000-0005-0000-0000-00002B940000}"/>
    <cellStyle name="Note 2 4 3 4" xfId="8745" xr:uid="{00000000-0005-0000-0000-00002C940000}"/>
    <cellStyle name="Note 2 4 3 4 2" xfId="13052" xr:uid="{00000000-0005-0000-0000-00002D940000}"/>
    <cellStyle name="Note 2 4 3 4 2 2" xfId="32522" xr:uid="{00000000-0005-0000-0000-00002E940000}"/>
    <cellStyle name="Note 2 4 3 4 3" xfId="28225" xr:uid="{00000000-0005-0000-0000-00002F940000}"/>
    <cellStyle name="Note 2 4 3 5" xfId="9330" xr:uid="{00000000-0005-0000-0000-000030940000}"/>
    <cellStyle name="Note 2 4 3 5 2" xfId="28800" xr:uid="{00000000-0005-0000-0000-000031940000}"/>
    <cellStyle name="Note 2 4 3 6" xfId="15089" xr:uid="{00000000-0005-0000-0000-000032940000}"/>
    <cellStyle name="Note 2 4 3 6 2" xfId="34450" xr:uid="{00000000-0005-0000-0000-000033940000}"/>
    <cellStyle name="Note 2 4 3 7" xfId="17565" xr:uid="{00000000-0005-0000-0000-000034940000}"/>
    <cellStyle name="Note 2 4 3 7 2" xfId="36919" xr:uid="{00000000-0005-0000-0000-000035940000}"/>
    <cellStyle name="Note 2 4 3 8" xfId="19996" xr:uid="{00000000-0005-0000-0000-000036940000}"/>
    <cellStyle name="Note 2 4 3 8 2" xfId="39349" xr:uid="{00000000-0005-0000-0000-000037940000}"/>
    <cellStyle name="Note 2 4 3 9" xfId="22509" xr:uid="{00000000-0005-0000-0000-000038940000}"/>
    <cellStyle name="Note 2 4 3 9 2" xfId="41851" xr:uid="{00000000-0005-0000-0000-000039940000}"/>
    <cellStyle name="Note 2 4 4" xfId="5078" xr:uid="{00000000-0005-0000-0000-00003A940000}"/>
    <cellStyle name="Note 2 4 4 2" xfId="6238" xr:uid="{00000000-0005-0000-0000-00003B940000}"/>
    <cellStyle name="Note 2 4 4 2 2" xfId="8750" xr:uid="{00000000-0005-0000-0000-00003C940000}"/>
    <cellStyle name="Note 2 4 4 2 2 2" xfId="13057" xr:uid="{00000000-0005-0000-0000-00003D940000}"/>
    <cellStyle name="Note 2 4 4 2 2 2 2" xfId="32527" xr:uid="{00000000-0005-0000-0000-00003E940000}"/>
    <cellStyle name="Note 2 4 4 2 2 3" xfId="28230" xr:uid="{00000000-0005-0000-0000-00003F940000}"/>
    <cellStyle name="Note 2 4 4 2 3" xfId="10655" xr:uid="{00000000-0005-0000-0000-000040940000}"/>
    <cellStyle name="Note 2 4 4 2 3 2" xfId="30125" xr:uid="{00000000-0005-0000-0000-000041940000}"/>
    <cellStyle name="Note 2 4 4 2 4" xfId="25723" xr:uid="{00000000-0005-0000-0000-000042940000}"/>
    <cellStyle name="Note 2 4 4 3" xfId="8749" xr:uid="{00000000-0005-0000-0000-000043940000}"/>
    <cellStyle name="Note 2 4 4 3 2" xfId="13056" xr:uid="{00000000-0005-0000-0000-000044940000}"/>
    <cellStyle name="Note 2 4 4 3 2 2" xfId="32526" xr:uid="{00000000-0005-0000-0000-000045940000}"/>
    <cellStyle name="Note 2 4 4 3 3" xfId="28229" xr:uid="{00000000-0005-0000-0000-000046940000}"/>
    <cellStyle name="Note 2 4 4 4" xfId="9595" xr:uid="{00000000-0005-0000-0000-000047940000}"/>
    <cellStyle name="Note 2 4 4 4 2" xfId="29065" xr:uid="{00000000-0005-0000-0000-000048940000}"/>
    <cellStyle name="Note 2 4 4 5" xfId="15572" xr:uid="{00000000-0005-0000-0000-000049940000}"/>
    <cellStyle name="Note 2 4 4 5 2" xfId="34933" xr:uid="{00000000-0005-0000-0000-00004A940000}"/>
    <cellStyle name="Note 2 4 4 6" xfId="18048" xr:uid="{00000000-0005-0000-0000-00004B940000}"/>
    <cellStyle name="Note 2 4 4 6 2" xfId="37402" xr:uid="{00000000-0005-0000-0000-00004C940000}"/>
    <cellStyle name="Note 2 4 4 7" xfId="20479" xr:uid="{00000000-0005-0000-0000-00004D940000}"/>
    <cellStyle name="Note 2 4 4 7 2" xfId="39832" xr:uid="{00000000-0005-0000-0000-00004E940000}"/>
    <cellStyle name="Note 2 4 4 8" xfId="22992" xr:uid="{00000000-0005-0000-0000-00004F940000}"/>
    <cellStyle name="Note 2 4 4 8 2" xfId="42334" xr:uid="{00000000-0005-0000-0000-000050940000}"/>
    <cellStyle name="Note 2 4 4 9" xfId="24570" xr:uid="{00000000-0005-0000-0000-000051940000}"/>
    <cellStyle name="Note 2 4 5" xfId="5689" xr:uid="{00000000-0005-0000-0000-000052940000}"/>
    <cellStyle name="Note 2 4 5 2" xfId="8751" xr:uid="{00000000-0005-0000-0000-000053940000}"/>
    <cellStyle name="Note 2 4 5 2 2" xfId="13058" xr:uid="{00000000-0005-0000-0000-000054940000}"/>
    <cellStyle name="Note 2 4 5 2 2 2" xfId="32528" xr:uid="{00000000-0005-0000-0000-000055940000}"/>
    <cellStyle name="Note 2 4 5 2 3" xfId="28231" xr:uid="{00000000-0005-0000-0000-000056940000}"/>
    <cellStyle name="Note 2 4 5 3" xfId="10125" xr:uid="{00000000-0005-0000-0000-000057940000}"/>
    <cellStyle name="Note 2 4 5 3 2" xfId="29595" xr:uid="{00000000-0005-0000-0000-000058940000}"/>
    <cellStyle name="Note 2 4 5 4" xfId="25175" xr:uid="{00000000-0005-0000-0000-000059940000}"/>
    <cellStyle name="Note 2 4 6" xfId="8736" xr:uid="{00000000-0005-0000-0000-00005A940000}"/>
    <cellStyle name="Note 2 4 6 2" xfId="13043" xr:uid="{00000000-0005-0000-0000-00005B940000}"/>
    <cellStyle name="Note 2 4 6 2 2" xfId="32513" xr:uid="{00000000-0005-0000-0000-00005C940000}"/>
    <cellStyle name="Note 2 4 6 3" xfId="28216" xr:uid="{00000000-0005-0000-0000-00005D940000}"/>
    <cellStyle name="Note 2 4 7" xfId="9063" xr:uid="{00000000-0005-0000-0000-00005E940000}"/>
    <cellStyle name="Note 2 4 7 2" xfId="28535" xr:uid="{00000000-0005-0000-0000-00005F940000}"/>
    <cellStyle name="Note 2 4 8" xfId="13722" xr:uid="{00000000-0005-0000-0000-000060940000}"/>
    <cellStyle name="Note 2 4 8 2" xfId="33087" xr:uid="{00000000-0005-0000-0000-000061940000}"/>
    <cellStyle name="Note 2 4 9" xfId="16241" xr:uid="{00000000-0005-0000-0000-000062940000}"/>
    <cellStyle name="Note 2 4 9 2" xfId="35595" xr:uid="{00000000-0005-0000-0000-000063940000}"/>
    <cellStyle name="Note 2 5" xfId="4123" xr:uid="{00000000-0005-0000-0000-000064940000}"/>
    <cellStyle name="Note 2 5 10" xfId="21663" xr:uid="{00000000-0005-0000-0000-000065940000}"/>
    <cellStyle name="Note 2 5 10 2" xfId="41005" xr:uid="{00000000-0005-0000-0000-000066940000}"/>
    <cellStyle name="Note 2 5 11" xfId="23957" xr:uid="{00000000-0005-0000-0000-000067940000}"/>
    <cellStyle name="Note 2 5 2" xfId="4755" xr:uid="{00000000-0005-0000-0000-000068940000}"/>
    <cellStyle name="Note 2 5 2 2" xfId="5384" xr:uid="{00000000-0005-0000-0000-000069940000}"/>
    <cellStyle name="Note 2 5 2 2 2" xfId="6512" xr:uid="{00000000-0005-0000-0000-00006A940000}"/>
    <cellStyle name="Note 2 5 2 2 2 2" xfId="8755" xr:uid="{00000000-0005-0000-0000-00006B940000}"/>
    <cellStyle name="Note 2 5 2 2 2 2 2" xfId="13062" xr:uid="{00000000-0005-0000-0000-00006C940000}"/>
    <cellStyle name="Note 2 5 2 2 2 2 2 2" xfId="32532" xr:uid="{00000000-0005-0000-0000-00006D940000}"/>
    <cellStyle name="Note 2 5 2 2 2 2 3" xfId="28235" xr:uid="{00000000-0005-0000-0000-00006E940000}"/>
    <cellStyle name="Note 2 5 2 2 2 3" xfId="10928" xr:uid="{00000000-0005-0000-0000-00006F940000}"/>
    <cellStyle name="Note 2 5 2 2 2 3 2" xfId="30398" xr:uid="{00000000-0005-0000-0000-000070940000}"/>
    <cellStyle name="Note 2 5 2 2 2 4" xfId="25997" xr:uid="{00000000-0005-0000-0000-000071940000}"/>
    <cellStyle name="Note 2 5 2 2 3" xfId="8754" xr:uid="{00000000-0005-0000-0000-000072940000}"/>
    <cellStyle name="Note 2 5 2 2 3 2" xfId="13061" xr:uid="{00000000-0005-0000-0000-000073940000}"/>
    <cellStyle name="Note 2 5 2 2 3 2 2" xfId="32531" xr:uid="{00000000-0005-0000-0000-000074940000}"/>
    <cellStyle name="Note 2 5 2 2 3 3" xfId="28234" xr:uid="{00000000-0005-0000-0000-000075940000}"/>
    <cellStyle name="Note 2 5 2 2 4" xfId="9867" xr:uid="{00000000-0005-0000-0000-000076940000}"/>
    <cellStyle name="Note 2 5 2 2 4 2" xfId="29337" xr:uid="{00000000-0005-0000-0000-000077940000}"/>
    <cellStyle name="Note 2 5 2 2 5" xfId="24875" xr:uid="{00000000-0005-0000-0000-000078940000}"/>
    <cellStyle name="Note 2 5 2 3" xfId="5975" xr:uid="{00000000-0005-0000-0000-000079940000}"/>
    <cellStyle name="Note 2 5 2 3 2" xfId="8756" xr:uid="{00000000-0005-0000-0000-00007A940000}"/>
    <cellStyle name="Note 2 5 2 3 2 2" xfId="13063" xr:uid="{00000000-0005-0000-0000-00007B940000}"/>
    <cellStyle name="Note 2 5 2 3 2 2 2" xfId="32533" xr:uid="{00000000-0005-0000-0000-00007C940000}"/>
    <cellStyle name="Note 2 5 2 3 2 3" xfId="28236" xr:uid="{00000000-0005-0000-0000-00007D940000}"/>
    <cellStyle name="Note 2 5 2 3 3" xfId="10397" xr:uid="{00000000-0005-0000-0000-00007E940000}"/>
    <cellStyle name="Note 2 5 2 3 3 2" xfId="29867" xr:uid="{00000000-0005-0000-0000-00007F940000}"/>
    <cellStyle name="Note 2 5 2 3 4" xfId="25460" xr:uid="{00000000-0005-0000-0000-000080940000}"/>
    <cellStyle name="Note 2 5 2 4" xfId="8753" xr:uid="{00000000-0005-0000-0000-000081940000}"/>
    <cellStyle name="Note 2 5 2 4 2" xfId="13060" xr:uid="{00000000-0005-0000-0000-000082940000}"/>
    <cellStyle name="Note 2 5 2 4 2 2" xfId="32530" xr:uid="{00000000-0005-0000-0000-000083940000}"/>
    <cellStyle name="Note 2 5 2 4 3" xfId="28233" xr:uid="{00000000-0005-0000-0000-000084940000}"/>
    <cellStyle name="Note 2 5 2 5" xfId="9337" xr:uid="{00000000-0005-0000-0000-000085940000}"/>
    <cellStyle name="Note 2 5 2 5 2" xfId="28807" xr:uid="{00000000-0005-0000-0000-000086940000}"/>
    <cellStyle name="Note 2 5 2 6" xfId="24260" xr:uid="{00000000-0005-0000-0000-000087940000}"/>
    <cellStyle name="Note 2 5 3" xfId="5089" xr:uid="{00000000-0005-0000-0000-000088940000}"/>
    <cellStyle name="Note 2 5 3 2" xfId="6245" xr:uid="{00000000-0005-0000-0000-000089940000}"/>
    <cellStyle name="Note 2 5 3 2 2" xfId="8758" xr:uid="{00000000-0005-0000-0000-00008A940000}"/>
    <cellStyle name="Note 2 5 3 2 2 2" xfId="13065" xr:uid="{00000000-0005-0000-0000-00008B940000}"/>
    <cellStyle name="Note 2 5 3 2 2 2 2" xfId="32535" xr:uid="{00000000-0005-0000-0000-00008C940000}"/>
    <cellStyle name="Note 2 5 3 2 2 3" xfId="28238" xr:uid="{00000000-0005-0000-0000-00008D940000}"/>
    <cellStyle name="Note 2 5 3 2 3" xfId="10662" xr:uid="{00000000-0005-0000-0000-00008E940000}"/>
    <cellStyle name="Note 2 5 3 2 3 2" xfId="30132" xr:uid="{00000000-0005-0000-0000-00008F940000}"/>
    <cellStyle name="Note 2 5 3 2 4" xfId="25730" xr:uid="{00000000-0005-0000-0000-000090940000}"/>
    <cellStyle name="Note 2 5 3 3" xfId="8757" xr:uid="{00000000-0005-0000-0000-000091940000}"/>
    <cellStyle name="Note 2 5 3 3 2" xfId="13064" xr:uid="{00000000-0005-0000-0000-000092940000}"/>
    <cellStyle name="Note 2 5 3 3 2 2" xfId="32534" xr:uid="{00000000-0005-0000-0000-000093940000}"/>
    <cellStyle name="Note 2 5 3 3 3" xfId="28237" xr:uid="{00000000-0005-0000-0000-000094940000}"/>
    <cellStyle name="Note 2 5 3 4" xfId="9602" xr:uid="{00000000-0005-0000-0000-000095940000}"/>
    <cellStyle name="Note 2 5 3 4 2" xfId="29072" xr:uid="{00000000-0005-0000-0000-000096940000}"/>
    <cellStyle name="Note 2 5 3 5" xfId="24580" xr:uid="{00000000-0005-0000-0000-000097940000}"/>
    <cellStyle name="Note 2 5 4" xfId="5697" xr:uid="{00000000-0005-0000-0000-000098940000}"/>
    <cellStyle name="Note 2 5 4 2" xfId="8759" xr:uid="{00000000-0005-0000-0000-000099940000}"/>
    <cellStyle name="Note 2 5 4 2 2" xfId="13066" xr:uid="{00000000-0005-0000-0000-00009A940000}"/>
    <cellStyle name="Note 2 5 4 2 2 2" xfId="32536" xr:uid="{00000000-0005-0000-0000-00009B940000}"/>
    <cellStyle name="Note 2 5 4 2 3" xfId="28239" xr:uid="{00000000-0005-0000-0000-00009C940000}"/>
    <cellStyle name="Note 2 5 4 3" xfId="10132" xr:uid="{00000000-0005-0000-0000-00009D940000}"/>
    <cellStyle name="Note 2 5 4 3 2" xfId="29602" xr:uid="{00000000-0005-0000-0000-00009E940000}"/>
    <cellStyle name="Note 2 5 4 4" xfId="25182" xr:uid="{00000000-0005-0000-0000-00009F940000}"/>
    <cellStyle name="Note 2 5 5" xfId="8752" xr:uid="{00000000-0005-0000-0000-0000A0940000}"/>
    <cellStyle name="Note 2 5 5 2" xfId="13059" xr:uid="{00000000-0005-0000-0000-0000A1940000}"/>
    <cellStyle name="Note 2 5 5 2 2" xfId="32529" xr:uid="{00000000-0005-0000-0000-0000A2940000}"/>
    <cellStyle name="Note 2 5 5 3" xfId="28232" xr:uid="{00000000-0005-0000-0000-0000A3940000}"/>
    <cellStyle name="Note 2 5 6" xfId="9071" xr:uid="{00000000-0005-0000-0000-0000A4940000}"/>
    <cellStyle name="Note 2 5 6 2" xfId="28542" xr:uid="{00000000-0005-0000-0000-0000A5940000}"/>
    <cellStyle name="Note 2 5 7" xfId="14242" xr:uid="{00000000-0005-0000-0000-0000A6940000}"/>
    <cellStyle name="Note 2 5 7 2" xfId="33604" xr:uid="{00000000-0005-0000-0000-0000A7940000}"/>
    <cellStyle name="Note 2 5 8" xfId="16745" xr:uid="{00000000-0005-0000-0000-0000A8940000}"/>
    <cellStyle name="Note 2 5 8 2" xfId="36099" xr:uid="{00000000-0005-0000-0000-0000A9940000}"/>
    <cellStyle name="Note 2 5 9" xfId="19176" xr:uid="{00000000-0005-0000-0000-0000AA940000}"/>
    <cellStyle name="Note 2 5 9 2" xfId="38529" xr:uid="{00000000-0005-0000-0000-0000AB940000}"/>
    <cellStyle name="Note 2 6" xfId="4886" xr:uid="{00000000-0005-0000-0000-0000AC940000}"/>
    <cellStyle name="Note 2 6 2" xfId="6641" xr:uid="{00000000-0005-0000-0000-0000AD940000}"/>
    <cellStyle name="Note 2 6 2 2" xfId="26126" xr:uid="{00000000-0005-0000-0000-0000AE940000}"/>
    <cellStyle name="Note 2 6 3" xfId="24381" xr:uid="{00000000-0005-0000-0000-0000AF940000}"/>
    <cellStyle name="Note 2 7" xfId="5527" xr:uid="{00000000-0005-0000-0000-0000B0940000}"/>
    <cellStyle name="Note 2 7 2" xfId="25015" xr:uid="{00000000-0005-0000-0000-0000B1940000}"/>
    <cellStyle name="Note 2 8" xfId="13311" xr:uid="{00000000-0005-0000-0000-0000B2940000}"/>
    <cellStyle name="Note 2 8 2" xfId="32740" xr:uid="{00000000-0005-0000-0000-0000B3940000}"/>
    <cellStyle name="Note 2 9" xfId="13358" xr:uid="{00000000-0005-0000-0000-0000B4940000}"/>
    <cellStyle name="Note 2 9 2" xfId="32757" xr:uid="{00000000-0005-0000-0000-0000B5940000}"/>
    <cellStyle name="Note 3" xfId="2145" xr:uid="{00000000-0005-0000-0000-0000B6940000}"/>
    <cellStyle name="Note 3 2" xfId="4568" xr:uid="{00000000-0005-0000-0000-0000B7940000}"/>
    <cellStyle name="Note 3 2 2" xfId="5212" xr:uid="{00000000-0005-0000-0000-0000B8940000}"/>
    <cellStyle name="Note 3 2 2 2" xfId="6687" xr:uid="{00000000-0005-0000-0000-0000B9940000}"/>
    <cellStyle name="Note 3 2 2 2 2" xfId="14670" xr:uid="{00000000-0005-0000-0000-0000BA940000}"/>
    <cellStyle name="Note 3 2 2 2 2 2" xfId="17151" xr:uid="{00000000-0005-0000-0000-0000BB940000}"/>
    <cellStyle name="Note 3 2 2 2 2 2 2" xfId="36505" xr:uid="{00000000-0005-0000-0000-0000BC940000}"/>
    <cellStyle name="Note 3 2 2 2 2 3" xfId="19582" xr:uid="{00000000-0005-0000-0000-0000BD940000}"/>
    <cellStyle name="Note 3 2 2 2 2 3 2" xfId="38935" xr:uid="{00000000-0005-0000-0000-0000BE940000}"/>
    <cellStyle name="Note 3 2 2 2 2 4" xfId="22090" xr:uid="{00000000-0005-0000-0000-0000BF940000}"/>
    <cellStyle name="Note 3 2 2 2 2 4 2" xfId="41432" xr:uid="{00000000-0005-0000-0000-0000C0940000}"/>
    <cellStyle name="Note 3 2 2 2 2 5" xfId="34031" xr:uid="{00000000-0005-0000-0000-0000C1940000}"/>
    <cellStyle name="Note 3 2 2 2 3" xfId="15222" xr:uid="{00000000-0005-0000-0000-0000C2940000}"/>
    <cellStyle name="Note 3 2 2 2 3 2" xfId="17698" xr:uid="{00000000-0005-0000-0000-0000C3940000}"/>
    <cellStyle name="Note 3 2 2 2 3 2 2" xfId="37052" xr:uid="{00000000-0005-0000-0000-0000C4940000}"/>
    <cellStyle name="Note 3 2 2 2 3 3" xfId="20129" xr:uid="{00000000-0005-0000-0000-0000C5940000}"/>
    <cellStyle name="Note 3 2 2 2 3 3 2" xfId="39482" xr:uid="{00000000-0005-0000-0000-0000C6940000}"/>
    <cellStyle name="Note 3 2 2 2 3 4" xfId="22642" xr:uid="{00000000-0005-0000-0000-0000C7940000}"/>
    <cellStyle name="Note 3 2 2 2 3 4 2" xfId="41984" xr:uid="{00000000-0005-0000-0000-0000C8940000}"/>
    <cellStyle name="Note 3 2 2 2 3 5" xfId="34583" xr:uid="{00000000-0005-0000-0000-0000C9940000}"/>
    <cellStyle name="Note 3 2 2 2 4" xfId="15692" xr:uid="{00000000-0005-0000-0000-0000CA940000}"/>
    <cellStyle name="Note 3 2 2 2 4 2" xfId="18168" xr:uid="{00000000-0005-0000-0000-0000CB940000}"/>
    <cellStyle name="Note 3 2 2 2 4 2 2" xfId="37522" xr:uid="{00000000-0005-0000-0000-0000CC940000}"/>
    <cellStyle name="Note 3 2 2 2 4 3" xfId="20599" xr:uid="{00000000-0005-0000-0000-0000CD940000}"/>
    <cellStyle name="Note 3 2 2 2 4 3 2" xfId="39952" xr:uid="{00000000-0005-0000-0000-0000CE940000}"/>
    <cellStyle name="Note 3 2 2 2 4 4" xfId="23112" xr:uid="{00000000-0005-0000-0000-0000CF940000}"/>
    <cellStyle name="Note 3 2 2 2 4 4 2" xfId="42454" xr:uid="{00000000-0005-0000-0000-0000D0940000}"/>
    <cellStyle name="Note 3 2 2 2 4 5" xfId="35053" xr:uid="{00000000-0005-0000-0000-0000D1940000}"/>
    <cellStyle name="Note 3 2 2 2 5" xfId="13875" xr:uid="{00000000-0005-0000-0000-0000D2940000}"/>
    <cellStyle name="Note 3 2 2 2 5 2" xfId="33239" xr:uid="{00000000-0005-0000-0000-0000D3940000}"/>
    <cellStyle name="Note 3 2 2 2 6" xfId="16384" xr:uid="{00000000-0005-0000-0000-0000D4940000}"/>
    <cellStyle name="Note 3 2 2 2 6 2" xfId="35738" xr:uid="{00000000-0005-0000-0000-0000D5940000}"/>
    <cellStyle name="Note 3 2 2 2 7" xfId="18815" xr:uid="{00000000-0005-0000-0000-0000D6940000}"/>
    <cellStyle name="Note 3 2 2 2 7 2" xfId="38168" xr:uid="{00000000-0005-0000-0000-0000D7940000}"/>
    <cellStyle name="Note 3 2 2 2 8" xfId="21298" xr:uid="{00000000-0005-0000-0000-0000D8940000}"/>
    <cellStyle name="Note 3 2 2 2 8 2" xfId="40640" xr:uid="{00000000-0005-0000-0000-0000D9940000}"/>
    <cellStyle name="Note 3 2 2 2 9" xfId="26172" xr:uid="{00000000-0005-0000-0000-0000DA940000}"/>
    <cellStyle name="Note 3 2 2 3" xfId="14093" xr:uid="{00000000-0005-0000-0000-0000DB940000}"/>
    <cellStyle name="Note 3 2 2 3 2" xfId="14874" xr:uid="{00000000-0005-0000-0000-0000DC940000}"/>
    <cellStyle name="Note 3 2 2 3 2 2" xfId="17352" xr:uid="{00000000-0005-0000-0000-0000DD940000}"/>
    <cellStyle name="Note 3 2 2 3 2 2 2" xfId="36706" xr:uid="{00000000-0005-0000-0000-0000DE940000}"/>
    <cellStyle name="Note 3 2 2 3 2 3" xfId="19783" xr:uid="{00000000-0005-0000-0000-0000DF940000}"/>
    <cellStyle name="Note 3 2 2 3 2 3 2" xfId="39136" xr:uid="{00000000-0005-0000-0000-0000E0940000}"/>
    <cellStyle name="Note 3 2 2 3 2 4" xfId="22294" xr:uid="{00000000-0005-0000-0000-0000E1940000}"/>
    <cellStyle name="Note 3 2 2 3 2 4 2" xfId="41636" xr:uid="{00000000-0005-0000-0000-0000E2940000}"/>
    <cellStyle name="Note 3 2 2 3 2 5" xfId="34235" xr:uid="{00000000-0005-0000-0000-0000E3940000}"/>
    <cellStyle name="Note 3 2 2 3 3" xfId="15421" xr:uid="{00000000-0005-0000-0000-0000E4940000}"/>
    <cellStyle name="Note 3 2 2 3 3 2" xfId="17897" xr:uid="{00000000-0005-0000-0000-0000E5940000}"/>
    <cellStyle name="Note 3 2 2 3 3 2 2" xfId="37251" xr:uid="{00000000-0005-0000-0000-0000E6940000}"/>
    <cellStyle name="Note 3 2 2 3 3 3" xfId="20328" xr:uid="{00000000-0005-0000-0000-0000E7940000}"/>
    <cellStyle name="Note 3 2 2 3 3 3 2" xfId="39681" xr:uid="{00000000-0005-0000-0000-0000E8940000}"/>
    <cellStyle name="Note 3 2 2 3 3 4" xfId="22841" xr:uid="{00000000-0005-0000-0000-0000E9940000}"/>
    <cellStyle name="Note 3 2 2 3 3 4 2" xfId="42183" xr:uid="{00000000-0005-0000-0000-0000EA940000}"/>
    <cellStyle name="Note 3 2 2 3 3 5" xfId="34782" xr:uid="{00000000-0005-0000-0000-0000EB940000}"/>
    <cellStyle name="Note 3 2 2 3 4" xfId="15880" xr:uid="{00000000-0005-0000-0000-0000EC940000}"/>
    <cellStyle name="Note 3 2 2 3 4 2" xfId="18356" xr:uid="{00000000-0005-0000-0000-0000ED940000}"/>
    <cellStyle name="Note 3 2 2 3 4 2 2" xfId="37710" xr:uid="{00000000-0005-0000-0000-0000EE940000}"/>
    <cellStyle name="Note 3 2 2 3 4 3" xfId="20787" xr:uid="{00000000-0005-0000-0000-0000EF940000}"/>
    <cellStyle name="Note 3 2 2 3 4 3 2" xfId="40140" xr:uid="{00000000-0005-0000-0000-0000F0940000}"/>
    <cellStyle name="Note 3 2 2 3 4 4" xfId="23300" xr:uid="{00000000-0005-0000-0000-0000F1940000}"/>
    <cellStyle name="Note 3 2 2 3 4 4 2" xfId="42642" xr:uid="{00000000-0005-0000-0000-0000F2940000}"/>
    <cellStyle name="Note 3 2 2 3 4 5" xfId="35241" xr:uid="{00000000-0005-0000-0000-0000F3940000}"/>
    <cellStyle name="Note 3 2 2 3 5" xfId="16599" xr:uid="{00000000-0005-0000-0000-0000F4940000}"/>
    <cellStyle name="Note 3 2 2 3 5 2" xfId="35953" xr:uid="{00000000-0005-0000-0000-0000F5940000}"/>
    <cellStyle name="Note 3 2 2 3 6" xfId="19030" xr:uid="{00000000-0005-0000-0000-0000F6940000}"/>
    <cellStyle name="Note 3 2 2 3 6 2" xfId="38383" xr:uid="{00000000-0005-0000-0000-0000F7940000}"/>
    <cellStyle name="Note 3 2 2 3 7" xfId="21516" xr:uid="{00000000-0005-0000-0000-0000F8940000}"/>
    <cellStyle name="Note 3 2 2 3 7 2" xfId="40858" xr:uid="{00000000-0005-0000-0000-0000F9940000}"/>
    <cellStyle name="Note 3 2 2 3 8" xfId="33457" xr:uid="{00000000-0005-0000-0000-0000FA940000}"/>
    <cellStyle name="Note 3 2 2 4" xfId="14385" xr:uid="{00000000-0005-0000-0000-0000FB940000}"/>
    <cellStyle name="Note 3 2 2 4 2" xfId="16878" xr:uid="{00000000-0005-0000-0000-0000FC940000}"/>
    <cellStyle name="Note 3 2 2 4 2 2" xfId="36232" xr:uid="{00000000-0005-0000-0000-0000FD940000}"/>
    <cellStyle name="Note 3 2 2 4 3" xfId="19309" xr:uid="{00000000-0005-0000-0000-0000FE940000}"/>
    <cellStyle name="Note 3 2 2 4 3 2" xfId="38662" xr:uid="{00000000-0005-0000-0000-0000FF940000}"/>
    <cellStyle name="Note 3 2 2 4 4" xfId="21805" xr:uid="{00000000-0005-0000-0000-000000950000}"/>
    <cellStyle name="Note 3 2 2 4 4 2" xfId="41147" xr:uid="{00000000-0005-0000-0000-000001950000}"/>
    <cellStyle name="Note 3 2 2 4 5" xfId="33746" xr:uid="{00000000-0005-0000-0000-000002950000}"/>
    <cellStyle name="Note 3 2 2 5" xfId="13576" xr:uid="{00000000-0005-0000-0000-000003950000}"/>
    <cellStyle name="Note 3 2 2 5 2" xfId="32942" xr:uid="{00000000-0005-0000-0000-000004950000}"/>
    <cellStyle name="Note 3 2 2 6" xfId="18528" xr:uid="{00000000-0005-0000-0000-000005950000}"/>
    <cellStyle name="Note 3 2 2 6 2" xfId="37881" xr:uid="{00000000-0005-0000-0000-000006950000}"/>
    <cellStyle name="Note 3 2 2 7" xfId="24703" xr:uid="{00000000-0005-0000-0000-000007950000}"/>
    <cellStyle name="Note 3 2 3" xfId="6625" xr:uid="{00000000-0005-0000-0000-000008950000}"/>
    <cellStyle name="Note 3 2 3 2" xfId="13942" xr:uid="{00000000-0005-0000-0000-000009950000}"/>
    <cellStyle name="Note 3 2 3 2 2" xfId="14737" xr:uid="{00000000-0005-0000-0000-00000A950000}"/>
    <cellStyle name="Note 3 2 3 2 2 2" xfId="17215" xr:uid="{00000000-0005-0000-0000-00000B950000}"/>
    <cellStyle name="Note 3 2 3 2 2 2 2" xfId="36569" xr:uid="{00000000-0005-0000-0000-00000C950000}"/>
    <cellStyle name="Note 3 2 3 2 2 3" xfId="19646" xr:uid="{00000000-0005-0000-0000-00000D950000}"/>
    <cellStyle name="Note 3 2 3 2 2 3 2" xfId="38999" xr:uid="{00000000-0005-0000-0000-00000E950000}"/>
    <cellStyle name="Note 3 2 3 2 2 4" xfId="22157" xr:uid="{00000000-0005-0000-0000-00000F950000}"/>
    <cellStyle name="Note 3 2 3 2 2 4 2" xfId="41499" xr:uid="{00000000-0005-0000-0000-000010950000}"/>
    <cellStyle name="Note 3 2 3 2 2 5" xfId="34098" xr:uid="{00000000-0005-0000-0000-000011950000}"/>
    <cellStyle name="Note 3 2 3 2 3" xfId="15285" xr:uid="{00000000-0005-0000-0000-000012950000}"/>
    <cellStyle name="Note 3 2 3 2 3 2" xfId="17761" xr:uid="{00000000-0005-0000-0000-000013950000}"/>
    <cellStyle name="Note 3 2 3 2 3 2 2" xfId="37115" xr:uid="{00000000-0005-0000-0000-000014950000}"/>
    <cellStyle name="Note 3 2 3 2 3 3" xfId="20192" xr:uid="{00000000-0005-0000-0000-000015950000}"/>
    <cellStyle name="Note 3 2 3 2 3 3 2" xfId="39545" xr:uid="{00000000-0005-0000-0000-000016950000}"/>
    <cellStyle name="Note 3 2 3 2 3 4" xfId="22705" xr:uid="{00000000-0005-0000-0000-000017950000}"/>
    <cellStyle name="Note 3 2 3 2 3 4 2" xfId="42047" xr:uid="{00000000-0005-0000-0000-000018950000}"/>
    <cellStyle name="Note 3 2 3 2 3 5" xfId="34646" xr:uid="{00000000-0005-0000-0000-000019950000}"/>
    <cellStyle name="Note 3 2 3 2 4" xfId="15744" xr:uid="{00000000-0005-0000-0000-00001A950000}"/>
    <cellStyle name="Note 3 2 3 2 4 2" xfId="18220" xr:uid="{00000000-0005-0000-0000-00001B950000}"/>
    <cellStyle name="Note 3 2 3 2 4 2 2" xfId="37574" xr:uid="{00000000-0005-0000-0000-00001C950000}"/>
    <cellStyle name="Note 3 2 3 2 4 3" xfId="20651" xr:uid="{00000000-0005-0000-0000-00001D950000}"/>
    <cellStyle name="Note 3 2 3 2 4 3 2" xfId="40004" xr:uid="{00000000-0005-0000-0000-00001E950000}"/>
    <cellStyle name="Note 3 2 3 2 4 4" xfId="23164" xr:uid="{00000000-0005-0000-0000-00001F950000}"/>
    <cellStyle name="Note 3 2 3 2 4 4 2" xfId="42506" xr:uid="{00000000-0005-0000-0000-000020950000}"/>
    <cellStyle name="Note 3 2 3 2 4 5" xfId="35105" xr:uid="{00000000-0005-0000-0000-000021950000}"/>
    <cellStyle name="Note 3 2 3 2 5" xfId="16448" xr:uid="{00000000-0005-0000-0000-000022950000}"/>
    <cellStyle name="Note 3 2 3 2 5 2" xfId="35802" xr:uid="{00000000-0005-0000-0000-000023950000}"/>
    <cellStyle name="Note 3 2 3 2 6" xfId="18879" xr:uid="{00000000-0005-0000-0000-000024950000}"/>
    <cellStyle name="Note 3 2 3 2 6 2" xfId="38232" xr:uid="{00000000-0005-0000-0000-000025950000}"/>
    <cellStyle name="Note 3 2 3 2 7" xfId="21365" xr:uid="{00000000-0005-0000-0000-000026950000}"/>
    <cellStyle name="Note 3 2 3 2 7 2" xfId="40707" xr:uid="{00000000-0005-0000-0000-000027950000}"/>
    <cellStyle name="Note 3 2 3 2 8" xfId="33306" xr:uid="{00000000-0005-0000-0000-000028950000}"/>
    <cellStyle name="Note 3 2 3 3" xfId="14156" xr:uid="{00000000-0005-0000-0000-000029950000}"/>
    <cellStyle name="Note 3 2 3 3 2" xfId="14933" xr:uid="{00000000-0005-0000-0000-00002A950000}"/>
    <cellStyle name="Note 3 2 3 3 2 2" xfId="17411" xr:uid="{00000000-0005-0000-0000-00002B950000}"/>
    <cellStyle name="Note 3 2 3 3 2 2 2" xfId="36765" xr:uid="{00000000-0005-0000-0000-00002C950000}"/>
    <cellStyle name="Note 3 2 3 3 2 3" xfId="19842" xr:uid="{00000000-0005-0000-0000-00002D950000}"/>
    <cellStyle name="Note 3 2 3 3 2 3 2" xfId="39195" xr:uid="{00000000-0005-0000-0000-00002E950000}"/>
    <cellStyle name="Note 3 2 3 3 2 4" xfId="22353" xr:uid="{00000000-0005-0000-0000-00002F950000}"/>
    <cellStyle name="Note 3 2 3 3 2 4 2" xfId="41695" xr:uid="{00000000-0005-0000-0000-000030950000}"/>
    <cellStyle name="Note 3 2 3 3 2 5" xfId="34294" xr:uid="{00000000-0005-0000-0000-000031950000}"/>
    <cellStyle name="Note 3 2 3 3 3" xfId="15479" xr:uid="{00000000-0005-0000-0000-000032950000}"/>
    <cellStyle name="Note 3 2 3 3 3 2" xfId="17955" xr:uid="{00000000-0005-0000-0000-000033950000}"/>
    <cellStyle name="Note 3 2 3 3 3 2 2" xfId="37309" xr:uid="{00000000-0005-0000-0000-000034950000}"/>
    <cellStyle name="Note 3 2 3 3 3 3" xfId="20386" xr:uid="{00000000-0005-0000-0000-000035950000}"/>
    <cellStyle name="Note 3 2 3 3 3 3 2" xfId="39739" xr:uid="{00000000-0005-0000-0000-000036950000}"/>
    <cellStyle name="Note 3 2 3 3 3 4" xfId="22899" xr:uid="{00000000-0005-0000-0000-000037950000}"/>
    <cellStyle name="Note 3 2 3 3 3 4 2" xfId="42241" xr:uid="{00000000-0005-0000-0000-000038950000}"/>
    <cellStyle name="Note 3 2 3 3 3 5" xfId="34840" xr:uid="{00000000-0005-0000-0000-000039950000}"/>
    <cellStyle name="Note 3 2 3 3 4" xfId="15938" xr:uid="{00000000-0005-0000-0000-00003A950000}"/>
    <cellStyle name="Note 3 2 3 3 4 2" xfId="18414" xr:uid="{00000000-0005-0000-0000-00003B950000}"/>
    <cellStyle name="Note 3 2 3 3 4 2 2" xfId="37768" xr:uid="{00000000-0005-0000-0000-00003C950000}"/>
    <cellStyle name="Note 3 2 3 3 4 3" xfId="20845" xr:uid="{00000000-0005-0000-0000-00003D950000}"/>
    <cellStyle name="Note 3 2 3 3 4 3 2" xfId="40198" xr:uid="{00000000-0005-0000-0000-00003E950000}"/>
    <cellStyle name="Note 3 2 3 3 4 4" xfId="23358" xr:uid="{00000000-0005-0000-0000-00003F950000}"/>
    <cellStyle name="Note 3 2 3 3 4 4 2" xfId="42700" xr:uid="{00000000-0005-0000-0000-000040950000}"/>
    <cellStyle name="Note 3 2 3 3 4 5" xfId="35299" xr:uid="{00000000-0005-0000-0000-000041950000}"/>
    <cellStyle name="Note 3 2 3 3 5" xfId="16662" xr:uid="{00000000-0005-0000-0000-000042950000}"/>
    <cellStyle name="Note 3 2 3 3 5 2" xfId="36016" xr:uid="{00000000-0005-0000-0000-000043950000}"/>
    <cellStyle name="Note 3 2 3 3 6" xfId="19093" xr:uid="{00000000-0005-0000-0000-000044950000}"/>
    <cellStyle name="Note 3 2 3 3 6 2" xfId="38446" xr:uid="{00000000-0005-0000-0000-000045950000}"/>
    <cellStyle name="Note 3 2 3 3 7" xfId="21579" xr:uid="{00000000-0005-0000-0000-000046950000}"/>
    <cellStyle name="Note 3 2 3 3 7 2" xfId="40921" xr:uid="{00000000-0005-0000-0000-000047950000}"/>
    <cellStyle name="Note 3 2 3 3 8" xfId="33520" xr:uid="{00000000-0005-0000-0000-000048950000}"/>
    <cellStyle name="Note 3 2 3 4" xfId="14452" xr:uid="{00000000-0005-0000-0000-000049950000}"/>
    <cellStyle name="Note 3 2 3 4 2" xfId="16942" xr:uid="{00000000-0005-0000-0000-00004A950000}"/>
    <cellStyle name="Note 3 2 3 4 2 2" xfId="36296" xr:uid="{00000000-0005-0000-0000-00004B950000}"/>
    <cellStyle name="Note 3 2 3 4 3" xfId="19373" xr:uid="{00000000-0005-0000-0000-00004C950000}"/>
    <cellStyle name="Note 3 2 3 4 3 2" xfId="38726" xr:uid="{00000000-0005-0000-0000-00004D950000}"/>
    <cellStyle name="Note 3 2 3 4 4" xfId="21872" xr:uid="{00000000-0005-0000-0000-00004E950000}"/>
    <cellStyle name="Note 3 2 3 4 4 2" xfId="41214" xr:uid="{00000000-0005-0000-0000-00004F950000}"/>
    <cellStyle name="Note 3 2 3 4 5" xfId="33813" xr:uid="{00000000-0005-0000-0000-000050950000}"/>
    <cellStyle name="Note 3 2 3 5" xfId="13644" xr:uid="{00000000-0005-0000-0000-000051950000}"/>
    <cellStyle name="Note 3 2 3 5 2" xfId="33010" xr:uid="{00000000-0005-0000-0000-000052950000}"/>
    <cellStyle name="Note 3 2 3 6" xfId="16164" xr:uid="{00000000-0005-0000-0000-000053950000}"/>
    <cellStyle name="Note 3 2 3 6 2" xfId="35518" xr:uid="{00000000-0005-0000-0000-000054950000}"/>
    <cellStyle name="Note 3 2 3 7" xfId="18595" xr:uid="{00000000-0005-0000-0000-000055950000}"/>
    <cellStyle name="Note 3 2 3 7 2" xfId="37948" xr:uid="{00000000-0005-0000-0000-000056950000}"/>
    <cellStyle name="Note 3 2 3 8" xfId="21069" xr:uid="{00000000-0005-0000-0000-000057950000}"/>
    <cellStyle name="Note 3 2 3 8 2" xfId="40411" xr:uid="{00000000-0005-0000-0000-000058950000}"/>
    <cellStyle name="Note 3 2 3 9" xfId="26110" xr:uid="{00000000-0005-0000-0000-000059950000}"/>
    <cellStyle name="Note 3 2 4" xfId="13992" xr:uid="{00000000-0005-0000-0000-00005A950000}"/>
    <cellStyle name="Note 3 2 4 2" xfId="14787" xr:uid="{00000000-0005-0000-0000-00005B950000}"/>
    <cellStyle name="Note 3 2 4 2 2" xfId="17265" xr:uid="{00000000-0005-0000-0000-00005C950000}"/>
    <cellStyle name="Note 3 2 4 2 2 2" xfId="36619" xr:uid="{00000000-0005-0000-0000-00005D950000}"/>
    <cellStyle name="Note 3 2 4 2 3" xfId="19696" xr:uid="{00000000-0005-0000-0000-00005E950000}"/>
    <cellStyle name="Note 3 2 4 2 3 2" xfId="39049" xr:uid="{00000000-0005-0000-0000-00005F950000}"/>
    <cellStyle name="Note 3 2 4 2 4" xfId="22207" xr:uid="{00000000-0005-0000-0000-000060950000}"/>
    <cellStyle name="Note 3 2 4 2 4 2" xfId="41549" xr:uid="{00000000-0005-0000-0000-000061950000}"/>
    <cellStyle name="Note 3 2 4 2 5" xfId="34148" xr:uid="{00000000-0005-0000-0000-000062950000}"/>
    <cellStyle name="Note 3 2 4 3" xfId="15335" xr:uid="{00000000-0005-0000-0000-000063950000}"/>
    <cellStyle name="Note 3 2 4 3 2" xfId="17811" xr:uid="{00000000-0005-0000-0000-000064950000}"/>
    <cellStyle name="Note 3 2 4 3 2 2" xfId="37165" xr:uid="{00000000-0005-0000-0000-000065950000}"/>
    <cellStyle name="Note 3 2 4 3 3" xfId="20242" xr:uid="{00000000-0005-0000-0000-000066950000}"/>
    <cellStyle name="Note 3 2 4 3 3 2" xfId="39595" xr:uid="{00000000-0005-0000-0000-000067950000}"/>
    <cellStyle name="Note 3 2 4 3 4" xfId="22755" xr:uid="{00000000-0005-0000-0000-000068950000}"/>
    <cellStyle name="Note 3 2 4 3 4 2" xfId="42097" xr:uid="{00000000-0005-0000-0000-000069950000}"/>
    <cellStyle name="Note 3 2 4 3 5" xfId="34696" xr:uid="{00000000-0005-0000-0000-00006A950000}"/>
    <cellStyle name="Note 3 2 4 4" xfId="15794" xr:uid="{00000000-0005-0000-0000-00006B950000}"/>
    <cellStyle name="Note 3 2 4 4 2" xfId="18270" xr:uid="{00000000-0005-0000-0000-00006C950000}"/>
    <cellStyle name="Note 3 2 4 4 2 2" xfId="37624" xr:uid="{00000000-0005-0000-0000-00006D950000}"/>
    <cellStyle name="Note 3 2 4 4 3" xfId="20701" xr:uid="{00000000-0005-0000-0000-00006E950000}"/>
    <cellStyle name="Note 3 2 4 4 3 2" xfId="40054" xr:uid="{00000000-0005-0000-0000-00006F950000}"/>
    <cellStyle name="Note 3 2 4 4 4" xfId="23214" xr:uid="{00000000-0005-0000-0000-000070950000}"/>
    <cellStyle name="Note 3 2 4 4 4 2" xfId="42556" xr:uid="{00000000-0005-0000-0000-000071950000}"/>
    <cellStyle name="Note 3 2 4 4 5" xfId="35155" xr:uid="{00000000-0005-0000-0000-000072950000}"/>
    <cellStyle name="Note 3 2 4 5" xfId="16498" xr:uid="{00000000-0005-0000-0000-000073950000}"/>
    <cellStyle name="Note 3 2 4 5 2" xfId="35852" xr:uid="{00000000-0005-0000-0000-000074950000}"/>
    <cellStyle name="Note 3 2 4 6" xfId="18929" xr:uid="{00000000-0005-0000-0000-000075950000}"/>
    <cellStyle name="Note 3 2 4 6 2" xfId="38282" xr:uid="{00000000-0005-0000-0000-000076950000}"/>
    <cellStyle name="Note 3 2 4 7" xfId="21415" xr:uid="{00000000-0005-0000-0000-000077950000}"/>
    <cellStyle name="Note 3 2 4 7 2" xfId="40757" xr:uid="{00000000-0005-0000-0000-000078950000}"/>
    <cellStyle name="Note 3 2 4 8" xfId="33356" xr:uid="{00000000-0005-0000-0000-000079950000}"/>
    <cellStyle name="Note 3 2 5" xfId="14288" xr:uid="{00000000-0005-0000-0000-00007A950000}"/>
    <cellStyle name="Note 3 2 5 2" xfId="16787" xr:uid="{00000000-0005-0000-0000-00007B950000}"/>
    <cellStyle name="Note 3 2 5 2 2" xfId="36141" xr:uid="{00000000-0005-0000-0000-00007C950000}"/>
    <cellStyle name="Note 3 2 5 3" xfId="19218" xr:uid="{00000000-0005-0000-0000-00007D950000}"/>
    <cellStyle name="Note 3 2 5 3 2" xfId="38571" xr:uid="{00000000-0005-0000-0000-00007E950000}"/>
    <cellStyle name="Note 3 2 5 4" xfId="21708" xr:uid="{00000000-0005-0000-0000-00007F950000}"/>
    <cellStyle name="Note 3 2 5 4 2" xfId="41050" xr:uid="{00000000-0005-0000-0000-000080950000}"/>
    <cellStyle name="Note 3 2 5 5" xfId="33649" xr:uid="{00000000-0005-0000-0000-000081950000}"/>
    <cellStyle name="Note 3 2 6" xfId="13449" xr:uid="{00000000-0005-0000-0000-000082950000}"/>
    <cellStyle name="Note 3 2 6 2" xfId="32828" xr:uid="{00000000-0005-0000-0000-000083950000}"/>
    <cellStyle name="Note 3 2 7" xfId="16019" xr:uid="{00000000-0005-0000-0000-000084950000}"/>
    <cellStyle name="Note 3 2 7 2" xfId="35373" xr:uid="{00000000-0005-0000-0000-000085950000}"/>
    <cellStyle name="Note 3 2 8" xfId="13269" xr:uid="{00000000-0005-0000-0000-000086950000}"/>
    <cellStyle name="Note 3 2 8 2" xfId="32717" xr:uid="{00000000-0005-0000-0000-000087950000}"/>
    <cellStyle name="Note 3 2 9" xfId="20949" xr:uid="{00000000-0005-0000-0000-000088950000}"/>
    <cellStyle name="Note 3 2 9 2" xfId="40291" xr:uid="{00000000-0005-0000-0000-000089950000}"/>
    <cellStyle name="Note 3 3" xfId="4893" xr:uid="{00000000-0005-0000-0000-00008A950000}"/>
    <cellStyle name="Note 3 3 10" xfId="20985" xr:uid="{00000000-0005-0000-0000-00008B950000}"/>
    <cellStyle name="Note 3 3 10 2" xfId="40327" xr:uid="{00000000-0005-0000-0000-00008C950000}"/>
    <cellStyle name="Note 3 3 11" xfId="24388" xr:uid="{00000000-0005-0000-0000-00008D950000}"/>
    <cellStyle name="Note 3 3 2" xfId="6647" xr:uid="{00000000-0005-0000-0000-00008E950000}"/>
    <cellStyle name="Note 3 3 2 2" xfId="13911" xr:uid="{00000000-0005-0000-0000-00008F950000}"/>
    <cellStyle name="Note 3 3 2 2 2" xfId="14706" xr:uid="{00000000-0005-0000-0000-000090950000}"/>
    <cellStyle name="Note 3 3 2 2 2 2" xfId="17184" xr:uid="{00000000-0005-0000-0000-000091950000}"/>
    <cellStyle name="Note 3 3 2 2 2 2 2" xfId="36538" xr:uid="{00000000-0005-0000-0000-000092950000}"/>
    <cellStyle name="Note 3 3 2 2 2 3" xfId="19615" xr:uid="{00000000-0005-0000-0000-000093950000}"/>
    <cellStyle name="Note 3 3 2 2 2 3 2" xfId="38968" xr:uid="{00000000-0005-0000-0000-000094950000}"/>
    <cellStyle name="Note 3 3 2 2 2 4" xfId="22126" xr:uid="{00000000-0005-0000-0000-000095950000}"/>
    <cellStyle name="Note 3 3 2 2 2 4 2" xfId="41468" xr:uid="{00000000-0005-0000-0000-000096950000}"/>
    <cellStyle name="Note 3 3 2 2 2 5" xfId="34067" xr:uid="{00000000-0005-0000-0000-000097950000}"/>
    <cellStyle name="Note 3 3 2 2 3" xfId="15254" xr:uid="{00000000-0005-0000-0000-000098950000}"/>
    <cellStyle name="Note 3 3 2 2 3 2" xfId="17730" xr:uid="{00000000-0005-0000-0000-000099950000}"/>
    <cellStyle name="Note 3 3 2 2 3 2 2" xfId="37084" xr:uid="{00000000-0005-0000-0000-00009A950000}"/>
    <cellStyle name="Note 3 3 2 2 3 3" xfId="20161" xr:uid="{00000000-0005-0000-0000-00009B950000}"/>
    <cellStyle name="Note 3 3 2 2 3 3 2" xfId="39514" xr:uid="{00000000-0005-0000-0000-00009C950000}"/>
    <cellStyle name="Note 3 3 2 2 3 4" xfId="22674" xr:uid="{00000000-0005-0000-0000-00009D950000}"/>
    <cellStyle name="Note 3 3 2 2 3 4 2" xfId="42016" xr:uid="{00000000-0005-0000-0000-00009E950000}"/>
    <cellStyle name="Note 3 3 2 2 3 5" xfId="34615" xr:uid="{00000000-0005-0000-0000-00009F950000}"/>
    <cellStyle name="Note 3 3 2 2 4" xfId="15713" xr:uid="{00000000-0005-0000-0000-0000A0950000}"/>
    <cellStyle name="Note 3 3 2 2 4 2" xfId="18189" xr:uid="{00000000-0005-0000-0000-0000A1950000}"/>
    <cellStyle name="Note 3 3 2 2 4 2 2" xfId="37543" xr:uid="{00000000-0005-0000-0000-0000A2950000}"/>
    <cellStyle name="Note 3 3 2 2 4 3" xfId="20620" xr:uid="{00000000-0005-0000-0000-0000A3950000}"/>
    <cellStyle name="Note 3 3 2 2 4 3 2" xfId="39973" xr:uid="{00000000-0005-0000-0000-0000A4950000}"/>
    <cellStyle name="Note 3 3 2 2 4 4" xfId="23133" xr:uid="{00000000-0005-0000-0000-0000A5950000}"/>
    <cellStyle name="Note 3 3 2 2 4 4 2" xfId="42475" xr:uid="{00000000-0005-0000-0000-0000A6950000}"/>
    <cellStyle name="Note 3 3 2 2 4 5" xfId="35074" xr:uid="{00000000-0005-0000-0000-0000A7950000}"/>
    <cellStyle name="Note 3 3 2 2 5" xfId="16417" xr:uid="{00000000-0005-0000-0000-0000A8950000}"/>
    <cellStyle name="Note 3 3 2 2 5 2" xfId="35771" xr:uid="{00000000-0005-0000-0000-0000A9950000}"/>
    <cellStyle name="Note 3 3 2 2 6" xfId="18848" xr:uid="{00000000-0005-0000-0000-0000AA950000}"/>
    <cellStyle name="Note 3 3 2 2 6 2" xfId="38201" xr:uid="{00000000-0005-0000-0000-0000AB950000}"/>
    <cellStyle name="Note 3 3 2 2 7" xfId="21334" xr:uid="{00000000-0005-0000-0000-0000AC950000}"/>
    <cellStyle name="Note 3 3 2 2 7 2" xfId="40676" xr:uid="{00000000-0005-0000-0000-0000AD950000}"/>
    <cellStyle name="Note 3 3 2 2 8" xfId="33275" xr:uid="{00000000-0005-0000-0000-0000AE950000}"/>
    <cellStyle name="Note 3 3 2 3" xfId="14126" xr:uid="{00000000-0005-0000-0000-0000AF950000}"/>
    <cellStyle name="Note 3 3 2 3 2" xfId="14907" xr:uid="{00000000-0005-0000-0000-0000B0950000}"/>
    <cellStyle name="Note 3 3 2 3 2 2" xfId="17385" xr:uid="{00000000-0005-0000-0000-0000B1950000}"/>
    <cellStyle name="Note 3 3 2 3 2 2 2" xfId="36739" xr:uid="{00000000-0005-0000-0000-0000B2950000}"/>
    <cellStyle name="Note 3 3 2 3 2 3" xfId="19816" xr:uid="{00000000-0005-0000-0000-0000B3950000}"/>
    <cellStyle name="Note 3 3 2 3 2 3 2" xfId="39169" xr:uid="{00000000-0005-0000-0000-0000B4950000}"/>
    <cellStyle name="Note 3 3 2 3 2 4" xfId="22327" xr:uid="{00000000-0005-0000-0000-0000B5950000}"/>
    <cellStyle name="Note 3 3 2 3 2 4 2" xfId="41669" xr:uid="{00000000-0005-0000-0000-0000B6950000}"/>
    <cellStyle name="Note 3 3 2 3 2 5" xfId="34268" xr:uid="{00000000-0005-0000-0000-0000B7950000}"/>
    <cellStyle name="Note 3 3 2 3 3" xfId="15454" xr:uid="{00000000-0005-0000-0000-0000B8950000}"/>
    <cellStyle name="Note 3 3 2 3 3 2" xfId="17930" xr:uid="{00000000-0005-0000-0000-0000B9950000}"/>
    <cellStyle name="Note 3 3 2 3 3 2 2" xfId="37284" xr:uid="{00000000-0005-0000-0000-0000BA950000}"/>
    <cellStyle name="Note 3 3 2 3 3 3" xfId="20361" xr:uid="{00000000-0005-0000-0000-0000BB950000}"/>
    <cellStyle name="Note 3 3 2 3 3 3 2" xfId="39714" xr:uid="{00000000-0005-0000-0000-0000BC950000}"/>
    <cellStyle name="Note 3 3 2 3 3 4" xfId="22874" xr:uid="{00000000-0005-0000-0000-0000BD950000}"/>
    <cellStyle name="Note 3 3 2 3 3 4 2" xfId="42216" xr:uid="{00000000-0005-0000-0000-0000BE950000}"/>
    <cellStyle name="Note 3 3 2 3 3 5" xfId="34815" xr:uid="{00000000-0005-0000-0000-0000BF950000}"/>
    <cellStyle name="Note 3 3 2 3 4" xfId="15913" xr:uid="{00000000-0005-0000-0000-0000C0950000}"/>
    <cellStyle name="Note 3 3 2 3 4 2" xfId="18389" xr:uid="{00000000-0005-0000-0000-0000C1950000}"/>
    <cellStyle name="Note 3 3 2 3 4 2 2" xfId="37743" xr:uid="{00000000-0005-0000-0000-0000C2950000}"/>
    <cellStyle name="Note 3 3 2 3 4 3" xfId="20820" xr:uid="{00000000-0005-0000-0000-0000C3950000}"/>
    <cellStyle name="Note 3 3 2 3 4 3 2" xfId="40173" xr:uid="{00000000-0005-0000-0000-0000C4950000}"/>
    <cellStyle name="Note 3 3 2 3 4 4" xfId="23333" xr:uid="{00000000-0005-0000-0000-0000C5950000}"/>
    <cellStyle name="Note 3 3 2 3 4 4 2" xfId="42675" xr:uid="{00000000-0005-0000-0000-0000C6950000}"/>
    <cellStyle name="Note 3 3 2 3 4 5" xfId="35274" xr:uid="{00000000-0005-0000-0000-0000C7950000}"/>
    <cellStyle name="Note 3 3 2 3 5" xfId="16632" xr:uid="{00000000-0005-0000-0000-0000C8950000}"/>
    <cellStyle name="Note 3 3 2 3 5 2" xfId="35986" xr:uid="{00000000-0005-0000-0000-0000C9950000}"/>
    <cellStyle name="Note 3 3 2 3 6" xfId="19063" xr:uid="{00000000-0005-0000-0000-0000CA950000}"/>
    <cellStyle name="Note 3 3 2 3 6 2" xfId="38416" xr:uid="{00000000-0005-0000-0000-0000CB950000}"/>
    <cellStyle name="Note 3 3 2 3 7" xfId="21549" xr:uid="{00000000-0005-0000-0000-0000CC950000}"/>
    <cellStyle name="Note 3 3 2 3 7 2" xfId="40891" xr:uid="{00000000-0005-0000-0000-0000CD950000}"/>
    <cellStyle name="Note 3 3 2 3 8" xfId="33490" xr:uid="{00000000-0005-0000-0000-0000CE950000}"/>
    <cellStyle name="Note 3 3 2 4" xfId="14421" xr:uid="{00000000-0005-0000-0000-0000CF950000}"/>
    <cellStyle name="Note 3 3 2 4 2" xfId="16911" xr:uid="{00000000-0005-0000-0000-0000D0950000}"/>
    <cellStyle name="Note 3 3 2 4 2 2" xfId="36265" xr:uid="{00000000-0005-0000-0000-0000D1950000}"/>
    <cellStyle name="Note 3 3 2 4 3" xfId="19342" xr:uid="{00000000-0005-0000-0000-0000D2950000}"/>
    <cellStyle name="Note 3 3 2 4 3 2" xfId="38695" xr:uid="{00000000-0005-0000-0000-0000D3950000}"/>
    <cellStyle name="Note 3 3 2 4 4" xfId="21841" xr:uid="{00000000-0005-0000-0000-0000D4950000}"/>
    <cellStyle name="Note 3 3 2 4 4 2" xfId="41183" xr:uid="{00000000-0005-0000-0000-0000D5950000}"/>
    <cellStyle name="Note 3 3 2 4 5" xfId="33782" xr:uid="{00000000-0005-0000-0000-0000D6950000}"/>
    <cellStyle name="Note 3 3 2 5" xfId="13610" xr:uid="{00000000-0005-0000-0000-0000D7950000}"/>
    <cellStyle name="Note 3 3 2 5 2" xfId="32976" xr:uid="{00000000-0005-0000-0000-0000D8950000}"/>
    <cellStyle name="Note 3 3 2 6" xfId="18561" xr:uid="{00000000-0005-0000-0000-0000D9950000}"/>
    <cellStyle name="Note 3 3 2 6 2" xfId="37914" xr:uid="{00000000-0005-0000-0000-0000DA950000}"/>
    <cellStyle name="Note 3 3 2 7" xfId="26132" xr:uid="{00000000-0005-0000-0000-0000DB950000}"/>
    <cellStyle name="Note 3 3 3" xfId="13677" xr:uid="{00000000-0005-0000-0000-0000DC950000}"/>
    <cellStyle name="Note 3 3 3 2" xfId="13975" xr:uid="{00000000-0005-0000-0000-0000DD950000}"/>
    <cellStyle name="Note 3 3 3 2 2" xfId="14770" xr:uid="{00000000-0005-0000-0000-0000DE950000}"/>
    <cellStyle name="Note 3 3 3 2 2 2" xfId="17248" xr:uid="{00000000-0005-0000-0000-0000DF950000}"/>
    <cellStyle name="Note 3 3 3 2 2 2 2" xfId="36602" xr:uid="{00000000-0005-0000-0000-0000E0950000}"/>
    <cellStyle name="Note 3 3 3 2 2 3" xfId="19679" xr:uid="{00000000-0005-0000-0000-0000E1950000}"/>
    <cellStyle name="Note 3 3 3 2 2 3 2" xfId="39032" xr:uid="{00000000-0005-0000-0000-0000E2950000}"/>
    <cellStyle name="Note 3 3 3 2 2 4" xfId="22190" xr:uid="{00000000-0005-0000-0000-0000E3950000}"/>
    <cellStyle name="Note 3 3 3 2 2 4 2" xfId="41532" xr:uid="{00000000-0005-0000-0000-0000E4950000}"/>
    <cellStyle name="Note 3 3 3 2 2 5" xfId="34131" xr:uid="{00000000-0005-0000-0000-0000E5950000}"/>
    <cellStyle name="Note 3 3 3 2 3" xfId="15318" xr:uid="{00000000-0005-0000-0000-0000E6950000}"/>
    <cellStyle name="Note 3 3 3 2 3 2" xfId="17794" xr:uid="{00000000-0005-0000-0000-0000E7950000}"/>
    <cellStyle name="Note 3 3 3 2 3 2 2" xfId="37148" xr:uid="{00000000-0005-0000-0000-0000E8950000}"/>
    <cellStyle name="Note 3 3 3 2 3 3" xfId="20225" xr:uid="{00000000-0005-0000-0000-0000E9950000}"/>
    <cellStyle name="Note 3 3 3 2 3 3 2" xfId="39578" xr:uid="{00000000-0005-0000-0000-0000EA950000}"/>
    <cellStyle name="Note 3 3 3 2 3 4" xfId="22738" xr:uid="{00000000-0005-0000-0000-0000EB950000}"/>
    <cellStyle name="Note 3 3 3 2 3 4 2" xfId="42080" xr:uid="{00000000-0005-0000-0000-0000EC950000}"/>
    <cellStyle name="Note 3 3 3 2 3 5" xfId="34679" xr:uid="{00000000-0005-0000-0000-0000ED950000}"/>
    <cellStyle name="Note 3 3 3 2 4" xfId="15777" xr:uid="{00000000-0005-0000-0000-0000EE950000}"/>
    <cellStyle name="Note 3 3 3 2 4 2" xfId="18253" xr:uid="{00000000-0005-0000-0000-0000EF950000}"/>
    <cellStyle name="Note 3 3 3 2 4 2 2" xfId="37607" xr:uid="{00000000-0005-0000-0000-0000F0950000}"/>
    <cellStyle name="Note 3 3 3 2 4 3" xfId="20684" xr:uid="{00000000-0005-0000-0000-0000F1950000}"/>
    <cellStyle name="Note 3 3 3 2 4 3 2" xfId="40037" xr:uid="{00000000-0005-0000-0000-0000F2950000}"/>
    <cellStyle name="Note 3 3 3 2 4 4" xfId="23197" xr:uid="{00000000-0005-0000-0000-0000F3950000}"/>
    <cellStyle name="Note 3 3 3 2 4 4 2" xfId="42539" xr:uid="{00000000-0005-0000-0000-0000F4950000}"/>
    <cellStyle name="Note 3 3 3 2 4 5" xfId="35138" xr:uid="{00000000-0005-0000-0000-0000F5950000}"/>
    <cellStyle name="Note 3 3 3 2 5" xfId="16481" xr:uid="{00000000-0005-0000-0000-0000F6950000}"/>
    <cellStyle name="Note 3 3 3 2 5 2" xfId="35835" xr:uid="{00000000-0005-0000-0000-0000F7950000}"/>
    <cellStyle name="Note 3 3 3 2 6" xfId="18912" xr:uid="{00000000-0005-0000-0000-0000F8950000}"/>
    <cellStyle name="Note 3 3 3 2 6 2" xfId="38265" xr:uid="{00000000-0005-0000-0000-0000F9950000}"/>
    <cellStyle name="Note 3 3 3 2 7" xfId="21398" xr:uid="{00000000-0005-0000-0000-0000FA950000}"/>
    <cellStyle name="Note 3 3 3 2 7 2" xfId="40740" xr:uid="{00000000-0005-0000-0000-0000FB950000}"/>
    <cellStyle name="Note 3 3 3 2 8" xfId="33339" xr:uid="{00000000-0005-0000-0000-0000FC950000}"/>
    <cellStyle name="Note 3 3 3 3" xfId="14188" xr:uid="{00000000-0005-0000-0000-0000FD950000}"/>
    <cellStyle name="Note 3 3 3 3 2" xfId="14965" xr:uid="{00000000-0005-0000-0000-0000FE950000}"/>
    <cellStyle name="Note 3 3 3 3 2 2" xfId="17443" xr:uid="{00000000-0005-0000-0000-0000FF950000}"/>
    <cellStyle name="Note 3 3 3 3 2 2 2" xfId="36797" xr:uid="{00000000-0005-0000-0000-000000960000}"/>
    <cellStyle name="Note 3 3 3 3 2 3" xfId="19874" xr:uid="{00000000-0005-0000-0000-000001960000}"/>
    <cellStyle name="Note 3 3 3 3 2 3 2" xfId="39227" xr:uid="{00000000-0005-0000-0000-000002960000}"/>
    <cellStyle name="Note 3 3 3 3 2 4" xfId="22385" xr:uid="{00000000-0005-0000-0000-000003960000}"/>
    <cellStyle name="Note 3 3 3 3 2 4 2" xfId="41727" xr:uid="{00000000-0005-0000-0000-000004960000}"/>
    <cellStyle name="Note 3 3 3 3 2 5" xfId="34326" xr:uid="{00000000-0005-0000-0000-000005960000}"/>
    <cellStyle name="Note 3 3 3 3 3" xfId="15511" xr:uid="{00000000-0005-0000-0000-000006960000}"/>
    <cellStyle name="Note 3 3 3 3 3 2" xfId="17987" xr:uid="{00000000-0005-0000-0000-000007960000}"/>
    <cellStyle name="Note 3 3 3 3 3 2 2" xfId="37341" xr:uid="{00000000-0005-0000-0000-000008960000}"/>
    <cellStyle name="Note 3 3 3 3 3 3" xfId="20418" xr:uid="{00000000-0005-0000-0000-000009960000}"/>
    <cellStyle name="Note 3 3 3 3 3 3 2" xfId="39771" xr:uid="{00000000-0005-0000-0000-00000A960000}"/>
    <cellStyle name="Note 3 3 3 3 3 4" xfId="22931" xr:uid="{00000000-0005-0000-0000-00000B960000}"/>
    <cellStyle name="Note 3 3 3 3 3 4 2" xfId="42273" xr:uid="{00000000-0005-0000-0000-00000C960000}"/>
    <cellStyle name="Note 3 3 3 3 3 5" xfId="34872" xr:uid="{00000000-0005-0000-0000-00000D960000}"/>
    <cellStyle name="Note 3 3 3 3 4" xfId="15970" xr:uid="{00000000-0005-0000-0000-00000E960000}"/>
    <cellStyle name="Note 3 3 3 3 4 2" xfId="18446" xr:uid="{00000000-0005-0000-0000-00000F960000}"/>
    <cellStyle name="Note 3 3 3 3 4 2 2" xfId="37800" xr:uid="{00000000-0005-0000-0000-000010960000}"/>
    <cellStyle name="Note 3 3 3 3 4 3" xfId="20877" xr:uid="{00000000-0005-0000-0000-000011960000}"/>
    <cellStyle name="Note 3 3 3 3 4 3 2" xfId="40230" xr:uid="{00000000-0005-0000-0000-000012960000}"/>
    <cellStyle name="Note 3 3 3 3 4 4" xfId="23390" xr:uid="{00000000-0005-0000-0000-000013960000}"/>
    <cellStyle name="Note 3 3 3 3 4 4 2" xfId="42732" xr:uid="{00000000-0005-0000-0000-000014960000}"/>
    <cellStyle name="Note 3 3 3 3 4 5" xfId="35331" xr:uid="{00000000-0005-0000-0000-000015960000}"/>
    <cellStyle name="Note 3 3 3 3 5" xfId="16694" xr:uid="{00000000-0005-0000-0000-000016960000}"/>
    <cellStyle name="Note 3 3 3 3 5 2" xfId="36048" xr:uid="{00000000-0005-0000-0000-000017960000}"/>
    <cellStyle name="Note 3 3 3 3 6" xfId="19125" xr:uid="{00000000-0005-0000-0000-000018960000}"/>
    <cellStyle name="Note 3 3 3 3 6 2" xfId="38478" xr:uid="{00000000-0005-0000-0000-000019960000}"/>
    <cellStyle name="Note 3 3 3 3 7" xfId="21611" xr:uid="{00000000-0005-0000-0000-00001A960000}"/>
    <cellStyle name="Note 3 3 3 3 7 2" xfId="40953" xr:uid="{00000000-0005-0000-0000-00001B960000}"/>
    <cellStyle name="Note 3 3 3 3 8" xfId="33552" xr:uid="{00000000-0005-0000-0000-00001C960000}"/>
    <cellStyle name="Note 3 3 3 4" xfId="14485" xr:uid="{00000000-0005-0000-0000-00001D960000}"/>
    <cellStyle name="Note 3 3 3 4 2" xfId="16975" xr:uid="{00000000-0005-0000-0000-00001E960000}"/>
    <cellStyle name="Note 3 3 3 4 2 2" xfId="36329" xr:uid="{00000000-0005-0000-0000-00001F960000}"/>
    <cellStyle name="Note 3 3 3 4 3" xfId="19406" xr:uid="{00000000-0005-0000-0000-000020960000}"/>
    <cellStyle name="Note 3 3 3 4 3 2" xfId="38759" xr:uid="{00000000-0005-0000-0000-000021960000}"/>
    <cellStyle name="Note 3 3 3 4 4" xfId="21905" xr:uid="{00000000-0005-0000-0000-000022960000}"/>
    <cellStyle name="Note 3 3 3 4 4 2" xfId="41247" xr:uid="{00000000-0005-0000-0000-000023960000}"/>
    <cellStyle name="Note 3 3 3 4 5" xfId="33846" xr:uid="{00000000-0005-0000-0000-000024960000}"/>
    <cellStyle name="Note 3 3 3 5" xfId="16197" xr:uid="{00000000-0005-0000-0000-000025960000}"/>
    <cellStyle name="Note 3 3 3 5 2" xfId="35551" xr:uid="{00000000-0005-0000-0000-000026960000}"/>
    <cellStyle name="Note 3 3 3 6" xfId="18628" xr:uid="{00000000-0005-0000-0000-000027960000}"/>
    <cellStyle name="Note 3 3 3 6 2" xfId="37981" xr:uid="{00000000-0005-0000-0000-000028960000}"/>
    <cellStyle name="Note 3 3 3 7" xfId="21102" xr:uid="{00000000-0005-0000-0000-000029960000}"/>
    <cellStyle name="Note 3 3 3 7 2" xfId="40444" xr:uid="{00000000-0005-0000-0000-00002A960000}"/>
    <cellStyle name="Note 3 3 3 8" xfId="33043" xr:uid="{00000000-0005-0000-0000-00002B960000}"/>
    <cellStyle name="Note 3 3 4" xfId="13798" xr:uid="{00000000-0005-0000-0000-00002C960000}"/>
    <cellStyle name="Note 3 3 4 2" xfId="14597" xr:uid="{00000000-0005-0000-0000-00002D960000}"/>
    <cellStyle name="Note 3 3 4 2 2" xfId="17081" xr:uid="{00000000-0005-0000-0000-00002E960000}"/>
    <cellStyle name="Note 3 3 4 2 2 2" xfId="36435" xr:uid="{00000000-0005-0000-0000-00002F960000}"/>
    <cellStyle name="Note 3 3 4 2 3" xfId="19512" xr:uid="{00000000-0005-0000-0000-000030960000}"/>
    <cellStyle name="Note 3 3 4 2 3 2" xfId="38865" xr:uid="{00000000-0005-0000-0000-000031960000}"/>
    <cellStyle name="Note 3 3 4 2 4" xfId="22017" xr:uid="{00000000-0005-0000-0000-000032960000}"/>
    <cellStyle name="Note 3 3 4 2 4 2" xfId="41359" xr:uid="{00000000-0005-0000-0000-000033960000}"/>
    <cellStyle name="Note 3 3 4 2 5" xfId="33958" xr:uid="{00000000-0005-0000-0000-000034960000}"/>
    <cellStyle name="Note 3 3 4 3" xfId="15154" xr:uid="{00000000-0005-0000-0000-000035960000}"/>
    <cellStyle name="Note 3 3 4 3 2" xfId="17630" xr:uid="{00000000-0005-0000-0000-000036960000}"/>
    <cellStyle name="Note 3 3 4 3 2 2" xfId="36984" xr:uid="{00000000-0005-0000-0000-000037960000}"/>
    <cellStyle name="Note 3 3 4 3 3" xfId="20061" xr:uid="{00000000-0005-0000-0000-000038960000}"/>
    <cellStyle name="Note 3 3 4 3 3 2" xfId="39414" xr:uid="{00000000-0005-0000-0000-000039960000}"/>
    <cellStyle name="Note 3 3 4 3 4" xfId="22574" xr:uid="{00000000-0005-0000-0000-00003A960000}"/>
    <cellStyle name="Note 3 3 4 3 4 2" xfId="41916" xr:uid="{00000000-0005-0000-0000-00003B960000}"/>
    <cellStyle name="Note 3 3 4 3 5" xfId="34515" xr:uid="{00000000-0005-0000-0000-00003C960000}"/>
    <cellStyle name="Note 3 3 4 4" xfId="15635" xr:uid="{00000000-0005-0000-0000-00003D960000}"/>
    <cellStyle name="Note 3 3 4 4 2" xfId="18111" xr:uid="{00000000-0005-0000-0000-00003E960000}"/>
    <cellStyle name="Note 3 3 4 4 2 2" xfId="37465" xr:uid="{00000000-0005-0000-0000-00003F960000}"/>
    <cellStyle name="Note 3 3 4 4 3" xfId="20542" xr:uid="{00000000-0005-0000-0000-000040960000}"/>
    <cellStyle name="Note 3 3 4 4 3 2" xfId="39895" xr:uid="{00000000-0005-0000-0000-000041960000}"/>
    <cellStyle name="Note 3 3 4 4 4" xfId="23055" xr:uid="{00000000-0005-0000-0000-000042960000}"/>
    <cellStyle name="Note 3 3 4 4 4 2" xfId="42397" xr:uid="{00000000-0005-0000-0000-000043960000}"/>
    <cellStyle name="Note 3 3 4 4 5" xfId="34996" xr:uid="{00000000-0005-0000-0000-000044960000}"/>
    <cellStyle name="Note 3 3 4 5" xfId="16310" xr:uid="{00000000-0005-0000-0000-000045960000}"/>
    <cellStyle name="Note 3 3 4 5 2" xfId="35664" xr:uid="{00000000-0005-0000-0000-000046960000}"/>
    <cellStyle name="Note 3 3 4 6" xfId="18741" xr:uid="{00000000-0005-0000-0000-000047960000}"/>
    <cellStyle name="Note 3 3 4 6 2" xfId="38094" xr:uid="{00000000-0005-0000-0000-000048960000}"/>
    <cellStyle name="Note 3 3 4 7" xfId="21221" xr:uid="{00000000-0005-0000-0000-000049960000}"/>
    <cellStyle name="Note 3 3 4 7 2" xfId="40563" xr:uid="{00000000-0005-0000-0000-00004A960000}"/>
    <cellStyle name="Note 3 3 4 8" xfId="33162" xr:uid="{00000000-0005-0000-0000-00004B960000}"/>
    <cellStyle name="Note 3 3 5" xfId="14024" xr:uid="{00000000-0005-0000-0000-00004C960000}"/>
    <cellStyle name="Note 3 3 5 2" xfId="14819" xr:uid="{00000000-0005-0000-0000-00004D960000}"/>
    <cellStyle name="Note 3 3 5 2 2" xfId="17297" xr:uid="{00000000-0005-0000-0000-00004E960000}"/>
    <cellStyle name="Note 3 3 5 2 2 2" xfId="36651" xr:uid="{00000000-0005-0000-0000-00004F960000}"/>
    <cellStyle name="Note 3 3 5 2 3" xfId="19728" xr:uid="{00000000-0005-0000-0000-000050960000}"/>
    <cellStyle name="Note 3 3 5 2 3 2" xfId="39081" xr:uid="{00000000-0005-0000-0000-000051960000}"/>
    <cellStyle name="Note 3 3 5 2 4" xfId="22239" xr:uid="{00000000-0005-0000-0000-000052960000}"/>
    <cellStyle name="Note 3 3 5 2 4 2" xfId="41581" xr:uid="{00000000-0005-0000-0000-000053960000}"/>
    <cellStyle name="Note 3 3 5 2 5" xfId="34180" xr:uid="{00000000-0005-0000-0000-000054960000}"/>
    <cellStyle name="Note 3 3 5 3" xfId="15367" xr:uid="{00000000-0005-0000-0000-000055960000}"/>
    <cellStyle name="Note 3 3 5 3 2" xfId="17843" xr:uid="{00000000-0005-0000-0000-000056960000}"/>
    <cellStyle name="Note 3 3 5 3 2 2" xfId="37197" xr:uid="{00000000-0005-0000-0000-000057960000}"/>
    <cellStyle name="Note 3 3 5 3 3" xfId="20274" xr:uid="{00000000-0005-0000-0000-000058960000}"/>
    <cellStyle name="Note 3 3 5 3 3 2" xfId="39627" xr:uid="{00000000-0005-0000-0000-000059960000}"/>
    <cellStyle name="Note 3 3 5 3 4" xfId="22787" xr:uid="{00000000-0005-0000-0000-00005A960000}"/>
    <cellStyle name="Note 3 3 5 3 4 2" xfId="42129" xr:uid="{00000000-0005-0000-0000-00005B960000}"/>
    <cellStyle name="Note 3 3 5 3 5" xfId="34728" xr:uid="{00000000-0005-0000-0000-00005C960000}"/>
    <cellStyle name="Note 3 3 5 4" xfId="15826" xr:uid="{00000000-0005-0000-0000-00005D960000}"/>
    <cellStyle name="Note 3 3 5 4 2" xfId="18302" xr:uid="{00000000-0005-0000-0000-00005E960000}"/>
    <cellStyle name="Note 3 3 5 4 2 2" xfId="37656" xr:uid="{00000000-0005-0000-0000-00005F960000}"/>
    <cellStyle name="Note 3 3 5 4 3" xfId="20733" xr:uid="{00000000-0005-0000-0000-000060960000}"/>
    <cellStyle name="Note 3 3 5 4 3 2" xfId="40086" xr:uid="{00000000-0005-0000-0000-000061960000}"/>
    <cellStyle name="Note 3 3 5 4 4" xfId="23246" xr:uid="{00000000-0005-0000-0000-000062960000}"/>
    <cellStyle name="Note 3 3 5 4 4 2" xfId="42588" xr:uid="{00000000-0005-0000-0000-000063960000}"/>
    <cellStyle name="Note 3 3 5 4 5" xfId="35187" xr:uid="{00000000-0005-0000-0000-000064960000}"/>
    <cellStyle name="Note 3 3 5 5" xfId="16530" xr:uid="{00000000-0005-0000-0000-000065960000}"/>
    <cellStyle name="Note 3 3 5 5 2" xfId="35884" xr:uid="{00000000-0005-0000-0000-000066960000}"/>
    <cellStyle name="Note 3 3 5 6" xfId="18961" xr:uid="{00000000-0005-0000-0000-000067960000}"/>
    <cellStyle name="Note 3 3 5 6 2" xfId="38314" xr:uid="{00000000-0005-0000-0000-000068960000}"/>
    <cellStyle name="Note 3 3 5 7" xfId="21447" xr:uid="{00000000-0005-0000-0000-000069960000}"/>
    <cellStyle name="Note 3 3 5 7 2" xfId="40789" xr:uid="{00000000-0005-0000-0000-00006A960000}"/>
    <cellStyle name="Note 3 3 5 8" xfId="33388" xr:uid="{00000000-0005-0000-0000-00006B960000}"/>
    <cellStyle name="Note 3 3 6" xfId="14316" xr:uid="{00000000-0005-0000-0000-00006C960000}"/>
    <cellStyle name="Note 3 3 6 2" xfId="16812" xr:uid="{00000000-0005-0000-0000-00006D960000}"/>
    <cellStyle name="Note 3 3 6 2 2" xfId="36166" xr:uid="{00000000-0005-0000-0000-00006E960000}"/>
    <cellStyle name="Note 3 3 6 3" xfId="19243" xr:uid="{00000000-0005-0000-0000-00006F960000}"/>
    <cellStyle name="Note 3 3 6 3 2" xfId="38596" xr:uid="{00000000-0005-0000-0000-000070960000}"/>
    <cellStyle name="Note 3 3 6 4" xfId="21736" xr:uid="{00000000-0005-0000-0000-000071960000}"/>
    <cellStyle name="Note 3 3 6 4 2" xfId="41078" xr:uid="{00000000-0005-0000-0000-000072960000}"/>
    <cellStyle name="Note 3 3 6 5" xfId="33677" xr:uid="{00000000-0005-0000-0000-000073960000}"/>
    <cellStyle name="Note 3 3 7" xfId="13486" xr:uid="{00000000-0005-0000-0000-000074960000}"/>
    <cellStyle name="Note 3 3 7 2" xfId="32864" xr:uid="{00000000-0005-0000-0000-000075960000}"/>
    <cellStyle name="Note 3 3 8" xfId="16052" xr:uid="{00000000-0005-0000-0000-000076960000}"/>
    <cellStyle name="Note 3 3 8 2" xfId="35406" xr:uid="{00000000-0005-0000-0000-000077960000}"/>
    <cellStyle name="Note 3 3 9" xfId="18449" xr:uid="{00000000-0005-0000-0000-000078960000}"/>
    <cellStyle name="Note 3 3 9 2" xfId="37803" xr:uid="{00000000-0005-0000-0000-000079960000}"/>
    <cellStyle name="Note 3 4" xfId="5515" xr:uid="{00000000-0005-0000-0000-00007A960000}"/>
    <cellStyle name="Note 3 4 2" xfId="13816" xr:uid="{00000000-0005-0000-0000-00007B960000}"/>
    <cellStyle name="Note 3 4 2 2" xfId="14611" xr:uid="{00000000-0005-0000-0000-00007C960000}"/>
    <cellStyle name="Note 3 4 2 2 2" xfId="17095" xr:uid="{00000000-0005-0000-0000-00007D960000}"/>
    <cellStyle name="Note 3 4 2 2 2 2" xfId="36449" xr:uid="{00000000-0005-0000-0000-00007E960000}"/>
    <cellStyle name="Note 3 4 2 2 3" xfId="19526" xr:uid="{00000000-0005-0000-0000-00007F960000}"/>
    <cellStyle name="Note 3 4 2 2 3 2" xfId="38879" xr:uid="{00000000-0005-0000-0000-000080960000}"/>
    <cellStyle name="Note 3 4 2 2 4" xfId="22031" xr:uid="{00000000-0005-0000-0000-000081960000}"/>
    <cellStyle name="Note 3 4 2 2 4 2" xfId="41373" xr:uid="{00000000-0005-0000-0000-000082960000}"/>
    <cellStyle name="Note 3 4 2 2 5" xfId="33972" xr:uid="{00000000-0005-0000-0000-000083960000}"/>
    <cellStyle name="Note 3 4 2 3" xfId="15168" xr:uid="{00000000-0005-0000-0000-000084960000}"/>
    <cellStyle name="Note 3 4 2 3 2" xfId="17644" xr:uid="{00000000-0005-0000-0000-000085960000}"/>
    <cellStyle name="Note 3 4 2 3 2 2" xfId="36998" xr:uid="{00000000-0005-0000-0000-000086960000}"/>
    <cellStyle name="Note 3 4 2 3 3" xfId="20075" xr:uid="{00000000-0005-0000-0000-000087960000}"/>
    <cellStyle name="Note 3 4 2 3 3 2" xfId="39428" xr:uid="{00000000-0005-0000-0000-000088960000}"/>
    <cellStyle name="Note 3 4 2 3 4" xfId="22588" xr:uid="{00000000-0005-0000-0000-000089960000}"/>
    <cellStyle name="Note 3 4 2 3 4 2" xfId="41930" xr:uid="{00000000-0005-0000-0000-00008A960000}"/>
    <cellStyle name="Note 3 4 2 3 5" xfId="34529" xr:uid="{00000000-0005-0000-0000-00008B960000}"/>
    <cellStyle name="Note 3 4 2 4" xfId="15648" xr:uid="{00000000-0005-0000-0000-00008C960000}"/>
    <cellStyle name="Note 3 4 2 4 2" xfId="18124" xr:uid="{00000000-0005-0000-0000-00008D960000}"/>
    <cellStyle name="Note 3 4 2 4 2 2" xfId="37478" xr:uid="{00000000-0005-0000-0000-00008E960000}"/>
    <cellStyle name="Note 3 4 2 4 3" xfId="20555" xr:uid="{00000000-0005-0000-0000-00008F960000}"/>
    <cellStyle name="Note 3 4 2 4 3 2" xfId="39908" xr:uid="{00000000-0005-0000-0000-000090960000}"/>
    <cellStyle name="Note 3 4 2 4 4" xfId="23068" xr:uid="{00000000-0005-0000-0000-000091960000}"/>
    <cellStyle name="Note 3 4 2 4 4 2" xfId="42410" xr:uid="{00000000-0005-0000-0000-000092960000}"/>
    <cellStyle name="Note 3 4 2 4 5" xfId="35009" xr:uid="{00000000-0005-0000-0000-000093960000}"/>
    <cellStyle name="Note 3 4 2 5" xfId="16328" xr:uid="{00000000-0005-0000-0000-000094960000}"/>
    <cellStyle name="Note 3 4 2 5 2" xfId="35682" xr:uid="{00000000-0005-0000-0000-000095960000}"/>
    <cellStyle name="Note 3 4 2 6" xfId="18759" xr:uid="{00000000-0005-0000-0000-000096960000}"/>
    <cellStyle name="Note 3 4 2 6 2" xfId="38112" xr:uid="{00000000-0005-0000-0000-000097960000}"/>
    <cellStyle name="Note 3 4 2 7" xfId="21239" xr:uid="{00000000-0005-0000-0000-000098960000}"/>
    <cellStyle name="Note 3 4 2 7 2" xfId="40581" xr:uid="{00000000-0005-0000-0000-000099960000}"/>
    <cellStyle name="Note 3 4 2 8" xfId="33180" xr:uid="{00000000-0005-0000-0000-00009A960000}"/>
    <cellStyle name="Note 3 4 3" xfId="14037" xr:uid="{00000000-0005-0000-0000-00009B960000}"/>
    <cellStyle name="Note 3 4 3 2" xfId="14832" xr:uid="{00000000-0005-0000-0000-00009C960000}"/>
    <cellStyle name="Note 3 4 3 2 2" xfId="17310" xr:uid="{00000000-0005-0000-0000-00009D960000}"/>
    <cellStyle name="Note 3 4 3 2 2 2" xfId="36664" xr:uid="{00000000-0005-0000-0000-00009E960000}"/>
    <cellStyle name="Note 3 4 3 2 3" xfId="19741" xr:uid="{00000000-0005-0000-0000-00009F960000}"/>
    <cellStyle name="Note 3 4 3 2 3 2" xfId="39094" xr:uid="{00000000-0005-0000-0000-0000A0960000}"/>
    <cellStyle name="Note 3 4 3 2 4" xfId="22252" xr:uid="{00000000-0005-0000-0000-0000A1960000}"/>
    <cellStyle name="Note 3 4 3 2 4 2" xfId="41594" xr:uid="{00000000-0005-0000-0000-0000A2960000}"/>
    <cellStyle name="Note 3 4 3 2 5" xfId="34193" xr:uid="{00000000-0005-0000-0000-0000A3960000}"/>
    <cellStyle name="Note 3 4 3 3" xfId="15380" xr:uid="{00000000-0005-0000-0000-0000A4960000}"/>
    <cellStyle name="Note 3 4 3 3 2" xfId="17856" xr:uid="{00000000-0005-0000-0000-0000A5960000}"/>
    <cellStyle name="Note 3 4 3 3 2 2" xfId="37210" xr:uid="{00000000-0005-0000-0000-0000A6960000}"/>
    <cellStyle name="Note 3 4 3 3 3" xfId="20287" xr:uid="{00000000-0005-0000-0000-0000A7960000}"/>
    <cellStyle name="Note 3 4 3 3 3 2" xfId="39640" xr:uid="{00000000-0005-0000-0000-0000A8960000}"/>
    <cellStyle name="Note 3 4 3 3 4" xfId="22800" xr:uid="{00000000-0005-0000-0000-0000A9960000}"/>
    <cellStyle name="Note 3 4 3 3 4 2" xfId="42142" xr:uid="{00000000-0005-0000-0000-0000AA960000}"/>
    <cellStyle name="Note 3 4 3 3 5" xfId="34741" xr:uid="{00000000-0005-0000-0000-0000AB960000}"/>
    <cellStyle name="Note 3 4 3 4" xfId="15839" xr:uid="{00000000-0005-0000-0000-0000AC960000}"/>
    <cellStyle name="Note 3 4 3 4 2" xfId="18315" xr:uid="{00000000-0005-0000-0000-0000AD960000}"/>
    <cellStyle name="Note 3 4 3 4 2 2" xfId="37669" xr:uid="{00000000-0005-0000-0000-0000AE960000}"/>
    <cellStyle name="Note 3 4 3 4 3" xfId="20746" xr:uid="{00000000-0005-0000-0000-0000AF960000}"/>
    <cellStyle name="Note 3 4 3 4 3 2" xfId="40099" xr:uid="{00000000-0005-0000-0000-0000B0960000}"/>
    <cellStyle name="Note 3 4 3 4 4" xfId="23259" xr:uid="{00000000-0005-0000-0000-0000B1960000}"/>
    <cellStyle name="Note 3 4 3 4 4 2" xfId="42601" xr:uid="{00000000-0005-0000-0000-0000B2960000}"/>
    <cellStyle name="Note 3 4 3 4 5" xfId="35200" xr:uid="{00000000-0005-0000-0000-0000B3960000}"/>
    <cellStyle name="Note 3 4 3 5" xfId="16543" xr:uid="{00000000-0005-0000-0000-0000B4960000}"/>
    <cellStyle name="Note 3 4 3 5 2" xfId="35897" xr:uid="{00000000-0005-0000-0000-0000B5960000}"/>
    <cellStyle name="Note 3 4 3 6" xfId="18974" xr:uid="{00000000-0005-0000-0000-0000B6960000}"/>
    <cellStyle name="Note 3 4 3 6 2" xfId="38327" xr:uid="{00000000-0005-0000-0000-0000B7960000}"/>
    <cellStyle name="Note 3 4 3 7" xfId="21460" xr:uid="{00000000-0005-0000-0000-0000B8960000}"/>
    <cellStyle name="Note 3 4 3 7 2" xfId="40802" xr:uid="{00000000-0005-0000-0000-0000B9960000}"/>
    <cellStyle name="Note 3 4 3 8" xfId="33401" xr:uid="{00000000-0005-0000-0000-0000BA960000}"/>
    <cellStyle name="Note 3 4 4" xfId="14332" xr:uid="{00000000-0005-0000-0000-0000BB960000}"/>
    <cellStyle name="Note 3 4 4 2" xfId="16828" xr:uid="{00000000-0005-0000-0000-0000BC960000}"/>
    <cellStyle name="Note 3 4 4 2 2" xfId="36182" xr:uid="{00000000-0005-0000-0000-0000BD960000}"/>
    <cellStyle name="Note 3 4 4 3" xfId="19259" xr:uid="{00000000-0005-0000-0000-0000BE960000}"/>
    <cellStyle name="Note 3 4 4 3 2" xfId="38612" xr:uid="{00000000-0005-0000-0000-0000BF960000}"/>
    <cellStyle name="Note 3 4 4 4" xfId="21752" xr:uid="{00000000-0005-0000-0000-0000C0960000}"/>
    <cellStyle name="Note 3 4 4 4 2" xfId="41094" xr:uid="{00000000-0005-0000-0000-0000C1960000}"/>
    <cellStyle name="Note 3 4 4 5" xfId="33693" xr:uid="{00000000-0005-0000-0000-0000C2960000}"/>
    <cellStyle name="Note 3 4 5" xfId="13516" xr:uid="{00000000-0005-0000-0000-0000C3960000}"/>
    <cellStyle name="Note 3 4 5 2" xfId="32891" xr:uid="{00000000-0005-0000-0000-0000C4960000}"/>
    <cellStyle name="Note 3 4 6" xfId="18477" xr:uid="{00000000-0005-0000-0000-0000C5960000}"/>
    <cellStyle name="Note 3 4 6 2" xfId="37830" xr:uid="{00000000-0005-0000-0000-0000C6960000}"/>
    <cellStyle name="Note 3 4 7" xfId="25003" xr:uid="{00000000-0005-0000-0000-0000C7960000}"/>
    <cellStyle name="Note 3 5" xfId="13698" xr:uid="{00000000-0005-0000-0000-0000C8960000}"/>
    <cellStyle name="Note 3 5 2" xfId="14501" xr:uid="{00000000-0005-0000-0000-0000C9960000}"/>
    <cellStyle name="Note 3 5 2 2" xfId="16991" xr:uid="{00000000-0005-0000-0000-0000CA960000}"/>
    <cellStyle name="Note 3 5 2 2 2" xfId="36345" xr:uid="{00000000-0005-0000-0000-0000CB960000}"/>
    <cellStyle name="Note 3 5 2 3" xfId="19422" xr:uid="{00000000-0005-0000-0000-0000CC960000}"/>
    <cellStyle name="Note 3 5 2 3 2" xfId="38775" xr:uid="{00000000-0005-0000-0000-0000CD960000}"/>
    <cellStyle name="Note 3 5 2 4" xfId="21921" xr:uid="{00000000-0005-0000-0000-0000CE960000}"/>
    <cellStyle name="Note 3 5 2 4 2" xfId="41263" xr:uid="{00000000-0005-0000-0000-0000CF960000}"/>
    <cellStyle name="Note 3 5 2 5" xfId="33862" xr:uid="{00000000-0005-0000-0000-0000D0960000}"/>
    <cellStyle name="Note 3 5 3" xfId="15065" xr:uid="{00000000-0005-0000-0000-0000D1960000}"/>
    <cellStyle name="Note 3 5 3 2" xfId="17541" xr:uid="{00000000-0005-0000-0000-0000D2960000}"/>
    <cellStyle name="Note 3 5 3 2 2" xfId="36895" xr:uid="{00000000-0005-0000-0000-0000D3960000}"/>
    <cellStyle name="Note 3 5 3 3" xfId="19972" xr:uid="{00000000-0005-0000-0000-0000D4960000}"/>
    <cellStyle name="Note 3 5 3 3 2" xfId="39325" xr:uid="{00000000-0005-0000-0000-0000D5960000}"/>
    <cellStyle name="Note 3 5 3 4" xfId="22485" xr:uid="{00000000-0005-0000-0000-0000D6960000}"/>
    <cellStyle name="Note 3 5 3 4 2" xfId="41827" xr:uid="{00000000-0005-0000-0000-0000D7960000}"/>
    <cellStyle name="Note 3 5 3 5" xfId="34426" xr:uid="{00000000-0005-0000-0000-0000D8960000}"/>
    <cellStyle name="Note 3 5 4" xfId="15548" xr:uid="{00000000-0005-0000-0000-0000D9960000}"/>
    <cellStyle name="Note 3 5 4 2" xfId="18024" xr:uid="{00000000-0005-0000-0000-0000DA960000}"/>
    <cellStyle name="Note 3 5 4 2 2" xfId="37378" xr:uid="{00000000-0005-0000-0000-0000DB960000}"/>
    <cellStyle name="Note 3 5 4 3" xfId="20455" xr:uid="{00000000-0005-0000-0000-0000DC960000}"/>
    <cellStyle name="Note 3 5 4 3 2" xfId="39808" xr:uid="{00000000-0005-0000-0000-0000DD960000}"/>
    <cellStyle name="Note 3 5 4 4" xfId="22968" xr:uid="{00000000-0005-0000-0000-0000DE960000}"/>
    <cellStyle name="Note 3 5 4 4 2" xfId="42310" xr:uid="{00000000-0005-0000-0000-0000DF960000}"/>
    <cellStyle name="Note 3 5 4 5" xfId="34909" xr:uid="{00000000-0005-0000-0000-0000E0960000}"/>
    <cellStyle name="Note 3 5 5" xfId="16217" xr:uid="{00000000-0005-0000-0000-0000E1960000}"/>
    <cellStyle name="Note 3 5 5 2" xfId="35571" xr:uid="{00000000-0005-0000-0000-0000E2960000}"/>
    <cellStyle name="Note 3 5 6" xfId="18648" xr:uid="{00000000-0005-0000-0000-0000E3960000}"/>
    <cellStyle name="Note 3 5 6 2" xfId="38001" xr:uid="{00000000-0005-0000-0000-0000E4960000}"/>
    <cellStyle name="Note 3 5 7" xfId="21122" xr:uid="{00000000-0005-0000-0000-0000E5960000}"/>
    <cellStyle name="Note 3 5 7 2" xfId="40464" xr:uid="{00000000-0005-0000-0000-0000E6960000}"/>
    <cellStyle name="Note 3 5 8" xfId="33063" xr:uid="{00000000-0005-0000-0000-0000E7960000}"/>
    <cellStyle name="Note 3 6" xfId="14243" xr:uid="{00000000-0005-0000-0000-0000E8960000}"/>
    <cellStyle name="Note 3 6 2" xfId="16746" xr:uid="{00000000-0005-0000-0000-0000E9960000}"/>
    <cellStyle name="Note 3 6 2 2" xfId="36100" xr:uid="{00000000-0005-0000-0000-0000EA960000}"/>
    <cellStyle name="Note 3 6 3" xfId="19177" xr:uid="{00000000-0005-0000-0000-0000EB960000}"/>
    <cellStyle name="Note 3 6 3 2" xfId="38530" xr:uid="{00000000-0005-0000-0000-0000EC960000}"/>
    <cellStyle name="Note 3 6 4" xfId="21664" xr:uid="{00000000-0005-0000-0000-0000ED960000}"/>
    <cellStyle name="Note 3 6 4 2" xfId="41006" xr:uid="{00000000-0005-0000-0000-0000EE960000}"/>
    <cellStyle name="Note 3 6 5" xfId="33605" xr:uid="{00000000-0005-0000-0000-0000EF960000}"/>
    <cellStyle name="Note 3 7" xfId="13315" xr:uid="{00000000-0005-0000-0000-0000F0960000}"/>
    <cellStyle name="Note 3 7 2" xfId="32741" xr:uid="{00000000-0005-0000-0000-0000F1960000}"/>
    <cellStyle name="Note 3 8" xfId="13359" xr:uid="{00000000-0005-0000-0000-0000F2960000}"/>
    <cellStyle name="Note 3 8 2" xfId="32758" xr:uid="{00000000-0005-0000-0000-0000F3960000}"/>
    <cellStyle name="Note 3 9" xfId="20895" xr:uid="{00000000-0005-0000-0000-0000F4960000}"/>
    <cellStyle name="Note 3 9 2" xfId="40240" xr:uid="{00000000-0005-0000-0000-0000F5960000}"/>
    <cellStyle name="Note 4" xfId="2604" xr:uid="{00000000-0005-0000-0000-0000F6960000}"/>
    <cellStyle name="Note 4 2" xfId="4912" xr:uid="{00000000-0005-0000-0000-0000F7960000}"/>
    <cellStyle name="Note 4 2 2" xfId="6664" xr:uid="{00000000-0005-0000-0000-0000F8960000}"/>
    <cellStyle name="Note 4 2 2 2" xfId="26149" xr:uid="{00000000-0005-0000-0000-0000F9960000}"/>
    <cellStyle name="Note 4 2 3" xfId="14518" xr:uid="{00000000-0005-0000-0000-0000FA960000}"/>
    <cellStyle name="Note 4 2 3 2" xfId="33879" xr:uid="{00000000-0005-0000-0000-0000FB960000}"/>
    <cellStyle name="Note 4 2 4" xfId="17008" xr:uid="{00000000-0005-0000-0000-0000FC960000}"/>
    <cellStyle name="Note 4 2 4 2" xfId="36362" xr:uid="{00000000-0005-0000-0000-0000FD960000}"/>
    <cellStyle name="Note 4 2 5" xfId="19439" xr:uid="{00000000-0005-0000-0000-0000FE960000}"/>
    <cellStyle name="Note 4 2 5 2" xfId="38792" xr:uid="{00000000-0005-0000-0000-0000FF960000}"/>
    <cellStyle name="Note 4 2 6" xfId="21938" xr:uid="{00000000-0005-0000-0000-000000970000}"/>
    <cellStyle name="Note 4 2 6 2" xfId="41280" xr:uid="{00000000-0005-0000-0000-000001970000}"/>
    <cellStyle name="Note 4 2 7" xfId="24406" xr:uid="{00000000-0005-0000-0000-000002970000}"/>
    <cellStyle name="Note 4 3" xfId="5524" xr:uid="{00000000-0005-0000-0000-000003970000}"/>
    <cellStyle name="Note 4 3 2" xfId="15082" xr:uid="{00000000-0005-0000-0000-000004970000}"/>
    <cellStyle name="Note 4 3 2 2" xfId="34443" xr:uid="{00000000-0005-0000-0000-000005970000}"/>
    <cellStyle name="Note 4 3 3" xfId="17558" xr:uid="{00000000-0005-0000-0000-000006970000}"/>
    <cellStyle name="Note 4 3 3 2" xfId="36912" xr:uid="{00000000-0005-0000-0000-000007970000}"/>
    <cellStyle name="Note 4 3 4" xfId="19989" xr:uid="{00000000-0005-0000-0000-000008970000}"/>
    <cellStyle name="Note 4 3 4 2" xfId="39342" xr:uid="{00000000-0005-0000-0000-000009970000}"/>
    <cellStyle name="Note 4 3 5" xfId="22502" xr:uid="{00000000-0005-0000-0000-00000A970000}"/>
    <cellStyle name="Note 4 3 5 2" xfId="41844" xr:uid="{00000000-0005-0000-0000-00000B970000}"/>
    <cellStyle name="Note 4 3 6" xfId="25012" xr:uid="{00000000-0005-0000-0000-00000C970000}"/>
    <cellStyle name="Note 4 4" xfId="15565" xr:uid="{00000000-0005-0000-0000-00000D970000}"/>
    <cellStyle name="Note 4 4 2" xfId="18041" xr:uid="{00000000-0005-0000-0000-00000E970000}"/>
    <cellStyle name="Note 4 4 2 2" xfId="37395" xr:uid="{00000000-0005-0000-0000-00000F970000}"/>
    <cellStyle name="Note 4 4 3" xfId="20472" xr:uid="{00000000-0005-0000-0000-000010970000}"/>
    <cellStyle name="Note 4 4 3 2" xfId="39825" xr:uid="{00000000-0005-0000-0000-000011970000}"/>
    <cellStyle name="Note 4 4 4" xfId="22985" xr:uid="{00000000-0005-0000-0000-000012970000}"/>
    <cellStyle name="Note 4 4 4 2" xfId="42327" xr:uid="{00000000-0005-0000-0000-000013970000}"/>
    <cellStyle name="Note 4 4 5" xfId="34926" xr:uid="{00000000-0005-0000-0000-000014970000}"/>
    <cellStyle name="Note 4 5" xfId="13715" xr:uid="{00000000-0005-0000-0000-000015970000}"/>
    <cellStyle name="Note 4 5 2" xfId="33080" xr:uid="{00000000-0005-0000-0000-000016970000}"/>
    <cellStyle name="Note 4 6" xfId="16234" xr:uid="{00000000-0005-0000-0000-000017970000}"/>
    <cellStyle name="Note 4 6 2" xfId="35588" xr:uid="{00000000-0005-0000-0000-000018970000}"/>
    <cellStyle name="Note 4 7" xfId="18665" xr:uid="{00000000-0005-0000-0000-000019970000}"/>
    <cellStyle name="Note 4 7 2" xfId="38018" xr:uid="{00000000-0005-0000-0000-00001A970000}"/>
    <cellStyle name="Note 4 8" xfId="21139" xr:uid="{00000000-0005-0000-0000-00001B970000}"/>
    <cellStyle name="Note 4 8 2" xfId="40481" xr:uid="{00000000-0005-0000-0000-00001C970000}"/>
    <cellStyle name="Note 4 9" xfId="23497" xr:uid="{00000000-0005-0000-0000-00001D970000}"/>
    <cellStyle name="Note 5" xfId="4100" xr:uid="{00000000-0005-0000-0000-00001E970000}"/>
    <cellStyle name="Note 5 2" xfId="5084" xr:uid="{00000000-0005-0000-0000-00001F970000}"/>
    <cellStyle name="Note 5 2 2" xfId="6678" xr:uid="{00000000-0005-0000-0000-000020970000}"/>
    <cellStyle name="Note 5 2 2 2" xfId="26163" xr:uid="{00000000-0005-0000-0000-000021970000}"/>
    <cellStyle name="Note 5 2 3" xfId="14528" xr:uid="{00000000-0005-0000-0000-000022970000}"/>
    <cellStyle name="Note 5 2 3 2" xfId="33889" xr:uid="{00000000-0005-0000-0000-000023970000}"/>
    <cellStyle name="Note 5 2 4" xfId="17018" xr:uid="{00000000-0005-0000-0000-000024970000}"/>
    <cellStyle name="Note 5 2 4 2" xfId="36372" xr:uid="{00000000-0005-0000-0000-000025970000}"/>
    <cellStyle name="Note 5 2 5" xfId="19449" xr:uid="{00000000-0005-0000-0000-000026970000}"/>
    <cellStyle name="Note 5 2 5 2" xfId="38802" xr:uid="{00000000-0005-0000-0000-000027970000}"/>
    <cellStyle name="Note 5 2 6" xfId="21948" xr:uid="{00000000-0005-0000-0000-000028970000}"/>
    <cellStyle name="Note 5 2 6 2" xfId="41290" xr:uid="{00000000-0005-0000-0000-000029970000}"/>
    <cellStyle name="Note 5 2 7" xfId="24575" xr:uid="{00000000-0005-0000-0000-00002A970000}"/>
    <cellStyle name="Note 5 3" xfId="5661" xr:uid="{00000000-0005-0000-0000-00002B970000}"/>
    <cellStyle name="Note 5 3 2" xfId="15092" xr:uid="{00000000-0005-0000-0000-00002C970000}"/>
    <cellStyle name="Note 5 3 2 2" xfId="34453" xr:uid="{00000000-0005-0000-0000-00002D970000}"/>
    <cellStyle name="Note 5 3 3" xfId="17568" xr:uid="{00000000-0005-0000-0000-00002E970000}"/>
    <cellStyle name="Note 5 3 3 2" xfId="36922" xr:uid="{00000000-0005-0000-0000-00002F970000}"/>
    <cellStyle name="Note 5 3 4" xfId="19999" xr:uid="{00000000-0005-0000-0000-000030970000}"/>
    <cellStyle name="Note 5 3 4 2" xfId="39352" xr:uid="{00000000-0005-0000-0000-000031970000}"/>
    <cellStyle name="Note 5 3 5" xfId="22512" xr:uid="{00000000-0005-0000-0000-000032970000}"/>
    <cellStyle name="Note 5 3 5 2" xfId="41854" xr:uid="{00000000-0005-0000-0000-000033970000}"/>
    <cellStyle name="Note 5 3 6" xfId="25148" xr:uid="{00000000-0005-0000-0000-000034970000}"/>
    <cellStyle name="Note 5 4" xfId="15575" xr:uid="{00000000-0005-0000-0000-000035970000}"/>
    <cellStyle name="Note 5 4 2" xfId="18051" xr:uid="{00000000-0005-0000-0000-000036970000}"/>
    <cellStyle name="Note 5 4 2 2" xfId="37405" xr:uid="{00000000-0005-0000-0000-000037970000}"/>
    <cellStyle name="Note 5 4 3" xfId="20482" xr:uid="{00000000-0005-0000-0000-000038970000}"/>
    <cellStyle name="Note 5 4 3 2" xfId="39835" xr:uid="{00000000-0005-0000-0000-000039970000}"/>
    <cellStyle name="Note 5 4 4" xfId="22995" xr:uid="{00000000-0005-0000-0000-00003A970000}"/>
    <cellStyle name="Note 5 4 4 2" xfId="42337" xr:uid="{00000000-0005-0000-0000-00003B970000}"/>
    <cellStyle name="Note 5 4 5" xfId="34936" xr:uid="{00000000-0005-0000-0000-00003C970000}"/>
    <cellStyle name="Note 5 5" xfId="13725" xr:uid="{00000000-0005-0000-0000-00003D970000}"/>
    <cellStyle name="Note 5 5 2" xfId="33090" xr:uid="{00000000-0005-0000-0000-00003E970000}"/>
    <cellStyle name="Note 5 6" xfId="16244" xr:uid="{00000000-0005-0000-0000-00003F970000}"/>
    <cellStyle name="Note 5 6 2" xfId="35598" xr:uid="{00000000-0005-0000-0000-000040970000}"/>
    <cellStyle name="Note 5 7" xfId="18675" xr:uid="{00000000-0005-0000-0000-000041970000}"/>
    <cellStyle name="Note 5 7 2" xfId="38028" xr:uid="{00000000-0005-0000-0000-000042970000}"/>
    <cellStyle name="Note 5 8" xfId="21149" xr:uid="{00000000-0005-0000-0000-000043970000}"/>
    <cellStyle name="Note 5 8 2" xfId="40491" xr:uid="{00000000-0005-0000-0000-000044970000}"/>
    <cellStyle name="Note 5 9" xfId="23952" xr:uid="{00000000-0005-0000-0000-000045970000}"/>
    <cellStyle name="Note 6" xfId="4881" xr:uid="{00000000-0005-0000-0000-000046970000}"/>
    <cellStyle name="Note 6 2" xfId="6638" xr:uid="{00000000-0005-0000-0000-000047970000}"/>
    <cellStyle name="Note 6 2 2" xfId="26123" xr:uid="{00000000-0005-0000-0000-000048970000}"/>
    <cellStyle name="Note 6 3" xfId="14217" xr:uid="{00000000-0005-0000-0000-000049970000}"/>
    <cellStyle name="Note 6 3 2" xfId="33579" xr:uid="{00000000-0005-0000-0000-00004A970000}"/>
    <cellStyle name="Note 6 4" xfId="16720" xr:uid="{00000000-0005-0000-0000-00004B970000}"/>
    <cellStyle name="Note 6 4 2" xfId="36074" xr:uid="{00000000-0005-0000-0000-00004C970000}"/>
    <cellStyle name="Note 6 5" xfId="19151" xr:uid="{00000000-0005-0000-0000-00004D970000}"/>
    <cellStyle name="Note 6 5 2" xfId="38504" xr:uid="{00000000-0005-0000-0000-00004E970000}"/>
    <cellStyle name="Note 6 6" xfId="21638" xr:uid="{00000000-0005-0000-0000-00004F970000}"/>
    <cellStyle name="Note 6 6 2" xfId="40980" xr:uid="{00000000-0005-0000-0000-000050970000}"/>
    <cellStyle name="Note 6 7" xfId="24377" xr:uid="{00000000-0005-0000-0000-000051970000}"/>
    <cellStyle name="Note 7" xfId="5522" xr:uid="{00000000-0005-0000-0000-000052970000}"/>
    <cellStyle name="Note 7 2" xfId="25010" xr:uid="{00000000-0005-0000-0000-000053970000}"/>
    <cellStyle name="Note 8" xfId="13248" xr:uid="{00000000-0005-0000-0000-000054970000}"/>
    <cellStyle name="Note 8 2" xfId="32701" xr:uid="{00000000-0005-0000-0000-000055970000}"/>
    <cellStyle name="Note 9" xfId="13225" xr:uid="{00000000-0005-0000-0000-000056970000}"/>
    <cellStyle name="Note 9 2" xfId="32685" xr:uid="{00000000-0005-0000-0000-000057970000}"/>
    <cellStyle name="Notes" xfId="1689" xr:uid="{00000000-0005-0000-0000-000058970000}"/>
    <cellStyle name="Notes 2" xfId="13347" xr:uid="{00000000-0005-0000-0000-000059970000}"/>
    <cellStyle name="Number" xfId="1690" xr:uid="{00000000-0005-0000-0000-00005A970000}"/>
    <cellStyle name="number2" xfId="1691" xr:uid="{00000000-0005-0000-0000-00005B970000}"/>
    <cellStyle name="Numbers" xfId="3996" xr:uid="{00000000-0005-0000-0000-00005C970000}"/>
    <cellStyle name="Numbers - Bold" xfId="3997" xr:uid="{00000000-0005-0000-0000-00005D970000}"/>
    <cellStyle name="Numbers - Bold - Italic" xfId="3998" xr:uid="{00000000-0005-0000-0000-00005E970000}"/>
    <cellStyle name="Numbers - Bold - Italic 2" xfId="13385" xr:uid="{00000000-0005-0000-0000-00005F970000}"/>
    <cellStyle name="Numbers - Bold_Blend" xfId="4507" xr:uid="{00000000-0005-0000-0000-000060970000}"/>
    <cellStyle name="Numbers - Large" xfId="3999" xr:uid="{00000000-0005-0000-0000-000061970000}"/>
    <cellStyle name="Numbers 10" xfId="8879" xr:uid="{00000000-0005-0000-0000-000062970000}"/>
    <cellStyle name="Numbers 11" xfId="9064" xr:uid="{00000000-0005-0000-0000-000063970000}"/>
    <cellStyle name="Numbers 12" xfId="9178" xr:uid="{00000000-0005-0000-0000-000064970000}"/>
    <cellStyle name="Numbers 13" xfId="13384" xr:uid="{00000000-0005-0000-0000-000065970000}"/>
    <cellStyle name="Numbers 14" xfId="15983" xr:uid="{00000000-0005-0000-0000-000066970000}"/>
    <cellStyle name="Numbers 15" xfId="13281" xr:uid="{00000000-0005-0000-0000-000067970000}"/>
    <cellStyle name="Numbers 16" xfId="20921" xr:uid="{00000000-0005-0000-0000-000068970000}"/>
    <cellStyle name="Numbers 17" xfId="23946" xr:uid="{00000000-0005-0000-0000-000069970000}"/>
    <cellStyle name="Numbers 2" xfId="4747" xr:uid="{00000000-0005-0000-0000-00006A970000}"/>
    <cellStyle name="Numbers 3" xfId="4522" xr:uid="{00000000-0005-0000-0000-00006B970000}"/>
    <cellStyle name="Numbers 4" xfId="4561" xr:uid="{00000000-0005-0000-0000-00006C970000}"/>
    <cellStyle name="Numbers 5" xfId="5079" xr:uid="{00000000-0005-0000-0000-00006D970000}"/>
    <cellStyle name="Numbers 6" xfId="4896" xr:uid="{00000000-0005-0000-0000-00006E970000}"/>
    <cellStyle name="Numbers 7" xfId="5690" xr:uid="{00000000-0005-0000-0000-00006F970000}"/>
    <cellStyle name="Numbers 8" xfId="5495" xr:uid="{00000000-0005-0000-0000-000070970000}"/>
    <cellStyle name="Numbers 9" xfId="8760" xr:uid="{00000000-0005-0000-0000-000071970000}"/>
    <cellStyle name="Numbers_Comps" xfId="4000" xr:uid="{00000000-0005-0000-0000-000072970000}"/>
    <cellStyle name="o" xfId="1692" xr:uid="{00000000-0005-0000-0000-000073970000}"/>
    <cellStyle name="Œ…‹æØ‚è [0.00]_GE 3 MINIMUM" xfId="1693" xr:uid="{00000000-0005-0000-0000-000074970000}"/>
    <cellStyle name="Œ…‹æØ‚è_GE 3 MINIMUM" xfId="1694" xr:uid="{00000000-0005-0000-0000-000075970000}"/>
    <cellStyle name="OneDecimal" xfId="1695" xr:uid="{00000000-0005-0000-0000-000076970000}"/>
    <cellStyle name="Original L1" xfId="1696" xr:uid="{00000000-0005-0000-0000-000077970000}"/>
    <cellStyle name="Original L2" xfId="1697" xr:uid="{00000000-0005-0000-0000-000078970000}"/>
    <cellStyle name="Original L3" xfId="1698" xr:uid="{00000000-0005-0000-0000-000079970000}"/>
    <cellStyle name="Original Space" xfId="1699" xr:uid="{00000000-0005-0000-0000-00007A970000}"/>
    <cellStyle name="OSW_ColumnLabels" xfId="4508" xr:uid="{00000000-0005-0000-0000-00007B970000}"/>
    <cellStyle name="outh America" xfId="1700" xr:uid="{00000000-0005-0000-0000-00007C970000}"/>
    <cellStyle name="Output" xfId="1701" builtinId="21" customBuiltin="1"/>
    <cellStyle name="Output 2" xfId="2087" xr:uid="{00000000-0005-0000-0000-00007E970000}"/>
    <cellStyle name="Output 2 10" xfId="20903" xr:uid="{00000000-0005-0000-0000-00007F970000}"/>
    <cellStyle name="Output 2 10 2" xfId="40248" xr:uid="{00000000-0005-0000-0000-000080970000}"/>
    <cellStyle name="Output 2 11" xfId="23475" xr:uid="{00000000-0005-0000-0000-000081970000}"/>
    <cellStyle name="Output 2 2" xfId="2646" xr:uid="{00000000-0005-0000-0000-000082970000}"/>
    <cellStyle name="Output 2 2 10" xfId="20957" xr:uid="{00000000-0005-0000-0000-000083970000}"/>
    <cellStyle name="Output 2 2 10 2" xfId="40299" xr:uid="{00000000-0005-0000-0000-000084970000}"/>
    <cellStyle name="Output 2 2 11" xfId="23539" xr:uid="{00000000-0005-0000-0000-000085970000}"/>
    <cellStyle name="Output 2 2 2" xfId="4917" xr:uid="{00000000-0005-0000-0000-000086970000}"/>
    <cellStyle name="Output 2 2 2 2" xfId="6669" xr:uid="{00000000-0005-0000-0000-000087970000}"/>
    <cellStyle name="Output 2 2 2 2 2" xfId="14678" xr:uid="{00000000-0005-0000-0000-000088970000}"/>
    <cellStyle name="Output 2 2 2 2 2 2" xfId="17159" xr:uid="{00000000-0005-0000-0000-000089970000}"/>
    <cellStyle name="Output 2 2 2 2 2 2 2" xfId="36513" xr:uid="{00000000-0005-0000-0000-00008A970000}"/>
    <cellStyle name="Output 2 2 2 2 2 3" xfId="19590" xr:uid="{00000000-0005-0000-0000-00008B970000}"/>
    <cellStyle name="Output 2 2 2 2 2 3 2" xfId="38943" xr:uid="{00000000-0005-0000-0000-00008C970000}"/>
    <cellStyle name="Output 2 2 2 2 2 4" xfId="22098" xr:uid="{00000000-0005-0000-0000-00008D970000}"/>
    <cellStyle name="Output 2 2 2 2 2 4 2" xfId="41440" xr:uid="{00000000-0005-0000-0000-00008E970000}"/>
    <cellStyle name="Output 2 2 2 2 2 5" xfId="34039" xr:uid="{00000000-0005-0000-0000-00008F970000}"/>
    <cellStyle name="Output 2 2 2 2 3" xfId="15230" xr:uid="{00000000-0005-0000-0000-000090970000}"/>
    <cellStyle name="Output 2 2 2 2 3 2" xfId="17706" xr:uid="{00000000-0005-0000-0000-000091970000}"/>
    <cellStyle name="Output 2 2 2 2 3 2 2" xfId="37060" xr:uid="{00000000-0005-0000-0000-000092970000}"/>
    <cellStyle name="Output 2 2 2 2 3 3" xfId="20137" xr:uid="{00000000-0005-0000-0000-000093970000}"/>
    <cellStyle name="Output 2 2 2 2 3 3 2" xfId="39490" xr:uid="{00000000-0005-0000-0000-000094970000}"/>
    <cellStyle name="Output 2 2 2 2 3 4" xfId="22650" xr:uid="{00000000-0005-0000-0000-000095970000}"/>
    <cellStyle name="Output 2 2 2 2 3 4 2" xfId="41992" xr:uid="{00000000-0005-0000-0000-000096970000}"/>
    <cellStyle name="Output 2 2 2 2 3 5" xfId="34591" xr:uid="{00000000-0005-0000-0000-000097970000}"/>
    <cellStyle name="Output 2 2 2 2 4" xfId="15700" xr:uid="{00000000-0005-0000-0000-000098970000}"/>
    <cellStyle name="Output 2 2 2 2 4 2" xfId="18176" xr:uid="{00000000-0005-0000-0000-000099970000}"/>
    <cellStyle name="Output 2 2 2 2 4 2 2" xfId="37530" xr:uid="{00000000-0005-0000-0000-00009A970000}"/>
    <cellStyle name="Output 2 2 2 2 4 3" xfId="20607" xr:uid="{00000000-0005-0000-0000-00009B970000}"/>
    <cellStyle name="Output 2 2 2 2 4 3 2" xfId="39960" xr:uid="{00000000-0005-0000-0000-00009C970000}"/>
    <cellStyle name="Output 2 2 2 2 4 4" xfId="23120" xr:uid="{00000000-0005-0000-0000-00009D970000}"/>
    <cellStyle name="Output 2 2 2 2 4 4 2" xfId="42462" xr:uid="{00000000-0005-0000-0000-00009E970000}"/>
    <cellStyle name="Output 2 2 2 2 4 5" xfId="35061" xr:uid="{00000000-0005-0000-0000-00009F970000}"/>
    <cellStyle name="Output 2 2 2 2 5" xfId="13883" xr:uid="{00000000-0005-0000-0000-0000A0970000}"/>
    <cellStyle name="Output 2 2 2 2 5 2" xfId="33247" xr:uid="{00000000-0005-0000-0000-0000A1970000}"/>
    <cellStyle name="Output 2 2 2 2 6" xfId="16392" xr:uid="{00000000-0005-0000-0000-0000A2970000}"/>
    <cellStyle name="Output 2 2 2 2 6 2" xfId="35746" xr:uid="{00000000-0005-0000-0000-0000A3970000}"/>
    <cellStyle name="Output 2 2 2 2 7" xfId="18823" xr:uid="{00000000-0005-0000-0000-0000A4970000}"/>
    <cellStyle name="Output 2 2 2 2 7 2" xfId="38176" xr:uid="{00000000-0005-0000-0000-0000A5970000}"/>
    <cellStyle name="Output 2 2 2 2 8" xfId="21306" xr:uid="{00000000-0005-0000-0000-0000A6970000}"/>
    <cellStyle name="Output 2 2 2 2 8 2" xfId="40648" xr:uid="{00000000-0005-0000-0000-0000A7970000}"/>
    <cellStyle name="Output 2 2 2 2 9" xfId="26154" xr:uid="{00000000-0005-0000-0000-0000A8970000}"/>
    <cellStyle name="Output 2 2 2 3" xfId="14101" xr:uid="{00000000-0005-0000-0000-0000A9970000}"/>
    <cellStyle name="Output 2 2 2 3 2" xfId="14882" xr:uid="{00000000-0005-0000-0000-0000AA970000}"/>
    <cellStyle name="Output 2 2 2 3 2 2" xfId="17360" xr:uid="{00000000-0005-0000-0000-0000AB970000}"/>
    <cellStyle name="Output 2 2 2 3 2 2 2" xfId="36714" xr:uid="{00000000-0005-0000-0000-0000AC970000}"/>
    <cellStyle name="Output 2 2 2 3 2 3" xfId="19791" xr:uid="{00000000-0005-0000-0000-0000AD970000}"/>
    <cellStyle name="Output 2 2 2 3 2 3 2" xfId="39144" xr:uid="{00000000-0005-0000-0000-0000AE970000}"/>
    <cellStyle name="Output 2 2 2 3 2 4" xfId="22302" xr:uid="{00000000-0005-0000-0000-0000AF970000}"/>
    <cellStyle name="Output 2 2 2 3 2 4 2" xfId="41644" xr:uid="{00000000-0005-0000-0000-0000B0970000}"/>
    <cellStyle name="Output 2 2 2 3 2 5" xfId="34243" xr:uid="{00000000-0005-0000-0000-0000B1970000}"/>
    <cellStyle name="Output 2 2 2 3 3" xfId="15429" xr:uid="{00000000-0005-0000-0000-0000B2970000}"/>
    <cellStyle name="Output 2 2 2 3 3 2" xfId="17905" xr:uid="{00000000-0005-0000-0000-0000B3970000}"/>
    <cellStyle name="Output 2 2 2 3 3 2 2" xfId="37259" xr:uid="{00000000-0005-0000-0000-0000B4970000}"/>
    <cellStyle name="Output 2 2 2 3 3 3" xfId="20336" xr:uid="{00000000-0005-0000-0000-0000B5970000}"/>
    <cellStyle name="Output 2 2 2 3 3 3 2" xfId="39689" xr:uid="{00000000-0005-0000-0000-0000B6970000}"/>
    <cellStyle name="Output 2 2 2 3 3 4" xfId="22849" xr:uid="{00000000-0005-0000-0000-0000B7970000}"/>
    <cellStyle name="Output 2 2 2 3 3 4 2" xfId="42191" xr:uid="{00000000-0005-0000-0000-0000B8970000}"/>
    <cellStyle name="Output 2 2 2 3 3 5" xfId="34790" xr:uid="{00000000-0005-0000-0000-0000B9970000}"/>
    <cellStyle name="Output 2 2 2 3 4" xfId="15888" xr:uid="{00000000-0005-0000-0000-0000BA970000}"/>
    <cellStyle name="Output 2 2 2 3 4 2" xfId="18364" xr:uid="{00000000-0005-0000-0000-0000BB970000}"/>
    <cellStyle name="Output 2 2 2 3 4 2 2" xfId="37718" xr:uid="{00000000-0005-0000-0000-0000BC970000}"/>
    <cellStyle name="Output 2 2 2 3 4 3" xfId="20795" xr:uid="{00000000-0005-0000-0000-0000BD970000}"/>
    <cellStyle name="Output 2 2 2 3 4 3 2" xfId="40148" xr:uid="{00000000-0005-0000-0000-0000BE970000}"/>
    <cellStyle name="Output 2 2 2 3 4 4" xfId="23308" xr:uid="{00000000-0005-0000-0000-0000BF970000}"/>
    <cellStyle name="Output 2 2 2 3 4 4 2" xfId="42650" xr:uid="{00000000-0005-0000-0000-0000C0970000}"/>
    <cellStyle name="Output 2 2 2 3 4 5" xfId="35249" xr:uid="{00000000-0005-0000-0000-0000C1970000}"/>
    <cellStyle name="Output 2 2 2 3 5" xfId="16607" xr:uid="{00000000-0005-0000-0000-0000C2970000}"/>
    <cellStyle name="Output 2 2 2 3 5 2" xfId="35961" xr:uid="{00000000-0005-0000-0000-0000C3970000}"/>
    <cellStyle name="Output 2 2 2 3 6" xfId="19038" xr:uid="{00000000-0005-0000-0000-0000C4970000}"/>
    <cellStyle name="Output 2 2 2 3 6 2" xfId="38391" xr:uid="{00000000-0005-0000-0000-0000C5970000}"/>
    <cellStyle name="Output 2 2 2 3 7" xfId="21524" xr:uid="{00000000-0005-0000-0000-0000C6970000}"/>
    <cellStyle name="Output 2 2 2 3 7 2" xfId="40866" xr:uid="{00000000-0005-0000-0000-0000C7970000}"/>
    <cellStyle name="Output 2 2 2 3 8" xfId="33465" xr:uid="{00000000-0005-0000-0000-0000C8970000}"/>
    <cellStyle name="Output 2 2 2 4" xfId="14393" xr:uid="{00000000-0005-0000-0000-0000C9970000}"/>
    <cellStyle name="Output 2 2 2 4 2" xfId="16886" xr:uid="{00000000-0005-0000-0000-0000CA970000}"/>
    <cellStyle name="Output 2 2 2 4 2 2" xfId="36240" xr:uid="{00000000-0005-0000-0000-0000CB970000}"/>
    <cellStyle name="Output 2 2 2 4 3" xfId="19317" xr:uid="{00000000-0005-0000-0000-0000CC970000}"/>
    <cellStyle name="Output 2 2 2 4 3 2" xfId="38670" xr:uid="{00000000-0005-0000-0000-0000CD970000}"/>
    <cellStyle name="Output 2 2 2 4 4" xfId="21813" xr:uid="{00000000-0005-0000-0000-0000CE970000}"/>
    <cellStyle name="Output 2 2 2 4 4 2" xfId="41155" xr:uid="{00000000-0005-0000-0000-0000CF970000}"/>
    <cellStyle name="Output 2 2 2 4 5" xfId="33754" xr:uid="{00000000-0005-0000-0000-0000D0970000}"/>
    <cellStyle name="Output 2 2 2 5" xfId="13584" xr:uid="{00000000-0005-0000-0000-0000D1970000}"/>
    <cellStyle name="Output 2 2 2 5 2" xfId="32950" xr:uid="{00000000-0005-0000-0000-0000D2970000}"/>
    <cellStyle name="Output 2 2 2 6" xfId="18536" xr:uid="{00000000-0005-0000-0000-0000D3970000}"/>
    <cellStyle name="Output 2 2 2 6 2" xfId="37889" xr:uid="{00000000-0005-0000-0000-0000D4970000}"/>
    <cellStyle name="Output 2 2 2 7" xfId="24411" xr:uid="{00000000-0005-0000-0000-0000D5970000}"/>
    <cellStyle name="Output 2 2 3" xfId="5500" xr:uid="{00000000-0005-0000-0000-0000D6970000}"/>
    <cellStyle name="Output 2 2 3 2" xfId="13950" xr:uid="{00000000-0005-0000-0000-0000D7970000}"/>
    <cellStyle name="Output 2 2 3 2 2" xfId="14745" xr:uid="{00000000-0005-0000-0000-0000D8970000}"/>
    <cellStyle name="Output 2 2 3 2 2 2" xfId="17223" xr:uid="{00000000-0005-0000-0000-0000D9970000}"/>
    <cellStyle name="Output 2 2 3 2 2 2 2" xfId="36577" xr:uid="{00000000-0005-0000-0000-0000DA970000}"/>
    <cellStyle name="Output 2 2 3 2 2 3" xfId="19654" xr:uid="{00000000-0005-0000-0000-0000DB970000}"/>
    <cellStyle name="Output 2 2 3 2 2 3 2" xfId="39007" xr:uid="{00000000-0005-0000-0000-0000DC970000}"/>
    <cellStyle name="Output 2 2 3 2 2 4" xfId="22165" xr:uid="{00000000-0005-0000-0000-0000DD970000}"/>
    <cellStyle name="Output 2 2 3 2 2 4 2" xfId="41507" xr:uid="{00000000-0005-0000-0000-0000DE970000}"/>
    <cellStyle name="Output 2 2 3 2 2 5" xfId="34106" xr:uid="{00000000-0005-0000-0000-0000DF970000}"/>
    <cellStyle name="Output 2 2 3 2 3" xfId="15293" xr:uid="{00000000-0005-0000-0000-0000E0970000}"/>
    <cellStyle name="Output 2 2 3 2 3 2" xfId="17769" xr:uid="{00000000-0005-0000-0000-0000E1970000}"/>
    <cellStyle name="Output 2 2 3 2 3 2 2" xfId="37123" xr:uid="{00000000-0005-0000-0000-0000E2970000}"/>
    <cellStyle name="Output 2 2 3 2 3 3" xfId="20200" xr:uid="{00000000-0005-0000-0000-0000E3970000}"/>
    <cellStyle name="Output 2 2 3 2 3 3 2" xfId="39553" xr:uid="{00000000-0005-0000-0000-0000E4970000}"/>
    <cellStyle name="Output 2 2 3 2 3 4" xfId="22713" xr:uid="{00000000-0005-0000-0000-0000E5970000}"/>
    <cellStyle name="Output 2 2 3 2 3 4 2" xfId="42055" xr:uid="{00000000-0005-0000-0000-0000E6970000}"/>
    <cellStyle name="Output 2 2 3 2 3 5" xfId="34654" xr:uid="{00000000-0005-0000-0000-0000E7970000}"/>
    <cellStyle name="Output 2 2 3 2 4" xfId="15752" xr:uid="{00000000-0005-0000-0000-0000E8970000}"/>
    <cellStyle name="Output 2 2 3 2 4 2" xfId="18228" xr:uid="{00000000-0005-0000-0000-0000E9970000}"/>
    <cellStyle name="Output 2 2 3 2 4 2 2" xfId="37582" xr:uid="{00000000-0005-0000-0000-0000EA970000}"/>
    <cellStyle name="Output 2 2 3 2 4 3" xfId="20659" xr:uid="{00000000-0005-0000-0000-0000EB970000}"/>
    <cellStyle name="Output 2 2 3 2 4 3 2" xfId="40012" xr:uid="{00000000-0005-0000-0000-0000EC970000}"/>
    <cellStyle name="Output 2 2 3 2 4 4" xfId="23172" xr:uid="{00000000-0005-0000-0000-0000ED970000}"/>
    <cellStyle name="Output 2 2 3 2 4 4 2" xfId="42514" xr:uid="{00000000-0005-0000-0000-0000EE970000}"/>
    <cellStyle name="Output 2 2 3 2 4 5" xfId="35113" xr:uid="{00000000-0005-0000-0000-0000EF970000}"/>
    <cellStyle name="Output 2 2 3 2 5" xfId="16456" xr:uid="{00000000-0005-0000-0000-0000F0970000}"/>
    <cellStyle name="Output 2 2 3 2 5 2" xfId="35810" xr:uid="{00000000-0005-0000-0000-0000F1970000}"/>
    <cellStyle name="Output 2 2 3 2 6" xfId="18887" xr:uid="{00000000-0005-0000-0000-0000F2970000}"/>
    <cellStyle name="Output 2 2 3 2 6 2" xfId="38240" xr:uid="{00000000-0005-0000-0000-0000F3970000}"/>
    <cellStyle name="Output 2 2 3 2 7" xfId="21373" xr:uid="{00000000-0005-0000-0000-0000F4970000}"/>
    <cellStyle name="Output 2 2 3 2 7 2" xfId="40715" xr:uid="{00000000-0005-0000-0000-0000F5970000}"/>
    <cellStyle name="Output 2 2 3 2 8" xfId="33314" xr:uid="{00000000-0005-0000-0000-0000F6970000}"/>
    <cellStyle name="Output 2 2 3 3" xfId="14164" xr:uid="{00000000-0005-0000-0000-0000F7970000}"/>
    <cellStyle name="Output 2 2 3 3 2" xfId="14941" xr:uid="{00000000-0005-0000-0000-0000F8970000}"/>
    <cellStyle name="Output 2 2 3 3 2 2" xfId="17419" xr:uid="{00000000-0005-0000-0000-0000F9970000}"/>
    <cellStyle name="Output 2 2 3 3 2 2 2" xfId="36773" xr:uid="{00000000-0005-0000-0000-0000FA970000}"/>
    <cellStyle name="Output 2 2 3 3 2 3" xfId="19850" xr:uid="{00000000-0005-0000-0000-0000FB970000}"/>
    <cellStyle name="Output 2 2 3 3 2 3 2" xfId="39203" xr:uid="{00000000-0005-0000-0000-0000FC970000}"/>
    <cellStyle name="Output 2 2 3 3 2 4" xfId="22361" xr:uid="{00000000-0005-0000-0000-0000FD970000}"/>
    <cellStyle name="Output 2 2 3 3 2 4 2" xfId="41703" xr:uid="{00000000-0005-0000-0000-0000FE970000}"/>
    <cellStyle name="Output 2 2 3 3 2 5" xfId="34302" xr:uid="{00000000-0005-0000-0000-0000FF970000}"/>
    <cellStyle name="Output 2 2 3 3 3" xfId="15487" xr:uid="{00000000-0005-0000-0000-000000980000}"/>
    <cellStyle name="Output 2 2 3 3 3 2" xfId="17963" xr:uid="{00000000-0005-0000-0000-000001980000}"/>
    <cellStyle name="Output 2 2 3 3 3 2 2" xfId="37317" xr:uid="{00000000-0005-0000-0000-000002980000}"/>
    <cellStyle name="Output 2 2 3 3 3 3" xfId="20394" xr:uid="{00000000-0005-0000-0000-000003980000}"/>
    <cellStyle name="Output 2 2 3 3 3 3 2" xfId="39747" xr:uid="{00000000-0005-0000-0000-000004980000}"/>
    <cellStyle name="Output 2 2 3 3 3 4" xfId="22907" xr:uid="{00000000-0005-0000-0000-000005980000}"/>
    <cellStyle name="Output 2 2 3 3 3 4 2" xfId="42249" xr:uid="{00000000-0005-0000-0000-000006980000}"/>
    <cellStyle name="Output 2 2 3 3 3 5" xfId="34848" xr:uid="{00000000-0005-0000-0000-000007980000}"/>
    <cellStyle name="Output 2 2 3 3 4" xfId="15946" xr:uid="{00000000-0005-0000-0000-000008980000}"/>
    <cellStyle name="Output 2 2 3 3 4 2" xfId="18422" xr:uid="{00000000-0005-0000-0000-000009980000}"/>
    <cellStyle name="Output 2 2 3 3 4 2 2" xfId="37776" xr:uid="{00000000-0005-0000-0000-00000A980000}"/>
    <cellStyle name="Output 2 2 3 3 4 3" xfId="20853" xr:uid="{00000000-0005-0000-0000-00000B980000}"/>
    <cellStyle name="Output 2 2 3 3 4 3 2" xfId="40206" xr:uid="{00000000-0005-0000-0000-00000C980000}"/>
    <cellStyle name="Output 2 2 3 3 4 4" xfId="23366" xr:uid="{00000000-0005-0000-0000-00000D980000}"/>
    <cellStyle name="Output 2 2 3 3 4 4 2" xfId="42708" xr:uid="{00000000-0005-0000-0000-00000E980000}"/>
    <cellStyle name="Output 2 2 3 3 4 5" xfId="35307" xr:uid="{00000000-0005-0000-0000-00000F980000}"/>
    <cellStyle name="Output 2 2 3 3 5" xfId="16670" xr:uid="{00000000-0005-0000-0000-000010980000}"/>
    <cellStyle name="Output 2 2 3 3 5 2" xfId="36024" xr:uid="{00000000-0005-0000-0000-000011980000}"/>
    <cellStyle name="Output 2 2 3 3 6" xfId="19101" xr:uid="{00000000-0005-0000-0000-000012980000}"/>
    <cellStyle name="Output 2 2 3 3 6 2" xfId="38454" xr:uid="{00000000-0005-0000-0000-000013980000}"/>
    <cellStyle name="Output 2 2 3 3 7" xfId="21587" xr:uid="{00000000-0005-0000-0000-000014980000}"/>
    <cellStyle name="Output 2 2 3 3 7 2" xfId="40929" xr:uid="{00000000-0005-0000-0000-000015980000}"/>
    <cellStyle name="Output 2 2 3 3 8" xfId="33528" xr:uid="{00000000-0005-0000-0000-000016980000}"/>
    <cellStyle name="Output 2 2 3 4" xfId="14460" xr:uid="{00000000-0005-0000-0000-000017980000}"/>
    <cellStyle name="Output 2 2 3 4 2" xfId="16950" xr:uid="{00000000-0005-0000-0000-000018980000}"/>
    <cellStyle name="Output 2 2 3 4 2 2" xfId="36304" xr:uid="{00000000-0005-0000-0000-000019980000}"/>
    <cellStyle name="Output 2 2 3 4 3" xfId="19381" xr:uid="{00000000-0005-0000-0000-00001A980000}"/>
    <cellStyle name="Output 2 2 3 4 3 2" xfId="38734" xr:uid="{00000000-0005-0000-0000-00001B980000}"/>
    <cellStyle name="Output 2 2 3 4 4" xfId="21880" xr:uid="{00000000-0005-0000-0000-00001C980000}"/>
    <cellStyle name="Output 2 2 3 4 4 2" xfId="41222" xr:uid="{00000000-0005-0000-0000-00001D980000}"/>
    <cellStyle name="Output 2 2 3 4 5" xfId="33821" xr:uid="{00000000-0005-0000-0000-00001E980000}"/>
    <cellStyle name="Output 2 2 3 5" xfId="13652" xr:uid="{00000000-0005-0000-0000-00001F980000}"/>
    <cellStyle name="Output 2 2 3 5 2" xfId="33018" xr:uid="{00000000-0005-0000-0000-000020980000}"/>
    <cellStyle name="Output 2 2 3 6" xfId="16172" xr:uid="{00000000-0005-0000-0000-000021980000}"/>
    <cellStyle name="Output 2 2 3 6 2" xfId="35526" xr:uid="{00000000-0005-0000-0000-000022980000}"/>
    <cellStyle name="Output 2 2 3 7" xfId="18603" xr:uid="{00000000-0005-0000-0000-000023980000}"/>
    <cellStyle name="Output 2 2 3 7 2" xfId="37956" xr:uid="{00000000-0005-0000-0000-000024980000}"/>
    <cellStyle name="Output 2 2 3 8" xfId="21077" xr:uid="{00000000-0005-0000-0000-000025980000}"/>
    <cellStyle name="Output 2 2 3 8 2" xfId="40419" xr:uid="{00000000-0005-0000-0000-000026980000}"/>
    <cellStyle name="Output 2 2 3 9" xfId="24988" xr:uid="{00000000-0005-0000-0000-000027980000}"/>
    <cellStyle name="Output 2 2 4" xfId="13773" xr:uid="{00000000-0005-0000-0000-000028980000}"/>
    <cellStyle name="Output 2 2 4 2" xfId="14572" xr:uid="{00000000-0005-0000-0000-000029980000}"/>
    <cellStyle name="Output 2 2 4 2 2" xfId="17059" xr:uid="{00000000-0005-0000-0000-00002A980000}"/>
    <cellStyle name="Output 2 2 4 2 2 2" xfId="36413" xr:uid="{00000000-0005-0000-0000-00002B980000}"/>
    <cellStyle name="Output 2 2 4 2 3" xfId="19490" xr:uid="{00000000-0005-0000-0000-00002C980000}"/>
    <cellStyle name="Output 2 2 4 2 3 2" xfId="38843" xr:uid="{00000000-0005-0000-0000-00002D980000}"/>
    <cellStyle name="Output 2 2 4 2 4" xfId="21992" xr:uid="{00000000-0005-0000-0000-00002E980000}"/>
    <cellStyle name="Output 2 2 4 2 4 2" xfId="41334" xr:uid="{00000000-0005-0000-0000-00002F980000}"/>
    <cellStyle name="Output 2 2 4 2 5" xfId="33933" xr:uid="{00000000-0005-0000-0000-000030980000}"/>
    <cellStyle name="Output 2 2 4 3" xfId="15132" xr:uid="{00000000-0005-0000-0000-000031980000}"/>
    <cellStyle name="Output 2 2 4 3 2" xfId="17608" xr:uid="{00000000-0005-0000-0000-000032980000}"/>
    <cellStyle name="Output 2 2 4 3 2 2" xfId="36962" xr:uid="{00000000-0005-0000-0000-000033980000}"/>
    <cellStyle name="Output 2 2 4 3 3" xfId="20039" xr:uid="{00000000-0005-0000-0000-000034980000}"/>
    <cellStyle name="Output 2 2 4 3 3 2" xfId="39392" xr:uid="{00000000-0005-0000-0000-000035980000}"/>
    <cellStyle name="Output 2 2 4 3 4" xfId="22552" xr:uid="{00000000-0005-0000-0000-000036980000}"/>
    <cellStyle name="Output 2 2 4 3 4 2" xfId="41894" xr:uid="{00000000-0005-0000-0000-000037980000}"/>
    <cellStyle name="Output 2 2 4 3 5" xfId="34493" xr:uid="{00000000-0005-0000-0000-000038980000}"/>
    <cellStyle name="Output 2 2 4 4" xfId="15613" xr:uid="{00000000-0005-0000-0000-000039980000}"/>
    <cellStyle name="Output 2 2 4 4 2" xfId="18089" xr:uid="{00000000-0005-0000-0000-00003A980000}"/>
    <cellStyle name="Output 2 2 4 4 2 2" xfId="37443" xr:uid="{00000000-0005-0000-0000-00003B980000}"/>
    <cellStyle name="Output 2 2 4 4 3" xfId="20520" xr:uid="{00000000-0005-0000-0000-00003C980000}"/>
    <cellStyle name="Output 2 2 4 4 3 2" xfId="39873" xr:uid="{00000000-0005-0000-0000-00003D980000}"/>
    <cellStyle name="Output 2 2 4 4 4" xfId="23033" xr:uid="{00000000-0005-0000-0000-00003E980000}"/>
    <cellStyle name="Output 2 2 4 4 4 2" xfId="42375" xr:uid="{00000000-0005-0000-0000-00003F980000}"/>
    <cellStyle name="Output 2 2 4 4 5" xfId="34974" xr:uid="{00000000-0005-0000-0000-000040980000}"/>
    <cellStyle name="Output 2 2 4 5" xfId="16288" xr:uid="{00000000-0005-0000-0000-000041980000}"/>
    <cellStyle name="Output 2 2 4 5 2" xfId="35642" xr:uid="{00000000-0005-0000-0000-000042980000}"/>
    <cellStyle name="Output 2 2 4 6" xfId="18719" xr:uid="{00000000-0005-0000-0000-000043980000}"/>
    <cellStyle name="Output 2 2 4 6 2" xfId="38072" xr:uid="{00000000-0005-0000-0000-000044980000}"/>
    <cellStyle name="Output 2 2 4 7" xfId="21196" xr:uid="{00000000-0005-0000-0000-000045980000}"/>
    <cellStyle name="Output 2 2 4 7 2" xfId="40538" xr:uid="{00000000-0005-0000-0000-000046980000}"/>
    <cellStyle name="Output 2 2 4 8" xfId="33137" xr:uid="{00000000-0005-0000-0000-000047980000}"/>
    <cellStyle name="Output 2 2 5" xfId="14000" xr:uid="{00000000-0005-0000-0000-000048980000}"/>
    <cellStyle name="Output 2 2 5 2" xfId="14795" xr:uid="{00000000-0005-0000-0000-000049980000}"/>
    <cellStyle name="Output 2 2 5 2 2" xfId="17273" xr:uid="{00000000-0005-0000-0000-00004A980000}"/>
    <cellStyle name="Output 2 2 5 2 2 2" xfId="36627" xr:uid="{00000000-0005-0000-0000-00004B980000}"/>
    <cellStyle name="Output 2 2 5 2 3" xfId="19704" xr:uid="{00000000-0005-0000-0000-00004C980000}"/>
    <cellStyle name="Output 2 2 5 2 3 2" xfId="39057" xr:uid="{00000000-0005-0000-0000-00004D980000}"/>
    <cellStyle name="Output 2 2 5 2 4" xfId="22215" xr:uid="{00000000-0005-0000-0000-00004E980000}"/>
    <cellStyle name="Output 2 2 5 2 4 2" xfId="41557" xr:uid="{00000000-0005-0000-0000-00004F980000}"/>
    <cellStyle name="Output 2 2 5 2 5" xfId="34156" xr:uid="{00000000-0005-0000-0000-000050980000}"/>
    <cellStyle name="Output 2 2 5 3" xfId="15343" xr:uid="{00000000-0005-0000-0000-000051980000}"/>
    <cellStyle name="Output 2 2 5 3 2" xfId="17819" xr:uid="{00000000-0005-0000-0000-000052980000}"/>
    <cellStyle name="Output 2 2 5 3 2 2" xfId="37173" xr:uid="{00000000-0005-0000-0000-000053980000}"/>
    <cellStyle name="Output 2 2 5 3 3" xfId="20250" xr:uid="{00000000-0005-0000-0000-000054980000}"/>
    <cellStyle name="Output 2 2 5 3 3 2" xfId="39603" xr:uid="{00000000-0005-0000-0000-000055980000}"/>
    <cellStyle name="Output 2 2 5 3 4" xfId="22763" xr:uid="{00000000-0005-0000-0000-000056980000}"/>
    <cellStyle name="Output 2 2 5 3 4 2" xfId="42105" xr:uid="{00000000-0005-0000-0000-000057980000}"/>
    <cellStyle name="Output 2 2 5 3 5" xfId="34704" xr:uid="{00000000-0005-0000-0000-000058980000}"/>
    <cellStyle name="Output 2 2 5 4" xfId="15802" xr:uid="{00000000-0005-0000-0000-000059980000}"/>
    <cellStyle name="Output 2 2 5 4 2" xfId="18278" xr:uid="{00000000-0005-0000-0000-00005A980000}"/>
    <cellStyle name="Output 2 2 5 4 2 2" xfId="37632" xr:uid="{00000000-0005-0000-0000-00005B980000}"/>
    <cellStyle name="Output 2 2 5 4 3" xfId="20709" xr:uid="{00000000-0005-0000-0000-00005C980000}"/>
    <cellStyle name="Output 2 2 5 4 3 2" xfId="40062" xr:uid="{00000000-0005-0000-0000-00005D980000}"/>
    <cellStyle name="Output 2 2 5 4 4" xfId="23222" xr:uid="{00000000-0005-0000-0000-00005E980000}"/>
    <cellStyle name="Output 2 2 5 4 4 2" xfId="42564" xr:uid="{00000000-0005-0000-0000-00005F980000}"/>
    <cellStyle name="Output 2 2 5 4 5" xfId="35163" xr:uid="{00000000-0005-0000-0000-000060980000}"/>
    <cellStyle name="Output 2 2 5 5" xfId="16506" xr:uid="{00000000-0005-0000-0000-000061980000}"/>
    <cellStyle name="Output 2 2 5 5 2" xfId="35860" xr:uid="{00000000-0005-0000-0000-000062980000}"/>
    <cellStyle name="Output 2 2 5 6" xfId="18937" xr:uid="{00000000-0005-0000-0000-000063980000}"/>
    <cellStyle name="Output 2 2 5 6 2" xfId="38290" xr:uid="{00000000-0005-0000-0000-000064980000}"/>
    <cellStyle name="Output 2 2 5 7" xfId="21423" xr:uid="{00000000-0005-0000-0000-000065980000}"/>
    <cellStyle name="Output 2 2 5 7 2" xfId="40765" xr:uid="{00000000-0005-0000-0000-000066980000}"/>
    <cellStyle name="Output 2 2 5 8" xfId="33364" xr:uid="{00000000-0005-0000-0000-000067980000}"/>
    <cellStyle name="Output 2 2 6" xfId="14290" xr:uid="{00000000-0005-0000-0000-000068980000}"/>
    <cellStyle name="Output 2 2 6 2" xfId="16789" xr:uid="{00000000-0005-0000-0000-000069980000}"/>
    <cellStyle name="Output 2 2 6 2 2" xfId="36143" xr:uid="{00000000-0005-0000-0000-00006A980000}"/>
    <cellStyle name="Output 2 2 6 3" xfId="19220" xr:uid="{00000000-0005-0000-0000-00006B980000}"/>
    <cellStyle name="Output 2 2 6 3 2" xfId="38573" xr:uid="{00000000-0005-0000-0000-00006C980000}"/>
    <cellStyle name="Output 2 2 6 4" xfId="21710" xr:uid="{00000000-0005-0000-0000-00006D980000}"/>
    <cellStyle name="Output 2 2 6 4 2" xfId="41052" xr:uid="{00000000-0005-0000-0000-00006E980000}"/>
    <cellStyle name="Output 2 2 6 5" xfId="33651" xr:uid="{00000000-0005-0000-0000-00006F980000}"/>
    <cellStyle name="Output 2 2 7" xfId="13457" xr:uid="{00000000-0005-0000-0000-000070980000}"/>
    <cellStyle name="Output 2 2 7 2" xfId="32836" xr:uid="{00000000-0005-0000-0000-000071980000}"/>
    <cellStyle name="Output 2 2 8" xfId="16027" xr:uid="{00000000-0005-0000-0000-000072980000}"/>
    <cellStyle name="Output 2 2 8 2" xfId="35381" xr:uid="{00000000-0005-0000-0000-000073980000}"/>
    <cellStyle name="Output 2 2 9" xfId="13365" xr:uid="{00000000-0005-0000-0000-000074980000}"/>
    <cellStyle name="Output 2 2 9 2" xfId="32764" xr:uid="{00000000-0005-0000-0000-000075980000}"/>
    <cellStyle name="Output 2 3" xfId="4118" xr:uid="{00000000-0005-0000-0000-000076980000}"/>
    <cellStyle name="Output 2 3 10" xfId="20979" xr:uid="{00000000-0005-0000-0000-000077980000}"/>
    <cellStyle name="Output 2 3 10 2" xfId="40321" xr:uid="{00000000-0005-0000-0000-000078980000}"/>
    <cellStyle name="Output 2 3 2" xfId="13604" xr:uid="{00000000-0005-0000-0000-000079980000}"/>
    <cellStyle name="Output 2 3 2 2" xfId="13905" xr:uid="{00000000-0005-0000-0000-00007A980000}"/>
    <cellStyle name="Output 2 3 2 2 2" xfId="14700" xr:uid="{00000000-0005-0000-0000-00007B980000}"/>
    <cellStyle name="Output 2 3 2 2 2 2" xfId="17178" xr:uid="{00000000-0005-0000-0000-00007C980000}"/>
    <cellStyle name="Output 2 3 2 2 2 2 2" xfId="36532" xr:uid="{00000000-0005-0000-0000-00007D980000}"/>
    <cellStyle name="Output 2 3 2 2 2 3" xfId="19609" xr:uid="{00000000-0005-0000-0000-00007E980000}"/>
    <cellStyle name="Output 2 3 2 2 2 3 2" xfId="38962" xr:uid="{00000000-0005-0000-0000-00007F980000}"/>
    <cellStyle name="Output 2 3 2 2 2 4" xfId="22120" xr:uid="{00000000-0005-0000-0000-000080980000}"/>
    <cellStyle name="Output 2 3 2 2 2 4 2" xfId="41462" xr:uid="{00000000-0005-0000-0000-000081980000}"/>
    <cellStyle name="Output 2 3 2 2 2 5" xfId="34061" xr:uid="{00000000-0005-0000-0000-000082980000}"/>
    <cellStyle name="Output 2 3 2 2 3" xfId="15248" xr:uid="{00000000-0005-0000-0000-000083980000}"/>
    <cellStyle name="Output 2 3 2 2 3 2" xfId="17724" xr:uid="{00000000-0005-0000-0000-000084980000}"/>
    <cellStyle name="Output 2 3 2 2 3 2 2" xfId="37078" xr:uid="{00000000-0005-0000-0000-000085980000}"/>
    <cellStyle name="Output 2 3 2 2 3 3" xfId="20155" xr:uid="{00000000-0005-0000-0000-000086980000}"/>
    <cellStyle name="Output 2 3 2 2 3 3 2" xfId="39508" xr:uid="{00000000-0005-0000-0000-000087980000}"/>
    <cellStyle name="Output 2 3 2 2 3 4" xfId="22668" xr:uid="{00000000-0005-0000-0000-000088980000}"/>
    <cellStyle name="Output 2 3 2 2 3 4 2" xfId="42010" xr:uid="{00000000-0005-0000-0000-000089980000}"/>
    <cellStyle name="Output 2 3 2 2 3 5" xfId="34609" xr:uid="{00000000-0005-0000-0000-00008A980000}"/>
    <cellStyle name="Output 2 3 2 2 4" xfId="15707" xr:uid="{00000000-0005-0000-0000-00008B980000}"/>
    <cellStyle name="Output 2 3 2 2 4 2" xfId="18183" xr:uid="{00000000-0005-0000-0000-00008C980000}"/>
    <cellStyle name="Output 2 3 2 2 4 2 2" xfId="37537" xr:uid="{00000000-0005-0000-0000-00008D980000}"/>
    <cellStyle name="Output 2 3 2 2 4 3" xfId="20614" xr:uid="{00000000-0005-0000-0000-00008E980000}"/>
    <cellStyle name="Output 2 3 2 2 4 3 2" xfId="39967" xr:uid="{00000000-0005-0000-0000-00008F980000}"/>
    <cellStyle name="Output 2 3 2 2 4 4" xfId="23127" xr:uid="{00000000-0005-0000-0000-000090980000}"/>
    <cellStyle name="Output 2 3 2 2 4 4 2" xfId="42469" xr:uid="{00000000-0005-0000-0000-000091980000}"/>
    <cellStyle name="Output 2 3 2 2 4 5" xfId="35068" xr:uid="{00000000-0005-0000-0000-000092980000}"/>
    <cellStyle name="Output 2 3 2 2 5" xfId="16411" xr:uid="{00000000-0005-0000-0000-000093980000}"/>
    <cellStyle name="Output 2 3 2 2 5 2" xfId="35765" xr:uid="{00000000-0005-0000-0000-000094980000}"/>
    <cellStyle name="Output 2 3 2 2 6" xfId="18842" xr:uid="{00000000-0005-0000-0000-000095980000}"/>
    <cellStyle name="Output 2 3 2 2 6 2" xfId="38195" xr:uid="{00000000-0005-0000-0000-000096980000}"/>
    <cellStyle name="Output 2 3 2 2 7" xfId="21328" xr:uid="{00000000-0005-0000-0000-000097980000}"/>
    <cellStyle name="Output 2 3 2 2 7 2" xfId="40670" xr:uid="{00000000-0005-0000-0000-000098980000}"/>
    <cellStyle name="Output 2 3 2 2 8" xfId="33269" xr:uid="{00000000-0005-0000-0000-000099980000}"/>
    <cellStyle name="Output 2 3 2 3" xfId="14120" xr:uid="{00000000-0005-0000-0000-00009A980000}"/>
    <cellStyle name="Output 2 3 2 3 2" xfId="14901" xr:uid="{00000000-0005-0000-0000-00009B980000}"/>
    <cellStyle name="Output 2 3 2 3 2 2" xfId="17379" xr:uid="{00000000-0005-0000-0000-00009C980000}"/>
    <cellStyle name="Output 2 3 2 3 2 2 2" xfId="36733" xr:uid="{00000000-0005-0000-0000-00009D980000}"/>
    <cellStyle name="Output 2 3 2 3 2 3" xfId="19810" xr:uid="{00000000-0005-0000-0000-00009E980000}"/>
    <cellStyle name="Output 2 3 2 3 2 3 2" xfId="39163" xr:uid="{00000000-0005-0000-0000-00009F980000}"/>
    <cellStyle name="Output 2 3 2 3 2 4" xfId="22321" xr:uid="{00000000-0005-0000-0000-0000A0980000}"/>
    <cellStyle name="Output 2 3 2 3 2 4 2" xfId="41663" xr:uid="{00000000-0005-0000-0000-0000A1980000}"/>
    <cellStyle name="Output 2 3 2 3 2 5" xfId="34262" xr:uid="{00000000-0005-0000-0000-0000A2980000}"/>
    <cellStyle name="Output 2 3 2 3 3" xfId="15448" xr:uid="{00000000-0005-0000-0000-0000A3980000}"/>
    <cellStyle name="Output 2 3 2 3 3 2" xfId="17924" xr:uid="{00000000-0005-0000-0000-0000A4980000}"/>
    <cellStyle name="Output 2 3 2 3 3 2 2" xfId="37278" xr:uid="{00000000-0005-0000-0000-0000A5980000}"/>
    <cellStyle name="Output 2 3 2 3 3 3" xfId="20355" xr:uid="{00000000-0005-0000-0000-0000A6980000}"/>
    <cellStyle name="Output 2 3 2 3 3 3 2" xfId="39708" xr:uid="{00000000-0005-0000-0000-0000A7980000}"/>
    <cellStyle name="Output 2 3 2 3 3 4" xfId="22868" xr:uid="{00000000-0005-0000-0000-0000A8980000}"/>
    <cellStyle name="Output 2 3 2 3 3 4 2" xfId="42210" xr:uid="{00000000-0005-0000-0000-0000A9980000}"/>
    <cellStyle name="Output 2 3 2 3 3 5" xfId="34809" xr:uid="{00000000-0005-0000-0000-0000AA980000}"/>
    <cellStyle name="Output 2 3 2 3 4" xfId="15907" xr:uid="{00000000-0005-0000-0000-0000AB980000}"/>
    <cellStyle name="Output 2 3 2 3 4 2" xfId="18383" xr:uid="{00000000-0005-0000-0000-0000AC980000}"/>
    <cellStyle name="Output 2 3 2 3 4 2 2" xfId="37737" xr:uid="{00000000-0005-0000-0000-0000AD980000}"/>
    <cellStyle name="Output 2 3 2 3 4 3" xfId="20814" xr:uid="{00000000-0005-0000-0000-0000AE980000}"/>
    <cellStyle name="Output 2 3 2 3 4 3 2" xfId="40167" xr:uid="{00000000-0005-0000-0000-0000AF980000}"/>
    <cellStyle name="Output 2 3 2 3 4 4" xfId="23327" xr:uid="{00000000-0005-0000-0000-0000B0980000}"/>
    <cellStyle name="Output 2 3 2 3 4 4 2" xfId="42669" xr:uid="{00000000-0005-0000-0000-0000B1980000}"/>
    <cellStyle name="Output 2 3 2 3 4 5" xfId="35268" xr:uid="{00000000-0005-0000-0000-0000B2980000}"/>
    <cellStyle name="Output 2 3 2 3 5" xfId="16626" xr:uid="{00000000-0005-0000-0000-0000B3980000}"/>
    <cellStyle name="Output 2 3 2 3 5 2" xfId="35980" xr:uid="{00000000-0005-0000-0000-0000B4980000}"/>
    <cellStyle name="Output 2 3 2 3 6" xfId="19057" xr:uid="{00000000-0005-0000-0000-0000B5980000}"/>
    <cellStyle name="Output 2 3 2 3 6 2" xfId="38410" xr:uid="{00000000-0005-0000-0000-0000B6980000}"/>
    <cellStyle name="Output 2 3 2 3 7" xfId="21543" xr:uid="{00000000-0005-0000-0000-0000B7980000}"/>
    <cellStyle name="Output 2 3 2 3 7 2" xfId="40885" xr:uid="{00000000-0005-0000-0000-0000B8980000}"/>
    <cellStyle name="Output 2 3 2 3 8" xfId="33484" xr:uid="{00000000-0005-0000-0000-0000B9980000}"/>
    <cellStyle name="Output 2 3 2 4" xfId="14415" xr:uid="{00000000-0005-0000-0000-0000BA980000}"/>
    <cellStyle name="Output 2 3 2 4 2" xfId="16905" xr:uid="{00000000-0005-0000-0000-0000BB980000}"/>
    <cellStyle name="Output 2 3 2 4 2 2" xfId="36259" xr:uid="{00000000-0005-0000-0000-0000BC980000}"/>
    <cellStyle name="Output 2 3 2 4 3" xfId="19336" xr:uid="{00000000-0005-0000-0000-0000BD980000}"/>
    <cellStyle name="Output 2 3 2 4 3 2" xfId="38689" xr:uid="{00000000-0005-0000-0000-0000BE980000}"/>
    <cellStyle name="Output 2 3 2 4 4" xfId="21835" xr:uid="{00000000-0005-0000-0000-0000BF980000}"/>
    <cellStyle name="Output 2 3 2 4 4 2" xfId="41177" xr:uid="{00000000-0005-0000-0000-0000C0980000}"/>
    <cellStyle name="Output 2 3 2 4 5" xfId="33776" xr:uid="{00000000-0005-0000-0000-0000C1980000}"/>
    <cellStyle name="Output 2 3 2 5" xfId="18555" xr:uid="{00000000-0005-0000-0000-0000C2980000}"/>
    <cellStyle name="Output 2 3 2 5 2" xfId="37908" xr:uid="{00000000-0005-0000-0000-0000C3980000}"/>
    <cellStyle name="Output 2 3 2 6" xfId="32970" xr:uid="{00000000-0005-0000-0000-0000C4980000}"/>
    <cellStyle name="Output 2 3 3" xfId="13671" xr:uid="{00000000-0005-0000-0000-0000C5980000}"/>
    <cellStyle name="Output 2 3 3 2" xfId="13969" xr:uid="{00000000-0005-0000-0000-0000C6980000}"/>
    <cellStyle name="Output 2 3 3 2 2" xfId="14764" xr:uid="{00000000-0005-0000-0000-0000C7980000}"/>
    <cellStyle name="Output 2 3 3 2 2 2" xfId="17242" xr:uid="{00000000-0005-0000-0000-0000C8980000}"/>
    <cellStyle name="Output 2 3 3 2 2 2 2" xfId="36596" xr:uid="{00000000-0005-0000-0000-0000C9980000}"/>
    <cellStyle name="Output 2 3 3 2 2 3" xfId="19673" xr:uid="{00000000-0005-0000-0000-0000CA980000}"/>
    <cellStyle name="Output 2 3 3 2 2 3 2" xfId="39026" xr:uid="{00000000-0005-0000-0000-0000CB980000}"/>
    <cellStyle name="Output 2 3 3 2 2 4" xfId="22184" xr:uid="{00000000-0005-0000-0000-0000CC980000}"/>
    <cellStyle name="Output 2 3 3 2 2 4 2" xfId="41526" xr:uid="{00000000-0005-0000-0000-0000CD980000}"/>
    <cellStyle name="Output 2 3 3 2 2 5" xfId="34125" xr:uid="{00000000-0005-0000-0000-0000CE980000}"/>
    <cellStyle name="Output 2 3 3 2 3" xfId="15312" xr:uid="{00000000-0005-0000-0000-0000CF980000}"/>
    <cellStyle name="Output 2 3 3 2 3 2" xfId="17788" xr:uid="{00000000-0005-0000-0000-0000D0980000}"/>
    <cellStyle name="Output 2 3 3 2 3 2 2" xfId="37142" xr:uid="{00000000-0005-0000-0000-0000D1980000}"/>
    <cellStyle name="Output 2 3 3 2 3 3" xfId="20219" xr:uid="{00000000-0005-0000-0000-0000D2980000}"/>
    <cellStyle name="Output 2 3 3 2 3 3 2" xfId="39572" xr:uid="{00000000-0005-0000-0000-0000D3980000}"/>
    <cellStyle name="Output 2 3 3 2 3 4" xfId="22732" xr:uid="{00000000-0005-0000-0000-0000D4980000}"/>
    <cellStyle name="Output 2 3 3 2 3 4 2" xfId="42074" xr:uid="{00000000-0005-0000-0000-0000D5980000}"/>
    <cellStyle name="Output 2 3 3 2 3 5" xfId="34673" xr:uid="{00000000-0005-0000-0000-0000D6980000}"/>
    <cellStyle name="Output 2 3 3 2 4" xfId="15771" xr:uid="{00000000-0005-0000-0000-0000D7980000}"/>
    <cellStyle name="Output 2 3 3 2 4 2" xfId="18247" xr:uid="{00000000-0005-0000-0000-0000D8980000}"/>
    <cellStyle name="Output 2 3 3 2 4 2 2" xfId="37601" xr:uid="{00000000-0005-0000-0000-0000D9980000}"/>
    <cellStyle name="Output 2 3 3 2 4 3" xfId="20678" xr:uid="{00000000-0005-0000-0000-0000DA980000}"/>
    <cellStyle name="Output 2 3 3 2 4 3 2" xfId="40031" xr:uid="{00000000-0005-0000-0000-0000DB980000}"/>
    <cellStyle name="Output 2 3 3 2 4 4" xfId="23191" xr:uid="{00000000-0005-0000-0000-0000DC980000}"/>
    <cellStyle name="Output 2 3 3 2 4 4 2" xfId="42533" xr:uid="{00000000-0005-0000-0000-0000DD980000}"/>
    <cellStyle name="Output 2 3 3 2 4 5" xfId="35132" xr:uid="{00000000-0005-0000-0000-0000DE980000}"/>
    <cellStyle name="Output 2 3 3 2 5" xfId="16475" xr:uid="{00000000-0005-0000-0000-0000DF980000}"/>
    <cellStyle name="Output 2 3 3 2 5 2" xfId="35829" xr:uid="{00000000-0005-0000-0000-0000E0980000}"/>
    <cellStyle name="Output 2 3 3 2 6" xfId="18906" xr:uid="{00000000-0005-0000-0000-0000E1980000}"/>
    <cellStyle name="Output 2 3 3 2 6 2" xfId="38259" xr:uid="{00000000-0005-0000-0000-0000E2980000}"/>
    <cellStyle name="Output 2 3 3 2 7" xfId="21392" xr:uid="{00000000-0005-0000-0000-0000E3980000}"/>
    <cellStyle name="Output 2 3 3 2 7 2" xfId="40734" xr:uid="{00000000-0005-0000-0000-0000E4980000}"/>
    <cellStyle name="Output 2 3 3 2 8" xfId="33333" xr:uid="{00000000-0005-0000-0000-0000E5980000}"/>
    <cellStyle name="Output 2 3 3 3" xfId="14182" xr:uid="{00000000-0005-0000-0000-0000E6980000}"/>
    <cellStyle name="Output 2 3 3 3 2" xfId="14959" xr:uid="{00000000-0005-0000-0000-0000E7980000}"/>
    <cellStyle name="Output 2 3 3 3 2 2" xfId="17437" xr:uid="{00000000-0005-0000-0000-0000E8980000}"/>
    <cellStyle name="Output 2 3 3 3 2 2 2" xfId="36791" xr:uid="{00000000-0005-0000-0000-0000E9980000}"/>
    <cellStyle name="Output 2 3 3 3 2 3" xfId="19868" xr:uid="{00000000-0005-0000-0000-0000EA980000}"/>
    <cellStyle name="Output 2 3 3 3 2 3 2" xfId="39221" xr:uid="{00000000-0005-0000-0000-0000EB980000}"/>
    <cellStyle name="Output 2 3 3 3 2 4" xfId="22379" xr:uid="{00000000-0005-0000-0000-0000EC980000}"/>
    <cellStyle name="Output 2 3 3 3 2 4 2" xfId="41721" xr:uid="{00000000-0005-0000-0000-0000ED980000}"/>
    <cellStyle name="Output 2 3 3 3 2 5" xfId="34320" xr:uid="{00000000-0005-0000-0000-0000EE980000}"/>
    <cellStyle name="Output 2 3 3 3 3" xfId="15505" xr:uid="{00000000-0005-0000-0000-0000EF980000}"/>
    <cellStyle name="Output 2 3 3 3 3 2" xfId="17981" xr:uid="{00000000-0005-0000-0000-0000F0980000}"/>
    <cellStyle name="Output 2 3 3 3 3 2 2" xfId="37335" xr:uid="{00000000-0005-0000-0000-0000F1980000}"/>
    <cellStyle name="Output 2 3 3 3 3 3" xfId="20412" xr:uid="{00000000-0005-0000-0000-0000F2980000}"/>
    <cellStyle name="Output 2 3 3 3 3 3 2" xfId="39765" xr:uid="{00000000-0005-0000-0000-0000F3980000}"/>
    <cellStyle name="Output 2 3 3 3 3 4" xfId="22925" xr:uid="{00000000-0005-0000-0000-0000F4980000}"/>
    <cellStyle name="Output 2 3 3 3 3 4 2" xfId="42267" xr:uid="{00000000-0005-0000-0000-0000F5980000}"/>
    <cellStyle name="Output 2 3 3 3 3 5" xfId="34866" xr:uid="{00000000-0005-0000-0000-0000F6980000}"/>
    <cellStyle name="Output 2 3 3 3 4" xfId="15964" xr:uid="{00000000-0005-0000-0000-0000F7980000}"/>
    <cellStyle name="Output 2 3 3 3 4 2" xfId="18440" xr:uid="{00000000-0005-0000-0000-0000F8980000}"/>
    <cellStyle name="Output 2 3 3 3 4 2 2" xfId="37794" xr:uid="{00000000-0005-0000-0000-0000F9980000}"/>
    <cellStyle name="Output 2 3 3 3 4 3" xfId="20871" xr:uid="{00000000-0005-0000-0000-0000FA980000}"/>
    <cellStyle name="Output 2 3 3 3 4 3 2" xfId="40224" xr:uid="{00000000-0005-0000-0000-0000FB980000}"/>
    <cellStyle name="Output 2 3 3 3 4 4" xfId="23384" xr:uid="{00000000-0005-0000-0000-0000FC980000}"/>
    <cellStyle name="Output 2 3 3 3 4 4 2" xfId="42726" xr:uid="{00000000-0005-0000-0000-0000FD980000}"/>
    <cellStyle name="Output 2 3 3 3 4 5" xfId="35325" xr:uid="{00000000-0005-0000-0000-0000FE980000}"/>
    <cellStyle name="Output 2 3 3 3 5" xfId="16688" xr:uid="{00000000-0005-0000-0000-0000FF980000}"/>
    <cellStyle name="Output 2 3 3 3 5 2" xfId="36042" xr:uid="{00000000-0005-0000-0000-000000990000}"/>
    <cellStyle name="Output 2 3 3 3 6" xfId="19119" xr:uid="{00000000-0005-0000-0000-000001990000}"/>
    <cellStyle name="Output 2 3 3 3 6 2" xfId="38472" xr:uid="{00000000-0005-0000-0000-000002990000}"/>
    <cellStyle name="Output 2 3 3 3 7" xfId="21605" xr:uid="{00000000-0005-0000-0000-000003990000}"/>
    <cellStyle name="Output 2 3 3 3 7 2" xfId="40947" xr:uid="{00000000-0005-0000-0000-000004990000}"/>
    <cellStyle name="Output 2 3 3 3 8" xfId="33546" xr:uid="{00000000-0005-0000-0000-000005990000}"/>
    <cellStyle name="Output 2 3 3 4" xfId="14479" xr:uid="{00000000-0005-0000-0000-000006990000}"/>
    <cellStyle name="Output 2 3 3 4 2" xfId="16969" xr:uid="{00000000-0005-0000-0000-000007990000}"/>
    <cellStyle name="Output 2 3 3 4 2 2" xfId="36323" xr:uid="{00000000-0005-0000-0000-000008990000}"/>
    <cellStyle name="Output 2 3 3 4 3" xfId="19400" xr:uid="{00000000-0005-0000-0000-000009990000}"/>
    <cellStyle name="Output 2 3 3 4 3 2" xfId="38753" xr:uid="{00000000-0005-0000-0000-00000A990000}"/>
    <cellStyle name="Output 2 3 3 4 4" xfId="21899" xr:uid="{00000000-0005-0000-0000-00000B990000}"/>
    <cellStyle name="Output 2 3 3 4 4 2" xfId="41241" xr:uid="{00000000-0005-0000-0000-00000C990000}"/>
    <cellStyle name="Output 2 3 3 4 5" xfId="33840" xr:uid="{00000000-0005-0000-0000-00000D990000}"/>
    <cellStyle name="Output 2 3 3 5" xfId="16191" xr:uid="{00000000-0005-0000-0000-00000E990000}"/>
    <cellStyle name="Output 2 3 3 5 2" xfId="35545" xr:uid="{00000000-0005-0000-0000-00000F990000}"/>
    <cellStyle name="Output 2 3 3 6" xfId="18622" xr:uid="{00000000-0005-0000-0000-000010990000}"/>
    <cellStyle name="Output 2 3 3 6 2" xfId="37975" xr:uid="{00000000-0005-0000-0000-000011990000}"/>
    <cellStyle name="Output 2 3 3 7" xfId="21096" xr:uid="{00000000-0005-0000-0000-000012990000}"/>
    <cellStyle name="Output 2 3 3 7 2" xfId="40438" xr:uid="{00000000-0005-0000-0000-000013990000}"/>
    <cellStyle name="Output 2 3 3 8" xfId="33037" xr:uid="{00000000-0005-0000-0000-000014990000}"/>
    <cellStyle name="Output 2 3 4" xfId="13792" xr:uid="{00000000-0005-0000-0000-000015990000}"/>
    <cellStyle name="Output 2 3 4 2" xfId="14591" xr:uid="{00000000-0005-0000-0000-000016990000}"/>
    <cellStyle name="Output 2 3 4 2 2" xfId="17075" xr:uid="{00000000-0005-0000-0000-000017990000}"/>
    <cellStyle name="Output 2 3 4 2 2 2" xfId="36429" xr:uid="{00000000-0005-0000-0000-000018990000}"/>
    <cellStyle name="Output 2 3 4 2 3" xfId="19506" xr:uid="{00000000-0005-0000-0000-000019990000}"/>
    <cellStyle name="Output 2 3 4 2 3 2" xfId="38859" xr:uid="{00000000-0005-0000-0000-00001A990000}"/>
    <cellStyle name="Output 2 3 4 2 4" xfId="22011" xr:uid="{00000000-0005-0000-0000-00001B990000}"/>
    <cellStyle name="Output 2 3 4 2 4 2" xfId="41353" xr:uid="{00000000-0005-0000-0000-00001C990000}"/>
    <cellStyle name="Output 2 3 4 2 5" xfId="33952" xr:uid="{00000000-0005-0000-0000-00001D990000}"/>
    <cellStyle name="Output 2 3 4 3" xfId="15148" xr:uid="{00000000-0005-0000-0000-00001E990000}"/>
    <cellStyle name="Output 2 3 4 3 2" xfId="17624" xr:uid="{00000000-0005-0000-0000-00001F990000}"/>
    <cellStyle name="Output 2 3 4 3 2 2" xfId="36978" xr:uid="{00000000-0005-0000-0000-000020990000}"/>
    <cellStyle name="Output 2 3 4 3 3" xfId="20055" xr:uid="{00000000-0005-0000-0000-000021990000}"/>
    <cellStyle name="Output 2 3 4 3 3 2" xfId="39408" xr:uid="{00000000-0005-0000-0000-000022990000}"/>
    <cellStyle name="Output 2 3 4 3 4" xfId="22568" xr:uid="{00000000-0005-0000-0000-000023990000}"/>
    <cellStyle name="Output 2 3 4 3 4 2" xfId="41910" xr:uid="{00000000-0005-0000-0000-000024990000}"/>
    <cellStyle name="Output 2 3 4 3 5" xfId="34509" xr:uid="{00000000-0005-0000-0000-000025990000}"/>
    <cellStyle name="Output 2 3 4 4" xfId="15629" xr:uid="{00000000-0005-0000-0000-000026990000}"/>
    <cellStyle name="Output 2 3 4 4 2" xfId="18105" xr:uid="{00000000-0005-0000-0000-000027990000}"/>
    <cellStyle name="Output 2 3 4 4 2 2" xfId="37459" xr:uid="{00000000-0005-0000-0000-000028990000}"/>
    <cellStyle name="Output 2 3 4 4 3" xfId="20536" xr:uid="{00000000-0005-0000-0000-000029990000}"/>
    <cellStyle name="Output 2 3 4 4 3 2" xfId="39889" xr:uid="{00000000-0005-0000-0000-00002A990000}"/>
    <cellStyle name="Output 2 3 4 4 4" xfId="23049" xr:uid="{00000000-0005-0000-0000-00002B990000}"/>
    <cellStyle name="Output 2 3 4 4 4 2" xfId="42391" xr:uid="{00000000-0005-0000-0000-00002C990000}"/>
    <cellStyle name="Output 2 3 4 4 5" xfId="34990" xr:uid="{00000000-0005-0000-0000-00002D990000}"/>
    <cellStyle name="Output 2 3 4 5" xfId="16304" xr:uid="{00000000-0005-0000-0000-00002E990000}"/>
    <cellStyle name="Output 2 3 4 5 2" xfId="35658" xr:uid="{00000000-0005-0000-0000-00002F990000}"/>
    <cellStyle name="Output 2 3 4 6" xfId="18735" xr:uid="{00000000-0005-0000-0000-000030990000}"/>
    <cellStyle name="Output 2 3 4 6 2" xfId="38088" xr:uid="{00000000-0005-0000-0000-000031990000}"/>
    <cellStyle name="Output 2 3 4 7" xfId="21215" xr:uid="{00000000-0005-0000-0000-000032990000}"/>
    <cellStyle name="Output 2 3 4 7 2" xfId="40557" xr:uid="{00000000-0005-0000-0000-000033990000}"/>
    <cellStyle name="Output 2 3 4 8" xfId="33156" xr:uid="{00000000-0005-0000-0000-000034990000}"/>
    <cellStyle name="Output 2 3 5" xfId="14018" xr:uid="{00000000-0005-0000-0000-000035990000}"/>
    <cellStyle name="Output 2 3 5 2" xfId="14813" xr:uid="{00000000-0005-0000-0000-000036990000}"/>
    <cellStyle name="Output 2 3 5 2 2" xfId="17291" xr:uid="{00000000-0005-0000-0000-000037990000}"/>
    <cellStyle name="Output 2 3 5 2 2 2" xfId="36645" xr:uid="{00000000-0005-0000-0000-000038990000}"/>
    <cellStyle name="Output 2 3 5 2 3" xfId="19722" xr:uid="{00000000-0005-0000-0000-000039990000}"/>
    <cellStyle name="Output 2 3 5 2 3 2" xfId="39075" xr:uid="{00000000-0005-0000-0000-00003A990000}"/>
    <cellStyle name="Output 2 3 5 2 4" xfId="22233" xr:uid="{00000000-0005-0000-0000-00003B990000}"/>
    <cellStyle name="Output 2 3 5 2 4 2" xfId="41575" xr:uid="{00000000-0005-0000-0000-00003C990000}"/>
    <cellStyle name="Output 2 3 5 2 5" xfId="34174" xr:uid="{00000000-0005-0000-0000-00003D990000}"/>
    <cellStyle name="Output 2 3 5 3" xfId="15361" xr:uid="{00000000-0005-0000-0000-00003E990000}"/>
    <cellStyle name="Output 2 3 5 3 2" xfId="17837" xr:uid="{00000000-0005-0000-0000-00003F990000}"/>
    <cellStyle name="Output 2 3 5 3 2 2" xfId="37191" xr:uid="{00000000-0005-0000-0000-000040990000}"/>
    <cellStyle name="Output 2 3 5 3 3" xfId="20268" xr:uid="{00000000-0005-0000-0000-000041990000}"/>
    <cellStyle name="Output 2 3 5 3 3 2" xfId="39621" xr:uid="{00000000-0005-0000-0000-000042990000}"/>
    <cellStyle name="Output 2 3 5 3 4" xfId="22781" xr:uid="{00000000-0005-0000-0000-000043990000}"/>
    <cellStyle name="Output 2 3 5 3 4 2" xfId="42123" xr:uid="{00000000-0005-0000-0000-000044990000}"/>
    <cellStyle name="Output 2 3 5 3 5" xfId="34722" xr:uid="{00000000-0005-0000-0000-000045990000}"/>
    <cellStyle name="Output 2 3 5 4" xfId="15820" xr:uid="{00000000-0005-0000-0000-000046990000}"/>
    <cellStyle name="Output 2 3 5 4 2" xfId="18296" xr:uid="{00000000-0005-0000-0000-000047990000}"/>
    <cellStyle name="Output 2 3 5 4 2 2" xfId="37650" xr:uid="{00000000-0005-0000-0000-000048990000}"/>
    <cellStyle name="Output 2 3 5 4 3" xfId="20727" xr:uid="{00000000-0005-0000-0000-000049990000}"/>
    <cellStyle name="Output 2 3 5 4 3 2" xfId="40080" xr:uid="{00000000-0005-0000-0000-00004A990000}"/>
    <cellStyle name="Output 2 3 5 4 4" xfId="23240" xr:uid="{00000000-0005-0000-0000-00004B990000}"/>
    <cellStyle name="Output 2 3 5 4 4 2" xfId="42582" xr:uid="{00000000-0005-0000-0000-00004C990000}"/>
    <cellStyle name="Output 2 3 5 4 5" xfId="35181" xr:uid="{00000000-0005-0000-0000-00004D990000}"/>
    <cellStyle name="Output 2 3 5 5" xfId="16524" xr:uid="{00000000-0005-0000-0000-00004E990000}"/>
    <cellStyle name="Output 2 3 5 5 2" xfId="35878" xr:uid="{00000000-0005-0000-0000-00004F990000}"/>
    <cellStyle name="Output 2 3 5 6" xfId="18955" xr:uid="{00000000-0005-0000-0000-000050990000}"/>
    <cellStyle name="Output 2 3 5 6 2" xfId="38308" xr:uid="{00000000-0005-0000-0000-000051990000}"/>
    <cellStyle name="Output 2 3 5 7" xfId="21441" xr:uid="{00000000-0005-0000-0000-000052990000}"/>
    <cellStyle name="Output 2 3 5 7 2" xfId="40783" xr:uid="{00000000-0005-0000-0000-000053990000}"/>
    <cellStyle name="Output 2 3 5 8" xfId="33382" xr:uid="{00000000-0005-0000-0000-000054990000}"/>
    <cellStyle name="Output 2 3 6" xfId="14310" xr:uid="{00000000-0005-0000-0000-000055990000}"/>
    <cellStyle name="Output 2 3 6 2" xfId="16806" xr:uid="{00000000-0005-0000-0000-000056990000}"/>
    <cellStyle name="Output 2 3 6 2 2" xfId="36160" xr:uid="{00000000-0005-0000-0000-000057990000}"/>
    <cellStyle name="Output 2 3 6 3" xfId="19237" xr:uid="{00000000-0005-0000-0000-000058990000}"/>
    <cellStyle name="Output 2 3 6 3 2" xfId="38590" xr:uid="{00000000-0005-0000-0000-000059990000}"/>
    <cellStyle name="Output 2 3 6 4" xfId="21730" xr:uid="{00000000-0005-0000-0000-00005A990000}"/>
    <cellStyle name="Output 2 3 6 4 2" xfId="41072" xr:uid="{00000000-0005-0000-0000-00005B990000}"/>
    <cellStyle name="Output 2 3 6 5" xfId="33671" xr:uid="{00000000-0005-0000-0000-00005C990000}"/>
    <cellStyle name="Output 2 3 7" xfId="13480" xr:uid="{00000000-0005-0000-0000-00005D990000}"/>
    <cellStyle name="Output 2 3 7 2" xfId="32858" xr:uid="{00000000-0005-0000-0000-00005E990000}"/>
    <cellStyle name="Output 2 3 8" xfId="16046" xr:uid="{00000000-0005-0000-0000-00005F990000}"/>
    <cellStyle name="Output 2 3 8 2" xfId="35400" xr:uid="{00000000-0005-0000-0000-000060990000}"/>
    <cellStyle name="Output 2 3 9" xfId="13405" xr:uid="{00000000-0005-0000-0000-000061990000}"/>
    <cellStyle name="Output 2 3 9 2" xfId="32791" xr:uid="{00000000-0005-0000-0000-000062990000}"/>
    <cellStyle name="Output 2 4" xfId="4887" xr:uid="{00000000-0005-0000-0000-000063990000}"/>
    <cellStyle name="Output 2 4 2" xfId="6642" xr:uid="{00000000-0005-0000-0000-000064990000}"/>
    <cellStyle name="Output 2 4 2 2" xfId="14619" xr:uid="{00000000-0005-0000-0000-000065990000}"/>
    <cellStyle name="Output 2 4 2 2 2" xfId="17103" xr:uid="{00000000-0005-0000-0000-000066990000}"/>
    <cellStyle name="Output 2 4 2 2 2 2" xfId="36457" xr:uid="{00000000-0005-0000-0000-000067990000}"/>
    <cellStyle name="Output 2 4 2 2 3" xfId="19534" xr:uid="{00000000-0005-0000-0000-000068990000}"/>
    <cellStyle name="Output 2 4 2 2 3 2" xfId="38887" xr:uid="{00000000-0005-0000-0000-000069990000}"/>
    <cellStyle name="Output 2 4 2 2 4" xfId="22039" xr:uid="{00000000-0005-0000-0000-00006A990000}"/>
    <cellStyle name="Output 2 4 2 2 4 2" xfId="41381" xr:uid="{00000000-0005-0000-0000-00006B990000}"/>
    <cellStyle name="Output 2 4 2 2 5" xfId="33980" xr:uid="{00000000-0005-0000-0000-00006C990000}"/>
    <cellStyle name="Output 2 4 2 3" xfId="15176" xr:uid="{00000000-0005-0000-0000-00006D990000}"/>
    <cellStyle name="Output 2 4 2 3 2" xfId="17652" xr:uid="{00000000-0005-0000-0000-00006E990000}"/>
    <cellStyle name="Output 2 4 2 3 2 2" xfId="37006" xr:uid="{00000000-0005-0000-0000-00006F990000}"/>
    <cellStyle name="Output 2 4 2 3 3" xfId="20083" xr:uid="{00000000-0005-0000-0000-000070990000}"/>
    <cellStyle name="Output 2 4 2 3 3 2" xfId="39436" xr:uid="{00000000-0005-0000-0000-000071990000}"/>
    <cellStyle name="Output 2 4 2 3 4" xfId="22596" xr:uid="{00000000-0005-0000-0000-000072990000}"/>
    <cellStyle name="Output 2 4 2 3 4 2" xfId="41938" xr:uid="{00000000-0005-0000-0000-000073990000}"/>
    <cellStyle name="Output 2 4 2 3 5" xfId="34537" xr:uid="{00000000-0005-0000-0000-000074990000}"/>
    <cellStyle name="Output 2 4 2 4" xfId="15656" xr:uid="{00000000-0005-0000-0000-000075990000}"/>
    <cellStyle name="Output 2 4 2 4 2" xfId="18132" xr:uid="{00000000-0005-0000-0000-000076990000}"/>
    <cellStyle name="Output 2 4 2 4 2 2" xfId="37486" xr:uid="{00000000-0005-0000-0000-000077990000}"/>
    <cellStyle name="Output 2 4 2 4 3" xfId="20563" xr:uid="{00000000-0005-0000-0000-000078990000}"/>
    <cellStyle name="Output 2 4 2 4 3 2" xfId="39916" xr:uid="{00000000-0005-0000-0000-000079990000}"/>
    <cellStyle name="Output 2 4 2 4 4" xfId="23076" xr:uid="{00000000-0005-0000-0000-00007A990000}"/>
    <cellStyle name="Output 2 4 2 4 4 2" xfId="42418" xr:uid="{00000000-0005-0000-0000-00007B990000}"/>
    <cellStyle name="Output 2 4 2 4 5" xfId="35017" xr:uid="{00000000-0005-0000-0000-00007C990000}"/>
    <cellStyle name="Output 2 4 2 5" xfId="13824" xr:uid="{00000000-0005-0000-0000-00007D990000}"/>
    <cellStyle name="Output 2 4 2 5 2" xfId="33188" xr:uid="{00000000-0005-0000-0000-00007E990000}"/>
    <cellStyle name="Output 2 4 2 6" xfId="16336" xr:uid="{00000000-0005-0000-0000-00007F990000}"/>
    <cellStyle name="Output 2 4 2 6 2" xfId="35690" xr:uid="{00000000-0005-0000-0000-000080990000}"/>
    <cellStyle name="Output 2 4 2 7" xfId="18767" xr:uid="{00000000-0005-0000-0000-000081990000}"/>
    <cellStyle name="Output 2 4 2 7 2" xfId="38120" xr:uid="{00000000-0005-0000-0000-000082990000}"/>
    <cellStyle name="Output 2 4 2 8" xfId="21247" xr:uid="{00000000-0005-0000-0000-000083990000}"/>
    <cellStyle name="Output 2 4 2 8 2" xfId="40589" xr:uid="{00000000-0005-0000-0000-000084990000}"/>
    <cellStyle name="Output 2 4 2 9" xfId="26127" xr:uid="{00000000-0005-0000-0000-000085990000}"/>
    <cellStyle name="Output 2 4 3" xfId="14045" xr:uid="{00000000-0005-0000-0000-000086990000}"/>
    <cellStyle name="Output 2 4 3 2" xfId="14840" xr:uid="{00000000-0005-0000-0000-000087990000}"/>
    <cellStyle name="Output 2 4 3 2 2" xfId="17318" xr:uid="{00000000-0005-0000-0000-000088990000}"/>
    <cellStyle name="Output 2 4 3 2 2 2" xfId="36672" xr:uid="{00000000-0005-0000-0000-000089990000}"/>
    <cellStyle name="Output 2 4 3 2 3" xfId="19749" xr:uid="{00000000-0005-0000-0000-00008A990000}"/>
    <cellStyle name="Output 2 4 3 2 3 2" xfId="39102" xr:uid="{00000000-0005-0000-0000-00008B990000}"/>
    <cellStyle name="Output 2 4 3 2 4" xfId="22260" xr:uid="{00000000-0005-0000-0000-00008C990000}"/>
    <cellStyle name="Output 2 4 3 2 4 2" xfId="41602" xr:uid="{00000000-0005-0000-0000-00008D990000}"/>
    <cellStyle name="Output 2 4 3 2 5" xfId="34201" xr:uid="{00000000-0005-0000-0000-00008E990000}"/>
    <cellStyle name="Output 2 4 3 3" xfId="15388" xr:uid="{00000000-0005-0000-0000-00008F990000}"/>
    <cellStyle name="Output 2 4 3 3 2" xfId="17864" xr:uid="{00000000-0005-0000-0000-000090990000}"/>
    <cellStyle name="Output 2 4 3 3 2 2" xfId="37218" xr:uid="{00000000-0005-0000-0000-000091990000}"/>
    <cellStyle name="Output 2 4 3 3 3" xfId="20295" xr:uid="{00000000-0005-0000-0000-000092990000}"/>
    <cellStyle name="Output 2 4 3 3 3 2" xfId="39648" xr:uid="{00000000-0005-0000-0000-000093990000}"/>
    <cellStyle name="Output 2 4 3 3 4" xfId="22808" xr:uid="{00000000-0005-0000-0000-000094990000}"/>
    <cellStyle name="Output 2 4 3 3 4 2" xfId="42150" xr:uid="{00000000-0005-0000-0000-000095990000}"/>
    <cellStyle name="Output 2 4 3 3 5" xfId="34749" xr:uid="{00000000-0005-0000-0000-000096990000}"/>
    <cellStyle name="Output 2 4 3 4" xfId="15847" xr:uid="{00000000-0005-0000-0000-000097990000}"/>
    <cellStyle name="Output 2 4 3 4 2" xfId="18323" xr:uid="{00000000-0005-0000-0000-000098990000}"/>
    <cellStyle name="Output 2 4 3 4 2 2" xfId="37677" xr:uid="{00000000-0005-0000-0000-000099990000}"/>
    <cellStyle name="Output 2 4 3 4 3" xfId="20754" xr:uid="{00000000-0005-0000-0000-00009A990000}"/>
    <cellStyle name="Output 2 4 3 4 3 2" xfId="40107" xr:uid="{00000000-0005-0000-0000-00009B990000}"/>
    <cellStyle name="Output 2 4 3 4 4" xfId="23267" xr:uid="{00000000-0005-0000-0000-00009C990000}"/>
    <cellStyle name="Output 2 4 3 4 4 2" xfId="42609" xr:uid="{00000000-0005-0000-0000-00009D990000}"/>
    <cellStyle name="Output 2 4 3 4 5" xfId="35208" xr:uid="{00000000-0005-0000-0000-00009E990000}"/>
    <cellStyle name="Output 2 4 3 5" xfId="16551" xr:uid="{00000000-0005-0000-0000-00009F990000}"/>
    <cellStyle name="Output 2 4 3 5 2" xfId="35905" xr:uid="{00000000-0005-0000-0000-0000A0990000}"/>
    <cellStyle name="Output 2 4 3 6" xfId="18982" xr:uid="{00000000-0005-0000-0000-0000A1990000}"/>
    <cellStyle name="Output 2 4 3 6 2" xfId="38335" xr:uid="{00000000-0005-0000-0000-0000A2990000}"/>
    <cellStyle name="Output 2 4 3 7" xfId="21468" xr:uid="{00000000-0005-0000-0000-0000A3990000}"/>
    <cellStyle name="Output 2 4 3 7 2" xfId="40810" xr:uid="{00000000-0005-0000-0000-0000A4990000}"/>
    <cellStyle name="Output 2 4 3 8" xfId="33409" xr:uid="{00000000-0005-0000-0000-0000A5990000}"/>
    <cellStyle name="Output 2 4 4" xfId="14340" xr:uid="{00000000-0005-0000-0000-0000A6990000}"/>
    <cellStyle name="Output 2 4 4 2" xfId="16836" xr:uid="{00000000-0005-0000-0000-0000A7990000}"/>
    <cellStyle name="Output 2 4 4 2 2" xfId="36190" xr:uid="{00000000-0005-0000-0000-0000A8990000}"/>
    <cellStyle name="Output 2 4 4 3" xfId="19267" xr:uid="{00000000-0005-0000-0000-0000A9990000}"/>
    <cellStyle name="Output 2 4 4 3 2" xfId="38620" xr:uid="{00000000-0005-0000-0000-0000AA990000}"/>
    <cellStyle name="Output 2 4 4 4" xfId="21760" xr:uid="{00000000-0005-0000-0000-0000AB990000}"/>
    <cellStyle name="Output 2 4 4 4 2" xfId="41102" xr:uid="{00000000-0005-0000-0000-0000AC990000}"/>
    <cellStyle name="Output 2 4 4 5" xfId="33701" xr:uid="{00000000-0005-0000-0000-0000AD990000}"/>
    <cellStyle name="Output 2 4 5" xfId="13524" xr:uid="{00000000-0005-0000-0000-0000AE990000}"/>
    <cellStyle name="Output 2 4 5 2" xfId="32899" xr:uid="{00000000-0005-0000-0000-0000AF990000}"/>
    <cellStyle name="Output 2 4 6" xfId="18485" xr:uid="{00000000-0005-0000-0000-0000B0990000}"/>
    <cellStyle name="Output 2 4 6 2" xfId="37838" xr:uid="{00000000-0005-0000-0000-0000B1990000}"/>
    <cellStyle name="Output 2 4 7" xfId="24382" xr:uid="{00000000-0005-0000-0000-0000B2990000}"/>
    <cellStyle name="Output 2 5" xfId="5519" xr:uid="{00000000-0005-0000-0000-0000B3990000}"/>
    <cellStyle name="Output 2 5 2" xfId="14533" xr:uid="{00000000-0005-0000-0000-0000B4990000}"/>
    <cellStyle name="Output 2 5 2 2" xfId="17023" xr:uid="{00000000-0005-0000-0000-0000B5990000}"/>
    <cellStyle name="Output 2 5 2 2 2" xfId="36377" xr:uid="{00000000-0005-0000-0000-0000B6990000}"/>
    <cellStyle name="Output 2 5 2 3" xfId="19454" xr:uid="{00000000-0005-0000-0000-0000B7990000}"/>
    <cellStyle name="Output 2 5 2 3 2" xfId="38807" xr:uid="{00000000-0005-0000-0000-0000B8990000}"/>
    <cellStyle name="Output 2 5 2 4" xfId="21953" xr:uid="{00000000-0005-0000-0000-0000B9990000}"/>
    <cellStyle name="Output 2 5 2 4 2" xfId="41295" xr:uid="{00000000-0005-0000-0000-0000BA990000}"/>
    <cellStyle name="Output 2 5 2 5" xfId="33894" xr:uid="{00000000-0005-0000-0000-0000BB990000}"/>
    <cellStyle name="Output 2 5 3" xfId="15097" xr:uid="{00000000-0005-0000-0000-0000BC990000}"/>
    <cellStyle name="Output 2 5 3 2" xfId="17573" xr:uid="{00000000-0005-0000-0000-0000BD990000}"/>
    <cellStyle name="Output 2 5 3 2 2" xfId="36927" xr:uid="{00000000-0005-0000-0000-0000BE990000}"/>
    <cellStyle name="Output 2 5 3 3" xfId="20004" xr:uid="{00000000-0005-0000-0000-0000BF990000}"/>
    <cellStyle name="Output 2 5 3 3 2" xfId="39357" xr:uid="{00000000-0005-0000-0000-0000C0990000}"/>
    <cellStyle name="Output 2 5 3 4" xfId="22517" xr:uid="{00000000-0005-0000-0000-0000C1990000}"/>
    <cellStyle name="Output 2 5 3 4 2" xfId="41859" xr:uid="{00000000-0005-0000-0000-0000C2990000}"/>
    <cellStyle name="Output 2 5 3 5" xfId="34458" xr:uid="{00000000-0005-0000-0000-0000C3990000}"/>
    <cellStyle name="Output 2 5 4" xfId="15580" xr:uid="{00000000-0005-0000-0000-0000C4990000}"/>
    <cellStyle name="Output 2 5 4 2" xfId="18056" xr:uid="{00000000-0005-0000-0000-0000C5990000}"/>
    <cellStyle name="Output 2 5 4 2 2" xfId="37410" xr:uid="{00000000-0005-0000-0000-0000C6990000}"/>
    <cellStyle name="Output 2 5 4 3" xfId="20487" xr:uid="{00000000-0005-0000-0000-0000C7990000}"/>
    <cellStyle name="Output 2 5 4 3 2" xfId="39840" xr:uid="{00000000-0005-0000-0000-0000C8990000}"/>
    <cellStyle name="Output 2 5 4 4" xfId="23000" xr:uid="{00000000-0005-0000-0000-0000C9990000}"/>
    <cellStyle name="Output 2 5 4 4 2" xfId="42342" xr:uid="{00000000-0005-0000-0000-0000CA990000}"/>
    <cellStyle name="Output 2 5 4 5" xfId="34941" xr:uid="{00000000-0005-0000-0000-0000CB990000}"/>
    <cellStyle name="Output 2 5 5" xfId="13730" xr:uid="{00000000-0005-0000-0000-0000CC990000}"/>
    <cellStyle name="Output 2 5 5 2" xfId="33095" xr:uid="{00000000-0005-0000-0000-0000CD990000}"/>
    <cellStyle name="Output 2 5 6" xfId="16249" xr:uid="{00000000-0005-0000-0000-0000CE990000}"/>
    <cellStyle name="Output 2 5 6 2" xfId="35603" xr:uid="{00000000-0005-0000-0000-0000CF990000}"/>
    <cellStyle name="Output 2 5 7" xfId="18680" xr:uid="{00000000-0005-0000-0000-0000D0990000}"/>
    <cellStyle name="Output 2 5 7 2" xfId="38033" xr:uid="{00000000-0005-0000-0000-0000D1990000}"/>
    <cellStyle name="Output 2 5 8" xfId="21154" xr:uid="{00000000-0005-0000-0000-0000D2990000}"/>
    <cellStyle name="Output 2 5 8 2" xfId="40496" xr:uid="{00000000-0005-0000-0000-0000D3990000}"/>
    <cellStyle name="Output 2 5 9" xfId="25007" xr:uid="{00000000-0005-0000-0000-0000D4990000}"/>
    <cellStyle name="Output 2 6" xfId="13720" xr:uid="{00000000-0005-0000-0000-0000D5990000}"/>
    <cellStyle name="Output 2 6 2" xfId="14523" xr:uid="{00000000-0005-0000-0000-0000D6990000}"/>
    <cellStyle name="Output 2 6 2 2" xfId="17013" xr:uid="{00000000-0005-0000-0000-0000D7990000}"/>
    <cellStyle name="Output 2 6 2 2 2" xfId="36367" xr:uid="{00000000-0005-0000-0000-0000D8990000}"/>
    <cellStyle name="Output 2 6 2 3" xfId="19444" xr:uid="{00000000-0005-0000-0000-0000D9990000}"/>
    <cellStyle name="Output 2 6 2 3 2" xfId="38797" xr:uid="{00000000-0005-0000-0000-0000DA990000}"/>
    <cellStyle name="Output 2 6 2 4" xfId="21943" xr:uid="{00000000-0005-0000-0000-0000DB990000}"/>
    <cellStyle name="Output 2 6 2 4 2" xfId="41285" xr:uid="{00000000-0005-0000-0000-0000DC990000}"/>
    <cellStyle name="Output 2 6 2 5" xfId="33884" xr:uid="{00000000-0005-0000-0000-0000DD990000}"/>
    <cellStyle name="Output 2 6 3" xfId="15087" xr:uid="{00000000-0005-0000-0000-0000DE990000}"/>
    <cellStyle name="Output 2 6 3 2" xfId="17563" xr:uid="{00000000-0005-0000-0000-0000DF990000}"/>
    <cellStyle name="Output 2 6 3 2 2" xfId="36917" xr:uid="{00000000-0005-0000-0000-0000E0990000}"/>
    <cellStyle name="Output 2 6 3 3" xfId="19994" xr:uid="{00000000-0005-0000-0000-0000E1990000}"/>
    <cellStyle name="Output 2 6 3 3 2" xfId="39347" xr:uid="{00000000-0005-0000-0000-0000E2990000}"/>
    <cellStyle name="Output 2 6 3 4" xfId="22507" xr:uid="{00000000-0005-0000-0000-0000E3990000}"/>
    <cellStyle name="Output 2 6 3 4 2" xfId="41849" xr:uid="{00000000-0005-0000-0000-0000E4990000}"/>
    <cellStyle name="Output 2 6 3 5" xfId="34448" xr:uid="{00000000-0005-0000-0000-0000E5990000}"/>
    <cellStyle name="Output 2 6 4" xfId="15570" xr:uid="{00000000-0005-0000-0000-0000E6990000}"/>
    <cellStyle name="Output 2 6 4 2" xfId="18046" xr:uid="{00000000-0005-0000-0000-0000E7990000}"/>
    <cellStyle name="Output 2 6 4 2 2" xfId="37400" xr:uid="{00000000-0005-0000-0000-0000E8990000}"/>
    <cellStyle name="Output 2 6 4 3" xfId="20477" xr:uid="{00000000-0005-0000-0000-0000E9990000}"/>
    <cellStyle name="Output 2 6 4 3 2" xfId="39830" xr:uid="{00000000-0005-0000-0000-0000EA990000}"/>
    <cellStyle name="Output 2 6 4 4" xfId="22990" xr:uid="{00000000-0005-0000-0000-0000EB990000}"/>
    <cellStyle name="Output 2 6 4 4 2" xfId="42332" xr:uid="{00000000-0005-0000-0000-0000EC990000}"/>
    <cellStyle name="Output 2 6 4 5" xfId="34931" xr:uid="{00000000-0005-0000-0000-0000ED990000}"/>
    <cellStyle name="Output 2 6 5" xfId="16239" xr:uid="{00000000-0005-0000-0000-0000EE990000}"/>
    <cellStyle name="Output 2 6 5 2" xfId="35593" xr:uid="{00000000-0005-0000-0000-0000EF990000}"/>
    <cellStyle name="Output 2 6 6" xfId="18670" xr:uid="{00000000-0005-0000-0000-0000F0990000}"/>
    <cellStyle name="Output 2 6 6 2" xfId="38023" xr:uid="{00000000-0005-0000-0000-0000F1990000}"/>
    <cellStyle name="Output 2 6 7" xfId="21144" xr:uid="{00000000-0005-0000-0000-0000F2990000}"/>
    <cellStyle name="Output 2 6 7 2" xfId="40486" xr:uid="{00000000-0005-0000-0000-0000F3990000}"/>
    <cellStyle name="Output 2 6 8" xfId="33085" xr:uid="{00000000-0005-0000-0000-0000F4990000}"/>
    <cellStyle name="Output 2 7" xfId="14245" xr:uid="{00000000-0005-0000-0000-0000F5990000}"/>
    <cellStyle name="Output 2 7 2" xfId="16748" xr:uid="{00000000-0005-0000-0000-0000F6990000}"/>
    <cellStyle name="Output 2 7 2 2" xfId="36102" xr:uid="{00000000-0005-0000-0000-0000F7990000}"/>
    <cellStyle name="Output 2 7 3" xfId="19179" xr:uid="{00000000-0005-0000-0000-0000F8990000}"/>
    <cellStyle name="Output 2 7 3 2" xfId="38532" xr:uid="{00000000-0005-0000-0000-0000F9990000}"/>
    <cellStyle name="Output 2 7 4" xfId="21666" xr:uid="{00000000-0005-0000-0000-0000FA990000}"/>
    <cellStyle name="Output 2 7 4 2" xfId="41008" xr:uid="{00000000-0005-0000-0000-0000FB990000}"/>
    <cellStyle name="Output 2 7 5" xfId="33607" xr:uid="{00000000-0005-0000-0000-0000FC990000}"/>
    <cellStyle name="Output 2 8" xfId="13329" xr:uid="{00000000-0005-0000-0000-0000FD990000}"/>
    <cellStyle name="Output 2 8 2" xfId="32749" xr:uid="{00000000-0005-0000-0000-0000FE990000}"/>
    <cellStyle name="Output 2 9" xfId="13276" xr:uid="{00000000-0005-0000-0000-0000FF990000}"/>
    <cellStyle name="Output 2 9 2" xfId="32724" xr:uid="{00000000-0005-0000-0000-0000009A0000}"/>
    <cellStyle name="Output 3" xfId="2146" xr:uid="{00000000-0005-0000-0000-0000019A0000}"/>
    <cellStyle name="Output 3 2" xfId="4894" xr:uid="{00000000-0005-0000-0000-0000029A0000}"/>
    <cellStyle name="Output 3 2 2" xfId="6648" xr:uid="{00000000-0005-0000-0000-0000039A0000}"/>
    <cellStyle name="Output 3 2 2 2" xfId="26133" xr:uid="{00000000-0005-0000-0000-0000049A0000}"/>
    <cellStyle name="Output 3 2 3" xfId="24389" xr:uid="{00000000-0005-0000-0000-0000059A0000}"/>
    <cellStyle name="Output 3 3" xfId="5514" xr:uid="{00000000-0005-0000-0000-0000069A0000}"/>
    <cellStyle name="Output 3 3 2" xfId="25002" xr:uid="{00000000-0005-0000-0000-0000079A0000}"/>
    <cellStyle name="Output 3 4" xfId="13357" xr:uid="{00000000-0005-0000-0000-0000089A0000}"/>
    <cellStyle name="Output 3 5" xfId="23482" xr:uid="{00000000-0005-0000-0000-0000099A0000}"/>
    <cellStyle name="Output 4" xfId="2605" xr:uid="{00000000-0005-0000-0000-00000A9A0000}"/>
    <cellStyle name="Output 4 2" xfId="4913" xr:uid="{00000000-0005-0000-0000-00000B9A0000}"/>
    <cellStyle name="Output 4 2 2" xfId="6665" xr:uid="{00000000-0005-0000-0000-00000C9A0000}"/>
    <cellStyle name="Output 4 2 2 2" xfId="26150" xr:uid="{00000000-0005-0000-0000-00000D9A0000}"/>
    <cellStyle name="Output 4 2 3" xfId="14519" xr:uid="{00000000-0005-0000-0000-00000E9A0000}"/>
    <cellStyle name="Output 4 2 3 2" xfId="33880" xr:uid="{00000000-0005-0000-0000-00000F9A0000}"/>
    <cellStyle name="Output 4 2 4" xfId="17009" xr:uid="{00000000-0005-0000-0000-0000109A0000}"/>
    <cellStyle name="Output 4 2 4 2" xfId="36363" xr:uid="{00000000-0005-0000-0000-0000119A0000}"/>
    <cellStyle name="Output 4 2 5" xfId="19440" xr:uid="{00000000-0005-0000-0000-0000129A0000}"/>
    <cellStyle name="Output 4 2 5 2" xfId="38793" xr:uid="{00000000-0005-0000-0000-0000139A0000}"/>
    <cellStyle name="Output 4 2 6" xfId="21939" xr:uid="{00000000-0005-0000-0000-0000149A0000}"/>
    <cellStyle name="Output 4 2 6 2" xfId="41281" xr:uid="{00000000-0005-0000-0000-0000159A0000}"/>
    <cellStyle name="Output 4 2 7" xfId="24407" xr:uid="{00000000-0005-0000-0000-0000169A0000}"/>
    <cellStyle name="Output 4 3" xfId="5504" xr:uid="{00000000-0005-0000-0000-0000179A0000}"/>
    <cellStyle name="Output 4 3 2" xfId="15083" xr:uid="{00000000-0005-0000-0000-0000189A0000}"/>
    <cellStyle name="Output 4 3 2 2" xfId="34444" xr:uid="{00000000-0005-0000-0000-0000199A0000}"/>
    <cellStyle name="Output 4 3 3" xfId="17559" xr:uid="{00000000-0005-0000-0000-00001A9A0000}"/>
    <cellStyle name="Output 4 3 3 2" xfId="36913" xr:uid="{00000000-0005-0000-0000-00001B9A0000}"/>
    <cellStyle name="Output 4 3 4" xfId="19990" xr:uid="{00000000-0005-0000-0000-00001C9A0000}"/>
    <cellStyle name="Output 4 3 4 2" xfId="39343" xr:uid="{00000000-0005-0000-0000-00001D9A0000}"/>
    <cellStyle name="Output 4 3 5" xfId="22503" xr:uid="{00000000-0005-0000-0000-00001E9A0000}"/>
    <cellStyle name="Output 4 3 5 2" xfId="41845" xr:uid="{00000000-0005-0000-0000-00001F9A0000}"/>
    <cellStyle name="Output 4 3 6" xfId="24992" xr:uid="{00000000-0005-0000-0000-0000209A0000}"/>
    <cellStyle name="Output 4 4" xfId="15566" xr:uid="{00000000-0005-0000-0000-0000219A0000}"/>
    <cellStyle name="Output 4 4 2" xfId="18042" xr:uid="{00000000-0005-0000-0000-0000229A0000}"/>
    <cellStyle name="Output 4 4 2 2" xfId="37396" xr:uid="{00000000-0005-0000-0000-0000239A0000}"/>
    <cellStyle name="Output 4 4 3" xfId="20473" xr:uid="{00000000-0005-0000-0000-0000249A0000}"/>
    <cellStyle name="Output 4 4 3 2" xfId="39826" xr:uid="{00000000-0005-0000-0000-0000259A0000}"/>
    <cellStyle name="Output 4 4 4" xfId="22986" xr:uid="{00000000-0005-0000-0000-0000269A0000}"/>
    <cellStyle name="Output 4 4 4 2" xfId="42328" xr:uid="{00000000-0005-0000-0000-0000279A0000}"/>
    <cellStyle name="Output 4 4 5" xfId="34927" xr:uid="{00000000-0005-0000-0000-0000289A0000}"/>
    <cellStyle name="Output 4 5" xfId="13716" xr:uid="{00000000-0005-0000-0000-0000299A0000}"/>
    <cellStyle name="Output 4 5 2" xfId="33081" xr:uid="{00000000-0005-0000-0000-00002A9A0000}"/>
    <cellStyle name="Output 4 6" xfId="16235" xr:uid="{00000000-0005-0000-0000-00002B9A0000}"/>
    <cellStyle name="Output 4 6 2" xfId="35589" xr:uid="{00000000-0005-0000-0000-00002C9A0000}"/>
    <cellStyle name="Output 4 7" xfId="18666" xr:uid="{00000000-0005-0000-0000-00002D9A0000}"/>
    <cellStyle name="Output 4 7 2" xfId="38019" xr:uid="{00000000-0005-0000-0000-00002E9A0000}"/>
    <cellStyle name="Output 4 8" xfId="21140" xr:uid="{00000000-0005-0000-0000-00002F9A0000}"/>
    <cellStyle name="Output 4 8 2" xfId="40482" xr:uid="{00000000-0005-0000-0000-0000309A0000}"/>
    <cellStyle name="Output 4 9" xfId="23498" xr:uid="{00000000-0005-0000-0000-0000319A0000}"/>
    <cellStyle name="Output 5" xfId="4882" xr:uid="{00000000-0005-0000-0000-0000329A0000}"/>
    <cellStyle name="Output 5 2" xfId="6639" xr:uid="{00000000-0005-0000-0000-0000339A0000}"/>
    <cellStyle name="Output 5 2 2" xfId="14527" xr:uid="{00000000-0005-0000-0000-0000349A0000}"/>
    <cellStyle name="Output 5 2 2 2" xfId="33888" xr:uid="{00000000-0005-0000-0000-0000359A0000}"/>
    <cellStyle name="Output 5 2 3" xfId="17017" xr:uid="{00000000-0005-0000-0000-0000369A0000}"/>
    <cellStyle name="Output 5 2 3 2" xfId="36371" xr:uid="{00000000-0005-0000-0000-0000379A0000}"/>
    <cellStyle name="Output 5 2 4" xfId="19448" xr:uid="{00000000-0005-0000-0000-0000389A0000}"/>
    <cellStyle name="Output 5 2 4 2" xfId="38801" xr:uid="{00000000-0005-0000-0000-0000399A0000}"/>
    <cellStyle name="Output 5 2 5" xfId="21947" xr:uid="{00000000-0005-0000-0000-00003A9A0000}"/>
    <cellStyle name="Output 5 2 5 2" xfId="41289" xr:uid="{00000000-0005-0000-0000-00003B9A0000}"/>
    <cellStyle name="Output 5 2 6" xfId="26124" xr:uid="{00000000-0005-0000-0000-00003C9A0000}"/>
    <cellStyle name="Output 5 3" xfId="15091" xr:uid="{00000000-0005-0000-0000-00003D9A0000}"/>
    <cellStyle name="Output 5 3 2" xfId="17567" xr:uid="{00000000-0005-0000-0000-00003E9A0000}"/>
    <cellStyle name="Output 5 3 2 2" xfId="36921" xr:uid="{00000000-0005-0000-0000-00003F9A0000}"/>
    <cellStyle name="Output 5 3 3" xfId="19998" xr:uid="{00000000-0005-0000-0000-0000409A0000}"/>
    <cellStyle name="Output 5 3 3 2" xfId="39351" xr:uid="{00000000-0005-0000-0000-0000419A0000}"/>
    <cellStyle name="Output 5 3 4" xfId="22511" xr:uid="{00000000-0005-0000-0000-0000429A0000}"/>
    <cellStyle name="Output 5 3 4 2" xfId="41853" xr:uid="{00000000-0005-0000-0000-0000439A0000}"/>
    <cellStyle name="Output 5 3 5" xfId="34452" xr:uid="{00000000-0005-0000-0000-0000449A0000}"/>
    <cellStyle name="Output 5 4" xfId="15574" xr:uid="{00000000-0005-0000-0000-0000459A0000}"/>
    <cellStyle name="Output 5 4 2" xfId="18050" xr:uid="{00000000-0005-0000-0000-0000469A0000}"/>
    <cellStyle name="Output 5 4 2 2" xfId="37404" xr:uid="{00000000-0005-0000-0000-0000479A0000}"/>
    <cellStyle name="Output 5 4 3" xfId="20481" xr:uid="{00000000-0005-0000-0000-0000489A0000}"/>
    <cellStyle name="Output 5 4 3 2" xfId="39834" xr:uid="{00000000-0005-0000-0000-0000499A0000}"/>
    <cellStyle name="Output 5 4 4" xfId="22994" xr:uid="{00000000-0005-0000-0000-00004A9A0000}"/>
    <cellStyle name="Output 5 4 4 2" xfId="42336" xr:uid="{00000000-0005-0000-0000-00004B9A0000}"/>
    <cellStyle name="Output 5 4 5" xfId="34935" xr:uid="{00000000-0005-0000-0000-00004C9A0000}"/>
    <cellStyle name="Output 5 5" xfId="13724" xr:uid="{00000000-0005-0000-0000-00004D9A0000}"/>
    <cellStyle name="Output 5 5 2" xfId="33089" xr:uid="{00000000-0005-0000-0000-00004E9A0000}"/>
    <cellStyle name="Output 5 6" xfId="16243" xr:uid="{00000000-0005-0000-0000-00004F9A0000}"/>
    <cellStyle name="Output 5 6 2" xfId="35597" xr:uid="{00000000-0005-0000-0000-0000509A0000}"/>
    <cellStyle name="Output 5 7" xfId="18674" xr:uid="{00000000-0005-0000-0000-0000519A0000}"/>
    <cellStyle name="Output 5 7 2" xfId="38027" xr:uid="{00000000-0005-0000-0000-0000529A0000}"/>
    <cellStyle name="Output 5 8" xfId="21148" xr:uid="{00000000-0005-0000-0000-0000539A0000}"/>
    <cellStyle name="Output 5 8 2" xfId="40490" xr:uid="{00000000-0005-0000-0000-0000549A0000}"/>
    <cellStyle name="Output 5 9" xfId="24378" xr:uid="{00000000-0005-0000-0000-0000559A0000}"/>
    <cellStyle name="Output 6" xfId="5521" xr:uid="{00000000-0005-0000-0000-0000569A0000}"/>
    <cellStyle name="Output 6 2" xfId="14218" xr:uid="{00000000-0005-0000-0000-0000579A0000}"/>
    <cellStyle name="Output 6 2 2" xfId="33580" xr:uid="{00000000-0005-0000-0000-0000589A0000}"/>
    <cellStyle name="Output 6 3" xfId="16721" xr:uid="{00000000-0005-0000-0000-0000599A0000}"/>
    <cellStyle name="Output 6 3 2" xfId="36075" xr:uid="{00000000-0005-0000-0000-00005A9A0000}"/>
    <cellStyle name="Output 6 4" xfId="19152" xr:uid="{00000000-0005-0000-0000-00005B9A0000}"/>
    <cellStyle name="Output 6 4 2" xfId="38505" xr:uid="{00000000-0005-0000-0000-00005C9A0000}"/>
    <cellStyle name="Output 6 5" xfId="21639" xr:uid="{00000000-0005-0000-0000-00005D9A0000}"/>
    <cellStyle name="Output 6 5 2" xfId="40981" xr:uid="{00000000-0005-0000-0000-00005E9A0000}"/>
    <cellStyle name="Output 6 6" xfId="25009" xr:uid="{00000000-0005-0000-0000-00005F9A0000}"/>
    <cellStyle name="Output 7" xfId="13249" xr:uid="{00000000-0005-0000-0000-0000609A0000}"/>
    <cellStyle name="Output 7 2" xfId="32702" xr:uid="{00000000-0005-0000-0000-0000619A0000}"/>
    <cellStyle name="Output 8" xfId="13275" xr:uid="{00000000-0005-0000-0000-0000629A0000}"/>
    <cellStyle name="Output 8 2" xfId="32723" xr:uid="{00000000-0005-0000-0000-0000639A0000}"/>
    <cellStyle name="Output 9" xfId="23425" xr:uid="{00000000-0005-0000-0000-0000649A0000}"/>
    <cellStyle name="Output1_Back" xfId="1702" xr:uid="{00000000-0005-0000-0000-0000659A0000}"/>
    <cellStyle name="P/E" xfId="4001" xr:uid="{00000000-0005-0000-0000-0000669A0000}"/>
    <cellStyle name="Page" xfId="4509" xr:uid="{00000000-0005-0000-0000-0000679A0000}"/>
    <cellStyle name="Page header" xfId="1703" xr:uid="{00000000-0005-0000-0000-0000689A0000}"/>
    <cellStyle name="Page Heading Large" xfId="1704" xr:uid="{00000000-0005-0000-0000-0000699A0000}"/>
    <cellStyle name="Page Heading Small" xfId="1705" xr:uid="{00000000-0005-0000-0000-00006A9A0000}"/>
    <cellStyle name="Page Number" xfId="1706" xr:uid="{00000000-0005-0000-0000-00006B9A0000}"/>
    <cellStyle name="PB Table Heading" xfId="1707" xr:uid="{00000000-0005-0000-0000-00006C9A0000}"/>
    <cellStyle name="PB Table Heading 2" xfId="1708" xr:uid="{00000000-0005-0000-0000-00006D9A0000}"/>
    <cellStyle name="PB Table Heading 2 2" xfId="13327" xr:uid="{00000000-0005-0000-0000-00006E9A0000}"/>
    <cellStyle name="PB Table Highlight1" xfId="1709" xr:uid="{00000000-0005-0000-0000-00006F9A0000}"/>
    <cellStyle name="PB Table Highlight1 2" xfId="2550" xr:uid="{00000000-0005-0000-0000-0000709A0000}"/>
    <cellStyle name="PB Table Highlight2" xfId="1710" xr:uid="{00000000-0005-0000-0000-0000719A0000}"/>
    <cellStyle name="PB Table Highlight2 2" xfId="4558" xr:uid="{00000000-0005-0000-0000-0000729A0000}"/>
    <cellStyle name="PB Table Highlight2 2 2" xfId="13350" xr:uid="{00000000-0005-0000-0000-0000739A0000}"/>
    <cellStyle name="PB Table Highlight2 3" xfId="13348" xr:uid="{00000000-0005-0000-0000-0000749A0000}"/>
    <cellStyle name="PB Table Highlight3" xfId="1711" xr:uid="{00000000-0005-0000-0000-0000759A0000}"/>
    <cellStyle name="PB Table Highlight3 2" xfId="4559" xr:uid="{00000000-0005-0000-0000-0000769A0000}"/>
    <cellStyle name="PB Table Highlight3 2 2" xfId="13351" xr:uid="{00000000-0005-0000-0000-0000779A0000}"/>
    <cellStyle name="PB Table Highlight3 3" xfId="13349" xr:uid="{00000000-0005-0000-0000-0000789A0000}"/>
    <cellStyle name="PB Table Standard Row" xfId="1712" xr:uid="{00000000-0005-0000-0000-0000799A0000}"/>
    <cellStyle name="PB Table Standard Row 2" xfId="2551" xr:uid="{00000000-0005-0000-0000-00007A9A0000}"/>
    <cellStyle name="PB Table Standard Row 2 2" xfId="2647" xr:uid="{00000000-0005-0000-0000-00007B9A0000}"/>
    <cellStyle name="PB Table Standard Row 2 2 2" xfId="2860" xr:uid="{00000000-0005-0000-0000-00007C9A0000}"/>
    <cellStyle name="PB Table Standard Row 2 2 2 2" xfId="3054" xr:uid="{00000000-0005-0000-0000-00007D9A0000}"/>
    <cellStyle name="PB Table Standard Row 2 2 2 2 2" xfId="23863" xr:uid="{00000000-0005-0000-0000-00007E9A0000}"/>
    <cellStyle name="PB Table Standard Row 2 2 2 3" xfId="23671" xr:uid="{00000000-0005-0000-0000-00007F9A0000}"/>
    <cellStyle name="PB Table Standard Row 2 2 3" xfId="2936" xr:uid="{00000000-0005-0000-0000-0000809A0000}"/>
    <cellStyle name="PB Table Standard Row 2 2 3 2" xfId="23745" xr:uid="{00000000-0005-0000-0000-0000819A0000}"/>
    <cellStyle name="PB Table Standard Row 2 2 4" xfId="23540" xr:uid="{00000000-0005-0000-0000-0000829A0000}"/>
    <cellStyle name="PB Table Standard Row 2 3" xfId="2820" xr:uid="{00000000-0005-0000-0000-0000839A0000}"/>
    <cellStyle name="PB Table Standard Row 2 3 2" xfId="3014" xr:uid="{00000000-0005-0000-0000-0000849A0000}"/>
    <cellStyle name="PB Table Standard Row 2 3 2 2" xfId="23823" xr:uid="{00000000-0005-0000-0000-0000859A0000}"/>
    <cellStyle name="PB Table Standard Row 2 3 3" xfId="23631" xr:uid="{00000000-0005-0000-0000-0000869A0000}"/>
    <cellStyle name="PB Table Standard Row 2 4" xfId="13265" xr:uid="{00000000-0005-0000-0000-0000879A0000}"/>
    <cellStyle name="PB Table Standard Row 2 4 2" xfId="32713" xr:uid="{00000000-0005-0000-0000-0000889A0000}"/>
    <cellStyle name="PB Table Standard Row 3" xfId="2606" xr:uid="{00000000-0005-0000-0000-0000899A0000}"/>
    <cellStyle name="PB Table Standard Row 3 2" xfId="2825" xr:uid="{00000000-0005-0000-0000-00008A9A0000}"/>
    <cellStyle name="PB Table Standard Row 3 2 2" xfId="3019" xr:uid="{00000000-0005-0000-0000-00008B9A0000}"/>
    <cellStyle name="PB Table Standard Row 3 2 2 2" xfId="23828" xr:uid="{00000000-0005-0000-0000-00008C9A0000}"/>
    <cellStyle name="PB Table Standard Row 3 2 3" xfId="23636" xr:uid="{00000000-0005-0000-0000-00008D9A0000}"/>
    <cellStyle name="PB Table Standard Row 3 3" xfId="2901" xr:uid="{00000000-0005-0000-0000-00008E9A0000}"/>
    <cellStyle name="PB Table Standard Row 3 3 2" xfId="23710" xr:uid="{00000000-0005-0000-0000-00008F9A0000}"/>
    <cellStyle name="PB Table Standard Row 3 4" xfId="23499" xr:uid="{00000000-0005-0000-0000-0000909A0000}"/>
    <cellStyle name="PB Table Standard Row 4" xfId="2784" xr:uid="{00000000-0005-0000-0000-0000919A0000}"/>
    <cellStyle name="PB Table Standard Row 4 2" xfId="2978" xr:uid="{00000000-0005-0000-0000-0000929A0000}"/>
    <cellStyle name="PB Table Standard Row 4 2 2" xfId="23787" xr:uid="{00000000-0005-0000-0000-0000939A0000}"/>
    <cellStyle name="PB Table Standard Row 4 3" xfId="23595" xr:uid="{00000000-0005-0000-0000-0000949A0000}"/>
    <cellStyle name="PB Table Subtotal Row" xfId="1713" xr:uid="{00000000-0005-0000-0000-0000959A0000}"/>
    <cellStyle name="PB Table Subtotal Row 2" xfId="2552" xr:uid="{00000000-0005-0000-0000-0000969A0000}"/>
    <cellStyle name="PB Table Total Row" xfId="1714" xr:uid="{00000000-0005-0000-0000-0000979A0000}"/>
    <cellStyle name="PB Table Total Row 2" xfId="1715" xr:uid="{00000000-0005-0000-0000-0000989A0000}"/>
    <cellStyle name="PE/LTGR" xfId="4002" xr:uid="{00000000-0005-0000-0000-0000999A0000}"/>
    <cellStyle name="Percent" xfId="1716" builtinId="5"/>
    <cellStyle name="Percent (1)" xfId="1717" xr:uid="{00000000-0005-0000-0000-00009B9A0000}"/>
    <cellStyle name="Percent [1]" xfId="1718" xr:uid="{00000000-0005-0000-0000-00009C9A0000}"/>
    <cellStyle name="Percent [1] 2" xfId="2553" xr:uid="{00000000-0005-0000-0000-00009D9A0000}"/>
    <cellStyle name="Percent [2]" xfId="1719" xr:uid="{00000000-0005-0000-0000-00009E9A0000}"/>
    <cellStyle name="Percent [2] 2" xfId="2554" xr:uid="{00000000-0005-0000-0000-00009F9A0000}"/>
    <cellStyle name="Percent 10" xfId="3091" xr:uid="{00000000-0005-0000-0000-0000A09A0000}"/>
    <cellStyle name="Percent 11" xfId="4101" xr:uid="{00000000-0005-0000-0000-0000A19A0000}"/>
    <cellStyle name="Percent 12" xfId="8881" xr:uid="{00000000-0005-0000-0000-0000A29A0000}"/>
    <cellStyle name="Percent 12 2" xfId="13185" xr:uid="{00000000-0005-0000-0000-0000A39A0000}"/>
    <cellStyle name="Percent 12 2 2" xfId="32655" xr:uid="{00000000-0005-0000-0000-0000A49A0000}"/>
    <cellStyle name="Percent 12 3" xfId="28358" xr:uid="{00000000-0005-0000-0000-0000A59A0000}"/>
    <cellStyle name="Percent 13" xfId="13251" xr:uid="{00000000-0005-0000-0000-0000A69A0000}"/>
    <cellStyle name="Percent 14" xfId="13214" xr:uid="{00000000-0005-0000-0000-0000A79A0000}"/>
    <cellStyle name="Percent 15" xfId="13226" xr:uid="{00000000-0005-0000-0000-0000A89A0000}"/>
    <cellStyle name="Percent 16" xfId="20887" xr:uid="{00000000-0005-0000-0000-0000A99A0000}"/>
    <cellStyle name="Percent 17" xfId="23395" xr:uid="{00000000-0005-0000-0000-0000AA9A0000}"/>
    <cellStyle name="Percent 17 2" xfId="42737" xr:uid="{00000000-0005-0000-0000-0000AB9A0000}"/>
    <cellStyle name="Percent 18" xfId="42739" xr:uid="{00000000-0005-0000-0000-0000AC9A0000}"/>
    <cellStyle name="Percent 19" xfId="42746" xr:uid="{9AE432E5-DB07-4C08-98DD-284DB03E7287}"/>
    <cellStyle name="Percent 2" xfId="2088" xr:uid="{00000000-0005-0000-0000-0000AD9A0000}"/>
    <cellStyle name="Percent 2 2" xfId="2555" xr:uid="{00000000-0005-0000-0000-0000AE9A0000}"/>
    <cellStyle name="Percent 2 2 2" xfId="4170" xr:uid="{00000000-0005-0000-0000-0000AF9A0000}"/>
    <cellStyle name="Percent 2 2 2 2" xfId="13896" xr:uid="{00000000-0005-0000-0000-0000B09A0000}"/>
    <cellStyle name="Percent 2 2 2 2 2" xfId="14691" xr:uid="{00000000-0005-0000-0000-0000B19A0000}"/>
    <cellStyle name="Percent 2 2 2 2 2 2" xfId="22111" xr:uid="{00000000-0005-0000-0000-0000B29A0000}"/>
    <cellStyle name="Percent 2 2 2 2 2 2 2" xfId="41453" xr:uid="{00000000-0005-0000-0000-0000B39A0000}"/>
    <cellStyle name="Percent 2 2 2 2 2 3" xfId="34052" xr:uid="{00000000-0005-0000-0000-0000B49A0000}"/>
    <cellStyle name="Percent 2 2 2 2 3" xfId="21319" xr:uid="{00000000-0005-0000-0000-0000B59A0000}"/>
    <cellStyle name="Percent 2 2 2 2 3 2" xfId="40661" xr:uid="{00000000-0005-0000-0000-0000B69A0000}"/>
    <cellStyle name="Percent 2 2 2 2 4" xfId="33260" xr:uid="{00000000-0005-0000-0000-0000B79A0000}"/>
    <cellStyle name="Percent 2 2 2 3" xfId="14406" xr:uid="{00000000-0005-0000-0000-0000B89A0000}"/>
    <cellStyle name="Percent 2 2 2 3 2" xfId="21826" xr:uid="{00000000-0005-0000-0000-0000B99A0000}"/>
    <cellStyle name="Percent 2 2 2 3 2 2" xfId="41168" xr:uid="{00000000-0005-0000-0000-0000BA9A0000}"/>
    <cellStyle name="Percent 2 2 2 3 3" xfId="33767" xr:uid="{00000000-0005-0000-0000-0000BB9A0000}"/>
    <cellStyle name="Percent 2 2 2 4" xfId="13595" xr:uid="{00000000-0005-0000-0000-0000BC9A0000}"/>
    <cellStyle name="Percent 2 2 2 4 2" xfId="32961" xr:uid="{00000000-0005-0000-0000-0000BD9A0000}"/>
    <cellStyle name="Percent 2 2 2 5" xfId="21036" xr:uid="{00000000-0005-0000-0000-0000BE9A0000}"/>
    <cellStyle name="Percent 2 2 2 5 2" xfId="40378" xr:uid="{00000000-0005-0000-0000-0000BF9A0000}"/>
    <cellStyle name="Percent 2 2 3" xfId="4575" xr:uid="{00000000-0005-0000-0000-0000C09A0000}"/>
    <cellStyle name="Percent 2 2 3 2" xfId="14582" xr:uid="{00000000-0005-0000-0000-0000C19A0000}"/>
    <cellStyle name="Percent 2 2 3 2 2" xfId="22002" xr:uid="{00000000-0005-0000-0000-0000C29A0000}"/>
    <cellStyle name="Percent 2 2 3 2 2 2" xfId="41344" xr:uid="{00000000-0005-0000-0000-0000C39A0000}"/>
    <cellStyle name="Percent 2 2 3 2 3" xfId="33943" xr:uid="{00000000-0005-0000-0000-0000C49A0000}"/>
    <cellStyle name="Percent 2 2 3 3" xfId="13783" xr:uid="{00000000-0005-0000-0000-0000C59A0000}"/>
    <cellStyle name="Percent 2 2 3 3 2" xfId="33147" xr:uid="{00000000-0005-0000-0000-0000C69A0000}"/>
    <cellStyle name="Percent 2 2 3 4" xfId="21206" xr:uid="{00000000-0005-0000-0000-0000C79A0000}"/>
    <cellStyle name="Percent 2 2 3 4 2" xfId="40548" xr:uid="{00000000-0005-0000-0000-0000C89A0000}"/>
    <cellStyle name="Percent 2 2 4" xfId="14301" xr:uid="{00000000-0005-0000-0000-0000C99A0000}"/>
    <cellStyle name="Percent 2 2 4 2" xfId="21721" xr:uid="{00000000-0005-0000-0000-0000CA9A0000}"/>
    <cellStyle name="Percent 2 2 4 2 2" xfId="41063" xr:uid="{00000000-0005-0000-0000-0000CB9A0000}"/>
    <cellStyle name="Percent 2 2 4 3" xfId="33662" xr:uid="{00000000-0005-0000-0000-0000CC9A0000}"/>
    <cellStyle name="Percent 2 2 5" xfId="13471" xr:uid="{00000000-0005-0000-0000-0000CD9A0000}"/>
    <cellStyle name="Percent 2 2 5 2" xfId="32849" xr:uid="{00000000-0005-0000-0000-0000CE9A0000}"/>
    <cellStyle name="Percent 2 2 6" xfId="20970" xr:uid="{00000000-0005-0000-0000-0000CF9A0000}"/>
    <cellStyle name="Percent 2 2 6 2" xfId="40312" xr:uid="{00000000-0005-0000-0000-0000D09A0000}"/>
    <cellStyle name="Percent 2 3" xfId="2152" xr:uid="{00000000-0005-0000-0000-0000D19A0000}"/>
    <cellStyle name="Percent 2 3 2" xfId="4003" xr:uid="{00000000-0005-0000-0000-0000D29A0000}"/>
    <cellStyle name="Percent 2 3 2 10" xfId="23947" xr:uid="{00000000-0005-0000-0000-0000D39A0000}"/>
    <cellStyle name="Percent 2 3 2 2" xfId="4273" xr:uid="{00000000-0005-0000-0000-0000D49A0000}"/>
    <cellStyle name="Percent 2 3 2 2 2" xfId="4848" xr:uid="{00000000-0005-0000-0000-0000D59A0000}"/>
    <cellStyle name="Percent 2 3 2 2 2 2" xfId="5473" xr:uid="{00000000-0005-0000-0000-0000D69A0000}"/>
    <cellStyle name="Percent 2 3 2 2 2 2 2" xfId="6601" xr:uid="{00000000-0005-0000-0000-0000D79A0000}"/>
    <cellStyle name="Percent 2 3 2 2 2 2 2 2" xfId="8765" xr:uid="{00000000-0005-0000-0000-0000D89A0000}"/>
    <cellStyle name="Percent 2 3 2 2 2 2 2 2 2" xfId="13071" xr:uid="{00000000-0005-0000-0000-0000D99A0000}"/>
    <cellStyle name="Percent 2 3 2 2 2 2 2 2 2 2" xfId="32541" xr:uid="{00000000-0005-0000-0000-0000DA9A0000}"/>
    <cellStyle name="Percent 2 3 2 2 2 2 2 2 3" xfId="28244" xr:uid="{00000000-0005-0000-0000-0000DB9A0000}"/>
    <cellStyle name="Percent 2 3 2 2 2 2 2 3" xfId="11017" xr:uid="{00000000-0005-0000-0000-0000DC9A0000}"/>
    <cellStyle name="Percent 2 3 2 2 2 2 2 3 2" xfId="30487" xr:uid="{00000000-0005-0000-0000-0000DD9A0000}"/>
    <cellStyle name="Percent 2 3 2 2 2 2 2 4" xfId="26086" xr:uid="{00000000-0005-0000-0000-0000DE9A0000}"/>
    <cellStyle name="Percent 2 3 2 2 2 2 3" xfId="8764" xr:uid="{00000000-0005-0000-0000-0000DF9A0000}"/>
    <cellStyle name="Percent 2 3 2 2 2 2 3 2" xfId="13070" xr:uid="{00000000-0005-0000-0000-0000E09A0000}"/>
    <cellStyle name="Percent 2 3 2 2 2 2 3 2 2" xfId="32540" xr:uid="{00000000-0005-0000-0000-0000E19A0000}"/>
    <cellStyle name="Percent 2 3 2 2 2 2 3 3" xfId="28243" xr:uid="{00000000-0005-0000-0000-0000E29A0000}"/>
    <cellStyle name="Percent 2 3 2 2 2 2 4" xfId="9956" xr:uid="{00000000-0005-0000-0000-0000E39A0000}"/>
    <cellStyle name="Percent 2 3 2 2 2 2 4 2" xfId="29426" xr:uid="{00000000-0005-0000-0000-0000E49A0000}"/>
    <cellStyle name="Percent 2 3 2 2 2 2 5" xfId="24964" xr:uid="{00000000-0005-0000-0000-0000E59A0000}"/>
    <cellStyle name="Percent 2 3 2 2 2 3" xfId="6066" xr:uid="{00000000-0005-0000-0000-0000E69A0000}"/>
    <cellStyle name="Percent 2 3 2 2 2 3 2" xfId="8766" xr:uid="{00000000-0005-0000-0000-0000E79A0000}"/>
    <cellStyle name="Percent 2 3 2 2 2 3 2 2" xfId="13072" xr:uid="{00000000-0005-0000-0000-0000E89A0000}"/>
    <cellStyle name="Percent 2 3 2 2 2 3 2 2 2" xfId="32542" xr:uid="{00000000-0005-0000-0000-0000E99A0000}"/>
    <cellStyle name="Percent 2 3 2 2 2 3 2 3" xfId="28245" xr:uid="{00000000-0005-0000-0000-0000EA9A0000}"/>
    <cellStyle name="Percent 2 3 2 2 2 3 3" xfId="10486" xr:uid="{00000000-0005-0000-0000-0000EB9A0000}"/>
    <cellStyle name="Percent 2 3 2 2 2 3 3 2" xfId="29956" xr:uid="{00000000-0005-0000-0000-0000EC9A0000}"/>
    <cellStyle name="Percent 2 3 2 2 2 3 4" xfId="25551" xr:uid="{00000000-0005-0000-0000-0000ED9A0000}"/>
    <cellStyle name="Percent 2 3 2 2 2 4" xfId="8763" xr:uid="{00000000-0005-0000-0000-0000EE9A0000}"/>
    <cellStyle name="Percent 2 3 2 2 2 4 2" xfId="13069" xr:uid="{00000000-0005-0000-0000-0000EF9A0000}"/>
    <cellStyle name="Percent 2 3 2 2 2 4 2 2" xfId="32539" xr:uid="{00000000-0005-0000-0000-0000F09A0000}"/>
    <cellStyle name="Percent 2 3 2 2 2 4 3" xfId="28242" xr:uid="{00000000-0005-0000-0000-0000F19A0000}"/>
    <cellStyle name="Percent 2 3 2 2 2 5" xfId="9426" xr:uid="{00000000-0005-0000-0000-0000F29A0000}"/>
    <cellStyle name="Percent 2 3 2 2 2 5 2" xfId="28896" xr:uid="{00000000-0005-0000-0000-0000F39A0000}"/>
    <cellStyle name="Percent 2 3 2 2 2 6" xfId="24350" xr:uid="{00000000-0005-0000-0000-0000F49A0000}"/>
    <cellStyle name="Percent 2 3 2 2 3" xfId="5178" xr:uid="{00000000-0005-0000-0000-0000F59A0000}"/>
    <cellStyle name="Percent 2 3 2 2 3 2" xfId="6334" xr:uid="{00000000-0005-0000-0000-0000F69A0000}"/>
    <cellStyle name="Percent 2 3 2 2 3 2 2" xfId="8768" xr:uid="{00000000-0005-0000-0000-0000F79A0000}"/>
    <cellStyle name="Percent 2 3 2 2 3 2 2 2" xfId="13074" xr:uid="{00000000-0005-0000-0000-0000F89A0000}"/>
    <cellStyle name="Percent 2 3 2 2 3 2 2 2 2" xfId="32544" xr:uid="{00000000-0005-0000-0000-0000F99A0000}"/>
    <cellStyle name="Percent 2 3 2 2 3 2 2 3" xfId="28247" xr:uid="{00000000-0005-0000-0000-0000FA9A0000}"/>
    <cellStyle name="Percent 2 3 2 2 3 2 3" xfId="10751" xr:uid="{00000000-0005-0000-0000-0000FB9A0000}"/>
    <cellStyle name="Percent 2 3 2 2 3 2 3 2" xfId="30221" xr:uid="{00000000-0005-0000-0000-0000FC9A0000}"/>
    <cellStyle name="Percent 2 3 2 2 3 2 4" xfId="25819" xr:uid="{00000000-0005-0000-0000-0000FD9A0000}"/>
    <cellStyle name="Percent 2 3 2 2 3 3" xfId="8767" xr:uid="{00000000-0005-0000-0000-0000FE9A0000}"/>
    <cellStyle name="Percent 2 3 2 2 3 3 2" xfId="13073" xr:uid="{00000000-0005-0000-0000-0000FF9A0000}"/>
    <cellStyle name="Percent 2 3 2 2 3 3 2 2" xfId="32543" xr:uid="{00000000-0005-0000-0000-0000009B0000}"/>
    <cellStyle name="Percent 2 3 2 2 3 3 3" xfId="28246" xr:uid="{00000000-0005-0000-0000-0000019B0000}"/>
    <cellStyle name="Percent 2 3 2 2 3 4" xfId="9691" xr:uid="{00000000-0005-0000-0000-0000029B0000}"/>
    <cellStyle name="Percent 2 3 2 2 3 4 2" xfId="29161" xr:uid="{00000000-0005-0000-0000-0000039B0000}"/>
    <cellStyle name="Percent 2 3 2 2 3 5" xfId="24669" xr:uid="{00000000-0005-0000-0000-0000049B0000}"/>
    <cellStyle name="Percent 2 3 2 2 4" xfId="5787" xr:uid="{00000000-0005-0000-0000-0000059B0000}"/>
    <cellStyle name="Percent 2 3 2 2 4 2" xfId="8769" xr:uid="{00000000-0005-0000-0000-0000069B0000}"/>
    <cellStyle name="Percent 2 3 2 2 4 2 2" xfId="13075" xr:uid="{00000000-0005-0000-0000-0000079B0000}"/>
    <cellStyle name="Percent 2 3 2 2 4 2 2 2" xfId="32545" xr:uid="{00000000-0005-0000-0000-0000089B0000}"/>
    <cellStyle name="Percent 2 3 2 2 4 2 3" xfId="28248" xr:uid="{00000000-0005-0000-0000-0000099B0000}"/>
    <cellStyle name="Percent 2 3 2 2 4 3" xfId="10221" xr:uid="{00000000-0005-0000-0000-00000A9B0000}"/>
    <cellStyle name="Percent 2 3 2 2 4 3 2" xfId="29691" xr:uid="{00000000-0005-0000-0000-00000B9B0000}"/>
    <cellStyle name="Percent 2 3 2 2 4 4" xfId="25272" xr:uid="{00000000-0005-0000-0000-00000C9B0000}"/>
    <cellStyle name="Percent 2 3 2 2 5" xfId="8762" xr:uid="{00000000-0005-0000-0000-00000D9B0000}"/>
    <cellStyle name="Percent 2 3 2 2 5 2" xfId="13068" xr:uid="{00000000-0005-0000-0000-00000E9B0000}"/>
    <cellStyle name="Percent 2 3 2 2 5 2 2" xfId="32538" xr:uid="{00000000-0005-0000-0000-00000F9B0000}"/>
    <cellStyle name="Percent 2 3 2 2 5 3" xfId="28241" xr:uid="{00000000-0005-0000-0000-0000109B0000}"/>
    <cellStyle name="Percent 2 3 2 2 6" xfId="9160" xr:uid="{00000000-0005-0000-0000-0000119B0000}"/>
    <cellStyle name="Percent 2 3 2 2 6 2" xfId="28631" xr:uid="{00000000-0005-0000-0000-0000129B0000}"/>
    <cellStyle name="Percent 2 3 2 2 7" xfId="14632" xr:uid="{00000000-0005-0000-0000-0000139B0000}"/>
    <cellStyle name="Percent 2 3 2 2 7 2" xfId="33993" xr:uid="{00000000-0005-0000-0000-0000149B0000}"/>
    <cellStyle name="Percent 2 3 2 2 8" xfId="22052" xr:uid="{00000000-0005-0000-0000-0000159B0000}"/>
    <cellStyle name="Percent 2 3 2 2 8 2" xfId="41394" xr:uid="{00000000-0005-0000-0000-0000169B0000}"/>
    <cellStyle name="Percent 2 3 2 2 9" xfId="24049" xr:uid="{00000000-0005-0000-0000-0000179B0000}"/>
    <cellStyle name="Percent 2 3 2 3" xfId="4748" xr:uid="{00000000-0005-0000-0000-0000189B0000}"/>
    <cellStyle name="Percent 2 3 2 3 2" xfId="5378" xr:uid="{00000000-0005-0000-0000-0000199B0000}"/>
    <cellStyle name="Percent 2 3 2 3 2 2" xfId="6506" xr:uid="{00000000-0005-0000-0000-00001A9B0000}"/>
    <cellStyle name="Percent 2 3 2 3 2 2 2" xfId="8772" xr:uid="{00000000-0005-0000-0000-00001B9B0000}"/>
    <cellStyle name="Percent 2 3 2 3 2 2 2 2" xfId="13078" xr:uid="{00000000-0005-0000-0000-00001C9B0000}"/>
    <cellStyle name="Percent 2 3 2 3 2 2 2 2 2" xfId="32548" xr:uid="{00000000-0005-0000-0000-00001D9B0000}"/>
    <cellStyle name="Percent 2 3 2 3 2 2 2 3" xfId="28251" xr:uid="{00000000-0005-0000-0000-00001E9B0000}"/>
    <cellStyle name="Percent 2 3 2 3 2 2 3" xfId="10922" xr:uid="{00000000-0005-0000-0000-00001F9B0000}"/>
    <cellStyle name="Percent 2 3 2 3 2 2 3 2" xfId="30392" xr:uid="{00000000-0005-0000-0000-0000209B0000}"/>
    <cellStyle name="Percent 2 3 2 3 2 2 4" xfId="25991" xr:uid="{00000000-0005-0000-0000-0000219B0000}"/>
    <cellStyle name="Percent 2 3 2 3 2 3" xfId="8771" xr:uid="{00000000-0005-0000-0000-0000229B0000}"/>
    <cellStyle name="Percent 2 3 2 3 2 3 2" xfId="13077" xr:uid="{00000000-0005-0000-0000-0000239B0000}"/>
    <cellStyle name="Percent 2 3 2 3 2 3 2 2" xfId="32547" xr:uid="{00000000-0005-0000-0000-0000249B0000}"/>
    <cellStyle name="Percent 2 3 2 3 2 3 3" xfId="28250" xr:uid="{00000000-0005-0000-0000-0000259B0000}"/>
    <cellStyle name="Percent 2 3 2 3 2 4" xfId="9861" xr:uid="{00000000-0005-0000-0000-0000269B0000}"/>
    <cellStyle name="Percent 2 3 2 3 2 4 2" xfId="29331" xr:uid="{00000000-0005-0000-0000-0000279B0000}"/>
    <cellStyle name="Percent 2 3 2 3 2 5" xfId="24869" xr:uid="{00000000-0005-0000-0000-0000289B0000}"/>
    <cellStyle name="Percent 2 3 2 3 3" xfId="5969" xr:uid="{00000000-0005-0000-0000-0000299B0000}"/>
    <cellStyle name="Percent 2 3 2 3 3 2" xfId="8773" xr:uid="{00000000-0005-0000-0000-00002A9B0000}"/>
    <cellStyle name="Percent 2 3 2 3 3 2 2" xfId="13079" xr:uid="{00000000-0005-0000-0000-00002B9B0000}"/>
    <cellStyle name="Percent 2 3 2 3 3 2 2 2" xfId="32549" xr:uid="{00000000-0005-0000-0000-00002C9B0000}"/>
    <cellStyle name="Percent 2 3 2 3 3 2 3" xfId="28252" xr:uid="{00000000-0005-0000-0000-00002D9B0000}"/>
    <cellStyle name="Percent 2 3 2 3 3 3" xfId="10391" xr:uid="{00000000-0005-0000-0000-00002E9B0000}"/>
    <cellStyle name="Percent 2 3 2 3 3 3 2" xfId="29861" xr:uid="{00000000-0005-0000-0000-00002F9B0000}"/>
    <cellStyle name="Percent 2 3 2 3 3 4" xfId="25454" xr:uid="{00000000-0005-0000-0000-0000309B0000}"/>
    <cellStyle name="Percent 2 3 2 3 4" xfId="8770" xr:uid="{00000000-0005-0000-0000-0000319B0000}"/>
    <cellStyle name="Percent 2 3 2 3 4 2" xfId="13076" xr:uid="{00000000-0005-0000-0000-0000329B0000}"/>
    <cellStyle name="Percent 2 3 2 3 4 2 2" xfId="32546" xr:uid="{00000000-0005-0000-0000-0000339B0000}"/>
    <cellStyle name="Percent 2 3 2 3 4 3" xfId="28249" xr:uid="{00000000-0005-0000-0000-0000349B0000}"/>
    <cellStyle name="Percent 2 3 2 3 5" xfId="9331" xr:uid="{00000000-0005-0000-0000-0000359B0000}"/>
    <cellStyle name="Percent 2 3 2 3 5 2" xfId="28801" xr:uid="{00000000-0005-0000-0000-0000369B0000}"/>
    <cellStyle name="Percent 2 3 2 3 6" xfId="24253" xr:uid="{00000000-0005-0000-0000-0000379B0000}"/>
    <cellStyle name="Percent 2 3 2 4" xfId="5080" xr:uid="{00000000-0005-0000-0000-0000389B0000}"/>
    <cellStyle name="Percent 2 3 2 4 2" xfId="6239" xr:uid="{00000000-0005-0000-0000-0000399B0000}"/>
    <cellStyle name="Percent 2 3 2 4 2 2" xfId="8775" xr:uid="{00000000-0005-0000-0000-00003A9B0000}"/>
    <cellStyle name="Percent 2 3 2 4 2 2 2" xfId="13081" xr:uid="{00000000-0005-0000-0000-00003B9B0000}"/>
    <cellStyle name="Percent 2 3 2 4 2 2 2 2" xfId="32551" xr:uid="{00000000-0005-0000-0000-00003C9B0000}"/>
    <cellStyle name="Percent 2 3 2 4 2 2 3" xfId="28254" xr:uid="{00000000-0005-0000-0000-00003D9B0000}"/>
    <cellStyle name="Percent 2 3 2 4 2 3" xfId="10656" xr:uid="{00000000-0005-0000-0000-00003E9B0000}"/>
    <cellStyle name="Percent 2 3 2 4 2 3 2" xfId="30126" xr:uid="{00000000-0005-0000-0000-00003F9B0000}"/>
    <cellStyle name="Percent 2 3 2 4 2 4" xfId="25724" xr:uid="{00000000-0005-0000-0000-0000409B0000}"/>
    <cellStyle name="Percent 2 3 2 4 3" xfId="8774" xr:uid="{00000000-0005-0000-0000-0000419B0000}"/>
    <cellStyle name="Percent 2 3 2 4 3 2" xfId="13080" xr:uid="{00000000-0005-0000-0000-0000429B0000}"/>
    <cellStyle name="Percent 2 3 2 4 3 2 2" xfId="32550" xr:uid="{00000000-0005-0000-0000-0000439B0000}"/>
    <cellStyle name="Percent 2 3 2 4 3 3" xfId="28253" xr:uid="{00000000-0005-0000-0000-0000449B0000}"/>
    <cellStyle name="Percent 2 3 2 4 4" xfId="9596" xr:uid="{00000000-0005-0000-0000-0000459B0000}"/>
    <cellStyle name="Percent 2 3 2 4 4 2" xfId="29066" xr:uid="{00000000-0005-0000-0000-0000469B0000}"/>
    <cellStyle name="Percent 2 3 2 4 5" xfId="24571" xr:uid="{00000000-0005-0000-0000-0000479B0000}"/>
    <cellStyle name="Percent 2 3 2 5" xfId="5691" xr:uid="{00000000-0005-0000-0000-0000489B0000}"/>
    <cellStyle name="Percent 2 3 2 5 2" xfId="8776" xr:uid="{00000000-0005-0000-0000-0000499B0000}"/>
    <cellStyle name="Percent 2 3 2 5 2 2" xfId="13082" xr:uid="{00000000-0005-0000-0000-00004A9B0000}"/>
    <cellStyle name="Percent 2 3 2 5 2 2 2" xfId="32552" xr:uid="{00000000-0005-0000-0000-00004B9B0000}"/>
    <cellStyle name="Percent 2 3 2 5 2 3" xfId="28255" xr:uid="{00000000-0005-0000-0000-00004C9B0000}"/>
    <cellStyle name="Percent 2 3 2 5 3" xfId="10126" xr:uid="{00000000-0005-0000-0000-00004D9B0000}"/>
    <cellStyle name="Percent 2 3 2 5 3 2" xfId="29596" xr:uid="{00000000-0005-0000-0000-00004E9B0000}"/>
    <cellStyle name="Percent 2 3 2 5 4" xfId="25176" xr:uid="{00000000-0005-0000-0000-00004F9B0000}"/>
    <cellStyle name="Percent 2 3 2 6" xfId="8761" xr:uid="{00000000-0005-0000-0000-0000509B0000}"/>
    <cellStyle name="Percent 2 3 2 6 2" xfId="13067" xr:uid="{00000000-0005-0000-0000-0000519B0000}"/>
    <cellStyle name="Percent 2 3 2 6 2 2" xfId="32537" xr:uid="{00000000-0005-0000-0000-0000529B0000}"/>
    <cellStyle name="Percent 2 3 2 6 3" xfId="28240" xr:uid="{00000000-0005-0000-0000-0000539B0000}"/>
    <cellStyle name="Percent 2 3 2 7" xfId="9065" xr:uid="{00000000-0005-0000-0000-0000549B0000}"/>
    <cellStyle name="Percent 2 3 2 7 2" xfId="28536" xr:uid="{00000000-0005-0000-0000-0000559B0000}"/>
    <cellStyle name="Percent 2 3 2 8" xfId="13837" xr:uid="{00000000-0005-0000-0000-0000569B0000}"/>
    <cellStyle name="Percent 2 3 2 8 2" xfId="33201" xr:uid="{00000000-0005-0000-0000-0000579B0000}"/>
    <cellStyle name="Percent 2 3 2 9" xfId="21260" xr:uid="{00000000-0005-0000-0000-0000589B0000}"/>
    <cellStyle name="Percent 2 3 2 9 2" xfId="40602" xr:uid="{00000000-0005-0000-0000-0000599B0000}"/>
    <cellStyle name="Percent 2 3 3" xfId="4218" xr:uid="{00000000-0005-0000-0000-00005A9B0000}"/>
    <cellStyle name="Percent 2 3 3 2" xfId="4793" xr:uid="{00000000-0005-0000-0000-00005B9B0000}"/>
    <cellStyle name="Percent 2 3 3 2 2" xfId="5419" xr:uid="{00000000-0005-0000-0000-00005C9B0000}"/>
    <cellStyle name="Percent 2 3 3 2 2 2" xfId="6547" xr:uid="{00000000-0005-0000-0000-00005D9B0000}"/>
    <cellStyle name="Percent 2 3 3 2 2 2 2" xfId="8780" xr:uid="{00000000-0005-0000-0000-00005E9B0000}"/>
    <cellStyle name="Percent 2 3 3 2 2 2 2 2" xfId="13086" xr:uid="{00000000-0005-0000-0000-00005F9B0000}"/>
    <cellStyle name="Percent 2 3 3 2 2 2 2 2 2" xfId="32556" xr:uid="{00000000-0005-0000-0000-0000609B0000}"/>
    <cellStyle name="Percent 2 3 3 2 2 2 2 3" xfId="28259" xr:uid="{00000000-0005-0000-0000-0000619B0000}"/>
    <cellStyle name="Percent 2 3 3 2 2 2 3" xfId="10963" xr:uid="{00000000-0005-0000-0000-0000629B0000}"/>
    <cellStyle name="Percent 2 3 3 2 2 2 3 2" xfId="30433" xr:uid="{00000000-0005-0000-0000-0000639B0000}"/>
    <cellStyle name="Percent 2 3 3 2 2 2 4" xfId="26032" xr:uid="{00000000-0005-0000-0000-0000649B0000}"/>
    <cellStyle name="Percent 2 3 3 2 2 3" xfId="8779" xr:uid="{00000000-0005-0000-0000-0000659B0000}"/>
    <cellStyle name="Percent 2 3 3 2 2 3 2" xfId="13085" xr:uid="{00000000-0005-0000-0000-0000669B0000}"/>
    <cellStyle name="Percent 2 3 3 2 2 3 2 2" xfId="32555" xr:uid="{00000000-0005-0000-0000-0000679B0000}"/>
    <cellStyle name="Percent 2 3 3 2 2 3 3" xfId="28258" xr:uid="{00000000-0005-0000-0000-0000689B0000}"/>
    <cellStyle name="Percent 2 3 3 2 2 4" xfId="9902" xr:uid="{00000000-0005-0000-0000-0000699B0000}"/>
    <cellStyle name="Percent 2 3 3 2 2 4 2" xfId="29372" xr:uid="{00000000-0005-0000-0000-00006A9B0000}"/>
    <cellStyle name="Percent 2 3 3 2 2 5" xfId="24910" xr:uid="{00000000-0005-0000-0000-00006B9B0000}"/>
    <cellStyle name="Percent 2 3 3 2 3" xfId="6011" xr:uid="{00000000-0005-0000-0000-00006C9B0000}"/>
    <cellStyle name="Percent 2 3 3 2 3 2" xfId="8781" xr:uid="{00000000-0005-0000-0000-00006D9B0000}"/>
    <cellStyle name="Percent 2 3 3 2 3 2 2" xfId="13087" xr:uid="{00000000-0005-0000-0000-00006E9B0000}"/>
    <cellStyle name="Percent 2 3 3 2 3 2 2 2" xfId="32557" xr:uid="{00000000-0005-0000-0000-00006F9B0000}"/>
    <cellStyle name="Percent 2 3 3 2 3 2 3" xfId="28260" xr:uid="{00000000-0005-0000-0000-0000709B0000}"/>
    <cellStyle name="Percent 2 3 3 2 3 3" xfId="10432" xr:uid="{00000000-0005-0000-0000-0000719B0000}"/>
    <cellStyle name="Percent 2 3 3 2 3 3 2" xfId="29902" xr:uid="{00000000-0005-0000-0000-0000729B0000}"/>
    <cellStyle name="Percent 2 3 3 2 3 4" xfId="25496" xr:uid="{00000000-0005-0000-0000-0000739B0000}"/>
    <cellStyle name="Percent 2 3 3 2 4" xfId="8778" xr:uid="{00000000-0005-0000-0000-0000749B0000}"/>
    <cellStyle name="Percent 2 3 3 2 4 2" xfId="13084" xr:uid="{00000000-0005-0000-0000-0000759B0000}"/>
    <cellStyle name="Percent 2 3 3 2 4 2 2" xfId="32554" xr:uid="{00000000-0005-0000-0000-0000769B0000}"/>
    <cellStyle name="Percent 2 3 3 2 4 3" xfId="28257" xr:uid="{00000000-0005-0000-0000-0000779B0000}"/>
    <cellStyle name="Percent 2 3 3 2 5" xfId="9372" xr:uid="{00000000-0005-0000-0000-0000789B0000}"/>
    <cellStyle name="Percent 2 3 3 2 5 2" xfId="28842" xr:uid="{00000000-0005-0000-0000-0000799B0000}"/>
    <cellStyle name="Percent 2 3 3 2 6" xfId="24295" xr:uid="{00000000-0005-0000-0000-00007A9B0000}"/>
    <cellStyle name="Percent 2 3 3 3" xfId="5124" xr:uid="{00000000-0005-0000-0000-00007B9B0000}"/>
    <cellStyle name="Percent 2 3 3 3 2" xfId="6280" xr:uid="{00000000-0005-0000-0000-00007C9B0000}"/>
    <cellStyle name="Percent 2 3 3 3 2 2" xfId="8783" xr:uid="{00000000-0005-0000-0000-00007D9B0000}"/>
    <cellStyle name="Percent 2 3 3 3 2 2 2" xfId="13089" xr:uid="{00000000-0005-0000-0000-00007E9B0000}"/>
    <cellStyle name="Percent 2 3 3 3 2 2 2 2" xfId="32559" xr:uid="{00000000-0005-0000-0000-00007F9B0000}"/>
    <cellStyle name="Percent 2 3 3 3 2 2 3" xfId="28262" xr:uid="{00000000-0005-0000-0000-0000809B0000}"/>
    <cellStyle name="Percent 2 3 3 3 2 3" xfId="10697" xr:uid="{00000000-0005-0000-0000-0000819B0000}"/>
    <cellStyle name="Percent 2 3 3 3 2 3 2" xfId="30167" xr:uid="{00000000-0005-0000-0000-0000829B0000}"/>
    <cellStyle name="Percent 2 3 3 3 2 4" xfId="25765" xr:uid="{00000000-0005-0000-0000-0000839B0000}"/>
    <cellStyle name="Percent 2 3 3 3 3" xfId="8782" xr:uid="{00000000-0005-0000-0000-0000849B0000}"/>
    <cellStyle name="Percent 2 3 3 3 3 2" xfId="13088" xr:uid="{00000000-0005-0000-0000-0000859B0000}"/>
    <cellStyle name="Percent 2 3 3 3 3 2 2" xfId="32558" xr:uid="{00000000-0005-0000-0000-0000869B0000}"/>
    <cellStyle name="Percent 2 3 3 3 3 3" xfId="28261" xr:uid="{00000000-0005-0000-0000-0000879B0000}"/>
    <cellStyle name="Percent 2 3 3 3 4" xfId="9637" xr:uid="{00000000-0005-0000-0000-0000889B0000}"/>
    <cellStyle name="Percent 2 3 3 3 4 2" xfId="29107" xr:uid="{00000000-0005-0000-0000-0000899B0000}"/>
    <cellStyle name="Percent 2 3 3 3 5" xfId="24615" xr:uid="{00000000-0005-0000-0000-00008A9B0000}"/>
    <cellStyle name="Percent 2 3 3 4" xfId="5733" xr:uid="{00000000-0005-0000-0000-00008B9B0000}"/>
    <cellStyle name="Percent 2 3 3 4 2" xfId="8784" xr:uid="{00000000-0005-0000-0000-00008C9B0000}"/>
    <cellStyle name="Percent 2 3 3 4 2 2" xfId="13090" xr:uid="{00000000-0005-0000-0000-00008D9B0000}"/>
    <cellStyle name="Percent 2 3 3 4 2 2 2" xfId="32560" xr:uid="{00000000-0005-0000-0000-00008E9B0000}"/>
    <cellStyle name="Percent 2 3 3 4 2 3" xfId="28263" xr:uid="{00000000-0005-0000-0000-00008F9B0000}"/>
    <cellStyle name="Percent 2 3 3 4 3" xfId="10167" xr:uid="{00000000-0005-0000-0000-0000909B0000}"/>
    <cellStyle name="Percent 2 3 3 4 3 2" xfId="29637" xr:uid="{00000000-0005-0000-0000-0000919B0000}"/>
    <cellStyle name="Percent 2 3 3 4 4" xfId="25218" xr:uid="{00000000-0005-0000-0000-0000929B0000}"/>
    <cellStyle name="Percent 2 3 3 5" xfId="8777" xr:uid="{00000000-0005-0000-0000-0000939B0000}"/>
    <cellStyle name="Percent 2 3 3 5 2" xfId="13083" xr:uid="{00000000-0005-0000-0000-0000949B0000}"/>
    <cellStyle name="Percent 2 3 3 5 2 2" xfId="32553" xr:uid="{00000000-0005-0000-0000-0000959B0000}"/>
    <cellStyle name="Percent 2 3 3 5 3" xfId="28256" xr:uid="{00000000-0005-0000-0000-0000969B0000}"/>
    <cellStyle name="Percent 2 3 3 6" xfId="9106" xr:uid="{00000000-0005-0000-0000-0000979B0000}"/>
    <cellStyle name="Percent 2 3 3 6 2" xfId="28577" xr:uid="{00000000-0005-0000-0000-0000989B0000}"/>
    <cellStyle name="Percent 2 3 3 7" xfId="14353" xr:uid="{00000000-0005-0000-0000-0000999B0000}"/>
    <cellStyle name="Percent 2 3 3 7 2" xfId="33714" xr:uid="{00000000-0005-0000-0000-00009A9B0000}"/>
    <cellStyle name="Percent 2 3 3 8" xfId="21773" xr:uid="{00000000-0005-0000-0000-00009B9B0000}"/>
    <cellStyle name="Percent 2 3 3 8 2" xfId="41115" xr:uid="{00000000-0005-0000-0000-00009C9B0000}"/>
    <cellStyle name="Percent 2 3 3 9" xfId="23994" xr:uid="{00000000-0005-0000-0000-00009D9B0000}"/>
    <cellStyle name="Percent 2 3 4" xfId="13537" xr:uid="{00000000-0005-0000-0000-00009E9B0000}"/>
    <cellStyle name="Percent 2 3 4 2" xfId="32911" xr:uid="{00000000-0005-0000-0000-00009F9B0000}"/>
    <cellStyle name="Percent 2 3 5" xfId="21015" xr:uid="{00000000-0005-0000-0000-0000A09B0000}"/>
    <cellStyle name="Percent 2 3 5 2" xfId="40357" xr:uid="{00000000-0005-0000-0000-0000A19B0000}"/>
    <cellStyle name="Percent 2 4" xfId="2766" xr:uid="{00000000-0005-0000-0000-0000A29B0000}"/>
    <cellStyle name="Percent 2 4 10" xfId="13740" xr:uid="{00000000-0005-0000-0000-0000A39B0000}"/>
    <cellStyle name="Percent 2 4 10 2" xfId="33105" xr:uid="{00000000-0005-0000-0000-0000A49B0000}"/>
    <cellStyle name="Percent 2 4 11" xfId="21164" xr:uid="{00000000-0005-0000-0000-0000A59B0000}"/>
    <cellStyle name="Percent 2 4 11 2" xfId="40506" xr:uid="{00000000-0005-0000-0000-0000A69B0000}"/>
    <cellStyle name="Percent 2 4 12" xfId="23587" xr:uid="{00000000-0005-0000-0000-0000A79B0000}"/>
    <cellStyle name="Percent 2 4 2" xfId="2894" xr:uid="{00000000-0005-0000-0000-0000A89B0000}"/>
    <cellStyle name="Percent 2 4 2 10" xfId="21963" xr:uid="{00000000-0005-0000-0000-0000A99B0000}"/>
    <cellStyle name="Percent 2 4 2 10 2" xfId="41305" xr:uid="{00000000-0005-0000-0000-0000AA9B0000}"/>
    <cellStyle name="Percent 2 4 2 11" xfId="23705" xr:uid="{00000000-0005-0000-0000-0000AB9B0000}"/>
    <cellStyle name="Percent 2 4 2 2" xfId="3088" xr:uid="{00000000-0005-0000-0000-0000AC9B0000}"/>
    <cellStyle name="Percent 2 4 2 2 2" xfId="4715" xr:uid="{00000000-0005-0000-0000-0000AD9B0000}"/>
    <cellStyle name="Percent 2 4 2 2 2 2" xfId="5349" xr:uid="{00000000-0005-0000-0000-0000AE9B0000}"/>
    <cellStyle name="Percent 2 4 2 2 2 2 2" xfId="6483" xr:uid="{00000000-0005-0000-0000-0000AF9B0000}"/>
    <cellStyle name="Percent 2 4 2 2 2 2 2 2" xfId="8790" xr:uid="{00000000-0005-0000-0000-0000B09B0000}"/>
    <cellStyle name="Percent 2 4 2 2 2 2 2 2 2" xfId="13096" xr:uid="{00000000-0005-0000-0000-0000B19B0000}"/>
    <cellStyle name="Percent 2 4 2 2 2 2 2 2 2 2" xfId="32566" xr:uid="{00000000-0005-0000-0000-0000B29B0000}"/>
    <cellStyle name="Percent 2 4 2 2 2 2 2 2 3" xfId="28269" xr:uid="{00000000-0005-0000-0000-0000B39B0000}"/>
    <cellStyle name="Percent 2 4 2 2 2 2 2 3" xfId="10899" xr:uid="{00000000-0005-0000-0000-0000B49B0000}"/>
    <cellStyle name="Percent 2 4 2 2 2 2 2 3 2" xfId="30369" xr:uid="{00000000-0005-0000-0000-0000B59B0000}"/>
    <cellStyle name="Percent 2 4 2 2 2 2 2 4" xfId="25968" xr:uid="{00000000-0005-0000-0000-0000B69B0000}"/>
    <cellStyle name="Percent 2 4 2 2 2 2 3" xfId="8789" xr:uid="{00000000-0005-0000-0000-0000B79B0000}"/>
    <cellStyle name="Percent 2 4 2 2 2 2 3 2" xfId="13095" xr:uid="{00000000-0005-0000-0000-0000B89B0000}"/>
    <cellStyle name="Percent 2 4 2 2 2 2 3 2 2" xfId="32565" xr:uid="{00000000-0005-0000-0000-0000B99B0000}"/>
    <cellStyle name="Percent 2 4 2 2 2 2 3 3" xfId="28268" xr:uid="{00000000-0005-0000-0000-0000BA9B0000}"/>
    <cellStyle name="Percent 2 4 2 2 2 2 4" xfId="9838" xr:uid="{00000000-0005-0000-0000-0000BB9B0000}"/>
    <cellStyle name="Percent 2 4 2 2 2 2 4 2" xfId="29308" xr:uid="{00000000-0005-0000-0000-0000BC9B0000}"/>
    <cellStyle name="Percent 2 4 2 2 2 2 5" xfId="24840" xr:uid="{00000000-0005-0000-0000-0000BD9B0000}"/>
    <cellStyle name="Percent 2 4 2 2 2 3" xfId="5946" xr:uid="{00000000-0005-0000-0000-0000BE9B0000}"/>
    <cellStyle name="Percent 2 4 2 2 2 3 2" xfId="8791" xr:uid="{00000000-0005-0000-0000-0000BF9B0000}"/>
    <cellStyle name="Percent 2 4 2 2 2 3 2 2" xfId="13097" xr:uid="{00000000-0005-0000-0000-0000C09B0000}"/>
    <cellStyle name="Percent 2 4 2 2 2 3 2 2 2" xfId="32567" xr:uid="{00000000-0005-0000-0000-0000C19B0000}"/>
    <cellStyle name="Percent 2 4 2 2 2 3 2 3" xfId="28270" xr:uid="{00000000-0005-0000-0000-0000C29B0000}"/>
    <cellStyle name="Percent 2 4 2 2 2 3 3" xfId="10368" xr:uid="{00000000-0005-0000-0000-0000C39B0000}"/>
    <cellStyle name="Percent 2 4 2 2 2 3 3 2" xfId="29838" xr:uid="{00000000-0005-0000-0000-0000C49B0000}"/>
    <cellStyle name="Percent 2 4 2 2 2 3 4" xfId="25431" xr:uid="{00000000-0005-0000-0000-0000C59B0000}"/>
    <cellStyle name="Percent 2 4 2 2 2 4" xfId="8788" xr:uid="{00000000-0005-0000-0000-0000C69B0000}"/>
    <cellStyle name="Percent 2 4 2 2 2 4 2" xfId="13094" xr:uid="{00000000-0005-0000-0000-0000C79B0000}"/>
    <cellStyle name="Percent 2 4 2 2 2 4 2 2" xfId="32564" xr:uid="{00000000-0005-0000-0000-0000C89B0000}"/>
    <cellStyle name="Percent 2 4 2 2 2 4 3" xfId="28267" xr:uid="{00000000-0005-0000-0000-0000C99B0000}"/>
    <cellStyle name="Percent 2 4 2 2 2 5" xfId="9308" xr:uid="{00000000-0005-0000-0000-0000CA9B0000}"/>
    <cellStyle name="Percent 2 4 2 2 2 5 2" xfId="28778" xr:uid="{00000000-0005-0000-0000-0000CB9B0000}"/>
    <cellStyle name="Percent 2 4 2 2 2 6" xfId="24226" xr:uid="{00000000-0005-0000-0000-0000CC9B0000}"/>
    <cellStyle name="Percent 2 4 2 2 3" xfId="5053" xr:uid="{00000000-0005-0000-0000-0000CD9B0000}"/>
    <cellStyle name="Percent 2 4 2 2 3 2" xfId="6215" xr:uid="{00000000-0005-0000-0000-0000CE9B0000}"/>
    <cellStyle name="Percent 2 4 2 2 3 2 2" xfId="8793" xr:uid="{00000000-0005-0000-0000-0000CF9B0000}"/>
    <cellStyle name="Percent 2 4 2 2 3 2 2 2" xfId="13099" xr:uid="{00000000-0005-0000-0000-0000D09B0000}"/>
    <cellStyle name="Percent 2 4 2 2 3 2 2 2 2" xfId="32569" xr:uid="{00000000-0005-0000-0000-0000D19B0000}"/>
    <cellStyle name="Percent 2 4 2 2 3 2 2 3" xfId="28272" xr:uid="{00000000-0005-0000-0000-0000D29B0000}"/>
    <cellStyle name="Percent 2 4 2 2 3 2 3" xfId="10633" xr:uid="{00000000-0005-0000-0000-0000D39B0000}"/>
    <cellStyle name="Percent 2 4 2 2 3 2 3 2" xfId="30103" xr:uid="{00000000-0005-0000-0000-0000D49B0000}"/>
    <cellStyle name="Percent 2 4 2 2 3 2 4" xfId="25700" xr:uid="{00000000-0005-0000-0000-0000D59B0000}"/>
    <cellStyle name="Percent 2 4 2 2 3 3" xfId="8792" xr:uid="{00000000-0005-0000-0000-0000D69B0000}"/>
    <cellStyle name="Percent 2 4 2 2 3 3 2" xfId="13098" xr:uid="{00000000-0005-0000-0000-0000D79B0000}"/>
    <cellStyle name="Percent 2 4 2 2 3 3 2 2" xfId="32568" xr:uid="{00000000-0005-0000-0000-0000D89B0000}"/>
    <cellStyle name="Percent 2 4 2 2 3 3 3" xfId="28271" xr:uid="{00000000-0005-0000-0000-0000D99B0000}"/>
    <cellStyle name="Percent 2 4 2 2 3 4" xfId="9573" xr:uid="{00000000-0005-0000-0000-0000DA9B0000}"/>
    <cellStyle name="Percent 2 4 2 2 3 4 2" xfId="29043" xr:uid="{00000000-0005-0000-0000-0000DB9B0000}"/>
    <cellStyle name="Percent 2 4 2 2 3 5" xfId="24547" xr:uid="{00000000-0005-0000-0000-0000DC9B0000}"/>
    <cellStyle name="Percent 2 4 2 2 4" xfId="5658" xr:uid="{00000000-0005-0000-0000-0000DD9B0000}"/>
    <cellStyle name="Percent 2 4 2 2 4 2" xfId="8794" xr:uid="{00000000-0005-0000-0000-0000DE9B0000}"/>
    <cellStyle name="Percent 2 4 2 2 4 2 2" xfId="13100" xr:uid="{00000000-0005-0000-0000-0000DF9B0000}"/>
    <cellStyle name="Percent 2 4 2 2 4 2 2 2" xfId="32570" xr:uid="{00000000-0005-0000-0000-0000E09B0000}"/>
    <cellStyle name="Percent 2 4 2 2 4 2 3" xfId="28273" xr:uid="{00000000-0005-0000-0000-0000E19B0000}"/>
    <cellStyle name="Percent 2 4 2 2 4 3" xfId="10103" xr:uid="{00000000-0005-0000-0000-0000E29B0000}"/>
    <cellStyle name="Percent 2 4 2 2 4 3 2" xfId="29573" xr:uid="{00000000-0005-0000-0000-0000E39B0000}"/>
    <cellStyle name="Percent 2 4 2 2 4 4" xfId="25145" xr:uid="{00000000-0005-0000-0000-0000E49B0000}"/>
    <cellStyle name="Percent 2 4 2 2 5" xfId="8787" xr:uid="{00000000-0005-0000-0000-0000E59B0000}"/>
    <cellStyle name="Percent 2 4 2 2 5 2" xfId="13093" xr:uid="{00000000-0005-0000-0000-0000E69B0000}"/>
    <cellStyle name="Percent 2 4 2 2 5 2 2" xfId="32563" xr:uid="{00000000-0005-0000-0000-0000E79B0000}"/>
    <cellStyle name="Percent 2 4 2 2 5 3" xfId="28266" xr:uid="{00000000-0005-0000-0000-0000E89B0000}"/>
    <cellStyle name="Percent 2 4 2 2 6" xfId="9039" xr:uid="{00000000-0005-0000-0000-0000E99B0000}"/>
    <cellStyle name="Percent 2 4 2 2 6 2" xfId="28513" xr:uid="{00000000-0005-0000-0000-0000EA9B0000}"/>
    <cellStyle name="Percent 2 4 2 2 7" xfId="23897" xr:uid="{00000000-0005-0000-0000-0000EB9B0000}"/>
    <cellStyle name="Percent 2 4 2 3" xfId="4255" xr:uid="{00000000-0005-0000-0000-0000EC9B0000}"/>
    <cellStyle name="Percent 2 4 2 3 2" xfId="4830" xr:uid="{00000000-0005-0000-0000-0000ED9B0000}"/>
    <cellStyle name="Percent 2 4 2 3 2 2" xfId="5455" xr:uid="{00000000-0005-0000-0000-0000EE9B0000}"/>
    <cellStyle name="Percent 2 4 2 3 2 2 2" xfId="6583" xr:uid="{00000000-0005-0000-0000-0000EF9B0000}"/>
    <cellStyle name="Percent 2 4 2 3 2 2 2 2" xfId="8798" xr:uid="{00000000-0005-0000-0000-0000F09B0000}"/>
    <cellStyle name="Percent 2 4 2 3 2 2 2 2 2" xfId="13104" xr:uid="{00000000-0005-0000-0000-0000F19B0000}"/>
    <cellStyle name="Percent 2 4 2 3 2 2 2 2 2 2" xfId="32574" xr:uid="{00000000-0005-0000-0000-0000F29B0000}"/>
    <cellStyle name="Percent 2 4 2 3 2 2 2 2 3" xfId="28277" xr:uid="{00000000-0005-0000-0000-0000F39B0000}"/>
    <cellStyle name="Percent 2 4 2 3 2 2 2 3" xfId="10999" xr:uid="{00000000-0005-0000-0000-0000F49B0000}"/>
    <cellStyle name="Percent 2 4 2 3 2 2 2 3 2" xfId="30469" xr:uid="{00000000-0005-0000-0000-0000F59B0000}"/>
    <cellStyle name="Percent 2 4 2 3 2 2 2 4" xfId="26068" xr:uid="{00000000-0005-0000-0000-0000F69B0000}"/>
    <cellStyle name="Percent 2 4 2 3 2 2 3" xfId="8797" xr:uid="{00000000-0005-0000-0000-0000F79B0000}"/>
    <cellStyle name="Percent 2 4 2 3 2 2 3 2" xfId="13103" xr:uid="{00000000-0005-0000-0000-0000F89B0000}"/>
    <cellStyle name="Percent 2 4 2 3 2 2 3 2 2" xfId="32573" xr:uid="{00000000-0005-0000-0000-0000F99B0000}"/>
    <cellStyle name="Percent 2 4 2 3 2 2 3 3" xfId="28276" xr:uid="{00000000-0005-0000-0000-0000FA9B0000}"/>
    <cellStyle name="Percent 2 4 2 3 2 2 4" xfId="9938" xr:uid="{00000000-0005-0000-0000-0000FB9B0000}"/>
    <cellStyle name="Percent 2 4 2 3 2 2 4 2" xfId="29408" xr:uid="{00000000-0005-0000-0000-0000FC9B0000}"/>
    <cellStyle name="Percent 2 4 2 3 2 2 5" xfId="24946" xr:uid="{00000000-0005-0000-0000-0000FD9B0000}"/>
    <cellStyle name="Percent 2 4 2 3 2 3" xfId="6048" xr:uid="{00000000-0005-0000-0000-0000FE9B0000}"/>
    <cellStyle name="Percent 2 4 2 3 2 3 2" xfId="8799" xr:uid="{00000000-0005-0000-0000-0000FF9B0000}"/>
    <cellStyle name="Percent 2 4 2 3 2 3 2 2" xfId="13105" xr:uid="{00000000-0005-0000-0000-0000009C0000}"/>
    <cellStyle name="Percent 2 4 2 3 2 3 2 2 2" xfId="32575" xr:uid="{00000000-0005-0000-0000-0000019C0000}"/>
    <cellStyle name="Percent 2 4 2 3 2 3 2 3" xfId="28278" xr:uid="{00000000-0005-0000-0000-0000029C0000}"/>
    <cellStyle name="Percent 2 4 2 3 2 3 3" xfId="10468" xr:uid="{00000000-0005-0000-0000-0000039C0000}"/>
    <cellStyle name="Percent 2 4 2 3 2 3 3 2" xfId="29938" xr:uid="{00000000-0005-0000-0000-0000049C0000}"/>
    <cellStyle name="Percent 2 4 2 3 2 3 4" xfId="25533" xr:uid="{00000000-0005-0000-0000-0000059C0000}"/>
    <cellStyle name="Percent 2 4 2 3 2 4" xfId="8796" xr:uid="{00000000-0005-0000-0000-0000069C0000}"/>
    <cellStyle name="Percent 2 4 2 3 2 4 2" xfId="13102" xr:uid="{00000000-0005-0000-0000-0000079C0000}"/>
    <cellStyle name="Percent 2 4 2 3 2 4 2 2" xfId="32572" xr:uid="{00000000-0005-0000-0000-0000089C0000}"/>
    <cellStyle name="Percent 2 4 2 3 2 4 3" xfId="28275" xr:uid="{00000000-0005-0000-0000-0000099C0000}"/>
    <cellStyle name="Percent 2 4 2 3 2 5" xfId="9408" xr:uid="{00000000-0005-0000-0000-00000A9C0000}"/>
    <cellStyle name="Percent 2 4 2 3 2 5 2" xfId="28878" xr:uid="{00000000-0005-0000-0000-00000B9C0000}"/>
    <cellStyle name="Percent 2 4 2 3 2 6" xfId="24332" xr:uid="{00000000-0005-0000-0000-00000C9C0000}"/>
    <cellStyle name="Percent 2 4 2 3 3" xfId="5160" xr:uid="{00000000-0005-0000-0000-00000D9C0000}"/>
    <cellStyle name="Percent 2 4 2 3 3 2" xfId="6316" xr:uid="{00000000-0005-0000-0000-00000E9C0000}"/>
    <cellStyle name="Percent 2 4 2 3 3 2 2" xfId="8801" xr:uid="{00000000-0005-0000-0000-00000F9C0000}"/>
    <cellStyle name="Percent 2 4 2 3 3 2 2 2" xfId="13107" xr:uid="{00000000-0005-0000-0000-0000109C0000}"/>
    <cellStyle name="Percent 2 4 2 3 3 2 2 2 2" xfId="32577" xr:uid="{00000000-0005-0000-0000-0000119C0000}"/>
    <cellStyle name="Percent 2 4 2 3 3 2 2 3" xfId="28280" xr:uid="{00000000-0005-0000-0000-0000129C0000}"/>
    <cellStyle name="Percent 2 4 2 3 3 2 3" xfId="10733" xr:uid="{00000000-0005-0000-0000-0000139C0000}"/>
    <cellStyle name="Percent 2 4 2 3 3 2 3 2" xfId="30203" xr:uid="{00000000-0005-0000-0000-0000149C0000}"/>
    <cellStyle name="Percent 2 4 2 3 3 2 4" xfId="25801" xr:uid="{00000000-0005-0000-0000-0000159C0000}"/>
    <cellStyle name="Percent 2 4 2 3 3 3" xfId="8800" xr:uid="{00000000-0005-0000-0000-0000169C0000}"/>
    <cellStyle name="Percent 2 4 2 3 3 3 2" xfId="13106" xr:uid="{00000000-0005-0000-0000-0000179C0000}"/>
    <cellStyle name="Percent 2 4 2 3 3 3 2 2" xfId="32576" xr:uid="{00000000-0005-0000-0000-0000189C0000}"/>
    <cellStyle name="Percent 2 4 2 3 3 3 3" xfId="28279" xr:uid="{00000000-0005-0000-0000-0000199C0000}"/>
    <cellStyle name="Percent 2 4 2 3 3 4" xfId="9673" xr:uid="{00000000-0005-0000-0000-00001A9C0000}"/>
    <cellStyle name="Percent 2 4 2 3 3 4 2" xfId="29143" xr:uid="{00000000-0005-0000-0000-00001B9C0000}"/>
    <cellStyle name="Percent 2 4 2 3 3 5" xfId="24651" xr:uid="{00000000-0005-0000-0000-00001C9C0000}"/>
    <cellStyle name="Percent 2 4 2 3 4" xfId="5769" xr:uid="{00000000-0005-0000-0000-00001D9C0000}"/>
    <cellStyle name="Percent 2 4 2 3 4 2" xfId="8802" xr:uid="{00000000-0005-0000-0000-00001E9C0000}"/>
    <cellStyle name="Percent 2 4 2 3 4 2 2" xfId="13108" xr:uid="{00000000-0005-0000-0000-00001F9C0000}"/>
    <cellStyle name="Percent 2 4 2 3 4 2 2 2" xfId="32578" xr:uid="{00000000-0005-0000-0000-0000209C0000}"/>
    <cellStyle name="Percent 2 4 2 3 4 2 3" xfId="28281" xr:uid="{00000000-0005-0000-0000-0000219C0000}"/>
    <cellStyle name="Percent 2 4 2 3 4 3" xfId="10203" xr:uid="{00000000-0005-0000-0000-0000229C0000}"/>
    <cellStyle name="Percent 2 4 2 3 4 3 2" xfId="29673" xr:uid="{00000000-0005-0000-0000-0000239C0000}"/>
    <cellStyle name="Percent 2 4 2 3 4 4" xfId="25254" xr:uid="{00000000-0005-0000-0000-0000249C0000}"/>
    <cellStyle name="Percent 2 4 2 3 5" xfId="8795" xr:uid="{00000000-0005-0000-0000-0000259C0000}"/>
    <cellStyle name="Percent 2 4 2 3 5 2" xfId="13101" xr:uid="{00000000-0005-0000-0000-0000269C0000}"/>
    <cellStyle name="Percent 2 4 2 3 5 2 2" xfId="32571" xr:uid="{00000000-0005-0000-0000-0000279C0000}"/>
    <cellStyle name="Percent 2 4 2 3 5 3" xfId="28274" xr:uid="{00000000-0005-0000-0000-0000289C0000}"/>
    <cellStyle name="Percent 2 4 2 3 6" xfId="9142" xr:uid="{00000000-0005-0000-0000-0000299C0000}"/>
    <cellStyle name="Percent 2 4 2 3 6 2" xfId="28613" xr:uid="{00000000-0005-0000-0000-00002A9C0000}"/>
    <cellStyle name="Percent 2 4 2 3 7" xfId="24031" xr:uid="{00000000-0005-0000-0000-00002B9C0000}"/>
    <cellStyle name="Percent 2 4 2 4" xfId="4643" xr:uid="{00000000-0005-0000-0000-00002C9C0000}"/>
    <cellStyle name="Percent 2 4 2 4 2" xfId="5283" xr:uid="{00000000-0005-0000-0000-00002D9C0000}"/>
    <cellStyle name="Percent 2 4 2 4 2 2" xfId="6417" xr:uid="{00000000-0005-0000-0000-00002E9C0000}"/>
    <cellStyle name="Percent 2 4 2 4 2 2 2" xfId="8805" xr:uid="{00000000-0005-0000-0000-00002F9C0000}"/>
    <cellStyle name="Percent 2 4 2 4 2 2 2 2" xfId="13111" xr:uid="{00000000-0005-0000-0000-0000309C0000}"/>
    <cellStyle name="Percent 2 4 2 4 2 2 2 2 2" xfId="32581" xr:uid="{00000000-0005-0000-0000-0000319C0000}"/>
    <cellStyle name="Percent 2 4 2 4 2 2 2 3" xfId="28284" xr:uid="{00000000-0005-0000-0000-0000329C0000}"/>
    <cellStyle name="Percent 2 4 2 4 2 2 3" xfId="10833" xr:uid="{00000000-0005-0000-0000-0000339C0000}"/>
    <cellStyle name="Percent 2 4 2 4 2 2 3 2" xfId="30303" xr:uid="{00000000-0005-0000-0000-0000349C0000}"/>
    <cellStyle name="Percent 2 4 2 4 2 2 4" xfId="25902" xr:uid="{00000000-0005-0000-0000-0000359C0000}"/>
    <cellStyle name="Percent 2 4 2 4 2 3" xfId="8804" xr:uid="{00000000-0005-0000-0000-0000369C0000}"/>
    <cellStyle name="Percent 2 4 2 4 2 3 2" xfId="13110" xr:uid="{00000000-0005-0000-0000-0000379C0000}"/>
    <cellStyle name="Percent 2 4 2 4 2 3 2 2" xfId="32580" xr:uid="{00000000-0005-0000-0000-0000389C0000}"/>
    <cellStyle name="Percent 2 4 2 4 2 3 3" xfId="28283" xr:uid="{00000000-0005-0000-0000-0000399C0000}"/>
    <cellStyle name="Percent 2 4 2 4 2 4" xfId="9772" xr:uid="{00000000-0005-0000-0000-00003A9C0000}"/>
    <cellStyle name="Percent 2 4 2 4 2 4 2" xfId="29242" xr:uid="{00000000-0005-0000-0000-00003B9C0000}"/>
    <cellStyle name="Percent 2 4 2 4 2 5" xfId="24774" xr:uid="{00000000-0005-0000-0000-00003C9C0000}"/>
    <cellStyle name="Percent 2 4 2 4 3" xfId="5880" xr:uid="{00000000-0005-0000-0000-00003D9C0000}"/>
    <cellStyle name="Percent 2 4 2 4 3 2" xfId="8806" xr:uid="{00000000-0005-0000-0000-00003E9C0000}"/>
    <cellStyle name="Percent 2 4 2 4 3 2 2" xfId="13112" xr:uid="{00000000-0005-0000-0000-00003F9C0000}"/>
    <cellStyle name="Percent 2 4 2 4 3 2 2 2" xfId="32582" xr:uid="{00000000-0005-0000-0000-0000409C0000}"/>
    <cellStyle name="Percent 2 4 2 4 3 2 3" xfId="28285" xr:uid="{00000000-0005-0000-0000-0000419C0000}"/>
    <cellStyle name="Percent 2 4 2 4 3 3" xfId="10302" xr:uid="{00000000-0005-0000-0000-0000429C0000}"/>
    <cellStyle name="Percent 2 4 2 4 3 3 2" xfId="29772" xr:uid="{00000000-0005-0000-0000-0000439C0000}"/>
    <cellStyle name="Percent 2 4 2 4 3 4" xfId="25365" xr:uid="{00000000-0005-0000-0000-0000449C0000}"/>
    <cellStyle name="Percent 2 4 2 4 4" xfId="8803" xr:uid="{00000000-0005-0000-0000-0000459C0000}"/>
    <cellStyle name="Percent 2 4 2 4 4 2" xfId="13109" xr:uid="{00000000-0005-0000-0000-0000469C0000}"/>
    <cellStyle name="Percent 2 4 2 4 4 2 2" xfId="32579" xr:uid="{00000000-0005-0000-0000-0000479C0000}"/>
    <cellStyle name="Percent 2 4 2 4 4 3" xfId="28282" xr:uid="{00000000-0005-0000-0000-0000489C0000}"/>
    <cellStyle name="Percent 2 4 2 4 5" xfId="9242" xr:uid="{00000000-0005-0000-0000-0000499C0000}"/>
    <cellStyle name="Percent 2 4 2 4 5 2" xfId="28712" xr:uid="{00000000-0005-0000-0000-00004A9C0000}"/>
    <cellStyle name="Percent 2 4 2 4 6" xfId="24154" xr:uid="{00000000-0005-0000-0000-00004B9C0000}"/>
    <cellStyle name="Percent 2 4 2 5" xfId="4987" xr:uid="{00000000-0005-0000-0000-00004C9C0000}"/>
    <cellStyle name="Percent 2 4 2 5 2" xfId="6149" xr:uid="{00000000-0005-0000-0000-00004D9C0000}"/>
    <cellStyle name="Percent 2 4 2 5 2 2" xfId="8808" xr:uid="{00000000-0005-0000-0000-00004E9C0000}"/>
    <cellStyle name="Percent 2 4 2 5 2 2 2" xfId="13114" xr:uid="{00000000-0005-0000-0000-00004F9C0000}"/>
    <cellStyle name="Percent 2 4 2 5 2 2 2 2" xfId="32584" xr:uid="{00000000-0005-0000-0000-0000509C0000}"/>
    <cellStyle name="Percent 2 4 2 5 2 2 3" xfId="28287" xr:uid="{00000000-0005-0000-0000-0000519C0000}"/>
    <cellStyle name="Percent 2 4 2 5 2 3" xfId="10567" xr:uid="{00000000-0005-0000-0000-0000529C0000}"/>
    <cellStyle name="Percent 2 4 2 5 2 3 2" xfId="30037" xr:uid="{00000000-0005-0000-0000-0000539C0000}"/>
    <cellStyle name="Percent 2 4 2 5 2 4" xfId="25634" xr:uid="{00000000-0005-0000-0000-0000549C0000}"/>
    <cellStyle name="Percent 2 4 2 5 3" xfId="8807" xr:uid="{00000000-0005-0000-0000-0000559C0000}"/>
    <cellStyle name="Percent 2 4 2 5 3 2" xfId="13113" xr:uid="{00000000-0005-0000-0000-0000569C0000}"/>
    <cellStyle name="Percent 2 4 2 5 3 2 2" xfId="32583" xr:uid="{00000000-0005-0000-0000-0000579C0000}"/>
    <cellStyle name="Percent 2 4 2 5 3 3" xfId="28286" xr:uid="{00000000-0005-0000-0000-0000589C0000}"/>
    <cellStyle name="Percent 2 4 2 5 4" xfId="9507" xr:uid="{00000000-0005-0000-0000-0000599C0000}"/>
    <cellStyle name="Percent 2 4 2 5 4 2" xfId="28977" xr:uid="{00000000-0005-0000-0000-00005A9C0000}"/>
    <cellStyle name="Percent 2 4 2 5 5" xfId="24481" xr:uid="{00000000-0005-0000-0000-00005B9C0000}"/>
    <cellStyle name="Percent 2 4 2 6" xfId="5592" xr:uid="{00000000-0005-0000-0000-00005C9C0000}"/>
    <cellStyle name="Percent 2 4 2 6 2" xfId="8809" xr:uid="{00000000-0005-0000-0000-00005D9C0000}"/>
    <cellStyle name="Percent 2 4 2 6 2 2" xfId="13115" xr:uid="{00000000-0005-0000-0000-00005E9C0000}"/>
    <cellStyle name="Percent 2 4 2 6 2 2 2" xfId="32585" xr:uid="{00000000-0005-0000-0000-00005F9C0000}"/>
    <cellStyle name="Percent 2 4 2 6 2 3" xfId="28288" xr:uid="{00000000-0005-0000-0000-0000609C0000}"/>
    <cellStyle name="Percent 2 4 2 6 3" xfId="10037" xr:uid="{00000000-0005-0000-0000-0000619C0000}"/>
    <cellStyle name="Percent 2 4 2 6 3 2" xfId="29507" xr:uid="{00000000-0005-0000-0000-0000629C0000}"/>
    <cellStyle name="Percent 2 4 2 6 4" xfId="25079" xr:uid="{00000000-0005-0000-0000-0000639C0000}"/>
    <cellStyle name="Percent 2 4 2 7" xfId="8786" xr:uid="{00000000-0005-0000-0000-0000649C0000}"/>
    <cellStyle name="Percent 2 4 2 7 2" xfId="13092" xr:uid="{00000000-0005-0000-0000-0000659C0000}"/>
    <cellStyle name="Percent 2 4 2 7 2 2" xfId="32562" xr:uid="{00000000-0005-0000-0000-0000669C0000}"/>
    <cellStyle name="Percent 2 4 2 7 3" xfId="28265" xr:uid="{00000000-0005-0000-0000-0000679C0000}"/>
    <cellStyle name="Percent 2 4 2 8" xfId="8973" xr:uid="{00000000-0005-0000-0000-0000689C0000}"/>
    <cellStyle name="Percent 2 4 2 8 2" xfId="28447" xr:uid="{00000000-0005-0000-0000-0000699C0000}"/>
    <cellStyle name="Percent 2 4 2 9" xfId="14543" xr:uid="{00000000-0005-0000-0000-00006A9C0000}"/>
    <cellStyle name="Percent 2 4 2 9 2" xfId="33904" xr:uid="{00000000-0005-0000-0000-00006B9C0000}"/>
    <cellStyle name="Percent 2 4 3" xfId="2970" xr:uid="{00000000-0005-0000-0000-00006C9C0000}"/>
    <cellStyle name="Percent 2 4 3 2" xfId="4677" xr:uid="{00000000-0005-0000-0000-00006D9C0000}"/>
    <cellStyle name="Percent 2 4 3 2 2" xfId="5317" xr:uid="{00000000-0005-0000-0000-00006E9C0000}"/>
    <cellStyle name="Percent 2 4 3 2 2 2" xfId="6451" xr:uid="{00000000-0005-0000-0000-00006F9C0000}"/>
    <cellStyle name="Percent 2 4 3 2 2 2 2" xfId="8813" xr:uid="{00000000-0005-0000-0000-0000709C0000}"/>
    <cellStyle name="Percent 2 4 3 2 2 2 2 2" xfId="13119" xr:uid="{00000000-0005-0000-0000-0000719C0000}"/>
    <cellStyle name="Percent 2 4 3 2 2 2 2 2 2" xfId="32589" xr:uid="{00000000-0005-0000-0000-0000729C0000}"/>
    <cellStyle name="Percent 2 4 3 2 2 2 2 3" xfId="28292" xr:uid="{00000000-0005-0000-0000-0000739C0000}"/>
    <cellStyle name="Percent 2 4 3 2 2 2 3" xfId="10867" xr:uid="{00000000-0005-0000-0000-0000749C0000}"/>
    <cellStyle name="Percent 2 4 3 2 2 2 3 2" xfId="30337" xr:uid="{00000000-0005-0000-0000-0000759C0000}"/>
    <cellStyle name="Percent 2 4 3 2 2 2 4" xfId="25936" xr:uid="{00000000-0005-0000-0000-0000769C0000}"/>
    <cellStyle name="Percent 2 4 3 2 2 3" xfId="8812" xr:uid="{00000000-0005-0000-0000-0000779C0000}"/>
    <cellStyle name="Percent 2 4 3 2 2 3 2" xfId="13118" xr:uid="{00000000-0005-0000-0000-0000789C0000}"/>
    <cellStyle name="Percent 2 4 3 2 2 3 2 2" xfId="32588" xr:uid="{00000000-0005-0000-0000-0000799C0000}"/>
    <cellStyle name="Percent 2 4 3 2 2 3 3" xfId="28291" xr:uid="{00000000-0005-0000-0000-00007A9C0000}"/>
    <cellStyle name="Percent 2 4 3 2 2 4" xfId="9806" xr:uid="{00000000-0005-0000-0000-00007B9C0000}"/>
    <cellStyle name="Percent 2 4 3 2 2 4 2" xfId="29276" xr:uid="{00000000-0005-0000-0000-00007C9C0000}"/>
    <cellStyle name="Percent 2 4 3 2 2 5" xfId="24808" xr:uid="{00000000-0005-0000-0000-00007D9C0000}"/>
    <cellStyle name="Percent 2 4 3 2 3" xfId="5914" xr:uid="{00000000-0005-0000-0000-00007E9C0000}"/>
    <cellStyle name="Percent 2 4 3 2 3 2" xfId="8814" xr:uid="{00000000-0005-0000-0000-00007F9C0000}"/>
    <cellStyle name="Percent 2 4 3 2 3 2 2" xfId="13120" xr:uid="{00000000-0005-0000-0000-0000809C0000}"/>
    <cellStyle name="Percent 2 4 3 2 3 2 2 2" xfId="32590" xr:uid="{00000000-0005-0000-0000-0000819C0000}"/>
    <cellStyle name="Percent 2 4 3 2 3 2 3" xfId="28293" xr:uid="{00000000-0005-0000-0000-0000829C0000}"/>
    <cellStyle name="Percent 2 4 3 2 3 3" xfId="10336" xr:uid="{00000000-0005-0000-0000-0000839C0000}"/>
    <cellStyle name="Percent 2 4 3 2 3 3 2" xfId="29806" xr:uid="{00000000-0005-0000-0000-0000849C0000}"/>
    <cellStyle name="Percent 2 4 3 2 3 4" xfId="25399" xr:uid="{00000000-0005-0000-0000-0000859C0000}"/>
    <cellStyle name="Percent 2 4 3 2 4" xfId="8811" xr:uid="{00000000-0005-0000-0000-0000869C0000}"/>
    <cellStyle name="Percent 2 4 3 2 4 2" xfId="13117" xr:uid="{00000000-0005-0000-0000-0000879C0000}"/>
    <cellStyle name="Percent 2 4 3 2 4 2 2" xfId="32587" xr:uid="{00000000-0005-0000-0000-0000889C0000}"/>
    <cellStyle name="Percent 2 4 3 2 4 3" xfId="28290" xr:uid="{00000000-0005-0000-0000-0000899C0000}"/>
    <cellStyle name="Percent 2 4 3 2 5" xfId="9276" xr:uid="{00000000-0005-0000-0000-00008A9C0000}"/>
    <cellStyle name="Percent 2 4 3 2 5 2" xfId="28746" xr:uid="{00000000-0005-0000-0000-00008B9C0000}"/>
    <cellStyle name="Percent 2 4 3 2 6" xfId="24188" xr:uid="{00000000-0005-0000-0000-00008C9C0000}"/>
    <cellStyle name="Percent 2 4 3 3" xfId="5021" xr:uid="{00000000-0005-0000-0000-00008D9C0000}"/>
    <cellStyle name="Percent 2 4 3 3 2" xfId="6183" xr:uid="{00000000-0005-0000-0000-00008E9C0000}"/>
    <cellStyle name="Percent 2 4 3 3 2 2" xfId="8816" xr:uid="{00000000-0005-0000-0000-00008F9C0000}"/>
    <cellStyle name="Percent 2 4 3 3 2 2 2" xfId="13122" xr:uid="{00000000-0005-0000-0000-0000909C0000}"/>
    <cellStyle name="Percent 2 4 3 3 2 2 2 2" xfId="32592" xr:uid="{00000000-0005-0000-0000-0000919C0000}"/>
    <cellStyle name="Percent 2 4 3 3 2 2 3" xfId="28295" xr:uid="{00000000-0005-0000-0000-0000929C0000}"/>
    <cellStyle name="Percent 2 4 3 3 2 3" xfId="10601" xr:uid="{00000000-0005-0000-0000-0000939C0000}"/>
    <cellStyle name="Percent 2 4 3 3 2 3 2" xfId="30071" xr:uid="{00000000-0005-0000-0000-0000949C0000}"/>
    <cellStyle name="Percent 2 4 3 3 2 4" xfId="25668" xr:uid="{00000000-0005-0000-0000-0000959C0000}"/>
    <cellStyle name="Percent 2 4 3 3 3" xfId="8815" xr:uid="{00000000-0005-0000-0000-0000969C0000}"/>
    <cellStyle name="Percent 2 4 3 3 3 2" xfId="13121" xr:uid="{00000000-0005-0000-0000-0000979C0000}"/>
    <cellStyle name="Percent 2 4 3 3 3 2 2" xfId="32591" xr:uid="{00000000-0005-0000-0000-0000989C0000}"/>
    <cellStyle name="Percent 2 4 3 3 3 3" xfId="28294" xr:uid="{00000000-0005-0000-0000-0000999C0000}"/>
    <cellStyle name="Percent 2 4 3 3 4" xfId="9541" xr:uid="{00000000-0005-0000-0000-00009A9C0000}"/>
    <cellStyle name="Percent 2 4 3 3 4 2" xfId="29011" xr:uid="{00000000-0005-0000-0000-00009B9C0000}"/>
    <cellStyle name="Percent 2 4 3 3 5" xfId="24515" xr:uid="{00000000-0005-0000-0000-00009C9C0000}"/>
    <cellStyle name="Percent 2 4 3 4" xfId="5626" xr:uid="{00000000-0005-0000-0000-00009D9C0000}"/>
    <cellStyle name="Percent 2 4 3 4 2" xfId="8817" xr:uid="{00000000-0005-0000-0000-00009E9C0000}"/>
    <cellStyle name="Percent 2 4 3 4 2 2" xfId="13123" xr:uid="{00000000-0005-0000-0000-00009F9C0000}"/>
    <cellStyle name="Percent 2 4 3 4 2 2 2" xfId="32593" xr:uid="{00000000-0005-0000-0000-0000A09C0000}"/>
    <cellStyle name="Percent 2 4 3 4 2 3" xfId="28296" xr:uid="{00000000-0005-0000-0000-0000A19C0000}"/>
    <cellStyle name="Percent 2 4 3 4 3" xfId="10071" xr:uid="{00000000-0005-0000-0000-0000A29C0000}"/>
    <cellStyle name="Percent 2 4 3 4 3 2" xfId="29541" xr:uid="{00000000-0005-0000-0000-0000A39C0000}"/>
    <cellStyle name="Percent 2 4 3 4 4" xfId="25113" xr:uid="{00000000-0005-0000-0000-0000A49C0000}"/>
    <cellStyle name="Percent 2 4 3 5" xfId="8810" xr:uid="{00000000-0005-0000-0000-0000A59C0000}"/>
    <cellStyle name="Percent 2 4 3 5 2" xfId="13116" xr:uid="{00000000-0005-0000-0000-0000A69C0000}"/>
    <cellStyle name="Percent 2 4 3 5 2 2" xfId="32586" xr:uid="{00000000-0005-0000-0000-0000A79C0000}"/>
    <cellStyle name="Percent 2 4 3 5 3" xfId="28289" xr:uid="{00000000-0005-0000-0000-0000A89C0000}"/>
    <cellStyle name="Percent 2 4 3 6" xfId="9007" xr:uid="{00000000-0005-0000-0000-0000A99C0000}"/>
    <cellStyle name="Percent 2 4 3 6 2" xfId="28481" xr:uid="{00000000-0005-0000-0000-0000AA9C0000}"/>
    <cellStyle name="Percent 2 4 3 7" xfId="23779" xr:uid="{00000000-0005-0000-0000-0000AB9C0000}"/>
    <cellStyle name="Percent 2 4 4" xfId="4183" xr:uid="{00000000-0005-0000-0000-0000AC9C0000}"/>
    <cellStyle name="Percent 2 4 4 2" xfId="4775" xr:uid="{00000000-0005-0000-0000-0000AD9C0000}"/>
    <cellStyle name="Percent 2 4 4 2 2" xfId="5401" xr:uid="{00000000-0005-0000-0000-0000AE9C0000}"/>
    <cellStyle name="Percent 2 4 4 2 2 2" xfId="6529" xr:uid="{00000000-0005-0000-0000-0000AF9C0000}"/>
    <cellStyle name="Percent 2 4 4 2 2 2 2" xfId="8821" xr:uid="{00000000-0005-0000-0000-0000B09C0000}"/>
    <cellStyle name="Percent 2 4 4 2 2 2 2 2" xfId="13127" xr:uid="{00000000-0005-0000-0000-0000B19C0000}"/>
    <cellStyle name="Percent 2 4 4 2 2 2 2 2 2" xfId="32597" xr:uid="{00000000-0005-0000-0000-0000B29C0000}"/>
    <cellStyle name="Percent 2 4 4 2 2 2 2 3" xfId="28300" xr:uid="{00000000-0005-0000-0000-0000B39C0000}"/>
    <cellStyle name="Percent 2 4 4 2 2 2 3" xfId="10945" xr:uid="{00000000-0005-0000-0000-0000B49C0000}"/>
    <cellStyle name="Percent 2 4 4 2 2 2 3 2" xfId="30415" xr:uid="{00000000-0005-0000-0000-0000B59C0000}"/>
    <cellStyle name="Percent 2 4 4 2 2 2 4" xfId="26014" xr:uid="{00000000-0005-0000-0000-0000B69C0000}"/>
    <cellStyle name="Percent 2 4 4 2 2 3" xfId="8820" xr:uid="{00000000-0005-0000-0000-0000B79C0000}"/>
    <cellStyle name="Percent 2 4 4 2 2 3 2" xfId="13126" xr:uid="{00000000-0005-0000-0000-0000B89C0000}"/>
    <cellStyle name="Percent 2 4 4 2 2 3 2 2" xfId="32596" xr:uid="{00000000-0005-0000-0000-0000B99C0000}"/>
    <cellStyle name="Percent 2 4 4 2 2 3 3" xfId="28299" xr:uid="{00000000-0005-0000-0000-0000BA9C0000}"/>
    <cellStyle name="Percent 2 4 4 2 2 4" xfId="9884" xr:uid="{00000000-0005-0000-0000-0000BB9C0000}"/>
    <cellStyle name="Percent 2 4 4 2 2 4 2" xfId="29354" xr:uid="{00000000-0005-0000-0000-0000BC9C0000}"/>
    <cellStyle name="Percent 2 4 4 2 2 5" xfId="24892" xr:uid="{00000000-0005-0000-0000-0000BD9C0000}"/>
    <cellStyle name="Percent 2 4 4 2 3" xfId="5993" xr:uid="{00000000-0005-0000-0000-0000BE9C0000}"/>
    <cellStyle name="Percent 2 4 4 2 3 2" xfId="8822" xr:uid="{00000000-0005-0000-0000-0000BF9C0000}"/>
    <cellStyle name="Percent 2 4 4 2 3 2 2" xfId="13128" xr:uid="{00000000-0005-0000-0000-0000C09C0000}"/>
    <cellStyle name="Percent 2 4 4 2 3 2 2 2" xfId="32598" xr:uid="{00000000-0005-0000-0000-0000C19C0000}"/>
    <cellStyle name="Percent 2 4 4 2 3 2 3" xfId="28301" xr:uid="{00000000-0005-0000-0000-0000C29C0000}"/>
    <cellStyle name="Percent 2 4 4 2 3 3" xfId="10414" xr:uid="{00000000-0005-0000-0000-0000C39C0000}"/>
    <cellStyle name="Percent 2 4 4 2 3 3 2" xfId="29884" xr:uid="{00000000-0005-0000-0000-0000C49C0000}"/>
    <cellStyle name="Percent 2 4 4 2 3 4" xfId="25478" xr:uid="{00000000-0005-0000-0000-0000C59C0000}"/>
    <cellStyle name="Percent 2 4 4 2 4" xfId="8819" xr:uid="{00000000-0005-0000-0000-0000C69C0000}"/>
    <cellStyle name="Percent 2 4 4 2 4 2" xfId="13125" xr:uid="{00000000-0005-0000-0000-0000C79C0000}"/>
    <cellStyle name="Percent 2 4 4 2 4 2 2" xfId="32595" xr:uid="{00000000-0005-0000-0000-0000C89C0000}"/>
    <cellStyle name="Percent 2 4 4 2 4 3" xfId="28298" xr:uid="{00000000-0005-0000-0000-0000C99C0000}"/>
    <cellStyle name="Percent 2 4 4 2 5" xfId="9354" xr:uid="{00000000-0005-0000-0000-0000CA9C0000}"/>
    <cellStyle name="Percent 2 4 4 2 5 2" xfId="28824" xr:uid="{00000000-0005-0000-0000-0000CB9C0000}"/>
    <cellStyle name="Percent 2 4 4 2 6" xfId="24277" xr:uid="{00000000-0005-0000-0000-0000CC9C0000}"/>
    <cellStyle name="Percent 2 4 4 3" xfId="5106" xr:uid="{00000000-0005-0000-0000-0000CD9C0000}"/>
    <cellStyle name="Percent 2 4 4 3 2" xfId="6262" xr:uid="{00000000-0005-0000-0000-0000CE9C0000}"/>
    <cellStyle name="Percent 2 4 4 3 2 2" xfId="8824" xr:uid="{00000000-0005-0000-0000-0000CF9C0000}"/>
    <cellStyle name="Percent 2 4 4 3 2 2 2" xfId="13130" xr:uid="{00000000-0005-0000-0000-0000D09C0000}"/>
    <cellStyle name="Percent 2 4 4 3 2 2 2 2" xfId="32600" xr:uid="{00000000-0005-0000-0000-0000D19C0000}"/>
    <cellStyle name="Percent 2 4 4 3 2 2 3" xfId="28303" xr:uid="{00000000-0005-0000-0000-0000D29C0000}"/>
    <cellStyle name="Percent 2 4 4 3 2 3" xfId="10679" xr:uid="{00000000-0005-0000-0000-0000D39C0000}"/>
    <cellStyle name="Percent 2 4 4 3 2 3 2" xfId="30149" xr:uid="{00000000-0005-0000-0000-0000D49C0000}"/>
    <cellStyle name="Percent 2 4 4 3 2 4" xfId="25747" xr:uid="{00000000-0005-0000-0000-0000D59C0000}"/>
    <cellStyle name="Percent 2 4 4 3 3" xfId="8823" xr:uid="{00000000-0005-0000-0000-0000D69C0000}"/>
    <cellStyle name="Percent 2 4 4 3 3 2" xfId="13129" xr:uid="{00000000-0005-0000-0000-0000D79C0000}"/>
    <cellStyle name="Percent 2 4 4 3 3 2 2" xfId="32599" xr:uid="{00000000-0005-0000-0000-0000D89C0000}"/>
    <cellStyle name="Percent 2 4 4 3 3 3" xfId="28302" xr:uid="{00000000-0005-0000-0000-0000D99C0000}"/>
    <cellStyle name="Percent 2 4 4 3 4" xfId="9619" xr:uid="{00000000-0005-0000-0000-0000DA9C0000}"/>
    <cellStyle name="Percent 2 4 4 3 4 2" xfId="29089" xr:uid="{00000000-0005-0000-0000-0000DB9C0000}"/>
    <cellStyle name="Percent 2 4 4 3 5" xfId="24597" xr:uid="{00000000-0005-0000-0000-0000DC9C0000}"/>
    <cellStyle name="Percent 2 4 4 4" xfId="5715" xr:uid="{00000000-0005-0000-0000-0000DD9C0000}"/>
    <cellStyle name="Percent 2 4 4 4 2" xfId="8825" xr:uid="{00000000-0005-0000-0000-0000DE9C0000}"/>
    <cellStyle name="Percent 2 4 4 4 2 2" xfId="13131" xr:uid="{00000000-0005-0000-0000-0000DF9C0000}"/>
    <cellStyle name="Percent 2 4 4 4 2 2 2" xfId="32601" xr:uid="{00000000-0005-0000-0000-0000E09C0000}"/>
    <cellStyle name="Percent 2 4 4 4 2 3" xfId="28304" xr:uid="{00000000-0005-0000-0000-0000E19C0000}"/>
    <cellStyle name="Percent 2 4 4 4 3" xfId="10149" xr:uid="{00000000-0005-0000-0000-0000E29C0000}"/>
    <cellStyle name="Percent 2 4 4 4 3 2" xfId="29619" xr:uid="{00000000-0005-0000-0000-0000E39C0000}"/>
    <cellStyle name="Percent 2 4 4 4 4" xfId="25200" xr:uid="{00000000-0005-0000-0000-0000E49C0000}"/>
    <cellStyle name="Percent 2 4 4 5" xfId="8818" xr:uid="{00000000-0005-0000-0000-0000E59C0000}"/>
    <cellStyle name="Percent 2 4 4 5 2" xfId="13124" xr:uid="{00000000-0005-0000-0000-0000E69C0000}"/>
    <cellStyle name="Percent 2 4 4 5 2 2" xfId="32594" xr:uid="{00000000-0005-0000-0000-0000E79C0000}"/>
    <cellStyle name="Percent 2 4 4 5 3" xfId="28297" xr:uid="{00000000-0005-0000-0000-0000E89C0000}"/>
    <cellStyle name="Percent 2 4 4 6" xfId="9088" xr:uid="{00000000-0005-0000-0000-0000E99C0000}"/>
    <cellStyle name="Percent 2 4 4 6 2" xfId="28559" xr:uid="{00000000-0005-0000-0000-0000EA9C0000}"/>
    <cellStyle name="Percent 2 4 4 7" xfId="23975" xr:uid="{00000000-0005-0000-0000-0000EB9C0000}"/>
    <cellStyle name="Percent 2 4 5" xfId="4611" xr:uid="{00000000-0005-0000-0000-0000EC9C0000}"/>
    <cellStyle name="Percent 2 4 5 2" xfId="5251" xr:uid="{00000000-0005-0000-0000-0000ED9C0000}"/>
    <cellStyle name="Percent 2 4 5 2 2" xfId="6385" xr:uid="{00000000-0005-0000-0000-0000EE9C0000}"/>
    <cellStyle name="Percent 2 4 5 2 2 2" xfId="8828" xr:uid="{00000000-0005-0000-0000-0000EF9C0000}"/>
    <cellStyle name="Percent 2 4 5 2 2 2 2" xfId="13134" xr:uid="{00000000-0005-0000-0000-0000F09C0000}"/>
    <cellStyle name="Percent 2 4 5 2 2 2 2 2" xfId="32604" xr:uid="{00000000-0005-0000-0000-0000F19C0000}"/>
    <cellStyle name="Percent 2 4 5 2 2 2 3" xfId="28307" xr:uid="{00000000-0005-0000-0000-0000F29C0000}"/>
    <cellStyle name="Percent 2 4 5 2 2 3" xfId="10801" xr:uid="{00000000-0005-0000-0000-0000F39C0000}"/>
    <cellStyle name="Percent 2 4 5 2 2 3 2" xfId="30271" xr:uid="{00000000-0005-0000-0000-0000F49C0000}"/>
    <cellStyle name="Percent 2 4 5 2 2 4" xfId="25870" xr:uid="{00000000-0005-0000-0000-0000F59C0000}"/>
    <cellStyle name="Percent 2 4 5 2 3" xfId="8827" xr:uid="{00000000-0005-0000-0000-0000F69C0000}"/>
    <cellStyle name="Percent 2 4 5 2 3 2" xfId="13133" xr:uid="{00000000-0005-0000-0000-0000F79C0000}"/>
    <cellStyle name="Percent 2 4 5 2 3 2 2" xfId="32603" xr:uid="{00000000-0005-0000-0000-0000F89C0000}"/>
    <cellStyle name="Percent 2 4 5 2 3 3" xfId="28306" xr:uid="{00000000-0005-0000-0000-0000F99C0000}"/>
    <cellStyle name="Percent 2 4 5 2 4" xfId="9740" xr:uid="{00000000-0005-0000-0000-0000FA9C0000}"/>
    <cellStyle name="Percent 2 4 5 2 4 2" xfId="29210" xr:uid="{00000000-0005-0000-0000-0000FB9C0000}"/>
    <cellStyle name="Percent 2 4 5 2 5" xfId="24742" xr:uid="{00000000-0005-0000-0000-0000FC9C0000}"/>
    <cellStyle name="Percent 2 4 5 3" xfId="5848" xr:uid="{00000000-0005-0000-0000-0000FD9C0000}"/>
    <cellStyle name="Percent 2 4 5 3 2" xfId="8829" xr:uid="{00000000-0005-0000-0000-0000FE9C0000}"/>
    <cellStyle name="Percent 2 4 5 3 2 2" xfId="13135" xr:uid="{00000000-0005-0000-0000-0000FF9C0000}"/>
    <cellStyle name="Percent 2 4 5 3 2 2 2" xfId="32605" xr:uid="{00000000-0005-0000-0000-0000009D0000}"/>
    <cellStyle name="Percent 2 4 5 3 2 3" xfId="28308" xr:uid="{00000000-0005-0000-0000-0000019D0000}"/>
    <cellStyle name="Percent 2 4 5 3 3" xfId="10270" xr:uid="{00000000-0005-0000-0000-0000029D0000}"/>
    <cellStyle name="Percent 2 4 5 3 3 2" xfId="29740" xr:uid="{00000000-0005-0000-0000-0000039D0000}"/>
    <cellStyle name="Percent 2 4 5 3 4" xfId="25333" xr:uid="{00000000-0005-0000-0000-0000049D0000}"/>
    <cellStyle name="Percent 2 4 5 4" xfId="8826" xr:uid="{00000000-0005-0000-0000-0000059D0000}"/>
    <cellStyle name="Percent 2 4 5 4 2" xfId="13132" xr:uid="{00000000-0005-0000-0000-0000069D0000}"/>
    <cellStyle name="Percent 2 4 5 4 2 2" xfId="32602" xr:uid="{00000000-0005-0000-0000-0000079D0000}"/>
    <cellStyle name="Percent 2 4 5 4 3" xfId="28305" xr:uid="{00000000-0005-0000-0000-0000089D0000}"/>
    <cellStyle name="Percent 2 4 5 5" xfId="9210" xr:uid="{00000000-0005-0000-0000-0000099D0000}"/>
    <cellStyle name="Percent 2 4 5 5 2" xfId="28680" xr:uid="{00000000-0005-0000-0000-00000A9D0000}"/>
    <cellStyle name="Percent 2 4 5 6" xfId="24122" xr:uid="{00000000-0005-0000-0000-00000B9D0000}"/>
    <cellStyle name="Percent 2 4 6" xfId="4955" xr:uid="{00000000-0005-0000-0000-00000C9D0000}"/>
    <cellStyle name="Percent 2 4 6 2" xfId="6117" xr:uid="{00000000-0005-0000-0000-00000D9D0000}"/>
    <cellStyle name="Percent 2 4 6 2 2" xfId="8831" xr:uid="{00000000-0005-0000-0000-00000E9D0000}"/>
    <cellStyle name="Percent 2 4 6 2 2 2" xfId="13137" xr:uid="{00000000-0005-0000-0000-00000F9D0000}"/>
    <cellStyle name="Percent 2 4 6 2 2 2 2" xfId="32607" xr:uid="{00000000-0005-0000-0000-0000109D0000}"/>
    <cellStyle name="Percent 2 4 6 2 2 3" xfId="28310" xr:uid="{00000000-0005-0000-0000-0000119D0000}"/>
    <cellStyle name="Percent 2 4 6 2 3" xfId="10535" xr:uid="{00000000-0005-0000-0000-0000129D0000}"/>
    <cellStyle name="Percent 2 4 6 2 3 2" xfId="30005" xr:uid="{00000000-0005-0000-0000-0000139D0000}"/>
    <cellStyle name="Percent 2 4 6 2 4" xfId="25602" xr:uid="{00000000-0005-0000-0000-0000149D0000}"/>
    <cellStyle name="Percent 2 4 6 3" xfId="8830" xr:uid="{00000000-0005-0000-0000-0000159D0000}"/>
    <cellStyle name="Percent 2 4 6 3 2" xfId="13136" xr:uid="{00000000-0005-0000-0000-0000169D0000}"/>
    <cellStyle name="Percent 2 4 6 3 2 2" xfId="32606" xr:uid="{00000000-0005-0000-0000-0000179D0000}"/>
    <cellStyle name="Percent 2 4 6 3 3" xfId="28309" xr:uid="{00000000-0005-0000-0000-0000189D0000}"/>
    <cellStyle name="Percent 2 4 6 4" xfId="9475" xr:uid="{00000000-0005-0000-0000-0000199D0000}"/>
    <cellStyle name="Percent 2 4 6 4 2" xfId="28945" xr:uid="{00000000-0005-0000-0000-00001A9D0000}"/>
    <cellStyle name="Percent 2 4 6 5" xfId="24449" xr:uid="{00000000-0005-0000-0000-00001B9D0000}"/>
    <cellStyle name="Percent 2 4 7" xfId="5559" xr:uid="{00000000-0005-0000-0000-00001C9D0000}"/>
    <cellStyle name="Percent 2 4 7 2" xfId="8832" xr:uid="{00000000-0005-0000-0000-00001D9D0000}"/>
    <cellStyle name="Percent 2 4 7 2 2" xfId="13138" xr:uid="{00000000-0005-0000-0000-00001E9D0000}"/>
    <cellStyle name="Percent 2 4 7 2 2 2" xfId="32608" xr:uid="{00000000-0005-0000-0000-00001F9D0000}"/>
    <cellStyle name="Percent 2 4 7 2 3" xfId="28311" xr:uid="{00000000-0005-0000-0000-0000209D0000}"/>
    <cellStyle name="Percent 2 4 7 3" xfId="10005" xr:uid="{00000000-0005-0000-0000-0000219D0000}"/>
    <cellStyle name="Percent 2 4 7 3 2" xfId="29475" xr:uid="{00000000-0005-0000-0000-0000229D0000}"/>
    <cellStyle name="Percent 2 4 7 4" xfId="25047" xr:uid="{00000000-0005-0000-0000-0000239D0000}"/>
    <cellStyle name="Percent 2 4 8" xfId="8785" xr:uid="{00000000-0005-0000-0000-0000249D0000}"/>
    <cellStyle name="Percent 2 4 8 2" xfId="13091" xr:uid="{00000000-0005-0000-0000-0000259D0000}"/>
    <cellStyle name="Percent 2 4 8 2 2" xfId="32561" xr:uid="{00000000-0005-0000-0000-0000269D0000}"/>
    <cellStyle name="Percent 2 4 8 3" xfId="28264" xr:uid="{00000000-0005-0000-0000-0000279D0000}"/>
    <cellStyle name="Percent 2 4 9" xfId="8941" xr:uid="{00000000-0005-0000-0000-0000289D0000}"/>
    <cellStyle name="Percent 2 4 9 2" xfId="28415" xr:uid="{00000000-0005-0000-0000-0000299D0000}"/>
    <cellStyle name="Percent 2 5" xfId="4004" xr:uid="{00000000-0005-0000-0000-00002A9D0000}"/>
    <cellStyle name="Percent 2 5 10" xfId="23948" xr:uid="{00000000-0005-0000-0000-00002B9D0000}"/>
    <cellStyle name="Percent 2 5 2" xfId="4237" xr:uid="{00000000-0005-0000-0000-00002C9D0000}"/>
    <cellStyle name="Percent 2 5 2 2" xfId="4812" xr:uid="{00000000-0005-0000-0000-00002D9D0000}"/>
    <cellStyle name="Percent 2 5 2 2 2" xfId="5437" xr:uid="{00000000-0005-0000-0000-00002E9D0000}"/>
    <cellStyle name="Percent 2 5 2 2 2 2" xfId="6565" xr:uid="{00000000-0005-0000-0000-00002F9D0000}"/>
    <cellStyle name="Percent 2 5 2 2 2 2 2" xfId="8837" xr:uid="{00000000-0005-0000-0000-0000309D0000}"/>
    <cellStyle name="Percent 2 5 2 2 2 2 2 2" xfId="13143" xr:uid="{00000000-0005-0000-0000-0000319D0000}"/>
    <cellStyle name="Percent 2 5 2 2 2 2 2 2 2" xfId="32613" xr:uid="{00000000-0005-0000-0000-0000329D0000}"/>
    <cellStyle name="Percent 2 5 2 2 2 2 2 3" xfId="28316" xr:uid="{00000000-0005-0000-0000-0000339D0000}"/>
    <cellStyle name="Percent 2 5 2 2 2 2 3" xfId="10981" xr:uid="{00000000-0005-0000-0000-0000349D0000}"/>
    <cellStyle name="Percent 2 5 2 2 2 2 3 2" xfId="30451" xr:uid="{00000000-0005-0000-0000-0000359D0000}"/>
    <cellStyle name="Percent 2 5 2 2 2 2 4" xfId="26050" xr:uid="{00000000-0005-0000-0000-0000369D0000}"/>
    <cellStyle name="Percent 2 5 2 2 2 3" xfId="8836" xr:uid="{00000000-0005-0000-0000-0000379D0000}"/>
    <cellStyle name="Percent 2 5 2 2 2 3 2" xfId="13142" xr:uid="{00000000-0005-0000-0000-0000389D0000}"/>
    <cellStyle name="Percent 2 5 2 2 2 3 2 2" xfId="32612" xr:uid="{00000000-0005-0000-0000-0000399D0000}"/>
    <cellStyle name="Percent 2 5 2 2 2 3 3" xfId="28315" xr:uid="{00000000-0005-0000-0000-00003A9D0000}"/>
    <cellStyle name="Percent 2 5 2 2 2 4" xfId="9920" xr:uid="{00000000-0005-0000-0000-00003B9D0000}"/>
    <cellStyle name="Percent 2 5 2 2 2 4 2" xfId="29390" xr:uid="{00000000-0005-0000-0000-00003C9D0000}"/>
    <cellStyle name="Percent 2 5 2 2 2 5" xfId="24928" xr:uid="{00000000-0005-0000-0000-00003D9D0000}"/>
    <cellStyle name="Percent 2 5 2 2 3" xfId="6030" xr:uid="{00000000-0005-0000-0000-00003E9D0000}"/>
    <cellStyle name="Percent 2 5 2 2 3 2" xfId="8838" xr:uid="{00000000-0005-0000-0000-00003F9D0000}"/>
    <cellStyle name="Percent 2 5 2 2 3 2 2" xfId="13144" xr:uid="{00000000-0005-0000-0000-0000409D0000}"/>
    <cellStyle name="Percent 2 5 2 2 3 2 2 2" xfId="32614" xr:uid="{00000000-0005-0000-0000-0000419D0000}"/>
    <cellStyle name="Percent 2 5 2 2 3 2 3" xfId="28317" xr:uid="{00000000-0005-0000-0000-0000429D0000}"/>
    <cellStyle name="Percent 2 5 2 2 3 3" xfId="10450" xr:uid="{00000000-0005-0000-0000-0000439D0000}"/>
    <cellStyle name="Percent 2 5 2 2 3 3 2" xfId="29920" xr:uid="{00000000-0005-0000-0000-0000449D0000}"/>
    <cellStyle name="Percent 2 5 2 2 3 4" xfId="25515" xr:uid="{00000000-0005-0000-0000-0000459D0000}"/>
    <cellStyle name="Percent 2 5 2 2 4" xfId="8835" xr:uid="{00000000-0005-0000-0000-0000469D0000}"/>
    <cellStyle name="Percent 2 5 2 2 4 2" xfId="13141" xr:uid="{00000000-0005-0000-0000-0000479D0000}"/>
    <cellStyle name="Percent 2 5 2 2 4 2 2" xfId="32611" xr:uid="{00000000-0005-0000-0000-0000489D0000}"/>
    <cellStyle name="Percent 2 5 2 2 4 3" xfId="28314" xr:uid="{00000000-0005-0000-0000-0000499D0000}"/>
    <cellStyle name="Percent 2 5 2 2 5" xfId="9390" xr:uid="{00000000-0005-0000-0000-00004A9D0000}"/>
    <cellStyle name="Percent 2 5 2 2 5 2" xfId="28860" xr:uid="{00000000-0005-0000-0000-00004B9D0000}"/>
    <cellStyle name="Percent 2 5 2 2 6" xfId="24314" xr:uid="{00000000-0005-0000-0000-00004C9D0000}"/>
    <cellStyle name="Percent 2 5 2 3" xfId="5142" xr:uid="{00000000-0005-0000-0000-00004D9D0000}"/>
    <cellStyle name="Percent 2 5 2 3 2" xfId="6298" xr:uid="{00000000-0005-0000-0000-00004E9D0000}"/>
    <cellStyle name="Percent 2 5 2 3 2 2" xfId="8840" xr:uid="{00000000-0005-0000-0000-00004F9D0000}"/>
    <cellStyle name="Percent 2 5 2 3 2 2 2" xfId="13146" xr:uid="{00000000-0005-0000-0000-0000509D0000}"/>
    <cellStyle name="Percent 2 5 2 3 2 2 2 2" xfId="32616" xr:uid="{00000000-0005-0000-0000-0000519D0000}"/>
    <cellStyle name="Percent 2 5 2 3 2 2 3" xfId="28319" xr:uid="{00000000-0005-0000-0000-0000529D0000}"/>
    <cellStyle name="Percent 2 5 2 3 2 3" xfId="10715" xr:uid="{00000000-0005-0000-0000-0000539D0000}"/>
    <cellStyle name="Percent 2 5 2 3 2 3 2" xfId="30185" xr:uid="{00000000-0005-0000-0000-0000549D0000}"/>
    <cellStyle name="Percent 2 5 2 3 2 4" xfId="25783" xr:uid="{00000000-0005-0000-0000-0000559D0000}"/>
    <cellStyle name="Percent 2 5 2 3 3" xfId="8839" xr:uid="{00000000-0005-0000-0000-0000569D0000}"/>
    <cellStyle name="Percent 2 5 2 3 3 2" xfId="13145" xr:uid="{00000000-0005-0000-0000-0000579D0000}"/>
    <cellStyle name="Percent 2 5 2 3 3 2 2" xfId="32615" xr:uid="{00000000-0005-0000-0000-0000589D0000}"/>
    <cellStyle name="Percent 2 5 2 3 3 3" xfId="28318" xr:uid="{00000000-0005-0000-0000-0000599D0000}"/>
    <cellStyle name="Percent 2 5 2 3 4" xfId="9655" xr:uid="{00000000-0005-0000-0000-00005A9D0000}"/>
    <cellStyle name="Percent 2 5 2 3 4 2" xfId="29125" xr:uid="{00000000-0005-0000-0000-00005B9D0000}"/>
    <cellStyle name="Percent 2 5 2 3 5" xfId="24633" xr:uid="{00000000-0005-0000-0000-00005C9D0000}"/>
    <cellStyle name="Percent 2 5 2 4" xfId="5751" xr:uid="{00000000-0005-0000-0000-00005D9D0000}"/>
    <cellStyle name="Percent 2 5 2 4 2" xfId="8841" xr:uid="{00000000-0005-0000-0000-00005E9D0000}"/>
    <cellStyle name="Percent 2 5 2 4 2 2" xfId="13147" xr:uid="{00000000-0005-0000-0000-00005F9D0000}"/>
    <cellStyle name="Percent 2 5 2 4 2 2 2" xfId="32617" xr:uid="{00000000-0005-0000-0000-0000609D0000}"/>
    <cellStyle name="Percent 2 5 2 4 2 3" xfId="28320" xr:uid="{00000000-0005-0000-0000-0000619D0000}"/>
    <cellStyle name="Percent 2 5 2 4 3" xfId="10185" xr:uid="{00000000-0005-0000-0000-0000629D0000}"/>
    <cellStyle name="Percent 2 5 2 4 3 2" xfId="29655" xr:uid="{00000000-0005-0000-0000-0000639D0000}"/>
    <cellStyle name="Percent 2 5 2 4 4" xfId="25236" xr:uid="{00000000-0005-0000-0000-0000649D0000}"/>
    <cellStyle name="Percent 2 5 2 5" xfId="8834" xr:uid="{00000000-0005-0000-0000-0000659D0000}"/>
    <cellStyle name="Percent 2 5 2 5 2" xfId="13140" xr:uid="{00000000-0005-0000-0000-0000669D0000}"/>
    <cellStyle name="Percent 2 5 2 5 2 2" xfId="32610" xr:uid="{00000000-0005-0000-0000-0000679D0000}"/>
    <cellStyle name="Percent 2 5 2 5 3" xfId="28313" xr:uid="{00000000-0005-0000-0000-0000689D0000}"/>
    <cellStyle name="Percent 2 5 2 6" xfId="9124" xr:uid="{00000000-0005-0000-0000-0000699D0000}"/>
    <cellStyle name="Percent 2 5 2 6 2" xfId="28595" xr:uid="{00000000-0005-0000-0000-00006A9D0000}"/>
    <cellStyle name="Percent 2 5 2 7" xfId="24013" xr:uid="{00000000-0005-0000-0000-00006B9D0000}"/>
    <cellStyle name="Percent 2 5 3" xfId="4749" xr:uid="{00000000-0005-0000-0000-00006C9D0000}"/>
    <cellStyle name="Percent 2 5 3 2" xfId="5379" xr:uid="{00000000-0005-0000-0000-00006D9D0000}"/>
    <cellStyle name="Percent 2 5 3 2 2" xfId="6507" xr:uid="{00000000-0005-0000-0000-00006E9D0000}"/>
    <cellStyle name="Percent 2 5 3 2 2 2" xfId="8844" xr:uid="{00000000-0005-0000-0000-00006F9D0000}"/>
    <cellStyle name="Percent 2 5 3 2 2 2 2" xfId="13150" xr:uid="{00000000-0005-0000-0000-0000709D0000}"/>
    <cellStyle name="Percent 2 5 3 2 2 2 2 2" xfId="32620" xr:uid="{00000000-0005-0000-0000-0000719D0000}"/>
    <cellStyle name="Percent 2 5 3 2 2 2 3" xfId="28323" xr:uid="{00000000-0005-0000-0000-0000729D0000}"/>
    <cellStyle name="Percent 2 5 3 2 2 3" xfId="10923" xr:uid="{00000000-0005-0000-0000-0000739D0000}"/>
    <cellStyle name="Percent 2 5 3 2 2 3 2" xfId="30393" xr:uid="{00000000-0005-0000-0000-0000749D0000}"/>
    <cellStyle name="Percent 2 5 3 2 2 4" xfId="25992" xr:uid="{00000000-0005-0000-0000-0000759D0000}"/>
    <cellStyle name="Percent 2 5 3 2 3" xfId="8843" xr:uid="{00000000-0005-0000-0000-0000769D0000}"/>
    <cellStyle name="Percent 2 5 3 2 3 2" xfId="13149" xr:uid="{00000000-0005-0000-0000-0000779D0000}"/>
    <cellStyle name="Percent 2 5 3 2 3 2 2" xfId="32619" xr:uid="{00000000-0005-0000-0000-0000789D0000}"/>
    <cellStyle name="Percent 2 5 3 2 3 3" xfId="28322" xr:uid="{00000000-0005-0000-0000-0000799D0000}"/>
    <cellStyle name="Percent 2 5 3 2 4" xfId="9862" xr:uid="{00000000-0005-0000-0000-00007A9D0000}"/>
    <cellStyle name="Percent 2 5 3 2 4 2" xfId="29332" xr:uid="{00000000-0005-0000-0000-00007B9D0000}"/>
    <cellStyle name="Percent 2 5 3 2 5" xfId="24870" xr:uid="{00000000-0005-0000-0000-00007C9D0000}"/>
    <cellStyle name="Percent 2 5 3 3" xfId="5970" xr:uid="{00000000-0005-0000-0000-00007D9D0000}"/>
    <cellStyle name="Percent 2 5 3 3 2" xfId="8845" xr:uid="{00000000-0005-0000-0000-00007E9D0000}"/>
    <cellStyle name="Percent 2 5 3 3 2 2" xfId="13151" xr:uid="{00000000-0005-0000-0000-00007F9D0000}"/>
    <cellStyle name="Percent 2 5 3 3 2 2 2" xfId="32621" xr:uid="{00000000-0005-0000-0000-0000809D0000}"/>
    <cellStyle name="Percent 2 5 3 3 2 3" xfId="28324" xr:uid="{00000000-0005-0000-0000-0000819D0000}"/>
    <cellStyle name="Percent 2 5 3 3 3" xfId="10392" xr:uid="{00000000-0005-0000-0000-0000829D0000}"/>
    <cellStyle name="Percent 2 5 3 3 3 2" xfId="29862" xr:uid="{00000000-0005-0000-0000-0000839D0000}"/>
    <cellStyle name="Percent 2 5 3 3 4" xfId="25455" xr:uid="{00000000-0005-0000-0000-0000849D0000}"/>
    <cellStyle name="Percent 2 5 3 4" xfId="8842" xr:uid="{00000000-0005-0000-0000-0000859D0000}"/>
    <cellStyle name="Percent 2 5 3 4 2" xfId="13148" xr:uid="{00000000-0005-0000-0000-0000869D0000}"/>
    <cellStyle name="Percent 2 5 3 4 2 2" xfId="32618" xr:uid="{00000000-0005-0000-0000-0000879D0000}"/>
    <cellStyle name="Percent 2 5 3 4 3" xfId="28321" xr:uid="{00000000-0005-0000-0000-0000889D0000}"/>
    <cellStyle name="Percent 2 5 3 5" xfId="9332" xr:uid="{00000000-0005-0000-0000-0000899D0000}"/>
    <cellStyle name="Percent 2 5 3 5 2" xfId="28802" xr:uid="{00000000-0005-0000-0000-00008A9D0000}"/>
    <cellStyle name="Percent 2 5 3 6" xfId="24254" xr:uid="{00000000-0005-0000-0000-00008B9D0000}"/>
    <cellStyle name="Percent 2 5 4" xfId="5081" xr:uid="{00000000-0005-0000-0000-00008C9D0000}"/>
    <cellStyle name="Percent 2 5 4 2" xfId="6240" xr:uid="{00000000-0005-0000-0000-00008D9D0000}"/>
    <cellStyle name="Percent 2 5 4 2 2" xfId="8847" xr:uid="{00000000-0005-0000-0000-00008E9D0000}"/>
    <cellStyle name="Percent 2 5 4 2 2 2" xfId="13153" xr:uid="{00000000-0005-0000-0000-00008F9D0000}"/>
    <cellStyle name="Percent 2 5 4 2 2 2 2" xfId="32623" xr:uid="{00000000-0005-0000-0000-0000909D0000}"/>
    <cellStyle name="Percent 2 5 4 2 2 3" xfId="28326" xr:uid="{00000000-0005-0000-0000-0000919D0000}"/>
    <cellStyle name="Percent 2 5 4 2 3" xfId="10657" xr:uid="{00000000-0005-0000-0000-0000929D0000}"/>
    <cellStyle name="Percent 2 5 4 2 3 2" xfId="30127" xr:uid="{00000000-0005-0000-0000-0000939D0000}"/>
    <cellStyle name="Percent 2 5 4 2 4" xfId="25725" xr:uid="{00000000-0005-0000-0000-0000949D0000}"/>
    <cellStyle name="Percent 2 5 4 3" xfId="8846" xr:uid="{00000000-0005-0000-0000-0000959D0000}"/>
    <cellStyle name="Percent 2 5 4 3 2" xfId="13152" xr:uid="{00000000-0005-0000-0000-0000969D0000}"/>
    <cellStyle name="Percent 2 5 4 3 2 2" xfId="32622" xr:uid="{00000000-0005-0000-0000-0000979D0000}"/>
    <cellStyle name="Percent 2 5 4 3 3" xfId="28325" xr:uid="{00000000-0005-0000-0000-0000989D0000}"/>
    <cellStyle name="Percent 2 5 4 4" xfId="9597" xr:uid="{00000000-0005-0000-0000-0000999D0000}"/>
    <cellStyle name="Percent 2 5 4 4 2" xfId="29067" xr:uid="{00000000-0005-0000-0000-00009A9D0000}"/>
    <cellStyle name="Percent 2 5 4 5" xfId="24572" xr:uid="{00000000-0005-0000-0000-00009B9D0000}"/>
    <cellStyle name="Percent 2 5 5" xfId="5692" xr:uid="{00000000-0005-0000-0000-00009C9D0000}"/>
    <cellStyle name="Percent 2 5 5 2" xfId="8848" xr:uid="{00000000-0005-0000-0000-00009D9D0000}"/>
    <cellStyle name="Percent 2 5 5 2 2" xfId="13154" xr:uid="{00000000-0005-0000-0000-00009E9D0000}"/>
    <cellStyle name="Percent 2 5 5 2 2 2" xfId="32624" xr:uid="{00000000-0005-0000-0000-00009F9D0000}"/>
    <cellStyle name="Percent 2 5 5 2 3" xfId="28327" xr:uid="{00000000-0005-0000-0000-0000A09D0000}"/>
    <cellStyle name="Percent 2 5 5 3" xfId="10127" xr:uid="{00000000-0005-0000-0000-0000A19D0000}"/>
    <cellStyle name="Percent 2 5 5 3 2" xfId="29597" xr:uid="{00000000-0005-0000-0000-0000A29D0000}"/>
    <cellStyle name="Percent 2 5 5 4" xfId="25177" xr:uid="{00000000-0005-0000-0000-0000A39D0000}"/>
    <cellStyle name="Percent 2 5 6" xfId="8833" xr:uid="{00000000-0005-0000-0000-0000A49D0000}"/>
    <cellStyle name="Percent 2 5 6 2" xfId="13139" xr:uid="{00000000-0005-0000-0000-0000A59D0000}"/>
    <cellStyle name="Percent 2 5 6 2 2" xfId="32609" xr:uid="{00000000-0005-0000-0000-0000A69D0000}"/>
    <cellStyle name="Percent 2 5 6 3" xfId="28312" xr:uid="{00000000-0005-0000-0000-0000A79D0000}"/>
    <cellStyle name="Percent 2 5 7" xfId="9066" xr:uid="{00000000-0005-0000-0000-0000A89D0000}"/>
    <cellStyle name="Percent 2 5 7 2" xfId="28537" xr:uid="{00000000-0005-0000-0000-0000A99D0000}"/>
    <cellStyle name="Percent 2 5 8" xfId="14256" xr:uid="{00000000-0005-0000-0000-0000AA9D0000}"/>
    <cellStyle name="Percent 2 5 8 2" xfId="33618" xr:uid="{00000000-0005-0000-0000-0000AB9D0000}"/>
    <cellStyle name="Percent 2 5 9" xfId="21677" xr:uid="{00000000-0005-0000-0000-0000AC9D0000}"/>
    <cellStyle name="Percent 2 5 9 2" xfId="41019" xr:uid="{00000000-0005-0000-0000-0000AD9D0000}"/>
    <cellStyle name="Percent 2 6" xfId="4108" xr:uid="{00000000-0005-0000-0000-0000AE9D0000}"/>
    <cellStyle name="Percent 2 6 2" xfId="4754" xr:uid="{00000000-0005-0000-0000-0000AF9D0000}"/>
    <cellStyle name="Percent 2 6 2 2" xfId="5383" xr:uid="{00000000-0005-0000-0000-0000B09D0000}"/>
    <cellStyle name="Percent 2 6 2 2 2" xfId="6511" xr:uid="{00000000-0005-0000-0000-0000B19D0000}"/>
    <cellStyle name="Percent 2 6 2 2 2 2" xfId="8852" xr:uid="{00000000-0005-0000-0000-0000B29D0000}"/>
    <cellStyle name="Percent 2 6 2 2 2 2 2" xfId="13158" xr:uid="{00000000-0005-0000-0000-0000B39D0000}"/>
    <cellStyle name="Percent 2 6 2 2 2 2 2 2" xfId="32628" xr:uid="{00000000-0005-0000-0000-0000B49D0000}"/>
    <cellStyle name="Percent 2 6 2 2 2 2 3" xfId="28331" xr:uid="{00000000-0005-0000-0000-0000B59D0000}"/>
    <cellStyle name="Percent 2 6 2 2 2 3" xfId="10927" xr:uid="{00000000-0005-0000-0000-0000B69D0000}"/>
    <cellStyle name="Percent 2 6 2 2 2 3 2" xfId="30397" xr:uid="{00000000-0005-0000-0000-0000B79D0000}"/>
    <cellStyle name="Percent 2 6 2 2 2 4" xfId="25996" xr:uid="{00000000-0005-0000-0000-0000B89D0000}"/>
    <cellStyle name="Percent 2 6 2 2 3" xfId="8851" xr:uid="{00000000-0005-0000-0000-0000B99D0000}"/>
    <cellStyle name="Percent 2 6 2 2 3 2" xfId="13157" xr:uid="{00000000-0005-0000-0000-0000BA9D0000}"/>
    <cellStyle name="Percent 2 6 2 2 3 2 2" xfId="32627" xr:uid="{00000000-0005-0000-0000-0000BB9D0000}"/>
    <cellStyle name="Percent 2 6 2 2 3 3" xfId="28330" xr:uid="{00000000-0005-0000-0000-0000BC9D0000}"/>
    <cellStyle name="Percent 2 6 2 2 4" xfId="9866" xr:uid="{00000000-0005-0000-0000-0000BD9D0000}"/>
    <cellStyle name="Percent 2 6 2 2 4 2" xfId="29336" xr:uid="{00000000-0005-0000-0000-0000BE9D0000}"/>
    <cellStyle name="Percent 2 6 2 2 5" xfId="24874" xr:uid="{00000000-0005-0000-0000-0000BF9D0000}"/>
    <cellStyle name="Percent 2 6 2 3" xfId="5974" xr:uid="{00000000-0005-0000-0000-0000C09D0000}"/>
    <cellStyle name="Percent 2 6 2 3 2" xfId="8853" xr:uid="{00000000-0005-0000-0000-0000C19D0000}"/>
    <cellStyle name="Percent 2 6 2 3 2 2" xfId="13159" xr:uid="{00000000-0005-0000-0000-0000C29D0000}"/>
    <cellStyle name="Percent 2 6 2 3 2 2 2" xfId="32629" xr:uid="{00000000-0005-0000-0000-0000C39D0000}"/>
    <cellStyle name="Percent 2 6 2 3 2 3" xfId="28332" xr:uid="{00000000-0005-0000-0000-0000C49D0000}"/>
    <cellStyle name="Percent 2 6 2 3 3" xfId="10396" xr:uid="{00000000-0005-0000-0000-0000C59D0000}"/>
    <cellStyle name="Percent 2 6 2 3 3 2" xfId="29866" xr:uid="{00000000-0005-0000-0000-0000C69D0000}"/>
    <cellStyle name="Percent 2 6 2 3 4" xfId="25459" xr:uid="{00000000-0005-0000-0000-0000C79D0000}"/>
    <cellStyle name="Percent 2 6 2 4" xfId="8850" xr:uid="{00000000-0005-0000-0000-0000C89D0000}"/>
    <cellStyle name="Percent 2 6 2 4 2" xfId="13156" xr:uid="{00000000-0005-0000-0000-0000C99D0000}"/>
    <cellStyle name="Percent 2 6 2 4 2 2" xfId="32626" xr:uid="{00000000-0005-0000-0000-0000CA9D0000}"/>
    <cellStyle name="Percent 2 6 2 4 3" xfId="28329" xr:uid="{00000000-0005-0000-0000-0000CB9D0000}"/>
    <cellStyle name="Percent 2 6 2 5" xfId="9336" xr:uid="{00000000-0005-0000-0000-0000CC9D0000}"/>
    <cellStyle name="Percent 2 6 2 5 2" xfId="28806" xr:uid="{00000000-0005-0000-0000-0000CD9D0000}"/>
    <cellStyle name="Percent 2 6 2 6" xfId="24259" xr:uid="{00000000-0005-0000-0000-0000CE9D0000}"/>
    <cellStyle name="Percent 2 6 3" xfId="5088" xr:uid="{00000000-0005-0000-0000-0000CF9D0000}"/>
    <cellStyle name="Percent 2 6 3 2" xfId="6244" xr:uid="{00000000-0005-0000-0000-0000D09D0000}"/>
    <cellStyle name="Percent 2 6 3 2 2" xfId="8855" xr:uid="{00000000-0005-0000-0000-0000D19D0000}"/>
    <cellStyle name="Percent 2 6 3 2 2 2" xfId="13161" xr:uid="{00000000-0005-0000-0000-0000D29D0000}"/>
    <cellStyle name="Percent 2 6 3 2 2 2 2" xfId="32631" xr:uid="{00000000-0005-0000-0000-0000D39D0000}"/>
    <cellStyle name="Percent 2 6 3 2 2 3" xfId="28334" xr:uid="{00000000-0005-0000-0000-0000D49D0000}"/>
    <cellStyle name="Percent 2 6 3 2 3" xfId="10661" xr:uid="{00000000-0005-0000-0000-0000D59D0000}"/>
    <cellStyle name="Percent 2 6 3 2 3 2" xfId="30131" xr:uid="{00000000-0005-0000-0000-0000D69D0000}"/>
    <cellStyle name="Percent 2 6 3 2 4" xfId="25729" xr:uid="{00000000-0005-0000-0000-0000D79D0000}"/>
    <cellStyle name="Percent 2 6 3 3" xfId="8854" xr:uid="{00000000-0005-0000-0000-0000D89D0000}"/>
    <cellStyle name="Percent 2 6 3 3 2" xfId="13160" xr:uid="{00000000-0005-0000-0000-0000D99D0000}"/>
    <cellStyle name="Percent 2 6 3 3 2 2" xfId="32630" xr:uid="{00000000-0005-0000-0000-0000DA9D0000}"/>
    <cellStyle name="Percent 2 6 3 3 3" xfId="28333" xr:uid="{00000000-0005-0000-0000-0000DB9D0000}"/>
    <cellStyle name="Percent 2 6 3 4" xfId="9601" xr:uid="{00000000-0005-0000-0000-0000DC9D0000}"/>
    <cellStyle name="Percent 2 6 3 4 2" xfId="29071" xr:uid="{00000000-0005-0000-0000-0000DD9D0000}"/>
    <cellStyle name="Percent 2 6 3 5" xfId="24579" xr:uid="{00000000-0005-0000-0000-0000DE9D0000}"/>
    <cellStyle name="Percent 2 6 4" xfId="5696" xr:uid="{00000000-0005-0000-0000-0000DF9D0000}"/>
    <cellStyle name="Percent 2 6 4 2" xfId="8856" xr:uid="{00000000-0005-0000-0000-0000E09D0000}"/>
    <cellStyle name="Percent 2 6 4 2 2" xfId="13162" xr:uid="{00000000-0005-0000-0000-0000E19D0000}"/>
    <cellStyle name="Percent 2 6 4 2 2 2" xfId="32632" xr:uid="{00000000-0005-0000-0000-0000E29D0000}"/>
    <cellStyle name="Percent 2 6 4 2 3" xfId="28335" xr:uid="{00000000-0005-0000-0000-0000E39D0000}"/>
    <cellStyle name="Percent 2 6 4 3" xfId="10131" xr:uid="{00000000-0005-0000-0000-0000E49D0000}"/>
    <cellStyle name="Percent 2 6 4 3 2" xfId="29601" xr:uid="{00000000-0005-0000-0000-0000E59D0000}"/>
    <cellStyle name="Percent 2 6 4 4" xfId="25181" xr:uid="{00000000-0005-0000-0000-0000E69D0000}"/>
    <cellStyle name="Percent 2 6 5" xfId="8849" xr:uid="{00000000-0005-0000-0000-0000E79D0000}"/>
    <cellStyle name="Percent 2 6 5 2" xfId="13155" xr:uid="{00000000-0005-0000-0000-0000E89D0000}"/>
    <cellStyle name="Percent 2 6 5 2 2" xfId="32625" xr:uid="{00000000-0005-0000-0000-0000E99D0000}"/>
    <cellStyle name="Percent 2 6 5 3" xfId="28328" xr:uid="{00000000-0005-0000-0000-0000EA9D0000}"/>
    <cellStyle name="Percent 2 6 6" xfId="9070" xr:uid="{00000000-0005-0000-0000-0000EB9D0000}"/>
    <cellStyle name="Percent 2 6 6 2" xfId="28541" xr:uid="{00000000-0005-0000-0000-0000EC9D0000}"/>
    <cellStyle name="Percent 2 6 7" xfId="23956" xr:uid="{00000000-0005-0000-0000-0000ED9D0000}"/>
    <cellStyle name="Percent 2 7" xfId="13355" xr:uid="{00000000-0005-0000-0000-0000EE9D0000}"/>
    <cellStyle name="Percent 2 7 2" xfId="32755" xr:uid="{00000000-0005-0000-0000-0000EF9D0000}"/>
    <cellStyle name="Percent 2 8" xfId="20917" xr:uid="{00000000-0005-0000-0000-0000F09D0000}"/>
    <cellStyle name="Percent 2 8 2" xfId="40262" xr:uid="{00000000-0005-0000-0000-0000F19D0000}"/>
    <cellStyle name="Percent 20" xfId="42750" xr:uid="{3DB135CE-1F56-4A72-8471-0397F8A57582}"/>
    <cellStyle name="Percent 21" xfId="42752" xr:uid="{A7B2E4DB-3161-4E8B-B855-1846E4C55728}"/>
    <cellStyle name="Percent 3" xfId="2147" xr:uid="{00000000-0005-0000-0000-0000F29D0000}"/>
    <cellStyle name="Percent 3 2" xfId="4292" xr:uid="{00000000-0005-0000-0000-0000F39D0000}"/>
    <cellStyle name="Percent 3 2 2" xfId="4865" xr:uid="{00000000-0005-0000-0000-0000F49D0000}"/>
    <cellStyle name="Percent 3 3" xfId="4569" xr:uid="{00000000-0005-0000-0000-0000F59D0000}"/>
    <cellStyle name="Percent 4" xfId="2678" xr:uid="{00000000-0005-0000-0000-0000F69D0000}"/>
    <cellStyle name="Percent 4 2" xfId="4289" xr:uid="{00000000-0005-0000-0000-0000F79D0000}"/>
    <cellStyle name="Percent 4 2 2" xfId="4864" xr:uid="{00000000-0005-0000-0000-0000F89D0000}"/>
    <cellStyle name="Percent 4 2 2 2" xfId="5489" xr:uid="{00000000-0005-0000-0000-0000F99D0000}"/>
    <cellStyle name="Percent 4 2 2 2 2" xfId="6617" xr:uid="{00000000-0005-0000-0000-0000FA9D0000}"/>
    <cellStyle name="Percent 4 2 2 2 2 2" xfId="8860" xr:uid="{00000000-0005-0000-0000-0000FB9D0000}"/>
    <cellStyle name="Percent 4 2 2 2 2 2 2" xfId="13166" xr:uid="{00000000-0005-0000-0000-0000FC9D0000}"/>
    <cellStyle name="Percent 4 2 2 2 2 2 2 2" xfId="32636" xr:uid="{00000000-0005-0000-0000-0000FD9D0000}"/>
    <cellStyle name="Percent 4 2 2 2 2 2 3" xfId="28339" xr:uid="{00000000-0005-0000-0000-0000FE9D0000}"/>
    <cellStyle name="Percent 4 2 2 2 2 3" xfId="11033" xr:uid="{00000000-0005-0000-0000-0000FF9D0000}"/>
    <cellStyle name="Percent 4 2 2 2 2 3 2" xfId="30503" xr:uid="{00000000-0005-0000-0000-0000009E0000}"/>
    <cellStyle name="Percent 4 2 2 2 2 4" xfId="26102" xr:uid="{00000000-0005-0000-0000-0000019E0000}"/>
    <cellStyle name="Percent 4 2 2 2 3" xfId="8859" xr:uid="{00000000-0005-0000-0000-0000029E0000}"/>
    <cellStyle name="Percent 4 2 2 2 3 2" xfId="13165" xr:uid="{00000000-0005-0000-0000-0000039E0000}"/>
    <cellStyle name="Percent 4 2 2 2 3 2 2" xfId="32635" xr:uid="{00000000-0005-0000-0000-0000049E0000}"/>
    <cellStyle name="Percent 4 2 2 2 3 3" xfId="28338" xr:uid="{00000000-0005-0000-0000-0000059E0000}"/>
    <cellStyle name="Percent 4 2 2 2 4" xfId="9972" xr:uid="{00000000-0005-0000-0000-0000069E0000}"/>
    <cellStyle name="Percent 4 2 2 2 4 2" xfId="29442" xr:uid="{00000000-0005-0000-0000-0000079E0000}"/>
    <cellStyle name="Percent 4 2 2 2 5" xfId="24980" xr:uid="{00000000-0005-0000-0000-0000089E0000}"/>
    <cellStyle name="Percent 4 2 2 3" xfId="6082" xr:uid="{00000000-0005-0000-0000-0000099E0000}"/>
    <cellStyle name="Percent 4 2 2 3 2" xfId="8861" xr:uid="{00000000-0005-0000-0000-00000A9E0000}"/>
    <cellStyle name="Percent 4 2 2 3 2 2" xfId="13167" xr:uid="{00000000-0005-0000-0000-00000B9E0000}"/>
    <cellStyle name="Percent 4 2 2 3 2 2 2" xfId="32637" xr:uid="{00000000-0005-0000-0000-00000C9E0000}"/>
    <cellStyle name="Percent 4 2 2 3 2 3" xfId="28340" xr:uid="{00000000-0005-0000-0000-00000D9E0000}"/>
    <cellStyle name="Percent 4 2 2 3 3" xfId="10502" xr:uid="{00000000-0005-0000-0000-00000E9E0000}"/>
    <cellStyle name="Percent 4 2 2 3 3 2" xfId="29972" xr:uid="{00000000-0005-0000-0000-00000F9E0000}"/>
    <cellStyle name="Percent 4 2 2 3 4" xfId="25567" xr:uid="{00000000-0005-0000-0000-0000109E0000}"/>
    <cellStyle name="Percent 4 2 2 4" xfId="8858" xr:uid="{00000000-0005-0000-0000-0000119E0000}"/>
    <cellStyle name="Percent 4 2 2 4 2" xfId="13164" xr:uid="{00000000-0005-0000-0000-0000129E0000}"/>
    <cellStyle name="Percent 4 2 2 4 2 2" xfId="32634" xr:uid="{00000000-0005-0000-0000-0000139E0000}"/>
    <cellStyle name="Percent 4 2 2 4 3" xfId="28337" xr:uid="{00000000-0005-0000-0000-0000149E0000}"/>
    <cellStyle name="Percent 4 2 2 5" xfId="9442" xr:uid="{00000000-0005-0000-0000-0000159E0000}"/>
    <cellStyle name="Percent 4 2 2 5 2" xfId="28912" xr:uid="{00000000-0005-0000-0000-0000169E0000}"/>
    <cellStyle name="Percent 4 2 2 6" xfId="24366" xr:uid="{00000000-0005-0000-0000-0000179E0000}"/>
    <cellStyle name="Percent 4 2 3" xfId="5194" xr:uid="{00000000-0005-0000-0000-0000189E0000}"/>
    <cellStyle name="Percent 4 2 3 2" xfId="6350" xr:uid="{00000000-0005-0000-0000-0000199E0000}"/>
    <cellStyle name="Percent 4 2 3 2 2" xfId="8863" xr:uid="{00000000-0005-0000-0000-00001A9E0000}"/>
    <cellStyle name="Percent 4 2 3 2 2 2" xfId="13169" xr:uid="{00000000-0005-0000-0000-00001B9E0000}"/>
    <cellStyle name="Percent 4 2 3 2 2 2 2" xfId="32639" xr:uid="{00000000-0005-0000-0000-00001C9E0000}"/>
    <cellStyle name="Percent 4 2 3 2 2 3" xfId="28342" xr:uid="{00000000-0005-0000-0000-00001D9E0000}"/>
    <cellStyle name="Percent 4 2 3 2 3" xfId="10767" xr:uid="{00000000-0005-0000-0000-00001E9E0000}"/>
    <cellStyle name="Percent 4 2 3 2 3 2" xfId="30237" xr:uid="{00000000-0005-0000-0000-00001F9E0000}"/>
    <cellStyle name="Percent 4 2 3 2 4" xfId="25835" xr:uid="{00000000-0005-0000-0000-0000209E0000}"/>
    <cellStyle name="Percent 4 2 3 3" xfId="8862" xr:uid="{00000000-0005-0000-0000-0000219E0000}"/>
    <cellStyle name="Percent 4 2 3 3 2" xfId="13168" xr:uid="{00000000-0005-0000-0000-0000229E0000}"/>
    <cellStyle name="Percent 4 2 3 3 2 2" xfId="32638" xr:uid="{00000000-0005-0000-0000-0000239E0000}"/>
    <cellStyle name="Percent 4 2 3 3 3" xfId="28341" xr:uid="{00000000-0005-0000-0000-0000249E0000}"/>
    <cellStyle name="Percent 4 2 3 4" xfId="9707" xr:uid="{00000000-0005-0000-0000-0000259E0000}"/>
    <cellStyle name="Percent 4 2 3 4 2" xfId="29177" xr:uid="{00000000-0005-0000-0000-0000269E0000}"/>
    <cellStyle name="Percent 4 2 3 5" xfId="24685" xr:uid="{00000000-0005-0000-0000-0000279E0000}"/>
    <cellStyle name="Percent 4 2 4" xfId="5803" xr:uid="{00000000-0005-0000-0000-0000289E0000}"/>
    <cellStyle name="Percent 4 2 4 2" xfId="8864" xr:uid="{00000000-0005-0000-0000-0000299E0000}"/>
    <cellStyle name="Percent 4 2 4 2 2" xfId="13170" xr:uid="{00000000-0005-0000-0000-00002A9E0000}"/>
    <cellStyle name="Percent 4 2 4 2 2 2" xfId="32640" xr:uid="{00000000-0005-0000-0000-00002B9E0000}"/>
    <cellStyle name="Percent 4 2 4 2 3" xfId="28343" xr:uid="{00000000-0005-0000-0000-00002C9E0000}"/>
    <cellStyle name="Percent 4 2 4 3" xfId="10237" xr:uid="{00000000-0005-0000-0000-00002D9E0000}"/>
    <cellStyle name="Percent 4 2 4 3 2" xfId="29707" xr:uid="{00000000-0005-0000-0000-00002E9E0000}"/>
    <cellStyle name="Percent 4 2 4 4" xfId="25288" xr:uid="{00000000-0005-0000-0000-00002F9E0000}"/>
    <cellStyle name="Percent 4 2 5" xfId="8857" xr:uid="{00000000-0005-0000-0000-0000309E0000}"/>
    <cellStyle name="Percent 4 2 5 2" xfId="13163" xr:uid="{00000000-0005-0000-0000-0000319E0000}"/>
    <cellStyle name="Percent 4 2 5 2 2" xfId="32633" xr:uid="{00000000-0005-0000-0000-0000329E0000}"/>
    <cellStyle name="Percent 4 2 5 3" xfId="28336" xr:uid="{00000000-0005-0000-0000-0000339E0000}"/>
    <cellStyle name="Percent 4 2 6" xfId="9176" xr:uid="{00000000-0005-0000-0000-0000349E0000}"/>
    <cellStyle name="Percent 4 2 6 2" xfId="28647" xr:uid="{00000000-0005-0000-0000-0000359E0000}"/>
    <cellStyle name="Percent 4 2 7" xfId="24065" xr:uid="{00000000-0005-0000-0000-0000369E0000}"/>
    <cellStyle name="Percent 5" xfId="2679" xr:uid="{00000000-0005-0000-0000-0000379E0000}"/>
    <cellStyle name="Percent 6" xfId="2680" xr:uid="{00000000-0005-0000-0000-0000389E0000}"/>
    <cellStyle name="Percent 7" xfId="2681" xr:uid="{00000000-0005-0000-0000-0000399E0000}"/>
    <cellStyle name="Percent 8" xfId="2682" xr:uid="{00000000-0005-0000-0000-00003A9E0000}"/>
    <cellStyle name="Percent 9" xfId="2683" xr:uid="{00000000-0005-0000-0000-00003B9E0000}"/>
    <cellStyle name="Percent Hard" xfId="1720" xr:uid="{00000000-0005-0000-0000-00003C9E0000}"/>
    <cellStyle name="Percent(1)" xfId="1721" xr:uid="{00000000-0005-0000-0000-00003D9E0000}"/>
    <cellStyle name="Percent-0.0%" xfId="1722" xr:uid="{00000000-0005-0000-0000-00003E9E0000}"/>
    <cellStyle name="Percent-0.0% 2" xfId="1723" xr:uid="{00000000-0005-0000-0000-00003F9E0000}"/>
    <cellStyle name="Percent1" xfId="1724" xr:uid="{00000000-0005-0000-0000-0000409E0000}"/>
    <cellStyle name="Percent2" xfId="1725" xr:uid="{00000000-0005-0000-0000-0000419E0000}"/>
    <cellStyle name="Percentage" xfId="4005" xr:uid="{00000000-0005-0000-0000-0000429E0000}"/>
    <cellStyle name="Percentage 2" xfId="13386" xr:uid="{00000000-0005-0000-0000-0000439E0000}"/>
    <cellStyle name="PercentChange" xfId="4006" xr:uid="{00000000-0005-0000-0000-0000449E0000}"/>
    <cellStyle name="Percent-no dec" xfId="1726" xr:uid="{00000000-0005-0000-0000-0000459E0000}"/>
    <cellStyle name="PercentPresentation" xfId="1727" xr:uid="{00000000-0005-0000-0000-0000469E0000}"/>
    <cellStyle name="Perlong" xfId="1728" xr:uid="{00000000-0005-0000-0000-0000479E0000}"/>
    <cellStyle name="Pershare" xfId="1729" xr:uid="{00000000-0005-0000-0000-0000489E0000}"/>
    <cellStyle name="PillarData" xfId="4007" xr:uid="{00000000-0005-0000-0000-0000499E0000}"/>
    <cellStyle name="PillarHeading" xfId="4008" xr:uid="{00000000-0005-0000-0000-00004A9E0000}"/>
    <cellStyle name="PillarText" xfId="4009" xr:uid="{00000000-0005-0000-0000-00004B9E0000}"/>
    <cellStyle name="POPS" xfId="1730" xr:uid="{00000000-0005-0000-0000-00004C9E0000}"/>
    <cellStyle name="Porcentual_BASE" xfId="1731" xr:uid="{00000000-0005-0000-0000-00004D9E0000}"/>
    <cellStyle name="pound" xfId="1732" xr:uid="{00000000-0005-0000-0000-00004E9E0000}"/>
    <cellStyle name="pound 2" xfId="2556" xr:uid="{00000000-0005-0000-0000-00004F9E0000}"/>
    <cellStyle name="pound 3" xfId="2767" xr:uid="{00000000-0005-0000-0000-0000509E0000}"/>
    <cellStyle name="Pounds2" xfId="1733" xr:uid="{00000000-0005-0000-0000-0000519E0000}"/>
    <cellStyle name="Precent" xfId="1734" xr:uid="{00000000-0005-0000-0000-0000529E0000}"/>
    <cellStyle name="Precent 2" xfId="1735" xr:uid="{00000000-0005-0000-0000-0000539E0000}"/>
    <cellStyle name="Precent 3" xfId="2768" xr:uid="{00000000-0005-0000-0000-0000549E0000}"/>
    <cellStyle name="Presentation" xfId="1736" xr:uid="{00000000-0005-0000-0000-0000559E0000}"/>
    <cellStyle name="PresentationZero" xfId="1737" xr:uid="{00000000-0005-0000-0000-0000569E0000}"/>
    <cellStyle name="Price" xfId="1738" xr:uid="{00000000-0005-0000-0000-0000579E0000}"/>
    <cellStyle name="Price 2" xfId="13387" xr:uid="{00000000-0005-0000-0000-0000589E0000}"/>
    <cellStyle name="prot" xfId="4510" xr:uid="{00000000-0005-0000-0000-0000599E0000}"/>
    <cellStyle name="PSChar" xfId="1739" xr:uid="{00000000-0005-0000-0000-00005A9E0000}"/>
    <cellStyle name="PSDate" xfId="1740" xr:uid="{00000000-0005-0000-0000-00005B9E0000}"/>
    <cellStyle name="PSDec" xfId="1741" xr:uid="{00000000-0005-0000-0000-00005C9E0000}"/>
    <cellStyle name="PSHeading" xfId="1742" xr:uid="{00000000-0005-0000-0000-00005D9E0000}"/>
    <cellStyle name="PSInt" xfId="1743" xr:uid="{00000000-0005-0000-0000-00005E9E0000}"/>
    <cellStyle name="PSSpacer" xfId="1744" xr:uid="{00000000-0005-0000-0000-00005F9E0000}"/>
    <cellStyle name="Public Market Value of Selected Real Estate Companies" xfId="4010" xr:uid="{00000000-0005-0000-0000-0000609E0000}"/>
    <cellStyle name="Punto" xfId="4511" xr:uid="{00000000-0005-0000-0000-0000619E0000}"/>
    <cellStyle name="Punto0" xfId="1745" xr:uid="{00000000-0005-0000-0000-0000629E0000}"/>
    <cellStyle name="Qtr Template" xfId="1746" xr:uid="{00000000-0005-0000-0000-0000639E0000}"/>
    <cellStyle name="r" xfId="4011" xr:uid="{00000000-0005-0000-0000-0000649E0000}"/>
    <cellStyle name="r_newmrgr" xfId="4012" xr:uid="{00000000-0005-0000-0000-0000659E0000}"/>
    <cellStyle name="r_pldt" xfId="4013" xr:uid="{00000000-0005-0000-0000-0000669E0000}"/>
    <cellStyle name="RatioX" xfId="4014" xr:uid="{00000000-0005-0000-0000-0000679E0000}"/>
    <cellStyle name="red" xfId="1747" xr:uid="{00000000-0005-0000-0000-0000689E0000}"/>
    <cellStyle name="Report" xfId="1748" xr:uid="{00000000-0005-0000-0000-0000699E0000}"/>
    <cellStyle name="results" xfId="4015" xr:uid="{00000000-0005-0000-0000-00006A9E0000}"/>
    <cellStyle name="Reuters Cells" xfId="1749" xr:uid="{00000000-0005-0000-0000-00006B9E0000}"/>
    <cellStyle name="Reuters Cells 2" xfId="2557" xr:uid="{00000000-0005-0000-0000-00006C9E0000}"/>
    <cellStyle name="Reuters Cells 2 2" xfId="18453" xr:uid="{00000000-0005-0000-0000-00006D9E0000}"/>
    <cellStyle name="Reuters Cells 3" xfId="13253" xr:uid="{00000000-0005-0000-0000-00006E9E0000}"/>
    <cellStyle name="Reuters Cells 3 2" xfId="32704" xr:uid="{00000000-0005-0000-0000-00006F9E0000}"/>
    <cellStyle name="RevList" xfId="1750" xr:uid="{00000000-0005-0000-0000-0000709E0000}"/>
    <cellStyle name="Right" xfId="4016" xr:uid="{00000000-0005-0000-0000-0000719E0000}"/>
    <cellStyle name="RM" xfId="1751" xr:uid="{00000000-0005-0000-0000-0000729E0000}"/>
    <cellStyle name="Rounding" xfId="4017" xr:uid="{00000000-0005-0000-0000-0000739E0000}"/>
    <cellStyle name="s" xfId="1752" xr:uid="{00000000-0005-0000-0000-0000749E0000}"/>
    <cellStyle name="s 2" xfId="2558" xr:uid="{00000000-0005-0000-0000-0000759E0000}"/>
    <cellStyle name="s 2 2" xfId="2648" xr:uid="{00000000-0005-0000-0000-0000769E0000}"/>
    <cellStyle name="s 2 2 2" xfId="2861" xr:uid="{00000000-0005-0000-0000-0000779E0000}"/>
    <cellStyle name="s 2 2 2 2" xfId="3055" xr:uid="{00000000-0005-0000-0000-0000789E0000}"/>
    <cellStyle name="s 2 2 2 2 2" xfId="23864" xr:uid="{00000000-0005-0000-0000-0000799E0000}"/>
    <cellStyle name="s 2 2 2 3" xfId="23672" xr:uid="{00000000-0005-0000-0000-00007A9E0000}"/>
    <cellStyle name="s 2 2 3" xfId="2937" xr:uid="{00000000-0005-0000-0000-00007B9E0000}"/>
    <cellStyle name="s 2 2 3 2" xfId="23746" xr:uid="{00000000-0005-0000-0000-00007C9E0000}"/>
    <cellStyle name="s 2 2 4" xfId="23541" xr:uid="{00000000-0005-0000-0000-00007D9E0000}"/>
    <cellStyle name="s 2 3" xfId="2821" xr:uid="{00000000-0005-0000-0000-00007E9E0000}"/>
    <cellStyle name="s 2 3 2" xfId="3015" xr:uid="{00000000-0005-0000-0000-00007F9E0000}"/>
    <cellStyle name="s 2 3 2 2" xfId="23824" xr:uid="{00000000-0005-0000-0000-0000809E0000}"/>
    <cellStyle name="s 2 3 3" xfId="23632" xr:uid="{00000000-0005-0000-0000-0000819E0000}"/>
    <cellStyle name="s 2 4" xfId="23484" xr:uid="{00000000-0005-0000-0000-0000829E0000}"/>
    <cellStyle name="s 3" xfId="2607" xr:uid="{00000000-0005-0000-0000-0000839E0000}"/>
    <cellStyle name="s 3 2" xfId="2826" xr:uid="{00000000-0005-0000-0000-0000849E0000}"/>
    <cellStyle name="s 3 2 2" xfId="3020" xr:uid="{00000000-0005-0000-0000-0000859E0000}"/>
    <cellStyle name="s 3 2 2 2" xfId="23829" xr:uid="{00000000-0005-0000-0000-0000869E0000}"/>
    <cellStyle name="s 3 2 3" xfId="23637" xr:uid="{00000000-0005-0000-0000-0000879E0000}"/>
    <cellStyle name="s 3 3" xfId="2902" xr:uid="{00000000-0005-0000-0000-0000889E0000}"/>
    <cellStyle name="s 3 3 2" xfId="23711" xr:uid="{00000000-0005-0000-0000-0000899E0000}"/>
    <cellStyle name="s 3 4" xfId="23500" xr:uid="{00000000-0005-0000-0000-00008A9E0000}"/>
    <cellStyle name="s 4" xfId="2785" xr:uid="{00000000-0005-0000-0000-00008B9E0000}"/>
    <cellStyle name="s 4 2" xfId="2979" xr:uid="{00000000-0005-0000-0000-00008C9E0000}"/>
    <cellStyle name="s 4 2 2" xfId="23788" xr:uid="{00000000-0005-0000-0000-00008D9E0000}"/>
    <cellStyle name="s 4 3" xfId="23596" xr:uid="{00000000-0005-0000-0000-00008E9E0000}"/>
    <cellStyle name="s 5" xfId="13388" xr:uid="{00000000-0005-0000-0000-00008F9E0000}"/>
    <cellStyle name="s 6" xfId="23426" xr:uid="{00000000-0005-0000-0000-0000909E0000}"/>
    <cellStyle name="s_Company0320 DCF" xfId="1753" xr:uid="{00000000-0005-0000-0000-0000919E0000}"/>
    <cellStyle name="s_Company0320 DCF 2" xfId="2001" xr:uid="{00000000-0005-0000-0000-0000929E0000}"/>
    <cellStyle name="s_Company0320 DCF 2 2" xfId="2628" xr:uid="{00000000-0005-0000-0000-0000939E0000}"/>
    <cellStyle name="s_Company0320 DCF 2 2 2" xfId="2844" xr:uid="{00000000-0005-0000-0000-0000949E0000}"/>
    <cellStyle name="s_Company0320 DCF 2 2 2 2" xfId="3038" xr:uid="{00000000-0005-0000-0000-0000959E0000}"/>
    <cellStyle name="s_Company0320 DCF 2 2 2 2 2" xfId="23847" xr:uid="{00000000-0005-0000-0000-0000969E0000}"/>
    <cellStyle name="s_Company0320 DCF 2 2 2 3" xfId="23655" xr:uid="{00000000-0005-0000-0000-0000979E0000}"/>
    <cellStyle name="s_Company0320 DCF 2 2 3" xfId="2920" xr:uid="{00000000-0005-0000-0000-0000989E0000}"/>
    <cellStyle name="s_Company0320 DCF 2 2 3 2" xfId="23729" xr:uid="{00000000-0005-0000-0000-0000999E0000}"/>
    <cellStyle name="s_Company0320 DCF 2 2 4" xfId="23521" xr:uid="{00000000-0005-0000-0000-00009A9E0000}"/>
    <cellStyle name="s_Company0320 DCF 2 3" xfId="2803" xr:uid="{00000000-0005-0000-0000-00009B9E0000}"/>
    <cellStyle name="s_Company0320 DCF 2 3 2" xfId="2997" xr:uid="{00000000-0005-0000-0000-00009C9E0000}"/>
    <cellStyle name="s_Company0320 DCF 2 3 2 2" xfId="23806" xr:uid="{00000000-0005-0000-0000-00009D9E0000}"/>
    <cellStyle name="s_Company0320 DCF 2 3 3" xfId="23614" xr:uid="{00000000-0005-0000-0000-00009E9E0000}"/>
    <cellStyle name="s_Company0320 DCF 2 4" xfId="23456" xr:uid="{00000000-0005-0000-0000-00009F9E0000}"/>
    <cellStyle name="s_Company0320 DCF 3" xfId="2608" xr:uid="{00000000-0005-0000-0000-0000A09E0000}"/>
    <cellStyle name="s_Company0320 DCF 3 2" xfId="2827" xr:uid="{00000000-0005-0000-0000-0000A19E0000}"/>
    <cellStyle name="s_Company0320 DCF 3 2 2" xfId="3021" xr:uid="{00000000-0005-0000-0000-0000A29E0000}"/>
    <cellStyle name="s_Company0320 DCF 3 2 2 2" xfId="23830" xr:uid="{00000000-0005-0000-0000-0000A39E0000}"/>
    <cellStyle name="s_Company0320 DCF 3 2 3" xfId="23638" xr:uid="{00000000-0005-0000-0000-0000A49E0000}"/>
    <cellStyle name="s_Company0320 DCF 3 3" xfId="2903" xr:uid="{00000000-0005-0000-0000-0000A59E0000}"/>
    <cellStyle name="s_Company0320 DCF 3 3 2" xfId="23712" xr:uid="{00000000-0005-0000-0000-0000A69E0000}"/>
    <cellStyle name="s_Company0320 DCF 3 4" xfId="23501" xr:uid="{00000000-0005-0000-0000-0000A79E0000}"/>
    <cellStyle name="s_Company0320 DCF 4" xfId="2786" xr:uid="{00000000-0005-0000-0000-0000A89E0000}"/>
    <cellStyle name="s_Company0320 DCF 4 2" xfId="2980" xr:uid="{00000000-0005-0000-0000-0000A99E0000}"/>
    <cellStyle name="s_Company0320 DCF 4 2 2" xfId="23789" xr:uid="{00000000-0005-0000-0000-0000AA9E0000}"/>
    <cellStyle name="s_Company0320 DCF 4 3" xfId="23597" xr:uid="{00000000-0005-0000-0000-0000AB9E0000}"/>
    <cellStyle name="s_Company0320 DCF 5" xfId="23427" xr:uid="{00000000-0005-0000-0000-0000AC9E0000}"/>
    <cellStyle name="s_Company0320 for Client" xfId="1754" xr:uid="{00000000-0005-0000-0000-0000AD9E0000}"/>
    <cellStyle name="s_Company0320 for Client 2" xfId="2002" xr:uid="{00000000-0005-0000-0000-0000AE9E0000}"/>
    <cellStyle name="s_Company0320 for Client 2 2" xfId="2629" xr:uid="{00000000-0005-0000-0000-0000AF9E0000}"/>
    <cellStyle name="s_Company0320 for Client 2 2 2" xfId="2845" xr:uid="{00000000-0005-0000-0000-0000B09E0000}"/>
    <cellStyle name="s_Company0320 for Client 2 2 2 2" xfId="3039" xr:uid="{00000000-0005-0000-0000-0000B19E0000}"/>
    <cellStyle name="s_Company0320 for Client 2 2 2 2 2" xfId="23848" xr:uid="{00000000-0005-0000-0000-0000B29E0000}"/>
    <cellStyle name="s_Company0320 for Client 2 2 2 3" xfId="23656" xr:uid="{00000000-0005-0000-0000-0000B39E0000}"/>
    <cellStyle name="s_Company0320 for Client 2 2 3" xfId="2921" xr:uid="{00000000-0005-0000-0000-0000B49E0000}"/>
    <cellStyle name="s_Company0320 for Client 2 2 3 2" xfId="23730" xr:uid="{00000000-0005-0000-0000-0000B59E0000}"/>
    <cellStyle name="s_Company0320 for Client 2 2 4" xfId="23522" xr:uid="{00000000-0005-0000-0000-0000B69E0000}"/>
    <cellStyle name="s_Company0320 for Client 2 3" xfId="2804" xr:uid="{00000000-0005-0000-0000-0000B79E0000}"/>
    <cellStyle name="s_Company0320 for Client 2 3 2" xfId="2998" xr:uid="{00000000-0005-0000-0000-0000B89E0000}"/>
    <cellStyle name="s_Company0320 for Client 2 3 2 2" xfId="23807" xr:uid="{00000000-0005-0000-0000-0000B99E0000}"/>
    <cellStyle name="s_Company0320 for Client 2 3 3" xfId="23615" xr:uid="{00000000-0005-0000-0000-0000BA9E0000}"/>
    <cellStyle name="s_Company0320 for Client 2 4" xfId="23457" xr:uid="{00000000-0005-0000-0000-0000BB9E0000}"/>
    <cellStyle name="s_Company0320 for Client 3" xfId="2609" xr:uid="{00000000-0005-0000-0000-0000BC9E0000}"/>
    <cellStyle name="s_Company0320 for Client 3 2" xfId="2828" xr:uid="{00000000-0005-0000-0000-0000BD9E0000}"/>
    <cellStyle name="s_Company0320 for Client 3 2 2" xfId="3022" xr:uid="{00000000-0005-0000-0000-0000BE9E0000}"/>
    <cellStyle name="s_Company0320 for Client 3 2 2 2" xfId="23831" xr:uid="{00000000-0005-0000-0000-0000BF9E0000}"/>
    <cellStyle name="s_Company0320 for Client 3 2 3" xfId="23639" xr:uid="{00000000-0005-0000-0000-0000C09E0000}"/>
    <cellStyle name="s_Company0320 for Client 3 3" xfId="2904" xr:uid="{00000000-0005-0000-0000-0000C19E0000}"/>
    <cellStyle name="s_Company0320 for Client 3 3 2" xfId="23713" xr:uid="{00000000-0005-0000-0000-0000C29E0000}"/>
    <cellStyle name="s_Company0320 for Client 3 4" xfId="23502" xr:uid="{00000000-0005-0000-0000-0000C39E0000}"/>
    <cellStyle name="s_Company0320 for Client 4" xfId="2787" xr:uid="{00000000-0005-0000-0000-0000C49E0000}"/>
    <cellStyle name="s_Company0320 for Client 4 2" xfId="2981" xr:uid="{00000000-0005-0000-0000-0000C59E0000}"/>
    <cellStyle name="s_Company0320 for Client 4 2 2" xfId="23790" xr:uid="{00000000-0005-0000-0000-0000C69E0000}"/>
    <cellStyle name="s_Company0320 for Client 4 3" xfId="23598" xr:uid="{00000000-0005-0000-0000-0000C79E0000}"/>
    <cellStyle name="s_Company0320 for Client 5" xfId="23428" xr:uid="{00000000-0005-0000-0000-0000C89E0000}"/>
    <cellStyle name="s_Company0320 working" xfId="1755" xr:uid="{00000000-0005-0000-0000-0000C99E0000}"/>
    <cellStyle name="s_Company0320 working 2" xfId="2003" xr:uid="{00000000-0005-0000-0000-0000CA9E0000}"/>
    <cellStyle name="s_Company0320 working 2 2" xfId="2630" xr:uid="{00000000-0005-0000-0000-0000CB9E0000}"/>
    <cellStyle name="s_Company0320 working 2 2 2" xfId="2846" xr:uid="{00000000-0005-0000-0000-0000CC9E0000}"/>
    <cellStyle name="s_Company0320 working 2 2 2 2" xfId="3040" xr:uid="{00000000-0005-0000-0000-0000CD9E0000}"/>
    <cellStyle name="s_Company0320 working 2 2 2 2 2" xfId="23849" xr:uid="{00000000-0005-0000-0000-0000CE9E0000}"/>
    <cellStyle name="s_Company0320 working 2 2 2 3" xfId="23657" xr:uid="{00000000-0005-0000-0000-0000CF9E0000}"/>
    <cellStyle name="s_Company0320 working 2 2 3" xfId="2922" xr:uid="{00000000-0005-0000-0000-0000D09E0000}"/>
    <cellStyle name="s_Company0320 working 2 2 3 2" xfId="23731" xr:uid="{00000000-0005-0000-0000-0000D19E0000}"/>
    <cellStyle name="s_Company0320 working 2 2 4" xfId="23523" xr:uid="{00000000-0005-0000-0000-0000D29E0000}"/>
    <cellStyle name="s_Company0320 working 2 3" xfId="2805" xr:uid="{00000000-0005-0000-0000-0000D39E0000}"/>
    <cellStyle name="s_Company0320 working 2 3 2" xfId="2999" xr:uid="{00000000-0005-0000-0000-0000D49E0000}"/>
    <cellStyle name="s_Company0320 working 2 3 2 2" xfId="23808" xr:uid="{00000000-0005-0000-0000-0000D59E0000}"/>
    <cellStyle name="s_Company0320 working 2 3 3" xfId="23616" xr:uid="{00000000-0005-0000-0000-0000D69E0000}"/>
    <cellStyle name="s_Company0320 working 2 4" xfId="23458" xr:uid="{00000000-0005-0000-0000-0000D79E0000}"/>
    <cellStyle name="s_Company0320 working 3" xfId="2610" xr:uid="{00000000-0005-0000-0000-0000D89E0000}"/>
    <cellStyle name="s_Company0320 working 3 2" xfId="2829" xr:uid="{00000000-0005-0000-0000-0000D99E0000}"/>
    <cellStyle name="s_Company0320 working 3 2 2" xfId="3023" xr:uid="{00000000-0005-0000-0000-0000DA9E0000}"/>
    <cellStyle name="s_Company0320 working 3 2 2 2" xfId="23832" xr:uid="{00000000-0005-0000-0000-0000DB9E0000}"/>
    <cellStyle name="s_Company0320 working 3 2 3" xfId="23640" xr:uid="{00000000-0005-0000-0000-0000DC9E0000}"/>
    <cellStyle name="s_Company0320 working 3 3" xfId="2905" xr:uid="{00000000-0005-0000-0000-0000DD9E0000}"/>
    <cellStyle name="s_Company0320 working 3 3 2" xfId="23714" xr:uid="{00000000-0005-0000-0000-0000DE9E0000}"/>
    <cellStyle name="s_Company0320 working 3 4" xfId="23503" xr:uid="{00000000-0005-0000-0000-0000DF9E0000}"/>
    <cellStyle name="s_Company0320 working 4" xfId="2788" xr:uid="{00000000-0005-0000-0000-0000E09E0000}"/>
    <cellStyle name="s_Company0320 working 4 2" xfId="2982" xr:uid="{00000000-0005-0000-0000-0000E19E0000}"/>
    <cellStyle name="s_Company0320 working 4 2 2" xfId="23791" xr:uid="{00000000-0005-0000-0000-0000E29E0000}"/>
    <cellStyle name="s_Company0320 working 4 3" xfId="23599" xr:uid="{00000000-0005-0000-0000-0000E39E0000}"/>
    <cellStyle name="s_Company0320 working 5" xfId="23429" xr:uid="{00000000-0005-0000-0000-0000E49E0000}"/>
    <cellStyle name="s_Check" xfId="1756" xr:uid="{00000000-0005-0000-0000-0000E59E0000}"/>
    <cellStyle name="s_Check 2" xfId="2004" xr:uid="{00000000-0005-0000-0000-0000E69E0000}"/>
    <cellStyle name="s_Check 2 2" xfId="2631" xr:uid="{00000000-0005-0000-0000-0000E79E0000}"/>
    <cellStyle name="s_Check 2 2 2" xfId="2847" xr:uid="{00000000-0005-0000-0000-0000E89E0000}"/>
    <cellStyle name="s_Check 2 2 2 2" xfId="3041" xr:uid="{00000000-0005-0000-0000-0000E99E0000}"/>
    <cellStyle name="s_Check 2 2 2 2 2" xfId="23850" xr:uid="{00000000-0005-0000-0000-0000EA9E0000}"/>
    <cellStyle name="s_Check 2 2 2 3" xfId="23658" xr:uid="{00000000-0005-0000-0000-0000EB9E0000}"/>
    <cellStyle name="s_Check 2 2 3" xfId="2923" xr:uid="{00000000-0005-0000-0000-0000EC9E0000}"/>
    <cellStyle name="s_Check 2 2 3 2" xfId="23732" xr:uid="{00000000-0005-0000-0000-0000ED9E0000}"/>
    <cellStyle name="s_Check 2 2 4" xfId="23524" xr:uid="{00000000-0005-0000-0000-0000EE9E0000}"/>
    <cellStyle name="s_Check 2 3" xfId="2806" xr:uid="{00000000-0005-0000-0000-0000EF9E0000}"/>
    <cellStyle name="s_Check 2 3 2" xfId="3000" xr:uid="{00000000-0005-0000-0000-0000F09E0000}"/>
    <cellStyle name="s_Check 2 3 2 2" xfId="23809" xr:uid="{00000000-0005-0000-0000-0000F19E0000}"/>
    <cellStyle name="s_Check 2 3 3" xfId="23617" xr:uid="{00000000-0005-0000-0000-0000F29E0000}"/>
    <cellStyle name="s_Check 2 4" xfId="23459" xr:uid="{00000000-0005-0000-0000-0000F39E0000}"/>
    <cellStyle name="s_Check 3" xfId="2611" xr:uid="{00000000-0005-0000-0000-0000F49E0000}"/>
    <cellStyle name="s_Check 3 2" xfId="2830" xr:uid="{00000000-0005-0000-0000-0000F59E0000}"/>
    <cellStyle name="s_Check 3 2 2" xfId="3024" xr:uid="{00000000-0005-0000-0000-0000F69E0000}"/>
    <cellStyle name="s_Check 3 2 2 2" xfId="23833" xr:uid="{00000000-0005-0000-0000-0000F79E0000}"/>
    <cellStyle name="s_Check 3 2 3" xfId="23641" xr:uid="{00000000-0005-0000-0000-0000F89E0000}"/>
    <cellStyle name="s_Check 3 3" xfId="2906" xr:uid="{00000000-0005-0000-0000-0000F99E0000}"/>
    <cellStyle name="s_Check 3 3 2" xfId="23715" xr:uid="{00000000-0005-0000-0000-0000FA9E0000}"/>
    <cellStyle name="s_Check 3 4" xfId="23504" xr:uid="{00000000-0005-0000-0000-0000FB9E0000}"/>
    <cellStyle name="s_Check 4" xfId="2789" xr:uid="{00000000-0005-0000-0000-0000FC9E0000}"/>
    <cellStyle name="s_Check 4 2" xfId="2983" xr:uid="{00000000-0005-0000-0000-0000FD9E0000}"/>
    <cellStyle name="s_Check 4 2 2" xfId="23792" xr:uid="{00000000-0005-0000-0000-0000FE9E0000}"/>
    <cellStyle name="s_Check 4 3" xfId="23600" xr:uid="{00000000-0005-0000-0000-0000FF9E0000}"/>
    <cellStyle name="s_Check 5" xfId="23430" xr:uid="{00000000-0005-0000-0000-0000009F0000}"/>
    <cellStyle name="s_DCFLBO Code" xfId="1757" xr:uid="{00000000-0005-0000-0000-0000019F0000}"/>
    <cellStyle name="s_DCFLBO Code 2" xfId="2559" xr:uid="{00000000-0005-0000-0000-0000029F0000}"/>
    <cellStyle name="s_DCFLBO Code_1" xfId="1758" xr:uid="{00000000-0005-0000-0000-0000039F0000}"/>
    <cellStyle name="s_DCFLBO Code_1 2" xfId="2560" xr:uid="{00000000-0005-0000-0000-0000049F0000}"/>
    <cellStyle name="s_DCFLBO Code_1 2 2" xfId="2649" xr:uid="{00000000-0005-0000-0000-0000059F0000}"/>
    <cellStyle name="s_DCFLBO Code_1 2 2 2" xfId="2862" xr:uid="{00000000-0005-0000-0000-0000069F0000}"/>
    <cellStyle name="s_DCFLBO Code_1 2 2 2 2" xfId="3056" xr:uid="{00000000-0005-0000-0000-0000079F0000}"/>
    <cellStyle name="s_DCFLBO Code_1 2 2 2 2 2" xfId="23865" xr:uid="{00000000-0005-0000-0000-0000089F0000}"/>
    <cellStyle name="s_DCFLBO Code_1 2 2 2 3" xfId="23673" xr:uid="{00000000-0005-0000-0000-0000099F0000}"/>
    <cellStyle name="s_DCFLBO Code_1 2 2 3" xfId="2938" xr:uid="{00000000-0005-0000-0000-00000A9F0000}"/>
    <cellStyle name="s_DCFLBO Code_1 2 2 3 2" xfId="23747" xr:uid="{00000000-0005-0000-0000-00000B9F0000}"/>
    <cellStyle name="s_DCFLBO Code_1 2 2 4" xfId="23542" xr:uid="{00000000-0005-0000-0000-00000C9F0000}"/>
    <cellStyle name="s_DCFLBO Code_1 2 3" xfId="2822" xr:uid="{00000000-0005-0000-0000-00000D9F0000}"/>
    <cellStyle name="s_DCFLBO Code_1 2 3 2" xfId="3016" xr:uid="{00000000-0005-0000-0000-00000E9F0000}"/>
    <cellStyle name="s_DCFLBO Code_1 2 3 2 2" xfId="23825" xr:uid="{00000000-0005-0000-0000-00000F9F0000}"/>
    <cellStyle name="s_DCFLBO Code_1 2 3 3" xfId="23633" xr:uid="{00000000-0005-0000-0000-0000109F0000}"/>
    <cellStyle name="s_DCFLBO Code_1 2 4" xfId="23485" xr:uid="{00000000-0005-0000-0000-0000119F0000}"/>
    <cellStyle name="s_DCFLBO Code_1 3" xfId="2612" xr:uid="{00000000-0005-0000-0000-0000129F0000}"/>
    <cellStyle name="s_DCFLBO Code_1 3 2" xfId="2831" xr:uid="{00000000-0005-0000-0000-0000139F0000}"/>
    <cellStyle name="s_DCFLBO Code_1 3 2 2" xfId="3025" xr:uid="{00000000-0005-0000-0000-0000149F0000}"/>
    <cellStyle name="s_DCFLBO Code_1 3 2 2 2" xfId="23834" xr:uid="{00000000-0005-0000-0000-0000159F0000}"/>
    <cellStyle name="s_DCFLBO Code_1 3 2 3" xfId="23642" xr:uid="{00000000-0005-0000-0000-0000169F0000}"/>
    <cellStyle name="s_DCFLBO Code_1 3 3" xfId="2907" xr:uid="{00000000-0005-0000-0000-0000179F0000}"/>
    <cellStyle name="s_DCFLBO Code_1 3 3 2" xfId="23716" xr:uid="{00000000-0005-0000-0000-0000189F0000}"/>
    <cellStyle name="s_DCFLBO Code_1 3 4" xfId="23505" xr:uid="{00000000-0005-0000-0000-0000199F0000}"/>
    <cellStyle name="s_DCFLBO Code_1 4" xfId="2790" xr:uid="{00000000-0005-0000-0000-00001A9F0000}"/>
    <cellStyle name="s_DCFLBO Code_1 4 2" xfId="2984" xr:uid="{00000000-0005-0000-0000-00001B9F0000}"/>
    <cellStyle name="s_DCFLBO Code_1 4 2 2" xfId="23793" xr:uid="{00000000-0005-0000-0000-00001C9F0000}"/>
    <cellStyle name="s_DCFLBO Code_1 4 3" xfId="23601" xr:uid="{00000000-0005-0000-0000-00001D9F0000}"/>
    <cellStyle name="s_DCFLBO Code_1 5" xfId="23431" xr:uid="{00000000-0005-0000-0000-00001E9F0000}"/>
    <cellStyle name="s_DCFLBO Code_1_Company0320 DCF" xfId="1759" xr:uid="{00000000-0005-0000-0000-00001F9F0000}"/>
    <cellStyle name="s_DCFLBO Code_1_Company0320 DCF 2" xfId="2005" xr:uid="{00000000-0005-0000-0000-0000209F0000}"/>
    <cellStyle name="s_DCFLBO Code_1_Company0320 DCF 2 2" xfId="2632" xr:uid="{00000000-0005-0000-0000-0000219F0000}"/>
    <cellStyle name="s_DCFLBO Code_1_Company0320 DCF 2 2 2" xfId="2848" xr:uid="{00000000-0005-0000-0000-0000229F0000}"/>
    <cellStyle name="s_DCFLBO Code_1_Company0320 DCF 2 2 2 2" xfId="3042" xr:uid="{00000000-0005-0000-0000-0000239F0000}"/>
    <cellStyle name="s_DCFLBO Code_1_Company0320 DCF 2 2 2 2 2" xfId="23851" xr:uid="{00000000-0005-0000-0000-0000249F0000}"/>
    <cellStyle name="s_DCFLBO Code_1_Company0320 DCF 2 2 2 3" xfId="23659" xr:uid="{00000000-0005-0000-0000-0000259F0000}"/>
    <cellStyle name="s_DCFLBO Code_1_Company0320 DCF 2 2 3" xfId="2924" xr:uid="{00000000-0005-0000-0000-0000269F0000}"/>
    <cellStyle name="s_DCFLBO Code_1_Company0320 DCF 2 2 3 2" xfId="23733" xr:uid="{00000000-0005-0000-0000-0000279F0000}"/>
    <cellStyle name="s_DCFLBO Code_1_Company0320 DCF 2 2 4" xfId="23525" xr:uid="{00000000-0005-0000-0000-0000289F0000}"/>
    <cellStyle name="s_DCFLBO Code_1_Company0320 DCF 2 3" xfId="2807" xr:uid="{00000000-0005-0000-0000-0000299F0000}"/>
    <cellStyle name="s_DCFLBO Code_1_Company0320 DCF 2 3 2" xfId="3001" xr:uid="{00000000-0005-0000-0000-00002A9F0000}"/>
    <cellStyle name="s_DCFLBO Code_1_Company0320 DCF 2 3 2 2" xfId="23810" xr:uid="{00000000-0005-0000-0000-00002B9F0000}"/>
    <cellStyle name="s_DCFLBO Code_1_Company0320 DCF 2 3 3" xfId="23618" xr:uid="{00000000-0005-0000-0000-00002C9F0000}"/>
    <cellStyle name="s_DCFLBO Code_1_Company0320 DCF 2 4" xfId="23460" xr:uid="{00000000-0005-0000-0000-00002D9F0000}"/>
    <cellStyle name="s_DCFLBO Code_1_Company0320 DCF 3" xfId="2613" xr:uid="{00000000-0005-0000-0000-00002E9F0000}"/>
    <cellStyle name="s_DCFLBO Code_1_Company0320 DCF 3 2" xfId="2832" xr:uid="{00000000-0005-0000-0000-00002F9F0000}"/>
    <cellStyle name="s_DCFLBO Code_1_Company0320 DCF 3 2 2" xfId="3026" xr:uid="{00000000-0005-0000-0000-0000309F0000}"/>
    <cellStyle name="s_DCFLBO Code_1_Company0320 DCF 3 2 2 2" xfId="23835" xr:uid="{00000000-0005-0000-0000-0000319F0000}"/>
    <cellStyle name="s_DCFLBO Code_1_Company0320 DCF 3 2 3" xfId="23643" xr:uid="{00000000-0005-0000-0000-0000329F0000}"/>
    <cellStyle name="s_DCFLBO Code_1_Company0320 DCF 3 3" xfId="2908" xr:uid="{00000000-0005-0000-0000-0000339F0000}"/>
    <cellStyle name="s_DCFLBO Code_1_Company0320 DCF 3 3 2" xfId="23717" xr:uid="{00000000-0005-0000-0000-0000349F0000}"/>
    <cellStyle name="s_DCFLBO Code_1_Company0320 DCF 3 4" xfId="23506" xr:uid="{00000000-0005-0000-0000-0000359F0000}"/>
    <cellStyle name="s_DCFLBO Code_1_Company0320 DCF 4" xfId="2791" xr:uid="{00000000-0005-0000-0000-0000369F0000}"/>
    <cellStyle name="s_DCFLBO Code_1_Company0320 DCF 4 2" xfId="2985" xr:uid="{00000000-0005-0000-0000-0000379F0000}"/>
    <cellStyle name="s_DCFLBO Code_1_Company0320 DCF 4 2 2" xfId="23794" xr:uid="{00000000-0005-0000-0000-0000389F0000}"/>
    <cellStyle name="s_DCFLBO Code_1_Company0320 DCF 4 3" xfId="23602" xr:uid="{00000000-0005-0000-0000-0000399F0000}"/>
    <cellStyle name="s_DCFLBO Code_1_Company0320 DCF 5" xfId="23432" xr:uid="{00000000-0005-0000-0000-00003A9F0000}"/>
    <cellStyle name="s_DCFLBO Code_1_Company0320 for Client" xfId="1760" xr:uid="{00000000-0005-0000-0000-00003B9F0000}"/>
    <cellStyle name="s_DCFLBO Code_1_Company0320 for Client 2" xfId="2006" xr:uid="{00000000-0005-0000-0000-00003C9F0000}"/>
    <cellStyle name="s_DCFLBO Code_1_Company0320 for Client 2 2" xfId="2633" xr:uid="{00000000-0005-0000-0000-00003D9F0000}"/>
    <cellStyle name="s_DCFLBO Code_1_Company0320 for Client 2 2 2" xfId="2849" xr:uid="{00000000-0005-0000-0000-00003E9F0000}"/>
    <cellStyle name="s_DCFLBO Code_1_Company0320 for Client 2 2 2 2" xfId="3043" xr:uid="{00000000-0005-0000-0000-00003F9F0000}"/>
    <cellStyle name="s_DCFLBO Code_1_Company0320 for Client 2 2 2 2 2" xfId="23852" xr:uid="{00000000-0005-0000-0000-0000409F0000}"/>
    <cellStyle name="s_DCFLBO Code_1_Company0320 for Client 2 2 2 3" xfId="23660" xr:uid="{00000000-0005-0000-0000-0000419F0000}"/>
    <cellStyle name="s_DCFLBO Code_1_Company0320 for Client 2 2 3" xfId="2925" xr:uid="{00000000-0005-0000-0000-0000429F0000}"/>
    <cellStyle name="s_DCFLBO Code_1_Company0320 for Client 2 2 3 2" xfId="23734" xr:uid="{00000000-0005-0000-0000-0000439F0000}"/>
    <cellStyle name="s_DCFLBO Code_1_Company0320 for Client 2 2 4" xfId="23526" xr:uid="{00000000-0005-0000-0000-0000449F0000}"/>
    <cellStyle name="s_DCFLBO Code_1_Company0320 for Client 2 3" xfId="2808" xr:uid="{00000000-0005-0000-0000-0000459F0000}"/>
    <cellStyle name="s_DCFLBO Code_1_Company0320 for Client 2 3 2" xfId="3002" xr:uid="{00000000-0005-0000-0000-0000469F0000}"/>
    <cellStyle name="s_DCFLBO Code_1_Company0320 for Client 2 3 2 2" xfId="23811" xr:uid="{00000000-0005-0000-0000-0000479F0000}"/>
    <cellStyle name="s_DCFLBO Code_1_Company0320 for Client 2 3 3" xfId="23619" xr:uid="{00000000-0005-0000-0000-0000489F0000}"/>
    <cellStyle name="s_DCFLBO Code_1_Company0320 for Client 2 4" xfId="23461" xr:uid="{00000000-0005-0000-0000-0000499F0000}"/>
    <cellStyle name="s_DCFLBO Code_1_Company0320 for Client 3" xfId="2614" xr:uid="{00000000-0005-0000-0000-00004A9F0000}"/>
    <cellStyle name="s_DCFLBO Code_1_Company0320 for Client 3 2" xfId="2833" xr:uid="{00000000-0005-0000-0000-00004B9F0000}"/>
    <cellStyle name="s_DCFLBO Code_1_Company0320 for Client 3 2 2" xfId="3027" xr:uid="{00000000-0005-0000-0000-00004C9F0000}"/>
    <cellStyle name="s_DCFLBO Code_1_Company0320 for Client 3 2 2 2" xfId="23836" xr:uid="{00000000-0005-0000-0000-00004D9F0000}"/>
    <cellStyle name="s_DCFLBO Code_1_Company0320 for Client 3 2 3" xfId="23644" xr:uid="{00000000-0005-0000-0000-00004E9F0000}"/>
    <cellStyle name="s_DCFLBO Code_1_Company0320 for Client 3 3" xfId="2909" xr:uid="{00000000-0005-0000-0000-00004F9F0000}"/>
    <cellStyle name="s_DCFLBO Code_1_Company0320 for Client 3 3 2" xfId="23718" xr:uid="{00000000-0005-0000-0000-0000509F0000}"/>
    <cellStyle name="s_DCFLBO Code_1_Company0320 for Client 3 4" xfId="23507" xr:uid="{00000000-0005-0000-0000-0000519F0000}"/>
    <cellStyle name="s_DCFLBO Code_1_Company0320 for Client 4" xfId="2792" xr:uid="{00000000-0005-0000-0000-0000529F0000}"/>
    <cellStyle name="s_DCFLBO Code_1_Company0320 for Client 4 2" xfId="2986" xr:uid="{00000000-0005-0000-0000-0000539F0000}"/>
    <cellStyle name="s_DCFLBO Code_1_Company0320 for Client 4 2 2" xfId="23795" xr:uid="{00000000-0005-0000-0000-0000549F0000}"/>
    <cellStyle name="s_DCFLBO Code_1_Company0320 for Client 4 3" xfId="23603" xr:uid="{00000000-0005-0000-0000-0000559F0000}"/>
    <cellStyle name="s_DCFLBO Code_1_Company0320 for Client 5" xfId="23433" xr:uid="{00000000-0005-0000-0000-0000569F0000}"/>
    <cellStyle name="s_DCFLBO Code_1_Company0320 working" xfId="1761" xr:uid="{00000000-0005-0000-0000-0000579F0000}"/>
    <cellStyle name="s_DCFLBO Code_1_Company0320 working 2" xfId="2007" xr:uid="{00000000-0005-0000-0000-0000589F0000}"/>
    <cellStyle name="s_DCFLBO Code_1_Company0320 working 2 2" xfId="2634" xr:uid="{00000000-0005-0000-0000-0000599F0000}"/>
    <cellStyle name="s_DCFLBO Code_1_Company0320 working 2 2 2" xfId="2850" xr:uid="{00000000-0005-0000-0000-00005A9F0000}"/>
    <cellStyle name="s_DCFLBO Code_1_Company0320 working 2 2 2 2" xfId="3044" xr:uid="{00000000-0005-0000-0000-00005B9F0000}"/>
    <cellStyle name="s_DCFLBO Code_1_Company0320 working 2 2 2 2 2" xfId="23853" xr:uid="{00000000-0005-0000-0000-00005C9F0000}"/>
    <cellStyle name="s_DCFLBO Code_1_Company0320 working 2 2 2 3" xfId="23661" xr:uid="{00000000-0005-0000-0000-00005D9F0000}"/>
    <cellStyle name="s_DCFLBO Code_1_Company0320 working 2 2 3" xfId="2926" xr:uid="{00000000-0005-0000-0000-00005E9F0000}"/>
    <cellStyle name="s_DCFLBO Code_1_Company0320 working 2 2 3 2" xfId="23735" xr:uid="{00000000-0005-0000-0000-00005F9F0000}"/>
    <cellStyle name="s_DCFLBO Code_1_Company0320 working 2 2 4" xfId="23527" xr:uid="{00000000-0005-0000-0000-0000609F0000}"/>
    <cellStyle name="s_DCFLBO Code_1_Company0320 working 2 3" xfId="2809" xr:uid="{00000000-0005-0000-0000-0000619F0000}"/>
    <cellStyle name="s_DCFLBO Code_1_Company0320 working 2 3 2" xfId="3003" xr:uid="{00000000-0005-0000-0000-0000629F0000}"/>
    <cellStyle name="s_DCFLBO Code_1_Company0320 working 2 3 2 2" xfId="23812" xr:uid="{00000000-0005-0000-0000-0000639F0000}"/>
    <cellStyle name="s_DCFLBO Code_1_Company0320 working 2 3 3" xfId="23620" xr:uid="{00000000-0005-0000-0000-0000649F0000}"/>
    <cellStyle name="s_DCFLBO Code_1_Company0320 working 2 4" xfId="23462" xr:uid="{00000000-0005-0000-0000-0000659F0000}"/>
    <cellStyle name="s_DCFLBO Code_1_Company0320 working 3" xfId="2615" xr:uid="{00000000-0005-0000-0000-0000669F0000}"/>
    <cellStyle name="s_DCFLBO Code_1_Company0320 working 3 2" xfId="2834" xr:uid="{00000000-0005-0000-0000-0000679F0000}"/>
    <cellStyle name="s_DCFLBO Code_1_Company0320 working 3 2 2" xfId="3028" xr:uid="{00000000-0005-0000-0000-0000689F0000}"/>
    <cellStyle name="s_DCFLBO Code_1_Company0320 working 3 2 2 2" xfId="23837" xr:uid="{00000000-0005-0000-0000-0000699F0000}"/>
    <cellStyle name="s_DCFLBO Code_1_Company0320 working 3 2 3" xfId="23645" xr:uid="{00000000-0005-0000-0000-00006A9F0000}"/>
    <cellStyle name="s_DCFLBO Code_1_Company0320 working 3 3" xfId="2910" xr:uid="{00000000-0005-0000-0000-00006B9F0000}"/>
    <cellStyle name="s_DCFLBO Code_1_Company0320 working 3 3 2" xfId="23719" xr:uid="{00000000-0005-0000-0000-00006C9F0000}"/>
    <cellStyle name="s_DCFLBO Code_1_Company0320 working 3 4" xfId="23508" xr:uid="{00000000-0005-0000-0000-00006D9F0000}"/>
    <cellStyle name="s_DCFLBO Code_1_Company0320 working 4" xfId="2793" xr:uid="{00000000-0005-0000-0000-00006E9F0000}"/>
    <cellStyle name="s_DCFLBO Code_1_Company0320 working 4 2" xfId="2987" xr:uid="{00000000-0005-0000-0000-00006F9F0000}"/>
    <cellStyle name="s_DCFLBO Code_1_Company0320 working 4 2 2" xfId="23796" xr:uid="{00000000-0005-0000-0000-0000709F0000}"/>
    <cellStyle name="s_DCFLBO Code_1_Company0320 working 4 3" xfId="23604" xr:uid="{00000000-0005-0000-0000-0000719F0000}"/>
    <cellStyle name="s_DCFLBO Code_1_Company0320 working 5" xfId="23434" xr:uid="{00000000-0005-0000-0000-0000729F0000}"/>
    <cellStyle name="s_DCFLBO Code_1_Check" xfId="1762" xr:uid="{00000000-0005-0000-0000-0000739F0000}"/>
    <cellStyle name="s_DCFLBO Code_1_Check 2" xfId="2008" xr:uid="{00000000-0005-0000-0000-0000749F0000}"/>
    <cellStyle name="s_DCFLBO Code_1_Check 2 2" xfId="2635" xr:uid="{00000000-0005-0000-0000-0000759F0000}"/>
    <cellStyle name="s_DCFLBO Code_1_Check 2 2 2" xfId="2851" xr:uid="{00000000-0005-0000-0000-0000769F0000}"/>
    <cellStyle name="s_DCFLBO Code_1_Check 2 2 2 2" xfId="3045" xr:uid="{00000000-0005-0000-0000-0000779F0000}"/>
    <cellStyle name="s_DCFLBO Code_1_Check 2 2 2 2 2" xfId="23854" xr:uid="{00000000-0005-0000-0000-0000789F0000}"/>
    <cellStyle name="s_DCFLBO Code_1_Check 2 2 2 3" xfId="23662" xr:uid="{00000000-0005-0000-0000-0000799F0000}"/>
    <cellStyle name="s_DCFLBO Code_1_Check 2 2 3" xfId="2927" xr:uid="{00000000-0005-0000-0000-00007A9F0000}"/>
    <cellStyle name="s_DCFLBO Code_1_Check 2 2 3 2" xfId="23736" xr:uid="{00000000-0005-0000-0000-00007B9F0000}"/>
    <cellStyle name="s_DCFLBO Code_1_Check 2 2 4" xfId="23528" xr:uid="{00000000-0005-0000-0000-00007C9F0000}"/>
    <cellStyle name="s_DCFLBO Code_1_Check 2 3" xfId="2810" xr:uid="{00000000-0005-0000-0000-00007D9F0000}"/>
    <cellStyle name="s_DCFLBO Code_1_Check 2 3 2" xfId="3004" xr:uid="{00000000-0005-0000-0000-00007E9F0000}"/>
    <cellStyle name="s_DCFLBO Code_1_Check 2 3 2 2" xfId="23813" xr:uid="{00000000-0005-0000-0000-00007F9F0000}"/>
    <cellStyle name="s_DCFLBO Code_1_Check 2 3 3" xfId="23621" xr:uid="{00000000-0005-0000-0000-0000809F0000}"/>
    <cellStyle name="s_DCFLBO Code_1_Check 2 4" xfId="23463" xr:uid="{00000000-0005-0000-0000-0000819F0000}"/>
    <cellStyle name="s_DCFLBO Code_1_Check 3" xfId="2616" xr:uid="{00000000-0005-0000-0000-0000829F0000}"/>
    <cellStyle name="s_DCFLBO Code_1_Check 3 2" xfId="2835" xr:uid="{00000000-0005-0000-0000-0000839F0000}"/>
    <cellStyle name="s_DCFLBO Code_1_Check 3 2 2" xfId="3029" xr:uid="{00000000-0005-0000-0000-0000849F0000}"/>
    <cellStyle name="s_DCFLBO Code_1_Check 3 2 2 2" xfId="23838" xr:uid="{00000000-0005-0000-0000-0000859F0000}"/>
    <cellStyle name="s_DCFLBO Code_1_Check 3 2 3" xfId="23646" xr:uid="{00000000-0005-0000-0000-0000869F0000}"/>
    <cellStyle name="s_DCFLBO Code_1_Check 3 3" xfId="2911" xr:uid="{00000000-0005-0000-0000-0000879F0000}"/>
    <cellStyle name="s_DCFLBO Code_1_Check 3 3 2" xfId="23720" xr:uid="{00000000-0005-0000-0000-0000889F0000}"/>
    <cellStyle name="s_DCFLBO Code_1_Check 3 4" xfId="23509" xr:uid="{00000000-0005-0000-0000-0000899F0000}"/>
    <cellStyle name="s_DCFLBO Code_1_Check 4" xfId="2794" xr:uid="{00000000-0005-0000-0000-00008A9F0000}"/>
    <cellStyle name="s_DCFLBO Code_1_Check 4 2" xfId="2988" xr:uid="{00000000-0005-0000-0000-00008B9F0000}"/>
    <cellStyle name="s_DCFLBO Code_1_Check 4 2 2" xfId="23797" xr:uid="{00000000-0005-0000-0000-00008C9F0000}"/>
    <cellStyle name="s_DCFLBO Code_1_Check 4 3" xfId="23605" xr:uid="{00000000-0005-0000-0000-00008D9F0000}"/>
    <cellStyle name="s_DCFLBO Code_1_Check 5" xfId="23435" xr:uid="{00000000-0005-0000-0000-00008E9F0000}"/>
    <cellStyle name="s_DCFLBO Code_1_Ticker0018 DCF" xfId="1763" xr:uid="{00000000-0005-0000-0000-00008F9F0000}"/>
    <cellStyle name="s_DCFLBO Code_1_Ticker0018 DCF 2" xfId="2009" xr:uid="{00000000-0005-0000-0000-0000909F0000}"/>
    <cellStyle name="s_DCFLBO Code_1_Ticker0018 DCF 2 2" xfId="2636" xr:uid="{00000000-0005-0000-0000-0000919F0000}"/>
    <cellStyle name="s_DCFLBO Code_1_Ticker0018 DCF 2 2 2" xfId="2852" xr:uid="{00000000-0005-0000-0000-0000929F0000}"/>
    <cellStyle name="s_DCFLBO Code_1_Ticker0018 DCF 2 2 2 2" xfId="3046" xr:uid="{00000000-0005-0000-0000-0000939F0000}"/>
    <cellStyle name="s_DCFLBO Code_1_Ticker0018 DCF 2 2 2 2 2" xfId="23855" xr:uid="{00000000-0005-0000-0000-0000949F0000}"/>
    <cellStyle name="s_DCFLBO Code_1_Ticker0018 DCF 2 2 2 3" xfId="23663" xr:uid="{00000000-0005-0000-0000-0000959F0000}"/>
    <cellStyle name="s_DCFLBO Code_1_Ticker0018 DCF 2 2 3" xfId="2928" xr:uid="{00000000-0005-0000-0000-0000969F0000}"/>
    <cellStyle name="s_DCFLBO Code_1_Ticker0018 DCF 2 2 3 2" xfId="23737" xr:uid="{00000000-0005-0000-0000-0000979F0000}"/>
    <cellStyle name="s_DCFLBO Code_1_Ticker0018 DCF 2 2 4" xfId="23529" xr:uid="{00000000-0005-0000-0000-0000989F0000}"/>
    <cellStyle name="s_DCFLBO Code_1_Ticker0018 DCF 2 3" xfId="2811" xr:uid="{00000000-0005-0000-0000-0000999F0000}"/>
    <cellStyle name="s_DCFLBO Code_1_Ticker0018 DCF 2 3 2" xfId="3005" xr:uid="{00000000-0005-0000-0000-00009A9F0000}"/>
    <cellStyle name="s_DCFLBO Code_1_Ticker0018 DCF 2 3 2 2" xfId="23814" xr:uid="{00000000-0005-0000-0000-00009B9F0000}"/>
    <cellStyle name="s_DCFLBO Code_1_Ticker0018 DCF 2 3 3" xfId="23622" xr:uid="{00000000-0005-0000-0000-00009C9F0000}"/>
    <cellStyle name="s_DCFLBO Code_1_Ticker0018 DCF 2 4" xfId="23464" xr:uid="{00000000-0005-0000-0000-00009D9F0000}"/>
    <cellStyle name="s_DCFLBO Code_1_Ticker0018 DCF 3" xfId="2617" xr:uid="{00000000-0005-0000-0000-00009E9F0000}"/>
    <cellStyle name="s_DCFLBO Code_1_Ticker0018 DCF 3 2" xfId="2836" xr:uid="{00000000-0005-0000-0000-00009F9F0000}"/>
    <cellStyle name="s_DCFLBO Code_1_Ticker0018 DCF 3 2 2" xfId="3030" xr:uid="{00000000-0005-0000-0000-0000A09F0000}"/>
    <cellStyle name="s_DCFLBO Code_1_Ticker0018 DCF 3 2 2 2" xfId="23839" xr:uid="{00000000-0005-0000-0000-0000A19F0000}"/>
    <cellStyle name="s_DCFLBO Code_1_Ticker0018 DCF 3 2 3" xfId="23647" xr:uid="{00000000-0005-0000-0000-0000A29F0000}"/>
    <cellStyle name="s_DCFLBO Code_1_Ticker0018 DCF 3 3" xfId="2912" xr:uid="{00000000-0005-0000-0000-0000A39F0000}"/>
    <cellStyle name="s_DCFLBO Code_1_Ticker0018 DCF 3 3 2" xfId="23721" xr:uid="{00000000-0005-0000-0000-0000A49F0000}"/>
    <cellStyle name="s_DCFLBO Code_1_Ticker0018 DCF 3 4" xfId="23510" xr:uid="{00000000-0005-0000-0000-0000A59F0000}"/>
    <cellStyle name="s_DCFLBO Code_1_Ticker0018 DCF 4" xfId="2795" xr:uid="{00000000-0005-0000-0000-0000A69F0000}"/>
    <cellStyle name="s_DCFLBO Code_1_Ticker0018 DCF 4 2" xfId="2989" xr:uid="{00000000-0005-0000-0000-0000A79F0000}"/>
    <cellStyle name="s_DCFLBO Code_1_Ticker0018 DCF 4 2 2" xfId="23798" xr:uid="{00000000-0005-0000-0000-0000A89F0000}"/>
    <cellStyle name="s_DCFLBO Code_1_Ticker0018 DCF 4 3" xfId="23606" xr:uid="{00000000-0005-0000-0000-0000A99F0000}"/>
    <cellStyle name="s_DCFLBO Code_1_Ticker0018 DCF 5" xfId="23436" xr:uid="{00000000-0005-0000-0000-0000AA9F0000}"/>
    <cellStyle name="s_DCFLBO Code_1_Ticker0018 DCF published 8.13.2009" xfId="1764" xr:uid="{00000000-0005-0000-0000-0000AB9F0000}"/>
    <cellStyle name="s_DCFLBO Code_1_Ticker0018 DCF published 8.13.2009 2" xfId="2010" xr:uid="{00000000-0005-0000-0000-0000AC9F0000}"/>
    <cellStyle name="s_DCFLBO Code_1_Ticker0018 DCF published 8.13.2009 2 2" xfId="2637" xr:uid="{00000000-0005-0000-0000-0000AD9F0000}"/>
    <cellStyle name="s_DCFLBO Code_1_Ticker0018 DCF published 8.13.2009 2 2 2" xfId="2853" xr:uid="{00000000-0005-0000-0000-0000AE9F0000}"/>
    <cellStyle name="s_DCFLBO Code_1_Ticker0018 DCF published 8.13.2009 2 2 2 2" xfId="3047" xr:uid="{00000000-0005-0000-0000-0000AF9F0000}"/>
    <cellStyle name="s_DCFLBO Code_1_Ticker0018 DCF published 8.13.2009 2 2 2 2 2" xfId="23856" xr:uid="{00000000-0005-0000-0000-0000B09F0000}"/>
    <cellStyle name="s_DCFLBO Code_1_Ticker0018 DCF published 8.13.2009 2 2 2 3" xfId="23664" xr:uid="{00000000-0005-0000-0000-0000B19F0000}"/>
    <cellStyle name="s_DCFLBO Code_1_Ticker0018 DCF published 8.13.2009 2 2 3" xfId="2929" xr:uid="{00000000-0005-0000-0000-0000B29F0000}"/>
    <cellStyle name="s_DCFLBO Code_1_Ticker0018 DCF published 8.13.2009 2 2 3 2" xfId="23738" xr:uid="{00000000-0005-0000-0000-0000B39F0000}"/>
    <cellStyle name="s_DCFLBO Code_1_Ticker0018 DCF published 8.13.2009 2 2 4" xfId="23530" xr:uid="{00000000-0005-0000-0000-0000B49F0000}"/>
    <cellStyle name="s_DCFLBO Code_1_Ticker0018 DCF published 8.13.2009 2 3" xfId="2812" xr:uid="{00000000-0005-0000-0000-0000B59F0000}"/>
    <cellStyle name="s_DCFLBO Code_1_Ticker0018 DCF published 8.13.2009 2 3 2" xfId="3006" xr:uid="{00000000-0005-0000-0000-0000B69F0000}"/>
    <cellStyle name="s_DCFLBO Code_1_Ticker0018 DCF published 8.13.2009 2 3 2 2" xfId="23815" xr:uid="{00000000-0005-0000-0000-0000B79F0000}"/>
    <cellStyle name="s_DCFLBO Code_1_Ticker0018 DCF published 8.13.2009 2 3 3" xfId="23623" xr:uid="{00000000-0005-0000-0000-0000B89F0000}"/>
    <cellStyle name="s_DCFLBO Code_1_Ticker0018 DCF published 8.13.2009 2 4" xfId="23465" xr:uid="{00000000-0005-0000-0000-0000B99F0000}"/>
    <cellStyle name="s_DCFLBO Code_1_Ticker0018 DCF published 8.13.2009 3" xfId="2618" xr:uid="{00000000-0005-0000-0000-0000BA9F0000}"/>
    <cellStyle name="s_DCFLBO Code_1_Ticker0018 DCF published 8.13.2009 3 2" xfId="2837" xr:uid="{00000000-0005-0000-0000-0000BB9F0000}"/>
    <cellStyle name="s_DCFLBO Code_1_Ticker0018 DCF published 8.13.2009 3 2 2" xfId="3031" xr:uid="{00000000-0005-0000-0000-0000BC9F0000}"/>
    <cellStyle name="s_DCFLBO Code_1_Ticker0018 DCF published 8.13.2009 3 2 2 2" xfId="23840" xr:uid="{00000000-0005-0000-0000-0000BD9F0000}"/>
    <cellStyle name="s_DCFLBO Code_1_Ticker0018 DCF published 8.13.2009 3 2 3" xfId="23648" xr:uid="{00000000-0005-0000-0000-0000BE9F0000}"/>
    <cellStyle name="s_DCFLBO Code_1_Ticker0018 DCF published 8.13.2009 3 3" xfId="2913" xr:uid="{00000000-0005-0000-0000-0000BF9F0000}"/>
    <cellStyle name="s_DCFLBO Code_1_Ticker0018 DCF published 8.13.2009 3 3 2" xfId="23722" xr:uid="{00000000-0005-0000-0000-0000C09F0000}"/>
    <cellStyle name="s_DCFLBO Code_1_Ticker0018 DCF published 8.13.2009 3 4" xfId="23511" xr:uid="{00000000-0005-0000-0000-0000C19F0000}"/>
    <cellStyle name="s_DCFLBO Code_1_Ticker0018 DCF published 8.13.2009 4" xfId="2796" xr:uid="{00000000-0005-0000-0000-0000C29F0000}"/>
    <cellStyle name="s_DCFLBO Code_1_Ticker0018 DCF published 8.13.2009 4 2" xfId="2990" xr:uid="{00000000-0005-0000-0000-0000C39F0000}"/>
    <cellStyle name="s_DCFLBO Code_1_Ticker0018 DCF published 8.13.2009 4 2 2" xfId="23799" xr:uid="{00000000-0005-0000-0000-0000C49F0000}"/>
    <cellStyle name="s_DCFLBO Code_1_Ticker0018 DCF published 8.13.2009 4 3" xfId="23607" xr:uid="{00000000-0005-0000-0000-0000C59F0000}"/>
    <cellStyle name="s_DCFLBO Code_1_Ticker0018 DCF published 8.13.2009 5" xfId="23437" xr:uid="{00000000-0005-0000-0000-0000C69F0000}"/>
    <cellStyle name="s_DCFLBO Code_1_LC Rx trend vs est" xfId="1765" xr:uid="{00000000-0005-0000-0000-0000C79F0000}"/>
    <cellStyle name="s_DCFLBO Code_1_LC Rx trend vs est 2" xfId="2011" xr:uid="{00000000-0005-0000-0000-0000C89F0000}"/>
    <cellStyle name="s_DCFLBO Code_1_LC Rx trend vs est 2 2" xfId="2638" xr:uid="{00000000-0005-0000-0000-0000C99F0000}"/>
    <cellStyle name="s_DCFLBO Code_1_LC Rx trend vs est 2 2 2" xfId="2854" xr:uid="{00000000-0005-0000-0000-0000CA9F0000}"/>
    <cellStyle name="s_DCFLBO Code_1_LC Rx trend vs est 2 2 2 2" xfId="3048" xr:uid="{00000000-0005-0000-0000-0000CB9F0000}"/>
    <cellStyle name="s_DCFLBO Code_1_LC Rx trend vs est 2 2 2 2 2" xfId="23857" xr:uid="{00000000-0005-0000-0000-0000CC9F0000}"/>
    <cellStyle name="s_DCFLBO Code_1_LC Rx trend vs est 2 2 2 3" xfId="23665" xr:uid="{00000000-0005-0000-0000-0000CD9F0000}"/>
    <cellStyle name="s_DCFLBO Code_1_LC Rx trend vs est 2 2 3" xfId="2930" xr:uid="{00000000-0005-0000-0000-0000CE9F0000}"/>
    <cellStyle name="s_DCFLBO Code_1_LC Rx trend vs est 2 2 3 2" xfId="23739" xr:uid="{00000000-0005-0000-0000-0000CF9F0000}"/>
    <cellStyle name="s_DCFLBO Code_1_LC Rx trend vs est 2 2 4" xfId="23531" xr:uid="{00000000-0005-0000-0000-0000D09F0000}"/>
    <cellStyle name="s_DCFLBO Code_1_LC Rx trend vs est 2 3" xfId="2813" xr:uid="{00000000-0005-0000-0000-0000D19F0000}"/>
    <cellStyle name="s_DCFLBO Code_1_LC Rx trend vs est 2 3 2" xfId="3007" xr:uid="{00000000-0005-0000-0000-0000D29F0000}"/>
    <cellStyle name="s_DCFLBO Code_1_LC Rx trend vs est 2 3 2 2" xfId="23816" xr:uid="{00000000-0005-0000-0000-0000D39F0000}"/>
    <cellStyle name="s_DCFLBO Code_1_LC Rx trend vs est 2 3 3" xfId="23624" xr:uid="{00000000-0005-0000-0000-0000D49F0000}"/>
    <cellStyle name="s_DCFLBO Code_1_LC Rx trend vs est 2 4" xfId="23466" xr:uid="{00000000-0005-0000-0000-0000D59F0000}"/>
    <cellStyle name="s_DCFLBO Code_1_LC Rx trend vs est 3" xfId="2619" xr:uid="{00000000-0005-0000-0000-0000D69F0000}"/>
    <cellStyle name="s_DCFLBO Code_1_LC Rx trend vs est 3 2" xfId="2838" xr:uid="{00000000-0005-0000-0000-0000D79F0000}"/>
    <cellStyle name="s_DCFLBO Code_1_LC Rx trend vs est 3 2 2" xfId="3032" xr:uid="{00000000-0005-0000-0000-0000D89F0000}"/>
    <cellStyle name="s_DCFLBO Code_1_LC Rx trend vs est 3 2 2 2" xfId="23841" xr:uid="{00000000-0005-0000-0000-0000D99F0000}"/>
    <cellStyle name="s_DCFLBO Code_1_LC Rx trend vs est 3 2 3" xfId="23649" xr:uid="{00000000-0005-0000-0000-0000DA9F0000}"/>
    <cellStyle name="s_DCFLBO Code_1_LC Rx trend vs est 3 3" xfId="2914" xr:uid="{00000000-0005-0000-0000-0000DB9F0000}"/>
    <cellStyle name="s_DCFLBO Code_1_LC Rx trend vs est 3 3 2" xfId="23723" xr:uid="{00000000-0005-0000-0000-0000DC9F0000}"/>
    <cellStyle name="s_DCFLBO Code_1_LC Rx trend vs est 3 4" xfId="23512" xr:uid="{00000000-0005-0000-0000-0000DD9F0000}"/>
    <cellStyle name="s_DCFLBO Code_1_LC Rx trend vs est 4" xfId="2797" xr:uid="{00000000-0005-0000-0000-0000DE9F0000}"/>
    <cellStyle name="s_DCFLBO Code_1_LC Rx trend vs est 4 2" xfId="2991" xr:uid="{00000000-0005-0000-0000-0000DF9F0000}"/>
    <cellStyle name="s_DCFLBO Code_1_LC Rx trend vs est 4 2 2" xfId="23800" xr:uid="{00000000-0005-0000-0000-0000E09F0000}"/>
    <cellStyle name="s_DCFLBO Code_1_LC Rx trend vs est 4 3" xfId="23608" xr:uid="{00000000-0005-0000-0000-0000E19F0000}"/>
    <cellStyle name="s_DCFLBO Code_1_LC Rx trend vs est 5" xfId="23438" xr:uid="{00000000-0005-0000-0000-0000E29F0000}"/>
    <cellStyle name="s_DCFLBO Code_1_Company1562 working" xfId="1766" xr:uid="{00000000-0005-0000-0000-0000E39F0000}"/>
    <cellStyle name="s_DCFLBO Code_1_Company1562 working 2" xfId="2012" xr:uid="{00000000-0005-0000-0000-0000E49F0000}"/>
    <cellStyle name="s_DCFLBO Code_1_Company1562 working 2 2" xfId="2639" xr:uid="{00000000-0005-0000-0000-0000E59F0000}"/>
    <cellStyle name="s_DCFLBO Code_1_Company1562 working 2 2 2" xfId="2855" xr:uid="{00000000-0005-0000-0000-0000E69F0000}"/>
    <cellStyle name="s_DCFLBO Code_1_Company1562 working 2 2 2 2" xfId="3049" xr:uid="{00000000-0005-0000-0000-0000E79F0000}"/>
    <cellStyle name="s_DCFLBO Code_1_Company1562 working 2 2 2 2 2" xfId="23858" xr:uid="{00000000-0005-0000-0000-0000E89F0000}"/>
    <cellStyle name="s_DCFLBO Code_1_Company1562 working 2 2 2 3" xfId="23666" xr:uid="{00000000-0005-0000-0000-0000E99F0000}"/>
    <cellStyle name="s_DCFLBO Code_1_Company1562 working 2 2 3" xfId="2931" xr:uid="{00000000-0005-0000-0000-0000EA9F0000}"/>
    <cellStyle name="s_DCFLBO Code_1_Company1562 working 2 2 3 2" xfId="23740" xr:uid="{00000000-0005-0000-0000-0000EB9F0000}"/>
    <cellStyle name="s_DCFLBO Code_1_Company1562 working 2 2 4" xfId="23532" xr:uid="{00000000-0005-0000-0000-0000EC9F0000}"/>
    <cellStyle name="s_DCFLBO Code_1_Company1562 working 2 3" xfId="2814" xr:uid="{00000000-0005-0000-0000-0000ED9F0000}"/>
    <cellStyle name="s_DCFLBO Code_1_Company1562 working 2 3 2" xfId="3008" xr:uid="{00000000-0005-0000-0000-0000EE9F0000}"/>
    <cellStyle name="s_DCFLBO Code_1_Company1562 working 2 3 2 2" xfId="23817" xr:uid="{00000000-0005-0000-0000-0000EF9F0000}"/>
    <cellStyle name="s_DCFLBO Code_1_Company1562 working 2 3 3" xfId="23625" xr:uid="{00000000-0005-0000-0000-0000F09F0000}"/>
    <cellStyle name="s_DCFLBO Code_1_Company1562 working 2 4" xfId="23467" xr:uid="{00000000-0005-0000-0000-0000F19F0000}"/>
    <cellStyle name="s_DCFLBO Code_1_Company1562 working 3" xfId="2620" xr:uid="{00000000-0005-0000-0000-0000F29F0000}"/>
    <cellStyle name="s_DCFLBO Code_1_Company1562 working 3 2" xfId="2839" xr:uid="{00000000-0005-0000-0000-0000F39F0000}"/>
    <cellStyle name="s_DCFLBO Code_1_Company1562 working 3 2 2" xfId="3033" xr:uid="{00000000-0005-0000-0000-0000F49F0000}"/>
    <cellStyle name="s_DCFLBO Code_1_Company1562 working 3 2 2 2" xfId="23842" xr:uid="{00000000-0005-0000-0000-0000F59F0000}"/>
    <cellStyle name="s_DCFLBO Code_1_Company1562 working 3 2 3" xfId="23650" xr:uid="{00000000-0005-0000-0000-0000F69F0000}"/>
    <cellStyle name="s_DCFLBO Code_1_Company1562 working 3 3" xfId="2915" xr:uid="{00000000-0005-0000-0000-0000F79F0000}"/>
    <cellStyle name="s_DCFLBO Code_1_Company1562 working 3 3 2" xfId="23724" xr:uid="{00000000-0005-0000-0000-0000F89F0000}"/>
    <cellStyle name="s_DCFLBO Code_1_Company1562 working 3 4" xfId="23513" xr:uid="{00000000-0005-0000-0000-0000F99F0000}"/>
    <cellStyle name="s_DCFLBO Code_1_Company1562 working 4" xfId="2798" xr:uid="{00000000-0005-0000-0000-0000FA9F0000}"/>
    <cellStyle name="s_DCFLBO Code_1_Company1562 working 4 2" xfId="2992" xr:uid="{00000000-0005-0000-0000-0000FB9F0000}"/>
    <cellStyle name="s_DCFLBO Code_1_Company1562 working 4 2 2" xfId="23801" xr:uid="{00000000-0005-0000-0000-0000FC9F0000}"/>
    <cellStyle name="s_DCFLBO Code_1_Company1562 working 4 3" xfId="23609" xr:uid="{00000000-0005-0000-0000-0000FD9F0000}"/>
    <cellStyle name="s_DCFLBO Code_1_Company1562 working 5" xfId="23439" xr:uid="{00000000-0005-0000-0000-0000FE9F0000}"/>
    <cellStyle name="s_DCFLBO Code_Company0187 Model" xfId="1767" xr:uid="{00000000-0005-0000-0000-0000FF9F0000}"/>
    <cellStyle name="s_DCFLBO Code_Company0320 DCF" xfId="1768" xr:uid="{00000000-0005-0000-0000-000000A00000}"/>
    <cellStyle name="s_DCFLBO Code_Company0320 DCF 2" xfId="2013" xr:uid="{00000000-0005-0000-0000-000001A00000}"/>
    <cellStyle name="s_DCFLBO Code_Company0320 for Client" xfId="1769" xr:uid="{00000000-0005-0000-0000-000002A00000}"/>
    <cellStyle name="s_DCFLBO Code_Company0320 for Client 2" xfId="2014" xr:uid="{00000000-0005-0000-0000-000003A00000}"/>
    <cellStyle name="s_DCFLBO Code_Company0320 working" xfId="1770" xr:uid="{00000000-0005-0000-0000-000004A00000}"/>
    <cellStyle name="s_DCFLBO Code_Company0320 working 2" xfId="2015" xr:uid="{00000000-0005-0000-0000-000005A00000}"/>
    <cellStyle name="s_DCFLBO Code_Check" xfId="1771" xr:uid="{00000000-0005-0000-0000-000006A00000}"/>
    <cellStyle name="s_DCFLBO Code_Check 2" xfId="2016" xr:uid="{00000000-0005-0000-0000-000007A00000}"/>
    <cellStyle name="s_DCFLBO Code_DCF3" xfId="1772" xr:uid="{00000000-0005-0000-0000-000008A00000}"/>
    <cellStyle name="s_DCFLBO Code_DCF3 2" xfId="2561" xr:uid="{00000000-0005-0000-0000-000009A00000}"/>
    <cellStyle name="s_DCFLBO Code_DCF3_Company0320 DCF" xfId="1773" xr:uid="{00000000-0005-0000-0000-00000AA00000}"/>
    <cellStyle name="s_DCFLBO Code_DCF3_Company0320 DCF 2" xfId="2017" xr:uid="{00000000-0005-0000-0000-00000BA00000}"/>
    <cellStyle name="s_DCFLBO Code_DCF3_Company0320 for Client" xfId="1774" xr:uid="{00000000-0005-0000-0000-00000CA00000}"/>
    <cellStyle name="s_DCFLBO Code_DCF3_Company0320 for Client 2" xfId="2018" xr:uid="{00000000-0005-0000-0000-00000DA00000}"/>
    <cellStyle name="s_DCFLBO Code_DCF3_Company0320 working" xfId="1775" xr:uid="{00000000-0005-0000-0000-00000EA00000}"/>
    <cellStyle name="s_DCFLBO Code_DCF3_Company0320 working 2" xfId="2019" xr:uid="{00000000-0005-0000-0000-00000FA00000}"/>
    <cellStyle name="s_DCFLBO Code_DCF3_Check" xfId="1776" xr:uid="{00000000-0005-0000-0000-000010A00000}"/>
    <cellStyle name="s_DCFLBO Code_DCF3_Check 2" xfId="2020" xr:uid="{00000000-0005-0000-0000-000011A00000}"/>
    <cellStyle name="s_DCFLBO Code_DCF3_Ticker0018 DCF" xfId="1777" xr:uid="{00000000-0005-0000-0000-000012A00000}"/>
    <cellStyle name="s_DCFLBO Code_DCF3_Ticker0018 DCF 2" xfId="2021" xr:uid="{00000000-0005-0000-0000-000013A00000}"/>
    <cellStyle name="s_DCFLBO Code_DCF3_Ticker0018 DCF published 8.13.2009" xfId="1778" xr:uid="{00000000-0005-0000-0000-000014A00000}"/>
    <cellStyle name="s_DCFLBO Code_DCF3_Ticker0018 DCF published 8.13.2009 2" xfId="2022" xr:uid="{00000000-0005-0000-0000-000015A00000}"/>
    <cellStyle name="s_DCFLBO Code_DCF3_LC Rx trend vs est" xfId="1779" xr:uid="{00000000-0005-0000-0000-000016A00000}"/>
    <cellStyle name="s_DCFLBO Code_DCF3_LC Rx trend vs est 2" xfId="2023" xr:uid="{00000000-0005-0000-0000-000017A00000}"/>
    <cellStyle name="s_DCFLBO Code_DCF3_Company1562 working" xfId="1780" xr:uid="{00000000-0005-0000-0000-000018A00000}"/>
    <cellStyle name="s_DCFLBO Code_DCF3_Company1562 working 2" xfId="2024" xr:uid="{00000000-0005-0000-0000-000019A00000}"/>
    <cellStyle name="s_DCFLBO Code_Ticker0018 DCF" xfId="1781" xr:uid="{00000000-0005-0000-0000-00001AA00000}"/>
    <cellStyle name="s_DCFLBO Code_Ticker0018 DCF 2" xfId="2025" xr:uid="{00000000-0005-0000-0000-00001BA00000}"/>
    <cellStyle name="s_DCFLBO Code_Ticker0018 DCF published 8.13.2009" xfId="1782" xr:uid="{00000000-0005-0000-0000-00001CA00000}"/>
    <cellStyle name="s_DCFLBO Code_Ticker0018 DCF published 8.13.2009 2" xfId="2026" xr:uid="{00000000-0005-0000-0000-00001DA00000}"/>
    <cellStyle name="s_DCFLBO Code_LC Rx trend vs est" xfId="1783" xr:uid="{00000000-0005-0000-0000-00001EA00000}"/>
    <cellStyle name="s_DCFLBO Code_LC Rx trend vs est 2" xfId="2027" xr:uid="{00000000-0005-0000-0000-00001FA00000}"/>
    <cellStyle name="s_DCFLBO Code_Company1562 working" xfId="1784" xr:uid="{00000000-0005-0000-0000-000020A00000}"/>
    <cellStyle name="s_DCFLBO Code_Company1562 working 2" xfId="2028" xr:uid="{00000000-0005-0000-0000-000021A00000}"/>
    <cellStyle name="s_Company1232 " xfId="1785" xr:uid="{00000000-0005-0000-0000-000022A00000}"/>
    <cellStyle name="s_Company1232 _Company0320 DCF" xfId="1786" xr:uid="{00000000-0005-0000-0000-000023A00000}"/>
    <cellStyle name="s_Company1232 _Company0320 DCF 2" xfId="2029" xr:uid="{00000000-0005-0000-0000-000024A00000}"/>
    <cellStyle name="s_Company1232 _Company0320 for Client" xfId="1787" xr:uid="{00000000-0005-0000-0000-000025A00000}"/>
    <cellStyle name="s_Company1232 _Company0320 for Client 2" xfId="2030" xr:uid="{00000000-0005-0000-0000-000026A00000}"/>
    <cellStyle name="s_Company1232 _Company0320 working" xfId="1788" xr:uid="{00000000-0005-0000-0000-000027A00000}"/>
    <cellStyle name="s_Company1232 _Company0320 working 2" xfId="2031" xr:uid="{00000000-0005-0000-0000-000028A00000}"/>
    <cellStyle name="s_Company1232 _CF" xfId="1789" xr:uid="{00000000-0005-0000-0000-000029A00000}"/>
    <cellStyle name="s_Company1232 _CF 2" xfId="2032" xr:uid="{00000000-0005-0000-0000-00002AA00000}"/>
    <cellStyle name="s_Company1232 _Check" xfId="1790" xr:uid="{00000000-0005-0000-0000-00002BA00000}"/>
    <cellStyle name="s_Company1232 _Check 2" xfId="2033" xr:uid="{00000000-0005-0000-0000-00002CA00000}"/>
    <cellStyle name="s_Company1232 _CROCI" xfId="1791" xr:uid="{00000000-0005-0000-0000-00002DA00000}"/>
    <cellStyle name="s_Company1232 _CROCI 2" xfId="1792" xr:uid="{00000000-0005-0000-0000-00002EA00000}"/>
    <cellStyle name="s_Company1232 _DCF Analysis" xfId="1793" xr:uid="{00000000-0005-0000-0000-00002FA00000}"/>
    <cellStyle name="s_Company1232 _DCF Analysis 2" xfId="1794" xr:uid="{00000000-0005-0000-0000-000030A00000}"/>
    <cellStyle name="s_Company1232 _DCF Analysis_CROCI" xfId="1795" xr:uid="{00000000-0005-0000-0000-000031A00000}"/>
    <cellStyle name="s_Company1232 _Ticker0018 DCF" xfId="1796" xr:uid="{00000000-0005-0000-0000-000032A00000}"/>
    <cellStyle name="s_Company1232 _Ticker0018 DCF 2" xfId="2034" xr:uid="{00000000-0005-0000-0000-000033A00000}"/>
    <cellStyle name="s_Company1232 _Ticker0018 DCF published 8.13.2009" xfId="1797" xr:uid="{00000000-0005-0000-0000-000034A00000}"/>
    <cellStyle name="s_Company1232 _Ticker0018 DCF published 8.13.2009 2" xfId="2035" xr:uid="{00000000-0005-0000-0000-000035A00000}"/>
    <cellStyle name="s_Company1232 _LC Rx trend vs est" xfId="1798" xr:uid="{00000000-0005-0000-0000-000036A00000}"/>
    <cellStyle name="s_Company1232 _LC Rx trend vs est 2" xfId="2036" xr:uid="{00000000-0005-0000-0000-000037A00000}"/>
    <cellStyle name="s_Company1232 _Company1562 working" xfId="1799" xr:uid="{00000000-0005-0000-0000-000038A00000}"/>
    <cellStyle name="s_Company1232 _Company1562 working 2" xfId="2037" xr:uid="{00000000-0005-0000-0000-000039A00000}"/>
    <cellStyle name="s_Company1232 _MRK working" xfId="1800" xr:uid="{00000000-0005-0000-0000-00003AA00000}"/>
    <cellStyle name="s_Company1232 _MRK working 2" xfId="1801" xr:uid="{00000000-0005-0000-0000-00003BA00000}"/>
    <cellStyle name="s_Company1232 _MRK working_CROCI" xfId="1802" xr:uid="{00000000-0005-0000-0000-00003CA00000}"/>
    <cellStyle name="s_Company1232 _MRK working_CROCI 2" xfId="1803" xr:uid="{00000000-0005-0000-0000-00003DA00000}"/>
    <cellStyle name="s_Company1232 _MRK working_CROCI_1" xfId="1804" xr:uid="{00000000-0005-0000-0000-00003EA00000}"/>
    <cellStyle name="s_Company1232 _Patent" xfId="1805" xr:uid="{00000000-0005-0000-0000-00003FA00000}"/>
    <cellStyle name="s_Company1232 _Patent 2" xfId="2038" xr:uid="{00000000-0005-0000-0000-000040A00000}"/>
    <cellStyle name="s_Company1232 _Company2068 working" xfId="1806" xr:uid="{00000000-0005-0000-0000-000041A00000}"/>
    <cellStyle name="s_Company1232 _Company2068 working 2" xfId="2039" xr:uid="{00000000-0005-0000-0000-000042A00000}"/>
    <cellStyle name="s_Company1232 _Qtr Review" xfId="1807" xr:uid="{00000000-0005-0000-0000-000043A00000}"/>
    <cellStyle name="s_Company1232 _Qtr Review 2" xfId="2562" xr:uid="{00000000-0005-0000-0000-000044A00000}"/>
    <cellStyle name="s_Company1232 _ROIC_New" xfId="1808" xr:uid="{00000000-0005-0000-0000-000045A00000}"/>
    <cellStyle name="s_Company1232 _ROIC_New 2" xfId="2563" xr:uid="{00000000-0005-0000-0000-000046A00000}"/>
    <cellStyle name="s_Ticker0018 DCF" xfId="1809" xr:uid="{00000000-0005-0000-0000-000047A00000}"/>
    <cellStyle name="s_Ticker0018 DCF 2" xfId="2040" xr:uid="{00000000-0005-0000-0000-000048A00000}"/>
    <cellStyle name="s_Ticker0018 DCF 2 2" xfId="2640" xr:uid="{00000000-0005-0000-0000-000049A00000}"/>
    <cellStyle name="s_Ticker0018 DCF 2 2 2" xfId="2856" xr:uid="{00000000-0005-0000-0000-00004AA00000}"/>
    <cellStyle name="s_Ticker0018 DCF 2 2 2 2" xfId="3050" xr:uid="{00000000-0005-0000-0000-00004BA00000}"/>
    <cellStyle name="s_Ticker0018 DCF 2 2 2 2 2" xfId="23859" xr:uid="{00000000-0005-0000-0000-00004CA00000}"/>
    <cellStyle name="s_Ticker0018 DCF 2 2 2 3" xfId="23667" xr:uid="{00000000-0005-0000-0000-00004DA00000}"/>
    <cellStyle name="s_Ticker0018 DCF 2 2 3" xfId="2932" xr:uid="{00000000-0005-0000-0000-00004EA00000}"/>
    <cellStyle name="s_Ticker0018 DCF 2 2 3 2" xfId="23741" xr:uid="{00000000-0005-0000-0000-00004FA00000}"/>
    <cellStyle name="s_Ticker0018 DCF 2 2 4" xfId="23533" xr:uid="{00000000-0005-0000-0000-000050A00000}"/>
    <cellStyle name="s_Ticker0018 DCF 2 3" xfId="2815" xr:uid="{00000000-0005-0000-0000-000051A00000}"/>
    <cellStyle name="s_Ticker0018 DCF 2 3 2" xfId="3009" xr:uid="{00000000-0005-0000-0000-000052A00000}"/>
    <cellStyle name="s_Ticker0018 DCF 2 3 2 2" xfId="23818" xr:uid="{00000000-0005-0000-0000-000053A00000}"/>
    <cellStyle name="s_Ticker0018 DCF 2 3 3" xfId="23626" xr:uid="{00000000-0005-0000-0000-000054A00000}"/>
    <cellStyle name="s_Ticker0018 DCF 2 4" xfId="23468" xr:uid="{00000000-0005-0000-0000-000055A00000}"/>
    <cellStyle name="s_Ticker0018 DCF 3" xfId="2621" xr:uid="{00000000-0005-0000-0000-000056A00000}"/>
    <cellStyle name="s_Ticker0018 DCF 3 2" xfId="2840" xr:uid="{00000000-0005-0000-0000-000057A00000}"/>
    <cellStyle name="s_Ticker0018 DCF 3 2 2" xfId="3034" xr:uid="{00000000-0005-0000-0000-000058A00000}"/>
    <cellStyle name="s_Ticker0018 DCF 3 2 2 2" xfId="23843" xr:uid="{00000000-0005-0000-0000-000059A00000}"/>
    <cellStyle name="s_Ticker0018 DCF 3 2 3" xfId="23651" xr:uid="{00000000-0005-0000-0000-00005AA00000}"/>
    <cellStyle name="s_Ticker0018 DCF 3 3" xfId="2916" xr:uid="{00000000-0005-0000-0000-00005BA00000}"/>
    <cellStyle name="s_Ticker0018 DCF 3 3 2" xfId="23725" xr:uid="{00000000-0005-0000-0000-00005CA00000}"/>
    <cellStyle name="s_Ticker0018 DCF 3 4" xfId="23514" xr:uid="{00000000-0005-0000-0000-00005DA00000}"/>
    <cellStyle name="s_Ticker0018 DCF 4" xfId="2799" xr:uid="{00000000-0005-0000-0000-00005EA00000}"/>
    <cellStyle name="s_Ticker0018 DCF 4 2" xfId="2993" xr:uid="{00000000-0005-0000-0000-00005FA00000}"/>
    <cellStyle name="s_Ticker0018 DCF 4 2 2" xfId="23802" xr:uid="{00000000-0005-0000-0000-000060A00000}"/>
    <cellStyle name="s_Ticker0018 DCF 4 3" xfId="23610" xr:uid="{00000000-0005-0000-0000-000061A00000}"/>
    <cellStyle name="s_Ticker0018 DCF 5" xfId="23440" xr:uid="{00000000-0005-0000-0000-000062A00000}"/>
    <cellStyle name="s_Ticker0018 DCF published 8.13.2009" xfId="1810" xr:uid="{00000000-0005-0000-0000-000063A00000}"/>
    <cellStyle name="s_Ticker0018 DCF published 8.13.2009 2" xfId="2041" xr:uid="{00000000-0005-0000-0000-000064A00000}"/>
    <cellStyle name="s_Ticker0018 DCF published 8.13.2009 2 2" xfId="2641" xr:uid="{00000000-0005-0000-0000-000065A00000}"/>
    <cellStyle name="s_Ticker0018 DCF published 8.13.2009 2 2 2" xfId="2857" xr:uid="{00000000-0005-0000-0000-000066A00000}"/>
    <cellStyle name="s_Ticker0018 DCF published 8.13.2009 2 2 2 2" xfId="3051" xr:uid="{00000000-0005-0000-0000-000067A00000}"/>
    <cellStyle name="s_Ticker0018 DCF published 8.13.2009 2 2 2 2 2" xfId="23860" xr:uid="{00000000-0005-0000-0000-000068A00000}"/>
    <cellStyle name="s_Ticker0018 DCF published 8.13.2009 2 2 2 3" xfId="23668" xr:uid="{00000000-0005-0000-0000-000069A00000}"/>
    <cellStyle name="s_Ticker0018 DCF published 8.13.2009 2 2 3" xfId="2933" xr:uid="{00000000-0005-0000-0000-00006AA00000}"/>
    <cellStyle name="s_Ticker0018 DCF published 8.13.2009 2 2 3 2" xfId="23742" xr:uid="{00000000-0005-0000-0000-00006BA00000}"/>
    <cellStyle name="s_Ticker0018 DCF published 8.13.2009 2 2 4" xfId="23534" xr:uid="{00000000-0005-0000-0000-00006CA00000}"/>
    <cellStyle name="s_Ticker0018 DCF published 8.13.2009 2 3" xfId="2816" xr:uid="{00000000-0005-0000-0000-00006DA00000}"/>
    <cellStyle name="s_Ticker0018 DCF published 8.13.2009 2 3 2" xfId="3010" xr:uid="{00000000-0005-0000-0000-00006EA00000}"/>
    <cellStyle name="s_Ticker0018 DCF published 8.13.2009 2 3 2 2" xfId="23819" xr:uid="{00000000-0005-0000-0000-00006FA00000}"/>
    <cellStyle name="s_Ticker0018 DCF published 8.13.2009 2 3 3" xfId="23627" xr:uid="{00000000-0005-0000-0000-000070A00000}"/>
    <cellStyle name="s_Ticker0018 DCF published 8.13.2009 2 4" xfId="23469" xr:uid="{00000000-0005-0000-0000-000071A00000}"/>
    <cellStyle name="s_Ticker0018 DCF published 8.13.2009 3" xfId="2622" xr:uid="{00000000-0005-0000-0000-000072A00000}"/>
    <cellStyle name="s_Ticker0018 DCF published 8.13.2009 3 2" xfId="2841" xr:uid="{00000000-0005-0000-0000-000073A00000}"/>
    <cellStyle name="s_Ticker0018 DCF published 8.13.2009 3 2 2" xfId="3035" xr:uid="{00000000-0005-0000-0000-000074A00000}"/>
    <cellStyle name="s_Ticker0018 DCF published 8.13.2009 3 2 2 2" xfId="23844" xr:uid="{00000000-0005-0000-0000-000075A00000}"/>
    <cellStyle name="s_Ticker0018 DCF published 8.13.2009 3 2 3" xfId="23652" xr:uid="{00000000-0005-0000-0000-000076A00000}"/>
    <cellStyle name="s_Ticker0018 DCF published 8.13.2009 3 3" xfId="2917" xr:uid="{00000000-0005-0000-0000-000077A00000}"/>
    <cellStyle name="s_Ticker0018 DCF published 8.13.2009 3 3 2" xfId="23726" xr:uid="{00000000-0005-0000-0000-000078A00000}"/>
    <cellStyle name="s_Ticker0018 DCF published 8.13.2009 3 4" xfId="23515" xr:uid="{00000000-0005-0000-0000-000079A00000}"/>
    <cellStyle name="s_Ticker0018 DCF published 8.13.2009 4" xfId="2800" xr:uid="{00000000-0005-0000-0000-00007AA00000}"/>
    <cellStyle name="s_Ticker0018 DCF published 8.13.2009 4 2" xfId="2994" xr:uid="{00000000-0005-0000-0000-00007BA00000}"/>
    <cellStyle name="s_Ticker0018 DCF published 8.13.2009 4 2 2" xfId="23803" xr:uid="{00000000-0005-0000-0000-00007CA00000}"/>
    <cellStyle name="s_Ticker0018 DCF published 8.13.2009 4 3" xfId="23611" xr:uid="{00000000-0005-0000-0000-00007DA00000}"/>
    <cellStyle name="s_Ticker0018 DCF published 8.13.2009 5" xfId="23441" xr:uid="{00000000-0005-0000-0000-00007EA00000}"/>
    <cellStyle name="s_LC Rx trend vs est" xfId="1811" xr:uid="{00000000-0005-0000-0000-00007FA00000}"/>
    <cellStyle name="s_LC Rx trend vs est 2" xfId="2042" xr:uid="{00000000-0005-0000-0000-000080A00000}"/>
    <cellStyle name="s_LC Rx trend vs est 2 2" xfId="2642" xr:uid="{00000000-0005-0000-0000-000081A00000}"/>
    <cellStyle name="s_LC Rx trend vs est 2 2 2" xfId="2858" xr:uid="{00000000-0005-0000-0000-000082A00000}"/>
    <cellStyle name="s_LC Rx trend vs est 2 2 2 2" xfId="3052" xr:uid="{00000000-0005-0000-0000-000083A00000}"/>
    <cellStyle name="s_LC Rx trend vs est 2 2 2 2 2" xfId="23861" xr:uid="{00000000-0005-0000-0000-000084A00000}"/>
    <cellStyle name="s_LC Rx trend vs est 2 2 2 3" xfId="23669" xr:uid="{00000000-0005-0000-0000-000085A00000}"/>
    <cellStyle name="s_LC Rx trend vs est 2 2 3" xfId="2934" xr:uid="{00000000-0005-0000-0000-000086A00000}"/>
    <cellStyle name="s_LC Rx trend vs est 2 2 3 2" xfId="23743" xr:uid="{00000000-0005-0000-0000-000087A00000}"/>
    <cellStyle name="s_LC Rx trend vs est 2 2 4" xfId="23535" xr:uid="{00000000-0005-0000-0000-000088A00000}"/>
    <cellStyle name="s_LC Rx trend vs est 2 3" xfId="2817" xr:uid="{00000000-0005-0000-0000-000089A00000}"/>
    <cellStyle name="s_LC Rx trend vs est 2 3 2" xfId="3011" xr:uid="{00000000-0005-0000-0000-00008AA00000}"/>
    <cellStyle name="s_LC Rx trend vs est 2 3 2 2" xfId="23820" xr:uid="{00000000-0005-0000-0000-00008BA00000}"/>
    <cellStyle name="s_LC Rx trend vs est 2 3 3" xfId="23628" xr:uid="{00000000-0005-0000-0000-00008CA00000}"/>
    <cellStyle name="s_LC Rx trend vs est 2 4" xfId="23470" xr:uid="{00000000-0005-0000-0000-00008DA00000}"/>
    <cellStyle name="s_LC Rx trend vs est 3" xfId="2623" xr:uid="{00000000-0005-0000-0000-00008EA00000}"/>
    <cellStyle name="s_LC Rx trend vs est 3 2" xfId="2842" xr:uid="{00000000-0005-0000-0000-00008FA00000}"/>
    <cellStyle name="s_LC Rx trend vs est 3 2 2" xfId="3036" xr:uid="{00000000-0005-0000-0000-000090A00000}"/>
    <cellStyle name="s_LC Rx trend vs est 3 2 2 2" xfId="23845" xr:uid="{00000000-0005-0000-0000-000091A00000}"/>
    <cellStyle name="s_LC Rx trend vs est 3 2 3" xfId="23653" xr:uid="{00000000-0005-0000-0000-000092A00000}"/>
    <cellStyle name="s_LC Rx trend vs est 3 3" xfId="2918" xr:uid="{00000000-0005-0000-0000-000093A00000}"/>
    <cellStyle name="s_LC Rx trend vs est 3 3 2" xfId="23727" xr:uid="{00000000-0005-0000-0000-000094A00000}"/>
    <cellStyle name="s_LC Rx trend vs est 3 4" xfId="23516" xr:uid="{00000000-0005-0000-0000-000095A00000}"/>
    <cellStyle name="s_LC Rx trend vs est 4" xfId="2801" xr:uid="{00000000-0005-0000-0000-000096A00000}"/>
    <cellStyle name="s_LC Rx trend vs est 4 2" xfId="2995" xr:uid="{00000000-0005-0000-0000-000097A00000}"/>
    <cellStyle name="s_LC Rx trend vs est 4 2 2" xfId="23804" xr:uid="{00000000-0005-0000-0000-000098A00000}"/>
    <cellStyle name="s_LC Rx trend vs est 4 3" xfId="23612" xr:uid="{00000000-0005-0000-0000-000099A00000}"/>
    <cellStyle name="s_LC Rx trend vs est 5" xfId="23442" xr:uid="{00000000-0005-0000-0000-00009AA00000}"/>
    <cellStyle name="s_Company1562 working" xfId="1812" xr:uid="{00000000-0005-0000-0000-00009BA00000}"/>
    <cellStyle name="s_Company1562 working 2" xfId="2043" xr:uid="{00000000-0005-0000-0000-00009CA00000}"/>
    <cellStyle name="s_Company1562 working 2 2" xfId="2643" xr:uid="{00000000-0005-0000-0000-00009DA00000}"/>
    <cellStyle name="s_Company1562 working 2 2 2" xfId="2859" xr:uid="{00000000-0005-0000-0000-00009EA00000}"/>
    <cellStyle name="s_Company1562 working 2 2 2 2" xfId="3053" xr:uid="{00000000-0005-0000-0000-00009FA00000}"/>
    <cellStyle name="s_Company1562 working 2 2 2 2 2" xfId="23862" xr:uid="{00000000-0005-0000-0000-0000A0A00000}"/>
    <cellStyle name="s_Company1562 working 2 2 2 3" xfId="23670" xr:uid="{00000000-0005-0000-0000-0000A1A00000}"/>
    <cellStyle name="s_Company1562 working 2 2 3" xfId="2935" xr:uid="{00000000-0005-0000-0000-0000A2A00000}"/>
    <cellStyle name="s_Company1562 working 2 2 3 2" xfId="23744" xr:uid="{00000000-0005-0000-0000-0000A3A00000}"/>
    <cellStyle name="s_Company1562 working 2 2 4" xfId="23536" xr:uid="{00000000-0005-0000-0000-0000A4A00000}"/>
    <cellStyle name="s_Company1562 working 2 3" xfId="2818" xr:uid="{00000000-0005-0000-0000-0000A5A00000}"/>
    <cellStyle name="s_Company1562 working 2 3 2" xfId="3012" xr:uid="{00000000-0005-0000-0000-0000A6A00000}"/>
    <cellStyle name="s_Company1562 working 2 3 2 2" xfId="23821" xr:uid="{00000000-0005-0000-0000-0000A7A00000}"/>
    <cellStyle name="s_Company1562 working 2 3 3" xfId="23629" xr:uid="{00000000-0005-0000-0000-0000A8A00000}"/>
    <cellStyle name="s_Company1562 working 2 4" xfId="23471" xr:uid="{00000000-0005-0000-0000-0000A9A00000}"/>
    <cellStyle name="s_Company1562 working 3" xfId="2624" xr:uid="{00000000-0005-0000-0000-0000AAA00000}"/>
    <cellStyle name="s_Company1562 working 3 2" xfId="2843" xr:uid="{00000000-0005-0000-0000-0000ABA00000}"/>
    <cellStyle name="s_Company1562 working 3 2 2" xfId="3037" xr:uid="{00000000-0005-0000-0000-0000ACA00000}"/>
    <cellStyle name="s_Company1562 working 3 2 2 2" xfId="23846" xr:uid="{00000000-0005-0000-0000-0000ADA00000}"/>
    <cellStyle name="s_Company1562 working 3 2 3" xfId="23654" xr:uid="{00000000-0005-0000-0000-0000AEA00000}"/>
    <cellStyle name="s_Company1562 working 3 3" xfId="2919" xr:uid="{00000000-0005-0000-0000-0000AFA00000}"/>
    <cellStyle name="s_Company1562 working 3 3 2" xfId="23728" xr:uid="{00000000-0005-0000-0000-0000B0A00000}"/>
    <cellStyle name="s_Company1562 working 3 4" xfId="23517" xr:uid="{00000000-0005-0000-0000-0000B1A00000}"/>
    <cellStyle name="s_Company1562 working 4" xfId="2802" xr:uid="{00000000-0005-0000-0000-0000B2A00000}"/>
    <cellStyle name="s_Company1562 working 4 2" xfId="2996" xr:uid="{00000000-0005-0000-0000-0000B3A00000}"/>
    <cellStyle name="s_Company1562 working 4 2 2" xfId="23805" xr:uid="{00000000-0005-0000-0000-0000B4A00000}"/>
    <cellStyle name="s_Company1562 working 4 3" xfId="23613" xr:uid="{00000000-0005-0000-0000-0000B5A00000}"/>
    <cellStyle name="s_Company1562 working 5" xfId="23443" xr:uid="{00000000-0005-0000-0000-0000B6A00000}"/>
    <cellStyle name="Company2527 Logo" xfId="4018" xr:uid="{00000000-0005-0000-0000-0000B7A00000}"/>
    <cellStyle name="scenario" xfId="1813" xr:uid="{00000000-0005-0000-0000-0000B8A00000}"/>
    <cellStyle name="Section_heading" xfId="1814" xr:uid="{00000000-0005-0000-0000-0000B9A00000}"/>
    <cellStyle name="SectionHeading" xfId="4019" xr:uid="{00000000-0005-0000-0000-0000BAA00000}"/>
    <cellStyle name="Shaded" xfId="1815" xr:uid="{00000000-0005-0000-0000-0000BBA00000}"/>
    <cellStyle name="Shaded 2" xfId="2564" xr:uid="{00000000-0005-0000-0000-0000BCA00000}"/>
    <cellStyle name="ShadedCells_Database" xfId="1816" xr:uid="{00000000-0005-0000-0000-0000BDA00000}"/>
    <cellStyle name="Shares" xfId="1817" xr:uid="{00000000-0005-0000-0000-0000BEA00000}"/>
    <cellStyle name="Sheet Title" xfId="4512" xr:uid="{00000000-0005-0000-0000-0000BFA00000}"/>
    <cellStyle name="ShOut" xfId="4513" xr:uid="{00000000-0005-0000-0000-0000C0A00000}"/>
    <cellStyle name="Single Border" xfId="4020" xr:uid="{00000000-0005-0000-0000-0000C1A00000}"/>
    <cellStyle name="Single Border 2" xfId="4750" xr:uid="{00000000-0005-0000-0000-0000C2A00000}"/>
    <cellStyle name="Single Border 2 2" xfId="8865" xr:uid="{00000000-0005-0000-0000-0000C3A00000}"/>
    <cellStyle name="Single Border 2 2 2" xfId="13171" xr:uid="{00000000-0005-0000-0000-0000C4A00000}"/>
    <cellStyle name="Single Border 2 2 2 2" xfId="32641" xr:uid="{00000000-0005-0000-0000-0000C5A00000}"/>
    <cellStyle name="Single Border 2 2 3" xfId="28344" xr:uid="{00000000-0005-0000-0000-0000C6A00000}"/>
    <cellStyle name="Single Border 2 3" xfId="24255" xr:uid="{00000000-0005-0000-0000-0000C7A00000}"/>
    <cellStyle name="Single Border 3" xfId="23949" xr:uid="{00000000-0005-0000-0000-0000C8A00000}"/>
    <cellStyle name="Single Underline" xfId="4021" xr:uid="{00000000-0005-0000-0000-0000C9A00000}"/>
    <cellStyle name="Space" xfId="1818" xr:uid="{00000000-0005-0000-0000-0000CAA00000}"/>
    <cellStyle name="Standard" xfId="4022" xr:uid="{00000000-0005-0000-0000-0000CBA00000}"/>
    <cellStyle name="STYL1 - Style1" xfId="1819" xr:uid="{00000000-0005-0000-0000-0000CCA00000}"/>
    <cellStyle name="STYL2 - Style2" xfId="1820" xr:uid="{00000000-0005-0000-0000-0000CDA00000}"/>
    <cellStyle name="STYL3 - Style3" xfId="1821" xr:uid="{00000000-0005-0000-0000-0000CEA00000}"/>
    <cellStyle name="STYL4 - Style4" xfId="1822" xr:uid="{00000000-0005-0000-0000-0000CFA00000}"/>
    <cellStyle name="STYL5 - Style5" xfId="1823" xr:uid="{00000000-0005-0000-0000-0000D0A00000}"/>
    <cellStyle name="Style 1" xfId="1824" xr:uid="{00000000-0005-0000-0000-0000D1A00000}"/>
    <cellStyle name="Style 1 2" xfId="2044" xr:uid="{00000000-0005-0000-0000-0000D2A00000}"/>
    <cellStyle name="Style 1 2 2" xfId="2565" xr:uid="{00000000-0005-0000-0000-0000D3A00000}"/>
    <cellStyle name="Style 1 2 3" xfId="2566" xr:uid="{00000000-0005-0000-0000-0000D4A00000}"/>
    <cellStyle name="Style 1 3" xfId="2567" xr:uid="{00000000-0005-0000-0000-0000D5A00000}"/>
    <cellStyle name="Style 1 3 2" xfId="2568" xr:uid="{00000000-0005-0000-0000-0000D6A00000}"/>
    <cellStyle name="Style 1 4" xfId="2569" xr:uid="{00000000-0005-0000-0000-0000D7A00000}"/>
    <cellStyle name="Style 1 4 2" xfId="2570" xr:uid="{00000000-0005-0000-0000-0000D8A00000}"/>
    <cellStyle name="Style 1 5" xfId="2571" xr:uid="{00000000-0005-0000-0000-0000D9A00000}"/>
    <cellStyle name="Style 1 6" xfId="2572" xr:uid="{00000000-0005-0000-0000-0000DAA00000}"/>
    <cellStyle name="Style 10" xfId="4023" xr:uid="{00000000-0005-0000-0000-0000DBA00000}"/>
    <cellStyle name="Style 11" xfId="4024" xr:uid="{00000000-0005-0000-0000-0000DCA00000}"/>
    <cellStyle name="Style 12" xfId="4025" xr:uid="{00000000-0005-0000-0000-0000DDA00000}"/>
    <cellStyle name="Style 13" xfId="4026" xr:uid="{00000000-0005-0000-0000-0000DEA00000}"/>
    <cellStyle name="Style 14" xfId="4027" xr:uid="{00000000-0005-0000-0000-0000DFA00000}"/>
    <cellStyle name="Style 15" xfId="4028" xr:uid="{00000000-0005-0000-0000-0000E0A00000}"/>
    <cellStyle name="Style 16" xfId="4029" xr:uid="{00000000-0005-0000-0000-0000E1A00000}"/>
    <cellStyle name="Style 17" xfId="4030" xr:uid="{00000000-0005-0000-0000-0000E2A00000}"/>
    <cellStyle name="Style 18" xfId="4031" xr:uid="{00000000-0005-0000-0000-0000E3A00000}"/>
    <cellStyle name="Style 19" xfId="4032" xr:uid="{00000000-0005-0000-0000-0000E4A00000}"/>
    <cellStyle name="Style 2" xfId="1825" xr:uid="{00000000-0005-0000-0000-0000E5A00000}"/>
    <cellStyle name="Style 2 2" xfId="2045" xr:uid="{00000000-0005-0000-0000-0000E6A00000}"/>
    <cellStyle name="Style 2 2 2" xfId="2573" xr:uid="{00000000-0005-0000-0000-0000E7A00000}"/>
    <cellStyle name="Style 2 2 3" xfId="2574" xr:uid="{00000000-0005-0000-0000-0000E8A00000}"/>
    <cellStyle name="Style 2 3" xfId="2575" xr:uid="{00000000-0005-0000-0000-0000E9A00000}"/>
    <cellStyle name="Style 2 3 2" xfId="2576" xr:uid="{00000000-0005-0000-0000-0000EAA00000}"/>
    <cellStyle name="Style 2 4" xfId="2577" xr:uid="{00000000-0005-0000-0000-0000EBA00000}"/>
    <cellStyle name="Style 2 4 2" xfId="2578" xr:uid="{00000000-0005-0000-0000-0000ECA00000}"/>
    <cellStyle name="Style 2 5" xfId="2579" xr:uid="{00000000-0005-0000-0000-0000EDA00000}"/>
    <cellStyle name="Style 2 6" xfId="2580" xr:uid="{00000000-0005-0000-0000-0000EEA00000}"/>
    <cellStyle name="Style 2 7" xfId="13255" xr:uid="{00000000-0005-0000-0000-0000EFA00000}"/>
    <cellStyle name="Style 20" xfId="4033" xr:uid="{00000000-0005-0000-0000-0000F0A00000}"/>
    <cellStyle name="Style 21" xfId="4034" xr:uid="{00000000-0005-0000-0000-0000F1A00000}"/>
    <cellStyle name="Style 22" xfId="4035" xr:uid="{00000000-0005-0000-0000-0000F2A00000}"/>
    <cellStyle name="Style 23" xfId="4036" xr:uid="{00000000-0005-0000-0000-0000F3A00000}"/>
    <cellStyle name="Style 24" xfId="4037" xr:uid="{00000000-0005-0000-0000-0000F4A00000}"/>
    <cellStyle name="Style 25" xfId="4038" xr:uid="{00000000-0005-0000-0000-0000F5A00000}"/>
    <cellStyle name="Style 26" xfId="4039" xr:uid="{00000000-0005-0000-0000-0000F6A00000}"/>
    <cellStyle name="Style 3" xfId="4040" xr:uid="{00000000-0005-0000-0000-0000F7A00000}"/>
    <cellStyle name="Style 3 2" xfId="13392" xr:uid="{00000000-0005-0000-0000-0000F8A00000}"/>
    <cellStyle name="Style 4" xfId="4041" xr:uid="{00000000-0005-0000-0000-0000F9A00000}"/>
    <cellStyle name="Style 5" xfId="4042" xr:uid="{00000000-0005-0000-0000-0000FAA00000}"/>
    <cellStyle name="Style 6" xfId="4043" xr:uid="{00000000-0005-0000-0000-0000FBA00000}"/>
    <cellStyle name="Style 7" xfId="4044" xr:uid="{00000000-0005-0000-0000-0000FCA00000}"/>
    <cellStyle name="Style 8" xfId="4045" xr:uid="{00000000-0005-0000-0000-0000FDA00000}"/>
    <cellStyle name="Style 9" xfId="4046" xr:uid="{00000000-0005-0000-0000-0000FEA00000}"/>
    <cellStyle name="Style D green" xfId="1826" xr:uid="{00000000-0005-0000-0000-0000FFA00000}"/>
    <cellStyle name="Style E" xfId="1827" xr:uid="{00000000-0005-0000-0000-000000A10000}"/>
    <cellStyle name="Style H" xfId="1828" xr:uid="{00000000-0005-0000-0000-000001A10000}"/>
    <cellStyle name="STYLE1" xfId="4047" xr:uid="{00000000-0005-0000-0000-000002A10000}"/>
    <cellStyle name="STYLE2" xfId="4048" xr:uid="{00000000-0005-0000-0000-000003A10000}"/>
    <cellStyle name="STYLE3" xfId="4049" xr:uid="{00000000-0005-0000-0000-000004A10000}"/>
    <cellStyle name="STYLE4" xfId="4050" xr:uid="{00000000-0005-0000-0000-000005A10000}"/>
    <cellStyle name="STYLE5" xfId="4051" xr:uid="{00000000-0005-0000-0000-000006A10000}"/>
    <cellStyle name="STYLE6" xfId="4052" xr:uid="{00000000-0005-0000-0000-000007A10000}"/>
    <cellStyle name="Sub total" xfId="1829" xr:uid="{00000000-0005-0000-0000-000008A10000}"/>
    <cellStyle name="Sub total 2" xfId="2625" xr:uid="{00000000-0005-0000-0000-000009A10000}"/>
    <cellStyle name="Sub total 2 2" xfId="4199" xr:uid="{00000000-0005-0000-0000-00000AA10000}"/>
    <cellStyle name="Sub total 2 2 2" xfId="4872" xr:uid="{00000000-0005-0000-0000-00000BA10000}"/>
    <cellStyle name="Sub total 2 2 2 2" xfId="5493" xr:uid="{00000000-0005-0000-0000-00000CA10000}"/>
    <cellStyle name="Sub total 2 2 2 2 2" xfId="6695" xr:uid="{00000000-0005-0000-0000-00000DA10000}"/>
    <cellStyle name="Sub total 2 2 2 2 2 2" xfId="26180" xr:uid="{00000000-0005-0000-0000-00000EA10000}"/>
    <cellStyle name="Sub total 2 2 2 2 3" xfId="24984" xr:uid="{00000000-0005-0000-0000-00000FA10000}"/>
    <cellStyle name="Sub total 2 2 2 3" xfId="6633" xr:uid="{00000000-0005-0000-0000-000010A10000}"/>
    <cellStyle name="Sub total 2 2 2 3 2" xfId="26118" xr:uid="{00000000-0005-0000-0000-000011A10000}"/>
    <cellStyle name="Sub total 2 2 2 4" xfId="24370" xr:uid="{00000000-0005-0000-0000-000012A10000}"/>
    <cellStyle name="Sub total 2 2 3" xfId="23990" xr:uid="{00000000-0005-0000-0000-000013A10000}"/>
    <cellStyle name="Sub total 2 3" xfId="4914" xr:uid="{00000000-0005-0000-0000-000014A10000}"/>
    <cellStyle name="Sub total 2 3 2" xfId="6666" xr:uid="{00000000-0005-0000-0000-000015A10000}"/>
    <cellStyle name="Sub total 2 3 2 2" xfId="26151" xr:uid="{00000000-0005-0000-0000-000016A10000}"/>
    <cellStyle name="Sub total 2 3 3" xfId="24408" xr:uid="{00000000-0005-0000-0000-000017A10000}"/>
    <cellStyle name="Sub total 2 4" xfId="5503" xr:uid="{00000000-0005-0000-0000-000018A10000}"/>
    <cellStyle name="Sub total 2 4 2" xfId="24991" xr:uid="{00000000-0005-0000-0000-000019A10000}"/>
    <cellStyle name="Sub total 2 5" xfId="13490" xr:uid="{00000000-0005-0000-0000-00001AA10000}"/>
    <cellStyle name="Sub total 2 6" xfId="16056" xr:uid="{00000000-0005-0000-0000-00001BA10000}"/>
    <cellStyle name="Sub total 2 6 2" xfId="35410" xr:uid="{00000000-0005-0000-0000-00001CA10000}"/>
    <cellStyle name="Sub total 2 7" xfId="20989" xr:uid="{00000000-0005-0000-0000-00001DA10000}"/>
    <cellStyle name="Sub total 2 7 2" xfId="40331" xr:uid="{00000000-0005-0000-0000-00001EA10000}"/>
    <cellStyle name="Sub total 2 8" xfId="23518" xr:uid="{00000000-0005-0000-0000-00001FA10000}"/>
    <cellStyle name="Sub total 3" xfId="2769" xr:uid="{00000000-0005-0000-0000-000020A10000}"/>
    <cellStyle name="Sub total 3 2" xfId="4721" xr:uid="{00000000-0005-0000-0000-000021A10000}"/>
    <cellStyle name="Sub total 3 2 2" xfId="5355" xr:uid="{00000000-0005-0000-0000-000022A10000}"/>
    <cellStyle name="Sub total 3 2 2 2" xfId="6694" xr:uid="{00000000-0005-0000-0000-000023A10000}"/>
    <cellStyle name="Sub total 3 2 2 2 2" xfId="26179" xr:uid="{00000000-0005-0000-0000-000024A10000}"/>
    <cellStyle name="Sub total 3 2 2 3" xfId="14636" xr:uid="{00000000-0005-0000-0000-000025A10000}"/>
    <cellStyle name="Sub total 3 2 2 3 2" xfId="33997" xr:uid="{00000000-0005-0000-0000-000026A10000}"/>
    <cellStyle name="Sub total 3 2 2 4" xfId="17117" xr:uid="{00000000-0005-0000-0000-000027A10000}"/>
    <cellStyle name="Sub total 3 2 2 4 2" xfId="36471" xr:uid="{00000000-0005-0000-0000-000028A10000}"/>
    <cellStyle name="Sub total 3 2 2 5" xfId="19548" xr:uid="{00000000-0005-0000-0000-000029A10000}"/>
    <cellStyle name="Sub total 3 2 2 5 2" xfId="38901" xr:uid="{00000000-0005-0000-0000-00002AA10000}"/>
    <cellStyle name="Sub total 3 2 2 6" xfId="22056" xr:uid="{00000000-0005-0000-0000-00002BA10000}"/>
    <cellStyle name="Sub total 3 2 2 6 2" xfId="41398" xr:uid="{00000000-0005-0000-0000-00002CA10000}"/>
    <cellStyle name="Sub total 3 2 2 7" xfId="24846" xr:uid="{00000000-0005-0000-0000-00002DA10000}"/>
    <cellStyle name="Sub total 3 2 3" xfId="6632" xr:uid="{00000000-0005-0000-0000-00002EA10000}"/>
    <cellStyle name="Sub total 3 2 3 2" xfId="15189" xr:uid="{00000000-0005-0000-0000-00002FA10000}"/>
    <cellStyle name="Sub total 3 2 3 2 2" xfId="34550" xr:uid="{00000000-0005-0000-0000-000030A10000}"/>
    <cellStyle name="Sub total 3 2 3 3" xfId="17665" xr:uid="{00000000-0005-0000-0000-000031A10000}"/>
    <cellStyle name="Sub total 3 2 3 3 2" xfId="37019" xr:uid="{00000000-0005-0000-0000-000032A10000}"/>
    <cellStyle name="Sub total 3 2 3 4" xfId="20096" xr:uid="{00000000-0005-0000-0000-000033A10000}"/>
    <cellStyle name="Sub total 3 2 3 4 2" xfId="39449" xr:uid="{00000000-0005-0000-0000-000034A10000}"/>
    <cellStyle name="Sub total 3 2 3 5" xfId="22609" xr:uid="{00000000-0005-0000-0000-000035A10000}"/>
    <cellStyle name="Sub total 3 2 3 5 2" xfId="41951" xr:uid="{00000000-0005-0000-0000-000036A10000}"/>
    <cellStyle name="Sub total 3 2 3 6" xfId="26117" xr:uid="{00000000-0005-0000-0000-000037A10000}"/>
    <cellStyle name="Sub total 3 2 4" xfId="15662" xr:uid="{00000000-0005-0000-0000-000038A10000}"/>
    <cellStyle name="Sub total 3 2 4 2" xfId="18138" xr:uid="{00000000-0005-0000-0000-000039A10000}"/>
    <cellStyle name="Sub total 3 2 4 2 2" xfId="37492" xr:uid="{00000000-0005-0000-0000-00003AA10000}"/>
    <cellStyle name="Sub total 3 2 4 3" xfId="20569" xr:uid="{00000000-0005-0000-0000-00003BA10000}"/>
    <cellStyle name="Sub total 3 2 4 3 2" xfId="39922" xr:uid="{00000000-0005-0000-0000-00003CA10000}"/>
    <cellStyle name="Sub total 3 2 4 4" xfId="23082" xr:uid="{00000000-0005-0000-0000-00003DA10000}"/>
    <cellStyle name="Sub total 3 2 4 4 2" xfId="42424" xr:uid="{00000000-0005-0000-0000-00003EA10000}"/>
    <cellStyle name="Sub total 3 2 4 5" xfId="35023" xr:uid="{00000000-0005-0000-0000-00003FA10000}"/>
    <cellStyle name="Sub total 3 2 5" xfId="13841" xr:uid="{00000000-0005-0000-0000-000040A10000}"/>
    <cellStyle name="Sub total 3 2 5 2" xfId="33205" xr:uid="{00000000-0005-0000-0000-000041A10000}"/>
    <cellStyle name="Sub total 3 2 6" xfId="16350" xr:uid="{00000000-0005-0000-0000-000042A10000}"/>
    <cellStyle name="Sub total 3 2 6 2" xfId="35704" xr:uid="{00000000-0005-0000-0000-000043A10000}"/>
    <cellStyle name="Sub total 3 2 7" xfId="18781" xr:uid="{00000000-0005-0000-0000-000044A10000}"/>
    <cellStyle name="Sub total 3 2 7 2" xfId="38134" xr:uid="{00000000-0005-0000-0000-000045A10000}"/>
    <cellStyle name="Sub total 3 2 8" xfId="21264" xr:uid="{00000000-0005-0000-0000-000046A10000}"/>
    <cellStyle name="Sub total 3 2 8 2" xfId="40606" xr:uid="{00000000-0005-0000-0000-000047A10000}"/>
    <cellStyle name="Sub total 3 3" xfId="14059" xr:uid="{00000000-0005-0000-0000-000048A10000}"/>
    <cellStyle name="Sub total 3 3 2" xfId="14854" xr:uid="{00000000-0005-0000-0000-000049A10000}"/>
    <cellStyle name="Sub total 3 3 2 2" xfId="17332" xr:uid="{00000000-0005-0000-0000-00004AA10000}"/>
    <cellStyle name="Sub total 3 3 2 2 2" xfId="36686" xr:uid="{00000000-0005-0000-0000-00004BA10000}"/>
    <cellStyle name="Sub total 3 3 2 3" xfId="19763" xr:uid="{00000000-0005-0000-0000-00004CA10000}"/>
    <cellStyle name="Sub total 3 3 2 3 2" xfId="39116" xr:uid="{00000000-0005-0000-0000-00004DA10000}"/>
    <cellStyle name="Sub total 3 3 2 4" xfId="22274" xr:uid="{00000000-0005-0000-0000-00004EA10000}"/>
    <cellStyle name="Sub total 3 3 2 4 2" xfId="41616" xr:uid="{00000000-0005-0000-0000-00004FA10000}"/>
    <cellStyle name="Sub total 3 3 2 5" xfId="34215" xr:uid="{00000000-0005-0000-0000-000050A10000}"/>
    <cellStyle name="Sub total 3 3 3" xfId="15402" xr:uid="{00000000-0005-0000-0000-000051A10000}"/>
    <cellStyle name="Sub total 3 3 3 2" xfId="17878" xr:uid="{00000000-0005-0000-0000-000052A10000}"/>
    <cellStyle name="Sub total 3 3 3 2 2" xfId="37232" xr:uid="{00000000-0005-0000-0000-000053A10000}"/>
    <cellStyle name="Sub total 3 3 3 3" xfId="20309" xr:uid="{00000000-0005-0000-0000-000054A10000}"/>
    <cellStyle name="Sub total 3 3 3 3 2" xfId="39662" xr:uid="{00000000-0005-0000-0000-000055A10000}"/>
    <cellStyle name="Sub total 3 3 3 4" xfId="22822" xr:uid="{00000000-0005-0000-0000-000056A10000}"/>
    <cellStyle name="Sub total 3 3 3 4 2" xfId="42164" xr:uid="{00000000-0005-0000-0000-000057A10000}"/>
    <cellStyle name="Sub total 3 3 3 5" xfId="34763" xr:uid="{00000000-0005-0000-0000-000058A10000}"/>
    <cellStyle name="Sub total 3 3 4" xfId="15861" xr:uid="{00000000-0005-0000-0000-000059A10000}"/>
    <cellStyle name="Sub total 3 3 4 2" xfId="18337" xr:uid="{00000000-0005-0000-0000-00005AA10000}"/>
    <cellStyle name="Sub total 3 3 4 2 2" xfId="37691" xr:uid="{00000000-0005-0000-0000-00005BA10000}"/>
    <cellStyle name="Sub total 3 3 4 3" xfId="20768" xr:uid="{00000000-0005-0000-0000-00005CA10000}"/>
    <cellStyle name="Sub total 3 3 4 3 2" xfId="40121" xr:uid="{00000000-0005-0000-0000-00005DA10000}"/>
    <cellStyle name="Sub total 3 3 4 4" xfId="23281" xr:uid="{00000000-0005-0000-0000-00005EA10000}"/>
    <cellStyle name="Sub total 3 3 4 4 2" xfId="42623" xr:uid="{00000000-0005-0000-0000-00005FA10000}"/>
    <cellStyle name="Sub total 3 3 4 5" xfId="35222" xr:uid="{00000000-0005-0000-0000-000060A10000}"/>
    <cellStyle name="Sub total 3 3 5" xfId="16565" xr:uid="{00000000-0005-0000-0000-000061A10000}"/>
    <cellStyle name="Sub total 3 3 5 2" xfId="35919" xr:uid="{00000000-0005-0000-0000-000062A10000}"/>
    <cellStyle name="Sub total 3 3 6" xfId="18996" xr:uid="{00000000-0005-0000-0000-000063A10000}"/>
    <cellStyle name="Sub total 3 3 6 2" xfId="38349" xr:uid="{00000000-0005-0000-0000-000064A10000}"/>
    <cellStyle name="Sub total 3 3 7" xfId="21482" xr:uid="{00000000-0005-0000-0000-000065A10000}"/>
    <cellStyle name="Sub total 3 3 7 2" xfId="40824" xr:uid="{00000000-0005-0000-0000-000066A10000}"/>
    <cellStyle name="Sub total 3 3 8" xfId="33423" xr:uid="{00000000-0005-0000-0000-000067A10000}"/>
    <cellStyle name="Sub total 3 4" xfId="14357" xr:uid="{00000000-0005-0000-0000-000068A10000}"/>
    <cellStyle name="Sub total 3 4 2" xfId="16850" xr:uid="{00000000-0005-0000-0000-000069A10000}"/>
    <cellStyle name="Sub total 3 4 2 2" xfId="36204" xr:uid="{00000000-0005-0000-0000-00006AA10000}"/>
    <cellStyle name="Sub total 3 4 3" xfId="19281" xr:uid="{00000000-0005-0000-0000-00006BA10000}"/>
    <cellStyle name="Sub total 3 4 3 2" xfId="38634" xr:uid="{00000000-0005-0000-0000-00006CA10000}"/>
    <cellStyle name="Sub total 3 4 4" xfId="21777" xr:uid="{00000000-0005-0000-0000-00006DA10000}"/>
    <cellStyle name="Sub total 3 4 4 2" xfId="41119" xr:uid="{00000000-0005-0000-0000-00006EA10000}"/>
    <cellStyle name="Sub total 3 4 5" xfId="33718" xr:uid="{00000000-0005-0000-0000-00006FA10000}"/>
    <cellStyle name="Sub total 3 5" xfId="13541" xr:uid="{00000000-0005-0000-0000-000070A10000}"/>
    <cellStyle name="Sub total 3 5 2" xfId="32915" xr:uid="{00000000-0005-0000-0000-000071A10000}"/>
    <cellStyle name="Sub total 3 6" xfId="16089" xr:uid="{00000000-0005-0000-0000-000072A10000}"/>
    <cellStyle name="Sub total 3 6 2" xfId="35443" xr:uid="{00000000-0005-0000-0000-000073A10000}"/>
    <cellStyle name="Sub total 3 7" xfId="18499" xr:uid="{00000000-0005-0000-0000-000074A10000}"/>
    <cellStyle name="Sub total 3 7 2" xfId="37852" xr:uid="{00000000-0005-0000-0000-000075A10000}"/>
    <cellStyle name="Sub total 3 8" xfId="21019" xr:uid="{00000000-0005-0000-0000-000076A10000}"/>
    <cellStyle name="Sub total 3 8 2" xfId="40361" xr:uid="{00000000-0005-0000-0000-000077A10000}"/>
    <cellStyle name="Sub total 4" xfId="13750" xr:uid="{00000000-0005-0000-0000-000078A10000}"/>
    <cellStyle name="Sub total 4 2" xfId="14553" xr:uid="{00000000-0005-0000-0000-000079A10000}"/>
    <cellStyle name="Sub total 4 2 2" xfId="17040" xr:uid="{00000000-0005-0000-0000-00007AA10000}"/>
    <cellStyle name="Sub total 4 2 2 2" xfId="36394" xr:uid="{00000000-0005-0000-0000-00007BA10000}"/>
    <cellStyle name="Sub total 4 2 3" xfId="19471" xr:uid="{00000000-0005-0000-0000-00007CA10000}"/>
    <cellStyle name="Sub total 4 2 3 2" xfId="38824" xr:uid="{00000000-0005-0000-0000-00007DA10000}"/>
    <cellStyle name="Sub total 4 2 4" xfId="21973" xr:uid="{00000000-0005-0000-0000-00007EA10000}"/>
    <cellStyle name="Sub total 4 2 4 2" xfId="41315" xr:uid="{00000000-0005-0000-0000-00007FA10000}"/>
    <cellStyle name="Sub total 4 2 5" xfId="33914" xr:uid="{00000000-0005-0000-0000-000080A10000}"/>
    <cellStyle name="Sub total 4 3" xfId="15114" xr:uid="{00000000-0005-0000-0000-000081A10000}"/>
    <cellStyle name="Sub total 4 3 2" xfId="17590" xr:uid="{00000000-0005-0000-0000-000082A10000}"/>
    <cellStyle name="Sub total 4 3 2 2" xfId="36944" xr:uid="{00000000-0005-0000-0000-000083A10000}"/>
    <cellStyle name="Sub total 4 3 3" xfId="20021" xr:uid="{00000000-0005-0000-0000-000084A10000}"/>
    <cellStyle name="Sub total 4 3 3 2" xfId="39374" xr:uid="{00000000-0005-0000-0000-000085A10000}"/>
    <cellStyle name="Sub total 4 3 4" xfId="22534" xr:uid="{00000000-0005-0000-0000-000086A10000}"/>
    <cellStyle name="Sub total 4 3 4 2" xfId="41876" xr:uid="{00000000-0005-0000-0000-000087A10000}"/>
    <cellStyle name="Sub total 4 3 5" xfId="34475" xr:uid="{00000000-0005-0000-0000-000088A10000}"/>
    <cellStyle name="Sub total 4 4" xfId="16266" xr:uid="{00000000-0005-0000-0000-000089A10000}"/>
    <cellStyle name="Sub total 4 4 2" xfId="35620" xr:uid="{00000000-0005-0000-0000-00008AA10000}"/>
    <cellStyle name="Sub total 4 5" xfId="18697" xr:uid="{00000000-0005-0000-0000-00008BA10000}"/>
    <cellStyle name="Sub total 4 5 2" xfId="38050" xr:uid="{00000000-0005-0000-0000-00008CA10000}"/>
    <cellStyle name="Sub total 4 6" xfId="21174" xr:uid="{00000000-0005-0000-0000-00008DA10000}"/>
    <cellStyle name="Sub total 4 6 2" xfId="40516" xr:uid="{00000000-0005-0000-0000-00008EA10000}"/>
    <cellStyle name="Sub total 4 7" xfId="33115" xr:uid="{00000000-0005-0000-0000-00008FA10000}"/>
    <cellStyle name="Sub total 5" xfId="14267" xr:uid="{00000000-0005-0000-0000-000090A10000}"/>
    <cellStyle name="Sub total 5 2" xfId="16767" xr:uid="{00000000-0005-0000-0000-000091A10000}"/>
    <cellStyle name="Sub total 5 2 2" xfId="36121" xr:uid="{00000000-0005-0000-0000-000092A10000}"/>
    <cellStyle name="Sub total 5 3" xfId="19198" xr:uid="{00000000-0005-0000-0000-000093A10000}"/>
    <cellStyle name="Sub total 5 3 2" xfId="38551" xr:uid="{00000000-0005-0000-0000-000094A10000}"/>
    <cellStyle name="Sub total 5 4" xfId="21688" xr:uid="{00000000-0005-0000-0000-000095A10000}"/>
    <cellStyle name="Sub total 5 4 2" xfId="41030" xr:uid="{00000000-0005-0000-0000-000096A10000}"/>
    <cellStyle name="Sub total 5 5" xfId="33629" xr:uid="{00000000-0005-0000-0000-000097A10000}"/>
    <cellStyle name="Sub total 6" xfId="14193" xr:uid="{00000000-0005-0000-0000-000098A10000}"/>
    <cellStyle name="Sub total 6 2" xfId="16697" xr:uid="{00000000-0005-0000-0000-000099A10000}"/>
    <cellStyle name="Sub total 6 2 2" xfId="36051" xr:uid="{00000000-0005-0000-0000-00009AA10000}"/>
    <cellStyle name="Sub total 6 3" xfId="19128" xr:uid="{00000000-0005-0000-0000-00009BA10000}"/>
    <cellStyle name="Sub total 6 3 2" xfId="38481" xr:uid="{00000000-0005-0000-0000-00009CA10000}"/>
    <cellStyle name="Sub total 6 4" xfId="21615" xr:uid="{00000000-0005-0000-0000-00009DA10000}"/>
    <cellStyle name="Sub total 6 4 2" xfId="40957" xr:uid="{00000000-0005-0000-0000-00009EA10000}"/>
    <cellStyle name="Sub total 6 5" xfId="33556" xr:uid="{00000000-0005-0000-0000-00009FA10000}"/>
    <cellStyle name="Sub total 7" xfId="14194" xr:uid="{00000000-0005-0000-0000-0000A0A10000}"/>
    <cellStyle name="Sub total 7 2" xfId="16698" xr:uid="{00000000-0005-0000-0000-0000A1A10000}"/>
    <cellStyle name="Sub total 7 2 2" xfId="36052" xr:uid="{00000000-0005-0000-0000-0000A2A10000}"/>
    <cellStyle name="Sub total 7 3" xfId="19129" xr:uid="{00000000-0005-0000-0000-0000A3A10000}"/>
    <cellStyle name="Sub total 7 3 2" xfId="38482" xr:uid="{00000000-0005-0000-0000-0000A4A10000}"/>
    <cellStyle name="Sub total 7 4" xfId="21616" xr:uid="{00000000-0005-0000-0000-0000A5A10000}"/>
    <cellStyle name="Sub total 7 4 2" xfId="40958" xr:uid="{00000000-0005-0000-0000-0000A6A10000}"/>
    <cellStyle name="Sub total 7 5" xfId="33557" xr:uid="{00000000-0005-0000-0000-0000A7A10000}"/>
    <cellStyle name="Sub total 8" xfId="15984" xr:uid="{00000000-0005-0000-0000-0000A8A10000}"/>
    <cellStyle name="Sub total 8 2" xfId="35339" xr:uid="{00000000-0005-0000-0000-0000A9A10000}"/>
    <cellStyle name="Sub total 9" xfId="13209" xr:uid="{00000000-0005-0000-0000-0000AAA10000}"/>
    <cellStyle name="Sub total 9 2" xfId="32676" xr:uid="{00000000-0005-0000-0000-0000ABA10000}"/>
    <cellStyle name="SubDollar" xfId="1830" xr:uid="{00000000-0005-0000-0000-0000ACA10000}"/>
    <cellStyle name="SubGrowthRate" xfId="1831" xr:uid="{00000000-0005-0000-0000-0000ADA10000}"/>
    <cellStyle name="Subscribers" xfId="1832" xr:uid="{00000000-0005-0000-0000-0000AEA10000}"/>
    <cellStyle name="Subtotal" xfId="1833" xr:uid="{00000000-0005-0000-0000-0000AFA10000}"/>
    <cellStyle name="Subtotal 2" xfId="2581" xr:uid="{00000000-0005-0000-0000-0000B0A10000}"/>
    <cellStyle name="Subtotal 3" xfId="2770" xr:uid="{00000000-0005-0000-0000-0000B1A10000}"/>
    <cellStyle name="SubVariable" xfId="1834" xr:uid="{00000000-0005-0000-0000-0000B2A10000}"/>
    <cellStyle name="Sum" xfId="4514" xr:uid="{00000000-0005-0000-0000-0000B3A10000}"/>
    <cellStyle name="Swiss" xfId="4515" xr:uid="{00000000-0005-0000-0000-0000B4A10000}"/>
    <cellStyle name="Swiss 2" xfId="4871" xr:uid="{00000000-0005-0000-0000-0000B5A10000}"/>
    <cellStyle name="swisses" xfId="1835" xr:uid="{00000000-0005-0000-0000-0000B6A10000}"/>
    <cellStyle name="swisses 2" xfId="4102" xr:uid="{00000000-0005-0000-0000-0000B7A10000}"/>
    <cellStyle name="t" xfId="4053" xr:uid="{00000000-0005-0000-0000-0000B8A10000}"/>
    <cellStyle name="t 2" xfId="13491" xr:uid="{00000000-0005-0000-0000-0000B9A10000}"/>
    <cellStyle name="t 2 2" xfId="13614" xr:uid="{00000000-0005-0000-0000-0000BAA10000}"/>
    <cellStyle name="t 2 2 2" xfId="13915" xr:uid="{00000000-0005-0000-0000-0000BBA10000}"/>
    <cellStyle name="t 2 2 2 2" xfId="14710" xr:uid="{00000000-0005-0000-0000-0000BCA10000}"/>
    <cellStyle name="t 2 2 2 2 2" xfId="17188" xr:uid="{00000000-0005-0000-0000-0000BDA10000}"/>
    <cellStyle name="t 2 2 2 2 2 2" xfId="36542" xr:uid="{00000000-0005-0000-0000-0000BEA10000}"/>
    <cellStyle name="t 2 2 2 2 3" xfId="19619" xr:uid="{00000000-0005-0000-0000-0000BFA10000}"/>
    <cellStyle name="t 2 2 2 2 3 2" xfId="38972" xr:uid="{00000000-0005-0000-0000-0000C0A10000}"/>
    <cellStyle name="t 2 2 2 2 4" xfId="22130" xr:uid="{00000000-0005-0000-0000-0000C1A10000}"/>
    <cellStyle name="t 2 2 2 2 4 2" xfId="41472" xr:uid="{00000000-0005-0000-0000-0000C2A10000}"/>
    <cellStyle name="t 2 2 2 2 5" xfId="34071" xr:uid="{00000000-0005-0000-0000-0000C3A10000}"/>
    <cellStyle name="t 2 2 2 3" xfId="15258" xr:uid="{00000000-0005-0000-0000-0000C4A10000}"/>
    <cellStyle name="t 2 2 2 3 2" xfId="17734" xr:uid="{00000000-0005-0000-0000-0000C5A10000}"/>
    <cellStyle name="t 2 2 2 3 2 2" xfId="37088" xr:uid="{00000000-0005-0000-0000-0000C6A10000}"/>
    <cellStyle name="t 2 2 2 3 3" xfId="20165" xr:uid="{00000000-0005-0000-0000-0000C7A10000}"/>
    <cellStyle name="t 2 2 2 3 3 2" xfId="39518" xr:uid="{00000000-0005-0000-0000-0000C8A10000}"/>
    <cellStyle name="t 2 2 2 3 4" xfId="22678" xr:uid="{00000000-0005-0000-0000-0000C9A10000}"/>
    <cellStyle name="t 2 2 2 3 4 2" xfId="42020" xr:uid="{00000000-0005-0000-0000-0000CAA10000}"/>
    <cellStyle name="t 2 2 2 3 5" xfId="34619" xr:uid="{00000000-0005-0000-0000-0000CBA10000}"/>
    <cellStyle name="t 2 2 2 4" xfId="15717" xr:uid="{00000000-0005-0000-0000-0000CCA10000}"/>
    <cellStyle name="t 2 2 2 4 2" xfId="18193" xr:uid="{00000000-0005-0000-0000-0000CDA10000}"/>
    <cellStyle name="t 2 2 2 4 2 2" xfId="37547" xr:uid="{00000000-0005-0000-0000-0000CEA10000}"/>
    <cellStyle name="t 2 2 2 4 3" xfId="20624" xr:uid="{00000000-0005-0000-0000-0000CFA10000}"/>
    <cellStyle name="t 2 2 2 4 3 2" xfId="39977" xr:uid="{00000000-0005-0000-0000-0000D0A10000}"/>
    <cellStyle name="t 2 2 2 4 4" xfId="23137" xr:uid="{00000000-0005-0000-0000-0000D1A10000}"/>
    <cellStyle name="t 2 2 2 4 4 2" xfId="42479" xr:uid="{00000000-0005-0000-0000-0000D2A10000}"/>
    <cellStyle name="t 2 2 2 4 5" xfId="35078" xr:uid="{00000000-0005-0000-0000-0000D3A10000}"/>
    <cellStyle name="t 2 2 2 5" xfId="16421" xr:uid="{00000000-0005-0000-0000-0000D4A10000}"/>
    <cellStyle name="t 2 2 2 5 2" xfId="35775" xr:uid="{00000000-0005-0000-0000-0000D5A10000}"/>
    <cellStyle name="t 2 2 2 6" xfId="18852" xr:uid="{00000000-0005-0000-0000-0000D6A10000}"/>
    <cellStyle name="t 2 2 2 6 2" xfId="38205" xr:uid="{00000000-0005-0000-0000-0000D7A10000}"/>
    <cellStyle name="t 2 2 2 7" xfId="21338" xr:uid="{00000000-0005-0000-0000-0000D8A10000}"/>
    <cellStyle name="t 2 2 2 7 2" xfId="40680" xr:uid="{00000000-0005-0000-0000-0000D9A10000}"/>
    <cellStyle name="t 2 2 2 8" xfId="33279" xr:uid="{00000000-0005-0000-0000-0000DAA10000}"/>
    <cellStyle name="t 2 2 3" xfId="14130" xr:uid="{00000000-0005-0000-0000-0000DBA10000}"/>
    <cellStyle name="t 2 2 3 2" xfId="16636" xr:uid="{00000000-0005-0000-0000-0000DCA10000}"/>
    <cellStyle name="t 2 2 3 2 2" xfId="35990" xr:uid="{00000000-0005-0000-0000-0000DDA10000}"/>
    <cellStyle name="t 2 2 3 3" xfId="19067" xr:uid="{00000000-0005-0000-0000-0000DEA10000}"/>
    <cellStyle name="t 2 2 3 3 2" xfId="38420" xr:uid="{00000000-0005-0000-0000-0000DFA10000}"/>
    <cellStyle name="t 2 2 3 4" xfId="21553" xr:uid="{00000000-0005-0000-0000-0000E0A10000}"/>
    <cellStyle name="t 2 2 3 4 2" xfId="40895" xr:uid="{00000000-0005-0000-0000-0000E1A10000}"/>
    <cellStyle name="t 2 2 3 5" xfId="33494" xr:uid="{00000000-0005-0000-0000-0000E2A10000}"/>
    <cellStyle name="t 2 2 4" xfId="14425" xr:uid="{00000000-0005-0000-0000-0000E3A10000}"/>
    <cellStyle name="t 2 2 4 2" xfId="16915" xr:uid="{00000000-0005-0000-0000-0000E4A10000}"/>
    <cellStyle name="t 2 2 4 2 2" xfId="36269" xr:uid="{00000000-0005-0000-0000-0000E5A10000}"/>
    <cellStyle name="t 2 2 4 3" xfId="19346" xr:uid="{00000000-0005-0000-0000-0000E6A10000}"/>
    <cellStyle name="t 2 2 4 3 2" xfId="38699" xr:uid="{00000000-0005-0000-0000-0000E7A10000}"/>
    <cellStyle name="t 2 2 4 4" xfId="21845" xr:uid="{00000000-0005-0000-0000-0000E8A10000}"/>
    <cellStyle name="t 2 2 4 4 2" xfId="41187" xr:uid="{00000000-0005-0000-0000-0000E9A10000}"/>
    <cellStyle name="t 2 2 4 5" xfId="33786" xr:uid="{00000000-0005-0000-0000-0000EAA10000}"/>
    <cellStyle name="t 2 2 5" xfId="15047" xr:uid="{00000000-0005-0000-0000-0000EBA10000}"/>
    <cellStyle name="t 2 2 5 2" xfId="17523" xr:uid="{00000000-0005-0000-0000-0000ECA10000}"/>
    <cellStyle name="t 2 2 5 2 2" xfId="36877" xr:uid="{00000000-0005-0000-0000-0000EDA10000}"/>
    <cellStyle name="t 2 2 5 3" xfId="19954" xr:uid="{00000000-0005-0000-0000-0000EEA10000}"/>
    <cellStyle name="t 2 2 5 3 2" xfId="39307" xr:uid="{00000000-0005-0000-0000-0000EFA10000}"/>
    <cellStyle name="t 2 2 5 4" xfId="22467" xr:uid="{00000000-0005-0000-0000-0000F0A10000}"/>
    <cellStyle name="t 2 2 5 4 2" xfId="41809" xr:uid="{00000000-0005-0000-0000-0000F1A10000}"/>
    <cellStyle name="t 2 2 5 5" xfId="34408" xr:uid="{00000000-0005-0000-0000-0000F2A10000}"/>
    <cellStyle name="t 2 2 6" xfId="16134" xr:uid="{00000000-0005-0000-0000-0000F3A10000}"/>
    <cellStyle name="t 2 2 6 2" xfId="35488" xr:uid="{00000000-0005-0000-0000-0000F4A10000}"/>
    <cellStyle name="t 2 2 7" xfId="18565" xr:uid="{00000000-0005-0000-0000-0000F5A10000}"/>
    <cellStyle name="t 2 2 7 2" xfId="37918" xr:uid="{00000000-0005-0000-0000-0000F6A10000}"/>
    <cellStyle name="t 2 2 8" xfId="32980" xr:uid="{00000000-0005-0000-0000-0000F7A10000}"/>
    <cellStyle name="t 2 3" xfId="13681" xr:uid="{00000000-0005-0000-0000-0000F8A10000}"/>
    <cellStyle name="t 2 3 2" xfId="16201" xr:uid="{00000000-0005-0000-0000-0000F9A10000}"/>
    <cellStyle name="t 2 3 2 2" xfId="35555" xr:uid="{00000000-0005-0000-0000-0000FAA10000}"/>
    <cellStyle name="t 2 3 3" xfId="18632" xr:uid="{00000000-0005-0000-0000-0000FBA10000}"/>
    <cellStyle name="t 2 3 3 2" xfId="37985" xr:uid="{00000000-0005-0000-0000-0000FCA10000}"/>
    <cellStyle name="t 2 3 4" xfId="21106" xr:uid="{00000000-0005-0000-0000-0000FDA10000}"/>
    <cellStyle name="t 2 3 4 2" xfId="40448" xr:uid="{00000000-0005-0000-0000-0000FEA10000}"/>
    <cellStyle name="t 2 3 5" xfId="33047" xr:uid="{00000000-0005-0000-0000-0000FFA10000}"/>
    <cellStyle name="t 2 4" xfId="16057" xr:uid="{00000000-0005-0000-0000-000000A20000}"/>
    <cellStyle name="t 2 4 2" xfId="35411" xr:uid="{00000000-0005-0000-0000-000001A20000}"/>
    <cellStyle name="t 2 5" xfId="18454" xr:uid="{00000000-0005-0000-0000-000002A20000}"/>
    <cellStyle name="t 2 5 2" xfId="37807" xr:uid="{00000000-0005-0000-0000-000003A20000}"/>
    <cellStyle name="t 2 6" xfId="20990" xr:uid="{00000000-0005-0000-0000-000004A20000}"/>
    <cellStyle name="t 2 6 2" xfId="40332" xr:uid="{00000000-0005-0000-0000-000005A20000}"/>
    <cellStyle name="t 2 7" xfId="32868" xr:uid="{00000000-0005-0000-0000-000006A20000}"/>
    <cellStyle name="t 3" xfId="13494" xr:uid="{00000000-0005-0000-0000-000007A20000}"/>
    <cellStyle name="t 3 2" xfId="13616" xr:uid="{00000000-0005-0000-0000-000008A20000}"/>
    <cellStyle name="t 3 2 2" xfId="13917" xr:uid="{00000000-0005-0000-0000-000009A20000}"/>
    <cellStyle name="t 3 2 2 2" xfId="14712" xr:uid="{00000000-0005-0000-0000-00000AA20000}"/>
    <cellStyle name="t 3 2 2 2 2" xfId="17190" xr:uid="{00000000-0005-0000-0000-00000BA20000}"/>
    <cellStyle name="t 3 2 2 2 2 2" xfId="36544" xr:uid="{00000000-0005-0000-0000-00000CA20000}"/>
    <cellStyle name="t 3 2 2 2 3" xfId="19621" xr:uid="{00000000-0005-0000-0000-00000DA20000}"/>
    <cellStyle name="t 3 2 2 2 3 2" xfId="38974" xr:uid="{00000000-0005-0000-0000-00000EA20000}"/>
    <cellStyle name="t 3 2 2 2 4" xfId="22132" xr:uid="{00000000-0005-0000-0000-00000FA20000}"/>
    <cellStyle name="t 3 2 2 2 4 2" xfId="41474" xr:uid="{00000000-0005-0000-0000-000010A20000}"/>
    <cellStyle name="t 3 2 2 2 5" xfId="34073" xr:uid="{00000000-0005-0000-0000-000011A20000}"/>
    <cellStyle name="t 3 2 2 3" xfId="15260" xr:uid="{00000000-0005-0000-0000-000012A20000}"/>
    <cellStyle name="t 3 2 2 3 2" xfId="17736" xr:uid="{00000000-0005-0000-0000-000013A20000}"/>
    <cellStyle name="t 3 2 2 3 2 2" xfId="37090" xr:uid="{00000000-0005-0000-0000-000014A20000}"/>
    <cellStyle name="t 3 2 2 3 3" xfId="20167" xr:uid="{00000000-0005-0000-0000-000015A20000}"/>
    <cellStyle name="t 3 2 2 3 3 2" xfId="39520" xr:uid="{00000000-0005-0000-0000-000016A20000}"/>
    <cellStyle name="t 3 2 2 3 4" xfId="22680" xr:uid="{00000000-0005-0000-0000-000017A20000}"/>
    <cellStyle name="t 3 2 2 3 4 2" xfId="42022" xr:uid="{00000000-0005-0000-0000-000018A20000}"/>
    <cellStyle name="t 3 2 2 3 5" xfId="34621" xr:uid="{00000000-0005-0000-0000-000019A20000}"/>
    <cellStyle name="t 3 2 2 4" xfId="15719" xr:uid="{00000000-0005-0000-0000-00001AA20000}"/>
    <cellStyle name="t 3 2 2 4 2" xfId="18195" xr:uid="{00000000-0005-0000-0000-00001BA20000}"/>
    <cellStyle name="t 3 2 2 4 2 2" xfId="37549" xr:uid="{00000000-0005-0000-0000-00001CA20000}"/>
    <cellStyle name="t 3 2 2 4 3" xfId="20626" xr:uid="{00000000-0005-0000-0000-00001DA20000}"/>
    <cellStyle name="t 3 2 2 4 3 2" xfId="39979" xr:uid="{00000000-0005-0000-0000-00001EA20000}"/>
    <cellStyle name="t 3 2 2 4 4" xfId="23139" xr:uid="{00000000-0005-0000-0000-00001FA20000}"/>
    <cellStyle name="t 3 2 2 4 4 2" xfId="42481" xr:uid="{00000000-0005-0000-0000-000020A20000}"/>
    <cellStyle name="t 3 2 2 4 5" xfId="35080" xr:uid="{00000000-0005-0000-0000-000021A20000}"/>
    <cellStyle name="t 3 2 2 5" xfId="16423" xr:uid="{00000000-0005-0000-0000-000022A20000}"/>
    <cellStyle name="t 3 2 2 5 2" xfId="35777" xr:uid="{00000000-0005-0000-0000-000023A20000}"/>
    <cellStyle name="t 3 2 2 6" xfId="18854" xr:uid="{00000000-0005-0000-0000-000024A20000}"/>
    <cellStyle name="t 3 2 2 6 2" xfId="38207" xr:uid="{00000000-0005-0000-0000-000025A20000}"/>
    <cellStyle name="t 3 2 2 7" xfId="21340" xr:uid="{00000000-0005-0000-0000-000026A20000}"/>
    <cellStyle name="t 3 2 2 7 2" xfId="40682" xr:uid="{00000000-0005-0000-0000-000027A20000}"/>
    <cellStyle name="t 3 2 2 8" xfId="33281" xr:uid="{00000000-0005-0000-0000-000028A20000}"/>
    <cellStyle name="t 3 2 3" xfId="14132" xr:uid="{00000000-0005-0000-0000-000029A20000}"/>
    <cellStyle name="t 3 2 3 2" xfId="16638" xr:uid="{00000000-0005-0000-0000-00002AA20000}"/>
    <cellStyle name="t 3 2 3 2 2" xfId="35992" xr:uid="{00000000-0005-0000-0000-00002BA20000}"/>
    <cellStyle name="t 3 2 3 3" xfId="19069" xr:uid="{00000000-0005-0000-0000-00002CA20000}"/>
    <cellStyle name="t 3 2 3 3 2" xfId="38422" xr:uid="{00000000-0005-0000-0000-00002DA20000}"/>
    <cellStyle name="t 3 2 3 4" xfId="21555" xr:uid="{00000000-0005-0000-0000-00002EA20000}"/>
    <cellStyle name="t 3 2 3 4 2" xfId="40897" xr:uid="{00000000-0005-0000-0000-00002FA20000}"/>
    <cellStyle name="t 3 2 3 5" xfId="33496" xr:uid="{00000000-0005-0000-0000-000030A20000}"/>
    <cellStyle name="t 3 2 4" xfId="14427" xr:uid="{00000000-0005-0000-0000-000031A20000}"/>
    <cellStyle name="t 3 2 4 2" xfId="16917" xr:uid="{00000000-0005-0000-0000-000032A20000}"/>
    <cellStyle name="t 3 2 4 2 2" xfId="36271" xr:uid="{00000000-0005-0000-0000-000033A20000}"/>
    <cellStyle name="t 3 2 4 3" xfId="19348" xr:uid="{00000000-0005-0000-0000-000034A20000}"/>
    <cellStyle name="t 3 2 4 3 2" xfId="38701" xr:uid="{00000000-0005-0000-0000-000035A20000}"/>
    <cellStyle name="t 3 2 4 4" xfId="21847" xr:uid="{00000000-0005-0000-0000-000036A20000}"/>
    <cellStyle name="t 3 2 4 4 2" xfId="41189" xr:uid="{00000000-0005-0000-0000-000037A20000}"/>
    <cellStyle name="t 3 2 4 5" xfId="33788" xr:uid="{00000000-0005-0000-0000-000038A20000}"/>
    <cellStyle name="t 3 2 5" xfId="15049" xr:uid="{00000000-0005-0000-0000-000039A20000}"/>
    <cellStyle name="t 3 2 5 2" xfId="17525" xr:uid="{00000000-0005-0000-0000-00003AA20000}"/>
    <cellStyle name="t 3 2 5 2 2" xfId="36879" xr:uid="{00000000-0005-0000-0000-00003BA20000}"/>
    <cellStyle name="t 3 2 5 3" xfId="19956" xr:uid="{00000000-0005-0000-0000-00003CA20000}"/>
    <cellStyle name="t 3 2 5 3 2" xfId="39309" xr:uid="{00000000-0005-0000-0000-00003DA20000}"/>
    <cellStyle name="t 3 2 5 4" xfId="22469" xr:uid="{00000000-0005-0000-0000-00003EA20000}"/>
    <cellStyle name="t 3 2 5 4 2" xfId="41811" xr:uid="{00000000-0005-0000-0000-00003FA20000}"/>
    <cellStyle name="t 3 2 5 5" xfId="34410" xr:uid="{00000000-0005-0000-0000-000040A20000}"/>
    <cellStyle name="t 3 2 6" xfId="16136" xr:uid="{00000000-0005-0000-0000-000041A20000}"/>
    <cellStyle name="t 3 2 6 2" xfId="35490" xr:uid="{00000000-0005-0000-0000-000042A20000}"/>
    <cellStyle name="t 3 2 7" xfId="18567" xr:uid="{00000000-0005-0000-0000-000043A20000}"/>
    <cellStyle name="t 3 2 7 2" xfId="37920" xr:uid="{00000000-0005-0000-0000-000044A20000}"/>
    <cellStyle name="t 3 2 8" xfId="32982" xr:uid="{00000000-0005-0000-0000-000045A20000}"/>
    <cellStyle name="t 3 3" xfId="13683" xr:uid="{00000000-0005-0000-0000-000046A20000}"/>
    <cellStyle name="t 3 3 2" xfId="16203" xr:uid="{00000000-0005-0000-0000-000047A20000}"/>
    <cellStyle name="t 3 3 2 2" xfId="35557" xr:uid="{00000000-0005-0000-0000-000048A20000}"/>
    <cellStyle name="t 3 3 3" xfId="18634" xr:uid="{00000000-0005-0000-0000-000049A20000}"/>
    <cellStyle name="t 3 3 3 2" xfId="37987" xr:uid="{00000000-0005-0000-0000-00004AA20000}"/>
    <cellStyle name="t 3 3 4" xfId="21108" xr:uid="{00000000-0005-0000-0000-00004BA20000}"/>
    <cellStyle name="t 3 3 4 2" xfId="40450" xr:uid="{00000000-0005-0000-0000-00004CA20000}"/>
    <cellStyle name="t 3 3 5" xfId="33049" xr:uid="{00000000-0005-0000-0000-00004DA20000}"/>
    <cellStyle name="t 3 4" xfId="16059" xr:uid="{00000000-0005-0000-0000-00004EA20000}"/>
    <cellStyle name="t 3 4 2" xfId="35413" xr:uid="{00000000-0005-0000-0000-00004FA20000}"/>
    <cellStyle name="t 3 5" xfId="18456" xr:uid="{00000000-0005-0000-0000-000050A20000}"/>
    <cellStyle name="t 3 5 2" xfId="37809" xr:uid="{00000000-0005-0000-0000-000051A20000}"/>
    <cellStyle name="t 3 6" xfId="20992" xr:uid="{00000000-0005-0000-0000-000052A20000}"/>
    <cellStyle name="t 3 6 2" xfId="40334" xr:uid="{00000000-0005-0000-0000-000053A20000}"/>
    <cellStyle name="t 3 7" xfId="32870" xr:uid="{00000000-0005-0000-0000-000054A20000}"/>
    <cellStyle name="t 4" xfId="13542" xr:uid="{00000000-0005-0000-0000-000055A20000}"/>
    <cellStyle name="t 4 2" xfId="13842" xr:uid="{00000000-0005-0000-0000-000056A20000}"/>
    <cellStyle name="t 4 2 2" xfId="14637" xr:uid="{00000000-0005-0000-0000-000057A20000}"/>
    <cellStyle name="t 4 2 2 2" xfId="17118" xr:uid="{00000000-0005-0000-0000-000058A20000}"/>
    <cellStyle name="t 4 2 2 2 2" xfId="36472" xr:uid="{00000000-0005-0000-0000-000059A20000}"/>
    <cellStyle name="t 4 2 2 3" xfId="19549" xr:uid="{00000000-0005-0000-0000-00005AA20000}"/>
    <cellStyle name="t 4 2 2 3 2" xfId="38902" xr:uid="{00000000-0005-0000-0000-00005BA20000}"/>
    <cellStyle name="t 4 2 2 4" xfId="22057" xr:uid="{00000000-0005-0000-0000-00005CA20000}"/>
    <cellStyle name="t 4 2 2 4 2" xfId="41399" xr:uid="{00000000-0005-0000-0000-00005DA20000}"/>
    <cellStyle name="t 4 2 2 5" xfId="33998" xr:uid="{00000000-0005-0000-0000-00005EA20000}"/>
    <cellStyle name="t 4 2 3" xfId="15190" xr:uid="{00000000-0005-0000-0000-00005FA20000}"/>
    <cellStyle name="t 4 2 3 2" xfId="17666" xr:uid="{00000000-0005-0000-0000-000060A20000}"/>
    <cellStyle name="t 4 2 3 2 2" xfId="37020" xr:uid="{00000000-0005-0000-0000-000061A20000}"/>
    <cellStyle name="t 4 2 3 3" xfId="20097" xr:uid="{00000000-0005-0000-0000-000062A20000}"/>
    <cellStyle name="t 4 2 3 3 2" xfId="39450" xr:uid="{00000000-0005-0000-0000-000063A20000}"/>
    <cellStyle name="t 4 2 3 4" xfId="22610" xr:uid="{00000000-0005-0000-0000-000064A20000}"/>
    <cellStyle name="t 4 2 3 4 2" xfId="41952" xr:uid="{00000000-0005-0000-0000-000065A20000}"/>
    <cellStyle name="t 4 2 3 5" xfId="34551" xr:uid="{00000000-0005-0000-0000-000066A20000}"/>
    <cellStyle name="t 4 2 4" xfId="15663" xr:uid="{00000000-0005-0000-0000-000067A20000}"/>
    <cellStyle name="t 4 2 4 2" xfId="18139" xr:uid="{00000000-0005-0000-0000-000068A20000}"/>
    <cellStyle name="t 4 2 4 2 2" xfId="37493" xr:uid="{00000000-0005-0000-0000-000069A20000}"/>
    <cellStyle name="t 4 2 4 3" xfId="20570" xr:uid="{00000000-0005-0000-0000-00006AA20000}"/>
    <cellStyle name="t 4 2 4 3 2" xfId="39923" xr:uid="{00000000-0005-0000-0000-00006BA20000}"/>
    <cellStyle name="t 4 2 4 4" xfId="23083" xr:uid="{00000000-0005-0000-0000-00006CA20000}"/>
    <cellStyle name="t 4 2 4 4 2" xfId="42425" xr:uid="{00000000-0005-0000-0000-00006DA20000}"/>
    <cellStyle name="t 4 2 4 5" xfId="35024" xr:uid="{00000000-0005-0000-0000-00006EA20000}"/>
    <cellStyle name="t 4 2 5" xfId="16351" xr:uid="{00000000-0005-0000-0000-00006FA20000}"/>
    <cellStyle name="t 4 2 5 2" xfId="35705" xr:uid="{00000000-0005-0000-0000-000070A20000}"/>
    <cellStyle name="t 4 2 6" xfId="18782" xr:uid="{00000000-0005-0000-0000-000071A20000}"/>
    <cellStyle name="t 4 2 6 2" xfId="38135" xr:uid="{00000000-0005-0000-0000-000072A20000}"/>
    <cellStyle name="t 4 2 7" xfId="21265" xr:uid="{00000000-0005-0000-0000-000073A20000}"/>
    <cellStyle name="t 4 2 7 2" xfId="40607" xr:uid="{00000000-0005-0000-0000-000074A20000}"/>
    <cellStyle name="t 4 2 8" xfId="33206" xr:uid="{00000000-0005-0000-0000-000075A20000}"/>
    <cellStyle name="t 4 3" xfId="14060" xr:uid="{00000000-0005-0000-0000-000076A20000}"/>
    <cellStyle name="t 4 3 2" xfId="16566" xr:uid="{00000000-0005-0000-0000-000077A20000}"/>
    <cellStyle name="t 4 3 2 2" xfId="35920" xr:uid="{00000000-0005-0000-0000-000078A20000}"/>
    <cellStyle name="t 4 3 3" xfId="18997" xr:uid="{00000000-0005-0000-0000-000079A20000}"/>
    <cellStyle name="t 4 3 3 2" xfId="38350" xr:uid="{00000000-0005-0000-0000-00007AA20000}"/>
    <cellStyle name="t 4 3 4" xfId="21483" xr:uid="{00000000-0005-0000-0000-00007BA20000}"/>
    <cellStyle name="t 4 3 4 2" xfId="40825" xr:uid="{00000000-0005-0000-0000-00007CA20000}"/>
    <cellStyle name="t 4 3 5" xfId="33424" xr:uid="{00000000-0005-0000-0000-00007DA20000}"/>
    <cellStyle name="t 4 4" xfId="14358" xr:uid="{00000000-0005-0000-0000-00007EA20000}"/>
    <cellStyle name="t 4 4 2" xfId="16851" xr:uid="{00000000-0005-0000-0000-00007FA20000}"/>
    <cellStyle name="t 4 4 2 2" xfId="36205" xr:uid="{00000000-0005-0000-0000-000080A20000}"/>
    <cellStyle name="t 4 4 3" xfId="19282" xr:uid="{00000000-0005-0000-0000-000081A20000}"/>
    <cellStyle name="t 4 4 3 2" xfId="38635" xr:uid="{00000000-0005-0000-0000-000082A20000}"/>
    <cellStyle name="t 4 4 4" xfId="21778" xr:uid="{00000000-0005-0000-0000-000083A20000}"/>
    <cellStyle name="t 4 4 4 2" xfId="41120" xr:uid="{00000000-0005-0000-0000-000084A20000}"/>
    <cellStyle name="t 4 4 5" xfId="33719" xr:uid="{00000000-0005-0000-0000-000085A20000}"/>
    <cellStyle name="t 4 5" xfId="14987" xr:uid="{00000000-0005-0000-0000-000086A20000}"/>
    <cellStyle name="t 4 5 2" xfId="17463" xr:uid="{00000000-0005-0000-0000-000087A20000}"/>
    <cellStyle name="t 4 5 2 2" xfId="36817" xr:uid="{00000000-0005-0000-0000-000088A20000}"/>
    <cellStyle name="t 4 5 3" xfId="19894" xr:uid="{00000000-0005-0000-0000-000089A20000}"/>
    <cellStyle name="t 4 5 3 2" xfId="39247" xr:uid="{00000000-0005-0000-0000-00008AA20000}"/>
    <cellStyle name="t 4 5 4" xfId="22407" xr:uid="{00000000-0005-0000-0000-00008BA20000}"/>
    <cellStyle name="t 4 5 4 2" xfId="41749" xr:uid="{00000000-0005-0000-0000-00008CA20000}"/>
    <cellStyle name="t 4 5 5" xfId="34348" xr:uid="{00000000-0005-0000-0000-00008DA20000}"/>
    <cellStyle name="t 4 6" xfId="16090" xr:uid="{00000000-0005-0000-0000-00008EA20000}"/>
    <cellStyle name="t 4 6 2" xfId="35444" xr:uid="{00000000-0005-0000-0000-00008FA20000}"/>
    <cellStyle name="t 4 7" xfId="18500" xr:uid="{00000000-0005-0000-0000-000090A20000}"/>
    <cellStyle name="t 4 7 2" xfId="37853" xr:uid="{00000000-0005-0000-0000-000091A20000}"/>
    <cellStyle name="t 4 8" xfId="32916" xr:uid="{00000000-0005-0000-0000-000092A20000}"/>
    <cellStyle name="t 5" xfId="13399" xr:uid="{00000000-0005-0000-0000-000093A20000}"/>
    <cellStyle name="t 5 2" xfId="32787" xr:uid="{00000000-0005-0000-0000-000094A20000}"/>
    <cellStyle name="t 6" xfId="15985" xr:uid="{00000000-0005-0000-0000-000095A20000}"/>
    <cellStyle name="t 6 2" xfId="35340" xr:uid="{00000000-0005-0000-0000-000096A20000}"/>
    <cellStyle name="Table Col Head" xfId="1836" xr:uid="{00000000-0005-0000-0000-000097A20000}"/>
    <cellStyle name="Table Col Head 2" xfId="2582" xr:uid="{00000000-0005-0000-0000-000098A20000}"/>
    <cellStyle name="Table end" xfId="1837" xr:uid="{00000000-0005-0000-0000-000099A20000}"/>
    <cellStyle name="Table head" xfId="1838" xr:uid="{00000000-0005-0000-0000-00009AA20000}"/>
    <cellStyle name="Table head 2" xfId="2583" xr:uid="{00000000-0005-0000-0000-00009BA20000}"/>
    <cellStyle name="Table head 2 2" xfId="2684" xr:uid="{00000000-0005-0000-0000-00009CA20000}"/>
    <cellStyle name="Table head 2 2 2" xfId="4869" xr:uid="{00000000-0005-0000-0000-00009DA20000}"/>
    <cellStyle name="Table head 2 2 2 2" xfId="5492" xr:uid="{00000000-0005-0000-0000-00009EA20000}"/>
    <cellStyle name="Table head 2 2 2 2 2" xfId="8866" xr:uid="{00000000-0005-0000-0000-00009FA20000}"/>
    <cellStyle name="Table head 2 2 2 2 2 2" xfId="13172" xr:uid="{00000000-0005-0000-0000-0000A0A20000}"/>
    <cellStyle name="Table head 2 2 2 2 2 2 2" xfId="32642" xr:uid="{00000000-0005-0000-0000-0000A1A20000}"/>
    <cellStyle name="Table head 2 2 2 2 2 3" xfId="28345" xr:uid="{00000000-0005-0000-0000-0000A2A20000}"/>
    <cellStyle name="Table head 2 2 2 2 3" xfId="24983" xr:uid="{00000000-0005-0000-0000-0000A3A20000}"/>
    <cellStyle name="Table head 2 2 2 3" xfId="24369" xr:uid="{00000000-0005-0000-0000-0000A4A20000}"/>
    <cellStyle name="Table head 2 2 3" xfId="23551" xr:uid="{00000000-0005-0000-0000-0000A5A20000}"/>
    <cellStyle name="Table head 2 3" xfId="4572" xr:uid="{00000000-0005-0000-0000-0000A6A20000}"/>
    <cellStyle name="Table head 2 3 2" xfId="5215" xr:uid="{00000000-0005-0000-0000-0000A7A20000}"/>
    <cellStyle name="Table head 2 3 2 2" xfId="8867" xr:uid="{00000000-0005-0000-0000-0000A8A20000}"/>
    <cellStyle name="Table head 2 3 2 2 2" xfId="13173" xr:uid="{00000000-0005-0000-0000-0000A9A20000}"/>
    <cellStyle name="Table head 2 3 2 2 2 2" xfId="32643" xr:uid="{00000000-0005-0000-0000-0000AAA20000}"/>
    <cellStyle name="Table head 2 3 2 2 3" xfId="28346" xr:uid="{00000000-0005-0000-0000-0000ABA20000}"/>
    <cellStyle name="Table head 2 3 2 3" xfId="24706" xr:uid="{00000000-0005-0000-0000-0000ACA20000}"/>
    <cellStyle name="Table head 2 3 3" xfId="24086" xr:uid="{00000000-0005-0000-0000-0000ADA20000}"/>
    <cellStyle name="Table head 2 4" xfId="13543" xr:uid="{00000000-0005-0000-0000-0000AEA20000}"/>
    <cellStyle name="Table head 2 4 2" xfId="32917" xr:uid="{00000000-0005-0000-0000-0000AFA20000}"/>
    <cellStyle name="Table head 2 5" xfId="18501" xr:uid="{00000000-0005-0000-0000-0000B0A20000}"/>
    <cellStyle name="Table head 2 5 2" xfId="37854" xr:uid="{00000000-0005-0000-0000-0000B1A20000}"/>
    <cellStyle name="Table head 3" xfId="2780" xr:uid="{00000000-0005-0000-0000-0000B2A20000}"/>
    <cellStyle name="Table head 3 2" xfId="2974" xr:uid="{00000000-0005-0000-0000-0000B3A20000}"/>
    <cellStyle name="Table head 3 2 2" xfId="4681" xr:uid="{00000000-0005-0000-0000-0000B4A20000}"/>
    <cellStyle name="Table head 3 2 2 2" xfId="8868" xr:uid="{00000000-0005-0000-0000-0000B5A20000}"/>
    <cellStyle name="Table head 3 2 2 2 2" xfId="13174" xr:uid="{00000000-0005-0000-0000-0000B6A20000}"/>
    <cellStyle name="Table head 3 2 2 2 2 2" xfId="32644" xr:uid="{00000000-0005-0000-0000-0000B7A20000}"/>
    <cellStyle name="Table head 3 2 2 2 3" xfId="28347" xr:uid="{00000000-0005-0000-0000-0000B8A20000}"/>
    <cellStyle name="Table head 3 2 2 3" xfId="24192" xr:uid="{00000000-0005-0000-0000-0000B9A20000}"/>
    <cellStyle name="Table head 3 2 3" xfId="23783" xr:uid="{00000000-0005-0000-0000-0000BAA20000}"/>
    <cellStyle name="Table head 3 3" xfId="23591" xr:uid="{00000000-0005-0000-0000-0000BBA20000}"/>
    <cellStyle name="Table Head Aligned" xfId="1839" xr:uid="{00000000-0005-0000-0000-0000BCA20000}"/>
    <cellStyle name="Table Head Aligned 2" xfId="1840" xr:uid="{00000000-0005-0000-0000-0000BDA20000}"/>
    <cellStyle name="Table Head Aligned 2 2" xfId="2627" xr:uid="{00000000-0005-0000-0000-0000BEA20000}"/>
    <cellStyle name="Table Head Aligned 2 2 2" xfId="2685" xr:uid="{00000000-0005-0000-0000-0000BFA20000}"/>
    <cellStyle name="Table Head Aligned 2 2 2 2" xfId="4723" xr:uid="{00000000-0005-0000-0000-0000C0A20000}"/>
    <cellStyle name="Table Head Aligned 2 2 2 2 2" xfId="5357" xr:uid="{00000000-0005-0000-0000-0000C1A20000}"/>
    <cellStyle name="Table Head Aligned 2 2 2 2 2 2" xfId="8869" xr:uid="{00000000-0005-0000-0000-0000C2A20000}"/>
    <cellStyle name="Table Head Aligned 2 2 2 2 2 2 2" xfId="13175" xr:uid="{00000000-0005-0000-0000-0000C3A20000}"/>
    <cellStyle name="Table Head Aligned 2 2 2 2 2 2 2 2" xfId="32645" xr:uid="{00000000-0005-0000-0000-0000C4A20000}"/>
    <cellStyle name="Table Head Aligned 2 2 2 2 2 2 3" xfId="28348" xr:uid="{00000000-0005-0000-0000-0000C5A20000}"/>
    <cellStyle name="Table Head Aligned 2 2 2 2 2 3" xfId="24848" xr:uid="{00000000-0005-0000-0000-0000C6A20000}"/>
    <cellStyle name="Table Head Aligned 2 2 2 2 3" xfId="24230" xr:uid="{00000000-0005-0000-0000-0000C7A20000}"/>
    <cellStyle name="Table Head Aligned 2 2 2 3" xfId="23552" xr:uid="{00000000-0005-0000-0000-0000C8A20000}"/>
    <cellStyle name="Table Head Aligned 2 2 3" xfId="4528" xr:uid="{00000000-0005-0000-0000-0000C9A20000}"/>
    <cellStyle name="Table Head Aligned 2 2 3 2" xfId="5204" xr:uid="{00000000-0005-0000-0000-0000CAA20000}"/>
    <cellStyle name="Table Head Aligned 2 2 3 2 2" xfId="8870" xr:uid="{00000000-0005-0000-0000-0000CBA20000}"/>
    <cellStyle name="Table Head Aligned 2 2 3 2 2 2" xfId="13176" xr:uid="{00000000-0005-0000-0000-0000CCA20000}"/>
    <cellStyle name="Table Head Aligned 2 2 3 2 2 2 2" xfId="32646" xr:uid="{00000000-0005-0000-0000-0000CDA20000}"/>
    <cellStyle name="Table Head Aligned 2 2 3 2 2 3" xfId="28349" xr:uid="{00000000-0005-0000-0000-0000CEA20000}"/>
    <cellStyle name="Table Head Aligned 2 2 3 2 3" xfId="24695" xr:uid="{00000000-0005-0000-0000-0000CFA20000}"/>
    <cellStyle name="Table Head Aligned 2 2 3 3" xfId="24072" xr:uid="{00000000-0005-0000-0000-0000D0A20000}"/>
    <cellStyle name="Table Head Aligned 2 2 4" xfId="23520" xr:uid="{00000000-0005-0000-0000-0000D1A20000}"/>
    <cellStyle name="Table Head Aligned 2 3" xfId="2778" xr:uid="{00000000-0005-0000-0000-0000D2A20000}"/>
    <cellStyle name="Table Head Aligned 2 3 2" xfId="2972" xr:uid="{00000000-0005-0000-0000-0000D3A20000}"/>
    <cellStyle name="Table Head Aligned 2 3 2 2" xfId="4679" xr:uid="{00000000-0005-0000-0000-0000D4A20000}"/>
    <cellStyle name="Table Head Aligned 2 3 2 2 2" xfId="8871" xr:uid="{00000000-0005-0000-0000-0000D5A20000}"/>
    <cellStyle name="Table Head Aligned 2 3 2 2 2 2" xfId="13177" xr:uid="{00000000-0005-0000-0000-0000D6A20000}"/>
    <cellStyle name="Table Head Aligned 2 3 2 2 2 2 2" xfId="32647" xr:uid="{00000000-0005-0000-0000-0000D7A20000}"/>
    <cellStyle name="Table Head Aligned 2 3 2 2 2 3" xfId="28350" xr:uid="{00000000-0005-0000-0000-0000D8A20000}"/>
    <cellStyle name="Table Head Aligned 2 3 2 2 3" xfId="24190" xr:uid="{00000000-0005-0000-0000-0000D9A20000}"/>
    <cellStyle name="Table Head Aligned 2 3 2 3" xfId="23781" xr:uid="{00000000-0005-0000-0000-0000DAA20000}"/>
    <cellStyle name="Table Head Aligned 2 3 3" xfId="23589" xr:uid="{00000000-0005-0000-0000-0000DBA20000}"/>
    <cellStyle name="Table Head Aligned 2 4" xfId="23445" xr:uid="{00000000-0005-0000-0000-0000DCA20000}"/>
    <cellStyle name="Table Head Aligned 3" xfId="2626" xr:uid="{00000000-0005-0000-0000-0000DDA20000}"/>
    <cellStyle name="Table Head Aligned 3 2" xfId="2686" xr:uid="{00000000-0005-0000-0000-0000DEA20000}"/>
    <cellStyle name="Table Head Aligned 3 2 2" xfId="4722" xr:uid="{00000000-0005-0000-0000-0000DFA20000}"/>
    <cellStyle name="Table Head Aligned 3 2 2 2" xfId="5356" xr:uid="{00000000-0005-0000-0000-0000E0A20000}"/>
    <cellStyle name="Table Head Aligned 3 2 2 2 2" xfId="8872" xr:uid="{00000000-0005-0000-0000-0000E1A20000}"/>
    <cellStyle name="Table Head Aligned 3 2 2 2 2 2" xfId="13178" xr:uid="{00000000-0005-0000-0000-0000E2A20000}"/>
    <cellStyle name="Table Head Aligned 3 2 2 2 2 2 2" xfId="32648" xr:uid="{00000000-0005-0000-0000-0000E3A20000}"/>
    <cellStyle name="Table Head Aligned 3 2 2 2 2 3" xfId="28351" xr:uid="{00000000-0005-0000-0000-0000E4A20000}"/>
    <cellStyle name="Table Head Aligned 3 2 2 2 3" xfId="24847" xr:uid="{00000000-0005-0000-0000-0000E5A20000}"/>
    <cellStyle name="Table Head Aligned 3 2 2 3" xfId="24229" xr:uid="{00000000-0005-0000-0000-0000E6A20000}"/>
    <cellStyle name="Table Head Aligned 3 2 3" xfId="23553" xr:uid="{00000000-0005-0000-0000-0000E7A20000}"/>
    <cellStyle name="Table Head Aligned 3 3" xfId="4571" xr:uid="{00000000-0005-0000-0000-0000E8A20000}"/>
    <cellStyle name="Table Head Aligned 3 3 2" xfId="5214" xr:uid="{00000000-0005-0000-0000-0000E9A20000}"/>
    <cellStyle name="Table Head Aligned 3 3 2 2" xfId="8873" xr:uid="{00000000-0005-0000-0000-0000EAA20000}"/>
    <cellStyle name="Table Head Aligned 3 3 2 2 2" xfId="13179" xr:uid="{00000000-0005-0000-0000-0000EBA20000}"/>
    <cellStyle name="Table Head Aligned 3 3 2 2 2 2" xfId="32649" xr:uid="{00000000-0005-0000-0000-0000ECA20000}"/>
    <cellStyle name="Table Head Aligned 3 3 2 2 3" xfId="28352" xr:uid="{00000000-0005-0000-0000-0000EDA20000}"/>
    <cellStyle name="Table Head Aligned 3 3 2 3" xfId="24705" xr:uid="{00000000-0005-0000-0000-0000EEA20000}"/>
    <cellStyle name="Table Head Aligned 3 3 3" xfId="24085" xr:uid="{00000000-0005-0000-0000-0000EFA20000}"/>
    <cellStyle name="Table Head Aligned 3 4" xfId="23519" xr:uid="{00000000-0005-0000-0000-0000F0A20000}"/>
    <cellStyle name="Table Head Aligned 4" xfId="2779" xr:uid="{00000000-0005-0000-0000-0000F1A20000}"/>
    <cellStyle name="Table Head Aligned 4 2" xfId="2973" xr:uid="{00000000-0005-0000-0000-0000F2A20000}"/>
    <cellStyle name="Table Head Aligned 4 2 2" xfId="4680" xr:uid="{00000000-0005-0000-0000-0000F3A20000}"/>
    <cellStyle name="Table Head Aligned 4 2 2 2" xfId="8874" xr:uid="{00000000-0005-0000-0000-0000F4A20000}"/>
    <cellStyle name="Table Head Aligned 4 2 2 2 2" xfId="13180" xr:uid="{00000000-0005-0000-0000-0000F5A20000}"/>
    <cellStyle name="Table Head Aligned 4 2 2 2 2 2" xfId="32650" xr:uid="{00000000-0005-0000-0000-0000F6A20000}"/>
    <cellStyle name="Table Head Aligned 4 2 2 2 3" xfId="28353" xr:uid="{00000000-0005-0000-0000-0000F7A20000}"/>
    <cellStyle name="Table Head Aligned 4 2 2 3" xfId="24191" xr:uid="{00000000-0005-0000-0000-0000F8A20000}"/>
    <cellStyle name="Table Head Aligned 4 2 3" xfId="23782" xr:uid="{00000000-0005-0000-0000-0000F9A20000}"/>
    <cellStyle name="Table Head Aligned 4 3" xfId="23590" xr:uid="{00000000-0005-0000-0000-0000FAA20000}"/>
    <cellStyle name="Table Head Aligned 5" xfId="23444" xr:uid="{00000000-0005-0000-0000-0000FBA20000}"/>
    <cellStyle name="Table Head Blue" xfId="1841" xr:uid="{00000000-0005-0000-0000-0000FCA20000}"/>
    <cellStyle name="Table Head Green" xfId="1842" xr:uid="{00000000-0005-0000-0000-0000FDA20000}"/>
    <cellStyle name="Table Head Green 2" xfId="2584" xr:uid="{00000000-0005-0000-0000-0000FEA20000}"/>
    <cellStyle name="Table Head Green 2 2" xfId="2687" xr:uid="{00000000-0005-0000-0000-0000FFA20000}"/>
    <cellStyle name="Table Head Green 2 2 2" xfId="4868" xr:uid="{00000000-0005-0000-0000-000000A30000}"/>
    <cellStyle name="Table Head Green 2 2 2 2" xfId="5491" xr:uid="{00000000-0005-0000-0000-000001A30000}"/>
    <cellStyle name="Table Head Green 2 2 2 2 2" xfId="8875" xr:uid="{00000000-0005-0000-0000-000002A30000}"/>
    <cellStyle name="Table Head Green 2 2 2 2 2 2" xfId="13181" xr:uid="{00000000-0005-0000-0000-000003A30000}"/>
    <cellStyle name="Table Head Green 2 2 2 2 2 2 2" xfId="32651" xr:uid="{00000000-0005-0000-0000-000004A30000}"/>
    <cellStyle name="Table Head Green 2 2 2 2 2 3" xfId="28354" xr:uid="{00000000-0005-0000-0000-000005A30000}"/>
    <cellStyle name="Table Head Green 2 2 2 2 3" xfId="24982" xr:uid="{00000000-0005-0000-0000-000006A30000}"/>
    <cellStyle name="Table Head Green 2 2 2 3" xfId="24368" xr:uid="{00000000-0005-0000-0000-000007A30000}"/>
    <cellStyle name="Table Head Green 2 2 3" xfId="23554" xr:uid="{00000000-0005-0000-0000-000008A30000}"/>
    <cellStyle name="Table Head Green 2 3" xfId="4529" xr:uid="{00000000-0005-0000-0000-000009A30000}"/>
    <cellStyle name="Table Head Green 2 3 2" xfId="5205" xr:uid="{00000000-0005-0000-0000-00000AA30000}"/>
    <cellStyle name="Table Head Green 2 3 2 2" xfId="8876" xr:uid="{00000000-0005-0000-0000-00000BA30000}"/>
    <cellStyle name="Table Head Green 2 3 2 2 2" xfId="13182" xr:uid="{00000000-0005-0000-0000-00000CA30000}"/>
    <cellStyle name="Table Head Green 2 3 2 2 2 2" xfId="32652" xr:uid="{00000000-0005-0000-0000-00000DA30000}"/>
    <cellStyle name="Table Head Green 2 3 2 2 3" xfId="28355" xr:uid="{00000000-0005-0000-0000-00000EA30000}"/>
    <cellStyle name="Table Head Green 2 3 2 3" xfId="24696" xr:uid="{00000000-0005-0000-0000-00000FA30000}"/>
    <cellStyle name="Table Head Green 2 3 3" xfId="24073" xr:uid="{00000000-0005-0000-0000-000010A30000}"/>
    <cellStyle name="Table Head Green 2 4" xfId="23486" xr:uid="{00000000-0005-0000-0000-000011A30000}"/>
    <cellStyle name="Table Head Green 3" xfId="2777" xr:uid="{00000000-0005-0000-0000-000012A30000}"/>
    <cellStyle name="Table Head Green 3 2" xfId="2971" xr:uid="{00000000-0005-0000-0000-000013A30000}"/>
    <cellStyle name="Table Head Green 3 2 2" xfId="4678" xr:uid="{00000000-0005-0000-0000-000014A30000}"/>
    <cellStyle name="Table Head Green 3 2 2 2" xfId="8877" xr:uid="{00000000-0005-0000-0000-000015A30000}"/>
    <cellStyle name="Table Head Green 3 2 2 2 2" xfId="13183" xr:uid="{00000000-0005-0000-0000-000016A30000}"/>
    <cellStyle name="Table Head Green 3 2 2 2 2 2" xfId="32653" xr:uid="{00000000-0005-0000-0000-000017A30000}"/>
    <cellStyle name="Table Head Green 3 2 2 2 3" xfId="28356" xr:uid="{00000000-0005-0000-0000-000018A30000}"/>
    <cellStyle name="Table Head Green 3 2 2 3" xfId="24189" xr:uid="{00000000-0005-0000-0000-000019A30000}"/>
    <cellStyle name="Table Head Green 3 2 3" xfId="23780" xr:uid="{00000000-0005-0000-0000-00001AA30000}"/>
    <cellStyle name="Table Head Green 3 3" xfId="23588" xr:uid="{00000000-0005-0000-0000-00001BA30000}"/>
    <cellStyle name="Table Head Green 4" xfId="23446" xr:uid="{00000000-0005-0000-0000-00001CA30000}"/>
    <cellStyle name="Table Head_4. Debt Schedule" xfId="1843" xr:uid="{00000000-0005-0000-0000-00001DA30000}"/>
    <cellStyle name="Table Source" xfId="4054" xr:uid="{00000000-0005-0000-0000-00001EA30000}"/>
    <cellStyle name="Table Sub Head" xfId="1844" xr:uid="{00000000-0005-0000-0000-00001FA30000}"/>
    <cellStyle name="Table Sub Head 2" xfId="2585" xr:uid="{00000000-0005-0000-0000-000020A30000}"/>
    <cellStyle name="Table Text" xfId="4055" xr:uid="{00000000-0005-0000-0000-000021A30000}"/>
    <cellStyle name="table text bold" xfId="1845" xr:uid="{00000000-0005-0000-0000-000022A30000}"/>
    <cellStyle name="table text bold green" xfId="1846" xr:uid="{00000000-0005-0000-0000-000023A30000}"/>
    <cellStyle name="table text bold green 2" xfId="1847" xr:uid="{00000000-0005-0000-0000-000024A30000}"/>
    <cellStyle name="table text bold_Company0320 DCF" xfId="1848" xr:uid="{00000000-0005-0000-0000-000025A30000}"/>
    <cellStyle name="table text light" xfId="1849" xr:uid="{00000000-0005-0000-0000-000026A30000}"/>
    <cellStyle name="Table Title" xfId="1850" xr:uid="{00000000-0005-0000-0000-000027A30000}"/>
    <cellStyle name="Table Title 2" xfId="13402" xr:uid="{00000000-0005-0000-0000-000028A30000}"/>
    <cellStyle name="Table Units" xfId="1851" xr:uid="{00000000-0005-0000-0000-000029A30000}"/>
    <cellStyle name="Table Units 2" xfId="13403" xr:uid="{00000000-0005-0000-0000-00002AA30000}"/>
    <cellStyle name="TableBody" xfId="1852" xr:uid="{00000000-0005-0000-0000-00002BA30000}"/>
    <cellStyle name="TableBodyR" xfId="4056" xr:uid="{00000000-0005-0000-0000-00002CA30000}"/>
    <cellStyle name="TableColHeads" xfId="1853" xr:uid="{00000000-0005-0000-0000-00002DA30000}"/>
    <cellStyle name="Text" xfId="4057" xr:uid="{00000000-0005-0000-0000-00002EA30000}"/>
    <cellStyle name="Text 1" xfId="4058" xr:uid="{00000000-0005-0000-0000-00002FA30000}"/>
    <cellStyle name="Text 2" xfId="4059" xr:uid="{00000000-0005-0000-0000-000030A30000}"/>
    <cellStyle name="Text Head" xfId="4060" xr:uid="{00000000-0005-0000-0000-000031A30000}"/>
    <cellStyle name="Text Head 1" xfId="4061" xr:uid="{00000000-0005-0000-0000-000032A30000}"/>
    <cellStyle name="Text Head 2" xfId="4062" xr:uid="{00000000-0005-0000-0000-000033A30000}"/>
    <cellStyle name="Text Indent 1" xfId="4063" xr:uid="{00000000-0005-0000-0000-000034A30000}"/>
    <cellStyle name="Text Indent 2" xfId="4064" xr:uid="{00000000-0005-0000-0000-000035A30000}"/>
    <cellStyle name="Text_Ticker0015_Person0155_Company0610_mod (Working)" xfId="4065" xr:uid="{00000000-0005-0000-0000-000036A30000}"/>
    <cellStyle name="þ_x001d_ð=_x000c_/ÿ_x000d__x000d_&quot;ÿU_x0001_;_x0006_;_x000e__x000f__x0001__x0001_" xfId="1854" xr:uid="{00000000-0005-0000-0000-000037A30000}"/>
    <cellStyle name="þ_x001d_ð=_x000c_/ÿ_x000d__x000d_&quot;ÿU_x0001_;_x0006_;_x000e__x000f__x0001__x0001_ 2" xfId="1855" xr:uid="{00000000-0005-0000-0000-000038A30000}"/>
    <cellStyle name="Time" xfId="4516" xr:uid="{00000000-0005-0000-0000-000039A30000}"/>
    <cellStyle name="Time Strip" xfId="4066" xr:uid="{00000000-0005-0000-0000-00003AA30000}"/>
    <cellStyle name="Time Strip 2" xfId="5082" xr:uid="{00000000-0005-0000-0000-00003BA30000}"/>
    <cellStyle name="Time Strip 2 2" xfId="24573" xr:uid="{00000000-0005-0000-0000-00003CA30000}"/>
    <cellStyle name="Time Strip 3" xfId="23950" xr:uid="{00000000-0005-0000-0000-00003DA30000}"/>
    <cellStyle name="Title" xfId="1856" builtinId="15" customBuiltin="1"/>
    <cellStyle name="Title - PROJECT" xfId="4067" xr:uid="{00000000-0005-0000-0000-00003FA30000}"/>
    <cellStyle name="Title - Underline" xfId="4068" xr:uid="{00000000-0005-0000-0000-000040A30000}"/>
    <cellStyle name="Title 10" xfId="13289" xr:uid="{00000000-0005-0000-0000-000041A30000}"/>
    <cellStyle name="Title 11" xfId="13227" xr:uid="{00000000-0005-0000-0000-000042A30000}"/>
    <cellStyle name="Title 12" xfId="20888" xr:uid="{00000000-0005-0000-0000-000043A30000}"/>
    <cellStyle name="Title 2" xfId="2089" xr:uid="{00000000-0005-0000-0000-000044A30000}"/>
    <cellStyle name="Title 2 2" xfId="4109" xr:uid="{00000000-0005-0000-0000-000045A30000}"/>
    <cellStyle name="Title 3" xfId="2148" xr:uid="{00000000-0005-0000-0000-000046A30000}"/>
    <cellStyle name="Title 4" xfId="4069" xr:uid="{00000000-0005-0000-0000-000047A30000}"/>
    <cellStyle name="Title 5" xfId="4070" xr:uid="{00000000-0005-0000-0000-000048A30000}"/>
    <cellStyle name="Title 6" xfId="4071" xr:uid="{00000000-0005-0000-0000-000049A30000}"/>
    <cellStyle name="Title 7" xfId="4072" xr:uid="{00000000-0005-0000-0000-00004AA30000}"/>
    <cellStyle name="Title 8" xfId="4073" xr:uid="{00000000-0005-0000-0000-00004BA30000}"/>
    <cellStyle name="Title 9" xfId="13257" xr:uid="{00000000-0005-0000-0000-00004CA30000}"/>
    <cellStyle name="Title II" xfId="4074" xr:uid="{00000000-0005-0000-0000-00004DA30000}"/>
    <cellStyle name="Title1" xfId="1857" xr:uid="{00000000-0005-0000-0000-00004EA30000}"/>
    <cellStyle name="Title1 2" xfId="13407" xr:uid="{00000000-0005-0000-0000-00004FA30000}"/>
    <cellStyle name="Title2" xfId="1858" xr:uid="{00000000-0005-0000-0000-000050A30000}"/>
    <cellStyle name="Title2 2" xfId="13408" xr:uid="{00000000-0005-0000-0000-000051A30000}"/>
    <cellStyle name="TitleII" xfId="1859" xr:uid="{00000000-0005-0000-0000-000052A30000}"/>
    <cellStyle name="Titles" xfId="1860" xr:uid="{00000000-0005-0000-0000-000053A30000}"/>
    <cellStyle name="Titles - Col. Headings" xfId="4075" xr:uid="{00000000-0005-0000-0000-000054A30000}"/>
    <cellStyle name="Titles - Other" xfId="4076" xr:uid="{00000000-0005-0000-0000-000055A30000}"/>
    <cellStyle name="Titles_Company1761" xfId="4077" xr:uid="{00000000-0005-0000-0000-000056A30000}"/>
    <cellStyle name="Título 1" xfId="1861" xr:uid="{00000000-0005-0000-0000-000057A30000}"/>
    <cellStyle name="Título 2" xfId="1862" xr:uid="{00000000-0005-0000-0000-000058A30000}"/>
    <cellStyle name="TOC 1" xfId="4078" xr:uid="{00000000-0005-0000-0000-000059A30000}"/>
    <cellStyle name="TOC 2" xfId="4079" xr:uid="{00000000-0005-0000-0000-00005AA30000}"/>
    <cellStyle name="Top bold border" xfId="4080" xr:uid="{00000000-0005-0000-0000-00005BA30000}"/>
    <cellStyle name="Top bold border 2" xfId="4081" xr:uid="{00000000-0005-0000-0000-00005CA30000}"/>
    <cellStyle name="Top single border" xfId="4082" xr:uid="{00000000-0005-0000-0000-00005DA30000}"/>
    <cellStyle name="Top single border 2" xfId="5083" xr:uid="{00000000-0005-0000-0000-00005EA30000}"/>
    <cellStyle name="Top single border 2 2" xfId="6677" xr:uid="{00000000-0005-0000-0000-00005FA30000}"/>
    <cellStyle name="Top single border 2 2 2" xfId="26162" xr:uid="{00000000-0005-0000-0000-000060A30000}"/>
    <cellStyle name="Top single border 2 3" xfId="24574" xr:uid="{00000000-0005-0000-0000-000061A30000}"/>
    <cellStyle name="Top single border 3" xfId="5662" xr:uid="{00000000-0005-0000-0000-000062A30000}"/>
    <cellStyle name="Top single border 3 2" xfId="25149" xr:uid="{00000000-0005-0000-0000-000063A30000}"/>
    <cellStyle name="Top single border 4" xfId="23951" xr:uid="{00000000-0005-0000-0000-000064A30000}"/>
    <cellStyle name="Topline" xfId="1863" xr:uid="{00000000-0005-0000-0000-000065A30000}"/>
    <cellStyle name="Topline 2" xfId="2771" xr:uid="{00000000-0005-0000-0000-000066A30000}"/>
    <cellStyle name="Topline 3" xfId="2772" xr:uid="{00000000-0005-0000-0000-000067A30000}"/>
    <cellStyle name="Total" xfId="1864" builtinId="25" customBuiltin="1"/>
    <cellStyle name="Total 2" xfId="2090" xr:uid="{00000000-0005-0000-0000-000069A30000}"/>
    <cellStyle name="Total 2 2" xfId="4125" xr:uid="{00000000-0005-0000-0000-00006AA30000}"/>
    <cellStyle name="Total 2 2 2" xfId="13583" xr:uid="{00000000-0005-0000-0000-00006BA30000}"/>
    <cellStyle name="Total 2 2 2 2" xfId="13882" xr:uid="{00000000-0005-0000-0000-00006CA30000}"/>
    <cellStyle name="Total 2 2 2 2 2" xfId="14677" xr:uid="{00000000-0005-0000-0000-00006DA30000}"/>
    <cellStyle name="Total 2 2 2 2 2 2" xfId="17158" xr:uid="{00000000-0005-0000-0000-00006EA30000}"/>
    <cellStyle name="Total 2 2 2 2 2 2 2" xfId="36512" xr:uid="{00000000-0005-0000-0000-00006FA30000}"/>
    <cellStyle name="Total 2 2 2 2 2 3" xfId="19589" xr:uid="{00000000-0005-0000-0000-000070A30000}"/>
    <cellStyle name="Total 2 2 2 2 2 3 2" xfId="38942" xr:uid="{00000000-0005-0000-0000-000071A30000}"/>
    <cellStyle name="Total 2 2 2 2 2 4" xfId="22097" xr:uid="{00000000-0005-0000-0000-000072A30000}"/>
    <cellStyle name="Total 2 2 2 2 2 4 2" xfId="41439" xr:uid="{00000000-0005-0000-0000-000073A30000}"/>
    <cellStyle name="Total 2 2 2 2 2 5" xfId="34038" xr:uid="{00000000-0005-0000-0000-000074A30000}"/>
    <cellStyle name="Total 2 2 2 2 3" xfId="15229" xr:uid="{00000000-0005-0000-0000-000075A30000}"/>
    <cellStyle name="Total 2 2 2 2 3 2" xfId="17705" xr:uid="{00000000-0005-0000-0000-000076A30000}"/>
    <cellStyle name="Total 2 2 2 2 3 2 2" xfId="37059" xr:uid="{00000000-0005-0000-0000-000077A30000}"/>
    <cellStyle name="Total 2 2 2 2 3 3" xfId="20136" xr:uid="{00000000-0005-0000-0000-000078A30000}"/>
    <cellStyle name="Total 2 2 2 2 3 3 2" xfId="39489" xr:uid="{00000000-0005-0000-0000-000079A30000}"/>
    <cellStyle name="Total 2 2 2 2 3 4" xfId="22649" xr:uid="{00000000-0005-0000-0000-00007AA30000}"/>
    <cellStyle name="Total 2 2 2 2 3 4 2" xfId="41991" xr:uid="{00000000-0005-0000-0000-00007BA30000}"/>
    <cellStyle name="Total 2 2 2 2 3 5" xfId="34590" xr:uid="{00000000-0005-0000-0000-00007CA30000}"/>
    <cellStyle name="Total 2 2 2 2 4" xfId="15699" xr:uid="{00000000-0005-0000-0000-00007DA30000}"/>
    <cellStyle name="Total 2 2 2 2 4 2" xfId="18175" xr:uid="{00000000-0005-0000-0000-00007EA30000}"/>
    <cellStyle name="Total 2 2 2 2 4 2 2" xfId="37529" xr:uid="{00000000-0005-0000-0000-00007FA30000}"/>
    <cellStyle name="Total 2 2 2 2 4 3" xfId="20606" xr:uid="{00000000-0005-0000-0000-000080A30000}"/>
    <cellStyle name="Total 2 2 2 2 4 3 2" xfId="39959" xr:uid="{00000000-0005-0000-0000-000081A30000}"/>
    <cellStyle name="Total 2 2 2 2 4 4" xfId="23119" xr:uid="{00000000-0005-0000-0000-000082A30000}"/>
    <cellStyle name="Total 2 2 2 2 4 4 2" xfId="42461" xr:uid="{00000000-0005-0000-0000-000083A30000}"/>
    <cellStyle name="Total 2 2 2 2 4 5" xfId="35060" xr:uid="{00000000-0005-0000-0000-000084A30000}"/>
    <cellStyle name="Total 2 2 2 2 5" xfId="16391" xr:uid="{00000000-0005-0000-0000-000085A30000}"/>
    <cellStyle name="Total 2 2 2 2 5 2" xfId="35745" xr:uid="{00000000-0005-0000-0000-000086A30000}"/>
    <cellStyle name="Total 2 2 2 2 6" xfId="18822" xr:uid="{00000000-0005-0000-0000-000087A30000}"/>
    <cellStyle name="Total 2 2 2 2 6 2" xfId="38175" xr:uid="{00000000-0005-0000-0000-000088A30000}"/>
    <cellStyle name="Total 2 2 2 2 7" xfId="21305" xr:uid="{00000000-0005-0000-0000-000089A30000}"/>
    <cellStyle name="Total 2 2 2 2 7 2" xfId="40647" xr:uid="{00000000-0005-0000-0000-00008AA30000}"/>
    <cellStyle name="Total 2 2 2 2 8" xfId="33246" xr:uid="{00000000-0005-0000-0000-00008BA30000}"/>
    <cellStyle name="Total 2 2 2 3" xfId="14100" xr:uid="{00000000-0005-0000-0000-00008CA30000}"/>
    <cellStyle name="Total 2 2 2 3 2" xfId="14881" xr:uid="{00000000-0005-0000-0000-00008DA30000}"/>
    <cellStyle name="Total 2 2 2 3 2 2" xfId="17359" xr:uid="{00000000-0005-0000-0000-00008EA30000}"/>
    <cellStyle name="Total 2 2 2 3 2 2 2" xfId="36713" xr:uid="{00000000-0005-0000-0000-00008FA30000}"/>
    <cellStyle name="Total 2 2 2 3 2 3" xfId="19790" xr:uid="{00000000-0005-0000-0000-000090A30000}"/>
    <cellStyle name="Total 2 2 2 3 2 3 2" xfId="39143" xr:uid="{00000000-0005-0000-0000-000091A30000}"/>
    <cellStyle name="Total 2 2 2 3 2 4" xfId="22301" xr:uid="{00000000-0005-0000-0000-000092A30000}"/>
    <cellStyle name="Total 2 2 2 3 2 4 2" xfId="41643" xr:uid="{00000000-0005-0000-0000-000093A30000}"/>
    <cellStyle name="Total 2 2 2 3 2 5" xfId="34242" xr:uid="{00000000-0005-0000-0000-000094A30000}"/>
    <cellStyle name="Total 2 2 2 3 3" xfId="15428" xr:uid="{00000000-0005-0000-0000-000095A30000}"/>
    <cellStyle name="Total 2 2 2 3 3 2" xfId="17904" xr:uid="{00000000-0005-0000-0000-000096A30000}"/>
    <cellStyle name="Total 2 2 2 3 3 2 2" xfId="37258" xr:uid="{00000000-0005-0000-0000-000097A30000}"/>
    <cellStyle name="Total 2 2 2 3 3 3" xfId="20335" xr:uid="{00000000-0005-0000-0000-000098A30000}"/>
    <cellStyle name="Total 2 2 2 3 3 3 2" xfId="39688" xr:uid="{00000000-0005-0000-0000-000099A30000}"/>
    <cellStyle name="Total 2 2 2 3 3 4" xfId="22848" xr:uid="{00000000-0005-0000-0000-00009AA30000}"/>
    <cellStyle name="Total 2 2 2 3 3 4 2" xfId="42190" xr:uid="{00000000-0005-0000-0000-00009BA30000}"/>
    <cellStyle name="Total 2 2 2 3 3 5" xfId="34789" xr:uid="{00000000-0005-0000-0000-00009CA30000}"/>
    <cellStyle name="Total 2 2 2 3 4" xfId="15887" xr:uid="{00000000-0005-0000-0000-00009DA30000}"/>
    <cellStyle name="Total 2 2 2 3 4 2" xfId="18363" xr:uid="{00000000-0005-0000-0000-00009EA30000}"/>
    <cellStyle name="Total 2 2 2 3 4 2 2" xfId="37717" xr:uid="{00000000-0005-0000-0000-00009FA30000}"/>
    <cellStyle name="Total 2 2 2 3 4 3" xfId="20794" xr:uid="{00000000-0005-0000-0000-0000A0A30000}"/>
    <cellStyle name="Total 2 2 2 3 4 3 2" xfId="40147" xr:uid="{00000000-0005-0000-0000-0000A1A30000}"/>
    <cellStyle name="Total 2 2 2 3 4 4" xfId="23307" xr:uid="{00000000-0005-0000-0000-0000A2A30000}"/>
    <cellStyle name="Total 2 2 2 3 4 4 2" xfId="42649" xr:uid="{00000000-0005-0000-0000-0000A3A30000}"/>
    <cellStyle name="Total 2 2 2 3 4 5" xfId="35248" xr:uid="{00000000-0005-0000-0000-0000A4A30000}"/>
    <cellStyle name="Total 2 2 2 3 5" xfId="16606" xr:uid="{00000000-0005-0000-0000-0000A5A30000}"/>
    <cellStyle name="Total 2 2 2 3 5 2" xfId="35960" xr:uid="{00000000-0005-0000-0000-0000A6A30000}"/>
    <cellStyle name="Total 2 2 2 3 6" xfId="19037" xr:uid="{00000000-0005-0000-0000-0000A7A30000}"/>
    <cellStyle name="Total 2 2 2 3 6 2" xfId="38390" xr:uid="{00000000-0005-0000-0000-0000A8A30000}"/>
    <cellStyle name="Total 2 2 2 3 7" xfId="21523" xr:uid="{00000000-0005-0000-0000-0000A9A30000}"/>
    <cellStyle name="Total 2 2 2 3 7 2" xfId="40865" xr:uid="{00000000-0005-0000-0000-0000AAA30000}"/>
    <cellStyle name="Total 2 2 2 3 8" xfId="33464" xr:uid="{00000000-0005-0000-0000-0000ABA30000}"/>
    <cellStyle name="Total 2 2 2 4" xfId="14392" xr:uid="{00000000-0005-0000-0000-0000ACA30000}"/>
    <cellStyle name="Total 2 2 2 4 2" xfId="16885" xr:uid="{00000000-0005-0000-0000-0000ADA30000}"/>
    <cellStyle name="Total 2 2 2 4 2 2" xfId="36239" xr:uid="{00000000-0005-0000-0000-0000AEA30000}"/>
    <cellStyle name="Total 2 2 2 4 3" xfId="19316" xr:uid="{00000000-0005-0000-0000-0000AFA30000}"/>
    <cellStyle name="Total 2 2 2 4 3 2" xfId="38669" xr:uid="{00000000-0005-0000-0000-0000B0A30000}"/>
    <cellStyle name="Total 2 2 2 4 4" xfId="21812" xr:uid="{00000000-0005-0000-0000-0000B1A30000}"/>
    <cellStyle name="Total 2 2 2 4 4 2" xfId="41154" xr:uid="{00000000-0005-0000-0000-0000B2A30000}"/>
    <cellStyle name="Total 2 2 2 4 5" xfId="33753" xr:uid="{00000000-0005-0000-0000-0000B3A30000}"/>
    <cellStyle name="Total 2 2 2 5" xfId="18535" xr:uid="{00000000-0005-0000-0000-0000B4A30000}"/>
    <cellStyle name="Total 2 2 2 5 2" xfId="37888" xr:uid="{00000000-0005-0000-0000-0000B5A30000}"/>
    <cellStyle name="Total 2 2 2 6" xfId="32949" xr:uid="{00000000-0005-0000-0000-0000B6A30000}"/>
    <cellStyle name="Total 2 2 3" xfId="13651" xr:uid="{00000000-0005-0000-0000-0000B7A30000}"/>
    <cellStyle name="Total 2 2 3 2" xfId="13949" xr:uid="{00000000-0005-0000-0000-0000B8A30000}"/>
    <cellStyle name="Total 2 2 3 2 2" xfId="14744" xr:uid="{00000000-0005-0000-0000-0000B9A30000}"/>
    <cellStyle name="Total 2 2 3 2 2 2" xfId="17222" xr:uid="{00000000-0005-0000-0000-0000BAA30000}"/>
    <cellStyle name="Total 2 2 3 2 2 2 2" xfId="36576" xr:uid="{00000000-0005-0000-0000-0000BBA30000}"/>
    <cellStyle name="Total 2 2 3 2 2 3" xfId="19653" xr:uid="{00000000-0005-0000-0000-0000BCA30000}"/>
    <cellStyle name="Total 2 2 3 2 2 3 2" xfId="39006" xr:uid="{00000000-0005-0000-0000-0000BDA30000}"/>
    <cellStyle name="Total 2 2 3 2 2 4" xfId="22164" xr:uid="{00000000-0005-0000-0000-0000BEA30000}"/>
    <cellStyle name="Total 2 2 3 2 2 4 2" xfId="41506" xr:uid="{00000000-0005-0000-0000-0000BFA30000}"/>
    <cellStyle name="Total 2 2 3 2 2 5" xfId="34105" xr:uid="{00000000-0005-0000-0000-0000C0A30000}"/>
    <cellStyle name="Total 2 2 3 2 3" xfId="15292" xr:uid="{00000000-0005-0000-0000-0000C1A30000}"/>
    <cellStyle name="Total 2 2 3 2 3 2" xfId="17768" xr:uid="{00000000-0005-0000-0000-0000C2A30000}"/>
    <cellStyle name="Total 2 2 3 2 3 2 2" xfId="37122" xr:uid="{00000000-0005-0000-0000-0000C3A30000}"/>
    <cellStyle name="Total 2 2 3 2 3 3" xfId="20199" xr:uid="{00000000-0005-0000-0000-0000C4A30000}"/>
    <cellStyle name="Total 2 2 3 2 3 3 2" xfId="39552" xr:uid="{00000000-0005-0000-0000-0000C5A30000}"/>
    <cellStyle name="Total 2 2 3 2 3 4" xfId="22712" xr:uid="{00000000-0005-0000-0000-0000C6A30000}"/>
    <cellStyle name="Total 2 2 3 2 3 4 2" xfId="42054" xr:uid="{00000000-0005-0000-0000-0000C7A30000}"/>
    <cellStyle name="Total 2 2 3 2 3 5" xfId="34653" xr:uid="{00000000-0005-0000-0000-0000C8A30000}"/>
    <cellStyle name="Total 2 2 3 2 4" xfId="15751" xr:uid="{00000000-0005-0000-0000-0000C9A30000}"/>
    <cellStyle name="Total 2 2 3 2 4 2" xfId="18227" xr:uid="{00000000-0005-0000-0000-0000CAA30000}"/>
    <cellStyle name="Total 2 2 3 2 4 2 2" xfId="37581" xr:uid="{00000000-0005-0000-0000-0000CBA30000}"/>
    <cellStyle name="Total 2 2 3 2 4 3" xfId="20658" xr:uid="{00000000-0005-0000-0000-0000CCA30000}"/>
    <cellStyle name="Total 2 2 3 2 4 3 2" xfId="40011" xr:uid="{00000000-0005-0000-0000-0000CDA30000}"/>
    <cellStyle name="Total 2 2 3 2 4 4" xfId="23171" xr:uid="{00000000-0005-0000-0000-0000CEA30000}"/>
    <cellStyle name="Total 2 2 3 2 4 4 2" xfId="42513" xr:uid="{00000000-0005-0000-0000-0000CFA30000}"/>
    <cellStyle name="Total 2 2 3 2 4 5" xfId="35112" xr:uid="{00000000-0005-0000-0000-0000D0A30000}"/>
    <cellStyle name="Total 2 2 3 2 5" xfId="16455" xr:uid="{00000000-0005-0000-0000-0000D1A30000}"/>
    <cellStyle name="Total 2 2 3 2 5 2" xfId="35809" xr:uid="{00000000-0005-0000-0000-0000D2A30000}"/>
    <cellStyle name="Total 2 2 3 2 6" xfId="18886" xr:uid="{00000000-0005-0000-0000-0000D3A30000}"/>
    <cellStyle name="Total 2 2 3 2 6 2" xfId="38239" xr:uid="{00000000-0005-0000-0000-0000D4A30000}"/>
    <cellStyle name="Total 2 2 3 2 7" xfId="21372" xr:uid="{00000000-0005-0000-0000-0000D5A30000}"/>
    <cellStyle name="Total 2 2 3 2 7 2" xfId="40714" xr:uid="{00000000-0005-0000-0000-0000D6A30000}"/>
    <cellStyle name="Total 2 2 3 2 8" xfId="33313" xr:uid="{00000000-0005-0000-0000-0000D7A30000}"/>
    <cellStyle name="Total 2 2 3 3" xfId="14163" xr:uid="{00000000-0005-0000-0000-0000D8A30000}"/>
    <cellStyle name="Total 2 2 3 3 2" xfId="14940" xr:uid="{00000000-0005-0000-0000-0000D9A30000}"/>
    <cellStyle name="Total 2 2 3 3 2 2" xfId="17418" xr:uid="{00000000-0005-0000-0000-0000DAA30000}"/>
    <cellStyle name="Total 2 2 3 3 2 2 2" xfId="36772" xr:uid="{00000000-0005-0000-0000-0000DBA30000}"/>
    <cellStyle name="Total 2 2 3 3 2 3" xfId="19849" xr:uid="{00000000-0005-0000-0000-0000DCA30000}"/>
    <cellStyle name="Total 2 2 3 3 2 3 2" xfId="39202" xr:uid="{00000000-0005-0000-0000-0000DDA30000}"/>
    <cellStyle name="Total 2 2 3 3 2 4" xfId="22360" xr:uid="{00000000-0005-0000-0000-0000DEA30000}"/>
    <cellStyle name="Total 2 2 3 3 2 4 2" xfId="41702" xr:uid="{00000000-0005-0000-0000-0000DFA30000}"/>
    <cellStyle name="Total 2 2 3 3 2 5" xfId="34301" xr:uid="{00000000-0005-0000-0000-0000E0A30000}"/>
    <cellStyle name="Total 2 2 3 3 3" xfId="15486" xr:uid="{00000000-0005-0000-0000-0000E1A30000}"/>
    <cellStyle name="Total 2 2 3 3 3 2" xfId="17962" xr:uid="{00000000-0005-0000-0000-0000E2A30000}"/>
    <cellStyle name="Total 2 2 3 3 3 2 2" xfId="37316" xr:uid="{00000000-0005-0000-0000-0000E3A30000}"/>
    <cellStyle name="Total 2 2 3 3 3 3" xfId="20393" xr:uid="{00000000-0005-0000-0000-0000E4A30000}"/>
    <cellStyle name="Total 2 2 3 3 3 3 2" xfId="39746" xr:uid="{00000000-0005-0000-0000-0000E5A30000}"/>
    <cellStyle name="Total 2 2 3 3 3 4" xfId="22906" xr:uid="{00000000-0005-0000-0000-0000E6A30000}"/>
    <cellStyle name="Total 2 2 3 3 3 4 2" xfId="42248" xr:uid="{00000000-0005-0000-0000-0000E7A30000}"/>
    <cellStyle name="Total 2 2 3 3 3 5" xfId="34847" xr:uid="{00000000-0005-0000-0000-0000E8A30000}"/>
    <cellStyle name="Total 2 2 3 3 4" xfId="15945" xr:uid="{00000000-0005-0000-0000-0000E9A30000}"/>
    <cellStyle name="Total 2 2 3 3 4 2" xfId="18421" xr:uid="{00000000-0005-0000-0000-0000EAA30000}"/>
    <cellStyle name="Total 2 2 3 3 4 2 2" xfId="37775" xr:uid="{00000000-0005-0000-0000-0000EBA30000}"/>
    <cellStyle name="Total 2 2 3 3 4 3" xfId="20852" xr:uid="{00000000-0005-0000-0000-0000ECA30000}"/>
    <cellStyle name="Total 2 2 3 3 4 3 2" xfId="40205" xr:uid="{00000000-0005-0000-0000-0000EDA30000}"/>
    <cellStyle name="Total 2 2 3 3 4 4" xfId="23365" xr:uid="{00000000-0005-0000-0000-0000EEA30000}"/>
    <cellStyle name="Total 2 2 3 3 4 4 2" xfId="42707" xr:uid="{00000000-0005-0000-0000-0000EFA30000}"/>
    <cellStyle name="Total 2 2 3 3 4 5" xfId="35306" xr:uid="{00000000-0005-0000-0000-0000F0A30000}"/>
    <cellStyle name="Total 2 2 3 3 5" xfId="16669" xr:uid="{00000000-0005-0000-0000-0000F1A30000}"/>
    <cellStyle name="Total 2 2 3 3 5 2" xfId="36023" xr:uid="{00000000-0005-0000-0000-0000F2A30000}"/>
    <cellStyle name="Total 2 2 3 3 6" xfId="19100" xr:uid="{00000000-0005-0000-0000-0000F3A30000}"/>
    <cellStyle name="Total 2 2 3 3 6 2" xfId="38453" xr:uid="{00000000-0005-0000-0000-0000F4A30000}"/>
    <cellStyle name="Total 2 2 3 3 7" xfId="21586" xr:uid="{00000000-0005-0000-0000-0000F5A30000}"/>
    <cellStyle name="Total 2 2 3 3 7 2" xfId="40928" xr:uid="{00000000-0005-0000-0000-0000F6A30000}"/>
    <cellStyle name="Total 2 2 3 3 8" xfId="33527" xr:uid="{00000000-0005-0000-0000-0000F7A30000}"/>
    <cellStyle name="Total 2 2 3 4" xfId="14459" xr:uid="{00000000-0005-0000-0000-0000F8A30000}"/>
    <cellStyle name="Total 2 2 3 4 2" xfId="16949" xr:uid="{00000000-0005-0000-0000-0000F9A30000}"/>
    <cellStyle name="Total 2 2 3 4 2 2" xfId="36303" xr:uid="{00000000-0005-0000-0000-0000FAA30000}"/>
    <cellStyle name="Total 2 2 3 4 3" xfId="19380" xr:uid="{00000000-0005-0000-0000-0000FBA30000}"/>
    <cellStyle name="Total 2 2 3 4 3 2" xfId="38733" xr:uid="{00000000-0005-0000-0000-0000FCA30000}"/>
    <cellStyle name="Total 2 2 3 4 4" xfId="21879" xr:uid="{00000000-0005-0000-0000-0000FDA30000}"/>
    <cellStyle name="Total 2 2 3 4 4 2" xfId="41221" xr:uid="{00000000-0005-0000-0000-0000FEA30000}"/>
    <cellStyle name="Total 2 2 3 4 5" xfId="33820" xr:uid="{00000000-0005-0000-0000-0000FFA30000}"/>
    <cellStyle name="Total 2 2 3 5" xfId="16171" xr:uid="{00000000-0005-0000-0000-000000A40000}"/>
    <cellStyle name="Total 2 2 3 5 2" xfId="35525" xr:uid="{00000000-0005-0000-0000-000001A40000}"/>
    <cellStyle name="Total 2 2 3 6" xfId="18602" xr:uid="{00000000-0005-0000-0000-000002A40000}"/>
    <cellStyle name="Total 2 2 3 6 2" xfId="37955" xr:uid="{00000000-0005-0000-0000-000003A40000}"/>
    <cellStyle name="Total 2 2 3 7" xfId="21076" xr:uid="{00000000-0005-0000-0000-000004A40000}"/>
    <cellStyle name="Total 2 2 3 7 2" xfId="40418" xr:uid="{00000000-0005-0000-0000-000005A40000}"/>
    <cellStyle name="Total 2 2 3 8" xfId="33017" xr:uid="{00000000-0005-0000-0000-000006A40000}"/>
    <cellStyle name="Total 2 2 4" xfId="13999" xr:uid="{00000000-0005-0000-0000-000007A40000}"/>
    <cellStyle name="Total 2 2 4 2" xfId="14794" xr:uid="{00000000-0005-0000-0000-000008A40000}"/>
    <cellStyle name="Total 2 2 4 2 2" xfId="17272" xr:uid="{00000000-0005-0000-0000-000009A40000}"/>
    <cellStyle name="Total 2 2 4 2 2 2" xfId="36626" xr:uid="{00000000-0005-0000-0000-00000AA40000}"/>
    <cellStyle name="Total 2 2 4 2 3" xfId="19703" xr:uid="{00000000-0005-0000-0000-00000BA40000}"/>
    <cellStyle name="Total 2 2 4 2 3 2" xfId="39056" xr:uid="{00000000-0005-0000-0000-00000CA40000}"/>
    <cellStyle name="Total 2 2 4 2 4" xfId="22214" xr:uid="{00000000-0005-0000-0000-00000DA40000}"/>
    <cellStyle name="Total 2 2 4 2 4 2" xfId="41556" xr:uid="{00000000-0005-0000-0000-00000EA40000}"/>
    <cellStyle name="Total 2 2 4 2 5" xfId="34155" xr:uid="{00000000-0005-0000-0000-00000FA40000}"/>
    <cellStyle name="Total 2 2 4 3" xfId="15342" xr:uid="{00000000-0005-0000-0000-000010A40000}"/>
    <cellStyle name="Total 2 2 4 3 2" xfId="17818" xr:uid="{00000000-0005-0000-0000-000011A40000}"/>
    <cellStyle name="Total 2 2 4 3 2 2" xfId="37172" xr:uid="{00000000-0005-0000-0000-000012A40000}"/>
    <cellStyle name="Total 2 2 4 3 3" xfId="20249" xr:uid="{00000000-0005-0000-0000-000013A40000}"/>
    <cellStyle name="Total 2 2 4 3 3 2" xfId="39602" xr:uid="{00000000-0005-0000-0000-000014A40000}"/>
    <cellStyle name="Total 2 2 4 3 4" xfId="22762" xr:uid="{00000000-0005-0000-0000-000015A40000}"/>
    <cellStyle name="Total 2 2 4 3 4 2" xfId="42104" xr:uid="{00000000-0005-0000-0000-000016A40000}"/>
    <cellStyle name="Total 2 2 4 3 5" xfId="34703" xr:uid="{00000000-0005-0000-0000-000017A40000}"/>
    <cellStyle name="Total 2 2 4 4" xfId="15801" xr:uid="{00000000-0005-0000-0000-000018A40000}"/>
    <cellStyle name="Total 2 2 4 4 2" xfId="18277" xr:uid="{00000000-0005-0000-0000-000019A40000}"/>
    <cellStyle name="Total 2 2 4 4 2 2" xfId="37631" xr:uid="{00000000-0005-0000-0000-00001AA40000}"/>
    <cellStyle name="Total 2 2 4 4 3" xfId="20708" xr:uid="{00000000-0005-0000-0000-00001BA40000}"/>
    <cellStyle name="Total 2 2 4 4 3 2" xfId="40061" xr:uid="{00000000-0005-0000-0000-00001CA40000}"/>
    <cellStyle name="Total 2 2 4 4 4" xfId="23221" xr:uid="{00000000-0005-0000-0000-00001DA40000}"/>
    <cellStyle name="Total 2 2 4 4 4 2" xfId="42563" xr:uid="{00000000-0005-0000-0000-00001EA40000}"/>
    <cellStyle name="Total 2 2 4 4 5" xfId="35162" xr:uid="{00000000-0005-0000-0000-00001FA40000}"/>
    <cellStyle name="Total 2 2 4 5" xfId="16505" xr:uid="{00000000-0005-0000-0000-000020A40000}"/>
    <cellStyle name="Total 2 2 4 5 2" xfId="35859" xr:uid="{00000000-0005-0000-0000-000021A40000}"/>
    <cellStyle name="Total 2 2 4 6" xfId="18936" xr:uid="{00000000-0005-0000-0000-000022A40000}"/>
    <cellStyle name="Total 2 2 4 6 2" xfId="38289" xr:uid="{00000000-0005-0000-0000-000023A40000}"/>
    <cellStyle name="Total 2 2 4 7" xfId="21422" xr:uid="{00000000-0005-0000-0000-000024A40000}"/>
    <cellStyle name="Total 2 2 4 7 2" xfId="40764" xr:uid="{00000000-0005-0000-0000-000025A40000}"/>
    <cellStyle name="Total 2 2 4 8" xfId="33363" xr:uid="{00000000-0005-0000-0000-000026A40000}"/>
    <cellStyle name="Total 2 2 5" xfId="14289" xr:uid="{00000000-0005-0000-0000-000027A40000}"/>
    <cellStyle name="Total 2 2 5 2" xfId="16788" xr:uid="{00000000-0005-0000-0000-000028A40000}"/>
    <cellStyle name="Total 2 2 5 2 2" xfId="36142" xr:uid="{00000000-0005-0000-0000-000029A40000}"/>
    <cellStyle name="Total 2 2 5 3" xfId="19219" xr:uid="{00000000-0005-0000-0000-00002AA40000}"/>
    <cellStyle name="Total 2 2 5 3 2" xfId="38572" xr:uid="{00000000-0005-0000-0000-00002BA40000}"/>
    <cellStyle name="Total 2 2 5 4" xfId="21709" xr:uid="{00000000-0005-0000-0000-00002CA40000}"/>
    <cellStyle name="Total 2 2 5 4 2" xfId="41051" xr:uid="{00000000-0005-0000-0000-00002DA40000}"/>
    <cellStyle name="Total 2 2 5 5" xfId="33650" xr:uid="{00000000-0005-0000-0000-00002EA40000}"/>
    <cellStyle name="Total 2 2 6" xfId="13456" xr:uid="{00000000-0005-0000-0000-00002FA40000}"/>
    <cellStyle name="Total 2 2 6 2" xfId="32835" xr:uid="{00000000-0005-0000-0000-000030A40000}"/>
    <cellStyle name="Total 2 2 7" xfId="16026" xr:uid="{00000000-0005-0000-0000-000031A40000}"/>
    <cellStyle name="Total 2 2 7 2" xfId="35380" xr:uid="{00000000-0005-0000-0000-000032A40000}"/>
    <cellStyle name="Total 2 2 8" xfId="13364" xr:uid="{00000000-0005-0000-0000-000033A40000}"/>
    <cellStyle name="Total 2 2 8 2" xfId="32763" xr:uid="{00000000-0005-0000-0000-000034A40000}"/>
    <cellStyle name="Total 2 2 9" xfId="20956" xr:uid="{00000000-0005-0000-0000-000035A40000}"/>
    <cellStyle name="Total 2 2 9 2" xfId="40298" xr:uid="{00000000-0005-0000-0000-000036A40000}"/>
    <cellStyle name="Total 2 3" xfId="13481" xr:uid="{00000000-0005-0000-0000-000037A40000}"/>
    <cellStyle name="Total 2 3 10" xfId="32859" xr:uid="{00000000-0005-0000-0000-000038A40000}"/>
    <cellStyle name="Total 2 3 2" xfId="13605" xr:uid="{00000000-0005-0000-0000-000039A40000}"/>
    <cellStyle name="Total 2 3 2 2" xfId="13906" xr:uid="{00000000-0005-0000-0000-00003AA40000}"/>
    <cellStyle name="Total 2 3 2 2 2" xfId="14701" xr:uid="{00000000-0005-0000-0000-00003BA40000}"/>
    <cellStyle name="Total 2 3 2 2 2 2" xfId="17179" xr:uid="{00000000-0005-0000-0000-00003CA40000}"/>
    <cellStyle name="Total 2 3 2 2 2 2 2" xfId="36533" xr:uid="{00000000-0005-0000-0000-00003DA40000}"/>
    <cellStyle name="Total 2 3 2 2 2 3" xfId="19610" xr:uid="{00000000-0005-0000-0000-00003EA40000}"/>
    <cellStyle name="Total 2 3 2 2 2 3 2" xfId="38963" xr:uid="{00000000-0005-0000-0000-00003FA40000}"/>
    <cellStyle name="Total 2 3 2 2 2 4" xfId="22121" xr:uid="{00000000-0005-0000-0000-000040A40000}"/>
    <cellStyle name="Total 2 3 2 2 2 4 2" xfId="41463" xr:uid="{00000000-0005-0000-0000-000041A40000}"/>
    <cellStyle name="Total 2 3 2 2 2 5" xfId="34062" xr:uid="{00000000-0005-0000-0000-000042A40000}"/>
    <cellStyle name="Total 2 3 2 2 3" xfId="15249" xr:uid="{00000000-0005-0000-0000-000043A40000}"/>
    <cellStyle name="Total 2 3 2 2 3 2" xfId="17725" xr:uid="{00000000-0005-0000-0000-000044A40000}"/>
    <cellStyle name="Total 2 3 2 2 3 2 2" xfId="37079" xr:uid="{00000000-0005-0000-0000-000045A40000}"/>
    <cellStyle name="Total 2 3 2 2 3 3" xfId="20156" xr:uid="{00000000-0005-0000-0000-000046A40000}"/>
    <cellStyle name="Total 2 3 2 2 3 3 2" xfId="39509" xr:uid="{00000000-0005-0000-0000-000047A40000}"/>
    <cellStyle name="Total 2 3 2 2 3 4" xfId="22669" xr:uid="{00000000-0005-0000-0000-000048A40000}"/>
    <cellStyle name="Total 2 3 2 2 3 4 2" xfId="42011" xr:uid="{00000000-0005-0000-0000-000049A40000}"/>
    <cellStyle name="Total 2 3 2 2 3 5" xfId="34610" xr:uid="{00000000-0005-0000-0000-00004AA40000}"/>
    <cellStyle name="Total 2 3 2 2 4" xfId="15708" xr:uid="{00000000-0005-0000-0000-00004BA40000}"/>
    <cellStyle name="Total 2 3 2 2 4 2" xfId="18184" xr:uid="{00000000-0005-0000-0000-00004CA40000}"/>
    <cellStyle name="Total 2 3 2 2 4 2 2" xfId="37538" xr:uid="{00000000-0005-0000-0000-00004DA40000}"/>
    <cellStyle name="Total 2 3 2 2 4 3" xfId="20615" xr:uid="{00000000-0005-0000-0000-00004EA40000}"/>
    <cellStyle name="Total 2 3 2 2 4 3 2" xfId="39968" xr:uid="{00000000-0005-0000-0000-00004FA40000}"/>
    <cellStyle name="Total 2 3 2 2 4 4" xfId="23128" xr:uid="{00000000-0005-0000-0000-000050A40000}"/>
    <cellStyle name="Total 2 3 2 2 4 4 2" xfId="42470" xr:uid="{00000000-0005-0000-0000-000051A40000}"/>
    <cellStyle name="Total 2 3 2 2 4 5" xfId="35069" xr:uid="{00000000-0005-0000-0000-000052A40000}"/>
    <cellStyle name="Total 2 3 2 2 5" xfId="16412" xr:uid="{00000000-0005-0000-0000-000053A40000}"/>
    <cellStyle name="Total 2 3 2 2 5 2" xfId="35766" xr:uid="{00000000-0005-0000-0000-000054A40000}"/>
    <cellStyle name="Total 2 3 2 2 6" xfId="18843" xr:uid="{00000000-0005-0000-0000-000055A40000}"/>
    <cellStyle name="Total 2 3 2 2 6 2" xfId="38196" xr:uid="{00000000-0005-0000-0000-000056A40000}"/>
    <cellStyle name="Total 2 3 2 2 7" xfId="21329" xr:uid="{00000000-0005-0000-0000-000057A40000}"/>
    <cellStyle name="Total 2 3 2 2 7 2" xfId="40671" xr:uid="{00000000-0005-0000-0000-000058A40000}"/>
    <cellStyle name="Total 2 3 2 2 8" xfId="33270" xr:uid="{00000000-0005-0000-0000-000059A40000}"/>
    <cellStyle name="Total 2 3 2 3" xfId="14121" xr:uid="{00000000-0005-0000-0000-00005AA40000}"/>
    <cellStyle name="Total 2 3 2 3 2" xfId="14902" xr:uid="{00000000-0005-0000-0000-00005BA40000}"/>
    <cellStyle name="Total 2 3 2 3 2 2" xfId="17380" xr:uid="{00000000-0005-0000-0000-00005CA40000}"/>
    <cellStyle name="Total 2 3 2 3 2 2 2" xfId="36734" xr:uid="{00000000-0005-0000-0000-00005DA40000}"/>
    <cellStyle name="Total 2 3 2 3 2 3" xfId="19811" xr:uid="{00000000-0005-0000-0000-00005EA40000}"/>
    <cellStyle name="Total 2 3 2 3 2 3 2" xfId="39164" xr:uid="{00000000-0005-0000-0000-00005FA40000}"/>
    <cellStyle name="Total 2 3 2 3 2 4" xfId="22322" xr:uid="{00000000-0005-0000-0000-000060A40000}"/>
    <cellStyle name="Total 2 3 2 3 2 4 2" xfId="41664" xr:uid="{00000000-0005-0000-0000-000061A40000}"/>
    <cellStyle name="Total 2 3 2 3 2 5" xfId="34263" xr:uid="{00000000-0005-0000-0000-000062A40000}"/>
    <cellStyle name="Total 2 3 2 3 3" xfId="15449" xr:uid="{00000000-0005-0000-0000-000063A40000}"/>
    <cellStyle name="Total 2 3 2 3 3 2" xfId="17925" xr:uid="{00000000-0005-0000-0000-000064A40000}"/>
    <cellStyle name="Total 2 3 2 3 3 2 2" xfId="37279" xr:uid="{00000000-0005-0000-0000-000065A40000}"/>
    <cellStyle name="Total 2 3 2 3 3 3" xfId="20356" xr:uid="{00000000-0005-0000-0000-000066A40000}"/>
    <cellStyle name="Total 2 3 2 3 3 3 2" xfId="39709" xr:uid="{00000000-0005-0000-0000-000067A40000}"/>
    <cellStyle name="Total 2 3 2 3 3 4" xfId="22869" xr:uid="{00000000-0005-0000-0000-000068A40000}"/>
    <cellStyle name="Total 2 3 2 3 3 4 2" xfId="42211" xr:uid="{00000000-0005-0000-0000-000069A40000}"/>
    <cellStyle name="Total 2 3 2 3 3 5" xfId="34810" xr:uid="{00000000-0005-0000-0000-00006AA40000}"/>
    <cellStyle name="Total 2 3 2 3 4" xfId="15908" xr:uid="{00000000-0005-0000-0000-00006BA40000}"/>
    <cellStyle name="Total 2 3 2 3 4 2" xfId="18384" xr:uid="{00000000-0005-0000-0000-00006CA40000}"/>
    <cellStyle name="Total 2 3 2 3 4 2 2" xfId="37738" xr:uid="{00000000-0005-0000-0000-00006DA40000}"/>
    <cellStyle name="Total 2 3 2 3 4 3" xfId="20815" xr:uid="{00000000-0005-0000-0000-00006EA40000}"/>
    <cellStyle name="Total 2 3 2 3 4 3 2" xfId="40168" xr:uid="{00000000-0005-0000-0000-00006FA40000}"/>
    <cellStyle name="Total 2 3 2 3 4 4" xfId="23328" xr:uid="{00000000-0005-0000-0000-000070A40000}"/>
    <cellStyle name="Total 2 3 2 3 4 4 2" xfId="42670" xr:uid="{00000000-0005-0000-0000-000071A40000}"/>
    <cellStyle name="Total 2 3 2 3 4 5" xfId="35269" xr:uid="{00000000-0005-0000-0000-000072A40000}"/>
    <cellStyle name="Total 2 3 2 3 5" xfId="16627" xr:uid="{00000000-0005-0000-0000-000073A40000}"/>
    <cellStyle name="Total 2 3 2 3 5 2" xfId="35981" xr:uid="{00000000-0005-0000-0000-000074A40000}"/>
    <cellStyle name="Total 2 3 2 3 6" xfId="19058" xr:uid="{00000000-0005-0000-0000-000075A40000}"/>
    <cellStyle name="Total 2 3 2 3 6 2" xfId="38411" xr:uid="{00000000-0005-0000-0000-000076A40000}"/>
    <cellStyle name="Total 2 3 2 3 7" xfId="21544" xr:uid="{00000000-0005-0000-0000-000077A40000}"/>
    <cellStyle name="Total 2 3 2 3 7 2" xfId="40886" xr:uid="{00000000-0005-0000-0000-000078A40000}"/>
    <cellStyle name="Total 2 3 2 3 8" xfId="33485" xr:uid="{00000000-0005-0000-0000-000079A40000}"/>
    <cellStyle name="Total 2 3 2 4" xfId="14416" xr:uid="{00000000-0005-0000-0000-00007AA40000}"/>
    <cellStyle name="Total 2 3 2 4 2" xfId="16906" xr:uid="{00000000-0005-0000-0000-00007BA40000}"/>
    <cellStyle name="Total 2 3 2 4 2 2" xfId="36260" xr:uid="{00000000-0005-0000-0000-00007CA40000}"/>
    <cellStyle name="Total 2 3 2 4 3" xfId="19337" xr:uid="{00000000-0005-0000-0000-00007DA40000}"/>
    <cellStyle name="Total 2 3 2 4 3 2" xfId="38690" xr:uid="{00000000-0005-0000-0000-00007EA40000}"/>
    <cellStyle name="Total 2 3 2 4 4" xfId="21836" xr:uid="{00000000-0005-0000-0000-00007FA40000}"/>
    <cellStyle name="Total 2 3 2 4 4 2" xfId="41178" xr:uid="{00000000-0005-0000-0000-000080A40000}"/>
    <cellStyle name="Total 2 3 2 4 5" xfId="33777" xr:uid="{00000000-0005-0000-0000-000081A40000}"/>
    <cellStyle name="Total 2 3 2 5" xfId="18556" xr:uid="{00000000-0005-0000-0000-000082A40000}"/>
    <cellStyle name="Total 2 3 2 5 2" xfId="37909" xr:uid="{00000000-0005-0000-0000-000083A40000}"/>
    <cellStyle name="Total 2 3 2 6" xfId="32971" xr:uid="{00000000-0005-0000-0000-000084A40000}"/>
    <cellStyle name="Total 2 3 3" xfId="13672" xr:uid="{00000000-0005-0000-0000-000085A40000}"/>
    <cellStyle name="Total 2 3 3 2" xfId="13970" xr:uid="{00000000-0005-0000-0000-000086A40000}"/>
    <cellStyle name="Total 2 3 3 2 2" xfId="14765" xr:uid="{00000000-0005-0000-0000-000087A40000}"/>
    <cellStyle name="Total 2 3 3 2 2 2" xfId="17243" xr:uid="{00000000-0005-0000-0000-000088A40000}"/>
    <cellStyle name="Total 2 3 3 2 2 2 2" xfId="36597" xr:uid="{00000000-0005-0000-0000-000089A40000}"/>
    <cellStyle name="Total 2 3 3 2 2 3" xfId="19674" xr:uid="{00000000-0005-0000-0000-00008AA40000}"/>
    <cellStyle name="Total 2 3 3 2 2 3 2" xfId="39027" xr:uid="{00000000-0005-0000-0000-00008BA40000}"/>
    <cellStyle name="Total 2 3 3 2 2 4" xfId="22185" xr:uid="{00000000-0005-0000-0000-00008CA40000}"/>
    <cellStyle name="Total 2 3 3 2 2 4 2" xfId="41527" xr:uid="{00000000-0005-0000-0000-00008DA40000}"/>
    <cellStyle name="Total 2 3 3 2 2 5" xfId="34126" xr:uid="{00000000-0005-0000-0000-00008EA40000}"/>
    <cellStyle name="Total 2 3 3 2 3" xfId="15313" xr:uid="{00000000-0005-0000-0000-00008FA40000}"/>
    <cellStyle name="Total 2 3 3 2 3 2" xfId="17789" xr:uid="{00000000-0005-0000-0000-000090A40000}"/>
    <cellStyle name="Total 2 3 3 2 3 2 2" xfId="37143" xr:uid="{00000000-0005-0000-0000-000091A40000}"/>
    <cellStyle name="Total 2 3 3 2 3 3" xfId="20220" xr:uid="{00000000-0005-0000-0000-000092A40000}"/>
    <cellStyle name="Total 2 3 3 2 3 3 2" xfId="39573" xr:uid="{00000000-0005-0000-0000-000093A40000}"/>
    <cellStyle name="Total 2 3 3 2 3 4" xfId="22733" xr:uid="{00000000-0005-0000-0000-000094A40000}"/>
    <cellStyle name="Total 2 3 3 2 3 4 2" xfId="42075" xr:uid="{00000000-0005-0000-0000-000095A40000}"/>
    <cellStyle name="Total 2 3 3 2 3 5" xfId="34674" xr:uid="{00000000-0005-0000-0000-000096A40000}"/>
    <cellStyle name="Total 2 3 3 2 4" xfId="15772" xr:uid="{00000000-0005-0000-0000-000097A40000}"/>
    <cellStyle name="Total 2 3 3 2 4 2" xfId="18248" xr:uid="{00000000-0005-0000-0000-000098A40000}"/>
    <cellStyle name="Total 2 3 3 2 4 2 2" xfId="37602" xr:uid="{00000000-0005-0000-0000-000099A40000}"/>
    <cellStyle name="Total 2 3 3 2 4 3" xfId="20679" xr:uid="{00000000-0005-0000-0000-00009AA40000}"/>
    <cellStyle name="Total 2 3 3 2 4 3 2" xfId="40032" xr:uid="{00000000-0005-0000-0000-00009BA40000}"/>
    <cellStyle name="Total 2 3 3 2 4 4" xfId="23192" xr:uid="{00000000-0005-0000-0000-00009CA40000}"/>
    <cellStyle name="Total 2 3 3 2 4 4 2" xfId="42534" xr:uid="{00000000-0005-0000-0000-00009DA40000}"/>
    <cellStyle name="Total 2 3 3 2 4 5" xfId="35133" xr:uid="{00000000-0005-0000-0000-00009EA40000}"/>
    <cellStyle name="Total 2 3 3 2 5" xfId="16476" xr:uid="{00000000-0005-0000-0000-00009FA40000}"/>
    <cellStyle name="Total 2 3 3 2 5 2" xfId="35830" xr:uid="{00000000-0005-0000-0000-0000A0A40000}"/>
    <cellStyle name="Total 2 3 3 2 6" xfId="18907" xr:uid="{00000000-0005-0000-0000-0000A1A40000}"/>
    <cellStyle name="Total 2 3 3 2 6 2" xfId="38260" xr:uid="{00000000-0005-0000-0000-0000A2A40000}"/>
    <cellStyle name="Total 2 3 3 2 7" xfId="21393" xr:uid="{00000000-0005-0000-0000-0000A3A40000}"/>
    <cellStyle name="Total 2 3 3 2 7 2" xfId="40735" xr:uid="{00000000-0005-0000-0000-0000A4A40000}"/>
    <cellStyle name="Total 2 3 3 2 8" xfId="33334" xr:uid="{00000000-0005-0000-0000-0000A5A40000}"/>
    <cellStyle name="Total 2 3 3 3" xfId="14183" xr:uid="{00000000-0005-0000-0000-0000A6A40000}"/>
    <cellStyle name="Total 2 3 3 3 2" xfId="14960" xr:uid="{00000000-0005-0000-0000-0000A7A40000}"/>
    <cellStyle name="Total 2 3 3 3 2 2" xfId="17438" xr:uid="{00000000-0005-0000-0000-0000A8A40000}"/>
    <cellStyle name="Total 2 3 3 3 2 2 2" xfId="36792" xr:uid="{00000000-0005-0000-0000-0000A9A40000}"/>
    <cellStyle name="Total 2 3 3 3 2 3" xfId="19869" xr:uid="{00000000-0005-0000-0000-0000AAA40000}"/>
    <cellStyle name="Total 2 3 3 3 2 3 2" xfId="39222" xr:uid="{00000000-0005-0000-0000-0000ABA40000}"/>
    <cellStyle name="Total 2 3 3 3 2 4" xfId="22380" xr:uid="{00000000-0005-0000-0000-0000ACA40000}"/>
    <cellStyle name="Total 2 3 3 3 2 4 2" xfId="41722" xr:uid="{00000000-0005-0000-0000-0000ADA40000}"/>
    <cellStyle name="Total 2 3 3 3 2 5" xfId="34321" xr:uid="{00000000-0005-0000-0000-0000AEA40000}"/>
    <cellStyle name="Total 2 3 3 3 3" xfId="15506" xr:uid="{00000000-0005-0000-0000-0000AFA40000}"/>
    <cellStyle name="Total 2 3 3 3 3 2" xfId="17982" xr:uid="{00000000-0005-0000-0000-0000B0A40000}"/>
    <cellStyle name="Total 2 3 3 3 3 2 2" xfId="37336" xr:uid="{00000000-0005-0000-0000-0000B1A40000}"/>
    <cellStyle name="Total 2 3 3 3 3 3" xfId="20413" xr:uid="{00000000-0005-0000-0000-0000B2A40000}"/>
    <cellStyle name="Total 2 3 3 3 3 3 2" xfId="39766" xr:uid="{00000000-0005-0000-0000-0000B3A40000}"/>
    <cellStyle name="Total 2 3 3 3 3 4" xfId="22926" xr:uid="{00000000-0005-0000-0000-0000B4A40000}"/>
    <cellStyle name="Total 2 3 3 3 3 4 2" xfId="42268" xr:uid="{00000000-0005-0000-0000-0000B5A40000}"/>
    <cellStyle name="Total 2 3 3 3 3 5" xfId="34867" xr:uid="{00000000-0005-0000-0000-0000B6A40000}"/>
    <cellStyle name="Total 2 3 3 3 4" xfId="15965" xr:uid="{00000000-0005-0000-0000-0000B7A40000}"/>
    <cellStyle name="Total 2 3 3 3 4 2" xfId="18441" xr:uid="{00000000-0005-0000-0000-0000B8A40000}"/>
    <cellStyle name="Total 2 3 3 3 4 2 2" xfId="37795" xr:uid="{00000000-0005-0000-0000-0000B9A40000}"/>
    <cellStyle name="Total 2 3 3 3 4 3" xfId="20872" xr:uid="{00000000-0005-0000-0000-0000BAA40000}"/>
    <cellStyle name="Total 2 3 3 3 4 3 2" xfId="40225" xr:uid="{00000000-0005-0000-0000-0000BBA40000}"/>
    <cellStyle name="Total 2 3 3 3 4 4" xfId="23385" xr:uid="{00000000-0005-0000-0000-0000BCA40000}"/>
    <cellStyle name="Total 2 3 3 3 4 4 2" xfId="42727" xr:uid="{00000000-0005-0000-0000-0000BDA40000}"/>
    <cellStyle name="Total 2 3 3 3 4 5" xfId="35326" xr:uid="{00000000-0005-0000-0000-0000BEA40000}"/>
    <cellStyle name="Total 2 3 3 3 5" xfId="16689" xr:uid="{00000000-0005-0000-0000-0000BFA40000}"/>
    <cellStyle name="Total 2 3 3 3 5 2" xfId="36043" xr:uid="{00000000-0005-0000-0000-0000C0A40000}"/>
    <cellStyle name="Total 2 3 3 3 6" xfId="19120" xr:uid="{00000000-0005-0000-0000-0000C1A40000}"/>
    <cellStyle name="Total 2 3 3 3 6 2" xfId="38473" xr:uid="{00000000-0005-0000-0000-0000C2A40000}"/>
    <cellStyle name="Total 2 3 3 3 7" xfId="21606" xr:uid="{00000000-0005-0000-0000-0000C3A40000}"/>
    <cellStyle name="Total 2 3 3 3 7 2" xfId="40948" xr:uid="{00000000-0005-0000-0000-0000C4A40000}"/>
    <cellStyle name="Total 2 3 3 3 8" xfId="33547" xr:uid="{00000000-0005-0000-0000-0000C5A40000}"/>
    <cellStyle name="Total 2 3 3 4" xfId="14480" xr:uid="{00000000-0005-0000-0000-0000C6A40000}"/>
    <cellStyle name="Total 2 3 3 4 2" xfId="16970" xr:uid="{00000000-0005-0000-0000-0000C7A40000}"/>
    <cellStyle name="Total 2 3 3 4 2 2" xfId="36324" xr:uid="{00000000-0005-0000-0000-0000C8A40000}"/>
    <cellStyle name="Total 2 3 3 4 3" xfId="19401" xr:uid="{00000000-0005-0000-0000-0000C9A40000}"/>
    <cellStyle name="Total 2 3 3 4 3 2" xfId="38754" xr:uid="{00000000-0005-0000-0000-0000CAA40000}"/>
    <cellStyle name="Total 2 3 3 4 4" xfId="21900" xr:uid="{00000000-0005-0000-0000-0000CBA40000}"/>
    <cellStyle name="Total 2 3 3 4 4 2" xfId="41242" xr:uid="{00000000-0005-0000-0000-0000CCA40000}"/>
    <cellStyle name="Total 2 3 3 4 5" xfId="33841" xr:uid="{00000000-0005-0000-0000-0000CDA40000}"/>
    <cellStyle name="Total 2 3 3 5" xfId="16192" xr:uid="{00000000-0005-0000-0000-0000CEA40000}"/>
    <cellStyle name="Total 2 3 3 5 2" xfId="35546" xr:uid="{00000000-0005-0000-0000-0000CFA40000}"/>
    <cellStyle name="Total 2 3 3 6" xfId="18623" xr:uid="{00000000-0005-0000-0000-0000D0A40000}"/>
    <cellStyle name="Total 2 3 3 6 2" xfId="37976" xr:uid="{00000000-0005-0000-0000-0000D1A40000}"/>
    <cellStyle name="Total 2 3 3 7" xfId="21097" xr:uid="{00000000-0005-0000-0000-0000D2A40000}"/>
    <cellStyle name="Total 2 3 3 7 2" xfId="40439" xr:uid="{00000000-0005-0000-0000-0000D3A40000}"/>
    <cellStyle name="Total 2 3 3 8" xfId="33038" xr:uid="{00000000-0005-0000-0000-0000D4A40000}"/>
    <cellStyle name="Total 2 3 4" xfId="13793" xr:uid="{00000000-0005-0000-0000-0000D5A40000}"/>
    <cellStyle name="Total 2 3 4 2" xfId="14592" xr:uid="{00000000-0005-0000-0000-0000D6A40000}"/>
    <cellStyle name="Total 2 3 4 2 2" xfId="17076" xr:uid="{00000000-0005-0000-0000-0000D7A40000}"/>
    <cellStyle name="Total 2 3 4 2 2 2" xfId="36430" xr:uid="{00000000-0005-0000-0000-0000D8A40000}"/>
    <cellStyle name="Total 2 3 4 2 3" xfId="19507" xr:uid="{00000000-0005-0000-0000-0000D9A40000}"/>
    <cellStyle name="Total 2 3 4 2 3 2" xfId="38860" xr:uid="{00000000-0005-0000-0000-0000DAA40000}"/>
    <cellStyle name="Total 2 3 4 2 4" xfId="22012" xr:uid="{00000000-0005-0000-0000-0000DBA40000}"/>
    <cellStyle name="Total 2 3 4 2 4 2" xfId="41354" xr:uid="{00000000-0005-0000-0000-0000DCA40000}"/>
    <cellStyle name="Total 2 3 4 2 5" xfId="33953" xr:uid="{00000000-0005-0000-0000-0000DDA40000}"/>
    <cellStyle name="Total 2 3 4 3" xfId="15149" xr:uid="{00000000-0005-0000-0000-0000DEA40000}"/>
    <cellStyle name="Total 2 3 4 3 2" xfId="17625" xr:uid="{00000000-0005-0000-0000-0000DFA40000}"/>
    <cellStyle name="Total 2 3 4 3 2 2" xfId="36979" xr:uid="{00000000-0005-0000-0000-0000E0A40000}"/>
    <cellStyle name="Total 2 3 4 3 3" xfId="20056" xr:uid="{00000000-0005-0000-0000-0000E1A40000}"/>
    <cellStyle name="Total 2 3 4 3 3 2" xfId="39409" xr:uid="{00000000-0005-0000-0000-0000E2A40000}"/>
    <cellStyle name="Total 2 3 4 3 4" xfId="22569" xr:uid="{00000000-0005-0000-0000-0000E3A40000}"/>
    <cellStyle name="Total 2 3 4 3 4 2" xfId="41911" xr:uid="{00000000-0005-0000-0000-0000E4A40000}"/>
    <cellStyle name="Total 2 3 4 3 5" xfId="34510" xr:uid="{00000000-0005-0000-0000-0000E5A40000}"/>
    <cellStyle name="Total 2 3 4 4" xfId="15630" xr:uid="{00000000-0005-0000-0000-0000E6A40000}"/>
    <cellStyle name="Total 2 3 4 4 2" xfId="18106" xr:uid="{00000000-0005-0000-0000-0000E7A40000}"/>
    <cellStyle name="Total 2 3 4 4 2 2" xfId="37460" xr:uid="{00000000-0005-0000-0000-0000E8A40000}"/>
    <cellStyle name="Total 2 3 4 4 3" xfId="20537" xr:uid="{00000000-0005-0000-0000-0000E9A40000}"/>
    <cellStyle name="Total 2 3 4 4 3 2" xfId="39890" xr:uid="{00000000-0005-0000-0000-0000EAA40000}"/>
    <cellStyle name="Total 2 3 4 4 4" xfId="23050" xr:uid="{00000000-0005-0000-0000-0000EBA40000}"/>
    <cellStyle name="Total 2 3 4 4 4 2" xfId="42392" xr:uid="{00000000-0005-0000-0000-0000ECA40000}"/>
    <cellStyle name="Total 2 3 4 4 5" xfId="34991" xr:uid="{00000000-0005-0000-0000-0000EDA40000}"/>
    <cellStyle name="Total 2 3 4 5" xfId="16305" xr:uid="{00000000-0005-0000-0000-0000EEA40000}"/>
    <cellStyle name="Total 2 3 4 5 2" xfId="35659" xr:uid="{00000000-0005-0000-0000-0000EFA40000}"/>
    <cellStyle name="Total 2 3 4 6" xfId="18736" xr:uid="{00000000-0005-0000-0000-0000F0A40000}"/>
    <cellStyle name="Total 2 3 4 6 2" xfId="38089" xr:uid="{00000000-0005-0000-0000-0000F1A40000}"/>
    <cellStyle name="Total 2 3 4 7" xfId="21216" xr:uid="{00000000-0005-0000-0000-0000F2A40000}"/>
    <cellStyle name="Total 2 3 4 7 2" xfId="40558" xr:uid="{00000000-0005-0000-0000-0000F3A40000}"/>
    <cellStyle name="Total 2 3 4 8" xfId="33157" xr:uid="{00000000-0005-0000-0000-0000F4A40000}"/>
    <cellStyle name="Total 2 3 5" xfId="14019" xr:uid="{00000000-0005-0000-0000-0000F5A40000}"/>
    <cellStyle name="Total 2 3 5 2" xfId="14814" xr:uid="{00000000-0005-0000-0000-0000F6A40000}"/>
    <cellStyle name="Total 2 3 5 2 2" xfId="17292" xr:uid="{00000000-0005-0000-0000-0000F7A40000}"/>
    <cellStyle name="Total 2 3 5 2 2 2" xfId="36646" xr:uid="{00000000-0005-0000-0000-0000F8A40000}"/>
    <cellStyle name="Total 2 3 5 2 3" xfId="19723" xr:uid="{00000000-0005-0000-0000-0000F9A40000}"/>
    <cellStyle name="Total 2 3 5 2 3 2" xfId="39076" xr:uid="{00000000-0005-0000-0000-0000FAA40000}"/>
    <cellStyle name="Total 2 3 5 2 4" xfId="22234" xr:uid="{00000000-0005-0000-0000-0000FBA40000}"/>
    <cellStyle name="Total 2 3 5 2 4 2" xfId="41576" xr:uid="{00000000-0005-0000-0000-0000FCA40000}"/>
    <cellStyle name="Total 2 3 5 2 5" xfId="34175" xr:uid="{00000000-0005-0000-0000-0000FDA40000}"/>
    <cellStyle name="Total 2 3 5 3" xfId="15362" xr:uid="{00000000-0005-0000-0000-0000FEA40000}"/>
    <cellStyle name="Total 2 3 5 3 2" xfId="17838" xr:uid="{00000000-0005-0000-0000-0000FFA40000}"/>
    <cellStyle name="Total 2 3 5 3 2 2" xfId="37192" xr:uid="{00000000-0005-0000-0000-000000A50000}"/>
    <cellStyle name="Total 2 3 5 3 3" xfId="20269" xr:uid="{00000000-0005-0000-0000-000001A50000}"/>
    <cellStyle name="Total 2 3 5 3 3 2" xfId="39622" xr:uid="{00000000-0005-0000-0000-000002A50000}"/>
    <cellStyle name="Total 2 3 5 3 4" xfId="22782" xr:uid="{00000000-0005-0000-0000-000003A50000}"/>
    <cellStyle name="Total 2 3 5 3 4 2" xfId="42124" xr:uid="{00000000-0005-0000-0000-000004A50000}"/>
    <cellStyle name="Total 2 3 5 3 5" xfId="34723" xr:uid="{00000000-0005-0000-0000-000005A50000}"/>
    <cellStyle name="Total 2 3 5 4" xfId="15821" xr:uid="{00000000-0005-0000-0000-000006A50000}"/>
    <cellStyle name="Total 2 3 5 4 2" xfId="18297" xr:uid="{00000000-0005-0000-0000-000007A50000}"/>
    <cellStyle name="Total 2 3 5 4 2 2" xfId="37651" xr:uid="{00000000-0005-0000-0000-000008A50000}"/>
    <cellStyle name="Total 2 3 5 4 3" xfId="20728" xr:uid="{00000000-0005-0000-0000-000009A50000}"/>
    <cellStyle name="Total 2 3 5 4 3 2" xfId="40081" xr:uid="{00000000-0005-0000-0000-00000AA50000}"/>
    <cellStyle name="Total 2 3 5 4 4" xfId="23241" xr:uid="{00000000-0005-0000-0000-00000BA50000}"/>
    <cellStyle name="Total 2 3 5 4 4 2" xfId="42583" xr:uid="{00000000-0005-0000-0000-00000CA50000}"/>
    <cellStyle name="Total 2 3 5 4 5" xfId="35182" xr:uid="{00000000-0005-0000-0000-00000DA50000}"/>
    <cellStyle name="Total 2 3 5 5" xfId="16525" xr:uid="{00000000-0005-0000-0000-00000EA50000}"/>
    <cellStyle name="Total 2 3 5 5 2" xfId="35879" xr:uid="{00000000-0005-0000-0000-00000FA50000}"/>
    <cellStyle name="Total 2 3 5 6" xfId="18956" xr:uid="{00000000-0005-0000-0000-000010A50000}"/>
    <cellStyle name="Total 2 3 5 6 2" xfId="38309" xr:uid="{00000000-0005-0000-0000-000011A50000}"/>
    <cellStyle name="Total 2 3 5 7" xfId="21442" xr:uid="{00000000-0005-0000-0000-000012A50000}"/>
    <cellStyle name="Total 2 3 5 7 2" xfId="40784" xr:uid="{00000000-0005-0000-0000-000013A50000}"/>
    <cellStyle name="Total 2 3 5 8" xfId="33383" xr:uid="{00000000-0005-0000-0000-000014A50000}"/>
    <cellStyle name="Total 2 3 6" xfId="14311" xr:uid="{00000000-0005-0000-0000-000015A50000}"/>
    <cellStyle name="Total 2 3 6 2" xfId="16807" xr:uid="{00000000-0005-0000-0000-000016A50000}"/>
    <cellStyle name="Total 2 3 6 2 2" xfId="36161" xr:uid="{00000000-0005-0000-0000-000017A50000}"/>
    <cellStyle name="Total 2 3 6 3" xfId="19238" xr:uid="{00000000-0005-0000-0000-000018A50000}"/>
    <cellStyle name="Total 2 3 6 3 2" xfId="38591" xr:uid="{00000000-0005-0000-0000-000019A50000}"/>
    <cellStyle name="Total 2 3 6 4" xfId="21731" xr:uid="{00000000-0005-0000-0000-00001AA50000}"/>
    <cellStyle name="Total 2 3 6 4 2" xfId="41073" xr:uid="{00000000-0005-0000-0000-00001BA50000}"/>
    <cellStyle name="Total 2 3 6 5" xfId="33672" xr:uid="{00000000-0005-0000-0000-00001CA50000}"/>
    <cellStyle name="Total 2 3 7" xfId="16047" xr:uid="{00000000-0005-0000-0000-00001DA50000}"/>
    <cellStyle name="Total 2 3 7 2" xfId="35401" xr:uid="{00000000-0005-0000-0000-00001EA50000}"/>
    <cellStyle name="Total 2 3 8" xfId="13406" xr:uid="{00000000-0005-0000-0000-00001FA50000}"/>
    <cellStyle name="Total 2 3 8 2" xfId="32792" xr:uid="{00000000-0005-0000-0000-000020A50000}"/>
    <cellStyle name="Total 2 3 9" xfId="20980" xr:uid="{00000000-0005-0000-0000-000021A50000}"/>
    <cellStyle name="Total 2 3 9 2" xfId="40322" xr:uid="{00000000-0005-0000-0000-000022A50000}"/>
    <cellStyle name="Total 2 4" xfId="13523" xr:uid="{00000000-0005-0000-0000-000023A50000}"/>
    <cellStyle name="Total 2 4 2" xfId="13823" xr:uid="{00000000-0005-0000-0000-000024A50000}"/>
    <cellStyle name="Total 2 4 2 2" xfId="14618" xr:uid="{00000000-0005-0000-0000-000025A50000}"/>
    <cellStyle name="Total 2 4 2 2 2" xfId="17102" xr:uid="{00000000-0005-0000-0000-000026A50000}"/>
    <cellStyle name="Total 2 4 2 2 2 2" xfId="36456" xr:uid="{00000000-0005-0000-0000-000027A50000}"/>
    <cellStyle name="Total 2 4 2 2 3" xfId="19533" xr:uid="{00000000-0005-0000-0000-000028A50000}"/>
    <cellStyle name="Total 2 4 2 2 3 2" xfId="38886" xr:uid="{00000000-0005-0000-0000-000029A50000}"/>
    <cellStyle name="Total 2 4 2 2 4" xfId="22038" xr:uid="{00000000-0005-0000-0000-00002AA50000}"/>
    <cellStyle name="Total 2 4 2 2 4 2" xfId="41380" xr:uid="{00000000-0005-0000-0000-00002BA50000}"/>
    <cellStyle name="Total 2 4 2 2 5" xfId="33979" xr:uid="{00000000-0005-0000-0000-00002CA50000}"/>
    <cellStyle name="Total 2 4 2 3" xfId="15175" xr:uid="{00000000-0005-0000-0000-00002DA50000}"/>
    <cellStyle name="Total 2 4 2 3 2" xfId="17651" xr:uid="{00000000-0005-0000-0000-00002EA50000}"/>
    <cellStyle name="Total 2 4 2 3 2 2" xfId="37005" xr:uid="{00000000-0005-0000-0000-00002FA50000}"/>
    <cellStyle name="Total 2 4 2 3 3" xfId="20082" xr:uid="{00000000-0005-0000-0000-000030A50000}"/>
    <cellStyle name="Total 2 4 2 3 3 2" xfId="39435" xr:uid="{00000000-0005-0000-0000-000031A50000}"/>
    <cellStyle name="Total 2 4 2 3 4" xfId="22595" xr:uid="{00000000-0005-0000-0000-000032A50000}"/>
    <cellStyle name="Total 2 4 2 3 4 2" xfId="41937" xr:uid="{00000000-0005-0000-0000-000033A50000}"/>
    <cellStyle name="Total 2 4 2 3 5" xfId="34536" xr:uid="{00000000-0005-0000-0000-000034A50000}"/>
    <cellStyle name="Total 2 4 2 4" xfId="15655" xr:uid="{00000000-0005-0000-0000-000035A50000}"/>
    <cellStyle name="Total 2 4 2 4 2" xfId="18131" xr:uid="{00000000-0005-0000-0000-000036A50000}"/>
    <cellStyle name="Total 2 4 2 4 2 2" xfId="37485" xr:uid="{00000000-0005-0000-0000-000037A50000}"/>
    <cellStyle name="Total 2 4 2 4 3" xfId="20562" xr:uid="{00000000-0005-0000-0000-000038A50000}"/>
    <cellStyle name="Total 2 4 2 4 3 2" xfId="39915" xr:uid="{00000000-0005-0000-0000-000039A50000}"/>
    <cellStyle name="Total 2 4 2 4 4" xfId="23075" xr:uid="{00000000-0005-0000-0000-00003AA50000}"/>
    <cellStyle name="Total 2 4 2 4 4 2" xfId="42417" xr:uid="{00000000-0005-0000-0000-00003BA50000}"/>
    <cellStyle name="Total 2 4 2 4 5" xfId="35016" xr:uid="{00000000-0005-0000-0000-00003CA50000}"/>
    <cellStyle name="Total 2 4 2 5" xfId="16335" xr:uid="{00000000-0005-0000-0000-00003DA50000}"/>
    <cellStyle name="Total 2 4 2 5 2" xfId="35689" xr:uid="{00000000-0005-0000-0000-00003EA50000}"/>
    <cellStyle name="Total 2 4 2 6" xfId="18766" xr:uid="{00000000-0005-0000-0000-00003FA50000}"/>
    <cellStyle name="Total 2 4 2 6 2" xfId="38119" xr:uid="{00000000-0005-0000-0000-000040A50000}"/>
    <cellStyle name="Total 2 4 2 7" xfId="21246" xr:uid="{00000000-0005-0000-0000-000041A50000}"/>
    <cellStyle name="Total 2 4 2 7 2" xfId="40588" xr:uid="{00000000-0005-0000-0000-000042A50000}"/>
    <cellStyle name="Total 2 4 2 8" xfId="33187" xr:uid="{00000000-0005-0000-0000-000043A50000}"/>
    <cellStyle name="Total 2 4 3" xfId="14044" xr:uid="{00000000-0005-0000-0000-000044A50000}"/>
    <cellStyle name="Total 2 4 3 2" xfId="14839" xr:uid="{00000000-0005-0000-0000-000045A50000}"/>
    <cellStyle name="Total 2 4 3 2 2" xfId="17317" xr:uid="{00000000-0005-0000-0000-000046A50000}"/>
    <cellStyle name="Total 2 4 3 2 2 2" xfId="36671" xr:uid="{00000000-0005-0000-0000-000047A50000}"/>
    <cellStyle name="Total 2 4 3 2 3" xfId="19748" xr:uid="{00000000-0005-0000-0000-000048A50000}"/>
    <cellStyle name="Total 2 4 3 2 3 2" xfId="39101" xr:uid="{00000000-0005-0000-0000-000049A50000}"/>
    <cellStyle name="Total 2 4 3 2 4" xfId="22259" xr:uid="{00000000-0005-0000-0000-00004AA50000}"/>
    <cellStyle name="Total 2 4 3 2 4 2" xfId="41601" xr:uid="{00000000-0005-0000-0000-00004BA50000}"/>
    <cellStyle name="Total 2 4 3 2 5" xfId="34200" xr:uid="{00000000-0005-0000-0000-00004CA50000}"/>
    <cellStyle name="Total 2 4 3 3" xfId="15387" xr:uid="{00000000-0005-0000-0000-00004DA50000}"/>
    <cellStyle name="Total 2 4 3 3 2" xfId="17863" xr:uid="{00000000-0005-0000-0000-00004EA50000}"/>
    <cellStyle name="Total 2 4 3 3 2 2" xfId="37217" xr:uid="{00000000-0005-0000-0000-00004FA50000}"/>
    <cellStyle name="Total 2 4 3 3 3" xfId="20294" xr:uid="{00000000-0005-0000-0000-000050A50000}"/>
    <cellStyle name="Total 2 4 3 3 3 2" xfId="39647" xr:uid="{00000000-0005-0000-0000-000051A50000}"/>
    <cellStyle name="Total 2 4 3 3 4" xfId="22807" xr:uid="{00000000-0005-0000-0000-000052A50000}"/>
    <cellStyle name="Total 2 4 3 3 4 2" xfId="42149" xr:uid="{00000000-0005-0000-0000-000053A50000}"/>
    <cellStyle name="Total 2 4 3 3 5" xfId="34748" xr:uid="{00000000-0005-0000-0000-000054A50000}"/>
    <cellStyle name="Total 2 4 3 4" xfId="15846" xr:uid="{00000000-0005-0000-0000-000055A50000}"/>
    <cellStyle name="Total 2 4 3 4 2" xfId="18322" xr:uid="{00000000-0005-0000-0000-000056A50000}"/>
    <cellStyle name="Total 2 4 3 4 2 2" xfId="37676" xr:uid="{00000000-0005-0000-0000-000057A50000}"/>
    <cellStyle name="Total 2 4 3 4 3" xfId="20753" xr:uid="{00000000-0005-0000-0000-000058A50000}"/>
    <cellStyle name="Total 2 4 3 4 3 2" xfId="40106" xr:uid="{00000000-0005-0000-0000-000059A50000}"/>
    <cellStyle name="Total 2 4 3 4 4" xfId="23266" xr:uid="{00000000-0005-0000-0000-00005AA50000}"/>
    <cellStyle name="Total 2 4 3 4 4 2" xfId="42608" xr:uid="{00000000-0005-0000-0000-00005BA50000}"/>
    <cellStyle name="Total 2 4 3 4 5" xfId="35207" xr:uid="{00000000-0005-0000-0000-00005CA50000}"/>
    <cellStyle name="Total 2 4 3 5" xfId="16550" xr:uid="{00000000-0005-0000-0000-00005DA50000}"/>
    <cellStyle name="Total 2 4 3 5 2" xfId="35904" xr:uid="{00000000-0005-0000-0000-00005EA50000}"/>
    <cellStyle name="Total 2 4 3 6" xfId="18981" xr:uid="{00000000-0005-0000-0000-00005FA50000}"/>
    <cellStyle name="Total 2 4 3 6 2" xfId="38334" xr:uid="{00000000-0005-0000-0000-000060A50000}"/>
    <cellStyle name="Total 2 4 3 7" xfId="21467" xr:uid="{00000000-0005-0000-0000-000061A50000}"/>
    <cellStyle name="Total 2 4 3 7 2" xfId="40809" xr:uid="{00000000-0005-0000-0000-000062A50000}"/>
    <cellStyle name="Total 2 4 3 8" xfId="33408" xr:uid="{00000000-0005-0000-0000-000063A50000}"/>
    <cellStyle name="Total 2 4 4" xfId="14339" xr:uid="{00000000-0005-0000-0000-000064A50000}"/>
    <cellStyle name="Total 2 4 4 2" xfId="16835" xr:uid="{00000000-0005-0000-0000-000065A50000}"/>
    <cellStyle name="Total 2 4 4 2 2" xfId="36189" xr:uid="{00000000-0005-0000-0000-000066A50000}"/>
    <cellStyle name="Total 2 4 4 3" xfId="19266" xr:uid="{00000000-0005-0000-0000-000067A50000}"/>
    <cellStyle name="Total 2 4 4 3 2" xfId="38619" xr:uid="{00000000-0005-0000-0000-000068A50000}"/>
    <cellStyle name="Total 2 4 4 4" xfId="21759" xr:uid="{00000000-0005-0000-0000-000069A50000}"/>
    <cellStyle name="Total 2 4 4 4 2" xfId="41101" xr:uid="{00000000-0005-0000-0000-00006AA50000}"/>
    <cellStyle name="Total 2 4 4 5" xfId="33700" xr:uid="{00000000-0005-0000-0000-00006BA50000}"/>
    <cellStyle name="Total 2 4 5" xfId="18484" xr:uid="{00000000-0005-0000-0000-00006CA50000}"/>
    <cellStyle name="Total 2 4 5 2" xfId="37837" xr:uid="{00000000-0005-0000-0000-00006DA50000}"/>
    <cellStyle name="Total 2 4 6" xfId="32898" xr:uid="{00000000-0005-0000-0000-00006EA50000}"/>
    <cellStyle name="Total 2 5" xfId="13743" xr:uid="{00000000-0005-0000-0000-00006FA50000}"/>
    <cellStyle name="Total 2 5 2" xfId="14546" xr:uid="{00000000-0005-0000-0000-000070A50000}"/>
    <cellStyle name="Total 2 5 2 2" xfId="17033" xr:uid="{00000000-0005-0000-0000-000071A50000}"/>
    <cellStyle name="Total 2 5 2 2 2" xfId="36387" xr:uid="{00000000-0005-0000-0000-000072A50000}"/>
    <cellStyle name="Total 2 5 2 3" xfId="19464" xr:uid="{00000000-0005-0000-0000-000073A50000}"/>
    <cellStyle name="Total 2 5 2 3 2" xfId="38817" xr:uid="{00000000-0005-0000-0000-000074A50000}"/>
    <cellStyle name="Total 2 5 2 4" xfId="21966" xr:uid="{00000000-0005-0000-0000-000075A50000}"/>
    <cellStyle name="Total 2 5 2 4 2" xfId="41308" xr:uid="{00000000-0005-0000-0000-000076A50000}"/>
    <cellStyle name="Total 2 5 2 5" xfId="33907" xr:uid="{00000000-0005-0000-0000-000077A50000}"/>
    <cellStyle name="Total 2 5 3" xfId="15107" xr:uid="{00000000-0005-0000-0000-000078A50000}"/>
    <cellStyle name="Total 2 5 3 2" xfId="17583" xr:uid="{00000000-0005-0000-0000-000079A50000}"/>
    <cellStyle name="Total 2 5 3 2 2" xfId="36937" xr:uid="{00000000-0005-0000-0000-00007AA50000}"/>
    <cellStyle name="Total 2 5 3 3" xfId="20014" xr:uid="{00000000-0005-0000-0000-00007BA50000}"/>
    <cellStyle name="Total 2 5 3 3 2" xfId="39367" xr:uid="{00000000-0005-0000-0000-00007CA50000}"/>
    <cellStyle name="Total 2 5 3 4" xfId="22527" xr:uid="{00000000-0005-0000-0000-00007DA50000}"/>
    <cellStyle name="Total 2 5 3 4 2" xfId="41869" xr:uid="{00000000-0005-0000-0000-00007EA50000}"/>
    <cellStyle name="Total 2 5 3 5" xfId="34468" xr:uid="{00000000-0005-0000-0000-00007FA50000}"/>
    <cellStyle name="Total 2 5 4" xfId="15590" xr:uid="{00000000-0005-0000-0000-000080A50000}"/>
    <cellStyle name="Total 2 5 4 2" xfId="18066" xr:uid="{00000000-0005-0000-0000-000081A50000}"/>
    <cellStyle name="Total 2 5 4 2 2" xfId="37420" xr:uid="{00000000-0005-0000-0000-000082A50000}"/>
    <cellStyle name="Total 2 5 4 3" xfId="20497" xr:uid="{00000000-0005-0000-0000-000083A50000}"/>
    <cellStyle name="Total 2 5 4 3 2" xfId="39850" xr:uid="{00000000-0005-0000-0000-000084A50000}"/>
    <cellStyle name="Total 2 5 4 4" xfId="23010" xr:uid="{00000000-0005-0000-0000-000085A50000}"/>
    <cellStyle name="Total 2 5 4 4 2" xfId="42352" xr:uid="{00000000-0005-0000-0000-000086A50000}"/>
    <cellStyle name="Total 2 5 4 5" xfId="34951" xr:uid="{00000000-0005-0000-0000-000087A50000}"/>
    <cellStyle name="Total 2 5 5" xfId="16259" xr:uid="{00000000-0005-0000-0000-000088A50000}"/>
    <cellStyle name="Total 2 5 5 2" xfId="35613" xr:uid="{00000000-0005-0000-0000-000089A50000}"/>
    <cellStyle name="Total 2 5 6" xfId="18690" xr:uid="{00000000-0005-0000-0000-00008AA50000}"/>
    <cellStyle name="Total 2 5 6 2" xfId="38043" xr:uid="{00000000-0005-0000-0000-00008BA50000}"/>
    <cellStyle name="Total 2 5 7" xfId="21167" xr:uid="{00000000-0005-0000-0000-00008CA50000}"/>
    <cellStyle name="Total 2 5 7 2" xfId="40509" xr:uid="{00000000-0005-0000-0000-00008DA50000}"/>
    <cellStyle name="Total 2 5 8" xfId="33108" xr:uid="{00000000-0005-0000-0000-00008EA50000}"/>
    <cellStyle name="Total 2 6" xfId="14244" xr:uid="{00000000-0005-0000-0000-00008FA50000}"/>
    <cellStyle name="Total 2 6 2" xfId="16747" xr:uid="{00000000-0005-0000-0000-000090A50000}"/>
    <cellStyle name="Total 2 6 2 2" xfId="36101" xr:uid="{00000000-0005-0000-0000-000091A50000}"/>
    <cellStyle name="Total 2 6 3" xfId="19178" xr:uid="{00000000-0005-0000-0000-000092A50000}"/>
    <cellStyle name="Total 2 6 3 2" xfId="38531" xr:uid="{00000000-0005-0000-0000-000093A50000}"/>
    <cellStyle name="Total 2 6 4" xfId="21665" xr:uid="{00000000-0005-0000-0000-000094A50000}"/>
    <cellStyle name="Total 2 6 4 2" xfId="41007" xr:uid="{00000000-0005-0000-0000-000095A50000}"/>
    <cellStyle name="Total 2 6 5" xfId="33606" xr:uid="{00000000-0005-0000-0000-000096A50000}"/>
    <cellStyle name="Total 2 7" xfId="13328" xr:uid="{00000000-0005-0000-0000-000097A50000}"/>
    <cellStyle name="Total 2 7 2" xfId="32748" xr:uid="{00000000-0005-0000-0000-000098A50000}"/>
    <cellStyle name="Total 2 8" xfId="13241" xr:uid="{00000000-0005-0000-0000-000099A50000}"/>
    <cellStyle name="Total 2 8 2" xfId="32694" xr:uid="{00000000-0005-0000-0000-00009AA50000}"/>
    <cellStyle name="Total 2 9" xfId="20902" xr:uid="{00000000-0005-0000-0000-00009BA50000}"/>
    <cellStyle name="Total 2 9 2" xfId="40247" xr:uid="{00000000-0005-0000-0000-00009CA50000}"/>
    <cellStyle name="Total 3" xfId="2149" xr:uid="{00000000-0005-0000-0000-00009DA50000}"/>
    <cellStyle name="Total 3 2" xfId="4895" xr:uid="{00000000-0005-0000-0000-00009EA50000}"/>
    <cellStyle name="Total 3 2 2" xfId="6649" xr:uid="{00000000-0005-0000-0000-00009FA50000}"/>
    <cellStyle name="Total 3 2 2 2" xfId="26134" xr:uid="{00000000-0005-0000-0000-0000A0A50000}"/>
    <cellStyle name="Total 3 2 3" xfId="14520" xr:uid="{00000000-0005-0000-0000-0000A1A50000}"/>
    <cellStyle name="Total 3 2 3 2" xfId="33881" xr:uid="{00000000-0005-0000-0000-0000A2A50000}"/>
    <cellStyle name="Total 3 2 4" xfId="17010" xr:uid="{00000000-0005-0000-0000-0000A3A50000}"/>
    <cellStyle name="Total 3 2 4 2" xfId="36364" xr:uid="{00000000-0005-0000-0000-0000A4A50000}"/>
    <cellStyle name="Total 3 2 5" xfId="19441" xr:uid="{00000000-0005-0000-0000-0000A5A50000}"/>
    <cellStyle name="Total 3 2 5 2" xfId="38794" xr:uid="{00000000-0005-0000-0000-0000A6A50000}"/>
    <cellStyle name="Total 3 2 6" xfId="21940" xr:uid="{00000000-0005-0000-0000-0000A7A50000}"/>
    <cellStyle name="Total 3 2 6 2" xfId="41282" xr:uid="{00000000-0005-0000-0000-0000A8A50000}"/>
    <cellStyle name="Total 3 2 7" xfId="24390" xr:uid="{00000000-0005-0000-0000-0000A9A50000}"/>
    <cellStyle name="Total 3 3" xfId="5668" xr:uid="{00000000-0005-0000-0000-0000AAA50000}"/>
    <cellStyle name="Total 3 3 2" xfId="15084" xr:uid="{00000000-0005-0000-0000-0000ABA50000}"/>
    <cellStyle name="Total 3 3 2 2" xfId="34445" xr:uid="{00000000-0005-0000-0000-0000ACA50000}"/>
    <cellStyle name="Total 3 3 3" xfId="17560" xr:uid="{00000000-0005-0000-0000-0000ADA50000}"/>
    <cellStyle name="Total 3 3 3 2" xfId="36914" xr:uid="{00000000-0005-0000-0000-0000AEA50000}"/>
    <cellStyle name="Total 3 3 4" xfId="19991" xr:uid="{00000000-0005-0000-0000-0000AFA50000}"/>
    <cellStyle name="Total 3 3 4 2" xfId="39344" xr:uid="{00000000-0005-0000-0000-0000B0A50000}"/>
    <cellStyle name="Total 3 3 5" xfId="22504" xr:uid="{00000000-0005-0000-0000-0000B1A50000}"/>
    <cellStyle name="Total 3 3 5 2" xfId="41846" xr:uid="{00000000-0005-0000-0000-0000B2A50000}"/>
    <cellStyle name="Total 3 3 6" xfId="25155" xr:uid="{00000000-0005-0000-0000-0000B3A50000}"/>
    <cellStyle name="Total 3 4" xfId="15567" xr:uid="{00000000-0005-0000-0000-0000B4A50000}"/>
    <cellStyle name="Total 3 4 2" xfId="18043" xr:uid="{00000000-0005-0000-0000-0000B5A50000}"/>
    <cellStyle name="Total 3 4 2 2" xfId="37397" xr:uid="{00000000-0005-0000-0000-0000B6A50000}"/>
    <cellStyle name="Total 3 4 3" xfId="20474" xr:uid="{00000000-0005-0000-0000-0000B7A50000}"/>
    <cellStyle name="Total 3 4 3 2" xfId="39827" xr:uid="{00000000-0005-0000-0000-0000B8A50000}"/>
    <cellStyle name="Total 3 4 4" xfId="22987" xr:uid="{00000000-0005-0000-0000-0000B9A50000}"/>
    <cellStyle name="Total 3 4 4 2" xfId="42329" xr:uid="{00000000-0005-0000-0000-0000BAA50000}"/>
    <cellStyle name="Total 3 4 5" xfId="34928" xr:uid="{00000000-0005-0000-0000-0000BBA50000}"/>
    <cellStyle name="Total 3 5" xfId="13717" xr:uid="{00000000-0005-0000-0000-0000BCA50000}"/>
    <cellStyle name="Total 3 5 2" xfId="33082" xr:uid="{00000000-0005-0000-0000-0000BDA50000}"/>
    <cellStyle name="Total 3 6" xfId="16236" xr:uid="{00000000-0005-0000-0000-0000BEA50000}"/>
    <cellStyle name="Total 3 6 2" xfId="35590" xr:uid="{00000000-0005-0000-0000-0000BFA50000}"/>
    <cellStyle name="Total 3 7" xfId="18667" xr:uid="{00000000-0005-0000-0000-0000C0A50000}"/>
    <cellStyle name="Total 3 7 2" xfId="38020" xr:uid="{00000000-0005-0000-0000-0000C1A50000}"/>
    <cellStyle name="Total 3 8" xfId="21141" xr:uid="{00000000-0005-0000-0000-0000C2A50000}"/>
    <cellStyle name="Total 3 8 2" xfId="40483" xr:uid="{00000000-0005-0000-0000-0000C3A50000}"/>
    <cellStyle name="Total 4" xfId="4103" xr:uid="{00000000-0005-0000-0000-0000C4A50000}"/>
    <cellStyle name="Total 4 2" xfId="14526" xr:uid="{00000000-0005-0000-0000-0000C5A50000}"/>
    <cellStyle name="Total 4 2 2" xfId="17016" xr:uid="{00000000-0005-0000-0000-0000C6A50000}"/>
    <cellStyle name="Total 4 2 2 2" xfId="36370" xr:uid="{00000000-0005-0000-0000-0000C7A50000}"/>
    <cellStyle name="Total 4 2 3" xfId="19447" xr:uid="{00000000-0005-0000-0000-0000C8A50000}"/>
    <cellStyle name="Total 4 2 3 2" xfId="38800" xr:uid="{00000000-0005-0000-0000-0000C9A50000}"/>
    <cellStyle name="Total 4 2 4" xfId="21946" xr:uid="{00000000-0005-0000-0000-0000CAA50000}"/>
    <cellStyle name="Total 4 2 4 2" xfId="41288" xr:uid="{00000000-0005-0000-0000-0000CBA50000}"/>
    <cellStyle name="Total 4 2 5" xfId="33887" xr:uid="{00000000-0005-0000-0000-0000CCA50000}"/>
    <cellStyle name="Total 4 3" xfId="15090" xr:uid="{00000000-0005-0000-0000-0000CDA50000}"/>
    <cellStyle name="Total 4 3 2" xfId="17566" xr:uid="{00000000-0005-0000-0000-0000CEA50000}"/>
    <cellStyle name="Total 4 3 2 2" xfId="36920" xr:uid="{00000000-0005-0000-0000-0000CFA50000}"/>
    <cellStyle name="Total 4 3 3" xfId="19997" xr:uid="{00000000-0005-0000-0000-0000D0A50000}"/>
    <cellStyle name="Total 4 3 3 2" xfId="39350" xr:uid="{00000000-0005-0000-0000-0000D1A50000}"/>
    <cellStyle name="Total 4 3 4" xfId="22510" xr:uid="{00000000-0005-0000-0000-0000D2A50000}"/>
    <cellStyle name="Total 4 3 4 2" xfId="41852" xr:uid="{00000000-0005-0000-0000-0000D3A50000}"/>
    <cellStyle name="Total 4 3 5" xfId="34451" xr:uid="{00000000-0005-0000-0000-0000D4A50000}"/>
    <cellStyle name="Total 4 4" xfId="15573" xr:uid="{00000000-0005-0000-0000-0000D5A50000}"/>
    <cellStyle name="Total 4 4 2" xfId="18049" xr:uid="{00000000-0005-0000-0000-0000D6A50000}"/>
    <cellStyle name="Total 4 4 2 2" xfId="37403" xr:uid="{00000000-0005-0000-0000-0000D7A50000}"/>
    <cellStyle name="Total 4 4 3" xfId="20480" xr:uid="{00000000-0005-0000-0000-0000D8A50000}"/>
    <cellStyle name="Total 4 4 3 2" xfId="39833" xr:uid="{00000000-0005-0000-0000-0000D9A50000}"/>
    <cellStyle name="Total 4 4 4" xfId="22993" xr:uid="{00000000-0005-0000-0000-0000DAA50000}"/>
    <cellStyle name="Total 4 4 4 2" xfId="42335" xr:uid="{00000000-0005-0000-0000-0000DBA50000}"/>
    <cellStyle name="Total 4 4 5" xfId="34934" xr:uid="{00000000-0005-0000-0000-0000DCA50000}"/>
    <cellStyle name="Total 4 5" xfId="13723" xr:uid="{00000000-0005-0000-0000-0000DDA50000}"/>
    <cellStyle name="Total 4 5 2" xfId="33088" xr:uid="{00000000-0005-0000-0000-0000DEA50000}"/>
    <cellStyle name="Total 4 6" xfId="16242" xr:uid="{00000000-0005-0000-0000-0000DFA50000}"/>
    <cellStyle name="Total 4 6 2" xfId="35596" xr:uid="{00000000-0005-0000-0000-0000E0A50000}"/>
    <cellStyle name="Total 4 7" xfId="18673" xr:uid="{00000000-0005-0000-0000-0000E1A50000}"/>
    <cellStyle name="Total 4 7 2" xfId="38026" xr:uid="{00000000-0005-0000-0000-0000E2A50000}"/>
    <cellStyle name="Total 4 8" xfId="21147" xr:uid="{00000000-0005-0000-0000-0000E3A50000}"/>
    <cellStyle name="Total 4 8 2" xfId="40489" xr:uid="{00000000-0005-0000-0000-0000E4A50000}"/>
    <cellStyle name="Total 5" xfId="14223" xr:uid="{00000000-0005-0000-0000-0000E5A50000}"/>
    <cellStyle name="Total 5 2" xfId="16726" xr:uid="{00000000-0005-0000-0000-0000E6A50000}"/>
    <cellStyle name="Total 5 2 2" xfId="36080" xr:uid="{00000000-0005-0000-0000-0000E7A50000}"/>
    <cellStyle name="Total 5 3" xfId="19157" xr:uid="{00000000-0005-0000-0000-0000E8A50000}"/>
    <cellStyle name="Total 5 3 2" xfId="38510" xr:uid="{00000000-0005-0000-0000-0000E9A50000}"/>
    <cellStyle name="Total 5 4" xfId="21644" xr:uid="{00000000-0005-0000-0000-0000EAA50000}"/>
    <cellStyle name="Total 5 4 2" xfId="40986" xr:uid="{00000000-0005-0000-0000-0000EBA50000}"/>
    <cellStyle name="Total 5 5" xfId="33585" xr:uid="{00000000-0005-0000-0000-0000ECA50000}"/>
    <cellStyle name="Total 6" xfId="13258" xr:uid="{00000000-0005-0000-0000-0000EDA50000}"/>
    <cellStyle name="Total 6 2" xfId="32707" xr:uid="{00000000-0005-0000-0000-0000EEA50000}"/>
    <cellStyle name="Total 7" xfId="13203" xr:uid="{00000000-0005-0000-0000-0000EFA50000}"/>
    <cellStyle name="Total 7 2" xfId="32671" xr:uid="{00000000-0005-0000-0000-0000F0A50000}"/>
    <cellStyle name="Total Currency" xfId="4083" xr:uid="{00000000-0005-0000-0000-0000F1A50000}"/>
    <cellStyle name="Total Normal" xfId="4084" xr:uid="{00000000-0005-0000-0000-0000F2A50000}"/>
    <cellStyle name="TotalCurrency" xfId="4085" xr:uid="{00000000-0005-0000-0000-0000F3A50000}"/>
    <cellStyle name="TR 8" xfId="1865" xr:uid="{00000000-0005-0000-0000-0000F4A50000}"/>
    <cellStyle name="TR 8 2" xfId="2586" xr:uid="{00000000-0005-0000-0000-0000F5A50000}"/>
    <cellStyle name="TR 8 3" xfId="2773" xr:uid="{00000000-0005-0000-0000-0000F6A50000}"/>
    <cellStyle name="TR 8B" xfId="1866" xr:uid="{00000000-0005-0000-0000-0000F7A50000}"/>
    <cellStyle name="TR 8B 2" xfId="2587" xr:uid="{00000000-0005-0000-0000-0000F8A50000}"/>
    <cellStyle name="TR 8B 3" xfId="2774" xr:uid="{00000000-0005-0000-0000-0000F9A50000}"/>
    <cellStyle name="Twodig" xfId="1867" xr:uid="{00000000-0005-0000-0000-0000FAA50000}"/>
    <cellStyle name="u" xfId="4086" xr:uid="{00000000-0005-0000-0000-0000FBA50000}"/>
    <cellStyle name="underline" xfId="1868" xr:uid="{00000000-0005-0000-0000-0000FCA50000}"/>
    <cellStyle name="Underline 2" xfId="4104" xr:uid="{00000000-0005-0000-0000-0000FDA50000}"/>
    <cellStyle name="Underline(0)" xfId="1869" xr:uid="{00000000-0005-0000-0000-0000FEA50000}"/>
    <cellStyle name="Underline_Company0187 working" xfId="1870" xr:uid="{00000000-0005-0000-0000-0000FFA50000}"/>
    <cellStyle name="undernum" xfId="4087" xr:uid="{00000000-0005-0000-0000-000000A60000}"/>
    <cellStyle name="unm" xfId="4517" xr:uid="{00000000-0005-0000-0000-000001A60000}"/>
    <cellStyle name="Upload Only" xfId="1871" xr:uid="{00000000-0005-0000-0000-000002A60000}"/>
    <cellStyle name="w" xfId="1872" xr:uid="{00000000-0005-0000-0000-000003A60000}"/>
    <cellStyle name="w 2" xfId="1873" xr:uid="{00000000-0005-0000-0000-000004A60000}"/>
    <cellStyle name="w 3" xfId="2775" xr:uid="{00000000-0005-0000-0000-000005A60000}"/>
    <cellStyle name="w_Company0320 DCF" xfId="1874" xr:uid="{00000000-0005-0000-0000-000006A60000}"/>
    <cellStyle name="w_Company0320 for Client" xfId="1875" xr:uid="{00000000-0005-0000-0000-000007A60000}"/>
    <cellStyle name="w_Company0320 working" xfId="1876" xr:uid="{00000000-0005-0000-0000-000008A60000}"/>
    <cellStyle name="w_Breakup publ" xfId="1877" xr:uid="{00000000-0005-0000-0000-000009A60000}"/>
    <cellStyle name="w_Check" xfId="1878" xr:uid="{00000000-0005-0000-0000-00000AA60000}"/>
    <cellStyle name="w_CROCI" xfId="1879" xr:uid="{00000000-0005-0000-0000-00000BA60000}"/>
    <cellStyle name="w_Product0146" xfId="1880" xr:uid="{00000000-0005-0000-0000-00000CA60000}"/>
    <cellStyle name="w_I-S" xfId="1881" xr:uid="{00000000-0005-0000-0000-00000DA60000}"/>
    <cellStyle name="w_Ticker0018 DCF" xfId="1882" xr:uid="{00000000-0005-0000-0000-00000EA60000}"/>
    <cellStyle name="w_Ticker0018 DCF published 8.13.2009" xfId="1883" xr:uid="{00000000-0005-0000-0000-00000FA60000}"/>
    <cellStyle name="w_LC Rx trend vs est" xfId="1884" xr:uid="{00000000-0005-0000-0000-000010A60000}"/>
    <cellStyle name="w_Company1562 working" xfId="1885" xr:uid="{00000000-0005-0000-0000-000011A60000}"/>
    <cellStyle name="w_MRK working" xfId="1886" xr:uid="{00000000-0005-0000-0000-000012A60000}"/>
    <cellStyle name="w_Product0305 (2)" xfId="1887" xr:uid="{00000000-0005-0000-0000-000013A60000}"/>
    <cellStyle name="w_ROIC New" xfId="1888" xr:uid="{00000000-0005-0000-0000-000014A60000}"/>
    <cellStyle name="w_ROIC_New" xfId="1889" xr:uid="{00000000-0005-0000-0000-000015A60000}"/>
    <cellStyle name="Warning Text" xfId="1890" builtinId="11" customBuiltin="1"/>
    <cellStyle name="Warning Text 2" xfId="1891" xr:uid="{00000000-0005-0000-0000-000017A60000}"/>
    <cellStyle name="Warning Text 2 2" xfId="4122" xr:uid="{00000000-0005-0000-0000-000018A60000}"/>
    <cellStyle name="Warning Text 3" xfId="2091" xr:uid="{00000000-0005-0000-0000-000019A60000}"/>
    <cellStyle name="Warning Text 3 2" xfId="4166" xr:uid="{00000000-0005-0000-0000-00001AA60000}"/>
    <cellStyle name="Warning Text 4" xfId="2150" xr:uid="{00000000-0005-0000-0000-00001BA60000}"/>
    <cellStyle name="Warning Text 4 2" xfId="4213" xr:uid="{00000000-0005-0000-0000-00001CA60000}"/>
    <cellStyle name="Warning Text 5" xfId="2776" xr:uid="{00000000-0005-0000-0000-00001DA60000}"/>
    <cellStyle name="WholeNumber" xfId="1892" xr:uid="{00000000-0005-0000-0000-00001EA60000}"/>
    <cellStyle name="x" xfId="1893" xr:uid="{00000000-0005-0000-0000-00001FA60000}"/>
    <cellStyle name="x [1]" xfId="4088" xr:uid="{00000000-0005-0000-0000-000020A60000}"/>
    <cellStyle name="x_Company0187 Model" xfId="1894" xr:uid="{00000000-0005-0000-0000-000021A60000}"/>
    <cellStyle name="Year" xfId="1895" xr:uid="{00000000-0005-0000-0000-000022A60000}"/>
    <cellStyle name="Year 2" xfId="4883" xr:uid="{00000000-0005-0000-0000-000023A60000}"/>
    <cellStyle name="Year 2 2" xfId="13615" xr:uid="{00000000-0005-0000-0000-000024A60000}"/>
    <cellStyle name="Year 2 2 2" xfId="13916" xr:uid="{00000000-0005-0000-0000-000025A60000}"/>
    <cellStyle name="Year 2 2 2 2" xfId="14711" xr:uid="{00000000-0005-0000-0000-000026A60000}"/>
    <cellStyle name="Year 2 2 2 2 2" xfId="17189" xr:uid="{00000000-0005-0000-0000-000027A60000}"/>
    <cellStyle name="Year 2 2 2 2 2 2" xfId="36543" xr:uid="{00000000-0005-0000-0000-000028A60000}"/>
    <cellStyle name="Year 2 2 2 2 3" xfId="19620" xr:uid="{00000000-0005-0000-0000-000029A60000}"/>
    <cellStyle name="Year 2 2 2 2 3 2" xfId="38973" xr:uid="{00000000-0005-0000-0000-00002AA60000}"/>
    <cellStyle name="Year 2 2 2 2 4" xfId="22131" xr:uid="{00000000-0005-0000-0000-00002BA60000}"/>
    <cellStyle name="Year 2 2 2 2 4 2" xfId="41473" xr:uid="{00000000-0005-0000-0000-00002CA60000}"/>
    <cellStyle name="Year 2 2 2 2 5" xfId="34072" xr:uid="{00000000-0005-0000-0000-00002DA60000}"/>
    <cellStyle name="Year 2 2 2 3" xfId="15259" xr:uid="{00000000-0005-0000-0000-00002EA60000}"/>
    <cellStyle name="Year 2 2 2 3 2" xfId="17735" xr:uid="{00000000-0005-0000-0000-00002FA60000}"/>
    <cellStyle name="Year 2 2 2 3 2 2" xfId="37089" xr:uid="{00000000-0005-0000-0000-000030A60000}"/>
    <cellStyle name="Year 2 2 2 3 3" xfId="20166" xr:uid="{00000000-0005-0000-0000-000031A60000}"/>
    <cellStyle name="Year 2 2 2 3 3 2" xfId="39519" xr:uid="{00000000-0005-0000-0000-000032A60000}"/>
    <cellStyle name="Year 2 2 2 3 4" xfId="22679" xr:uid="{00000000-0005-0000-0000-000033A60000}"/>
    <cellStyle name="Year 2 2 2 3 4 2" xfId="42021" xr:uid="{00000000-0005-0000-0000-000034A60000}"/>
    <cellStyle name="Year 2 2 2 3 5" xfId="34620" xr:uid="{00000000-0005-0000-0000-000035A60000}"/>
    <cellStyle name="Year 2 2 2 4" xfId="15718" xr:uid="{00000000-0005-0000-0000-000036A60000}"/>
    <cellStyle name="Year 2 2 2 4 2" xfId="18194" xr:uid="{00000000-0005-0000-0000-000037A60000}"/>
    <cellStyle name="Year 2 2 2 4 2 2" xfId="37548" xr:uid="{00000000-0005-0000-0000-000038A60000}"/>
    <cellStyle name="Year 2 2 2 4 3" xfId="20625" xr:uid="{00000000-0005-0000-0000-000039A60000}"/>
    <cellStyle name="Year 2 2 2 4 3 2" xfId="39978" xr:uid="{00000000-0005-0000-0000-00003AA60000}"/>
    <cellStyle name="Year 2 2 2 4 4" xfId="23138" xr:uid="{00000000-0005-0000-0000-00003BA60000}"/>
    <cellStyle name="Year 2 2 2 4 4 2" xfId="42480" xr:uid="{00000000-0005-0000-0000-00003CA60000}"/>
    <cellStyle name="Year 2 2 2 4 5" xfId="35079" xr:uid="{00000000-0005-0000-0000-00003DA60000}"/>
    <cellStyle name="Year 2 2 2 5" xfId="16422" xr:uid="{00000000-0005-0000-0000-00003EA60000}"/>
    <cellStyle name="Year 2 2 2 5 2" xfId="35776" xr:uid="{00000000-0005-0000-0000-00003FA60000}"/>
    <cellStyle name="Year 2 2 2 6" xfId="18853" xr:uid="{00000000-0005-0000-0000-000040A60000}"/>
    <cellStyle name="Year 2 2 2 6 2" xfId="38206" xr:uid="{00000000-0005-0000-0000-000041A60000}"/>
    <cellStyle name="Year 2 2 2 7" xfId="21339" xr:uid="{00000000-0005-0000-0000-000042A60000}"/>
    <cellStyle name="Year 2 2 2 7 2" xfId="40681" xr:uid="{00000000-0005-0000-0000-000043A60000}"/>
    <cellStyle name="Year 2 2 2 8" xfId="33280" xr:uid="{00000000-0005-0000-0000-000044A60000}"/>
    <cellStyle name="Year 2 2 3" xfId="14131" xr:uid="{00000000-0005-0000-0000-000045A60000}"/>
    <cellStyle name="Year 2 2 3 2" xfId="16637" xr:uid="{00000000-0005-0000-0000-000046A60000}"/>
    <cellStyle name="Year 2 2 3 2 2" xfId="35991" xr:uid="{00000000-0005-0000-0000-000047A60000}"/>
    <cellStyle name="Year 2 2 3 3" xfId="19068" xr:uid="{00000000-0005-0000-0000-000048A60000}"/>
    <cellStyle name="Year 2 2 3 3 2" xfId="38421" xr:uid="{00000000-0005-0000-0000-000049A60000}"/>
    <cellStyle name="Year 2 2 3 4" xfId="21554" xr:uid="{00000000-0005-0000-0000-00004AA60000}"/>
    <cellStyle name="Year 2 2 3 4 2" xfId="40896" xr:uid="{00000000-0005-0000-0000-00004BA60000}"/>
    <cellStyle name="Year 2 2 3 5" xfId="33495" xr:uid="{00000000-0005-0000-0000-00004CA60000}"/>
    <cellStyle name="Year 2 2 4" xfId="14426" xr:uid="{00000000-0005-0000-0000-00004DA60000}"/>
    <cellStyle name="Year 2 2 4 2" xfId="16916" xr:uid="{00000000-0005-0000-0000-00004EA60000}"/>
    <cellStyle name="Year 2 2 4 2 2" xfId="36270" xr:uid="{00000000-0005-0000-0000-00004FA60000}"/>
    <cellStyle name="Year 2 2 4 3" xfId="19347" xr:uid="{00000000-0005-0000-0000-000050A60000}"/>
    <cellStyle name="Year 2 2 4 3 2" xfId="38700" xr:uid="{00000000-0005-0000-0000-000051A60000}"/>
    <cellStyle name="Year 2 2 4 4" xfId="21846" xr:uid="{00000000-0005-0000-0000-000052A60000}"/>
    <cellStyle name="Year 2 2 4 4 2" xfId="41188" xr:uid="{00000000-0005-0000-0000-000053A60000}"/>
    <cellStyle name="Year 2 2 4 5" xfId="33787" xr:uid="{00000000-0005-0000-0000-000054A60000}"/>
    <cellStyle name="Year 2 2 5" xfId="15048" xr:uid="{00000000-0005-0000-0000-000055A60000}"/>
    <cellStyle name="Year 2 2 5 2" xfId="17524" xr:uid="{00000000-0005-0000-0000-000056A60000}"/>
    <cellStyle name="Year 2 2 5 2 2" xfId="36878" xr:uid="{00000000-0005-0000-0000-000057A60000}"/>
    <cellStyle name="Year 2 2 5 3" xfId="19955" xr:uid="{00000000-0005-0000-0000-000058A60000}"/>
    <cellStyle name="Year 2 2 5 3 2" xfId="39308" xr:uid="{00000000-0005-0000-0000-000059A60000}"/>
    <cellStyle name="Year 2 2 5 4" xfId="22468" xr:uid="{00000000-0005-0000-0000-00005AA60000}"/>
    <cellStyle name="Year 2 2 5 4 2" xfId="41810" xr:uid="{00000000-0005-0000-0000-00005BA60000}"/>
    <cellStyle name="Year 2 2 5 5" xfId="34409" xr:uid="{00000000-0005-0000-0000-00005CA60000}"/>
    <cellStyle name="Year 2 2 6" xfId="16135" xr:uid="{00000000-0005-0000-0000-00005DA60000}"/>
    <cellStyle name="Year 2 2 6 2" xfId="35489" xr:uid="{00000000-0005-0000-0000-00005EA60000}"/>
    <cellStyle name="Year 2 2 7" xfId="18566" xr:uid="{00000000-0005-0000-0000-00005FA60000}"/>
    <cellStyle name="Year 2 2 7 2" xfId="37919" xr:uid="{00000000-0005-0000-0000-000060A60000}"/>
    <cellStyle name="Year 2 2 8" xfId="32981" xr:uid="{00000000-0005-0000-0000-000061A60000}"/>
    <cellStyle name="Year 2 3" xfId="13682" xr:uid="{00000000-0005-0000-0000-000062A60000}"/>
    <cellStyle name="Year 2 3 2" xfId="16202" xr:uid="{00000000-0005-0000-0000-000063A60000}"/>
    <cellStyle name="Year 2 3 2 2" xfId="35556" xr:uid="{00000000-0005-0000-0000-000064A60000}"/>
    <cellStyle name="Year 2 3 3" xfId="18633" xr:uid="{00000000-0005-0000-0000-000065A60000}"/>
    <cellStyle name="Year 2 3 3 2" xfId="37986" xr:uid="{00000000-0005-0000-0000-000066A60000}"/>
    <cellStyle name="Year 2 3 4" xfId="21107" xr:uid="{00000000-0005-0000-0000-000067A60000}"/>
    <cellStyle name="Year 2 3 4 2" xfId="40449" xr:uid="{00000000-0005-0000-0000-000068A60000}"/>
    <cellStyle name="Year 2 3 5" xfId="33048" xr:uid="{00000000-0005-0000-0000-000069A60000}"/>
    <cellStyle name="Year 2 4" xfId="13492" xr:uid="{00000000-0005-0000-0000-00006AA60000}"/>
    <cellStyle name="Year 2 4 2" xfId="32869" xr:uid="{00000000-0005-0000-0000-00006BA60000}"/>
    <cellStyle name="Year 2 5" xfId="16058" xr:uid="{00000000-0005-0000-0000-00006CA60000}"/>
    <cellStyle name="Year 2 5 2" xfId="35412" xr:uid="{00000000-0005-0000-0000-00006DA60000}"/>
    <cellStyle name="Year 2 6" xfId="18455" xr:uid="{00000000-0005-0000-0000-00006EA60000}"/>
    <cellStyle name="Year 2 6 2" xfId="37808" xr:uid="{00000000-0005-0000-0000-00006FA60000}"/>
    <cellStyle name="Year 2 7" xfId="20991" xr:uid="{00000000-0005-0000-0000-000070A60000}"/>
    <cellStyle name="Year 2 7 2" xfId="40333" xr:uid="{00000000-0005-0000-0000-000071A60000}"/>
    <cellStyle name="Year 2 8" xfId="24379" xr:uid="{00000000-0005-0000-0000-000072A60000}"/>
    <cellStyle name="Year 3" xfId="13495" xr:uid="{00000000-0005-0000-0000-000073A60000}"/>
    <cellStyle name="Year 3 2" xfId="13617" xr:uid="{00000000-0005-0000-0000-000074A60000}"/>
    <cellStyle name="Year 3 2 2" xfId="13918" xr:uid="{00000000-0005-0000-0000-000075A60000}"/>
    <cellStyle name="Year 3 2 2 2" xfId="14713" xr:uid="{00000000-0005-0000-0000-000076A60000}"/>
    <cellStyle name="Year 3 2 2 2 2" xfId="17191" xr:uid="{00000000-0005-0000-0000-000077A60000}"/>
    <cellStyle name="Year 3 2 2 2 2 2" xfId="36545" xr:uid="{00000000-0005-0000-0000-000078A60000}"/>
    <cellStyle name="Year 3 2 2 2 3" xfId="19622" xr:uid="{00000000-0005-0000-0000-000079A60000}"/>
    <cellStyle name="Year 3 2 2 2 3 2" xfId="38975" xr:uid="{00000000-0005-0000-0000-00007AA60000}"/>
    <cellStyle name="Year 3 2 2 2 4" xfId="22133" xr:uid="{00000000-0005-0000-0000-00007BA60000}"/>
    <cellStyle name="Year 3 2 2 2 4 2" xfId="41475" xr:uid="{00000000-0005-0000-0000-00007CA60000}"/>
    <cellStyle name="Year 3 2 2 2 5" xfId="34074" xr:uid="{00000000-0005-0000-0000-00007DA60000}"/>
    <cellStyle name="Year 3 2 2 3" xfId="15261" xr:uid="{00000000-0005-0000-0000-00007EA60000}"/>
    <cellStyle name="Year 3 2 2 3 2" xfId="17737" xr:uid="{00000000-0005-0000-0000-00007FA60000}"/>
    <cellStyle name="Year 3 2 2 3 2 2" xfId="37091" xr:uid="{00000000-0005-0000-0000-000080A60000}"/>
    <cellStyle name="Year 3 2 2 3 3" xfId="20168" xr:uid="{00000000-0005-0000-0000-000081A60000}"/>
    <cellStyle name="Year 3 2 2 3 3 2" xfId="39521" xr:uid="{00000000-0005-0000-0000-000082A60000}"/>
    <cellStyle name="Year 3 2 2 3 4" xfId="22681" xr:uid="{00000000-0005-0000-0000-000083A60000}"/>
    <cellStyle name="Year 3 2 2 3 4 2" xfId="42023" xr:uid="{00000000-0005-0000-0000-000084A60000}"/>
    <cellStyle name="Year 3 2 2 3 5" xfId="34622" xr:uid="{00000000-0005-0000-0000-000085A60000}"/>
    <cellStyle name="Year 3 2 2 4" xfId="15720" xr:uid="{00000000-0005-0000-0000-000086A60000}"/>
    <cellStyle name="Year 3 2 2 4 2" xfId="18196" xr:uid="{00000000-0005-0000-0000-000087A60000}"/>
    <cellStyle name="Year 3 2 2 4 2 2" xfId="37550" xr:uid="{00000000-0005-0000-0000-000088A60000}"/>
    <cellStyle name="Year 3 2 2 4 3" xfId="20627" xr:uid="{00000000-0005-0000-0000-000089A60000}"/>
    <cellStyle name="Year 3 2 2 4 3 2" xfId="39980" xr:uid="{00000000-0005-0000-0000-00008AA60000}"/>
    <cellStyle name="Year 3 2 2 4 4" xfId="23140" xr:uid="{00000000-0005-0000-0000-00008BA60000}"/>
    <cellStyle name="Year 3 2 2 4 4 2" xfId="42482" xr:uid="{00000000-0005-0000-0000-00008CA60000}"/>
    <cellStyle name="Year 3 2 2 4 5" xfId="35081" xr:uid="{00000000-0005-0000-0000-00008DA60000}"/>
    <cellStyle name="Year 3 2 2 5" xfId="16424" xr:uid="{00000000-0005-0000-0000-00008EA60000}"/>
    <cellStyle name="Year 3 2 2 5 2" xfId="35778" xr:uid="{00000000-0005-0000-0000-00008FA60000}"/>
    <cellStyle name="Year 3 2 2 6" xfId="18855" xr:uid="{00000000-0005-0000-0000-000090A60000}"/>
    <cellStyle name="Year 3 2 2 6 2" xfId="38208" xr:uid="{00000000-0005-0000-0000-000091A60000}"/>
    <cellStyle name="Year 3 2 2 7" xfId="21341" xr:uid="{00000000-0005-0000-0000-000092A60000}"/>
    <cellStyle name="Year 3 2 2 7 2" xfId="40683" xr:uid="{00000000-0005-0000-0000-000093A60000}"/>
    <cellStyle name="Year 3 2 2 8" xfId="33282" xr:uid="{00000000-0005-0000-0000-000094A60000}"/>
    <cellStyle name="Year 3 2 3" xfId="14133" xr:uid="{00000000-0005-0000-0000-000095A60000}"/>
    <cellStyle name="Year 3 2 3 2" xfId="16639" xr:uid="{00000000-0005-0000-0000-000096A60000}"/>
    <cellStyle name="Year 3 2 3 2 2" xfId="35993" xr:uid="{00000000-0005-0000-0000-000097A60000}"/>
    <cellStyle name="Year 3 2 3 3" xfId="19070" xr:uid="{00000000-0005-0000-0000-000098A60000}"/>
    <cellStyle name="Year 3 2 3 3 2" xfId="38423" xr:uid="{00000000-0005-0000-0000-000099A60000}"/>
    <cellStyle name="Year 3 2 3 4" xfId="21556" xr:uid="{00000000-0005-0000-0000-00009AA60000}"/>
    <cellStyle name="Year 3 2 3 4 2" xfId="40898" xr:uid="{00000000-0005-0000-0000-00009BA60000}"/>
    <cellStyle name="Year 3 2 3 5" xfId="33497" xr:uid="{00000000-0005-0000-0000-00009CA60000}"/>
    <cellStyle name="Year 3 2 4" xfId="14428" xr:uid="{00000000-0005-0000-0000-00009DA60000}"/>
    <cellStyle name="Year 3 2 4 2" xfId="16918" xr:uid="{00000000-0005-0000-0000-00009EA60000}"/>
    <cellStyle name="Year 3 2 4 2 2" xfId="36272" xr:uid="{00000000-0005-0000-0000-00009FA60000}"/>
    <cellStyle name="Year 3 2 4 3" xfId="19349" xr:uid="{00000000-0005-0000-0000-0000A0A60000}"/>
    <cellStyle name="Year 3 2 4 3 2" xfId="38702" xr:uid="{00000000-0005-0000-0000-0000A1A60000}"/>
    <cellStyle name="Year 3 2 4 4" xfId="21848" xr:uid="{00000000-0005-0000-0000-0000A2A60000}"/>
    <cellStyle name="Year 3 2 4 4 2" xfId="41190" xr:uid="{00000000-0005-0000-0000-0000A3A60000}"/>
    <cellStyle name="Year 3 2 4 5" xfId="33789" xr:uid="{00000000-0005-0000-0000-0000A4A60000}"/>
    <cellStyle name="Year 3 2 5" xfId="15050" xr:uid="{00000000-0005-0000-0000-0000A5A60000}"/>
    <cellStyle name="Year 3 2 5 2" xfId="17526" xr:uid="{00000000-0005-0000-0000-0000A6A60000}"/>
    <cellStyle name="Year 3 2 5 2 2" xfId="36880" xr:uid="{00000000-0005-0000-0000-0000A7A60000}"/>
    <cellStyle name="Year 3 2 5 3" xfId="19957" xr:uid="{00000000-0005-0000-0000-0000A8A60000}"/>
    <cellStyle name="Year 3 2 5 3 2" xfId="39310" xr:uid="{00000000-0005-0000-0000-0000A9A60000}"/>
    <cellStyle name="Year 3 2 5 4" xfId="22470" xr:uid="{00000000-0005-0000-0000-0000AAA60000}"/>
    <cellStyle name="Year 3 2 5 4 2" xfId="41812" xr:uid="{00000000-0005-0000-0000-0000ABA60000}"/>
    <cellStyle name="Year 3 2 5 5" xfId="34411" xr:uid="{00000000-0005-0000-0000-0000ACA60000}"/>
    <cellStyle name="Year 3 2 6" xfId="16137" xr:uid="{00000000-0005-0000-0000-0000ADA60000}"/>
    <cellStyle name="Year 3 2 6 2" xfId="35491" xr:uid="{00000000-0005-0000-0000-0000AEA60000}"/>
    <cellStyle name="Year 3 2 7" xfId="18568" xr:uid="{00000000-0005-0000-0000-0000AFA60000}"/>
    <cellStyle name="Year 3 2 7 2" xfId="37921" xr:uid="{00000000-0005-0000-0000-0000B0A60000}"/>
    <cellStyle name="Year 3 2 8" xfId="32983" xr:uid="{00000000-0005-0000-0000-0000B1A60000}"/>
    <cellStyle name="Year 3 3" xfId="13684" xr:uid="{00000000-0005-0000-0000-0000B2A60000}"/>
    <cellStyle name="Year 3 3 2" xfId="16204" xr:uid="{00000000-0005-0000-0000-0000B3A60000}"/>
    <cellStyle name="Year 3 3 2 2" xfId="35558" xr:uid="{00000000-0005-0000-0000-0000B4A60000}"/>
    <cellStyle name="Year 3 3 3" xfId="18635" xr:uid="{00000000-0005-0000-0000-0000B5A60000}"/>
    <cellStyle name="Year 3 3 3 2" xfId="37988" xr:uid="{00000000-0005-0000-0000-0000B6A60000}"/>
    <cellStyle name="Year 3 3 4" xfId="21109" xr:uid="{00000000-0005-0000-0000-0000B7A60000}"/>
    <cellStyle name="Year 3 3 4 2" xfId="40451" xr:uid="{00000000-0005-0000-0000-0000B8A60000}"/>
    <cellStyle name="Year 3 3 5" xfId="33050" xr:uid="{00000000-0005-0000-0000-0000B9A60000}"/>
    <cellStyle name="Year 3 4" xfId="16060" xr:uid="{00000000-0005-0000-0000-0000BAA60000}"/>
    <cellStyle name="Year 3 4 2" xfId="35414" xr:uid="{00000000-0005-0000-0000-0000BBA60000}"/>
    <cellStyle name="Year 3 5" xfId="18457" xr:uid="{00000000-0005-0000-0000-0000BCA60000}"/>
    <cellStyle name="Year 3 5 2" xfId="37810" xr:uid="{00000000-0005-0000-0000-0000BDA60000}"/>
    <cellStyle name="Year 3 6" xfId="20993" xr:uid="{00000000-0005-0000-0000-0000BEA60000}"/>
    <cellStyle name="Year 3 6 2" xfId="40335" xr:uid="{00000000-0005-0000-0000-0000BFA60000}"/>
    <cellStyle name="Year 3 7" xfId="32871" xr:uid="{00000000-0005-0000-0000-0000C0A60000}"/>
    <cellStyle name="Year 4" xfId="13544" xr:uid="{00000000-0005-0000-0000-0000C1A60000}"/>
    <cellStyle name="Year 4 2" xfId="13843" xr:uid="{00000000-0005-0000-0000-0000C2A60000}"/>
    <cellStyle name="Year 4 2 2" xfId="14638" xr:uid="{00000000-0005-0000-0000-0000C3A60000}"/>
    <cellStyle name="Year 4 2 2 2" xfId="17119" xr:uid="{00000000-0005-0000-0000-0000C4A60000}"/>
    <cellStyle name="Year 4 2 2 2 2" xfId="36473" xr:uid="{00000000-0005-0000-0000-0000C5A60000}"/>
    <cellStyle name="Year 4 2 2 3" xfId="19550" xr:uid="{00000000-0005-0000-0000-0000C6A60000}"/>
    <cellStyle name="Year 4 2 2 3 2" xfId="38903" xr:uid="{00000000-0005-0000-0000-0000C7A60000}"/>
    <cellStyle name="Year 4 2 2 4" xfId="22058" xr:uid="{00000000-0005-0000-0000-0000C8A60000}"/>
    <cellStyle name="Year 4 2 2 4 2" xfId="41400" xr:uid="{00000000-0005-0000-0000-0000C9A60000}"/>
    <cellStyle name="Year 4 2 2 5" xfId="33999" xr:uid="{00000000-0005-0000-0000-0000CAA60000}"/>
    <cellStyle name="Year 4 2 3" xfId="15191" xr:uid="{00000000-0005-0000-0000-0000CBA60000}"/>
    <cellStyle name="Year 4 2 3 2" xfId="17667" xr:uid="{00000000-0005-0000-0000-0000CCA60000}"/>
    <cellStyle name="Year 4 2 3 2 2" xfId="37021" xr:uid="{00000000-0005-0000-0000-0000CDA60000}"/>
    <cellStyle name="Year 4 2 3 3" xfId="20098" xr:uid="{00000000-0005-0000-0000-0000CEA60000}"/>
    <cellStyle name="Year 4 2 3 3 2" xfId="39451" xr:uid="{00000000-0005-0000-0000-0000CFA60000}"/>
    <cellStyle name="Year 4 2 3 4" xfId="22611" xr:uid="{00000000-0005-0000-0000-0000D0A60000}"/>
    <cellStyle name="Year 4 2 3 4 2" xfId="41953" xr:uid="{00000000-0005-0000-0000-0000D1A60000}"/>
    <cellStyle name="Year 4 2 3 5" xfId="34552" xr:uid="{00000000-0005-0000-0000-0000D2A60000}"/>
    <cellStyle name="Year 4 2 4" xfId="15664" xr:uid="{00000000-0005-0000-0000-0000D3A60000}"/>
    <cellStyle name="Year 4 2 4 2" xfId="18140" xr:uid="{00000000-0005-0000-0000-0000D4A60000}"/>
    <cellStyle name="Year 4 2 4 2 2" xfId="37494" xr:uid="{00000000-0005-0000-0000-0000D5A60000}"/>
    <cellStyle name="Year 4 2 4 3" xfId="20571" xr:uid="{00000000-0005-0000-0000-0000D6A60000}"/>
    <cellStyle name="Year 4 2 4 3 2" xfId="39924" xr:uid="{00000000-0005-0000-0000-0000D7A60000}"/>
    <cellStyle name="Year 4 2 4 4" xfId="23084" xr:uid="{00000000-0005-0000-0000-0000D8A60000}"/>
    <cellStyle name="Year 4 2 4 4 2" xfId="42426" xr:uid="{00000000-0005-0000-0000-0000D9A60000}"/>
    <cellStyle name="Year 4 2 4 5" xfId="35025" xr:uid="{00000000-0005-0000-0000-0000DAA60000}"/>
    <cellStyle name="Year 4 2 5" xfId="16352" xr:uid="{00000000-0005-0000-0000-0000DBA60000}"/>
    <cellStyle name="Year 4 2 5 2" xfId="35706" xr:uid="{00000000-0005-0000-0000-0000DCA60000}"/>
    <cellStyle name="Year 4 2 6" xfId="18783" xr:uid="{00000000-0005-0000-0000-0000DDA60000}"/>
    <cellStyle name="Year 4 2 6 2" xfId="38136" xr:uid="{00000000-0005-0000-0000-0000DEA60000}"/>
    <cellStyle name="Year 4 2 7" xfId="21266" xr:uid="{00000000-0005-0000-0000-0000DFA60000}"/>
    <cellStyle name="Year 4 2 7 2" xfId="40608" xr:uid="{00000000-0005-0000-0000-0000E0A60000}"/>
    <cellStyle name="Year 4 2 8" xfId="33207" xr:uid="{00000000-0005-0000-0000-0000E1A60000}"/>
    <cellStyle name="Year 4 3" xfId="14061" xr:uid="{00000000-0005-0000-0000-0000E2A60000}"/>
    <cellStyle name="Year 4 3 2" xfId="16567" xr:uid="{00000000-0005-0000-0000-0000E3A60000}"/>
    <cellStyle name="Year 4 3 2 2" xfId="35921" xr:uid="{00000000-0005-0000-0000-0000E4A60000}"/>
    <cellStyle name="Year 4 3 3" xfId="18998" xr:uid="{00000000-0005-0000-0000-0000E5A60000}"/>
    <cellStyle name="Year 4 3 3 2" xfId="38351" xr:uid="{00000000-0005-0000-0000-0000E6A60000}"/>
    <cellStyle name="Year 4 3 4" xfId="21484" xr:uid="{00000000-0005-0000-0000-0000E7A60000}"/>
    <cellStyle name="Year 4 3 4 2" xfId="40826" xr:uid="{00000000-0005-0000-0000-0000E8A60000}"/>
    <cellStyle name="Year 4 3 5" xfId="33425" xr:uid="{00000000-0005-0000-0000-0000E9A60000}"/>
    <cellStyle name="Year 4 4" xfId="14359" xr:uid="{00000000-0005-0000-0000-0000EAA60000}"/>
    <cellStyle name="Year 4 4 2" xfId="16852" xr:uid="{00000000-0005-0000-0000-0000EBA60000}"/>
    <cellStyle name="Year 4 4 2 2" xfId="36206" xr:uid="{00000000-0005-0000-0000-0000ECA60000}"/>
    <cellStyle name="Year 4 4 3" xfId="19283" xr:uid="{00000000-0005-0000-0000-0000EDA60000}"/>
    <cellStyle name="Year 4 4 3 2" xfId="38636" xr:uid="{00000000-0005-0000-0000-0000EEA60000}"/>
    <cellStyle name="Year 4 4 4" xfId="21779" xr:uid="{00000000-0005-0000-0000-0000EFA60000}"/>
    <cellStyle name="Year 4 4 4 2" xfId="41121" xr:uid="{00000000-0005-0000-0000-0000F0A60000}"/>
    <cellStyle name="Year 4 4 5" xfId="33720" xr:uid="{00000000-0005-0000-0000-0000F1A60000}"/>
    <cellStyle name="Year 4 5" xfId="14988" xr:uid="{00000000-0005-0000-0000-0000F2A60000}"/>
    <cellStyle name="Year 4 5 2" xfId="17464" xr:uid="{00000000-0005-0000-0000-0000F3A60000}"/>
    <cellStyle name="Year 4 5 2 2" xfId="36818" xr:uid="{00000000-0005-0000-0000-0000F4A60000}"/>
    <cellStyle name="Year 4 5 3" xfId="19895" xr:uid="{00000000-0005-0000-0000-0000F5A60000}"/>
    <cellStyle name="Year 4 5 3 2" xfId="39248" xr:uid="{00000000-0005-0000-0000-0000F6A60000}"/>
    <cellStyle name="Year 4 5 4" xfId="22408" xr:uid="{00000000-0005-0000-0000-0000F7A60000}"/>
    <cellStyle name="Year 4 5 4 2" xfId="41750" xr:uid="{00000000-0005-0000-0000-0000F8A60000}"/>
    <cellStyle name="Year 4 5 5" xfId="34349" xr:uid="{00000000-0005-0000-0000-0000F9A60000}"/>
    <cellStyle name="Year 4 6" xfId="16091" xr:uid="{00000000-0005-0000-0000-0000FAA60000}"/>
    <cellStyle name="Year 4 6 2" xfId="35445" xr:uid="{00000000-0005-0000-0000-0000FBA60000}"/>
    <cellStyle name="Year 4 7" xfId="18502" xr:uid="{00000000-0005-0000-0000-0000FCA60000}"/>
    <cellStyle name="Year 4 7 2" xfId="37855" xr:uid="{00000000-0005-0000-0000-0000FDA60000}"/>
    <cellStyle name="Year 4 8" xfId="32918" xr:uid="{00000000-0005-0000-0000-0000FEA60000}"/>
    <cellStyle name="Year 5" xfId="13412" xr:uid="{00000000-0005-0000-0000-0000FFA60000}"/>
    <cellStyle name="Year 5 2" xfId="32796" xr:uid="{00000000-0005-0000-0000-000000A70000}"/>
    <cellStyle name="Year 6" xfId="15986" xr:uid="{00000000-0005-0000-0000-000001A70000}"/>
    <cellStyle name="Year 6 2" xfId="35341" xr:uid="{00000000-0005-0000-0000-000002A70000}"/>
    <cellStyle name="Year 7" xfId="23447" xr:uid="{00000000-0005-0000-0000-000003A70000}"/>
    <cellStyle name="YearA" xfId="1896" xr:uid="{00000000-0005-0000-0000-000004A70000}"/>
    <cellStyle name="YearE" xfId="1897" xr:uid="{00000000-0005-0000-0000-000005A70000}"/>
    <cellStyle name="Years" xfId="4518" xr:uid="{00000000-0005-0000-0000-000006A70000}"/>
    <cellStyle name="yellow" xfId="4089" xr:uid="{00000000-0005-0000-0000-000007A70000}"/>
    <cellStyle name="yen" xfId="1898" xr:uid="{00000000-0005-0000-0000-000008A70000}"/>
    <cellStyle name="yen 2" xfId="4562" xr:uid="{00000000-0005-0000-0000-000009A70000}"/>
    <cellStyle name="標準_GQ Industrial Contribution Sheet_format" xfId="4090" xr:uid="{00000000-0005-0000-0000-00000AA70000}"/>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20C178C2-EBBE-4E5D-9C03-C809A0BC3EF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A5A5A5"/>
      <color rgb="FF00355F"/>
      <color rgb="FFC0C0C0"/>
      <color rgb="FFDDDDDD"/>
      <color rgb="FF7399C6"/>
      <color rgb="FF008000"/>
      <color rgb="FFDFE4EE"/>
      <color rgb="FF8FE2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9525</xdr:colOff>
      <xdr:row>7</xdr:row>
      <xdr:rowOff>0</xdr:rowOff>
    </xdr:from>
    <xdr:to>
      <xdr:col>1</xdr:col>
      <xdr:colOff>1883688</xdr:colOff>
      <xdr:row>19</xdr:row>
      <xdr:rowOff>0</xdr:rowOff>
    </xdr:to>
    <xdr:pic>
      <xdr:nvPicPr>
        <xdr:cNvPr id="3" name="Picture 1" descr="Logo_solid_1_5in">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19125" y="1333500"/>
          <a:ext cx="1874163" cy="19812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8</xdr:row>
      <xdr:rowOff>28575</xdr:rowOff>
    </xdr:from>
    <xdr:to>
      <xdr:col>1</xdr:col>
      <xdr:colOff>537062</xdr:colOff>
      <xdr:row>10</xdr:row>
      <xdr:rowOff>155336</xdr:rowOff>
    </xdr:to>
    <xdr:pic>
      <xdr:nvPicPr>
        <xdr:cNvPr id="2" name="Picture 5">
          <a:extLst>
            <a:ext uri="{FF2B5EF4-FFF2-40B4-BE49-F238E27FC236}">
              <a16:creationId xmlns:a16="http://schemas.microsoft.com/office/drawing/2014/main" id="{00000000-0008-0000-0200-000002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866775" y="352425"/>
          <a:ext cx="518012" cy="517286"/>
        </a:xfrm>
        <a:prstGeom prst="rect">
          <a:avLst/>
        </a:prstGeom>
        <a:solidFill>
          <a:srgbClr val="FFFFFF"/>
        </a:solidFill>
        <a:ln w="9525">
          <a:solidFill>
            <a:srgbClr val="000000"/>
          </a:solid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11</xdr:row>
      <xdr:rowOff>0</xdr:rowOff>
    </xdr:from>
    <xdr:to>
      <xdr:col>1</xdr:col>
      <xdr:colOff>537062</xdr:colOff>
      <xdr:row>13</xdr:row>
      <xdr:rowOff>126761</xdr:rowOff>
    </xdr:to>
    <xdr:pic>
      <xdr:nvPicPr>
        <xdr:cNvPr id="2" name="Picture 5">
          <a:extLst>
            <a:ext uri="{FF2B5EF4-FFF2-40B4-BE49-F238E27FC236}">
              <a16:creationId xmlns:a16="http://schemas.microsoft.com/office/drawing/2014/main" id="{00000000-0008-0000-0900-000002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266700" y="323850"/>
          <a:ext cx="518012" cy="517286"/>
        </a:xfrm>
        <a:prstGeom prst="rect">
          <a:avLst/>
        </a:prstGeom>
        <a:solidFill>
          <a:srgbClr val="FFFFFF"/>
        </a:solidFill>
        <a:ln w="9525">
          <a:solidFill>
            <a:srgbClr val="000000"/>
          </a:solid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9525</xdr:rowOff>
    </xdr:from>
    <xdr:to>
      <xdr:col>1</xdr:col>
      <xdr:colOff>518012</xdr:colOff>
      <xdr:row>4</xdr:row>
      <xdr:rowOff>138018</xdr:rowOff>
    </xdr:to>
    <xdr:pic>
      <xdr:nvPicPr>
        <xdr:cNvPr id="2" name="Picture 5">
          <a:extLst>
            <a:ext uri="{FF2B5EF4-FFF2-40B4-BE49-F238E27FC236}">
              <a16:creationId xmlns:a16="http://schemas.microsoft.com/office/drawing/2014/main" id="{00000000-0008-0000-0A00-000002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247650" y="333375"/>
          <a:ext cx="518012" cy="519018"/>
        </a:xfrm>
        <a:prstGeom prst="rect">
          <a:avLst/>
        </a:prstGeom>
        <a:solidFill>
          <a:srgbClr val="FFFFFF"/>
        </a:solidFill>
        <a:ln w="9525">
          <a:solidFill>
            <a:srgbClr val="000000"/>
          </a:solid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19050</xdr:rowOff>
    </xdr:from>
    <xdr:to>
      <xdr:col>3</xdr:col>
      <xdr:colOff>24443</xdr:colOff>
      <xdr:row>4</xdr:row>
      <xdr:rowOff>146677</xdr:rowOff>
    </xdr:to>
    <xdr:pic>
      <xdr:nvPicPr>
        <xdr:cNvPr id="2" name="Picture 5">
          <a:extLst>
            <a:ext uri="{FF2B5EF4-FFF2-40B4-BE49-F238E27FC236}">
              <a16:creationId xmlns:a16="http://schemas.microsoft.com/office/drawing/2014/main" id="{00000000-0008-0000-0B00-000002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228600" y="342900"/>
          <a:ext cx="519743" cy="518152"/>
        </a:xfrm>
        <a:prstGeom prst="rect">
          <a:avLst/>
        </a:prstGeom>
        <a:solidFill>
          <a:srgbClr val="FFFFFF"/>
        </a:solidFill>
        <a:ln w="9525">
          <a:solidFill>
            <a:srgbClr val="000000"/>
          </a:solid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0</xdr:row>
      <xdr:rowOff>171450</xdr:rowOff>
    </xdr:from>
    <xdr:to>
      <xdr:col>1</xdr:col>
      <xdr:colOff>556112</xdr:colOff>
      <xdr:row>2</xdr:row>
      <xdr:rowOff>179294</xdr:rowOff>
    </xdr:to>
    <xdr:pic>
      <xdr:nvPicPr>
        <xdr:cNvPr id="2" name="Picture 5">
          <a:extLst>
            <a:ext uri="{FF2B5EF4-FFF2-40B4-BE49-F238E27FC236}">
              <a16:creationId xmlns:a16="http://schemas.microsoft.com/office/drawing/2014/main" id="{BA00DC7E-BC91-4368-9A86-41EFBFDF3698}"/>
            </a:ext>
          </a:extLst>
        </xdr:cNvPr>
        <xdr:cNvPicPr>
          <a:picLocks noChangeArrowheads="1"/>
        </xdr:cNvPicPr>
      </xdr:nvPicPr>
      <xdr:blipFill>
        <a:blip xmlns:r="http://schemas.openxmlformats.org/officeDocument/2006/relationships" r:embed="rId1" cstate="print"/>
        <a:srcRect/>
        <a:stretch>
          <a:fillRect/>
        </a:stretch>
      </xdr:blipFill>
      <xdr:spPr bwMode="auto">
        <a:xfrm>
          <a:off x="289560" y="171450"/>
          <a:ext cx="518012" cy="510764"/>
        </a:xfrm>
        <a:prstGeom prst="rect">
          <a:avLst/>
        </a:prstGeom>
        <a:solidFill>
          <a:srgbClr val="FFFFFF"/>
        </a:solidFill>
        <a:ln w="9525">
          <a:solidFill>
            <a:srgbClr val="000000"/>
          </a:solid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38100</xdr:colOff>
      <xdr:row>0</xdr:row>
      <xdr:rowOff>171450</xdr:rowOff>
    </xdr:from>
    <xdr:to>
      <xdr:col>1</xdr:col>
      <xdr:colOff>556112</xdr:colOff>
      <xdr:row>2</xdr:row>
      <xdr:rowOff>180975</xdr:rowOff>
    </xdr:to>
    <xdr:pic>
      <xdr:nvPicPr>
        <xdr:cNvPr id="2" name="Picture 5">
          <a:extLst>
            <a:ext uri="{FF2B5EF4-FFF2-40B4-BE49-F238E27FC236}">
              <a16:creationId xmlns:a16="http://schemas.microsoft.com/office/drawing/2014/main" id="{383F58D5-EAE7-42D4-8DCA-37080E1B0E67}"/>
            </a:ext>
          </a:extLst>
        </xdr:cNvPr>
        <xdr:cNvPicPr>
          <a:picLocks noChangeArrowheads="1"/>
        </xdr:cNvPicPr>
      </xdr:nvPicPr>
      <xdr:blipFill>
        <a:blip xmlns:r="http://schemas.openxmlformats.org/officeDocument/2006/relationships" r:embed="rId1" cstate="print"/>
        <a:srcRect/>
        <a:stretch>
          <a:fillRect/>
        </a:stretch>
      </xdr:blipFill>
      <xdr:spPr bwMode="auto">
        <a:xfrm>
          <a:off x="289560" y="171450"/>
          <a:ext cx="518012" cy="512445"/>
        </a:xfrm>
        <a:prstGeom prst="rect">
          <a:avLst/>
        </a:prstGeom>
        <a:solidFill>
          <a:srgbClr val="FFFFFF"/>
        </a:solidFill>
        <a:ln w="9525">
          <a:solidFill>
            <a:srgbClr val="000000"/>
          </a:solid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person displayName="Author35" id="{C4AA987D-FD5B-44CA-9207-F8D239224501}" userId="" providerId="None"/>
  <person displayName="Author106" id="{64A92F94-60BB-48DF-931F-D05B67D01C7A}" userId="" providerId="None"/>
  <person displayName="Author107" id="{46C01FCB-FF5D-41F7-85EC-91C7236EE95A}" userId="" providerId="None"/>
</personList>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4" dT="2023-07-20T21:45:08.58" personId="{46C01FCB-FF5D-41F7-85EC-91C7236EE95A}" id="{0B9401DE-0A9D-45D2-92A3-B5D629BB7FFF}">
    <text>HIV</text>
  </threadedComment>
  <threadedComment ref="B1103" dT="2023-01-12T14:47:55.89" personId="{C4AA987D-FD5B-44CA-9207-F8D239224501}" id="{A9F5BDA9-E688-44B6-B845-EB049BD2E41F}">
    <text>US Product0198 + allocation of "service &amp; other"</text>
  </threadedComment>
  <threadedComment ref="B1103" dT="2023-08-02T12:53:25.79" personId="{64A92F94-60BB-48DF-931F-D05B67D01C7A}" id="{545A54F4-3F92-43C1-B389-660275EE9674}" parentId="{A9F5BDA9-E688-44B6-B845-EB049BD2E41F}">
    <text>Historical Company0188 figures for comparison purposes; not included in results until 4Q22, where recorded ~$31Mn in US Revenue</text>
  </threadedComment>
  <threadedComment ref="B1104" dT="2023-01-12T14:47:55.89" personId="{C4AA987D-FD5B-44CA-9207-F8D239224501}" id="{68B7F178-6100-4926-96BC-D422609A31EA}">
    <text>Company1954 Product0198 + allocation of "service &amp; other"</text>
  </threadedComment>
  <threadedComment ref="B1104" dT="2023-08-02T12:53:42.54" personId="{64A92F94-60BB-48DF-931F-D05B67D01C7A}" id="{6C7F7405-0CB6-4AF3-8AFD-1611ADADB1C4}" parentId="{68B7F178-6100-4926-96BC-D422609A31EA}">
    <text xml:space="preserve">Historical Company0188 figures for comparison purposes; not included in results until 4Q22, where recorded ~$31Mn in US Revenue
</text>
  </threadedComment>
  <threadedComment ref="B1105" dT="2023-08-02T12:53:48.93" personId="{64A92F94-60BB-48DF-931F-D05B67D01C7A}" id="{87BCDB74-21C9-4781-9D35-7E470F12472C}">
    <text xml:space="preserve">Historical Company0188 figures for comparison purposes; not included in results until 4Q22, where recorded ~$31Mn in US Revenue
</text>
  </threadedComment>
  <threadedComment ref="DJ1115" dT="2024-06-05T13:18:46.79" personId="{C4AA987D-FD5B-44CA-9207-F8D239224501}" id="{52075C83-C7EA-4359-85B1-27EFCE731A12}">
    <text>Pre-acquisition close for modeling purposes</text>
  </threadedComment>
  <threadedComment ref="DK1115" dT="2024-06-05T13:18:46.79" personId="{C4AA987D-FD5B-44CA-9207-F8D239224501}" id="{DC0BE9FA-237A-44A3-B465-97F12F931DCF}">
    <text>Pre-acquisition close for modeling purposes</text>
  </threadedComment>
  <threadedComment ref="DL1115" dT="2024-06-05T13:18:46.79" personId="{C4AA987D-FD5B-44CA-9207-F8D239224501}" id="{06ADBD24-9E61-41A5-8193-573C9BC93ACE}">
    <text>Pre-acquisition close for modeling purposes</text>
  </threadedComment>
  <threadedComment ref="DM1115" dT="2024-06-05T13:18:46.79" personId="{C4AA987D-FD5B-44CA-9207-F8D239224501}" id="{3C40EF1F-7442-4524-B4B0-BADA93E9E544}">
    <text>Pre-acquisition close for modeling purposes</text>
  </threadedComment>
  <threadedComment ref="DN1115" dT="2024-06-05T13:18:46.79" personId="{C4AA987D-FD5B-44CA-9207-F8D239224501}" id="{EE823869-D180-4BD1-9F31-E9C37E3AF83A}">
    <text>Pre-acquisition close for modeling purposes</text>
  </threadedComment>
  <threadedComment ref="DO1115" dT="2024-06-05T13:18:46.79" personId="{C4AA987D-FD5B-44CA-9207-F8D239224501}" id="{4AE0E7F4-F273-4BE4-8F81-05171DA36EEC}">
    <text>Pre-acquisition close for modeling purposes</text>
  </threadedComment>
  <threadedComment ref="DP1115" dT="2024-06-05T13:18:46.79" personId="{C4AA987D-FD5B-44CA-9207-F8D239224501}" id="{69CF813A-6F2D-4377-9216-2C9033569515}">
    <text>Pre-acquisition close for modeling purposes</text>
  </threadedComment>
  <threadedComment ref="DQ1115" dT="2024-06-05T13:18:46.79" personId="{C4AA987D-FD5B-44CA-9207-F8D239224501}" id="{F9C4C53A-A9AF-4085-952C-5FD1D453D769}">
    <text>Pre-acquisition close for modeling purposes</text>
  </threadedComment>
  <threadedComment ref="DR1115" dT="2024-06-05T13:18:46.79" personId="{C4AA987D-FD5B-44CA-9207-F8D239224501}" id="{9C3404DD-8C29-4110-83B4-B0DB1FF69DAA}">
    <text>Pre-acquisition close for modeling purposes</text>
  </threadedComment>
  <threadedComment ref="DS1115" dT="2024-06-05T13:18:46.79" personId="{C4AA987D-FD5B-44CA-9207-F8D239224501}" id="{A1842C8D-C9B6-4077-AE12-D749A1B4B1E3}">
    <text>Pre-acquisition close for modeling purposes</text>
  </threadedComment>
  <threadedComment ref="DT1115" dT="2024-06-05T13:18:46.79" personId="{C4AA987D-FD5B-44CA-9207-F8D239224501}" id="{5AEE087F-689F-4662-B268-21FE2D5DD460}">
    <text>Pre-acquisition close for modeling purposes</text>
  </threadedComment>
  <threadedComment ref="DU1115" dT="2024-06-05T13:18:46.79" personId="{C4AA987D-FD5B-44CA-9207-F8D239224501}" id="{94061B1F-21A7-4BFD-B41D-EE99E7C2A65D}">
    <text>Pre-acquisition close for modeling purposes</text>
  </threadedComment>
  <threadedComment ref="DV1115" dT="2024-06-05T13:18:46.79" personId="{C4AA987D-FD5B-44CA-9207-F8D239224501}" id="{3A504A20-8876-46FA-9710-13B03B12763E}">
    <text>Pre-acquisition close for modeling purposes</text>
  </threadedComment>
  <threadedComment ref="DW1115" dT="2024-06-05T13:18:46.79" personId="{C4AA987D-FD5B-44CA-9207-F8D239224501}" id="{86B48491-AB01-4F7C-A7EF-AC01B25300DE}">
    <text>Pre-acquisition close for modeling purposes</text>
  </threadedComment>
  <threadedComment ref="DX1115" dT="2024-06-05T13:18:46.79" personId="{C4AA987D-FD5B-44CA-9207-F8D239224501}" id="{34DEDEBD-B3EF-4A3E-B5D2-C94981455498}">
    <text>Pre-acquisition close for modeling purposes</text>
  </threadedComment>
  <threadedComment ref="DY1115" dT="2024-06-05T13:18:46.79" personId="{C4AA987D-FD5B-44CA-9207-F8D239224501}" id="{540641C0-8B9A-4F36-A2F6-DDBDE4437AB0}">
    <text>Pre-acquisition close for modeling purposes</text>
  </threadedComment>
  <threadedComment ref="DZ1115" dT="2024-06-05T13:18:46.79" personId="{C4AA987D-FD5B-44CA-9207-F8D239224501}" id="{8C734A4D-C3EB-4571-A20E-459225B77951}">
    <text>Pre-acquisition close for modeling purposes</text>
  </threadedComment>
  <threadedComment ref="EA1115" dT="2024-06-05T13:18:12.68" personId="{C4AA987D-FD5B-44CA-9207-F8D239224501}" id="{B0BDE00E-46CD-48E8-916B-0670E8C3DE9A}">
    <text>May 31, 2024 close</text>
  </threadedComment>
  <threadedComment ref="EB1115" dT="2024-06-05T13:18:12.68" personId="{C4AA987D-FD5B-44CA-9207-F8D239224501}" id="{98ECE944-F8AC-4E9B-A830-58DB86C02861}">
    <text>May 31, 2024 close</text>
  </threadedComment>
  <threadedComment ref="DJ1116" dT="2024-06-05T13:18:46.79" personId="{C4AA987D-FD5B-44CA-9207-F8D239224501}" id="{DA899639-32CB-4B73-BB30-BCE0B265C5CE}">
    <text>Pre-acquisition close for modeling purposes</text>
  </threadedComment>
  <threadedComment ref="DK1116" dT="2024-06-05T13:18:46.79" personId="{C4AA987D-FD5B-44CA-9207-F8D239224501}" id="{68D97223-738F-4F97-B2E6-16F4112AC831}">
    <text>Pre-acquisition close for modeling purposes</text>
  </threadedComment>
  <threadedComment ref="DL1116" dT="2024-06-05T13:18:46.79" personId="{C4AA987D-FD5B-44CA-9207-F8D239224501}" id="{BAD92192-55C3-4D9A-91BD-7CBE671D968B}">
    <text>Pre-acquisition close for modeling purposes</text>
  </threadedComment>
  <threadedComment ref="DM1116" dT="2024-06-05T13:18:46.79" personId="{C4AA987D-FD5B-44CA-9207-F8D239224501}" id="{ACCAF5EC-64FB-4CB5-A62B-AC4C207BBD50}">
    <text>Pre-acquisition close for modeling purposes</text>
  </threadedComment>
  <threadedComment ref="DN1116" dT="2024-06-05T13:18:46.79" personId="{C4AA987D-FD5B-44CA-9207-F8D239224501}" id="{0E604068-CCD1-4699-8AAF-FACFC1D29B3F}">
    <text>Pre-acquisition close for modeling purposes</text>
  </threadedComment>
  <threadedComment ref="DO1116" dT="2024-06-05T13:18:46.79" personId="{C4AA987D-FD5B-44CA-9207-F8D239224501}" id="{41E0F5A7-9D8A-4264-A42D-F532A85B9E90}">
    <text>Pre-acquisition close for modeling purposes</text>
  </threadedComment>
  <threadedComment ref="DP1116" dT="2024-06-05T13:18:46.79" personId="{C4AA987D-FD5B-44CA-9207-F8D239224501}" id="{855FA566-239F-4731-BEAC-11612A4A01F7}">
    <text>Pre-acquisition close for modeling purposes</text>
  </threadedComment>
  <threadedComment ref="DQ1116" dT="2024-06-05T13:18:46.79" personId="{C4AA987D-FD5B-44CA-9207-F8D239224501}" id="{73B4DA8A-A886-463F-8C92-64C7E2083CB0}">
    <text>Pre-acquisition close for modeling purposes</text>
  </threadedComment>
  <threadedComment ref="DR1116" dT="2024-06-05T13:18:46.79" personId="{C4AA987D-FD5B-44CA-9207-F8D239224501}" id="{A83BCA0D-23CF-492B-B441-2950EE619D9F}">
    <text>Pre-acquisition close for modeling purposes</text>
  </threadedComment>
  <threadedComment ref="DS1116" dT="2024-06-05T13:18:46.79" personId="{C4AA987D-FD5B-44CA-9207-F8D239224501}" id="{01D90D8E-3E53-41EC-A44F-B502A2D13906}">
    <text>Pre-acquisition close for modeling purposes</text>
  </threadedComment>
  <threadedComment ref="DT1116" dT="2024-06-05T13:18:46.79" personId="{C4AA987D-FD5B-44CA-9207-F8D239224501}" id="{07FC10F0-0446-4B58-A774-0414B8C7835B}">
    <text>Pre-acquisition close for modeling purposes</text>
  </threadedComment>
  <threadedComment ref="DU1116" dT="2024-06-05T13:18:46.79" personId="{C4AA987D-FD5B-44CA-9207-F8D239224501}" id="{81D2F7AD-6F1E-4D4B-9D99-6CA8078E3002}">
    <text>Pre-acquisition close for modeling purposes</text>
  </threadedComment>
  <threadedComment ref="DV1116" dT="2024-06-05T13:18:46.79" personId="{C4AA987D-FD5B-44CA-9207-F8D239224501}" id="{2E760691-D292-4084-8EA1-460FE23D1E9D}">
    <text>Pre-acquisition close for modeling purposes</text>
  </threadedComment>
  <threadedComment ref="DW1116" dT="2024-06-05T13:18:46.79" personId="{C4AA987D-FD5B-44CA-9207-F8D239224501}" id="{BF7B214E-17E4-4B39-80F2-9D3B7481A910}">
    <text>Pre-acquisition close for modeling purposes</text>
  </threadedComment>
  <threadedComment ref="DX1116" dT="2024-06-05T13:18:46.79" personId="{C4AA987D-FD5B-44CA-9207-F8D239224501}" id="{38A38C09-9EA0-4A26-B843-0733E61CCF84}">
    <text>Pre-acquisition close for modeling purposes</text>
  </threadedComment>
  <threadedComment ref="DY1116" dT="2024-06-05T13:18:46.79" personId="{C4AA987D-FD5B-44CA-9207-F8D239224501}" id="{4DA7BD6E-21B2-4159-9286-9C8BD0A23083}">
    <text>Pre-acquisition close for modeling purposes</text>
  </threadedComment>
  <threadedComment ref="DZ1116" dT="2024-06-05T13:18:46.79" personId="{C4AA987D-FD5B-44CA-9207-F8D239224501}" id="{49A54C3B-68A5-4B93-85EF-0C8B28089017}">
    <text>Pre-acquisition close for modeling purposes</text>
  </threadedComment>
  <threadedComment ref="EA1116" dT="2024-06-05T13:18:12.68" personId="{C4AA987D-FD5B-44CA-9207-F8D239224501}" id="{765C4469-7AD8-450F-8091-707FF470D47F}">
    <text>May 31, 2024 close</text>
  </threadedComment>
  <threadedComment ref="EB1116" dT="2024-06-05T13:18:12.68" personId="{C4AA987D-FD5B-44CA-9207-F8D239224501}" id="{D57315A8-C005-466E-AE12-DD9E709B271A}">
    <text>May 31, 2024 close</text>
  </threadedComment>
  <threadedComment ref="DJ1117" dT="2024-06-05T13:18:46.79" personId="{C4AA987D-FD5B-44CA-9207-F8D239224501}" id="{210236E3-7024-444C-A68C-96DF4E52BA53}">
    <text>Pre-acquisition close for modeling purposes</text>
  </threadedComment>
  <threadedComment ref="DK1117" dT="2024-06-05T13:18:46.79" personId="{C4AA987D-FD5B-44CA-9207-F8D239224501}" id="{503883EC-F7CC-4165-A566-AD23C4A04E5D}">
    <text>Pre-acquisition close for modeling purposes</text>
  </threadedComment>
  <threadedComment ref="DL1117" dT="2024-06-05T13:18:46.79" personId="{C4AA987D-FD5B-44CA-9207-F8D239224501}" id="{C6F8FDE3-3BDC-4436-9AB0-5FB496673B1D}">
    <text>Pre-acquisition close for modeling purposes</text>
  </threadedComment>
  <threadedComment ref="DM1117" dT="2024-06-05T13:18:46.79" personId="{C4AA987D-FD5B-44CA-9207-F8D239224501}" id="{FC2039AF-EA08-4071-9F7D-7CCAFB4899C3}">
    <text>Pre-acquisition close for modeling purposes</text>
  </threadedComment>
  <threadedComment ref="DN1117" dT="2024-06-05T13:18:46.79" personId="{C4AA987D-FD5B-44CA-9207-F8D239224501}" id="{844D6D67-8F89-456F-8E8A-8A8AC061D6C2}">
    <text>Pre-acquisition close for modeling purposes</text>
  </threadedComment>
  <threadedComment ref="DO1117" dT="2024-06-05T13:18:46.79" personId="{C4AA987D-FD5B-44CA-9207-F8D239224501}" id="{1259748A-87EA-4A26-9946-31860BE2F986}">
    <text>Pre-acquisition close for modeling purposes</text>
  </threadedComment>
  <threadedComment ref="DP1117" dT="2024-06-05T13:18:46.79" personId="{C4AA987D-FD5B-44CA-9207-F8D239224501}" id="{70E8B8BE-4BBF-4F05-BA51-D003C8B8E605}">
    <text>Pre-acquisition close for modeling purposes</text>
  </threadedComment>
  <threadedComment ref="DQ1117" dT="2024-06-05T13:18:46.79" personId="{C4AA987D-FD5B-44CA-9207-F8D239224501}" id="{CA90F903-D8F3-4BCF-A829-2E635B90C8F1}">
    <text>Pre-acquisition close for modeling purposes</text>
  </threadedComment>
  <threadedComment ref="DR1117" dT="2024-06-05T13:18:46.79" personId="{C4AA987D-FD5B-44CA-9207-F8D239224501}" id="{A6A7015C-016D-4F94-B235-5C7199DD51D9}">
    <text>Pre-acquisition close for modeling purposes</text>
  </threadedComment>
  <threadedComment ref="DS1117" dT="2024-06-05T13:18:46.79" personId="{C4AA987D-FD5B-44CA-9207-F8D239224501}" id="{B97D07EC-5F92-4376-B9A3-AA774C5C85C0}">
    <text>Pre-acquisition close for modeling purposes</text>
  </threadedComment>
  <threadedComment ref="DT1117" dT="2024-06-05T13:18:46.79" personId="{C4AA987D-FD5B-44CA-9207-F8D239224501}" id="{65006D38-219C-4D1F-9A4B-6BD4937F3DF2}">
    <text>Pre-acquisition close for modeling purposes</text>
  </threadedComment>
  <threadedComment ref="DU1117" dT="2024-06-05T13:18:46.79" personId="{C4AA987D-FD5B-44CA-9207-F8D239224501}" id="{20D6ED08-23F6-445C-872D-B0B1BEF1AE1E}">
    <text>Pre-acquisition close for modeling purposes</text>
  </threadedComment>
  <threadedComment ref="DV1117" dT="2024-06-05T13:18:46.79" personId="{C4AA987D-FD5B-44CA-9207-F8D239224501}" id="{C8E35CEE-4A05-44CE-BC79-66A86B06B2AF}">
    <text>Pre-acquisition close for modeling purposes</text>
  </threadedComment>
  <threadedComment ref="DW1117" dT="2024-06-05T13:18:46.79" personId="{C4AA987D-FD5B-44CA-9207-F8D239224501}" id="{08D69DFC-3378-476A-BF3D-73B254C23FD8}">
    <text>Pre-acquisition close for modeling purposes</text>
  </threadedComment>
  <threadedComment ref="DX1117" dT="2024-06-05T13:18:46.79" personId="{C4AA987D-FD5B-44CA-9207-F8D239224501}" id="{1CEA35A2-DC6F-4F86-A40F-4A280AFDC171}">
    <text>Pre-acquisition close for modeling purposes</text>
  </threadedComment>
  <threadedComment ref="DY1117" dT="2024-06-05T13:18:46.79" personId="{C4AA987D-FD5B-44CA-9207-F8D239224501}" id="{33D84220-E740-4744-8F9E-E41E89F328B9}">
    <text>Pre-acquisition close for modeling purposes</text>
  </threadedComment>
  <threadedComment ref="DZ1117" dT="2024-06-05T13:18:46.79" personId="{C4AA987D-FD5B-44CA-9207-F8D239224501}" id="{436DD133-6C34-4289-A12E-5D29393BCDD3}">
    <text>Pre-acquisition close for modeling purposes</text>
  </threadedComment>
  <threadedComment ref="EA1117" dT="2024-06-05T13:18:12.68" personId="{C4AA987D-FD5B-44CA-9207-F8D239224501}" id="{A4E7BCDB-A6B7-40F2-AAB3-E3B03E186DB7}">
    <text>May 31, 2024 close</text>
  </threadedComment>
  <threadedComment ref="B1554" dT="2023-07-20T21:46:31.97" personId="{46C01FCB-FF5D-41F7-85EC-91C7236EE95A}" id="{AA165B2C-9033-4E58-87CF-403D614D052D}">
    <text>Working estimates - NOTE - estimates in these italicized rows do NOT feed into published revenue forecasts. See OTHER ONCOLOGY</text>
  </threadedComment>
</ThreadedComments>
</file>

<file path=xl/worksheets/_rels/sheet1.xml.rels><?xml version="1.0" encoding="UTF-8" standalone="yes"?>
<Relationships xmlns="http://schemas.openxmlformats.org/package/2006/relationships"><Relationship Id="rId8" Type="http://schemas.openxmlformats.org/officeDocument/2006/relationships/customProperty" Target="../customProperty2.bin"/><Relationship Id="rId3" Type="http://schemas.openxmlformats.org/officeDocument/2006/relationships/hyperlink" Target="https://example.com/" TargetMode="External"/><Relationship Id="rId7" Type="http://schemas.openxmlformats.org/officeDocument/2006/relationships/customProperty" Target="../customProperty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printerSettings" Target="../printerSettings/printerSettings1.bin"/><Relationship Id="rId5" Type="http://schemas.openxmlformats.org/officeDocument/2006/relationships/hyperlink" Target="https://example.com/" TargetMode="External"/><Relationship Id="rId4" Type="http://schemas.openxmlformats.org/officeDocument/2006/relationships/hyperlink" Target="https://example.com/"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customProperty" Target="../customProperty4.bin"/><Relationship Id="rId7" Type="http://schemas.openxmlformats.org/officeDocument/2006/relationships/comments" Target="../comments1.x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customProperty" Target="../customProperty5.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9.bin"/><Relationship Id="rId7" Type="http://schemas.openxmlformats.org/officeDocument/2006/relationships/comments" Target="../comments3.xml"/><Relationship Id="rId2" Type="http://schemas.openxmlformats.org/officeDocument/2006/relationships/customProperty" Target="../customProperty8.bin"/><Relationship Id="rId1" Type="http://schemas.openxmlformats.org/officeDocument/2006/relationships/printerSettings" Target="../printerSettings/printerSettings4.bin"/><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customProperty" Target="../customProperty10.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customProperty" Target="../customProperty13.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6.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8.bin"/><Relationship Id="rId2" Type="http://schemas.openxmlformats.org/officeDocument/2006/relationships/customProperty" Target="../customProperty17.bin"/><Relationship Id="rId1" Type="http://schemas.openxmlformats.org/officeDocument/2006/relationships/printerSettings" Target="../printerSettings/printerSettings7.bin"/><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20.bin"/><Relationship Id="rId1" Type="http://schemas.openxmlformats.org/officeDocument/2006/relationships/customProperty" Target="../customProperty1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22.bin"/><Relationship Id="rId2" Type="http://schemas.openxmlformats.org/officeDocument/2006/relationships/customProperty" Target="../customProperty21.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4"/>
    <pageSetUpPr autoPageBreaks="0" fitToPage="1"/>
  </sheetPr>
  <dimension ref="A1:M49"/>
  <sheetViews>
    <sheetView showGridLines="0" tabSelected="1" zoomScaleNormal="100" zoomScaleSheetLayoutView="115" workbookViewId="0"/>
  </sheetViews>
  <sheetFormatPr defaultColWidth="9.109375" defaultRowHeight="13.2"/>
  <cols>
    <col min="1" max="1" width="9.109375" style="1588" customWidth="1"/>
    <col min="2" max="2" width="28.109375" style="1596" customWidth="1"/>
    <col min="3" max="3" width="9.109375" style="1588" customWidth="1"/>
    <col min="4" max="4" width="10.88671875" style="1588" customWidth="1"/>
    <col min="5" max="16384" width="9.109375" style="1591"/>
  </cols>
  <sheetData>
    <row r="1" spans="2:9" s="1588" customFormat="1">
      <c r="B1" s="1596"/>
    </row>
    <row r="2" spans="2:9" s="1588" customFormat="1">
      <c r="B2" s="1596"/>
    </row>
    <row r="3" spans="2:9" s="1588" customFormat="1">
      <c r="B3" s="1596"/>
    </row>
    <row r="4" spans="2:9" s="1588" customFormat="1">
      <c r="B4" s="1596"/>
    </row>
    <row r="5" spans="2:9" s="1588" customFormat="1">
      <c r="B5" s="1596"/>
    </row>
    <row r="6" spans="2:9" s="1588" customFormat="1" ht="28.5" customHeight="1">
      <c r="B6" s="1597"/>
      <c r="C6" s="1589"/>
      <c r="D6" s="1589"/>
      <c r="E6" s="1589"/>
      <c r="F6" s="1589"/>
      <c r="G6" s="1589"/>
      <c r="H6" s="1589"/>
      <c r="I6" s="1589"/>
    </row>
    <row r="7" spans="2:9" s="1588" customFormat="1">
      <c r="B7" s="1597"/>
    </row>
    <row r="8" spans="2:9" s="1592" customFormat="1">
      <c r="B8" s="1597"/>
    </row>
    <row r="9" spans="2:9" s="1592" customFormat="1">
      <c r="B9" s="1597"/>
      <c r="D9" s="1594"/>
    </row>
    <row r="10" spans="2:9" s="1592" customFormat="1">
      <c r="B10" s="1597"/>
    </row>
    <row r="11" spans="2:9" s="1592" customFormat="1" ht="15.6">
      <c r="B11" s="1597"/>
      <c r="D11" s="1593" t="s">
        <v>31</v>
      </c>
    </row>
    <row r="12" spans="2:9" s="1592" customFormat="1">
      <c r="B12" s="1597"/>
      <c r="D12" s="1595"/>
    </row>
    <row r="13" spans="2:9" s="1592" customFormat="1">
      <c r="B13" s="1596"/>
    </row>
    <row r="14" spans="2:9" s="1592" customFormat="1">
      <c r="B14" s="1596"/>
    </row>
    <row r="15" spans="2:9" s="1592" customFormat="1">
      <c r="B15" s="1596"/>
    </row>
    <row r="16" spans="2:9" s="1592" customFormat="1">
      <c r="B16" s="1596"/>
    </row>
    <row r="17" spans="2:13" s="1592" customFormat="1">
      <c r="B17" s="1596"/>
    </row>
    <row r="18" spans="2:13" s="1592" customFormat="1">
      <c r="B18" s="1597"/>
    </row>
    <row r="19" spans="2:13" s="1592" customFormat="1">
      <c r="B19" s="1597"/>
    </row>
    <row r="20" spans="2:13" s="1588" customFormat="1">
      <c r="B20" s="1597"/>
    </row>
    <row r="21" spans="2:13" s="1588" customFormat="1" ht="13.8" thickBot="1">
      <c r="B21" s="1600" t="s">
        <v>1045</v>
      </c>
      <c r="D21" s="1604" t="s">
        <v>779</v>
      </c>
      <c r="E21" s="1605"/>
      <c r="F21" s="1605"/>
      <c r="G21" s="1605"/>
      <c r="H21" s="1605"/>
      <c r="I21" s="1606"/>
      <c r="J21" s="1606"/>
      <c r="K21" s="1606"/>
      <c r="L21" s="1606"/>
      <c r="M21" s="1606"/>
    </row>
    <row r="22" spans="2:13" s="1588" customFormat="1">
      <c r="B22" s="1598" t="s">
        <v>778</v>
      </c>
      <c r="D22" s="1601" t="s">
        <v>780</v>
      </c>
      <c r="E22" s="1602"/>
      <c r="F22" s="1602"/>
      <c r="G22" s="1602" t="s">
        <v>31</v>
      </c>
      <c r="H22" s="1602"/>
    </row>
    <row r="23" spans="2:13" s="1588" customFormat="1">
      <c r="B23" s="1598" t="s">
        <v>1043</v>
      </c>
      <c r="D23" s="1601" t="s">
        <v>781</v>
      </c>
      <c r="E23" s="1602"/>
      <c r="F23" s="1602"/>
      <c r="G23" s="1603" t="s">
        <v>28</v>
      </c>
      <c r="H23" s="1602"/>
    </row>
    <row r="24" spans="2:13" s="1588" customFormat="1">
      <c r="B24" s="2654" t="s">
        <v>1046</v>
      </c>
      <c r="D24" s="1601" t="s">
        <v>782</v>
      </c>
      <c r="E24" s="1602"/>
      <c r="F24" s="1602"/>
      <c r="G24" s="3607" t="s">
        <v>1109</v>
      </c>
      <c r="H24" s="1602"/>
    </row>
    <row r="25" spans="2:13" s="1588" customFormat="1">
      <c r="B25" s="1599" t="s">
        <v>1047</v>
      </c>
      <c r="D25" s="1590"/>
    </row>
    <row r="26" spans="2:13" s="1588" customFormat="1" ht="13.8" thickBot="1">
      <c r="B26" s="1598"/>
      <c r="D26" s="1604" t="s">
        <v>783</v>
      </c>
      <c r="E26" s="1606"/>
      <c r="F26" s="1606"/>
      <c r="G26" s="1606"/>
      <c r="H26" s="1606"/>
      <c r="I26" s="1606"/>
      <c r="J26" s="1606"/>
      <c r="K26" s="1606"/>
      <c r="L26" s="1606"/>
      <c r="M26" s="1606"/>
    </row>
    <row r="27" spans="2:13" s="1588" customFormat="1">
      <c r="B27" s="1600" t="s">
        <v>972</v>
      </c>
      <c r="D27" s="1964" t="s">
        <v>0</v>
      </c>
    </row>
    <row r="28" spans="2:13">
      <c r="B28" s="1598" t="s">
        <v>778</v>
      </c>
      <c r="D28" s="1965" t="s">
        <v>794</v>
      </c>
    </row>
    <row r="29" spans="2:13">
      <c r="B29" s="1598" t="s">
        <v>902</v>
      </c>
      <c r="D29" s="1966" t="s">
        <v>777</v>
      </c>
    </row>
    <row r="30" spans="2:13">
      <c r="B30" s="2654" t="s">
        <v>974</v>
      </c>
      <c r="D30" s="1964" t="s">
        <v>155</v>
      </c>
    </row>
    <row r="31" spans="2:13">
      <c r="B31" s="1599" t="s">
        <v>973</v>
      </c>
      <c r="D31" s="1965" t="s">
        <v>21</v>
      </c>
    </row>
    <row r="32" spans="2:13">
      <c r="B32" s="1598"/>
      <c r="D32" s="1965" t="s">
        <v>784</v>
      </c>
    </row>
    <row r="33" spans="2:13">
      <c r="B33" s="1600" t="s">
        <v>1042</v>
      </c>
      <c r="E33" s="1963"/>
      <c r="F33" s="1963"/>
      <c r="G33" s="1963"/>
      <c r="H33" s="1963"/>
      <c r="I33" s="1963"/>
      <c r="J33" s="1963"/>
      <c r="K33" s="1963"/>
      <c r="L33" s="1963"/>
      <c r="M33" s="1963"/>
    </row>
    <row r="34" spans="2:13" ht="13.8" thickBot="1">
      <c r="B34" s="1598" t="s">
        <v>778</v>
      </c>
      <c r="D34" s="1604" t="s">
        <v>785</v>
      </c>
      <c r="E34" s="1607"/>
      <c r="F34" s="1607"/>
      <c r="G34" s="1607"/>
      <c r="H34" s="1607"/>
      <c r="I34" s="1607"/>
      <c r="J34" s="1607"/>
      <c r="K34" s="1607"/>
      <c r="L34" s="1607"/>
      <c r="M34" s="1607"/>
    </row>
    <row r="35" spans="2:13">
      <c r="B35" s="1598" t="s">
        <v>1043</v>
      </c>
      <c r="D35" s="1610" t="s">
        <v>786</v>
      </c>
      <c r="G35" s="1611" t="s">
        <v>787</v>
      </c>
    </row>
    <row r="36" spans="2:13">
      <c r="B36" s="2654" t="s">
        <v>1044</v>
      </c>
      <c r="D36" s="1612" t="s">
        <v>788</v>
      </c>
      <c r="E36" s="1608"/>
      <c r="F36" s="1608"/>
      <c r="G36" s="1613" t="s">
        <v>789</v>
      </c>
      <c r="H36" s="1608"/>
    </row>
    <row r="37" spans="2:13">
      <c r="B37" s="1599" t="s">
        <v>973</v>
      </c>
      <c r="D37" s="1602" t="s">
        <v>790</v>
      </c>
      <c r="E37" s="1608"/>
      <c r="F37" s="1608"/>
      <c r="G37" s="1609" t="s">
        <v>791</v>
      </c>
      <c r="H37" s="1608"/>
    </row>
    <row r="38" spans="2:13">
      <c r="E38" s="1608"/>
      <c r="F38" s="1608"/>
      <c r="H38" s="1608"/>
    </row>
    <row r="39" spans="2:13">
      <c r="B39" s="1600" t="s">
        <v>904</v>
      </c>
    </row>
    <row r="40" spans="2:13">
      <c r="B40" s="1598" t="s">
        <v>778</v>
      </c>
    </row>
    <row r="41" spans="2:13">
      <c r="B41" s="1598" t="s">
        <v>902</v>
      </c>
    </row>
    <row r="42" spans="2:13">
      <c r="B42" s="2654" t="s">
        <v>915</v>
      </c>
    </row>
    <row r="43" spans="2:13">
      <c r="B43" s="1599" t="s">
        <v>903</v>
      </c>
    </row>
    <row r="45" spans="2:13">
      <c r="B45" s="1600" t="s">
        <v>1048</v>
      </c>
    </row>
    <row r="46" spans="2:13">
      <c r="B46" s="1598" t="s">
        <v>778</v>
      </c>
    </row>
    <row r="47" spans="2:13">
      <c r="B47" s="1598" t="s">
        <v>1043</v>
      </c>
    </row>
    <row r="48" spans="2:13">
      <c r="B48" s="2654" t="s">
        <v>1049</v>
      </c>
    </row>
    <row r="49" spans="2:2">
      <c r="B49" s="1599" t="s">
        <v>1050</v>
      </c>
    </row>
  </sheetData>
  <hyperlinks>
    <hyperlink ref="D30" location="'Income Statement'!A1" display="Income Statement" xr:uid="{00000000-0004-0000-0100-000000000000}"/>
    <hyperlink ref="D27" location="'Sales Model'!A1" display="Sales Model" xr:uid="{00000000-0004-0000-0100-000001000000}"/>
    <hyperlink ref="D31" location="'Balance Sheet'!A1" display="Balance Sheet" xr:uid="{00000000-0004-0000-0100-000002000000}"/>
    <hyperlink ref="D32" location="'Cash Flows'!A1" display="Cash Flows" xr:uid="{00000000-0004-0000-0100-000003000000}"/>
    <hyperlink ref="D28" location="'Consolidated Valuation'!A1" display="Consolidated Valuation " xr:uid="{00000000-0004-0000-0100-000004000000}"/>
    <hyperlink ref="D29" location="'Pharma Valuation'!A1" display="Pharma Valuation" xr:uid="{00000000-0004-0000-0100-000008000000}"/>
    <hyperlink ref="B43" r:id="rId1" xr:uid="{8779BA92-E52D-4E36-833C-3F4B1D029151}"/>
    <hyperlink ref="B31" r:id="rId2" xr:uid="{473D3768-B8BC-42F7-A2CD-8891A4017F85}"/>
    <hyperlink ref="B37" r:id="rId3" xr:uid="{A069C1F0-BE56-40FE-8EC6-1C34E8F2975E}"/>
    <hyperlink ref="B25" r:id="rId4" xr:uid="{9A9EAFF4-C4C5-4912-A8BB-214093E2301F}"/>
    <hyperlink ref="B49" r:id="rId5" xr:uid="{488D6A93-F663-4730-9252-24AA75138561}"/>
  </hyperlinks>
  <pageMargins left="0.75" right="0.75" top="1" bottom="1" header="0.5" footer="0.5"/>
  <pageSetup scale="89" orientation="landscape" r:id="rId6"/>
  <headerFooter alignWithMargins="0"/>
  <customProperties>
    <customPr name="Qube.Worksheet.Visibility" r:id="rId7"/>
    <customPr name="SHEET_UNIQUE_ID" r:id="rId8"/>
  </customProperties>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pageSetUpPr autoPageBreaks="0" fitToPage="1"/>
  </sheetPr>
  <dimension ref="A1:EY1710"/>
  <sheetViews>
    <sheetView showGridLines="0" topLeftCell="A8" zoomScale="90" zoomScaleNormal="90" zoomScaleSheetLayoutView="120" workbookViewId="0">
      <pane xSplit="3" ySplit="12" topLeftCell="DJ20" activePane="bottomRight" state="frozen"/>
      <selection activeCell="A8" sqref="A8"/>
      <selection pane="topRight" activeCell="D8" sqref="D8"/>
      <selection pane="bottomLeft" activeCell="A20" sqref="A20"/>
      <selection pane="bottomRight" activeCell="B8" sqref="B8"/>
    </sheetView>
  </sheetViews>
  <sheetFormatPr defaultColWidth="9.109375" defaultRowHeight="12.6" outlineLevelRow="3" outlineLevelCol="3"/>
  <cols>
    <col min="1" max="1" width="12.88671875" style="3275" hidden="1" customWidth="1" outlineLevel="1"/>
    <col min="2" max="2" width="51.5546875" bestFit="1" customWidth="1" collapsed="1"/>
    <col min="3" max="3" width="21.109375" hidden="1" customWidth="1"/>
    <col min="4" max="9" width="9.109375" hidden="1" customWidth="1" outlineLevel="1"/>
    <col min="10" max="10" width="9.109375" hidden="1" customWidth="1" outlineLevel="1" collapsed="1"/>
    <col min="11" max="14" width="9.109375" hidden="1" customWidth="1" outlineLevel="1"/>
    <col min="15" max="15" width="9.109375" hidden="1" customWidth="1" outlineLevel="1" collapsed="1"/>
    <col min="16" max="19" width="9.109375" hidden="1" customWidth="1" outlineLevel="1"/>
    <col min="20" max="20" width="9.109375" hidden="1" customWidth="1" outlineLevel="1" collapsed="1"/>
    <col min="21" max="34" width="9.109375" hidden="1" customWidth="1" outlineLevel="1"/>
    <col min="35" max="35" width="9.109375" hidden="1" customWidth="1" outlineLevel="1" collapsed="1"/>
    <col min="36" max="63" width="9.109375" hidden="1" customWidth="1" outlineLevel="1"/>
    <col min="64" max="64" width="9.109375" hidden="1" customWidth="1" outlineLevel="1" collapsed="1"/>
    <col min="65" max="68" width="9.109375" hidden="1" customWidth="1" outlineLevel="2"/>
    <col min="69" max="69" width="9.109375" hidden="1" customWidth="1" outlineLevel="1"/>
    <col min="70" max="73" width="9.109375" hidden="1" customWidth="1" outlineLevel="2"/>
    <col min="74" max="74" width="9.109375" hidden="1" customWidth="1" outlineLevel="1"/>
    <col min="75" max="78" width="9.109375" hidden="1" customWidth="1" outlineLevel="2"/>
    <col min="79" max="79" width="9.109375" hidden="1" customWidth="1" outlineLevel="1"/>
    <col min="80" max="83" width="9.109375" hidden="1" customWidth="1" outlineLevel="3"/>
    <col min="84" max="84" width="9.109375" hidden="1" customWidth="1" outlineLevel="1"/>
    <col min="85" max="88" width="9.109375" hidden="1" customWidth="1" outlineLevel="2"/>
    <col min="89" max="89" width="9.109375" hidden="1" customWidth="1" outlineLevel="1"/>
    <col min="90" max="93" width="9.109375" hidden="1" customWidth="1" outlineLevel="2"/>
    <col min="94" max="94" width="9.109375" style="874" hidden="1" customWidth="1" outlineLevel="1"/>
    <col min="95" max="98" width="9.109375" hidden="1" customWidth="1" outlineLevel="2"/>
    <col min="99" max="99" width="9.109375" hidden="1" customWidth="1" outlineLevel="1"/>
    <col min="100" max="103" width="9.109375" hidden="1" customWidth="1" outlineLevel="2"/>
    <col min="104" max="104" width="9.109375" hidden="1" customWidth="1" outlineLevel="1"/>
    <col min="105" max="108" width="9.109375" hidden="1" customWidth="1" outlineLevel="2"/>
    <col min="109" max="109" width="9.109375" style="1581" hidden="1" customWidth="1" outlineLevel="1"/>
    <col min="110" max="113" width="9.109375" style="1581" hidden="1" customWidth="1" outlineLevel="2"/>
    <col min="114" max="114" width="9.109375" style="1581" customWidth="1" collapsed="1"/>
    <col min="115" max="118" width="9.109375" style="1581" hidden="1" customWidth="1" outlineLevel="1"/>
    <col min="119" max="119" width="9.109375" style="1581" customWidth="1" collapsed="1"/>
    <col min="120" max="123" width="9.109375" style="1581" hidden="1" customWidth="1" outlineLevel="1"/>
    <col min="124" max="124" width="9.109375" style="1581" customWidth="1" collapsed="1"/>
    <col min="125" max="128" width="9.109375" style="1581" hidden="1" customWidth="1" outlineLevel="1"/>
    <col min="129" max="129" width="9.109375" style="1581" customWidth="1" collapsed="1"/>
    <col min="130" max="133" width="9.109375" style="1581" hidden="1" customWidth="1" outlineLevel="1"/>
    <col min="134" max="134" width="9.109375" style="1581" customWidth="1" collapsed="1"/>
    <col min="135" max="144" width="9.109375" style="1581" customWidth="1"/>
    <col min="145" max="153" width="9.109375" style="1581" hidden="1" customWidth="1" outlineLevel="1"/>
    <col min="154" max="154" width="1" style="1581" hidden="1" customWidth="1" outlineLevel="1"/>
    <col min="155" max="155" width="9.109375" collapsed="1"/>
  </cols>
  <sheetData>
    <row r="1" spans="1:154" hidden="1">
      <c r="B1" s="335" t="s">
        <v>251</v>
      </c>
      <c r="C1" s="25"/>
      <c r="D1" s="3"/>
      <c r="E1" s="3"/>
      <c r="F1" s="3"/>
      <c r="G1" s="3"/>
      <c r="H1" s="3"/>
      <c r="I1" s="178"/>
      <c r="J1" s="3"/>
      <c r="K1" s="3"/>
      <c r="L1" s="3"/>
      <c r="M1" s="3"/>
      <c r="N1" s="178"/>
      <c r="O1" s="178"/>
      <c r="P1" s="178"/>
      <c r="Q1" s="178"/>
      <c r="R1" s="178"/>
      <c r="S1" s="3"/>
      <c r="T1" s="178"/>
      <c r="U1" s="178"/>
      <c r="V1" s="178"/>
      <c r="W1" s="178"/>
      <c r="X1" s="306"/>
      <c r="Y1" s="178"/>
      <c r="Z1" s="178"/>
      <c r="AA1" s="178"/>
      <c r="AB1" s="178"/>
      <c r="AC1" s="306"/>
      <c r="AD1" s="178"/>
      <c r="AE1" s="178"/>
      <c r="AF1" s="178"/>
      <c r="AG1" s="178"/>
      <c r="AH1" s="306"/>
      <c r="AI1" s="3"/>
      <c r="AJ1" s="3"/>
      <c r="AK1" s="3"/>
      <c r="AL1" s="178"/>
      <c r="AM1" s="306"/>
      <c r="AN1" s="3"/>
      <c r="AO1" s="3"/>
      <c r="AP1" s="3"/>
      <c r="AQ1" s="178"/>
      <c r="AR1" s="306"/>
      <c r="AS1" s="3"/>
      <c r="AT1" s="3"/>
      <c r="AU1" s="3"/>
      <c r="AV1" s="178"/>
      <c r="AW1" s="306"/>
      <c r="AX1" s="3"/>
      <c r="AY1" s="3"/>
      <c r="AZ1" s="3"/>
      <c r="BA1" s="3"/>
      <c r="BB1" s="306"/>
      <c r="BC1" s="3"/>
      <c r="BD1" s="3"/>
      <c r="BE1" s="3"/>
      <c r="BF1" s="3"/>
      <c r="BG1" s="306"/>
      <c r="BH1" s="3"/>
      <c r="BI1" s="3"/>
      <c r="BJ1" s="3"/>
      <c r="BK1" s="3"/>
      <c r="BL1" s="306"/>
      <c r="BM1" s="3"/>
      <c r="BN1" s="3"/>
      <c r="BO1" s="3"/>
      <c r="BP1" s="3"/>
      <c r="BQ1" s="306"/>
      <c r="BR1" s="3"/>
      <c r="BS1" s="3"/>
      <c r="BT1" s="3"/>
      <c r="BU1" s="3"/>
      <c r="BV1" s="306"/>
      <c r="BW1" s="3"/>
      <c r="BX1" s="3"/>
      <c r="BY1" s="3"/>
      <c r="BZ1" s="3"/>
      <c r="CA1" s="306"/>
      <c r="CB1" s="3"/>
      <c r="CC1" s="3"/>
      <c r="CD1" s="3"/>
      <c r="CE1" s="3"/>
      <c r="CF1" s="3"/>
      <c r="CG1" s="3"/>
      <c r="CH1" s="3"/>
      <c r="CI1" s="3"/>
      <c r="CJ1" s="3"/>
      <c r="CK1" s="3"/>
      <c r="CL1" s="3"/>
      <c r="CM1" s="3"/>
      <c r="CN1" s="3"/>
      <c r="CO1" s="3"/>
      <c r="CP1" s="306"/>
      <c r="CQ1" s="3"/>
      <c r="CR1" s="3"/>
      <c r="CS1" s="3"/>
      <c r="CT1" s="3"/>
      <c r="CU1" s="306"/>
      <c r="CV1" s="3"/>
      <c r="CW1" s="3"/>
      <c r="CX1" s="3"/>
      <c r="CY1" s="3"/>
      <c r="CZ1" s="306"/>
      <c r="DA1" s="306"/>
      <c r="DB1" s="306"/>
      <c r="DC1" s="306"/>
      <c r="DD1" s="306"/>
      <c r="DE1" s="1764"/>
      <c r="DF1" s="1764"/>
      <c r="DG1" s="1764"/>
      <c r="DH1" s="1764"/>
      <c r="DI1" s="1764"/>
      <c r="DJ1" s="1764"/>
      <c r="DK1" s="1764"/>
      <c r="DL1" s="1764"/>
      <c r="DM1" s="1764"/>
      <c r="DN1" s="1764"/>
      <c r="DO1" s="1764"/>
      <c r="DP1" s="1764"/>
      <c r="DQ1" s="1764"/>
      <c r="DR1" s="1764"/>
      <c r="DS1" s="1764"/>
      <c r="DT1" s="1764"/>
      <c r="DU1" s="1764"/>
      <c r="DV1" s="1764"/>
      <c r="DW1" s="1764"/>
      <c r="DX1" s="1764"/>
      <c r="DY1" s="1764"/>
      <c r="DZ1" s="1764"/>
      <c r="EA1" s="1764"/>
      <c r="EB1" s="1764"/>
      <c r="EC1" s="1764"/>
      <c r="ED1" s="1764"/>
      <c r="EE1" s="1764"/>
      <c r="EF1" s="1764"/>
      <c r="EG1" s="1764"/>
      <c r="EH1" s="1764"/>
      <c r="EI1" s="1764"/>
      <c r="EJ1" s="1765"/>
      <c r="EK1" s="1765"/>
      <c r="EL1" s="1765"/>
      <c r="EM1" s="1765"/>
      <c r="EN1" s="1765"/>
      <c r="EO1" s="1765"/>
      <c r="EP1" s="1765"/>
      <c r="EQ1" s="1765"/>
      <c r="ER1" s="1765"/>
      <c r="ES1" s="1765"/>
      <c r="ET1" s="1765"/>
      <c r="EU1" s="1765"/>
      <c r="EV1" s="1765"/>
      <c r="EW1" s="1765"/>
      <c r="EX1" s="1765"/>
    </row>
    <row r="2" spans="1:154" ht="15.75" hidden="1" customHeight="1">
      <c r="B2" s="336" t="s">
        <v>421</v>
      </c>
      <c r="C2" s="25"/>
      <c r="D2" s="26">
        <v>13050.774358974359</v>
      </c>
      <c r="E2" s="26">
        <v>3847</v>
      </c>
      <c r="F2" s="26">
        <v>4014.1367593070213</v>
      </c>
      <c r="G2" s="26">
        <v>4098</v>
      </c>
      <c r="H2" s="26">
        <v>3867</v>
      </c>
      <c r="I2" s="27">
        <v>15826.136759307021</v>
      </c>
      <c r="J2" s="26">
        <v>4324</v>
      </c>
      <c r="K2" s="26">
        <v>4545</v>
      </c>
      <c r="L2" s="26">
        <v>4463</v>
      </c>
      <c r="M2" s="26">
        <v>4371</v>
      </c>
      <c r="N2" s="27">
        <v>17703</v>
      </c>
      <c r="O2" s="26">
        <v>4712</v>
      </c>
      <c r="P2" s="26">
        <v>5059</v>
      </c>
      <c r="Q2" s="26">
        <v>4976</v>
      </c>
      <c r="R2" s="26">
        <v>5075</v>
      </c>
      <c r="S2" s="27">
        <v>19822</v>
      </c>
      <c r="T2" s="26">
        <v>5521</v>
      </c>
      <c r="U2" s="26">
        <v>5599</v>
      </c>
      <c r="V2" s="26">
        <v>5589</v>
      </c>
      <c r="W2" s="26">
        <v>5746</v>
      </c>
      <c r="X2" s="307">
        <v>22455</v>
      </c>
      <c r="Y2" s="26">
        <v>6011.5999999999995</v>
      </c>
      <c r="Z2" s="26">
        <v>6112</v>
      </c>
      <c r="AA2" s="26">
        <v>6414</v>
      </c>
      <c r="AB2" s="26">
        <v>6737</v>
      </c>
      <c r="AC2" s="307">
        <v>25274.600000000002</v>
      </c>
      <c r="AD2" s="26">
        <v>6918</v>
      </c>
      <c r="AE2" s="26">
        <v>6668</v>
      </c>
      <c r="AF2" s="26">
        <v>6790</v>
      </c>
      <c r="AG2" s="26">
        <v>7394</v>
      </c>
      <c r="AH2" s="307">
        <v>27770</v>
      </c>
      <c r="AI2" s="26">
        <v>7258</v>
      </c>
      <c r="AJ2" s="26">
        <v>7065</v>
      </c>
      <c r="AK2" s="26">
        <v>6967</v>
      </c>
      <c r="AL2" s="26">
        <v>7087</v>
      </c>
      <c r="AM2" s="307">
        <v>28377</v>
      </c>
      <c r="AN2" s="26">
        <v>7371</v>
      </c>
      <c r="AO2" s="26">
        <v>7375</v>
      </c>
      <c r="AP2" s="26">
        <v>7488</v>
      </c>
      <c r="AQ2" s="26">
        <v>7541</v>
      </c>
      <c r="AR2" s="307">
        <v>29775</v>
      </c>
      <c r="AS2" s="26">
        <v>8247.0246057588192</v>
      </c>
      <c r="AT2" s="26">
        <v>8041</v>
      </c>
      <c r="AU2" s="26">
        <v>7927.0000000000018</v>
      </c>
      <c r="AV2" s="26">
        <v>8231</v>
      </c>
      <c r="AW2" s="307">
        <v>32446.024605758823</v>
      </c>
      <c r="AX2" s="26">
        <v>8477</v>
      </c>
      <c r="AY2" s="26">
        <v>8210</v>
      </c>
      <c r="AZ2" s="26">
        <v>7954.9999999999991</v>
      </c>
      <c r="BA2" s="26">
        <v>7667</v>
      </c>
      <c r="BB2" s="307">
        <v>32309</v>
      </c>
      <c r="BC2" s="26">
        <v>8337.9999999999982</v>
      </c>
      <c r="BD2" s="26">
        <v>7983</v>
      </c>
      <c r="BE2" s="26">
        <v>7519.3619999999992</v>
      </c>
      <c r="BF2" s="26">
        <v>8235.9974000000002</v>
      </c>
      <c r="BG2" s="307">
        <v>32076.359399999998</v>
      </c>
      <c r="BH2" s="26">
        <v>8051.9999999999991</v>
      </c>
      <c r="BI2" s="26">
        <v>7779.3813179999979</v>
      </c>
      <c r="BJ2" s="26">
        <v>7495.9999999999991</v>
      </c>
      <c r="BK2" s="26">
        <v>7610</v>
      </c>
      <c r="BL2" s="307">
        <v>30937.381318</v>
      </c>
      <c r="BM2" s="26">
        <v>7608.0000386350002</v>
      </c>
      <c r="BN2" s="26">
        <v>7447</v>
      </c>
      <c r="BO2" s="26">
        <v>6868</v>
      </c>
      <c r="BP2" s="26">
        <v>6985</v>
      </c>
      <c r="BQ2" s="307">
        <v>28908.000038635</v>
      </c>
      <c r="BR2" s="26">
        <v>7219</v>
      </c>
      <c r="BS2" s="26">
        <v>7360</v>
      </c>
      <c r="BT2" s="26">
        <v>7791</v>
      </c>
      <c r="BU2" s="26">
        <v>7460</v>
      </c>
      <c r="BV2" s="307">
        <v>29830</v>
      </c>
      <c r="BW2" s="26">
        <v>7941.5739951337036</v>
      </c>
      <c r="BX2" s="26">
        <v>8006.6783309430757</v>
      </c>
      <c r="BY2" s="26">
        <f>BY23</f>
      </c>
      <c r="BZ2" s="26">
        <v>7681.9241326149331</v>
      </c>
      <c r="CA2" s="307">
        <v>31641.672826085603</v>
      </c>
      <c r="CB2" s="27"/>
      <c r="CC2" s="27"/>
      <c r="CD2" s="27"/>
      <c r="CE2" s="27"/>
      <c r="CF2" s="27">
        <v>32367.790325875263</v>
      </c>
      <c r="CG2" s="179"/>
      <c r="CH2" s="27"/>
      <c r="CI2" s="27"/>
      <c r="CJ2" s="27"/>
      <c r="CK2" s="27">
        <v>33202.864275960492</v>
      </c>
      <c r="CL2" s="27"/>
      <c r="CM2" s="27"/>
      <c r="CN2" s="27"/>
      <c r="CO2" s="27"/>
      <c r="CP2" s="307">
        <v>33656.977801072826</v>
      </c>
      <c r="CQ2" s="27"/>
      <c r="CR2" s="27"/>
      <c r="CS2" s="27"/>
      <c r="CT2" s="27"/>
      <c r="CU2" s="307"/>
      <c r="CV2" s="27"/>
      <c r="CW2" s="27"/>
      <c r="CX2" s="27"/>
      <c r="CY2" s="27"/>
      <c r="CZ2" s="307"/>
      <c r="DA2" s="307"/>
      <c r="DB2" s="307"/>
      <c r="DC2" s="307"/>
      <c r="DD2" s="307"/>
      <c r="DE2" s="1766"/>
      <c r="DF2" s="1766"/>
      <c r="DG2" s="1766"/>
      <c r="DH2" s="1766"/>
      <c r="DI2" s="1766"/>
      <c r="DJ2" s="1766"/>
      <c r="DK2" s="1766"/>
      <c r="DL2" s="1766"/>
      <c r="DM2" s="1766"/>
      <c r="DN2" s="1766"/>
      <c r="DO2" s="1766"/>
      <c r="DP2" s="1766"/>
      <c r="DQ2" s="1766"/>
      <c r="DR2" s="1766"/>
      <c r="DS2" s="1766"/>
      <c r="DT2" s="1766"/>
      <c r="DU2" s="1766"/>
      <c r="DV2" s="1766"/>
      <c r="DW2" s="1766"/>
      <c r="DX2" s="1766"/>
      <c r="DY2" s="1766"/>
      <c r="DZ2" s="1766"/>
      <c r="EA2" s="1766"/>
      <c r="EB2" s="1766"/>
      <c r="EC2" s="1766"/>
      <c r="ED2" s="1766"/>
      <c r="EE2" s="1766"/>
      <c r="EF2" s="1766"/>
      <c r="EG2" s="1766"/>
      <c r="EH2" s="1766"/>
      <c r="EI2" s="1766"/>
      <c r="EJ2" s="1767"/>
      <c r="EK2" s="1767"/>
      <c r="EL2" s="1767"/>
      <c r="EM2" s="1767"/>
      <c r="EN2" s="1767"/>
      <c r="EO2" s="1767"/>
      <c r="EP2" s="1767"/>
      <c r="EQ2" s="1767"/>
      <c r="ER2" s="1767"/>
      <c r="ES2" s="1767"/>
      <c r="ET2" s="1767"/>
      <c r="EU2" s="1767"/>
      <c r="EV2" s="1767"/>
      <c r="EW2" s="1767"/>
      <c r="EX2" s="1767"/>
    </row>
    <row r="3" spans="1:154" ht="15.75" hidden="1" customHeight="1">
      <c r="B3" s="336" t="s">
        <v>235</v>
      </c>
      <c r="C3" s="25"/>
      <c r="D3" s="26">
        <v>10944.224347826086</v>
      </c>
      <c r="E3" s="26">
        <v>2947</v>
      </c>
      <c r="F3" s="26">
        <v>3002.8443365281692</v>
      </c>
      <c r="G3" s="26">
        <v>2796</v>
      </c>
      <c r="H3" s="26">
        <v>2899</v>
      </c>
      <c r="I3" s="27">
        <v>11644.844336528169</v>
      </c>
      <c r="J3" s="26">
        <v>3116</v>
      </c>
      <c r="K3" s="26">
        <v>3125</v>
      </c>
      <c r="L3" s="26">
        <v>2975</v>
      </c>
      <c r="M3" s="26">
        <v>2927</v>
      </c>
      <c r="N3" s="27">
        <v>12143</v>
      </c>
      <c r="O3" s="26">
        <v>3143</v>
      </c>
      <c r="P3" s="26">
        <v>3120</v>
      </c>
      <c r="Q3" s="26">
        <v>3082</v>
      </c>
      <c r="R3" s="26">
        <v>3150</v>
      </c>
      <c r="S3" s="27">
        <v>12495</v>
      </c>
      <c r="T3" s="26">
        <v>3222</v>
      </c>
      <c r="U3" s="26">
        <v>3474</v>
      </c>
      <c r="V3" s="26">
        <v>3490</v>
      </c>
      <c r="W3" s="26">
        <v>3657</v>
      </c>
      <c r="X3" s="307">
        <v>13843</v>
      </c>
      <c r="Y3" s="26">
        <v>3808.9</v>
      </c>
      <c r="Z3" s="26">
        <v>4220</v>
      </c>
      <c r="AA3" s="26">
        <v>4041</v>
      </c>
      <c r="AB3" s="26">
        <v>4517</v>
      </c>
      <c r="AC3" s="307">
        <v>16586.900000000001</v>
      </c>
      <c r="AD3" s="26">
        <v>4641</v>
      </c>
      <c r="AE3" s="26">
        <v>4816</v>
      </c>
      <c r="AF3" s="26">
        <v>4763</v>
      </c>
      <c r="AG3" s="26">
        <v>5358</v>
      </c>
      <c r="AH3" s="307">
        <v>19578</v>
      </c>
      <c r="AI3" s="26">
        <v>5574.2</v>
      </c>
      <c r="AJ3" s="26">
        <v>5697</v>
      </c>
      <c r="AK3" s="26">
        <v>5343</v>
      </c>
      <c r="AL3" s="26">
        <v>5523</v>
      </c>
      <c r="AM3" s="307">
        <v>22137.200000000001</v>
      </c>
      <c r="AN3" s="26">
        <v>5621</v>
      </c>
      <c r="AO3" s="26">
        <v>5988</v>
      </c>
      <c r="AP3" s="26">
        <v>5799</v>
      </c>
      <c r="AQ3" s="26">
        <v>6141</v>
      </c>
      <c r="AR3" s="307">
        <v>23549</v>
      </c>
      <c r="AS3" s="26">
        <v>6790</v>
      </c>
      <c r="AT3" s="26">
        <v>7090</v>
      </c>
      <c r="AU3" s="26">
        <v>7043</v>
      </c>
      <c r="AV3" s="26">
        <v>7727.1566265060246</v>
      </c>
      <c r="AW3" s="307">
        <v>28650.156626506025</v>
      </c>
      <c r="AX3" s="26">
        <v>7717</v>
      </c>
      <c r="AY3" s="26">
        <v>8240</v>
      </c>
      <c r="AZ3" s="26">
        <v>7966</v>
      </c>
      <c r="BA3" s="26">
        <v>7515.0000000000018</v>
      </c>
      <c r="BB3" s="307">
        <v>31438</v>
      </c>
      <c r="BC3" s="26">
        <v>6688.0000000000009</v>
      </c>
      <c r="BD3" s="26">
        <v>7256</v>
      </c>
      <c r="BE3" s="26">
        <v>7559.0466049999995</v>
      </c>
      <c r="BF3" s="26">
        <v>8309.0566080000008</v>
      </c>
      <c r="BG3" s="307">
        <v>29812.103213000002</v>
      </c>
      <c r="BH3" s="26">
        <v>7578.9999999999982</v>
      </c>
      <c r="BI3" s="26">
        <v>7550.6056573499982</v>
      </c>
      <c r="BJ3" s="26">
        <v>7485.9999999999982</v>
      </c>
      <c r="BK3" s="26">
        <v>8033.9999999999982</v>
      </c>
      <c r="BL3" s="307">
        <v>30649.605657349995</v>
      </c>
      <c r="BM3" s="26">
        <v>8565</v>
      </c>
      <c r="BN3" s="26">
        <v>9150</v>
      </c>
      <c r="BO3" s="26">
        <v>9137</v>
      </c>
      <c r="BP3" s="26">
        <v>9270</v>
      </c>
      <c r="BQ3" s="307">
        <v>36122</v>
      </c>
      <c r="BR3" s="26">
        <v>8920</v>
      </c>
      <c r="BS3" s="26">
        <v>9115</v>
      </c>
      <c r="BT3" s="26">
        <v>9261</v>
      </c>
      <c r="BU3" s="26">
        <v>10098</v>
      </c>
      <c r="BV3" s="307">
        <v>37394</v>
      </c>
      <c r="BW3" s="26">
        <v>9728.7193796119518</v>
      </c>
      <c r="BX3" s="26">
        <v>9969.9899839124246</v>
      </c>
      <c r="BY3" s="26">
        <f>BY24</f>
      </c>
      <c r="BZ3" s="26">
        <v>10381.806138054884</v>
      </c>
      <c r="CA3" s="307">
        <v>39809.480130358555</v>
      </c>
      <c r="CB3" s="27"/>
      <c r="CC3" s="27"/>
      <c r="CD3" s="27"/>
      <c r="CE3" s="27"/>
      <c r="CF3" s="27">
        <v>40900.19260957613</v>
      </c>
      <c r="CG3" s="27"/>
      <c r="CH3" s="27"/>
      <c r="CI3" s="27"/>
      <c r="CJ3" s="27"/>
      <c r="CK3" s="27">
        <v>42170.68236517765</v>
      </c>
      <c r="CL3" s="27"/>
      <c r="CM3" s="27"/>
      <c r="CN3" s="27"/>
      <c r="CO3" s="27"/>
      <c r="CP3" s="307">
        <v>43812.993216164221</v>
      </c>
      <c r="CQ3" s="27"/>
      <c r="CR3" s="27"/>
      <c r="CS3" s="27"/>
      <c r="CT3" s="27"/>
      <c r="CU3" s="307"/>
      <c r="CV3" s="27"/>
      <c r="CW3" s="27"/>
      <c r="CX3" s="27"/>
      <c r="CY3" s="27"/>
      <c r="CZ3" s="307"/>
      <c r="DA3" s="307"/>
      <c r="DB3" s="307"/>
      <c r="DC3" s="307"/>
      <c r="DD3" s="307"/>
      <c r="DE3" s="1766"/>
      <c r="DF3" s="1766"/>
      <c r="DG3" s="1766"/>
      <c r="DH3" s="1766"/>
      <c r="DI3" s="1766"/>
      <c r="DJ3" s="1766"/>
      <c r="DK3" s="1766"/>
      <c r="DL3" s="1766"/>
      <c r="DM3" s="1766"/>
      <c r="DN3" s="1766"/>
      <c r="DO3" s="1766"/>
      <c r="DP3" s="1766"/>
      <c r="DQ3" s="1766"/>
      <c r="DR3" s="1766"/>
      <c r="DS3" s="1766"/>
      <c r="DT3" s="1766"/>
      <c r="DU3" s="1766"/>
      <c r="DV3" s="1766"/>
      <c r="DW3" s="1766"/>
      <c r="DX3" s="1766"/>
      <c r="DY3" s="1766"/>
      <c r="DZ3" s="1766"/>
      <c r="EA3" s="1766"/>
      <c r="EB3" s="1766"/>
      <c r="EC3" s="1766"/>
      <c r="ED3" s="1766"/>
      <c r="EE3" s="1766"/>
      <c r="EF3" s="1766"/>
      <c r="EG3" s="1766"/>
      <c r="EH3" s="1766"/>
      <c r="EI3" s="1766"/>
      <c r="EJ3" s="1767"/>
      <c r="EK3" s="1767"/>
      <c r="EL3" s="1767"/>
      <c r="EM3" s="1767"/>
      <c r="EN3" s="1767"/>
      <c r="EO3" s="1767"/>
      <c r="EP3" s="1767"/>
      <c r="EQ3" s="1767"/>
      <c r="ER3" s="1767"/>
      <c r="ES3" s="1767"/>
      <c r="ET3" s="1767"/>
      <c r="EU3" s="1767"/>
      <c r="EV3" s="1767"/>
      <c r="EW3" s="1767"/>
      <c r="EX3" s="1767"/>
    </row>
    <row r="4" spans="1:154" ht="15.75" hidden="1" customHeight="1">
      <c r="B4" s="336" t="s">
        <v>19</v>
      </c>
      <c r="C4" s="25"/>
      <c r="D4" s="26">
        <v>23994.998706800445</v>
      </c>
      <c r="E4" s="26">
        <v>6794</v>
      </c>
      <c r="F4" s="26">
        <v>7016.98109583519</v>
      </c>
      <c r="G4" s="26">
        <v>6894</v>
      </c>
      <c r="H4" s="26">
        <v>6766</v>
      </c>
      <c r="I4" s="27">
        <v>27470.981095835192</v>
      </c>
      <c r="J4" s="26">
        <v>7440</v>
      </c>
      <c r="K4" s="26">
        <v>7670</v>
      </c>
      <c r="L4" s="26">
        <v>7438</v>
      </c>
      <c r="M4" s="26">
        <v>7298</v>
      </c>
      <c r="N4" s="27">
        <v>29846</v>
      </c>
      <c r="O4" s="26">
        <v>7855</v>
      </c>
      <c r="P4" s="26">
        <v>8179</v>
      </c>
      <c r="Q4" s="26">
        <v>8058</v>
      </c>
      <c r="R4" s="26">
        <v>8225</v>
      </c>
      <c r="S4" s="27">
        <v>32317</v>
      </c>
      <c r="T4" s="26">
        <v>8743</v>
      </c>
      <c r="U4" s="26">
        <v>9073</v>
      </c>
      <c r="V4" s="26">
        <v>9079</v>
      </c>
      <c r="W4" s="26">
        <v>9403</v>
      </c>
      <c r="X4" s="307">
        <v>36298</v>
      </c>
      <c r="Y4" s="26">
        <v>9820.5</v>
      </c>
      <c r="Z4" s="26">
        <v>10332</v>
      </c>
      <c r="AA4" s="26">
        <v>10455</v>
      </c>
      <c r="AB4" s="26">
        <v>11254</v>
      </c>
      <c r="AC4" s="307">
        <v>41861.5</v>
      </c>
      <c r="AD4" s="26">
        <v>11559</v>
      </c>
      <c r="AE4" s="26">
        <v>11484</v>
      </c>
      <c r="AF4" s="26">
        <v>11553</v>
      </c>
      <c r="AG4" s="26">
        <v>12752</v>
      </c>
      <c r="AH4" s="307">
        <v>47348</v>
      </c>
      <c r="AI4" s="26">
        <v>12832.2</v>
      </c>
      <c r="AJ4" s="26">
        <v>12762</v>
      </c>
      <c r="AK4" s="26">
        <v>12310</v>
      </c>
      <c r="AL4" s="26">
        <v>12610</v>
      </c>
      <c r="AM4" s="307">
        <v>50514.2</v>
      </c>
      <c r="AN4" s="26">
        <v>12992</v>
      </c>
      <c r="AO4" s="26">
        <v>13363</v>
      </c>
      <c r="AP4" s="26">
        <v>13287</v>
      </c>
      <c r="AQ4" s="26">
        <v>13682</v>
      </c>
      <c r="AR4" s="307">
        <v>53324</v>
      </c>
      <c r="AS4" s="26">
        <v>15037.024605758819</v>
      </c>
      <c r="AT4" s="26">
        <v>15131</v>
      </c>
      <c r="AU4" s="26">
        <v>14970.000000000002</v>
      </c>
      <c r="AV4" s="26">
        <v>15958.156626506025</v>
      </c>
      <c r="AW4" s="307">
        <v>61096.181232264847</v>
      </c>
      <c r="AX4" s="26">
        <v>16194</v>
      </c>
      <c r="AY4" s="26">
        <v>16450</v>
      </c>
      <c r="AZ4" s="26">
        <v>15921</v>
      </c>
      <c r="BA4" s="26">
        <v>15182.000000000002</v>
      </c>
      <c r="BB4" s="307">
        <v>63747</v>
      </c>
      <c r="BC4" s="26">
        <v>15025.999999999998</v>
      </c>
      <c r="BD4" s="26">
        <v>15239</v>
      </c>
      <c r="BE4" s="26">
        <v>15078.408605000001</v>
      </c>
      <c r="BF4" s="26">
        <v>16545.054007999999</v>
      </c>
      <c r="BG4" s="307">
        <v>61888.462612999996</v>
      </c>
      <c r="BH4" s="26">
        <v>15630.999999999998</v>
      </c>
      <c r="BI4" s="26">
        <v>15329.986975349995</v>
      </c>
      <c r="BJ4" s="26">
        <v>14981.999999999998</v>
      </c>
      <c r="BK4" s="26">
        <v>15644</v>
      </c>
      <c r="BL4" s="307">
        <v>61586.986975349995</v>
      </c>
      <c r="BM4" s="26">
        <v>16173.000038635</v>
      </c>
      <c r="BN4" s="26">
        <v>16597</v>
      </c>
      <c r="BO4" s="26">
        <v>16005</v>
      </c>
      <c r="BP4" s="26">
        <v>16255</v>
      </c>
      <c r="BQ4" s="307">
        <v>65030.000038635</v>
      </c>
      <c r="BR4" s="26">
        <v>16139</v>
      </c>
      <c r="BS4" s="26">
        <v>16475</v>
      </c>
      <c r="BT4" s="26">
        <v>17052</v>
      </c>
      <c r="BU4" s="26">
        <v>17558</v>
      </c>
      <c r="BV4" s="307">
        <v>67224</v>
      </c>
      <c r="BW4" s="26">
        <v>17670.293374745655</v>
      </c>
      <c r="BX4" s="26">
        <v>17976.668314855498</v>
      </c>
      <c r="BY4" s="26">
        <f>BY25</f>
      </c>
      <c r="BZ4" s="26">
        <v>18063.730270669817</v>
      </c>
      <c r="CA4" s="307">
        <v>71451.152956444159</v>
      </c>
      <c r="CB4" s="27"/>
      <c r="CC4" s="27"/>
      <c r="CD4" s="27"/>
      <c r="CE4" s="27"/>
      <c r="CF4" s="27">
        <v>73267.982935451393</v>
      </c>
      <c r="CG4" s="27"/>
      <c r="CH4" s="27"/>
      <c r="CI4" s="27"/>
      <c r="CJ4" s="27"/>
      <c r="CK4" s="27">
        <v>75373.546641138149</v>
      </c>
      <c r="CL4" s="27"/>
      <c r="CM4" s="27"/>
      <c r="CN4" s="27"/>
      <c r="CO4" s="27"/>
      <c r="CP4" s="307">
        <v>77469.971017237054</v>
      </c>
      <c r="CQ4" s="27"/>
      <c r="CR4" s="27"/>
      <c r="CS4" s="27"/>
      <c r="CT4" s="27"/>
      <c r="CU4" s="307"/>
      <c r="CV4" s="27"/>
      <c r="CW4" s="27"/>
      <c r="CX4" s="27"/>
      <c r="CY4" s="27"/>
      <c r="CZ4" s="307"/>
      <c r="DA4" s="307"/>
      <c r="DB4" s="307"/>
      <c r="DC4" s="307"/>
      <c r="DD4" s="307"/>
      <c r="DE4" s="1766"/>
      <c r="DF4" s="1766"/>
      <c r="DG4" s="1766"/>
      <c r="DH4" s="1766"/>
      <c r="DI4" s="1766"/>
      <c r="DJ4" s="1766"/>
      <c r="DK4" s="1766"/>
      <c r="DL4" s="1766"/>
      <c r="DM4" s="1766"/>
      <c r="DN4" s="1766"/>
      <c r="DO4" s="1766"/>
      <c r="DP4" s="1766"/>
      <c r="DQ4" s="1766"/>
      <c r="DR4" s="1766"/>
      <c r="DS4" s="1766"/>
      <c r="DT4" s="1766"/>
      <c r="DU4" s="1766"/>
      <c r="DV4" s="1766"/>
      <c r="DW4" s="1766"/>
      <c r="DX4" s="1766"/>
      <c r="DY4" s="1766"/>
      <c r="DZ4" s="1766"/>
      <c r="EA4" s="1766"/>
      <c r="EB4" s="1766"/>
      <c r="EC4" s="1766"/>
      <c r="ED4" s="1766"/>
      <c r="EE4" s="1766"/>
      <c r="EF4" s="1766"/>
      <c r="EG4" s="1766"/>
      <c r="EH4" s="1766"/>
      <c r="EI4" s="1766"/>
      <c r="EJ4" s="1767"/>
      <c r="EK4" s="1767"/>
      <c r="EL4" s="1767"/>
      <c r="EM4" s="1767"/>
      <c r="EN4" s="1767"/>
      <c r="EO4" s="1767"/>
      <c r="EP4" s="1767"/>
      <c r="EQ4" s="1767"/>
      <c r="ER4" s="1767"/>
      <c r="ES4" s="1767"/>
      <c r="ET4" s="1767"/>
      <c r="EU4" s="1767"/>
      <c r="EV4" s="1767"/>
      <c r="EW4" s="1767"/>
      <c r="EX4" s="1767"/>
    </row>
    <row r="5" spans="1:154" s="21" customFormat="1" ht="15.75" hidden="1" customHeight="1">
      <c r="A5" s="3275"/>
      <c r="B5" s="763"/>
      <c r="C5" s="25"/>
      <c r="D5" s="26"/>
      <c r="E5" s="26"/>
      <c r="F5" s="26"/>
      <c r="G5" s="26"/>
      <c r="H5" s="26"/>
      <c r="I5" s="27"/>
      <c r="J5" s="26"/>
      <c r="K5" s="26"/>
      <c r="L5" s="26"/>
      <c r="M5" s="26"/>
      <c r="N5" s="27"/>
      <c r="O5" s="26"/>
      <c r="P5" s="26"/>
      <c r="Q5" s="26"/>
      <c r="R5" s="26"/>
      <c r="S5" s="27"/>
      <c r="T5" s="26"/>
      <c r="U5" s="26"/>
      <c r="V5" s="26"/>
      <c r="W5" s="26"/>
      <c r="X5" s="27"/>
      <c r="Y5" s="26"/>
      <c r="Z5" s="26"/>
      <c r="AA5" s="26"/>
      <c r="AB5" s="26"/>
      <c r="AC5" s="27"/>
      <c r="AD5" s="26"/>
      <c r="AE5" s="26"/>
      <c r="AF5" s="26"/>
      <c r="AG5" s="26"/>
      <c r="AH5" s="27"/>
      <c r="AI5" s="26"/>
      <c r="AJ5" s="26"/>
      <c r="AK5" s="26"/>
      <c r="AL5" s="26"/>
      <c r="AM5" s="27"/>
      <c r="AN5" s="26"/>
      <c r="AO5" s="26"/>
      <c r="AP5" s="26"/>
      <c r="AQ5" s="26"/>
      <c r="AR5" s="27"/>
      <c r="AS5" s="26"/>
      <c r="AT5" s="26"/>
      <c r="AU5" s="26"/>
      <c r="AV5" s="26"/>
      <c r="AW5" s="27"/>
      <c r="AX5" s="26"/>
      <c r="AY5" s="26"/>
      <c r="AZ5" s="26"/>
      <c r="BA5" s="26"/>
      <c r="BB5" s="27"/>
      <c r="BC5" s="26"/>
      <c r="BD5" s="26"/>
      <c r="BE5" s="26"/>
      <c r="BF5" s="26"/>
      <c r="BG5" s="27"/>
      <c r="BH5" s="26"/>
      <c r="BI5" s="26"/>
      <c r="BJ5" s="26"/>
      <c r="BK5" s="26"/>
      <c r="BL5" s="27"/>
      <c r="BM5" s="26"/>
      <c r="BN5" s="26"/>
      <c r="BO5" s="26"/>
      <c r="BP5" s="26"/>
      <c r="BQ5" s="27"/>
      <c r="BR5" s="26"/>
      <c r="BS5" s="26"/>
      <c r="BT5" s="26"/>
      <c r="BU5" s="26"/>
      <c r="BV5" s="27"/>
      <c r="BW5" s="478">
        <f>+BW2-BW23</f>
      </c>
      <c r="BX5" s="478">
        <f>+BX2-BX23</f>
      </c>
      <c r="BY5" s="478">
        <f>+BY2-BY23</f>
      </c>
      <c r="BZ5" s="478">
        <f>+BZ2-BZ23</f>
      </c>
      <c r="CA5" s="764">
        <f>+CA2-CA23</f>
      </c>
      <c r="CB5" s="764"/>
      <c r="CC5" s="764"/>
      <c r="CD5" s="764"/>
      <c r="CE5" s="764"/>
      <c r="CF5" s="765">
        <f>+CF2-CF23</f>
      </c>
      <c r="CG5" s="764"/>
      <c r="CH5" s="764"/>
      <c r="CI5" s="764"/>
      <c r="CJ5" s="764"/>
      <c r="CK5" s="765">
        <f>+CK2-CK23</f>
      </c>
      <c r="CL5" s="765"/>
      <c r="CM5" s="765"/>
      <c r="CN5" s="765"/>
      <c r="CO5" s="764"/>
      <c r="CP5" s="1407">
        <f>+CP2-CP23</f>
      </c>
      <c r="CQ5" s="765"/>
      <c r="CR5" s="765"/>
      <c r="CS5" s="765"/>
      <c r="CT5" s="765"/>
      <c r="CU5" s="764"/>
      <c r="CV5" s="765"/>
      <c r="CW5" s="765"/>
      <c r="CX5" s="765"/>
      <c r="CY5" s="765"/>
      <c r="CZ5" s="764"/>
      <c r="DA5" s="764"/>
      <c r="DB5" s="764"/>
      <c r="DC5" s="764"/>
      <c r="DD5" s="764"/>
      <c r="DE5" s="1768"/>
      <c r="DF5" s="1768"/>
      <c r="DG5" s="1768"/>
      <c r="DH5" s="1768"/>
      <c r="DI5" s="1768"/>
      <c r="DJ5" s="1768"/>
      <c r="DK5" s="1768"/>
      <c r="DL5" s="1768"/>
      <c r="DM5" s="1768"/>
      <c r="DN5" s="1768"/>
      <c r="DO5" s="1768"/>
      <c r="DP5" s="1768"/>
      <c r="DQ5" s="1768"/>
      <c r="DR5" s="1768"/>
      <c r="DS5" s="1768"/>
      <c r="DT5" s="1768"/>
      <c r="DU5" s="1768"/>
      <c r="DV5" s="1768"/>
      <c r="DW5" s="1768"/>
      <c r="DX5" s="1768"/>
      <c r="DY5" s="1768"/>
      <c r="DZ5" s="1768"/>
      <c r="EA5" s="1768"/>
      <c r="EB5" s="1768"/>
      <c r="EC5" s="1768"/>
      <c r="ED5" s="1768"/>
      <c r="EE5" s="1768"/>
      <c r="EF5" s="1768"/>
      <c r="EG5" s="1768"/>
      <c r="EH5" s="1768"/>
      <c r="EI5" s="1768"/>
      <c r="EJ5" s="1768"/>
      <c r="EK5" s="1768"/>
      <c r="EL5" s="1768"/>
      <c r="EM5" s="1768"/>
      <c r="EN5" s="1768"/>
      <c r="EO5" s="1768"/>
      <c r="EP5" s="1768"/>
      <c r="EQ5" s="1768"/>
      <c r="ER5" s="1768"/>
      <c r="ES5" s="1768"/>
      <c r="ET5" s="1768"/>
      <c r="EU5" s="1768"/>
      <c r="EV5" s="1768"/>
      <c r="EW5" s="1768"/>
      <c r="EX5" s="1768"/>
    </row>
    <row r="6" spans="1:154" hidden="1"/>
    <row r="7" spans="1:154">
      <c r="CU7" s="946"/>
      <c r="CV7" s="946"/>
      <c r="CW7" s="946"/>
      <c r="CX7" s="946"/>
      <c r="CY7" s="946"/>
      <c r="CZ7" s="946"/>
      <c r="DA7" s="946"/>
      <c r="DB7" s="946"/>
      <c r="DC7" s="946"/>
      <c r="DD7" s="946"/>
      <c r="DE7" s="1045"/>
      <c r="DF7" s="1045"/>
      <c r="DG7" s="1045"/>
      <c r="DH7" s="1045"/>
      <c r="DI7" s="1045"/>
      <c r="DJ7" s="1045"/>
      <c r="DK7" s="1045"/>
      <c r="DL7" s="1045"/>
      <c r="DM7" s="1045"/>
      <c r="DN7" s="1045"/>
      <c r="DO7" s="1045"/>
      <c r="DP7" s="1045"/>
      <c r="DQ7" s="1045"/>
      <c r="DR7" s="1045"/>
      <c r="DS7" s="1045"/>
      <c r="DT7" s="1045"/>
      <c r="DU7" s="1045"/>
      <c r="DV7" s="1045"/>
      <c r="DW7" s="1045"/>
      <c r="DX7" s="1045"/>
      <c r="DY7" s="1045"/>
      <c r="DZ7" s="1045"/>
      <c r="EA7" s="1045"/>
      <c r="EB7" s="1045"/>
      <c r="EC7" s="1045"/>
      <c r="ED7" s="1045"/>
      <c r="EE7" s="1045"/>
      <c r="EF7" s="1045"/>
      <c r="EG7" s="1045"/>
      <c r="EH7" s="1045"/>
      <c r="EI7" s="1045"/>
      <c r="EJ7" s="1045"/>
      <c r="EK7" s="1045"/>
      <c r="EL7" s="1045"/>
      <c r="EM7" s="1045"/>
      <c r="EN7" s="1045"/>
      <c r="EO7" s="1045"/>
      <c r="EP7" s="1045"/>
    </row>
    <row r="8" spans="1:154">
      <c r="CU8" s="946"/>
      <c r="CV8" s="946"/>
      <c r="CW8" s="946"/>
      <c r="CX8" s="946"/>
      <c r="CY8" s="946"/>
      <c r="CZ8" s="946"/>
      <c r="DA8" s="946"/>
      <c r="DB8" s="946"/>
      <c r="DC8" s="946"/>
      <c r="DD8" s="946"/>
      <c r="DE8" s="1045"/>
      <c r="DF8" s="1045"/>
      <c r="DG8" s="1045"/>
      <c r="DH8" s="1045"/>
      <c r="DI8" s="1045"/>
      <c r="DJ8" s="1045"/>
      <c r="DK8" s="1045"/>
      <c r="DL8" s="1045"/>
      <c r="DM8" s="1045"/>
      <c r="DN8" s="1045"/>
      <c r="DO8" s="1045"/>
      <c r="DP8" s="1045"/>
      <c r="DQ8" s="1045"/>
      <c r="DR8" s="1045"/>
      <c r="DS8" s="1045"/>
      <c r="DT8" s="1045"/>
      <c r="DU8" s="1045"/>
      <c r="DV8" s="1045"/>
      <c r="DW8" s="1045"/>
      <c r="DX8" s="1045"/>
      <c r="DY8" s="1045"/>
      <c r="DZ8" s="1045"/>
      <c r="EA8" s="1045"/>
      <c r="EB8" s="1045"/>
      <c r="EC8" s="1045"/>
      <c r="ED8" s="1045"/>
      <c r="EE8" s="1045"/>
      <c r="EF8" s="1045"/>
      <c r="EG8" s="1045"/>
      <c r="EH8" s="1045"/>
      <c r="EI8" s="1045"/>
      <c r="EJ8" s="1045"/>
      <c r="EK8" s="1045"/>
      <c r="EL8" s="1045"/>
      <c r="EM8" s="1045"/>
      <c r="EN8" s="1045"/>
      <c r="EO8" s="1045"/>
      <c r="EP8" s="1045"/>
    </row>
    <row r="9" spans="1:154" ht="17.399999999999999">
      <c r="B9" s="1956" t="str">
        <f>Cover!D11</f>
      </c>
      <c r="CU9" s="946"/>
      <c r="CV9" s="946"/>
      <c r="CW9" s="946"/>
      <c r="CX9" s="946"/>
      <c r="CY9" s="946"/>
      <c r="CZ9" s="946"/>
      <c r="DA9" s="946"/>
      <c r="DB9" s="946"/>
      <c r="DC9" s="946"/>
      <c r="DD9" s="946"/>
      <c r="DE9" s="1045"/>
      <c r="DF9" s="1045"/>
      <c r="DG9" s="1045"/>
      <c r="DH9" s="1045"/>
      <c r="DI9" s="1045"/>
      <c r="DJ9" s="1045"/>
      <c r="DK9" s="1045"/>
      <c r="DL9" s="1045"/>
      <c r="DM9" s="1045"/>
      <c r="DN9" s="1045"/>
      <c r="DO9" s="1045"/>
      <c r="DP9" s="1759">
        <f>DP15/DK15-1</f>
      </c>
      <c r="DQ9" s="1759">
        <f t="shared" ref="DQ9:DS11" si="0">DQ15/DL15-1</f>
      </c>
      <c r="DR9" s="1759">
        <f t="shared" si="0"/>
      </c>
      <c r="DS9" s="1759">
        <f t="shared" si="0"/>
      </c>
      <c r="DT9"/>
      <c r="DU9"/>
      <c r="DV9"/>
      <c r="DW9"/>
      <c r="DX9" s="1221"/>
      <c r="DY9" s="1045"/>
      <c r="DZ9" s="1045"/>
      <c r="EA9" s="1045"/>
      <c r="EB9" s="1045"/>
      <c r="EC9" s="1045"/>
      <c r="ED9" s="1045"/>
      <c r="EE9" s="1045"/>
      <c r="EF9" s="1045"/>
      <c r="EG9" s="1045"/>
      <c r="EH9" s="1045"/>
      <c r="EI9" s="1045"/>
      <c r="EJ9" s="1045"/>
      <c r="EK9" s="1045"/>
      <c r="EL9" s="1045"/>
      <c r="EM9" s="1045"/>
      <c r="EN9" s="1045"/>
      <c r="EO9" s="1045"/>
      <c r="EP9" s="1045"/>
    </row>
    <row r="10" spans="1:154">
      <c r="CU10" s="946"/>
      <c r="CV10" s="946"/>
      <c r="CW10" s="946"/>
      <c r="CX10" s="946"/>
      <c r="CY10" s="946"/>
      <c r="CZ10" s="946"/>
      <c r="DA10" s="946"/>
      <c r="DB10" s="946"/>
      <c r="DC10" s="946"/>
      <c r="DD10" s="946"/>
      <c r="DE10" s="1045"/>
      <c r="DF10" s="1045"/>
      <c r="DG10" s="1045"/>
      <c r="DH10" s="1045"/>
      <c r="DI10" s="1045"/>
      <c r="DJ10" s="1045"/>
      <c r="DK10" s="1045"/>
      <c r="DL10" s="1045"/>
      <c r="DM10" s="1045"/>
      <c r="DN10" s="1045"/>
      <c r="DO10" s="1045"/>
      <c r="DP10" s="1759">
        <f>DP16/DK16-1</f>
      </c>
      <c r="DQ10" s="1759">
        <f t="shared" si="0"/>
      </c>
      <c r="DR10" s="1759">
        <f t="shared" si="0"/>
      </c>
      <c r="DS10" s="1759">
        <f t="shared" si="0"/>
      </c>
      <c r="DT10"/>
      <c r="DU10"/>
      <c r="DV10"/>
      <c r="DW10"/>
      <c r="DX10" s="1045"/>
      <c r="DY10" s="925"/>
      <c r="DZ10" s="1045"/>
      <c r="EA10" s="1045"/>
      <c r="EB10" s="1045"/>
      <c r="EC10" s="1045"/>
      <c r="ED10" s="925"/>
      <c r="EE10" s="925"/>
      <c r="EF10" s="925"/>
      <c r="EG10" s="925"/>
      <c r="EH10" s="925"/>
      <c r="EI10" s="2366"/>
      <c r="EJ10" s="1045"/>
      <c r="EK10" s="1045"/>
      <c r="EL10" s="1045"/>
      <c r="EM10" s="1045"/>
      <c r="EN10" s="1045"/>
      <c r="EO10" s="1045"/>
      <c r="EP10" s="1045"/>
    </row>
    <row r="11" spans="1:154" ht="13.2">
      <c r="B11" s="1957" t="s">
        <v>0</v>
      </c>
      <c r="CU11" s="946"/>
      <c r="CV11" s="946"/>
      <c r="CW11" s="946"/>
      <c r="CX11" s="946"/>
      <c r="CY11" s="946"/>
      <c r="CZ11" s="946"/>
      <c r="DA11" s="946"/>
      <c r="DB11" s="946"/>
      <c r="DC11" s="946"/>
      <c r="DD11" s="946"/>
      <c r="DE11" s="1045"/>
      <c r="DF11" s="1045"/>
      <c r="DG11" s="1045"/>
      <c r="DH11" s="1045"/>
      <c r="DI11" s="1045"/>
      <c r="DJ11" s="1045"/>
      <c r="DK11" s="1045"/>
      <c r="DL11" s="1045"/>
      <c r="DM11" s="1045"/>
      <c r="DN11" s="1045"/>
      <c r="DO11" s="1045"/>
      <c r="DP11" s="1759">
        <f>DP17/DK17-1</f>
      </c>
      <c r="DQ11" s="1759">
        <f t="shared" si="0"/>
      </c>
      <c r="DR11" s="1759">
        <f t="shared" si="0"/>
      </c>
      <c r="DS11" s="1759">
        <f>DS17/DN17-1</f>
      </c>
      <c r="DT11"/>
      <c r="DU11"/>
      <c r="DV11"/>
      <c r="DW11"/>
      <c r="DX11" s="1045"/>
      <c r="DY11" s="1221"/>
      <c r="DZ11" s="1045"/>
      <c r="EA11" s="1045"/>
      <c r="EB11" s="1045"/>
      <c r="EC11" s="1045"/>
      <c r="ED11" s="1045"/>
      <c r="EE11" s="1045"/>
      <c r="EF11" s="1045"/>
      <c r="EG11" s="1045"/>
      <c r="EH11" s="1045"/>
      <c r="EI11" s="1045"/>
      <c r="EJ11" s="1045"/>
      <c r="EK11" s="1045"/>
      <c r="EL11" s="1045"/>
      <c r="EM11" s="1045"/>
      <c r="EN11" s="1045"/>
      <c r="EO11" s="1045"/>
      <c r="EP11" s="1045"/>
    </row>
    <row r="12" spans="1:154" ht="13.2" thickBot="1">
      <c r="B12" s="1958"/>
      <c r="C12" s="1958"/>
      <c r="D12" s="1958"/>
      <c r="E12" s="1958"/>
      <c r="F12" s="1958"/>
      <c r="G12" s="1958"/>
      <c r="H12" s="1958"/>
      <c r="I12" s="1958"/>
      <c r="J12" s="1958"/>
      <c r="K12" s="1958"/>
      <c r="L12" s="1958"/>
      <c r="M12" s="1958"/>
      <c r="N12" s="1958"/>
      <c r="O12" s="1958"/>
      <c r="P12" s="1958"/>
      <c r="Q12" s="1958"/>
      <c r="R12" s="1958"/>
      <c r="S12" s="1958"/>
      <c r="T12" s="1958"/>
      <c r="U12" s="1958"/>
      <c r="V12" s="1958"/>
      <c r="W12" s="1958"/>
      <c r="X12" s="1958"/>
      <c r="Y12" s="1958"/>
      <c r="Z12" s="1958"/>
      <c r="AA12" s="1958"/>
      <c r="AB12" s="1958"/>
      <c r="AC12" s="1958"/>
      <c r="AD12" s="1958"/>
      <c r="AE12" s="1958"/>
      <c r="AF12" s="1958"/>
      <c r="AG12" s="1958"/>
      <c r="AH12" s="1958"/>
      <c r="AI12" s="1958"/>
      <c r="AJ12" s="1958"/>
      <c r="AK12" s="1958"/>
      <c r="AL12" s="1958"/>
      <c r="AM12" s="1958"/>
      <c r="AN12" s="1958"/>
      <c r="AO12" s="1958"/>
      <c r="AP12" s="1958"/>
      <c r="AQ12" s="1958"/>
      <c r="AR12" s="1958"/>
      <c r="AS12" s="1958"/>
      <c r="AT12" s="1958"/>
      <c r="AU12" s="1958"/>
      <c r="AV12" s="1958"/>
      <c r="AW12" s="1958"/>
      <c r="AX12" s="1958"/>
      <c r="AY12" s="1958"/>
      <c r="AZ12" s="1958"/>
      <c r="BA12" s="1958"/>
      <c r="BB12" s="1958"/>
      <c r="BC12" s="1958"/>
      <c r="BD12" s="1958"/>
      <c r="BE12" s="1958"/>
      <c r="BF12" s="1958"/>
      <c r="BG12" s="1958"/>
      <c r="BH12" s="1958"/>
      <c r="BI12" s="1958"/>
      <c r="BJ12" s="1958"/>
      <c r="BK12" s="1958"/>
      <c r="BL12" s="1958"/>
      <c r="BM12" s="1958"/>
      <c r="BN12" s="1958"/>
      <c r="BO12" s="1958"/>
      <c r="BP12" s="1958"/>
      <c r="BQ12" s="1958"/>
      <c r="BR12" s="1958"/>
      <c r="BS12" s="1958"/>
      <c r="BT12" s="1958"/>
      <c r="BU12" s="1958"/>
      <c r="BV12" s="1958"/>
      <c r="BW12" s="1958"/>
      <c r="BX12" s="1958"/>
      <c r="BY12" s="1958"/>
      <c r="BZ12" s="1958"/>
      <c r="CA12" s="1958"/>
      <c r="CB12" s="1958"/>
      <c r="CC12" s="1958"/>
      <c r="CD12" s="1958"/>
      <c r="CE12" s="1958"/>
      <c r="CF12" s="1958"/>
      <c r="CG12" s="1958"/>
      <c r="CH12" s="1958"/>
      <c r="CI12" s="1958"/>
      <c r="CJ12" s="1958"/>
      <c r="CK12" s="1958"/>
      <c r="CL12" s="1958"/>
      <c r="CM12" s="1958"/>
      <c r="CN12" s="1958"/>
      <c r="CO12" s="1958"/>
      <c r="CP12" s="1959"/>
      <c r="CQ12" s="1958"/>
      <c r="CR12" s="1958"/>
      <c r="CS12" s="1958"/>
      <c r="CT12" s="1958"/>
      <c r="CU12" s="1958"/>
      <c r="CV12" s="1958"/>
      <c r="CW12" s="1958"/>
      <c r="CX12" s="1958"/>
      <c r="CY12" s="1958"/>
      <c r="CZ12" s="1958"/>
      <c r="DA12" s="1958"/>
      <c r="DB12" s="1958"/>
      <c r="DC12" s="1958"/>
      <c r="DD12" s="1958"/>
      <c r="DE12" s="1960"/>
      <c r="DF12" s="1960"/>
      <c r="DG12" s="1960"/>
      <c r="DH12" s="1960"/>
      <c r="DI12" s="1960"/>
      <c r="DJ12" s="1960"/>
      <c r="DK12" s="1960"/>
      <c r="DL12" s="1960"/>
      <c r="DM12" s="1960"/>
      <c r="DN12" s="1960"/>
      <c r="DO12" s="1960"/>
      <c r="DP12" s="1960"/>
      <c r="DQ12" s="1960"/>
      <c r="DR12" s="1960"/>
      <c r="DS12" s="1960"/>
      <c r="DT12" s="1960"/>
      <c r="DU12" s="1960"/>
      <c r="DV12" s="1960"/>
      <c r="DW12" s="1960"/>
      <c r="DX12" s="1960"/>
      <c r="DY12" s="1960"/>
      <c r="DZ12" s="1960"/>
      <c r="EA12" s="3504"/>
      <c r="EB12" s="3504"/>
      <c r="EC12" s="3504"/>
      <c r="ED12" s="3504"/>
      <c r="EE12" s="3504"/>
      <c r="EF12" s="3504"/>
      <c r="EG12" s="3504"/>
      <c r="EH12" s="3504"/>
      <c r="EI12" s="1960"/>
      <c r="EJ12" s="1960"/>
      <c r="EK12" s="1960"/>
      <c r="EL12" s="1960"/>
      <c r="EM12" s="1960"/>
      <c r="EN12" s="1960"/>
      <c r="EO12" s="1960"/>
      <c r="EP12" s="1960"/>
      <c r="EQ12" s="1960"/>
      <c r="ER12" s="1960"/>
      <c r="ES12" s="1960"/>
      <c r="ET12" s="1960"/>
      <c r="EU12" s="1960"/>
      <c r="EV12" s="1960"/>
      <c r="EW12" s="1960"/>
      <c r="EX12" s="1960"/>
    </row>
    <row r="13" spans="1:154" s="946" customFormat="1" ht="10.199999999999999">
      <c r="A13" s="3275"/>
      <c r="B13" s="11" t="s">
        <v>792</v>
      </c>
      <c r="CP13" s="971"/>
      <c r="DE13" s="1045"/>
      <c r="DF13" s="1045"/>
      <c r="DG13" s="1045"/>
      <c r="DH13" s="1045"/>
      <c r="DI13" s="1045"/>
      <c r="DJ13" s="1045"/>
      <c r="DK13" s="1045"/>
      <c r="DL13" s="1045"/>
      <c r="DM13" s="1045"/>
      <c r="DN13" s="1045"/>
      <c r="DO13" s="1045"/>
      <c r="DP13" s="1045"/>
      <c r="DQ13" s="1045"/>
      <c r="DR13" s="1045"/>
      <c r="DS13" s="1045"/>
      <c r="DT13" s="1045"/>
      <c r="DU13" s="1045"/>
      <c r="DV13" s="1045"/>
      <c r="DW13" s="1221"/>
      <c r="DX13" s="1045"/>
      <c r="DY13" s="1045"/>
      <c r="DZ13" s="1045"/>
      <c r="EA13" s="1045"/>
      <c r="EB13" s="1045"/>
      <c r="EC13" s="1045"/>
      <c r="ED13" s="1045"/>
      <c r="EE13" s="1045"/>
      <c r="EF13" s="1045"/>
      <c r="EG13" s="1045"/>
      <c r="EH13" s="1045"/>
      <c r="EI13" s="1045"/>
      <c r="EJ13" s="1045"/>
      <c r="EK13" s="1045"/>
      <c r="EL13" s="1045"/>
      <c r="EM13" s="1045"/>
      <c r="EN13" s="1045"/>
      <c r="EO13" s="1045"/>
      <c r="EP13" s="1045"/>
      <c r="EQ13" s="1045"/>
      <c r="ER13" s="1045"/>
      <c r="ES13" s="1045"/>
      <c r="ET13" s="1045"/>
      <c r="EU13" s="1045"/>
      <c r="EV13" s="1045"/>
      <c r="EW13" s="1045"/>
      <c r="EX13" s="1045"/>
    </row>
    <row r="14" spans="1:154" hidden="1" outlineLevel="1">
      <c r="DJ14" s="1448" t="s">
        <v>835</v>
      </c>
    </row>
    <row r="15" spans="1:154" s="21" customFormat="1" ht="15.75" hidden="1" customHeight="1" outlineLevel="1">
      <c r="A15" s="3275"/>
      <c r="B15" s="763"/>
      <c r="C15" s="25"/>
      <c r="D15" s="26"/>
      <c r="E15" s="26"/>
      <c r="F15" s="26"/>
      <c r="G15" s="26"/>
      <c r="H15" s="26"/>
      <c r="I15" s="27"/>
      <c r="J15" s="26"/>
      <c r="K15" s="26"/>
      <c r="L15" s="26"/>
      <c r="M15" s="26"/>
      <c r="N15" s="27"/>
      <c r="O15" s="26"/>
      <c r="P15" s="26"/>
      <c r="Q15" s="26"/>
      <c r="R15" s="26"/>
      <c r="S15" s="27"/>
      <c r="T15" s="26"/>
      <c r="U15" s="26"/>
      <c r="V15" s="26"/>
      <c r="W15" s="26"/>
      <c r="X15" s="27"/>
      <c r="Y15" s="26"/>
      <c r="Z15" s="26"/>
      <c r="AA15" s="26"/>
      <c r="AB15" s="26"/>
      <c r="AC15" s="27"/>
      <c r="AD15" s="26"/>
      <c r="AE15" s="26"/>
      <c r="AF15" s="26"/>
      <c r="AG15" s="26"/>
      <c r="AH15" s="27"/>
      <c r="AI15" s="26"/>
      <c r="AJ15" s="26"/>
      <c r="AK15" s="26"/>
      <c r="AL15" s="26"/>
      <c r="AM15" s="27"/>
      <c r="AN15" s="26"/>
      <c r="AO15" s="26"/>
      <c r="AP15" s="26"/>
      <c r="AQ15" s="26"/>
      <c r="AR15" s="27"/>
      <c r="AS15" s="26"/>
      <c r="AT15" s="26"/>
      <c r="AU15" s="26"/>
      <c r="AV15" s="26"/>
      <c r="AW15" s="27"/>
      <c r="AX15" s="26"/>
      <c r="AY15" s="26"/>
      <c r="AZ15" s="26"/>
      <c r="BA15" s="26"/>
      <c r="BB15" s="27"/>
      <c r="BC15" s="26"/>
      <c r="BD15" s="26"/>
      <c r="BE15" s="26"/>
      <c r="BF15" s="26"/>
      <c r="BG15" s="27"/>
      <c r="BH15" s="26"/>
      <c r="BI15" s="26"/>
      <c r="BJ15" s="26"/>
      <c r="BK15" s="26"/>
      <c r="BL15" s="27"/>
      <c r="BM15" s="26"/>
      <c r="BN15" s="26"/>
      <c r="BO15" s="26"/>
      <c r="BP15" s="26"/>
      <c r="BQ15" s="27"/>
      <c r="BR15" s="26"/>
      <c r="BS15" s="26"/>
      <c r="BT15" s="26"/>
      <c r="BU15" s="26"/>
      <c r="BV15" s="27"/>
      <c r="BW15" s="478">
        <f t="shared" ref="BW15:CA16" si="1">+BW3-BW24</f>
      </c>
      <c r="BX15" s="478">
        <f t="shared" si="1"/>
      </c>
      <c r="BY15" s="478">
        <f t="shared" si="1"/>
      </c>
      <c r="BZ15" s="478">
        <f t="shared" si="1"/>
      </c>
      <c r="CA15" s="764">
        <f t="shared" si="1"/>
      </c>
      <c r="CB15" s="764"/>
      <c r="CC15" s="764"/>
      <c r="CD15" s="764"/>
      <c r="CE15" s="764"/>
      <c r="CF15" s="765"/>
      <c r="CG15" s="764"/>
      <c r="CH15" s="764"/>
      <c r="CI15" s="764"/>
      <c r="CJ15" s="764"/>
      <c r="CK15" s="765"/>
      <c r="CL15" s="765"/>
      <c r="CM15" s="765"/>
      <c r="CN15" s="765"/>
      <c r="CO15" s="764"/>
      <c r="CP15" s="1407"/>
      <c r="CQ15" s="765"/>
      <c r="CR15" s="765"/>
      <c r="CS15" s="765"/>
      <c r="CT15" s="765"/>
      <c r="CU15" s="764"/>
      <c r="CV15" s="765"/>
      <c r="CW15" s="765"/>
      <c r="CX15" s="765"/>
      <c r="CY15" s="765"/>
      <c r="CZ15" s="764"/>
      <c r="DA15" s="764"/>
      <c r="DB15" s="764"/>
      <c r="DC15" s="764"/>
      <c r="DD15" s="764"/>
      <c r="DE15" s="1768"/>
      <c r="DF15" s="1768"/>
      <c r="DG15" s="1768"/>
      <c r="DH15" s="1768"/>
      <c r="DI15" s="1768"/>
      <c r="DJ15" s="2678" t="s">
        <v>153</v>
      </c>
      <c r="DK15" s="2191">
        <f t="shared" ref="DK15:EC15" si="2">DK34-DK1651</f>
      </c>
      <c r="DL15" s="2191">
        <f t="shared" si="2"/>
      </c>
      <c r="DM15" s="2191">
        <f t="shared" si="2"/>
      </c>
      <c r="DN15" s="2191">
        <f t="shared" si="2"/>
      </c>
      <c r="DO15" s="2679">
        <f t="shared" si="2"/>
      </c>
      <c r="DP15" s="2679">
        <f t="shared" si="2"/>
      </c>
      <c r="DQ15" s="2679">
        <f t="shared" si="2"/>
      </c>
      <c r="DR15" s="2679">
        <f t="shared" si="2"/>
      </c>
      <c r="DS15" s="2679">
        <f t="shared" si="2"/>
      </c>
      <c r="DT15" s="2679">
        <f t="shared" si="2"/>
      </c>
      <c r="DU15" s="2679">
        <f t="shared" si="2"/>
      </c>
      <c r="DV15" s="2679">
        <f t="shared" si="2"/>
      </c>
      <c r="DW15" s="2679">
        <f t="shared" si="2"/>
      </c>
      <c r="DX15" s="2679">
        <f t="shared" si="2"/>
      </c>
      <c r="DY15" s="2679">
        <f t="shared" si="2"/>
      </c>
      <c r="DZ15" s="2679">
        <f t="shared" si="2"/>
      </c>
      <c r="EA15" s="2679">
        <f t="shared" si="2"/>
      </c>
      <c r="EB15" s="2679">
        <f t="shared" si="2"/>
      </c>
      <c r="EC15" s="2679">
        <f t="shared" si="2"/>
      </c>
      <c r="ED15" s="2679"/>
      <c r="EE15" s="2679"/>
      <c r="EF15" s="2679"/>
      <c r="EG15" s="2679"/>
      <c r="EH15" s="2679"/>
      <c r="EI15" s="2679">
        <f t="shared" ref="EI15:EN17" si="3">EI34-EI1651</f>
      </c>
      <c r="EJ15" s="2679">
        <f t="shared" si="3"/>
      </c>
      <c r="EK15" s="2679">
        <f t="shared" si="3"/>
      </c>
      <c r="EL15" s="2679">
        <f t="shared" si="3"/>
      </c>
      <c r="EM15" s="2679">
        <f t="shared" si="3"/>
      </c>
      <c r="EN15" s="2679">
        <f t="shared" si="3"/>
      </c>
      <c r="EO15" s="1768"/>
      <c r="EP15" s="1768"/>
      <c r="EQ15" s="1768"/>
      <c r="ER15" s="1768"/>
      <c r="ES15" s="1768"/>
      <c r="ET15" s="1768"/>
      <c r="EU15" s="1768"/>
      <c r="EV15" s="1768"/>
      <c r="EW15" s="1768"/>
      <c r="EX15" s="1768"/>
    </row>
    <row r="16" spans="1:154" s="21" customFormat="1" ht="15.75" hidden="1" customHeight="1" outlineLevel="1">
      <c r="A16" s="3275"/>
      <c r="BM16" s="175"/>
      <c r="BN16" s="175"/>
      <c r="BO16" s="175"/>
      <c r="BP16" s="175"/>
      <c r="BQ16" s="175"/>
      <c r="BR16" s="175"/>
      <c r="BS16" s="175"/>
      <c r="BT16" s="175"/>
      <c r="BU16" s="175"/>
      <c r="BV16" s="936"/>
      <c r="BW16" s="766">
        <f t="shared" si="1"/>
      </c>
      <c r="BX16" s="766">
        <f t="shared" si="1"/>
      </c>
      <c r="BY16" s="766">
        <f t="shared" si="1"/>
      </c>
      <c r="BZ16" s="766">
        <f t="shared" si="1"/>
      </c>
      <c r="CA16" s="766">
        <f t="shared" si="1"/>
      </c>
      <c r="CB16" s="766"/>
      <c r="CC16" s="766"/>
      <c r="CD16" s="766"/>
      <c r="CE16" s="766"/>
      <c r="CF16" s="766"/>
      <c r="CG16" s="766"/>
      <c r="CH16" s="766"/>
      <c r="CI16" s="766"/>
      <c r="CJ16" s="766"/>
      <c r="CK16" s="766"/>
      <c r="CL16" s="766"/>
      <c r="CM16" s="766"/>
      <c r="CN16" s="766"/>
      <c r="CO16" s="766"/>
      <c r="CP16" s="1408"/>
      <c r="CQ16" s="766"/>
      <c r="CR16" s="766"/>
      <c r="CS16" s="766"/>
      <c r="CT16" s="766"/>
      <c r="CU16" s="766"/>
      <c r="CV16" s="766"/>
      <c r="CW16" s="766"/>
      <c r="CX16" s="766"/>
      <c r="CY16" s="766"/>
      <c r="CZ16" s="766"/>
      <c r="DA16" s="766"/>
      <c r="DB16" s="766"/>
      <c r="DC16" s="766"/>
      <c r="DD16" s="766"/>
      <c r="DE16" s="1769"/>
      <c r="DF16" s="1769"/>
      <c r="DG16" s="1769"/>
      <c r="DH16" s="1769"/>
      <c r="DI16" s="1769"/>
      <c r="DJ16" s="2677" t="s">
        <v>774</v>
      </c>
      <c r="DK16" s="2191">
        <f t="shared" ref="DK16:EC16" si="4">DK35-DK1652</f>
      </c>
      <c r="DL16" s="2191">
        <f t="shared" si="4"/>
      </c>
      <c r="DM16" s="2191">
        <f t="shared" si="4"/>
      </c>
      <c r="DN16" s="2191">
        <f t="shared" si="4"/>
      </c>
      <c r="DO16" s="2679">
        <f t="shared" si="4"/>
      </c>
      <c r="DP16" s="2679">
        <f t="shared" si="4"/>
      </c>
      <c r="DQ16" s="2679">
        <f t="shared" si="4"/>
      </c>
      <c r="DR16" s="2679">
        <f t="shared" si="4"/>
      </c>
      <c r="DS16" s="2679">
        <f t="shared" si="4"/>
      </c>
      <c r="DT16" s="2679">
        <f t="shared" si="4"/>
      </c>
      <c r="DU16" s="2679">
        <f t="shared" si="4"/>
      </c>
      <c r="DV16" s="2679">
        <f t="shared" si="4"/>
      </c>
      <c r="DW16" s="2679">
        <f t="shared" si="4"/>
      </c>
      <c r="DX16" s="2679">
        <f t="shared" si="4"/>
      </c>
      <c r="DY16" s="2679">
        <f t="shared" si="4"/>
      </c>
      <c r="DZ16" s="2679">
        <f t="shared" si="4"/>
      </c>
      <c r="EA16" s="2679">
        <f t="shared" si="4"/>
      </c>
      <c r="EB16" s="2679">
        <f t="shared" si="4"/>
      </c>
      <c r="EC16" s="2679">
        <f t="shared" si="4"/>
      </c>
      <c r="ED16" s="2679"/>
      <c r="EE16" s="2679"/>
      <c r="EF16" s="2679"/>
      <c r="EG16" s="2679"/>
      <c r="EH16" s="2679"/>
      <c r="EI16" s="2679">
        <f t="shared" si="3"/>
      </c>
      <c r="EJ16" s="2679">
        <f t="shared" si="3"/>
      </c>
      <c r="EK16" s="2679">
        <f t="shared" si="3"/>
      </c>
      <c r="EL16" s="2679">
        <f t="shared" si="3"/>
      </c>
      <c r="EM16" s="2679">
        <f t="shared" si="3"/>
      </c>
      <c r="EN16" s="2679">
        <f t="shared" si="3"/>
      </c>
      <c r="EO16" s="1769"/>
      <c r="EP16" s="1769"/>
      <c r="EQ16" s="1769"/>
      <c r="ER16" s="1769"/>
      <c r="ES16" s="1769"/>
      <c r="ET16" s="1769"/>
      <c r="EU16" s="1769"/>
      <c r="EV16" s="1769"/>
      <c r="EW16" s="1769"/>
      <c r="EX16" s="1769"/>
    </row>
    <row r="17" spans="1:154" s="21" customFormat="1" ht="15.75" hidden="1" customHeight="1" outlineLevel="1" collapsed="1">
      <c r="A17" s="3275"/>
      <c r="BM17" s="175"/>
      <c r="BN17" s="175"/>
      <c r="BO17" s="175"/>
      <c r="BP17" s="175"/>
      <c r="BQ17" s="175"/>
      <c r="BR17" s="175"/>
      <c r="BS17" s="175"/>
      <c r="BT17" s="175"/>
      <c r="BU17" s="175"/>
      <c r="BV17" s="936"/>
      <c r="BW17" s="766"/>
      <c r="BX17" s="766"/>
      <c r="BY17" s="766"/>
      <c r="BZ17" s="766"/>
      <c r="CA17" s="766"/>
      <c r="CB17" s="766"/>
      <c r="CC17" s="766"/>
      <c r="CD17" s="766"/>
      <c r="CE17" s="766"/>
      <c r="CF17" s="766"/>
      <c r="CG17" s="766"/>
      <c r="CH17" s="766"/>
      <c r="CI17" s="766"/>
      <c r="CJ17" s="766"/>
      <c r="CK17" s="766"/>
      <c r="CL17" s="766"/>
      <c r="CM17" s="766"/>
      <c r="CN17" s="766"/>
      <c r="CO17" s="766"/>
      <c r="CP17" s="1408"/>
      <c r="CQ17" s="766"/>
      <c r="CR17" s="766"/>
      <c r="CS17" s="766"/>
      <c r="CT17" s="766"/>
      <c r="CU17" s="766"/>
      <c r="CV17" s="766"/>
      <c r="CW17" s="766"/>
      <c r="CX17" s="766"/>
      <c r="CY17" s="766"/>
      <c r="CZ17" s="766"/>
      <c r="DA17" s="766"/>
      <c r="DB17" s="766"/>
      <c r="DC17" s="766"/>
      <c r="DD17" s="766"/>
      <c r="DE17" s="1769"/>
      <c r="DF17" s="1769"/>
      <c r="DG17" s="1769"/>
      <c r="DH17" s="1769"/>
      <c r="DI17" s="1769"/>
      <c r="DJ17" s="2677" t="s">
        <v>188</v>
      </c>
      <c r="DK17" s="2191">
        <f t="shared" ref="DK17:EC17" si="5">DK36-DK1653</f>
      </c>
      <c r="DL17" s="2191">
        <f t="shared" si="5"/>
      </c>
      <c r="DM17" s="2191">
        <f t="shared" si="5"/>
      </c>
      <c r="DN17" s="2191">
        <f t="shared" si="5"/>
      </c>
      <c r="DO17" s="2679">
        <f t="shared" si="5"/>
      </c>
      <c r="DP17" s="2679">
        <f t="shared" si="5"/>
      </c>
      <c r="DQ17" s="2679">
        <f t="shared" si="5"/>
      </c>
      <c r="DR17" s="2679">
        <f t="shared" si="5"/>
      </c>
      <c r="DS17" s="2679">
        <f t="shared" si="5"/>
      </c>
      <c r="DT17" s="2679">
        <f t="shared" si="5"/>
      </c>
      <c r="DU17" s="2679">
        <f t="shared" si="5"/>
      </c>
      <c r="DV17" s="2679">
        <f t="shared" si="5"/>
      </c>
      <c r="DW17" s="2679">
        <f t="shared" si="5"/>
      </c>
      <c r="DX17" s="2679">
        <f t="shared" si="5"/>
      </c>
      <c r="DY17" s="2679">
        <f t="shared" si="5"/>
      </c>
      <c r="DZ17" s="2679">
        <f t="shared" si="5"/>
      </c>
      <c r="EA17" s="2679">
        <f t="shared" si="5"/>
      </c>
      <c r="EB17" s="2679">
        <f t="shared" si="5"/>
      </c>
      <c r="EC17" s="2679">
        <f t="shared" si="5"/>
      </c>
      <c r="ED17" s="2679"/>
      <c r="EE17" s="2679"/>
      <c r="EF17" s="2679"/>
      <c r="EG17" s="2679"/>
      <c r="EH17" s="2679"/>
      <c r="EI17" s="2679">
        <f t="shared" si="3"/>
      </c>
      <c r="EJ17" s="2679">
        <f t="shared" si="3"/>
      </c>
      <c r="EK17" s="2679">
        <f t="shared" si="3"/>
      </c>
      <c r="EL17" s="2679">
        <f t="shared" si="3"/>
      </c>
      <c r="EM17" s="2679">
        <f t="shared" si="3"/>
      </c>
      <c r="EN17" s="2679">
        <f t="shared" si="3"/>
      </c>
      <c r="EO17" s="1769"/>
      <c r="EP17" s="1769"/>
      <c r="EQ17" s="1769"/>
      <c r="ER17" s="1769"/>
      <c r="ES17" s="1769"/>
      <c r="ET17" s="1769"/>
      <c r="EU17" s="1769"/>
      <c r="EV17" s="1769"/>
      <c r="EW17" s="1769"/>
      <c r="EX17" s="1769"/>
    </row>
    <row r="18" spans="1:154" ht="15.75" customHeight="1" collapsed="1">
      <c r="B18" s="331"/>
      <c r="C18" s="5"/>
      <c r="D18" s="1"/>
      <c r="E18" s="1"/>
      <c r="F18" s="1"/>
      <c r="G18" s="1"/>
      <c r="H18" s="1"/>
      <c r="I18" s="24"/>
      <c r="J18" s="1"/>
      <c r="K18" s="1"/>
      <c r="L18" s="1"/>
      <c r="M18" s="1"/>
      <c r="N18" s="24"/>
      <c r="O18" s="24"/>
      <c r="P18" s="24"/>
      <c r="Q18" s="24"/>
      <c r="R18" s="24"/>
      <c r="S18" s="1"/>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373"/>
      <c r="BS18" s="373"/>
      <c r="BT18" s="373"/>
      <c r="BU18" s="373"/>
      <c r="BV18" s="243"/>
      <c r="BW18" s="243"/>
      <c r="BX18" s="243"/>
      <c r="BY18" s="243"/>
      <c r="BZ18" s="243"/>
      <c r="CA18" s="42"/>
      <c r="CB18" s="42"/>
      <c r="CC18" s="42"/>
      <c r="CD18" s="42"/>
      <c r="CE18" s="42"/>
      <c r="CF18" s="153"/>
      <c r="CG18" s="42"/>
      <c r="CH18" s="42"/>
      <c r="CI18" s="42"/>
      <c r="CJ18" s="42"/>
      <c r="CK18" s="42"/>
      <c r="CL18" s="940">
        <f>1.05113636363636-1</f>
      </c>
      <c r="CM18" s="940">
        <f>1.11725571725572-1</f>
      </c>
      <c r="CN18" s="940">
        <f>1.10829921845925-1</f>
      </c>
      <c r="CO18" s="1266" t="s">
        <v>632</v>
      </c>
      <c r="CP18" s="1409"/>
      <c r="CQ18" s="1226"/>
      <c r="CR18" s="1225"/>
      <c r="CS18" s="1255"/>
      <c r="CT18" s="1265" t="s">
        <v>633</v>
      </c>
      <c r="CU18" s="1242"/>
      <c r="CV18" s="1226"/>
      <c r="CW18" s="1225"/>
      <c r="CX18" s="1225"/>
      <c r="CY18" s="1225"/>
      <c r="CZ18" s="1242"/>
      <c r="DA18" s="1242"/>
      <c r="DB18" s="1242"/>
      <c r="DC18" s="1242"/>
      <c r="DD18" s="1242"/>
      <c r="DE18" s="1770"/>
      <c r="DF18" s="1770"/>
      <c r="DG18" s="1770"/>
      <c r="DH18" s="1770"/>
      <c r="DI18" s="1770"/>
      <c r="DJ18" s="1770"/>
      <c r="DK18" s="1770"/>
      <c r="DL18" s="1770"/>
      <c r="DM18" s="1770"/>
      <c r="DN18" s="1770"/>
      <c r="DO18" s="1770"/>
      <c r="DP18" s="1770"/>
      <c r="DQ18" s="1770"/>
      <c r="DR18" s="1770"/>
      <c r="DS18" s="1770"/>
      <c r="DT18" s="1770"/>
      <c r="DU18" s="1770"/>
      <c r="DV18" s="1770"/>
      <c r="DW18" s="1770"/>
      <c r="DX18" s="1770"/>
      <c r="DY18" s="2402"/>
      <c r="DZ18" s="1770"/>
      <c r="EA18" s="1770"/>
      <c r="EB18" s="1770"/>
      <c r="EC18" s="1770"/>
      <c r="ED18" s="3778"/>
      <c r="EE18" s="1770"/>
      <c r="EF18" s="1770"/>
      <c r="EG18" s="1770"/>
      <c r="EH18" s="1770"/>
      <c r="EI18" s="1770"/>
      <c r="EJ18" s="1770"/>
      <c r="EK18" s="1770"/>
      <c r="EL18" s="1770"/>
      <c r="EM18" s="1770"/>
      <c r="EN18" s="1770"/>
      <c r="EO18" s="1770"/>
      <c r="EP18" s="1770"/>
      <c r="EQ18" s="1770"/>
      <c r="ER18" s="1770"/>
      <c r="ES18" s="1770"/>
      <c r="ET18" s="1770"/>
      <c r="EU18" s="1770"/>
      <c r="EV18" s="1770"/>
      <c r="EW18" s="1770"/>
      <c r="EX18" s="1770"/>
    </row>
    <row r="19" spans="1:154" ht="15.75" customHeight="1">
      <c r="B19" s="564" t="s">
        <v>472</v>
      </c>
      <c r="C19" s="1988" t="s">
        <v>917</v>
      </c>
      <c r="D19" s="1978">
        <v>1998</v>
      </c>
      <c r="E19" s="566" t="s">
        <v>159</v>
      </c>
      <c r="F19" s="498" t="s">
        <v>160</v>
      </c>
      <c r="G19" s="498" t="s">
        <v>161</v>
      </c>
      <c r="H19" s="567" t="s">
        <v>162</v>
      </c>
      <c r="I19" s="565">
        <v>1999</v>
      </c>
      <c r="J19" s="566" t="s">
        <v>163</v>
      </c>
      <c r="K19" s="498" t="s">
        <v>164</v>
      </c>
      <c r="L19" s="498" t="s">
        <v>165</v>
      </c>
      <c r="M19" s="567" t="s">
        <v>166</v>
      </c>
      <c r="N19" s="565">
        <v>2000</v>
      </c>
      <c r="O19" s="566" t="s">
        <v>167</v>
      </c>
      <c r="P19" s="498" t="s">
        <v>168</v>
      </c>
      <c r="Q19" s="498" t="s">
        <v>169</v>
      </c>
      <c r="R19" s="567" t="s">
        <v>170</v>
      </c>
      <c r="S19" s="565">
        <v>2001</v>
      </c>
      <c r="T19" s="566" t="s">
        <v>317</v>
      </c>
      <c r="U19" s="498" t="s">
        <v>318</v>
      </c>
      <c r="V19" s="498" t="s">
        <v>173</v>
      </c>
      <c r="W19" s="567" t="s">
        <v>174</v>
      </c>
      <c r="X19" s="565">
        <v>2002</v>
      </c>
      <c r="Y19" s="566" t="s">
        <v>176</v>
      </c>
      <c r="Z19" s="498" t="s">
        <v>15</v>
      </c>
      <c r="AA19" s="498" t="s">
        <v>16</v>
      </c>
      <c r="AB19" s="567" t="s">
        <v>147</v>
      </c>
      <c r="AC19" s="565">
        <v>2003</v>
      </c>
      <c r="AD19" s="566" t="s">
        <v>267</v>
      </c>
      <c r="AE19" s="498" t="s">
        <v>392</v>
      </c>
      <c r="AF19" s="498" t="s">
        <v>46</v>
      </c>
      <c r="AG19" s="567" t="s">
        <v>47</v>
      </c>
      <c r="AH19" s="565">
        <v>2004</v>
      </c>
      <c r="AI19" s="566" t="s">
        <v>12</v>
      </c>
      <c r="AJ19" s="498" t="s">
        <v>42</v>
      </c>
      <c r="AK19" s="498" t="s">
        <v>190</v>
      </c>
      <c r="AL19" s="567" t="s">
        <v>357</v>
      </c>
      <c r="AM19" s="565">
        <v>2005</v>
      </c>
      <c r="AN19" s="566" t="s">
        <v>354</v>
      </c>
      <c r="AO19" s="498" t="s">
        <v>355</v>
      </c>
      <c r="AP19" s="498" t="s">
        <v>356</v>
      </c>
      <c r="AQ19" s="567" t="s">
        <v>224</v>
      </c>
      <c r="AR19" s="565">
        <v>2006</v>
      </c>
      <c r="AS19" s="566" t="s">
        <v>11</v>
      </c>
      <c r="AT19" s="498" t="s">
        <v>40</v>
      </c>
      <c r="AU19" s="498" t="s">
        <v>265</v>
      </c>
      <c r="AV19" s="567" t="s">
        <v>144</v>
      </c>
      <c r="AW19" s="565">
        <v>2007</v>
      </c>
      <c r="AX19" s="566" t="s">
        <v>145</v>
      </c>
      <c r="AY19" s="498" t="s">
        <v>122</v>
      </c>
      <c r="AZ19" s="498" t="s">
        <v>454</v>
      </c>
      <c r="BA19" s="498" t="s">
        <v>171</v>
      </c>
      <c r="BB19" s="565">
        <v>2008</v>
      </c>
      <c r="BC19" s="498" t="s">
        <v>275</v>
      </c>
      <c r="BD19" s="498" t="s">
        <v>274</v>
      </c>
      <c r="BE19" s="498" t="s">
        <v>140</v>
      </c>
      <c r="BF19" s="498" t="s">
        <v>141</v>
      </c>
      <c r="BG19" s="565">
        <v>2009</v>
      </c>
      <c r="BH19" s="258" t="s">
        <v>172</v>
      </c>
      <c r="BI19" s="258" t="s">
        <v>462</v>
      </c>
      <c r="BJ19" s="258" t="s">
        <v>465</v>
      </c>
      <c r="BK19" s="258" t="s">
        <v>466</v>
      </c>
      <c r="BL19" s="256">
        <v>2010</v>
      </c>
      <c r="BM19" s="258" t="s">
        <v>471</v>
      </c>
      <c r="BN19" s="258" t="s">
        <v>488</v>
      </c>
      <c r="BO19" s="258" t="s">
        <v>469</v>
      </c>
      <c r="BP19" s="258" t="s">
        <v>470</v>
      </c>
      <c r="BQ19" s="256">
        <v>2011</v>
      </c>
      <c r="BR19" s="258" t="s">
        <v>544</v>
      </c>
      <c r="BS19" s="258" t="s">
        <v>551</v>
      </c>
      <c r="BT19" s="258" t="s">
        <v>554</v>
      </c>
      <c r="BU19" s="258" t="s">
        <v>556</v>
      </c>
      <c r="BV19" s="256">
        <v>2012</v>
      </c>
      <c r="BW19" s="258" t="s">
        <v>566</v>
      </c>
      <c r="BX19" s="258" t="s">
        <v>567</v>
      </c>
      <c r="BY19" s="258" t="s">
        <v>568</v>
      </c>
      <c r="BZ19" s="258" t="s">
        <v>571</v>
      </c>
      <c r="CA19" s="256">
        <v>2013</v>
      </c>
      <c r="CB19" s="258" t="s">
        <v>575</v>
      </c>
      <c r="CC19" s="258" t="s">
        <v>576</v>
      </c>
      <c r="CD19" s="258" t="s">
        <v>577</v>
      </c>
      <c r="CE19" s="258" t="s">
        <v>587</v>
      </c>
      <c r="CF19" s="256">
        <v>2014</v>
      </c>
      <c r="CG19" s="258" t="s">
        <v>588</v>
      </c>
      <c r="CH19" s="258" t="s">
        <v>595</v>
      </c>
      <c r="CI19" s="258" t="s">
        <v>596</v>
      </c>
      <c r="CJ19" s="258" t="s">
        <v>606</v>
      </c>
      <c r="CK19" s="256">
        <v>2015</v>
      </c>
      <c r="CL19" s="258" t="s">
        <v>609</v>
      </c>
      <c r="CM19" s="258" t="s">
        <v>613</v>
      </c>
      <c r="CN19" s="258" t="s">
        <v>614</v>
      </c>
      <c r="CO19" s="1393" t="s">
        <v>620</v>
      </c>
      <c r="CP19" s="256">
        <v>2016</v>
      </c>
      <c r="CQ19" s="1229" t="s">
        <v>622</v>
      </c>
      <c r="CR19" s="1229" t="s">
        <v>623</v>
      </c>
      <c r="CS19" s="1258" t="s">
        <v>629</v>
      </c>
      <c r="CT19" s="1258" t="s">
        <v>635</v>
      </c>
      <c r="CU19" s="256">
        <v>2017</v>
      </c>
      <c r="CV19" s="1229" t="s">
        <v>646</v>
      </c>
      <c r="CW19" s="1229" t="s">
        <v>647</v>
      </c>
      <c r="CX19" s="1229" t="s">
        <v>656</v>
      </c>
      <c r="CY19" s="1258" t="s">
        <v>665</v>
      </c>
      <c r="CZ19" s="256">
        <v>2018</v>
      </c>
      <c r="DA19" s="1463" t="s">
        <v>741</v>
      </c>
      <c r="DB19" s="1464" t="s">
        <v>746</v>
      </c>
      <c r="DC19" s="1464" t="s">
        <v>748</v>
      </c>
      <c r="DD19" s="1464" t="s">
        <v>752</v>
      </c>
      <c r="DE19" s="256">
        <v>2019</v>
      </c>
      <c r="DF19" s="1463" t="s">
        <v>753</v>
      </c>
      <c r="DG19" s="1464" t="s">
        <v>754</v>
      </c>
      <c r="DH19" s="1464" t="s">
        <v>766</v>
      </c>
      <c r="DI19" s="1464" t="s">
        <v>767</v>
      </c>
      <c r="DJ19" s="256">
        <v>2020</v>
      </c>
      <c r="DK19" s="1463" t="s">
        <v>768</v>
      </c>
      <c r="DL19" s="1464" t="s">
        <v>769</v>
      </c>
      <c r="DM19" s="1464" t="s">
        <v>770</v>
      </c>
      <c r="DN19" s="1464" t="s">
        <v>771</v>
      </c>
      <c r="DO19" s="256">
        <v>2021</v>
      </c>
      <c r="DP19" s="1463" t="s">
        <v>799</v>
      </c>
      <c r="DQ19" s="1464" t="s">
        <v>800</v>
      </c>
      <c r="DR19" s="1464" t="s">
        <v>801</v>
      </c>
      <c r="DS19" s="1464" t="s">
        <v>802</v>
      </c>
      <c r="DT19" s="256">
        <v>2022</v>
      </c>
      <c r="DU19" s="2661" t="s">
        <v>804</v>
      </c>
      <c r="DV19" s="2685" t="s">
        <v>805</v>
      </c>
      <c r="DW19" s="2685" t="s">
        <v>806</v>
      </c>
      <c r="DX19" s="2685" t="s">
        <v>807</v>
      </c>
      <c r="DY19" s="256">
        <v>2023</v>
      </c>
      <c r="DZ19" s="2661" t="s">
        <v>877</v>
      </c>
      <c r="EA19" s="3169" t="s">
        <v>878</v>
      </c>
      <c r="EB19" s="3169" t="s">
        <v>879</v>
      </c>
      <c r="EC19" s="2685" t="s">
        <v>880</v>
      </c>
      <c r="ED19" s="256">
        <v>2024</v>
      </c>
      <c r="EE19" s="2661" t="s">
        <v>1051</v>
      </c>
      <c r="EF19" s="3169" t="s">
        <v>1107</v>
      </c>
      <c r="EG19" s="3169" t="s">
        <v>1108</v>
      </c>
      <c r="EH19" s="2106" t="s">
        <v>983</v>
      </c>
      <c r="EI19" s="1582" t="s">
        <v>630</v>
      </c>
      <c r="EJ19" s="3322" t="s">
        <v>826</v>
      </c>
      <c r="EK19" s="3322">
        <v>2027</v>
      </c>
      <c r="EL19" s="3322">
        <f t="shared" ref="EL19:EW19" si="6">EK19+1</f>
      </c>
      <c r="EM19" s="3322">
        <f t="shared" si="6"/>
      </c>
      <c r="EN19" s="3322">
        <f t="shared" si="6"/>
      </c>
      <c r="EO19" s="3322">
        <f t="shared" si="6"/>
      </c>
      <c r="EP19" s="3322">
        <f t="shared" si="6"/>
      </c>
      <c r="EQ19" s="3322">
        <f t="shared" si="6"/>
      </c>
      <c r="ER19" s="3322">
        <f t="shared" si="6"/>
      </c>
      <c r="ES19" s="3322">
        <f t="shared" si="6"/>
      </c>
      <c r="ET19" s="3322">
        <f t="shared" si="6"/>
      </c>
      <c r="EU19" s="3322">
        <f t="shared" si="6"/>
      </c>
      <c r="EV19" s="3322">
        <f t="shared" si="6"/>
      </c>
      <c r="EW19" s="3322">
        <f t="shared" si="6"/>
      </c>
      <c r="EX19" s="3322"/>
    </row>
    <row r="20" spans="1:154">
      <c r="A20" s="3276"/>
      <c r="B20" s="3463" t="s">
        <v>598</v>
      </c>
      <c r="C20" s="1577"/>
      <c r="D20" s="946"/>
      <c r="E20" s="3464"/>
      <c r="F20" s="3464"/>
      <c r="G20" s="959"/>
      <c r="H20" s="959"/>
      <c r="I20" s="1029"/>
      <c r="J20" s="959"/>
      <c r="K20" s="959"/>
      <c r="L20" s="959"/>
      <c r="M20" s="959"/>
      <c r="N20" s="1029"/>
      <c r="O20" s="25"/>
      <c r="P20" s="25"/>
      <c r="Q20" s="25"/>
      <c r="R20" s="25"/>
      <c r="S20" s="25"/>
      <c r="T20" s="25"/>
      <c r="U20" s="25"/>
      <c r="V20" s="25"/>
      <c r="W20" s="25"/>
      <c r="X20" s="1973"/>
      <c r="Y20" s="25"/>
      <c r="Z20" s="25"/>
      <c r="AA20" s="25"/>
      <c r="AB20" s="25"/>
      <c r="AC20" s="1973"/>
      <c r="AD20" s="25"/>
      <c r="AE20" s="25"/>
      <c r="AF20" s="25"/>
      <c r="AG20" s="25"/>
      <c r="AH20" s="1973"/>
      <c r="AI20" s="25"/>
      <c r="AJ20" s="25"/>
      <c r="AK20" s="25"/>
      <c r="AL20" s="25"/>
      <c r="AM20" s="1973"/>
      <c r="AN20" s="25"/>
      <c r="AO20" s="25"/>
      <c r="AP20" s="25"/>
      <c r="AQ20" s="25"/>
      <c r="AR20" s="1973"/>
      <c r="AS20" s="25"/>
      <c r="AT20" s="25"/>
      <c r="AU20" s="25"/>
      <c r="AV20" s="25"/>
      <c r="AW20" s="1973"/>
      <c r="AX20" s="25"/>
      <c r="AY20" s="25"/>
      <c r="AZ20" s="25"/>
      <c r="BA20" s="25"/>
      <c r="BB20" s="1973"/>
      <c r="BC20" s="25"/>
      <c r="BD20" s="25"/>
      <c r="BE20" s="3069"/>
      <c r="BF20" s="25"/>
      <c r="BG20" s="3465"/>
      <c r="BH20" s="3286"/>
      <c r="BI20" s="3286"/>
      <c r="BJ20" s="3286"/>
      <c r="BK20" s="25"/>
      <c r="BL20" s="1973"/>
      <c r="BM20" s="3069">
        <f>+BH24*BM21/BH25</f>
      </c>
      <c r="BN20" s="3069">
        <f>+BI24*BN21/BI25</f>
      </c>
      <c r="BO20" s="3069">
        <f>+BJ24*BO21/BJ25</f>
      </c>
      <c r="BP20" s="3069">
        <f>+BK24*BP21/BK25</f>
      </c>
      <c r="BQ20" s="1973"/>
      <c r="BR20" s="3069">
        <f>+BM24*BR21/BM25</f>
      </c>
      <c r="BS20" s="3069">
        <f>+BN24*BS21/BN25</f>
      </c>
      <c r="BT20" s="3069">
        <f>+BO24*BT21/BO25</f>
      </c>
      <c r="BU20" s="3069">
        <f>+BP24*BU21/BP25</f>
      </c>
      <c r="BV20" s="3466"/>
      <c r="BW20" s="3069">
        <f>+BR24*BW21/BR25</f>
      </c>
      <c r="BX20" s="3069">
        <f>+BS24*BX21/BS25</f>
      </c>
      <c r="BY20" s="3069">
        <f>+BT24*BY21/BT25</f>
      </c>
      <c r="BZ20" s="3069">
        <f>+BU24*BZ21/BU25</f>
      </c>
      <c r="CA20" s="1973"/>
      <c r="CB20" s="3069">
        <f>+BW24*CB21/BW25</f>
      </c>
      <c r="CC20" s="3069">
        <f>+BX24*CC21/BX25</f>
      </c>
      <c r="CD20" s="3069">
        <f>+BY24*CD21/BY25</f>
      </c>
      <c r="CE20" s="3069">
        <f>+BZ24*CE21/BZ25</f>
      </c>
      <c r="CF20" s="1973"/>
      <c r="CG20" s="3069">
        <f>+CB24*CG21/CB25</f>
      </c>
      <c r="CH20" s="3069">
        <f>+CC24*CH21/CC25</f>
      </c>
      <c r="CI20" s="3069">
        <f>+CD24*CI21/CD25</f>
      </c>
      <c r="CJ20" s="3069">
        <f>+CE24*CJ21/CE25</f>
      </c>
      <c r="CK20" s="1973"/>
      <c r="CL20" s="3069">
        <f>+CG24*CL21/CG25</f>
      </c>
      <c r="CM20" s="3069">
        <f>+CH24*CM21/CH25</f>
      </c>
      <c r="CN20" s="3069">
        <f>+CI24*CN21/CI25</f>
      </c>
      <c r="CO20" s="3069">
        <f>+CJ24*CO21/CJ25</f>
      </c>
      <c r="CP20" s="3467">
        <f>CP21*CK24/CK25</f>
      </c>
      <c r="CQ20" s="3069">
        <f>+CL24*CQ21/CL25</f>
      </c>
      <c r="CR20" s="3069">
        <f>+CM24*CR21/CM25</f>
      </c>
      <c r="CS20" s="3069">
        <f>+CN24*CS21/CN25</f>
      </c>
      <c r="CT20" s="3069">
        <f>+CO24*CT21/CO25</f>
      </c>
      <c r="CU20" s="3468">
        <f>CU21*CP24/CP25</f>
      </c>
      <c r="CV20" s="261">
        <f>+CQ24*CV21/CQ25</f>
      </c>
      <c r="CW20" s="261">
        <f>+CR24*CW21/CR25</f>
      </c>
      <c r="CX20" s="261">
        <f>+CS24*CX21/CS25</f>
      </c>
      <c r="CY20" s="261">
        <f>+CT24*CY21/CT25</f>
      </c>
      <c r="CZ20" s="3468">
        <f>CZ21*CU24/CU25</f>
      </c>
      <c r="DA20" s="261">
        <f>+CV24*DA21/CV25</f>
      </c>
      <c r="DB20" s="261">
        <f>+CW24*DB21/CW25</f>
      </c>
      <c r="DC20" s="261">
        <f>+CX24*DC21/CX25</f>
      </c>
      <c r="DD20" s="261">
        <f>+CY24*DD21/CY25</f>
      </c>
      <c r="DE20" s="3468">
        <f>DE21*CZ24/CZ25</f>
      </c>
      <c r="DF20" s="261">
        <f>+DA24*DF21/DA25</f>
      </c>
      <c r="DG20" s="261">
        <f>+DB24*DG21/DB25</f>
      </c>
      <c r="DH20" s="261">
        <f>+DC24*DH21/DC25</f>
      </c>
      <c r="DI20" s="261">
        <f>+DD24*DI21/DD25</f>
      </c>
      <c r="DJ20" s="3468">
        <f>DJ21*DE24/DE25</f>
      </c>
      <c r="DK20" s="261">
        <f>+DF24*DK21/DF25</f>
      </c>
      <c r="DL20" s="261">
        <f>+DG24*DL21/DG25</f>
      </c>
      <c r="DM20" s="261">
        <f>+DH24*DM21/DH25</f>
      </c>
      <c r="DN20" s="261">
        <f>+DI24*DN21/DI25</f>
      </c>
      <c r="DO20" s="3468">
        <f>DO21*DJ24/DJ25</f>
      </c>
      <c r="DP20" s="261">
        <f>+DK24*DP21/DK25</f>
      </c>
      <c r="DQ20" s="261">
        <f>+DL24*DQ21/DL25</f>
      </c>
      <c r="DR20" s="261">
        <f>+DM24*DR21/DM25</f>
      </c>
      <c r="DS20" s="261">
        <f>+DN24*DS21/DN25</f>
      </c>
      <c r="DT20" s="3468">
        <f>DT21*DO24/DO25</f>
      </c>
      <c r="DU20" s="261">
        <f>+DP24*DU21/DP25</f>
      </c>
      <c r="DV20" s="261">
        <f>+DQ24*DV21/DQ25</f>
      </c>
      <c r="DW20" s="261">
        <v>4.0000000000000001E-3</v>
      </c>
      <c r="DX20" s="261">
        <v>1E-3</v>
      </c>
      <c r="DY20" s="1764"/>
      <c r="DZ20" s="261">
        <f>+DU24*DZ21/DU25</f>
      </c>
      <c r="EA20" s="261">
        <f>+DV24*EA21/DV25</f>
      </c>
      <c r="EB20" s="261">
        <f>+DW24*EB21/DW25</f>
      </c>
      <c r="EC20" s="261">
        <f>+DX24*EC21/DX25</f>
      </c>
      <c r="ED20" s="3468">
        <f>ED21*DY24/DY25</f>
      </c>
      <c r="EE20" s="261">
        <f>+DZ24*EE21/DZ25</f>
      </c>
      <c r="EF20" s="261">
        <f>+EA24*EF21/EA25</f>
      </c>
      <c r="EG20" s="261">
        <f>+EB24*EG21/EB25</f>
      </c>
      <c r="EH20" s="261"/>
      <c r="EI20" s="1764"/>
      <c r="EJ20" s="1764"/>
      <c r="EK20" s="1764"/>
      <c r="EL20" s="1764"/>
      <c r="EM20" s="1764"/>
      <c r="EN20" s="1764"/>
      <c r="EO20" s="1771"/>
      <c r="EP20" s="1771"/>
      <c r="EQ20" s="1771"/>
      <c r="ER20" s="1771"/>
      <c r="ES20" s="1771"/>
      <c r="ET20" s="1771"/>
      <c r="EU20" s="1771"/>
      <c r="EV20" s="1771"/>
      <c r="EW20" s="1771"/>
      <c r="EX20" s="1771"/>
    </row>
    <row r="21" spans="1:154" s="1581" customFormat="1">
      <c r="A21" s="3321"/>
      <c r="B21" s="2734" t="s">
        <v>255</v>
      </c>
      <c r="C21" s="2051"/>
      <c r="D21" s="1765"/>
      <c r="E21" s="1765"/>
      <c r="F21" s="1765"/>
      <c r="G21" s="1765"/>
      <c r="H21" s="1765"/>
      <c r="I21" s="1765"/>
      <c r="J21" s="1765"/>
      <c r="K21" s="1765"/>
      <c r="L21" s="1765"/>
      <c r="M21" s="1765"/>
      <c r="N21" s="1765"/>
      <c r="O21" s="1765"/>
      <c r="P21" s="1765"/>
      <c r="Q21" s="1765"/>
      <c r="R21" s="1765"/>
      <c r="S21" s="1765"/>
      <c r="T21" s="1765"/>
      <c r="U21" s="1765"/>
      <c r="V21" s="1765"/>
      <c r="W21" s="1765"/>
      <c r="X21" s="1066"/>
      <c r="Y21" s="1765"/>
      <c r="Z21" s="1765"/>
      <c r="AA21" s="1765"/>
      <c r="AB21" s="1765"/>
      <c r="AC21" s="1066"/>
      <c r="AD21" s="1765"/>
      <c r="AE21" s="1765"/>
      <c r="AF21" s="1765"/>
      <c r="AG21" s="1765"/>
      <c r="AH21" s="1066"/>
      <c r="AI21" s="925">
        <v>5.3999999999999999E-2</v>
      </c>
      <c r="AJ21" s="925">
        <v>4.9000000000000002E-2</v>
      </c>
      <c r="AK21" s="925">
        <v>1.9E-2</v>
      </c>
      <c r="AL21" s="925">
        <v>-5.3000203970761772E-2</v>
      </c>
      <c r="AM21" s="1066">
        <f>SUMPRODUCT(AI21:AL21,AD24:AG24/AH24)</f>
      </c>
      <c r="AN21" s="925">
        <v>-5.2999999999999999E-2</v>
      </c>
      <c r="AO21" s="925">
        <v>-1E-3</v>
      </c>
      <c r="AP21" s="925">
        <v>2.8000000000000001E-2</v>
      </c>
      <c r="AQ21" s="925">
        <v>5.4873836682962134E-2</v>
      </c>
      <c r="AR21" s="1066">
        <f>SUMPRODUCT(AN21:AQ21,AI24:AL24)/AM24</f>
      </c>
      <c r="AS21" s="925">
        <v>5.3999999999999999E-2</v>
      </c>
      <c r="AT21" s="925">
        <v>5.3999999999999999E-2</v>
      </c>
      <c r="AU21" s="925">
        <v>6.8000000000000005E-2</v>
      </c>
      <c r="AV21" s="925">
        <v>0.10005371926396352</v>
      </c>
      <c r="AW21" s="1066">
        <f>SUMPRODUCT(AS21:AV21,AN24:AQ24)/AR24</f>
      </c>
      <c r="AX21" s="925">
        <v>0.113</v>
      </c>
      <c r="AY21" s="925">
        <v>0.11899999999999999</v>
      </c>
      <c r="AZ21" s="925">
        <v>6.6000000000000003E-2</v>
      </c>
      <c r="BA21" s="925">
        <v>-8.1000000000000003E-2</v>
      </c>
      <c r="BB21" s="1066">
        <f>SUMPRODUCT(AX21:BA21,AS24:AV24)/AW24</f>
      </c>
      <c r="BC21" s="925">
        <v>-0.126</v>
      </c>
      <c r="BD21" s="925">
        <v>-0.11899999999999999</v>
      </c>
      <c r="BE21" s="925">
        <v>-4.9000000000000002E-2</v>
      </c>
      <c r="BF21" s="925">
        <v>9.1999999999999998E-2</v>
      </c>
      <c r="BG21" s="1066">
        <f>SUMPRODUCT(BC21:BF21,AX24:BA24)/BB24</f>
      </c>
      <c r="BH21" s="925">
        <v>8.8999999999999996E-2</v>
      </c>
      <c r="BI21" s="925">
        <v>5.0000000000000001E-3</v>
      </c>
      <c r="BJ21" s="925">
        <f>-(0.8%*BE25)/BJ24</f>
      </c>
      <c r="BK21" s="925">
        <f>(-0.4%*BF25)/BK24</f>
      </c>
      <c r="BL21" s="1066">
        <f>SUMPRODUCT(BH21:BK21,BC24:BF24)/BG24</f>
      </c>
      <c r="BM21" s="925">
        <f>(1.7%*BH25)/BH24</f>
      </c>
      <c r="BN21" s="925">
        <f>(5.7%*BI25)/BI24</f>
      </c>
      <c r="BO21" s="925">
        <f>(4.2%*BJ25)/BJ24</f>
      </c>
      <c r="BP21" s="925">
        <f>(-0.1%*BK25)/BK24</f>
      </c>
      <c r="BQ21" s="1066">
        <f>SUMPRODUCT(BM21:BP21,BH24:BK24)/BL24</f>
      </c>
      <c r="BR21" s="926">
        <f>(-1.2%*BM25)/BM24</f>
      </c>
      <c r="BS21" s="926">
        <f>(-4.2%*BN25)/BN24</f>
      </c>
      <c r="BT21" s="926">
        <f>(-4.3%*BO25)/BO24</f>
      </c>
      <c r="BU21" s="926">
        <f>(-1.3%*BP25)/BP24</f>
      </c>
      <c r="BV21" s="1066">
        <f>SUMPRODUCT(BR21:BU21,BM24:BP24)/BQ24</f>
      </c>
      <c r="BW21" s="926">
        <f>(-1.3%*BR25)/BR24</f>
      </c>
      <c r="BX21" s="926">
        <f>(-1.5%*BS25)/BS24</f>
      </c>
      <c r="BY21" s="926">
        <f>(-1.6%*BT25)/BT24</f>
      </c>
      <c r="BZ21" s="926">
        <f>(-1.8%*BU25)/BU24</f>
      </c>
      <c r="CA21" s="1060">
        <f>SUMPRODUCT(BW21:BZ21,BR24:BU24)/BV24</f>
      </c>
      <c r="CB21" s="926">
        <f>(-1.8%*BW25)/BW24</f>
      </c>
      <c r="CC21" s="926">
        <f>(-0.3%*BX25)/BX24</f>
      </c>
      <c r="CD21" s="926">
        <f>(-0.7%*BY25)/BY24</f>
      </c>
      <c r="CE21" s="926">
        <f>(-4.5%*BZ25)/BZ24</f>
      </c>
      <c r="CF21" s="1060">
        <f>SUMPRODUCT(CB21:CE21,BW24:BZ24)/CA24</f>
      </c>
      <c r="CG21" s="926">
        <f>(-7.2%*CB25)/CB24</f>
      </c>
      <c r="CH21" s="926">
        <f>(-7.9%*CC25)/CC24</f>
      </c>
      <c r="CI21" s="926">
        <f>(-8.2%*CD25)/CD24</f>
      </c>
      <c r="CJ21" s="926">
        <f>(-6.8%*CE25)/CE24</f>
      </c>
      <c r="CK21" s="1060">
        <f>SUMPRODUCT(CG21:CJ21,CB24:CE24)/CF24</f>
      </c>
      <c r="CL21" s="926">
        <v>-3.3000000000000002E-2</v>
      </c>
      <c r="CM21" s="926">
        <v>-6.0000000000000001E-3</v>
      </c>
      <c r="CN21" s="926">
        <v>-5.0000000000000001E-3</v>
      </c>
      <c r="CO21" s="926">
        <v>-6.0000000000000001E-3</v>
      </c>
      <c r="CP21" s="1060">
        <f>SUMPRODUCT(CL21:CO21,CG24:CJ24)/CK24</f>
      </c>
      <c r="CQ21" s="926">
        <v>-8.9999999999999993E-3</v>
      </c>
      <c r="CR21" s="926">
        <v>-2.1000000000000001E-2</v>
      </c>
      <c r="CS21" s="926">
        <v>1.6E-2</v>
      </c>
      <c r="CT21" s="926">
        <v>4.4999999999999998E-2</v>
      </c>
      <c r="CU21" s="1060">
        <f>SUMPRODUCT(CQ21:CT21,CL24:CO24)/CP24</f>
      </c>
      <c r="CV21" s="926">
        <v>0.09</v>
      </c>
      <c r="CW21" s="926">
        <v>0.04</v>
      </c>
      <c r="CX21" s="926">
        <v>-0.04</v>
      </c>
      <c r="CY21" s="926">
        <v>-4.7E-2</v>
      </c>
      <c r="CZ21" s="1060">
        <f>SUMPRODUCT(CV21:CY21,CQ24:CT24)/CU24</f>
      </c>
      <c r="DA21" s="926">
        <v>-7.6999999999999999E-2</v>
      </c>
      <c r="DB21" s="926">
        <v>-5.8000000000000003E-2</v>
      </c>
      <c r="DC21" s="926">
        <v>-2.8000000000000001E-2</v>
      </c>
      <c r="DD21" s="926">
        <v>-4.5999999999999999E-2</v>
      </c>
      <c r="DE21" s="1060">
        <f>SUMPRODUCT(DA21:DD21,CV24:CY24)/CZ24</f>
      </c>
      <c r="DF21" s="926">
        <v>-0.03</v>
      </c>
      <c r="DG21" s="926">
        <v>-3.6999999999999998E-2</v>
      </c>
      <c r="DH21" s="926">
        <v>-0.02</v>
      </c>
      <c r="DI21" s="926">
        <v>-0.02</v>
      </c>
      <c r="DJ21" s="1060">
        <f>SUMPRODUCT(DF21:DI21,DA24:DD24)/DE24</f>
      </c>
      <c r="DK21" s="1219">
        <v>-0.05</v>
      </c>
      <c r="DL21" s="926">
        <v>-8.5457213658891459E-2</v>
      </c>
      <c r="DM21" s="926">
        <v>1.7000000000000001E-2</v>
      </c>
      <c r="DN21" s="926">
        <v>-2.7E-2</v>
      </c>
      <c r="DO21" s="1060">
        <f>SUMPRODUCT(DK21:DN21,DF24:DI24)/DJ24</f>
      </c>
      <c r="DP21" s="1219">
        <v>-5.3999999999999999E-2</v>
      </c>
      <c r="DQ21" s="926">
        <v>-0.10100000000000001</v>
      </c>
      <c r="DR21" s="926">
        <v>-0.126</v>
      </c>
      <c r="DS21" s="926">
        <v>-0.104</v>
      </c>
      <c r="DT21" s="1060">
        <f>SUMPRODUCT(DP21:DS21,DK24:DN24)/DO24</f>
      </c>
      <c r="DU21" s="1219">
        <v>-6.5000000000000002E-2</v>
      </c>
      <c r="DV21" s="1219">
        <v>-2.5000000000000001E-2</v>
      </c>
      <c r="DW21" s="1219">
        <v>8.9999999999999993E-3</v>
      </c>
      <c r="DX21" s="926">
        <v>2E-3</v>
      </c>
      <c r="DY21" s="1066"/>
      <c r="DZ21" s="261"/>
      <c r="EA21" s="261"/>
      <c r="EB21" s="1219">
        <v>-3.5000000000000003E-2</v>
      </c>
      <c r="EC21" s="926"/>
      <c r="ED21" s="1060">
        <f>+ED1370</f>
      </c>
      <c r="EE21" s="261"/>
      <c r="EF21" s="261"/>
      <c r="EG21" s="1219"/>
      <c r="EH21" s="649">
        <v>3.5000000000000003E-2</v>
      </c>
      <c r="EI21" s="3765"/>
      <c r="EJ21" s="448">
        <v>1.4999999999999999E-2</v>
      </c>
      <c r="EK21" s="1066">
        <v>0</v>
      </c>
      <c r="EL21" s="1066">
        <v>0</v>
      </c>
      <c r="EM21" s="1066">
        <v>0</v>
      </c>
      <c r="EN21" s="1066">
        <v>0</v>
      </c>
      <c r="EO21" s="1066"/>
      <c r="EP21" s="1066"/>
      <c r="EQ21" s="1066"/>
      <c r="ER21" s="1066"/>
      <c r="ES21" s="1066"/>
      <c r="ET21" s="316"/>
      <c r="EU21" s="316"/>
      <c r="EV21" s="316"/>
      <c r="EW21" s="316"/>
      <c r="EX21" s="316"/>
    </row>
    <row r="22" spans="1:154">
      <c r="B22" s="306" t="s">
        <v>916</v>
      </c>
      <c r="C22" s="1990"/>
      <c r="D22" s="3"/>
      <c r="E22" s="3"/>
      <c r="F22" s="3"/>
      <c r="G22" s="3"/>
      <c r="H22" s="3"/>
      <c r="I22" s="3"/>
      <c r="J22" s="3"/>
      <c r="K22" s="3"/>
      <c r="L22" s="3"/>
      <c r="M22" s="3"/>
      <c r="N22" s="3"/>
      <c r="O22" s="3"/>
      <c r="P22" s="3"/>
      <c r="Q22" s="3"/>
      <c r="R22" s="3"/>
      <c r="S22" s="3"/>
      <c r="T22" s="3"/>
      <c r="U22" s="3"/>
      <c r="V22" s="3"/>
      <c r="W22" s="3"/>
      <c r="X22" s="306"/>
      <c r="Y22" s="3"/>
      <c r="Z22" s="3"/>
      <c r="AA22" s="3"/>
      <c r="AB22" s="3"/>
      <c r="AC22" s="306"/>
      <c r="AD22" s="3"/>
      <c r="AE22" s="3"/>
      <c r="AF22" s="3"/>
      <c r="AG22" s="3"/>
      <c r="AH22" s="306"/>
      <c r="AI22" s="3"/>
      <c r="AJ22" s="3"/>
      <c r="AK22" s="3"/>
      <c r="AL22" s="3"/>
      <c r="AM22" s="306"/>
      <c r="AN22" s="3"/>
      <c r="AO22" s="3"/>
      <c r="AP22" s="3"/>
      <c r="AQ22" s="3"/>
      <c r="AR22" s="306"/>
      <c r="AS22" s="3"/>
      <c r="AT22" s="3"/>
      <c r="AU22" s="3"/>
      <c r="AV22" s="3"/>
      <c r="AW22" s="306"/>
      <c r="AX22" s="3"/>
      <c r="AY22" s="3"/>
      <c r="AZ22" s="3"/>
      <c r="BA22" s="3"/>
      <c r="BB22" s="306"/>
      <c r="BC22" s="3"/>
      <c r="BD22" s="3"/>
      <c r="BE22" s="3"/>
      <c r="BF22" s="3"/>
      <c r="BG22" s="306"/>
      <c r="BH22" s="3"/>
      <c r="BI22" s="3"/>
      <c r="BJ22" s="3"/>
      <c r="BK22" s="3"/>
      <c r="BL22" s="306"/>
      <c r="BM22" s="3"/>
      <c r="BN22" s="3"/>
      <c r="BO22" s="3"/>
      <c r="BP22" s="3"/>
      <c r="BQ22" s="306"/>
      <c r="BR22" s="3"/>
      <c r="BS22" s="3"/>
      <c r="BT22" s="3"/>
      <c r="BU22" s="3"/>
      <c r="BV22" s="306"/>
      <c r="BW22" s="3"/>
      <c r="BX22" s="3"/>
      <c r="BY22" s="3"/>
      <c r="BZ22" s="3"/>
      <c r="CA22" s="306" t="s">
        <v>29</v>
      </c>
      <c r="CB22" s="26"/>
      <c r="CC22" s="3"/>
      <c r="CD22" s="3"/>
      <c r="CE22" s="3"/>
      <c r="CF22" s="306"/>
      <c r="CG22" s="3"/>
      <c r="CH22" s="3"/>
      <c r="CI22" s="3"/>
      <c r="CJ22" s="3"/>
      <c r="CK22" s="306"/>
      <c r="CL22" s="3"/>
      <c r="CM22" s="3"/>
      <c r="CN22" s="3"/>
      <c r="CO22" s="3"/>
      <c r="CP22" s="306"/>
      <c r="CQ22" s="3"/>
      <c r="CR22" s="3"/>
      <c r="CS22" s="3"/>
      <c r="CT22" s="3"/>
      <c r="CU22" s="306"/>
      <c r="CV22" s="3"/>
      <c r="CW22" s="3"/>
      <c r="CX22" s="3"/>
      <c r="CY22" s="3"/>
      <c r="CZ22" s="306"/>
      <c r="DA22" s="177"/>
      <c r="DB22" s="3"/>
      <c r="DC22" s="3"/>
      <c r="DD22" s="1180"/>
      <c r="DE22" s="1764"/>
      <c r="DF22" s="1772"/>
      <c r="DG22" s="1765"/>
      <c r="DH22" s="1765"/>
      <c r="DI22" s="1773"/>
      <c r="DJ22" s="1774"/>
      <c r="DK22" s="1772"/>
      <c r="DL22" s="1765"/>
      <c r="DM22" s="1775"/>
      <c r="DN22" s="1775"/>
      <c r="DO22" s="1776"/>
      <c r="DP22" s="1776"/>
      <c r="DQ22" s="1775"/>
      <c r="DR22" s="1775"/>
      <c r="DS22" s="1775"/>
      <c r="DT22" s="1776"/>
      <c r="DU22" s="3075"/>
      <c r="DV22" s="3076"/>
      <c r="DW22" s="3469" t="s">
        <v>914</v>
      </c>
      <c r="DX22" s="1775"/>
      <c r="DY22" s="1764"/>
      <c r="DZ22" s="1775"/>
      <c r="EA22" s="1775"/>
      <c r="EB22" s="1775"/>
      <c r="EC22" s="1775"/>
      <c r="ED22" s="1851"/>
      <c r="EE22" s="1775"/>
      <c r="EF22" s="1775"/>
      <c r="EG22" s="1775"/>
      <c r="EH22" s="1775"/>
      <c r="EI22" s="1764"/>
      <c r="EJ22" s="1764"/>
      <c r="EK22" s="1764"/>
      <c r="EL22" s="1764"/>
      <c r="EM22" s="1764"/>
      <c r="EN22" s="1764"/>
      <c r="EO22" s="1764"/>
      <c r="EP22" s="1764"/>
      <c r="EQ22" s="1764"/>
      <c r="ER22" s="1764"/>
      <c r="ES22" s="1764"/>
      <c r="ET22" s="1764"/>
      <c r="EU22" s="1764"/>
      <c r="EV22" s="1764"/>
      <c r="EW22" s="1764"/>
      <c r="EX22" s="1764"/>
    </row>
    <row r="23" spans="1:154">
      <c r="A23" s="3275" t="s">
        <v>618</v>
      </c>
      <c r="B23" s="336" t="s">
        <v>153</v>
      </c>
      <c r="C23" s="1990"/>
      <c r="D23" s="15">
        <f t="shared" ref="D23:AI23" si="7">+D1487+D885+D1348</f>
      </c>
      <c r="E23" s="15">
        <f t="shared" si="7"/>
      </c>
      <c r="F23" s="15">
        <f t="shared" si="7"/>
      </c>
      <c r="G23" s="15">
        <f t="shared" si="7"/>
      </c>
      <c r="H23" s="15">
        <f t="shared" si="7"/>
      </c>
      <c r="I23" s="179">
        <f t="shared" si="7"/>
      </c>
      <c r="J23" s="15">
        <f t="shared" si="7"/>
      </c>
      <c r="K23" s="15">
        <f t="shared" si="7"/>
      </c>
      <c r="L23" s="15">
        <f t="shared" si="7"/>
      </c>
      <c r="M23" s="15">
        <f t="shared" si="7"/>
      </c>
      <c r="N23" s="179">
        <f t="shared" si="7"/>
      </c>
      <c r="O23" s="15">
        <f t="shared" si="7"/>
      </c>
      <c r="P23" s="15">
        <f t="shared" si="7"/>
      </c>
      <c r="Q23" s="15">
        <f t="shared" si="7"/>
      </c>
      <c r="R23" s="15">
        <f t="shared" si="7"/>
      </c>
      <c r="S23" s="179">
        <f t="shared" si="7"/>
      </c>
      <c r="T23" s="15">
        <f t="shared" si="7"/>
      </c>
      <c r="U23" s="15">
        <f t="shared" si="7"/>
      </c>
      <c r="V23" s="15">
        <f t="shared" si="7"/>
      </c>
      <c r="W23" s="15">
        <f t="shared" si="7"/>
      </c>
      <c r="X23" s="326">
        <f t="shared" si="7"/>
      </c>
      <c r="Y23" s="15">
        <f t="shared" si="7"/>
      </c>
      <c r="Z23" s="15">
        <f t="shared" si="7"/>
      </c>
      <c r="AA23" s="15">
        <f t="shared" si="7"/>
      </c>
      <c r="AB23" s="15">
        <f t="shared" si="7"/>
      </c>
      <c r="AC23" s="326">
        <f t="shared" si="7"/>
      </c>
      <c r="AD23" s="15">
        <f t="shared" si="7"/>
      </c>
      <c r="AE23" s="15">
        <f t="shared" si="7"/>
      </c>
      <c r="AF23" s="15">
        <f t="shared" si="7"/>
      </c>
      <c r="AG23" s="15">
        <f t="shared" si="7"/>
      </c>
      <c r="AH23" s="326">
        <f t="shared" si="7"/>
      </c>
      <c r="AI23" s="15">
        <f t="shared" si="7"/>
      </c>
      <c r="AJ23" s="15">
        <f t="shared" ref="AJ23:BO23" si="8">+AJ1487+AJ885+AJ1348</f>
      </c>
      <c r="AK23" s="15">
        <f t="shared" si="8"/>
      </c>
      <c r="AL23" s="15">
        <f t="shared" si="8"/>
      </c>
      <c r="AM23" s="326">
        <f t="shared" si="8"/>
      </c>
      <c r="AN23" s="15">
        <f t="shared" si="8"/>
      </c>
      <c r="AO23" s="15">
        <f t="shared" si="8"/>
      </c>
      <c r="AP23" s="15">
        <f t="shared" si="8"/>
      </c>
      <c r="AQ23" s="15">
        <f t="shared" si="8"/>
      </c>
      <c r="AR23" s="326">
        <f t="shared" si="8"/>
      </c>
      <c r="AS23" s="15">
        <f t="shared" si="8"/>
      </c>
      <c r="AT23" s="15">
        <f t="shared" si="8"/>
      </c>
      <c r="AU23" s="15">
        <f t="shared" si="8"/>
      </c>
      <c r="AV23" s="15">
        <f t="shared" si="8"/>
      </c>
      <c r="AW23" s="326">
        <f t="shared" si="8"/>
      </c>
      <c r="AX23" s="15">
        <f t="shared" si="8"/>
      </c>
      <c r="AY23" s="15">
        <f t="shared" si="8"/>
      </c>
      <c r="AZ23" s="15">
        <f t="shared" si="8"/>
      </c>
      <c r="BA23" s="15">
        <f t="shared" si="8"/>
      </c>
      <c r="BB23" s="326">
        <f t="shared" si="8"/>
      </c>
      <c r="BC23" s="15">
        <f t="shared" si="8"/>
      </c>
      <c r="BD23" s="15">
        <f t="shared" si="8"/>
      </c>
      <c r="BE23" s="15">
        <f t="shared" si="8"/>
      </c>
      <c r="BF23" s="15">
        <f t="shared" si="8"/>
      </c>
      <c r="BG23" s="326">
        <f t="shared" si="8"/>
      </c>
      <c r="BH23" s="15">
        <f t="shared" si="8"/>
      </c>
      <c r="BI23" s="15">
        <f t="shared" si="8"/>
      </c>
      <c r="BJ23" s="15">
        <f t="shared" si="8"/>
      </c>
      <c r="BK23" s="15">
        <f t="shared" si="8"/>
      </c>
      <c r="BL23" s="326">
        <f t="shared" si="8"/>
      </c>
      <c r="BM23" s="15">
        <f t="shared" si="8"/>
      </c>
      <c r="BN23" s="15">
        <f t="shared" si="8"/>
      </c>
      <c r="BO23" s="15">
        <f t="shared" si="8"/>
      </c>
      <c r="BP23" s="15">
        <f t="shared" ref="BP23:CU23" si="9">+BP1487+BP885+BP1348</f>
      </c>
      <c r="BQ23" s="326">
        <f t="shared" si="9"/>
      </c>
      <c r="BR23" s="15">
        <f t="shared" si="9"/>
      </c>
      <c r="BS23" s="15">
        <f t="shared" si="9"/>
      </c>
      <c r="BT23" s="15">
        <f t="shared" si="9"/>
      </c>
      <c r="BU23" s="15">
        <f t="shared" si="9"/>
      </c>
      <c r="BV23" s="326">
        <f t="shared" si="9"/>
      </c>
      <c r="BW23" s="15">
        <f t="shared" si="9"/>
      </c>
      <c r="BX23" s="15">
        <f t="shared" si="9"/>
      </c>
      <c r="BY23" s="15">
        <f t="shared" si="9"/>
      </c>
      <c r="BZ23" s="15">
        <f t="shared" si="9"/>
      </c>
      <c r="CA23" s="326">
        <f t="shared" si="9"/>
      </c>
      <c r="CB23" s="15">
        <f t="shared" si="9"/>
      </c>
      <c r="CC23" s="15">
        <f t="shared" si="9"/>
      </c>
      <c r="CD23" s="15">
        <f t="shared" si="9"/>
      </c>
      <c r="CE23" s="15">
        <f t="shared" si="9"/>
      </c>
      <c r="CF23" s="326">
        <f t="shared" si="9"/>
      </c>
      <c r="CG23" s="15">
        <f t="shared" si="9"/>
      </c>
      <c r="CH23" s="15">
        <f t="shared" si="9"/>
      </c>
      <c r="CI23" s="15">
        <f t="shared" si="9"/>
      </c>
      <c r="CJ23" s="15">
        <f t="shared" si="9"/>
      </c>
      <c r="CK23" s="326">
        <f t="shared" si="9"/>
      </c>
      <c r="CL23" s="15">
        <f t="shared" si="9"/>
      </c>
      <c r="CM23" s="15">
        <f t="shared" si="9"/>
      </c>
      <c r="CN23" s="15">
        <f t="shared" si="9"/>
      </c>
      <c r="CO23" s="15">
        <f t="shared" si="9"/>
      </c>
      <c r="CP23" s="326">
        <f t="shared" si="9"/>
      </c>
      <c r="CQ23" s="15">
        <f t="shared" si="9"/>
      </c>
      <c r="CR23" s="15">
        <f t="shared" si="9"/>
      </c>
      <c r="CS23" s="15">
        <f t="shared" si="9"/>
      </c>
      <c r="CT23" s="15">
        <f t="shared" si="9"/>
      </c>
      <c r="CU23" s="1187">
        <f t="shared" si="9"/>
      </c>
      <c r="CV23" s="15">
        <f t="shared" ref="CV23:DV23" si="10">+CV1487+CV885+CV1348</f>
      </c>
      <c r="CW23" s="15">
        <f t="shared" si="10"/>
      </c>
      <c r="CX23" s="15">
        <f t="shared" si="10"/>
      </c>
      <c r="CY23" s="15">
        <f t="shared" si="10"/>
      </c>
      <c r="CZ23" s="1187">
        <f t="shared" si="10"/>
      </c>
      <c r="DA23" s="15">
        <f t="shared" si="10"/>
      </c>
      <c r="DB23" s="1353">
        <f t="shared" si="10"/>
      </c>
      <c r="DC23" s="1353">
        <f t="shared" si="10"/>
      </c>
      <c r="DD23" s="1343">
        <f t="shared" si="10"/>
      </c>
      <c r="DE23" s="1187">
        <f t="shared" si="10"/>
      </c>
      <c r="DF23" s="1777">
        <f t="shared" si="10"/>
      </c>
      <c r="DG23" s="1353">
        <f t="shared" si="10"/>
      </c>
      <c r="DH23" s="1353">
        <f t="shared" si="10"/>
      </c>
      <c r="DI23" s="1546">
        <f t="shared" si="10"/>
      </c>
      <c r="DJ23" s="1550">
        <f t="shared" si="10"/>
      </c>
      <c r="DK23" s="1777">
        <f t="shared" si="10"/>
      </c>
      <c r="DL23" s="1353">
        <f t="shared" si="10"/>
      </c>
      <c r="DM23" s="1353">
        <f t="shared" si="10"/>
      </c>
      <c r="DN23" s="1343">
        <f t="shared" si="10"/>
      </c>
      <c r="DO23" s="1187">
        <f t="shared" si="10"/>
      </c>
      <c r="DP23" s="1353">
        <f t="shared" si="10"/>
      </c>
      <c r="DQ23" s="1353">
        <f t="shared" si="10"/>
      </c>
      <c r="DR23" s="1353">
        <f t="shared" si="10"/>
      </c>
      <c r="DS23" s="1343">
        <f t="shared" si="10"/>
      </c>
      <c r="DT23" s="1187">
        <f t="shared" si="10"/>
      </c>
      <c r="DU23" s="1353">
        <f t="shared" si="10"/>
      </c>
      <c r="DV23" s="1353">
        <f t="shared" si="10"/>
      </c>
      <c r="DW23" s="1353">
        <f t="shared" ref="DW23:EN25" si="11">+DW885+DW1348</f>
      </c>
      <c r="DX23" s="1343">
        <f t="shared" si="11"/>
      </c>
      <c r="DY23" s="1187">
        <f t="shared" si="11"/>
      </c>
      <c r="DZ23" s="1353">
        <f t="shared" si="11"/>
      </c>
      <c r="EA23" s="1353">
        <f t="shared" si="11"/>
      </c>
      <c r="EB23" s="1353">
        <f t="shared" si="11"/>
      </c>
      <c r="EC23" s="1343">
        <f t="shared" si="11"/>
      </c>
      <c r="ED23" s="1187">
        <f>+ED885+ED1348</f>
      </c>
      <c r="EE23" s="1353">
        <f t="shared" ref="EE23:EG23" si="12">+EE885+EE1348</f>
      </c>
      <c r="EF23" s="1353">
        <f t="shared" si="12"/>
      </c>
      <c r="EG23" s="1353">
        <f t="shared" si="12"/>
      </c>
      <c r="EH23" s="1343">
        <f t="shared" ref="EH23:EH25" si="13">+EH885+EH1348</f>
      </c>
      <c r="EI23" s="1187">
        <f t="shared" si="11"/>
      </c>
      <c r="EJ23" s="1187">
        <f t="shared" si="11"/>
      </c>
      <c r="EK23" s="1187">
        <f t="shared" si="11"/>
      </c>
      <c r="EL23" s="1187">
        <f t="shared" si="11"/>
      </c>
      <c r="EM23" s="1187">
        <f t="shared" si="11"/>
      </c>
      <c r="EN23" s="1187">
        <f t="shared" si="11"/>
      </c>
      <c r="EO23" s="1187"/>
      <c r="EP23" s="1187"/>
      <c r="EQ23" s="1187"/>
      <c r="ER23" s="1187"/>
      <c r="ES23" s="1187"/>
      <c r="ET23" s="1187"/>
      <c r="EU23" s="1187"/>
      <c r="EV23" s="1187"/>
      <c r="EW23" s="1187"/>
      <c r="EX23" s="1187"/>
    </row>
    <row r="24" spans="1:154">
      <c r="A24" s="3275" t="str">
        <f>+A25&amp;" - OUS"</f>
      </c>
      <c r="B24" s="336" t="s">
        <v>235</v>
      </c>
      <c r="C24" s="1990"/>
      <c r="D24" s="15">
        <f t="shared" ref="D24:AI24" si="14">+D1488+D886+D1349</f>
      </c>
      <c r="E24" s="15">
        <f t="shared" si="14"/>
      </c>
      <c r="F24" s="15">
        <f t="shared" si="14"/>
      </c>
      <c r="G24" s="15">
        <f t="shared" si="14"/>
      </c>
      <c r="H24" s="15">
        <f t="shared" si="14"/>
      </c>
      <c r="I24" s="179">
        <f t="shared" si="14"/>
      </c>
      <c r="J24" s="15">
        <f t="shared" si="14"/>
      </c>
      <c r="K24" s="15">
        <f t="shared" si="14"/>
      </c>
      <c r="L24" s="15">
        <f t="shared" si="14"/>
      </c>
      <c r="M24" s="15">
        <f t="shared" si="14"/>
      </c>
      <c r="N24" s="179">
        <f t="shared" si="14"/>
      </c>
      <c r="O24" s="15">
        <f t="shared" si="14"/>
      </c>
      <c r="P24" s="15">
        <f t="shared" si="14"/>
      </c>
      <c r="Q24" s="15">
        <f t="shared" si="14"/>
      </c>
      <c r="R24" s="15">
        <f t="shared" si="14"/>
      </c>
      <c r="S24" s="179">
        <f t="shared" si="14"/>
      </c>
      <c r="T24" s="15">
        <f t="shared" si="14"/>
      </c>
      <c r="U24" s="15">
        <f t="shared" si="14"/>
      </c>
      <c r="V24" s="15">
        <f t="shared" si="14"/>
      </c>
      <c r="W24" s="15">
        <f t="shared" si="14"/>
      </c>
      <c r="X24" s="326">
        <f t="shared" si="14"/>
      </c>
      <c r="Y24" s="15">
        <f t="shared" si="14"/>
      </c>
      <c r="Z24" s="15">
        <f t="shared" si="14"/>
      </c>
      <c r="AA24" s="15">
        <f t="shared" si="14"/>
      </c>
      <c r="AB24" s="15">
        <f t="shared" si="14"/>
      </c>
      <c r="AC24" s="326">
        <f t="shared" si="14"/>
      </c>
      <c r="AD24" s="15">
        <f t="shared" si="14"/>
      </c>
      <c r="AE24" s="15">
        <f t="shared" si="14"/>
      </c>
      <c r="AF24" s="15">
        <f t="shared" si="14"/>
      </c>
      <c r="AG24" s="15">
        <f t="shared" si="14"/>
      </c>
      <c r="AH24" s="326">
        <f t="shared" si="14"/>
      </c>
      <c r="AI24" s="15">
        <f t="shared" si="14"/>
      </c>
      <c r="AJ24" s="15">
        <f t="shared" ref="AJ24:BO24" si="15">+AJ1488+AJ886+AJ1349</f>
      </c>
      <c r="AK24" s="15">
        <f t="shared" si="15"/>
      </c>
      <c r="AL24" s="15">
        <f t="shared" si="15"/>
      </c>
      <c r="AM24" s="326">
        <f t="shared" si="15"/>
      </c>
      <c r="AN24" s="15">
        <f t="shared" si="15"/>
      </c>
      <c r="AO24" s="15">
        <f t="shared" si="15"/>
      </c>
      <c r="AP24" s="15">
        <f t="shared" si="15"/>
      </c>
      <c r="AQ24" s="15">
        <f t="shared" si="15"/>
      </c>
      <c r="AR24" s="326">
        <f t="shared" si="15"/>
      </c>
      <c r="AS24" s="15">
        <f t="shared" si="15"/>
      </c>
      <c r="AT24" s="15">
        <f t="shared" si="15"/>
      </c>
      <c r="AU24" s="15">
        <f t="shared" si="15"/>
      </c>
      <c r="AV24" s="15">
        <f t="shared" si="15"/>
      </c>
      <c r="AW24" s="326">
        <f t="shared" si="15"/>
      </c>
      <c r="AX24" s="15">
        <f t="shared" si="15"/>
      </c>
      <c r="AY24" s="15">
        <f t="shared" si="15"/>
      </c>
      <c r="AZ24" s="15">
        <f t="shared" si="15"/>
      </c>
      <c r="BA24" s="15">
        <f t="shared" si="15"/>
      </c>
      <c r="BB24" s="326">
        <f t="shared" si="15"/>
      </c>
      <c r="BC24" s="15">
        <f t="shared" si="15"/>
      </c>
      <c r="BD24" s="15">
        <f t="shared" si="15"/>
      </c>
      <c r="BE24" s="15">
        <f t="shared" si="15"/>
      </c>
      <c r="BF24" s="15">
        <f t="shared" si="15"/>
      </c>
      <c r="BG24" s="326">
        <f t="shared" si="15"/>
      </c>
      <c r="BH24" s="15">
        <f t="shared" si="15"/>
      </c>
      <c r="BI24" s="15">
        <f t="shared" si="15"/>
      </c>
      <c r="BJ24" s="15">
        <f t="shared" si="15"/>
      </c>
      <c r="BK24" s="15">
        <f t="shared" si="15"/>
      </c>
      <c r="BL24" s="326">
        <f t="shared" si="15"/>
      </c>
      <c r="BM24" s="15">
        <f t="shared" si="15"/>
      </c>
      <c r="BN24" s="15">
        <f t="shared" si="15"/>
      </c>
      <c r="BO24" s="15">
        <f t="shared" si="15"/>
      </c>
      <c r="BP24" s="15">
        <f t="shared" ref="BP24:CU24" si="16">+BP1488+BP886+BP1349</f>
      </c>
      <c r="BQ24" s="326">
        <f t="shared" si="16"/>
      </c>
      <c r="BR24" s="15">
        <f t="shared" si="16"/>
      </c>
      <c r="BS24" s="15">
        <f t="shared" si="16"/>
      </c>
      <c r="BT24" s="15">
        <f t="shared" si="16"/>
      </c>
      <c r="BU24" s="15">
        <f t="shared" si="16"/>
      </c>
      <c r="BV24" s="326">
        <f t="shared" si="16"/>
      </c>
      <c r="BW24" s="15">
        <f t="shared" si="16"/>
      </c>
      <c r="BX24" s="15">
        <f t="shared" si="16"/>
      </c>
      <c r="BY24" s="15">
        <f t="shared" si="16"/>
      </c>
      <c r="BZ24" s="15">
        <f t="shared" si="16"/>
      </c>
      <c r="CA24" s="326">
        <f t="shared" si="16"/>
      </c>
      <c r="CB24" s="15">
        <f t="shared" si="16"/>
      </c>
      <c r="CC24" s="15">
        <f t="shared" si="16"/>
      </c>
      <c r="CD24" s="15">
        <f t="shared" si="16"/>
      </c>
      <c r="CE24" s="15">
        <f t="shared" si="16"/>
      </c>
      <c r="CF24" s="326">
        <f t="shared" si="16"/>
      </c>
      <c r="CG24" s="15">
        <f t="shared" si="16"/>
      </c>
      <c r="CH24" s="15">
        <f t="shared" si="16"/>
      </c>
      <c r="CI24" s="15">
        <f t="shared" si="16"/>
      </c>
      <c r="CJ24" s="15">
        <f t="shared" si="16"/>
      </c>
      <c r="CK24" s="326">
        <f t="shared" si="16"/>
      </c>
      <c r="CL24" s="15">
        <f t="shared" si="16"/>
      </c>
      <c r="CM24" s="15">
        <f t="shared" si="16"/>
      </c>
      <c r="CN24" s="15">
        <f t="shared" si="16"/>
      </c>
      <c r="CO24" s="15">
        <f t="shared" si="16"/>
      </c>
      <c r="CP24" s="326">
        <f t="shared" si="16"/>
      </c>
      <c r="CQ24" s="15">
        <f t="shared" si="16"/>
      </c>
      <c r="CR24" s="15">
        <f t="shared" si="16"/>
      </c>
      <c r="CS24" s="15">
        <f t="shared" si="16"/>
      </c>
      <c r="CT24" s="15">
        <f t="shared" si="16"/>
      </c>
      <c r="CU24" s="1187">
        <f t="shared" si="16"/>
      </c>
      <c r="CV24" s="15">
        <f t="shared" ref="CV24:DV24" si="17">+CV1488+CV886+CV1349</f>
      </c>
      <c r="CW24" s="15">
        <f t="shared" si="17"/>
      </c>
      <c r="CX24" s="15">
        <f t="shared" si="17"/>
      </c>
      <c r="CY24" s="15">
        <f t="shared" si="17"/>
      </c>
      <c r="CZ24" s="1187">
        <f t="shared" si="17"/>
      </c>
      <c r="DA24" s="15">
        <f t="shared" si="17"/>
      </c>
      <c r="DB24" s="1353">
        <f t="shared" si="17"/>
      </c>
      <c r="DC24" s="1353">
        <f t="shared" si="17"/>
      </c>
      <c r="DD24" s="1343">
        <f t="shared" si="17"/>
      </c>
      <c r="DE24" s="1187">
        <f t="shared" si="17"/>
      </c>
      <c r="DF24" s="1777">
        <f t="shared" si="17"/>
      </c>
      <c r="DG24" s="1353">
        <f t="shared" si="17"/>
      </c>
      <c r="DH24" s="1353">
        <f t="shared" si="17"/>
      </c>
      <c r="DI24" s="1546">
        <f t="shared" si="17"/>
      </c>
      <c r="DJ24" s="1550">
        <f t="shared" si="17"/>
      </c>
      <c r="DK24" s="1777">
        <f t="shared" si="17"/>
      </c>
      <c r="DL24" s="1353">
        <f t="shared" si="17"/>
      </c>
      <c r="DM24" s="1353">
        <f t="shared" si="17"/>
      </c>
      <c r="DN24" s="1343">
        <f t="shared" si="17"/>
      </c>
      <c r="DO24" s="1187">
        <f t="shared" si="17"/>
      </c>
      <c r="DP24" s="1353">
        <f t="shared" si="17"/>
      </c>
      <c r="DQ24" s="1353">
        <f t="shared" si="17"/>
      </c>
      <c r="DR24" s="1353">
        <f t="shared" si="17"/>
      </c>
      <c r="DS24" s="1343">
        <f t="shared" si="17"/>
      </c>
      <c r="DT24" s="1187">
        <f t="shared" si="17"/>
      </c>
      <c r="DU24" s="1353">
        <f t="shared" si="17"/>
      </c>
      <c r="DV24" s="1353">
        <f t="shared" si="17"/>
      </c>
      <c r="DW24" s="1353">
        <f t="shared" ref="DW24:EN24" si="18">+DW886+DW1349</f>
      </c>
      <c r="DX24" s="1343">
        <f t="shared" si="18"/>
      </c>
      <c r="DY24" s="1187">
        <f t="shared" si="18"/>
      </c>
      <c r="DZ24" s="1353">
        <f t="shared" si="18"/>
      </c>
      <c r="EA24" s="1353">
        <f t="shared" si="11"/>
      </c>
      <c r="EB24" s="1353">
        <f t="shared" si="11"/>
      </c>
      <c r="EC24" s="1343">
        <f t="shared" si="11"/>
      </c>
      <c r="ED24" s="1187">
        <f t="shared" si="11"/>
      </c>
      <c r="EE24" s="1353">
        <f t="shared" si="11"/>
      </c>
      <c r="EF24" s="1353">
        <f t="shared" ref="EF24:EG24" si="19">+EF886+EF1349</f>
      </c>
      <c r="EG24" s="1353">
        <f t="shared" si="19"/>
      </c>
      <c r="EH24" s="1343">
        <f t="shared" si="13"/>
      </c>
      <c r="EI24" s="1187">
        <f t="shared" si="18"/>
      </c>
      <c r="EJ24" s="1187">
        <f t="shared" si="18"/>
      </c>
      <c r="EK24" s="1187">
        <f t="shared" si="18"/>
      </c>
      <c r="EL24" s="1187">
        <f t="shared" si="18"/>
      </c>
      <c r="EM24" s="1187">
        <f t="shared" si="18"/>
      </c>
      <c r="EN24" s="1187">
        <f t="shared" si="18"/>
      </c>
      <c r="EO24" s="1187"/>
      <c r="EP24" s="1187"/>
      <c r="EQ24" s="1187"/>
      <c r="ER24" s="1187"/>
      <c r="ES24" s="1187"/>
      <c r="ET24" s="1187"/>
      <c r="EU24" s="1187"/>
      <c r="EV24" s="1187"/>
      <c r="EW24" s="1187"/>
      <c r="EX24" s="1187"/>
    </row>
    <row r="25" spans="1:154">
      <c r="A25" s="3275" t="s">
        <v>617</v>
      </c>
      <c r="B25" s="336" t="s">
        <v>19</v>
      </c>
      <c r="C25" s="1990"/>
      <c r="D25" s="15">
        <f t="shared" ref="D25:AI25" si="20">+D1489+D887+D1350</f>
      </c>
      <c r="E25" s="15">
        <f t="shared" si="20"/>
      </c>
      <c r="F25" s="15">
        <f t="shared" si="20"/>
      </c>
      <c r="G25" s="15">
        <f t="shared" si="20"/>
      </c>
      <c r="H25" s="15">
        <f t="shared" si="20"/>
      </c>
      <c r="I25" s="179">
        <f t="shared" si="20"/>
      </c>
      <c r="J25" s="15">
        <f t="shared" si="20"/>
      </c>
      <c r="K25" s="15">
        <f t="shared" si="20"/>
      </c>
      <c r="L25" s="15">
        <f t="shared" si="20"/>
      </c>
      <c r="M25" s="15">
        <f t="shared" si="20"/>
      </c>
      <c r="N25" s="179">
        <f t="shared" si="20"/>
      </c>
      <c r="O25" s="15">
        <f t="shared" si="20"/>
      </c>
      <c r="P25" s="15">
        <f t="shared" si="20"/>
      </c>
      <c r="Q25" s="15">
        <f t="shared" si="20"/>
      </c>
      <c r="R25" s="15">
        <f t="shared" si="20"/>
      </c>
      <c r="S25" s="179">
        <f t="shared" si="20"/>
      </c>
      <c r="T25" s="15">
        <f t="shared" si="20"/>
      </c>
      <c r="U25" s="15">
        <f t="shared" si="20"/>
      </c>
      <c r="V25" s="15">
        <f t="shared" si="20"/>
      </c>
      <c r="W25" s="15">
        <f t="shared" si="20"/>
      </c>
      <c r="X25" s="326">
        <f t="shared" si="20"/>
      </c>
      <c r="Y25" s="15">
        <f t="shared" si="20"/>
      </c>
      <c r="Z25" s="15">
        <f t="shared" si="20"/>
      </c>
      <c r="AA25" s="15">
        <f t="shared" si="20"/>
      </c>
      <c r="AB25" s="15">
        <f t="shared" si="20"/>
      </c>
      <c r="AC25" s="326">
        <f t="shared" si="20"/>
      </c>
      <c r="AD25" s="15">
        <f t="shared" si="20"/>
      </c>
      <c r="AE25" s="15">
        <f t="shared" si="20"/>
      </c>
      <c r="AF25" s="15">
        <f t="shared" si="20"/>
      </c>
      <c r="AG25" s="15">
        <f t="shared" si="20"/>
      </c>
      <c r="AH25" s="326">
        <f t="shared" si="20"/>
      </c>
      <c r="AI25" s="15">
        <f t="shared" si="20"/>
      </c>
      <c r="AJ25" s="15">
        <f t="shared" ref="AJ25:BO25" si="21">+AJ1489+AJ887+AJ1350</f>
      </c>
      <c r="AK25" s="15">
        <f t="shared" si="21"/>
      </c>
      <c r="AL25" s="15">
        <f t="shared" si="21"/>
      </c>
      <c r="AM25" s="326">
        <f t="shared" si="21"/>
      </c>
      <c r="AN25" s="15">
        <f t="shared" si="21"/>
      </c>
      <c r="AO25" s="15">
        <f t="shared" si="21"/>
      </c>
      <c r="AP25" s="15">
        <f t="shared" si="21"/>
      </c>
      <c r="AQ25" s="15">
        <f t="shared" si="21"/>
      </c>
      <c r="AR25" s="326">
        <f t="shared" si="21"/>
      </c>
      <c r="AS25" s="15">
        <f t="shared" si="21"/>
      </c>
      <c r="AT25" s="15">
        <f t="shared" si="21"/>
      </c>
      <c r="AU25" s="15">
        <f t="shared" si="21"/>
      </c>
      <c r="AV25" s="15">
        <f t="shared" si="21"/>
      </c>
      <c r="AW25" s="326">
        <f t="shared" si="21"/>
      </c>
      <c r="AX25" s="15">
        <f t="shared" si="21"/>
      </c>
      <c r="AY25" s="15">
        <f t="shared" si="21"/>
      </c>
      <c r="AZ25" s="15">
        <f t="shared" si="21"/>
      </c>
      <c r="BA25" s="15">
        <f t="shared" si="21"/>
      </c>
      <c r="BB25" s="326">
        <f t="shared" si="21"/>
      </c>
      <c r="BC25" s="15">
        <f t="shared" si="21"/>
      </c>
      <c r="BD25" s="15">
        <f t="shared" si="21"/>
      </c>
      <c r="BE25" s="15">
        <f t="shared" si="21"/>
      </c>
      <c r="BF25" s="15">
        <f t="shared" si="21"/>
      </c>
      <c r="BG25" s="326">
        <f t="shared" si="21"/>
      </c>
      <c r="BH25" s="15">
        <f t="shared" si="21"/>
      </c>
      <c r="BI25" s="15">
        <f t="shared" si="21"/>
      </c>
      <c r="BJ25" s="15">
        <f t="shared" si="21"/>
      </c>
      <c r="BK25" s="15">
        <f t="shared" si="21"/>
      </c>
      <c r="BL25" s="326">
        <f t="shared" si="21"/>
      </c>
      <c r="BM25" s="15">
        <f t="shared" si="21"/>
      </c>
      <c r="BN25" s="15">
        <f t="shared" si="21"/>
      </c>
      <c r="BO25" s="15">
        <f t="shared" si="21"/>
      </c>
      <c r="BP25" s="15">
        <f t="shared" ref="BP25:CU25" si="22">+BP1489+BP887+BP1350</f>
      </c>
      <c r="BQ25" s="326">
        <f t="shared" si="22"/>
      </c>
      <c r="BR25" s="15">
        <f t="shared" si="22"/>
      </c>
      <c r="BS25" s="15">
        <f t="shared" si="22"/>
      </c>
      <c r="BT25" s="15">
        <f t="shared" si="22"/>
      </c>
      <c r="BU25" s="15">
        <f t="shared" si="22"/>
      </c>
      <c r="BV25" s="326">
        <f t="shared" si="22"/>
      </c>
      <c r="BW25" s="15">
        <f t="shared" si="22"/>
      </c>
      <c r="BX25" s="15">
        <f t="shared" si="22"/>
      </c>
      <c r="BY25" s="15">
        <f t="shared" si="22"/>
      </c>
      <c r="BZ25" s="15">
        <f t="shared" si="22"/>
      </c>
      <c r="CA25" s="326">
        <f t="shared" si="22"/>
      </c>
      <c r="CB25" s="15">
        <f t="shared" si="22"/>
      </c>
      <c r="CC25" s="15">
        <f t="shared" si="22"/>
      </c>
      <c r="CD25" s="15">
        <f t="shared" si="22"/>
      </c>
      <c r="CE25" s="15">
        <f t="shared" si="22"/>
      </c>
      <c r="CF25" s="326">
        <f t="shared" si="22"/>
      </c>
      <c r="CG25" s="15">
        <f t="shared" si="22"/>
      </c>
      <c r="CH25" s="15">
        <f t="shared" si="22"/>
      </c>
      <c r="CI25" s="15">
        <f t="shared" si="22"/>
      </c>
      <c r="CJ25" s="15">
        <f t="shared" si="22"/>
      </c>
      <c r="CK25" s="326">
        <f t="shared" si="22"/>
      </c>
      <c r="CL25" s="15">
        <f t="shared" si="22"/>
      </c>
      <c r="CM25" s="15">
        <f t="shared" si="22"/>
      </c>
      <c r="CN25" s="15">
        <f t="shared" si="22"/>
      </c>
      <c r="CO25" s="15">
        <f t="shared" si="22"/>
      </c>
      <c r="CP25" s="326">
        <f t="shared" si="22"/>
      </c>
      <c r="CQ25" s="15">
        <f t="shared" si="22"/>
      </c>
      <c r="CR25" s="15">
        <f t="shared" si="22"/>
      </c>
      <c r="CS25" s="15">
        <f t="shared" si="22"/>
      </c>
      <c r="CT25" s="15">
        <f t="shared" si="22"/>
      </c>
      <c r="CU25" s="1187">
        <f t="shared" si="22"/>
      </c>
      <c r="CV25" s="15">
        <f t="shared" ref="CV25:DV25" si="23">+CV1489+CV887+CV1350</f>
      </c>
      <c r="CW25" s="15">
        <f t="shared" si="23"/>
      </c>
      <c r="CX25" s="15">
        <f t="shared" si="23"/>
      </c>
      <c r="CY25" s="15">
        <f t="shared" si="23"/>
      </c>
      <c r="CZ25" s="1187">
        <f t="shared" si="23"/>
      </c>
      <c r="DA25" s="15">
        <f t="shared" si="23"/>
      </c>
      <c r="DB25" s="1353">
        <f t="shared" si="23"/>
      </c>
      <c r="DC25" s="1353">
        <f t="shared" si="23"/>
      </c>
      <c r="DD25" s="1343">
        <f t="shared" si="23"/>
      </c>
      <c r="DE25" s="1187">
        <f t="shared" si="23"/>
      </c>
      <c r="DF25" s="1777">
        <f t="shared" si="23"/>
      </c>
      <c r="DG25" s="1353">
        <f t="shared" si="23"/>
      </c>
      <c r="DH25" s="1353">
        <f t="shared" si="23"/>
      </c>
      <c r="DI25" s="1546">
        <f t="shared" si="23"/>
      </c>
      <c r="DJ25" s="1550">
        <f t="shared" si="23"/>
      </c>
      <c r="DK25" s="1777">
        <f t="shared" si="23"/>
      </c>
      <c r="DL25" s="1353">
        <f t="shared" si="23"/>
      </c>
      <c r="DM25" s="1353">
        <f t="shared" si="23"/>
      </c>
      <c r="DN25" s="1343">
        <f t="shared" si="23"/>
      </c>
      <c r="DO25" s="1187">
        <f t="shared" si="23"/>
      </c>
      <c r="DP25" s="1353">
        <f t="shared" si="23"/>
      </c>
      <c r="DQ25" s="1353">
        <f t="shared" si="23"/>
      </c>
      <c r="DR25" s="1353">
        <f t="shared" si="23"/>
      </c>
      <c r="DS25" s="1343">
        <f t="shared" si="23"/>
      </c>
      <c r="DT25" s="1187">
        <f t="shared" si="23"/>
      </c>
      <c r="DU25" s="1353">
        <f t="shared" si="23"/>
      </c>
      <c r="DV25" s="1353">
        <f t="shared" si="23"/>
      </c>
      <c r="DW25" s="1353">
        <f t="shared" ref="DW25:EN25" si="24">+DW887+DW1350</f>
      </c>
      <c r="DX25" s="1343">
        <f t="shared" si="24"/>
      </c>
      <c r="DY25" s="1187">
        <f t="shared" si="24"/>
      </c>
      <c r="DZ25" s="1353">
        <f t="shared" si="24"/>
      </c>
      <c r="EA25" s="1353">
        <f>+EA887+EA1350</f>
      </c>
      <c r="EB25" s="1353">
        <f t="shared" si="11"/>
      </c>
      <c r="EC25" s="1343">
        <f t="shared" si="11"/>
      </c>
      <c r="ED25" s="1187">
        <f t="shared" si="11"/>
      </c>
      <c r="EE25" s="1353">
        <f t="shared" si="11"/>
      </c>
      <c r="EF25" s="1353">
        <f>+EF887+EF1350</f>
      </c>
      <c r="EG25" s="1353">
        <f t="shared" ref="EG25" si="25">+EG887+EG1350</f>
      </c>
      <c r="EH25" s="1343">
        <f t="shared" si="13"/>
      </c>
      <c r="EI25" s="1187">
        <f t="shared" si="24"/>
      </c>
      <c r="EJ25" s="1187">
        <f t="shared" si="24"/>
      </c>
      <c r="EK25" s="1187">
        <f t="shared" si="24"/>
      </c>
      <c r="EL25" s="1187">
        <f t="shared" si="24"/>
      </c>
      <c r="EM25" s="1187">
        <f t="shared" si="24"/>
      </c>
      <c r="EN25" s="1187">
        <f t="shared" si="24"/>
      </c>
      <c r="EO25" s="1187"/>
      <c r="EP25" s="1187"/>
      <c r="EQ25" s="1187"/>
      <c r="ER25" s="1187"/>
      <c r="ES25" s="1187"/>
      <c r="ET25" s="1187"/>
      <c r="EU25" s="1187"/>
      <c r="EV25" s="1187"/>
      <c r="EW25" s="1187"/>
      <c r="EX25" s="1187"/>
    </row>
    <row r="26" spans="1:154">
      <c r="B26" s="337"/>
      <c r="C26" s="1989"/>
      <c r="D26" s="1"/>
      <c r="E26" s="47"/>
      <c r="F26" s="47"/>
      <c r="G26" s="8"/>
      <c r="H26" s="8"/>
      <c r="I26" s="48"/>
      <c r="J26" s="8"/>
      <c r="K26" s="8"/>
      <c r="L26" s="8"/>
      <c r="M26" s="8"/>
      <c r="N26" s="48"/>
      <c r="O26" s="8"/>
      <c r="P26" s="8"/>
      <c r="Q26" s="8"/>
      <c r="R26" s="8"/>
      <c r="S26" s="48"/>
      <c r="T26" s="8"/>
      <c r="U26" s="8"/>
      <c r="V26" s="8"/>
      <c r="W26" s="8"/>
      <c r="X26" s="286"/>
      <c r="Y26" s="8"/>
      <c r="Z26" s="8"/>
      <c r="AA26" s="8"/>
      <c r="AB26" s="8"/>
      <c r="AC26" s="286"/>
      <c r="AD26" s="8"/>
      <c r="AE26" s="8"/>
      <c r="AF26" s="8"/>
      <c r="AG26" s="8"/>
      <c r="AH26" s="286"/>
      <c r="AI26" s="8"/>
      <c r="AJ26" s="8"/>
      <c r="AK26" s="8"/>
      <c r="AL26" s="8"/>
      <c r="AM26" s="286"/>
      <c r="AN26" s="48"/>
      <c r="AO26" s="48"/>
      <c r="AP26" s="48"/>
      <c r="AQ26" s="48"/>
      <c r="AR26" s="286"/>
      <c r="AS26" s="48"/>
      <c r="AT26" s="48"/>
      <c r="AU26" s="48"/>
      <c r="AV26" s="48"/>
      <c r="AW26" s="286"/>
      <c r="AX26" s="48"/>
      <c r="AY26" s="48"/>
      <c r="AZ26" s="48"/>
      <c r="BA26" s="48"/>
      <c r="BB26" s="286"/>
      <c r="BC26" s="48"/>
      <c r="BD26" s="48"/>
      <c r="BE26" s="48"/>
      <c r="BF26" s="48"/>
      <c r="BG26" s="286"/>
      <c r="BH26" s="360"/>
      <c r="BI26" s="360"/>
      <c r="BJ26" s="22"/>
      <c r="BK26" s="46"/>
      <c r="BL26" s="297"/>
      <c r="BM26" s="22"/>
      <c r="BN26" s="22"/>
      <c r="BO26" s="22"/>
      <c r="BP26" s="46"/>
      <c r="BQ26" s="290"/>
      <c r="BR26" s="22"/>
      <c r="BS26" s="26"/>
      <c r="BT26" s="22"/>
      <c r="BU26" s="46"/>
      <c r="BV26" s="290"/>
      <c r="BW26" s="22"/>
      <c r="BX26" s="26"/>
      <c r="BY26" s="22"/>
      <c r="BZ26" s="22"/>
      <c r="CA26" s="290"/>
      <c r="CB26" s="22"/>
      <c r="CC26" s="22"/>
      <c r="CD26" s="22"/>
      <c r="CE26" s="22"/>
      <c r="CF26" s="290"/>
      <c r="CG26" s="22"/>
      <c r="CH26" s="22"/>
      <c r="CI26" s="22"/>
      <c r="CJ26" s="22"/>
      <c r="CK26" s="290"/>
      <c r="CL26" s="943"/>
      <c r="CM26" s="943"/>
      <c r="CN26" s="943"/>
      <c r="CO26" s="22"/>
      <c r="CP26" s="290"/>
      <c r="CQ26" s="1189"/>
      <c r="CR26" s="1189"/>
      <c r="CS26" s="1189"/>
      <c r="CT26" s="1189"/>
      <c r="CU26" s="290"/>
      <c r="CV26" s="1189"/>
      <c r="CW26" s="1189"/>
      <c r="CX26" s="1189"/>
      <c r="CY26" s="1189"/>
      <c r="CZ26" s="290"/>
      <c r="DA26" s="1189"/>
      <c r="DB26" s="46"/>
      <c r="DC26" s="46"/>
      <c r="DD26" s="81"/>
      <c r="DE26" s="1778"/>
      <c r="DF26" s="1779"/>
      <c r="DG26" s="873"/>
      <c r="DH26" s="873"/>
      <c r="DI26" s="1780"/>
      <c r="DJ26" s="1781"/>
      <c r="DK26" s="1779"/>
      <c r="DL26" s="873"/>
      <c r="DM26" s="873"/>
      <c r="DN26" s="1780"/>
      <c r="DO26" s="1634"/>
      <c r="DP26" s="873"/>
      <c r="DQ26" s="873"/>
      <c r="DR26" s="873"/>
      <c r="DS26" s="1780"/>
      <c r="DT26" s="1778"/>
      <c r="DU26" s="1050"/>
      <c r="DV26" s="1050"/>
      <c r="DW26" s="1050"/>
      <c r="DX26" s="2049"/>
      <c r="DY26" s="1778"/>
      <c r="DZ26" s="1050"/>
      <c r="EA26" s="1050"/>
      <c r="EB26" s="1050"/>
      <c r="EC26" s="2049"/>
      <c r="ED26" s="2364"/>
      <c r="EE26" s="1050"/>
      <c r="EF26" s="1050"/>
      <c r="EG26" s="1050"/>
      <c r="EH26" s="2049"/>
      <c r="EI26" s="1778"/>
      <c r="EJ26" s="1778"/>
      <c r="EK26" s="1778"/>
      <c r="EL26" s="1778"/>
      <c r="EM26" s="1778"/>
      <c r="EN26" s="1778"/>
      <c r="EO26" s="1778"/>
      <c r="EP26" s="1778"/>
      <c r="EQ26" s="1778"/>
      <c r="ER26" s="1778"/>
      <c r="ES26" s="1778"/>
      <c r="ET26" s="1778"/>
      <c r="EU26" s="1778"/>
      <c r="EV26" s="1778"/>
      <c r="EW26" s="1778"/>
      <c r="EX26" s="1778"/>
    </row>
    <row r="27" spans="1:154">
      <c r="B27" s="338" t="s">
        <v>252</v>
      </c>
      <c r="C27" s="1989"/>
      <c r="D27" s="1"/>
      <c r="E27" s="1"/>
      <c r="F27" s="1"/>
      <c r="G27" s="1"/>
      <c r="H27" s="1"/>
      <c r="I27" s="24"/>
      <c r="J27" s="1"/>
      <c r="K27" s="1"/>
      <c r="L27" s="1"/>
      <c r="M27" s="1"/>
      <c r="N27" s="24"/>
      <c r="O27" s="24"/>
      <c r="P27" s="24"/>
      <c r="Q27" s="24"/>
      <c r="R27" s="24"/>
      <c r="S27" s="1"/>
      <c r="T27" s="24"/>
      <c r="U27" s="24"/>
      <c r="V27" s="24"/>
      <c r="W27" s="24"/>
      <c r="X27" s="214"/>
      <c r="Y27" s="24"/>
      <c r="Z27" s="24"/>
      <c r="AA27" s="24"/>
      <c r="AB27" s="24"/>
      <c r="AC27" s="214"/>
      <c r="AD27" s="24"/>
      <c r="AE27" s="24"/>
      <c r="AF27" s="24"/>
      <c r="AG27" s="24"/>
      <c r="AH27" s="214"/>
      <c r="AI27" s="1"/>
      <c r="AJ27" s="1"/>
      <c r="AK27" s="1"/>
      <c r="AL27" s="24"/>
      <c r="AM27" s="214"/>
      <c r="AN27" s="1"/>
      <c r="AO27" s="1"/>
      <c r="AP27" s="1"/>
      <c r="AQ27" s="24"/>
      <c r="AR27" s="214"/>
      <c r="AS27" s="1"/>
      <c r="AT27" s="1"/>
      <c r="AU27" s="1"/>
      <c r="AV27" s="24"/>
      <c r="AW27" s="214"/>
      <c r="AX27" s="1"/>
      <c r="AY27" s="1"/>
      <c r="AZ27" s="1"/>
      <c r="BA27" s="1"/>
      <c r="BB27" s="214"/>
      <c r="BC27" s="38"/>
      <c r="BD27" s="1"/>
      <c r="BE27" s="1"/>
      <c r="BF27" s="1"/>
      <c r="BG27" s="318"/>
      <c r="BI27" s="22"/>
      <c r="BJ27" s="22"/>
      <c r="BK27" s="8"/>
      <c r="BL27" s="214"/>
      <c r="BM27" s="22"/>
      <c r="BN27" s="22"/>
      <c r="BO27" s="22"/>
      <c r="BP27" s="8"/>
      <c r="BQ27" s="312"/>
      <c r="BR27" s="22"/>
      <c r="BS27" s="22"/>
      <c r="BT27" s="22"/>
      <c r="BU27" s="8"/>
      <c r="BV27" s="214"/>
      <c r="BW27" s="22"/>
      <c r="BX27" s="22"/>
      <c r="BY27" s="22"/>
      <c r="BZ27" s="22"/>
      <c r="CA27" s="214"/>
      <c r="CB27" s="22"/>
      <c r="CC27" s="22"/>
      <c r="CD27" s="22"/>
      <c r="CE27" s="22"/>
      <c r="CF27" s="214"/>
      <c r="CG27" s="22"/>
      <c r="CH27" s="22"/>
      <c r="CI27" s="22"/>
      <c r="CJ27" s="22"/>
      <c r="CK27" s="214"/>
      <c r="CL27" s="943"/>
      <c r="CM27" s="943"/>
      <c r="CN27" s="943"/>
      <c r="CO27" s="22"/>
      <c r="CP27" s="214"/>
      <c r="CQ27" s="1189"/>
      <c r="CR27" s="1189"/>
      <c r="CS27" s="1189"/>
      <c r="CT27" s="1189"/>
      <c r="CU27" s="214"/>
      <c r="CV27" s="1189"/>
      <c r="CW27" s="1189"/>
      <c r="CX27" s="1189"/>
      <c r="CY27" s="1189"/>
      <c r="CZ27" s="214"/>
      <c r="DA27" s="1189"/>
      <c r="DB27" s="1"/>
      <c r="DC27" s="1"/>
      <c r="DD27" s="79"/>
      <c r="DE27" s="1778"/>
      <c r="DF27" s="1779"/>
      <c r="DG27" s="73"/>
      <c r="DH27" s="73"/>
      <c r="DI27" s="1629"/>
      <c r="DJ27" s="1781"/>
      <c r="DK27" s="1779"/>
      <c r="DL27" s="73"/>
      <c r="DM27" s="73"/>
      <c r="DN27" s="1629"/>
      <c r="DO27" s="1782"/>
      <c r="DP27" s="73"/>
      <c r="DQ27" s="73"/>
      <c r="DR27" s="73"/>
      <c r="DS27" s="1629"/>
      <c r="DT27" s="1628"/>
      <c r="DU27" s="1045"/>
      <c r="DV27" s="1045"/>
      <c r="DW27" s="1045"/>
      <c r="DX27" s="2051"/>
      <c r="DY27" s="1628"/>
      <c r="DZ27" s="1045"/>
      <c r="EA27" s="1045"/>
      <c r="EB27" s="1045"/>
      <c r="EC27" s="2051"/>
      <c r="ED27" s="2364"/>
      <c r="EE27" s="1045"/>
      <c r="EF27" s="1045"/>
      <c r="EG27" s="1045"/>
      <c r="EH27" s="2051"/>
      <c r="EI27" s="1628"/>
      <c r="EJ27" s="1628"/>
      <c r="EK27" s="1628"/>
      <c r="EL27" s="1628"/>
      <c r="EM27" s="1628"/>
      <c r="EN27" s="1628"/>
      <c r="EO27" s="1628"/>
      <c r="EP27" s="1628"/>
      <c r="EQ27" s="1628"/>
      <c r="ER27" s="1628"/>
      <c r="ES27" s="1628"/>
      <c r="ET27" s="1628"/>
      <c r="EU27" s="1628"/>
      <c r="EV27" s="1628"/>
      <c r="EW27" s="1628"/>
      <c r="EX27" s="1628"/>
    </row>
    <row r="28" spans="1:154">
      <c r="B28" s="339" t="s">
        <v>153</v>
      </c>
      <c r="C28" s="1989"/>
      <c r="D28" s="1"/>
      <c r="E28" s="1"/>
      <c r="F28" s="1"/>
      <c r="G28" s="1"/>
      <c r="H28" s="1"/>
      <c r="I28" s="30">
        <f t="shared" ref="I28:R29" si="26">IF(D23="NM","NM",IF(I23="NM","NM",IF(D23&lt;=0,"NM",IF(I23=0,"NM",IF(ABS(I23/D23-1)&gt;2.5,"NM",IF((ABS(I23-D23)=ABS(ABS(I23)-ABS(D23))),(I23/D23-1),"NM"))))))</f>
      </c>
      <c r="J28" s="30">
        <f t="shared" si="26"/>
      </c>
      <c r="K28" s="30">
        <f t="shared" si="26"/>
      </c>
      <c r="L28" s="30">
        <f t="shared" si="26"/>
      </c>
      <c r="M28" s="30">
        <f t="shared" si="26"/>
      </c>
      <c r="N28" s="30">
        <f t="shared" si="26"/>
      </c>
      <c r="O28" s="30">
        <f t="shared" si="26"/>
      </c>
      <c r="P28" s="30">
        <f t="shared" si="26"/>
      </c>
      <c r="Q28" s="30">
        <f t="shared" si="26"/>
      </c>
      <c r="R28" s="30">
        <f t="shared" si="26"/>
      </c>
      <c r="S28" s="30">
        <f t="shared" ref="S28:AB29" si="27">IF(N23="NM","NM",IF(S23="NM","NM",IF(N23&lt;=0,"NM",IF(S23=0,"NM",IF(ABS(S23/N23-1)&gt;2.5,"NM",IF((ABS(S23-N23)=ABS(ABS(S23)-ABS(N23))),(S23/N23-1),"NM"))))))</f>
      </c>
      <c r="T28" s="30">
        <f t="shared" si="27"/>
      </c>
      <c r="U28" s="30">
        <f t="shared" si="27"/>
      </c>
      <c r="V28" s="30">
        <f t="shared" si="27"/>
      </c>
      <c r="W28" s="30">
        <f t="shared" si="27"/>
      </c>
      <c r="X28" s="308">
        <f t="shared" si="27"/>
      </c>
      <c r="Y28" s="30">
        <f t="shared" si="27"/>
      </c>
      <c r="Z28" s="30">
        <f t="shared" si="27"/>
      </c>
      <c r="AA28" s="30">
        <f t="shared" si="27"/>
      </c>
      <c r="AB28" s="30">
        <f t="shared" si="27"/>
      </c>
      <c r="AC28" s="308">
        <f t="shared" ref="AC28:AL29" si="28">IF(X23="NM","NM",IF(AC23="NM","NM",IF(X23&lt;=0,"NM",IF(AC23=0,"NM",IF(ABS(AC23/X23-1)&gt;2.5,"NM",IF((ABS(AC23-X23)=ABS(ABS(AC23)-ABS(X23))),(AC23/X23-1),"NM"))))))</f>
      </c>
      <c r="AD28" s="30">
        <f t="shared" si="28"/>
      </c>
      <c r="AE28" s="30">
        <f t="shared" si="28"/>
      </c>
      <c r="AF28" s="30">
        <f t="shared" si="28"/>
      </c>
      <c r="AG28" s="30">
        <f t="shared" si="28"/>
      </c>
      <c r="AH28" s="308">
        <f t="shared" si="28"/>
      </c>
      <c r="AI28" s="30">
        <f t="shared" si="28"/>
      </c>
      <c r="AJ28" s="30">
        <f t="shared" si="28"/>
      </c>
      <c r="AK28" s="30">
        <f t="shared" si="28"/>
      </c>
      <c r="AL28" s="30">
        <f t="shared" si="28"/>
      </c>
      <c r="AM28" s="308">
        <f t="shared" ref="AM28:AV29" si="29">IF(AH23="NM","NM",IF(AM23="NM","NM",IF(AH23&lt;=0,"NM",IF(AM23=0,"NM",IF(ABS(AM23/AH23-1)&gt;2.5,"NM",IF((ABS(AM23-AH23)=ABS(ABS(AM23)-ABS(AH23))),(AM23/AH23-1),"NM"))))))</f>
      </c>
      <c r="AN28" s="30">
        <f t="shared" si="29"/>
      </c>
      <c r="AO28" s="30">
        <f t="shared" si="29"/>
      </c>
      <c r="AP28" s="30">
        <f t="shared" si="29"/>
      </c>
      <c r="AQ28" s="30">
        <f t="shared" si="29"/>
      </c>
      <c r="AR28" s="308">
        <f t="shared" si="29"/>
      </c>
      <c r="AS28" s="30">
        <f t="shared" si="29"/>
      </c>
      <c r="AT28" s="30">
        <f t="shared" si="29"/>
      </c>
      <c r="AU28" s="30">
        <f t="shared" si="29"/>
      </c>
      <c r="AV28" s="30">
        <f t="shared" si="29"/>
      </c>
      <c r="AW28" s="308">
        <f t="shared" ref="AW28:BF29" si="30">IF(AR23="NM","NM",IF(AW23="NM","NM",IF(AR23&lt;=0,"NM",IF(AW23=0,"NM",IF(ABS(AW23/AR23-1)&gt;2.5,"NM",IF((ABS(AW23-AR23)=ABS(ABS(AW23)-ABS(AR23))),(AW23/AR23-1),"NM"))))))</f>
      </c>
      <c r="AX28" s="30">
        <f t="shared" si="30"/>
      </c>
      <c r="AY28" s="30">
        <f t="shared" si="30"/>
      </c>
      <c r="AZ28" s="30">
        <f t="shared" si="30"/>
      </c>
      <c r="BA28" s="30">
        <f t="shared" si="30"/>
      </c>
      <c r="BB28" s="308">
        <f t="shared" si="30"/>
      </c>
      <c r="BC28" s="30">
        <f t="shared" si="30"/>
      </c>
      <c r="BD28" s="30">
        <f t="shared" si="30"/>
      </c>
      <c r="BE28" s="30">
        <f t="shared" si="30"/>
      </c>
      <c r="BF28" s="30">
        <f t="shared" si="30"/>
      </c>
      <c r="BG28" s="308">
        <f t="shared" ref="BG28:BP29" si="31">IF(BB23="NM","NM",IF(BG23="NM","NM",IF(BB23&lt;=0,"NM",IF(BG23=0,"NM",IF(ABS(BG23/BB23-1)&gt;2.5,"NM",IF((ABS(BG23-BB23)=ABS(ABS(BG23)-ABS(BB23))),(BG23/BB23-1),"NM"))))))</f>
      </c>
      <c r="BH28" s="30">
        <f t="shared" si="31"/>
      </c>
      <c r="BI28" s="30">
        <f t="shared" si="31"/>
      </c>
      <c r="BJ28" s="30">
        <f t="shared" si="31"/>
      </c>
      <c r="BK28" s="30">
        <f t="shared" si="31"/>
      </c>
      <c r="BL28" s="308">
        <f t="shared" si="31"/>
      </c>
      <c r="BM28" s="30">
        <f t="shared" si="31"/>
      </c>
      <c r="BN28" s="30">
        <f t="shared" si="31"/>
      </c>
      <c r="BO28" s="30">
        <f t="shared" si="31"/>
      </c>
      <c r="BP28" s="30">
        <f t="shared" si="31"/>
      </c>
      <c r="BQ28" s="308">
        <f t="shared" ref="BQ28:BZ29" si="32">IF(BL23="NM","NM",IF(BQ23="NM","NM",IF(BL23&lt;=0,"NM",IF(BQ23=0,"NM",IF(ABS(BQ23/BL23-1)&gt;2.5,"NM",IF((ABS(BQ23-BL23)=ABS(ABS(BQ23)-ABS(BL23))),(BQ23/BL23-1),"NM"))))))</f>
      </c>
      <c r="BR28" s="30">
        <f t="shared" si="32"/>
      </c>
      <c r="BS28" s="30">
        <f t="shared" si="32"/>
      </c>
      <c r="BT28" s="30">
        <f t="shared" si="32"/>
      </c>
      <c r="BU28" s="30">
        <f t="shared" si="32"/>
      </c>
      <c r="BV28" s="308">
        <f t="shared" si="32"/>
      </c>
      <c r="BW28" s="30">
        <f t="shared" si="32"/>
      </c>
      <c r="BX28" s="30">
        <f t="shared" si="32"/>
      </c>
      <c r="BY28" s="30">
        <f t="shared" si="32"/>
      </c>
      <c r="BZ28" s="30">
        <f t="shared" si="32"/>
      </c>
      <c r="CA28" s="308">
        <f t="shared" ref="CA28:CF29" si="33">IF(BV23="NM","NM",IF(CA23="NM","NM",IF(BV23&lt;=0,"NM",IF(CA23=0,"NM",IF(ABS(CA23/BV23-1)&gt;2.5,"NM",IF((ABS(CA23-BV23)=ABS(ABS(CA23)-ABS(BV23))),(CA23/BV23-1),"NM"))))))</f>
      </c>
      <c r="CB28" s="30">
        <f t="shared" si="33"/>
      </c>
      <c r="CC28" s="30">
        <f t="shared" si="33"/>
      </c>
      <c r="CD28" s="30">
        <f t="shared" si="33"/>
      </c>
      <c r="CE28" s="30">
        <f t="shared" si="33"/>
      </c>
      <c r="CF28" s="308">
        <f t="shared" si="33"/>
      </c>
      <c r="CG28" s="30">
        <f t="shared" ref="CG28:CP29" si="34">IF(CB23=0, "NA", CG23/CB23-1)</f>
      </c>
      <c r="CH28" s="30">
        <f t="shared" si="34"/>
      </c>
      <c r="CI28" s="30">
        <f t="shared" si="34"/>
      </c>
      <c r="CJ28" s="30">
        <f t="shared" si="34"/>
      </c>
      <c r="CK28" s="308">
        <f t="shared" si="34"/>
      </c>
      <c r="CL28" s="926">
        <f t="shared" si="34"/>
      </c>
      <c r="CM28" s="926">
        <f t="shared" si="34"/>
      </c>
      <c r="CN28" s="926">
        <f t="shared" si="34"/>
      </c>
      <c r="CO28" s="30">
        <f t="shared" si="34"/>
      </c>
      <c r="CP28" s="308">
        <f t="shared" si="34"/>
      </c>
      <c r="CQ28" s="926">
        <f t="shared" ref="CQ28:CX29" si="35">IF(CL23=0, "NA", CQ23/CL23-1)</f>
      </c>
      <c r="CR28" s="926">
        <f t="shared" si="35"/>
      </c>
      <c r="CS28" s="926">
        <f t="shared" si="35"/>
      </c>
      <c r="CT28" s="926">
        <f t="shared" si="35"/>
      </c>
      <c r="CU28" s="308">
        <f t="shared" si="35"/>
      </c>
      <c r="CV28" s="926">
        <f t="shared" si="35"/>
      </c>
      <c r="CW28" s="926">
        <f t="shared" si="35"/>
      </c>
      <c r="CX28" s="926">
        <f t="shared" si="35"/>
      </c>
      <c r="CY28" s="926">
        <f t="shared" ref="CY28:DH29" si="36">IF(CT23=0, "NA", CY23/CT23-1)</f>
      </c>
      <c r="CZ28" s="308">
        <f t="shared" si="36"/>
      </c>
      <c r="DA28" s="926">
        <f t="shared" si="36"/>
      </c>
      <c r="DB28" s="30">
        <f t="shared" si="36"/>
      </c>
      <c r="DC28" s="30">
        <f t="shared" si="36"/>
      </c>
      <c r="DD28" s="409">
        <f t="shared" si="36"/>
      </c>
      <c r="DE28" s="308">
        <f t="shared" si="36"/>
      </c>
      <c r="DF28" s="926">
        <f t="shared" si="36"/>
      </c>
      <c r="DG28" s="30">
        <f t="shared" si="36"/>
      </c>
      <c r="DH28" s="30">
        <f t="shared" si="36"/>
      </c>
      <c r="DI28" s="409">
        <f t="shared" ref="DI28:DR29" si="37">IF(DD23=0, "NA", DI23/DD23-1)</f>
      </c>
      <c r="DJ28" s="308">
        <f t="shared" si="37"/>
      </c>
      <c r="DK28" s="926">
        <f t="shared" si="37"/>
      </c>
      <c r="DL28" s="30">
        <f t="shared" si="37"/>
      </c>
      <c r="DM28" s="30">
        <f t="shared" si="37"/>
      </c>
      <c r="DN28" s="409">
        <f t="shared" si="37"/>
      </c>
      <c r="DO28" s="308">
        <f t="shared" si="37"/>
      </c>
      <c r="DP28" s="30">
        <f t="shared" si="37"/>
      </c>
      <c r="DQ28" s="30">
        <f t="shared" si="37"/>
      </c>
      <c r="DR28" s="30">
        <f t="shared" si="37"/>
      </c>
      <c r="DS28" s="409">
        <f t="shared" ref="DS28:DX29" si="38">IF(DN23=0, "NA", DS23/DN23-1)</f>
      </c>
      <c r="DT28" s="308">
        <f t="shared" si="38"/>
      </c>
      <c r="DU28" s="926">
        <f t="shared" si="38"/>
      </c>
      <c r="DV28" s="926">
        <f t="shared" si="38"/>
      </c>
      <c r="DW28" s="926">
        <f t="shared" si="38"/>
      </c>
      <c r="DX28" s="928">
        <f t="shared" si="38"/>
      </c>
      <c r="DY28" s="308">
        <f t="shared" ref="DY28:EH29" si="39">IF(DT23=0, "NA", DY23/DT23-1)</f>
      </c>
      <c r="DZ28" s="926">
        <f t="shared" si="39"/>
      </c>
      <c r="EA28" s="926">
        <f t="shared" si="39"/>
      </c>
      <c r="EB28" s="926">
        <f t="shared" si="39"/>
      </c>
      <c r="EC28" s="928">
        <f t="shared" si="39"/>
      </c>
      <c r="ED28" s="1060">
        <f t="shared" si="39"/>
      </c>
      <c r="EE28" s="926">
        <f t="shared" si="39"/>
      </c>
      <c r="EF28" s="926">
        <f t="shared" si="39"/>
      </c>
      <c r="EG28" s="926">
        <f t="shared" si="39"/>
      </c>
      <c r="EH28" s="928">
        <f t="shared" si="39"/>
      </c>
      <c r="EI28" s="308">
        <f>IF(ED23=0, "NA", EI23/ED23-1)</f>
      </c>
      <c r="EJ28" s="308">
        <f t="shared" ref="EJ28:EN29" si="40">IF(EI23=0, "NA", EJ23/EI23-1)</f>
      </c>
      <c r="EK28" s="308">
        <f t="shared" si="40"/>
      </c>
      <c r="EL28" s="308">
        <f t="shared" si="40"/>
      </c>
      <c r="EM28" s="308">
        <f t="shared" si="40"/>
      </c>
      <c r="EN28" s="308">
        <f t="shared" si="40"/>
      </c>
      <c r="EO28" s="308"/>
      <c r="EP28" s="308"/>
      <c r="EQ28" s="308"/>
      <c r="ER28" s="308"/>
      <c r="ES28" s="308"/>
      <c r="ET28" s="308"/>
      <c r="EU28" s="308"/>
      <c r="EV28" s="308"/>
      <c r="EW28" s="308"/>
      <c r="EX28" s="308"/>
    </row>
    <row r="29" spans="1:154">
      <c r="B29" s="339" t="s">
        <v>253</v>
      </c>
      <c r="C29" s="1989"/>
      <c r="D29" s="1"/>
      <c r="E29" s="1"/>
      <c r="F29" s="1"/>
      <c r="G29" s="1"/>
      <c r="H29" s="1"/>
      <c r="I29" s="30">
        <f t="shared" si="26"/>
      </c>
      <c r="J29" s="30">
        <f t="shared" si="26"/>
      </c>
      <c r="K29" s="30">
        <f t="shared" si="26"/>
      </c>
      <c r="L29" s="30">
        <f t="shared" si="26"/>
      </c>
      <c r="M29" s="30">
        <f t="shared" si="26"/>
      </c>
      <c r="N29" s="30">
        <f t="shared" si="26"/>
      </c>
      <c r="O29" s="30">
        <f t="shared" si="26"/>
      </c>
      <c r="P29" s="30">
        <f t="shared" si="26"/>
      </c>
      <c r="Q29" s="30">
        <f t="shared" si="26"/>
      </c>
      <c r="R29" s="30">
        <f t="shared" si="26"/>
      </c>
      <c r="S29" s="30">
        <f t="shared" si="27"/>
      </c>
      <c r="T29" s="30">
        <f t="shared" si="27"/>
      </c>
      <c r="U29" s="30">
        <f t="shared" si="27"/>
      </c>
      <c r="V29" s="30">
        <f t="shared" si="27"/>
      </c>
      <c r="W29" s="30">
        <f t="shared" si="27"/>
      </c>
      <c r="X29" s="308">
        <f t="shared" si="27"/>
      </c>
      <c r="Y29" s="30">
        <f t="shared" si="27"/>
      </c>
      <c r="Z29" s="30">
        <f t="shared" si="27"/>
      </c>
      <c r="AA29" s="30">
        <f t="shared" si="27"/>
      </c>
      <c r="AB29" s="30">
        <f t="shared" si="27"/>
      </c>
      <c r="AC29" s="308">
        <f t="shared" si="28"/>
      </c>
      <c r="AD29" s="30">
        <f t="shared" si="28"/>
      </c>
      <c r="AE29" s="30">
        <f t="shared" si="28"/>
      </c>
      <c r="AF29" s="30">
        <f t="shared" si="28"/>
      </c>
      <c r="AG29" s="30">
        <f t="shared" si="28"/>
      </c>
      <c r="AH29" s="308">
        <f t="shared" si="28"/>
      </c>
      <c r="AI29" s="30">
        <f t="shared" si="28"/>
      </c>
      <c r="AJ29" s="30">
        <f t="shared" si="28"/>
      </c>
      <c r="AK29" s="30">
        <f t="shared" si="28"/>
      </c>
      <c r="AL29" s="30">
        <f t="shared" si="28"/>
      </c>
      <c r="AM29" s="308">
        <f t="shared" si="29"/>
      </c>
      <c r="AN29" s="30">
        <f t="shared" si="29"/>
      </c>
      <c r="AO29" s="30">
        <f t="shared" si="29"/>
      </c>
      <c r="AP29" s="30">
        <f t="shared" si="29"/>
      </c>
      <c r="AQ29" s="30">
        <f t="shared" si="29"/>
      </c>
      <c r="AR29" s="308">
        <f t="shared" si="29"/>
      </c>
      <c r="AS29" s="30">
        <f t="shared" si="29"/>
      </c>
      <c r="AT29" s="30">
        <f t="shared" si="29"/>
      </c>
      <c r="AU29" s="30">
        <f t="shared" si="29"/>
      </c>
      <c r="AV29" s="30">
        <f t="shared" si="29"/>
      </c>
      <c r="AW29" s="308">
        <f t="shared" si="30"/>
      </c>
      <c r="AX29" s="30">
        <f t="shared" si="30"/>
      </c>
      <c r="AY29" s="30">
        <f t="shared" si="30"/>
      </c>
      <c r="AZ29" s="30">
        <f t="shared" si="30"/>
      </c>
      <c r="BA29" s="30">
        <f t="shared" si="30"/>
      </c>
      <c r="BB29" s="308">
        <f t="shared" si="30"/>
      </c>
      <c r="BC29" s="30">
        <f t="shared" si="30"/>
      </c>
      <c r="BD29" s="30">
        <f t="shared" si="30"/>
      </c>
      <c r="BE29" s="30">
        <f t="shared" si="30"/>
      </c>
      <c r="BF29" s="30">
        <f t="shared" si="30"/>
      </c>
      <c r="BG29" s="308">
        <f t="shared" si="31"/>
      </c>
      <c r="BH29" s="30">
        <f t="shared" si="31"/>
      </c>
      <c r="BI29" s="30">
        <f t="shared" si="31"/>
      </c>
      <c r="BJ29" s="30">
        <f t="shared" si="31"/>
      </c>
      <c r="BK29" s="30">
        <f t="shared" si="31"/>
      </c>
      <c r="BL29" s="308">
        <f t="shared" si="31"/>
      </c>
      <c r="BM29" s="30">
        <f t="shared" si="31"/>
      </c>
      <c r="BN29" s="30">
        <f t="shared" si="31"/>
      </c>
      <c r="BO29" s="30">
        <f t="shared" si="31"/>
      </c>
      <c r="BP29" s="30">
        <f t="shared" si="31"/>
      </c>
      <c r="BQ29" s="308">
        <f t="shared" si="32"/>
      </c>
      <c r="BR29" s="30">
        <f t="shared" si="32"/>
      </c>
      <c r="BS29" s="30">
        <f t="shared" si="32"/>
      </c>
      <c r="BT29" s="30">
        <f t="shared" si="32"/>
      </c>
      <c r="BU29" s="30">
        <f t="shared" si="32"/>
      </c>
      <c r="BV29" s="308">
        <f t="shared" si="32"/>
      </c>
      <c r="BW29" s="30">
        <f t="shared" si="32"/>
      </c>
      <c r="BX29" s="30">
        <f t="shared" si="32"/>
      </c>
      <c r="BY29" s="30">
        <f t="shared" si="32"/>
      </c>
      <c r="BZ29" s="30">
        <f t="shared" si="32"/>
      </c>
      <c r="CA29" s="308">
        <f t="shared" si="33"/>
      </c>
      <c r="CB29" s="30">
        <f t="shared" si="33"/>
      </c>
      <c r="CC29" s="30">
        <f t="shared" si="33"/>
      </c>
      <c r="CD29" s="30">
        <f t="shared" si="33"/>
      </c>
      <c r="CE29" s="30">
        <f t="shared" si="33"/>
      </c>
      <c r="CF29" s="308">
        <f t="shared" si="33"/>
      </c>
      <c r="CG29" s="30">
        <f t="shared" si="34"/>
      </c>
      <c r="CH29" s="30">
        <f t="shared" si="34"/>
      </c>
      <c r="CI29" s="30">
        <f t="shared" si="34"/>
      </c>
      <c r="CJ29" s="30">
        <f t="shared" si="34"/>
      </c>
      <c r="CK29" s="308">
        <f t="shared" si="34"/>
      </c>
      <c r="CL29" s="926">
        <f t="shared" si="34"/>
      </c>
      <c r="CM29" s="926">
        <f t="shared" si="34"/>
      </c>
      <c r="CN29" s="926">
        <f t="shared" si="34"/>
      </c>
      <c r="CO29" s="30">
        <f t="shared" si="34"/>
      </c>
      <c r="CP29" s="308">
        <f t="shared" si="34"/>
      </c>
      <c r="CQ29" s="926">
        <f t="shared" si="35"/>
      </c>
      <c r="CR29" s="926">
        <f t="shared" si="35"/>
      </c>
      <c r="CS29" s="926">
        <f t="shared" si="35"/>
      </c>
      <c r="CT29" s="926">
        <f t="shared" si="35"/>
      </c>
      <c r="CU29" s="308">
        <f t="shared" si="35"/>
      </c>
      <c r="CV29" s="926">
        <f t="shared" si="35"/>
      </c>
      <c r="CW29" s="926">
        <f t="shared" si="35"/>
      </c>
      <c r="CX29" s="926">
        <f t="shared" si="35"/>
      </c>
      <c r="CY29" s="926">
        <f t="shared" si="36"/>
      </c>
      <c r="CZ29" s="308">
        <f t="shared" si="36"/>
      </c>
      <c r="DA29" s="926">
        <f t="shared" si="36"/>
      </c>
      <c r="DB29" s="30">
        <f t="shared" si="36"/>
      </c>
      <c r="DC29" s="30">
        <f t="shared" si="36"/>
      </c>
      <c r="DD29" s="409">
        <f t="shared" si="36"/>
      </c>
      <c r="DE29" s="308">
        <f t="shared" si="36"/>
      </c>
      <c r="DF29" s="926">
        <f t="shared" si="36"/>
      </c>
      <c r="DG29" s="30">
        <f t="shared" si="36"/>
      </c>
      <c r="DH29" s="30">
        <f t="shared" si="36"/>
      </c>
      <c r="DI29" s="409">
        <f t="shared" si="37"/>
      </c>
      <c r="DJ29" s="308">
        <f t="shared" si="37"/>
      </c>
      <c r="DK29" s="926">
        <f t="shared" si="37"/>
      </c>
      <c r="DL29" s="30">
        <f t="shared" si="37"/>
      </c>
      <c r="DM29" s="30">
        <f t="shared" si="37"/>
      </c>
      <c r="DN29" s="409">
        <f t="shared" si="37"/>
      </c>
      <c r="DO29" s="308">
        <f t="shared" si="37"/>
      </c>
      <c r="DP29" s="30">
        <f t="shared" si="37"/>
      </c>
      <c r="DQ29" s="30">
        <f t="shared" si="37"/>
      </c>
      <c r="DR29" s="30">
        <f t="shared" si="37"/>
      </c>
      <c r="DS29" s="409">
        <f t="shared" si="38"/>
      </c>
      <c r="DT29" s="308">
        <f t="shared" si="38"/>
      </c>
      <c r="DU29" s="926">
        <f t="shared" si="38"/>
      </c>
      <c r="DV29" s="926">
        <f t="shared" si="38"/>
      </c>
      <c r="DW29" s="926">
        <f t="shared" si="38"/>
      </c>
      <c r="DX29" s="928">
        <f t="shared" si="38"/>
      </c>
      <c r="DY29" s="308">
        <f t="shared" si="39"/>
      </c>
      <c r="DZ29" s="926">
        <f t="shared" si="39"/>
      </c>
      <c r="EA29" s="926">
        <f t="shared" si="39"/>
      </c>
      <c r="EB29" s="926">
        <f t="shared" si="39"/>
      </c>
      <c r="EC29" s="928">
        <f t="shared" si="39"/>
      </c>
      <c r="ED29" s="1060">
        <f t="shared" si="39"/>
      </c>
      <c r="EE29" s="926">
        <f t="shared" si="39"/>
      </c>
      <c r="EF29" s="926">
        <f t="shared" si="39"/>
      </c>
      <c r="EG29" s="926">
        <f t="shared" si="39"/>
      </c>
      <c r="EH29" s="928">
        <f t="shared" si="39"/>
      </c>
      <c r="EI29" s="308">
        <f>IF(ED24=0, "NA", EI24/ED24-1)</f>
      </c>
      <c r="EJ29" s="308">
        <f t="shared" si="40"/>
      </c>
      <c r="EK29" s="308">
        <f t="shared" si="40"/>
      </c>
      <c r="EL29" s="308">
        <f t="shared" si="40"/>
      </c>
      <c r="EM29" s="308">
        <f t="shared" si="40"/>
      </c>
      <c r="EN29" s="308">
        <f t="shared" si="40"/>
      </c>
      <c r="EO29" s="308"/>
      <c r="EP29" s="308"/>
      <c r="EQ29" s="308"/>
      <c r="ER29" s="308"/>
      <c r="ES29" s="308"/>
      <c r="ET29" s="308"/>
      <c r="EU29" s="308"/>
      <c r="EV29" s="308"/>
      <c r="EW29" s="308"/>
      <c r="EX29" s="308"/>
    </row>
    <row r="30" spans="1:154">
      <c r="B30" s="339" t="s">
        <v>254</v>
      </c>
      <c r="C30" s="1989"/>
      <c r="D30" s="1"/>
      <c r="E30" s="1"/>
      <c r="F30" s="1"/>
      <c r="G30" s="1"/>
      <c r="H30" s="1"/>
      <c r="I30" s="1"/>
      <c r="J30" s="1"/>
      <c r="K30" s="1"/>
      <c r="L30" s="1"/>
      <c r="M30" s="1"/>
      <c r="N30" s="24"/>
      <c r="O30" s="24"/>
      <c r="P30" s="24"/>
      <c r="Q30" s="24"/>
      <c r="R30" s="24"/>
      <c r="S30" s="1"/>
      <c r="T30" s="24"/>
      <c r="U30" s="24"/>
      <c r="V30" s="24"/>
      <c r="W30" s="24"/>
      <c r="X30" s="309"/>
      <c r="Y30" s="24"/>
      <c r="Z30" s="24"/>
      <c r="AA30" s="24"/>
      <c r="AB30" s="24"/>
      <c r="AC30" s="309"/>
      <c r="AD30" s="24"/>
      <c r="AE30" s="24"/>
      <c r="AF30" s="24"/>
      <c r="AG30" s="24"/>
      <c r="AH30" s="309"/>
      <c r="AI30" s="41">
        <f t="shared" ref="AI30:BN30" si="41">IF(ISNUMBER(AI29),(1+AI29)/(1+AI$21)-1,"NM")</f>
      </c>
      <c r="AJ30" s="41">
        <f t="shared" si="41"/>
      </c>
      <c r="AK30" s="41">
        <f t="shared" si="41"/>
      </c>
      <c r="AL30" s="41">
        <f t="shared" si="41"/>
      </c>
      <c r="AM30" s="309">
        <f t="shared" si="41"/>
      </c>
      <c r="AN30" s="41">
        <f t="shared" si="41"/>
      </c>
      <c r="AO30" s="41">
        <f t="shared" si="41"/>
      </c>
      <c r="AP30" s="41">
        <f t="shared" si="41"/>
      </c>
      <c r="AQ30" s="41">
        <f t="shared" si="41"/>
      </c>
      <c r="AR30" s="309">
        <f t="shared" si="41"/>
      </c>
      <c r="AS30" s="41">
        <f t="shared" si="41"/>
      </c>
      <c r="AT30" s="41">
        <f t="shared" si="41"/>
      </c>
      <c r="AU30" s="41">
        <f t="shared" si="41"/>
      </c>
      <c r="AV30" s="41">
        <f t="shared" si="41"/>
      </c>
      <c r="AW30" s="309">
        <f t="shared" si="41"/>
      </c>
      <c r="AX30" s="41">
        <f t="shared" si="41"/>
      </c>
      <c r="AY30" s="41">
        <f t="shared" si="41"/>
      </c>
      <c r="AZ30" s="41">
        <f t="shared" si="41"/>
      </c>
      <c r="BA30" s="41">
        <f t="shared" si="41"/>
      </c>
      <c r="BB30" s="309">
        <f t="shared" si="41"/>
      </c>
      <c r="BC30" s="41">
        <f t="shared" si="41"/>
      </c>
      <c r="BD30" s="41">
        <f t="shared" si="41"/>
      </c>
      <c r="BE30" s="41">
        <f t="shared" si="41"/>
      </c>
      <c r="BF30" s="41">
        <f t="shared" si="41"/>
      </c>
      <c r="BG30" s="309">
        <f t="shared" si="41"/>
      </c>
      <c r="BH30" s="41">
        <f t="shared" si="41"/>
      </c>
      <c r="BI30" s="41">
        <f t="shared" si="41"/>
      </c>
      <c r="BJ30" s="41">
        <f t="shared" si="41"/>
      </c>
      <c r="BK30" s="41">
        <f t="shared" si="41"/>
      </c>
      <c r="BL30" s="309">
        <f t="shared" si="41"/>
      </c>
      <c r="BM30" s="41">
        <f t="shared" si="41"/>
      </c>
      <c r="BN30" s="41">
        <f t="shared" si="41"/>
      </c>
      <c r="BO30" s="41">
        <f t="shared" ref="BO30:CF30" si="42">IF(ISNUMBER(BO29),(1+BO29)/(1+BO$21)-1,"NM")</f>
      </c>
      <c r="BP30" s="41">
        <f t="shared" si="42"/>
      </c>
      <c r="BQ30" s="309">
        <f t="shared" si="42"/>
      </c>
      <c r="BR30" s="41">
        <f t="shared" si="42"/>
      </c>
      <c r="BS30" s="41">
        <f t="shared" si="42"/>
      </c>
      <c r="BT30" s="41">
        <f t="shared" si="42"/>
      </c>
      <c r="BU30" s="41">
        <f t="shared" si="42"/>
      </c>
      <c r="BV30" s="309">
        <f t="shared" si="42"/>
      </c>
      <c r="BW30" s="41">
        <f t="shared" si="42"/>
      </c>
      <c r="BX30" s="41">
        <f t="shared" si="42"/>
      </c>
      <c r="BY30" s="41">
        <f t="shared" si="42"/>
      </c>
      <c r="BZ30" s="41">
        <f t="shared" si="42"/>
      </c>
      <c r="CA30" s="309">
        <f t="shared" si="42"/>
      </c>
      <c r="CB30" s="41">
        <f t="shared" si="42"/>
      </c>
      <c r="CC30" s="41">
        <f t="shared" si="42"/>
      </c>
      <c r="CD30" s="41">
        <f t="shared" si="42"/>
      </c>
      <c r="CE30" s="41">
        <f t="shared" si="42"/>
      </c>
      <c r="CF30" s="309">
        <f t="shared" si="42"/>
      </c>
      <c r="CG30" s="41">
        <f t="shared" ref="CG30:EI30" si="43">CG29-CG$21</f>
      </c>
      <c r="CH30" s="41">
        <f t="shared" si="43"/>
      </c>
      <c r="CI30" s="41">
        <f t="shared" si="43"/>
      </c>
      <c r="CJ30" s="41">
        <f t="shared" si="43"/>
      </c>
      <c r="CK30" s="309">
        <f t="shared" si="43"/>
      </c>
      <c r="CL30" s="925">
        <f t="shared" si="43"/>
      </c>
      <c r="CM30" s="925">
        <f t="shared" si="43"/>
      </c>
      <c r="CN30" s="925">
        <f t="shared" si="43"/>
      </c>
      <c r="CO30" s="41">
        <f t="shared" si="43"/>
      </c>
      <c r="CP30" s="309">
        <f t="shared" si="43"/>
      </c>
      <c r="CQ30" s="925">
        <f t="shared" si="43"/>
      </c>
      <c r="CR30" s="925">
        <f t="shared" si="43"/>
      </c>
      <c r="CS30" s="925">
        <f t="shared" si="43"/>
      </c>
      <c r="CT30" s="925">
        <f t="shared" si="43"/>
      </c>
      <c r="CU30" s="309">
        <f t="shared" si="43"/>
      </c>
      <c r="CV30" s="925">
        <f>CV29-CV$21</f>
      </c>
      <c r="CW30" s="925">
        <f t="shared" si="43"/>
      </c>
      <c r="CX30" s="925">
        <f>CX29-CX$21</f>
      </c>
      <c r="CY30" s="925">
        <f>CY29-CY$21</f>
      </c>
      <c r="CZ30" s="309">
        <f t="shared" ref="CZ30:DE30" si="44">CZ29-CZ$21</f>
      </c>
      <c r="DA30" s="925">
        <f t="shared" si="44"/>
      </c>
      <c r="DB30" s="41">
        <f t="shared" si="44"/>
      </c>
      <c r="DC30" s="41">
        <f t="shared" si="44"/>
      </c>
      <c r="DD30" s="837">
        <f t="shared" si="44"/>
      </c>
      <c r="DE30" s="308">
        <f t="shared" si="44"/>
      </c>
      <c r="DF30" s="926">
        <f>DF29-DF$21</f>
      </c>
      <c r="DG30" s="30">
        <f>DG29-DG$21</f>
      </c>
      <c r="DH30" s="30">
        <f>DH29-DH$21</f>
      </c>
      <c r="DI30" s="409">
        <f>DI29-DI$21</f>
      </c>
      <c r="DJ30" s="308">
        <f t="shared" si="43"/>
      </c>
      <c r="DK30" s="926">
        <f t="shared" si="43"/>
      </c>
      <c r="DL30" s="30">
        <f t="shared" si="43"/>
      </c>
      <c r="DM30" s="30">
        <f t="shared" si="43"/>
      </c>
      <c r="DN30" s="409">
        <f t="shared" si="43"/>
      </c>
      <c r="DO30" s="308">
        <f>DO29-DO$21</f>
      </c>
      <c r="DP30" s="30">
        <f>DP29-DP$21</f>
      </c>
      <c r="DQ30" s="30">
        <f>DQ29-DQ$21</f>
      </c>
      <c r="DR30" s="30">
        <f>DR29-DR$21</f>
      </c>
      <c r="DS30" s="409">
        <f>DS29-DS$21</f>
      </c>
      <c r="DT30" s="308">
        <f t="shared" si="43"/>
      </c>
      <c r="DU30" s="926">
        <f>DU29-DU$21</f>
      </c>
      <c r="DV30" s="926">
        <f>DV29-DV$21</f>
      </c>
      <c r="DW30" s="926">
        <f>DW29-DW$21</f>
      </c>
      <c r="DX30" s="928">
        <f>DX29-DX$21</f>
      </c>
      <c r="DY30" s="308">
        <f t="shared" si="43"/>
      </c>
      <c r="DZ30" s="926">
        <f>DZ29-DZ$21</f>
      </c>
      <c r="EA30" s="926">
        <f>EA29-EA$21</f>
      </c>
      <c r="EB30" s="926">
        <f>EB29-EB$21</f>
      </c>
      <c r="EC30" s="928">
        <f>EC29-EC$21</f>
      </c>
      <c r="ED30" s="1060">
        <f t="shared" ref="ED30" si="45">ED29-ED$21</f>
      </c>
      <c r="EE30" s="926">
        <f>EE29-EE$21</f>
      </c>
      <c r="EF30" s="926">
        <f>EF29-EF$21</f>
      </c>
      <c r="EG30" s="926">
        <f>EG29-EG$21</f>
      </c>
      <c r="EH30" s="928">
        <f>EH29-EH$21</f>
      </c>
      <c r="EI30" s="308">
        <f t="shared" si="43"/>
      </c>
      <c r="EJ30" s="308">
        <f t="shared" ref="EJ30:EN30" si="46">EJ29-EJ$21</f>
      </c>
      <c r="EK30" s="308">
        <f t="shared" si="46"/>
      </c>
      <c r="EL30" s="308">
        <f t="shared" si="46"/>
      </c>
      <c r="EM30" s="308">
        <f t="shared" si="46"/>
      </c>
      <c r="EN30" s="308">
        <f t="shared" si="46"/>
      </c>
      <c r="EO30" s="308"/>
      <c r="EP30" s="308"/>
      <c r="EQ30" s="308"/>
      <c r="ER30" s="308"/>
      <c r="ES30" s="308"/>
      <c r="ET30" s="309"/>
      <c r="EU30" s="309"/>
      <c r="EV30" s="309"/>
      <c r="EW30" s="309"/>
      <c r="EX30" s="309"/>
    </row>
    <row r="31" spans="1:154">
      <c r="B31" s="339" t="s">
        <v>19</v>
      </c>
      <c r="C31" s="1989"/>
      <c r="D31" s="1"/>
      <c r="E31" s="1"/>
      <c r="F31" s="1"/>
      <c r="G31" s="1"/>
      <c r="H31" s="1"/>
      <c r="I31" s="30">
        <f t="shared" ref="I31:AN31" si="47">IF(D25="NM","NM",IF(I25="NM","NM",IF(D25&lt;=0,"NM",IF(I25=0,"NM",IF(ABS(I25/D25-1)&gt;2.5,"NM",IF((ABS(I25-D25)=ABS(ABS(I25)-ABS(D25))),(I25/D25-1),"NM"))))))</f>
      </c>
      <c r="J31" s="30">
        <f t="shared" si="47"/>
      </c>
      <c r="K31" s="30">
        <f t="shared" si="47"/>
      </c>
      <c r="L31" s="30">
        <f t="shared" si="47"/>
      </c>
      <c r="M31" s="30">
        <f t="shared" si="47"/>
      </c>
      <c r="N31" s="30">
        <f t="shared" si="47"/>
      </c>
      <c r="O31" s="30">
        <f t="shared" si="47"/>
      </c>
      <c r="P31" s="30">
        <f t="shared" si="47"/>
      </c>
      <c r="Q31" s="30">
        <f t="shared" si="47"/>
      </c>
      <c r="R31" s="30">
        <f t="shared" si="47"/>
      </c>
      <c r="S31" s="30">
        <f t="shared" si="47"/>
      </c>
      <c r="T31" s="30">
        <f t="shared" si="47"/>
      </c>
      <c r="U31" s="30">
        <f t="shared" si="47"/>
      </c>
      <c r="V31" s="30">
        <f t="shared" si="47"/>
      </c>
      <c r="W31" s="30">
        <f t="shared" si="47"/>
      </c>
      <c r="X31" s="308">
        <f t="shared" si="47"/>
      </c>
      <c r="Y31" s="30">
        <f t="shared" si="47"/>
      </c>
      <c r="Z31" s="30">
        <f t="shared" si="47"/>
      </c>
      <c r="AA31" s="30">
        <f t="shared" si="47"/>
      </c>
      <c r="AB31" s="30">
        <f t="shared" si="47"/>
      </c>
      <c r="AC31" s="308">
        <f t="shared" si="47"/>
      </c>
      <c r="AD31" s="30">
        <f t="shared" si="47"/>
      </c>
      <c r="AE31" s="30">
        <f t="shared" si="47"/>
      </c>
      <c r="AF31" s="30">
        <f t="shared" si="47"/>
      </c>
      <c r="AG31" s="30">
        <f t="shared" si="47"/>
      </c>
      <c r="AH31" s="308">
        <f t="shared" si="47"/>
      </c>
      <c r="AI31" s="30">
        <f t="shared" si="47"/>
      </c>
      <c r="AJ31" s="30">
        <f t="shared" si="47"/>
      </c>
      <c r="AK31" s="30">
        <f t="shared" si="47"/>
      </c>
      <c r="AL31" s="30">
        <f t="shared" si="47"/>
      </c>
      <c r="AM31" s="308">
        <f t="shared" si="47"/>
      </c>
      <c r="AN31" s="30">
        <f t="shared" si="47"/>
      </c>
      <c r="AO31" s="30">
        <f t="shared" ref="AO31:BP31" si="48">IF(AJ25="NM","NM",IF(AO25="NM","NM",IF(AJ25&lt;=0,"NM",IF(AO25=0,"NM",IF(ABS(AO25/AJ25-1)&gt;2.5,"NM",IF((ABS(AO25-AJ25)=ABS(ABS(AO25)-ABS(AJ25))),(AO25/AJ25-1),"NM"))))))</f>
      </c>
      <c r="AP31" s="30">
        <f t="shared" si="48"/>
      </c>
      <c r="AQ31" s="30">
        <f t="shared" si="48"/>
      </c>
      <c r="AR31" s="308">
        <f t="shared" si="48"/>
      </c>
      <c r="AS31" s="30">
        <f t="shared" si="48"/>
      </c>
      <c r="AT31" s="30">
        <f t="shared" si="48"/>
      </c>
      <c r="AU31" s="30">
        <f t="shared" si="48"/>
      </c>
      <c r="AV31" s="30">
        <f t="shared" si="48"/>
      </c>
      <c r="AW31" s="308">
        <f t="shared" si="48"/>
      </c>
      <c r="AX31" s="30">
        <f t="shared" si="48"/>
      </c>
      <c r="AY31" s="30">
        <f t="shared" si="48"/>
      </c>
      <c r="AZ31" s="30">
        <f t="shared" si="48"/>
      </c>
      <c r="BA31" s="30">
        <f t="shared" si="48"/>
      </c>
      <c r="BB31" s="308">
        <f t="shared" si="48"/>
      </c>
      <c r="BC31" s="30">
        <f t="shared" si="48"/>
      </c>
      <c r="BD31" s="30">
        <f t="shared" si="48"/>
      </c>
      <c r="BE31" s="30">
        <f t="shared" si="48"/>
      </c>
      <c r="BF31" s="30">
        <f t="shared" si="48"/>
      </c>
      <c r="BG31" s="308">
        <f t="shared" si="48"/>
      </c>
      <c r="BH31" s="30">
        <f t="shared" si="48"/>
      </c>
      <c r="BI31" s="30">
        <f t="shared" si="48"/>
      </c>
      <c r="BJ31" s="30">
        <f t="shared" si="48"/>
      </c>
      <c r="BK31" s="30">
        <f t="shared" si="48"/>
      </c>
      <c r="BL31" s="308">
        <f t="shared" si="48"/>
      </c>
      <c r="BM31" s="30">
        <f t="shared" si="48"/>
      </c>
      <c r="BN31" s="30">
        <f t="shared" si="48"/>
      </c>
      <c r="BO31" s="30">
        <f t="shared" si="48"/>
      </c>
      <c r="BP31" s="30">
        <f t="shared" si="48"/>
      </c>
      <c r="BQ31" s="309">
        <f>IF(ISNUMBER(BQ30),(1+BQ30)/(1+BQ$21)-1,"NM")</f>
      </c>
      <c r="BR31" s="30">
        <f t="shared" ref="BR31:CF31" si="49">IF(BM25="NM","NM",IF(BR25="NM","NM",IF(BM25&lt;=0,"NM",IF(BR25=0,"NM",IF(ABS(BR25/BM25-1)&gt;2.5,"NM",IF((ABS(BR25-BM25)=ABS(ABS(BR25)-ABS(BM25))),(BR25/BM25-1),"NM"))))))</f>
      </c>
      <c r="BS31" s="30">
        <f t="shared" si="49"/>
      </c>
      <c r="BT31" s="30">
        <f t="shared" si="49"/>
      </c>
      <c r="BU31" s="30">
        <f t="shared" si="49"/>
      </c>
      <c r="BV31" s="308">
        <f t="shared" si="49"/>
      </c>
      <c r="BW31" s="30">
        <f t="shared" si="49"/>
      </c>
      <c r="BX31" s="30">
        <f t="shared" si="49"/>
      </c>
      <c r="BY31" s="30">
        <f t="shared" si="49"/>
      </c>
      <c r="BZ31" s="30">
        <f t="shared" si="49"/>
      </c>
      <c r="CA31" s="308">
        <f t="shared" si="49"/>
      </c>
      <c r="CB31" s="30">
        <f t="shared" si="49"/>
      </c>
      <c r="CC31" s="30">
        <f t="shared" si="49"/>
      </c>
      <c r="CD31" s="30">
        <f t="shared" si="49"/>
      </c>
      <c r="CE31" s="30">
        <f t="shared" si="49"/>
      </c>
      <c r="CF31" s="308">
        <f t="shared" si="49"/>
      </c>
      <c r="CG31" s="30">
        <f t="shared" ref="CG31:CX31" si="50">IF(CB25=0, "NA", CG25/CB25-1)</f>
      </c>
      <c r="CH31" s="30">
        <f t="shared" si="50"/>
      </c>
      <c r="CI31" s="30">
        <f t="shared" si="50"/>
      </c>
      <c r="CJ31" s="30">
        <f t="shared" si="50"/>
      </c>
      <c r="CK31" s="308">
        <f t="shared" si="50"/>
      </c>
      <c r="CL31" s="926">
        <f t="shared" si="50"/>
      </c>
      <c r="CM31" s="926">
        <f t="shared" si="50"/>
      </c>
      <c r="CN31" s="926">
        <f t="shared" si="50"/>
      </c>
      <c r="CO31" s="30">
        <f t="shared" si="50"/>
      </c>
      <c r="CP31" s="308">
        <f t="shared" si="50"/>
      </c>
      <c r="CQ31" s="926">
        <f t="shared" si="50"/>
      </c>
      <c r="CR31" s="926">
        <f t="shared" si="50"/>
      </c>
      <c r="CS31" s="926">
        <f t="shared" si="50"/>
      </c>
      <c r="CT31" s="926">
        <f t="shared" si="50"/>
      </c>
      <c r="CU31" s="308">
        <f t="shared" si="50"/>
      </c>
      <c r="CV31" s="926">
        <f t="shared" si="50"/>
      </c>
      <c r="CW31" s="926">
        <f t="shared" si="50"/>
      </c>
      <c r="CX31" s="926">
        <f t="shared" si="50"/>
      </c>
      <c r="CY31" s="926">
        <f t="shared" ref="CY31:DX31" si="51">IF(CT25=0, "NA", CY25/CT25-1)</f>
      </c>
      <c r="CZ31" s="308">
        <f t="shared" si="51"/>
      </c>
      <c r="DA31" s="926">
        <f t="shared" si="51"/>
      </c>
      <c r="DB31" s="30">
        <f t="shared" si="51"/>
      </c>
      <c r="DC31" s="30">
        <f t="shared" si="51"/>
      </c>
      <c r="DD31" s="409">
        <f t="shared" si="51"/>
      </c>
      <c r="DE31" s="308">
        <f t="shared" si="51"/>
      </c>
      <c r="DF31" s="926">
        <f t="shared" si="51"/>
      </c>
      <c r="DG31" s="30">
        <f t="shared" si="51"/>
      </c>
      <c r="DH31" s="30">
        <f t="shared" si="51"/>
      </c>
      <c r="DI31" s="409">
        <f t="shared" si="51"/>
      </c>
      <c r="DJ31" s="308">
        <f t="shared" si="51"/>
      </c>
      <c r="DK31" s="926">
        <f t="shared" si="51"/>
      </c>
      <c r="DL31" s="30">
        <f t="shared" si="51"/>
      </c>
      <c r="DM31" s="30">
        <f t="shared" si="51"/>
      </c>
      <c r="DN31" s="409">
        <f t="shared" si="51"/>
      </c>
      <c r="DO31" s="308">
        <f t="shared" si="51"/>
      </c>
      <c r="DP31" s="30">
        <f t="shared" si="51"/>
      </c>
      <c r="DQ31" s="30">
        <f t="shared" si="51"/>
      </c>
      <c r="DR31" s="30">
        <f t="shared" si="51"/>
      </c>
      <c r="DS31" s="409">
        <f t="shared" si="51"/>
      </c>
      <c r="DT31" s="308">
        <f t="shared" si="51"/>
      </c>
      <c r="DU31" s="926">
        <f t="shared" si="51"/>
      </c>
      <c r="DV31" s="926">
        <f t="shared" si="51"/>
      </c>
      <c r="DW31" s="926">
        <f t="shared" si="51"/>
      </c>
      <c r="DX31" s="928">
        <f t="shared" si="51"/>
      </c>
      <c r="DY31" s="308">
        <f t="shared" ref="DY31:EH31" si="52">IF(DT25=0, "NA", DY25/DT25-1)</f>
      </c>
      <c r="DZ31" s="926">
        <f t="shared" si="52"/>
      </c>
      <c r="EA31" s="926">
        <f t="shared" si="52"/>
      </c>
      <c r="EB31" s="926">
        <f t="shared" si="52"/>
      </c>
      <c r="EC31" s="928">
        <f t="shared" si="52"/>
      </c>
      <c r="ED31" s="1060">
        <f t="shared" si="52"/>
      </c>
      <c r="EE31" s="926">
        <f t="shared" si="52"/>
      </c>
      <c r="EF31" s="926">
        <f t="shared" si="52"/>
      </c>
      <c r="EG31" s="926">
        <f t="shared" si="52"/>
      </c>
      <c r="EH31" s="928">
        <f t="shared" si="52"/>
      </c>
      <c r="EI31" s="308">
        <f>IF(ED25=0, "NA", EI25/ED25-1)</f>
      </c>
      <c r="EJ31" s="308">
        <f t="shared" ref="EJ31:EN31" si="53">IF(EI25=0, "NA", EJ25/EI25-1)</f>
      </c>
      <c r="EK31" s="308">
        <f t="shared" si="53"/>
      </c>
      <c r="EL31" s="308">
        <f>IF(EK25=0, "NA", EL25/EK25-1)</f>
      </c>
      <c r="EM31" s="308">
        <f t="shared" si="53"/>
      </c>
      <c r="EN31" s="308">
        <f t="shared" si="53"/>
      </c>
      <c r="EO31" s="308"/>
      <c r="EP31" s="308"/>
      <c r="EQ31" s="308"/>
      <c r="ER31" s="308"/>
      <c r="ES31" s="308"/>
      <c r="ET31" s="308"/>
      <c r="EU31" s="308"/>
      <c r="EV31" s="308"/>
      <c r="EW31" s="308"/>
      <c r="EX31" s="308"/>
    </row>
    <row r="32" spans="1:154" ht="12.75" customHeight="1">
      <c r="B32" s="339"/>
      <c r="C32" s="1989"/>
      <c r="D32" s="1"/>
      <c r="E32" s="1"/>
      <c r="F32" s="1"/>
      <c r="G32" s="1"/>
      <c r="H32" s="1"/>
      <c r="I32" s="30"/>
      <c r="J32" s="30"/>
      <c r="K32" s="30"/>
      <c r="L32" s="30"/>
      <c r="M32" s="30"/>
      <c r="N32" s="30"/>
      <c r="O32" s="30"/>
      <c r="P32" s="30"/>
      <c r="Q32" s="30"/>
      <c r="R32" s="30"/>
      <c r="S32" s="30"/>
      <c r="T32" s="30"/>
      <c r="U32" s="30"/>
      <c r="V32" s="30"/>
      <c r="W32" s="30"/>
      <c r="X32" s="308"/>
      <c r="Y32" s="30"/>
      <c r="Z32" s="30"/>
      <c r="AA32" s="30"/>
      <c r="AB32" s="30"/>
      <c r="AC32" s="308"/>
      <c r="AD32" s="30"/>
      <c r="AE32" s="30"/>
      <c r="AF32" s="30"/>
      <c r="AG32" s="30"/>
      <c r="AH32" s="308"/>
      <c r="AI32" s="30"/>
      <c r="AJ32" s="30"/>
      <c r="AK32" s="30"/>
      <c r="AL32" s="30"/>
      <c r="AM32" s="308"/>
      <c r="AN32" s="30"/>
      <c r="AO32" s="30"/>
      <c r="AP32" s="30"/>
      <c r="AQ32" s="30"/>
      <c r="AR32" s="308"/>
      <c r="AS32" s="30"/>
      <c r="AT32" s="30"/>
      <c r="AU32" s="30"/>
      <c r="AV32" s="30"/>
      <c r="AW32" s="308"/>
      <c r="AX32" s="30"/>
      <c r="AY32" s="30"/>
      <c r="AZ32" s="30"/>
      <c r="BA32" s="30"/>
      <c r="BB32" s="308"/>
      <c r="BC32" s="30"/>
      <c r="BD32" s="30"/>
      <c r="BE32" s="30"/>
      <c r="BF32" s="30"/>
      <c r="BG32" s="308"/>
      <c r="BH32" s="30"/>
      <c r="BI32" s="30"/>
      <c r="BJ32" s="30"/>
      <c r="BK32" s="30"/>
      <c r="BL32" s="308"/>
      <c r="BM32" s="30"/>
      <c r="BN32" s="30"/>
      <c r="BO32" s="30"/>
      <c r="BP32" s="30"/>
      <c r="BQ32" s="308"/>
      <c r="BR32" s="30"/>
      <c r="BS32" s="30"/>
      <c r="BT32" s="30"/>
      <c r="BU32" s="30"/>
      <c r="BV32" s="308"/>
      <c r="BW32" s="30"/>
      <c r="BX32" s="30"/>
      <c r="BY32" s="30"/>
      <c r="BZ32" s="30"/>
      <c r="CA32" s="308"/>
      <c r="CB32" s="30"/>
      <c r="CC32" s="30"/>
      <c r="CD32" s="30"/>
      <c r="CE32" s="30"/>
      <c r="CF32" s="308"/>
      <c r="CG32" s="30"/>
      <c r="CH32" s="30"/>
      <c r="CI32" s="30"/>
      <c r="CJ32" s="30"/>
      <c r="CK32" s="308"/>
      <c r="CL32" s="926"/>
      <c r="CM32" s="926"/>
      <c r="CN32" s="926"/>
      <c r="CO32" s="30"/>
      <c r="CP32" s="308"/>
      <c r="CQ32" s="926"/>
      <c r="CR32" s="926"/>
      <c r="CS32" s="926"/>
      <c r="CT32" s="926"/>
      <c r="CU32" s="308"/>
      <c r="CV32" s="926"/>
      <c r="CW32" s="926"/>
      <c r="CX32" s="926"/>
      <c r="CY32" s="926"/>
      <c r="CZ32" s="308"/>
      <c r="DA32" s="926"/>
      <c r="DB32" s="30"/>
      <c r="DC32" s="30"/>
      <c r="DD32" s="409"/>
      <c r="DE32" s="308"/>
      <c r="DF32" s="926"/>
      <c r="DG32" s="30"/>
      <c r="DH32" s="30"/>
      <c r="DI32" s="409"/>
      <c r="DJ32" s="308"/>
      <c r="DK32" s="926"/>
      <c r="DL32" s="30"/>
      <c r="DM32" s="30"/>
      <c r="DN32" s="409"/>
      <c r="DO32" s="308"/>
      <c r="DP32" s="30"/>
      <c r="DQ32" s="30"/>
      <c r="DR32" s="30"/>
      <c r="DS32" s="409"/>
      <c r="DT32" s="308"/>
      <c r="DU32" s="926"/>
      <c r="DV32" s="926"/>
      <c r="DW32" s="926"/>
      <c r="DX32" s="928"/>
      <c r="DY32" s="308"/>
      <c r="DZ32" s="926"/>
      <c r="EA32" s="926"/>
      <c r="EB32" s="926"/>
      <c r="EC32" s="928"/>
      <c r="ED32" s="1060"/>
      <c r="EE32" s="926"/>
      <c r="EF32" s="926"/>
      <c r="EG32" s="926"/>
      <c r="EH32" s="928"/>
      <c r="EI32" s="308"/>
      <c r="EJ32" s="308"/>
      <c r="EK32" s="308"/>
      <c r="EL32" s="308"/>
      <c r="EM32" s="308"/>
      <c r="EN32" s="308"/>
      <c r="EO32" s="308"/>
      <c r="EP32" s="308"/>
      <c r="EQ32" s="308"/>
      <c r="ER32" s="308"/>
      <c r="ES32" s="308"/>
      <c r="ET32" s="308"/>
      <c r="EU32" s="308"/>
      <c r="EV32" s="308"/>
      <c r="EW32" s="308"/>
      <c r="EX32" s="308"/>
    </row>
    <row r="33" spans="1:154" ht="12.75" customHeight="1">
      <c r="B33" s="337" t="s">
        <v>950</v>
      </c>
      <c r="C33" s="1990"/>
      <c r="D33" s="26"/>
      <c r="E33" s="26"/>
      <c r="F33" s="26"/>
      <c r="G33" s="26"/>
      <c r="H33" s="26"/>
      <c r="I33" s="27"/>
      <c r="J33" s="26"/>
      <c r="K33" s="26"/>
      <c r="L33" s="26"/>
      <c r="M33" s="26"/>
      <c r="N33" s="27"/>
      <c r="O33" s="27"/>
      <c r="P33" s="27"/>
      <c r="Q33" s="27"/>
      <c r="R33" s="27"/>
      <c r="S33" s="27"/>
      <c r="T33" s="27"/>
      <c r="U33" s="27"/>
      <c r="V33" s="27"/>
      <c r="W33" s="27"/>
      <c r="X33" s="307"/>
      <c r="Y33" s="27"/>
      <c r="Z33" s="27"/>
      <c r="AA33" s="27"/>
      <c r="AB33" s="27"/>
      <c r="AC33" s="307"/>
      <c r="AD33" s="27"/>
      <c r="AE33" s="27"/>
      <c r="AF33" s="27"/>
      <c r="AG33" s="27"/>
      <c r="AH33" s="307"/>
      <c r="AI33" s="45"/>
      <c r="AJ33" s="26"/>
      <c r="AK33" s="26"/>
      <c r="AL33" s="27"/>
      <c r="AM33" s="307"/>
      <c r="AN33" s="45"/>
      <c r="AO33" s="26"/>
      <c r="AP33" s="26"/>
      <c r="AQ33" s="27"/>
      <c r="AR33" s="307"/>
      <c r="AS33" s="45"/>
      <c r="AT33" s="26"/>
      <c r="AU33" s="26"/>
      <c r="AV33" s="27"/>
      <c r="AW33" s="307"/>
      <c r="AX33" s="45"/>
      <c r="AY33" s="26"/>
      <c r="AZ33" s="26"/>
      <c r="BA33" s="26"/>
      <c r="BB33" s="307"/>
      <c r="BC33" s="26"/>
      <c r="BD33" s="26"/>
      <c r="BE33" s="26"/>
      <c r="BF33" s="26"/>
      <c r="BG33" s="307"/>
      <c r="BH33" s="26"/>
      <c r="BI33" s="26"/>
      <c r="BJ33" s="26"/>
      <c r="BK33" s="26"/>
      <c r="BL33" s="307"/>
      <c r="BM33" s="26"/>
      <c r="BN33" s="26"/>
      <c r="BO33" s="26"/>
      <c r="BP33" s="26"/>
      <c r="BQ33" s="307"/>
      <c r="BR33" s="26"/>
      <c r="BS33" s="26"/>
      <c r="BT33" s="26"/>
      <c r="BU33" s="26"/>
      <c r="BV33" s="307"/>
      <c r="BW33" s="26"/>
      <c r="BX33" s="26"/>
      <c r="BY33" s="26"/>
      <c r="BZ33" s="26"/>
      <c r="CA33" s="307"/>
      <c r="CB33" s="26"/>
      <c r="CC33" s="26"/>
      <c r="CD33" s="26"/>
      <c r="CE33" s="26"/>
      <c r="CF33" s="307"/>
      <c r="CG33" s="26"/>
      <c r="CH33" s="26"/>
      <c r="CI33" s="26"/>
      <c r="CJ33" s="26"/>
      <c r="CK33" s="307"/>
      <c r="CL33" s="26"/>
      <c r="CM33" s="26"/>
      <c r="CN33" s="26"/>
      <c r="CO33" s="26"/>
      <c r="CP33" s="307"/>
      <c r="CQ33" s="26"/>
      <c r="CR33" s="26"/>
      <c r="CS33" s="26"/>
      <c r="CT33" s="26"/>
      <c r="CU33" s="307"/>
      <c r="CV33" s="26"/>
      <c r="CW33" s="26"/>
      <c r="CX33" s="26"/>
      <c r="CY33" s="26"/>
      <c r="CZ33" s="307"/>
      <c r="DA33" s="26"/>
      <c r="DB33" s="27"/>
      <c r="DC33" s="27"/>
      <c r="DD33" s="964"/>
      <c r="DE33" s="1766"/>
      <c r="DF33" s="1783"/>
      <c r="DG33" s="1767"/>
      <c r="DH33" s="1767"/>
      <c r="DI33" s="1784"/>
      <c r="DJ33" s="1766"/>
      <c r="DK33" s="1783"/>
      <c r="DL33" s="1767"/>
      <c r="DM33" s="1767"/>
      <c r="DN33" s="1784"/>
      <c r="DO33" s="1766"/>
      <c r="DP33" s="1353"/>
      <c r="DQ33" s="3759"/>
      <c r="DR33" s="1353"/>
      <c r="DS33" s="3759"/>
      <c r="DT33" s="1766"/>
      <c r="DU33" s="1353"/>
      <c r="DV33" s="3759"/>
      <c r="DW33" s="1353"/>
      <c r="DX33" s="3759"/>
      <c r="DY33" s="1766"/>
      <c r="DZ33" s="1353"/>
      <c r="EA33" s="3759"/>
      <c r="EB33" s="1353"/>
      <c r="EC33" s="3759"/>
      <c r="ED33" s="1187"/>
      <c r="EE33" s="1353"/>
      <c r="EF33" s="3759"/>
      <c r="EG33" s="1353"/>
      <c r="EH33" s="3759"/>
      <c r="EI33" s="1766"/>
      <c r="EJ33" s="1766"/>
      <c r="EK33" s="1766"/>
      <c r="EL33" s="1766"/>
      <c r="EM33" s="1766"/>
      <c r="EN33" s="1766"/>
      <c r="EO33" s="1766"/>
      <c r="EP33" s="1766"/>
      <c r="EQ33" s="1766"/>
      <c r="ER33" s="1766"/>
      <c r="ES33" s="1766"/>
      <c r="ET33" s="1766"/>
      <c r="EU33" s="1766"/>
      <c r="EV33" s="1766"/>
      <c r="EW33" s="1766"/>
      <c r="EX33" s="1766"/>
    </row>
    <row r="34" spans="1:154" ht="12.75" customHeight="1">
      <c r="A34" s="3275" t="s">
        <v>619</v>
      </c>
      <c r="B34" s="336" t="s">
        <v>153</v>
      </c>
      <c r="C34" s="1989"/>
      <c r="D34" s="50">
        <f t="shared" ref="D34:AI34" si="54">+D885</f>
      </c>
      <c r="E34" s="50">
        <f t="shared" si="54"/>
      </c>
      <c r="F34" s="50">
        <f t="shared" si="54"/>
      </c>
      <c r="G34" s="50">
        <f t="shared" si="54"/>
      </c>
      <c r="H34" s="50">
        <f t="shared" si="54"/>
      </c>
      <c r="I34" s="50">
        <f t="shared" si="54"/>
      </c>
      <c r="J34" s="50">
        <f t="shared" si="54"/>
      </c>
      <c r="K34" s="50">
        <f t="shared" si="54"/>
      </c>
      <c r="L34" s="50">
        <f t="shared" si="54"/>
      </c>
      <c r="M34" s="50">
        <f t="shared" si="54"/>
      </c>
      <c r="N34" s="50">
        <f t="shared" si="54"/>
      </c>
      <c r="O34" s="50">
        <f t="shared" si="54"/>
      </c>
      <c r="P34" s="50">
        <f t="shared" si="54"/>
      </c>
      <c r="Q34" s="50">
        <f t="shared" si="54"/>
      </c>
      <c r="R34" s="50">
        <f t="shared" si="54"/>
      </c>
      <c r="S34" s="50">
        <f t="shared" si="54"/>
      </c>
      <c r="T34" s="50">
        <f t="shared" si="54"/>
      </c>
      <c r="U34" s="50">
        <f t="shared" si="54"/>
      </c>
      <c r="V34" s="50">
        <f t="shared" si="54"/>
      </c>
      <c r="W34" s="50">
        <f t="shared" si="54"/>
      </c>
      <c r="X34" s="298">
        <f t="shared" si="54"/>
      </c>
      <c r="Y34" s="50">
        <f t="shared" si="54"/>
      </c>
      <c r="Z34" s="50">
        <f t="shared" si="54"/>
      </c>
      <c r="AA34" s="50">
        <f t="shared" si="54"/>
      </c>
      <c r="AB34" s="50">
        <f t="shared" si="54"/>
      </c>
      <c r="AC34" s="298">
        <f t="shared" si="54"/>
      </c>
      <c r="AD34" s="50">
        <f t="shared" si="54"/>
      </c>
      <c r="AE34" s="50">
        <f t="shared" si="54"/>
      </c>
      <c r="AF34" s="50">
        <f t="shared" si="54"/>
      </c>
      <c r="AG34" s="50">
        <f t="shared" si="54"/>
      </c>
      <c r="AH34" s="298">
        <f t="shared" si="54"/>
      </c>
      <c r="AI34" s="50">
        <f t="shared" si="54"/>
      </c>
      <c r="AJ34" s="50">
        <f t="shared" ref="AJ34:BO34" si="55">+AJ885</f>
      </c>
      <c r="AK34" s="50">
        <f t="shared" si="55"/>
      </c>
      <c r="AL34" s="50">
        <f t="shared" si="55"/>
      </c>
      <c r="AM34" s="298">
        <f t="shared" si="55"/>
      </c>
      <c r="AN34" s="50">
        <f t="shared" si="55"/>
      </c>
      <c r="AO34" s="50">
        <f t="shared" si="55"/>
      </c>
      <c r="AP34" s="50">
        <f t="shared" si="55"/>
      </c>
      <c r="AQ34" s="50">
        <f t="shared" si="55"/>
      </c>
      <c r="AR34" s="298">
        <f t="shared" si="55"/>
      </c>
      <c r="AS34" s="50">
        <f t="shared" si="55"/>
      </c>
      <c r="AT34" s="50">
        <f t="shared" si="55"/>
      </c>
      <c r="AU34" s="50">
        <f t="shared" si="55"/>
      </c>
      <c r="AV34" s="50">
        <f t="shared" si="55"/>
      </c>
      <c r="AW34" s="298">
        <f t="shared" si="55"/>
      </c>
      <c r="AX34" s="50">
        <f t="shared" si="55"/>
      </c>
      <c r="AY34" s="50">
        <f t="shared" si="55"/>
      </c>
      <c r="AZ34" s="50">
        <f t="shared" si="55"/>
      </c>
      <c r="BA34" s="50">
        <f t="shared" si="55"/>
      </c>
      <c r="BB34" s="298">
        <f t="shared" si="55"/>
      </c>
      <c r="BC34" s="50">
        <f t="shared" si="55"/>
      </c>
      <c r="BD34" s="50">
        <f t="shared" si="55"/>
      </c>
      <c r="BE34" s="50">
        <f t="shared" si="55"/>
      </c>
      <c r="BF34" s="50">
        <f t="shared" si="55"/>
      </c>
      <c r="BG34" s="298">
        <f t="shared" si="55"/>
      </c>
      <c r="BH34" s="50">
        <f t="shared" si="55"/>
      </c>
      <c r="BI34" s="50">
        <f t="shared" si="55"/>
      </c>
      <c r="BJ34" s="50">
        <f t="shared" si="55"/>
      </c>
      <c r="BK34" s="50">
        <f t="shared" si="55"/>
      </c>
      <c r="BL34" s="298">
        <f t="shared" si="55"/>
      </c>
      <c r="BM34" s="50">
        <f t="shared" si="55"/>
      </c>
      <c r="BN34" s="50">
        <f t="shared" si="55"/>
      </c>
      <c r="BO34" s="50">
        <f t="shared" si="55"/>
      </c>
      <c r="BP34" s="50">
        <f t="shared" ref="BP34:CE34" si="56">+BP885</f>
      </c>
      <c r="BQ34" s="298">
        <f t="shared" si="56"/>
      </c>
      <c r="BR34" s="50">
        <f t="shared" si="56"/>
      </c>
      <c r="BS34" s="50">
        <f t="shared" si="56"/>
      </c>
      <c r="BT34" s="50">
        <f t="shared" si="56"/>
      </c>
      <c r="BU34" s="50">
        <f t="shared" si="56"/>
      </c>
      <c r="BV34" s="298">
        <f t="shared" si="56"/>
      </c>
      <c r="BW34" s="50">
        <f t="shared" si="56"/>
      </c>
      <c r="BX34" s="50">
        <f t="shared" si="56"/>
      </c>
      <c r="BY34" s="50">
        <f t="shared" si="56"/>
      </c>
      <c r="BZ34" s="50">
        <f t="shared" si="56"/>
      </c>
      <c r="CA34" s="298">
        <f t="shared" si="56"/>
      </c>
      <c r="CB34" s="50">
        <f t="shared" si="56"/>
      </c>
      <c r="CC34" s="50">
        <f t="shared" si="56"/>
      </c>
      <c r="CD34" s="50">
        <f t="shared" si="56"/>
      </c>
      <c r="CE34" s="50">
        <f t="shared" si="56"/>
      </c>
      <c r="CF34" s="298">
        <f>SUM(CB34:CE34)</f>
      </c>
      <c r="CG34" s="50">
        <f t="shared" ref="CG34:CJ35" si="57">+CG885</f>
      </c>
      <c r="CH34" s="50">
        <f t="shared" si="57"/>
      </c>
      <c r="CI34" s="50">
        <f t="shared" si="57"/>
      </c>
      <c r="CJ34" s="50">
        <f t="shared" si="57"/>
      </c>
      <c r="CK34" s="298">
        <f>SUM(CG34:CJ34)</f>
      </c>
      <c r="CL34" s="1047">
        <f t="shared" ref="CL34:DQ34" si="58">+CL885</f>
      </c>
      <c r="CM34" s="1047">
        <f t="shared" si="58"/>
      </c>
      <c r="CN34" s="1047">
        <f t="shared" si="58"/>
      </c>
      <c r="CO34" s="50">
        <f t="shared" si="58"/>
      </c>
      <c r="CP34" s="298">
        <f t="shared" si="58"/>
      </c>
      <c r="CQ34" s="1047">
        <f t="shared" si="58"/>
      </c>
      <c r="CR34" s="1047">
        <f t="shared" si="58"/>
      </c>
      <c r="CS34" s="1047">
        <f t="shared" si="58"/>
      </c>
      <c r="CT34" s="1047">
        <f t="shared" si="58"/>
      </c>
      <c r="CU34" s="298">
        <f t="shared" si="58"/>
      </c>
      <c r="CV34" s="1047">
        <f t="shared" si="58"/>
      </c>
      <c r="CW34" s="1047">
        <f t="shared" si="58"/>
      </c>
      <c r="CX34" s="1047">
        <f t="shared" si="58"/>
      </c>
      <c r="CY34" s="1047">
        <f t="shared" si="58"/>
      </c>
      <c r="CZ34" s="298">
        <f t="shared" si="58"/>
      </c>
      <c r="DA34" s="933">
        <f t="shared" si="58"/>
      </c>
      <c r="DB34" s="1354">
        <f t="shared" si="58"/>
      </c>
      <c r="DC34" s="1354">
        <f t="shared" si="58"/>
      </c>
      <c r="DD34" s="1190">
        <f t="shared" si="58"/>
      </c>
      <c r="DE34" s="1734">
        <f t="shared" si="58"/>
      </c>
      <c r="DF34" s="982">
        <f t="shared" si="58"/>
      </c>
      <c r="DG34" s="1785">
        <f t="shared" si="58"/>
      </c>
      <c r="DH34" s="1785">
        <f t="shared" si="58"/>
      </c>
      <c r="DI34" s="1786">
        <f t="shared" si="58"/>
      </c>
      <c r="DJ34" s="1734">
        <f t="shared" si="58"/>
      </c>
      <c r="DK34" s="1718">
        <f t="shared" si="58"/>
      </c>
      <c r="DL34" s="1735">
        <f t="shared" si="58"/>
      </c>
      <c r="DM34" s="1735">
        <f t="shared" si="58"/>
      </c>
      <c r="DN34" s="1787">
        <f t="shared" si="58"/>
      </c>
      <c r="DO34" s="1734">
        <f t="shared" si="58"/>
      </c>
      <c r="DP34" s="1735">
        <f t="shared" si="58"/>
      </c>
      <c r="DQ34" s="1735">
        <f t="shared" si="58"/>
      </c>
      <c r="DR34" s="1735">
        <f t="shared" ref="DR34:ED34" si="59">+DR885</f>
      </c>
      <c r="DS34" s="1787">
        <f t="shared" si="59"/>
      </c>
      <c r="DT34" s="1734">
        <f t="shared" si="59"/>
      </c>
      <c r="DU34" s="1718">
        <f t="shared" si="59"/>
      </c>
      <c r="DV34" s="1718">
        <f t="shared" si="59"/>
      </c>
      <c r="DW34" s="1718">
        <f t="shared" si="59"/>
      </c>
      <c r="DX34" s="1845">
        <f t="shared" si="59"/>
      </c>
      <c r="DY34" s="1734">
        <f t="shared" si="59"/>
      </c>
      <c r="DZ34" s="1718">
        <f t="shared" si="59"/>
      </c>
      <c r="EA34" s="1718">
        <f t="shared" si="59"/>
      </c>
      <c r="EB34" s="1718">
        <f t="shared" si="59"/>
      </c>
      <c r="EC34" s="1845">
        <f t="shared" si="59"/>
      </c>
      <c r="ED34" s="1717">
        <f t="shared" si="59"/>
      </c>
      <c r="EE34" s="1718">
        <f t="shared" ref="EE34:EG34" si="60">+EE885</f>
      </c>
      <c r="EF34" s="1718">
        <f t="shared" si="60"/>
      </c>
      <c r="EG34" s="1718">
        <f t="shared" si="60"/>
      </c>
      <c r="EH34" s="1845">
        <f t="shared" ref="EH34:EN34" si="61">+EH885</f>
      </c>
      <c r="EI34" s="1734">
        <f t="shared" si="61"/>
      </c>
      <c r="EJ34" s="1734">
        <f t="shared" si="61"/>
      </c>
      <c r="EK34" s="1734">
        <f t="shared" si="61"/>
      </c>
      <c r="EL34" s="1734">
        <f t="shared" si="61"/>
      </c>
      <c r="EM34" s="1734">
        <f t="shared" si="61"/>
      </c>
      <c r="EN34" s="1734">
        <f t="shared" si="61"/>
      </c>
      <c r="EO34" s="1734">
        <f t="shared" ref="EO34:ES34" si="62">+EO885</f>
      </c>
      <c r="EP34" s="1734">
        <f t="shared" si="62"/>
      </c>
      <c r="EQ34" s="1734">
        <f t="shared" si="62"/>
      </c>
      <c r="ER34" s="1734">
        <f t="shared" si="62"/>
      </c>
      <c r="ES34" s="1734">
        <f t="shared" si="62"/>
      </c>
      <c r="ET34" s="1734"/>
      <c r="EU34" s="1734"/>
      <c r="EV34" s="1734"/>
      <c r="EW34" s="1734"/>
      <c r="EX34" s="1734"/>
    </row>
    <row r="35" spans="1:154" ht="12.75" customHeight="1">
      <c r="A35" s="3275" t="str">
        <f>+A36&amp;" - OUS"</f>
      </c>
      <c r="B35" s="336" t="s">
        <v>235</v>
      </c>
      <c r="C35" s="1989"/>
      <c r="D35" s="50">
        <f t="shared" ref="D35:AI35" si="63">+D886</f>
      </c>
      <c r="E35" s="50">
        <f t="shared" si="63"/>
      </c>
      <c r="F35" s="50">
        <f t="shared" si="63"/>
      </c>
      <c r="G35" s="50">
        <f t="shared" si="63"/>
      </c>
      <c r="H35" s="50">
        <f t="shared" si="63"/>
      </c>
      <c r="I35" s="50">
        <f t="shared" si="63"/>
      </c>
      <c r="J35" s="50">
        <f t="shared" si="63"/>
      </c>
      <c r="K35" s="50">
        <f t="shared" si="63"/>
      </c>
      <c r="L35" s="50">
        <f t="shared" si="63"/>
      </c>
      <c r="M35" s="50">
        <f t="shared" si="63"/>
      </c>
      <c r="N35" s="50">
        <f t="shared" si="63"/>
      </c>
      <c r="O35" s="50">
        <f t="shared" si="63"/>
      </c>
      <c r="P35" s="50">
        <f t="shared" si="63"/>
      </c>
      <c r="Q35" s="50">
        <f t="shared" si="63"/>
      </c>
      <c r="R35" s="50">
        <f t="shared" si="63"/>
      </c>
      <c r="S35" s="50">
        <f t="shared" si="63"/>
      </c>
      <c r="T35" s="50">
        <f t="shared" si="63"/>
      </c>
      <c r="U35" s="50">
        <f t="shared" si="63"/>
      </c>
      <c r="V35" s="50">
        <f t="shared" si="63"/>
      </c>
      <c r="W35" s="50">
        <f t="shared" si="63"/>
      </c>
      <c r="X35" s="298">
        <f t="shared" si="63"/>
      </c>
      <c r="Y35" s="50">
        <f t="shared" si="63"/>
      </c>
      <c r="Z35" s="50">
        <f t="shared" si="63"/>
      </c>
      <c r="AA35" s="50">
        <f t="shared" si="63"/>
      </c>
      <c r="AB35" s="50">
        <f t="shared" si="63"/>
      </c>
      <c r="AC35" s="298">
        <f t="shared" si="63"/>
      </c>
      <c r="AD35" s="50">
        <f t="shared" si="63"/>
      </c>
      <c r="AE35" s="50">
        <f t="shared" si="63"/>
      </c>
      <c r="AF35" s="50">
        <f t="shared" si="63"/>
      </c>
      <c r="AG35" s="50">
        <f t="shared" si="63"/>
      </c>
      <c r="AH35" s="298">
        <f t="shared" si="63"/>
      </c>
      <c r="AI35" s="50">
        <f t="shared" si="63"/>
      </c>
      <c r="AJ35" s="50">
        <f t="shared" ref="AJ35:BO35" si="64">+AJ886</f>
      </c>
      <c r="AK35" s="50">
        <f t="shared" si="64"/>
      </c>
      <c r="AL35" s="50">
        <f t="shared" si="64"/>
      </c>
      <c r="AM35" s="298">
        <f t="shared" si="64"/>
      </c>
      <c r="AN35" s="50">
        <f t="shared" si="64"/>
      </c>
      <c r="AO35" s="50">
        <f t="shared" si="64"/>
      </c>
      <c r="AP35" s="50">
        <f t="shared" si="64"/>
      </c>
      <c r="AQ35" s="50">
        <f t="shared" si="64"/>
      </c>
      <c r="AR35" s="298">
        <f t="shared" si="64"/>
      </c>
      <c r="AS35" s="50">
        <f t="shared" si="64"/>
      </c>
      <c r="AT35" s="50">
        <f t="shared" si="64"/>
      </c>
      <c r="AU35" s="50">
        <f t="shared" si="64"/>
      </c>
      <c r="AV35" s="50">
        <f t="shared" si="64"/>
      </c>
      <c r="AW35" s="298">
        <f t="shared" si="64"/>
      </c>
      <c r="AX35" s="50">
        <f t="shared" si="64"/>
      </c>
      <c r="AY35" s="50">
        <f t="shared" si="64"/>
      </c>
      <c r="AZ35" s="50">
        <f t="shared" si="64"/>
      </c>
      <c r="BA35" s="50">
        <f t="shared" si="64"/>
      </c>
      <c r="BB35" s="298">
        <f t="shared" si="64"/>
      </c>
      <c r="BC35" s="50">
        <f t="shared" si="64"/>
      </c>
      <c r="BD35" s="50">
        <f t="shared" si="64"/>
      </c>
      <c r="BE35" s="50">
        <f t="shared" si="64"/>
      </c>
      <c r="BF35" s="50">
        <f t="shared" si="64"/>
      </c>
      <c r="BG35" s="298">
        <f t="shared" si="64"/>
      </c>
      <c r="BH35" s="50">
        <f t="shared" si="64"/>
      </c>
      <c r="BI35" s="50">
        <f t="shared" si="64"/>
      </c>
      <c r="BJ35" s="50">
        <f t="shared" si="64"/>
      </c>
      <c r="BK35" s="50">
        <f t="shared" si="64"/>
      </c>
      <c r="BL35" s="298">
        <f t="shared" si="64"/>
      </c>
      <c r="BM35" s="50">
        <f t="shared" si="64"/>
      </c>
      <c r="BN35" s="50">
        <f t="shared" si="64"/>
      </c>
      <c r="BO35" s="50">
        <f t="shared" si="64"/>
      </c>
      <c r="BP35" s="50">
        <f t="shared" ref="BP35:CE35" si="65">+BP886</f>
      </c>
      <c r="BQ35" s="298">
        <f t="shared" si="65"/>
      </c>
      <c r="BR35" s="50">
        <f t="shared" si="65"/>
      </c>
      <c r="BS35" s="50">
        <f t="shared" si="65"/>
      </c>
      <c r="BT35" s="50">
        <f t="shared" si="65"/>
      </c>
      <c r="BU35" s="50">
        <f t="shared" si="65"/>
      </c>
      <c r="BV35" s="298">
        <f t="shared" si="65"/>
      </c>
      <c r="BW35" s="50">
        <f t="shared" si="65"/>
      </c>
      <c r="BX35" s="50">
        <f t="shared" si="65"/>
      </c>
      <c r="BY35" s="50">
        <f t="shared" si="65"/>
      </c>
      <c r="BZ35" s="50">
        <f t="shared" si="65"/>
      </c>
      <c r="CA35" s="298">
        <f t="shared" si="65"/>
      </c>
      <c r="CB35" s="50">
        <f t="shared" si="65"/>
      </c>
      <c r="CC35" s="50">
        <f t="shared" si="65"/>
      </c>
      <c r="CD35" s="50">
        <f t="shared" si="65"/>
      </c>
      <c r="CE35" s="50">
        <f t="shared" si="65"/>
      </c>
      <c r="CF35" s="298">
        <f>SUM(CB35:CE35)</f>
      </c>
      <c r="CG35" s="50">
        <f t="shared" si="57"/>
      </c>
      <c r="CH35" s="50">
        <f t="shared" si="57"/>
      </c>
      <c r="CI35" s="50">
        <f t="shared" si="57"/>
      </c>
      <c r="CJ35" s="50">
        <f t="shared" si="57"/>
      </c>
      <c r="CK35" s="298">
        <f>SUM(CG35:CJ35)</f>
      </c>
      <c r="CL35" s="1047">
        <f t="shared" ref="CL35:EN35" si="66">+CL886</f>
      </c>
      <c r="CM35" s="1047">
        <f t="shared" si="66"/>
      </c>
      <c r="CN35" s="1047">
        <f t="shared" si="66"/>
      </c>
      <c r="CO35" s="50">
        <f t="shared" si="66"/>
      </c>
      <c r="CP35" s="298">
        <f t="shared" si="66"/>
      </c>
      <c r="CQ35" s="1047">
        <f t="shared" si="66"/>
      </c>
      <c r="CR35" s="1047">
        <f t="shared" si="66"/>
      </c>
      <c r="CS35" s="1047">
        <f t="shared" si="66"/>
      </c>
      <c r="CT35" s="1047">
        <f t="shared" si="66"/>
      </c>
      <c r="CU35" s="298">
        <f t="shared" si="66"/>
      </c>
      <c r="CV35" s="1047">
        <f t="shared" si="66"/>
      </c>
      <c r="CW35" s="1047">
        <f t="shared" si="66"/>
      </c>
      <c r="CX35" s="1047">
        <f t="shared" si="66"/>
      </c>
      <c r="CY35" s="1047">
        <f t="shared" si="66"/>
      </c>
      <c r="CZ35" s="298">
        <f t="shared" si="66"/>
      </c>
      <c r="DA35" s="933">
        <f t="shared" si="66"/>
      </c>
      <c r="DB35" s="1354">
        <f t="shared" si="66"/>
      </c>
      <c r="DC35" s="1354">
        <f t="shared" si="66"/>
      </c>
      <c r="DD35" s="1190">
        <f t="shared" si="66"/>
      </c>
      <c r="DE35" s="1734">
        <f t="shared" si="66"/>
      </c>
      <c r="DF35" s="982">
        <f t="shared" si="66"/>
      </c>
      <c r="DG35" s="1785">
        <f t="shared" si="66"/>
      </c>
      <c r="DH35" s="1785">
        <f t="shared" si="66"/>
      </c>
      <c r="DI35" s="1786">
        <f t="shared" si="66"/>
      </c>
      <c r="DJ35" s="1734">
        <f t="shared" si="66"/>
      </c>
      <c r="DK35" s="1718">
        <f t="shared" si="66"/>
      </c>
      <c r="DL35" s="1735">
        <f t="shared" si="66"/>
      </c>
      <c r="DM35" s="1735">
        <f t="shared" si="66"/>
      </c>
      <c r="DN35" s="1787">
        <f t="shared" si="66"/>
      </c>
      <c r="DO35" s="1734">
        <f t="shared" si="66"/>
      </c>
      <c r="DP35" s="1735">
        <f t="shared" si="66"/>
      </c>
      <c r="DQ35" s="1735">
        <f t="shared" si="66"/>
      </c>
      <c r="DR35" s="1735">
        <f t="shared" si="66"/>
      </c>
      <c r="DS35" s="1787">
        <f t="shared" si="66"/>
      </c>
      <c r="DT35" s="1734">
        <f t="shared" si="66"/>
      </c>
      <c r="DU35" s="1718">
        <f>+DU886</f>
      </c>
      <c r="DV35" s="1718">
        <f>+DV886</f>
      </c>
      <c r="DW35" s="1718">
        <f>+DW886</f>
      </c>
      <c r="DX35" s="1845">
        <f>+DX886</f>
      </c>
      <c r="DY35" s="1734">
        <f t="shared" si="66"/>
      </c>
      <c r="DZ35" s="1718">
        <f t="shared" ref="DZ35:EH35" si="67">+DZ886</f>
      </c>
      <c r="EA35" s="1718">
        <f t="shared" si="67"/>
      </c>
      <c r="EB35" s="1718">
        <f t="shared" si="67"/>
      </c>
      <c r="EC35" s="1845">
        <f t="shared" si="67"/>
      </c>
      <c r="ED35" s="1717">
        <f t="shared" si="67"/>
      </c>
      <c r="EE35" s="1718">
        <f t="shared" si="67"/>
      </c>
      <c r="EF35" s="1718">
        <f t="shared" ref="EF35:EG35" si="68">+EF886</f>
      </c>
      <c r="EG35" s="1718">
        <f t="shared" si="68"/>
      </c>
      <c r="EH35" s="1845">
        <f t="shared" si="67"/>
      </c>
      <c r="EI35" s="1734">
        <f t="shared" si="66"/>
      </c>
      <c r="EJ35" s="1734">
        <f>+EJ886</f>
      </c>
      <c r="EK35" s="1734">
        <f t="shared" si="66"/>
      </c>
      <c r="EL35" s="1734">
        <f t="shared" si="66"/>
      </c>
      <c r="EM35" s="1734">
        <f t="shared" si="66"/>
      </c>
      <c r="EN35" s="1734">
        <f t="shared" si="66"/>
      </c>
      <c r="EO35" s="1734">
        <f t="shared" ref="EO35:ES35" si="69">+EO886</f>
      </c>
      <c r="EP35" s="1734">
        <f t="shared" si="69"/>
      </c>
      <c r="EQ35" s="1734">
        <f t="shared" si="69"/>
      </c>
      <c r="ER35" s="1734">
        <f t="shared" si="69"/>
      </c>
      <c r="ES35" s="1734">
        <f t="shared" si="69"/>
      </c>
      <c r="ET35" s="1734"/>
      <c r="EU35" s="1734"/>
      <c r="EV35" s="1734"/>
      <c r="EW35" s="1734"/>
      <c r="EX35" s="1734"/>
    </row>
    <row r="36" spans="1:154" ht="12.75" customHeight="1">
      <c r="A36" s="3275" t="s">
        <v>177</v>
      </c>
      <c r="B36" s="336" t="s">
        <v>19</v>
      </c>
      <c r="C36" s="1989"/>
      <c r="D36" s="50">
        <f t="shared" ref="D36:AI36" si="70">+D35+D34</f>
      </c>
      <c r="E36" s="50">
        <f t="shared" si="70"/>
      </c>
      <c r="F36" s="50">
        <f t="shared" si="70"/>
      </c>
      <c r="G36" s="50">
        <f t="shared" si="70"/>
      </c>
      <c r="H36" s="50">
        <f t="shared" si="70"/>
      </c>
      <c r="I36" s="50">
        <f t="shared" si="70"/>
      </c>
      <c r="J36" s="50">
        <f t="shared" si="70"/>
      </c>
      <c r="K36" s="50">
        <f t="shared" si="70"/>
      </c>
      <c r="L36" s="50">
        <f t="shared" si="70"/>
      </c>
      <c r="M36" s="50">
        <f t="shared" si="70"/>
      </c>
      <c r="N36" s="50">
        <f t="shared" si="70"/>
      </c>
      <c r="O36" s="50">
        <f t="shared" si="70"/>
      </c>
      <c r="P36" s="50">
        <f t="shared" si="70"/>
      </c>
      <c r="Q36" s="50">
        <f t="shared" si="70"/>
      </c>
      <c r="R36" s="50">
        <f t="shared" si="70"/>
      </c>
      <c r="S36" s="50">
        <f t="shared" si="70"/>
      </c>
      <c r="T36" s="50">
        <f t="shared" si="70"/>
      </c>
      <c r="U36" s="50">
        <f t="shared" si="70"/>
      </c>
      <c r="V36" s="50">
        <f t="shared" si="70"/>
      </c>
      <c r="W36" s="50">
        <f t="shared" si="70"/>
      </c>
      <c r="X36" s="298">
        <f t="shared" si="70"/>
      </c>
      <c r="Y36" s="50">
        <f t="shared" si="70"/>
      </c>
      <c r="Z36" s="50">
        <f t="shared" si="70"/>
      </c>
      <c r="AA36" s="50">
        <f t="shared" si="70"/>
      </c>
      <c r="AB36" s="50">
        <f t="shared" si="70"/>
      </c>
      <c r="AC36" s="298">
        <f t="shared" si="70"/>
      </c>
      <c r="AD36" s="50">
        <f t="shared" si="70"/>
      </c>
      <c r="AE36" s="50">
        <f t="shared" si="70"/>
      </c>
      <c r="AF36" s="50">
        <f t="shared" si="70"/>
      </c>
      <c r="AG36" s="50">
        <f t="shared" si="70"/>
      </c>
      <c r="AH36" s="298">
        <f t="shared" si="70"/>
      </c>
      <c r="AI36" s="50">
        <f t="shared" si="70"/>
      </c>
      <c r="AJ36" s="50">
        <f t="shared" ref="AJ36:BO36" si="71">+AJ35+AJ34</f>
      </c>
      <c r="AK36" s="50">
        <f t="shared" si="71"/>
      </c>
      <c r="AL36" s="50">
        <f t="shared" si="71"/>
      </c>
      <c r="AM36" s="298">
        <f t="shared" si="71"/>
      </c>
      <c r="AN36" s="50">
        <f t="shared" si="71"/>
      </c>
      <c r="AO36" s="50">
        <f t="shared" si="71"/>
      </c>
      <c r="AP36" s="50">
        <f t="shared" si="71"/>
      </c>
      <c r="AQ36" s="50">
        <f t="shared" si="71"/>
      </c>
      <c r="AR36" s="298">
        <f t="shared" si="71"/>
      </c>
      <c r="AS36" s="50">
        <f t="shared" si="71"/>
      </c>
      <c r="AT36" s="50">
        <f t="shared" si="71"/>
      </c>
      <c r="AU36" s="50">
        <f t="shared" si="71"/>
      </c>
      <c r="AV36" s="50">
        <f t="shared" si="71"/>
      </c>
      <c r="AW36" s="298">
        <f t="shared" si="71"/>
      </c>
      <c r="AX36" s="50">
        <f t="shared" si="71"/>
      </c>
      <c r="AY36" s="50">
        <f t="shared" si="71"/>
      </c>
      <c r="AZ36" s="50">
        <f t="shared" si="71"/>
      </c>
      <c r="BA36" s="50">
        <f t="shared" si="71"/>
      </c>
      <c r="BB36" s="298">
        <f t="shared" si="71"/>
      </c>
      <c r="BC36" s="50">
        <f t="shared" si="71"/>
      </c>
      <c r="BD36" s="50">
        <f t="shared" si="71"/>
      </c>
      <c r="BE36" s="50">
        <f t="shared" si="71"/>
      </c>
      <c r="BF36" s="50">
        <f t="shared" si="71"/>
      </c>
      <c r="BG36" s="298">
        <f t="shared" si="71"/>
      </c>
      <c r="BH36" s="50">
        <f t="shared" si="71"/>
      </c>
      <c r="BI36" s="50">
        <f t="shared" si="71"/>
      </c>
      <c r="BJ36" s="50">
        <f t="shared" si="71"/>
      </c>
      <c r="BK36" s="50">
        <f t="shared" si="71"/>
      </c>
      <c r="BL36" s="298">
        <f t="shared" si="71"/>
      </c>
      <c r="BM36" s="50">
        <f t="shared" si="71"/>
      </c>
      <c r="BN36" s="50">
        <f t="shared" si="71"/>
      </c>
      <c r="BO36" s="50">
        <f t="shared" si="71"/>
      </c>
      <c r="BP36" s="50">
        <f t="shared" ref="BP36:CE36" si="72">+BP35+BP34</f>
      </c>
      <c r="BQ36" s="298">
        <f t="shared" si="72"/>
      </c>
      <c r="BR36" s="50">
        <f t="shared" si="72"/>
      </c>
      <c r="BS36" s="50">
        <f t="shared" si="72"/>
      </c>
      <c r="BT36" s="50">
        <f t="shared" si="72"/>
      </c>
      <c r="BU36" s="50">
        <f t="shared" si="72"/>
      </c>
      <c r="BV36" s="298">
        <f t="shared" si="72"/>
      </c>
      <c r="BW36" s="50">
        <f t="shared" si="72"/>
      </c>
      <c r="BX36" s="50">
        <f t="shared" si="72"/>
      </c>
      <c r="BY36" s="50">
        <f t="shared" si="72"/>
      </c>
      <c r="BZ36" s="50">
        <f t="shared" si="72"/>
      </c>
      <c r="CA36" s="298">
        <f t="shared" si="72"/>
      </c>
      <c r="CB36" s="50">
        <f t="shared" si="72"/>
      </c>
      <c r="CC36" s="50">
        <f t="shared" si="72"/>
      </c>
      <c r="CD36" s="50">
        <f t="shared" si="72"/>
      </c>
      <c r="CE36" s="50">
        <f t="shared" si="72"/>
      </c>
      <c r="CF36" s="298">
        <f>SUM(CB36:CE36)</f>
      </c>
      <c r="CG36" s="50">
        <f>+CG35+CG34</f>
      </c>
      <c r="CH36" s="50">
        <f>+CH35+CH34</f>
      </c>
      <c r="CI36" s="50">
        <f>+CI35+CI34</f>
      </c>
      <c r="CJ36" s="50">
        <f>+CJ35+CJ34</f>
      </c>
      <c r="CK36" s="298">
        <f>SUM(CG36:CJ36)</f>
      </c>
      <c r="CL36" s="1047">
        <f t="shared" ref="CL36:DA36" si="73">+CL35+CL34</f>
      </c>
      <c r="CM36" s="1047">
        <f t="shared" si="73"/>
      </c>
      <c r="CN36" s="1047">
        <f t="shared" si="73"/>
      </c>
      <c r="CO36" s="50">
        <f t="shared" si="73"/>
      </c>
      <c r="CP36" s="298">
        <f t="shared" si="73"/>
      </c>
      <c r="CQ36" s="1047">
        <f t="shared" si="73"/>
      </c>
      <c r="CR36" s="1047">
        <f t="shared" si="73"/>
      </c>
      <c r="CS36" s="1047">
        <f t="shared" si="73"/>
      </c>
      <c r="CT36" s="1047">
        <f t="shared" si="73"/>
      </c>
      <c r="CU36" s="298">
        <f t="shared" si="73"/>
      </c>
      <c r="CV36" s="1047">
        <f t="shared" si="73"/>
      </c>
      <c r="CW36" s="1047">
        <f t="shared" si="73"/>
      </c>
      <c r="CX36" s="1047">
        <f t="shared" si="73"/>
      </c>
      <c r="CY36" s="1047">
        <f t="shared" si="73"/>
      </c>
      <c r="CZ36" s="298">
        <f t="shared" si="73"/>
      </c>
      <c r="DA36" s="933">
        <f t="shared" si="73"/>
      </c>
      <c r="DB36" s="1354">
        <f t="shared" ref="DB36:DI36" si="74">+DB35+DB34</f>
      </c>
      <c r="DC36" s="1354">
        <f t="shared" si="74"/>
      </c>
      <c r="DD36" s="1190">
        <f t="shared" si="74"/>
      </c>
      <c r="DE36" s="1734">
        <f t="shared" si="74"/>
      </c>
      <c r="DF36" s="982">
        <f t="shared" si="74"/>
      </c>
      <c r="DG36" s="1785">
        <f t="shared" si="74"/>
      </c>
      <c r="DH36" s="1785">
        <f t="shared" si="74"/>
      </c>
      <c r="DI36" s="1786">
        <f t="shared" si="74"/>
      </c>
      <c r="DJ36" s="1734">
        <f t="shared" ref="DJ36:EN36" si="75">+DJ35+DJ34</f>
      </c>
      <c r="DK36" s="1718">
        <f t="shared" si="75"/>
      </c>
      <c r="DL36" s="1735">
        <f t="shared" si="75"/>
      </c>
      <c r="DM36" s="1735">
        <f t="shared" si="75"/>
      </c>
      <c r="DN36" s="1787">
        <f t="shared" si="75"/>
      </c>
      <c r="DO36" s="1734">
        <f t="shared" si="75"/>
      </c>
      <c r="DP36" s="1735">
        <f t="shared" si="75"/>
      </c>
      <c r="DQ36" s="1735">
        <f t="shared" si="75"/>
      </c>
      <c r="DR36" s="1735">
        <f t="shared" si="75"/>
      </c>
      <c r="DS36" s="1787">
        <f t="shared" si="75"/>
      </c>
      <c r="DT36" s="1734">
        <f t="shared" si="75"/>
      </c>
      <c r="DU36" s="1718">
        <f t="shared" si="75"/>
      </c>
      <c r="DV36" s="1718">
        <f t="shared" si="75"/>
      </c>
      <c r="DW36" s="1718">
        <f t="shared" si="75"/>
      </c>
      <c r="DX36" s="1845">
        <f t="shared" si="75"/>
      </c>
      <c r="DY36" s="1734">
        <f t="shared" si="75"/>
      </c>
      <c r="DZ36" s="1846">
        <f t="shared" si="75"/>
      </c>
      <c r="EA36" s="1718">
        <f t="shared" si="75"/>
      </c>
      <c r="EB36" s="1718">
        <f t="shared" si="75"/>
      </c>
      <c r="EC36" s="1845">
        <f t="shared" si="75"/>
      </c>
      <c r="ED36" s="1717">
        <f t="shared" si="75"/>
      </c>
      <c r="EE36" s="1846">
        <f t="shared" ref="EE36:EG36" si="76">+EE35+EE34</f>
      </c>
      <c r="EF36" s="1718">
        <f t="shared" si="76"/>
      </c>
      <c r="EG36" s="1718">
        <f t="shared" si="76"/>
      </c>
      <c r="EH36" s="1845">
        <f t="shared" si="75"/>
      </c>
      <c r="EI36" s="1734">
        <f t="shared" si="75"/>
      </c>
      <c r="EJ36" s="1734">
        <f t="shared" si="75"/>
      </c>
      <c r="EK36" s="1734">
        <f t="shared" si="75"/>
      </c>
      <c r="EL36" s="1734">
        <f t="shared" si="75"/>
      </c>
      <c r="EM36" s="1734">
        <f t="shared" si="75"/>
      </c>
      <c r="EN36" s="1734">
        <f t="shared" si="75"/>
      </c>
      <c r="EO36" s="1734">
        <f t="shared" ref="EO36:ES36" si="77">+EO35+EO34</f>
      </c>
      <c r="EP36" s="1734">
        <f t="shared" si="77"/>
      </c>
      <c r="EQ36" s="1734">
        <f t="shared" si="77"/>
      </c>
      <c r="ER36" s="1734">
        <f t="shared" si="77"/>
      </c>
      <c r="ES36" s="1734">
        <f t="shared" si="77"/>
      </c>
      <c r="ET36" s="1734"/>
      <c r="EU36" s="1734"/>
      <c r="EV36" s="1734"/>
      <c r="EW36" s="1734"/>
      <c r="EX36" s="1734"/>
    </row>
    <row r="37" spans="1:154" ht="12.75" customHeight="1">
      <c r="B37" s="339"/>
      <c r="C37" s="1989"/>
      <c r="D37" s="1"/>
      <c r="E37" s="1"/>
      <c r="F37" s="1"/>
      <c r="G37" s="1"/>
      <c r="H37" s="1"/>
      <c r="I37" s="30"/>
      <c r="J37" s="30"/>
      <c r="K37" s="30"/>
      <c r="L37" s="30"/>
      <c r="M37" s="30"/>
      <c r="N37" s="30"/>
      <c r="O37" s="30"/>
      <c r="P37" s="30"/>
      <c r="Q37" s="30"/>
      <c r="R37" s="30"/>
      <c r="S37" s="30"/>
      <c r="T37" s="30"/>
      <c r="U37" s="30"/>
      <c r="V37" s="30"/>
      <c r="W37" s="30"/>
      <c r="X37" s="329"/>
      <c r="Y37" s="30"/>
      <c r="Z37" s="30"/>
      <c r="AA37" s="30"/>
      <c r="AB37" s="30"/>
      <c r="AC37" s="329"/>
      <c r="AD37" s="30"/>
      <c r="AE37" s="30"/>
      <c r="AF37" s="30"/>
      <c r="AG37" s="30"/>
      <c r="AH37" s="329"/>
      <c r="AI37" s="30"/>
      <c r="AJ37" s="30"/>
      <c r="AK37" s="30"/>
      <c r="AL37" s="30"/>
      <c r="AM37" s="329"/>
      <c r="AN37" s="30"/>
      <c r="AO37" s="30"/>
      <c r="AP37" s="30"/>
      <c r="AQ37" s="30"/>
      <c r="AR37" s="329"/>
      <c r="AS37" s="30"/>
      <c r="AT37" s="30"/>
      <c r="AU37" s="30"/>
      <c r="AV37" s="30"/>
      <c r="AW37" s="329"/>
      <c r="AX37" s="30"/>
      <c r="AY37" s="30"/>
      <c r="AZ37" s="30"/>
      <c r="BA37" s="30"/>
      <c r="BB37" s="329"/>
      <c r="BC37" s="170"/>
      <c r="BD37" s="170"/>
      <c r="BE37" s="170"/>
      <c r="BF37" s="170"/>
      <c r="BG37" s="310"/>
      <c r="BH37" s="170"/>
      <c r="BI37" s="280"/>
      <c r="BJ37" s="170"/>
      <c r="BK37" s="170"/>
      <c r="BL37" s="310"/>
      <c r="BM37" s="170"/>
      <c r="BN37" s="170"/>
      <c r="BO37" s="170"/>
      <c r="BP37" s="170"/>
      <c r="BQ37" s="310"/>
      <c r="BR37" s="170"/>
      <c r="BS37" s="170"/>
      <c r="BT37" s="170"/>
      <c r="BU37" s="170"/>
      <c r="BV37" s="310"/>
      <c r="BW37" s="170"/>
      <c r="BX37" s="170"/>
      <c r="BY37" s="170"/>
      <c r="BZ37" s="170"/>
      <c r="CA37" s="310"/>
      <c r="CB37" s="170"/>
      <c r="CC37" s="170"/>
      <c r="CD37" s="170"/>
      <c r="CE37" s="170"/>
      <c r="CF37" s="310"/>
      <c r="CG37" s="170"/>
      <c r="CH37" s="170"/>
      <c r="CI37" s="170"/>
      <c r="CJ37" s="170"/>
      <c r="CK37" s="310"/>
      <c r="CL37" s="944"/>
      <c r="CM37" s="944"/>
      <c r="CN37" s="944"/>
      <c r="CO37" s="170"/>
      <c r="CP37" s="310"/>
      <c r="CQ37" s="944"/>
      <c r="CR37" s="944"/>
      <c r="CS37" s="944"/>
      <c r="CT37" s="944"/>
      <c r="CU37" s="310"/>
      <c r="CV37" s="944"/>
      <c r="CW37" s="944"/>
      <c r="CX37" s="944"/>
      <c r="CY37" s="944"/>
      <c r="CZ37" s="310"/>
      <c r="DA37" s="944"/>
      <c r="DB37" s="170"/>
      <c r="DC37" s="170"/>
      <c r="DD37" s="1191"/>
      <c r="DE37" s="310"/>
      <c r="DF37" s="944"/>
      <c r="DG37" s="170"/>
      <c r="DH37" s="170"/>
      <c r="DI37" s="1191"/>
      <c r="DJ37" s="310"/>
      <c r="DK37" s="944"/>
      <c r="DL37" s="170"/>
      <c r="DM37" s="170"/>
      <c r="DN37" s="1191"/>
      <c r="DO37" s="310"/>
      <c r="DP37" s="170"/>
      <c r="DQ37" s="170"/>
      <c r="DR37" s="170"/>
      <c r="DS37" s="1191"/>
      <c r="DT37" s="2650"/>
      <c r="DU37" s="2648"/>
      <c r="DV37" s="2648"/>
      <c r="DW37" s="2648"/>
      <c r="DX37" s="2649"/>
      <c r="DY37" s="2650"/>
      <c r="DZ37" s="1099"/>
      <c r="EA37" s="2648"/>
      <c r="EB37" s="1209"/>
      <c r="EC37" s="1100"/>
      <c r="ED37" s="2736"/>
      <c r="EE37" s="1099"/>
      <c r="EF37" s="2648"/>
      <c r="EG37" s="1209"/>
      <c r="EH37" s="3543"/>
      <c r="EI37" s="2488"/>
      <c r="EJ37" s="2488"/>
      <c r="EK37" s="2488"/>
      <c r="EL37" s="2488"/>
      <c r="EM37" s="2488"/>
      <c r="EN37" s="2488"/>
      <c r="EO37" s="2488"/>
      <c r="EP37" s="2488"/>
      <c r="EQ37" s="2488"/>
      <c r="ER37" s="2488"/>
      <c r="ES37" s="2488"/>
      <c r="ET37" s="310"/>
      <c r="EU37" s="310"/>
      <c r="EV37" s="310"/>
      <c r="EW37" s="310"/>
      <c r="EX37" s="310"/>
    </row>
    <row r="38" spans="1:154" ht="12.75" customHeight="1">
      <c r="B38" s="338" t="s">
        <v>970</v>
      </c>
      <c r="C38" s="1989"/>
      <c r="D38" s="1"/>
      <c r="E38" s="1"/>
      <c r="F38" s="1"/>
      <c r="G38" s="1"/>
      <c r="H38" s="1"/>
      <c r="I38" s="24"/>
      <c r="J38" s="1"/>
      <c r="K38" s="1"/>
      <c r="L38" s="1"/>
      <c r="M38" s="1"/>
      <c r="N38" s="24"/>
      <c r="O38" s="24"/>
      <c r="P38" s="24"/>
      <c r="Q38" s="24"/>
      <c r="R38" s="24"/>
      <c r="S38" s="1"/>
      <c r="T38" s="24"/>
      <c r="U38" s="24"/>
      <c r="V38" s="24"/>
      <c r="W38" s="24"/>
      <c r="X38" s="214"/>
      <c r="Y38" s="24"/>
      <c r="Z38" s="24"/>
      <c r="AA38" s="24"/>
      <c r="AB38" s="24"/>
      <c r="AC38" s="214"/>
      <c r="AD38" s="24"/>
      <c r="AE38" s="24"/>
      <c r="AF38" s="24"/>
      <c r="AG38" s="24"/>
      <c r="AH38" s="214"/>
      <c r="AI38" s="1"/>
      <c r="AJ38" s="1"/>
      <c r="AK38" s="1"/>
      <c r="AL38" s="24"/>
      <c r="AM38" s="214"/>
      <c r="AN38" s="1"/>
      <c r="AO38" s="1"/>
      <c r="AP38" s="1"/>
      <c r="AQ38" s="24"/>
      <c r="AR38" s="214"/>
      <c r="AS38" s="1"/>
      <c r="AT38" s="1"/>
      <c r="AU38" s="1"/>
      <c r="AV38" s="24"/>
      <c r="AW38" s="214"/>
      <c r="AX38" s="1"/>
      <c r="AY38" s="1"/>
      <c r="AZ38" s="1"/>
      <c r="BA38" s="1"/>
      <c r="BB38" s="214"/>
      <c r="BC38" s="38"/>
      <c r="BD38" s="38"/>
      <c r="BE38" s="38"/>
      <c r="BF38" s="38"/>
      <c r="BG38" s="311"/>
      <c r="BH38" s="38"/>
      <c r="BI38" s="38"/>
      <c r="BJ38" s="38"/>
      <c r="BK38" s="38"/>
      <c r="BL38" s="311"/>
      <c r="BM38" s="38"/>
      <c r="BN38" s="38"/>
      <c r="BO38" s="38"/>
      <c r="BP38" s="38"/>
      <c r="BQ38" s="311"/>
      <c r="BR38" s="38"/>
      <c r="BS38" s="38"/>
      <c r="BT38" s="38"/>
      <c r="BU38" s="38"/>
      <c r="BV38" s="311"/>
      <c r="BW38" s="38"/>
      <c r="BX38" s="38"/>
      <c r="BY38" s="38"/>
      <c r="BZ38" s="38"/>
      <c r="CA38" s="311"/>
      <c r="CB38" s="38"/>
      <c r="CC38" s="38"/>
      <c r="CD38" s="38"/>
      <c r="CE38" s="38"/>
      <c r="CF38" s="311"/>
      <c r="CG38" s="38"/>
      <c r="CH38" s="38"/>
      <c r="CI38" s="38"/>
      <c r="CJ38" s="38"/>
      <c r="CK38" s="311"/>
      <c r="CL38" s="945"/>
      <c r="CM38" s="945"/>
      <c r="CN38" s="945"/>
      <c r="CO38" s="38"/>
      <c r="CP38" s="311"/>
      <c r="CQ38" s="945"/>
      <c r="CR38" s="945"/>
      <c r="CS38" s="945"/>
      <c r="CT38" s="945"/>
      <c r="CU38" s="311"/>
      <c r="CV38" s="945"/>
      <c r="CW38" s="945"/>
      <c r="CX38" s="945"/>
      <c r="CY38" s="945"/>
      <c r="CZ38" s="311"/>
      <c r="DA38" s="945"/>
      <c r="DB38" s="38"/>
      <c r="DC38" s="38"/>
      <c r="DD38" s="1192"/>
      <c r="DE38" s="310"/>
      <c r="DF38" s="944"/>
      <c r="DG38" s="170"/>
      <c r="DH38" s="170"/>
      <c r="DI38" s="1191"/>
      <c r="DJ38" s="310"/>
      <c r="DK38" s="944"/>
      <c r="DL38" s="170"/>
      <c r="DM38" s="170"/>
      <c r="DN38" s="1191"/>
      <c r="DO38" s="310"/>
      <c r="DP38" s="170"/>
      <c r="DQ38" s="170"/>
      <c r="DR38" s="170"/>
      <c r="DS38" s="1191"/>
      <c r="DT38" s="310"/>
      <c r="DU38" s="944"/>
      <c r="DV38" s="944"/>
      <c r="DW38" s="944"/>
      <c r="DX38" s="2107"/>
      <c r="DY38" s="310"/>
      <c r="DZ38" s="944"/>
      <c r="EA38" s="944"/>
      <c r="EB38" s="1209"/>
      <c r="EC38" s="2107"/>
      <c r="ED38" s="3022"/>
      <c r="EE38" s="944"/>
      <c r="EF38" s="944"/>
      <c r="EG38" s="1209"/>
      <c r="EH38" s="2107"/>
      <c r="EI38" s="310"/>
      <c r="EJ38" s="310"/>
      <c r="EK38" s="310"/>
      <c r="EL38" s="310"/>
      <c r="EM38" s="310"/>
      <c r="EN38" s="310"/>
      <c r="EO38" s="310"/>
      <c r="EP38" s="310"/>
      <c r="EQ38" s="310"/>
      <c r="ER38" s="310"/>
      <c r="ES38" s="310"/>
      <c r="ET38" s="310"/>
      <c r="EU38" s="310"/>
      <c r="EV38" s="310"/>
      <c r="EW38" s="310"/>
      <c r="EX38" s="310"/>
    </row>
    <row r="39" spans="1:154" ht="12.75" customHeight="1">
      <c r="B39" s="339" t="s">
        <v>153</v>
      </c>
      <c r="C39" s="1989"/>
      <c r="D39" s="1"/>
      <c r="E39" s="1"/>
      <c r="F39" s="1"/>
      <c r="G39" s="1"/>
      <c r="H39" s="1"/>
      <c r="I39" s="30">
        <f t="shared" ref="I39:R40" si="78">IF(D34="NM","NM",IF(I34="NM","NM",IF(D34&lt;=0,"NM",IF(I34=0,"NM",IF(ABS(I34/D34-1)&gt;2.5,"NM",IF((ABS(I34-D34)=ABS(ABS(I34)-ABS(D34))),(I34/D34-1),"NM"))))))</f>
      </c>
      <c r="J39" s="30">
        <f t="shared" si="78"/>
      </c>
      <c r="K39" s="30">
        <f t="shared" si="78"/>
      </c>
      <c r="L39" s="30">
        <f t="shared" si="78"/>
      </c>
      <c r="M39" s="30">
        <f t="shared" si="78"/>
      </c>
      <c r="N39" s="30">
        <f t="shared" si="78"/>
      </c>
      <c r="O39" s="30">
        <f t="shared" si="78"/>
      </c>
      <c r="P39" s="30">
        <f t="shared" si="78"/>
      </c>
      <c r="Q39" s="30">
        <f t="shared" si="78"/>
      </c>
      <c r="R39" s="30">
        <f t="shared" si="78"/>
      </c>
      <c r="S39" s="30">
        <f t="shared" ref="S39:AB40" si="79">IF(N34="NM","NM",IF(S34="NM","NM",IF(N34&lt;=0,"NM",IF(S34=0,"NM",IF(ABS(S34/N34-1)&gt;2.5,"NM",IF((ABS(S34-N34)=ABS(ABS(S34)-ABS(N34))),(S34/N34-1),"NM"))))))</f>
      </c>
      <c r="T39" s="30">
        <f t="shared" si="79"/>
      </c>
      <c r="U39" s="30">
        <f t="shared" si="79"/>
      </c>
      <c r="V39" s="30">
        <f t="shared" si="79"/>
      </c>
      <c r="W39" s="30">
        <f t="shared" si="79"/>
      </c>
      <c r="X39" s="308">
        <f t="shared" si="79"/>
      </c>
      <c r="Y39" s="30">
        <f t="shared" si="79"/>
      </c>
      <c r="Z39" s="30">
        <f t="shared" si="79"/>
      </c>
      <c r="AA39" s="30">
        <f t="shared" si="79"/>
      </c>
      <c r="AB39" s="30">
        <f t="shared" si="79"/>
      </c>
      <c r="AC39" s="308">
        <f t="shared" ref="AC39:AL40" si="80">IF(X34="NM","NM",IF(AC34="NM","NM",IF(X34&lt;=0,"NM",IF(AC34=0,"NM",IF(ABS(AC34/X34-1)&gt;2.5,"NM",IF((ABS(AC34-X34)=ABS(ABS(AC34)-ABS(X34))),(AC34/X34-1),"NM"))))))</f>
      </c>
      <c r="AD39" s="30">
        <f t="shared" si="80"/>
      </c>
      <c r="AE39" s="30">
        <f t="shared" si="80"/>
      </c>
      <c r="AF39" s="30">
        <f t="shared" si="80"/>
      </c>
      <c r="AG39" s="30">
        <f t="shared" si="80"/>
      </c>
      <c r="AH39" s="308">
        <f t="shared" si="80"/>
      </c>
      <c r="AI39" s="30">
        <f t="shared" si="80"/>
      </c>
      <c r="AJ39" s="30">
        <f t="shared" si="80"/>
      </c>
      <c r="AK39" s="30">
        <f t="shared" si="80"/>
      </c>
      <c r="AL39" s="30">
        <f t="shared" si="80"/>
      </c>
      <c r="AM39" s="308">
        <f t="shared" ref="AM39:AV40" si="81">IF(AH34="NM","NM",IF(AM34="NM","NM",IF(AH34&lt;=0,"NM",IF(AM34=0,"NM",IF(ABS(AM34/AH34-1)&gt;2.5,"NM",IF((ABS(AM34-AH34)=ABS(ABS(AM34)-ABS(AH34))),(AM34/AH34-1),"NM"))))))</f>
      </c>
      <c r="AN39" s="30">
        <f t="shared" si="81"/>
      </c>
      <c r="AO39" s="30">
        <f t="shared" si="81"/>
      </c>
      <c r="AP39" s="30">
        <f t="shared" si="81"/>
      </c>
      <c r="AQ39" s="30">
        <f t="shared" si="81"/>
      </c>
      <c r="AR39" s="308">
        <f t="shared" si="81"/>
      </c>
      <c r="AS39" s="30">
        <f t="shared" si="81"/>
      </c>
      <c r="AT39" s="30">
        <f t="shared" si="81"/>
      </c>
      <c r="AU39" s="30">
        <f t="shared" si="81"/>
      </c>
      <c r="AV39" s="30">
        <f t="shared" si="81"/>
      </c>
      <c r="AW39" s="308">
        <f t="shared" ref="AW39:BF40" si="82">IF(AR34="NM","NM",IF(AW34="NM","NM",IF(AR34&lt;=0,"NM",IF(AW34=0,"NM",IF(ABS(AW34/AR34-1)&gt;2.5,"NM",IF((ABS(AW34-AR34)=ABS(ABS(AW34)-ABS(AR34))),(AW34/AR34-1),"NM"))))))</f>
      </c>
      <c r="AX39" s="30">
        <f t="shared" si="82"/>
      </c>
      <c r="AY39" s="30">
        <f t="shared" si="82"/>
      </c>
      <c r="AZ39" s="30">
        <f t="shared" si="82"/>
      </c>
      <c r="BA39" s="30">
        <f t="shared" si="82"/>
      </c>
      <c r="BB39" s="308">
        <f t="shared" si="82"/>
      </c>
      <c r="BC39" s="30">
        <f t="shared" si="82"/>
      </c>
      <c r="BD39" s="30">
        <f t="shared" si="82"/>
      </c>
      <c r="BE39" s="30">
        <f t="shared" si="82"/>
      </c>
      <c r="BF39" s="30">
        <f t="shared" si="82"/>
      </c>
      <c r="BG39" s="308">
        <f t="shared" ref="BG39:BP40" si="83">IF(BB34="NM","NM",IF(BG34="NM","NM",IF(BB34&lt;=0,"NM",IF(BG34=0,"NM",IF(ABS(BG34/BB34-1)&gt;2.5,"NM",IF((ABS(BG34-BB34)=ABS(ABS(BG34)-ABS(BB34))),(BG34/BB34-1),"NM"))))))</f>
      </c>
      <c r="BH39" s="30">
        <f t="shared" si="83"/>
      </c>
      <c r="BI39" s="30">
        <f t="shared" si="83"/>
      </c>
      <c r="BJ39" s="30">
        <f t="shared" si="83"/>
      </c>
      <c r="BK39" s="30">
        <f t="shared" si="83"/>
      </c>
      <c r="BL39" s="308">
        <f t="shared" si="83"/>
      </c>
      <c r="BM39" s="30">
        <f t="shared" si="83"/>
      </c>
      <c r="BN39" s="30">
        <f t="shared" si="83"/>
      </c>
      <c r="BO39" s="30">
        <f t="shared" si="83"/>
      </c>
      <c r="BP39" s="30">
        <f t="shared" si="83"/>
      </c>
      <c r="BQ39" s="308">
        <f t="shared" ref="BQ39:BZ40" si="84">IF(BL34="NM","NM",IF(BQ34="NM","NM",IF(BL34&lt;=0,"NM",IF(BQ34=0,"NM",IF(ABS(BQ34/BL34-1)&gt;2.5,"NM",IF((ABS(BQ34-BL34)=ABS(ABS(BQ34)-ABS(BL34))),(BQ34/BL34-1),"NM"))))))</f>
      </c>
      <c r="BR39" s="30">
        <f t="shared" si="84"/>
      </c>
      <c r="BS39" s="30">
        <f t="shared" si="84"/>
      </c>
      <c r="BT39" s="30">
        <f t="shared" si="84"/>
      </c>
      <c r="BU39" s="30">
        <f t="shared" si="84"/>
      </c>
      <c r="BV39" s="308">
        <f t="shared" si="84"/>
      </c>
      <c r="BW39" s="30">
        <f t="shared" si="84"/>
      </c>
      <c r="BX39" s="30">
        <f t="shared" si="84"/>
      </c>
      <c r="BY39" s="30">
        <f t="shared" si="84"/>
      </c>
      <c r="BZ39" s="30">
        <f t="shared" si="84"/>
      </c>
      <c r="CA39" s="308">
        <f t="shared" ref="CA39:CE40" si="85">IF(BV34="NM","NM",IF(CA34="NM","NM",IF(BV34&lt;=0,"NM",IF(CA34=0,"NM",IF(ABS(CA34/BV34-1)&gt;2.5,"NM",IF((ABS(CA34-BV34)=ABS(ABS(CA34)-ABS(BV34))),(CA34/BV34-1),"NM"))))))</f>
      </c>
      <c r="CB39" s="30">
        <f t="shared" si="85"/>
      </c>
      <c r="CC39" s="30">
        <f t="shared" si="85"/>
      </c>
      <c r="CD39" s="30">
        <f t="shared" si="85"/>
      </c>
      <c r="CE39" s="30">
        <f t="shared" si="85"/>
      </c>
      <c r="CF39" s="308">
        <f t="shared" ref="CF39:CO40" si="86">IF(CA34=0, "NA", CF34/CA34-1)</f>
      </c>
      <c r="CG39" s="30">
        <f t="shared" si="86"/>
      </c>
      <c r="CH39" s="30">
        <f t="shared" si="86"/>
      </c>
      <c r="CI39" s="30">
        <f t="shared" si="86"/>
      </c>
      <c r="CJ39" s="30">
        <f t="shared" si="86"/>
      </c>
      <c r="CK39" s="308">
        <f t="shared" si="86"/>
      </c>
      <c r="CL39" s="926">
        <f t="shared" si="86"/>
      </c>
      <c r="CM39" s="926">
        <f t="shared" si="86"/>
      </c>
      <c r="CN39" s="926">
        <f t="shared" si="86"/>
      </c>
      <c r="CO39" s="30">
        <f t="shared" si="86"/>
      </c>
      <c r="CP39" s="308">
        <f t="shared" ref="CP39:CX40" si="87">IF(CK34=0, "NA", CP34/CK34-1)</f>
      </c>
      <c r="CQ39" s="926">
        <f t="shared" si="87"/>
      </c>
      <c r="CR39" s="926">
        <f t="shared" si="87"/>
      </c>
      <c r="CS39" s="926">
        <f t="shared" si="87"/>
      </c>
      <c r="CT39" s="926">
        <f t="shared" si="87"/>
      </c>
      <c r="CU39" s="308">
        <f t="shared" si="87"/>
      </c>
      <c r="CV39" s="926">
        <f t="shared" si="87"/>
      </c>
      <c r="CW39" s="926">
        <f t="shared" si="87"/>
      </c>
      <c r="CX39" s="926">
        <f t="shared" si="87"/>
      </c>
      <c r="CY39" s="926">
        <f t="shared" ref="CY39:DD40" si="88">IF(CT34=0, "NA", CY34/CT34-1)</f>
      </c>
      <c r="CZ39" s="308">
        <f t="shared" si="88"/>
      </c>
      <c r="DA39" s="926">
        <f t="shared" si="88"/>
      </c>
      <c r="DB39" s="30">
        <f t="shared" si="88"/>
      </c>
      <c r="DC39" s="30">
        <f t="shared" si="88"/>
      </c>
      <c r="DD39" s="409">
        <f t="shared" si="88"/>
      </c>
      <c r="DE39" s="308">
        <f t="shared" ref="DE39:DG40" si="89">IF(CZ34=0, "NA", DE34/CZ34-1)</f>
      </c>
      <c r="DF39" s="926">
        <f t="shared" si="89"/>
      </c>
      <c r="DG39" s="30">
        <f t="shared" si="89"/>
      </c>
      <c r="DH39" s="30">
        <f t="shared" ref="DH39:DW40" si="90">IF(DC34=0, "NA", DH34/DC34-1)</f>
      </c>
      <c r="DI39" s="409">
        <f t="shared" si="90"/>
      </c>
      <c r="DJ39" s="308">
        <f t="shared" si="90"/>
      </c>
      <c r="DK39" s="926">
        <f t="shared" si="90"/>
      </c>
      <c r="DL39" s="30">
        <f t="shared" si="90"/>
      </c>
      <c r="DM39" s="30">
        <f t="shared" si="90"/>
      </c>
      <c r="DN39" s="409">
        <f t="shared" si="90"/>
      </c>
      <c r="DO39" s="308">
        <f t="shared" si="90"/>
      </c>
      <c r="DP39" s="30">
        <f t="shared" si="90"/>
      </c>
      <c r="DQ39" s="30">
        <f t="shared" si="90"/>
      </c>
      <c r="DR39" s="30">
        <f t="shared" si="90"/>
      </c>
      <c r="DS39" s="409">
        <f t="shared" si="90"/>
      </c>
      <c r="DT39" s="308">
        <f t="shared" si="90"/>
      </c>
      <c r="DU39" s="926">
        <f t="shared" si="90"/>
      </c>
      <c r="DV39" s="926">
        <f t="shared" si="90"/>
      </c>
      <c r="DW39" s="926">
        <f t="shared" si="90"/>
      </c>
      <c r="DX39" s="928">
        <f t="shared" ref="DU39:DX40" si="91">IF(DS34=0, "NA", DX34/DS34-1)</f>
      </c>
      <c r="DY39" s="308">
        <f t="shared" ref="DY39:EH40" si="92">IF(DT34=0, "NA", DY34/DT34-1)</f>
      </c>
      <c r="DZ39" s="926">
        <f t="shared" si="92"/>
      </c>
      <c r="EA39" s="926">
        <f t="shared" si="92"/>
      </c>
      <c r="EB39" s="926">
        <f t="shared" si="92"/>
      </c>
      <c r="EC39" s="928">
        <f t="shared" si="92"/>
      </c>
      <c r="ED39" s="1060">
        <f t="shared" si="92"/>
      </c>
      <c r="EE39" s="926">
        <f t="shared" si="92"/>
      </c>
      <c r="EF39" s="926">
        <f t="shared" si="92"/>
      </c>
      <c r="EG39" s="926">
        <f t="shared" si="92"/>
      </c>
      <c r="EH39" s="928">
        <f t="shared" si="92"/>
      </c>
      <c r="EI39" s="308">
        <f>IF(ED34=0, "NA", EI34/ED34-1)</f>
      </c>
      <c r="EJ39" s="308">
        <f t="shared" ref="EJ39:EN40" si="93">IF(EI34=0, "NA", EJ34/EI34-1)</f>
      </c>
      <c r="EK39" s="308">
        <f t="shared" si="93"/>
      </c>
      <c r="EL39" s="308">
        <f t="shared" si="93"/>
      </c>
      <c r="EM39" s="308">
        <f t="shared" si="93"/>
      </c>
      <c r="EN39" s="308">
        <f t="shared" si="93"/>
      </c>
      <c r="EO39" s="308">
        <f t="shared" ref="EO39:EO40" si="94">IF(EN34=0, "NA", EO34/EN34-1)</f>
      </c>
      <c r="EP39" s="308">
        <f t="shared" ref="EP39:EP40" si="95">IF(EO34=0, "NA", EP34/EO34-1)</f>
      </c>
      <c r="EQ39" s="308">
        <f t="shared" ref="EQ39:EQ40" si="96">IF(EP34=0, "NA", EQ34/EP34-1)</f>
      </c>
      <c r="ER39" s="308">
        <f t="shared" ref="ER39:ER40" si="97">IF(EQ34=0, "NA", ER34/EQ34-1)</f>
      </c>
      <c r="ES39" s="308">
        <f t="shared" ref="ES39:ES40" si="98">IF(ER34=0, "NA", ES34/ER34-1)</f>
      </c>
      <c r="ET39" s="308"/>
      <c r="EU39" s="308"/>
      <c r="EV39" s="308"/>
      <c r="EW39" s="308"/>
      <c r="EX39" s="308"/>
    </row>
    <row r="40" spans="1:154" ht="12.75" customHeight="1">
      <c r="B40" s="339" t="s">
        <v>235</v>
      </c>
      <c r="C40" s="1989"/>
      <c r="D40" s="1"/>
      <c r="E40" s="1"/>
      <c r="F40" s="1"/>
      <c r="G40" s="1"/>
      <c r="H40" s="1"/>
      <c r="I40" s="30">
        <f t="shared" si="78"/>
      </c>
      <c r="J40" s="30">
        <f t="shared" si="78"/>
      </c>
      <c r="K40" s="30">
        <f t="shared" si="78"/>
      </c>
      <c r="L40" s="30">
        <f t="shared" si="78"/>
      </c>
      <c r="M40" s="30">
        <f t="shared" si="78"/>
      </c>
      <c r="N40" s="30">
        <f t="shared" si="78"/>
      </c>
      <c r="O40" s="30">
        <f t="shared" si="78"/>
      </c>
      <c r="P40" s="30">
        <f t="shared" si="78"/>
      </c>
      <c r="Q40" s="30">
        <f t="shared" si="78"/>
      </c>
      <c r="R40" s="30">
        <f t="shared" si="78"/>
      </c>
      <c r="S40" s="30">
        <f t="shared" si="79"/>
      </c>
      <c r="T40" s="30">
        <f t="shared" si="79"/>
      </c>
      <c r="U40" s="30">
        <f t="shared" si="79"/>
      </c>
      <c r="V40" s="30">
        <f t="shared" si="79"/>
      </c>
      <c r="W40" s="30">
        <f t="shared" si="79"/>
      </c>
      <c r="X40" s="308">
        <f t="shared" si="79"/>
      </c>
      <c r="Y40" s="30">
        <f t="shared" si="79"/>
      </c>
      <c r="Z40" s="30">
        <f t="shared" si="79"/>
      </c>
      <c r="AA40" s="30">
        <f t="shared" si="79"/>
      </c>
      <c r="AB40" s="30">
        <f t="shared" si="79"/>
      </c>
      <c r="AC40" s="308">
        <f t="shared" si="80"/>
      </c>
      <c r="AD40" s="30">
        <f t="shared" si="80"/>
      </c>
      <c r="AE40" s="30">
        <f t="shared" si="80"/>
      </c>
      <c r="AF40" s="30">
        <f t="shared" si="80"/>
      </c>
      <c r="AG40" s="30">
        <f t="shared" si="80"/>
      </c>
      <c r="AH40" s="308">
        <f t="shared" si="80"/>
      </c>
      <c r="AI40" s="30">
        <f t="shared" si="80"/>
      </c>
      <c r="AJ40" s="30">
        <f t="shared" si="80"/>
      </c>
      <c r="AK40" s="30">
        <f t="shared" si="80"/>
      </c>
      <c r="AL40" s="30">
        <f t="shared" si="80"/>
      </c>
      <c r="AM40" s="308">
        <f t="shared" si="81"/>
      </c>
      <c r="AN40" s="30">
        <f t="shared" si="81"/>
      </c>
      <c r="AO40" s="30">
        <f t="shared" si="81"/>
      </c>
      <c r="AP40" s="30">
        <f t="shared" si="81"/>
      </c>
      <c r="AQ40" s="30">
        <f t="shared" si="81"/>
      </c>
      <c r="AR40" s="308">
        <f t="shared" si="81"/>
      </c>
      <c r="AS40" s="30">
        <f t="shared" si="81"/>
      </c>
      <c r="AT40" s="30">
        <f t="shared" si="81"/>
      </c>
      <c r="AU40" s="30">
        <f t="shared" si="81"/>
      </c>
      <c r="AV40" s="30">
        <f t="shared" si="81"/>
      </c>
      <c r="AW40" s="308">
        <f t="shared" si="82"/>
      </c>
      <c r="AX40" s="30">
        <f t="shared" si="82"/>
      </c>
      <c r="AY40" s="30">
        <f t="shared" si="82"/>
      </c>
      <c r="AZ40" s="30">
        <f t="shared" si="82"/>
      </c>
      <c r="BA40" s="30">
        <f t="shared" si="82"/>
      </c>
      <c r="BB40" s="308">
        <f t="shared" si="82"/>
      </c>
      <c r="BC40" s="30">
        <f t="shared" si="82"/>
      </c>
      <c r="BD40" s="30">
        <f t="shared" si="82"/>
      </c>
      <c r="BE40" s="30">
        <f t="shared" si="82"/>
      </c>
      <c r="BF40" s="30">
        <f t="shared" si="82"/>
      </c>
      <c r="BG40" s="308">
        <f t="shared" si="83"/>
      </c>
      <c r="BH40" s="30">
        <f t="shared" si="83"/>
      </c>
      <c r="BI40" s="30">
        <f t="shared" si="83"/>
      </c>
      <c r="BJ40" s="30">
        <f t="shared" si="83"/>
      </c>
      <c r="BK40" s="30">
        <f t="shared" si="83"/>
      </c>
      <c r="BL40" s="308">
        <f t="shared" si="83"/>
      </c>
      <c r="BM40" s="30">
        <f t="shared" si="83"/>
      </c>
      <c r="BN40" s="30">
        <f t="shared" si="83"/>
      </c>
      <c r="BO40" s="30">
        <f t="shared" si="83"/>
      </c>
      <c r="BP40" s="30">
        <f t="shared" si="83"/>
      </c>
      <c r="BQ40" s="308">
        <f t="shared" si="84"/>
      </c>
      <c r="BR40" s="30">
        <f t="shared" si="84"/>
      </c>
      <c r="BS40" s="30">
        <f t="shared" si="84"/>
      </c>
      <c r="BT40" s="30">
        <f t="shared" si="84"/>
      </c>
      <c r="BU40" s="30">
        <f t="shared" si="84"/>
      </c>
      <c r="BV40" s="308">
        <f t="shared" si="84"/>
      </c>
      <c r="BW40" s="30">
        <f t="shared" si="84"/>
      </c>
      <c r="BX40" s="30">
        <f t="shared" si="84"/>
      </c>
      <c r="BY40" s="30">
        <f t="shared" si="84"/>
      </c>
      <c r="BZ40" s="30">
        <f t="shared" si="84"/>
      </c>
      <c r="CA40" s="308">
        <f t="shared" si="85"/>
      </c>
      <c r="CB40" s="30">
        <f t="shared" si="85"/>
      </c>
      <c r="CC40" s="30">
        <f t="shared" si="85"/>
      </c>
      <c r="CD40" s="30">
        <f t="shared" si="85"/>
      </c>
      <c r="CE40" s="30">
        <f t="shared" si="85"/>
      </c>
      <c r="CF40" s="308">
        <f t="shared" si="86"/>
      </c>
      <c r="CG40" s="30">
        <f t="shared" si="86"/>
      </c>
      <c r="CH40" s="30">
        <f t="shared" si="86"/>
      </c>
      <c r="CI40" s="30">
        <f t="shared" si="86"/>
      </c>
      <c r="CJ40" s="30">
        <f t="shared" si="86"/>
      </c>
      <c r="CK40" s="308">
        <f t="shared" si="86"/>
      </c>
      <c r="CL40" s="926">
        <f t="shared" si="86"/>
      </c>
      <c r="CM40" s="926">
        <f t="shared" si="86"/>
      </c>
      <c r="CN40" s="926">
        <f t="shared" si="86"/>
      </c>
      <c r="CO40" s="30">
        <f t="shared" si="86"/>
      </c>
      <c r="CP40" s="308">
        <f t="shared" si="87"/>
      </c>
      <c r="CQ40" s="926">
        <f t="shared" si="87"/>
      </c>
      <c r="CR40" s="926">
        <f t="shared" si="87"/>
      </c>
      <c r="CS40" s="926">
        <f t="shared" si="87"/>
      </c>
      <c r="CT40" s="926">
        <f t="shared" si="87"/>
      </c>
      <c r="CU40" s="308">
        <f t="shared" si="87"/>
      </c>
      <c r="CV40" s="926">
        <f t="shared" si="87"/>
      </c>
      <c r="CW40" s="926">
        <f t="shared" si="87"/>
      </c>
      <c r="CX40" s="926">
        <f t="shared" si="87"/>
      </c>
      <c r="CY40" s="926">
        <f t="shared" si="88"/>
      </c>
      <c r="CZ40" s="308">
        <f t="shared" si="88"/>
      </c>
      <c r="DA40" s="926">
        <f t="shared" si="88"/>
      </c>
      <c r="DB40" s="30">
        <f t="shared" si="88"/>
      </c>
      <c r="DC40" s="30">
        <f t="shared" si="88"/>
      </c>
      <c r="DD40" s="409">
        <f t="shared" si="88"/>
      </c>
      <c r="DE40" s="308">
        <f t="shared" si="89"/>
      </c>
      <c r="DF40" s="926">
        <f t="shared" si="89"/>
      </c>
      <c r="DG40" s="30">
        <f t="shared" si="89"/>
      </c>
      <c r="DH40" s="30">
        <f t="shared" si="90"/>
      </c>
      <c r="DI40" s="1351">
        <f t="shared" si="90"/>
      </c>
      <c r="DJ40" s="1233">
        <f t="shared" si="90"/>
      </c>
      <c r="DK40" s="1219">
        <f t="shared" si="90"/>
      </c>
      <c r="DL40" s="1361">
        <f t="shared" si="90"/>
      </c>
      <c r="DM40" s="1361">
        <f t="shared" si="90"/>
      </c>
      <c r="DN40" s="1351">
        <f t="shared" si="90"/>
      </c>
      <c r="DO40" s="1233">
        <f t="shared" si="90"/>
      </c>
      <c r="DP40" s="1361">
        <f t="shared" si="90"/>
      </c>
      <c r="DQ40" s="1361">
        <f t="shared" si="90"/>
      </c>
      <c r="DR40" s="1361">
        <f t="shared" si="90"/>
      </c>
      <c r="DS40" s="1351">
        <f t="shared" si="90"/>
      </c>
      <c r="DT40" s="308">
        <f t="shared" si="90"/>
      </c>
      <c r="DU40" s="1219">
        <f t="shared" si="91"/>
      </c>
      <c r="DV40" s="1219">
        <f t="shared" si="91"/>
      </c>
      <c r="DW40" s="1219">
        <f t="shared" si="91"/>
      </c>
      <c r="DX40" s="1235">
        <f t="shared" si="91"/>
      </c>
      <c r="DY40" s="308">
        <f t="shared" si="92"/>
      </c>
      <c r="DZ40" s="1219">
        <f t="shared" si="92"/>
      </c>
      <c r="EA40" s="1219">
        <f t="shared" si="92"/>
      </c>
      <c r="EB40" s="1219">
        <f t="shared" si="92"/>
      </c>
      <c r="EC40" s="1235">
        <f t="shared" si="92"/>
      </c>
      <c r="ED40" s="1060">
        <f t="shared" si="92"/>
      </c>
      <c r="EE40" s="1219">
        <f t="shared" si="92"/>
      </c>
      <c r="EF40" s="1219">
        <f t="shared" si="92"/>
      </c>
      <c r="EG40" s="1219">
        <f t="shared" si="92"/>
      </c>
      <c r="EH40" s="1235">
        <f t="shared" si="92"/>
      </c>
      <c r="EI40" s="308">
        <f>IF(ED35=0, "NA", EI35/ED35-1)</f>
      </c>
      <c r="EJ40" s="308">
        <f t="shared" si="93"/>
      </c>
      <c r="EK40" s="308">
        <f t="shared" si="93"/>
      </c>
      <c r="EL40" s="308">
        <f t="shared" si="93"/>
      </c>
      <c r="EM40" s="308">
        <f t="shared" si="93"/>
      </c>
      <c r="EN40" s="308">
        <f t="shared" si="93"/>
      </c>
      <c r="EO40" s="308">
        <f t="shared" si="94"/>
      </c>
      <c r="EP40" s="308">
        <f t="shared" si="95"/>
      </c>
      <c r="EQ40" s="308">
        <f t="shared" si="96"/>
      </c>
      <c r="ER40" s="308">
        <f t="shared" si="97"/>
      </c>
      <c r="ES40" s="308">
        <f t="shared" si="98"/>
      </c>
      <c r="ET40" s="308"/>
      <c r="EU40" s="308"/>
      <c r="EV40" s="308"/>
      <c r="EW40" s="308"/>
      <c r="EX40" s="308"/>
    </row>
    <row r="41" spans="1:154" ht="12.75" customHeight="1">
      <c r="B41" s="339" t="s">
        <v>157</v>
      </c>
      <c r="C41" s="1989"/>
      <c r="D41" s="1"/>
      <c r="E41" s="1"/>
      <c r="F41" s="1"/>
      <c r="G41" s="1"/>
      <c r="H41" s="1"/>
      <c r="I41" s="1"/>
      <c r="J41" s="1"/>
      <c r="K41" s="1"/>
      <c r="L41" s="1"/>
      <c r="M41" s="1"/>
      <c r="N41" s="24"/>
      <c r="O41" s="24"/>
      <c r="P41" s="24"/>
      <c r="Q41" s="24"/>
      <c r="R41" s="24"/>
      <c r="S41" s="1"/>
      <c r="T41" s="24"/>
      <c r="U41" s="24"/>
      <c r="V41" s="24"/>
      <c r="W41" s="24"/>
      <c r="X41" s="309"/>
      <c r="Y41" s="24"/>
      <c r="Z41" s="24"/>
      <c r="AA41" s="24"/>
      <c r="AB41" s="24"/>
      <c r="AC41" s="309"/>
      <c r="AD41" s="24"/>
      <c r="AE41" s="24"/>
      <c r="AF41" s="24"/>
      <c r="AG41" s="24"/>
      <c r="AH41" s="309"/>
      <c r="AI41" s="30">
        <f t="shared" ref="AI41:BN41" si="99">IF(ISNUMBER(AI40),(1+AI40)/(1+AI$21)-1,"NM")</f>
      </c>
      <c r="AJ41" s="30">
        <f t="shared" si="99"/>
      </c>
      <c r="AK41" s="30">
        <f t="shared" si="99"/>
      </c>
      <c r="AL41" s="30">
        <f t="shared" si="99"/>
      </c>
      <c r="AM41" s="308">
        <f t="shared" si="99"/>
      </c>
      <c r="AN41" s="30">
        <f t="shared" si="99"/>
      </c>
      <c r="AO41" s="30">
        <f t="shared" si="99"/>
      </c>
      <c r="AP41" s="30">
        <f t="shared" si="99"/>
      </c>
      <c r="AQ41" s="30">
        <f t="shared" si="99"/>
      </c>
      <c r="AR41" s="308">
        <f t="shared" si="99"/>
      </c>
      <c r="AS41" s="30">
        <f t="shared" si="99"/>
      </c>
      <c r="AT41" s="30">
        <f t="shared" si="99"/>
      </c>
      <c r="AU41" s="30">
        <f t="shared" si="99"/>
      </c>
      <c r="AV41" s="30">
        <f t="shared" si="99"/>
      </c>
      <c r="AW41" s="308">
        <f t="shared" si="99"/>
      </c>
      <c r="AX41" s="30">
        <f t="shared" si="99"/>
      </c>
      <c r="AY41" s="30">
        <f t="shared" si="99"/>
      </c>
      <c r="AZ41" s="30">
        <f t="shared" si="99"/>
      </c>
      <c r="BA41" s="30">
        <f t="shared" si="99"/>
      </c>
      <c r="BB41" s="308">
        <f t="shared" si="99"/>
      </c>
      <c r="BC41" s="30">
        <f t="shared" si="99"/>
      </c>
      <c r="BD41" s="30">
        <f t="shared" si="99"/>
      </c>
      <c r="BE41" s="30">
        <f t="shared" si="99"/>
      </c>
      <c r="BF41" s="30">
        <f t="shared" si="99"/>
      </c>
      <c r="BG41" s="308">
        <f t="shared" si="99"/>
      </c>
      <c r="BH41" s="30">
        <f t="shared" si="99"/>
      </c>
      <c r="BI41" s="30">
        <f t="shared" si="99"/>
      </c>
      <c r="BJ41" s="30">
        <f t="shared" si="99"/>
      </c>
      <c r="BK41" s="30">
        <f t="shared" si="99"/>
      </c>
      <c r="BL41" s="308">
        <f t="shared" si="99"/>
      </c>
      <c r="BM41" s="30">
        <f t="shared" si="99"/>
      </c>
      <c r="BN41" s="30">
        <f t="shared" si="99"/>
      </c>
      <c r="BO41" s="30">
        <f t="shared" ref="BO41:CE41" si="100">IF(ISNUMBER(BO40),(1+BO40)/(1+BO$21)-1,"NM")</f>
      </c>
      <c r="BP41" s="30">
        <f t="shared" si="100"/>
      </c>
      <c r="BQ41" s="308">
        <f t="shared" si="100"/>
      </c>
      <c r="BR41" s="30">
        <f t="shared" si="100"/>
      </c>
      <c r="BS41" s="30">
        <f t="shared" si="100"/>
      </c>
      <c r="BT41" s="30">
        <f t="shared" si="100"/>
      </c>
      <c r="BU41" s="30">
        <f t="shared" si="100"/>
      </c>
      <c r="BV41" s="308">
        <f t="shared" si="100"/>
      </c>
      <c r="BW41" s="30">
        <f t="shared" si="100"/>
      </c>
      <c r="BX41" s="30">
        <f t="shared" si="100"/>
      </c>
      <c r="BY41" s="30">
        <f t="shared" si="100"/>
      </c>
      <c r="BZ41" s="30">
        <f t="shared" si="100"/>
      </c>
      <c r="CA41" s="308">
        <f t="shared" si="100"/>
      </c>
      <c r="CB41" s="30">
        <f t="shared" si="100"/>
      </c>
      <c r="CC41" s="30">
        <f t="shared" si="100"/>
      </c>
      <c r="CD41" s="30">
        <f t="shared" si="100"/>
      </c>
      <c r="CE41" s="30">
        <f t="shared" si="100"/>
      </c>
      <c r="CF41" s="308">
        <f t="shared" ref="CF41:EI41" si="101">CF40-CF$21</f>
      </c>
      <c r="CG41" s="30">
        <f t="shared" si="101"/>
      </c>
      <c r="CH41" s="30">
        <f t="shared" si="101"/>
      </c>
      <c r="CI41" s="30">
        <f t="shared" si="101"/>
      </c>
      <c r="CJ41" s="30">
        <f t="shared" si="101"/>
      </c>
      <c r="CK41" s="308">
        <f t="shared" si="101"/>
      </c>
      <c r="CL41" s="926">
        <f t="shared" si="101"/>
      </c>
      <c r="CM41" s="926">
        <f t="shared" si="101"/>
      </c>
      <c r="CN41" s="926">
        <f t="shared" si="101"/>
      </c>
      <c r="CO41" s="30">
        <f t="shared" si="101"/>
      </c>
      <c r="CP41" s="308">
        <f t="shared" si="101"/>
      </c>
      <c r="CQ41" s="926">
        <f t="shared" si="101"/>
      </c>
      <c r="CR41" s="926">
        <f t="shared" si="101"/>
      </c>
      <c r="CS41" s="926">
        <f t="shared" si="101"/>
      </c>
      <c r="CT41" s="926">
        <f t="shared" si="101"/>
      </c>
      <c r="CU41" s="308">
        <f t="shared" si="101"/>
      </c>
      <c r="CV41" s="926">
        <f>CV40-CV$21</f>
      </c>
      <c r="CW41" s="926">
        <f t="shared" si="101"/>
      </c>
      <c r="CX41" s="926">
        <f t="shared" ref="CX41:DI41" si="102">CX40-CX$21</f>
      </c>
      <c r="CY41" s="926">
        <f t="shared" si="102"/>
      </c>
      <c r="CZ41" s="308">
        <f t="shared" si="102"/>
      </c>
      <c r="DA41" s="926">
        <f t="shared" si="102"/>
      </c>
      <c r="DB41" s="30">
        <f t="shared" si="102"/>
      </c>
      <c r="DC41" s="30">
        <f t="shared" si="102"/>
      </c>
      <c r="DD41" s="409">
        <f t="shared" si="102"/>
      </c>
      <c r="DE41" s="308">
        <f t="shared" si="102"/>
      </c>
      <c r="DF41" s="926">
        <f t="shared" si="102"/>
      </c>
      <c r="DG41" s="30">
        <f t="shared" si="102"/>
      </c>
      <c r="DH41" s="30">
        <f t="shared" si="102"/>
      </c>
      <c r="DI41" s="1351">
        <f t="shared" si="102"/>
      </c>
      <c r="DJ41" s="1233">
        <f t="shared" si="101"/>
      </c>
      <c r="DK41" s="1219">
        <f t="shared" ref="DK41:DS41" si="103">DK40-DK$21</f>
      </c>
      <c r="DL41" s="1361">
        <f t="shared" si="103"/>
      </c>
      <c r="DM41" s="1361">
        <f t="shared" si="103"/>
      </c>
      <c r="DN41" s="1351">
        <f t="shared" si="103"/>
      </c>
      <c r="DO41" s="1233">
        <f t="shared" si="103"/>
      </c>
      <c r="DP41" s="1361">
        <f t="shared" si="103"/>
      </c>
      <c r="DQ41" s="1361">
        <f t="shared" si="103"/>
      </c>
      <c r="DR41" s="1361">
        <f t="shared" si="103"/>
      </c>
      <c r="DS41" s="1351">
        <f t="shared" si="103"/>
      </c>
      <c r="DT41" s="308">
        <f t="shared" si="101"/>
      </c>
      <c r="DU41" s="1219">
        <f t="shared" si="101"/>
      </c>
      <c r="DV41" s="1219">
        <f t="shared" si="101"/>
      </c>
      <c r="DW41" s="1219">
        <f t="shared" si="101"/>
      </c>
      <c r="DX41" s="1235">
        <f t="shared" si="101"/>
      </c>
      <c r="DY41" s="308">
        <f t="shared" si="101"/>
      </c>
      <c r="DZ41" s="1219">
        <f t="shared" si="101"/>
      </c>
      <c r="EA41" s="1219">
        <f>EA40-EA$21</f>
      </c>
      <c r="EB41" s="1219">
        <f>EB40-EB$21</f>
      </c>
      <c r="EC41" s="1235">
        <f>EC40-EC$21</f>
      </c>
      <c r="ED41" s="1060">
        <f t="shared" ref="ED41:EE41" si="104">ED40-ED$21</f>
      </c>
      <c r="EE41" s="1219">
        <f t="shared" si="104"/>
      </c>
      <c r="EF41" s="1219">
        <f>EF40-EF$21</f>
      </c>
      <c r="EG41" s="1219">
        <f>EG40-EG$21</f>
      </c>
      <c r="EH41" s="1235">
        <f>EH40-EH$21</f>
      </c>
      <c r="EI41" s="308">
        <f t="shared" si="101"/>
      </c>
      <c r="EJ41" s="308">
        <f>EJ40-EJ$21</f>
      </c>
      <c r="EK41" s="308">
        <f>EK40-EK$21</f>
      </c>
      <c r="EL41" s="308">
        <f>EL40-EL$21</f>
      </c>
      <c r="EM41" s="308">
        <f>EM40-EM$21</f>
      </c>
      <c r="EN41" s="308">
        <f>EN40-EN$21</f>
      </c>
      <c r="EO41" s="308">
        <f t="shared" ref="EO41:ES41" si="105">EO40-EO$21</f>
      </c>
      <c r="EP41" s="308">
        <f t="shared" si="105"/>
      </c>
      <c r="EQ41" s="308">
        <f t="shared" si="105"/>
      </c>
      <c r="ER41" s="308">
        <f t="shared" si="105"/>
      </c>
      <c r="ES41" s="308">
        <f t="shared" si="105"/>
      </c>
      <c r="ET41" s="309"/>
      <c r="EU41" s="309"/>
      <c r="EV41" s="309"/>
      <c r="EW41" s="309"/>
      <c r="EX41" s="309"/>
    </row>
    <row r="42" spans="1:154" ht="12.75" customHeight="1">
      <c r="B42" s="339" t="s">
        <v>19</v>
      </c>
      <c r="C42" s="1989"/>
      <c r="D42" s="1"/>
      <c r="E42" s="1"/>
      <c r="F42" s="1"/>
      <c r="G42" s="1"/>
      <c r="H42" s="1"/>
      <c r="I42" s="30">
        <f t="shared" ref="I42:AN42" si="106">IF(D36="NM","NM",IF(I36="NM","NM",IF(D36&lt;=0,"NM",IF(I36=0,"NM",IF(ABS(I36/D36-1)&gt;2.5,"NM",IF((ABS(I36-D36)=ABS(ABS(I36)-ABS(D36))),(I36/D36-1),"NM"))))))</f>
      </c>
      <c r="J42" s="30">
        <f t="shared" si="106"/>
      </c>
      <c r="K42" s="30">
        <f t="shared" si="106"/>
      </c>
      <c r="L42" s="30">
        <f t="shared" si="106"/>
      </c>
      <c r="M42" s="30">
        <f t="shared" si="106"/>
      </c>
      <c r="N42" s="30">
        <f t="shared" si="106"/>
      </c>
      <c r="O42" s="30">
        <f t="shared" si="106"/>
      </c>
      <c r="P42" s="30">
        <f t="shared" si="106"/>
      </c>
      <c r="Q42" s="30">
        <f t="shared" si="106"/>
      </c>
      <c r="R42" s="30">
        <f t="shared" si="106"/>
      </c>
      <c r="S42" s="30">
        <f t="shared" si="106"/>
      </c>
      <c r="T42" s="30">
        <f t="shared" si="106"/>
      </c>
      <c r="U42" s="30">
        <f t="shared" si="106"/>
      </c>
      <c r="V42" s="30">
        <f t="shared" si="106"/>
      </c>
      <c r="W42" s="30">
        <f t="shared" si="106"/>
      </c>
      <c r="X42" s="308">
        <f t="shared" si="106"/>
      </c>
      <c r="Y42" s="30">
        <f t="shared" si="106"/>
      </c>
      <c r="Z42" s="30">
        <f t="shared" si="106"/>
      </c>
      <c r="AA42" s="30">
        <f t="shared" si="106"/>
      </c>
      <c r="AB42" s="30">
        <f t="shared" si="106"/>
      </c>
      <c r="AC42" s="308">
        <f t="shared" si="106"/>
      </c>
      <c r="AD42" s="30">
        <f t="shared" si="106"/>
      </c>
      <c r="AE42" s="30">
        <f t="shared" si="106"/>
      </c>
      <c r="AF42" s="30">
        <f t="shared" si="106"/>
      </c>
      <c r="AG42" s="30">
        <f t="shared" si="106"/>
      </c>
      <c r="AH42" s="308">
        <f t="shared" si="106"/>
      </c>
      <c r="AI42" s="30">
        <f t="shared" si="106"/>
      </c>
      <c r="AJ42" s="30">
        <f t="shared" si="106"/>
      </c>
      <c r="AK42" s="30">
        <f t="shared" si="106"/>
      </c>
      <c r="AL42" s="30">
        <f t="shared" si="106"/>
      </c>
      <c r="AM42" s="308">
        <f t="shared" si="106"/>
      </c>
      <c r="AN42" s="30">
        <f t="shared" si="106"/>
      </c>
      <c r="AO42" s="30">
        <f t="shared" ref="AO42:BT42" si="107">IF(AJ36="NM","NM",IF(AO36="NM","NM",IF(AJ36&lt;=0,"NM",IF(AO36=0,"NM",IF(ABS(AO36/AJ36-1)&gt;2.5,"NM",IF((ABS(AO36-AJ36)=ABS(ABS(AO36)-ABS(AJ36))),(AO36/AJ36-1),"NM"))))))</f>
      </c>
      <c r="AP42" s="30">
        <f t="shared" si="107"/>
      </c>
      <c r="AQ42" s="30">
        <f t="shared" si="107"/>
      </c>
      <c r="AR42" s="308">
        <f t="shared" si="107"/>
      </c>
      <c r="AS42" s="30">
        <f t="shared" si="107"/>
      </c>
      <c r="AT42" s="30">
        <f t="shared" si="107"/>
      </c>
      <c r="AU42" s="30">
        <f t="shared" si="107"/>
      </c>
      <c r="AV42" s="30">
        <f t="shared" si="107"/>
      </c>
      <c r="AW42" s="308">
        <f t="shared" si="107"/>
      </c>
      <c r="AX42" s="30">
        <f t="shared" si="107"/>
      </c>
      <c r="AY42" s="30">
        <f t="shared" si="107"/>
      </c>
      <c r="AZ42" s="30">
        <f t="shared" si="107"/>
      </c>
      <c r="BA42" s="30">
        <f t="shared" si="107"/>
      </c>
      <c r="BB42" s="308">
        <f t="shared" si="107"/>
      </c>
      <c r="BC42" s="30">
        <f t="shared" si="107"/>
      </c>
      <c r="BD42" s="30">
        <f t="shared" si="107"/>
      </c>
      <c r="BE42" s="30">
        <f t="shared" si="107"/>
      </c>
      <c r="BF42" s="30">
        <f t="shared" si="107"/>
      </c>
      <c r="BG42" s="308">
        <f t="shared" si="107"/>
      </c>
      <c r="BH42" s="30">
        <f t="shared" si="107"/>
      </c>
      <c r="BI42" s="30">
        <f t="shared" si="107"/>
      </c>
      <c r="BJ42" s="30">
        <f t="shared" si="107"/>
      </c>
      <c r="BK42" s="30">
        <f t="shared" si="107"/>
      </c>
      <c r="BL42" s="308">
        <f t="shared" si="107"/>
      </c>
      <c r="BM42" s="30">
        <f t="shared" si="107"/>
      </c>
      <c r="BN42" s="30">
        <f t="shared" si="107"/>
      </c>
      <c r="BO42" s="30">
        <f t="shared" si="107"/>
      </c>
      <c r="BP42" s="30">
        <f t="shared" si="107"/>
      </c>
      <c r="BQ42" s="308">
        <f t="shared" si="107"/>
      </c>
      <c r="BR42" s="30">
        <f t="shared" si="107"/>
      </c>
      <c r="BS42" s="30">
        <f t="shared" si="107"/>
      </c>
      <c r="BT42" s="30">
        <f t="shared" si="107"/>
      </c>
      <c r="BU42" s="30">
        <f t="shared" ref="BU42:CE42" si="108">IF(BP36="NM","NM",IF(BU36="NM","NM",IF(BP36&lt;=0,"NM",IF(BU36=0,"NM",IF(ABS(BU36/BP36-1)&gt;2.5,"NM",IF((ABS(BU36-BP36)=ABS(ABS(BU36)-ABS(BP36))),(BU36/BP36-1),"NM"))))))</f>
      </c>
      <c r="BV42" s="308">
        <f t="shared" si="108"/>
      </c>
      <c r="BW42" s="30">
        <f t="shared" si="108"/>
      </c>
      <c r="BX42" s="30">
        <f t="shared" si="108"/>
      </c>
      <c r="BY42" s="30">
        <f t="shared" si="108"/>
      </c>
      <c r="BZ42" s="30">
        <f t="shared" si="108"/>
      </c>
      <c r="CA42" s="308">
        <f t="shared" si="108"/>
      </c>
      <c r="CB42" s="30">
        <f t="shared" si="108"/>
      </c>
      <c r="CC42" s="30">
        <f t="shared" si="108"/>
      </c>
      <c r="CD42" s="30">
        <f t="shared" si="108"/>
      </c>
      <c r="CE42" s="30">
        <f t="shared" si="108"/>
      </c>
      <c r="CF42" s="308">
        <f t="shared" ref="CF42:CX42" si="109">IF(CA36=0, "NA", CF36/CA36-1)</f>
      </c>
      <c r="CG42" s="30">
        <f t="shared" si="109"/>
      </c>
      <c r="CH42" s="30">
        <f t="shared" si="109"/>
      </c>
      <c r="CI42" s="30">
        <f t="shared" si="109"/>
      </c>
      <c r="CJ42" s="30">
        <f t="shared" si="109"/>
      </c>
      <c r="CK42" s="308">
        <f t="shared" si="109"/>
      </c>
      <c r="CL42" s="926">
        <f t="shared" si="109"/>
      </c>
      <c r="CM42" s="926">
        <f t="shared" si="109"/>
      </c>
      <c r="CN42" s="926">
        <f t="shared" si="109"/>
      </c>
      <c r="CO42" s="30">
        <f t="shared" si="109"/>
      </c>
      <c r="CP42" s="308">
        <f t="shared" si="109"/>
      </c>
      <c r="CQ42" s="926">
        <f t="shared" si="109"/>
      </c>
      <c r="CR42" s="926">
        <f t="shared" si="109"/>
      </c>
      <c r="CS42" s="926">
        <f t="shared" si="109"/>
      </c>
      <c r="CT42" s="926">
        <f t="shared" si="109"/>
      </c>
      <c r="CU42" s="308">
        <f t="shared" si="109"/>
      </c>
      <c r="CV42" s="926">
        <f t="shared" si="109"/>
      </c>
      <c r="CW42" s="926">
        <f t="shared" si="109"/>
      </c>
      <c r="CX42" s="926">
        <f t="shared" si="109"/>
      </c>
      <c r="CY42" s="926">
        <f t="shared" ref="CY42:DX42" si="110">IF(CT36=0, "NA", CY36/CT36-1)</f>
      </c>
      <c r="CZ42" s="308">
        <f t="shared" si="110"/>
      </c>
      <c r="DA42" s="926">
        <f t="shared" si="110"/>
      </c>
      <c r="DB42" s="30">
        <f t="shared" si="110"/>
      </c>
      <c r="DC42" s="30">
        <f t="shared" si="110"/>
      </c>
      <c r="DD42" s="409">
        <f t="shared" si="110"/>
      </c>
      <c r="DE42" s="308">
        <f t="shared" si="110"/>
      </c>
      <c r="DF42" s="926">
        <f t="shared" si="110"/>
      </c>
      <c r="DG42" s="30">
        <f t="shared" si="110"/>
      </c>
      <c r="DH42" s="30">
        <f t="shared" si="110"/>
      </c>
      <c r="DI42" s="1351">
        <f t="shared" si="110"/>
      </c>
      <c r="DJ42" s="1233">
        <f>IF(DE36=0, "NA", DJ36/DE36-1)</f>
      </c>
      <c r="DK42" s="1219">
        <f t="shared" si="110"/>
      </c>
      <c r="DL42" s="1361">
        <f t="shared" si="110"/>
      </c>
      <c r="DM42" s="1361">
        <f t="shared" si="110"/>
      </c>
      <c r="DN42" s="1351">
        <f t="shared" si="110"/>
      </c>
      <c r="DO42" s="1233">
        <f>IF(DJ36=0, "NA", DO36/DJ36-1)</f>
      </c>
      <c r="DP42" s="1361">
        <f t="shared" si="110"/>
      </c>
      <c r="DQ42" s="1361">
        <f t="shared" si="110"/>
      </c>
      <c r="DR42" s="1361">
        <f t="shared" si="110"/>
      </c>
      <c r="DS42" s="1351">
        <f t="shared" si="110"/>
      </c>
      <c r="DT42" s="308">
        <f t="shared" si="110"/>
      </c>
      <c r="DU42" s="1219">
        <f t="shared" si="110"/>
      </c>
      <c r="DV42" s="1219">
        <f t="shared" si="110"/>
      </c>
      <c r="DW42" s="1219">
        <f t="shared" si="110"/>
      </c>
      <c r="DX42" s="1235">
        <f t="shared" si="110"/>
      </c>
      <c r="DY42" s="308">
        <f t="shared" ref="DY42" si="111">IF(DT36=0, "NA", DY36/DT36-1)</f>
      </c>
      <c r="DZ42" s="1219">
        <f>IF(DU36=0, "NA", DZ36/DU36-1)</f>
      </c>
      <c r="EA42" s="1219">
        <f t="shared" ref="EA42:EH42" si="112">IF(DV36=0, "NA", EA36/DV36-1)</f>
      </c>
      <c r="EB42" s="1219">
        <f t="shared" si="112"/>
      </c>
      <c r="EC42" s="1235">
        <f t="shared" si="112"/>
      </c>
      <c r="ED42" s="1060">
        <f t="shared" si="112"/>
      </c>
      <c r="EE42" s="1219">
        <f>IF(DZ36=0, "NA", EE36/DZ36-1)</f>
      </c>
      <c r="EF42" s="1219">
        <f t="shared" si="112"/>
      </c>
      <c r="EG42" s="1219">
        <f t="shared" si="112"/>
      </c>
      <c r="EH42" s="1235">
        <f t="shared" si="112"/>
      </c>
      <c r="EI42" s="308">
        <f>IF(ED36=0, "NA", EI36/ED36-1)</f>
      </c>
      <c r="EJ42" s="308">
        <f t="shared" ref="EJ42:EN42" si="113">IF(EI36=0, "NA", EJ36/EI36-1)</f>
      </c>
      <c r="EK42" s="308">
        <f t="shared" si="113"/>
      </c>
      <c r="EL42" s="308">
        <f t="shared" si="113"/>
      </c>
      <c r="EM42" s="308">
        <f t="shared" si="113"/>
      </c>
      <c r="EN42" s="308">
        <f t="shared" si="113"/>
      </c>
      <c r="EO42" s="308">
        <f t="shared" ref="EO42" si="114">IF(EN36=0, "NA", EO36/EN36-1)</f>
      </c>
      <c r="EP42" s="308">
        <f t="shared" ref="EP42" si="115">IF(EO36=0, "NA", EP36/EO36-1)</f>
      </c>
      <c r="EQ42" s="308">
        <f t="shared" ref="EQ42" si="116">IF(EP36=0, "NA", EQ36/EP36-1)</f>
      </c>
      <c r="ER42" s="308">
        <f t="shared" ref="ER42" si="117">IF(EQ36=0, "NA", ER36/EQ36-1)</f>
      </c>
      <c r="ES42" s="308">
        <f t="shared" ref="ES42" si="118">IF(ER36=0, "NA", ES36/ER36-1)</f>
      </c>
      <c r="ET42" s="308"/>
      <c r="EU42" s="308"/>
      <c r="EV42" s="308"/>
      <c r="EW42" s="308"/>
      <c r="EX42" s="308"/>
    </row>
    <row r="43" spans="1:154" ht="12.75" customHeight="1">
      <c r="B43" s="339"/>
      <c r="C43" s="1989"/>
      <c r="D43" s="1"/>
      <c r="E43" s="1"/>
      <c r="F43" s="1"/>
      <c r="G43" s="1"/>
      <c r="H43" s="1"/>
      <c r="I43" s="30"/>
      <c r="J43" s="30"/>
      <c r="K43" s="30"/>
      <c r="L43" s="30"/>
      <c r="M43" s="30"/>
      <c r="N43" s="30"/>
      <c r="O43" s="30"/>
      <c r="P43" s="30"/>
      <c r="Q43" s="30"/>
      <c r="R43" s="30"/>
      <c r="S43" s="30"/>
      <c r="T43" s="30"/>
      <c r="U43" s="30"/>
      <c r="V43" s="30"/>
      <c r="W43" s="30"/>
      <c r="X43" s="308"/>
      <c r="Y43" s="30"/>
      <c r="Z43" s="30"/>
      <c r="AA43" s="30"/>
      <c r="AB43" s="30"/>
      <c r="AC43" s="308"/>
      <c r="AD43" s="30"/>
      <c r="AE43" s="30"/>
      <c r="AF43" s="30"/>
      <c r="AG43" s="30"/>
      <c r="AH43" s="308"/>
      <c r="AI43" s="30"/>
      <c r="AJ43" s="30"/>
      <c r="AK43" s="30"/>
      <c r="AL43" s="30"/>
      <c r="AM43" s="308"/>
      <c r="AN43" s="30"/>
      <c r="AO43" s="30"/>
      <c r="AP43" s="30"/>
      <c r="AQ43" s="30"/>
      <c r="AR43" s="308"/>
      <c r="AS43" s="30"/>
      <c r="AT43" s="30"/>
      <c r="AU43" s="30"/>
      <c r="AV43" s="30"/>
      <c r="AW43" s="308"/>
      <c r="AX43" s="30"/>
      <c r="AY43" s="30"/>
      <c r="AZ43" s="30"/>
      <c r="BA43" s="30"/>
      <c r="BB43" s="308"/>
      <c r="BC43" s="30"/>
      <c r="BD43" s="30"/>
      <c r="BE43" s="30"/>
      <c r="BF43" s="30"/>
      <c r="BG43" s="308"/>
      <c r="BH43" s="30"/>
      <c r="BI43" s="30"/>
      <c r="BJ43" s="30"/>
      <c r="BK43" s="30"/>
      <c r="BL43" s="308"/>
      <c r="BM43" s="30"/>
      <c r="BN43" s="30"/>
      <c r="BO43" s="30"/>
      <c r="BP43" s="30"/>
      <c r="BQ43" s="308"/>
      <c r="BR43" s="30"/>
      <c r="BS43" s="30"/>
      <c r="BT43" s="30"/>
      <c r="BU43" s="30"/>
      <c r="BV43" s="308"/>
      <c r="BW43" s="30"/>
      <c r="BX43" s="30"/>
      <c r="BY43" s="30"/>
      <c r="BZ43" s="30"/>
      <c r="CA43" s="308"/>
      <c r="CB43" s="30"/>
      <c r="CC43" s="30"/>
      <c r="CD43" s="30"/>
      <c r="CE43" s="30"/>
      <c r="CF43" s="308"/>
      <c r="CG43" s="30"/>
      <c r="CH43" s="30"/>
      <c r="CI43" s="30"/>
      <c r="CJ43" s="30"/>
      <c r="CK43" s="308"/>
      <c r="CL43" s="926"/>
      <c r="CM43" s="926"/>
      <c r="CN43" s="926"/>
      <c r="CO43" s="30"/>
      <c r="CP43" s="1060"/>
      <c r="CQ43" s="926"/>
      <c r="CR43" s="926"/>
      <c r="CS43" s="926"/>
      <c r="CT43" s="926"/>
      <c r="CU43" s="308"/>
      <c r="CV43" s="926"/>
      <c r="CW43" s="926"/>
      <c r="CX43" s="926"/>
      <c r="CY43" s="926"/>
      <c r="CZ43" s="308"/>
      <c r="DA43" s="926"/>
      <c r="DB43" s="30"/>
      <c r="DC43" s="30"/>
      <c r="DD43" s="409"/>
      <c r="DE43" s="308"/>
      <c r="DF43" s="926"/>
      <c r="DG43" s="30"/>
      <c r="DH43" s="30"/>
      <c r="DI43" s="1351"/>
      <c r="DJ43" s="1233"/>
      <c r="DK43" s="1219"/>
      <c r="DL43" s="1361"/>
      <c r="DM43" s="1361"/>
      <c r="DN43" s="1351"/>
      <c r="DO43" s="1233"/>
      <c r="DP43" s="1361"/>
      <c r="DQ43" s="1361"/>
      <c r="DR43" s="1361"/>
      <c r="DS43" s="1351"/>
      <c r="DT43" s="308"/>
      <c r="DU43" s="1219"/>
      <c r="DV43" s="1219"/>
      <c r="DW43" s="1219"/>
      <c r="DX43" s="1235"/>
      <c r="DY43" s="308"/>
      <c r="DZ43" s="1219"/>
      <c r="EA43" s="1219"/>
      <c r="EB43" s="3538"/>
      <c r="EC43" s="1235"/>
      <c r="ED43" s="1060"/>
      <c r="EE43" s="1219"/>
      <c r="EF43" s="1219"/>
      <c r="EG43" s="3538"/>
      <c r="EH43" s="1235"/>
      <c r="EI43" s="308"/>
      <c r="EJ43" s="308"/>
      <c r="EK43" s="308"/>
      <c r="EL43" s="308"/>
      <c r="EM43" s="308"/>
      <c r="EN43" s="308"/>
      <c r="EO43" s="308"/>
      <c r="EP43" s="308"/>
      <c r="EQ43" s="308"/>
      <c r="ER43" s="308"/>
      <c r="ES43" s="308"/>
      <c r="ET43" s="308"/>
      <c r="EU43" s="308"/>
      <c r="EV43" s="308"/>
      <c r="EW43" s="308"/>
      <c r="EX43" s="308"/>
    </row>
    <row r="44" spans="1:154" ht="12.75" customHeight="1">
      <c r="B44" s="337" t="s">
        <v>820</v>
      </c>
      <c r="C44" s="1990"/>
      <c r="D44" s="26"/>
      <c r="E44" s="26"/>
      <c r="F44" s="26"/>
      <c r="G44" s="26"/>
      <c r="H44" s="26"/>
      <c r="I44" s="27"/>
      <c r="J44" s="26"/>
      <c r="K44" s="26"/>
      <c r="L44" s="26"/>
      <c r="M44" s="26"/>
      <c r="N44" s="27"/>
      <c r="O44" s="27"/>
      <c r="P44" s="27"/>
      <c r="Q44" s="27"/>
      <c r="R44" s="27"/>
      <c r="S44" s="27"/>
      <c r="T44" s="27"/>
      <c r="U44" s="27"/>
      <c r="V44" s="27"/>
      <c r="W44" s="27"/>
      <c r="X44" s="307"/>
      <c r="Y44" s="27"/>
      <c r="Z44" s="27"/>
      <c r="AA44" s="27"/>
      <c r="AB44" s="27"/>
      <c r="AC44" s="307"/>
      <c r="AD44" s="27"/>
      <c r="AE44" s="27"/>
      <c r="AF44" s="27"/>
      <c r="AG44" s="27"/>
      <c r="AH44" s="307"/>
      <c r="AI44" s="45"/>
      <c r="AJ44" s="26"/>
      <c r="AK44" s="26"/>
      <c r="AL44" s="27"/>
      <c r="AM44" s="307"/>
      <c r="AN44" s="45"/>
      <c r="AO44" s="26"/>
      <c r="AP44" s="26"/>
      <c r="AQ44" s="27"/>
      <c r="AR44" s="307"/>
      <c r="AS44" s="45"/>
      <c r="AT44" s="26"/>
      <c r="AU44" s="26"/>
      <c r="AV44" s="27"/>
      <c r="AW44" s="307"/>
      <c r="AX44" s="45"/>
      <c r="AY44" s="26"/>
      <c r="AZ44" s="26"/>
      <c r="BA44" s="26"/>
      <c r="BB44" s="307"/>
      <c r="BC44" s="26"/>
      <c r="BD44" s="26"/>
      <c r="BE44" s="26"/>
      <c r="BF44" s="26"/>
      <c r="BG44" s="307"/>
      <c r="BH44" s="26"/>
      <c r="BI44" s="26"/>
      <c r="BJ44" s="26"/>
      <c r="BK44" s="26"/>
      <c r="BL44" s="307"/>
      <c r="BM44" s="26"/>
      <c r="BN44" s="26"/>
      <c r="BO44" s="26"/>
      <c r="BP44" s="26"/>
      <c r="BQ44" s="307"/>
      <c r="BR44" s="26"/>
      <c r="BS44" s="26"/>
      <c r="BT44" s="26"/>
      <c r="BU44" s="26"/>
      <c r="BV44" s="307"/>
      <c r="BW44" s="26"/>
      <c r="BX44" s="26"/>
      <c r="BY44" s="26"/>
      <c r="BZ44" s="26"/>
      <c r="CA44" s="307"/>
      <c r="CB44" s="26"/>
      <c r="CC44" s="26"/>
      <c r="CD44" s="26"/>
      <c r="CE44" s="26"/>
      <c r="CF44" s="307"/>
      <c r="CG44" s="26"/>
      <c r="CH44" s="26"/>
      <c r="CI44" s="26"/>
      <c r="CJ44" s="26"/>
      <c r="CK44" s="307"/>
      <c r="CL44" s="26"/>
      <c r="CM44" s="26"/>
      <c r="CN44" s="26"/>
      <c r="CO44" s="26"/>
      <c r="CP44" s="307"/>
      <c r="CQ44" s="26"/>
      <c r="CR44" s="26"/>
      <c r="CS44" s="26"/>
      <c r="CT44" s="26"/>
      <c r="CU44" s="307"/>
      <c r="CV44" s="26"/>
      <c r="CW44" s="26"/>
      <c r="CX44" s="26"/>
      <c r="CY44" s="26"/>
      <c r="CZ44" s="307"/>
      <c r="DA44" s="26"/>
      <c r="DB44" s="27"/>
      <c r="DC44" s="27"/>
      <c r="DD44" s="964"/>
      <c r="DE44" s="1766"/>
      <c r="DF44" s="1783"/>
      <c r="DG44" s="1767"/>
      <c r="DH44" s="1767"/>
      <c r="DI44" s="1784"/>
      <c r="DJ44" s="1766"/>
      <c r="DK44" s="1783"/>
      <c r="DL44" s="1767"/>
      <c r="DM44" s="1767"/>
      <c r="DN44" s="1784"/>
      <c r="DO44" s="1766"/>
      <c r="DP44" s="1767"/>
      <c r="DQ44" s="1767"/>
      <c r="DR44" s="1767"/>
      <c r="DS44" s="1784"/>
      <c r="DT44" s="1766"/>
      <c r="DU44" s="1767"/>
      <c r="DV44" s="1767"/>
      <c r="DW44" s="1767"/>
      <c r="DX44" s="1784"/>
      <c r="DY44" s="1766"/>
      <c r="DZ44" s="1767"/>
      <c r="EA44" s="1767"/>
      <c r="EB44" s="3538"/>
      <c r="EC44" s="1784"/>
      <c r="ED44" s="1766"/>
      <c r="EE44" s="1767"/>
      <c r="EF44" s="1767"/>
      <c r="EG44" s="3538"/>
      <c r="EH44" s="1784"/>
      <c r="EI44" s="1766"/>
      <c r="EJ44" s="1766"/>
      <c r="EK44" s="1766"/>
      <c r="EL44" s="1766"/>
      <c r="EM44" s="1766"/>
      <c r="EN44" s="1766"/>
      <c r="EO44" s="1766"/>
      <c r="EP44" s="1766"/>
      <c r="EQ44" s="1766"/>
      <c r="ER44" s="1766"/>
      <c r="ES44" s="1766"/>
      <c r="ET44" s="1766"/>
      <c r="EU44" s="1766"/>
      <c r="EV44" s="1766"/>
      <c r="EW44" s="1766"/>
      <c r="EX44" s="1766"/>
    </row>
    <row r="45" spans="1:154" ht="12.75" customHeight="1">
      <c r="A45" s="3275" t="str">
        <f>A47&amp;" - US"</f>
      </c>
      <c r="B45" s="336" t="s">
        <v>153</v>
      </c>
      <c r="C45" s="1989"/>
      <c r="D45" s="10">
        <f t="shared" ref="D45:BO45" si="119">+D1348</f>
      </c>
      <c r="E45" s="10">
        <f t="shared" si="119"/>
      </c>
      <c r="F45" s="10">
        <f t="shared" si="119"/>
      </c>
      <c r="G45" s="10">
        <f t="shared" si="119"/>
      </c>
      <c r="H45" s="10">
        <f t="shared" si="119"/>
      </c>
      <c r="I45" s="10">
        <f t="shared" si="119"/>
      </c>
      <c r="J45" s="10">
        <f t="shared" si="119"/>
      </c>
      <c r="K45" s="10">
        <f t="shared" si="119"/>
      </c>
      <c r="L45" s="10">
        <f t="shared" si="119"/>
      </c>
      <c r="M45" s="10">
        <f t="shared" si="119"/>
      </c>
      <c r="N45" s="10">
        <f t="shared" si="119"/>
      </c>
      <c r="O45" s="10">
        <f t="shared" si="119"/>
      </c>
      <c r="P45" s="10">
        <f t="shared" si="119"/>
      </c>
      <c r="Q45" s="10">
        <f t="shared" si="119"/>
      </c>
      <c r="R45" s="10">
        <f t="shared" si="119"/>
      </c>
      <c r="S45" s="10">
        <f t="shared" si="119"/>
      </c>
      <c r="T45" s="10">
        <f t="shared" si="119"/>
      </c>
      <c r="U45" s="10">
        <f t="shared" si="119"/>
      </c>
      <c r="V45" s="10">
        <f t="shared" si="119"/>
      </c>
      <c r="W45" s="10">
        <f t="shared" si="119"/>
      </c>
      <c r="X45" s="303">
        <f t="shared" si="119"/>
      </c>
      <c r="Y45" s="10">
        <f t="shared" si="119"/>
      </c>
      <c r="Z45" s="10">
        <f t="shared" si="119"/>
      </c>
      <c r="AA45" s="10">
        <f t="shared" si="119"/>
      </c>
      <c r="AB45" s="10">
        <f t="shared" si="119"/>
      </c>
      <c r="AC45" s="303">
        <f t="shared" si="119"/>
      </c>
      <c r="AD45" s="10">
        <f t="shared" si="119"/>
      </c>
      <c r="AE45" s="10">
        <f t="shared" si="119"/>
      </c>
      <c r="AF45" s="10">
        <f t="shared" si="119"/>
      </c>
      <c r="AG45" s="10">
        <f t="shared" si="119"/>
      </c>
      <c r="AH45" s="303">
        <f t="shared" si="119"/>
      </c>
      <c r="AI45" s="10">
        <f t="shared" si="119"/>
      </c>
      <c r="AJ45" s="10">
        <f t="shared" si="119"/>
      </c>
      <c r="AK45" s="10">
        <f t="shared" si="119"/>
      </c>
      <c r="AL45" s="10">
        <f t="shared" si="119"/>
      </c>
      <c r="AM45" s="303">
        <f t="shared" si="119"/>
      </c>
      <c r="AN45" s="10">
        <f t="shared" si="119"/>
      </c>
      <c r="AO45" s="10">
        <f t="shared" si="119"/>
      </c>
      <c r="AP45" s="10">
        <f t="shared" si="119"/>
      </c>
      <c r="AQ45" s="10">
        <f t="shared" si="119"/>
      </c>
      <c r="AR45" s="303">
        <f t="shared" si="119"/>
      </c>
      <c r="AS45" s="10">
        <f t="shared" si="119"/>
      </c>
      <c r="AT45" s="10">
        <f t="shared" si="119"/>
      </c>
      <c r="AU45" s="10">
        <f t="shared" si="119"/>
      </c>
      <c r="AV45" s="10">
        <f t="shared" si="119"/>
      </c>
      <c r="AW45" s="303">
        <f t="shared" si="119"/>
      </c>
      <c r="AX45" s="10">
        <f t="shared" si="119"/>
      </c>
      <c r="AY45" s="10">
        <f t="shared" si="119"/>
      </c>
      <c r="AZ45" s="10">
        <f t="shared" si="119"/>
      </c>
      <c r="BA45" s="10">
        <f t="shared" si="119"/>
      </c>
      <c r="BB45" s="303">
        <f t="shared" si="119"/>
      </c>
      <c r="BC45" s="10">
        <f t="shared" si="119"/>
      </c>
      <c r="BD45" s="10">
        <f t="shared" si="119"/>
      </c>
      <c r="BE45" s="10">
        <f t="shared" si="119"/>
      </c>
      <c r="BF45" s="10">
        <f t="shared" si="119"/>
      </c>
      <c r="BG45" s="303">
        <f t="shared" si="119"/>
      </c>
      <c r="BH45" s="10">
        <f t="shared" si="119"/>
      </c>
      <c r="BI45" s="10">
        <f t="shared" si="119"/>
      </c>
      <c r="BJ45" s="10">
        <f t="shared" si="119"/>
      </c>
      <c r="BK45" s="10">
        <f t="shared" si="119"/>
      </c>
      <c r="BL45" s="303">
        <f t="shared" si="119"/>
      </c>
      <c r="BM45" s="10">
        <f t="shared" si="119"/>
      </c>
      <c r="BN45" s="10">
        <f t="shared" si="119"/>
      </c>
      <c r="BO45" s="10">
        <f t="shared" si="119"/>
      </c>
      <c r="BP45" s="10">
        <f t="shared" ref="BP45:CZ45" si="120">+BP1348</f>
      </c>
      <c r="BQ45" s="303">
        <f t="shared" si="120"/>
      </c>
      <c r="BR45" s="10">
        <f t="shared" si="120"/>
      </c>
      <c r="BS45" s="10">
        <f t="shared" si="120"/>
      </c>
      <c r="BT45" s="10">
        <f t="shared" si="120"/>
      </c>
      <c r="BU45" s="10">
        <f t="shared" si="120"/>
      </c>
      <c r="BV45" s="303">
        <f t="shared" si="120"/>
      </c>
      <c r="BW45" s="10">
        <f t="shared" si="120"/>
      </c>
      <c r="BX45" s="10">
        <f t="shared" si="120"/>
      </c>
      <c r="BY45" s="10">
        <f t="shared" si="120"/>
      </c>
      <c r="BZ45" s="10">
        <f t="shared" si="120"/>
      </c>
      <c r="CA45" s="303">
        <f t="shared" si="120"/>
      </c>
      <c r="CB45" s="10">
        <f t="shared" si="120"/>
      </c>
      <c r="CC45" s="10">
        <f t="shared" si="120"/>
      </c>
      <c r="CD45" s="10">
        <f t="shared" si="120"/>
      </c>
      <c r="CE45" s="10">
        <f t="shared" si="120"/>
      </c>
      <c r="CF45" s="303">
        <f t="shared" si="120"/>
      </c>
      <c r="CG45" s="10">
        <f t="shared" si="120"/>
      </c>
      <c r="CH45" s="10">
        <f t="shared" si="120"/>
      </c>
      <c r="CI45" s="10">
        <f t="shared" si="120"/>
      </c>
      <c r="CJ45" s="10">
        <f t="shared" si="120"/>
      </c>
      <c r="CK45" s="303">
        <f t="shared" si="120"/>
      </c>
      <c r="CL45" s="948">
        <f t="shared" si="120"/>
      </c>
      <c r="CM45" s="948">
        <f t="shared" si="120"/>
      </c>
      <c r="CN45" s="948">
        <f t="shared" si="120"/>
      </c>
      <c r="CO45" s="10">
        <f t="shared" si="120"/>
      </c>
      <c r="CP45" s="303">
        <f t="shared" si="120"/>
      </c>
      <c r="CQ45" s="948">
        <f t="shared" si="120"/>
      </c>
      <c r="CR45" s="948">
        <f t="shared" si="120"/>
      </c>
      <c r="CS45" s="948">
        <f t="shared" si="120"/>
      </c>
      <c r="CT45" s="948">
        <f t="shared" si="120"/>
      </c>
      <c r="CU45" s="303">
        <f t="shared" si="120"/>
      </c>
      <c r="CV45" s="948">
        <f t="shared" si="120"/>
      </c>
      <c r="CW45" s="948">
        <f t="shared" si="120"/>
      </c>
      <c r="CX45" s="948">
        <f t="shared" si="120"/>
      </c>
      <c r="CY45" s="948">
        <f t="shared" si="120"/>
      </c>
      <c r="CZ45" s="303">
        <f t="shared" si="120"/>
      </c>
      <c r="DA45" s="933">
        <f t="shared" ref="DA45:ED45" si="121">+DA1348</f>
      </c>
      <c r="DB45" s="28">
        <f t="shared" si="121"/>
      </c>
      <c r="DC45" s="28">
        <f t="shared" si="121"/>
      </c>
      <c r="DD45" s="876">
        <f t="shared" si="121"/>
      </c>
      <c r="DE45" s="573">
        <f t="shared" si="121"/>
      </c>
      <c r="DF45" s="982">
        <f t="shared" si="121"/>
      </c>
      <c r="DG45" s="444">
        <f t="shared" si="121"/>
      </c>
      <c r="DH45" s="444">
        <f t="shared" si="121"/>
      </c>
      <c r="DI45" s="1788">
        <f t="shared" si="121"/>
      </c>
      <c r="DJ45" s="573">
        <f t="shared" si="121"/>
      </c>
      <c r="DK45" s="1284">
        <f t="shared" si="121"/>
      </c>
      <c r="DL45" s="107">
        <f t="shared" si="121"/>
      </c>
      <c r="DM45" s="107">
        <f t="shared" si="121"/>
      </c>
      <c r="DN45" s="1841">
        <f t="shared" si="121"/>
      </c>
      <c r="DO45" s="573">
        <f t="shared" si="121"/>
      </c>
      <c r="DP45" s="107">
        <f t="shared" si="121"/>
      </c>
      <c r="DQ45" s="107">
        <f t="shared" si="121"/>
      </c>
      <c r="DR45" s="107">
        <f t="shared" si="121"/>
      </c>
      <c r="DS45" s="1841">
        <f t="shared" si="121"/>
      </c>
      <c r="DT45" s="573">
        <f t="shared" si="121"/>
      </c>
      <c r="DU45" s="1284">
        <f t="shared" si="121"/>
      </c>
      <c r="DV45" s="1284">
        <f t="shared" si="121"/>
      </c>
      <c r="DW45" s="1284">
        <f t="shared" si="121"/>
      </c>
      <c r="DX45" s="1313">
        <f t="shared" si="121"/>
      </c>
      <c r="DY45" s="573">
        <f t="shared" si="121"/>
      </c>
      <c r="DZ45" s="1284">
        <f t="shared" si="121"/>
      </c>
      <c r="EA45" s="1284">
        <f t="shared" si="121"/>
      </c>
      <c r="EB45" s="1284">
        <f t="shared" si="121"/>
      </c>
      <c r="EC45" s="1313">
        <f t="shared" si="121"/>
      </c>
      <c r="ED45" s="2060">
        <f t="shared" si="121"/>
      </c>
      <c r="EE45" s="1284">
        <f t="shared" ref="EE45:EG45" si="122">+EE1348</f>
      </c>
      <c r="EF45" s="1284">
        <f t="shared" si="122"/>
      </c>
      <c r="EG45" s="1284">
        <f t="shared" si="122"/>
      </c>
      <c r="EH45" s="1313">
        <f t="shared" ref="EH45:EK45" si="123">+EH1348</f>
      </c>
      <c r="EI45" s="573">
        <f t="shared" si="123"/>
      </c>
      <c r="EJ45" s="573">
        <f t="shared" si="123"/>
      </c>
      <c r="EK45" s="573">
        <f t="shared" si="123"/>
      </c>
      <c r="EL45" s="573">
        <f t="shared" ref="EL45:EN46" si="124">+EL1348</f>
      </c>
      <c r="EM45" s="573">
        <f t="shared" si="124"/>
      </c>
      <c r="EN45" s="573">
        <f t="shared" si="124"/>
      </c>
      <c r="EO45" s="445"/>
      <c r="EP45" s="445"/>
      <c r="EQ45" s="445"/>
      <c r="ER45" s="445"/>
      <c r="ES45" s="445"/>
      <c r="ET45" s="445"/>
      <c r="EU45" s="445"/>
      <c r="EV45" s="445"/>
      <c r="EW45" s="445"/>
      <c r="EX45" s="445"/>
    </row>
    <row r="46" spans="1:154" ht="12.75" customHeight="1">
      <c r="A46" s="3275" t="str">
        <f>+A47&amp;" - OUS"</f>
      </c>
      <c r="B46" s="336" t="s">
        <v>235</v>
      </c>
      <c r="C46" s="1989"/>
      <c r="D46" s="10">
        <f t="shared" ref="D46:BO46" si="125">+D1349</f>
      </c>
      <c r="E46" s="10">
        <f t="shared" si="125"/>
      </c>
      <c r="F46" s="10">
        <f t="shared" si="125"/>
      </c>
      <c r="G46" s="10">
        <f t="shared" si="125"/>
      </c>
      <c r="H46" s="10">
        <f t="shared" si="125"/>
      </c>
      <c r="I46" s="10">
        <f t="shared" si="125"/>
      </c>
      <c r="J46" s="10">
        <f t="shared" si="125"/>
      </c>
      <c r="K46" s="10">
        <f t="shared" si="125"/>
      </c>
      <c r="L46" s="10">
        <f t="shared" si="125"/>
      </c>
      <c r="M46" s="10">
        <f t="shared" si="125"/>
      </c>
      <c r="N46" s="10">
        <f t="shared" si="125"/>
      </c>
      <c r="O46" s="10">
        <f t="shared" si="125"/>
      </c>
      <c r="P46" s="10">
        <f t="shared" si="125"/>
      </c>
      <c r="Q46" s="10">
        <f t="shared" si="125"/>
      </c>
      <c r="R46" s="10">
        <f t="shared" si="125"/>
      </c>
      <c r="S46" s="10">
        <f t="shared" si="125"/>
      </c>
      <c r="T46" s="10">
        <f t="shared" si="125"/>
      </c>
      <c r="U46" s="10">
        <f t="shared" si="125"/>
      </c>
      <c r="V46" s="10">
        <f t="shared" si="125"/>
      </c>
      <c r="W46" s="10">
        <f t="shared" si="125"/>
      </c>
      <c r="X46" s="303">
        <f t="shared" si="125"/>
      </c>
      <c r="Y46" s="10">
        <f t="shared" si="125"/>
      </c>
      <c r="Z46" s="10">
        <f t="shared" si="125"/>
      </c>
      <c r="AA46" s="10">
        <f t="shared" si="125"/>
      </c>
      <c r="AB46" s="10">
        <f t="shared" si="125"/>
      </c>
      <c r="AC46" s="303">
        <f t="shared" si="125"/>
      </c>
      <c r="AD46" s="10">
        <f t="shared" si="125"/>
      </c>
      <c r="AE46" s="10">
        <f t="shared" si="125"/>
      </c>
      <c r="AF46" s="10">
        <f t="shared" si="125"/>
      </c>
      <c r="AG46" s="10">
        <f t="shared" si="125"/>
      </c>
      <c r="AH46" s="303">
        <f t="shared" si="125"/>
      </c>
      <c r="AI46" s="10">
        <f t="shared" si="125"/>
      </c>
      <c r="AJ46" s="10">
        <f t="shared" si="125"/>
      </c>
      <c r="AK46" s="10">
        <f t="shared" si="125"/>
      </c>
      <c r="AL46" s="10">
        <f t="shared" si="125"/>
      </c>
      <c r="AM46" s="303">
        <f t="shared" si="125"/>
      </c>
      <c r="AN46" s="10">
        <f t="shared" si="125"/>
      </c>
      <c r="AO46" s="10">
        <f t="shared" si="125"/>
      </c>
      <c r="AP46" s="10">
        <f t="shared" si="125"/>
      </c>
      <c r="AQ46" s="10">
        <f t="shared" si="125"/>
      </c>
      <c r="AR46" s="303">
        <f t="shared" si="125"/>
      </c>
      <c r="AS46" s="10">
        <f t="shared" si="125"/>
      </c>
      <c r="AT46" s="10">
        <f t="shared" si="125"/>
      </c>
      <c r="AU46" s="10">
        <f t="shared" si="125"/>
      </c>
      <c r="AV46" s="10">
        <f t="shared" si="125"/>
      </c>
      <c r="AW46" s="303">
        <f t="shared" si="125"/>
      </c>
      <c r="AX46" s="10">
        <f t="shared" si="125"/>
      </c>
      <c r="AY46" s="10">
        <f t="shared" si="125"/>
      </c>
      <c r="AZ46" s="10">
        <f t="shared" si="125"/>
      </c>
      <c r="BA46" s="10">
        <f t="shared" si="125"/>
      </c>
      <c r="BB46" s="303">
        <f t="shared" si="125"/>
      </c>
      <c r="BC46" s="10">
        <f t="shared" si="125"/>
      </c>
      <c r="BD46" s="10">
        <f t="shared" si="125"/>
      </c>
      <c r="BE46" s="10">
        <f t="shared" si="125"/>
      </c>
      <c r="BF46" s="10">
        <f t="shared" si="125"/>
      </c>
      <c r="BG46" s="303">
        <f t="shared" si="125"/>
      </c>
      <c r="BH46" s="10">
        <f t="shared" si="125"/>
      </c>
      <c r="BI46" s="10">
        <f t="shared" si="125"/>
      </c>
      <c r="BJ46" s="10">
        <f t="shared" si="125"/>
      </c>
      <c r="BK46" s="10">
        <f t="shared" si="125"/>
      </c>
      <c r="BL46" s="303">
        <f t="shared" si="125"/>
      </c>
      <c r="BM46" s="10">
        <f t="shared" si="125"/>
      </c>
      <c r="BN46" s="10">
        <f t="shared" si="125"/>
      </c>
      <c r="BO46" s="10">
        <f t="shared" si="125"/>
      </c>
      <c r="BP46" s="10">
        <f t="shared" ref="BP46:CZ46" si="126">+BP1349</f>
      </c>
      <c r="BQ46" s="303">
        <f t="shared" si="126"/>
      </c>
      <c r="BR46" s="10">
        <f t="shared" si="126"/>
      </c>
      <c r="BS46" s="10">
        <f t="shared" si="126"/>
      </c>
      <c r="BT46" s="10">
        <f t="shared" si="126"/>
      </c>
      <c r="BU46" s="10">
        <f t="shared" si="126"/>
      </c>
      <c r="BV46" s="303">
        <f t="shared" si="126"/>
      </c>
      <c r="BW46" s="10">
        <f t="shared" si="126"/>
      </c>
      <c r="BX46" s="10">
        <f t="shared" si="126"/>
      </c>
      <c r="BY46" s="10">
        <f t="shared" si="126"/>
      </c>
      <c r="BZ46" s="10">
        <f t="shared" si="126"/>
      </c>
      <c r="CA46" s="303">
        <f t="shared" si="126"/>
      </c>
      <c r="CB46" s="10">
        <f t="shared" si="126"/>
      </c>
      <c r="CC46" s="10">
        <f t="shared" si="126"/>
      </c>
      <c r="CD46" s="10">
        <f t="shared" si="126"/>
      </c>
      <c r="CE46" s="10">
        <f t="shared" si="126"/>
      </c>
      <c r="CF46" s="303">
        <f t="shared" si="126"/>
      </c>
      <c r="CG46" s="10">
        <f t="shared" si="126"/>
      </c>
      <c r="CH46" s="10">
        <f t="shared" si="126"/>
      </c>
      <c r="CI46" s="10">
        <f t="shared" si="126"/>
      </c>
      <c r="CJ46" s="10">
        <f t="shared" si="126"/>
      </c>
      <c r="CK46" s="303">
        <f t="shared" si="126"/>
      </c>
      <c r="CL46" s="948">
        <f t="shared" si="126"/>
      </c>
      <c r="CM46" s="948">
        <f t="shared" si="126"/>
      </c>
      <c r="CN46" s="948">
        <f t="shared" si="126"/>
      </c>
      <c r="CO46" s="10">
        <f t="shared" si="126"/>
      </c>
      <c r="CP46" s="303">
        <f t="shared" si="126"/>
      </c>
      <c r="CQ46" s="948">
        <f t="shared" si="126"/>
      </c>
      <c r="CR46" s="948">
        <f t="shared" si="126"/>
      </c>
      <c r="CS46" s="948">
        <f t="shared" si="126"/>
      </c>
      <c r="CT46" s="948">
        <f t="shared" si="126"/>
      </c>
      <c r="CU46" s="303">
        <f t="shared" si="126"/>
      </c>
      <c r="CV46" s="948">
        <f t="shared" si="126"/>
      </c>
      <c r="CW46" s="948">
        <f t="shared" si="126"/>
      </c>
      <c r="CX46" s="948">
        <f t="shared" si="126"/>
      </c>
      <c r="CY46" s="948">
        <f t="shared" si="126"/>
      </c>
      <c r="CZ46" s="303">
        <f t="shared" si="126"/>
      </c>
      <c r="DA46" s="933">
        <f>+DA1349</f>
      </c>
      <c r="DB46" s="28">
        <f t="shared" ref="DB46:EK46" si="127">+DB1349</f>
      </c>
      <c r="DC46" s="28">
        <f t="shared" si="127"/>
      </c>
      <c r="DD46" s="876">
        <f t="shared" si="127"/>
      </c>
      <c r="DE46" s="573">
        <f t="shared" si="127"/>
      </c>
      <c r="DF46" s="982">
        <f t="shared" si="127"/>
      </c>
      <c r="DG46" s="444">
        <f t="shared" si="127"/>
      </c>
      <c r="DH46" s="444">
        <f t="shared" si="127"/>
      </c>
      <c r="DI46" s="1788">
        <f t="shared" si="127"/>
      </c>
      <c r="DJ46" s="573">
        <f t="shared" si="127"/>
      </c>
      <c r="DK46" s="1284">
        <f t="shared" si="127"/>
      </c>
      <c r="DL46" s="107">
        <f t="shared" si="127"/>
      </c>
      <c r="DM46" s="107">
        <f t="shared" si="127"/>
      </c>
      <c r="DN46" s="1841">
        <f t="shared" si="127"/>
      </c>
      <c r="DO46" s="573">
        <f t="shared" si="127"/>
      </c>
      <c r="DP46" s="107">
        <f t="shared" si="127"/>
      </c>
      <c r="DQ46" s="107">
        <f t="shared" si="127"/>
      </c>
      <c r="DR46" s="107">
        <f t="shared" si="127"/>
      </c>
      <c r="DS46" s="1841">
        <f t="shared" si="127"/>
      </c>
      <c r="DT46" s="573">
        <f t="shared" si="127"/>
      </c>
      <c r="DU46" s="1284">
        <f t="shared" si="127"/>
      </c>
      <c r="DV46" s="1284">
        <f t="shared" si="127"/>
      </c>
      <c r="DW46" s="1284">
        <f t="shared" si="127"/>
      </c>
      <c r="DX46" s="1313">
        <f t="shared" si="127"/>
      </c>
      <c r="DY46" s="573">
        <f t="shared" si="127"/>
      </c>
      <c r="DZ46" s="1284">
        <f t="shared" si="127"/>
      </c>
      <c r="EA46" s="1284">
        <f t="shared" ref="EA46:EH46" si="128">+EA1349</f>
      </c>
      <c r="EB46" s="1284">
        <f t="shared" si="128"/>
      </c>
      <c r="EC46" s="1313">
        <f t="shared" si="128"/>
      </c>
      <c r="ED46" s="2060">
        <f t="shared" si="128"/>
      </c>
      <c r="EE46" s="1284">
        <f t="shared" si="128"/>
      </c>
      <c r="EF46" s="1284">
        <f t="shared" ref="EF46:EG46" si="129">+EF1349</f>
      </c>
      <c r="EG46" s="1284">
        <f t="shared" si="129"/>
      </c>
      <c r="EH46" s="1313">
        <f t="shared" si="128"/>
      </c>
      <c r="EI46" s="573">
        <f t="shared" si="127"/>
      </c>
      <c r="EJ46" s="573">
        <f t="shared" si="127"/>
      </c>
      <c r="EK46" s="573">
        <f t="shared" si="127"/>
      </c>
      <c r="EL46" s="573">
        <f t="shared" si="124"/>
      </c>
      <c r="EM46" s="573">
        <f t="shared" si="124"/>
      </c>
      <c r="EN46" s="573">
        <f t="shared" si="124"/>
      </c>
      <c r="EO46" s="445"/>
      <c r="EP46" s="445"/>
      <c r="EQ46" s="445"/>
      <c r="ER46" s="445"/>
      <c r="ES46" s="445"/>
      <c r="ET46" s="445"/>
      <c r="EU46" s="445"/>
      <c r="EV46" s="445"/>
      <c r="EW46" s="445"/>
      <c r="EX46" s="445"/>
    </row>
    <row r="47" spans="1:154" ht="12.75" customHeight="1">
      <c r="A47" s="3275" t="s">
        <v>422</v>
      </c>
      <c r="B47" s="336" t="s">
        <v>19</v>
      </c>
      <c r="C47" s="1989"/>
      <c r="D47" s="10">
        <f t="shared" ref="D47:BO47" si="130">+D46+D45</f>
      </c>
      <c r="E47" s="10">
        <f t="shared" si="130"/>
      </c>
      <c r="F47" s="10">
        <f t="shared" si="130"/>
      </c>
      <c r="G47" s="10">
        <f t="shared" si="130"/>
      </c>
      <c r="H47" s="10">
        <f t="shared" si="130"/>
      </c>
      <c r="I47" s="10">
        <f t="shared" si="130"/>
      </c>
      <c r="J47" s="10">
        <f t="shared" si="130"/>
      </c>
      <c r="K47" s="10">
        <f t="shared" si="130"/>
      </c>
      <c r="L47" s="10">
        <f t="shared" si="130"/>
      </c>
      <c r="M47" s="10">
        <f t="shared" si="130"/>
      </c>
      <c r="N47" s="10">
        <f t="shared" si="130"/>
      </c>
      <c r="O47" s="10">
        <f t="shared" si="130"/>
      </c>
      <c r="P47" s="10">
        <f t="shared" si="130"/>
      </c>
      <c r="Q47" s="10">
        <f t="shared" si="130"/>
      </c>
      <c r="R47" s="10">
        <f t="shared" si="130"/>
      </c>
      <c r="S47" s="10">
        <f t="shared" si="130"/>
      </c>
      <c r="T47" s="10">
        <f t="shared" si="130"/>
      </c>
      <c r="U47" s="10">
        <f t="shared" si="130"/>
      </c>
      <c r="V47" s="10">
        <f t="shared" si="130"/>
      </c>
      <c r="W47" s="10">
        <f t="shared" si="130"/>
      </c>
      <c r="X47" s="303">
        <f t="shared" si="130"/>
      </c>
      <c r="Y47" s="10">
        <f t="shared" si="130"/>
      </c>
      <c r="Z47" s="10">
        <f t="shared" si="130"/>
      </c>
      <c r="AA47" s="10">
        <f t="shared" si="130"/>
      </c>
      <c r="AB47" s="10">
        <f t="shared" si="130"/>
      </c>
      <c r="AC47" s="303">
        <f t="shared" si="130"/>
      </c>
      <c r="AD47" s="10">
        <f t="shared" si="130"/>
      </c>
      <c r="AE47" s="10">
        <f t="shared" si="130"/>
      </c>
      <c r="AF47" s="10">
        <f t="shared" si="130"/>
      </c>
      <c r="AG47" s="10">
        <f t="shared" si="130"/>
      </c>
      <c r="AH47" s="303">
        <f t="shared" si="130"/>
      </c>
      <c r="AI47" s="10">
        <f t="shared" si="130"/>
      </c>
      <c r="AJ47" s="10">
        <f t="shared" si="130"/>
      </c>
      <c r="AK47" s="10">
        <f t="shared" si="130"/>
      </c>
      <c r="AL47" s="10">
        <f t="shared" si="130"/>
      </c>
      <c r="AM47" s="303">
        <f t="shared" si="130"/>
      </c>
      <c r="AN47" s="10">
        <f t="shared" si="130"/>
      </c>
      <c r="AO47" s="10">
        <f t="shared" si="130"/>
      </c>
      <c r="AP47" s="10">
        <f t="shared" si="130"/>
      </c>
      <c r="AQ47" s="10">
        <f t="shared" si="130"/>
      </c>
      <c r="AR47" s="303">
        <f t="shared" si="130"/>
      </c>
      <c r="AS47" s="10">
        <f t="shared" si="130"/>
      </c>
      <c r="AT47" s="10">
        <f t="shared" si="130"/>
      </c>
      <c r="AU47" s="10">
        <f t="shared" si="130"/>
      </c>
      <c r="AV47" s="10">
        <f t="shared" si="130"/>
      </c>
      <c r="AW47" s="303">
        <f t="shared" si="130"/>
      </c>
      <c r="AX47" s="10">
        <f t="shared" si="130"/>
      </c>
      <c r="AY47" s="10">
        <f t="shared" si="130"/>
      </c>
      <c r="AZ47" s="10">
        <f t="shared" si="130"/>
      </c>
      <c r="BA47" s="10">
        <f t="shared" si="130"/>
      </c>
      <c r="BB47" s="303">
        <f t="shared" si="130"/>
      </c>
      <c r="BC47" s="10">
        <f t="shared" si="130"/>
      </c>
      <c r="BD47" s="10">
        <f t="shared" si="130"/>
      </c>
      <c r="BE47" s="10">
        <f t="shared" si="130"/>
      </c>
      <c r="BF47" s="10">
        <f t="shared" si="130"/>
      </c>
      <c r="BG47" s="303">
        <f t="shared" si="130"/>
      </c>
      <c r="BH47" s="10">
        <f t="shared" si="130"/>
      </c>
      <c r="BI47" s="10">
        <f t="shared" si="130"/>
      </c>
      <c r="BJ47" s="10">
        <f t="shared" si="130"/>
      </c>
      <c r="BK47" s="10">
        <f t="shared" si="130"/>
      </c>
      <c r="BL47" s="303">
        <f t="shared" si="130"/>
      </c>
      <c r="BM47" s="10">
        <f t="shared" si="130"/>
      </c>
      <c r="BN47" s="10">
        <f t="shared" si="130"/>
      </c>
      <c r="BO47" s="10">
        <f t="shared" si="130"/>
      </c>
      <c r="BP47" s="10">
        <f t="shared" ref="BP47:CZ47" si="131">+BP46+BP45</f>
      </c>
      <c r="BQ47" s="303">
        <f t="shared" si="131"/>
      </c>
      <c r="BR47" s="10">
        <f t="shared" si="131"/>
      </c>
      <c r="BS47" s="10">
        <f t="shared" si="131"/>
      </c>
      <c r="BT47" s="10">
        <f t="shared" si="131"/>
      </c>
      <c r="BU47" s="10">
        <f t="shared" si="131"/>
      </c>
      <c r="BV47" s="303">
        <f t="shared" si="131"/>
      </c>
      <c r="BW47" s="10">
        <f t="shared" si="131"/>
      </c>
      <c r="BX47" s="10">
        <f t="shared" si="131"/>
      </c>
      <c r="BY47" s="10">
        <f t="shared" si="131"/>
      </c>
      <c r="BZ47" s="10">
        <f t="shared" si="131"/>
      </c>
      <c r="CA47" s="303">
        <f t="shared" si="131"/>
      </c>
      <c r="CB47" s="10">
        <f t="shared" si="131"/>
      </c>
      <c r="CC47" s="10">
        <f t="shared" si="131"/>
      </c>
      <c r="CD47" s="10">
        <f t="shared" si="131"/>
      </c>
      <c r="CE47" s="10">
        <f t="shared" si="131"/>
      </c>
      <c r="CF47" s="303">
        <f t="shared" si="131"/>
      </c>
      <c r="CG47" s="10">
        <f t="shared" si="131"/>
      </c>
      <c r="CH47" s="10">
        <f t="shared" si="131"/>
      </c>
      <c r="CI47" s="10">
        <f t="shared" si="131"/>
      </c>
      <c r="CJ47" s="10">
        <f t="shared" si="131"/>
      </c>
      <c r="CK47" s="303">
        <f t="shared" si="131"/>
      </c>
      <c r="CL47" s="948">
        <f t="shared" si="131"/>
      </c>
      <c r="CM47" s="948">
        <f t="shared" si="131"/>
      </c>
      <c r="CN47" s="948">
        <f t="shared" si="131"/>
      </c>
      <c r="CO47" s="10">
        <f t="shared" si="131"/>
      </c>
      <c r="CP47" s="303">
        <f t="shared" si="131"/>
      </c>
      <c r="CQ47" s="948">
        <f t="shared" si="131"/>
      </c>
      <c r="CR47" s="948">
        <f t="shared" si="131"/>
      </c>
      <c r="CS47" s="948">
        <f t="shared" si="131"/>
      </c>
      <c r="CT47" s="948">
        <f t="shared" si="131"/>
      </c>
      <c r="CU47" s="303">
        <f t="shared" si="131"/>
      </c>
      <c r="CV47" s="948">
        <f t="shared" si="131"/>
      </c>
      <c r="CW47" s="948">
        <f t="shared" si="131"/>
      </c>
      <c r="CX47" s="948">
        <f t="shared" si="131"/>
      </c>
      <c r="CY47" s="948">
        <f t="shared" si="131"/>
      </c>
      <c r="CZ47" s="303">
        <f t="shared" si="131"/>
      </c>
      <c r="DA47" s="933">
        <f t="shared" ref="DA47:EI47" si="132">+DA46+DA45</f>
      </c>
      <c r="DB47" s="28">
        <f t="shared" si="132"/>
      </c>
      <c r="DC47" s="28">
        <f t="shared" si="132"/>
      </c>
      <c r="DD47" s="876">
        <f t="shared" si="132"/>
      </c>
      <c r="DE47" s="573">
        <f t="shared" si="132"/>
      </c>
      <c r="DF47" s="982">
        <f t="shared" si="132"/>
      </c>
      <c r="DG47" s="444">
        <f t="shared" si="132"/>
      </c>
      <c r="DH47" s="444">
        <f t="shared" si="132"/>
      </c>
      <c r="DI47" s="1788">
        <f t="shared" si="132"/>
      </c>
      <c r="DJ47" s="573">
        <f t="shared" si="132"/>
      </c>
      <c r="DK47" s="1284">
        <f t="shared" si="132"/>
      </c>
      <c r="DL47" s="107">
        <f t="shared" si="132"/>
      </c>
      <c r="DM47" s="107">
        <f t="shared" si="132"/>
      </c>
      <c r="DN47" s="1841">
        <f t="shared" si="132"/>
      </c>
      <c r="DO47" s="573">
        <f t="shared" si="132"/>
      </c>
      <c r="DP47" s="107">
        <f t="shared" si="132"/>
      </c>
      <c r="DQ47" s="107">
        <f t="shared" si="132"/>
      </c>
      <c r="DR47" s="107">
        <f t="shared" si="132"/>
      </c>
      <c r="DS47" s="1841">
        <f t="shared" si="132"/>
      </c>
      <c r="DT47" s="573">
        <f t="shared" si="132"/>
      </c>
      <c r="DU47" s="1284">
        <f t="shared" si="132"/>
      </c>
      <c r="DV47" s="1284">
        <f t="shared" si="132"/>
      </c>
      <c r="DW47" s="1284">
        <f t="shared" si="132"/>
      </c>
      <c r="DX47" s="1313">
        <f t="shared" si="132"/>
      </c>
      <c r="DY47" s="573">
        <f t="shared" si="132"/>
      </c>
      <c r="DZ47" s="1284">
        <f t="shared" si="132"/>
      </c>
      <c r="EA47" s="1284">
        <f>+EA46+EA45</f>
      </c>
      <c r="EB47" s="1284">
        <f>+EB46+EB45</f>
      </c>
      <c r="EC47" s="1313">
        <f>+EC46+EC45</f>
      </c>
      <c r="ED47" s="2060">
        <f t="shared" ref="ED47:EE47" si="133">+ED46+ED45</f>
      </c>
      <c r="EE47" s="1284">
        <f t="shared" si="133"/>
      </c>
      <c r="EF47" s="1284">
        <f>+EF46+EF45</f>
      </c>
      <c r="EG47" s="1284">
        <f>+EG46+EG45</f>
      </c>
      <c r="EH47" s="1313">
        <f>+EH46+EH45</f>
      </c>
      <c r="EI47" s="573">
        <f t="shared" si="132"/>
      </c>
      <c r="EJ47" s="573">
        <f>+EJ46+EJ45</f>
      </c>
      <c r="EK47" s="573">
        <f>+EK46+EK45</f>
      </c>
      <c r="EL47" s="573">
        <f>+EL46+EL45</f>
      </c>
      <c r="EM47" s="573">
        <f>+EM46+EM45</f>
      </c>
      <c r="EN47" s="573">
        <f>+EN46+EN45</f>
      </c>
      <c r="EO47" s="445"/>
      <c r="EP47" s="445"/>
      <c r="EQ47" s="445"/>
      <c r="ER47" s="445"/>
      <c r="ES47" s="445"/>
      <c r="ET47" s="445"/>
      <c r="EU47" s="445"/>
      <c r="EV47" s="445"/>
      <c r="EW47" s="445"/>
      <c r="EX47" s="445"/>
    </row>
    <row r="48" spans="1:154" ht="12.75" customHeight="1">
      <c r="B48" s="912"/>
      <c r="C48" s="1989"/>
      <c r="D48" s="1"/>
      <c r="E48" s="1"/>
      <c r="F48" s="1"/>
      <c r="G48" s="1"/>
      <c r="H48" s="1"/>
      <c r="I48" s="30"/>
      <c r="J48" s="30"/>
      <c r="K48" s="30"/>
      <c r="L48" s="30"/>
      <c r="M48" s="30"/>
      <c r="N48" s="30"/>
      <c r="O48" s="30"/>
      <c r="P48" s="30"/>
      <c r="Q48" s="30"/>
      <c r="R48" s="30"/>
      <c r="S48" s="30"/>
      <c r="T48" s="30"/>
      <c r="U48" s="30"/>
      <c r="V48" s="30"/>
      <c r="W48" s="30"/>
      <c r="X48" s="308"/>
      <c r="Y48" s="30"/>
      <c r="Z48" s="30"/>
      <c r="AA48" s="30"/>
      <c r="AB48" s="30"/>
      <c r="AC48" s="308"/>
      <c r="AD48" s="30"/>
      <c r="AE48" s="30"/>
      <c r="AF48" s="30"/>
      <c r="AG48" s="30"/>
      <c r="AH48" s="308"/>
      <c r="AI48" s="30"/>
      <c r="AJ48" s="30"/>
      <c r="AK48" s="30"/>
      <c r="AL48" s="30"/>
      <c r="AM48" s="308"/>
      <c r="AN48" s="30"/>
      <c r="AO48" s="30"/>
      <c r="AP48" s="30"/>
      <c r="AQ48" s="30"/>
      <c r="AR48" s="308"/>
      <c r="AS48" s="30"/>
      <c r="AT48" s="30"/>
      <c r="AU48" s="30"/>
      <c r="AV48" s="30"/>
      <c r="AW48" s="308"/>
      <c r="AX48" s="30"/>
      <c r="AY48" s="30"/>
      <c r="AZ48" s="30"/>
      <c r="BA48" s="30"/>
      <c r="BB48" s="308"/>
      <c r="BC48" s="30"/>
      <c r="BD48" s="30"/>
      <c r="BE48" s="30"/>
      <c r="BF48" s="30"/>
      <c r="BG48" s="308"/>
      <c r="BH48" s="30"/>
      <c r="BI48" s="277"/>
      <c r="BJ48" s="30"/>
      <c r="BK48" s="30"/>
      <c r="BL48" s="308"/>
      <c r="BM48" s="30"/>
      <c r="BN48" s="30"/>
      <c r="BO48" s="30"/>
      <c r="BP48" s="30"/>
      <c r="BQ48" s="308"/>
      <c r="BR48" s="30"/>
      <c r="BS48" s="30"/>
      <c r="BT48" s="30"/>
      <c r="BU48" s="30"/>
      <c r="BV48" s="308"/>
      <c r="BW48" s="30"/>
      <c r="BX48" s="30"/>
      <c r="BY48" s="30"/>
      <c r="BZ48" s="30"/>
      <c r="CA48" s="308"/>
      <c r="CB48" s="30"/>
      <c r="CC48" s="30"/>
      <c r="CD48" s="30"/>
      <c r="CE48" s="30"/>
      <c r="CF48" s="308"/>
      <c r="CG48" s="30"/>
      <c r="CH48" s="30"/>
      <c r="CI48" s="30"/>
      <c r="CJ48" s="30"/>
      <c r="CK48" s="308"/>
      <c r="CL48" s="926"/>
      <c r="CM48" s="926"/>
      <c r="CN48" s="926"/>
      <c r="CO48" s="30"/>
      <c r="CP48" s="308"/>
      <c r="CQ48" s="926"/>
      <c r="CR48" s="926"/>
      <c r="CS48" s="926"/>
      <c r="CT48" s="926"/>
      <c r="CU48" s="308"/>
      <c r="CV48" s="926"/>
      <c r="CW48" s="926"/>
      <c r="CX48" s="926"/>
      <c r="CY48" s="926"/>
      <c r="CZ48" s="308"/>
      <c r="DA48" s="926"/>
      <c r="DB48" s="30"/>
      <c r="DC48" s="30"/>
      <c r="DD48" s="1191"/>
      <c r="DE48" s="308"/>
      <c r="DF48" s="926"/>
      <c r="DG48" s="30"/>
      <c r="DH48" s="30"/>
      <c r="DI48" s="409"/>
      <c r="DJ48" s="308"/>
      <c r="DK48" s="926"/>
      <c r="DL48" s="30"/>
      <c r="DM48" s="30"/>
      <c r="DN48" s="409"/>
      <c r="DO48" s="308"/>
      <c r="DP48" s="30"/>
      <c r="DQ48" s="30"/>
      <c r="DR48" s="30"/>
      <c r="DS48" s="409"/>
      <c r="DT48" s="308"/>
      <c r="DU48" s="926"/>
      <c r="DV48" s="926"/>
      <c r="DW48" s="926"/>
      <c r="DX48" s="928"/>
      <c r="DY48" s="308"/>
      <c r="DZ48" s="926"/>
      <c r="EA48" s="926"/>
      <c r="EB48" s="926"/>
      <c r="EC48" s="928"/>
      <c r="ED48" s="1060"/>
      <c r="EE48" s="926"/>
      <c r="EF48" s="926"/>
      <c r="EG48" s="926"/>
      <c r="EH48" s="3441"/>
      <c r="EI48" s="308"/>
      <c r="EJ48" s="308"/>
      <c r="EK48" s="308"/>
      <c r="EL48" s="308"/>
      <c r="EM48" s="308"/>
      <c r="EN48" s="308"/>
      <c r="EO48" s="308"/>
      <c r="EP48" s="308"/>
      <c r="EQ48" s="308"/>
      <c r="ER48" s="308"/>
      <c r="ES48" s="308"/>
      <c r="ET48" s="308"/>
      <c r="EU48" s="308"/>
      <c r="EV48" s="308"/>
      <c r="EW48" s="308"/>
      <c r="EX48" s="308"/>
    </row>
    <row r="49" spans="1:154" ht="12.75" customHeight="1">
      <c r="B49" s="1162" t="s">
        <v>918</v>
      </c>
      <c r="C49" s="1989"/>
      <c r="D49" s="1"/>
      <c r="E49" s="1"/>
      <c r="F49" s="1"/>
      <c r="G49" s="1"/>
      <c r="H49" s="1"/>
      <c r="I49" s="24"/>
      <c r="J49" s="1"/>
      <c r="K49" s="1"/>
      <c r="L49" s="1"/>
      <c r="M49" s="1"/>
      <c r="N49" s="24"/>
      <c r="O49" s="24"/>
      <c r="P49" s="24"/>
      <c r="Q49" s="24"/>
      <c r="R49" s="24"/>
      <c r="S49" s="1"/>
      <c r="T49" s="24"/>
      <c r="U49" s="24"/>
      <c r="V49" s="24"/>
      <c r="W49" s="24"/>
      <c r="X49" s="214"/>
      <c r="Y49" s="24"/>
      <c r="Z49" s="24"/>
      <c r="AA49" s="24"/>
      <c r="AB49" s="24"/>
      <c r="AC49" s="214"/>
      <c r="AD49" s="24"/>
      <c r="AE49" s="24"/>
      <c r="AF49" s="24"/>
      <c r="AG49" s="24"/>
      <c r="AH49" s="214"/>
      <c r="AI49" s="1"/>
      <c r="AJ49" s="1"/>
      <c r="AK49" s="1"/>
      <c r="AL49" s="24"/>
      <c r="AM49" s="214"/>
      <c r="AN49" s="1"/>
      <c r="AO49" s="1"/>
      <c r="AP49" s="1"/>
      <c r="AQ49" s="24"/>
      <c r="AR49" s="214"/>
      <c r="AS49" s="1"/>
      <c r="AT49" s="1"/>
      <c r="AU49" s="1"/>
      <c r="AV49" s="24"/>
      <c r="AW49" s="214"/>
      <c r="AX49" s="1"/>
      <c r="AY49" s="1"/>
      <c r="AZ49" s="1"/>
      <c r="BA49" s="1"/>
      <c r="BB49" s="214"/>
      <c r="BC49" s="1"/>
      <c r="BD49" s="1"/>
      <c r="BE49" s="1"/>
      <c r="BF49" s="1"/>
      <c r="BG49" s="214"/>
      <c r="BH49" s="1"/>
      <c r="BI49" s="1"/>
      <c r="BJ49" s="1"/>
      <c r="BK49" s="1"/>
      <c r="BL49" s="214"/>
      <c r="BM49" s="1"/>
      <c r="BN49" s="1"/>
      <c r="BO49" s="1"/>
      <c r="BP49" s="1"/>
      <c r="BQ49" s="214"/>
      <c r="BR49" s="1"/>
      <c r="BS49" s="1"/>
      <c r="BT49" s="1"/>
      <c r="BU49" s="1"/>
      <c r="BV49" s="214"/>
      <c r="BW49" s="1"/>
      <c r="BX49" s="1"/>
      <c r="BY49" s="1"/>
      <c r="BZ49" s="1"/>
      <c r="CA49" s="214"/>
      <c r="CB49" s="1"/>
      <c r="CC49" s="1"/>
      <c r="CD49" s="1"/>
      <c r="CE49" s="1"/>
      <c r="CF49" s="214"/>
      <c r="CG49" s="1"/>
      <c r="CH49" s="1"/>
      <c r="CI49" s="1"/>
      <c r="CJ49" s="1"/>
      <c r="CK49" s="214"/>
      <c r="CL49" s="946"/>
      <c r="CM49" s="946"/>
      <c r="CN49" s="946"/>
      <c r="CO49" s="1"/>
      <c r="CP49" s="214"/>
      <c r="CQ49" s="946"/>
      <c r="CR49" s="946"/>
      <c r="CS49" s="946"/>
      <c r="CT49" s="946"/>
      <c r="CU49" s="214"/>
      <c r="CV49" s="946"/>
      <c r="CW49" s="946"/>
      <c r="CX49" s="946"/>
      <c r="CY49" s="946"/>
      <c r="CZ49" s="214"/>
      <c r="DA49" s="946"/>
      <c r="DB49" s="1"/>
      <c r="DC49" s="1"/>
      <c r="DD49" s="79"/>
      <c r="DE49" s="1628"/>
      <c r="DF49" s="1045"/>
      <c r="DG49" s="73"/>
      <c r="DH49" s="73"/>
      <c r="DI49" s="1629"/>
      <c r="DJ49" s="1628"/>
      <c r="DK49" s="1045"/>
      <c r="DL49" s="73"/>
      <c r="DM49" s="73"/>
      <c r="DN49" s="1629"/>
      <c r="DO49" s="1628"/>
      <c r="DP49" s="73"/>
      <c r="DQ49" s="73"/>
      <c r="DR49" s="73"/>
      <c r="DS49" s="1629"/>
      <c r="DT49" s="1628"/>
      <c r="DU49" s="1045"/>
      <c r="DV49" s="1045"/>
      <c r="DW49" s="1045"/>
      <c r="DX49" s="2051"/>
      <c r="DY49" s="1628"/>
      <c r="DZ49" s="1045"/>
      <c r="EA49" s="1045"/>
      <c r="EB49" s="1045"/>
      <c r="EC49" s="2051"/>
      <c r="ED49" s="2734"/>
      <c r="EE49" s="1045"/>
      <c r="EF49" s="1045"/>
      <c r="EG49" s="1045"/>
      <c r="EH49" s="2051"/>
      <c r="EI49" s="1628"/>
      <c r="EJ49" s="1628"/>
      <c r="EK49" s="1628"/>
      <c r="EL49" s="1628"/>
      <c r="EM49" s="1628"/>
      <c r="EN49" s="1628"/>
      <c r="EO49" s="1628"/>
      <c r="EP49" s="1628"/>
      <c r="EQ49" s="1628"/>
      <c r="ER49" s="1628"/>
      <c r="ES49" s="1628"/>
      <c r="ET49" s="1628"/>
      <c r="EU49" s="1628"/>
      <c r="EV49" s="1628"/>
      <c r="EW49" s="1628"/>
      <c r="EX49" s="1628"/>
    </row>
    <row r="50" spans="1:154" ht="12.75" customHeight="1">
      <c r="B50" s="912" t="s">
        <v>153</v>
      </c>
      <c r="C50" s="1989"/>
      <c r="D50" s="1"/>
      <c r="E50" s="1"/>
      <c r="F50" s="1"/>
      <c r="G50" s="1"/>
      <c r="H50" s="1"/>
      <c r="I50" s="30">
        <f t="shared" ref="I50:R51" si="134">IF(D45="NM","NM",IF(I45="NM","NM",IF(D45&lt;=0,"NM",IF(I45=0,"NM",IF(ABS(I45/D45-1)&gt;2.5,"NM",IF((ABS(I45-D45)=ABS(ABS(I45)-ABS(D45))),(I45/D45-1),"NM"))))))</f>
      </c>
      <c r="J50" s="30">
        <f t="shared" si="134"/>
      </c>
      <c r="K50" s="30">
        <f t="shared" si="134"/>
      </c>
      <c r="L50" s="30">
        <f t="shared" si="134"/>
      </c>
      <c r="M50" s="30">
        <f t="shared" si="134"/>
      </c>
      <c r="N50" s="30">
        <f t="shared" si="134"/>
      </c>
      <c r="O50" s="30">
        <f t="shared" si="134"/>
      </c>
      <c r="P50" s="30">
        <f t="shared" si="134"/>
      </c>
      <c r="Q50" s="30">
        <f t="shared" si="134"/>
      </c>
      <c r="R50" s="30">
        <f t="shared" si="134"/>
      </c>
      <c r="S50" s="30">
        <f t="shared" ref="S50:AB51" si="135">IF(N45="NM","NM",IF(S45="NM","NM",IF(N45&lt;=0,"NM",IF(S45=0,"NM",IF(ABS(S45/N45-1)&gt;2.5,"NM",IF((ABS(S45-N45)=ABS(ABS(S45)-ABS(N45))),(S45/N45-1),"NM"))))))</f>
      </c>
      <c r="T50" s="30">
        <f t="shared" si="135"/>
      </c>
      <c r="U50" s="30">
        <f t="shared" si="135"/>
      </c>
      <c r="V50" s="30">
        <f t="shared" si="135"/>
      </c>
      <c r="W50" s="30">
        <f t="shared" si="135"/>
      </c>
      <c r="X50" s="308">
        <f t="shared" si="135"/>
      </c>
      <c r="Y50" s="30">
        <f t="shared" si="135"/>
      </c>
      <c r="Z50" s="30">
        <f t="shared" si="135"/>
      </c>
      <c r="AA50" s="30">
        <f t="shared" si="135"/>
      </c>
      <c r="AB50" s="30">
        <f t="shared" si="135"/>
      </c>
      <c r="AC50" s="308">
        <f t="shared" ref="AC50:AL51" si="136">IF(X45="NM","NM",IF(AC45="NM","NM",IF(X45&lt;=0,"NM",IF(AC45=0,"NM",IF(ABS(AC45/X45-1)&gt;2.5,"NM",IF((ABS(AC45-X45)=ABS(ABS(AC45)-ABS(X45))),(AC45/X45-1),"NM"))))))</f>
      </c>
      <c r="AD50" s="30">
        <f t="shared" si="136"/>
      </c>
      <c r="AE50" s="30">
        <f t="shared" si="136"/>
      </c>
      <c r="AF50" s="30">
        <f t="shared" si="136"/>
      </c>
      <c r="AG50" s="30">
        <f t="shared" si="136"/>
      </c>
      <c r="AH50" s="308">
        <f t="shared" si="136"/>
      </c>
      <c r="AI50" s="30">
        <f t="shared" si="136"/>
      </c>
      <c r="AJ50" s="30">
        <f t="shared" si="136"/>
      </c>
      <c r="AK50" s="30">
        <f t="shared" si="136"/>
      </c>
      <c r="AL50" s="30">
        <f t="shared" si="136"/>
      </c>
      <c r="AM50" s="308">
        <f t="shared" ref="AM50:AV51" si="137">IF(AH45="NM","NM",IF(AM45="NM","NM",IF(AH45&lt;=0,"NM",IF(AM45=0,"NM",IF(ABS(AM45/AH45-1)&gt;2.5,"NM",IF((ABS(AM45-AH45)=ABS(ABS(AM45)-ABS(AH45))),(AM45/AH45-1),"NM"))))))</f>
      </c>
      <c r="AN50" s="30">
        <f t="shared" si="137"/>
      </c>
      <c r="AO50" s="30">
        <f t="shared" si="137"/>
      </c>
      <c r="AP50" s="30">
        <f t="shared" si="137"/>
      </c>
      <c r="AQ50" s="30">
        <f t="shared" si="137"/>
      </c>
      <c r="AR50" s="308">
        <f t="shared" si="137"/>
      </c>
      <c r="AS50" s="30">
        <f t="shared" si="137"/>
      </c>
      <c r="AT50" s="30">
        <f t="shared" si="137"/>
      </c>
      <c r="AU50" s="30">
        <f t="shared" si="137"/>
      </c>
      <c r="AV50" s="30">
        <f t="shared" si="137"/>
      </c>
      <c r="AW50" s="308">
        <f t="shared" ref="AW50:BF51" si="138">IF(AR45="NM","NM",IF(AW45="NM","NM",IF(AR45&lt;=0,"NM",IF(AW45=0,"NM",IF(ABS(AW45/AR45-1)&gt;2.5,"NM",IF((ABS(AW45-AR45)=ABS(ABS(AW45)-ABS(AR45))),(AW45/AR45-1),"NM"))))))</f>
      </c>
      <c r="AX50" s="30">
        <f t="shared" si="138"/>
      </c>
      <c r="AY50" s="30">
        <f t="shared" si="138"/>
      </c>
      <c r="AZ50" s="30">
        <f t="shared" si="138"/>
      </c>
      <c r="BA50" s="30">
        <f t="shared" si="138"/>
      </c>
      <c r="BB50" s="308">
        <f t="shared" si="138"/>
      </c>
      <c r="BC50" s="30">
        <f t="shared" si="138"/>
      </c>
      <c r="BD50" s="30">
        <f t="shared" si="138"/>
      </c>
      <c r="BE50" s="30">
        <f t="shared" si="138"/>
      </c>
      <c r="BF50" s="30">
        <f t="shared" si="138"/>
      </c>
      <c r="BG50" s="308">
        <f t="shared" ref="BG50:BP51" si="139">IF(BB45="NM","NM",IF(BG45="NM","NM",IF(BB45&lt;=0,"NM",IF(BG45=0,"NM",IF(ABS(BG45/BB45-1)&gt;2.5,"NM",IF((ABS(BG45-BB45)=ABS(ABS(BG45)-ABS(BB45))),(BG45/BB45-1),"NM"))))))</f>
      </c>
      <c r="BH50" s="30">
        <f t="shared" si="139"/>
      </c>
      <c r="BI50" s="30">
        <f t="shared" si="139"/>
      </c>
      <c r="BJ50" s="30">
        <f t="shared" si="139"/>
      </c>
      <c r="BK50" s="30">
        <f t="shared" si="139"/>
      </c>
      <c r="BL50" s="308">
        <f t="shared" si="139"/>
      </c>
      <c r="BM50" s="30">
        <f t="shared" si="139"/>
      </c>
      <c r="BN50" s="30">
        <f t="shared" si="139"/>
      </c>
      <c r="BO50" s="30">
        <f t="shared" si="139"/>
      </c>
      <c r="BP50" s="30">
        <f t="shared" si="139"/>
      </c>
      <c r="BQ50" s="308">
        <f t="shared" ref="BQ50:BZ51" si="140">IF(BL45="NM","NM",IF(BQ45="NM","NM",IF(BL45&lt;=0,"NM",IF(BQ45=0,"NM",IF(ABS(BQ45/BL45-1)&gt;2.5,"NM",IF((ABS(BQ45-BL45)=ABS(ABS(BQ45)-ABS(BL45))),(BQ45/BL45-1),"NM"))))))</f>
      </c>
      <c r="BR50" s="30">
        <f t="shared" si="140"/>
      </c>
      <c r="BS50" s="30">
        <f t="shared" si="140"/>
      </c>
      <c r="BT50" s="30">
        <f t="shared" si="140"/>
      </c>
      <c r="BU50" s="30">
        <f t="shared" si="140"/>
      </c>
      <c r="BV50" s="308">
        <f t="shared" si="140"/>
      </c>
      <c r="BW50" s="30">
        <f t="shared" si="140"/>
      </c>
      <c r="BX50" s="30">
        <f t="shared" si="140"/>
      </c>
      <c r="BY50" s="30">
        <f t="shared" si="140"/>
      </c>
      <c r="BZ50" s="30">
        <f t="shared" si="140"/>
      </c>
      <c r="CA50" s="308">
        <f>IF(BV45="NM","NM",IF(CA45="NM","NM",IF(BV45&lt;=0,"NM",IF(CA45=0,"NM",IF(ABS(CA45/BV45-1)&gt;2.5,"NM",IF((ABS(CA45-BV45)=ABS(ABS(CA45)-ABS(BV45))),(CA45/BV45-1),"NM"))))))</f>
      </c>
      <c r="CB50" s="30">
        <f>IF(BW45=0, "NA", CB45/BW45-1)</f>
      </c>
      <c r="CC50" s="30">
        <f>IF(BX45=0, "NA", CC45/BX45-1)</f>
      </c>
      <c r="CD50" s="30">
        <f>IF(BY45="NM","NM",IF(CD45="NM","NM",IF(BY45&lt;=0,"NM",IF(CD45=0,"NM",IF(ABS(CD45/BY45-1)&gt;2.5,"NM",IF((ABS(CD45-BY45)=ABS(ABS(CD45)-ABS(BY45))),(CD45/BY45-1),"NM"))))))</f>
      </c>
      <c r="CE50" s="30">
        <f>IF(BZ45="NM","NM",IF(CE45="NM","NM",IF(BZ45&lt;=0,"NM",IF(CE45=0,"NM",IF(ABS(CE45/BZ45-1)&gt;2.5,"NM",IF((ABS(CE45-BZ45)=ABS(ABS(CE45)-ABS(BZ45))),(CE45/BZ45-1),"NM"))))))</f>
      </c>
      <c r="CF50" s="308">
        <f t="shared" ref="CF50:CO51" si="141">IF(CA45=0, "NA", CF45/CA45-1)</f>
      </c>
      <c r="CG50" s="30">
        <f t="shared" si="141"/>
      </c>
      <c r="CH50" s="30">
        <f t="shared" si="141"/>
      </c>
      <c r="CI50" s="30">
        <f t="shared" si="141"/>
      </c>
      <c r="CJ50" s="30">
        <f t="shared" si="141"/>
      </c>
      <c r="CK50" s="308">
        <f t="shared" si="141"/>
      </c>
      <c r="CL50" s="926">
        <f t="shared" si="141"/>
      </c>
      <c r="CM50" s="926">
        <f t="shared" si="141"/>
      </c>
      <c r="CN50" s="926">
        <f t="shared" si="141"/>
      </c>
      <c r="CO50" s="30">
        <f t="shared" si="141"/>
      </c>
      <c r="CP50" s="308">
        <f t="shared" ref="CP50:CX51" si="142">IF(CK45=0, "NA", CP45/CK45-1)</f>
      </c>
      <c r="CQ50" s="926">
        <f t="shared" si="142"/>
      </c>
      <c r="CR50" s="926">
        <f t="shared" si="142"/>
      </c>
      <c r="CS50" s="926">
        <f t="shared" si="142"/>
      </c>
      <c r="CT50" s="926">
        <f t="shared" si="142"/>
      </c>
      <c r="CU50" s="308">
        <f t="shared" si="142"/>
      </c>
      <c r="CV50" s="926">
        <f t="shared" si="142"/>
      </c>
      <c r="CW50" s="926">
        <f t="shared" si="142"/>
      </c>
      <c r="CX50" s="926">
        <f t="shared" si="142"/>
      </c>
      <c r="CY50" s="926">
        <f t="shared" ref="CY50:DH51" si="143">IF(CT45=0, "NA", CY45/CT45-1)</f>
      </c>
      <c r="CZ50" s="308">
        <f t="shared" si="143"/>
      </c>
      <c r="DA50" s="926">
        <f t="shared" si="143"/>
      </c>
      <c r="DB50" s="30">
        <f t="shared" si="143"/>
      </c>
      <c r="DC50" s="30">
        <f t="shared" si="143"/>
      </c>
      <c r="DD50" s="409">
        <f t="shared" si="143"/>
      </c>
      <c r="DE50" s="308">
        <f t="shared" si="143"/>
      </c>
      <c r="DF50" s="926">
        <f t="shared" si="143"/>
      </c>
      <c r="DG50" s="30">
        <f t="shared" si="143"/>
      </c>
      <c r="DH50" s="30">
        <f t="shared" si="143"/>
      </c>
      <c r="DI50" s="409">
        <f t="shared" ref="DI50:DR51" si="144">IF(DD45=0, "NA", DI45/DD45-1)</f>
      </c>
      <c r="DJ50" s="308">
        <f t="shared" si="144"/>
      </c>
      <c r="DK50" s="926">
        <f t="shared" si="144"/>
      </c>
      <c r="DL50" s="30">
        <f t="shared" si="144"/>
      </c>
      <c r="DM50" s="30">
        <f t="shared" si="144"/>
      </c>
      <c r="DN50" s="409">
        <f t="shared" si="144"/>
      </c>
      <c r="DO50" s="308">
        <f t="shared" si="144"/>
      </c>
      <c r="DP50" s="30">
        <f t="shared" si="144"/>
      </c>
      <c r="DQ50" s="30">
        <f t="shared" si="144"/>
      </c>
      <c r="DR50" s="30">
        <f t="shared" si="144"/>
      </c>
      <c r="DS50" s="409">
        <f t="shared" ref="DS50:DX51" si="145">IF(DN45=0, "NA", DS45/DN45-1)</f>
      </c>
      <c r="DT50" s="308">
        <f t="shared" si="145"/>
      </c>
      <c r="DU50" s="926">
        <f t="shared" si="145"/>
      </c>
      <c r="DV50" s="926">
        <f t="shared" si="145"/>
      </c>
      <c r="DW50" s="926">
        <f t="shared" si="145"/>
      </c>
      <c r="DX50" s="928">
        <f t="shared" si="145"/>
      </c>
      <c r="DY50" s="308">
        <f t="shared" ref="DY50:EH51" si="146">IF(DT45=0, "NA", DY45/DT45-1)</f>
      </c>
      <c r="DZ50" s="926">
        <f t="shared" si="146"/>
      </c>
      <c r="EA50" s="926">
        <f t="shared" si="146"/>
      </c>
      <c r="EB50" s="926">
        <f t="shared" si="146"/>
      </c>
      <c r="EC50" s="928">
        <f t="shared" si="146"/>
      </c>
      <c r="ED50" s="1060">
        <f t="shared" si="146"/>
      </c>
      <c r="EE50" s="926">
        <f t="shared" si="146"/>
      </c>
      <c r="EF50" s="926">
        <f t="shared" si="146"/>
      </c>
      <c r="EG50" s="926">
        <f t="shared" si="146"/>
      </c>
      <c r="EH50" s="928">
        <f t="shared" si="146"/>
      </c>
      <c r="EI50" s="308">
        <f>IF(ED45=0, "NA", EI45/ED45-1)</f>
      </c>
      <c r="EJ50" s="308">
        <f t="shared" ref="EJ50:EN51" si="147">IF(EI45=0, "NA", EJ45/EI45-1)</f>
      </c>
      <c r="EK50" s="308">
        <f t="shared" si="147"/>
      </c>
      <c r="EL50" s="308">
        <f t="shared" si="147"/>
      </c>
      <c r="EM50" s="308">
        <f t="shared" si="147"/>
      </c>
      <c r="EN50" s="308">
        <f t="shared" si="147"/>
      </c>
      <c r="EO50" s="308"/>
      <c r="EP50" s="308"/>
      <c r="EQ50" s="308"/>
      <c r="ER50" s="308"/>
      <c r="ES50" s="308"/>
      <c r="ET50" s="308"/>
      <c r="EU50" s="308"/>
      <c r="EV50" s="308"/>
      <c r="EW50" s="308"/>
      <c r="EX50" s="308"/>
    </row>
    <row r="51" spans="1:154" ht="12.75" customHeight="1">
      <c r="B51" s="339" t="s">
        <v>235</v>
      </c>
      <c r="C51" s="1989"/>
      <c r="D51" s="1"/>
      <c r="E51" s="1"/>
      <c r="F51" s="1"/>
      <c r="G51" s="1"/>
      <c r="H51" s="1"/>
      <c r="I51" s="30">
        <f t="shared" si="134"/>
      </c>
      <c r="J51" s="30">
        <f t="shared" si="134"/>
      </c>
      <c r="K51" s="30">
        <f t="shared" si="134"/>
      </c>
      <c r="L51" s="30">
        <f t="shared" si="134"/>
      </c>
      <c r="M51" s="30">
        <f t="shared" si="134"/>
      </c>
      <c r="N51" s="30">
        <f t="shared" si="134"/>
      </c>
      <c r="O51" s="30">
        <f t="shared" si="134"/>
      </c>
      <c r="P51" s="30">
        <f t="shared" si="134"/>
      </c>
      <c r="Q51" s="30">
        <f t="shared" si="134"/>
      </c>
      <c r="R51" s="30">
        <f t="shared" si="134"/>
      </c>
      <c r="S51" s="30">
        <f t="shared" si="135"/>
      </c>
      <c r="T51" s="30">
        <f t="shared" si="135"/>
      </c>
      <c r="U51" s="30">
        <f t="shared" si="135"/>
      </c>
      <c r="V51" s="30">
        <f t="shared" si="135"/>
      </c>
      <c r="W51" s="30">
        <f t="shared" si="135"/>
      </c>
      <c r="X51" s="308">
        <f t="shared" si="135"/>
      </c>
      <c r="Y51" s="30">
        <f t="shared" si="135"/>
      </c>
      <c r="Z51" s="30">
        <f t="shared" si="135"/>
      </c>
      <c r="AA51" s="30">
        <f t="shared" si="135"/>
      </c>
      <c r="AB51" s="30">
        <f t="shared" si="135"/>
      </c>
      <c r="AC51" s="308">
        <f t="shared" si="136"/>
      </c>
      <c r="AD51" s="30">
        <f t="shared" si="136"/>
      </c>
      <c r="AE51" s="30">
        <f t="shared" si="136"/>
      </c>
      <c r="AF51" s="30">
        <f t="shared" si="136"/>
      </c>
      <c r="AG51" s="30">
        <f t="shared" si="136"/>
      </c>
      <c r="AH51" s="308">
        <f t="shared" si="136"/>
      </c>
      <c r="AI51" s="30">
        <f t="shared" si="136"/>
      </c>
      <c r="AJ51" s="30">
        <f t="shared" si="136"/>
      </c>
      <c r="AK51" s="30">
        <f t="shared" si="136"/>
      </c>
      <c r="AL51" s="30">
        <f t="shared" si="136"/>
      </c>
      <c r="AM51" s="308">
        <f t="shared" si="137"/>
      </c>
      <c r="AN51" s="30">
        <f t="shared" si="137"/>
      </c>
      <c r="AO51" s="30">
        <f t="shared" si="137"/>
      </c>
      <c r="AP51" s="30">
        <f t="shared" si="137"/>
      </c>
      <c r="AQ51" s="30">
        <f t="shared" si="137"/>
      </c>
      <c r="AR51" s="308">
        <f t="shared" si="137"/>
      </c>
      <c r="AS51" s="30">
        <f t="shared" si="137"/>
      </c>
      <c r="AT51" s="30">
        <f t="shared" si="137"/>
      </c>
      <c r="AU51" s="30">
        <f t="shared" si="137"/>
      </c>
      <c r="AV51" s="30">
        <f t="shared" si="137"/>
      </c>
      <c r="AW51" s="308">
        <f t="shared" si="138"/>
      </c>
      <c r="AX51" s="30">
        <f t="shared" si="138"/>
      </c>
      <c r="AY51" s="30">
        <f t="shared" si="138"/>
      </c>
      <c r="AZ51" s="30">
        <f t="shared" si="138"/>
      </c>
      <c r="BA51" s="30">
        <f t="shared" si="138"/>
      </c>
      <c r="BB51" s="308">
        <f t="shared" si="138"/>
      </c>
      <c r="BC51" s="30">
        <f t="shared" si="138"/>
      </c>
      <c r="BD51" s="30">
        <f t="shared" si="138"/>
      </c>
      <c r="BE51" s="30">
        <f t="shared" si="138"/>
      </c>
      <c r="BF51" s="30">
        <f t="shared" si="138"/>
      </c>
      <c r="BG51" s="308">
        <f t="shared" si="139"/>
      </c>
      <c r="BH51" s="30">
        <f t="shared" si="139"/>
      </c>
      <c r="BI51" s="30">
        <f t="shared" si="139"/>
      </c>
      <c r="BJ51" s="30">
        <f t="shared" si="139"/>
      </c>
      <c r="BK51" s="30">
        <f t="shared" si="139"/>
      </c>
      <c r="BL51" s="308">
        <f t="shared" si="139"/>
      </c>
      <c r="BM51" s="30">
        <f t="shared" si="139"/>
      </c>
      <c r="BN51" s="30">
        <f t="shared" si="139"/>
      </c>
      <c r="BO51" s="30">
        <f t="shared" si="139"/>
      </c>
      <c r="BP51" s="30">
        <f t="shared" si="139"/>
      </c>
      <c r="BQ51" s="308">
        <f t="shared" si="140"/>
      </c>
      <c r="BR51" s="30">
        <f t="shared" si="140"/>
      </c>
      <c r="BS51" s="30">
        <f t="shared" si="140"/>
      </c>
      <c r="BT51" s="30">
        <f t="shared" si="140"/>
      </c>
      <c r="BU51" s="30">
        <f t="shared" si="140"/>
      </c>
      <c r="BV51" s="308">
        <f t="shared" si="140"/>
      </c>
      <c r="BW51" s="30">
        <f t="shared" si="140"/>
      </c>
      <c r="BX51" s="30">
        <f t="shared" si="140"/>
      </c>
      <c r="BY51" s="30">
        <f t="shared" si="140"/>
      </c>
      <c r="BZ51" s="30">
        <f t="shared" si="140"/>
      </c>
      <c r="CA51" s="308">
        <f>IF(BV46="NM","NM",IF(CA46="NM","NM",IF(BV46&lt;=0,"NM",IF(CA46=0,"NM",IF(ABS(CA46/BV46-1)&gt;2.5,"NM",IF((ABS(CA46-BV46)=ABS(ABS(CA46)-ABS(BV46))),(CA46/BV46-1),"NM"))))))</f>
      </c>
      <c r="CB51" s="30">
        <f>IF(BW46=0, "NA", CB46/BW46-1)</f>
      </c>
      <c r="CC51" s="30">
        <f>IF(BX46=0, "NA", CC46/BX46-1)</f>
      </c>
      <c r="CD51" s="30">
        <f>IF(BY46="NM","NM",IF(CD46="NM","NM",IF(BY46&lt;=0,"NM",IF(CD46=0,"NM",IF(ABS(CD46/BY46-1)&gt;2.5,"NM",IF((ABS(CD46-BY46)=ABS(ABS(CD46)-ABS(BY46))),(CD46/BY46-1),"NM"))))))</f>
      </c>
      <c r="CE51" s="30">
        <f>IF(BZ46="NM","NM",IF(CE46="NM","NM",IF(BZ46&lt;=0,"NM",IF(CE46=0,"NM",IF(ABS(CE46/BZ46-1)&gt;2.5,"NM",IF((ABS(CE46-BZ46)=ABS(ABS(CE46)-ABS(BZ46))),(CE46/BZ46-1),"NM"))))))</f>
      </c>
      <c r="CF51" s="308">
        <f t="shared" si="141"/>
      </c>
      <c r="CG51" s="30">
        <f t="shared" si="141"/>
      </c>
      <c r="CH51" s="30">
        <f t="shared" si="141"/>
      </c>
      <c r="CI51" s="30">
        <f t="shared" si="141"/>
      </c>
      <c r="CJ51" s="30">
        <f t="shared" si="141"/>
      </c>
      <c r="CK51" s="308">
        <f t="shared" si="141"/>
      </c>
      <c r="CL51" s="926">
        <f t="shared" si="141"/>
      </c>
      <c r="CM51" s="926">
        <f t="shared" si="141"/>
      </c>
      <c r="CN51" s="926">
        <f t="shared" si="141"/>
      </c>
      <c r="CO51" s="30">
        <f t="shared" si="141"/>
      </c>
      <c r="CP51" s="308">
        <f t="shared" si="142"/>
      </c>
      <c r="CQ51" s="926">
        <f t="shared" si="142"/>
      </c>
      <c r="CR51" s="926">
        <f t="shared" si="142"/>
      </c>
      <c r="CS51" s="926">
        <f t="shared" si="142"/>
      </c>
      <c r="CT51" s="926">
        <f t="shared" si="142"/>
      </c>
      <c r="CU51" s="308">
        <f t="shared" si="142"/>
      </c>
      <c r="CV51" s="926">
        <f t="shared" si="142"/>
      </c>
      <c r="CW51" s="926">
        <f t="shared" si="142"/>
      </c>
      <c r="CX51" s="926">
        <f t="shared" si="142"/>
      </c>
      <c r="CY51" s="926">
        <f t="shared" si="143"/>
      </c>
      <c r="CZ51" s="308">
        <f t="shared" si="143"/>
      </c>
      <c r="DA51" s="926">
        <f t="shared" si="143"/>
      </c>
      <c r="DB51" s="30">
        <f t="shared" si="143"/>
      </c>
      <c r="DC51" s="30">
        <f t="shared" si="143"/>
      </c>
      <c r="DD51" s="409">
        <f t="shared" si="143"/>
      </c>
      <c r="DE51" s="308">
        <f t="shared" si="143"/>
      </c>
      <c r="DF51" s="926">
        <f t="shared" si="143"/>
      </c>
      <c r="DG51" s="30">
        <f t="shared" si="143"/>
      </c>
      <c r="DH51" s="30">
        <f t="shared" si="143"/>
      </c>
      <c r="DI51" s="409">
        <f t="shared" si="144"/>
      </c>
      <c r="DJ51" s="308">
        <f t="shared" si="144"/>
      </c>
      <c r="DK51" s="926">
        <f t="shared" si="144"/>
      </c>
      <c r="DL51" s="30">
        <f t="shared" si="144"/>
      </c>
      <c r="DM51" s="30">
        <f t="shared" si="144"/>
      </c>
      <c r="DN51" s="409">
        <f t="shared" si="144"/>
      </c>
      <c r="DO51" s="308">
        <f t="shared" si="144"/>
      </c>
      <c r="DP51" s="30">
        <f t="shared" si="144"/>
      </c>
      <c r="DQ51" s="30">
        <f t="shared" si="144"/>
      </c>
      <c r="DR51" s="30">
        <f t="shared" si="144"/>
      </c>
      <c r="DS51" s="409">
        <f t="shared" si="145"/>
      </c>
      <c r="DT51" s="308">
        <f t="shared" si="145"/>
      </c>
      <c r="DU51" s="926">
        <f t="shared" si="145"/>
      </c>
      <c r="DV51" s="926">
        <f t="shared" si="145"/>
      </c>
      <c r="DW51" s="926">
        <f t="shared" si="145"/>
      </c>
      <c r="DX51" s="928">
        <f t="shared" si="145"/>
      </c>
      <c r="DY51" s="308">
        <f t="shared" si="146"/>
      </c>
      <c r="DZ51" s="926">
        <f t="shared" si="146"/>
      </c>
      <c r="EA51" s="926">
        <f t="shared" si="146"/>
      </c>
      <c r="EB51" s="926">
        <f t="shared" si="146"/>
      </c>
      <c r="EC51" s="928">
        <f t="shared" si="146"/>
      </c>
      <c r="ED51" s="1060">
        <f t="shared" si="146"/>
      </c>
      <c r="EE51" s="926">
        <f t="shared" si="146"/>
      </c>
      <c r="EF51" s="926">
        <f t="shared" si="146"/>
      </c>
      <c r="EG51" s="926">
        <f t="shared" si="146"/>
      </c>
      <c r="EH51" s="928">
        <f t="shared" si="146"/>
      </c>
      <c r="EI51" s="308">
        <f>IF(ED46=0, "NA", EI46/ED46-1)</f>
      </c>
      <c r="EJ51" s="308">
        <f t="shared" si="147"/>
      </c>
      <c r="EK51" s="308">
        <f t="shared" si="147"/>
      </c>
      <c r="EL51" s="308">
        <f t="shared" si="147"/>
      </c>
      <c r="EM51" s="308">
        <f t="shared" si="147"/>
      </c>
      <c r="EN51" s="308">
        <f t="shared" si="147"/>
      </c>
      <c r="EO51" s="308"/>
      <c r="EP51" s="308"/>
      <c r="EQ51" s="308"/>
      <c r="ER51" s="308"/>
      <c r="ES51" s="308"/>
      <c r="ET51" s="308"/>
      <c r="EU51" s="308"/>
      <c r="EV51" s="308"/>
      <c r="EW51" s="308"/>
      <c r="EX51" s="308"/>
    </row>
    <row r="52" spans="1:154" ht="12.75" customHeight="1">
      <c r="B52" s="339" t="s">
        <v>157</v>
      </c>
      <c r="C52" s="1989"/>
      <c r="D52" s="1"/>
      <c r="E52" s="1"/>
      <c r="F52" s="1"/>
      <c r="G52" s="1"/>
      <c r="H52" s="1"/>
      <c r="I52" s="1"/>
      <c r="J52" s="1"/>
      <c r="K52" s="1"/>
      <c r="L52" s="1"/>
      <c r="M52" s="1"/>
      <c r="N52" s="24"/>
      <c r="O52" s="24"/>
      <c r="P52" s="24"/>
      <c r="Q52" s="24"/>
      <c r="R52" s="24"/>
      <c r="S52" s="1"/>
      <c r="T52" s="24"/>
      <c r="U52" s="24"/>
      <c r="V52" s="24"/>
      <c r="W52" s="24"/>
      <c r="X52" s="309"/>
      <c r="Y52" s="24"/>
      <c r="Z52" s="24"/>
      <c r="AA52" s="24"/>
      <c r="AB52" s="24"/>
      <c r="AC52" s="309"/>
      <c r="AD52" s="24"/>
      <c r="AE52" s="24"/>
      <c r="AF52" s="24"/>
      <c r="AG52" s="24"/>
      <c r="AH52" s="309"/>
      <c r="AI52" s="30">
        <f t="shared" ref="AI52:CA52" si="148">IF(ISNUMBER(AI51),(1+AI51)/(1+AI$21)-1,"NM")</f>
      </c>
      <c r="AJ52" s="30">
        <f t="shared" si="148"/>
      </c>
      <c r="AK52" s="30">
        <f t="shared" si="148"/>
      </c>
      <c r="AL52" s="30">
        <f t="shared" si="148"/>
      </c>
      <c r="AM52" s="308">
        <f t="shared" si="148"/>
      </c>
      <c r="AN52" s="30">
        <f t="shared" si="148"/>
      </c>
      <c r="AO52" s="30">
        <f t="shared" si="148"/>
      </c>
      <c r="AP52" s="30">
        <f t="shared" si="148"/>
      </c>
      <c r="AQ52" s="30">
        <f t="shared" si="148"/>
      </c>
      <c r="AR52" s="308">
        <f t="shared" si="148"/>
      </c>
      <c r="AS52" s="30">
        <f t="shared" si="148"/>
      </c>
      <c r="AT52" s="30">
        <f t="shared" si="148"/>
      </c>
      <c r="AU52" s="30">
        <f t="shared" si="148"/>
      </c>
      <c r="AV52" s="30">
        <f t="shared" si="148"/>
      </c>
      <c r="AW52" s="308">
        <f t="shared" si="148"/>
      </c>
      <c r="AX52" s="30">
        <f t="shared" si="148"/>
      </c>
      <c r="AY52" s="30">
        <f t="shared" si="148"/>
      </c>
      <c r="AZ52" s="30">
        <f t="shared" si="148"/>
      </c>
      <c r="BA52" s="30">
        <f t="shared" si="148"/>
      </c>
      <c r="BB52" s="308">
        <f t="shared" si="148"/>
      </c>
      <c r="BC52" s="30">
        <f t="shared" si="148"/>
      </c>
      <c r="BD52" s="30">
        <f t="shared" si="148"/>
      </c>
      <c r="BE52" s="30">
        <f t="shared" si="148"/>
      </c>
      <c r="BF52" s="30">
        <f t="shared" si="148"/>
      </c>
      <c r="BG52" s="308">
        <f t="shared" si="148"/>
      </c>
      <c r="BH52" s="30">
        <f t="shared" si="148"/>
      </c>
      <c r="BI52" s="30">
        <f t="shared" si="148"/>
      </c>
      <c r="BJ52" s="30">
        <f t="shared" si="148"/>
      </c>
      <c r="BK52" s="30">
        <f t="shared" si="148"/>
      </c>
      <c r="BL52" s="308">
        <f t="shared" si="148"/>
      </c>
      <c r="BM52" s="30">
        <f t="shared" si="148"/>
      </c>
      <c r="BN52" s="30">
        <f t="shared" si="148"/>
      </c>
      <c r="BO52" s="30">
        <f t="shared" si="148"/>
      </c>
      <c r="BP52" s="30">
        <f t="shared" si="148"/>
      </c>
      <c r="BQ52" s="308">
        <f t="shared" si="148"/>
      </c>
      <c r="BR52" s="30">
        <f t="shared" si="148"/>
      </c>
      <c r="BS52" s="30">
        <f t="shared" si="148"/>
      </c>
      <c r="BT52" s="30">
        <f t="shared" si="148"/>
      </c>
      <c r="BU52" s="30">
        <f t="shared" si="148"/>
      </c>
      <c r="BV52" s="308">
        <f t="shared" si="148"/>
      </c>
      <c r="BW52" s="30">
        <f t="shared" si="148"/>
      </c>
      <c r="BX52" s="30">
        <f t="shared" si="148"/>
      </c>
      <c r="BY52" s="30">
        <f t="shared" si="148"/>
      </c>
      <c r="BZ52" s="30">
        <f t="shared" si="148"/>
      </c>
      <c r="CA52" s="308">
        <f t="shared" si="148"/>
      </c>
      <c r="CB52" s="30">
        <f>CB51-CB$21</f>
      </c>
      <c r="CC52" s="30">
        <f>CC51-CC$21</f>
      </c>
      <c r="CD52" s="30">
        <f>IF(ISNUMBER(CD51),(1+CD51)/(1+CD$21)-1,"NM")</f>
      </c>
      <c r="CE52" s="30">
        <f>IF(ISNUMBER(CE51),(1+CE51)/(1+CE$21)-1,"NM")</f>
      </c>
      <c r="CF52" s="308">
        <f t="shared" ref="CF52:EI52" si="149">CF51-CF$21</f>
      </c>
      <c r="CG52" s="30">
        <f t="shared" si="149"/>
      </c>
      <c r="CH52" s="30">
        <f t="shared" si="149"/>
      </c>
      <c r="CI52" s="30">
        <f t="shared" si="149"/>
      </c>
      <c r="CJ52" s="30">
        <f t="shared" si="149"/>
      </c>
      <c r="CK52" s="308">
        <f t="shared" si="149"/>
      </c>
      <c r="CL52" s="926">
        <f t="shared" si="149"/>
      </c>
      <c r="CM52" s="926">
        <f t="shared" si="149"/>
      </c>
      <c r="CN52" s="926">
        <f t="shared" si="149"/>
      </c>
      <c r="CO52" s="30">
        <f t="shared" si="149"/>
      </c>
      <c r="CP52" s="308">
        <f t="shared" si="149"/>
      </c>
      <c r="CQ52" s="926">
        <f t="shared" si="149"/>
      </c>
      <c r="CR52" s="926">
        <f t="shared" si="149"/>
      </c>
      <c r="CS52" s="926">
        <f t="shared" si="149"/>
      </c>
      <c r="CT52" s="926">
        <f t="shared" si="149"/>
      </c>
      <c r="CU52" s="308">
        <f t="shared" si="149"/>
      </c>
      <c r="CV52" s="926">
        <f>CV51-CV$21</f>
      </c>
      <c r="CW52" s="926">
        <f t="shared" si="149"/>
      </c>
      <c r="CX52" s="926">
        <f>CX51-CX$21</f>
      </c>
      <c r="CY52" s="926">
        <f>CY51-CY$21</f>
      </c>
      <c r="CZ52" s="308">
        <f>CZ51-CZ$21</f>
      </c>
      <c r="DA52" s="925">
        <f t="shared" si="149"/>
      </c>
      <c r="DB52" s="41">
        <f t="shared" ref="DB52:DI52" si="150">DB51-DB$21</f>
      </c>
      <c r="DC52" s="41">
        <f t="shared" si="150"/>
      </c>
      <c r="DD52" s="837">
        <f t="shared" si="150"/>
      </c>
      <c r="DE52" s="308">
        <f t="shared" si="150"/>
      </c>
      <c r="DF52" s="926">
        <f t="shared" si="150"/>
      </c>
      <c r="DG52" s="30">
        <f t="shared" si="150"/>
      </c>
      <c r="DH52" s="30">
        <f t="shared" si="150"/>
      </c>
      <c r="DI52" s="409">
        <f t="shared" si="150"/>
      </c>
      <c r="DJ52" s="308">
        <f t="shared" si="149"/>
      </c>
      <c r="DK52" s="926">
        <f t="shared" si="149"/>
      </c>
      <c r="DL52" s="30">
        <f t="shared" si="149"/>
      </c>
      <c r="DM52" s="30">
        <f t="shared" si="149"/>
      </c>
      <c r="DN52" s="409">
        <f t="shared" si="149"/>
      </c>
      <c r="DO52" s="308">
        <f>DO51-DO$21</f>
      </c>
      <c r="DP52" s="30">
        <f>DP51-DP$21</f>
      </c>
      <c r="DQ52" s="30">
        <f>DQ51-DQ$21</f>
      </c>
      <c r="DR52" s="30">
        <f>DR51-DR$21</f>
      </c>
      <c r="DS52" s="409">
        <f>DS51-DS$21</f>
      </c>
      <c r="DT52" s="308">
        <f t="shared" si="149"/>
      </c>
      <c r="DU52" s="926">
        <f>DU51-DU$21</f>
      </c>
      <c r="DV52" s="926">
        <f>DV51-DV$21</f>
      </c>
      <c r="DW52" s="926">
        <f>DW51-DW$21</f>
      </c>
      <c r="DX52" s="928">
        <f>DX51-DX$21</f>
      </c>
      <c r="DY52" s="308">
        <f t="shared" si="149"/>
      </c>
      <c r="DZ52" s="926">
        <f>DZ51-DZ$21</f>
      </c>
      <c r="EA52" s="926">
        <f>EA51-EA$21</f>
      </c>
      <c r="EB52" s="926">
        <f>EB51-EB$21</f>
      </c>
      <c r="EC52" s="928">
        <f>EC51-EC$21</f>
      </c>
      <c r="ED52" s="1060">
        <f t="shared" ref="ED52" si="151">ED51-ED$21</f>
      </c>
      <c r="EE52" s="926">
        <f>EE51-EE$21</f>
      </c>
      <c r="EF52" s="926">
        <f>EF51-EF$21</f>
      </c>
      <c r="EG52" s="926">
        <f>EG51-EG$21</f>
      </c>
      <c r="EH52" s="928">
        <f>EH51-EH$21</f>
      </c>
      <c r="EI52" s="308">
        <f t="shared" si="149"/>
      </c>
      <c r="EJ52" s="308">
        <f>EJ51-EJ$21</f>
      </c>
      <c r="EK52" s="308">
        <f>EK51-EK$21</f>
      </c>
      <c r="EL52" s="308">
        <f>EL51-EL$21</f>
      </c>
      <c r="EM52" s="308">
        <f>EM51-EM$21</f>
      </c>
      <c r="EN52" s="308">
        <f>EN51-EN$21</f>
      </c>
      <c r="EO52" s="309"/>
      <c r="EP52" s="309"/>
      <c r="EQ52" s="309"/>
      <c r="ER52" s="309"/>
      <c r="ES52" s="309"/>
      <c r="ET52" s="309"/>
      <c r="EU52" s="309"/>
      <c r="EV52" s="309"/>
      <c r="EW52" s="309"/>
      <c r="EX52" s="309"/>
    </row>
    <row r="53" spans="1:154" ht="12.75" customHeight="1">
      <c r="B53" s="912" t="s">
        <v>19</v>
      </c>
      <c r="C53" s="1989"/>
      <c r="D53" s="1"/>
      <c r="E53" s="1"/>
      <c r="F53" s="1"/>
      <c r="G53" s="1"/>
      <c r="H53" s="1"/>
      <c r="I53" s="30">
        <f t="shared" ref="I53:AN53" si="152">IF(D47="NM","NM",IF(I47="NM","NM",IF(D47&lt;=0,"NM",IF(I47=0,"NM",IF(ABS(I47/D47-1)&gt;2.5,"NM",IF((ABS(I47-D47)=ABS(ABS(I47)-ABS(D47))),(I47/D47-1),"NM"))))))</f>
      </c>
      <c r="J53" s="30">
        <f t="shared" si="152"/>
      </c>
      <c r="K53" s="30">
        <f t="shared" si="152"/>
      </c>
      <c r="L53" s="30">
        <f t="shared" si="152"/>
      </c>
      <c r="M53" s="30">
        <f t="shared" si="152"/>
      </c>
      <c r="N53" s="30">
        <f t="shared" si="152"/>
      </c>
      <c r="O53" s="30">
        <f t="shared" si="152"/>
      </c>
      <c r="P53" s="30">
        <f t="shared" si="152"/>
      </c>
      <c r="Q53" s="30">
        <f t="shared" si="152"/>
      </c>
      <c r="R53" s="30">
        <f t="shared" si="152"/>
      </c>
      <c r="S53" s="30">
        <f t="shared" si="152"/>
      </c>
      <c r="T53" s="30">
        <f t="shared" si="152"/>
      </c>
      <c r="U53" s="30">
        <f t="shared" si="152"/>
      </c>
      <c r="V53" s="30">
        <f t="shared" si="152"/>
      </c>
      <c r="W53" s="30">
        <f t="shared" si="152"/>
      </c>
      <c r="X53" s="308">
        <f t="shared" si="152"/>
      </c>
      <c r="Y53" s="30">
        <f t="shared" si="152"/>
      </c>
      <c r="Z53" s="30">
        <f t="shared" si="152"/>
      </c>
      <c r="AA53" s="30">
        <f t="shared" si="152"/>
      </c>
      <c r="AB53" s="30">
        <f t="shared" si="152"/>
      </c>
      <c r="AC53" s="308">
        <f t="shared" si="152"/>
      </c>
      <c r="AD53" s="30">
        <f t="shared" si="152"/>
      </c>
      <c r="AE53" s="30">
        <f t="shared" si="152"/>
      </c>
      <c r="AF53" s="30">
        <f t="shared" si="152"/>
      </c>
      <c r="AG53" s="30">
        <f t="shared" si="152"/>
      </c>
      <c r="AH53" s="308">
        <f t="shared" si="152"/>
      </c>
      <c r="AI53" s="30">
        <f t="shared" si="152"/>
      </c>
      <c r="AJ53" s="30">
        <f t="shared" si="152"/>
      </c>
      <c r="AK53" s="30">
        <f t="shared" si="152"/>
      </c>
      <c r="AL53" s="30">
        <f t="shared" si="152"/>
      </c>
      <c r="AM53" s="308">
        <f t="shared" si="152"/>
      </c>
      <c r="AN53" s="30">
        <f t="shared" si="152"/>
      </c>
      <c r="AO53" s="30">
        <f t="shared" ref="AO53:BT53" si="153">IF(AJ47="NM","NM",IF(AO47="NM","NM",IF(AJ47&lt;=0,"NM",IF(AO47=0,"NM",IF(ABS(AO47/AJ47-1)&gt;2.5,"NM",IF((ABS(AO47-AJ47)=ABS(ABS(AO47)-ABS(AJ47))),(AO47/AJ47-1),"NM"))))))</f>
      </c>
      <c r="AP53" s="30">
        <f t="shared" si="153"/>
      </c>
      <c r="AQ53" s="30">
        <f t="shared" si="153"/>
      </c>
      <c r="AR53" s="308">
        <f t="shared" si="153"/>
      </c>
      <c r="AS53" s="30">
        <f t="shared" si="153"/>
      </c>
      <c r="AT53" s="30">
        <f t="shared" si="153"/>
      </c>
      <c r="AU53" s="30">
        <f t="shared" si="153"/>
      </c>
      <c r="AV53" s="30">
        <f t="shared" si="153"/>
      </c>
      <c r="AW53" s="308">
        <f t="shared" si="153"/>
      </c>
      <c r="AX53" s="30">
        <f t="shared" si="153"/>
      </c>
      <c r="AY53" s="30">
        <f t="shared" si="153"/>
      </c>
      <c r="AZ53" s="30">
        <f t="shared" si="153"/>
      </c>
      <c r="BA53" s="30">
        <f t="shared" si="153"/>
      </c>
      <c r="BB53" s="308">
        <f t="shared" si="153"/>
      </c>
      <c r="BC53" s="30">
        <f t="shared" si="153"/>
      </c>
      <c r="BD53" s="30">
        <f t="shared" si="153"/>
      </c>
      <c r="BE53" s="30">
        <f t="shared" si="153"/>
      </c>
      <c r="BF53" s="30">
        <f t="shared" si="153"/>
      </c>
      <c r="BG53" s="308">
        <f t="shared" si="153"/>
      </c>
      <c r="BH53" s="30">
        <f t="shared" si="153"/>
      </c>
      <c r="BI53" s="30">
        <f t="shared" si="153"/>
      </c>
      <c r="BJ53" s="30">
        <f t="shared" si="153"/>
      </c>
      <c r="BK53" s="30">
        <f t="shared" si="153"/>
      </c>
      <c r="BL53" s="308">
        <f t="shared" si="153"/>
      </c>
      <c r="BM53" s="30">
        <f t="shared" si="153"/>
      </c>
      <c r="BN53" s="30">
        <f t="shared" si="153"/>
      </c>
      <c r="BO53" s="30">
        <f t="shared" si="153"/>
      </c>
      <c r="BP53" s="30">
        <f t="shared" si="153"/>
      </c>
      <c r="BQ53" s="308">
        <f t="shared" si="153"/>
      </c>
      <c r="BR53" s="30">
        <f t="shared" si="153"/>
      </c>
      <c r="BS53" s="30">
        <f t="shared" si="153"/>
      </c>
      <c r="BT53" s="30">
        <f t="shared" si="153"/>
      </c>
      <c r="BU53" s="30">
        <f t="shared" ref="BU53:CA53" si="154">IF(BP47="NM","NM",IF(BU47="NM","NM",IF(BP47&lt;=0,"NM",IF(BU47=0,"NM",IF(ABS(BU47/BP47-1)&gt;2.5,"NM",IF((ABS(BU47-BP47)=ABS(ABS(BU47)-ABS(BP47))),(BU47/BP47-1),"NM"))))))</f>
      </c>
      <c r="BV53" s="308">
        <f t="shared" si="154"/>
      </c>
      <c r="BW53" s="30">
        <f t="shared" si="154"/>
      </c>
      <c r="BX53" s="30">
        <f t="shared" si="154"/>
      </c>
      <c r="BY53" s="30">
        <f t="shared" si="154"/>
      </c>
      <c r="BZ53" s="30">
        <f t="shared" si="154"/>
      </c>
      <c r="CA53" s="308">
        <f t="shared" si="154"/>
      </c>
      <c r="CB53" s="30">
        <f>IF(BW47=0, "NA", CB47/BW47-1)</f>
      </c>
      <c r="CC53" s="30">
        <f>IF(BX47=0, "NA", CC47/BX47-1)</f>
      </c>
      <c r="CD53" s="30">
        <f>IF(BY47="NM","NM",IF(CD47="NM","NM",IF(BY47&lt;=0,"NM",IF(CD47=0,"NM",IF(ABS(CD47/BY47-1)&gt;2.5,"NM",IF((ABS(CD47-BY47)=ABS(ABS(CD47)-ABS(BY47))),(CD47/BY47-1),"NM"))))))</f>
      </c>
      <c r="CE53" s="30">
        <f>IF(BZ47="NM","NM",IF(CE47="NM","NM",IF(BZ47&lt;=0,"NM",IF(CE47=0,"NM",IF(ABS(CE47/BZ47-1)&gt;2.5,"NM",IF((ABS(CE47-BZ47)=ABS(ABS(CE47)-ABS(BZ47))),(CE47/BZ47-1),"NM"))))))</f>
      </c>
      <c r="CF53" s="308">
        <f t="shared" ref="CF53:CX53" si="155">IF(CA47=0, "NA", CF47/CA47-1)</f>
      </c>
      <c r="CG53" s="30">
        <f t="shared" si="155"/>
      </c>
      <c r="CH53" s="30">
        <f t="shared" si="155"/>
      </c>
      <c r="CI53" s="30">
        <f t="shared" si="155"/>
      </c>
      <c r="CJ53" s="30">
        <f t="shared" si="155"/>
      </c>
      <c r="CK53" s="308">
        <f t="shared" si="155"/>
      </c>
      <c r="CL53" s="926">
        <f t="shared" si="155"/>
      </c>
      <c r="CM53" s="926">
        <f t="shared" si="155"/>
      </c>
      <c r="CN53" s="926">
        <f t="shared" si="155"/>
      </c>
      <c r="CO53" s="30">
        <f t="shared" si="155"/>
      </c>
      <c r="CP53" s="308">
        <f t="shared" si="155"/>
      </c>
      <c r="CQ53" s="926">
        <f t="shared" si="155"/>
      </c>
      <c r="CR53" s="926">
        <f t="shared" si="155"/>
      </c>
      <c r="CS53" s="926">
        <f t="shared" si="155"/>
      </c>
      <c r="CT53" s="926">
        <f t="shared" si="155"/>
      </c>
      <c r="CU53" s="308">
        <f t="shared" si="155"/>
      </c>
      <c r="CV53" s="926">
        <f t="shared" si="155"/>
      </c>
      <c r="CW53" s="926">
        <f t="shared" si="155"/>
      </c>
      <c r="CX53" s="926">
        <f t="shared" si="155"/>
      </c>
      <c r="CY53" s="926">
        <f t="shared" ref="CY53:DX53" si="156">IF(CT47=0, "NA", CY47/CT47-1)</f>
      </c>
      <c r="CZ53" s="308">
        <f t="shared" si="156"/>
      </c>
      <c r="DA53" s="926">
        <f t="shared" si="156"/>
      </c>
      <c r="DB53" s="30">
        <f t="shared" si="156"/>
      </c>
      <c r="DC53" s="30">
        <f t="shared" si="156"/>
      </c>
      <c r="DD53" s="409">
        <f t="shared" si="156"/>
      </c>
      <c r="DE53" s="308">
        <f t="shared" si="156"/>
      </c>
      <c r="DF53" s="926">
        <f t="shared" si="156"/>
      </c>
      <c r="DG53" s="30">
        <f t="shared" si="156"/>
      </c>
      <c r="DH53" s="30">
        <f t="shared" si="156"/>
      </c>
      <c r="DI53" s="409">
        <f t="shared" si="156"/>
      </c>
      <c r="DJ53" s="308">
        <f t="shared" si="156"/>
      </c>
      <c r="DK53" s="926">
        <f t="shared" si="156"/>
      </c>
      <c r="DL53" s="30">
        <f t="shared" si="156"/>
      </c>
      <c r="DM53" s="30">
        <f t="shared" si="156"/>
      </c>
      <c r="DN53" s="409">
        <f t="shared" si="156"/>
      </c>
      <c r="DO53" s="308">
        <f t="shared" si="156"/>
      </c>
      <c r="DP53" s="30">
        <f t="shared" si="156"/>
      </c>
      <c r="DQ53" s="30">
        <f t="shared" si="156"/>
      </c>
      <c r="DR53" s="30">
        <f t="shared" si="156"/>
      </c>
      <c r="DS53" s="409">
        <f t="shared" si="156"/>
      </c>
      <c r="DT53" s="308">
        <f t="shared" si="156"/>
      </c>
      <c r="DU53" s="926">
        <f t="shared" si="156"/>
      </c>
      <c r="DV53" s="926">
        <f t="shared" si="156"/>
      </c>
      <c r="DW53" s="926">
        <f t="shared" si="156"/>
      </c>
      <c r="DX53" s="928">
        <f t="shared" si="156"/>
      </c>
      <c r="DY53" s="308">
        <f t="shared" ref="DY53:EH53" si="157">IF(DT47=0, "NA", DY47/DT47-1)</f>
      </c>
      <c r="DZ53" s="926">
        <f t="shared" si="157"/>
      </c>
      <c r="EA53" s="926">
        <f t="shared" si="157"/>
      </c>
      <c r="EB53" s="926">
        <f t="shared" si="157"/>
      </c>
      <c r="EC53" s="928">
        <f t="shared" si="157"/>
      </c>
      <c r="ED53" s="1060">
        <f t="shared" si="157"/>
      </c>
      <c r="EE53" s="926">
        <f t="shared" si="157"/>
      </c>
      <c r="EF53" s="926">
        <f t="shared" si="157"/>
      </c>
      <c r="EG53" s="926">
        <f t="shared" si="157"/>
      </c>
      <c r="EH53" s="928">
        <f t="shared" si="157"/>
      </c>
      <c r="EI53" s="308">
        <f>IF(ED47=0, "NA", EI47/ED47-1)</f>
      </c>
      <c r="EJ53" s="308">
        <f t="shared" ref="EJ53:EN53" si="158">IF(EI47=0, "NA", EJ47/EI47-1)</f>
      </c>
      <c r="EK53" s="308">
        <f t="shared" si="158"/>
      </c>
      <c r="EL53" s="308">
        <f t="shared" si="158"/>
      </c>
      <c r="EM53" s="308">
        <f t="shared" si="158"/>
      </c>
      <c r="EN53" s="308">
        <f t="shared" si="158"/>
      </c>
      <c r="EO53" s="308"/>
      <c r="EP53" s="308"/>
      <c r="EQ53" s="308"/>
      <c r="ER53" s="308"/>
      <c r="ES53" s="308"/>
      <c r="ET53" s="308"/>
      <c r="EU53" s="308"/>
      <c r="EV53" s="308"/>
      <c r="EW53" s="308"/>
      <c r="EX53" s="308"/>
    </row>
    <row r="54" spans="1:154" ht="12.75" hidden="1" customHeight="1" outlineLevel="1">
      <c r="B54" s="912"/>
      <c r="C54" s="1989"/>
      <c r="D54" s="1"/>
      <c r="E54" s="1"/>
      <c r="F54" s="1"/>
      <c r="G54" s="1"/>
      <c r="H54" s="1"/>
      <c r="I54" s="30"/>
      <c r="J54" s="30"/>
      <c r="K54" s="30"/>
      <c r="L54" s="30"/>
      <c r="M54" s="30"/>
      <c r="N54" s="30"/>
      <c r="O54" s="30"/>
      <c r="P54" s="30"/>
      <c r="Q54" s="30"/>
      <c r="R54" s="30"/>
      <c r="S54" s="30"/>
      <c r="T54" s="30"/>
      <c r="U54" s="30"/>
      <c r="V54" s="30"/>
      <c r="W54" s="30"/>
      <c r="X54" s="308"/>
      <c r="Y54" s="30"/>
      <c r="Z54" s="30"/>
      <c r="AA54" s="30"/>
      <c r="AB54" s="30"/>
      <c r="AC54" s="308"/>
      <c r="AD54" s="30"/>
      <c r="AE54" s="30"/>
      <c r="AF54" s="30"/>
      <c r="AG54" s="30"/>
      <c r="AH54" s="308"/>
      <c r="AI54" s="30"/>
      <c r="AJ54" s="30"/>
      <c r="AK54" s="30"/>
      <c r="AL54" s="30"/>
      <c r="AM54" s="308"/>
      <c r="AN54" s="30"/>
      <c r="AO54" s="30"/>
      <c r="AP54" s="30"/>
      <c r="AQ54" s="30"/>
      <c r="AR54" s="308"/>
      <c r="AS54" s="30"/>
      <c r="AT54" s="30"/>
      <c r="AU54" s="30"/>
      <c r="AV54" s="30"/>
      <c r="AW54" s="308"/>
      <c r="AX54" s="30"/>
      <c r="AY54" s="30"/>
      <c r="AZ54" s="30"/>
      <c r="BA54" s="30"/>
      <c r="BB54" s="308"/>
      <c r="BC54" s="30"/>
      <c r="BD54" s="30"/>
      <c r="BE54" s="30"/>
      <c r="BF54" s="30"/>
      <c r="BG54" s="308"/>
      <c r="BH54" s="30"/>
      <c r="BI54" s="30"/>
      <c r="BJ54" s="30"/>
      <c r="BK54" s="30"/>
      <c r="BL54" s="308"/>
      <c r="BM54" s="30"/>
      <c r="BN54" s="30"/>
      <c r="BO54" s="30"/>
      <c r="BP54" s="30"/>
      <c r="BQ54" s="308"/>
      <c r="BR54" s="30"/>
      <c r="BS54" s="30"/>
      <c r="BT54" s="30"/>
      <c r="BU54" s="30"/>
      <c r="BV54" s="308"/>
      <c r="BW54" s="30"/>
      <c r="BX54" s="30"/>
      <c r="BY54" s="30"/>
      <c r="BZ54" s="30"/>
      <c r="CA54" s="308"/>
      <c r="CB54" s="30"/>
      <c r="CC54" s="30"/>
      <c r="CD54" s="30"/>
      <c r="CE54" s="30"/>
      <c r="CF54" s="308"/>
      <c r="CG54" s="30"/>
      <c r="CH54" s="30"/>
      <c r="CI54" s="30"/>
      <c r="CJ54" s="30"/>
      <c r="CK54" s="308"/>
      <c r="CL54" s="926"/>
      <c r="CM54" s="926"/>
      <c r="CN54" s="926"/>
      <c r="CO54" s="30"/>
      <c r="CP54" s="308"/>
      <c r="CQ54" s="926"/>
      <c r="CR54" s="926"/>
      <c r="CS54" s="926"/>
      <c r="CT54" s="926"/>
      <c r="CU54" s="308"/>
      <c r="CV54" s="926"/>
      <c r="CW54" s="926"/>
      <c r="CX54" s="926"/>
      <c r="CY54" s="926"/>
      <c r="CZ54" s="308"/>
      <c r="DA54" s="926"/>
      <c r="DB54" s="30"/>
      <c r="DC54" s="30"/>
      <c r="DD54" s="409"/>
      <c r="DE54" s="308"/>
      <c r="DF54" s="926"/>
      <c r="DG54" s="30"/>
      <c r="DH54" s="30"/>
      <c r="DI54" s="409"/>
      <c r="DJ54" s="308"/>
      <c r="DK54" s="926"/>
      <c r="DL54" s="30"/>
      <c r="DM54" s="30"/>
      <c r="DN54" s="409"/>
      <c r="DO54" s="308">
        <f>(DO47-DE47)/DE47</f>
      </c>
      <c r="DP54" s="30"/>
      <c r="DQ54" s="30"/>
      <c r="DR54" s="30"/>
      <c r="DS54" s="409"/>
      <c r="DT54" s="308"/>
      <c r="DU54" s="926"/>
      <c r="DV54" s="926"/>
      <c r="DW54" s="926"/>
      <c r="DX54" s="928"/>
      <c r="DY54" s="308"/>
      <c r="DZ54" s="926"/>
      <c r="EA54" s="926"/>
      <c r="EB54" s="926"/>
      <c r="EC54" s="928"/>
      <c r="ED54" s="1060"/>
      <c r="EE54" s="926"/>
      <c r="EF54" s="926"/>
      <c r="EG54" s="926"/>
      <c r="EH54" s="928"/>
      <c r="EI54" s="308"/>
      <c r="EJ54" s="308"/>
      <c r="EK54" s="308"/>
      <c r="EL54" s="308"/>
      <c r="EM54" s="308"/>
      <c r="EN54" s="308"/>
      <c r="EO54" s="308"/>
      <c r="EP54" s="308"/>
      <c r="EQ54" s="308"/>
      <c r="ER54" s="308"/>
      <c r="ES54" s="308"/>
      <c r="ET54" s="308"/>
      <c r="EU54" s="308"/>
      <c r="EV54" s="308"/>
      <c r="EW54" s="308"/>
      <c r="EX54" s="308"/>
    </row>
    <row r="55" spans="1:154" ht="12.75" hidden="1" customHeight="1" outlineLevel="1">
      <c r="B55" s="1163" t="s">
        <v>186</v>
      </c>
      <c r="C55" s="1990"/>
      <c r="D55" s="26"/>
      <c r="E55" s="26"/>
      <c r="F55" s="26"/>
      <c r="G55" s="26"/>
      <c r="H55" s="26"/>
      <c r="I55" s="27"/>
      <c r="J55" s="26"/>
      <c r="K55" s="26"/>
      <c r="L55" s="26"/>
      <c r="M55" s="26"/>
      <c r="N55" s="27"/>
      <c r="O55" s="27"/>
      <c r="P55" s="27"/>
      <c r="Q55" s="27"/>
      <c r="R55" s="27"/>
      <c r="S55" s="27"/>
      <c r="T55" s="27"/>
      <c r="U55" s="27"/>
      <c r="V55" s="27"/>
      <c r="W55" s="27"/>
      <c r="X55" s="307"/>
      <c r="Y55" s="27"/>
      <c r="Z55" s="27"/>
      <c r="AA55" s="27"/>
      <c r="AB55" s="27"/>
      <c r="AC55" s="307"/>
      <c r="AD55" s="27"/>
      <c r="AE55" s="27"/>
      <c r="AF55" s="27"/>
      <c r="AG55" s="27"/>
      <c r="AH55" s="307"/>
      <c r="AI55" s="45"/>
      <c r="AJ55" s="26"/>
      <c r="AK55" s="26"/>
      <c r="AL55" s="27"/>
      <c r="AM55" s="307"/>
      <c r="AN55" s="45"/>
      <c r="AO55" s="26"/>
      <c r="AP55" s="26"/>
      <c r="AQ55" s="27"/>
      <c r="AR55" s="307"/>
      <c r="AS55" s="45"/>
      <c r="AT55" s="26"/>
      <c r="AU55" s="26"/>
      <c r="AV55" s="27"/>
      <c r="AW55" s="307"/>
      <c r="AX55" s="45"/>
      <c r="AY55" s="26"/>
      <c r="AZ55" s="26"/>
      <c r="BA55" s="26"/>
      <c r="BB55" s="307"/>
      <c r="BC55" s="26"/>
      <c r="BD55" s="26"/>
      <c r="BE55" s="26"/>
      <c r="BF55" s="26"/>
      <c r="BG55" s="307"/>
      <c r="BH55" s="26"/>
      <c r="BI55" s="26"/>
      <c r="BJ55" s="26"/>
      <c r="BK55" s="26"/>
      <c r="BL55" s="307"/>
      <c r="BM55" s="26"/>
      <c r="BN55" s="26"/>
      <c r="BO55" s="26"/>
      <c r="BP55" s="26"/>
      <c r="BQ55" s="307"/>
      <c r="BR55" s="26"/>
      <c r="BS55" s="26"/>
      <c r="BT55" s="26"/>
      <c r="BU55" s="26"/>
      <c r="BV55" s="307"/>
      <c r="BW55" s="26"/>
      <c r="BX55" s="26"/>
      <c r="BY55" s="26"/>
      <c r="BZ55" s="26"/>
      <c r="CA55" s="307"/>
      <c r="CB55" s="26"/>
      <c r="CC55" s="26"/>
      <c r="CD55" s="26"/>
      <c r="CE55" s="26"/>
      <c r="CF55" s="307"/>
      <c r="CG55" s="26"/>
      <c r="CH55" s="26"/>
      <c r="CI55" s="26"/>
      <c r="CJ55" s="26"/>
      <c r="CK55" s="307"/>
      <c r="CL55" s="26"/>
      <c r="CM55" s="26"/>
      <c r="CN55" s="26"/>
      <c r="CO55" s="26"/>
      <c r="CP55" s="307"/>
      <c r="CQ55" s="26"/>
      <c r="CR55" s="26"/>
      <c r="CS55" s="26"/>
      <c r="CT55" s="26"/>
      <c r="CU55" s="307"/>
      <c r="CV55" s="26"/>
      <c r="CW55" s="26"/>
      <c r="CX55" s="26"/>
      <c r="CY55" s="26"/>
      <c r="CZ55" s="307"/>
      <c r="DA55" s="26"/>
      <c r="DB55" s="27"/>
      <c r="DC55" s="27"/>
      <c r="DD55" s="964"/>
      <c r="DE55" s="1766"/>
      <c r="DF55" s="1783"/>
      <c r="DG55" s="1767"/>
      <c r="DH55" s="1767"/>
      <c r="DI55" s="1784"/>
      <c r="DJ55" s="1766"/>
      <c r="DK55" s="1783"/>
      <c r="DL55" s="1767"/>
      <c r="DM55" s="1767"/>
      <c r="DN55" s="1784"/>
      <c r="DO55" s="1766"/>
      <c r="DP55" s="1767"/>
      <c r="DQ55" s="1767"/>
      <c r="DR55" s="1767"/>
      <c r="DS55" s="1784"/>
      <c r="DT55" s="1766"/>
      <c r="DU55" s="1767"/>
      <c r="DV55" s="1767"/>
      <c r="DW55" s="1767"/>
      <c r="DX55" s="1784"/>
      <c r="DY55" s="1766"/>
      <c r="DZ55" s="1767"/>
      <c r="EA55" s="1767"/>
      <c r="EB55" s="1767"/>
      <c r="EC55" s="1784"/>
      <c r="ED55" s="1766"/>
      <c r="EE55" s="1767"/>
      <c r="EF55" s="1767"/>
      <c r="EG55" s="1767"/>
      <c r="EH55" s="1784"/>
      <c r="EI55" s="1766"/>
      <c r="EJ55" s="1766"/>
      <c r="EK55" s="1766"/>
      <c r="EL55" s="1766"/>
      <c r="EM55" s="1766"/>
      <c r="EN55" s="1766"/>
      <c r="EO55" s="1766"/>
      <c r="EP55" s="1766"/>
      <c r="EQ55" s="1766"/>
      <c r="ER55" s="1766"/>
      <c r="ES55" s="1766"/>
      <c r="ET55" s="1766"/>
      <c r="EU55" s="1766"/>
      <c r="EV55" s="1766"/>
      <c r="EW55" s="1766"/>
      <c r="EX55" s="1766"/>
    </row>
    <row r="56" spans="1:154" ht="12.75" hidden="1" customHeight="1" outlineLevel="1">
      <c r="A56" s="3275" t="str">
        <f>A58&amp;" - US"</f>
      </c>
      <c r="B56" s="1164" t="s">
        <v>421</v>
      </c>
      <c r="C56" s="1989"/>
      <c r="D56" s="28">
        <f t="shared" ref="D56:AI56" si="159">+D1487</f>
      </c>
      <c r="E56" s="28">
        <f t="shared" si="159"/>
      </c>
      <c r="F56" s="28">
        <f t="shared" si="159"/>
      </c>
      <c r="G56" s="28">
        <f t="shared" si="159"/>
      </c>
      <c r="H56" s="28">
        <f t="shared" si="159"/>
      </c>
      <c r="I56" s="28">
        <f t="shared" si="159"/>
      </c>
      <c r="J56" s="28">
        <f t="shared" si="159"/>
      </c>
      <c r="K56" s="28">
        <f t="shared" si="159"/>
      </c>
      <c r="L56" s="28">
        <f t="shared" si="159"/>
      </c>
      <c r="M56" s="28">
        <f t="shared" si="159"/>
      </c>
      <c r="N56" s="28">
        <f t="shared" si="159"/>
      </c>
      <c r="O56" s="28">
        <f t="shared" si="159"/>
      </c>
      <c r="P56" s="28">
        <f t="shared" si="159"/>
      </c>
      <c r="Q56" s="28">
        <f t="shared" si="159"/>
      </c>
      <c r="R56" s="28">
        <f t="shared" si="159"/>
      </c>
      <c r="S56" s="28">
        <f t="shared" si="159"/>
      </c>
      <c r="T56" s="28">
        <f t="shared" si="159"/>
      </c>
      <c r="U56" s="28">
        <f t="shared" si="159"/>
      </c>
      <c r="V56" s="28">
        <f t="shared" si="159"/>
      </c>
      <c r="W56" s="28">
        <f t="shared" si="159"/>
      </c>
      <c r="X56" s="312">
        <f t="shared" si="159"/>
      </c>
      <c r="Y56" s="28">
        <f t="shared" si="159"/>
      </c>
      <c r="Z56" s="28">
        <f t="shared" si="159"/>
      </c>
      <c r="AA56" s="28">
        <f t="shared" si="159"/>
      </c>
      <c r="AB56" s="28">
        <f t="shared" si="159"/>
      </c>
      <c r="AC56" s="312">
        <f t="shared" si="159"/>
      </c>
      <c r="AD56" s="28">
        <f t="shared" si="159"/>
      </c>
      <c r="AE56" s="28">
        <f t="shared" si="159"/>
      </c>
      <c r="AF56" s="28">
        <f t="shared" si="159"/>
      </c>
      <c r="AG56" s="28">
        <f t="shared" si="159"/>
      </c>
      <c r="AH56" s="312">
        <f t="shared" si="159"/>
      </c>
      <c r="AI56" s="28">
        <f t="shared" si="159"/>
      </c>
      <c r="AJ56" s="28">
        <f t="shared" ref="AJ56:BO56" si="160">+AJ1487</f>
      </c>
      <c r="AK56" s="28">
        <f t="shared" si="160"/>
      </c>
      <c r="AL56" s="28">
        <f t="shared" si="160"/>
      </c>
      <c r="AM56" s="312">
        <f t="shared" si="160"/>
      </c>
      <c r="AN56" s="28">
        <f t="shared" si="160"/>
      </c>
      <c r="AO56" s="28">
        <f t="shared" si="160"/>
      </c>
      <c r="AP56" s="28">
        <f t="shared" si="160"/>
      </c>
      <c r="AQ56" s="28">
        <f t="shared" si="160"/>
      </c>
      <c r="AR56" s="312">
        <f t="shared" si="160"/>
      </c>
      <c r="AS56" s="28">
        <f t="shared" si="160"/>
      </c>
      <c r="AT56" s="28">
        <f t="shared" si="160"/>
      </c>
      <c r="AU56" s="28">
        <f t="shared" si="160"/>
      </c>
      <c r="AV56" s="28">
        <f t="shared" si="160"/>
      </c>
      <c r="AW56" s="312">
        <f t="shared" si="160"/>
      </c>
      <c r="AX56" s="28">
        <f t="shared" si="160"/>
      </c>
      <c r="AY56" s="28">
        <f t="shared" si="160"/>
      </c>
      <c r="AZ56" s="28">
        <f t="shared" si="160"/>
      </c>
      <c r="BA56" s="28">
        <f t="shared" si="160"/>
      </c>
      <c r="BB56" s="312">
        <f t="shared" si="160"/>
      </c>
      <c r="BC56" s="28">
        <f t="shared" si="160"/>
      </c>
      <c r="BD56" s="28">
        <f t="shared" si="160"/>
      </c>
      <c r="BE56" s="28">
        <f t="shared" si="160"/>
      </c>
      <c r="BF56" s="28">
        <f t="shared" si="160"/>
      </c>
      <c r="BG56" s="312">
        <f t="shared" si="160"/>
      </c>
      <c r="BH56" s="28">
        <f t="shared" si="160"/>
      </c>
      <c r="BI56" s="28">
        <f t="shared" si="160"/>
      </c>
      <c r="BJ56" s="28">
        <f t="shared" si="160"/>
      </c>
      <c r="BK56" s="28">
        <f t="shared" si="160"/>
      </c>
      <c r="BL56" s="312">
        <f t="shared" si="160"/>
      </c>
      <c r="BM56" s="28">
        <f t="shared" si="160"/>
      </c>
      <c r="BN56" s="28">
        <f t="shared" si="160"/>
      </c>
      <c r="BO56" s="28">
        <f t="shared" si="160"/>
      </c>
      <c r="BP56" s="28">
        <f t="shared" ref="BP56:BW56" si="161">+BP1487</f>
      </c>
      <c r="BQ56" s="312">
        <f t="shared" si="161"/>
      </c>
      <c r="BR56" s="28">
        <f t="shared" si="161"/>
      </c>
      <c r="BS56" s="28">
        <f t="shared" si="161"/>
      </c>
      <c r="BT56" s="28">
        <f t="shared" si="161"/>
      </c>
      <c r="BU56" s="28">
        <f t="shared" si="161"/>
      </c>
      <c r="BV56" s="312">
        <f t="shared" si="161"/>
      </c>
      <c r="BW56" s="28">
        <f t="shared" si="161"/>
      </c>
      <c r="BX56" s="28">
        <f t="shared" ref="BX56:CA57" si="162">+BX1487</f>
      </c>
      <c r="BY56" s="28">
        <f t="shared" si="162"/>
      </c>
      <c r="BZ56" s="28">
        <f t="shared" si="162"/>
      </c>
      <c r="CA56" s="312">
        <f t="shared" si="162"/>
      </c>
      <c r="CB56" s="28">
        <f t="shared" ref="CB56:CD57" si="163">+CB1487</f>
      </c>
      <c r="CC56" s="28">
        <f t="shared" si="163"/>
      </c>
      <c r="CD56" s="28">
        <f t="shared" si="163"/>
      </c>
      <c r="CE56" s="28">
        <f>+CE1487</f>
      </c>
      <c r="CF56" s="312">
        <f>SUM(CB56:CE56)</f>
      </c>
      <c r="CG56" s="28">
        <f t="shared" ref="CG56:CI57" si="164">+CG1487</f>
      </c>
      <c r="CH56" s="28">
        <f t="shared" si="164"/>
      </c>
      <c r="CI56" s="28">
        <f t="shared" si="164"/>
      </c>
      <c r="CJ56" s="28">
        <f>+CJ1487</f>
      </c>
      <c r="CK56" s="312">
        <f>SUM(CG56:CJ56)</f>
      </c>
      <c r="CL56" s="933">
        <f t="shared" ref="CL56:CO57" si="165">+CL1487</f>
      </c>
      <c r="CM56" s="933">
        <f t="shared" si="165"/>
      </c>
      <c r="CN56" s="933">
        <f t="shared" si="165"/>
      </c>
      <c r="CO56" s="28">
        <f t="shared" si="165"/>
      </c>
      <c r="CP56" s="312">
        <f>+CP1487</f>
      </c>
      <c r="CQ56" s="933">
        <f t="shared" ref="CQ56:CS57" si="166">+CQ1487</f>
      </c>
      <c r="CR56" s="933">
        <f t="shared" si="166"/>
      </c>
      <c r="CS56" s="933">
        <f t="shared" si="166"/>
      </c>
      <c r="CT56" s="933">
        <f t="shared" ref="CT56:CZ57" si="167">+CT1487</f>
      </c>
      <c r="CU56" s="312">
        <f t="shared" si="167"/>
      </c>
      <c r="CV56" s="933">
        <f t="shared" si="167"/>
      </c>
      <c r="CW56" s="933">
        <f t="shared" si="167"/>
      </c>
      <c r="CX56" s="933">
        <f t="shared" si="167"/>
      </c>
      <c r="CY56" s="933">
        <f t="shared" si="167"/>
      </c>
      <c r="CZ56" s="312">
        <f t="shared" si="167"/>
      </c>
      <c r="DA56" s="933">
        <f t="shared" ref="DA56:DD57" si="168">+DA1487</f>
      </c>
      <c r="DB56" s="28">
        <f t="shared" si="168"/>
      </c>
      <c r="DC56" s="28">
        <f t="shared" si="168"/>
      </c>
      <c r="DD56" s="876">
        <f t="shared" si="168"/>
      </c>
      <c r="DE56" s="573">
        <f t="shared" ref="DE56:DV56" si="169">+DE1487</f>
      </c>
      <c r="DF56" s="1284">
        <f t="shared" si="169"/>
      </c>
      <c r="DG56" s="107">
        <f t="shared" si="169"/>
      </c>
      <c r="DH56" s="107">
        <f t="shared" si="169"/>
      </c>
      <c r="DI56" s="1841">
        <f t="shared" si="169"/>
      </c>
      <c r="DJ56" s="573">
        <f t="shared" si="169"/>
      </c>
      <c r="DK56" s="1284">
        <f t="shared" si="169"/>
      </c>
      <c r="DL56" s="107">
        <f t="shared" si="169"/>
      </c>
      <c r="DM56" s="107">
        <f t="shared" si="169"/>
      </c>
      <c r="DN56" s="1841">
        <f t="shared" si="169"/>
      </c>
      <c r="DO56" s="573">
        <f t="shared" si="169"/>
      </c>
      <c r="DP56" s="107">
        <f t="shared" si="169"/>
      </c>
      <c r="DQ56" s="107">
        <f t="shared" si="169"/>
      </c>
      <c r="DR56" s="107">
        <f t="shared" si="169"/>
      </c>
      <c r="DS56" s="1841">
        <f t="shared" si="169"/>
      </c>
      <c r="DT56" s="573">
        <f t="shared" si="169"/>
      </c>
      <c r="DU56" s="1284">
        <f t="shared" si="169"/>
      </c>
      <c r="DV56" s="1284">
        <f t="shared" si="169"/>
      </c>
      <c r="DW56" s="1284"/>
      <c r="DX56" s="1313"/>
      <c r="DY56" s="573"/>
      <c r="DZ56" s="1284"/>
      <c r="EA56" s="1284"/>
      <c r="EB56" s="1284"/>
      <c r="EC56" s="1313"/>
      <c r="ED56" s="2060"/>
      <c r="EE56" s="1284"/>
      <c r="EF56" s="1284"/>
      <c r="EG56" s="1284"/>
      <c r="EH56" s="1313"/>
      <c r="EI56" s="573"/>
      <c r="EJ56" s="573"/>
      <c r="EK56" s="573"/>
      <c r="EL56" s="445"/>
      <c r="EM56" s="445"/>
      <c r="EN56" s="445"/>
      <c r="EO56" s="445"/>
      <c r="EP56" s="445"/>
      <c r="EQ56" s="445"/>
      <c r="ER56" s="445"/>
      <c r="ES56" s="445"/>
      <c r="ET56" s="445"/>
      <c r="EU56" s="445"/>
      <c r="EV56" s="445"/>
      <c r="EW56" s="445"/>
      <c r="EX56" s="445"/>
    </row>
    <row r="57" spans="1:154" ht="12.75" hidden="1" customHeight="1" outlineLevel="1">
      <c r="A57" s="3275" t="str">
        <f>+A58&amp;" - OUS"</f>
      </c>
      <c r="B57" s="1164" t="s">
        <v>235</v>
      </c>
      <c r="C57" s="1989"/>
      <c r="D57" s="28">
        <f t="shared" ref="D57:AI57" si="170">+D1488</f>
      </c>
      <c r="E57" s="28">
        <f t="shared" si="170"/>
      </c>
      <c r="F57" s="28">
        <f t="shared" si="170"/>
      </c>
      <c r="G57" s="28">
        <f t="shared" si="170"/>
      </c>
      <c r="H57" s="28">
        <f t="shared" si="170"/>
      </c>
      <c r="I57" s="28">
        <f t="shared" si="170"/>
      </c>
      <c r="J57" s="28">
        <f t="shared" si="170"/>
      </c>
      <c r="K57" s="28">
        <f t="shared" si="170"/>
      </c>
      <c r="L57" s="28">
        <f t="shared" si="170"/>
      </c>
      <c r="M57" s="28">
        <f t="shared" si="170"/>
      </c>
      <c r="N57" s="28">
        <f t="shared" si="170"/>
      </c>
      <c r="O57" s="28">
        <f t="shared" si="170"/>
      </c>
      <c r="P57" s="28">
        <f t="shared" si="170"/>
      </c>
      <c r="Q57" s="28">
        <f t="shared" si="170"/>
      </c>
      <c r="R57" s="28">
        <f t="shared" si="170"/>
      </c>
      <c r="S57" s="28">
        <f t="shared" si="170"/>
      </c>
      <c r="T57" s="28">
        <f t="shared" si="170"/>
      </c>
      <c r="U57" s="28">
        <f t="shared" si="170"/>
      </c>
      <c r="V57" s="28">
        <f t="shared" si="170"/>
      </c>
      <c r="W57" s="28">
        <f t="shared" si="170"/>
      </c>
      <c r="X57" s="312">
        <f t="shared" si="170"/>
      </c>
      <c r="Y57" s="28">
        <f t="shared" si="170"/>
      </c>
      <c r="Z57" s="28">
        <f t="shared" si="170"/>
      </c>
      <c r="AA57" s="28">
        <f t="shared" si="170"/>
      </c>
      <c r="AB57" s="28">
        <f t="shared" si="170"/>
      </c>
      <c r="AC57" s="312">
        <f t="shared" si="170"/>
      </c>
      <c r="AD57" s="28">
        <f t="shared" si="170"/>
      </c>
      <c r="AE57" s="28">
        <f t="shared" si="170"/>
      </c>
      <c r="AF57" s="28">
        <f t="shared" si="170"/>
      </c>
      <c r="AG57" s="28">
        <f t="shared" si="170"/>
      </c>
      <c r="AH57" s="312">
        <f t="shared" si="170"/>
      </c>
      <c r="AI57" s="28">
        <f t="shared" si="170"/>
      </c>
      <c r="AJ57" s="28">
        <f t="shared" ref="AJ57:BO57" si="171">+AJ1488</f>
      </c>
      <c r="AK57" s="28">
        <f t="shared" si="171"/>
      </c>
      <c r="AL57" s="28">
        <f t="shared" si="171"/>
      </c>
      <c r="AM57" s="312">
        <f t="shared" si="171"/>
      </c>
      <c r="AN57" s="28">
        <f t="shared" si="171"/>
      </c>
      <c r="AO57" s="28">
        <f t="shared" si="171"/>
      </c>
      <c r="AP57" s="28">
        <f t="shared" si="171"/>
      </c>
      <c r="AQ57" s="28">
        <f t="shared" si="171"/>
      </c>
      <c r="AR57" s="312">
        <f t="shared" si="171"/>
      </c>
      <c r="AS57" s="28">
        <f t="shared" si="171"/>
      </c>
      <c r="AT57" s="28">
        <f t="shared" si="171"/>
      </c>
      <c r="AU57" s="28">
        <f t="shared" si="171"/>
      </c>
      <c r="AV57" s="28">
        <f t="shared" si="171"/>
      </c>
      <c r="AW57" s="312">
        <f t="shared" si="171"/>
      </c>
      <c r="AX57" s="28">
        <f t="shared" si="171"/>
      </c>
      <c r="AY57" s="28">
        <f t="shared" si="171"/>
      </c>
      <c r="AZ57" s="28">
        <f t="shared" si="171"/>
      </c>
      <c r="BA57" s="28">
        <f t="shared" si="171"/>
      </c>
      <c r="BB57" s="312">
        <f t="shared" si="171"/>
      </c>
      <c r="BC57" s="28">
        <f t="shared" si="171"/>
      </c>
      <c r="BD57" s="28">
        <f t="shared" si="171"/>
      </c>
      <c r="BE57" s="28">
        <f t="shared" si="171"/>
      </c>
      <c r="BF57" s="28">
        <f t="shared" si="171"/>
      </c>
      <c r="BG57" s="312">
        <f t="shared" si="171"/>
      </c>
      <c r="BH57" s="28">
        <f t="shared" si="171"/>
      </c>
      <c r="BI57" s="28">
        <f t="shared" si="171"/>
      </c>
      <c r="BJ57" s="28">
        <f t="shared" si="171"/>
      </c>
      <c r="BK57" s="28">
        <f t="shared" si="171"/>
      </c>
      <c r="BL57" s="312">
        <f t="shared" si="171"/>
      </c>
      <c r="BM57" s="28">
        <f t="shared" si="171"/>
      </c>
      <c r="BN57" s="28">
        <f t="shared" si="171"/>
      </c>
      <c r="BO57" s="28">
        <f t="shared" si="171"/>
      </c>
      <c r="BP57" s="28">
        <f t="shared" ref="BP57:BW57" si="172">+BP1488</f>
      </c>
      <c r="BQ57" s="312">
        <f t="shared" si="172"/>
      </c>
      <c r="BR57" s="28">
        <f t="shared" si="172"/>
      </c>
      <c r="BS57" s="28">
        <f t="shared" si="172"/>
      </c>
      <c r="BT57" s="28">
        <f t="shared" si="172"/>
      </c>
      <c r="BU57" s="28">
        <f t="shared" si="172"/>
      </c>
      <c r="BV57" s="312">
        <f t="shared" si="172"/>
      </c>
      <c r="BW57" s="28">
        <f t="shared" si="172"/>
      </c>
      <c r="BX57" s="28">
        <f t="shared" si="162"/>
      </c>
      <c r="BY57" s="28">
        <f t="shared" si="162"/>
      </c>
      <c r="BZ57" s="28">
        <f t="shared" si="162"/>
      </c>
      <c r="CA57" s="312">
        <f t="shared" si="162"/>
      </c>
      <c r="CB57" s="28">
        <f t="shared" si="163"/>
      </c>
      <c r="CC57" s="28">
        <f>+CC1488</f>
      </c>
      <c r="CD57" s="28">
        <f>+CD1488</f>
      </c>
      <c r="CE57" s="28">
        <f>+CE1488</f>
      </c>
      <c r="CF57" s="312">
        <f>SUM(CB57:CE57)</f>
      </c>
      <c r="CG57" s="28">
        <f t="shared" si="164"/>
      </c>
      <c r="CH57" s="28">
        <f>+CH1488</f>
      </c>
      <c r="CI57" s="28">
        <f>+CI1488</f>
      </c>
      <c r="CJ57" s="28">
        <f>+CJ1488</f>
      </c>
      <c r="CK57" s="312">
        <f>SUM(CG57:CJ57)</f>
      </c>
      <c r="CL57" s="933">
        <f t="shared" si="165"/>
      </c>
      <c r="CM57" s="933">
        <f>+CM1488</f>
      </c>
      <c r="CN57" s="933">
        <f>+CN1488</f>
      </c>
      <c r="CO57" s="28">
        <f t="shared" si="165"/>
      </c>
      <c r="CP57" s="312">
        <f>+CP1488</f>
      </c>
      <c r="CQ57" s="933">
        <f t="shared" si="166"/>
      </c>
      <c r="CR57" s="933">
        <f t="shared" si="166"/>
      </c>
      <c r="CS57" s="933">
        <f>+CS1488</f>
      </c>
      <c r="CT57" s="933">
        <f t="shared" si="167"/>
      </c>
      <c r="CU57" s="312">
        <f t="shared" si="167"/>
      </c>
      <c r="CV57" s="933">
        <f t="shared" si="167"/>
      </c>
      <c r="CW57" s="933">
        <f t="shared" si="167"/>
      </c>
      <c r="CX57" s="933">
        <f t="shared" si="167"/>
      </c>
      <c r="CY57" s="933">
        <f t="shared" si="167"/>
      </c>
      <c r="CZ57" s="312">
        <f t="shared" si="167"/>
      </c>
      <c r="DA57" s="933">
        <f t="shared" si="168"/>
      </c>
      <c r="DB57" s="28">
        <f t="shared" si="168"/>
      </c>
      <c r="DC57" s="28">
        <f t="shared" si="168"/>
      </c>
      <c r="DD57" s="876">
        <f t="shared" si="168"/>
      </c>
      <c r="DE57" s="573">
        <f>+DE1488</f>
      </c>
      <c r="DF57" s="1284">
        <f>+DF1488</f>
      </c>
      <c r="DG57" s="107">
        <f>+DG1488</f>
      </c>
      <c r="DH57" s="107">
        <f>+DH1488</f>
      </c>
      <c r="DI57" s="1841">
        <f>+DI1488</f>
      </c>
      <c r="DJ57" s="573">
        <f t="shared" ref="DJ57:DT57" si="173">+DJ1488</f>
      </c>
      <c r="DK57" s="1284">
        <f t="shared" si="173"/>
      </c>
      <c r="DL57" s="107">
        <f t="shared" si="173"/>
      </c>
      <c r="DM57" s="107">
        <f t="shared" si="173"/>
      </c>
      <c r="DN57" s="1841">
        <f t="shared" si="173"/>
      </c>
      <c r="DO57" s="573">
        <f>+DO1488</f>
      </c>
      <c r="DP57" s="107">
        <f>+DP1488</f>
      </c>
      <c r="DQ57" s="107">
        <f>+DQ1488</f>
      </c>
      <c r="DR57" s="107">
        <f>+DR1488</f>
      </c>
      <c r="DS57" s="1841">
        <f>+DS1488</f>
      </c>
      <c r="DT57" s="573">
        <f t="shared" si="173"/>
      </c>
      <c r="DU57" s="1284">
        <f>+DU1488</f>
      </c>
      <c r="DV57" s="1284">
        <f>+DV1488</f>
      </c>
      <c r="DW57" s="1284"/>
      <c r="DX57" s="1313"/>
      <c r="DY57" s="573"/>
      <c r="DZ57" s="1284"/>
      <c r="EA57" s="1284"/>
      <c r="EB57" s="1284"/>
      <c r="EC57" s="1313"/>
      <c r="ED57" s="2060"/>
      <c r="EE57" s="1284"/>
      <c r="EF57" s="1284"/>
      <c r="EG57" s="1284"/>
      <c r="EH57" s="1313"/>
      <c r="EI57" s="573"/>
      <c r="EJ57" s="573"/>
      <c r="EK57" s="573"/>
      <c r="EL57" s="445"/>
      <c r="EM57" s="445"/>
      <c r="EN57" s="445"/>
      <c r="EO57" s="445"/>
      <c r="EP57" s="445"/>
      <c r="EQ57" s="445"/>
      <c r="ER57" s="445"/>
      <c r="ES57" s="445"/>
      <c r="ET57" s="445"/>
      <c r="EU57" s="445"/>
      <c r="EV57" s="445"/>
      <c r="EW57" s="445"/>
      <c r="EX57" s="445"/>
    </row>
    <row r="58" spans="1:154" ht="12.75" hidden="1" customHeight="1" outlineLevel="1">
      <c r="A58" s="3275" t="s">
        <v>186</v>
      </c>
      <c r="B58" s="1164" t="s">
        <v>19</v>
      </c>
      <c r="C58" s="1989"/>
      <c r="D58" s="28">
        <f t="shared" ref="D58:AI58" si="174">+D57+D56</f>
      </c>
      <c r="E58" s="28">
        <f t="shared" si="174"/>
      </c>
      <c r="F58" s="28">
        <f t="shared" si="174"/>
      </c>
      <c r="G58" s="28">
        <f t="shared" si="174"/>
      </c>
      <c r="H58" s="28">
        <f t="shared" si="174"/>
      </c>
      <c r="I58" s="28">
        <f t="shared" si="174"/>
      </c>
      <c r="J58" s="28">
        <f t="shared" si="174"/>
      </c>
      <c r="K58" s="28">
        <f t="shared" si="174"/>
      </c>
      <c r="L58" s="28">
        <f t="shared" si="174"/>
      </c>
      <c r="M58" s="28">
        <f t="shared" si="174"/>
      </c>
      <c r="N58" s="28">
        <f t="shared" si="174"/>
      </c>
      <c r="O58" s="28">
        <f t="shared" si="174"/>
      </c>
      <c r="P58" s="28">
        <f t="shared" si="174"/>
      </c>
      <c r="Q58" s="28">
        <f t="shared" si="174"/>
      </c>
      <c r="R58" s="28">
        <f t="shared" si="174"/>
      </c>
      <c r="S58" s="28">
        <f t="shared" si="174"/>
      </c>
      <c r="T58" s="28">
        <f t="shared" si="174"/>
      </c>
      <c r="U58" s="28">
        <f t="shared" si="174"/>
      </c>
      <c r="V58" s="28">
        <f t="shared" si="174"/>
      </c>
      <c r="W58" s="28">
        <f t="shared" si="174"/>
      </c>
      <c r="X58" s="312">
        <f t="shared" si="174"/>
      </c>
      <c r="Y58" s="28">
        <f t="shared" si="174"/>
      </c>
      <c r="Z58" s="28">
        <f t="shared" si="174"/>
      </c>
      <c r="AA58" s="28">
        <f t="shared" si="174"/>
      </c>
      <c r="AB58" s="28">
        <f t="shared" si="174"/>
      </c>
      <c r="AC58" s="312">
        <f t="shared" si="174"/>
      </c>
      <c r="AD58" s="28">
        <f t="shared" si="174"/>
      </c>
      <c r="AE58" s="28">
        <f t="shared" si="174"/>
      </c>
      <c r="AF58" s="28">
        <f t="shared" si="174"/>
      </c>
      <c r="AG58" s="28">
        <f t="shared" si="174"/>
      </c>
      <c r="AH58" s="312">
        <f t="shared" si="174"/>
      </c>
      <c r="AI58" s="28">
        <f t="shared" si="174"/>
      </c>
      <c r="AJ58" s="28">
        <f t="shared" ref="AJ58:BO58" si="175">+AJ57+AJ56</f>
      </c>
      <c r="AK58" s="28">
        <f t="shared" si="175"/>
      </c>
      <c r="AL58" s="28">
        <f t="shared" si="175"/>
      </c>
      <c r="AM58" s="312">
        <f t="shared" si="175"/>
      </c>
      <c r="AN58" s="28">
        <f t="shared" si="175"/>
      </c>
      <c r="AO58" s="28">
        <f t="shared" si="175"/>
      </c>
      <c r="AP58" s="28">
        <f t="shared" si="175"/>
      </c>
      <c r="AQ58" s="28">
        <f t="shared" si="175"/>
      </c>
      <c r="AR58" s="312">
        <f t="shared" si="175"/>
      </c>
      <c r="AS58" s="28">
        <f t="shared" si="175"/>
      </c>
      <c r="AT58" s="28">
        <f t="shared" si="175"/>
      </c>
      <c r="AU58" s="28">
        <f t="shared" si="175"/>
      </c>
      <c r="AV58" s="28">
        <f t="shared" si="175"/>
      </c>
      <c r="AW58" s="312">
        <f t="shared" si="175"/>
      </c>
      <c r="AX58" s="28">
        <f t="shared" si="175"/>
      </c>
      <c r="AY58" s="28">
        <f t="shared" si="175"/>
      </c>
      <c r="AZ58" s="28">
        <f t="shared" si="175"/>
      </c>
      <c r="BA58" s="28">
        <f t="shared" si="175"/>
      </c>
      <c r="BB58" s="312">
        <f t="shared" si="175"/>
      </c>
      <c r="BC58" s="28">
        <f t="shared" si="175"/>
      </c>
      <c r="BD58" s="28">
        <f t="shared" si="175"/>
      </c>
      <c r="BE58" s="28">
        <f t="shared" si="175"/>
      </c>
      <c r="BF58" s="28">
        <f t="shared" si="175"/>
      </c>
      <c r="BG58" s="312">
        <f t="shared" si="175"/>
      </c>
      <c r="BH58" s="28">
        <f t="shared" si="175"/>
      </c>
      <c r="BI58" s="28">
        <f t="shared" si="175"/>
      </c>
      <c r="BJ58" s="28">
        <f t="shared" si="175"/>
      </c>
      <c r="BK58" s="28">
        <f t="shared" si="175"/>
      </c>
      <c r="BL58" s="312">
        <f t="shared" si="175"/>
      </c>
      <c r="BM58" s="28">
        <f t="shared" si="175"/>
      </c>
      <c r="BN58" s="28">
        <f t="shared" si="175"/>
      </c>
      <c r="BO58" s="28">
        <f t="shared" si="175"/>
      </c>
      <c r="BP58" s="28">
        <f t="shared" ref="BP58:CE58" si="176">+BP57+BP56</f>
      </c>
      <c r="BQ58" s="312">
        <f t="shared" si="176"/>
      </c>
      <c r="BR58" s="28">
        <f t="shared" si="176"/>
      </c>
      <c r="BS58" s="28">
        <f t="shared" si="176"/>
      </c>
      <c r="BT58" s="28">
        <f t="shared" si="176"/>
      </c>
      <c r="BU58" s="28">
        <f t="shared" si="176"/>
      </c>
      <c r="BV58" s="312">
        <f t="shared" si="176"/>
      </c>
      <c r="BW58" s="28">
        <f t="shared" si="176"/>
      </c>
      <c r="BX58" s="28">
        <f t="shared" si="176"/>
      </c>
      <c r="BY58" s="28">
        <f t="shared" si="176"/>
      </c>
      <c r="BZ58" s="28">
        <f t="shared" si="176"/>
      </c>
      <c r="CA58" s="312">
        <f t="shared" si="176"/>
      </c>
      <c r="CB58" s="28">
        <f t="shared" si="176"/>
      </c>
      <c r="CC58" s="28">
        <f t="shared" si="176"/>
      </c>
      <c r="CD58" s="28">
        <f t="shared" si="176"/>
      </c>
      <c r="CE58" s="28">
        <f t="shared" si="176"/>
      </c>
      <c r="CF58" s="312">
        <f>SUM(CB58:CE58)</f>
      </c>
      <c r="CG58" s="28">
        <f>+CG57+CG56</f>
      </c>
      <c r="CH58" s="28">
        <f>+CH57+CH56</f>
      </c>
      <c r="CI58" s="28">
        <f>+CI57+CI56</f>
      </c>
      <c r="CJ58" s="28">
        <f>+CJ57+CJ56</f>
      </c>
      <c r="CK58" s="312">
        <f>SUM(CG58:CJ58)</f>
      </c>
      <c r="CL58" s="933">
        <f>+CL57+CL56</f>
      </c>
      <c r="CM58" s="933">
        <f t="shared" ref="CM58:DT58" si="177">+CM57+CM56</f>
      </c>
      <c r="CN58" s="933">
        <f t="shared" si="177"/>
      </c>
      <c r="CO58" s="28">
        <f t="shared" si="177"/>
      </c>
      <c r="CP58" s="312">
        <f t="shared" si="177"/>
      </c>
      <c r="CQ58" s="933">
        <f t="shared" si="177"/>
      </c>
      <c r="CR58" s="933">
        <f t="shared" si="177"/>
      </c>
      <c r="CS58" s="933">
        <f t="shared" si="177"/>
      </c>
      <c r="CT58" s="933">
        <f t="shared" si="177"/>
      </c>
      <c r="CU58" s="312">
        <f t="shared" si="177"/>
      </c>
      <c r="CV58" s="933">
        <f>+CV57+CV56</f>
      </c>
      <c r="CW58" s="933">
        <f t="shared" si="177"/>
      </c>
      <c r="CX58" s="933">
        <f>+CX57+CX56</f>
      </c>
      <c r="CY58" s="933">
        <f>+CY57+CY56</f>
      </c>
      <c r="CZ58" s="312">
        <f>+CZ57+CZ56</f>
      </c>
      <c r="DA58" s="933">
        <f t="shared" si="177"/>
      </c>
      <c r="DB58" s="28">
        <f t="shared" ref="DB58:DI58" si="178">+DB57+DB56</f>
      </c>
      <c r="DC58" s="28">
        <f t="shared" si="178"/>
      </c>
      <c r="DD58" s="876">
        <f t="shared" si="178"/>
      </c>
      <c r="DE58" s="573">
        <f t="shared" si="178"/>
      </c>
      <c r="DF58" s="1284">
        <f t="shared" si="178"/>
      </c>
      <c r="DG58" s="107">
        <f t="shared" si="178"/>
      </c>
      <c r="DH58" s="107">
        <f t="shared" si="178"/>
      </c>
      <c r="DI58" s="1841">
        <f t="shared" si="178"/>
      </c>
      <c r="DJ58" s="573">
        <f t="shared" si="177"/>
      </c>
      <c r="DK58" s="1284">
        <f t="shared" si="177"/>
      </c>
      <c r="DL58" s="107">
        <f t="shared" si="177"/>
      </c>
      <c r="DM58" s="107">
        <f t="shared" si="177"/>
      </c>
      <c r="DN58" s="1841">
        <f t="shared" si="177"/>
      </c>
      <c r="DO58" s="573">
        <f>+DO57+DO56</f>
      </c>
      <c r="DP58" s="107">
        <f>+DP57+DP56</f>
      </c>
      <c r="DQ58" s="107">
        <f>+DQ57+DQ56</f>
      </c>
      <c r="DR58" s="107">
        <f>+DR57+DR56</f>
      </c>
      <c r="DS58" s="1841">
        <f>+DS57+DS56</f>
      </c>
      <c r="DT58" s="573">
        <f t="shared" si="177"/>
      </c>
      <c r="DU58" s="1284">
        <f>+DU57+DU56</f>
      </c>
      <c r="DV58" s="1284">
        <f>+DV57+DV56</f>
      </c>
      <c r="DW58" s="1284"/>
      <c r="DX58" s="1313"/>
      <c r="DY58" s="573"/>
      <c r="DZ58" s="1284"/>
      <c r="EA58" s="1284"/>
      <c r="EB58" s="1284"/>
      <c r="EC58" s="1313"/>
      <c r="ED58" s="2060"/>
      <c r="EE58" s="1284"/>
      <c r="EF58" s="1284"/>
      <c r="EG58" s="1284"/>
      <c r="EH58" s="1313"/>
      <c r="EI58" s="573"/>
      <c r="EJ58" s="573"/>
      <c r="EK58" s="573"/>
      <c r="EL58" s="445"/>
      <c r="EM58" s="445"/>
      <c r="EN58" s="445"/>
      <c r="EO58" s="445"/>
      <c r="EP58" s="445"/>
      <c r="EQ58" s="445"/>
      <c r="ER58" s="445"/>
      <c r="ES58" s="445"/>
      <c r="ET58" s="445"/>
      <c r="EU58" s="445"/>
      <c r="EV58" s="445"/>
      <c r="EW58" s="445"/>
      <c r="EX58" s="445"/>
    </row>
    <row r="59" spans="1:154" ht="12.75" hidden="1" customHeight="1" outlineLevel="1">
      <c r="B59" s="912"/>
      <c r="C59" s="1989"/>
      <c r="D59" s="1"/>
      <c r="E59" s="1"/>
      <c r="F59" s="1"/>
      <c r="G59" s="1"/>
      <c r="H59" s="1"/>
      <c r="I59" s="30"/>
      <c r="J59" s="30"/>
      <c r="K59" s="30"/>
      <c r="L59" s="30"/>
      <c r="M59" s="30"/>
      <c r="N59" s="30"/>
      <c r="O59" s="30"/>
      <c r="P59" s="30"/>
      <c r="Q59" s="30"/>
      <c r="R59" s="30"/>
      <c r="S59" s="30"/>
      <c r="T59" s="30"/>
      <c r="U59" s="30"/>
      <c r="V59" s="30"/>
      <c r="W59" s="30"/>
      <c r="X59" s="308"/>
      <c r="Y59" s="30"/>
      <c r="Z59" s="30"/>
      <c r="AA59" s="30"/>
      <c r="AB59" s="30"/>
      <c r="AC59" s="308"/>
      <c r="AD59" s="30"/>
      <c r="AE59" s="30"/>
      <c r="AF59" s="30"/>
      <c r="AG59" s="30"/>
      <c r="AH59" s="308"/>
      <c r="AI59" s="30"/>
      <c r="AJ59" s="30"/>
      <c r="AK59" s="30"/>
      <c r="AL59" s="30"/>
      <c r="AM59" s="308"/>
      <c r="AN59" s="30"/>
      <c r="AO59" s="30"/>
      <c r="AP59" s="30"/>
      <c r="AQ59" s="30"/>
      <c r="AR59" s="308"/>
      <c r="AS59" s="30"/>
      <c r="AT59" s="30"/>
      <c r="AU59" s="30"/>
      <c r="AV59" s="30"/>
      <c r="AW59" s="308"/>
      <c r="AX59" s="30"/>
      <c r="AY59" s="30"/>
      <c r="AZ59" s="30"/>
      <c r="BA59" s="30"/>
      <c r="BB59" s="308"/>
      <c r="BC59" s="30"/>
      <c r="BD59" s="30"/>
      <c r="BE59" s="30"/>
      <c r="BF59" s="30"/>
      <c r="BG59" s="308"/>
      <c r="BH59" s="30"/>
      <c r="BI59" s="277"/>
      <c r="BJ59" s="30"/>
      <c r="BK59" s="30"/>
      <c r="BL59" s="310">
        <f>+BL58/BL25</f>
      </c>
      <c r="BM59" s="30"/>
      <c r="BN59" s="30"/>
      <c r="BO59" s="30"/>
      <c r="BP59" s="30"/>
      <c r="BQ59" s="308"/>
      <c r="BR59" s="30"/>
      <c r="BS59" s="30"/>
      <c r="BT59" s="30"/>
      <c r="BU59" s="30"/>
      <c r="BV59" s="308"/>
      <c r="BW59" s="30"/>
      <c r="BX59" s="30"/>
      <c r="BY59" s="30"/>
      <c r="BZ59" s="30"/>
      <c r="CA59" s="308"/>
      <c r="CB59" s="30"/>
      <c r="CC59" s="30"/>
      <c r="CD59" s="30"/>
      <c r="CE59" s="30"/>
      <c r="CF59" s="308"/>
      <c r="CG59" s="30"/>
      <c r="CH59" s="30"/>
      <c r="CI59" s="30"/>
      <c r="CJ59" s="30"/>
      <c r="CK59" s="308"/>
      <c r="CL59" s="926"/>
      <c r="CM59" s="926"/>
      <c r="CN59" s="926"/>
      <c r="CO59" s="30"/>
      <c r="CP59" s="308"/>
      <c r="CQ59" s="926"/>
      <c r="CR59" s="926"/>
      <c r="CS59" s="926"/>
      <c r="CT59" s="926"/>
      <c r="CU59" s="308"/>
      <c r="CV59" s="926"/>
      <c r="CW59" s="926"/>
      <c r="CX59" s="926"/>
      <c r="CY59" s="926"/>
      <c r="CZ59" s="308"/>
      <c r="DA59" s="926"/>
      <c r="DB59" s="30"/>
      <c r="DC59" s="30"/>
      <c r="DD59" s="409"/>
      <c r="DE59" s="308"/>
      <c r="DF59" s="926"/>
      <c r="DG59" s="30"/>
      <c r="DH59" s="30"/>
      <c r="DI59" s="409"/>
      <c r="DJ59" s="308"/>
      <c r="DK59" s="926"/>
      <c r="DL59" s="30"/>
      <c r="DM59" s="30"/>
      <c r="DN59" s="409"/>
      <c r="DO59" s="308"/>
      <c r="DP59" s="30"/>
      <c r="DQ59" s="30"/>
      <c r="DR59" s="30"/>
      <c r="DS59" s="409"/>
      <c r="DT59" s="308"/>
      <c r="DU59" s="926"/>
      <c r="DV59" s="926"/>
      <c r="DW59" s="926"/>
      <c r="DX59" s="928"/>
      <c r="DY59" s="308"/>
      <c r="DZ59" s="926"/>
      <c r="EA59" s="926"/>
      <c r="EB59" s="926"/>
      <c r="EC59" s="928"/>
      <c r="ED59" s="1060"/>
      <c r="EE59" s="926"/>
      <c r="EF59" s="926"/>
      <c r="EG59" s="926"/>
      <c r="EH59" s="928"/>
      <c r="EI59" s="308"/>
      <c r="EJ59" s="308"/>
      <c r="EK59" s="308"/>
      <c r="EL59" s="308"/>
      <c r="EM59" s="308"/>
      <c r="EN59" s="308"/>
      <c r="EO59" s="308"/>
      <c r="EP59" s="308"/>
      <c r="EQ59" s="308"/>
      <c r="ER59" s="308"/>
      <c r="ES59" s="308"/>
      <c r="ET59" s="308"/>
      <c r="EU59" s="308"/>
      <c r="EV59" s="308"/>
      <c r="EW59" s="308"/>
      <c r="EX59" s="308"/>
    </row>
    <row r="60" spans="1:154" ht="12.75" hidden="1" customHeight="1" outlineLevel="1">
      <c r="B60" s="1162" t="s">
        <v>453</v>
      </c>
      <c r="C60" s="1989"/>
      <c r="D60" s="1"/>
      <c r="E60" s="1"/>
      <c r="F60" s="1"/>
      <c r="G60" s="1"/>
      <c r="H60" s="1"/>
      <c r="I60" s="24"/>
      <c r="J60" s="1"/>
      <c r="K60" s="1"/>
      <c r="L60" s="1"/>
      <c r="M60" s="1"/>
      <c r="N60" s="24"/>
      <c r="O60" s="24"/>
      <c r="P60" s="24"/>
      <c r="Q60" s="24"/>
      <c r="R60" s="24"/>
      <c r="S60" s="1"/>
      <c r="T60" s="24"/>
      <c r="U60" s="24"/>
      <c r="V60" s="24"/>
      <c r="W60" s="24"/>
      <c r="X60" s="214"/>
      <c r="Y60" s="24"/>
      <c r="Z60" s="24"/>
      <c r="AA60" s="24"/>
      <c r="AB60" s="24"/>
      <c r="AC60" s="214"/>
      <c r="AD60" s="24"/>
      <c r="AE60" s="24"/>
      <c r="AF60" s="24"/>
      <c r="AG60" s="24"/>
      <c r="AH60" s="214"/>
      <c r="AI60" s="1"/>
      <c r="AJ60" s="1"/>
      <c r="AK60" s="1"/>
      <c r="AL60" s="24"/>
      <c r="AM60" s="214"/>
      <c r="AN60" s="1"/>
      <c r="AO60" s="1"/>
      <c r="AP60" s="1"/>
      <c r="AQ60" s="24"/>
      <c r="AR60" s="214"/>
      <c r="AS60" s="1"/>
      <c r="AT60" s="1"/>
      <c r="AU60" s="1"/>
      <c r="AV60" s="24"/>
      <c r="AW60" s="214"/>
      <c r="AX60" s="1"/>
      <c r="AY60" s="1"/>
      <c r="AZ60" s="1"/>
      <c r="BA60" s="1"/>
      <c r="BB60" s="214"/>
      <c r="BC60" s="1"/>
      <c r="BD60" s="1"/>
      <c r="BE60" s="1"/>
      <c r="BF60" s="1"/>
      <c r="BG60" s="214"/>
      <c r="BH60" s="1"/>
      <c r="BI60" s="1"/>
      <c r="BJ60" s="1"/>
      <c r="BK60" s="1"/>
      <c r="BL60" s="1104" t="s">
        <v>29</v>
      </c>
      <c r="BM60" s="1"/>
      <c r="BN60" s="1"/>
      <c r="BO60" s="1"/>
      <c r="BP60" s="1"/>
      <c r="BQ60" s="214"/>
      <c r="BR60" s="1"/>
      <c r="BS60" s="1"/>
      <c r="BT60" s="1"/>
      <c r="BU60" s="1"/>
      <c r="BV60" s="214"/>
      <c r="BW60" s="1"/>
      <c r="BX60" s="1"/>
      <c r="BY60" s="1"/>
      <c r="BZ60" s="1"/>
      <c r="CA60" s="214"/>
      <c r="CB60" s="1"/>
      <c r="CC60" s="1"/>
      <c r="CD60" s="1"/>
      <c r="CE60" s="1"/>
      <c r="CF60" s="214"/>
      <c r="CG60" s="1"/>
      <c r="CH60" s="1"/>
      <c r="CI60" s="1"/>
      <c r="CJ60" s="1"/>
      <c r="CK60" s="214"/>
      <c r="CL60" s="946"/>
      <c r="CM60" s="946"/>
      <c r="CN60" s="946"/>
      <c r="CO60" s="1"/>
      <c r="CP60" s="214"/>
      <c r="CQ60" s="946"/>
      <c r="CR60" s="946"/>
      <c r="CS60" s="946"/>
      <c r="CT60" s="946"/>
      <c r="CU60" s="214"/>
      <c r="CV60" s="946"/>
      <c r="CW60" s="946"/>
      <c r="CX60" s="946"/>
      <c r="CY60" s="946"/>
      <c r="CZ60" s="214"/>
      <c r="DA60" s="946"/>
      <c r="DB60" s="1"/>
      <c r="DC60" s="1"/>
      <c r="DD60" s="79"/>
      <c r="DE60" s="1628"/>
      <c r="DF60" s="1045"/>
      <c r="DG60" s="73"/>
      <c r="DH60" s="73"/>
      <c r="DI60" s="1629"/>
      <c r="DJ60" s="1628"/>
      <c r="DK60" s="1045"/>
      <c r="DL60" s="73"/>
      <c r="DM60" s="73"/>
      <c r="DN60" s="1629"/>
      <c r="DO60" s="1628"/>
      <c r="DP60" s="73"/>
      <c r="DQ60" s="73"/>
      <c r="DR60" s="73"/>
      <c r="DS60" s="1629"/>
      <c r="DT60" s="1628"/>
      <c r="DU60" s="1045"/>
      <c r="DV60" s="1045"/>
      <c r="DW60" s="1045"/>
      <c r="DX60" s="2051"/>
      <c r="DY60" s="1628"/>
      <c r="DZ60" s="1045"/>
      <c r="EA60" s="1045"/>
      <c r="EB60" s="1045"/>
      <c r="EC60" s="2051"/>
      <c r="ED60" s="2734"/>
      <c r="EE60" s="1045"/>
      <c r="EF60" s="1045"/>
      <c r="EG60" s="1045"/>
      <c r="EH60" s="2051"/>
      <c r="EI60" s="1628"/>
      <c r="EJ60" s="1628"/>
      <c r="EK60" s="1628"/>
      <c r="EL60" s="1628"/>
      <c r="EM60" s="1628"/>
      <c r="EN60" s="1628"/>
      <c r="EO60" s="1628"/>
      <c r="EP60" s="1628"/>
      <c r="EQ60" s="1628"/>
      <c r="ER60" s="1628"/>
      <c r="ES60" s="1628"/>
      <c r="ET60" s="1628"/>
      <c r="EU60" s="1628"/>
      <c r="EV60" s="1628"/>
      <c r="EW60" s="1628"/>
      <c r="EX60" s="1628"/>
    </row>
    <row r="61" spans="1:154" ht="12.75" hidden="1" customHeight="1" outlineLevel="1">
      <c r="B61" s="912" t="s">
        <v>153</v>
      </c>
      <c r="C61" s="1989"/>
      <c r="D61" s="1"/>
      <c r="E61" s="1"/>
      <c r="F61" s="1"/>
      <c r="G61" s="1"/>
      <c r="H61" s="1"/>
      <c r="I61" s="30">
        <f t="shared" ref="I61:R62" si="179">IF(D56="NM","NM",IF(I56="NM","NM",IF(D56&lt;=0,"NM",IF(I56=0,"NM",IF(ABS(I56/D56-1)&gt;2.5,"NM",IF((ABS(I56-D56)=ABS(ABS(I56)-ABS(D56))),(I56/D56-1),"NM"))))))</f>
      </c>
      <c r="J61" s="30">
        <f t="shared" si="179"/>
      </c>
      <c r="K61" s="30">
        <f t="shared" si="179"/>
      </c>
      <c r="L61" s="30">
        <f t="shared" si="179"/>
      </c>
      <c r="M61" s="30">
        <f t="shared" si="179"/>
      </c>
      <c r="N61" s="30">
        <f t="shared" si="179"/>
      </c>
      <c r="O61" s="30">
        <f t="shared" si="179"/>
      </c>
      <c r="P61" s="30">
        <f t="shared" si="179"/>
      </c>
      <c r="Q61" s="30">
        <f t="shared" si="179"/>
      </c>
      <c r="R61" s="30">
        <f t="shared" si="179"/>
      </c>
      <c r="S61" s="30">
        <f t="shared" ref="S61:AB62" si="180">IF(N56="NM","NM",IF(S56="NM","NM",IF(N56&lt;=0,"NM",IF(S56=0,"NM",IF(ABS(S56/N56-1)&gt;2.5,"NM",IF((ABS(S56-N56)=ABS(ABS(S56)-ABS(N56))),(S56/N56-1),"NM"))))))</f>
      </c>
      <c r="T61" s="30">
        <f t="shared" si="180"/>
      </c>
      <c r="U61" s="30">
        <f t="shared" si="180"/>
      </c>
      <c r="V61" s="30">
        <f t="shared" si="180"/>
      </c>
      <c r="W61" s="30">
        <f t="shared" si="180"/>
      </c>
      <c r="X61" s="308">
        <f t="shared" si="180"/>
      </c>
      <c r="Y61" s="30">
        <f t="shared" si="180"/>
      </c>
      <c r="Z61" s="30">
        <f t="shared" si="180"/>
      </c>
      <c r="AA61" s="30">
        <f t="shared" si="180"/>
      </c>
      <c r="AB61" s="30">
        <f t="shared" si="180"/>
      </c>
      <c r="AC61" s="308">
        <f t="shared" ref="AC61:AL62" si="181">IF(X56="NM","NM",IF(AC56="NM","NM",IF(X56&lt;=0,"NM",IF(AC56=0,"NM",IF(ABS(AC56/X56-1)&gt;2.5,"NM",IF((ABS(AC56-X56)=ABS(ABS(AC56)-ABS(X56))),(AC56/X56-1),"NM"))))))</f>
      </c>
      <c r="AD61" s="30">
        <f t="shared" si="181"/>
      </c>
      <c r="AE61" s="30">
        <f t="shared" si="181"/>
      </c>
      <c r="AF61" s="30">
        <f t="shared" si="181"/>
      </c>
      <c r="AG61" s="30">
        <f t="shared" si="181"/>
      </c>
      <c r="AH61" s="308">
        <f t="shared" si="181"/>
      </c>
      <c r="AI61" s="30">
        <f t="shared" si="181"/>
      </c>
      <c r="AJ61" s="30">
        <f t="shared" si="181"/>
      </c>
      <c r="AK61" s="30">
        <f t="shared" si="181"/>
      </c>
      <c r="AL61" s="30">
        <f t="shared" si="181"/>
      </c>
      <c r="AM61" s="308">
        <f t="shared" ref="AM61:AV62" si="182">IF(AH56="NM","NM",IF(AM56="NM","NM",IF(AH56&lt;=0,"NM",IF(AM56=0,"NM",IF(ABS(AM56/AH56-1)&gt;2.5,"NM",IF((ABS(AM56-AH56)=ABS(ABS(AM56)-ABS(AH56))),(AM56/AH56-1),"NM"))))))</f>
      </c>
      <c r="AN61" s="30">
        <f t="shared" si="182"/>
      </c>
      <c r="AO61" s="30">
        <f t="shared" si="182"/>
      </c>
      <c r="AP61" s="30">
        <f t="shared" si="182"/>
      </c>
      <c r="AQ61" s="30">
        <f t="shared" si="182"/>
      </c>
      <c r="AR61" s="308">
        <f t="shared" si="182"/>
      </c>
      <c r="AS61" s="30">
        <f t="shared" si="182"/>
      </c>
      <c r="AT61" s="30">
        <f t="shared" si="182"/>
      </c>
      <c r="AU61" s="30">
        <f t="shared" si="182"/>
      </c>
      <c r="AV61" s="30">
        <f t="shared" si="182"/>
      </c>
      <c r="AW61" s="308">
        <f t="shared" ref="AW61:BF62" si="183">IF(AR56="NM","NM",IF(AW56="NM","NM",IF(AR56&lt;=0,"NM",IF(AW56=0,"NM",IF(ABS(AW56/AR56-1)&gt;2.5,"NM",IF((ABS(AW56-AR56)=ABS(ABS(AW56)-ABS(AR56))),(AW56/AR56-1),"NM"))))))</f>
      </c>
      <c r="AX61" s="30">
        <f t="shared" si="183"/>
      </c>
      <c r="AY61" s="30">
        <f t="shared" si="183"/>
      </c>
      <c r="AZ61" s="30">
        <f t="shared" si="183"/>
      </c>
      <c r="BA61" s="30">
        <f t="shared" si="183"/>
      </c>
      <c r="BB61" s="308">
        <f t="shared" si="183"/>
      </c>
      <c r="BC61" s="30">
        <f t="shared" si="183"/>
      </c>
      <c r="BD61" s="30">
        <f t="shared" si="183"/>
      </c>
      <c r="BE61" s="30">
        <f t="shared" si="183"/>
      </c>
      <c r="BF61" s="30">
        <f t="shared" si="183"/>
      </c>
      <c r="BG61" s="308">
        <f t="shared" ref="BG61:BP62" si="184">IF(BB56="NM","NM",IF(BG56="NM","NM",IF(BB56&lt;=0,"NM",IF(BG56=0,"NM",IF(ABS(BG56/BB56-1)&gt;2.5,"NM",IF((ABS(BG56-BB56)=ABS(ABS(BG56)-ABS(BB56))),(BG56/BB56-1),"NM"))))))</f>
      </c>
      <c r="BH61" s="30">
        <f t="shared" si="184"/>
      </c>
      <c r="BI61" s="30">
        <f t="shared" si="184"/>
      </c>
      <c r="BJ61" s="30">
        <f t="shared" si="184"/>
      </c>
      <c r="BK61" s="30">
        <f t="shared" si="184"/>
      </c>
      <c r="BL61" s="308">
        <f t="shared" si="184"/>
      </c>
      <c r="BM61" s="30">
        <f t="shared" si="184"/>
      </c>
      <c r="BN61" s="30">
        <f t="shared" si="184"/>
      </c>
      <c r="BO61" s="30">
        <f t="shared" si="184"/>
      </c>
      <c r="BP61" s="30">
        <f t="shared" si="184"/>
      </c>
      <c r="BQ61" s="308">
        <f t="shared" ref="BQ61:BZ62" si="185">IF(BL56="NM","NM",IF(BQ56="NM","NM",IF(BL56&lt;=0,"NM",IF(BQ56=0,"NM",IF(ABS(BQ56/BL56-1)&gt;2.5,"NM",IF((ABS(BQ56-BL56)=ABS(ABS(BQ56)-ABS(BL56))),(BQ56/BL56-1),"NM"))))))</f>
      </c>
      <c r="BR61" s="30">
        <f t="shared" si="185"/>
      </c>
      <c r="BS61" s="30">
        <f t="shared" si="185"/>
      </c>
      <c r="BT61" s="30">
        <f t="shared" si="185"/>
      </c>
      <c r="BU61" s="30">
        <f t="shared" si="185"/>
      </c>
      <c r="BV61" s="308">
        <f t="shared" si="185"/>
      </c>
      <c r="BW61" s="30">
        <f t="shared" si="185"/>
      </c>
      <c r="BX61" s="30">
        <f t="shared" si="185"/>
      </c>
      <c r="BY61" s="30">
        <f t="shared" si="185"/>
      </c>
      <c r="BZ61" s="30">
        <f t="shared" si="185"/>
      </c>
      <c r="CA61" s="308">
        <f t="shared" ref="CA61:CE62" si="186">IF(BV56="NM","NM",IF(CA56="NM","NM",IF(BV56&lt;=0,"NM",IF(CA56=0,"NM",IF(ABS(CA56/BV56-1)&gt;2.5,"NM",IF((ABS(CA56-BV56)=ABS(ABS(CA56)-ABS(BV56))),(CA56/BV56-1),"NM"))))))</f>
      </c>
      <c r="CB61" s="30">
        <f t="shared" si="186"/>
      </c>
      <c r="CC61" s="30">
        <f t="shared" si="186"/>
      </c>
      <c r="CD61" s="30">
        <f t="shared" si="186"/>
      </c>
      <c r="CE61" s="30">
        <f t="shared" si="186"/>
      </c>
      <c r="CF61" s="308">
        <f>IF(CA56=0, "NA", CF56/CA56-1)</f>
      </c>
      <c r="CG61" s="30">
        <f t="shared" ref="CG61:CN62" si="187">IF(CB56=0, "NA", CG56/CB56-1)</f>
      </c>
      <c r="CH61" s="30">
        <f t="shared" si="187"/>
      </c>
      <c r="CI61" s="30">
        <f t="shared" si="187"/>
      </c>
      <c r="CJ61" s="30">
        <f>IF(CE56=0, "NA", CJ56/CE56-1)</f>
      </c>
      <c r="CK61" s="308">
        <f>IF(CF56=0, "NA", CK56/CF56-1)</f>
      </c>
      <c r="CL61" s="926">
        <f t="shared" si="187"/>
      </c>
      <c r="CM61" s="926">
        <f t="shared" si="187"/>
      </c>
      <c r="CN61" s="926">
        <f t="shared" si="187"/>
      </c>
      <c r="CO61" s="30">
        <f>IF(CJ56=0, "NA", CO56/CJ56-1)</f>
      </c>
      <c r="CP61" s="308">
        <f>IF(CK56=0, "NA", CP56/CK56-1)</f>
      </c>
      <c r="CQ61" s="926">
        <f t="shared" ref="CQ61:CS62" si="188">IF(CL56=0, "NA", CQ56/CL56-1)</f>
      </c>
      <c r="CR61" s="926">
        <f t="shared" si="188"/>
      </c>
      <c r="CS61" s="926">
        <f t="shared" si="188"/>
      </c>
      <c r="CT61" s="926">
        <f t="shared" ref="CT61:CX62" si="189">IF(CO56=0, "NA", CT56/CO56-1)</f>
      </c>
      <c r="CU61" s="308">
        <f t="shared" si="189"/>
      </c>
      <c r="CV61" s="926">
        <f t="shared" si="189"/>
      </c>
      <c r="CW61" s="926">
        <f t="shared" si="189"/>
      </c>
      <c r="CX61" s="926">
        <f t="shared" si="189"/>
      </c>
      <c r="CY61" s="926">
        <f t="shared" ref="CY61:DH62" si="190">IF(CT56=0, "NA", CY56/CT56-1)</f>
      </c>
      <c r="CZ61" s="308">
        <f t="shared" si="190"/>
      </c>
      <c r="DA61" s="926">
        <f t="shared" si="190"/>
      </c>
      <c r="DB61" s="30">
        <f t="shared" si="190"/>
      </c>
      <c r="DC61" s="30">
        <f t="shared" si="190"/>
      </c>
      <c r="DD61" s="409">
        <f t="shared" si="190"/>
      </c>
      <c r="DE61" s="308">
        <f t="shared" si="190"/>
      </c>
      <c r="DF61" s="926">
        <f t="shared" si="190"/>
      </c>
      <c r="DG61" s="30">
        <f t="shared" si="190"/>
      </c>
      <c r="DH61" s="30">
        <f t="shared" si="190"/>
      </c>
      <c r="DI61" s="409">
        <f t="shared" ref="DI61:DR62" si="191">IF(DD56=0, "NA", DI56/DD56-1)</f>
      </c>
      <c r="DJ61" s="308">
        <f t="shared" si="191"/>
      </c>
      <c r="DK61" s="926">
        <f t="shared" si="191"/>
      </c>
      <c r="DL61" s="30">
        <f t="shared" si="191"/>
      </c>
      <c r="DM61" s="30">
        <f t="shared" si="191"/>
      </c>
      <c r="DN61" s="409">
        <f t="shared" si="191"/>
      </c>
      <c r="DO61" s="308">
        <f t="shared" si="191"/>
      </c>
      <c r="DP61" s="30">
        <f t="shared" si="191"/>
      </c>
      <c r="DQ61" s="30">
        <f t="shared" si="191"/>
      </c>
      <c r="DR61" s="30">
        <f t="shared" si="191"/>
      </c>
      <c r="DS61" s="409">
        <f t="shared" ref="DS61:DV62" si="192">IF(DN56=0, "NA", DS56/DN56-1)</f>
      </c>
      <c r="DT61" s="308">
        <f t="shared" si="192"/>
      </c>
      <c r="DU61" s="926">
        <f t="shared" si="192"/>
      </c>
      <c r="DV61" s="926">
        <f t="shared" si="192"/>
      </c>
      <c r="DW61" s="926"/>
      <c r="DX61" s="928"/>
      <c r="DY61" s="308"/>
      <c r="DZ61" s="926"/>
      <c r="EA61" s="926"/>
      <c r="EB61" s="926"/>
      <c r="EC61" s="928"/>
      <c r="ED61" s="1060"/>
      <c r="EE61" s="926"/>
      <c r="EF61" s="926"/>
      <c r="EG61" s="926"/>
      <c r="EH61" s="928"/>
      <c r="EI61" s="308"/>
      <c r="EJ61" s="308"/>
      <c r="EK61" s="308"/>
      <c r="EL61" s="308"/>
      <c r="EM61" s="308"/>
      <c r="EN61" s="308"/>
      <c r="EO61" s="308"/>
      <c r="EP61" s="308"/>
      <c r="EQ61" s="308"/>
      <c r="ER61" s="308"/>
      <c r="ES61" s="308"/>
      <c r="ET61" s="308"/>
      <c r="EU61" s="308"/>
      <c r="EV61" s="308"/>
      <c r="EW61" s="308"/>
      <c r="EX61" s="308"/>
    </row>
    <row r="62" spans="1:154" ht="12.75" hidden="1" customHeight="1" outlineLevel="1">
      <c r="B62" s="912" t="s">
        <v>253</v>
      </c>
      <c r="C62" s="1989"/>
      <c r="D62" s="1"/>
      <c r="E62" s="1"/>
      <c r="F62" s="1"/>
      <c r="G62" s="1"/>
      <c r="H62" s="1"/>
      <c r="I62" s="30">
        <f t="shared" si="179"/>
      </c>
      <c r="J62" s="30">
        <f t="shared" si="179"/>
      </c>
      <c r="K62" s="30">
        <f t="shared" si="179"/>
      </c>
      <c r="L62" s="30">
        <f t="shared" si="179"/>
      </c>
      <c r="M62" s="30">
        <f t="shared" si="179"/>
      </c>
      <c r="N62" s="30">
        <f t="shared" si="179"/>
      </c>
      <c r="O62" s="30">
        <f t="shared" si="179"/>
      </c>
      <c r="P62" s="30">
        <f t="shared" si="179"/>
      </c>
      <c r="Q62" s="30">
        <f t="shared" si="179"/>
      </c>
      <c r="R62" s="30">
        <f t="shared" si="179"/>
      </c>
      <c r="S62" s="30">
        <f t="shared" si="180"/>
      </c>
      <c r="T62" s="30">
        <f t="shared" si="180"/>
      </c>
      <c r="U62" s="30">
        <f t="shared" si="180"/>
      </c>
      <c r="V62" s="30">
        <f t="shared" si="180"/>
      </c>
      <c r="W62" s="30">
        <f t="shared" si="180"/>
      </c>
      <c r="X62" s="308">
        <f t="shared" si="180"/>
      </c>
      <c r="Y62" s="30">
        <f t="shared" si="180"/>
      </c>
      <c r="Z62" s="30">
        <f t="shared" si="180"/>
      </c>
      <c r="AA62" s="30">
        <f t="shared" si="180"/>
      </c>
      <c r="AB62" s="30">
        <f t="shared" si="180"/>
      </c>
      <c r="AC62" s="308">
        <f t="shared" si="181"/>
      </c>
      <c r="AD62" s="30">
        <f t="shared" si="181"/>
      </c>
      <c r="AE62" s="30">
        <f t="shared" si="181"/>
      </c>
      <c r="AF62" s="30">
        <f t="shared" si="181"/>
      </c>
      <c r="AG62" s="30">
        <f t="shared" si="181"/>
      </c>
      <c r="AH62" s="308">
        <f t="shared" si="181"/>
      </c>
      <c r="AI62" s="30">
        <f t="shared" si="181"/>
      </c>
      <c r="AJ62" s="30">
        <f t="shared" si="181"/>
      </c>
      <c r="AK62" s="30">
        <f t="shared" si="181"/>
      </c>
      <c r="AL62" s="30">
        <f t="shared" si="181"/>
      </c>
      <c r="AM62" s="308">
        <f t="shared" si="182"/>
      </c>
      <c r="AN62" s="30">
        <f t="shared" si="182"/>
      </c>
      <c r="AO62" s="30">
        <f t="shared" si="182"/>
      </c>
      <c r="AP62" s="30">
        <f t="shared" si="182"/>
      </c>
      <c r="AQ62" s="30">
        <f t="shared" si="182"/>
      </c>
      <c r="AR62" s="308">
        <f t="shared" si="182"/>
      </c>
      <c r="AS62" s="30">
        <f t="shared" si="182"/>
      </c>
      <c r="AT62" s="30">
        <f t="shared" si="182"/>
      </c>
      <c r="AU62" s="30">
        <f t="shared" si="182"/>
      </c>
      <c r="AV62" s="30">
        <f t="shared" si="182"/>
      </c>
      <c r="AW62" s="308">
        <f t="shared" si="183"/>
      </c>
      <c r="AX62" s="30">
        <f t="shared" si="183"/>
      </c>
      <c r="AY62" s="30">
        <f t="shared" si="183"/>
      </c>
      <c r="AZ62" s="30">
        <f t="shared" si="183"/>
      </c>
      <c r="BA62" s="30">
        <f t="shared" si="183"/>
      </c>
      <c r="BB62" s="308">
        <f t="shared" si="183"/>
      </c>
      <c r="BC62" s="30">
        <f t="shared" si="183"/>
      </c>
      <c r="BD62" s="30">
        <f t="shared" si="183"/>
      </c>
      <c r="BE62" s="30">
        <f t="shared" si="183"/>
      </c>
      <c r="BF62" s="30">
        <f t="shared" si="183"/>
      </c>
      <c r="BG62" s="308">
        <f t="shared" si="184"/>
      </c>
      <c r="BH62" s="30">
        <f t="shared" si="184"/>
      </c>
      <c r="BI62" s="30">
        <f t="shared" si="184"/>
      </c>
      <c r="BJ62" s="30">
        <f t="shared" si="184"/>
      </c>
      <c r="BK62" s="30">
        <f t="shared" si="184"/>
      </c>
      <c r="BL62" s="308">
        <f t="shared" si="184"/>
      </c>
      <c r="BM62" s="30">
        <f t="shared" si="184"/>
      </c>
      <c r="BN62" s="30">
        <f t="shared" si="184"/>
      </c>
      <c r="BO62" s="30">
        <f t="shared" si="184"/>
      </c>
      <c r="BP62" s="30">
        <f t="shared" si="184"/>
      </c>
      <c r="BQ62" s="308">
        <f t="shared" si="185"/>
      </c>
      <c r="BR62" s="30">
        <f t="shared" si="185"/>
      </c>
      <c r="BS62" s="30">
        <f t="shared" si="185"/>
      </c>
      <c r="BT62" s="30">
        <f t="shared" si="185"/>
      </c>
      <c r="BU62" s="30">
        <f t="shared" si="185"/>
      </c>
      <c r="BV62" s="308">
        <f t="shared" si="185"/>
      </c>
      <c r="BW62" s="30">
        <f t="shared" si="185"/>
      </c>
      <c r="BX62" s="30">
        <f t="shared" si="185"/>
      </c>
      <c r="BY62" s="30">
        <f t="shared" si="185"/>
      </c>
      <c r="BZ62" s="30">
        <f t="shared" si="185"/>
      </c>
      <c r="CA62" s="308">
        <f t="shared" si="186"/>
      </c>
      <c r="CB62" s="30">
        <f t="shared" si="186"/>
      </c>
      <c r="CC62" s="30">
        <f t="shared" si="186"/>
      </c>
      <c r="CD62" s="30">
        <f t="shared" si="186"/>
      </c>
      <c r="CE62" s="30">
        <f t="shared" si="186"/>
      </c>
      <c r="CF62" s="308">
        <f>IF(CA57=0, "NA", CF57/CA57-1)</f>
      </c>
      <c r="CG62" s="30">
        <f t="shared" si="187"/>
      </c>
      <c r="CH62" s="30">
        <f>IF(CC57=0, "NA", CH57/CC57-1)</f>
      </c>
      <c r="CI62" s="30">
        <f>IF(CD57=0, "NA", CI57/CD57-1)</f>
      </c>
      <c r="CJ62" s="30">
        <f>IF(CE57=0, "NA", CJ57/CE57-1)</f>
      </c>
      <c r="CK62" s="308">
        <f>IF(CF57=0, "NA", CK57/CF57-1)</f>
      </c>
      <c r="CL62" s="926">
        <f t="shared" si="187"/>
      </c>
      <c r="CM62" s="926">
        <f>IF(CH57=0, "NA", CM57/CH57-1)</f>
      </c>
      <c r="CN62" s="926">
        <f>IF(CI57=0, "NA", CN57/CI57-1)</f>
      </c>
      <c r="CO62" s="30">
        <f>IF(CJ57=0, "NA", CO57/CJ57-1)</f>
      </c>
      <c r="CP62" s="308">
        <f>IF(CK57=0, "NA", CP57/CK57-1)</f>
      </c>
      <c r="CQ62" s="926">
        <f t="shared" si="188"/>
      </c>
      <c r="CR62" s="926">
        <f>IF(CM57=0, "NA", CR57/CM57-1)</f>
      </c>
      <c r="CS62" s="926">
        <f>IF(CN57=0, "NA", CS57/CN57-1)</f>
      </c>
      <c r="CT62" s="926">
        <f>IF(CO57=0, "NA", CT57/CO57-1)</f>
      </c>
      <c r="CU62" s="308">
        <f>IF(CP57=0, "NA", CU57/CP57-1)</f>
      </c>
      <c r="CV62" s="926">
        <f t="shared" si="189"/>
      </c>
      <c r="CW62" s="926">
        <f>IF(CR57=0, "NA", CW57/CR57-1)</f>
      </c>
      <c r="CX62" s="926">
        <f>IF(CS57=0, "NA", CX57/CS57-1)</f>
      </c>
      <c r="CY62" s="926">
        <f t="shared" si="190"/>
      </c>
      <c r="CZ62" s="308">
        <f t="shared" si="190"/>
      </c>
      <c r="DA62" s="926">
        <f t="shared" si="190"/>
      </c>
      <c r="DB62" s="30">
        <f t="shared" si="190"/>
      </c>
      <c r="DC62" s="30">
        <f t="shared" si="190"/>
      </c>
      <c r="DD62" s="409">
        <f t="shared" si="190"/>
      </c>
      <c r="DE62" s="308">
        <f t="shared" si="190"/>
      </c>
      <c r="DF62" s="926">
        <f t="shared" si="190"/>
      </c>
      <c r="DG62" s="30">
        <f t="shared" si="190"/>
      </c>
      <c r="DH62" s="30">
        <f t="shared" si="190"/>
      </c>
      <c r="DI62" s="409">
        <f t="shared" si="191"/>
      </c>
      <c r="DJ62" s="308">
        <f t="shared" si="191"/>
      </c>
      <c r="DK62" s="926">
        <f t="shared" si="191"/>
      </c>
      <c r="DL62" s="30">
        <f t="shared" si="191"/>
      </c>
      <c r="DM62" s="30">
        <f t="shared" si="191"/>
      </c>
      <c r="DN62" s="409">
        <f t="shared" si="191"/>
      </c>
      <c r="DO62" s="308">
        <f t="shared" si="191"/>
      </c>
      <c r="DP62" s="30">
        <f t="shared" si="191"/>
      </c>
      <c r="DQ62" s="30">
        <f t="shared" si="191"/>
      </c>
      <c r="DR62" s="30">
        <f t="shared" si="191"/>
      </c>
      <c r="DS62" s="409">
        <f t="shared" si="192"/>
      </c>
      <c r="DT62" s="308">
        <f t="shared" si="192"/>
      </c>
      <c r="DU62" s="926">
        <f t="shared" si="192"/>
      </c>
      <c r="DV62" s="926">
        <f t="shared" si="192"/>
      </c>
      <c r="DW62" s="926"/>
      <c r="DX62" s="928"/>
      <c r="DY62" s="308"/>
      <c r="DZ62" s="926"/>
      <c r="EA62" s="926"/>
      <c r="EB62" s="926"/>
      <c r="EC62" s="928"/>
      <c r="ED62" s="1060"/>
      <c r="EE62" s="926"/>
      <c r="EF62" s="926"/>
      <c r="EG62" s="926"/>
      <c r="EH62" s="928"/>
      <c r="EI62" s="308"/>
      <c r="EJ62" s="308"/>
      <c r="EK62" s="308"/>
      <c r="EL62" s="308"/>
      <c r="EM62" s="308"/>
      <c r="EN62" s="308"/>
      <c r="EO62" s="308"/>
      <c r="EP62" s="308"/>
      <c r="EQ62" s="308"/>
      <c r="ER62" s="308"/>
      <c r="ES62" s="308"/>
      <c r="ET62" s="308"/>
      <c r="EU62" s="308"/>
      <c r="EV62" s="308"/>
      <c r="EW62" s="308"/>
      <c r="EX62" s="308"/>
    </row>
    <row r="63" spans="1:154" ht="12.75" hidden="1" customHeight="1" outlineLevel="1">
      <c r="B63" s="912" t="s">
        <v>254</v>
      </c>
      <c r="C63" s="1989"/>
      <c r="D63" s="1"/>
      <c r="E63" s="1"/>
      <c r="F63" s="1"/>
      <c r="G63" s="1"/>
      <c r="H63" s="1"/>
      <c r="I63" s="1"/>
      <c r="J63" s="1"/>
      <c r="K63" s="1"/>
      <c r="L63" s="1"/>
      <c r="M63" s="1"/>
      <c r="N63" s="24"/>
      <c r="O63" s="24"/>
      <c r="P63" s="24"/>
      <c r="Q63" s="24"/>
      <c r="R63" s="24"/>
      <c r="S63" s="1"/>
      <c r="T63" s="24"/>
      <c r="U63" s="24"/>
      <c r="V63" s="24"/>
      <c r="W63" s="24"/>
      <c r="X63" s="309"/>
      <c r="Y63" s="24"/>
      <c r="Z63" s="24"/>
      <c r="AA63" s="24"/>
      <c r="AB63" s="24"/>
      <c r="AC63" s="309"/>
      <c r="AD63" s="24"/>
      <c r="AE63" s="24"/>
      <c r="AF63" s="24"/>
      <c r="AG63" s="24"/>
      <c r="AH63" s="309"/>
      <c r="AI63" s="41">
        <f t="shared" ref="AI63:BN63" si="193">IF(ISNUMBER(AI62),(1+AI62)/(1+AI$21)-1,"NM")</f>
      </c>
      <c r="AJ63" s="41">
        <f t="shared" si="193"/>
      </c>
      <c r="AK63" s="41">
        <f t="shared" si="193"/>
      </c>
      <c r="AL63" s="41">
        <f t="shared" si="193"/>
      </c>
      <c r="AM63" s="309">
        <f t="shared" si="193"/>
      </c>
      <c r="AN63" s="41">
        <f t="shared" si="193"/>
      </c>
      <c r="AO63" s="41">
        <f t="shared" si="193"/>
      </c>
      <c r="AP63" s="41">
        <f t="shared" si="193"/>
      </c>
      <c r="AQ63" s="41">
        <f t="shared" si="193"/>
      </c>
      <c r="AR63" s="309">
        <f t="shared" si="193"/>
      </c>
      <c r="AS63" s="41">
        <f t="shared" si="193"/>
      </c>
      <c r="AT63" s="41">
        <f t="shared" si="193"/>
      </c>
      <c r="AU63" s="41">
        <f t="shared" si="193"/>
      </c>
      <c r="AV63" s="41">
        <f t="shared" si="193"/>
      </c>
      <c r="AW63" s="309">
        <f t="shared" si="193"/>
      </c>
      <c r="AX63" s="41">
        <f t="shared" si="193"/>
      </c>
      <c r="AY63" s="41">
        <f t="shared" si="193"/>
      </c>
      <c r="AZ63" s="41">
        <f t="shared" si="193"/>
      </c>
      <c r="BA63" s="41">
        <f t="shared" si="193"/>
      </c>
      <c r="BB63" s="309">
        <f t="shared" si="193"/>
      </c>
      <c r="BC63" s="41">
        <f t="shared" si="193"/>
      </c>
      <c r="BD63" s="41">
        <f t="shared" si="193"/>
      </c>
      <c r="BE63" s="41">
        <f t="shared" si="193"/>
      </c>
      <c r="BF63" s="41">
        <f t="shared" si="193"/>
      </c>
      <c r="BG63" s="309">
        <f t="shared" si="193"/>
      </c>
      <c r="BH63" s="41">
        <f t="shared" si="193"/>
      </c>
      <c r="BI63" s="41">
        <f t="shared" si="193"/>
      </c>
      <c r="BJ63" s="41">
        <f t="shared" si="193"/>
      </c>
      <c r="BK63" s="41">
        <f t="shared" si="193"/>
      </c>
      <c r="BL63" s="309">
        <f t="shared" si="193"/>
      </c>
      <c r="BM63" s="41">
        <f t="shared" si="193"/>
      </c>
      <c r="BN63" s="41">
        <f t="shared" si="193"/>
      </c>
      <c r="BO63" s="41">
        <f t="shared" ref="BO63:CE63" si="194">IF(ISNUMBER(BO62),(1+BO62)/(1+BO$21)-1,"NM")</f>
      </c>
      <c r="BP63" s="41">
        <f t="shared" si="194"/>
      </c>
      <c r="BQ63" s="309">
        <f t="shared" si="194"/>
      </c>
      <c r="BR63" s="41">
        <f t="shared" si="194"/>
      </c>
      <c r="BS63" s="41">
        <f t="shared" si="194"/>
      </c>
      <c r="BT63" s="41">
        <f t="shared" si="194"/>
      </c>
      <c r="BU63" s="41">
        <f t="shared" si="194"/>
      </c>
      <c r="BV63" s="309">
        <f t="shared" si="194"/>
      </c>
      <c r="BW63" s="41">
        <f t="shared" si="194"/>
      </c>
      <c r="BX63" s="41">
        <f t="shared" si="194"/>
      </c>
      <c r="BY63" s="41">
        <f t="shared" si="194"/>
      </c>
      <c r="BZ63" s="41">
        <f t="shared" si="194"/>
      </c>
      <c r="CA63" s="309">
        <f t="shared" si="194"/>
      </c>
      <c r="CB63" s="41">
        <f t="shared" si="194"/>
      </c>
      <c r="CC63" s="41">
        <f t="shared" si="194"/>
      </c>
      <c r="CD63" s="41">
        <f t="shared" si="194"/>
      </c>
      <c r="CE63" s="41">
        <f t="shared" si="194"/>
      </c>
      <c r="CF63" s="309">
        <f t="shared" ref="CF63:CK63" si="195">CF62-CF$21</f>
      </c>
      <c r="CG63" s="41">
        <f t="shared" si="195"/>
      </c>
      <c r="CH63" s="41">
        <f t="shared" si="195"/>
      </c>
      <c r="CI63" s="41">
        <f t="shared" si="195"/>
      </c>
      <c r="CJ63" s="41">
        <f t="shared" si="195"/>
      </c>
      <c r="CK63" s="309">
        <f t="shared" si="195"/>
      </c>
      <c r="CL63" s="925">
        <f t="shared" ref="CL63:CZ63" si="196">CL62-CL$21</f>
      </c>
      <c r="CM63" s="925">
        <f t="shared" si="196"/>
      </c>
      <c r="CN63" s="925">
        <f t="shared" si="196"/>
      </c>
      <c r="CO63" s="41">
        <f t="shared" si="196"/>
      </c>
      <c r="CP63" s="309">
        <f t="shared" si="196"/>
      </c>
      <c r="CQ63" s="925">
        <f t="shared" si="196"/>
      </c>
      <c r="CR63" s="925">
        <f t="shared" si="196"/>
      </c>
      <c r="CS63" s="925">
        <f t="shared" si="196"/>
      </c>
      <c r="CT63" s="925">
        <f t="shared" si="196"/>
      </c>
      <c r="CU63" s="309">
        <f t="shared" si="196"/>
      </c>
      <c r="CV63" s="925">
        <f t="shared" si="196"/>
      </c>
      <c r="CW63" s="925">
        <f t="shared" si="196"/>
      </c>
      <c r="CX63" s="925">
        <f t="shared" si="196"/>
      </c>
      <c r="CY63" s="925">
        <f t="shared" si="196"/>
      </c>
      <c r="CZ63" s="309">
        <f t="shared" si="196"/>
      </c>
      <c r="DA63" s="925">
        <f>DA62-DA$21</f>
      </c>
      <c r="DB63" s="41">
        <f>DB62-DB$21</f>
      </c>
      <c r="DC63" s="41">
        <f t="shared" ref="DC63:DI63" si="197">DC62-DC$21</f>
      </c>
      <c r="DD63" s="837">
        <f t="shared" si="197"/>
      </c>
      <c r="DE63" s="308">
        <f t="shared" si="197"/>
      </c>
      <c r="DF63" s="926">
        <f t="shared" si="197"/>
      </c>
      <c r="DG63" s="30">
        <f t="shared" si="197"/>
      </c>
      <c r="DH63" s="30">
        <f t="shared" si="197"/>
      </c>
      <c r="DI63" s="409">
        <f t="shared" si="197"/>
      </c>
      <c r="DJ63" s="308">
        <f t="shared" ref="DJ63:DV63" si="198">DJ62-DJ$21</f>
      </c>
      <c r="DK63" s="926">
        <f t="shared" si="198"/>
      </c>
      <c r="DL63" s="30">
        <f t="shared" si="198"/>
      </c>
      <c r="DM63" s="30">
        <f t="shared" si="198"/>
      </c>
      <c r="DN63" s="409">
        <f t="shared" si="198"/>
      </c>
      <c r="DO63" s="308">
        <f t="shared" si="198"/>
      </c>
      <c r="DP63" s="30">
        <f t="shared" si="198"/>
      </c>
      <c r="DQ63" s="30">
        <f t="shared" si="198"/>
      </c>
      <c r="DR63" s="30">
        <f t="shared" si="198"/>
      </c>
      <c r="DS63" s="409">
        <f t="shared" si="198"/>
      </c>
      <c r="DT63" s="308">
        <f t="shared" si="198"/>
      </c>
      <c r="DU63" s="926">
        <f t="shared" si="198"/>
      </c>
      <c r="DV63" s="926">
        <f t="shared" si="198"/>
      </c>
      <c r="DW63" s="926"/>
      <c r="DX63" s="928"/>
      <c r="DY63" s="308"/>
      <c r="DZ63" s="926"/>
      <c r="EA63" s="926"/>
      <c r="EB63" s="926"/>
      <c r="EC63" s="928"/>
      <c r="ED63" s="1060"/>
      <c r="EE63" s="926"/>
      <c r="EF63" s="926"/>
      <c r="EG63" s="926"/>
      <c r="EH63" s="928"/>
      <c r="EI63" s="308"/>
      <c r="EJ63" s="308"/>
      <c r="EK63" s="308"/>
      <c r="EL63" s="308"/>
      <c r="EM63" s="308"/>
      <c r="EN63" s="308"/>
      <c r="EO63" s="309"/>
      <c r="EP63" s="309"/>
      <c r="EQ63" s="309"/>
      <c r="ER63" s="309"/>
      <c r="ES63" s="309"/>
      <c r="ET63" s="309"/>
      <c r="EU63" s="309"/>
      <c r="EV63" s="309"/>
      <c r="EW63" s="309"/>
      <c r="EX63" s="309"/>
    </row>
    <row r="64" spans="1:154" ht="12.75" hidden="1" customHeight="1" outlineLevel="1">
      <c r="B64" s="912" t="s">
        <v>19</v>
      </c>
      <c r="C64" s="1989"/>
      <c r="D64" s="1"/>
      <c r="E64" s="1"/>
      <c r="F64" s="1"/>
      <c r="G64" s="1"/>
      <c r="H64" s="1"/>
      <c r="I64" s="30">
        <f t="shared" ref="I64:AN64" si="199">IF(D58="NM","NM",IF(I58="NM","NM",IF(D58&lt;=0,"NM",IF(I58=0,"NM",IF(ABS(I58/D58-1)&gt;2.5,"NM",IF((ABS(I58-D58)=ABS(ABS(I58)-ABS(D58))),(I58/D58-1),"NM"))))))</f>
      </c>
      <c r="J64" s="30">
        <f t="shared" si="199"/>
      </c>
      <c r="K64" s="30">
        <f t="shared" si="199"/>
      </c>
      <c r="L64" s="30">
        <f t="shared" si="199"/>
      </c>
      <c r="M64" s="30">
        <f t="shared" si="199"/>
      </c>
      <c r="N64" s="30">
        <f t="shared" si="199"/>
      </c>
      <c r="O64" s="30">
        <f t="shared" si="199"/>
      </c>
      <c r="P64" s="30">
        <f t="shared" si="199"/>
      </c>
      <c r="Q64" s="30">
        <f t="shared" si="199"/>
      </c>
      <c r="R64" s="30">
        <f t="shared" si="199"/>
      </c>
      <c r="S64" s="30">
        <f t="shared" si="199"/>
      </c>
      <c r="T64" s="30">
        <f t="shared" si="199"/>
      </c>
      <c r="U64" s="30">
        <f t="shared" si="199"/>
      </c>
      <c r="V64" s="30">
        <f t="shared" si="199"/>
      </c>
      <c r="W64" s="30">
        <f t="shared" si="199"/>
      </c>
      <c r="X64" s="308">
        <f t="shared" si="199"/>
      </c>
      <c r="Y64" s="30">
        <f t="shared" si="199"/>
      </c>
      <c r="Z64" s="30">
        <f t="shared" si="199"/>
      </c>
      <c r="AA64" s="30">
        <f t="shared" si="199"/>
      </c>
      <c r="AB64" s="30">
        <f t="shared" si="199"/>
      </c>
      <c r="AC64" s="308">
        <f t="shared" si="199"/>
      </c>
      <c r="AD64" s="30">
        <f t="shared" si="199"/>
      </c>
      <c r="AE64" s="30">
        <f t="shared" si="199"/>
      </c>
      <c r="AF64" s="30">
        <f t="shared" si="199"/>
      </c>
      <c r="AG64" s="30">
        <f t="shared" si="199"/>
      </c>
      <c r="AH64" s="308">
        <f t="shared" si="199"/>
      </c>
      <c r="AI64" s="30">
        <f t="shared" si="199"/>
      </c>
      <c r="AJ64" s="30">
        <f t="shared" si="199"/>
      </c>
      <c r="AK64" s="30">
        <f t="shared" si="199"/>
      </c>
      <c r="AL64" s="30">
        <f t="shared" si="199"/>
      </c>
      <c r="AM64" s="308">
        <f t="shared" si="199"/>
      </c>
      <c r="AN64" s="30">
        <f t="shared" si="199"/>
      </c>
      <c r="AO64" s="30">
        <f t="shared" ref="AO64:BT64" si="200">IF(AJ58="NM","NM",IF(AO58="NM","NM",IF(AJ58&lt;=0,"NM",IF(AO58=0,"NM",IF(ABS(AO58/AJ58-1)&gt;2.5,"NM",IF((ABS(AO58-AJ58)=ABS(ABS(AO58)-ABS(AJ58))),(AO58/AJ58-1),"NM"))))))</f>
      </c>
      <c r="AP64" s="30">
        <f t="shared" si="200"/>
      </c>
      <c r="AQ64" s="30">
        <f t="shared" si="200"/>
      </c>
      <c r="AR64" s="308">
        <f t="shared" si="200"/>
      </c>
      <c r="AS64" s="30">
        <f t="shared" si="200"/>
      </c>
      <c r="AT64" s="30">
        <f t="shared" si="200"/>
      </c>
      <c r="AU64" s="30">
        <f t="shared" si="200"/>
      </c>
      <c r="AV64" s="30">
        <f t="shared" si="200"/>
      </c>
      <c r="AW64" s="308">
        <f t="shared" si="200"/>
      </c>
      <c r="AX64" s="30">
        <f t="shared" si="200"/>
      </c>
      <c r="AY64" s="30">
        <f t="shared" si="200"/>
      </c>
      <c r="AZ64" s="30">
        <f t="shared" si="200"/>
      </c>
      <c r="BA64" s="30">
        <f t="shared" si="200"/>
      </c>
      <c r="BB64" s="308">
        <f t="shared" si="200"/>
      </c>
      <c r="BC64" s="30">
        <f t="shared" si="200"/>
      </c>
      <c r="BD64" s="30">
        <f t="shared" si="200"/>
      </c>
      <c r="BE64" s="30">
        <f t="shared" si="200"/>
      </c>
      <c r="BF64" s="30">
        <f t="shared" si="200"/>
      </c>
      <c r="BG64" s="308">
        <f t="shared" si="200"/>
      </c>
      <c r="BH64" s="30">
        <f t="shared" si="200"/>
      </c>
      <c r="BI64" s="30">
        <f t="shared" si="200"/>
      </c>
      <c r="BJ64" s="30">
        <f t="shared" si="200"/>
      </c>
      <c r="BK64" s="30">
        <f t="shared" si="200"/>
      </c>
      <c r="BL64" s="308">
        <f t="shared" si="200"/>
      </c>
      <c r="BM64" s="30">
        <f t="shared" si="200"/>
      </c>
      <c r="BN64" s="30">
        <f t="shared" si="200"/>
      </c>
      <c r="BO64" s="30">
        <f t="shared" si="200"/>
      </c>
      <c r="BP64" s="30">
        <f t="shared" si="200"/>
      </c>
      <c r="BQ64" s="308">
        <f t="shared" si="200"/>
      </c>
      <c r="BR64" s="30">
        <f t="shared" si="200"/>
      </c>
      <c r="BS64" s="30">
        <f t="shared" si="200"/>
      </c>
      <c r="BT64" s="30">
        <f t="shared" si="200"/>
      </c>
      <c r="BU64" s="30">
        <f t="shared" ref="BU64:CE64" si="201">IF(BP58="NM","NM",IF(BU58="NM","NM",IF(BP58&lt;=0,"NM",IF(BU58=0,"NM",IF(ABS(BU58/BP58-1)&gt;2.5,"NM",IF((ABS(BU58-BP58)=ABS(ABS(BU58)-ABS(BP58))),(BU58/BP58-1),"NM"))))))</f>
      </c>
      <c r="BV64" s="308">
        <f t="shared" si="201"/>
      </c>
      <c r="BW64" s="30">
        <f t="shared" si="201"/>
      </c>
      <c r="BX64" s="30">
        <f t="shared" si="201"/>
      </c>
      <c r="BY64" s="30">
        <f t="shared" si="201"/>
      </c>
      <c r="BZ64" s="30">
        <f t="shared" si="201"/>
      </c>
      <c r="CA64" s="308">
        <f t="shared" si="201"/>
      </c>
      <c r="CB64" s="30">
        <f t="shared" si="201"/>
      </c>
      <c r="CC64" s="30">
        <f t="shared" si="201"/>
      </c>
      <c r="CD64" s="30">
        <f t="shared" si="201"/>
      </c>
      <c r="CE64" s="30">
        <f t="shared" si="201"/>
      </c>
      <c r="CF64" s="308">
        <f t="shared" ref="CF64:CQ64" si="202">IF(CA58=0, "NA", CF58/CA58-1)</f>
      </c>
      <c r="CG64" s="30">
        <f t="shared" si="202"/>
      </c>
      <c r="CH64" s="30">
        <f t="shared" si="202"/>
      </c>
      <c r="CI64" s="30">
        <f t="shared" si="202"/>
      </c>
      <c r="CJ64" s="30">
        <f t="shared" si="202"/>
      </c>
      <c r="CK64" s="308">
        <f t="shared" si="202"/>
      </c>
      <c r="CL64" s="926">
        <f t="shared" si="202"/>
      </c>
      <c r="CM64" s="926">
        <f t="shared" si="202"/>
      </c>
      <c r="CN64" s="926">
        <f t="shared" si="202"/>
      </c>
      <c r="CO64" s="30">
        <f t="shared" si="202"/>
      </c>
      <c r="CP64" s="308">
        <f t="shared" si="202"/>
      </c>
      <c r="CQ64" s="926">
        <f t="shared" si="202"/>
      </c>
      <c r="CR64" s="926">
        <f t="shared" ref="CR64:CX64" si="203">IF(CM58=0, "NA", CR58/CM58-1)</f>
      </c>
      <c r="CS64" s="926">
        <f t="shared" si="203"/>
      </c>
      <c r="CT64" s="926">
        <f t="shared" si="203"/>
      </c>
      <c r="CU64" s="308">
        <f t="shared" si="203"/>
      </c>
      <c r="CV64" s="926">
        <f t="shared" si="203"/>
      </c>
      <c r="CW64" s="926">
        <f t="shared" si="203"/>
      </c>
      <c r="CX64" s="926">
        <f t="shared" si="203"/>
      </c>
      <c r="CY64" s="926">
        <f t="shared" ref="CY64:DV64" si="204">IF(CT58=0, "NA", CY58/CT58-1)</f>
      </c>
      <c r="CZ64" s="308">
        <f t="shared" si="204"/>
      </c>
      <c r="DA64" s="926">
        <f t="shared" si="204"/>
      </c>
      <c r="DB64" s="30">
        <f t="shared" si="204"/>
      </c>
      <c r="DC64" s="30">
        <f t="shared" si="204"/>
      </c>
      <c r="DD64" s="409">
        <f t="shared" si="204"/>
      </c>
      <c r="DE64" s="308">
        <f t="shared" si="204"/>
      </c>
      <c r="DF64" s="926">
        <f t="shared" si="204"/>
      </c>
      <c r="DG64" s="30">
        <f t="shared" si="204"/>
      </c>
      <c r="DH64" s="30">
        <f t="shared" si="204"/>
      </c>
      <c r="DI64" s="409">
        <f t="shared" si="204"/>
      </c>
      <c r="DJ64" s="308">
        <f t="shared" si="204"/>
      </c>
      <c r="DK64" s="926">
        <f t="shared" si="204"/>
      </c>
      <c r="DL64" s="30">
        <f t="shared" si="204"/>
      </c>
      <c r="DM64" s="30">
        <f t="shared" si="204"/>
      </c>
      <c r="DN64" s="409">
        <f t="shared" si="204"/>
      </c>
      <c r="DO64" s="308">
        <f t="shared" si="204"/>
      </c>
      <c r="DP64" s="30">
        <f t="shared" si="204"/>
      </c>
      <c r="DQ64" s="30">
        <f t="shared" si="204"/>
      </c>
      <c r="DR64" s="30">
        <f t="shared" si="204"/>
      </c>
      <c r="DS64" s="409">
        <f t="shared" si="204"/>
      </c>
      <c r="DT64" s="308">
        <f t="shared" si="204"/>
      </c>
      <c r="DU64" s="926">
        <f t="shared" si="204"/>
      </c>
      <c r="DV64" s="926">
        <f t="shared" si="204"/>
      </c>
      <c r="DW64" s="926"/>
      <c r="DX64" s="928"/>
      <c r="DY64" s="308"/>
      <c r="DZ64" s="926"/>
      <c r="EA64" s="926"/>
      <c r="EB64" s="926"/>
      <c r="EC64" s="928"/>
      <c r="ED64" s="1060"/>
      <c r="EE64" s="926"/>
      <c r="EF64" s="926"/>
      <c r="EG64" s="926"/>
      <c r="EH64" s="928"/>
      <c r="EI64" s="308"/>
      <c r="EJ64" s="308"/>
      <c r="EK64" s="308"/>
      <c r="EL64" s="308"/>
      <c r="EM64" s="308"/>
      <c r="EN64" s="308"/>
      <c r="EO64" s="308"/>
      <c r="EP64" s="308"/>
      <c r="EQ64" s="308"/>
      <c r="ER64" s="308"/>
      <c r="ES64" s="308"/>
      <c r="ET64" s="308"/>
      <c r="EU64" s="308"/>
      <c r="EV64" s="308"/>
      <c r="EW64" s="308"/>
      <c r="EX64" s="308"/>
    </row>
    <row r="65" spans="1:154" ht="12.75" hidden="1" customHeight="1" outlineLevel="1">
      <c r="B65" s="912"/>
      <c r="C65" s="1989"/>
      <c r="D65" s="1"/>
      <c r="E65" s="1"/>
      <c r="F65" s="1"/>
      <c r="G65" s="1"/>
      <c r="H65" s="1"/>
      <c r="I65" s="30"/>
      <c r="J65" s="30"/>
      <c r="K65" s="30"/>
      <c r="L65" s="30"/>
      <c r="M65" s="30"/>
      <c r="N65" s="30"/>
      <c r="O65" s="30"/>
      <c r="P65" s="30"/>
      <c r="Q65" s="30"/>
      <c r="R65" s="30"/>
      <c r="S65" s="30"/>
      <c r="T65" s="30"/>
      <c r="U65" s="30"/>
      <c r="V65" s="30"/>
      <c r="W65" s="30"/>
      <c r="X65" s="308"/>
      <c r="Y65" s="30"/>
      <c r="Z65" s="30"/>
      <c r="AA65" s="30"/>
      <c r="AB65" s="30"/>
      <c r="AC65" s="308"/>
      <c r="AD65" s="30"/>
      <c r="AE65" s="30"/>
      <c r="AF65" s="30"/>
      <c r="AG65" s="30"/>
      <c r="AH65" s="308"/>
      <c r="AI65" s="30"/>
      <c r="AJ65" s="30"/>
      <c r="AK65" s="30"/>
      <c r="AL65" s="30"/>
      <c r="AM65" s="308"/>
      <c r="AN65" s="30"/>
      <c r="AO65" s="30"/>
      <c r="AP65" s="30"/>
      <c r="AQ65" s="30"/>
      <c r="AR65" s="308"/>
      <c r="AS65" s="30"/>
      <c r="AT65" s="30"/>
      <c r="AU65" s="30"/>
      <c r="AV65" s="30"/>
      <c r="AW65" s="308"/>
      <c r="AX65" s="30"/>
      <c r="AY65" s="30"/>
      <c r="AZ65" s="30"/>
      <c r="BA65" s="30"/>
      <c r="BB65" s="308"/>
      <c r="BC65" s="30"/>
      <c r="BD65" s="30"/>
      <c r="BE65" s="30"/>
      <c r="BF65" s="30"/>
      <c r="BG65" s="308"/>
      <c r="BH65" s="30"/>
      <c r="BI65" s="30"/>
      <c r="BJ65" s="30"/>
      <c r="BK65" s="30"/>
      <c r="BL65" s="308"/>
      <c r="BM65" s="30"/>
      <c r="BN65" s="30"/>
      <c r="BO65" s="30"/>
      <c r="BP65" s="30"/>
      <c r="BQ65" s="308"/>
      <c r="BR65" s="30"/>
      <c r="BS65" s="30"/>
      <c r="BT65" s="30"/>
      <c r="BU65" s="30"/>
      <c r="BV65" s="308"/>
      <c r="BW65" s="30"/>
      <c r="BX65" s="30"/>
      <c r="BY65" s="30"/>
      <c r="BZ65" s="30"/>
      <c r="CA65" s="308"/>
      <c r="CB65" s="30"/>
      <c r="CC65" s="30"/>
      <c r="CD65" s="30"/>
      <c r="CE65" s="30"/>
      <c r="CF65" s="308"/>
      <c r="CG65" s="30"/>
      <c r="CH65" s="30"/>
      <c r="CI65" s="30"/>
      <c r="CJ65" s="30"/>
      <c r="CK65" s="308"/>
      <c r="CL65" s="926"/>
      <c r="CM65" s="926"/>
      <c r="CN65" s="926"/>
      <c r="CO65" s="30"/>
      <c r="CP65" s="308"/>
      <c r="CQ65" s="926"/>
      <c r="CR65" s="926"/>
      <c r="CS65" s="926"/>
      <c r="CT65" s="926"/>
      <c r="CU65" s="308"/>
      <c r="CV65" s="926"/>
      <c r="CW65" s="926"/>
      <c r="CX65" s="926"/>
      <c r="CY65" s="926"/>
      <c r="CZ65" s="308"/>
      <c r="DA65" s="926"/>
      <c r="DB65" s="30"/>
      <c r="DC65" s="30"/>
      <c r="DD65" s="409"/>
      <c r="DE65" s="308"/>
      <c r="DF65" s="926"/>
      <c r="DG65" s="30"/>
      <c r="DH65" s="30"/>
      <c r="DI65" s="409"/>
      <c r="DJ65" s="308"/>
      <c r="DK65" s="926"/>
      <c r="DL65" s="30"/>
      <c r="DM65" s="30"/>
      <c r="DN65" s="409"/>
      <c r="DO65" s="308"/>
      <c r="DP65" s="30"/>
      <c r="DQ65" s="30"/>
      <c r="DR65" s="30"/>
      <c r="DS65" s="409"/>
      <c r="DT65" s="308"/>
      <c r="DU65" s="926"/>
      <c r="DV65" s="926"/>
      <c r="DW65" s="926"/>
      <c r="DX65" s="928"/>
      <c r="DY65" s="308"/>
      <c r="DZ65" s="926"/>
      <c r="EA65" s="926"/>
      <c r="EB65" s="926"/>
      <c r="EC65" s="928"/>
      <c r="ED65" s="1060"/>
      <c r="EE65" s="926"/>
      <c r="EF65" s="926"/>
      <c r="EG65" s="926"/>
      <c r="EH65" s="928"/>
      <c r="EI65" s="308"/>
      <c r="EJ65" s="308"/>
      <c r="EK65" s="308"/>
      <c r="EL65" s="308"/>
      <c r="EM65" s="308"/>
      <c r="EN65" s="308"/>
      <c r="EO65" s="308"/>
      <c r="EP65" s="308"/>
      <c r="EQ65" s="308"/>
      <c r="ER65" s="308"/>
      <c r="ES65" s="308"/>
      <c r="ET65" s="308"/>
      <c r="EU65" s="308"/>
      <c r="EV65" s="308"/>
      <c r="EW65" s="308"/>
      <c r="EX65" s="308"/>
    </row>
    <row r="66" spans="1:154" collapsed="1">
      <c r="B66" s="912"/>
      <c r="C66" s="1989"/>
      <c r="D66" s="1"/>
      <c r="E66" s="1"/>
      <c r="F66" s="1"/>
      <c r="G66" s="1"/>
      <c r="H66" s="1"/>
      <c r="I66" s="30"/>
      <c r="J66" s="30"/>
      <c r="K66" s="30"/>
      <c r="L66" s="30"/>
      <c r="M66" s="30"/>
      <c r="N66" s="30"/>
      <c r="O66" s="30"/>
      <c r="P66" s="30"/>
      <c r="Q66" s="30"/>
      <c r="R66" s="30"/>
      <c r="S66" s="30"/>
      <c r="T66" s="30"/>
      <c r="U66" s="30"/>
      <c r="V66" s="30"/>
      <c r="W66" s="30"/>
      <c r="X66" s="308"/>
      <c r="Y66" s="30"/>
      <c r="Z66" s="30"/>
      <c r="AA66" s="30"/>
      <c r="AB66" s="30"/>
      <c r="AC66" s="308"/>
      <c r="AD66" s="30"/>
      <c r="AE66" s="30"/>
      <c r="AF66" s="30"/>
      <c r="AG66" s="30"/>
      <c r="AH66" s="308"/>
      <c r="AI66" s="30"/>
      <c r="AJ66" s="30"/>
      <c r="AK66" s="30"/>
      <c r="AL66" s="30"/>
      <c r="AM66" s="308"/>
      <c r="AN66" s="30"/>
      <c r="AO66" s="30"/>
      <c r="AP66" s="30"/>
      <c r="AQ66" s="30"/>
      <c r="AR66" s="308"/>
      <c r="AS66" s="30"/>
      <c r="AT66" s="30"/>
      <c r="AU66" s="30"/>
      <c r="AV66" s="30"/>
      <c r="AW66" s="308"/>
      <c r="AX66" s="30"/>
      <c r="AY66" s="30"/>
      <c r="AZ66" s="30"/>
      <c r="BA66" s="30"/>
      <c r="BB66" s="308"/>
      <c r="BC66" s="30"/>
      <c r="BD66" s="30"/>
      <c r="BE66" s="30"/>
      <c r="BF66" s="30"/>
      <c r="BG66" s="308"/>
      <c r="BH66" s="30"/>
      <c r="BI66" s="30"/>
      <c r="BJ66" s="30"/>
      <c r="BK66" s="30"/>
      <c r="BL66" s="308"/>
      <c r="BM66" s="30"/>
      <c r="BN66" s="30"/>
      <c r="BO66" s="30"/>
      <c r="BP66" s="30"/>
      <c r="BQ66" s="308"/>
      <c r="BR66" s="30"/>
      <c r="BS66" s="30"/>
      <c r="BT66" s="30"/>
      <c r="BU66" s="30"/>
      <c r="BV66" s="308"/>
      <c r="BW66" s="30"/>
      <c r="BX66" s="30"/>
      <c r="BY66" s="30"/>
      <c r="BZ66" s="30"/>
      <c r="CA66" s="308"/>
      <c r="CB66" s="30"/>
      <c r="CC66" s="30"/>
      <c r="CD66" s="30"/>
      <c r="CE66" s="30"/>
      <c r="CF66" s="308"/>
      <c r="CG66" s="30"/>
      <c r="CH66" s="30"/>
      <c r="CI66" s="30"/>
      <c r="CJ66" s="30"/>
      <c r="CK66" s="308"/>
      <c r="CL66" s="926"/>
      <c r="CM66" s="926"/>
      <c r="CN66" s="926"/>
      <c r="CO66" s="30"/>
      <c r="CP66" s="308"/>
      <c r="CQ66" s="926"/>
      <c r="CR66" s="926"/>
      <c r="CS66" s="926"/>
      <c r="CT66" s="926"/>
      <c r="CU66" s="308"/>
      <c r="CV66" s="926"/>
      <c r="CW66" s="926"/>
      <c r="CX66" s="926"/>
      <c r="CY66" s="926"/>
      <c r="CZ66" s="308"/>
      <c r="DA66" s="926"/>
      <c r="DB66" s="30"/>
      <c r="DC66" s="30"/>
      <c r="DD66" s="409"/>
      <c r="DE66" s="308"/>
      <c r="DF66" s="926"/>
      <c r="DG66" s="30"/>
      <c r="DH66" s="30"/>
      <c r="DI66" s="409"/>
      <c r="DJ66" s="308"/>
      <c r="DK66" s="926"/>
      <c r="DL66" s="30"/>
      <c r="DM66" s="30"/>
      <c r="DN66" s="409"/>
      <c r="DO66" s="308"/>
      <c r="DP66" s="30"/>
      <c r="DQ66" s="30"/>
      <c r="DR66" s="30"/>
      <c r="DS66" s="409"/>
      <c r="DT66" s="518"/>
      <c r="DU66" s="926"/>
      <c r="DV66" s="926"/>
      <c r="DW66" s="926"/>
      <c r="DX66" s="928"/>
      <c r="DY66" s="308"/>
      <c r="DZ66" s="926"/>
      <c r="EA66" s="926"/>
      <c r="EB66" s="926"/>
      <c r="EC66" s="928"/>
      <c r="ED66" s="1060"/>
      <c r="EE66" s="926"/>
      <c r="EF66" s="926"/>
      <c r="EG66" s="926"/>
      <c r="EH66" s="928"/>
      <c r="EI66" s="308"/>
      <c r="EJ66" s="308"/>
      <c r="EK66" s="308"/>
      <c r="EL66" s="308"/>
      <c r="EM66" s="308"/>
      <c r="EN66" s="308"/>
      <c r="EO66" s="308"/>
      <c r="EP66" s="308"/>
      <c r="EQ66" s="308"/>
      <c r="ER66" s="308"/>
      <c r="ES66" s="308"/>
      <c r="ET66" s="308"/>
      <c r="EU66" s="308"/>
      <c r="EV66" s="308"/>
      <c r="EW66" s="308"/>
      <c r="EX66" s="308"/>
    </row>
    <row r="67" spans="1:154">
      <c r="B67" s="564" t="s">
        <v>971</v>
      </c>
      <c r="C67" s="1978" t="s">
        <v>242</v>
      </c>
      <c r="D67" s="1979"/>
      <c r="E67" s="499"/>
      <c r="F67" s="499"/>
      <c r="G67" s="499"/>
      <c r="H67" s="499"/>
      <c r="I67" s="499"/>
      <c r="J67" s="499"/>
      <c r="K67" s="499"/>
      <c r="L67" s="499"/>
      <c r="M67" s="499"/>
      <c r="N67" s="499"/>
      <c r="O67" s="499"/>
      <c r="P67" s="499"/>
      <c r="Q67" s="499"/>
      <c r="R67" s="499"/>
      <c r="S67" s="499"/>
      <c r="T67" s="499"/>
      <c r="U67" s="499"/>
      <c r="V67" s="499"/>
      <c r="W67" s="499"/>
      <c r="X67" s="504"/>
      <c r="Y67" s="499"/>
      <c r="Z67" s="499"/>
      <c r="AA67" s="499"/>
      <c r="AB67" s="499"/>
      <c r="AC67" s="504"/>
      <c r="AD67" s="499"/>
      <c r="AE67" s="499"/>
      <c r="AF67" s="499"/>
      <c r="AG67" s="499"/>
      <c r="AH67" s="504"/>
      <c r="AI67" s="503"/>
      <c r="AJ67" s="499"/>
      <c r="AK67" s="499"/>
      <c r="AL67" s="499"/>
      <c r="AM67" s="504"/>
      <c r="AN67" s="503"/>
      <c r="AO67" s="499"/>
      <c r="AP67" s="499"/>
      <c r="AQ67" s="499"/>
      <c r="AR67" s="504"/>
      <c r="AS67" s="503"/>
      <c r="AT67" s="499"/>
      <c r="AU67" s="499"/>
      <c r="AV67" s="499"/>
      <c r="AW67" s="504"/>
      <c r="AX67" s="503"/>
      <c r="AY67" s="499"/>
      <c r="AZ67" s="499"/>
      <c r="BA67" s="499"/>
      <c r="BB67" s="504"/>
      <c r="BC67" s="499"/>
      <c r="BD67" s="499"/>
      <c r="BE67" s="499"/>
      <c r="BF67" s="499"/>
      <c r="BG67" s="504"/>
      <c r="BH67" s="499"/>
      <c r="BI67" s="499"/>
      <c r="BJ67" s="499"/>
      <c r="BK67" s="499"/>
      <c r="BL67" s="504"/>
      <c r="BM67" s="499"/>
      <c r="BN67" s="499"/>
      <c r="BO67" s="499"/>
      <c r="BP67" s="499"/>
      <c r="BQ67" s="504"/>
      <c r="BR67" s="499"/>
      <c r="BS67" s="499"/>
      <c r="BT67" s="499"/>
      <c r="BU67" s="499"/>
      <c r="BV67" s="504"/>
      <c r="BW67" s="499"/>
      <c r="BX67" s="499"/>
      <c r="BY67" s="499"/>
      <c r="BZ67" s="499"/>
      <c r="CA67" s="504"/>
      <c r="CB67" s="499"/>
      <c r="CC67" s="499"/>
      <c r="CD67" s="499"/>
      <c r="CE67" s="499"/>
      <c r="CF67" s="504"/>
      <c r="CG67" s="499"/>
      <c r="CH67" s="499"/>
      <c r="CI67" s="499"/>
      <c r="CJ67" s="499"/>
      <c r="CK67" s="504"/>
      <c r="CL67" s="499"/>
      <c r="CM67" s="499"/>
      <c r="CN67" s="499"/>
      <c r="CO67" s="1371"/>
      <c r="CP67" s="504"/>
      <c r="CQ67" s="499"/>
      <c r="CR67" s="499"/>
      <c r="CS67" s="499"/>
      <c r="CT67" s="1135"/>
      <c r="CU67" s="504"/>
      <c r="CV67" s="499"/>
      <c r="CW67" s="499"/>
      <c r="CX67" s="499"/>
      <c r="CY67" s="1135"/>
      <c r="CZ67" s="504"/>
      <c r="DA67" s="499"/>
      <c r="DB67" s="1371"/>
      <c r="DC67" s="1371"/>
      <c r="DD67" s="1193"/>
      <c r="DE67" s="1789"/>
      <c r="DF67" s="1790"/>
      <c r="DG67" s="1791"/>
      <c r="DH67" s="1791"/>
      <c r="DI67" s="1792"/>
      <c r="DJ67" s="1789"/>
      <c r="DK67" s="1790"/>
      <c r="DL67" s="1791"/>
      <c r="DM67" s="1791"/>
      <c r="DN67" s="1792"/>
      <c r="DO67" s="1789"/>
      <c r="DP67" s="1791"/>
      <c r="DQ67" s="1791"/>
      <c r="DR67" s="1791"/>
      <c r="DS67" s="1792"/>
      <c r="DT67" s="1789"/>
      <c r="DU67" s="2108"/>
      <c r="DV67" s="2108"/>
      <c r="DW67" s="2108"/>
      <c r="DX67" s="2109"/>
      <c r="DY67" s="1789"/>
      <c r="DZ67" s="2108"/>
      <c r="EA67" s="3505"/>
      <c r="EB67" s="3505"/>
      <c r="EC67" s="2109"/>
      <c r="ED67" s="3527"/>
      <c r="EE67" s="2108"/>
      <c r="EF67" s="3505"/>
      <c r="EG67" s="3505"/>
      <c r="EH67" s="2109"/>
      <c r="EI67" s="1789"/>
      <c r="EJ67" s="1793"/>
      <c r="EK67" s="1793"/>
      <c r="EL67" s="1793"/>
      <c r="EM67" s="1793"/>
      <c r="EN67" s="1793"/>
      <c r="EO67" s="1793"/>
      <c r="EP67" s="1793"/>
      <c r="EQ67" s="1793"/>
      <c r="ER67" s="1793"/>
      <c r="ES67" s="1793"/>
      <c r="ET67" s="1793"/>
      <c r="EU67" s="1793"/>
      <c r="EV67" s="1793"/>
      <c r="EW67" s="1793"/>
      <c r="EX67" s="1793"/>
    </row>
    <row r="68" spans="1:154" ht="6" customHeight="1">
      <c r="B68" s="1163"/>
      <c r="C68" s="1991"/>
      <c r="D68" s="500"/>
      <c r="E68" s="500"/>
      <c r="F68" s="500"/>
      <c r="G68" s="500"/>
      <c r="H68" s="500"/>
      <c r="I68" s="500"/>
      <c r="J68" s="500"/>
      <c r="K68" s="500"/>
      <c r="L68" s="500"/>
      <c r="M68" s="500"/>
      <c r="N68" s="500"/>
      <c r="O68" s="500"/>
      <c r="P68" s="500"/>
      <c r="Q68" s="500"/>
      <c r="R68" s="500"/>
      <c r="S68" s="500"/>
      <c r="T68" s="500"/>
      <c r="U68" s="500"/>
      <c r="V68" s="500"/>
      <c r="W68" s="500"/>
      <c r="X68" s="502"/>
      <c r="Y68" s="500"/>
      <c r="Z68" s="500"/>
      <c r="AA68" s="500"/>
      <c r="AB68" s="500"/>
      <c r="AC68" s="502"/>
      <c r="AD68" s="500"/>
      <c r="AE68" s="500"/>
      <c r="AF68" s="500"/>
      <c r="AG68" s="500"/>
      <c r="AH68" s="502"/>
      <c r="AI68" s="501"/>
      <c r="AJ68" s="500"/>
      <c r="AK68" s="500"/>
      <c r="AL68" s="500"/>
      <c r="AM68" s="502"/>
      <c r="AN68" s="501"/>
      <c r="AO68" s="500"/>
      <c r="AP68" s="500"/>
      <c r="AQ68" s="500"/>
      <c r="AR68" s="502"/>
      <c r="AS68" s="501"/>
      <c r="AT68" s="500"/>
      <c r="AU68" s="500"/>
      <c r="AV68" s="500"/>
      <c r="AW68" s="502"/>
      <c r="AX68" s="501"/>
      <c r="AY68" s="500"/>
      <c r="AZ68" s="500"/>
      <c r="BA68" s="500"/>
      <c r="BB68" s="502"/>
      <c r="BC68" s="500"/>
      <c r="BD68" s="500"/>
      <c r="BE68" s="500"/>
      <c r="BF68" s="500"/>
      <c r="BG68" s="502"/>
      <c r="BH68" s="500"/>
      <c r="BI68" s="500"/>
      <c r="BJ68" s="500"/>
      <c r="BK68" s="500"/>
      <c r="BL68" s="502"/>
      <c r="BM68" s="500"/>
      <c r="BN68" s="500"/>
      <c r="BO68" s="500"/>
      <c r="BP68" s="500"/>
      <c r="BQ68" s="502"/>
      <c r="BR68" s="500"/>
      <c r="BS68" s="500"/>
      <c r="BT68" s="500"/>
      <c r="BU68" s="500"/>
      <c r="BV68" s="502"/>
      <c r="BW68" s="500"/>
      <c r="BX68" s="500"/>
      <c r="BY68" s="500"/>
      <c r="BZ68" s="500"/>
      <c r="CA68" s="502"/>
      <c r="CB68" s="500"/>
      <c r="CC68" s="500"/>
      <c r="CD68" s="500"/>
      <c r="CE68" s="500"/>
      <c r="CF68" s="502"/>
      <c r="CG68" s="500"/>
      <c r="CH68" s="500"/>
      <c r="CI68" s="500"/>
      <c r="CJ68" s="500"/>
      <c r="CK68" s="502"/>
      <c r="CL68" s="500"/>
      <c r="CM68" s="500"/>
      <c r="CN68" s="500"/>
      <c r="CO68" s="500"/>
      <c r="CP68" s="502"/>
      <c r="CQ68" s="500"/>
      <c r="CR68" s="500"/>
      <c r="CS68" s="500"/>
      <c r="CT68" s="500"/>
      <c r="CU68" s="502"/>
      <c r="CV68" s="500"/>
      <c r="CW68" s="500"/>
      <c r="CX68" s="500"/>
      <c r="CY68" s="500"/>
      <c r="CZ68" s="502"/>
      <c r="DA68" s="500"/>
      <c r="DB68" s="500"/>
      <c r="DC68" s="500"/>
      <c r="DD68" s="1194"/>
      <c r="DE68" s="1794"/>
      <c r="DF68" s="1795"/>
      <c r="DG68" s="1795"/>
      <c r="DH68" s="1795"/>
      <c r="DI68" s="1796"/>
      <c r="DJ68" s="1794"/>
      <c r="DK68" s="1795"/>
      <c r="DL68" s="1795"/>
      <c r="DM68" s="1795"/>
      <c r="DN68" s="1796"/>
      <c r="DO68" s="1794"/>
      <c r="DP68" s="1795"/>
      <c r="DQ68" s="1795"/>
      <c r="DR68" s="1795"/>
      <c r="DS68" s="1796"/>
      <c r="DT68" s="1794"/>
      <c r="DU68" s="1795"/>
      <c r="DV68" s="1795"/>
      <c r="DW68" s="1795"/>
      <c r="DX68" s="1796"/>
      <c r="DY68" s="1794"/>
      <c r="DZ68" s="1795"/>
      <c r="EA68" s="1795"/>
      <c r="EB68" s="1795"/>
      <c r="EC68" s="1796"/>
      <c r="ED68" s="1794"/>
      <c r="EE68" s="1795"/>
      <c r="EF68" s="1795"/>
      <c r="EG68" s="1795"/>
      <c r="EH68" s="1796"/>
      <c r="EI68" s="1794"/>
      <c r="EJ68" s="1794"/>
      <c r="EK68" s="1794"/>
      <c r="EL68" s="1794"/>
      <c r="EM68" s="1794"/>
      <c r="EN68" s="1794"/>
      <c r="EO68" s="1794"/>
      <c r="EP68" s="1794"/>
      <c r="EQ68" s="1794"/>
      <c r="ER68" s="1794"/>
      <c r="ES68" s="1794"/>
      <c r="ET68" s="1794"/>
      <c r="EU68" s="1794"/>
      <c r="EV68" s="1794"/>
      <c r="EW68" s="1794"/>
      <c r="EX68" s="1794"/>
    </row>
    <row r="69" spans="1:154" s="331" customFormat="1">
      <c r="A69" s="3275"/>
      <c r="B69" s="1165" t="s">
        <v>509</v>
      </c>
      <c r="C69" s="1992"/>
      <c r="D69" s="1980"/>
      <c r="E69" s="449"/>
      <c r="F69" s="449"/>
      <c r="G69" s="449"/>
      <c r="H69" s="449"/>
      <c r="I69" s="450"/>
      <c r="J69" s="449"/>
      <c r="K69" s="449"/>
      <c r="L69" s="449"/>
      <c r="M69" s="449"/>
      <c r="N69" s="450"/>
      <c r="O69" s="450"/>
      <c r="P69" s="450"/>
      <c r="Q69" s="450"/>
      <c r="R69" s="450"/>
      <c r="S69" s="450"/>
      <c r="T69" s="450"/>
      <c r="U69" s="450"/>
      <c r="V69" s="450"/>
      <c r="W69" s="450"/>
      <c r="X69" s="512"/>
      <c r="Y69" s="511"/>
      <c r="Z69" s="511"/>
      <c r="AA69" s="511"/>
      <c r="AB69" s="511"/>
      <c r="AC69" s="512"/>
      <c r="AD69" s="511"/>
      <c r="AE69" s="511"/>
      <c r="AF69" s="511"/>
      <c r="AG69" s="511"/>
      <c r="AH69" s="512"/>
      <c r="AI69" s="511"/>
      <c r="AJ69" s="511"/>
      <c r="AK69" s="511"/>
      <c r="AL69" s="511"/>
      <c r="AM69" s="512"/>
      <c r="AN69" s="511"/>
      <c r="AO69" s="511"/>
      <c r="AP69" s="511"/>
      <c r="AQ69" s="511"/>
      <c r="AR69" s="512"/>
      <c r="AS69" s="511"/>
      <c r="AT69" s="511"/>
      <c r="AU69" s="511"/>
      <c r="AV69" s="511"/>
      <c r="AW69" s="512"/>
      <c r="AX69" s="511"/>
      <c r="AY69" s="511"/>
      <c r="AZ69" s="511"/>
      <c r="BA69" s="511"/>
      <c r="BB69" s="512"/>
      <c r="BC69" s="513"/>
      <c r="BD69" s="511"/>
      <c r="BE69" s="511"/>
      <c r="BF69" s="511"/>
      <c r="BG69" s="512"/>
      <c r="BH69" s="511"/>
      <c r="BI69" s="511"/>
      <c r="BJ69" s="511"/>
      <c r="BK69" s="511"/>
      <c r="BL69" s="512"/>
      <c r="BM69" s="511"/>
      <c r="BN69" s="511"/>
      <c r="BO69" s="511"/>
      <c r="BP69" s="511"/>
      <c r="BQ69" s="512"/>
      <c r="BR69" s="511"/>
      <c r="BS69" s="511"/>
      <c r="BT69" s="511"/>
      <c r="BU69" s="511"/>
      <c r="BV69" s="512"/>
      <c r="BW69" s="511"/>
      <c r="BX69" s="511"/>
      <c r="BY69" s="511"/>
      <c r="BZ69" s="511"/>
      <c r="CA69" s="512"/>
      <c r="CB69" s="511"/>
      <c r="CC69" s="511"/>
      <c r="CD69" s="511"/>
      <c r="CE69" s="511"/>
      <c r="CF69" s="512"/>
      <c r="CG69" s="511"/>
      <c r="CH69" s="511"/>
      <c r="CI69" s="511"/>
      <c r="CJ69" s="511"/>
      <c r="CK69" s="512"/>
      <c r="CL69" s="511"/>
      <c r="CM69" s="511"/>
      <c r="CN69" s="511"/>
      <c r="CO69" s="1394"/>
      <c r="CP69" s="512"/>
      <c r="CQ69" s="511"/>
      <c r="CR69" s="511"/>
      <c r="CS69" s="511"/>
      <c r="CT69" s="1139"/>
      <c r="CU69" s="512"/>
      <c r="CV69" s="511"/>
      <c r="CW69" s="511"/>
      <c r="CX69" s="511"/>
      <c r="CY69" s="1139"/>
      <c r="CZ69" s="512"/>
      <c r="DA69" s="511"/>
      <c r="DB69" s="1139"/>
      <c r="DC69" s="1139"/>
      <c r="DD69" s="1195"/>
      <c r="DE69" s="512"/>
      <c r="DF69" s="511"/>
      <c r="DG69" s="1139"/>
      <c r="DH69" s="1139"/>
      <c r="DI69" s="1195"/>
      <c r="DJ69" s="512"/>
      <c r="DK69" s="1488"/>
      <c r="DL69" s="1489"/>
      <c r="DM69" s="1489"/>
      <c r="DN69" s="1490"/>
      <c r="DO69" s="512"/>
      <c r="DP69" s="1489"/>
      <c r="DQ69" s="1489"/>
      <c r="DR69" s="1489"/>
      <c r="DS69" s="1490"/>
      <c r="DT69" s="512"/>
      <c r="DU69" s="2680">
        <f>SUM(DU127,DU171,DU182)</f>
      </c>
      <c r="DV69" s="2680">
        <f>SUM(DV127,DV171,DV182)</f>
      </c>
      <c r="DW69" s="2680">
        <f>SUM(DW127,DW171,DW182)</f>
      </c>
      <c r="DX69" s="2681">
        <f>SUM(DX127,DX171,DX182)</f>
      </c>
      <c r="DY69" s="512"/>
      <c r="DZ69" s="1489"/>
      <c r="EA69" s="3506"/>
      <c r="EB69" s="3506"/>
      <c r="EC69" s="1490"/>
      <c r="ED69" s="3528"/>
      <c r="EE69" s="1489"/>
      <c r="EF69" s="3506"/>
      <c r="EG69" s="3506"/>
      <c r="EH69" s="1490"/>
      <c r="EI69" s="512"/>
      <c r="EJ69" s="512"/>
      <c r="EK69" s="512"/>
      <c r="EL69" s="512"/>
      <c r="EM69" s="512"/>
      <c r="EN69" s="512"/>
      <c r="EO69" s="512"/>
      <c r="EP69" s="512"/>
      <c r="EQ69" s="512"/>
      <c r="ER69" s="512"/>
      <c r="ES69" s="512"/>
      <c r="ET69" s="512"/>
      <c r="EU69" s="512"/>
      <c r="EV69" s="512"/>
      <c r="EW69" s="512"/>
      <c r="EX69" s="512"/>
    </row>
    <row r="70" spans="1:154" s="331" customFormat="1">
      <c r="A70" s="3275"/>
      <c r="B70" s="1166" t="s">
        <v>921</v>
      </c>
      <c r="C70" s="1993"/>
      <c r="D70" s="515"/>
      <c r="E70" s="515"/>
      <c r="F70" s="515"/>
      <c r="G70" s="515"/>
      <c r="H70" s="515"/>
      <c r="I70" s="516"/>
      <c r="J70" s="515"/>
      <c r="K70" s="515"/>
      <c r="L70" s="515"/>
      <c r="M70" s="515"/>
      <c r="N70" s="516"/>
      <c r="O70" s="516"/>
      <c r="P70" s="516"/>
      <c r="Q70" s="516"/>
      <c r="R70" s="516"/>
      <c r="S70" s="516"/>
      <c r="T70" s="516"/>
      <c r="U70" s="516"/>
      <c r="V70" s="516"/>
      <c r="W70" s="516"/>
      <c r="X70" s="518"/>
      <c r="Y70" s="517"/>
      <c r="Z70" s="517"/>
      <c r="AA70" s="517"/>
      <c r="AB70" s="517"/>
      <c r="AC70" s="518"/>
      <c r="AD70" s="517"/>
      <c r="AE70" s="517"/>
      <c r="AF70" s="517"/>
      <c r="AG70" s="517"/>
      <c r="AH70" s="518"/>
      <c r="AI70" s="517"/>
      <c r="AJ70" s="517"/>
      <c r="AK70" s="517"/>
      <c r="AL70" s="517"/>
      <c r="AM70" s="518"/>
      <c r="AN70" s="517"/>
      <c r="AO70" s="517"/>
      <c r="AP70" s="517"/>
      <c r="AQ70" s="517"/>
      <c r="AR70" s="518"/>
      <c r="AS70" s="517"/>
      <c r="AT70" s="517"/>
      <c r="AU70" s="517"/>
      <c r="AV70" s="517"/>
      <c r="AW70" s="518"/>
      <c r="AX70" s="517"/>
      <c r="AY70" s="517"/>
      <c r="AZ70" s="517"/>
      <c r="BA70" s="517"/>
      <c r="BB70" s="518"/>
      <c r="BC70" s="519"/>
      <c r="BD70" s="517"/>
      <c r="BE70" s="517"/>
      <c r="BF70" s="517"/>
      <c r="BG70" s="518"/>
      <c r="BH70" s="520"/>
      <c r="BI70" s="520"/>
      <c r="BJ70" s="520"/>
      <c r="BK70" s="520"/>
      <c r="BL70" s="518"/>
      <c r="BM70" s="521">
        <v>624</v>
      </c>
      <c r="BN70" s="521">
        <v>351</v>
      </c>
      <c r="BO70" s="521">
        <v>216</v>
      </c>
      <c r="BP70" s="521">
        <v>210</v>
      </c>
      <c r="BQ70" s="518">
        <f>SUM(BM70:BP70)</f>
      </c>
      <c r="BR70" s="521">
        <v>242</v>
      </c>
      <c r="BS70" s="521">
        <v>237</v>
      </c>
      <c r="BT70" s="521">
        <v>259</v>
      </c>
      <c r="BU70" s="521">
        <v>236</v>
      </c>
      <c r="BV70" s="518">
        <f>SUM(BR70:BU70)</f>
      </c>
      <c r="BW70" s="521">
        <v>238</v>
      </c>
      <c r="BX70" s="521">
        <v>259</v>
      </c>
      <c r="BY70" s="521">
        <v>278</v>
      </c>
      <c r="BZ70" s="521">
        <v>302</v>
      </c>
      <c r="CA70" s="518">
        <f>SUM(BW70:BZ70)</f>
      </c>
      <c r="CB70" s="521">
        <v>561</v>
      </c>
      <c r="CC70" s="521">
        <v>1020</v>
      </c>
      <c r="CD70" s="521">
        <v>967</v>
      </c>
      <c r="CE70" s="521">
        <v>564</v>
      </c>
      <c r="CF70" s="518">
        <f>SUM(CB70:CE70)</f>
      </c>
      <c r="CG70" s="521">
        <v>412</v>
      </c>
      <c r="CH70" s="521">
        <v>381</v>
      </c>
      <c r="CI70" s="521">
        <v>379</v>
      </c>
      <c r="CJ70" s="521">
        <v>363</v>
      </c>
      <c r="CK70" s="518">
        <f>SUM(CG70:CJ70)</f>
      </c>
      <c r="CL70" s="1107">
        <v>358</v>
      </c>
      <c r="CM70" s="1130">
        <v>362</v>
      </c>
      <c r="CN70" s="521">
        <v>387</v>
      </c>
      <c r="CO70" s="1131">
        <v>354</v>
      </c>
      <c r="CP70" s="518">
        <f>CP81+CP114+CP180</f>
      </c>
      <c r="CQ70" s="1130">
        <v>326</v>
      </c>
      <c r="CR70" s="1130">
        <v>341</v>
      </c>
      <c r="CS70" s="1130">
        <v>353</v>
      </c>
      <c r="CT70" s="1130">
        <v>338</v>
      </c>
      <c r="CU70" s="518">
        <f>+SUM(CQ70:CT70)</f>
      </c>
      <c r="CV70" s="1130">
        <v>333</v>
      </c>
      <c r="CW70" s="1130">
        <v>328</v>
      </c>
      <c r="CX70" s="1130">
        <v>345</v>
      </c>
      <c r="CY70" s="1130">
        <v>372</v>
      </c>
      <c r="CZ70" s="518">
        <f>+SUM(CV70:CY70)</f>
      </c>
      <c r="DA70" s="1130">
        <v>357</v>
      </c>
      <c r="DB70" s="1131">
        <v>387</v>
      </c>
      <c r="DC70" s="1131">
        <v>418</v>
      </c>
      <c r="DD70" s="1478">
        <v>435</v>
      </c>
      <c r="DE70" s="518">
        <f>+DE125+DE169+DE180</f>
      </c>
      <c r="DF70" s="1131">
        <v>436</v>
      </c>
      <c r="DG70" s="1131">
        <v>416</v>
      </c>
      <c r="DH70" s="1131">
        <v>412.6</v>
      </c>
      <c r="DI70" s="1478">
        <v>470</v>
      </c>
      <c r="DJ70" s="1551">
        <f>+DJ125+DJ169+DJ180</f>
      </c>
      <c r="DK70" s="1131">
        <v>412.4</v>
      </c>
      <c r="DL70" s="1131">
        <f>444-51</f>
      </c>
      <c r="DM70" s="1131">
        <f>679-270</f>
      </c>
      <c r="DN70" s="1478">
        <f>614-213</f>
      </c>
      <c r="DO70" s="518">
        <f>+DO125+DO169+DO180-1</f>
      </c>
      <c r="DP70" s="1131">
        <f>461-75</f>
      </c>
      <c r="DQ70" s="1131">
        <f>415-45</f>
      </c>
      <c r="DR70" s="1131">
        <f>390</f>
      </c>
      <c r="DS70" s="1478">
        <f>414</f>
      </c>
      <c r="DT70" s="518">
        <f>+DT125+DT169+DT180</f>
      </c>
      <c r="DU70" s="1131">
        <v>392</v>
      </c>
      <c r="DV70" s="1131">
        <v>395</v>
      </c>
      <c r="DW70" s="1131">
        <v>360</v>
      </c>
      <c r="DX70" s="1131">
        <v>353.3</v>
      </c>
      <c r="DY70" s="518">
        <f t="shared" ref="DY70:EI71" si="205">+DY125+DY169+DY180</f>
      </c>
      <c r="DZ70" s="1131">
        <v>324</v>
      </c>
      <c r="EA70" s="1131">
        <v>334</v>
      </c>
      <c r="EB70" s="1131">
        <v>365</v>
      </c>
      <c r="EC70" s="1478">
        <v>331</v>
      </c>
      <c r="ED70" s="1551">
        <f t="shared" ref="ED70" si="206">+ED125+ED169+ED180</f>
      </c>
      <c r="EE70" s="3544">
        <f t="shared" ref="EE70:EH70" si="207">+EE125+EE169+EE180</f>
      </c>
      <c r="EF70" s="3544">
        <f t="shared" ref="EF70:EG70" si="208">+EF125+EF169+EF180</f>
      </c>
      <c r="EG70" s="3544">
        <f t="shared" si="208"/>
      </c>
      <c r="EH70" s="3544">
        <f t="shared" si="207"/>
      </c>
      <c r="EI70" s="518">
        <f t="shared" si="205"/>
      </c>
      <c r="EJ70" s="518">
        <f t="shared" ref="EJ70:EN70" si="209">+EJ125+EJ169+EJ180</f>
      </c>
      <c r="EK70" s="518">
        <f t="shared" si="209"/>
      </c>
      <c r="EL70" s="518">
        <f t="shared" si="209"/>
      </c>
      <c r="EM70" s="518">
        <f t="shared" si="209"/>
      </c>
      <c r="EN70" s="518">
        <f t="shared" si="209"/>
      </c>
      <c r="EO70" s="518">
        <f t="shared" ref="EO70:ES70" si="210">+EO125+EO169+EO180</f>
      </c>
      <c r="EP70" s="518">
        <f t="shared" si="210"/>
      </c>
      <c r="EQ70" s="518">
        <f t="shared" si="210"/>
      </c>
      <c r="ER70" s="518">
        <f t="shared" si="210"/>
      </c>
      <c r="ES70" s="518">
        <f t="shared" si="210"/>
      </c>
      <c r="ET70" s="1760"/>
      <c r="EU70" s="1760"/>
      <c r="EV70" s="1760"/>
      <c r="EW70" s="1760"/>
      <c r="EX70" s="1760"/>
    </row>
    <row r="71" spans="1:154" s="331" customFormat="1">
      <c r="A71" s="3275"/>
      <c r="B71" s="1166" t="s">
        <v>412</v>
      </c>
      <c r="C71" s="1993"/>
      <c r="D71" s="515"/>
      <c r="E71" s="515"/>
      <c r="F71" s="515"/>
      <c r="G71" s="515"/>
      <c r="H71" s="515"/>
      <c r="I71" s="516"/>
      <c r="J71" s="515"/>
      <c r="K71" s="515"/>
      <c r="L71" s="515"/>
      <c r="M71" s="515"/>
      <c r="N71" s="516"/>
      <c r="O71" s="516"/>
      <c r="P71" s="516"/>
      <c r="Q71" s="516"/>
      <c r="R71" s="516"/>
      <c r="S71" s="516"/>
      <c r="T71" s="516"/>
      <c r="U71" s="516"/>
      <c r="V71" s="516"/>
      <c r="W71" s="516"/>
      <c r="X71" s="518"/>
      <c r="Y71" s="517"/>
      <c r="Z71" s="517"/>
      <c r="AA71" s="517"/>
      <c r="AB71" s="517"/>
      <c r="AC71" s="518"/>
      <c r="AD71" s="517"/>
      <c r="AE71" s="517"/>
      <c r="AF71" s="517"/>
      <c r="AG71" s="517"/>
      <c r="AH71" s="518"/>
      <c r="AI71" s="517"/>
      <c r="AJ71" s="517"/>
      <c r="AK71" s="517"/>
      <c r="AL71" s="517"/>
      <c r="AM71" s="518"/>
      <c r="AN71" s="517"/>
      <c r="AO71" s="517"/>
      <c r="AP71" s="517"/>
      <c r="AQ71" s="517"/>
      <c r="AR71" s="518"/>
      <c r="AS71" s="517"/>
      <c r="AT71" s="517"/>
      <c r="AU71" s="517"/>
      <c r="AV71" s="517"/>
      <c r="AW71" s="518"/>
      <c r="AX71" s="517"/>
      <c r="AY71" s="517"/>
      <c r="AZ71" s="517"/>
      <c r="BA71" s="517"/>
      <c r="BB71" s="518"/>
      <c r="BC71" s="519"/>
      <c r="BD71" s="517"/>
      <c r="BE71" s="517"/>
      <c r="BF71" s="517"/>
      <c r="BG71" s="518"/>
      <c r="BH71" s="520"/>
      <c r="BI71" s="520"/>
      <c r="BJ71" s="520"/>
      <c r="BK71" s="520"/>
      <c r="BL71" s="518"/>
      <c r="BM71" s="521">
        <v>307</v>
      </c>
      <c r="BN71" s="521">
        <v>477</v>
      </c>
      <c r="BO71" s="521">
        <v>498</v>
      </c>
      <c r="BP71" s="521">
        <v>506</v>
      </c>
      <c r="BQ71" s="518">
        <f>SUM(BM71:BP71)</f>
      </c>
      <c r="BR71" s="521">
        <v>513</v>
      </c>
      <c r="BS71" s="521">
        <v>551</v>
      </c>
      <c r="BT71" s="521">
        <v>536</v>
      </c>
      <c r="BU71" s="521">
        <v>620</v>
      </c>
      <c r="BV71" s="518">
        <f>SUM(BR71:BU71)</f>
      </c>
      <c r="BW71" s="521">
        <v>577</v>
      </c>
      <c r="BX71" s="521">
        <v>711</v>
      </c>
      <c r="BY71" s="521">
        <v>543</v>
      </c>
      <c r="BZ71" s="521">
        <v>642</v>
      </c>
      <c r="CA71" s="518">
        <f>SUM(BW71:BZ71)</f>
      </c>
      <c r="CB71" s="521">
        <v>639</v>
      </c>
      <c r="CC71" s="521">
        <v>742</v>
      </c>
      <c r="CD71" s="521">
        <v>594</v>
      </c>
      <c r="CE71" s="521">
        <v>512</v>
      </c>
      <c r="CF71" s="518">
        <f>SUM(CB71:CE71)</f>
      </c>
      <c r="CG71" s="521">
        <v>563</v>
      </c>
      <c r="CH71" s="521">
        <v>651</v>
      </c>
      <c r="CI71" s="521">
        <v>469</v>
      </c>
      <c r="CJ71" s="521">
        <v>438</v>
      </c>
      <c r="CK71" s="518">
        <f>SUM(CG71:CJ71)</f>
      </c>
      <c r="CL71" s="1108">
        <v>418</v>
      </c>
      <c r="CM71" s="1131">
        <v>467</v>
      </c>
      <c r="CN71" s="521">
        <v>455</v>
      </c>
      <c r="CO71" s="1131">
        <v>407</v>
      </c>
      <c r="CP71" s="518">
        <f>CP82+CP115+CP181</f>
      </c>
      <c r="CQ71" s="1131">
        <v>423</v>
      </c>
      <c r="CR71" s="1131">
        <v>451</v>
      </c>
      <c r="CS71" s="1131">
        <v>460</v>
      </c>
      <c r="CT71" s="1131">
        <v>462</v>
      </c>
      <c r="CU71" s="518">
        <f>+SUM(CQ71:CT71)</f>
      </c>
      <c r="CV71" s="1131">
        <v>497</v>
      </c>
      <c r="CW71" s="1131">
        <v>521</v>
      </c>
      <c r="CX71" s="1131">
        <v>478</v>
      </c>
      <c r="CY71" s="1131">
        <v>430</v>
      </c>
      <c r="CZ71" s="518">
        <f>+SUM(CV71:CY71)</f>
      </c>
      <c r="DA71" s="1131">
        <v>489</v>
      </c>
      <c r="DB71" s="1131">
        <v>475</v>
      </c>
      <c r="DC71" s="1131">
        <v>421</v>
      </c>
      <c r="DD71" s="1478">
        <v>430</v>
      </c>
      <c r="DE71" s="518">
        <f>+DE126+DE170+DE181</f>
      </c>
      <c r="DF71" s="1131">
        <v>483</v>
      </c>
      <c r="DG71" s="1131">
        <v>463.4</v>
      </c>
      <c r="DH71" s="1131">
        <v>451</v>
      </c>
      <c r="DI71" s="1478">
        <v>442</v>
      </c>
      <c r="DJ71" s="1551">
        <f>+DJ126+DJ170+DJ181</f>
      </c>
      <c r="DK71" s="1131">
        <v>494.4</v>
      </c>
      <c r="DL71" s="1131">
        <f>585-113</f>
      </c>
      <c r="DM71" s="1131">
        <f>709-233</f>
      </c>
      <c r="DN71" s="1478">
        <f>1824-1405</f>
      </c>
      <c r="DO71" s="518">
        <f>+DO126+DO170+DO181-1</f>
      </c>
      <c r="DP71" s="1131">
        <f>836-382</f>
      </c>
      <c r="DQ71" s="1131">
        <f>901-499</f>
      </c>
      <c r="DR71" s="1131">
        <f>905-489</f>
      </c>
      <c r="DS71" s="1478">
        <f>1127-689</f>
      </c>
      <c r="DT71" s="518">
        <f>+DT126+DT170+DT181</f>
      </c>
      <c r="DU71" s="1131">
        <f>1193-747</f>
      </c>
      <c r="DV71" s="1131">
        <f>727-285</f>
      </c>
      <c r="DW71" s="1131">
        <f>500-41</f>
      </c>
      <c r="DX71" s="1131">
        <f>498.3-43.8</f>
      </c>
      <c r="DY71" s="518">
        <f t="shared" si="205"/>
      </c>
      <c r="DZ71" s="3444">
        <f>497-25</f>
      </c>
      <c r="EA71" s="1131">
        <f>630.5-172</f>
      </c>
      <c r="EB71" s="1131">
        <f>471-1</f>
      </c>
      <c r="EC71" s="1478">
        <v>443</v>
      </c>
      <c r="ED71" s="518">
        <f>+ED126+ED170+ED181</f>
      </c>
      <c r="EE71" s="978">
        <f t="shared" ref="EE71:EH71" si="211">+EE126+EE170+EE181</f>
      </c>
      <c r="EF71" s="978">
        <f t="shared" ref="EF71:EG71" si="212">+EF126+EF170+EF181</f>
      </c>
      <c r="EG71" s="978">
        <f t="shared" si="212"/>
      </c>
      <c r="EH71" s="978">
        <f t="shared" si="211"/>
      </c>
      <c r="EI71" s="518">
        <f t="shared" si="205"/>
      </c>
      <c r="EJ71" s="518">
        <f t="shared" ref="EJ71:EN71" si="213">+EJ126+EJ170+EJ181</f>
      </c>
      <c r="EK71" s="518">
        <f t="shared" si="213"/>
      </c>
      <c r="EL71" s="518">
        <f t="shared" si="213"/>
      </c>
      <c r="EM71" s="518">
        <f t="shared" si="213"/>
      </c>
      <c r="EN71" s="518">
        <f t="shared" si="213"/>
      </c>
      <c r="EO71" s="518">
        <f t="shared" ref="EO71:ES71" si="214">+EO126+EO170+EO181</f>
      </c>
      <c r="EP71" s="518">
        <f t="shared" si="214"/>
      </c>
      <c r="EQ71" s="518">
        <f t="shared" si="214"/>
      </c>
      <c r="ER71" s="518">
        <f t="shared" si="214"/>
      </c>
      <c r="ES71" s="518">
        <f t="shared" si="214"/>
      </c>
      <c r="ET71" s="518"/>
      <c r="EU71" s="518"/>
      <c r="EV71" s="518"/>
      <c r="EW71" s="518"/>
      <c r="EX71" s="518"/>
    </row>
    <row r="72" spans="1:154" s="331" customFormat="1">
      <c r="A72" s="3275" t="s">
        <v>828</v>
      </c>
      <c r="B72" s="1166" t="s">
        <v>413</v>
      </c>
      <c r="C72" s="1993"/>
      <c r="D72" s="515"/>
      <c r="E72" s="515"/>
      <c r="F72" s="515"/>
      <c r="G72" s="515"/>
      <c r="H72" s="515"/>
      <c r="I72" s="516"/>
      <c r="J72" s="515"/>
      <c r="K72" s="515"/>
      <c r="L72" s="515"/>
      <c r="M72" s="515"/>
      <c r="N72" s="516"/>
      <c r="O72" s="516"/>
      <c r="P72" s="516"/>
      <c r="Q72" s="516"/>
      <c r="R72" s="516"/>
      <c r="S72" s="516"/>
      <c r="T72" s="516"/>
      <c r="U72" s="516"/>
      <c r="V72" s="516"/>
      <c r="W72" s="516"/>
      <c r="X72" s="518"/>
      <c r="Y72" s="517"/>
      <c r="Z72" s="517"/>
      <c r="AA72" s="517"/>
      <c r="AB72" s="517"/>
      <c r="AC72" s="518"/>
      <c r="AD72" s="517"/>
      <c r="AE72" s="517"/>
      <c r="AF72" s="517"/>
      <c r="AG72" s="517"/>
      <c r="AH72" s="518"/>
      <c r="AI72" s="517"/>
      <c r="AJ72" s="517"/>
      <c r="AK72" s="517"/>
      <c r="AL72" s="517"/>
      <c r="AM72" s="518"/>
      <c r="AN72" s="517"/>
      <c r="AO72" s="517"/>
      <c r="AP72" s="517"/>
      <c r="AQ72" s="517"/>
      <c r="AR72" s="518"/>
      <c r="AS72" s="517"/>
      <c r="AT72" s="517"/>
      <c r="AU72" s="517"/>
      <c r="AV72" s="517"/>
      <c r="AW72" s="518"/>
      <c r="AX72" s="517"/>
      <c r="AY72" s="517"/>
      <c r="AZ72" s="517"/>
      <c r="BA72" s="517"/>
      <c r="BB72" s="518"/>
      <c r="BC72" s="519"/>
      <c r="BD72" s="517"/>
      <c r="BE72" s="517"/>
      <c r="BF72" s="517"/>
      <c r="BG72" s="518"/>
      <c r="BH72" s="520"/>
      <c r="BI72" s="520"/>
      <c r="BJ72" s="520"/>
      <c r="BK72" s="520"/>
      <c r="BL72" s="518"/>
      <c r="BM72" s="517">
        <f t="shared" ref="BM72:BW72" si="215">BM71+BM70</f>
      </c>
      <c r="BN72" s="517">
        <f t="shared" si="215"/>
      </c>
      <c r="BO72" s="517">
        <f t="shared" si="215"/>
      </c>
      <c r="BP72" s="517">
        <f t="shared" si="215"/>
      </c>
      <c r="BQ72" s="518">
        <f t="shared" si="215"/>
      </c>
      <c r="BR72" s="517">
        <f t="shared" si="215"/>
      </c>
      <c r="BS72" s="517">
        <f t="shared" si="215"/>
      </c>
      <c r="BT72" s="517">
        <f t="shared" si="215"/>
      </c>
      <c r="BU72" s="517">
        <f t="shared" si="215"/>
      </c>
      <c r="BV72" s="518">
        <f t="shared" si="215"/>
      </c>
      <c r="BW72" s="517">
        <f t="shared" si="215"/>
      </c>
      <c r="BX72" s="517">
        <f t="shared" ref="BX72:CE72" si="216">BX71+BX70</f>
      </c>
      <c r="BY72" s="517">
        <f t="shared" si="216"/>
      </c>
      <c r="BZ72" s="517">
        <f t="shared" si="216"/>
      </c>
      <c r="CA72" s="518">
        <f t="shared" si="216"/>
      </c>
      <c r="CB72" s="517">
        <f t="shared" si="216"/>
      </c>
      <c r="CC72" s="517">
        <f t="shared" si="216"/>
      </c>
      <c r="CD72" s="517">
        <f t="shared" si="216"/>
      </c>
      <c r="CE72" s="517">
        <f t="shared" si="216"/>
      </c>
      <c r="CF72" s="518">
        <f>SUM(CB72:CE72)</f>
      </c>
      <c r="CG72" s="517">
        <f>CG71+CG70</f>
      </c>
      <c r="CH72" s="517">
        <f>CH71+CH70</f>
      </c>
      <c r="CI72" s="517">
        <f>CI71+CI70</f>
      </c>
      <c r="CJ72" s="517">
        <f>CJ71+CJ70</f>
      </c>
      <c r="CK72" s="518">
        <f>SUM(CG72:CJ72)</f>
      </c>
      <c r="CL72" s="977">
        <f>CL71+CL70</f>
      </c>
      <c r="CM72" s="978">
        <f>CM71+CM70</f>
      </c>
      <c r="CN72" s="517">
        <f>CN71+CN70</f>
      </c>
      <c r="CO72" s="978">
        <f>CO71+CO70</f>
      </c>
      <c r="CP72" s="518">
        <f>CP83+CP116+CP182</f>
      </c>
      <c r="CQ72" s="978">
        <f>CQ71+CQ70</f>
      </c>
      <c r="CR72" s="978">
        <f>CR71+CR70</f>
      </c>
      <c r="CS72" s="978">
        <f>CS71+CS70</f>
      </c>
      <c r="CT72" s="978">
        <f>CT71+CT70</f>
      </c>
      <c r="CU72" s="518">
        <f>+SUM(CQ72:CT72)</f>
      </c>
      <c r="CV72" s="978">
        <f>CV71+CV70</f>
      </c>
      <c r="CW72" s="978">
        <f>CW71+CW70</f>
      </c>
      <c r="CX72" s="978">
        <f>CX71+CX70</f>
      </c>
      <c r="CY72" s="978">
        <f>CY71+CY70</f>
      </c>
      <c r="CZ72" s="518">
        <f>+SUM(CV72:CY72)</f>
      </c>
      <c r="DA72" s="978">
        <f>DA71+DA70</f>
      </c>
      <c r="DB72" s="978">
        <f>DB71+DB70</f>
      </c>
      <c r="DC72" s="978">
        <f>DC71+DC70</f>
      </c>
      <c r="DD72" s="975">
        <f>DD71+DD70</f>
      </c>
      <c r="DE72" s="518">
        <f>+DE127+DE171+DE182</f>
      </c>
      <c r="DF72" s="978">
        <f>DF71+DF70</f>
      </c>
      <c r="DG72" s="978">
        <f>DG71+DG70</f>
      </c>
      <c r="DH72" s="978">
        <f>DH71+DH70</f>
      </c>
      <c r="DI72" s="975">
        <f>DI71+DI70</f>
      </c>
      <c r="DJ72" s="1551">
        <f>+DJ127+DJ171+DJ182</f>
      </c>
      <c r="DK72" s="978">
        <f>DK71+DK70</f>
      </c>
      <c r="DL72" s="978">
        <f>DL71+DL70</f>
      </c>
      <c r="DM72" s="978">
        <f>DM71+DM70</f>
      </c>
      <c r="DN72" s="975">
        <f>DN71+DN70</f>
      </c>
      <c r="DO72" s="518">
        <f>SUM(DO70:DO71)</f>
      </c>
      <c r="DP72" s="978">
        <f>DP71+DP70</f>
      </c>
      <c r="DQ72" s="978">
        <f>DQ71+DQ70</f>
      </c>
      <c r="DR72" s="978">
        <f>DR71+DR70</f>
      </c>
      <c r="DS72" s="975">
        <f>DS71+DS70</f>
      </c>
      <c r="DT72" s="518">
        <f>+DT127+DT171+DT182</f>
      </c>
      <c r="DU72" s="978">
        <f>DU71+DU70</f>
      </c>
      <c r="DV72" s="978">
        <f>DV71+DV70</f>
      </c>
      <c r="DW72" s="978">
        <f>DW71+DW70</f>
      </c>
      <c r="DX72" s="978">
        <f>DX71+DX70</f>
      </c>
      <c r="DY72" s="518">
        <f>+DY127+DY171+DY182</f>
      </c>
      <c r="DZ72" s="978">
        <f>DZ71+DZ70</f>
      </c>
      <c r="EA72" s="978">
        <f>EA71+EA70</f>
      </c>
      <c r="EB72" s="978">
        <f>EB71+EB70</f>
      </c>
      <c r="EC72" s="975">
        <f>EC71+EC70</f>
      </c>
      <c r="ED72" s="518">
        <f>+ED127+ED171+ED182</f>
      </c>
      <c r="EE72" s="978">
        <f>EE71+EE70</f>
      </c>
      <c r="EF72" s="978">
        <f>EF71+EF70</f>
      </c>
      <c r="EG72" s="1131">
        <v>829</v>
      </c>
      <c r="EH72" s="978">
        <f t="shared" ref="EH72" si="217">EH71+EH70</f>
      </c>
      <c r="EI72" s="518">
        <f>+EI127+EI171+EI182</f>
      </c>
      <c r="EJ72" s="518">
        <f t="shared" ref="EJ72:EN72" si="218">+EJ127+EJ171+EJ182</f>
      </c>
      <c r="EK72" s="518">
        <f t="shared" si="218"/>
      </c>
      <c r="EL72" s="518">
        <f t="shared" si="218"/>
      </c>
      <c r="EM72" s="518">
        <f t="shared" si="218"/>
      </c>
      <c r="EN72" s="518">
        <f t="shared" si="218"/>
      </c>
      <c r="EO72" s="518">
        <f t="shared" ref="EO72:ES72" si="219">+EO127+EO171+EO182</f>
      </c>
      <c r="EP72" s="518">
        <f t="shared" si="219"/>
      </c>
      <c r="EQ72" s="518">
        <f t="shared" si="219"/>
      </c>
      <c r="ER72" s="518">
        <f t="shared" si="219"/>
      </c>
      <c r="ES72" s="518">
        <f t="shared" si="219"/>
      </c>
      <c r="ET72" s="518"/>
      <c r="EU72" s="518"/>
      <c r="EV72" s="518"/>
      <c r="EW72" s="518"/>
      <c r="EX72" s="518"/>
    </row>
    <row r="73" spans="1:154">
      <c r="B73" s="1167"/>
      <c r="C73" s="1994"/>
      <c r="D73" s="470"/>
      <c r="E73" s="470"/>
      <c r="F73" s="470"/>
      <c r="G73" s="470"/>
      <c r="H73" s="470"/>
      <c r="I73" s="471"/>
      <c r="J73" s="470"/>
      <c r="K73" s="470"/>
      <c r="L73" s="470"/>
      <c r="M73" s="470"/>
      <c r="N73" s="471"/>
      <c r="O73" s="471"/>
      <c r="P73" s="471"/>
      <c r="Q73" s="471"/>
      <c r="R73" s="471"/>
      <c r="S73" s="471"/>
      <c r="T73" s="471"/>
      <c r="U73" s="471"/>
      <c r="V73" s="471"/>
      <c r="W73" s="471"/>
      <c r="X73" s="472"/>
      <c r="Y73" s="465"/>
      <c r="Z73" s="465"/>
      <c r="AA73" s="465"/>
      <c r="AB73" s="465"/>
      <c r="AC73" s="472"/>
      <c r="AD73" s="465"/>
      <c r="AE73" s="465"/>
      <c r="AF73" s="465"/>
      <c r="AG73" s="465"/>
      <c r="AH73" s="472"/>
      <c r="AI73" s="465"/>
      <c r="AJ73" s="465"/>
      <c r="AK73" s="465"/>
      <c r="AL73" s="465"/>
      <c r="AM73" s="472"/>
      <c r="AN73" s="465"/>
      <c r="AO73" s="465"/>
      <c r="AP73" s="465"/>
      <c r="AQ73" s="465"/>
      <c r="AR73" s="472"/>
      <c r="AS73" s="465"/>
      <c r="AT73" s="465"/>
      <c r="AU73" s="465"/>
      <c r="AV73" s="465"/>
      <c r="AW73" s="472"/>
      <c r="AX73" s="465"/>
      <c r="AY73" s="465"/>
      <c r="AZ73" s="465"/>
      <c r="BA73" s="465"/>
      <c r="BB73" s="472"/>
      <c r="BC73" s="473"/>
      <c r="BD73" s="465"/>
      <c r="BE73" s="465"/>
      <c r="BF73" s="465"/>
      <c r="BG73" s="472"/>
      <c r="BH73" s="465"/>
      <c r="BI73" s="465"/>
      <c r="BJ73" s="465"/>
      <c r="BK73" s="465"/>
      <c r="BL73" s="472"/>
      <c r="BM73" s="465"/>
      <c r="BN73" s="465"/>
      <c r="BO73" s="465"/>
      <c r="BP73" s="465"/>
      <c r="BQ73" s="472"/>
      <c r="BR73" s="465"/>
      <c r="BS73" s="465"/>
      <c r="BT73" s="465"/>
      <c r="BU73" s="465"/>
      <c r="BV73" s="472"/>
      <c r="BW73" s="465"/>
      <c r="BX73" s="465"/>
      <c r="BY73" s="465"/>
      <c r="BZ73" s="465"/>
      <c r="CA73" s="472"/>
      <c r="CB73" s="465"/>
      <c r="CC73" s="465"/>
      <c r="CD73" s="465"/>
      <c r="CE73" s="465"/>
      <c r="CF73" s="472"/>
      <c r="CG73" s="465"/>
      <c r="CH73" s="465"/>
      <c r="CI73" s="465"/>
      <c r="CJ73" s="465"/>
      <c r="CK73" s="472"/>
      <c r="CL73" s="979"/>
      <c r="CM73" s="980"/>
      <c r="CN73" s="980"/>
      <c r="CO73" s="1355"/>
      <c r="CP73" s="472"/>
      <c r="CQ73" s="980"/>
      <c r="CR73" s="980"/>
      <c r="CS73" s="980"/>
      <c r="CT73" s="980"/>
      <c r="CU73" s="472"/>
      <c r="CV73" s="980"/>
      <c r="CW73" s="980"/>
      <c r="CX73" s="980"/>
      <c r="CY73" s="980"/>
      <c r="CZ73" s="472"/>
      <c r="DA73" s="980"/>
      <c r="DB73" s="1355"/>
      <c r="DC73" s="1355"/>
      <c r="DD73" s="976"/>
      <c r="DE73" s="472"/>
      <c r="DF73" s="980"/>
      <c r="DG73" s="1355"/>
      <c r="DH73" s="1355"/>
      <c r="DI73" s="976"/>
      <c r="DJ73" s="472"/>
      <c r="DK73" s="1355"/>
      <c r="DL73" s="1355"/>
      <c r="DM73" s="1355"/>
      <c r="DN73" s="976"/>
      <c r="DO73" s="472"/>
      <c r="DP73" s="1355"/>
      <c r="DQ73" s="1355"/>
      <c r="DR73" s="1355"/>
      <c r="DS73" s="976"/>
      <c r="DT73" s="472"/>
      <c r="DU73" s="980"/>
      <c r="DV73" s="980"/>
      <c r="DW73" s="980"/>
      <c r="DX73" s="2110"/>
      <c r="DY73" s="472"/>
      <c r="DZ73" s="980"/>
      <c r="EA73" s="980"/>
      <c r="EB73" s="980"/>
      <c r="EC73" s="2110"/>
      <c r="ED73" s="3529"/>
      <c r="EE73" s="980"/>
      <c r="EF73" s="980"/>
      <c r="EG73" s="980"/>
      <c r="EH73" s="2110"/>
      <c r="EI73" s="472"/>
      <c r="EJ73" s="472"/>
      <c r="EK73" s="472"/>
      <c r="EL73" s="472"/>
      <c r="EM73" s="472"/>
      <c r="EN73" s="472"/>
      <c r="EO73" s="472"/>
      <c r="EP73" s="472"/>
      <c r="EQ73" s="472"/>
      <c r="ER73" s="472"/>
      <c r="ES73" s="472"/>
      <c r="ET73" s="472"/>
      <c r="EU73" s="472"/>
      <c r="EV73" s="472"/>
      <c r="EW73" s="472"/>
      <c r="EX73" s="472"/>
    </row>
    <row r="74" spans="1:154">
      <c r="B74" s="490" t="s">
        <v>919</v>
      </c>
      <c r="C74" s="1989"/>
      <c r="D74" s="28"/>
      <c r="E74" s="28"/>
      <c r="F74" s="28"/>
      <c r="G74" s="28"/>
      <c r="H74" s="28"/>
      <c r="I74" s="31"/>
      <c r="J74" s="28"/>
      <c r="K74" s="28"/>
      <c r="L74" s="28"/>
      <c r="M74" s="28"/>
      <c r="N74" s="31"/>
      <c r="O74" s="31"/>
      <c r="P74" s="31"/>
      <c r="Q74" s="31"/>
      <c r="R74" s="31"/>
      <c r="S74" s="31"/>
      <c r="T74" s="31"/>
      <c r="U74" s="31"/>
      <c r="V74" s="31"/>
      <c r="W74" s="31"/>
      <c r="X74" s="308"/>
      <c r="Y74" s="30"/>
      <c r="Z74" s="30"/>
      <c r="AA74" s="30"/>
      <c r="AB74" s="30"/>
      <c r="AC74" s="308"/>
      <c r="AD74" s="30"/>
      <c r="AE74" s="30"/>
      <c r="AF74" s="30"/>
      <c r="AG74" s="30"/>
      <c r="AH74" s="308"/>
      <c r="AI74" s="30"/>
      <c r="AJ74" s="30"/>
      <c r="AK74" s="30"/>
      <c r="AL74" s="30"/>
      <c r="AM74" s="308"/>
      <c r="AN74" s="30"/>
      <c r="AO74" s="30"/>
      <c r="AP74" s="30"/>
      <c r="AQ74" s="30"/>
      <c r="AR74" s="308"/>
      <c r="AS74" s="30"/>
      <c r="AT74" s="30"/>
      <c r="AU74" s="30"/>
      <c r="AV74" s="30"/>
      <c r="AW74" s="308"/>
      <c r="AX74" s="30"/>
      <c r="AY74" s="30"/>
      <c r="AZ74" s="30"/>
      <c r="BA74" s="30"/>
      <c r="BB74" s="308"/>
      <c r="BC74" s="29"/>
      <c r="BD74" s="30"/>
      <c r="BE74" s="30"/>
      <c r="BF74" s="30"/>
      <c r="BG74" s="308"/>
      <c r="BH74" s="30"/>
      <c r="BI74" s="30"/>
      <c r="BJ74" s="30"/>
      <c r="BK74" s="30"/>
      <c r="BL74" s="472"/>
      <c r="BM74" s="476"/>
      <c r="BN74" s="447"/>
      <c r="BO74" s="447"/>
      <c r="BP74" s="447"/>
      <c r="BQ74" s="469"/>
      <c r="BR74" s="30"/>
      <c r="BS74" s="30"/>
      <c r="BT74" s="30"/>
      <c r="BU74" s="30"/>
      <c r="BV74" s="308"/>
      <c r="BW74" s="30"/>
      <c r="BX74" s="30"/>
      <c r="BY74" s="30"/>
      <c r="BZ74" s="30"/>
      <c r="CA74" s="308"/>
      <c r="CB74" s="30"/>
      <c r="CC74" s="30"/>
      <c r="CD74" s="30"/>
      <c r="CE74" s="30"/>
      <c r="CF74" s="308"/>
      <c r="CG74" s="30"/>
      <c r="CH74" s="30"/>
      <c r="CI74" s="30"/>
      <c r="CJ74" s="30"/>
      <c r="CK74" s="308"/>
      <c r="CL74" s="958"/>
      <c r="CM74" s="926"/>
      <c r="CN74" s="926"/>
      <c r="CO74" s="30"/>
      <c r="CP74" s="308"/>
      <c r="CQ74" s="926"/>
      <c r="CR74" s="926"/>
      <c r="CS74" s="926"/>
      <c r="CT74" s="926"/>
      <c r="CU74" s="308"/>
      <c r="CV74" s="926"/>
      <c r="CW74" s="926"/>
      <c r="CX74" s="926"/>
      <c r="CY74" s="926"/>
      <c r="CZ74" s="308"/>
      <c r="DA74" s="926"/>
      <c r="DB74" s="30"/>
      <c r="DC74" s="30"/>
      <c r="DD74" s="409"/>
      <c r="DE74" s="308"/>
      <c r="DF74" s="926"/>
      <c r="DG74" s="30"/>
      <c r="DH74" s="30"/>
      <c r="DI74" s="409"/>
      <c r="DJ74" s="308"/>
      <c r="DK74" s="30"/>
      <c r="DL74" s="30"/>
      <c r="DM74" s="30"/>
      <c r="DN74" s="409"/>
      <c r="DO74" s="308"/>
      <c r="DP74" s="30"/>
      <c r="DQ74" s="30"/>
      <c r="DR74" s="30"/>
      <c r="DS74" s="409"/>
      <c r="DT74" s="308"/>
      <c r="DU74" s="926"/>
      <c r="DV74" s="926"/>
      <c r="DW74" s="926"/>
      <c r="DX74" s="928"/>
      <c r="DY74" s="308"/>
      <c r="DZ74" s="926"/>
      <c r="EA74" s="926"/>
      <c r="EB74" s="926"/>
      <c r="EC74" s="928"/>
      <c r="ED74" s="1060"/>
      <c r="EE74" s="926"/>
      <c r="EF74" s="926"/>
      <c r="EG74" s="926"/>
      <c r="EH74" s="928"/>
      <c r="EI74" s="308"/>
      <c r="EJ74" s="308"/>
      <c r="EK74" s="308"/>
      <c r="EL74" s="308"/>
      <c r="EM74" s="308"/>
      <c r="EN74" s="308"/>
      <c r="EO74" s="308"/>
      <c r="EP74" s="308"/>
      <c r="EQ74" s="308"/>
      <c r="ER74" s="308"/>
      <c r="ES74" s="308"/>
      <c r="ET74" s="308"/>
      <c r="EU74" s="308"/>
      <c r="EV74" s="308"/>
      <c r="EW74" s="308"/>
      <c r="EX74" s="308"/>
    </row>
    <row r="75" spans="1:154">
      <c r="B75" s="491" t="s">
        <v>921</v>
      </c>
      <c r="C75" s="1989"/>
      <c r="D75" s="28"/>
      <c r="E75" s="28"/>
      <c r="F75" s="28"/>
      <c r="G75" s="28"/>
      <c r="H75" s="28"/>
      <c r="I75" s="31"/>
      <c r="J75" s="28"/>
      <c r="K75" s="28"/>
      <c r="L75" s="28"/>
      <c r="M75" s="28"/>
      <c r="N75" s="31"/>
      <c r="O75" s="31"/>
      <c r="P75" s="31"/>
      <c r="Q75" s="31"/>
      <c r="R75" s="31"/>
      <c r="S75" s="31"/>
      <c r="T75" s="31"/>
      <c r="U75" s="31"/>
      <c r="V75" s="31"/>
      <c r="W75" s="31"/>
      <c r="X75" s="308"/>
      <c r="Y75" s="30"/>
      <c r="Z75" s="30"/>
      <c r="AA75" s="30"/>
      <c r="AB75" s="30"/>
      <c r="AC75" s="308"/>
      <c r="AD75" s="30"/>
      <c r="AE75" s="30"/>
      <c r="AF75" s="30"/>
      <c r="AG75" s="30"/>
      <c r="AH75" s="308"/>
      <c r="AI75" s="30"/>
      <c r="AJ75" s="30"/>
      <c r="AK75" s="30"/>
      <c r="AL75" s="30"/>
      <c r="AM75" s="308"/>
      <c r="AN75" s="30"/>
      <c r="AO75" s="30"/>
      <c r="AP75" s="30"/>
      <c r="AQ75" s="30"/>
      <c r="AR75" s="308"/>
      <c r="AS75" s="30"/>
      <c r="AT75" s="30"/>
      <c r="AU75" s="30"/>
      <c r="AV75" s="30"/>
      <c r="AW75" s="308"/>
      <c r="AX75" s="30"/>
      <c r="AY75" s="30"/>
      <c r="AZ75" s="30"/>
      <c r="BA75" s="30"/>
      <c r="BB75" s="308"/>
      <c r="BC75" s="29"/>
      <c r="BD75" s="30"/>
      <c r="BE75" s="30"/>
      <c r="BF75" s="30"/>
      <c r="BG75" s="308"/>
      <c r="BH75" s="30"/>
      <c r="BI75" s="30"/>
      <c r="BJ75" s="30"/>
      <c r="BK75" s="30"/>
      <c r="BL75" s="308"/>
      <c r="BM75" s="30" t="str">
        <f t="shared" ref="BM75:CA76" si="220">IF(BH70="NM","NM",IF(BM70="NM","NM",IF(BH70&lt;=0,"NM",IF(BM70=0,"NM",IF(ABS(BM70/BH70-1)&gt;2.5,"NM",IF((ABS(BM70-BH70)=ABS(ABS(BM70)-ABS(BH70))),(BM70/BH70-1),"NM"))))))</f>
      </c>
      <c r="BN75" s="30" t="str">
        <f t="shared" si="220"/>
      </c>
      <c r="BO75" s="30" t="str">
        <f t="shared" si="220"/>
      </c>
      <c r="BP75" s="30" t="str">
        <f t="shared" si="220"/>
      </c>
      <c r="BQ75" s="308" t="str">
        <f t="shared" si="220"/>
      </c>
      <c r="BR75" s="30">
        <f t="shared" si="220"/>
      </c>
      <c r="BS75" s="30">
        <f t="shared" si="220"/>
      </c>
      <c r="BT75" s="30">
        <f t="shared" si="220"/>
      </c>
      <c r="BU75" s="30">
        <f t="shared" si="220"/>
      </c>
      <c r="BV75" s="308">
        <f t="shared" si="220"/>
      </c>
      <c r="BW75" s="30">
        <f t="shared" si="220"/>
      </c>
      <c r="BX75" s="30">
        <f t="shared" si="220"/>
      </c>
      <c r="BY75" s="30">
        <f t="shared" si="220"/>
      </c>
      <c r="BZ75" s="30">
        <f t="shared" si="220"/>
      </c>
      <c r="CA75" s="308">
        <f t="shared" si="220"/>
      </c>
      <c r="CB75" s="30">
        <f t="shared" ref="CB75:CE76" si="221">IF(BW70="NM","NM",IF(CB70="NM","NM",IF(BW70&lt;=0,"NM",IF(CB70=0,"NM",IF(ABS(CB70/BW70-1)&gt;2.5,"NM",IF((ABS(CB70-BW70)=ABS(ABS(CB70)-ABS(BW70))),(CB70/BW70-1),"NM"))))))</f>
      </c>
      <c r="CC75" s="30">
        <f>IF(BX70=0, "NA", CC70/BX70-1)</f>
      </c>
      <c r="CD75" s="30">
        <f>IF(BY70="NM","NM",IF(CD70="NM","NM",IF(BY70&lt;=0,"NM",IF(CD70=0,"NM",IF(ABS(CD70/BY70-1)&gt;2.5,"NM",IF((ABS(CD70-BY70)=ABS(ABS(CD70)-ABS(BY70))),(CD70/BY70-1),"NM"))))))</f>
      </c>
      <c r="CE75" s="30">
        <f t="shared" si="221"/>
      </c>
      <c r="CF75" s="308">
        <f>IF(CA70="NM","NM",IF(CF70="NM","NM",IF(CA70&lt;=0,"NM",IF(CF70=0,"NM",IF(ABS(CF70/CA70-1)&gt;2.5,"NM",IF((ABS(CF70-CA70)=ABS(ABS(CF70)-ABS(CA70))),(CF70/CA70-1),"NM"))))))</f>
      </c>
      <c r="CG75" s="30">
        <f t="shared" ref="CG75:CN76" si="222">IF(CB70=0, "NA", CG70/CB70-1)</f>
      </c>
      <c r="CH75" s="30">
        <f t="shared" si="222"/>
      </c>
      <c r="CI75" s="30">
        <f t="shared" si="222"/>
      </c>
      <c r="CJ75" s="30">
        <f t="shared" si="222"/>
      </c>
      <c r="CK75" s="308">
        <f t="shared" si="222"/>
      </c>
      <c r="CL75" s="958">
        <f t="shared" si="222"/>
      </c>
      <c r="CM75" s="926">
        <f t="shared" si="222"/>
      </c>
      <c r="CN75" s="926">
        <f t="shared" si="222"/>
      </c>
      <c r="CO75" s="30">
        <f t="shared" ref="CO75:CU76" si="223">IF(CJ70=0, "NA", CO70/CJ70-1)</f>
      </c>
      <c r="CP75" s="308">
        <f t="shared" si="223"/>
      </c>
      <c r="CQ75" s="926">
        <f t="shared" si="223"/>
      </c>
      <c r="CR75" s="926">
        <f t="shared" si="223"/>
      </c>
      <c r="CS75" s="926">
        <f t="shared" si="223"/>
      </c>
      <c r="CT75" s="926">
        <f t="shared" si="223"/>
      </c>
      <c r="CU75" s="308">
        <f t="shared" si="223"/>
      </c>
      <c r="CV75" s="926">
        <f t="shared" ref="CV75:CX76" si="224">IF(CQ70=0, "NA", CV70/CQ70-1)</f>
      </c>
      <c r="CW75" s="926">
        <f t="shared" si="224"/>
      </c>
      <c r="CX75" s="926">
        <f t="shared" si="224"/>
      </c>
      <c r="CY75" s="926">
        <f t="shared" ref="CY75:DH76" si="225">IF(CT70=0, "NA", CY70/CT70-1)</f>
      </c>
      <c r="CZ75" s="308">
        <f t="shared" si="225"/>
      </c>
      <c r="DA75" s="926">
        <f t="shared" si="225"/>
      </c>
      <c r="DB75" s="926">
        <f t="shared" si="225"/>
      </c>
      <c r="DC75" s="926">
        <f t="shared" si="225"/>
      </c>
      <c r="DD75" s="926">
        <f t="shared" si="225"/>
      </c>
      <c r="DE75" s="308">
        <f t="shared" si="225"/>
      </c>
      <c r="DF75" s="926">
        <f t="shared" si="225"/>
      </c>
      <c r="DG75" s="926">
        <f t="shared" si="225"/>
      </c>
      <c r="DH75" s="926">
        <f t="shared" si="225"/>
      </c>
      <c r="DI75" s="926">
        <f t="shared" ref="DI75:DR76" si="226">IF(DD70=0, "NA", DI70/DD70-1)</f>
      </c>
      <c r="DJ75" s="308">
        <f t="shared" si="226"/>
      </c>
      <c r="DK75" s="926">
        <f t="shared" si="226"/>
      </c>
      <c r="DL75" s="926">
        <f t="shared" si="226"/>
      </c>
      <c r="DM75" s="926">
        <f t="shared" si="226"/>
      </c>
      <c r="DN75" s="926">
        <f t="shared" si="226"/>
      </c>
      <c r="DO75" s="308">
        <f t="shared" si="226"/>
      </c>
      <c r="DP75" s="926">
        <f t="shared" si="226"/>
      </c>
      <c r="DQ75" s="926">
        <f t="shared" si="226"/>
      </c>
      <c r="DR75" s="926">
        <f t="shared" si="226"/>
      </c>
      <c r="DS75" s="926">
        <f t="shared" ref="DS75:EH76" si="227">IF(DN70=0, "NA", DS70/DN70-1)</f>
      </c>
      <c r="DT75" s="308">
        <f t="shared" si="227"/>
      </c>
      <c r="DU75" s="926">
        <f t="shared" si="227"/>
      </c>
      <c r="DV75" s="926">
        <f t="shared" si="227"/>
      </c>
      <c r="DW75" s="926">
        <f t="shared" si="227"/>
      </c>
      <c r="DX75" s="926">
        <f t="shared" si="227"/>
      </c>
      <c r="DY75" s="308">
        <f t="shared" ref="DY75:DY76" si="228">IF(DT70=0, "NA", DY70/DT70-1)</f>
      </c>
      <c r="DZ75" s="926">
        <f t="shared" si="227"/>
      </c>
      <c r="EA75" s="926">
        <f t="shared" si="227"/>
      </c>
      <c r="EB75" s="926">
        <f t="shared" si="227"/>
      </c>
      <c r="EC75" s="926">
        <f t="shared" si="227"/>
      </c>
      <c r="ED75" s="1060">
        <f t="shared" si="227"/>
      </c>
      <c r="EE75" s="926">
        <f t="shared" si="227"/>
      </c>
      <c r="EF75" s="926">
        <f t="shared" si="227"/>
      </c>
      <c r="EG75" s="926">
        <f t="shared" si="227"/>
      </c>
      <c r="EH75" s="926">
        <f t="shared" si="227"/>
      </c>
      <c r="EI75" s="308">
        <f>IF(ED70=0, "NA", EI70/ED70-1)</f>
      </c>
      <c r="EJ75" s="308">
        <f t="shared" ref="EJ75:EN76" si="229">IF(EI70=0, "NA", EJ70/EI70-1)</f>
      </c>
      <c r="EK75" s="308">
        <f t="shared" si="229"/>
      </c>
      <c r="EL75" s="308">
        <f t="shared" si="229"/>
      </c>
      <c r="EM75" s="308">
        <f t="shared" si="229"/>
      </c>
      <c r="EN75" s="308">
        <f t="shared" si="229"/>
      </c>
      <c r="EO75" s="308">
        <f t="shared" ref="EO75:EO76" si="230">IF(EN70=0, "NA", EO70/EN70-1)</f>
      </c>
      <c r="EP75" s="308">
        <f t="shared" ref="EP75:EP76" si="231">IF(EO70=0, "NA", EP70/EO70-1)</f>
      </c>
      <c r="EQ75" s="308">
        <f t="shared" ref="EQ75:EQ76" si="232">IF(EP70=0, "NA", EQ70/EP70-1)</f>
      </c>
      <c r="ER75" s="308">
        <f t="shared" ref="ER75:ER76" si="233">IF(EQ70=0, "NA", ER70/EQ70-1)</f>
      </c>
      <c r="ES75" s="308">
        <f t="shared" ref="ES75:ES76" si="234">IF(ER70=0, "NA", ES70/ER70-1)</f>
      </c>
      <c r="ET75" s="308"/>
      <c r="EU75" s="308"/>
      <c r="EV75" s="308"/>
      <c r="EW75" s="308"/>
      <c r="EX75" s="308"/>
    </row>
    <row r="76" spans="1:154">
      <c r="B76" s="491" t="s">
        <v>412</v>
      </c>
      <c r="C76" s="1989"/>
      <c r="D76" s="28"/>
      <c r="E76" s="28"/>
      <c r="F76" s="28"/>
      <c r="G76" s="28"/>
      <c r="H76" s="28"/>
      <c r="I76" s="31"/>
      <c r="J76" s="28"/>
      <c r="K76" s="28"/>
      <c r="L76" s="28"/>
      <c r="M76" s="28"/>
      <c r="N76" s="31"/>
      <c r="O76" s="31"/>
      <c r="P76" s="31"/>
      <c r="Q76" s="31"/>
      <c r="R76" s="31"/>
      <c r="S76" s="31"/>
      <c r="T76" s="31"/>
      <c r="U76" s="31"/>
      <c r="V76" s="31"/>
      <c r="W76" s="31"/>
      <c r="X76" s="308"/>
      <c r="Y76" s="30"/>
      <c r="Z76" s="30"/>
      <c r="AA76" s="30"/>
      <c r="AB76" s="30"/>
      <c r="AC76" s="308"/>
      <c r="AD76" s="30"/>
      <c r="AE76" s="30"/>
      <c r="AF76" s="30"/>
      <c r="AG76" s="30"/>
      <c r="AH76" s="308"/>
      <c r="AI76" s="30"/>
      <c r="AJ76" s="30"/>
      <c r="AK76" s="30"/>
      <c r="AL76" s="30"/>
      <c r="AM76" s="308"/>
      <c r="AN76" s="30"/>
      <c r="AO76" s="30"/>
      <c r="AP76" s="30"/>
      <c r="AQ76" s="30"/>
      <c r="AR76" s="308"/>
      <c r="AS76" s="30"/>
      <c r="AT76" s="30"/>
      <c r="AU76" s="30"/>
      <c r="AV76" s="30"/>
      <c r="AW76" s="308"/>
      <c r="AX76" s="30"/>
      <c r="AY76" s="30"/>
      <c r="AZ76" s="30"/>
      <c r="BA76" s="30"/>
      <c r="BB76" s="308"/>
      <c r="BC76" s="29"/>
      <c r="BD76" s="30"/>
      <c r="BE76" s="30"/>
      <c r="BF76" s="30"/>
      <c r="BG76" s="308"/>
      <c r="BH76" s="30"/>
      <c r="BI76" s="30"/>
      <c r="BJ76" s="30"/>
      <c r="BK76" s="30"/>
      <c r="BL76" s="308"/>
      <c r="BM76" s="30" t="str">
        <f t="shared" si="220"/>
      </c>
      <c r="BN76" s="30" t="str">
        <f t="shared" si="220"/>
      </c>
      <c r="BO76" s="30" t="str">
        <f t="shared" si="220"/>
      </c>
      <c r="BP76" s="30" t="str">
        <f t="shared" si="220"/>
      </c>
      <c r="BQ76" s="308" t="str">
        <f t="shared" si="220"/>
      </c>
      <c r="BR76" s="30">
        <f t="shared" si="220"/>
      </c>
      <c r="BS76" s="30">
        <f t="shared" si="220"/>
      </c>
      <c r="BT76" s="30">
        <f t="shared" si="220"/>
      </c>
      <c r="BU76" s="30">
        <f t="shared" si="220"/>
      </c>
      <c r="BV76" s="308">
        <f t="shared" si="220"/>
      </c>
      <c r="BW76" s="30">
        <f t="shared" si="220"/>
      </c>
      <c r="BX76" s="30">
        <f t="shared" si="220"/>
      </c>
      <c r="BY76" s="30">
        <f t="shared" si="220"/>
      </c>
      <c r="BZ76" s="30">
        <f t="shared" si="220"/>
      </c>
      <c r="CA76" s="308">
        <f t="shared" si="220"/>
      </c>
      <c r="CB76" s="30">
        <f t="shared" si="221"/>
      </c>
      <c r="CC76" s="30">
        <f t="shared" si="221"/>
      </c>
      <c r="CD76" s="30">
        <f>IF(BY71="NM","NM",IF(CD71="NM","NM",IF(BY71&lt;=0,"NM",IF(CD71=0,"NM",IF(ABS(CD71/BY71-1)&gt;2.5,"NM",IF((ABS(CD71-BY71)=ABS(ABS(CD71)-ABS(BY71))),(CD71/BY71-1),"NM"))))))</f>
      </c>
      <c r="CE76" s="30">
        <f t="shared" si="221"/>
      </c>
      <c r="CF76" s="308">
        <f>IF(CA71="NM","NM",IF(CF71="NM","NM",IF(CA71&lt;=0,"NM",IF(CF71=0,"NM",IF(ABS(CF71/CA71-1)&gt;2.5,"NM",IF((ABS(CF71-CA71)=ABS(ABS(CF71)-ABS(CA71))),(CF71/CA71-1),"NM"))))))</f>
      </c>
      <c r="CG76" s="30">
        <f t="shared" si="222"/>
      </c>
      <c r="CH76" s="30">
        <f t="shared" si="222"/>
      </c>
      <c r="CI76" s="30">
        <f t="shared" si="222"/>
      </c>
      <c r="CJ76" s="30">
        <f t="shared" si="222"/>
      </c>
      <c r="CK76" s="308">
        <f t="shared" si="222"/>
      </c>
      <c r="CL76" s="958">
        <f t="shared" si="222"/>
      </c>
      <c r="CM76" s="926">
        <f t="shared" si="222"/>
      </c>
      <c r="CN76" s="926">
        <f t="shared" si="222"/>
      </c>
      <c r="CO76" s="30">
        <f t="shared" si="223"/>
      </c>
      <c r="CP76" s="308">
        <f t="shared" si="223"/>
      </c>
      <c r="CQ76" s="926">
        <f t="shared" si="223"/>
      </c>
      <c r="CR76" s="926">
        <f t="shared" si="223"/>
      </c>
      <c r="CS76" s="926">
        <f t="shared" si="223"/>
      </c>
      <c r="CT76" s="926">
        <f t="shared" si="223"/>
      </c>
      <c r="CU76" s="308">
        <f t="shared" si="223"/>
      </c>
      <c r="CV76" s="926">
        <f t="shared" si="224"/>
      </c>
      <c r="CW76" s="926">
        <f t="shared" si="224"/>
      </c>
      <c r="CX76" s="926">
        <f t="shared" si="224"/>
      </c>
      <c r="CY76" s="926">
        <f t="shared" si="225"/>
      </c>
      <c r="CZ76" s="308">
        <f t="shared" si="225"/>
      </c>
      <c r="DA76" s="926">
        <f t="shared" si="225"/>
      </c>
      <c r="DB76" s="926">
        <f t="shared" si="225"/>
      </c>
      <c r="DC76" s="926">
        <f t="shared" si="225"/>
      </c>
      <c r="DD76" s="926">
        <f t="shared" si="225"/>
      </c>
      <c r="DE76" s="308">
        <f t="shared" si="225"/>
      </c>
      <c r="DF76" s="926">
        <f t="shared" si="225"/>
      </c>
      <c r="DG76" s="926">
        <f t="shared" si="225"/>
      </c>
      <c r="DH76" s="926">
        <f t="shared" si="225"/>
      </c>
      <c r="DI76" s="926">
        <f t="shared" si="226"/>
      </c>
      <c r="DJ76" s="308">
        <f t="shared" si="226"/>
      </c>
      <c r="DK76" s="926">
        <f t="shared" si="226"/>
      </c>
      <c r="DL76" s="926">
        <f t="shared" si="226"/>
      </c>
      <c r="DM76" s="926">
        <f t="shared" si="226"/>
      </c>
      <c r="DN76" s="926">
        <f t="shared" si="226"/>
      </c>
      <c r="DO76" s="308">
        <f t="shared" si="226"/>
      </c>
      <c r="DP76" s="926">
        <f t="shared" si="226"/>
      </c>
      <c r="DQ76" s="926">
        <f>IF(DL71=0, "NA", DQ71/DL71-1)</f>
      </c>
      <c r="DR76" s="926">
        <f t="shared" si="226"/>
      </c>
      <c r="DS76" s="926">
        <f t="shared" si="227"/>
      </c>
      <c r="DT76" s="308">
        <f t="shared" si="227"/>
      </c>
      <c r="DU76" s="926">
        <f t="shared" si="227"/>
      </c>
      <c r="DV76" s="926">
        <f t="shared" si="227"/>
      </c>
      <c r="DW76" s="926">
        <f t="shared" si="227"/>
      </c>
      <c r="DX76" s="926">
        <f t="shared" si="227"/>
      </c>
      <c r="DY76" s="308">
        <f t="shared" si="228"/>
      </c>
      <c r="DZ76" s="926">
        <f t="shared" si="227"/>
      </c>
      <c r="EA76" s="926">
        <f t="shared" si="227"/>
      </c>
      <c r="EB76" s="926">
        <f t="shared" si="227"/>
      </c>
      <c r="EC76" s="926">
        <f t="shared" si="227"/>
      </c>
      <c r="ED76" s="1060">
        <f t="shared" si="227"/>
      </c>
      <c r="EE76" s="926">
        <f t="shared" si="227"/>
      </c>
      <c r="EF76" s="926">
        <f t="shared" si="227"/>
      </c>
      <c r="EG76" s="926">
        <f t="shared" si="227"/>
      </c>
      <c r="EH76" s="926">
        <f t="shared" si="227"/>
      </c>
      <c r="EI76" s="308">
        <f>IF(ED71=0, "NA", EI71/ED71-1)</f>
      </c>
      <c r="EJ76" s="308">
        <f t="shared" si="229"/>
      </c>
      <c r="EK76" s="308">
        <f t="shared" si="229"/>
      </c>
      <c r="EL76" s="308">
        <f t="shared" si="229"/>
      </c>
      <c r="EM76" s="308">
        <f t="shared" si="229"/>
      </c>
      <c r="EN76" s="308">
        <f t="shared" si="229"/>
      </c>
      <c r="EO76" s="308">
        <f t="shared" si="230"/>
      </c>
      <c r="EP76" s="308">
        <f t="shared" si="231"/>
      </c>
      <c r="EQ76" s="308">
        <f t="shared" si="232"/>
      </c>
      <c r="ER76" s="308">
        <f t="shared" si="233"/>
      </c>
      <c r="ES76" s="308">
        <f t="shared" si="234"/>
      </c>
      <c r="ET76" s="308"/>
      <c r="EU76" s="308"/>
      <c r="EV76" s="308"/>
      <c r="EW76" s="308"/>
      <c r="EX76" s="308"/>
    </row>
    <row r="77" spans="1:154">
      <c r="B77" s="491" t="s">
        <v>256</v>
      </c>
      <c r="C77" s="1989"/>
      <c r="D77" s="28"/>
      <c r="E77" s="28"/>
      <c r="F77" s="28"/>
      <c r="G77" s="28"/>
      <c r="H77" s="28"/>
      <c r="I77" s="31"/>
      <c r="J77" s="28"/>
      <c r="K77" s="28"/>
      <c r="L77" s="28"/>
      <c r="M77" s="28"/>
      <c r="N77" s="31"/>
      <c r="O77" s="31"/>
      <c r="P77" s="31"/>
      <c r="Q77" s="31"/>
      <c r="R77" s="31"/>
      <c r="S77" s="31"/>
      <c r="T77" s="31"/>
      <c r="U77" s="31"/>
      <c r="V77" s="31"/>
      <c r="W77" s="31"/>
      <c r="X77" s="308"/>
      <c r="Y77" s="30"/>
      <c r="Z77" s="30"/>
      <c r="AA77" s="30"/>
      <c r="AB77" s="30"/>
      <c r="AC77" s="308"/>
      <c r="AD77" s="30"/>
      <c r="AE77" s="30"/>
      <c r="AF77" s="30"/>
      <c r="AG77" s="30"/>
      <c r="AH77" s="308"/>
      <c r="AI77" s="30"/>
      <c r="AJ77" s="30"/>
      <c r="AK77" s="30"/>
      <c r="AL77" s="30"/>
      <c r="AM77" s="308"/>
      <c r="AN77" s="30"/>
      <c r="AO77" s="30"/>
      <c r="AP77" s="30"/>
      <c r="AQ77" s="30"/>
      <c r="AR77" s="308"/>
      <c r="AS77" s="30"/>
      <c r="AT77" s="30"/>
      <c r="AU77" s="30"/>
      <c r="AV77" s="30"/>
      <c r="AW77" s="308"/>
      <c r="AX77" s="30"/>
      <c r="AY77" s="30"/>
      <c r="AZ77" s="30"/>
      <c r="BA77" s="30"/>
      <c r="BB77" s="308"/>
      <c r="BC77" s="29"/>
      <c r="BD77" s="30"/>
      <c r="BE77" s="30"/>
      <c r="BF77" s="30"/>
      <c r="BG77" s="308"/>
      <c r="BH77" s="30"/>
      <c r="BI77" s="30"/>
      <c r="BJ77" s="30"/>
      <c r="BK77" s="30"/>
      <c r="BL77" s="308"/>
      <c r="BM77" s="41" t="str">
        <f t="shared" ref="BM77:CF77" si="235">IF(ISNUMBER(BM76),(1+BM76)/(1+BM$21)-1,"NM")</f>
      </c>
      <c r="BN77" s="41" t="str">
        <f t="shared" si="235"/>
      </c>
      <c r="BO77" s="41" t="str">
        <f t="shared" si="235"/>
      </c>
      <c r="BP77" s="41" t="str">
        <f t="shared" si="235"/>
      </c>
      <c r="BQ77" s="309" t="str">
        <f t="shared" si="235"/>
      </c>
      <c r="BR77" s="41">
        <f t="shared" si="235"/>
      </c>
      <c r="BS77" s="41">
        <f t="shared" si="235"/>
      </c>
      <c r="BT77" s="41">
        <f t="shared" si="235"/>
      </c>
      <c r="BU77" s="41">
        <f t="shared" si="235"/>
      </c>
      <c r="BV77" s="309">
        <f t="shared" si="235"/>
      </c>
      <c r="BW77" s="41">
        <f t="shared" si="235"/>
      </c>
      <c r="BX77" s="41">
        <f t="shared" si="235"/>
      </c>
      <c r="BY77" s="41">
        <f t="shared" si="235"/>
      </c>
      <c r="BZ77" s="41">
        <f t="shared" si="235"/>
      </c>
      <c r="CA77" s="309">
        <f t="shared" si="235"/>
      </c>
      <c r="CB77" s="41">
        <f t="shared" si="235"/>
      </c>
      <c r="CC77" s="41">
        <f t="shared" si="235"/>
      </c>
      <c r="CD77" s="41">
        <f t="shared" si="235"/>
      </c>
      <c r="CE77" s="41">
        <f t="shared" si="235"/>
      </c>
      <c r="CF77" s="309">
        <f t="shared" si="235"/>
      </c>
      <c r="CG77" s="41">
        <f t="shared" ref="CG77:CN77" si="236">CG76-CG$21</f>
      </c>
      <c r="CH77" s="41">
        <f t="shared" si="236"/>
      </c>
      <c r="CI77" s="41">
        <f t="shared" si="236"/>
      </c>
      <c r="CJ77" s="41">
        <f t="shared" si="236"/>
      </c>
      <c r="CK77" s="309">
        <f t="shared" si="236"/>
      </c>
      <c r="CL77" s="968">
        <f t="shared" si="236"/>
      </c>
      <c r="CM77" s="925">
        <f t="shared" si="236"/>
      </c>
      <c r="CN77" s="925">
        <f t="shared" si="236"/>
      </c>
      <c r="CO77" s="41">
        <f t="shared" ref="CO77:EI77" si="237">CO76-CO$21</f>
      </c>
      <c r="CP77" s="309">
        <f t="shared" si="237"/>
      </c>
      <c r="CQ77" s="925">
        <f t="shared" si="237"/>
      </c>
      <c r="CR77" s="925">
        <f t="shared" si="237"/>
      </c>
      <c r="CS77" s="925">
        <f t="shared" si="237"/>
      </c>
      <c r="CT77" s="925">
        <f t="shared" si="237"/>
      </c>
      <c r="CU77" s="309">
        <f t="shared" si="237"/>
      </c>
      <c r="CV77" s="925">
        <f t="shared" si="237"/>
      </c>
      <c r="CW77" s="925">
        <f t="shared" si="237"/>
      </c>
      <c r="CX77" s="925">
        <f t="shared" si="237"/>
      </c>
      <c r="CY77" s="925">
        <f t="shared" si="237"/>
      </c>
      <c r="CZ77" s="309">
        <f t="shared" si="237"/>
      </c>
      <c r="DA77" s="925">
        <f t="shared" si="237"/>
      </c>
      <c r="DB77" s="925">
        <f t="shared" si="237"/>
      </c>
      <c r="DC77" s="925">
        <f t="shared" si="237"/>
      </c>
      <c r="DD77" s="925">
        <f t="shared" si="237"/>
      </c>
      <c r="DE77" s="308">
        <f t="shared" si="237"/>
      </c>
      <c r="DF77" s="926">
        <f t="shared" si="237"/>
      </c>
      <c r="DG77" s="926">
        <f t="shared" si="237"/>
      </c>
      <c r="DH77" s="926">
        <f t="shared" si="237"/>
      </c>
      <c r="DI77" s="926">
        <f t="shared" si="237"/>
      </c>
      <c r="DJ77" s="308">
        <f t="shared" si="237"/>
      </c>
      <c r="DK77" s="926">
        <f t="shared" si="237"/>
      </c>
      <c r="DL77" s="926">
        <f t="shared" si="237"/>
      </c>
      <c r="DM77" s="926">
        <f t="shared" si="237"/>
      </c>
      <c r="DN77" s="926">
        <f t="shared" si="237"/>
      </c>
      <c r="DO77" s="308">
        <f t="shared" si="237"/>
      </c>
      <c r="DP77" s="926">
        <f t="shared" si="237"/>
      </c>
      <c r="DQ77" s="926">
        <f>DQ76-DQ$21</f>
      </c>
      <c r="DR77" s="926">
        <f t="shared" si="237"/>
      </c>
      <c r="DS77" s="926">
        <f>DS76-DS$21</f>
      </c>
      <c r="DT77" s="308">
        <f t="shared" si="237"/>
      </c>
      <c r="DU77" s="926">
        <f>DU76-(-6.4%)</f>
      </c>
      <c r="DV77" s="926">
        <f t="shared" si="237"/>
      </c>
      <c r="DW77" s="926">
        <f t="shared" si="237"/>
      </c>
      <c r="DX77" s="926">
        <f t="shared" si="237"/>
      </c>
      <c r="DY77" s="308">
        <f t="shared" si="237"/>
      </c>
      <c r="DZ77" s="926">
        <f>DZ76-(-0.1%)</f>
      </c>
      <c r="EA77" s="926">
        <f>EA76-(-1.5%)</f>
      </c>
      <c r="EB77" s="926">
        <f>EB76-(-0.6%)</f>
      </c>
      <c r="EC77" s="926">
        <f>EC76-(-1.4%)</f>
      </c>
      <c r="ED77" s="1060">
        <f t="shared" ref="ED77" si="238">ED76-ED$21</f>
      </c>
      <c r="EE77" s="926">
        <f>EE76-(-0.1%)</f>
      </c>
      <c r="EF77" s="926">
        <f>EF76-(-1.5%)</f>
      </c>
      <c r="EG77" s="926">
        <f>EG76-(-0.6%)</f>
      </c>
      <c r="EH77" s="926">
        <f>EH76-EH$21</f>
      </c>
      <c r="EI77" s="308">
        <f t="shared" si="237"/>
      </c>
      <c r="EJ77" s="308">
        <f>EJ76-EJ$21</f>
      </c>
      <c r="EK77" s="308">
        <f>EK76-EK$21</f>
      </c>
      <c r="EL77" s="308">
        <f>EL76-EL$21</f>
      </c>
      <c r="EM77" s="308">
        <f>EM76-EM$21</f>
      </c>
      <c r="EN77" s="308">
        <f>EN76-EN$21</f>
      </c>
      <c r="EO77" s="308">
        <f t="shared" ref="EO77:ES77" si="239">EO76-EO$21</f>
      </c>
      <c r="EP77" s="308">
        <f t="shared" si="239"/>
      </c>
      <c r="EQ77" s="308">
        <f t="shared" si="239"/>
      </c>
      <c r="ER77" s="308">
        <f t="shared" si="239"/>
      </c>
      <c r="ES77" s="308">
        <f t="shared" si="239"/>
      </c>
      <c r="ET77" s="309"/>
      <c r="EU77" s="309"/>
      <c r="EV77" s="309"/>
      <c r="EW77" s="309"/>
      <c r="EX77" s="309"/>
    </row>
    <row r="78" spans="1:154">
      <c r="B78" s="491" t="s">
        <v>413</v>
      </c>
      <c r="C78" s="1989"/>
      <c r="D78" s="28"/>
      <c r="E78" s="28"/>
      <c r="F78" s="28"/>
      <c r="G78" s="28"/>
      <c r="H78" s="28"/>
      <c r="I78" s="31"/>
      <c r="J78" s="28"/>
      <c r="K78" s="28"/>
      <c r="L78" s="28"/>
      <c r="M78" s="28"/>
      <c r="N78" s="31"/>
      <c r="O78" s="31"/>
      <c r="P78" s="31"/>
      <c r="Q78" s="31"/>
      <c r="R78" s="31"/>
      <c r="S78" s="31"/>
      <c r="T78" s="31"/>
      <c r="U78" s="31"/>
      <c r="V78" s="31"/>
      <c r="W78" s="31"/>
      <c r="X78" s="308"/>
      <c r="Y78" s="30"/>
      <c r="Z78" s="30"/>
      <c r="AA78" s="30"/>
      <c r="AB78" s="30"/>
      <c r="AC78" s="308"/>
      <c r="AD78" s="30"/>
      <c r="AE78" s="30"/>
      <c r="AF78" s="30"/>
      <c r="AG78" s="30"/>
      <c r="AH78" s="308"/>
      <c r="AI78" s="30"/>
      <c r="AJ78" s="30"/>
      <c r="AK78" s="30"/>
      <c r="AL78" s="30"/>
      <c r="AM78" s="308"/>
      <c r="AN78" s="30"/>
      <c r="AO78" s="30"/>
      <c r="AP78" s="30"/>
      <c r="AQ78" s="30"/>
      <c r="AR78" s="308"/>
      <c r="AS78" s="30"/>
      <c r="AT78" s="30"/>
      <c r="AU78" s="30"/>
      <c r="AV78" s="30"/>
      <c r="AW78" s="308"/>
      <c r="AX78" s="30"/>
      <c r="AY78" s="30"/>
      <c r="AZ78" s="30"/>
      <c r="BA78" s="30"/>
      <c r="BB78" s="308"/>
      <c r="BC78" s="29"/>
      <c r="BD78" s="30"/>
      <c r="BE78" s="30"/>
      <c r="BF78" s="30"/>
      <c r="BG78" s="308"/>
      <c r="BH78" s="30"/>
      <c r="BI78" s="30"/>
      <c r="BJ78" s="30"/>
      <c r="BK78" s="30"/>
      <c r="BL78" s="308"/>
      <c r="BM78" s="30" t="str">
        <f t="shared" ref="BM78:CF78" si="240">IF(BH72="NM","NM",IF(BM72="NM","NM",IF(BH72&lt;=0,"NM",IF(BM72=0,"NM",IF(ABS(BM72/BH72-1)&gt;2.5,"NM",IF((ABS(BM72-BH72)=ABS(ABS(BM72)-ABS(BH72))),(BM72/BH72-1),"NM"))))))</f>
      </c>
      <c r="BN78" s="30" t="str">
        <f t="shared" si="240"/>
      </c>
      <c r="BO78" s="30" t="str">
        <f t="shared" si="240"/>
      </c>
      <c r="BP78" s="30" t="str">
        <f t="shared" si="240"/>
      </c>
      <c r="BQ78" s="308" t="str">
        <f t="shared" si="240"/>
      </c>
      <c r="BR78" s="30">
        <f t="shared" si="240"/>
      </c>
      <c r="BS78" s="30">
        <f t="shared" si="240"/>
      </c>
      <c r="BT78" s="30">
        <f t="shared" si="240"/>
      </c>
      <c r="BU78" s="30">
        <f t="shared" si="240"/>
      </c>
      <c r="BV78" s="308">
        <f t="shared" si="240"/>
      </c>
      <c r="BW78" s="30">
        <f t="shared" si="240"/>
      </c>
      <c r="BX78" s="30">
        <f t="shared" si="240"/>
      </c>
      <c r="BY78" s="30">
        <f t="shared" si="240"/>
      </c>
      <c r="BZ78" s="30">
        <f t="shared" si="240"/>
      </c>
      <c r="CA78" s="308">
        <f t="shared" si="240"/>
      </c>
      <c r="CB78" s="30">
        <f t="shared" si="240"/>
      </c>
      <c r="CC78" s="30">
        <f t="shared" si="240"/>
      </c>
      <c r="CD78" s="30">
        <f t="shared" si="240"/>
      </c>
      <c r="CE78" s="30">
        <f t="shared" si="240"/>
      </c>
      <c r="CF78" s="308">
        <f t="shared" si="240"/>
      </c>
      <c r="CG78" s="30">
        <f t="shared" ref="CG78:CX78" si="241">IF(CB72=0, "NA", CG72/CB72-1)</f>
      </c>
      <c r="CH78" s="30">
        <f t="shared" si="241"/>
      </c>
      <c r="CI78" s="30">
        <f t="shared" si="241"/>
      </c>
      <c r="CJ78" s="30">
        <f t="shared" si="241"/>
      </c>
      <c r="CK78" s="308">
        <f t="shared" si="241"/>
      </c>
      <c r="CL78" s="958">
        <f t="shared" si="241"/>
      </c>
      <c r="CM78" s="926">
        <f t="shared" si="241"/>
      </c>
      <c r="CN78" s="926">
        <f t="shared" si="241"/>
      </c>
      <c r="CO78" s="30">
        <f t="shared" si="241"/>
      </c>
      <c r="CP78" s="308">
        <f t="shared" si="241"/>
      </c>
      <c r="CQ78" s="926">
        <f t="shared" si="241"/>
      </c>
      <c r="CR78" s="926">
        <f t="shared" si="241"/>
      </c>
      <c r="CS78" s="926">
        <f t="shared" si="241"/>
      </c>
      <c r="CT78" s="926">
        <f t="shared" si="241"/>
      </c>
      <c r="CU78" s="308">
        <f t="shared" si="241"/>
      </c>
      <c r="CV78" s="926">
        <f t="shared" si="241"/>
      </c>
      <c r="CW78" s="926">
        <f t="shared" si="241"/>
      </c>
      <c r="CX78" s="926">
        <f t="shared" si="241"/>
      </c>
      <c r="CY78" s="926">
        <f t="shared" ref="CY78:EH78" si="242">IF(CT72=0, "NA", CY72/CT72-1)</f>
      </c>
      <c r="CZ78" s="308">
        <f t="shared" si="242"/>
      </c>
      <c r="DA78" s="926">
        <f t="shared" si="242"/>
      </c>
      <c r="DB78" s="926">
        <f t="shared" si="242"/>
      </c>
      <c r="DC78" s="926">
        <f t="shared" si="242"/>
      </c>
      <c r="DD78" s="926">
        <f t="shared" si="242"/>
      </c>
      <c r="DE78" s="308">
        <f t="shared" si="242"/>
      </c>
      <c r="DF78" s="926">
        <f t="shared" si="242"/>
      </c>
      <c r="DG78" s="926">
        <f t="shared" si="242"/>
      </c>
      <c r="DH78" s="926">
        <f t="shared" si="242"/>
      </c>
      <c r="DI78" s="926">
        <f t="shared" si="242"/>
      </c>
      <c r="DJ78" s="308">
        <f t="shared" si="242"/>
      </c>
      <c r="DK78" s="926">
        <f t="shared" si="242"/>
      </c>
      <c r="DL78" s="926">
        <f t="shared" si="242"/>
      </c>
      <c r="DM78" s="926">
        <f t="shared" si="242"/>
      </c>
      <c r="DN78" s="926">
        <f t="shared" si="242"/>
      </c>
      <c r="DO78" s="308">
        <f t="shared" si="242"/>
      </c>
      <c r="DP78" s="926">
        <f t="shared" si="242"/>
      </c>
      <c r="DQ78" s="926">
        <f t="shared" si="242"/>
      </c>
      <c r="DR78" s="926">
        <f t="shared" si="242"/>
      </c>
      <c r="DS78" s="926">
        <f t="shared" si="242"/>
      </c>
      <c r="DT78" s="308">
        <f t="shared" si="242"/>
      </c>
      <c r="DU78" s="926">
        <f t="shared" si="242"/>
      </c>
      <c r="DV78" s="926">
        <f t="shared" si="242"/>
      </c>
      <c r="DW78" s="926">
        <f t="shared" si="242"/>
      </c>
      <c r="DX78" s="926">
        <f t="shared" si="242"/>
      </c>
      <c r="DY78" s="308">
        <f t="shared" ref="DY78" si="243">IF(DT72=0, "NA", DY72/DT72-1)</f>
      </c>
      <c r="DZ78" s="926">
        <f t="shared" si="242"/>
      </c>
      <c r="EA78" s="926">
        <f t="shared" si="242"/>
      </c>
      <c r="EB78" s="926">
        <f t="shared" si="242"/>
      </c>
      <c r="EC78" s="926">
        <f t="shared" si="242"/>
      </c>
      <c r="ED78" s="1060">
        <f t="shared" si="242"/>
      </c>
      <c r="EE78" s="926">
        <f t="shared" si="242"/>
      </c>
      <c r="EF78" s="926">
        <f t="shared" si="242"/>
      </c>
      <c r="EG78" s="926">
        <f t="shared" si="242"/>
      </c>
      <c r="EH78" s="926">
        <f t="shared" si="242"/>
      </c>
      <c r="EI78" s="308">
        <f>IF(ED72=0, "NA", EI72/ED72-1)</f>
      </c>
      <c r="EJ78" s="308">
        <f t="shared" ref="EJ78:EN78" si="244">IF(EI72=0, "NA", EJ72/EI72-1)</f>
      </c>
      <c r="EK78" s="308">
        <f t="shared" si="244"/>
      </c>
      <c r="EL78" s="308">
        <f t="shared" si="244"/>
      </c>
      <c r="EM78" s="308">
        <f t="shared" si="244"/>
      </c>
      <c r="EN78" s="308">
        <f t="shared" si="244"/>
      </c>
      <c r="EO78" s="308">
        <f t="shared" ref="EO78" si="245">IF(EN72=0, "NA", EO72/EN72-1)</f>
      </c>
      <c r="EP78" s="308">
        <f t="shared" ref="EP78" si="246">IF(EO72=0, "NA", EP72/EO72-1)</f>
      </c>
      <c r="EQ78" s="308">
        <f t="shared" ref="EQ78" si="247">IF(EP72=0, "NA", EQ72/EP72-1)</f>
      </c>
      <c r="ER78" s="308">
        <f t="shared" ref="ER78" si="248">IF(EQ72=0, "NA", ER72/EQ72-1)</f>
      </c>
      <c r="ES78" s="308">
        <f t="shared" ref="ES78" si="249">IF(ER72=0, "NA", ES72/ER72-1)</f>
      </c>
      <c r="ET78" s="308"/>
      <c r="EU78" s="308"/>
      <c r="EV78" s="308"/>
      <c r="EW78" s="308"/>
      <c r="EX78" s="308"/>
    </row>
    <row r="79" spans="1:154">
      <c r="B79" s="491"/>
      <c r="C79" s="1989"/>
      <c r="D79" s="28"/>
      <c r="E79" s="28"/>
      <c r="F79" s="28"/>
      <c r="G79" s="28"/>
      <c r="H79" s="28"/>
      <c r="I79" s="31"/>
      <c r="J79" s="28"/>
      <c r="K79" s="28"/>
      <c r="L79" s="28"/>
      <c r="M79" s="28"/>
      <c r="N79" s="31"/>
      <c r="O79" s="31"/>
      <c r="P79" s="31"/>
      <c r="Q79" s="31"/>
      <c r="R79" s="31"/>
      <c r="S79" s="31"/>
      <c r="T79" s="31"/>
      <c r="U79" s="31"/>
      <c r="V79" s="31"/>
      <c r="W79" s="31"/>
      <c r="X79" s="308"/>
      <c r="Y79" s="30"/>
      <c r="Z79" s="30"/>
      <c r="AA79" s="30"/>
      <c r="AB79" s="30"/>
      <c r="AC79" s="308"/>
      <c r="AD79" s="30"/>
      <c r="AE79" s="30"/>
      <c r="AF79" s="30"/>
      <c r="AG79" s="30"/>
      <c r="AH79" s="308"/>
      <c r="AI79" s="30"/>
      <c r="AJ79" s="30"/>
      <c r="AK79" s="30"/>
      <c r="AL79" s="30"/>
      <c r="AM79" s="308"/>
      <c r="AN79" s="30"/>
      <c r="AO79" s="30"/>
      <c r="AP79" s="30"/>
      <c r="AQ79" s="30"/>
      <c r="AR79" s="308"/>
      <c r="AS79" s="30"/>
      <c r="AT79" s="30"/>
      <c r="AU79" s="30"/>
      <c r="AV79" s="30"/>
      <c r="AW79" s="308"/>
      <c r="AX79" s="30"/>
      <c r="AY79" s="30"/>
      <c r="AZ79" s="30"/>
      <c r="BA79" s="30"/>
      <c r="BB79" s="308"/>
      <c r="BC79" s="29"/>
      <c r="BD79" s="30"/>
      <c r="BE79" s="30"/>
      <c r="BF79" s="30"/>
      <c r="BG79" s="308"/>
      <c r="BH79" s="30"/>
      <c r="BI79" s="30"/>
      <c r="BJ79" s="30"/>
      <c r="BK79" s="30"/>
      <c r="BL79" s="308"/>
      <c r="BM79" s="30"/>
      <c r="BN79" s="30"/>
      <c r="BO79" s="30"/>
      <c r="BP79" s="30"/>
      <c r="BQ79" s="308"/>
      <c r="BR79" s="30"/>
      <c r="BS79" s="30"/>
      <c r="BT79" s="30"/>
      <c r="BU79" s="30"/>
      <c r="BV79" s="308"/>
      <c r="BW79" s="30"/>
      <c r="BX79" s="30"/>
      <c r="BY79" s="30"/>
      <c r="BZ79" s="30"/>
      <c r="CA79" s="308"/>
      <c r="CB79" s="30"/>
      <c r="CC79" s="30"/>
      <c r="CD79" s="30"/>
      <c r="CE79" s="30"/>
      <c r="CF79" s="308"/>
      <c r="CG79" s="30"/>
      <c r="CH79" s="30"/>
      <c r="CI79" s="30"/>
      <c r="CJ79" s="30"/>
      <c r="CK79" s="308"/>
      <c r="CL79" s="958"/>
      <c r="CM79" s="926"/>
      <c r="CN79" s="926"/>
      <c r="CO79" s="30"/>
      <c r="CP79" s="308"/>
      <c r="CQ79" s="926"/>
      <c r="CR79" s="926"/>
      <c r="CS79" s="926"/>
      <c r="CT79" s="926"/>
      <c r="CU79" s="308"/>
      <c r="CV79" s="926"/>
      <c r="CW79" s="926"/>
      <c r="CX79" s="926"/>
      <c r="CY79" s="926"/>
      <c r="CZ79" s="308"/>
      <c r="DA79" s="926"/>
      <c r="DB79" s="30"/>
      <c r="DC79" s="30"/>
      <c r="DD79" s="409"/>
      <c r="DE79" s="308"/>
      <c r="DF79" s="926"/>
      <c r="DG79" s="30"/>
      <c r="DH79" s="30"/>
      <c r="DI79" s="409"/>
      <c r="DJ79" s="308"/>
      <c r="DK79" s="830"/>
      <c r="DL79" s="30"/>
      <c r="DM79" s="30"/>
      <c r="DN79" s="409"/>
      <c r="DO79" s="308"/>
      <c r="DP79" s="30"/>
      <c r="DQ79" s="30"/>
      <c r="DR79" s="30"/>
      <c r="DS79" s="409"/>
      <c r="DT79" s="308"/>
      <c r="DU79" s="926"/>
      <c r="DV79" s="926"/>
      <c r="DW79" s="926"/>
      <c r="DX79" s="928"/>
      <c r="DY79" s="308"/>
      <c r="DZ79" s="926"/>
      <c r="EA79" s="926"/>
      <c r="EB79" s="926"/>
      <c r="EC79" s="928"/>
      <c r="ED79" s="1060"/>
      <c r="EE79" s="926"/>
      <c r="EF79" s="926"/>
      <c r="EG79" s="926"/>
      <c r="EH79" s="928"/>
      <c r="EI79" s="308"/>
      <c r="EJ79" s="308"/>
      <c r="EK79" s="308"/>
      <c r="EL79" s="308"/>
      <c r="EM79" s="308"/>
      <c r="EN79" s="308"/>
      <c r="EO79" s="308"/>
      <c r="EP79" s="308"/>
      <c r="EQ79" s="308"/>
      <c r="ER79" s="308"/>
      <c r="ES79" s="308"/>
      <c r="ET79" s="308"/>
      <c r="EU79" s="308"/>
      <c r="EV79" s="308"/>
      <c r="EW79" s="308"/>
      <c r="EX79" s="308"/>
    </row>
    <row r="80" spans="1:154" ht="12.75" hidden="1" customHeight="1" outlineLevel="1">
      <c r="B80" s="1164" t="s">
        <v>531</v>
      </c>
      <c r="C80" s="1990"/>
      <c r="D80" s="26"/>
      <c r="E80" s="26"/>
      <c r="F80" s="26"/>
      <c r="G80" s="26"/>
      <c r="H80" s="26"/>
      <c r="I80" s="27"/>
      <c r="J80" s="26"/>
      <c r="K80" s="26"/>
      <c r="L80" s="26"/>
      <c r="M80" s="26"/>
      <c r="N80" s="27"/>
      <c r="O80" s="27"/>
      <c r="P80" s="27"/>
      <c r="Q80" s="27"/>
      <c r="R80" s="27"/>
      <c r="S80" s="27"/>
      <c r="T80" s="27"/>
      <c r="U80" s="27"/>
      <c r="V80" s="27"/>
      <c r="W80" s="27"/>
      <c r="X80" s="307"/>
      <c r="Y80" s="27"/>
      <c r="Z80" s="27"/>
      <c r="AA80" s="27"/>
      <c r="AB80" s="27"/>
      <c r="AC80" s="307"/>
      <c r="AD80" s="27"/>
      <c r="AE80" s="27"/>
      <c r="AF80" s="27"/>
      <c r="AG80" s="27"/>
      <c r="AH80" s="307"/>
      <c r="AI80" s="26"/>
      <c r="AJ80" s="26"/>
      <c r="AK80" s="26"/>
      <c r="AL80" s="27"/>
      <c r="AM80" s="307"/>
      <c r="AN80" s="26"/>
      <c r="AO80" s="26"/>
      <c r="AP80" s="26"/>
      <c r="AQ80" s="27"/>
      <c r="AR80" s="307"/>
      <c r="AS80" s="26"/>
      <c r="AT80" s="26"/>
      <c r="AU80" s="26"/>
      <c r="AV80" s="27"/>
      <c r="AW80" s="307"/>
      <c r="AX80" s="26"/>
      <c r="AY80" s="26"/>
      <c r="AZ80" s="26"/>
      <c r="BA80" s="26"/>
      <c r="BB80" s="307"/>
      <c r="BC80" s="26"/>
      <c r="BD80" s="26"/>
      <c r="BE80" s="26"/>
      <c r="BF80" s="26"/>
      <c r="BG80" s="307"/>
      <c r="BH80" s="26"/>
      <c r="BI80" s="26"/>
      <c r="BJ80" s="26"/>
      <c r="BK80" s="26"/>
      <c r="BL80" s="307"/>
      <c r="BM80" s="26"/>
      <c r="BN80" s="26"/>
      <c r="BO80" s="26"/>
      <c r="BP80" s="26"/>
      <c r="BQ80" s="307"/>
      <c r="BR80" s="26"/>
      <c r="BS80" s="26"/>
      <c r="BT80" s="26"/>
      <c r="BU80" s="26"/>
      <c r="BV80" s="307"/>
      <c r="BW80" s="26"/>
      <c r="BX80" s="26"/>
      <c r="BY80" s="26"/>
      <c r="BZ80" s="26"/>
      <c r="CA80" s="307"/>
      <c r="CB80" s="26"/>
      <c r="CC80" s="26"/>
      <c r="CD80" s="26"/>
      <c r="CE80" s="26"/>
      <c r="CF80" s="307"/>
      <c r="CG80" s="26"/>
      <c r="CH80" s="26"/>
      <c r="CI80" s="26"/>
      <c r="CJ80" s="26"/>
      <c r="CK80" s="307"/>
      <c r="CL80" s="970"/>
      <c r="CM80" s="26"/>
      <c r="CN80" s="26"/>
      <c r="CO80" s="26"/>
      <c r="CP80" s="307"/>
      <c r="CQ80" s="26"/>
      <c r="CR80" s="26"/>
      <c r="CS80" s="26"/>
      <c r="CT80" s="26"/>
      <c r="CU80" s="307"/>
      <c r="CV80" s="26"/>
      <c r="CW80" s="26"/>
      <c r="CX80" s="26"/>
      <c r="CY80" s="26"/>
      <c r="CZ80" s="307"/>
      <c r="DA80" s="26"/>
      <c r="DB80" s="27"/>
      <c r="DC80" s="27"/>
      <c r="DD80" s="964"/>
      <c r="DE80" s="1766"/>
      <c r="DF80" s="1783"/>
      <c r="DG80" s="1767"/>
      <c r="DH80" s="1767"/>
      <c r="DI80" s="1784"/>
      <c r="DJ80" s="1766"/>
      <c r="DK80" s="1797"/>
      <c r="DL80" s="1767"/>
      <c r="DM80" s="1767"/>
      <c r="DN80" s="1784"/>
      <c r="DO80" s="1766"/>
      <c r="DP80" s="1767"/>
      <c r="DQ80" s="1767"/>
      <c r="DR80" s="1767"/>
      <c r="DS80" s="1784"/>
      <c r="DT80" s="1766"/>
      <c r="DU80" s="1767"/>
      <c r="DV80" s="1767"/>
      <c r="DW80" s="1767"/>
      <c r="DX80" s="1784"/>
      <c r="DY80" s="1766"/>
      <c r="DZ80" s="1767"/>
      <c r="EA80" s="1767"/>
      <c r="EB80" s="1767"/>
      <c r="EC80" s="1784"/>
      <c r="ED80" s="1766"/>
      <c r="EE80" s="1767"/>
      <c r="EF80" s="1767"/>
      <c r="EG80" s="1767"/>
      <c r="EH80" s="1784"/>
      <c r="EI80" s="1766"/>
      <c r="EJ80" s="1766"/>
      <c r="EK80" s="1766"/>
      <c r="EL80" s="1766"/>
      <c r="EM80" s="1766"/>
      <c r="EN80" s="1766"/>
      <c r="EO80" s="1766"/>
      <c r="EP80" s="1766"/>
      <c r="EQ80" s="1766"/>
      <c r="ER80" s="1766"/>
      <c r="ES80" s="1766"/>
      <c r="ET80" s="1766"/>
      <c r="EU80" s="1766"/>
      <c r="EV80" s="1766"/>
      <c r="EW80" s="1766"/>
      <c r="EX80" s="1766"/>
    </row>
    <row r="81" spans="2:154" ht="12.75" hidden="1" customHeight="1" outlineLevel="1">
      <c r="B81" s="1168" t="s">
        <v>187</v>
      </c>
      <c r="C81" s="1990"/>
      <c r="D81" s="28">
        <f t="shared" ref="D81:AI81" si="250">+D103+D874+D838+D849</f>
      </c>
      <c r="E81" s="28">
        <f t="shared" si="250"/>
      </c>
      <c r="F81" s="28">
        <f t="shared" si="250"/>
      </c>
      <c r="G81" s="28">
        <f t="shared" si="250"/>
      </c>
      <c r="H81" s="28">
        <f t="shared" si="250"/>
      </c>
      <c r="I81" s="28">
        <f t="shared" si="250"/>
      </c>
      <c r="J81" s="28">
        <f t="shared" si="250"/>
      </c>
      <c r="K81" s="28">
        <f t="shared" si="250"/>
      </c>
      <c r="L81" s="28">
        <f t="shared" si="250"/>
      </c>
      <c r="M81" s="28">
        <f t="shared" si="250"/>
      </c>
      <c r="N81" s="28">
        <f t="shared" si="250"/>
      </c>
      <c r="O81" s="28">
        <f t="shared" si="250"/>
      </c>
      <c r="P81" s="28">
        <f t="shared" si="250"/>
      </c>
      <c r="Q81" s="28">
        <f t="shared" si="250"/>
      </c>
      <c r="R81" s="28">
        <f t="shared" si="250"/>
      </c>
      <c r="S81" s="28">
        <f t="shared" si="250"/>
      </c>
      <c r="T81" s="28">
        <f t="shared" si="250"/>
      </c>
      <c r="U81" s="28">
        <f t="shared" si="250"/>
      </c>
      <c r="V81" s="28">
        <f t="shared" si="250"/>
      </c>
      <c r="W81" s="28">
        <f t="shared" si="250"/>
      </c>
      <c r="X81" s="312">
        <f t="shared" si="250"/>
      </c>
      <c r="Y81" s="28">
        <f t="shared" si="250"/>
      </c>
      <c r="Z81" s="28">
        <f t="shared" si="250"/>
      </c>
      <c r="AA81" s="28">
        <f t="shared" si="250"/>
      </c>
      <c r="AB81" s="28">
        <f t="shared" si="250"/>
      </c>
      <c r="AC81" s="312">
        <f t="shared" si="250"/>
      </c>
      <c r="AD81" s="28">
        <f t="shared" si="250"/>
      </c>
      <c r="AE81" s="28">
        <f t="shared" si="250"/>
      </c>
      <c r="AF81" s="28">
        <f t="shared" si="250"/>
      </c>
      <c r="AG81" s="28">
        <f t="shared" si="250"/>
      </c>
      <c r="AH81" s="312">
        <f t="shared" si="250"/>
      </c>
      <c r="AI81" s="28">
        <f t="shared" si="250"/>
      </c>
      <c r="AJ81" s="28">
        <f t="shared" ref="AJ81:BQ81" si="251">+AJ103+AJ874+AJ838+AJ849</f>
      </c>
      <c r="AK81" s="28">
        <f t="shared" si="251"/>
      </c>
      <c r="AL81" s="28">
        <f t="shared" si="251"/>
      </c>
      <c r="AM81" s="312">
        <f t="shared" si="251"/>
      </c>
      <c r="AN81" s="28">
        <f t="shared" si="251"/>
      </c>
      <c r="AO81" s="28">
        <f t="shared" si="251"/>
      </c>
      <c r="AP81" s="28">
        <f t="shared" si="251"/>
      </c>
      <c r="AQ81" s="28">
        <f t="shared" si="251"/>
      </c>
      <c r="AR81" s="312">
        <f t="shared" si="251"/>
      </c>
      <c r="AS81" s="28">
        <f t="shared" si="251"/>
      </c>
      <c r="AT81" s="28">
        <f t="shared" si="251"/>
      </c>
      <c r="AU81" s="28">
        <f t="shared" si="251"/>
      </c>
      <c r="AV81" s="28">
        <f t="shared" si="251"/>
      </c>
      <c r="AW81" s="312">
        <f t="shared" si="251"/>
      </c>
      <c r="AX81" s="28">
        <f t="shared" si="251"/>
      </c>
      <c r="AY81" s="28">
        <f t="shared" si="251"/>
      </c>
      <c r="AZ81" s="28">
        <f t="shared" si="251"/>
      </c>
      <c r="BA81" s="28">
        <f t="shared" si="251"/>
      </c>
      <c r="BB81" s="312">
        <f t="shared" si="251"/>
      </c>
      <c r="BC81" s="28">
        <f t="shared" si="251"/>
      </c>
      <c r="BD81" s="28">
        <f t="shared" si="251"/>
      </c>
      <c r="BE81" s="28">
        <f t="shared" si="251"/>
      </c>
      <c r="BF81" s="28">
        <f t="shared" si="251"/>
      </c>
      <c r="BG81" s="312">
        <f t="shared" si="251"/>
      </c>
      <c r="BH81" s="28">
        <f t="shared" si="251"/>
      </c>
      <c r="BI81" s="28">
        <f t="shared" si="251"/>
      </c>
      <c r="BJ81" s="28">
        <f t="shared" si="251"/>
      </c>
      <c r="BK81" s="28">
        <f t="shared" si="251"/>
      </c>
      <c r="BL81" s="312">
        <f t="shared" si="251"/>
      </c>
      <c r="BM81" s="28">
        <f t="shared" si="251"/>
      </c>
      <c r="BN81" s="28">
        <f t="shared" si="251"/>
      </c>
      <c r="BO81" s="28">
        <f t="shared" si="251"/>
      </c>
      <c r="BP81" s="28">
        <f t="shared" si="251"/>
      </c>
      <c r="BQ81" s="312">
        <f t="shared" si="251"/>
      </c>
      <c r="BR81" s="28">
        <f>+BR103</f>
      </c>
      <c r="BS81" s="28">
        <f t="shared" ref="BR81:BT82" si="252">+BS103</f>
      </c>
      <c r="BT81" s="28">
        <f t="shared" si="252"/>
      </c>
      <c r="BU81" s="28">
        <f>+BU103</f>
      </c>
      <c r="BV81" s="312">
        <f t="shared" ref="BV81:BY82" si="253">+BV103+BV92</f>
      </c>
      <c r="BW81" s="28">
        <f t="shared" si="253"/>
      </c>
      <c r="BX81" s="28">
        <f t="shared" si="253"/>
      </c>
      <c r="BY81" s="28">
        <f t="shared" si="253"/>
      </c>
      <c r="BZ81" s="28">
        <f t="shared" ref="BZ81:CC82" si="254">+BZ103+BZ92</f>
      </c>
      <c r="CA81" s="312">
        <f t="shared" si="254"/>
      </c>
      <c r="CB81" s="28">
        <f t="shared" si="254"/>
      </c>
      <c r="CC81" s="28">
        <f t="shared" si="254"/>
      </c>
      <c r="CD81" s="28">
        <f>+CD103+CD92</f>
      </c>
      <c r="CE81" s="28">
        <f t="shared" ref="CE81:CK82" si="255">+CE103+CE92</f>
      </c>
      <c r="CF81" s="313">
        <f t="shared" si="255"/>
      </c>
      <c r="CG81" s="28">
        <f t="shared" si="255"/>
      </c>
      <c r="CH81" s="28">
        <f t="shared" si="255"/>
      </c>
      <c r="CI81" s="28">
        <f t="shared" si="255"/>
      </c>
      <c r="CJ81" s="28">
        <f t="shared" si="255"/>
      </c>
      <c r="CK81" s="313">
        <f t="shared" si="255"/>
      </c>
      <c r="CL81" s="961">
        <f t="shared" ref="CL81:CP82" si="256">+CL103+CL92</f>
      </c>
      <c r="CM81" s="933">
        <f t="shared" si="256"/>
      </c>
      <c r="CN81" s="933">
        <f t="shared" si="256"/>
      </c>
      <c r="CO81" s="28">
        <f t="shared" si="256"/>
      </c>
      <c r="CP81" s="313">
        <f t="shared" si="256"/>
      </c>
      <c r="CQ81" s="933"/>
      <c r="CR81" s="933"/>
      <c r="CS81" s="933"/>
      <c r="CT81" s="933"/>
      <c r="CU81" s="313"/>
      <c r="CV81" s="933"/>
      <c r="CW81" s="933"/>
      <c r="CX81" s="933"/>
      <c r="CY81" s="933"/>
      <c r="CZ81" s="313"/>
      <c r="DA81" s="933"/>
      <c r="DB81" s="31"/>
      <c r="DC81" s="31"/>
      <c r="DD81" s="955"/>
      <c r="DE81" s="477"/>
      <c r="DF81" s="982"/>
      <c r="DG81" s="603"/>
      <c r="DH81" s="603"/>
      <c r="DI81" s="1798"/>
      <c r="DJ81" s="477"/>
      <c r="DK81" s="1799"/>
      <c r="DL81" s="603"/>
      <c r="DM81" s="603"/>
      <c r="DN81" s="1798"/>
      <c r="DO81" s="477"/>
      <c r="DP81" s="603"/>
      <c r="DQ81" s="603"/>
      <c r="DR81" s="603"/>
      <c r="DS81" s="1798"/>
      <c r="DT81" s="477"/>
      <c r="DU81" s="603"/>
      <c r="DV81" s="603"/>
      <c r="DW81" s="603"/>
      <c r="DX81" s="1798"/>
      <c r="DY81" s="477"/>
      <c r="DZ81" s="603"/>
      <c r="EA81" s="603"/>
      <c r="EB81" s="603"/>
      <c r="EC81" s="1798"/>
      <c r="ED81" s="1766"/>
      <c r="EE81" s="603"/>
      <c r="EF81" s="603"/>
      <c r="EG81" s="603"/>
      <c r="EH81" s="1798"/>
      <c r="EI81" s="477"/>
      <c r="EJ81" s="477"/>
      <c r="EK81" s="477"/>
      <c r="EL81" s="477"/>
      <c r="EM81" s="477"/>
      <c r="EN81" s="477"/>
      <c r="EO81" s="477"/>
      <c r="EP81" s="477"/>
      <c r="EQ81" s="477"/>
      <c r="ER81" s="477"/>
      <c r="ES81" s="477"/>
      <c r="ET81" s="477"/>
      <c r="EU81" s="477"/>
      <c r="EV81" s="477"/>
      <c r="EW81" s="477"/>
      <c r="EX81" s="477"/>
    </row>
    <row r="82" spans="2:154" ht="12.75" hidden="1" customHeight="1" outlineLevel="1">
      <c r="B82" s="1168" t="s">
        <v>412</v>
      </c>
      <c r="C82" s="1990"/>
      <c r="D82" s="28">
        <f t="shared" ref="D82:AI82" si="257">+D104+D875+D839+D850</f>
      </c>
      <c r="E82" s="28">
        <f t="shared" si="257"/>
      </c>
      <c r="F82" s="28">
        <f t="shared" si="257"/>
      </c>
      <c r="G82" s="28">
        <f t="shared" si="257"/>
      </c>
      <c r="H82" s="28">
        <f t="shared" si="257"/>
      </c>
      <c r="I82" s="28">
        <f t="shared" si="257"/>
      </c>
      <c r="J82" s="28">
        <f t="shared" si="257"/>
      </c>
      <c r="K82" s="28">
        <f t="shared" si="257"/>
      </c>
      <c r="L82" s="28">
        <f t="shared" si="257"/>
      </c>
      <c r="M82" s="28">
        <f t="shared" si="257"/>
      </c>
      <c r="N82" s="28">
        <f t="shared" si="257"/>
      </c>
      <c r="O82" s="28">
        <f t="shared" si="257"/>
      </c>
      <c r="P82" s="28">
        <f t="shared" si="257"/>
      </c>
      <c r="Q82" s="28">
        <f t="shared" si="257"/>
      </c>
      <c r="R82" s="28">
        <f t="shared" si="257"/>
      </c>
      <c r="S82" s="28">
        <f t="shared" si="257"/>
      </c>
      <c r="T82" s="28">
        <f t="shared" si="257"/>
      </c>
      <c r="U82" s="28">
        <f t="shared" si="257"/>
      </c>
      <c r="V82" s="28">
        <f t="shared" si="257"/>
      </c>
      <c r="W82" s="28">
        <f t="shared" si="257"/>
      </c>
      <c r="X82" s="312">
        <f t="shared" si="257"/>
      </c>
      <c r="Y82" s="28">
        <f t="shared" si="257"/>
      </c>
      <c r="Z82" s="28">
        <f t="shared" si="257"/>
      </c>
      <c r="AA82" s="28">
        <f t="shared" si="257"/>
      </c>
      <c r="AB82" s="28">
        <f t="shared" si="257"/>
      </c>
      <c r="AC82" s="312">
        <f t="shared" si="257"/>
      </c>
      <c r="AD82" s="28">
        <f t="shared" si="257"/>
      </c>
      <c r="AE82" s="28">
        <f t="shared" si="257"/>
      </c>
      <c r="AF82" s="28">
        <f t="shared" si="257"/>
      </c>
      <c r="AG82" s="28">
        <f t="shared" si="257"/>
      </c>
      <c r="AH82" s="312">
        <f t="shared" si="257"/>
      </c>
      <c r="AI82" s="28">
        <f t="shared" si="257"/>
      </c>
      <c r="AJ82" s="28">
        <f t="shared" ref="AJ82:BQ82" si="258">+AJ104+AJ875+AJ839+AJ850</f>
      </c>
      <c r="AK82" s="28">
        <f t="shared" si="258"/>
      </c>
      <c r="AL82" s="28">
        <f t="shared" si="258"/>
      </c>
      <c r="AM82" s="312">
        <f t="shared" si="258"/>
      </c>
      <c r="AN82" s="28">
        <f t="shared" si="258"/>
      </c>
      <c r="AO82" s="28">
        <f t="shared" si="258"/>
      </c>
      <c r="AP82" s="28">
        <f t="shared" si="258"/>
      </c>
      <c r="AQ82" s="28">
        <f t="shared" si="258"/>
      </c>
      <c r="AR82" s="312">
        <f t="shared" si="258"/>
      </c>
      <c r="AS82" s="28">
        <f t="shared" si="258"/>
      </c>
      <c r="AT82" s="28">
        <f t="shared" si="258"/>
      </c>
      <c r="AU82" s="28">
        <f t="shared" si="258"/>
      </c>
      <c r="AV82" s="28">
        <f t="shared" si="258"/>
      </c>
      <c r="AW82" s="312">
        <f t="shared" si="258"/>
      </c>
      <c r="AX82" s="28">
        <f t="shared" si="258"/>
      </c>
      <c r="AY82" s="28">
        <f t="shared" si="258"/>
      </c>
      <c r="AZ82" s="28">
        <f t="shared" si="258"/>
      </c>
      <c r="BA82" s="28">
        <f t="shared" si="258"/>
      </c>
      <c r="BB82" s="312">
        <f t="shared" si="258"/>
      </c>
      <c r="BC82" s="28">
        <f t="shared" si="258"/>
      </c>
      <c r="BD82" s="28">
        <f t="shared" si="258"/>
      </c>
      <c r="BE82" s="28">
        <f t="shared" si="258"/>
      </c>
      <c r="BF82" s="28">
        <f t="shared" si="258"/>
      </c>
      <c r="BG82" s="312">
        <f t="shared" si="258"/>
      </c>
      <c r="BH82" s="28">
        <f t="shared" si="258"/>
      </c>
      <c r="BI82" s="28">
        <f t="shared" si="258"/>
      </c>
      <c r="BJ82" s="28">
        <f t="shared" si="258"/>
      </c>
      <c r="BK82" s="28">
        <f t="shared" si="258"/>
      </c>
      <c r="BL82" s="312">
        <f t="shared" si="258"/>
      </c>
      <c r="BM82" s="28">
        <f t="shared" si="258"/>
      </c>
      <c r="BN82" s="28">
        <f t="shared" si="258"/>
      </c>
      <c r="BO82" s="28">
        <f t="shared" si="258"/>
      </c>
      <c r="BP82" s="28">
        <f t="shared" si="258"/>
      </c>
      <c r="BQ82" s="312">
        <f t="shared" si="258"/>
      </c>
      <c r="BR82" s="28">
        <f t="shared" si="252"/>
      </c>
      <c r="BS82" s="28">
        <f t="shared" si="252"/>
      </c>
      <c r="BT82" s="28">
        <f t="shared" si="252"/>
      </c>
      <c r="BU82" s="28">
        <f>+BU104</f>
      </c>
      <c r="BV82" s="312">
        <f t="shared" si="253"/>
      </c>
      <c r="BW82" s="28">
        <f t="shared" si="253"/>
      </c>
      <c r="BX82" s="28">
        <f t="shared" si="253"/>
      </c>
      <c r="BY82" s="28">
        <f t="shared" si="253"/>
      </c>
      <c r="BZ82" s="28">
        <f t="shared" si="254"/>
      </c>
      <c r="CA82" s="312">
        <f t="shared" si="254"/>
      </c>
      <c r="CB82" s="28">
        <f t="shared" si="254"/>
      </c>
      <c r="CC82" s="28">
        <f t="shared" si="254"/>
      </c>
      <c r="CD82" s="28">
        <f>+CD104+CD93</f>
      </c>
      <c r="CE82" s="28">
        <f t="shared" si="255"/>
      </c>
      <c r="CF82" s="313">
        <f t="shared" si="255"/>
      </c>
      <c r="CG82" s="28">
        <f t="shared" si="255"/>
      </c>
      <c r="CH82" s="28">
        <f t="shared" si="255"/>
      </c>
      <c r="CI82" s="28">
        <f t="shared" si="255"/>
      </c>
      <c r="CJ82" s="28">
        <f t="shared" si="255"/>
      </c>
      <c r="CK82" s="313">
        <f t="shared" si="255"/>
      </c>
      <c r="CL82" s="961">
        <f t="shared" si="256"/>
      </c>
      <c r="CM82" s="933">
        <f t="shared" si="256"/>
      </c>
      <c r="CN82" s="933">
        <f t="shared" si="256"/>
      </c>
      <c r="CO82" s="28">
        <f t="shared" si="256"/>
      </c>
      <c r="CP82" s="313">
        <f t="shared" si="256"/>
      </c>
      <c r="CQ82" s="933"/>
      <c r="CR82" s="933"/>
      <c r="CS82" s="933"/>
      <c r="CT82" s="933"/>
      <c r="CU82" s="313"/>
      <c r="CV82" s="933"/>
      <c r="CW82" s="933"/>
      <c r="CX82" s="933"/>
      <c r="CY82" s="933"/>
      <c r="CZ82" s="313"/>
      <c r="DA82" s="933"/>
      <c r="DB82" s="31"/>
      <c r="DC82" s="31"/>
      <c r="DD82" s="955"/>
      <c r="DE82" s="477"/>
      <c r="DF82" s="982"/>
      <c r="DG82" s="603"/>
      <c r="DH82" s="603"/>
      <c r="DI82" s="1798"/>
      <c r="DJ82" s="477"/>
      <c r="DK82" s="1799"/>
      <c r="DL82" s="603"/>
      <c r="DM82" s="603"/>
      <c r="DN82" s="1798"/>
      <c r="DO82" s="477"/>
      <c r="DP82" s="603"/>
      <c r="DQ82" s="603"/>
      <c r="DR82" s="603"/>
      <c r="DS82" s="1798"/>
      <c r="DT82" s="477"/>
      <c r="DU82" s="603"/>
      <c r="DV82" s="603"/>
      <c r="DW82" s="603"/>
      <c r="DX82" s="1798"/>
      <c r="DY82" s="477"/>
      <c r="DZ82" s="603"/>
      <c r="EA82" s="603"/>
      <c r="EB82" s="603"/>
      <c r="EC82" s="1798"/>
      <c r="ED82" s="1766"/>
      <c r="EE82" s="603"/>
      <c r="EF82" s="603"/>
      <c r="EG82" s="603"/>
      <c r="EH82" s="1798"/>
      <c r="EI82" s="477"/>
      <c r="EJ82" s="477"/>
      <c r="EK82" s="477"/>
      <c r="EL82" s="477"/>
      <c r="EM82" s="477"/>
      <c r="EN82" s="477"/>
      <c r="EO82" s="477"/>
      <c r="EP82" s="477"/>
      <c r="EQ82" s="477"/>
      <c r="ER82" s="477"/>
      <c r="ES82" s="477"/>
      <c r="ET82" s="477"/>
      <c r="EU82" s="477"/>
      <c r="EV82" s="477"/>
      <c r="EW82" s="477"/>
      <c r="EX82" s="477"/>
    </row>
    <row r="83" spans="2:154" ht="12.75" hidden="1" customHeight="1" outlineLevel="1">
      <c r="B83" s="1168" t="s">
        <v>413</v>
      </c>
      <c r="C83" s="1990"/>
      <c r="D83" s="28">
        <f t="shared" ref="D83:AI83" si="259">+D82+D81</f>
      </c>
      <c r="E83" s="28">
        <f t="shared" si="259"/>
      </c>
      <c r="F83" s="28">
        <f t="shared" si="259"/>
      </c>
      <c r="G83" s="28">
        <f t="shared" si="259"/>
      </c>
      <c r="H83" s="28">
        <f t="shared" si="259"/>
      </c>
      <c r="I83" s="28">
        <f t="shared" si="259"/>
      </c>
      <c r="J83" s="28">
        <f t="shared" si="259"/>
      </c>
      <c r="K83" s="28">
        <f t="shared" si="259"/>
      </c>
      <c r="L83" s="28">
        <f t="shared" si="259"/>
      </c>
      <c r="M83" s="28">
        <f t="shared" si="259"/>
      </c>
      <c r="N83" s="28">
        <f t="shared" si="259"/>
      </c>
      <c r="O83" s="28">
        <f t="shared" si="259"/>
      </c>
      <c r="P83" s="28">
        <f t="shared" si="259"/>
      </c>
      <c r="Q83" s="28">
        <f t="shared" si="259"/>
      </c>
      <c r="R83" s="28">
        <f t="shared" si="259"/>
      </c>
      <c r="S83" s="28">
        <f t="shared" si="259"/>
      </c>
      <c r="T83" s="28">
        <f t="shared" si="259"/>
      </c>
      <c r="U83" s="28">
        <f t="shared" si="259"/>
      </c>
      <c r="V83" s="28">
        <f t="shared" si="259"/>
      </c>
      <c r="W83" s="28">
        <f t="shared" si="259"/>
      </c>
      <c r="X83" s="312">
        <f t="shared" si="259"/>
      </c>
      <c r="Y83" s="28">
        <f t="shared" si="259"/>
      </c>
      <c r="Z83" s="28">
        <f t="shared" si="259"/>
      </c>
      <c r="AA83" s="28">
        <f t="shared" si="259"/>
      </c>
      <c r="AB83" s="28">
        <f t="shared" si="259"/>
      </c>
      <c r="AC83" s="312">
        <f t="shared" si="259"/>
      </c>
      <c r="AD83" s="28">
        <f t="shared" si="259"/>
      </c>
      <c r="AE83" s="28">
        <f t="shared" si="259"/>
      </c>
      <c r="AF83" s="28">
        <f t="shared" si="259"/>
      </c>
      <c r="AG83" s="28">
        <f t="shared" si="259"/>
      </c>
      <c r="AH83" s="312">
        <f t="shared" si="259"/>
      </c>
      <c r="AI83" s="28">
        <f t="shared" si="259"/>
      </c>
      <c r="AJ83" s="28">
        <f t="shared" ref="AJ83:BO83" si="260">+AJ82+AJ81</f>
      </c>
      <c r="AK83" s="28">
        <f t="shared" si="260"/>
      </c>
      <c r="AL83" s="28">
        <f t="shared" si="260"/>
      </c>
      <c r="AM83" s="312">
        <f t="shared" si="260"/>
      </c>
      <c r="AN83" s="28">
        <f t="shared" si="260"/>
      </c>
      <c r="AO83" s="28">
        <f t="shared" si="260"/>
      </c>
      <c r="AP83" s="28">
        <f t="shared" si="260"/>
      </c>
      <c r="AQ83" s="28">
        <f t="shared" si="260"/>
      </c>
      <c r="AR83" s="312">
        <f t="shared" si="260"/>
      </c>
      <c r="AS83" s="28">
        <f t="shared" si="260"/>
      </c>
      <c r="AT83" s="28">
        <f t="shared" si="260"/>
      </c>
      <c r="AU83" s="28">
        <f t="shared" si="260"/>
      </c>
      <c r="AV83" s="28">
        <f t="shared" si="260"/>
      </c>
      <c r="AW83" s="312">
        <f t="shared" si="260"/>
      </c>
      <c r="AX83" s="28">
        <f t="shared" si="260"/>
      </c>
      <c r="AY83" s="28">
        <f t="shared" si="260"/>
      </c>
      <c r="AZ83" s="28">
        <f t="shared" si="260"/>
      </c>
      <c r="BA83" s="28">
        <f t="shared" si="260"/>
      </c>
      <c r="BB83" s="312">
        <f t="shared" si="260"/>
      </c>
      <c r="BC83" s="28">
        <f t="shared" si="260"/>
      </c>
      <c r="BD83" s="28">
        <f t="shared" si="260"/>
      </c>
      <c r="BE83" s="28">
        <f t="shared" si="260"/>
      </c>
      <c r="BF83" s="28">
        <f t="shared" si="260"/>
      </c>
      <c r="BG83" s="312">
        <f t="shared" si="260"/>
      </c>
      <c r="BH83" s="28">
        <f t="shared" si="260"/>
      </c>
      <c r="BI83" s="28">
        <f t="shared" si="260"/>
      </c>
      <c r="BJ83" s="28">
        <f t="shared" si="260"/>
      </c>
      <c r="BK83" s="28">
        <f t="shared" si="260"/>
      </c>
      <c r="BL83" s="312">
        <f t="shared" si="260"/>
      </c>
      <c r="BM83" s="28">
        <f t="shared" si="260"/>
      </c>
      <c r="BN83" s="28">
        <f t="shared" si="260"/>
      </c>
      <c r="BO83" s="28">
        <f t="shared" si="260"/>
      </c>
      <c r="BP83" s="28">
        <f t="shared" ref="BP83:BV83" si="261">+BP82+BP81</f>
      </c>
      <c r="BQ83" s="312">
        <f t="shared" si="261"/>
      </c>
      <c r="BR83" s="28">
        <f t="shared" si="261"/>
      </c>
      <c r="BS83" s="28">
        <f t="shared" si="261"/>
      </c>
      <c r="BT83" s="28">
        <f t="shared" si="261"/>
      </c>
      <c r="BU83" s="28">
        <f t="shared" si="261"/>
      </c>
      <c r="BV83" s="312">
        <f t="shared" si="261"/>
      </c>
      <c r="BW83" s="28">
        <f>+BW82+BW81</f>
      </c>
      <c r="BX83" s="28">
        <f>+BX82+BX81</f>
      </c>
      <c r="BY83" s="28">
        <f t="shared" ref="BY83:CJ83" si="262">+BY82+BY81</f>
      </c>
      <c r="BZ83" s="28">
        <f t="shared" si="262"/>
      </c>
      <c r="CA83" s="312">
        <f t="shared" si="262"/>
      </c>
      <c r="CB83" s="28">
        <f t="shared" si="262"/>
      </c>
      <c r="CC83" s="28">
        <f t="shared" si="262"/>
      </c>
      <c r="CD83" s="28">
        <f t="shared" si="262"/>
      </c>
      <c r="CE83" s="28">
        <f t="shared" si="262"/>
      </c>
      <c r="CF83" s="312">
        <f t="shared" si="262"/>
      </c>
      <c r="CG83" s="28">
        <f t="shared" si="262"/>
      </c>
      <c r="CH83" s="28">
        <f t="shared" si="262"/>
      </c>
      <c r="CI83" s="28">
        <f t="shared" si="262"/>
      </c>
      <c r="CJ83" s="28">
        <f t="shared" si="262"/>
      </c>
      <c r="CK83" s="312">
        <f>SUM(CG83:CJ83)</f>
      </c>
      <c r="CL83" s="961">
        <f>+CL82+CL81</f>
      </c>
      <c r="CM83" s="933">
        <f>+CM82+CM81</f>
      </c>
      <c r="CN83" s="933">
        <f>+CN82+CN81</f>
      </c>
      <c r="CO83" s="28">
        <f>+CO82+CO81</f>
      </c>
      <c r="CP83" s="312">
        <f>+CP82+CP81</f>
      </c>
      <c r="CQ83" s="933"/>
      <c r="CR83" s="933"/>
      <c r="CS83" s="933"/>
      <c r="CT83" s="933"/>
      <c r="CU83" s="312"/>
      <c r="CV83" s="933"/>
      <c r="CW83" s="933"/>
      <c r="CX83" s="933"/>
      <c r="CY83" s="933"/>
      <c r="CZ83" s="312"/>
      <c r="DA83" s="933"/>
      <c r="DB83" s="28"/>
      <c r="DC83" s="28"/>
      <c r="DD83" s="876"/>
      <c r="DE83" s="445"/>
      <c r="DF83" s="982"/>
      <c r="DG83" s="444"/>
      <c r="DH83" s="444"/>
      <c r="DI83" s="1788"/>
      <c r="DJ83" s="445"/>
      <c r="DK83" s="1800"/>
      <c r="DL83" s="444"/>
      <c r="DM83" s="444"/>
      <c r="DN83" s="1788"/>
      <c r="DO83" s="445"/>
      <c r="DP83" s="444"/>
      <c r="DQ83" s="444"/>
      <c r="DR83" s="444"/>
      <c r="DS83" s="1788"/>
      <c r="DT83" s="445"/>
      <c r="DU83" s="982"/>
      <c r="DV83" s="982"/>
      <c r="DW83" s="982"/>
      <c r="DX83" s="1875"/>
      <c r="DY83" s="445"/>
      <c r="DZ83" s="982"/>
      <c r="EA83" s="982"/>
      <c r="EB83" s="982"/>
      <c r="EC83" s="1875"/>
      <c r="ED83" s="1866"/>
      <c r="EE83" s="982"/>
      <c r="EF83" s="982"/>
      <c r="EG83" s="982"/>
      <c r="EH83" s="1875"/>
      <c r="EI83" s="445"/>
      <c r="EJ83" s="445"/>
      <c r="EK83" s="445"/>
      <c r="EL83" s="445"/>
      <c r="EM83" s="445"/>
      <c r="EN83" s="445"/>
      <c r="EO83" s="445"/>
      <c r="EP83" s="445"/>
      <c r="EQ83" s="445"/>
      <c r="ER83" s="445"/>
      <c r="ES83" s="445"/>
      <c r="ET83" s="445"/>
      <c r="EU83" s="445"/>
      <c r="EV83" s="445"/>
      <c r="EW83" s="445"/>
      <c r="EX83" s="445"/>
    </row>
    <row r="84" spans="2:154" ht="12.75" hidden="1" customHeight="1" outlineLevel="1">
      <c r="B84" s="1168"/>
      <c r="C84" s="1990"/>
      <c r="D84" s="28"/>
      <c r="E84" s="28"/>
      <c r="F84" s="28"/>
      <c r="G84" s="28"/>
      <c r="H84" s="28"/>
      <c r="I84" s="28"/>
      <c r="J84" s="28"/>
      <c r="K84" s="28"/>
      <c r="L84" s="28"/>
      <c r="M84" s="28"/>
      <c r="N84" s="28"/>
      <c r="O84" s="28"/>
      <c r="P84" s="28"/>
      <c r="Q84" s="28"/>
      <c r="R84" s="28"/>
      <c r="S84" s="28"/>
      <c r="T84" s="28"/>
      <c r="U84" s="28"/>
      <c r="V84" s="28"/>
      <c r="W84" s="28"/>
      <c r="X84" s="312"/>
      <c r="Y84" s="28"/>
      <c r="Z84" s="28"/>
      <c r="AA84" s="28"/>
      <c r="AB84" s="28"/>
      <c r="AC84" s="312"/>
      <c r="AD84" s="28"/>
      <c r="AE84" s="28"/>
      <c r="AF84" s="28"/>
      <c r="AG84" s="28"/>
      <c r="AH84" s="312"/>
      <c r="AI84" s="28"/>
      <c r="AJ84" s="28"/>
      <c r="AK84" s="28"/>
      <c r="AL84" s="28"/>
      <c r="AM84" s="312"/>
      <c r="AN84" s="28"/>
      <c r="AO84" s="28"/>
      <c r="AP84" s="28"/>
      <c r="AQ84" s="28"/>
      <c r="AR84" s="312"/>
      <c r="AS84" s="28"/>
      <c r="AT84" s="28"/>
      <c r="AU84" s="28"/>
      <c r="AV84" s="28"/>
      <c r="AW84" s="312"/>
      <c r="AX84" s="28"/>
      <c r="AY84" s="28"/>
      <c r="AZ84" s="28"/>
      <c r="BA84" s="28"/>
      <c r="BB84" s="312"/>
      <c r="BC84" s="28"/>
      <c r="BD84" s="28"/>
      <c r="BE84" s="28"/>
      <c r="BF84" s="28"/>
      <c r="BG84" s="312"/>
      <c r="BH84" s="28"/>
      <c r="BI84" s="28"/>
      <c r="BJ84" s="28"/>
      <c r="BK84" s="28"/>
      <c r="BL84" s="312"/>
      <c r="BM84" s="28"/>
      <c r="BN84" s="28"/>
      <c r="BO84" s="28"/>
      <c r="BP84" s="28"/>
      <c r="BQ84" s="312"/>
      <c r="BR84" s="28"/>
      <c r="BS84" s="28"/>
      <c r="BT84" s="28"/>
      <c r="BU84" s="28"/>
      <c r="BV84" s="312"/>
      <c r="BW84" s="28"/>
      <c r="BX84" s="28"/>
      <c r="BY84" s="28"/>
      <c r="BZ84" s="28"/>
      <c r="CA84" s="312"/>
      <c r="CB84" s="28"/>
      <c r="CC84" s="28"/>
      <c r="CD84" s="28"/>
      <c r="CE84" s="28"/>
      <c r="CF84" s="312"/>
      <c r="CG84" s="28"/>
      <c r="CH84" s="28"/>
      <c r="CI84" s="28"/>
      <c r="CJ84" s="28"/>
      <c r="CK84" s="312"/>
      <c r="CL84" s="961"/>
      <c r="CM84" s="933"/>
      <c r="CN84" s="933"/>
      <c r="CO84" s="28"/>
      <c r="CP84" s="312"/>
      <c r="CQ84" s="933"/>
      <c r="CR84" s="933"/>
      <c r="CS84" s="933"/>
      <c r="CT84" s="933"/>
      <c r="CU84" s="312"/>
      <c r="CV84" s="933"/>
      <c r="CW84" s="933"/>
      <c r="CX84" s="933"/>
      <c r="CY84" s="933"/>
      <c r="CZ84" s="312"/>
      <c r="DA84" s="933"/>
      <c r="DB84" s="28"/>
      <c r="DC84" s="28"/>
      <c r="DD84" s="876"/>
      <c r="DE84" s="445"/>
      <c r="DF84" s="982"/>
      <c r="DG84" s="444"/>
      <c r="DH84" s="444"/>
      <c r="DI84" s="1788"/>
      <c r="DJ84" s="445"/>
      <c r="DK84" s="1800"/>
      <c r="DL84" s="444"/>
      <c r="DM84" s="444"/>
      <c r="DN84" s="1788"/>
      <c r="DO84" s="445"/>
      <c r="DP84" s="444"/>
      <c r="DQ84" s="444"/>
      <c r="DR84" s="444"/>
      <c r="DS84" s="1788"/>
      <c r="DT84" s="445"/>
      <c r="DU84" s="982"/>
      <c r="DV84" s="982"/>
      <c r="DW84" s="982"/>
      <c r="DX84" s="1875"/>
      <c r="DY84" s="445"/>
      <c r="DZ84" s="982"/>
      <c r="EA84" s="982"/>
      <c r="EB84" s="982"/>
      <c r="EC84" s="1875"/>
      <c r="ED84" s="1866"/>
      <c r="EE84" s="982"/>
      <c r="EF84" s="982"/>
      <c r="EG84" s="982"/>
      <c r="EH84" s="1875"/>
      <c r="EI84" s="445"/>
      <c r="EJ84" s="445"/>
      <c r="EK84" s="445"/>
      <c r="EL84" s="445"/>
      <c r="EM84" s="445"/>
      <c r="EN84" s="445"/>
      <c r="EO84" s="445"/>
      <c r="EP84" s="445"/>
      <c r="EQ84" s="445"/>
      <c r="ER84" s="445"/>
      <c r="ES84" s="445"/>
      <c r="ET84" s="445"/>
      <c r="EU84" s="445"/>
      <c r="EV84" s="445"/>
      <c r="EW84" s="445"/>
      <c r="EX84" s="445"/>
    </row>
    <row r="85" spans="2:154" ht="12.75" hidden="1" customHeight="1" outlineLevel="1">
      <c r="B85" s="1162" t="s">
        <v>209</v>
      </c>
      <c r="C85" s="1990"/>
      <c r="D85" s="28"/>
      <c r="E85" s="28"/>
      <c r="F85" s="28"/>
      <c r="G85" s="28"/>
      <c r="H85" s="28"/>
      <c r="I85" s="30"/>
      <c r="J85" s="28"/>
      <c r="K85" s="28"/>
      <c r="L85" s="28"/>
      <c r="M85" s="28"/>
      <c r="N85" s="28"/>
      <c r="O85" s="28"/>
      <c r="P85" s="28"/>
      <c r="Q85" s="28"/>
      <c r="R85" s="28"/>
      <c r="S85" s="28"/>
      <c r="T85" s="28"/>
      <c r="U85" s="28"/>
      <c r="V85" s="28"/>
      <c r="W85" s="28"/>
      <c r="X85" s="312"/>
      <c r="Y85" s="28"/>
      <c r="Z85" s="28"/>
      <c r="AA85" s="28"/>
      <c r="AB85" s="28"/>
      <c r="AC85" s="312"/>
      <c r="AD85" s="28"/>
      <c r="AE85" s="28"/>
      <c r="AF85" s="28"/>
      <c r="AG85" s="28"/>
      <c r="AH85" s="312"/>
      <c r="AI85" s="28"/>
      <c r="AJ85" s="28"/>
      <c r="AK85" s="28"/>
      <c r="AL85" s="28"/>
      <c r="AM85" s="312"/>
      <c r="AN85" s="28"/>
      <c r="AO85" s="28"/>
      <c r="AP85" s="28"/>
      <c r="AQ85" s="28"/>
      <c r="AR85" s="312"/>
      <c r="AS85" s="28"/>
      <c r="AT85" s="28"/>
      <c r="AU85" s="28"/>
      <c r="AV85" s="28"/>
      <c r="AW85" s="312"/>
      <c r="AX85" s="28"/>
      <c r="AY85" s="28"/>
      <c r="AZ85" s="28"/>
      <c r="BA85" s="28"/>
      <c r="BB85" s="312"/>
      <c r="BC85" s="28"/>
      <c r="BD85" s="28"/>
      <c r="BE85" s="28"/>
      <c r="BF85" s="28"/>
      <c r="BG85" s="312"/>
      <c r="BH85" s="28"/>
      <c r="BI85" s="28"/>
      <c r="BJ85" s="28"/>
      <c r="BK85" s="28"/>
      <c r="BL85" s="312"/>
      <c r="BM85" s="28"/>
      <c r="BN85" s="28"/>
      <c r="BO85" s="28"/>
      <c r="BP85" s="28"/>
      <c r="BQ85" s="312"/>
      <c r="BR85" s="28"/>
      <c r="BS85" s="28"/>
      <c r="BT85" s="28"/>
      <c r="BU85" s="28"/>
      <c r="BV85" s="312"/>
      <c r="BW85" s="28"/>
      <c r="BX85" s="28"/>
      <c r="BY85" s="28"/>
      <c r="BZ85" s="28"/>
      <c r="CA85" s="312"/>
      <c r="CB85" s="28"/>
      <c r="CC85" s="28"/>
      <c r="CD85" s="28"/>
      <c r="CE85" s="28"/>
      <c r="CF85" s="312"/>
      <c r="CG85" s="28"/>
      <c r="CH85" s="28"/>
      <c r="CI85" s="28"/>
      <c r="CJ85" s="28"/>
      <c r="CK85" s="312"/>
      <c r="CL85" s="961"/>
      <c r="CM85" s="933"/>
      <c r="CN85" s="933"/>
      <c r="CO85" s="28"/>
      <c r="CP85" s="312"/>
      <c r="CQ85" s="933"/>
      <c r="CR85" s="933"/>
      <c r="CS85" s="933"/>
      <c r="CT85" s="933"/>
      <c r="CU85" s="312"/>
      <c r="CV85" s="933"/>
      <c r="CW85" s="933"/>
      <c r="CX85" s="933"/>
      <c r="CY85" s="933"/>
      <c r="CZ85" s="312"/>
      <c r="DA85" s="933"/>
      <c r="DB85" s="28"/>
      <c r="DC85" s="28"/>
      <c r="DD85" s="876"/>
      <c r="DE85" s="445"/>
      <c r="DF85" s="982"/>
      <c r="DG85" s="444"/>
      <c r="DH85" s="444"/>
      <c r="DI85" s="1788"/>
      <c r="DJ85" s="445"/>
      <c r="DK85" s="1800"/>
      <c r="DL85" s="444"/>
      <c r="DM85" s="444"/>
      <c r="DN85" s="1788"/>
      <c r="DO85" s="445"/>
      <c r="DP85" s="444"/>
      <c r="DQ85" s="444"/>
      <c r="DR85" s="444"/>
      <c r="DS85" s="1788"/>
      <c r="DT85" s="445"/>
      <c r="DU85" s="982"/>
      <c r="DV85" s="982"/>
      <c r="DW85" s="982"/>
      <c r="DX85" s="1875"/>
      <c r="DY85" s="445"/>
      <c r="DZ85" s="982"/>
      <c r="EA85" s="982"/>
      <c r="EB85" s="982"/>
      <c r="EC85" s="1875"/>
      <c r="ED85" s="1866"/>
      <c r="EE85" s="982"/>
      <c r="EF85" s="982"/>
      <c r="EG85" s="982"/>
      <c r="EH85" s="1875"/>
      <c r="EI85" s="445"/>
      <c r="EJ85" s="445"/>
      <c r="EK85" s="445"/>
      <c r="EL85" s="445"/>
      <c r="EM85" s="445"/>
      <c r="EN85" s="445"/>
      <c r="EO85" s="445"/>
      <c r="EP85" s="445"/>
      <c r="EQ85" s="445"/>
      <c r="ER85" s="445"/>
      <c r="ES85" s="445"/>
      <c r="ET85" s="445"/>
      <c r="EU85" s="445"/>
      <c r="EV85" s="445"/>
      <c r="EW85" s="445"/>
      <c r="EX85" s="445"/>
    </row>
    <row r="86" spans="2:154" ht="12.75" hidden="1" customHeight="1" outlineLevel="1">
      <c r="B86" s="1169" t="s">
        <v>187</v>
      </c>
      <c r="C86" s="1990"/>
      <c r="D86" s="28"/>
      <c r="E86" s="28"/>
      <c r="F86" s="28"/>
      <c r="G86" s="28"/>
      <c r="H86" s="28"/>
      <c r="I86" s="30">
        <f t="shared" ref="I86:R87" si="263">IF(D81="NM","NM",IF(I81="NM","NM",IF(D81&lt;=0,"NM",IF(I81=0,"NM",IF(ABS(I81/D81-1)&gt;2.5,"NM",IF((ABS(I81-D81)=ABS(ABS(I81)-ABS(D81))),(I81/D81-1),"NM"))))))</f>
      </c>
      <c r="J86" s="30">
        <f t="shared" si="263"/>
      </c>
      <c r="K86" s="30">
        <f t="shared" si="263"/>
      </c>
      <c r="L86" s="30">
        <f t="shared" si="263"/>
      </c>
      <c r="M86" s="30">
        <f t="shared" si="263"/>
      </c>
      <c r="N86" s="30">
        <f t="shared" si="263"/>
      </c>
      <c r="O86" s="30">
        <f t="shared" si="263"/>
      </c>
      <c r="P86" s="30">
        <f t="shared" si="263"/>
      </c>
      <c r="Q86" s="30">
        <f t="shared" si="263"/>
      </c>
      <c r="R86" s="30">
        <f t="shared" si="263"/>
      </c>
      <c r="S86" s="30">
        <f t="shared" ref="S86:AB87" si="264">IF(N81="NM","NM",IF(S81="NM","NM",IF(N81&lt;=0,"NM",IF(S81=0,"NM",IF(ABS(S81/N81-1)&gt;2.5,"NM",IF((ABS(S81-N81)=ABS(ABS(S81)-ABS(N81))),(S81/N81-1),"NM"))))))</f>
      </c>
      <c r="T86" s="30">
        <f t="shared" si="264"/>
      </c>
      <c r="U86" s="30">
        <f t="shared" si="264"/>
      </c>
      <c r="V86" s="30">
        <f t="shared" si="264"/>
      </c>
      <c r="W86" s="30">
        <f t="shared" si="264"/>
      </c>
      <c r="X86" s="308">
        <f t="shared" si="264"/>
      </c>
      <c r="Y86" s="30">
        <f t="shared" si="264"/>
      </c>
      <c r="Z86" s="30">
        <f t="shared" si="264"/>
      </c>
      <c r="AA86" s="30">
        <f t="shared" si="264"/>
      </c>
      <c r="AB86" s="30">
        <f t="shared" si="264"/>
      </c>
      <c r="AC86" s="308">
        <f t="shared" ref="AC86:AL87" si="265">IF(X81="NM","NM",IF(AC81="NM","NM",IF(X81&lt;=0,"NM",IF(AC81=0,"NM",IF(ABS(AC81/X81-1)&gt;2.5,"NM",IF((ABS(AC81-X81)=ABS(ABS(AC81)-ABS(X81))),(AC81/X81-1),"NM"))))))</f>
      </c>
      <c r="AD86" s="30">
        <f t="shared" si="265"/>
      </c>
      <c r="AE86" s="30">
        <f t="shared" si="265"/>
      </c>
      <c r="AF86" s="30">
        <f t="shared" si="265"/>
      </c>
      <c r="AG86" s="30">
        <f t="shared" si="265"/>
      </c>
      <c r="AH86" s="308">
        <f t="shared" si="265"/>
      </c>
      <c r="AI86" s="30">
        <f t="shared" si="265"/>
      </c>
      <c r="AJ86" s="30">
        <f t="shared" si="265"/>
      </c>
      <c r="AK86" s="30">
        <f t="shared" si="265"/>
      </c>
      <c r="AL86" s="30">
        <f t="shared" si="265"/>
      </c>
      <c r="AM86" s="308">
        <f t="shared" ref="AM86:AV87" si="266">IF(AH81="NM","NM",IF(AM81="NM","NM",IF(AH81&lt;=0,"NM",IF(AM81=0,"NM",IF(ABS(AM81/AH81-1)&gt;2.5,"NM",IF((ABS(AM81-AH81)=ABS(ABS(AM81)-ABS(AH81))),(AM81/AH81-1),"NM"))))))</f>
      </c>
      <c r="AN86" s="30">
        <f t="shared" si="266"/>
      </c>
      <c r="AO86" s="30">
        <f t="shared" si="266"/>
      </c>
      <c r="AP86" s="30">
        <f t="shared" si="266"/>
      </c>
      <c r="AQ86" s="30">
        <f t="shared" si="266"/>
      </c>
      <c r="AR86" s="308">
        <f t="shared" si="266"/>
      </c>
      <c r="AS86" s="30">
        <f t="shared" si="266"/>
      </c>
      <c r="AT86" s="30">
        <f t="shared" si="266"/>
      </c>
      <c r="AU86" s="30">
        <f t="shared" si="266"/>
      </c>
      <c r="AV86" s="30">
        <f t="shared" si="266"/>
      </c>
      <c r="AW86" s="308">
        <f t="shared" ref="AW86:BF87" si="267">IF(AR81="NM","NM",IF(AW81="NM","NM",IF(AR81&lt;=0,"NM",IF(AW81=0,"NM",IF(ABS(AW81/AR81-1)&gt;2.5,"NM",IF((ABS(AW81-AR81)=ABS(ABS(AW81)-ABS(AR81))),(AW81/AR81-1),"NM"))))))</f>
      </c>
      <c r="AX86" s="30">
        <f t="shared" si="267"/>
      </c>
      <c r="AY86" s="30">
        <f t="shared" si="267"/>
      </c>
      <c r="AZ86" s="30">
        <f t="shared" si="267"/>
      </c>
      <c r="BA86" s="30">
        <f t="shared" si="267"/>
      </c>
      <c r="BB86" s="308">
        <f t="shared" si="267"/>
      </c>
      <c r="BC86" s="30">
        <f t="shared" si="267"/>
      </c>
      <c r="BD86" s="30">
        <f t="shared" si="267"/>
      </c>
      <c r="BE86" s="30">
        <f t="shared" si="267"/>
      </c>
      <c r="BF86" s="30">
        <f t="shared" si="267"/>
      </c>
      <c r="BG86" s="308">
        <f t="shared" ref="BG86:BP87" si="268">IF(BB81="NM","NM",IF(BG81="NM","NM",IF(BB81&lt;=0,"NM",IF(BG81=0,"NM",IF(ABS(BG81/BB81-1)&gt;2.5,"NM",IF((ABS(BG81-BB81)=ABS(ABS(BG81)-ABS(BB81))),(BG81/BB81-1),"NM"))))))</f>
      </c>
      <c r="BH86" s="30">
        <f t="shared" si="268"/>
      </c>
      <c r="BI86" s="30">
        <f t="shared" si="268"/>
      </c>
      <c r="BJ86" s="30">
        <f t="shared" si="268"/>
      </c>
      <c r="BK86" s="30">
        <f t="shared" si="268"/>
      </c>
      <c r="BL86" s="308">
        <f t="shared" si="268"/>
      </c>
      <c r="BM86" s="30">
        <f t="shared" si="268"/>
      </c>
      <c r="BN86" s="30">
        <f t="shared" si="268"/>
      </c>
      <c r="BO86" s="30">
        <f t="shared" si="268"/>
      </c>
      <c r="BP86" s="30" t="str">
        <f t="shared" si="268"/>
      </c>
      <c r="BQ86" s="308">
        <f t="shared" ref="BQ86:BZ87" si="269">IF(BL81="NM","NM",IF(BQ81="NM","NM",IF(BL81&lt;=0,"NM",IF(BQ81=0,"NM",IF(ABS(BQ81/BL81-1)&gt;2.5,"NM",IF((ABS(BQ81-BL81)=ABS(ABS(BQ81)-ABS(BL81))),(BQ81/BL81-1),"NM"))))))</f>
      </c>
      <c r="BR86" s="30">
        <f t="shared" si="269"/>
      </c>
      <c r="BS86" s="30">
        <f t="shared" si="269"/>
      </c>
      <c r="BT86" s="30">
        <f t="shared" si="269"/>
      </c>
      <c r="BU86" s="30" t="str">
        <f t="shared" si="269"/>
      </c>
      <c r="BV86" s="308">
        <f t="shared" si="269"/>
      </c>
      <c r="BW86" s="30">
        <f t="shared" si="269"/>
      </c>
      <c r="BX86" s="30">
        <f t="shared" si="269"/>
      </c>
      <c r="BY86" s="30">
        <f t="shared" si="269"/>
      </c>
      <c r="BZ86" s="30" t="str">
        <f t="shared" si="269"/>
      </c>
      <c r="CA86" s="308">
        <f>IF(BV81="NM","NM",IF(CA81="NM","NM",IF(BV81&lt;=0,"NM",IF(CA81=0,"NM",IF(ABS(CA81/BV81-1)&gt;2.5,"NM",IF((ABS(CA81-BV81)=ABS(ABS(CA81)-ABS(BV81))),(CA81/BV81-1),"NM"))))))</f>
      </c>
      <c r="CB86" s="30" t="str">
        <f>IF(BW81="NM","NM",IF(CB81="NM","NM",IF(BW81&lt;=0,"NM",IF(CB81=0,"NM",IF(ABS(CB81/BW81-1)&gt;2.5,"NM",IF((ABS(CB81-BW81)=ABS(ABS(CB81)-ABS(BW81))),(CB81/BW81-1),"NM"))))))</f>
      </c>
      <c r="CC86" s="30">
        <f>IF(BX81=0, "NA", CC81/BX81-1)</f>
      </c>
      <c r="CD86" s="30">
        <f t="shared" ref="CD86:CF87" si="270">IF(BY81="NM","NM",IF(CD81="NM","NM",IF(BY81&lt;=0,"NM",IF(CD81=0,"NM",IF(ABS(CD81/BY81-1)&gt;2.5,"NM",IF((ABS(CD81-BY81)=ABS(ABS(CD81)-ABS(BY81))),(CD81/BY81-1),"NM"))))))</f>
      </c>
      <c r="CE86" s="30" t="str">
        <f t="shared" si="270"/>
      </c>
      <c r="CF86" s="308">
        <f t="shared" si="270"/>
      </c>
      <c r="CG86" s="30" t="str">
        <f t="shared" ref="CG86:CP87" si="271">IF(CB81=0, "NA", CG81/CB81-1)</f>
      </c>
      <c r="CH86" s="30">
        <f t="shared" si="271"/>
      </c>
      <c r="CI86" s="30">
        <f t="shared" si="271"/>
      </c>
      <c r="CJ86" s="30">
        <f t="shared" si="271"/>
      </c>
      <c r="CK86" s="308">
        <f t="shared" si="271"/>
      </c>
      <c r="CL86" s="958">
        <f t="shared" si="271"/>
      </c>
      <c r="CM86" s="926">
        <f t="shared" si="271"/>
      </c>
      <c r="CN86" s="926">
        <f t="shared" si="271"/>
      </c>
      <c r="CO86" s="30">
        <f t="shared" si="271"/>
      </c>
      <c r="CP86" s="308">
        <f t="shared" si="271"/>
      </c>
      <c r="CQ86" s="926"/>
      <c r="CR86" s="926"/>
      <c r="CS86" s="926"/>
      <c r="CT86" s="926"/>
      <c r="CU86" s="308"/>
      <c r="CV86" s="926"/>
      <c r="CW86" s="926"/>
      <c r="CX86" s="926"/>
      <c r="CY86" s="926"/>
      <c r="CZ86" s="308"/>
      <c r="DA86" s="926"/>
      <c r="DB86" s="30"/>
      <c r="DC86" s="30"/>
      <c r="DD86" s="409"/>
      <c r="DE86" s="308"/>
      <c r="DF86" s="926"/>
      <c r="DG86" s="30"/>
      <c r="DH86" s="30"/>
      <c r="DI86" s="409"/>
      <c r="DJ86" s="308"/>
      <c r="DK86" s="830"/>
      <c r="DL86" s="30"/>
      <c r="DM86" s="30"/>
      <c r="DN86" s="409"/>
      <c r="DO86" s="308"/>
      <c r="DP86" s="30"/>
      <c r="DQ86" s="30"/>
      <c r="DR86" s="30"/>
      <c r="DS86" s="409"/>
      <c r="DT86" s="308"/>
      <c r="DU86" s="926"/>
      <c r="DV86" s="926"/>
      <c r="DW86" s="926"/>
      <c r="DX86" s="928"/>
      <c r="DY86" s="308"/>
      <c r="DZ86" s="926"/>
      <c r="EA86" s="926"/>
      <c r="EB86" s="926"/>
      <c r="EC86" s="928"/>
      <c r="ED86" s="1060"/>
      <c r="EE86" s="926"/>
      <c r="EF86" s="926"/>
      <c r="EG86" s="926"/>
      <c r="EH86" s="928"/>
      <c r="EI86" s="308"/>
      <c r="EJ86" s="308"/>
      <c r="EK86" s="308"/>
      <c r="EL86" s="308"/>
      <c r="EM86" s="308"/>
      <c r="EN86" s="308"/>
      <c r="EO86" s="308"/>
      <c r="EP86" s="308"/>
      <c r="EQ86" s="308"/>
      <c r="ER86" s="308"/>
      <c r="ES86" s="308"/>
      <c r="ET86" s="308"/>
      <c r="EU86" s="308"/>
      <c r="EV86" s="308"/>
      <c r="EW86" s="308"/>
      <c r="EX86" s="308"/>
    </row>
    <row r="87" spans="2:154" ht="12.75" hidden="1" customHeight="1" outlineLevel="1">
      <c r="B87" s="1169" t="s">
        <v>412</v>
      </c>
      <c r="C87" s="1990"/>
      <c r="D87" s="28"/>
      <c r="E87" s="28"/>
      <c r="F87" s="28"/>
      <c r="G87" s="28"/>
      <c r="H87" s="28"/>
      <c r="I87" s="30">
        <f t="shared" si="263"/>
      </c>
      <c r="J87" s="30">
        <f t="shared" si="263"/>
      </c>
      <c r="K87" s="30">
        <f t="shared" si="263"/>
      </c>
      <c r="L87" s="30">
        <f t="shared" si="263"/>
      </c>
      <c r="M87" s="30">
        <f t="shared" si="263"/>
      </c>
      <c r="N87" s="30">
        <f t="shared" si="263"/>
      </c>
      <c r="O87" s="30">
        <f t="shared" si="263"/>
      </c>
      <c r="P87" s="30">
        <f t="shared" si="263"/>
      </c>
      <c r="Q87" s="30">
        <f t="shared" si="263"/>
      </c>
      <c r="R87" s="30">
        <f t="shared" si="263"/>
      </c>
      <c r="S87" s="30">
        <f t="shared" si="264"/>
      </c>
      <c r="T87" s="30">
        <f t="shared" si="264"/>
      </c>
      <c r="U87" s="30">
        <f t="shared" si="264"/>
      </c>
      <c r="V87" s="30">
        <f t="shared" si="264"/>
      </c>
      <c r="W87" s="30">
        <f t="shared" si="264"/>
      </c>
      <c r="X87" s="308">
        <f t="shared" si="264"/>
      </c>
      <c r="Y87" s="30">
        <f t="shared" si="264"/>
      </c>
      <c r="Z87" s="30">
        <f t="shared" si="264"/>
      </c>
      <c r="AA87" s="30">
        <f t="shared" si="264"/>
      </c>
      <c r="AB87" s="30">
        <f t="shared" si="264"/>
      </c>
      <c r="AC87" s="308">
        <f t="shared" si="265"/>
      </c>
      <c r="AD87" s="30">
        <f t="shared" si="265"/>
      </c>
      <c r="AE87" s="30">
        <f t="shared" si="265"/>
      </c>
      <c r="AF87" s="30">
        <f t="shared" si="265"/>
      </c>
      <c r="AG87" s="30">
        <f t="shared" si="265"/>
      </c>
      <c r="AH87" s="308">
        <f t="shared" si="265"/>
      </c>
      <c r="AI87" s="30">
        <f t="shared" si="265"/>
      </c>
      <c r="AJ87" s="30">
        <f t="shared" si="265"/>
      </c>
      <c r="AK87" s="30">
        <f t="shared" si="265"/>
      </c>
      <c r="AL87" s="30">
        <f t="shared" si="265"/>
      </c>
      <c r="AM87" s="308">
        <f t="shared" si="266"/>
      </c>
      <c r="AN87" s="30">
        <f t="shared" si="266"/>
      </c>
      <c r="AO87" s="30">
        <f t="shared" si="266"/>
      </c>
      <c r="AP87" s="30">
        <f t="shared" si="266"/>
      </c>
      <c r="AQ87" s="30">
        <f t="shared" si="266"/>
      </c>
      <c r="AR87" s="308">
        <f t="shared" si="266"/>
      </c>
      <c r="AS87" s="30">
        <f t="shared" si="266"/>
      </c>
      <c r="AT87" s="30">
        <f t="shared" si="266"/>
      </c>
      <c r="AU87" s="30">
        <f t="shared" si="266"/>
      </c>
      <c r="AV87" s="30">
        <f t="shared" si="266"/>
      </c>
      <c r="AW87" s="308">
        <f t="shared" si="267"/>
      </c>
      <c r="AX87" s="30">
        <f t="shared" si="267"/>
      </c>
      <c r="AY87" s="30">
        <f t="shared" si="267"/>
      </c>
      <c r="AZ87" s="30">
        <f t="shared" si="267"/>
      </c>
      <c r="BA87" s="30">
        <f t="shared" si="267"/>
      </c>
      <c r="BB87" s="308">
        <f t="shared" si="267"/>
      </c>
      <c r="BC87" s="30">
        <f t="shared" si="267"/>
      </c>
      <c r="BD87" s="30">
        <f t="shared" si="267"/>
      </c>
      <c r="BE87" s="30">
        <f t="shared" si="267"/>
      </c>
      <c r="BF87" s="30">
        <f t="shared" si="267"/>
      </c>
      <c r="BG87" s="308">
        <f t="shared" si="268"/>
      </c>
      <c r="BH87" s="30">
        <f t="shared" si="268"/>
      </c>
      <c r="BI87" s="30">
        <f t="shared" si="268"/>
      </c>
      <c r="BJ87" s="30">
        <f t="shared" si="268"/>
      </c>
      <c r="BK87" s="30">
        <f t="shared" si="268"/>
      </c>
      <c r="BL87" s="308">
        <f t="shared" si="268"/>
      </c>
      <c r="BM87" s="30">
        <f t="shared" si="268"/>
      </c>
      <c r="BN87" s="30">
        <f t="shared" si="268"/>
      </c>
      <c r="BO87" s="30">
        <f t="shared" si="268"/>
      </c>
      <c r="BP87" s="30">
        <f t="shared" si="268"/>
      </c>
      <c r="BQ87" s="308">
        <f t="shared" si="269"/>
      </c>
      <c r="BR87" s="30">
        <f t="shared" si="269"/>
      </c>
      <c r="BS87" s="30">
        <f t="shared" si="269"/>
      </c>
      <c r="BT87" s="30">
        <f t="shared" si="269"/>
      </c>
      <c r="BU87" s="30">
        <f t="shared" si="269"/>
      </c>
      <c r="BV87" s="308">
        <f t="shared" si="269"/>
      </c>
      <c r="BW87" s="30">
        <f t="shared" si="269"/>
      </c>
      <c r="BX87" s="30">
        <f t="shared" si="269"/>
      </c>
      <c r="BY87" s="30">
        <f t="shared" si="269"/>
      </c>
      <c r="BZ87" s="30" t="str">
        <f t="shared" si="269"/>
      </c>
      <c r="CA87" s="308">
        <f>IF(BV82="NM","NM",IF(CA82="NM","NM",IF(BV82&lt;=0,"NM",IF(CA82=0,"NM",IF(ABS(CA82/BV82-1)&gt;2.5,"NM",IF((ABS(CA82-BV82)=ABS(ABS(CA82)-ABS(BV82))),(CA82/BV82-1),"NM"))))))</f>
      </c>
      <c r="CB87" s="30" t="str">
        <f>IF(BW82="NM","NM",IF(CB82="NM","NM",IF(BW82&lt;=0,"NM",IF(CB82=0,"NM",IF(ABS(CB82/BW82-1)&gt;2.5,"NM",IF((ABS(CB82-BW82)=ABS(ABS(CB82)-ABS(BW82))),(CB82/BW82-1),"NM"))))))</f>
      </c>
      <c r="CC87" s="30">
        <f>IF(BX82=0, "NA", CC82/BX82-1)</f>
      </c>
      <c r="CD87" s="30" t="str">
        <f t="shared" si="270"/>
      </c>
      <c r="CE87" s="30">
        <f t="shared" si="270"/>
      </c>
      <c r="CF87" s="308">
        <f t="shared" si="270"/>
      </c>
      <c r="CG87" s="30">
        <f t="shared" si="271"/>
      </c>
      <c r="CH87" s="30">
        <f t="shared" si="271"/>
      </c>
      <c r="CI87" s="30">
        <f t="shared" si="271"/>
      </c>
      <c r="CJ87" s="30">
        <f t="shared" si="271"/>
      </c>
      <c r="CK87" s="308">
        <f t="shared" si="271"/>
      </c>
      <c r="CL87" s="958">
        <f t="shared" si="271"/>
      </c>
      <c r="CM87" s="926">
        <f t="shared" si="271"/>
      </c>
      <c r="CN87" s="926">
        <f t="shared" si="271"/>
      </c>
      <c r="CO87" s="30">
        <f t="shared" si="271"/>
      </c>
      <c r="CP87" s="308">
        <f t="shared" si="271"/>
      </c>
      <c r="CQ87" s="926"/>
      <c r="CR87" s="926"/>
      <c r="CS87" s="926"/>
      <c r="CT87" s="926"/>
      <c r="CU87" s="308"/>
      <c r="CV87" s="926"/>
      <c r="CW87" s="926"/>
      <c r="CX87" s="926"/>
      <c r="CY87" s="926"/>
      <c r="CZ87" s="308"/>
      <c r="DA87" s="926"/>
      <c r="DB87" s="30"/>
      <c r="DC87" s="30"/>
      <c r="DD87" s="409"/>
      <c r="DE87" s="308"/>
      <c r="DF87" s="926"/>
      <c r="DG87" s="30"/>
      <c r="DH87" s="30"/>
      <c r="DI87" s="409"/>
      <c r="DJ87" s="308"/>
      <c r="DK87" s="830"/>
      <c r="DL87" s="30"/>
      <c r="DM87" s="30"/>
      <c r="DN87" s="409"/>
      <c r="DO87" s="308"/>
      <c r="DP87" s="30"/>
      <c r="DQ87" s="30"/>
      <c r="DR87" s="30"/>
      <c r="DS87" s="409"/>
      <c r="DT87" s="308"/>
      <c r="DU87" s="926"/>
      <c r="DV87" s="926"/>
      <c r="DW87" s="926"/>
      <c r="DX87" s="928"/>
      <c r="DY87" s="308"/>
      <c r="DZ87" s="926"/>
      <c r="EA87" s="926"/>
      <c r="EB87" s="926"/>
      <c r="EC87" s="928"/>
      <c r="ED87" s="1060"/>
      <c r="EE87" s="926"/>
      <c r="EF87" s="926"/>
      <c r="EG87" s="926"/>
      <c r="EH87" s="928"/>
      <c r="EI87" s="308"/>
      <c r="EJ87" s="308"/>
      <c r="EK87" s="308"/>
      <c r="EL87" s="308"/>
      <c r="EM87" s="308"/>
      <c r="EN87" s="308"/>
      <c r="EO87" s="308"/>
      <c r="EP87" s="308"/>
      <c r="EQ87" s="308"/>
      <c r="ER87" s="308"/>
      <c r="ES87" s="308"/>
      <c r="ET87" s="308"/>
      <c r="EU87" s="308"/>
      <c r="EV87" s="308"/>
      <c r="EW87" s="308"/>
      <c r="EX87" s="308"/>
    </row>
    <row r="88" spans="2:154" ht="12.75" hidden="1" customHeight="1" outlineLevel="1">
      <c r="B88" s="1169" t="s">
        <v>256</v>
      </c>
      <c r="C88" s="1990"/>
      <c r="D88" s="28"/>
      <c r="E88" s="28"/>
      <c r="F88" s="28"/>
      <c r="G88" s="28"/>
      <c r="H88" s="28"/>
      <c r="I88" s="1"/>
      <c r="J88" s="1"/>
      <c r="K88" s="1"/>
      <c r="L88" s="1"/>
      <c r="M88" s="1"/>
      <c r="N88" s="1"/>
      <c r="O88" s="1"/>
      <c r="P88" s="1"/>
      <c r="Q88" s="1"/>
      <c r="R88" s="1"/>
      <c r="S88" s="1"/>
      <c r="T88" s="1"/>
      <c r="U88" s="1"/>
      <c r="V88" s="1"/>
      <c r="W88" s="1"/>
      <c r="X88" s="309"/>
      <c r="Y88" s="1"/>
      <c r="Z88" s="1"/>
      <c r="AA88" s="1"/>
      <c r="AB88" s="1"/>
      <c r="AC88" s="309"/>
      <c r="AD88" s="1"/>
      <c r="AE88" s="1"/>
      <c r="AF88" s="1"/>
      <c r="AG88" s="1"/>
      <c r="AH88" s="309"/>
      <c r="AI88" s="41">
        <f t="shared" ref="AI88:CB88" si="272">IF(ISNUMBER(AI87),(1+AI87)/(1+AI$21)-1,"NM")</f>
      </c>
      <c r="AJ88" s="41">
        <f t="shared" si="272"/>
      </c>
      <c r="AK88" s="41">
        <f t="shared" si="272"/>
      </c>
      <c r="AL88" s="41">
        <f t="shared" si="272"/>
      </c>
      <c r="AM88" s="309">
        <f t="shared" si="272"/>
      </c>
      <c r="AN88" s="41">
        <f t="shared" si="272"/>
      </c>
      <c r="AO88" s="41">
        <f t="shared" si="272"/>
      </c>
      <c r="AP88" s="41">
        <f t="shared" si="272"/>
      </c>
      <c r="AQ88" s="41">
        <f t="shared" si="272"/>
      </c>
      <c r="AR88" s="309">
        <f t="shared" si="272"/>
      </c>
      <c r="AS88" s="41">
        <f t="shared" si="272"/>
      </c>
      <c r="AT88" s="41">
        <f t="shared" si="272"/>
      </c>
      <c r="AU88" s="41">
        <f t="shared" si="272"/>
      </c>
      <c r="AV88" s="41">
        <f t="shared" si="272"/>
      </c>
      <c r="AW88" s="309">
        <f t="shared" si="272"/>
      </c>
      <c r="AX88" s="41">
        <f t="shared" si="272"/>
      </c>
      <c r="AY88" s="41">
        <f t="shared" si="272"/>
      </c>
      <c r="AZ88" s="41">
        <f t="shared" si="272"/>
      </c>
      <c r="BA88" s="41">
        <f t="shared" si="272"/>
      </c>
      <c r="BB88" s="309">
        <f t="shared" si="272"/>
      </c>
      <c r="BC88" s="41">
        <f t="shared" si="272"/>
      </c>
      <c r="BD88" s="41">
        <f t="shared" si="272"/>
      </c>
      <c r="BE88" s="41">
        <f t="shared" si="272"/>
      </c>
      <c r="BF88" s="41">
        <f t="shared" si="272"/>
      </c>
      <c r="BG88" s="309">
        <f t="shared" si="272"/>
      </c>
      <c r="BH88" s="41">
        <f t="shared" si="272"/>
      </c>
      <c r="BI88" s="41">
        <f t="shared" si="272"/>
      </c>
      <c r="BJ88" s="41">
        <f t="shared" si="272"/>
      </c>
      <c r="BK88" s="41">
        <f t="shared" si="272"/>
      </c>
      <c r="BL88" s="309">
        <f t="shared" si="272"/>
      </c>
      <c r="BM88" s="41">
        <f t="shared" si="272"/>
      </c>
      <c r="BN88" s="41">
        <f t="shared" si="272"/>
      </c>
      <c r="BO88" s="41">
        <f t="shared" si="272"/>
      </c>
      <c r="BP88" s="41">
        <f t="shared" si="272"/>
      </c>
      <c r="BQ88" s="309">
        <f t="shared" si="272"/>
      </c>
      <c r="BR88" s="41">
        <f t="shared" si="272"/>
      </c>
      <c r="BS88" s="41">
        <f t="shared" si="272"/>
      </c>
      <c r="BT88" s="41">
        <f t="shared" si="272"/>
      </c>
      <c r="BU88" s="41">
        <f t="shared" si="272"/>
      </c>
      <c r="BV88" s="309">
        <f t="shared" si="272"/>
      </c>
      <c r="BW88" s="41">
        <f t="shared" si="272"/>
      </c>
      <c r="BX88" s="41">
        <f t="shared" si="272"/>
      </c>
      <c r="BY88" s="41">
        <f t="shared" si="272"/>
      </c>
      <c r="BZ88" s="41" t="str">
        <f t="shared" si="272"/>
      </c>
      <c r="CA88" s="309">
        <f t="shared" si="272"/>
      </c>
      <c r="CB88" s="41" t="str">
        <f t="shared" si="272"/>
      </c>
      <c r="CC88" s="41">
        <f>CC87-CC$21</f>
      </c>
      <c r="CD88" s="41" t="str">
        <f>IF(ISNUMBER(CD87),(1+CD87)/(1+CD$21)-1,"NM")</f>
      </c>
      <c r="CE88" s="41">
        <f>IF(ISNUMBER(CE87),(1+CE87)/(1+CE$21)-1,"NM")</f>
      </c>
      <c r="CF88" s="309">
        <f>IF(ISNUMBER(CF87),(1+CF87)/(1+CF$21)-1,"NM")</f>
      </c>
      <c r="CG88" s="41">
        <f t="shared" ref="CG88:CP88" si="273">CG87-CG$21</f>
      </c>
      <c r="CH88" s="41">
        <f t="shared" si="273"/>
      </c>
      <c r="CI88" s="41">
        <f t="shared" si="273"/>
      </c>
      <c r="CJ88" s="41">
        <f t="shared" si="273"/>
      </c>
      <c r="CK88" s="309">
        <f t="shared" si="273"/>
      </c>
      <c r="CL88" s="968">
        <f t="shared" si="273"/>
      </c>
      <c r="CM88" s="925">
        <f t="shared" si="273"/>
      </c>
      <c r="CN88" s="925">
        <f t="shared" si="273"/>
      </c>
      <c r="CO88" s="41">
        <f t="shared" si="273"/>
      </c>
      <c r="CP88" s="309">
        <f t="shared" si="273"/>
      </c>
      <c r="CQ88" s="925"/>
      <c r="CR88" s="925"/>
      <c r="CS88" s="925"/>
      <c r="CT88" s="925"/>
      <c r="CU88" s="309"/>
      <c r="CV88" s="925"/>
      <c r="CW88" s="925"/>
      <c r="CX88" s="925"/>
      <c r="CY88" s="925"/>
      <c r="CZ88" s="309"/>
      <c r="DA88" s="925"/>
      <c r="DB88" s="41"/>
      <c r="DC88" s="41"/>
      <c r="DD88" s="837"/>
      <c r="DE88" s="309"/>
      <c r="DF88" s="925"/>
      <c r="DG88" s="41"/>
      <c r="DH88" s="41"/>
      <c r="DI88" s="837"/>
      <c r="DJ88" s="309"/>
      <c r="DK88" s="829"/>
      <c r="DL88" s="41"/>
      <c r="DM88" s="41"/>
      <c r="DN88" s="837"/>
      <c r="DO88" s="309"/>
      <c r="DP88" s="41"/>
      <c r="DQ88" s="41"/>
      <c r="DR88" s="41"/>
      <c r="DS88" s="837"/>
      <c r="DT88" s="309"/>
      <c r="DU88" s="925"/>
      <c r="DV88" s="925"/>
      <c r="DW88" s="925"/>
      <c r="DX88" s="927"/>
      <c r="DY88" s="309"/>
      <c r="DZ88" s="925"/>
      <c r="EA88" s="925"/>
      <c r="EB88" s="925"/>
      <c r="EC88" s="927"/>
      <c r="ED88" s="1066"/>
      <c r="EE88" s="925"/>
      <c r="EF88" s="925"/>
      <c r="EG88" s="925"/>
      <c r="EH88" s="927"/>
      <c r="EI88" s="309"/>
      <c r="EJ88" s="309"/>
      <c r="EK88" s="309"/>
      <c r="EL88" s="309"/>
      <c r="EM88" s="309"/>
      <c r="EN88" s="309"/>
      <c r="EO88" s="309"/>
      <c r="EP88" s="309"/>
      <c r="EQ88" s="309"/>
      <c r="ER88" s="309"/>
      <c r="ES88" s="309"/>
      <c r="ET88" s="309"/>
      <c r="EU88" s="309"/>
      <c r="EV88" s="309"/>
      <c r="EW88" s="309"/>
      <c r="EX88" s="309"/>
    </row>
    <row r="89" spans="2:154" ht="12.75" hidden="1" customHeight="1" outlineLevel="1">
      <c r="B89" s="1169" t="s">
        <v>413</v>
      </c>
      <c r="C89" s="1990"/>
      <c r="D89" s="28"/>
      <c r="E89" s="28"/>
      <c r="F89" s="28"/>
      <c r="G89" s="28"/>
      <c r="H89" s="28"/>
      <c r="I89" s="30">
        <f t="shared" ref="I89:AN89" si="274">IF(D83="NM","NM",IF(I83="NM","NM",IF(D83&lt;=0,"NM",IF(I83=0,"NM",IF(ABS(I83/D83-1)&gt;2.5,"NM",IF((ABS(I83-D83)=ABS(ABS(I83)-ABS(D83))),(I83/D83-1),"NM"))))))</f>
      </c>
      <c r="J89" s="30">
        <f t="shared" si="274"/>
      </c>
      <c r="K89" s="30">
        <f t="shared" si="274"/>
      </c>
      <c r="L89" s="30">
        <f t="shared" si="274"/>
      </c>
      <c r="M89" s="30">
        <f t="shared" si="274"/>
      </c>
      <c r="N89" s="30">
        <f t="shared" si="274"/>
      </c>
      <c r="O89" s="30">
        <f t="shared" si="274"/>
      </c>
      <c r="P89" s="30">
        <f t="shared" si="274"/>
      </c>
      <c r="Q89" s="30">
        <f t="shared" si="274"/>
      </c>
      <c r="R89" s="30">
        <f t="shared" si="274"/>
      </c>
      <c r="S89" s="30">
        <f t="shared" si="274"/>
      </c>
      <c r="T89" s="30">
        <f t="shared" si="274"/>
      </c>
      <c r="U89" s="30">
        <f t="shared" si="274"/>
      </c>
      <c r="V89" s="30">
        <f t="shared" si="274"/>
      </c>
      <c r="W89" s="30">
        <f t="shared" si="274"/>
      </c>
      <c r="X89" s="308">
        <f t="shared" si="274"/>
      </c>
      <c r="Y89" s="30">
        <f t="shared" si="274"/>
      </c>
      <c r="Z89" s="30">
        <f t="shared" si="274"/>
      </c>
      <c r="AA89" s="30">
        <f t="shared" si="274"/>
      </c>
      <c r="AB89" s="30">
        <f t="shared" si="274"/>
      </c>
      <c r="AC89" s="308">
        <f t="shared" si="274"/>
      </c>
      <c r="AD89" s="30">
        <f t="shared" si="274"/>
      </c>
      <c r="AE89" s="30">
        <f t="shared" si="274"/>
      </c>
      <c r="AF89" s="30">
        <f t="shared" si="274"/>
      </c>
      <c r="AG89" s="30">
        <f t="shared" si="274"/>
      </c>
      <c r="AH89" s="308">
        <f t="shared" si="274"/>
      </c>
      <c r="AI89" s="30">
        <f t="shared" si="274"/>
      </c>
      <c r="AJ89" s="30">
        <f t="shared" si="274"/>
      </c>
      <c r="AK89" s="30">
        <f t="shared" si="274"/>
      </c>
      <c r="AL89" s="30">
        <f t="shared" si="274"/>
      </c>
      <c r="AM89" s="308">
        <f t="shared" si="274"/>
      </c>
      <c r="AN89" s="30">
        <f t="shared" si="274"/>
      </c>
      <c r="AO89" s="30">
        <f t="shared" ref="AO89:BT89" si="275">IF(AJ83="NM","NM",IF(AO83="NM","NM",IF(AJ83&lt;=0,"NM",IF(AO83=0,"NM",IF(ABS(AO83/AJ83-1)&gt;2.5,"NM",IF((ABS(AO83-AJ83)=ABS(ABS(AO83)-ABS(AJ83))),(AO83/AJ83-1),"NM"))))))</f>
      </c>
      <c r="AP89" s="30">
        <f t="shared" si="275"/>
      </c>
      <c r="AQ89" s="30">
        <f t="shared" si="275"/>
      </c>
      <c r="AR89" s="308">
        <f t="shared" si="275"/>
      </c>
      <c r="AS89" s="30">
        <f t="shared" si="275"/>
      </c>
      <c r="AT89" s="30">
        <f t="shared" si="275"/>
      </c>
      <c r="AU89" s="30">
        <f t="shared" si="275"/>
      </c>
      <c r="AV89" s="30">
        <f t="shared" si="275"/>
      </c>
      <c r="AW89" s="308">
        <f t="shared" si="275"/>
      </c>
      <c r="AX89" s="30">
        <f t="shared" si="275"/>
      </c>
      <c r="AY89" s="30">
        <f t="shared" si="275"/>
      </c>
      <c r="AZ89" s="30">
        <f t="shared" si="275"/>
      </c>
      <c r="BA89" s="30">
        <f t="shared" si="275"/>
      </c>
      <c r="BB89" s="308">
        <f t="shared" si="275"/>
      </c>
      <c r="BC89" s="30">
        <f t="shared" si="275"/>
      </c>
      <c r="BD89" s="30">
        <f t="shared" si="275"/>
      </c>
      <c r="BE89" s="30">
        <f t="shared" si="275"/>
      </c>
      <c r="BF89" s="30">
        <f t="shared" si="275"/>
      </c>
      <c r="BG89" s="308">
        <f t="shared" si="275"/>
      </c>
      <c r="BH89" s="30">
        <f t="shared" si="275"/>
      </c>
      <c r="BI89" s="30">
        <f t="shared" si="275"/>
      </c>
      <c r="BJ89" s="30">
        <f t="shared" si="275"/>
      </c>
      <c r="BK89" s="30">
        <f t="shared" si="275"/>
      </c>
      <c r="BL89" s="308">
        <f t="shared" si="275"/>
      </c>
      <c r="BM89" s="30">
        <f t="shared" si="275"/>
      </c>
      <c r="BN89" s="30">
        <f t="shared" si="275"/>
      </c>
      <c r="BO89" s="30">
        <f t="shared" si="275"/>
      </c>
      <c r="BP89" s="30">
        <f t="shared" si="275"/>
      </c>
      <c r="BQ89" s="308">
        <f t="shared" si="275"/>
      </c>
      <c r="BR89" s="30">
        <f t="shared" si="275"/>
      </c>
      <c r="BS89" s="30">
        <f t="shared" si="275"/>
      </c>
      <c r="BT89" s="30">
        <f t="shared" si="275"/>
      </c>
      <c r="BU89" s="30">
        <f t="shared" ref="BU89:CB89" si="276">IF(BP83="NM","NM",IF(BU83="NM","NM",IF(BP83&lt;=0,"NM",IF(BU83=0,"NM",IF(ABS(BU83/BP83-1)&gt;2.5,"NM",IF((ABS(BU83-BP83)=ABS(ABS(BU83)-ABS(BP83))),(BU83/BP83-1),"NM"))))))</f>
      </c>
      <c r="BV89" s="308">
        <f t="shared" si="276"/>
      </c>
      <c r="BW89" s="30">
        <f t="shared" si="276"/>
      </c>
      <c r="BX89" s="30">
        <f t="shared" si="276"/>
      </c>
      <c r="BY89" s="30">
        <f t="shared" si="276"/>
      </c>
      <c r="BZ89" s="30" t="str">
        <f t="shared" si="276"/>
      </c>
      <c r="CA89" s="308">
        <f t="shared" si="276"/>
      </c>
      <c r="CB89" s="30">
        <f t="shared" si="276"/>
      </c>
      <c r="CC89" s="30">
        <f>IF(BX83=0, "NA", CC83/BX83-1)</f>
      </c>
      <c r="CD89" s="30">
        <f>IF(BY83="NM","NM",IF(CD83="NM","NM",IF(BY83&lt;=0,"NM",IF(CD83=0,"NM",IF(ABS(CD83/BY83-1)&gt;2.5,"NM",IF((ABS(CD83-BY83)=ABS(ABS(CD83)-ABS(BY83))),(CD83/BY83-1),"NM"))))))</f>
      </c>
      <c r="CE89" s="30">
        <f>IF(BZ83="NM","NM",IF(CE83="NM","NM",IF(BZ83&lt;=0,"NM",IF(CE83=0,"NM",IF(ABS(CE83/BZ83-1)&gt;2.5,"NM",IF((ABS(CE83-BZ83)=ABS(ABS(CE83)-ABS(BZ83))),(CE83/BZ83-1),"NM"))))))</f>
      </c>
      <c r="CF89" s="308">
        <f>IF(CA83="NM","NM",IF(CF83="NM","NM",IF(CA83&lt;=0,"NM",IF(CF83=0,"NM",IF(ABS(CF83/CA83-1)&gt;2.5,"NM",IF((ABS(CF83-CA83)=ABS(ABS(CF83)-ABS(CA83))),(CF83/CA83-1),"NM"))))))</f>
      </c>
      <c r="CG89" s="30">
        <f t="shared" ref="CG89:CP89" si="277">IF(CB83=0, "NA", CG83/CB83-1)</f>
      </c>
      <c r="CH89" s="30">
        <f t="shared" si="277"/>
      </c>
      <c r="CI89" s="30">
        <f t="shared" si="277"/>
      </c>
      <c r="CJ89" s="30">
        <f t="shared" si="277"/>
      </c>
      <c r="CK89" s="308">
        <f t="shared" si="277"/>
      </c>
      <c r="CL89" s="958">
        <f t="shared" si="277"/>
      </c>
      <c r="CM89" s="926">
        <f t="shared" si="277"/>
      </c>
      <c r="CN89" s="926">
        <f t="shared" si="277"/>
      </c>
      <c r="CO89" s="30">
        <f t="shared" si="277"/>
      </c>
      <c r="CP89" s="308">
        <f t="shared" si="277"/>
      </c>
      <c r="CQ89" s="926"/>
      <c r="CR89" s="926"/>
      <c r="CS89" s="926"/>
      <c r="CT89" s="926"/>
      <c r="CU89" s="308"/>
      <c r="CV89" s="926"/>
      <c r="CW89" s="926"/>
      <c r="CX89" s="926"/>
      <c r="CY89" s="926"/>
      <c r="CZ89" s="308"/>
      <c r="DA89" s="926"/>
      <c r="DB89" s="30"/>
      <c r="DC89" s="30"/>
      <c r="DD89" s="409"/>
      <c r="DE89" s="308"/>
      <c r="DF89" s="926"/>
      <c r="DG89" s="30"/>
      <c r="DH89" s="30"/>
      <c r="DI89" s="409"/>
      <c r="DJ89" s="308"/>
      <c r="DK89" s="830"/>
      <c r="DL89" s="30"/>
      <c r="DM89" s="30"/>
      <c r="DN89" s="409"/>
      <c r="DO89" s="308"/>
      <c r="DP89" s="30"/>
      <c r="DQ89" s="30"/>
      <c r="DR89" s="30"/>
      <c r="DS89" s="409"/>
      <c r="DT89" s="308"/>
      <c r="DU89" s="926"/>
      <c r="DV89" s="926"/>
      <c r="DW89" s="926"/>
      <c r="DX89" s="928"/>
      <c r="DY89" s="308"/>
      <c r="DZ89" s="926"/>
      <c r="EA89" s="926"/>
      <c r="EB89" s="926"/>
      <c r="EC89" s="928"/>
      <c r="ED89" s="1060"/>
      <c r="EE89" s="926"/>
      <c r="EF89" s="926"/>
      <c r="EG89" s="926"/>
      <c r="EH89" s="928"/>
      <c r="EI89" s="308"/>
      <c r="EJ89" s="308"/>
      <c r="EK89" s="308"/>
      <c r="EL89" s="308"/>
      <c r="EM89" s="308"/>
      <c r="EN89" s="308"/>
      <c r="EO89" s="308"/>
      <c r="EP89" s="308"/>
      <c r="EQ89" s="308"/>
      <c r="ER89" s="308"/>
      <c r="ES89" s="308"/>
      <c r="ET89" s="308"/>
      <c r="EU89" s="308"/>
      <c r="EV89" s="308"/>
      <c r="EW89" s="308"/>
      <c r="EX89" s="308"/>
    </row>
    <row r="90" spans="2:154" ht="12.75" hidden="1" customHeight="1" outlineLevel="1">
      <c r="B90" s="1164"/>
      <c r="C90" s="1990"/>
      <c r="D90" s="26"/>
      <c r="E90" s="26"/>
      <c r="F90" s="26"/>
      <c r="G90" s="26"/>
      <c r="H90" s="26"/>
      <c r="I90" s="27"/>
      <c r="J90" s="26"/>
      <c r="K90" s="26"/>
      <c r="L90" s="26"/>
      <c r="M90" s="26"/>
      <c r="N90" s="27"/>
      <c r="O90" s="27"/>
      <c r="P90" s="27"/>
      <c r="Q90" s="27"/>
      <c r="R90" s="27"/>
      <c r="S90" s="27"/>
      <c r="T90" s="27"/>
      <c r="U90" s="27"/>
      <c r="V90" s="27"/>
      <c r="W90" s="27"/>
      <c r="X90" s="307"/>
      <c r="Y90" s="27"/>
      <c r="Z90" s="27"/>
      <c r="AA90" s="27"/>
      <c r="AB90" s="27"/>
      <c r="AC90" s="307"/>
      <c r="AD90" s="27"/>
      <c r="AE90" s="27"/>
      <c r="AF90" s="27"/>
      <c r="AG90" s="27"/>
      <c r="AH90" s="307"/>
      <c r="AI90" s="26"/>
      <c r="AJ90" s="26"/>
      <c r="AK90" s="26"/>
      <c r="AL90" s="27"/>
      <c r="AM90" s="307"/>
      <c r="AN90" s="26"/>
      <c r="AO90" s="26"/>
      <c r="AP90" s="26"/>
      <c r="AQ90" s="27"/>
      <c r="AR90" s="307"/>
      <c r="AS90" s="26"/>
      <c r="AT90" s="26"/>
      <c r="AU90" s="26"/>
      <c r="AV90" s="27"/>
      <c r="AW90" s="307"/>
      <c r="AX90" s="26"/>
      <c r="AY90" s="26"/>
      <c r="AZ90" s="26"/>
      <c r="BA90" s="26"/>
      <c r="BB90" s="307"/>
      <c r="BC90" s="26"/>
      <c r="BD90" s="26"/>
      <c r="BE90" s="26"/>
      <c r="BF90" s="26"/>
      <c r="BG90" s="307"/>
      <c r="BH90" s="26"/>
      <c r="BI90" s="26"/>
      <c r="BJ90" s="26"/>
      <c r="BK90" s="26"/>
      <c r="BL90" s="307"/>
      <c r="BM90" s="26"/>
      <c r="BN90" s="26"/>
      <c r="BO90" s="26"/>
      <c r="BP90" s="26"/>
      <c r="BQ90" s="307"/>
      <c r="BR90" s="26"/>
      <c r="BS90" s="26"/>
      <c r="BT90" s="26"/>
      <c r="BU90" s="26"/>
      <c r="BV90" s="307"/>
      <c r="BW90" s="26"/>
      <c r="BX90" s="26"/>
      <c r="BY90" s="26"/>
      <c r="BZ90" s="26"/>
      <c r="CA90" s="307"/>
      <c r="CB90" s="26"/>
      <c r="CC90" s="26"/>
      <c r="CD90" s="26"/>
      <c r="CE90" s="26"/>
      <c r="CF90" s="307"/>
      <c r="CG90" s="26"/>
      <c r="CH90" s="26"/>
      <c r="CI90" s="26"/>
      <c r="CJ90" s="26"/>
      <c r="CK90" s="307"/>
      <c r="CL90" s="970"/>
      <c r="CM90" s="26"/>
      <c r="CN90" s="26"/>
      <c r="CO90" s="26"/>
      <c r="CP90" s="307"/>
      <c r="CQ90" s="26"/>
      <c r="CR90" s="26"/>
      <c r="CS90" s="26"/>
      <c r="CT90" s="26"/>
      <c r="CU90" s="307"/>
      <c r="CV90" s="26"/>
      <c r="CW90" s="26"/>
      <c r="CX90" s="26"/>
      <c r="CY90" s="26"/>
      <c r="CZ90" s="307"/>
      <c r="DA90" s="26"/>
      <c r="DB90" s="27"/>
      <c r="DC90" s="27"/>
      <c r="DD90" s="964"/>
      <c r="DE90" s="1766"/>
      <c r="DF90" s="1783"/>
      <c r="DG90" s="1767"/>
      <c r="DH90" s="1767"/>
      <c r="DI90" s="1784"/>
      <c r="DJ90" s="1766"/>
      <c r="DK90" s="1797"/>
      <c r="DL90" s="1767"/>
      <c r="DM90" s="1767"/>
      <c r="DN90" s="1784"/>
      <c r="DO90" s="1766"/>
      <c r="DP90" s="1767"/>
      <c r="DQ90" s="1767"/>
      <c r="DR90" s="1767"/>
      <c r="DS90" s="1784"/>
      <c r="DT90" s="1766"/>
      <c r="DU90" s="1767"/>
      <c r="DV90" s="1767"/>
      <c r="DW90" s="1767"/>
      <c r="DX90" s="1784"/>
      <c r="DY90" s="1766"/>
      <c r="DZ90" s="1767"/>
      <c r="EA90" s="1767"/>
      <c r="EB90" s="1767"/>
      <c r="EC90" s="1784"/>
      <c r="ED90" s="1766"/>
      <c r="EE90" s="1767"/>
      <c r="EF90" s="1767"/>
      <c r="EG90" s="1767"/>
      <c r="EH90" s="1784"/>
      <c r="EI90" s="1766"/>
      <c r="EJ90" s="1766"/>
      <c r="EK90" s="1766"/>
      <c r="EL90" s="1766"/>
      <c r="EM90" s="1766"/>
      <c r="EN90" s="1766"/>
      <c r="EO90" s="1766"/>
      <c r="EP90" s="1766"/>
      <c r="EQ90" s="1766"/>
      <c r="ER90" s="1766"/>
      <c r="ES90" s="1766"/>
      <c r="ET90" s="1766"/>
      <c r="EU90" s="1766"/>
      <c r="EV90" s="1766"/>
      <c r="EW90" s="1766"/>
      <c r="EX90" s="1766"/>
    </row>
    <row r="91" spans="2:154" ht="12.75" hidden="1" customHeight="1" outlineLevel="2">
      <c r="B91" s="1170" t="s">
        <v>563</v>
      </c>
      <c r="C91" s="1990"/>
      <c r="D91" s="26"/>
      <c r="E91" s="26"/>
      <c r="F91" s="26"/>
      <c r="G91" s="26"/>
      <c r="H91" s="26"/>
      <c r="I91" s="27"/>
      <c r="J91" s="26"/>
      <c r="K91" s="26"/>
      <c r="L91" s="26"/>
      <c r="M91" s="26"/>
      <c r="N91" s="27"/>
      <c r="O91" s="27"/>
      <c r="P91" s="27"/>
      <c r="Q91" s="27"/>
      <c r="R91" s="27"/>
      <c r="S91" s="27"/>
      <c r="T91" s="27"/>
      <c r="U91" s="27"/>
      <c r="V91" s="27"/>
      <c r="W91" s="27"/>
      <c r="X91" s="307"/>
      <c r="Y91" s="27"/>
      <c r="Z91" s="27"/>
      <c r="AA91" s="27"/>
      <c r="AB91" s="27"/>
      <c r="AC91" s="307"/>
      <c r="AD91" s="27"/>
      <c r="AE91" s="27"/>
      <c r="AF91" s="27"/>
      <c r="AG91" s="27"/>
      <c r="AH91" s="307"/>
      <c r="AI91" s="26"/>
      <c r="AJ91" s="26"/>
      <c r="AK91" s="26"/>
      <c r="AL91" s="27"/>
      <c r="AM91" s="307"/>
      <c r="AN91" s="26"/>
      <c r="AO91" s="26"/>
      <c r="AP91" s="26"/>
      <c r="AQ91" s="27"/>
      <c r="AR91" s="307"/>
      <c r="AS91" s="26"/>
      <c r="AT91" s="26"/>
      <c r="AU91" s="26"/>
      <c r="AV91" s="27"/>
      <c r="AW91" s="307"/>
      <c r="AX91" s="26"/>
      <c r="AY91" s="26"/>
      <c r="AZ91" s="26"/>
      <c r="BA91" s="26"/>
      <c r="BB91" s="307"/>
      <c r="BC91" s="26"/>
      <c r="BD91" s="26"/>
      <c r="BE91" s="26"/>
      <c r="BF91" s="26"/>
      <c r="BG91" s="307"/>
      <c r="BH91" s="26"/>
      <c r="BI91" s="26"/>
      <c r="BJ91" s="26"/>
      <c r="BK91" s="26"/>
      <c r="BL91" s="307"/>
      <c r="BM91" s="26"/>
      <c r="BN91" s="26"/>
      <c r="BO91" s="26"/>
      <c r="BP91" s="26"/>
      <c r="BQ91" s="307"/>
      <c r="BR91" s="26"/>
      <c r="BS91" s="26"/>
      <c r="BT91" s="26"/>
      <c r="BU91" s="26"/>
      <c r="BV91" s="307"/>
      <c r="BW91" s="26"/>
      <c r="BX91" s="26"/>
      <c r="BY91" s="26"/>
      <c r="BZ91" s="26"/>
      <c r="CA91" s="307"/>
      <c r="CB91" s="26"/>
      <c r="CC91" s="26"/>
      <c r="CD91" s="26"/>
      <c r="CE91" s="26"/>
      <c r="CF91" s="307"/>
      <c r="CG91" s="26"/>
      <c r="CH91" s="26"/>
      <c r="CI91" s="26"/>
      <c r="CJ91" s="26"/>
      <c r="CK91" s="307"/>
      <c r="CL91" s="970"/>
      <c r="CM91" s="26"/>
      <c r="CN91" s="26"/>
      <c r="CO91" s="26"/>
      <c r="CP91" s="307"/>
      <c r="CQ91" s="26"/>
      <c r="CR91" s="26"/>
      <c r="CS91" s="26"/>
      <c r="CT91" s="26"/>
      <c r="CU91" s="307"/>
      <c r="CV91" s="26"/>
      <c r="CW91" s="26"/>
      <c r="CX91" s="26"/>
      <c r="CY91" s="26"/>
      <c r="CZ91" s="307"/>
      <c r="DA91" s="26"/>
      <c r="DB91" s="27"/>
      <c r="DC91" s="27"/>
      <c r="DD91" s="964"/>
      <c r="DE91" s="1766"/>
      <c r="DF91" s="1783"/>
      <c r="DG91" s="1767"/>
      <c r="DH91" s="1767"/>
      <c r="DI91" s="1784"/>
      <c r="DJ91" s="1766"/>
      <c r="DK91" s="1797"/>
      <c r="DL91" s="1767"/>
      <c r="DM91" s="1767"/>
      <c r="DN91" s="1784"/>
      <c r="DO91" s="1766"/>
      <c r="DP91" s="1767"/>
      <c r="DQ91" s="1767"/>
      <c r="DR91" s="1767"/>
      <c r="DS91" s="1784"/>
      <c r="DT91" s="1766"/>
      <c r="DU91" s="1767"/>
      <c r="DV91" s="1767"/>
      <c r="DW91" s="1767"/>
      <c r="DX91" s="1784"/>
      <c r="DY91" s="1766"/>
      <c r="DZ91" s="1767"/>
      <c r="EA91" s="1767"/>
      <c r="EB91" s="1767"/>
      <c r="EC91" s="1784"/>
      <c r="ED91" s="1766"/>
      <c r="EE91" s="1767"/>
      <c r="EF91" s="1767"/>
      <c r="EG91" s="1767"/>
      <c r="EH91" s="1784"/>
      <c r="EI91" s="1766"/>
      <c r="EJ91" s="1766"/>
      <c r="EK91" s="1766"/>
      <c r="EL91" s="1766"/>
      <c r="EM91" s="1766"/>
      <c r="EN91" s="1766"/>
      <c r="EO91" s="1766"/>
      <c r="EP91" s="1766"/>
      <c r="EQ91" s="1766"/>
      <c r="ER91" s="1766"/>
      <c r="ES91" s="1766"/>
      <c r="ET91" s="1766"/>
      <c r="EU91" s="1766"/>
      <c r="EV91" s="1766"/>
      <c r="EW91" s="1766"/>
      <c r="EX91" s="1766"/>
    </row>
    <row r="92" spans="2:154" ht="12.75" hidden="1" customHeight="1" outlineLevel="2">
      <c r="B92" s="1171" t="s">
        <v>187</v>
      </c>
      <c r="C92" s="1990"/>
      <c r="D92" s="26"/>
      <c r="E92" s="26"/>
      <c r="F92" s="26"/>
      <c r="G92" s="26"/>
      <c r="H92" s="26"/>
      <c r="I92" s="27"/>
      <c r="J92" s="26"/>
      <c r="K92" s="26"/>
      <c r="L92" s="26"/>
      <c r="M92" s="26"/>
      <c r="N92" s="27"/>
      <c r="O92" s="27"/>
      <c r="P92" s="27"/>
      <c r="Q92" s="27"/>
      <c r="R92" s="27"/>
      <c r="S92" s="27"/>
      <c r="T92" s="27"/>
      <c r="U92" s="27"/>
      <c r="V92" s="27"/>
      <c r="W92" s="27"/>
      <c r="X92" s="307"/>
      <c r="Y92" s="27"/>
      <c r="Z92" s="27"/>
      <c r="AA92" s="27"/>
      <c r="AB92" s="27"/>
      <c r="AC92" s="307"/>
      <c r="AD92" s="27"/>
      <c r="AE92" s="27"/>
      <c r="AF92" s="27"/>
      <c r="AG92" s="27"/>
      <c r="AH92" s="307"/>
      <c r="AI92" s="26"/>
      <c r="AJ92" s="26"/>
      <c r="AK92" s="26"/>
      <c r="AL92" s="27"/>
      <c r="AM92" s="307"/>
      <c r="AN92" s="26"/>
      <c r="AO92" s="26"/>
      <c r="AP92" s="26"/>
      <c r="AQ92" s="27"/>
      <c r="AR92" s="307"/>
      <c r="AS92" s="26"/>
      <c r="AT92" s="26"/>
      <c r="AU92" s="26"/>
      <c r="AV92" s="27"/>
      <c r="AW92" s="307"/>
      <c r="AX92" s="26"/>
      <c r="AY92" s="26"/>
      <c r="AZ92" s="26"/>
      <c r="BA92" s="26"/>
      <c r="BB92" s="307"/>
      <c r="BC92" s="26"/>
      <c r="BD92" s="26"/>
      <c r="BE92" s="26"/>
      <c r="BF92" s="26"/>
      <c r="BG92" s="307"/>
      <c r="BH92" s="26"/>
      <c r="BI92" s="26"/>
      <c r="BJ92" s="26"/>
      <c r="BK92" s="26"/>
      <c r="BL92" s="307"/>
      <c r="BM92" s="26"/>
      <c r="BN92" s="26"/>
      <c r="BO92" s="26"/>
      <c r="BP92" s="26"/>
      <c r="BQ92" s="307"/>
      <c r="BR92" s="26"/>
      <c r="BS92" s="26"/>
      <c r="BT92" s="26"/>
      <c r="BU92" s="26"/>
      <c r="BV92" s="307"/>
      <c r="BW92" s="26"/>
      <c r="BX92" s="26"/>
      <c r="BY92" s="26"/>
      <c r="BZ92" s="352"/>
      <c r="CA92" s="313">
        <f>SUM(BW92:BZ92)</f>
      </c>
      <c r="CB92" s="352"/>
      <c r="CC92" s="761">
        <v>2.5</v>
      </c>
      <c r="CD92" s="761">
        <v>2.5</v>
      </c>
      <c r="CE92" s="761">
        <v>2.5</v>
      </c>
      <c r="CF92" s="313">
        <f>SUM(CB92:CE92)</f>
      </c>
      <c r="CG92" s="761">
        <v>1.5</v>
      </c>
      <c r="CH92" s="761">
        <v>2.5</v>
      </c>
      <c r="CI92" s="761">
        <v>2.5</v>
      </c>
      <c r="CJ92" s="761">
        <v>2.5</v>
      </c>
      <c r="CK92" s="313">
        <f>SUM(CG92:CJ92)</f>
      </c>
      <c r="CL92" s="761">
        <v>1.5</v>
      </c>
      <c r="CM92" s="761">
        <v>2.5</v>
      </c>
      <c r="CN92" s="761">
        <v>2.5</v>
      </c>
      <c r="CO92" s="761">
        <v>2.5</v>
      </c>
      <c r="CP92" s="313">
        <f>SUM(CL92:CO92)</f>
      </c>
      <c r="CQ92" s="352"/>
      <c r="CR92" s="352"/>
      <c r="CS92" s="933"/>
      <c r="CT92" s="933"/>
      <c r="CU92" s="313"/>
      <c r="CV92" s="352"/>
      <c r="CW92" s="933"/>
      <c r="CX92" s="933"/>
      <c r="CY92" s="933"/>
      <c r="CZ92" s="313"/>
      <c r="DA92" s="352"/>
      <c r="DB92" s="31"/>
      <c r="DC92" s="31"/>
      <c r="DD92" s="955"/>
      <c r="DE92" s="477"/>
      <c r="DF92" s="1801"/>
      <c r="DG92" s="603"/>
      <c r="DH92" s="603"/>
      <c r="DI92" s="1798"/>
      <c r="DJ92" s="477"/>
      <c r="DK92" s="1799"/>
      <c r="DL92" s="603"/>
      <c r="DM92" s="603"/>
      <c r="DN92" s="1798"/>
      <c r="DO92" s="477"/>
      <c r="DP92" s="603"/>
      <c r="DQ92" s="603"/>
      <c r="DR92" s="603"/>
      <c r="DS92" s="1798"/>
      <c r="DT92" s="477"/>
      <c r="DU92" s="603"/>
      <c r="DV92" s="603"/>
      <c r="DW92" s="603"/>
      <c r="DX92" s="1798"/>
      <c r="DY92" s="477"/>
      <c r="DZ92" s="603"/>
      <c r="EA92" s="603"/>
      <c r="EB92" s="603"/>
      <c r="EC92" s="1798"/>
      <c r="ED92" s="477"/>
      <c r="EE92" s="603"/>
      <c r="EF92" s="603"/>
      <c r="EG92" s="603"/>
      <c r="EH92" s="1798"/>
      <c r="EI92" s="477"/>
      <c r="EJ92" s="477"/>
      <c r="EK92" s="477"/>
      <c r="EL92" s="477"/>
      <c r="EM92" s="477"/>
      <c r="EN92" s="477"/>
      <c r="EO92" s="477"/>
      <c r="EP92" s="477"/>
      <c r="EQ92" s="477"/>
      <c r="ER92" s="477"/>
      <c r="ES92" s="477"/>
      <c r="ET92" s="477"/>
      <c r="EU92" s="477"/>
      <c r="EV92" s="477"/>
      <c r="EW92" s="477"/>
      <c r="EX92" s="477"/>
    </row>
    <row r="93" spans="2:154" ht="12.75" hidden="1" customHeight="1" outlineLevel="2">
      <c r="B93" s="1171" t="s">
        <v>412</v>
      </c>
      <c r="C93" s="1990"/>
      <c r="D93" s="26"/>
      <c r="E93" s="26"/>
      <c r="F93" s="26"/>
      <c r="G93" s="26"/>
      <c r="H93" s="26"/>
      <c r="I93" s="27"/>
      <c r="J93" s="26"/>
      <c r="K93" s="26"/>
      <c r="L93" s="26"/>
      <c r="M93" s="26"/>
      <c r="N93" s="27"/>
      <c r="O93" s="27"/>
      <c r="P93" s="27"/>
      <c r="Q93" s="27"/>
      <c r="R93" s="27"/>
      <c r="S93" s="27"/>
      <c r="T93" s="27"/>
      <c r="U93" s="27"/>
      <c r="V93" s="27"/>
      <c r="W93" s="27"/>
      <c r="X93" s="307"/>
      <c r="Y93" s="27"/>
      <c r="Z93" s="27"/>
      <c r="AA93" s="27"/>
      <c r="AB93" s="27"/>
      <c r="AC93" s="307"/>
      <c r="AD93" s="27"/>
      <c r="AE93" s="27"/>
      <c r="AF93" s="27"/>
      <c r="AG93" s="27"/>
      <c r="AH93" s="307"/>
      <c r="AI93" s="26"/>
      <c r="AJ93" s="26"/>
      <c r="AK93" s="26"/>
      <c r="AL93" s="27"/>
      <c r="AM93" s="307"/>
      <c r="AN93" s="26"/>
      <c r="AO93" s="26"/>
      <c r="AP93" s="26"/>
      <c r="AQ93" s="27"/>
      <c r="AR93" s="307"/>
      <c r="AS93" s="26"/>
      <c r="AT93" s="26"/>
      <c r="AU93" s="26"/>
      <c r="AV93" s="27"/>
      <c r="AW93" s="307"/>
      <c r="AX93" s="26"/>
      <c r="AY93" s="26"/>
      <c r="AZ93" s="26"/>
      <c r="BA93" s="26"/>
      <c r="BB93" s="307"/>
      <c r="BC93" s="26"/>
      <c r="BD93" s="26"/>
      <c r="BE93" s="26"/>
      <c r="BF93" s="26"/>
      <c r="BG93" s="307"/>
      <c r="BH93" s="26"/>
      <c r="BI93" s="26"/>
      <c r="BJ93" s="26"/>
      <c r="BK93" s="26"/>
      <c r="BL93" s="307"/>
      <c r="BM93" s="26"/>
      <c r="BN93" s="26"/>
      <c r="BO93" s="26"/>
      <c r="BP93" s="26"/>
      <c r="BQ93" s="307"/>
      <c r="BR93" s="26"/>
      <c r="BS93" s="26"/>
      <c r="BT93" s="26"/>
      <c r="BU93" s="26"/>
      <c r="BV93" s="307"/>
      <c r="BW93" s="26"/>
      <c r="BX93" s="26"/>
      <c r="BY93" s="26"/>
      <c r="BZ93" s="761">
        <v>75</v>
      </c>
      <c r="CA93" s="313">
        <f>SUM(BW93:BZ93)</f>
      </c>
      <c r="CB93" s="761">
        <v>25</v>
      </c>
      <c r="CC93" s="761">
        <v>25</v>
      </c>
      <c r="CD93" s="761">
        <v>25</v>
      </c>
      <c r="CE93" s="761">
        <v>25</v>
      </c>
      <c r="CF93" s="313">
        <f>SUM(CB93:CE93)</f>
      </c>
      <c r="CG93" s="761">
        <v>27.5</v>
      </c>
      <c r="CH93" s="761">
        <v>27.5</v>
      </c>
      <c r="CI93" s="761">
        <v>27.5</v>
      </c>
      <c r="CJ93" s="761">
        <v>25</v>
      </c>
      <c r="CK93" s="313">
        <f>SUM(CG93:CJ93)</f>
      </c>
      <c r="CL93" s="761">
        <v>30.057499999999997</v>
      </c>
      <c r="CM93" s="761">
        <v>30.085000000000001</v>
      </c>
      <c r="CN93" s="761">
        <v>29.975000000000001</v>
      </c>
      <c r="CO93" s="761">
        <v>30</v>
      </c>
      <c r="CP93" s="313">
        <f>SUM(CL93:CO93)</f>
      </c>
      <c r="CQ93" s="352"/>
      <c r="CR93" s="352"/>
      <c r="CS93" s="933"/>
      <c r="CT93" s="933"/>
      <c r="CU93" s="313"/>
      <c r="CV93" s="352"/>
      <c r="CW93" s="933"/>
      <c r="CX93" s="933"/>
      <c r="CY93" s="933"/>
      <c r="CZ93" s="313"/>
      <c r="DA93" s="352"/>
      <c r="DB93" s="31"/>
      <c r="DC93" s="31"/>
      <c r="DD93" s="955"/>
      <c r="DE93" s="477"/>
      <c r="DF93" s="1801"/>
      <c r="DG93" s="603"/>
      <c r="DH93" s="603"/>
      <c r="DI93" s="1798"/>
      <c r="DJ93" s="477"/>
      <c r="DK93" s="1799"/>
      <c r="DL93" s="603"/>
      <c r="DM93" s="603"/>
      <c r="DN93" s="1798"/>
      <c r="DO93" s="477"/>
      <c r="DP93" s="603"/>
      <c r="DQ93" s="603"/>
      <c r="DR93" s="603"/>
      <c r="DS93" s="1798"/>
      <c r="DT93" s="477"/>
      <c r="DU93" s="603"/>
      <c r="DV93" s="603"/>
      <c r="DW93" s="603"/>
      <c r="DX93" s="1798"/>
      <c r="DY93" s="477"/>
      <c r="DZ93" s="603"/>
      <c r="EA93" s="603"/>
      <c r="EB93" s="603"/>
      <c r="EC93" s="1798"/>
      <c r="ED93" s="477"/>
      <c r="EE93" s="603"/>
      <c r="EF93" s="603"/>
      <c r="EG93" s="603"/>
      <c r="EH93" s="1798"/>
      <c r="EI93" s="477"/>
      <c r="EJ93" s="477"/>
      <c r="EK93" s="477"/>
      <c r="EL93" s="477"/>
      <c r="EM93" s="477"/>
      <c r="EN93" s="477"/>
      <c r="EO93" s="477"/>
      <c r="EP93" s="477"/>
      <c r="EQ93" s="477"/>
      <c r="ER93" s="477"/>
      <c r="ES93" s="477"/>
      <c r="ET93" s="477"/>
      <c r="EU93" s="477"/>
      <c r="EV93" s="477"/>
      <c r="EW93" s="477"/>
      <c r="EX93" s="477"/>
    </row>
    <row r="94" spans="2:154" ht="12.75" hidden="1" customHeight="1" outlineLevel="2">
      <c r="B94" s="1171" t="s">
        <v>413</v>
      </c>
      <c r="C94" s="1990"/>
      <c r="D94" s="26"/>
      <c r="E94" s="26"/>
      <c r="F94" s="26"/>
      <c r="G94" s="26"/>
      <c r="H94" s="26"/>
      <c r="I94" s="27"/>
      <c r="J94" s="26"/>
      <c r="K94" s="26"/>
      <c r="L94" s="26"/>
      <c r="M94" s="26"/>
      <c r="N94" s="27"/>
      <c r="O94" s="27"/>
      <c r="P94" s="27"/>
      <c r="Q94" s="27"/>
      <c r="R94" s="27"/>
      <c r="S94" s="27"/>
      <c r="T94" s="27"/>
      <c r="U94" s="27"/>
      <c r="V94" s="27"/>
      <c r="W94" s="27"/>
      <c r="X94" s="307"/>
      <c r="Y94" s="27"/>
      <c r="Z94" s="27"/>
      <c r="AA94" s="27"/>
      <c r="AB94" s="27"/>
      <c r="AC94" s="307"/>
      <c r="AD94" s="27"/>
      <c r="AE94" s="27"/>
      <c r="AF94" s="27"/>
      <c r="AG94" s="27"/>
      <c r="AH94" s="307"/>
      <c r="AI94" s="26"/>
      <c r="AJ94" s="26"/>
      <c r="AK94" s="26"/>
      <c r="AL94" s="27"/>
      <c r="AM94" s="307"/>
      <c r="AN94" s="26"/>
      <c r="AO94" s="26"/>
      <c r="AP94" s="26"/>
      <c r="AQ94" s="27"/>
      <c r="AR94" s="307"/>
      <c r="AS94" s="26"/>
      <c r="AT94" s="26"/>
      <c r="AU94" s="26"/>
      <c r="AV94" s="27"/>
      <c r="AW94" s="307"/>
      <c r="AX94" s="26"/>
      <c r="AY94" s="26"/>
      <c r="AZ94" s="26"/>
      <c r="BA94" s="26"/>
      <c r="BB94" s="307"/>
      <c r="BC94" s="26"/>
      <c r="BD94" s="26"/>
      <c r="BE94" s="26"/>
      <c r="BF94" s="26"/>
      <c r="BG94" s="307"/>
      <c r="BH94" s="26"/>
      <c r="BI94" s="26"/>
      <c r="BJ94" s="26"/>
      <c r="BK94" s="26"/>
      <c r="BL94" s="307"/>
      <c r="BM94" s="26"/>
      <c r="BN94" s="26"/>
      <c r="BO94" s="26"/>
      <c r="BP94" s="26"/>
      <c r="BQ94" s="307"/>
      <c r="BR94" s="26"/>
      <c r="BS94" s="26"/>
      <c r="BT94" s="26"/>
      <c r="BU94" s="26"/>
      <c r="BV94" s="307"/>
      <c r="BW94" s="26"/>
      <c r="BX94" s="26"/>
      <c r="BY94" s="26"/>
      <c r="BZ94" s="28">
        <f t="shared" ref="BZ94:CJ94" si="278">+BZ92+BZ93</f>
      </c>
      <c r="CA94" s="313">
        <f t="shared" si="278"/>
      </c>
      <c r="CB94" s="28">
        <f>+CB92+CB93</f>
      </c>
      <c r="CC94" s="28">
        <f t="shared" si="278"/>
      </c>
      <c r="CD94" s="28">
        <f t="shared" si="278"/>
      </c>
      <c r="CE94" s="28">
        <f t="shared" si="278"/>
      </c>
      <c r="CF94" s="313">
        <f>+CF92+CF93</f>
      </c>
      <c r="CG94" s="28">
        <f t="shared" si="278"/>
      </c>
      <c r="CH94" s="28">
        <f t="shared" si="278"/>
      </c>
      <c r="CI94" s="28">
        <f t="shared" si="278"/>
      </c>
      <c r="CJ94" s="28">
        <f t="shared" si="278"/>
      </c>
      <c r="CK94" s="313">
        <f t="shared" ref="CK94:CP94" si="279">+CK92+CK93</f>
      </c>
      <c r="CL94" s="961">
        <f t="shared" si="279"/>
      </c>
      <c r="CM94" s="933">
        <f t="shared" si="279"/>
      </c>
      <c r="CN94" s="933">
        <f t="shared" si="279"/>
      </c>
      <c r="CO94" s="28">
        <f t="shared" si="279"/>
      </c>
      <c r="CP94" s="313">
        <f t="shared" si="279"/>
      </c>
      <c r="CQ94" s="933"/>
      <c r="CR94" s="933"/>
      <c r="CS94" s="933"/>
      <c r="CT94" s="933"/>
      <c r="CU94" s="313"/>
      <c r="CV94" s="933"/>
      <c r="CW94" s="933"/>
      <c r="CX94" s="933"/>
      <c r="CY94" s="933"/>
      <c r="CZ94" s="313"/>
      <c r="DA94" s="933"/>
      <c r="DB94" s="31"/>
      <c r="DC94" s="31"/>
      <c r="DD94" s="955"/>
      <c r="DE94" s="477"/>
      <c r="DF94" s="982"/>
      <c r="DG94" s="603"/>
      <c r="DH94" s="603"/>
      <c r="DI94" s="1798"/>
      <c r="DJ94" s="477"/>
      <c r="DK94" s="1799"/>
      <c r="DL94" s="603"/>
      <c r="DM94" s="603"/>
      <c r="DN94" s="1798"/>
      <c r="DO94" s="477"/>
      <c r="DP94" s="603"/>
      <c r="DQ94" s="603"/>
      <c r="DR94" s="603"/>
      <c r="DS94" s="1798"/>
      <c r="DT94" s="477"/>
      <c r="DU94" s="603"/>
      <c r="DV94" s="603"/>
      <c r="DW94" s="603"/>
      <c r="DX94" s="1798"/>
      <c r="DY94" s="477"/>
      <c r="DZ94" s="603"/>
      <c r="EA94" s="603"/>
      <c r="EB94" s="603"/>
      <c r="EC94" s="1798"/>
      <c r="ED94" s="477"/>
      <c r="EE94" s="603"/>
      <c r="EF94" s="603"/>
      <c r="EG94" s="603"/>
      <c r="EH94" s="1798"/>
      <c r="EI94" s="477"/>
      <c r="EJ94" s="477"/>
      <c r="EK94" s="477"/>
      <c r="EL94" s="477"/>
      <c r="EM94" s="477"/>
      <c r="EN94" s="477"/>
      <c r="EO94" s="477"/>
      <c r="EP94" s="477"/>
      <c r="EQ94" s="477"/>
      <c r="ER94" s="477"/>
      <c r="ES94" s="477"/>
      <c r="ET94" s="477"/>
      <c r="EU94" s="477"/>
      <c r="EV94" s="477"/>
      <c r="EW94" s="477"/>
      <c r="EX94" s="477"/>
    </row>
    <row r="95" spans="2:154" ht="12.75" hidden="1" customHeight="1" outlineLevel="2">
      <c r="B95" s="1171"/>
      <c r="C95" s="1990"/>
      <c r="D95" s="26"/>
      <c r="E95" s="26"/>
      <c r="F95" s="26"/>
      <c r="G95" s="26"/>
      <c r="H95" s="26"/>
      <c r="I95" s="27"/>
      <c r="J95" s="26"/>
      <c r="K95" s="26"/>
      <c r="L95" s="26"/>
      <c r="M95" s="26"/>
      <c r="N95" s="27"/>
      <c r="O95" s="27"/>
      <c r="P95" s="27"/>
      <c r="Q95" s="27"/>
      <c r="R95" s="27"/>
      <c r="S95" s="27"/>
      <c r="T95" s="27"/>
      <c r="U95" s="27"/>
      <c r="V95" s="27"/>
      <c r="W95" s="27"/>
      <c r="X95" s="307"/>
      <c r="Y95" s="27"/>
      <c r="Z95" s="27"/>
      <c r="AA95" s="27"/>
      <c r="AB95" s="27"/>
      <c r="AC95" s="307"/>
      <c r="AD95" s="27"/>
      <c r="AE95" s="27"/>
      <c r="AF95" s="27"/>
      <c r="AG95" s="27"/>
      <c r="AH95" s="307"/>
      <c r="AI95" s="26"/>
      <c r="AJ95" s="26"/>
      <c r="AK95" s="26"/>
      <c r="AL95" s="27"/>
      <c r="AM95" s="307"/>
      <c r="AN95" s="26"/>
      <c r="AO95" s="26"/>
      <c r="AP95" s="26"/>
      <c r="AQ95" s="27"/>
      <c r="AR95" s="307"/>
      <c r="AS95" s="26"/>
      <c r="AT95" s="26"/>
      <c r="AU95" s="26"/>
      <c r="AV95" s="27"/>
      <c r="AW95" s="307"/>
      <c r="AX95" s="26"/>
      <c r="AY95" s="26"/>
      <c r="AZ95" s="26"/>
      <c r="BA95" s="26"/>
      <c r="BB95" s="307"/>
      <c r="BC95" s="26"/>
      <c r="BD95" s="26"/>
      <c r="BE95" s="26"/>
      <c r="BF95" s="26"/>
      <c r="BG95" s="307"/>
      <c r="BH95" s="26"/>
      <c r="BI95" s="26"/>
      <c r="BJ95" s="26"/>
      <c r="BK95" s="26"/>
      <c r="BL95" s="307"/>
      <c r="BM95" s="26"/>
      <c r="BN95" s="26"/>
      <c r="BO95" s="26"/>
      <c r="BP95" s="26"/>
      <c r="BQ95" s="307"/>
      <c r="BR95" s="26"/>
      <c r="BS95" s="26"/>
      <c r="BT95" s="26"/>
      <c r="BU95" s="26"/>
      <c r="BV95" s="307"/>
      <c r="BW95" s="26"/>
      <c r="BX95" s="26"/>
      <c r="BY95" s="26"/>
      <c r="BZ95" s="26"/>
      <c r="CA95" s="307"/>
      <c r="CB95" s="26"/>
      <c r="CC95" s="26"/>
      <c r="CD95" s="26"/>
      <c r="CE95" s="26"/>
      <c r="CF95" s="307"/>
      <c r="CG95" s="26"/>
      <c r="CH95" s="26"/>
      <c r="CI95" s="26"/>
      <c r="CJ95" s="26"/>
      <c r="CK95" s="307"/>
      <c r="CL95" s="970"/>
      <c r="CM95" s="26"/>
      <c r="CN95" s="26"/>
      <c r="CO95" s="26"/>
      <c r="CP95" s="307"/>
      <c r="CQ95" s="26"/>
      <c r="CR95" s="26"/>
      <c r="CS95" s="26"/>
      <c r="CT95" s="26"/>
      <c r="CU95" s="307"/>
      <c r="CV95" s="26"/>
      <c r="CW95" s="26"/>
      <c r="CX95" s="26"/>
      <c r="CY95" s="26"/>
      <c r="CZ95" s="307"/>
      <c r="DA95" s="26"/>
      <c r="DB95" s="27"/>
      <c r="DC95" s="27"/>
      <c r="DD95" s="964"/>
      <c r="DE95" s="1766"/>
      <c r="DF95" s="1783"/>
      <c r="DG95" s="1767"/>
      <c r="DH95" s="1767"/>
      <c r="DI95" s="1784"/>
      <c r="DJ95" s="1766"/>
      <c r="DK95" s="1797"/>
      <c r="DL95" s="1767"/>
      <c r="DM95" s="1767"/>
      <c r="DN95" s="1784"/>
      <c r="DO95" s="1766"/>
      <c r="DP95" s="1767"/>
      <c r="DQ95" s="1767"/>
      <c r="DR95" s="1767"/>
      <c r="DS95" s="1784"/>
      <c r="DT95" s="1766"/>
      <c r="DU95" s="1767"/>
      <c r="DV95" s="1767"/>
      <c r="DW95" s="1767"/>
      <c r="DX95" s="1784"/>
      <c r="DY95" s="1766"/>
      <c r="DZ95" s="1767"/>
      <c r="EA95" s="1767"/>
      <c r="EB95" s="1767"/>
      <c r="EC95" s="1784"/>
      <c r="ED95" s="1766"/>
      <c r="EE95" s="1767"/>
      <c r="EF95" s="1767"/>
      <c r="EG95" s="1767"/>
      <c r="EH95" s="1784"/>
      <c r="EI95" s="1766"/>
      <c r="EJ95" s="1766"/>
      <c r="EK95" s="1766"/>
      <c r="EL95" s="1766"/>
      <c r="EM95" s="1766"/>
      <c r="EN95" s="1766"/>
      <c r="EO95" s="1766"/>
      <c r="EP95" s="1766"/>
      <c r="EQ95" s="1766"/>
      <c r="ER95" s="1766"/>
      <c r="ES95" s="1766"/>
      <c r="ET95" s="1766"/>
      <c r="EU95" s="1766"/>
      <c r="EV95" s="1766"/>
      <c r="EW95" s="1766"/>
      <c r="EX95" s="1766"/>
    </row>
    <row r="96" spans="2:154" ht="12.75" hidden="1" customHeight="1" outlineLevel="2">
      <c r="B96" s="1172" t="str">
        <f>+B91&amp;", % YoY growth"</f>
      </c>
      <c r="C96" s="1990"/>
      <c r="D96" s="26"/>
      <c r="E96" s="26"/>
      <c r="F96" s="26"/>
      <c r="G96" s="26"/>
      <c r="H96" s="26"/>
      <c r="I96" s="27"/>
      <c r="J96" s="26"/>
      <c r="K96" s="26"/>
      <c r="L96" s="26"/>
      <c r="M96" s="26"/>
      <c r="N96" s="27"/>
      <c r="O96" s="27"/>
      <c r="P96" s="27"/>
      <c r="Q96" s="27"/>
      <c r="R96" s="27"/>
      <c r="S96" s="27"/>
      <c r="T96" s="27"/>
      <c r="U96" s="27"/>
      <c r="V96" s="27"/>
      <c r="W96" s="27"/>
      <c r="X96" s="307"/>
      <c r="Y96" s="27"/>
      <c r="Z96" s="27"/>
      <c r="AA96" s="27"/>
      <c r="AB96" s="27"/>
      <c r="AC96" s="307"/>
      <c r="AD96" s="27"/>
      <c r="AE96" s="27"/>
      <c r="AF96" s="27"/>
      <c r="AG96" s="27"/>
      <c r="AH96" s="307"/>
      <c r="AI96" s="26"/>
      <c r="AJ96" s="26"/>
      <c r="AK96" s="26"/>
      <c r="AL96" s="27"/>
      <c r="AM96" s="307"/>
      <c r="AN96" s="26"/>
      <c r="AO96" s="26"/>
      <c r="AP96" s="26"/>
      <c r="AQ96" s="27"/>
      <c r="AR96" s="307"/>
      <c r="AS96" s="26"/>
      <c r="AT96" s="26"/>
      <c r="AU96" s="26"/>
      <c r="AV96" s="27"/>
      <c r="AW96" s="307"/>
      <c r="AX96" s="26"/>
      <c r="AY96" s="26"/>
      <c r="AZ96" s="26"/>
      <c r="BA96" s="26"/>
      <c r="BB96" s="307"/>
      <c r="BC96" s="26"/>
      <c r="BD96" s="26"/>
      <c r="BE96" s="26"/>
      <c r="BF96" s="26"/>
      <c r="BG96" s="307"/>
      <c r="BH96" s="26"/>
      <c r="BI96" s="26"/>
      <c r="BJ96" s="26"/>
      <c r="BK96" s="26"/>
      <c r="BL96" s="307"/>
      <c r="BM96" s="26"/>
      <c r="BN96" s="26"/>
      <c r="BO96" s="26"/>
      <c r="BP96" s="26"/>
      <c r="BQ96" s="307"/>
      <c r="BR96" s="26"/>
      <c r="BS96" s="26"/>
      <c r="BT96" s="26"/>
      <c r="BU96" s="26"/>
      <c r="BV96" s="307"/>
      <c r="BW96" s="26"/>
      <c r="BX96" s="26"/>
      <c r="BY96" s="26"/>
      <c r="BZ96" s="26"/>
      <c r="CA96" s="307"/>
      <c r="CB96" s="26"/>
      <c r="CC96" s="26"/>
      <c r="CD96" s="26"/>
      <c r="CE96" s="26"/>
      <c r="CF96" s="307"/>
      <c r="CG96" s="26"/>
      <c r="CH96" s="26"/>
      <c r="CI96" s="26"/>
      <c r="CJ96" s="26"/>
      <c r="CK96" s="307"/>
      <c r="CL96" s="970"/>
      <c r="CM96" s="26"/>
      <c r="CN96" s="26"/>
      <c r="CO96" s="26"/>
      <c r="CP96" s="307"/>
      <c r="CQ96" s="26"/>
      <c r="CR96" s="26"/>
      <c r="CS96" s="26"/>
      <c r="CT96" s="26"/>
      <c r="CU96" s="307"/>
      <c r="CV96" s="26"/>
      <c r="CW96" s="26"/>
      <c r="CX96" s="26"/>
      <c r="CY96" s="26"/>
      <c r="CZ96" s="307"/>
      <c r="DA96" s="26"/>
      <c r="DB96" s="27"/>
      <c r="DC96" s="27"/>
      <c r="DD96" s="964"/>
      <c r="DE96" s="1766"/>
      <c r="DF96" s="1783"/>
      <c r="DG96" s="1767"/>
      <c r="DH96" s="1767"/>
      <c r="DI96" s="1784"/>
      <c r="DJ96" s="1766"/>
      <c r="DK96" s="1797"/>
      <c r="DL96" s="1767"/>
      <c r="DM96" s="1767"/>
      <c r="DN96" s="1784"/>
      <c r="DO96" s="1766"/>
      <c r="DP96" s="1767"/>
      <c r="DQ96" s="1767"/>
      <c r="DR96" s="1767"/>
      <c r="DS96" s="1784"/>
      <c r="DT96" s="1766"/>
      <c r="DU96" s="1767"/>
      <c r="DV96" s="1767"/>
      <c r="DW96" s="1767"/>
      <c r="DX96" s="1784"/>
      <c r="DY96" s="1766"/>
      <c r="DZ96" s="1767"/>
      <c r="EA96" s="1767"/>
      <c r="EB96" s="1767"/>
      <c r="EC96" s="1784"/>
      <c r="ED96" s="1766"/>
      <c r="EE96" s="1767"/>
      <c r="EF96" s="1767"/>
      <c r="EG96" s="1767"/>
      <c r="EH96" s="1784"/>
      <c r="EI96" s="1766"/>
      <c r="EJ96" s="1766"/>
      <c r="EK96" s="1766"/>
      <c r="EL96" s="1766"/>
      <c r="EM96" s="1766"/>
      <c r="EN96" s="1766"/>
      <c r="EO96" s="1766"/>
      <c r="EP96" s="1766"/>
      <c r="EQ96" s="1766"/>
      <c r="ER96" s="1766"/>
      <c r="ES96" s="1766"/>
      <c r="ET96" s="1766"/>
      <c r="EU96" s="1766"/>
      <c r="EV96" s="1766"/>
      <c r="EW96" s="1766"/>
      <c r="EX96" s="1766"/>
    </row>
    <row r="97" spans="2:154" ht="12.75" hidden="1" customHeight="1" outlineLevel="2">
      <c r="B97" s="912" t="s">
        <v>187</v>
      </c>
      <c r="C97" s="1990"/>
      <c r="D97" s="26"/>
      <c r="E97" s="26"/>
      <c r="F97" s="26"/>
      <c r="G97" s="26"/>
      <c r="H97" s="26"/>
      <c r="I97" s="27"/>
      <c r="J97" s="26"/>
      <c r="K97" s="26"/>
      <c r="L97" s="26"/>
      <c r="M97" s="26"/>
      <c r="N97" s="27"/>
      <c r="O97" s="27"/>
      <c r="P97" s="27"/>
      <c r="Q97" s="27"/>
      <c r="R97" s="27"/>
      <c r="S97" s="27"/>
      <c r="T97" s="27"/>
      <c r="U97" s="27"/>
      <c r="V97" s="27"/>
      <c r="W97" s="27"/>
      <c r="X97" s="307"/>
      <c r="Y97" s="27"/>
      <c r="Z97" s="27"/>
      <c r="AA97" s="27"/>
      <c r="AB97" s="27"/>
      <c r="AC97" s="307"/>
      <c r="AD97" s="27"/>
      <c r="AE97" s="27"/>
      <c r="AF97" s="27"/>
      <c r="AG97" s="27"/>
      <c r="AH97" s="307"/>
      <c r="AI97" s="26"/>
      <c r="AJ97" s="26"/>
      <c r="AK97" s="26"/>
      <c r="AL97" s="27"/>
      <c r="AM97" s="307"/>
      <c r="AN97" s="26"/>
      <c r="AO97" s="26"/>
      <c r="AP97" s="26"/>
      <c r="AQ97" s="27"/>
      <c r="AR97" s="307"/>
      <c r="AS97" s="26"/>
      <c r="AT97" s="26"/>
      <c r="AU97" s="26"/>
      <c r="AV97" s="27"/>
      <c r="AW97" s="307"/>
      <c r="AX97" s="26"/>
      <c r="AY97" s="26"/>
      <c r="AZ97" s="26"/>
      <c r="BA97" s="26"/>
      <c r="BB97" s="307"/>
      <c r="BC97" s="26"/>
      <c r="BD97" s="26"/>
      <c r="BE97" s="26"/>
      <c r="BF97" s="26"/>
      <c r="BG97" s="307"/>
      <c r="BH97" s="26"/>
      <c r="BI97" s="26"/>
      <c r="BJ97" s="26"/>
      <c r="BK97" s="26"/>
      <c r="BL97" s="307"/>
      <c r="BM97" s="26"/>
      <c r="BN97" s="26"/>
      <c r="BO97" s="26"/>
      <c r="BP97" s="26"/>
      <c r="BQ97" s="307"/>
      <c r="BR97" s="26"/>
      <c r="BS97" s="26"/>
      <c r="BT97" s="26"/>
      <c r="BU97" s="26"/>
      <c r="BV97" s="307"/>
      <c r="BW97" s="26"/>
      <c r="BX97" s="26"/>
      <c r="BY97" s="26"/>
      <c r="BZ97" s="26"/>
      <c r="CA97" s="307"/>
      <c r="CB97" s="361"/>
      <c r="CC97" s="361"/>
      <c r="CD97" s="361"/>
      <c r="CE97" s="598"/>
      <c r="CF97" s="308" t="str">
        <f>IF(CA92=0, "NA", CF92/CA92-1)</f>
      </c>
      <c r="CG97" s="598"/>
      <c r="CH97" s="41">
        <f t="shared" ref="CH97:CO98" si="280">IF(CC92=0, "NA", CH92/CC92-1)</f>
      </c>
      <c r="CI97" s="41">
        <f t="shared" si="280"/>
      </c>
      <c r="CJ97" s="41">
        <f t="shared" si="280"/>
      </c>
      <c r="CK97" s="308">
        <f>IF(CF92=0, "NA", CK92/CF92-1)</f>
      </c>
      <c r="CL97" s="41">
        <f t="shared" si="280"/>
      </c>
      <c r="CM97" s="41">
        <f t="shared" si="280"/>
      </c>
      <c r="CN97" s="41">
        <f>IF(CI92=0, "NA", CN92/CI92-1)</f>
      </c>
      <c r="CO97" s="41">
        <f t="shared" si="280"/>
      </c>
      <c r="CP97" s="308">
        <f>IF(CK92=0, "NA", CP92/CK92-1)</f>
      </c>
      <c r="CQ97" s="41"/>
      <c r="CR97" s="41"/>
      <c r="CS97" s="361"/>
      <c r="CT97" s="361"/>
      <c r="CU97" s="308"/>
      <c r="CV97" s="41"/>
      <c r="CW97" s="361"/>
      <c r="CX97" s="361"/>
      <c r="CY97" s="361"/>
      <c r="CZ97" s="308"/>
      <c r="DA97" s="41"/>
      <c r="DB97" s="361"/>
      <c r="DC97" s="361"/>
      <c r="DD97" s="835"/>
      <c r="DE97" s="1802"/>
      <c r="DF97" s="41"/>
      <c r="DG97" s="361"/>
      <c r="DH97" s="361"/>
      <c r="DI97" s="835"/>
      <c r="DJ97" s="1802"/>
      <c r="DK97" s="1803"/>
      <c r="DL97" s="361"/>
      <c r="DM97" s="361"/>
      <c r="DN97" s="1804"/>
      <c r="DO97" s="1802"/>
      <c r="DP97" s="361"/>
      <c r="DQ97" s="361"/>
      <c r="DR97" s="361"/>
      <c r="DS97" s="1804"/>
      <c r="DT97" s="1802"/>
      <c r="DU97" s="361"/>
      <c r="DV97" s="361"/>
      <c r="DW97" s="361"/>
      <c r="DX97" s="1804"/>
      <c r="DY97" s="1802"/>
      <c r="DZ97" s="361"/>
      <c r="EA97" s="361"/>
      <c r="EB97" s="361"/>
      <c r="EC97" s="1804"/>
      <c r="ED97" s="1802"/>
      <c r="EE97" s="361"/>
      <c r="EF97" s="361"/>
      <c r="EG97" s="361"/>
      <c r="EH97" s="1804"/>
      <c r="EI97" s="1802"/>
      <c r="EJ97" s="1802"/>
      <c r="EK97" s="1802"/>
      <c r="EL97" s="1802"/>
      <c r="EM97" s="1802"/>
      <c r="EN97" s="1802"/>
      <c r="EO97" s="1802"/>
      <c r="EP97" s="1802"/>
      <c r="EQ97" s="1802"/>
      <c r="ER97" s="1802"/>
      <c r="ES97" s="1802"/>
      <c r="ET97" s="1802"/>
      <c r="EU97" s="1802"/>
      <c r="EV97" s="1802"/>
      <c r="EW97" s="1802"/>
      <c r="EX97" s="1802"/>
    </row>
    <row r="98" spans="2:154" ht="12.75" hidden="1" customHeight="1" outlineLevel="2">
      <c r="B98" s="912" t="s">
        <v>412</v>
      </c>
      <c r="C98" s="1990"/>
      <c r="D98" s="26"/>
      <c r="E98" s="26"/>
      <c r="F98" s="26"/>
      <c r="G98" s="26"/>
      <c r="H98" s="26"/>
      <c r="I98" s="27"/>
      <c r="J98" s="26"/>
      <c r="K98" s="26"/>
      <c r="L98" s="26"/>
      <c r="M98" s="26"/>
      <c r="N98" s="27"/>
      <c r="O98" s="27"/>
      <c r="P98" s="27"/>
      <c r="Q98" s="27"/>
      <c r="R98" s="27"/>
      <c r="S98" s="27"/>
      <c r="T98" s="27"/>
      <c r="U98" s="27"/>
      <c r="V98" s="27"/>
      <c r="W98" s="27"/>
      <c r="X98" s="307"/>
      <c r="Y98" s="27"/>
      <c r="Z98" s="27"/>
      <c r="AA98" s="27"/>
      <c r="AB98" s="27"/>
      <c r="AC98" s="307"/>
      <c r="AD98" s="27"/>
      <c r="AE98" s="27"/>
      <c r="AF98" s="27"/>
      <c r="AG98" s="27"/>
      <c r="AH98" s="307"/>
      <c r="AI98" s="26"/>
      <c r="AJ98" s="26"/>
      <c r="AK98" s="26"/>
      <c r="AL98" s="27"/>
      <c r="AM98" s="307"/>
      <c r="AN98" s="26"/>
      <c r="AO98" s="26"/>
      <c r="AP98" s="26"/>
      <c r="AQ98" s="27"/>
      <c r="AR98" s="307"/>
      <c r="AS98" s="26"/>
      <c r="AT98" s="26"/>
      <c r="AU98" s="26"/>
      <c r="AV98" s="27"/>
      <c r="AW98" s="307"/>
      <c r="AX98" s="26"/>
      <c r="AY98" s="26"/>
      <c r="AZ98" s="26"/>
      <c r="BA98" s="26"/>
      <c r="BB98" s="307"/>
      <c r="BC98" s="26"/>
      <c r="BD98" s="26"/>
      <c r="BE98" s="26"/>
      <c r="BF98" s="26"/>
      <c r="BG98" s="307"/>
      <c r="BH98" s="26"/>
      <c r="BI98" s="26"/>
      <c r="BJ98" s="26"/>
      <c r="BK98" s="26"/>
      <c r="BL98" s="307"/>
      <c r="BM98" s="26"/>
      <c r="BN98" s="26"/>
      <c r="BO98" s="26"/>
      <c r="BP98" s="26"/>
      <c r="BQ98" s="307"/>
      <c r="BR98" s="26"/>
      <c r="BS98" s="26"/>
      <c r="BT98" s="26"/>
      <c r="BU98" s="26"/>
      <c r="BV98" s="307"/>
      <c r="BW98" s="26"/>
      <c r="BX98" s="26"/>
      <c r="BY98" s="26"/>
      <c r="BZ98" s="26"/>
      <c r="CA98" s="307"/>
      <c r="CB98" s="833"/>
      <c r="CC98" s="30"/>
      <c r="CD98" s="30"/>
      <c r="CE98" s="30"/>
      <c r="CF98" s="315">
        <f>IF(CA93=0, "NA", CF93/CA93-1)</f>
      </c>
      <c r="CG98" s="30">
        <f>IF(CB93=0, "NA", CG93/CB93-1)</f>
      </c>
      <c r="CH98" s="30">
        <f t="shared" si="280"/>
      </c>
      <c r="CI98" s="30">
        <f t="shared" si="280"/>
      </c>
      <c r="CJ98" s="30">
        <f t="shared" si="280"/>
      </c>
      <c r="CK98" s="315">
        <f>IF(CF93=0, "NA", CK93/CF93-1)</f>
      </c>
      <c r="CL98" s="30">
        <f>IF(CG93=0, "NA", CL93/CG93-1)</f>
      </c>
      <c r="CM98" s="30">
        <f>IF(CH93=0, "NA", CM93/CH93-1)</f>
      </c>
      <c r="CN98" s="30">
        <f>IF(CI93=0, "NA", CN93/CI93-1)</f>
      </c>
      <c r="CO98" s="30">
        <f t="shared" si="280"/>
      </c>
      <c r="CP98" s="315">
        <f>IF(CK93=0, "NA", CP93/CK93-1)</f>
      </c>
      <c r="CQ98" s="30"/>
      <c r="CR98" s="30"/>
      <c r="CS98" s="926"/>
      <c r="CT98" s="926"/>
      <c r="CU98" s="315"/>
      <c r="CV98" s="30"/>
      <c r="CW98" s="926"/>
      <c r="CX98" s="926"/>
      <c r="CY98" s="926"/>
      <c r="CZ98" s="315"/>
      <c r="DA98" s="30"/>
      <c r="DB98" s="926"/>
      <c r="DC98" s="926"/>
      <c r="DD98" s="928"/>
      <c r="DE98" s="1805"/>
      <c r="DF98" s="30"/>
      <c r="DG98" s="926"/>
      <c r="DH98" s="926"/>
      <c r="DI98" s="928"/>
      <c r="DJ98" s="1805"/>
      <c r="DK98" s="1806"/>
      <c r="DL98" s="926"/>
      <c r="DM98" s="926"/>
      <c r="DN98" s="1807"/>
      <c r="DO98" s="1805"/>
      <c r="DP98" s="926"/>
      <c r="DQ98" s="926"/>
      <c r="DR98" s="926"/>
      <c r="DS98" s="1807"/>
      <c r="DT98" s="1805"/>
      <c r="DU98" s="926"/>
      <c r="DV98" s="926"/>
      <c r="DW98" s="926"/>
      <c r="DX98" s="1807"/>
      <c r="DY98" s="1805"/>
      <c r="DZ98" s="926"/>
      <c r="EA98" s="926"/>
      <c r="EB98" s="926"/>
      <c r="EC98" s="1807"/>
      <c r="ED98" s="1805"/>
      <c r="EE98" s="926"/>
      <c r="EF98" s="926"/>
      <c r="EG98" s="926"/>
      <c r="EH98" s="1807"/>
      <c r="EI98" s="1805"/>
      <c r="EJ98" s="1805"/>
      <c r="EK98" s="1805"/>
      <c r="EL98" s="1805"/>
      <c r="EM98" s="1805"/>
      <c r="EN98" s="1805"/>
      <c r="EO98" s="1805"/>
      <c r="EP98" s="1805"/>
      <c r="EQ98" s="1805"/>
      <c r="ER98" s="1805"/>
      <c r="ES98" s="1805"/>
      <c r="ET98" s="1805"/>
      <c r="EU98" s="1805"/>
      <c r="EV98" s="1805"/>
      <c r="EW98" s="1805"/>
      <c r="EX98" s="1805"/>
    </row>
    <row r="99" spans="2:154" ht="12.75" hidden="1" customHeight="1" outlineLevel="2">
      <c r="B99" s="912" t="s">
        <v>256</v>
      </c>
      <c r="C99" s="1990"/>
      <c r="D99" s="26"/>
      <c r="E99" s="26"/>
      <c r="F99" s="26"/>
      <c r="G99" s="26"/>
      <c r="H99" s="26"/>
      <c r="I99" s="27"/>
      <c r="J99" s="26"/>
      <c r="K99" s="26"/>
      <c r="L99" s="26"/>
      <c r="M99" s="26"/>
      <c r="N99" s="27"/>
      <c r="O99" s="27"/>
      <c r="P99" s="27"/>
      <c r="Q99" s="27"/>
      <c r="R99" s="27"/>
      <c r="S99" s="27"/>
      <c r="T99" s="27"/>
      <c r="U99" s="27"/>
      <c r="V99" s="27"/>
      <c r="W99" s="27"/>
      <c r="X99" s="307"/>
      <c r="Y99" s="27"/>
      <c r="Z99" s="27"/>
      <c r="AA99" s="27"/>
      <c r="AB99" s="27"/>
      <c r="AC99" s="307"/>
      <c r="AD99" s="27"/>
      <c r="AE99" s="27"/>
      <c r="AF99" s="27"/>
      <c r="AG99" s="27"/>
      <c r="AH99" s="307"/>
      <c r="AI99" s="26"/>
      <c r="AJ99" s="26"/>
      <c r="AK99" s="26"/>
      <c r="AL99" s="27"/>
      <c r="AM99" s="307"/>
      <c r="AN99" s="26"/>
      <c r="AO99" s="26"/>
      <c r="AP99" s="26"/>
      <c r="AQ99" s="27"/>
      <c r="AR99" s="307"/>
      <c r="AS99" s="26"/>
      <c r="AT99" s="26"/>
      <c r="AU99" s="26"/>
      <c r="AV99" s="27"/>
      <c r="AW99" s="307"/>
      <c r="AX99" s="26"/>
      <c r="AY99" s="26"/>
      <c r="AZ99" s="26"/>
      <c r="BA99" s="26"/>
      <c r="BB99" s="307"/>
      <c r="BC99" s="26"/>
      <c r="BD99" s="26"/>
      <c r="BE99" s="26"/>
      <c r="BF99" s="26"/>
      <c r="BG99" s="307"/>
      <c r="BH99" s="26"/>
      <c r="BI99" s="26"/>
      <c r="BJ99" s="26"/>
      <c r="BK99" s="26"/>
      <c r="BL99" s="307"/>
      <c r="BM99" s="26"/>
      <c r="BN99" s="26"/>
      <c r="BO99" s="26"/>
      <c r="BP99" s="26"/>
      <c r="BQ99" s="307"/>
      <c r="BR99" s="26"/>
      <c r="BS99" s="26"/>
      <c r="BT99" s="26"/>
      <c r="BU99" s="26"/>
      <c r="BV99" s="307"/>
      <c r="BW99" s="26"/>
      <c r="BX99" s="26"/>
      <c r="BY99" s="26"/>
      <c r="BZ99" s="26"/>
      <c r="CA99" s="307"/>
      <c r="CB99" s="361"/>
      <c r="CC99" s="361"/>
      <c r="CD99" s="361"/>
      <c r="CE99" s="361"/>
      <c r="CF99" s="315">
        <f t="shared" ref="CF99:CN99" si="281">CF98-CF$21</f>
      </c>
      <c r="CG99" s="925">
        <f t="shared" si="281"/>
      </c>
      <c r="CH99" s="41">
        <f t="shared" si="281"/>
      </c>
      <c r="CI99" s="41">
        <f t="shared" si="281"/>
      </c>
      <c r="CJ99" s="41">
        <f t="shared" si="281"/>
      </c>
      <c r="CK99" s="315">
        <f t="shared" si="281"/>
      </c>
      <c r="CL99" s="925">
        <f t="shared" si="281"/>
      </c>
      <c r="CM99" s="925">
        <f t="shared" si="281"/>
      </c>
      <c r="CN99" s="41">
        <f t="shared" si="281"/>
      </c>
      <c r="CO99" s="41">
        <f>CO98-CO$21</f>
      </c>
      <c r="CP99" s="315">
        <f>CP98-CP$21</f>
      </c>
      <c r="CQ99" s="41"/>
      <c r="CR99" s="41"/>
      <c r="CS99" s="361"/>
      <c r="CT99" s="361"/>
      <c r="CU99" s="315"/>
      <c r="CV99" s="41"/>
      <c r="CW99" s="361"/>
      <c r="CX99" s="361"/>
      <c r="CY99" s="361"/>
      <c r="CZ99" s="315"/>
      <c r="DA99" s="41"/>
      <c r="DB99" s="361"/>
      <c r="DC99" s="361"/>
      <c r="DD99" s="835"/>
      <c r="DE99" s="1802"/>
      <c r="DF99" s="41"/>
      <c r="DG99" s="361"/>
      <c r="DH99" s="361"/>
      <c r="DI99" s="835"/>
      <c r="DJ99" s="1802"/>
      <c r="DK99" s="1803"/>
      <c r="DL99" s="361"/>
      <c r="DM99" s="361"/>
      <c r="DN99" s="1804"/>
      <c r="DO99" s="1802"/>
      <c r="DP99" s="361"/>
      <c r="DQ99" s="361"/>
      <c r="DR99" s="361"/>
      <c r="DS99" s="1804"/>
      <c r="DT99" s="1802"/>
      <c r="DU99" s="361"/>
      <c r="DV99" s="361"/>
      <c r="DW99" s="361"/>
      <c r="DX99" s="1804"/>
      <c r="DY99" s="1802"/>
      <c r="DZ99" s="361"/>
      <c r="EA99" s="361"/>
      <c r="EB99" s="361"/>
      <c r="EC99" s="1804"/>
      <c r="ED99" s="1802"/>
      <c r="EE99" s="361"/>
      <c r="EF99" s="361"/>
      <c r="EG99" s="361"/>
      <c r="EH99" s="1804"/>
      <c r="EI99" s="1802"/>
      <c r="EJ99" s="1802"/>
      <c r="EK99" s="1802"/>
      <c r="EL99" s="1802"/>
      <c r="EM99" s="1802"/>
      <c r="EN99" s="1802"/>
      <c r="EO99" s="1802"/>
      <c r="EP99" s="1802"/>
      <c r="EQ99" s="1802"/>
      <c r="ER99" s="1802"/>
      <c r="ES99" s="1802"/>
      <c r="ET99" s="1802"/>
      <c r="EU99" s="1802"/>
      <c r="EV99" s="1802"/>
      <c r="EW99" s="1802"/>
      <c r="EX99" s="1802"/>
    </row>
    <row r="100" spans="2:154" ht="12.75" hidden="1" customHeight="1" outlineLevel="2">
      <c r="B100" s="912" t="s">
        <v>413</v>
      </c>
      <c r="C100" s="1990"/>
      <c r="D100" s="26"/>
      <c r="E100" s="26"/>
      <c r="F100" s="26"/>
      <c r="G100" s="26"/>
      <c r="H100" s="26"/>
      <c r="I100" s="27"/>
      <c r="J100" s="26"/>
      <c r="K100" s="26"/>
      <c r="L100" s="26"/>
      <c r="M100" s="26"/>
      <c r="N100" s="27"/>
      <c r="O100" s="27"/>
      <c r="P100" s="27"/>
      <c r="Q100" s="27"/>
      <c r="R100" s="27"/>
      <c r="S100" s="27"/>
      <c r="T100" s="27"/>
      <c r="U100" s="27"/>
      <c r="V100" s="27"/>
      <c r="W100" s="27"/>
      <c r="X100" s="307"/>
      <c r="Y100" s="27"/>
      <c r="Z100" s="27"/>
      <c r="AA100" s="27"/>
      <c r="AB100" s="27"/>
      <c r="AC100" s="307"/>
      <c r="AD100" s="27"/>
      <c r="AE100" s="27"/>
      <c r="AF100" s="27"/>
      <c r="AG100" s="27"/>
      <c r="AH100" s="307"/>
      <c r="AI100" s="26"/>
      <c r="AJ100" s="26"/>
      <c r="AK100" s="26"/>
      <c r="AL100" s="27"/>
      <c r="AM100" s="307"/>
      <c r="AN100" s="26"/>
      <c r="AO100" s="26"/>
      <c r="AP100" s="26"/>
      <c r="AQ100" s="27"/>
      <c r="AR100" s="307"/>
      <c r="AS100" s="26"/>
      <c r="AT100" s="26"/>
      <c r="AU100" s="26"/>
      <c r="AV100" s="27"/>
      <c r="AW100" s="307"/>
      <c r="AX100" s="26"/>
      <c r="AY100" s="26"/>
      <c r="AZ100" s="26"/>
      <c r="BA100" s="26"/>
      <c r="BB100" s="307"/>
      <c r="BC100" s="26"/>
      <c r="BD100" s="26"/>
      <c r="BE100" s="26"/>
      <c r="BF100" s="26"/>
      <c r="BG100" s="307"/>
      <c r="BH100" s="26"/>
      <c r="BI100" s="26"/>
      <c r="BJ100" s="26"/>
      <c r="BK100" s="26"/>
      <c r="BL100" s="307"/>
      <c r="BM100" s="26"/>
      <c r="BN100" s="26"/>
      <c r="BO100" s="26"/>
      <c r="BP100" s="26"/>
      <c r="BQ100" s="307"/>
      <c r="BR100" s="26"/>
      <c r="BS100" s="26"/>
      <c r="BT100" s="26"/>
      <c r="BU100" s="26"/>
      <c r="BV100" s="307"/>
      <c r="BW100" s="26"/>
      <c r="BX100" s="26"/>
      <c r="BY100" s="26"/>
      <c r="BZ100" s="26"/>
      <c r="CA100" s="307"/>
      <c r="CB100" s="30"/>
      <c r="CC100" s="30"/>
      <c r="CD100" s="30"/>
      <c r="CE100" s="30">
        <f t="shared" ref="CE100:CO100" si="282">IF(BZ94=0, "NA", CE94/BZ94-1)</f>
      </c>
      <c r="CF100" s="315">
        <f>IF(CA94=0, "NA", CF94/CA94-1)</f>
      </c>
      <c r="CG100" s="30">
        <f>IF(CB94=0, "NA", CG94/CB94-1)</f>
      </c>
      <c r="CH100" s="30">
        <f t="shared" si="282"/>
      </c>
      <c r="CI100" s="30">
        <f t="shared" si="282"/>
      </c>
      <c r="CJ100" s="30">
        <f t="shared" si="282"/>
      </c>
      <c r="CK100" s="315">
        <f>IF(CF94=0, "NA", CK94/CF94-1)</f>
      </c>
      <c r="CL100" s="30">
        <f t="shared" si="282"/>
      </c>
      <c r="CM100" s="30">
        <f t="shared" si="282"/>
      </c>
      <c r="CN100" s="30">
        <f>IF(CI94=0, "NA", CN94/CI94-1)</f>
      </c>
      <c r="CO100" s="30">
        <f t="shared" si="282"/>
      </c>
      <c r="CP100" s="315">
        <f>IF(CK94=0, "NA", CP94/CK94-1)</f>
      </c>
      <c r="CQ100" s="30"/>
      <c r="CR100" s="30"/>
      <c r="CS100" s="926"/>
      <c r="CT100" s="926"/>
      <c r="CU100" s="315"/>
      <c r="CV100" s="30"/>
      <c r="CW100" s="926"/>
      <c r="CX100" s="926"/>
      <c r="CY100" s="926"/>
      <c r="CZ100" s="315"/>
      <c r="DA100" s="30"/>
      <c r="DB100" s="926"/>
      <c r="DC100" s="926"/>
      <c r="DD100" s="928"/>
      <c r="DE100" s="1805"/>
      <c r="DF100" s="30"/>
      <c r="DG100" s="926"/>
      <c r="DH100" s="926"/>
      <c r="DI100" s="928"/>
      <c r="DJ100" s="1805"/>
      <c r="DK100" s="1806"/>
      <c r="DL100" s="926"/>
      <c r="DM100" s="926"/>
      <c r="DN100" s="1807"/>
      <c r="DO100" s="1805"/>
      <c r="DP100" s="926"/>
      <c r="DQ100" s="926"/>
      <c r="DR100" s="926"/>
      <c r="DS100" s="1807"/>
      <c r="DT100" s="1805"/>
      <c r="DU100" s="926"/>
      <c r="DV100" s="926"/>
      <c r="DW100" s="926"/>
      <c r="DX100" s="1807"/>
      <c r="DY100" s="1805"/>
      <c r="DZ100" s="926"/>
      <c r="EA100" s="926"/>
      <c r="EB100" s="926"/>
      <c r="EC100" s="1807"/>
      <c r="ED100" s="1805"/>
      <c r="EE100" s="926"/>
      <c r="EF100" s="926"/>
      <c r="EG100" s="926"/>
      <c r="EH100" s="1807"/>
      <c r="EI100" s="1805"/>
      <c r="EJ100" s="1805"/>
      <c r="EK100" s="1805"/>
      <c r="EL100" s="1805"/>
      <c r="EM100" s="1805"/>
      <c r="EN100" s="1805"/>
      <c r="EO100" s="1805"/>
      <c r="EP100" s="1805"/>
      <c r="EQ100" s="1805"/>
      <c r="ER100" s="1805"/>
      <c r="ES100" s="1805"/>
      <c r="ET100" s="1805"/>
      <c r="EU100" s="1805"/>
      <c r="EV100" s="1805"/>
      <c r="EW100" s="1805"/>
      <c r="EX100" s="1805"/>
    </row>
    <row r="101" spans="2:154" ht="12.75" hidden="1" customHeight="1" outlineLevel="2">
      <c r="B101" s="1164"/>
      <c r="C101" s="1990"/>
      <c r="D101" s="26"/>
      <c r="E101" s="26"/>
      <c r="F101" s="26"/>
      <c r="G101" s="26"/>
      <c r="H101" s="26"/>
      <c r="I101" s="27"/>
      <c r="J101" s="26"/>
      <c r="K101" s="26"/>
      <c r="L101" s="26"/>
      <c r="M101" s="26"/>
      <c r="N101" s="27"/>
      <c r="O101" s="27"/>
      <c r="P101" s="27"/>
      <c r="Q101" s="27"/>
      <c r="R101" s="27"/>
      <c r="S101" s="27"/>
      <c r="T101" s="27"/>
      <c r="U101" s="27"/>
      <c r="V101" s="27"/>
      <c r="W101" s="27"/>
      <c r="X101" s="307"/>
      <c r="Y101" s="27"/>
      <c r="Z101" s="27"/>
      <c r="AA101" s="27"/>
      <c r="AB101" s="27"/>
      <c r="AC101" s="307"/>
      <c r="AD101" s="27"/>
      <c r="AE101" s="27"/>
      <c r="AF101" s="27"/>
      <c r="AG101" s="27"/>
      <c r="AH101" s="307"/>
      <c r="AI101" s="26"/>
      <c r="AJ101" s="26"/>
      <c r="AK101" s="26"/>
      <c r="AL101" s="27"/>
      <c r="AM101" s="307"/>
      <c r="AN101" s="26"/>
      <c r="AO101" s="26"/>
      <c r="AP101" s="26"/>
      <c r="AQ101" s="27"/>
      <c r="AR101" s="307"/>
      <c r="AS101" s="26"/>
      <c r="AT101" s="26"/>
      <c r="AU101" s="26"/>
      <c r="AV101" s="27"/>
      <c r="AW101" s="307"/>
      <c r="AX101" s="26"/>
      <c r="AY101" s="26"/>
      <c r="AZ101" s="26"/>
      <c r="BA101" s="26"/>
      <c r="BB101" s="307"/>
      <c r="BC101" s="26"/>
      <c r="BD101" s="26"/>
      <c r="BE101" s="26"/>
      <c r="BF101" s="26"/>
      <c r="BG101" s="307"/>
      <c r="BH101" s="26"/>
      <c r="BI101" s="26"/>
      <c r="BJ101" s="26"/>
      <c r="BK101" s="26"/>
      <c r="BL101" s="307"/>
      <c r="BM101" s="26"/>
      <c r="BN101" s="26"/>
      <c r="BO101" s="26"/>
      <c r="BP101" s="26"/>
      <c r="BQ101" s="307"/>
      <c r="BR101" s="26"/>
      <c r="BS101" s="26"/>
      <c r="BT101" s="26"/>
      <c r="BU101" s="26"/>
      <c r="BV101" s="307"/>
      <c r="BW101" s="26"/>
      <c r="BX101" s="26"/>
      <c r="BY101" s="26"/>
      <c r="BZ101" s="26"/>
      <c r="CA101" s="307"/>
      <c r="CB101" s="26"/>
      <c r="CC101" s="26"/>
      <c r="CD101" s="26"/>
      <c r="CE101" s="26"/>
      <c r="CF101" s="307"/>
      <c r="CG101" s="26"/>
      <c r="CH101" s="26"/>
      <c r="CI101" s="26"/>
      <c r="CJ101" s="26"/>
      <c r="CK101" s="307"/>
      <c r="CL101" s="970"/>
      <c r="CM101" s="26"/>
      <c r="CN101" s="26"/>
      <c r="CO101" s="26"/>
      <c r="CP101" s="307"/>
      <c r="CQ101" s="26"/>
      <c r="CR101" s="26"/>
      <c r="CS101" s="26"/>
      <c r="CT101" s="26"/>
      <c r="CU101" s="307"/>
      <c r="CV101" s="26"/>
      <c r="CW101" s="26"/>
      <c r="CX101" s="26"/>
      <c r="CY101" s="26"/>
      <c r="CZ101" s="307"/>
      <c r="DA101" s="26"/>
      <c r="DB101" s="27"/>
      <c r="DC101" s="27"/>
      <c r="DD101" s="964"/>
      <c r="DE101" s="1766"/>
      <c r="DF101" s="1783"/>
      <c r="DG101" s="1767"/>
      <c r="DH101" s="1767"/>
      <c r="DI101" s="1784"/>
      <c r="DJ101" s="1766"/>
      <c r="DK101" s="1797"/>
      <c r="DL101" s="1767"/>
      <c r="DM101" s="1767"/>
      <c r="DN101" s="1784"/>
      <c r="DO101" s="1766"/>
      <c r="DP101" s="1767"/>
      <c r="DQ101" s="1767"/>
      <c r="DR101" s="1767"/>
      <c r="DS101" s="1784"/>
      <c r="DT101" s="1766"/>
      <c r="DU101" s="1767"/>
      <c r="DV101" s="1767"/>
      <c r="DW101" s="1767"/>
      <c r="DX101" s="1784"/>
      <c r="DY101" s="1766"/>
      <c r="DZ101" s="1767"/>
      <c r="EA101" s="1767"/>
      <c r="EB101" s="1767"/>
      <c r="EC101" s="1784"/>
      <c r="ED101" s="1766"/>
      <c r="EE101" s="1767"/>
      <c r="EF101" s="1767"/>
      <c r="EG101" s="1767"/>
      <c r="EH101" s="1784"/>
      <c r="EI101" s="1766"/>
      <c r="EJ101" s="1766"/>
      <c r="EK101" s="1766"/>
      <c r="EL101" s="1766"/>
      <c r="EM101" s="1766"/>
      <c r="EN101" s="1766"/>
      <c r="EO101" s="1766"/>
      <c r="EP101" s="1766"/>
      <c r="EQ101" s="1766"/>
      <c r="ER101" s="1766"/>
      <c r="ES101" s="1766"/>
      <c r="ET101" s="1766"/>
      <c r="EU101" s="1766"/>
      <c r="EV101" s="1766"/>
      <c r="EW101" s="1766"/>
      <c r="EX101" s="1766"/>
    </row>
    <row r="102" spans="2:154" ht="12.75" hidden="1" customHeight="1" outlineLevel="2">
      <c r="B102" s="1170" t="s">
        <v>532</v>
      </c>
      <c r="C102" s="1989"/>
      <c r="D102" s="28"/>
      <c r="E102" s="28"/>
      <c r="F102" s="28"/>
      <c r="G102" s="28"/>
      <c r="H102" s="28"/>
      <c r="I102" s="31"/>
      <c r="J102" s="28"/>
      <c r="K102" s="28"/>
      <c r="L102" s="28"/>
      <c r="M102" s="28"/>
      <c r="N102" s="31"/>
      <c r="O102" s="31"/>
      <c r="P102" s="31"/>
      <c r="Q102" s="31"/>
      <c r="R102" s="31"/>
      <c r="S102" s="31"/>
      <c r="T102" s="31"/>
      <c r="U102" s="31"/>
      <c r="V102" s="31"/>
      <c r="W102" s="31"/>
      <c r="X102" s="313"/>
      <c r="Y102" s="31"/>
      <c r="Z102" s="31"/>
      <c r="AA102" s="31"/>
      <c r="AB102" s="31"/>
      <c r="AC102" s="313"/>
      <c r="AD102" s="31"/>
      <c r="AE102" s="31"/>
      <c r="AF102" s="31"/>
      <c r="AG102" s="31"/>
      <c r="AH102" s="313"/>
      <c r="AI102" s="28"/>
      <c r="AJ102" s="28"/>
      <c r="AK102" s="28"/>
      <c r="AL102" s="31"/>
      <c r="AM102" s="313"/>
      <c r="AN102" s="28"/>
      <c r="AO102" s="28"/>
      <c r="AP102" s="28"/>
      <c r="AQ102" s="31"/>
      <c r="AR102" s="313"/>
      <c r="AS102" s="28"/>
      <c r="AT102" s="28"/>
      <c r="AU102" s="28"/>
      <c r="AV102" s="31"/>
      <c r="AW102" s="313"/>
      <c r="AX102" s="28"/>
      <c r="AY102" s="28"/>
      <c r="AZ102" s="28"/>
      <c r="BA102" s="28"/>
      <c r="BB102" s="313"/>
      <c r="BC102" s="28"/>
      <c r="BD102" s="28"/>
      <c r="BE102" s="28"/>
      <c r="BF102" s="28"/>
      <c r="BG102" s="313"/>
      <c r="BH102" s="28"/>
      <c r="BI102" s="28"/>
      <c r="BJ102" s="28"/>
      <c r="BK102" s="28"/>
      <c r="BL102" s="313"/>
      <c r="BM102" s="28"/>
      <c r="BN102" s="28"/>
      <c r="BO102" s="28"/>
      <c r="BP102" s="28"/>
      <c r="BQ102" s="313"/>
      <c r="BR102" s="28"/>
      <c r="BS102" s="28"/>
      <c r="BT102" s="28"/>
      <c r="BU102" s="28"/>
      <c r="BV102" s="313"/>
      <c r="BW102" s="28"/>
      <c r="BX102" s="28"/>
      <c r="BY102" s="28"/>
      <c r="BZ102" s="28"/>
      <c r="CA102" s="313"/>
      <c r="CB102" s="28"/>
      <c r="CC102" s="28"/>
      <c r="CD102" s="28"/>
      <c r="CE102" s="28"/>
      <c r="CF102" s="313"/>
      <c r="CG102" s="28"/>
      <c r="CH102" s="28"/>
      <c r="CI102" s="28"/>
      <c r="CJ102" s="28"/>
      <c r="CK102" s="313"/>
      <c r="CL102" s="961"/>
      <c r="CM102" s="933"/>
      <c r="CN102" s="933"/>
      <c r="CO102" s="28"/>
      <c r="CP102" s="313"/>
      <c r="CQ102" s="933"/>
      <c r="CR102" s="933"/>
      <c r="CS102" s="933"/>
      <c r="CT102" s="933"/>
      <c r="CU102" s="313"/>
      <c r="CV102" s="933"/>
      <c r="CW102" s="933"/>
      <c r="CX102" s="933"/>
      <c r="CY102" s="933"/>
      <c r="CZ102" s="313"/>
      <c r="DA102" s="933"/>
      <c r="DB102" s="31"/>
      <c r="DC102" s="31"/>
      <c r="DD102" s="955"/>
      <c r="DE102" s="477"/>
      <c r="DF102" s="982"/>
      <c r="DG102" s="603"/>
      <c r="DH102" s="603"/>
      <c r="DI102" s="1798"/>
      <c r="DJ102" s="477"/>
      <c r="DK102" s="1799"/>
      <c r="DL102" s="603"/>
      <c r="DM102" s="603"/>
      <c r="DN102" s="1798"/>
      <c r="DO102" s="477"/>
      <c r="DP102" s="603"/>
      <c r="DQ102" s="603"/>
      <c r="DR102" s="603"/>
      <c r="DS102" s="1798"/>
      <c r="DT102" s="477"/>
      <c r="DU102" s="603"/>
      <c r="DV102" s="603"/>
      <c r="DW102" s="603"/>
      <c r="DX102" s="1798"/>
      <c r="DY102" s="477"/>
      <c r="DZ102" s="603"/>
      <c r="EA102" s="603"/>
      <c r="EB102" s="603"/>
      <c r="EC102" s="1798"/>
      <c r="ED102" s="477"/>
      <c r="EE102" s="603"/>
      <c r="EF102" s="603"/>
      <c r="EG102" s="603"/>
      <c r="EH102" s="1798"/>
      <c r="EI102" s="477"/>
      <c r="EJ102" s="477"/>
      <c r="EK102" s="477"/>
      <c r="EL102" s="477"/>
      <c r="EM102" s="477"/>
      <c r="EN102" s="477"/>
      <c r="EO102" s="477"/>
      <c r="EP102" s="477"/>
      <c r="EQ102" s="477"/>
      <c r="ER102" s="477"/>
      <c r="ES102" s="477"/>
      <c r="ET102" s="477"/>
      <c r="EU102" s="477"/>
      <c r="EV102" s="477"/>
      <c r="EW102" s="477"/>
      <c r="EX102" s="477"/>
    </row>
    <row r="103" spans="2:154" ht="12.75" hidden="1" customHeight="1" outlineLevel="2">
      <c r="B103" s="1171" t="s">
        <v>187</v>
      </c>
      <c r="C103" s="1995">
        <v>40714</v>
      </c>
      <c r="D103" s="31">
        <f>+I103/(1+I108)</f>
      </c>
      <c r="E103" s="33">
        <v>198</v>
      </c>
      <c r="F103" s="33">
        <v>157.59493670886076</v>
      </c>
      <c r="G103" s="33">
        <v>168</v>
      </c>
      <c r="H103" s="33">
        <v>203</v>
      </c>
      <c r="I103" s="31">
        <f>+SUM(E103:H103)</f>
      </c>
      <c r="J103" s="33">
        <v>319</v>
      </c>
      <c r="K103" s="33">
        <v>249</v>
      </c>
      <c r="L103" s="33">
        <v>238</v>
      </c>
      <c r="M103" s="33">
        <v>235</v>
      </c>
      <c r="N103" s="31">
        <f>+SUM(J103:M103)</f>
      </c>
      <c r="O103" s="33">
        <v>240</v>
      </c>
      <c r="P103" s="33">
        <v>232</v>
      </c>
      <c r="Q103" s="33">
        <v>220</v>
      </c>
      <c r="R103" s="33">
        <v>301</v>
      </c>
      <c r="S103" s="31">
        <f>SUM(O103:R103)</f>
      </c>
      <c r="T103" s="33">
        <v>263</v>
      </c>
      <c r="U103" s="33">
        <v>201</v>
      </c>
      <c r="V103" s="33">
        <v>228</v>
      </c>
      <c r="W103" s="33">
        <v>279</v>
      </c>
      <c r="X103" s="313">
        <f>SUM(T103:W103)</f>
      </c>
      <c r="Y103" s="33">
        <v>284</v>
      </c>
      <c r="Z103" s="33">
        <v>258</v>
      </c>
      <c r="AA103" s="33">
        <v>238</v>
      </c>
      <c r="AB103" s="33">
        <v>310</v>
      </c>
      <c r="AC103" s="313">
        <f>SUM(Y103:AB103)</f>
      </c>
      <c r="AD103" s="33">
        <v>364</v>
      </c>
      <c r="AE103" s="33">
        <v>253</v>
      </c>
      <c r="AF103" s="33">
        <v>256</v>
      </c>
      <c r="AG103" s="33">
        <v>357</v>
      </c>
      <c r="AH103" s="313">
        <f>SUM(AD103:AG103)</f>
      </c>
      <c r="AI103" s="33">
        <v>421</v>
      </c>
      <c r="AJ103" s="33">
        <v>306</v>
      </c>
      <c r="AK103" s="33">
        <v>322</v>
      </c>
      <c r="AL103" s="33">
        <v>390</v>
      </c>
      <c r="AM103" s="313">
        <f>+SUM(AI103:AL103)</f>
      </c>
      <c r="AN103" s="33">
        <v>387</v>
      </c>
      <c r="AO103" s="33">
        <v>328</v>
      </c>
      <c r="AP103" s="33">
        <v>334</v>
      </c>
      <c r="AQ103" s="33">
        <v>423</v>
      </c>
      <c r="AR103" s="313">
        <f>+SUM(AN103:AQ103)</f>
      </c>
      <c r="AS103" s="33">
        <v>460</v>
      </c>
      <c r="AT103" s="33">
        <v>343</v>
      </c>
      <c r="AU103" s="33">
        <v>351</v>
      </c>
      <c r="AV103" s="33">
        <v>409</v>
      </c>
      <c r="AW103" s="313">
        <f>SUM(AS103:AV103)</f>
      </c>
      <c r="AX103" s="33">
        <v>474</v>
      </c>
      <c r="AY103" s="33">
        <v>330</v>
      </c>
      <c r="AZ103" s="33">
        <v>313</v>
      </c>
      <c r="BA103" s="33">
        <v>393</v>
      </c>
      <c r="BB103" s="313">
        <f>SUM(AX103:BA103)</f>
      </c>
      <c r="BC103" s="33">
        <v>408</v>
      </c>
      <c r="BD103" s="33">
        <v>343</v>
      </c>
      <c r="BE103" s="33">
        <v>294</v>
      </c>
      <c r="BF103" s="33">
        <v>433</v>
      </c>
      <c r="BG103" s="313">
        <f>SUM(BC103:BF103)</f>
      </c>
      <c r="BH103" s="33">
        <v>363</v>
      </c>
      <c r="BI103" s="33">
        <v>289</v>
      </c>
      <c r="BJ103" s="33">
        <v>274</v>
      </c>
      <c r="BK103" s="33">
        <v>386</v>
      </c>
      <c r="BL103" s="313">
        <f>SUM(BH103:BK103)</f>
      </c>
      <c r="BM103" s="33">
        <v>422</v>
      </c>
      <c r="BN103" s="33">
        <v>149</v>
      </c>
      <c r="BO103" s="33">
        <v>14</v>
      </c>
      <c r="BP103" s="33">
        <v>-6</v>
      </c>
      <c r="BQ103" s="313">
        <f>SUM(BM103:BP103)</f>
      </c>
      <c r="BR103" s="33">
        <v>18</v>
      </c>
      <c r="BS103" s="352">
        <v>7</v>
      </c>
      <c r="BT103" s="352">
        <v>10</v>
      </c>
      <c r="BU103" s="352">
        <v>0</v>
      </c>
      <c r="BV103" s="313">
        <f>SUM(BR103:BU103)</f>
      </c>
      <c r="BW103" s="880">
        <v>5</v>
      </c>
      <c r="BX103" s="880">
        <v>4</v>
      </c>
      <c r="BY103" s="761">
        <v>6</v>
      </c>
      <c r="BZ103" s="761">
        <v>0</v>
      </c>
      <c r="CA103" s="312">
        <f>SUM(BW103:BZ103)</f>
      </c>
      <c r="CB103" s="761">
        <v>0</v>
      </c>
      <c r="CC103" s="880">
        <v>2.4</v>
      </c>
      <c r="CD103" s="880">
        <v>3.6</v>
      </c>
      <c r="CE103" s="761">
        <v>0</v>
      </c>
      <c r="CF103" s="313">
        <f>SUM(CB103:CE103)</f>
      </c>
      <c r="CG103" s="761">
        <v>0</v>
      </c>
      <c r="CH103" s="880">
        <v>1.7</v>
      </c>
      <c r="CI103" s="880">
        <v>2.5</v>
      </c>
      <c r="CJ103" s="761">
        <v>0</v>
      </c>
      <c r="CK103" s="313">
        <f>SUM(CG103:CJ103)</f>
      </c>
      <c r="CL103" s="761">
        <v>0</v>
      </c>
      <c r="CM103" s="880">
        <v>2</v>
      </c>
      <c r="CN103" s="880">
        <v>1</v>
      </c>
      <c r="CO103" s="761">
        <v>1</v>
      </c>
      <c r="CP103" s="313">
        <f>SUM(CL103:CO103)</f>
      </c>
      <c r="CQ103" s="352"/>
      <c r="CR103" s="352"/>
      <c r="CS103" s="933"/>
      <c r="CT103" s="933"/>
      <c r="CU103" s="313"/>
      <c r="CV103" s="352"/>
      <c r="CW103" s="933"/>
      <c r="CX103" s="933"/>
      <c r="CY103" s="933"/>
      <c r="CZ103" s="313"/>
      <c r="DA103" s="352"/>
      <c r="DB103" s="31"/>
      <c r="DC103" s="31"/>
      <c r="DD103" s="955"/>
      <c r="DE103" s="477"/>
      <c r="DF103" s="1801"/>
      <c r="DG103" s="603"/>
      <c r="DH103" s="603"/>
      <c r="DI103" s="1798"/>
      <c r="DJ103" s="477"/>
      <c r="DK103" s="1799"/>
      <c r="DL103" s="603"/>
      <c r="DM103" s="603"/>
      <c r="DN103" s="1798"/>
      <c r="DO103" s="477"/>
      <c r="DP103" s="603"/>
      <c r="DQ103" s="603"/>
      <c r="DR103" s="603"/>
      <c r="DS103" s="1798"/>
      <c r="DT103" s="477"/>
      <c r="DU103" s="603"/>
      <c r="DV103" s="603"/>
      <c r="DW103" s="603"/>
      <c r="DX103" s="1798"/>
      <c r="DY103" s="477"/>
      <c r="DZ103" s="603"/>
      <c r="EA103" s="603"/>
      <c r="EB103" s="603"/>
      <c r="EC103" s="1798"/>
      <c r="ED103" s="477"/>
      <c r="EE103" s="603"/>
      <c r="EF103" s="603"/>
      <c r="EG103" s="603"/>
      <c r="EH103" s="1798"/>
      <c r="EI103" s="477"/>
      <c r="EJ103" s="477"/>
      <c r="EK103" s="477"/>
      <c r="EL103" s="477"/>
      <c r="EM103" s="477"/>
      <c r="EN103" s="477"/>
      <c r="EO103" s="477"/>
      <c r="EP103" s="477"/>
      <c r="EQ103" s="477"/>
      <c r="ER103" s="477"/>
      <c r="ES103" s="477"/>
      <c r="ET103" s="477"/>
      <c r="EU103" s="477"/>
      <c r="EV103" s="477"/>
      <c r="EW103" s="477"/>
      <c r="EX103" s="477"/>
    </row>
    <row r="104" spans="2:154" ht="12.75" hidden="1" customHeight="1" outlineLevel="2">
      <c r="B104" s="1171" t="s">
        <v>412</v>
      </c>
      <c r="C104" s="1989">
        <v>2006</v>
      </c>
      <c r="D104" s="31">
        <f>+I104/(1+I109)</f>
      </c>
      <c r="E104" s="33">
        <v>9</v>
      </c>
      <c r="F104" s="33">
        <v>8.0291970802919703</v>
      </c>
      <c r="G104" s="33">
        <v>9</v>
      </c>
      <c r="H104" s="33">
        <v>10</v>
      </c>
      <c r="I104" s="31">
        <f>+SUM(E104:H104)</f>
      </c>
      <c r="J104" s="33">
        <v>14</v>
      </c>
      <c r="K104" s="33">
        <v>11</v>
      </c>
      <c r="L104" s="33">
        <v>11</v>
      </c>
      <c r="M104" s="33">
        <v>12</v>
      </c>
      <c r="N104" s="31">
        <f>+SUM(J104:M104)</f>
      </c>
      <c r="O104" s="33">
        <v>16</v>
      </c>
      <c r="P104" s="33">
        <v>12</v>
      </c>
      <c r="Q104" s="33">
        <v>15</v>
      </c>
      <c r="R104" s="33">
        <v>16</v>
      </c>
      <c r="S104" s="31">
        <f>SUM(O104:R104)</f>
      </c>
      <c r="T104" s="33">
        <v>16</v>
      </c>
      <c r="U104" s="33">
        <v>15</v>
      </c>
      <c r="V104" s="33">
        <v>16</v>
      </c>
      <c r="W104" s="33">
        <v>14</v>
      </c>
      <c r="X104" s="313">
        <f>SUM(T104:W104)</f>
      </c>
      <c r="Y104" s="33">
        <v>14</v>
      </c>
      <c r="Z104" s="33">
        <v>15</v>
      </c>
      <c r="AA104" s="33">
        <v>15</v>
      </c>
      <c r="AB104" s="33">
        <v>16</v>
      </c>
      <c r="AC104" s="313">
        <f>SUM(Y104:AB104)</f>
      </c>
      <c r="AD104" s="33">
        <v>19</v>
      </c>
      <c r="AE104" s="33">
        <v>15.8</v>
      </c>
      <c r="AF104" s="33">
        <v>14</v>
      </c>
      <c r="AG104" s="33">
        <v>17</v>
      </c>
      <c r="AH104" s="313">
        <f>SUM(AD104:AG104)</f>
      </c>
      <c r="AI104" s="33">
        <v>19.2</v>
      </c>
      <c r="AJ104" s="33">
        <v>14</v>
      </c>
      <c r="AK104" s="33">
        <v>10</v>
      </c>
      <c r="AL104" s="33">
        <v>11</v>
      </c>
      <c r="AM104" s="313">
        <f>+SUM(AI104:AL104)</f>
      </c>
      <c r="AN104" s="33">
        <v>14</v>
      </c>
      <c r="AO104" s="33">
        <v>15</v>
      </c>
      <c r="AP104" s="33">
        <v>13</v>
      </c>
      <c r="AQ104" s="33">
        <v>16</v>
      </c>
      <c r="AR104" s="313">
        <f>+SUM(AN104:AQ104)</f>
      </c>
      <c r="AS104" s="33">
        <v>15</v>
      </c>
      <c r="AT104" s="33">
        <v>14</v>
      </c>
      <c r="AU104" s="33">
        <v>15</v>
      </c>
      <c r="AV104" s="33">
        <v>23</v>
      </c>
      <c r="AW104" s="313">
        <f>SUM(AS104:AV104)</f>
      </c>
      <c r="AX104" s="33">
        <v>22</v>
      </c>
      <c r="AY104" s="33">
        <v>21</v>
      </c>
      <c r="AZ104" s="33">
        <v>20</v>
      </c>
      <c r="BA104" s="33">
        <v>18</v>
      </c>
      <c r="BB104" s="313">
        <f>SUM(AX104:BA104)</f>
      </c>
      <c r="BC104" s="33">
        <v>17</v>
      </c>
      <c r="BD104" s="33">
        <v>19</v>
      </c>
      <c r="BE104" s="33">
        <v>17</v>
      </c>
      <c r="BF104" s="33">
        <v>19</v>
      </c>
      <c r="BG104" s="313">
        <f>SUM(BC104:BF104)</f>
      </c>
      <c r="BH104" s="33">
        <v>8</v>
      </c>
      <c r="BI104" s="33">
        <v>11</v>
      </c>
      <c r="BJ104" s="33">
        <v>12</v>
      </c>
      <c r="BK104" s="33">
        <v>14</v>
      </c>
      <c r="BL104" s="313">
        <f>SUM(BH104:BK104)</f>
      </c>
      <c r="BM104" s="33">
        <v>12</v>
      </c>
      <c r="BN104" s="33">
        <v>10</v>
      </c>
      <c r="BO104" s="33">
        <v>11</v>
      </c>
      <c r="BP104" s="33">
        <v>11</v>
      </c>
      <c r="BQ104" s="313">
        <f>SUM(BM104:BP104)</f>
      </c>
      <c r="BR104" s="33">
        <v>11</v>
      </c>
      <c r="BS104" s="352">
        <v>9</v>
      </c>
      <c r="BT104" s="352">
        <v>10</v>
      </c>
      <c r="BU104" s="352">
        <v>10</v>
      </c>
      <c r="BV104" s="313">
        <f>SUM(BR104:BU104)</f>
      </c>
      <c r="BW104" s="880">
        <v>8</v>
      </c>
      <c r="BX104" s="880">
        <v>6</v>
      </c>
      <c r="BY104" s="761">
        <v>7</v>
      </c>
      <c r="BZ104" s="761">
        <v>6.8</v>
      </c>
      <c r="CA104" s="312">
        <f>SUM(BW104:BZ104)</f>
      </c>
      <c r="CB104" s="761">
        <v>6</v>
      </c>
      <c r="CC104" s="880">
        <v>5</v>
      </c>
      <c r="CD104" s="880">
        <v>5.9</v>
      </c>
      <c r="CE104" s="761">
        <v>5</v>
      </c>
      <c r="CF104" s="313">
        <f>SUM(CB104:CE104)</f>
      </c>
      <c r="CG104" s="761">
        <v>4.68</v>
      </c>
      <c r="CH104" s="880">
        <v>3.8</v>
      </c>
      <c r="CI104" s="880">
        <v>4.4000000000000004</v>
      </c>
      <c r="CJ104" s="761">
        <v>3.8568538860103625</v>
      </c>
      <c r="CK104" s="313">
        <f>SUM(CG104:CJ104)</f>
      </c>
      <c r="CL104" s="761">
        <v>4.1792400000000001</v>
      </c>
      <c r="CM104" s="880">
        <v>3.4</v>
      </c>
      <c r="CN104" s="880">
        <v>3.9160000000000004</v>
      </c>
      <c r="CO104" s="761">
        <v>3</v>
      </c>
      <c r="CP104" s="313">
        <f>SUM(CL104:CO104)</f>
      </c>
      <c r="CQ104" s="352"/>
      <c r="CR104" s="352"/>
      <c r="CS104" s="933"/>
      <c r="CT104" s="933"/>
      <c r="CU104" s="313"/>
      <c r="CV104" s="352"/>
      <c r="CW104" s="933"/>
      <c r="CX104" s="933"/>
      <c r="CY104" s="933"/>
      <c r="CZ104" s="313"/>
      <c r="DA104" s="352"/>
      <c r="DB104" s="31"/>
      <c r="DC104" s="31"/>
      <c r="DD104" s="955"/>
      <c r="DE104" s="477"/>
      <c r="DF104" s="1801"/>
      <c r="DG104" s="603"/>
      <c r="DH104" s="603"/>
      <c r="DI104" s="1798"/>
      <c r="DJ104" s="477"/>
      <c r="DK104" s="1799"/>
      <c r="DL104" s="603"/>
      <c r="DM104" s="603"/>
      <c r="DN104" s="1798"/>
      <c r="DO104" s="477"/>
      <c r="DP104" s="603"/>
      <c r="DQ104" s="603"/>
      <c r="DR104" s="603"/>
      <c r="DS104" s="1798"/>
      <c r="DT104" s="477"/>
      <c r="DU104" s="603"/>
      <c r="DV104" s="603"/>
      <c r="DW104" s="603"/>
      <c r="DX104" s="1798"/>
      <c r="DY104" s="477"/>
      <c r="DZ104" s="603"/>
      <c r="EA104" s="603"/>
      <c r="EB104" s="603"/>
      <c r="EC104" s="1798"/>
      <c r="ED104" s="477"/>
      <c r="EE104" s="603"/>
      <c r="EF104" s="603"/>
      <c r="EG104" s="603"/>
      <c r="EH104" s="1798"/>
      <c r="EI104" s="477"/>
      <c r="EJ104" s="477"/>
      <c r="EK104" s="477"/>
      <c r="EL104" s="477"/>
      <c r="EM104" s="477"/>
      <c r="EN104" s="477"/>
      <c r="EO104" s="477"/>
      <c r="EP104" s="477"/>
      <c r="EQ104" s="477"/>
      <c r="ER104" s="477"/>
      <c r="ES104" s="477"/>
      <c r="ET104" s="477"/>
      <c r="EU104" s="477"/>
      <c r="EV104" s="477"/>
      <c r="EW104" s="477"/>
      <c r="EX104" s="477"/>
    </row>
    <row r="105" spans="2:154" ht="12.75" hidden="1" customHeight="1" outlineLevel="2">
      <c r="B105" s="1171" t="s">
        <v>413</v>
      </c>
      <c r="C105" s="1989"/>
      <c r="D105" s="28">
        <f t="shared" ref="D105:AI105" si="283">+D103+D104</f>
      </c>
      <c r="E105" s="28">
        <f t="shared" si="283"/>
      </c>
      <c r="F105" s="28">
        <f t="shared" si="283"/>
      </c>
      <c r="G105" s="28">
        <f t="shared" si="283"/>
      </c>
      <c r="H105" s="28">
        <f t="shared" si="283"/>
      </c>
      <c r="I105" s="31">
        <f t="shared" si="283"/>
      </c>
      <c r="J105" s="28">
        <f t="shared" si="283"/>
      </c>
      <c r="K105" s="28">
        <f t="shared" si="283"/>
      </c>
      <c r="L105" s="28">
        <f t="shared" si="283"/>
      </c>
      <c r="M105" s="28">
        <f t="shared" si="283"/>
      </c>
      <c r="N105" s="31">
        <f t="shared" si="283"/>
      </c>
      <c r="O105" s="31">
        <f t="shared" si="283"/>
      </c>
      <c r="P105" s="31">
        <f t="shared" si="283"/>
      </c>
      <c r="Q105" s="31">
        <f t="shared" si="283"/>
      </c>
      <c r="R105" s="31">
        <f t="shared" si="283"/>
      </c>
      <c r="S105" s="31">
        <f t="shared" si="283"/>
      </c>
      <c r="T105" s="31">
        <f t="shared" si="283"/>
      </c>
      <c r="U105" s="31">
        <f t="shared" si="283"/>
      </c>
      <c r="V105" s="31">
        <f t="shared" si="283"/>
      </c>
      <c r="W105" s="31">
        <f t="shared" si="283"/>
      </c>
      <c r="X105" s="313">
        <f t="shared" si="283"/>
      </c>
      <c r="Y105" s="31">
        <f t="shared" si="283"/>
      </c>
      <c r="Z105" s="31">
        <f t="shared" si="283"/>
      </c>
      <c r="AA105" s="31">
        <f t="shared" si="283"/>
      </c>
      <c r="AB105" s="31">
        <f t="shared" si="283"/>
      </c>
      <c r="AC105" s="313">
        <f t="shared" si="283"/>
      </c>
      <c r="AD105" s="31">
        <f t="shared" si="283"/>
      </c>
      <c r="AE105" s="31">
        <f t="shared" si="283"/>
      </c>
      <c r="AF105" s="31">
        <f t="shared" si="283"/>
      </c>
      <c r="AG105" s="31">
        <f t="shared" si="283"/>
      </c>
      <c r="AH105" s="313">
        <f t="shared" si="283"/>
      </c>
      <c r="AI105" s="28">
        <f t="shared" si="283"/>
      </c>
      <c r="AJ105" s="28">
        <f t="shared" ref="AJ105:BK105" si="284">+AJ103+AJ104</f>
      </c>
      <c r="AK105" s="28">
        <f t="shared" si="284"/>
      </c>
      <c r="AL105" s="31">
        <f t="shared" si="284"/>
      </c>
      <c r="AM105" s="313">
        <f t="shared" si="284"/>
      </c>
      <c r="AN105" s="28">
        <f t="shared" si="284"/>
      </c>
      <c r="AO105" s="28">
        <f t="shared" si="284"/>
      </c>
      <c r="AP105" s="28">
        <f t="shared" si="284"/>
      </c>
      <c r="AQ105" s="31">
        <f t="shared" si="284"/>
      </c>
      <c r="AR105" s="313">
        <f t="shared" si="284"/>
      </c>
      <c r="AS105" s="28">
        <f t="shared" si="284"/>
      </c>
      <c r="AT105" s="28">
        <f t="shared" si="284"/>
      </c>
      <c r="AU105" s="28">
        <f t="shared" si="284"/>
      </c>
      <c r="AV105" s="31">
        <f t="shared" si="284"/>
      </c>
      <c r="AW105" s="313">
        <f t="shared" si="284"/>
      </c>
      <c r="AX105" s="28">
        <f t="shared" si="284"/>
      </c>
      <c r="AY105" s="28">
        <f t="shared" si="284"/>
      </c>
      <c r="AZ105" s="28">
        <f t="shared" si="284"/>
      </c>
      <c r="BA105" s="28">
        <f t="shared" si="284"/>
      </c>
      <c r="BB105" s="313">
        <f t="shared" si="284"/>
      </c>
      <c r="BC105" s="28">
        <f t="shared" si="284"/>
      </c>
      <c r="BD105" s="28">
        <f t="shared" si="284"/>
      </c>
      <c r="BE105" s="28">
        <f t="shared" si="284"/>
      </c>
      <c r="BF105" s="28">
        <f t="shared" si="284"/>
      </c>
      <c r="BG105" s="313">
        <f t="shared" si="284"/>
      </c>
      <c r="BH105" s="28">
        <f t="shared" si="284"/>
      </c>
      <c r="BI105" s="28">
        <f t="shared" si="284"/>
      </c>
      <c r="BJ105" s="28">
        <f t="shared" si="284"/>
      </c>
      <c r="BK105" s="28">
        <f t="shared" si="284"/>
      </c>
      <c r="BL105" s="313">
        <f>SUM(BH105:BK105)</f>
      </c>
      <c r="BM105" s="28">
        <f>+BM103+BM104</f>
      </c>
      <c r="BN105" s="28">
        <f>+BN103+BN104</f>
      </c>
      <c r="BO105" s="28">
        <f>+BO103+BO104</f>
      </c>
      <c r="BP105" s="28">
        <f>+BP103+BP104</f>
      </c>
      <c r="BQ105" s="313">
        <f>SUM(BM105:BP105)</f>
      </c>
      <c r="BR105" s="28">
        <f>+BR103+BR104</f>
      </c>
      <c r="BS105" s="28">
        <f>+BS103+BS104</f>
      </c>
      <c r="BT105" s="28">
        <f>+BT103+BT104</f>
      </c>
      <c r="BU105" s="28">
        <f>+BU103+BU104</f>
      </c>
      <c r="BV105" s="313">
        <f>SUM(BR105:BU105)</f>
      </c>
      <c r="BW105" s="28">
        <f>+BW103+BW104</f>
      </c>
      <c r="BX105" s="28">
        <f>+BX103+BX104</f>
      </c>
      <c r="BY105" s="28">
        <f>+BY103+BY104</f>
      </c>
      <c r="BZ105" s="28">
        <f>+BZ103+BZ104</f>
      </c>
      <c r="CA105" s="312">
        <f>SUM(BW105:BZ105)</f>
      </c>
      <c r="CB105" s="28">
        <f>+CB103+CB104</f>
      </c>
      <c r="CC105" s="28">
        <f>+CC103+CC104</f>
      </c>
      <c r="CD105" s="28">
        <f>+CD103+CD104</f>
      </c>
      <c r="CE105" s="28">
        <f>+CE103+CE104</f>
      </c>
      <c r="CF105" s="313">
        <f>SUM(CB105:CE105)</f>
      </c>
      <c r="CG105" s="28">
        <f>+CG103+CG104</f>
      </c>
      <c r="CH105" s="28">
        <f>+CH103+CH104</f>
      </c>
      <c r="CI105" s="28">
        <f>+CI103+CI104</f>
      </c>
      <c r="CJ105" s="28">
        <f>+CJ103+CJ104</f>
      </c>
      <c r="CK105" s="313">
        <f>SUM(CG105:CJ105)</f>
      </c>
      <c r="CL105" s="961">
        <f>+CL103+CL104</f>
      </c>
      <c r="CM105" s="28">
        <f>+CM103+CM104</f>
      </c>
      <c r="CN105" s="28">
        <f>+CN103+CN104</f>
      </c>
      <c r="CO105" s="28">
        <f>+CO103+CO104</f>
      </c>
      <c r="CP105" s="313">
        <f>SUM(CL105:CO105)</f>
      </c>
      <c r="CQ105" s="933"/>
      <c r="CR105" s="933"/>
      <c r="CS105" s="933"/>
      <c r="CT105" s="933"/>
      <c r="CU105" s="313"/>
      <c r="CV105" s="933"/>
      <c r="CW105" s="933"/>
      <c r="CX105" s="933"/>
      <c r="CY105" s="933"/>
      <c r="CZ105" s="313"/>
      <c r="DA105" s="933"/>
      <c r="DB105" s="31"/>
      <c r="DC105" s="31"/>
      <c r="DD105" s="955"/>
      <c r="DE105" s="477"/>
      <c r="DF105" s="982"/>
      <c r="DG105" s="603"/>
      <c r="DH105" s="603"/>
      <c r="DI105" s="1798"/>
      <c r="DJ105" s="477"/>
      <c r="DK105" s="1799"/>
      <c r="DL105" s="603"/>
      <c r="DM105" s="603"/>
      <c r="DN105" s="1798"/>
      <c r="DO105" s="477"/>
      <c r="DP105" s="603"/>
      <c r="DQ105" s="603"/>
      <c r="DR105" s="603"/>
      <c r="DS105" s="1798"/>
      <c r="DT105" s="477"/>
      <c r="DU105" s="603"/>
      <c r="DV105" s="603"/>
      <c r="DW105" s="603"/>
      <c r="DX105" s="1798"/>
      <c r="DY105" s="477"/>
      <c r="DZ105" s="603"/>
      <c r="EA105" s="603"/>
      <c r="EB105" s="603"/>
      <c r="EC105" s="1798"/>
      <c r="ED105" s="477"/>
      <c r="EE105" s="603"/>
      <c r="EF105" s="603"/>
      <c r="EG105" s="603"/>
      <c r="EH105" s="1798"/>
      <c r="EI105" s="477"/>
      <c r="EJ105" s="477"/>
      <c r="EK105" s="477"/>
      <c r="EL105" s="477"/>
      <c r="EM105" s="477"/>
      <c r="EN105" s="477"/>
      <c r="EO105" s="477"/>
      <c r="EP105" s="477"/>
      <c r="EQ105" s="477"/>
      <c r="ER105" s="477"/>
      <c r="ES105" s="477"/>
      <c r="ET105" s="477"/>
      <c r="EU105" s="477"/>
      <c r="EV105" s="477"/>
      <c r="EW105" s="477"/>
      <c r="EX105" s="477"/>
    </row>
    <row r="106" spans="2:154" ht="12.75" hidden="1" customHeight="1" outlineLevel="2">
      <c r="B106" s="1171"/>
      <c r="C106" s="1989"/>
      <c r="D106" s="28"/>
      <c r="E106" s="28"/>
      <c r="F106" s="28"/>
      <c r="G106" s="28"/>
      <c r="H106" s="28"/>
      <c r="I106" s="31"/>
      <c r="J106" s="28"/>
      <c r="K106" s="28"/>
      <c r="L106" s="28"/>
      <c r="M106" s="28"/>
      <c r="N106" s="31"/>
      <c r="O106" s="31"/>
      <c r="P106" s="31"/>
      <c r="Q106" s="31"/>
      <c r="R106" s="31"/>
      <c r="S106" s="31"/>
      <c r="T106" s="31"/>
      <c r="U106" s="31"/>
      <c r="V106" s="31"/>
      <c r="W106" s="31"/>
      <c r="X106" s="313"/>
      <c r="Y106" s="31"/>
      <c r="Z106" s="31"/>
      <c r="AA106" s="31"/>
      <c r="AB106" s="31"/>
      <c r="AC106" s="313"/>
      <c r="AD106" s="31"/>
      <c r="AE106" s="31"/>
      <c r="AF106" s="31"/>
      <c r="AG106" s="31"/>
      <c r="AH106" s="313"/>
      <c r="AI106" s="28"/>
      <c r="AJ106" s="28"/>
      <c r="AK106" s="28"/>
      <c r="AL106" s="31"/>
      <c r="AM106" s="313"/>
      <c r="AN106" s="28"/>
      <c r="AO106" s="28"/>
      <c r="AP106" s="28"/>
      <c r="AQ106" s="31"/>
      <c r="AR106" s="313"/>
      <c r="AS106" s="28"/>
      <c r="AT106" s="28"/>
      <c r="AU106" s="28"/>
      <c r="AV106" s="31"/>
      <c r="AW106" s="313"/>
      <c r="AX106" s="28"/>
      <c r="AY106" s="28"/>
      <c r="AZ106" s="28"/>
      <c r="BA106" s="28"/>
      <c r="BB106" s="313"/>
      <c r="BC106" s="28"/>
      <c r="BD106" s="28"/>
      <c r="BE106" s="28"/>
      <c r="BF106" s="28"/>
      <c r="BG106" s="313"/>
      <c r="BH106" s="28"/>
      <c r="BI106" s="28"/>
      <c r="BJ106" s="28"/>
      <c r="BK106" s="28"/>
      <c r="BL106" s="313"/>
      <c r="BM106" s="28"/>
      <c r="BN106" s="28"/>
      <c r="BO106" s="28"/>
      <c r="BP106" s="28"/>
      <c r="BQ106" s="313"/>
      <c r="BR106" s="28"/>
      <c r="BS106" s="28"/>
      <c r="BT106" s="28"/>
      <c r="BU106" s="28"/>
      <c r="BV106" s="313"/>
      <c r="BW106" s="28"/>
      <c r="BX106" s="28"/>
      <c r="BY106" s="28"/>
      <c r="BZ106" s="28"/>
      <c r="CA106" s="313"/>
      <c r="CB106" s="28"/>
      <c r="CC106" s="28"/>
      <c r="CD106" s="28"/>
      <c r="CE106" s="28"/>
      <c r="CF106" s="313"/>
      <c r="CG106" s="28"/>
      <c r="CH106" s="28"/>
      <c r="CI106" s="28"/>
      <c r="CJ106" s="28"/>
      <c r="CK106" s="313"/>
      <c r="CL106" s="961"/>
      <c r="CM106" s="28"/>
      <c r="CN106" s="28"/>
      <c r="CO106" s="28"/>
      <c r="CP106" s="313"/>
      <c r="CQ106" s="933"/>
      <c r="CR106" s="933"/>
      <c r="CS106" s="933"/>
      <c r="CT106" s="933"/>
      <c r="CU106" s="313"/>
      <c r="CV106" s="933"/>
      <c r="CW106" s="933"/>
      <c r="CX106" s="933"/>
      <c r="CY106" s="933"/>
      <c r="CZ106" s="313"/>
      <c r="DA106" s="933"/>
      <c r="DB106" s="27"/>
      <c r="DC106" s="27"/>
      <c r="DD106" s="964"/>
      <c r="DE106" s="477"/>
      <c r="DF106" s="982"/>
      <c r="DG106" s="1767"/>
      <c r="DH106" s="1767"/>
      <c r="DI106" s="1784"/>
      <c r="DJ106" s="477"/>
      <c r="DK106" s="1799"/>
      <c r="DL106" s="1767"/>
      <c r="DM106" s="1767"/>
      <c r="DN106" s="1798"/>
      <c r="DO106" s="477"/>
      <c r="DP106" s="1767"/>
      <c r="DQ106" s="1767"/>
      <c r="DR106" s="1767"/>
      <c r="DS106" s="1798"/>
      <c r="DT106" s="477"/>
      <c r="DU106" s="1767"/>
      <c r="DV106" s="1767"/>
      <c r="DW106" s="1767"/>
      <c r="DX106" s="1798"/>
      <c r="DY106" s="477"/>
      <c r="DZ106" s="1767"/>
      <c r="EA106" s="1767"/>
      <c r="EB106" s="1767"/>
      <c r="EC106" s="1798"/>
      <c r="ED106" s="477"/>
      <c r="EE106" s="1767"/>
      <c r="EF106" s="1767"/>
      <c r="EG106" s="1767"/>
      <c r="EH106" s="1798"/>
      <c r="EI106" s="477"/>
      <c r="EJ106" s="477"/>
      <c r="EK106" s="477"/>
      <c r="EL106" s="477"/>
      <c r="EM106" s="477"/>
      <c r="EN106" s="477"/>
      <c r="EO106" s="477"/>
      <c r="EP106" s="477"/>
      <c r="EQ106" s="477"/>
      <c r="ER106" s="477"/>
      <c r="ES106" s="477"/>
      <c r="ET106" s="477"/>
      <c r="EU106" s="477"/>
      <c r="EV106" s="477"/>
      <c r="EW106" s="477"/>
      <c r="EX106" s="477"/>
    </row>
    <row r="107" spans="2:154" ht="12.75" hidden="1" customHeight="1" outlineLevel="2">
      <c r="B107" s="1172" t="s">
        <v>261</v>
      </c>
      <c r="C107" s="1989"/>
      <c r="D107" s="28"/>
      <c r="E107" s="28"/>
      <c r="F107" s="28"/>
      <c r="G107" s="28"/>
      <c r="H107" s="28"/>
      <c r="I107" s="31"/>
      <c r="J107" s="28"/>
      <c r="K107" s="28"/>
      <c r="L107" s="28"/>
      <c r="M107" s="28"/>
      <c r="N107" s="31"/>
      <c r="O107" s="31"/>
      <c r="P107" s="31"/>
      <c r="Q107" s="31"/>
      <c r="R107" s="31"/>
      <c r="S107" s="31"/>
      <c r="T107" s="31"/>
      <c r="U107" s="31"/>
      <c r="V107" s="31"/>
      <c r="W107" s="31"/>
      <c r="X107" s="313"/>
      <c r="Y107" s="31"/>
      <c r="Z107" s="31"/>
      <c r="AA107" s="31"/>
      <c r="AB107" s="31"/>
      <c r="AC107" s="313"/>
      <c r="AD107" s="31"/>
      <c r="AE107" s="31"/>
      <c r="AF107" s="31"/>
      <c r="AG107" s="31"/>
      <c r="AH107" s="313"/>
      <c r="AI107" s="28"/>
      <c r="AJ107" s="28"/>
      <c r="AK107" s="28"/>
      <c r="AL107" s="31"/>
      <c r="AM107" s="313"/>
      <c r="AN107" s="28"/>
      <c r="AO107" s="28"/>
      <c r="AP107" s="28"/>
      <c r="AQ107" s="31"/>
      <c r="AR107" s="313"/>
      <c r="AS107" s="28"/>
      <c r="AT107" s="28"/>
      <c r="AU107" s="28"/>
      <c r="AV107" s="31"/>
      <c r="AW107" s="313"/>
      <c r="AX107" s="28"/>
      <c r="AY107" s="28"/>
      <c r="AZ107" s="28"/>
      <c r="BA107" s="28"/>
      <c r="BB107" s="313"/>
      <c r="BC107" s="28"/>
      <c r="BD107" s="28"/>
      <c r="BE107" s="28"/>
      <c r="BF107" s="28"/>
      <c r="BG107" s="313"/>
      <c r="BH107" s="28"/>
      <c r="BI107" s="29"/>
      <c r="BJ107" s="29"/>
      <c r="BK107" s="29"/>
      <c r="BL107" s="313"/>
      <c r="BM107" s="29"/>
      <c r="BN107" s="29"/>
      <c r="BO107" s="29"/>
      <c r="BP107" s="28"/>
      <c r="BQ107" s="313"/>
      <c r="BR107" s="29"/>
      <c r="BS107" s="29"/>
      <c r="BT107" s="29"/>
      <c r="BU107" s="28"/>
      <c r="BV107" s="313"/>
      <c r="BW107" s="29"/>
      <c r="BX107" s="29"/>
      <c r="BY107" s="29"/>
      <c r="BZ107" s="29"/>
      <c r="CA107" s="313"/>
      <c r="CB107" s="29"/>
      <c r="CC107" s="29"/>
      <c r="CD107" s="29"/>
      <c r="CE107" s="29"/>
      <c r="CF107" s="313"/>
      <c r="CG107" s="29"/>
      <c r="CH107" s="29"/>
      <c r="CI107" s="29"/>
      <c r="CJ107" s="29"/>
      <c r="CK107" s="313"/>
      <c r="CL107" s="400"/>
      <c r="CM107" s="29"/>
      <c r="CN107" s="29"/>
      <c r="CO107" s="29"/>
      <c r="CP107" s="313"/>
      <c r="CQ107" s="29"/>
      <c r="CR107" s="29"/>
      <c r="CS107" s="29"/>
      <c r="CT107" s="29"/>
      <c r="CU107" s="313"/>
      <c r="CV107" s="29"/>
      <c r="CW107" s="29"/>
      <c r="CX107" s="29"/>
      <c r="CY107" s="29"/>
      <c r="CZ107" s="313"/>
      <c r="DA107" s="29"/>
      <c r="DB107" s="27"/>
      <c r="DC107" s="27"/>
      <c r="DD107" s="964"/>
      <c r="DE107" s="477"/>
      <c r="DF107" s="29"/>
      <c r="DG107" s="1767"/>
      <c r="DH107" s="1767"/>
      <c r="DI107" s="1784"/>
      <c r="DJ107" s="477"/>
      <c r="DK107" s="1799"/>
      <c r="DL107" s="1767"/>
      <c r="DM107" s="1767"/>
      <c r="DN107" s="1798"/>
      <c r="DO107" s="477"/>
      <c r="DP107" s="1767"/>
      <c r="DQ107" s="1767"/>
      <c r="DR107" s="1767"/>
      <c r="DS107" s="1798"/>
      <c r="DT107" s="477"/>
      <c r="DU107" s="1767"/>
      <c r="DV107" s="1767"/>
      <c r="DW107" s="1767"/>
      <c r="DX107" s="1798"/>
      <c r="DY107" s="477"/>
      <c r="DZ107" s="1767"/>
      <c r="EA107" s="1767"/>
      <c r="EB107" s="1767"/>
      <c r="EC107" s="1798"/>
      <c r="ED107" s="477"/>
      <c r="EE107" s="1767"/>
      <c r="EF107" s="1767"/>
      <c r="EG107" s="1767"/>
      <c r="EH107" s="1798"/>
      <c r="EI107" s="477"/>
      <c r="EJ107" s="477"/>
      <c r="EK107" s="477"/>
      <c r="EL107" s="477"/>
      <c r="EM107" s="477"/>
      <c r="EN107" s="477"/>
      <c r="EO107" s="477"/>
      <c r="EP107" s="477"/>
      <c r="EQ107" s="477"/>
      <c r="ER107" s="477"/>
      <c r="ES107" s="477"/>
      <c r="ET107" s="477"/>
      <c r="EU107" s="477"/>
      <c r="EV107" s="477"/>
      <c r="EW107" s="477"/>
      <c r="EX107" s="477"/>
    </row>
    <row r="108" spans="2:154" ht="12.75" hidden="1" customHeight="1" outlineLevel="2">
      <c r="B108" s="912" t="s">
        <v>187</v>
      </c>
      <c r="C108" s="1989"/>
      <c r="D108" s="28"/>
      <c r="E108" s="28"/>
      <c r="F108" s="28"/>
      <c r="G108" s="28"/>
      <c r="H108" s="28"/>
      <c r="I108" s="29">
        <v>0.64</v>
      </c>
      <c r="J108" s="30">
        <f t="shared" ref="J108:S109" si="285">IF(E103="NM","NM",IF(J103="NM","NM",IF(E103&lt;=0,"NM",IF(J103=0,"NM",IF(ABS(J103/E103-1)&gt;2.5,"NM",IF((ABS(J103-E103)=ABS(ABS(J103)-ABS(E103))),(J103/E103-1),"NM"))))))</f>
      </c>
      <c r="K108" s="30">
        <f t="shared" si="285"/>
      </c>
      <c r="L108" s="30">
        <f t="shared" si="285"/>
      </c>
      <c r="M108" s="30">
        <f t="shared" si="285"/>
      </c>
      <c r="N108" s="30">
        <f t="shared" si="285"/>
      </c>
      <c r="O108" s="30">
        <f t="shared" si="285"/>
      </c>
      <c r="P108" s="30">
        <f t="shared" si="285"/>
      </c>
      <c r="Q108" s="30">
        <f t="shared" si="285"/>
      </c>
      <c r="R108" s="30">
        <f t="shared" si="285"/>
      </c>
      <c r="S108" s="30">
        <f t="shared" si="285"/>
      </c>
      <c r="T108" s="30">
        <f t="shared" ref="T108:AC109" si="286">IF(O103="NM","NM",IF(T103="NM","NM",IF(O103&lt;=0,"NM",IF(T103=0,"NM",IF(ABS(T103/O103-1)&gt;2.5,"NM",IF((ABS(T103-O103)=ABS(ABS(T103)-ABS(O103))),(T103/O103-1),"NM"))))))</f>
      </c>
      <c r="U108" s="30">
        <f t="shared" si="286"/>
      </c>
      <c r="V108" s="30">
        <f t="shared" si="286"/>
      </c>
      <c r="W108" s="30">
        <f t="shared" si="286"/>
      </c>
      <c r="X108" s="315">
        <f t="shared" si="286"/>
      </c>
      <c r="Y108" s="30">
        <f t="shared" si="286"/>
      </c>
      <c r="Z108" s="30">
        <f t="shared" si="286"/>
      </c>
      <c r="AA108" s="30">
        <f t="shared" si="286"/>
      </c>
      <c r="AB108" s="30">
        <f t="shared" si="286"/>
      </c>
      <c r="AC108" s="315">
        <f t="shared" si="286"/>
      </c>
      <c r="AD108" s="30">
        <f t="shared" ref="AD108:AM109" si="287">IF(Y103="NM","NM",IF(AD103="NM","NM",IF(Y103&lt;=0,"NM",IF(AD103=0,"NM",IF(ABS(AD103/Y103-1)&gt;2.5,"NM",IF((ABS(AD103-Y103)=ABS(ABS(AD103)-ABS(Y103))),(AD103/Y103-1),"NM"))))))</f>
      </c>
      <c r="AE108" s="30">
        <f t="shared" si="287"/>
      </c>
      <c r="AF108" s="30">
        <f t="shared" si="287"/>
      </c>
      <c r="AG108" s="30">
        <f t="shared" si="287"/>
      </c>
      <c r="AH108" s="315">
        <f t="shared" si="287"/>
      </c>
      <c r="AI108" s="30">
        <f t="shared" si="287"/>
      </c>
      <c r="AJ108" s="30">
        <f t="shared" si="287"/>
      </c>
      <c r="AK108" s="30">
        <f t="shared" si="287"/>
      </c>
      <c r="AL108" s="30">
        <f t="shared" si="287"/>
      </c>
      <c r="AM108" s="315">
        <f t="shared" si="287"/>
      </c>
      <c r="AN108" s="30">
        <f t="shared" ref="AN108:AW109" si="288">IF(AI103="NM","NM",IF(AN103="NM","NM",IF(AI103&lt;=0,"NM",IF(AN103=0,"NM",IF(ABS(AN103/AI103-1)&gt;2.5,"NM",IF((ABS(AN103-AI103)=ABS(ABS(AN103)-ABS(AI103))),(AN103/AI103-1),"NM"))))))</f>
      </c>
      <c r="AO108" s="30">
        <f t="shared" si="288"/>
      </c>
      <c r="AP108" s="30">
        <f t="shared" si="288"/>
      </c>
      <c r="AQ108" s="30">
        <f t="shared" si="288"/>
      </c>
      <c r="AR108" s="315">
        <f t="shared" si="288"/>
      </c>
      <c r="AS108" s="30">
        <f t="shared" si="288"/>
      </c>
      <c r="AT108" s="30">
        <f t="shared" si="288"/>
      </c>
      <c r="AU108" s="30">
        <f t="shared" si="288"/>
      </c>
      <c r="AV108" s="30">
        <f t="shared" si="288"/>
      </c>
      <c r="AW108" s="315">
        <f t="shared" si="288"/>
      </c>
      <c r="AX108" s="30">
        <f t="shared" ref="AX108:BG109" si="289">IF(AS103="NM","NM",IF(AX103="NM","NM",IF(AS103&lt;=0,"NM",IF(AX103=0,"NM",IF(ABS(AX103/AS103-1)&gt;2.5,"NM",IF((ABS(AX103-AS103)=ABS(ABS(AX103)-ABS(AS103))),(AX103/AS103-1),"NM"))))))</f>
      </c>
      <c r="AY108" s="30">
        <f t="shared" si="289"/>
      </c>
      <c r="AZ108" s="30">
        <f t="shared" si="289"/>
      </c>
      <c r="BA108" s="30">
        <f t="shared" si="289"/>
      </c>
      <c r="BB108" s="315">
        <f t="shared" si="289"/>
      </c>
      <c r="BC108" s="30">
        <f t="shared" si="289"/>
      </c>
      <c r="BD108" s="30">
        <f t="shared" si="289"/>
      </c>
      <c r="BE108" s="30">
        <f t="shared" si="289"/>
      </c>
      <c r="BF108" s="30">
        <f t="shared" si="289"/>
      </c>
      <c r="BG108" s="308">
        <f t="shared" si="289"/>
      </c>
      <c r="BH108" s="30">
        <f t="shared" ref="BH108:BQ109" si="290">IF(BC103="NM","NM",IF(BH103="NM","NM",IF(BC103&lt;=0,"NM",IF(BH103=0,"NM",IF(ABS(BH103/BC103-1)&gt;2.5,"NM",IF((ABS(BH103-BC103)=ABS(ABS(BH103)-ABS(BC103))),(BH103/BC103-1),"NM"))))))</f>
      </c>
      <c r="BI108" s="30">
        <f t="shared" si="290"/>
      </c>
      <c r="BJ108" s="30">
        <f t="shared" si="290"/>
      </c>
      <c r="BK108" s="30">
        <f t="shared" si="290"/>
      </c>
      <c r="BL108" s="315">
        <f t="shared" si="290"/>
      </c>
      <c r="BM108" s="30">
        <f t="shared" si="290"/>
      </c>
      <c r="BN108" s="30">
        <f t="shared" si="290"/>
      </c>
      <c r="BO108" s="30">
        <f t="shared" si="290"/>
      </c>
      <c r="BP108" s="30" t="str">
        <f t="shared" si="290"/>
      </c>
      <c r="BQ108" s="315">
        <f t="shared" si="290"/>
      </c>
      <c r="BR108" s="30">
        <f>IF(BM103="NM","NM",IF(BR103="NM","NM",IF(BM103&lt;=0,"NM",IF(BR103=0,"NM",IF(ABS(BR103/BM103-1)&gt;2.5,"NM",IF((ABS(BR103-BM103)=ABS(ABS(BR103)-ABS(BM103))),(BR103/BM103-1),"NM"))))))</f>
      </c>
      <c r="BS108" s="30">
        <f t="shared" ref="BS108:CI109" si="291">IF(BN103="NM","NM",IF(BS103="NM","NM",IF(BN103&lt;=0,"NM",IF(BS103=0,"NM",IF(ABS(BS103/BN103-1)&gt;2.5,"NM",IF((ABS(BS103-BN103)=ABS(ABS(BS103)-ABS(BN103))),(BS103/BN103-1),"NM"))))))</f>
      </c>
      <c r="BT108" s="30">
        <f t="shared" si="291"/>
      </c>
      <c r="BU108" s="30" t="str">
        <f>IF(BP103="NM","NM",IF(BU103="NM","NM",IF(BP103&lt;=0,"NM",IF(BU103=0,"NM",IF(ABS(BU103/BP103-1)&gt;2.5,"NM",IF((ABS(BU103-BP103)=ABS(ABS(BU103)-ABS(BP103))),(BU103/BP103-1),"NM"))))))</f>
      </c>
      <c r="BV108" s="315">
        <f>IF(BQ103="NM","NM",IF(BV103="NM","NM",IF(BQ103&lt;=0,"NM",IF(BV103=0,"NM",IF(ABS(BV103/BQ103-1)&gt;2.5,"NM",IF((ABS(BV103-BQ103)=ABS(ABS(BV103)-ABS(BQ103))),(BV103/BQ103-1),"NM"))))))</f>
      </c>
      <c r="BW108" s="30">
        <f t="shared" si="291"/>
      </c>
      <c r="BX108" s="30">
        <f t="shared" si="291"/>
      </c>
      <c r="BY108" s="30">
        <f t="shared" si="291"/>
      </c>
      <c r="BZ108" s="30" t="str">
        <f>IF(BU103="NM","NM",IF(BZ103="NM","NM",IF(BU103&lt;=0,"NM",IF(BZ103=0,"NM",IF(ABS(BZ103/BU103-1)&gt;2.5,"NM",IF((ABS(BZ103-BU103)=ABS(ABS(BZ103)-ABS(BU103))),(BZ103/BU103-1),"NM"))))))</f>
      </c>
      <c r="CA108" s="315">
        <f>IF(BV103="NM","NM",IF(CA103="NM","NM",IF(BV103&lt;=0,"NM",IF(CA103=0,"NM",IF(ABS(CA103/BV103-1)&gt;2.5,"NM",IF((ABS(CA103-BV103)=ABS(ABS(CA103)-ABS(BV103))),(CA103/BV103-1),"NM"))))))</f>
      </c>
      <c r="CB108" s="30" t="str">
        <f t="shared" si="291"/>
      </c>
      <c r="CC108" s="30">
        <f t="shared" si="291"/>
      </c>
      <c r="CD108" s="30">
        <f t="shared" si="291"/>
      </c>
      <c r="CE108" s="30" t="str">
        <f t="shared" ref="CE108:CO109" si="292">IF(BZ103="NM","NM",IF(CE103="NM","NM",IF(BZ103&lt;=0,"NM",IF(CE103=0,"NM",IF(ABS(CE103/BZ103-1)&gt;2.5,"NM",IF((ABS(CE103-BZ103)=ABS(ABS(CE103)-ABS(BZ103))),(CE103/BZ103-1),"NM"))))))</f>
      </c>
      <c r="CF108" s="315">
        <f>IF(CA103="NM","NM",IF(CF103="NM","NM",IF(CA103&lt;=0,"NM",IF(CF103=0,"NM",IF(ABS(CF103/CA103-1)&gt;2.5,"NM",IF((ABS(CF103-CA103)=ABS(ABS(CF103)-ABS(CA103))),(CF103/CA103-1),"NM"))))))</f>
      </c>
      <c r="CG108" s="30" t="str">
        <f t="shared" si="292"/>
      </c>
      <c r="CH108" s="30">
        <f t="shared" si="292"/>
      </c>
      <c r="CI108" s="926">
        <f t="shared" si="292"/>
      </c>
      <c r="CJ108" s="1065" t="str">
        <f t="shared" si="292"/>
      </c>
      <c r="CK108" s="315">
        <f>IF(CF103=0, "NA", CK103/CF103-1)</f>
      </c>
      <c r="CL108" s="30" t="str">
        <f t="shared" si="292"/>
      </c>
      <c r="CM108" s="30">
        <f t="shared" si="292"/>
      </c>
      <c r="CN108" s="926">
        <f t="shared" si="292"/>
      </c>
      <c r="CO108" s="41" t="str">
        <f t="shared" si="292"/>
      </c>
      <c r="CP108" s="315">
        <f>IF(CK103=0, "NA", CP103/CK103-1)</f>
      </c>
      <c r="CQ108" s="41"/>
      <c r="CR108" s="41"/>
      <c r="CS108" s="361"/>
      <c r="CT108" s="361"/>
      <c r="CU108" s="315"/>
      <c r="CV108" s="41"/>
      <c r="CW108" s="361"/>
      <c r="CX108" s="361"/>
      <c r="CY108" s="361"/>
      <c r="CZ108" s="315"/>
      <c r="DA108" s="41"/>
      <c r="DB108" s="361"/>
      <c r="DC108" s="361"/>
      <c r="DD108" s="835"/>
      <c r="DE108" s="316"/>
      <c r="DF108" s="41"/>
      <c r="DG108" s="361"/>
      <c r="DH108" s="361"/>
      <c r="DI108" s="835"/>
      <c r="DJ108" s="835"/>
      <c r="DK108" s="361"/>
      <c r="DL108" s="361"/>
      <c r="DM108" s="361"/>
      <c r="DN108" s="835"/>
      <c r="DO108" s="1802"/>
      <c r="DP108" s="361"/>
      <c r="DQ108" s="361"/>
      <c r="DR108" s="361"/>
      <c r="DS108" s="835"/>
      <c r="DT108" s="1802"/>
      <c r="DU108" s="361"/>
      <c r="DV108" s="361"/>
      <c r="DW108" s="361"/>
      <c r="DX108" s="835"/>
      <c r="DY108" s="1802"/>
      <c r="DZ108" s="361"/>
      <c r="EA108" s="361"/>
      <c r="EB108" s="361"/>
      <c r="EC108" s="835"/>
      <c r="ED108" s="1802"/>
      <c r="EE108" s="361"/>
      <c r="EF108" s="361"/>
      <c r="EG108" s="361"/>
      <c r="EH108" s="835"/>
      <c r="EI108" s="1802"/>
      <c r="EJ108" s="1802"/>
      <c r="EK108" s="1802"/>
      <c r="EL108" s="1802"/>
      <c r="EM108" s="1802"/>
      <c r="EN108" s="1802"/>
      <c r="EO108" s="1802"/>
      <c r="EP108" s="1802"/>
      <c r="EQ108" s="1802"/>
      <c r="ER108" s="1802"/>
      <c r="ES108" s="1802"/>
      <c r="ET108" s="1802"/>
      <c r="EU108" s="1802"/>
      <c r="EV108" s="1802"/>
      <c r="EW108" s="1802"/>
      <c r="EX108" s="1802"/>
    </row>
    <row r="109" spans="2:154" ht="12.75" hidden="1" customHeight="1" outlineLevel="2">
      <c r="B109" s="912" t="s">
        <v>412</v>
      </c>
      <c r="C109" s="1989"/>
      <c r="D109" s="28"/>
      <c r="E109" s="28"/>
      <c r="F109" s="28"/>
      <c r="G109" s="28"/>
      <c r="H109" s="28"/>
      <c r="I109" s="29">
        <v>0.28000000000000003</v>
      </c>
      <c r="J109" s="30">
        <f t="shared" si="285"/>
      </c>
      <c r="K109" s="30">
        <f t="shared" si="285"/>
      </c>
      <c r="L109" s="30">
        <f t="shared" si="285"/>
      </c>
      <c r="M109" s="30">
        <f t="shared" si="285"/>
      </c>
      <c r="N109" s="30">
        <f t="shared" si="285"/>
      </c>
      <c r="O109" s="30">
        <f t="shared" si="285"/>
      </c>
      <c r="P109" s="30">
        <f t="shared" si="285"/>
      </c>
      <c r="Q109" s="30">
        <f t="shared" si="285"/>
      </c>
      <c r="R109" s="30">
        <f t="shared" si="285"/>
      </c>
      <c r="S109" s="30">
        <f t="shared" si="285"/>
      </c>
      <c r="T109" s="30">
        <f t="shared" si="286"/>
      </c>
      <c r="U109" s="30">
        <f t="shared" si="286"/>
      </c>
      <c r="V109" s="30">
        <f t="shared" si="286"/>
      </c>
      <c r="W109" s="30">
        <f t="shared" si="286"/>
      </c>
      <c r="X109" s="315">
        <f t="shared" si="286"/>
      </c>
      <c r="Y109" s="30">
        <f t="shared" si="286"/>
      </c>
      <c r="Z109" s="30">
        <f t="shared" si="286"/>
      </c>
      <c r="AA109" s="30">
        <f t="shared" si="286"/>
      </c>
      <c r="AB109" s="30">
        <f t="shared" si="286"/>
      </c>
      <c r="AC109" s="315">
        <f t="shared" si="286"/>
      </c>
      <c r="AD109" s="30">
        <f t="shared" si="287"/>
      </c>
      <c r="AE109" s="30">
        <f t="shared" si="287"/>
      </c>
      <c r="AF109" s="30">
        <f t="shared" si="287"/>
      </c>
      <c r="AG109" s="30">
        <f t="shared" si="287"/>
      </c>
      <c r="AH109" s="315">
        <f t="shared" si="287"/>
      </c>
      <c r="AI109" s="30">
        <f t="shared" si="287"/>
      </c>
      <c r="AJ109" s="30">
        <f t="shared" si="287"/>
      </c>
      <c r="AK109" s="30">
        <f t="shared" si="287"/>
      </c>
      <c r="AL109" s="30">
        <f t="shared" si="287"/>
      </c>
      <c r="AM109" s="315">
        <f t="shared" si="287"/>
      </c>
      <c r="AN109" s="30">
        <f t="shared" si="288"/>
      </c>
      <c r="AO109" s="30">
        <f t="shared" si="288"/>
      </c>
      <c r="AP109" s="30">
        <f t="shared" si="288"/>
      </c>
      <c r="AQ109" s="30">
        <f t="shared" si="288"/>
      </c>
      <c r="AR109" s="315">
        <f t="shared" si="288"/>
      </c>
      <c r="AS109" s="30">
        <f t="shared" si="288"/>
      </c>
      <c r="AT109" s="30">
        <f t="shared" si="288"/>
      </c>
      <c r="AU109" s="30">
        <f t="shared" si="288"/>
      </c>
      <c r="AV109" s="30">
        <f t="shared" si="288"/>
      </c>
      <c r="AW109" s="315">
        <f t="shared" si="288"/>
      </c>
      <c r="AX109" s="30">
        <f t="shared" si="289"/>
      </c>
      <c r="AY109" s="30">
        <f t="shared" si="289"/>
      </c>
      <c r="AZ109" s="30">
        <f t="shared" si="289"/>
      </c>
      <c r="BA109" s="30">
        <f t="shared" si="289"/>
      </c>
      <c r="BB109" s="315">
        <f t="shared" si="289"/>
      </c>
      <c r="BC109" s="30">
        <f t="shared" si="289"/>
      </c>
      <c r="BD109" s="30">
        <f t="shared" si="289"/>
      </c>
      <c r="BE109" s="30">
        <f t="shared" si="289"/>
      </c>
      <c r="BF109" s="30">
        <f t="shared" si="289"/>
      </c>
      <c r="BG109" s="308">
        <f t="shared" si="289"/>
      </c>
      <c r="BH109" s="30">
        <f t="shared" si="290"/>
      </c>
      <c r="BI109" s="30">
        <f t="shared" si="290"/>
      </c>
      <c r="BJ109" s="30">
        <f t="shared" si="290"/>
      </c>
      <c r="BK109" s="30">
        <f t="shared" si="290"/>
      </c>
      <c r="BL109" s="315">
        <f t="shared" si="290"/>
      </c>
      <c r="BM109" s="30">
        <f t="shared" si="290"/>
      </c>
      <c r="BN109" s="30">
        <f t="shared" si="290"/>
      </c>
      <c r="BO109" s="30">
        <f t="shared" si="290"/>
      </c>
      <c r="BP109" s="30">
        <f t="shared" si="290"/>
      </c>
      <c r="BQ109" s="315">
        <f t="shared" si="290"/>
      </c>
      <c r="BR109" s="30">
        <f>IF(BM104="NM","NM",IF(BR104="NM","NM",IF(BM104&lt;=0,"NM",IF(BR104=0,"NM",IF(ABS(BR104/BM104-1)&gt;2.5,"NM",IF((ABS(BR104-BM104)=ABS(ABS(BR104)-ABS(BM104))),(BR104/BM104-1),"NM"))))))</f>
      </c>
      <c r="BS109" s="30">
        <f t="shared" si="291"/>
      </c>
      <c r="BT109" s="30">
        <f t="shared" si="291"/>
      </c>
      <c r="BU109" s="30">
        <f t="shared" si="291"/>
      </c>
      <c r="BV109" s="315">
        <f>IF(BQ104="NM","NM",IF(BV104="NM","NM",IF(BQ104&lt;=0,"NM",IF(BV104=0,"NM",IF(ABS(BV104/BQ104-1)&gt;2.5,"NM",IF((ABS(BV104-BQ104)=ABS(ABS(BV104)-ABS(BQ104))),(BV104/BQ104-1),"NM"))))))</f>
      </c>
      <c r="BW109" s="30">
        <f t="shared" si="291"/>
      </c>
      <c r="BX109" s="30">
        <f t="shared" si="291"/>
      </c>
      <c r="BY109" s="30">
        <f t="shared" si="291"/>
      </c>
      <c r="BZ109" s="30">
        <f t="shared" si="291"/>
      </c>
      <c r="CA109" s="315">
        <f>IF(BV104="NM","NM",IF(CA104="NM","NM",IF(BV104&lt;=0,"NM",IF(CA104=0,"NM",IF(ABS(CA104/BV104-1)&gt;2.5,"NM",IF((ABS(CA104-BV104)=ABS(ABS(CA104)-ABS(BV104))),(CA104/BV104-1),"NM"))))))</f>
      </c>
      <c r="CB109" s="30">
        <f t="shared" si="291"/>
      </c>
      <c r="CC109" s="30">
        <f t="shared" si="291"/>
      </c>
      <c r="CD109" s="30">
        <f t="shared" si="291"/>
      </c>
      <c r="CE109" s="30">
        <f t="shared" si="291"/>
      </c>
      <c r="CF109" s="315">
        <f>IF(CA104="NM","NM",IF(CF104="NM","NM",IF(CA104&lt;=0,"NM",IF(CF104=0,"NM",IF(ABS(CF104/CA104-1)&gt;2.5,"NM",IF((ABS(CF104-CA104)=ABS(ABS(CF104)-ABS(CA104))),(CF104/CA104-1),"NM"))))))</f>
      </c>
      <c r="CG109" s="30">
        <f t="shared" si="291"/>
      </c>
      <c r="CH109" s="30">
        <f t="shared" si="291"/>
      </c>
      <c r="CI109" s="926">
        <f t="shared" si="291"/>
      </c>
      <c r="CJ109" s="926">
        <f>IF(CE104="NM","NM",IF(CJ104="NM","NM",IF(CE104&lt;=0,"NM",IF(CJ104=0,"NM",IF(ABS(CJ104/CE104-1)&gt;2.5,"NM",IF((ABS(CJ104-CE104)=ABS(ABS(CJ104)-ABS(CE104))),(CJ104/CE104-1),"NM"))))))</f>
      </c>
      <c r="CK109" s="315">
        <f>IF(CF104=0, "NA", CK104/CF104-1)</f>
      </c>
      <c r="CL109" s="30">
        <f t="shared" si="292"/>
      </c>
      <c r="CM109" s="30">
        <f t="shared" si="292"/>
      </c>
      <c r="CN109" s="926">
        <f t="shared" si="292"/>
      </c>
      <c r="CO109" s="30">
        <f>IF(CJ104="NM","NM",IF(CO104="NM","NM",IF(CJ104&lt;=0,"NM",IF(CO104=0,"NM",IF(ABS(CO104/CJ104-1)&gt;2.5,"NM",IF((ABS(CO104-CJ104)=ABS(ABS(CO104)-ABS(CJ104))),(CO104/CJ104-1),"NM"))))))</f>
      </c>
      <c r="CP109" s="315">
        <f>IF(CK104=0, "NA", CP104/CK104-1)</f>
      </c>
      <c r="CQ109" s="30"/>
      <c r="CR109" s="30"/>
      <c r="CS109" s="926"/>
      <c r="CT109" s="926"/>
      <c r="CU109" s="315"/>
      <c r="CV109" s="30"/>
      <c r="CW109" s="926"/>
      <c r="CX109" s="926"/>
      <c r="CY109" s="926"/>
      <c r="CZ109" s="315"/>
      <c r="DA109" s="30"/>
      <c r="DB109" s="926"/>
      <c r="DC109" s="926"/>
      <c r="DD109" s="928"/>
      <c r="DE109" s="308"/>
      <c r="DF109" s="30"/>
      <c r="DG109" s="926"/>
      <c r="DH109" s="926"/>
      <c r="DI109" s="928"/>
      <c r="DJ109" s="308"/>
      <c r="DK109" s="830"/>
      <c r="DL109" s="926"/>
      <c r="DM109" s="926"/>
      <c r="DN109" s="409"/>
      <c r="DO109" s="308"/>
      <c r="DP109" s="926"/>
      <c r="DQ109" s="926"/>
      <c r="DR109" s="926"/>
      <c r="DS109" s="409"/>
      <c r="DT109" s="308"/>
      <c r="DU109" s="926"/>
      <c r="DV109" s="926"/>
      <c r="DW109" s="926"/>
      <c r="DX109" s="928"/>
      <c r="DY109" s="308"/>
      <c r="DZ109" s="926"/>
      <c r="EA109" s="926"/>
      <c r="EB109" s="926"/>
      <c r="EC109" s="928"/>
      <c r="ED109" s="1060"/>
      <c r="EE109" s="926"/>
      <c r="EF109" s="926"/>
      <c r="EG109" s="926"/>
      <c r="EH109" s="928"/>
      <c r="EI109" s="308"/>
      <c r="EJ109" s="308"/>
      <c r="EK109" s="308"/>
      <c r="EL109" s="308"/>
      <c r="EM109" s="308"/>
      <c r="EN109" s="308"/>
      <c r="EO109" s="308"/>
      <c r="EP109" s="308"/>
      <c r="EQ109" s="308"/>
      <c r="ER109" s="308"/>
      <c r="ES109" s="308"/>
      <c r="ET109" s="308"/>
      <c r="EU109" s="308"/>
      <c r="EV109" s="308"/>
      <c r="EW109" s="308"/>
      <c r="EX109" s="308"/>
    </row>
    <row r="110" spans="2:154" ht="12.75" hidden="1" customHeight="1" outlineLevel="2">
      <c r="B110" s="912" t="s">
        <v>256</v>
      </c>
      <c r="C110" s="1989"/>
      <c r="D110" s="28"/>
      <c r="E110" s="28"/>
      <c r="F110" s="28"/>
      <c r="G110" s="28"/>
      <c r="H110" s="28"/>
      <c r="I110" s="24"/>
      <c r="J110" s="1"/>
      <c r="K110" s="1"/>
      <c r="L110" s="1"/>
      <c r="M110" s="1"/>
      <c r="N110" s="24"/>
      <c r="O110" s="24"/>
      <c r="P110" s="24"/>
      <c r="Q110" s="24"/>
      <c r="R110" s="24"/>
      <c r="S110" s="1"/>
      <c r="T110" s="24"/>
      <c r="U110" s="24"/>
      <c r="V110" s="24"/>
      <c r="W110" s="24"/>
      <c r="X110" s="309"/>
      <c r="Y110" s="24"/>
      <c r="Z110" s="24"/>
      <c r="AA110" s="24"/>
      <c r="AB110" s="24"/>
      <c r="AC110" s="309"/>
      <c r="AD110" s="24"/>
      <c r="AE110" s="24"/>
      <c r="AF110" s="24"/>
      <c r="AG110" s="24"/>
      <c r="AH110" s="309"/>
      <c r="AI110" s="41">
        <f t="shared" ref="AI110:BK110" si="293">IF(ISNUMBER(AI109),(1+AI109)/(1+AI$21)-1,"NM")</f>
      </c>
      <c r="AJ110" s="41">
        <f t="shared" si="293"/>
      </c>
      <c r="AK110" s="41">
        <f t="shared" si="293"/>
      </c>
      <c r="AL110" s="41">
        <f t="shared" si="293"/>
      </c>
      <c r="AM110" s="309">
        <f t="shared" si="293"/>
      </c>
      <c r="AN110" s="41">
        <f t="shared" si="293"/>
      </c>
      <c r="AO110" s="41">
        <f t="shared" si="293"/>
      </c>
      <c r="AP110" s="41">
        <f t="shared" si="293"/>
      </c>
      <c r="AQ110" s="41">
        <f t="shared" si="293"/>
      </c>
      <c r="AR110" s="309">
        <f t="shared" si="293"/>
      </c>
      <c r="AS110" s="41">
        <f t="shared" si="293"/>
      </c>
      <c r="AT110" s="41">
        <f t="shared" si="293"/>
      </c>
      <c r="AU110" s="41">
        <f t="shared" si="293"/>
      </c>
      <c r="AV110" s="41">
        <f t="shared" si="293"/>
      </c>
      <c r="AW110" s="309">
        <f t="shared" si="293"/>
      </c>
      <c r="AX110" s="41">
        <f t="shared" si="293"/>
      </c>
      <c r="AY110" s="41">
        <f t="shared" si="293"/>
      </c>
      <c r="AZ110" s="41">
        <f t="shared" si="293"/>
      </c>
      <c r="BA110" s="41">
        <f t="shared" si="293"/>
      </c>
      <c r="BB110" s="309">
        <f t="shared" si="293"/>
      </c>
      <c r="BC110" s="41">
        <f t="shared" si="293"/>
      </c>
      <c r="BD110" s="41">
        <f t="shared" si="293"/>
      </c>
      <c r="BE110" s="41">
        <f t="shared" si="293"/>
      </c>
      <c r="BF110" s="41">
        <f t="shared" si="293"/>
      </c>
      <c r="BG110" s="309">
        <f t="shared" si="293"/>
      </c>
      <c r="BH110" s="41">
        <f t="shared" si="293"/>
      </c>
      <c r="BI110" s="41">
        <f t="shared" si="293"/>
      </c>
      <c r="BJ110" s="41">
        <f t="shared" si="293"/>
      </c>
      <c r="BK110" s="41">
        <f t="shared" si="293"/>
      </c>
      <c r="BL110" s="315">
        <f>BL109-$BL$21</f>
      </c>
      <c r="BM110" s="650">
        <f>IF(ISNUMBER(BM109),(1+BM109)/(1+BM$21)-1,"NM")</f>
      </c>
      <c r="BN110" s="650">
        <v>-0.13300000000000001</v>
      </c>
      <c r="BO110" s="650">
        <v>-0.107</v>
      </c>
      <c r="BP110" s="649">
        <v>-0.17699999999999999</v>
      </c>
      <c r="BQ110" s="406">
        <v>-3.6999999999999998E-2</v>
      </c>
      <c r="BR110" s="650">
        <v>-0.17699999999999999</v>
      </c>
      <c r="BS110" s="650">
        <v>-2.7E-2</v>
      </c>
      <c r="BT110" s="361">
        <v>-4.8000000000000001E-2</v>
      </c>
      <c r="BU110" s="649">
        <v>-0.105</v>
      </c>
      <c r="BV110" s="406">
        <v>-5.8000000000000003E-2</v>
      </c>
      <c r="BW110" s="8">
        <f t="shared" ref="BW110:CN110" si="294">BW109-BW$21</f>
      </c>
      <c r="BX110" s="8">
        <f t="shared" si="294"/>
      </c>
      <c r="BY110" s="8">
        <f t="shared" si="294"/>
      </c>
      <c r="BZ110" s="837">
        <f t="shared" si="294"/>
      </c>
      <c r="CA110" s="315">
        <f t="shared" si="294"/>
      </c>
      <c r="CB110" s="41">
        <f t="shared" si="294"/>
      </c>
      <c r="CC110" s="8">
        <f t="shared" si="294"/>
      </c>
      <c r="CD110" s="8">
        <f t="shared" si="294"/>
      </c>
      <c r="CE110" s="837">
        <f t="shared" si="294"/>
      </c>
      <c r="CF110" s="315">
        <f t="shared" si="294"/>
      </c>
      <c r="CG110" s="41">
        <f t="shared" si="294"/>
      </c>
      <c r="CH110" s="41">
        <f t="shared" si="294"/>
      </c>
      <c r="CI110" s="925">
        <f t="shared" si="294"/>
      </c>
      <c r="CJ110" s="1065">
        <f t="shared" si="294"/>
      </c>
      <c r="CK110" s="315">
        <f t="shared" si="294"/>
      </c>
      <c r="CL110" s="41">
        <f t="shared" si="294"/>
      </c>
      <c r="CM110" s="41">
        <f t="shared" si="294"/>
      </c>
      <c r="CN110" s="925">
        <f t="shared" si="294"/>
      </c>
      <c r="CO110" s="41">
        <f>CO109-CO$21</f>
      </c>
      <c r="CP110" s="315">
        <f>CP109-CP$21</f>
      </c>
      <c r="CQ110" s="41"/>
      <c r="CR110" s="41"/>
      <c r="CS110" s="361"/>
      <c r="CT110" s="361"/>
      <c r="CU110" s="315"/>
      <c r="CV110" s="41"/>
      <c r="CW110" s="361"/>
      <c r="CX110" s="361"/>
      <c r="CY110" s="361"/>
      <c r="CZ110" s="315"/>
      <c r="DA110" s="41"/>
      <c r="DB110" s="361"/>
      <c r="DC110" s="361"/>
      <c r="DD110" s="835"/>
      <c r="DE110" s="316"/>
      <c r="DF110" s="41"/>
      <c r="DG110" s="361"/>
      <c r="DH110" s="361"/>
      <c r="DI110" s="835"/>
      <c r="DJ110" s="835"/>
      <c r="DK110" s="361"/>
      <c r="DL110" s="361"/>
      <c r="DM110" s="361"/>
      <c r="DN110" s="835"/>
      <c r="DO110" s="1802"/>
      <c r="DP110" s="361"/>
      <c r="DQ110" s="361"/>
      <c r="DR110" s="361"/>
      <c r="DS110" s="835"/>
      <c r="DT110" s="1802"/>
      <c r="DU110" s="361"/>
      <c r="DV110" s="361"/>
      <c r="DW110" s="361"/>
      <c r="DX110" s="835"/>
      <c r="DY110" s="1802"/>
      <c r="DZ110" s="361"/>
      <c r="EA110" s="361"/>
      <c r="EB110" s="361"/>
      <c r="EC110" s="835"/>
      <c r="ED110" s="1802"/>
      <c r="EE110" s="361"/>
      <c r="EF110" s="361"/>
      <c r="EG110" s="361"/>
      <c r="EH110" s="835"/>
      <c r="EI110" s="1802"/>
      <c r="EJ110" s="1802"/>
      <c r="EK110" s="1802"/>
      <c r="EL110" s="1802"/>
      <c r="EM110" s="1802"/>
      <c r="EN110" s="1802"/>
      <c r="EO110" s="1802"/>
      <c r="EP110" s="1802"/>
      <c r="EQ110" s="1802"/>
      <c r="ER110" s="1802"/>
      <c r="ES110" s="1802"/>
      <c r="ET110" s="1802"/>
      <c r="EU110" s="1802"/>
      <c r="EV110" s="1802"/>
      <c r="EW110" s="1802"/>
      <c r="EX110" s="1802"/>
    </row>
    <row r="111" spans="2:154" ht="12.75" hidden="1" customHeight="1" outlineLevel="2">
      <c r="B111" s="912" t="s">
        <v>413</v>
      </c>
      <c r="C111" s="1989"/>
      <c r="D111" s="28"/>
      <c r="E111" s="28"/>
      <c r="F111" s="28"/>
      <c r="G111" s="28"/>
      <c r="H111" s="28"/>
      <c r="I111" s="29">
        <v>0.62</v>
      </c>
      <c r="J111" s="30">
        <f t="shared" ref="J111:AO111" si="295">IF(E105="NM","NM",IF(J105="NM","NM",IF(E105&lt;=0,"NM",IF(J105=0,"NM",IF(ABS(J105/E105-1)&gt;2.5,"NM",IF((ABS(J105-E105)=ABS(ABS(J105)-ABS(E105))),(J105/E105-1),"NM"))))))</f>
      </c>
      <c r="K111" s="30">
        <f t="shared" si="295"/>
      </c>
      <c r="L111" s="30">
        <f t="shared" si="295"/>
      </c>
      <c r="M111" s="30">
        <f t="shared" si="295"/>
      </c>
      <c r="N111" s="30">
        <f t="shared" si="295"/>
      </c>
      <c r="O111" s="30">
        <f t="shared" si="295"/>
      </c>
      <c r="P111" s="30">
        <f t="shared" si="295"/>
      </c>
      <c r="Q111" s="30">
        <f t="shared" si="295"/>
      </c>
      <c r="R111" s="30">
        <f t="shared" si="295"/>
      </c>
      <c r="S111" s="30">
        <f t="shared" si="295"/>
      </c>
      <c r="T111" s="30">
        <f t="shared" si="295"/>
      </c>
      <c r="U111" s="30">
        <f t="shared" si="295"/>
      </c>
      <c r="V111" s="30">
        <f t="shared" si="295"/>
      </c>
      <c r="W111" s="30">
        <f t="shared" si="295"/>
      </c>
      <c r="X111" s="308">
        <f t="shared" si="295"/>
      </c>
      <c r="Y111" s="30">
        <f t="shared" si="295"/>
      </c>
      <c r="Z111" s="30">
        <f t="shared" si="295"/>
      </c>
      <c r="AA111" s="30">
        <f t="shared" si="295"/>
      </c>
      <c r="AB111" s="30">
        <f t="shared" si="295"/>
      </c>
      <c r="AC111" s="308">
        <f t="shared" si="295"/>
      </c>
      <c r="AD111" s="30">
        <f t="shared" si="295"/>
      </c>
      <c r="AE111" s="30">
        <f t="shared" si="295"/>
      </c>
      <c r="AF111" s="30">
        <f t="shared" si="295"/>
      </c>
      <c r="AG111" s="30">
        <f t="shared" si="295"/>
      </c>
      <c r="AH111" s="308">
        <f t="shared" si="295"/>
      </c>
      <c r="AI111" s="30">
        <f t="shared" si="295"/>
      </c>
      <c r="AJ111" s="30">
        <f t="shared" si="295"/>
      </c>
      <c r="AK111" s="30">
        <f t="shared" si="295"/>
      </c>
      <c r="AL111" s="30">
        <f t="shared" si="295"/>
      </c>
      <c r="AM111" s="308">
        <f t="shared" si="295"/>
      </c>
      <c r="AN111" s="30">
        <f t="shared" si="295"/>
      </c>
      <c r="AO111" s="30">
        <f t="shared" si="295"/>
      </c>
      <c r="AP111" s="30">
        <f t="shared" ref="AP111:BU111" si="296">IF(AK105="NM","NM",IF(AP105="NM","NM",IF(AK105&lt;=0,"NM",IF(AP105=0,"NM",IF(ABS(AP105/AK105-1)&gt;2.5,"NM",IF((ABS(AP105-AK105)=ABS(ABS(AP105)-ABS(AK105))),(AP105/AK105-1),"NM"))))))</f>
      </c>
      <c r="AQ111" s="30">
        <f t="shared" si="296"/>
      </c>
      <c r="AR111" s="308">
        <f t="shared" si="296"/>
      </c>
      <c r="AS111" s="30">
        <f t="shared" si="296"/>
      </c>
      <c r="AT111" s="30">
        <f t="shared" si="296"/>
      </c>
      <c r="AU111" s="30">
        <f t="shared" si="296"/>
      </c>
      <c r="AV111" s="30">
        <f t="shared" si="296"/>
      </c>
      <c r="AW111" s="308">
        <f t="shared" si="296"/>
      </c>
      <c r="AX111" s="30">
        <f t="shared" si="296"/>
      </c>
      <c r="AY111" s="30">
        <f t="shared" si="296"/>
      </c>
      <c r="AZ111" s="30">
        <f t="shared" si="296"/>
      </c>
      <c r="BA111" s="30">
        <f t="shared" si="296"/>
      </c>
      <c r="BB111" s="308">
        <f t="shared" si="296"/>
      </c>
      <c r="BC111" s="30">
        <f t="shared" si="296"/>
      </c>
      <c r="BD111" s="30">
        <f t="shared" si="296"/>
      </c>
      <c r="BE111" s="30">
        <f t="shared" si="296"/>
      </c>
      <c r="BF111" s="30">
        <f t="shared" si="296"/>
      </c>
      <c r="BG111" s="308">
        <f t="shared" si="296"/>
      </c>
      <c r="BH111" s="30">
        <f t="shared" si="296"/>
      </c>
      <c r="BI111" s="30">
        <f t="shared" si="296"/>
      </c>
      <c r="BJ111" s="30">
        <f t="shared" si="296"/>
      </c>
      <c r="BK111" s="30">
        <f t="shared" si="296"/>
      </c>
      <c r="BL111" s="315">
        <f t="shared" si="296"/>
      </c>
      <c r="BM111" s="30">
        <f t="shared" si="296"/>
      </c>
      <c r="BN111" s="30">
        <f t="shared" si="296"/>
      </c>
      <c r="BO111" s="30">
        <f t="shared" si="296"/>
      </c>
      <c r="BP111" s="30">
        <f t="shared" si="296"/>
      </c>
      <c r="BQ111" s="315">
        <f t="shared" si="296"/>
      </c>
      <c r="BR111" s="30">
        <f t="shared" si="296"/>
      </c>
      <c r="BS111" s="30">
        <f t="shared" si="296"/>
      </c>
      <c r="BT111" s="30">
        <f t="shared" si="296"/>
      </c>
      <c r="BU111" s="30">
        <f t="shared" si="296"/>
      </c>
      <c r="BV111" s="315">
        <f t="shared" ref="BV111:CI111" si="297">IF(BQ105="NM","NM",IF(BV105="NM","NM",IF(BQ105&lt;=0,"NM",IF(BV105=0,"NM",IF(ABS(BV105/BQ105-1)&gt;2.5,"NM",IF((ABS(BV105-BQ105)=ABS(ABS(BV105)-ABS(BQ105))),(BV105/BQ105-1),"NM"))))))</f>
      </c>
      <c r="BW111" s="30">
        <f t="shared" si="297"/>
      </c>
      <c r="BX111" s="30">
        <f t="shared" si="297"/>
      </c>
      <c r="BY111" s="30">
        <f t="shared" si="297"/>
      </c>
      <c r="BZ111" s="30">
        <f t="shared" si="297"/>
      </c>
      <c r="CA111" s="315">
        <f t="shared" si="297"/>
      </c>
      <c r="CB111" s="30">
        <f t="shared" si="297"/>
      </c>
      <c r="CC111" s="30">
        <f t="shared" si="297"/>
      </c>
      <c r="CD111" s="30">
        <f t="shared" si="297"/>
      </c>
      <c r="CE111" s="30">
        <f t="shared" si="297"/>
      </c>
      <c r="CF111" s="315">
        <f t="shared" si="297"/>
      </c>
      <c r="CG111" s="30">
        <f t="shared" si="297"/>
      </c>
      <c r="CH111" s="30">
        <f t="shared" si="297"/>
      </c>
      <c r="CI111" s="30">
        <f t="shared" si="297"/>
      </c>
      <c r="CJ111" s="30">
        <f>IF(CE105=0, "NA", CJ105/CE105-1)</f>
      </c>
      <c r="CK111" s="315">
        <f>IF(CF105=0, "NA", CK105/CF105-1)</f>
      </c>
      <c r="CL111" s="30">
        <f>IF(CG105="NM","NM",IF(CL105="NM","NM",IF(CG105&lt;=0,"NM",IF(CL105=0,"NM",IF(ABS(CL105/CG105-1)&gt;2.5,"NM",IF((ABS(CL105-CG105)=ABS(ABS(CL105)-ABS(CG105))),(CL105/CG105-1),"NM"))))))</f>
      </c>
      <c r="CM111" s="30">
        <f>IF(CH105="NM","NM",IF(CM105="NM","NM",IF(CH105&lt;=0,"NM",IF(CM105=0,"NM",IF(ABS(CM105/CH105-1)&gt;2.5,"NM",IF((ABS(CM105-CH105)=ABS(ABS(CM105)-ABS(CH105))),(CM105/CH105-1),"NM"))))))</f>
      </c>
      <c r="CN111" s="30">
        <f>IF(CI105="NM","NM",IF(CN105="NM","NM",IF(CI105&lt;=0,"NM",IF(CN105=0,"NM",IF(ABS(CN105/CI105-1)&gt;2.5,"NM",IF((ABS(CN105-CI105)=ABS(ABS(CN105)-ABS(CI105))),(CN105/CI105-1),"NM"))))))</f>
      </c>
      <c r="CO111" s="30">
        <f>IF(CJ105=0, "NA", CO105/CJ105-1)</f>
      </c>
      <c r="CP111" s="315">
        <f>IF(CK105=0, "NA", CP105/CK105-1)</f>
      </c>
      <c r="CQ111" s="30"/>
      <c r="CR111" s="30"/>
      <c r="CS111" s="926"/>
      <c r="CT111" s="926"/>
      <c r="CU111" s="315"/>
      <c r="CV111" s="30"/>
      <c r="CW111" s="926"/>
      <c r="CX111" s="926"/>
      <c r="CY111" s="926"/>
      <c r="CZ111" s="315"/>
      <c r="DA111" s="30"/>
      <c r="DB111" s="926"/>
      <c r="DC111" s="926"/>
      <c r="DD111" s="928"/>
      <c r="DE111" s="308"/>
      <c r="DF111" s="30"/>
      <c r="DG111" s="926"/>
      <c r="DH111" s="926"/>
      <c r="DI111" s="928"/>
      <c r="DJ111" s="308"/>
      <c r="DK111" s="830"/>
      <c r="DL111" s="926"/>
      <c r="DM111" s="926"/>
      <c r="DN111" s="409"/>
      <c r="DO111" s="308"/>
      <c r="DP111" s="926"/>
      <c r="DQ111" s="926"/>
      <c r="DR111" s="926"/>
      <c r="DS111" s="409"/>
      <c r="DT111" s="308"/>
      <c r="DU111" s="926"/>
      <c r="DV111" s="926"/>
      <c r="DW111" s="926"/>
      <c r="DX111" s="928"/>
      <c r="DY111" s="308"/>
      <c r="DZ111" s="926"/>
      <c r="EA111" s="926"/>
      <c r="EB111" s="926"/>
      <c r="EC111" s="928"/>
      <c r="ED111" s="1060"/>
      <c r="EE111" s="926"/>
      <c r="EF111" s="926"/>
      <c r="EG111" s="926"/>
      <c r="EH111" s="928"/>
      <c r="EI111" s="308"/>
      <c r="EJ111" s="308"/>
      <c r="EK111" s="308"/>
      <c r="EL111" s="308"/>
      <c r="EM111" s="308"/>
      <c r="EN111" s="308"/>
      <c r="EO111" s="308"/>
      <c r="EP111" s="308"/>
      <c r="EQ111" s="308"/>
      <c r="ER111" s="308"/>
      <c r="ES111" s="308"/>
      <c r="ET111" s="308"/>
      <c r="EU111" s="308"/>
      <c r="EV111" s="308"/>
      <c r="EW111" s="308"/>
      <c r="EX111" s="308"/>
    </row>
    <row r="112" spans="2:154" ht="12.75" hidden="1" customHeight="1" outlineLevel="2">
      <c r="B112" s="318"/>
      <c r="C112" s="1207"/>
      <c r="X112" s="318"/>
      <c r="AC112" s="318"/>
      <c r="AH112" s="318"/>
      <c r="AM112" s="318"/>
      <c r="AR112" s="318"/>
      <c r="AW112" s="318"/>
      <c r="BB112" s="318"/>
      <c r="BG112" s="318"/>
      <c r="BL112" s="318"/>
      <c r="BQ112" s="318"/>
      <c r="BV112" s="318"/>
      <c r="BW112" s="31"/>
      <c r="CA112" s="318"/>
      <c r="CF112" s="318"/>
      <c r="CK112" s="318"/>
      <c r="CL112" s="874"/>
      <c r="CP112" s="318"/>
      <c r="CU112" s="318"/>
      <c r="CZ112" s="318"/>
      <c r="DD112" s="1207"/>
      <c r="DE112" s="1808"/>
      <c r="DI112" s="1809"/>
      <c r="DJ112" s="1808"/>
      <c r="DK112" s="1810"/>
      <c r="DN112" s="1809"/>
      <c r="DO112" s="1808"/>
      <c r="DS112" s="1809"/>
      <c r="DT112" s="1808"/>
      <c r="DX112" s="1809"/>
      <c r="DY112" s="1808"/>
      <c r="EC112" s="1809"/>
      <c r="ED112" s="1808"/>
      <c r="EH112" s="1809"/>
      <c r="EI112" s="1808"/>
      <c r="EJ112" s="1808"/>
      <c r="EK112" s="1808"/>
      <c r="EL112" s="1808"/>
      <c r="EM112" s="1808"/>
      <c r="EN112" s="1808"/>
      <c r="EO112" s="1808"/>
      <c r="EP112" s="1808"/>
      <c r="EQ112" s="1808"/>
      <c r="ER112" s="1808"/>
      <c r="ES112" s="1808"/>
      <c r="ET112" s="1808"/>
      <c r="EU112" s="1808"/>
      <c r="EV112" s="1808"/>
      <c r="EW112" s="1808"/>
      <c r="EX112" s="1808"/>
    </row>
    <row r="113" spans="1:154" ht="12.75" hidden="1" customHeight="1" outlineLevel="1" collapsed="1">
      <c r="B113" s="1164" t="s">
        <v>530</v>
      </c>
      <c r="C113" s="1990"/>
      <c r="D113" s="26"/>
      <c r="E113" s="26"/>
      <c r="F113" s="26"/>
      <c r="G113" s="26"/>
      <c r="H113" s="26"/>
      <c r="I113" s="27"/>
      <c r="J113" s="26"/>
      <c r="K113" s="26"/>
      <c r="L113" s="26"/>
      <c r="M113" s="26"/>
      <c r="N113" s="27"/>
      <c r="O113" s="27"/>
      <c r="P113" s="27"/>
      <c r="Q113" s="27"/>
      <c r="R113" s="27"/>
      <c r="S113" s="27"/>
      <c r="T113" s="27"/>
      <c r="U113" s="27"/>
      <c r="V113" s="27"/>
      <c r="W113" s="27"/>
      <c r="X113" s="307"/>
      <c r="Y113" s="27"/>
      <c r="Z113" s="27"/>
      <c r="AA113" s="27"/>
      <c r="AB113" s="27"/>
      <c r="AC113" s="307"/>
      <c r="AD113" s="27"/>
      <c r="AE113" s="27"/>
      <c r="AF113" s="27"/>
      <c r="AG113" s="27"/>
      <c r="AH113" s="307"/>
      <c r="AI113" s="26"/>
      <c r="AJ113" s="26"/>
      <c r="AK113" s="26"/>
      <c r="AL113" s="27"/>
      <c r="AM113" s="307"/>
      <c r="AN113" s="26"/>
      <c r="AO113" s="26"/>
      <c r="AP113" s="26"/>
      <c r="AQ113" s="27"/>
      <c r="AR113" s="307"/>
      <c r="AS113" s="26"/>
      <c r="AT113" s="26"/>
      <c r="AU113" s="26"/>
      <c r="AV113" s="27"/>
      <c r="AW113" s="307"/>
      <c r="AX113" s="26"/>
      <c r="AY113" s="26"/>
      <c r="AZ113" s="26"/>
      <c r="BA113" s="26"/>
      <c r="BB113" s="307"/>
      <c r="BC113" s="26"/>
      <c r="BD113" s="26"/>
      <c r="BE113" s="26"/>
      <c r="BF113" s="26"/>
      <c r="BG113" s="307"/>
      <c r="BH113" s="26"/>
      <c r="BI113" s="26"/>
      <c r="BJ113" s="26"/>
      <c r="BK113" s="26"/>
      <c r="BL113" s="307"/>
      <c r="BM113" s="26"/>
      <c r="BN113" s="26"/>
      <c r="BO113" s="26"/>
      <c r="BP113" s="26"/>
      <c r="BQ113" s="307"/>
      <c r="BR113" s="26"/>
      <c r="BS113" s="26"/>
      <c r="BT113" s="26"/>
      <c r="BU113" s="26"/>
      <c r="BV113" s="307"/>
      <c r="BW113" s="26"/>
      <c r="BX113" s="26"/>
      <c r="BY113" s="26"/>
      <c r="BZ113" s="26"/>
      <c r="CA113" s="307"/>
      <c r="CB113" s="26"/>
      <c r="CC113" s="26"/>
      <c r="CD113" s="26"/>
      <c r="CE113" s="26"/>
      <c r="CF113" s="307"/>
      <c r="CG113" s="26"/>
      <c r="CH113" s="26"/>
      <c r="CI113" s="26"/>
      <c r="CJ113" s="26"/>
      <c r="CK113" s="307"/>
      <c r="CL113" s="970"/>
      <c r="CM113" s="26"/>
      <c r="CN113" s="26"/>
      <c r="CO113" s="26"/>
      <c r="CP113" s="307"/>
      <c r="CQ113" s="26"/>
      <c r="CR113" s="26"/>
      <c r="CS113" s="26"/>
      <c r="CT113" s="26"/>
      <c r="CU113" s="307"/>
      <c r="CV113" s="26"/>
      <c r="CW113" s="26"/>
      <c r="CX113" s="26"/>
      <c r="CY113" s="26"/>
      <c r="CZ113" s="307"/>
      <c r="DA113" s="26"/>
      <c r="DB113" s="27"/>
      <c r="DC113" s="27"/>
      <c r="DD113" s="964"/>
      <c r="DE113" s="1766"/>
      <c r="DF113" s="1783"/>
      <c r="DG113" s="1767"/>
      <c r="DH113" s="1767"/>
      <c r="DI113" s="1784"/>
      <c r="DJ113" s="1766"/>
      <c r="DK113" s="1797"/>
      <c r="DL113" s="1767"/>
      <c r="DM113" s="1767"/>
      <c r="DN113" s="1784"/>
      <c r="DO113" s="1766"/>
      <c r="DP113" s="1767"/>
      <c r="DQ113" s="1767"/>
      <c r="DR113" s="1767"/>
      <c r="DS113" s="1784"/>
      <c r="DT113" s="1766"/>
      <c r="DU113" s="1767"/>
      <c r="DV113" s="1767"/>
      <c r="DW113" s="1767"/>
      <c r="DX113" s="1784"/>
      <c r="DY113" s="1766"/>
      <c r="DZ113" s="1767"/>
      <c r="EA113" s="1767"/>
      <c r="EB113" s="1767"/>
      <c r="EC113" s="1784"/>
      <c r="ED113" s="1766"/>
      <c r="EE113" s="1767"/>
      <c r="EF113" s="1767"/>
      <c r="EG113" s="1767"/>
      <c r="EH113" s="1784"/>
      <c r="EI113" s="1766"/>
      <c r="EJ113" s="1766"/>
      <c r="EK113" s="1766"/>
      <c r="EL113" s="1766"/>
      <c r="EM113" s="1766"/>
      <c r="EN113" s="1766"/>
      <c r="EO113" s="1766"/>
      <c r="EP113" s="1766"/>
      <c r="EQ113" s="1766"/>
      <c r="ER113" s="1766"/>
      <c r="ES113" s="1766"/>
      <c r="ET113" s="1766"/>
      <c r="EU113" s="1766"/>
      <c r="EV113" s="1766"/>
      <c r="EW113" s="1766"/>
      <c r="EX113" s="1766"/>
    </row>
    <row r="114" spans="1:154" ht="12.75" hidden="1" customHeight="1" outlineLevel="1">
      <c r="B114" s="1168" t="s">
        <v>187</v>
      </c>
      <c r="C114" s="1989"/>
      <c r="D114" s="28"/>
      <c r="E114" s="28"/>
      <c r="F114" s="28"/>
      <c r="G114" s="28"/>
      <c r="H114" s="28"/>
      <c r="I114" s="28"/>
      <c r="J114" s="28"/>
      <c r="K114" s="28"/>
      <c r="L114" s="28"/>
      <c r="M114" s="28"/>
      <c r="N114" s="28"/>
      <c r="O114" s="28"/>
      <c r="P114" s="28"/>
      <c r="Q114" s="28"/>
      <c r="R114" s="28"/>
      <c r="S114" s="28"/>
      <c r="T114" s="28"/>
      <c r="U114" s="28"/>
      <c r="V114" s="28"/>
      <c r="W114" s="28"/>
      <c r="X114" s="312"/>
      <c r="Y114" s="28"/>
      <c r="Z114" s="28"/>
      <c r="AA114" s="28"/>
      <c r="AB114" s="28"/>
      <c r="AC114" s="312"/>
      <c r="AD114" s="28"/>
      <c r="AE114" s="28"/>
      <c r="AF114" s="28"/>
      <c r="AG114" s="28"/>
      <c r="AH114" s="312"/>
      <c r="AI114" s="28"/>
      <c r="AJ114" s="28"/>
      <c r="AK114" s="28"/>
      <c r="AL114" s="28"/>
      <c r="AM114" s="312"/>
      <c r="AN114" s="28">
        <f t="shared" ref="AN114:BB114" si="298">+AN125+AN136</f>
      </c>
      <c r="AO114" s="28">
        <f t="shared" si="298"/>
      </c>
      <c r="AP114" s="28">
        <f t="shared" si="298"/>
      </c>
      <c r="AQ114" s="28">
        <f t="shared" si="298"/>
      </c>
      <c r="AR114" s="312">
        <f t="shared" si="298"/>
      </c>
      <c r="AS114" s="28">
        <f t="shared" si="298"/>
      </c>
      <c r="AT114" s="28">
        <f t="shared" si="298"/>
      </c>
      <c r="AU114" s="28">
        <f t="shared" si="298"/>
      </c>
      <c r="AV114" s="28">
        <f t="shared" si="298"/>
      </c>
      <c r="AW114" s="312">
        <f t="shared" si="298"/>
      </c>
      <c r="AX114" s="28">
        <f t="shared" si="298"/>
      </c>
      <c r="AY114" s="28">
        <f t="shared" si="298"/>
      </c>
      <c r="AZ114" s="28">
        <f t="shared" si="298"/>
      </c>
      <c r="BA114" s="28">
        <f t="shared" si="298"/>
      </c>
      <c r="BB114" s="312">
        <f t="shared" si="298"/>
      </c>
      <c r="BC114" s="28">
        <f t="shared" ref="BC114:BN114" si="299">+BC125+BC136+BC158</f>
      </c>
      <c r="BD114" s="28">
        <f t="shared" si="299"/>
      </c>
      <c r="BE114" s="28">
        <f t="shared" si="299"/>
      </c>
      <c r="BF114" s="28">
        <f t="shared" si="299"/>
      </c>
      <c r="BG114" s="312">
        <f t="shared" si="299"/>
      </c>
      <c r="BH114" s="28">
        <f t="shared" si="299"/>
      </c>
      <c r="BI114" s="28">
        <f t="shared" si="299"/>
      </c>
      <c r="BJ114" s="28">
        <f t="shared" si="299"/>
      </c>
      <c r="BK114" s="28">
        <f t="shared" si="299"/>
      </c>
      <c r="BL114" s="312">
        <f t="shared" si="299"/>
      </c>
      <c r="BM114" s="28">
        <f t="shared" si="299"/>
      </c>
      <c r="BN114" s="28">
        <f t="shared" si="299"/>
      </c>
      <c r="BO114" s="28">
        <f t="shared" ref="BO114:BQ115" si="300">+BO125+BO136+BO158+BO169</f>
      </c>
      <c r="BP114" s="28">
        <f t="shared" si="300"/>
      </c>
      <c r="BQ114" s="312">
        <f t="shared" si="300"/>
      </c>
      <c r="BR114" s="28">
        <f t="shared" ref="BR114:BV115" si="301">+BR125+BR136+BR158+BR169</f>
      </c>
      <c r="BS114" s="28">
        <f t="shared" si="301"/>
      </c>
      <c r="BT114" s="28">
        <f t="shared" si="301"/>
      </c>
      <c r="BU114" s="28">
        <f t="shared" si="301"/>
      </c>
      <c r="BV114" s="312">
        <f t="shared" si="301"/>
      </c>
      <c r="BW114" s="28">
        <f t="shared" ref="BW114:BZ115" si="302">+BW125+BW136+BW158+BW169+BW147</f>
      </c>
      <c r="BX114" s="28">
        <f t="shared" si="302"/>
      </c>
      <c r="BY114" s="28">
        <f t="shared" si="302"/>
      </c>
      <c r="BZ114" s="28">
        <f t="shared" si="302"/>
      </c>
      <c r="CA114" s="312">
        <f>+CA125+CA136+CA158+CA169+CA147</f>
      </c>
      <c r="CB114" s="28">
        <f t="shared" ref="CB114:CD115" si="303">+CB125+CB136+CB158+CB169+CB147</f>
      </c>
      <c r="CC114" s="28">
        <f t="shared" si="303"/>
      </c>
      <c r="CD114" s="28">
        <f t="shared" si="303"/>
      </c>
      <c r="CE114" s="28">
        <f t="shared" ref="CE114:CG115" si="304">+CE125+CE136+CE158+CE169+CE147</f>
      </c>
      <c r="CF114" s="312">
        <f t="shared" si="304"/>
      </c>
      <c r="CG114" s="28">
        <f t="shared" si="304"/>
      </c>
      <c r="CH114" s="28">
        <f t="shared" ref="CH114:CJ115" si="305">+CH125+CH136+CH158+CH169+CH147</f>
      </c>
      <c r="CI114" s="28">
        <f t="shared" si="305"/>
      </c>
      <c r="CJ114" s="28">
        <f t="shared" si="305"/>
      </c>
      <c r="CK114" s="312">
        <f>SUM(CG114:CJ114)</f>
      </c>
      <c r="CL114" s="28">
        <f t="shared" ref="CL114:CO115" si="306">+CL125+CL136+CL158+CL169+CL147</f>
      </c>
      <c r="CM114" s="28">
        <f t="shared" si="306"/>
      </c>
      <c r="CN114" s="933">
        <f>+CN125+CN136+CN158+CN169+CN147</f>
      </c>
      <c r="CO114" s="28">
        <f t="shared" si="306"/>
      </c>
      <c r="CP114" s="312">
        <f>+CP125+CP136+CP158+CP169+CP147</f>
      </c>
      <c r="CQ114" s="933"/>
      <c r="CR114" s="933"/>
      <c r="CS114" s="933"/>
      <c r="CT114" s="933"/>
      <c r="CU114" s="312"/>
      <c r="CV114" s="933"/>
      <c r="CW114" s="933"/>
      <c r="CX114" s="933"/>
      <c r="CY114" s="933"/>
      <c r="CZ114" s="312"/>
      <c r="DA114" s="933"/>
      <c r="DB114" s="28"/>
      <c r="DC114" s="28"/>
      <c r="DD114" s="876"/>
      <c r="DE114" s="445"/>
      <c r="DF114" s="982"/>
      <c r="DG114" s="444"/>
      <c r="DH114" s="444"/>
      <c r="DI114" s="1788"/>
      <c r="DJ114" s="445"/>
      <c r="DK114" s="1800"/>
      <c r="DL114" s="444"/>
      <c r="DM114" s="444"/>
      <c r="DN114" s="1788"/>
      <c r="DO114" s="445"/>
      <c r="DP114" s="444"/>
      <c r="DQ114" s="444"/>
      <c r="DR114" s="444"/>
      <c r="DS114" s="1788"/>
      <c r="DT114" s="445"/>
      <c r="DU114" s="982"/>
      <c r="DV114" s="982"/>
      <c r="DW114" s="982"/>
      <c r="DX114" s="1875"/>
      <c r="DY114" s="445"/>
      <c r="DZ114" s="982"/>
      <c r="EA114" s="982"/>
      <c r="EB114" s="982"/>
      <c r="EC114" s="1875"/>
      <c r="ED114" s="1866"/>
      <c r="EE114" s="982"/>
      <c r="EF114" s="982"/>
      <c r="EG114" s="982"/>
      <c r="EH114" s="1875"/>
      <c r="EI114" s="445"/>
      <c r="EJ114" s="445"/>
      <c r="EK114" s="445"/>
      <c r="EL114" s="445"/>
      <c r="EM114" s="445"/>
      <c r="EN114" s="445"/>
      <c r="EO114" s="445"/>
      <c r="EP114" s="445"/>
      <c r="EQ114" s="445"/>
      <c r="ER114" s="445"/>
      <c r="ES114" s="445"/>
      <c r="ET114" s="445"/>
      <c r="EU114" s="445"/>
      <c r="EV114" s="445"/>
      <c r="EW114" s="445"/>
      <c r="EX114" s="445"/>
    </row>
    <row r="115" spans="1:154" ht="12.75" hidden="1" customHeight="1" outlineLevel="1">
      <c r="B115" s="1168" t="s">
        <v>412</v>
      </c>
      <c r="C115" s="1989"/>
      <c r="D115" s="28"/>
      <c r="E115" s="28"/>
      <c r="F115" s="28"/>
      <c r="G115" s="28"/>
      <c r="H115" s="28"/>
      <c r="I115" s="28"/>
      <c r="J115" s="28"/>
      <c r="K115" s="28"/>
      <c r="L115" s="28"/>
      <c r="M115" s="28"/>
      <c r="N115" s="28"/>
      <c r="O115" s="28"/>
      <c r="P115" s="28"/>
      <c r="Q115" s="28"/>
      <c r="R115" s="28"/>
      <c r="S115" s="28"/>
      <c r="T115" s="28"/>
      <c r="U115" s="28"/>
      <c r="V115" s="28"/>
      <c r="W115" s="28"/>
      <c r="X115" s="312"/>
      <c r="Y115" s="28"/>
      <c r="Z115" s="28"/>
      <c r="AA115" s="28"/>
      <c r="AB115" s="28"/>
      <c r="AC115" s="312"/>
      <c r="AD115" s="28"/>
      <c r="AE115" s="28"/>
      <c r="AF115" s="28"/>
      <c r="AG115" s="28"/>
      <c r="AH115" s="312"/>
      <c r="AI115" s="28"/>
      <c r="AJ115" s="28"/>
      <c r="AK115" s="28"/>
      <c r="AL115" s="28"/>
      <c r="AM115" s="312"/>
      <c r="AN115" s="28">
        <f t="shared" ref="AN115:BB115" si="307">+AN126+AN137</f>
      </c>
      <c r="AO115" s="28">
        <f t="shared" si="307"/>
      </c>
      <c r="AP115" s="28">
        <f t="shared" si="307"/>
      </c>
      <c r="AQ115" s="28">
        <f t="shared" si="307"/>
      </c>
      <c r="AR115" s="312">
        <f t="shared" si="307"/>
      </c>
      <c r="AS115" s="28">
        <f t="shared" si="307"/>
      </c>
      <c r="AT115" s="28">
        <f t="shared" si="307"/>
      </c>
      <c r="AU115" s="28">
        <f t="shared" si="307"/>
      </c>
      <c r="AV115" s="28">
        <f t="shared" si="307"/>
      </c>
      <c r="AW115" s="312">
        <f t="shared" si="307"/>
      </c>
      <c r="AX115" s="28">
        <f t="shared" si="307"/>
      </c>
      <c r="AY115" s="28">
        <f t="shared" si="307"/>
      </c>
      <c r="AZ115" s="28">
        <f t="shared" si="307"/>
      </c>
      <c r="BA115" s="28">
        <f t="shared" si="307"/>
      </c>
      <c r="BB115" s="312">
        <f t="shared" si="307"/>
      </c>
      <c r="BC115" s="28">
        <f t="shared" ref="BC115:BN115" si="308">+BC126+BC137+BC159</f>
      </c>
      <c r="BD115" s="28">
        <f t="shared" si="308"/>
      </c>
      <c r="BE115" s="28">
        <f t="shared" si="308"/>
      </c>
      <c r="BF115" s="28">
        <f t="shared" si="308"/>
      </c>
      <c r="BG115" s="312">
        <f t="shared" si="308"/>
      </c>
      <c r="BH115" s="28">
        <f t="shared" si="308"/>
      </c>
      <c r="BI115" s="28">
        <f t="shared" si="308"/>
      </c>
      <c r="BJ115" s="28">
        <f t="shared" si="308"/>
      </c>
      <c r="BK115" s="28">
        <f t="shared" si="308"/>
      </c>
      <c r="BL115" s="312">
        <f t="shared" si="308"/>
      </c>
      <c r="BM115" s="28">
        <f t="shared" si="308"/>
      </c>
      <c r="BN115" s="28">
        <f t="shared" si="308"/>
      </c>
      <c r="BO115" s="28">
        <f t="shared" si="300"/>
      </c>
      <c r="BP115" s="28">
        <f t="shared" si="300"/>
      </c>
      <c r="BQ115" s="312">
        <f t="shared" si="300"/>
      </c>
      <c r="BR115" s="28">
        <f t="shared" si="301"/>
      </c>
      <c r="BS115" s="28">
        <f t="shared" si="301"/>
      </c>
      <c r="BT115" s="28">
        <f t="shared" si="301"/>
      </c>
      <c r="BU115" s="28">
        <f t="shared" si="301"/>
      </c>
      <c r="BV115" s="312">
        <f t="shared" si="301"/>
      </c>
      <c r="BW115" s="28">
        <f t="shared" si="302"/>
      </c>
      <c r="BX115" s="28">
        <f t="shared" si="302"/>
      </c>
      <c r="BY115" s="28">
        <f t="shared" si="302"/>
      </c>
      <c r="BZ115" s="28">
        <f t="shared" si="302"/>
      </c>
      <c r="CA115" s="312">
        <f>+CA126+CA137+CA159+CA170+CA148</f>
      </c>
      <c r="CB115" s="28">
        <f t="shared" si="303"/>
      </c>
      <c r="CC115" s="28">
        <f>+CC126+CC137+CC159+CC170+CC148</f>
      </c>
      <c r="CD115" s="28">
        <f>+CD126+CD137+CD159+CD170+CD148</f>
      </c>
      <c r="CE115" s="28">
        <f t="shared" si="304"/>
      </c>
      <c r="CF115" s="312">
        <f t="shared" si="304"/>
      </c>
      <c r="CG115" s="28">
        <f t="shared" si="304"/>
      </c>
      <c r="CH115" s="28">
        <f t="shared" si="305"/>
      </c>
      <c r="CI115" s="28">
        <f t="shared" si="305"/>
      </c>
      <c r="CJ115" s="28">
        <f t="shared" si="305"/>
      </c>
      <c r="CK115" s="312">
        <f>SUM(CG115:CJ115)</f>
      </c>
      <c r="CL115" s="28">
        <f t="shared" si="306"/>
      </c>
      <c r="CM115" s="28">
        <f t="shared" si="306"/>
      </c>
      <c r="CN115" s="933">
        <f>+CN126+CN137+CN159+CN170+CN148</f>
      </c>
      <c r="CO115" s="28">
        <f t="shared" si="306"/>
      </c>
      <c r="CP115" s="312">
        <f>+CP126+CP137+CP159+CP170+CP148</f>
      </c>
      <c r="CQ115" s="933"/>
      <c r="CR115" s="933"/>
      <c r="CS115" s="933"/>
      <c r="CT115" s="933"/>
      <c r="CU115" s="312"/>
      <c r="CV115" s="933"/>
      <c r="CW115" s="933"/>
      <c r="CX115" s="933"/>
      <c r="CY115" s="933"/>
      <c r="CZ115" s="312"/>
      <c r="DA115" s="933"/>
      <c r="DB115" s="28"/>
      <c r="DC115" s="28"/>
      <c r="DD115" s="876"/>
      <c r="DE115" s="445"/>
      <c r="DF115" s="982"/>
      <c r="DG115" s="444"/>
      <c r="DH115" s="444"/>
      <c r="DI115" s="1788"/>
      <c r="DJ115" s="445"/>
      <c r="DK115" s="1800"/>
      <c r="DL115" s="444"/>
      <c r="DM115" s="444"/>
      <c r="DN115" s="1788"/>
      <c r="DO115" s="445"/>
      <c r="DP115" s="444"/>
      <c r="DQ115" s="444"/>
      <c r="DR115" s="444"/>
      <c r="DS115" s="1788"/>
      <c r="DT115" s="445"/>
      <c r="DU115" s="982"/>
      <c r="DV115" s="982"/>
      <c r="DW115" s="982"/>
      <c r="DX115" s="1875"/>
      <c r="DY115" s="445"/>
      <c r="DZ115" s="982"/>
      <c r="EA115" s="982"/>
      <c r="EB115" s="982"/>
      <c r="EC115" s="1875"/>
      <c r="ED115" s="1866"/>
      <c r="EE115" s="982"/>
      <c r="EF115" s="982"/>
      <c r="EG115" s="982"/>
      <c r="EH115" s="1875"/>
      <c r="EI115" s="445"/>
      <c r="EJ115" s="445"/>
      <c r="EK115" s="445"/>
      <c r="EL115" s="445"/>
      <c r="EM115" s="445"/>
      <c r="EN115" s="445"/>
      <c r="EO115" s="445"/>
      <c r="EP115" s="445"/>
      <c r="EQ115" s="445"/>
      <c r="ER115" s="445"/>
      <c r="ES115" s="445"/>
      <c r="ET115" s="445"/>
      <c r="EU115" s="445"/>
      <c r="EV115" s="445"/>
      <c r="EW115" s="445"/>
      <c r="EX115" s="445"/>
    </row>
    <row r="116" spans="1:154" ht="12.75" hidden="1" customHeight="1" outlineLevel="1">
      <c r="B116" s="1168" t="s">
        <v>413</v>
      </c>
      <c r="C116" s="1989"/>
      <c r="D116" s="28"/>
      <c r="E116" s="28"/>
      <c r="F116" s="28"/>
      <c r="G116" s="28"/>
      <c r="H116" s="28"/>
      <c r="I116" s="28"/>
      <c r="J116" s="28"/>
      <c r="K116" s="28"/>
      <c r="L116" s="28"/>
      <c r="M116" s="28"/>
      <c r="N116" s="28"/>
      <c r="O116" s="28"/>
      <c r="P116" s="28"/>
      <c r="Q116" s="28"/>
      <c r="R116" s="28"/>
      <c r="S116" s="28"/>
      <c r="T116" s="28"/>
      <c r="U116" s="28"/>
      <c r="V116" s="28"/>
      <c r="W116" s="28"/>
      <c r="X116" s="312"/>
      <c r="Y116" s="28"/>
      <c r="Z116" s="28"/>
      <c r="AA116" s="28"/>
      <c r="AB116" s="28"/>
      <c r="AC116" s="312"/>
      <c r="AD116" s="28"/>
      <c r="AE116" s="28"/>
      <c r="AF116" s="28"/>
      <c r="AG116" s="28"/>
      <c r="AH116" s="312"/>
      <c r="AI116" s="28"/>
      <c r="AJ116" s="28"/>
      <c r="AK116" s="28"/>
      <c r="AL116" s="28"/>
      <c r="AM116" s="312"/>
      <c r="AN116" s="28">
        <f t="shared" ref="AN116:BV116" si="309">+AN114+AN115</f>
      </c>
      <c r="AO116" s="28">
        <f t="shared" si="309"/>
      </c>
      <c r="AP116" s="28">
        <f t="shared" si="309"/>
      </c>
      <c r="AQ116" s="28">
        <f t="shared" si="309"/>
      </c>
      <c r="AR116" s="312">
        <f t="shared" si="309"/>
      </c>
      <c r="AS116" s="28">
        <f t="shared" si="309"/>
      </c>
      <c r="AT116" s="28">
        <f t="shared" si="309"/>
      </c>
      <c r="AU116" s="28">
        <f t="shared" si="309"/>
      </c>
      <c r="AV116" s="28">
        <f t="shared" si="309"/>
      </c>
      <c r="AW116" s="312">
        <f t="shared" si="309"/>
      </c>
      <c r="AX116" s="28">
        <f t="shared" si="309"/>
      </c>
      <c r="AY116" s="28">
        <f t="shared" si="309"/>
      </c>
      <c r="AZ116" s="28">
        <f t="shared" si="309"/>
      </c>
      <c r="BA116" s="28">
        <f t="shared" si="309"/>
      </c>
      <c r="BB116" s="312">
        <f t="shared" si="309"/>
      </c>
      <c r="BC116" s="28">
        <f t="shared" si="309"/>
      </c>
      <c r="BD116" s="28">
        <f t="shared" si="309"/>
      </c>
      <c r="BE116" s="28">
        <f t="shared" si="309"/>
      </c>
      <c r="BF116" s="28">
        <f t="shared" si="309"/>
      </c>
      <c r="BG116" s="312">
        <f t="shared" si="309"/>
      </c>
      <c r="BH116" s="28">
        <f t="shared" si="309"/>
      </c>
      <c r="BI116" s="28">
        <f t="shared" si="309"/>
      </c>
      <c r="BJ116" s="28">
        <f t="shared" si="309"/>
      </c>
      <c r="BK116" s="28">
        <f t="shared" si="309"/>
      </c>
      <c r="BL116" s="312">
        <f t="shared" si="309"/>
      </c>
      <c r="BM116" s="28">
        <f t="shared" si="309"/>
      </c>
      <c r="BN116" s="28">
        <f t="shared" si="309"/>
      </c>
      <c r="BO116" s="28">
        <f t="shared" si="309"/>
      </c>
      <c r="BP116" s="28">
        <f t="shared" si="309"/>
      </c>
      <c r="BQ116" s="312">
        <f t="shared" si="309"/>
      </c>
      <c r="BR116" s="28">
        <f t="shared" si="309"/>
      </c>
      <c r="BS116" s="28">
        <f t="shared" si="309"/>
      </c>
      <c r="BT116" s="28">
        <f t="shared" si="309"/>
      </c>
      <c r="BU116" s="28">
        <f t="shared" si="309"/>
      </c>
      <c r="BV116" s="312">
        <f t="shared" si="309"/>
      </c>
      <c r="BW116" s="28">
        <f t="shared" ref="BW116:CB116" si="310">+BW114+BW115</f>
      </c>
      <c r="BX116" s="28">
        <f t="shared" si="310"/>
      </c>
      <c r="BY116" s="28">
        <f t="shared" si="310"/>
      </c>
      <c r="BZ116" s="28">
        <f t="shared" si="310"/>
      </c>
      <c r="CA116" s="312">
        <f t="shared" si="310"/>
      </c>
      <c r="CB116" s="28">
        <f t="shared" si="310"/>
      </c>
      <c r="CC116" s="28">
        <f t="shared" ref="CC116:CJ116" si="311">+CC114+CC115</f>
      </c>
      <c r="CD116" s="28">
        <f t="shared" si="311"/>
      </c>
      <c r="CE116" s="28">
        <f t="shared" si="311"/>
      </c>
      <c r="CF116" s="312">
        <f t="shared" si="311"/>
      </c>
      <c r="CG116" s="28">
        <f t="shared" si="311"/>
      </c>
      <c r="CH116" s="28">
        <f t="shared" si="311"/>
      </c>
      <c r="CI116" s="28">
        <f t="shared" si="311"/>
      </c>
      <c r="CJ116" s="28">
        <f t="shared" si="311"/>
      </c>
      <c r="CK116" s="312">
        <f>SUM(CG116:CJ116)</f>
      </c>
      <c r="CL116" s="28">
        <f>+CL114+CL115</f>
      </c>
      <c r="CM116" s="28">
        <f>+CM114+CM115</f>
      </c>
      <c r="CN116" s="933">
        <f>+CN114+CN115</f>
      </c>
      <c r="CO116" s="28">
        <f>+CO114+CO115</f>
      </c>
      <c r="CP116" s="312">
        <f>+CP114+CP115</f>
      </c>
      <c r="CQ116" s="933"/>
      <c r="CR116" s="933"/>
      <c r="CS116" s="933"/>
      <c r="CT116" s="933"/>
      <c r="CU116" s="312"/>
      <c r="CV116" s="933"/>
      <c r="CW116" s="933"/>
      <c r="CX116" s="933"/>
      <c r="CY116" s="933"/>
      <c r="CZ116" s="312"/>
      <c r="DA116" s="933"/>
      <c r="DB116" s="28"/>
      <c r="DC116" s="28"/>
      <c r="DD116" s="876"/>
      <c r="DE116" s="445"/>
      <c r="DF116" s="982"/>
      <c r="DG116" s="444"/>
      <c r="DH116" s="444"/>
      <c r="DI116" s="1788"/>
      <c r="DJ116" s="445"/>
      <c r="DK116" s="1800"/>
      <c r="DL116" s="444"/>
      <c r="DM116" s="444"/>
      <c r="DN116" s="1788"/>
      <c r="DO116" s="445"/>
      <c r="DP116" s="444"/>
      <c r="DQ116" s="444"/>
      <c r="DR116" s="444"/>
      <c r="DS116" s="1788"/>
      <c r="DT116" s="445"/>
      <c r="DU116" s="982"/>
      <c r="DV116" s="982"/>
      <c r="DW116" s="982"/>
      <c r="DX116" s="1875"/>
      <c r="DY116" s="445"/>
      <c r="DZ116" s="982"/>
      <c r="EA116" s="982"/>
      <c r="EB116" s="982"/>
      <c r="EC116" s="1875"/>
      <c r="ED116" s="1866"/>
      <c r="EE116" s="982"/>
      <c r="EF116" s="982"/>
      <c r="EG116" s="982"/>
      <c r="EH116" s="1875"/>
      <c r="EI116" s="445"/>
      <c r="EJ116" s="445"/>
      <c r="EK116" s="445"/>
      <c r="EL116" s="445"/>
      <c r="EM116" s="445"/>
      <c r="EN116" s="445"/>
      <c r="EO116" s="445"/>
      <c r="EP116" s="445"/>
      <c r="EQ116" s="445"/>
      <c r="ER116" s="445"/>
      <c r="ES116" s="445"/>
      <c r="ET116" s="445"/>
      <c r="EU116" s="445"/>
      <c r="EV116" s="445"/>
      <c r="EW116" s="445"/>
      <c r="EX116" s="445"/>
    </row>
    <row r="117" spans="1:154" ht="12.75" hidden="1" customHeight="1" outlineLevel="1">
      <c r="B117" s="1168"/>
      <c r="C117" s="1989"/>
      <c r="D117" s="28"/>
      <c r="E117" s="28"/>
      <c r="F117" s="28"/>
      <c r="G117" s="28"/>
      <c r="H117" s="28"/>
      <c r="I117" s="31"/>
      <c r="J117" s="28"/>
      <c r="K117" s="28"/>
      <c r="L117" s="28"/>
      <c r="M117" s="28"/>
      <c r="N117" s="31"/>
      <c r="O117" s="31"/>
      <c r="P117" s="31"/>
      <c r="Q117" s="31"/>
      <c r="R117" s="31"/>
      <c r="S117" s="31"/>
      <c r="T117" s="31"/>
      <c r="U117" s="31"/>
      <c r="V117" s="31"/>
      <c r="W117" s="31"/>
      <c r="X117" s="313"/>
      <c r="Y117" s="31"/>
      <c r="Z117" s="31"/>
      <c r="AA117" s="31"/>
      <c r="AB117" s="31"/>
      <c r="AC117" s="313"/>
      <c r="AD117" s="31"/>
      <c r="AE117" s="31"/>
      <c r="AF117" s="31"/>
      <c r="AG117" s="31"/>
      <c r="AH117" s="313"/>
      <c r="AI117" s="31"/>
      <c r="AJ117" s="31"/>
      <c r="AK117" s="31"/>
      <c r="AL117" s="31"/>
      <c r="AM117" s="313"/>
      <c r="AN117" s="31"/>
      <c r="AO117" s="31"/>
      <c r="AP117" s="31"/>
      <c r="AQ117" s="31"/>
      <c r="AR117" s="313"/>
      <c r="AS117" s="31"/>
      <c r="AT117" s="31"/>
      <c r="AU117" s="31"/>
      <c r="AV117" s="31"/>
      <c r="AW117" s="313"/>
      <c r="AX117" s="31"/>
      <c r="AY117" s="31"/>
      <c r="AZ117" s="31"/>
      <c r="BA117" s="31"/>
      <c r="BB117" s="313"/>
      <c r="BC117" s="31"/>
      <c r="BD117" s="31"/>
      <c r="BE117" s="31"/>
      <c r="BF117" s="31"/>
      <c r="BG117" s="313"/>
      <c r="BH117" s="31"/>
      <c r="BI117" s="31"/>
      <c r="BJ117" s="31"/>
      <c r="BK117" s="31"/>
      <c r="BL117" s="313"/>
      <c r="BM117" s="31"/>
      <c r="BN117" s="31"/>
      <c r="BO117" s="31"/>
      <c r="BP117" s="31"/>
      <c r="BQ117" s="313"/>
      <c r="BR117" s="31"/>
      <c r="BS117" s="31"/>
      <c r="BT117" s="31"/>
      <c r="BU117" s="31"/>
      <c r="BV117" s="313"/>
      <c r="BW117" s="31"/>
      <c r="BX117" s="31"/>
      <c r="BY117" s="31"/>
      <c r="BZ117" s="31"/>
      <c r="CA117" s="313"/>
      <c r="CB117" s="31"/>
      <c r="CC117" s="31"/>
      <c r="CD117" s="31"/>
      <c r="CE117" s="31"/>
      <c r="CF117" s="313"/>
      <c r="CG117" s="31"/>
      <c r="CH117" s="31"/>
      <c r="CI117" s="31"/>
      <c r="CJ117" s="31"/>
      <c r="CK117" s="313"/>
      <c r="CL117" s="31"/>
      <c r="CM117" s="31"/>
      <c r="CN117" s="31"/>
      <c r="CO117" s="31"/>
      <c r="CP117" s="313"/>
      <c r="CQ117" s="31"/>
      <c r="CR117" s="31"/>
      <c r="CS117" s="31"/>
      <c r="CT117" s="31"/>
      <c r="CU117" s="313"/>
      <c r="CV117" s="31"/>
      <c r="CW117" s="31"/>
      <c r="CX117" s="31"/>
      <c r="CY117" s="31"/>
      <c r="CZ117" s="313"/>
      <c r="DA117" s="31"/>
      <c r="DB117" s="31"/>
      <c r="DC117" s="31"/>
      <c r="DD117" s="955"/>
      <c r="DE117" s="477"/>
      <c r="DF117" s="603"/>
      <c r="DG117" s="603"/>
      <c r="DH117" s="603"/>
      <c r="DI117" s="1798"/>
      <c r="DJ117" s="477"/>
      <c r="DK117" s="1799"/>
      <c r="DL117" s="603"/>
      <c r="DM117" s="603"/>
      <c r="DN117" s="1798"/>
      <c r="DO117" s="477"/>
      <c r="DP117" s="603"/>
      <c r="DQ117" s="603"/>
      <c r="DR117" s="603"/>
      <c r="DS117" s="1798"/>
      <c r="DT117" s="477"/>
      <c r="DU117" s="603"/>
      <c r="DV117" s="603"/>
      <c r="DW117" s="603"/>
      <c r="DX117" s="1798"/>
      <c r="DY117" s="477"/>
      <c r="DZ117" s="603"/>
      <c r="EA117" s="603"/>
      <c r="EB117" s="603"/>
      <c r="EC117" s="1798"/>
      <c r="ED117" s="477"/>
      <c r="EE117" s="603"/>
      <c r="EF117" s="603"/>
      <c r="EG117" s="603"/>
      <c r="EH117" s="1798"/>
      <c r="EI117" s="477"/>
      <c r="EJ117" s="477"/>
      <c r="EK117" s="477"/>
      <c r="EL117" s="477"/>
      <c r="EM117" s="477"/>
      <c r="EN117" s="477"/>
      <c r="EO117" s="477"/>
      <c r="EP117" s="477"/>
      <c r="EQ117" s="477"/>
      <c r="ER117" s="477"/>
      <c r="ES117" s="477"/>
      <c r="ET117" s="477"/>
      <c r="EU117" s="477"/>
      <c r="EV117" s="477"/>
      <c r="EW117" s="477"/>
      <c r="EX117" s="477"/>
    </row>
    <row r="118" spans="1:154" ht="12.75" hidden="1" customHeight="1" outlineLevel="1">
      <c r="B118" s="1162" t="s">
        <v>128</v>
      </c>
      <c r="C118" s="1989"/>
      <c r="D118" s="28"/>
      <c r="E118" s="28"/>
      <c r="F118" s="28"/>
      <c r="G118" s="28"/>
      <c r="H118" s="28"/>
      <c r="I118" s="31"/>
      <c r="J118" s="28"/>
      <c r="K118" s="28"/>
      <c r="L118" s="28"/>
      <c r="M118" s="28"/>
      <c r="N118" s="31"/>
      <c r="O118" s="31"/>
      <c r="P118" s="31"/>
      <c r="Q118" s="31"/>
      <c r="R118" s="31"/>
      <c r="S118" s="31"/>
      <c r="T118" s="31"/>
      <c r="U118" s="31"/>
      <c r="V118" s="31"/>
      <c r="W118" s="31"/>
      <c r="X118" s="313"/>
      <c r="Y118" s="31"/>
      <c r="Z118" s="31"/>
      <c r="AA118" s="31"/>
      <c r="AB118" s="31"/>
      <c r="AC118" s="313"/>
      <c r="AD118" s="31"/>
      <c r="AE118" s="31"/>
      <c r="AF118" s="31"/>
      <c r="AG118" s="31"/>
      <c r="AH118" s="313"/>
      <c r="AI118" s="28"/>
      <c r="AJ118" s="28"/>
      <c r="AK118" s="28"/>
      <c r="AL118" s="31"/>
      <c r="AM118" s="313"/>
      <c r="AN118" s="28"/>
      <c r="AO118" s="28"/>
      <c r="AP118" s="28"/>
      <c r="AQ118" s="31"/>
      <c r="AR118" s="313"/>
      <c r="AS118" s="28"/>
      <c r="AT118" s="28"/>
      <c r="AU118" s="28"/>
      <c r="AV118" s="31"/>
      <c r="AW118" s="313"/>
      <c r="AX118" s="28"/>
      <c r="AY118" s="28"/>
      <c r="AZ118" s="28"/>
      <c r="BA118" s="28"/>
      <c r="BB118" s="313"/>
      <c r="BC118" s="31"/>
      <c r="BD118" s="31"/>
      <c r="BE118" s="31"/>
      <c r="BF118" s="31"/>
      <c r="BG118" s="313"/>
      <c r="BH118" s="31"/>
      <c r="BI118" s="31"/>
      <c r="BJ118" s="31"/>
      <c r="BK118" s="31"/>
      <c r="BL118" s="313"/>
      <c r="BM118" s="31"/>
      <c r="BN118" s="31"/>
      <c r="BO118" s="31"/>
      <c r="BP118" s="31"/>
      <c r="BQ118" s="313"/>
      <c r="BR118" s="31"/>
      <c r="BS118" s="31"/>
      <c r="BT118" s="31"/>
      <c r="BU118" s="31"/>
      <c r="BV118" s="313"/>
      <c r="BW118" s="31"/>
      <c r="BX118" s="31"/>
      <c r="BY118" s="31"/>
      <c r="BZ118" s="31"/>
      <c r="CA118" s="313"/>
      <c r="CB118" s="31"/>
      <c r="CC118" s="31"/>
      <c r="CD118" s="31"/>
      <c r="CE118" s="31"/>
      <c r="CF118" s="313"/>
      <c r="CG118" s="31"/>
      <c r="CH118" s="31"/>
      <c r="CI118" s="31"/>
      <c r="CJ118" s="31"/>
      <c r="CK118" s="313"/>
      <c r="CL118" s="31"/>
      <c r="CM118" s="31"/>
      <c r="CN118" s="31"/>
      <c r="CO118" s="31"/>
      <c r="CP118" s="313"/>
      <c r="CQ118" s="31"/>
      <c r="CR118" s="31"/>
      <c r="CS118" s="31"/>
      <c r="CT118" s="31"/>
      <c r="CU118" s="313"/>
      <c r="CV118" s="31"/>
      <c r="CW118" s="31"/>
      <c r="CX118" s="31"/>
      <c r="CY118" s="31"/>
      <c r="CZ118" s="313"/>
      <c r="DA118" s="31"/>
      <c r="DB118" s="31"/>
      <c r="DC118" s="31"/>
      <c r="DD118" s="955"/>
      <c r="DE118" s="477"/>
      <c r="DF118" s="603"/>
      <c r="DG118" s="603"/>
      <c r="DH118" s="603"/>
      <c r="DI118" s="1798"/>
      <c r="DJ118" s="477"/>
      <c r="DK118" s="1799"/>
      <c r="DL118" s="603"/>
      <c r="DM118" s="603"/>
      <c r="DN118" s="1798"/>
      <c r="DO118" s="477"/>
      <c r="DP118" s="603"/>
      <c r="DQ118" s="603"/>
      <c r="DR118" s="603"/>
      <c r="DS118" s="1798"/>
      <c r="DT118" s="477"/>
      <c r="DU118" s="603"/>
      <c r="DV118" s="603"/>
      <c r="DW118" s="603"/>
      <c r="DX118" s="1798"/>
      <c r="DY118" s="477"/>
      <c r="DZ118" s="603"/>
      <c r="EA118" s="603"/>
      <c r="EB118" s="603"/>
      <c r="EC118" s="1798"/>
      <c r="ED118" s="477"/>
      <c r="EE118" s="603"/>
      <c r="EF118" s="603"/>
      <c r="EG118" s="603"/>
      <c r="EH118" s="1798"/>
      <c r="EI118" s="477"/>
      <c r="EJ118" s="477"/>
      <c r="EK118" s="477"/>
      <c r="EL118" s="477"/>
      <c r="EM118" s="477"/>
      <c r="EN118" s="477"/>
      <c r="EO118" s="477"/>
      <c r="EP118" s="477"/>
      <c r="EQ118" s="477"/>
      <c r="ER118" s="477"/>
      <c r="ES118" s="477"/>
      <c r="ET118" s="477"/>
      <c r="EU118" s="477"/>
      <c r="EV118" s="477"/>
      <c r="EW118" s="477"/>
      <c r="EX118" s="477"/>
    </row>
    <row r="119" spans="1:154" ht="12.75" hidden="1" customHeight="1" outlineLevel="1">
      <c r="B119" s="1169" t="s">
        <v>187</v>
      </c>
      <c r="C119" s="1989"/>
      <c r="D119" s="28"/>
      <c r="E119" s="28"/>
      <c r="F119" s="28"/>
      <c r="G119" s="28"/>
      <c r="H119" s="28"/>
      <c r="I119" s="30"/>
      <c r="J119" s="30"/>
      <c r="K119" s="30"/>
      <c r="L119" s="30"/>
      <c r="M119" s="30"/>
      <c r="N119" s="30"/>
      <c r="O119" s="30"/>
      <c r="P119" s="30"/>
      <c r="Q119" s="30"/>
      <c r="R119" s="30"/>
      <c r="S119" s="30"/>
      <c r="T119" s="30"/>
      <c r="U119" s="30"/>
      <c r="V119" s="30"/>
      <c r="W119" s="30"/>
      <c r="X119" s="308"/>
      <c r="Y119" s="30"/>
      <c r="Z119" s="30"/>
      <c r="AA119" s="30"/>
      <c r="AB119" s="30"/>
      <c r="AC119" s="308"/>
      <c r="AD119" s="30"/>
      <c r="AE119" s="30"/>
      <c r="AF119" s="30"/>
      <c r="AG119" s="30"/>
      <c r="AH119" s="308"/>
      <c r="AI119" s="30"/>
      <c r="AJ119" s="30"/>
      <c r="AK119" s="30"/>
      <c r="AL119" s="30"/>
      <c r="AM119" s="308"/>
      <c r="AN119" s="30" t="str">
        <f t="shared" ref="AN119:AW120" si="312">IF(AI114="NM","NM",IF(AN114="NM","NM",IF(AI114&lt;=0,"NM",IF(AN114=0,"NM",IF(ABS(AN114/AI114-1)&gt;2.5,"NM",IF((ABS(AN114-AI114)=ABS(ABS(AN114)-ABS(AI114))),(AN114/AI114-1),"NM"))))))</f>
      </c>
      <c r="AO119" s="30" t="str">
        <f t="shared" si="312"/>
      </c>
      <c r="AP119" s="30" t="str">
        <f t="shared" si="312"/>
      </c>
      <c r="AQ119" s="30" t="str">
        <f t="shared" si="312"/>
      </c>
      <c r="AR119" s="308" t="str">
        <f t="shared" si="312"/>
      </c>
      <c r="AS119" s="30" t="str">
        <f t="shared" si="312"/>
      </c>
      <c r="AT119" s="30" t="str">
        <f t="shared" si="312"/>
      </c>
      <c r="AU119" s="30" t="str">
        <f t="shared" si="312"/>
      </c>
      <c r="AV119" s="30" t="str">
        <f t="shared" si="312"/>
      </c>
      <c r="AW119" s="308" t="str">
        <f t="shared" si="312"/>
      </c>
      <c r="AX119" s="30">
        <f t="shared" ref="AX119:BG120" si="313">IF(AS114="NM","NM",IF(AX114="NM","NM",IF(AS114&lt;=0,"NM",IF(AX114=0,"NM",IF(ABS(AX114/AS114-1)&gt;2.5,"NM",IF((ABS(AX114-AS114)=ABS(ABS(AX114)-ABS(AS114))),(AX114/AS114-1),"NM"))))))</f>
      </c>
      <c r="AY119" s="30">
        <f t="shared" si="313"/>
      </c>
      <c r="AZ119" s="30">
        <f t="shared" si="313"/>
      </c>
      <c r="BA119" s="30">
        <f t="shared" si="313"/>
      </c>
      <c r="BB119" s="308">
        <f t="shared" si="313"/>
      </c>
      <c r="BC119" s="30">
        <f t="shared" si="313"/>
      </c>
      <c r="BD119" s="30">
        <f t="shared" si="313"/>
      </c>
      <c r="BE119" s="30">
        <f t="shared" si="313"/>
      </c>
      <c r="BF119" s="30">
        <f t="shared" si="313"/>
      </c>
      <c r="BG119" s="308">
        <f t="shared" si="313"/>
      </c>
      <c r="BH119" s="30">
        <f t="shared" ref="BH119:BQ120" si="314">IF(BC114="NM","NM",IF(BH114="NM","NM",IF(BC114&lt;=0,"NM",IF(BH114=0,"NM",IF(ABS(BH114/BC114-1)&gt;2.5,"NM",IF((ABS(BH114-BC114)=ABS(ABS(BH114)-ABS(BC114))),(BH114/BC114-1),"NM"))))))</f>
      </c>
      <c r="BI119" s="30">
        <f t="shared" si="314"/>
      </c>
      <c r="BJ119" s="30">
        <f t="shared" si="314"/>
      </c>
      <c r="BK119" s="30">
        <f t="shared" si="314"/>
      </c>
      <c r="BL119" s="308">
        <f t="shared" si="314"/>
      </c>
      <c r="BM119" s="30">
        <f t="shared" si="314"/>
      </c>
      <c r="BN119" s="30">
        <f t="shared" si="314"/>
      </c>
      <c r="BO119" s="30">
        <f t="shared" si="314"/>
      </c>
      <c r="BP119" s="30">
        <f t="shared" si="314"/>
      </c>
      <c r="BQ119" s="308">
        <f t="shared" si="314"/>
      </c>
      <c r="BR119" s="30">
        <f t="shared" ref="BR119:CA120" si="315">IF(BM114="NM","NM",IF(BR114="NM","NM",IF(BM114&lt;=0,"NM",IF(BR114=0,"NM",IF(ABS(BR114/BM114-1)&gt;2.5,"NM",IF((ABS(BR114-BM114)=ABS(ABS(BR114)-ABS(BM114))),(BR114/BM114-1),"NM"))))))</f>
      </c>
      <c r="BS119" s="30">
        <f t="shared" si="315"/>
      </c>
      <c r="BT119" s="30">
        <f t="shared" si="315"/>
      </c>
      <c r="BU119" s="30">
        <f t="shared" si="315"/>
      </c>
      <c r="BV119" s="308">
        <f t="shared" si="315"/>
      </c>
      <c r="BW119" s="30">
        <f t="shared" si="315"/>
      </c>
      <c r="BX119" s="30">
        <f t="shared" si="315"/>
      </c>
      <c r="BY119" s="30">
        <f t="shared" si="315"/>
      </c>
      <c r="BZ119" s="30">
        <f t="shared" si="315"/>
      </c>
      <c r="CA119" s="308">
        <f t="shared" si="315"/>
      </c>
      <c r="CB119" s="30">
        <f>IF(BW114="NM","NM",IF(CB114="NM","NM",IF(BW114&lt;=0,"NM",IF(CB114=0,"NM",IF(ABS(CB114/BW114-1)&gt;2.5,"NM",IF((ABS(CB114-BW114)=ABS(ABS(CB114)-ABS(BW114))),(CB114/BW114-1),"NM"))))))</f>
      </c>
      <c r="CC119" s="30">
        <f>IF(BX114=0, "NA", CC114/BX114-1)</f>
      </c>
      <c r="CD119" s="30" t="str">
        <f t="shared" ref="CD119:CF120" si="316">IF(BY114="NM","NM",IF(CD114="NM","NM",IF(BY114&lt;=0,"NM",IF(CD114=0,"NM",IF(ABS(CD114/BY114-1)&gt;2.5,"NM",IF((ABS(CD114-BY114)=ABS(ABS(CD114)-ABS(BY114))),(CD114/BY114-1),"NM"))))))</f>
      </c>
      <c r="CE119" s="30">
        <f t="shared" si="316"/>
      </c>
      <c r="CF119" s="308">
        <f t="shared" si="316"/>
      </c>
      <c r="CG119" s="30">
        <f>IF(CB114=0, "NA", CG114/CB114-1)</f>
      </c>
      <c r="CH119" s="30">
        <f t="shared" ref="CH119:CM119" si="317">IF(CC114=0, "NA", CH114/CC114-1)</f>
      </c>
      <c r="CI119" s="30">
        <f t="shared" ref="CI119:CK120" si="318">IF(CD114=0, "NA", CI114/CD114-1)</f>
      </c>
      <c r="CJ119" s="30">
        <f t="shared" si="318"/>
      </c>
      <c r="CK119" s="308">
        <f t="shared" si="318"/>
      </c>
      <c r="CL119" s="30">
        <f t="shared" si="317"/>
      </c>
      <c r="CM119" s="30">
        <f t="shared" si="317"/>
      </c>
      <c r="CN119" s="926">
        <f t="shared" ref="CN119:CP120" si="319">IF(CI114=0, "NA", CN114/CI114-1)</f>
      </c>
      <c r="CO119" s="30">
        <f t="shared" si="319"/>
      </c>
      <c r="CP119" s="308">
        <f t="shared" si="319"/>
      </c>
      <c r="CQ119" s="926"/>
      <c r="CR119" s="926"/>
      <c r="CS119" s="926"/>
      <c r="CT119" s="926"/>
      <c r="CU119" s="308"/>
      <c r="CV119" s="926"/>
      <c r="CW119" s="926"/>
      <c r="CX119" s="926"/>
      <c r="CY119" s="926"/>
      <c r="CZ119" s="308"/>
      <c r="DA119" s="926"/>
      <c r="DB119" s="30"/>
      <c r="DC119" s="30"/>
      <c r="DD119" s="409"/>
      <c r="DE119" s="308"/>
      <c r="DF119" s="926"/>
      <c r="DG119" s="30"/>
      <c r="DH119" s="30"/>
      <c r="DI119" s="409"/>
      <c r="DJ119" s="308"/>
      <c r="DK119" s="830"/>
      <c r="DL119" s="30"/>
      <c r="DM119" s="30"/>
      <c r="DN119" s="409"/>
      <c r="DO119" s="308"/>
      <c r="DP119" s="30"/>
      <c r="DQ119" s="30"/>
      <c r="DR119" s="30"/>
      <c r="DS119" s="409"/>
      <c r="DT119" s="308"/>
      <c r="DU119" s="926"/>
      <c r="DV119" s="926"/>
      <c r="DW119" s="926"/>
      <c r="DX119" s="928"/>
      <c r="DY119" s="308"/>
      <c r="DZ119" s="926"/>
      <c r="EA119" s="926"/>
      <c r="EB119" s="926"/>
      <c r="EC119" s="928"/>
      <c r="ED119" s="1060"/>
      <c r="EE119" s="926"/>
      <c r="EF119" s="926"/>
      <c r="EG119" s="926"/>
      <c r="EH119" s="928"/>
      <c r="EI119" s="308"/>
      <c r="EJ119" s="308"/>
      <c r="EK119" s="308"/>
      <c r="EL119" s="308"/>
      <c r="EM119" s="308"/>
      <c r="EN119" s="308"/>
      <c r="EO119" s="308"/>
      <c r="EP119" s="308"/>
      <c r="EQ119" s="308"/>
      <c r="ER119" s="308"/>
      <c r="ES119" s="308"/>
      <c r="ET119" s="308"/>
      <c r="EU119" s="308"/>
      <c r="EV119" s="308"/>
      <c r="EW119" s="308"/>
      <c r="EX119" s="308"/>
    </row>
    <row r="120" spans="1:154" ht="12.75" hidden="1" customHeight="1" outlineLevel="1">
      <c r="B120" s="1169" t="s">
        <v>412</v>
      </c>
      <c r="C120" s="1989"/>
      <c r="D120" s="28"/>
      <c r="E120" s="28"/>
      <c r="F120" s="28"/>
      <c r="G120" s="28"/>
      <c r="H120" s="28"/>
      <c r="I120" s="30"/>
      <c r="J120" s="30"/>
      <c r="K120" s="30"/>
      <c r="L120" s="30"/>
      <c r="M120" s="30"/>
      <c r="N120" s="30"/>
      <c r="O120" s="30"/>
      <c r="P120" s="30"/>
      <c r="Q120" s="30"/>
      <c r="R120" s="30"/>
      <c r="S120" s="30"/>
      <c r="T120" s="30"/>
      <c r="U120" s="30"/>
      <c r="V120" s="30"/>
      <c r="W120" s="30"/>
      <c r="X120" s="308"/>
      <c r="Y120" s="30"/>
      <c r="Z120" s="30"/>
      <c r="AA120" s="30"/>
      <c r="AB120" s="30"/>
      <c r="AC120" s="308"/>
      <c r="AD120" s="30"/>
      <c r="AE120" s="30"/>
      <c r="AF120" s="30"/>
      <c r="AG120" s="30"/>
      <c r="AH120" s="308"/>
      <c r="AI120" s="30"/>
      <c r="AJ120" s="30"/>
      <c r="AK120" s="30"/>
      <c r="AL120" s="30"/>
      <c r="AM120" s="308"/>
      <c r="AN120" s="30" t="str">
        <f t="shared" si="312"/>
      </c>
      <c r="AO120" s="30" t="str">
        <f t="shared" si="312"/>
      </c>
      <c r="AP120" s="30" t="str">
        <f t="shared" si="312"/>
      </c>
      <c r="AQ120" s="30" t="str">
        <f t="shared" si="312"/>
      </c>
      <c r="AR120" s="308" t="str">
        <f t="shared" si="312"/>
      </c>
      <c r="AS120" s="30" t="str">
        <f t="shared" si="312"/>
      </c>
      <c r="AT120" s="30" t="str">
        <f t="shared" si="312"/>
      </c>
      <c r="AU120" s="30" t="str">
        <f t="shared" si="312"/>
      </c>
      <c r="AV120" s="30" t="str">
        <f t="shared" si="312"/>
      </c>
      <c r="AW120" s="308" t="str">
        <f t="shared" si="312"/>
      </c>
      <c r="AX120" s="30" t="str">
        <f t="shared" si="313"/>
      </c>
      <c r="AY120" s="30">
        <f t="shared" si="313"/>
      </c>
      <c r="AZ120" s="30">
        <f t="shared" si="313"/>
      </c>
      <c r="BA120" s="30">
        <f t="shared" si="313"/>
      </c>
      <c r="BB120" s="308">
        <f t="shared" si="313"/>
      </c>
      <c r="BC120" s="30">
        <f t="shared" si="313"/>
      </c>
      <c r="BD120" s="30">
        <f t="shared" si="313"/>
      </c>
      <c r="BE120" s="30">
        <f t="shared" si="313"/>
      </c>
      <c r="BF120" s="30">
        <f t="shared" si="313"/>
      </c>
      <c r="BG120" s="308">
        <f t="shared" si="313"/>
      </c>
      <c r="BH120" s="30">
        <f t="shared" si="314"/>
      </c>
      <c r="BI120" s="30">
        <f t="shared" si="314"/>
      </c>
      <c r="BJ120" s="30">
        <f t="shared" si="314"/>
      </c>
      <c r="BK120" s="30">
        <f t="shared" si="314"/>
      </c>
      <c r="BL120" s="308">
        <f t="shared" si="314"/>
      </c>
      <c r="BM120" s="30">
        <f t="shared" si="314"/>
      </c>
      <c r="BN120" s="30">
        <f t="shared" si="314"/>
      </c>
      <c r="BO120" s="30">
        <f t="shared" si="314"/>
      </c>
      <c r="BP120" s="30">
        <f t="shared" si="314"/>
      </c>
      <c r="BQ120" s="308">
        <f t="shared" si="314"/>
      </c>
      <c r="BR120" s="30">
        <f t="shared" si="315"/>
      </c>
      <c r="BS120" s="30">
        <f t="shared" si="315"/>
      </c>
      <c r="BT120" s="30">
        <f t="shared" si="315"/>
      </c>
      <c r="BU120" s="30">
        <f t="shared" si="315"/>
      </c>
      <c r="BV120" s="308">
        <f t="shared" si="315"/>
      </c>
      <c r="BW120" s="30">
        <f t="shared" si="315"/>
      </c>
      <c r="BX120" s="30">
        <f t="shared" si="315"/>
      </c>
      <c r="BY120" s="30">
        <f t="shared" si="315"/>
      </c>
      <c r="BZ120" s="30">
        <f t="shared" si="315"/>
      </c>
      <c r="CA120" s="308">
        <f t="shared" si="315"/>
      </c>
      <c r="CB120" s="30">
        <f>IF(BW115="NM","NM",IF(CB115="NM","NM",IF(BW115&lt;=0,"NM",IF(CB115=0,"NM",IF(ABS(CB115/BW115-1)&gt;2.5,"NM",IF((ABS(CB115-BW115)=ABS(ABS(CB115)-ABS(BW115))),(CB115/BW115-1),"NM"))))))</f>
      </c>
      <c r="CC120" s="30">
        <f>IF(BX115="NM","NM",IF(CC115="NM","NM",IF(BX115&lt;=0,"NM",IF(CC115=0,"NM",IF(ABS(CC115/BX115-1)&gt;2.5,"NM",IF((ABS(CC115-BX115)=ABS(ABS(CC115)-ABS(BX115))),(CC115/BX115-1),"NM"))))))</f>
      </c>
      <c r="CD120" s="30">
        <f t="shared" si="316"/>
      </c>
      <c r="CE120" s="30">
        <f t="shared" si="316"/>
      </c>
      <c r="CF120" s="308">
        <f t="shared" si="316"/>
      </c>
      <c r="CG120" s="30">
        <f>IF(CB115=0, "NA", CG115/CB115-1)</f>
      </c>
      <c r="CH120" s="30">
        <f>IF(CC115=0, "NA", CH115/CC115-1)</f>
      </c>
      <c r="CI120" s="30">
        <f t="shared" si="318"/>
      </c>
      <c r="CJ120" s="30">
        <f t="shared" si="318"/>
      </c>
      <c r="CK120" s="308">
        <f t="shared" si="318"/>
      </c>
      <c r="CL120" s="30">
        <f>IF(CG115=0, "NA", CL115/CG115-1)</f>
      </c>
      <c r="CM120" s="30">
        <f>IF(CH115=0, "NA", CM115/CH115-1)</f>
      </c>
      <c r="CN120" s="926">
        <f t="shared" si="319"/>
      </c>
      <c r="CO120" s="30">
        <f t="shared" si="319"/>
      </c>
      <c r="CP120" s="308">
        <f t="shared" si="319"/>
      </c>
      <c r="CQ120" s="926"/>
      <c r="CR120" s="926"/>
      <c r="CS120" s="926"/>
      <c r="CT120" s="926"/>
      <c r="CU120" s="308"/>
      <c r="CV120" s="926"/>
      <c r="CW120" s="926"/>
      <c r="CX120" s="926"/>
      <c r="CY120" s="926"/>
      <c r="CZ120" s="308"/>
      <c r="DA120" s="926"/>
      <c r="DB120" s="30"/>
      <c r="DC120" s="30"/>
      <c r="DD120" s="409"/>
      <c r="DE120" s="308"/>
      <c r="DF120" s="926"/>
      <c r="DG120" s="30"/>
      <c r="DH120" s="30"/>
      <c r="DI120" s="409"/>
      <c r="DJ120" s="308"/>
      <c r="DK120" s="830"/>
      <c r="DL120" s="30"/>
      <c r="DM120" s="30"/>
      <c r="DN120" s="409"/>
      <c r="DO120" s="308"/>
      <c r="DP120" s="30"/>
      <c r="DQ120" s="30"/>
      <c r="DR120" s="30"/>
      <c r="DS120" s="409"/>
      <c r="DT120" s="308"/>
      <c r="DU120" s="926"/>
      <c r="DV120" s="926"/>
      <c r="DW120" s="926"/>
      <c r="DX120" s="928"/>
      <c r="DY120" s="308"/>
      <c r="DZ120" s="926"/>
      <c r="EA120" s="926"/>
      <c r="EB120" s="926"/>
      <c r="EC120" s="928"/>
      <c r="ED120" s="1060"/>
      <c r="EE120" s="926"/>
      <c r="EF120" s="926"/>
      <c r="EG120" s="926"/>
      <c r="EH120" s="928"/>
      <c r="EI120" s="308"/>
      <c r="EJ120" s="308"/>
      <c r="EK120" s="308"/>
      <c r="EL120" s="308"/>
      <c r="EM120" s="308"/>
      <c r="EN120" s="308"/>
      <c r="EO120" s="308"/>
      <c r="EP120" s="308"/>
      <c r="EQ120" s="308"/>
      <c r="ER120" s="308"/>
      <c r="ES120" s="308"/>
      <c r="ET120" s="308"/>
      <c r="EU120" s="308"/>
      <c r="EV120" s="308"/>
      <c r="EW120" s="308"/>
      <c r="EX120" s="308"/>
    </row>
    <row r="121" spans="1:154" ht="12.75" hidden="1" customHeight="1" outlineLevel="1">
      <c r="B121" s="1169" t="s">
        <v>256</v>
      </c>
      <c r="C121" s="1989"/>
      <c r="D121" s="28"/>
      <c r="E121" s="28"/>
      <c r="F121" s="28"/>
      <c r="G121" s="28"/>
      <c r="H121" s="28"/>
      <c r="I121" s="1"/>
      <c r="J121" s="1"/>
      <c r="K121" s="1"/>
      <c r="L121" s="1"/>
      <c r="M121" s="1"/>
      <c r="N121" s="1"/>
      <c r="O121" s="1"/>
      <c r="P121" s="1"/>
      <c r="Q121" s="1"/>
      <c r="R121" s="1"/>
      <c r="S121" s="1"/>
      <c r="T121" s="1"/>
      <c r="U121" s="1"/>
      <c r="V121" s="1"/>
      <c r="W121" s="1"/>
      <c r="X121" s="315"/>
      <c r="Y121" s="1"/>
      <c r="Z121" s="1"/>
      <c r="AA121" s="1"/>
      <c r="AB121" s="1"/>
      <c r="AC121" s="315"/>
      <c r="AD121" s="1"/>
      <c r="AE121" s="1"/>
      <c r="AF121" s="1"/>
      <c r="AG121" s="1"/>
      <c r="AH121" s="315"/>
      <c r="AI121" s="8"/>
      <c r="AJ121" s="8"/>
      <c r="AK121" s="8"/>
      <c r="AL121" s="8"/>
      <c r="AM121" s="315"/>
      <c r="AN121" s="8" t="str">
        <f t="shared" ref="AN121:CF121" si="320">IF(ISNUMBER(AN120),(1+AN120)/(1+AN$21)-1,"NM")</f>
      </c>
      <c r="AO121" s="8" t="str">
        <f t="shared" si="320"/>
      </c>
      <c r="AP121" s="8" t="str">
        <f t="shared" si="320"/>
      </c>
      <c r="AQ121" s="8" t="str">
        <f t="shared" si="320"/>
      </c>
      <c r="AR121" s="315" t="str">
        <f t="shared" si="320"/>
      </c>
      <c r="AS121" s="8" t="str">
        <f t="shared" si="320"/>
      </c>
      <c r="AT121" s="8" t="str">
        <f t="shared" si="320"/>
      </c>
      <c r="AU121" s="8" t="str">
        <f t="shared" si="320"/>
      </c>
      <c r="AV121" s="8" t="str">
        <f t="shared" si="320"/>
      </c>
      <c r="AW121" s="315" t="str">
        <f t="shared" si="320"/>
      </c>
      <c r="AX121" s="8" t="str">
        <f t="shared" si="320"/>
      </c>
      <c r="AY121" s="8">
        <f t="shared" si="320"/>
      </c>
      <c r="AZ121" s="8">
        <f t="shared" si="320"/>
      </c>
      <c r="BA121" s="8">
        <f t="shared" si="320"/>
      </c>
      <c r="BB121" s="315">
        <f t="shared" si="320"/>
      </c>
      <c r="BC121" s="8">
        <f t="shared" si="320"/>
      </c>
      <c r="BD121" s="8">
        <f t="shared" si="320"/>
      </c>
      <c r="BE121" s="8">
        <f t="shared" si="320"/>
      </c>
      <c r="BF121" s="8">
        <f t="shared" si="320"/>
      </c>
      <c r="BG121" s="315">
        <f t="shared" si="320"/>
      </c>
      <c r="BH121" s="8">
        <f t="shared" si="320"/>
      </c>
      <c r="BI121" s="8">
        <f t="shared" si="320"/>
      </c>
      <c r="BJ121" s="8">
        <f t="shared" si="320"/>
      </c>
      <c r="BK121" s="8">
        <f t="shared" si="320"/>
      </c>
      <c r="BL121" s="315">
        <f t="shared" si="320"/>
      </c>
      <c r="BM121" s="8">
        <f t="shared" si="320"/>
      </c>
      <c r="BN121" s="8">
        <f t="shared" si="320"/>
      </c>
      <c r="BO121" s="8">
        <f t="shared" si="320"/>
      </c>
      <c r="BP121" s="8">
        <f t="shared" si="320"/>
      </c>
      <c r="BQ121" s="315">
        <f t="shared" si="320"/>
      </c>
      <c r="BR121" s="8">
        <f t="shared" si="320"/>
      </c>
      <c r="BS121" s="8">
        <f t="shared" si="320"/>
      </c>
      <c r="BT121" s="8">
        <f t="shared" si="320"/>
      </c>
      <c r="BU121" s="8">
        <f t="shared" si="320"/>
      </c>
      <c r="BV121" s="315">
        <f t="shared" si="320"/>
      </c>
      <c r="BW121" s="8">
        <f t="shared" si="320"/>
      </c>
      <c r="BX121" s="8">
        <f t="shared" si="320"/>
      </c>
      <c r="BY121" s="8">
        <f t="shared" si="320"/>
      </c>
      <c r="BZ121" s="8">
        <f t="shared" si="320"/>
      </c>
      <c r="CA121" s="315">
        <f t="shared" si="320"/>
      </c>
      <c r="CB121" s="8">
        <f t="shared" si="320"/>
      </c>
      <c r="CC121" s="8">
        <f t="shared" si="320"/>
      </c>
      <c r="CD121" s="8">
        <f t="shared" si="320"/>
      </c>
      <c r="CE121" s="8">
        <f t="shared" si="320"/>
      </c>
      <c r="CF121" s="315">
        <f t="shared" si="320"/>
      </c>
      <c r="CG121" s="8">
        <f t="shared" ref="CG121:CP121" si="321">CG120-CG$21</f>
      </c>
      <c r="CH121" s="41">
        <f t="shared" si="321"/>
      </c>
      <c r="CI121" s="41">
        <f t="shared" si="321"/>
      </c>
      <c r="CJ121" s="41">
        <f t="shared" si="321"/>
      </c>
      <c r="CK121" s="309">
        <f t="shared" si="321"/>
      </c>
      <c r="CL121" s="8">
        <f t="shared" si="321"/>
      </c>
      <c r="CM121" s="41">
        <f t="shared" si="321"/>
      </c>
      <c r="CN121" s="925">
        <f t="shared" si="321"/>
      </c>
      <c r="CO121" s="41">
        <f t="shared" si="321"/>
      </c>
      <c r="CP121" s="315">
        <f t="shared" si="321"/>
      </c>
      <c r="CQ121" s="925"/>
      <c r="CR121" s="925"/>
      <c r="CS121" s="925"/>
      <c r="CT121" s="925"/>
      <c r="CU121" s="315"/>
      <c r="CV121" s="925"/>
      <c r="CW121" s="925"/>
      <c r="CX121" s="925"/>
      <c r="CY121" s="925"/>
      <c r="CZ121" s="315"/>
      <c r="DA121" s="925"/>
      <c r="DB121" s="8"/>
      <c r="DC121" s="8"/>
      <c r="DD121" s="942"/>
      <c r="DE121" s="308"/>
      <c r="DF121" s="925"/>
      <c r="DG121" s="30"/>
      <c r="DH121" s="30"/>
      <c r="DI121" s="409"/>
      <c r="DJ121" s="308"/>
      <c r="DK121" s="830"/>
      <c r="DL121" s="30"/>
      <c r="DM121" s="30"/>
      <c r="DN121" s="409"/>
      <c r="DO121" s="308"/>
      <c r="DP121" s="30"/>
      <c r="DQ121" s="30"/>
      <c r="DR121" s="30"/>
      <c r="DS121" s="409"/>
      <c r="DT121" s="308"/>
      <c r="DU121" s="926"/>
      <c r="DV121" s="926"/>
      <c r="DW121" s="926"/>
      <c r="DX121" s="928"/>
      <c r="DY121" s="308"/>
      <c r="DZ121" s="926"/>
      <c r="EA121" s="926"/>
      <c r="EB121" s="926"/>
      <c r="EC121" s="928"/>
      <c r="ED121" s="1060"/>
      <c r="EE121" s="926"/>
      <c r="EF121" s="926"/>
      <c r="EG121" s="926"/>
      <c r="EH121" s="928"/>
      <c r="EI121" s="308"/>
      <c r="EJ121" s="308"/>
      <c r="EK121" s="308"/>
      <c r="EL121" s="308"/>
      <c r="EM121" s="308"/>
      <c r="EN121" s="308"/>
      <c r="EO121" s="308"/>
      <c r="EP121" s="308"/>
      <c r="EQ121" s="308"/>
      <c r="ER121" s="308"/>
      <c r="ES121" s="308"/>
      <c r="ET121" s="308"/>
      <c r="EU121" s="308"/>
      <c r="EV121" s="308"/>
      <c r="EW121" s="308"/>
      <c r="EX121" s="308"/>
    </row>
    <row r="122" spans="1:154" ht="12.75" hidden="1" customHeight="1" outlineLevel="1">
      <c r="B122" s="1169" t="s">
        <v>413</v>
      </c>
      <c r="C122" s="1989"/>
      <c r="D122" s="28"/>
      <c r="E122" s="28"/>
      <c r="F122" s="28"/>
      <c r="G122" s="28"/>
      <c r="H122" s="28"/>
      <c r="I122" s="30"/>
      <c r="J122" s="30"/>
      <c r="K122" s="30"/>
      <c r="L122" s="30"/>
      <c r="M122" s="30"/>
      <c r="N122" s="30"/>
      <c r="O122" s="30"/>
      <c r="P122" s="30"/>
      <c r="Q122" s="30"/>
      <c r="R122" s="30"/>
      <c r="S122" s="30"/>
      <c r="T122" s="30"/>
      <c r="U122" s="30"/>
      <c r="V122" s="30"/>
      <c r="W122" s="30"/>
      <c r="X122" s="308"/>
      <c r="Y122" s="30"/>
      <c r="Z122" s="30"/>
      <c r="AA122" s="30"/>
      <c r="AB122" s="30"/>
      <c r="AC122" s="308"/>
      <c r="AD122" s="30"/>
      <c r="AE122" s="30"/>
      <c r="AF122" s="30"/>
      <c r="AG122" s="30"/>
      <c r="AH122" s="308"/>
      <c r="AI122" s="30"/>
      <c r="AJ122" s="30"/>
      <c r="AK122" s="30"/>
      <c r="AL122" s="30"/>
      <c r="AM122" s="308"/>
      <c r="AN122" s="30" t="str">
        <f t="shared" ref="AN122:CA122" si="322">IF(AI116="NM","NM",IF(AN116="NM","NM",IF(AI116&lt;=0,"NM",IF(AN116=0,"NM",IF(ABS(AN116/AI116-1)&gt;2.5,"NM",IF((ABS(AN116-AI116)=ABS(ABS(AN116)-ABS(AI116))),(AN116/AI116-1),"NM"))))))</f>
      </c>
      <c r="AO122" s="30" t="str">
        <f t="shared" si="322"/>
      </c>
      <c r="AP122" s="30" t="str">
        <f t="shared" si="322"/>
      </c>
      <c r="AQ122" s="30" t="str">
        <f t="shared" si="322"/>
      </c>
      <c r="AR122" s="308" t="str">
        <f t="shared" si="322"/>
      </c>
      <c r="AS122" s="30" t="str">
        <f t="shared" si="322"/>
      </c>
      <c r="AT122" s="30" t="str">
        <f t="shared" si="322"/>
      </c>
      <c r="AU122" s="30" t="str">
        <f t="shared" si="322"/>
      </c>
      <c r="AV122" s="30" t="str">
        <f t="shared" si="322"/>
      </c>
      <c r="AW122" s="308" t="str">
        <f t="shared" si="322"/>
      </c>
      <c r="AX122" s="30" t="str">
        <f t="shared" si="322"/>
      </c>
      <c r="AY122" s="30">
        <f t="shared" si="322"/>
      </c>
      <c r="AZ122" s="30">
        <f t="shared" si="322"/>
      </c>
      <c r="BA122" s="30">
        <f t="shared" si="322"/>
      </c>
      <c r="BB122" s="308">
        <f t="shared" si="322"/>
      </c>
      <c r="BC122" s="30">
        <f t="shared" si="322"/>
      </c>
      <c r="BD122" s="30">
        <f t="shared" si="322"/>
      </c>
      <c r="BE122" s="30">
        <f t="shared" si="322"/>
      </c>
      <c r="BF122" s="30">
        <f t="shared" si="322"/>
      </c>
      <c r="BG122" s="308">
        <f t="shared" si="322"/>
      </c>
      <c r="BH122" s="30">
        <f t="shared" si="322"/>
      </c>
      <c r="BI122" s="30">
        <f t="shared" si="322"/>
      </c>
      <c r="BJ122" s="30">
        <f t="shared" si="322"/>
      </c>
      <c r="BK122" s="30">
        <f t="shared" si="322"/>
      </c>
      <c r="BL122" s="308">
        <f t="shared" si="322"/>
      </c>
      <c r="BM122" s="30">
        <f t="shared" si="322"/>
      </c>
      <c r="BN122" s="30">
        <f t="shared" si="322"/>
      </c>
      <c r="BO122" s="30">
        <f t="shared" si="322"/>
      </c>
      <c r="BP122" s="30">
        <f t="shared" si="322"/>
      </c>
      <c r="BQ122" s="308">
        <f t="shared" si="322"/>
      </c>
      <c r="BR122" s="30">
        <f t="shared" si="322"/>
      </c>
      <c r="BS122" s="30">
        <f t="shared" si="322"/>
      </c>
      <c r="BT122" s="30">
        <f t="shared" si="322"/>
      </c>
      <c r="BU122" s="30">
        <f t="shared" si="322"/>
      </c>
      <c r="BV122" s="308">
        <f t="shared" si="322"/>
      </c>
      <c r="BW122" s="30">
        <f t="shared" si="322"/>
      </c>
      <c r="BX122" s="30">
        <f t="shared" si="322"/>
      </c>
      <c r="BY122" s="30">
        <f t="shared" si="322"/>
      </c>
      <c r="BZ122" s="30">
        <f t="shared" si="322"/>
      </c>
      <c r="CA122" s="308">
        <f t="shared" si="322"/>
      </c>
      <c r="CB122" s="30">
        <f>IF(BW116="NM","NM",IF(CB116="NM","NM",IF(BW116&lt;=0,"NM",IF(CB116=0,"NM",IF(ABS(CB116/BW116-1)&gt;2.5,"NM",IF((ABS(CB116-BW116)=ABS(ABS(CB116)-ABS(BW116))),(CB116/BW116-1),"NM"))))))</f>
      </c>
      <c r="CC122" s="30">
        <f>IF(BX116="NM","NM",IF(CC116="NM","NM",IF(BX116&lt;=0,"NM",IF(CC116=0,"NM",IF(ABS(CC116/BX116-1)&gt;2.5,"NM",IF((ABS(CC116-BX116)=ABS(ABS(CC116)-ABS(BX116))),(CC116/BX116-1),"NM"))))))</f>
      </c>
      <c r="CD122" s="30">
        <f>IF(BY116="NM","NM",IF(CD116="NM","NM",IF(BY116&lt;=0,"NM",IF(CD116=0,"NM",IF(ABS(CD116/BY116-1)&gt;2.5,"NM",IF((ABS(CD116-BY116)=ABS(ABS(CD116)-ABS(BY116))),(CD116/BY116-1),"NM"))))))</f>
      </c>
      <c r="CE122" s="30">
        <f>IF(BZ116="NM","NM",IF(CE116="NM","NM",IF(BZ116&lt;=0,"NM",IF(CE116=0,"NM",IF(ABS(CE116/BZ116-1)&gt;2.5,"NM",IF((ABS(CE116-BZ116)=ABS(ABS(CE116)-ABS(BZ116))),(CE116/BZ116-1),"NM"))))))</f>
      </c>
      <c r="CF122" s="308">
        <f>IF(CA116="NM","NM",IF(CF116="NM","NM",IF(CA116&lt;=0,"NM",IF(CF116=0,"NM",IF(ABS(CF116/CA116-1)&gt;2.5,"NM",IF((ABS(CF116-CA116)=ABS(ABS(CF116)-ABS(CA116))),(CF116/CA116-1),"NM"))))))</f>
      </c>
      <c r="CG122" s="30">
        <f t="shared" ref="CG122:CP122" si="323">IF(CB116=0, "NA", CG116/CB116-1)</f>
      </c>
      <c r="CH122" s="30">
        <f t="shared" si="323"/>
      </c>
      <c r="CI122" s="30">
        <f t="shared" si="323"/>
      </c>
      <c r="CJ122" s="30">
        <f t="shared" si="323"/>
      </c>
      <c r="CK122" s="308">
        <f t="shared" si="323"/>
      </c>
      <c r="CL122" s="30">
        <f t="shared" si="323"/>
      </c>
      <c r="CM122" s="30">
        <f t="shared" si="323"/>
      </c>
      <c r="CN122" s="926">
        <f t="shared" si="323"/>
      </c>
      <c r="CO122" s="30">
        <f t="shared" si="323"/>
      </c>
      <c r="CP122" s="308">
        <f t="shared" si="323"/>
      </c>
      <c r="CQ122" s="926"/>
      <c r="CR122" s="926"/>
      <c r="CS122" s="926"/>
      <c r="CT122" s="926"/>
      <c r="CU122" s="308"/>
      <c r="CV122" s="926"/>
      <c r="CW122" s="926"/>
      <c r="CX122" s="926"/>
      <c r="CY122" s="926"/>
      <c r="CZ122" s="308"/>
      <c r="DA122" s="926"/>
      <c r="DB122" s="30"/>
      <c r="DC122" s="30"/>
      <c r="DD122" s="409"/>
      <c r="DE122" s="308"/>
      <c r="DF122" s="926"/>
      <c r="DG122" s="30"/>
      <c r="DH122" s="30"/>
      <c r="DI122" s="409"/>
      <c r="DJ122" s="308"/>
      <c r="DK122" s="830"/>
      <c r="DL122" s="30"/>
      <c r="DM122" s="30"/>
      <c r="DN122" s="409"/>
      <c r="DO122" s="308"/>
      <c r="DP122" s="30"/>
      <c r="DQ122" s="30"/>
      <c r="DR122" s="30"/>
      <c r="DS122" s="409"/>
      <c r="DT122" s="308"/>
      <c r="DU122" s="926"/>
      <c r="DV122" s="926"/>
      <c r="DW122" s="926"/>
      <c r="DX122" s="928"/>
      <c r="DY122" s="308"/>
      <c r="DZ122" s="926"/>
      <c r="EA122" s="926"/>
      <c r="EB122" s="926"/>
      <c r="EC122" s="928"/>
      <c r="ED122" s="1060"/>
      <c r="EE122" s="926"/>
      <c r="EF122" s="926"/>
      <c r="EG122" s="926"/>
      <c r="EH122" s="928"/>
      <c r="EI122" s="308"/>
      <c r="EJ122" s="308"/>
      <c r="EK122" s="308"/>
      <c r="EL122" s="308"/>
      <c r="EM122" s="308"/>
      <c r="EN122" s="308"/>
      <c r="EO122" s="308"/>
      <c r="EP122" s="308"/>
      <c r="EQ122" s="308"/>
      <c r="ER122" s="308"/>
      <c r="ES122" s="308"/>
      <c r="ET122" s="308"/>
      <c r="EU122" s="308"/>
      <c r="EV122" s="308"/>
      <c r="EW122" s="308"/>
      <c r="EX122" s="308"/>
    </row>
    <row r="123" spans="1:154" ht="12.75" hidden="1" customHeight="1" outlineLevel="1">
      <c r="B123" s="1168"/>
      <c r="C123" s="1989"/>
      <c r="D123" s="28"/>
      <c r="E123" s="28"/>
      <c r="F123" s="28"/>
      <c r="G123" s="28"/>
      <c r="H123" s="28"/>
      <c r="I123" s="31"/>
      <c r="J123" s="28"/>
      <c r="K123" s="28"/>
      <c r="L123" s="28"/>
      <c r="M123" s="28"/>
      <c r="N123" s="31"/>
      <c r="O123" s="31"/>
      <c r="P123" s="31"/>
      <c r="Q123" s="31"/>
      <c r="R123" s="31"/>
      <c r="S123" s="31"/>
      <c r="T123" s="31"/>
      <c r="U123" s="31"/>
      <c r="V123" s="31"/>
      <c r="W123" s="31"/>
      <c r="X123" s="313"/>
      <c r="Y123" s="31"/>
      <c r="Z123" s="31"/>
      <c r="AA123" s="31"/>
      <c r="AB123" s="31"/>
      <c r="AC123" s="313"/>
      <c r="AD123" s="31"/>
      <c r="AE123" s="31"/>
      <c r="AF123" s="31"/>
      <c r="AG123" s="31"/>
      <c r="AH123" s="313"/>
      <c r="AI123" s="31"/>
      <c r="AJ123" s="31"/>
      <c r="AK123" s="31"/>
      <c r="AL123" s="31"/>
      <c r="AM123" s="313"/>
      <c r="AN123" s="31"/>
      <c r="AO123" s="31"/>
      <c r="AP123" s="31"/>
      <c r="AQ123" s="31"/>
      <c r="AR123" s="313"/>
      <c r="AS123" s="31"/>
      <c r="AT123" s="31"/>
      <c r="AU123" s="31"/>
      <c r="AV123" s="31"/>
      <c r="AW123" s="313"/>
      <c r="AX123" s="33"/>
      <c r="AY123" s="33"/>
      <c r="AZ123" s="33"/>
      <c r="BA123" s="31"/>
      <c r="BB123" s="313"/>
      <c r="BC123" s="31"/>
      <c r="BD123" s="31"/>
      <c r="BE123" s="31"/>
      <c r="BF123" s="31"/>
      <c r="BG123" s="313"/>
      <c r="BH123" s="31"/>
      <c r="BI123" s="31"/>
      <c r="BJ123" s="31"/>
      <c r="BK123" s="31"/>
      <c r="BL123" s="313"/>
      <c r="BM123" s="31"/>
      <c r="BN123" s="31"/>
      <c r="BO123" s="31"/>
      <c r="BP123" s="31"/>
      <c r="BQ123" s="313"/>
      <c r="BR123" s="31"/>
      <c r="BS123" s="31"/>
      <c r="BT123" s="31"/>
      <c r="BU123" s="31"/>
      <c r="BV123" s="313"/>
      <c r="BW123" s="31"/>
      <c r="BX123" s="31"/>
      <c r="BY123" s="31"/>
      <c r="BZ123" s="31"/>
      <c r="CA123" s="313"/>
      <c r="CB123" s="31"/>
      <c r="CC123" s="31"/>
      <c r="CD123" s="31"/>
      <c r="CE123" s="31"/>
      <c r="CF123" s="313"/>
      <c r="CG123" s="31"/>
      <c r="CH123" s="31"/>
      <c r="CI123" s="31"/>
      <c r="CJ123" s="31"/>
      <c r="CK123" s="313"/>
      <c r="CL123" s="957"/>
      <c r="CM123" s="31"/>
      <c r="CN123" s="31"/>
      <c r="CO123" s="31"/>
      <c r="CP123" s="313"/>
      <c r="CQ123" s="31"/>
      <c r="CR123" s="31"/>
      <c r="CS123" s="31"/>
      <c r="CT123" s="31"/>
      <c r="CU123" s="313"/>
      <c r="CV123" s="31"/>
      <c r="CW123" s="31"/>
      <c r="CX123" s="31"/>
      <c r="CY123" s="31"/>
      <c r="CZ123" s="313"/>
      <c r="DA123" s="31"/>
      <c r="DB123" s="31"/>
      <c r="DC123" s="31"/>
      <c r="DD123" s="955"/>
      <c r="DE123" s="477"/>
      <c r="DF123" s="603"/>
      <c r="DG123" s="603"/>
      <c r="DH123" s="603"/>
      <c r="DI123" s="1798"/>
      <c r="DJ123" s="477"/>
      <c r="DK123" s="1799"/>
      <c r="DL123" s="603"/>
      <c r="DM123" s="603"/>
      <c r="DN123" s="1798"/>
      <c r="DO123" s="477"/>
      <c r="DP123" s="603"/>
      <c r="DQ123" s="603"/>
      <c r="DR123" s="603"/>
      <c r="DS123" s="1798"/>
      <c r="DT123" s="477"/>
      <c r="DU123" s="603"/>
      <c r="DV123" s="603"/>
      <c r="DW123" s="603"/>
      <c r="DX123" s="1798"/>
      <c r="DY123" s="477"/>
      <c r="DZ123" s="603"/>
      <c r="EA123" s="603"/>
      <c r="EB123" s="603"/>
      <c r="EC123" s="1798"/>
      <c r="ED123" s="477"/>
      <c r="EE123" s="603"/>
      <c r="EF123" s="603"/>
      <c r="EG123" s="603"/>
      <c r="EH123" s="1798"/>
      <c r="EI123" s="477"/>
      <c r="EJ123" s="477"/>
      <c r="EK123" s="477"/>
      <c r="EL123" s="477"/>
      <c r="EM123" s="477"/>
      <c r="EN123" s="477"/>
      <c r="EO123" s="477"/>
      <c r="EP123" s="477"/>
      <c r="EQ123" s="477"/>
      <c r="ER123" s="477"/>
      <c r="ES123" s="477"/>
      <c r="ET123" s="477"/>
      <c r="EU123" s="477"/>
      <c r="EV123" s="477"/>
      <c r="EW123" s="477"/>
      <c r="EX123" s="477"/>
    </row>
    <row r="124" spans="1:154" ht="12.75" customHeight="1" collapsed="1">
      <c r="B124" s="1170" t="s">
        <v>4</v>
      </c>
      <c r="C124" s="1989"/>
      <c r="D124" s="28"/>
      <c r="E124" s="28"/>
      <c r="F124" s="28"/>
      <c r="G124" s="28"/>
      <c r="H124" s="28"/>
      <c r="I124" s="31"/>
      <c r="J124" s="28"/>
      <c r="K124" s="28"/>
      <c r="L124" s="28"/>
      <c r="M124" s="28"/>
      <c r="N124" s="31"/>
      <c r="O124" s="31"/>
      <c r="P124" s="31"/>
      <c r="Q124" s="31"/>
      <c r="R124" s="31"/>
      <c r="S124" s="31"/>
      <c r="T124" s="31"/>
      <c r="U124" s="31"/>
      <c r="V124" s="31"/>
      <c r="W124" s="31"/>
      <c r="X124" s="313"/>
      <c r="Y124" s="31"/>
      <c r="Z124" s="31"/>
      <c r="AA124" s="31"/>
      <c r="AB124" s="31"/>
      <c r="AC124" s="313"/>
      <c r="AD124" s="31"/>
      <c r="AE124" s="31"/>
      <c r="AF124" s="31"/>
      <c r="AG124" s="31"/>
      <c r="AH124" s="313"/>
      <c r="AI124" s="28"/>
      <c r="AJ124" s="28"/>
      <c r="AK124" s="28"/>
      <c r="AL124" s="31"/>
      <c r="AM124" s="313"/>
      <c r="AN124" s="28"/>
      <c r="AO124" s="28"/>
      <c r="AP124" s="28"/>
      <c r="AQ124" s="31"/>
      <c r="AR124" s="313"/>
      <c r="AS124" s="28"/>
      <c r="AT124" s="28"/>
      <c r="AU124" s="28"/>
      <c r="AV124" s="28"/>
      <c r="AW124" s="313"/>
      <c r="AX124" s="33"/>
      <c r="AY124" s="33"/>
      <c r="AZ124" s="33"/>
      <c r="BA124" s="28"/>
      <c r="BB124" s="313"/>
      <c r="BC124" s="22"/>
      <c r="BD124" s="22"/>
      <c r="BE124" s="22"/>
      <c r="BF124" s="22"/>
      <c r="BG124" s="313"/>
      <c r="BH124" s="28"/>
      <c r="BI124" s="29"/>
      <c r="BJ124" s="28"/>
      <c r="BK124" s="28"/>
      <c r="BL124" s="313"/>
      <c r="BM124" s="29"/>
      <c r="BN124" s="29"/>
      <c r="BO124" s="403"/>
      <c r="BP124" s="28"/>
      <c r="BQ124" s="313"/>
      <c r="BR124" s="29"/>
      <c r="BS124" s="29"/>
      <c r="BT124" s="29"/>
      <c r="BU124" s="28"/>
      <c r="BV124" s="313"/>
      <c r="BW124" s="29"/>
      <c r="BX124" s="29"/>
      <c r="BY124" s="29"/>
      <c r="BZ124" s="29"/>
      <c r="CA124" s="313"/>
      <c r="CB124" s="29"/>
      <c r="CC124" s="29"/>
      <c r="CD124" s="29"/>
      <c r="CE124" s="29"/>
      <c r="CF124" s="313"/>
      <c r="CG124" s="29"/>
      <c r="CH124" s="29"/>
      <c r="CI124" s="29"/>
      <c r="CJ124" s="29"/>
      <c r="CK124" s="313"/>
      <c r="CL124" s="400"/>
      <c r="CM124" s="29"/>
      <c r="CN124" s="29"/>
      <c r="CO124" s="29"/>
      <c r="CP124" s="313"/>
      <c r="CQ124" s="29"/>
      <c r="CR124" s="29"/>
      <c r="CS124" s="29"/>
      <c r="CT124" s="29"/>
      <c r="CU124" s="313"/>
      <c r="CV124" s="29"/>
      <c r="CW124" s="29"/>
      <c r="CX124" s="29"/>
      <c r="CY124" s="29"/>
      <c r="CZ124" s="313"/>
      <c r="DA124" s="29"/>
      <c r="DB124" s="31"/>
      <c r="DC124" s="31"/>
      <c r="DD124" s="955"/>
      <c r="DE124" s="477"/>
      <c r="DF124" s="29"/>
      <c r="DG124" s="603"/>
      <c r="DH124" s="603"/>
      <c r="DI124" s="1798"/>
      <c r="DJ124" s="477"/>
      <c r="DK124" s="1799"/>
      <c r="DL124" s="603"/>
      <c r="DM124" s="603"/>
      <c r="DN124" s="1798"/>
      <c r="DO124" s="477"/>
      <c r="DP124" s="603"/>
      <c r="DQ124" s="603"/>
      <c r="DR124" s="603"/>
      <c r="DS124" s="1798"/>
      <c r="DT124" s="477"/>
      <c r="DU124" s="603"/>
      <c r="DV124" s="603"/>
      <c r="DW124" s="603"/>
      <c r="DX124" s="1798"/>
      <c r="DY124" s="477"/>
      <c r="DZ124" s="603"/>
      <c r="EA124" s="603"/>
      <c r="EB124" s="603"/>
      <c r="EC124" s="1556"/>
      <c r="ED124" s="477"/>
      <c r="EE124" s="603"/>
      <c r="EF124" s="603"/>
      <c r="EG124" s="603"/>
      <c r="EH124" s="1556"/>
      <c r="EI124" s="477"/>
      <c r="EJ124" s="477"/>
      <c r="EK124" s="477"/>
      <c r="EL124" s="477"/>
      <c r="EM124" s="477"/>
      <c r="EN124" s="477"/>
      <c r="EO124" s="477"/>
      <c r="EP124" s="477"/>
      <c r="EQ124" s="477"/>
      <c r="ER124" s="477"/>
      <c r="ES124" s="477"/>
      <c r="ET124" s="477"/>
      <c r="EU124" s="477"/>
      <c r="EV124" s="477"/>
      <c r="EW124" s="477"/>
      <c r="EX124" s="477"/>
    </row>
    <row r="125" spans="1:154" ht="12.75" customHeight="1">
      <c r="A125" s="3275" t="str">
        <f>A127&amp;" - US"</f>
      </c>
      <c r="B125" s="1171" t="s">
        <v>921</v>
      </c>
      <c r="C125" s="1998" t="s">
        <v>830</v>
      </c>
      <c r="D125" s="28"/>
      <c r="E125" s="28"/>
      <c r="F125" s="28"/>
      <c r="G125" s="28"/>
      <c r="H125" s="28"/>
      <c r="I125" s="31"/>
      <c r="J125" s="28"/>
      <c r="K125" s="28"/>
      <c r="L125" s="28"/>
      <c r="M125" s="28"/>
      <c r="N125" s="31"/>
      <c r="O125" s="31"/>
      <c r="P125" s="31"/>
      <c r="Q125" s="31"/>
      <c r="R125" s="31"/>
      <c r="S125" s="31"/>
      <c r="T125" s="31"/>
      <c r="U125" s="31"/>
      <c r="V125" s="31"/>
      <c r="W125" s="31"/>
      <c r="X125" s="320"/>
      <c r="Y125" s="31"/>
      <c r="Z125" s="31"/>
      <c r="AA125" s="31"/>
      <c r="AB125" s="31"/>
      <c r="AC125" s="320"/>
      <c r="AD125" s="31"/>
      <c r="AE125" s="31"/>
      <c r="AF125" s="31"/>
      <c r="AG125" s="31"/>
      <c r="AH125" s="320"/>
      <c r="AI125" s="28"/>
      <c r="AJ125" s="28"/>
      <c r="AK125" s="28"/>
      <c r="AL125" s="31"/>
      <c r="AM125" s="320"/>
      <c r="AN125" s="33">
        <v>0</v>
      </c>
      <c r="AO125" s="33">
        <v>0</v>
      </c>
      <c r="AP125" s="33">
        <v>0</v>
      </c>
      <c r="AQ125" s="33">
        <v>8</v>
      </c>
      <c r="AR125" s="320">
        <f>+SUM(AN125:AQ125)</f>
      </c>
      <c r="AS125" s="33">
        <v>11</v>
      </c>
      <c r="AT125" s="33">
        <v>20</v>
      </c>
      <c r="AU125" s="33">
        <v>29</v>
      </c>
      <c r="AV125" s="33">
        <v>35</v>
      </c>
      <c r="AW125" s="320">
        <f>+SUM(AS125:AV125)</f>
      </c>
      <c r="AX125" s="33">
        <v>32</v>
      </c>
      <c r="AY125" s="33">
        <v>43</v>
      </c>
      <c r="AZ125" s="33">
        <v>34</v>
      </c>
      <c r="BA125" s="33">
        <v>78.76315789473685</v>
      </c>
      <c r="BB125" s="320">
        <f>SUM(AX125:BA125)</f>
      </c>
      <c r="BC125" s="33">
        <v>72</v>
      </c>
      <c r="BD125" s="33">
        <v>65</v>
      </c>
      <c r="BE125" s="33">
        <v>78</v>
      </c>
      <c r="BF125" s="33">
        <v>88</v>
      </c>
      <c r="BG125" s="312">
        <f>SUM(BC125:BF125)</f>
      </c>
      <c r="BH125" s="33">
        <v>89</v>
      </c>
      <c r="BI125" s="33">
        <v>99</v>
      </c>
      <c r="BJ125" s="33">
        <v>102</v>
      </c>
      <c r="BK125" s="33">
        <v>111</v>
      </c>
      <c r="BL125" s="313">
        <f>SUM(BH125:BK125)</f>
      </c>
      <c r="BM125" s="33">
        <v>126</v>
      </c>
      <c r="BN125" s="352">
        <v>128</v>
      </c>
      <c r="BO125" s="352">
        <v>132</v>
      </c>
      <c r="BP125" s="33">
        <v>143</v>
      </c>
      <c r="BQ125" s="313">
        <f>SUM(BM125:BP125)</f>
      </c>
      <c r="BR125" s="33">
        <v>160</v>
      </c>
      <c r="BS125" s="352">
        <v>166</v>
      </c>
      <c r="BT125" s="352">
        <v>181</v>
      </c>
      <c r="BU125" s="352">
        <v>165</v>
      </c>
      <c r="BV125" s="313">
        <f>SUM(BR125:BU125)</f>
      </c>
      <c r="BW125" s="352">
        <v>167</v>
      </c>
      <c r="BX125" s="352">
        <v>196</v>
      </c>
      <c r="BY125" s="352">
        <v>215</v>
      </c>
      <c r="BZ125" s="352">
        <v>229</v>
      </c>
      <c r="CA125" s="313">
        <f>SUM(BW125:BZ125)</f>
      </c>
      <c r="CB125" s="352">
        <v>214</v>
      </c>
      <c r="CC125" s="352">
        <v>239</v>
      </c>
      <c r="CD125" s="352">
        <v>234</v>
      </c>
      <c r="CE125" s="352">
        <v>243</v>
      </c>
      <c r="CF125" s="313">
        <f>SUM(CB125:CE125)</f>
      </c>
      <c r="CG125" s="352">
        <v>234</v>
      </c>
      <c r="CH125" s="352">
        <v>258</v>
      </c>
      <c r="CI125" s="352">
        <v>285</v>
      </c>
      <c r="CJ125" s="352">
        <v>287</v>
      </c>
      <c r="CK125" s="313">
        <f>SUM(CG125:CJ125)</f>
      </c>
      <c r="CL125" s="352">
        <v>277</v>
      </c>
      <c r="CM125" s="352">
        <v>273</v>
      </c>
      <c r="CN125" s="352">
        <v>310</v>
      </c>
      <c r="CO125" s="352">
        <v>283</v>
      </c>
      <c r="CP125" s="313">
        <f>SUM(CL125:CO125)</f>
      </c>
      <c r="CQ125" s="1217">
        <v>259</v>
      </c>
      <c r="CR125" s="1217">
        <v>278</v>
      </c>
      <c r="CS125" s="1217">
        <v>287</v>
      </c>
      <c r="CT125" s="1217">
        <v>285</v>
      </c>
      <c r="CU125" s="1228">
        <f>SUM(CQ125:CT125)</f>
      </c>
      <c r="CV125" s="1217">
        <v>273</v>
      </c>
      <c r="CW125" s="1217">
        <v>277</v>
      </c>
      <c r="CX125" s="1217">
        <v>297</v>
      </c>
      <c r="CY125" s="1217">
        <v>322</v>
      </c>
      <c r="CZ125" s="1228">
        <f>SUM(CV125:CY125)</f>
      </c>
      <c r="DA125" s="1217">
        <v>315</v>
      </c>
      <c r="DB125" s="352">
        <v>344</v>
      </c>
      <c r="DC125" s="352">
        <v>373</v>
      </c>
      <c r="DD125" s="956">
        <v>390</v>
      </c>
      <c r="DE125" s="2064">
        <f>SUM(DA125:DD125)</f>
      </c>
      <c r="DF125" s="710">
        <v>396</v>
      </c>
      <c r="DG125" s="710">
        <v>379</v>
      </c>
      <c r="DH125" s="710">
        <v>379</v>
      </c>
      <c r="DI125" s="1839">
        <v>433</v>
      </c>
      <c r="DJ125" s="2064">
        <f>SUM(DF125:DI125)</f>
      </c>
      <c r="DK125" s="710">
        <v>380</v>
      </c>
      <c r="DL125" s="710">
        <v>368</v>
      </c>
      <c r="DM125" s="710">
        <v>380</v>
      </c>
      <c r="DN125" s="1839">
        <v>380</v>
      </c>
      <c r="DO125" s="2064">
        <f>SUM(DK125:DN125)</f>
      </c>
      <c r="DP125" s="710">
        <v>369</v>
      </c>
      <c r="DQ125" s="710">
        <v>355</v>
      </c>
      <c r="DR125" s="710">
        <v>372</v>
      </c>
      <c r="DS125" s="1839">
        <v>398</v>
      </c>
      <c r="DT125" s="2064">
        <f>SUM(DP125:DS125)</f>
      </c>
      <c r="DU125" s="710">
        <v>378</v>
      </c>
      <c r="DV125" s="710">
        <v>382</v>
      </c>
      <c r="DW125" s="710">
        <v>345.4</v>
      </c>
      <c r="DX125" s="710">
        <v>340.5</v>
      </c>
      <c r="DY125" s="2064">
        <f>SUM(DU125:DX125)</f>
      </c>
      <c r="DZ125" s="710">
        <v>314.2</v>
      </c>
      <c r="EA125" s="710">
        <v>321</v>
      </c>
      <c r="EB125" s="710">
        <v>355</v>
      </c>
      <c r="EC125" s="1839">
        <v>321</v>
      </c>
      <c r="ED125" s="2064">
        <f>SUM(DZ125:EC125)</f>
      </c>
      <c r="EE125" s="710">
        <v>305</v>
      </c>
      <c r="EF125" s="710">
        <v>312</v>
      </c>
      <c r="EG125" s="710">
        <v>315</v>
      </c>
      <c r="EH125" s="1556">
        <f>+EI125-SUM(EE125:EG125)</f>
      </c>
      <c r="EI125" s="1835">
        <f>+ED125*(1+EI130)</f>
      </c>
      <c r="EJ125" s="1835">
        <f t="shared" ref="EJ125:EN126" si="324">+EI125*(1+EJ130)</f>
      </c>
      <c r="EK125" s="1556">
        <f t="shared" si="324"/>
      </c>
      <c r="EL125" s="1835">
        <f t="shared" si="324"/>
      </c>
      <c r="EM125" s="1835">
        <f t="shared" si="324"/>
      </c>
      <c r="EN125" s="1835">
        <f t="shared" si="324"/>
      </c>
      <c r="EO125" s="1835">
        <f t="shared" ref="EO125:EO126" si="325">+EN125*(1+EO130)</f>
      </c>
      <c r="EP125" s="1835">
        <f t="shared" ref="EP125:EP126" si="326">+EO125*(1+EP130)</f>
      </c>
      <c r="EQ125" s="1835">
        <f t="shared" ref="EQ125:EQ126" si="327">+EP125*(1+EQ130)</f>
      </c>
      <c r="ER125" s="1835">
        <f t="shared" ref="ER125:ER126" si="328">+EQ125*(1+ER130)</f>
      </c>
      <c r="ES125" s="1835">
        <f t="shared" ref="ES125:ES126" si="329">+ER125*(1+ES130)</f>
      </c>
      <c r="ET125" s="477"/>
      <c r="EU125" s="477"/>
      <c r="EV125" s="477"/>
      <c r="EW125" s="477"/>
      <c r="EX125" s="477"/>
    </row>
    <row r="126" spans="1:154" ht="12.75" customHeight="1">
      <c r="A126" s="3275" t="str">
        <f>+A127&amp;" - OUS"</f>
      </c>
      <c r="B126" s="1171" t="s">
        <v>412</v>
      </c>
      <c r="C126" s="1997">
        <v>43497</v>
      </c>
      <c r="D126" s="28"/>
      <c r="E126" s="28"/>
      <c r="F126" s="28"/>
      <c r="G126" s="28"/>
      <c r="H126" s="28"/>
      <c r="I126" s="31"/>
      <c r="J126" s="28"/>
      <c r="K126" s="28"/>
      <c r="L126" s="28"/>
      <c r="M126" s="28"/>
      <c r="N126" s="31"/>
      <c r="O126" s="31"/>
      <c r="P126" s="31"/>
      <c r="Q126" s="31"/>
      <c r="R126" s="31"/>
      <c r="S126" s="31"/>
      <c r="T126" s="31"/>
      <c r="U126" s="31"/>
      <c r="V126" s="31"/>
      <c r="W126" s="31"/>
      <c r="X126" s="320"/>
      <c r="Y126" s="31"/>
      <c r="Z126" s="31"/>
      <c r="AA126" s="31"/>
      <c r="AB126" s="31"/>
      <c r="AC126" s="320"/>
      <c r="AD126" s="31"/>
      <c r="AE126" s="31"/>
      <c r="AF126" s="31"/>
      <c r="AG126" s="31"/>
      <c r="AH126" s="320"/>
      <c r="AI126" s="28"/>
      <c r="AJ126" s="28"/>
      <c r="AK126" s="28"/>
      <c r="AL126" s="31"/>
      <c r="AM126" s="320"/>
      <c r="AN126" s="33">
        <v>0</v>
      </c>
      <c r="AO126" s="33">
        <v>0</v>
      </c>
      <c r="AP126" s="33">
        <v>0</v>
      </c>
      <c r="AQ126" s="33">
        <v>6</v>
      </c>
      <c r="AR126" s="320">
        <f>+SUM(AN126:AQ126)</f>
      </c>
      <c r="AS126" s="33">
        <v>9</v>
      </c>
      <c r="AT126" s="33">
        <v>15</v>
      </c>
      <c r="AU126" s="33">
        <v>25</v>
      </c>
      <c r="AV126" s="33">
        <v>31</v>
      </c>
      <c r="AW126" s="320">
        <f>+SUM(AS126:AV126)</f>
      </c>
      <c r="AX126" s="33">
        <v>42</v>
      </c>
      <c r="AY126" s="33">
        <v>45</v>
      </c>
      <c r="AZ126" s="33">
        <v>45</v>
      </c>
      <c r="BA126" s="33">
        <v>62.625</v>
      </c>
      <c r="BB126" s="320">
        <f>SUM(AX126:BA126)</f>
      </c>
      <c r="BC126" s="33">
        <v>50</v>
      </c>
      <c r="BD126" s="33">
        <v>75</v>
      </c>
      <c r="BE126" s="33">
        <v>73</v>
      </c>
      <c r="BF126" s="33">
        <v>91</v>
      </c>
      <c r="BG126" s="312">
        <f>SUM(BC126:BF126)</f>
      </c>
      <c r="BH126" s="33">
        <v>98</v>
      </c>
      <c r="BI126" s="33">
        <v>105</v>
      </c>
      <c r="BJ126" s="33">
        <v>128</v>
      </c>
      <c r="BK126" s="33">
        <v>125</v>
      </c>
      <c r="BL126" s="313">
        <f>SUM(BH126:BK126)</f>
      </c>
      <c r="BM126" s="33">
        <v>140</v>
      </c>
      <c r="BN126" s="352">
        <v>185</v>
      </c>
      <c r="BO126" s="352">
        <v>184</v>
      </c>
      <c r="BP126" s="33">
        <v>173</v>
      </c>
      <c r="BQ126" s="313">
        <f>SUM(BM126:BP126)</f>
      </c>
      <c r="BR126" s="33">
        <v>164</v>
      </c>
      <c r="BS126" s="352">
        <v>207</v>
      </c>
      <c r="BT126" s="352">
        <v>183</v>
      </c>
      <c r="BU126" s="352">
        <v>188</v>
      </c>
      <c r="BV126" s="313">
        <f>SUM(BR126:BU126)</f>
      </c>
      <c r="BW126" s="352">
        <v>200</v>
      </c>
      <c r="BX126" s="352">
        <v>239</v>
      </c>
      <c r="BY126" s="352">
        <v>195</v>
      </c>
      <c r="BZ126" s="352">
        <v>232</v>
      </c>
      <c r="CA126" s="313">
        <f>SUM(BW126:BZ126)</f>
      </c>
      <c r="CB126" s="352">
        <v>231</v>
      </c>
      <c r="CC126" s="352">
        <v>253</v>
      </c>
      <c r="CD126" s="352">
        <v>212</v>
      </c>
      <c r="CE126" s="352">
        <v>205</v>
      </c>
      <c r="CF126" s="313">
        <f>SUM(CB126:CE126)</f>
      </c>
      <c r="CG126" s="352">
        <v>193</v>
      </c>
      <c r="CH126" s="352">
        <v>190</v>
      </c>
      <c r="CI126" s="352">
        <v>183</v>
      </c>
      <c r="CJ126" s="352">
        <v>180</v>
      </c>
      <c r="CK126" s="313">
        <f>SUM(CG126:CJ126)</f>
      </c>
      <c r="CL126" s="352">
        <v>175</v>
      </c>
      <c r="CM126" s="352">
        <v>186</v>
      </c>
      <c r="CN126" s="352">
        <v>183</v>
      </c>
      <c r="CO126" s="352">
        <v>164</v>
      </c>
      <c r="CP126" s="313">
        <f>SUM(CL126:CO126)</f>
      </c>
      <c r="CQ126" s="352">
        <v>171</v>
      </c>
      <c r="CR126" s="352">
        <v>176</v>
      </c>
      <c r="CS126" s="352">
        <v>180</v>
      </c>
      <c r="CT126" s="352">
        <v>185</v>
      </c>
      <c r="CU126" s="313">
        <f>SUM(CQ126:CT126)</f>
      </c>
      <c r="CV126" s="352">
        <v>205</v>
      </c>
      <c r="CW126" s="1217">
        <v>215</v>
      </c>
      <c r="CX126" s="1217">
        <v>193</v>
      </c>
      <c r="CY126" s="352">
        <v>173</v>
      </c>
      <c r="CZ126" s="313">
        <f>SUM(CV126:CY126)</f>
      </c>
      <c r="DA126" s="352">
        <v>208</v>
      </c>
      <c r="DB126" s="352">
        <v>191</v>
      </c>
      <c r="DC126" s="352">
        <v>135</v>
      </c>
      <c r="DD126" s="956">
        <v>155</v>
      </c>
      <c r="DE126" s="1835">
        <f>SUM(DA126:DD126)</f>
      </c>
      <c r="DF126" s="710">
        <v>184</v>
      </c>
      <c r="DG126" s="710">
        <v>130</v>
      </c>
      <c r="DH126" s="710">
        <v>147</v>
      </c>
      <c r="DI126" s="1839">
        <v>136</v>
      </c>
      <c r="DJ126" s="1835">
        <f>SUM(DF126:DI126)</f>
      </c>
      <c r="DK126" s="710">
        <v>166</v>
      </c>
      <c r="DL126" s="710">
        <v>137</v>
      </c>
      <c r="DM126" s="710">
        <v>137</v>
      </c>
      <c r="DN126" s="1839">
        <v>135</v>
      </c>
      <c r="DO126" s="1835">
        <f>SUM(DK126:DN126)</f>
      </c>
      <c r="DP126" s="710">
        <v>132</v>
      </c>
      <c r="DQ126" s="710">
        <v>110</v>
      </c>
      <c r="DR126" s="710">
        <v>112</v>
      </c>
      <c r="DS126" s="1839">
        <v>95</v>
      </c>
      <c r="DT126" s="1835">
        <f>SUM(DP126:DS126)</f>
      </c>
      <c r="DU126" s="710">
        <v>98.6</v>
      </c>
      <c r="DV126" s="710">
        <v>109.4</v>
      </c>
      <c r="DW126" s="710">
        <v>102.4</v>
      </c>
      <c r="DX126" s="710">
        <v>98</v>
      </c>
      <c r="DY126" s="1835">
        <f>SUM(DU126:DX126)</f>
      </c>
      <c r="DZ126" s="710">
        <v>104.2</v>
      </c>
      <c r="EA126" s="710">
        <v>117</v>
      </c>
      <c r="EB126" s="710">
        <v>94</v>
      </c>
      <c r="EC126" s="1839">
        <v>86</v>
      </c>
      <c r="ED126" s="1835">
        <f>SUM(DZ126:EC126)</f>
      </c>
      <c r="EE126" s="710">
        <v>98</v>
      </c>
      <c r="EF126" s="710">
        <v>85</v>
      </c>
      <c r="EG126" s="710">
        <v>81</v>
      </c>
      <c r="EH126" s="1556">
        <f>+EI126-SUM(EE126:EG126)</f>
      </c>
      <c r="EI126" s="1835">
        <f>+ED126*(1+EI131)</f>
      </c>
      <c r="EJ126" s="1835">
        <f t="shared" si="324"/>
      </c>
      <c r="EK126" s="1835">
        <f t="shared" si="324"/>
      </c>
      <c r="EL126" s="1835">
        <f t="shared" si="324"/>
      </c>
      <c r="EM126" s="1835">
        <f t="shared" si="324"/>
      </c>
      <c r="EN126" s="1835">
        <f t="shared" si="324"/>
      </c>
      <c r="EO126" s="1835">
        <f t="shared" si="325"/>
      </c>
      <c r="EP126" s="1835">
        <f t="shared" si="326"/>
      </c>
      <c r="EQ126" s="1835">
        <f t="shared" si="327"/>
      </c>
      <c r="ER126" s="1835">
        <f t="shared" si="328"/>
      </c>
      <c r="ES126" s="1835">
        <f t="shared" si="329"/>
      </c>
      <c r="ET126" s="477"/>
      <c r="EU126" s="477"/>
      <c r="EV126" s="477"/>
      <c r="EW126" s="477"/>
      <c r="EX126" s="477"/>
    </row>
    <row r="127" spans="1:154" ht="12.75" customHeight="1">
      <c r="A127" s="3275" t="s">
        <v>4</v>
      </c>
      <c r="B127" s="1171" t="s">
        <v>413</v>
      </c>
      <c r="C127" s="1989"/>
      <c r="D127" s="28"/>
      <c r="E127" s="28"/>
      <c r="F127" s="28"/>
      <c r="G127" s="28"/>
      <c r="H127" s="28"/>
      <c r="I127" s="31"/>
      <c r="J127" s="28"/>
      <c r="K127" s="28"/>
      <c r="L127" s="28"/>
      <c r="M127" s="28"/>
      <c r="N127" s="31"/>
      <c r="O127" s="31"/>
      <c r="P127" s="31"/>
      <c r="Q127" s="31"/>
      <c r="R127" s="31"/>
      <c r="S127" s="31"/>
      <c r="T127" s="31"/>
      <c r="U127" s="31"/>
      <c r="V127" s="31"/>
      <c r="W127" s="31"/>
      <c r="X127" s="313"/>
      <c r="Y127" s="31"/>
      <c r="Z127" s="31"/>
      <c r="AA127" s="31"/>
      <c r="AB127" s="31"/>
      <c r="AC127" s="313"/>
      <c r="AD127" s="31"/>
      <c r="AE127" s="31"/>
      <c r="AF127" s="31"/>
      <c r="AG127" s="31"/>
      <c r="AH127" s="313"/>
      <c r="AI127" s="28"/>
      <c r="AJ127" s="28"/>
      <c r="AK127" s="28"/>
      <c r="AL127" s="31"/>
      <c r="AM127" s="313"/>
      <c r="AN127" s="28">
        <f t="shared" ref="AN127:BA127" si="330">SUM(AN125:AN126)</f>
      </c>
      <c r="AO127" s="28">
        <f t="shared" si="330"/>
      </c>
      <c r="AP127" s="28">
        <f t="shared" si="330"/>
      </c>
      <c r="AQ127" s="31">
        <f t="shared" si="330"/>
      </c>
      <c r="AR127" s="313">
        <f t="shared" si="330"/>
      </c>
      <c r="AS127" s="28">
        <f t="shared" si="330"/>
      </c>
      <c r="AT127" s="28">
        <f t="shared" si="330"/>
      </c>
      <c r="AU127" s="28">
        <f t="shared" si="330"/>
      </c>
      <c r="AV127" s="28">
        <f t="shared" si="330"/>
      </c>
      <c r="AW127" s="313">
        <f t="shared" si="330"/>
      </c>
      <c r="AX127" s="28">
        <f t="shared" si="330"/>
      </c>
      <c r="AY127" s="28">
        <f t="shared" si="330"/>
      </c>
      <c r="AZ127" s="28">
        <f t="shared" si="330"/>
      </c>
      <c r="BA127" s="28">
        <f t="shared" si="330"/>
      </c>
      <c r="BB127" s="313">
        <f>+BB125+BB126</f>
      </c>
      <c r="BC127" s="28">
        <f t="shared" ref="BC127:BJ127" si="331">SUM(BC125:BC126)</f>
      </c>
      <c r="BD127" s="28">
        <f t="shared" si="331"/>
      </c>
      <c r="BE127" s="28">
        <f t="shared" si="331"/>
      </c>
      <c r="BF127" s="28">
        <f t="shared" si="331"/>
      </c>
      <c r="BG127" s="313">
        <f t="shared" si="331"/>
      </c>
      <c r="BH127" s="28">
        <f t="shared" si="331"/>
      </c>
      <c r="BI127" s="28">
        <f t="shared" si="331"/>
      </c>
      <c r="BJ127" s="28">
        <f t="shared" si="331"/>
      </c>
      <c r="BK127" s="28">
        <f>+BK125+BK126</f>
      </c>
      <c r="BL127" s="313">
        <f>SUM(BH127:BK127)</f>
      </c>
      <c r="BM127" s="28">
        <f>SUM(BM125:BM126)</f>
      </c>
      <c r="BN127" s="28">
        <f>SUM(BN125:BN126)</f>
      </c>
      <c r="BO127" s="28">
        <f>SUM(BO125:BO126)</f>
      </c>
      <c r="BP127" s="28">
        <f>+BP125+BP126</f>
      </c>
      <c r="BQ127" s="313">
        <f>SUM(BM127:BP127)</f>
      </c>
      <c r="BR127" s="28">
        <f>SUM(BR125:BR126)</f>
      </c>
      <c r="BS127" s="28">
        <f>SUM(BS125:BS126)</f>
      </c>
      <c r="BT127" s="28">
        <f>SUM(BT125:BT126)</f>
      </c>
      <c r="BU127" s="28">
        <f>+BU125+BU126</f>
      </c>
      <c r="BV127" s="313">
        <f>SUM(BR127:BU127)</f>
      </c>
      <c r="BW127" s="28">
        <f>SUM(BW125:BW126)</f>
      </c>
      <c r="BX127" s="28">
        <f>SUM(BX125:BX126)</f>
      </c>
      <c r="BY127" s="28">
        <f>SUM(BY125:BY126)</f>
      </c>
      <c r="BZ127" s="28">
        <f>SUM(BZ125:BZ126)</f>
      </c>
      <c r="CA127" s="313">
        <f>SUM(BW127:BZ127)</f>
      </c>
      <c r="CB127" s="28">
        <f>SUM(CB125:CB126)</f>
      </c>
      <c r="CC127" s="28">
        <f>SUM(CC125:CC126)</f>
      </c>
      <c r="CD127" s="28">
        <f>SUM(CD125:CD126)</f>
      </c>
      <c r="CE127" s="28">
        <f>SUM(CE125:CE126)</f>
      </c>
      <c r="CF127" s="313">
        <f>SUM(CB127:CE127)</f>
      </c>
      <c r="CG127" s="28">
        <f>SUM(CG125:CG126)</f>
      </c>
      <c r="CH127" s="28">
        <f>SUM(CH125:CH126)</f>
      </c>
      <c r="CI127" s="28">
        <f>SUM(CI125:CI126)</f>
      </c>
      <c r="CJ127" s="28">
        <f>SUM(CJ125:CJ126)</f>
      </c>
      <c r="CK127" s="313">
        <f>SUM(CG127:CJ127)</f>
      </c>
      <c r="CL127" s="28">
        <f>SUM(CL125:CL126)</f>
      </c>
      <c r="CM127" s="28">
        <f>SUM(CM125:CM126)</f>
      </c>
      <c r="CN127" s="28">
        <f>SUM(CN125:CN126)</f>
      </c>
      <c r="CO127" s="28">
        <f>SUM(CO125:CO126)</f>
      </c>
      <c r="CP127" s="313">
        <f>SUM(CL127:CO127)</f>
      </c>
      <c r="CQ127" s="933">
        <f>SUM(CQ125:CQ126)</f>
      </c>
      <c r="CR127" s="933">
        <f>SUM(CR125:CR126)</f>
      </c>
      <c r="CS127" s="933">
        <f>SUM(CS125:CS126)</f>
      </c>
      <c r="CT127" s="933">
        <f>SUM(CT125:CT126)</f>
      </c>
      <c r="CU127" s="313">
        <f>SUM(CQ127:CT127)</f>
      </c>
      <c r="CV127" s="933">
        <f>SUM(CV125:CV126)</f>
      </c>
      <c r="CW127" s="1227">
        <f>SUM(CW125:CW126)</f>
      </c>
      <c r="CX127" s="1227">
        <f>SUM(CX125:CX126)</f>
      </c>
      <c r="CY127" s="933">
        <f>SUM(CY125:CY126)</f>
      </c>
      <c r="CZ127" s="313">
        <f>SUM(CV127:CY127)</f>
      </c>
      <c r="DA127" s="933">
        <f>SUM(DA125:DA126)</f>
      </c>
      <c r="DB127" s="31">
        <f>SUM(DB125:DB126)</f>
      </c>
      <c r="DC127" s="31">
        <f>SUM(DC125:DC126)</f>
      </c>
      <c r="DD127" s="955">
        <f>+DD125+DD126</f>
      </c>
      <c r="DE127" s="1835">
        <f>SUM(DA127:DD127)</f>
      </c>
      <c r="DF127" s="1542">
        <f>SUM(DF125:DF126)</f>
      </c>
      <c r="DG127" s="1542">
        <f>SUM(DG125:DG126)</f>
      </c>
      <c r="DH127" s="1542">
        <f>SUM(DH125:DH126)</f>
      </c>
      <c r="DI127" s="1556">
        <f>+DI125+DI126</f>
      </c>
      <c r="DJ127" s="1835">
        <f>SUM(DJ125:DJ126)</f>
      </c>
      <c r="DK127" s="1542">
        <f>+DK125+DK126</f>
      </c>
      <c r="DL127" s="1542">
        <f>+DL125+DL126</f>
      </c>
      <c r="DM127" s="1542">
        <f>+DM125+DM126</f>
      </c>
      <c r="DN127" s="1556">
        <f>+DN125+DN126</f>
      </c>
      <c r="DO127" s="1835">
        <f>SUM(DO125:DO126)</f>
      </c>
      <c r="DP127" s="1542">
        <f>+DP125+DP126</f>
      </c>
      <c r="DQ127" s="1542">
        <f>+DQ125+DQ126</f>
      </c>
      <c r="DR127" s="1542">
        <f>+DR125+DR126</f>
      </c>
      <c r="DS127" s="1556">
        <f>+DS125+DS126</f>
      </c>
      <c r="DT127" s="1835">
        <f>SUM(DT125:DT126)</f>
      </c>
      <c r="DU127" s="1542">
        <f>+DU125+DU126</f>
      </c>
      <c r="DV127" s="1542">
        <f>+DV125+DV126</f>
      </c>
      <c r="DW127" s="1542">
        <f>+DW125+DW126</f>
      </c>
      <c r="DX127" s="1542">
        <f>+DX125+DX126</f>
      </c>
      <c r="DY127" s="1835">
        <f>SUM(DY125:DY126)</f>
      </c>
      <c r="DZ127" s="1542">
        <f>+DZ125+DZ126</f>
      </c>
      <c r="EA127" s="1542">
        <f>+EA125+EA126</f>
      </c>
      <c r="EB127" s="1542">
        <f>+EB125+EB126</f>
      </c>
      <c r="EC127" s="1556">
        <f>+EC125+EC126</f>
      </c>
      <c r="ED127" s="1835">
        <f t="shared" ref="ED127" si="332">SUM(ED125:ED126)</f>
      </c>
      <c r="EE127" s="1542">
        <f>+EE125+EE126</f>
      </c>
      <c r="EF127" s="1542">
        <f>+EF125+EF126</f>
      </c>
      <c r="EG127" s="1542">
        <f>+EG125+EG126</f>
      </c>
      <c r="EH127" s="1556">
        <f>+EH125+EH126</f>
      </c>
      <c r="EI127" s="1835">
        <f t="shared" ref="EI127:EN127" si="333">SUM(EI125:EI126)</f>
      </c>
      <c r="EJ127" s="1835">
        <f t="shared" si="333"/>
      </c>
      <c r="EK127" s="1835">
        <f t="shared" si="333"/>
      </c>
      <c r="EL127" s="1835">
        <f t="shared" si="333"/>
      </c>
      <c r="EM127" s="1835">
        <f t="shared" si="333"/>
      </c>
      <c r="EN127" s="1835">
        <f t="shared" si="333"/>
      </c>
      <c r="EO127" s="1835">
        <f t="shared" ref="EO127:ES127" si="334">SUM(EO125:EO126)</f>
      </c>
      <c r="EP127" s="1835">
        <f t="shared" si="334"/>
      </c>
      <c r="EQ127" s="1835">
        <f t="shared" si="334"/>
      </c>
      <c r="ER127" s="1835">
        <f t="shared" si="334"/>
      </c>
      <c r="ES127" s="1835">
        <f t="shared" si="334"/>
      </c>
      <c r="ET127" s="477"/>
      <c r="EU127" s="477"/>
      <c r="EV127" s="477"/>
      <c r="EW127" s="477"/>
      <c r="EX127" s="477"/>
    </row>
    <row r="128" spans="1:154" ht="12.75" customHeight="1">
      <c r="B128" s="1171"/>
      <c r="C128" s="1989"/>
      <c r="D128" s="28"/>
      <c r="E128" s="28"/>
      <c r="F128" s="28"/>
      <c r="G128" s="28"/>
      <c r="H128" s="28"/>
      <c r="I128" s="31"/>
      <c r="J128" s="28"/>
      <c r="K128" s="28"/>
      <c r="L128" s="28"/>
      <c r="M128" s="28"/>
      <c r="N128" s="31"/>
      <c r="O128" s="31"/>
      <c r="P128" s="31"/>
      <c r="Q128" s="31"/>
      <c r="R128" s="31"/>
      <c r="S128" s="31"/>
      <c r="T128" s="31"/>
      <c r="U128" s="31"/>
      <c r="V128" s="31"/>
      <c r="W128" s="31"/>
      <c r="X128" s="313"/>
      <c r="Y128" s="31"/>
      <c r="Z128" s="31"/>
      <c r="AA128" s="31"/>
      <c r="AB128" s="31"/>
      <c r="AC128" s="313"/>
      <c r="AD128" s="31"/>
      <c r="AE128" s="31"/>
      <c r="AF128" s="31"/>
      <c r="AG128" s="31"/>
      <c r="AH128" s="313"/>
      <c r="AI128" s="28"/>
      <c r="AJ128" s="28"/>
      <c r="AK128" s="28"/>
      <c r="AL128" s="31"/>
      <c r="AM128" s="313"/>
      <c r="AN128" s="28"/>
      <c r="AO128" s="28"/>
      <c r="AP128" s="28"/>
      <c r="AQ128" s="31"/>
      <c r="AR128" s="313"/>
      <c r="AS128" s="28"/>
      <c r="AT128" s="28"/>
      <c r="AU128" s="28"/>
      <c r="AV128" s="28"/>
      <c r="AW128" s="313"/>
      <c r="AX128" s="28"/>
      <c r="AY128" s="28"/>
      <c r="AZ128" s="28"/>
      <c r="BA128" s="28"/>
      <c r="BB128" s="313"/>
      <c r="BC128" s="28"/>
      <c r="BD128" s="28"/>
      <c r="BE128" s="28"/>
      <c r="BF128" s="28"/>
      <c r="BG128" s="313"/>
      <c r="BH128" s="28"/>
      <c r="BI128" s="28"/>
      <c r="BJ128" s="28"/>
      <c r="BK128" s="28"/>
      <c r="BL128" s="313"/>
      <c r="BM128" s="28"/>
      <c r="BN128" s="28"/>
      <c r="BO128" s="28"/>
      <c r="BP128" s="28"/>
      <c r="BQ128" s="313"/>
      <c r="BR128" s="28"/>
      <c r="BS128" s="28"/>
      <c r="BT128" s="28"/>
      <c r="BU128" s="28"/>
      <c r="BV128" s="313"/>
      <c r="BW128" s="28"/>
      <c r="BX128" s="28"/>
      <c r="BY128" s="28"/>
      <c r="BZ128" s="28"/>
      <c r="CA128" s="313"/>
      <c r="CB128" s="28"/>
      <c r="CC128" s="28"/>
      <c r="CD128" s="28"/>
      <c r="CE128" s="28"/>
      <c r="CF128" s="313"/>
      <c r="CG128" s="28"/>
      <c r="CH128" s="28"/>
      <c r="CI128" s="28"/>
      <c r="CJ128" s="28"/>
      <c r="CK128" s="313"/>
      <c r="CL128" s="961"/>
      <c r="CM128" s="933"/>
      <c r="CN128" s="933"/>
      <c r="CO128" s="28"/>
      <c r="CP128" s="313"/>
      <c r="CQ128" s="933"/>
      <c r="CR128" s="933"/>
      <c r="CS128" s="933"/>
      <c r="CT128" s="933"/>
      <c r="CU128" s="313"/>
      <c r="CV128" s="933"/>
      <c r="CW128" s="933"/>
      <c r="CX128" s="933"/>
      <c r="CY128" s="933"/>
      <c r="CZ128" s="313"/>
      <c r="DA128" s="933"/>
      <c r="DB128" s="31"/>
      <c r="DC128" s="39"/>
      <c r="DD128" s="955"/>
      <c r="DE128" s="477"/>
      <c r="DF128" s="982"/>
      <c r="DG128" s="603"/>
      <c r="DH128" s="603"/>
      <c r="DI128" s="1798"/>
      <c r="DJ128" s="477"/>
      <c r="DK128" s="1799"/>
      <c r="DL128" s="603"/>
      <c r="DM128" s="603"/>
      <c r="DN128" s="1798"/>
      <c r="DO128" s="477"/>
      <c r="DP128" s="603"/>
      <c r="DQ128" s="603"/>
      <c r="DR128" s="603"/>
      <c r="DS128" s="1798"/>
      <c r="DT128" s="477"/>
      <c r="DU128" s="603"/>
      <c r="DV128" s="603"/>
      <c r="DW128" s="603"/>
      <c r="DX128" s="1798"/>
      <c r="DY128" s="477"/>
      <c r="DZ128" s="603"/>
      <c r="EA128" s="603"/>
      <c r="EB128" s="603"/>
      <c r="EC128" s="1798"/>
      <c r="ED128" s="477"/>
      <c r="EE128" s="603"/>
      <c r="EF128" s="603"/>
      <c r="EG128" s="603"/>
      <c r="EH128" s="1798"/>
      <c r="EI128" s="477"/>
      <c r="EJ128" s="477"/>
      <c r="EK128" s="477"/>
      <c r="EL128" s="477"/>
      <c r="EM128" s="477"/>
      <c r="EN128" s="477"/>
      <c r="EO128" s="477"/>
      <c r="EP128" s="477"/>
      <c r="EQ128" s="477"/>
      <c r="ER128" s="477"/>
      <c r="ES128" s="477"/>
      <c r="ET128" s="477"/>
      <c r="EU128" s="477"/>
      <c r="EV128" s="477"/>
      <c r="EW128" s="477"/>
      <c r="EX128" s="477"/>
    </row>
    <row r="129" spans="2:154" ht="12.75" customHeight="1">
      <c r="B129" s="1172" t="s">
        <v>920</v>
      </c>
      <c r="C129" s="1989"/>
      <c r="D129" s="28"/>
      <c r="E129" s="28"/>
      <c r="F129" s="28"/>
      <c r="G129" s="28"/>
      <c r="H129" s="28"/>
      <c r="I129" s="31"/>
      <c r="J129" s="28"/>
      <c r="K129" s="28"/>
      <c r="L129" s="28"/>
      <c r="M129" s="28"/>
      <c r="N129" s="31"/>
      <c r="O129" s="31"/>
      <c r="P129" s="31"/>
      <c r="Q129" s="31"/>
      <c r="R129" s="31"/>
      <c r="S129" s="31"/>
      <c r="T129" s="31"/>
      <c r="U129" s="31"/>
      <c r="V129" s="31"/>
      <c r="W129" s="31"/>
      <c r="X129" s="313"/>
      <c r="Y129" s="31"/>
      <c r="Z129" s="31"/>
      <c r="AA129" s="31"/>
      <c r="AB129" s="31"/>
      <c r="AC129" s="313"/>
      <c r="AD129" s="31"/>
      <c r="AE129" s="31"/>
      <c r="AF129" s="31"/>
      <c r="AG129" s="31"/>
      <c r="AH129" s="313"/>
      <c r="AI129" s="28"/>
      <c r="AJ129" s="28"/>
      <c r="AK129" s="28"/>
      <c r="AL129" s="31"/>
      <c r="AM129" s="313"/>
      <c r="AN129" s="28"/>
      <c r="AO129" s="28"/>
      <c r="AP129" s="28"/>
      <c r="AQ129" s="31"/>
      <c r="AR129" s="313"/>
      <c r="AS129" s="28"/>
      <c r="AT129" s="28"/>
      <c r="AU129" s="28"/>
      <c r="AV129" s="28"/>
      <c r="AW129" s="313"/>
      <c r="AX129" s="28"/>
      <c r="AY129" s="28"/>
      <c r="AZ129" s="28"/>
      <c r="BA129" s="28"/>
      <c r="BB129" s="313"/>
      <c r="BC129" s="28"/>
      <c r="BD129" s="28"/>
      <c r="BE129" s="28"/>
      <c r="BF129" s="28"/>
      <c r="BG129" s="313"/>
      <c r="BH129" s="28"/>
      <c r="BI129" s="29"/>
      <c r="BJ129" s="28"/>
      <c r="BK129" s="28"/>
      <c r="BL129" s="313"/>
      <c r="BM129" s="29"/>
      <c r="BN129" s="29"/>
      <c r="BO129" s="29"/>
      <c r="BP129" s="28"/>
      <c r="BQ129" s="313"/>
      <c r="BR129" s="29"/>
      <c r="BS129" s="29"/>
      <c r="BT129" s="29"/>
      <c r="BU129" s="28"/>
      <c r="BV129" s="313"/>
      <c r="BW129" s="29"/>
      <c r="BX129" s="29"/>
      <c r="BY129" s="29"/>
      <c r="BZ129" s="29"/>
      <c r="CA129" s="313"/>
      <c r="CB129" s="29"/>
      <c r="CC129" s="29"/>
      <c r="CD129" s="29"/>
      <c r="CE129" s="29"/>
      <c r="CF129" s="313"/>
      <c r="CG129" s="29"/>
      <c r="CH129" s="29"/>
      <c r="CI129" s="29"/>
      <c r="CJ129" s="29"/>
      <c r="CK129" s="313"/>
      <c r="CL129" s="400"/>
      <c r="CM129" s="29"/>
      <c r="CN129" s="29"/>
      <c r="CO129" s="29"/>
      <c r="CP129" s="313"/>
      <c r="CQ129" s="29"/>
      <c r="CR129" s="29"/>
      <c r="CS129" s="29"/>
      <c r="CT129" s="29"/>
      <c r="CU129" s="313"/>
      <c r="CV129" s="29"/>
      <c r="CW129" s="29"/>
      <c r="CX129" s="29"/>
      <c r="CY129" s="29"/>
      <c r="CZ129" s="313"/>
      <c r="DA129" s="29"/>
      <c r="DB129" s="31"/>
      <c r="DC129" s="31"/>
      <c r="DD129" s="955"/>
      <c r="DE129" s="477"/>
      <c r="DF129" s="29"/>
      <c r="DG129" s="603"/>
      <c r="DH129" s="603"/>
      <c r="DI129" s="1798"/>
      <c r="DJ129" s="477"/>
      <c r="DK129" s="1799"/>
      <c r="DL129" s="603"/>
      <c r="DM129" s="603"/>
      <c r="DN129" s="1798"/>
      <c r="DO129" s="477"/>
      <c r="DP129" s="603"/>
      <c r="DQ129" s="603"/>
      <c r="DR129" s="603"/>
      <c r="DS129" s="1798"/>
      <c r="DT129" s="477"/>
      <c r="DU129" s="603"/>
      <c r="DV129" s="603"/>
      <c r="DW129" s="603"/>
      <c r="DX129" s="1798"/>
      <c r="DY129" s="477"/>
      <c r="DZ129" s="603"/>
      <c r="EA129" s="603"/>
      <c r="EB129" s="603"/>
      <c r="EC129" s="1798"/>
      <c r="ED129" s="477"/>
      <c r="EE129" s="603"/>
      <c r="EF129" s="603"/>
      <c r="EG129" s="603"/>
      <c r="EH129" s="1798"/>
      <c r="EI129" s="477"/>
      <c r="EJ129" s="477"/>
      <c r="EK129" s="477"/>
      <c r="EL129" s="477"/>
      <c r="EM129" s="477"/>
      <c r="EN129" s="477"/>
      <c r="EO129" s="477"/>
      <c r="EP129" s="477"/>
      <c r="EQ129" s="477"/>
      <c r="ER129" s="477"/>
      <c r="ES129" s="477"/>
      <c r="ET129" s="477"/>
      <c r="EU129" s="477"/>
      <c r="EV129" s="477"/>
      <c r="EW129" s="477"/>
      <c r="EX129" s="477"/>
    </row>
    <row r="130" spans="2:154" ht="12.75" customHeight="1">
      <c r="B130" s="912" t="s">
        <v>921</v>
      </c>
      <c r="C130" s="1989"/>
      <c r="D130" s="28"/>
      <c r="E130" s="28"/>
      <c r="F130" s="28"/>
      <c r="G130" s="28"/>
      <c r="H130" s="28"/>
      <c r="I130" s="31"/>
      <c r="J130" s="28"/>
      <c r="K130" s="28"/>
      <c r="L130" s="28"/>
      <c r="M130" s="28"/>
      <c r="N130" s="31"/>
      <c r="O130" s="31"/>
      <c r="P130" s="31"/>
      <c r="Q130" s="31"/>
      <c r="R130" s="31"/>
      <c r="S130" s="31"/>
      <c r="T130" s="31"/>
      <c r="U130" s="31"/>
      <c r="V130" s="31"/>
      <c r="W130" s="31"/>
      <c r="X130" s="308"/>
      <c r="Y130" s="30"/>
      <c r="Z130" s="30"/>
      <c r="AA130" s="30"/>
      <c r="AB130" s="30"/>
      <c r="AC130" s="308"/>
      <c r="AD130" s="30"/>
      <c r="AE130" s="30"/>
      <c r="AF130" s="30"/>
      <c r="AG130" s="30"/>
      <c r="AH130" s="308"/>
      <c r="AI130" s="30"/>
      <c r="AJ130" s="30"/>
      <c r="AK130" s="30"/>
      <c r="AL130" s="30"/>
      <c r="AM130" s="308"/>
      <c r="AN130" s="30"/>
      <c r="AO130" s="30"/>
      <c r="AP130" s="30"/>
      <c r="AQ130" s="30"/>
      <c r="AR130" s="308"/>
      <c r="AS130" s="30" t="str">
        <f t="shared" ref="AS130:BB131" si="335">IF(AN125="NM","NM",IF(AS125="NM","NM",IF(AN125&lt;=0,"NM",IF(AS125=0,"NM",IF(ABS(AS125/AN125-1)&gt;2.5,"NM",IF((ABS(AS125-AN125)=ABS(ABS(AS125)-ABS(AN125))),(AS125/AN125-1),"NM"))))))</f>
      </c>
      <c r="AT130" s="30" t="str">
        <f t="shared" si="335"/>
      </c>
      <c r="AU130" s="30" t="str">
        <f t="shared" si="335"/>
      </c>
      <c r="AV130" s="30" t="str">
        <f t="shared" si="335"/>
      </c>
      <c r="AW130" s="308" t="str">
        <f t="shared" si="335"/>
      </c>
      <c r="AX130" s="30">
        <f t="shared" si="335"/>
      </c>
      <c r="AY130" s="30">
        <f t="shared" si="335"/>
      </c>
      <c r="AZ130" s="30">
        <f t="shared" si="335"/>
      </c>
      <c r="BA130" s="30">
        <f t="shared" si="335"/>
      </c>
      <c r="BB130" s="308">
        <f t="shared" si="335"/>
      </c>
      <c r="BC130" s="30">
        <f t="shared" ref="BC130:BL131" si="336">IF(AX125="NM","NM",IF(BC125="NM","NM",IF(AX125&lt;=0,"NM",IF(BC125=0,"NM",IF(ABS(BC125/AX125-1)&gt;2.5,"NM",IF((ABS(BC125-AX125)=ABS(ABS(BC125)-ABS(AX125))),(BC125/AX125-1),"NM"))))))</f>
      </c>
      <c r="BD130" s="30">
        <f t="shared" si="336"/>
      </c>
      <c r="BE130" s="30">
        <f t="shared" si="336"/>
      </c>
      <c r="BF130" s="30">
        <f t="shared" si="336"/>
      </c>
      <c r="BG130" s="308">
        <f t="shared" si="336"/>
      </c>
      <c r="BH130" s="30">
        <f t="shared" si="336"/>
      </c>
      <c r="BI130" s="30">
        <f t="shared" si="336"/>
      </c>
      <c r="BJ130" s="30">
        <f t="shared" si="336"/>
      </c>
      <c r="BK130" s="30">
        <f t="shared" si="336"/>
      </c>
      <c r="BL130" s="308">
        <f t="shared" si="336"/>
      </c>
      <c r="BM130" s="30">
        <f t="shared" ref="BM130:BR131" si="337">IF(BH125="NM","NM",IF(BM125="NM","NM",IF(BH125&lt;=0,"NM",IF(BM125=0,"NM",IF(ABS(BM125/BH125-1)&gt;2.5,"NM",IF((ABS(BM125-BH125)=ABS(ABS(BM125)-ABS(BH125))),(BM125/BH125-1),"NM"))))))</f>
      </c>
      <c r="BN130" s="30">
        <f t="shared" si="337"/>
      </c>
      <c r="BO130" s="30">
        <f t="shared" si="337"/>
      </c>
      <c r="BP130" s="30">
        <f t="shared" si="337"/>
      </c>
      <c r="BQ130" s="308">
        <f t="shared" si="337"/>
      </c>
      <c r="BR130" s="30">
        <f t="shared" si="337"/>
      </c>
      <c r="BS130" s="30">
        <f t="shared" ref="BS130:CQ131" si="338">IF(BN125="NM","NM",IF(BS125="NM","NM",IF(BN125&lt;=0,"NM",IF(BS125=0,"NM",IF(ABS(BS125/BN125-1)&gt;2.5,"NM",IF((ABS(BS125-BN125)=ABS(ABS(BS125)-ABS(BN125))),(BS125/BN125-1),"NM"))))))</f>
      </c>
      <c r="BT130" s="30">
        <f t="shared" si="338"/>
      </c>
      <c r="BU130" s="30">
        <f>IF(BP125="NM","NM",IF(BU125="NM","NM",IF(BP125&lt;=0,"NM",IF(BU125=0,"NM",IF(ABS(BU125/BP125-1)&gt;2.5,"NM",IF((ABS(BU125-BP125)=ABS(ABS(BU125)-ABS(BP125))),(BU125/BP125-1),"NM"))))))</f>
      </c>
      <c r="BV130" s="308">
        <f>IF(BQ125="NM","NM",IF(BV125="NM","NM",IF(BQ125&lt;=0,"NM",IF(BV125=0,"NM",IF(ABS(BV125/BQ125-1)&gt;2.5,"NM",IF((ABS(BV125-BQ125)=ABS(ABS(BV125)-ABS(BQ125))),(BV125/BQ125-1),"NM"))))))</f>
      </c>
      <c r="BW130" s="30">
        <f t="shared" si="338"/>
      </c>
      <c r="BX130" s="30">
        <f t="shared" si="338"/>
      </c>
      <c r="BY130" s="30">
        <f t="shared" si="338"/>
      </c>
      <c r="BZ130" s="30">
        <f>IF(BU125="NM","NM",IF(BZ125="NM","NM",IF(BU125&lt;=0,"NM",IF(BZ125=0,"NM",IF(ABS(BZ125/BU125-1)&gt;2.5,"NM",IF((ABS(BZ125-BU125)=ABS(ABS(BZ125)-ABS(BU125))),(BZ125/BU125-1),"NM"))))))</f>
      </c>
      <c r="CA130" s="308">
        <f>IF(BV125="NM","NM",IF(CA125="NM","NM",IF(BV125&lt;=0,"NM",IF(CA125=0,"NM",IF(ABS(CA125/BV125-1)&gt;2.5,"NM",IF((ABS(CA125-BV125)=ABS(ABS(CA125)-ABS(BV125))),(CA125/BV125-1),"NM"))))))</f>
      </c>
      <c r="CB130" s="30">
        <f t="shared" si="338"/>
      </c>
      <c r="CC130" s="30">
        <f t="shared" si="338"/>
      </c>
      <c r="CD130" s="30">
        <f t="shared" si="338"/>
      </c>
      <c r="CE130" s="30">
        <f>IF(BZ125="NM","NM",IF(CE125="NM","NM",IF(BZ125&lt;=0,"NM",IF(CE125=0,"NM",IF(ABS(CE125/BZ125-1)&gt;2.5,"NM",IF((ABS(CE125-BZ125)=ABS(ABS(CE125)-ABS(BZ125))),(CE125/BZ125-1),"NM"))))))</f>
      </c>
      <c r="CF130" s="308">
        <f>IF(CA125="NM","NM",IF(CF125="NM","NM",IF(CA125&lt;=0,"NM",IF(CF125=0,"NM",IF(ABS(CF125/CA125-1)&gt;2.5,"NM",IF((ABS(CF125-CA125)=ABS(ABS(CF125)-ABS(CA125))),(CF125/CA125-1),"NM"))))))</f>
      </c>
      <c r="CG130" s="30">
        <f t="shared" si="338"/>
      </c>
      <c r="CH130" s="30">
        <f t="shared" si="338"/>
      </c>
      <c r="CI130" s="30">
        <f t="shared" si="338"/>
      </c>
      <c r="CJ130" s="925">
        <f t="shared" si="338"/>
      </c>
      <c r="CK130" s="308">
        <f>IF(CF125=0, "NA", CK125/CF125-1)</f>
      </c>
      <c r="CL130" s="30">
        <f t="shared" si="338"/>
      </c>
      <c r="CM130" s="30">
        <f t="shared" si="338"/>
      </c>
      <c r="CN130" s="30">
        <f t="shared" si="338"/>
      </c>
      <c r="CO130" s="925">
        <f t="shared" si="338"/>
      </c>
      <c r="CP130" s="308">
        <f>IF(CK125=0, "NA", CP125/CK125-1)</f>
      </c>
      <c r="CQ130" s="30">
        <f t="shared" si="338"/>
      </c>
      <c r="CR130" s="30">
        <f t="shared" ref="CR130:CT131" si="339">IF(CM125="NM","NM",IF(CR125="NM","NM",IF(CM125&lt;=0,"NM",IF(CR125=0,"NM",IF(ABS(CR125/CM125-1)&gt;2.5,"NM",IF((ABS(CR125-CM125)=ABS(ABS(CR125)-ABS(CM125))),(CR125/CM125-1),"NM"))))))</f>
      </c>
      <c r="CS130" s="30">
        <f t="shared" si="339"/>
      </c>
      <c r="CT130" s="30">
        <f t="shared" si="339"/>
      </c>
      <c r="CU130" s="308">
        <f>IF(CP125=0, "NA", CU125/CP125-1)</f>
      </c>
      <c r="CV130" s="30">
        <f t="shared" ref="CV130:CX131" si="340">IF(CQ125="NM","NM",IF(CV125="NM","NM",IF(CQ125&lt;=0,"NM",IF(CV125=0,"NM",IF(ABS(CV125/CQ125-1)&gt;2.5,"NM",IF((ABS(CV125-CQ125)=ABS(ABS(CV125)-ABS(CQ125))),(CV125/CQ125-1),"NM"))))))</f>
      </c>
      <c r="CW130" s="30">
        <f t="shared" si="340"/>
      </c>
      <c r="CX130" s="30">
        <f t="shared" si="340"/>
      </c>
      <c r="CY130" s="30">
        <f>IF(CT125="NM","NM",IF(CY125="NM","NM",IF(CT125&lt;=0,"NM",IF(CY125=0,"NM",IF(ABS(CY125/CT125-1)&gt;2.5,"NM",IF((ABS(CY125-CT125)=ABS(ABS(CY125)-ABS(CT125))),(CY125/CT125-1),"NM"))))))</f>
      </c>
      <c r="CZ130" s="308">
        <f>IF(CU125=0, "NA", CZ125/CU125-1)</f>
      </c>
      <c r="DA130" s="30">
        <f t="shared" ref="DA130:DD131" si="341">IF(CV125="NM","NM",IF(DA125="NM","NM",IF(CV125&lt;=0,"NM",IF(DA125=0,"NM",IF(ABS(DA125/CV125-1)&gt;2.5,"NM",IF((ABS(DA125-CV125)=ABS(ABS(DA125)-ABS(CV125))),(DA125/CV125-1),"NM"))))))</f>
      </c>
      <c r="DB130" s="30">
        <f t="shared" si="341"/>
      </c>
      <c r="DC130" s="30">
        <f t="shared" si="341"/>
      </c>
      <c r="DD130" s="30">
        <f t="shared" si="341"/>
      </c>
      <c r="DE130" s="308">
        <f>IF(CZ125=0, "NA", DE125/CZ125-1)</f>
      </c>
      <c r="DF130" s="30">
        <f t="shared" ref="DF130:DH131" si="342">IF(DA125="NM","NM",IF(DF125="NM","NM",IF(DA125&lt;=0,"NM",IF(DF125=0,"NM",IF(ABS(DF125/DA125-1)&gt;2.5,"NM",IF((ABS(DF125-DA125)=ABS(ABS(DF125)-ABS(DA125))),(DF125/DA125-1),"NM"))))))</f>
      </c>
      <c r="DG130" s="1361">
        <f t="shared" si="342"/>
      </c>
      <c r="DH130" s="1361">
        <f t="shared" si="342"/>
      </c>
      <c r="DI130" s="30">
        <f>IF(DI125=0,"NM",+DI125/DD125-1)</f>
      </c>
      <c r="DJ130" s="308">
        <f>IF(DE125=0, "NA", DJ125/DE125-1)</f>
      </c>
      <c r="DK130" s="30">
        <f t="shared" ref="DK130:DM131" si="343">IF(DF125="NM","NM",IF(DK125="NM","NM",IF(DF125&lt;=0,"NM",IF(DK125=0,"NM",IF(ABS(DK125/DF125-1)&gt;2.5,"NM",IF((ABS(DK125-DF125)=ABS(ABS(DK125)-ABS(DF125))),(DK125/DF125-1),"NM"))))))</f>
      </c>
      <c r="DL130" s="30">
        <f t="shared" si="343"/>
      </c>
      <c r="DM130" s="30">
        <f t="shared" si="343"/>
      </c>
      <c r="DN130" s="30">
        <f>IF(DN125=0,"NM",+DN125/DI125-1)</f>
      </c>
      <c r="DO130" s="308">
        <f>IF(DJ125=0, "NA", DO125/DJ125-1)</f>
      </c>
      <c r="DP130" s="30">
        <f t="shared" ref="DP130:DS131" si="344">IF(DK125="NM","NM",IF(DP125="NM","NM",IF(DK125&lt;=0,"NM",IF(DP125=0,"NM",IF(ABS(DP125/DK125-1)&gt;2.5,"NM",IF((ABS(DP125-DK125)=ABS(ABS(DP125)-ABS(DK125))),(DP125/DK125-1),"NM"))))))</f>
      </c>
      <c r="DQ130" s="30">
        <f t="shared" si="344"/>
      </c>
      <c r="DR130" s="30">
        <f t="shared" si="344"/>
      </c>
      <c r="DS130" s="30">
        <f t="shared" si="344"/>
      </c>
      <c r="DT130" s="308">
        <f>IF(DO125=0, "NA", DT125/DO125-1)</f>
      </c>
      <c r="DU130" s="30">
        <f t="shared" ref="DU130:DX131" si="345">IF(DP125="NM","NM",IF(DU125="NM","NM",IF(DP125&lt;=0,"NM",IF(DU125=0,"NM",IF(ABS(DU125/DP125-1)&gt;2.5,"NM",IF((ABS(DU125-DP125)=ABS(ABS(DU125)-ABS(DP125))),(DU125/DP125-1),"NM"))))))</f>
      </c>
      <c r="DV130" s="30">
        <f t="shared" si="345"/>
      </c>
      <c r="DW130" s="30">
        <f t="shared" si="345"/>
      </c>
      <c r="DX130" s="30">
        <f t="shared" si="345"/>
      </c>
      <c r="DY130" s="308">
        <f>IF(DT125=0, "NA", DY125/DT125-1)</f>
      </c>
      <c r="DZ130" s="926">
        <f>+DZ125/DU125-1</f>
      </c>
      <c r="EA130" s="926">
        <f>+EA125/DV125-1</f>
      </c>
      <c r="EB130" s="926">
        <f>+EB125/DW125-1</f>
      </c>
      <c r="EC130" s="926">
        <f>+EC125/DX125-1</f>
      </c>
      <c r="ED130" s="308">
        <f>IF(DY125=0, "NA", ED125/DY125-1)</f>
      </c>
      <c r="EE130" s="926">
        <f>+EE125/DZ125-1</f>
      </c>
      <c r="EF130" s="926">
        <f t="shared" ref="EF130" si="346">+EF125/EA125-1</f>
      </c>
      <c r="EG130" s="926">
        <f>+EG125/EB125-1</f>
      </c>
      <c r="EH130" s="1062">
        <f>IF(EH125=0,"NM",+EH125/EC125-1)</f>
      </c>
      <c r="EI130" s="2210">
        <v>-0.06</v>
      </c>
      <c r="EJ130" s="2211">
        <v>-0.11</v>
      </c>
      <c r="EK130" s="2211">
        <v>-0.13</v>
      </c>
      <c r="EL130" s="2211">
        <v>-0.14000000000000001</v>
      </c>
      <c r="EM130" s="2211">
        <v>-0.15</v>
      </c>
      <c r="EN130" s="2211">
        <v>-0.15</v>
      </c>
      <c r="EO130" s="2211">
        <v>-0.25</v>
      </c>
      <c r="EP130" s="2211">
        <v>-0.2</v>
      </c>
      <c r="EQ130" s="2211">
        <v>-0.15</v>
      </c>
      <c r="ER130" s="2211">
        <v>-0.15</v>
      </c>
      <c r="ES130" s="2211">
        <v>-0.15</v>
      </c>
      <c r="ET130" s="1812"/>
      <c r="EU130" s="1812"/>
      <c r="EV130" s="1812"/>
      <c r="EW130" s="1812"/>
      <c r="EX130" s="1812"/>
    </row>
    <row r="131" spans="2:154" ht="12.75" customHeight="1">
      <c r="B131" s="912" t="s">
        <v>412</v>
      </c>
      <c r="C131" s="1989"/>
      <c r="D131" s="28"/>
      <c r="E131" s="28"/>
      <c r="F131" s="28"/>
      <c r="G131" s="28"/>
      <c r="H131" s="28"/>
      <c r="I131" s="31"/>
      <c r="J131" s="28"/>
      <c r="K131" s="28"/>
      <c r="L131" s="28"/>
      <c r="M131" s="28"/>
      <c r="N131" s="31"/>
      <c r="O131" s="31"/>
      <c r="P131" s="31"/>
      <c r="Q131" s="31"/>
      <c r="R131" s="31"/>
      <c r="S131" s="31"/>
      <c r="T131" s="31"/>
      <c r="U131" s="31"/>
      <c r="V131" s="31"/>
      <c r="W131" s="31"/>
      <c r="X131" s="308"/>
      <c r="Y131" s="30"/>
      <c r="Z131" s="30"/>
      <c r="AA131" s="30"/>
      <c r="AB131" s="30"/>
      <c r="AC131" s="308"/>
      <c r="AD131" s="30"/>
      <c r="AE131" s="30"/>
      <c r="AF131" s="30"/>
      <c r="AG131" s="30"/>
      <c r="AH131" s="308"/>
      <c r="AI131" s="30"/>
      <c r="AJ131" s="30"/>
      <c r="AK131" s="30"/>
      <c r="AL131" s="30"/>
      <c r="AM131" s="308"/>
      <c r="AN131" s="30"/>
      <c r="AO131" s="30"/>
      <c r="AP131" s="30"/>
      <c r="AQ131" s="30"/>
      <c r="AR131" s="308"/>
      <c r="AS131" s="30" t="str">
        <f t="shared" si="335"/>
      </c>
      <c r="AT131" s="30" t="str">
        <f t="shared" si="335"/>
      </c>
      <c r="AU131" s="30" t="str">
        <f t="shared" si="335"/>
      </c>
      <c r="AV131" s="30" t="str">
        <f t="shared" si="335"/>
      </c>
      <c r="AW131" s="308" t="str">
        <f t="shared" si="335"/>
      </c>
      <c r="AX131" s="30" t="str">
        <f t="shared" si="335"/>
      </c>
      <c r="AY131" s="30">
        <f t="shared" si="335"/>
      </c>
      <c r="AZ131" s="30">
        <f t="shared" si="335"/>
      </c>
      <c r="BA131" s="30">
        <f t="shared" si="335"/>
      </c>
      <c r="BB131" s="308">
        <f t="shared" si="335"/>
      </c>
      <c r="BC131" s="30">
        <f t="shared" si="336"/>
      </c>
      <c r="BD131" s="30">
        <f t="shared" si="336"/>
      </c>
      <c r="BE131" s="30">
        <f t="shared" si="336"/>
      </c>
      <c r="BF131" s="30">
        <f t="shared" si="336"/>
      </c>
      <c r="BG131" s="308">
        <f t="shared" si="336"/>
      </c>
      <c r="BH131" s="30">
        <f t="shared" si="336"/>
      </c>
      <c r="BI131" s="30">
        <f t="shared" si="336"/>
      </c>
      <c r="BJ131" s="30">
        <f t="shared" si="336"/>
      </c>
      <c r="BK131" s="30">
        <f t="shared" si="336"/>
      </c>
      <c r="BL131" s="308">
        <f t="shared" si="336"/>
      </c>
      <c r="BM131" s="30">
        <f t="shared" si="337"/>
      </c>
      <c r="BN131" s="30">
        <f t="shared" si="337"/>
      </c>
      <c r="BO131" s="30">
        <f t="shared" si="337"/>
      </c>
      <c r="BP131" s="30">
        <f t="shared" si="337"/>
      </c>
      <c r="BQ131" s="308">
        <f t="shared" si="337"/>
      </c>
      <c r="BR131" s="30">
        <f t="shared" si="337"/>
      </c>
      <c r="BS131" s="30">
        <f t="shared" si="338"/>
      </c>
      <c r="BT131" s="30">
        <f t="shared" si="338"/>
      </c>
      <c r="BU131" s="30">
        <f>IF(BP126="NM","NM",IF(BU126="NM","NM",IF(BP126&lt;=0,"NM",IF(BU126=0,"NM",IF(ABS(BU126/BP126-1)&gt;2.5,"NM",IF((ABS(BU126-BP126)=ABS(ABS(BU126)-ABS(BP126))),(BU126/BP126-1),"NM"))))))</f>
      </c>
      <c r="BV131" s="308">
        <f>IF(BQ126="NM","NM",IF(BV126="NM","NM",IF(BQ126&lt;=0,"NM",IF(BV126=0,"NM",IF(ABS(BV126/BQ126-1)&gt;2.5,"NM",IF((ABS(BV126-BQ126)=ABS(ABS(BV126)-ABS(BQ126))),(BV126/BQ126-1),"NM"))))))</f>
      </c>
      <c r="BW131" s="30">
        <f t="shared" si="338"/>
      </c>
      <c r="BX131" s="30">
        <f t="shared" si="338"/>
      </c>
      <c r="BY131" s="30">
        <f>IF(BT126="NM","NM",IF(BY126="NM","NM",IF(BT126&lt;=0,"NM",IF(BY126=0,"NM",IF(ABS(BY126/BT126-1)&gt;2.5,"NM",IF((ABS(BY126-BT126)=ABS(ABS(BY126)-ABS(BT126))),(BY126/BT126-1),"NM"))))))</f>
      </c>
      <c r="BZ131" s="30">
        <f>IF(BU126="NM","NM",IF(BZ126="NM","NM",IF(BU126&lt;=0,"NM",IF(BZ126=0,"NM",IF(ABS(BZ126/BU126-1)&gt;2.5,"NM",IF((ABS(BZ126-BU126)=ABS(ABS(BZ126)-ABS(BU126))),(BZ126/BU126-1),"NM"))))))</f>
      </c>
      <c r="CA131" s="308">
        <f>IF(BV126="NM","NM",IF(CA126="NM","NM",IF(BV126&lt;=0,"NM",IF(CA126=0,"NM",IF(ABS(CA126/BV126-1)&gt;2.5,"NM",IF((ABS(CA126-BV126)=ABS(ABS(CA126)-ABS(BV126))),(CA126/BV126-1),"NM"))))))</f>
      </c>
      <c r="CB131" s="30">
        <f t="shared" si="338"/>
      </c>
      <c r="CC131" s="30">
        <f t="shared" si="338"/>
      </c>
      <c r="CD131" s="30">
        <f>IF(BY126="NM","NM",IF(CD126="NM","NM",IF(BY126&lt;=0,"NM",IF(CD126=0,"NM",IF(ABS(CD126/BY126-1)&gt;2.5,"NM",IF((ABS(CD126-BY126)=ABS(ABS(CD126)-ABS(BY126))),(CD126/BY126-1),"NM"))))))</f>
      </c>
      <c r="CE131" s="30">
        <f>IF(BZ126="NM","NM",IF(CE126="NM","NM",IF(BZ126&lt;=0,"NM",IF(CE126=0,"NM",IF(ABS(CE126/BZ126-1)&gt;2.5,"NM",IF((ABS(CE126-BZ126)=ABS(ABS(CE126)-ABS(BZ126))),(CE126/BZ126-1),"NM"))))))</f>
      </c>
      <c r="CF131" s="308">
        <f>IF(CA126="NM","NM",IF(CF126="NM","NM",IF(CA126&lt;=0,"NM",IF(CF126=0,"NM",IF(ABS(CF126/CA126-1)&gt;2.5,"NM",IF((ABS(CF126-CA126)=ABS(ABS(CF126)-ABS(CA126))),(CF126/CA126-1),"NM"))))))</f>
      </c>
      <c r="CG131" s="30">
        <f t="shared" si="338"/>
      </c>
      <c r="CH131" s="30">
        <f t="shared" si="338"/>
      </c>
      <c r="CI131" s="30">
        <f t="shared" si="338"/>
      </c>
      <c r="CJ131" s="30">
        <f>IF(CE126="NM","NM",IF(CJ126="NM","NM",IF(CE126&lt;=0,"NM",IF(CJ126=0,"NM",IF(ABS(CJ126/CE126-1)&gt;2.5,"NM",IF((ABS(CJ126-CE126)=ABS(ABS(CJ126)-ABS(CE126))),(CJ126/CE126-1),"NM"))))))</f>
      </c>
      <c r="CK131" s="308">
        <f>IF(CF126=0, "NA", CK126/CF126-1)</f>
      </c>
      <c r="CL131" s="30">
        <f t="shared" si="338"/>
      </c>
      <c r="CM131" s="30">
        <f t="shared" si="338"/>
      </c>
      <c r="CN131" s="30">
        <f t="shared" si="338"/>
      </c>
      <c r="CO131" s="30">
        <f>IF(CJ126="NM","NM",IF(CO126="NM","NM",IF(CJ126&lt;=0,"NM",IF(CO126=0,"NM",IF(ABS(CO126/CJ126-1)&gt;2.5,"NM",IF((ABS(CO126-CJ126)=ABS(ABS(CO126)-ABS(CJ126))),(CO126/CJ126-1),"NM"))))))</f>
      </c>
      <c r="CP131" s="308">
        <f>IF(CK126=0, "NA", CP126/CK126-1)</f>
      </c>
      <c r="CQ131" s="30">
        <f t="shared" si="338"/>
      </c>
      <c r="CR131" s="30">
        <f t="shared" si="339"/>
      </c>
      <c r="CS131" s="30">
        <f t="shared" si="339"/>
      </c>
      <c r="CT131" s="30">
        <f t="shared" si="339"/>
      </c>
      <c r="CU131" s="308">
        <f>IF(CP126=0, "NA", CU126/CP126-1)</f>
      </c>
      <c r="CV131" s="30">
        <f>IF(CQ126="NM","NM",IF(CV126="NM","NM",IF(CQ126&lt;=0,"NM",IF(CV126=0,"NM",IF(ABS(CV126/CQ126-1)&gt;2.5,"NM",IF((ABS(CV126-CQ126)=ABS(ABS(CV126)-ABS(CQ126))),(CV126/CQ126-1),"NM"))))))</f>
      </c>
      <c r="CW131" s="30">
        <f t="shared" si="340"/>
      </c>
      <c r="CX131" s="30">
        <f t="shared" si="340"/>
      </c>
      <c r="CY131" s="30">
        <f>IF(CT126="NM","NM",IF(CY126="NM","NM",IF(CT126&lt;=0,"NM",IF(CY126=0,"NM",IF(ABS(CY126/CT126-1)&gt;2.5,"NM",IF((ABS(CY126-CT126)=ABS(ABS(CY126)-ABS(CT126))),(CY126/CT126-1),"NM"))))))</f>
      </c>
      <c r="CZ131" s="308">
        <f>IF(CU126=0, "NA", CZ126/CU126-1)</f>
      </c>
      <c r="DA131" s="30">
        <f t="shared" si="341"/>
      </c>
      <c r="DB131" s="30">
        <f t="shared" si="341"/>
      </c>
      <c r="DC131" s="30">
        <f t="shared" si="341"/>
      </c>
      <c r="DD131" s="30">
        <f t="shared" si="341"/>
      </c>
      <c r="DE131" s="308">
        <f>IF(CZ126=0, "NA", DE126/CZ126-1)</f>
      </c>
      <c r="DF131" s="30">
        <f t="shared" si="342"/>
      </c>
      <c r="DG131" s="1361">
        <f t="shared" si="342"/>
      </c>
      <c r="DH131" s="1361">
        <f t="shared" si="342"/>
      </c>
      <c r="DI131" s="30">
        <f>IF(DI126=0, "NM", DI126/DD126-1)</f>
      </c>
      <c r="DJ131" s="308">
        <f>IF(DE126=0, "NA", DJ126/DE126-1)</f>
      </c>
      <c r="DK131" s="30">
        <f t="shared" si="343"/>
      </c>
      <c r="DL131" s="30">
        <f t="shared" si="343"/>
      </c>
      <c r="DM131" s="30">
        <f t="shared" si="343"/>
      </c>
      <c r="DN131" s="30">
        <f>IF(DN126=0, "NM", DN126/DI126-1)</f>
      </c>
      <c r="DO131" s="308">
        <f>IF(DJ126=0, "NA", DO126/DJ126-1)</f>
      </c>
      <c r="DP131" s="30">
        <f t="shared" si="344"/>
      </c>
      <c r="DQ131" s="30">
        <f t="shared" si="344"/>
      </c>
      <c r="DR131" s="30">
        <f t="shared" si="344"/>
      </c>
      <c r="DS131" s="30">
        <f t="shared" si="344"/>
      </c>
      <c r="DT131" s="308">
        <f>IF(DO126=0, "NA", DT126/DO126-1)</f>
      </c>
      <c r="DU131" s="30">
        <f t="shared" si="345"/>
      </c>
      <c r="DV131" s="30">
        <f t="shared" si="345"/>
      </c>
      <c r="DW131" s="30">
        <f t="shared" si="345"/>
      </c>
      <c r="DX131" s="30">
        <f t="shared" si="345"/>
      </c>
      <c r="DY131" s="308">
        <f>IF(DT126=0, "NA", DY126/DT126-1)</f>
      </c>
      <c r="DZ131" s="30">
        <f t="shared" ref="DZ131:EG131" si="347">IF(DU126="NM","NM",IF(DZ126="NM","NM",IF(DU126&lt;=0,"NM",IF(DZ126=0,"NM",IF(ABS(DZ126/DU126-1)&gt;2.5,"NM",IF((ABS(DZ126-DU126)=ABS(ABS(DZ126)-ABS(DU126))),(DZ126/DU126-1),"NM"))))))</f>
      </c>
      <c r="EA131" s="926">
        <f t="shared" si="347"/>
      </c>
      <c r="EB131" s="926">
        <f t="shared" si="347"/>
      </c>
      <c r="EC131" s="926">
        <f t="shared" si="347"/>
      </c>
      <c r="ED131" s="308">
        <f>IF(DY126=0, "NA", ED126/DY126-1)</f>
      </c>
      <c r="EE131" s="30">
        <f t="shared" si="347"/>
      </c>
      <c r="EF131" s="30">
        <f t="shared" ref="EF131" si="348">IF(EA126="NM","NM",IF(EF126="NM","NM",IF(EA126&lt;=0,"NM",IF(EF126=0,"NM",IF(ABS(EF126/EA126-1)&gt;2.5,"NM",IF((ABS(EF126-EA126)=ABS(ABS(EF126)-ABS(EA126))),(EF126/EA126-1),"NM"))))))</f>
      </c>
      <c r="EG131" s="926">
        <f t="shared" si="347"/>
      </c>
      <c r="EH131" s="926">
        <f>IF(EH126=0, "NM", EH126/EC126-1)</f>
      </c>
      <c r="EI131" s="308">
        <f t="shared" ref="EI131:ES131" si="349">EI132+EI$21</f>
      </c>
      <c r="EJ131" s="308">
        <f t="shared" si="349"/>
      </c>
      <c r="EK131" s="308">
        <f t="shared" si="349"/>
      </c>
      <c r="EL131" s="308">
        <f t="shared" si="349"/>
      </c>
      <c r="EM131" s="308">
        <f t="shared" si="349"/>
      </c>
      <c r="EN131" s="308">
        <f t="shared" si="349"/>
      </c>
      <c r="EO131" s="308">
        <f t="shared" si="349"/>
      </c>
      <c r="EP131" s="308">
        <f t="shared" si="349"/>
      </c>
      <c r="EQ131" s="308">
        <f t="shared" si="349"/>
      </c>
      <c r="ER131" s="308">
        <f t="shared" si="349"/>
      </c>
      <c r="ES131" s="308">
        <f t="shared" si="349"/>
      </c>
      <c r="ET131" s="308"/>
      <c r="EU131" s="308"/>
      <c r="EV131" s="308"/>
      <c r="EW131" s="308"/>
      <c r="EX131" s="308"/>
    </row>
    <row r="132" spans="2:154" ht="12.75" customHeight="1">
      <c r="B132" s="912" t="s">
        <v>256</v>
      </c>
      <c r="C132" s="1989"/>
      <c r="D132" s="28"/>
      <c r="E132" s="28"/>
      <c r="F132" s="28"/>
      <c r="G132" s="28"/>
      <c r="H132" s="28"/>
      <c r="I132" s="31"/>
      <c r="J132" s="28"/>
      <c r="K132" s="28"/>
      <c r="L132" s="28"/>
      <c r="M132" s="28"/>
      <c r="N132" s="31"/>
      <c r="O132" s="31"/>
      <c r="P132" s="31"/>
      <c r="Q132" s="31"/>
      <c r="R132" s="31"/>
      <c r="S132" s="31"/>
      <c r="T132" s="31"/>
      <c r="U132" s="31"/>
      <c r="V132" s="31"/>
      <c r="W132" s="31"/>
      <c r="X132" s="315"/>
      <c r="Y132" s="1"/>
      <c r="Z132" s="1"/>
      <c r="AA132" s="1"/>
      <c r="AB132" s="1"/>
      <c r="AC132" s="315"/>
      <c r="AD132" s="1"/>
      <c r="AE132" s="1"/>
      <c r="AF132" s="1"/>
      <c r="AG132" s="1"/>
      <c r="AH132" s="315"/>
      <c r="AI132" s="8"/>
      <c r="AJ132" s="8"/>
      <c r="AK132" s="8"/>
      <c r="AL132" s="8"/>
      <c r="AM132" s="315"/>
      <c r="AN132" s="8"/>
      <c r="AO132" s="8"/>
      <c r="AP132" s="8"/>
      <c r="AQ132" s="8"/>
      <c r="AR132" s="315"/>
      <c r="AS132" s="8" t="str">
        <f t="shared" ref="AS132:BM132" si="350">IF(ISNUMBER(AS131),(1+AS131)/(1+AS$21)-1,"NM")</f>
      </c>
      <c r="AT132" s="8" t="str">
        <f t="shared" si="350"/>
      </c>
      <c r="AU132" s="8" t="str">
        <f t="shared" si="350"/>
      </c>
      <c r="AV132" s="8" t="str">
        <f t="shared" si="350"/>
      </c>
      <c r="AW132" s="315" t="str">
        <f t="shared" si="350"/>
      </c>
      <c r="AX132" s="8" t="str">
        <f t="shared" si="350"/>
      </c>
      <c r="AY132" s="8">
        <f t="shared" si="350"/>
      </c>
      <c r="AZ132" s="8">
        <f t="shared" si="350"/>
      </c>
      <c r="BA132" s="8">
        <f t="shared" si="350"/>
      </c>
      <c r="BB132" s="315">
        <f t="shared" si="350"/>
      </c>
      <c r="BC132" s="8">
        <f t="shared" si="350"/>
      </c>
      <c r="BD132" s="8">
        <f t="shared" si="350"/>
      </c>
      <c r="BE132" s="8">
        <f t="shared" si="350"/>
      </c>
      <c r="BF132" s="8">
        <f t="shared" si="350"/>
      </c>
      <c r="BG132" s="309">
        <f t="shared" si="350"/>
      </c>
      <c r="BH132" s="8">
        <f t="shared" si="350"/>
      </c>
      <c r="BI132" s="8">
        <f t="shared" si="350"/>
      </c>
      <c r="BJ132" s="8">
        <f t="shared" si="350"/>
      </c>
      <c r="BK132" s="8">
        <f t="shared" si="350"/>
      </c>
      <c r="BL132" s="315">
        <f t="shared" si="350"/>
      </c>
      <c r="BM132" s="407">
        <f t="shared" si="350"/>
      </c>
      <c r="BN132" s="407">
        <v>0.65900000000000003</v>
      </c>
      <c r="BO132" s="407">
        <v>0.36199999999999999</v>
      </c>
      <c r="BP132" s="649">
        <v>0.39</v>
      </c>
      <c r="BQ132" s="406">
        <v>0.44800000000000001</v>
      </c>
      <c r="BR132" s="407">
        <v>0.65900000000000003</v>
      </c>
      <c r="BS132" s="407">
        <v>0.22600000000000001</v>
      </c>
      <c r="BT132" s="407">
        <v>0.21299999999999999</v>
      </c>
      <c r="BU132" s="407">
        <v>0.122</v>
      </c>
      <c r="BV132" s="406">
        <v>0.16300000000000001</v>
      </c>
      <c r="BW132" s="407">
        <v>0.223</v>
      </c>
      <c r="BX132" s="407">
        <v>0.16</v>
      </c>
      <c r="BY132" s="407">
        <v>4.3999999999999997E-2</v>
      </c>
      <c r="BZ132" s="407">
        <v>0.22800000000000001</v>
      </c>
      <c r="CA132" s="448">
        <v>0.16200000000000001</v>
      </c>
      <c r="CB132" s="407">
        <v>0.155</v>
      </c>
      <c r="CC132" s="407">
        <v>0.16</v>
      </c>
      <c r="CD132" s="29">
        <v>8.7999999999999995E-2</v>
      </c>
      <c r="CE132" s="29">
        <v>-3.5000000000000003E-2</v>
      </c>
      <c r="CF132" s="1066">
        <f>CF131-CF$21</f>
      </c>
      <c r="CG132" s="407">
        <v>-1.6E-2</v>
      </c>
      <c r="CH132" s="407">
        <v>-7.6999999999999999E-2</v>
      </c>
      <c r="CI132" s="407">
        <v>4.2999999999999997E-2</v>
      </c>
      <c r="CJ132" s="649">
        <v>-2E-3</v>
      </c>
      <c r="CK132" s="1066">
        <f>CK131-CK$21</f>
      </c>
      <c r="CL132" s="649">
        <v>-4.5999999999999999E-2</v>
      </c>
      <c r="CM132" s="407">
        <v>-1.4999999999999999E-2</v>
      </c>
      <c r="CN132" s="407">
        <v>-0.02</v>
      </c>
      <c r="CO132" s="649">
        <v>-0.06</v>
      </c>
      <c r="CP132" s="309">
        <f>CP131-CP$21</f>
      </c>
      <c r="CQ132" s="407">
        <v>2E-3</v>
      </c>
      <c r="CR132" s="407">
        <v>-2.9000000000000001E-2</v>
      </c>
      <c r="CS132" s="407">
        <v>-5.5E-2</v>
      </c>
      <c r="CT132" s="407">
        <v>5.5E-2</v>
      </c>
      <c r="CU132" s="309">
        <f>CU131-CU$21</f>
      </c>
      <c r="CV132" s="407">
        <v>9.4E-2</v>
      </c>
      <c r="CW132" s="407">
        <v>0.188</v>
      </c>
      <c r="CX132" s="407">
        <v>0.124</v>
      </c>
      <c r="CY132" s="407">
        <v>-2.3E-2</v>
      </c>
      <c r="CZ132" s="309">
        <f>CZ131-CZ$21</f>
      </c>
      <c r="DA132" s="407">
        <v>0.11899999999999999</v>
      </c>
      <c r="DB132" s="361">
        <v>-4.5999999999999999E-2</v>
      </c>
      <c r="DC132" s="361">
        <v>-0.28100000000000003</v>
      </c>
      <c r="DD132" s="361">
        <v>-7.8E-2</v>
      </c>
      <c r="DE132" s="308">
        <f>DE131-DE$21</f>
      </c>
      <c r="DF132" s="649">
        <v>-0.2</v>
      </c>
      <c r="DG132" s="1208">
        <v>-0.25</v>
      </c>
      <c r="DH132" s="1208">
        <v>-0.15</v>
      </c>
      <c r="DI132" s="30">
        <f>IF(DI126=0, "NM",DI131-DI$21)</f>
      </c>
      <c r="DJ132" s="308">
        <f>DJ131-DJ$21</f>
      </c>
      <c r="DK132" s="2212">
        <v>-0.12</v>
      </c>
      <c r="DL132" s="2213">
        <v>-0.12</v>
      </c>
      <c r="DM132" s="29">
        <v>-0.15</v>
      </c>
      <c r="DN132" s="30">
        <f>IF(DN126=0, "NM",DN131-DN$21)</f>
      </c>
      <c r="DO132" s="308">
        <f t="shared" ref="DO132:DT132" si="351">DO131-DO$21</f>
      </c>
      <c r="DP132" s="926">
        <f t="shared" si="351"/>
      </c>
      <c r="DQ132" s="2214">
        <f t="shared" si="351"/>
      </c>
      <c r="DR132" s="2214">
        <f t="shared" si="351"/>
      </c>
      <c r="DS132" s="2214">
        <f t="shared" si="351"/>
      </c>
      <c r="DT132" s="308">
        <f t="shared" si="351"/>
      </c>
      <c r="DU132" s="926">
        <f>DU131-(-4%)</f>
      </c>
      <c r="DV132" s="926">
        <f>DV131-(0.8%)</f>
      </c>
      <c r="DW132" s="926">
        <f>DW131-(5.5%)</f>
      </c>
      <c r="DX132" s="926">
        <f>DX131-(3.9%)</f>
      </c>
      <c r="DY132" s="308">
        <f>DY131-DY$21</f>
      </c>
      <c r="DZ132" s="926">
        <f>DZ131-(0%)</f>
      </c>
      <c r="EA132" s="926">
        <f>EA131-(-3.4%)</f>
      </c>
      <c r="EB132" s="926">
        <f>EB131-(-3.9%)</f>
      </c>
      <c r="EC132" s="926">
        <f>EC131-(-4%)</f>
      </c>
      <c r="ED132" s="308">
        <f>ED131-ED$21</f>
      </c>
      <c r="EE132" s="926">
        <f>EE131-(0%)</f>
      </c>
      <c r="EF132" s="926">
        <f>EF131-(2%)</f>
      </c>
      <c r="EG132" s="926">
        <f>EG131-(-3.9%)</f>
      </c>
      <c r="EH132" s="1062">
        <f>IF(EH126=0, "NM",EH131-EH$21)</f>
      </c>
      <c r="EI132" s="3413">
        <v>-0.14000000000000001</v>
      </c>
      <c r="EJ132" s="2210">
        <v>-0.11</v>
      </c>
      <c r="EK132" s="2210">
        <v>-0.13</v>
      </c>
      <c r="EL132" s="2210">
        <v>-0.14000000000000001</v>
      </c>
      <c r="EM132" s="2210">
        <v>-0.15</v>
      </c>
      <c r="EN132" s="2210">
        <v>-0.15</v>
      </c>
      <c r="EO132" s="2210">
        <v>-0.25</v>
      </c>
      <c r="EP132" s="2210">
        <v>-0.2</v>
      </c>
      <c r="EQ132" s="2210">
        <v>-0.15</v>
      </c>
      <c r="ER132" s="2210">
        <v>-0.15</v>
      </c>
      <c r="ES132" s="2210">
        <v>-0.15</v>
      </c>
      <c r="ET132" s="1812"/>
      <c r="EU132" s="1812"/>
      <c r="EV132" s="1812"/>
      <c r="EW132" s="1812"/>
      <c r="EX132" s="1812"/>
    </row>
    <row r="133" spans="2:154" ht="12.75" customHeight="1">
      <c r="B133" s="912" t="s">
        <v>413</v>
      </c>
      <c r="C133" s="1989"/>
      <c r="D133" s="28"/>
      <c r="E133" s="28"/>
      <c r="F133" s="28"/>
      <c r="G133" s="28"/>
      <c r="H133" s="28"/>
      <c r="I133" s="31"/>
      <c r="J133" s="28"/>
      <c r="K133" s="28"/>
      <c r="L133" s="28"/>
      <c r="M133" s="28"/>
      <c r="N133" s="31"/>
      <c r="O133" s="31"/>
      <c r="P133" s="31"/>
      <c r="Q133" s="31"/>
      <c r="R133" s="31"/>
      <c r="S133" s="31"/>
      <c r="T133" s="31"/>
      <c r="U133" s="31"/>
      <c r="V133" s="31"/>
      <c r="W133" s="31"/>
      <c r="X133" s="308"/>
      <c r="Y133" s="30"/>
      <c r="Z133" s="30"/>
      <c r="AA133" s="30"/>
      <c r="AB133" s="30"/>
      <c r="AC133" s="308"/>
      <c r="AD133" s="30"/>
      <c r="AE133" s="30"/>
      <c r="AF133" s="30"/>
      <c r="AG133" s="30"/>
      <c r="AH133" s="308"/>
      <c r="AI133" s="30"/>
      <c r="AJ133" s="30"/>
      <c r="AK133" s="30"/>
      <c r="AL133" s="30"/>
      <c r="AM133" s="308"/>
      <c r="AN133" s="30"/>
      <c r="AO133" s="30"/>
      <c r="AP133" s="30"/>
      <c r="AQ133" s="30"/>
      <c r="AR133" s="308"/>
      <c r="AS133" s="30" t="str">
        <f t="shared" ref="AS133:CJ133" si="352">IF(AN127="NM","NM",IF(AS127="NM","NM",IF(AN127&lt;=0,"NM",IF(AS127=0,"NM",IF(ABS(AS127/AN127-1)&gt;2.5,"NM",IF((ABS(AS127-AN127)=ABS(ABS(AS127)-ABS(AN127))),(AS127/AN127-1),"NM"))))))</f>
      </c>
      <c r="AT133" s="30" t="str">
        <f t="shared" si="352"/>
      </c>
      <c r="AU133" s="30" t="str">
        <f t="shared" si="352"/>
      </c>
      <c r="AV133" s="30" t="str">
        <f t="shared" si="352"/>
      </c>
      <c r="AW133" s="308" t="str">
        <f t="shared" si="352"/>
      </c>
      <c r="AX133" s="30" t="str">
        <f t="shared" si="352"/>
      </c>
      <c r="AY133" s="30">
        <f t="shared" si="352"/>
      </c>
      <c r="AZ133" s="30">
        <f t="shared" si="352"/>
      </c>
      <c r="BA133" s="30">
        <f t="shared" si="352"/>
      </c>
      <c r="BB133" s="308">
        <f t="shared" si="352"/>
      </c>
      <c r="BC133" s="30">
        <f t="shared" si="352"/>
      </c>
      <c r="BD133" s="30">
        <f t="shared" si="352"/>
      </c>
      <c r="BE133" s="30">
        <f t="shared" si="352"/>
      </c>
      <c r="BF133" s="30">
        <f t="shared" si="352"/>
      </c>
      <c r="BG133" s="308">
        <f t="shared" si="352"/>
      </c>
      <c r="BH133" s="30">
        <f t="shared" si="352"/>
      </c>
      <c r="BI133" s="30">
        <f t="shared" si="352"/>
      </c>
      <c r="BJ133" s="30">
        <f t="shared" si="352"/>
      </c>
      <c r="BK133" s="30">
        <f t="shared" si="352"/>
      </c>
      <c r="BL133" s="308">
        <f t="shared" si="352"/>
      </c>
      <c r="BM133" s="30">
        <f t="shared" si="352"/>
      </c>
      <c r="BN133" s="30">
        <f t="shared" si="352"/>
      </c>
      <c r="BO133" s="30">
        <f t="shared" si="352"/>
      </c>
      <c r="BP133" s="30">
        <f t="shared" si="352"/>
      </c>
      <c r="BQ133" s="308">
        <f t="shared" si="352"/>
      </c>
      <c r="BR133" s="30">
        <f t="shared" si="352"/>
      </c>
      <c r="BS133" s="30">
        <f t="shared" si="352"/>
      </c>
      <c r="BT133" s="30">
        <f t="shared" si="352"/>
      </c>
      <c r="BU133" s="30">
        <f t="shared" si="352"/>
      </c>
      <c r="BV133" s="308">
        <f t="shared" si="352"/>
      </c>
      <c r="BW133" s="30">
        <f t="shared" si="352"/>
      </c>
      <c r="BX133" s="30">
        <f t="shared" si="352"/>
      </c>
      <c r="BY133" s="30">
        <f t="shared" si="352"/>
      </c>
      <c r="BZ133" s="30">
        <f t="shared" si="352"/>
      </c>
      <c r="CA133" s="308">
        <f t="shared" si="352"/>
      </c>
      <c r="CB133" s="30">
        <f t="shared" si="352"/>
      </c>
      <c r="CC133" s="30">
        <f t="shared" si="352"/>
      </c>
      <c r="CD133" s="30">
        <f t="shared" si="352"/>
      </c>
      <c r="CE133" s="30">
        <f t="shared" si="352"/>
      </c>
      <c r="CF133" s="308">
        <f t="shared" si="352"/>
      </c>
      <c r="CG133" s="30">
        <f t="shared" si="352"/>
      </c>
      <c r="CH133" s="30">
        <f t="shared" si="352"/>
      </c>
      <c r="CI133" s="30">
        <f t="shared" si="352"/>
      </c>
      <c r="CJ133" s="30">
        <f t="shared" si="352"/>
      </c>
      <c r="CK133" s="308">
        <f>IF(CF127=0, "NA", CK127/CF127-1)</f>
      </c>
      <c r="CL133" s="30">
        <f>IF(CG127="NM","NM",IF(CL127="NM","NM",IF(CG127&lt;=0,"NM",IF(CL127=0,"NM",IF(ABS(CL127/CG127-1)&gt;2.5,"NM",IF((ABS(CL127-CG127)=ABS(ABS(CL127)-ABS(CG127))),(CL127/CG127-1),"NM"))))))</f>
      </c>
      <c r="CM133" s="30">
        <f>IF(CH127="NM","NM",IF(CM127="NM","NM",IF(CH127&lt;=0,"NM",IF(CM127=0,"NM",IF(ABS(CM127/CH127-1)&gt;2.5,"NM",IF((ABS(CM127-CH127)=ABS(ABS(CM127)-ABS(CH127))),(CM127/CH127-1),"NM"))))))</f>
      </c>
      <c r="CN133" s="30">
        <f>IF(CI127="NM","NM",IF(CN127="NM","NM",IF(CI127&lt;=0,"NM",IF(CN127=0,"NM",IF(ABS(CN127/CI127-1)&gt;2.5,"NM",IF((ABS(CN127-CI127)=ABS(ABS(CN127)-ABS(CI127))),(CN127/CI127-1),"NM"))))))</f>
      </c>
      <c r="CO133" s="30">
        <f>IF(CJ127="NM","NM",IF(CO127="NM","NM",IF(CJ127&lt;=0,"NM",IF(CO127=0,"NM",IF(ABS(CO127/CJ127-1)&gt;2.5,"NM",IF((ABS(CO127-CJ127)=ABS(ABS(CO127)-ABS(CJ127))),(CO127/CJ127-1),"NM"))))))</f>
      </c>
      <c r="CP133" s="308">
        <f>IF(CK127=0, "NA", CP127/CK127-1)</f>
      </c>
      <c r="CQ133" s="30">
        <f>IF(CL127="NM","NM",IF(CQ127="NM","NM",IF(CL127&lt;=0,"NM",IF(CQ127=0,"NM",IF(ABS(CQ127/CL127-1)&gt;2.5,"NM",IF((ABS(CQ127-CL127)=ABS(ABS(CQ127)-ABS(CL127))),(CQ127/CL127-1),"NM"))))))</f>
      </c>
      <c r="CR133" s="30">
        <f>IF(CM127="NM","NM",IF(CR127="NM","NM",IF(CM127&lt;=0,"NM",IF(CR127=0,"NM",IF(ABS(CR127/CM127-1)&gt;2.5,"NM",IF((ABS(CR127-CM127)=ABS(ABS(CR127)-ABS(CM127))),(CR127/CM127-1),"NM"))))))</f>
      </c>
      <c r="CS133" s="30">
        <f>IF(CN127="NM","NM",IF(CS127="NM","NM",IF(CN127&lt;=0,"NM",IF(CS127=0,"NM",IF(ABS(CS127/CN127-1)&gt;2.5,"NM",IF((ABS(CS127-CN127)=ABS(ABS(CS127)-ABS(CN127))),(CS127/CN127-1),"NM"))))))</f>
      </c>
      <c r="CT133" s="30">
        <f>IF(CO127="NM","NM",IF(CT127="NM","NM",IF(CO127&lt;=0,"NM",IF(CT127=0,"NM",IF(ABS(CT127/CO127-1)&gt;2.5,"NM",IF((ABS(CT127-CO127)=ABS(ABS(CT127)-ABS(CO127))),(CT127/CO127-1),"NM"))))))</f>
      </c>
      <c r="CU133" s="308">
        <f>IF(CP127=0, "NA", CU127/CP127-1)</f>
      </c>
      <c r="CV133" s="30">
        <f>IF(CQ127="NM","NM",IF(CV127="NM","NM",IF(CQ127&lt;=0,"NM",IF(CV127=0,"NM",IF(ABS(CV127/CQ127-1)&gt;2.5,"NM",IF((ABS(CV127-CQ127)=ABS(ABS(CV127)-ABS(CQ127))),(CV127/CQ127-1),"NM"))))))</f>
      </c>
      <c r="CW133" s="30">
        <f>IF(CR127="NM","NM",IF(CW127="NM","NM",IF(CR127&lt;=0,"NM",IF(CW127=0,"NM",IF(ABS(CW127/CR127-1)&gt;2.5,"NM",IF((ABS(CW127-CR127)=ABS(ABS(CW127)-ABS(CR127))),(CW127/CR127-1),"NM"))))))</f>
      </c>
      <c r="CX133" s="30">
        <f>IF(CS127="NM","NM",IF(CX127="NM","NM",IF(CS127&lt;=0,"NM",IF(CX127=0,"NM",IF(ABS(CX127/CS127-1)&gt;2.5,"NM",IF((ABS(CX127-CS127)=ABS(ABS(CX127)-ABS(CS127))),(CX127/CS127-1),"NM"))))))</f>
      </c>
      <c r="CY133" s="30">
        <f>IF(CT127="NM","NM",IF(CY127="NM","NM",IF(CT127&lt;=0,"NM",IF(CY127=0,"NM",IF(ABS(CY127/CT127-1)&gt;2.5,"NM",IF((ABS(CY127-CT127)=ABS(ABS(CY127)-ABS(CT127))),(CY127/CT127-1),"NM"))))))</f>
      </c>
      <c r="CZ133" s="308">
        <f>IF(CU127=0, "NA", CZ127/CU127-1)</f>
      </c>
      <c r="DA133" s="30">
        <f>IF(CV127="NM","NM",IF(DA127="NM","NM",IF(CV127&lt;=0,"NM",IF(DA127=0,"NM",IF(ABS(DA127/CV127-1)&gt;2.5,"NM",IF((ABS(DA127-CV127)=ABS(ABS(DA127)-ABS(CV127))),(DA127/CV127-1),"NM"))))))</f>
      </c>
      <c r="DB133" s="926">
        <f>IF(CW127=0, "NA", DB127/CW127-1)</f>
      </c>
      <c r="DC133" s="926">
        <f>IF(CX127=0, "NA", DC127/CX127-1)</f>
      </c>
      <c r="DD133" s="926">
        <f>IF(CY127=0, "NM", DD127/CY127-1)</f>
      </c>
      <c r="DE133" s="308">
        <f>IF(CZ127=0, "NA", DE127/CZ127-1)</f>
      </c>
      <c r="DF133" s="30">
        <f>IF(DA127="NM","NM",IF(DF127="NM","NM",IF(DA127&lt;=0,"NM",IF(DF127=0,"NM",IF(ABS(DF127/DA127-1)&gt;2.5,"NM",IF((ABS(DF127-DA127)=ABS(ABS(DF127)-ABS(DA127))),(DF127/DA127-1),"NM"))))))</f>
      </c>
      <c r="DG133" s="1219">
        <f>IF(DB127=0, "NA", DG127/DB127-1)</f>
      </c>
      <c r="DH133" s="1219">
        <f>IF(DC127=0, "NA", DH127/DC127-1)</f>
      </c>
      <c r="DI133" s="926">
        <f>IF(DD127=0, "NM", DI127/DD127-1)</f>
      </c>
      <c r="DJ133" s="308">
        <f>IF(DE127=0, "NA", DJ127/DE127-1)</f>
      </c>
      <c r="DK133" s="30">
        <f>IF(DF127="NM","NM",IF(DK127="NM","NM",IF(DF127&lt;=0,"NM",IF(DK127=0,"NM",IF(ABS(DK127/DF127-1)&gt;2.5,"NM",IF((ABS(DK127-DF127)=ABS(ABS(DK127)-ABS(DF127))),(DK127/DF127-1),"NM"))))))</f>
      </c>
      <c r="DL133" s="30">
        <f>IF(DG127="NM","NM",IF(DL127="NM","NM",IF(DG127&lt;=0,"NM",IF(DL127=0,"NM",IF(ABS(DL127/DG127-1)&gt;2.5,"NM",IF((ABS(DL127-DG127)=ABS(ABS(DL127)-ABS(DG127))),(DL127/DG127-1),"NM"))))))</f>
      </c>
      <c r="DM133" s="30">
        <f>IF(DH127="NM","NM",IF(DM127="NM","NM",IF(DH127&lt;=0,"NM",IF(DM127=0,"NM",IF(ABS(DM127/DH127-1)&gt;2.5,"NM",IF((ABS(DM127-DH127)=ABS(ABS(DM127)-ABS(DH127))),(DM127/DH127-1),"NM"))))))</f>
      </c>
      <c r="DN133" s="926">
        <f>IF(DI127=0, "NM", DN127/DI127-1)</f>
      </c>
      <c r="DO133" s="308">
        <f>IF(DJ127=0, "NA", DO127/DJ127-1)</f>
      </c>
      <c r="DP133" s="926">
        <f>IF(DK127="NM","NM",IF(DP127="NM","NM",IF(DK127&lt;=0,"NM",IF(DP127=0,"NM",IF(ABS(DP127/DK127-1)&gt;2.5,"NM",IF((ABS(DP127-DK127)=ABS(ABS(DP127)-ABS(DK127))),(DP127/DK127-1),"NM"))))))</f>
      </c>
      <c r="DQ133" s="30">
        <f>IF(DL127="NM","NM",IF(DQ127="NM","NM",IF(DL127&lt;=0,"NM",IF(DQ127=0,"NM",IF(ABS(DQ127/DL127-1)&gt;2.5,"NM",IF((ABS(DQ127-DL127)=ABS(ABS(DQ127)-ABS(DL127))),(DQ127/DL127-1),"NM"))))))</f>
      </c>
      <c r="DR133" s="30">
        <f>IF(DM127="NM","NM",IF(DR127="NM","NM",IF(DM127&lt;=0,"NM",IF(DR127=0,"NM",IF(ABS(DR127/DM127-1)&gt;2.5,"NM",IF((ABS(DR127-DM127)=ABS(ABS(DR127)-ABS(DM127))),(DR127/DM127-1),"NM"))))))</f>
      </c>
      <c r="DS133" s="30">
        <f>IF(DN127="NM","NM",IF(DS127="NM","NM",IF(DN127&lt;=0,"NM",IF(DS127=0,"NM",IF(ABS(DS127/DN127-1)&gt;2.5,"NM",IF((ABS(DS127-DN127)=ABS(ABS(DS127)-ABS(DN127))),(DS127/DN127-1),"NM"))))))</f>
      </c>
      <c r="DT133" s="308">
        <f>IF(DO127=0, "NA", DT127/DO127-1)</f>
      </c>
      <c r="DU133" s="926">
        <f>IF(DP127="NM","NM",IF(DU127="NM","NM",IF(DP127&lt;=0,"NM",IF(DU127=0,"NM",IF(ABS(DU127/DP127-1)&gt;2.5,"NM",IF((ABS(DU127-DP127)=ABS(ABS(DU127)-ABS(DP127))),(DU127/DP127-1),"NM"))))))</f>
      </c>
      <c r="DV133" s="926">
        <f>IF(DQ127="NM","NM",IF(DV127="NM","NM",IF(DQ127&lt;=0,"NM",IF(DV127=0,"NM",IF(ABS(DV127/DQ127-1)&gt;2.5,"NM",IF((ABS(DV127-DQ127)=ABS(ABS(DV127)-ABS(DQ127))),(DV127/DQ127-1),"NM"))))))</f>
      </c>
      <c r="DW133" s="926">
        <f>IF(DR127="NM","NM",IF(DW127="NM","NM",IF(DR127&lt;=0,"NM",IF(DW127=0,"NM",IF(ABS(DW127/DR127-1)&gt;2.5,"NM",IF((ABS(DW127-DR127)=ABS(ABS(DW127)-ABS(DR127))),(DW127/DR127-1),"NM"))))))</f>
      </c>
      <c r="DX133" s="926">
        <f>IF(DS127="NM","NM",IF(DX127="NM","NM",IF(DS127&lt;=0,"NM",IF(DX127=0,"NM",IF(ABS(DX127/DS127-1)&gt;2.5,"NM",IF((ABS(DX127-DS127)=ABS(ABS(DX127)-ABS(DS127))),(DX127/DS127-1),"NM"))))))</f>
      </c>
      <c r="DY133" s="308">
        <f>IF(DT127=0, "NA", DY127/DT127-1)</f>
      </c>
      <c r="DZ133" s="926">
        <f>IF(DU127=0, "NA", DZ127/DU127-1)</f>
      </c>
      <c r="EA133" s="926">
        <f>IF(DV127=0, "NA", EA127/DV127-1)</f>
      </c>
      <c r="EB133" s="926">
        <f>IF(DW127=0, "NA", EB127/DW127-1)</f>
      </c>
      <c r="EC133" s="926">
        <f>IF(DX127=0, "NM", EC127/DX127-1)</f>
      </c>
      <c r="ED133" s="308">
        <f>IF(DY127=0, "NA", ED127/DY127-1)</f>
      </c>
      <c r="EE133" s="926">
        <f>IF(DZ127=0, "NA", EE127/DZ127-1)</f>
      </c>
      <c r="EF133" s="926">
        <f t="shared" ref="EF133" si="353">IF(EA127=0, "NA", EF127/EA127-1)</f>
      </c>
      <c r="EG133" s="926">
        <f>IF(EB127=0, "NA", EG127/EB127-1)</f>
      </c>
      <c r="EH133" s="926">
        <f>IF(EC127=0, "NM", EH127/EC127-1)</f>
      </c>
      <c r="EI133" s="308">
        <f>IF(ED127=0, "NA", EI127/ED127-1)</f>
      </c>
      <c r="EJ133" s="308">
        <f t="shared" ref="EJ133:EN133" si="354">IF(EI127=0, "NA", EJ127/EI127-1)</f>
      </c>
      <c r="EK133" s="308">
        <f t="shared" si="354"/>
      </c>
      <c r="EL133" s="308">
        <f t="shared" si="354"/>
      </c>
      <c r="EM133" s="308">
        <f t="shared" si="354"/>
      </c>
      <c r="EN133" s="308">
        <f t="shared" si="354"/>
      </c>
      <c r="EO133" s="308">
        <f t="shared" ref="EO133" si="355">IF(EN127=0, "NA", EO127/EN127-1)</f>
      </c>
      <c r="EP133" s="308">
        <f t="shared" ref="EP133" si="356">IF(EO127=0, "NA", EP127/EO127-1)</f>
      </c>
      <c r="EQ133" s="308">
        <f t="shared" ref="EQ133" si="357">IF(EP127=0, "NA", EQ127/EP127-1)</f>
      </c>
      <c r="ER133" s="308">
        <f t="shared" ref="ER133" si="358">IF(EQ127=0, "NA", ER127/EQ127-1)</f>
      </c>
      <c r="ES133" s="308">
        <f t="shared" ref="ES133" si="359">IF(ER127=0, "NA", ES127/ER127-1)</f>
      </c>
      <c r="ET133" s="409"/>
      <c r="EU133" s="409"/>
      <c r="EV133" s="409"/>
      <c r="EW133" s="409"/>
      <c r="EX133" s="409"/>
    </row>
    <row r="134" spans="2:154" ht="12.75" customHeight="1">
      <c r="B134" s="1171"/>
      <c r="C134" s="1989"/>
      <c r="D134" s="28"/>
      <c r="E134" s="28"/>
      <c r="F134" s="28"/>
      <c r="G134" s="28"/>
      <c r="H134" s="28"/>
      <c r="I134" s="31"/>
      <c r="J134" s="28"/>
      <c r="K134" s="28"/>
      <c r="L134" s="28"/>
      <c r="M134" s="28"/>
      <c r="N134" s="31"/>
      <c r="O134" s="31"/>
      <c r="P134" s="31"/>
      <c r="Q134" s="31"/>
      <c r="R134" s="31"/>
      <c r="S134" s="31"/>
      <c r="T134" s="31"/>
      <c r="U134" s="31"/>
      <c r="V134" s="31"/>
      <c r="W134" s="31"/>
      <c r="X134" s="313"/>
      <c r="Y134" s="31"/>
      <c r="Z134" s="31"/>
      <c r="AA134" s="31"/>
      <c r="AB134" s="31"/>
      <c r="AC134" s="313"/>
      <c r="AD134" s="31"/>
      <c r="AE134" s="31"/>
      <c r="AF134" s="31"/>
      <c r="AG134" s="31"/>
      <c r="AH134" s="313"/>
      <c r="AI134" s="28"/>
      <c r="AJ134" s="28"/>
      <c r="AK134" s="28"/>
      <c r="AL134" s="31"/>
      <c r="AM134" s="313"/>
      <c r="AN134" s="28"/>
      <c r="AO134" s="28"/>
      <c r="AP134" s="28"/>
      <c r="AQ134" s="31"/>
      <c r="AR134" s="313"/>
      <c r="AS134" s="28"/>
      <c r="AT134" s="28"/>
      <c r="AU134" s="28"/>
      <c r="AV134" s="28"/>
      <c r="AW134" s="313"/>
      <c r="AX134" s="28"/>
      <c r="AY134" s="28"/>
      <c r="AZ134" s="28"/>
      <c r="BA134" s="28"/>
      <c r="BB134" s="313"/>
      <c r="BC134" s="28"/>
      <c r="BD134" s="28"/>
      <c r="BE134" s="28"/>
      <c r="BF134" s="28"/>
      <c r="BG134" s="313"/>
      <c r="BH134" s="28"/>
      <c r="BI134" s="28"/>
      <c r="BJ134" s="28"/>
      <c r="BK134" s="28"/>
      <c r="BL134" s="313"/>
      <c r="BM134" s="28"/>
      <c r="BN134" s="28"/>
      <c r="BO134" s="28"/>
      <c r="BP134" s="28"/>
      <c r="BQ134" s="313"/>
      <c r="BR134" s="28"/>
      <c r="BS134" s="28"/>
      <c r="BT134" s="28"/>
      <c r="BU134" s="28"/>
      <c r="BV134" s="313"/>
      <c r="BW134" s="28"/>
      <c r="BX134" s="28"/>
      <c r="BY134" s="28"/>
      <c r="BZ134" s="28"/>
      <c r="CA134" s="313"/>
      <c r="CB134" s="28"/>
      <c r="CC134" s="28"/>
      <c r="CD134" s="28"/>
      <c r="CE134" s="28"/>
      <c r="CF134" s="313"/>
      <c r="CG134" s="28"/>
      <c r="CH134" s="28"/>
      <c r="CI134" s="28"/>
      <c r="CJ134" s="28"/>
      <c r="CK134" s="313"/>
      <c r="CL134" s="961"/>
      <c r="CM134" s="933"/>
      <c r="CN134" s="933"/>
      <c r="CO134" s="28"/>
      <c r="CP134" s="313"/>
      <c r="CQ134" s="933"/>
      <c r="CR134" s="933"/>
      <c r="CS134" s="933"/>
      <c r="CT134" s="933"/>
      <c r="CU134" s="313"/>
      <c r="CV134" s="933"/>
      <c r="CW134" s="1319"/>
      <c r="CX134" s="933"/>
      <c r="CY134" s="933"/>
      <c r="CZ134" s="313"/>
      <c r="DA134" s="933"/>
      <c r="DB134" s="31"/>
      <c r="DC134" s="31"/>
      <c r="DD134" s="955"/>
      <c r="DE134" s="477"/>
      <c r="DF134" s="982"/>
      <c r="DG134" s="603"/>
      <c r="DH134" s="603"/>
      <c r="DI134" s="1798"/>
      <c r="DJ134" s="477"/>
      <c r="DK134" s="1799"/>
      <c r="DL134" s="603"/>
      <c r="DM134" s="603"/>
      <c r="DN134" s="1798"/>
      <c r="DO134" s="477"/>
      <c r="DP134" s="603"/>
      <c r="DQ134" s="603"/>
      <c r="DR134" s="603"/>
      <c r="DS134" s="1798"/>
      <c r="DT134" s="477"/>
      <c r="DU134" s="603"/>
      <c r="DV134" s="603"/>
      <c r="DW134" s="603"/>
      <c r="DX134" s="1798"/>
      <c r="DY134" s="477"/>
      <c r="DZ134" s="603"/>
      <c r="EA134" s="603"/>
      <c r="EB134" s="603"/>
      <c r="EC134" s="1798"/>
      <c r="ED134" s="477"/>
      <c r="EE134" s="603"/>
      <c r="EF134" s="603"/>
      <c r="EG134" s="603"/>
      <c r="EH134" s="1798"/>
      <c r="EI134" s="477"/>
      <c r="EJ134" s="477"/>
      <c r="EK134" s="1798"/>
      <c r="EL134" s="1798"/>
      <c r="EM134" s="1798"/>
      <c r="EN134" s="1798"/>
      <c r="EO134" s="1798"/>
      <c r="EP134" s="1798"/>
      <c r="EQ134" s="1798"/>
      <c r="ER134" s="1798"/>
      <c r="ES134" s="1798"/>
      <c r="ET134" s="1798"/>
      <c r="EU134" s="1798"/>
      <c r="EV134" s="1798"/>
      <c r="EW134" s="1798"/>
      <c r="EX134" s="1798"/>
    </row>
    <row r="135" spans="2:154" ht="12.75" hidden="1" customHeight="1" outlineLevel="1">
      <c r="B135" s="1170" t="s">
        <v>529</v>
      </c>
      <c r="C135" s="1989"/>
      <c r="D135" s="28"/>
      <c r="E135" s="28"/>
      <c r="F135" s="28"/>
      <c r="G135" s="28"/>
      <c r="H135" s="28"/>
      <c r="I135" s="31"/>
      <c r="J135" s="28"/>
      <c r="K135" s="28"/>
      <c r="L135" s="28"/>
      <c r="M135" s="28"/>
      <c r="N135" s="31"/>
      <c r="O135" s="31"/>
      <c r="P135" s="31"/>
      <c r="Q135" s="31"/>
      <c r="R135" s="31"/>
      <c r="S135" s="31"/>
      <c r="T135" s="31"/>
      <c r="U135" s="31"/>
      <c r="V135" s="31"/>
      <c r="W135" s="31"/>
      <c r="X135" s="313"/>
      <c r="Y135" s="31"/>
      <c r="Z135" s="31"/>
      <c r="AA135" s="31"/>
      <c r="AB135" s="31"/>
      <c r="AC135" s="313"/>
      <c r="AD135" s="31"/>
      <c r="AE135" s="31"/>
      <c r="AF135" s="31"/>
      <c r="AG135" s="31"/>
      <c r="AH135" s="313"/>
      <c r="AI135" s="28"/>
      <c r="AJ135" s="28"/>
      <c r="AK135" s="28"/>
      <c r="AL135" s="31"/>
      <c r="AM135" s="313"/>
      <c r="AN135" s="28"/>
      <c r="AO135" s="28"/>
      <c r="AP135" s="28"/>
      <c r="AQ135" s="31"/>
      <c r="AR135" s="313"/>
      <c r="AS135" s="28"/>
      <c r="AT135" s="28"/>
      <c r="AU135" s="28"/>
      <c r="AV135" s="31"/>
      <c r="AW135" s="313"/>
      <c r="AX135" s="28"/>
      <c r="AY135" s="28"/>
      <c r="AZ135" s="28"/>
      <c r="BA135" s="28"/>
      <c r="BB135" s="313"/>
      <c r="BC135" s="28"/>
      <c r="BD135" s="28"/>
      <c r="BE135" s="28"/>
      <c r="BF135" s="28"/>
      <c r="BG135" s="313"/>
      <c r="BH135" s="28"/>
      <c r="BI135" s="28"/>
      <c r="BJ135" s="28"/>
      <c r="BK135" s="28"/>
      <c r="BL135" s="313"/>
      <c r="BM135" s="28"/>
      <c r="BN135" s="28"/>
      <c r="BO135" s="28"/>
      <c r="BP135" s="28"/>
      <c r="BQ135" s="313"/>
      <c r="BR135" s="28"/>
      <c r="BS135" s="28"/>
      <c r="BT135" s="28"/>
      <c r="BU135" s="28"/>
      <c r="BV135" s="313"/>
      <c r="BW135" s="28"/>
      <c r="BX135" s="28"/>
      <c r="BY135" s="28"/>
      <c r="BZ135" s="28"/>
      <c r="CA135" s="313"/>
      <c r="CB135" s="28"/>
      <c r="CC135" s="28"/>
      <c r="CD135" s="28"/>
      <c r="CE135" s="28"/>
      <c r="CF135" s="313"/>
      <c r="CG135" s="28"/>
      <c r="CH135" s="28"/>
      <c r="CI135" s="28"/>
      <c r="CJ135" s="28"/>
      <c r="CK135" s="313"/>
      <c r="CL135" s="961"/>
      <c r="CM135" s="933"/>
      <c r="CN135" s="933"/>
      <c r="CO135" s="28"/>
      <c r="CP135" s="957"/>
      <c r="CQ135" s="961"/>
      <c r="CR135" s="933"/>
      <c r="CS135" s="933"/>
      <c r="CT135" s="933"/>
      <c r="CU135" s="313"/>
      <c r="CV135" s="961"/>
      <c r="CW135" s="933"/>
      <c r="CX135" s="933"/>
      <c r="CY135" s="933"/>
      <c r="CZ135" s="313"/>
      <c r="DA135" s="961"/>
      <c r="DB135" s="31"/>
      <c r="DC135" s="31"/>
      <c r="DD135" s="955"/>
      <c r="DE135" s="477"/>
      <c r="DF135" s="981"/>
      <c r="DG135" s="603"/>
      <c r="DH135" s="603"/>
      <c r="DI135" s="1798"/>
      <c r="DJ135" s="477"/>
      <c r="DK135" s="1799"/>
      <c r="DL135" s="603"/>
      <c r="DM135" s="603"/>
      <c r="DN135" s="1798"/>
      <c r="DO135" s="477"/>
      <c r="DP135" s="603"/>
      <c r="DQ135" s="603"/>
      <c r="DR135" s="603"/>
      <c r="DS135" s="1798"/>
      <c r="DT135" s="477"/>
      <c r="DU135" s="603"/>
      <c r="DV135" s="603"/>
      <c r="DW135" s="603"/>
      <c r="DX135" s="1798"/>
      <c r="DY135" s="477"/>
      <c r="DZ135" s="603"/>
      <c r="EA135" s="603"/>
      <c r="EB135" s="603"/>
      <c r="EC135" s="1798"/>
      <c r="ED135" s="477"/>
      <c r="EE135" s="603"/>
      <c r="EF135" s="603"/>
      <c r="EG135" s="603"/>
      <c r="EH135" s="1798"/>
      <c r="EI135" s="477"/>
      <c r="EJ135" s="477"/>
      <c r="EK135" s="1798"/>
      <c r="EL135" s="1798"/>
      <c r="EM135" s="1798"/>
      <c r="EN135" s="1798"/>
      <c r="EO135" s="1798"/>
      <c r="EP135" s="1798"/>
      <c r="EQ135" s="1798"/>
      <c r="ER135" s="1798"/>
      <c r="ES135" s="1798"/>
      <c r="ET135" s="1798"/>
      <c r="EU135" s="1798"/>
      <c r="EV135" s="1798"/>
      <c r="EW135" s="1798"/>
      <c r="EX135" s="1798"/>
    </row>
    <row r="136" spans="2:154" ht="12.75" hidden="1" customHeight="1" outlineLevel="1">
      <c r="B136" s="1171" t="s">
        <v>187</v>
      </c>
      <c r="C136" s="1997">
        <v>43774</v>
      </c>
      <c r="D136" s="28"/>
      <c r="E136" s="28"/>
      <c r="F136" s="28"/>
      <c r="G136" s="28"/>
      <c r="H136" s="28"/>
      <c r="I136" s="31"/>
      <c r="J136" s="28"/>
      <c r="K136" s="28"/>
      <c r="L136" s="28"/>
      <c r="M136" s="28"/>
      <c r="N136" s="31"/>
      <c r="O136" s="31"/>
      <c r="P136" s="31"/>
      <c r="Q136" s="31"/>
      <c r="R136" s="31"/>
      <c r="S136" s="31"/>
      <c r="T136" s="31"/>
      <c r="U136" s="31"/>
      <c r="V136" s="31"/>
      <c r="W136" s="31"/>
      <c r="X136" s="312"/>
      <c r="Y136" s="31"/>
      <c r="Z136" s="31"/>
      <c r="AA136" s="31"/>
      <c r="AB136" s="31"/>
      <c r="AC136" s="312"/>
      <c r="AD136" s="31"/>
      <c r="AE136" s="31"/>
      <c r="AF136" s="31"/>
      <c r="AG136" s="31"/>
      <c r="AH136" s="312"/>
      <c r="AI136" s="28"/>
      <c r="AJ136" s="28"/>
      <c r="AK136" s="28"/>
      <c r="AL136" s="31"/>
      <c r="AM136" s="312"/>
      <c r="AN136" s="33"/>
      <c r="AO136" s="33"/>
      <c r="AP136" s="33"/>
      <c r="AQ136" s="28"/>
      <c r="AR136" s="312"/>
      <c r="AS136" s="33"/>
      <c r="AT136" s="33"/>
      <c r="AU136" s="33"/>
      <c r="AV136" s="28"/>
      <c r="AW136" s="312"/>
      <c r="AX136" s="33">
        <v>4</v>
      </c>
      <c r="AY136" s="33">
        <v>8</v>
      </c>
      <c r="AZ136" s="33">
        <v>12</v>
      </c>
      <c r="BA136" s="33">
        <v>15</v>
      </c>
      <c r="BB136" s="312">
        <f>SUM(AX136:BA136)</f>
      </c>
      <c r="BC136" s="33">
        <v>18</v>
      </c>
      <c r="BD136" s="33">
        <v>19</v>
      </c>
      <c r="BE136" s="33">
        <v>22</v>
      </c>
      <c r="BF136" s="33">
        <v>25</v>
      </c>
      <c r="BG136" s="312">
        <f>SUM(BC136:BF136)</f>
      </c>
      <c r="BH136" s="33">
        <v>31</v>
      </c>
      <c r="BI136" s="33">
        <v>32</v>
      </c>
      <c r="BJ136" s="33">
        <v>30</v>
      </c>
      <c r="BK136" s="33">
        <v>34</v>
      </c>
      <c r="BL136" s="313">
        <f>SUM(BH136:BK136)</f>
      </c>
      <c r="BM136" s="33">
        <v>38</v>
      </c>
      <c r="BN136" s="352">
        <v>38</v>
      </c>
      <c r="BO136" s="352">
        <v>42</v>
      </c>
      <c r="BP136" s="33">
        <v>45</v>
      </c>
      <c r="BQ136" s="313">
        <f>SUM(BM136:BP136)</f>
      </c>
      <c r="BR136" s="33">
        <v>43</v>
      </c>
      <c r="BS136" s="352">
        <v>42</v>
      </c>
      <c r="BT136" s="352">
        <v>45</v>
      </c>
      <c r="BU136" s="352">
        <v>46</v>
      </c>
      <c r="BV136" s="313">
        <f>SUM(BR136:BU136)</f>
      </c>
      <c r="BW136" s="352">
        <v>47</v>
      </c>
      <c r="BX136" s="352">
        <v>44</v>
      </c>
      <c r="BY136" s="352">
        <v>47</v>
      </c>
      <c r="BZ136" s="352">
        <v>49</v>
      </c>
      <c r="CA136" s="313">
        <f>SUM(BW136:BZ136)</f>
      </c>
      <c r="CB136" s="761">
        <v>51</v>
      </c>
      <c r="CC136" s="761">
        <v>45</v>
      </c>
      <c r="CD136" s="761">
        <v>48.9</v>
      </c>
      <c r="CE136" s="761">
        <v>51</v>
      </c>
      <c r="CF136" s="313">
        <f>SUM(CB136:CE136)</f>
      </c>
      <c r="CG136" s="761">
        <v>53.04</v>
      </c>
      <c r="CH136" s="761">
        <v>47</v>
      </c>
      <c r="CI136" s="761">
        <v>51</v>
      </c>
      <c r="CJ136" s="761">
        <v>53.04</v>
      </c>
      <c r="CK136" s="313">
        <f>SUM(CG136:CJ136)</f>
      </c>
      <c r="CL136" s="761">
        <v>50</v>
      </c>
      <c r="CM136" s="761">
        <v>51</v>
      </c>
      <c r="CN136" s="761">
        <v>43</v>
      </c>
      <c r="CO136" s="761">
        <v>53.04</v>
      </c>
      <c r="CP136" s="957">
        <f>SUM(CL136:CO136)</f>
      </c>
      <c r="CQ136" s="1110"/>
      <c r="CR136" s="352"/>
      <c r="CS136" s="933"/>
      <c r="CT136" s="933"/>
      <c r="CU136" s="313"/>
      <c r="CV136" s="1110"/>
      <c r="CW136" s="933"/>
      <c r="CX136" s="933"/>
      <c r="CY136" s="933"/>
      <c r="CZ136" s="313"/>
      <c r="DA136" s="1110"/>
      <c r="DB136" s="31"/>
      <c r="DC136" s="31"/>
      <c r="DD136" s="955"/>
      <c r="DE136" s="477"/>
      <c r="DF136" s="1814"/>
      <c r="DG136" s="603"/>
      <c r="DH136" s="603"/>
      <c r="DI136" s="1798"/>
      <c r="DJ136" s="477"/>
      <c r="DK136" s="1799"/>
      <c r="DL136" s="603"/>
      <c r="DM136" s="603"/>
      <c r="DN136" s="1798"/>
      <c r="DO136" s="477"/>
      <c r="DP136" s="603"/>
      <c r="DQ136" s="603"/>
      <c r="DR136" s="603"/>
      <c r="DS136" s="1798"/>
      <c r="DT136" s="477"/>
      <c r="DU136" s="603"/>
      <c r="DV136" s="603"/>
      <c r="DW136" s="603"/>
      <c r="DX136" s="1798"/>
      <c r="DY136" s="477"/>
      <c r="DZ136" s="603"/>
      <c r="EA136" s="603"/>
      <c r="EB136" s="603"/>
      <c r="EC136" s="1798"/>
      <c r="ED136" s="477"/>
      <c r="EE136" s="603"/>
      <c r="EF136" s="603"/>
      <c r="EG136" s="603"/>
      <c r="EH136" s="1798"/>
      <c r="EI136" s="477"/>
      <c r="EJ136" s="477"/>
      <c r="EK136" s="1798"/>
      <c r="EL136" s="1798"/>
      <c r="EM136" s="1798"/>
      <c r="EN136" s="1798"/>
      <c r="EO136" s="1798"/>
      <c r="EP136" s="1798"/>
      <c r="EQ136" s="1798"/>
      <c r="ER136" s="1798"/>
      <c r="ES136" s="1798"/>
      <c r="ET136" s="1798"/>
      <c r="EU136" s="1798"/>
      <c r="EV136" s="1798"/>
      <c r="EW136" s="1798"/>
      <c r="EX136" s="1798"/>
    </row>
    <row r="137" spans="2:154" ht="12.75" hidden="1" customHeight="1" outlineLevel="1">
      <c r="B137" s="1171" t="s">
        <v>412</v>
      </c>
      <c r="C137" s="1989">
        <v>2019</v>
      </c>
      <c r="D137" s="28"/>
      <c r="E137" s="28"/>
      <c r="F137" s="28"/>
      <c r="G137" s="28"/>
      <c r="H137" s="28"/>
      <c r="I137" s="31"/>
      <c r="J137" s="28"/>
      <c r="K137" s="28"/>
      <c r="L137" s="28"/>
      <c r="M137" s="28"/>
      <c r="N137" s="31"/>
      <c r="O137" s="31"/>
      <c r="P137" s="31"/>
      <c r="Q137" s="31"/>
      <c r="R137" s="31"/>
      <c r="S137" s="31"/>
      <c r="T137" s="31"/>
      <c r="U137" s="31"/>
      <c r="V137" s="31"/>
      <c r="W137" s="31"/>
      <c r="X137" s="312"/>
      <c r="Y137" s="31"/>
      <c r="Z137" s="31"/>
      <c r="AA137" s="31"/>
      <c r="AB137" s="31"/>
      <c r="AC137" s="312"/>
      <c r="AD137" s="31"/>
      <c r="AE137" s="31"/>
      <c r="AF137" s="31"/>
      <c r="AG137" s="31"/>
      <c r="AH137" s="312"/>
      <c r="AI137" s="28"/>
      <c r="AJ137" s="28"/>
      <c r="AK137" s="28"/>
      <c r="AL137" s="31"/>
      <c r="AM137" s="312"/>
      <c r="AN137" s="33"/>
      <c r="AO137" s="33"/>
      <c r="AP137" s="33"/>
      <c r="AQ137" s="28"/>
      <c r="AR137" s="312"/>
      <c r="AS137" s="33"/>
      <c r="AT137" s="33"/>
      <c r="AU137" s="33"/>
      <c r="AV137" s="28"/>
      <c r="AW137" s="312"/>
      <c r="AX137" s="28"/>
      <c r="AY137" s="33">
        <v>5</v>
      </c>
      <c r="AZ137" s="33">
        <v>10</v>
      </c>
      <c r="BA137" s="33">
        <v>10</v>
      </c>
      <c r="BB137" s="312">
        <f>SUM(AX137:BA137)</f>
      </c>
      <c r="BC137" s="33">
        <v>12</v>
      </c>
      <c r="BD137" s="33">
        <v>15</v>
      </c>
      <c r="BE137" s="33">
        <v>17</v>
      </c>
      <c r="BF137" s="33">
        <v>20</v>
      </c>
      <c r="BG137" s="312">
        <f>SUM(BC137:BF137)</f>
      </c>
      <c r="BH137" s="33">
        <v>24</v>
      </c>
      <c r="BI137" s="33">
        <v>24</v>
      </c>
      <c r="BJ137" s="33">
        <v>37</v>
      </c>
      <c r="BK137" s="33">
        <v>31</v>
      </c>
      <c r="BL137" s="313">
        <f>SUM(BH137:BK137)</f>
      </c>
      <c r="BM137" s="33">
        <v>31</v>
      </c>
      <c r="BN137" s="352">
        <v>41</v>
      </c>
      <c r="BO137" s="352">
        <v>41</v>
      </c>
      <c r="BP137" s="33">
        <v>38</v>
      </c>
      <c r="BQ137" s="313">
        <f>SUM(BM137:BP137)</f>
      </c>
      <c r="BR137" s="33">
        <v>37</v>
      </c>
      <c r="BS137" s="352">
        <v>49</v>
      </c>
      <c r="BT137" s="352">
        <v>49</v>
      </c>
      <c r="BU137" s="352">
        <v>38</v>
      </c>
      <c r="BV137" s="313">
        <f>SUM(BR137:BU137)</f>
      </c>
      <c r="BW137" s="352">
        <v>42</v>
      </c>
      <c r="BX137" s="352">
        <v>59</v>
      </c>
      <c r="BY137" s="352">
        <v>45</v>
      </c>
      <c r="BZ137" s="352">
        <v>46</v>
      </c>
      <c r="CA137" s="313">
        <f>SUM(BW137:BZ137)</f>
      </c>
      <c r="CB137" s="761">
        <v>48</v>
      </c>
      <c r="CC137" s="761">
        <v>67</v>
      </c>
      <c r="CD137" s="761">
        <v>51.2</v>
      </c>
      <c r="CE137" s="761">
        <v>50</v>
      </c>
      <c r="CF137" s="313">
        <f>SUM(CB137:CE137)</f>
      </c>
      <c r="CG137" s="761">
        <v>48</v>
      </c>
      <c r="CH137" s="761">
        <v>65</v>
      </c>
      <c r="CI137" s="761">
        <v>49</v>
      </c>
      <c r="CJ137" s="761">
        <v>47</v>
      </c>
      <c r="CK137" s="313">
        <f>SUM(CG137:CJ137)</f>
      </c>
      <c r="CL137" s="761">
        <v>48</v>
      </c>
      <c r="CM137" s="761">
        <v>67.86</v>
      </c>
      <c r="CN137" s="761">
        <v>51</v>
      </c>
      <c r="CO137" s="761">
        <v>47</v>
      </c>
      <c r="CP137" s="957">
        <f>SUM(CL137:CO137)</f>
      </c>
      <c r="CQ137" s="1110"/>
      <c r="CR137" s="352"/>
      <c r="CS137" s="933"/>
      <c r="CT137" s="933"/>
      <c r="CU137" s="313"/>
      <c r="CV137" s="1110"/>
      <c r="CW137" s="933"/>
      <c r="CX137" s="933"/>
      <c r="CY137" s="933"/>
      <c r="CZ137" s="313"/>
      <c r="DA137" s="1110"/>
      <c r="DB137" s="31"/>
      <c r="DC137" s="31"/>
      <c r="DD137" s="955"/>
      <c r="DE137" s="477"/>
      <c r="DF137" s="1814"/>
      <c r="DG137" s="603"/>
      <c r="DH137" s="603"/>
      <c r="DI137" s="1798"/>
      <c r="DJ137" s="477"/>
      <c r="DK137" s="1799"/>
      <c r="DL137" s="603"/>
      <c r="DM137" s="603"/>
      <c r="DN137" s="1798"/>
      <c r="DO137" s="477"/>
      <c r="DP137" s="603"/>
      <c r="DQ137" s="603"/>
      <c r="DR137" s="603"/>
      <c r="DS137" s="1798"/>
      <c r="DT137" s="477"/>
      <c r="DU137" s="603"/>
      <c r="DV137" s="603"/>
      <c r="DW137" s="603"/>
      <c r="DX137" s="1798"/>
      <c r="DY137" s="477"/>
      <c r="DZ137" s="603"/>
      <c r="EA137" s="603"/>
      <c r="EB137" s="603"/>
      <c r="EC137" s="1798"/>
      <c r="ED137" s="477"/>
      <c r="EE137" s="603"/>
      <c r="EF137" s="603"/>
      <c r="EG137" s="603"/>
      <c r="EH137" s="1798"/>
      <c r="EI137" s="477"/>
      <c r="EJ137" s="477"/>
      <c r="EK137" s="1798"/>
      <c r="EL137" s="1798"/>
      <c r="EM137" s="1798"/>
      <c r="EN137" s="1798"/>
      <c r="EO137" s="1798"/>
      <c r="EP137" s="1798"/>
      <c r="EQ137" s="1798"/>
      <c r="ER137" s="1798"/>
      <c r="ES137" s="1798"/>
      <c r="ET137" s="1798"/>
      <c r="EU137" s="1798"/>
      <c r="EV137" s="1798"/>
      <c r="EW137" s="1798"/>
      <c r="EX137" s="1798"/>
    </row>
    <row r="138" spans="2:154" ht="12.75" hidden="1" customHeight="1" outlineLevel="1">
      <c r="B138" s="1171" t="s">
        <v>413</v>
      </c>
      <c r="C138" s="1989"/>
      <c r="D138" s="28"/>
      <c r="E138" s="28"/>
      <c r="F138" s="28"/>
      <c r="G138" s="28"/>
      <c r="H138" s="28"/>
      <c r="I138" s="31"/>
      <c r="J138" s="28"/>
      <c r="K138" s="28"/>
      <c r="L138" s="28"/>
      <c r="M138" s="28"/>
      <c r="N138" s="31"/>
      <c r="O138" s="31"/>
      <c r="P138" s="31"/>
      <c r="Q138" s="31"/>
      <c r="R138" s="31"/>
      <c r="S138" s="31"/>
      <c r="T138" s="31"/>
      <c r="U138" s="31"/>
      <c r="V138" s="31"/>
      <c r="W138" s="31"/>
      <c r="X138" s="313"/>
      <c r="Y138" s="31"/>
      <c r="Z138" s="31"/>
      <c r="AA138" s="31"/>
      <c r="AB138" s="31"/>
      <c r="AC138" s="313"/>
      <c r="AD138" s="31"/>
      <c r="AE138" s="31"/>
      <c r="AF138" s="31"/>
      <c r="AG138" s="31"/>
      <c r="AH138" s="313"/>
      <c r="AI138" s="28"/>
      <c r="AJ138" s="28"/>
      <c r="AK138" s="28"/>
      <c r="AL138" s="31"/>
      <c r="AM138" s="313"/>
      <c r="AN138" s="28"/>
      <c r="AO138" s="28"/>
      <c r="AP138" s="28"/>
      <c r="AQ138" s="31"/>
      <c r="AR138" s="313"/>
      <c r="AS138" s="28"/>
      <c r="AT138" s="28"/>
      <c r="AU138" s="28"/>
      <c r="AV138" s="28"/>
      <c r="AW138" s="313"/>
      <c r="AX138" s="28">
        <f>+SUM(AX136:AX137)</f>
      </c>
      <c r="AY138" s="28">
        <f>+SUM(AY136:AY137)</f>
      </c>
      <c r="AZ138" s="28">
        <f>+SUM(AZ136:AZ137)</f>
      </c>
      <c r="BA138" s="28">
        <f>+SUM(BA136:BA137)</f>
      </c>
      <c r="BB138" s="313">
        <f>+BB136+BB137</f>
      </c>
      <c r="BC138" s="28">
        <f>+SUM(BC136:BC137)</f>
      </c>
      <c r="BD138" s="28">
        <f>+SUM(BD136:BD137)</f>
      </c>
      <c r="BE138" s="28">
        <f>+SUM(BE136:BE137)</f>
      </c>
      <c r="BF138" s="28">
        <f>+SUM(BF136:BF137)</f>
      </c>
      <c r="BG138" s="313">
        <f>SUM(BG136:BG137)</f>
      </c>
      <c r="BH138" s="28">
        <f>+SUM(BH136:BH137)</f>
      </c>
      <c r="BI138" s="28">
        <f>+SUM(BI136:BI137)</f>
      </c>
      <c r="BJ138" s="28">
        <f>+SUM(BJ136:BJ137)</f>
      </c>
      <c r="BK138" s="28">
        <f>+BK136+BK137</f>
      </c>
      <c r="BL138" s="313">
        <f>SUM(BH138:BK138)</f>
      </c>
      <c r="BM138" s="28">
        <f>+SUM(BM136:BM137)</f>
      </c>
      <c r="BN138" s="28">
        <f>+SUM(BN136:BN137)</f>
      </c>
      <c r="BO138" s="28">
        <f>+SUM(BO136:BO137)</f>
      </c>
      <c r="BP138" s="28">
        <f>+BP136+BP137</f>
      </c>
      <c r="BQ138" s="313">
        <f>SUM(BM138:BP138)</f>
      </c>
      <c r="BR138" s="28">
        <f>+SUM(BR136:BR137)</f>
      </c>
      <c r="BS138" s="28">
        <f>+SUM(BS136:BS137)</f>
      </c>
      <c r="BT138" s="28">
        <f>+SUM(BT136:BT137)</f>
      </c>
      <c r="BU138" s="28">
        <f>+BU136+BU137</f>
      </c>
      <c r="BV138" s="313">
        <f>SUM(BR138:BU138)</f>
      </c>
      <c r="BW138" s="28">
        <f>+SUM(BW136:BW137)</f>
      </c>
      <c r="BX138" s="28">
        <f>+SUM(BX136:BX137)</f>
      </c>
      <c r="BY138" s="28">
        <f>+SUM(BY136:BY137)</f>
      </c>
      <c r="BZ138" s="28">
        <f>+SUM(BZ136:BZ137)</f>
      </c>
      <c r="CA138" s="313">
        <f>SUM(BW138:BZ138)</f>
      </c>
      <c r="CB138" s="28">
        <f>+SUM(CB136:CB137)</f>
      </c>
      <c r="CC138" s="28">
        <f>+SUM(CC136:CC137)</f>
      </c>
      <c r="CD138" s="28">
        <f>+SUM(CD136:CD137)</f>
      </c>
      <c r="CE138" s="28">
        <f>+SUM(CE136:CE137)</f>
      </c>
      <c r="CF138" s="313">
        <f>SUM(CB138:CE138)</f>
      </c>
      <c r="CG138" s="28">
        <f>+SUM(CG136:CG137)</f>
      </c>
      <c r="CH138" s="28">
        <f>+SUM(CH136:CH137)</f>
      </c>
      <c r="CI138" s="28">
        <f>+SUM(CI136:CI137)</f>
      </c>
      <c r="CJ138" s="28">
        <f>+SUM(CJ136:CJ137)</f>
      </c>
      <c r="CK138" s="313">
        <f>SUM(CG138:CJ138)</f>
      </c>
      <c r="CL138" s="28">
        <f>+SUM(CL136:CL137)</f>
      </c>
      <c r="CM138" s="28">
        <f>+SUM(CM136:CM137)</f>
      </c>
      <c r="CN138" s="933">
        <f>+SUM(CN136:CN137)</f>
      </c>
      <c r="CO138" s="28">
        <f>+SUM(CO136:CO137)</f>
      </c>
      <c r="CP138" s="957">
        <f>SUM(CL138:CO138)</f>
      </c>
      <c r="CQ138" s="961"/>
      <c r="CR138" s="933"/>
      <c r="CS138" s="933"/>
      <c r="CT138" s="933"/>
      <c r="CU138" s="313"/>
      <c r="CV138" s="961"/>
      <c r="CW138" s="933"/>
      <c r="CX138" s="933"/>
      <c r="CY138" s="933"/>
      <c r="CZ138" s="313"/>
      <c r="DA138" s="961"/>
      <c r="DB138" s="31"/>
      <c r="DC138" s="31"/>
      <c r="DD138" s="955"/>
      <c r="DE138" s="477"/>
      <c r="DF138" s="981"/>
      <c r="DG138" s="603"/>
      <c r="DH138" s="603"/>
      <c r="DI138" s="1798"/>
      <c r="DJ138" s="477"/>
      <c r="DK138" s="1799"/>
      <c r="DL138" s="603"/>
      <c r="DM138" s="603"/>
      <c r="DN138" s="1798"/>
      <c r="DO138" s="477"/>
      <c r="DP138" s="603"/>
      <c r="DQ138" s="603"/>
      <c r="DR138" s="603"/>
      <c r="DS138" s="1798"/>
      <c r="DT138" s="477"/>
      <c r="DU138" s="603"/>
      <c r="DV138" s="603"/>
      <c r="DW138" s="603"/>
      <c r="DX138" s="1798"/>
      <c r="DY138" s="477"/>
      <c r="DZ138" s="603"/>
      <c r="EA138" s="603"/>
      <c r="EB138" s="603"/>
      <c r="EC138" s="1798"/>
      <c r="ED138" s="477"/>
      <c r="EE138" s="603"/>
      <c r="EF138" s="603"/>
      <c r="EG138" s="603"/>
      <c r="EH138" s="1798"/>
      <c r="EI138" s="477"/>
      <c r="EJ138" s="477"/>
      <c r="EK138" s="1798"/>
      <c r="EL138" s="1798"/>
      <c r="EM138" s="1798"/>
      <c r="EN138" s="1798"/>
      <c r="EO138" s="1798"/>
      <c r="EP138" s="1798"/>
      <c r="EQ138" s="1798"/>
      <c r="ER138" s="1798"/>
      <c r="ES138" s="1798"/>
      <c r="ET138" s="1798"/>
      <c r="EU138" s="1798"/>
      <c r="EV138" s="1798"/>
      <c r="EW138" s="1798"/>
      <c r="EX138" s="1798"/>
    </row>
    <row r="139" spans="2:154" ht="12.75" hidden="1" customHeight="1" outlineLevel="1">
      <c r="B139" s="1171"/>
      <c r="C139" s="1989"/>
      <c r="D139" s="28"/>
      <c r="E139" s="28"/>
      <c r="F139" s="28"/>
      <c r="G139" s="28"/>
      <c r="H139" s="28"/>
      <c r="I139" s="31"/>
      <c r="J139" s="28"/>
      <c r="K139" s="28"/>
      <c r="L139" s="28"/>
      <c r="M139" s="28"/>
      <c r="N139" s="31"/>
      <c r="O139" s="31"/>
      <c r="P139" s="31"/>
      <c r="Q139" s="31"/>
      <c r="R139" s="31"/>
      <c r="S139" s="31"/>
      <c r="T139" s="31"/>
      <c r="U139" s="31"/>
      <c r="V139" s="31"/>
      <c r="W139" s="31"/>
      <c r="X139" s="312"/>
      <c r="Y139" s="31"/>
      <c r="Z139" s="31"/>
      <c r="AA139" s="31"/>
      <c r="AB139" s="31"/>
      <c r="AC139" s="312"/>
      <c r="AD139" s="31"/>
      <c r="AE139" s="31"/>
      <c r="AF139" s="31"/>
      <c r="AG139" s="31"/>
      <c r="AH139" s="312"/>
      <c r="AI139" s="28"/>
      <c r="AJ139" s="28"/>
      <c r="AK139" s="28"/>
      <c r="AL139" s="31"/>
      <c r="AM139" s="312"/>
      <c r="AN139" s="28"/>
      <c r="AO139" s="28"/>
      <c r="AP139" s="28"/>
      <c r="AQ139" s="31"/>
      <c r="AR139" s="312"/>
      <c r="AS139" s="28"/>
      <c r="AT139" s="28"/>
      <c r="AU139" s="28"/>
      <c r="AV139" s="28"/>
      <c r="AW139" s="312"/>
      <c r="AX139" s="28"/>
      <c r="AY139" s="28"/>
      <c r="AZ139" s="28"/>
      <c r="BA139" s="28"/>
      <c r="BB139" s="312"/>
      <c r="BC139" s="28"/>
      <c r="BD139" s="28"/>
      <c r="BE139" s="28"/>
      <c r="BF139" s="28"/>
      <c r="BG139" s="312"/>
      <c r="BH139" s="28"/>
      <c r="BI139" s="28"/>
      <c r="BJ139" s="28"/>
      <c r="BK139" s="28"/>
      <c r="BL139" s="313"/>
      <c r="BM139" s="28"/>
      <c r="BN139" s="28"/>
      <c r="BO139" s="28"/>
      <c r="BP139" s="28"/>
      <c r="BQ139" s="313"/>
      <c r="BR139" s="28"/>
      <c r="BS139" s="28"/>
      <c r="BT139" s="28"/>
      <c r="BU139" s="28"/>
      <c r="BV139" s="313"/>
      <c r="BW139" s="28"/>
      <c r="BX139" s="28"/>
      <c r="BY139" s="28"/>
      <c r="BZ139" s="28"/>
      <c r="CA139" s="313"/>
      <c r="CB139" s="28"/>
      <c r="CC139" s="28"/>
      <c r="CD139" s="28"/>
      <c r="CE139" s="28"/>
      <c r="CF139" s="313"/>
      <c r="CG139" s="28"/>
      <c r="CH139" s="28"/>
      <c r="CI139" s="28"/>
      <c r="CJ139" s="28"/>
      <c r="CK139" s="313"/>
      <c r="CL139" s="961"/>
      <c r="CM139" s="933"/>
      <c r="CN139" s="933"/>
      <c r="CO139" s="28"/>
      <c r="CP139" s="313"/>
      <c r="CQ139" s="933"/>
      <c r="CR139" s="933"/>
      <c r="CS139" s="933"/>
      <c r="CT139" s="933"/>
      <c r="CU139" s="313"/>
      <c r="CV139" s="933"/>
      <c r="CW139" s="933"/>
      <c r="CX139" s="933"/>
      <c r="CY139" s="933"/>
      <c r="CZ139" s="313"/>
      <c r="DA139" s="933"/>
      <c r="DB139" s="31"/>
      <c r="DC139" s="31"/>
      <c r="DD139" s="955"/>
      <c r="DE139" s="477"/>
      <c r="DF139" s="982"/>
      <c r="DG139" s="603"/>
      <c r="DH139" s="603"/>
      <c r="DI139" s="1798"/>
      <c r="DJ139" s="477"/>
      <c r="DK139" s="1799"/>
      <c r="DL139" s="603"/>
      <c r="DM139" s="603"/>
      <c r="DN139" s="1798"/>
      <c r="DO139" s="477"/>
      <c r="DP139" s="603"/>
      <c r="DQ139" s="603"/>
      <c r="DR139" s="603"/>
      <c r="DS139" s="1798"/>
      <c r="DT139" s="477"/>
      <c r="DU139" s="603"/>
      <c r="DV139" s="603"/>
      <c r="DW139" s="603"/>
      <c r="DX139" s="1798"/>
      <c r="DY139" s="477"/>
      <c r="DZ139" s="603"/>
      <c r="EA139" s="603"/>
      <c r="EB139" s="603"/>
      <c r="EC139" s="1798"/>
      <c r="ED139" s="477"/>
      <c r="EE139" s="603"/>
      <c r="EF139" s="603"/>
      <c r="EG139" s="603"/>
      <c r="EH139" s="1798"/>
      <c r="EI139" s="477"/>
      <c r="EJ139" s="477"/>
      <c r="EK139" s="1798"/>
      <c r="EL139" s="1798"/>
      <c r="EM139" s="1798"/>
      <c r="EN139" s="1798"/>
      <c r="EO139" s="1798"/>
      <c r="EP139" s="1798"/>
      <c r="EQ139" s="1798"/>
      <c r="ER139" s="1798"/>
      <c r="ES139" s="1798"/>
      <c r="ET139" s="1798"/>
      <c r="EU139" s="1798"/>
      <c r="EV139" s="1798"/>
      <c r="EW139" s="1798"/>
      <c r="EX139" s="1798"/>
    </row>
    <row r="140" spans="2:154" ht="12.75" hidden="1" customHeight="1" outlineLevel="1">
      <c r="B140" s="1172" t="s">
        <v>130</v>
      </c>
      <c r="C140" s="1989"/>
      <c r="D140" s="28"/>
      <c r="E140" s="28"/>
      <c r="F140" s="28"/>
      <c r="G140" s="28"/>
      <c r="H140" s="28"/>
      <c r="I140" s="31"/>
      <c r="J140" s="28"/>
      <c r="K140" s="28"/>
      <c r="L140" s="28"/>
      <c r="M140" s="28"/>
      <c r="N140" s="31"/>
      <c r="O140" s="31"/>
      <c r="P140" s="31"/>
      <c r="Q140" s="31"/>
      <c r="R140" s="31"/>
      <c r="S140" s="31"/>
      <c r="T140" s="31"/>
      <c r="U140" s="31"/>
      <c r="V140" s="31"/>
      <c r="W140" s="31"/>
      <c r="X140" s="312"/>
      <c r="Y140" s="31"/>
      <c r="Z140" s="31"/>
      <c r="AA140" s="31"/>
      <c r="AB140" s="31"/>
      <c r="AC140" s="312"/>
      <c r="AD140" s="31"/>
      <c r="AE140" s="31"/>
      <c r="AF140" s="31"/>
      <c r="AG140" s="31"/>
      <c r="AH140" s="312"/>
      <c r="AI140" s="28"/>
      <c r="AJ140" s="28"/>
      <c r="AK140" s="28"/>
      <c r="AL140" s="31"/>
      <c r="AM140" s="312"/>
      <c r="AN140" s="28"/>
      <c r="AO140" s="28"/>
      <c r="AP140" s="28"/>
      <c r="AQ140" s="31"/>
      <c r="AR140" s="312"/>
      <c r="AS140" s="28"/>
      <c r="AT140" s="28"/>
      <c r="AU140" s="28"/>
      <c r="AV140" s="28"/>
      <c r="AW140" s="312"/>
      <c r="AX140" s="28"/>
      <c r="AY140" s="28"/>
      <c r="AZ140" s="28"/>
      <c r="BA140" s="28"/>
      <c r="BB140" s="312"/>
      <c r="BC140" s="28"/>
      <c r="BD140" s="28"/>
      <c r="BE140" s="28"/>
      <c r="BF140" s="28"/>
      <c r="BG140" s="312"/>
      <c r="BH140" s="28"/>
      <c r="BI140" s="28"/>
      <c r="BJ140" s="28"/>
      <c r="BK140" s="28"/>
      <c r="BL140" s="313"/>
      <c r="BM140" s="28"/>
      <c r="BN140" s="28"/>
      <c r="BO140" s="28"/>
      <c r="BP140" s="28"/>
      <c r="BQ140" s="313"/>
      <c r="BR140" s="28"/>
      <c r="BS140" s="28"/>
      <c r="BT140" s="28"/>
      <c r="BU140" s="28"/>
      <c r="BV140" s="313"/>
      <c r="BW140" s="28"/>
      <c r="BX140" s="28"/>
      <c r="BY140" s="28"/>
      <c r="BZ140" s="28"/>
      <c r="CA140" s="313"/>
      <c r="CB140" s="28"/>
      <c r="CC140" s="28"/>
      <c r="CD140" s="28"/>
      <c r="CE140" s="28"/>
      <c r="CF140" s="313"/>
      <c r="CG140" s="28"/>
      <c r="CH140" s="28"/>
      <c r="CI140" s="28"/>
      <c r="CJ140" s="28"/>
      <c r="CK140" s="313"/>
      <c r="CL140" s="961"/>
      <c r="CM140" s="933"/>
      <c r="CN140" s="933"/>
      <c r="CO140" s="28"/>
      <c r="CP140" s="313"/>
      <c r="CQ140" s="933"/>
      <c r="CR140" s="933"/>
      <c r="CS140" s="933"/>
      <c r="CT140" s="933"/>
      <c r="CU140" s="313"/>
      <c r="CV140" s="933"/>
      <c r="CW140" s="933"/>
      <c r="CX140" s="933"/>
      <c r="CY140" s="933"/>
      <c r="CZ140" s="313"/>
      <c r="DA140" s="933"/>
      <c r="DB140" s="31"/>
      <c r="DC140" s="31"/>
      <c r="DD140" s="955"/>
      <c r="DE140" s="477"/>
      <c r="DF140" s="982"/>
      <c r="DG140" s="603"/>
      <c r="DH140" s="603"/>
      <c r="DI140" s="1798"/>
      <c r="DJ140" s="477"/>
      <c r="DK140" s="1799"/>
      <c r="DL140" s="603"/>
      <c r="DM140" s="603"/>
      <c r="DN140" s="1798"/>
      <c r="DO140" s="477"/>
      <c r="DP140" s="603"/>
      <c r="DQ140" s="603"/>
      <c r="DR140" s="603"/>
      <c r="DS140" s="1798"/>
      <c r="DT140" s="477"/>
      <c r="DU140" s="603"/>
      <c r="DV140" s="603"/>
      <c r="DW140" s="603"/>
      <c r="DX140" s="1798"/>
      <c r="DY140" s="477"/>
      <c r="DZ140" s="603"/>
      <c r="EA140" s="603"/>
      <c r="EB140" s="603"/>
      <c r="EC140" s="1798"/>
      <c r="ED140" s="477"/>
      <c r="EE140" s="603"/>
      <c r="EF140" s="603"/>
      <c r="EG140" s="603"/>
      <c r="EH140" s="1798"/>
      <c r="EI140" s="477"/>
      <c r="EJ140" s="477"/>
      <c r="EK140" s="1798"/>
      <c r="EL140" s="1798"/>
      <c r="EM140" s="1798"/>
      <c r="EN140" s="1798"/>
      <c r="EO140" s="1798"/>
      <c r="EP140" s="1798"/>
      <c r="EQ140" s="1798"/>
      <c r="ER140" s="1798"/>
      <c r="ES140" s="1798"/>
      <c r="ET140" s="1798"/>
      <c r="EU140" s="1798"/>
      <c r="EV140" s="1798"/>
      <c r="EW140" s="1798"/>
      <c r="EX140" s="1798"/>
    </row>
    <row r="141" spans="2:154" ht="12.75" hidden="1" customHeight="1" outlineLevel="1">
      <c r="B141" s="912" t="s">
        <v>187</v>
      </c>
      <c r="C141" s="1989"/>
      <c r="D141" s="28"/>
      <c r="E141" s="28"/>
      <c r="F141" s="28"/>
      <c r="G141" s="28"/>
      <c r="H141" s="28"/>
      <c r="I141" s="31"/>
      <c r="J141" s="28"/>
      <c r="K141" s="28"/>
      <c r="L141" s="28"/>
      <c r="M141" s="28"/>
      <c r="N141" s="31"/>
      <c r="O141" s="31"/>
      <c r="P141" s="31"/>
      <c r="Q141" s="31"/>
      <c r="R141" s="31"/>
      <c r="S141" s="31"/>
      <c r="T141" s="31"/>
      <c r="U141" s="31"/>
      <c r="V141" s="31"/>
      <c r="W141" s="31"/>
      <c r="X141" s="308"/>
      <c r="Y141" s="31"/>
      <c r="Z141" s="31"/>
      <c r="AA141" s="31"/>
      <c r="AB141" s="31"/>
      <c r="AC141" s="308"/>
      <c r="AD141" s="31"/>
      <c r="AE141" s="31"/>
      <c r="AF141" s="31"/>
      <c r="AG141" s="31"/>
      <c r="AH141" s="308"/>
      <c r="AI141" s="28"/>
      <c r="AJ141" s="28"/>
      <c r="AK141" s="28"/>
      <c r="AL141" s="31"/>
      <c r="AM141" s="308"/>
      <c r="AN141" s="28"/>
      <c r="AO141" s="28"/>
      <c r="AP141" s="28"/>
      <c r="AQ141" s="31"/>
      <c r="AR141" s="308"/>
      <c r="AS141" s="28"/>
      <c r="AT141" s="28"/>
      <c r="AU141" s="28"/>
      <c r="AV141" s="28"/>
      <c r="AW141" s="308"/>
      <c r="AX141" s="30"/>
      <c r="AY141" s="30"/>
      <c r="AZ141" s="30"/>
      <c r="BA141" s="30"/>
      <c r="BB141" s="308"/>
      <c r="BC141" s="30"/>
      <c r="BD141" s="30">
        <f t="shared" ref="BD141:BR142" si="360">IF(AY136="NM","NM",IF(BD136="NM","NM",IF(AY136&lt;=0,"NM",IF(BD136=0,"NM",IF(ABS(BD136/AY136-1)&gt;2.5,"NM",IF((ABS(BD136-AY136)=ABS(ABS(BD136)-ABS(AY136))),(BD136/AY136-1),"NM"))))))</f>
      </c>
      <c r="BE141" s="30">
        <f t="shared" si="360"/>
      </c>
      <c r="BF141" s="30">
        <f t="shared" si="360"/>
      </c>
      <c r="BG141" s="308">
        <f t="shared" si="360"/>
      </c>
      <c r="BH141" s="30">
        <f t="shared" si="360"/>
      </c>
      <c r="BI141" s="30">
        <f t="shared" si="360"/>
      </c>
      <c r="BJ141" s="30">
        <f t="shared" si="360"/>
      </c>
      <c r="BK141" s="30">
        <f t="shared" si="360"/>
      </c>
      <c r="BL141" s="308">
        <f t="shared" si="360"/>
      </c>
      <c r="BM141" s="30">
        <f t="shared" si="360"/>
      </c>
      <c r="BN141" s="30">
        <f t="shared" si="360"/>
      </c>
      <c r="BO141" s="30">
        <f t="shared" si="360"/>
      </c>
      <c r="BP141" s="30">
        <f t="shared" si="360"/>
      </c>
      <c r="BQ141" s="308">
        <f t="shared" si="360"/>
      </c>
      <c r="BR141" s="30">
        <f t="shared" si="360"/>
      </c>
      <c r="BS141" s="30">
        <f t="shared" ref="BS141:BY142" si="361">IF(BN136="NM","NM",IF(BS136="NM","NM",IF(BN136&lt;=0,"NM",IF(BS136=0,"NM",IF(ABS(BS136/BN136-1)&gt;2.5,"NM",IF((ABS(BS136-BN136)=ABS(ABS(BS136)-ABS(BN136))),(BS136/BN136-1),"NM"))))))</f>
      </c>
      <c r="BT141" s="30">
        <f t="shared" si="361"/>
      </c>
      <c r="BU141" s="30">
        <f>IF(BP136="NM","NM",IF(BU136="NM","NM",IF(BP136&lt;=0,"NM",IF(BU136=0,"NM",IF(ABS(BU136/BP136-1)&gt;2.5,"NM",IF((ABS(BU136-BP136)=ABS(ABS(BU136)-ABS(BP136))),(BU136/BP136-1),"NM"))))))</f>
      </c>
      <c r="BV141" s="308">
        <f>IF(BQ136="NM","NM",IF(BV136="NM","NM",IF(BQ136&lt;=0,"NM",IF(BV136=0,"NM",IF(ABS(BV136/BQ136-1)&gt;2.5,"NM",IF((ABS(BV136-BQ136)=ABS(ABS(BV136)-ABS(BQ136))),(BV136/BQ136-1),"NM"))))))</f>
      </c>
      <c r="BW141" s="30">
        <f t="shared" si="361"/>
      </c>
      <c r="BX141" s="30">
        <f t="shared" si="361"/>
      </c>
      <c r="BY141" s="30">
        <f t="shared" si="361"/>
      </c>
      <c r="BZ141" s="30">
        <f>IF(BU136="NM","NM",IF(BZ136="NM","NM",IF(BU136&lt;=0,"NM",IF(BZ136=0,"NM",IF(ABS(BZ136/BU136-1)&gt;2.5,"NM",IF((ABS(BZ136-BU136)=ABS(ABS(BZ136)-ABS(BU136))),(BZ136/BU136-1),"NM"))))))</f>
      </c>
      <c r="CA141" s="308">
        <f>IF(BV136="NM","NM",IF(CA136="NM","NM",IF(BV136&lt;=0,"NM",IF(CA136=0,"NM",IF(ABS(CA136/BV136-1)&gt;2.5,"NM",IF((ABS(CA136-BV136)=ABS(ABS(CA136)-ABS(BV136))),(CA136/BV136-1),"NM"))))))</f>
      </c>
      <c r="CB141" s="30">
        <f t="shared" ref="CB141:CI142" si="362">IF(BW136="NM","NM",IF(CB136="NM","NM",IF(BW136&lt;=0,"NM",IF(CB136=0,"NM",IF(ABS(CB136/BW136-1)&gt;2.5,"NM",IF((ABS(CB136-BW136)=ABS(ABS(CB136)-ABS(BW136))),(CB136/BW136-1),"NM"))))))</f>
      </c>
      <c r="CC141" s="30">
        <f t="shared" si="362"/>
      </c>
      <c r="CD141" s="30">
        <f t="shared" si="362"/>
      </c>
      <c r="CE141" s="925">
        <f t="shared" si="362"/>
      </c>
      <c r="CF141" s="308">
        <f>IF(CA136=0, "NA", CF136/CA136-1)</f>
      </c>
      <c r="CG141" s="30">
        <f t="shared" si="362"/>
      </c>
      <c r="CH141" s="30">
        <f t="shared" si="362"/>
      </c>
      <c r="CI141" s="30">
        <f t="shared" si="362"/>
      </c>
      <c r="CJ141" s="30">
        <f>IF(CE136="NM","NM",IF(CJ136="NM","NM",IF(CE136&lt;=0,"NM",IF(CJ136=0,"NM",IF(ABS(CJ136/CE136-1)&gt;2.5,"NM",IF((ABS(CJ136-CE136)=ABS(ABS(CJ136)-ABS(CE136))),(CJ136/CE136-1),"NM"))))))</f>
      </c>
      <c r="CK141" s="308">
        <f>IF(CF136=0, "NA", CK136/CF136-1)</f>
      </c>
      <c r="CL141" s="30">
        <f>IF(CG136="NM","NM",IF(CL136="NM","NM",IF(CG136&lt;=0,"NM",IF(CL136=0,"NM",IF(ABS(CL136/CG136-1)&gt;2.5,"NM",IF((ABS(CL136-CG136)=ABS(ABS(CL136)-ABS(CG136))),(CL136/CG136-1),"NM"))))))</f>
      </c>
      <c r="CM141" s="30">
        <v>0.04</v>
      </c>
      <c r="CN141" s="30">
        <f>IF(CI136="NM","NM",IF(CN136="NM","NM",IF(CI136&lt;=0,"NM",IF(CN136=0,"NM",IF(ABS(CN136/CI136-1)&gt;2.5,"NM",IF((ABS(CN136-CI136)=ABS(ABS(CN136)-ABS(CI136))),(CN136/CI136-1),"NM"))))))</f>
      </c>
      <c r="CO141" s="30">
        <f>IF(CJ136="NM","NM",IF(CO136="NM","NM",IF(CJ136&lt;=0,"NM",IF(CO136=0,"NM",IF(ABS(CO136/CJ136-1)&gt;2.5,"NM",IF((ABS(CO136-CJ136)=ABS(ABS(CO136)-ABS(CJ136))),(CO136/CJ136-1),"NM"))))))</f>
      </c>
      <c r="CP141" s="308">
        <f>IF(CK136=0, "NA", CP136/CK136-1)</f>
      </c>
      <c r="CQ141" s="30"/>
      <c r="CR141" s="30"/>
      <c r="CS141" s="361"/>
      <c r="CT141" s="361"/>
      <c r="CU141" s="308"/>
      <c r="CV141" s="30"/>
      <c r="CW141" s="361"/>
      <c r="CX141" s="361"/>
      <c r="CY141" s="361"/>
      <c r="CZ141" s="308"/>
      <c r="DA141" s="30"/>
      <c r="DB141" s="361"/>
      <c r="DC141" s="361"/>
      <c r="DD141" s="835"/>
      <c r="DE141" s="316"/>
      <c r="DF141" s="30"/>
      <c r="DG141" s="361"/>
      <c r="DH141" s="361"/>
      <c r="DI141" s="835"/>
      <c r="DJ141" s="835"/>
      <c r="DK141" s="361"/>
      <c r="DL141" s="361"/>
      <c r="DM141" s="361"/>
      <c r="DN141" s="835"/>
      <c r="DO141" s="1802"/>
      <c r="DP141" s="361"/>
      <c r="DQ141" s="361"/>
      <c r="DR141" s="361"/>
      <c r="DS141" s="835"/>
      <c r="DT141" s="1802"/>
      <c r="DU141" s="361"/>
      <c r="DV141" s="361"/>
      <c r="DW141" s="361"/>
      <c r="DX141" s="835"/>
      <c r="DY141" s="1802"/>
      <c r="DZ141" s="361"/>
      <c r="EA141" s="361"/>
      <c r="EB141" s="361"/>
      <c r="EC141" s="835"/>
      <c r="ED141" s="1802"/>
      <c r="EE141" s="361"/>
      <c r="EF141" s="361"/>
      <c r="EG141" s="361"/>
      <c r="EH141" s="835"/>
      <c r="EI141" s="1802"/>
      <c r="EJ141" s="1802"/>
      <c r="EK141" s="1804"/>
      <c r="EL141" s="1804"/>
      <c r="EM141" s="1804"/>
      <c r="EN141" s="1804"/>
      <c r="EO141" s="1804"/>
      <c r="EP141" s="1804"/>
      <c r="EQ141" s="1804"/>
      <c r="ER141" s="1804"/>
      <c r="ES141" s="1804"/>
      <c r="ET141" s="1804"/>
      <c r="EU141" s="1804"/>
      <c r="EV141" s="1804"/>
      <c r="EW141" s="1804"/>
      <c r="EX141" s="1804"/>
    </row>
    <row r="142" spans="2:154" ht="12.75" hidden="1" customHeight="1" outlineLevel="1">
      <c r="B142" s="912" t="s">
        <v>412</v>
      </c>
      <c r="C142" s="1989"/>
      <c r="D142" s="28"/>
      <c r="E142" s="28"/>
      <c r="F142" s="28"/>
      <c r="G142" s="28"/>
      <c r="H142" s="28"/>
      <c r="I142" s="31"/>
      <c r="J142" s="28"/>
      <c r="K142" s="28"/>
      <c r="L142" s="28"/>
      <c r="M142" s="28"/>
      <c r="N142" s="31"/>
      <c r="O142" s="31"/>
      <c r="P142" s="31"/>
      <c r="Q142" s="31"/>
      <c r="R142" s="31"/>
      <c r="S142" s="31"/>
      <c r="T142" s="31"/>
      <c r="U142" s="31"/>
      <c r="V142" s="31"/>
      <c r="W142" s="31"/>
      <c r="X142" s="308"/>
      <c r="Y142" s="31"/>
      <c r="Z142" s="31"/>
      <c r="AA142" s="31"/>
      <c r="AB142" s="31"/>
      <c r="AC142" s="308"/>
      <c r="AD142" s="31"/>
      <c r="AE142" s="31"/>
      <c r="AF142" s="31"/>
      <c r="AG142" s="31"/>
      <c r="AH142" s="308"/>
      <c r="AI142" s="28"/>
      <c r="AJ142" s="28"/>
      <c r="AK142" s="28"/>
      <c r="AL142" s="31"/>
      <c r="AM142" s="308"/>
      <c r="AN142" s="28"/>
      <c r="AO142" s="28"/>
      <c r="AP142" s="28"/>
      <c r="AQ142" s="31"/>
      <c r="AR142" s="308"/>
      <c r="AS142" s="28"/>
      <c r="AT142" s="28"/>
      <c r="AU142" s="28"/>
      <c r="AV142" s="28"/>
      <c r="AW142" s="308"/>
      <c r="AX142" s="30"/>
      <c r="AY142" s="30"/>
      <c r="AZ142" s="30"/>
      <c r="BA142" s="30"/>
      <c r="BB142" s="308"/>
      <c r="BC142" s="30"/>
      <c r="BD142" s="30">
        <f t="shared" si="360"/>
      </c>
      <c r="BE142" s="30">
        <f t="shared" si="360"/>
      </c>
      <c r="BF142" s="30">
        <f t="shared" si="360"/>
      </c>
      <c r="BG142" s="308">
        <f t="shared" si="360"/>
      </c>
      <c r="BH142" s="30">
        <f t="shared" si="360"/>
      </c>
      <c r="BI142" s="30">
        <f t="shared" si="360"/>
      </c>
      <c r="BJ142" s="30">
        <f t="shared" si="360"/>
      </c>
      <c r="BK142" s="30">
        <f t="shared" si="360"/>
      </c>
      <c r="BL142" s="308">
        <f t="shared" si="360"/>
      </c>
      <c r="BM142" s="30">
        <f t="shared" si="360"/>
      </c>
      <c r="BN142" s="30">
        <f t="shared" si="360"/>
      </c>
      <c r="BO142" s="30">
        <f t="shared" si="360"/>
      </c>
      <c r="BP142" s="30">
        <f t="shared" si="360"/>
      </c>
      <c r="BQ142" s="308">
        <f t="shared" si="360"/>
      </c>
      <c r="BR142" s="30">
        <f t="shared" si="360"/>
      </c>
      <c r="BS142" s="30">
        <f t="shared" si="361"/>
      </c>
      <c r="BT142" s="30">
        <f t="shared" si="361"/>
      </c>
      <c r="BU142" s="30">
        <f>IF(BP137="NM","NM",IF(BU137="NM","NM",IF(BP137&lt;=0,"NM",IF(BU137=0,"NM",IF(ABS(BU137/BP137-1)&gt;2.5,"NM",IF((ABS(BU137-BP137)=ABS(ABS(BU137)-ABS(BP137))),(BU137/BP137-1),"NM"))))))</f>
      </c>
      <c r="BV142" s="308">
        <f>IF(ISNUMBER(BV143),(1+BV143)*(1+BV$21)-1,"NM")</f>
      </c>
      <c r="BW142" s="30">
        <f t="shared" si="361"/>
      </c>
      <c r="BX142" s="30">
        <f t="shared" si="361"/>
      </c>
      <c r="BY142" s="30">
        <f>IF(BT137="NM","NM",IF(BY137="NM","NM",IF(BT137&lt;=0,"NM",IF(BY137=0,"NM",IF(ABS(BY137/BT137-1)&gt;2.5,"NM",IF((ABS(BY137-BT137)=ABS(ABS(BY137)-ABS(BT137))),(BY137/BT137-1),"NM"))))))</f>
      </c>
      <c r="BZ142" s="30">
        <f>IF(BU137="NM","NM",IF(BZ137="NM","NM",IF(BU137&lt;=0,"NM",IF(BZ137=0,"NM",IF(ABS(BZ137/BU137-1)&gt;2.5,"NM",IF((ABS(BZ137-BU137)=ABS(ABS(BZ137)-ABS(BU137))),(BZ137/BU137-1),"NM"))))))</f>
      </c>
      <c r="CA142" s="308">
        <f>IF(BV137="NM","NM",IF(CA137="NM","NM",IF(BV137&lt;=0,"NM",IF(CA137=0,"NM",IF(ABS(CA137/BV137-1)&gt;2.5,"NM",IF((ABS(CA137-BV137)=ABS(ABS(CA137)-ABS(BV137))),(CA137/BV137-1),"NM"))))))</f>
      </c>
      <c r="CB142" s="30">
        <f t="shared" si="362"/>
      </c>
      <c r="CC142" s="30">
        <f t="shared" si="362"/>
      </c>
      <c r="CD142" s="30">
        <f t="shared" si="362"/>
      </c>
      <c r="CE142" s="926">
        <f t="shared" si="362"/>
      </c>
      <c r="CF142" s="308">
        <f>IF(CA137=0, "NA", CF137/CA137-1)</f>
      </c>
      <c r="CG142" s="30">
        <f t="shared" si="362"/>
      </c>
      <c r="CH142" s="30">
        <f t="shared" si="362"/>
      </c>
      <c r="CI142" s="30">
        <f t="shared" si="362"/>
      </c>
      <c r="CJ142" s="30">
        <f>IF(CE137="NM","NM",IF(CJ137="NM","NM",IF(CE137&lt;=0,"NM",IF(CJ137=0,"NM",IF(ABS(CJ137/CE137-1)&gt;2.5,"NM",IF((ABS(CJ137-CE137)=ABS(ABS(CJ137)-ABS(CE137))),(CJ137/CE137-1),"NM"))))))</f>
      </c>
      <c r="CK142" s="308">
        <f>IF(CF137=0, "NA", CK137/CF137-1)</f>
      </c>
      <c r="CL142" s="30">
        <f>IF(CG137="NM","NM",IF(CL137="NM","NM",IF(CG137&lt;=0,"NM",IF(CL137=0,"NM",IF(ABS(CL137/CG137-1)&gt;2.5,"NM",IF((ABS(CL137-CG137)=ABS(ABS(CL137)-ABS(CG137))),(CL137/CG137-1),"NM"))))))</f>
      </c>
      <c r="CM142" s="30">
        <f>CM143+CM$21</f>
      </c>
      <c r="CN142" s="30">
        <f>IF(CI137="NM","NM",IF(CN137="NM","NM",IF(CI137&lt;=0,"NM",IF(CN137=0,"NM",IF(ABS(CN137/CI137-1)&gt;2.5,"NM",IF((ABS(CN137-CI137)=ABS(ABS(CN137)-ABS(CI137))),(CN137/CI137-1),"NM"))))))</f>
      </c>
      <c r="CO142" s="30">
        <f>IF(CJ137="NM","NM",IF(CO137="NM","NM",IF(CJ137&lt;=0,"NM",IF(CO137=0,"NM",IF(ABS(CO137/CJ137-1)&gt;2.5,"NM",IF((ABS(CO137-CJ137)=ABS(ABS(CO137)-ABS(CJ137))),(CO137/CJ137-1),"NM"))))))</f>
      </c>
      <c r="CP142" s="308">
        <f>IF(CK137=0, "NA", CP137/CK137-1)</f>
      </c>
      <c r="CQ142" s="30"/>
      <c r="CR142" s="30"/>
      <c r="CS142" s="926"/>
      <c r="CT142" s="926"/>
      <c r="CU142" s="308"/>
      <c r="CV142" s="30"/>
      <c r="CW142" s="926"/>
      <c r="CX142" s="926"/>
      <c r="CY142" s="926"/>
      <c r="CZ142" s="308"/>
      <c r="DA142" s="30"/>
      <c r="DB142" s="959"/>
      <c r="DC142" s="959"/>
      <c r="DD142" s="960"/>
      <c r="DE142" s="308"/>
      <c r="DF142" s="30"/>
      <c r="DG142" s="926"/>
      <c r="DH142" s="926"/>
      <c r="DI142" s="928"/>
      <c r="DJ142" s="308"/>
      <c r="DK142" s="830"/>
      <c r="DL142" s="926"/>
      <c r="DM142" s="926"/>
      <c r="DN142" s="409"/>
      <c r="DO142" s="308"/>
      <c r="DP142" s="926"/>
      <c r="DQ142" s="926"/>
      <c r="DR142" s="926"/>
      <c r="DS142" s="409"/>
      <c r="DT142" s="308"/>
      <c r="DU142" s="926"/>
      <c r="DV142" s="926"/>
      <c r="DW142" s="926"/>
      <c r="DX142" s="928"/>
      <c r="DY142" s="308"/>
      <c r="DZ142" s="926"/>
      <c r="EA142" s="926"/>
      <c r="EB142" s="926"/>
      <c r="EC142" s="928"/>
      <c r="ED142" s="1060"/>
      <c r="EE142" s="926"/>
      <c r="EF142" s="926"/>
      <c r="EG142" s="926"/>
      <c r="EH142" s="928"/>
      <c r="EI142" s="308"/>
      <c r="EJ142" s="308"/>
      <c r="EK142" s="409"/>
      <c r="EL142" s="409"/>
      <c r="EM142" s="409"/>
      <c r="EN142" s="409"/>
      <c r="EO142" s="409"/>
      <c r="EP142" s="409"/>
      <c r="EQ142" s="409"/>
      <c r="ER142" s="409"/>
      <c r="ES142" s="409"/>
      <c r="ET142" s="409"/>
      <c r="EU142" s="409"/>
      <c r="EV142" s="409"/>
      <c r="EW142" s="409"/>
      <c r="EX142" s="409"/>
    </row>
    <row r="143" spans="2:154" ht="12.75" hidden="1" customHeight="1" outlineLevel="1">
      <c r="B143" s="912" t="s">
        <v>256</v>
      </c>
      <c r="C143" s="1989"/>
      <c r="D143" s="28"/>
      <c r="E143" s="28"/>
      <c r="F143" s="28"/>
      <c r="G143" s="28"/>
      <c r="H143" s="28"/>
      <c r="I143" s="31"/>
      <c r="J143" s="28"/>
      <c r="K143" s="28"/>
      <c r="L143" s="28"/>
      <c r="M143" s="28"/>
      <c r="N143" s="31"/>
      <c r="O143" s="31"/>
      <c r="P143" s="31"/>
      <c r="Q143" s="31"/>
      <c r="R143" s="31"/>
      <c r="S143" s="31"/>
      <c r="T143" s="31"/>
      <c r="U143" s="31"/>
      <c r="V143" s="31"/>
      <c r="W143" s="31"/>
      <c r="X143" s="315"/>
      <c r="Y143" s="31"/>
      <c r="Z143" s="31"/>
      <c r="AA143" s="31"/>
      <c r="AB143" s="31"/>
      <c r="AC143" s="315"/>
      <c r="AD143" s="31"/>
      <c r="AE143" s="31"/>
      <c r="AF143" s="31"/>
      <c r="AG143" s="31"/>
      <c r="AH143" s="315"/>
      <c r="AI143" s="28"/>
      <c r="AJ143" s="28"/>
      <c r="AK143" s="28"/>
      <c r="AL143" s="31"/>
      <c r="AM143" s="315"/>
      <c r="AN143" s="28"/>
      <c r="AO143" s="28"/>
      <c r="AP143" s="28"/>
      <c r="AQ143" s="31"/>
      <c r="AR143" s="315"/>
      <c r="AS143" s="28"/>
      <c r="AT143" s="28"/>
      <c r="AU143" s="28"/>
      <c r="AV143" s="28"/>
      <c r="AW143" s="315"/>
      <c r="AX143" s="1"/>
      <c r="AY143" s="1"/>
      <c r="AZ143" s="1"/>
      <c r="BA143" s="8"/>
      <c r="BB143" s="315"/>
      <c r="BC143" s="8"/>
      <c r="BD143" s="8">
        <f t="shared" ref="BD143:BQ143" si="363">IF(ISNUMBER(BD142),(1+BD142)/(1+BD$21)-1,"NM")</f>
      </c>
      <c r="BE143" s="8">
        <f t="shared" si="363"/>
      </c>
      <c r="BF143" s="8">
        <f t="shared" si="363"/>
      </c>
      <c r="BG143" s="309">
        <f t="shared" si="363"/>
      </c>
      <c r="BH143" s="8">
        <f t="shared" si="363"/>
      </c>
      <c r="BI143" s="8">
        <f t="shared" si="363"/>
      </c>
      <c r="BJ143" s="8">
        <f t="shared" si="363"/>
      </c>
      <c r="BK143" s="8">
        <f t="shared" si="363"/>
      </c>
      <c r="BL143" s="315">
        <f t="shared" si="363"/>
      </c>
      <c r="BM143" s="8">
        <f t="shared" si="363"/>
      </c>
      <c r="BN143" s="8">
        <f t="shared" si="363"/>
      </c>
      <c r="BO143" s="8">
        <f t="shared" si="363"/>
      </c>
      <c r="BP143" s="30">
        <f t="shared" si="363"/>
      </c>
      <c r="BQ143" s="315">
        <f t="shared" si="363"/>
      </c>
      <c r="BR143" s="29">
        <v>0.23</v>
      </c>
      <c r="BS143" s="29">
        <v>0.30399999999999999</v>
      </c>
      <c r="BT143" s="29">
        <v>0.32100000000000001</v>
      </c>
      <c r="BU143" s="649">
        <v>1.7000000000000001E-2</v>
      </c>
      <c r="BV143" s="317">
        <v>0.222</v>
      </c>
      <c r="BW143" s="29">
        <v>0.14099999999999999</v>
      </c>
      <c r="BX143" s="29">
        <v>0.21</v>
      </c>
      <c r="BY143" s="29">
        <v>-9.1999999999999998E-2</v>
      </c>
      <c r="BZ143" s="835">
        <v>0.20200000000000001</v>
      </c>
      <c r="CA143" s="448">
        <v>0.108</v>
      </c>
      <c r="CB143" s="30">
        <f>IF(ISNUMBER(CB142),(1+CB142)/(1+CB$21)-1,"NM")</f>
      </c>
      <c r="CC143" s="30">
        <f>IF(ISNUMBER(CC142),(1+CC142)/(1+CC$21)-1,"NM")</f>
      </c>
      <c r="CD143" s="30">
        <f>IF(ISNUMBER(CD142),(1+CD142)/(1+CD$21)-1,"NM")</f>
      </c>
      <c r="CE143" s="925">
        <f>IF(ISNUMBER(CE142),(1+CE142)/(1+CE$21)-1,"NM")</f>
      </c>
      <c r="CF143" s="309">
        <f>CF142-CF$21</f>
      </c>
      <c r="CG143" s="30">
        <f>IF(ISNUMBER(CG142),(1+CG142)/(1+CG$21)-1,"NM")</f>
      </c>
      <c r="CH143" s="30">
        <f>IF(ISNUMBER(CH142),(1+CH142)/(1+CH$21)-1,"NM")</f>
      </c>
      <c r="CI143" s="30">
        <f>IF(ISNUMBER(CI142),(1+CI142)/(1+CI$21)-1,"NM")</f>
      </c>
      <c r="CJ143" s="30">
        <f>IF(ISNUMBER(CJ142),(1+CJ142)/(1+CJ$21)-1,"NM")</f>
      </c>
      <c r="CK143" s="309">
        <f>CK142-CK$21</f>
      </c>
      <c r="CL143" s="30">
        <f>IF(ISNUMBER(CL142),(1+CL142)/(1+CL$21)-1,"NM")</f>
      </c>
      <c r="CM143" s="30">
        <v>0.05</v>
      </c>
      <c r="CN143" s="30">
        <f>IF(ISNUMBER(CN142),(1+CN142)/(1+CN$21)-1,"NM")</f>
      </c>
      <c r="CO143" s="30">
        <f>IF(ISNUMBER(CO142),(1+CO142)/(1+CO$21)-1,"NM")</f>
      </c>
      <c r="CP143" s="309">
        <f>CP142-CP$21</f>
      </c>
      <c r="CQ143" s="30"/>
      <c r="CR143" s="30"/>
      <c r="CS143" s="361"/>
      <c r="CT143" s="361"/>
      <c r="CU143" s="309"/>
      <c r="CV143" s="30"/>
      <c r="CW143" s="361"/>
      <c r="CX143" s="361"/>
      <c r="CY143" s="361"/>
      <c r="CZ143" s="309"/>
      <c r="DA143" s="30"/>
      <c r="DB143" s="361"/>
      <c r="DC143" s="361"/>
      <c r="DD143" s="835"/>
      <c r="DE143" s="316"/>
      <c r="DF143" s="30"/>
      <c r="DG143" s="361"/>
      <c r="DH143" s="361"/>
      <c r="DI143" s="835"/>
      <c r="DJ143" s="835"/>
      <c r="DK143" s="361"/>
      <c r="DL143" s="361"/>
      <c r="DM143" s="361"/>
      <c r="DN143" s="835"/>
      <c r="DO143" s="1802"/>
      <c r="DP143" s="361"/>
      <c r="DQ143" s="361"/>
      <c r="DR143" s="361"/>
      <c r="DS143" s="835"/>
      <c r="DT143" s="1802"/>
      <c r="DU143" s="361"/>
      <c r="DV143" s="361"/>
      <c r="DW143" s="361"/>
      <c r="DX143" s="835"/>
      <c r="DY143" s="1802"/>
      <c r="DZ143" s="361"/>
      <c r="EA143" s="361"/>
      <c r="EB143" s="361"/>
      <c r="EC143" s="835"/>
      <c r="ED143" s="1802"/>
      <c r="EE143" s="361"/>
      <c r="EF143" s="361"/>
      <c r="EG143" s="361"/>
      <c r="EH143" s="835"/>
      <c r="EI143" s="1802"/>
      <c r="EJ143" s="1802"/>
      <c r="EK143" s="1804"/>
      <c r="EL143" s="1804"/>
      <c r="EM143" s="1804"/>
      <c r="EN143" s="1804"/>
      <c r="EO143" s="1804"/>
      <c r="EP143" s="1804"/>
      <c r="EQ143" s="1804"/>
      <c r="ER143" s="1804"/>
      <c r="ES143" s="1804"/>
      <c r="ET143" s="1804"/>
      <c r="EU143" s="1804"/>
      <c r="EV143" s="1804"/>
      <c r="EW143" s="1804"/>
      <c r="EX143" s="1804"/>
    </row>
    <row r="144" spans="2:154" ht="12.75" hidden="1" customHeight="1" outlineLevel="1">
      <c r="B144" s="912" t="s">
        <v>413</v>
      </c>
      <c r="C144" s="1989"/>
      <c r="D144" s="28"/>
      <c r="E144" s="28"/>
      <c r="F144" s="28"/>
      <c r="G144" s="28"/>
      <c r="H144" s="28"/>
      <c r="I144" s="31"/>
      <c r="J144" s="28"/>
      <c r="K144" s="28"/>
      <c r="L144" s="28"/>
      <c r="M144" s="28"/>
      <c r="N144" s="31"/>
      <c r="O144" s="31"/>
      <c r="P144" s="31"/>
      <c r="Q144" s="31"/>
      <c r="R144" s="31"/>
      <c r="S144" s="31"/>
      <c r="T144" s="31"/>
      <c r="U144" s="31"/>
      <c r="V144" s="31"/>
      <c r="W144" s="31"/>
      <c r="X144" s="308"/>
      <c r="Y144" s="31"/>
      <c r="Z144" s="31"/>
      <c r="AA144" s="31"/>
      <c r="AB144" s="31"/>
      <c r="AC144" s="308"/>
      <c r="AD144" s="31"/>
      <c r="AE144" s="31"/>
      <c r="AF144" s="31"/>
      <c r="AG144" s="31"/>
      <c r="AH144" s="308"/>
      <c r="AI144" s="28"/>
      <c r="AJ144" s="28"/>
      <c r="AK144" s="28"/>
      <c r="AL144" s="31"/>
      <c r="AM144" s="308"/>
      <c r="AN144" s="28"/>
      <c r="AO144" s="28"/>
      <c r="AP144" s="28"/>
      <c r="AQ144" s="31"/>
      <c r="AR144" s="308"/>
      <c r="AS144" s="28"/>
      <c r="AT144" s="28"/>
      <c r="AU144" s="28"/>
      <c r="AV144" s="28"/>
      <c r="AW144" s="308"/>
      <c r="AX144" s="30"/>
      <c r="AY144" s="30"/>
      <c r="AZ144" s="30"/>
      <c r="BA144" s="30"/>
      <c r="BB144" s="308"/>
      <c r="BC144" s="30"/>
      <c r="BD144" s="30">
        <f t="shared" ref="BD144:CA144" si="364">IF(AY138="NM","NM",IF(BD138="NM","NM",IF(AY138&lt;=0,"NM",IF(BD138=0,"NM",IF(ABS(BD138/AY138-1)&gt;2.5,"NM",IF((ABS(BD138-AY138)=ABS(ABS(BD138)-ABS(AY138))),(BD138/AY138-1),"NM"))))))</f>
      </c>
      <c r="BE144" s="30">
        <f t="shared" si="364"/>
      </c>
      <c r="BF144" s="30">
        <f t="shared" si="364"/>
      </c>
      <c r="BG144" s="308">
        <f t="shared" si="364"/>
      </c>
      <c r="BH144" s="30">
        <f t="shared" si="364"/>
      </c>
      <c r="BI144" s="30">
        <f t="shared" si="364"/>
      </c>
      <c r="BJ144" s="30">
        <f t="shared" si="364"/>
      </c>
      <c r="BK144" s="30">
        <f t="shared" si="364"/>
      </c>
      <c r="BL144" s="308">
        <f t="shared" si="364"/>
      </c>
      <c r="BM144" s="30">
        <f t="shared" si="364"/>
      </c>
      <c r="BN144" s="30">
        <f t="shared" si="364"/>
      </c>
      <c r="BO144" s="30">
        <f t="shared" si="364"/>
      </c>
      <c r="BP144" s="30">
        <f t="shared" si="364"/>
      </c>
      <c r="BQ144" s="308">
        <f t="shared" si="364"/>
      </c>
      <c r="BR144" s="30">
        <f t="shared" si="364"/>
      </c>
      <c r="BS144" s="30">
        <f t="shared" si="364"/>
      </c>
      <c r="BT144" s="30">
        <f t="shared" si="364"/>
      </c>
      <c r="BU144" s="30">
        <f t="shared" si="364"/>
      </c>
      <c r="BV144" s="308">
        <f t="shared" si="364"/>
      </c>
      <c r="BW144" s="30">
        <f t="shared" si="364"/>
      </c>
      <c r="BX144" s="30">
        <f t="shared" si="364"/>
      </c>
      <c r="BY144" s="30">
        <f t="shared" si="364"/>
      </c>
      <c r="BZ144" s="30">
        <f t="shared" si="364"/>
      </c>
      <c r="CA144" s="308">
        <f t="shared" si="364"/>
      </c>
      <c r="CB144" s="30">
        <f t="shared" ref="CB144:CH144" si="365">IF(BW138="NM","NM",IF(CB138="NM","NM",IF(BW138&lt;=0,"NM",IF(CB138=0,"NM",IF(ABS(CB138/BW138-1)&gt;2.5,"NM",IF((ABS(CB138-BW138)=ABS(ABS(CB138)-ABS(BW138))),(CB138/BW138-1),"NM"))))))</f>
      </c>
      <c r="CC144" s="30">
        <f t="shared" si="365"/>
      </c>
      <c r="CD144" s="30">
        <f>IF(BY138="NM","NM",IF(CD138="NM","NM",IF(BY138&lt;=0,"NM",IF(CD138=0,"NM",IF(ABS(CD138/BY138-1)&gt;2.5,"NM",IF((ABS(CD138-BY138)=ABS(ABS(CD138)-ABS(BY138))),(CD138/BY138-1),"NM"))))))</f>
      </c>
      <c r="CE144" s="926">
        <f>IF(BZ138="NM","NM",IF(CE138="NM","NM",IF(BZ138&lt;=0,"NM",IF(CE138=0,"NM",IF(ABS(CE138/BZ138-1)&gt;2.5,"NM",IF((ABS(CE138-BZ138)=ABS(ABS(CE138)-ABS(BZ138))),(CE138/BZ138-1),"NM"))))))</f>
      </c>
      <c r="CF144" s="308">
        <f>IF(CA138=0, "NA", CF138/CA138-1)</f>
      </c>
      <c r="CG144" s="30">
        <f>IF(CB138="NM","NM",IF(CG138="NM","NM",IF(CB138&lt;=0,"NM",IF(CG138=0,"NM",IF(ABS(CG138/CB138-1)&gt;2.5,"NM",IF((ABS(CG138-CB138)=ABS(ABS(CG138)-ABS(CB138))),(CG138/CB138-1),"NM"))))))</f>
      </c>
      <c r="CH144" s="30">
        <f t="shared" si="365"/>
      </c>
      <c r="CI144" s="30">
        <f>IF(CD138="NM","NM",IF(CI138="NM","NM",IF(CD138&lt;=0,"NM",IF(CI138=0,"NM",IF(ABS(CI138/CD138-1)&gt;2.5,"NM",IF((ABS(CI138-CD138)=ABS(ABS(CI138)-ABS(CD138))),(CI138/CD138-1),"NM"))))))</f>
      </c>
      <c r="CJ144" s="30">
        <f>IF(CE138="NM","NM",IF(CJ138="NM","NM",IF(CE138&lt;=0,"NM",IF(CJ138=0,"NM",IF(ABS(CJ138/CE138-1)&gt;2.5,"NM",IF((ABS(CJ138-CE138)=ABS(ABS(CJ138)-ABS(CE138))),(CJ138/CE138-1),"NM"))))))</f>
      </c>
      <c r="CK144" s="308">
        <f>IF(CF138=0, "NA", CK138/CF138-1)</f>
      </c>
      <c r="CL144" s="30">
        <f>IF(CG138="NM","NM",IF(CL138="NM","NM",IF(CG138&lt;=0,"NM",IF(CL138=0,"NM",IF(ABS(CL138/CG138-1)&gt;2.5,"NM",IF((ABS(CL138-CG138)=ABS(ABS(CL138)-ABS(CG138))),(CL138/CG138-1),"NM"))))))</f>
      </c>
      <c r="CM144" s="30">
        <f>IF(CH138=0, "NA", CM138/CH138-1)</f>
      </c>
      <c r="CN144" s="30">
        <f>IF(CI138="NM","NM",IF(CN138="NM","NM",IF(CI138&lt;=0,"NM",IF(CN138=0,"NM",IF(ABS(CN138/CI138-1)&gt;2.5,"NM",IF((ABS(CN138-CI138)=ABS(ABS(CN138)-ABS(CI138))),(CN138/CI138-1),"NM"))))))</f>
      </c>
      <c r="CO144" s="30">
        <f>IF(CJ138="NM","NM",IF(CO138="NM","NM",IF(CJ138&lt;=0,"NM",IF(CO138=0,"NM",IF(ABS(CO138/CJ138-1)&gt;2.5,"NM",IF((ABS(CO138-CJ138)=ABS(ABS(CO138)-ABS(CJ138))),(CO138/CJ138-1),"NM"))))))</f>
      </c>
      <c r="CP144" s="308">
        <f>IF(CK138=0, "NA", CP138/CK138-1)</f>
      </c>
      <c r="CQ144" s="30"/>
      <c r="CR144" s="30"/>
      <c r="CS144" s="926"/>
      <c r="CT144" s="926"/>
      <c r="CU144" s="308"/>
      <c r="CV144" s="30"/>
      <c r="CW144" s="926"/>
      <c r="CX144" s="926"/>
      <c r="CY144" s="926"/>
      <c r="CZ144" s="308"/>
      <c r="DA144" s="30"/>
      <c r="DB144" s="926"/>
      <c r="DC144" s="926"/>
      <c r="DD144" s="928"/>
      <c r="DE144" s="308"/>
      <c r="DF144" s="30"/>
      <c r="DG144" s="926"/>
      <c r="DH144" s="926"/>
      <c r="DI144" s="928"/>
      <c r="DJ144" s="308"/>
      <c r="DK144" s="830"/>
      <c r="DL144" s="926"/>
      <c r="DM144" s="926"/>
      <c r="DN144" s="409"/>
      <c r="DO144" s="308"/>
      <c r="DP144" s="926"/>
      <c r="DQ144" s="926"/>
      <c r="DR144" s="926"/>
      <c r="DS144" s="409"/>
      <c r="DT144" s="308"/>
      <c r="DU144" s="926"/>
      <c r="DV144" s="926"/>
      <c r="DW144" s="926"/>
      <c r="DX144" s="928"/>
      <c r="DY144" s="308"/>
      <c r="DZ144" s="926"/>
      <c r="EA144" s="926"/>
      <c r="EB144" s="926"/>
      <c r="EC144" s="928"/>
      <c r="ED144" s="1060"/>
      <c r="EE144" s="926"/>
      <c r="EF144" s="926"/>
      <c r="EG144" s="926"/>
      <c r="EH144" s="928"/>
      <c r="EI144" s="308"/>
      <c r="EJ144" s="308"/>
      <c r="EK144" s="409"/>
      <c r="EL144" s="409"/>
      <c r="EM144" s="409"/>
      <c r="EN144" s="409"/>
      <c r="EO144" s="409"/>
      <c r="EP144" s="409"/>
      <c r="EQ144" s="409"/>
      <c r="ER144" s="409"/>
      <c r="ES144" s="409"/>
      <c r="ET144" s="409"/>
      <c r="EU144" s="409"/>
      <c r="EV144" s="409"/>
      <c r="EW144" s="409"/>
      <c r="EX144" s="409"/>
    </row>
    <row r="145" spans="1:154" ht="12.75" hidden="1" customHeight="1" outlineLevel="1">
      <c r="B145" s="912"/>
      <c r="C145" s="1989"/>
      <c r="D145" s="28"/>
      <c r="E145" s="28"/>
      <c r="F145" s="28"/>
      <c r="G145" s="28"/>
      <c r="H145" s="28"/>
      <c r="I145" s="31"/>
      <c r="J145" s="28"/>
      <c r="K145" s="28"/>
      <c r="L145" s="28"/>
      <c r="M145" s="28"/>
      <c r="N145" s="31"/>
      <c r="O145" s="31"/>
      <c r="P145" s="31"/>
      <c r="Q145" s="31"/>
      <c r="R145" s="31"/>
      <c r="S145" s="31"/>
      <c r="T145" s="31"/>
      <c r="U145" s="31"/>
      <c r="V145" s="31"/>
      <c r="W145" s="31"/>
      <c r="X145" s="308"/>
      <c r="Y145" s="31"/>
      <c r="Z145" s="31"/>
      <c r="AA145" s="31"/>
      <c r="AB145" s="31"/>
      <c r="AC145" s="308"/>
      <c r="AD145" s="31"/>
      <c r="AE145" s="31"/>
      <c r="AF145" s="31"/>
      <c r="AG145" s="31"/>
      <c r="AH145" s="308"/>
      <c r="AI145" s="28"/>
      <c r="AJ145" s="28"/>
      <c r="AK145" s="28"/>
      <c r="AL145" s="31"/>
      <c r="AM145" s="308"/>
      <c r="AN145" s="28"/>
      <c r="AO145" s="28"/>
      <c r="AP145" s="28"/>
      <c r="AQ145" s="31"/>
      <c r="AR145" s="308"/>
      <c r="AS145" s="28"/>
      <c r="AT145" s="28"/>
      <c r="AU145" s="28"/>
      <c r="AV145" s="28"/>
      <c r="AW145" s="308"/>
      <c r="AX145" s="30"/>
      <c r="AY145" s="30"/>
      <c r="AZ145" s="30"/>
      <c r="BA145" s="30"/>
      <c r="BB145" s="308"/>
      <c r="BC145" s="30"/>
      <c r="BD145" s="30"/>
      <c r="BE145" s="30"/>
      <c r="BF145" s="30"/>
      <c r="BG145" s="308"/>
      <c r="BH145" s="30"/>
      <c r="BI145" s="30"/>
      <c r="BJ145" s="30"/>
      <c r="BK145" s="30"/>
      <c r="BL145" s="308"/>
      <c r="BM145" s="30"/>
      <c r="BN145" s="30"/>
      <c r="BO145" s="30"/>
      <c r="BP145" s="30"/>
      <c r="BQ145" s="308"/>
      <c r="BR145" s="30"/>
      <c r="BS145" s="30"/>
      <c r="BT145" s="30"/>
      <c r="BU145" s="30"/>
      <c r="BV145" s="308"/>
      <c r="BW145" s="30"/>
      <c r="BX145" s="30"/>
      <c r="BY145" s="30"/>
      <c r="BZ145" s="30"/>
      <c r="CA145" s="308"/>
      <c r="CB145" s="30"/>
      <c r="CC145" s="30"/>
      <c r="CD145" s="30"/>
      <c r="CE145" s="30"/>
      <c r="CF145" s="308"/>
      <c r="CG145" s="30"/>
      <c r="CH145" s="30"/>
      <c r="CI145" s="30"/>
      <c r="CJ145" s="30"/>
      <c r="CK145" s="308"/>
      <c r="CL145" s="958"/>
      <c r="CM145" s="926"/>
      <c r="CN145" s="926"/>
      <c r="CO145" s="30"/>
      <c r="CP145" s="308"/>
      <c r="CQ145" s="926"/>
      <c r="CR145" s="926"/>
      <c r="CS145" s="926"/>
      <c r="CT145" s="926"/>
      <c r="CU145" s="308"/>
      <c r="CV145" s="926"/>
      <c r="CW145" s="926"/>
      <c r="CX145" s="926"/>
      <c r="CY145" s="926"/>
      <c r="CZ145" s="308"/>
      <c r="DA145" s="926"/>
      <c r="DB145" s="30"/>
      <c r="DC145" s="30"/>
      <c r="DD145" s="409"/>
      <c r="DE145" s="308"/>
      <c r="DF145" s="926"/>
      <c r="DG145" s="30"/>
      <c r="DH145" s="30"/>
      <c r="DI145" s="409"/>
      <c r="DJ145" s="308"/>
      <c r="DK145" s="830"/>
      <c r="DL145" s="30"/>
      <c r="DM145" s="30"/>
      <c r="DN145" s="409"/>
      <c r="DO145" s="308"/>
      <c r="DP145" s="30"/>
      <c r="DQ145" s="30"/>
      <c r="DR145" s="30"/>
      <c r="DS145" s="409"/>
      <c r="DT145" s="308"/>
      <c r="DU145" s="926"/>
      <c r="DV145" s="926"/>
      <c r="DW145" s="926"/>
      <c r="DX145" s="928"/>
      <c r="DY145" s="308"/>
      <c r="DZ145" s="926"/>
      <c r="EA145" s="926"/>
      <c r="EB145" s="926"/>
      <c r="EC145" s="928"/>
      <c r="ED145" s="1060"/>
      <c r="EE145" s="926"/>
      <c r="EF145" s="926"/>
      <c r="EG145" s="926"/>
      <c r="EH145" s="928"/>
      <c r="EI145" s="308"/>
      <c r="EJ145" s="308"/>
      <c r="EK145" s="409"/>
      <c r="EL145" s="409"/>
      <c r="EM145" s="409"/>
      <c r="EN145" s="409"/>
      <c r="EO145" s="409"/>
      <c r="EP145" s="409"/>
      <c r="EQ145" s="409"/>
      <c r="ER145" s="409"/>
      <c r="ES145" s="409"/>
      <c r="ET145" s="409"/>
      <c r="EU145" s="409"/>
      <c r="EV145" s="409"/>
      <c r="EW145" s="409"/>
      <c r="EX145" s="409"/>
    </row>
    <row r="146" spans="1:154" ht="12.75" hidden="1" customHeight="1" outlineLevel="1">
      <c r="B146" s="1172" t="s">
        <v>572</v>
      </c>
      <c r="C146" s="1989"/>
      <c r="D146" s="28"/>
      <c r="E146" s="28"/>
      <c r="F146" s="28"/>
      <c r="G146" s="28"/>
      <c r="H146" s="28"/>
      <c r="I146" s="31"/>
      <c r="J146" s="28"/>
      <c r="K146" s="28"/>
      <c r="L146" s="28"/>
      <c r="M146" s="28"/>
      <c r="N146" s="31"/>
      <c r="O146" s="31"/>
      <c r="P146" s="31"/>
      <c r="Q146" s="31"/>
      <c r="R146" s="31"/>
      <c r="S146" s="31"/>
      <c r="T146" s="31"/>
      <c r="U146" s="31"/>
      <c r="V146" s="31"/>
      <c r="W146" s="31"/>
      <c r="X146" s="308"/>
      <c r="Y146" s="31"/>
      <c r="Z146" s="31"/>
      <c r="AA146" s="31"/>
      <c r="AB146" s="31"/>
      <c r="AC146" s="308"/>
      <c r="AD146" s="31"/>
      <c r="AE146" s="31"/>
      <c r="AF146" s="31"/>
      <c r="AG146" s="31"/>
      <c r="AH146" s="308"/>
      <c r="AI146" s="28"/>
      <c r="AJ146" s="28"/>
      <c r="AK146" s="28"/>
      <c r="AL146" s="31"/>
      <c r="AM146" s="308"/>
      <c r="AN146" s="28"/>
      <c r="AO146" s="28"/>
      <c r="AP146" s="28"/>
      <c r="AQ146" s="31"/>
      <c r="AR146" s="308"/>
      <c r="AS146" s="28"/>
      <c r="AT146" s="28"/>
      <c r="AU146" s="28"/>
      <c r="AV146" s="28"/>
      <c r="AW146" s="308"/>
      <c r="AX146" s="30"/>
      <c r="AY146" s="30"/>
      <c r="AZ146" s="30"/>
      <c r="BA146" s="30"/>
      <c r="BB146" s="308"/>
      <c r="BC146" s="30"/>
      <c r="BD146" s="30"/>
      <c r="BE146" s="30"/>
      <c r="BF146" s="30"/>
      <c r="BG146" s="308"/>
      <c r="BH146" s="30"/>
      <c r="BI146" s="30"/>
      <c r="BJ146" s="30"/>
      <c r="BK146" s="30"/>
      <c r="BL146" s="308"/>
      <c r="BM146" s="30"/>
      <c r="BN146" s="30"/>
      <c r="BO146" s="30"/>
      <c r="BP146" s="30"/>
      <c r="BQ146" s="308"/>
      <c r="BR146" s="30"/>
      <c r="BS146" s="30"/>
      <c r="BT146" s="30"/>
      <c r="BU146" s="30"/>
      <c r="BV146" s="308"/>
      <c r="BW146" s="30"/>
      <c r="BX146" s="30"/>
      <c r="BY146" s="30"/>
      <c r="BZ146" s="30"/>
      <c r="CA146" s="308"/>
      <c r="CB146" s="30"/>
      <c r="CC146" s="30"/>
      <c r="CD146" s="30"/>
      <c r="CE146" s="30"/>
      <c r="CF146" s="308"/>
      <c r="CG146" s="30"/>
      <c r="CH146" s="30"/>
      <c r="CI146" s="30"/>
      <c r="CJ146" s="30"/>
      <c r="CK146" s="308"/>
      <c r="CL146" s="958"/>
      <c r="CM146" s="926"/>
      <c r="CN146" s="926"/>
      <c r="CO146" s="30"/>
      <c r="CP146" s="308"/>
      <c r="CQ146" s="926"/>
      <c r="CR146" s="926"/>
      <c r="CS146" s="926"/>
      <c r="CT146" s="926"/>
      <c r="CU146" s="308"/>
      <c r="CV146" s="926"/>
      <c r="CW146" s="926"/>
      <c r="CX146" s="926"/>
      <c r="CY146" s="926"/>
      <c r="CZ146" s="308"/>
      <c r="DA146" s="926"/>
      <c r="DB146" s="30"/>
      <c r="DC146" s="30"/>
      <c r="DD146" s="409"/>
      <c r="DE146" s="308"/>
      <c r="DF146" s="926"/>
      <c r="DG146" s="30"/>
      <c r="DH146" s="30"/>
      <c r="DI146" s="409"/>
      <c r="DJ146" s="308"/>
      <c r="DK146" s="830"/>
      <c r="DL146" s="30"/>
      <c r="DM146" s="30"/>
      <c r="DN146" s="409"/>
      <c r="DO146" s="308"/>
      <c r="DP146" s="30"/>
      <c r="DQ146" s="30"/>
      <c r="DR146" s="30"/>
      <c r="DS146" s="409"/>
      <c r="DT146" s="308"/>
      <c r="DU146" s="926"/>
      <c r="DV146" s="926"/>
      <c r="DW146" s="926"/>
      <c r="DX146" s="928"/>
      <c r="DY146" s="308"/>
      <c r="DZ146" s="926"/>
      <c r="EA146" s="926"/>
      <c r="EB146" s="926"/>
      <c r="EC146" s="928"/>
      <c r="ED146" s="1060"/>
      <c r="EE146" s="926"/>
      <c r="EF146" s="926"/>
      <c r="EG146" s="926"/>
      <c r="EH146" s="928"/>
      <c r="EI146" s="308"/>
      <c r="EJ146" s="308"/>
      <c r="EK146" s="409"/>
      <c r="EL146" s="409"/>
      <c r="EM146" s="409"/>
      <c r="EN146" s="409"/>
      <c r="EO146" s="409"/>
      <c r="EP146" s="409"/>
      <c r="EQ146" s="409"/>
      <c r="ER146" s="409"/>
      <c r="ES146" s="409"/>
      <c r="ET146" s="409"/>
      <c r="EU146" s="409"/>
      <c r="EV146" s="409"/>
      <c r="EW146" s="409"/>
      <c r="EX146" s="409"/>
    </row>
    <row r="147" spans="1:154" ht="12.75" hidden="1" customHeight="1" outlineLevel="1">
      <c r="A147" s="3275" t="str">
        <f>A149&amp;" - US"</f>
      </c>
      <c r="B147" s="1171" t="s">
        <v>187</v>
      </c>
      <c r="C147" s="1989">
        <v>2025</v>
      </c>
      <c r="D147" s="28"/>
      <c r="E147" s="28"/>
      <c r="F147" s="28"/>
      <c r="G147" s="28"/>
      <c r="H147" s="28"/>
      <c r="I147" s="31"/>
      <c r="J147" s="28"/>
      <c r="K147" s="28"/>
      <c r="L147" s="28"/>
      <c r="M147" s="28"/>
      <c r="N147" s="31"/>
      <c r="O147" s="31"/>
      <c r="P147" s="31"/>
      <c r="Q147" s="31"/>
      <c r="R147" s="31"/>
      <c r="S147" s="31"/>
      <c r="T147" s="31"/>
      <c r="U147" s="31"/>
      <c r="V147" s="31"/>
      <c r="W147" s="31"/>
      <c r="X147" s="312"/>
      <c r="Y147" s="31"/>
      <c r="Z147" s="31"/>
      <c r="AA147" s="31"/>
      <c r="AB147" s="31"/>
      <c r="AC147" s="312"/>
      <c r="AD147" s="31"/>
      <c r="AE147" s="31"/>
      <c r="AF147" s="31"/>
      <c r="AG147" s="31"/>
      <c r="AH147" s="312"/>
      <c r="AI147" s="28"/>
      <c r="AJ147" s="28"/>
      <c r="AK147" s="28"/>
      <c r="AL147" s="31"/>
      <c r="AM147" s="312"/>
      <c r="AN147" s="33"/>
      <c r="AO147" s="33"/>
      <c r="AP147" s="33"/>
      <c r="AQ147" s="28"/>
      <c r="AR147" s="312"/>
      <c r="AS147" s="33"/>
      <c r="AT147" s="33"/>
      <c r="AU147" s="33"/>
      <c r="AV147" s="28"/>
      <c r="AW147" s="312"/>
      <c r="AX147" s="33"/>
      <c r="AY147" s="33"/>
      <c r="AZ147" s="33"/>
      <c r="BA147" s="33"/>
      <c r="BB147" s="312"/>
      <c r="BC147" s="28"/>
      <c r="BD147" s="28"/>
      <c r="BE147" s="28"/>
      <c r="BF147" s="28"/>
      <c r="BG147" s="312"/>
      <c r="BH147" s="28"/>
      <c r="BI147" s="28"/>
      <c r="BJ147" s="28"/>
      <c r="BK147" s="28"/>
      <c r="BL147" s="312"/>
      <c r="BM147" s="352"/>
      <c r="BN147" s="352"/>
      <c r="BO147" s="352"/>
      <c r="BP147" s="352"/>
      <c r="BQ147" s="312"/>
      <c r="BR147" s="352"/>
      <c r="BS147" s="352"/>
      <c r="BT147" s="28"/>
      <c r="BU147" s="28"/>
      <c r="BV147" s="312"/>
      <c r="BW147" s="352"/>
      <c r="BX147" s="352"/>
      <c r="BY147" s="352"/>
      <c r="BZ147" s="28"/>
      <c r="CA147" s="313"/>
      <c r="CB147" s="846">
        <v>291</v>
      </c>
      <c r="CC147" s="352">
        <v>725</v>
      </c>
      <c r="CD147" s="352">
        <v>671</v>
      </c>
      <c r="CE147" s="352">
        <v>256</v>
      </c>
      <c r="CF147" s="313">
        <f>SUM(CB147:CE147)</f>
      </c>
      <c r="CG147" s="352">
        <v>98</v>
      </c>
      <c r="CH147" s="352">
        <v>50</v>
      </c>
      <c r="CI147" s="352">
        <v>26</v>
      </c>
      <c r="CJ147" s="352">
        <v>-1</v>
      </c>
      <c r="CK147" s="313">
        <f>SUM(CG147:CJ147)</f>
      </c>
      <c r="CL147" s="352">
        <v>16</v>
      </c>
      <c r="CM147" s="352">
        <v>21</v>
      </c>
      <c r="CN147" s="352">
        <v>13</v>
      </c>
      <c r="CO147" s="352">
        <v>5</v>
      </c>
      <c r="CP147" s="313">
        <f>SUM(CL147:CO147)</f>
      </c>
      <c r="CQ147" s="352"/>
      <c r="CR147" s="352"/>
      <c r="CS147" s="933"/>
      <c r="CT147" s="933"/>
      <c r="CU147" s="313"/>
      <c r="CV147" s="352"/>
      <c r="CW147" s="933"/>
      <c r="CX147" s="933"/>
      <c r="CY147" s="933"/>
      <c r="CZ147" s="313"/>
      <c r="DA147" s="352"/>
      <c r="DB147" s="31"/>
      <c r="DC147" s="31"/>
      <c r="DD147" s="955"/>
      <c r="DE147" s="445"/>
      <c r="DF147" s="1801"/>
      <c r="DG147" s="603"/>
      <c r="DH147" s="603"/>
      <c r="DI147" s="1798"/>
      <c r="DJ147" s="445"/>
      <c r="DK147" s="1800"/>
      <c r="DL147" s="603"/>
      <c r="DM147" s="603"/>
      <c r="DN147" s="1788"/>
      <c r="DO147" s="445"/>
      <c r="DP147" s="603"/>
      <c r="DQ147" s="603"/>
      <c r="DR147" s="603"/>
      <c r="DS147" s="1788"/>
      <c r="DT147" s="445"/>
      <c r="DU147" s="603"/>
      <c r="DV147" s="603"/>
      <c r="DW147" s="603"/>
      <c r="DX147" s="1875"/>
      <c r="DY147" s="445"/>
      <c r="DZ147" s="603"/>
      <c r="EA147" s="603"/>
      <c r="EB147" s="603"/>
      <c r="EC147" s="1875"/>
      <c r="ED147" s="1866"/>
      <c r="EE147" s="603"/>
      <c r="EF147" s="603"/>
      <c r="EG147" s="603"/>
      <c r="EH147" s="1875"/>
      <c r="EI147" s="445"/>
      <c r="EJ147" s="445"/>
      <c r="EK147" s="1788"/>
      <c r="EL147" s="1788"/>
      <c r="EM147" s="1788"/>
      <c r="EN147" s="1788"/>
      <c r="EO147" s="1788"/>
      <c r="EP147" s="1788"/>
      <c r="EQ147" s="1788"/>
      <c r="ER147" s="1788"/>
      <c r="ES147" s="1788"/>
      <c r="ET147" s="1788"/>
      <c r="EU147" s="1788"/>
      <c r="EV147" s="1788"/>
      <c r="EW147" s="1788"/>
      <c r="EX147" s="1788"/>
    </row>
    <row r="148" spans="1:154" ht="12.75" hidden="1" customHeight="1" outlineLevel="1">
      <c r="A148" s="3275" t="str">
        <f>+A149&amp;" - OUS"</f>
      </c>
      <c r="B148" s="1171" t="s">
        <v>412</v>
      </c>
      <c r="C148" s="1989">
        <v>2026</v>
      </c>
      <c r="D148" s="28"/>
      <c r="E148" s="28"/>
      <c r="F148" s="28"/>
      <c r="G148" s="28"/>
      <c r="H148" s="28"/>
      <c r="I148" s="31"/>
      <c r="J148" s="28"/>
      <c r="K148" s="28"/>
      <c r="L148" s="28"/>
      <c r="M148" s="28"/>
      <c r="N148" s="31"/>
      <c r="O148" s="31"/>
      <c r="P148" s="31"/>
      <c r="Q148" s="31"/>
      <c r="R148" s="31"/>
      <c r="S148" s="31"/>
      <c r="T148" s="31"/>
      <c r="U148" s="31"/>
      <c r="V148" s="31"/>
      <c r="W148" s="31"/>
      <c r="X148" s="312"/>
      <c r="Y148" s="31"/>
      <c r="Z148" s="31"/>
      <c r="AA148" s="31"/>
      <c r="AB148" s="31"/>
      <c r="AC148" s="312"/>
      <c r="AD148" s="31"/>
      <c r="AE148" s="31"/>
      <c r="AF148" s="31"/>
      <c r="AG148" s="31"/>
      <c r="AH148" s="312"/>
      <c r="AI148" s="28"/>
      <c r="AJ148" s="28"/>
      <c r="AK148" s="28"/>
      <c r="AL148" s="31"/>
      <c r="AM148" s="312"/>
      <c r="AN148" s="33"/>
      <c r="AO148" s="33"/>
      <c r="AP148" s="33"/>
      <c r="AQ148" s="28"/>
      <c r="AR148" s="312"/>
      <c r="AS148" s="33"/>
      <c r="AT148" s="33"/>
      <c r="AU148" s="33"/>
      <c r="AV148" s="28"/>
      <c r="AW148" s="312"/>
      <c r="AX148" s="28"/>
      <c r="AY148" s="33"/>
      <c r="AZ148" s="33"/>
      <c r="BA148" s="33"/>
      <c r="BB148" s="312"/>
      <c r="BC148" s="28"/>
      <c r="BD148" s="28"/>
      <c r="BE148" s="28"/>
      <c r="BF148" s="28"/>
      <c r="BG148" s="312"/>
      <c r="BH148" s="28"/>
      <c r="BI148" s="28"/>
      <c r="BJ148" s="28"/>
      <c r="BK148" s="28"/>
      <c r="BL148" s="312"/>
      <c r="BM148" s="352"/>
      <c r="BN148" s="352"/>
      <c r="BO148" s="352"/>
      <c r="BP148" s="352"/>
      <c r="BQ148" s="312"/>
      <c r="BR148" s="352"/>
      <c r="BS148" s="352"/>
      <c r="BT148" s="352"/>
      <c r="BU148" s="352"/>
      <c r="BV148" s="312"/>
      <c r="BW148" s="352"/>
      <c r="BX148" s="352"/>
      <c r="BY148" s="352"/>
      <c r="BZ148" s="352"/>
      <c r="CA148" s="313"/>
      <c r="CB148" s="352">
        <v>63</v>
      </c>
      <c r="CC148" s="352">
        <v>106</v>
      </c>
      <c r="CD148" s="352">
        <v>125</v>
      </c>
      <c r="CE148" s="352">
        <v>65</v>
      </c>
      <c r="CF148" s="313">
        <f>SUM(CB148:CE148)</f>
      </c>
      <c r="CG148" s="352">
        <v>136</v>
      </c>
      <c r="CH148" s="352">
        <v>214</v>
      </c>
      <c r="CI148" s="352">
        <v>53</v>
      </c>
      <c r="CJ148" s="352">
        <v>45</v>
      </c>
      <c r="CK148" s="313">
        <f>SUM(CG148:CJ148)</f>
      </c>
      <c r="CL148" s="352">
        <v>16</v>
      </c>
      <c r="CM148" s="352">
        <v>22</v>
      </c>
      <c r="CN148" s="352">
        <v>8</v>
      </c>
      <c r="CO148" s="352">
        <v>5</v>
      </c>
      <c r="CP148" s="313">
        <f>SUM(CL148:CO148)</f>
      </c>
      <c r="CQ148" s="352"/>
      <c r="CR148" s="352"/>
      <c r="CS148" s="933"/>
      <c r="CT148" s="933"/>
      <c r="CU148" s="313"/>
      <c r="CV148" s="352"/>
      <c r="CW148" s="933"/>
      <c r="CX148" s="933"/>
      <c r="CY148" s="933"/>
      <c r="CZ148" s="313"/>
      <c r="DA148" s="352"/>
      <c r="DB148" s="31"/>
      <c r="DC148" s="31"/>
      <c r="DD148" s="955"/>
      <c r="DE148" s="445"/>
      <c r="DF148" s="1801"/>
      <c r="DG148" s="603"/>
      <c r="DH148" s="603"/>
      <c r="DI148" s="1798"/>
      <c r="DJ148" s="1788"/>
      <c r="DK148" s="444"/>
      <c r="DL148" s="603"/>
      <c r="DM148" s="603"/>
      <c r="DN148" s="1788"/>
      <c r="DO148" s="1788"/>
      <c r="DP148" s="603"/>
      <c r="DQ148" s="603"/>
      <c r="DR148" s="603"/>
      <c r="DS148" s="1788"/>
      <c r="DT148" s="1788"/>
      <c r="DU148" s="603"/>
      <c r="DV148" s="603"/>
      <c r="DW148" s="603"/>
      <c r="DX148" s="1875"/>
      <c r="DY148" s="1788"/>
      <c r="DZ148" s="603"/>
      <c r="EA148" s="603"/>
      <c r="EB148" s="603"/>
      <c r="EC148" s="1875"/>
      <c r="ED148" s="1875"/>
      <c r="EE148" s="603"/>
      <c r="EF148" s="603"/>
      <c r="EG148" s="603"/>
      <c r="EH148" s="1875"/>
      <c r="EI148" s="1788"/>
      <c r="EJ148" s="445"/>
      <c r="EK148" s="1788"/>
      <c r="EL148" s="1788"/>
      <c r="EM148" s="1788"/>
      <c r="EN148" s="1788"/>
      <c r="EO148" s="1788"/>
      <c r="EP148" s="1788"/>
      <c r="EQ148" s="1788"/>
      <c r="ER148" s="1788"/>
      <c r="ES148" s="1788"/>
      <c r="ET148" s="1788"/>
      <c r="EU148" s="1788"/>
      <c r="EV148" s="1788"/>
      <c r="EW148" s="1788"/>
      <c r="EX148" s="1788"/>
    </row>
    <row r="149" spans="1:154" ht="12.75" hidden="1" customHeight="1" outlineLevel="1">
      <c r="A149" s="3275" t="s">
        <v>574</v>
      </c>
      <c r="B149" s="1171" t="s">
        <v>413</v>
      </c>
      <c r="C149" s="1989"/>
      <c r="D149" s="28"/>
      <c r="E149" s="28"/>
      <c r="F149" s="28"/>
      <c r="G149" s="28"/>
      <c r="H149" s="28"/>
      <c r="I149" s="31"/>
      <c r="J149" s="28"/>
      <c r="K149" s="28"/>
      <c r="L149" s="28"/>
      <c r="M149" s="28"/>
      <c r="N149" s="31"/>
      <c r="O149" s="31"/>
      <c r="P149" s="31"/>
      <c r="Q149" s="31"/>
      <c r="R149" s="31"/>
      <c r="S149" s="31"/>
      <c r="T149" s="31"/>
      <c r="U149" s="31"/>
      <c r="V149" s="31"/>
      <c r="W149" s="31"/>
      <c r="X149" s="313"/>
      <c r="Y149" s="31"/>
      <c r="Z149" s="31"/>
      <c r="AA149" s="31"/>
      <c r="AB149" s="31"/>
      <c r="AC149" s="313"/>
      <c r="AD149" s="31"/>
      <c r="AE149" s="31"/>
      <c r="AF149" s="31"/>
      <c r="AG149" s="31"/>
      <c r="AH149" s="313"/>
      <c r="AI149" s="28"/>
      <c r="AJ149" s="28"/>
      <c r="AK149" s="28"/>
      <c r="AL149" s="31"/>
      <c r="AM149" s="313"/>
      <c r="AN149" s="28"/>
      <c r="AO149" s="28"/>
      <c r="AP149" s="28"/>
      <c r="AQ149" s="31"/>
      <c r="AR149" s="313"/>
      <c r="AS149" s="28"/>
      <c r="AT149" s="28"/>
      <c r="AU149" s="28"/>
      <c r="AV149" s="28"/>
      <c r="AW149" s="313"/>
      <c r="AX149" s="28"/>
      <c r="AY149" s="28"/>
      <c r="AZ149" s="28"/>
      <c r="BA149" s="28"/>
      <c r="BB149" s="313"/>
      <c r="BC149" s="28"/>
      <c r="BD149" s="28"/>
      <c r="BE149" s="28"/>
      <c r="BF149" s="28"/>
      <c r="BG149" s="312"/>
      <c r="BH149" s="28"/>
      <c r="BI149" s="28"/>
      <c r="BJ149" s="28"/>
      <c r="BK149" s="28"/>
      <c r="BL149" s="312"/>
      <c r="BM149" s="28"/>
      <c r="BN149" s="28"/>
      <c r="BO149" s="28"/>
      <c r="BP149" s="28"/>
      <c r="BQ149" s="312"/>
      <c r="BR149" s="28"/>
      <c r="BS149" s="28"/>
      <c r="BT149" s="28"/>
      <c r="BU149" s="28"/>
      <c r="BV149" s="312"/>
      <c r="BW149" s="28"/>
      <c r="BX149" s="28"/>
      <c r="BY149" s="28"/>
      <c r="BZ149" s="28"/>
      <c r="CA149" s="313"/>
      <c r="CB149" s="26">
        <f>+SUM(CB147:CB148)</f>
      </c>
      <c r="CC149" s="26">
        <f>+SUM(CC147:CC148)</f>
      </c>
      <c r="CD149" s="26">
        <f>+SUM(CD147:CD148)</f>
      </c>
      <c r="CE149" s="26">
        <f>+SUM(CE147:CE148)</f>
      </c>
      <c r="CF149" s="307">
        <f>SUM(CB149:CE149)</f>
      </c>
      <c r="CG149" s="26">
        <f>+SUM(CG147:CG148)</f>
      </c>
      <c r="CH149" s="26">
        <f>+SUM(CH147:CH148)</f>
      </c>
      <c r="CI149" s="26">
        <f>+SUM(CI147:CI148)</f>
      </c>
      <c r="CJ149" s="26">
        <f>+SUM(CJ147:CJ148)</f>
      </c>
      <c r="CK149" s="307">
        <f>SUM(CG149:CJ149)</f>
      </c>
      <c r="CL149" s="26">
        <f>+SUM(CL147:CL148)</f>
      </c>
      <c r="CM149" s="26">
        <f>+SUM(CM147:CM148)</f>
      </c>
      <c r="CN149" s="26">
        <f>+SUM(CN147:CN148)</f>
      </c>
      <c r="CO149" s="26">
        <f>+SUM(CO147:CO148)</f>
      </c>
      <c r="CP149" s="307">
        <f>SUM(CL149:CO149)</f>
      </c>
      <c r="CQ149" s="26"/>
      <c r="CR149" s="26"/>
      <c r="CS149" s="26"/>
      <c r="CT149" s="26"/>
      <c r="CU149" s="307"/>
      <c r="CV149" s="26"/>
      <c r="CW149" s="26"/>
      <c r="CX149" s="26"/>
      <c r="CY149" s="26"/>
      <c r="CZ149" s="307"/>
      <c r="DA149" s="26"/>
      <c r="DB149" s="31"/>
      <c r="DC149" s="31"/>
      <c r="DD149" s="955"/>
      <c r="DE149" s="1815"/>
      <c r="DF149" s="1783"/>
      <c r="DG149" s="603"/>
      <c r="DH149" s="603"/>
      <c r="DI149" s="1798"/>
      <c r="DJ149" s="1815"/>
      <c r="DK149" s="1816"/>
      <c r="DL149" s="603"/>
      <c r="DM149" s="603"/>
      <c r="DN149" s="1817"/>
      <c r="DO149" s="1815"/>
      <c r="DP149" s="603"/>
      <c r="DQ149" s="603"/>
      <c r="DR149" s="603"/>
      <c r="DS149" s="1817"/>
      <c r="DT149" s="1815"/>
      <c r="DU149" s="603"/>
      <c r="DV149" s="603"/>
      <c r="DW149" s="603"/>
      <c r="DX149" s="1817"/>
      <c r="DY149" s="1815"/>
      <c r="DZ149" s="603"/>
      <c r="EA149" s="603"/>
      <c r="EB149" s="603"/>
      <c r="EC149" s="1817"/>
      <c r="ED149" s="1815"/>
      <c r="EE149" s="603"/>
      <c r="EF149" s="603"/>
      <c r="EG149" s="603"/>
      <c r="EH149" s="1817"/>
      <c r="EI149" s="1815"/>
      <c r="EJ149" s="1815"/>
      <c r="EK149" s="1817"/>
      <c r="EL149" s="1817"/>
      <c r="EM149" s="1817"/>
      <c r="EN149" s="1817"/>
      <c r="EO149" s="1817"/>
      <c r="EP149" s="1817"/>
      <c r="EQ149" s="1817"/>
      <c r="ER149" s="1817"/>
      <c r="ES149" s="1817"/>
      <c r="ET149" s="1817"/>
      <c r="EU149" s="1817"/>
      <c r="EV149" s="1817"/>
      <c r="EW149" s="1817"/>
      <c r="EX149" s="1817"/>
    </row>
    <row r="150" spans="1:154" ht="12.75" hidden="1" customHeight="1" outlineLevel="1">
      <c r="B150" s="1171"/>
      <c r="C150" s="1989"/>
      <c r="D150" s="28"/>
      <c r="E150" s="28"/>
      <c r="F150" s="28"/>
      <c r="G150" s="28"/>
      <c r="H150" s="28"/>
      <c r="I150" s="31"/>
      <c r="J150" s="28"/>
      <c r="K150" s="28"/>
      <c r="L150" s="28"/>
      <c r="M150" s="28"/>
      <c r="N150" s="31"/>
      <c r="O150" s="31"/>
      <c r="P150" s="31"/>
      <c r="Q150" s="31"/>
      <c r="R150" s="31"/>
      <c r="S150" s="31"/>
      <c r="T150" s="31"/>
      <c r="U150" s="31"/>
      <c r="V150" s="31"/>
      <c r="W150" s="31"/>
      <c r="X150" s="313"/>
      <c r="Y150" s="31"/>
      <c r="Z150" s="31"/>
      <c r="AA150" s="31"/>
      <c r="AB150" s="31"/>
      <c r="AC150" s="313"/>
      <c r="AD150" s="31"/>
      <c r="AE150" s="31"/>
      <c r="AF150" s="31"/>
      <c r="AG150" s="31"/>
      <c r="AH150" s="313"/>
      <c r="AI150" s="28"/>
      <c r="AJ150" s="28"/>
      <c r="AK150" s="28"/>
      <c r="AL150" s="31"/>
      <c r="AM150" s="313"/>
      <c r="AN150" s="28"/>
      <c r="AO150" s="28"/>
      <c r="AP150" s="28"/>
      <c r="AQ150" s="31"/>
      <c r="AR150" s="313"/>
      <c r="AS150" s="28"/>
      <c r="AT150" s="28"/>
      <c r="AU150" s="28"/>
      <c r="AV150" s="28"/>
      <c r="AW150" s="313"/>
      <c r="AX150" s="28"/>
      <c r="AY150" s="28"/>
      <c r="AZ150" s="28"/>
      <c r="BA150" s="28"/>
      <c r="BB150" s="313"/>
      <c r="BC150" s="28"/>
      <c r="BD150" s="28"/>
      <c r="BE150" s="28"/>
      <c r="BF150" s="28"/>
      <c r="BG150" s="313"/>
      <c r="BH150" s="28"/>
      <c r="BI150" s="28"/>
      <c r="BJ150" s="28"/>
      <c r="BK150" s="28"/>
      <c r="BL150" s="313"/>
      <c r="BM150" s="28"/>
      <c r="BN150" s="28"/>
      <c r="BO150" s="28"/>
      <c r="BP150" s="28"/>
      <c r="BQ150" s="313"/>
      <c r="BR150" s="28"/>
      <c r="BS150" s="28"/>
      <c r="BT150" s="28"/>
      <c r="BU150" s="28"/>
      <c r="BV150" s="313"/>
      <c r="BW150" s="28"/>
      <c r="BX150" s="28"/>
      <c r="BY150" s="28"/>
      <c r="BZ150" s="28"/>
      <c r="CA150" s="313"/>
      <c r="CB150" s="28"/>
      <c r="CC150" s="28"/>
      <c r="CD150" s="28"/>
      <c r="CE150" s="28"/>
      <c r="CF150" s="313"/>
      <c r="CG150" s="28"/>
      <c r="CH150" s="28"/>
      <c r="CI150" s="28"/>
      <c r="CJ150" s="28"/>
      <c r="CK150" s="313"/>
      <c r="CL150" s="28"/>
      <c r="CM150" s="933"/>
      <c r="CN150" s="933"/>
      <c r="CO150" s="28"/>
      <c r="CP150" s="847"/>
      <c r="CQ150" s="933"/>
      <c r="CR150" s="933"/>
      <c r="CS150" s="933"/>
      <c r="CT150" s="933"/>
      <c r="CU150" s="847"/>
      <c r="CV150" s="933"/>
      <c r="CW150" s="933"/>
      <c r="CX150" s="933"/>
      <c r="CY150" s="933"/>
      <c r="CZ150" s="847"/>
      <c r="DA150" s="933"/>
      <c r="DB150" s="31"/>
      <c r="DC150" s="31"/>
      <c r="DD150" s="955"/>
      <c r="DE150" s="1818"/>
      <c r="DF150" s="982"/>
      <c r="DG150" s="603"/>
      <c r="DH150" s="603"/>
      <c r="DI150" s="1798"/>
      <c r="DJ150" s="1818"/>
      <c r="DK150" s="1819"/>
      <c r="DL150" s="603"/>
      <c r="DM150" s="603"/>
      <c r="DN150" s="1820"/>
      <c r="DO150" s="1818"/>
      <c r="DP150" s="603"/>
      <c r="DQ150" s="603"/>
      <c r="DR150" s="603"/>
      <c r="DS150" s="1820"/>
      <c r="DT150" s="1818"/>
      <c r="DU150" s="603"/>
      <c r="DV150" s="603"/>
      <c r="DW150" s="603"/>
      <c r="DX150" s="1820"/>
      <c r="DY150" s="1818"/>
      <c r="DZ150" s="603"/>
      <c r="EA150" s="603"/>
      <c r="EB150" s="603"/>
      <c r="EC150" s="1820"/>
      <c r="ED150" s="1818"/>
      <c r="EE150" s="603"/>
      <c r="EF150" s="603"/>
      <c r="EG150" s="603"/>
      <c r="EH150" s="1820"/>
      <c r="EI150" s="1818"/>
      <c r="EJ150" s="1818"/>
      <c r="EK150" s="1820"/>
      <c r="EL150" s="1820"/>
      <c r="EM150" s="1820"/>
      <c r="EN150" s="1820"/>
      <c r="EO150" s="1820"/>
      <c r="EP150" s="1820"/>
      <c r="EQ150" s="1820"/>
      <c r="ER150" s="1820"/>
      <c r="ES150" s="1820"/>
      <c r="ET150" s="1820"/>
      <c r="EU150" s="1820"/>
      <c r="EV150" s="1820"/>
      <c r="EW150" s="1820"/>
      <c r="EX150" s="1820"/>
    </row>
    <row r="151" spans="1:154" ht="12.75" hidden="1" customHeight="1" outlineLevel="1">
      <c r="B151" s="1172" t="s">
        <v>573</v>
      </c>
      <c r="C151" s="1989"/>
      <c r="D151" s="28"/>
      <c r="E151" s="28"/>
      <c r="F151" s="28"/>
      <c r="G151" s="28"/>
      <c r="H151" s="28"/>
      <c r="I151" s="31"/>
      <c r="J151" s="28"/>
      <c r="K151" s="28"/>
      <c r="L151" s="28"/>
      <c r="M151" s="28"/>
      <c r="N151" s="31"/>
      <c r="O151" s="31"/>
      <c r="P151" s="31"/>
      <c r="Q151" s="31"/>
      <c r="R151" s="31"/>
      <c r="S151" s="31"/>
      <c r="T151" s="31"/>
      <c r="U151" s="31"/>
      <c r="V151" s="31"/>
      <c r="W151" s="31"/>
      <c r="X151" s="308"/>
      <c r="Y151" s="31"/>
      <c r="Z151" s="31"/>
      <c r="AA151" s="31"/>
      <c r="AB151" s="31"/>
      <c r="AC151" s="308"/>
      <c r="AD151" s="31"/>
      <c r="AE151" s="31"/>
      <c r="AF151" s="31"/>
      <c r="AG151" s="31"/>
      <c r="AH151" s="308"/>
      <c r="AI151" s="28"/>
      <c r="AJ151" s="28"/>
      <c r="AK151" s="28"/>
      <c r="AL151" s="31"/>
      <c r="AM151" s="308"/>
      <c r="AN151" s="28"/>
      <c r="AO151" s="28"/>
      <c r="AP151" s="28"/>
      <c r="AQ151" s="31"/>
      <c r="AR151" s="308"/>
      <c r="AS151" s="28"/>
      <c r="AT151" s="28"/>
      <c r="AU151" s="28"/>
      <c r="AV151" s="28"/>
      <c r="AW151" s="308"/>
      <c r="AX151" s="30"/>
      <c r="AY151" s="30"/>
      <c r="AZ151" s="30"/>
      <c r="BA151" s="30"/>
      <c r="BB151" s="308"/>
      <c r="BC151" s="30"/>
      <c r="BD151" s="30"/>
      <c r="BE151" s="30"/>
      <c r="BF151" s="30"/>
      <c r="BG151" s="308"/>
      <c r="BH151" s="30"/>
      <c r="BI151" s="30"/>
      <c r="BJ151" s="30"/>
      <c r="BK151" s="30"/>
      <c r="BL151" s="308"/>
      <c r="BM151" s="30"/>
      <c r="BN151" s="30"/>
      <c r="BO151" s="30"/>
      <c r="BP151" s="30"/>
      <c r="BQ151" s="308"/>
      <c r="BR151" s="30"/>
      <c r="BS151" s="30"/>
      <c r="BT151" s="30"/>
      <c r="BU151" s="30"/>
      <c r="BV151" s="308"/>
      <c r="BW151" s="30"/>
      <c r="BX151" s="30"/>
      <c r="BY151" s="30"/>
      <c r="BZ151" s="30"/>
      <c r="CA151" s="308"/>
      <c r="CB151" s="29"/>
      <c r="CC151" s="29"/>
      <c r="CD151" s="29"/>
      <c r="CE151" s="29"/>
      <c r="CF151" s="308"/>
      <c r="CG151" s="29"/>
      <c r="CH151" s="29"/>
      <c r="CI151" s="29"/>
      <c r="CJ151" s="29"/>
      <c r="CK151" s="308"/>
      <c r="CL151" s="29"/>
      <c r="CM151" s="29"/>
      <c r="CN151" s="29"/>
      <c r="CO151" s="29"/>
      <c r="CP151" s="448"/>
      <c r="CQ151" s="29"/>
      <c r="CR151" s="29"/>
      <c r="CS151" s="29"/>
      <c r="CT151" s="29"/>
      <c r="CU151" s="448"/>
      <c r="CV151" s="29"/>
      <c r="CW151" s="29"/>
      <c r="CX151" s="29"/>
      <c r="CY151" s="29"/>
      <c r="CZ151" s="448"/>
      <c r="DA151" s="29"/>
      <c r="DB151" s="31"/>
      <c r="DC151" s="31"/>
      <c r="DD151" s="955"/>
      <c r="DE151" s="448"/>
      <c r="DF151" s="29"/>
      <c r="DG151" s="603"/>
      <c r="DH151" s="603"/>
      <c r="DI151" s="1798"/>
      <c r="DJ151" s="448"/>
      <c r="DK151" s="1486"/>
      <c r="DL151" s="603"/>
      <c r="DM151" s="603"/>
      <c r="DN151" s="1482"/>
      <c r="DO151" s="448"/>
      <c r="DP151" s="603"/>
      <c r="DQ151" s="603"/>
      <c r="DR151" s="603"/>
      <c r="DS151" s="1482"/>
      <c r="DT151" s="448"/>
      <c r="DU151" s="603"/>
      <c r="DV151" s="603"/>
      <c r="DW151" s="603"/>
      <c r="DX151" s="1482"/>
      <c r="DY151" s="448"/>
      <c r="DZ151" s="603"/>
      <c r="EA151" s="603"/>
      <c r="EB151" s="603"/>
      <c r="EC151" s="1482"/>
      <c r="ED151" s="448"/>
      <c r="EE151" s="603"/>
      <c r="EF151" s="603"/>
      <c r="EG151" s="603"/>
      <c r="EH151" s="1482"/>
      <c r="EI151" s="448"/>
      <c r="EJ151" s="448"/>
      <c r="EK151" s="1482"/>
      <c r="EL151" s="1482"/>
      <c r="EM151" s="1482"/>
      <c r="EN151" s="1482"/>
      <c r="EO151" s="1482"/>
      <c r="EP151" s="1482"/>
      <c r="EQ151" s="1482"/>
      <c r="ER151" s="1482"/>
      <c r="ES151" s="1482"/>
      <c r="ET151" s="1482"/>
      <c r="EU151" s="1482"/>
      <c r="EV151" s="1482"/>
      <c r="EW151" s="1482"/>
      <c r="EX151" s="1482"/>
    </row>
    <row r="152" spans="1:154" ht="12.75" hidden="1" customHeight="1" outlineLevel="1">
      <c r="B152" s="912" t="s">
        <v>187</v>
      </c>
      <c r="C152" s="1989"/>
      <c r="D152" s="28"/>
      <c r="E152" s="28"/>
      <c r="F152" s="28"/>
      <c r="G152" s="28"/>
      <c r="H152" s="28"/>
      <c r="I152" s="31"/>
      <c r="J152" s="28"/>
      <c r="K152" s="28"/>
      <c r="L152" s="28"/>
      <c r="M152" s="28"/>
      <c r="N152" s="31"/>
      <c r="O152" s="31"/>
      <c r="P152" s="31"/>
      <c r="Q152" s="31"/>
      <c r="R152" s="31"/>
      <c r="S152" s="31"/>
      <c r="T152" s="31"/>
      <c r="U152" s="31"/>
      <c r="V152" s="31"/>
      <c r="W152" s="31"/>
      <c r="X152" s="308"/>
      <c r="Y152" s="31"/>
      <c r="Z152" s="31"/>
      <c r="AA152" s="31"/>
      <c r="AB152" s="31"/>
      <c r="AC152" s="308"/>
      <c r="AD152" s="31"/>
      <c r="AE152" s="31"/>
      <c r="AF152" s="31"/>
      <c r="AG152" s="31"/>
      <c r="AH152" s="308"/>
      <c r="AI152" s="28"/>
      <c r="AJ152" s="28"/>
      <c r="AK152" s="28"/>
      <c r="AL152" s="31"/>
      <c r="AM152" s="308"/>
      <c r="AN152" s="28"/>
      <c r="AO152" s="28"/>
      <c r="AP152" s="28"/>
      <c r="AQ152" s="31"/>
      <c r="AR152" s="308"/>
      <c r="AS152" s="28"/>
      <c r="AT152" s="28"/>
      <c r="AU152" s="28"/>
      <c r="AV152" s="28"/>
      <c r="AW152" s="308"/>
      <c r="AX152" s="30"/>
      <c r="AY152" s="30"/>
      <c r="AZ152" s="30"/>
      <c r="BA152" s="30"/>
      <c r="BB152" s="308"/>
      <c r="BC152" s="30"/>
      <c r="BD152" s="30"/>
      <c r="BE152" s="30"/>
      <c r="BF152" s="30"/>
      <c r="BG152" s="308"/>
      <c r="BH152" s="30"/>
      <c r="BI152" s="30"/>
      <c r="BJ152" s="30"/>
      <c r="BK152" s="30"/>
      <c r="BL152" s="308"/>
      <c r="BM152" s="30"/>
      <c r="BN152" s="30"/>
      <c r="BO152" s="30"/>
      <c r="BP152" s="30"/>
      <c r="BQ152" s="308"/>
      <c r="BR152" s="30"/>
      <c r="BS152" s="30"/>
      <c r="BT152" s="30"/>
      <c r="BU152" s="30"/>
      <c r="BV152" s="308"/>
      <c r="BW152" s="30"/>
      <c r="BX152" s="30"/>
      <c r="BY152" s="30"/>
      <c r="BZ152" s="30"/>
      <c r="CA152" s="308"/>
      <c r="CB152" s="29"/>
      <c r="CC152" s="30"/>
      <c r="CD152" s="29"/>
      <c r="CE152" s="29"/>
      <c r="CF152" s="308"/>
      <c r="CG152" s="30">
        <f t="shared" ref="CG152:CI153" si="366">IF(CB147="NM","NM",IF(CG147="NM","NM",IF(CB147&lt;=0,"NM",IF(CG147=0,"NM",IF(ABS(CG147/CB147-1)&gt;2.5,"NM",IF((ABS(CG147-CB147)=ABS(ABS(CG147)-ABS(CB147))),(CG147/CB147-1),"NM"))))))</f>
      </c>
      <c r="CH152" s="30">
        <f t="shared" si="366"/>
      </c>
      <c r="CI152" s="30">
        <f t="shared" si="366"/>
      </c>
      <c r="CJ152" s="30" t="str">
        <f>IF(CE147="NM","NM",IF(CJ147="NM","NM",IF(CE147&lt;=0,"NM",IF(CJ147=0,"NM",IF(ABS(CJ147/CE147-1)&gt;2.5,"NM",IF((ABS(CJ147-CE147)=ABS(ABS(CJ147)-ABS(CE147))),(CJ147/CE147-1),"NM"))))))</f>
      </c>
      <c r="CK152" s="309">
        <f>IF(CF147=0, "NA", CK147/CF147-1)</f>
      </c>
      <c r="CL152" s="30">
        <f t="shared" ref="CL152:CN153" si="367">IF(CG147="NM","NM",IF(CL147="NM","NM",IF(CG147&lt;=0,"NM",IF(CL147=0,"NM",IF(ABS(CL147/CG147-1)&gt;2.5,"NM",IF((ABS(CL147-CG147)=ABS(ABS(CL147)-ABS(CG147))),(CL147/CG147-1),"NM"))))))</f>
      </c>
      <c r="CM152" s="30">
        <f t="shared" si="367"/>
      </c>
      <c r="CN152" s="30">
        <f t="shared" si="367"/>
      </c>
      <c r="CO152" s="30" t="str">
        <f>IF(CJ147="NM","NM",IF(CO147="NM","NM",IF(CJ147&lt;=0,"NM",IF(CO147=0,"NM",IF(ABS(CO147/CJ147-1)&gt;2.5,"NM",IF((ABS(CO147-CJ147)=ABS(ABS(CO147)-ABS(CJ147))),(CO147/CJ147-1),"NM"))))))</f>
      </c>
      <c r="CP152" s="309">
        <f>IF(CK147=0, "NA", CP147/CK147-1)</f>
      </c>
      <c r="CQ152" s="30"/>
      <c r="CR152" s="30"/>
      <c r="CS152" s="361"/>
      <c r="CT152" s="361"/>
      <c r="CU152" s="309"/>
      <c r="CV152" s="30"/>
      <c r="CW152" s="361"/>
      <c r="CX152" s="361"/>
      <c r="CY152" s="361"/>
      <c r="CZ152" s="309"/>
      <c r="DA152" s="30"/>
      <c r="DB152" s="361"/>
      <c r="DC152" s="361"/>
      <c r="DD152" s="835"/>
      <c r="DE152" s="662"/>
      <c r="DF152" s="30"/>
      <c r="DG152" s="361"/>
      <c r="DH152" s="361"/>
      <c r="DI152" s="835"/>
      <c r="DJ152" s="662"/>
      <c r="DK152" s="1487"/>
      <c r="DL152" s="361"/>
      <c r="DM152" s="361"/>
      <c r="DN152" s="1479"/>
      <c r="DO152" s="662"/>
      <c r="DP152" s="361"/>
      <c r="DQ152" s="361"/>
      <c r="DR152" s="361"/>
      <c r="DS152" s="1479"/>
      <c r="DT152" s="662"/>
      <c r="DU152" s="361"/>
      <c r="DV152" s="361"/>
      <c r="DW152" s="361"/>
      <c r="DX152" s="1479"/>
      <c r="DY152" s="662"/>
      <c r="DZ152" s="361"/>
      <c r="EA152" s="361"/>
      <c r="EB152" s="361"/>
      <c r="EC152" s="1479"/>
      <c r="ED152" s="662"/>
      <c r="EE152" s="361"/>
      <c r="EF152" s="361"/>
      <c r="EG152" s="361"/>
      <c r="EH152" s="1479"/>
      <c r="EI152" s="662"/>
      <c r="EJ152" s="662"/>
      <c r="EK152" s="1479"/>
      <c r="EL152" s="1479"/>
      <c r="EM152" s="1479"/>
      <c r="EN152" s="1479"/>
      <c r="EO152" s="1479"/>
      <c r="EP152" s="1479"/>
      <c r="EQ152" s="1479"/>
      <c r="ER152" s="1479"/>
      <c r="ES152" s="1479"/>
      <c r="ET152" s="1479"/>
      <c r="EU152" s="1479"/>
      <c r="EV152" s="1479"/>
      <c r="EW152" s="1479"/>
      <c r="EX152" s="1479"/>
    </row>
    <row r="153" spans="1:154" ht="12.75" hidden="1" customHeight="1" outlineLevel="1">
      <c r="B153" s="912" t="s">
        <v>412</v>
      </c>
      <c r="C153" s="1989"/>
      <c r="D153" s="28"/>
      <c r="E153" s="28"/>
      <c r="F153" s="28"/>
      <c r="G153" s="28"/>
      <c r="H153" s="28"/>
      <c r="I153" s="31"/>
      <c r="J153" s="28"/>
      <c r="K153" s="28"/>
      <c r="L153" s="28"/>
      <c r="M153" s="28"/>
      <c r="N153" s="31"/>
      <c r="O153" s="31"/>
      <c r="P153" s="31"/>
      <c r="Q153" s="31"/>
      <c r="R153" s="31"/>
      <c r="S153" s="31"/>
      <c r="T153" s="31"/>
      <c r="U153" s="31"/>
      <c r="V153" s="31"/>
      <c r="W153" s="31"/>
      <c r="X153" s="308"/>
      <c r="Y153" s="31"/>
      <c r="Z153" s="31"/>
      <c r="AA153" s="31"/>
      <c r="AB153" s="31"/>
      <c r="AC153" s="308"/>
      <c r="AD153" s="31"/>
      <c r="AE153" s="31"/>
      <c r="AF153" s="31"/>
      <c r="AG153" s="31"/>
      <c r="AH153" s="308"/>
      <c r="AI153" s="28"/>
      <c r="AJ153" s="28"/>
      <c r="AK153" s="28"/>
      <c r="AL153" s="31"/>
      <c r="AM153" s="308"/>
      <c r="AN153" s="28"/>
      <c r="AO153" s="28"/>
      <c r="AP153" s="28"/>
      <c r="AQ153" s="31"/>
      <c r="AR153" s="308"/>
      <c r="AS153" s="28"/>
      <c r="AT153" s="28"/>
      <c r="AU153" s="28"/>
      <c r="AV153" s="28"/>
      <c r="AW153" s="308"/>
      <c r="AX153" s="30"/>
      <c r="AY153" s="30"/>
      <c r="AZ153" s="30"/>
      <c r="BA153" s="30"/>
      <c r="BB153" s="308"/>
      <c r="BC153" s="30"/>
      <c r="BD153" s="30"/>
      <c r="BE153" s="30"/>
      <c r="BF153" s="30"/>
      <c r="BG153" s="308"/>
      <c r="BH153" s="30"/>
      <c r="BI153" s="30"/>
      <c r="BJ153" s="30"/>
      <c r="BK153" s="30"/>
      <c r="BL153" s="308"/>
      <c r="BM153" s="30"/>
      <c r="BN153" s="30"/>
      <c r="BO153" s="30"/>
      <c r="BP153" s="30"/>
      <c r="BQ153" s="308"/>
      <c r="BR153" s="30"/>
      <c r="BS153" s="30"/>
      <c r="BT153" s="30"/>
      <c r="BU153" s="30"/>
      <c r="BV153" s="308"/>
      <c r="BW153" s="30"/>
      <c r="BX153" s="30"/>
      <c r="BY153" s="30"/>
      <c r="BZ153" s="30"/>
      <c r="CA153" s="308"/>
      <c r="CB153" s="833"/>
      <c r="CC153" s="30"/>
      <c r="CD153" s="30"/>
      <c r="CE153" s="30"/>
      <c r="CF153" s="308"/>
      <c r="CG153" s="30">
        <f t="shared" si="366"/>
      </c>
      <c r="CH153" s="30">
        <f t="shared" si="366"/>
      </c>
      <c r="CI153" s="30">
        <f t="shared" si="366"/>
      </c>
      <c r="CJ153" s="30">
        <f>IF(CE148="NM","NM",IF(CJ148="NM","NM",IF(CE148&lt;=0,"NM",IF(CJ148=0,"NM",IF(ABS(CJ148/CE148-1)&gt;2.5,"NM",IF((ABS(CJ148-CE148)=ABS(ABS(CJ148)-ABS(CE148))),(CJ148/CE148-1),"NM"))))))</f>
      </c>
      <c r="CK153" s="308">
        <f>IF(CF148=0, "NA", CK148/CF148-1)</f>
      </c>
      <c r="CL153" s="30">
        <f t="shared" si="367"/>
      </c>
      <c r="CM153" s="30">
        <f t="shared" si="367"/>
      </c>
      <c r="CN153" s="30">
        <f t="shared" si="367"/>
      </c>
      <c r="CO153" s="30">
        <f>IF(CJ148="NM","NM",IF(CO148="NM","NM",IF(CJ148&lt;=0,"NM",IF(CO148=0,"NM",IF(ABS(CO148/CJ148-1)&gt;2.5,"NM",IF((ABS(CO148-CJ148)=ABS(ABS(CO148)-ABS(CJ148))),(CO148/CJ148-1),"NM"))))))</f>
      </c>
      <c r="CP153" s="308">
        <f>IF(CK148=0, "NA", CP148/CK148-1)</f>
      </c>
      <c r="CQ153" s="30"/>
      <c r="CR153" s="30"/>
      <c r="CS153" s="926"/>
      <c r="CT153" s="926"/>
      <c r="CU153" s="308"/>
      <c r="CV153" s="30"/>
      <c r="CW153" s="926"/>
      <c r="CX153" s="926"/>
      <c r="CY153" s="926"/>
      <c r="CZ153" s="308"/>
      <c r="DA153" s="30"/>
      <c r="DB153" s="959"/>
      <c r="DC153" s="959"/>
      <c r="DD153" s="960"/>
      <c r="DE153" s="308"/>
      <c r="DF153" s="30"/>
      <c r="DG153" s="926"/>
      <c r="DH153" s="926"/>
      <c r="DI153" s="928"/>
      <c r="DJ153" s="308"/>
      <c r="DK153" s="830"/>
      <c r="DL153" s="926"/>
      <c r="DM153" s="926"/>
      <c r="DN153" s="409"/>
      <c r="DO153" s="308"/>
      <c r="DP153" s="926"/>
      <c r="DQ153" s="926"/>
      <c r="DR153" s="926"/>
      <c r="DS153" s="409"/>
      <c r="DT153" s="308"/>
      <c r="DU153" s="926"/>
      <c r="DV153" s="926"/>
      <c r="DW153" s="926"/>
      <c r="DX153" s="928"/>
      <c r="DY153" s="308"/>
      <c r="DZ153" s="926"/>
      <c r="EA153" s="926"/>
      <c r="EB153" s="926"/>
      <c r="EC153" s="928"/>
      <c r="ED153" s="1060"/>
      <c r="EE153" s="926"/>
      <c r="EF153" s="926"/>
      <c r="EG153" s="926"/>
      <c r="EH153" s="928"/>
      <c r="EI153" s="308"/>
      <c r="EJ153" s="308"/>
      <c r="EK153" s="409"/>
      <c r="EL153" s="409"/>
      <c r="EM153" s="409"/>
      <c r="EN153" s="409"/>
      <c r="EO153" s="409"/>
      <c r="EP153" s="409"/>
      <c r="EQ153" s="409"/>
      <c r="ER153" s="409"/>
      <c r="ES153" s="409"/>
      <c r="ET153" s="409"/>
      <c r="EU153" s="409"/>
      <c r="EV153" s="409"/>
      <c r="EW153" s="409"/>
      <c r="EX153" s="409"/>
    </row>
    <row r="154" spans="1:154" ht="12.75" hidden="1" customHeight="1" outlineLevel="1">
      <c r="B154" s="912" t="s">
        <v>256</v>
      </c>
      <c r="C154" s="1989"/>
      <c r="D154" s="28"/>
      <c r="E154" s="28"/>
      <c r="F154" s="28"/>
      <c r="G154" s="28"/>
      <c r="H154" s="28"/>
      <c r="I154" s="31"/>
      <c r="J154" s="28"/>
      <c r="K154" s="28"/>
      <c r="L154" s="28"/>
      <c r="M154" s="28"/>
      <c r="N154" s="31"/>
      <c r="O154" s="31"/>
      <c r="P154" s="31"/>
      <c r="Q154" s="31"/>
      <c r="R154" s="31"/>
      <c r="S154" s="31"/>
      <c r="T154" s="31"/>
      <c r="U154" s="31"/>
      <c r="V154" s="31"/>
      <c r="W154" s="31"/>
      <c r="X154" s="315"/>
      <c r="Y154" s="31"/>
      <c r="Z154" s="31"/>
      <c r="AA154" s="31"/>
      <c r="AB154" s="31"/>
      <c r="AC154" s="315"/>
      <c r="AD154" s="31"/>
      <c r="AE154" s="31"/>
      <c r="AF154" s="31"/>
      <c r="AG154" s="31"/>
      <c r="AH154" s="315"/>
      <c r="AI154" s="28"/>
      <c r="AJ154" s="28"/>
      <c r="AK154" s="28"/>
      <c r="AL154" s="31"/>
      <c r="AM154" s="315"/>
      <c r="AN154" s="28"/>
      <c r="AO154" s="28"/>
      <c r="AP154" s="28"/>
      <c r="AQ154" s="31"/>
      <c r="AR154" s="315"/>
      <c r="AS154" s="28"/>
      <c r="AT154" s="28"/>
      <c r="AU154" s="28"/>
      <c r="AV154" s="28"/>
      <c r="AW154" s="315"/>
      <c r="AX154" s="1"/>
      <c r="AY154" s="1"/>
      <c r="AZ154" s="1"/>
      <c r="BA154" s="8"/>
      <c r="BB154" s="315"/>
      <c r="BC154" s="8"/>
      <c r="BD154" s="8"/>
      <c r="BE154" s="8"/>
      <c r="BF154" s="8"/>
      <c r="BG154" s="315"/>
      <c r="BH154" s="8"/>
      <c r="BI154" s="8"/>
      <c r="BJ154" s="8"/>
      <c r="BK154" s="8"/>
      <c r="BL154" s="315"/>
      <c r="BM154" s="8"/>
      <c r="BN154" s="8"/>
      <c r="BO154" s="8"/>
      <c r="BP154" s="8"/>
      <c r="BQ154" s="308"/>
      <c r="BR154" s="30"/>
      <c r="BS154" s="30"/>
      <c r="BT154" s="30"/>
      <c r="BU154" s="30"/>
      <c r="BV154" s="308"/>
      <c r="BW154" s="29"/>
      <c r="BX154" s="29"/>
      <c r="BY154" s="29"/>
      <c r="BZ154" s="835"/>
      <c r="CA154" s="406"/>
      <c r="CB154" s="361"/>
      <c r="CC154" s="30"/>
      <c r="CD154" s="361"/>
      <c r="CE154" s="361"/>
      <c r="CF154" s="309"/>
      <c r="CG154" s="30">
        <f>IF(ISNUMBER(CG153),(1+CG153)/(1+CG$21)-1,"NM")</f>
      </c>
      <c r="CH154" s="30">
        <f>IF(ISNUMBER(CH153),(1+CH153)/(1+CH$21)-1,"NM")</f>
      </c>
      <c r="CI154" s="30">
        <f>IF(ISNUMBER(CI153),(1+CI153)/(1+CI$21)-1,"NM")</f>
      </c>
      <c r="CJ154" s="30">
        <f>IF(ISNUMBER(CJ153),(1+CJ153)/(1+CJ$21)-1,"NM")</f>
      </c>
      <c r="CK154" s="309">
        <f>CK153-CK$21</f>
      </c>
      <c r="CL154" s="649">
        <v>-0.871</v>
      </c>
      <c r="CM154" s="649">
        <v>-3.0000000000000001E-3</v>
      </c>
      <c r="CN154" s="649">
        <v>-0.85699999999999998</v>
      </c>
      <c r="CO154" s="30">
        <f>IF(ISNUMBER(CO153),(1+CO153)/(1+CO$21)-1,"NM")</f>
      </c>
      <c r="CP154" s="309">
        <f>CP153-CP$21</f>
      </c>
      <c r="CQ154" s="30"/>
      <c r="CR154" s="30"/>
      <c r="CS154" s="361"/>
      <c r="CT154" s="361"/>
      <c r="CU154" s="309"/>
      <c r="CV154" s="30"/>
      <c r="CW154" s="361"/>
      <c r="CX154" s="361"/>
      <c r="CY154" s="361"/>
      <c r="CZ154" s="309"/>
      <c r="DA154" s="30"/>
      <c r="DB154" s="361"/>
      <c r="DC154" s="361"/>
      <c r="DD154" s="835"/>
      <c r="DE154" s="316"/>
      <c r="DF154" s="30"/>
      <c r="DG154" s="361"/>
      <c r="DH154" s="361"/>
      <c r="DI154" s="835"/>
      <c r="DJ154" s="835"/>
      <c r="DK154" s="361"/>
      <c r="DL154" s="361"/>
      <c r="DM154" s="361"/>
      <c r="DN154" s="835"/>
      <c r="DO154" s="835"/>
      <c r="DP154" s="361"/>
      <c r="DQ154" s="361"/>
      <c r="DR154" s="361"/>
      <c r="DS154" s="835"/>
      <c r="DT154" s="835"/>
      <c r="DU154" s="361"/>
      <c r="DV154" s="361"/>
      <c r="DW154" s="361"/>
      <c r="DX154" s="835"/>
      <c r="DY154" s="835"/>
      <c r="DZ154" s="361"/>
      <c r="EA154" s="361"/>
      <c r="EB154" s="361"/>
      <c r="EC154" s="835"/>
      <c r="ED154" s="835"/>
      <c r="EE154" s="361"/>
      <c r="EF154" s="361"/>
      <c r="EG154" s="361"/>
      <c r="EH154" s="835"/>
      <c r="EI154" s="835"/>
      <c r="EJ154" s="316"/>
      <c r="EK154" s="835"/>
      <c r="EL154" s="835"/>
      <c r="EM154" s="835"/>
      <c r="EN154" s="835"/>
      <c r="EO154" s="835"/>
      <c r="EP154" s="835"/>
      <c r="EQ154" s="835"/>
      <c r="ER154" s="835"/>
      <c r="ES154" s="835"/>
      <c r="ET154" s="835"/>
      <c r="EU154" s="835"/>
      <c r="EV154" s="835"/>
      <c r="EW154" s="835"/>
      <c r="EX154" s="835"/>
    </row>
    <row r="155" spans="1:154" ht="12.75" hidden="1" customHeight="1" outlineLevel="1">
      <c r="B155" s="912" t="s">
        <v>413</v>
      </c>
      <c r="C155" s="1989"/>
      <c r="D155" s="28"/>
      <c r="E155" s="28"/>
      <c r="F155" s="28"/>
      <c r="G155" s="28"/>
      <c r="H155" s="28"/>
      <c r="I155" s="31"/>
      <c r="J155" s="28"/>
      <c r="K155" s="28"/>
      <c r="L155" s="28"/>
      <c r="M155" s="28"/>
      <c r="N155" s="31"/>
      <c r="O155" s="31"/>
      <c r="P155" s="31"/>
      <c r="Q155" s="31"/>
      <c r="R155" s="31"/>
      <c r="S155" s="31"/>
      <c r="T155" s="31"/>
      <c r="U155" s="31"/>
      <c r="V155" s="31"/>
      <c r="W155" s="31"/>
      <c r="X155" s="308"/>
      <c r="Y155" s="31"/>
      <c r="Z155" s="31"/>
      <c r="AA155" s="31"/>
      <c r="AB155" s="31"/>
      <c r="AC155" s="308"/>
      <c r="AD155" s="31"/>
      <c r="AE155" s="31"/>
      <c r="AF155" s="31"/>
      <c r="AG155" s="31"/>
      <c r="AH155" s="308"/>
      <c r="AI155" s="28"/>
      <c r="AJ155" s="28"/>
      <c r="AK155" s="28"/>
      <c r="AL155" s="31"/>
      <c r="AM155" s="308"/>
      <c r="AN155" s="28"/>
      <c r="AO155" s="28"/>
      <c r="AP155" s="28"/>
      <c r="AQ155" s="31"/>
      <c r="AR155" s="308"/>
      <c r="AS155" s="28"/>
      <c r="AT155" s="28"/>
      <c r="AU155" s="28"/>
      <c r="AV155" s="28"/>
      <c r="AW155" s="308"/>
      <c r="AX155" s="30"/>
      <c r="AY155" s="30"/>
      <c r="AZ155" s="30"/>
      <c r="BA155" s="30"/>
      <c r="BB155" s="308"/>
      <c r="BC155" s="30"/>
      <c r="BD155" s="30"/>
      <c r="BE155" s="30"/>
      <c r="BF155" s="30"/>
      <c r="BG155" s="308"/>
      <c r="BH155" s="30"/>
      <c r="BI155" s="30"/>
      <c r="BJ155" s="30"/>
      <c r="BK155" s="30"/>
      <c r="BL155" s="308"/>
      <c r="BM155" s="30"/>
      <c r="BN155" s="30"/>
      <c r="BO155" s="30"/>
      <c r="BP155" s="30"/>
      <c r="BQ155" s="308"/>
      <c r="BR155" s="30"/>
      <c r="BS155" s="30"/>
      <c r="BT155" s="30"/>
      <c r="BU155" s="30"/>
      <c r="BV155" s="308"/>
      <c r="BW155" s="30"/>
      <c r="BX155" s="30"/>
      <c r="BY155" s="30"/>
      <c r="BZ155" s="30"/>
      <c r="CA155" s="308"/>
      <c r="CB155" s="30"/>
      <c r="CC155" s="30"/>
      <c r="CD155" s="30"/>
      <c r="CE155" s="30"/>
      <c r="CF155" s="308"/>
      <c r="CG155" s="30">
        <f>IF(CB149="NM","NM",IF(CG149="NM","NM",IF(CB149&lt;=0,"NM",IF(CG149=0,"NM",IF(ABS(CG149/CB149-1)&gt;2.5,"NM",IF((ABS(CG149-CB149)=ABS(ABS(CG149)-ABS(CB149))),(CG149/CB149-1),"NM"))))))</f>
      </c>
      <c r="CH155" s="30">
        <f>IF(CC149="NM","NM",IF(CH149="NM","NM",IF(CC149&lt;=0,"NM",IF(CH149=0,"NM",IF(ABS(CH149/CC149-1)&gt;2.5,"NM",IF((ABS(CH149-CC149)=ABS(ABS(CH149)-ABS(CC149))),(CH149/CC149-1),"NM"))))))</f>
      </c>
      <c r="CI155" s="30">
        <f>IF(CD149="NM","NM",IF(CI149="NM","NM",IF(CD149&lt;=0,"NM",IF(CI149=0,"NM",IF(ABS(CI149/CD149-1)&gt;2.5,"NM",IF((ABS(CI149-CD149)=ABS(ABS(CI149)-ABS(CD149))),(CI149/CD149-1),"NM"))))))</f>
      </c>
      <c r="CJ155" s="30">
        <f>IF(CE149="NM","NM",IF(CJ149="NM","NM",IF(CE149&lt;=0,"NM",IF(CJ149=0,"NM",IF(ABS(CJ149/CE149-1)&gt;2.5,"NM",IF((ABS(CJ149-CE149)=ABS(ABS(CJ149)-ABS(CE149))),(CJ149/CE149-1),"NM"))))))</f>
      </c>
      <c r="CK155" s="308">
        <f>IF(CF149=0, "NA", CK149/CF149-1)</f>
      </c>
      <c r="CL155" s="30">
        <f>IF(CG149="NM","NM",IF(CL149="NM","NM",IF(CG149&lt;=0,"NM",IF(CL149=0,"NM",IF(ABS(CL149/CG149-1)&gt;2.5,"NM",IF((ABS(CL149-CG149)=ABS(ABS(CL149)-ABS(CG149))),(CL149/CG149-1),"NM"))))))</f>
      </c>
      <c r="CM155" s="30">
        <f>IF(CH149="NM","NM",IF(CM149="NM","NM",IF(CH149&lt;=0,"NM",IF(CM149=0,"NM",IF(ABS(CM149/CH149-1)&gt;2.5,"NM",IF((ABS(CM149-CH149)=ABS(ABS(CM149)-ABS(CH149))),(CM149/CH149-1),"NM"))))))</f>
      </c>
      <c r="CN155" s="30">
        <f>IF(CI149="NM","NM",IF(CN149="NM","NM",IF(CI149&lt;=0,"NM",IF(CN149=0,"NM",IF(ABS(CN149/CI149-1)&gt;2.5,"NM",IF((ABS(CN149-CI149)=ABS(ABS(CN149)-ABS(CI149))),(CN149/CI149-1),"NM"))))))</f>
      </c>
      <c r="CO155" s="30">
        <f>IF(CJ149="NM","NM",IF(CO149="NM","NM",IF(CJ149&lt;=0,"NM",IF(CO149=0,"NM",IF(ABS(CO149/CJ149-1)&gt;2.5,"NM",IF((ABS(CO149-CJ149)=ABS(ABS(CO149)-ABS(CJ149))),(CO149/CJ149-1),"NM"))))))</f>
      </c>
      <c r="CP155" s="308">
        <f>IF(CK149=0, "NA", CP149/CK149-1)</f>
      </c>
      <c r="CQ155" s="30"/>
      <c r="CR155" s="30"/>
      <c r="CS155" s="926"/>
      <c r="CT155" s="926"/>
      <c r="CU155" s="308"/>
      <c r="CV155" s="30"/>
      <c r="CW155" s="926"/>
      <c r="CX155" s="926"/>
      <c r="CY155" s="926"/>
      <c r="CZ155" s="308"/>
      <c r="DA155" s="30"/>
      <c r="DB155" s="926"/>
      <c r="DC155" s="926"/>
      <c r="DD155" s="928"/>
      <c r="DE155" s="308"/>
      <c r="DF155" s="30"/>
      <c r="DG155" s="926"/>
      <c r="DH155" s="926"/>
      <c r="DI155" s="928"/>
      <c r="DJ155" s="308"/>
      <c r="DK155" s="830"/>
      <c r="DL155" s="926"/>
      <c r="DM155" s="926"/>
      <c r="DN155" s="409"/>
      <c r="DO155" s="308"/>
      <c r="DP155" s="926"/>
      <c r="DQ155" s="926"/>
      <c r="DR155" s="926"/>
      <c r="DS155" s="409"/>
      <c r="DT155" s="308"/>
      <c r="DU155" s="926"/>
      <c r="DV155" s="926"/>
      <c r="DW155" s="926"/>
      <c r="DX155" s="928"/>
      <c r="DY155" s="308"/>
      <c r="DZ155" s="926"/>
      <c r="EA155" s="926"/>
      <c r="EB155" s="926"/>
      <c r="EC155" s="928"/>
      <c r="ED155" s="1060"/>
      <c r="EE155" s="926"/>
      <c r="EF155" s="926"/>
      <c r="EG155" s="926"/>
      <c r="EH155" s="928"/>
      <c r="EI155" s="308"/>
      <c r="EJ155" s="308"/>
      <c r="EK155" s="409"/>
      <c r="EL155" s="409"/>
      <c r="EM155" s="409"/>
      <c r="EN155" s="409"/>
      <c r="EO155" s="409"/>
      <c r="EP155" s="409"/>
      <c r="EQ155" s="409"/>
      <c r="ER155" s="409"/>
      <c r="ES155" s="409"/>
      <c r="ET155" s="409"/>
      <c r="EU155" s="409"/>
      <c r="EV155" s="409"/>
      <c r="EW155" s="409"/>
      <c r="EX155" s="409"/>
    </row>
    <row r="156" spans="1:154" ht="12.75" hidden="1" customHeight="1" outlineLevel="1">
      <c r="B156" s="912"/>
      <c r="C156" s="1989"/>
      <c r="D156" s="28"/>
      <c r="E156" s="28"/>
      <c r="F156" s="28"/>
      <c r="G156" s="28"/>
      <c r="H156" s="28"/>
      <c r="I156" s="31"/>
      <c r="J156" s="28"/>
      <c r="K156" s="28"/>
      <c r="L156" s="28"/>
      <c r="M156" s="28"/>
      <c r="N156" s="31"/>
      <c r="O156" s="31"/>
      <c r="P156" s="31"/>
      <c r="Q156" s="31"/>
      <c r="R156" s="31"/>
      <c r="S156" s="31"/>
      <c r="T156" s="31"/>
      <c r="U156" s="31"/>
      <c r="V156" s="31"/>
      <c r="W156" s="31"/>
      <c r="X156" s="308"/>
      <c r="Y156" s="31"/>
      <c r="Z156" s="31"/>
      <c r="AA156" s="31"/>
      <c r="AB156" s="31"/>
      <c r="AC156" s="308"/>
      <c r="AD156" s="31"/>
      <c r="AE156" s="31"/>
      <c r="AF156" s="31"/>
      <c r="AG156" s="31"/>
      <c r="AH156" s="308"/>
      <c r="AI156" s="28"/>
      <c r="AJ156" s="28"/>
      <c r="AK156" s="28"/>
      <c r="AL156" s="31"/>
      <c r="AM156" s="308"/>
      <c r="AN156" s="28"/>
      <c r="AO156" s="28"/>
      <c r="AP156" s="28"/>
      <c r="AQ156" s="31"/>
      <c r="AR156" s="308"/>
      <c r="AS156" s="28"/>
      <c r="AT156" s="28"/>
      <c r="AU156" s="28"/>
      <c r="AV156" s="28"/>
      <c r="AW156" s="308"/>
      <c r="AX156" s="30"/>
      <c r="AY156" s="30"/>
      <c r="AZ156" s="30"/>
      <c r="BA156" s="30"/>
      <c r="BB156" s="308"/>
      <c r="BC156" s="30"/>
      <c r="BD156" s="30"/>
      <c r="BE156" s="30"/>
      <c r="BF156" s="30"/>
      <c r="BG156" s="308"/>
      <c r="BH156" s="30"/>
      <c r="BI156" s="30"/>
      <c r="BJ156" s="30"/>
      <c r="BK156" s="30"/>
      <c r="BL156" s="308"/>
      <c r="BM156" s="30"/>
      <c r="BN156" s="30"/>
      <c r="BO156" s="30"/>
      <c r="BP156" s="30"/>
      <c r="BQ156" s="308"/>
      <c r="BR156" s="30"/>
      <c r="BS156" s="30"/>
      <c r="BT156" s="30"/>
      <c r="BU156" s="30"/>
      <c r="BV156" s="308"/>
      <c r="BW156" s="30"/>
      <c r="BX156" s="30"/>
      <c r="BY156" s="30"/>
      <c r="BZ156" s="30"/>
      <c r="CA156" s="308"/>
      <c r="CB156" s="30"/>
      <c r="CC156" s="30"/>
      <c r="CD156" s="30"/>
      <c r="CE156" s="30"/>
      <c r="CF156" s="308"/>
      <c r="CG156" s="30"/>
      <c r="CH156" s="30"/>
      <c r="CI156" s="30"/>
      <c r="CJ156" s="30"/>
      <c r="CK156" s="308"/>
      <c r="CL156" s="958"/>
      <c r="CM156" s="926"/>
      <c r="CN156" s="926"/>
      <c r="CO156" s="30"/>
      <c r="CP156" s="308"/>
      <c r="CQ156" s="926"/>
      <c r="CR156" s="926"/>
      <c r="CS156" s="926"/>
      <c r="CT156" s="926"/>
      <c r="CU156" s="308"/>
      <c r="CV156" s="926"/>
      <c r="CW156" s="926"/>
      <c r="CX156" s="926"/>
      <c r="CY156" s="926"/>
      <c r="CZ156" s="308"/>
      <c r="DA156" s="926"/>
      <c r="DB156" s="30"/>
      <c r="DC156" s="30"/>
      <c r="DD156" s="409"/>
      <c r="DE156" s="308"/>
      <c r="DF156" s="926"/>
      <c r="DG156" s="30"/>
      <c r="DH156" s="30"/>
      <c r="DI156" s="409"/>
      <c r="DJ156" s="308"/>
      <c r="DK156" s="830"/>
      <c r="DL156" s="30"/>
      <c r="DM156" s="30"/>
      <c r="DN156" s="409"/>
      <c r="DO156" s="308"/>
      <c r="DP156" s="30"/>
      <c r="DQ156" s="30"/>
      <c r="DR156" s="30"/>
      <c r="DS156" s="409"/>
      <c r="DT156" s="308"/>
      <c r="DU156" s="926"/>
      <c r="DV156" s="926"/>
      <c r="DW156" s="926"/>
      <c r="DX156" s="928"/>
      <c r="DY156" s="308"/>
      <c r="DZ156" s="926"/>
      <c r="EA156" s="926"/>
      <c r="EB156" s="926"/>
      <c r="EC156" s="928"/>
      <c r="ED156" s="1060"/>
      <c r="EE156" s="926"/>
      <c r="EF156" s="926"/>
      <c r="EG156" s="926"/>
      <c r="EH156" s="928"/>
      <c r="EI156" s="308"/>
      <c r="EJ156" s="308"/>
      <c r="EK156" s="409"/>
      <c r="EL156" s="409"/>
      <c r="EM156" s="409"/>
      <c r="EN156" s="409"/>
      <c r="EO156" s="409"/>
      <c r="EP156" s="409"/>
      <c r="EQ156" s="409"/>
      <c r="ER156" s="409"/>
      <c r="ES156" s="409"/>
      <c r="ET156" s="409"/>
      <c r="EU156" s="409"/>
      <c r="EV156" s="409"/>
      <c r="EW156" s="409"/>
      <c r="EX156" s="409"/>
    </row>
    <row r="157" spans="1:154" ht="12.75" hidden="1" customHeight="1" outlineLevel="1">
      <c r="B157" s="1170" t="s">
        <v>528</v>
      </c>
      <c r="C157" s="1989"/>
      <c r="D157" s="28"/>
      <c r="E157" s="28"/>
      <c r="F157" s="28"/>
      <c r="G157" s="28"/>
      <c r="H157" s="28"/>
      <c r="I157" s="31"/>
      <c r="J157" s="28"/>
      <c r="K157" s="28"/>
      <c r="L157" s="28"/>
      <c r="M157" s="28"/>
      <c r="N157" s="31"/>
      <c r="O157" s="31"/>
      <c r="P157" s="31"/>
      <c r="Q157" s="31"/>
      <c r="R157" s="31"/>
      <c r="S157" s="31"/>
      <c r="T157" s="31"/>
      <c r="U157" s="31"/>
      <c r="V157" s="31"/>
      <c r="W157" s="31"/>
      <c r="X157" s="313"/>
      <c r="Y157" s="31"/>
      <c r="Z157" s="31"/>
      <c r="AA157" s="31"/>
      <c r="AB157" s="31"/>
      <c r="AC157" s="313"/>
      <c r="AD157" s="31"/>
      <c r="AE157" s="31"/>
      <c r="AF157" s="31"/>
      <c r="AG157" s="31"/>
      <c r="AH157" s="313"/>
      <c r="AI157" s="28"/>
      <c r="AJ157" s="28"/>
      <c r="AK157" s="28"/>
      <c r="AL157" s="31"/>
      <c r="AM157" s="313"/>
      <c r="AN157" s="28"/>
      <c r="AO157" s="28"/>
      <c r="AP157" s="28"/>
      <c r="AQ157" s="31"/>
      <c r="AR157" s="313"/>
      <c r="AS157" s="28"/>
      <c r="AT157" s="28"/>
      <c r="AU157" s="28"/>
      <c r="AV157" s="28"/>
      <c r="AW157" s="313"/>
      <c r="AX157" s="28"/>
      <c r="AY157" s="28"/>
      <c r="AZ157" s="28"/>
      <c r="BA157" s="28"/>
      <c r="BB157" s="313"/>
      <c r="BC157" s="28"/>
      <c r="BD157" s="28"/>
      <c r="BE157" s="28"/>
      <c r="BF157" s="28"/>
      <c r="BG157" s="313"/>
      <c r="BH157" s="28"/>
      <c r="BI157" s="28"/>
      <c r="BJ157" s="28"/>
      <c r="BK157" s="28"/>
      <c r="BL157" s="313"/>
      <c r="BM157" s="28"/>
      <c r="BN157" s="28"/>
      <c r="BO157" s="28"/>
      <c r="BP157" s="28"/>
      <c r="BQ157" s="313"/>
      <c r="BR157" s="28"/>
      <c r="BS157" s="28"/>
      <c r="BT157" s="28"/>
      <c r="BU157" s="28"/>
      <c r="BV157" s="313"/>
      <c r="BW157" s="28"/>
      <c r="BX157" s="28"/>
      <c r="BY157" s="28"/>
      <c r="BZ157" s="28"/>
      <c r="CA157" s="313"/>
      <c r="CB157" s="28"/>
      <c r="CC157" s="28"/>
      <c r="CD157" s="28"/>
      <c r="CE157" s="28"/>
      <c r="CF157" s="313"/>
      <c r="CG157" s="28"/>
      <c r="CH157" s="28"/>
      <c r="CI157" s="28"/>
      <c r="CJ157" s="28"/>
      <c r="CK157" s="313"/>
      <c r="CL157" s="961"/>
      <c r="CM157" s="933"/>
      <c r="CN157" s="933"/>
      <c r="CO157" s="28"/>
      <c r="CP157" s="313"/>
      <c r="CQ157" s="933"/>
      <c r="CR157" s="933"/>
      <c r="CS157" s="933"/>
      <c r="CT157" s="933"/>
      <c r="CU157" s="313"/>
      <c r="CV157" s="933"/>
      <c r="CW157" s="933"/>
      <c r="CX157" s="933"/>
      <c r="CY157" s="933"/>
      <c r="CZ157" s="313"/>
      <c r="DA157" s="933"/>
      <c r="DB157" s="31"/>
      <c r="DC157" s="31"/>
      <c r="DD157" s="955"/>
      <c r="DE157" s="477"/>
      <c r="DF157" s="982"/>
      <c r="DG157" s="603"/>
      <c r="DH157" s="603"/>
      <c r="DI157" s="1798"/>
      <c r="DJ157" s="477"/>
      <c r="DK157" s="1799"/>
      <c r="DL157" s="603"/>
      <c r="DM157" s="603"/>
      <c r="DN157" s="1798"/>
      <c r="DO157" s="477"/>
      <c r="DP157" s="603"/>
      <c r="DQ157" s="603"/>
      <c r="DR157" s="603"/>
      <c r="DS157" s="1798"/>
      <c r="DT157" s="477"/>
      <c r="DU157" s="603"/>
      <c r="DV157" s="603"/>
      <c r="DW157" s="603"/>
      <c r="DX157" s="1798"/>
      <c r="DY157" s="477"/>
      <c r="DZ157" s="603"/>
      <c r="EA157" s="603"/>
      <c r="EB157" s="603"/>
      <c r="EC157" s="1798"/>
      <c r="ED157" s="477"/>
      <c r="EE157" s="603"/>
      <c r="EF157" s="603"/>
      <c r="EG157" s="603"/>
      <c r="EH157" s="1798"/>
      <c r="EI157" s="477"/>
      <c r="EJ157" s="477"/>
      <c r="EK157" s="1798"/>
      <c r="EL157" s="1798"/>
      <c r="EM157" s="1798"/>
      <c r="EN157" s="1798"/>
      <c r="EO157" s="1798"/>
      <c r="EP157" s="1798"/>
      <c r="EQ157" s="1798"/>
      <c r="ER157" s="1798"/>
      <c r="ES157" s="1798"/>
      <c r="ET157" s="1798"/>
      <c r="EU157" s="1798"/>
      <c r="EV157" s="1798"/>
      <c r="EW157" s="1798"/>
      <c r="EX157" s="1798"/>
    </row>
    <row r="158" spans="1:154" ht="12.75" hidden="1" customHeight="1" outlineLevel="1">
      <c r="B158" s="1171" t="s">
        <v>187</v>
      </c>
      <c r="C158" s="1997">
        <v>43774</v>
      </c>
      <c r="D158" s="28"/>
      <c r="E158" s="28"/>
      <c r="F158" s="28"/>
      <c r="G158" s="28"/>
      <c r="H158" s="28"/>
      <c r="I158" s="31"/>
      <c r="J158" s="28"/>
      <c r="K158" s="28"/>
      <c r="L158" s="28"/>
      <c r="M158" s="28"/>
      <c r="N158" s="31"/>
      <c r="O158" s="31"/>
      <c r="P158" s="31"/>
      <c r="Q158" s="31"/>
      <c r="R158" s="31"/>
      <c r="S158" s="31"/>
      <c r="T158" s="31"/>
      <c r="U158" s="31"/>
      <c r="V158" s="31"/>
      <c r="W158" s="31"/>
      <c r="X158" s="312"/>
      <c r="Y158" s="31"/>
      <c r="Z158" s="31"/>
      <c r="AA158" s="31"/>
      <c r="AB158" s="31"/>
      <c r="AC158" s="312"/>
      <c r="AD158" s="31"/>
      <c r="AE158" s="31"/>
      <c r="AF158" s="31"/>
      <c r="AG158" s="31"/>
      <c r="AH158" s="312"/>
      <c r="AI158" s="28"/>
      <c r="AJ158" s="28"/>
      <c r="AK158" s="28"/>
      <c r="AL158" s="31"/>
      <c r="AM158" s="312"/>
      <c r="AN158" s="33"/>
      <c r="AO158" s="33"/>
      <c r="AP158" s="33"/>
      <c r="AQ158" s="28"/>
      <c r="AR158" s="312"/>
      <c r="AS158" s="33"/>
      <c r="AT158" s="33"/>
      <c r="AU158" s="33"/>
      <c r="AV158" s="28"/>
      <c r="AW158" s="312"/>
      <c r="AX158" s="33"/>
      <c r="AY158" s="33"/>
      <c r="AZ158" s="33"/>
      <c r="BA158" s="33"/>
      <c r="BB158" s="312"/>
      <c r="BC158" s="28">
        <v>0</v>
      </c>
      <c r="BD158" s="28">
        <v>0</v>
      </c>
      <c r="BE158" s="28">
        <v>0</v>
      </c>
      <c r="BF158" s="28">
        <v>0</v>
      </c>
      <c r="BG158" s="312">
        <v>0</v>
      </c>
      <c r="BH158" s="28">
        <v>0</v>
      </c>
      <c r="BI158" s="28">
        <v>0</v>
      </c>
      <c r="BJ158" s="28">
        <v>0</v>
      </c>
      <c r="BK158" s="28">
        <v>0</v>
      </c>
      <c r="BL158" s="312">
        <v>0</v>
      </c>
      <c r="BM158" s="352">
        <v>0</v>
      </c>
      <c r="BN158" s="352">
        <v>0</v>
      </c>
      <c r="BO158" s="352">
        <v>0</v>
      </c>
      <c r="BP158" s="352">
        <v>0</v>
      </c>
      <c r="BQ158" s="312">
        <v>0</v>
      </c>
      <c r="BR158" s="352">
        <v>0</v>
      </c>
      <c r="BS158" s="352">
        <v>0</v>
      </c>
      <c r="BT158" s="28">
        <v>0</v>
      </c>
      <c r="BU158" s="28">
        <v>0</v>
      </c>
      <c r="BV158" s="312">
        <v>0</v>
      </c>
      <c r="BW158" s="352">
        <v>0</v>
      </c>
      <c r="BX158" s="352">
        <v>0</v>
      </c>
      <c r="BY158" s="352">
        <v>0</v>
      </c>
      <c r="BZ158" s="352">
        <v>0</v>
      </c>
      <c r="CA158" s="313">
        <f>SUM(BW158:BZ158)</f>
      </c>
      <c r="CB158" s="352">
        <v>0</v>
      </c>
      <c r="CC158" s="352">
        <v>0</v>
      </c>
      <c r="CD158" s="352">
        <v>0</v>
      </c>
      <c r="CE158" s="352">
        <v>0</v>
      </c>
      <c r="CF158" s="313">
        <f>SUM(CB158:CE158)</f>
      </c>
      <c r="CG158" s="761">
        <v>0</v>
      </c>
      <c r="CH158" s="761">
        <v>0</v>
      </c>
      <c r="CI158" s="761">
        <v>0</v>
      </c>
      <c r="CJ158" s="761">
        <v>0</v>
      </c>
      <c r="CK158" s="313">
        <f>SUM(CG158:CJ158)</f>
      </c>
      <c r="CL158" s="761">
        <v>0</v>
      </c>
      <c r="CM158" s="761">
        <v>0</v>
      </c>
      <c r="CN158" s="761">
        <v>0</v>
      </c>
      <c r="CO158" s="761">
        <v>0</v>
      </c>
      <c r="CP158" s="313">
        <f>SUM(CL158:CO158)</f>
      </c>
      <c r="CQ158" s="352"/>
      <c r="CR158" s="352"/>
      <c r="CS158" s="933"/>
      <c r="CT158" s="933"/>
      <c r="CU158" s="313"/>
      <c r="CV158" s="352"/>
      <c r="CW158" s="933"/>
      <c r="CX158" s="933"/>
      <c r="CY158" s="933"/>
      <c r="CZ158" s="313"/>
      <c r="DA158" s="352"/>
      <c r="DB158" s="31"/>
      <c r="DC158" s="31"/>
      <c r="DD158" s="955"/>
      <c r="DE158" s="1821"/>
      <c r="DF158" s="1801"/>
      <c r="DG158" s="603"/>
      <c r="DH158" s="603"/>
      <c r="DI158" s="1798"/>
      <c r="DJ158" s="1821"/>
      <c r="DK158" s="1814"/>
      <c r="DL158" s="603"/>
      <c r="DM158" s="603"/>
      <c r="DN158" s="1758"/>
      <c r="DO158" s="1821"/>
      <c r="DP158" s="603"/>
      <c r="DQ158" s="603"/>
      <c r="DR158" s="603"/>
      <c r="DS158" s="1758"/>
      <c r="DT158" s="1821"/>
      <c r="DU158" s="603"/>
      <c r="DV158" s="603"/>
      <c r="DW158" s="603"/>
      <c r="DX158" s="1758"/>
      <c r="DY158" s="1821"/>
      <c r="DZ158" s="603"/>
      <c r="EA158" s="603"/>
      <c r="EB158" s="603"/>
      <c r="EC158" s="1758"/>
      <c r="ED158" s="1821"/>
      <c r="EE158" s="603"/>
      <c r="EF158" s="603"/>
      <c r="EG158" s="603"/>
      <c r="EH158" s="1758"/>
      <c r="EI158" s="1821"/>
      <c r="EJ158" s="1821"/>
      <c r="EK158" s="1758"/>
      <c r="EL158" s="1758"/>
      <c r="EM158" s="1758"/>
      <c r="EN158" s="1758"/>
      <c r="EO158" s="1758"/>
      <c r="EP158" s="1758"/>
      <c r="EQ158" s="1758"/>
      <c r="ER158" s="1758"/>
      <c r="ES158" s="1758"/>
      <c r="ET158" s="1758"/>
      <c r="EU158" s="1758"/>
      <c r="EV158" s="1758"/>
      <c r="EW158" s="1758"/>
      <c r="EX158" s="1758"/>
    </row>
    <row r="159" spans="1:154" ht="12.75" hidden="1" customHeight="1" outlineLevel="1">
      <c r="B159" s="1171" t="s">
        <v>412</v>
      </c>
      <c r="C159" s="1989">
        <v>2019</v>
      </c>
      <c r="D159" s="28"/>
      <c r="E159" s="28"/>
      <c r="F159" s="28"/>
      <c r="G159" s="28"/>
      <c r="H159" s="28"/>
      <c r="I159" s="31"/>
      <c r="J159" s="28"/>
      <c r="K159" s="28"/>
      <c r="L159" s="28"/>
      <c r="M159" s="28"/>
      <c r="N159" s="31"/>
      <c r="O159" s="31"/>
      <c r="P159" s="31"/>
      <c r="Q159" s="31"/>
      <c r="R159" s="31"/>
      <c r="S159" s="31"/>
      <c r="T159" s="31"/>
      <c r="U159" s="31"/>
      <c r="V159" s="31"/>
      <c r="W159" s="31"/>
      <c r="X159" s="312"/>
      <c r="Y159" s="31"/>
      <c r="Z159" s="31"/>
      <c r="AA159" s="31"/>
      <c r="AB159" s="31"/>
      <c r="AC159" s="312"/>
      <c r="AD159" s="31"/>
      <c r="AE159" s="31"/>
      <c r="AF159" s="31"/>
      <c r="AG159" s="31"/>
      <c r="AH159" s="312"/>
      <c r="AI159" s="28"/>
      <c r="AJ159" s="28"/>
      <c r="AK159" s="28"/>
      <c r="AL159" s="31"/>
      <c r="AM159" s="312"/>
      <c r="AN159" s="33"/>
      <c r="AO159" s="33"/>
      <c r="AP159" s="33"/>
      <c r="AQ159" s="28"/>
      <c r="AR159" s="312"/>
      <c r="AS159" s="33"/>
      <c r="AT159" s="33"/>
      <c r="AU159" s="33"/>
      <c r="AV159" s="28"/>
      <c r="AW159" s="312"/>
      <c r="AX159" s="28"/>
      <c r="AY159" s="33"/>
      <c r="AZ159" s="33"/>
      <c r="BA159" s="33"/>
      <c r="BB159" s="312"/>
      <c r="BC159" s="28">
        <v>0</v>
      </c>
      <c r="BD159" s="28">
        <v>0</v>
      </c>
      <c r="BE159" s="28">
        <v>0</v>
      </c>
      <c r="BF159" s="28">
        <v>0</v>
      </c>
      <c r="BG159" s="312">
        <v>0</v>
      </c>
      <c r="BH159" s="28">
        <v>0</v>
      </c>
      <c r="BI159" s="28">
        <v>0</v>
      </c>
      <c r="BJ159" s="28">
        <v>0</v>
      </c>
      <c r="BK159" s="28">
        <v>0</v>
      </c>
      <c r="BL159" s="312">
        <v>0</v>
      </c>
      <c r="BM159" s="352">
        <v>0</v>
      </c>
      <c r="BN159" s="352">
        <v>0</v>
      </c>
      <c r="BO159" s="352">
        <v>0</v>
      </c>
      <c r="BP159" s="352">
        <v>64</v>
      </c>
      <c r="BQ159" s="312">
        <v>64</v>
      </c>
      <c r="BR159" s="352">
        <v>132</v>
      </c>
      <c r="BS159" s="352">
        <v>102</v>
      </c>
      <c r="BT159" s="352">
        <v>71</v>
      </c>
      <c r="BU159" s="352">
        <v>138</v>
      </c>
      <c r="BV159" s="312">
        <f>SUM(BR159:BU159)</f>
      </c>
      <c r="BW159" s="352">
        <v>162</v>
      </c>
      <c r="BX159" s="352">
        <v>172</v>
      </c>
      <c r="BY159" s="352">
        <v>76</v>
      </c>
      <c r="BZ159" s="352">
        <v>107</v>
      </c>
      <c r="CA159" s="313">
        <f>SUM(BW159:BZ159)</f>
      </c>
      <c r="CB159" s="352">
        <v>86</v>
      </c>
      <c r="CC159" s="352">
        <v>97</v>
      </c>
      <c r="CD159" s="352">
        <v>38</v>
      </c>
      <c r="CE159" s="352">
        <v>5</v>
      </c>
      <c r="CF159" s="313">
        <f>SUM(CB159:CE159)</f>
      </c>
      <c r="CG159" s="761">
        <v>6</v>
      </c>
      <c r="CH159" s="761">
        <v>5</v>
      </c>
      <c r="CI159" s="761">
        <v>4</v>
      </c>
      <c r="CJ159" s="761">
        <v>0</v>
      </c>
      <c r="CK159" s="313">
        <f>SUM(CG159:CJ159)</f>
      </c>
      <c r="CL159" s="761">
        <v>3</v>
      </c>
      <c r="CM159" s="761">
        <v>1</v>
      </c>
      <c r="CN159" s="761">
        <v>0</v>
      </c>
      <c r="CO159" s="761">
        <v>0</v>
      </c>
      <c r="CP159" s="313">
        <f>SUM(CL159:CO159)</f>
      </c>
      <c r="CQ159" s="352"/>
      <c r="CR159" s="352"/>
      <c r="CS159" s="933"/>
      <c r="CT159" s="933"/>
      <c r="CU159" s="313"/>
      <c r="CV159" s="352"/>
      <c r="CW159" s="933"/>
      <c r="CX159" s="933"/>
      <c r="CY159" s="933"/>
      <c r="CZ159" s="313"/>
      <c r="DA159" s="352"/>
      <c r="DB159" s="31"/>
      <c r="DC159" s="31"/>
      <c r="DD159" s="955"/>
      <c r="DE159" s="445"/>
      <c r="DF159" s="1801"/>
      <c r="DG159" s="603"/>
      <c r="DH159" s="603"/>
      <c r="DI159" s="1798"/>
      <c r="DJ159" s="1788"/>
      <c r="DK159" s="444"/>
      <c r="DL159" s="603"/>
      <c r="DM159" s="603"/>
      <c r="DN159" s="1788"/>
      <c r="DO159" s="1788"/>
      <c r="DP159" s="603"/>
      <c r="DQ159" s="603"/>
      <c r="DR159" s="603"/>
      <c r="DS159" s="1788"/>
      <c r="DT159" s="1788"/>
      <c r="DU159" s="603"/>
      <c r="DV159" s="603"/>
      <c r="DW159" s="603"/>
      <c r="DX159" s="1875"/>
      <c r="DY159" s="1788"/>
      <c r="DZ159" s="603"/>
      <c r="EA159" s="603"/>
      <c r="EB159" s="603"/>
      <c r="EC159" s="1875"/>
      <c r="ED159" s="1875"/>
      <c r="EE159" s="603"/>
      <c r="EF159" s="603"/>
      <c r="EG159" s="603"/>
      <c r="EH159" s="1875"/>
      <c r="EI159" s="1788"/>
      <c r="EJ159" s="445"/>
      <c r="EK159" s="1788"/>
      <c r="EL159" s="1788"/>
      <c r="EM159" s="1788"/>
      <c r="EN159" s="1788"/>
      <c r="EO159" s="1788"/>
      <c r="EP159" s="1788"/>
      <c r="EQ159" s="1788"/>
      <c r="ER159" s="1788"/>
      <c r="ES159" s="1788"/>
      <c r="ET159" s="1788"/>
      <c r="EU159" s="1788"/>
      <c r="EV159" s="1788"/>
      <c r="EW159" s="1788"/>
      <c r="EX159" s="1788"/>
    </row>
    <row r="160" spans="1:154" ht="12.75" hidden="1" customHeight="1" outlineLevel="1">
      <c r="B160" s="1171" t="s">
        <v>413</v>
      </c>
      <c r="C160" s="1989"/>
      <c r="D160" s="28"/>
      <c r="E160" s="28"/>
      <c r="F160" s="28"/>
      <c r="G160" s="28"/>
      <c r="H160" s="28"/>
      <c r="I160" s="31"/>
      <c r="J160" s="28"/>
      <c r="K160" s="28"/>
      <c r="L160" s="28"/>
      <c r="M160" s="28"/>
      <c r="N160" s="31"/>
      <c r="O160" s="31"/>
      <c r="P160" s="31"/>
      <c r="Q160" s="31"/>
      <c r="R160" s="31"/>
      <c r="S160" s="31"/>
      <c r="T160" s="31"/>
      <c r="U160" s="31"/>
      <c r="V160" s="31"/>
      <c r="W160" s="31"/>
      <c r="X160" s="313"/>
      <c r="Y160" s="31"/>
      <c r="Z160" s="31"/>
      <c r="AA160" s="31"/>
      <c r="AB160" s="31"/>
      <c r="AC160" s="313"/>
      <c r="AD160" s="31"/>
      <c r="AE160" s="31"/>
      <c r="AF160" s="31"/>
      <c r="AG160" s="31"/>
      <c r="AH160" s="313"/>
      <c r="AI160" s="28"/>
      <c r="AJ160" s="28"/>
      <c r="AK160" s="28"/>
      <c r="AL160" s="31"/>
      <c r="AM160" s="313"/>
      <c r="AN160" s="28"/>
      <c r="AO160" s="28"/>
      <c r="AP160" s="28"/>
      <c r="AQ160" s="31"/>
      <c r="AR160" s="313"/>
      <c r="AS160" s="28"/>
      <c r="AT160" s="28"/>
      <c r="AU160" s="28"/>
      <c r="AV160" s="28"/>
      <c r="AW160" s="313"/>
      <c r="AX160" s="28"/>
      <c r="AY160" s="28"/>
      <c r="AZ160" s="28"/>
      <c r="BA160" s="28"/>
      <c r="BB160" s="313"/>
      <c r="BC160" s="28">
        <v>0</v>
      </c>
      <c r="BD160" s="28">
        <v>0</v>
      </c>
      <c r="BE160" s="28">
        <v>0</v>
      </c>
      <c r="BF160" s="28">
        <v>0</v>
      </c>
      <c r="BG160" s="312">
        <v>0</v>
      </c>
      <c r="BH160" s="28">
        <v>0</v>
      </c>
      <c r="BI160" s="28">
        <v>0</v>
      </c>
      <c r="BJ160" s="28">
        <v>0</v>
      </c>
      <c r="BK160" s="28">
        <v>0</v>
      </c>
      <c r="BL160" s="312">
        <v>0</v>
      </c>
      <c r="BM160" s="28">
        <v>0</v>
      </c>
      <c r="BN160" s="28">
        <v>0</v>
      </c>
      <c r="BO160" s="28">
        <f t="shared" ref="BO160:BV160" si="368">SUM(BO158:BO159)</f>
      </c>
      <c r="BP160" s="28">
        <f t="shared" si="368"/>
      </c>
      <c r="BQ160" s="312">
        <f t="shared" si="368"/>
      </c>
      <c r="BR160" s="28">
        <f t="shared" si="368"/>
      </c>
      <c r="BS160" s="28">
        <f t="shared" si="368"/>
      </c>
      <c r="BT160" s="28">
        <f t="shared" si="368"/>
      </c>
      <c r="BU160" s="28">
        <f t="shared" si="368"/>
      </c>
      <c r="BV160" s="312">
        <f t="shared" si="368"/>
      </c>
      <c r="BW160" s="28">
        <f>SUM(BW158:BW159)</f>
      </c>
      <c r="BX160" s="28">
        <f>SUM(BX158:BX159)</f>
      </c>
      <c r="BY160" s="28">
        <f>SUM(BY158:BY159)</f>
      </c>
      <c r="BZ160" s="28">
        <f>SUM(BZ158:BZ159)</f>
      </c>
      <c r="CA160" s="313">
        <f>SUM(BW160:BZ160)</f>
      </c>
      <c r="CB160" s="28">
        <f>+SUM(CB158:CB159)</f>
      </c>
      <c r="CC160" s="28">
        <f>+SUM(CC158:CC159)</f>
      </c>
      <c r="CD160" s="28">
        <f>+SUM(CD158:CD159)</f>
      </c>
      <c r="CE160" s="28">
        <f>+SUM(CE158:CE159)</f>
      </c>
      <c r="CF160" s="313">
        <f>SUM(CB160:CE160)</f>
      </c>
      <c r="CG160" s="28">
        <f>+SUM(CG158:CG159)</f>
      </c>
      <c r="CH160" s="28">
        <f>+SUM(CH158:CH159)</f>
      </c>
      <c r="CI160" s="28">
        <f>+SUM(CI158:CI159)</f>
      </c>
      <c r="CJ160" s="28">
        <f>+SUM(CJ158:CJ159)</f>
      </c>
      <c r="CK160" s="313">
        <f>SUM(CG160:CJ160)</f>
      </c>
      <c r="CL160" s="28">
        <f>+SUM(CL158:CL159)</f>
      </c>
      <c r="CM160" s="28">
        <f>+SUM(CM158:CM159)</f>
      </c>
      <c r="CN160" s="28">
        <f>+SUM(CN158:CN159)</f>
      </c>
      <c r="CO160" s="28">
        <f>+SUM(CO158:CO159)</f>
      </c>
      <c r="CP160" s="313">
        <f>SUM(CL160:CO160)</f>
      </c>
      <c r="CQ160" s="933"/>
      <c r="CR160" s="933"/>
      <c r="CS160" s="933"/>
      <c r="CT160" s="933"/>
      <c r="CU160" s="313"/>
      <c r="CV160" s="933"/>
      <c r="CW160" s="933"/>
      <c r="CX160" s="933"/>
      <c r="CY160" s="933"/>
      <c r="CZ160" s="313"/>
      <c r="DA160" s="933"/>
      <c r="DB160" s="31"/>
      <c r="DC160" s="31"/>
      <c r="DD160" s="955"/>
      <c r="DE160" s="445"/>
      <c r="DF160" s="982"/>
      <c r="DG160" s="603"/>
      <c r="DH160" s="603"/>
      <c r="DI160" s="1798"/>
      <c r="DJ160" s="445"/>
      <c r="DK160" s="1800"/>
      <c r="DL160" s="603"/>
      <c r="DM160" s="603"/>
      <c r="DN160" s="1788"/>
      <c r="DO160" s="445"/>
      <c r="DP160" s="603"/>
      <c r="DQ160" s="603"/>
      <c r="DR160" s="603"/>
      <c r="DS160" s="1788"/>
      <c r="DT160" s="445"/>
      <c r="DU160" s="603"/>
      <c r="DV160" s="603"/>
      <c r="DW160" s="603"/>
      <c r="DX160" s="1875"/>
      <c r="DY160" s="445"/>
      <c r="DZ160" s="603"/>
      <c r="EA160" s="603"/>
      <c r="EB160" s="603"/>
      <c r="EC160" s="1875"/>
      <c r="ED160" s="1866"/>
      <c r="EE160" s="603"/>
      <c r="EF160" s="603"/>
      <c r="EG160" s="603"/>
      <c r="EH160" s="1875"/>
      <c r="EI160" s="445"/>
      <c r="EJ160" s="445"/>
      <c r="EK160" s="1788"/>
      <c r="EL160" s="1788"/>
      <c r="EM160" s="1788"/>
      <c r="EN160" s="1788"/>
      <c r="EO160" s="1788"/>
      <c r="EP160" s="1788"/>
      <c r="EQ160" s="1788"/>
      <c r="ER160" s="1788"/>
      <c r="ES160" s="1788"/>
      <c r="ET160" s="1788"/>
      <c r="EU160" s="1788"/>
      <c r="EV160" s="1788"/>
      <c r="EW160" s="1788"/>
      <c r="EX160" s="1788"/>
    </row>
    <row r="161" spans="1:154" ht="12.75" hidden="1" customHeight="1" outlineLevel="1">
      <c r="B161" s="1171"/>
      <c r="C161" s="1989"/>
      <c r="D161" s="28"/>
      <c r="E161" s="28"/>
      <c r="F161" s="28"/>
      <c r="G161" s="28"/>
      <c r="H161" s="28"/>
      <c r="I161" s="31"/>
      <c r="J161" s="28"/>
      <c r="K161" s="28"/>
      <c r="L161" s="28"/>
      <c r="M161" s="28"/>
      <c r="N161" s="31"/>
      <c r="O161" s="31"/>
      <c r="P161" s="31"/>
      <c r="Q161" s="31"/>
      <c r="R161" s="31"/>
      <c r="S161" s="31"/>
      <c r="T161" s="31"/>
      <c r="U161" s="31"/>
      <c r="V161" s="31"/>
      <c r="W161" s="31"/>
      <c r="X161" s="313"/>
      <c r="Y161" s="31"/>
      <c r="Z161" s="31"/>
      <c r="AA161" s="31"/>
      <c r="AB161" s="31"/>
      <c r="AC161" s="313"/>
      <c r="AD161" s="31"/>
      <c r="AE161" s="31"/>
      <c r="AF161" s="31"/>
      <c r="AG161" s="31"/>
      <c r="AH161" s="313"/>
      <c r="AI161" s="28"/>
      <c r="AJ161" s="28"/>
      <c r="AK161" s="28"/>
      <c r="AL161" s="31"/>
      <c r="AM161" s="313"/>
      <c r="AN161" s="28"/>
      <c r="AO161" s="28"/>
      <c r="AP161" s="28"/>
      <c r="AQ161" s="31"/>
      <c r="AR161" s="313"/>
      <c r="AS161" s="28"/>
      <c r="AT161" s="28"/>
      <c r="AU161" s="28"/>
      <c r="AV161" s="28"/>
      <c r="AW161" s="313"/>
      <c r="AX161" s="28"/>
      <c r="AY161" s="28"/>
      <c r="AZ161" s="28"/>
      <c r="BA161" s="28"/>
      <c r="BB161" s="313"/>
      <c r="BC161" s="28"/>
      <c r="BD161" s="28"/>
      <c r="BE161" s="28"/>
      <c r="BF161" s="28"/>
      <c r="BG161" s="313"/>
      <c r="BH161" s="28"/>
      <c r="BI161" s="28"/>
      <c r="BJ161" s="28"/>
      <c r="BK161" s="28"/>
      <c r="BL161" s="313"/>
      <c r="BM161" s="28"/>
      <c r="BN161" s="28"/>
      <c r="BO161" s="28"/>
      <c r="BP161" s="28"/>
      <c r="BQ161" s="313"/>
      <c r="BR161" s="28"/>
      <c r="BS161" s="28"/>
      <c r="BT161" s="28"/>
      <c r="BU161" s="28"/>
      <c r="BV161" s="313"/>
      <c r="BW161" s="28"/>
      <c r="BX161" s="28"/>
      <c r="BY161" s="28"/>
      <c r="BZ161" s="28"/>
      <c r="CA161" s="313"/>
      <c r="CB161" s="28"/>
      <c r="CC161" s="28"/>
      <c r="CD161" s="28"/>
      <c r="CE161" s="28"/>
      <c r="CF161" s="313"/>
      <c r="CG161" s="28"/>
      <c r="CH161" s="28"/>
      <c r="CI161" s="28"/>
      <c r="CJ161" s="28"/>
      <c r="CK161" s="313"/>
      <c r="CL161" s="961"/>
      <c r="CM161" s="933"/>
      <c r="CN161" s="28"/>
      <c r="CO161" s="28"/>
      <c r="CP161" s="313"/>
      <c r="CQ161" s="933"/>
      <c r="CR161" s="933"/>
      <c r="CS161" s="933"/>
      <c r="CT161" s="933"/>
      <c r="CU161" s="313"/>
      <c r="CV161" s="933"/>
      <c r="CW161" s="933"/>
      <c r="CX161" s="933"/>
      <c r="CY161" s="933"/>
      <c r="CZ161" s="313"/>
      <c r="DA161" s="933"/>
      <c r="DB161" s="31"/>
      <c r="DC161" s="31"/>
      <c r="DD161" s="955"/>
      <c r="DE161" s="477"/>
      <c r="DF161" s="982"/>
      <c r="DG161" s="603"/>
      <c r="DH161" s="603"/>
      <c r="DI161" s="1798"/>
      <c r="DJ161" s="477"/>
      <c r="DK161" s="1799"/>
      <c r="DL161" s="603"/>
      <c r="DM161" s="603"/>
      <c r="DN161" s="1798"/>
      <c r="DO161" s="477"/>
      <c r="DP161" s="603"/>
      <c r="DQ161" s="603"/>
      <c r="DR161" s="603"/>
      <c r="DS161" s="1798"/>
      <c r="DT161" s="477"/>
      <c r="DU161" s="603"/>
      <c r="DV161" s="603"/>
      <c r="DW161" s="603"/>
      <c r="DX161" s="1798"/>
      <c r="DY161" s="477"/>
      <c r="DZ161" s="603"/>
      <c r="EA161" s="603"/>
      <c r="EB161" s="603"/>
      <c r="EC161" s="1798"/>
      <c r="ED161" s="477"/>
      <c r="EE161" s="603"/>
      <c r="EF161" s="603"/>
      <c r="EG161" s="603"/>
      <c r="EH161" s="1798"/>
      <c r="EI161" s="477"/>
      <c r="EJ161" s="477"/>
      <c r="EK161" s="1798"/>
      <c r="EL161" s="1798"/>
      <c r="EM161" s="1798"/>
      <c r="EN161" s="1798"/>
      <c r="EO161" s="1798"/>
      <c r="EP161" s="1798"/>
      <c r="EQ161" s="1798"/>
      <c r="ER161" s="1798"/>
      <c r="ES161" s="1798"/>
      <c r="ET161" s="1798"/>
      <c r="EU161" s="1798"/>
      <c r="EV161" s="1798"/>
      <c r="EW161" s="1798"/>
      <c r="EX161" s="1798"/>
    </row>
    <row r="162" spans="1:154" ht="12.75" hidden="1" customHeight="1" outlineLevel="1">
      <c r="B162" s="1172" t="s">
        <v>508</v>
      </c>
      <c r="C162" s="1989"/>
      <c r="D162" s="28"/>
      <c r="E162" s="28"/>
      <c r="F162" s="28"/>
      <c r="G162" s="28"/>
      <c r="H162" s="28"/>
      <c r="I162" s="31"/>
      <c r="J162" s="28"/>
      <c r="K162" s="28"/>
      <c r="L162" s="28"/>
      <c r="M162" s="28"/>
      <c r="N162" s="31"/>
      <c r="O162" s="31"/>
      <c r="P162" s="31"/>
      <c r="Q162" s="31"/>
      <c r="R162" s="31"/>
      <c r="S162" s="31"/>
      <c r="T162" s="31"/>
      <c r="U162" s="31"/>
      <c r="V162" s="31"/>
      <c r="W162" s="31"/>
      <c r="X162" s="313"/>
      <c r="Y162" s="31"/>
      <c r="Z162" s="31"/>
      <c r="AA162" s="31"/>
      <c r="AB162" s="31"/>
      <c r="AC162" s="313"/>
      <c r="AD162" s="31"/>
      <c r="AE162" s="31"/>
      <c r="AF162" s="31"/>
      <c r="AG162" s="31"/>
      <c r="AH162" s="313"/>
      <c r="AI162" s="28"/>
      <c r="AJ162" s="28"/>
      <c r="AK162" s="28"/>
      <c r="AL162" s="31"/>
      <c r="AM162" s="313"/>
      <c r="AN162" s="28"/>
      <c r="AO162" s="28"/>
      <c r="AP162" s="28"/>
      <c r="AQ162" s="31"/>
      <c r="AR162" s="313"/>
      <c r="AS162" s="28"/>
      <c r="AT162" s="28"/>
      <c r="AU162" s="28"/>
      <c r="AV162" s="28"/>
      <c r="AW162" s="313"/>
      <c r="AX162" s="28"/>
      <c r="AY162" s="28"/>
      <c r="AZ162" s="28"/>
      <c r="BA162" s="28"/>
      <c r="BB162" s="313"/>
      <c r="BC162" s="28"/>
      <c r="BD162" s="28"/>
      <c r="BE162" s="28"/>
      <c r="BF162" s="28"/>
      <c r="BG162" s="313"/>
      <c r="BH162" s="28"/>
      <c r="BI162" s="28"/>
      <c r="BJ162" s="28"/>
      <c r="BK162" s="28"/>
      <c r="BL162" s="313"/>
      <c r="BM162" s="28"/>
      <c r="BN162" s="28"/>
      <c r="BO162" s="28"/>
      <c r="BP162" s="28"/>
      <c r="BQ162" s="477"/>
      <c r="BR162" s="444"/>
      <c r="BS162" s="444"/>
      <c r="BT162" s="444"/>
      <c r="BU162" s="444"/>
      <c r="BV162" s="477"/>
      <c r="BW162" s="444"/>
      <c r="BX162" s="444"/>
      <c r="BY162" s="444"/>
      <c r="BZ162" s="444"/>
      <c r="CA162" s="313"/>
      <c r="CB162" s="444"/>
      <c r="CC162" s="444"/>
      <c r="CD162" s="444"/>
      <c r="CE162" s="444"/>
      <c r="CF162" s="313"/>
      <c r="CG162" s="444"/>
      <c r="CH162" s="444"/>
      <c r="CI162" s="444"/>
      <c r="CJ162" s="444"/>
      <c r="CK162" s="313"/>
      <c r="CL162" s="981"/>
      <c r="CM162" s="982"/>
      <c r="CN162" s="444"/>
      <c r="CO162" s="444"/>
      <c r="CP162" s="313"/>
      <c r="CQ162" s="982"/>
      <c r="CR162" s="982"/>
      <c r="CS162" s="982"/>
      <c r="CT162" s="982"/>
      <c r="CU162" s="313"/>
      <c r="CV162" s="982"/>
      <c r="CW162" s="982"/>
      <c r="CX162" s="982"/>
      <c r="CY162" s="982"/>
      <c r="CZ162" s="313"/>
      <c r="DA162" s="982"/>
      <c r="DB162" s="31"/>
      <c r="DC162" s="31"/>
      <c r="DD162" s="955"/>
      <c r="DE162" s="477"/>
      <c r="DF162" s="982"/>
      <c r="DG162" s="603"/>
      <c r="DH162" s="603"/>
      <c r="DI162" s="1798"/>
      <c r="DJ162" s="477"/>
      <c r="DK162" s="1799"/>
      <c r="DL162" s="603"/>
      <c r="DM162" s="603"/>
      <c r="DN162" s="1798"/>
      <c r="DO162" s="477"/>
      <c r="DP162" s="603"/>
      <c r="DQ162" s="603"/>
      <c r="DR162" s="603"/>
      <c r="DS162" s="1798"/>
      <c r="DT162" s="477"/>
      <c r="DU162" s="603"/>
      <c r="DV162" s="603"/>
      <c r="DW162" s="603"/>
      <c r="DX162" s="1798"/>
      <c r="DY162" s="477"/>
      <c r="DZ162" s="603"/>
      <c r="EA162" s="603"/>
      <c r="EB162" s="603"/>
      <c r="EC162" s="1798"/>
      <c r="ED162" s="477"/>
      <c r="EE162" s="603"/>
      <c r="EF162" s="603"/>
      <c r="EG162" s="603"/>
      <c r="EH162" s="1798"/>
      <c r="EI162" s="477"/>
      <c r="EJ162" s="477"/>
      <c r="EK162" s="1798"/>
      <c r="EL162" s="1798"/>
      <c r="EM162" s="1798"/>
      <c r="EN162" s="1798"/>
      <c r="EO162" s="1798"/>
      <c r="EP162" s="1798"/>
      <c r="EQ162" s="1798"/>
      <c r="ER162" s="1798"/>
      <c r="ES162" s="1798"/>
      <c r="ET162" s="1798"/>
      <c r="EU162" s="1798"/>
      <c r="EV162" s="1798"/>
      <c r="EW162" s="1798"/>
      <c r="EX162" s="1798"/>
    </row>
    <row r="163" spans="1:154" ht="12.75" hidden="1" customHeight="1" outlineLevel="1">
      <c r="B163" s="912" t="s">
        <v>187</v>
      </c>
      <c r="C163" s="1989"/>
      <c r="D163" s="28"/>
      <c r="E163" s="28"/>
      <c r="F163" s="28"/>
      <c r="G163" s="28"/>
      <c r="H163" s="28"/>
      <c r="I163" s="31"/>
      <c r="J163" s="28"/>
      <c r="K163" s="28"/>
      <c r="L163" s="28"/>
      <c r="M163" s="28"/>
      <c r="N163" s="31"/>
      <c r="O163" s="31"/>
      <c r="P163" s="31"/>
      <c r="Q163" s="31"/>
      <c r="R163" s="31"/>
      <c r="S163" s="31"/>
      <c r="T163" s="31"/>
      <c r="U163" s="31"/>
      <c r="V163" s="31"/>
      <c r="W163" s="31"/>
      <c r="X163" s="308"/>
      <c r="Y163" s="31"/>
      <c r="Z163" s="31"/>
      <c r="AA163" s="31"/>
      <c r="AB163" s="31"/>
      <c r="AC163" s="308"/>
      <c r="AD163" s="31"/>
      <c r="AE163" s="31"/>
      <c r="AF163" s="31"/>
      <c r="AG163" s="31"/>
      <c r="AH163" s="308"/>
      <c r="AI163" s="28"/>
      <c r="AJ163" s="28"/>
      <c r="AK163" s="28"/>
      <c r="AL163" s="31"/>
      <c r="AM163" s="308"/>
      <c r="AN163" s="28"/>
      <c r="AO163" s="28"/>
      <c r="AP163" s="28"/>
      <c r="AQ163" s="31"/>
      <c r="AR163" s="308"/>
      <c r="AS163" s="28"/>
      <c r="AT163" s="28"/>
      <c r="AU163" s="28"/>
      <c r="AV163" s="28"/>
      <c r="AW163" s="308"/>
      <c r="AX163" s="30"/>
      <c r="AY163" s="30"/>
      <c r="AZ163" s="30"/>
      <c r="BA163" s="30"/>
      <c r="BB163" s="308"/>
      <c r="BC163" s="30"/>
      <c r="BD163" s="30"/>
      <c r="BE163" s="30"/>
      <c r="BF163" s="30"/>
      <c r="BG163" s="308"/>
      <c r="BH163" s="30"/>
      <c r="BI163" s="30"/>
      <c r="BJ163" s="30"/>
      <c r="BK163" s="30"/>
      <c r="BL163" s="308"/>
      <c r="BM163" s="30"/>
      <c r="BN163" s="30"/>
      <c r="BO163" s="30"/>
      <c r="BP163" s="30"/>
      <c r="BQ163" s="308" t="str">
        <f>IF(BL158="NM","NM",IF(BQ158="NM","NM",IF(BL158&lt;=0,"NM",IF(BQ158=0,"NM",IF(ABS(BQ158/BL158-1)&gt;2.5,"NM",IF((ABS(BQ158-BL158)=ABS(ABS(BQ158)-ABS(BL158))),(BQ158/BL158-1),"NM"))))))</f>
      </c>
      <c r="BR163" s="30"/>
      <c r="BS163" s="30"/>
      <c r="BT163" s="30"/>
      <c r="BU163" s="30"/>
      <c r="BV163" s="308" t="str">
        <f>IF(BQ158="NM","NM",IF(BV158="NM","NM",IF(BQ158&lt;=0,"NM",IF(BV158=0,"NM",IF(ABS(BV158/BQ158-1)&gt;2.5,"NM",IF((ABS(BV158-BQ158)=ABS(ABS(BV158)-ABS(BQ158))),(BV158/BQ158-1),"NM"))))))</f>
      </c>
      <c r="BW163" s="30" t="str">
        <f t="shared" ref="BW163:BY164" si="369">IF(BR158="NM","NM",IF(BW158="NM","NM",IF(BR158&lt;=0,"NM",IF(BW158=0,"NM",IF(ABS(BW158/BR158-1)&gt;2.5,"NM",IF((ABS(BW158-BR158)=ABS(ABS(BW158)-ABS(BR158))),(BW158/BR158-1),"NM"))))))</f>
      </c>
      <c r="BX163" s="30" t="str">
        <f t="shared" si="369"/>
      </c>
      <c r="BY163" s="30" t="str">
        <f t="shared" si="369"/>
      </c>
      <c r="BZ163" s="30" t="s">
        <v>463</v>
      </c>
      <c r="CA163" s="308" t="str">
        <f>IF(BV158="NM","NM",IF(CA158="NM","0",IF(BV158&lt;=0,"0",IF(CA158=0,"NM",IF(ABS(CA158/BV158-1)&gt;2.5,"NM",IF((ABS(CA158-BV158)=ABS(ABS(CA158)-ABS(BV158))),(CA158/BV158-1),"NM"))))))</f>
      </c>
      <c r="CB163" s="30" t="str">
        <f t="shared" ref="CB163:CD164" si="370">IF(BW158="NM","NM",IF(CB158="NM","NM",IF(BW158&lt;=0,"NM",IF(CB158=0,"NM",IF(ABS(CB158/BW158-1)&gt;2.5,"NM",IF((ABS(CB158-BW158)=ABS(ABS(CB158)-ABS(BW158))),(CB158/BW158-1),"NM"))))))</f>
      </c>
      <c r="CC163" s="30" t="str">
        <f t="shared" si="370"/>
      </c>
      <c r="CD163" s="30" t="str">
        <f t="shared" si="370"/>
      </c>
      <c r="CE163" s="30" t="s">
        <v>463</v>
      </c>
      <c r="CF163" s="308">
        <f>IF(CA158=0, 0, CF158/CA158-1)</f>
      </c>
      <c r="CG163" s="30" t="str">
        <f t="shared" ref="CG163:CO164" si="371">IF(CB158="NM","NM",IF(CG158="NM","NM",IF(CB158&lt;=0,"NM",IF(CG158=0,"NM",IF(ABS(CG158/CB158-1)&gt;2.5,"NM",IF((ABS(CG158-CB158)=ABS(ABS(CG158)-ABS(CB158))),(CG158/CB158-1),"NM"))))))</f>
      </c>
      <c r="CH163" s="30" t="str">
        <f t="shared" si="371"/>
      </c>
      <c r="CI163" s="30" t="str">
        <f t="shared" si="371"/>
      </c>
      <c r="CJ163" s="30" t="str">
        <f t="shared" si="371"/>
      </c>
      <c r="CK163" s="308">
        <f>IF(CF158=0, 0, CK158/CF158-1)</f>
      </c>
      <c r="CL163" s="30" t="str">
        <f t="shared" si="371"/>
      </c>
      <c r="CM163" s="30" t="str">
        <f t="shared" si="371"/>
      </c>
      <c r="CN163" s="30" t="str">
        <f t="shared" si="371"/>
      </c>
      <c r="CO163" s="30" t="str">
        <f t="shared" si="371"/>
      </c>
      <c r="CP163" s="308">
        <f>IF(CK158=0, 0, CP158/CK158-1)</f>
      </c>
      <c r="CQ163" s="30"/>
      <c r="CR163" s="30"/>
      <c r="CS163" s="29"/>
      <c r="CT163" s="29"/>
      <c r="CU163" s="308"/>
      <c r="CV163" s="30"/>
      <c r="CW163" s="29"/>
      <c r="CX163" s="29"/>
      <c r="CY163" s="29"/>
      <c r="CZ163" s="308"/>
      <c r="DA163" s="30"/>
      <c r="DB163" s="361"/>
      <c r="DC163" s="361"/>
      <c r="DD163" s="835"/>
      <c r="DE163" s="448"/>
      <c r="DF163" s="30"/>
      <c r="DG163" s="361"/>
      <c r="DH163" s="361"/>
      <c r="DI163" s="835"/>
      <c r="DJ163" s="448"/>
      <c r="DK163" s="1486"/>
      <c r="DL163" s="361"/>
      <c r="DM163" s="361"/>
      <c r="DN163" s="1482"/>
      <c r="DO163" s="448"/>
      <c r="DP163" s="361"/>
      <c r="DQ163" s="361"/>
      <c r="DR163" s="361"/>
      <c r="DS163" s="1482"/>
      <c r="DT163" s="448"/>
      <c r="DU163" s="361"/>
      <c r="DV163" s="361"/>
      <c r="DW163" s="361"/>
      <c r="DX163" s="1482"/>
      <c r="DY163" s="448"/>
      <c r="DZ163" s="361"/>
      <c r="EA163" s="361"/>
      <c r="EB163" s="361"/>
      <c r="EC163" s="1482"/>
      <c r="ED163" s="448"/>
      <c r="EE163" s="361"/>
      <c r="EF163" s="361"/>
      <c r="EG163" s="361"/>
      <c r="EH163" s="1482"/>
      <c r="EI163" s="448"/>
      <c r="EJ163" s="448"/>
      <c r="EK163" s="1482"/>
      <c r="EL163" s="1482"/>
      <c r="EM163" s="1482"/>
      <c r="EN163" s="1482"/>
      <c r="EO163" s="1482"/>
      <c r="EP163" s="1482"/>
      <c r="EQ163" s="1482"/>
      <c r="ER163" s="1482"/>
      <c r="ES163" s="1482"/>
      <c r="ET163" s="1482"/>
      <c r="EU163" s="1482"/>
      <c r="EV163" s="1482"/>
      <c r="EW163" s="1482"/>
      <c r="EX163" s="1482"/>
    </row>
    <row r="164" spans="1:154" ht="12.75" hidden="1" customHeight="1" outlineLevel="1">
      <c r="B164" s="912" t="s">
        <v>412</v>
      </c>
      <c r="C164" s="1989"/>
      <c r="D164" s="28"/>
      <c r="E164" s="28"/>
      <c r="F164" s="28"/>
      <c r="G164" s="28"/>
      <c r="H164" s="28"/>
      <c r="I164" s="31"/>
      <c r="J164" s="28"/>
      <c r="K164" s="28"/>
      <c r="L164" s="28"/>
      <c r="M164" s="28"/>
      <c r="N164" s="31"/>
      <c r="O164" s="31"/>
      <c r="P164" s="31"/>
      <c r="Q164" s="31"/>
      <c r="R164" s="31"/>
      <c r="S164" s="31"/>
      <c r="T164" s="31"/>
      <c r="U164" s="31"/>
      <c r="V164" s="31"/>
      <c r="W164" s="31"/>
      <c r="X164" s="308"/>
      <c r="Y164" s="31"/>
      <c r="Z164" s="31"/>
      <c r="AA164" s="31"/>
      <c r="AB164" s="31"/>
      <c r="AC164" s="308"/>
      <c r="AD164" s="31"/>
      <c r="AE164" s="31"/>
      <c r="AF164" s="31"/>
      <c r="AG164" s="31"/>
      <c r="AH164" s="308"/>
      <c r="AI164" s="28"/>
      <c r="AJ164" s="28"/>
      <c r="AK164" s="28"/>
      <c r="AL164" s="31"/>
      <c r="AM164" s="308"/>
      <c r="AN164" s="28"/>
      <c r="AO164" s="28"/>
      <c r="AP164" s="28"/>
      <c r="AQ164" s="31"/>
      <c r="AR164" s="308"/>
      <c r="AS164" s="28"/>
      <c r="AT164" s="28"/>
      <c r="AU164" s="28"/>
      <c r="AV164" s="28"/>
      <c r="AW164" s="308"/>
      <c r="AX164" s="30"/>
      <c r="AY164" s="30"/>
      <c r="AZ164" s="30"/>
      <c r="BA164" s="30"/>
      <c r="BB164" s="308"/>
      <c r="BC164" s="30"/>
      <c r="BD164" s="30"/>
      <c r="BE164" s="30"/>
      <c r="BF164" s="30"/>
      <c r="BG164" s="308"/>
      <c r="BH164" s="30"/>
      <c r="BI164" s="30"/>
      <c r="BJ164" s="30"/>
      <c r="BK164" s="30"/>
      <c r="BL164" s="308"/>
      <c r="BM164" s="30"/>
      <c r="BN164" s="30"/>
      <c r="BO164" s="30"/>
      <c r="BP164" s="30"/>
      <c r="BQ164" s="308" t="str">
        <f>IF(BL159="NM","NM",IF(BQ159="NM","NM",IF(BL159&lt;=0,"NM",IF(BQ159=0,"NM",IF(ABS(BQ159/BL159-1)&gt;2.5,"NM",IF((ABS(BQ159-BL159)=ABS(ABS(BQ159)-ABS(BL159))),(BQ159/BL159-1),"NM"))))))</f>
      </c>
      <c r="BR164" s="30"/>
      <c r="BS164" s="30"/>
      <c r="BT164" s="30"/>
      <c r="BU164" s="30">
        <f>BU159/BP159-1</f>
      </c>
      <c r="BV164" s="308" t="str">
        <f>IF(BQ159="NM","NM",IF(BV159="NM","NM",IF(BQ159&lt;=0,"NM",IF(BV159=0,"NM",IF(ABS(BV159/BQ159-1)&gt;2.5,"NM",IF((ABS(BV159-BQ159)=ABS(ABS(BV159)-ABS(BQ159))),(BV159/BQ159-1),"NM"))))))</f>
      </c>
      <c r="BW164" s="30">
        <f t="shared" si="369"/>
      </c>
      <c r="BX164" s="30">
        <f t="shared" si="369"/>
      </c>
      <c r="BY164" s="30">
        <f t="shared" si="369"/>
      </c>
      <c r="BZ164" s="30">
        <f>BZ159/BU159-1</f>
      </c>
      <c r="CA164" s="308">
        <f>IF(BV159="NM","NM",IF(CA159="NM","NM",IF(BV159&lt;=0,"NM",IF(CA159=0,"NM",IF(ABS(CA159/BV159-1)&gt;2.5,"NM",IF((ABS(CA159-BV159)=ABS(ABS(CA159)-ABS(BV159))),(CA159/BV159-1),"NM"))))))</f>
      </c>
      <c r="CB164" s="30">
        <f t="shared" si="370"/>
      </c>
      <c r="CC164" s="30">
        <f t="shared" si="370"/>
      </c>
      <c r="CD164" s="30">
        <f t="shared" si="370"/>
      </c>
      <c r="CE164" s="30">
        <f>CE159/BZ159-1</f>
      </c>
      <c r="CF164" s="308">
        <f>IF(CA159=0, "NA", CF159/CA159-1)</f>
      </c>
      <c r="CG164" s="30">
        <f t="shared" si="371"/>
      </c>
      <c r="CH164" s="30">
        <f t="shared" si="371"/>
      </c>
      <c r="CI164" s="30">
        <f t="shared" si="371"/>
      </c>
      <c r="CJ164" s="30" t="str">
        <f t="shared" si="371"/>
      </c>
      <c r="CK164" s="308">
        <f>IF(CF159=0, "NA", CK159/CF159-1)</f>
      </c>
      <c r="CL164" s="30">
        <f t="shared" si="371"/>
      </c>
      <c r="CM164" s="30">
        <f t="shared" si="371"/>
      </c>
      <c r="CN164" s="30" t="str">
        <f t="shared" si="371"/>
      </c>
      <c r="CO164" s="30" t="str">
        <f t="shared" si="371"/>
      </c>
      <c r="CP164" s="308">
        <f>IF(CK159=0, "NA", CP159/CK159-1)</f>
      </c>
      <c r="CQ164" s="30"/>
      <c r="CR164" s="30"/>
      <c r="CS164" s="926"/>
      <c r="CT164" s="926"/>
      <c r="CU164" s="308"/>
      <c r="CV164" s="30"/>
      <c r="CW164" s="926"/>
      <c r="CX164" s="926"/>
      <c r="CY164" s="926"/>
      <c r="CZ164" s="308"/>
      <c r="DA164" s="30"/>
      <c r="DB164" s="959"/>
      <c r="DC164" s="959"/>
      <c r="DD164" s="960"/>
      <c r="DE164" s="308"/>
      <c r="DF164" s="30"/>
      <c r="DG164" s="926"/>
      <c r="DH164" s="926"/>
      <c r="DI164" s="928"/>
      <c r="DJ164" s="308"/>
      <c r="DK164" s="830"/>
      <c r="DL164" s="926"/>
      <c r="DM164" s="926"/>
      <c r="DN164" s="409"/>
      <c r="DO164" s="308"/>
      <c r="DP164" s="926"/>
      <c r="DQ164" s="926"/>
      <c r="DR164" s="926"/>
      <c r="DS164" s="409"/>
      <c r="DT164" s="308"/>
      <c r="DU164" s="926"/>
      <c r="DV164" s="926"/>
      <c r="DW164" s="926"/>
      <c r="DX164" s="928"/>
      <c r="DY164" s="308"/>
      <c r="DZ164" s="926"/>
      <c r="EA164" s="926"/>
      <c r="EB164" s="926"/>
      <c r="EC164" s="928"/>
      <c r="ED164" s="1060"/>
      <c r="EE164" s="926"/>
      <c r="EF164" s="926"/>
      <c r="EG164" s="926"/>
      <c r="EH164" s="928"/>
      <c r="EI164" s="308"/>
      <c r="EJ164" s="308"/>
      <c r="EK164" s="409"/>
      <c r="EL164" s="409"/>
      <c r="EM164" s="409"/>
      <c r="EN164" s="409"/>
      <c r="EO164" s="409"/>
      <c r="EP164" s="409"/>
      <c r="EQ164" s="409"/>
      <c r="ER164" s="409"/>
      <c r="ES164" s="409"/>
      <c r="ET164" s="409"/>
      <c r="EU164" s="409"/>
      <c r="EV164" s="409"/>
      <c r="EW164" s="409"/>
      <c r="EX164" s="409"/>
    </row>
    <row r="165" spans="1:154" ht="12.75" hidden="1" customHeight="1" outlineLevel="1">
      <c r="B165" s="912" t="s">
        <v>256</v>
      </c>
      <c r="C165" s="1989"/>
      <c r="D165" s="28"/>
      <c r="E165" s="28"/>
      <c r="F165" s="28"/>
      <c r="G165" s="28"/>
      <c r="H165" s="28"/>
      <c r="I165" s="31"/>
      <c r="J165" s="28"/>
      <c r="K165" s="28"/>
      <c r="L165" s="28"/>
      <c r="M165" s="28"/>
      <c r="N165" s="31"/>
      <c r="O165" s="31"/>
      <c r="P165" s="31"/>
      <c r="Q165" s="31"/>
      <c r="R165" s="31"/>
      <c r="S165" s="31"/>
      <c r="T165" s="31"/>
      <c r="U165" s="31"/>
      <c r="V165" s="31"/>
      <c r="W165" s="31"/>
      <c r="X165" s="315"/>
      <c r="Y165" s="31"/>
      <c r="Z165" s="31"/>
      <c r="AA165" s="31"/>
      <c r="AB165" s="31"/>
      <c r="AC165" s="315"/>
      <c r="AD165" s="31"/>
      <c r="AE165" s="31"/>
      <c r="AF165" s="31"/>
      <c r="AG165" s="31"/>
      <c r="AH165" s="315"/>
      <c r="AI165" s="28"/>
      <c r="AJ165" s="28"/>
      <c r="AK165" s="28"/>
      <c r="AL165" s="31"/>
      <c r="AM165" s="315"/>
      <c r="AN165" s="28"/>
      <c r="AO165" s="28"/>
      <c r="AP165" s="28"/>
      <c r="AQ165" s="31"/>
      <c r="AR165" s="315"/>
      <c r="AS165" s="28"/>
      <c r="AT165" s="28"/>
      <c r="AU165" s="28"/>
      <c r="AV165" s="28"/>
      <c r="AW165" s="315"/>
      <c r="AX165" s="1"/>
      <c r="AY165" s="1"/>
      <c r="AZ165" s="1"/>
      <c r="BA165" s="8"/>
      <c r="BB165" s="315"/>
      <c r="BC165" s="8"/>
      <c r="BD165" s="8"/>
      <c r="BE165" s="8"/>
      <c r="BF165" s="8"/>
      <c r="BG165" s="315"/>
      <c r="BH165" s="8"/>
      <c r="BI165" s="8"/>
      <c r="BJ165" s="8"/>
      <c r="BK165" s="8"/>
      <c r="BL165" s="315"/>
      <c r="BM165" s="8"/>
      <c r="BN165" s="8"/>
      <c r="BO165" s="8"/>
      <c r="BP165" s="8"/>
      <c r="BQ165" s="308" t="str">
        <f>IF(ISNUMBER(BQ164),(1+BQ164)/(1+BQ$21)-1,"NM")</f>
      </c>
      <c r="BR165" s="30"/>
      <c r="BS165" s="30"/>
      <c r="BT165" s="30"/>
      <c r="BU165" s="30">
        <f t="shared" ref="BU165:CE165" si="372">IF(ISNUMBER(BU164),(1+BU164)/(1+BU$21)-1,"NM")</f>
      </c>
      <c r="BV165" s="308" t="str">
        <f t="shared" si="372"/>
      </c>
      <c r="BW165" s="30">
        <f t="shared" si="372"/>
      </c>
      <c r="BX165" s="30">
        <f t="shared" si="372"/>
      </c>
      <c r="BY165" s="30">
        <f t="shared" si="372"/>
      </c>
      <c r="BZ165" s="837">
        <f t="shared" si="372"/>
      </c>
      <c r="CA165" s="315">
        <f t="shared" si="372"/>
      </c>
      <c r="CB165" s="30">
        <f t="shared" si="372"/>
      </c>
      <c r="CC165" s="30">
        <f t="shared" si="372"/>
      </c>
      <c r="CD165" s="30">
        <f t="shared" si="372"/>
      </c>
      <c r="CE165" s="837">
        <f t="shared" si="372"/>
      </c>
      <c r="CF165" s="309">
        <f>CF164-CF$21</f>
      </c>
      <c r="CG165" s="30">
        <f>IF(ISNUMBER(CG164),(1+CG164)/(1+CG$21)-1,"NM")</f>
      </c>
      <c r="CH165" s="30">
        <f>IF(ISNUMBER(CH164),(1+CH164)/(1+CH$21)-1,"NM")</f>
      </c>
      <c r="CI165" s="30">
        <f>IF(ISNUMBER(CI164),(1+CI164)/(1+CI$21)-1,"NM")</f>
      </c>
      <c r="CJ165" s="30" t="str">
        <f>IF(ISNUMBER(CJ164),(1+CJ164)/(1+CJ$21)-1,"NM")</f>
      </c>
      <c r="CK165" s="309">
        <f>CK164-CK$21</f>
      </c>
      <c r="CL165" s="30">
        <f>IF(ISNUMBER(CL164),(1+CL164)/(1+CL$21)-1,"NM")</f>
      </c>
      <c r="CM165" s="30">
        <f>IF(ISNUMBER(CM164),(1+CM164)/(1+CM$21)-1,"NM")</f>
      </c>
      <c r="CN165" s="30" t="str">
        <f>IF(ISNUMBER(CN164),(1+CN164)/(1+CN$21)-1,"NM")</f>
      </c>
      <c r="CO165" s="30" t="str">
        <f>IF(ISNUMBER(CO164),(1+CO164)/(1+CO$21)-1,"NM")</f>
      </c>
      <c r="CP165" s="309">
        <f>CP164-CP$21</f>
      </c>
      <c r="CQ165" s="30"/>
      <c r="CR165" s="30"/>
      <c r="CS165" s="361"/>
      <c r="CT165" s="361"/>
      <c r="CU165" s="309"/>
      <c r="CV165" s="30"/>
      <c r="CW165" s="361"/>
      <c r="CX165" s="361"/>
      <c r="CY165" s="361"/>
      <c r="CZ165" s="309"/>
      <c r="DA165" s="30"/>
      <c r="DB165" s="361"/>
      <c r="DC165" s="361"/>
      <c r="DD165" s="835"/>
      <c r="DE165" s="316"/>
      <c r="DF165" s="30"/>
      <c r="DG165" s="361"/>
      <c r="DH165" s="361"/>
      <c r="DI165" s="835"/>
      <c r="DJ165" s="835"/>
      <c r="DK165" s="361"/>
      <c r="DL165" s="361"/>
      <c r="DM165" s="361"/>
      <c r="DN165" s="835"/>
      <c r="DO165" s="835"/>
      <c r="DP165" s="361"/>
      <c r="DQ165" s="361"/>
      <c r="DR165" s="361"/>
      <c r="DS165" s="835"/>
      <c r="DT165" s="835"/>
      <c r="DU165" s="361"/>
      <c r="DV165" s="361"/>
      <c r="DW165" s="361"/>
      <c r="DX165" s="835"/>
      <c r="DY165" s="835"/>
      <c r="DZ165" s="361"/>
      <c r="EA165" s="361"/>
      <c r="EB165" s="361"/>
      <c r="EC165" s="835"/>
      <c r="ED165" s="835"/>
      <c r="EE165" s="361"/>
      <c r="EF165" s="361"/>
      <c r="EG165" s="361"/>
      <c r="EH165" s="835"/>
      <c r="EI165" s="835"/>
      <c r="EJ165" s="316"/>
      <c r="EK165" s="835"/>
      <c r="EL165" s="835"/>
      <c r="EM165" s="835"/>
      <c r="EN165" s="835"/>
      <c r="EO165" s="835"/>
      <c r="EP165" s="835"/>
      <c r="EQ165" s="835"/>
      <c r="ER165" s="835"/>
      <c r="ES165" s="835"/>
      <c r="ET165" s="835"/>
      <c r="EU165" s="835"/>
      <c r="EV165" s="835"/>
      <c r="EW165" s="835"/>
      <c r="EX165" s="835"/>
    </row>
    <row r="166" spans="1:154" ht="12.75" hidden="1" customHeight="1" outlineLevel="1">
      <c r="B166" s="912" t="s">
        <v>413</v>
      </c>
      <c r="C166" s="1989"/>
      <c r="D166" s="28"/>
      <c r="E166" s="28"/>
      <c r="F166" s="28"/>
      <c r="G166" s="28"/>
      <c r="H166" s="28"/>
      <c r="I166" s="31"/>
      <c r="J166" s="28"/>
      <c r="K166" s="28"/>
      <c r="L166" s="28"/>
      <c r="M166" s="28"/>
      <c r="N166" s="31"/>
      <c r="O166" s="31"/>
      <c r="P166" s="31"/>
      <c r="Q166" s="31"/>
      <c r="R166" s="31"/>
      <c r="S166" s="31"/>
      <c r="T166" s="31"/>
      <c r="U166" s="31"/>
      <c r="V166" s="31"/>
      <c r="W166" s="31"/>
      <c r="X166" s="308"/>
      <c r="Y166" s="31"/>
      <c r="Z166" s="31"/>
      <c r="AA166" s="31"/>
      <c r="AB166" s="31"/>
      <c r="AC166" s="308"/>
      <c r="AD166" s="31"/>
      <c r="AE166" s="31"/>
      <c r="AF166" s="31"/>
      <c r="AG166" s="31"/>
      <c r="AH166" s="308"/>
      <c r="AI166" s="28"/>
      <c r="AJ166" s="28"/>
      <c r="AK166" s="28"/>
      <c r="AL166" s="31"/>
      <c r="AM166" s="308"/>
      <c r="AN166" s="28"/>
      <c r="AO166" s="28"/>
      <c r="AP166" s="28"/>
      <c r="AQ166" s="31"/>
      <c r="AR166" s="308"/>
      <c r="AS166" s="28"/>
      <c r="AT166" s="28"/>
      <c r="AU166" s="28"/>
      <c r="AV166" s="28"/>
      <c r="AW166" s="308"/>
      <c r="AX166" s="30"/>
      <c r="AY166" s="30"/>
      <c r="AZ166" s="30"/>
      <c r="BA166" s="30"/>
      <c r="BB166" s="308"/>
      <c r="BC166" s="30"/>
      <c r="BD166" s="30"/>
      <c r="BE166" s="30"/>
      <c r="BF166" s="30"/>
      <c r="BG166" s="308"/>
      <c r="BH166" s="30"/>
      <c r="BI166" s="30"/>
      <c r="BJ166" s="30"/>
      <c r="BK166" s="30"/>
      <c r="BL166" s="308"/>
      <c r="BM166" s="30"/>
      <c r="BN166" s="30"/>
      <c r="BO166" s="30"/>
      <c r="BP166" s="30"/>
      <c r="BQ166" s="308" t="str">
        <f>IF(BL160="NM","NM",IF(BQ160="NM","NM",IF(BL160&lt;=0,"NM",IF(BQ160=0,"NM",IF(ABS(BQ160/BL160-1)&gt;2.5,"NM",IF((ABS(BQ160-BL160)=ABS(ABS(BQ160)-ABS(BL160))),(BQ160/BL160-1),"NM"))))))</f>
      </c>
      <c r="BR166" s="30"/>
      <c r="BS166" s="30"/>
      <c r="BT166" s="30"/>
      <c r="BU166" s="30">
        <f t="shared" ref="BU166:CA166" si="373">IF(BP160="NM","NM",IF(BU160="NM","NM",IF(BP160&lt;=0,"NM",IF(BU160=0,"NM",IF(ABS(BU160/BP160-1)&gt;2.5,"NM",IF((ABS(BU160-BP160)=ABS(ABS(BU160)-ABS(BP160))),(BU160/BP160-1),"NM"))))))</f>
      </c>
      <c r="BV166" s="308" t="str">
        <f t="shared" si="373"/>
      </c>
      <c r="BW166" s="30">
        <f t="shared" si="373"/>
      </c>
      <c r="BX166" s="30">
        <f t="shared" si="373"/>
      </c>
      <c r="BY166" s="30">
        <f t="shared" si="373"/>
      </c>
      <c r="BZ166" s="30">
        <f t="shared" si="373"/>
      </c>
      <c r="CA166" s="308">
        <f t="shared" si="373"/>
      </c>
      <c r="CB166" s="30">
        <f>IF(BW160="NM","NM",IF(CB160="NM","NM",IF(BW160&lt;=0,"NM",IF(CB160=0,"NM",IF(ABS(CB160/BW160-1)&gt;2.5,"NM",IF((ABS(CB160-BW160)=ABS(ABS(CB160)-ABS(BW160))),(CB160/BW160-1),"NM"))))))</f>
      </c>
      <c r="CC166" s="30">
        <f>IF(BX160="NM","NM",IF(CC160="NM","NM",IF(BX160&lt;=0,"NM",IF(CC160=0,"NM",IF(ABS(CC160/BX160-1)&gt;2.5,"NM",IF((ABS(CC160-BX160)=ABS(ABS(CC160)-ABS(BX160))),(CC160/BX160-1),"NM"))))))</f>
      </c>
      <c r="CD166" s="30">
        <f>IF(BY160="NM","NM",IF(CD160="NM","NM",IF(BY160&lt;=0,"NM",IF(CD160=0,"NM",IF(ABS(CD160/BY160-1)&gt;2.5,"NM",IF((ABS(CD160-BY160)=ABS(ABS(CD160)-ABS(BY160))),(CD160/BY160-1),"NM"))))))</f>
      </c>
      <c r="CE166" s="30">
        <f>IF(BZ160="NM","NM",IF(CE160="NM","NM",IF(BZ160&lt;=0,"NM",IF(CE160=0,"NM",IF(ABS(CE160/BZ160-1)&gt;2.5,"NM",IF((ABS(CE160-BZ160)=ABS(ABS(CE160)-ABS(BZ160))),(CE160/BZ160-1),"NM"))))))</f>
      </c>
      <c r="CF166" s="308">
        <f>IF(CA160=0, "NA", CF160/CA160-1)</f>
      </c>
      <c r="CG166" s="30">
        <f>IF(CB160="NM","NM",IF(CG160="NM","NM",IF(CB160&lt;=0,"NM",IF(CG160=0,"NM",IF(ABS(CG160/CB160-1)&gt;2.5,"NM",IF((ABS(CG160-CB160)=ABS(ABS(CG160)-ABS(CB160))),(CG160/CB160-1),"NM"))))))</f>
      </c>
      <c r="CH166" s="30">
        <f>IF(CC160="NM","NM",IF(CH160="NM","NM",IF(CC160&lt;=0,"NM",IF(CH160=0,"NM",IF(ABS(CH160/CC160-1)&gt;2.5,"NM",IF((ABS(CH160-CC160)=ABS(ABS(CH160)-ABS(CC160))),(CH160/CC160-1),"NM"))))))</f>
      </c>
      <c r="CI166" s="30">
        <f>IF(CD160="NM","NM",IF(CI160="NM","NM",IF(CD160&lt;=0,"NM",IF(CI160=0,"NM",IF(ABS(CI160/CD160-1)&gt;2.5,"NM",IF((ABS(CI160-CD160)=ABS(ABS(CI160)-ABS(CD160))),(CI160/CD160-1),"NM"))))))</f>
      </c>
      <c r="CJ166" s="30" t="str">
        <f>IF(CE160="NM","NM",IF(CJ160="NM","NM",IF(CE160&lt;=0,"NM",IF(CJ160=0,"NM",IF(ABS(CJ160/CE160-1)&gt;2.5,"NM",IF((ABS(CJ160-CE160)=ABS(ABS(CJ160)-ABS(CE160))),(CJ160/CE160-1),"NM"))))))</f>
      </c>
      <c r="CK166" s="308">
        <f>IF(CF160=0, "NA", CK160/CF160-1)</f>
      </c>
      <c r="CL166" s="30">
        <f>IF(CG160="NM","NM",IF(CL160="NM","NM",IF(CG160&lt;=0,"NM",IF(CL160=0,"NM",IF(ABS(CL160/CG160-1)&gt;2.5,"NM",IF((ABS(CL160-CG160)=ABS(ABS(CL160)-ABS(CG160))),(CL160/CG160-1),"NM"))))))</f>
      </c>
      <c r="CM166" s="30">
        <f>IF(CH160="NM","NM",IF(CM160="NM","NM",IF(CH160&lt;=0,"NM",IF(CM160=0,"NM",IF(ABS(CM160/CH160-1)&gt;2.5,"NM",IF((ABS(CM160-CH160)=ABS(ABS(CM160)-ABS(CH160))),(CM160/CH160-1),"NM"))))))</f>
      </c>
      <c r="CN166" s="30" t="str">
        <f>IF(CI160="NM","NM",IF(CN160="NM","NM",IF(CI160&lt;=0,"NM",IF(CN160=0,"NM",IF(ABS(CN160/CI160-1)&gt;2.5,"NM",IF((ABS(CN160-CI160)=ABS(ABS(CN160)-ABS(CI160))),(CN160/CI160-1),"NM"))))))</f>
      </c>
      <c r="CO166" s="30" t="str">
        <f>IF(CJ160="NM","NM",IF(CO160="NM","NM",IF(CJ160&lt;=0,"NM",IF(CO160=0,"NM",IF(ABS(CO160/CJ160-1)&gt;2.5,"NM",IF((ABS(CO160-CJ160)=ABS(ABS(CO160)-ABS(CJ160))),(CO160/CJ160-1),"NM"))))))</f>
      </c>
      <c r="CP166" s="308">
        <f>IF(CK160=0, "NA", CP160/CK160-1)</f>
      </c>
      <c r="CQ166" s="30"/>
      <c r="CR166" s="30"/>
      <c r="CS166" s="926"/>
      <c r="CT166" s="926"/>
      <c r="CU166" s="308"/>
      <c r="CV166" s="30"/>
      <c r="CW166" s="926"/>
      <c r="CX166" s="926"/>
      <c r="CY166" s="926"/>
      <c r="CZ166" s="308"/>
      <c r="DA166" s="30"/>
      <c r="DB166" s="926"/>
      <c r="DC166" s="926"/>
      <c r="DD166" s="928"/>
      <c r="DE166" s="308"/>
      <c r="DF166" s="30"/>
      <c r="DG166" s="926"/>
      <c r="DH166" s="926"/>
      <c r="DI166" s="928"/>
      <c r="DJ166" s="308"/>
      <c r="DK166" s="830"/>
      <c r="DL166" s="926"/>
      <c r="DM166" s="926"/>
      <c r="DN166" s="409"/>
      <c r="DO166" s="308"/>
      <c r="DP166" s="926"/>
      <c r="DQ166" s="926"/>
      <c r="DR166" s="926"/>
      <c r="DS166" s="409"/>
      <c r="DT166" s="308"/>
      <c r="DU166" s="926"/>
      <c r="DV166" s="926"/>
      <c r="DW166" s="926"/>
      <c r="DX166" s="928"/>
      <c r="DY166" s="308"/>
      <c r="DZ166" s="926"/>
      <c r="EA166" s="926"/>
      <c r="EB166" s="926"/>
      <c r="EC166" s="928"/>
      <c r="ED166" s="1060"/>
      <c r="EE166" s="926"/>
      <c r="EF166" s="926"/>
      <c r="EG166" s="926"/>
      <c r="EH166" s="928"/>
      <c r="EI166" s="308"/>
      <c r="EJ166" s="308"/>
      <c r="EK166" s="409"/>
      <c r="EL166" s="409"/>
      <c r="EM166" s="409"/>
      <c r="EN166" s="409"/>
      <c r="EO166" s="409"/>
      <c r="EP166" s="409"/>
      <c r="EQ166" s="409"/>
      <c r="ER166" s="409"/>
      <c r="ES166" s="409"/>
      <c r="ET166" s="409"/>
      <c r="EU166" s="409"/>
      <c r="EV166" s="409"/>
      <c r="EW166" s="409"/>
      <c r="EX166" s="409"/>
    </row>
    <row r="167" spans="1:154" ht="12.75" customHeight="1" collapsed="1">
      <c r="B167" s="912"/>
      <c r="C167" s="1989"/>
      <c r="D167" s="28"/>
      <c r="E167" s="28"/>
      <c r="F167" s="28"/>
      <c r="G167" s="28"/>
      <c r="H167" s="28"/>
      <c r="I167" s="31"/>
      <c r="J167" s="28"/>
      <c r="K167" s="28"/>
      <c r="L167" s="28"/>
      <c r="M167" s="28"/>
      <c r="N167" s="31"/>
      <c r="O167" s="31"/>
      <c r="P167" s="31"/>
      <c r="Q167" s="31"/>
      <c r="R167" s="31"/>
      <c r="S167" s="31"/>
      <c r="T167" s="31"/>
      <c r="U167" s="31"/>
      <c r="V167" s="31"/>
      <c r="W167" s="31"/>
      <c r="X167" s="308"/>
      <c r="Y167" s="31"/>
      <c r="Z167" s="31"/>
      <c r="AA167" s="31"/>
      <c r="AB167" s="31"/>
      <c r="AC167" s="308"/>
      <c r="AD167" s="31"/>
      <c r="AE167" s="31"/>
      <c r="AF167" s="31"/>
      <c r="AG167" s="31"/>
      <c r="AH167" s="308"/>
      <c r="AI167" s="28"/>
      <c r="AJ167" s="28"/>
      <c r="AK167" s="28"/>
      <c r="AL167" s="31"/>
      <c r="AM167" s="308"/>
      <c r="AN167" s="28"/>
      <c r="AO167" s="28"/>
      <c r="AP167" s="28"/>
      <c r="AQ167" s="31"/>
      <c r="AR167" s="308"/>
      <c r="AS167" s="28"/>
      <c r="AT167" s="28"/>
      <c r="AU167" s="28"/>
      <c r="AV167" s="28"/>
      <c r="AW167" s="308"/>
      <c r="AX167" s="30"/>
      <c r="AY167" s="30"/>
      <c r="AZ167" s="30"/>
      <c r="BA167" s="30"/>
      <c r="BB167" s="308"/>
      <c r="BC167" s="30"/>
      <c r="BD167" s="30"/>
      <c r="BE167" s="30"/>
      <c r="BF167" s="30"/>
      <c r="BG167" s="308"/>
      <c r="BH167" s="30"/>
      <c r="BI167" s="30"/>
      <c r="BJ167" s="30"/>
      <c r="BK167" s="30"/>
      <c r="BL167" s="308"/>
      <c r="BM167" s="30"/>
      <c r="BN167" s="30"/>
      <c r="BO167" s="30"/>
      <c r="BP167" s="30"/>
      <c r="BQ167" s="308"/>
      <c r="BR167" s="30"/>
      <c r="BS167" s="30"/>
      <c r="BT167" s="30"/>
      <c r="BU167" s="30"/>
      <c r="BV167" s="308"/>
      <c r="BW167" s="30"/>
      <c r="BX167" s="30"/>
      <c r="BY167" s="30"/>
      <c r="BZ167" s="30"/>
      <c r="CA167" s="308"/>
      <c r="CB167" s="30"/>
      <c r="CC167" s="30"/>
      <c r="CD167" s="30"/>
      <c r="CE167" s="30"/>
      <c r="CF167" s="308"/>
      <c r="CG167" s="30"/>
      <c r="CH167" s="30"/>
      <c r="CI167" s="30"/>
      <c r="CJ167" s="30"/>
      <c r="CK167" s="308"/>
      <c r="CL167" s="958"/>
      <c r="CM167" s="926"/>
      <c r="CN167" s="926"/>
      <c r="CO167" s="30"/>
      <c r="CP167" s="308"/>
      <c r="CQ167" s="926"/>
      <c r="CR167" s="926"/>
      <c r="CS167" s="926"/>
      <c r="CT167" s="926"/>
      <c r="CU167" s="308"/>
      <c r="CV167" s="926"/>
      <c r="CW167" s="926"/>
      <c r="CX167" s="926"/>
      <c r="CY167" s="926"/>
      <c r="CZ167" s="308"/>
      <c r="DA167" s="926"/>
      <c r="DB167" s="30"/>
      <c r="DC167" s="30"/>
      <c r="DD167" s="409"/>
      <c r="DE167" s="308"/>
      <c r="DF167" s="926"/>
      <c r="DG167" s="30"/>
      <c r="DH167" s="30"/>
      <c r="DI167" s="409"/>
      <c r="DJ167" s="308"/>
      <c r="DK167" s="830"/>
      <c r="DL167" s="30"/>
      <c r="DM167" s="30"/>
      <c r="DN167" s="409"/>
      <c r="DO167" s="308"/>
      <c r="DP167" s="30"/>
      <c r="DQ167" s="30"/>
      <c r="DR167" s="30"/>
      <c r="DS167" s="409"/>
      <c r="DT167" s="308"/>
      <c r="DU167" s="926"/>
      <c r="DV167" s="926"/>
      <c r="DW167" s="926"/>
      <c r="DX167" s="928"/>
      <c r="DY167" s="308"/>
      <c r="DZ167" s="926"/>
      <c r="EA167" s="926"/>
      <c r="EB167" s="926"/>
      <c r="EC167" s="928"/>
      <c r="ED167" s="1060"/>
      <c r="EE167" s="926"/>
      <c r="EF167" s="926"/>
      <c r="EG167" s="926"/>
      <c r="EH167" s="928"/>
      <c r="EI167" s="308"/>
      <c r="EJ167" s="308"/>
      <c r="EK167" s="409"/>
      <c r="EL167" s="409"/>
      <c r="EM167" s="409"/>
      <c r="EN167" s="409"/>
      <c r="EO167" s="409"/>
      <c r="EP167" s="409"/>
      <c r="EQ167" s="409"/>
      <c r="ER167" s="409"/>
      <c r="ES167" s="409"/>
      <c r="ET167" s="409"/>
      <c r="EU167" s="409"/>
      <c r="EV167" s="409"/>
      <c r="EW167" s="409"/>
      <c r="EX167" s="409"/>
    </row>
    <row r="168" spans="1:154" ht="12.75" customHeight="1">
      <c r="B168" s="1170" t="s">
        <v>634</v>
      </c>
      <c r="C168" s="1989"/>
      <c r="D168" s="28"/>
      <c r="E168" s="28"/>
      <c r="F168" s="28"/>
      <c r="G168" s="28"/>
      <c r="H168" s="28"/>
      <c r="I168" s="31"/>
      <c r="J168" s="28"/>
      <c r="K168" s="28"/>
      <c r="L168" s="28"/>
      <c r="M168" s="28"/>
      <c r="N168" s="31"/>
      <c r="O168" s="31"/>
      <c r="P168" s="31"/>
      <c r="Q168" s="31"/>
      <c r="R168" s="31"/>
      <c r="S168" s="31"/>
      <c r="T168" s="31"/>
      <c r="U168" s="31"/>
      <c r="V168" s="31"/>
      <c r="W168" s="31"/>
      <c r="X168" s="313"/>
      <c r="Y168" s="31"/>
      <c r="Z168" s="31"/>
      <c r="AA168" s="31"/>
      <c r="AB168" s="31"/>
      <c r="AC168" s="313"/>
      <c r="AD168" s="31"/>
      <c r="AE168" s="31"/>
      <c r="AF168" s="31"/>
      <c r="AG168" s="31"/>
      <c r="AH168" s="313"/>
      <c r="AI168" s="28"/>
      <c r="AJ168" s="28"/>
      <c r="AK168" s="28"/>
      <c r="AL168" s="31"/>
      <c r="AM168" s="313"/>
      <c r="AN168" s="28"/>
      <c r="AO168" s="28"/>
      <c r="AP168" s="28"/>
      <c r="AQ168" s="31"/>
      <c r="AR168" s="313"/>
      <c r="AS168" s="28"/>
      <c r="AT168" s="28"/>
      <c r="AU168" s="28"/>
      <c r="AV168" s="28"/>
      <c r="AW168" s="313"/>
      <c r="AX168" s="28"/>
      <c r="AY168" s="28"/>
      <c r="AZ168" s="28"/>
      <c r="BA168" s="28"/>
      <c r="BB168" s="313"/>
      <c r="BC168" s="28"/>
      <c r="BD168" s="28"/>
      <c r="BE168" s="28"/>
      <c r="BF168" s="28"/>
      <c r="BG168" s="313"/>
      <c r="BH168" s="28"/>
      <c r="BI168" s="28"/>
      <c r="BJ168" s="28"/>
      <c r="BK168" s="28"/>
      <c r="BL168" s="313"/>
      <c r="BM168" s="28"/>
      <c r="BN168" s="28"/>
      <c r="BO168" s="28"/>
      <c r="BP168" s="28"/>
      <c r="BQ168" s="313"/>
      <c r="BR168" s="28"/>
      <c r="BS168" s="28"/>
      <c r="BT168" s="28"/>
      <c r="BU168" s="28"/>
      <c r="BV168" s="313"/>
      <c r="BW168" s="28"/>
      <c r="BX168" s="28"/>
      <c r="BY168" s="28"/>
      <c r="BZ168" s="28"/>
      <c r="CA168" s="313"/>
      <c r="CB168" s="28"/>
      <c r="CC168" s="28"/>
      <c r="CD168" s="28"/>
      <c r="CE168" s="28"/>
      <c r="CF168" s="313"/>
      <c r="CG168" s="28"/>
      <c r="CH168" s="28"/>
      <c r="CI168" s="28"/>
      <c r="CJ168" s="28"/>
      <c r="CK168" s="313"/>
      <c r="CL168" s="961"/>
      <c r="CM168" s="933"/>
      <c r="CN168" s="933"/>
      <c r="CO168" s="28"/>
      <c r="CP168" s="313"/>
      <c r="CQ168" s="933"/>
      <c r="CR168" s="933"/>
      <c r="CS168" s="933"/>
      <c r="CT168" s="933"/>
      <c r="CU168" s="313"/>
      <c r="CV168" s="933"/>
      <c r="CW168" s="933"/>
      <c r="CX168" s="933"/>
      <c r="CY168" s="933"/>
      <c r="CZ168" s="313"/>
      <c r="DA168" s="933"/>
      <c r="DB168" s="31"/>
      <c r="DC168" s="31"/>
      <c r="DD168" s="955"/>
      <c r="DE168" s="477"/>
      <c r="DF168" s="982"/>
      <c r="DG168" s="603"/>
      <c r="DH168" s="603"/>
      <c r="DI168" s="1798"/>
      <c r="DJ168" s="477"/>
      <c r="DK168" s="1799"/>
      <c r="DL168" s="603"/>
      <c r="DM168" s="603"/>
      <c r="DN168" s="1798"/>
      <c r="DO168" s="477"/>
      <c r="DP168" s="603"/>
      <c r="DQ168" s="603"/>
      <c r="DR168" s="603"/>
      <c r="DS168" s="1798"/>
      <c r="DT168" s="477"/>
      <c r="DU168" s="603"/>
      <c r="DV168" s="603"/>
      <c r="DW168" s="603"/>
      <c r="DX168" s="1798"/>
      <c r="DY168" s="477"/>
      <c r="DZ168" s="603"/>
      <c r="EA168" s="603"/>
      <c r="EB168" s="603"/>
      <c r="EC168" s="1798"/>
      <c r="ED168" s="477"/>
      <c r="EE168" s="603"/>
      <c r="EF168" s="603"/>
      <c r="EG168" s="603"/>
      <c r="EH168" s="1798"/>
      <c r="EI168" s="477"/>
      <c r="EJ168" s="477"/>
      <c r="EK168" s="1798"/>
      <c r="EL168" s="1798"/>
      <c r="EM168" s="1798"/>
      <c r="EN168" s="1798"/>
      <c r="EO168" s="1798"/>
      <c r="EP168" s="1798"/>
      <c r="EQ168" s="1798"/>
      <c r="ER168" s="1798"/>
      <c r="ES168" s="1798"/>
      <c r="ET168" s="1798"/>
      <c r="EU168" s="1798"/>
      <c r="EV168" s="1798"/>
      <c r="EW168" s="1798"/>
      <c r="EX168" s="1798"/>
    </row>
    <row r="169" spans="1:154" ht="12.75" customHeight="1">
      <c r="A169" s="3275" t="str">
        <f>A171&amp;" - US"</f>
      </c>
      <c r="B169" s="1171" t="s">
        <v>921</v>
      </c>
      <c r="C169" s="1998" t="s">
        <v>812</v>
      </c>
      <c r="D169" s="28"/>
      <c r="E169" s="28"/>
      <c r="F169" s="28"/>
      <c r="G169" s="28"/>
      <c r="H169" s="28"/>
      <c r="I169" s="31"/>
      <c r="J169" s="28"/>
      <c r="K169" s="28"/>
      <c r="L169" s="28"/>
      <c r="M169" s="28"/>
      <c r="N169" s="31"/>
      <c r="O169" s="31"/>
      <c r="P169" s="31"/>
      <c r="Q169" s="31"/>
      <c r="R169" s="31"/>
      <c r="S169" s="31"/>
      <c r="T169" s="31"/>
      <c r="U169" s="31"/>
      <c r="V169" s="31"/>
      <c r="W169" s="31"/>
      <c r="X169" s="312"/>
      <c r="Y169" s="31"/>
      <c r="Z169" s="31"/>
      <c r="AA169" s="31"/>
      <c r="AB169" s="31"/>
      <c r="AC169" s="312"/>
      <c r="AD169" s="31"/>
      <c r="AE169" s="31"/>
      <c r="AF169" s="31"/>
      <c r="AG169" s="31"/>
      <c r="AH169" s="312"/>
      <c r="AI169" s="28"/>
      <c r="AJ169" s="28"/>
      <c r="AK169" s="28"/>
      <c r="AL169" s="31"/>
      <c r="AM169" s="312"/>
      <c r="AN169" s="33"/>
      <c r="AO169" s="33"/>
      <c r="AP169" s="33"/>
      <c r="AQ169" s="28"/>
      <c r="AR169" s="312"/>
      <c r="AS169" s="33"/>
      <c r="AT169" s="33"/>
      <c r="AU169" s="33"/>
      <c r="AV169" s="28"/>
      <c r="AW169" s="312"/>
      <c r="AX169" s="33"/>
      <c r="AY169" s="33"/>
      <c r="AZ169" s="33"/>
      <c r="BA169" s="33"/>
      <c r="BB169" s="312"/>
      <c r="BC169" s="28"/>
      <c r="BD169" s="28"/>
      <c r="BE169" s="28"/>
      <c r="BF169" s="28"/>
      <c r="BG169" s="312"/>
      <c r="BH169" s="28"/>
      <c r="BI169" s="28"/>
      <c r="BJ169" s="28"/>
      <c r="BK169" s="28"/>
      <c r="BL169" s="312"/>
      <c r="BM169" s="28"/>
      <c r="BN169" s="28"/>
      <c r="BO169" s="768">
        <v>28</v>
      </c>
      <c r="BP169" s="768">
        <v>28</v>
      </c>
      <c r="BQ169" s="312">
        <f>SUM(BM169:BP169)</f>
      </c>
      <c r="BR169" s="768">
        <v>3</v>
      </c>
      <c r="BS169" s="768">
        <v>3</v>
      </c>
      <c r="BT169" s="768">
        <v>3</v>
      </c>
      <c r="BU169" s="768">
        <v>3</v>
      </c>
      <c r="BV169" s="312">
        <f>SUM(BR169:BU169)</f>
      </c>
      <c r="BW169" s="176">
        <v>3</v>
      </c>
      <c r="BX169" s="176">
        <v>4</v>
      </c>
      <c r="BY169" s="176">
        <v>4</v>
      </c>
      <c r="BZ169" s="577">
        <v>4</v>
      </c>
      <c r="CA169" s="313">
        <f>SUM(BW169:BZ169)</f>
      </c>
      <c r="CB169" s="352">
        <v>5</v>
      </c>
      <c r="CC169" s="352">
        <v>6</v>
      </c>
      <c r="CD169" s="352">
        <v>7</v>
      </c>
      <c r="CE169" s="352">
        <v>6</v>
      </c>
      <c r="CF169" s="313">
        <f>SUM(CB169:CE169)</f>
      </c>
      <c r="CG169" s="352">
        <v>9</v>
      </c>
      <c r="CH169" s="352">
        <v>9</v>
      </c>
      <c r="CI169" s="352">
        <v>7</v>
      </c>
      <c r="CJ169" s="352">
        <v>12</v>
      </c>
      <c r="CK169" s="313">
        <f>SUM(CG169:CJ169)</f>
      </c>
      <c r="CL169" s="352">
        <v>11</v>
      </c>
      <c r="CM169" s="352">
        <v>4</v>
      </c>
      <c r="CN169" s="352">
        <v>13</v>
      </c>
      <c r="CO169" s="352">
        <v>14</v>
      </c>
      <c r="CP169" s="313">
        <f>SUM(CL169:CO169)</f>
      </c>
      <c r="CQ169" s="352">
        <v>12</v>
      </c>
      <c r="CR169" s="352">
        <v>17</v>
      </c>
      <c r="CS169" s="352">
        <v>15</v>
      </c>
      <c r="CT169" s="352">
        <v>14</v>
      </c>
      <c r="CU169" s="313">
        <f>SUM(CQ169:CT169)</f>
      </c>
      <c r="CV169" s="352">
        <v>14</v>
      </c>
      <c r="CW169" s="352">
        <v>15</v>
      </c>
      <c r="CX169" s="352">
        <v>13</v>
      </c>
      <c r="CY169" s="352">
        <v>16</v>
      </c>
      <c r="CZ169" s="313">
        <f>SUM(CV169:CY169)</f>
      </c>
      <c r="DA169" s="352">
        <v>12</v>
      </c>
      <c r="DB169" s="352">
        <v>12</v>
      </c>
      <c r="DC169" s="352">
        <v>12</v>
      </c>
      <c r="DD169" s="956">
        <v>14</v>
      </c>
      <c r="DE169" s="1835">
        <f>SUM(DA169:DD169)</f>
      </c>
      <c r="DF169" s="710">
        <v>12</v>
      </c>
      <c r="DG169" s="710">
        <v>10</v>
      </c>
      <c r="DH169" s="710">
        <v>11</v>
      </c>
      <c r="DI169" s="1839">
        <v>11</v>
      </c>
      <c r="DJ169" s="1835">
        <f>SUM(DF169:DI169)</f>
      </c>
      <c r="DK169" s="710">
        <v>10</v>
      </c>
      <c r="DL169" s="710">
        <v>9</v>
      </c>
      <c r="DM169" s="710">
        <v>12</v>
      </c>
      <c r="DN169" s="1839">
        <v>10</v>
      </c>
      <c r="DO169" s="1835">
        <f>SUM(DK169:DN169)</f>
      </c>
      <c r="DP169" s="710">
        <v>9</v>
      </c>
      <c r="DQ169" s="710">
        <v>9</v>
      </c>
      <c r="DR169" s="710">
        <v>9</v>
      </c>
      <c r="DS169" s="1839">
        <v>9</v>
      </c>
      <c r="DT169" s="1835">
        <f>SUM(DP169:DS169)</f>
      </c>
      <c r="DU169" s="710">
        <v>9</v>
      </c>
      <c r="DV169" s="710">
        <v>8</v>
      </c>
      <c r="DW169" s="710">
        <v>9.4</v>
      </c>
      <c r="DX169" s="710">
        <v>8.8000000000000007</v>
      </c>
      <c r="DY169" s="1835">
        <f>SUM(DU169:DX169)</f>
      </c>
      <c r="DZ169" s="710">
        <v>8.1999999999999993</v>
      </c>
      <c r="EA169" s="710">
        <v>8.4</v>
      </c>
      <c r="EB169" s="710">
        <v>7.5</v>
      </c>
      <c r="EC169" s="1839">
        <v>7</v>
      </c>
      <c r="ED169" s="1835">
        <f>SUM(DZ169:EC169)</f>
      </c>
      <c r="EE169" s="710">
        <v>8.1999999999999993</v>
      </c>
      <c r="EF169" s="710">
        <v>6</v>
      </c>
      <c r="EG169" s="710">
        <v>7</v>
      </c>
      <c r="EH169" s="1556">
        <f>+EI169-SUM(EE169:EG169)</f>
      </c>
      <c r="EI169" s="1835">
        <f>+ED169*(1+EI174)</f>
      </c>
      <c r="EJ169" s="1835">
        <f t="shared" ref="EJ169:EN170" si="374">+EI169*(1+EJ174)</f>
      </c>
      <c r="EK169" s="1835">
        <f t="shared" si="374"/>
      </c>
      <c r="EL169" s="1835">
        <f t="shared" si="374"/>
      </c>
      <c r="EM169" s="1835">
        <f t="shared" si="374"/>
      </c>
      <c r="EN169" s="1835">
        <f t="shared" si="374"/>
      </c>
      <c r="EO169" s="1835">
        <f t="shared" ref="EO169:EO170" si="375">+EN169*(1+EO174)</f>
      </c>
      <c r="EP169" s="1835">
        <f t="shared" ref="EP169:EP170" si="376">+EO169*(1+EP174)</f>
      </c>
      <c r="EQ169" s="1835">
        <f t="shared" ref="EQ169:EQ170" si="377">+EP169*(1+EQ174)</f>
      </c>
      <c r="ER169" s="1835">
        <f t="shared" ref="ER169:ER170" si="378">+EQ169*(1+ER174)</f>
      </c>
      <c r="ES169" s="1835">
        <f t="shared" ref="ES169:ES170" si="379">+ER169*(1+ES174)</f>
      </c>
      <c r="ET169" s="1798"/>
      <c r="EU169" s="1798"/>
      <c r="EV169" s="1798"/>
      <c r="EW169" s="1798"/>
      <c r="EX169" s="1798"/>
    </row>
    <row r="170" spans="1:154" ht="12.75" customHeight="1">
      <c r="A170" s="3275" t="str">
        <f>+A171&amp;" - OUS"</f>
      </c>
      <c r="B170" s="1171" t="s">
        <v>412</v>
      </c>
      <c r="C170" s="1999" t="s">
        <v>740</v>
      </c>
      <c r="D170" s="28"/>
      <c r="E170" s="28"/>
      <c r="F170" s="28"/>
      <c r="G170" s="28"/>
      <c r="H170" s="28"/>
      <c r="I170" s="31"/>
      <c r="J170" s="28"/>
      <c r="K170" s="28"/>
      <c r="L170" s="28"/>
      <c r="M170" s="28"/>
      <c r="N170" s="31"/>
      <c r="O170" s="31"/>
      <c r="P170" s="31"/>
      <c r="Q170" s="31"/>
      <c r="R170" s="31"/>
      <c r="S170" s="31"/>
      <c r="T170" s="31"/>
      <c r="U170" s="31"/>
      <c r="V170" s="31"/>
      <c r="W170" s="31"/>
      <c r="X170" s="312"/>
      <c r="Y170" s="31"/>
      <c r="Z170" s="31"/>
      <c r="AA170" s="31"/>
      <c r="AB170" s="31"/>
      <c r="AC170" s="312"/>
      <c r="AD170" s="31"/>
      <c r="AE170" s="31"/>
      <c r="AF170" s="31"/>
      <c r="AG170" s="31"/>
      <c r="AH170" s="312"/>
      <c r="AI170" s="28"/>
      <c r="AJ170" s="28"/>
      <c r="AK170" s="28"/>
      <c r="AL170" s="31"/>
      <c r="AM170" s="312"/>
      <c r="AN170" s="33"/>
      <c r="AO170" s="33"/>
      <c r="AP170" s="33"/>
      <c r="AQ170" s="28"/>
      <c r="AR170" s="312"/>
      <c r="AS170" s="33"/>
      <c r="AT170" s="33"/>
      <c r="AU170" s="33"/>
      <c r="AV170" s="28"/>
      <c r="AW170" s="312"/>
      <c r="AX170" s="28"/>
      <c r="AY170" s="33"/>
      <c r="AZ170" s="33"/>
      <c r="BA170" s="33"/>
      <c r="BB170" s="312"/>
      <c r="BC170" s="28"/>
      <c r="BD170" s="28"/>
      <c r="BE170" s="28"/>
      <c r="BF170" s="28"/>
      <c r="BG170" s="312"/>
      <c r="BH170" s="28"/>
      <c r="BI170" s="28"/>
      <c r="BJ170" s="28"/>
      <c r="BK170" s="28"/>
      <c r="BL170" s="312"/>
      <c r="BM170" s="28"/>
      <c r="BN170" s="28"/>
      <c r="BO170" s="768">
        <v>20</v>
      </c>
      <c r="BP170" s="768">
        <v>30</v>
      </c>
      <c r="BQ170" s="312">
        <f>SUM(BM170:BP170)</f>
      </c>
      <c r="BR170" s="768">
        <v>23</v>
      </c>
      <c r="BS170" s="768">
        <v>22</v>
      </c>
      <c r="BT170" s="768">
        <v>21</v>
      </c>
      <c r="BU170" s="768">
        <v>37</v>
      </c>
      <c r="BV170" s="312">
        <f>SUM(BR170:BU170)</f>
      </c>
      <c r="BW170" s="176">
        <v>40</v>
      </c>
      <c r="BX170" s="176">
        <v>27.5</v>
      </c>
      <c r="BY170" s="176">
        <v>26</v>
      </c>
      <c r="BZ170" s="577">
        <v>44.8</v>
      </c>
      <c r="CA170" s="313">
        <f>SUM(BW170:BZ170)</f>
      </c>
      <c r="CB170" s="352">
        <v>76</v>
      </c>
      <c r="CC170" s="352">
        <v>86</v>
      </c>
      <c r="CD170" s="352">
        <v>95</v>
      </c>
      <c r="CE170" s="352">
        <v>84</v>
      </c>
      <c r="CF170" s="313">
        <f>SUM(CB170:CE170)</f>
      </c>
      <c r="CG170" s="352">
        <v>82</v>
      </c>
      <c r="CH170" s="352">
        <v>92</v>
      </c>
      <c r="CI170" s="352">
        <v>95</v>
      </c>
      <c r="CJ170" s="352">
        <v>95</v>
      </c>
      <c r="CK170" s="313">
        <f>SUM(CG170:CJ170)</f>
      </c>
      <c r="CL170" s="352">
        <v>108</v>
      </c>
      <c r="CM170" s="352">
        <v>126</v>
      </c>
      <c r="CN170" s="352">
        <v>136</v>
      </c>
      <c r="CO170" s="352">
        <v>151</v>
      </c>
      <c r="CP170" s="313">
        <f>SUM(CL170:CO170)</f>
      </c>
      <c r="CQ170" s="352">
        <v>137</v>
      </c>
      <c r="CR170" s="352">
        <v>162</v>
      </c>
      <c r="CS170" s="352">
        <v>179</v>
      </c>
      <c r="CT170" s="352">
        <v>178</v>
      </c>
      <c r="CU170" s="313">
        <f>SUM(CQ170:CT170)</f>
      </c>
      <c r="CV170" s="352">
        <v>196</v>
      </c>
      <c r="CW170" s="352">
        <v>196</v>
      </c>
      <c r="CX170" s="352">
        <v>189</v>
      </c>
      <c r="CY170" s="352">
        <v>177</v>
      </c>
      <c r="CZ170" s="313">
        <f>SUM(CV170:CY170)</f>
      </c>
      <c r="DA170" s="352">
        <v>199</v>
      </c>
      <c r="DB170" s="352">
        <v>198</v>
      </c>
      <c r="DC170" s="352">
        <v>206</v>
      </c>
      <c r="DD170" s="956">
        <v>209</v>
      </c>
      <c r="DE170" s="1835">
        <f>SUM(DA170:DD170)</f>
      </c>
      <c r="DF170" s="710">
        <v>212</v>
      </c>
      <c r="DG170" s="710">
        <v>246</v>
      </c>
      <c r="DH170" s="710">
        <v>226</v>
      </c>
      <c r="DI170" s="1839">
        <v>236</v>
      </c>
      <c r="DJ170" s="1835">
        <f>SUM(DF170:DI170)</f>
      </c>
      <c r="DK170" s="710">
        <v>233</v>
      </c>
      <c r="DL170" s="710">
        <v>253</v>
      </c>
      <c r="DM170" s="710">
        <v>247</v>
      </c>
      <c r="DN170" s="1839">
        <v>220</v>
      </c>
      <c r="DO170" s="1835">
        <f>SUM(DK170:DN170)</f>
      </c>
      <c r="DP170" s="710">
        <v>239</v>
      </c>
      <c r="DQ170" s="710">
        <v>215</v>
      </c>
      <c r="DR170" s="710">
        <v>237</v>
      </c>
      <c r="DS170" s="1839">
        <v>281</v>
      </c>
      <c r="DT170" s="1835">
        <f>SUM(DP170:DS170)</f>
      </c>
      <c r="DU170" s="710">
        <v>270.60000000000002</v>
      </c>
      <c r="DV170" s="710">
        <v>258.39999999999998</v>
      </c>
      <c r="DW170" s="710">
        <v>287.39999999999998</v>
      </c>
      <c r="DX170" s="710">
        <v>298.5</v>
      </c>
      <c r="DY170" s="1835">
        <f>SUM(DU170:DX170)</f>
      </c>
      <c r="DZ170" s="710">
        <v>315.2</v>
      </c>
      <c r="EA170" s="710">
        <v>288.39999999999998</v>
      </c>
      <c r="EB170" s="710">
        <v>322.5</v>
      </c>
      <c r="EC170" s="1839">
        <v>315</v>
      </c>
      <c r="ED170" s="1835">
        <f>SUM(DZ170:EC170)</f>
      </c>
      <c r="EE170" s="710">
        <v>350</v>
      </c>
      <c r="EF170" s="710">
        <v>354</v>
      </c>
      <c r="EG170" s="710">
        <v>378</v>
      </c>
      <c r="EH170" s="1556">
        <f>+EI170-SUM(EE170:EG170)</f>
      </c>
      <c r="EI170" s="1835">
        <f>+ED170*(1+EI175)</f>
      </c>
      <c r="EJ170" s="1835">
        <f t="shared" si="374"/>
      </c>
      <c r="EK170" s="1835">
        <f t="shared" si="374"/>
      </c>
      <c r="EL170" s="1835">
        <f t="shared" si="374"/>
      </c>
      <c r="EM170" s="1835">
        <f t="shared" si="374"/>
      </c>
      <c r="EN170" s="1835">
        <f t="shared" si="374"/>
      </c>
      <c r="EO170" s="1835">
        <f t="shared" si="375"/>
      </c>
      <c r="EP170" s="1835">
        <f t="shared" si="376"/>
      </c>
      <c r="EQ170" s="1835">
        <f t="shared" si="377"/>
      </c>
      <c r="ER170" s="1835">
        <f t="shared" si="378"/>
      </c>
      <c r="ES170" s="1835">
        <f t="shared" si="379"/>
      </c>
      <c r="ET170" s="1798"/>
      <c r="EU170" s="1798"/>
      <c r="EV170" s="1798"/>
      <c r="EW170" s="1798"/>
      <c r="EX170" s="1798"/>
    </row>
    <row r="171" spans="1:154" ht="12.75" customHeight="1">
      <c r="A171" s="3275" t="s">
        <v>634</v>
      </c>
      <c r="B171" s="1171" t="s">
        <v>413</v>
      </c>
      <c r="C171" s="1989"/>
      <c r="D171" s="28"/>
      <c r="E171" s="28"/>
      <c r="F171" s="28"/>
      <c r="G171" s="28"/>
      <c r="H171" s="28"/>
      <c r="I171" s="31"/>
      <c r="J171" s="28"/>
      <c r="K171" s="28"/>
      <c r="L171" s="28"/>
      <c r="M171" s="28"/>
      <c r="N171" s="31"/>
      <c r="O171" s="31"/>
      <c r="P171" s="31"/>
      <c r="Q171" s="31"/>
      <c r="R171" s="31"/>
      <c r="S171" s="31"/>
      <c r="T171" s="31"/>
      <c r="U171" s="31"/>
      <c r="V171" s="31"/>
      <c r="W171" s="31"/>
      <c r="X171" s="313"/>
      <c r="Y171" s="31"/>
      <c r="Z171" s="31"/>
      <c r="AA171" s="31"/>
      <c r="AB171" s="31"/>
      <c r="AC171" s="313"/>
      <c r="AD171" s="31"/>
      <c r="AE171" s="31"/>
      <c r="AF171" s="31"/>
      <c r="AG171" s="31"/>
      <c r="AH171" s="313"/>
      <c r="AI171" s="28"/>
      <c r="AJ171" s="28"/>
      <c r="AK171" s="28"/>
      <c r="AL171" s="31"/>
      <c r="AM171" s="313"/>
      <c r="AN171" s="28"/>
      <c r="AO171" s="28"/>
      <c r="AP171" s="28"/>
      <c r="AQ171" s="31"/>
      <c r="AR171" s="313"/>
      <c r="AS171" s="28"/>
      <c r="AT171" s="28"/>
      <c r="AU171" s="28"/>
      <c r="AV171" s="28"/>
      <c r="AW171" s="313"/>
      <c r="AX171" s="28"/>
      <c r="AY171" s="28"/>
      <c r="AZ171" s="28"/>
      <c r="BA171" s="28"/>
      <c r="BB171" s="313"/>
      <c r="BC171" s="28"/>
      <c r="BD171" s="28"/>
      <c r="BE171" s="28"/>
      <c r="BF171" s="28"/>
      <c r="BG171" s="312"/>
      <c r="BH171" s="28"/>
      <c r="BI171" s="28"/>
      <c r="BJ171" s="28"/>
      <c r="BK171" s="28"/>
      <c r="BL171" s="312"/>
      <c r="BM171" s="28"/>
      <c r="BN171" s="28"/>
      <c r="BO171" s="28">
        <f t="shared" ref="BO171:BV171" si="380">SUM(BO169:BO170)</f>
      </c>
      <c r="BP171" s="28">
        <f t="shared" si="380"/>
      </c>
      <c r="BQ171" s="312">
        <f t="shared" si="380"/>
      </c>
      <c r="BR171" s="28">
        <f t="shared" si="380"/>
      </c>
      <c r="BS171" s="28">
        <f t="shared" si="380"/>
      </c>
      <c r="BT171" s="28">
        <f t="shared" si="380"/>
      </c>
      <c r="BU171" s="28">
        <f t="shared" si="380"/>
      </c>
      <c r="BV171" s="312">
        <f t="shared" si="380"/>
      </c>
      <c r="BW171" s="28">
        <f>+SUM(BW169:BW170)</f>
      </c>
      <c r="BX171" s="28">
        <f>+SUM(BX169:BX170)</f>
      </c>
      <c r="BY171" s="28">
        <f>+SUM(BY169:BY170)</f>
      </c>
      <c r="BZ171" s="28">
        <f>+SUM(BZ169:BZ170)</f>
      </c>
      <c r="CA171" s="313">
        <f>SUM(BW171:BZ171)</f>
      </c>
      <c r="CB171" s="28">
        <f>+SUM(CB169:CB170)</f>
      </c>
      <c r="CC171" s="28">
        <f>+SUM(CC169:CC170)</f>
      </c>
      <c r="CD171" s="28">
        <f>+SUM(CD169:CD170)</f>
      </c>
      <c r="CE171" s="28">
        <f>+SUM(CE169:CE170)</f>
      </c>
      <c r="CF171" s="313">
        <f>SUM(CB171:CE171)</f>
      </c>
      <c r="CG171" s="28">
        <f>+SUM(CG169:CG170)</f>
      </c>
      <c r="CH171" s="28">
        <f>+SUM(CH169:CH170)</f>
      </c>
      <c r="CI171" s="28">
        <f>+SUM(CI169:CI170)</f>
      </c>
      <c r="CJ171" s="28">
        <f>+SUM(CJ169:CJ170)</f>
      </c>
      <c r="CK171" s="313">
        <f>SUM(CG171:CJ171)</f>
      </c>
      <c r="CL171" s="28">
        <f>+SUM(CL169:CL170)</f>
      </c>
      <c r="CM171" s="28">
        <f>+SUM(CM169:CM170)</f>
      </c>
      <c r="CN171" s="28">
        <f>+SUM(CN169:CN170)</f>
      </c>
      <c r="CO171" s="28">
        <f>+SUM(CO169:CO170)</f>
      </c>
      <c r="CP171" s="313">
        <f>SUM(CL171:CO171)</f>
      </c>
      <c r="CQ171" s="933">
        <f>+SUM(CQ169:CQ170)</f>
      </c>
      <c r="CR171" s="933">
        <f>+SUM(CR169:CR170)</f>
      </c>
      <c r="CS171" s="933">
        <f>+SUM(CS169:CS170)</f>
      </c>
      <c r="CT171" s="933">
        <f>+SUM(CT169:CT170)</f>
      </c>
      <c r="CU171" s="313">
        <f>SUM(CQ171:CT171)</f>
      </c>
      <c r="CV171" s="933">
        <f>+SUM(CV169:CV170)</f>
      </c>
      <c r="CW171" s="933">
        <f>+SUM(CW169:CW170)</f>
      </c>
      <c r="CX171" s="933">
        <f>+SUM(CX169:CX170)</f>
      </c>
      <c r="CY171" s="933">
        <f>+SUM(CY169:CY170)</f>
      </c>
      <c r="CZ171" s="313">
        <f>SUM(CV171:CY171)</f>
      </c>
      <c r="DA171" s="933">
        <f>SUM(DA169:DA170)</f>
      </c>
      <c r="DB171" s="933">
        <f>SUM(DB169:DB170)</f>
      </c>
      <c r="DC171" s="31">
        <f>SUM(DC169:DC170)</f>
      </c>
      <c r="DD171" s="955">
        <f>+DD169+DD170</f>
      </c>
      <c r="DE171" s="1835">
        <f>SUM(DA171:DD171)</f>
      </c>
      <c r="DF171" s="1542">
        <f>SUM(DF169:DF170)</f>
      </c>
      <c r="DG171" s="1284">
        <f>SUM(DG169:DG170)</f>
      </c>
      <c r="DH171" s="1542">
        <f>SUM(DH169:DH170)</f>
      </c>
      <c r="DI171" s="1556">
        <f>+DI169+DI170</f>
      </c>
      <c r="DJ171" s="1835">
        <f>SUM(DF171:DI171)</f>
      </c>
      <c r="DK171" s="1542">
        <f t="shared" ref="DK171:EJ171" si="381">SUM(DK169:DK170)</f>
      </c>
      <c r="DL171" s="1542">
        <f t="shared" si="381"/>
      </c>
      <c r="DM171" s="1542">
        <f t="shared" si="381"/>
      </c>
      <c r="DN171" s="1542">
        <f t="shared" si="381"/>
      </c>
      <c r="DO171" s="573">
        <f t="shared" si="381"/>
      </c>
      <c r="DP171" s="1542">
        <f t="shared" si="381"/>
      </c>
      <c r="DQ171" s="1542">
        <f t="shared" si="381"/>
      </c>
      <c r="DR171" s="1542">
        <f t="shared" si="381"/>
      </c>
      <c r="DS171" s="1542">
        <f t="shared" si="381"/>
      </c>
      <c r="DT171" s="573">
        <f t="shared" si="381"/>
      </c>
      <c r="DU171" s="1542">
        <f t="shared" si="381"/>
      </c>
      <c r="DV171" s="1542">
        <f t="shared" si="381"/>
      </c>
      <c r="DW171" s="1542">
        <f t="shared" si="381"/>
      </c>
      <c r="DX171" s="1542">
        <f>SUM(DX169:DX170)</f>
      </c>
      <c r="DY171" s="573">
        <f>SUM(DY169:DY170)</f>
      </c>
      <c r="DZ171" s="1542">
        <f t="shared" si="381"/>
      </c>
      <c r="EA171" s="1542">
        <f t="shared" si="381"/>
      </c>
      <c r="EB171" s="1542">
        <f t="shared" si="381"/>
      </c>
      <c r="EC171" s="1542">
        <f t="shared" si="381"/>
      </c>
      <c r="ED171" s="2060">
        <f t="shared" si="381"/>
      </c>
      <c r="EE171" s="1542">
        <f t="shared" ref="EE171:EG171" si="382">SUM(EE169:EE170)</f>
      </c>
      <c r="EF171" s="1542">
        <f t="shared" si="382"/>
      </c>
      <c r="EG171" s="1542">
        <f t="shared" si="382"/>
      </c>
      <c r="EH171" s="1542">
        <f t="shared" si="381"/>
      </c>
      <c r="EI171" s="573">
        <f t="shared" si="381"/>
      </c>
      <c r="EJ171" s="573">
        <f t="shared" si="381"/>
      </c>
      <c r="EK171" s="573">
        <f>SUM(EK169:EK170)</f>
      </c>
      <c r="EL171" s="573">
        <f>SUM(EL169:EL170)</f>
      </c>
      <c r="EM171" s="573">
        <f>SUM(EM169:EM170)</f>
      </c>
      <c r="EN171" s="573">
        <f>SUM(EN169:EN170)</f>
      </c>
      <c r="EO171" s="573">
        <f t="shared" ref="EO171:ES171" si="383">SUM(EO169:EO170)</f>
      </c>
      <c r="EP171" s="573">
        <f t="shared" si="383"/>
      </c>
      <c r="EQ171" s="573">
        <f t="shared" si="383"/>
      </c>
      <c r="ER171" s="573">
        <f t="shared" si="383"/>
      </c>
      <c r="ES171" s="573">
        <f t="shared" si="383"/>
      </c>
      <c r="ET171" s="1788"/>
      <c r="EU171" s="1788"/>
      <c r="EV171" s="1788"/>
      <c r="EW171" s="1788"/>
      <c r="EX171" s="1788"/>
    </row>
    <row r="172" spans="1:154" ht="12.75" customHeight="1">
      <c r="B172" s="1171"/>
      <c r="C172" s="1989"/>
      <c r="D172" s="28"/>
      <c r="E172" s="28"/>
      <c r="F172" s="28"/>
      <c r="G172" s="28"/>
      <c r="H172" s="28"/>
      <c r="I172" s="31"/>
      <c r="J172" s="28"/>
      <c r="K172" s="28"/>
      <c r="L172" s="28"/>
      <c r="M172" s="28"/>
      <c r="N172" s="31"/>
      <c r="O172" s="31"/>
      <c r="P172" s="31"/>
      <c r="Q172" s="31"/>
      <c r="R172" s="31"/>
      <c r="S172" s="31"/>
      <c r="T172" s="31"/>
      <c r="U172" s="31"/>
      <c r="V172" s="31"/>
      <c r="W172" s="31"/>
      <c r="X172" s="313"/>
      <c r="Y172" s="31"/>
      <c r="Z172" s="31"/>
      <c r="AA172" s="31"/>
      <c r="AB172" s="31"/>
      <c r="AC172" s="313"/>
      <c r="AD172" s="31"/>
      <c r="AE172" s="31"/>
      <c r="AF172" s="31"/>
      <c r="AG172" s="31"/>
      <c r="AH172" s="313"/>
      <c r="AI172" s="28"/>
      <c r="AJ172" s="28"/>
      <c r="AK172" s="28"/>
      <c r="AL172" s="31"/>
      <c r="AM172" s="313"/>
      <c r="AN172" s="28"/>
      <c r="AO172" s="28"/>
      <c r="AP172" s="28"/>
      <c r="AQ172" s="31"/>
      <c r="AR172" s="313"/>
      <c r="AS172" s="28"/>
      <c r="AT172" s="28"/>
      <c r="AU172" s="28"/>
      <c r="AV172" s="28"/>
      <c r="AW172" s="313"/>
      <c r="AX172" s="28"/>
      <c r="AY172" s="28"/>
      <c r="AZ172" s="28"/>
      <c r="BA172" s="28"/>
      <c r="BB172" s="313"/>
      <c r="BC172" s="28"/>
      <c r="BD172" s="28"/>
      <c r="BE172" s="28"/>
      <c r="BF172" s="28"/>
      <c r="BG172" s="313"/>
      <c r="BH172" s="28"/>
      <c r="BI172" s="28"/>
      <c r="BJ172" s="28"/>
      <c r="BK172" s="28"/>
      <c r="BL172" s="313"/>
      <c r="BM172" s="28"/>
      <c r="BN172" s="28"/>
      <c r="BO172" s="28"/>
      <c r="BP172" s="28"/>
      <c r="BQ172" s="313"/>
      <c r="BR172" s="28"/>
      <c r="BS172" s="28"/>
      <c r="BT172" s="28"/>
      <c r="BU172" s="28"/>
      <c r="BV172" s="313"/>
      <c r="BW172" s="28"/>
      <c r="BX172" s="28"/>
      <c r="BY172" s="28"/>
      <c r="BZ172" s="28"/>
      <c r="CA172" s="313"/>
      <c r="CB172" s="28"/>
      <c r="CC172" s="28"/>
      <c r="CD172" s="28"/>
      <c r="CE172" s="28"/>
      <c r="CF172" s="313"/>
      <c r="CG172" s="28"/>
      <c r="CH172" s="28"/>
      <c r="CI172" s="28"/>
      <c r="CJ172" s="28"/>
      <c r="CK172" s="313"/>
      <c r="CL172" s="28"/>
      <c r="CM172" s="933"/>
      <c r="CN172" s="28"/>
      <c r="CO172" s="28"/>
      <c r="CP172" s="313"/>
      <c r="CQ172" s="933"/>
      <c r="CR172" s="933"/>
      <c r="CS172" s="933"/>
      <c r="CT172" s="933"/>
      <c r="CU172" s="313"/>
      <c r="CV172" s="933"/>
      <c r="CW172" s="933"/>
      <c r="CX172" s="933"/>
      <c r="CY172" s="933"/>
      <c r="CZ172" s="313"/>
      <c r="DA172" s="933"/>
      <c r="DB172" s="31"/>
      <c r="DC172" s="31"/>
      <c r="DD172" s="955"/>
      <c r="DE172" s="477"/>
      <c r="DF172" s="982"/>
      <c r="DG172" s="603"/>
      <c r="DH172" s="603"/>
      <c r="DI172" s="1798"/>
      <c r="DJ172" s="477"/>
      <c r="DK172" s="1799"/>
      <c r="DL172" s="603"/>
      <c r="DM172" s="603"/>
      <c r="DN172" s="1798"/>
      <c r="DO172" s="477"/>
      <c r="DP172" s="603"/>
      <c r="DQ172" s="603"/>
      <c r="DR172" s="603"/>
      <c r="DS172" s="1798"/>
      <c r="DT172" s="477"/>
      <c r="DU172" s="603"/>
      <c r="DV172" s="603"/>
      <c r="DW172" s="603"/>
      <c r="DX172" s="603"/>
      <c r="DY172" s="477"/>
      <c r="DZ172" s="603"/>
      <c r="EA172" s="603"/>
      <c r="EB172" s="603"/>
      <c r="EC172" s="1798"/>
      <c r="ED172" s="477"/>
      <c r="EE172" s="603"/>
      <c r="EF172" s="603"/>
      <c r="EG172" s="603"/>
      <c r="EH172" s="1798"/>
      <c r="EI172" s="477"/>
      <c r="EJ172" s="477"/>
      <c r="EK172" s="477"/>
      <c r="EL172" s="477"/>
      <c r="EM172" s="477"/>
      <c r="EN172" s="477"/>
      <c r="EO172" s="477"/>
      <c r="EP172" s="477"/>
      <c r="EQ172" s="477"/>
      <c r="ER172" s="477"/>
      <c r="ES172" s="477"/>
      <c r="ET172" s="477"/>
      <c r="EU172" s="477"/>
      <c r="EV172" s="477"/>
      <c r="EW172" s="477"/>
      <c r="EX172" s="477"/>
    </row>
    <row r="173" spans="1:154" ht="12.75" customHeight="1">
      <c r="B173" s="1172" t="s">
        <v>922</v>
      </c>
      <c r="C173" s="1989"/>
      <c r="D173" s="28"/>
      <c r="E173" s="28"/>
      <c r="F173" s="28"/>
      <c r="G173" s="28"/>
      <c r="H173" s="28"/>
      <c r="I173" s="31"/>
      <c r="J173" s="28"/>
      <c r="K173" s="28"/>
      <c r="L173" s="28"/>
      <c r="M173" s="28"/>
      <c r="N173" s="31"/>
      <c r="O173" s="31"/>
      <c r="P173" s="31"/>
      <c r="Q173" s="31"/>
      <c r="R173" s="31"/>
      <c r="S173" s="31"/>
      <c r="T173" s="31"/>
      <c r="U173" s="31"/>
      <c r="V173" s="31"/>
      <c r="W173" s="31"/>
      <c r="X173" s="313"/>
      <c r="Y173" s="31"/>
      <c r="Z173" s="31"/>
      <c r="AA173" s="31"/>
      <c r="AB173" s="31"/>
      <c r="AC173" s="313"/>
      <c r="AD173" s="31"/>
      <c r="AE173" s="31"/>
      <c r="AF173" s="31"/>
      <c r="AG173" s="31"/>
      <c r="AH173" s="313"/>
      <c r="AI173" s="28"/>
      <c r="AJ173" s="28"/>
      <c r="AK173" s="28"/>
      <c r="AL173" s="31"/>
      <c r="AM173" s="313"/>
      <c r="AN173" s="28"/>
      <c r="AO173" s="28"/>
      <c r="AP173" s="28"/>
      <c r="AQ173" s="31"/>
      <c r="AR173" s="313"/>
      <c r="AS173" s="28"/>
      <c r="AT173" s="28"/>
      <c r="AU173" s="28"/>
      <c r="AV173" s="28"/>
      <c r="AW173" s="313"/>
      <c r="AX173" s="28"/>
      <c r="AY173" s="28"/>
      <c r="AZ173" s="28"/>
      <c r="BA173" s="28"/>
      <c r="BB173" s="313"/>
      <c r="BC173" s="28"/>
      <c r="BD173" s="28"/>
      <c r="BE173" s="28"/>
      <c r="BF173" s="28"/>
      <c r="BG173" s="313"/>
      <c r="BH173" s="28"/>
      <c r="BI173" s="28"/>
      <c r="BJ173" s="28"/>
      <c r="BK173" s="28"/>
      <c r="BL173" s="313"/>
      <c r="BM173" s="28"/>
      <c r="BN173" s="28"/>
      <c r="BO173" s="28"/>
      <c r="BP173" s="28"/>
      <c r="BQ173" s="313"/>
      <c r="BR173" s="28"/>
      <c r="BS173" s="28"/>
      <c r="BT173" s="28"/>
      <c r="BU173" s="28"/>
      <c r="BV173" s="313"/>
      <c r="BW173" s="28"/>
      <c r="BX173" s="28"/>
      <c r="BY173" s="28"/>
      <c r="BZ173" s="28"/>
      <c r="CA173" s="313"/>
      <c r="CB173" s="28"/>
      <c r="CC173" s="28"/>
      <c r="CD173" s="28"/>
      <c r="CE173" s="28"/>
      <c r="CF173" s="313"/>
      <c r="CG173" s="28"/>
      <c r="CH173" s="28"/>
      <c r="CI173" s="28"/>
      <c r="CJ173" s="28"/>
      <c r="CK173" s="313"/>
      <c r="CL173" s="28"/>
      <c r="CM173" s="933"/>
      <c r="CN173" s="28"/>
      <c r="CO173" s="28"/>
      <c r="CP173" s="313"/>
      <c r="CQ173" s="933"/>
      <c r="CR173" s="933"/>
      <c r="CS173" s="933"/>
      <c r="CT173" s="933"/>
      <c r="CU173" s="313"/>
      <c r="CV173" s="933"/>
      <c r="CW173" s="933"/>
      <c r="CX173" s="933"/>
      <c r="CY173" s="933"/>
      <c r="CZ173" s="313"/>
      <c r="DA173" s="933"/>
      <c r="DB173" s="31"/>
      <c r="DC173" s="31"/>
      <c r="DD173" s="955"/>
      <c r="DE173" s="477"/>
      <c r="DF173" s="982"/>
      <c r="DG173" s="1822"/>
      <c r="DH173" s="1822"/>
      <c r="DI173" s="1798"/>
      <c r="DJ173" s="477"/>
      <c r="DK173" s="1799"/>
      <c r="DL173" s="603"/>
      <c r="DM173" s="603"/>
      <c r="DN173" s="1798"/>
      <c r="DO173" s="477"/>
      <c r="DP173" s="603"/>
      <c r="DQ173" s="603"/>
      <c r="DR173" s="603"/>
      <c r="DS173" s="1798"/>
      <c r="DT173" s="477"/>
      <c r="DU173" s="603"/>
      <c r="DV173" s="603"/>
      <c r="DW173" s="603"/>
      <c r="DX173" s="603"/>
      <c r="DY173" s="477"/>
      <c r="DZ173" s="603"/>
      <c r="EA173" s="603"/>
      <c r="EB173" s="603"/>
      <c r="EC173" s="1798"/>
      <c r="ED173" s="477"/>
      <c r="EE173" s="603"/>
      <c r="EF173" s="603"/>
      <c r="EG173" s="603"/>
      <c r="EH173" s="1798"/>
      <c r="EI173" s="477"/>
      <c r="EJ173" s="477"/>
      <c r="EK173" s="477"/>
      <c r="EL173" s="477"/>
      <c r="EM173" s="477"/>
      <c r="EN173" s="477"/>
      <c r="EO173" s="477"/>
      <c r="EP173" s="477"/>
      <c r="EQ173" s="477"/>
      <c r="ER173" s="477"/>
      <c r="ES173" s="477"/>
      <c r="ET173" s="477"/>
      <c r="EU173" s="477"/>
      <c r="EV173" s="477"/>
      <c r="EW173" s="477"/>
      <c r="EX173" s="477"/>
    </row>
    <row r="174" spans="1:154" ht="12.75" customHeight="1">
      <c r="B174" s="912" t="s">
        <v>921</v>
      </c>
      <c r="C174" s="1997"/>
      <c r="D174" s="28"/>
      <c r="E174" s="28"/>
      <c r="F174" s="28"/>
      <c r="G174" s="28"/>
      <c r="H174" s="28"/>
      <c r="I174" s="31"/>
      <c r="J174" s="28"/>
      <c r="K174" s="28"/>
      <c r="L174" s="28"/>
      <c r="M174" s="28"/>
      <c r="N174" s="31"/>
      <c r="O174" s="31"/>
      <c r="P174" s="31"/>
      <c r="Q174" s="31"/>
      <c r="R174" s="31"/>
      <c r="S174" s="31"/>
      <c r="T174" s="31"/>
      <c r="U174" s="31"/>
      <c r="V174" s="31"/>
      <c r="W174" s="31"/>
      <c r="X174" s="308"/>
      <c r="Y174" s="31"/>
      <c r="Z174" s="31"/>
      <c r="AA174" s="31"/>
      <c r="AB174" s="31"/>
      <c r="AC174" s="308"/>
      <c r="AD174" s="31"/>
      <c r="AE174" s="31"/>
      <c r="AF174" s="31"/>
      <c r="AG174" s="31"/>
      <c r="AH174" s="308"/>
      <c r="AI174" s="28"/>
      <c r="AJ174" s="28"/>
      <c r="AK174" s="28"/>
      <c r="AL174" s="31"/>
      <c r="AM174" s="308"/>
      <c r="AN174" s="28"/>
      <c r="AO174" s="28"/>
      <c r="AP174" s="28"/>
      <c r="AQ174" s="31"/>
      <c r="AR174" s="308"/>
      <c r="AS174" s="28"/>
      <c r="AT174" s="28"/>
      <c r="AU174" s="28"/>
      <c r="AV174" s="28"/>
      <c r="AW174" s="308"/>
      <c r="AX174" s="30"/>
      <c r="AY174" s="30"/>
      <c r="AZ174" s="30"/>
      <c r="BA174" s="30"/>
      <c r="BB174" s="308"/>
      <c r="BC174" s="30"/>
      <c r="BD174" s="30"/>
      <c r="BE174" s="30"/>
      <c r="BF174" s="30"/>
      <c r="BG174" s="308"/>
      <c r="BH174" s="30"/>
      <c r="BI174" s="30"/>
      <c r="BJ174" s="30"/>
      <c r="BK174" s="30"/>
      <c r="BL174" s="308"/>
      <c r="BM174" s="30"/>
      <c r="BN174" s="30"/>
      <c r="BO174" s="30"/>
      <c r="BP174" s="30"/>
      <c r="BQ174" s="308"/>
      <c r="BR174" s="30"/>
      <c r="BS174" s="30"/>
      <c r="BT174" s="30"/>
      <c r="BU174" s="30"/>
      <c r="BV174" s="308">
        <f>IF(BQ169="NM","NM",IF(BV169="NM","NM",IF(BQ169&lt;=0,"NM",IF(BV169=0,"NM",IF(ABS(BV169/BQ169-1)&gt;2.5,"NM",IF((ABS(BV169-BQ169)=ABS(ABS(BV169)-ABS(BQ169))),(BV169/BQ169-1),"NM"))))))</f>
      </c>
      <c r="BW174" s="30">
        <f t="shared" ref="BW174:CI174" si="384">IF(BR169="NM","NM",IF(BW169="NM","NM",IF(BR169&lt;=0,"NM",IF(BW169=0,"NM",IF(ABS(BW169/BR169-1)&gt;2.5,"NM",IF((ABS(BW169-BR169)=ABS(ABS(BW169)-ABS(BR169))),(BW169/BR169-1),"NM"))))))</f>
      </c>
      <c r="BX174" s="30">
        <f t="shared" si="384"/>
      </c>
      <c r="BY174" s="30">
        <f t="shared" si="384"/>
      </c>
      <c r="BZ174" s="838">
        <f t="shared" si="384"/>
      </c>
      <c r="CA174" s="308">
        <f>IF(BV169="NM","NM",IF(CA169="NM","NM",IF(BV169&lt;=0,"NM",IF(CA169=0,"NM",IF(ABS(CA169/BV169-1)&gt;2.5,"NM",IF((ABS(CA169-BV169)=ABS(ABS(CA169)-ABS(BV169))),(CA169/BV169-1),"NM"))))))</f>
      </c>
      <c r="CB174" s="30">
        <f t="shared" si="384"/>
      </c>
      <c r="CC174" s="30">
        <f t="shared" si="384"/>
      </c>
      <c r="CD174" s="30">
        <f t="shared" si="384"/>
      </c>
      <c r="CE174" s="838">
        <f t="shared" si="384"/>
      </c>
      <c r="CF174" s="308">
        <f>IF(CA169="NM","NM",IF(CF169="NM","NM",IF(CA169&lt;=0,"NM",IF(CF169=0,"NM",IF(ABS(CF169/CA169-1)&gt;2.5,"NM",IF((ABS(CF169-CA169)=ABS(ABS(CF169)-ABS(CA169))),(CF169/CA169-1),"NM"))))))</f>
      </c>
      <c r="CG174" s="30">
        <f t="shared" si="384"/>
      </c>
      <c r="CH174" s="30">
        <f t="shared" si="384"/>
      </c>
      <c r="CI174" s="30">
        <f t="shared" si="384"/>
      </c>
      <c r="CJ174" s="30">
        <f>IF(CE169="NM","NM",IF(CJ169="NM","NM",IF(CE169&lt;=0,"NM",IF(CJ169=0,"NM",IF(ABS(CJ169/CE169-1)&gt;2.5,"NM",IF((ABS(CJ169-CE169)=ABS(ABS(CJ169)-ABS(CE169))),(CJ169/CE169-1),"NM"))))))</f>
      </c>
      <c r="CK174" s="308">
        <f>IF(CF169=0, "NA", CK169/CF169-1)</f>
      </c>
      <c r="CL174" s="30">
        <f t="shared" ref="CL174:CN175" si="385">IF(CG169="NM","NM",IF(CL169="NM","NM",IF(CG169&lt;=0,"NM",IF(CL169=0,"NM",IF(ABS(CL169/CG169-1)&gt;2.5,"NM",IF((ABS(CL169-CG169)=ABS(ABS(CL169)-ABS(CG169))),(CL169/CG169-1),"NM"))))))</f>
      </c>
      <c r="CM174" s="30">
        <f t="shared" si="385"/>
      </c>
      <c r="CN174" s="30">
        <f t="shared" si="385"/>
      </c>
      <c r="CO174" s="30">
        <f>IF(CJ169="NM","NM",IF(CO169="NM","NM",IF(CJ169&lt;=0,"NM",IF(CO169=0,"NM",IF(ABS(CO169/CJ169-1)&gt;2.5,"NM",IF((ABS(CO169-CJ169)=ABS(ABS(CO169)-ABS(CJ169))),(CO169/CJ169-1),"NM"))))))</f>
      </c>
      <c r="CP174" s="308">
        <f>IF(CK169=0, "NA", CP169/CK169-1)</f>
      </c>
      <c r="CQ174" s="30">
        <f>IF(CL169="NM","NM",IF(CQ169="NM","NM",IF(CL169&lt;=0,"NM",IF(CQ169=0,"NM",IF(ABS(CQ169/CL169-1)&gt;2.5,"NM",IF((ABS(CQ169-CL169)=ABS(ABS(CQ169)-ABS(CL169))),(CQ169/CL169-1),"NM"))))))</f>
      </c>
      <c r="CR174" s="30" t="str">
        <f t="shared" ref="CR174:CT175" si="386">IF(CM169="NM","NM",IF(CR169="NM","NM",IF(CM169&lt;=0,"NM",IF(CR169=0,"NM",IF(ABS(CR169/CM169-1)&gt;2.5,"NM",IF((ABS(CR169-CM169)=ABS(ABS(CR169)-ABS(CM169))),(CR169/CM169-1),"NM"))))))</f>
      </c>
      <c r="CS174" s="30">
        <f t="shared" si="386"/>
      </c>
      <c r="CT174" s="30">
        <f t="shared" si="386"/>
      </c>
      <c r="CU174" s="308">
        <f>IF(CP169=0, "NA", CU169/CP169-1)</f>
      </c>
      <c r="CV174" s="30">
        <f t="shared" ref="CV174:CX175" si="387">IF(CQ169="NM","NM",IF(CV169="NM","NM",IF(CQ169&lt;=0,"NM",IF(CV169=0,"NM",IF(ABS(CV169/CQ169-1)&gt;2.5,"NM",IF((ABS(CV169-CQ169)=ABS(ABS(CV169)-ABS(CQ169))),(CV169/CQ169-1),"NM"))))))</f>
      </c>
      <c r="CW174" s="30">
        <f t="shared" si="387"/>
      </c>
      <c r="CX174" s="30">
        <f t="shared" si="387"/>
      </c>
      <c r="CY174" s="30">
        <f>IF(CT169="NM","NM",IF(CY169="NM","NM",IF(CT169&lt;=0,"NM",IF(CY169=0,"NM",IF(ABS(CY169/CT169-1)&gt;2.5,"NM",IF((ABS(CY169-CT169)=ABS(ABS(CY169)-ABS(CT169))),(CY169/CT169-1),"NM"))))))</f>
      </c>
      <c r="CZ174" s="308">
        <f>IF(CU169=0, "NA", CZ169/CU169-1)</f>
      </c>
      <c r="DA174" s="30">
        <f>IF(CV169="NM","NM",IF(DA169="NM","NM",IF(CV169&lt;=0,"NM",IF(DA169=0,"NM",IF(ABS(DA169/CV169-1)&gt;2.5,"NM",IF((ABS(DA169-CV169)=ABS(ABS(DA169)-ABS(CV169))),(DA169/CV169-1),"NM"))))))</f>
      </c>
      <c r="DB174" s="30">
        <f>IF(CW169="NM","NM",IF(DB169="NM","NM",IF(CW169&lt;=0,"NM",IF(DB169=0,"NM",IF(ABS(DB169/CW169-1)&gt;2.5,"NM",IF((ABS(DB169-CW169)=ABS(ABS(DB169)-ABS(CW169))),(DB169/CW169-1),"NM"))))))</f>
      </c>
      <c r="DC174" s="30">
        <f>IF(CX169="NM","NM",IF(DC169="NM","NM",IF(CX169&lt;=0,"NM",IF(DC169=0,"NM",IF(ABS(DC169/CX169-1)&gt;2.5,"NM",IF((ABS(DC169-CX169)=ABS(ABS(DC169)-ABS(CX169))),(DC169/CX169-1),"NM"))))))</f>
      </c>
      <c r="DD174" s="30">
        <f>IF(CY169="NM","NM",IF(DD169="NM","NM",IF(CY169&lt;=0,"NM",IF(DD169=0,"NM",IF(ABS(DD169/CY169-1)&gt;2.5,"NM",IF((ABS(DD169-CY169)=ABS(ABS(DD169)-ABS(CY169))),(DD169/CY169-1),"NM"))))))</f>
      </c>
      <c r="DE174" s="308">
        <f>IF(CZ169=0, "NA", DE169/CZ169-1)</f>
      </c>
      <c r="DF174" s="30">
        <f>IF(DA169="NM","NM",IF(DF169="NM","NM",IF(DA169&lt;=0,"NM",IF(DF169=0,"NM",IF(ABS(DF169/DA169-1)&gt;2.5,"NM",IF((ABS(DF169-DA169)=ABS(ABS(DF169)-ABS(DA169))),(DF169/DA169-1),"NM"))))))</f>
      </c>
      <c r="DG174" s="1361">
        <f>IF(DB169="NM","NM",IF(DG169="NM","NM",IF(DB169&lt;=0,"NM",IF(DG169=0,"NM",IF(ABS(DG169/DB169-1)&gt;2.5,"NM",IF((ABS(DG169-DB169)=ABS(ABS(DG169)-ABS(DB169))),(DG169/DB169-1),"NM"))))))</f>
      </c>
      <c r="DH174" s="1361">
        <f>IF(DC169="NM","NM",IF(DH169="NM","NM",IF(DC169&lt;=0,"NM",IF(DH169=0,"NM",IF(ABS(DH169/DC169-1)&gt;2.5,"NM",IF((ABS(DH169-DC169)=ABS(ABS(DH169)-ABS(DC169))),(DH169/DC169-1),"NM"))))))</f>
      </c>
      <c r="DI174" s="30">
        <f>IF(DD169="NM","NM",IF(DI169="NM","NM",IF(DD169&lt;=0,"NM",IF(DI169=0,"NM",IF(ABS(DI169/DD169-1)&gt;2.5,"NM",IF((ABS(DI169-DD169)=ABS(ABS(DI169)-ABS(DD169))),(DI169/DD169-1),"NM"))))))</f>
      </c>
      <c r="DJ174" s="308">
        <f>IF(DE169=0, "NA", DJ169/DE169-1)</f>
      </c>
      <c r="DK174" s="30">
        <f t="shared" ref="DK174:DM175" si="388">IF(DF169="NM","NM",IF(DK169="NM","NM",IF(DF169&lt;=0,"NM",IF(DK169=0,"NM",IF(ABS(DK169/DF169-1)&gt;2.5,"NM",IF((ABS(DK169-DF169)=ABS(ABS(DK169)-ABS(DF169))),(DK169/DF169-1),"NM"))))))</f>
      </c>
      <c r="DL174" s="30">
        <f t="shared" si="388"/>
      </c>
      <c r="DM174" s="30">
        <f t="shared" si="388"/>
      </c>
      <c r="DN174" s="30">
        <f>IF(DI169="NM","NM",IF(DN169="NM","NM",IF(DI169&lt;=0,"NM",IF(DN169=0,"NM",IF(ABS(DN169/DI169-1)&gt;2.5,"NM",IF((ABS(DN169-DI169)=ABS(ABS(DN169)-ABS(DI169))),(DN169/DI169-1),"NM"))))))</f>
      </c>
      <c r="DO174" s="308">
        <f>IF(DJ169=0, "NA", DO169/DJ169-1)</f>
      </c>
      <c r="DP174" s="30">
        <f t="shared" ref="DP174:EB175" si="389">IF(DK169="NM","NM",IF(DP169="NM","NM",IF(DK169&lt;=0,"NM",IF(DP169=0,"NM",IF(ABS(DP169/DK169-1)&gt;2.5,"NM",IF((ABS(DP169-DK169)=ABS(ABS(DP169)-ABS(DK169))),(DP169/DK169-1),"NM"))))))</f>
      </c>
      <c r="DQ174" s="30">
        <f t="shared" si="389"/>
      </c>
      <c r="DR174" s="30">
        <f t="shared" si="389"/>
      </c>
      <c r="DS174" s="30">
        <f t="shared" si="389"/>
      </c>
      <c r="DT174" s="308">
        <f>IF(DO169=0, "NA", DT169/DO169-1)</f>
      </c>
      <c r="DU174" s="30">
        <f t="shared" si="389"/>
      </c>
      <c r="DV174" s="30">
        <f t="shared" si="389"/>
      </c>
      <c r="DW174" s="30">
        <f t="shared" si="389"/>
      </c>
      <c r="DX174" s="30">
        <f t="shared" si="389"/>
      </c>
      <c r="DY174" s="308">
        <f>IF(DT169=0, "NA", DY169/DT169-1)</f>
      </c>
      <c r="DZ174" s="1703">
        <f>+DZ169/DU169-1</f>
      </c>
      <c r="EA174" s="1703">
        <f>+EA169/DV169-1</f>
      </c>
      <c r="EB174" s="1703">
        <f>+EB169/DW169-1</f>
      </c>
      <c r="EC174" s="1703">
        <f>+EC169/DX169-1</f>
      </c>
      <c r="ED174" s="308">
        <f>IF(DY169=0, "NA", ED169/DY169-1)</f>
      </c>
      <c r="EE174" s="1703">
        <f>+EE169/DZ169-1</f>
      </c>
      <c r="EF174" s="1703">
        <f>+EF169/EA169-1</f>
      </c>
      <c r="EG174" s="1703">
        <f>+EG169/EB169-1</f>
      </c>
      <c r="EH174" s="1062">
        <f>IF(EH169=0,"NM",+EH169/EC169-1)</f>
      </c>
      <c r="EI174" s="2210">
        <v>-0.15</v>
      </c>
      <c r="EJ174" s="2210">
        <v>-0.2</v>
      </c>
      <c r="EK174" s="2210">
        <v>-0.2</v>
      </c>
      <c r="EL174" s="2210">
        <v>-0.2</v>
      </c>
      <c r="EM174" s="2210">
        <v>-0.15</v>
      </c>
      <c r="EN174" s="2210">
        <v>-0.15</v>
      </c>
      <c r="EO174" s="2210">
        <v>-0.15</v>
      </c>
      <c r="EP174" s="2210">
        <v>-0.15</v>
      </c>
      <c r="EQ174" s="2210">
        <v>-0.1</v>
      </c>
      <c r="ER174" s="2210">
        <v>-0.1</v>
      </c>
      <c r="ES174" s="2210">
        <v>-0.1</v>
      </c>
      <c r="ET174" s="1813"/>
      <c r="EU174" s="1813"/>
      <c r="EV174" s="1813"/>
      <c r="EW174" s="1813"/>
      <c r="EX174" s="1813"/>
    </row>
    <row r="175" spans="1:154" ht="12.75" customHeight="1">
      <c r="B175" s="912" t="s">
        <v>412</v>
      </c>
      <c r="C175" s="1989"/>
      <c r="D175" s="28"/>
      <c r="E175" s="28"/>
      <c r="F175" s="28"/>
      <c r="G175" s="28"/>
      <c r="H175" s="28"/>
      <c r="I175" s="31"/>
      <c r="J175" s="28"/>
      <c r="K175" s="28"/>
      <c r="L175" s="28"/>
      <c r="M175" s="28"/>
      <c r="N175" s="31"/>
      <c r="O175" s="31"/>
      <c r="P175" s="31"/>
      <c r="Q175" s="31"/>
      <c r="R175" s="31"/>
      <c r="S175" s="31"/>
      <c r="T175" s="31"/>
      <c r="U175" s="31"/>
      <c r="V175" s="31"/>
      <c r="W175" s="31"/>
      <c r="X175" s="308"/>
      <c r="Y175" s="31"/>
      <c r="Z175" s="31"/>
      <c r="AA175" s="31"/>
      <c r="AB175" s="31"/>
      <c r="AC175" s="308"/>
      <c r="AD175" s="31"/>
      <c r="AE175" s="31"/>
      <c r="AF175" s="31"/>
      <c r="AG175" s="31"/>
      <c r="AH175" s="308"/>
      <c r="AI175" s="28"/>
      <c r="AJ175" s="28"/>
      <c r="AK175" s="28"/>
      <c r="AL175" s="31"/>
      <c r="AM175" s="308"/>
      <c r="AN175" s="28"/>
      <c r="AO175" s="28"/>
      <c r="AP175" s="28"/>
      <c r="AQ175" s="31"/>
      <c r="AR175" s="308"/>
      <c r="AS175" s="28"/>
      <c r="AT175" s="28"/>
      <c r="AU175" s="28"/>
      <c r="AV175" s="28"/>
      <c r="AW175" s="308"/>
      <c r="AX175" s="30"/>
      <c r="AY175" s="30"/>
      <c r="AZ175" s="30"/>
      <c r="BA175" s="30"/>
      <c r="BB175" s="308"/>
      <c r="BC175" s="30"/>
      <c r="BD175" s="30"/>
      <c r="BE175" s="30"/>
      <c r="BF175" s="30"/>
      <c r="BG175" s="308"/>
      <c r="BH175" s="30"/>
      <c r="BI175" s="30"/>
      <c r="BJ175" s="30"/>
      <c r="BK175" s="30"/>
      <c r="BL175" s="308"/>
      <c r="BM175" s="30"/>
      <c r="BN175" s="30"/>
      <c r="BO175" s="30"/>
      <c r="BP175" s="30"/>
      <c r="BQ175" s="308"/>
      <c r="BR175" s="30"/>
      <c r="BS175" s="30"/>
      <c r="BT175" s="30"/>
      <c r="BU175" s="30"/>
      <c r="BV175" s="308">
        <f>IF(BQ170="NM","NM",IF(BV170="NM","NM",IF(BQ170&lt;=0,"NM",IF(BV170=0,"NM",IF(ABS(BV170/BQ170-1)&gt;2.5,"NM",IF((ABS(BV170-BQ170)=ABS(ABS(BV170)-ABS(BQ170))),(BV170/BQ170-1),"NM"))))))</f>
      </c>
      <c r="BW175" s="30">
        <f>IF(BR170="NM","NM",IF(BW170="NM","NM",IF(BR170&lt;=0,"NM",IF(BW170=0,"NM",IF(ABS(BW170/BR170-1)&gt;2.5,"NM",IF((ABS(BW170-BR170)=ABS(ABS(BW170)-ABS(BR170))),(BW170/BR170-1),"NM"))))))</f>
      </c>
      <c r="BX175" s="30">
        <f>IF(BS170="NM","NM",IF(BX170="NM","NM",IF(BS170&lt;=0,"NM",IF(BX170=0,"NM",IF(ABS(BX170/BS170-1)&gt;2.5,"NM",IF((ABS(BX170-BS170)=ABS(ABS(BX170)-ABS(BS170))),(BX170/BS170-1),"NM"))))))</f>
      </c>
      <c r="BY175" s="30">
        <f>IF(BT170="NM","NM",IF(BY170="NM","NM",IF(BT170&lt;=0,"NM",IF(BY170=0,"NM",IF(ABS(BY170/BT170-1)&gt;2.5,"NM",IF((ABS(BY170-BT170)=ABS(ABS(BY170)-ABS(BT170))),(BY170/BT170-1),"NM"))))))</f>
      </c>
      <c r="BZ175" s="30">
        <f>IF(BU170="NM","NM",IF(BZ170="NM","NM",IF(BU170&lt;=0,"NM",IF(BZ170=0,"NM",IF(ABS(BZ170/BU170-1)&gt;2.5,"NM",IF((ABS(BZ170-BU170)=ABS(ABS(BZ170)-ABS(BU170))),(BZ170/BU170-1),"NM"))))))</f>
      </c>
      <c r="CA175" s="308">
        <f>IF(BV170="NM","NM",IF(CA170="NM","NM",IF(BV170&lt;=0,"NM",IF(CA170=0,"NM",IF(ABS(CA170/BV170-1)&gt;2.5,"NM",IF((ABS(CA170-BV170)=ABS(ABS(CA170)-ABS(BV170))),(CA170/BV170-1),"NM"))))))</f>
      </c>
      <c r="CB175" s="30">
        <f>IF(BW170="NM","NM",IF(CB170="NM","NM",IF(BW170&lt;=0,"NM",IF(CB170=0,"NM",IF(ABS(CB170/BW170-1)&gt;2.5,"NM",IF((ABS(CB170-BW170)=ABS(ABS(CB170)-ABS(BW170))),(CB170/BW170-1),"NM"))))))</f>
      </c>
      <c r="CC175" s="30">
        <f>IF(BX170="NM","NM",IF(CC170="NM","NM",IF(BX170&lt;=0,"NM",IF(CC170=0,"NM",IF(ABS(CC170/BX170-1)&gt;2.5,"NM",IF((ABS(CC170-BX170)=ABS(ABS(CC170)-ABS(BX170))),(CC170/BX170-1),"NM"))))))</f>
      </c>
      <c r="CD175" s="30" t="str">
        <f>IF(BY170="NM","NM",IF(CD170="NM","NM",IF(BY170&lt;=0,"NM",IF(CD170=0,"NM",IF(ABS(CD170/BY170-1)&gt;2.5,"NM",IF((ABS(CD170-BY170)=ABS(ABS(CD170)-ABS(BY170))),(CD170/BY170-1),"NM"))))))</f>
      </c>
      <c r="CE175" s="30">
        <f>IF(BZ170="NM","NM",IF(CE170="NM","NM",IF(BZ170&lt;=0,"NM",IF(CE170=0,"NM",IF(ABS(CE170/BZ170-1)&gt;2.5,"NM",IF((ABS(CE170-BZ170)=ABS(ABS(CE170)-ABS(BZ170))),(CE170/BZ170-1),"NM"))))))</f>
      </c>
      <c r="CF175" s="308">
        <f>IF(CA170="NM","NM",IF(CF170="NM","NM",IF(CA170&lt;=0,"NM",IF(CF170=0,"NM",IF(ABS(CF170/CA170-1)&gt;2.5,"NM",IF((ABS(CF170-CA170)=ABS(ABS(CF170)-ABS(CA170))),(CF170/CA170-1),"NM"))))))</f>
      </c>
      <c r="CG175" s="30">
        <f>IF(CB170="NM","NM",IF(CG170="NM","NM",IF(CB170&lt;=0,"NM",IF(CG170=0,"NM",IF(ABS(CG170/CB170-1)&gt;2.5,"NM",IF((ABS(CG170-CB170)=ABS(ABS(CG170)-ABS(CB170))),(CG170/CB170-1),"NM"))))))</f>
      </c>
      <c r="CH175" s="30">
        <f>IF(CC170="NM","NM",IF(CH170="NM","NM",IF(CC170&lt;=0,"NM",IF(CH170=0,"NM",IF(ABS(CH170/CC170-1)&gt;2.5,"NM",IF((ABS(CH170-CC170)=ABS(ABS(CH170)-ABS(CC170))),(CH170/CC170-1),"NM"))))))</f>
      </c>
      <c r="CI175" s="30">
        <f>IF(CD170="NM","NM",IF(CI170="NM","NM",IF(CD170&lt;=0,"NM",IF(CI170=0,"NM",IF(ABS(CI170/CD170-1)&gt;2.5,"NM",IF((ABS(CI170-CD170)=ABS(ABS(CI170)-ABS(CD170))),(CI170/CD170-1),"NM"))))))</f>
      </c>
      <c r="CJ175" s="30">
        <f>IF(CE170="NM","NM",IF(CJ170="NM","NM",IF(CE170&lt;=0,"NM",IF(CJ170=0,"NM",IF(ABS(CJ170/CE170-1)&gt;2.5,"NM",IF((ABS(CJ170-CE170)=ABS(ABS(CJ170)-ABS(CE170))),(CJ170/CE170-1),"NM"))))))</f>
      </c>
      <c r="CK175" s="308">
        <f>IF(CF170=0, "NA", CK170/CF170-1)</f>
      </c>
      <c r="CL175" s="30">
        <f t="shared" si="385"/>
      </c>
      <c r="CM175" s="30">
        <f t="shared" si="385"/>
      </c>
      <c r="CN175" s="30">
        <f t="shared" si="385"/>
      </c>
      <c r="CO175" s="30">
        <f>IF(CJ170="NM","NM",IF(CO170="NM","NM",IF(CJ170&lt;=0,"NM",IF(CO170=0,"NM",IF(ABS(CO170/CJ170-1)&gt;2.5,"NM",IF((ABS(CO170-CJ170)=ABS(ABS(CO170)-ABS(CJ170))),(CO170/CJ170-1),"NM"))))))</f>
      </c>
      <c r="CP175" s="308">
        <f>IF(CK170=0, "NA", CP170/CK170-1)</f>
      </c>
      <c r="CQ175" s="30">
        <f>IF(CL170="NM","NM",IF(CQ170="NM","NM",IF(CL170&lt;=0,"NM",IF(CQ170=0,"NM",IF(ABS(CQ170/CL170-1)&gt;2.5,"NM",IF((ABS(CQ170-CL170)=ABS(ABS(CQ170)-ABS(CL170))),(CQ170/CL170-1),"NM"))))))</f>
      </c>
      <c r="CR175" s="30">
        <f t="shared" si="386"/>
      </c>
      <c r="CS175" s="30">
        <f t="shared" si="386"/>
      </c>
      <c r="CT175" s="30">
        <f t="shared" si="386"/>
      </c>
      <c r="CU175" s="308">
        <f>IF(CP170=0, "NA", CU170/CP170-1)</f>
      </c>
      <c r="CV175" s="30">
        <f t="shared" si="387"/>
      </c>
      <c r="CW175" s="30">
        <f t="shared" si="387"/>
      </c>
      <c r="CX175" s="30">
        <f t="shared" si="387"/>
      </c>
      <c r="CY175" s="30">
        <f>IF(CT170="NM","NM",IF(CY170="NM","NM",IF(CT170&lt;=0,"NM",IF(CY170=0,"NM",IF(ABS(CY170/CT170-1)&gt;2.5,"NM",IF((ABS(CY170-CT170)=ABS(ABS(CY170)-ABS(CT170))),(CY170/CT170-1),"NM"))))))</f>
      </c>
      <c r="CZ175" s="308">
        <f>IF(CU170=0, "NA", CZ170/CU170-1)</f>
      </c>
      <c r="DA175" s="30">
        <f>IF(CV170="NM","NM",IF(DA170="NM","NM",IF(CV170&lt;=0,"NM",IF(DA170=0,"NM",IF(ABS(DA170/CV170-1)&gt;2.5,"NM",IF((ABS(DA170-CV170)=ABS(ABS(DA170)-ABS(CV170))),(DA170/CV170-1),"NM"))))))</f>
      </c>
      <c r="DB175" s="30">
        <f>IF(CW170="NM","NM",IF(DB170="NM","NM",IF(CW170&lt;=0,"NM",IF(DB170=0,"NM",IF(ABS(DB170/CW170-1)&gt;2.5,"NM",IF((ABS(DB170-CW170)=ABS(ABS(DB170)-ABS(CW170))),(DB170/CW170-1),"NM"))))))</f>
      </c>
      <c r="DC175" s="30">
        <f>IF(CX170="NM","NM",IF(DC170="NM","NM",IF(CX170&lt;=0,"NM",IF(DC170=0,"NM",IF(ABS(DC170/CX170-1)&gt;2.5,"NM",IF((ABS(DC170-CX170)=ABS(ABS(DC170)-ABS(CX170))),(DC170/CX170-1),"NM"))))))</f>
      </c>
      <c r="DD175" s="960">
        <f>IF(DD170=0, "NM", DD170/CY170-1)</f>
      </c>
      <c r="DE175" s="308">
        <f>IF(CZ170=0, "NA", DE170/CZ170-1)</f>
      </c>
      <c r="DF175" s="30">
        <f>IF(DA170="NM","NM",IF(DF170="NM","NM",IF(DA170&lt;=0,"NM",IF(DF170=0,"NM",IF(ABS(DF170/DA170-1)&gt;2.5,"NM",IF((ABS(DF170-DA170)=ABS(ABS(DF170)-ABS(DA170))),(DF170/DA170-1),"NM"))))))</f>
      </c>
      <c r="DG175" s="1361">
        <f>IF(DB170="NM","NM",IF(DG170="NM","NM",IF(DB170&lt;=0,"NM",IF(DG170=0,"NM",IF(ABS(DG170/DB170-1)&gt;2.5,"NM",IF((ABS(DG170-DB170)=ABS(ABS(DG170)-ABS(DB170))),(DG170/DB170-1),"NM"))))))</f>
      </c>
      <c r="DH175" s="1361">
        <f>IF(DC170="NM","NM",IF(DH170="NM","NM",IF(DC170&lt;=0,"NM",IF(DH170=0,"NM",IF(ABS(DH170/DC170-1)&gt;2.5,"NM",IF((ABS(DH170-DC170)=ABS(ABS(DH170)-ABS(DC170))),(DH170/DC170-1),"NM"))))))</f>
      </c>
      <c r="DI175" s="928">
        <f>IF(DI170=0, "NM", DI170/DD170-1)</f>
      </c>
      <c r="DJ175" s="308">
        <f>IF(DE170=0, "NA", DJ170/DE170-1)</f>
      </c>
      <c r="DK175" s="30">
        <f t="shared" si="388"/>
      </c>
      <c r="DL175" s="30">
        <f t="shared" si="388"/>
      </c>
      <c r="DM175" s="30">
        <f t="shared" si="388"/>
      </c>
      <c r="DN175" s="928">
        <f>IF(DN170=0, "NM", DN170/DI170-1)</f>
      </c>
      <c r="DO175" s="308">
        <f>IF(DJ170=0, "NA", DO170/DJ170-1)</f>
      </c>
      <c r="DP175" s="30">
        <f t="shared" si="389"/>
      </c>
      <c r="DQ175" s="30">
        <f>IF(DL170="NM","NM",IF(DQ170="NM","NM",IF(DL170&lt;=0,"NM",IF(DQ170=0,"NM",IF(ABS(DQ170/DL170-1)&gt;2.5,"NM",IF((ABS(DQ170-DL170)=ABS(ABS(DQ170)-ABS(DL170))),(DQ170/DL170-1),"NM"))))))</f>
      </c>
      <c r="DR175" s="30">
        <f>IF(DM170="NM","NM",IF(DR170="NM","NM",IF(DM170&lt;=0,"NM",IF(DR170=0,"NM",IF(ABS(DR170/DM170-1)&gt;2.5,"NM",IF((ABS(DR170-DM170)=ABS(ABS(DR170)-ABS(DM170))),(DR170/DM170-1),"NM"))))))</f>
      </c>
      <c r="DS175" s="30">
        <f>IF(DN170="NM","NM",IF(DS170="NM","NM",IF(DN170&lt;=0,"NM",IF(DS170=0,"NM",IF(ABS(DS170/DN170-1)&gt;2.5,"NM",IF((ABS(DS170-DN170)=ABS(ABS(DS170)-ABS(DN170))),(DS170/DN170-1),"NM"))))))</f>
      </c>
      <c r="DT175" s="308">
        <f>IF(DO170=0, "NA", DT170/DO170-1)</f>
      </c>
      <c r="DU175" s="30">
        <f t="shared" si="389"/>
      </c>
      <c r="DV175" s="30">
        <f t="shared" si="389"/>
      </c>
      <c r="DW175" s="30">
        <f t="shared" si="389"/>
      </c>
      <c r="DX175" s="30">
        <f t="shared" si="389"/>
      </c>
      <c r="DY175" s="308">
        <f>IF(DT170=0, "NA", DY170/DT170-1)</f>
      </c>
      <c r="DZ175" s="30">
        <f t="shared" si="389"/>
      </c>
      <c r="EA175" s="926">
        <f t="shared" si="389"/>
      </c>
      <c r="EB175" s="926">
        <f t="shared" si="389"/>
      </c>
      <c r="EC175" s="926">
        <f>IF(EC170=0, "NM", EC170/DX170-1)</f>
      </c>
      <c r="ED175" s="308">
        <f>IF(DY170=0, "NA", ED170/DY170-1)</f>
      </c>
      <c r="EE175" s="30">
        <f t="shared" ref="EE175:EG175" si="390">IF(DZ170="NM","NM",IF(EE170="NM","NM",IF(DZ170&lt;=0,"NM",IF(EE170=0,"NM",IF(ABS(EE170/DZ170-1)&gt;2.5,"NM",IF((ABS(EE170-DZ170)=ABS(ABS(EE170)-ABS(DZ170))),(EE170/DZ170-1),"NM"))))))</f>
      </c>
      <c r="EF175" s="926">
        <f t="shared" si="390"/>
      </c>
      <c r="EG175" s="926">
        <f t="shared" si="390"/>
      </c>
      <c r="EH175" s="926">
        <f>IF(EH170=0, "NM", EH170/EC170-1)</f>
      </c>
      <c r="EI175" s="308">
        <f t="shared" ref="EI175:ES175" si="391">EI176+EI$21</f>
      </c>
      <c r="EJ175" s="308">
        <f t="shared" si="391"/>
      </c>
      <c r="EK175" s="308">
        <f t="shared" si="391"/>
      </c>
      <c r="EL175" s="308">
        <f t="shared" si="391"/>
      </c>
      <c r="EM175" s="308">
        <f t="shared" si="391"/>
      </c>
      <c r="EN175" s="308">
        <f t="shared" si="391"/>
      </c>
      <c r="EO175" s="308">
        <f t="shared" si="391"/>
      </c>
      <c r="EP175" s="308">
        <f t="shared" si="391"/>
      </c>
      <c r="EQ175" s="308">
        <f t="shared" si="391"/>
      </c>
      <c r="ER175" s="308">
        <f t="shared" si="391"/>
      </c>
      <c r="ES175" s="308">
        <f t="shared" si="391"/>
      </c>
      <c r="ET175" s="409"/>
      <c r="EU175" s="409"/>
      <c r="EV175" s="409"/>
      <c r="EW175" s="409"/>
      <c r="EX175" s="409"/>
    </row>
    <row r="176" spans="1:154" ht="12.75" customHeight="1">
      <c r="B176" s="912" t="s">
        <v>256</v>
      </c>
      <c r="C176" s="1989"/>
      <c r="D176" s="28"/>
      <c r="E176" s="28"/>
      <c r="F176" s="28"/>
      <c r="G176" s="28"/>
      <c r="H176" s="28"/>
      <c r="I176" s="31"/>
      <c r="J176" s="28"/>
      <c r="K176" s="28"/>
      <c r="L176" s="28"/>
      <c r="M176" s="28"/>
      <c r="N176" s="31"/>
      <c r="O176" s="31"/>
      <c r="P176" s="31"/>
      <c r="Q176" s="31"/>
      <c r="R176" s="31"/>
      <c r="S176" s="31"/>
      <c r="T176" s="31"/>
      <c r="U176" s="31"/>
      <c r="V176" s="31"/>
      <c r="W176" s="31"/>
      <c r="X176" s="315"/>
      <c r="Y176" s="31"/>
      <c r="Z176" s="31"/>
      <c r="AA176" s="31"/>
      <c r="AB176" s="31"/>
      <c r="AC176" s="315"/>
      <c r="AD176" s="31"/>
      <c r="AE176" s="31"/>
      <c r="AF176" s="31"/>
      <c r="AG176" s="31"/>
      <c r="AH176" s="315"/>
      <c r="AI176" s="28"/>
      <c r="AJ176" s="28"/>
      <c r="AK176" s="28"/>
      <c r="AL176" s="31"/>
      <c r="AM176" s="315"/>
      <c r="AN176" s="28"/>
      <c r="AO176" s="28"/>
      <c r="AP176" s="28"/>
      <c r="AQ176" s="31"/>
      <c r="AR176" s="315"/>
      <c r="AS176" s="28"/>
      <c r="AT176" s="28"/>
      <c r="AU176" s="28"/>
      <c r="AV176" s="28"/>
      <c r="AW176" s="315"/>
      <c r="AX176" s="1"/>
      <c r="AY176" s="1"/>
      <c r="AZ176" s="1"/>
      <c r="BA176" s="8"/>
      <c r="BB176" s="315"/>
      <c r="BC176" s="8"/>
      <c r="BD176" s="8"/>
      <c r="BE176" s="8"/>
      <c r="BF176" s="8"/>
      <c r="BG176" s="315"/>
      <c r="BH176" s="8"/>
      <c r="BI176" s="8"/>
      <c r="BJ176" s="8"/>
      <c r="BK176" s="8"/>
      <c r="BL176" s="315"/>
      <c r="BM176" s="8"/>
      <c r="BN176" s="8"/>
      <c r="BO176" s="8"/>
      <c r="BP176" s="8"/>
      <c r="BQ176" s="315"/>
      <c r="BR176" s="8"/>
      <c r="BS176" s="8"/>
      <c r="BT176" s="8"/>
      <c r="BU176" s="8"/>
      <c r="BV176" s="315">
        <f t="shared" ref="BV176:CC176" si="392">IF(ISNUMBER(BV175),(1+BV175)/(1+BV$21)-1,"NM")</f>
      </c>
      <c r="BW176" s="8">
        <f t="shared" si="392"/>
      </c>
      <c r="BX176" s="8">
        <f t="shared" si="392"/>
      </c>
      <c r="BY176" s="8">
        <f t="shared" si="392"/>
      </c>
      <c r="BZ176" s="837">
        <f t="shared" si="392"/>
      </c>
      <c r="CA176" s="315">
        <f t="shared" si="392"/>
      </c>
      <c r="CB176" s="8">
        <f t="shared" si="392"/>
      </c>
      <c r="CC176" s="8">
        <f t="shared" si="392"/>
      </c>
      <c r="CD176" s="30" t="str">
        <f>IF(ISNUMBER(CD175),(1+CD175)/(1+CD$21)-1,"NM")</f>
      </c>
      <c r="CE176" s="837">
        <f t="shared" ref="CE176:CJ176" si="393">IF(ISNUMBER(CE175),(1+CE175)/(1+CE$21)-1,"NM")</f>
      </c>
      <c r="CF176" s="315">
        <f t="shared" si="393"/>
      </c>
      <c r="CG176" s="959">
        <f t="shared" si="393"/>
      </c>
      <c r="CH176" s="959">
        <f t="shared" si="393"/>
      </c>
      <c r="CI176" s="959">
        <f t="shared" si="393"/>
      </c>
      <c r="CJ176" s="925">
        <f t="shared" si="393"/>
      </c>
      <c r="CK176" s="309">
        <f>CK175-CK$21</f>
      </c>
      <c r="CL176" s="959">
        <f>IF(ISNUMBER(CL175),(1+CL175)/(1+CL$21)-1,"NM")</f>
      </c>
      <c r="CM176" s="959">
        <f>IF(ISNUMBER(CM175),(1+CM175)/(1+CM$21)-1,"NM")</f>
      </c>
      <c r="CN176" s="959">
        <f>IF(ISNUMBER(CN175),(1+CN175)/(1+CN$21)-1,"NM")</f>
      </c>
      <c r="CO176" s="925">
        <f>IF(ISNUMBER(CO175),(1+CO175)/(1+CO$21)-1,"NM")</f>
      </c>
      <c r="CP176" s="309">
        <f>CP175-CP$21</f>
      </c>
      <c r="CQ176" s="407">
        <v>0.30399999999999999</v>
      </c>
      <c r="CR176" s="407">
        <v>0.309</v>
      </c>
      <c r="CS176" s="407">
        <v>0.26</v>
      </c>
      <c r="CT176" s="407">
        <v>8.8999999999999996E-2</v>
      </c>
      <c r="CU176" s="309">
        <f>CU175-CU$21</f>
      </c>
      <c r="CV176" s="407">
        <v>0.252</v>
      </c>
      <c r="CW176" s="407">
        <v>0.13100000000000001</v>
      </c>
      <c r="CX176" s="407">
        <v>6.8000000000000005E-2</v>
      </c>
      <c r="CY176" s="407">
        <v>0.03</v>
      </c>
      <c r="CZ176" s="309">
        <f>CZ175-CZ$21</f>
      </c>
      <c r="DA176" s="407">
        <v>0.106</v>
      </c>
      <c r="DB176" s="361">
        <v>6.6000000000000003E-2</v>
      </c>
      <c r="DC176" s="361">
        <v>0.13400000000000001</v>
      </c>
      <c r="DD176" s="1479">
        <v>0.20899999999999999</v>
      </c>
      <c r="DE176" s="308">
        <f>DE175-DE$21</f>
      </c>
      <c r="DF176" s="649">
        <v>0.08</v>
      </c>
      <c r="DG176" s="1208">
        <v>0.03</v>
      </c>
      <c r="DH176" s="1208">
        <v>0.05</v>
      </c>
      <c r="DI176" s="928">
        <f>IF(DI170=0, "NM",DI175-DI$21)</f>
      </c>
      <c r="DJ176" s="308">
        <f>DJ175-DJ$21</f>
      </c>
      <c r="DK176" s="2212">
        <v>0.05</v>
      </c>
      <c r="DL176" s="2213">
        <v>0.05</v>
      </c>
      <c r="DM176" s="2217">
        <v>7.0000000000000007E-2</v>
      </c>
      <c r="DN176" s="928">
        <f>IF(DN170=0, "NM",DN175-DN$21)</f>
      </c>
      <c r="DO176" s="308">
        <f t="shared" ref="DO176:DT176" si="394">DO175-DO$21</f>
      </c>
      <c r="DP176" s="926">
        <f t="shared" si="394"/>
      </c>
      <c r="DQ176" s="2214">
        <f t="shared" si="394"/>
      </c>
      <c r="DR176" s="2214">
        <f t="shared" si="394"/>
      </c>
      <c r="DS176" s="2214">
        <f t="shared" si="394"/>
      </c>
      <c r="DT176" s="308">
        <f t="shared" si="394"/>
      </c>
      <c r="DU176" s="926">
        <f>DU175-(-5.3%)</f>
      </c>
      <c r="DV176" s="926">
        <f>DV175-(2.6%)</f>
      </c>
      <c r="DW176" s="926">
        <f>DW175-(8%)</f>
      </c>
      <c r="DX176" s="926">
        <f>DX175-(4.9%)</f>
      </c>
      <c r="DY176" s="308">
        <f>DY175-DY$21</f>
      </c>
      <c r="DZ176" s="926">
        <f>DZ175-(0.9%)</f>
      </c>
      <c r="EA176" s="926">
        <f>EA175-(-1.5%)</f>
      </c>
      <c r="EB176" s="926">
        <f>EB175-(0.9%)</f>
      </c>
      <c r="EC176" s="926">
        <f>EC175-(0.6%)</f>
      </c>
      <c r="ED176" s="308">
        <f>ED175-ED$21</f>
      </c>
      <c r="EE176" s="926">
        <f>EE175-(0.9%)</f>
      </c>
      <c r="EF176" s="926">
        <f>EF175-(6.3%)</f>
      </c>
      <c r="EG176" s="926">
        <f>EG175-(0.9%)</f>
      </c>
      <c r="EH176" s="1062">
        <f>IF(EH170=0, "NM",EH175-EH$21)</f>
      </c>
      <c r="EI176" s="2210">
        <v>0.15</v>
      </c>
      <c r="EJ176" s="2210">
        <v>-0.15</v>
      </c>
      <c r="EK176" s="2210">
        <v>-0.2</v>
      </c>
      <c r="EL176" s="2210">
        <v>-0.25</v>
      </c>
      <c r="EM176" s="2210">
        <v>-0.2</v>
      </c>
      <c r="EN176" s="2210">
        <v>-0.2</v>
      </c>
      <c r="EO176" s="2210">
        <v>-0.3</v>
      </c>
      <c r="EP176" s="2210">
        <v>-0.2</v>
      </c>
      <c r="EQ176" s="2210">
        <v>-0.15</v>
      </c>
      <c r="ER176" s="2210">
        <v>-0.15</v>
      </c>
      <c r="ES176" s="2210">
        <v>-0.15</v>
      </c>
      <c r="ET176" s="1813"/>
      <c r="EU176" s="1813"/>
      <c r="EV176" s="1813"/>
      <c r="EW176" s="1813"/>
      <c r="EX176" s="1813"/>
    </row>
    <row r="177" spans="1:154" ht="12.75" customHeight="1">
      <c r="B177" s="912" t="s">
        <v>413</v>
      </c>
      <c r="C177" s="1989"/>
      <c r="D177" s="28"/>
      <c r="E177" s="28"/>
      <c r="F177" s="28"/>
      <c r="G177" s="28"/>
      <c r="H177" s="28"/>
      <c r="I177" s="31"/>
      <c r="J177" s="28"/>
      <c r="K177" s="28"/>
      <c r="L177" s="28"/>
      <c r="M177" s="28"/>
      <c r="N177" s="31"/>
      <c r="O177" s="31"/>
      <c r="P177" s="31"/>
      <c r="Q177" s="31"/>
      <c r="R177" s="31"/>
      <c r="S177" s="31"/>
      <c r="T177" s="31"/>
      <c r="U177" s="31"/>
      <c r="V177" s="31"/>
      <c r="W177" s="31"/>
      <c r="X177" s="308"/>
      <c r="Y177" s="31"/>
      <c r="Z177" s="31"/>
      <c r="AA177" s="31"/>
      <c r="AB177" s="31"/>
      <c r="AC177" s="308"/>
      <c r="AD177" s="31"/>
      <c r="AE177" s="31"/>
      <c r="AF177" s="31"/>
      <c r="AG177" s="31"/>
      <c r="AH177" s="308"/>
      <c r="AI177" s="28"/>
      <c r="AJ177" s="28"/>
      <c r="AK177" s="28"/>
      <c r="AL177" s="31"/>
      <c r="AM177" s="308"/>
      <c r="AN177" s="28"/>
      <c r="AO177" s="28"/>
      <c r="AP177" s="28"/>
      <c r="AQ177" s="31"/>
      <c r="AR177" s="308"/>
      <c r="AS177" s="28"/>
      <c r="AT177" s="28"/>
      <c r="AU177" s="28"/>
      <c r="AV177" s="28"/>
      <c r="AW177" s="308"/>
      <c r="AX177" s="30"/>
      <c r="AY177" s="30"/>
      <c r="AZ177" s="30"/>
      <c r="BA177" s="30"/>
      <c r="BB177" s="308"/>
      <c r="BC177" s="30"/>
      <c r="BD177" s="30"/>
      <c r="BE177" s="30"/>
      <c r="BF177" s="30"/>
      <c r="BG177" s="308"/>
      <c r="BH177" s="30"/>
      <c r="BI177" s="30"/>
      <c r="BJ177" s="30"/>
      <c r="BK177" s="30"/>
      <c r="BL177" s="308"/>
      <c r="BM177" s="30"/>
      <c r="BN177" s="30"/>
      <c r="BO177" s="30"/>
      <c r="BP177" s="30"/>
      <c r="BQ177" s="308"/>
      <c r="BR177" s="30"/>
      <c r="BS177" s="30"/>
      <c r="BT177" s="30"/>
      <c r="BU177" s="30"/>
      <c r="BV177" s="308">
        <f t="shared" ref="BV177:CB177" si="395">IF(BQ171="NM","NM",IF(BV171="NM","NM",IF(BQ171&lt;=0,"NM",IF(BV171=0,"NM",IF(ABS(BV171/BQ171-1)&gt;2.5,"NM",IF((ABS(BV171-BQ171)=ABS(ABS(BV171)-ABS(BQ171))),(BV171/BQ171-1),"NM"))))))</f>
      </c>
      <c r="BW177" s="30">
        <f t="shared" si="395"/>
      </c>
      <c r="BX177" s="30">
        <f t="shared" si="395"/>
      </c>
      <c r="BY177" s="30">
        <f t="shared" si="395"/>
      </c>
      <c r="BZ177" s="30">
        <f t="shared" si="395"/>
      </c>
      <c r="CA177" s="308">
        <f t="shared" si="395"/>
      </c>
      <c r="CB177" s="30">
        <f t="shared" si="395"/>
      </c>
      <c r="CC177" s="30">
        <f t="shared" ref="CC177:CI177" si="396">IF(BX171="NM","NM",IF(CC171="NM","NM",IF(BX171&lt;=0,"NM",IF(CC171=0,"NM",IF(ABS(CC171/BX171-1)&gt;2.5,"NM",IF((ABS(CC171-BX171)=ABS(ABS(CC171)-ABS(BX171))),(CC171/BX171-1),"NM"))))))</f>
      </c>
      <c r="CD177" s="30">
        <f t="shared" si="396"/>
      </c>
      <c r="CE177" s="30">
        <f>IF(BZ171="NM","NM",IF(CE171="NM","NM",IF(BZ171&lt;=0,"NM",IF(CE171=0,"NM",IF(ABS(CE171/BZ171-1)&gt;2.5,"NM",IF((ABS(CE171-BZ171)=ABS(ABS(CE171)-ABS(BZ171))),(CE171/BZ171-1),"NM"))))))</f>
      </c>
      <c r="CF177" s="308">
        <f>IF(CA171="NM","NM",IF(CF171="NM","NM",IF(CA171&lt;=0,"NM",IF(CF171=0,"NM",IF(ABS(CF171/CA171-1)&gt;2.5,"NM",IF((ABS(CF171-CA171)=ABS(ABS(CF171)-ABS(CA171))),(CF171/CA171-1),"NM"))))))</f>
      </c>
      <c r="CG177" s="30">
        <f>IF(CB171="NM","NM",IF(CG171="NM","NM",IF(CB171&lt;=0,"NM",IF(CG171=0,"NM",IF(ABS(CG171/CB171-1)&gt;2.5,"NM",IF((ABS(CG171-CB171)=ABS(ABS(CG171)-ABS(CB171))),(CG171/CB171-1),"NM"))))))</f>
      </c>
      <c r="CH177" s="30">
        <f t="shared" si="396"/>
      </c>
      <c r="CI177" s="30">
        <f t="shared" si="396"/>
      </c>
      <c r="CJ177" s="30">
        <f>IF(CE171=0, "NA", CJ171/CE171-1)</f>
      </c>
      <c r="CK177" s="308">
        <f>IF(CF171=0, "NA", CK171/CF171-1)</f>
      </c>
      <c r="CL177" s="30">
        <f>IF(CG171="NM","NM",IF(CL171="NM","NM",IF(CG171&lt;=0,"NM",IF(CL171=0,"NM",IF(ABS(CL171/CG171-1)&gt;2.5,"NM",IF((ABS(CL171-CG171)=ABS(ABS(CL171)-ABS(CG171))),(CL171/CG171-1),"NM"))))))</f>
      </c>
      <c r="CM177" s="30">
        <f>IF(CH171="NM","NM",IF(CM171="NM","NM",IF(CH171&lt;=0,"NM",IF(CM171=0,"NM",IF(ABS(CM171/CH171-1)&gt;2.5,"NM",IF((ABS(CM171-CH171)=ABS(ABS(CM171)-ABS(CH171))),(CM171/CH171-1),"NM"))))))</f>
      </c>
      <c r="CN177" s="30">
        <f>IF(CI171="NM","NM",IF(CN171="NM","NM",IF(CI171&lt;=0,"NM",IF(CN171=0,"NM",IF(ABS(CN171/CI171-1)&gt;2.5,"NM",IF((ABS(CN171-CI171)=ABS(ABS(CN171)-ABS(CI171))),(CN171/CI171-1),"NM"))))))</f>
      </c>
      <c r="CO177" s="30">
        <f>IF(CJ171=0, "NA", CO171/CJ171-1)</f>
      </c>
      <c r="CP177" s="308">
        <f>IF(CK171=0, "NA", CP171/CK171-1)</f>
      </c>
      <c r="CQ177" s="30">
        <f>IF(CL171="NM","NM",IF(CQ171="NM","NM",IF(CL171&lt;=0,"NM",IF(CQ171=0,"NM",IF(ABS(CQ171/CL171-1)&gt;2.5,"NM",IF((ABS(CQ171-CL171)=ABS(ABS(CQ171)-ABS(CL171))),(CQ171/CL171-1),"NM"))))))</f>
      </c>
      <c r="CR177" s="30">
        <f>IF(CM171="NM","NM",IF(CR171="NM","NM",IF(CM171&lt;=0,"NM",IF(CR171=0,"NM",IF(ABS(CR171/CM171-1)&gt;2.5,"NM",IF((ABS(CR171-CM171)=ABS(ABS(CR171)-ABS(CM171))),(CR171/CM171-1),"NM"))))))</f>
      </c>
      <c r="CS177" s="30">
        <f>IF(CN171="NM","NM",IF(CS171="NM","NM",IF(CN171&lt;=0,"NM",IF(CS171=0,"NM",IF(ABS(CS171/CN171-1)&gt;2.5,"NM",IF((ABS(CS171-CN171)=ABS(ABS(CS171)-ABS(CN171))),(CS171/CN171-1),"NM"))))))</f>
      </c>
      <c r="CT177" s="30">
        <f>IF(CO171="NM","NM",IF(CT171="NM","NM",IF(CO171&lt;=0,"NM",IF(CT171=0,"NM",IF(ABS(CT171/CO171-1)&gt;2.5,"NM",IF((ABS(CT171-CO171)=ABS(ABS(CT171)-ABS(CO171))),(CT171/CO171-1),"NM"))))))</f>
      </c>
      <c r="CU177" s="308">
        <f>IF(CP171=0, "NA", CU171/CP171-1)</f>
      </c>
      <c r="CV177" s="30">
        <f>IF(CQ171="NM","NM",IF(CV171="NM","NM",IF(CQ171&lt;=0,"NM",IF(CV171=0,"NM",IF(ABS(CV171/CQ171-1)&gt;2.5,"NM",IF((ABS(CV171-CQ171)=ABS(ABS(CV171)-ABS(CQ171))),(CV171/CQ171-1),"NM"))))))</f>
      </c>
      <c r="CW177" s="30">
        <f>IF(CR171="NM","NM",IF(CW171="NM","NM",IF(CR171&lt;=0,"NM",IF(CW171=0,"NM",IF(ABS(CW171/CR171-1)&gt;2.5,"NM",IF((ABS(CW171-CR171)=ABS(ABS(CW171)-ABS(CR171))),(CW171/CR171-1),"NM"))))))</f>
      </c>
      <c r="CX177" s="30">
        <f>IF(CS171="NM","NM",IF(CX171="NM","NM",IF(CS171&lt;=0,"NM",IF(CX171=0,"NM",IF(ABS(CX171/CS171-1)&gt;2.5,"NM",IF((ABS(CX171-CS171)=ABS(ABS(CX171)-ABS(CS171))),(CX171/CS171-1),"NM"))))))</f>
      </c>
      <c r="CY177" s="30">
        <f>IF(CT171="NM","NM",IF(CY171="NM","NM",IF(CT171&lt;=0,"NM",IF(CY171=0,"NM",IF(ABS(CY171/CT171-1)&gt;2.5,"NM",IF((ABS(CY171-CT171)=ABS(ABS(CY171)-ABS(CT171))),(CY171/CT171-1),"NM"))))))</f>
      </c>
      <c r="CZ177" s="308">
        <f>IF(CU171=0, "NA", CZ171/CU171-1)</f>
      </c>
      <c r="DA177" s="30">
        <f>IF(CV171="NM","NM",IF(DA171="NM","NM",IF(CV171&lt;=0,"NM",IF(DA171=0,"NM",IF(ABS(DA171/CV171-1)&gt;2.5,"NM",IF((ABS(DA171-CV171)=ABS(ABS(DA171)-ABS(CV171))),(DA171/CV171-1),"NM"))))))</f>
      </c>
      <c r="DB177" s="926">
        <f>IF(CW171=0, "NA", DB171/CW171-1)</f>
      </c>
      <c r="DC177" s="926">
        <f>IF(CX171=0, "NA", DC171/CX171-1)</f>
      </c>
      <c r="DD177" s="928">
        <f>IF(CY171=0, "NM", DD171/CY171-1)</f>
      </c>
      <c r="DE177" s="308">
        <f>IF(CZ171=0, "NA", DE171/CZ171-1)</f>
      </c>
      <c r="DF177" s="30">
        <f>IF(DA171="NM","NM",IF(DF171="NM","NM",IF(DA171&lt;=0,"NM",IF(DF171=0,"NM",IF(ABS(DF171/DA171-1)&gt;2.5,"NM",IF((ABS(DF171-DA171)=ABS(ABS(DF171)-ABS(DA171))),(DF171/DA171-1),"NM"))))))</f>
      </c>
      <c r="DG177" s="1219">
        <f>IF(DB171=0, "NA", DG171/DB171-1)</f>
      </c>
      <c r="DH177" s="1219">
        <f>IF(DC171=0, "NA", DH171/DC171-1)</f>
      </c>
      <c r="DI177" s="928">
        <f>IF(DD171=0, "NM", DI171/DD171-1)</f>
      </c>
      <c r="DJ177" s="308">
        <f>IF(DE171=0, "NA", DJ171/DE171-1)</f>
      </c>
      <c r="DK177" s="30">
        <f>IF(DF171="NM","NM",IF(DK171="NM","NM",IF(DF171&lt;=0,"NM",IF(DK171=0,"NM",IF(ABS(DK171/DF171-1)&gt;2.5,"NM",IF((ABS(DK171-DF171)=ABS(ABS(DK171)-ABS(DF171))),(DK171/DF171-1),"NM"))))))</f>
      </c>
      <c r="DL177" s="30">
        <f>IF(DG171="NM","NM",IF(DL171="NM","NM",IF(DG171&lt;=0,"NM",IF(DL171=0,"NM",IF(ABS(DL171/DG171-1)&gt;2.5,"NM",IF((ABS(DL171-DG171)=ABS(ABS(DL171)-ABS(DG171))),(DL171/DG171-1),"NM"))))))</f>
      </c>
      <c r="DM177" s="30">
        <f>IF(DH171="NM","NM",IF(DM171="NM","NM",IF(DH171&lt;=0,"NM",IF(DM171=0,"NM",IF(ABS(DM171/DH171-1)&gt;2.5,"NM",IF((ABS(DM171-DH171)=ABS(ABS(DM171)-ABS(DH171))),(DM171/DH171-1),"NM"))))))</f>
      </c>
      <c r="DN177" s="928">
        <f>IF(DI171=0, "NM", DN171/DI171-1)</f>
      </c>
      <c r="DO177" s="308">
        <f>IF(DJ171=0, "NA", DO171/DJ171-1)</f>
      </c>
      <c r="DP177" s="926">
        <f>IF(DK171="NM","NM",IF(DP171="NM","NM",IF(DK171&lt;=0,"NM",IF(DP171=0,"NM",IF(ABS(DP171/DK171-1)&gt;2.5,"NM",IF((ABS(DP171-DK171)=ABS(ABS(DP171)-ABS(DK171))),(DP171/DK171-1),"NM"))))))</f>
      </c>
      <c r="DQ177" s="30">
        <f>IF(DL171="NM","NM",IF(DQ171="NM","NM",IF(DL171&lt;=0,"NM",IF(DQ171=0,"NM",IF(ABS(DQ171/DL171-1)&gt;2.5,"NM",IF((ABS(DQ171-DL171)=ABS(ABS(DQ171)-ABS(DL171))),(DQ171/DL171-1),"NM"))))))</f>
      </c>
      <c r="DR177" s="30">
        <f>IF(DM171="NM","NM",IF(DR171="NM","NM",IF(DM171&lt;=0,"NM",IF(DR171=0,"NM",IF(ABS(DR171/DM171-1)&gt;2.5,"NM",IF((ABS(DR171-DM171)=ABS(ABS(DR171)-ABS(DM171))),(DR171/DM171-1),"NM"))))))</f>
      </c>
      <c r="DS177" s="30">
        <f>IF(DN171="NM","NM",IF(DS171="NM","NM",IF(DN171&lt;=0,"NM",IF(DS171=0,"NM",IF(ABS(DS171/DN171-1)&gt;2.5,"NM",IF((ABS(DS171-DN171)=ABS(ABS(DS171)-ABS(DN171))),(DS171/DN171-1),"NM"))))))</f>
      </c>
      <c r="DT177" s="308">
        <f>IF(DO171=0, "NA", DT171/DO171-1)</f>
      </c>
      <c r="DU177" s="926">
        <f>IF(DP171="NM","NM",IF(DU171="NM","NM",IF(DP171&lt;=0,"NM",IF(DU171=0,"NM",IF(ABS(DU171/DP171-1)&gt;2.5,"NM",IF((ABS(DU171-DP171)=ABS(ABS(DU171)-ABS(DP171))),(DU171/DP171-1),"NM"))))))</f>
      </c>
      <c r="DV177" s="926">
        <f>IF(DQ171="NM","NM",IF(DV171="NM","NM",IF(DQ171&lt;=0,"NM",IF(DV171=0,"NM",IF(ABS(DV171/DQ171-1)&gt;2.5,"NM",IF((ABS(DV171-DQ171)=ABS(ABS(DV171)-ABS(DQ171))),(DV171/DQ171-1),"NM"))))))</f>
      </c>
      <c r="DW177" s="926">
        <f>IF(DR171="NM","NM",IF(DW171="NM","NM",IF(DR171&lt;=0,"NM",IF(DW171=0,"NM",IF(ABS(DW171/DR171-1)&gt;2.5,"NM",IF((ABS(DW171-DR171)=ABS(ABS(DW171)-ABS(DR171))),(DW171/DR171-1),"NM"))))))</f>
      </c>
      <c r="DX177" s="926">
        <f>IF(DS171="NM","NM",IF(DX171="NM","NM",IF(DS171&lt;=0,"NM",IF(DX171=0,"NM",IF(ABS(DX171/DS171-1)&gt;2.5,"NM",IF((ABS(DX171-DS171)=ABS(ABS(DX171)-ABS(DS171))),(DX171/DS171-1),"NM"))))))</f>
      </c>
      <c r="DY177" s="308">
        <f>IF(DT171=0, "NA", DY171/DT171-1)</f>
      </c>
      <c r="DZ177" s="926">
        <f>IF(DU171=0, "NA", DZ171/DU171-1)</f>
      </c>
      <c r="EA177" s="926">
        <f>IF(DV171=0, "NA", EA171/DV171-1)</f>
      </c>
      <c r="EB177" s="926">
        <f>IF(DW171=0, "NA", EB171/DW171-1)</f>
      </c>
      <c r="EC177" s="926">
        <f>IF(DX171=0, "NM", EC171/DX171-1)</f>
      </c>
      <c r="ED177" s="308">
        <f>IF(DY171=0, "NA", ED171/DY171-1)</f>
      </c>
      <c r="EE177" s="926">
        <f>IF(DZ171=0, "NA", EE171/DZ171-1)</f>
      </c>
      <c r="EF177" s="926">
        <f>IF(EA171=0, "NA", EF171/EA171-1)</f>
      </c>
      <c r="EG177" s="926">
        <f>IF(EB171=0, "NA", EG171/EB171-1)</f>
      </c>
      <c r="EH177" s="926">
        <f>IF(EC171=0, "NM", EH171/EC171-1)</f>
      </c>
      <c r="EI177" s="308">
        <f>IF(ED171=0, "NA", EI171/ED171-1)</f>
      </c>
      <c r="EJ177" s="308">
        <f t="shared" ref="EJ177:EN177" si="397">IF(EI171=0, "NA", EJ171/EI171-1)</f>
      </c>
      <c r="EK177" s="308">
        <f t="shared" si="397"/>
      </c>
      <c r="EL177" s="308">
        <f t="shared" si="397"/>
      </c>
      <c r="EM177" s="308">
        <f t="shared" si="397"/>
      </c>
      <c r="EN177" s="308">
        <f t="shared" si="397"/>
      </c>
      <c r="EO177" s="308">
        <f t="shared" ref="EO177" si="398">IF(EN171=0, "NA", EO171/EN171-1)</f>
      </c>
      <c r="EP177" s="308">
        <f t="shared" ref="EP177" si="399">IF(EO171=0, "NA", EP171/EO171-1)</f>
      </c>
      <c r="EQ177" s="308">
        <f t="shared" ref="EQ177" si="400">IF(EP171=0, "NA", EQ171/EP171-1)</f>
      </c>
      <c r="ER177" s="308">
        <f t="shared" ref="ER177" si="401">IF(EQ171=0, "NA", ER171/EQ171-1)</f>
      </c>
      <c r="ES177" s="308">
        <f t="shared" ref="ES177" si="402">IF(ER171=0, "NA", ES171/ER171-1)</f>
      </c>
      <c r="ET177" s="409"/>
      <c r="EU177" s="409"/>
      <c r="EV177" s="409"/>
      <c r="EW177" s="409"/>
      <c r="EX177" s="409"/>
    </row>
    <row r="178" spans="1:154" ht="12.75" customHeight="1">
      <c r="B178" s="1173"/>
      <c r="C178" s="1989"/>
      <c r="D178" s="28"/>
      <c r="E178" s="28"/>
      <c r="F178" s="28"/>
      <c r="G178" s="28"/>
      <c r="H178" s="28"/>
      <c r="I178" s="31"/>
      <c r="J178" s="28"/>
      <c r="K178" s="28"/>
      <c r="L178" s="28"/>
      <c r="M178" s="28"/>
      <c r="N178" s="31"/>
      <c r="O178" s="31"/>
      <c r="P178" s="31"/>
      <c r="Q178" s="31"/>
      <c r="R178" s="31"/>
      <c r="S178" s="31"/>
      <c r="T178" s="31"/>
      <c r="U178" s="31"/>
      <c r="V178" s="31"/>
      <c r="W178" s="31"/>
      <c r="X178" s="308"/>
      <c r="Y178" s="31"/>
      <c r="Z178" s="31"/>
      <c r="AA178" s="31"/>
      <c r="AB178" s="31"/>
      <c r="AC178" s="308"/>
      <c r="AD178" s="31"/>
      <c r="AE178" s="31"/>
      <c r="AF178" s="31"/>
      <c r="AG178" s="31"/>
      <c r="AH178" s="308"/>
      <c r="AI178" s="28"/>
      <c r="AJ178" s="28"/>
      <c r="AK178" s="28"/>
      <c r="AL178" s="31"/>
      <c r="AM178" s="308"/>
      <c r="AN178" s="28"/>
      <c r="AO178" s="28"/>
      <c r="AP178" s="28"/>
      <c r="AQ178" s="31"/>
      <c r="AR178" s="308"/>
      <c r="AS178" s="28"/>
      <c r="AT178" s="28"/>
      <c r="AU178" s="28"/>
      <c r="AV178" s="28"/>
      <c r="AW178" s="308"/>
      <c r="AX178" s="30"/>
      <c r="AY178" s="30"/>
      <c r="AZ178" s="30"/>
      <c r="BA178" s="30"/>
      <c r="BB178" s="308"/>
      <c r="BC178" s="30"/>
      <c r="BD178" s="30"/>
      <c r="BE178" s="30"/>
      <c r="BF178" s="30"/>
      <c r="BG178" s="308"/>
      <c r="BH178" s="30"/>
      <c r="BI178" s="30"/>
      <c r="BJ178" s="30"/>
      <c r="BK178" s="30"/>
      <c r="BL178" s="308"/>
      <c r="BM178" s="30"/>
      <c r="BN178" s="30"/>
      <c r="BO178" s="30"/>
      <c r="BP178" s="30"/>
      <c r="BQ178" s="308"/>
      <c r="BR178" s="30"/>
      <c r="BS178" s="30"/>
      <c r="BT178" s="30"/>
      <c r="BU178" s="30"/>
      <c r="BV178" s="308"/>
      <c r="BW178" s="30"/>
      <c r="BX178" s="30"/>
      <c r="BY178" s="30"/>
      <c r="BZ178" s="30"/>
      <c r="CA178" s="308"/>
      <c r="CB178" s="30"/>
      <c r="CC178" s="30"/>
      <c r="CD178" s="30"/>
      <c r="CE178" s="30"/>
      <c r="CF178" s="308"/>
      <c r="CG178" s="30"/>
      <c r="CH178" s="30"/>
      <c r="CI178" s="30"/>
      <c r="CJ178" s="30"/>
      <c r="CK178" s="308"/>
      <c r="CL178" s="958"/>
      <c r="CM178" s="926"/>
      <c r="CN178" s="926"/>
      <c r="CO178" s="30"/>
      <c r="CP178" s="308"/>
      <c r="CQ178" s="926"/>
      <c r="CR178" s="926"/>
      <c r="CS178" s="926"/>
      <c r="CT178" s="926"/>
      <c r="CU178" s="308"/>
      <c r="CV178" s="926"/>
      <c r="CW178" s="926"/>
      <c r="CX178" s="926"/>
      <c r="CY178" s="926"/>
      <c r="CZ178" s="308"/>
      <c r="DA178" s="926"/>
      <c r="DB178" s="30"/>
      <c r="DC178" s="30"/>
      <c r="DD178" s="409"/>
      <c r="DE178" s="308"/>
      <c r="DF178" s="926"/>
      <c r="DG178" s="1361"/>
      <c r="DH178" s="1361"/>
      <c r="DI178" s="409"/>
      <c r="DJ178" s="308"/>
      <c r="DK178" s="830"/>
      <c r="DL178" s="30"/>
      <c r="DM178" s="30"/>
      <c r="DN178" s="409"/>
      <c r="DO178" s="308"/>
      <c r="DP178" s="30"/>
      <c r="DQ178" s="30"/>
      <c r="DR178" s="30"/>
      <c r="DS178" s="409"/>
      <c r="DT178" s="308"/>
      <c r="DU178" s="926"/>
      <c r="DV178" s="926"/>
      <c r="DW178" s="926"/>
      <c r="DX178" s="928"/>
      <c r="DY178" s="308"/>
      <c r="DZ178" s="926"/>
      <c r="EA178" s="926"/>
      <c r="EB178" s="926"/>
      <c r="EC178" s="928"/>
      <c r="ED178" s="1060"/>
      <c r="EE178" s="926"/>
      <c r="EF178" s="926"/>
      <c r="EG178" s="926"/>
      <c r="EH178" s="928"/>
      <c r="EI178" s="308"/>
      <c r="EJ178" s="308"/>
      <c r="EK178" s="409"/>
      <c r="EL178" s="409"/>
      <c r="EM178" s="409"/>
      <c r="EN178" s="409"/>
      <c r="EO178" s="409"/>
      <c r="EP178" s="409"/>
      <c r="EQ178" s="409"/>
      <c r="ER178" s="409"/>
      <c r="ES178" s="409"/>
      <c r="ET178" s="409"/>
      <c r="EU178" s="409"/>
      <c r="EV178" s="409"/>
      <c r="EW178" s="409"/>
      <c r="EX178" s="409"/>
    </row>
    <row r="179" spans="1:154" ht="12.75" customHeight="1">
      <c r="B179" s="1164" t="s">
        <v>923</v>
      </c>
      <c r="C179" s="1989"/>
      <c r="D179" s="28"/>
      <c r="E179" s="28"/>
      <c r="F179" s="28"/>
      <c r="G179" s="28"/>
      <c r="H179" s="28"/>
      <c r="I179" s="31"/>
      <c r="J179" s="28"/>
      <c r="K179" s="28"/>
      <c r="L179" s="28"/>
      <c r="M179" s="28"/>
      <c r="N179" s="31"/>
      <c r="O179" s="31"/>
      <c r="P179" s="31"/>
      <c r="Q179" s="31"/>
      <c r="R179" s="31"/>
      <c r="S179" s="31"/>
      <c r="T179" s="31"/>
      <c r="U179" s="31"/>
      <c r="V179" s="31"/>
      <c r="W179" s="31"/>
      <c r="X179" s="313"/>
      <c r="Y179" s="31"/>
      <c r="Z179" s="31"/>
      <c r="AA179" s="31"/>
      <c r="AB179" s="31"/>
      <c r="AC179" s="313"/>
      <c r="AD179" s="31"/>
      <c r="AE179" s="31"/>
      <c r="AF179" s="31"/>
      <c r="AG179" s="31"/>
      <c r="AH179" s="313"/>
      <c r="AI179" s="28"/>
      <c r="AJ179" s="28"/>
      <c r="AK179" s="28"/>
      <c r="AL179" s="31"/>
      <c r="AM179" s="313"/>
      <c r="AN179" s="28"/>
      <c r="AO179" s="28"/>
      <c r="AP179" s="28"/>
      <c r="AQ179" s="31"/>
      <c r="AR179" s="313"/>
      <c r="AS179" s="28"/>
      <c r="AT179" s="28"/>
      <c r="AU179" s="28"/>
      <c r="AV179" s="28"/>
      <c r="AW179" s="313"/>
      <c r="AX179" s="28"/>
      <c r="AY179" s="28"/>
      <c r="AZ179" s="28"/>
      <c r="BA179" s="28"/>
      <c r="BB179" s="313"/>
      <c r="BC179" s="28"/>
      <c r="BD179" s="28"/>
      <c r="BE179" s="28"/>
      <c r="BF179" s="28"/>
      <c r="BG179" s="313"/>
      <c r="BH179" s="28"/>
      <c r="BI179" s="28"/>
      <c r="BJ179" s="28"/>
      <c r="BK179" s="28"/>
      <c r="BL179" s="313"/>
      <c r="BM179" s="28"/>
      <c r="BN179" s="28"/>
      <c r="BO179" s="28"/>
      <c r="BP179" s="28"/>
      <c r="BQ179" s="313"/>
      <c r="BR179" s="28"/>
      <c r="BS179" s="28"/>
      <c r="BT179" s="28"/>
      <c r="BU179" s="28"/>
      <c r="BV179" s="313"/>
      <c r="BW179" s="28"/>
      <c r="BX179" s="28"/>
      <c r="BY179" s="28"/>
      <c r="BZ179" s="28"/>
      <c r="CA179" s="313"/>
      <c r="CB179" s="28"/>
      <c r="CC179" s="28"/>
      <c r="CD179" s="28"/>
      <c r="CE179" s="28"/>
      <c r="CF179" s="313"/>
      <c r="CG179" s="28"/>
      <c r="CH179" s="28"/>
      <c r="CI179" s="28"/>
      <c r="CJ179" s="28"/>
      <c r="CK179" s="313"/>
      <c r="CL179" s="961"/>
      <c r="CM179" s="933"/>
      <c r="CN179" s="933"/>
      <c r="CO179" s="28"/>
      <c r="CP179" s="313"/>
      <c r="CQ179" s="933"/>
      <c r="CR179" s="933"/>
      <c r="CS179" s="933"/>
      <c r="CT179" s="933"/>
      <c r="CU179" s="313"/>
      <c r="CV179" s="933"/>
      <c r="CW179" s="933"/>
      <c r="CX179" s="933"/>
      <c r="CY179" s="933"/>
      <c r="CZ179" s="313"/>
      <c r="DA179" s="933"/>
      <c r="DB179" s="31"/>
      <c r="DC179" s="31"/>
      <c r="DD179" s="955"/>
      <c r="DE179" s="477"/>
      <c r="DF179" s="982"/>
      <c r="DG179" s="603"/>
      <c r="DH179" s="603"/>
      <c r="DI179" s="1798"/>
      <c r="DJ179" s="477"/>
      <c r="DK179" s="1799"/>
      <c r="DL179" s="603"/>
      <c r="DM179" s="603"/>
      <c r="DN179" s="1798"/>
      <c r="DO179" s="477"/>
      <c r="DP179" s="603"/>
      <c r="DQ179" s="603"/>
      <c r="DR179" s="603"/>
      <c r="DS179" s="1798"/>
      <c r="DT179" s="477"/>
      <c r="DU179" s="603"/>
      <c r="DV179" s="603"/>
      <c r="DW179" s="603"/>
      <c r="DX179" s="1798"/>
      <c r="DY179" s="477"/>
      <c r="DZ179" s="603"/>
      <c r="EA179" s="603"/>
      <c r="EB179" s="603"/>
      <c r="EC179" s="1798"/>
      <c r="ED179" s="477"/>
      <c r="EE179" s="603"/>
      <c r="EF179" s="603"/>
      <c r="EG179" s="603"/>
      <c r="EH179" s="1798"/>
      <c r="EI179" s="477"/>
      <c r="EJ179" s="477"/>
      <c r="EK179" s="1798"/>
      <c r="EL179" s="1798"/>
      <c r="EM179" s="1798"/>
      <c r="EN179" s="1798"/>
      <c r="EO179" s="1798"/>
      <c r="EP179" s="1798"/>
      <c r="EQ179" s="1798"/>
      <c r="ER179" s="1798"/>
      <c r="ES179" s="1798"/>
      <c r="ET179" s="1798"/>
      <c r="EU179" s="1798"/>
      <c r="EV179" s="1798"/>
      <c r="EW179" s="1798"/>
      <c r="EX179" s="1798"/>
    </row>
    <row r="180" spans="1:154" ht="12.75" customHeight="1">
      <c r="B180" s="1168" t="s">
        <v>921</v>
      </c>
      <c r="C180" s="1997"/>
      <c r="D180" s="28"/>
      <c r="E180" s="28"/>
      <c r="F180" s="28"/>
      <c r="G180" s="28"/>
      <c r="H180" s="28"/>
      <c r="I180" s="31"/>
      <c r="J180" s="28"/>
      <c r="K180" s="28"/>
      <c r="L180" s="28"/>
      <c r="M180" s="28"/>
      <c r="N180" s="31"/>
      <c r="O180" s="31"/>
      <c r="P180" s="31"/>
      <c r="Q180" s="31"/>
      <c r="R180" s="31"/>
      <c r="S180" s="31"/>
      <c r="T180" s="31"/>
      <c r="U180" s="31"/>
      <c r="V180" s="31"/>
      <c r="W180" s="31"/>
      <c r="X180" s="312"/>
      <c r="Y180" s="31"/>
      <c r="Z180" s="31"/>
      <c r="AA180" s="31"/>
      <c r="AB180" s="31"/>
      <c r="AC180" s="312"/>
      <c r="AD180" s="31"/>
      <c r="AE180" s="31"/>
      <c r="AF180" s="31"/>
      <c r="AG180" s="31"/>
      <c r="AH180" s="312"/>
      <c r="AI180" s="28"/>
      <c r="AJ180" s="28"/>
      <c r="AK180" s="28"/>
      <c r="AL180" s="31"/>
      <c r="AM180" s="312"/>
      <c r="AN180" s="33"/>
      <c r="AO180" s="33"/>
      <c r="AP180" s="33"/>
      <c r="AQ180" s="28"/>
      <c r="AR180" s="312"/>
      <c r="AS180" s="33"/>
      <c r="AT180" s="33"/>
      <c r="AU180" s="33"/>
      <c r="AV180" s="28"/>
      <c r="AW180" s="312"/>
      <c r="AX180" s="33"/>
      <c r="AY180" s="33"/>
      <c r="AZ180" s="33"/>
      <c r="BA180" s="33"/>
      <c r="BB180" s="312"/>
      <c r="BC180" s="28"/>
      <c r="BD180" s="28"/>
      <c r="BE180" s="28"/>
      <c r="BF180" s="28"/>
      <c r="BG180" s="312"/>
      <c r="BH180" s="28"/>
      <c r="BI180" s="28"/>
      <c r="BJ180" s="28"/>
      <c r="BK180" s="28"/>
      <c r="BL180" s="312"/>
      <c r="BM180" s="670">
        <f t="shared" ref="BM180:BP182" si="403">BM70-BM81-BM114</f>
      </c>
      <c r="BN180" s="670">
        <f t="shared" si="403"/>
      </c>
      <c r="BO180" s="670">
        <f t="shared" si="403"/>
      </c>
      <c r="BP180" s="670">
        <f t="shared" si="403"/>
      </c>
      <c r="BQ180" s="599">
        <f>SUM(BM180:BP180)</f>
      </c>
      <c r="BR180" s="670">
        <f t="shared" ref="BR180:BU181" si="404">BR70-BR81-BR114</f>
      </c>
      <c r="BS180" s="670">
        <f t="shared" si="404"/>
      </c>
      <c r="BT180" s="670">
        <f t="shared" si="404"/>
      </c>
      <c r="BU180" s="670">
        <f t="shared" si="404"/>
      </c>
      <c r="BV180" s="599">
        <f>SUM(BR180:BU180)</f>
      </c>
      <c r="BW180" s="670">
        <f t="shared" ref="BW180:BZ181" si="405">BW70-BW81-BW114</f>
      </c>
      <c r="BX180" s="670">
        <f t="shared" si="405"/>
      </c>
      <c r="BY180" s="670">
        <f t="shared" si="405"/>
      </c>
      <c r="BZ180" s="28">
        <f t="shared" si="405"/>
      </c>
      <c r="CA180" s="313">
        <f>SUM(BW180:BZ180)</f>
      </c>
      <c r="CB180" s="670">
        <f t="shared" ref="CB180:CE181" si="406">CB70-CB81-CB114</f>
      </c>
      <c r="CC180" s="670">
        <f t="shared" si="406"/>
      </c>
      <c r="CD180" s="670">
        <f t="shared" si="406"/>
      </c>
      <c r="CE180" s="28">
        <f t="shared" si="406"/>
      </c>
      <c r="CF180" s="313">
        <f>SUM(CB180:CE180)</f>
      </c>
      <c r="CG180" s="670">
        <f t="shared" ref="CG180:CJ181" si="407">CG70-CG81-CG114</f>
      </c>
      <c r="CH180" s="670">
        <f t="shared" si="407"/>
      </c>
      <c r="CI180" s="670">
        <f t="shared" si="407"/>
      </c>
      <c r="CJ180" s="670">
        <f t="shared" si="407"/>
      </c>
      <c r="CK180" s="313">
        <f>SUM(CG180:CJ180)</f>
      </c>
      <c r="CL180" s="670">
        <f t="shared" ref="CL180:CO181" si="408">CL70-CL81-CL114</f>
      </c>
      <c r="CM180" s="670">
        <f>CM70-CM81-CM114</f>
      </c>
      <c r="CN180" s="670">
        <f>CN70-CN81-CN114</f>
      </c>
      <c r="CO180" s="670">
        <f t="shared" si="408"/>
      </c>
      <c r="CP180" s="313">
        <f>SUM(CL180:CO180)</f>
      </c>
      <c r="CQ180" s="670">
        <f t="shared" ref="CQ180:CT181" si="409">+CQ70-CQ125-CQ169</f>
      </c>
      <c r="CR180" s="670">
        <f t="shared" si="409"/>
      </c>
      <c r="CS180" s="670">
        <f t="shared" si="409"/>
      </c>
      <c r="CT180" s="670">
        <f t="shared" si="409"/>
      </c>
      <c r="CU180" s="313">
        <f>SUM(CQ180:CT180)</f>
      </c>
      <c r="CV180" s="670">
        <f t="shared" ref="CV180:CY181" si="410">+CV70-CV125-CV169</f>
      </c>
      <c r="CW180" s="670">
        <f t="shared" si="410"/>
      </c>
      <c r="CX180" s="670">
        <f t="shared" si="410"/>
      </c>
      <c r="CY180" s="670">
        <f t="shared" si="410"/>
      </c>
      <c r="CZ180" s="313">
        <f>SUM(CV180:CY180)</f>
      </c>
      <c r="DA180" s="670">
        <f t="shared" ref="DA180:DD181" si="411">+DA70-DA125-DA169</f>
      </c>
      <c r="DB180" s="670">
        <f t="shared" si="411"/>
      </c>
      <c r="DC180" s="670">
        <f t="shared" si="411"/>
      </c>
      <c r="DD180" s="670">
        <f t="shared" si="411"/>
      </c>
      <c r="DE180" s="1835">
        <f>SUM(DA180:DD180)</f>
      </c>
      <c r="DF180" s="1975">
        <f t="shared" ref="DF180:DI181" si="412">+DF70-DF125-DF169</f>
      </c>
      <c r="DG180" s="1975">
        <f t="shared" si="412"/>
      </c>
      <c r="DH180" s="1975">
        <f t="shared" si="412"/>
      </c>
      <c r="DI180" s="1975">
        <f>+DI70-DI125-DI169</f>
      </c>
      <c r="DJ180" s="1835">
        <f>SUM(DF180:DI180)</f>
      </c>
      <c r="DK180" s="2223">
        <f>+DK70-DK125-DK169</f>
      </c>
      <c r="DL180" s="1542">
        <f>+DL70-DL125-DL169</f>
      </c>
      <c r="DM180" s="1542">
        <v>18</v>
      </c>
      <c r="DN180" s="1975">
        <f>+DN70-DN125-DN169</f>
      </c>
      <c r="DO180" s="1835">
        <f>SUM(DK180:DN180)</f>
      </c>
      <c r="DP180" s="1975">
        <f t="shared" ref="DP180:DS181" si="413">+DP70-DP125-DP169</f>
      </c>
      <c r="DQ180" s="1542">
        <f t="shared" si="413"/>
      </c>
      <c r="DR180" s="1542">
        <f t="shared" si="413"/>
      </c>
      <c r="DS180" s="1975">
        <f>+DS70-DS125-DS169</f>
      </c>
      <c r="DT180" s="1835">
        <f>SUM(DP180:DS180)</f>
      </c>
      <c r="DU180" s="710">
        <v>5</v>
      </c>
      <c r="DV180" s="710">
        <v>5</v>
      </c>
      <c r="DW180" s="710">
        <v>5.2</v>
      </c>
      <c r="DX180" s="710">
        <v>4</v>
      </c>
      <c r="DY180" s="1835">
        <f>SUM(DU180:DX180)</f>
      </c>
      <c r="DZ180" s="710">
        <v>1.7</v>
      </c>
      <c r="EA180" s="710">
        <v>5</v>
      </c>
      <c r="EB180" s="710">
        <v>2.5</v>
      </c>
      <c r="EC180" s="1839">
        <v>1</v>
      </c>
      <c r="ED180" s="1835">
        <f>SUM(DZ180:EC180)</f>
      </c>
      <c r="EE180" s="710">
        <v>1.7</v>
      </c>
      <c r="EF180" s="710">
        <v>2</v>
      </c>
      <c r="EG180" s="710">
        <v>4</v>
      </c>
      <c r="EH180" s="710">
        <v>3</v>
      </c>
      <c r="EI180" s="573">
        <f>SUM(EE180:EH180)</f>
      </c>
      <c r="EJ180" s="573">
        <f t="shared" ref="EJ180:EM181" si="414">EI180*(1+EJ185)</f>
      </c>
      <c r="EK180" s="573">
        <f t="shared" si="414"/>
      </c>
      <c r="EL180" s="573">
        <f t="shared" si="414"/>
      </c>
      <c r="EM180" s="573">
        <f t="shared" si="414"/>
      </c>
      <c r="EN180" s="573">
        <f>EM180*(1+EN185)</f>
      </c>
      <c r="EO180" s="573">
        <f t="shared" ref="EO180:ES180" si="415">EN180*(1+EO185)</f>
      </c>
      <c r="EP180" s="573">
        <f t="shared" si="415"/>
      </c>
      <c r="EQ180" s="573">
        <f t="shared" si="415"/>
      </c>
      <c r="ER180" s="573">
        <f t="shared" si="415"/>
      </c>
      <c r="ES180" s="573">
        <f t="shared" si="415"/>
      </c>
      <c r="ET180" s="1788"/>
      <c r="EU180" s="1788"/>
      <c r="EV180" s="1788"/>
      <c r="EW180" s="1788"/>
      <c r="EX180" s="1788"/>
    </row>
    <row r="181" spans="1:154" ht="12.75" customHeight="1">
      <c r="B181" s="1168" t="s">
        <v>412</v>
      </c>
      <c r="C181" s="1989"/>
      <c r="D181" s="28"/>
      <c r="E181" s="28"/>
      <c r="F181" s="28"/>
      <c r="G181" s="28"/>
      <c r="H181" s="28"/>
      <c r="I181" s="31"/>
      <c r="J181" s="28"/>
      <c r="K181" s="28"/>
      <c r="L181" s="28"/>
      <c r="M181" s="28"/>
      <c r="N181" s="31"/>
      <c r="O181" s="31"/>
      <c r="P181" s="31"/>
      <c r="Q181" s="31"/>
      <c r="R181" s="31"/>
      <c r="S181" s="31"/>
      <c r="T181" s="31"/>
      <c r="U181" s="31"/>
      <c r="V181" s="31"/>
      <c r="W181" s="31"/>
      <c r="X181" s="312"/>
      <c r="Y181" s="31"/>
      <c r="Z181" s="31"/>
      <c r="AA181" s="31"/>
      <c r="AB181" s="31"/>
      <c r="AC181" s="312"/>
      <c r="AD181" s="31"/>
      <c r="AE181" s="31"/>
      <c r="AF181" s="31"/>
      <c r="AG181" s="31"/>
      <c r="AH181" s="312"/>
      <c r="AI181" s="28"/>
      <c r="AJ181" s="28"/>
      <c r="AK181" s="28"/>
      <c r="AL181" s="31"/>
      <c r="AM181" s="312"/>
      <c r="AN181" s="33"/>
      <c r="AO181" s="33"/>
      <c r="AP181" s="33"/>
      <c r="AQ181" s="28"/>
      <c r="AR181" s="312"/>
      <c r="AS181" s="33"/>
      <c r="AT181" s="33"/>
      <c r="AU181" s="33"/>
      <c r="AV181" s="28"/>
      <c r="AW181" s="312"/>
      <c r="AX181" s="28"/>
      <c r="AY181" s="33"/>
      <c r="AZ181" s="33"/>
      <c r="BA181" s="33"/>
      <c r="BB181" s="312"/>
      <c r="BC181" s="28"/>
      <c r="BD181" s="28"/>
      <c r="BE181" s="28"/>
      <c r="BF181" s="28"/>
      <c r="BG181" s="312"/>
      <c r="BH181" s="28"/>
      <c r="BI181" s="28"/>
      <c r="BJ181" s="28"/>
      <c r="BK181" s="28"/>
      <c r="BL181" s="312"/>
      <c r="BM181" s="670">
        <f t="shared" si="403"/>
      </c>
      <c r="BN181" s="670">
        <f t="shared" si="403"/>
      </c>
      <c r="BO181" s="670">
        <f t="shared" si="403"/>
      </c>
      <c r="BP181" s="670">
        <f t="shared" si="403"/>
      </c>
      <c r="BQ181" s="599">
        <f>SUM(BM181:BP181)</f>
      </c>
      <c r="BR181" s="670">
        <f t="shared" si="404"/>
      </c>
      <c r="BS181" s="670">
        <f t="shared" si="404"/>
      </c>
      <c r="BT181" s="670">
        <f t="shared" si="404"/>
      </c>
      <c r="BU181" s="670">
        <f t="shared" si="404"/>
      </c>
      <c r="BV181" s="599">
        <f>SUM(BR181:BU181)</f>
      </c>
      <c r="BW181" s="670">
        <f t="shared" si="405"/>
      </c>
      <c r="BX181" s="670">
        <f t="shared" si="405"/>
      </c>
      <c r="BY181" s="670">
        <f t="shared" si="405"/>
      </c>
      <c r="BZ181" s="28">
        <f t="shared" si="405"/>
      </c>
      <c r="CA181" s="313">
        <f>SUM(BW181:BZ181)</f>
      </c>
      <c r="CB181" s="670">
        <f t="shared" si="406"/>
      </c>
      <c r="CC181" s="670">
        <f t="shared" si="406"/>
      </c>
      <c r="CD181" s="670">
        <f t="shared" si="406"/>
      </c>
      <c r="CE181" s="28">
        <f t="shared" si="406"/>
      </c>
      <c r="CF181" s="313">
        <f>SUM(CB181:CE181)</f>
      </c>
      <c r="CG181" s="670">
        <f t="shared" si="407"/>
      </c>
      <c r="CH181" s="670">
        <f t="shared" si="407"/>
      </c>
      <c r="CI181" s="670">
        <f t="shared" si="407"/>
      </c>
      <c r="CJ181" s="670">
        <f t="shared" si="407"/>
      </c>
      <c r="CK181" s="313">
        <f>SUM(CG181:CJ181)</f>
      </c>
      <c r="CL181" s="670">
        <f t="shared" si="408"/>
      </c>
      <c r="CM181" s="670">
        <f>CM71-CM82-CM115</f>
      </c>
      <c r="CN181" s="670">
        <f>CN71-CN82-CN115</f>
      </c>
      <c r="CO181" s="670">
        <f t="shared" si="408"/>
      </c>
      <c r="CP181" s="313">
        <f>SUM(CL181:CO181)</f>
      </c>
      <c r="CQ181" s="670">
        <f t="shared" si="409"/>
      </c>
      <c r="CR181" s="670">
        <f t="shared" si="409"/>
      </c>
      <c r="CS181" s="670">
        <f t="shared" si="409"/>
      </c>
      <c r="CT181" s="670">
        <f t="shared" si="409"/>
      </c>
      <c r="CU181" s="313">
        <f>SUM(CQ181:CT181)</f>
      </c>
      <c r="CV181" s="670">
        <f t="shared" si="410"/>
      </c>
      <c r="CW181" s="670">
        <f t="shared" si="410"/>
      </c>
      <c r="CX181" s="670">
        <f t="shared" si="410"/>
      </c>
      <c r="CY181" s="670">
        <f t="shared" si="410"/>
      </c>
      <c r="CZ181" s="313">
        <f>SUM(CV181:CY181)</f>
      </c>
      <c r="DA181" s="670">
        <f t="shared" si="411"/>
      </c>
      <c r="DB181" s="670">
        <f t="shared" si="411"/>
      </c>
      <c r="DC181" s="670">
        <f t="shared" si="411"/>
      </c>
      <c r="DD181" s="670">
        <f t="shared" si="411"/>
      </c>
      <c r="DE181" s="1835">
        <f>SUM(DA181:DD181)</f>
      </c>
      <c r="DF181" s="1975">
        <f t="shared" si="412"/>
      </c>
      <c r="DG181" s="1975">
        <f t="shared" si="412"/>
      </c>
      <c r="DH181" s="1975">
        <f t="shared" si="412"/>
      </c>
      <c r="DI181" s="1975">
        <f t="shared" si="412"/>
      </c>
      <c r="DJ181" s="1835">
        <f>SUM(DF181:DI181)</f>
      </c>
      <c r="DK181" s="1975">
        <f>+DK71-DK126-DK170</f>
      </c>
      <c r="DL181" s="1542">
        <f>+DL71-DL126-DL170</f>
      </c>
      <c r="DM181" s="1542">
        <v>93</v>
      </c>
      <c r="DN181" s="1975">
        <f>+DN71-DN126-DN170</f>
      </c>
      <c r="DO181" s="1835">
        <f>SUM(DK181:DN181)</f>
      </c>
      <c r="DP181" s="1975">
        <f t="shared" si="413"/>
      </c>
      <c r="DQ181" s="1542">
        <f t="shared" si="413"/>
      </c>
      <c r="DR181" s="1542">
        <f t="shared" si="413"/>
      </c>
      <c r="DS181" s="1975">
        <f t="shared" si="413"/>
      </c>
      <c r="DT181" s="1835">
        <f>SUM(DP181:DS181)</f>
      </c>
      <c r="DU181" s="710">
        <v>76.8</v>
      </c>
      <c r="DV181" s="710">
        <v>74.2</v>
      </c>
      <c r="DW181" s="710">
        <v>69.2</v>
      </c>
      <c r="DX181" s="710">
        <v>58</v>
      </c>
      <c r="DY181" s="1835">
        <f>SUM(DU181:DX181)</f>
      </c>
      <c r="DZ181" s="710">
        <v>51.5</v>
      </c>
      <c r="EA181" s="710">
        <v>55</v>
      </c>
      <c r="EB181" s="710">
        <v>52.5</v>
      </c>
      <c r="EC181" s="1839">
        <v>43</v>
      </c>
      <c r="ED181" s="1835">
        <f>SUM(DZ181:EC181)</f>
      </c>
      <c r="EE181" s="710">
        <v>39</v>
      </c>
      <c r="EF181" s="710">
        <v>45</v>
      </c>
      <c r="EG181" s="710">
        <v>42</v>
      </c>
      <c r="EH181" s="710">
        <v>40</v>
      </c>
      <c r="EI181" s="573">
        <f t="shared" ref="EI181:EI182" si="416">SUM(EE181:EH181)</f>
      </c>
      <c r="EJ181" s="573">
        <f t="shared" si="414"/>
      </c>
      <c r="EK181" s="573">
        <f t="shared" si="414"/>
      </c>
      <c r="EL181" s="573">
        <f t="shared" si="414"/>
      </c>
      <c r="EM181" s="573">
        <f t="shared" si="414"/>
      </c>
      <c r="EN181" s="573">
        <f>EM181*(1+EN186)</f>
      </c>
      <c r="EO181" s="573">
        <f t="shared" ref="EO181:ES181" si="417">EN181*(1+EO186)</f>
      </c>
      <c r="EP181" s="573">
        <f t="shared" si="417"/>
      </c>
      <c r="EQ181" s="573">
        <f t="shared" si="417"/>
      </c>
      <c r="ER181" s="573">
        <f t="shared" si="417"/>
      </c>
      <c r="ES181" s="573">
        <f t="shared" si="417"/>
      </c>
      <c r="ET181" s="1788"/>
      <c r="EU181" s="1788"/>
      <c r="EV181" s="1788"/>
      <c r="EW181" s="1788"/>
      <c r="EX181" s="1788"/>
    </row>
    <row r="182" spans="1:154" ht="12.75" customHeight="1">
      <c r="B182" s="1168" t="s">
        <v>413</v>
      </c>
      <c r="C182" s="1989"/>
      <c r="D182" s="28"/>
      <c r="E182" s="28"/>
      <c r="F182" s="28"/>
      <c r="G182" s="28"/>
      <c r="H182" s="28"/>
      <c r="I182" s="31"/>
      <c r="J182" s="28"/>
      <c r="K182" s="28"/>
      <c r="L182" s="28"/>
      <c r="M182" s="28"/>
      <c r="N182" s="31"/>
      <c r="O182" s="31"/>
      <c r="P182" s="31"/>
      <c r="Q182" s="31"/>
      <c r="R182" s="31"/>
      <c r="S182" s="31"/>
      <c r="T182" s="31"/>
      <c r="U182" s="31"/>
      <c r="V182" s="31"/>
      <c r="W182" s="31"/>
      <c r="X182" s="313"/>
      <c r="Y182" s="31"/>
      <c r="Z182" s="31"/>
      <c r="AA182" s="31"/>
      <c r="AB182" s="31"/>
      <c r="AC182" s="313"/>
      <c r="AD182" s="31"/>
      <c r="AE182" s="31"/>
      <c r="AF182" s="31"/>
      <c r="AG182" s="31"/>
      <c r="AH182" s="313"/>
      <c r="AI182" s="28"/>
      <c r="AJ182" s="28"/>
      <c r="AK182" s="28"/>
      <c r="AL182" s="31"/>
      <c r="AM182" s="313"/>
      <c r="AN182" s="28"/>
      <c r="AO182" s="28"/>
      <c r="AP182" s="28"/>
      <c r="AQ182" s="31"/>
      <c r="AR182" s="313"/>
      <c r="AS182" s="28"/>
      <c r="AT182" s="28"/>
      <c r="AU182" s="28"/>
      <c r="AV182" s="28"/>
      <c r="AW182" s="313"/>
      <c r="AX182" s="28"/>
      <c r="AY182" s="28"/>
      <c r="AZ182" s="28"/>
      <c r="BA182" s="28"/>
      <c r="BB182" s="313"/>
      <c r="BC182" s="28"/>
      <c r="BD182" s="28"/>
      <c r="BE182" s="28"/>
      <c r="BF182" s="28"/>
      <c r="BG182" s="312"/>
      <c r="BH182" s="28"/>
      <c r="BI182" s="28"/>
      <c r="BJ182" s="28"/>
      <c r="BK182" s="28"/>
      <c r="BL182" s="312"/>
      <c r="BM182" s="28">
        <f t="shared" si="403"/>
      </c>
      <c r="BN182" s="28">
        <f t="shared" si="403"/>
      </c>
      <c r="BO182" s="28">
        <f t="shared" si="403"/>
      </c>
      <c r="BP182" s="28">
        <f t="shared" si="403"/>
      </c>
      <c r="BQ182" s="312">
        <f>SUM(BQ180:BQ181)</f>
      </c>
      <c r="BR182" s="28">
        <f>BR180+BR181</f>
      </c>
      <c r="BS182" s="28">
        <f>BS180+BS181</f>
      </c>
      <c r="BT182" s="28">
        <f>BT180+BT181</f>
      </c>
      <c r="BU182" s="28">
        <f>BU180+BU181</f>
      </c>
      <c r="BV182" s="312">
        <f>SUM(BV180:BV181)</f>
      </c>
      <c r="BW182" s="28">
        <f>+SUM(BW180:BW181)</f>
      </c>
      <c r="BX182" s="28">
        <f>+SUM(BX180:BX181)</f>
      </c>
      <c r="BY182" s="28">
        <f>+SUM(BY180:BY181)</f>
      </c>
      <c r="BZ182" s="28">
        <f>+SUM(BZ180:BZ181)</f>
      </c>
      <c r="CA182" s="313">
        <f>SUM(BW182:BZ182)</f>
      </c>
      <c r="CB182" s="28">
        <f>+SUM(CB180:CB181)</f>
      </c>
      <c r="CC182" s="28">
        <f>+SUM(CC180:CC181)</f>
      </c>
      <c r="CD182" s="28">
        <f>+SUM(CD180:CD181)</f>
      </c>
      <c r="CE182" s="28">
        <f>+SUM(CE180:CE181)</f>
      </c>
      <c r="CF182" s="313">
        <f>SUM(CB182:CE182)</f>
      </c>
      <c r="CG182" s="28">
        <f>+SUM(CG180:CG181)</f>
      </c>
      <c r="CH182" s="28">
        <f>+SUM(CH180:CH181)</f>
      </c>
      <c r="CI182" s="28">
        <f>+SUM(CI180:CI181)</f>
      </c>
      <c r="CJ182" s="28">
        <f>+SUM(CJ180:CJ181)</f>
      </c>
      <c r="CK182" s="313">
        <f>SUM(CG182:CJ182)</f>
      </c>
      <c r="CL182" s="28">
        <f>+SUM(CL180:CL181)</f>
      </c>
      <c r="CM182" s="28">
        <f>+SUM(CM180:CM181)</f>
      </c>
      <c r="CN182" s="28">
        <f>+SUM(CN180:CN181)</f>
      </c>
      <c r="CO182" s="28">
        <f>+SUM(CO180:CO181)</f>
      </c>
      <c r="CP182" s="313">
        <f>SUM(CL182:CO182)</f>
      </c>
      <c r="CQ182" s="933">
        <f>+SUM(CQ180:CQ181)</f>
      </c>
      <c r="CR182" s="933">
        <f>+SUM(CR180:CR181)</f>
      </c>
      <c r="CS182" s="933">
        <f>+SUM(CS180:CS181)</f>
      </c>
      <c r="CT182" s="933">
        <f>+SUM(CT180:CT181)</f>
      </c>
      <c r="CU182" s="313">
        <f>SUM(CQ182:CT182)</f>
      </c>
      <c r="CV182" s="933">
        <f>+SUM(CV180:CV181)</f>
      </c>
      <c r="CW182" s="933">
        <f>+SUM(CW180:CW181)</f>
      </c>
      <c r="CX182" s="933">
        <f>+SUM(CX180:CX181)</f>
      </c>
      <c r="CY182" s="933">
        <f>+SUM(CY180:CY181)</f>
      </c>
      <c r="CZ182" s="313">
        <f>SUM(CV182:CY182)</f>
      </c>
      <c r="DA182" s="933">
        <f>+SUM(DA180:DA181)</f>
      </c>
      <c r="DB182" s="933">
        <f>+SUM(DB180:DB181)</f>
      </c>
      <c r="DC182" s="31">
        <f>+SUM(DC180:DC181)</f>
      </c>
      <c r="DD182" s="955">
        <f>+DD180+DD181</f>
      </c>
      <c r="DE182" s="1835">
        <f>SUM(DA182:DD182)</f>
      </c>
      <c r="DF182" s="1542">
        <f>+SUM(DF180:DF181)</f>
      </c>
      <c r="DG182" s="1542">
        <f>+SUM(DG180:DG181)</f>
      </c>
      <c r="DH182" s="1542">
        <f>+SUM(DH180:DH181)</f>
      </c>
      <c r="DI182" s="1556">
        <f>+DI180+DI181</f>
      </c>
      <c r="DJ182" s="1835">
        <f>SUM(DF182:DI182)</f>
      </c>
      <c r="DK182" s="1542">
        <f>+SUM(DK180:DK181)</f>
      </c>
      <c r="DL182" s="1542">
        <f>+SUM(DL180:DL181)</f>
      </c>
      <c r="DM182" s="1542">
        <f>+SUM(DM180:DM181)</f>
      </c>
      <c r="DN182" s="1556">
        <f>+DN180+DN181</f>
      </c>
      <c r="DO182" s="573">
        <f>SUM(DO180:DO181)</f>
      </c>
      <c r="DP182" s="1542">
        <f>+SUM(DP180:DP181)</f>
      </c>
      <c r="DQ182" s="1542">
        <f>+SUM(DQ180:DQ181)</f>
      </c>
      <c r="DR182" s="1542">
        <f>+SUM(DR180:DR181)</f>
      </c>
      <c r="DS182" s="1556">
        <f>+DS180+DS181</f>
      </c>
      <c r="DT182" s="573">
        <f>SUM(DT180:DT181)</f>
      </c>
      <c r="DU182" s="1542">
        <f>+SUM(DU180:DU181)</f>
      </c>
      <c r="DV182" s="1542">
        <f>+SUM(DV180:DV181)</f>
      </c>
      <c r="DW182" s="1542">
        <f>+SUM(DW180:DW181)</f>
      </c>
      <c r="DX182" s="1542">
        <f>+SUM(DX180:DX181)</f>
      </c>
      <c r="DY182" s="573">
        <f>SUM(DY180:DY181)</f>
      </c>
      <c r="DZ182" s="1542">
        <f>+SUM(DZ180:DZ181)</f>
      </c>
      <c r="EA182" s="1542">
        <f>+SUM(EA180:EA181)</f>
      </c>
      <c r="EB182" s="1542">
        <f>+SUM(EB180:EB181)</f>
      </c>
      <c r="EC182" s="1556">
        <f>+EC180+EC181</f>
      </c>
      <c r="ED182" s="2060">
        <f t="shared" ref="ED182" si="418">SUM(ED180:ED181)</f>
      </c>
      <c r="EE182" s="1542">
        <f>+SUM(EE180:EE181)</f>
      </c>
      <c r="EF182" s="1542">
        <f>+SUM(EF180:EF181)</f>
      </c>
      <c r="EG182" s="1542">
        <f>+SUM(EG180:EG181)</f>
      </c>
      <c r="EH182" s="1556">
        <f>+EH180+EH181</f>
      </c>
      <c r="EI182" s="573">
        <f t="shared" si="416"/>
      </c>
      <c r="EJ182" s="573">
        <f t="shared" ref="EJ182:EM182" si="419">SUM(EJ180:EJ181)</f>
      </c>
      <c r="EK182" s="573">
        <f t="shared" si="419"/>
      </c>
      <c r="EL182" s="573">
        <f t="shared" si="419"/>
      </c>
      <c r="EM182" s="573">
        <f t="shared" si="419"/>
      </c>
      <c r="EN182" s="573">
        <f>SUM(EN180:EN181)</f>
      </c>
      <c r="EO182" s="573">
        <f t="shared" ref="EO182:ES182" si="420">SUM(EO180:EO181)</f>
      </c>
      <c r="EP182" s="573">
        <f t="shared" si="420"/>
      </c>
      <c r="EQ182" s="573">
        <f t="shared" si="420"/>
      </c>
      <c r="ER182" s="573">
        <f t="shared" si="420"/>
      </c>
      <c r="ES182" s="573">
        <f t="shared" si="420"/>
      </c>
      <c r="ET182" s="1788"/>
      <c r="EU182" s="1788"/>
      <c r="EV182" s="1788"/>
      <c r="EW182" s="1788"/>
      <c r="EX182" s="1788"/>
    </row>
    <row r="183" spans="1:154" ht="12.75" customHeight="1">
      <c r="B183" s="1168"/>
      <c r="C183" s="1989"/>
      <c r="D183" s="28"/>
      <c r="E183" s="28"/>
      <c r="F183" s="28"/>
      <c r="G183" s="28"/>
      <c r="H183" s="28"/>
      <c r="I183" s="31"/>
      <c r="J183" s="28"/>
      <c r="K183" s="28"/>
      <c r="L183" s="28"/>
      <c r="M183" s="28"/>
      <c r="N183" s="31"/>
      <c r="O183" s="31"/>
      <c r="P183" s="31"/>
      <c r="Q183" s="31"/>
      <c r="R183" s="31"/>
      <c r="S183" s="31"/>
      <c r="T183" s="31"/>
      <c r="U183" s="31"/>
      <c r="V183" s="31"/>
      <c r="W183" s="31"/>
      <c r="X183" s="313"/>
      <c r="Y183" s="31"/>
      <c r="Z183" s="31"/>
      <c r="AA183" s="31"/>
      <c r="AB183" s="31"/>
      <c r="AC183" s="313"/>
      <c r="AD183" s="31"/>
      <c r="AE183" s="31"/>
      <c r="AF183" s="31"/>
      <c r="AG183" s="31"/>
      <c r="AH183" s="313"/>
      <c r="AI183" s="28"/>
      <c r="AJ183" s="28"/>
      <c r="AK183" s="28"/>
      <c r="AL183" s="31"/>
      <c r="AM183" s="313"/>
      <c r="AN183" s="28"/>
      <c r="AO183" s="28"/>
      <c r="AP183" s="28"/>
      <c r="AQ183" s="31"/>
      <c r="AR183" s="313"/>
      <c r="AS183" s="28"/>
      <c r="AT183" s="28"/>
      <c r="AU183" s="28"/>
      <c r="AV183" s="28"/>
      <c r="AW183" s="313"/>
      <c r="AX183" s="28"/>
      <c r="AY183" s="28"/>
      <c r="AZ183" s="28"/>
      <c r="BA183" s="28"/>
      <c r="BB183" s="313"/>
      <c r="BC183" s="28"/>
      <c r="BD183" s="28"/>
      <c r="BE183" s="28"/>
      <c r="BF183" s="28"/>
      <c r="BG183" s="313"/>
      <c r="BH183" s="28"/>
      <c r="BI183" s="28"/>
      <c r="BJ183" s="28"/>
      <c r="BK183" s="28"/>
      <c r="BL183" s="313"/>
      <c r="BM183" s="28"/>
      <c r="BN183" s="28"/>
      <c r="BO183" s="28"/>
      <c r="BP183" s="28"/>
      <c r="BQ183" s="313"/>
      <c r="BR183" s="28"/>
      <c r="BS183" s="28"/>
      <c r="BT183" s="28"/>
      <c r="BU183" s="28"/>
      <c r="BV183" s="313"/>
      <c r="BW183" s="28"/>
      <c r="BX183" s="28"/>
      <c r="BY183" s="28"/>
      <c r="BZ183" s="28"/>
      <c r="CA183" s="313"/>
      <c r="CB183" s="28"/>
      <c r="CC183" s="28"/>
      <c r="CD183" s="28"/>
      <c r="CE183" s="28"/>
      <c r="CF183" s="313"/>
      <c r="CG183" s="28"/>
      <c r="CH183" s="28"/>
      <c r="CI183" s="28"/>
      <c r="CJ183" s="28"/>
      <c r="CK183" s="313"/>
      <c r="CL183" s="28"/>
      <c r="CM183" s="28"/>
      <c r="CN183" s="28"/>
      <c r="CO183" s="28"/>
      <c r="CP183" s="313"/>
      <c r="CQ183" s="933"/>
      <c r="CR183" s="933"/>
      <c r="CS183" s="933"/>
      <c r="CT183" s="933"/>
      <c r="CU183" s="313"/>
      <c r="CV183" s="933"/>
      <c r="CW183" s="933"/>
      <c r="CX183" s="933"/>
      <c r="CY183" s="933"/>
      <c r="CZ183" s="313"/>
      <c r="DA183" s="933"/>
      <c r="DB183" s="31"/>
      <c r="DC183" s="31"/>
      <c r="DD183" s="955"/>
      <c r="DE183" s="477"/>
      <c r="DF183" s="982"/>
      <c r="DG183" s="603"/>
      <c r="DH183" s="603"/>
      <c r="DI183" s="1798"/>
      <c r="DJ183" s="477"/>
      <c r="DK183" s="1799"/>
      <c r="DL183" s="603"/>
      <c r="DM183" s="603"/>
      <c r="DN183" s="1798"/>
      <c r="DO183" s="477"/>
      <c r="DP183" s="603"/>
      <c r="DQ183" s="603"/>
      <c r="DR183" s="603"/>
      <c r="DS183" s="1798"/>
      <c r="DT183" s="477"/>
      <c r="DU183" s="603"/>
      <c r="DV183" s="603"/>
      <c r="DW183" s="603"/>
      <c r="DX183" s="603"/>
      <c r="DY183" s="477"/>
      <c r="DZ183" s="603"/>
      <c r="EA183" s="603"/>
      <c r="EB183" s="603"/>
      <c r="EC183" s="1798"/>
      <c r="ED183" s="477"/>
      <c r="EE183" s="603"/>
      <c r="EF183" s="603"/>
      <c r="EG183" s="603"/>
      <c r="EH183" s="1798"/>
      <c r="EI183" s="477"/>
      <c r="EJ183" s="477"/>
      <c r="EK183" s="477"/>
      <c r="EL183" s="477"/>
      <c r="EM183" s="477"/>
      <c r="EN183" s="477"/>
      <c r="EO183" s="477"/>
      <c r="EP183" s="477"/>
      <c r="EQ183" s="477"/>
      <c r="ER183" s="477"/>
      <c r="ES183" s="477"/>
      <c r="ET183" s="1798"/>
      <c r="EU183" s="1798"/>
      <c r="EV183" s="1798"/>
      <c r="EW183" s="1798"/>
      <c r="EX183" s="1798"/>
    </row>
    <row r="184" spans="1:154" ht="12.75" customHeight="1">
      <c r="B184" s="1162" t="s">
        <v>924</v>
      </c>
      <c r="C184" s="1989"/>
      <c r="D184" s="28"/>
      <c r="E184" s="28"/>
      <c r="F184" s="28"/>
      <c r="G184" s="28"/>
      <c r="H184" s="28"/>
      <c r="I184" s="31"/>
      <c r="J184" s="28"/>
      <c r="K184" s="28"/>
      <c r="L184" s="28"/>
      <c r="M184" s="28"/>
      <c r="N184" s="31"/>
      <c r="O184" s="31"/>
      <c r="P184" s="31"/>
      <c r="Q184" s="31"/>
      <c r="R184" s="31"/>
      <c r="S184" s="31"/>
      <c r="T184" s="31"/>
      <c r="U184" s="31"/>
      <c r="V184" s="31"/>
      <c r="W184" s="31"/>
      <c r="X184" s="313"/>
      <c r="Y184" s="31"/>
      <c r="Z184" s="31"/>
      <c r="AA184" s="31"/>
      <c r="AB184" s="31"/>
      <c r="AC184" s="313"/>
      <c r="AD184" s="31"/>
      <c r="AE184" s="31"/>
      <c r="AF184" s="31"/>
      <c r="AG184" s="31"/>
      <c r="AH184" s="313"/>
      <c r="AI184" s="28"/>
      <c r="AJ184" s="28"/>
      <c r="AK184" s="28"/>
      <c r="AL184" s="31"/>
      <c r="AM184" s="313"/>
      <c r="AN184" s="28"/>
      <c r="AO184" s="28"/>
      <c r="AP184" s="28"/>
      <c r="AQ184" s="31"/>
      <c r="AR184" s="313"/>
      <c r="AS184" s="28"/>
      <c r="AT184" s="28"/>
      <c r="AU184" s="28"/>
      <c r="AV184" s="28"/>
      <c r="AW184" s="313"/>
      <c r="AX184" s="28"/>
      <c r="AY184" s="28"/>
      <c r="AZ184" s="28"/>
      <c r="BA184" s="28"/>
      <c r="BB184" s="313"/>
      <c r="BC184" s="28"/>
      <c r="BD184" s="28"/>
      <c r="BE184" s="28"/>
      <c r="BF184" s="28"/>
      <c r="BG184" s="313"/>
      <c r="BH184" s="28"/>
      <c r="BI184" s="28"/>
      <c r="BJ184" s="28"/>
      <c r="BK184" s="28"/>
      <c r="BL184" s="313"/>
      <c r="BM184" s="28"/>
      <c r="BN184" s="28"/>
      <c r="BO184" s="28"/>
      <c r="BP184" s="28"/>
      <c r="BQ184" s="313"/>
      <c r="BR184" s="28"/>
      <c r="BS184" s="28"/>
      <c r="BT184" s="28"/>
      <c r="BU184" s="28"/>
      <c r="BV184" s="313"/>
      <c r="BW184" s="28"/>
      <c r="BX184" s="28"/>
      <c r="BY184" s="28"/>
      <c r="BZ184" s="28"/>
      <c r="CA184" s="313"/>
      <c r="CB184" s="28"/>
      <c r="CC184" s="28"/>
      <c r="CD184" s="28"/>
      <c r="CE184" s="28"/>
      <c r="CF184" s="313"/>
      <c r="CG184" s="28"/>
      <c r="CH184" s="28"/>
      <c r="CI184" s="28"/>
      <c r="CJ184" s="28"/>
      <c r="CK184" s="313"/>
      <c r="CL184" s="28"/>
      <c r="CM184" s="28"/>
      <c r="CN184" s="28"/>
      <c r="CO184" s="28"/>
      <c r="CP184" s="313"/>
      <c r="CQ184" s="933"/>
      <c r="CR184" s="933"/>
      <c r="CS184" s="933"/>
      <c r="CT184" s="933"/>
      <c r="CU184" s="313"/>
      <c r="CV184" s="933"/>
      <c r="CW184" s="933"/>
      <c r="CX184" s="933"/>
      <c r="CY184" s="933"/>
      <c r="CZ184" s="313"/>
      <c r="DA184" s="933"/>
      <c r="DB184" s="31"/>
      <c r="DC184" s="31"/>
      <c r="DD184" s="955"/>
      <c r="DE184" s="477"/>
      <c r="DF184" s="982"/>
      <c r="DG184" s="603"/>
      <c r="DH184" s="603"/>
      <c r="DI184" s="1798"/>
      <c r="DJ184" s="477"/>
      <c r="DK184" s="1799"/>
      <c r="DL184" s="603"/>
      <c r="DM184" s="603"/>
      <c r="DN184" s="1798"/>
      <c r="DO184" s="477"/>
      <c r="DP184" s="603"/>
      <c r="DQ184" s="603"/>
      <c r="DR184" s="603"/>
      <c r="DS184" s="1798"/>
      <c r="DT184" s="477"/>
      <c r="DU184" s="603"/>
      <c r="DV184" s="603"/>
      <c r="DW184" s="603"/>
      <c r="DX184" s="603"/>
      <c r="DY184" s="477"/>
      <c r="DZ184" s="603"/>
      <c r="EA184" s="603"/>
      <c r="EB184" s="603"/>
      <c r="EC184" s="1798"/>
      <c r="ED184" s="477"/>
      <c r="EE184" s="603"/>
      <c r="EF184" s="603"/>
      <c r="EG184" s="603"/>
      <c r="EH184" s="1798"/>
      <c r="EI184" s="477"/>
      <c r="EJ184" s="477"/>
      <c r="EK184" s="477"/>
      <c r="EL184" s="477"/>
      <c r="EM184" s="477"/>
      <c r="EN184" s="477"/>
      <c r="EO184" s="477"/>
      <c r="EP184" s="477"/>
      <c r="EQ184" s="477"/>
      <c r="ER184" s="477"/>
      <c r="ES184" s="477"/>
      <c r="ET184" s="1798"/>
      <c r="EU184" s="1798"/>
      <c r="EV184" s="1798"/>
      <c r="EW184" s="1798"/>
      <c r="EX184" s="1798"/>
    </row>
    <row r="185" spans="1:154" ht="12.75" customHeight="1">
      <c r="B185" s="1169" t="s">
        <v>921</v>
      </c>
      <c r="C185" s="1989"/>
      <c r="D185" s="28"/>
      <c r="E185" s="28"/>
      <c r="F185" s="28"/>
      <c r="G185" s="28"/>
      <c r="H185" s="28"/>
      <c r="I185" s="31"/>
      <c r="J185" s="28"/>
      <c r="K185" s="28"/>
      <c r="L185" s="28"/>
      <c r="M185" s="28"/>
      <c r="N185" s="31"/>
      <c r="O185" s="31"/>
      <c r="P185" s="31"/>
      <c r="Q185" s="31"/>
      <c r="R185" s="31"/>
      <c r="S185" s="31"/>
      <c r="T185" s="31"/>
      <c r="U185" s="31"/>
      <c r="V185" s="31"/>
      <c r="W185" s="31"/>
      <c r="X185" s="308"/>
      <c r="Y185" s="31"/>
      <c r="Z185" s="31"/>
      <c r="AA185" s="31"/>
      <c r="AB185" s="31"/>
      <c r="AC185" s="308"/>
      <c r="AD185" s="31"/>
      <c r="AE185" s="31"/>
      <c r="AF185" s="31"/>
      <c r="AG185" s="31"/>
      <c r="AH185" s="308"/>
      <c r="AI185" s="28"/>
      <c r="AJ185" s="28"/>
      <c r="AK185" s="28"/>
      <c r="AL185" s="31"/>
      <c r="AM185" s="308"/>
      <c r="AN185" s="28"/>
      <c r="AO185" s="28"/>
      <c r="AP185" s="28"/>
      <c r="AQ185" s="31"/>
      <c r="AR185" s="308"/>
      <c r="AS185" s="28"/>
      <c r="AT185" s="28"/>
      <c r="AU185" s="28"/>
      <c r="AV185" s="28"/>
      <c r="AW185" s="308"/>
      <c r="AX185" s="30"/>
      <c r="AY185" s="30"/>
      <c r="AZ185" s="30"/>
      <c r="BA185" s="30"/>
      <c r="BB185" s="308"/>
      <c r="BC185" s="30"/>
      <c r="BD185" s="30"/>
      <c r="BE185" s="30"/>
      <c r="BF185" s="30"/>
      <c r="BG185" s="308"/>
      <c r="BH185" s="30"/>
      <c r="BI185" s="30"/>
      <c r="BJ185" s="30"/>
      <c r="BK185" s="30"/>
      <c r="BL185" s="308"/>
      <c r="BM185" s="30" t="str">
        <f t="shared" ref="BM185:BV186" si="421">IF(BH180="NM","NM",IF(BM180="NM","NM",IF(BH180&lt;=0,"NM",IF(BM180=0,"NM",IF(ABS(BM180/BH180-1)&gt;2.5,"NM",IF((ABS(BM180-BH180)=ABS(ABS(BM180)-ABS(BH180))),(BM180/BH180-1),"NM"))))))</f>
      </c>
      <c r="BN185" s="30" t="str">
        <f t="shared" si="421"/>
      </c>
      <c r="BO185" s="30" t="str">
        <f t="shared" si="421"/>
      </c>
      <c r="BP185" s="30" t="str">
        <f t="shared" si="421"/>
      </c>
      <c r="BQ185" s="308" t="str">
        <f t="shared" si="421"/>
      </c>
      <c r="BR185" s="30">
        <f t="shared" si="421"/>
      </c>
      <c r="BS185" s="30">
        <f t="shared" si="421"/>
      </c>
      <c r="BT185" s="30" t="str">
        <f t="shared" si="421"/>
      </c>
      <c r="BU185" s="30" t="str">
        <f t="shared" si="421"/>
      </c>
      <c r="BV185" s="308">
        <f t="shared" si="421"/>
      </c>
      <c r="BW185" s="30">
        <f t="shared" ref="BW185:CF186" si="422">IF(BR180="NM","NM",IF(BW180="NM","NM",IF(BR180&lt;=0,"NM",IF(BW180=0,"NM",IF(ABS(BW180/BR180-1)&gt;2.5,"NM",IF((ABS(BW180-BR180)=ABS(ABS(BW180)-ABS(BR180))),(BW180/BR180-1),"NM"))))))</f>
      </c>
      <c r="BX185" s="30">
        <f t="shared" si="422"/>
      </c>
      <c r="BY185" s="30">
        <f t="shared" si="422"/>
      </c>
      <c r="BZ185" s="30">
        <f t="shared" si="422"/>
      </c>
      <c r="CA185" s="308">
        <f t="shared" si="422"/>
      </c>
      <c r="CB185" s="30" t="str">
        <f t="shared" si="422"/>
      </c>
      <c r="CC185" s="30">
        <f t="shared" si="422"/>
      </c>
      <c r="CD185" s="30" t="str">
        <f t="shared" si="422"/>
      </c>
      <c r="CE185" s="30">
        <f t="shared" si="422"/>
      </c>
      <c r="CF185" s="308">
        <f t="shared" si="422"/>
      </c>
      <c r="CG185" s="30" t="str">
        <f t="shared" ref="CG185:CJ186" si="423">IF(CB180="NM","NM",IF(CG180="NM","NM",IF(CB180&lt;=0,"NM",IF(CG180=0,"NM",IF(ABS(CG180/CB180-1)&gt;2.5,"NM",IF((ABS(CG180-CB180)=ABS(ABS(CG180)-ABS(CB180))),(CG180/CB180-1),"NM"))))))</f>
      </c>
      <c r="CH185" s="30" t="str">
        <f t="shared" si="423"/>
      </c>
      <c r="CI185" s="30" t="str">
        <f t="shared" si="423"/>
      </c>
      <c r="CJ185" s="30">
        <f t="shared" si="423"/>
      </c>
      <c r="CK185" s="308">
        <f>IF(CF180=0, "NA", CK180/CF180-1)</f>
      </c>
      <c r="CL185" s="30">
        <f t="shared" ref="CL185:CO186" si="424">IF(CG180="NM","NM",IF(CL180="NM","NM",IF(CG180&lt;=0,"NM",IF(CL180=0,"NM",IF(ABS(CL180/CG180-1)&gt;2.5,"NM",IF((ABS(CL180-CG180)=ABS(ABS(CL180)-ABS(CG180))),(CL180/CG180-1),"NM"))))))</f>
      </c>
      <c r="CM185" s="30">
        <f t="shared" si="424"/>
      </c>
      <c r="CN185" s="30">
        <f t="shared" si="424"/>
      </c>
      <c r="CO185" s="30" t="str">
        <f t="shared" si="424"/>
      </c>
      <c r="CP185" s="308">
        <f>IF(CK180=0, "NA", CP180/CK180-1)</f>
      </c>
      <c r="CQ185" s="30" t="str">
        <f t="shared" ref="CQ185:CT186" si="425">IF(CL180="NM","NM",IF(CQ180="NM","NM",IF(CL180&lt;=0,"NM",IF(CQ180=0,"NM",IF(ABS(CQ180/CL180-1)&gt;2.5,"NM",IF((ABS(CQ180-CL180)=ABS(ABS(CQ180)-ABS(CL180))),(CQ180/CL180-1),"NM"))))))</f>
      </c>
      <c r="CR185" s="30" t="str">
        <f t="shared" si="425"/>
      </c>
      <c r="CS185" s="30" t="str">
        <f t="shared" si="425"/>
      </c>
      <c r="CT185" s="30" t="str">
        <f t="shared" si="425"/>
      </c>
      <c r="CU185" s="308">
        <f>IF(CP180=0, "NA", CU180/CP180-1)</f>
      </c>
      <c r="CV185" s="30">
        <f t="shared" ref="CV185:CX186" si="426">IF(CQ180="NM","NM",IF(CV180="NM","NM",IF(CQ180&lt;=0,"NM",IF(CV180=0,"NM",IF(ABS(CV180/CQ180-1)&gt;2.5,"NM",IF((ABS(CV180-CQ180)=ABS(ABS(CV180)-ABS(CQ180))),(CV180/CQ180-1),"NM"))))))</f>
      </c>
      <c r="CW185" s="30">
        <f t="shared" si="426"/>
      </c>
      <c r="CX185" s="30">
        <f t="shared" si="426"/>
      </c>
      <c r="CY185" s="30">
        <f>IF(CT180="NM","NM",IF(CY180="NM","NM",IF(CT180&lt;=0,"NM",IF(CY180=0,"NM",IF(ABS(CY180/CT180-1)&gt;2.5,"NM",IF((ABS(CY180-CT180)=ABS(ABS(CY180)-ABS(CT180))),(CY180/CT180-1),"NM"))))))</f>
      </c>
      <c r="CZ185" s="308">
        <f>IF(CU180=0, "NA", CZ180/CU180-1)</f>
      </c>
      <c r="DA185" s="30">
        <f>IF(CV180="NM","NM",IF(DA180="NM","NM",IF(CV180&lt;=0,"NM",IF(DA180=0,"NM",IF(ABS(DA180/CV180-1)&gt;2.5,"NM",IF((ABS(DA180-CV180)=ABS(ABS(DA180)-ABS(CV180))),(DA180/CV180-1),"NM"))))))</f>
      </c>
      <c r="DB185" s="30">
        <f>IF(CW180="NM","NM",IF(DB180="NM","NM",IF(CW180&lt;=0,"NM",IF(DB180=0,"NM",IF(ABS(DB180/CW180-1)&gt;2.5,"NM",IF((ABS(DB180-CW180)=ABS(ABS(DB180)-ABS(CW180))),(DB180/CW180-1),"NM"))))))</f>
      </c>
      <c r="DC185" s="30">
        <f>IF(CX180="NM","NM",IF(DC180="NM","NM",IF(CX180&lt;=0,"NM",IF(DC180=0,"NM",IF(ABS(DC180/CX180-1)&gt;2.5,"NM",IF((ABS(DC180-CX180)=ABS(ABS(DC180)-ABS(CX180))),(DC180/CX180-1),"NM"))))))</f>
      </c>
      <c r="DD185" s="30">
        <f>IF(DD180=0,"NM",+DD180/CY180-1)</f>
      </c>
      <c r="DE185" s="308">
        <f>IF(CZ180=0, "NA", DE180/CZ180-1)</f>
      </c>
      <c r="DF185" s="30">
        <f t="shared" ref="DF185:DH186" si="427">IF(DA180="NM","NM",IF(DF180="NM","NM",IF(DA180&lt;=0,"NM",IF(DF180=0,"NM",IF(ABS(DF180/DA180-1)&gt;2.5,"NM",IF((ABS(DF180-DA180)=ABS(ABS(DF180)-ABS(DA180))),(DF180/DA180-1),"NM"))))))</f>
      </c>
      <c r="DG185" s="30">
        <f t="shared" si="427"/>
      </c>
      <c r="DH185" s="30">
        <f t="shared" si="427"/>
      </c>
      <c r="DI185" s="30">
        <f>IF(DI180=0,"NM",+DI180/DD180-1)</f>
      </c>
      <c r="DJ185" s="308">
        <f>IF(DE180=0, "NA", DJ180/DE180-1)</f>
      </c>
      <c r="DK185" s="30">
        <f t="shared" ref="DK185:DM186" si="428">IF(DF180="NM","NM",IF(DK180="NM","NM",IF(DF180&lt;=0,"NM",IF(DK180=0,"NM",IF(ABS(DK180/DF180-1)&gt;2.5,"NM",IF((ABS(DK180-DF180)=ABS(ABS(DK180)-ABS(DF180))),(DK180/DF180-1),"NM"))))))</f>
      </c>
      <c r="DL185" s="30">
        <f t="shared" si="428"/>
      </c>
      <c r="DM185" s="30">
        <f t="shared" si="428"/>
      </c>
      <c r="DN185" s="30">
        <f>IF(DN180=0,"NM",+DN180/DI180-1)</f>
      </c>
      <c r="DO185" s="308">
        <f>IF(DJ180=0, "NA", DO180/DJ180-1)</f>
      </c>
      <c r="DP185" s="30">
        <f t="shared" ref="DP185:EG186" si="429">IF(DK180="NM","NM",IF(DP180="NM","NM",IF(DK180&lt;=0,"NM",IF(DP180=0,"NM",IF(ABS(DP180/DK180-1)&gt;2.5,"NM",IF((ABS(DP180-DK180)=ABS(ABS(DP180)-ABS(DK180))),(DP180/DK180-1),"NM"))))))</f>
      </c>
      <c r="DQ185" s="30">
        <f t="shared" si="429"/>
      </c>
      <c r="DR185" s="30">
        <f t="shared" si="429"/>
      </c>
      <c r="DS185" s="30">
        <f t="shared" si="429"/>
      </c>
      <c r="DT185" s="308">
        <f>IF(DO180=0, "NA", DT180/DO180-1)</f>
      </c>
      <c r="DU185" s="30">
        <f t="shared" si="429"/>
      </c>
      <c r="DV185" s="30">
        <f t="shared" si="429"/>
      </c>
      <c r="DW185" s="30">
        <f t="shared" si="429"/>
      </c>
      <c r="DX185" s="30">
        <f t="shared" si="429"/>
      </c>
      <c r="DY185" s="308">
        <f>IF(DT180=0, "NA", DY180/DT180-1)</f>
      </c>
      <c r="DZ185" s="30">
        <f t="shared" si="429"/>
      </c>
      <c r="EA185" s="926">
        <f t="shared" si="429"/>
      </c>
      <c r="EB185" s="926">
        <f t="shared" si="429"/>
      </c>
      <c r="EC185" s="926">
        <f t="shared" si="429"/>
      </c>
      <c r="ED185" s="308">
        <f>IF(DY180=0, "NA", ED180/DY180-1)</f>
      </c>
      <c r="EE185" s="30">
        <f t="shared" si="429"/>
      </c>
      <c r="EF185" s="926">
        <f t="shared" si="429"/>
      </c>
      <c r="EG185" s="926">
        <f t="shared" si="429"/>
      </c>
      <c r="EH185" s="1062">
        <f>IF(EH180=0,"NM",+EH180/EC180-1)</f>
      </c>
      <c r="EI185" s="308">
        <f>IF(ED180=0, "NA", EI180/ED180-1)</f>
      </c>
      <c r="EJ185" s="2210">
        <v>-0.02</v>
      </c>
      <c r="EK185" s="2210">
        <v>-0.02</v>
      </c>
      <c r="EL185" s="2210">
        <v>-0.1</v>
      </c>
      <c r="EM185" s="2210">
        <v>-0.08</v>
      </c>
      <c r="EN185" s="2210">
        <v>-0.08</v>
      </c>
      <c r="EO185" s="2210">
        <v>-0.08</v>
      </c>
      <c r="EP185" s="2210">
        <v>-0.08</v>
      </c>
      <c r="EQ185" s="2210">
        <v>-0.08</v>
      </c>
      <c r="ER185" s="2210">
        <v>-0.08</v>
      </c>
      <c r="ES185" s="2210">
        <v>-0.08</v>
      </c>
      <c r="ET185" s="1813"/>
      <c r="EU185" s="1813"/>
      <c r="EV185" s="1813"/>
      <c r="EW185" s="1813"/>
      <c r="EX185" s="1813"/>
    </row>
    <row r="186" spans="1:154" ht="12.75" customHeight="1">
      <c r="B186" s="1169" t="s">
        <v>412</v>
      </c>
      <c r="C186" s="1989"/>
      <c r="D186" s="28"/>
      <c r="E186" s="28"/>
      <c r="F186" s="28"/>
      <c r="G186" s="28"/>
      <c r="H186" s="28"/>
      <c r="I186" s="31"/>
      <c r="J186" s="28"/>
      <c r="K186" s="28"/>
      <c r="L186" s="28"/>
      <c r="M186" s="28"/>
      <c r="N186" s="31"/>
      <c r="O186" s="31"/>
      <c r="P186" s="31"/>
      <c r="Q186" s="31"/>
      <c r="R186" s="31"/>
      <c r="S186" s="31"/>
      <c r="T186" s="31"/>
      <c r="U186" s="31"/>
      <c r="V186" s="31"/>
      <c r="W186" s="31"/>
      <c r="X186" s="308"/>
      <c r="Y186" s="31"/>
      <c r="Z186" s="31"/>
      <c r="AA186" s="31"/>
      <c r="AB186" s="31"/>
      <c r="AC186" s="308"/>
      <c r="AD186" s="31"/>
      <c r="AE186" s="31"/>
      <c r="AF186" s="31"/>
      <c r="AG186" s="31"/>
      <c r="AH186" s="308"/>
      <c r="AI186" s="28"/>
      <c r="AJ186" s="28"/>
      <c r="AK186" s="28"/>
      <c r="AL186" s="31"/>
      <c r="AM186" s="308"/>
      <c r="AN186" s="28"/>
      <c r="AO186" s="28"/>
      <c r="AP186" s="28"/>
      <c r="AQ186" s="31"/>
      <c r="AR186" s="308"/>
      <c r="AS186" s="28"/>
      <c r="AT186" s="28"/>
      <c r="AU186" s="28"/>
      <c r="AV186" s="28"/>
      <c r="AW186" s="308"/>
      <c r="AX186" s="30"/>
      <c r="AY186" s="30"/>
      <c r="AZ186" s="30"/>
      <c r="BA186" s="30"/>
      <c r="BB186" s="308"/>
      <c r="BC186" s="30"/>
      <c r="BD186" s="30"/>
      <c r="BE186" s="30"/>
      <c r="BF186" s="30"/>
      <c r="BG186" s="308"/>
      <c r="BH186" s="30"/>
      <c r="BI186" s="30"/>
      <c r="BJ186" s="30"/>
      <c r="BK186" s="30"/>
      <c r="BL186" s="308"/>
      <c r="BM186" s="30" t="str">
        <f t="shared" si="421"/>
      </c>
      <c r="BN186" s="30" t="str">
        <f t="shared" si="421"/>
      </c>
      <c r="BO186" s="30" t="str">
        <f t="shared" si="421"/>
      </c>
      <c r="BP186" s="30" t="str">
        <f t="shared" si="421"/>
      </c>
      <c r="BQ186" s="308" t="str">
        <f t="shared" si="421"/>
      </c>
      <c r="BR186" s="30">
        <f t="shared" si="421"/>
      </c>
      <c r="BS186" s="30">
        <f t="shared" si="421"/>
      </c>
      <c r="BT186" s="30">
        <f t="shared" si="421"/>
      </c>
      <c r="BU186" s="30">
        <f t="shared" si="421"/>
      </c>
      <c r="BV186" s="308">
        <f t="shared" si="421"/>
      </c>
      <c r="BW186" s="30">
        <f t="shared" si="422"/>
      </c>
      <c r="BX186" s="30">
        <f t="shared" si="422"/>
      </c>
      <c r="BY186" s="30">
        <f t="shared" si="422"/>
      </c>
      <c r="BZ186" s="30">
        <f t="shared" si="422"/>
      </c>
      <c r="CA186" s="308">
        <f t="shared" si="422"/>
      </c>
      <c r="CB186" s="30">
        <f t="shared" si="422"/>
      </c>
      <c r="CC186" s="30">
        <f t="shared" si="422"/>
      </c>
      <c r="CD186" s="30">
        <f t="shared" si="422"/>
      </c>
      <c r="CE186" s="30">
        <f t="shared" si="422"/>
      </c>
      <c r="CF186" s="308">
        <f t="shared" si="422"/>
      </c>
      <c r="CG186" s="30">
        <f t="shared" si="423"/>
      </c>
      <c r="CH186" s="30">
        <f t="shared" si="423"/>
      </c>
      <c r="CI186" s="30">
        <f t="shared" si="423"/>
      </c>
      <c r="CJ186" s="30">
        <f t="shared" si="423"/>
      </c>
      <c r="CK186" s="308">
        <f>IF(CF181=0, "NA", CK181/CF181-1)</f>
      </c>
      <c r="CL186" s="30">
        <f t="shared" si="424"/>
      </c>
      <c r="CM186" s="30">
        <f t="shared" si="424"/>
      </c>
      <c r="CN186" s="30">
        <f t="shared" si="424"/>
      </c>
      <c r="CO186" s="30">
        <f t="shared" si="424"/>
      </c>
      <c r="CP186" s="308">
        <f>IF(CK181=0, "NA", CP181/CK181-1)</f>
      </c>
      <c r="CQ186" s="30">
        <f t="shared" si="425"/>
      </c>
      <c r="CR186" s="30" t="str">
        <f t="shared" si="425"/>
      </c>
      <c r="CS186" s="30">
        <f t="shared" si="425"/>
      </c>
      <c r="CT186" s="30" t="str">
        <f t="shared" si="425"/>
      </c>
      <c r="CU186" s="308">
        <f>IF(CP181=0, "NA", CU181/CP181-1)</f>
      </c>
      <c r="CV186" s="30">
        <f t="shared" si="426"/>
      </c>
      <c r="CW186" s="30">
        <f t="shared" si="426"/>
      </c>
      <c r="CX186" s="30">
        <f t="shared" si="426"/>
      </c>
      <c r="CY186" s="30">
        <f>IF(CT181="NM","NM",IF(CY181="NM","NM",IF(CT181&lt;=0,"NM",IF(CY181=0,"NM",IF(ABS(CY181/CT181-1)&gt;2.5,"NM",IF((ABS(CY181-CT181)=ABS(ABS(CY181)-ABS(CT181))),(CY181/CT181-1),"NM"))))))</f>
      </c>
      <c r="CZ186" s="308">
        <f>IF(CU181=0, "NA", CZ181/CU181-1)</f>
      </c>
      <c r="DA186" s="30">
        <f>IF(CV181="NM","NM",IF(DA181="NM","NM",IF(CV181&lt;=0,"NM",IF(DA181=0,"NM",IF(ABS(DA181/CV181-1)&gt;2.5,"NM",IF((ABS(DA181-CV181)=ABS(ABS(DA181)-ABS(CV181))),(DA181/CV181-1),"NM"))))))</f>
      </c>
      <c r="DB186" s="30">
        <f>IF(CW181="NM","NM",IF(DB181="NM","NM",IF(CW181&lt;=0,"NM",IF(DB181=0,"NM",IF(ABS(DB181/CW181-1)&gt;2.5,"NM",IF((ABS(DB181-CW181)=ABS(ABS(DB181)-ABS(CW181))),(DB181/CW181-1),"NM"))))))</f>
      </c>
      <c r="DC186" s="959">
        <f>DC187+DC$21</f>
      </c>
      <c r="DD186" s="30">
        <f>IF(DD181=0, "NM", DD181/CY181-1)</f>
      </c>
      <c r="DE186" s="308">
        <f>IF(CZ181=0, "NA", DE181/CZ181-1)</f>
      </c>
      <c r="DF186" s="30">
        <f t="shared" si="427"/>
      </c>
      <c r="DG186" s="30">
        <f t="shared" si="427"/>
      </c>
      <c r="DH186" s="30">
        <f t="shared" si="427"/>
      </c>
      <c r="DI186" s="30">
        <f>IF(DI181=0, "NM", DI181/DD181-1)</f>
      </c>
      <c r="DJ186" s="308">
        <f>IF(DE181=0, "NA", DJ181/DE181-1)</f>
      </c>
      <c r="DK186" s="30">
        <f t="shared" si="428"/>
      </c>
      <c r="DL186" s="30">
        <f t="shared" si="428"/>
      </c>
      <c r="DM186" s="30">
        <f t="shared" si="428"/>
      </c>
      <c r="DN186" s="30">
        <f>IF(DN181=0, "NM", DN181/DI181-1)</f>
      </c>
      <c r="DO186" s="308">
        <f>IF(DJ181=0, "NA", DO181/DJ181-1)</f>
      </c>
      <c r="DP186" s="30">
        <f t="shared" si="429"/>
      </c>
      <c r="DQ186" s="30">
        <f t="shared" si="429"/>
      </c>
      <c r="DR186" s="30">
        <f t="shared" si="429"/>
      </c>
      <c r="DS186" s="30">
        <f t="shared" si="429"/>
      </c>
      <c r="DT186" s="308">
        <f>IF(DO181=0, "NA", DT181/DO181-1)</f>
      </c>
      <c r="DU186" s="30">
        <f t="shared" si="429"/>
      </c>
      <c r="DV186" s="30">
        <f t="shared" si="429"/>
      </c>
      <c r="DW186" s="30">
        <f t="shared" si="429"/>
      </c>
      <c r="DX186" s="30">
        <f t="shared" si="429"/>
      </c>
      <c r="DY186" s="308">
        <f>IF(DT181=0, "NA", DY181/DT181-1)</f>
      </c>
      <c r="DZ186" s="30">
        <f t="shared" si="429"/>
      </c>
      <c r="EA186" s="926">
        <f t="shared" si="429"/>
      </c>
      <c r="EB186" s="926">
        <f t="shared" si="429"/>
      </c>
      <c r="EC186" s="926">
        <f>IF(EC181=0, "NM", EC181/DX181-1)</f>
      </c>
      <c r="ED186" s="308">
        <f>IF(DY181=0, "NA", ED181/DY181-1)</f>
      </c>
      <c r="EE186" s="30">
        <f t="shared" si="429"/>
      </c>
      <c r="EF186" s="926">
        <f t="shared" si="429"/>
      </c>
      <c r="EG186" s="926">
        <f t="shared" si="429"/>
      </c>
      <c r="EH186" s="926">
        <f>IF(EH181=0, "NM", EH181/EC181-1)</f>
      </c>
      <c r="EI186" s="308">
        <f>IF(ED181=0, "NA", EI181/ED181-1)</f>
      </c>
      <c r="EJ186" s="308">
        <f t="shared" ref="EJ186:ES186" si="430">EJ187+EJ$21</f>
      </c>
      <c r="EK186" s="308">
        <f t="shared" si="430"/>
      </c>
      <c r="EL186" s="308">
        <f t="shared" si="430"/>
      </c>
      <c r="EM186" s="308">
        <f t="shared" si="430"/>
      </c>
      <c r="EN186" s="308">
        <f t="shared" si="430"/>
      </c>
      <c r="EO186" s="308">
        <f t="shared" si="430"/>
      </c>
      <c r="EP186" s="308">
        <f t="shared" si="430"/>
      </c>
      <c r="EQ186" s="308">
        <f t="shared" si="430"/>
      </c>
      <c r="ER186" s="308">
        <f t="shared" si="430"/>
      </c>
      <c r="ES186" s="308">
        <f t="shared" si="430"/>
      </c>
      <c r="ET186" s="409"/>
      <c r="EU186" s="409"/>
      <c r="EV186" s="409"/>
      <c r="EW186" s="409"/>
      <c r="EX186" s="409"/>
    </row>
    <row r="187" spans="1:154" ht="12.75" customHeight="1">
      <c r="B187" s="1169" t="s">
        <v>256</v>
      </c>
      <c r="C187" s="1989"/>
      <c r="D187" s="28"/>
      <c r="E187" s="28"/>
      <c r="F187" s="28"/>
      <c r="G187" s="28"/>
      <c r="H187" s="28"/>
      <c r="I187" s="31"/>
      <c r="J187" s="28"/>
      <c r="K187" s="28"/>
      <c r="L187" s="28"/>
      <c r="M187" s="28"/>
      <c r="N187" s="31"/>
      <c r="O187" s="31"/>
      <c r="P187" s="31"/>
      <c r="Q187" s="31"/>
      <c r="R187" s="31"/>
      <c r="S187" s="31"/>
      <c r="T187" s="31"/>
      <c r="U187" s="31"/>
      <c r="V187" s="31"/>
      <c r="W187" s="31"/>
      <c r="X187" s="315"/>
      <c r="Y187" s="31"/>
      <c r="Z187" s="31"/>
      <c r="AA187" s="31"/>
      <c r="AB187" s="31"/>
      <c r="AC187" s="315"/>
      <c r="AD187" s="31"/>
      <c r="AE187" s="31"/>
      <c r="AF187" s="31"/>
      <c r="AG187" s="31"/>
      <c r="AH187" s="315"/>
      <c r="AI187" s="28"/>
      <c r="AJ187" s="28"/>
      <c r="AK187" s="28"/>
      <c r="AL187" s="31"/>
      <c r="AM187" s="315"/>
      <c r="AN187" s="28"/>
      <c r="AO187" s="28"/>
      <c r="AP187" s="28"/>
      <c r="AQ187" s="31"/>
      <c r="AR187" s="315"/>
      <c r="AS187" s="28"/>
      <c r="AT187" s="28"/>
      <c r="AU187" s="28"/>
      <c r="AV187" s="28"/>
      <c r="AW187" s="315"/>
      <c r="AX187" s="1"/>
      <c r="AY187" s="1"/>
      <c r="AZ187" s="1"/>
      <c r="BA187" s="8"/>
      <c r="BB187" s="315"/>
      <c r="BC187" s="8"/>
      <c r="BD187" s="8"/>
      <c r="BE187" s="8"/>
      <c r="BF187" s="8"/>
      <c r="BG187" s="315"/>
      <c r="BH187" s="8"/>
      <c r="BI187" s="8"/>
      <c r="BJ187" s="8"/>
      <c r="BK187" s="8"/>
      <c r="BL187" s="315"/>
      <c r="BM187" s="30" t="str">
        <f t="shared" ref="BM187:CJ187" si="431">IF(ISNUMBER(BM186),(1+BM186)/(1+BM$21)-1,"NM")</f>
      </c>
      <c r="BN187" s="30" t="str">
        <f t="shared" si="431"/>
      </c>
      <c r="BO187" s="30" t="str">
        <f t="shared" si="431"/>
      </c>
      <c r="BP187" s="30" t="str">
        <f t="shared" si="431"/>
      </c>
      <c r="BQ187" s="308" t="str">
        <f t="shared" si="431"/>
      </c>
      <c r="BR187" s="8">
        <f t="shared" si="431"/>
      </c>
      <c r="BS187" s="8">
        <f t="shared" si="431"/>
      </c>
      <c r="BT187" s="8">
        <f t="shared" si="431"/>
      </c>
      <c r="BU187" s="30">
        <f t="shared" si="431"/>
      </c>
      <c r="BV187" s="308">
        <f t="shared" si="431"/>
      </c>
      <c r="BW187" s="8">
        <f t="shared" si="431"/>
      </c>
      <c r="BX187" s="8">
        <f t="shared" si="431"/>
      </c>
      <c r="BY187" s="8">
        <f t="shared" si="431"/>
      </c>
      <c r="BZ187" s="837">
        <f t="shared" si="431"/>
      </c>
      <c r="CA187" s="315">
        <f t="shared" si="431"/>
      </c>
      <c r="CB187" s="8">
        <f t="shared" si="431"/>
      </c>
      <c r="CC187" s="8">
        <f t="shared" si="431"/>
      </c>
      <c r="CD187" s="8">
        <f t="shared" si="431"/>
      </c>
      <c r="CE187" s="837">
        <f t="shared" si="431"/>
      </c>
      <c r="CF187" s="315">
        <f t="shared" si="431"/>
      </c>
      <c r="CG187" s="8">
        <f t="shared" si="431"/>
      </c>
      <c r="CH187" s="8">
        <f t="shared" si="431"/>
      </c>
      <c r="CI187" s="8">
        <f t="shared" si="431"/>
      </c>
      <c r="CJ187" s="8">
        <f t="shared" si="431"/>
      </c>
      <c r="CK187" s="309">
        <f>CK186-CK$21</f>
      </c>
      <c r="CL187" s="8">
        <f>IF(ISNUMBER(CL186),(1+CL186)/(1+CL$21)-1,"NM")</f>
      </c>
      <c r="CM187" s="8">
        <f>IF(ISNUMBER(CM186),(1+CM186)/(1+CM$21)-1,"NM")</f>
      </c>
      <c r="CN187" s="8">
        <f>IF(ISNUMBER(CN186),(1+CN186)/(1+CN$21)-1,"NM")</f>
      </c>
      <c r="CO187" s="8">
        <f>IF(ISNUMBER(CO186),(1+CO186)/(1+CO$21)-1,"NM")</f>
      </c>
      <c r="CP187" s="309">
        <f>CP186-CP$21</f>
      </c>
      <c r="CQ187" s="8">
        <f>IF(ISNUMBER(CQ186),(1+CQ186)/(1+CQ$21)-1,"NM")</f>
      </c>
      <c r="CR187" s="8" t="str">
        <f>IF(ISNUMBER(CR186),(1+CR186)/(1+CR$21)-1,"NM")</f>
      </c>
      <c r="CS187" s="8">
        <f>IF(ISNUMBER(CS186),(1+CS186)/(1+CS$21)-1,"NM")</f>
      </c>
      <c r="CT187" s="8" t="str">
        <f>IF(ISNUMBER(CT186),(1+CT186)/(1+CT$21)-1,"NM")</f>
      </c>
      <c r="CU187" s="309">
        <f>CU186-CU$21</f>
      </c>
      <c r="CV187" s="8">
        <f>IF(ISNUMBER(CV186),(1+CV186)/(1+CV$21)-1,"NM")</f>
      </c>
      <c r="CW187" s="8">
        <f>IF(ISNUMBER(CW186),(1+CW186)/(1+CW$21)-1,"NM")</f>
      </c>
      <c r="CX187" s="8">
        <f>IF(ISNUMBER(CX186),(1+CX186)/(1+CX$21)-1,"NM")</f>
      </c>
      <c r="CY187" s="8">
        <f>IF(ISNUMBER(CY186),(1+CY186)/(1+CY$21)-1,"NM")</f>
      </c>
      <c r="CZ187" s="309">
        <f>CZ186-CZ$21</f>
      </c>
      <c r="DA187" s="8">
        <f>IF(ISNUMBER(DA186),(1+DA186)/(1+DA$21)-1,"NM")</f>
      </c>
      <c r="DB187" s="8">
        <f>IF(ISNUMBER(DB186),(1+DB186)/(1+DB$21)-1,"NM")</f>
      </c>
      <c r="DC187" s="598">
        <v>-0.14899999999999999</v>
      </c>
      <c r="DD187" s="30">
        <f>IF(DD181=0, "NM",DD186-DD$21)</f>
      </c>
      <c r="DE187" s="309">
        <f>DE186-DE$21</f>
      </c>
      <c r="DF187" s="30">
        <f>IF(ISNUMBER(DF186),(1+DF186)/(1+DF$21)-1,"NM")</f>
      </c>
      <c r="DG187" s="30">
        <f>IF(ISNUMBER(DG186),(1+DG186)/(1+DG$21)-1,"NM")</f>
      </c>
      <c r="DH187" s="30">
        <f>IF(ISNUMBER(DH186),(1+DH186)/(1+DH$21)-1,"NM")</f>
      </c>
      <c r="DI187" s="30">
        <f>IF(DI181=0, "NM",DI186-DI$21)</f>
      </c>
      <c r="DJ187" s="309">
        <f>DJ186-DJ$21</f>
      </c>
      <c r="DK187" s="30">
        <f>IF(ISNUMBER(DK186),(1+DK186)/(1+DK$21)-1,"NM")</f>
      </c>
      <c r="DL187" s="30">
        <f>IF(ISNUMBER(DL186),(1+DL186)/(1+DL$21)-1,"NM")</f>
      </c>
      <c r="DM187" s="30">
        <f>IF(ISNUMBER(DM186),(1+DM186)/(1+DM$21)-1,"NM")</f>
      </c>
      <c r="DN187" s="30">
        <f>IF(DN181=0, "NM",DN186-DN$21)</f>
      </c>
      <c r="DO187" s="309">
        <f>DO186-DO$21</f>
      </c>
      <c r="DP187" s="30">
        <f>IF(ISNUMBER(DP186),(1+DP186)/(1+DP$21)-1,"NM")</f>
      </c>
      <c r="DQ187" s="30">
        <f>IF(ISNUMBER(DQ186),(1+DQ186)/(1+DQ$21)-1,"NM")</f>
      </c>
      <c r="DR187" s="30">
        <f>IF(ISNUMBER(DR186),(1+DR186)/(1+DR$21)-1,"NM")</f>
      </c>
      <c r="DS187" s="30">
        <f>IF(ISNUMBER(DS186),(1+DS186)/(1+DS$21)-1,"NM")</f>
      </c>
      <c r="DT187" s="309">
        <f>DT186-DT$21</f>
      </c>
      <c r="DU187" s="30">
        <f>IF(ISNUMBER(DU186),(1+DU186)/(1+DU$21)-1,"NM")</f>
      </c>
      <c r="DV187" s="30">
        <f>DV186-(-7.1%)</f>
      </c>
      <c r="DW187" s="926">
        <f>DW186-(-3.5%)</f>
      </c>
      <c r="DX187" s="926">
        <f>DX186-(-0.7%)</f>
      </c>
      <c r="DY187" s="309">
        <f>DY186-DY$21</f>
      </c>
      <c r="DZ187" s="926">
        <f>DZ186-(-2.2%)</f>
      </c>
      <c r="EA187" s="926">
        <f>EA186-(-4.5%)</f>
      </c>
      <c r="EB187" s="926">
        <f>EB186-(-2.7%)</f>
      </c>
      <c r="EC187" s="926">
        <f>EC186-(-1.8%)</f>
      </c>
      <c r="ED187" s="309">
        <f>ED186-ED$21</f>
      </c>
      <c r="EE187" s="926">
        <f>EE186-(-2.2%)</f>
      </c>
      <c r="EF187" s="926">
        <f>EF186-(0.1%)</f>
      </c>
      <c r="EG187" s="926">
        <f>EG186-(-2.7%)</f>
      </c>
      <c r="EH187" s="1062">
        <f>IF(EH181=0, "NM",EH186-EH$21)</f>
      </c>
      <c r="EI187" s="309">
        <f>EI186-EI$21</f>
      </c>
      <c r="EJ187" s="2210">
        <v>-0.02</v>
      </c>
      <c r="EK187" s="2210">
        <v>-0.02</v>
      </c>
      <c r="EL187" s="2210">
        <v>-0.1</v>
      </c>
      <c r="EM187" s="2210">
        <v>-0.08</v>
      </c>
      <c r="EN187" s="2210">
        <v>-0.08</v>
      </c>
      <c r="EO187" s="2210">
        <v>-0.08</v>
      </c>
      <c r="EP187" s="2210">
        <v>-0.08</v>
      </c>
      <c r="EQ187" s="2210">
        <v>-0.08</v>
      </c>
      <c r="ER187" s="2210">
        <v>-0.08</v>
      </c>
      <c r="ES187" s="2210">
        <v>-0.08</v>
      </c>
      <c r="ET187" s="657"/>
      <c r="EU187" s="657"/>
      <c r="EV187" s="657"/>
      <c r="EW187" s="657"/>
      <c r="EX187" s="657"/>
    </row>
    <row r="188" spans="1:154" ht="12.75" customHeight="1">
      <c r="B188" s="1169" t="s">
        <v>413</v>
      </c>
      <c r="C188" s="1989"/>
      <c r="D188" s="28"/>
      <c r="E188" s="28"/>
      <c r="F188" s="28"/>
      <c r="G188" s="28"/>
      <c r="H188" s="28"/>
      <c r="I188" s="31"/>
      <c r="J188" s="28"/>
      <c r="K188" s="28"/>
      <c r="L188" s="28"/>
      <c r="M188" s="28"/>
      <c r="N188" s="31"/>
      <c r="O188" s="31"/>
      <c r="P188" s="31"/>
      <c r="Q188" s="31"/>
      <c r="R188" s="31"/>
      <c r="S188" s="31"/>
      <c r="T188" s="31"/>
      <c r="U188" s="31"/>
      <c r="V188" s="31"/>
      <c r="W188" s="31"/>
      <c r="X188" s="308"/>
      <c r="Y188" s="31"/>
      <c r="Z188" s="31"/>
      <c r="AA188" s="31"/>
      <c r="AB188" s="31"/>
      <c r="AC188" s="308"/>
      <c r="AD188" s="31"/>
      <c r="AE188" s="31"/>
      <c r="AF188" s="31"/>
      <c r="AG188" s="31"/>
      <c r="AH188" s="308"/>
      <c r="AI188" s="28"/>
      <c r="AJ188" s="28"/>
      <c r="AK188" s="28"/>
      <c r="AL188" s="31"/>
      <c r="AM188" s="308"/>
      <c r="AN188" s="28"/>
      <c r="AO188" s="28"/>
      <c r="AP188" s="28"/>
      <c r="AQ188" s="31"/>
      <c r="AR188" s="308"/>
      <c r="AS188" s="28"/>
      <c r="AT188" s="28"/>
      <c r="AU188" s="28"/>
      <c r="AV188" s="28"/>
      <c r="AW188" s="308"/>
      <c r="AX188" s="30"/>
      <c r="AY188" s="30"/>
      <c r="AZ188" s="30"/>
      <c r="BA188" s="30"/>
      <c r="BB188" s="308"/>
      <c r="BC188" s="30"/>
      <c r="BD188" s="30"/>
      <c r="BE188" s="30"/>
      <c r="BF188" s="30"/>
      <c r="BG188" s="308"/>
      <c r="BH188" s="30"/>
      <c r="BI188" s="30"/>
      <c r="BJ188" s="30"/>
      <c r="BK188" s="30"/>
      <c r="BL188" s="308"/>
      <c r="BM188" s="30" t="str">
        <f t="shared" ref="BM188:CJ188" si="432">IF(BH182="NM","NM",IF(BM182="NM","NM",IF(BH182&lt;=0,"NM",IF(BM182=0,"NM",IF(ABS(BM182/BH182-1)&gt;2.5,"NM",IF((ABS(BM182-BH182)=ABS(ABS(BM182)-ABS(BH182))),(BM182/BH182-1),"NM"))))))</f>
      </c>
      <c r="BN188" s="30" t="str">
        <f t="shared" si="432"/>
      </c>
      <c r="BO188" s="30" t="str">
        <f t="shared" si="432"/>
      </c>
      <c r="BP188" s="30" t="str">
        <f t="shared" si="432"/>
      </c>
      <c r="BQ188" s="308" t="str">
        <f t="shared" si="432"/>
      </c>
      <c r="BR188" s="30">
        <f t="shared" si="432"/>
      </c>
      <c r="BS188" s="30">
        <f t="shared" si="432"/>
      </c>
      <c r="BT188" s="30">
        <f t="shared" si="432"/>
      </c>
      <c r="BU188" s="30">
        <f t="shared" si="432"/>
      </c>
      <c r="BV188" s="308">
        <f t="shared" si="432"/>
      </c>
      <c r="BW188" s="30">
        <f t="shared" si="432"/>
      </c>
      <c r="BX188" s="30">
        <f t="shared" si="432"/>
      </c>
      <c r="BY188" s="30">
        <f t="shared" si="432"/>
      </c>
      <c r="BZ188" s="30">
        <f t="shared" si="432"/>
      </c>
      <c r="CA188" s="308">
        <f t="shared" si="432"/>
      </c>
      <c r="CB188" s="30">
        <f t="shared" si="432"/>
      </c>
      <c r="CC188" s="30">
        <f t="shared" si="432"/>
      </c>
      <c r="CD188" s="30">
        <f t="shared" si="432"/>
      </c>
      <c r="CE188" s="30">
        <f t="shared" si="432"/>
      </c>
      <c r="CF188" s="308">
        <f t="shared" si="432"/>
      </c>
      <c r="CG188" s="30">
        <f t="shared" si="432"/>
      </c>
      <c r="CH188" s="30">
        <f t="shared" si="432"/>
      </c>
      <c r="CI188" s="30">
        <f t="shared" si="432"/>
      </c>
      <c r="CJ188" s="30">
        <f t="shared" si="432"/>
      </c>
      <c r="CK188" s="308">
        <f>IF(CF182=0, "NA", CK182/CF182-1)</f>
      </c>
      <c r="CL188" s="30">
        <f>IF(CG182="NM","NM",IF(CL182="NM","NM",IF(CG182&lt;=0,"NM",IF(CL182=0,"NM",IF(ABS(CL182/CG182-1)&gt;2.5,"NM",IF((ABS(CL182-CG182)=ABS(ABS(CL182)-ABS(CG182))),(CL182/CG182-1),"NM"))))))</f>
      </c>
      <c r="CM188" s="30">
        <f>IF(CH182="NM","NM",IF(CM182="NM","NM",IF(CH182&lt;=0,"NM",IF(CM182=0,"NM",IF(ABS(CM182/CH182-1)&gt;2.5,"NM",IF((ABS(CM182-CH182)=ABS(ABS(CM182)-ABS(CH182))),(CM182/CH182-1),"NM"))))))</f>
      </c>
      <c r="CN188" s="30">
        <f>IF(CI182="NM","NM",IF(CN182="NM","NM",IF(CI182&lt;=0,"NM",IF(CN182=0,"NM",IF(ABS(CN182/CI182-1)&gt;2.5,"NM",IF((ABS(CN182-CI182)=ABS(ABS(CN182)-ABS(CI182))),(CN182/CI182-1),"NM"))))))</f>
      </c>
      <c r="CO188" s="30">
        <f>IF(CJ182="NM","NM",IF(CO182="NM","NM",IF(CJ182&lt;=0,"NM",IF(CO182=0,"NM",IF(ABS(CO182/CJ182-1)&gt;2.5,"NM",IF((ABS(CO182-CJ182)=ABS(ABS(CO182)-ABS(CJ182))),(CO182/CJ182-1),"NM"))))))</f>
      </c>
      <c r="CP188" s="308">
        <f>IF(CK182=0, "NA", CP182/CK182-1)</f>
      </c>
      <c r="CQ188" s="30" t="str">
        <f>IF(CL182="NM","NM",IF(CQ182="NM","NM",IF(CL182&lt;=0,"NM",IF(CQ182=0,"NM",IF(ABS(CQ182/CL182-1)&gt;2.5,"NM",IF((ABS(CQ182-CL182)=ABS(ABS(CQ182)-ABS(CL182))),(CQ182/CL182-1),"NM"))))))</f>
      </c>
      <c r="CR188" s="30" t="str">
        <f>IF(CM182="NM","NM",IF(CR182="NM","NM",IF(CM182&lt;=0,"NM",IF(CR182=0,"NM",IF(ABS(CR182/CM182-1)&gt;2.5,"NM",IF((ABS(CR182-CM182)=ABS(ABS(CR182)-ABS(CM182))),(CR182/CM182-1),"NM"))))))</f>
      </c>
      <c r="CS188" s="30">
        <f>IF(CN182="NM","NM",IF(CS182="NM","NM",IF(CN182&lt;=0,"NM",IF(CS182=0,"NM",IF(ABS(CS182/CN182-1)&gt;2.5,"NM",IF((ABS(CS182-CN182)=ABS(ABS(CS182)-ABS(CN182))),(CS182/CN182-1),"NM"))))))</f>
      </c>
      <c r="CT188" s="30" t="str">
        <f>IF(CO182="NM","NM",IF(CT182="NM","NM",IF(CO182&lt;=0,"NM",IF(CT182=0,"NM",IF(ABS(CT182/CO182-1)&gt;2.5,"NM",IF((ABS(CT182-CO182)=ABS(ABS(CT182)-ABS(CO182))),(CT182/CO182-1),"NM"))))))</f>
      </c>
      <c r="CU188" s="308">
        <f>IF(CP182=0, "NA", CU182/CP182-1)</f>
      </c>
      <c r="CV188" s="30">
        <f>IF(CQ182="NM","NM",IF(CV182="NM","NM",IF(CQ182&lt;=0,"NM",IF(CV182=0,"NM",IF(ABS(CV182/CQ182-1)&gt;2.5,"NM",IF((ABS(CV182-CQ182)=ABS(ABS(CV182)-ABS(CQ182))),(CV182/CQ182-1),"NM"))))))</f>
      </c>
      <c r="CW188" s="30">
        <f>IF(CR182="NM","NM",IF(CW182="NM","NM",IF(CR182&lt;=0,"NM",IF(CW182=0,"NM",IF(ABS(CW182/CR182-1)&gt;2.5,"NM",IF((ABS(CW182-CR182)=ABS(ABS(CW182)-ABS(CR182))),(CW182/CR182-1),"NM"))))))</f>
      </c>
      <c r="CX188" s="30">
        <f>IF(CS182="NM","NM",IF(CX182="NM","NM",IF(CS182&lt;=0,"NM",IF(CX182=0,"NM",IF(ABS(CX182/CS182-1)&gt;2.5,"NM",IF((ABS(CX182-CS182)=ABS(ABS(CX182)-ABS(CS182))),(CX182/CS182-1),"NM"))))))</f>
      </c>
      <c r="CY188" s="30">
        <f>IF(CT182="NM","NM",IF(CY182="NM","NM",IF(CT182&lt;=0,"NM",IF(CY182=0,"NM",IF(ABS(CY182/CT182-1)&gt;2.5,"NM",IF((ABS(CY182-CT182)=ABS(ABS(CY182)-ABS(CT182))),(CY182/CT182-1),"NM"))))))</f>
      </c>
      <c r="CZ188" s="308">
        <f>IF(CU182=0, "NA", CZ182/CU182-1)</f>
      </c>
      <c r="DA188" s="30">
        <f>IF(CV182="NM","NM",IF(DA182="NM","NM",IF(CV182&lt;=0,"NM",IF(DA182=0,"NM",IF(ABS(DA182/CV182-1)&gt;2.5,"NM",IF((ABS(DA182-CV182)=ABS(ABS(DA182)-ABS(CV182))),(DA182/CV182-1),"NM"))))))</f>
      </c>
      <c r="DB188" s="30">
        <f>IF(CW182="NM","NM",IF(DB182="NM","NM",IF(CW182&lt;=0,"NM",IF(DB182=0,"NM",IF(ABS(DB182/CW182-1)&gt;2.5,"NM",IF((ABS(DB182-CW182)=ABS(ABS(DB182)-ABS(CW182))),(DB182/CW182-1),"NM"))))))</f>
      </c>
      <c r="DC188" s="926">
        <f>IF(CX182=0, "NA", DC182/CX182-1)</f>
      </c>
      <c r="DD188" s="926">
        <f>IF(CY182=0, "NM", DD182/CY182-1)</f>
      </c>
      <c r="DE188" s="308">
        <f>IF(CZ182=0, "NA", DE182/CZ182-1)</f>
      </c>
      <c r="DF188" s="30">
        <f>IF(DA182="NM","NM",IF(DF182="NM","NM",IF(DA182&lt;=0,"NM",IF(DF182=0,"NM",IF(ABS(DF182/DA182-1)&gt;2.5,"NM",IF((ABS(DF182-DA182)=ABS(ABS(DF182)-ABS(DA182))),(DF182/DA182-1),"NM"))))))</f>
      </c>
      <c r="DG188" s="30">
        <f>IF(DB182="NM","NM",IF(DG182="NM","NM",IF(DB182&lt;=0,"NM",IF(DG182=0,"NM",IF(ABS(DG182/DB182-1)&gt;2.5,"NM",IF((ABS(DG182-DB182)=ABS(ABS(DG182)-ABS(DB182))),(DG182/DB182-1),"NM"))))))</f>
      </c>
      <c r="DH188" s="30">
        <f>IF(DC182="NM","NM",IF(DH182="NM","NM",IF(DC182&lt;=0,"NM",IF(DH182=0,"NM",IF(ABS(DH182/DC182-1)&gt;2.5,"NM",IF((ABS(DH182-DC182)=ABS(ABS(DH182)-ABS(DC182))),(DH182/DC182-1),"NM"))))))</f>
      </c>
      <c r="DI188" s="926">
        <f>IF(DD182=0, "NM", DI182/DD182-1)</f>
      </c>
      <c r="DJ188" s="308">
        <f>IF(DE182=0, "NA", DJ182/DE182-1)</f>
      </c>
      <c r="DK188" s="30">
        <f>IF(DF182="NM","NM",IF(DK182="NM","NM",IF(DF182&lt;=0,"NM",IF(DK182=0,"NM",IF(ABS(DK182/DF182-1)&gt;2.5,"NM",IF((ABS(DK182-DF182)=ABS(ABS(DK182)-ABS(DF182))),(DK182/DF182-1),"NM"))))))</f>
      </c>
      <c r="DL188" s="30">
        <f>IF(DG182="NM","NM",IF(DL182="NM","NM",IF(DG182&lt;=0,"NM",IF(DL182=0,"NM",IF(ABS(DL182/DG182-1)&gt;2.5,"NM",IF((ABS(DL182-DG182)=ABS(ABS(DL182)-ABS(DG182))),(DL182/DG182-1),"NM"))))))</f>
      </c>
      <c r="DM188" s="30">
        <f>IF(DH182="NM","NM",IF(DM182="NM","NM",IF(DH182&lt;=0,"NM",IF(DM182=0,"NM",IF(ABS(DM182/DH182-1)&gt;2.5,"NM",IF((ABS(DM182-DH182)=ABS(ABS(DM182)-ABS(DH182))),(DM182/DH182-1),"NM"))))))</f>
      </c>
      <c r="DN188" s="926">
        <f>IF(DI182=0, "NM", DN182/DI182-1)</f>
      </c>
      <c r="DO188" s="308">
        <f>IF(DJ182=0, "NA", DO182/DJ182-1)</f>
      </c>
      <c r="DP188" s="926">
        <f>IF(DK182="NM","NM",IF(DP182="NM","NM",IF(DK182&lt;=0,"NM",IF(DP182=0,"NM",IF(ABS(DP182/DK182-1)&gt;2.5,"NM",IF((ABS(DP182-DK182)=ABS(ABS(DP182)-ABS(DK182))),(DP182/DK182-1),"NM"))))))</f>
      </c>
      <c r="DQ188" s="30">
        <f>IF(DL182="NM","NM",IF(DQ182="NM","NM",IF(DL182&lt;=0,"NM",IF(DQ182=0,"NM",IF(ABS(DQ182/DL182-1)&gt;2.5,"NM",IF((ABS(DQ182-DL182)=ABS(ABS(DQ182)-ABS(DL182))),(DQ182/DL182-1),"NM"))))))</f>
      </c>
      <c r="DR188" s="30">
        <f>IF(DM182="NM","NM",IF(DR182="NM","NM",IF(DM182&lt;=0,"NM",IF(DR182=0,"NM",IF(ABS(DR182/DM182-1)&gt;2.5,"NM",IF((ABS(DR182-DM182)=ABS(ABS(DR182)-ABS(DM182))),(DR182/DM182-1),"NM"))))))</f>
      </c>
      <c r="DS188" s="30">
        <f>IF(DN182="NM","NM",IF(DS182="NM","NM",IF(DN182&lt;=0,"NM",IF(DS182=0,"NM",IF(ABS(DS182/DN182-1)&gt;2.5,"NM",IF((ABS(DS182-DN182)=ABS(ABS(DS182)-ABS(DN182))),(DS182/DN182-1),"NM"))))))</f>
      </c>
      <c r="DT188" s="308">
        <f>IF(DO182=0, "NA", DT182/DO182-1)</f>
      </c>
      <c r="DU188" s="926">
        <f>IF(DP182="NM","NM",IF(DU182="NM","NM",IF(DP182&lt;=0,"NM",IF(DU182=0,"NM",IF(ABS(DU182/DP182-1)&gt;2.5,"NM",IF((ABS(DU182-DP182)=ABS(ABS(DU182)-ABS(DP182))),(DU182/DP182-1),"NM"))))))</f>
      </c>
      <c r="DV188" s="926">
        <f>IF(DQ182="NM","NM",IF(DV182="NM","NM",IF(DQ182&lt;=0,"NM",IF(DV182=0,"NM",IF(ABS(DV182/DQ182-1)&gt;2.5,"NM",IF((ABS(DV182-DQ182)=ABS(ABS(DV182)-ABS(DQ182))),(DV182/DQ182-1),"NM"))))))</f>
      </c>
      <c r="DW188" s="926">
        <f>IF(DR182="NM","NM",IF(DW182="NM","NM",IF(DR182&lt;=0,"NM",IF(DW182=0,"NM",IF(ABS(DW182/DR182-1)&gt;2.5,"NM",IF((ABS(DW182-DR182)=ABS(ABS(DW182)-ABS(DR182))),(DW182/DR182-1),"NM"))))))</f>
      </c>
      <c r="DX188" s="926">
        <f>IF(DS182="NM","NM",IF(DX182="NM","NM",IF(DS182&lt;=0,"NM",IF(DX182=0,"NM",IF(ABS(DX182/DS182-1)&gt;2.5,"NM",IF((ABS(DX182-DS182)=ABS(ABS(DX182)-ABS(DS182))),(DX182/DS182-1),"NM"))))))</f>
      </c>
      <c r="DY188" s="308">
        <f>IF(DT182=0, "NA", DY182/DT182-1)</f>
      </c>
      <c r="DZ188" s="926">
        <f>IF(DU182="NM","NM",IF(DZ182="NM","NM",IF(DU182&lt;=0,"NM",IF(DZ182=0,"NM",IF(ABS(DZ182/DU182-1)&gt;2.5,"NM",IF((ABS(DZ182-DU182)=ABS(ABS(DZ182)-ABS(DU182))),(DZ182/DU182-1),"NM"))))))</f>
      </c>
      <c r="EA188" s="926">
        <f>IF(DV182=0, "NA", EA182/DV182-1)</f>
      </c>
      <c r="EB188" s="926">
        <f>IF(DW182=0, "NA", EB182/DW182-1)</f>
      </c>
      <c r="EC188" s="926">
        <f>IF(DX182=0, "NM", EC182/DX182-1)</f>
      </c>
      <c r="ED188" s="308">
        <f>IF(DY182=0, "NA", ED182/DY182-1)</f>
      </c>
      <c r="EE188" s="926">
        <f>IF(DZ182="NM","NM",IF(EE182="NM","NM",IF(DZ182&lt;=0,"NM",IF(EE182=0,"NM",IF(ABS(EE182/DZ182-1)&gt;2.5,"NM",IF((ABS(EE182-DZ182)=ABS(ABS(EE182)-ABS(DZ182))),(EE182/DZ182-1),"NM"))))))</f>
      </c>
      <c r="EF188" s="926">
        <f>IF(EA182=0, "NA", EF182/EA182-1)</f>
      </c>
      <c r="EG188" s="926">
        <f>IF(EB182=0, "NA", EG182/EB182-1)</f>
      </c>
      <c r="EH188" s="926">
        <f>IF(EC182=0, "NM", EH182/EC182-1)</f>
      </c>
      <c r="EI188" s="308">
        <f>IF(ED182=0, "NA", EI182/ED182-1)</f>
      </c>
      <c r="EJ188" s="308">
        <f t="shared" ref="EJ188:EN188" si="433">IF(EI182=0, "NA", EJ182/EI182-1)</f>
      </c>
      <c r="EK188" s="308">
        <f t="shared" si="433"/>
      </c>
      <c r="EL188" s="308">
        <f t="shared" si="433"/>
      </c>
      <c r="EM188" s="308">
        <f t="shared" si="433"/>
      </c>
      <c r="EN188" s="308">
        <f t="shared" si="433"/>
      </c>
      <c r="EO188" s="308">
        <f t="shared" ref="EO188" si="434">IF(EN182=0, "NA", EO182/EN182-1)</f>
      </c>
      <c r="EP188" s="308">
        <f t="shared" ref="EP188" si="435">IF(EO182=0, "NA", EP182/EO182-1)</f>
      </c>
      <c r="EQ188" s="308">
        <f t="shared" ref="EQ188" si="436">IF(EP182=0, "NA", EQ182/EP182-1)</f>
      </c>
      <c r="ER188" s="308">
        <f t="shared" ref="ER188" si="437">IF(EQ182=0, "NA", ER182/EQ182-1)</f>
      </c>
      <c r="ES188" s="308">
        <f t="shared" ref="ES188" si="438">IF(ER182=0, "NA", ES182/ER182-1)</f>
      </c>
      <c r="ET188" s="409"/>
      <c r="EU188" s="409"/>
      <c r="EV188" s="409"/>
      <c r="EW188" s="409"/>
      <c r="EX188" s="409"/>
    </row>
    <row r="189" spans="1:154" ht="12.75" customHeight="1" collapsed="1">
      <c r="B189" s="1173"/>
      <c r="C189" s="1989"/>
      <c r="D189" s="28"/>
      <c r="E189" s="28"/>
      <c r="F189" s="28"/>
      <c r="G189" s="28"/>
      <c r="H189" s="28"/>
      <c r="I189" s="31"/>
      <c r="J189" s="28"/>
      <c r="K189" s="28"/>
      <c r="L189" s="28"/>
      <c r="M189" s="28"/>
      <c r="N189" s="31"/>
      <c r="O189" s="31"/>
      <c r="P189" s="31"/>
      <c r="Q189" s="31"/>
      <c r="R189" s="31"/>
      <c r="S189" s="31"/>
      <c r="T189" s="31"/>
      <c r="U189" s="31"/>
      <c r="V189" s="31"/>
      <c r="W189" s="31"/>
      <c r="X189" s="308"/>
      <c r="Y189" s="31"/>
      <c r="Z189" s="31"/>
      <c r="AA189" s="31"/>
      <c r="AB189" s="31"/>
      <c r="AC189" s="308"/>
      <c r="AD189" s="31"/>
      <c r="AE189" s="31"/>
      <c r="AF189" s="31"/>
      <c r="AG189" s="31"/>
      <c r="AH189" s="308"/>
      <c r="AI189" s="28"/>
      <c r="AJ189" s="28"/>
      <c r="AK189" s="28"/>
      <c r="AL189" s="31"/>
      <c r="AM189" s="308"/>
      <c r="AN189" s="28"/>
      <c r="AO189" s="28"/>
      <c r="AP189" s="28"/>
      <c r="AQ189" s="31"/>
      <c r="AR189" s="308"/>
      <c r="AS189" s="28"/>
      <c r="AT189" s="28"/>
      <c r="AU189" s="28"/>
      <c r="AV189" s="28"/>
      <c r="AW189" s="308"/>
      <c r="AX189" s="30"/>
      <c r="AY189" s="30"/>
      <c r="AZ189" s="30"/>
      <c r="BA189" s="30"/>
      <c r="BB189" s="308"/>
      <c r="BC189" s="30"/>
      <c r="BD189" s="30"/>
      <c r="BE189" s="30"/>
      <c r="BF189" s="30"/>
      <c r="BG189" s="308"/>
      <c r="BH189" s="30"/>
      <c r="BI189" s="30"/>
      <c r="BJ189" s="30"/>
      <c r="BK189" s="30"/>
      <c r="BL189" s="308"/>
      <c r="BM189" s="30"/>
      <c r="BN189" s="30"/>
      <c r="BO189" s="30"/>
      <c r="BP189" s="30"/>
      <c r="BQ189" s="308"/>
      <c r="BR189" s="30"/>
      <c r="BS189" s="30"/>
      <c r="BT189" s="30"/>
      <c r="BU189" s="30"/>
      <c r="BV189" s="308"/>
      <c r="BW189" s="30"/>
      <c r="BX189" s="30"/>
      <c r="BY189" s="30"/>
      <c r="BZ189" s="30"/>
      <c r="CA189" s="308"/>
      <c r="CB189" s="30"/>
      <c r="CC189" s="30"/>
      <c r="CD189" s="30"/>
      <c r="CE189" s="30"/>
      <c r="CF189" s="308"/>
      <c r="CG189" s="30"/>
      <c r="CH189" s="30"/>
      <c r="CI189" s="30"/>
      <c r="CJ189" s="30"/>
      <c r="CK189" s="308"/>
      <c r="CL189" s="973"/>
      <c r="CM189" s="974"/>
      <c r="CN189" s="974"/>
      <c r="CO189" s="30"/>
      <c r="CP189" s="308"/>
      <c r="CQ189" s="974"/>
      <c r="CR189" s="974"/>
      <c r="CS189" s="974"/>
      <c r="CT189" s="1140"/>
      <c r="CU189" s="308"/>
      <c r="CV189" s="974"/>
      <c r="CW189" s="974"/>
      <c r="CX189" s="974"/>
      <c r="CY189" s="1140"/>
      <c r="CZ189" s="308"/>
      <c r="DA189" s="974"/>
      <c r="DB189" s="30"/>
      <c r="DC189" s="30"/>
      <c r="DD189" s="409"/>
      <c r="DE189" s="308"/>
      <c r="DF189" s="974"/>
      <c r="DG189" s="30"/>
      <c r="DH189" s="30"/>
      <c r="DI189" s="409"/>
      <c r="DJ189" s="308"/>
      <c r="DK189" s="830"/>
      <c r="DL189" s="30"/>
      <c r="DM189" s="30"/>
      <c r="DN189" s="409"/>
      <c r="DO189" s="308"/>
      <c r="DP189" s="30"/>
      <c r="DQ189" s="30"/>
      <c r="DR189" s="30"/>
      <c r="DS189" s="409"/>
      <c r="DT189" s="308"/>
      <c r="DU189" s="926"/>
      <c r="DV189" s="926"/>
      <c r="DW189" s="926"/>
      <c r="DX189" s="928"/>
      <c r="DY189" s="308"/>
      <c r="DZ189" s="926"/>
      <c r="EA189" s="926"/>
      <c r="EB189" s="926"/>
      <c r="EC189" s="928"/>
      <c r="ED189" s="1060"/>
      <c r="EE189" s="926"/>
      <c r="EF189" s="926"/>
      <c r="EG189" s="926"/>
      <c r="EH189" s="928"/>
      <c r="EI189" s="308"/>
      <c r="EJ189" s="308"/>
      <c r="EK189" s="308"/>
      <c r="EL189" s="308"/>
      <c r="EM189" s="308"/>
      <c r="EN189" s="308"/>
      <c r="EO189" s="308"/>
      <c r="EP189" s="308"/>
      <c r="EQ189" s="308"/>
      <c r="ER189" s="308"/>
      <c r="ES189" s="308"/>
      <c r="ET189" s="308"/>
      <c r="EU189" s="308"/>
      <c r="EV189" s="308"/>
      <c r="EW189" s="308"/>
      <c r="EX189" s="308"/>
    </row>
    <row r="190" spans="1:154" s="331" customFormat="1">
      <c r="A190" s="3275"/>
      <c r="B190" s="1165" t="s">
        <v>398</v>
      </c>
      <c r="C190" s="1992"/>
      <c r="D190" s="1980"/>
      <c r="E190" s="449"/>
      <c r="F190" s="449"/>
      <c r="G190" s="449"/>
      <c r="H190" s="449"/>
      <c r="I190" s="450"/>
      <c r="J190" s="449"/>
      <c r="K190" s="449"/>
      <c r="L190" s="449"/>
      <c r="M190" s="449"/>
      <c r="N190" s="450"/>
      <c r="O190" s="450"/>
      <c r="P190" s="450"/>
      <c r="Q190" s="450"/>
      <c r="R190" s="450"/>
      <c r="S190" s="450"/>
      <c r="T190" s="450"/>
      <c r="U190" s="450"/>
      <c r="V190" s="450"/>
      <c r="W190" s="450"/>
      <c r="X190" s="451"/>
      <c r="Y190" s="450"/>
      <c r="Z190" s="450"/>
      <c r="AA190" s="450"/>
      <c r="AB190" s="450"/>
      <c r="AC190" s="451"/>
      <c r="AD190" s="450"/>
      <c r="AE190" s="450"/>
      <c r="AF190" s="450"/>
      <c r="AG190" s="450"/>
      <c r="AH190" s="451"/>
      <c r="AI190" s="449"/>
      <c r="AJ190" s="449"/>
      <c r="AK190" s="449"/>
      <c r="AL190" s="450"/>
      <c r="AM190" s="451"/>
      <c r="AN190" s="449"/>
      <c r="AO190" s="449"/>
      <c r="AP190" s="449"/>
      <c r="AQ190" s="450"/>
      <c r="AR190" s="451"/>
      <c r="AS190" s="449"/>
      <c r="AT190" s="449"/>
      <c r="AU190" s="449"/>
      <c r="AV190" s="450"/>
      <c r="AW190" s="451"/>
      <c r="AX190" s="449"/>
      <c r="AY190" s="449"/>
      <c r="AZ190" s="449"/>
      <c r="BA190" s="449"/>
      <c r="BB190" s="451"/>
      <c r="BC190" s="449"/>
      <c r="BD190" s="449"/>
      <c r="BE190" s="449"/>
      <c r="BF190" s="449"/>
      <c r="BG190" s="451"/>
      <c r="BH190" s="449"/>
      <c r="BI190" s="449"/>
      <c r="BJ190" s="449"/>
      <c r="BK190" s="449"/>
      <c r="BL190" s="451"/>
      <c r="BM190" s="449"/>
      <c r="BN190" s="449"/>
      <c r="BO190" s="449"/>
      <c r="BP190" s="449"/>
      <c r="BQ190" s="451"/>
      <c r="BR190" s="449"/>
      <c r="BS190" s="449"/>
      <c r="BT190" s="449"/>
      <c r="BU190" s="449"/>
      <c r="BV190" s="451"/>
      <c r="BW190" s="449"/>
      <c r="BX190" s="449"/>
      <c r="BY190" s="449"/>
      <c r="BZ190" s="449"/>
      <c r="CA190" s="451"/>
      <c r="CB190" s="449"/>
      <c r="CC190" s="449"/>
      <c r="CD190" s="449"/>
      <c r="CE190" s="449"/>
      <c r="CF190" s="451"/>
      <c r="CG190" s="449"/>
      <c r="CH190" s="449"/>
      <c r="CI190" s="449"/>
      <c r="CJ190" s="449"/>
      <c r="CK190" s="451"/>
      <c r="CL190" s="449"/>
      <c r="CM190" s="449"/>
      <c r="CN190" s="449"/>
      <c r="CO190" s="1395"/>
      <c r="CP190" s="451"/>
      <c r="CQ190" s="449"/>
      <c r="CR190" s="449"/>
      <c r="CS190" s="449"/>
      <c r="CT190" s="1141"/>
      <c r="CU190" s="451"/>
      <c r="CV190" s="449"/>
      <c r="CW190" s="449"/>
      <c r="CX190" s="449"/>
      <c r="CY190" s="1141"/>
      <c r="CZ190" s="451"/>
      <c r="DA190" s="449"/>
      <c r="DB190" s="1367"/>
      <c r="DC190" s="1367"/>
      <c r="DD190" s="1196"/>
      <c r="DE190" s="1824"/>
      <c r="DF190" s="1825"/>
      <c r="DG190" s="1826"/>
      <c r="DH190" s="1826"/>
      <c r="DI190" s="1827"/>
      <c r="DJ190" s="1824"/>
      <c r="DK190" s="1825"/>
      <c r="DL190" s="1826"/>
      <c r="DM190" s="1826"/>
      <c r="DN190" s="1827"/>
      <c r="DO190" s="1824"/>
      <c r="DP190" s="1826"/>
      <c r="DQ190" s="1826"/>
      <c r="DR190" s="1826"/>
      <c r="DS190" s="1827"/>
      <c r="DT190" s="1824"/>
      <c r="DU190" s="3323">
        <f>SUM(DU205,DU221,DU232,DU243,DU254)</f>
      </c>
      <c r="DV190" s="3323">
        <f>SUM(DV205,DV221,DV232,DV243,DV254)</f>
      </c>
      <c r="DW190" s="3323">
        <f>SUM(DW205,DW221,DW232,DW243,DW254)</f>
      </c>
      <c r="DX190" s="3324">
        <f>SUM(DX205,DX221,DX232,DX243,DX254)</f>
      </c>
      <c r="DY190" s="1824"/>
      <c r="DZ190" s="2113"/>
      <c r="EA190" s="3476"/>
      <c r="EB190" s="3476"/>
      <c r="EC190" s="2114"/>
      <c r="ED190" s="3530"/>
      <c r="EE190" s="2113"/>
      <c r="EF190" s="3476"/>
      <c r="EG190" s="3476"/>
      <c r="EH190" s="2114"/>
      <c r="EI190" s="1824"/>
      <c r="EJ190" s="1824"/>
      <c r="EK190" s="1824"/>
      <c r="EL190" s="1824"/>
      <c r="EM190" s="1824"/>
      <c r="EN190" s="1824"/>
      <c r="EO190" s="1828"/>
      <c r="EP190" s="1828"/>
      <c r="EQ190" s="1828"/>
      <c r="ER190" s="1828"/>
      <c r="ES190" s="1828"/>
      <c r="ET190" s="1828"/>
      <c r="EU190" s="1828"/>
      <c r="EV190" s="1828"/>
      <c r="EW190" s="1828"/>
      <c r="EX190" s="1828"/>
    </row>
    <row r="191" spans="1:154" s="331" customFormat="1">
      <c r="A191" s="3275"/>
      <c r="B191" s="1166" t="s">
        <v>953</v>
      </c>
      <c r="C191" s="1990"/>
      <c r="D191" s="26">
        <f t="shared" ref="D191:AI191" si="439">+D202+D219+D230+D203</f>
      </c>
      <c r="E191" s="26">
        <f t="shared" si="439"/>
      </c>
      <c r="F191" s="26">
        <f t="shared" si="439"/>
      </c>
      <c r="G191" s="26">
        <f t="shared" si="439"/>
      </c>
      <c r="H191" s="26">
        <f t="shared" si="439"/>
      </c>
      <c r="I191" s="26">
        <f t="shared" si="439"/>
      </c>
      <c r="J191" s="26">
        <f t="shared" si="439"/>
      </c>
      <c r="K191" s="26">
        <f t="shared" si="439"/>
      </c>
      <c r="L191" s="26">
        <f t="shared" si="439"/>
      </c>
      <c r="M191" s="26">
        <f t="shared" si="439"/>
      </c>
      <c r="N191" s="26">
        <f t="shared" si="439"/>
      </c>
      <c r="O191" s="26">
        <f t="shared" si="439"/>
      </c>
      <c r="P191" s="26">
        <f t="shared" si="439"/>
      </c>
      <c r="Q191" s="26">
        <f t="shared" si="439"/>
      </c>
      <c r="R191" s="26">
        <f t="shared" si="439"/>
      </c>
      <c r="S191" s="26">
        <f t="shared" si="439"/>
      </c>
      <c r="T191" s="26">
        <f t="shared" si="439"/>
      </c>
      <c r="U191" s="26">
        <f t="shared" si="439"/>
      </c>
      <c r="V191" s="26">
        <f t="shared" si="439"/>
      </c>
      <c r="W191" s="26">
        <f t="shared" si="439"/>
      </c>
      <c r="X191" s="323">
        <f t="shared" si="439"/>
      </c>
      <c r="Y191" s="26">
        <f t="shared" si="439"/>
      </c>
      <c r="Z191" s="26">
        <f t="shared" si="439"/>
      </c>
      <c r="AA191" s="26">
        <f t="shared" si="439"/>
      </c>
      <c r="AB191" s="26">
        <f t="shared" si="439"/>
      </c>
      <c r="AC191" s="323">
        <f t="shared" si="439"/>
      </c>
      <c r="AD191" s="26">
        <f t="shared" si="439"/>
      </c>
      <c r="AE191" s="26">
        <f t="shared" si="439"/>
      </c>
      <c r="AF191" s="26">
        <f t="shared" si="439"/>
      </c>
      <c r="AG191" s="26">
        <f t="shared" si="439"/>
      </c>
      <c r="AH191" s="323">
        <f t="shared" si="439"/>
      </c>
      <c r="AI191" s="26">
        <f t="shared" si="439"/>
      </c>
      <c r="AJ191" s="26">
        <f t="shared" ref="AJ191:BL191" si="440">+AJ202+AJ219+AJ230+AJ203</f>
      </c>
      <c r="AK191" s="26">
        <f t="shared" si="440"/>
      </c>
      <c r="AL191" s="26">
        <f t="shared" si="440"/>
      </c>
      <c r="AM191" s="323">
        <f t="shared" si="440"/>
      </c>
      <c r="AN191" s="26">
        <f t="shared" si="440"/>
      </c>
      <c r="AO191" s="26">
        <f t="shared" si="440"/>
      </c>
      <c r="AP191" s="26">
        <f t="shared" si="440"/>
      </c>
      <c r="AQ191" s="26">
        <f t="shared" si="440"/>
      </c>
      <c r="AR191" s="323">
        <f t="shared" si="440"/>
      </c>
      <c r="AS191" s="26">
        <f t="shared" si="440"/>
      </c>
      <c r="AT191" s="26">
        <f t="shared" si="440"/>
      </c>
      <c r="AU191" s="26">
        <f t="shared" si="440"/>
      </c>
      <c r="AV191" s="26">
        <f t="shared" si="440"/>
      </c>
      <c r="AW191" s="323">
        <f t="shared" si="440"/>
      </c>
      <c r="AX191" s="26">
        <f t="shared" si="440"/>
      </c>
      <c r="AY191" s="26">
        <f t="shared" si="440"/>
      </c>
      <c r="AZ191" s="26">
        <f t="shared" si="440"/>
      </c>
      <c r="BA191" s="26">
        <f t="shared" si="440"/>
      </c>
      <c r="BB191" s="323">
        <f t="shared" si="440"/>
      </c>
      <c r="BC191" s="26">
        <f t="shared" si="440"/>
      </c>
      <c r="BD191" s="26">
        <f t="shared" si="440"/>
      </c>
      <c r="BE191" s="26">
        <f t="shared" si="440"/>
      </c>
      <c r="BF191" s="26">
        <f t="shared" si="440"/>
      </c>
      <c r="BG191" s="323">
        <f t="shared" si="440"/>
      </c>
      <c r="BH191" s="26">
        <f t="shared" si="440"/>
      </c>
      <c r="BI191" s="26">
        <f t="shared" si="440"/>
      </c>
      <c r="BJ191" s="26">
        <f t="shared" si="440"/>
      </c>
      <c r="BK191" s="26">
        <f t="shared" si="440"/>
      </c>
      <c r="BL191" s="323">
        <f t="shared" si="440"/>
      </c>
      <c r="BM191" s="522">
        <v>1436</v>
      </c>
      <c r="BN191" s="522">
        <v>1524</v>
      </c>
      <c r="BO191" s="522">
        <v>1390</v>
      </c>
      <c r="BP191" s="522">
        <v>1401</v>
      </c>
      <c r="BQ191" s="323">
        <f>+BQ202+BQ219+BQ230+BQ203+BQ252</f>
      </c>
      <c r="BR191" s="522">
        <v>1453</v>
      </c>
      <c r="BS191" s="522">
        <v>1471</v>
      </c>
      <c r="BT191" s="522">
        <v>1600</v>
      </c>
      <c r="BU191" s="522">
        <v>1448</v>
      </c>
      <c r="BV191" s="323">
        <f>+BV202+BV219+BV230+BV203+BV252</f>
      </c>
      <c r="BW191" s="522">
        <v>1639</v>
      </c>
      <c r="BX191" s="522">
        <v>1578</v>
      </c>
      <c r="BY191" s="522">
        <v>1648</v>
      </c>
      <c r="BZ191" s="522">
        <v>1726</v>
      </c>
      <c r="CA191" s="323">
        <f>+CA202+CA219+CA230+CA203+CA252</f>
      </c>
      <c r="CB191" s="522">
        <v>1547</v>
      </c>
      <c r="CC191" s="522">
        <v>1853</v>
      </c>
      <c r="CD191" s="522">
        <v>1895</v>
      </c>
      <c r="CE191" s="522">
        <v>1816</v>
      </c>
      <c r="CF191" s="323">
        <f>+CF202+CF219+CF230+CF203+CF252</f>
      </c>
      <c r="CG191" s="522">
        <v>1755</v>
      </c>
      <c r="CH191" s="522">
        <v>1876</v>
      </c>
      <c r="CI191" s="522">
        <v>1910</v>
      </c>
      <c r="CJ191" s="522">
        <v>2101</v>
      </c>
      <c r="CK191" s="323">
        <f>SUM(CG191:CJ191)</f>
      </c>
      <c r="CL191" s="522">
        <v>2171</v>
      </c>
      <c r="CM191" s="522">
        <v>2224</v>
      </c>
      <c r="CN191" s="522">
        <v>2294</v>
      </c>
      <c r="CO191" s="522">
        <v>2157</v>
      </c>
      <c r="CP191" s="323">
        <f>+CP202+CP219+CP230+CP203+CP252</f>
      </c>
      <c r="CQ191" s="522">
        <v>2123</v>
      </c>
      <c r="CR191" s="522">
        <v>2101</v>
      </c>
      <c r="CS191" s="522">
        <v>2420</v>
      </c>
      <c r="CT191" s="522">
        <v>2227</v>
      </c>
      <c r="CU191" s="323">
        <f>+SUM(CQ191:CT191)</f>
      </c>
      <c r="CV191" s="522">
        <v>2000</v>
      </c>
      <c r="CW191" s="522">
        <v>2317</v>
      </c>
      <c r="CX191" s="522">
        <v>2400</v>
      </c>
      <c r="CY191" s="522">
        <v>2356</v>
      </c>
      <c r="CZ191" s="323">
        <f>+SUM(CV191:CY191)</f>
      </c>
      <c r="DA191" s="1586">
        <v>2163</v>
      </c>
      <c r="DB191" s="1586">
        <v>2379</v>
      </c>
      <c r="DC191" s="1586">
        <v>2582</v>
      </c>
      <c r="DD191" s="2397">
        <v>2517</v>
      </c>
      <c r="DE191" s="1851">
        <f>+SUM(DA191:DD191)</f>
      </c>
      <c r="DF191" s="1856">
        <v>2410</v>
      </c>
      <c r="DG191" s="1856">
        <v>2362</v>
      </c>
      <c r="DH191" s="1856">
        <v>2557.6</v>
      </c>
      <c r="DI191" s="2398">
        <v>2845</v>
      </c>
      <c r="DJ191" s="1854">
        <f>+DJ202+DJ219+DJ230+DJ203+DJ252+DJ241</f>
      </c>
      <c r="DK191" s="1857">
        <v>2413</v>
      </c>
      <c r="DL191" s="1857">
        <v>2748</v>
      </c>
      <c r="DM191" s="1856">
        <v>2771</v>
      </c>
      <c r="DN191" s="2398">
        <v>2912</v>
      </c>
      <c r="DO191" s="1851">
        <f>+DO202+DO219+DO230+DO203+DO252+DO241</f>
      </c>
      <c r="DP191" s="1857">
        <v>2501</v>
      </c>
      <c r="DQ191" s="1857">
        <v>2853</v>
      </c>
      <c r="DR191" s="1857">
        <v>2876</v>
      </c>
      <c r="DS191" s="1857">
        <v>2805</v>
      </c>
      <c r="DT191" s="1851">
        <f t="shared" ref="DT191:DY191" si="441">+DT202+DT219+DT230+DT203+DT252+DT241</f>
      </c>
      <c r="DU191" s="1857">
        <v>2448.4</v>
      </c>
      <c r="DV191" s="1857">
        <v>2864.5</v>
      </c>
      <c r="DW191" s="1857">
        <v>3192.8</v>
      </c>
      <c r="DX191" s="1857">
        <v>3033</v>
      </c>
      <c r="DY191" s="1851">
        <f t="shared" si="441"/>
      </c>
      <c r="DZ191" s="1857">
        <v>2453</v>
      </c>
      <c r="EA191" s="1857">
        <v>2978</v>
      </c>
      <c r="EB191" s="1857">
        <v>3068.4</v>
      </c>
      <c r="EC191" s="1857">
        <v>2856</v>
      </c>
      <c r="ED191" s="1851">
        <f t="shared" ref="ED191" si="442">+ED202+ED219+ED230+ED203+ED252+ED241</f>
      </c>
      <c r="EE191" s="1777">
        <f t="shared" ref="EE191:ES191" si="443">+EE202+EE219+EE230+EE203+EE252+EE241</f>
      </c>
      <c r="EF191" s="1856">
        <v>2505</v>
      </c>
      <c r="EG191" s="3540">
        <v>2676</v>
      </c>
      <c r="EH191" s="1858">
        <f t="shared" si="443"/>
      </c>
      <c r="EI191" s="1851">
        <f t="shared" si="443"/>
      </c>
      <c r="EJ191" s="1851">
        <f t="shared" si="443"/>
      </c>
      <c r="EK191" s="1851">
        <f t="shared" si="443"/>
      </c>
      <c r="EL191" s="1851">
        <f t="shared" si="443"/>
      </c>
      <c r="EM191" s="1851">
        <f t="shared" si="443"/>
      </c>
      <c r="EN191" s="1851">
        <f t="shared" si="443"/>
      </c>
      <c r="EO191" s="1851">
        <f t="shared" si="443"/>
      </c>
      <c r="EP191" s="1851">
        <f t="shared" si="443"/>
      </c>
      <c r="EQ191" s="1851">
        <f t="shared" si="443"/>
      </c>
      <c r="ER191" s="1851">
        <f t="shared" si="443"/>
      </c>
      <c r="ES191" s="1851">
        <f t="shared" si="443"/>
      </c>
      <c r="ET191" s="1815"/>
      <c r="EU191" s="1815"/>
      <c r="EV191" s="1815"/>
      <c r="EW191" s="1815"/>
      <c r="EX191" s="1815"/>
    </row>
    <row r="192" spans="1:154" s="331" customFormat="1">
      <c r="A192" s="3275"/>
      <c r="B192" s="1166" t="s">
        <v>412</v>
      </c>
      <c r="C192" s="1990"/>
      <c r="D192" s="26">
        <f t="shared" ref="D192:AI192" si="444">+D220+D231+D204</f>
      </c>
      <c r="E192" s="26">
        <f t="shared" si="444"/>
      </c>
      <c r="F192" s="26">
        <f t="shared" si="444"/>
      </c>
      <c r="G192" s="26">
        <f t="shared" si="444"/>
      </c>
      <c r="H192" s="26">
        <f t="shared" si="444"/>
      </c>
      <c r="I192" s="26">
        <f t="shared" si="444"/>
      </c>
      <c r="J192" s="26">
        <f t="shared" si="444"/>
      </c>
      <c r="K192" s="26">
        <f t="shared" si="444"/>
      </c>
      <c r="L192" s="26">
        <f t="shared" si="444"/>
      </c>
      <c r="M192" s="26">
        <f t="shared" si="444"/>
      </c>
      <c r="N192" s="26">
        <f t="shared" si="444"/>
      </c>
      <c r="O192" s="26">
        <f t="shared" si="444"/>
      </c>
      <c r="P192" s="26">
        <f t="shared" si="444"/>
      </c>
      <c r="Q192" s="26">
        <f t="shared" si="444"/>
      </c>
      <c r="R192" s="26">
        <f t="shared" si="444"/>
      </c>
      <c r="S192" s="26">
        <f t="shared" si="444"/>
      </c>
      <c r="T192" s="26">
        <f t="shared" si="444"/>
      </c>
      <c r="U192" s="26">
        <f t="shared" si="444"/>
      </c>
      <c r="V192" s="26">
        <f t="shared" si="444"/>
      </c>
      <c r="W192" s="26">
        <f t="shared" si="444"/>
      </c>
      <c r="X192" s="323">
        <f t="shared" si="444"/>
      </c>
      <c r="Y192" s="26">
        <f t="shared" si="444"/>
      </c>
      <c r="Z192" s="26">
        <f t="shared" si="444"/>
      </c>
      <c r="AA192" s="26">
        <f t="shared" si="444"/>
      </c>
      <c r="AB192" s="26">
        <f t="shared" si="444"/>
      </c>
      <c r="AC192" s="323">
        <f t="shared" si="444"/>
      </c>
      <c r="AD192" s="26">
        <f t="shared" si="444"/>
      </c>
      <c r="AE192" s="26">
        <f t="shared" si="444"/>
      </c>
      <c r="AF192" s="26">
        <f t="shared" si="444"/>
      </c>
      <c r="AG192" s="26">
        <f t="shared" si="444"/>
      </c>
      <c r="AH192" s="323">
        <f t="shared" si="444"/>
      </c>
      <c r="AI192" s="26">
        <f t="shared" si="444"/>
      </c>
      <c r="AJ192" s="26">
        <f t="shared" ref="AJ192:BL192" si="445">+AJ220+AJ231+AJ204</f>
      </c>
      <c r="AK192" s="26">
        <f t="shared" si="445"/>
      </c>
      <c r="AL192" s="26">
        <f t="shared" si="445"/>
      </c>
      <c r="AM192" s="323">
        <f t="shared" si="445"/>
      </c>
      <c r="AN192" s="26">
        <f t="shared" si="445"/>
      </c>
      <c r="AO192" s="26">
        <f t="shared" si="445"/>
      </c>
      <c r="AP192" s="26">
        <f t="shared" si="445"/>
      </c>
      <c r="AQ192" s="26">
        <f t="shared" si="445"/>
      </c>
      <c r="AR192" s="323">
        <f t="shared" si="445"/>
      </c>
      <c r="AS192" s="26">
        <f t="shared" si="445"/>
      </c>
      <c r="AT192" s="26">
        <f t="shared" si="445"/>
      </c>
      <c r="AU192" s="26">
        <f t="shared" si="445"/>
      </c>
      <c r="AV192" s="26">
        <f t="shared" si="445"/>
      </c>
      <c r="AW192" s="323">
        <f t="shared" si="445"/>
      </c>
      <c r="AX192" s="26">
        <f t="shared" si="445"/>
      </c>
      <c r="AY192" s="26">
        <f t="shared" si="445"/>
      </c>
      <c r="AZ192" s="26">
        <f t="shared" si="445"/>
      </c>
      <c r="BA192" s="26">
        <f t="shared" si="445"/>
      </c>
      <c r="BB192" s="323">
        <f t="shared" si="445"/>
      </c>
      <c r="BC192" s="26">
        <f t="shared" si="445"/>
      </c>
      <c r="BD192" s="26">
        <f t="shared" si="445"/>
      </c>
      <c r="BE192" s="26">
        <f t="shared" si="445"/>
      </c>
      <c r="BF192" s="26">
        <f t="shared" si="445"/>
      </c>
      <c r="BG192" s="323">
        <f t="shared" si="445"/>
      </c>
      <c r="BH192" s="26">
        <f t="shared" si="445"/>
      </c>
      <c r="BI192" s="26">
        <f t="shared" si="445"/>
      </c>
      <c r="BJ192" s="26">
        <f t="shared" si="445"/>
      </c>
      <c r="BK192" s="26">
        <f t="shared" si="445"/>
      </c>
      <c r="BL192" s="323">
        <f t="shared" si="445"/>
      </c>
      <c r="BM192" s="522">
        <v>144</v>
      </c>
      <c r="BN192" s="522">
        <v>131</v>
      </c>
      <c r="BO192" s="522">
        <v>377</v>
      </c>
      <c r="BP192" s="522">
        <v>395</v>
      </c>
      <c r="BQ192" s="323">
        <f>+BQ220+BQ231+BQ204+BQ253</f>
      </c>
      <c r="BR192" s="522">
        <v>442</v>
      </c>
      <c r="BS192" s="522">
        <v>448</v>
      </c>
      <c r="BT192" s="522">
        <v>484</v>
      </c>
      <c r="BU192" s="522">
        <v>528</v>
      </c>
      <c r="BV192" s="323">
        <f>+BV220+BV231+BV204+BV253</f>
      </c>
      <c r="BW192" s="522">
        <v>565</v>
      </c>
      <c r="BX192" s="522">
        <v>663</v>
      </c>
      <c r="BY192" s="522">
        <v>695</v>
      </c>
      <c r="BZ192" s="522">
        <v>676</v>
      </c>
      <c r="CA192" s="323">
        <f>+CA220+CA231+CA204+CA253</f>
      </c>
      <c r="CB192" s="522">
        <v>796</v>
      </c>
      <c r="CC192" s="522">
        <v>778</v>
      </c>
      <c r="CD192" s="522">
        <v>746</v>
      </c>
      <c r="CE192" s="522">
        <v>762</v>
      </c>
      <c r="CF192" s="323">
        <f>+CF220+CF231+CF204+CF253</f>
      </c>
      <c r="CG192" s="522">
        <v>708</v>
      </c>
      <c r="CH192" s="522">
        <v>678</v>
      </c>
      <c r="CI192" s="522">
        <v>704</v>
      </c>
      <c r="CJ192" s="522">
        <v>670</v>
      </c>
      <c r="CK192" s="323">
        <f>SUM(CG192:CJ192)</f>
      </c>
      <c r="CL192" s="522">
        <v>739</v>
      </c>
      <c r="CM192" s="522">
        <v>814</v>
      </c>
      <c r="CN192" s="522">
        <v>790</v>
      </c>
      <c r="CO192" s="522">
        <v>779</v>
      </c>
      <c r="CP192" s="323">
        <f>+CP220+CP231+CP204+CP253</f>
      </c>
      <c r="CQ192" s="522">
        <v>807</v>
      </c>
      <c r="CR192" s="522">
        <v>858</v>
      </c>
      <c r="CS192" s="522">
        <v>849</v>
      </c>
      <c r="CT192" s="522">
        <v>859</v>
      </c>
      <c r="CU192" s="323">
        <f>+SUM(CQ192:CT192)</f>
      </c>
      <c r="CV192" s="522">
        <v>1042</v>
      </c>
      <c r="CW192" s="522">
        <v>1021</v>
      </c>
      <c r="CX192" s="522">
        <v>998</v>
      </c>
      <c r="CY192" s="522">
        <v>986</v>
      </c>
      <c r="CZ192" s="323">
        <f>+SUM(CV192:CY192)</f>
      </c>
      <c r="DA192" s="1586">
        <v>1088</v>
      </c>
      <c r="DB192" s="1586">
        <v>1087</v>
      </c>
      <c r="DC192" s="1586">
        <v>1129</v>
      </c>
      <c r="DD192" s="2397">
        <v>1005</v>
      </c>
      <c r="DE192" s="1851">
        <f>+SUM(DA192:DD192)</f>
      </c>
      <c r="DF192" s="1856">
        <v>1228</v>
      </c>
      <c r="DG192" s="1856">
        <v>1161.4000000000001</v>
      </c>
      <c r="DH192" s="1856">
        <v>1230</v>
      </c>
      <c r="DI192" s="2398">
        <v>1261</v>
      </c>
      <c r="DJ192" s="1854">
        <f>+DJ220+DJ231+DJ204+DJ253+DJ242</f>
      </c>
      <c r="DK192" s="1857">
        <v>1501</v>
      </c>
      <c r="DL192" s="1857">
        <v>1483</v>
      </c>
      <c r="DM192" s="1856">
        <v>1480</v>
      </c>
      <c r="DN192" s="2398">
        <v>1443</v>
      </c>
      <c r="DO192" s="1851">
        <f>+DO220+DO231+DO204+DO253+DO242</f>
      </c>
      <c r="DP192" s="1857">
        <v>1617</v>
      </c>
      <c r="DQ192" s="1857">
        <v>1559</v>
      </c>
      <c r="DR192" s="1857">
        <v>1411</v>
      </c>
      <c r="DS192" s="1857">
        <v>1312</v>
      </c>
      <c r="DT192" s="1851">
        <f t="shared" ref="DT192:DY192" si="446">+DT220+DT231+DT204+DT253+DT242</f>
      </c>
      <c r="DU192" s="1857">
        <v>1664.4</v>
      </c>
      <c r="DV192" s="1857">
        <v>1631.4</v>
      </c>
      <c r="DW192" s="1857">
        <v>1655.6</v>
      </c>
      <c r="DX192" s="1857">
        <v>1562</v>
      </c>
      <c r="DY192" s="1851">
        <f t="shared" si="446"/>
      </c>
      <c r="DZ192" s="1857">
        <v>1793.9</v>
      </c>
      <c r="EA192" s="1857">
        <v>1744.4</v>
      </c>
      <c r="EB192" s="1857">
        <v>1552.4</v>
      </c>
      <c r="EC192" s="1857">
        <v>1383</v>
      </c>
      <c r="ED192" s="1851">
        <f t="shared" ref="ED192:EE192" si="447">+ED220+ED231+ED204+ED253+ED242</f>
      </c>
      <c r="EE192" s="1777">
        <f t="shared" si="447"/>
      </c>
      <c r="EF192" s="1856">
        <v>1489</v>
      </c>
      <c r="EG192" s="1857">
        <v>1493</v>
      </c>
      <c r="EH192" s="1858">
        <f t="shared" ref="EH192:ES192" si="448">+EH220+EH231+EH204+EH253+EH242</f>
      </c>
      <c r="EI192" s="1851">
        <f t="shared" si="448"/>
      </c>
      <c r="EJ192" s="1851">
        <f t="shared" si="448"/>
      </c>
      <c r="EK192" s="1851">
        <f t="shared" si="448"/>
      </c>
      <c r="EL192" s="1851">
        <f t="shared" si="448"/>
      </c>
      <c r="EM192" s="1851">
        <f t="shared" si="448"/>
      </c>
      <c r="EN192" s="1851">
        <f t="shared" si="448"/>
      </c>
      <c r="EO192" s="1851">
        <f t="shared" si="448"/>
      </c>
      <c r="EP192" s="1851">
        <f t="shared" si="448"/>
      </c>
      <c r="EQ192" s="1851">
        <f t="shared" si="448"/>
      </c>
      <c r="ER192" s="1851">
        <f t="shared" si="448"/>
      </c>
      <c r="ES192" s="1851">
        <f t="shared" si="448"/>
      </c>
      <c r="ET192" s="1815"/>
      <c r="EU192" s="1815"/>
      <c r="EV192" s="1815"/>
      <c r="EW192" s="1815"/>
      <c r="EX192" s="1815"/>
    </row>
    <row r="193" spans="1:154" s="331" customFormat="1">
      <c r="A193" s="3275" t="str">
        <f>+B190</f>
      </c>
      <c r="B193" s="1166" t="s">
        <v>413</v>
      </c>
      <c r="C193" s="1990"/>
      <c r="D193" s="26">
        <f t="shared" ref="D193:AI193" si="449">+D192+D191</f>
      </c>
      <c r="E193" s="26">
        <f t="shared" si="449"/>
      </c>
      <c r="F193" s="26">
        <f t="shared" si="449"/>
      </c>
      <c r="G193" s="26">
        <f t="shared" si="449"/>
      </c>
      <c r="H193" s="26">
        <f t="shared" si="449"/>
      </c>
      <c r="I193" s="26">
        <f t="shared" si="449"/>
      </c>
      <c r="J193" s="26">
        <f t="shared" si="449"/>
      </c>
      <c r="K193" s="26">
        <f t="shared" si="449"/>
      </c>
      <c r="L193" s="26">
        <f t="shared" si="449"/>
      </c>
      <c r="M193" s="26">
        <f t="shared" si="449"/>
      </c>
      <c r="N193" s="26">
        <f t="shared" si="449"/>
      </c>
      <c r="O193" s="26">
        <f t="shared" si="449"/>
      </c>
      <c r="P193" s="26">
        <f t="shared" si="449"/>
      </c>
      <c r="Q193" s="26">
        <f t="shared" si="449"/>
      </c>
      <c r="R193" s="26">
        <f t="shared" si="449"/>
      </c>
      <c r="S193" s="26">
        <f t="shared" si="449"/>
      </c>
      <c r="T193" s="26">
        <f t="shared" si="449"/>
      </c>
      <c r="U193" s="26">
        <f t="shared" si="449"/>
      </c>
      <c r="V193" s="26">
        <f t="shared" si="449"/>
      </c>
      <c r="W193" s="26">
        <f t="shared" si="449"/>
      </c>
      <c r="X193" s="323">
        <f t="shared" si="449"/>
      </c>
      <c r="Y193" s="26">
        <f t="shared" si="449"/>
      </c>
      <c r="Z193" s="26">
        <f t="shared" si="449"/>
      </c>
      <c r="AA193" s="26">
        <f t="shared" si="449"/>
      </c>
      <c r="AB193" s="26">
        <f t="shared" si="449"/>
      </c>
      <c r="AC193" s="323">
        <f t="shared" si="449"/>
      </c>
      <c r="AD193" s="26">
        <f t="shared" si="449"/>
      </c>
      <c r="AE193" s="26">
        <f t="shared" si="449"/>
      </c>
      <c r="AF193" s="26">
        <f t="shared" si="449"/>
      </c>
      <c r="AG193" s="26">
        <f t="shared" si="449"/>
      </c>
      <c r="AH193" s="323">
        <f t="shared" si="449"/>
      </c>
      <c r="AI193" s="26">
        <f t="shared" si="449"/>
      </c>
      <c r="AJ193" s="26">
        <f t="shared" ref="AJ193:BO193" si="450">+AJ192+AJ191</f>
      </c>
      <c r="AK193" s="26">
        <f t="shared" si="450"/>
      </c>
      <c r="AL193" s="26">
        <f t="shared" si="450"/>
      </c>
      <c r="AM193" s="323">
        <f t="shared" si="450"/>
      </c>
      <c r="AN193" s="26">
        <f t="shared" si="450"/>
      </c>
      <c r="AO193" s="26">
        <f t="shared" si="450"/>
      </c>
      <c r="AP193" s="26">
        <f t="shared" si="450"/>
      </c>
      <c r="AQ193" s="26">
        <f t="shared" si="450"/>
      </c>
      <c r="AR193" s="323">
        <f t="shared" si="450"/>
      </c>
      <c r="AS193" s="26">
        <f t="shared" si="450"/>
      </c>
      <c r="AT193" s="26">
        <f t="shared" si="450"/>
      </c>
      <c r="AU193" s="26">
        <f t="shared" si="450"/>
      </c>
      <c r="AV193" s="26">
        <f t="shared" si="450"/>
      </c>
      <c r="AW193" s="323">
        <f t="shared" si="450"/>
      </c>
      <c r="AX193" s="26">
        <f t="shared" si="450"/>
      </c>
      <c r="AY193" s="26">
        <f t="shared" si="450"/>
      </c>
      <c r="AZ193" s="26">
        <f t="shared" si="450"/>
      </c>
      <c r="BA193" s="26">
        <f t="shared" si="450"/>
      </c>
      <c r="BB193" s="323">
        <f t="shared" si="450"/>
      </c>
      <c r="BC193" s="26">
        <f t="shared" si="450"/>
      </c>
      <c r="BD193" s="26">
        <f t="shared" si="450"/>
      </c>
      <c r="BE193" s="26">
        <f t="shared" si="450"/>
      </c>
      <c r="BF193" s="26">
        <f t="shared" si="450"/>
      </c>
      <c r="BG193" s="323">
        <f t="shared" si="450"/>
      </c>
      <c r="BH193" s="26">
        <f t="shared" si="450"/>
      </c>
      <c r="BI193" s="26">
        <f t="shared" si="450"/>
      </c>
      <c r="BJ193" s="26">
        <f t="shared" si="450"/>
      </c>
      <c r="BK193" s="26">
        <f t="shared" si="450"/>
      </c>
      <c r="BL193" s="323">
        <f t="shared" si="450"/>
      </c>
      <c r="BM193" s="26">
        <f t="shared" si="450"/>
      </c>
      <c r="BN193" s="26">
        <f t="shared" si="450"/>
      </c>
      <c r="BO193" s="26">
        <f t="shared" si="450"/>
      </c>
      <c r="BP193" s="26">
        <f t="shared" ref="BP193:CB193" si="451">+BP192+BP191</f>
      </c>
      <c r="BQ193" s="323">
        <f t="shared" si="451"/>
      </c>
      <c r="BR193" s="26">
        <f t="shared" si="451"/>
      </c>
      <c r="BS193" s="26">
        <f t="shared" si="451"/>
      </c>
      <c r="BT193" s="26">
        <f t="shared" si="451"/>
      </c>
      <c r="BU193" s="26">
        <f t="shared" si="451"/>
      </c>
      <c r="BV193" s="323">
        <f t="shared" si="451"/>
      </c>
      <c r="BW193" s="26">
        <f t="shared" si="451"/>
      </c>
      <c r="BX193" s="26">
        <f t="shared" si="451"/>
      </c>
      <c r="BY193" s="26">
        <f t="shared" si="451"/>
      </c>
      <c r="BZ193" s="26">
        <f t="shared" si="451"/>
      </c>
      <c r="CA193" s="323">
        <f t="shared" si="451"/>
      </c>
      <c r="CB193" s="26">
        <f t="shared" si="451"/>
      </c>
      <c r="CC193" s="26">
        <f>+CC192+CC191</f>
      </c>
      <c r="CD193" s="26">
        <f t="shared" ref="CD193:CJ193" si="452">+CD192+CD191</f>
      </c>
      <c r="CE193" s="26">
        <f t="shared" si="452"/>
      </c>
      <c r="CF193" s="323">
        <f t="shared" si="452"/>
      </c>
      <c r="CG193" s="26">
        <f t="shared" si="452"/>
      </c>
      <c r="CH193" s="26">
        <f t="shared" si="452"/>
      </c>
      <c r="CI193" s="26">
        <f t="shared" si="452"/>
      </c>
      <c r="CJ193" s="26">
        <f t="shared" si="452"/>
      </c>
      <c r="CK193" s="323">
        <f>SUM(CG193:CJ193)</f>
      </c>
      <c r="CL193" s="26">
        <f t="shared" ref="CL193:CS193" si="453">+CL192+CL191</f>
      </c>
      <c r="CM193" s="26">
        <f t="shared" si="453"/>
      </c>
      <c r="CN193" s="26">
        <f t="shared" si="453"/>
      </c>
      <c r="CO193" s="26">
        <f t="shared" si="453"/>
      </c>
      <c r="CP193" s="323">
        <f t="shared" si="453"/>
      </c>
      <c r="CQ193" s="26">
        <f t="shared" si="453"/>
      </c>
      <c r="CR193" s="26">
        <f t="shared" si="453"/>
      </c>
      <c r="CS193" s="26">
        <f t="shared" si="453"/>
      </c>
      <c r="CT193" s="26">
        <f>+CT192+CT191</f>
      </c>
      <c r="CU193" s="323">
        <f>+SUM(CQ193:CT193)</f>
      </c>
      <c r="CV193" s="26">
        <f>+CV192+CV191</f>
      </c>
      <c r="CW193" s="26">
        <f>+CW192+CW191</f>
      </c>
      <c r="CX193" s="26">
        <f>+CX192+CX191</f>
      </c>
      <c r="CY193" s="26">
        <f>+CY192+CY191</f>
      </c>
      <c r="CZ193" s="323">
        <f>+SUM(CV193:CY193)</f>
      </c>
      <c r="DA193" s="15">
        <f>+DA192+DA191</f>
      </c>
      <c r="DB193" s="15">
        <f>+DB192+DB191</f>
      </c>
      <c r="DC193" s="15">
        <f>+DC192+DC191</f>
      </c>
      <c r="DD193" s="132">
        <f>+DD192+DD191</f>
      </c>
      <c r="DE193" s="1851">
        <f>+SUM(DA193:DD193)</f>
      </c>
      <c r="DF193" s="1777">
        <f t="shared" ref="DF193:ED193" si="454">+DF192+DF191</f>
      </c>
      <c r="DG193" s="1777">
        <f t="shared" si="454"/>
      </c>
      <c r="DH193" s="1777">
        <f t="shared" si="454"/>
      </c>
      <c r="DI193" s="2354">
        <f t="shared" si="454"/>
      </c>
      <c r="DJ193" s="1854">
        <f t="shared" si="454"/>
      </c>
      <c r="DK193" s="1858">
        <f t="shared" si="454"/>
      </c>
      <c r="DL193" s="1858">
        <f t="shared" si="454"/>
      </c>
      <c r="DM193" s="1777">
        <f t="shared" si="454"/>
      </c>
      <c r="DN193" s="1777">
        <f t="shared" si="454"/>
      </c>
      <c r="DO193" s="1851">
        <f t="shared" si="454"/>
      </c>
      <c r="DP193" s="1858">
        <f t="shared" si="454"/>
      </c>
      <c r="DQ193" s="1858">
        <f t="shared" si="454"/>
      </c>
      <c r="DR193" s="1858">
        <f t="shared" si="454"/>
      </c>
      <c r="DS193" s="1858">
        <f t="shared" si="454"/>
      </c>
      <c r="DT193" s="1851">
        <f t="shared" si="454"/>
      </c>
      <c r="DU193" s="1858">
        <f t="shared" si="454"/>
      </c>
      <c r="DV193" s="1858">
        <f t="shared" si="454"/>
      </c>
      <c r="DW193" s="1858">
        <f t="shared" si="454"/>
      </c>
      <c r="DX193" s="1858">
        <f>+DX192+DX191</f>
      </c>
      <c r="DY193" s="1851">
        <f t="shared" si="454"/>
      </c>
      <c r="DZ193" s="1858">
        <f t="shared" si="454"/>
      </c>
      <c r="EA193" s="1858">
        <f t="shared" si="454"/>
      </c>
      <c r="EB193" s="1858">
        <f t="shared" si="454"/>
      </c>
      <c r="EC193" s="1858">
        <f t="shared" si="454"/>
      </c>
      <c r="ED193" s="1851">
        <f t="shared" si="454"/>
      </c>
      <c r="EE193" s="1777">
        <f t="shared" ref="EE193:ES193" si="455">+EE192+EE191</f>
      </c>
      <c r="EF193" s="1777">
        <f t="shared" ref="EF193" si="456">+EF192+EF191</f>
      </c>
      <c r="EG193" s="1777">
        <f t="shared" ref="EG193" si="457">SUM(EG191:EG192)</f>
      </c>
      <c r="EH193" s="1858">
        <f t="shared" si="455"/>
      </c>
      <c r="EI193" s="1851">
        <f t="shared" si="455"/>
      </c>
      <c r="EJ193" s="1851">
        <f t="shared" si="455"/>
      </c>
      <c r="EK193" s="1851">
        <f t="shared" si="455"/>
      </c>
      <c r="EL193" s="1851">
        <f t="shared" si="455"/>
      </c>
      <c r="EM193" s="1851">
        <f t="shared" si="455"/>
      </c>
      <c r="EN193" s="1851">
        <f t="shared" si="455"/>
      </c>
      <c r="EO193" s="1851">
        <f t="shared" si="455"/>
      </c>
      <c r="EP193" s="1851">
        <f t="shared" si="455"/>
      </c>
      <c r="EQ193" s="1851">
        <f t="shared" si="455"/>
      </c>
      <c r="ER193" s="1851">
        <f t="shared" si="455"/>
      </c>
      <c r="ES193" s="1851">
        <f t="shared" si="455"/>
      </c>
      <c r="ET193" s="1815"/>
      <c r="EU193" s="1815"/>
      <c r="EV193" s="1815"/>
      <c r="EW193" s="1815"/>
      <c r="EX193" s="1815"/>
    </row>
    <row r="194" spans="1:154">
      <c r="B194" s="1167"/>
      <c r="C194" s="1989"/>
      <c r="D194" s="28"/>
      <c r="E194" s="28"/>
      <c r="F194" s="28"/>
      <c r="G194" s="28"/>
      <c r="H194" s="28"/>
      <c r="I194" s="31"/>
      <c r="J194" s="28"/>
      <c r="K194" s="28"/>
      <c r="L194" s="28"/>
      <c r="M194" s="28"/>
      <c r="N194" s="31"/>
      <c r="O194" s="31"/>
      <c r="P194" s="31"/>
      <c r="Q194" s="31"/>
      <c r="R194" s="31"/>
      <c r="S194" s="31"/>
      <c r="T194" s="31"/>
      <c r="U194" s="31"/>
      <c r="V194" s="31"/>
      <c r="W194" s="31"/>
      <c r="X194" s="312"/>
      <c r="Y194" s="31"/>
      <c r="Z194" s="31"/>
      <c r="AA194" s="31"/>
      <c r="AB194" s="31"/>
      <c r="AC194" s="312"/>
      <c r="AD194" s="31"/>
      <c r="AE194" s="31"/>
      <c r="AF194" s="31"/>
      <c r="AG194" s="31"/>
      <c r="AH194" s="312"/>
      <c r="AI194" s="28"/>
      <c r="AJ194" s="28"/>
      <c r="AK194" s="28"/>
      <c r="AL194" s="31"/>
      <c r="AM194" s="312"/>
      <c r="AN194" s="28"/>
      <c r="AO194" s="28"/>
      <c r="AP194" s="28"/>
      <c r="AQ194" s="31"/>
      <c r="AR194" s="312"/>
      <c r="AS194" s="28"/>
      <c r="AT194" s="28"/>
      <c r="AU194" s="28"/>
      <c r="AV194" s="31"/>
      <c r="AW194" s="312"/>
      <c r="AX194" s="28"/>
      <c r="AY194" s="28"/>
      <c r="AZ194" s="28"/>
      <c r="BA194" s="28"/>
      <c r="BB194" s="312"/>
      <c r="BC194" s="28"/>
      <c r="BD194" s="28"/>
      <c r="BE194" s="28"/>
      <c r="BF194" s="28"/>
      <c r="BG194" s="312"/>
      <c r="BH194" s="28"/>
      <c r="BI194" s="28"/>
      <c r="BJ194" s="28"/>
      <c r="BK194" s="28"/>
      <c r="BL194" s="312"/>
      <c r="BM194" s="28"/>
      <c r="BN194" s="28"/>
      <c r="BO194" s="28"/>
      <c r="BP194" s="28"/>
      <c r="BQ194" s="312"/>
      <c r="BR194" s="28"/>
      <c r="BS194" s="28"/>
      <c r="BT194" s="28"/>
      <c r="BU194" s="28"/>
      <c r="BV194" s="312"/>
      <c r="BW194" s="28"/>
      <c r="BX194" s="28"/>
      <c r="BY194" s="28"/>
      <c r="BZ194" s="28"/>
      <c r="CA194" s="312"/>
      <c r="CB194" s="28"/>
      <c r="CC194" s="28"/>
      <c r="CD194" s="28"/>
      <c r="CE194" s="28"/>
      <c r="CF194" s="312"/>
      <c r="CG194" s="28"/>
      <c r="CH194" s="28"/>
      <c r="CI194" s="28"/>
      <c r="CJ194" s="28"/>
      <c r="CK194" s="312"/>
      <c r="CL194" s="28"/>
      <c r="CM194" s="933"/>
      <c r="CN194" s="28"/>
      <c r="CO194" s="28"/>
      <c r="CP194" s="312"/>
      <c r="CQ194" s="933"/>
      <c r="CR194" s="933"/>
      <c r="CS194" s="933"/>
      <c r="CT194" s="933"/>
      <c r="CU194" s="312"/>
      <c r="CV194" s="933"/>
      <c r="CW194" s="933"/>
      <c r="CX194" s="933"/>
      <c r="CY194" s="933"/>
      <c r="CZ194" s="312"/>
      <c r="DA194" s="933"/>
      <c r="DB194" s="28"/>
      <c r="DC194" s="28"/>
      <c r="DD194" s="876"/>
      <c r="DE194" s="445"/>
      <c r="DF194" s="982"/>
      <c r="DG194" s="444"/>
      <c r="DH194" s="444"/>
      <c r="DI194" s="1788"/>
      <c r="DJ194" s="1830"/>
      <c r="DK194" s="1831"/>
      <c r="DL194" s="1545"/>
      <c r="DM194" s="444"/>
      <c r="DN194" s="1788"/>
      <c r="DO194" s="445"/>
      <c r="DP194" s="1545"/>
      <c r="DQ194" s="1545"/>
      <c r="DR194" s="1545"/>
      <c r="DS194" s="1832"/>
      <c r="DT194" s="2463"/>
      <c r="DU194" s="1842"/>
      <c r="DV194" s="1842"/>
      <c r="DW194" s="1842"/>
      <c r="DX194" s="1842"/>
      <c r="DY194" s="445"/>
      <c r="DZ194" s="1842"/>
      <c r="EA194" s="1842"/>
      <c r="EB194" s="1842"/>
      <c r="EC194" s="1942"/>
      <c r="ED194" s="2060"/>
      <c r="EE194" s="1842"/>
      <c r="EF194" s="1842"/>
      <c r="EG194" s="1842"/>
      <c r="EH194" s="1942">
        <f>SUM(EE192:EH192)</f>
      </c>
      <c r="EI194" s="445"/>
      <c r="EJ194" s="445"/>
      <c r="EK194" s="445"/>
      <c r="EL194" s="445"/>
      <c r="EM194" s="445"/>
      <c r="EN194" s="445"/>
      <c r="EO194" s="445"/>
      <c r="EP194" s="445"/>
      <c r="EQ194" s="445"/>
      <c r="ER194" s="445"/>
      <c r="ES194" s="445"/>
      <c r="ET194" s="445"/>
      <c r="EU194" s="445"/>
      <c r="EV194" s="445"/>
      <c r="EW194" s="445"/>
      <c r="EX194" s="445"/>
    </row>
    <row r="195" spans="1:154">
      <c r="B195" s="490" t="s">
        <v>889</v>
      </c>
      <c r="C195" s="1989"/>
      <c r="D195" s="28"/>
      <c r="E195" s="28"/>
      <c r="F195" s="28"/>
      <c r="G195" s="28"/>
      <c r="H195" s="28"/>
      <c r="I195" s="31"/>
      <c r="J195" s="28"/>
      <c r="K195" s="28"/>
      <c r="L195" s="28"/>
      <c r="M195" s="28"/>
      <c r="N195" s="31"/>
      <c r="O195" s="31"/>
      <c r="P195" s="31"/>
      <c r="Q195" s="31"/>
      <c r="R195" s="31"/>
      <c r="S195" s="31"/>
      <c r="T195" s="31"/>
      <c r="U195" s="31"/>
      <c r="V195" s="31"/>
      <c r="W195" s="31"/>
      <c r="X195" s="312"/>
      <c r="Y195" s="31"/>
      <c r="Z195" s="31"/>
      <c r="AA195" s="31"/>
      <c r="AB195" s="31"/>
      <c r="AC195" s="312"/>
      <c r="AD195" s="31"/>
      <c r="AE195" s="31"/>
      <c r="AF195" s="31"/>
      <c r="AG195" s="31"/>
      <c r="AH195" s="312"/>
      <c r="AI195" s="28"/>
      <c r="AJ195" s="28"/>
      <c r="AK195" s="28"/>
      <c r="AL195" s="31"/>
      <c r="AM195" s="312"/>
      <c r="AN195" s="28"/>
      <c r="AO195" s="28"/>
      <c r="AP195" s="28"/>
      <c r="AQ195" s="31"/>
      <c r="AR195" s="312"/>
      <c r="AS195" s="28"/>
      <c r="AT195" s="28"/>
      <c r="AU195" s="28"/>
      <c r="AV195" s="31"/>
      <c r="AW195" s="312"/>
      <c r="AX195" s="28"/>
      <c r="AY195" s="28"/>
      <c r="AZ195" s="28"/>
      <c r="BA195" s="28"/>
      <c r="BB195" s="312"/>
      <c r="BC195" s="28"/>
      <c r="BD195" s="28"/>
      <c r="BE195" s="28"/>
      <c r="BF195" s="28"/>
      <c r="BG195" s="312"/>
      <c r="BH195" s="28"/>
      <c r="BI195" s="28"/>
      <c r="BJ195" s="28"/>
      <c r="BK195" s="28"/>
      <c r="BL195" s="312"/>
      <c r="BM195" s="28"/>
      <c r="BN195" s="28"/>
      <c r="BO195" s="28"/>
      <c r="BP195" s="28"/>
      <c r="BQ195" s="312"/>
      <c r="BR195" s="28"/>
      <c r="BS195" s="28"/>
      <c r="BT195" s="28"/>
      <c r="BU195" s="28"/>
      <c r="BV195" s="312"/>
      <c r="BW195" s="28"/>
      <c r="BX195" s="28"/>
      <c r="BY195" s="28"/>
      <c r="BZ195" s="28"/>
      <c r="CA195" s="312"/>
      <c r="CB195" s="28"/>
      <c r="CC195" s="28"/>
      <c r="CD195" s="28"/>
      <c r="CE195" s="28"/>
      <c r="CF195" s="312"/>
      <c r="CG195" s="28"/>
      <c r="CH195" s="28"/>
      <c r="CI195" s="28"/>
      <c r="CJ195" s="28"/>
      <c r="CK195" s="312"/>
      <c r="CL195" s="28"/>
      <c r="CM195" s="933"/>
      <c r="CN195" s="28"/>
      <c r="CO195" s="28"/>
      <c r="CP195" s="312"/>
      <c r="CQ195" s="933"/>
      <c r="CR195" s="933"/>
      <c r="CS195" s="933"/>
      <c r="CT195" s="933"/>
      <c r="CU195" s="312"/>
      <c r="CV195" s="933"/>
      <c r="CW195" s="933"/>
      <c r="CX195" s="933"/>
      <c r="CY195" s="933"/>
      <c r="CZ195" s="312"/>
      <c r="DA195" s="933"/>
      <c r="DB195" s="28"/>
      <c r="DC195" s="28"/>
      <c r="DD195" s="876"/>
      <c r="DE195" s="445"/>
      <c r="DF195" s="982"/>
      <c r="DG195" s="444"/>
      <c r="DH195" s="444"/>
      <c r="DI195" s="1788"/>
      <c r="DJ195" s="1830"/>
      <c r="DK195" s="1831"/>
      <c r="DL195" s="1545"/>
      <c r="DM195" s="444"/>
      <c r="DN195" s="1788"/>
      <c r="DO195" s="445"/>
      <c r="DP195" s="1545"/>
      <c r="DQ195" s="1545"/>
      <c r="DR195" s="1545"/>
      <c r="DS195" s="1832"/>
      <c r="DT195" s="445"/>
      <c r="DU195" s="1842"/>
      <c r="DV195" s="1842"/>
      <c r="DW195" s="1842"/>
      <c r="DX195" s="1842"/>
      <c r="DY195" s="445"/>
      <c r="DZ195" s="1842"/>
      <c r="EA195" s="1842"/>
      <c r="EB195" s="1842"/>
      <c r="EC195" s="1942"/>
      <c r="ED195" s="1866"/>
      <c r="EE195" s="1842"/>
      <c r="EF195" s="1842"/>
      <c r="EG195" s="1842"/>
      <c r="EH195" s="1942"/>
      <c r="EI195" s="445"/>
      <c r="EJ195" s="445"/>
      <c r="EK195" s="445"/>
      <c r="EL195" s="445"/>
      <c r="EM195" s="445"/>
      <c r="EN195" s="445"/>
      <c r="EO195" s="445"/>
      <c r="EP195" s="445"/>
      <c r="EQ195" s="445"/>
      <c r="ER195" s="445"/>
      <c r="ES195" s="445"/>
      <c r="ET195" s="445"/>
      <c r="EU195" s="445"/>
      <c r="EV195" s="445"/>
      <c r="EW195" s="445"/>
      <c r="EX195" s="445"/>
    </row>
    <row r="196" spans="1:154">
      <c r="B196" s="491" t="s">
        <v>921</v>
      </c>
      <c r="C196" s="1989"/>
      <c r="D196" s="28"/>
      <c r="E196" s="28"/>
      <c r="F196" s="28"/>
      <c r="G196" s="28"/>
      <c r="H196" s="28"/>
      <c r="I196" s="30" t="str">
        <f t="shared" ref="I196:R197" si="458">IF(D191="NM","NM",IF(I191="NM","NM",IF(D191&lt;=0,"NM",IF(I191=0,"NM",IF(ABS(I191/D191-1)&gt;2.5,"NM",IF((ABS(I191-D191)=ABS(ABS(I191)-ABS(D191))),(I191/D191-1),"NM"))))))</f>
      </c>
      <c r="J196" s="30">
        <f t="shared" si="458"/>
      </c>
      <c r="K196" s="30" t="str">
        <f t="shared" si="458"/>
      </c>
      <c r="L196" s="30">
        <f t="shared" si="458"/>
      </c>
      <c r="M196" s="30">
        <f t="shared" si="458"/>
      </c>
      <c r="N196" s="30">
        <f t="shared" si="458"/>
      </c>
      <c r="O196" s="30">
        <f t="shared" si="458"/>
      </c>
      <c r="P196" s="30">
        <f t="shared" si="458"/>
      </c>
      <c r="Q196" s="30">
        <f t="shared" si="458"/>
      </c>
      <c r="R196" s="30">
        <f t="shared" si="458"/>
      </c>
      <c r="S196" s="30">
        <f t="shared" ref="S196:AB197" si="459">IF(N191="NM","NM",IF(S191="NM","NM",IF(N191&lt;=0,"NM",IF(S191=0,"NM",IF(ABS(S191/N191-1)&gt;2.5,"NM",IF((ABS(S191-N191)=ABS(ABS(S191)-ABS(N191))),(S191/N191-1),"NM"))))))</f>
      </c>
      <c r="T196" s="30">
        <f t="shared" si="459"/>
      </c>
      <c r="U196" s="30">
        <f t="shared" si="459"/>
      </c>
      <c r="V196" s="30">
        <f t="shared" si="459"/>
      </c>
      <c r="W196" s="30">
        <f t="shared" si="459"/>
      </c>
      <c r="X196" s="308">
        <f t="shared" si="459"/>
      </c>
      <c r="Y196" s="30">
        <f t="shared" si="459"/>
      </c>
      <c r="Z196" s="30">
        <f t="shared" si="459"/>
      </c>
      <c r="AA196" s="30">
        <f t="shared" si="459"/>
      </c>
      <c r="AB196" s="30">
        <f t="shared" si="459"/>
      </c>
      <c r="AC196" s="308">
        <f t="shared" ref="AC196:AL197" si="460">IF(X191="NM","NM",IF(AC191="NM","NM",IF(X191&lt;=0,"NM",IF(AC191=0,"NM",IF(ABS(AC191/X191-1)&gt;2.5,"NM",IF((ABS(AC191-X191)=ABS(ABS(AC191)-ABS(X191))),(AC191/X191-1),"NM"))))))</f>
      </c>
      <c r="AD196" s="30">
        <f t="shared" si="460"/>
      </c>
      <c r="AE196" s="30">
        <f t="shared" si="460"/>
      </c>
      <c r="AF196" s="30">
        <f t="shared" si="460"/>
      </c>
      <c r="AG196" s="30">
        <f t="shared" si="460"/>
      </c>
      <c r="AH196" s="308">
        <f t="shared" si="460"/>
      </c>
      <c r="AI196" s="30">
        <f t="shared" si="460"/>
      </c>
      <c r="AJ196" s="30">
        <f t="shared" si="460"/>
      </c>
      <c r="AK196" s="30">
        <f t="shared" si="460"/>
      </c>
      <c r="AL196" s="30">
        <f t="shared" si="460"/>
      </c>
      <c r="AM196" s="308">
        <f t="shared" ref="AM196:AV197" si="461">IF(AH191="NM","NM",IF(AM191="NM","NM",IF(AH191&lt;=0,"NM",IF(AM191=0,"NM",IF(ABS(AM191/AH191-1)&gt;2.5,"NM",IF((ABS(AM191-AH191)=ABS(ABS(AM191)-ABS(AH191))),(AM191/AH191-1),"NM"))))))</f>
      </c>
      <c r="AN196" s="30">
        <f t="shared" si="461"/>
      </c>
      <c r="AO196" s="30">
        <f t="shared" si="461"/>
      </c>
      <c r="AP196" s="30">
        <f t="shared" si="461"/>
      </c>
      <c r="AQ196" s="30">
        <f t="shared" si="461"/>
      </c>
      <c r="AR196" s="308">
        <f t="shared" si="461"/>
      </c>
      <c r="AS196" s="30">
        <f t="shared" si="461"/>
      </c>
      <c r="AT196" s="30">
        <f t="shared" si="461"/>
      </c>
      <c r="AU196" s="30">
        <f t="shared" si="461"/>
      </c>
      <c r="AV196" s="30">
        <f t="shared" si="461"/>
      </c>
      <c r="AW196" s="308">
        <f t="shared" ref="AW196:BF197" si="462">IF(AR191="NM","NM",IF(AW191="NM","NM",IF(AR191&lt;=0,"NM",IF(AW191=0,"NM",IF(ABS(AW191/AR191-1)&gt;2.5,"NM",IF((ABS(AW191-AR191)=ABS(ABS(AW191)-ABS(AR191))),(AW191/AR191-1),"NM"))))))</f>
      </c>
      <c r="AX196" s="30">
        <f t="shared" si="462"/>
      </c>
      <c r="AY196" s="30">
        <f t="shared" si="462"/>
      </c>
      <c r="AZ196" s="30">
        <f t="shared" si="462"/>
      </c>
      <c r="BA196" s="30">
        <f t="shared" si="462"/>
      </c>
      <c r="BB196" s="308">
        <f t="shared" si="462"/>
      </c>
      <c r="BC196" s="30">
        <f t="shared" si="462"/>
      </c>
      <c r="BD196" s="30">
        <f t="shared" si="462"/>
      </c>
      <c r="BE196" s="30">
        <f t="shared" si="462"/>
      </c>
      <c r="BF196" s="30">
        <f t="shared" si="462"/>
      </c>
      <c r="BG196" s="308">
        <f t="shared" ref="BG196:BP197" si="463">IF(BB191="NM","NM",IF(BG191="NM","NM",IF(BB191&lt;=0,"NM",IF(BG191=0,"NM",IF(ABS(BG191/BB191-1)&gt;2.5,"NM",IF((ABS(BG191-BB191)=ABS(ABS(BG191)-ABS(BB191))),(BG191/BB191-1),"NM"))))))</f>
      </c>
      <c r="BH196" s="30">
        <f t="shared" si="463"/>
      </c>
      <c r="BI196" s="30">
        <f t="shared" si="463"/>
      </c>
      <c r="BJ196" s="30">
        <f t="shared" si="463"/>
      </c>
      <c r="BK196" s="30">
        <f t="shared" si="463"/>
      </c>
      <c r="BL196" s="308">
        <f t="shared" si="463"/>
      </c>
      <c r="BM196" s="30">
        <f t="shared" si="463"/>
      </c>
      <c r="BN196" s="30">
        <f t="shared" si="463"/>
      </c>
      <c r="BO196" s="30">
        <f t="shared" si="463"/>
      </c>
      <c r="BP196" s="30">
        <f t="shared" si="463"/>
      </c>
      <c r="BQ196" s="308">
        <f t="shared" ref="BQ196:BZ197" si="464">IF(BL191="NM","NM",IF(BQ191="NM","NM",IF(BL191&lt;=0,"NM",IF(BQ191=0,"NM",IF(ABS(BQ191/BL191-1)&gt;2.5,"NM",IF((ABS(BQ191-BL191)=ABS(ABS(BQ191)-ABS(BL191))),(BQ191/BL191-1),"NM"))))))</f>
      </c>
      <c r="BR196" s="30">
        <f t="shared" si="464"/>
      </c>
      <c r="BS196" s="30">
        <f t="shared" si="464"/>
      </c>
      <c r="BT196" s="30">
        <f t="shared" si="464"/>
      </c>
      <c r="BU196" s="30">
        <f t="shared" si="464"/>
      </c>
      <c r="BV196" s="308">
        <f t="shared" si="464"/>
      </c>
      <c r="BW196" s="30">
        <f t="shared" si="464"/>
      </c>
      <c r="BX196" s="30">
        <f t="shared" si="464"/>
      </c>
      <c r="BY196" s="30">
        <f t="shared" si="464"/>
      </c>
      <c r="BZ196" s="30">
        <f t="shared" si="464"/>
      </c>
      <c r="CA196" s="308">
        <f>IF(BV191="NM","NM",IF(CA191="NM","NM",IF(BV191&lt;=0,"NM",IF(CA191=0,"NM",IF(ABS(CA191/BV191-1)&gt;2.5,"NM",IF((ABS(CA191-BV191)=ABS(ABS(CA191)-ABS(BV191))),(CA191/BV191-1),"NM"))))))</f>
      </c>
      <c r="CB196" s="30">
        <f t="shared" ref="CB196:CE197" si="465">IF(BW191="NM","NM",IF(CB191="NM","NM",IF(BW191&lt;=0,"NM",IF(CB191=0,"NM",IF(ABS(CB191/BW191-1)&gt;2.5,"NM",IF((ABS(CB191-BW191)=ABS(ABS(CB191)-ABS(BW191))),(CB191/BW191-1),"NM"))))))</f>
      </c>
      <c r="CC196" s="30">
        <f t="shared" si="465"/>
      </c>
      <c r="CD196" s="30">
        <f t="shared" si="465"/>
      </c>
      <c r="CE196" s="30">
        <f t="shared" si="465"/>
      </c>
      <c r="CF196" s="308">
        <f>IF(CA191="NM","NM",IF(CF191="NM","NM",IF(CA191&lt;=0,"NM",IF(CF191=0,"NM",IF(ABS(CF191/CA191-1)&gt;2.5,"NM",IF((ABS(CF191-CA191)=ABS(ABS(CF191)-ABS(CA191))),(CF191/CA191-1),"NM"))))))</f>
      </c>
      <c r="CG196" s="30">
        <f>IF(CB191=0, "NA", CG191/CB191-1)</f>
      </c>
      <c r="CH196" s="30">
        <f t="shared" ref="CH196:CO197" si="466">IF(CC191=0, "NA", CH191/CC191-1)</f>
      </c>
      <c r="CI196" s="30">
        <f t="shared" si="466"/>
      </c>
      <c r="CJ196" s="30">
        <f>IF(CE191=0, "NA", CJ191/CE191-1)</f>
      </c>
      <c r="CK196" s="308">
        <f>IF(CF191=0, "NA", CK191/CF191-1)</f>
      </c>
      <c r="CL196" s="30">
        <f t="shared" si="466"/>
      </c>
      <c r="CM196" s="926">
        <f t="shared" si="466"/>
      </c>
      <c r="CN196" s="30">
        <f t="shared" si="466"/>
      </c>
      <c r="CO196" s="30">
        <f t="shared" si="466"/>
      </c>
      <c r="CP196" s="308">
        <f>IF(CK191=0, "NA", CP191/CK191-1)</f>
      </c>
      <c r="CQ196" s="926">
        <f t="shared" ref="CQ196:CX197" si="467">IF(CL191=0, "NA", CQ191/CL191-1)</f>
      </c>
      <c r="CR196" s="926">
        <f t="shared" si="467"/>
      </c>
      <c r="CS196" s="926">
        <f t="shared" si="467"/>
      </c>
      <c r="CT196" s="926">
        <f t="shared" si="467"/>
      </c>
      <c r="CU196" s="308">
        <f>IF(CP191=0, "NA", CU191/CP191-1)</f>
      </c>
      <c r="CV196" s="926">
        <f t="shared" si="467"/>
      </c>
      <c r="CW196" s="926">
        <f t="shared" si="467"/>
      </c>
      <c r="CX196" s="926">
        <f t="shared" si="467"/>
      </c>
      <c r="CY196" s="926">
        <f t="shared" ref="CY196:DC197" si="468">IF(CT191=0, "NA", CY191/CT191-1)</f>
      </c>
      <c r="CZ196" s="308">
        <f t="shared" si="468"/>
      </c>
      <c r="DA196" s="926">
        <f t="shared" si="468"/>
      </c>
      <c r="DB196" s="926">
        <f t="shared" si="468"/>
      </c>
      <c r="DC196" s="926">
        <f t="shared" si="468"/>
      </c>
      <c r="DD196" s="926">
        <f t="shared" ref="DD196:DF197" si="469">IF(CY191=0, "NA", DD191/CY191-1)</f>
      </c>
      <c r="DE196" s="308">
        <f t="shared" si="469"/>
      </c>
      <c r="DF196" s="926">
        <f t="shared" si="469"/>
      </c>
      <c r="DG196" s="926">
        <f t="shared" ref="DG196:DX197" si="470">IF(DB191=0, "NA", DG191/DB191-1)</f>
      </c>
      <c r="DH196" s="926">
        <f t="shared" si="470"/>
      </c>
      <c r="DI196" s="926">
        <f t="shared" si="470"/>
      </c>
      <c r="DJ196" s="1233">
        <f t="shared" si="470"/>
      </c>
      <c r="DK196" s="1219">
        <f t="shared" si="470"/>
      </c>
      <c r="DL196" s="1219">
        <f t="shared" si="470"/>
      </c>
      <c r="DM196" s="926">
        <f t="shared" si="470"/>
      </c>
      <c r="DN196" s="926">
        <f t="shared" si="470"/>
      </c>
      <c r="DO196" s="308">
        <f t="shared" si="470"/>
      </c>
      <c r="DP196" s="1219">
        <f t="shared" si="470"/>
      </c>
      <c r="DQ196" s="1219">
        <f t="shared" si="470"/>
      </c>
      <c r="DR196" s="1219">
        <f t="shared" si="470"/>
      </c>
      <c r="DS196" s="1219">
        <f t="shared" si="470"/>
      </c>
      <c r="DT196" s="308">
        <f t="shared" si="470"/>
      </c>
      <c r="DU196" s="1219">
        <f t="shared" si="470"/>
      </c>
      <c r="DV196" s="1219">
        <f t="shared" si="470"/>
      </c>
      <c r="DW196" s="1219">
        <f t="shared" si="470"/>
      </c>
      <c r="DX196" s="1219">
        <f t="shared" si="470"/>
      </c>
      <c r="DY196" s="308">
        <f t="shared" ref="DY196:EH197" si="471">IF(DT191=0, "NA", DY191/DT191-1)</f>
      </c>
      <c r="DZ196" s="1219">
        <f t="shared" si="471"/>
      </c>
      <c r="EA196" s="1219">
        <f t="shared" si="471"/>
      </c>
      <c r="EB196" s="1219">
        <f t="shared" si="471"/>
      </c>
      <c r="EC196" s="1219">
        <f t="shared" si="471"/>
      </c>
      <c r="ED196" s="1060">
        <f t="shared" si="471"/>
      </c>
      <c r="EE196" s="1219">
        <f t="shared" si="471"/>
      </c>
      <c r="EF196" s="1219">
        <f t="shared" si="471"/>
      </c>
      <c r="EG196" s="1219">
        <f t="shared" si="471"/>
      </c>
      <c r="EH196" s="1219">
        <f t="shared" si="471"/>
      </c>
      <c r="EI196" s="308">
        <f>IF(ED191=0, "NA", EI191/ED191-1)</f>
      </c>
      <c r="EJ196" s="308">
        <f t="shared" ref="EJ196:EN197" si="472">IF(EI191=0, "NA", EJ191/EI191-1)</f>
      </c>
      <c r="EK196" s="308">
        <f t="shared" si="472"/>
      </c>
      <c r="EL196" s="308">
        <f t="shared" si="472"/>
      </c>
      <c r="EM196" s="308">
        <f t="shared" si="472"/>
      </c>
      <c r="EN196" s="308">
        <f t="shared" si="472"/>
      </c>
      <c r="EO196" s="308">
        <f t="shared" ref="EO196:EO197" si="473">IF(EN191=0, "NA", EO191/EN191-1)</f>
      </c>
      <c r="EP196" s="308">
        <f t="shared" ref="EP196:EP197" si="474">IF(EO191=0, "NA", EP191/EO191-1)</f>
      </c>
      <c r="EQ196" s="308">
        <f t="shared" ref="EQ196:EQ197" si="475">IF(EP191=0, "NA", EQ191/EP191-1)</f>
      </c>
      <c r="ER196" s="308">
        <f t="shared" ref="ER196:ER197" si="476">IF(EQ191=0, "NA", ER191/EQ191-1)</f>
      </c>
      <c r="ES196" s="308">
        <f t="shared" ref="ES196:ES197" si="477">IF(ER191=0, "NA", ES191/ER191-1)</f>
      </c>
      <c r="ET196" s="308"/>
      <c r="EU196" s="308"/>
      <c r="EV196" s="308"/>
      <c r="EW196" s="308"/>
      <c r="EX196" s="308"/>
    </row>
    <row r="197" spans="1:154">
      <c r="B197" s="491" t="s">
        <v>412</v>
      </c>
      <c r="C197" s="1989"/>
      <c r="D197" s="28"/>
      <c r="E197" s="28"/>
      <c r="F197" s="28"/>
      <c r="G197" s="28"/>
      <c r="H197" s="28"/>
      <c r="I197" s="30" t="str">
        <f t="shared" si="458"/>
      </c>
      <c r="J197" s="30" t="str">
        <f t="shared" si="458"/>
      </c>
      <c r="K197" s="30" t="str">
        <f t="shared" si="458"/>
      </c>
      <c r="L197" s="30" t="str">
        <f t="shared" si="458"/>
      </c>
      <c r="M197" s="30" t="str">
        <f t="shared" si="458"/>
      </c>
      <c r="N197" s="30" t="str">
        <f t="shared" si="458"/>
      </c>
      <c r="O197" s="30" t="str">
        <f t="shared" si="458"/>
      </c>
      <c r="P197" s="30" t="str">
        <f t="shared" si="458"/>
      </c>
      <c r="Q197" s="30" t="str">
        <f t="shared" si="458"/>
      </c>
      <c r="R197" s="30" t="str">
        <f t="shared" si="458"/>
      </c>
      <c r="S197" s="30" t="str">
        <f t="shared" si="459"/>
      </c>
      <c r="T197" s="30" t="str">
        <f t="shared" si="459"/>
      </c>
      <c r="U197" s="30" t="str">
        <f t="shared" si="459"/>
      </c>
      <c r="V197" s="30" t="str">
        <f t="shared" si="459"/>
      </c>
      <c r="W197" s="30" t="str">
        <f t="shared" si="459"/>
      </c>
      <c r="X197" s="308" t="str">
        <f t="shared" si="459"/>
      </c>
      <c r="Y197" s="30" t="str">
        <f t="shared" si="459"/>
      </c>
      <c r="Z197" s="30" t="str">
        <f t="shared" si="459"/>
      </c>
      <c r="AA197" s="30" t="str">
        <f t="shared" si="459"/>
      </c>
      <c r="AB197" s="30" t="str">
        <f t="shared" si="459"/>
      </c>
      <c r="AC197" s="308" t="str">
        <f t="shared" si="460"/>
      </c>
      <c r="AD197" s="30" t="str">
        <f t="shared" si="460"/>
      </c>
      <c r="AE197" s="30" t="str">
        <f t="shared" si="460"/>
      </c>
      <c r="AF197" s="30" t="str">
        <f t="shared" si="460"/>
      </c>
      <c r="AG197" s="30" t="str">
        <f t="shared" si="460"/>
      </c>
      <c r="AH197" s="308" t="str">
        <f t="shared" si="460"/>
      </c>
      <c r="AI197" s="30" t="str">
        <f t="shared" si="460"/>
      </c>
      <c r="AJ197" s="30" t="str">
        <f t="shared" si="460"/>
      </c>
      <c r="AK197" s="30" t="str">
        <f t="shared" si="460"/>
      </c>
      <c r="AL197" s="30" t="str">
        <f t="shared" si="460"/>
      </c>
      <c r="AM197" s="308" t="str">
        <f t="shared" si="461"/>
      </c>
      <c r="AN197" s="30" t="str">
        <f t="shared" si="461"/>
      </c>
      <c r="AO197" s="30" t="str">
        <f t="shared" si="461"/>
      </c>
      <c r="AP197" s="30" t="str">
        <f t="shared" si="461"/>
      </c>
      <c r="AQ197" s="30" t="str">
        <f t="shared" si="461"/>
      </c>
      <c r="AR197" s="308" t="str">
        <f t="shared" si="461"/>
      </c>
      <c r="AS197" s="30" t="str">
        <f t="shared" si="461"/>
      </c>
      <c r="AT197" s="30" t="str">
        <f t="shared" si="461"/>
      </c>
      <c r="AU197" s="30" t="str">
        <f t="shared" si="461"/>
      </c>
      <c r="AV197" s="30" t="str">
        <f t="shared" si="461"/>
      </c>
      <c r="AW197" s="308" t="str">
        <f t="shared" si="462"/>
      </c>
      <c r="AX197" s="30" t="str">
        <f t="shared" si="462"/>
      </c>
      <c r="AY197" s="30" t="str">
        <f t="shared" si="462"/>
      </c>
      <c r="AZ197" s="30" t="str">
        <f t="shared" si="462"/>
      </c>
      <c r="BA197" s="30" t="str">
        <f t="shared" si="462"/>
      </c>
      <c r="BB197" s="308" t="str">
        <f t="shared" si="462"/>
      </c>
      <c r="BC197" s="30" t="str">
        <f t="shared" si="462"/>
      </c>
      <c r="BD197" s="30" t="str">
        <f t="shared" si="462"/>
      </c>
      <c r="BE197" s="30" t="str">
        <f t="shared" si="462"/>
      </c>
      <c r="BF197" s="30" t="str">
        <f t="shared" si="462"/>
      </c>
      <c r="BG197" s="308" t="str">
        <f t="shared" si="463"/>
      </c>
      <c r="BH197" s="30" t="str">
        <f t="shared" si="463"/>
      </c>
      <c r="BI197" s="30" t="str">
        <f t="shared" si="463"/>
      </c>
      <c r="BJ197" s="30">
        <f t="shared" si="463"/>
      </c>
      <c r="BK197" s="30">
        <f t="shared" si="463"/>
      </c>
      <c r="BL197" s="308">
        <f t="shared" si="463"/>
      </c>
      <c r="BM197" s="30" t="str">
        <f t="shared" si="463"/>
      </c>
      <c r="BN197" s="30">
        <f t="shared" si="463"/>
      </c>
      <c r="BO197" s="30" t="str">
        <f t="shared" si="463"/>
      </c>
      <c r="BP197" s="30" t="str">
        <f t="shared" si="463"/>
      </c>
      <c r="BQ197" s="308" t="str">
        <f t="shared" si="464"/>
      </c>
      <c r="BR197" s="30">
        <f t="shared" si="464"/>
      </c>
      <c r="BS197" s="30">
        <f t="shared" si="464"/>
      </c>
      <c r="BT197" s="30">
        <f t="shared" si="464"/>
      </c>
      <c r="BU197" s="30">
        <f t="shared" si="464"/>
      </c>
      <c r="BV197" s="308">
        <f t="shared" si="464"/>
      </c>
      <c r="BW197" s="30">
        <f t="shared" si="464"/>
      </c>
      <c r="BX197" s="30">
        <f t="shared" si="464"/>
      </c>
      <c r="BY197" s="30">
        <f t="shared" si="464"/>
      </c>
      <c r="BZ197" s="30">
        <f t="shared" si="464"/>
      </c>
      <c r="CA197" s="308">
        <f>IF(BV192="NM","NM",IF(CA192="NM","NM",IF(BV192&lt;=0,"NM",IF(CA192=0,"NM",IF(ABS(CA192/BV192-1)&gt;2.5,"NM",IF((ABS(CA192-BV192)=ABS(ABS(CA192)-ABS(BV192))),(CA192/BV192-1),"NM"))))))</f>
      </c>
      <c r="CB197" s="30">
        <f t="shared" si="465"/>
      </c>
      <c r="CC197" s="30">
        <f t="shared" si="465"/>
      </c>
      <c r="CD197" s="30">
        <f t="shared" si="465"/>
      </c>
      <c r="CE197" s="30">
        <f t="shared" si="465"/>
      </c>
      <c r="CF197" s="308">
        <f>IF(CA192="NM","NM",IF(CF192="NM","NM",IF(CA192&lt;=0,"NM",IF(CF192=0,"NM",IF(ABS(CF192/CA192-1)&gt;2.5,"NM",IF((ABS(CF192-CA192)=ABS(ABS(CF192)-ABS(CA192))),(CF192/CA192-1),"NM"))))))</f>
      </c>
      <c r="CG197" s="30">
        <f>IF(CB192=0, "NA", CG192/CB192-1)</f>
      </c>
      <c r="CH197" s="30">
        <f t="shared" si="466"/>
      </c>
      <c r="CI197" s="30">
        <f t="shared" si="466"/>
      </c>
      <c r="CJ197" s="30">
        <f>IF(CE192=0, "NA", CJ192/CE192-1)</f>
      </c>
      <c r="CK197" s="308">
        <f>IF(CF192=0, "NA", CK192/CF192-1)</f>
      </c>
      <c r="CL197" s="30">
        <f t="shared" si="466"/>
      </c>
      <c r="CM197" s="926">
        <f t="shared" si="466"/>
      </c>
      <c r="CN197" s="30">
        <f t="shared" si="466"/>
      </c>
      <c r="CO197" s="30">
        <f t="shared" si="466"/>
      </c>
      <c r="CP197" s="308">
        <f>IF(CK192=0, "NA", CP192/CK192-1)</f>
      </c>
      <c r="CQ197" s="926">
        <f t="shared" si="467"/>
      </c>
      <c r="CR197" s="926">
        <f t="shared" si="467"/>
      </c>
      <c r="CS197" s="926">
        <f>IF(CN192=0, "NA", CS192/CN192-1)</f>
      </c>
      <c r="CT197" s="926">
        <f>IF(CO192=0, "NA", CT192/CO192-1)</f>
      </c>
      <c r="CU197" s="308">
        <f>IF(CP192=0, "NA", CU192/CP192-1)</f>
      </c>
      <c r="CV197" s="926">
        <f t="shared" si="467"/>
      </c>
      <c r="CW197" s="926">
        <f t="shared" si="467"/>
      </c>
      <c r="CX197" s="926">
        <f t="shared" si="467"/>
      </c>
      <c r="CY197" s="926">
        <f t="shared" si="468"/>
      </c>
      <c r="CZ197" s="308">
        <f t="shared" si="468"/>
      </c>
      <c r="DA197" s="926">
        <f t="shared" si="468"/>
      </c>
      <c r="DB197" s="926">
        <f t="shared" si="468"/>
      </c>
      <c r="DC197" s="926">
        <f t="shared" si="468"/>
      </c>
      <c r="DD197" s="926">
        <f t="shared" si="469"/>
      </c>
      <c r="DE197" s="308">
        <f t="shared" si="469"/>
      </c>
      <c r="DF197" s="926">
        <f t="shared" si="469"/>
      </c>
      <c r="DG197" s="926">
        <f t="shared" si="470"/>
      </c>
      <c r="DH197" s="926">
        <f t="shared" si="470"/>
      </c>
      <c r="DI197" s="926">
        <f t="shared" si="470"/>
      </c>
      <c r="DJ197" s="1233">
        <f t="shared" si="470"/>
      </c>
      <c r="DK197" s="1219">
        <f t="shared" si="470"/>
      </c>
      <c r="DL197" s="1219">
        <f t="shared" si="470"/>
      </c>
      <c r="DM197" s="926">
        <f t="shared" si="470"/>
      </c>
      <c r="DN197" s="926">
        <f t="shared" si="470"/>
      </c>
      <c r="DO197" s="308">
        <f t="shared" si="470"/>
      </c>
      <c r="DP197" s="1219">
        <f t="shared" si="470"/>
      </c>
      <c r="DQ197" s="1219">
        <f t="shared" si="470"/>
      </c>
      <c r="DR197" s="1219">
        <f t="shared" si="470"/>
      </c>
      <c r="DS197" s="1219">
        <f t="shared" si="470"/>
      </c>
      <c r="DT197" s="308">
        <f t="shared" si="470"/>
      </c>
      <c r="DU197" s="1219">
        <f>IF(DP192=0, "NA", DU192/DP192-1)</f>
      </c>
      <c r="DV197" s="1219">
        <f>IF(DQ192=0, "NA", DV192/DQ192-1)</f>
      </c>
      <c r="DW197" s="1219">
        <f>IF(DR192=0, "NA", DW192/DR192-1)</f>
      </c>
      <c r="DX197" s="1219">
        <f>IF(DS192=0, "NA", DX192/DS192-1)</f>
      </c>
      <c r="DY197" s="308">
        <f t="shared" si="471"/>
      </c>
      <c r="DZ197" s="1219">
        <f t="shared" si="471"/>
      </c>
      <c r="EA197" s="1219">
        <f t="shared" si="471"/>
      </c>
      <c r="EB197" s="1219">
        <f t="shared" si="471"/>
      </c>
      <c r="EC197" s="1219">
        <f t="shared" si="471"/>
      </c>
      <c r="ED197" s="1060">
        <f t="shared" si="471"/>
      </c>
      <c r="EE197" s="1219">
        <f t="shared" si="471"/>
      </c>
      <c r="EF197" s="1219">
        <f t="shared" si="471"/>
      </c>
      <c r="EG197" s="1219">
        <f t="shared" si="471"/>
      </c>
      <c r="EH197" s="1219">
        <f t="shared" si="471"/>
      </c>
      <c r="EI197" s="308">
        <f>IF(ED192=0, "NA", EI192/ED192-1)</f>
      </c>
      <c r="EJ197" s="308">
        <f t="shared" si="472"/>
      </c>
      <c r="EK197" s="308">
        <f t="shared" si="472"/>
      </c>
      <c r="EL197" s="308">
        <f t="shared" si="472"/>
      </c>
      <c r="EM197" s="308">
        <f t="shared" si="472"/>
      </c>
      <c r="EN197" s="308">
        <f t="shared" si="472"/>
      </c>
      <c r="EO197" s="308">
        <f t="shared" si="473"/>
      </c>
      <c r="EP197" s="308">
        <f t="shared" si="474"/>
      </c>
      <c r="EQ197" s="308">
        <f t="shared" si="475"/>
      </c>
      <c r="ER197" s="308">
        <f t="shared" si="476"/>
      </c>
      <c r="ES197" s="308">
        <f t="shared" si="477"/>
      </c>
      <c r="ET197" s="308"/>
      <c r="EU197" s="308"/>
      <c r="EV197" s="308"/>
      <c r="EW197" s="308"/>
      <c r="EX197" s="308"/>
    </row>
    <row r="198" spans="1:154">
      <c r="B198" s="491" t="s">
        <v>256</v>
      </c>
      <c r="C198" s="1989"/>
      <c r="D198" s="28"/>
      <c r="E198" s="28"/>
      <c r="F198" s="28"/>
      <c r="G198" s="28"/>
      <c r="H198" s="28"/>
      <c r="I198" s="1"/>
      <c r="J198" s="1"/>
      <c r="K198" s="1"/>
      <c r="L198" s="1"/>
      <c r="M198" s="1"/>
      <c r="N198" s="1"/>
      <c r="O198" s="1"/>
      <c r="P198" s="1"/>
      <c r="Q198" s="1"/>
      <c r="R198" s="1"/>
      <c r="S198" s="1"/>
      <c r="T198" s="1"/>
      <c r="U198" s="1"/>
      <c r="V198" s="1"/>
      <c r="W198" s="1"/>
      <c r="X198" s="309"/>
      <c r="Y198" s="1"/>
      <c r="Z198" s="1"/>
      <c r="AA198" s="1"/>
      <c r="AB198" s="1"/>
      <c r="AC198" s="309"/>
      <c r="AD198" s="1"/>
      <c r="AE198" s="1"/>
      <c r="AF198" s="1"/>
      <c r="AG198" s="1"/>
      <c r="AH198" s="309"/>
      <c r="AI198" s="41" t="str">
        <f t="shared" ref="AI198:BN198" si="478">IF(ISNUMBER(AI197),(1+AI197)/(1+AI$21)-1,"NM")</f>
      </c>
      <c r="AJ198" s="41" t="str">
        <f t="shared" si="478"/>
      </c>
      <c r="AK198" s="41" t="str">
        <f t="shared" si="478"/>
      </c>
      <c r="AL198" s="41" t="str">
        <f t="shared" si="478"/>
      </c>
      <c r="AM198" s="309" t="str">
        <f t="shared" si="478"/>
      </c>
      <c r="AN198" s="41" t="str">
        <f t="shared" si="478"/>
      </c>
      <c r="AO198" s="41" t="str">
        <f t="shared" si="478"/>
      </c>
      <c r="AP198" s="41" t="str">
        <f t="shared" si="478"/>
      </c>
      <c r="AQ198" s="41" t="str">
        <f t="shared" si="478"/>
      </c>
      <c r="AR198" s="309" t="str">
        <f t="shared" si="478"/>
      </c>
      <c r="AS198" s="41" t="str">
        <f t="shared" si="478"/>
      </c>
      <c r="AT198" s="41" t="str">
        <f t="shared" si="478"/>
      </c>
      <c r="AU198" s="41" t="str">
        <f t="shared" si="478"/>
      </c>
      <c r="AV198" s="41" t="str">
        <f t="shared" si="478"/>
      </c>
      <c r="AW198" s="309" t="str">
        <f t="shared" si="478"/>
      </c>
      <c r="AX198" s="41" t="str">
        <f t="shared" si="478"/>
      </c>
      <c r="AY198" s="41" t="str">
        <f t="shared" si="478"/>
      </c>
      <c r="AZ198" s="41" t="str">
        <f t="shared" si="478"/>
      </c>
      <c r="BA198" s="41" t="str">
        <f t="shared" si="478"/>
      </c>
      <c r="BB198" s="309" t="str">
        <f t="shared" si="478"/>
      </c>
      <c r="BC198" s="41" t="str">
        <f t="shared" si="478"/>
      </c>
      <c r="BD198" s="41" t="str">
        <f t="shared" si="478"/>
      </c>
      <c r="BE198" s="41" t="str">
        <f t="shared" si="478"/>
      </c>
      <c r="BF198" s="41" t="str">
        <f t="shared" si="478"/>
      </c>
      <c r="BG198" s="309" t="str">
        <f t="shared" si="478"/>
      </c>
      <c r="BH198" s="41" t="str">
        <f t="shared" si="478"/>
      </c>
      <c r="BI198" s="41" t="str">
        <f t="shared" si="478"/>
      </c>
      <c r="BJ198" s="41">
        <f t="shared" si="478"/>
      </c>
      <c r="BK198" s="41">
        <f t="shared" si="478"/>
      </c>
      <c r="BL198" s="309">
        <f t="shared" si="478"/>
      </c>
      <c r="BM198" s="41" t="str">
        <f t="shared" si="478"/>
      </c>
      <c r="BN198" s="41">
        <f t="shared" si="478"/>
      </c>
      <c r="BO198" s="41" t="str">
        <f t="shared" ref="BO198:CF198" si="479">IF(ISNUMBER(BO197),(1+BO197)/(1+BO$21)-1,"NM")</f>
      </c>
      <c r="BP198" s="41" t="str">
        <f t="shared" si="479"/>
      </c>
      <c r="BQ198" s="309" t="str">
        <f t="shared" si="479"/>
      </c>
      <c r="BR198" s="41">
        <f t="shared" si="479"/>
      </c>
      <c r="BS198" s="41">
        <f t="shared" si="479"/>
      </c>
      <c r="BT198" s="41">
        <f t="shared" si="479"/>
      </c>
      <c r="BU198" s="41">
        <f t="shared" si="479"/>
      </c>
      <c r="BV198" s="309">
        <f t="shared" si="479"/>
      </c>
      <c r="BW198" s="41">
        <f t="shared" si="479"/>
      </c>
      <c r="BX198" s="41">
        <f t="shared" si="479"/>
      </c>
      <c r="BY198" s="41">
        <f t="shared" si="479"/>
      </c>
      <c r="BZ198" s="41">
        <f t="shared" si="479"/>
      </c>
      <c r="CA198" s="309">
        <f t="shared" si="479"/>
      </c>
      <c r="CB198" s="41">
        <f t="shared" si="479"/>
      </c>
      <c r="CC198" s="41">
        <f t="shared" si="479"/>
      </c>
      <c r="CD198" s="41">
        <f t="shared" si="479"/>
      </c>
      <c r="CE198" s="41">
        <f t="shared" si="479"/>
      </c>
      <c r="CF198" s="309">
        <f t="shared" si="479"/>
      </c>
      <c r="CG198" s="41">
        <f t="shared" ref="CG198:CL198" si="480">CG197-CG$21</f>
      </c>
      <c r="CH198" s="41">
        <f t="shared" si="480"/>
      </c>
      <c r="CI198" s="41">
        <f t="shared" si="480"/>
      </c>
      <c r="CJ198" s="41">
        <f t="shared" si="480"/>
      </c>
      <c r="CK198" s="309">
        <f t="shared" si="480"/>
      </c>
      <c r="CL198" s="41">
        <f t="shared" si="480"/>
      </c>
      <c r="CM198" s="925">
        <f t="shared" ref="CM198:EN198" si="481">CM197-CM$21</f>
      </c>
      <c r="CN198" s="41">
        <f t="shared" si="481"/>
      </c>
      <c r="CO198" s="41">
        <f t="shared" si="481"/>
      </c>
      <c r="CP198" s="309">
        <f t="shared" si="481"/>
      </c>
      <c r="CQ198" s="925">
        <f t="shared" si="481"/>
      </c>
      <c r="CR198" s="925">
        <f t="shared" si="481"/>
      </c>
      <c r="CS198" s="925">
        <f t="shared" si="481"/>
      </c>
      <c r="CT198" s="925">
        <f t="shared" si="481"/>
      </c>
      <c r="CU198" s="309">
        <f t="shared" si="481"/>
      </c>
      <c r="CV198" s="925">
        <f t="shared" si="481"/>
      </c>
      <c r="CW198" s="925">
        <f t="shared" si="481"/>
      </c>
      <c r="CX198" s="925">
        <f t="shared" si="481"/>
      </c>
      <c r="CY198" s="925">
        <f t="shared" si="481"/>
      </c>
      <c r="CZ198" s="309">
        <f t="shared" si="481"/>
      </c>
      <c r="DA198" s="925">
        <f t="shared" si="481"/>
      </c>
      <c r="DB198" s="925">
        <f t="shared" si="481"/>
      </c>
      <c r="DC198" s="925">
        <f t="shared" si="481"/>
      </c>
      <c r="DD198" s="925">
        <f t="shared" si="481"/>
      </c>
      <c r="DE198" s="309">
        <f t="shared" si="481"/>
      </c>
      <c r="DF198" s="925">
        <f t="shared" si="481"/>
      </c>
      <c r="DG198" s="925">
        <f t="shared" si="481"/>
      </c>
      <c r="DH198" s="925">
        <f t="shared" si="481"/>
      </c>
      <c r="DI198" s="925">
        <f t="shared" si="481"/>
      </c>
      <c r="DJ198" s="1535">
        <f t="shared" si="481"/>
      </c>
      <c r="DK198" s="1230">
        <f t="shared" si="481"/>
      </c>
      <c r="DL198" s="1230">
        <f t="shared" si="481"/>
      </c>
      <c r="DM198" s="925">
        <f t="shared" si="481"/>
      </c>
      <c r="DN198" s="925">
        <f t="shared" si="481"/>
      </c>
      <c r="DO198" s="309">
        <f t="shared" si="481"/>
      </c>
      <c r="DP198" s="1219">
        <f>DP197-(-6%)</f>
      </c>
      <c r="DQ198" s="1219">
        <f t="shared" si="481"/>
      </c>
      <c r="DR198" s="1219">
        <f t="shared" si="481"/>
      </c>
      <c r="DS198" s="1219">
        <f t="shared" si="481"/>
      </c>
      <c r="DT198" s="308">
        <f t="shared" si="481"/>
      </c>
      <c r="DU198" s="1219">
        <f>DU197-(-6.8%)</f>
      </c>
      <c r="DV198" s="1219">
        <f>DV197-(-1.9%)</f>
      </c>
      <c r="DW198" s="1219">
        <f>DW197-(2.2%)</f>
      </c>
      <c r="DX198" s="1219">
        <f>DX197-(2.2%)</f>
      </c>
      <c r="DY198" s="308">
        <f t="shared" si="481"/>
      </c>
      <c r="DZ198" s="1219">
        <f>DZ197-(-3.1%)</f>
      </c>
      <c r="EA198" s="1219">
        <f>EA197-(-6.3%)</f>
      </c>
      <c r="EB198" s="1219">
        <f>EB197-(-4.1%)</f>
      </c>
      <c r="EC198" s="1219">
        <f>EC197-(-5%)</f>
      </c>
      <c r="ED198" s="1060">
        <f t="shared" ref="ED198" si="482">ED197-ED$21</f>
      </c>
      <c r="EE198" s="1219">
        <f>EE197-(-3.1%)</f>
      </c>
      <c r="EF198" s="1219">
        <f>EF197-(0.6%)</f>
      </c>
      <c r="EG198" s="1219">
        <f>EG197-(-4.1%)</f>
      </c>
      <c r="EH198" s="1219">
        <f>EH197-EH$21</f>
      </c>
      <c r="EI198" s="308">
        <f t="shared" si="481"/>
      </c>
      <c r="EJ198" s="308">
        <f t="shared" si="481"/>
      </c>
      <c r="EK198" s="308">
        <f t="shared" si="481"/>
      </c>
      <c r="EL198" s="308">
        <f t="shared" si="481"/>
      </c>
      <c r="EM198" s="308">
        <f t="shared" si="481"/>
      </c>
      <c r="EN198" s="308">
        <f t="shared" si="481"/>
      </c>
      <c r="EO198" s="308">
        <f t="shared" ref="EO198:ES198" si="483">EO197-EO$21</f>
      </c>
      <c r="EP198" s="308">
        <f t="shared" si="483"/>
      </c>
      <c r="EQ198" s="308">
        <f t="shared" si="483"/>
      </c>
      <c r="ER198" s="308">
        <f t="shared" si="483"/>
      </c>
      <c r="ES198" s="308">
        <f t="shared" si="483"/>
      </c>
      <c r="ET198" s="309"/>
      <c r="EU198" s="309"/>
      <c r="EV198" s="309"/>
      <c r="EW198" s="309"/>
      <c r="EX198" s="309"/>
    </row>
    <row r="199" spans="1:154">
      <c r="B199" s="491" t="s">
        <v>413</v>
      </c>
      <c r="C199" s="1989"/>
      <c r="D199" s="28"/>
      <c r="E199" s="28"/>
      <c r="F199" s="28"/>
      <c r="G199" s="28"/>
      <c r="H199" s="28"/>
      <c r="I199" s="30" t="str">
        <f t="shared" ref="I199:AN199" si="484">IF(D193="NM","NM",IF(I193="NM","NM",IF(D193&lt;=0,"NM",IF(I193=0,"NM",IF(ABS(I193/D193-1)&gt;2.5,"NM",IF((ABS(I193-D193)=ABS(ABS(I193)-ABS(D193))),(I193/D193-1),"NM"))))))</f>
      </c>
      <c r="J199" s="30">
        <f t="shared" si="484"/>
      </c>
      <c r="K199" s="30" t="str">
        <f t="shared" si="484"/>
      </c>
      <c r="L199" s="30">
        <f t="shared" si="484"/>
      </c>
      <c r="M199" s="30">
        <f t="shared" si="484"/>
      </c>
      <c r="N199" s="30">
        <f t="shared" si="484"/>
      </c>
      <c r="O199" s="30">
        <f t="shared" si="484"/>
      </c>
      <c r="P199" s="30">
        <f t="shared" si="484"/>
      </c>
      <c r="Q199" s="30">
        <f t="shared" si="484"/>
      </c>
      <c r="R199" s="30">
        <f t="shared" si="484"/>
      </c>
      <c r="S199" s="30">
        <f t="shared" si="484"/>
      </c>
      <c r="T199" s="30">
        <f t="shared" si="484"/>
      </c>
      <c r="U199" s="30">
        <f t="shared" si="484"/>
      </c>
      <c r="V199" s="30">
        <f t="shared" si="484"/>
      </c>
      <c r="W199" s="30">
        <f t="shared" si="484"/>
      </c>
      <c r="X199" s="308">
        <f t="shared" si="484"/>
      </c>
      <c r="Y199" s="30">
        <f t="shared" si="484"/>
      </c>
      <c r="Z199" s="30">
        <f t="shared" si="484"/>
      </c>
      <c r="AA199" s="30">
        <f t="shared" si="484"/>
      </c>
      <c r="AB199" s="30">
        <f t="shared" si="484"/>
      </c>
      <c r="AC199" s="308">
        <f t="shared" si="484"/>
      </c>
      <c r="AD199" s="30">
        <f t="shared" si="484"/>
      </c>
      <c r="AE199" s="30">
        <f t="shared" si="484"/>
      </c>
      <c r="AF199" s="30">
        <f t="shared" si="484"/>
      </c>
      <c r="AG199" s="30">
        <f t="shared" si="484"/>
      </c>
      <c r="AH199" s="308">
        <f t="shared" si="484"/>
      </c>
      <c r="AI199" s="30">
        <f t="shared" si="484"/>
      </c>
      <c r="AJ199" s="30">
        <f t="shared" si="484"/>
      </c>
      <c r="AK199" s="30">
        <f t="shared" si="484"/>
      </c>
      <c r="AL199" s="30">
        <f t="shared" si="484"/>
      </c>
      <c r="AM199" s="308">
        <f t="shared" si="484"/>
      </c>
      <c r="AN199" s="30">
        <f t="shared" si="484"/>
      </c>
      <c r="AO199" s="30">
        <f t="shared" ref="AO199:BT199" si="485">IF(AJ193="NM","NM",IF(AO193="NM","NM",IF(AJ193&lt;=0,"NM",IF(AO193=0,"NM",IF(ABS(AO193/AJ193-1)&gt;2.5,"NM",IF((ABS(AO193-AJ193)=ABS(ABS(AO193)-ABS(AJ193))),(AO193/AJ193-1),"NM"))))))</f>
      </c>
      <c r="AP199" s="30">
        <f t="shared" si="485"/>
      </c>
      <c r="AQ199" s="30">
        <f t="shared" si="485"/>
      </c>
      <c r="AR199" s="308">
        <f t="shared" si="485"/>
      </c>
      <c r="AS199" s="30">
        <f t="shared" si="485"/>
      </c>
      <c r="AT199" s="30">
        <f t="shared" si="485"/>
      </c>
      <c r="AU199" s="30">
        <f t="shared" si="485"/>
      </c>
      <c r="AV199" s="30">
        <f t="shared" si="485"/>
      </c>
      <c r="AW199" s="308">
        <f t="shared" si="485"/>
      </c>
      <c r="AX199" s="30">
        <f t="shared" si="485"/>
      </c>
      <c r="AY199" s="30">
        <f t="shared" si="485"/>
      </c>
      <c r="AZ199" s="30">
        <f t="shared" si="485"/>
      </c>
      <c r="BA199" s="30">
        <f t="shared" si="485"/>
      </c>
      <c r="BB199" s="308">
        <f t="shared" si="485"/>
      </c>
      <c r="BC199" s="30">
        <f t="shared" si="485"/>
      </c>
      <c r="BD199" s="30">
        <f t="shared" si="485"/>
      </c>
      <c r="BE199" s="30">
        <f t="shared" si="485"/>
      </c>
      <c r="BF199" s="30">
        <f t="shared" si="485"/>
      </c>
      <c r="BG199" s="308">
        <f t="shared" si="485"/>
      </c>
      <c r="BH199" s="30">
        <f t="shared" si="485"/>
      </c>
      <c r="BI199" s="30">
        <f t="shared" si="485"/>
      </c>
      <c r="BJ199" s="30">
        <f t="shared" si="485"/>
      </c>
      <c r="BK199" s="30">
        <f t="shared" si="485"/>
      </c>
      <c r="BL199" s="308">
        <f t="shared" si="485"/>
      </c>
      <c r="BM199" s="30">
        <f t="shared" si="485"/>
      </c>
      <c r="BN199" s="30">
        <f t="shared" si="485"/>
      </c>
      <c r="BO199" s="30">
        <f t="shared" si="485"/>
      </c>
      <c r="BP199" s="30">
        <f t="shared" si="485"/>
      </c>
      <c r="BQ199" s="308">
        <f t="shared" si="485"/>
      </c>
      <c r="BR199" s="30">
        <f t="shared" si="485"/>
      </c>
      <c r="BS199" s="30">
        <f t="shared" si="485"/>
      </c>
      <c r="BT199" s="30">
        <f t="shared" si="485"/>
      </c>
      <c r="BU199" s="30">
        <f t="shared" ref="BU199:CF199" si="486">IF(BP193="NM","NM",IF(BU193="NM","NM",IF(BP193&lt;=0,"NM",IF(BU193=0,"NM",IF(ABS(BU193/BP193-1)&gt;2.5,"NM",IF((ABS(BU193-BP193)=ABS(ABS(BU193)-ABS(BP193))),(BU193/BP193-1),"NM"))))))</f>
      </c>
      <c r="BV199" s="308">
        <f t="shared" si="486"/>
      </c>
      <c r="BW199" s="30">
        <f t="shared" si="486"/>
      </c>
      <c r="BX199" s="30">
        <f t="shared" si="486"/>
      </c>
      <c r="BY199" s="30">
        <f t="shared" si="486"/>
      </c>
      <c r="BZ199" s="30">
        <f t="shared" si="486"/>
      </c>
      <c r="CA199" s="308">
        <f t="shared" si="486"/>
      </c>
      <c r="CB199" s="30">
        <f t="shared" si="486"/>
      </c>
      <c r="CC199" s="30">
        <f t="shared" si="486"/>
      </c>
      <c r="CD199" s="30">
        <f t="shared" si="486"/>
      </c>
      <c r="CE199" s="30">
        <f t="shared" si="486"/>
      </c>
      <c r="CF199" s="308">
        <f t="shared" si="486"/>
      </c>
      <c r="CG199" s="30">
        <f t="shared" ref="CG199:CM199" si="487">IF(CB193=0, "NA", CG193/CB193-1)</f>
      </c>
      <c r="CH199" s="30">
        <f t="shared" si="487"/>
      </c>
      <c r="CI199" s="30">
        <f t="shared" si="487"/>
      </c>
      <c r="CJ199" s="30">
        <f t="shared" si="487"/>
      </c>
      <c r="CK199" s="308">
        <f t="shared" si="487"/>
      </c>
      <c r="CL199" s="30">
        <f t="shared" si="487"/>
      </c>
      <c r="CM199" s="926">
        <f t="shared" si="487"/>
      </c>
      <c r="CN199" s="30">
        <f t="shared" ref="CN199:CX199" si="488">IF(CI193=0, "NA", CN193/CI193-1)</f>
      </c>
      <c r="CO199" s="30">
        <f t="shared" si="488"/>
      </c>
      <c r="CP199" s="308">
        <f t="shared" si="488"/>
      </c>
      <c r="CQ199" s="926">
        <f t="shared" si="488"/>
      </c>
      <c r="CR199" s="926">
        <f t="shared" si="488"/>
      </c>
      <c r="CS199" s="926">
        <f t="shared" si="488"/>
      </c>
      <c r="CT199" s="926">
        <f t="shared" si="488"/>
      </c>
      <c r="CU199" s="308">
        <f t="shared" si="488"/>
      </c>
      <c r="CV199" s="926">
        <f t="shared" si="488"/>
      </c>
      <c r="CW199" s="926">
        <f t="shared" si="488"/>
      </c>
      <c r="CX199" s="926">
        <f t="shared" si="488"/>
      </c>
      <c r="CY199" s="926">
        <f t="shared" ref="CY199:DX199" si="489">IF(CT193=0, "NA", CY193/CT193-1)</f>
      </c>
      <c r="CZ199" s="308">
        <f t="shared" si="489"/>
      </c>
      <c r="DA199" s="926">
        <f t="shared" si="489"/>
      </c>
      <c r="DB199" s="926">
        <f t="shared" si="489"/>
      </c>
      <c r="DC199" s="926">
        <f t="shared" si="489"/>
      </c>
      <c r="DD199" s="926">
        <f t="shared" si="489"/>
      </c>
      <c r="DE199" s="308">
        <f t="shared" si="489"/>
      </c>
      <c r="DF199" s="926">
        <f t="shared" si="489"/>
      </c>
      <c r="DG199" s="926">
        <f t="shared" si="489"/>
      </c>
      <c r="DH199" s="926">
        <f t="shared" si="489"/>
      </c>
      <c r="DI199" s="926">
        <f t="shared" si="489"/>
      </c>
      <c r="DJ199" s="1233">
        <f t="shared" si="489"/>
      </c>
      <c r="DK199" s="1219">
        <f t="shared" si="489"/>
      </c>
      <c r="DL199" s="1219">
        <f t="shared" si="489"/>
      </c>
      <c r="DM199" s="926">
        <f t="shared" si="489"/>
      </c>
      <c r="DN199" s="926">
        <f t="shared" si="489"/>
      </c>
      <c r="DO199" s="308">
        <f t="shared" si="489"/>
      </c>
      <c r="DP199" s="1219">
        <f t="shared" si="489"/>
      </c>
      <c r="DQ199" s="1219">
        <f t="shared" si="489"/>
      </c>
      <c r="DR199" s="1219">
        <f t="shared" si="489"/>
      </c>
      <c r="DS199" s="1219">
        <f t="shared" si="489"/>
      </c>
      <c r="DT199" s="308">
        <f t="shared" si="489"/>
      </c>
      <c r="DU199" s="1219">
        <f t="shared" si="489"/>
      </c>
      <c r="DV199" s="1219">
        <f t="shared" si="489"/>
      </c>
      <c r="DW199" s="1219">
        <f t="shared" si="489"/>
      </c>
      <c r="DX199" s="1219">
        <f t="shared" si="489"/>
      </c>
      <c r="DY199" s="308">
        <f t="shared" ref="DY199:EH199" si="490">IF(DT193=0, "NA", DY193/DT193-1)</f>
      </c>
      <c r="DZ199" s="1219">
        <f t="shared" si="490"/>
      </c>
      <c r="EA199" s="1219">
        <f t="shared" si="490"/>
      </c>
      <c r="EB199" s="1219">
        <f t="shared" si="490"/>
      </c>
      <c r="EC199" s="1219">
        <f t="shared" si="490"/>
      </c>
      <c r="ED199" s="1060">
        <f t="shared" si="490"/>
      </c>
      <c r="EE199" s="1219">
        <f t="shared" si="490"/>
      </c>
      <c r="EF199" s="1219">
        <f t="shared" si="490"/>
      </c>
      <c r="EG199" s="1219">
        <f t="shared" si="490"/>
      </c>
      <c r="EH199" s="1219">
        <f t="shared" si="490"/>
      </c>
      <c r="EI199" s="308">
        <f>IF(ED193=0, "NA", EI193/ED193-1)</f>
      </c>
      <c r="EJ199" s="308">
        <f t="shared" ref="EJ199:EN199" si="491">IF(EI193=0, "NA", EJ193/EI193-1)</f>
      </c>
      <c r="EK199" s="308">
        <f t="shared" si="491"/>
      </c>
      <c r="EL199" s="308">
        <f t="shared" si="491"/>
      </c>
      <c r="EM199" s="308">
        <f t="shared" si="491"/>
      </c>
      <c r="EN199" s="308">
        <f t="shared" si="491"/>
      </c>
      <c r="EO199" s="308">
        <f t="shared" ref="EO199" si="492">IF(EN193=0, "NA", EO193/EN193-1)</f>
      </c>
      <c r="EP199" s="308">
        <f t="shared" ref="EP199" si="493">IF(EO193=0, "NA", EP193/EO193-1)</f>
      </c>
      <c r="EQ199" s="308">
        <f t="shared" ref="EQ199" si="494">IF(EP193=0, "NA", EQ193/EP193-1)</f>
      </c>
      <c r="ER199" s="308">
        <f t="shared" ref="ER199" si="495">IF(EQ193=0, "NA", ER193/EQ193-1)</f>
      </c>
      <c r="ES199" s="308">
        <f t="shared" ref="ES199" si="496">IF(ER193=0, "NA", ES193/ER193-1)</f>
      </c>
      <c r="ET199" s="308"/>
      <c r="EU199" s="308"/>
      <c r="EV199" s="308"/>
      <c r="EW199" s="308"/>
      <c r="EX199" s="308"/>
    </row>
    <row r="200" spans="1:154" ht="12.75" customHeight="1">
      <c r="B200" s="1168"/>
      <c r="C200" s="1989"/>
      <c r="D200" s="28"/>
      <c r="E200" s="28"/>
      <c r="F200" s="28"/>
      <c r="G200" s="28"/>
      <c r="H200" s="28"/>
      <c r="I200" s="31"/>
      <c r="J200" s="28"/>
      <c r="K200" s="28"/>
      <c r="L200" s="28"/>
      <c r="M200" s="28"/>
      <c r="N200" s="31"/>
      <c r="O200" s="31"/>
      <c r="P200" s="31"/>
      <c r="Q200" s="31"/>
      <c r="R200" s="31"/>
      <c r="S200" s="31"/>
      <c r="T200" s="31"/>
      <c r="U200" s="31"/>
      <c r="V200" s="31"/>
      <c r="W200" s="31"/>
      <c r="X200" s="312"/>
      <c r="Y200" s="31"/>
      <c r="Z200" s="31"/>
      <c r="AA200" s="31"/>
      <c r="AB200" s="31"/>
      <c r="AC200" s="312"/>
      <c r="AD200" s="31"/>
      <c r="AE200" s="31"/>
      <c r="AF200" s="31"/>
      <c r="AG200" s="31"/>
      <c r="AH200" s="312"/>
      <c r="AI200" s="28"/>
      <c r="AJ200" s="28"/>
      <c r="AK200" s="28"/>
      <c r="AL200" s="31"/>
      <c r="AM200" s="312"/>
      <c r="AN200" s="28"/>
      <c r="AO200" s="28"/>
      <c r="AP200" s="28"/>
      <c r="AQ200" s="31"/>
      <c r="AR200" s="312"/>
      <c r="AS200" s="28"/>
      <c r="AT200" s="28"/>
      <c r="AU200" s="28"/>
      <c r="AV200" s="31"/>
      <c r="AW200" s="312"/>
      <c r="AX200" s="28"/>
      <c r="AY200" s="28"/>
      <c r="AZ200" s="28"/>
      <c r="BA200" s="28"/>
      <c r="BB200" s="312"/>
      <c r="BC200" s="28"/>
      <c r="BD200" s="28"/>
      <c r="BE200" s="28"/>
      <c r="BF200" s="28"/>
      <c r="BG200" s="312"/>
      <c r="BH200" s="28"/>
      <c r="BI200" s="28"/>
      <c r="BJ200" s="28"/>
      <c r="BK200" s="28"/>
      <c r="BL200" s="312"/>
      <c r="BM200" s="28"/>
      <c r="BN200" s="28"/>
      <c r="BO200" s="28"/>
      <c r="BP200" s="28"/>
      <c r="BQ200" s="312"/>
      <c r="BR200" s="28"/>
      <c r="BS200" s="28"/>
      <c r="BT200" s="28"/>
      <c r="BU200" s="28"/>
      <c r="BV200" s="312"/>
      <c r="BW200" s="28"/>
      <c r="BX200" s="28"/>
      <c r="BY200" s="28"/>
      <c r="BZ200" s="28"/>
      <c r="CA200" s="312"/>
      <c r="CB200" s="28"/>
      <c r="CC200" s="28"/>
      <c r="CD200" s="28"/>
      <c r="CE200" s="28"/>
      <c r="CF200" s="312"/>
      <c r="CG200" s="28"/>
      <c r="CH200" s="28"/>
      <c r="CI200" s="28"/>
      <c r="CJ200" s="28"/>
      <c r="CK200" s="312"/>
      <c r="CL200" s="28"/>
      <c r="CM200" s="933"/>
      <c r="CN200" s="933"/>
      <c r="CO200" s="28"/>
      <c r="CP200" s="312"/>
      <c r="CQ200" s="933"/>
      <c r="CR200" s="933"/>
      <c r="CS200" s="933"/>
      <c r="CT200" s="933"/>
      <c r="CU200" s="312"/>
      <c r="CV200" s="933"/>
      <c r="CW200" s="933"/>
      <c r="CX200" s="933"/>
      <c r="CY200" s="933"/>
      <c r="CZ200" s="312"/>
      <c r="DA200" s="933"/>
      <c r="DB200" s="28"/>
      <c r="DC200" s="28"/>
      <c r="DD200" s="876"/>
      <c r="DE200" s="445"/>
      <c r="DF200" s="982"/>
      <c r="DG200" s="444"/>
      <c r="DH200" s="444"/>
      <c r="DI200" s="1788"/>
      <c r="DJ200" s="1830"/>
      <c r="DK200" s="1831"/>
      <c r="DL200" s="1545"/>
      <c r="DM200" s="444"/>
      <c r="DN200" s="1788"/>
      <c r="DO200" s="445"/>
      <c r="DP200" s="1545"/>
      <c r="DQ200" s="1545"/>
      <c r="DR200" s="1545"/>
      <c r="DS200" s="1832"/>
      <c r="DT200" s="445"/>
      <c r="DU200" s="1842"/>
      <c r="DV200" s="1842"/>
      <c r="DW200" s="1842"/>
      <c r="DX200" s="1942"/>
      <c r="DY200" s="445"/>
      <c r="DZ200" s="1842"/>
      <c r="EA200" s="1842"/>
      <c r="EB200" s="1842"/>
      <c r="EC200" s="1942"/>
      <c r="ED200" s="1866"/>
      <c r="EE200" s="1842"/>
      <c r="EF200" s="1842"/>
      <c r="EG200" s="1842"/>
      <c r="EH200" s="1942"/>
      <c r="EI200" s="445"/>
      <c r="EJ200" s="445"/>
      <c r="EK200" s="445"/>
      <c r="EL200" s="445"/>
      <c r="EM200" s="445"/>
      <c r="EN200" s="445"/>
      <c r="EO200" s="445"/>
      <c r="EP200" s="445"/>
      <c r="EQ200" s="445"/>
      <c r="ER200" s="445"/>
      <c r="ES200" s="445"/>
      <c r="ET200" s="445"/>
      <c r="EU200" s="445"/>
      <c r="EV200" s="445"/>
      <c r="EW200" s="445"/>
      <c r="EX200" s="445"/>
    </row>
    <row r="201" spans="1:154" ht="12.75" customHeight="1">
      <c r="B201" s="1170" t="s">
        <v>9</v>
      </c>
      <c r="C201" s="1989"/>
      <c r="D201" s="28"/>
      <c r="E201" s="28"/>
      <c r="F201" s="28"/>
      <c r="G201" s="28"/>
      <c r="H201" s="28"/>
      <c r="I201" s="31"/>
      <c r="J201" s="28"/>
      <c r="K201" s="28"/>
      <c r="L201" s="28"/>
      <c r="M201" s="28"/>
      <c r="N201" s="31"/>
      <c r="O201" s="31"/>
      <c r="P201" s="31"/>
      <c r="Q201" s="31"/>
      <c r="R201" s="31"/>
      <c r="S201" s="31"/>
      <c r="T201" s="31"/>
      <c r="U201" s="31"/>
      <c r="V201" s="31"/>
      <c r="W201" s="31"/>
      <c r="X201" s="313"/>
      <c r="Y201" s="31"/>
      <c r="Z201" s="31"/>
      <c r="AA201" s="31"/>
      <c r="AB201" s="31"/>
      <c r="AC201" s="313"/>
      <c r="AD201" s="31"/>
      <c r="AE201" s="31"/>
      <c r="AF201" s="31"/>
      <c r="AG201" s="31"/>
      <c r="AH201" s="313"/>
      <c r="AI201" s="28"/>
      <c r="AJ201" s="28"/>
      <c r="AK201" s="28"/>
      <c r="AL201" s="31"/>
      <c r="AM201" s="313"/>
      <c r="AN201" s="28"/>
      <c r="AO201" s="28"/>
      <c r="AP201" s="28"/>
      <c r="AQ201" s="31"/>
      <c r="AR201" s="313"/>
      <c r="AS201" s="28"/>
      <c r="AT201" s="28"/>
      <c r="AU201" s="28"/>
      <c r="AV201" s="31"/>
      <c r="AW201" s="313"/>
      <c r="AX201" s="28"/>
      <c r="AY201" s="22"/>
      <c r="AZ201" s="28"/>
      <c r="BA201" s="28"/>
      <c r="BB201" s="313"/>
      <c r="BC201" s="22"/>
      <c r="BD201" s="22"/>
      <c r="BE201" s="22"/>
      <c r="BF201" s="28"/>
      <c r="BG201" s="312"/>
      <c r="BH201" s="28"/>
      <c r="BI201" s="28"/>
      <c r="BJ201" s="28"/>
      <c r="BK201" s="28"/>
      <c r="BL201" s="312"/>
      <c r="BM201" s="28"/>
      <c r="BN201" s="28"/>
      <c r="BO201" s="28"/>
      <c r="BP201" s="28"/>
      <c r="BQ201" s="312"/>
      <c r="BR201" s="28"/>
      <c r="BS201" s="28"/>
      <c r="BT201" s="28"/>
      <c r="BU201" s="28"/>
      <c r="BV201" s="312"/>
      <c r="BW201" s="28"/>
      <c r="BX201" s="28"/>
      <c r="BY201" s="28"/>
      <c r="BZ201" s="28"/>
      <c r="CA201" s="312"/>
      <c r="CB201" s="28"/>
      <c r="CC201" s="28"/>
      <c r="CD201" s="28"/>
      <c r="CE201" s="28"/>
      <c r="CF201" s="312"/>
      <c r="CG201" s="28"/>
      <c r="CH201" s="28"/>
      <c r="CI201" s="28"/>
      <c r="CJ201" s="1"/>
      <c r="CK201" s="312"/>
      <c r="CL201" s="28"/>
      <c r="CM201" s="933"/>
      <c r="CN201" s="933"/>
      <c r="CO201" s="1"/>
      <c r="CP201" s="312"/>
      <c r="CQ201" s="933"/>
      <c r="CR201" s="933"/>
      <c r="CS201" s="933"/>
      <c r="CT201" s="933"/>
      <c r="CU201" s="312"/>
      <c r="CV201" s="933"/>
      <c r="CW201" s="933"/>
      <c r="CX201" s="933"/>
      <c r="CY201" s="933"/>
      <c r="CZ201" s="312"/>
      <c r="DA201" s="947"/>
      <c r="DB201" s="28"/>
      <c r="DC201" s="28"/>
      <c r="DD201" s="876"/>
      <c r="DE201" s="445"/>
      <c r="DF201" s="1833"/>
      <c r="DG201" s="444"/>
      <c r="DH201" s="444"/>
      <c r="DI201" s="1788"/>
      <c r="DJ201" s="1830"/>
      <c r="DK201" s="1831"/>
      <c r="DL201" s="444"/>
      <c r="DM201" s="444"/>
      <c r="DN201" s="1788"/>
      <c r="DO201" s="445"/>
      <c r="DP201" s="444"/>
      <c r="DQ201" s="444"/>
      <c r="DR201" s="444"/>
      <c r="DS201" s="1788"/>
      <c r="DT201" s="445"/>
      <c r="DU201" s="982"/>
      <c r="DV201" s="982"/>
      <c r="DW201" s="982"/>
      <c r="DX201" s="1875"/>
      <c r="DY201" s="445"/>
      <c r="DZ201" s="982"/>
      <c r="EA201" s="982"/>
      <c r="EB201" s="982"/>
      <c r="EC201" s="1875"/>
      <c r="ED201" s="2060"/>
      <c r="EE201" s="982"/>
      <c r="EF201" s="982"/>
      <c r="EG201" s="982"/>
      <c r="EH201" s="1875"/>
      <c r="EI201" s="445"/>
      <c r="EJ201" s="445"/>
      <c r="EK201" s="445"/>
      <c r="EL201" s="445"/>
      <c r="EM201" s="445"/>
      <c r="EN201" s="445"/>
      <c r="EO201" s="445"/>
      <c r="EP201" s="445"/>
      <c r="EQ201" s="445"/>
      <c r="ER201" s="445"/>
      <c r="ES201" s="445"/>
      <c r="ET201" s="445"/>
      <c r="EU201" s="445"/>
      <c r="EV201" s="445"/>
      <c r="EW201" s="445"/>
      <c r="EX201" s="445"/>
    </row>
    <row r="202" spans="1:154" ht="12.75" customHeight="1">
      <c r="A202" s="3275" t="str">
        <f>A205&amp;" - US"</f>
      </c>
      <c r="B202" s="1171" t="s">
        <v>925</v>
      </c>
      <c r="C202" s="2000">
        <v>43344</v>
      </c>
      <c r="D202" s="31">
        <f>+I202/(1+I208)</f>
      </c>
      <c r="E202" s="33">
        <v>21</v>
      </c>
      <c r="F202" s="33">
        <v>24</v>
      </c>
      <c r="G202" s="33">
        <v>23</v>
      </c>
      <c r="H202" s="33">
        <v>29</v>
      </c>
      <c r="I202" s="31">
        <f>+SUM(E202:H202)</f>
      </c>
      <c r="J202" s="33">
        <v>45</v>
      </c>
      <c r="K202" s="33">
        <v>78</v>
      </c>
      <c r="L202" s="33">
        <v>80</v>
      </c>
      <c r="M202" s="33">
        <v>102</v>
      </c>
      <c r="N202" s="31">
        <f>+SUM(J202:M202)</f>
      </c>
      <c r="O202" s="33">
        <v>116</v>
      </c>
      <c r="P202" s="33">
        <v>166</v>
      </c>
      <c r="Q202" s="33">
        <v>202</v>
      </c>
      <c r="R202" s="33">
        <v>203</v>
      </c>
      <c r="S202" s="31">
        <f>SUM(O202:R202)</f>
      </c>
      <c r="T202" s="33">
        <v>236</v>
      </c>
      <c r="U202" s="33">
        <v>298</v>
      </c>
      <c r="V202" s="33">
        <v>293</v>
      </c>
      <c r="W202" s="33">
        <v>343</v>
      </c>
      <c r="X202" s="313">
        <f>SUM(T202:W202)</f>
      </c>
      <c r="Y202" s="33">
        <v>345</v>
      </c>
      <c r="Z202" s="33">
        <v>366</v>
      </c>
      <c r="AA202" s="33">
        <v>390</v>
      </c>
      <c r="AB202" s="33">
        <v>381</v>
      </c>
      <c r="AC202" s="313">
        <f>SUM(Y202:AB202)</f>
      </c>
      <c r="AD202" s="33">
        <v>411</v>
      </c>
      <c r="AE202" s="33">
        <v>447</v>
      </c>
      <c r="AF202" s="33">
        <v>466</v>
      </c>
      <c r="AG202" s="33">
        <v>493</v>
      </c>
      <c r="AH202" s="313">
        <f>SUM(AD202:AG202)</f>
      </c>
      <c r="AI202" s="33">
        <v>501</v>
      </c>
      <c r="AJ202" s="33">
        <v>506</v>
      </c>
      <c r="AK202" s="33">
        <v>524</v>
      </c>
      <c r="AL202" s="33">
        <v>535</v>
      </c>
      <c r="AM202" s="313">
        <f>+SUM(AI202:AL202)</f>
      </c>
      <c r="AN202" s="33">
        <v>566</v>
      </c>
      <c r="AO202" s="33">
        <v>595</v>
      </c>
      <c r="AP202" s="33">
        <v>602</v>
      </c>
      <c r="AQ202" s="33">
        <v>592</v>
      </c>
      <c r="AR202" s="313">
        <f>+SUM(AN202:AQ202)</f>
      </c>
      <c r="AS202" s="33">
        <v>600</v>
      </c>
      <c r="AT202" s="33">
        <v>625</v>
      </c>
      <c r="AU202" s="33">
        <v>648</v>
      </c>
      <c r="AV202" s="33">
        <v>661</v>
      </c>
      <c r="AW202" s="313">
        <f>SUM(AS202:AV202)</f>
      </c>
      <c r="AX202" s="33">
        <v>676</v>
      </c>
      <c r="AY202" s="33">
        <v>684</v>
      </c>
      <c r="AZ202" s="33">
        <v>778</v>
      </c>
      <c r="BA202" s="33">
        <v>672</v>
      </c>
      <c r="BB202" s="313">
        <f>SUM(AX202:BA202)</f>
      </c>
      <c r="BC202" s="33">
        <v>737</v>
      </c>
      <c r="BD202" s="33">
        <v>771</v>
      </c>
      <c r="BE202" s="33">
        <v>822</v>
      </c>
      <c r="BF202" s="33">
        <v>758</v>
      </c>
      <c r="BG202" s="313">
        <f>SUM(BC202:BF202)</f>
      </c>
      <c r="BH202" s="33">
        <v>780</v>
      </c>
      <c r="BI202" s="33">
        <v>783</v>
      </c>
      <c r="BJ202" s="33">
        <v>857</v>
      </c>
      <c r="BK202" s="33">
        <v>679</v>
      </c>
      <c r="BL202" s="313">
        <f>SUM(BH202:BK202)</f>
      </c>
      <c r="BM202" s="33">
        <v>788</v>
      </c>
      <c r="BN202" s="33">
        <v>836</v>
      </c>
      <c r="BO202" s="33">
        <v>876</v>
      </c>
      <c r="BP202" s="33">
        <v>776</v>
      </c>
      <c r="BQ202" s="313">
        <f>SUM(BM202:BP202)</f>
      </c>
      <c r="BR202" s="33">
        <v>882</v>
      </c>
      <c r="BS202" s="33">
        <v>890</v>
      </c>
      <c r="BT202" s="33">
        <v>940</v>
      </c>
      <c r="BU202" s="33">
        <v>871</v>
      </c>
      <c r="BV202" s="313">
        <f>SUM(BR202:BU202)</f>
      </c>
      <c r="BW202" s="352">
        <v>970</v>
      </c>
      <c r="BX202" s="352">
        <v>926</v>
      </c>
      <c r="BY202" s="352">
        <v>1013</v>
      </c>
      <c r="BZ202" s="352">
        <v>982</v>
      </c>
      <c r="CA202" s="313">
        <f>SUM(BW202:BZ202)</f>
      </c>
      <c r="CB202" s="352">
        <v>997</v>
      </c>
      <c r="CC202" s="352">
        <v>1021</v>
      </c>
      <c r="CD202" s="352">
        <v>1085</v>
      </c>
      <c r="CE202" s="352">
        <v>1052</v>
      </c>
      <c r="CF202" s="313">
        <f>SUM(CB202:CE202)</f>
      </c>
      <c r="CG202" s="352">
        <v>1055</v>
      </c>
      <c r="CH202" s="352">
        <v>1088</v>
      </c>
      <c r="CI202" s="352">
        <v>1117</v>
      </c>
      <c r="CJ202" s="352">
        <v>1193</v>
      </c>
      <c r="CK202" s="313">
        <f>SUM(CG202:CJ202)</f>
      </c>
      <c r="CL202" s="352">
        <v>1211</v>
      </c>
      <c r="CM202" s="352">
        <v>1236</v>
      </c>
      <c r="CN202" s="352">
        <v>1222</v>
      </c>
      <c r="CO202" s="352">
        <v>1173</v>
      </c>
      <c r="CP202" s="313">
        <f>SUM(CL202:CO202)</f>
      </c>
      <c r="CQ202" s="352">
        <v>1182</v>
      </c>
      <c r="CR202" s="352">
        <v>1064</v>
      </c>
      <c r="CS202" s="352">
        <v>1206</v>
      </c>
      <c r="CT202" s="352">
        <v>1073</v>
      </c>
      <c r="CU202" s="313">
        <f>SUM(CQ202:CT202)</f>
      </c>
      <c r="CV202" s="352">
        <v>916</v>
      </c>
      <c r="CW202" s="352">
        <v>918</v>
      </c>
      <c r="CX202" s="352">
        <v>987</v>
      </c>
      <c r="CY202" s="352">
        <v>843</v>
      </c>
      <c r="CZ202" s="313">
        <f>SUM(CV202:CY202)</f>
      </c>
      <c r="DA202" s="352">
        <v>774</v>
      </c>
      <c r="DB202" s="352">
        <v>801</v>
      </c>
      <c r="DC202" s="352">
        <v>749</v>
      </c>
      <c r="DD202" s="352">
        <v>755</v>
      </c>
      <c r="DE202" s="1835">
        <f>SUM(DA202:DD202)</f>
      </c>
      <c r="DF202" s="710">
        <v>625</v>
      </c>
      <c r="DG202" s="710">
        <v>593</v>
      </c>
      <c r="DH202" s="710">
        <v>634</v>
      </c>
      <c r="DI202" s="710">
        <v>656</v>
      </c>
      <c r="DJ202" s="2064">
        <f>SUM(DF202:DI202)</f>
      </c>
      <c r="DK202" s="1544">
        <v>489</v>
      </c>
      <c r="DL202" s="1544">
        <v>540</v>
      </c>
      <c r="DM202" s="710">
        <v>480</v>
      </c>
      <c r="DN202" s="710">
        <v>511</v>
      </c>
      <c r="DO202" s="2064">
        <f>SUM(DK202:DN202)</f>
      </c>
      <c r="DP202" s="1544">
        <v>358</v>
      </c>
      <c r="DQ202" s="1544">
        <v>391</v>
      </c>
      <c r="DR202" s="1544">
        <v>350</v>
      </c>
      <c r="DS202" s="1544">
        <v>318</v>
      </c>
      <c r="DT202" s="2064">
        <f>SUM(DP202:DS202)</f>
      </c>
      <c r="DU202" s="1544">
        <v>276.39999999999998</v>
      </c>
      <c r="DV202" s="1544">
        <v>277.3</v>
      </c>
      <c r="DW202" s="1544">
        <v>296</v>
      </c>
      <c r="DX202" s="1544">
        <v>294.39999999999998</v>
      </c>
      <c r="DY202" s="2064">
        <f>SUM(DU202:DX202)</f>
      </c>
      <c r="DZ202" s="1544">
        <v>266.39999999999998</v>
      </c>
      <c r="EA202" s="1544">
        <v>231</v>
      </c>
      <c r="EB202" s="1544">
        <v>281</v>
      </c>
      <c r="EC202" s="1544">
        <v>231</v>
      </c>
      <c r="ED202" s="2064">
        <f>SUM(DZ202:EC202)</f>
      </c>
      <c r="EE202" s="1544">
        <v>314</v>
      </c>
      <c r="EF202" s="1544">
        <v>283</v>
      </c>
      <c r="EG202" s="1544">
        <v>326</v>
      </c>
      <c r="EH202" s="1840">
        <f>EI202-SUM(EE202:EG202)</f>
      </c>
      <c r="EI202" s="1835">
        <f>(1+EI208)*ED202</f>
      </c>
      <c r="EJ202" s="1835">
        <f t="shared" ref="EJ202:EN203" si="497">(1+EJ208)*EI202</f>
      </c>
      <c r="EK202" s="1835">
        <f t="shared" si="497"/>
      </c>
      <c r="EL202" s="1835">
        <f t="shared" si="497"/>
      </c>
      <c r="EM202" s="1835">
        <f t="shared" si="497"/>
      </c>
      <c r="EN202" s="1835">
        <f t="shared" si="497"/>
      </c>
      <c r="EO202" s="1835">
        <f t="shared" ref="EO202:EW202" si="498">(1+EO208)*EN202</f>
      </c>
      <c r="EP202" s="1835">
        <f t="shared" si="498"/>
      </c>
      <c r="EQ202" s="1835">
        <f t="shared" si="498"/>
      </c>
      <c r="ER202" s="1835">
        <f t="shared" si="498"/>
      </c>
      <c r="ES202" s="1835">
        <f t="shared" si="498"/>
      </c>
      <c r="ET202" s="1835">
        <f t="shared" si="498"/>
      </c>
      <c r="EU202" s="1835">
        <f t="shared" si="498"/>
      </c>
      <c r="EV202" s="1835">
        <f t="shared" si="498"/>
      </c>
      <c r="EW202" s="1835">
        <f t="shared" si="498"/>
      </c>
      <c r="EX202" s="1835"/>
    </row>
    <row r="203" spans="1:154" ht="12.75" customHeight="1">
      <c r="A203" s="3275" t="str">
        <f>+A205&amp;" - OUS"</f>
      </c>
      <c r="B203" s="1171" t="s">
        <v>926</v>
      </c>
      <c r="C203" s="1989" t="s">
        <v>489</v>
      </c>
      <c r="D203" s="31">
        <f>+I203/(1+I211)</f>
      </c>
      <c r="E203" s="33">
        <v>0</v>
      </c>
      <c r="F203" s="33">
        <v>2</v>
      </c>
      <c r="G203" s="33">
        <v>4</v>
      </c>
      <c r="H203" s="33">
        <v>13</v>
      </c>
      <c r="I203" s="31">
        <f>+SUM(E203:H203)</f>
      </c>
      <c r="J203" s="33">
        <v>4</v>
      </c>
      <c r="K203" s="33">
        <v>14</v>
      </c>
      <c r="L203" s="33">
        <v>11</v>
      </c>
      <c r="M203" s="33">
        <v>37</v>
      </c>
      <c r="N203" s="31">
        <f>+SUM(J203:M203)</f>
      </c>
      <c r="O203" s="33">
        <v>15</v>
      </c>
      <c r="P203" s="33">
        <v>5</v>
      </c>
      <c r="Q203" s="33">
        <v>7</v>
      </c>
      <c r="R203" s="33">
        <v>7</v>
      </c>
      <c r="S203" s="31">
        <f>SUM(O203:R203)</f>
      </c>
      <c r="T203" s="33">
        <v>9</v>
      </c>
      <c r="U203" s="33">
        <v>34</v>
      </c>
      <c r="V203" s="33">
        <v>48</v>
      </c>
      <c r="W203" s="33">
        <v>36</v>
      </c>
      <c r="X203" s="313">
        <f>SUM(T203:W203)</f>
      </c>
      <c r="Y203" s="33">
        <v>64</v>
      </c>
      <c r="Z203" s="33">
        <v>55</v>
      </c>
      <c r="AA203" s="33">
        <v>54</v>
      </c>
      <c r="AB203" s="33">
        <v>75</v>
      </c>
      <c r="AC203" s="313">
        <f>SUM(Y203:AB203)</f>
      </c>
      <c r="AD203" s="33">
        <v>53</v>
      </c>
      <c r="AE203" s="33">
        <v>92.4</v>
      </c>
      <c r="AF203" s="33">
        <v>79</v>
      </c>
      <c r="AG203" s="33">
        <v>105</v>
      </c>
      <c r="AH203" s="313">
        <f>SUM(AD203:AG203)</f>
      </c>
      <c r="AI203" s="33">
        <v>76</v>
      </c>
      <c r="AJ203" s="33">
        <v>136</v>
      </c>
      <c r="AK203" s="33">
        <v>100</v>
      </c>
      <c r="AL203" s="33">
        <v>157</v>
      </c>
      <c r="AM203" s="313">
        <f>+SUM(AI203:AL203)</f>
      </c>
      <c r="AN203" s="33">
        <v>115</v>
      </c>
      <c r="AO203" s="33">
        <v>182</v>
      </c>
      <c r="AP203" s="33">
        <v>174</v>
      </c>
      <c r="AQ203" s="33">
        <v>188</v>
      </c>
      <c r="AR203" s="313">
        <f>+SUM(AN203:AQ203)</f>
      </c>
      <c r="AS203" s="33">
        <v>131</v>
      </c>
      <c r="AT203" s="33">
        <v>244</v>
      </c>
      <c r="AU203" s="33">
        <v>171</v>
      </c>
      <c r="AV203" s="33">
        <v>247</v>
      </c>
      <c r="AW203" s="313">
        <f>SUM(AS203:AV203)</f>
      </c>
      <c r="AX203" s="33">
        <f>320</f>
      </c>
      <c r="AY203" s="33">
        <f>200</f>
      </c>
      <c r="AZ203" s="33">
        <f>198</f>
      </c>
      <c r="BA203" s="33">
        <f>209</f>
      </c>
      <c r="BB203" s="313">
        <f>SUM(AX203:BA203)</f>
      </c>
      <c r="BC203" s="33">
        <f>286</f>
      </c>
      <c r="BD203" s="33">
        <v>327</v>
      </c>
      <c r="BE203" s="33">
        <v>208</v>
      </c>
      <c r="BF203" s="33">
        <v>375</v>
      </c>
      <c r="BG203" s="313">
        <f>SUM(BC203:BF203)</f>
      </c>
      <c r="BH203" s="33">
        <v>400</v>
      </c>
      <c r="BI203" s="33">
        <v>341</v>
      </c>
      <c r="BJ203" s="33">
        <v>365</v>
      </c>
      <c r="BK203" s="33">
        <v>381</v>
      </c>
      <c r="BL203" s="313">
        <f>SUM(BH203:BK203)</f>
      </c>
      <c r="BM203" s="33">
        <v>490</v>
      </c>
      <c r="BN203" s="33">
        <v>527</v>
      </c>
      <c r="BO203" s="352">
        <v>343</v>
      </c>
      <c r="BP203" s="352">
        <v>437</v>
      </c>
      <c r="BQ203" s="313">
        <f>SUM(BM203:BP203)</f>
      </c>
      <c r="BR203" s="33">
        <v>378</v>
      </c>
      <c r="BS203" s="33">
        <v>366</v>
      </c>
      <c r="BT203" s="352">
        <v>379</v>
      </c>
      <c r="BU203" s="352">
        <v>347</v>
      </c>
      <c r="BV203" s="313">
        <f>SUM(BR203:BU203)</f>
      </c>
      <c r="BW203" s="352">
        <v>349</v>
      </c>
      <c r="BX203" s="352">
        <v>332</v>
      </c>
      <c r="BY203" s="352">
        <v>291</v>
      </c>
      <c r="BZ203" s="352">
        <v>367</v>
      </c>
      <c r="CA203" s="313">
        <f>SUM(BW203:BZ203)</f>
      </c>
      <c r="CB203" s="352">
        <v>167</v>
      </c>
      <c r="CC203" s="352">
        <v>357</v>
      </c>
      <c r="CD203" s="352">
        <v>310</v>
      </c>
      <c r="CE203" s="352">
        <v>244</v>
      </c>
      <c r="CF203" s="599">
        <f>SUM(CB203:CE203)</f>
      </c>
      <c r="CG203" s="352">
        <v>181</v>
      </c>
      <c r="CH203" s="352">
        <v>241</v>
      </c>
      <c r="CI203" s="352">
        <v>180</v>
      </c>
      <c r="CJ203" s="352">
        <v>180</v>
      </c>
      <c r="CK203" s="599">
        <f>SUM(CG203:CJ203)</f>
      </c>
      <c r="CL203" s="352">
        <v>233</v>
      </c>
      <c r="CM203" s="352">
        <v>185</v>
      </c>
      <c r="CN203" s="352">
        <v>255</v>
      </c>
      <c r="CO203" s="352">
        <v>109</v>
      </c>
      <c r="CP203" s="599">
        <f>SUM(CL203:CO203)</f>
      </c>
      <c r="CQ203" s="352">
        <v>165</v>
      </c>
      <c r="CR203" s="352">
        <v>127</v>
      </c>
      <c r="CS203" s="352">
        <v>156</v>
      </c>
      <c r="CT203" s="352">
        <v>115</v>
      </c>
      <c r="CU203" s="599">
        <f>SUM(CQ203:CT203)</f>
      </c>
      <c r="CV203" s="352">
        <v>142</v>
      </c>
      <c r="CW203" s="352">
        <v>104</v>
      </c>
      <c r="CX203" s="352">
        <v>100</v>
      </c>
      <c r="CY203" s="352">
        <v>90</v>
      </c>
      <c r="CZ203" s="599">
        <f>SUM(CV203:CY203)</f>
      </c>
      <c r="DA203" s="352">
        <v>76</v>
      </c>
      <c r="DB203" s="352">
        <v>62</v>
      </c>
      <c r="DC203" s="352">
        <v>88</v>
      </c>
      <c r="DD203" s="352">
        <v>68</v>
      </c>
      <c r="DE203" s="2461">
        <f>SUM(DA203:DD203)</f>
      </c>
      <c r="DF203" s="710">
        <v>110</v>
      </c>
      <c r="DG203" s="710">
        <v>133</v>
      </c>
      <c r="DH203" s="710">
        <v>78</v>
      </c>
      <c r="DI203" s="710">
        <v>25</v>
      </c>
      <c r="DJ203" s="2477">
        <f>SUM(DF203:DI203)</f>
      </c>
      <c r="DK203" s="1544">
        <v>57</v>
      </c>
      <c r="DL203" s="1544">
        <v>93</v>
      </c>
      <c r="DM203" s="710">
        <v>47</v>
      </c>
      <c r="DN203" s="710">
        <v>39</v>
      </c>
      <c r="DO203" s="2477">
        <f>SUM(DK203:DN203)</f>
      </c>
      <c r="DP203" s="1544">
        <v>80</v>
      </c>
      <c r="DQ203" s="1544">
        <v>44</v>
      </c>
      <c r="DR203" s="1544">
        <v>39</v>
      </c>
      <c r="DS203" s="1544">
        <v>41</v>
      </c>
      <c r="DT203" s="2477">
        <f>SUM(DP203:DS203)</f>
      </c>
      <c r="DU203" s="1544">
        <v>41</v>
      </c>
      <c r="DV203" s="1544">
        <v>33</v>
      </c>
      <c r="DW203" s="1544">
        <v>38</v>
      </c>
      <c r="DX203" s="1544">
        <v>34.5</v>
      </c>
      <c r="DY203" s="2477">
        <f>SUM(DU203:DX203)</f>
      </c>
      <c r="DZ203" s="1544">
        <v>27</v>
      </c>
      <c r="EA203" s="1544">
        <v>35</v>
      </c>
      <c r="EB203" s="1544">
        <v>26.5</v>
      </c>
      <c r="EC203" s="1544">
        <v>9</v>
      </c>
      <c r="ED203" s="2477">
        <f>SUM(DZ203:EC203)</f>
      </c>
      <c r="EE203" s="1544">
        <v>10</v>
      </c>
      <c r="EF203" s="1544">
        <v>34</v>
      </c>
      <c r="EG203" s="1544">
        <v>19</v>
      </c>
      <c r="EH203" s="1840">
        <f>EI203-SUM(EE203:EG203)</f>
      </c>
      <c r="EI203" s="1835">
        <f>(1+EI209)*ED203</f>
      </c>
      <c r="EJ203" s="1835">
        <f t="shared" si="497"/>
      </c>
      <c r="EK203" s="1835">
        <f t="shared" si="497"/>
      </c>
      <c r="EL203" s="1835">
        <f t="shared" si="497"/>
      </c>
      <c r="EM203" s="1835">
        <f t="shared" si="497"/>
      </c>
      <c r="EN203" s="1835">
        <f t="shared" si="497"/>
      </c>
      <c r="EO203" s="1835">
        <f t="shared" ref="EO203:EW203" si="499">(1+EO209)*EN203</f>
      </c>
      <c r="EP203" s="1835">
        <f t="shared" si="499"/>
      </c>
      <c r="EQ203" s="1835">
        <f t="shared" si="499"/>
      </c>
      <c r="ER203" s="1835">
        <f t="shared" si="499"/>
      </c>
      <c r="ES203" s="1835">
        <f t="shared" si="499"/>
      </c>
      <c r="ET203" s="1835">
        <f t="shared" si="499"/>
      </c>
      <c r="EU203" s="1835">
        <f t="shared" si="499"/>
      </c>
      <c r="EV203" s="1835">
        <f t="shared" si="499"/>
      </c>
      <c r="EW203" s="1835">
        <f t="shared" si="499"/>
      </c>
      <c r="EX203" s="1835"/>
    </row>
    <row r="204" spans="1:154" ht="12.75" customHeight="1">
      <c r="B204" s="1171" t="s">
        <v>412</v>
      </c>
      <c r="C204" s="1989"/>
      <c r="D204" s="31"/>
      <c r="E204" s="33"/>
      <c r="F204" s="33"/>
      <c r="G204" s="33"/>
      <c r="H204" s="33"/>
      <c r="I204" s="31"/>
      <c r="J204" s="33"/>
      <c r="K204" s="33"/>
      <c r="L204" s="33"/>
      <c r="M204" s="33"/>
      <c r="N204" s="31"/>
      <c r="O204" s="33"/>
      <c r="P204" s="33"/>
      <c r="Q204" s="33"/>
      <c r="R204" s="33"/>
      <c r="S204" s="31"/>
      <c r="T204" s="33"/>
      <c r="U204" s="33"/>
      <c r="V204" s="33"/>
      <c r="W204" s="33"/>
      <c r="X204" s="313"/>
      <c r="Y204" s="33"/>
      <c r="Z204" s="33"/>
      <c r="AA204" s="33"/>
      <c r="AB204" s="33"/>
      <c r="AC204" s="313"/>
      <c r="AD204" s="33"/>
      <c r="AE204" s="33"/>
      <c r="AF204" s="33"/>
      <c r="AG204" s="33"/>
      <c r="AH204" s="313"/>
      <c r="AI204" s="33"/>
      <c r="AJ204" s="33"/>
      <c r="AK204" s="33"/>
      <c r="AL204" s="33"/>
      <c r="AM204" s="313"/>
      <c r="AN204" s="33"/>
      <c r="AO204" s="33"/>
      <c r="AP204" s="33"/>
      <c r="AQ204" s="33"/>
      <c r="AR204" s="313"/>
      <c r="AS204" s="33"/>
      <c r="AT204" s="33"/>
      <c r="AU204" s="33"/>
      <c r="AV204" s="33"/>
      <c r="AW204" s="313"/>
      <c r="AX204" s="33">
        <v>2</v>
      </c>
      <c r="AY204" s="33">
        <v>2</v>
      </c>
      <c r="AZ204" s="33">
        <v>2</v>
      </c>
      <c r="BA204" s="33">
        <v>5</v>
      </c>
      <c r="BB204" s="313">
        <f>SUM(AX204:BA204)</f>
      </c>
      <c r="BC204" s="33">
        <v>5</v>
      </c>
      <c r="BD204" s="33">
        <v>4</v>
      </c>
      <c r="BE204" s="33">
        <v>6</v>
      </c>
      <c r="BF204" s="33">
        <v>5</v>
      </c>
      <c r="BG204" s="313">
        <f>SUM(BC204:BF204)</f>
      </c>
      <c r="BH204" s="33">
        <v>6</v>
      </c>
      <c r="BI204" s="33">
        <v>6</v>
      </c>
      <c r="BJ204" s="33">
        <v>7</v>
      </c>
      <c r="BK204" s="33">
        <v>5</v>
      </c>
      <c r="BL204" s="313">
        <f>SUM(BH204:BK204)</f>
      </c>
      <c r="BM204" s="33">
        <v>7</v>
      </c>
      <c r="BN204" s="33">
        <v>8</v>
      </c>
      <c r="BO204" s="33">
        <v>189</v>
      </c>
      <c r="BP204" s="33">
        <v>215</v>
      </c>
      <c r="BQ204" s="312">
        <f>SUM(BM204:BP204)</f>
      </c>
      <c r="BR204" s="33">
        <v>261</v>
      </c>
      <c r="BS204" s="33">
        <v>267</v>
      </c>
      <c r="BT204" s="33">
        <v>272</v>
      </c>
      <c r="BU204" s="33">
        <v>286</v>
      </c>
      <c r="BV204" s="312">
        <f>SUM(BR204:BU204)</f>
      </c>
      <c r="BW204" s="352">
        <v>281</v>
      </c>
      <c r="BX204" s="352">
        <v>414</v>
      </c>
      <c r="BY204" s="352">
        <v>385</v>
      </c>
      <c r="BZ204" s="352">
        <v>363</v>
      </c>
      <c r="CA204" s="313">
        <f>SUM(BW204:BZ204)</f>
      </c>
      <c r="CB204" s="352">
        <v>446</v>
      </c>
      <c r="CC204" s="352">
        <v>426</v>
      </c>
      <c r="CD204" s="352">
        <v>387</v>
      </c>
      <c r="CE204" s="352">
        <v>376</v>
      </c>
      <c r="CF204" s="313">
        <f>SUM(CB204:CE204)</f>
      </c>
      <c r="CG204" s="352">
        <v>364</v>
      </c>
      <c r="CH204" s="352">
        <v>339</v>
      </c>
      <c r="CI204" s="352">
        <v>316</v>
      </c>
      <c r="CJ204" s="352">
        <v>307</v>
      </c>
      <c r="CK204" s="313">
        <f>SUM(CG204:CJ204)</f>
      </c>
      <c r="CL204" s="352">
        <v>335</v>
      </c>
      <c r="CM204" s="352">
        <v>359</v>
      </c>
      <c r="CN204" s="352">
        <v>306</v>
      </c>
      <c r="CO204" s="352">
        <v>342</v>
      </c>
      <c r="CP204" s="313">
        <f>SUM(CL204:CO204)</f>
      </c>
      <c r="CQ204" s="352">
        <v>325</v>
      </c>
      <c r="CR204" s="352">
        <v>339</v>
      </c>
      <c r="CS204" s="352">
        <v>285</v>
      </c>
      <c r="CT204" s="352">
        <v>278</v>
      </c>
      <c r="CU204" s="313">
        <f>SUM(CQ204:CT204)</f>
      </c>
      <c r="CV204" s="352">
        <v>331</v>
      </c>
      <c r="CW204" s="352">
        <v>298</v>
      </c>
      <c r="CX204" s="352">
        <v>292</v>
      </c>
      <c r="CY204" s="352">
        <v>305</v>
      </c>
      <c r="CZ204" s="313">
        <f>SUM(CV204:CY204)</f>
      </c>
      <c r="DA204" s="352">
        <v>252</v>
      </c>
      <c r="DB204" s="352">
        <v>244</v>
      </c>
      <c r="DC204" s="352">
        <v>299</v>
      </c>
      <c r="DD204" s="352">
        <v>212</v>
      </c>
      <c r="DE204" s="1835">
        <f>SUM(DA204:DD204)</f>
      </c>
      <c r="DF204" s="710">
        <v>256</v>
      </c>
      <c r="DG204" s="710">
        <v>208</v>
      </c>
      <c r="DH204" s="710">
        <v>209</v>
      </c>
      <c r="DI204" s="710">
        <v>220</v>
      </c>
      <c r="DJ204" s="2064">
        <f>SUM(DF204:DI204)</f>
      </c>
      <c r="DK204" s="1544">
        <v>232</v>
      </c>
      <c r="DL204" s="1544">
        <v>255</v>
      </c>
      <c r="DM204" s="710">
        <v>234</v>
      </c>
      <c r="DN204" s="710">
        <v>214</v>
      </c>
      <c r="DO204" s="2064">
        <f>SUM(DK204:DN204)</f>
      </c>
      <c r="DP204" s="1544">
        <v>225</v>
      </c>
      <c r="DQ204" s="1544">
        <v>212</v>
      </c>
      <c r="DR204" s="1544">
        <v>169</v>
      </c>
      <c r="DS204" s="1544">
        <v>116</v>
      </c>
      <c r="DT204" s="2064">
        <f>SUM(DP204:DS204)</f>
      </c>
      <c r="DU204" s="1544">
        <v>170</v>
      </c>
      <c r="DV204" s="1544">
        <v>152</v>
      </c>
      <c r="DW204" s="1544">
        <v>127</v>
      </c>
      <c r="DX204" s="1544">
        <v>99.5</v>
      </c>
      <c r="DY204" s="2064">
        <f>SUM(DU204:DX204)</f>
      </c>
      <c r="DZ204" s="1544">
        <v>141</v>
      </c>
      <c r="EA204" s="1544">
        <v>127</v>
      </c>
      <c r="EB204" s="1544">
        <v>111.5</v>
      </c>
      <c r="EC204" s="1544">
        <v>117</v>
      </c>
      <c r="ED204" s="2064">
        <f>SUM(DZ204:EC204)</f>
      </c>
      <c r="EE204" s="1544">
        <v>143</v>
      </c>
      <c r="EF204" s="1544">
        <v>138</v>
      </c>
      <c r="EG204" s="1544">
        <v>132</v>
      </c>
      <c r="EH204" s="1840">
        <f>EI204-SUM(EE204:EG204)</f>
      </c>
      <c r="EI204" s="1835">
        <f>(1+EI212)*ED204</f>
      </c>
      <c r="EJ204" s="1835">
        <f t="shared" ref="EJ204:EN204" si="500">(1+EJ212)*EI204</f>
      </c>
      <c r="EK204" s="1835">
        <f t="shared" si="500"/>
      </c>
      <c r="EL204" s="1835">
        <f t="shared" si="500"/>
      </c>
      <c r="EM204" s="1835">
        <f t="shared" si="500"/>
      </c>
      <c r="EN204" s="1835">
        <f t="shared" si="500"/>
      </c>
      <c r="EO204" s="1835">
        <f t="shared" ref="EO204:EW204" si="501">(1+EO212)*EN204</f>
      </c>
      <c r="EP204" s="1835">
        <f t="shared" si="501"/>
      </c>
      <c r="EQ204" s="1835">
        <f t="shared" si="501"/>
      </c>
      <c r="ER204" s="1835">
        <f t="shared" si="501"/>
      </c>
      <c r="ES204" s="1835">
        <f t="shared" si="501"/>
      </c>
      <c r="ET204" s="1835">
        <f t="shared" si="501"/>
      </c>
      <c r="EU204" s="1835">
        <f t="shared" si="501"/>
      </c>
      <c r="EV204" s="1835">
        <f t="shared" si="501"/>
      </c>
      <c r="EW204" s="1835">
        <f t="shared" si="501"/>
      </c>
      <c r="EX204" s="1835"/>
    </row>
    <row r="205" spans="1:154" ht="12.75" customHeight="1">
      <c r="A205" s="3275" t="s">
        <v>9</v>
      </c>
      <c r="B205" s="1171" t="s">
        <v>413</v>
      </c>
      <c r="C205" s="1989"/>
      <c r="D205" s="28">
        <f t="shared" ref="D205:AI205" si="502">+D202+D203+D204</f>
      </c>
      <c r="E205" s="28">
        <f t="shared" si="502"/>
      </c>
      <c r="F205" s="28">
        <f t="shared" si="502"/>
      </c>
      <c r="G205" s="28">
        <f t="shared" si="502"/>
      </c>
      <c r="H205" s="28">
        <f t="shared" si="502"/>
      </c>
      <c r="I205" s="28">
        <f t="shared" si="502"/>
      </c>
      <c r="J205" s="28">
        <f t="shared" si="502"/>
      </c>
      <c r="K205" s="28">
        <f t="shared" si="502"/>
      </c>
      <c r="L205" s="28">
        <f t="shared" si="502"/>
      </c>
      <c r="M205" s="28">
        <f t="shared" si="502"/>
      </c>
      <c r="N205" s="28">
        <f t="shared" si="502"/>
      </c>
      <c r="O205" s="28">
        <f t="shared" si="502"/>
      </c>
      <c r="P205" s="28">
        <f t="shared" si="502"/>
      </c>
      <c r="Q205" s="28">
        <f t="shared" si="502"/>
      </c>
      <c r="R205" s="28">
        <f t="shared" si="502"/>
      </c>
      <c r="S205" s="28">
        <f t="shared" si="502"/>
      </c>
      <c r="T205" s="28">
        <f t="shared" si="502"/>
      </c>
      <c r="U205" s="28">
        <f t="shared" si="502"/>
      </c>
      <c r="V205" s="28">
        <f t="shared" si="502"/>
      </c>
      <c r="W205" s="28">
        <f t="shared" si="502"/>
      </c>
      <c r="X205" s="312">
        <f t="shared" si="502"/>
      </c>
      <c r="Y205" s="28">
        <f t="shared" si="502"/>
      </c>
      <c r="Z205" s="28">
        <f t="shared" si="502"/>
      </c>
      <c r="AA205" s="28">
        <f t="shared" si="502"/>
      </c>
      <c r="AB205" s="28">
        <f t="shared" si="502"/>
      </c>
      <c r="AC205" s="312">
        <f t="shared" si="502"/>
      </c>
      <c r="AD205" s="28">
        <f t="shared" si="502"/>
      </c>
      <c r="AE205" s="28">
        <f t="shared" si="502"/>
      </c>
      <c r="AF205" s="28">
        <f t="shared" si="502"/>
      </c>
      <c r="AG205" s="28">
        <f t="shared" si="502"/>
      </c>
      <c r="AH205" s="312">
        <f t="shared" si="502"/>
      </c>
      <c r="AI205" s="28">
        <f t="shared" si="502"/>
      </c>
      <c r="AJ205" s="28">
        <f t="shared" ref="AJ205:BO205" si="503">+AJ202+AJ203+AJ204</f>
      </c>
      <c r="AK205" s="28">
        <f t="shared" si="503"/>
      </c>
      <c r="AL205" s="28">
        <f t="shared" si="503"/>
      </c>
      <c r="AM205" s="312">
        <f t="shared" si="503"/>
      </c>
      <c r="AN205" s="28">
        <f t="shared" si="503"/>
      </c>
      <c r="AO205" s="28">
        <f t="shared" si="503"/>
      </c>
      <c r="AP205" s="28">
        <f t="shared" si="503"/>
      </c>
      <c r="AQ205" s="28">
        <f t="shared" si="503"/>
      </c>
      <c r="AR205" s="312">
        <f t="shared" si="503"/>
      </c>
      <c r="AS205" s="28">
        <f t="shared" si="503"/>
      </c>
      <c r="AT205" s="28">
        <f t="shared" si="503"/>
      </c>
      <c r="AU205" s="28">
        <f t="shared" si="503"/>
      </c>
      <c r="AV205" s="28">
        <f t="shared" si="503"/>
      </c>
      <c r="AW205" s="312">
        <f t="shared" si="503"/>
      </c>
      <c r="AX205" s="28">
        <f t="shared" si="503"/>
      </c>
      <c r="AY205" s="28">
        <f t="shared" si="503"/>
      </c>
      <c r="AZ205" s="28">
        <f t="shared" si="503"/>
      </c>
      <c r="BA205" s="28">
        <f t="shared" si="503"/>
      </c>
      <c r="BB205" s="312">
        <f t="shared" si="503"/>
      </c>
      <c r="BC205" s="28">
        <f t="shared" si="503"/>
      </c>
      <c r="BD205" s="28">
        <f t="shared" si="503"/>
      </c>
      <c r="BE205" s="28">
        <f t="shared" si="503"/>
      </c>
      <c r="BF205" s="28">
        <f t="shared" si="503"/>
      </c>
      <c r="BG205" s="312">
        <f t="shared" si="503"/>
      </c>
      <c r="BH205" s="28">
        <f t="shared" si="503"/>
      </c>
      <c r="BI205" s="28">
        <f t="shared" si="503"/>
      </c>
      <c r="BJ205" s="28">
        <f t="shared" si="503"/>
      </c>
      <c r="BK205" s="28">
        <f t="shared" si="503"/>
      </c>
      <c r="BL205" s="312">
        <f t="shared" si="503"/>
      </c>
      <c r="BM205" s="28">
        <f t="shared" si="503"/>
      </c>
      <c r="BN205" s="28">
        <f t="shared" si="503"/>
      </c>
      <c r="BO205" s="28">
        <f t="shared" si="503"/>
      </c>
      <c r="BP205" s="28">
        <f>+BP202+BP203+BP204</f>
      </c>
      <c r="BQ205" s="312">
        <f>+BQ202+BQ203+BQ204</f>
      </c>
      <c r="BR205" s="28">
        <f>+BR202+BR203+BR204</f>
      </c>
      <c r="BS205" s="28">
        <f>+BS202+BS203+BS204</f>
      </c>
      <c r="BT205" s="28">
        <f>+BT202+BT203+BT204</f>
      </c>
      <c r="BU205" s="28">
        <f>+BV205-SUM(BR205:BT205)</f>
      </c>
      <c r="BV205" s="312">
        <f>+BV202+BV203+BV204</f>
      </c>
      <c r="BW205" s="28">
        <f>+BW202+BW203+BW204</f>
      </c>
      <c r="BX205" s="28">
        <f>+BX202+BX203+BX204</f>
      </c>
      <c r="BY205" s="28">
        <f>+BY202+BY203+BY204</f>
      </c>
      <c r="BZ205" s="28">
        <f>+BZ202+BZ203+BZ204</f>
      </c>
      <c r="CA205" s="313">
        <f>SUM(BW205:BZ205)</f>
      </c>
      <c r="CB205" s="28">
        <f>+CB202+CB203+CB204</f>
      </c>
      <c r="CC205" s="28">
        <f>+CC202+CC203+CC204</f>
      </c>
      <c r="CD205" s="28">
        <f>+CD202+CD203+CD204</f>
      </c>
      <c r="CE205" s="28">
        <f>+CE202+CE203+CE204</f>
      </c>
      <c r="CF205" s="312">
        <f>SUM(CB205:CE205)</f>
      </c>
      <c r="CG205" s="28">
        <f>+CG202+CG203+CG204</f>
      </c>
      <c r="CH205" s="28">
        <f>+CH202+CH203+CH204</f>
      </c>
      <c r="CI205" s="28">
        <f>+CI202+CI203+CI204</f>
      </c>
      <c r="CJ205" s="28">
        <f>+CJ202+CJ203+CJ204</f>
      </c>
      <c r="CK205" s="312">
        <f>SUM(CG205:CJ205)</f>
      </c>
      <c r="CL205" s="28">
        <f>+CL202+CL203+CL204</f>
      </c>
      <c r="CM205" s="28">
        <f>+CM202+CM203+CM204</f>
      </c>
      <c r="CN205" s="28">
        <f>+CN202+CN203+CN204</f>
      </c>
      <c r="CO205" s="28">
        <f>+CO202+CO203+CO204</f>
      </c>
      <c r="CP205" s="312">
        <f>SUM(CL205:CO205)</f>
      </c>
      <c r="CQ205" s="933">
        <f>+CQ202+CQ203+CQ204</f>
      </c>
      <c r="CR205" s="933">
        <f>+CR202+CR203+CR204</f>
      </c>
      <c r="CS205" s="933">
        <f>+CS202+CS203+CS204</f>
      </c>
      <c r="CT205" s="933">
        <f>+CT202+CT203+CT204</f>
      </c>
      <c r="CU205" s="312">
        <f>SUM(CQ205:CT205)</f>
      </c>
      <c r="CV205" s="933">
        <f>+CV202+CV203+CV204</f>
      </c>
      <c r="CW205" s="933">
        <f>+CW202+CW203+CW204</f>
      </c>
      <c r="CX205" s="933">
        <f>+CX202+CX203+CX204</f>
      </c>
      <c r="CY205" s="933">
        <f>+CY202+CY203+CY204</f>
      </c>
      <c r="CZ205" s="312">
        <f>SUM(CV205:CY205)</f>
      </c>
      <c r="DA205" s="933">
        <f>+DA202+DA203+DA204</f>
      </c>
      <c r="DB205" s="933">
        <f>+DB202+DB203+DB204</f>
      </c>
      <c r="DC205" s="28">
        <f>+DC202+DC203+DC204</f>
      </c>
      <c r="DD205" s="933">
        <f>+DD202+DD203+DD204</f>
      </c>
      <c r="DE205" s="573">
        <f>SUM(DA205:DD205)</f>
      </c>
      <c r="DF205" s="107">
        <f>+DF202+DF203+DF204</f>
      </c>
      <c r="DG205" s="107">
        <f>+DG202+DG203+DG204</f>
      </c>
      <c r="DH205" s="107">
        <f>+DH202+DH203+DH204</f>
      </c>
      <c r="DI205" s="1284">
        <f>+DI202+DI203+DI204</f>
      </c>
      <c r="DJ205" s="2065">
        <f>SUM(DF205:DI205)</f>
      </c>
      <c r="DK205" s="2478">
        <f t="shared" ref="DK205:EN205" si="504">+DK202+DK203+DK204</f>
      </c>
      <c r="DL205" s="2478">
        <f t="shared" si="504"/>
      </c>
      <c r="DM205" s="107">
        <f t="shared" si="504"/>
      </c>
      <c r="DN205" s="107">
        <f t="shared" si="504"/>
      </c>
      <c r="DO205" s="573">
        <f t="shared" si="504"/>
      </c>
      <c r="DP205" s="2478">
        <f t="shared" si="504"/>
      </c>
      <c r="DQ205" s="2478">
        <f t="shared" si="504"/>
      </c>
      <c r="DR205" s="2478">
        <f t="shared" si="504"/>
      </c>
      <c r="DS205" s="2478">
        <f t="shared" si="504"/>
      </c>
      <c r="DT205" s="573">
        <f t="shared" si="504"/>
      </c>
      <c r="DU205" s="2478">
        <f t="shared" si="504"/>
      </c>
      <c r="DV205" s="2478">
        <f t="shared" si="504"/>
      </c>
      <c r="DW205" s="2478">
        <f t="shared" si="504"/>
      </c>
      <c r="DX205" s="2478">
        <f>+DX202+DX203+DX204</f>
      </c>
      <c r="DY205" s="573">
        <f>+DY202+DY203+DY204</f>
      </c>
      <c r="DZ205" s="2479">
        <f t="shared" si="504"/>
      </c>
      <c r="EA205" s="2479">
        <f t="shared" si="504"/>
      </c>
      <c r="EB205" s="2479">
        <f t="shared" si="504"/>
      </c>
      <c r="EC205" s="2479">
        <f t="shared" si="504"/>
      </c>
      <c r="ED205" s="2060">
        <f t="shared" si="504"/>
      </c>
      <c r="EE205" s="2479">
        <f t="shared" ref="EE205:EG205" si="505">+EE202+EE203+EE204</f>
      </c>
      <c r="EF205" s="2479">
        <f t="shared" si="505"/>
      </c>
      <c r="EG205" s="2479">
        <f t="shared" si="505"/>
      </c>
      <c r="EH205" s="2479">
        <f t="shared" si="504"/>
      </c>
      <c r="EI205" s="573">
        <f t="shared" si="504"/>
      </c>
      <c r="EJ205" s="573">
        <f t="shared" si="504"/>
      </c>
      <c r="EK205" s="573">
        <f t="shared" si="504"/>
      </c>
      <c r="EL205" s="573">
        <f t="shared" si="504"/>
      </c>
      <c r="EM205" s="573">
        <f t="shared" si="504"/>
      </c>
      <c r="EN205" s="573">
        <f t="shared" si="504"/>
      </c>
      <c r="EO205" s="573">
        <f t="shared" ref="EO205:EW205" si="506">+EO202+EO203+EO204</f>
      </c>
      <c r="EP205" s="573">
        <f t="shared" si="506"/>
      </c>
      <c r="EQ205" s="573">
        <f t="shared" si="506"/>
      </c>
      <c r="ER205" s="573">
        <f t="shared" si="506"/>
      </c>
      <c r="ES205" s="573">
        <f t="shared" si="506"/>
      </c>
      <c r="ET205" s="573">
        <f t="shared" si="506"/>
      </c>
      <c r="EU205" s="573">
        <f t="shared" si="506"/>
      </c>
      <c r="EV205" s="573">
        <f t="shared" si="506"/>
      </c>
      <c r="EW205" s="573">
        <f t="shared" si="506"/>
      </c>
      <c r="EX205" s="573"/>
    </row>
    <row r="206" spans="1:154" ht="12.75" customHeight="1">
      <c r="B206" s="1171"/>
      <c r="C206" s="1989"/>
      <c r="D206" s="28"/>
      <c r="E206" s="28"/>
      <c r="F206" s="28"/>
      <c r="G206" s="28"/>
      <c r="H206" s="28"/>
      <c r="I206" s="31"/>
      <c r="J206" s="28"/>
      <c r="K206" s="28"/>
      <c r="L206" s="28"/>
      <c r="M206" s="28"/>
      <c r="N206" s="31"/>
      <c r="O206" s="31"/>
      <c r="P206" s="31"/>
      <c r="Q206" s="31"/>
      <c r="R206" s="31"/>
      <c r="S206" s="31"/>
      <c r="T206" s="31"/>
      <c r="U206" s="31"/>
      <c r="V206" s="31"/>
      <c r="W206" s="31"/>
      <c r="X206" s="313"/>
      <c r="Y206" s="31"/>
      <c r="Z206" s="31"/>
      <c r="AA206" s="31"/>
      <c r="AB206" s="31"/>
      <c r="AC206" s="313"/>
      <c r="AD206" s="31"/>
      <c r="AE206" s="31"/>
      <c r="AF206" s="31"/>
      <c r="AG206" s="31"/>
      <c r="AH206" s="313"/>
      <c r="AI206" s="28"/>
      <c r="AJ206" s="28"/>
      <c r="AK206" s="28"/>
      <c r="AL206" s="31"/>
      <c r="AM206" s="313"/>
      <c r="AN206" s="28"/>
      <c r="AO206" s="28"/>
      <c r="AP206" s="28"/>
      <c r="AQ206" s="31"/>
      <c r="AR206" s="313"/>
      <c r="AS206" s="28"/>
      <c r="AT206" s="28"/>
      <c r="AU206" s="28"/>
      <c r="AV206" s="31"/>
      <c r="AW206" s="313"/>
      <c r="AX206" s="28"/>
      <c r="AY206" s="28"/>
      <c r="AZ206" s="28"/>
      <c r="BA206" s="28"/>
      <c r="BB206" s="313"/>
      <c r="BC206" s="28"/>
      <c r="BD206" s="28"/>
      <c r="BE206" s="28"/>
      <c r="BF206" s="28"/>
      <c r="BG206" s="313"/>
      <c r="BH206" s="28"/>
      <c r="BI206" s="28"/>
      <c r="BJ206" s="28"/>
      <c r="BK206" s="28"/>
      <c r="BL206" s="313"/>
      <c r="BM206" s="28"/>
      <c r="BO206" s="28"/>
      <c r="BP206" s="28"/>
      <c r="BQ206" s="313"/>
      <c r="BR206" s="28"/>
      <c r="BS206" s="28"/>
      <c r="BT206" s="28"/>
      <c r="BU206" s="28"/>
      <c r="BV206" s="313"/>
      <c r="BW206" s="28"/>
      <c r="BX206" s="28"/>
      <c r="BY206" s="28"/>
      <c r="BZ206" s="28"/>
      <c r="CA206" s="313"/>
      <c r="CB206" s="28"/>
      <c r="CC206" s="28"/>
      <c r="CD206" s="28"/>
      <c r="CE206" s="28"/>
      <c r="CF206" s="313"/>
      <c r="CG206" s="28"/>
      <c r="CH206" s="28"/>
      <c r="CI206" s="28"/>
      <c r="CJ206" s="28"/>
      <c r="CK206" s="313"/>
      <c r="CL206" s="933"/>
      <c r="CM206" s="933"/>
      <c r="CN206" s="28"/>
      <c r="CO206" s="28"/>
      <c r="CP206" s="313"/>
      <c r="CQ206" s="933"/>
      <c r="CR206" s="933"/>
      <c r="CS206" s="933"/>
      <c r="CT206" s="933"/>
      <c r="CU206" s="313"/>
      <c r="CV206" s="933"/>
      <c r="CW206" s="933"/>
      <c r="CX206" s="933"/>
      <c r="CY206" s="933"/>
      <c r="CZ206" s="313"/>
      <c r="DA206" s="933"/>
      <c r="DB206" s="31"/>
      <c r="DC206" s="31"/>
      <c r="DD206" s="933"/>
      <c r="DE206" s="477"/>
      <c r="DF206" s="982"/>
      <c r="DG206" s="603"/>
      <c r="DH206" s="603"/>
      <c r="DI206" s="982"/>
      <c r="DJ206" s="1811"/>
      <c r="DK206" s="1836"/>
      <c r="DL206" s="1822"/>
      <c r="DM206" s="1822"/>
      <c r="DN206" s="1837"/>
      <c r="DO206" s="477"/>
      <c r="DP206" s="1822"/>
      <c r="DQ206" s="1822"/>
      <c r="DR206" s="1822"/>
      <c r="DS206" s="1837"/>
      <c r="DT206" s="477"/>
      <c r="DU206" s="1822"/>
      <c r="DV206" s="1822"/>
      <c r="DW206" s="1822"/>
      <c r="DX206" s="1822"/>
      <c r="DY206" s="477"/>
      <c r="DZ206" s="1822"/>
      <c r="EA206" s="1822"/>
      <c r="EB206" s="1822"/>
      <c r="EC206" s="1837"/>
      <c r="ED206" s="477"/>
      <c r="EE206" s="1822"/>
      <c r="EF206" s="1822"/>
      <c r="EG206" s="1822"/>
      <c r="EH206" s="1837"/>
      <c r="EI206" s="477"/>
      <c r="EJ206" s="477"/>
      <c r="EK206" s="477"/>
      <c r="EL206" s="477"/>
      <c r="EM206" s="477"/>
      <c r="EN206" s="477"/>
      <c r="EO206" s="477"/>
      <c r="EP206" s="477"/>
      <c r="EQ206" s="477"/>
      <c r="ER206" s="477"/>
      <c r="ES206" s="477"/>
      <c r="ET206" s="477"/>
      <c r="EU206" s="477"/>
      <c r="EV206" s="477"/>
      <c r="EW206" s="477"/>
      <c r="EX206" s="477"/>
    </row>
    <row r="207" spans="1:154" ht="12.75" customHeight="1">
      <c r="B207" s="1172" t="s">
        <v>890</v>
      </c>
      <c r="C207" s="1989"/>
      <c r="D207" s="28"/>
      <c r="E207" s="28"/>
      <c r="F207" s="28"/>
      <c r="G207" s="28"/>
      <c r="H207" s="28"/>
      <c r="I207" s="31"/>
      <c r="J207" s="28"/>
      <c r="K207" s="28"/>
      <c r="L207" s="28"/>
      <c r="M207" s="28"/>
      <c r="N207" s="31"/>
      <c r="O207" s="31"/>
      <c r="P207" s="31"/>
      <c r="Q207" s="31"/>
      <c r="R207" s="31"/>
      <c r="S207" s="31"/>
      <c r="T207" s="31"/>
      <c r="U207" s="31"/>
      <c r="V207" s="31"/>
      <c r="W207" s="31"/>
      <c r="X207" s="319"/>
      <c r="Y207" s="31"/>
      <c r="Z207" s="31"/>
      <c r="AA207" s="31"/>
      <c r="AB207" s="31"/>
      <c r="AC207" s="319"/>
      <c r="AD207" s="31"/>
      <c r="AE207" s="31"/>
      <c r="AF207" s="31"/>
      <c r="AG207" s="31"/>
      <c r="AH207" s="319"/>
      <c r="AI207" s="28"/>
      <c r="AJ207" s="28"/>
      <c r="AK207" s="28"/>
      <c r="AL207" s="31"/>
      <c r="AM207" s="319"/>
      <c r="AN207" s="28"/>
      <c r="AO207" s="28"/>
      <c r="AP207" s="28"/>
      <c r="AQ207" s="31"/>
      <c r="AR207" s="319"/>
      <c r="AS207" s="28"/>
      <c r="AT207" s="28"/>
      <c r="AU207" s="28"/>
      <c r="AV207" s="31"/>
      <c r="AW207" s="319"/>
      <c r="AX207" s="28"/>
      <c r="AY207" s="28"/>
      <c r="AZ207" s="28"/>
      <c r="BA207" s="28"/>
      <c r="BB207" s="319"/>
      <c r="BC207" s="28"/>
      <c r="BD207" s="28"/>
      <c r="BE207" s="28"/>
      <c r="BF207" s="28"/>
      <c r="BG207" s="319"/>
      <c r="BH207" s="28"/>
      <c r="BI207" s="28"/>
      <c r="BJ207" s="28"/>
      <c r="BK207" s="28"/>
      <c r="BL207" s="313"/>
      <c r="BM207" s="28"/>
      <c r="BN207" s="28"/>
      <c r="BO207" s="28"/>
      <c r="BQ207" s="313"/>
      <c r="BR207" s="28"/>
      <c r="BS207" s="28"/>
      <c r="BT207" s="28"/>
      <c r="BV207" s="313"/>
      <c r="BW207" s="30"/>
      <c r="BX207" s="30"/>
      <c r="BY207" s="30"/>
      <c r="BZ207" s="30"/>
      <c r="CA207" s="313"/>
      <c r="CB207" s="30"/>
      <c r="CC207" s="30"/>
      <c r="CD207" s="30"/>
      <c r="CE207" s="30"/>
      <c r="CF207" s="600">
        <f>+CF212*(CF204/SUM(CF203:CF204))+CF209*(CF203/SUM(CF203:CF204))</f>
      </c>
      <c r="CG207" s="30"/>
      <c r="CH207" s="30"/>
      <c r="CI207" s="30"/>
      <c r="CJ207" s="30"/>
      <c r="CK207" s="600">
        <f>+CK212*(CK204/SUM(CK203:CK204))+CK209*(CK203/SUM(CK203:CK204))</f>
      </c>
      <c r="CL207" s="1209"/>
      <c r="CM207" s="926"/>
      <c r="CN207" s="926"/>
      <c r="CO207" s="30"/>
      <c r="CP207" s="313"/>
      <c r="CQ207" s="926"/>
      <c r="CR207" s="944"/>
      <c r="CS207" s="1221"/>
      <c r="CT207" s="1221"/>
      <c r="CU207" s="313"/>
      <c r="CV207" s="926"/>
      <c r="CW207" s="926"/>
      <c r="CX207" s="926"/>
      <c r="CY207" s="1221"/>
      <c r="CZ207" s="313"/>
      <c r="DA207" s="926"/>
      <c r="DB207" s="31"/>
      <c r="DC207" s="31"/>
      <c r="DD207" s="926"/>
      <c r="DE207" s="477"/>
      <c r="DF207" s="926"/>
      <c r="DG207" s="603"/>
      <c r="DH207" s="603"/>
      <c r="DI207" s="926"/>
      <c r="DJ207" s="477"/>
      <c r="DK207" s="1799"/>
      <c r="DL207" s="603"/>
      <c r="DM207" s="603"/>
      <c r="DN207" s="1798"/>
      <c r="DO207" s="477"/>
      <c r="DP207" s="603"/>
      <c r="DQ207" s="603"/>
      <c r="DR207" s="603"/>
      <c r="DS207" s="1798"/>
      <c r="DT207" s="477"/>
      <c r="DU207" s="603"/>
      <c r="DV207" s="603"/>
      <c r="DW207" s="603"/>
      <c r="DX207" s="603"/>
      <c r="DY207" s="477"/>
      <c r="DZ207" s="603"/>
      <c r="EA207" s="603"/>
      <c r="EB207" s="603"/>
      <c r="EC207" s="1798"/>
      <c r="ED207" s="477"/>
      <c r="EE207" s="603"/>
      <c r="EF207" s="603"/>
      <c r="EG207" s="603"/>
      <c r="EH207" s="1798"/>
      <c r="EI207" s="477"/>
      <c r="EJ207" s="477"/>
      <c r="EK207" s="477"/>
      <c r="EL207" s="477"/>
      <c r="EM207" s="477"/>
      <c r="EN207" s="477"/>
      <c r="EO207" s="477"/>
      <c r="EP207" s="477"/>
      <c r="EQ207" s="477"/>
      <c r="ER207" s="477"/>
      <c r="ES207" s="477"/>
      <c r="ET207" s="477"/>
      <c r="EU207" s="477"/>
      <c r="EV207" s="477"/>
      <c r="EW207" s="477"/>
      <c r="EX207" s="477"/>
    </row>
    <row r="208" spans="1:154" ht="12.75" customHeight="1">
      <c r="B208" s="912" t="s">
        <v>153</v>
      </c>
      <c r="C208" s="1989"/>
      <c r="D208" s="28"/>
      <c r="E208" s="28"/>
      <c r="F208" s="28"/>
      <c r="G208" s="28"/>
      <c r="H208" s="28"/>
      <c r="I208" s="29">
        <v>5</v>
      </c>
      <c r="J208" s="30">
        <f t="shared" ref="J208:AO208" si="507">IF(E202="NM","NM",IF(J202="NM","NM",IF(E202&lt;=0,"NM",IF(J202=0,"NM",IF(ABS(J202/E202-1)&gt;2.5,"NM",IF((ABS(J202-E202)=ABS(ABS(J202)-ABS(E202))),(J202/E202-1),"NM"))))))</f>
      </c>
      <c r="K208" s="30">
        <f t="shared" si="507"/>
      </c>
      <c r="L208" s="30">
        <f t="shared" si="507"/>
      </c>
      <c r="M208" s="30" t="str">
        <f t="shared" si="507"/>
      </c>
      <c r="N208" s="30">
        <f t="shared" si="507"/>
      </c>
      <c r="O208" s="30">
        <f t="shared" si="507"/>
      </c>
      <c r="P208" s="30">
        <f t="shared" si="507"/>
      </c>
      <c r="Q208" s="30">
        <f t="shared" si="507"/>
      </c>
      <c r="R208" s="30">
        <f t="shared" si="507"/>
      </c>
      <c r="S208" s="30">
        <f t="shared" si="507"/>
      </c>
      <c r="T208" s="30">
        <f t="shared" si="507"/>
      </c>
      <c r="U208" s="30">
        <f t="shared" si="507"/>
      </c>
      <c r="V208" s="30">
        <f t="shared" si="507"/>
      </c>
      <c r="W208" s="30">
        <f t="shared" si="507"/>
      </c>
      <c r="X208" s="308">
        <f t="shared" si="507"/>
      </c>
      <c r="Y208" s="30">
        <f t="shared" si="507"/>
      </c>
      <c r="Z208" s="30">
        <f t="shared" si="507"/>
      </c>
      <c r="AA208" s="30">
        <f t="shared" si="507"/>
      </c>
      <c r="AB208" s="30">
        <f t="shared" si="507"/>
      </c>
      <c r="AC208" s="308">
        <f t="shared" si="507"/>
      </c>
      <c r="AD208" s="30">
        <f t="shared" si="507"/>
      </c>
      <c r="AE208" s="30">
        <f t="shared" si="507"/>
      </c>
      <c r="AF208" s="30">
        <f t="shared" si="507"/>
      </c>
      <c r="AG208" s="30">
        <f t="shared" si="507"/>
      </c>
      <c r="AH208" s="308">
        <f t="shared" si="507"/>
      </c>
      <c r="AI208" s="30">
        <f t="shared" si="507"/>
      </c>
      <c r="AJ208" s="30">
        <f t="shared" si="507"/>
      </c>
      <c r="AK208" s="30">
        <f t="shared" si="507"/>
      </c>
      <c r="AL208" s="30">
        <f t="shared" si="507"/>
      </c>
      <c r="AM208" s="308">
        <f t="shared" si="507"/>
      </c>
      <c r="AN208" s="30">
        <f t="shared" si="507"/>
      </c>
      <c r="AO208" s="30">
        <f t="shared" si="507"/>
      </c>
      <c r="AP208" s="30">
        <f t="shared" ref="AP208:BR208" si="508">IF(AK202="NM","NM",IF(AP202="NM","NM",IF(AK202&lt;=0,"NM",IF(AP202=0,"NM",IF(ABS(AP202/AK202-1)&gt;2.5,"NM",IF((ABS(AP202-AK202)=ABS(ABS(AP202)-ABS(AK202))),(AP202/AK202-1),"NM"))))))</f>
      </c>
      <c r="AQ208" s="30">
        <f t="shared" si="508"/>
      </c>
      <c r="AR208" s="308">
        <f t="shared" si="508"/>
      </c>
      <c r="AS208" s="30">
        <f t="shared" si="508"/>
      </c>
      <c r="AT208" s="30">
        <f t="shared" si="508"/>
      </c>
      <c r="AU208" s="30">
        <f t="shared" si="508"/>
      </c>
      <c r="AV208" s="30">
        <f t="shared" si="508"/>
      </c>
      <c r="AW208" s="308">
        <f t="shared" si="508"/>
      </c>
      <c r="AX208" s="30">
        <f t="shared" si="508"/>
      </c>
      <c r="AY208" s="30">
        <f t="shared" si="508"/>
      </c>
      <c r="AZ208" s="30">
        <f t="shared" si="508"/>
      </c>
      <c r="BA208" s="30">
        <f t="shared" si="508"/>
      </c>
      <c r="BB208" s="308">
        <f t="shared" si="508"/>
      </c>
      <c r="BC208" s="30">
        <f t="shared" si="508"/>
      </c>
      <c r="BD208" s="30">
        <f t="shared" si="508"/>
      </c>
      <c r="BE208" s="30">
        <f t="shared" si="508"/>
      </c>
      <c r="BF208" s="30">
        <f t="shared" si="508"/>
      </c>
      <c r="BG208" s="308">
        <f t="shared" si="508"/>
      </c>
      <c r="BH208" s="30">
        <f t="shared" si="508"/>
      </c>
      <c r="BI208" s="30">
        <f t="shared" si="508"/>
      </c>
      <c r="BJ208" s="30">
        <f t="shared" si="508"/>
      </c>
      <c r="BK208" s="30">
        <f t="shared" si="508"/>
      </c>
      <c r="BL208" s="308">
        <f t="shared" si="508"/>
      </c>
      <c r="BM208" s="30">
        <f t="shared" si="508"/>
      </c>
      <c r="BN208" s="30">
        <f t="shared" si="508"/>
      </c>
      <c r="BO208" s="30">
        <f t="shared" si="508"/>
      </c>
      <c r="BP208" s="30">
        <f t="shared" si="508"/>
      </c>
      <c r="BQ208" s="308">
        <f t="shared" si="508"/>
      </c>
      <c r="BR208" s="30">
        <f t="shared" si="508"/>
      </c>
      <c r="BS208" s="30">
        <f t="shared" ref="BS208:CQ208" si="509">IF(BN202="NM","NM",IF(BS202="NM","NM",IF(BN202&lt;=0,"NM",IF(BS202=0,"NM",IF(ABS(BS202/BN202-1)&gt;2.5,"NM",IF((ABS(BS202-BN202)=ABS(ABS(BS202)-ABS(BN202))),(BS202/BN202-1),"NM"))))))</f>
      </c>
      <c r="BT208" s="30">
        <f t="shared" ref="BT208:BV209" si="510">IF(BO202="NM","NM",IF(BT202="NM","NM",IF(BO202&lt;=0,"NM",IF(BT202=0,"NM",IF(ABS(BT202/BO202-1)&gt;2.5,"NM",IF((ABS(BT202-BO202)=ABS(ABS(BT202)-ABS(BO202))),(BT202/BO202-1),"NM"))))))</f>
      </c>
      <c r="BU208" s="30">
        <f t="shared" si="510"/>
      </c>
      <c r="BV208" s="308">
        <f t="shared" si="510"/>
      </c>
      <c r="BW208" s="30">
        <f t="shared" si="509"/>
      </c>
      <c r="BX208" s="30">
        <f t="shared" si="509"/>
      </c>
      <c r="BY208" s="30">
        <f t="shared" si="509"/>
      </c>
      <c r="BZ208" s="30">
        <f t="shared" si="509"/>
      </c>
      <c r="CA208" s="308">
        <f>IF(BV202="NM","NM",IF(CA202="NM","NM",IF(BV202&lt;=0,"NM",IF(CA202=0,"NM",IF(ABS(CA202/BV202-1)&gt;2.5,"NM",IF((ABS(CA202-BV202)=ABS(ABS(CA202)-ABS(BV202))),(CA202/BV202-1),"NM"))))))</f>
      </c>
      <c r="CB208" s="30">
        <f t="shared" si="509"/>
      </c>
      <c r="CC208" s="30">
        <f t="shared" si="509"/>
      </c>
      <c r="CD208" s="30">
        <f t="shared" si="509"/>
      </c>
      <c r="CE208" s="30">
        <f t="shared" si="509"/>
      </c>
      <c r="CF208" s="308">
        <f>IF(CA202="NM","NM",IF(CF202="NM","NM",IF(CA202&lt;=0,"NM",IF(CF202=0,"NM",IF(ABS(CF202/CA202-1)&gt;2.5,"NM",IF((ABS(CF202-CA202)=ABS(ABS(CF202)-ABS(CA202))),(CF202/CA202-1),"NM"))))))</f>
      </c>
      <c r="CG208" s="30">
        <f t="shared" si="509"/>
      </c>
      <c r="CH208" s="30">
        <f t="shared" si="509"/>
      </c>
      <c r="CI208" s="30">
        <f t="shared" si="509"/>
      </c>
      <c r="CJ208" s="30">
        <f t="shared" si="509"/>
      </c>
      <c r="CK208" s="308">
        <f>IF(CF202=0, "NA", CK202/CF202-1)</f>
      </c>
      <c r="CL208" s="30">
        <f t="shared" si="509"/>
      </c>
      <c r="CM208" s="30">
        <f t="shared" si="509"/>
      </c>
      <c r="CN208" s="30">
        <f t="shared" si="509"/>
      </c>
      <c r="CO208" s="30">
        <f t="shared" si="509"/>
      </c>
      <c r="CP208" s="308">
        <f>IF(CK202=0, "NA", CP202/CK202-1)</f>
      </c>
      <c r="CQ208" s="30">
        <f t="shared" si="509"/>
      </c>
      <c r="CR208" s="926">
        <f t="shared" ref="CR208:CT209" si="511">IF(CM202="NM","NM",IF(CR202="NM","NM",IF(CM202&lt;=0,"NM",IF(CR202=0,"NM",IF(ABS(CR202/CM202-1)&gt;2.5,"NM",IF((ABS(CR202-CM202)=ABS(ABS(CR202)-ABS(CM202))),(CR202/CM202-1),"NM"))))))</f>
      </c>
      <c r="CS208" s="926">
        <f t="shared" si="511"/>
      </c>
      <c r="CT208" s="926">
        <f t="shared" si="511"/>
      </c>
      <c r="CU208" s="308">
        <f>IF(CP202=0, "NA", CU202/CP202-1)</f>
      </c>
      <c r="CV208" s="30">
        <f t="shared" ref="CV208:CY209" si="512">IF(CQ202="NM","NM",IF(CV202="NM","NM",IF(CQ202&lt;=0,"NM",IF(CV202=0,"NM",IF(ABS(CV202/CQ202-1)&gt;2.5,"NM",IF((ABS(CV202-CQ202)=ABS(ABS(CV202)-ABS(CQ202))),(CV202/CQ202-1),"NM"))))))</f>
      </c>
      <c r="CW208" s="30">
        <f t="shared" si="512"/>
      </c>
      <c r="CX208" s="30">
        <f t="shared" si="512"/>
      </c>
      <c r="CY208" s="926">
        <f t="shared" si="512"/>
      </c>
      <c r="CZ208" s="308">
        <f>IF(CU202=0, "NA", CZ202/CU202-1)</f>
      </c>
      <c r="DA208" s="30">
        <f t="shared" ref="DA208:DD209" si="513">IF(CV202="NM","NM",IF(DA202="NM","NM",IF(CV202&lt;=0,"NM",IF(DA202=0,"NM",IF(ABS(DA202/CV202-1)&gt;2.5,"NM",IF((ABS(DA202-CV202)=ABS(ABS(DA202)-ABS(CV202))),(DA202/CV202-1),"NM"))))))</f>
      </c>
      <c r="DB208" s="30">
        <f t="shared" si="513"/>
      </c>
      <c r="DC208" s="30">
        <f t="shared" si="513"/>
      </c>
      <c r="DD208" s="926">
        <f t="shared" si="513"/>
      </c>
      <c r="DE208" s="3325">
        <f>IF(CZ202=0, "NA", DE202/CZ202-1)</f>
      </c>
      <c r="DF208" s="3326">
        <f t="shared" ref="DF208:DI209" si="514">IF(DA202="NM","NM",IF(DF202="NM","NM",IF(DA202&lt;=0,"NM",IF(DF202=0,"NM",IF(ABS(DF202/DA202-1)&gt;2.5,"NM",IF((ABS(DF202-DA202)=ABS(ABS(DF202)-ABS(DA202))),(DF202/DA202-1),"NM"))))))</f>
      </c>
      <c r="DG208" s="3326">
        <f t="shared" si="514"/>
      </c>
      <c r="DH208" s="3326">
        <f t="shared" si="514"/>
      </c>
      <c r="DI208" s="3327">
        <f t="shared" si="514"/>
      </c>
      <c r="DJ208" s="3325">
        <f>IF(DE202=0, "NA", DJ202/DE202-1)</f>
      </c>
      <c r="DK208" s="3326">
        <f t="shared" ref="DK208:DM209" si="515">IF(DF202="NM","NM",IF(DK202="NM","NM",IF(DF202&lt;=0,"NM",IF(DK202=0,"NM",IF(ABS(DK202/DF202-1)&gt;2.5,"NM",IF((ABS(DK202-DF202)=ABS(ABS(DK202)-ABS(DF202))),(DK202/DF202-1),"NM"))))))</f>
      </c>
      <c r="DL208" s="3326">
        <f t="shared" si="515"/>
      </c>
      <c r="DM208" s="3326">
        <f t="shared" si="515"/>
      </c>
      <c r="DN208" s="3328">
        <f>IF(DI202=0, "NA", DN202/DI202-1)</f>
      </c>
      <c r="DO208" s="3325">
        <f>IF(DJ202=0, "NA", DO202/DJ202-1)</f>
      </c>
      <c r="DP208" s="3326">
        <f t="shared" ref="DP208:EG209" si="516">IF(DK202="NM","NM",IF(DP202="NM","NM",IF(DK202&lt;=0,"NM",IF(DP202=0,"NM",IF(ABS(DP202/DK202-1)&gt;2.5,"NM",IF((ABS(DP202-DK202)=ABS(ABS(DP202)-ABS(DK202))),(DP202/DK202-1),"NM"))))))</f>
      </c>
      <c r="DQ208" s="3326">
        <f t="shared" si="516"/>
      </c>
      <c r="DR208" s="3326">
        <f t="shared" si="516"/>
      </c>
      <c r="DS208" s="3326">
        <f t="shared" si="516"/>
      </c>
      <c r="DT208" s="3325">
        <f>IF(DO202=0, "NA", DT202/DO202-1)</f>
      </c>
      <c r="DU208" s="3326">
        <f t="shared" si="516"/>
      </c>
      <c r="DV208" s="3326">
        <f t="shared" si="516"/>
      </c>
      <c r="DW208" s="3326">
        <f t="shared" si="516"/>
      </c>
      <c r="DX208" s="3326">
        <f t="shared" si="516"/>
      </c>
      <c r="DY208" s="3325">
        <f>IF(DT202=0, "NA", DY202/DT202-1)</f>
      </c>
      <c r="DZ208" s="3326">
        <f t="shared" si="516"/>
      </c>
      <c r="EA208" s="3327">
        <f t="shared" si="516"/>
      </c>
      <c r="EB208" s="3327">
        <f t="shared" si="516"/>
      </c>
      <c r="EC208" s="3327">
        <f t="shared" si="516"/>
      </c>
      <c r="ED208" s="3325">
        <f>IF(DY202=0, "NA", ED202/DY202-1)</f>
      </c>
      <c r="EE208" s="3326">
        <f t="shared" si="516"/>
      </c>
      <c r="EF208" s="3327">
        <f t="shared" si="516"/>
      </c>
      <c r="EG208" s="3327">
        <f t="shared" si="516"/>
      </c>
      <c r="EH208" s="3329">
        <f>IF(EH202=0,"NM",+EH202/EC202-1)</f>
      </c>
      <c r="EI208" s="3330">
        <v>0.21</v>
      </c>
      <c r="EJ208" s="3330">
        <v>-0.13</v>
      </c>
      <c r="EK208" s="3330">
        <v>-0.13</v>
      </c>
      <c r="EL208" s="3330">
        <v>-0.13</v>
      </c>
      <c r="EM208" s="3330">
        <v>-0.13</v>
      </c>
      <c r="EN208" s="3330">
        <v>-0.13</v>
      </c>
      <c r="EO208" s="3330">
        <v>-0.1</v>
      </c>
      <c r="EP208" s="3330">
        <v>-0.1</v>
      </c>
      <c r="EQ208" s="3330">
        <v>-0.05</v>
      </c>
      <c r="ER208" s="3330">
        <v>-0.05</v>
      </c>
      <c r="ES208" s="3330">
        <v>-0.05</v>
      </c>
      <c r="ET208" s="3330">
        <v>-0.1</v>
      </c>
      <c r="EU208" s="3330">
        <v>-0.1</v>
      </c>
      <c r="EV208" s="3330">
        <v>-0.1</v>
      </c>
      <c r="EW208" s="3330">
        <v>-0.1</v>
      </c>
      <c r="EX208" s="3330"/>
    </row>
    <row r="209" spans="1:154" ht="12.75" customHeight="1">
      <c r="B209" s="912" t="s">
        <v>547</v>
      </c>
      <c r="C209" s="1989"/>
      <c r="D209" s="28"/>
      <c r="E209" s="28"/>
      <c r="F209" s="28"/>
      <c r="G209" s="28"/>
      <c r="H209" s="28"/>
      <c r="I209" s="29"/>
      <c r="J209" s="30"/>
      <c r="K209" s="30"/>
      <c r="L209" s="30"/>
      <c r="M209" s="30"/>
      <c r="N209" s="30"/>
      <c r="O209" s="30"/>
      <c r="P209" s="30"/>
      <c r="Q209" s="30"/>
      <c r="R209" s="30"/>
      <c r="S209" s="30"/>
      <c r="T209" s="30"/>
      <c r="U209" s="30"/>
      <c r="V209" s="30"/>
      <c r="W209" s="30"/>
      <c r="X209" s="308"/>
      <c r="Y209" s="30"/>
      <c r="Z209" s="30"/>
      <c r="AA209" s="30"/>
      <c r="AB209" s="30"/>
      <c r="AC209" s="308"/>
      <c r="AD209" s="30"/>
      <c r="AE209" s="30"/>
      <c r="AF209" s="30"/>
      <c r="AG209" s="30"/>
      <c r="AH209" s="308"/>
      <c r="AI209" s="30"/>
      <c r="AJ209" s="30"/>
      <c r="AK209" s="30"/>
      <c r="AL209" s="30"/>
      <c r="AM209" s="308"/>
      <c r="AN209" s="30"/>
      <c r="AO209" s="30"/>
      <c r="AP209" s="30"/>
      <c r="AQ209" s="30"/>
      <c r="AR209" s="308"/>
      <c r="AS209" s="30"/>
      <c r="AT209" s="30"/>
      <c r="AU209" s="30"/>
      <c r="AV209" s="30"/>
      <c r="AW209" s="308"/>
      <c r="AX209" s="30"/>
      <c r="AY209" s="30"/>
      <c r="AZ209" s="30"/>
      <c r="BA209" s="30"/>
      <c r="BB209" s="308">
        <f t="shared" ref="BB209:BS209" si="517">IF(AW203="NM","NM",IF(BB203="NM","NM",IF(AW203&lt;=0,"NM",IF(BB203=0,"NM",IF(ABS(BB203/AW203-1)&gt;2.5,"NM",IF((ABS(BB203-AW203)=ABS(ABS(BB203)-ABS(AW203))),(BB203/AW203-1),"NM"))))))</f>
      </c>
      <c r="BC209" s="30">
        <f t="shared" si="517"/>
      </c>
      <c r="BD209" s="30">
        <f t="shared" si="517"/>
      </c>
      <c r="BE209" s="30">
        <f t="shared" si="517"/>
      </c>
      <c r="BF209" s="30">
        <f t="shared" si="517"/>
      </c>
      <c r="BG209" s="308">
        <f t="shared" si="517"/>
      </c>
      <c r="BH209" s="30">
        <f t="shared" si="517"/>
      </c>
      <c r="BI209" s="30">
        <f t="shared" si="517"/>
      </c>
      <c r="BJ209" s="30">
        <f t="shared" si="517"/>
      </c>
      <c r="BK209" s="30">
        <f t="shared" si="517"/>
      </c>
      <c r="BL209" s="308">
        <f t="shared" si="517"/>
      </c>
      <c r="BM209" s="30">
        <f t="shared" si="517"/>
      </c>
      <c r="BN209" s="30">
        <f t="shared" si="517"/>
      </c>
      <c r="BO209" s="30">
        <f t="shared" si="517"/>
      </c>
      <c r="BP209" s="30">
        <f t="shared" si="517"/>
      </c>
      <c r="BQ209" s="308">
        <f t="shared" si="517"/>
      </c>
      <c r="BR209" s="30">
        <f t="shared" si="517"/>
      </c>
      <c r="BS209" s="30">
        <f t="shared" si="517"/>
      </c>
      <c r="BT209" s="30">
        <f t="shared" si="510"/>
      </c>
      <c r="BU209" s="30">
        <f t="shared" si="510"/>
      </c>
      <c r="BV209" s="308">
        <f t="shared" si="510"/>
      </c>
      <c r="BW209" s="30">
        <f t="shared" ref="BW209:CE209" si="518">IF(BR203="NM","NM",IF(BW203="NM","NM",IF(BR203&lt;=0,"NM",IF(BW203=0,"NM",IF(ABS(BW203/BR203-1)&gt;2.5,"NM",IF((ABS(BW203-BR203)=ABS(ABS(BW203)-ABS(BR203))),(BW203/BR203-1),"NM"))))))</f>
      </c>
      <c r="BX209" s="30">
        <f t="shared" si="518"/>
      </c>
      <c r="BY209" s="30">
        <f t="shared" si="518"/>
      </c>
      <c r="BZ209" s="409">
        <f t="shared" si="518"/>
      </c>
      <c r="CA209" s="658">
        <f>IF(ISNUMBER(CA210),(1+CA210)/(1+CA$21)-1,"NM")</f>
      </c>
      <c r="CB209" s="30">
        <f t="shared" si="518"/>
      </c>
      <c r="CC209" s="30">
        <f t="shared" si="518"/>
      </c>
      <c r="CD209" s="30">
        <f t="shared" si="518"/>
      </c>
      <c r="CE209" s="409">
        <f t="shared" si="518"/>
      </c>
      <c r="CF209" s="658">
        <f>IF(ISNUMBER(CF210),(1+CF210)/(1+CF$21)-1,"NM")</f>
      </c>
      <c r="CG209" s="30">
        <f>IF(CB203="NM","NM",IF(CG203="NM","NM",IF(CB203&lt;=0,"NM",IF(CG203=0,"NM",IF(ABS(CG203/CB203-1)&gt;2.5,"NM",IF((ABS(CG203-CB203)=ABS(ABS(CG203)-ABS(CB203))),(CG203/CB203-1),"NM"))))))</f>
      </c>
      <c r="CH209" s="30">
        <f>IF(CC203="NM","NM",IF(CH203="NM","NM",IF(CC203&lt;=0,"NM",IF(CH203=0,"NM",IF(ABS(CH203/CC203-1)&gt;2.5,"NM",IF((ABS(CH203-CC203)=ABS(ABS(CH203)-ABS(CC203))),(CH203/CC203-1),"NM"))))))</f>
      </c>
      <c r="CI209" s="30">
        <f>IF(CD203="NM","NM",IF(CI203="NM","NM",IF(CD203&lt;=0,"NM",IF(CI203=0,"NM",IF(ABS(CI203/CD203-1)&gt;2.5,"NM",IF((ABS(CI203-CD203)=ABS(ABS(CI203)-ABS(CD203))),(CI203/CD203-1),"NM"))))))</f>
      </c>
      <c r="CJ209" s="30">
        <f>IF(CE203="NM","NM",IF(CJ203="NM","NM",IF(CE203&lt;=0,"NM",IF(CJ203=0,"NM",IF(ABS(CJ203/CE203-1)&gt;2.5,"NM",IF((ABS(CJ203-CE203)=ABS(ABS(CJ203)-ABS(CE203))),(CJ203/CE203-1),"NM"))))))</f>
      </c>
      <c r="CK209" s="658">
        <f>CK210-CK$21</f>
      </c>
      <c r="CL209" s="30">
        <f>IF(CG203="NM","NM",IF(CL203="NM","NM",IF(CG203&lt;=0,"NM",IF(CL203=0,"NM",IF(ABS(CL203/CG203-1)&gt;2.5,"NM",IF((ABS(CL203-CG203)=ABS(ABS(CL203)-ABS(CG203))),(CL203/CG203-1),"NM"))))))</f>
      </c>
      <c r="CM209" s="30">
        <f>IF(CH203="NM","NM",IF(CM203="NM","NM",IF(CH203&lt;=0,"NM",IF(CM203=0,"NM",IF(ABS(CM203/CH203-1)&gt;2.5,"NM",IF((ABS(CM203-CH203)=ABS(ABS(CM203)-ABS(CH203))),(CM203/CH203-1),"NM"))))))</f>
      </c>
      <c r="CN209" s="30">
        <f>IF(CI203="NM","NM",IF(CN203="NM","NM",IF(CI203&lt;=0,"NM",IF(CN203=0,"NM",IF(ABS(CN203/CI203-1)&gt;2.5,"NM",IF((ABS(CN203-CI203)=ABS(ABS(CN203)-ABS(CI203))),(CN203/CI203-1),"NM"))))))</f>
      </c>
      <c r="CO209" s="30">
        <f>IF(CJ203="NM","NM",IF(CO203="NM","NM",IF(CJ203&lt;=0,"NM",IF(CO203=0,"NM",IF(ABS(CO203/CJ203-1)&gt;2.5,"NM",IF((ABS(CO203-CJ203)=ABS(ABS(CO203)-ABS(CJ203))),(CO203/CJ203-1),"NM"))))))</f>
      </c>
      <c r="CP209" s="658">
        <f>CP210-CP$21</f>
      </c>
      <c r="CQ209" s="30">
        <f>IF(CL203="NM","NM",IF(CQ203="NM","NM",IF(CL203&lt;=0,"NM",IF(CQ203=0,"NM",IF(ABS(CQ203/CL203-1)&gt;2.5,"NM",IF((ABS(CQ203-CL203)=ABS(ABS(CQ203)-ABS(CL203))),(CQ203/CL203-1),"NM"))))))</f>
      </c>
      <c r="CR209" s="926">
        <f t="shared" si="511"/>
      </c>
      <c r="CS209" s="926">
        <f t="shared" si="511"/>
      </c>
      <c r="CT209" s="926">
        <f t="shared" si="511"/>
      </c>
      <c r="CU209" s="658">
        <f>CU210-CU$21</f>
      </c>
      <c r="CV209" s="30">
        <f t="shared" si="512"/>
      </c>
      <c r="CW209" s="30">
        <f t="shared" si="512"/>
      </c>
      <c r="CX209" s="30">
        <f t="shared" si="512"/>
      </c>
      <c r="CY209" s="926">
        <f t="shared" si="512"/>
      </c>
      <c r="CZ209" s="658">
        <f>CZ210-CZ$21</f>
      </c>
      <c r="DA209" s="30">
        <f t="shared" si="513"/>
      </c>
      <c r="DB209" s="30">
        <f t="shared" si="513"/>
      </c>
      <c r="DC209" s="30">
        <f t="shared" si="513"/>
      </c>
      <c r="DD209" s="926">
        <f t="shared" si="513"/>
      </c>
      <c r="DE209" s="3331">
        <f>DE210-DE$21</f>
      </c>
      <c r="DF209" s="3326">
        <f t="shared" si="514"/>
      </c>
      <c r="DG209" s="3326">
        <f t="shared" si="514"/>
      </c>
      <c r="DH209" s="3326">
        <f t="shared" si="514"/>
      </c>
      <c r="DI209" s="3327">
        <f t="shared" si="514"/>
      </c>
      <c r="DJ209" s="3331">
        <f>DJ210-DJ$21</f>
      </c>
      <c r="DK209" s="3326">
        <f t="shared" si="515"/>
      </c>
      <c r="DL209" s="3326">
        <f t="shared" si="515"/>
      </c>
      <c r="DM209" s="3326">
        <f t="shared" si="515"/>
      </c>
      <c r="DN209" s="3332">
        <f>DN210-DN$21</f>
      </c>
      <c r="DO209" s="3331">
        <f>DO210-DO$21</f>
      </c>
      <c r="DP209" s="3326">
        <f t="shared" si="516"/>
      </c>
      <c r="DQ209" s="3326">
        <f t="shared" si="516"/>
      </c>
      <c r="DR209" s="3326">
        <f t="shared" si="516"/>
      </c>
      <c r="DS209" s="3326">
        <f t="shared" si="516"/>
      </c>
      <c r="DT209" s="3331">
        <f>DT210-DT$21</f>
      </c>
      <c r="DU209" s="3326">
        <f t="shared" si="516"/>
      </c>
      <c r="DV209" s="3326">
        <f t="shared" si="516"/>
      </c>
      <c r="DW209" s="3326">
        <f t="shared" si="516"/>
      </c>
      <c r="DX209" s="3326">
        <f t="shared" si="516"/>
      </c>
      <c r="DY209" s="3331">
        <f>DY210-DY$21</f>
      </c>
      <c r="DZ209" s="3326">
        <f t="shared" si="516"/>
      </c>
      <c r="EA209" s="3327">
        <f t="shared" si="516"/>
      </c>
      <c r="EB209" s="3327">
        <f t="shared" si="516"/>
      </c>
      <c r="EC209" s="3327">
        <f t="shared" si="516"/>
      </c>
      <c r="ED209" s="3331">
        <f>ED210-ED$21</f>
      </c>
      <c r="EE209" s="3326">
        <f t="shared" si="516"/>
      </c>
      <c r="EF209" s="3327">
        <f t="shared" si="516"/>
      </c>
      <c r="EG209" s="3327">
        <f t="shared" si="516"/>
      </c>
      <c r="EH209" s="3329">
        <f>IF(EH203=0,"NM",+EH203/EC203-1)</f>
      </c>
      <c r="EI209" s="3330">
        <v>-0.15</v>
      </c>
      <c r="EJ209" s="3330">
        <v>-0.12</v>
      </c>
      <c r="EK209" s="3330">
        <v>-0.1</v>
      </c>
      <c r="EL209" s="3330">
        <v>-0.1</v>
      </c>
      <c r="EM209" s="3330">
        <v>-0.1</v>
      </c>
      <c r="EN209" s="3330">
        <v>-0.1</v>
      </c>
      <c r="EO209" s="3330">
        <v>-0.2</v>
      </c>
      <c r="EP209" s="3330">
        <v>-0.2</v>
      </c>
      <c r="EQ209" s="3330">
        <v>-0.2</v>
      </c>
      <c r="ER209" s="3330">
        <v>-0.2</v>
      </c>
      <c r="ES209" s="3330">
        <v>-0.2</v>
      </c>
      <c r="ET209" s="3330">
        <v>-0.2</v>
      </c>
      <c r="EU209" s="3330">
        <v>-0.2</v>
      </c>
      <c r="EV209" s="3330">
        <v>-0.2</v>
      </c>
      <c r="EW209" s="3330">
        <v>-0.2</v>
      </c>
      <c r="EX209" s="3330"/>
    </row>
    <row r="210" spans="1:154" ht="12.75" customHeight="1">
      <c r="B210" s="912" t="s">
        <v>546</v>
      </c>
      <c r="C210" s="1989"/>
      <c r="D210" s="28"/>
      <c r="E210" s="28"/>
      <c r="F210" s="28"/>
      <c r="G210" s="28"/>
      <c r="H210" s="28"/>
      <c r="I210" s="29"/>
      <c r="J210" s="30"/>
      <c r="K210" s="30"/>
      <c r="L210" s="30"/>
      <c r="M210" s="30"/>
      <c r="N210" s="30"/>
      <c r="O210" s="30"/>
      <c r="P210" s="30"/>
      <c r="Q210" s="30"/>
      <c r="R210" s="30"/>
      <c r="S210" s="30"/>
      <c r="T210" s="30"/>
      <c r="U210" s="30"/>
      <c r="V210" s="30"/>
      <c r="W210" s="30"/>
      <c r="X210" s="308"/>
      <c r="Y210" s="30"/>
      <c r="Z210" s="30"/>
      <c r="AA210" s="30"/>
      <c r="AB210" s="30"/>
      <c r="AC210" s="308"/>
      <c r="AD210" s="30"/>
      <c r="AE210" s="30"/>
      <c r="AF210" s="30"/>
      <c r="AG210" s="30"/>
      <c r="AH210" s="308"/>
      <c r="AI210" s="30"/>
      <c r="AJ210" s="30"/>
      <c r="AK210" s="30"/>
      <c r="AL210" s="30"/>
      <c r="AM210" s="308"/>
      <c r="AN210" s="30"/>
      <c r="AO210" s="30"/>
      <c r="AP210" s="30"/>
      <c r="AQ210" s="30"/>
      <c r="AR210" s="308"/>
      <c r="AS210" s="30"/>
      <c r="AT210" s="30"/>
      <c r="AU210" s="30"/>
      <c r="AV210" s="30"/>
      <c r="AW210" s="308"/>
      <c r="AX210" s="30"/>
      <c r="AY210" s="30"/>
      <c r="AZ210" s="30"/>
      <c r="BA210" s="30"/>
      <c r="BB210" s="308"/>
      <c r="BC210" s="30">
        <f t="shared" ref="BC210:BV210" si="519">+BC203/AX203-1</f>
      </c>
      <c r="BD210" s="30">
        <f t="shared" si="519"/>
      </c>
      <c r="BE210" s="30">
        <f t="shared" si="519"/>
      </c>
      <c r="BF210" s="30">
        <f t="shared" si="519"/>
      </c>
      <c r="BG210" s="308">
        <f t="shared" si="519"/>
      </c>
      <c r="BH210" s="30">
        <f t="shared" si="519"/>
      </c>
      <c r="BI210" s="30">
        <f t="shared" si="519"/>
      </c>
      <c r="BJ210" s="30">
        <f t="shared" si="519"/>
      </c>
      <c r="BK210" s="30">
        <f t="shared" si="519"/>
      </c>
      <c r="BL210" s="308">
        <f t="shared" si="519"/>
      </c>
      <c r="BM210" s="30">
        <f t="shared" si="519"/>
      </c>
      <c r="BN210" s="30">
        <f t="shared" si="519"/>
      </c>
      <c r="BO210" s="30">
        <f t="shared" si="519"/>
      </c>
      <c r="BP210" s="30">
        <f t="shared" si="519"/>
      </c>
      <c r="BQ210" s="308">
        <f t="shared" si="519"/>
      </c>
      <c r="BR210" s="30">
        <f t="shared" si="519"/>
      </c>
      <c r="BS210" s="30">
        <f t="shared" si="519"/>
      </c>
      <c r="BT210" s="30">
        <f t="shared" si="519"/>
      </c>
      <c r="BU210" s="30">
        <f t="shared" si="519"/>
      </c>
      <c r="BV210" s="308">
        <f t="shared" si="519"/>
      </c>
      <c r="BW210" s="30">
        <f>+BW203/BR203-1</f>
      </c>
      <c r="BX210" s="30">
        <f>+BX203/BS203-1</f>
      </c>
      <c r="BY210" s="30">
        <f>+BY203/BT203-1</f>
      </c>
      <c r="BZ210" s="30">
        <f>IF(ISNUMBER(BZ209),(1+BZ209)*(1+BZ$21)-1,"NM")</f>
      </c>
      <c r="CA210" s="308">
        <f>IF(BV203="NM","NM",IF(CA203="NM","NM",IF(BV203&lt;=0,"NM",IF(CA203=0,"NM",IF(ABS(CA203/BV203-1)&gt;2.5,"NM",IF((ABS(CA203-BV203)=ABS(ABS(CA203)-ABS(BV203))),(CA203/BV203-1),"NM"))))))</f>
      </c>
      <c r="CB210" s="30">
        <f>+CB203/BW203-1</f>
      </c>
      <c r="CC210" s="30">
        <f>+CC203/BX203-1</f>
      </c>
      <c r="CD210" s="30">
        <f>+CD203/BY203-1</f>
      </c>
      <c r="CE210" s="30">
        <f>IF(ISNUMBER(CE209),(1+CE209)*(1+CE$21)-1,"NM")</f>
      </c>
      <c r="CF210" s="308">
        <f>IF(CA203="NM","NM",IF(CF203="NM","NM",IF(CA203&lt;=0,"NM",IF(CF203=0,"NM",IF(ABS(CF203/CA203-1)&gt;2.5,"NM",IF((ABS(CF203-CA203)=ABS(ABS(CF203)-ABS(CA203))),(CF203/CA203-1),"NM"))))))</f>
      </c>
      <c r="CG210" s="30">
        <f>+CG203/CB203-1</f>
      </c>
      <c r="CH210" s="30">
        <f>+CH203/CC203-1</f>
      </c>
      <c r="CI210" s="30">
        <f>+CI203/CD203-1</f>
      </c>
      <c r="CJ210" s="30">
        <f>+CJ203/CE203-1</f>
      </c>
      <c r="CK210" s="308">
        <f>IF(CF203=0, "NA", CK203/CF203-1)</f>
      </c>
      <c r="CL210" s="30">
        <f>+CL203/CG203-1</f>
      </c>
      <c r="CM210" s="30">
        <f>+CM203/CH203-1</f>
      </c>
      <c r="CN210" s="30">
        <f>+CN203/CI203-1</f>
      </c>
      <c r="CO210" s="30">
        <f>+CO203/CJ203-1</f>
      </c>
      <c r="CP210" s="308">
        <f>IF(CK203=0, "NA", CP203/CK203-1)</f>
      </c>
      <c r="CQ210" s="30">
        <f>+CQ203/CL203-1</f>
      </c>
      <c r="CR210" s="926">
        <f>+CR203/CM203-1</f>
      </c>
      <c r="CS210" s="926">
        <f>+CS203/CN203-1</f>
      </c>
      <c r="CT210" s="926">
        <f>+CT203/CO203-1</f>
      </c>
      <c r="CU210" s="308">
        <f>IF(CP203=0, "NA", CU203/CP203-1)</f>
      </c>
      <c r="CV210" s="30">
        <f>+CV203/CQ203-1</f>
      </c>
      <c r="CW210" s="30">
        <f>+CW203/CR203-1</f>
      </c>
      <c r="CX210" s="30">
        <f>+CX203/CS203-1</f>
      </c>
      <c r="CY210" s="926">
        <f>+CY203/CT203-1</f>
      </c>
      <c r="CZ210" s="308">
        <f>IF(CU203=0, "NA", CZ203/CU203-1)</f>
      </c>
      <c r="DA210" s="30">
        <f>+DA203/CV203-1</f>
      </c>
      <c r="DB210" s="30">
        <f>+DB203/CW203-1</f>
      </c>
      <c r="DC210" s="30">
        <f>+DC203/CX203-1</f>
      </c>
      <c r="DD210" s="926">
        <f>+DD203/CY203-1</f>
      </c>
      <c r="DE210" s="3325">
        <f>IF(CZ203=0, "NA", DE203/CZ203-1)</f>
      </c>
      <c r="DF210" s="3326">
        <f>+DF203/DA203-1</f>
      </c>
      <c r="DG210" s="3326">
        <f>+DG203/DB203-1</f>
      </c>
      <c r="DH210" s="3326">
        <f>+DH203/DC203-1</f>
      </c>
      <c r="DI210" s="3327">
        <f>+DI203/DD203-1</f>
      </c>
      <c r="DJ210" s="3325">
        <f>IF(DE203=0, "NA", DJ203/DE203-1)</f>
      </c>
      <c r="DK210" s="3326">
        <f>+DK203/DF203-1</f>
      </c>
      <c r="DL210" s="3326">
        <f>+DL203/DG203-1</f>
      </c>
      <c r="DM210" s="3326">
        <f>+DM203/DH203-1</f>
      </c>
      <c r="DN210" s="3328">
        <f>IF(DI203=0, "NA", DN203/DI203-1)</f>
      </c>
      <c r="DO210" s="3325">
        <f>IF(DJ203=0, "NA", DO203/DJ203-1)</f>
      </c>
      <c r="DP210" s="3326">
        <f>+DP203/DK203-1</f>
      </c>
      <c r="DQ210" s="3326">
        <f>+DQ203/DL203-1</f>
      </c>
      <c r="DR210" s="3326">
        <f>+DR203/DM203-1</f>
      </c>
      <c r="DS210" s="3326">
        <f>+DS203/DN203-1</f>
      </c>
      <c r="DT210" s="3325">
        <f>IF(DO203=0, "NA", DT203/DO203-1)</f>
      </c>
      <c r="DU210" s="3326">
        <f>+DU203/DP203-1</f>
      </c>
      <c r="DV210" s="3326">
        <f>+DV203/DQ203-1</f>
      </c>
      <c r="DW210" s="3326">
        <f>+DW203/DR203-1</f>
      </c>
      <c r="DX210" s="3326">
        <f>+DX203/DS203-1</f>
      </c>
      <c r="DY210" s="3325">
        <f>IF(DT203=0, "NA", DY203/DT203-1)</f>
      </c>
      <c r="DZ210" s="3327">
        <f>DZ209+DZ$21</f>
      </c>
      <c r="EA210" s="3327">
        <f>EA209+EA$21</f>
      </c>
      <c r="EB210" s="3327">
        <f>EB209+EB$21</f>
      </c>
      <c r="EC210" s="3333">
        <f>IF(DX203=0, "NA", EC203/DX203-1)</f>
      </c>
      <c r="ED210" s="3325">
        <f>IF(DY203=0, "NA", ED203/DY203-1)</f>
      </c>
      <c r="EE210" s="3327">
        <f>EE209+EE$21</f>
      </c>
      <c r="EF210" s="3327">
        <f>EF209+EF$21</f>
      </c>
      <c r="EG210" s="3327">
        <f>EG209+EG$21</f>
      </c>
      <c r="EH210" s="3333">
        <f>IF(EC203=0, "NA", EH203/EC203-1)</f>
      </c>
      <c r="EI210" s="3325">
        <f t="shared" ref="EI210:EN210" si="520">EI209+EI$21</f>
      </c>
      <c r="EJ210" s="3325">
        <f t="shared" si="520"/>
      </c>
      <c r="EK210" s="3325">
        <f t="shared" si="520"/>
      </c>
      <c r="EL210" s="3325">
        <f t="shared" si="520"/>
      </c>
      <c r="EM210" s="3325">
        <f t="shared" si="520"/>
      </c>
      <c r="EN210" s="3325">
        <f t="shared" si="520"/>
      </c>
      <c r="EO210" s="3325">
        <f t="shared" ref="EO210:EW210" si="521">EO209+EO$21</f>
      </c>
      <c r="EP210" s="3325">
        <f t="shared" si="521"/>
      </c>
      <c r="EQ210" s="3325">
        <f t="shared" si="521"/>
      </c>
      <c r="ER210" s="3325">
        <f t="shared" ref="ER210:ES210" si="522">ER209+ER$21</f>
      </c>
      <c r="ES210" s="3325">
        <f t="shared" si="522"/>
      </c>
      <c r="ET210" s="3325">
        <f t="shared" si="521"/>
      </c>
      <c r="EU210" s="3325">
        <f t="shared" si="521"/>
      </c>
      <c r="EV210" s="3325">
        <f t="shared" si="521"/>
      </c>
      <c r="EW210" s="3325">
        <f t="shared" si="521"/>
      </c>
      <c r="EX210" s="3325"/>
    </row>
    <row r="211" spans="1:154" ht="12.75" customHeight="1">
      <c r="B211" s="912" t="s">
        <v>412</v>
      </c>
      <c r="C211" s="1989"/>
      <c r="D211" s="28"/>
      <c r="E211" s="28"/>
      <c r="F211" s="28"/>
      <c r="G211" s="28"/>
      <c r="H211" s="28"/>
      <c r="I211" s="29">
        <v>4</v>
      </c>
      <c r="J211" s="30" t="str">
        <f t="shared" ref="J211:AO211" si="523">IF(E203="NM","NM",IF(J203="NM","NM",IF(E203&lt;=0,"NM",IF(J203=0,"NM",IF(ABS(J203/E203-1)&gt;2.5,"NM",IF((ABS(J203-E203)=ABS(ABS(J203)-ABS(E203))),(J203/E203-1),"NM"))))))</f>
      </c>
      <c r="K211" s="30" t="str">
        <f t="shared" si="523"/>
      </c>
      <c r="L211" s="30">
        <f t="shared" si="523"/>
      </c>
      <c r="M211" s="30">
        <f t="shared" si="523"/>
      </c>
      <c r="N211" s="30">
        <f t="shared" si="523"/>
      </c>
      <c r="O211" s="30" t="str">
        <f t="shared" si="523"/>
      </c>
      <c r="P211" s="30">
        <f t="shared" si="523"/>
      </c>
      <c r="Q211" s="30">
        <f t="shared" si="523"/>
      </c>
      <c r="R211" s="30">
        <f t="shared" si="523"/>
      </c>
      <c r="S211" s="30">
        <f t="shared" si="523"/>
      </c>
      <c r="T211" s="30">
        <f t="shared" si="523"/>
      </c>
      <c r="U211" s="30" t="str">
        <f t="shared" si="523"/>
      </c>
      <c r="V211" s="30" t="str">
        <f t="shared" si="523"/>
      </c>
      <c r="W211" s="30" t="str">
        <f t="shared" si="523"/>
      </c>
      <c r="X211" s="308" t="str">
        <f t="shared" si="523"/>
      </c>
      <c r="Y211" s="30" t="str">
        <f t="shared" si="523"/>
      </c>
      <c r="Z211" s="30">
        <f t="shared" si="523"/>
      </c>
      <c r="AA211" s="30">
        <f t="shared" si="523"/>
      </c>
      <c r="AB211" s="30">
        <f t="shared" si="523"/>
      </c>
      <c r="AC211" s="308">
        <f t="shared" si="523"/>
      </c>
      <c r="AD211" s="30">
        <f t="shared" si="523"/>
      </c>
      <c r="AE211" s="30">
        <f t="shared" si="523"/>
      </c>
      <c r="AF211" s="30">
        <f t="shared" si="523"/>
      </c>
      <c r="AG211" s="30">
        <f t="shared" si="523"/>
      </c>
      <c r="AH211" s="308">
        <f t="shared" si="523"/>
      </c>
      <c r="AI211" s="30">
        <f t="shared" si="523"/>
      </c>
      <c r="AJ211" s="30">
        <f t="shared" si="523"/>
      </c>
      <c r="AK211" s="30">
        <f t="shared" si="523"/>
      </c>
      <c r="AL211" s="30">
        <f t="shared" si="523"/>
      </c>
      <c r="AM211" s="308">
        <f t="shared" si="523"/>
      </c>
      <c r="AN211" s="30">
        <f t="shared" si="523"/>
      </c>
      <c r="AO211" s="30">
        <f t="shared" si="523"/>
      </c>
      <c r="AP211" s="30">
        <f t="shared" ref="AP211:BQ211" si="524">IF(AK203="NM","NM",IF(AP203="NM","NM",IF(AK203&lt;=0,"NM",IF(AP203=0,"NM",IF(ABS(AP203/AK203-1)&gt;2.5,"NM",IF((ABS(AP203-AK203)=ABS(ABS(AP203)-ABS(AK203))),(AP203/AK203-1),"NM"))))))</f>
      </c>
      <c r="AQ211" s="30">
        <f t="shared" si="524"/>
      </c>
      <c r="AR211" s="308">
        <f t="shared" si="524"/>
      </c>
      <c r="AS211" s="30">
        <f t="shared" si="524"/>
      </c>
      <c r="AT211" s="30">
        <f t="shared" si="524"/>
      </c>
      <c r="AU211" s="30">
        <f t="shared" si="524"/>
      </c>
      <c r="AV211" s="30">
        <f t="shared" si="524"/>
      </c>
      <c r="AW211" s="308">
        <f t="shared" si="524"/>
      </c>
      <c r="AX211" s="30">
        <f t="shared" si="524"/>
      </c>
      <c r="AY211" s="30">
        <f t="shared" si="524"/>
      </c>
      <c r="AZ211" s="30">
        <f t="shared" si="524"/>
      </c>
      <c r="BA211" s="30">
        <f t="shared" si="524"/>
      </c>
      <c r="BB211" s="308">
        <f t="shared" si="524"/>
      </c>
      <c r="BC211" s="30">
        <f t="shared" si="524"/>
      </c>
      <c r="BD211" s="30">
        <f t="shared" si="524"/>
      </c>
      <c r="BE211" s="30">
        <f t="shared" si="524"/>
      </c>
      <c r="BF211" s="30">
        <f t="shared" si="524"/>
      </c>
      <c r="BG211" s="308">
        <f t="shared" si="524"/>
      </c>
      <c r="BH211" s="30">
        <f t="shared" si="524"/>
      </c>
      <c r="BI211" s="30">
        <f t="shared" si="524"/>
      </c>
      <c r="BJ211" s="30">
        <f t="shared" si="524"/>
      </c>
      <c r="BK211" s="30">
        <f t="shared" si="524"/>
      </c>
      <c r="BL211" s="308">
        <f t="shared" si="524"/>
      </c>
      <c r="BM211" s="30">
        <f t="shared" si="524"/>
      </c>
      <c r="BN211" s="30">
        <f t="shared" si="524"/>
      </c>
      <c r="BO211" s="30">
        <f t="shared" si="524"/>
      </c>
      <c r="BP211" s="30">
        <f t="shared" si="524"/>
      </c>
      <c r="BQ211" s="308">
        <f t="shared" si="524"/>
      </c>
      <c r="BR211" s="30" t="str">
        <f>IF(BM204="NM","NM",IF(BR204="NM","NM",IF(BM204&lt;=0,"NM",IF(BR204=0,"NM",IF(ABS(BR204/BM204-1)&gt;2.5,"NM",IF((ABS(BR204-BM204)=ABS(ABS(BR204)-ABS(BM204))),(BR204/BM204-1),"NM"))))))</f>
      </c>
      <c r="BS211" s="30" t="str">
        <f>IF(BN204="NM","NM",IF(BS204="NM","NM",IF(BN204&lt;=0,"NM",IF(BS204=0,"NM",IF(ABS(BS204/BN204-1)&gt;2.5,"NM",IF((ABS(BS204-BN204)=ABS(ABS(BS204)-ABS(BN204))),(BS204/BN204-1),"NM"))))))</f>
      </c>
      <c r="BT211" s="30">
        <f>IF(BO204="NM","NM",IF(BT204="NM","NM",IF(BO204&lt;=0,"NM",IF(BT204=0,"NM",IF(ABS(BT204/BO204-1)&gt;2.5,"NM",IF((ABS(BT204-BO204)=ABS(ABS(BT204)-ABS(BO204))),(BT204/BO204-1),"NM"))))))</f>
      </c>
      <c r="BU211" s="30">
        <f>IF(BP204="NM","NM",IF(BU204="NM","NM",IF(BP204&lt;=0,"NM",IF(BU204=0,"NM",IF(ABS(BU204/BP204-1)&gt;2.5,"NM",IF((ABS(BU204-BP204)=ABS(ABS(BU204)-ABS(BP204))),(BU204/BP204-1),"NM"))))))</f>
      </c>
      <c r="BV211" s="308">
        <f>IF(BQ204="NM","NM",IF(BV204="NM","NM",IF(BQ204&lt;=0,"NM",IF(BV204=0,"NM",IF(ABS(BV204/BQ204-1)&gt;2.5,"NM",IF((ABS(BV204-BQ204)=ABS(ABS(BV204)-ABS(BQ204))),(BV204/BQ204-1),"NM"))))))</f>
      </c>
      <c r="BW211" s="30">
        <f t="shared" ref="BW211:CI211" si="525">IF(BR204="NM","NM",IF(BW204="NM","NM",IF(BR204&lt;=0,"NM",IF(BW204=0,"NM",IF(ABS(BW204/BR204-1)&gt;2.5,"NM",IF((ABS(BW204-BR204)=ABS(ABS(BW204)-ABS(BR204))),(BW204/BR204-1),"NM"))))))</f>
      </c>
      <c r="BX211" s="30">
        <f t="shared" si="525"/>
      </c>
      <c r="BY211" s="30">
        <f t="shared" si="525"/>
      </c>
      <c r="BZ211" s="30">
        <f t="shared" si="525"/>
      </c>
      <c r="CA211" s="308">
        <f>IF(BV204="NM","NM",IF(CA204="NM","NM",IF(BV204&lt;=0,"NM",IF(CA204=0,"NM",IF(ABS(CA204/BV204-1)&gt;2.5,"NM",IF((ABS(CA204-BV204)=ABS(ABS(CA204)-ABS(BV204))),(CA204/BV204-1),"NM"))))))</f>
      </c>
      <c r="CB211" s="30">
        <f t="shared" si="525"/>
      </c>
      <c r="CC211" s="30">
        <f t="shared" si="525"/>
      </c>
      <c r="CD211" s="30">
        <f t="shared" si="525"/>
      </c>
      <c r="CE211" s="30">
        <f t="shared" si="525"/>
      </c>
      <c r="CF211" s="308">
        <f>IF(CA204="NM","NM",IF(CF204="NM","NM",IF(CA204&lt;=0,"NM",IF(CF204=0,"NM",IF(ABS(CF204/CA204-1)&gt;2.5,"NM",IF((ABS(CF204-CA204)=ABS(ABS(CF204)-ABS(CA204))),(CF204/CA204-1),"NM"))))))</f>
      </c>
      <c r="CG211" s="30">
        <f t="shared" si="525"/>
      </c>
      <c r="CH211" s="30">
        <f t="shared" si="525"/>
      </c>
      <c r="CI211" s="30">
        <f t="shared" si="525"/>
      </c>
      <c r="CJ211" s="30">
        <f>IF(CE204="NM","NM",IF(CJ204="NM","NM",IF(CE204&lt;=0,"NM",IF(CJ204=0,"NM",IF(ABS(CJ204/CE204-1)&gt;2.5,"NM",IF((ABS(CJ204-CE204)=ABS(ABS(CJ204)-ABS(CE204))),(CJ204/CE204-1),"NM"))))))</f>
      </c>
      <c r="CK211" s="308">
        <f>IF(CK204&lt;=0,0,(CK204/CF204-1))</f>
      </c>
      <c r="CL211" s="30">
        <f>IF(CG204="NM","NM",IF(CL204="NM","NM",IF(CG204&lt;=0,"NM",IF(CL204=0,"NM",IF(ABS(CL204/CG204-1)&gt;2.5,"NM",IF((ABS(CL204-CG204)=ABS(ABS(CL204)-ABS(CG204))),(CL204/CG204-1),"NM"))))))</f>
      </c>
      <c r="CM211" s="30">
        <f>IF(CH204="NM","NM",IF(CM204="NM","NM",IF(CH204&lt;=0,"NM",IF(CM204=0,"NM",IF(ABS(CM204/CH204-1)&gt;2.5,"NM",IF((ABS(CM204-CH204)=ABS(ABS(CM204)-ABS(CH204))),(CM204/CH204-1),"NM"))))))</f>
      </c>
      <c r="CN211" s="30">
        <f>IF(CI204="NM","NM",IF(CN204="NM","NM",IF(CI204&lt;=0,"NM",IF(CN204=0,"NM",IF(ABS(CN204/CI204-1)&gt;2.5,"NM",IF((ABS(CN204-CI204)=ABS(ABS(CN204)-ABS(CI204))),(CN204/CI204-1),"NM"))))))</f>
      </c>
      <c r="CO211" s="30">
        <f>IF(CJ204="NM","NM",IF(CO204="NM","NM",IF(CJ204&lt;=0,"NM",IF(CO204=0,"NM",IF(ABS(CO204/CJ204-1)&gt;2.5,"NM",IF((ABS(CO204-CJ204)=ABS(ABS(CO204)-ABS(CJ204))),(CO204/CJ204-1),"NM"))))))</f>
      </c>
      <c r="CP211" s="308">
        <f>IF(CP204&lt;=0,0,(CP204/CK204-1))</f>
      </c>
      <c r="CQ211" s="30">
        <f>IF(CL204="NM","NM",IF(CQ204="NM","NM",IF(CL204&lt;=0,"NM",IF(CQ204=0,"NM",IF(ABS(CQ204/CL204-1)&gt;2.5,"NM",IF((ABS(CQ204-CL204)=ABS(ABS(CQ204)-ABS(CL204))),(CQ204/CL204-1),"NM"))))))</f>
      </c>
      <c r="CR211" s="926">
        <f>IF(CM204="NM","NM",IF(CR204="NM","NM",IF(CM204&lt;=0,"NM",IF(CR204=0,"NM",IF(ABS(CR204/CM204-1)&gt;2.5,"NM",IF((ABS(CR204-CM204)=ABS(ABS(CR204)-ABS(CM204))),(CR204/CM204-1),"NM"))))))</f>
      </c>
      <c r="CS211" s="926">
        <f>IF(CN204="NM","NM",IF(CS204="NM","NM",IF(CN204&lt;=0,"NM",IF(CS204=0,"NM",IF(ABS(CS204/CN204-1)&gt;2.5,"NM",IF((ABS(CS204-CN204)=ABS(ABS(CS204)-ABS(CN204))),(CS204/CN204-1),"NM"))))))</f>
      </c>
      <c r="CT211" s="926">
        <f>IF(CO204="NM","NM",IF(CT204="NM","NM",IF(CO204&lt;=0,"NM",IF(CT204=0,"NM",IF(ABS(CT204/CO204-1)&gt;2.5,"NM",IF((ABS(CT204-CO204)=ABS(ABS(CT204)-ABS(CO204))),(CT204/CO204-1),"NM"))))))</f>
      </c>
      <c r="CU211" s="308">
        <f>IF(CU204&lt;=0,0,(CU204/CP204-1))</f>
      </c>
      <c r="CV211" s="30">
        <f>IF(CQ204="NM","NM",IF(CV204="NM","NM",IF(CQ204&lt;=0,"NM",IF(CV204=0,"NM",IF(ABS(CV204/CQ204-1)&gt;2.5,"NM",IF((ABS(CV204-CQ204)=ABS(ABS(CV204)-ABS(CQ204))),(CV204/CQ204-1),"NM"))))))</f>
      </c>
      <c r="CW211" s="30">
        <f>IF(CR204="NM","NM",IF(CW204="NM","NM",IF(CR204&lt;=0,"NM",IF(CW204=0,"NM",IF(ABS(CW204/CR204-1)&gt;2.5,"NM",IF((ABS(CW204-CR204)=ABS(ABS(CW204)-ABS(CR204))),(CW204/CR204-1),"NM"))))))</f>
      </c>
      <c r="CX211" s="30">
        <f>IF(CS204="NM","NM",IF(CX204="NM","NM",IF(CS204&lt;=0,"NM",IF(CX204=0,"NM",IF(ABS(CX204/CS204-1)&gt;2.5,"NM",IF((ABS(CX204-CS204)=ABS(ABS(CX204)-ABS(CS204))),(CX204/CS204-1),"NM"))))))</f>
      </c>
      <c r="CY211" s="926">
        <f>IF(CT204="NM","NM",IF(CY204="NM","NM",IF(CT204&lt;=0,"NM",IF(CY204=0,"NM",IF(ABS(CY204/CT204-1)&gt;2.5,"NM",IF((ABS(CY204-CT204)=ABS(ABS(CY204)-ABS(CT204))),(CY204/CT204-1),"NM"))))))</f>
      </c>
      <c r="CZ211" s="308">
        <f>IF(CZ204&lt;=0,0,(CZ204/CU204-1))</f>
      </c>
      <c r="DA211" s="30">
        <f>IF(CV204="NM","NM",IF(DA204="NM","NM",IF(CV204&lt;=0,"NM",IF(DA204=0,"NM",IF(ABS(DA204/CV204-1)&gt;2.5,"NM",IF((ABS(DA204-CV204)=ABS(ABS(DA204)-ABS(CV204))),(DA204/CV204-1),"NM"))))))</f>
      </c>
      <c r="DB211" s="30">
        <f>IF(CW204="NM","NM",IF(DB204="NM","NM",IF(CW204&lt;=0,"NM",IF(DB204=0,"NM",IF(ABS(DB204/CW204-1)&gt;2.5,"NM",IF((ABS(DB204-CW204)=ABS(ABS(DB204)-ABS(CW204))),(DB204/CW204-1),"NM"))))))</f>
      </c>
      <c r="DC211" s="30">
        <f>IF(CX204="NM","NM",IF(DC204="NM","NM",IF(CX204&lt;=0,"NM",IF(DC204=0,"NM",IF(ABS(DC204/CX204-1)&gt;2.5,"NM",IF((ABS(DC204-CX204)=ABS(ABS(DC204)-ABS(CX204))),(DC204/CX204-1),"NM"))))))</f>
      </c>
      <c r="DD211" s="926">
        <f>IF(CY204="NM","NM",IF(DD204="NM","NM",IF(CY204&lt;=0,"NM",IF(DD204=0,"NM",IF(ABS(DD204/CY204-1)&gt;2.5,"NM",IF((ABS(DD204-CY204)=ABS(ABS(DD204)-ABS(CY204))),(DD204/CY204-1),"NM"))))))</f>
      </c>
      <c r="DE211" s="3325">
        <f>IF(DE204&lt;=0,0,(DE204/CZ204-1))</f>
      </c>
      <c r="DF211" s="3326">
        <f>IF(DA204="NM","NM",IF(DF204="NM","NM",IF(DA204&lt;=0,"NM",IF(DF204=0,"NM",IF(ABS(DF204/DA204-1)&gt;2.5,"NM",IF((ABS(DF204-DA204)=ABS(ABS(DF204)-ABS(DA204))),(DF204/DA204-1),"NM"))))))</f>
      </c>
      <c r="DG211" s="3326">
        <f>IF(DB204="NM","NM",IF(DG204="NM","NM",IF(DB204&lt;=0,"NM",IF(DG204=0,"NM",IF(ABS(DG204/DB204-1)&gt;2.5,"NM",IF((ABS(DG204-DB204)=ABS(ABS(DG204)-ABS(DB204))),(DG204/DB204-1),"NM"))))))</f>
      </c>
      <c r="DH211" s="3326">
        <f>IF(DC204="NM","NM",IF(DH204="NM","NM",IF(DC204&lt;=0,"NM",IF(DH204=0,"NM",IF(ABS(DH204/DC204-1)&gt;2.5,"NM",IF((ABS(DH204-DC204)=ABS(ABS(DH204)-ABS(DC204))),(DH204/DC204-1),"NM"))))))</f>
      </c>
      <c r="DI211" s="3327">
        <f>IF(DD204="NM","NM",IF(DI204="NM","NM",IF(DD204&lt;=0,"NM",IF(DI204=0,"NM",IF(ABS(DI204/DD204-1)&gt;2.5,"NM",IF((ABS(DI204-DD204)=ABS(ABS(DI204)-ABS(DD204))),(DI204/DD204-1),"NM"))))))</f>
      </c>
      <c r="DJ211" s="3325">
        <f>IF(DJ204&lt;=0,0,(DJ204/DE204-1))</f>
      </c>
      <c r="DK211" s="3326">
        <f>IF(DF204="NM","NM",IF(DK204="NM","NM",IF(DF204&lt;=0,"NM",IF(DK204=0,"NM",IF(ABS(DK204/DF204-1)&gt;2.5,"NM",IF((ABS(DK204-DF204)=ABS(ABS(DK204)-ABS(DF204))),(DK204/DF204-1),"NM"))))))</f>
      </c>
      <c r="DL211" s="3326">
        <f>IF(DG204="NM","NM",IF(DL204="NM","NM",IF(DG204&lt;=0,"NM",IF(DL204=0,"NM",IF(ABS(DL204/DG204-1)&gt;2.5,"NM",IF((ABS(DL204-DG204)=ABS(ABS(DL204)-ABS(DG204))),(DL204/DG204-1),"NM"))))))</f>
      </c>
      <c r="DM211" s="3326">
        <f>IF(DH204="NM","NM",IF(DM204="NM","NM",IF(DH204&lt;=0,"NM",IF(DM204=0,"NM",IF(ABS(DM204/DH204-1)&gt;2.5,"NM",IF((ABS(DM204-DH204)=ABS(ABS(DM204)-ABS(DH204))),(DM204/DH204-1),"NM"))))))</f>
      </c>
      <c r="DN211" s="3328">
        <f>IF(DN204&lt;=0,0,(DN204/DI204-1))</f>
      </c>
      <c r="DO211" s="3325">
        <f>IF(DO204&lt;=0,0,(DO204/DJ204-1))</f>
      </c>
      <c r="DP211" s="3326">
        <f>IF(DK204="NM","NM",IF(DP204="NM","NM",IF(DK204&lt;=0,"NM",IF(DP204=0,"NM",IF(ABS(DP204/DK204-1)&gt;2.5,"NM",IF((ABS(DP204-DK204)=ABS(ABS(DP204)-ABS(DK204))),(DP204/DK204-1),"NM"))))))</f>
      </c>
      <c r="DQ211" s="3326">
        <f>IF(DL204="NM","NM",IF(DQ204="NM","NM",IF(DL204&lt;=0,"NM",IF(DQ204=0,"NM",IF(ABS(DQ204/DL204-1)&gt;2.5,"NM",IF((ABS(DQ204-DL204)=ABS(ABS(DQ204)-ABS(DL204))),(DQ204/DL204-1),"NM"))))))</f>
      </c>
      <c r="DR211" s="3326">
        <f>IF(DM204="NM","NM",IF(DR204="NM","NM",IF(DM204&lt;=0,"NM",IF(DR204=0,"NM",IF(ABS(DR204/DM204-1)&gt;2.5,"NM",IF((ABS(DR204-DM204)=ABS(ABS(DR204)-ABS(DM204))),(DR204/DM204-1),"NM"))))))</f>
      </c>
      <c r="DS211" s="3326">
        <f>IF(DN204="NM","NM",IF(DS204="NM","NM",IF(DN204&lt;=0,"NM",IF(DS204=0,"NM",IF(ABS(DS204/DN204-1)&gt;2.5,"NM",IF((ABS(DS204-DN204)=ABS(ABS(DS204)-ABS(DN204))),(DS204/DN204-1),"NM"))))))</f>
      </c>
      <c r="DT211" s="3325">
        <f>IF(DT204&lt;=0,0,(DT204/DO204-1))</f>
      </c>
      <c r="DU211" s="3326">
        <f>IF(DP204="NM","NM",IF(DU204="NM","NM",IF(DP204&lt;=0,"NM",IF(DU204=0,"NM",IF(ABS(DU204/DP204-1)&gt;2.5,"NM",IF((ABS(DU204-DP204)=ABS(ABS(DU204)-ABS(DP204))),(DU204/DP204-1),"NM"))))))</f>
      </c>
      <c r="DV211" s="3326">
        <f>IF(DQ204="NM","NM",IF(DV204="NM","NM",IF(DQ204&lt;=0,"NM",IF(DV204=0,"NM",IF(ABS(DV204/DQ204-1)&gt;2.5,"NM",IF((ABS(DV204-DQ204)=ABS(ABS(DV204)-ABS(DQ204))),(DV204/DQ204-1),"NM"))))))</f>
      </c>
      <c r="DW211" s="3326">
        <f>IF(DR204="NM","NM",IF(DW204="NM","NM",IF(DR204&lt;=0,"NM",IF(DW204=0,"NM",IF(ABS(DW204/DR204-1)&gt;2.5,"NM",IF((ABS(DW204-DR204)=ABS(ABS(DW204)-ABS(DR204))),(DW204/DR204-1),"NM"))))))</f>
      </c>
      <c r="DX211" s="3326">
        <f>IF(DS204="NM","NM",IF(DX204="NM","NM",IF(DS204&lt;=0,"NM",IF(DX204=0,"NM",IF(ABS(DX204/DS204-1)&gt;2.5,"NM",IF((ABS(DX204-DS204)=ABS(ABS(DX204)-ABS(DS204))),(DX204/DS204-1),"NM"))))))</f>
      </c>
      <c r="DY211" s="3325">
        <f>IF(DY204&lt;=0,0,(DY204/DT204-1))</f>
      </c>
      <c r="DZ211" s="3327">
        <f>IF(DU204="NM","NM",IF(DZ204="NM","NM",IF(DU204&lt;=0,"NM",IF(DZ204=0,"NM",IF(ABS(DZ204/DU204-1)&gt;2.5,"NM",IF((ABS(DZ204-DU204)=ABS(ABS(DZ204)-ABS(DU204))),(DZ204/DU204-1),"NM"))))))</f>
      </c>
      <c r="EA211" s="3327">
        <f>IF(DV204="NM","NM",IF(EA204="NM","NM",IF(DV204&lt;=0,"NM",IF(EA204=0,"NM",IF(ABS(EA204/DV204-1)&gt;2.5,"NM",IF((ABS(EA204-DV204)=ABS(ABS(EA204)-ABS(DV204))),(EA204/DV204-1),"NM"))))))</f>
      </c>
      <c r="EB211" s="3327">
        <f>IF(DW204="NM","NM",IF(EB204="NM","NM",IF(DW204&lt;=0,"NM",IF(EB204=0,"NM",IF(ABS(EB204/DW204-1)&gt;2.5,"NM",IF((ABS(EB204-DW204)=ABS(ABS(EB204)-ABS(DW204))),(EB204/DW204-1),"NM"))))))</f>
      </c>
      <c r="EC211" s="3333">
        <f>IF(EC204&lt;=0,0,(EC204/DX204-1))</f>
      </c>
      <c r="ED211" s="3325">
        <f>IF(ED204&lt;=0,0,(ED204/DY204-1))</f>
      </c>
      <c r="EE211" s="3327">
        <f>IF(DZ204="NM","NM",IF(EE204="NM","NM",IF(DZ204&lt;=0,"NM",IF(EE204=0,"NM",IF(ABS(EE204/DZ204-1)&gt;2.5,"NM",IF((ABS(EE204-DZ204)=ABS(ABS(EE204)-ABS(DZ204))),(EE204/DZ204-1),"NM"))))))</f>
      </c>
      <c r="EF211" s="3327">
        <f>IF(EA204="NM","NM",IF(EF204="NM","NM",IF(EA204&lt;=0,"NM",IF(EF204=0,"NM",IF(ABS(EF204/EA204-1)&gt;2.5,"NM",IF((ABS(EF204-EA204)=ABS(ABS(EF204)-ABS(EA204))),(EF204/EA204-1),"NM"))))))</f>
      </c>
      <c r="EG211" s="3327">
        <f>IF(EB204="NM","NM",IF(EG204="NM","NM",IF(EB204&lt;=0,"NM",IF(EG204=0,"NM",IF(ABS(EG204/EB204-1)&gt;2.5,"NM",IF((ABS(EG204-EB204)=ABS(ABS(EG204)-ABS(EB204))),(EG204/EB204-1),"NM"))))))</f>
      </c>
      <c r="EH211" s="3333">
        <f>IF(EH204&lt;=0,0,(EH204/EC204-1))</f>
      </c>
      <c r="EI211" s="3325">
        <f t="shared" ref="EI211:EW211" si="526">EI212+EI$21</f>
      </c>
      <c r="EJ211" s="3325">
        <f t="shared" si="526"/>
      </c>
      <c r="EK211" s="3325">
        <f t="shared" si="526"/>
      </c>
      <c r="EL211" s="3325">
        <f t="shared" si="526"/>
      </c>
      <c r="EM211" s="3325">
        <f t="shared" si="526"/>
      </c>
      <c r="EN211" s="3325">
        <f t="shared" si="526"/>
      </c>
      <c r="EO211" s="3325">
        <f t="shared" si="526"/>
      </c>
      <c r="EP211" s="3325">
        <f t="shared" si="526"/>
      </c>
      <c r="EQ211" s="3325">
        <f t="shared" si="526"/>
      </c>
      <c r="ER211" s="3325">
        <f t="shared" si="526"/>
      </c>
      <c r="ES211" s="3325">
        <f t="shared" si="526"/>
      </c>
      <c r="ET211" s="3325">
        <f t="shared" si="526"/>
      </c>
      <c r="EU211" s="3325">
        <f t="shared" si="526"/>
      </c>
      <c r="EV211" s="3325">
        <f t="shared" si="526"/>
      </c>
      <c r="EW211" s="3325">
        <f t="shared" si="526"/>
      </c>
      <c r="EX211" s="3325"/>
    </row>
    <row r="212" spans="1:154" ht="12.75" customHeight="1">
      <c r="B212" s="912" t="s">
        <v>256</v>
      </c>
      <c r="C212" s="1989"/>
      <c r="D212" s="28"/>
      <c r="E212" s="28"/>
      <c r="F212" s="28"/>
      <c r="G212" s="28"/>
      <c r="H212" s="28"/>
      <c r="I212" s="24"/>
      <c r="J212" s="1"/>
      <c r="K212" s="1"/>
      <c r="L212" s="1"/>
      <c r="M212" s="1"/>
      <c r="N212" s="24"/>
      <c r="O212" s="24"/>
      <c r="P212" s="24"/>
      <c r="Q212" s="24"/>
      <c r="R212" s="24"/>
      <c r="S212" s="1"/>
      <c r="T212" s="24"/>
      <c r="U212" s="24"/>
      <c r="V212" s="24"/>
      <c r="W212" s="24"/>
      <c r="X212" s="309"/>
      <c r="Y212" s="24"/>
      <c r="Z212" s="24"/>
      <c r="AA212" s="24"/>
      <c r="AB212" s="24"/>
      <c r="AC212" s="309"/>
      <c r="AD212" s="24"/>
      <c r="AE212" s="24"/>
      <c r="AF212" s="24"/>
      <c r="AG212" s="24"/>
      <c r="AH212" s="309"/>
      <c r="AI212" s="41">
        <f t="shared" ref="AI212:BM212" si="527">IF(ISNUMBER(AI211),(1+AI211)/(1+AI$21)-1,"NM")</f>
      </c>
      <c r="AJ212" s="41">
        <f t="shared" si="527"/>
      </c>
      <c r="AK212" s="41">
        <f t="shared" si="527"/>
      </c>
      <c r="AL212" s="41">
        <f t="shared" si="527"/>
      </c>
      <c r="AM212" s="309">
        <f t="shared" si="527"/>
      </c>
      <c r="AN212" s="41">
        <f t="shared" si="527"/>
      </c>
      <c r="AO212" s="41">
        <f t="shared" si="527"/>
      </c>
      <c r="AP212" s="41">
        <f t="shared" si="527"/>
      </c>
      <c r="AQ212" s="41">
        <f t="shared" si="527"/>
      </c>
      <c r="AR212" s="309">
        <f t="shared" si="527"/>
      </c>
      <c r="AS212" s="41">
        <f t="shared" si="527"/>
      </c>
      <c r="AT212" s="41">
        <f t="shared" si="527"/>
      </c>
      <c r="AU212" s="41">
        <f t="shared" si="527"/>
      </c>
      <c r="AV212" s="41">
        <f t="shared" si="527"/>
      </c>
      <c r="AW212" s="309">
        <f t="shared" si="527"/>
      </c>
      <c r="AX212" s="41">
        <f t="shared" si="527"/>
      </c>
      <c r="AY212" s="41">
        <f t="shared" si="527"/>
      </c>
      <c r="AZ212" s="41">
        <f t="shared" si="527"/>
      </c>
      <c r="BA212" s="41">
        <f t="shared" si="527"/>
      </c>
      <c r="BB212" s="309">
        <f t="shared" si="527"/>
      </c>
      <c r="BC212" s="41">
        <f t="shared" si="527"/>
      </c>
      <c r="BD212" s="41">
        <f t="shared" si="527"/>
      </c>
      <c r="BE212" s="41">
        <f t="shared" si="527"/>
      </c>
      <c r="BF212" s="41">
        <f t="shared" si="527"/>
      </c>
      <c r="BG212" s="309">
        <f t="shared" si="527"/>
      </c>
      <c r="BH212" s="41">
        <f t="shared" si="527"/>
      </c>
      <c r="BI212" s="41">
        <f t="shared" si="527"/>
      </c>
      <c r="BJ212" s="41">
        <f t="shared" si="527"/>
      </c>
      <c r="BK212" s="41">
        <f t="shared" si="527"/>
      </c>
      <c r="BL212" s="309">
        <f t="shared" si="527"/>
      </c>
      <c r="BM212" s="41">
        <f t="shared" si="527"/>
      </c>
      <c r="BN212" s="41">
        <v>0.54500000000000004</v>
      </c>
      <c r="BO212" s="41">
        <f>IF(ISNUMBER(BO211),(1+BO211)/(1+BO$21)-1,"NM")</f>
      </c>
      <c r="BP212" s="41">
        <f>IF(ISNUMBER(BP211),(1+BP211)/(1+BP$21)-1,"NM")</f>
      </c>
      <c r="BQ212" s="309">
        <f>IF(ISNUMBER(BQ211),(1+BQ211)/(1+BQ$21)-1,"NM")</f>
      </c>
      <c r="BR212" s="41" t="str">
        <f>IF(ISNUMBER(BR211),(1+BR211)/(1+BR$21)-1,"NM")</f>
      </c>
      <c r="BS212" s="41" t="str">
        <f>IF(ISNUMBER(BS211),(1+BS211)/(1+BS$21)-1,"NM")</f>
      </c>
      <c r="BT212" s="29">
        <v>0.53200000000000003</v>
      </c>
      <c r="BU212" s="649">
        <v>0.34399999999999997</v>
      </c>
      <c r="BV212" s="309">
        <f>IF(ISNUMBER(BV211),(1+BV211)/(1+BV$21)-1,"NM")</f>
      </c>
      <c r="BW212" s="650">
        <v>9.5000000000000001E-2</v>
      </c>
      <c r="BX212" s="650">
        <v>0.58199999999999996</v>
      </c>
      <c r="BY212" s="650">
        <v>0.46100000000000002</v>
      </c>
      <c r="BZ212" s="835">
        <v>0.307</v>
      </c>
      <c r="CA212" s="309">
        <f>IF(ISNUMBER(CA211),(1+CA211)/(1+CA$21)-1,"NM")</f>
      </c>
      <c r="CB212" s="361">
        <v>0.67300000000000004</v>
      </c>
      <c r="CC212" s="361">
        <v>6.3E-2</v>
      </c>
      <c r="CD212" s="650">
        <v>3.3000000000000002E-2</v>
      </c>
      <c r="CE212" s="361">
        <v>0.126</v>
      </c>
      <c r="CF212" s="1066">
        <f>IF(ISNUMBER(CF211),(1+CF211)/(1+CF$21)-1,"NM")</f>
      </c>
      <c r="CG212" s="650">
        <v>-6.0176442793767326E-2</v>
      </c>
      <c r="CH212" s="650">
        <v>-6.5316692983840463E-2</v>
      </c>
      <c r="CI212" s="650">
        <v>-0.02</v>
      </c>
      <c r="CJ212" s="650">
        <v>-0.04</v>
      </c>
      <c r="CK212" s="309">
        <f>CK211-CK$21</f>
      </c>
      <c r="CL212" s="1109">
        <v>1.7999999999999999E-2</v>
      </c>
      <c r="CM212" s="650">
        <v>0.111</v>
      </c>
      <c r="CN212" s="650">
        <v>-2.9000000000000001E-2</v>
      </c>
      <c r="CO212" s="650">
        <v>-0.11899999999999999</v>
      </c>
      <c r="CP212" s="309">
        <f>CP211-CP$21</f>
      </c>
      <c r="CQ212" s="650">
        <v>-4.8000000000000001E-2</v>
      </c>
      <c r="CR212" s="29">
        <v>-3.4000000000000002E-2</v>
      </c>
      <c r="CS212" s="29">
        <v>-0.10199999999999999</v>
      </c>
      <c r="CT212" s="29">
        <v>-0.22600000000000001</v>
      </c>
      <c r="CU212" s="309">
        <f>CU211-CU$21</f>
      </c>
      <c r="CV212" s="650">
        <v>-3.6999999999999998E-2</v>
      </c>
      <c r="CW212" s="650">
        <v>-0.14000000000000001</v>
      </c>
      <c r="CX212" s="650">
        <v>8.2000000000000003E-2</v>
      </c>
      <c r="CY212" s="29">
        <v>0.154</v>
      </c>
      <c r="CZ212" s="309">
        <f>CZ211-CZ$21</f>
      </c>
      <c r="DA212" s="650">
        <v>-0.17199999999999999</v>
      </c>
      <c r="DB212" s="361">
        <v>-0.13500000000000001</v>
      </c>
      <c r="DC212" s="361">
        <v>6.0999999999999999E-2</v>
      </c>
      <c r="DD212" s="1479">
        <v>-0.28899999999999998</v>
      </c>
      <c r="DE212" s="3334">
        <v>-0.13700000000000001</v>
      </c>
      <c r="DF212" s="3335">
        <v>-0.2</v>
      </c>
      <c r="DG212" s="3335">
        <v>-0.2</v>
      </c>
      <c r="DH212" s="3335">
        <v>-0.2</v>
      </c>
      <c r="DI212" s="3328">
        <f>DI211-DI$21</f>
      </c>
      <c r="DJ212" s="3336">
        <v>-0.15</v>
      </c>
      <c r="DK212" s="3337">
        <v>-0.15</v>
      </c>
      <c r="DL212" s="3338">
        <v>-0.15</v>
      </c>
      <c r="DM212" s="3339">
        <v>-0.15</v>
      </c>
      <c r="DN212" s="3328">
        <f>DN211-DN$21</f>
      </c>
      <c r="DO212" s="3334">
        <v>-7.0000000000000007E-2</v>
      </c>
      <c r="DP212" s="3340">
        <f>DP211-(-1.6%)</f>
      </c>
      <c r="DQ212" s="3341">
        <f>DQ211-(-5.2%)</f>
      </c>
      <c r="DR212" s="3341">
        <f>DR211-(-5%)</f>
      </c>
      <c r="DS212" s="3341">
        <f>DS211-(-4.6%)</f>
      </c>
      <c r="DT212" s="3325">
        <f>IF(DT205&lt;=0,0,(DT205/DO205-1))</f>
      </c>
      <c r="DU212" s="3340">
        <f>DU211-(-4.4%)</f>
      </c>
      <c r="DV212" s="3340">
        <f>DV211-(-3%)</f>
      </c>
      <c r="DW212" s="3340">
        <f>DW211-(-0.8%)</f>
      </c>
      <c r="DX212" s="3340">
        <f>DX211-(-1%)</f>
      </c>
      <c r="DY212" s="3325">
        <f>IF(DY205&lt;=0,0,(DY205/DT205-1))</f>
      </c>
      <c r="DZ212" s="3630">
        <f>DZ211-(-3%)</f>
      </c>
      <c r="EA212" s="3630">
        <f>EA211-(-4.6%)</f>
      </c>
      <c r="EB212" s="3630">
        <f>EB211-(-5%)</f>
      </c>
      <c r="EC212" s="3630">
        <f>EC211-(-6.4%)</f>
      </c>
      <c r="ED212" s="3325">
        <f>IF(ED205&lt;=0,0,(ED205/DY205-1))</f>
      </c>
      <c r="EE212" s="3630">
        <f>EE211-(-3%)</f>
      </c>
      <c r="EF212" s="3630">
        <f>EF211-(0.2%)</f>
      </c>
      <c r="EG212" s="3630">
        <f>EG211-(-5%)</f>
      </c>
      <c r="EH212" s="3329">
        <f>IF(EH204=0,"NM",+EH204/EC204-1)</f>
      </c>
      <c r="EI212" s="3330">
        <v>7.0000000000000007E-2</v>
      </c>
      <c r="EJ212" s="3330">
        <v>-0.13</v>
      </c>
      <c r="EK212" s="3330">
        <v>-0.13</v>
      </c>
      <c r="EL212" s="3330">
        <v>-0.13</v>
      </c>
      <c r="EM212" s="3330">
        <v>-0.13</v>
      </c>
      <c r="EN212" s="3330">
        <v>-0.13</v>
      </c>
      <c r="EO212" s="3330">
        <v>-0.1</v>
      </c>
      <c r="EP212" s="3330">
        <v>-0.1</v>
      </c>
      <c r="EQ212" s="3330">
        <v>-0.05</v>
      </c>
      <c r="ER212" s="3330">
        <v>-0.05</v>
      </c>
      <c r="ES212" s="3330">
        <v>-0.05</v>
      </c>
      <c r="ET212" s="3330">
        <v>-0.12</v>
      </c>
      <c r="EU212" s="3330">
        <v>-0.12</v>
      </c>
      <c r="EV212" s="3330">
        <v>-0.12</v>
      </c>
      <c r="EW212" s="3330">
        <v>-0.12</v>
      </c>
      <c r="EX212" s="3330"/>
    </row>
    <row r="213" spans="1:154" ht="12.75" customHeight="1">
      <c r="B213" s="912" t="s">
        <v>413</v>
      </c>
      <c r="C213" s="1989"/>
      <c r="D213" s="28"/>
      <c r="E213" s="28"/>
      <c r="F213" s="28"/>
      <c r="G213" s="28"/>
      <c r="H213" s="28"/>
      <c r="I213" s="29" t="str">
        <f t="shared" ref="I213:AN213" si="528">IF(D205="NM","NM",IF(I205="NM","NM",IF(D205&lt;=0,"NM",IF(I205=0,"NM",IF(ABS(I205/D205-1)&gt;2.5,"NM",IF((ABS(I205-D205)=ABS(ABS(I205)-ABS(D205))),(I205/D205-1),"NM"))))))</f>
      </c>
      <c r="J213" s="30">
        <f t="shared" si="528"/>
      </c>
      <c r="K213" s="30" t="str">
        <f t="shared" si="528"/>
      </c>
      <c r="L213" s="30">
        <f t="shared" si="528"/>
      </c>
      <c r="M213" s="30">
        <f t="shared" si="528"/>
      </c>
      <c r="N213" s="30">
        <f t="shared" si="528"/>
      </c>
      <c r="O213" s="30">
        <f t="shared" si="528"/>
      </c>
      <c r="P213" s="30">
        <f t="shared" si="528"/>
      </c>
      <c r="Q213" s="30">
        <f t="shared" si="528"/>
      </c>
      <c r="R213" s="30">
        <f t="shared" si="528"/>
      </c>
      <c r="S213" s="30">
        <f t="shared" si="528"/>
      </c>
      <c r="T213" s="30">
        <f t="shared" si="528"/>
      </c>
      <c r="U213" s="30">
        <f t="shared" si="528"/>
      </c>
      <c r="V213" s="30">
        <f t="shared" si="528"/>
      </c>
      <c r="W213" s="30">
        <f t="shared" si="528"/>
      </c>
      <c r="X213" s="308">
        <f t="shared" si="528"/>
      </c>
      <c r="Y213" s="30">
        <f t="shared" si="528"/>
      </c>
      <c r="Z213" s="30">
        <f t="shared" si="528"/>
      </c>
      <c r="AA213" s="30">
        <f t="shared" si="528"/>
      </c>
      <c r="AB213" s="30">
        <f t="shared" si="528"/>
      </c>
      <c r="AC213" s="308">
        <f t="shared" si="528"/>
      </c>
      <c r="AD213" s="30">
        <f t="shared" si="528"/>
      </c>
      <c r="AE213" s="30">
        <f t="shared" si="528"/>
      </c>
      <c r="AF213" s="30">
        <f t="shared" si="528"/>
      </c>
      <c r="AG213" s="30">
        <f t="shared" si="528"/>
      </c>
      <c r="AH213" s="308">
        <f t="shared" si="528"/>
      </c>
      <c r="AI213" s="30">
        <f t="shared" si="528"/>
      </c>
      <c r="AJ213" s="30">
        <f t="shared" si="528"/>
      </c>
      <c r="AK213" s="30">
        <f t="shared" si="528"/>
      </c>
      <c r="AL213" s="30">
        <f t="shared" si="528"/>
      </c>
      <c r="AM213" s="308">
        <f t="shared" si="528"/>
      </c>
      <c r="AN213" s="30">
        <f t="shared" si="528"/>
      </c>
      <c r="AO213" s="30">
        <f t="shared" ref="AO213:BT213" si="529">IF(AJ205="NM","NM",IF(AO205="NM","NM",IF(AJ205&lt;=0,"NM",IF(AO205=0,"NM",IF(ABS(AO205/AJ205-1)&gt;2.5,"NM",IF((ABS(AO205-AJ205)=ABS(ABS(AO205)-ABS(AJ205))),(AO205/AJ205-1),"NM"))))))</f>
      </c>
      <c r="AP213" s="30">
        <f t="shared" si="529"/>
      </c>
      <c r="AQ213" s="30">
        <f t="shared" si="529"/>
      </c>
      <c r="AR213" s="308">
        <f t="shared" si="529"/>
      </c>
      <c r="AS213" s="30">
        <f t="shared" si="529"/>
      </c>
      <c r="AT213" s="30">
        <f t="shared" si="529"/>
      </c>
      <c r="AU213" s="30">
        <f t="shared" si="529"/>
      </c>
      <c r="AV213" s="30">
        <f t="shared" si="529"/>
      </c>
      <c r="AW213" s="308">
        <f t="shared" si="529"/>
      </c>
      <c r="AX213" s="30">
        <f t="shared" si="529"/>
      </c>
      <c r="AY213" s="30">
        <f t="shared" si="529"/>
      </c>
      <c r="AZ213" s="30">
        <f t="shared" si="529"/>
      </c>
      <c r="BA213" s="30">
        <f t="shared" si="529"/>
      </c>
      <c r="BB213" s="308">
        <f t="shared" si="529"/>
      </c>
      <c r="BC213" s="30">
        <f t="shared" si="529"/>
      </c>
      <c r="BD213" s="30">
        <f t="shared" si="529"/>
      </c>
      <c r="BE213" s="30">
        <f t="shared" si="529"/>
      </c>
      <c r="BF213" s="30">
        <f t="shared" si="529"/>
      </c>
      <c r="BG213" s="308">
        <f t="shared" si="529"/>
      </c>
      <c r="BH213" s="30">
        <f t="shared" si="529"/>
      </c>
      <c r="BI213" s="30">
        <f t="shared" si="529"/>
      </c>
      <c r="BJ213" s="30">
        <f t="shared" si="529"/>
      </c>
      <c r="BK213" s="30">
        <f t="shared" si="529"/>
      </c>
      <c r="BL213" s="308">
        <f t="shared" si="529"/>
      </c>
      <c r="BM213" s="30">
        <f t="shared" si="529"/>
      </c>
      <c r="BN213" s="30">
        <f t="shared" si="529"/>
      </c>
      <c r="BO213" s="30">
        <f t="shared" si="529"/>
      </c>
      <c r="BP213" s="30">
        <f t="shared" si="529"/>
      </c>
      <c r="BQ213" s="308">
        <f t="shared" si="529"/>
      </c>
      <c r="BR213" s="30">
        <f t="shared" si="529"/>
      </c>
      <c r="BS213" s="30">
        <f t="shared" si="529"/>
      </c>
      <c r="BT213" s="30">
        <f t="shared" si="529"/>
      </c>
      <c r="BU213" s="30">
        <f t="shared" ref="BU213:CG213" si="530">IF(BP205="NM","NM",IF(BU205="NM","NM",IF(BP205&lt;=0,"NM",IF(BU205=0,"NM",IF(ABS(BU205/BP205-1)&gt;2.5,"NM",IF((ABS(BU205-BP205)=ABS(ABS(BU205)-ABS(BP205))),(BU205/BP205-1),"NM"))))))</f>
      </c>
      <c r="BV213" s="308">
        <f t="shared" si="530"/>
      </c>
      <c r="BW213" s="30">
        <f t="shared" si="530"/>
      </c>
      <c r="BX213" s="30">
        <f t="shared" si="530"/>
      </c>
      <c r="BY213" s="30">
        <f t="shared" si="530"/>
      </c>
      <c r="BZ213" s="30">
        <f t="shared" si="530"/>
      </c>
      <c r="CA213" s="308">
        <f t="shared" si="530"/>
      </c>
      <c r="CB213" s="30">
        <f t="shared" si="530"/>
      </c>
      <c r="CC213" s="30">
        <f t="shared" si="530"/>
      </c>
      <c r="CD213" s="30">
        <f t="shared" si="530"/>
      </c>
      <c r="CE213" s="30">
        <f t="shared" si="530"/>
      </c>
      <c r="CF213" s="308">
        <f t="shared" si="530"/>
      </c>
      <c r="CG213" s="30">
        <f t="shared" si="530"/>
      </c>
      <c r="CH213" s="30">
        <f>IF(CC205="NM","NM",IF(CH205="NM","NM",IF(CC205&lt;=0,"NM",IF(CH205=0,"NM",IF(ABS(CH205/CC205-1)&gt;2.5,"NM",IF((ABS(CH205-CC205)=ABS(ABS(CH205)-ABS(CC205))),(CH205/CC205-1),"NM"))))))</f>
      </c>
      <c r="CI213" s="30">
        <f>IF(CD205="NM","NM",IF(CI205="NM","NM",IF(CD205&lt;=0,"NM",IF(CI205=0,"NM",IF(ABS(CI205/CD205-1)&gt;2.5,"NM",IF((ABS(CI205-CD205)=ABS(ABS(CI205)-ABS(CD205))),(CI205/CD205-1),"NM"))))))</f>
      </c>
      <c r="CJ213" s="30">
        <f>IF(CE205="NM","NM",IF(CJ205="NM","NM",IF(CE205&lt;=0,"NM",IF(CJ205=0,"NM",IF(ABS(CJ205/CE205-1)&gt;2.5,"NM",IF((ABS(CJ205-CE205)=ABS(ABS(CJ205)-ABS(CE205))),(CJ205/CE205-1),"NM"))))))</f>
      </c>
      <c r="CK213" s="308">
        <f>IF(CK205&lt;=0,0,(CK205/CF205-1))</f>
      </c>
      <c r="CL213" s="926">
        <f>IF(CL205&lt;=0,0,(CL205/CG205-1))</f>
      </c>
      <c r="CM213" s="30">
        <f>IF(CH205="NM","NM",IF(CM205="NM","NM",IF(CH205&lt;=0,"NM",IF(CM205=0,"NM",IF(ABS(CM205/CH205-1)&gt;2.5,"NM",IF((ABS(CM205-CH205)=ABS(ABS(CM205)-ABS(CH205))),(CM205/CH205-1),"NM"))))))</f>
      </c>
      <c r="CN213" s="30">
        <f>IF(CI205="NM","NM",IF(CN205="NM","NM",IF(CI205&lt;=0,"NM",IF(CN205=0,"NM",IF(ABS(CN205/CI205-1)&gt;2.5,"NM",IF((ABS(CN205-CI205)=ABS(ABS(CN205)-ABS(CI205))),(CN205/CI205-1),"NM"))))))</f>
      </c>
      <c r="CO213" s="30">
        <f>IF(CJ205="NM","NM",IF(CO205="NM","NM",IF(CJ205&lt;=0,"NM",IF(CO205=0,"NM",IF(ABS(CO205/CJ205-1)&gt;2.5,"NM",IF((ABS(CO205-CJ205)=ABS(ABS(CO205)-ABS(CJ205))),(CO205/CJ205-1),"NM"))))))</f>
      </c>
      <c r="CP213" s="308">
        <f>IF(CP205&lt;=0,0,(CP205/CK205-1))</f>
      </c>
      <c r="CQ213" s="30">
        <f>IF(CL205="NM","NM",IF(CQ205="NM","NM",IF(CL205&lt;=0,"NM",IF(CQ205=0,"NM",IF(ABS(CQ205/CL205-1)&gt;2.5,"NM",IF((ABS(CQ205-CL205)=ABS(ABS(CQ205)-ABS(CL205))),(CQ205/CL205-1),"NM"))))))</f>
      </c>
      <c r="CR213" s="926">
        <f>IF(CM205="NM","NM",IF(CR205="NM","NM",IF(CM205&lt;=0,"NM",IF(CR205=0,"NM",IF(ABS(CR205/CM205-1)&gt;2.5,"NM",IF((ABS(CR205-CM205)=ABS(ABS(CR205)-ABS(CM205))),(CR205/CM205-1),"NM"))))))</f>
      </c>
      <c r="CS213" s="926">
        <f>IF(CN205="NM","NM",IF(CS205="NM","NM",IF(CN205&lt;=0,"NM",IF(CS205=0,"NM",IF(ABS(CS205/CN205-1)&gt;2.5,"NM",IF((ABS(CS205-CN205)=ABS(ABS(CS205)-ABS(CN205))),(CS205/CN205-1),"NM"))))))</f>
      </c>
      <c r="CT213" s="926">
        <f>IF(CO205="NM","NM",IF(CT205="NM","NM",IF(CO205&lt;=0,"NM",IF(CT205=0,"NM",IF(ABS(CT205/CO205-1)&gt;2.5,"NM",IF((ABS(CT205-CO205)=ABS(ABS(CT205)-ABS(CO205))),(CT205/CO205-1),"NM"))))))</f>
      </c>
      <c r="CU213" s="308">
        <f>IF(CU205&lt;=0,0,(CU205/CP205-1))</f>
      </c>
      <c r="CV213" s="30">
        <f>IF(CQ205="NM","NM",IF(CV205="NM","NM",IF(CQ205&lt;=0,"NM",IF(CV205=0,"NM",IF(ABS(CV205/CQ205-1)&gt;2.5,"NM",IF((ABS(CV205-CQ205)=ABS(ABS(CV205)-ABS(CQ205))),(CV205/CQ205-1),"NM"))))))</f>
      </c>
      <c r="CW213" s="30">
        <f>IF(CR205="NM","NM",IF(CW205="NM","NM",IF(CR205&lt;=0,"NM",IF(CW205=0,"NM",IF(ABS(CW205/CR205-1)&gt;2.5,"NM",IF((ABS(CW205-CR205)=ABS(ABS(CW205)-ABS(CR205))),(CW205/CR205-1),"NM"))))))</f>
      </c>
      <c r="CX213" s="30">
        <f>IF(CS205="NM","NM",IF(CX205="NM","NM",IF(CS205&lt;=0,"NM",IF(CX205=0,"NM",IF(ABS(CX205/CS205-1)&gt;2.5,"NM",IF((ABS(CX205-CS205)=ABS(ABS(CX205)-ABS(CS205))),(CX205/CS205-1),"NM"))))))</f>
      </c>
      <c r="CY213" s="926">
        <f>IF(CT205="NM","NM",IF(CY205="NM","NM",IF(CT205&lt;=0,"NM",IF(CY205=0,"NM",IF(ABS(CY205/CT205-1)&gt;2.5,"NM",IF((ABS(CY205-CT205)=ABS(ABS(CY205)-ABS(CT205))),(CY205/CT205-1),"NM"))))))</f>
      </c>
      <c r="CZ213" s="308">
        <f>IF(CZ205&lt;=0,0,(CZ205/CU205-1))</f>
      </c>
      <c r="DA213" s="30">
        <f>IF(CV205="NM","NM",IF(DA205="NM","NM",IF(CV205&lt;=0,"NM",IF(DA205=0,"NM",IF(ABS(DA205/CV205-1)&gt;2.5,"NM",IF((ABS(DA205-CV205)=ABS(ABS(DA205)-ABS(CV205))),(DA205/CV205-1),"NM"))))))</f>
      </c>
      <c r="DB213" s="30">
        <f t="shared" ref="DB213:DM213" si="531">IF(DB205&lt;=0,0,(DB205/CW205-1))</f>
      </c>
      <c r="DC213" s="30">
        <f t="shared" si="531"/>
      </c>
      <c r="DD213" s="409">
        <f t="shared" si="531"/>
      </c>
      <c r="DE213" s="3325">
        <f t="shared" si="531"/>
      </c>
      <c r="DF213" s="3326">
        <f t="shared" si="531"/>
      </c>
      <c r="DG213" s="3326">
        <f t="shared" si="531"/>
      </c>
      <c r="DH213" s="3326">
        <f>IF(DH205&lt;=0,0,(DH205/DC205-1))</f>
      </c>
      <c r="DI213" s="3328">
        <f>IF(DI205&lt;=0,0,(DI205/DD205-1))</f>
      </c>
      <c r="DJ213" s="3325">
        <f>IF(DJ205&lt;=0,0,(DJ205/DE205-1))</f>
      </c>
      <c r="DK213" s="3326">
        <f t="shared" si="531"/>
      </c>
      <c r="DL213" s="3326">
        <f t="shared" si="531"/>
      </c>
      <c r="DM213" s="3326">
        <f t="shared" si="531"/>
      </c>
      <c r="DN213" s="3328">
        <f t="shared" ref="DN213:DY213" si="532">IF(DN205&lt;=0,0,(DN205/DI205-1))</f>
      </c>
      <c r="DO213" s="3325">
        <f t="shared" si="532"/>
      </c>
      <c r="DP213" s="3326">
        <f t="shared" si="532"/>
      </c>
      <c r="DQ213" s="3326">
        <f t="shared" si="532"/>
      </c>
      <c r="DR213" s="3326">
        <f t="shared" si="532"/>
      </c>
      <c r="DS213" s="3326">
        <f t="shared" si="532"/>
      </c>
      <c r="DT213" s="3325">
        <f t="shared" si="532"/>
      </c>
      <c r="DU213" s="3326">
        <f t="shared" si="532"/>
      </c>
      <c r="DV213" s="3326">
        <f t="shared" si="532"/>
      </c>
      <c r="DW213" s="3326">
        <f t="shared" si="532"/>
      </c>
      <c r="DX213" s="3326">
        <f t="shared" si="532"/>
      </c>
      <c r="DY213" s="3325">
        <f t="shared" si="532"/>
      </c>
      <c r="DZ213" s="3327">
        <f>IF(DZ205&lt;=0,0,(DZ205/DU205-1))</f>
      </c>
      <c r="EA213" s="3327">
        <f t="shared" ref="EA213:EH213" si="533">IF(EA205&lt;=0,0,(EA205/DV205-1))</f>
      </c>
      <c r="EB213" s="3327">
        <f t="shared" si="533"/>
      </c>
      <c r="EC213" s="3333">
        <f t="shared" si="533"/>
      </c>
      <c r="ED213" s="3325">
        <f t="shared" si="533"/>
      </c>
      <c r="EE213" s="3327">
        <f>IF(EE205&lt;=0,0,(EE205/DZ205-1))</f>
      </c>
      <c r="EF213" s="3327">
        <f t="shared" si="533"/>
      </c>
      <c r="EG213" s="3327">
        <f t="shared" si="533"/>
      </c>
      <c r="EH213" s="3333">
        <f t="shared" si="533"/>
      </c>
      <c r="EI213" s="3325">
        <f>IF(EI205&lt;=0,0,(EI205/ED205-1))</f>
      </c>
      <c r="EJ213" s="3325">
        <f t="shared" ref="EJ213:EN213" si="534">IF(EJ205&lt;=0,0,(EJ205/EI205-1))</f>
      </c>
      <c r="EK213" s="3325">
        <f t="shared" si="534"/>
      </c>
      <c r="EL213" s="3325">
        <f t="shared" si="534"/>
      </c>
      <c r="EM213" s="3325">
        <f t="shared" si="534"/>
      </c>
      <c r="EN213" s="3325">
        <f t="shared" si="534"/>
      </c>
      <c r="EO213" s="3325">
        <f t="shared" ref="EO213:EW213" si="535">IF(EO205&lt;=0,0,(EO205/EN205-1))</f>
      </c>
      <c r="EP213" s="3325">
        <f t="shared" si="535"/>
      </c>
      <c r="EQ213" s="3325">
        <f t="shared" si="535"/>
      </c>
      <c r="ER213" s="3325">
        <f t="shared" si="535"/>
      </c>
      <c r="ES213" s="3325">
        <f t="shared" si="535"/>
      </c>
      <c r="ET213" s="3325">
        <f t="shared" si="535"/>
      </c>
      <c r="EU213" s="3325">
        <f t="shared" si="535"/>
      </c>
      <c r="EV213" s="3325">
        <f t="shared" si="535"/>
      </c>
      <c r="EW213" s="3325">
        <f t="shared" si="535"/>
      </c>
      <c r="EX213" s="3325"/>
    </row>
    <row r="214" spans="1:154" ht="12.75" customHeight="1">
      <c r="B214" s="1171"/>
      <c r="C214" s="1989"/>
      <c r="D214" s="28"/>
      <c r="E214" s="28"/>
      <c r="F214" s="28"/>
      <c r="G214" s="28"/>
      <c r="H214" s="28"/>
      <c r="I214" s="31"/>
      <c r="J214" s="28"/>
      <c r="K214" s="28"/>
      <c r="L214" s="28"/>
      <c r="M214" s="28"/>
      <c r="N214" s="31"/>
      <c r="O214" s="31"/>
      <c r="P214" s="31"/>
      <c r="Q214" s="31"/>
      <c r="R214" s="31"/>
      <c r="S214" s="31"/>
      <c r="T214" s="31"/>
      <c r="U214" s="31"/>
      <c r="V214" s="31"/>
      <c r="W214" s="31"/>
      <c r="X214" s="313"/>
      <c r="Y214" s="31"/>
      <c r="Z214" s="31"/>
      <c r="AA214" s="31"/>
      <c r="AB214" s="31"/>
      <c r="AC214" s="313"/>
      <c r="AD214" s="31"/>
      <c r="AE214" s="31"/>
      <c r="AF214" s="31"/>
      <c r="AG214" s="31"/>
      <c r="AH214" s="313"/>
      <c r="AI214" s="28"/>
      <c r="AJ214" s="28"/>
      <c r="AK214" s="28"/>
      <c r="AL214" s="31"/>
      <c r="AM214" s="313"/>
      <c r="AN214" s="28"/>
      <c r="AO214" s="28"/>
      <c r="AP214" s="28"/>
      <c r="AQ214" s="31"/>
      <c r="AR214" s="313"/>
      <c r="AS214" s="28"/>
      <c r="AT214" s="28"/>
      <c r="AU214" s="28"/>
      <c r="AV214" s="31"/>
      <c r="AW214" s="313"/>
      <c r="AX214" s="28"/>
      <c r="AY214" s="28"/>
      <c r="AZ214" s="28"/>
      <c r="BA214" s="28"/>
      <c r="BB214" s="313"/>
      <c r="BC214" s="28"/>
      <c r="BD214" s="28"/>
      <c r="BE214" s="28"/>
      <c r="BF214" s="28"/>
      <c r="BG214" s="313"/>
      <c r="BH214" s="28"/>
      <c r="BI214" s="28"/>
      <c r="BJ214" s="28"/>
      <c r="BK214" s="28"/>
      <c r="BL214" s="313"/>
      <c r="BM214" s="28"/>
      <c r="BN214" s="28"/>
      <c r="BO214" s="28"/>
      <c r="BP214" s="28"/>
      <c r="BQ214" s="313"/>
      <c r="BR214" s="28"/>
      <c r="BS214" s="28"/>
      <c r="BT214" s="28"/>
      <c r="BU214" s="28"/>
      <c r="BV214" s="313"/>
      <c r="BW214" s="236"/>
      <c r="BX214" s="236"/>
      <c r="BY214" s="236"/>
      <c r="BZ214" s="236"/>
      <c r="CA214" s="313"/>
      <c r="CB214" s="236"/>
      <c r="CC214" s="236"/>
      <c r="CD214" s="236"/>
      <c r="CE214" s="236"/>
      <c r="CF214" s="313"/>
      <c r="CG214" s="236"/>
      <c r="CH214" s="236"/>
      <c r="CI214" s="236"/>
      <c r="CJ214" s="236"/>
      <c r="CK214" s="313"/>
      <c r="CL214" s="947"/>
      <c r="CM214" s="236"/>
      <c r="CN214" s="236"/>
      <c r="CO214" s="77"/>
      <c r="CP214" s="313"/>
      <c r="CQ214" s="236"/>
      <c r="CR214" s="947"/>
      <c r="CS214" s="947"/>
      <c r="CT214" s="947"/>
      <c r="CU214" s="313"/>
      <c r="CV214" s="236"/>
      <c r="CW214" s="947"/>
      <c r="CX214" s="947"/>
      <c r="CY214" s="947"/>
      <c r="CZ214" s="313"/>
      <c r="DA214" s="236"/>
      <c r="DB214" s="31"/>
      <c r="DC214" s="31"/>
      <c r="DD214" s="955"/>
      <c r="DE214" s="477"/>
      <c r="DF214" s="1838"/>
      <c r="DG214" s="603"/>
      <c r="DH214" s="603"/>
      <c r="DI214" s="1798"/>
      <c r="DJ214" s="477"/>
      <c r="DK214" s="1799"/>
      <c r="DL214" s="603"/>
      <c r="DM214" s="603"/>
      <c r="DN214" s="1798"/>
      <c r="DO214" s="477"/>
      <c r="DP214" s="603"/>
      <c r="DQ214" s="603"/>
      <c r="DR214" s="603"/>
      <c r="DS214" s="1798"/>
      <c r="DT214" s="477"/>
      <c r="DU214" s="603"/>
      <c r="DV214" s="603"/>
      <c r="DW214" s="603"/>
      <c r="DX214" s="1798"/>
      <c r="DY214" s="477"/>
      <c r="DZ214" s="603"/>
      <c r="EA214" s="603"/>
      <c r="EB214" s="603"/>
      <c r="EC214" s="1798"/>
      <c r="ED214" s="477"/>
      <c r="EE214" s="603"/>
      <c r="EF214" s="603"/>
      <c r="EG214" s="603"/>
      <c r="EH214" s="1798"/>
      <c r="EI214" s="477"/>
      <c r="EJ214" s="477"/>
      <c r="EK214" s="477"/>
      <c r="EL214" s="477"/>
      <c r="EM214" s="477"/>
      <c r="EN214" s="477"/>
      <c r="EO214" s="477"/>
      <c r="EP214" s="477"/>
      <c r="EQ214" s="477"/>
      <c r="ER214" s="477"/>
      <c r="ES214" s="477"/>
      <c r="ET214" s="477"/>
      <c r="EU214" s="477"/>
      <c r="EV214" s="477"/>
      <c r="EW214" s="477"/>
      <c r="EX214" s="477"/>
    </row>
    <row r="215" spans="1:154" ht="12.75" customHeight="1">
      <c r="B215" s="1171" t="s">
        <v>184</v>
      </c>
      <c r="C215" s="1989"/>
      <c r="D215" s="28"/>
      <c r="E215" s="28"/>
      <c r="F215" s="28"/>
      <c r="G215" s="28"/>
      <c r="H215" s="28"/>
      <c r="I215" s="31"/>
      <c r="J215" s="28"/>
      <c r="K215" s="28"/>
      <c r="L215" s="28"/>
      <c r="M215" s="28"/>
      <c r="N215" s="31"/>
      <c r="O215" s="31"/>
      <c r="P215" s="31"/>
      <c r="Q215" s="31"/>
      <c r="R215" s="31"/>
      <c r="S215" s="31"/>
      <c r="T215" s="31"/>
      <c r="U215" s="31"/>
      <c r="V215" s="31"/>
      <c r="W215" s="31"/>
      <c r="X215" s="313"/>
      <c r="Y215" s="31"/>
      <c r="Z215" s="31"/>
      <c r="AA215" s="31"/>
      <c r="AB215" s="31"/>
      <c r="AC215" s="313"/>
      <c r="AD215" s="31"/>
      <c r="AE215" s="31"/>
      <c r="AF215" s="31"/>
      <c r="AG215" s="31"/>
      <c r="AH215" s="313"/>
      <c r="AI215" s="28"/>
      <c r="AJ215" s="28"/>
      <c r="AK215" s="28"/>
      <c r="AL215" s="31"/>
      <c r="AM215" s="313"/>
      <c r="AN215" s="28"/>
      <c r="AO215" s="28"/>
      <c r="AP215" s="28"/>
      <c r="AQ215" s="31"/>
      <c r="AR215" s="313"/>
      <c r="AS215" s="28"/>
      <c r="AT215" s="28"/>
      <c r="AU215" s="28"/>
      <c r="AV215" s="31"/>
      <c r="AW215" s="313"/>
      <c r="AX215" s="28">
        <f t="shared" ref="AX215:BZ215" si="536">+AX203+AX204</f>
      </c>
      <c r="AY215" s="28">
        <f t="shared" si="536"/>
      </c>
      <c r="AZ215" s="28">
        <f t="shared" si="536"/>
      </c>
      <c r="BA215" s="28">
        <f t="shared" si="536"/>
      </c>
      <c r="BB215" s="313">
        <f t="shared" si="536"/>
      </c>
      <c r="BC215" s="28">
        <f t="shared" si="536"/>
      </c>
      <c r="BD215" s="28">
        <f t="shared" si="536"/>
      </c>
      <c r="BE215" s="28">
        <f t="shared" si="536"/>
      </c>
      <c r="BF215" s="28">
        <f t="shared" si="536"/>
      </c>
      <c r="BG215" s="313">
        <f t="shared" si="536"/>
      </c>
      <c r="BH215" s="28">
        <f t="shared" si="536"/>
      </c>
      <c r="BI215" s="28">
        <f t="shared" si="536"/>
      </c>
      <c r="BJ215" s="28">
        <f t="shared" si="536"/>
      </c>
      <c r="BK215" s="28">
        <f t="shared" si="536"/>
      </c>
      <c r="BL215" s="313">
        <f t="shared" si="536"/>
      </c>
      <c r="BM215" s="28">
        <f t="shared" si="536"/>
      </c>
      <c r="BN215" s="28">
        <f t="shared" si="536"/>
      </c>
      <c r="BO215" s="28">
        <f t="shared" si="536"/>
      </c>
      <c r="BP215" s="28">
        <f t="shared" si="536"/>
      </c>
      <c r="BQ215" s="313">
        <f t="shared" si="536"/>
      </c>
      <c r="BR215" s="28">
        <f t="shared" si="536"/>
      </c>
      <c r="BS215" s="28">
        <f t="shared" si="536"/>
      </c>
      <c r="BT215" s="28">
        <f t="shared" si="536"/>
      </c>
      <c r="BU215" s="28">
        <f t="shared" si="536"/>
      </c>
      <c r="BV215" s="313">
        <f t="shared" si="536"/>
      </c>
      <c r="BW215" s="28">
        <f t="shared" si="536"/>
      </c>
      <c r="BX215" s="28">
        <f t="shared" si="536"/>
      </c>
      <c r="BY215" s="28">
        <f t="shared" si="536"/>
      </c>
      <c r="BZ215" s="28">
        <f t="shared" si="536"/>
      </c>
      <c r="CA215" s="313">
        <f>SUM(BW215:BZ215)</f>
      </c>
      <c r="CB215" s="28">
        <f>+CB203+CB204</f>
      </c>
      <c r="CC215" s="28">
        <f>+CC203+CC204</f>
      </c>
      <c r="CD215" s="28">
        <f>+CD203+CD204</f>
      </c>
      <c r="CE215" s="28">
        <f>+CE203+CE204</f>
      </c>
      <c r="CF215" s="313">
        <f>SUM(CB215:CE215)</f>
      </c>
      <c r="CG215" s="28">
        <f>+CG203+CG204</f>
      </c>
      <c r="CH215" s="28">
        <f>+CH203+CH204</f>
      </c>
      <c r="CI215" s="28">
        <f>+CI203+CI204</f>
      </c>
      <c r="CJ215" s="28">
        <f>+CJ203+CJ204</f>
      </c>
      <c r="CK215" s="313">
        <f>SUM(CG215:CJ215)</f>
      </c>
      <c r="CL215" s="933">
        <f t="shared" ref="CL215:CQ215" si="537">+CL203+CL204</f>
      </c>
      <c r="CM215" s="28">
        <f t="shared" si="537"/>
      </c>
      <c r="CN215" s="933">
        <f t="shared" si="537"/>
      </c>
      <c r="CO215" s="28">
        <f t="shared" si="537"/>
      </c>
      <c r="CP215" s="313">
        <f t="shared" si="537"/>
      </c>
      <c r="CQ215" s="933">
        <f t="shared" si="537"/>
      </c>
      <c r="CR215" s="933">
        <f t="shared" ref="CR215:CW215" si="538">+CR203+CR204</f>
      </c>
      <c r="CS215" s="933">
        <f t="shared" si="538"/>
      </c>
      <c r="CT215" s="933">
        <f>+CT203+CT204</f>
      </c>
      <c r="CU215" s="313">
        <f>+CU203+CU204</f>
      </c>
      <c r="CV215" s="933">
        <f>+CV203+CV204</f>
      </c>
      <c r="CW215" s="933">
        <f t="shared" si="538"/>
      </c>
      <c r="CX215" s="933">
        <f t="shared" ref="CX215:ES215" si="539">+CX203+CX204</f>
      </c>
      <c r="CY215" s="933">
        <f t="shared" si="539"/>
      </c>
      <c r="CZ215" s="313">
        <f t="shared" si="539"/>
      </c>
      <c r="DA215" s="933">
        <f t="shared" si="539"/>
      </c>
      <c r="DB215" s="933">
        <f t="shared" si="539"/>
      </c>
      <c r="DC215" s="933">
        <f t="shared" si="539"/>
      </c>
      <c r="DD215" s="933">
        <f t="shared" si="539"/>
      </c>
      <c r="DE215" s="1835">
        <f t="shared" si="539"/>
      </c>
      <c r="DF215" s="1284">
        <f t="shared" si="539"/>
      </c>
      <c r="DG215" s="1284">
        <f t="shared" si="539"/>
      </c>
      <c r="DH215" s="1284">
        <f t="shared" si="539"/>
      </c>
      <c r="DI215" s="1284">
        <f t="shared" si="539"/>
      </c>
      <c r="DJ215" s="1835">
        <f t="shared" si="539"/>
      </c>
      <c r="DK215" s="1284">
        <f t="shared" si="539"/>
      </c>
      <c r="DL215" s="1284">
        <f t="shared" si="539"/>
      </c>
      <c r="DM215" s="1284">
        <f t="shared" si="539"/>
      </c>
      <c r="DN215" s="1284">
        <f t="shared" si="539"/>
      </c>
      <c r="DO215" s="1835">
        <f t="shared" si="539"/>
      </c>
      <c r="DP215" s="1284">
        <f t="shared" si="539"/>
      </c>
      <c r="DQ215" s="1284">
        <f t="shared" si="539"/>
      </c>
      <c r="DR215" s="1284">
        <f t="shared" si="539"/>
      </c>
      <c r="DS215" s="1284">
        <f t="shared" si="539"/>
      </c>
      <c r="DT215" s="1835">
        <f t="shared" si="539"/>
      </c>
      <c r="DU215" s="1284">
        <f t="shared" si="539"/>
      </c>
      <c r="DV215" s="1284">
        <f t="shared" si="539"/>
      </c>
      <c r="DW215" s="1284">
        <f t="shared" si="539"/>
      </c>
      <c r="DX215" s="1284">
        <f t="shared" si="539"/>
      </c>
      <c r="DY215" s="1835">
        <f t="shared" si="539"/>
      </c>
      <c r="DZ215" s="1284">
        <f t="shared" si="539"/>
      </c>
      <c r="EA215" s="1284">
        <f t="shared" si="539"/>
      </c>
      <c r="EB215" s="1284">
        <f>+EB203+EB204</f>
      </c>
      <c r="EC215" s="1284">
        <f>+EC203+EC204</f>
      </c>
      <c r="ED215" s="1835">
        <f t="shared" si="539"/>
      </c>
      <c r="EE215" s="1284">
        <f t="shared" ref="EE215:EF215" si="540">+EE203+EE204</f>
      </c>
      <c r="EF215" s="1284">
        <f t="shared" si="540"/>
      </c>
      <c r="EG215" s="1284">
        <f>+EG203+EG204</f>
      </c>
      <c r="EH215" s="1284">
        <f t="shared" si="539"/>
      </c>
      <c r="EI215" s="1835">
        <f t="shared" si="539"/>
      </c>
      <c r="EJ215" s="1835">
        <f t="shared" si="539"/>
      </c>
      <c r="EK215" s="1835">
        <f t="shared" si="539"/>
      </c>
      <c r="EL215" s="1835">
        <f t="shared" si="539"/>
      </c>
      <c r="EM215" s="1835">
        <f t="shared" si="539"/>
      </c>
      <c r="EN215" s="1835">
        <f t="shared" si="539"/>
      </c>
      <c r="EO215" s="1835">
        <f t="shared" si="539"/>
      </c>
      <c r="EP215" s="1835">
        <f t="shared" si="539"/>
      </c>
      <c r="EQ215" s="1835">
        <f t="shared" si="539"/>
      </c>
      <c r="ER215" s="1835">
        <f t="shared" si="539"/>
      </c>
      <c r="ES215" s="1835">
        <f t="shared" si="539"/>
      </c>
      <c r="ET215" s="477"/>
      <c r="EU215" s="477"/>
      <c r="EV215" s="477"/>
      <c r="EW215" s="477"/>
      <c r="EX215" s="477"/>
    </row>
    <row r="216" spans="1:154" ht="12.75" customHeight="1">
      <c r="B216" s="1171"/>
      <c r="C216" s="1989"/>
      <c r="D216" s="31"/>
      <c r="E216" s="33"/>
      <c r="F216" s="33"/>
      <c r="G216" s="33"/>
      <c r="H216" s="33"/>
      <c r="I216" s="31"/>
      <c r="J216" s="33"/>
      <c r="K216" s="33"/>
      <c r="L216" s="33"/>
      <c r="M216" s="33"/>
      <c r="N216" s="31"/>
      <c r="O216" s="33"/>
      <c r="P216" s="33"/>
      <c r="Q216" s="33"/>
      <c r="R216" s="33"/>
      <c r="S216" s="31"/>
      <c r="T216" s="33"/>
      <c r="U216" s="33"/>
      <c r="V216" s="33"/>
      <c r="W216" s="33"/>
      <c r="X216" s="313"/>
      <c r="Y216" s="33"/>
      <c r="Z216" s="33"/>
      <c r="AA216" s="33"/>
      <c r="AB216" s="33"/>
      <c r="AC216" s="313"/>
      <c r="AD216" s="33"/>
      <c r="AE216" s="33"/>
      <c r="AF216" s="33"/>
      <c r="AG216" s="33"/>
      <c r="AH216" s="313"/>
      <c r="AI216" s="33"/>
      <c r="AJ216" s="33"/>
      <c r="AK216" s="33"/>
      <c r="AL216" s="33"/>
      <c r="AM216" s="313"/>
      <c r="AN216" s="33"/>
      <c r="AO216" s="33"/>
      <c r="AP216" s="33"/>
      <c r="AQ216" s="33"/>
      <c r="AR216" s="313"/>
      <c r="AS216" s="33"/>
      <c r="AT216" s="33"/>
      <c r="AU216" s="33"/>
      <c r="AV216" s="33"/>
      <c r="AW216" s="313"/>
      <c r="AX216" s="33"/>
      <c r="AY216" s="33"/>
      <c r="AZ216" s="33"/>
      <c r="BA216" s="33"/>
      <c r="BB216" s="313"/>
      <c r="BC216" s="33"/>
      <c r="BD216" s="33"/>
      <c r="BE216" s="33"/>
      <c r="BF216" s="33"/>
      <c r="BG216" s="313"/>
      <c r="BH216" s="33"/>
      <c r="BI216" s="33"/>
      <c r="BJ216" s="33"/>
      <c r="BK216" s="33"/>
      <c r="BL216" s="313"/>
      <c r="BM216" s="33"/>
      <c r="BN216" s="33"/>
      <c r="BO216" s="33"/>
      <c r="BP216" s="33"/>
      <c r="BQ216" s="312"/>
      <c r="BR216" s="33"/>
      <c r="BS216" s="33"/>
      <c r="BT216" s="33"/>
      <c r="BU216" s="33"/>
      <c r="BV216" s="312"/>
      <c r="BW216" s="33"/>
      <c r="BX216" s="33"/>
      <c r="BY216" s="33"/>
      <c r="BZ216" s="33"/>
      <c r="CA216" s="313"/>
      <c r="CB216" s="33"/>
      <c r="CC216" s="33"/>
      <c r="CD216" s="33"/>
      <c r="CE216" s="33"/>
      <c r="CF216" s="313"/>
      <c r="CG216" s="33"/>
      <c r="CH216" s="33"/>
      <c r="CI216" s="33"/>
      <c r="CJ216" s="33"/>
      <c r="CK216" s="313"/>
      <c r="CL216" s="33"/>
      <c r="CM216" s="33"/>
      <c r="CN216" s="33"/>
      <c r="CO216" s="33"/>
      <c r="CP216" s="313"/>
      <c r="CQ216" s="33"/>
      <c r="CR216" s="33"/>
      <c r="CS216" s="33"/>
      <c r="CT216" s="33"/>
      <c r="CU216" s="313"/>
      <c r="CV216" s="33"/>
      <c r="CW216" s="33"/>
      <c r="CX216" s="33"/>
      <c r="CY216" s="33"/>
      <c r="CZ216" s="313"/>
      <c r="DA216" s="33"/>
      <c r="DB216" s="31"/>
      <c r="DC216" s="31"/>
      <c r="DD216" s="955"/>
      <c r="DE216" s="477"/>
      <c r="DF216" s="602"/>
      <c r="DG216" s="603"/>
      <c r="DH216" s="603"/>
      <c r="DI216" s="1798"/>
      <c r="DJ216" s="477"/>
      <c r="DK216" s="1799"/>
      <c r="DL216" s="603"/>
      <c r="DM216" s="603"/>
      <c r="DN216" s="1798"/>
      <c r="DO216" s="477"/>
      <c r="DP216" s="603"/>
      <c r="DQ216" s="603"/>
      <c r="DR216" s="603"/>
      <c r="DS216" s="1798"/>
      <c r="DT216" s="477"/>
      <c r="DU216" s="603"/>
      <c r="DV216" s="603"/>
      <c r="DW216" s="603"/>
      <c r="DX216" s="1798"/>
      <c r="DY216" s="477"/>
      <c r="DZ216" s="603"/>
      <c r="EA216" s="603"/>
      <c r="EB216" s="603"/>
      <c r="EC216" s="1798"/>
      <c r="ED216" s="477"/>
      <c r="EE216" s="603"/>
      <c r="EF216" s="603"/>
      <c r="EG216" s="603"/>
      <c r="EH216" s="1798"/>
      <c r="EI216" s="477"/>
      <c r="EJ216" s="477"/>
      <c r="EK216" s="477"/>
      <c r="EL216" s="477"/>
      <c r="EM216" s="477"/>
      <c r="EN216" s="477"/>
      <c r="EO216" s="477"/>
      <c r="EP216" s="477"/>
      <c r="EQ216" s="477"/>
      <c r="ER216" s="477"/>
      <c r="ES216" s="477"/>
      <c r="ET216" s="477"/>
      <c r="EU216" s="477"/>
      <c r="EV216" s="477"/>
      <c r="EW216" s="477"/>
      <c r="EX216" s="477"/>
    </row>
    <row r="217" spans="1:154" ht="12.75" customHeight="1">
      <c r="B217" s="1171"/>
      <c r="C217" s="1989"/>
      <c r="D217" s="28"/>
      <c r="E217" s="28"/>
      <c r="F217" s="28"/>
      <c r="G217" s="28"/>
      <c r="H217" s="28"/>
      <c r="I217" s="31"/>
      <c r="J217" s="28"/>
      <c r="K217" s="28"/>
      <c r="L217" s="28"/>
      <c r="M217" s="28"/>
      <c r="N217" s="31"/>
      <c r="O217" s="31"/>
      <c r="P217" s="31"/>
      <c r="Q217" s="31"/>
      <c r="R217" s="31"/>
      <c r="S217" s="31"/>
      <c r="T217" s="31"/>
      <c r="U217" s="31"/>
      <c r="V217" s="31"/>
      <c r="W217" s="31"/>
      <c r="X217" s="313"/>
      <c r="Y217" s="31"/>
      <c r="Z217" s="31"/>
      <c r="AA217" s="31"/>
      <c r="AB217" s="31"/>
      <c r="AC217" s="313"/>
      <c r="AD217" s="31"/>
      <c r="AE217" s="31"/>
      <c r="AF217" s="31"/>
      <c r="AG217" s="31"/>
      <c r="AH217" s="313"/>
      <c r="AI217" s="28"/>
      <c r="AJ217" s="28"/>
      <c r="AK217" s="28"/>
      <c r="AL217" s="31"/>
      <c r="AM217" s="313"/>
      <c r="AN217" s="28"/>
      <c r="AO217" s="28"/>
      <c r="AP217" s="28"/>
      <c r="AQ217" s="31"/>
      <c r="AR217" s="313"/>
      <c r="AS217" s="28"/>
      <c r="AT217" s="28"/>
      <c r="AU217" s="28"/>
      <c r="AV217" s="31"/>
      <c r="AW217" s="313"/>
      <c r="AX217" s="28"/>
      <c r="AY217" s="28"/>
      <c r="AZ217" s="28"/>
      <c r="BA217" s="28"/>
      <c r="BB217" s="313"/>
      <c r="BC217" s="28"/>
      <c r="BD217" s="28"/>
      <c r="BE217" s="28"/>
      <c r="BF217" s="28"/>
      <c r="BG217" s="313"/>
      <c r="BH217" s="28"/>
      <c r="BI217" s="28"/>
      <c r="BJ217" s="28"/>
      <c r="BK217" s="28"/>
      <c r="BL217" s="313"/>
      <c r="BM217" s="28"/>
      <c r="BN217" s="28"/>
      <c r="BO217" s="28"/>
      <c r="BP217" s="28"/>
      <c r="BQ217" s="600">
        <f>+BQ215/BL215-1</f>
      </c>
      <c r="BR217" s="28"/>
      <c r="BS217" s="28"/>
      <c r="BT217" s="28"/>
      <c r="BU217" s="28"/>
      <c r="BV217" s="725"/>
      <c r="BW217" s="28"/>
      <c r="BX217" s="28"/>
      <c r="BY217" s="28"/>
      <c r="BZ217" s="28"/>
      <c r="CA217" s="725"/>
      <c r="CB217" s="236"/>
      <c r="CC217" s="28"/>
      <c r="CD217" s="28"/>
      <c r="CE217" s="28"/>
      <c r="CF217" s="313"/>
      <c r="CG217" s="236"/>
      <c r="CH217" s="28"/>
      <c r="CI217" s="28"/>
      <c r="CJ217" s="28"/>
      <c r="CK217" s="313"/>
      <c r="CL217" s="947"/>
      <c r="CM217" s="933"/>
      <c r="CN217" s="933"/>
      <c r="CO217" s="28"/>
      <c r="CP217" s="313"/>
      <c r="CQ217" s="933"/>
      <c r="CR217" s="933"/>
      <c r="CS217" s="933"/>
      <c r="CT217" s="933"/>
      <c r="CU217" s="313"/>
      <c r="CV217" s="933"/>
      <c r="CW217" s="933"/>
      <c r="CX217" s="933"/>
      <c r="CY217" s="933"/>
      <c r="CZ217" s="313"/>
      <c r="DA217" s="933"/>
      <c r="DB217" s="31"/>
      <c r="DC217" s="31"/>
      <c r="DD217" s="955"/>
      <c r="DE217" s="477"/>
      <c r="DF217" s="982"/>
      <c r="DG217" s="603"/>
      <c r="DH217" s="603"/>
      <c r="DI217" s="1798"/>
      <c r="DJ217" s="477"/>
      <c r="DK217" s="1799"/>
      <c r="DL217" s="603"/>
      <c r="DM217" s="603"/>
      <c r="DN217" s="1798"/>
      <c r="DO217" s="477"/>
      <c r="DP217" s="603"/>
      <c r="DQ217" s="603"/>
      <c r="DR217" s="603"/>
      <c r="DS217" s="1798"/>
      <c r="DT217" s="477"/>
      <c r="DU217" s="603"/>
      <c r="DV217" s="603"/>
      <c r="DW217" s="603"/>
      <c r="DX217" s="1798"/>
      <c r="DY217" s="477"/>
      <c r="DZ217" s="603"/>
      <c r="EA217" s="603"/>
      <c r="EB217" s="603"/>
      <c r="EC217" s="1798"/>
      <c r="ED217" s="477"/>
      <c r="EE217" s="603"/>
      <c r="EF217" s="603"/>
      <c r="EG217" s="603"/>
      <c r="EH217" s="1798"/>
      <c r="EI217" s="477"/>
      <c r="EJ217" s="477"/>
      <c r="EK217" s="477"/>
      <c r="EL217" s="477"/>
      <c r="EM217" s="477"/>
      <c r="EN217" s="477"/>
      <c r="EO217" s="477"/>
      <c r="EP217" s="477"/>
      <c r="EQ217" s="477"/>
      <c r="ER217" s="477"/>
      <c r="ES217" s="477"/>
      <c r="ET217" s="477"/>
      <c r="EU217" s="477"/>
      <c r="EV217" s="477"/>
      <c r="EW217" s="477"/>
      <c r="EX217" s="477"/>
    </row>
    <row r="218" spans="1:154" ht="12.75" customHeight="1">
      <c r="B218" s="1170" t="s">
        <v>2</v>
      </c>
      <c r="C218" s="1989"/>
      <c r="D218" s="28"/>
      <c r="E218" s="28"/>
      <c r="F218" s="28"/>
      <c r="G218" s="28"/>
      <c r="H218" s="28"/>
      <c r="I218" s="31"/>
      <c r="J218" s="28"/>
      <c r="K218" s="28"/>
      <c r="L218" s="28"/>
      <c r="M218" s="28"/>
      <c r="N218" s="31"/>
      <c r="O218" s="31"/>
      <c r="P218" s="31"/>
      <c r="Q218" s="31"/>
      <c r="R218" s="31"/>
      <c r="S218" s="31"/>
      <c r="T218" s="31"/>
      <c r="U218" s="31"/>
      <c r="V218" s="31"/>
      <c r="W218" s="31"/>
      <c r="X218" s="313"/>
      <c r="Y218" s="31"/>
      <c r="Z218" s="31"/>
      <c r="AA218" s="31"/>
      <c r="AB218" s="31"/>
      <c r="AC218" s="313"/>
      <c r="AD218" s="31"/>
      <c r="AE218" s="31"/>
      <c r="AF218" s="31"/>
      <c r="AG218" s="31"/>
      <c r="AH218" s="313"/>
      <c r="AI218" s="28"/>
      <c r="AJ218" s="28"/>
      <c r="AK218" s="28"/>
      <c r="AL218" s="31"/>
      <c r="AM218" s="313"/>
      <c r="AN218" s="28"/>
      <c r="AO218" s="28"/>
      <c r="AP218" s="28"/>
      <c r="AQ218" s="31"/>
      <c r="AR218" s="313"/>
      <c r="AS218" s="28"/>
      <c r="AT218" s="28"/>
      <c r="AU218" s="28"/>
      <c r="AV218" s="31"/>
      <c r="AW218" s="313"/>
      <c r="AX218" s="28"/>
      <c r="AY218" s="28"/>
      <c r="AZ218" s="28"/>
      <c r="BA218" s="28"/>
      <c r="BB218" s="313"/>
      <c r="BC218" s="28"/>
      <c r="BD218" s="28"/>
      <c r="BE218" s="28"/>
      <c r="BF218" s="28"/>
      <c r="BG218" s="313"/>
      <c r="BH218" s="28"/>
      <c r="BI218" s="28"/>
      <c r="BJ218" s="28"/>
      <c r="BK218" s="28"/>
      <c r="BL218" s="313"/>
      <c r="BM218" s="28"/>
      <c r="BN218" s="28"/>
      <c r="BO218" s="28"/>
      <c r="BP218" s="28"/>
      <c r="BQ218" s="313"/>
      <c r="BR218" s="28"/>
      <c r="BS218" s="28"/>
      <c r="BT218" s="28"/>
      <c r="BU218" s="28"/>
      <c r="BV218" s="313"/>
      <c r="BW218" s="28"/>
      <c r="BX218" s="28"/>
      <c r="BY218" s="28"/>
      <c r="BZ218" s="28"/>
      <c r="CA218" s="313"/>
      <c r="CB218" s="28"/>
      <c r="CC218" s="28"/>
      <c r="CD218" s="28"/>
      <c r="CE218" s="28"/>
      <c r="CF218" s="313"/>
      <c r="CG218" s="28"/>
      <c r="CH218" s="28"/>
      <c r="CI218" s="28"/>
      <c r="CJ218" s="28"/>
      <c r="CK218" s="313"/>
      <c r="CL218" s="933"/>
      <c r="CM218" s="933"/>
      <c r="CN218" s="933"/>
      <c r="CO218" s="28"/>
      <c r="CP218" s="313"/>
      <c r="CQ218" s="933"/>
      <c r="CR218" s="933"/>
      <c r="CS218" s="933"/>
      <c r="CT218" s="933"/>
      <c r="CU218" s="313"/>
      <c r="CV218" s="933"/>
      <c r="CW218" s="933"/>
      <c r="CX218" s="933"/>
      <c r="CY218" s="933"/>
      <c r="CZ218" s="313"/>
      <c r="DA218" s="933"/>
      <c r="DB218" s="31"/>
      <c r="DC218" s="31"/>
      <c r="DD218" s="955"/>
      <c r="DE218" s="477"/>
      <c r="DF218" s="982"/>
      <c r="DG218" s="603"/>
      <c r="DH218" s="603"/>
      <c r="DI218" s="1798"/>
      <c r="DJ218" s="477"/>
      <c r="DK218" s="1799"/>
      <c r="DL218" s="603"/>
      <c r="DM218" s="603"/>
      <c r="DN218" s="1798"/>
      <c r="DO218" s="477"/>
      <c r="DP218" s="603"/>
      <c r="DQ218" s="603"/>
      <c r="DR218" s="603"/>
      <c r="DS218" s="1798"/>
      <c r="DT218" s="313"/>
      <c r="DU218" s="603"/>
      <c r="DV218" s="603"/>
      <c r="DW218" s="603"/>
      <c r="DX218" s="1798"/>
      <c r="DY218" s="313"/>
      <c r="DZ218" s="603"/>
      <c r="EA218" s="3480"/>
      <c r="EB218" s="3480"/>
      <c r="EC218" s="3480"/>
      <c r="ED218" s="1835"/>
      <c r="EE218" s="603"/>
      <c r="EF218" s="3480"/>
      <c r="EG218" s="3480"/>
      <c r="EH218" s="3480"/>
      <c r="EI218" s="477"/>
      <c r="EJ218" s="477"/>
      <c r="EK218" s="477"/>
      <c r="EL218" s="477"/>
      <c r="EM218" s="477"/>
      <c r="EN218" s="477"/>
      <c r="EO218" s="477"/>
      <c r="EP218" s="477"/>
      <c r="EQ218" s="477"/>
      <c r="ER218" s="477"/>
      <c r="ES218" s="477"/>
      <c r="ET218" s="477"/>
      <c r="EU218" s="477"/>
      <c r="EV218" s="477"/>
      <c r="EW218" s="477"/>
      <c r="EX218" s="477"/>
    </row>
    <row r="219" spans="1:154" ht="12.75" customHeight="1">
      <c r="A219" s="3275" t="str">
        <f>A221&amp;" - US"</f>
      </c>
      <c r="B219" s="1171" t="s">
        <v>925</v>
      </c>
      <c r="C219" s="1995">
        <v>45323</v>
      </c>
      <c r="D219" s="28"/>
      <c r="E219" s="28"/>
      <c r="F219" s="28"/>
      <c r="G219" s="28"/>
      <c r="H219" s="28"/>
      <c r="I219" s="31"/>
      <c r="J219" s="28"/>
      <c r="K219" s="28"/>
      <c r="L219" s="28"/>
      <c r="M219" s="28"/>
      <c r="N219" s="31"/>
      <c r="O219" s="31"/>
      <c r="P219" s="31"/>
      <c r="Q219" s="31"/>
      <c r="R219" s="31"/>
      <c r="S219" s="31"/>
      <c r="T219" s="31"/>
      <c r="U219" s="31"/>
      <c r="V219" s="31"/>
      <c r="W219" s="31"/>
      <c r="X219" s="320"/>
      <c r="Y219" s="31"/>
      <c r="Z219" s="31"/>
      <c r="AA219" s="31"/>
      <c r="AB219" s="31"/>
      <c r="AC219" s="320"/>
      <c r="AD219" s="31"/>
      <c r="AE219" s="31"/>
      <c r="AF219" s="31"/>
      <c r="AG219" s="31"/>
      <c r="AH219" s="320"/>
      <c r="AI219" s="28"/>
      <c r="AJ219" s="28"/>
      <c r="AK219" s="28"/>
      <c r="AL219" s="31"/>
      <c r="AM219" s="320"/>
      <c r="AN219" s="28"/>
      <c r="AO219" s="28"/>
      <c r="AP219" s="28"/>
      <c r="AQ219" s="31"/>
      <c r="AR219" s="320"/>
      <c r="AS219" s="28"/>
      <c r="AT219" s="28"/>
      <c r="AU219" s="28"/>
      <c r="AV219" s="28"/>
      <c r="AW219" s="320"/>
      <c r="AX219" s="28"/>
      <c r="AY219" s="28"/>
      <c r="AZ219" s="28"/>
      <c r="BA219" s="28"/>
      <c r="BB219" s="320">
        <v>0</v>
      </c>
      <c r="BC219" s="33">
        <v>0</v>
      </c>
      <c r="BD219" s="33">
        <v>15</v>
      </c>
      <c r="BE219" s="33">
        <v>35</v>
      </c>
      <c r="BF219" s="33">
        <v>40</v>
      </c>
      <c r="BG219" s="312">
        <f>+SUM(BC219:BF219)</f>
      </c>
      <c r="BH219" s="33">
        <v>39</v>
      </c>
      <c r="BI219" s="33">
        <v>47</v>
      </c>
      <c r="BJ219" s="33">
        <v>51</v>
      </c>
      <c r="BK219" s="33">
        <v>56</v>
      </c>
      <c r="BL219" s="313">
        <f>SUM(BH219:BK219)</f>
      </c>
      <c r="BM219" s="33">
        <v>53</v>
      </c>
      <c r="BN219" s="33">
        <v>61</v>
      </c>
      <c r="BO219" s="33">
        <v>59</v>
      </c>
      <c r="BP219" s="33">
        <v>62</v>
      </c>
      <c r="BQ219" s="313">
        <f>SUM(BM219:BP219)</f>
      </c>
      <c r="BR219" s="33">
        <v>64</v>
      </c>
      <c r="BS219" s="33">
        <v>63</v>
      </c>
      <c r="BT219" s="33">
        <v>93</v>
      </c>
      <c r="BU219" s="352">
        <v>72</v>
      </c>
      <c r="BV219" s="313">
        <f>SUM(BR219:BU219)</f>
      </c>
      <c r="BW219" s="577">
        <v>94</v>
      </c>
      <c r="BX219" s="577">
        <v>87</v>
      </c>
      <c r="BY219" s="577">
        <v>111</v>
      </c>
      <c r="BZ219" s="577">
        <v>112</v>
      </c>
      <c r="CA219" s="324">
        <f>SUM(BW219:BZ219)</f>
      </c>
      <c r="CB219" s="577">
        <v>104</v>
      </c>
      <c r="CC219" s="577">
        <v>132</v>
      </c>
      <c r="CD219" s="577">
        <v>144</v>
      </c>
      <c r="CE219" s="577">
        <v>164</v>
      </c>
      <c r="CF219" s="324">
        <f>SUM(CB219:CE219)</f>
      </c>
      <c r="CG219" s="577">
        <v>155</v>
      </c>
      <c r="CH219" s="577">
        <v>172</v>
      </c>
      <c r="CI219" s="577">
        <v>199</v>
      </c>
      <c r="CJ219" s="577">
        <v>204</v>
      </c>
      <c r="CK219" s="324">
        <f>SUM(CG219:CJ219)</f>
      </c>
      <c r="CL219" s="577">
        <v>216</v>
      </c>
      <c r="CM219" s="577">
        <v>244</v>
      </c>
      <c r="CN219" s="577">
        <v>256</v>
      </c>
      <c r="CO219" s="577">
        <v>243</v>
      </c>
      <c r="CP219" s="324">
        <f>SUM(CL219:CO219)</f>
      </c>
      <c r="CQ219" s="577">
        <v>229</v>
      </c>
      <c r="CR219" s="577">
        <v>230</v>
      </c>
      <c r="CS219" s="577">
        <v>242</v>
      </c>
      <c r="CT219" s="577">
        <v>253</v>
      </c>
      <c r="CU219" s="324">
        <f>SUM(CQ219:CT219)</f>
      </c>
      <c r="CV219" s="577">
        <v>224</v>
      </c>
      <c r="CW219" s="577">
        <v>274</v>
      </c>
      <c r="CX219" s="577">
        <v>281</v>
      </c>
      <c r="CY219" s="577">
        <v>272</v>
      </c>
      <c r="CZ219" s="324">
        <f>SUM(CV219:CY219)</f>
      </c>
      <c r="DA219" s="577">
        <v>263</v>
      </c>
      <c r="DB219" s="577">
        <v>281</v>
      </c>
      <c r="DC219" s="577">
        <v>313</v>
      </c>
      <c r="DD219" s="1205">
        <v>302</v>
      </c>
      <c r="DE219" s="1835">
        <f>SUM(DA219:DD219)</f>
      </c>
      <c r="DF219" s="710">
        <v>272</v>
      </c>
      <c r="DG219" s="710">
        <v>256</v>
      </c>
      <c r="DH219" s="710">
        <v>312</v>
      </c>
      <c r="DI219" s="1839">
        <v>315</v>
      </c>
      <c r="DJ219" s="1835">
        <f>SUM(DF219:DI219)</f>
      </c>
      <c r="DK219" s="710">
        <v>255</v>
      </c>
      <c r="DL219" s="710">
        <v>290</v>
      </c>
      <c r="DM219" s="710">
        <v>295</v>
      </c>
      <c r="DN219" s="1839">
        <v>287</v>
      </c>
      <c r="DO219" s="1835">
        <f>SUM(DK219:DN219)</f>
      </c>
      <c r="DP219" s="710">
        <v>287</v>
      </c>
      <c r="DQ219" s="710">
        <v>301</v>
      </c>
      <c r="DR219" s="710">
        <v>298</v>
      </c>
      <c r="DS219" s="1839">
        <v>280</v>
      </c>
      <c r="DT219" s="324">
        <f>SUM(DP219:DS219)</f>
      </c>
      <c r="DU219" s="710">
        <v>271</v>
      </c>
      <c r="DV219" s="710">
        <v>285</v>
      </c>
      <c r="DW219" s="710">
        <v>310</v>
      </c>
      <c r="DX219" s="710">
        <v>258.39999999999998</v>
      </c>
      <c r="DY219" s="324">
        <f>SUM(DU219:DX219)</f>
      </c>
      <c r="DZ219" s="710">
        <v>254.4</v>
      </c>
      <c r="EA219" s="710">
        <v>267</v>
      </c>
      <c r="EB219" s="710">
        <v>298.5</v>
      </c>
      <c r="EC219" s="1839">
        <v>262</v>
      </c>
      <c r="ED219" s="1835">
        <f>SUM(DZ219:EC219)</f>
      </c>
      <c r="EE219" s="710">
        <v>292</v>
      </c>
      <c r="EF219" s="710">
        <v>305</v>
      </c>
      <c r="EG219" s="710">
        <v>309</v>
      </c>
      <c r="EH219" s="1544">
        <v>300</v>
      </c>
      <c r="EI219" s="1835">
        <f>SUM(EE219:EH219)</f>
      </c>
      <c r="EJ219" s="1835">
        <f t="shared" ref="EJ219" si="541">+EI219*(1+EJ224)</f>
      </c>
      <c r="EK219" s="1835">
        <f t="shared" ref="EK219" si="542">+EJ219*(1+EK224)</f>
      </c>
      <c r="EL219" s="1835">
        <f t="shared" ref="EL219" si="543">+EK219*(1+EL224)</f>
      </c>
      <c r="EM219" s="1835">
        <f t="shared" ref="EM219" si="544">+EL219*(1+EM224)</f>
      </c>
      <c r="EN219" s="1835">
        <f t="shared" ref="EN219" si="545">+EM219*(1+EN224)</f>
      </c>
      <c r="EO219" s="1835">
        <f t="shared" ref="EO219" si="546">+EN219*(1+EO224)</f>
      </c>
      <c r="EP219" s="1835">
        <f t="shared" ref="EP219" si="547">+EO219*(1+EP224)</f>
      </c>
      <c r="EQ219" s="1835">
        <f t="shared" ref="EQ219" si="548">+EP219*(1+EQ224)</f>
      </c>
      <c r="ER219" s="1835">
        <f t="shared" ref="ER219" si="549">+EQ219*(1+ER224)</f>
      </c>
      <c r="ES219" s="1835">
        <f t="shared" ref="ES219" si="550">+ER219*(1+ES224)</f>
      </c>
      <c r="ET219" s="1835"/>
      <c r="EU219" s="1835"/>
      <c r="EV219" s="1835"/>
      <c r="EW219" s="1835"/>
      <c r="EX219" s="1835"/>
    </row>
    <row r="220" spans="1:154" ht="12.75" customHeight="1">
      <c r="A220" s="3275" t="str">
        <f>+A221&amp;" - OUS"</f>
      </c>
      <c r="B220" s="1171" t="s">
        <v>412</v>
      </c>
      <c r="C220" s="1999" t="s">
        <v>666</v>
      </c>
      <c r="D220" s="28"/>
      <c r="E220" s="28"/>
      <c r="F220" s="28"/>
      <c r="G220" s="28"/>
      <c r="H220" s="28"/>
      <c r="I220" s="31"/>
      <c r="J220" s="28"/>
      <c r="K220" s="28"/>
      <c r="L220" s="28"/>
      <c r="M220" s="28"/>
      <c r="N220" s="31"/>
      <c r="O220" s="31"/>
      <c r="P220" s="31"/>
      <c r="Q220" s="31"/>
      <c r="R220" s="31"/>
      <c r="S220" s="31"/>
      <c r="T220" s="31"/>
      <c r="U220" s="31"/>
      <c r="V220" s="31"/>
      <c r="W220" s="31"/>
      <c r="X220" s="320"/>
      <c r="Y220" s="31"/>
      <c r="Z220" s="31"/>
      <c r="AA220" s="31"/>
      <c r="AB220" s="31"/>
      <c r="AC220" s="320"/>
      <c r="AD220" s="31"/>
      <c r="AE220" s="31"/>
      <c r="AF220" s="31"/>
      <c r="AG220" s="31"/>
      <c r="AH220" s="320"/>
      <c r="AI220" s="28"/>
      <c r="AJ220" s="28"/>
      <c r="AK220" s="28"/>
      <c r="AL220" s="31"/>
      <c r="AM220" s="320"/>
      <c r="AN220" s="28"/>
      <c r="AO220" s="28"/>
      <c r="AP220" s="28"/>
      <c r="AQ220" s="31"/>
      <c r="AR220" s="320"/>
      <c r="AS220" s="28"/>
      <c r="AT220" s="28"/>
      <c r="AU220" s="28"/>
      <c r="AV220" s="28"/>
      <c r="AW220" s="320"/>
      <c r="AX220" s="28"/>
      <c r="AY220" s="28"/>
      <c r="AZ220" s="28"/>
      <c r="BA220" s="28"/>
      <c r="BB220" s="320">
        <v>0</v>
      </c>
      <c r="BC220" s="33">
        <v>0</v>
      </c>
      <c r="BD220" s="33">
        <v>0</v>
      </c>
      <c r="BE220" s="33">
        <v>0</v>
      </c>
      <c r="BF220" s="33">
        <v>1</v>
      </c>
      <c r="BG220" s="312">
        <f>+SUM(BC220:BF220)</f>
      </c>
      <c r="BH220" s="33">
        <v>3</v>
      </c>
      <c r="BI220" s="33">
        <v>12</v>
      </c>
      <c r="BJ220" s="33">
        <v>9</v>
      </c>
      <c r="BK220" s="33">
        <v>9</v>
      </c>
      <c r="BL220" s="320">
        <f>SUM(BH220:BK220)</f>
      </c>
      <c r="BM220" s="33">
        <v>42</v>
      </c>
      <c r="BN220" s="33">
        <v>6</v>
      </c>
      <c r="BO220" s="33">
        <v>70</v>
      </c>
      <c r="BP220" s="33">
        <v>57</v>
      </c>
      <c r="BQ220" s="313">
        <f>SUM(BM220:BP220)</f>
      </c>
      <c r="BR220" s="33">
        <v>52</v>
      </c>
      <c r="BS220" s="33">
        <v>62</v>
      </c>
      <c r="BT220" s="33">
        <v>92</v>
      </c>
      <c r="BU220" s="352">
        <v>109</v>
      </c>
      <c r="BV220" s="312">
        <f>SUM(BR220:BU220)</f>
      </c>
      <c r="BW220" s="577">
        <v>143</v>
      </c>
      <c r="BX220" s="577">
        <v>88</v>
      </c>
      <c r="BY220" s="577">
        <v>155</v>
      </c>
      <c r="BZ220" s="577">
        <v>142</v>
      </c>
      <c r="CA220" s="303">
        <f>SUM(BW220:BZ220)</f>
      </c>
      <c r="CB220" s="577">
        <v>155</v>
      </c>
      <c r="CC220" s="577">
        <v>150</v>
      </c>
      <c r="CD220" s="577">
        <v>156</v>
      </c>
      <c r="CE220" s="577">
        <v>182</v>
      </c>
      <c r="CF220" s="303">
        <f>SUM(CB220:CE220)</f>
      </c>
      <c r="CG220" s="577">
        <v>145</v>
      </c>
      <c r="CH220" s="577">
        <v>136</v>
      </c>
      <c r="CI220" s="577">
        <v>181</v>
      </c>
      <c r="CJ220" s="577">
        <v>136</v>
      </c>
      <c r="CK220" s="303">
        <f>SUM(CG220:CJ220)</f>
      </c>
      <c r="CL220" s="577">
        <v>174</v>
      </c>
      <c r="CM220" s="577">
        <v>204</v>
      </c>
      <c r="CN220" s="577">
        <v>225</v>
      </c>
      <c r="CO220" s="577">
        <v>183</v>
      </c>
      <c r="CP220" s="303">
        <f>SUM(CL220:CO220)</f>
      </c>
      <c r="CQ220" s="577">
        <v>199</v>
      </c>
      <c r="CR220" s="577">
        <v>209</v>
      </c>
      <c r="CS220" s="577">
        <v>234</v>
      </c>
      <c r="CT220" s="577">
        <v>237</v>
      </c>
      <c r="CU220" s="303">
        <f>SUM(CQ220:CT220)</f>
      </c>
      <c r="CV220" s="577">
        <v>294</v>
      </c>
      <c r="CW220" s="577">
        <v>274</v>
      </c>
      <c r="CX220" s="577">
        <v>255</v>
      </c>
      <c r="CY220" s="577">
        <v>210</v>
      </c>
      <c r="CZ220" s="303">
        <f>SUM(CV220:CY220)</f>
      </c>
      <c r="DA220" s="577">
        <v>261</v>
      </c>
      <c r="DB220" s="577">
        <v>282</v>
      </c>
      <c r="DC220" s="577">
        <v>273</v>
      </c>
      <c r="DD220" s="1205">
        <v>213</v>
      </c>
      <c r="DE220" s="573">
        <f>SUM(DA220:DD220)</f>
      </c>
      <c r="DF220" s="710">
        <v>258</v>
      </c>
      <c r="DG220" s="710">
        <v>289</v>
      </c>
      <c r="DH220" s="710">
        <v>280</v>
      </c>
      <c r="DI220" s="1839">
        <v>261</v>
      </c>
      <c r="DJ220" s="573">
        <f>SUM(DF220:DI220)</f>
      </c>
      <c r="DK220" s="710">
        <v>307</v>
      </c>
      <c r="DL220" s="710">
        <v>294</v>
      </c>
      <c r="DM220" s="710">
        <v>276</v>
      </c>
      <c r="DN220" s="1839">
        <v>271</v>
      </c>
      <c r="DO220" s="573">
        <f>SUM(DK220:DN220)</f>
      </c>
      <c r="DP220" s="710">
        <v>283</v>
      </c>
      <c r="DQ220" s="1544">
        <v>266</v>
      </c>
      <c r="DR220" s="1544">
        <v>248</v>
      </c>
      <c r="DS220" s="1552">
        <v>220</v>
      </c>
      <c r="DT220" s="324">
        <f>SUM(DP220:DS220)</f>
      </c>
      <c r="DU220" s="710">
        <v>266</v>
      </c>
      <c r="DV220" s="710">
        <v>244</v>
      </c>
      <c r="DW220" s="710">
        <v>319</v>
      </c>
      <c r="DX220" s="710">
        <v>243.5</v>
      </c>
      <c r="DY220" s="324">
        <f>SUM(DU220:DX220)</f>
      </c>
      <c r="DZ220" s="1544">
        <v>299.39999999999998</v>
      </c>
      <c r="EA220" s="1544">
        <v>270</v>
      </c>
      <c r="EB220" s="1544">
        <v>217.5</v>
      </c>
      <c r="EC220" s="1552">
        <v>321</v>
      </c>
      <c r="ED220" s="1835">
        <f t="shared" ref="ED220" si="551">SUM(DZ220:EC220)</f>
      </c>
      <c r="EE220" s="1544">
        <v>366</v>
      </c>
      <c r="EF220" s="1544">
        <v>387</v>
      </c>
      <c r="EG220" s="1544">
        <v>377</v>
      </c>
      <c r="EH220" s="1544">
        <v>380</v>
      </c>
      <c r="EI220" s="1835">
        <f t="shared" ref="EI220" si="552">SUM(EE220:EH220)</f>
      </c>
      <c r="EJ220" s="573">
        <f t="shared" ref="EJ220" si="553">EI220*(1+EJ225)</f>
      </c>
      <c r="EK220" s="573">
        <f t="shared" ref="EK220" si="554">EJ220*(1+EK225)</f>
      </c>
      <c r="EL220" s="573">
        <f t="shared" ref="EL220" si="555">EK220*(1+EL225)</f>
      </c>
      <c r="EM220" s="573">
        <f t="shared" ref="EM220" si="556">EL220*(1+EM225)</f>
      </c>
      <c r="EN220" s="573">
        <f t="shared" ref="EN220" si="557">EM220*(1+EN225)</f>
      </c>
      <c r="EO220" s="573">
        <f t="shared" ref="EO220" si="558">EN220*(1+EO225)</f>
      </c>
      <c r="EP220" s="573">
        <f t="shared" ref="EP220" si="559">EO220*(1+EP225)</f>
      </c>
      <c r="EQ220" s="573">
        <f t="shared" ref="EQ220" si="560">EP220*(1+EQ225)</f>
      </c>
      <c r="ER220" s="573">
        <f t="shared" ref="ER220" si="561">EQ220*(1+ER225)</f>
      </c>
      <c r="ES220" s="573">
        <f t="shared" ref="ES220" si="562">ER220*(1+ES225)</f>
      </c>
      <c r="ET220" s="573"/>
      <c r="EU220" s="573"/>
      <c r="EV220" s="573"/>
      <c r="EW220" s="573"/>
      <c r="EX220" s="573"/>
    </row>
    <row r="221" spans="1:154" ht="12.75" customHeight="1">
      <c r="A221" s="3275" t="s">
        <v>2</v>
      </c>
      <c r="B221" s="1171" t="s">
        <v>413</v>
      </c>
      <c r="C221" s="1989"/>
      <c r="D221" s="28"/>
      <c r="E221" s="28"/>
      <c r="F221" s="28"/>
      <c r="G221" s="28"/>
      <c r="H221" s="28"/>
      <c r="I221" s="31"/>
      <c r="J221" s="28"/>
      <c r="K221" s="28"/>
      <c r="L221" s="28"/>
      <c r="M221" s="28"/>
      <c r="N221" s="31"/>
      <c r="O221" s="31"/>
      <c r="P221" s="31"/>
      <c r="Q221" s="31"/>
      <c r="R221" s="31"/>
      <c r="S221" s="31"/>
      <c r="T221" s="31"/>
      <c r="U221" s="31"/>
      <c r="V221" s="31"/>
      <c r="W221" s="31"/>
      <c r="X221" s="312"/>
      <c r="Y221" s="31"/>
      <c r="Z221" s="31"/>
      <c r="AA221" s="31"/>
      <c r="AB221" s="31"/>
      <c r="AC221" s="312"/>
      <c r="AD221" s="31"/>
      <c r="AE221" s="31"/>
      <c r="AF221" s="31"/>
      <c r="AG221" s="31"/>
      <c r="AH221" s="312"/>
      <c r="AI221" s="28"/>
      <c r="AJ221" s="28"/>
      <c r="AK221" s="28"/>
      <c r="AL221" s="31"/>
      <c r="AM221" s="312"/>
      <c r="AN221" s="28"/>
      <c r="AO221" s="28"/>
      <c r="AP221" s="28"/>
      <c r="AQ221" s="31"/>
      <c r="AR221" s="312"/>
      <c r="AS221" s="28"/>
      <c r="AT221" s="28"/>
      <c r="AU221" s="28"/>
      <c r="AV221" s="28"/>
      <c r="AW221" s="312"/>
      <c r="AX221" s="28"/>
      <c r="AY221" s="28"/>
      <c r="AZ221" s="28"/>
      <c r="BA221" s="28"/>
      <c r="BB221" s="312">
        <f t="shared" ref="BB221:BJ221" si="563">SUM(BB219:BB220)</f>
      </c>
      <c r="BC221" s="28">
        <f t="shared" si="563"/>
      </c>
      <c r="BD221" s="28">
        <f t="shared" si="563"/>
      </c>
      <c r="BE221" s="28">
        <f t="shared" si="563"/>
      </c>
      <c r="BF221" s="28">
        <f t="shared" si="563"/>
      </c>
      <c r="BG221" s="313">
        <f t="shared" si="563"/>
      </c>
      <c r="BH221" s="28">
        <f t="shared" si="563"/>
      </c>
      <c r="BI221" s="28">
        <f t="shared" si="563"/>
      </c>
      <c r="BJ221" s="28">
        <f t="shared" si="563"/>
      </c>
      <c r="BK221" s="28">
        <f>+BK219+BK220</f>
      </c>
      <c r="BL221" s="313">
        <f>SUM(BL219:BL220)</f>
      </c>
      <c r="BM221" s="28">
        <f>SUM(BM219:BM220)</f>
      </c>
      <c r="BN221" s="28">
        <f>SUM(BN219:BN220)</f>
      </c>
      <c r="BO221" s="28">
        <f>SUM(BO219:BO220)</f>
      </c>
      <c r="BP221" s="28">
        <f>+BP219+BP220</f>
      </c>
      <c r="BQ221" s="313">
        <f>SUM(BQ219:BQ220)</f>
      </c>
      <c r="BR221" s="28">
        <f>SUM(BR219:BR220)</f>
      </c>
      <c r="BS221" s="28">
        <f>SUM(BS219:BS220)</f>
      </c>
      <c r="BT221" s="28">
        <f>SUM(BT219:BT220)</f>
      </c>
      <c r="BU221" s="28">
        <f>+BU219+BU220</f>
      </c>
      <c r="BV221" s="313">
        <f>SUM(BV219:BV220)</f>
      </c>
      <c r="BW221" s="28">
        <f t="shared" ref="BW221:CG221" si="564">SUM(BW219:BW220)</f>
      </c>
      <c r="BX221" s="28">
        <f t="shared" si="564"/>
      </c>
      <c r="BY221" s="28">
        <f t="shared" si="564"/>
      </c>
      <c r="BZ221" s="28">
        <f t="shared" si="564"/>
      </c>
      <c r="CA221" s="313">
        <f>SUM(CA219:CA220)</f>
      </c>
      <c r="CB221" s="28">
        <f t="shared" si="564"/>
      </c>
      <c r="CC221" s="28">
        <f t="shared" si="564"/>
      </c>
      <c r="CD221" s="28">
        <f>SUM(CD219:CD220)</f>
      </c>
      <c r="CE221" s="28">
        <f>SUM(CE219:CE220)</f>
      </c>
      <c r="CF221" s="313">
        <f>SUM(CF219:CF220)</f>
      </c>
      <c r="CG221" s="28">
        <f t="shared" si="564"/>
      </c>
      <c r="CH221" s="28">
        <f t="shared" ref="CH221:DC221" si="565">SUM(CH219:CH220)</f>
      </c>
      <c r="CI221" s="28">
        <f t="shared" si="565"/>
      </c>
      <c r="CJ221" s="28">
        <f t="shared" si="565"/>
      </c>
      <c r="CK221" s="313">
        <f t="shared" si="565"/>
      </c>
      <c r="CL221" s="28">
        <f t="shared" si="565"/>
      </c>
      <c r="CM221" s="28">
        <f t="shared" si="565"/>
      </c>
      <c r="CN221" s="28">
        <f t="shared" si="565"/>
      </c>
      <c r="CO221" s="28">
        <f t="shared" si="565"/>
      </c>
      <c r="CP221" s="313">
        <f t="shared" si="565"/>
      </c>
      <c r="CQ221" s="933">
        <f t="shared" si="565"/>
      </c>
      <c r="CR221" s="948">
        <f t="shared" si="565"/>
      </c>
      <c r="CS221" s="948">
        <f t="shared" si="565"/>
      </c>
      <c r="CT221" s="948">
        <f t="shared" si="565"/>
      </c>
      <c r="CU221" s="313">
        <f t="shared" si="565"/>
      </c>
      <c r="CV221" s="948">
        <f t="shared" si="565"/>
      </c>
      <c r="CW221" s="948">
        <f t="shared" si="565"/>
      </c>
      <c r="CX221" s="948">
        <f t="shared" si="565"/>
      </c>
      <c r="CY221" s="948">
        <f t="shared" si="565"/>
      </c>
      <c r="CZ221" s="313">
        <f t="shared" si="565"/>
      </c>
      <c r="DA221" s="948">
        <f t="shared" si="565"/>
      </c>
      <c r="DB221" s="948">
        <f t="shared" si="565"/>
      </c>
      <c r="DC221" s="36">
        <f t="shared" si="565"/>
      </c>
      <c r="DD221" s="984">
        <f>+DD219+DD220</f>
      </c>
      <c r="DE221" s="1835">
        <f>SUM(DE219:DE220)</f>
      </c>
      <c r="DF221" s="1542">
        <f>SUM(DF219:DF220)</f>
      </c>
      <c r="DG221" s="1542">
        <f>SUM(DG219:DG220)</f>
      </c>
      <c r="DH221" s="1542">
        <f>SUM(DH219:DH220)</f>
      </c>
      <c r="DI221" s="1556">
        <f>+DI219+DI220</f>
      </c>
      <c r="DJ221" s="1835">
        <f>SUM(DJ219:DJ220)</f>
      </c>
      <c r="DK221" s="1542">
        <f>SUM(DK219:DK220)</f>
      </c>
      <c r="DL221" s="1542">
        <f>SUM(DL219:DL220)</f>
      </c>
      <c r="DM221" s="1542">
        <f>SUM(DM219:DM220)</f>
      </c>
      <c r="DN221" s="1556">
        <f>+DN219+DN220</f>
      </c>
      <c r="DO221" s="1835">
        <f>SUM(DO219:DO220)</f>
      </c>
      <c r="DP221" s="1542">
        <f>SUM(DP219:DP220)</f>
      </c>
      <c r="DQ221" s="1542">
        <f>SUM(DQ219:DQ220)</f>
      </c>
      <c r="DR221" s="1542">
        <f>SUM(DR219:DR220)</f>
      </c>
      <c r="DS221" s="1556">
        <f>+DS219+DS220</f>
      </c>
      <c r="DT221" s="324">
        <f t="shared" ref="DT221:EB221" si="566">SUM(DT219:DT220)</f>
      </c>
      <c r="DU221" s="1542">
        <f t="shared" si="566"/>
      </c>
      <c r="DV221" s="1542">
        <f t="shared" si="566"/>
      </c>
      <c r="DW221" s="1542">
        <f t="shared" si="566"/>
      </c>
      <c r="DX221" s="1542">
        <f t="shared" si="566"/>
      </c>
      <c r="DY221" s="324">
        <f t="shared" si="566"/>
      </c>
      <c r="DZ221" s="1542">
        <f t="shared" si="566"/>
      </c>
      <c r="EA221" s="1542">
        <f t="shared" si="566"/>
      </c>
      <c r="EB221" s="1542">
        <f t="shared" si="566"/>
      </c>
      <c r="EC221" s="1556">
        <f>+EC219+EC220</f>
      </c>
      <c r="ED221" s="1835">
        <f t="shared" ref="ED221:EG221" si="567">SUM(ED219:ED220)</f>
      </c>
      <c r="EE221" s="1542">
        <f t="shared" si="567"/>
      </c>
      <c r="EF221" s="1542">
        <f t="shared" si="567"/>
      </c>
      <c r="EG221" s="1542">
        <f t="shared" si="567"/>
      </c>
      <c r="EH221" s="1556">
        <f>+EH219+EH220</f>
      </c>
      <c r="EI221" s="1835">
        <f t="shared" ref="EI221" si="568">SUM(EI219:EI220)</f>
      </c>
      <c r="EJ221" s="1835">
        <f t="shared" ref="EJ221:EM221" si="569">SUM(EJ219:EJ220)</f>
      </c>
      <c r="EK221" s="1835">
        <f t="shared" si="569"/>
      </c>
      <c r="EL221" s="1835">
        <f t="shared" si="569"/>
      </c>
      <c r="EM221" s="1835">
        <f t="shared" si="569"/>
      </c>
      <c r="EN221" s="1835">
        <f t="shared" ref="EN221:ES221" si="570">SUM(EN219:EN220)</f>
      </c>
      <c r="EO221" s="477">
        <f t="shared" si="570"/>
      </c>
      <c r="EP221" s="477">
        <f t="shared" si="570"/>
      </c>
      <c r="EQ221" s="477">
        <f t="shared" si="570"/>
      </c>
      <c r="ER221" s="477">
        <f t="shared" si="570"/>
      </c>
      <c r="ES221" s="477">
        <f t="shared" si="570"/>
      </c>
      <c r="ET221" s="477"/>
      <c r="EU221" s="477"/>
      <c r="EV221" s="477"/>
      <c r="EW221" s="477"/>
      <c r="EX221" s="477"/>
    </row>
    <row r="222" spans="1:154" ht="12.75" customHeight="1">
      <c r="B222" s="1171"/>
      <c r="C222" s="1989"/>
      <c r="D222" s="28"/>
      <c r="E222" s="28"/>
      <c r="F222" s="28"/>
      <c r="G222" s="28"/>
      <c r="H222" s="28"/>
      <c r="I222" s="31"/>
      <c r="J222" s="28"/>
      <c r="K222" s="28"/>
      <c r="L222" s="28"/>
      <c r="M222" s="28"/>
      <c r="N222" s="31"/>
      <c r="O222" s="31"/>
      <c r="P222" s="31"/>
      <c r="Q222" s="31"/>
      <c r="R222" s="31"/>
      <c r="S222" s="31"/>
      <c r="T222" s="31"/>
      <c r="U222" s="31"/>
      <c r="V222" s="31"/>
      <c r="W222" s="31"/>
      <c r="X222" s="313"/>
      <c r="Y222" s="31"/>
      <c r="Z222" s="31"/>
      <c r="AA222" s="31"/>
      <c r="AB222" s="31"/>
      <c r="AC222" s="313"/>
      <c r="AD222" s="31"/>
      <c r="AE222" s="31"/>
      <c r="AF222" s="31"/>
      <c r="AG222" s="31"/>
      <c r="AH222" s="313"/>
      <c r="AI222" s="28"/>
      <c r="AJ222" s="28"/>
      <c r="AK222" s="28"/>
      <c r="AL222" s="31"/>
      <c r="AM222" s="313"/>
      <c r="AN222" s="28"/>
      <c r="AO222" s="28"/>
      <c r="AP222" s="28"/>
      <c r="AQ222" s="31"/>
      <c r="AR222" s="313"/>
      <c r="AS222" s="28"/>
      <c r="AT222" s="28"/>
      <c r="AU222" s="28"/>
      <c r="AV222" s="28"/>
      <c r="AW222" s="313"/>
      <c r="AX222" s="28"/>
      <c r="AY222" s="28"/>
      <c r="AZ222" s="28"/>
      <c r="BA222" s="28"/>
      <c r="BB222" s="313"/>
      <c r="BC222" s="28"/>
      <c r="BD222" s="28"/>
      <c r="BE222" s="28"/>
      <c r="BF222" s="28"/>
      <c r="BG222" s="313"/>
      <c r="BH222" s="28"/>
      <c r="BI222" s="28"/>
      <c r="BJ222" s="28"/>
      <c r="BK222" s="28"/>
      <c r="BL222" s="313"/>
      <c r="BM222" s="28"/>
      <c r="BN222" s="28"/>
      <c r="BO222" s="28"/>
      <c r="BP222" s="28"/>
      <c r="BQ222" s="313"/>
      <c r="BR222" s="28"/>
      <c r="BS222" s="28"/>
      <c r="BT222" s="28"/>
      <c r="BU222" s="28"/>
      <c r="BV222" s="313"/>
      <c r="BW222" s="28"/>
      <c r="BX222" s="28"/>
      <c r="BY222" s="28"/>
      <c r="BZ222" s="28"/>
      <c r="CA222" s="313"/>
      <c r="CB222" s="28"/>
      <c r="CC222" s="28"/>
      <c r="CD222" s="28"/>
      <c r="CE222" s="28"/>
      <c r="CF222" s="313"/>
      <c r="CG222" s="28"/>
      <c r="CH222" s="28"/>
      <c r="CI222" s="28"/>
      <c r="CJ222" s="28"/>
      <c r="CK222" s="313"/>
      <c r="CL222" s="28"/>
      <c r="CM222" s="933"/>
      <c r="CN222" s="28"/>
      <c r="CO222" s="28"/>
      <c r="CP222" s="313"/>
      <c r="CQ222" s="933"/>
      <c r="CR222" s="933"/>
      <c r="CS222" s="933"/>
      <c r="CT222" s="933"/>
      <c r="CU222" s="312"/>
      <c r="CV222" s="933"/>
      <c r="CW222" s="933"/>
      <c r="CX222" s="933"/>
      <c r="CY222" s="933"/>
      <c r="CZ222" s="312"/>
      <c r="DA222" s="933"/>
      <c r="DB222" s="31"/>
      <c r="DC222" s="31"/>
      <c r="DD222" s="955"/>
      <c r="DE222" s="477"/>
      <c r="DF222" s="982"/>
      <c r="DG222" s="603"/>
      <c r="DH222" s="603"/>
      <c r="DI222" s="1798"/>
      <c r="DJ222" s="477"/>
      <c r="DK222" s="1799"/>
      <c r="DL222" s="603"/>
      <c r="DM222" s="603"/>
      <c r="DN222" s="1798"/>
      <c r="DO222" s="477"/>
      <c r="DP222" s="603"/>
      <c r="DQ222" s="603"/>
      <c r="DR222" s="603"/>
      <c r="DS222" s="1798"/>
      <c r="DT222" s="313"/>
      <c r="DU222" s="603"/>
      <c r="DV222" s="603"/>
      <c r="DW222" s="603"/>
      <c r="DX222" s="603"/>
      <c r="DY222" s="313"/>
      <c r="DZ222" s="603"/>
      <c r="EA222" s="603"/>
      <c r="EB222" s="603"/>
      <c r="EC222" s="1798"/>
      <c r="ED222" s="477"/>
      <c r="EE222" s="603"/>
      <c r="EF222" s="603"/>
      <c r="EG222" s="603"/>
      <c r="EH222" s="2581"/>
      <c r="EI222" s="477"/>
      <c r="EJ222" s="477"/>
      <c r="EK222" s="1798"/>
      <c r="EL222" s="477"/>
      <c r="EM222" s="477"/>
      <c r="EN222" s="477"/>
      <c r="EO222" s="477"/>
      <c r="EP222" s="477"/>
      <c r="EQ222" s="477"/>
      <c r="ER222" s="477"/>
      <c r="ES222" s="477"/>
      <c r="ET222" s="477"/>
      <c r="EU222" s="477"/>
      <c r="EV222" s="477"/>
      <c r="EW222" s="477"/>
      <c r="EX222" s="477"/>
    </row>
    <row r="223" spans="1:154" ht="12.75" customHeight="1">
      <c r="B223" s="1172" t="s">
        <v>891</v>
      </c>
      <c r="C223" s="1989"/>
      <c r="D223" s="28"/>
      <c r="E223" s="28"/>
      <c r="F223" s="28"/>
      <c r="G223" s="28"/>
      <c r="H223" s="28"/>
      <c r="I223" s="31"/>
      <c r="J223" s="28"/>
      <c r="K223" s="28"/>
      <c r="L223" s="28"/>
      <c r="M223" s="28"/>
      <c r="N223" s="31"/>
      <c r="O223" s="31"/>
      <c r="P223" s="31"/>
      <c r="Q223" s="31"/>
      <c r="R223" s="31"/>
      <c r="S223" s="31"/>
      <c r="T223" s="31"/>
      <c r="U223" s="31"/>
      <c r="V223" s="31"/>
      <c r="W223" s="31"/>
      <c r="X223" s="313"/>
      <c r="Y223" s="31"/>
      <c r="Z223" s="31"/>
      <c r="AA223" s="31"/>
      <c r="AB223" s="31"/>
      <c r="AC223" s="313"/>
      <c r="AD223" s="31"/>
      <c r="AE223" s="31"/>
      <c r="AF223" s="31"/>
      <c r="AG223" s="31"/>
      <c r="AH223" s="313"/>
      <c r="AI223" s="28"/>
      <c r="AJ223" s="28"/>
      <c r="AK223" s="28"/>
      <c r="AL223" s="31"/>
      <c r="AM223" s="313"/>
      <c r="AN223" s="28"/>
      <c r="AO223" s="28"/>
      <c r="AP223" s="28"/>
      <c r="AQ223" s="31"/>
      <c r="AR223" s="313"/>
      <c r="AS223" s="28"/>
      <c r="AT223" s="28"/>
      <c r="AU223" s="28"/>
      <c r="AV223" s="28"/>
      <c r="AW223" s="313"/>
      <c r="AX223" s="28"/>
      <c r="AY223" s="28"/>
      <c r="AZ223" s="28"/>
      <c r="BA223" s="28"/>
      <c r="BB223" s="313"/>
      <c r="BC223" s="28"/>
      <c r="BD223" s="28"/>
      <c r="BE223" s="28"/>
      <c r="BF223" s="28"/>
      <c r="BG223" s="313"/>
      <c r="BH223" s="28"/>
      <c r="BI223" s="28"/>
      <c r="BJ223" s="28"/>
      <c r="BK223" s="28"/>
      <c r="BL223" s="313"/>
      <c r="BM223" s="28"/>
      <c r="BN223" s="28"/>
      <c r="BO223" s="28"/>
      <c r="BP223" s="28"/>
      <c r="BQ223" s="313"/>
      <c r="BR223" s="28"/>
      <c r="BS223" s="28"/>
      <c r="BT223" s="28"/>
      <c r="BU223" s="28"/>
      <c r="BV223" s="313"/>
      <c r="BW223" s="28"/>
      <c r="BX223" s="28"/>
      <c r="BY223" s="28"/>
      <c r="BZ223" s="28"/>
      <c r="CA223" s="313"/>
      <c r="CB223" s="28"/>
      <c r="CC223" s="28"/>
      <c r="CD223" s="28"/>
      <c r="CE223" s="28"/>
      <c r="CF223" s="313"/>
      <c r="CG223" s="28"/>
      <c r="CH223" s="28"/>
      <c r="CI223" s="28"/>
      <c r="CJ223" s="28"/>
      <c r="CK223" s="313"/>
      <c r="CL223" s="933"/>
      <c r="CM223" s="933"/>
      <c r="CN223" s="933"/>
      <c r="CO223" s="28"/>
      <c r="CP223" s="313"/>
      <c r="CQ223" s="1175"/>
      <c r="CR223" s="1175"/>
      <c r="CS223" s="1175"/>
      <c r="CT223" s="1175"/>
      <c r="CU223" s="313"/>
      <c r="CV223" s="1175"/>
      <c r="CW223" s="1175"/>
      <c r="CX223" s="1175"/>
      <c r="CY223" s="1175"/>
      <c r="CZ223" s="313"/>
      <c r="DA223" s="1175"/>
      <c r="DB223" s="31"/>
      <c r="DC223" s="31"/>
      <c r="DD223" s="955"/>
      <c r="DE223" s="477"/>
      <c r="DF223" s="1221"/>
      <c r="DG223" s="603"/>
      <c r="DH223" s="603"/>
      <c r="DI223" s="1798"/>
      <c r="DJ223" s="477"/>
      <c r="DK223" s="1799"/>
      <c r="DL223" s="603"/>
      <c r="DM223" s="603"/>
      <c r="DN223" s="1798"/>
      <c r="DO223" s="477"/>
      <c r="DP223" s="603"/>
      <c r="DQ223" s="603"/>
      <c r="DR223" s="603"/>
      <c r="DS223" s="1798"/>
      <c r="DT223" s="313"/>
      <c r="DU223" s="603"/>
      <c r="DV223" s="603"/>
      <c r="DW223" s="603"/>
      <c r="DX223" s="603"/>
      <c r="DY223" s="313"/>
      <c r="DZ223" s="603"/>
      <c r="EA223" s="603"/>
      <c r="EB223" s="3507"/>
      <c r="EC223" s="3508"/>
      <c r="ED223" s="3531"/>
      <c r="EE223" s="603"/>
      <c r="EF223" s="603"/>
      <c r="EG223" s="3507"/>
      <c r="EH223" s="3508"/>
      <c r="EI223" s="3531"/>
      <c r="EJ223" s="477"/>
      <c r="EK223" s="1798"/>
      <c r="EL223" s="477"/>
      <c r="EM223" s="477"/>
      <c r="EN223" s="477"/>
      <c r="EO223" s="477"/>
      <c r="EP223" s="477"/>
      <c r="EQ223" s="477"/>
      <c r="ER223" s="477"/>
      <c r="ES223" s="477"/>
      <c r="ET223" s="477"/>
      <c r="EU223" s="477"/>
      <c r="EV223" s="477"/>
      <c r="EW223" s="477"/>
      <c r="EX223" s="477"/>
    </row>
    <row r="224" spans="1:154" ht="12.75" customHeight="1">
      <c r="B224" s="912" t="s">
        <v>921</v>
      </c>
      <c r="C224" s="1207"/>
      <c r="D224" s="28"/>
      <c r="E224" s="28"/>
      <c r="F224" s="28"/>
      <c r="G224" s="28"/>
      <c r="H224" s="28"/>
      <c r="I224" s="31"/>
      <c r="J224" s="28"/>
      <c r="K224" s="28"/>
      <c r="L224" s="28"/>
      <c r="M224" s="28"/>
      <c r="N224" s="31"/>
      <c r="O224" s="31"/>
      <c r="P224" s="31"/>
      <c r="Q224" s="31"/>
      <c r="R224" s="31"/>
      <c r="S224" s="31"/>
      <c r="T224" s="31"/>
      <c r="U224" s="31"/>
      <c r="V224" s="31"/>
      <c r="W224" s="31"/>
      <c r="X224" s="308"/>
      <c r="Y224" s="31"/>
      <c r="Z224" s="31"/>
      <c r="AA224" s="31"/>
      <c r="AB224" s="31"/>
      <c r="AC224" s="308"/>
      <c r="AD224" s="31"/>
      <c r="AE224" s="31"/>
      <c r="AF224" s="31"/>
      <c r="AG224" s="31"/>
      <c r="AH224" s="308"/>
      <c r="AI224" s="28"/>
      <c r="AJ224" s="28"/>
      <c r="AK224" s="28"/>
      <c r="AL224" s="31"/>
      <c r="AM224" s="308"/>
      <c r="AN224" s="28"/>
      <c r="AO224" s="28"/>
      <c r="AP224" s="28"/>
      <c r="AQ224" s="31"/>
      <c r="AR224" s="308"/>
      <c r="AS224" s="28"/>
      <c r="AT224" s="28"/>
      <c r="AU224" s="28"/>
      <c r="AV224" s="28"/>
      <c r="AW224" s="308"/>
      <c r="AX224" s="28"/>
      <c r="AY224" s="28"/>
      <c r="AZ224" s="28"/>
      <c r="BA224" s="28"/>
      <c r="BB224" s="308"/>
      <c r="BC224" s="29"/>
      <c r="BD224" s="29"/>
      <c r="BE224" s="29"/>
      <c r="BF224" s="30"/>
      <c r="BG224" s="308"/>
      <c r="BH224" s="28"/>
      <c r="BI224" s="28"/>
      <c r="BJ224" s="28"/>
      <c r="BK224" s="28"/>
      <c r="BL224" s="316">
        <v>1.45</v>
      </c>
      <c r="BM224" s="30">
        <f t="shared" ref="BM224:BP225" si="571">+BM219/BH219-1</f>
      </c>
      <c r="BN224" s="30">
        <f t="shared" si="571"/>
      </c>
      <c r="BO224" s="30">
        <f t="shared" si="571"/>
      </c>
      <c r="BP224" s="30">
        <f t="shared" si="571"/>
      </c>
      <c r="BQ224" s="308">
        <f>IF(BL219="NM","NM",IF(BQ219="NM","NM",IF(BL219&lt;=0,"NM",IF(BQ219=0,"NM",IF(ABS(BQ219/BL219-1)&gt;2.5,"NM",IF((ABS(BQ219-BL219)=ABS(ABS(BQ219)-ABS(BL219))),(BQ219/BL219-1),"NM"))))))</f>
      </c>
      <c r="BR224" s="30">
        <f t="shared" ref="BR224:BU225" si="572">+BR219/BM219-1</f>
      </c>
      <c r="BS224" s="30">
        <f t="shared" si="572"/>
      </c>
      <c r="BT224" s="30">
        <f t="shared" si="572"/>
      </c>
      <c r="BU224" s="30">
        <f t="shared" si="572"/>
      </c>
      <c r="BV224" s="308">
        <f>IF(BQ219="NM","NM",IF(BV219="NM","NM",IF(BQ219&lt;=0,"NM",IF(BV219=0,"NM",IF(ABS(BV219/BQ219-1)&gt;2.5,"NM",IF((ABS(BV219-BQ219)=ABS(ABS(BV219)-ABS(BQ219))),(BV219/BQ219-1),"NM"))))))</f>
      </c>
      <c r="BW224" s="30">
        <f t="shared" ref="BW224:CI225" si="573">+BW219/BR219-1</f>
      </c>
      <c r="BX224" s="30">
        <f t="shared" si="573"/>
      </c>
      <c r="BY224" s="30">
        <f t="shared" si="573"/>
      </c>
      <c r="BZ224" s="30">
        <f t="shared" si="573"/>
      </c>
      <c r="CA224" s="308">
        <f>IF(BV219="NM","NM",IF(CA219="NM","NM",IF(BV219&lt;=0,"NM",IF(CA219=0,"NM",IF(ABS(CA219/BV219-1)&gt;2.5,"NM",IF((ABS(CA219-BV219)=ABS(ABS(CA219)-ABS(BV219))),(CA219/BV219-1),"NM"))))))</f>
      </c>
      <c r="CB224" s="30">
        <f t="shared" si="573"/>
      </c>
      <c r="CC224" s="30">
        <f t="shared" si="573"/>
      </c>
      <c r="CD224" s="30">
        <f t="shared" si="573"/>
      </c>
      <c r="CE224" s="30">
        <f t="shared" si="573"/>
      </c>
      <c r="CF224" s="308">
        <f>IF(CA219="NM","NM",IF(CF219="NM","NM",IF(CA219&lt;=0,"NM",IF(CF219=0,"NM",IF(ABS(CF219/CA219-1)&gt;2.5,"NM",IF((ABS(CF219-CA219)=ABS(ABS(CF219)-ABS(CA219))),(CF219/CA219-1),"NM"))))))</f>
      </c>
      <c r="CG224" s="30">
        <f t="shared" si="573"/>
      </c>
      <c r="CH224" s="30">
        <f t="shared" si="573"/>
      </c>
      <c r="CI224" s="30">
        <f t="shared" si="573"/>
      </c>
      <c r="CJ224" s="30">
        <f>+CJ219/CE219-1</f>
      </c>
      <c r="CK224" s="308">
        <f>IF(CF219=0, "NA", CK219/CF219-1)</f>
      </c>
      <c r="CL224" s="30">
        <f t="shared" ref="CL224:CN225" si="574">+CL219/CG219-1</f>
      </c>
      <c r="CM224" s="30">
        <f t="shared" si="574"/>
      </c>
      <c r="CN224" s="30">
        <f t="shared" si="574"/>
      </c>
      <c r="CO224" s="30">
        <f>+CO219/CJ219-1</f>
      </c>
      <c r="CP224" s="308">
        <f>IF(CK219=0, "NA", CP219/CK219-1)</f>
      </c>
      <c r="CQ224" s="30">
        <f>+CQ219/CL219-1</f>
      </c>
      <c r="CR224" s="30">
        <f t="shared" ref="CR224:CT225" si="575">+CR219/CM219-1</f>
      </c>
      <c r="CS224" s="30">
        <f t="shared" si="575"/>
      </c>
      <c r="CT224" s="30">
        <f t="shared" si="575"/>
      </c>
      <c r="CU224" s="308">
        <f>IF(CP219=0, "NA", CU219/CP219-1)</f>
      </c>
      <c r="CV224" s="30">
        <f t="shared" ref="CV224:CX225" si="576">+CV219/CQ219-1</f>
      </c>
      <c r="CW224" s="30">
        <f t="shared" si="576"/>
      </c>
      <c r="CX224" s="30">
        <f t="shared" si="576"/>
      </c>
      <c r="CY224" s="30">
        <f>+CY219/CT219-1</f>
      </c>
      <c r="CZ224" s="308">
        <f>IF(CU219=0, "NA", CZ219/CU219-1)</f>
      </c>
      <c r="DA224" s="30">
        <f t="shared" ref="DA224:DC225" si="577">+DA219/CV219-1</f>
      </c>
      <c r="DB224" s="30">
        <f t="shared" si="577"/>
      </c>
      <c r="DC224" s="30">
        <f t="shared" si="577"/>
      </c>
      <c r="DD224" s="927">
        <f>IF(DD219=0,"NM",+DD219/CY219-1)</f>
      </c>
      <c r="DE224" s="308">
        <f>IF(CZ219=0, "NA", DE219/CZ219-1)</f>
      </c>
      <c r="DF224" s="1361">
        <f t="shared" ref="DF224:DH225" si="578">+DF219/DA219-1</f>
      </c>
      <c r="DG224" s="1361">
        <f t="shared" si="578"/>
      </c>
      <c r="DH224" s="1361">
        <f t="shared" si="578"/>
      </c>
      <c r="DI224" s="928">
        <f>IF(DI219=0,"NM",+DI219/DD219-1)</f>
      </c>
      <c r="DJ224" s="308">
        <f>IF(DE219=0, "NA", DJ219/DE219-1)</f>
      </c>
      <c r="DK224" s="1361">
        <f t="shared" ref="DK224:DM225" si="579">+DK219/DF219-1</f>
      </c>
      <c r="DL224" s="1361">
        <f t="shared" si="579"/>
      </c>
      <c r="DM224" s="30">
        <f t="shared" si="579"/>
      </c>
      <c r="DN224" s="928">
        <f>IF(DN219=0,"NM",+DN219/DI219-1)</f>
      </c>
      <c r="DO224" s="308">
        <f>IF(DJ219=0, "NA", DO219/DJ219-1)</f>
      </c>
      <c r="DP224" s="30">
        <f t="shared" ref="DP224:EB225" si="580">+DP219/DK219-1</f>
      </c>
      <c r="DQ224" s="1361">
        <f t="shared" si="580"/>
      </c>
      <c r="DR224" s="1361">
        <f t="shared" si="580"/>
      </c>
      <c r="DS224" s="1361">
        <f t="shared" si="580"/>
      </c>
      <c r="DT224" s="315">
        <f>IF(DO219=0, "NA", DT219/DO219-1)</f>
      </c>
      <c r="DU224" s="30">
        <f t="shared" si="580"/>
      </c>
      <c r="DV224" s="30">
        <f t="shared" si="580"/>
      </c>
      <c r="DW224" s="30">
        <f t="shared" si="580"/>
      </c>
      <c r="DX224" s="30">
        <f t="shared" si="580"/>
      </c>
      <c r="DY224" s="315">
        <f>IF(DT219=0, "NA", DY219/DT219-1)</f>
      </c>
      <c r="DZ224" s="1703">
        <f>+DZ219/DU219-1</f>
      </c>
      <c r="EA224" s="1703">
        <f>+EA219/DV219-1</f>
      </c>
      <c r="EB224" s="1703">
        <f>+EB219/DW219-1</f>
      </c>
      <c r="EC224" s="1703">
        <f>+EC219/DX219-1</f>
      </c>
      <c r="ED224" s="315">
        <f>IF(DY219=0, "NA", ED219/DY219-1)</f>
      </c>
      <c r="EE224" s="1703">
        <f>+EE219/DZ219-1</f>
      </c>
      <c r="EF224" s="1703">
        <f>+EF219/EA219-1</f>
      </c>
      <c r="EG224" s="1703">
        <f>+EG219/EB219-1</f>
      </c>
      <c r="EH224" s="1703">
        <f>+EH219/EC219-1</f>
      </c>
      <c r="EI224" s="315">
        <f>IF(ED219=0, "NA", EI219/ED219-1)</f>
      </c>
      <c r="EJ224" s="673">
        <v>-0.1</v>
      </c>
      <c r="EK224" s="673">
        <v>-0.16</v>
      </c>
      <c r="EL224" s="673">
        <v>-0.2</v>
      </c>
      <c r="EM224" s="673">
        <v>-0.15</v>
      </c>
      <c r="EN224" s="673">
        <v>-0.05</v>
      </c>
      <c r="EO224" s="673">
        <v>-0.1</v>
      </c>
      <c r="EP224" s="673">
        <v>-0.2</v>
      </c>
      <c r="EQ224" s="673">
        <v>-0.25</v>
      </c>
      <c r="ER224" s="673">
        <v>-0.25</v>
      </c>
      <c r="ES224" s="673">
        <v>-0.25</v>
      </c>
      <c r="ET224" s="657"/>
      <c r="EU224" s="657"/>
      <c r="EV224" s="657"/>
      <c r="EW224" s="657"/>
      <c r="EX224" s="657"/>
    </row>
    <row r="225" spans="1:154" ht="12.75" customHeight="1">
      <c r="B225" s="912" t="s">
        <v>412</v>
      </c>
      <c r="C225" s="1207"/>
      <c r="D225" s="28"/>
      <c r="E225" s="28"/>
      <c r="F225" s="28"/>
      <c r="G225" s="28"/>
      <c r="H225" s="28"/>
      <c r="I225" s="31"/>
      <c r="J225" s="28"/>
      <c r="K225" s="28"/>
      <c r="L225" s="28"/>
      <c r="M225" s="28"/>
      <c r="N225" s="31"/>
      <c r="O225" s="31"/>
      <c r="P225" s="31"/>
      <c r="Q225" s="31"/>
      <c r="R225" s="31"/>
      <c r="S225" s="31"/>
      <c r="T225" s="31"/>
      <c r="U225" s="31"/>
      <c r="V225" s="31"/>
      <c r="W225" s="31"/>
      <c r="X225" s="308"/>
      <c r="Y225" s="31"/>
      <c r="Z225" s="31"/>
      <c r="AA225" s="31"/>
      <c r="AB225" s="31"/>
      <c r="AC225" s="308"/>
      <c r="AD225" s="31"/>
      <c r="AE225" s="31"/>
      <c r="AF225" s="31"/>
      <c r="AG225" s="31"/>
      <c r="AH225" s="308"/>
      <c r="AI225" s="28"/>
      <c r="AJ225" s="28"/>
      <c r="AK225" s="28"/>
      <c r="AL225" s="31"/>
      <c r="AM225" s="308"/>
      <c r="AN225" s="28"/>
      <c r="AO225" s="28"/>
      <c r="AP225" s="28"/>
      <c r="AQ225" s="31"/>
      <c r="AR225" s="308"/>
      <c r="AS225" s="28"/>
      <c r="AT225" s="28"/>
      <c r="AU225" s="28"/>
      <c r="AV225" s="28"/>
      <c r="AW225" s="308"/>
      <c r="AX225" s="28"/>
      <c r="AY225" s="28"/>
      <c r="AZ225" s="28"/>
      <c r="BA225" s="28"/>
      <c r="BB225" s="308"/>
      <c r="BC225" s="29"/>
      <c r="BD225" s="29"/>
      <c r="BE225" s="29"/>
      <c r="BF225" s="30"/>
      <c r="BG225" s="308"/>
      <c r="BH225" s="28"/>
      <c r="BI225" s="28"/>
      <c r="BJ225" s="28"/>
      <c r="BK225" s="28"/>
      <c r="BL225" s="308"/>
      <c r="BM225" s="30">
        <f t="shared" si="571"/>
      </c>
      <c r="BN225" s="30">
        <f t="shared" si="571"/>
      </c>
      <c r="BO225" s="30">
        <f t="shared" si="571"/>
      </c>
      <c r="BP225" s="30">
        <f t="shared" si="571"/>
      </c>
      <c r="BQ225" s="308" t="str">
        <f>IF(BL220="NM","NM",IF(BQ220="NM","NM",IF(BL220&lt;=0,"NM",IF(BQ220=0,"NM",IF(ABS(BQ220/BL220-1)&gt;2.5,"NM",IF((ABS(BQ220-BL220)=ABS(ABS(BQ220)-ABS(BL220))),(BQ220/BL220-1),"NM"))))))</f>
      </c>
      <c r="BR225" s="30">
        <f t="shared" si="572"/>
      </c>
      <c r="BS225" s="30">
        <f t="shared" si="572"/>
      </c>
      <c r="BT225" s="30">
        <f t="shared" si="572"/>
      </c>
      <c r="BU225" s="30">
        <f t="shared" si="572"/>
      </c>
      <c r="BV225" s="308">
        <f>IF(BQ220="NM","NM",IF(BV220="NM","NM",IF(BQ220&lt;=0,"NM",IF(BV220=0,"NM",IF(ABS(BV220/BQ220-1)&gt;2.5,"NM",IF((ABS(BV220-BQ220)=ABS(ABS(BV220)-ABS(BQ220))),(BV220/BQ220-1),"NM"))))))</f>
      </c>
      <c r="BW225" s="30">
        <f t="shared" si="573"/>
      </c>
      <c r="BX225" s="30">
        <f t="shared" si="573"/>
      </c>
      <c r="BY225" s="30">
        <f t="shared" si="573"/>
      </c>
      <c r="BZ225" s="30">
        <f t="shared" si="573"/>
      </c>
      <c r="CA225" s="661">
        <f>IF(BV220="NM","NM",IF(CA220="NM","NM",IF(BV220&lt;=0,"NM",IF(CA220=0,"NM",IF(ABS(CA220/BV220-1)&gt;2.5,"NM",IF((ABS(CA220-BV220)=ABS(ABS(CA220)-ABS(BV220))),(CA220/BV220-1),"NM"))))))</f>
      </c>
      <c r="CB225" s="30">
        <f t="shared" si="573"/>
      </c>
      <c r="CC225" s="30">
        <f t="shared" si="573"/>
      </c>
      <c r="CD225" s="30">
        <f t="shared" si="573"/>
      </c>
      <c r="CE225" s="30">
        <f t="shared" si="573"/>
      </c>
      <c r="CF225" s="661">
        <f>IF(CA220="NM","NM",IF(CF220="NM","NM",IF(CA220&lt;=0,"NM",IF(CF220=0,"NM",IF(ABS(CF220/CA220-1)&gt;2.5,"NM",IF((ABS(CF220-CA220)=ABS(ABS(CF220)-ABS(CA220))),(CF220/CA220-1),"NM"))))))</f>
      </c>
      <c r="CG225" s="30">
        <f t="shared" si="573"/>
      </c>
      <c r="CH225" s="30">
        <f t="shared" si="573"/>
      </c>
      <c r="CI225" s="30">
        <f t="shared" si="573"/>
      </c>
      <c r="CJ225" s="30">
        <f>+CJ220/CE220-1</f>
      </c>
      <c r="CK225" s="308">
        <f>IF(CF220=0, "NA", CK220/CF220-1)</f>
      </c>
      <c r="CL225" s="30">
        <f t="shared" si="574"/>
      </c>
      <c r="CM225" s="30">
        <f t="shared" si="574"/>
      </c>
      <c r="CN225" s="30">
        <f t="shared" si="574"/>
      </c>
      <c r="CO225" s="30">
        <f>+CO220/CJ220-1</f>
      </c>
      <c r="CP225" s="308">
        <f>IF(CK220=0, "NA", CP220/CK220-1)</f>
      </c>
      <c r="CQ225" s="30">
        <f>+CQ220/CL220-1</f>
      </c>
      <c r="CR225" s="30">
        <f t="shared" si="575"/>
      </c>
      <c r="CS225" s="30">
        <f t="shared" si="575"/>
      </c>
      <c r="CT225" s="30">
        <f t="shared" si="575"/>
      </c>
      <c r="CU225" s="308">
        <f>IF(CP220=0, "NA", CU220/CP220-1)</f>
      </c>
      <c r="CV225" s="30">
        <f t="shared" si="576"/>
      </c>
      <c r="CW225" s="30">
        <f t="shared" si="576"/>
      </c>
      <c r="CX225" s="30">
        <f t="shared" si="576"/>
      </c>
      <c r="CY225" s="30">
        <f>+CY220/CT220-1</f>
      </c>
      <c r="CZ225" s="308">
        <f>IF(CU220=0, "NA", CZ220/CU220-1)</f>
      </c>
      <c r="DA225" s="30">
        <f t="shared" si="577"/>
      </c>
      <c r="DB225" s="30">
        <f t="shared" si="577"/>
      </c>
      <c r="DC225" s="30">
        <f t="shared" si="577"/>
      </c>
      <c r="DD225" s="960">
        <f>IF(DD220=0, "NM", DD220/CY220-1)</f>
      </c>
      <c r="DE225" s="308">
        <f>IF(CZ220=0, "NA", DE220/CZ220-1)</f>
      </c>
      <c r="DF225" s="1361">
        <f t="shared" si="578"/>
      </c>
      <c r="DG225" s="1361">
        <f t="shared" si="578"/>
      </c>
      <c r="DH225" s="1361">
        <f t="shared" si="578"/>
      </c>
      <c r="DI225" s="928">
        <f>IF(DI220=0, "NM", DI220/DD220-1)</f>
      </c>
      <c r="DJ225" s="308">
        <f>IF(DE220=0, "NA", DJ220/DE220-1)</f>
      </c>
      <c r="DK225" s="1361">
        <f t="shared" si="579"/>
      </c>
      <c r="DL225" s="1361">
        <f t="shared" si="579"/>
      </c>
      <c r="DM225" s="30">
        <f t="shared" si="579"/>
      </c>
      <c r="DN225" s="928">
        <f>IF(DN220=0, "NM", DN220/DI220-1)</f>
      </c>
      <c r="DO225" s="308">
        <f>IF(DJ220=0, "NA", DO220/DJ220-1)</f>
      </c>
      <c r="DP225" s="30">
        <f t="shared" si="580"/>
      </c>
      <c r="DQ225" s="1361">
        <f t="shared" si="580"/>
      </c>
      <c r="DR225" s="1361">
        <f t="shared" si="580"/>
      </c>
      <c r="DS225" s="1361">
        <f t="shared" si="580"/>
      </c>
      <c r="DT225" s="315">
        <f>IF(DO220=0, "NA", DT220/DO220-1)</f>
      </c>
      <c r="DU225" s="30">
        <f t="shared" si="580"/>
      </c>
      <c r="DV225" s="30">
        <f t="shared" si="580"/>
      </c>
      <c r="DW225" s="30">
        <f t="shared" si="580"/>
      </c>
      <c r="DX225" s="30">
        <f t="shared" si="580"/>
      </c>
      <c r="DY225" s="315">
        <f>IF(DT220=0, "NA", DY220/DT220-1)</f>
      </c>
      <c r="DZ225" s="30">
        <f t="shared" si="580"/>
      </c>
      <c r="EA225" s="926">
        <f t="shared" si="580"/>
      </c>
      <c r="EB225" s="926">
        <f t="shared" si="580"/>
      </c>
      <c r="EC225" s="926">
        <f>IF(EC220=0, "NM", EC220/DX220-1)</f>
      </c>
      <c r="ED225" s="315">
        <f>IF(DY220=0, "NA", ED220/DY220-1)</f>
      </c>
      <c r="EE225" s="30">
        <f t="shared" ref="EE225:EG225" si="581">+EE220/DZ220-1</f>
      </c>
      <c r="EF225" s="926">
        <f t="shared" si="581"/>
      </c>
      <c r="EG225" s="926">
        <f t="shared" si="581"/>
      </c>
      <c r="EH225" s="926">
        <f>IF(EH220=0, "NM", EH220/EC220-1)</f>
      </c>
      <c r="EI225" s="315">
        <f>IF(ED220=0, "NA", EI220/ED220-1)</f>
      </c>
      <c r="EJ225" s="308">
        <f t="shared" ref="EJ225:ES225" si="582">EJ226+EJ$21</f>
      </c>
      <c r="EK225" s="308">
        <f t="shared" si="582"/>
      </c>
      <c r="EL225" s="308">
        <f t="shared" si="582"/>
      </c>
      <c r="EM225" s="308">
        <f t="shared" si="582"/>
      </c>
      <c r="EN225" s="308">
        <f t="shared" si="582"/>
      </c>
      <c r="EO225" s="308">
        <f t="shared" si="582"/>
      </c>
      <c r="EP225" s="308">
        <f t="shared" si="582"/>
      </c>
      <c r="EQ225" s="308">
        <f t="shared" si="582"/>
      </c>
      <c r="ER225" s="308">
        <f t="shared" si="582"/>
      </c>
      <c r="ES225" s="308">
        <f t="shared" si="582"/>
      </c>
      <c r="ET225" s="837"/>
      <c r="EU225" s="837"/>
      <c r="EV225" s="837"/>
      <c r="EW225" s="837"/>
      <c r="EX225" s="837"/>
    </row>
    <row r="226" spans="1:154" ht="12.75" customHeight="1">
      <c r="A226" s="3277"/>
      <c r="B226" s="912" t="s">
        <v>256</v>
      </c>
      <c r="C226" s="1989"/>
      <c r="D226" s="28"/>
      <c r="E226" s="28"/>
      <c r="F226" s="28"/>
      <c r="G226" s="28"/>
      <c r="H226" s="28"/>
      <c r="I226" s="31"/>
      <c r="J226" s="28"/>
      <c r="K226" s="28"/>
      <c r="L226" s="28"/>
      <c r="M226" s="28"/>
      <c r="N226" s="31"/>
      <c r="O226" s="31"/>
      <c r="P226" s="31"/>
      <c r="Q226" s="31"/>
      <c r="R226" s="31"/>
      <c r="S226" s="31"/>
      <c r="T226" s="31"/>
      <c r="U226" s="31"/>
      <c r="V226" s="31"/>
      <c r="W226" s="31"/>
      <c r="X226" s="214"/>
      <c r="Y226" s="31"/>
      <c r="Z226" s="31"/>
      <c r="AA226" s="31"/>
      <c r="AB226" s="31"/>
      <c r="AC226" s="214"/>
      <c r="AD226" s="31"/>
      <c r="AE226" s="31"/>
      <c r="AF226" s="31"/>
      <c r="AG226" s="31"/>
      <c r="AH226" s="214"/>
      <c r="AI226" s="28"/>
      <c r="AJ226" s="28"/>
      <c r="AK226" s="28"/>
      <c r="AL226" s="31"/>
      <c r="AM226" s="214"/>
      <c r="AN226" s="28"/>
      <c r="AO226" s="28"/>
      <c r="AP226" s="28"/>
      <c r="AQ226" s="31"/>
      <c r="AR226" s="214"/>
      <c r="AS226" s="28"/>
      <c r="AT226" s="28"/>
      <c r="AU226" s="28"/>
      <c r="AV226" s="28"/>
      <c r="AW226" s="214"/>
      <c r="AX226" s="28"/>
      <c r="AY226" s="28"/>
      <c r="AZ226" s="28"/>
      <c r="BA226" s="28"/>
      <c r="BB226" s="214"/>
      <c r="BC226" s="1"/>
      <c r="BD226" s="1"/>
      <c r="BE226" s="1"/>
      <c r="BF226" s="1"/>
      <c r="BG226" s="214"/>
      <c r="BH226" s="28"/>
      <c r="BI226" s="1"/>
      <c r="BJ226" s="1"/>
      <c r="BK226" s="1"/>
      <c r="BL226" s="316"/>
      <c r="BM226" s="1"/>
      <c r="BN226" s="41"/>
      <c r="BO226" s="41"/>
      <c r="BP226" s="41"/>
      <c r="BQ226" s="309" t="str">
        <f>IF(ISNUMBER(BQ225),(1+BQ225)/(1+BQ$21)-1,"NM")</f>
      </c>
      <c r="BR226" s="41">
        <f>IF(ISNUMBER(BR225),(1+BR225)/(1+BR$21)-1,"NM")</f>
      </c>
      <c r="BS226" s="41">
        <f>IF(ISNUMBER(BS225),(1+BS225)/(1+BS$21)-1,"NM")</f>
      </c>
      <c r="BT226" s="29">
        <v>0.39700000000000002</v>
      </c>
      <c r="BU226" s="649">
        <v>0.96799999999999997</v>
      </c>
      <c r="BV226" s="308">
        <f>IF(ISNUMBER(BV225),(1+BV225)/(1+BV$21)-1,"NM")</f>
      </c>
      <c r="BW226" s="649" t="s">
        <v>542</v>
      </c>
      <c r="BX226" s="649">
        <v>0.48299999999999998</v>
      </c>
      <c r="BY226" s="361">
        <v>0.749</v>
      </c>
      <c r="BZ226" s="835">
        <v>0.37</v>
      </c>
      <c r="CA226" s="297">
        <f>IF(ISNUMBER(CA225),(1+CA225)/(1+CA$21)-1,"NM")</f>
      </c>
      <c r="CB226" s="361">
        <v>0.123</v>
      </c>
      <c r="CC226" s="361">
        <v>0.71299999999999997</v>
      </c>
      <c r="CD226" s="29">
        <v>2.3E-2</v>
      </c>
      <c r="CE226" s="835">
        <v>0.39</v>
      </c>
      <c r="CF226" s="297">
        <f>IF(ISNUMBER(CF225),(1+CF225)/(1+CF$21)-1,"NM")</f>
      </c>
      <c r="CG226" s="650">
        <v>0.1</v>
      </c>
      <c r="CH226" s="650">
        <v>0.09</v>
      </c>
      <c r="CI226" s="650">
        <v>0.41</v>
      </c>
      <c r="CJ226" s="650">
        <v>-0.14799999999999999</v>
      </c>
      <c r="CK226" s="309">
        <f>CK225-CK$21</f>
      </c>
      <c r="CL226" s="650">
        <v>0.27600000000000002</v>
      </c>
      <c r="CM226" s="650">
        <v>0.497</v>
      </c>
      <c r="CN226" s="650">
        <v>0.20599999999999999</v>
      </c>
      <c r="CO226" s="650">
        <v>0.32700000000000001</v>
      </c>
      <c r="CP226" s="309">
        <f>CP225-CP$21</f>
      </c>
      <c r="CQ226" s="650">
        <v>0.13400000000000001</v>
      </c>
      <c r="CR226" s="650">
        <v>4.5999999999999999E-2</v>
      </c>
      <c r="CS226" s="650">
        <v>3.2000000000000001E-2</v>
      </c>
      <c r="CT226" s="650">
        <v>0.251</v>
      </c>
      <c r="CU226" s="309">
        <f>CU225-CU$21</f>
      </c>
      <c r="CV226" s="650">
        <v>0.373</v>
      </c>
      <c r="CW226" s="650">
        <v>0.26900000000000002</v>
      </c>
      <c r="CX226" s="650">
        <v>0.13500000000000001</v>
      </c>
      <c r="CY226" s="650">
        <v>-6.3E-2</v>
      </c>
      <c r="CZ226" s="309">
        <f>CZ225-CZ$21</f>
      </c>
      <c r="DA226" s="650">
        <v>-3.7999999999999999E-2</v>
      </c>
      <c r="DB226" s="361">
        <v>8.5000000000000006E-2</v>
      </c>
      <c r="DC226" s="361">
        <v>9.9000000000000005E-2</v>
      </c>
      <c r="DD226" s="1479">
        <v>-3.6999999999999998E-2</v>
      </c>
      <c r="DE226" s="309">
        <f>DE225-DE$21</f>
      </c>
      <c r="DF226" s="1220">
        <v>0.05</v>
      </c>
      <c r="DG226" s="1208">
        <v>0.05</v>
      </c>
      <c r="DH226" s="1208">
        <v>0.05</v>
      </c>
      <c r="DI226" s="928">
        <f>IF(DI220=0, "NM",DI225-DI$21)</f>
      </c>
      <c r="DJ226" s="308">
        <f>DJ225-DJ$21</f>
      </c>
      <c r="DK226" s="1271">
        <v>0.04</v>
      </c>
      <c r="DL226" s="1208">
        <v>0.04</v>
      </c>
      <c r="DM226" s="29">
        <v>0.05</v>
      </c>
      <c r="DN226" s="928">
        <f>IF(DN220=0, "NM",DN225-DN$21)</f>
      </c>
      <c r="DO226" s="308">
        <f>DO225-DO$21</f>
      </c>
      <c r="DP226" s="2184">
        <f>DP225-(-5.7%)</f>
      </c>
      <c r="DQ226" s="2185">
        <f>DQ225-(-10%)</f>
      </c>
      <c r="DR226" s="2185">
        <f>DR225-(-13.4%)</f>
      </c>
      <c r="DS226" s="2185">
        <f>DS225-(-13.4%)</f>
      </c>
      <c r="DT226" s="315">
        <f>DT225-DT$21</f>
      </c>
      <c r="DU226" s="2184">
        <f>DU225-(-7.9%)</f>
      </c>
      <c r="DV226" s="2184">
        <f>DV225-(-3.9%)</f>
      </c>
      <c r="DW226" s="2184">
        <f>DW225-(-1.1%)</f>
      </c>
      <c r="DX226" s="2184">
        <f>DX225-(-1.7%)</f>
      </c>
      <c r="DY226" s="315">
        <f>DY225-DY$21</f>
      </c>
      <c r="DZ226" s="1703">
        <f>DZ225-(-7.6%)</f>
      </c>
      <c r="EA226" s="1703">
        <f>EA225-(-11.9%)</f>
      </c>
      <c r="EB226" s="1703">
        <f>EB225-(-8.5%)</f>
      </c>
      <c r="EC226" s="1703">
        <f>EC225-(-12.1%)</f>
      </c>
      <c r="ED226" s="315">
        <f>ED225-ED$21</f>
      </c>
      <c r="EE226" s="1703">
        <f>EE225-(-7.6%)</f>
      </c>
      <c r="EF226" s="1703">
        <f>EF225-(2.3%)</f>
      </c>
      <c r="EG226" s="1703">
        <f>EG225-(-8.5%)</f>
      </c>
      <c r="EH226" s="1703">
        <f>EH225-(-12.1%)</f>
      </c>
      <c r="EI226" s="315">
        <f>EI225-EI$21</f>
      </c>
      <c r="EJ226" s="673">
        <v>-0.1</v>
      </c>
      <c r="EK226" s="673">
        <v>-0.15</v>
      </c>
      <c r="EL226" s="673">
        <v>-0.2</v>
      </c>
      <c r="EM226" s="673">
        <v>-0.1</v>
      </c>
      <c r="EN226" s="673">
        <v>-0.2</v>
      </c>
      <c r="EO226" s="673">
        <v>-0.1</v>
      </c>
      <c r="EP226" s="673">
        <v>-0.2</v>
      </c>
      <c r="EQ226" s="673">
        <v>-0.25</v>
      </c>
      <c r="ER226" s="673">
        <v>-0.25</v>
      </c>
      <c r="ES226" s="673">
        <v>-0.25</v>
      </c>
      <c r="ET226" s="657"/>
      <c r="EU226" s="657"/>
      <c r="EV226" s="657"/>
      <c r="EW226" s="657"/>
      <c r="EX226" s="657"/>
    </row>
    <row r="227" spans="1:154" ht="12.75" customHeight="1">
      <c r="A227" s="3277"/>
      <c r="B227" s="912" t="s">
        <v>413</v>
      </c>
      <c r="C227" s="1989"/>
      <c r="D227" s="28"/>
      <c r="E227" s="28"/>
      <c r="F227" s="28"/>
      <c r="G227" s="28"/>
      <c r="H227" s="28"/>
      <c r="I227" s="31"/>
      <c r="J227" s="28"/>
      <c r="K227" s="28"/>
      <c r="L227" s="28"/>
      <c r="M227" s="28"/>
      <c r="N227" s="31"/>
      <c r="O227" s="31"/>
      <c r="P227" s="31"/>
      <c r="Q227" s="31"/>
      <c r="R227" s="31"/>
      <c r="S227" s="31"/>
      <c r="T227" s="31"/>
      <c r="U227" s="31"/>
      <c r="V227" s="31"/>
      <c r="W227" s="31"/>
      <c r="X227" s="308"/>
      <c r="Y227" s="31"/>
      <c r="Z227" s="31"/>
      <c r="AA227" s="31"/>
      <c r="AB227" s="31"/>
      <c r="AC227" s="308"/>
      <c r="AD227" s="31"/>
      <c r="AE227" s="31"/>
      <c r="AF227" s="31"/>
      <c r="AG227" s="31"/>
      <c r="AH227" s="308"/>
      <c r="AI227" s="28"/>
      <c r="AJ227" s="28"/>
      <c r="AK227" s="28"/>
      <c r="AL227" s="31"/>
      <c r="AM227" s="308"/>
      <c r="AN227" s="28"/>
      <c r="AO227" s="28"/>
      <c r="AP227" s="28"/>
      <c r="AQ227" s="31"/>
      <c r="AR227" s="308"/>
      <c r="AS227" s="28"/>
      <c r="AT227" s="28"/>
      <c r="AU227" s="28"/>
      <c r="AV227" s="28"/>
      <c r="AW227" s="308"/>
      <c r="AX227" s="28"/>
      <c r="AY227" s="28"/>
      <c r="AZ227" s="28"/>
      <c r="BA227" s="28"/>
      <c r="BB227" s="308"/>
      <c r="BC227" s="29"/>
      <c r="BD227" s="29"/>
      <c r="BE227" s="29"/>
      <c r="BF227" s="30"/>
      <c r="BG227" s="308"/>
      <c r="BH227" s="28"/>
      <c r="BI227" s="28"/>
      <c r="BJ227" s="28"/>
      <c r="BK227" s="28"/>
      <c r="BL227" s="308">
        <f>IF(BG221="NM","NM",IF(BL221="NM","NM",IF(BG221&lt;=0,"NM",IF(BL221=0,"NM",IF(ABS(BL221/BG221-1)&gt;2.5,"NM",IF((ABS(BL221-BG221)=ABS(ABS(BL221)-ABS(BG221))),(BL221/BG221-1),"NM"))))))</f>
      </c>
      <c r="BM227" s="400"/>
      <c r="BN227" s="30">
        <f t="shared" ref="BN227:CA227" si="583">IF(BI221="NM","NM",IF(BN221="NM","NM",IF(BI221&lt;=0,"NM",IF(BN221=0,"NM",IF(ABS(BN221/BI221-1)&gt;2.5,"NM",IF((ABS(BN221-BI221)=ABS(ABS(BN221)-ABS(BI221))),(BN221/BI221-1),"NM"))))))</f>
      </c>
      <c r="BO227" s="30">
        <f t="shared" si="583"/>
      </c>
      <c r="BP227" s="30">
        <f t="shared" si="583"/>
      </c>
      <c r="BQ227" s="308">
        <f t="shared" si="583"/>
      </c>
      <c r="BR227" s="30">
        <f t="shared" si="583"/>
      </c>
      <c r="BS227" s="30">
        <f t="shared" si="583"/>
      </c>
      <c r="BT227" s="30">
        <f t="shared" si="583"/>
      </c>
      <c r="BU227" s="30">
        <f t="shared" si="583"/>
      </c>
      <c r="BV227" s="308">
        <f t="shared" si="583"/>
      </c>
      <c r="BW227" s="30">
        <f t="shared" si="583"/>
      </c>
      <c r="BX227" s="30">
        <f t="shared" si="583"/>
      </c>
      <c r="BY227" s="30">
        <f t="shared" si="583"/>
      </c>
      <c r="BZ227" s="30">
        <f t="shared" si="583"/>
      </c>
      <c r="CA227" s="308">
        <f t="shared" si="583"/>
      </c>
      <c r="CB227" s="30">
        <f t="shared" ref="CB227:CI227" si="584">IF(BW221="NM","NM",IF(CB221="NM","NM",IF(BW221&lt;=0,"NM",IF(CB221=0,"NM",IF(ABS(CB221/BW221-1)&gt;2.5,"NM",IF((ABS(CB221-BW221)=ABS(ABS(CB221)-ABS(BW221))),(CB221/BW221-1),"NM"))))))</f>
      </c>
      <c r="CC227" s="30">
        <f t="shared" si="584"/>
      </c>
      <c r="CD227" s="30">
        <f t="shared" si="584"/>
      </c>
      <c r="CE227" s="30">
        <f t="shared" si="584"/>
      </c>
      <c r="CF227" s="308">
        <f>IF(CA221="NM","NM",IF(CF221="NM","NM",IF(CA221&lt;=0,"NM",IF(CF221=0,"NM",IF(ABS(CF221/CA221-1)&gt;2.5,"NM",IF((ABS(CF221-CA221)=ABS(ABS(CF221)-ABS(CA221))),(CF221/CA221-1),"NM"))))))</f>
      </c>
      <c r="CG227" s="30">
        <f t="shared" si="584"/>
      </c>
      <c r="CH227" s="30">
        <f t="shared" si="584"/>
      </c>
      <c r="CI227" s="30">
        <f t="shared" si="584"/>
      </c>
      <c r="CJ227" s="30">
        <f>IF(CE221="NM","NM",IF(CJ221="NM","NM",IF(CE221&lt;=0,"NM",IF(CJ221=0,"NM",IF(ABS(CJ221/CE221-1)&gt;2.5,"NM",IF((ABS(CJ221-CE221)=ABS(ABS(CJ221)-ABS(CE221))),(CJ221/CE221-1),"NM"))))))</f>
      </c>
      <c r="CK227" s="308">
        <f>IF(CF221=0, "NA", CK221/CF221-1)</f>
      </c>
      <c r="CL227" s="30">
        <f>IF(CG221="NM","NM",IF(CL221="NM","NM",IF(CG221&lt;=0,"NM",IF(CL221=0,"NM",IF(ABS(CL221/CG221-1)&gt;2.5,"NM",IF((ABS(CL221-CG221)=ABS(ABS(CL221)-ABS(CG221))),(CL221/CG221-1),"NM"))))))</f>
      </c>
      <c r="CM227" s="30">
        <f>IF(CH221="NM","NM",IF(CM221="NM","NM",IF(CH221&lt;=0,"NM",IF(CM221=0,"NM",IF(ABS(CM221/CH221-1)&gt;2.5,"NM",IF((ABS(CM221-CH221)=ABS(ABS(CM221)-ABS(CH221))),(CM221/CH221-1),"NM"))))))</f>
      </c>
      <c r="CN227" s="30">
        <f>IF(CI221="NM","NM",IF(CN221="NM","NM",IF(CI221&lt;=0,"NM",IF(CN221=0,"NM",IF(ABS(CN221/CI221-1)&gt;2.5,"NM",IF((ABS(CN221-CI221)=ABS(ABS(CN221)-ABS(CI221))),(CN221/CI221-1),"NM"))))))</f>
      </c>
      <c r="CO227" s="30">
        <f>IF(CJ221="NM","NM",IF(CO221="NM","NM",IF(CJ221&lt;=0,"NM",IF(CO221=0,"NM",IF(ABS(CO221/CJ221-1)&gt;2.5,"NM",IF((ABS(CO221-CJ221)=ABS(ABS(CO221)-ABS(CJ221))),(CO221/CJ221-1),"NM"))))))</f>
      </c>
      <c r="CP227" s="308">
        <f>IF(CK221=0, "NA", CP221/CK221-1)</f>
      </c>
      <c r="CQ227" s="30">
        <f>IF(CL221="NM","NM",IF(CQ221="NM","NM",IF(CL221&lt;=0,"NM",IF(CQ221=0,"NM",IF(ABS(CQ221/CL221-1)&gt;2.5,"NM",IF((ABS(CQ221-CL221)=ABS(ABS(CQ221)-ABS(CL221))),(CQ221/CL221-1),"NM"))))))</f>
      </c>
      <c r="CR227" s="30">
        <f>IF(CM221="NM","NM",IF(CR221="NM","NM",IF(CM221&lt;=0,"NM",IF(CR221=0,"NM",IF(ABS(CR221/CM221-1)&gt;2.5,"NM",IF((ABS(CR221-CM221)=ABS(ABS(CR221)-ABS(CM221))),(CR221/CM221-1),"NM"))))))</f>
      </c>
      <c r="CS227" s="30">
        <f>IF(CN221="NM","NM",IF(CS221="NM","NM",IF(CN221&lt;=0,"NM",IF(CS221=0,"NM",IF(ABS(CS221/CN221-1)&gt;2.5,"NM",IF((ABS(CS221-CN221)=ABS(ABS(CS221)-ABS(CN221))),(CS221/CN221-1),"NM"))))))</f>
      </c>
      <c r="CT227" s="30">
        <f>IF(CO221="NM","NM",IF(CT221="NM","NM",IF(CO221&lt;=0,"NM",IF(CT221=0,"NM",IF(ABS(CT221/CO221-1)&gt;2.5,"NM",IF((ABS(CT221-CO221)=ABS(ABS(CT221)-ABS(CO221))),(CT221/CO221-1),"NM"))))))</f>
      </c>
      <c r="CU227" s="308">
        <f>IF(CP221=0, "NA", CU221/CP221-1)</f>
      </c>
      <c r="CV227" s="30">
        <f>IF(CQ221="NM","NM",IF(CV221="NM","NM",IF(CQ221&lt;=0,"NM",IF(CV221=0,"NM",IF(ABS(CV221/CQ221-1)&gt;2.5,"NM",IF((ABS(CV221-CQ221)=ABS(ABS(CV221)-ABS(CQ221))),(CV221/CQ221-1),"NM"))))))</f>
      </c>
      <c r="CW227" s="30">
        <f>IF(CR221="NM","NM",IF(CW221="NM","NM",IF(CR221&lt;=0,"NM",IF(CW221=0,"NM",IF(ABS(CW221/CR221-1)&gt;2.5,"NM",IF((ABS(CW221-CR221)=ABS(ABS(CW221)-ABS(CR221))),(CW221/CR221-1),"NM"))))))</f>
      </c>
      <c r="CX227" s="30">
        <f>IF(CS221="NM","NM",IF(CX221="NM","NM",IF(CS221&lt;=0,"NM",IF(CX221=0,"NM",IF(ABS(CX221/CS221-1)&gt;2.5,"NM",IF((ABS(CX221-CS221)=ABS(ABS(CX221)-ABS(CS221))),(CX221/CS221-1),"NM"))))))</f>
      </c>
      <c r="CY227" s="30">
        <f>IF(CT221="NM","NM",IF(CY221="NM","NM",IF(CT221&lt;=0,"NM",IF(CY221=0,"NM",IF(ABS(CY221/CT221-1)&gt;2.5,"NM",IF((ABS(CY221-CT221)=ABS(ABS(CY221)-ABS(CT221))),(CY221/CT221-1),"NM"))))))</f>
      </c>
      <c r="CZ227" s="308">
        <f>IF(CU221=0, "NA", CZ221/CU221-1)</f>
      </c>
      <c r="DA227" s="30">
        <f>IF(CV221="NM","NM",IF(DA221="NM","NM",IF(CV221&lt;=0,"NM",IF(DA221=0,"NM",IF(ABS(DA221/CV221-1)&gt;2.5,"NM",IF((ABS(DA221-CV221)=ABS(ABS(DA221)-ABS(CV221))),(DA221/CV221-1),"NM"))))))</f>
      </c>
      <c r="DB227" s="926">
        <f>IF(CW221=0, "NA", DB221/CW221-1)</f>
      </c>
      <c r="DC227" s="926">
        <f>IF(CX221=0, "NA", DC221/CX221-1)</f>
      </c>
      <c r="DD227" s="928">
        <f>IF(CY221=0, "NM", DD221/CY221-1)</f>
      </c>
      <c r="DE227" s="308">
        <f>IF(CZ221=0, "NA", DE221/CZ221-1)</f>
      </c>
      <c r="DF227" s="1361">
        <f>IF(DA221="NM","NM",IF(DF221="NM","NM",IF(DA221&lt;=0,"NM",IF(DF221=0,"NM",IF(ABS(DF221/DA221-1)&gt;2.5,"NM",IF((ABS(DF221-DA221)=ABS(ABS(DF221)-ABS(DA221))),(DF221/DA221-1),"NM"))))))</f>
      </c>
      <c r="DG227" s="1219">
        <f>IF(DB221=0, "NA", DG221/DB221-1)</f>
      </c>
      <c r="DH227" s="1219">
        <f>IF(DC221=0, "NA", DH221/DC221-1)</f>
      </c>
      <c r="DI227" s="928">
        <f>IF(DD221=0, "NM", DI221/DD221-1)</f>
      </c>
      <c r="DJ227" s="308">
        <f>IF(DE221=0, "NA", DJ221/DE221-1)</f>
      </c>
      <c r="DK227" s="1361">
        <f>IF(DF221="NM","NM",IF(DK221="NM","NM",IF(DF221&lt;=0,"NM",IF(DK221=0,"NM",IF(ABS(DK221/DF221-1)&gt;2.5,"NM",IF((ABS(DK221-DF221)=ABS(ABS(DK221)-ABS(DF221))),(DK221/DF221-1),"NM"))))))</f>
      </c>
      <c r="DL227" s="1361">
        <f>IF(DG221="NM","NM",IF(DL221="NM","NM",IF(DG221&lt;=0,"NM",IF(DL221=0,"NM",IF(ABS(DL221/DG221-1)&gt;2.5,"NM",IF((ABS(DL221-DG221)=ABS(ABS(DL221)-ABS(DG221))),(DL221/DG221-1),"NM"))))))</f>
      </c>
      <c r="DM227" s="30">
        <f>IF(DH221="NM","NM",IF(DM221="NM","NM",IF(DH221&lt;=0,"NM",IF(DM221=0,"NM",IF(ABS(DM221/DH221-1)&gt;2.5,"NM",IF((ABS(DM221-DH221)=ABS(ABS(DM221)-ABS(DH221))),(DM221/DH221-1),"NM"))))))</f>
      </c>
      <c r="DN227" s="928">
        <f>IF(DI221=0, "NM", DN221/DI221-1)</f>
      </c>
      <c r="DO227" s="308">
        <f>IF(DJ221=0, "NA", DO221/DJ221-1)</f>
      </c>
      <c r="DP227" s="410">
        <f>IF(DK221=0, "NA", DP221/DK221-1)</f>
      </c>
      <c r="DQ227" s="1361">
        <f>IF(DL221="NM","NM",IF(DQ221="NM","NM",IF(DL221&lt;=0,"NM",IF(DQ221=0,"NM",IF(ABS(DQ221/DL221-1)&gt;2.5,"NM",IF((ABS(DQ221-DL221)=ABS(ABS(DQ221)-ABS(DL221))),(DQ221/DL221-1),"NM"))))))</f>
      </c>
      <c r="DR227" s="1361">
        <f>IF(DM221="NM","NM",IF(DR221="NM","NM",IF(DM221&lt;=0,"NM",IF(DR221=0,"NM",IF(ABS(DR221/DM221-1)&gt;2.5,"NM",IF((ABS(DR221-DM221)=ABS(ABS(DR221)-ABS(DM221))),(DR221/DM221-1),"NM"))))))</f>
      </c>
      <c r="DS227" s="1361">
        <f>IF(DN221="NM","NM",IF(DS221="NM","NM",IF(DN221&lt;=0,"NM",IF(DS221=0,"NM",IF(ABS(DS221/DN221-1)&gt;2.5,"NM",IF((ABS(DS221-DN221)=ABS(ABS(DS221)-ABS(DN221))),(DS221/DN221-1),"NM"))))))</f>
      </c>
      <c r="DT227" s="315">
        <f t="shared" ref="DT227:EI227" si="585">IF(DO221=0, "NA", DT221/DO221-1)</f>
      </c>
      <c r="DU227" s="410">
        <f t="shared" si="585"/>
      </c>
      <c r="DV227" s="410">
        <f t="shared" si="585"/>
      </c>
      <c r="DW227" s="410">
        <f t="shared" si="585"/>
      </c>
      <c r="DX227" s="410">
        <f t="shared" si="585"/>
      </c>
      <c r="DY227" s="315">
        <f t="shared" si="585"/>
      </c>
      <c r="DZ227" s="926">
        <f t="shared" si="585"/>
      </c>
      <c r="EA227" s="926">
        <f t="shared" si="585"/>
      </c>
      <c r="EB227" s="926">
        <f t="shared" si="585"/>
      </c>
      <c r="EC227" s="926">
        <f>IF(DX221=0, "NM", EC221/DX221-1)</f>
      </c>
      <c r="ED227" s="315">
        <f t="shared" si="585"/>
      </c>
      <c r="EE227" s="926">
        <f t="shared" si="585"/>
      </c>
      <c r="EF227" s="926">
        <f t="shared" si="585"/>
      </c>
      <c r="EG227" s="926">
        <f t="shared" si="585"/>
      </c>
      <c r="EH227" s="926">
        <f>IF(EC221=0, "NM", EH221/EC221-1)</f>
      </c>
      <c r="EI227" s="315">
        <f t="shared" si="585"/>
      </c>
      <c r="EJ227" s="308">
        <f t="shared" ref="EJ227:ES227" si="586">IF(EI221=0, "NA", EJ221/EI221-1)</f>
      </c>
      <c r="EK227" s="409">
        <f t="shared" si="586"/>
      </c>
      <c r="EL227" s="308">
        <f t="shared" si="586"/>
      </c>
      <c r="EM227" s="308">
        <f t="shared" si="586"/>
      </c>
      <c r="EN227" s="308">
        <f t="shared" si="586"/>
      </c>
      <c r="EO227" s="308">
        <f t="shared" si="586"/>
      </c>
      <c r="EP227" s="308">
        <f t="shared" si="586"/>
      </c>
      <c r="EQ227" s="308">
        <f t="shared" si="586"/>
      </c>
      <c r="ER227" s="308">
        <f t="shared" si="586"/>
      </c>
      <c r="ES227" s="308">
        <f t="shared" si="586"/>
      </c>
      <c r="ET227" s="409"/>
      <c r="EU227" s="409"/>
      <c r="EV227" s="409"/>
      <c r="EW227" s="409"/>
      <c r="EX227" s="409"/>
    </row>
    <row r="228" spans="1:154" ht="12.75" customHeight="1">
      <c r="A228" s="3277"/>
      <c r="B228" s="1171"/>
      <c r="C228" s="1989"/>
      <c r="D228" s="28"/>
      <c r="E228" s="28"/>
      <c r="F228" s="28"/>
      <c r="G228" s="28"/>
      <c r="H228" s="28"/>
      <c r="I228" s="31"/>
      <c r="J228" s="28"/>
      <c r="K228" s="28"/>
      <c r="L228" s="28"/>
      <c r="M228" s="28"/>
      <c r="N228" s="31"/>
      <c r="O228" s="31"/>
      <c r="P228" s="31"/>
      <c r="Q228" s="31"/>
      <c r="R228" s="31"/>
      <c r="S228" s="31"/>
      <c r="T228" s="31"/>
      <c r="U228" s="31"/>
      <c r="V228" s="31"/>
      <c r="W228" s="31"/>
      <c r="X228" s="313"/>
      <c r="Y228" s="31"/>
      <c r="Z228" s="31"/>
      <c r="AA228" s="31"/>
      <c r="AB228" s="31"/>
      <c r="AC228" s="313"/>
      <c r="AD228" s="31"/>
      <c r="AE228" s="31"/>
      <c r="AF228" s="31"/>
      <c r="AG228" s="31"/>
      <c r="AH228" s="313"/>
      <c r="AI228" s="28"/>
      <c r="AJ228" s="28"/>
      <c r="AK228" s="28"/>
      <c r="AL228" s="31"/>
      <c r="AM228" s="313"/>
      <c r="AN228" s="28"/>
      <c r="AO228" s="28"/>
      <c r="AP228" s="28"/>
      <c r="AQ228" s="31"/>
      <c r="AR228" s="313"/>
      <c r="AS228" s="28"/>
      <c r="AT228" s="28"/>
      <c r="AU228" s="28"/>
      <c r="AV228" s="28"/>
      <c r="AW228" s="313"/>
      <c r="AX228" s="28"/>
      <c r="AY228" s="28"/>
      <c r="AZ228" s="28"/>
      <c r="BA228" s="28"/>
      <c r="BB228" s="313"/>
      <c r="BC228" s="28"/>
      <c r="BD228" s="28"/>
      <c r="BE228" s="28"/>
      <c r="BF228" s="28"/>
      <c r="BG228" s="313"/>
      <c r="BH228" s="28"/>
      <c r="BI228" s="28"/>
      <c r="BJ228" s="28"/>
      <c r="BK228" s="28"/>
      <c r="BL228" s="313"/>
      <c r="BM228" s="28"/>
      <c r="BN228" s="28"/>
      <c r="BO228" s="28"/>
      <c r="BP228" s="28"/>
      <c r="BQ228" s="313"/>
      <c r="BR228" s="28"/>
      <c r="BS228" s="28"/>
      <c r="BT228" s="28"/>
      <c r="BU228" s="28"/>
      <c r="BV228" s="313"/>
      <c r="BW228" s="28"/>
      <c r="BX228" s="28"/>
      <c r="BY228" s="28"/>
      <c r="BZ228" s="28"/>
      <c r="CA228" s="313"/>
      <c r="CB228" s="28"/>
      <c r="CC228" s="28"/>
      <c r="CD228" s="28"/>
      <c r="CE228" s="28"/>
      <c r="CF228" s="313"/>
      <c r="CG228" s="28"/>
      <c r="CH228" s="28"/>
      <c r="CI228" s="28"/>
      <c r="CJ228" s="28"/>
      <c r="CK228" s="313"/>
      <c r="CL228" s="933"/>
      <c r="CM228" s="933"/>
      <c r="CN228" s="933"/>
      <c r="CO228" s="28"/>
      <c r="CP228" s="313"/>
      <c r="CQ228" s="933"/>
      <c r="CR228" s="933"/>
      <c r="CS228" s="933"/>
      <c r="CT228" s="933"/>
      <c r="CU228" s="313"/>
      <c r="CV228" s="933"/>
      <c r="CW228" s="933"/>
      <c r="CX228" s="933"/>
      <c r="CY228" s="933"/>
      <c r="CZ228" s="313"/>
      <c r="DA228" s="933"/>
      <c r="DB228" s="31"/>
      <c r="DC228" s="31"/>
      <c r="DD228" s="955"/>
      <c r="DE228" s="477"/>
      <c r="DF228" s="982"/>
      <c r="DG228" s="603"/>
      <c r="DH228" s="603"/>
      <c r="DI228" s="1798"/>
      <c r="DJ228" s="477"/>
      <c r="DK228" s="1799"/>
      <c r="DL228" s="603"/>
      <c r="DM228" s="603"/>
      <c r="DN228" s="1798"/>
      <c r="DO228" s="477"/>
      <c r="DP228" s="603"/>
      <c r="DQ228" s="1921"/>
      <c r="DR228" s="1921"/>
      <c r="DS228" s="1798"/>
      <c r="DT228" s="313"/>
      <c r="DU228" s="2407"/>
      <c r="DV228" s="2407"/>
      <c r="DW228" s="2407"/>
      <c r="DX228" s="2407"/>
      <c r="DY228" s="3292"/>
      <c r="DZ228" s="2407"/>
      <c r="EA228" s="2407"/>
      <c r="EB228" s="2407"/>
      <c r="EC228" s="2407"/>
      <c r="ED228" s="477"/>
      <c r="EE228" s="2407"/>
      <c r="EF228" s="2407"/>
      <c r="EG228" s="2407"/>
      <c r="EH228" s="603"/>
      <c r="EI228" s="2067"/>
      <c r="EJ228" s="477"/>
      <c r="EK228" s="1798"/>
      <c r="EL228" s="477"/>
      <c r="EM228" s="477"/>
      <c r="EN228" s="477"/>
      <c r="EO228" s="477"/>
      <c r="EP228" s="477"/>
      <c r="EQ228" s="477"/>
      <c r="ER228" s="477"/>
      <c r="ES228" s="477"/>
      <c r="ET228" s="477"/>
      <c r="EU228" s="477"/>
      <c r="EV228" s="477"/>
      <c r="EW228" s="477"/>
      <c r="EX228" s="477"/>
    </row>
    <row r="229" spans="1:154" ht="12.75" customHeight="1">
      <c r="A229" s="3277"/>
      <c r="B229" s="1170" t="s">
        <v>3</v>
      </c>
      <c r="C229" s="1989"/>
      <c r="D229" s="28"/>
      <c r="E229" s="28"/>
      <c r="F229" s="28"/>
      <c r="G229" s="28"/>
      <c r="H229" s="28"/>
      <c r="I229" s="31"/>
      <c r="J229" s="28"/>
      <c r="K229" s="28"/>
      <c r="L229" s="28"/>
      <c r="M229" s="28"/>
      <c r="N229" s="31"/>
      <c r="O229" s="31"/>
      <c r="P229" s="31"/>
      <c r="Q229" s="31"/>
      <c r="R229" s="31"/>
      <c r="S229" s="31"/>
      <c r="T229" s="31"/>
      <c r="U229" s="31"/>
      <c r="V229" s="31"/>
      <c r="W229" s="31"/>
      <c r="X229" s="313"/>
      <c r="Y229" s="31"/>
      <c r="Z229" s="31"/>
      <c r="AA229" s="31"/>
      <c r="AB229" s="31"/>
      <c r="AC229" s="313"/>
      <c r="AD229" s="31"/>
      <c r="AE229" s="31"/>
      <c r="AF229" s="31"/>
      <c r="AG229" s="31"/>
      <c r="AH229" s="313"/>
      <c r="AI229" s="28"/>
      <c r="AJ229" s="28"/>
      <c r="AK229" s="28"/>
      <c r="AL229" s="31"/>
      <c r="AM229" s="313"/>
      <c r="AN229" s="28"/>
      <c r="AO229" s="28"/>
      <c r="AP229" s="28"/>
      <c r="AQ229" s="31"/>
      <c r="AR229" s="313"/>
      <c r="AS229" s="28"/>
      <c r="AT229" s="28"/>
      <c r="AU229" s="28"/>
      <c r="AV229" s="28"/>
      <c r="AW229" s="313"/>
      <c r="AX229" s="28"/>
      <c r="AY229" s="28"/>
      <c r="AZ229" s="28"/>
      <c r="BA229" s="28"/>
      <c r="BB229" s="313"/>
      <c r="BC229" s="28"/>
      <c r="BD229" s="28"/>
      <c r="BE229" s="28"/>
      <c r="BF229" s="28"/>
      <c r="BG229" s="313"/>
      <c r="BH229" s="28"/>
      <c r="BI229" s="28"/>
      <c r="BJ229" s="28"/>
      <c r="BK229" s="28"/>
      <c r="BL229" s="313"/>
      <c r="BM229" s="28"/>
      <c r="BN229" s="28"/>
      <c r="BO229" s="28"/>
      <c r="BP229" s="28"/>
      <c r="BQ229" s="313"/>
      <c r="BR229" s="28"/>
      <c r="BS229" s="28"/>
      <c r="BT229" s="28"/>
      <c r="BU229" s="28"/>
      <c r="BV229" s="313"/>
      <c r="BW229" s="28"/>
      <c r="BX229" s="28"/>
      <c r="BY229" s="28"/>
      <c r="BZ229" s="28"/>
      <c r="CA229" s="313"/>
      <c r="CB229" s="28"/>
      <c r="CC229" s="28"/>
      <c r="CD229" s="28"/>
      <c r="CE229" s="28"/>
      <c r="CF229" s="313"/>
      <c r="CG229" s="28"/>
      <c r="CH229" s="28"/>
      <c r="CI229" s="28"/>
      <c r="CJ229" s="28"/>
      <c r="CK229" s="313"/>
      <c r="CL229" s="933"/>
      <c r="CM229" s="933"/>
      <c r="CN229" s="933"/>
      <c r="CO229" s="28"/>
      <c r="CP229" s="313"/>
      <c r="CQ229" s="933"/>
      <c r="CR229" s="933"/>
      <c r="CS229" s="933"/>
      <c r="CT229" s="933"/>
      <c r="CU229" s="313"/>
      <c r="CV229" s="933"/>
      <c r="CW229" s="933"/>
      <c r="CX229" s="933"/>
      <c r="CY229" s="933"/>
      <c r="CZ229" s="313"/>
      <c r="DA229" s="933"/>
      <c r="DB229" s="1357"/>
      <c r="DC229" s="31"/>
      <c r="DD229" s="955"/>
      <c r="DE229" s="477"/>
      <c r="DF229" s="1921">
        <f>(DF231/DD231)-1</f>
      </c>
      <c r="DG229" s="1921">
        <f>(DG231/DF231)-1</f>
      </c>
      <c r="DH229" s="1921">
        <f>(DH231/DG231)-1</f>
      </c>
      <c r="DI229" s="2278">
        <f>(DI231/DH231)-1</f>
      </c>
      <c r="DJ229" s="477"/>
      <c r="DK229" s="1921">
        <f>(DK231/DI231)-1</f>
      </c>
      <c r="DL229" s="1921">
        <f>(DL231/DK231)-1</f>
      </c>
      <c r="DM229" s="1921">
        <f>(DM231/DL231)-1</f>
      </c>
      <c r="DN229" s="2278">
        <f>(DN231/DM231)-1</f>
      </c>
      <c r="DO229" s="477"/>
      <c r="DP229" s="1921"/>
      <c r="DQ229" s="1921"/>
      <c r="DR229" s="1921"/>
      <c r="DS229" s="2278"/>
      <c r="DT229" s="324"/>
      <c r="DU229" s="1921"/>
      <c r="DV229" s="1921"/>
      <c r="DW229" s="1921"/>
      <c r="DX229" s="2278"/>
      <c r="DY229" s="324"/>
      <c r="DZ229" s="3315">
        <f>DZ230-DX230</f>
      </c>
      <c r="EA229" s="3315">
        <f>EA230-DZ230</f>
      </c>
      <c r="EB229" s="1840">
        <f t="shared" ref="EB229" si="587">EB230-EA230</f>
      </c>
      <c r="EC229" s="1840">
        <f t="shared" ref="EC229" si="588">EC230-EB230</f>
      </c>
      <c r="ED229" s="3531"/>
      <c r="EE229" s="3315">
        <f>EE230-EC230</f>
      </c>
      <c r="EF229" s="3315">
        <f>EF230-EE230</f>
      </c>
      <c r="EG229" s="1840">
        <f t="shared" ref="EG229" si="589">EG230-EF230</f>
      </c>
      <c r="EH229" s="1840">
        <f t="shared" ref="EH229" si="590">EH230-EG230</f>
      </c>
      <c r="EI229" s="477"/>
      <c r="EJ229" s="477"/>
      <c r="EK229" s="1798"/>
      <c r="EL229" s="477"/>
      <c r="EM229" s="477"/>
      <c r="EN229" s="2067"/>
      <c r="EO229" s="477"/>
      <c r="EP229" s="477"/>
      <c r="EQ229" s="477"/>
      <c r="ER229" s="477"/>
      <c r="ES229" s="477"/>
      <c r="ET229" s="477"/>
      <c r="EU229" s="477"/>
      <c r="EV229" s="477"/>
      <c r="EW229" s="477"/>
      <c r="EX229" s="477"/>
    </row>
    <row r="230" spans="1:154" ht="12.75" customHeight="1">
      <c r="A230" s="3277" t="str">
        <f>A232&amp;" - US"</f>
      </c>
      <c r="B230" s="1171" t="s">
        <v>921</v>
      </c>
      <c r="C230" s="1995">
        <v>45170</v>
      </c>
      <c r="D230" s="28"/>
      <c r="E230" s="28"/>
      <c r="F230" s="28"/>
      <c r="G230" s="28"/>
      <c r="H230" s="28"/>
      <c r="I230" s="31"/>
      <c r="J230" s="28"/>
      <c r="K230" s="28"/>
      <c r="L230" s="28"/>
      <c r="M230" s="28"/>
      <c r="N230" s="31"/>
      <c r="O230" s="31"/>
      <c r="P230" s="31"/>
      <c r="Q230" s="31"/>
      <c r="R230" s="31"/>
      <c r="S230" s="31"/>
      <c r="T230" s="31"/>
      <c r="U230" s="31"/>
      <c r="V230" s="31"/>
      <c r="W230" s="31"/>
      <c r="X230" s="312"/>
      <c r="Y230" s="31"/>
      <c r="Z230" s="31"/>
      <c r="AA230" s="31"/>
      <c r="AB230" s="31"/>
      <c r="AC230" s="312"/>
      <c r="AD230" s="31"/>
      <c r="AE230" s="31"/>
      <c r="AF230" s="31"/>
      <c r="AG230" s="31"/>
      <c r="AH230" s="312"/>
      <c r="AI230" s="28"/>
      <c r="AJ230" s="28"/>
      <c r="AK230" s="28"/>
      <c r="AL230" s="31"/>
      <c r="AM230" s="312"/>
      <c r="AN230" s="28"/>
      <c r="AO230" s="28"/>
      <c r="AP230" s="28"/>
      <c r="AQ230" s="31"/>
      <c r="AR230" s="312"/>
      <c r="AS230" s="28"/>
      <c r="AT230" s="28"/>
      <c r="AU230" s="28"/>
      <c r="AV230" s="28"/>
      <c r="AW230" s="312"/>
      <c r="AX230" s="28"/>
      <c r="AY230" s="28"/>
      <c r="AZ230" s="28"/>
      <c r="BA230" s="33">
        <v>0</v>
      </c>
      <c r="BB230" s="312">
        <f>SUM(AX230:BA230)</f>
      </c>
      <c r="BC230" s="28">
        <v>0</v>
      </c>
      <c r="BD230" s="28">
        <v>0</v>
      </c>
      <c r="BE230" s="28">
        <v>0</v>
      </c>
      <c r="BF230" s="28">
        <v>15</v>
      </c>
      <c r="BG230" s="312">
        <f>SUM(BC230:BF230)</f>
      </c>
      <c r="BH230" s="28">
        <v>56</v>
      </c>
      <c r="BI230" s="28">
        <v>50</v>
      </c>
      <c r="BJ230" s="33">
        <v>68</v>
      </c>
      <c r="BK230" s="33">
        <v>72</v>
      </c>
      <c r="BL230" s="312">
        <f>SUM(BH230:BK230)</f>
      </c>
      <c r="BM230" s="352">
        <v>105</v>
      </c>
      <c r="BN230" s="352">
        <v>100</v>
      </c>
      <c r="BO230" s="352">
        <v>112</v>
      </c>
      <c r="BP230" s="352">
        <v>126</v>
      </c>
      <c r="BQ230" s="312">
        <f>SUM(BM230:BP230)</f>
      </c>
      <c r="BR230" s="352">
        <v>129</v>
      </c>
      <c r="BS230" s="352">
        <v>152</v>
      </c>
      <c r="BT230" s="352">
        <v>188</v>
      </c>
      <c r="BU230" s="352">
        <v>158</v>
      </c>
      <c r="BV230" s="312">
        <f>SUM(BR230:BU230)</f>
      </c>
      <c r="BW230" s="352">
        <v>226</v>
      </c>
      <c r="BX230" s="352">
        <v>233</v>
      </c>
      <c r="BY230" s="352">
        <v>233</v>
      </c>
      <c r="BZ230" s="352">
        <v>265</v>
      </c>
      <c r="CA230" s="312">
        <f>SUM(BW230:BZ230)</f>
      </c>
      <c r="CB230" s="352">
        <v>279</v>
      </c>
      <c r="CC230" s="352">
        <v>343</v>
      </c>
      <c r="CD230" s="352">
        <v>356</v>
      </c>
      <c r="CE230" s="352">
        <v>356</v>
      </c>
      <c r="CF230" s="312">
        <f>SUM(CB230:CE230)</f>
      </c>
      <c r="CG230" s="352">
        <v>364</v>
      </c>
      <c r="CH230" s="352">
        <v>375</v>
      </c>
      <c r="CI230" s="352">
        <v>414</v>
      </c>
      <c r="CJ230" s="352">
        <v>524</v>
      </c>
      <c r="CK230" s="312">
        <f>SUM(CG230:CJ230)</f>
      </c>
      <c r="CL230" s="352">
        <v>511</v>
      </c>
      <c r="CM230" s="352">
        <v>559</v>
      </c>
      <c r="CN230" s="352">
        <v>561</v>
      </c>
      <c r="CO230" s="352">
        <v>632</v>
      </c>
      <c r="CP230" s="312">
        <f>SUM(CL230:CO230)</f>
      </c>
      <c r="CQ230" s="352">
        <v>547</v>
      </c>
      <c r="CR230" s="352">
        <v>680</v>
      </c>
      <c r="CS230" s="352">
        <v>780</v>
      </c>
      <c r="CT230" s="352">
        <v>740</v>
      </c>
      <c r="CU230" s="312">
        <f>SUM(CQ230:CT230)</f>
      </c>
      <c r="CV230" s="352">
        <v>652</v>
      </c>
      <c r="CW230" s="352">
        <v>919</v>
      </c>
      <c r="CX230" s="352">
        <v>889</v>
      </c>
      <c r="CY230" s="352">
        <v>1009</v>
      </c>
      <c r="CZ230" s="312">
        <f>SUM(CV230:CY230)</f>
      </c>
      <c r="DA230" s="352">
        <v>882</v>
      </c>
      <c r="DB230" s="1217">
        <v>1059</v>
      </c>
      <c r="DC230" s="577">
        <v>1212</v>
      </c>
      <c r="DD230" s="1205">
        <v>1194</v>
      </c>
      <c r="DE230" s="1835">
        <f>SUM(DA230:DD230)</f>
      </c>
      <c r="DF230" s="710">
        <v>1217</v>
      </c>
      <c r="DG230" s="710">
        <v>1138</v>
      </c>
      <c r="DH230" s="710">
        <v>1313</v>
      </c>
      <c r="DI230" s="1839">
        <v>1572</v>
      </c>
      <c r="DJ230" s="1835">
        <f>SUM(DF230:DI230)</f>
      </c>
      <c r="DK230" s="710">
        <v>1331</v>
      </c>
      <c r="DL230" s="710">
        <v>1496</v>
      </c>
      <c r="DM230" s="710">
        <v>1569</v>
      </c>
      <c r="DN230" s="1839">
        <v>1542</v>
      </c>
      <c r="DO230" s="1835">
        <f>SUM(DK230:DN230)</f>
      </c>
      <c r="DP230" s="710">
        <v>1379</v>
      </c>
      <c r="DQ230" s="1544">
        <v>1731</v>
      </c>
      <c r="DR230" s="1544">
        <v>1655</v>
      </c>
      <c r="DS230" s="1552">
        <v>1621</v>
      </c>
      <c r="DT230" s="324">
        <f>SUM(DP230:DS230)</f>
      </c>
      <c r="DU230" s="710">
        <v>1451</v>
      </c>
      <c r="DV230" s="710">
        <v>1816.5</v>
      </c>
      <c r="DW230" s="710">
        <v>1912</v>
      </c>
      <c r="DX230" s="710">
        <v>1786</v>
      </c>
      <c r="DY230" s="324">
        <f>SUM(DU230:DX230)</f>
      </c>
      <c r="DZ230" s="1544">
        <v>1396.2</v>
      </c>
      <c r="EA230" s="1544">
        <v>1855</v>
      </c>
      <c r="EB230" s="1544">
        <v>1770</v>
      </c>
      <c r="EC230" s="1839">
        <v>1699</v>
      </c>
      <c r="ED230" s="324">
        <f>SUM(DZ230:EC230)</f>
      </c>
      <c r="EE230" s="1544">
        <v>981</v>
      </c>
      <c r="EF230" s="1544">
        <v>1078</v>
      </c>
      <c r="EG230" s="1544">
        <v>1022</v>
      </c>
      <c r="EH230" s="1544">
        <v>830</v>
      </c>
      <c r="EI230" s="324">
        <f>SUM(EE230:EH230)</f>
      </c>
      <c r="EJ230" s="1835">
        <f t="shared" ref="EJ230" si="591">+EI230*(1+EJ235)</f>
      </c>
      <c r="EK230" s="1835">
        <f t="shared" ref="EK230" si="592">+EJ230*(1+EK235)</f>
      </c>
      <c r="EL230" s="1835">
        <f t="shared" ref="EL230" si="593">+EK230*(1+EL235)</f>
      </c>
      <c r="EM230" s="1835">
        <f t="shared" ref="EM230" si="594">+EL230*(1+EM235)</f>
      </c>
      <c r="EN230" s="1835">
        <f t="shared" ref="EN230" si="595">+EM230*(1+EN235)</f>
      </c>
      <c r="EO230" s="1835">
        <f t="shared" ref="EO230" si="596">+EN230*(1+EO235)</f>
      </c>
      <c r="EP230" s="1835">
        <f t="shared" ref="EP230" si="597">+EO230*(1+EP235)</f>
      </c>
      <c r="EQ230" s="1835">
        <f t="shared" ref="EQ230" si="598">+EP230*(1+EQ235)</f>
      </c>
      <c r="ER230" s="1835">
        <f t="shared" ref="ER230" si="599">+EQ230*(1+ER235)</f>
      </c>
      <c r="ES230" s="1835">
        <f t="shared" ref="ES230" si="600">+ER230*(1+ES235)</f>
      </c>
      <c r="ET230" s="1556"/>
      <c r="EU230" s="1556"/>
      <c r="EV230" s="1556"/>
      <c r="EW230" s="1556"/>
      <c r="EX230" s="1556"/>
    </row>
    <row r="231" spans="1:154" ht="12.75" customHeight="1">
      <c r="A231" s="3277" t="str">
        <f>+A232&amp;" - OUS"</f>
      </c>
      <c r="B231" s="1171" t="s">
        <v>412</v>
      </c>
      <c r="C231" s="1995">
        <v>45292</v>
      </c>
      <c r="D231" s="28"/>
      <c r="E231" s="28"/>
      <c r="F231" s="28"/>
      <c r="G231" s="28"/>
      <c r="H231" s="28"/>
      <c r="I231" s="31"/>
      <c r="J231" s="28"/>
      <c r="K231" s="28"/>
      <c r="L231" s="28"/>
      <c r="M231" s="28"/>
      <c r="N231" s="31"/>
      <c r="O231" s="31"/>
      <c r="P231" s="31"/>
      <c r="Q231" s="31"/>
      <c r="R231" s="31"/>
      <c r="S231" s="31"/>
      <c r="T231" s="31"/>
      <c r="U231" s="31"/>
      <c r="V231" s="31"/>
      <c r="W231" s="31"/>
      <c r="X231" s="312"/>
      <c r="Y231" s="31"/>
      <c r="Z231" s="31"/>
      <c r="AA231" s="31"/>
      <c r="AB231" s="31"/>
      <c r="AC231" s="312"/>
      <c r="AD231" s="31"/>
      <c r="AE231" s="31"/>
      <c r="AF231" s="31"/>
      <c r="AG231" s="31"/>
      <c r="AH231" s="312"/>
      <c r="AI231" s="28"/>
      <c r="AJ231" s="28"/>
      <c r="AK231" s="28"/>
      <c r="AL231" s="31"/>
      <c r="AM231" s="312"/>
      <c r="AN231" s="28"/>
      <c r="AO231" s="28"/>
      <c r="AP231" s="28"/>
      <c r="AQ231" s="31"/>
      <c r="AR231" s="312"/>
      <c r="AS231" s="28"/>
      <c r="AT231" s="28"/>
      <c r="AU231" s="28"/>
      <c r="AV231" s="28"/>
      <c r="AW231" s="312"/>
      <c r="AX231" s="28"/>
      <c r="AY231" s="28"/>
      <c r="AZ231" s="28"/>
      <c r="BA231" s="33">
        <v>0</v>
      </c>
      <c r="BB231" s="312">
        <f>SUM(AX231:BA231)</f>
      </c>
      <c r="BC231" s="28">
        <v>5</v>
      </c>
      <c r="BD231" s="28">
        <v>10</v>
      </c>
      <c r="BE231" s="28">
        <v>13</v>
      </c>
      <c r="BF231" s="28">
        <v>17</v>
      </c>
      <c r="BG231" s="312">
        <f>SUM(BC231:BF231)</f>
      </c>
      <c r="BH231" s="28">
        <v>31</v>
      </c>
      <c r="BI231" s="28">
        <v>36</v>
      </c>
      <c r="BJ231" s="33">
        <v>39</v>
      </c>
      <c r="BK231" s="33">
        <v>47</v>
      </c>
      <c r="BL231" s="312">
        <f>SUM(BH231:BK231)</f>
      </c>
      <c r="BM231" s="352">
        <v>61</v>
      </c>
      <c r="BN231" s="352">
        <v>76</v>
      </c>
      <c r="BO231" s="352">
        <v>77</v>
      </c>
      <c r="BP231" s="352">
        <v>81</v>
      </c>
      <c r="BQ231" s="312">
        <f>SUM(BM231:BP231)</f>
      </c>
      <c r="BR231" s="352">
        <v>92</v>
      </c>
      <c r="BS231" s="352">
        <v>96</v>
      </c>
      <c r="BT231" s="352">
        <v>99</v>
      </c>
      <c r="BU231" s="352">
        <v>111</v>
      </c>
      <c r="BV231" s="312">
        <f>SUM(BR231:BU231)</f>
      </c>
      <c r="BW231" s="352">
        <v>120</v>
      </c>
      <c r="BX231" s="352">
        <v>138</v>
      </c>
      <c r="BY231" s="352">
        <v>137</v>
      </c>
      <c r="BZ231" s="352">
        <v>152</v>
      </c>
      <c r="CA231" s="312">
        <f>SUM(BW231:BZ231)</f>
      </c>
      <c r="CB231" s="352">
        <v>177</v>
      </c>
      <c r="CC231" s="352">
        <v>185</v>
      </c>
      <c r="CD231" s="352">
        <v>187</v>
      </c>
      <c r="CE231" s="352">
        <v>189</v>
      </c>
      <c r="CF231" s="312">
        <f>SUM(CB231:CE231)</f>
      </c>
      <c r="CG231" s="352">
        <v>185</v>
      </c>
      <c r="CH231" s="352">
        <v>195</v>
      </c>
      <c r="CI231" s="352">
        <v>199</v>
      </c>
      <c r="CJ231" s="352">
        <v>218</v>
      </c>
      <c r="CK231" s="312">
        <f>SUM(CG231:CJ231)</f>
      </c>
      <c r="CL231" s="352">
        <v>224</v>
      </c>
      <c r="CM231" s="352">
        <v>245</v>
      </c>
      <c r="CN231" s="352">
        <v>253</v>
      </c>
      <c r="CO231" s="352">
        <v>247</v>
      </c>
      <c r="CP231" s="312">
        <f>SUM(CL231:CO231)</f>
      </c>
      <c r="CQ231" s="352">
        <v>276</v>
      </c>
      <c r="CR231" s="352">
        <v>303</v>
      </c>
      <c r="CS231" s="352">
        <v>324</v>
      </c>
      <c r="CT231" s="352">
        <v>341</v>
      </c>
      <c r="CU231" s="312">
        <f>SUM(CQ231:CT231)</f>
      </c>
      <c r="CV231" s="352">
        <v>409</v>
      </c>
      <c r="CW231" s="352">
        <v>422</v>
      </c>
      <c r="CX231" s="352">
        <v>421</v>
      </c>
      <c r="CY231" s="352">
        <v>435</v>
      </c>
      <c r="CZ231" s="312">
        <f>SUM(CV231:CY231)</f>
      </c>
      <c r="DA231" s="352">
        <v>523</v>
      </c>
      <c r="DB231" s="1217">
        <v>499</v>
      </c>
      <c r="DC231" s="577">
        <v>487</v>
      </c>
      <c r="DD231" s="1205">
        <v>506</v>
      </c>
      <c r="DE231" s="1835">
        <f>SUM(DA231:DD231)</f>
      </c>
      <c r="DF231" s="710">
        <v>603</v>
      </c>
      <c r="DG231" s="710">
        <v>558</v>
      </c>
      <c r="DH231" s="710">
        <v>634</v>
      </c>
      <c r="DI231" s="1839">
        <v>672</v>
      </c>
      <c r="DJ231" s="1835">
        <f>SUM(DF231:DI231)</f>
      </c>
      <c r="DK231" s="710">
        <v>817</v>
      </c>
      <c r="DL231" s="710">
        <v>778</v>
      </c>
      <c r="DM231" s="710">
        <v>809</v>
      </c>
      <c r="DN231" s="1839">
        <v>792</v>
      </c>
      <c r="DO231" s="1835">
        <f>SUM(DK231:DN231)</f>
      </c>
      <c r="DP231" s="710">
        <v>909</v>
      </c>
      <c r="DQ231" s="1544">
        <v>868</v>
      </c>
      <c r="DR231" s="1544">
        <v>794</v>
      </c>
      <c r="DS231" s="1552">
        <v>764.4</v>
      </c>
      <c r="DT231" s="324">
        <f>SUM(DP231:DS231)</f>
      </c>
      <c r="DU231" s="710">
        <v>993</v>
      </c>
      <c r="DV231" s="710">
        <v>980.5</v>
      </c>
      <c r="DW231" s="710">
        <v>951.1</v>
      </c>
      <c r="DX231" s="710">
        <v>967.4</v>
      </c>
      <c r="DY231" s="324">
        <f>SUM(DU231:DX231)</f>
      </c>
      <c r="DZ231" s="1544">
        <v>1055</v>
      </c>
      <c r="EA231" s="1544">
        <v>1030</v>
      </c>
      <c r="EB231" s="1544">
        <v>906</v>
      </c>
      <c r="EC231" s="1839">
        <v>650</v>
      </c>
      <c r="ED231" s="324">
        <f>SUM(DZ231:EC231)</f>
      </c>
      <c r="EE231" s="1544">
        <v>644</v>
      </c>
      <c r="EF231" s="1544">
        <v>575</v>
      </c>
      <c r="EG231" s="1544">
        <v>549</v>
      </c>
      <c r="EH231" s="1544">
        <v>460</v>
      </c>
      <c r="EI231" s="324">
        <f>SUM(EE231:EH231)</f>
      </c>
      <c r="EJ231" s="573">
        <f t="shared" ref="EJ231" si="601">EI231*(1+EJ236)</f>
      </c>
      <c r="EK231" s="573">
        <f t="shared" ref="EK231" si="602">EJ231*(1+EK236)</f>
      </c>
      <c r="EL231" s="573">
        <f t="shared" ref="EL231" si="603">EK231*(1+EL236)</f>
      </c>
      <c r="EM231" s="573">
        <f t="shared" ref="EM231" si="604">EL231*(1+EM236)</f>
      </c>
      <c r="EN231" s="573">
        <f t="shared" ref="EN231" si="605">EM231*(1+EN236)</f>
      </c>
      <c r="EO231" s="573">
        <f t="shared" ref="EO231" si="606">EN231*(1+EO236)</f>
      </c>
      <c r="EP231" s="573">
        <f t="shared" ref="EP231" si="607">EO231*(1+EP236)</f>
      </c>
      <c r="EQ231" s="573">
        <f t="shared" ref="EQ231" si="608">EP231*(1+EQ236)</f>
      </c>
      <c r="ER231" s="573">
        <f t="shared" ref="ER231" si="609">EQ231*(1+ER236)</f>
      </c>
      <c r="ES231" s="573">
        <f t="shared" ref="ES231" si="610">ER231*(1+ES236)</f>
      </c>
      <c r="ET231" s="1841"/>
      <c r="EU231" s="1841"/>
      <c r="EV231" s="1841"/>
      <c r="EW231" s="1841"/>
      <c r="EX231" s="1841"/>
    </row>
    <row r="232" spans="1:154" ht="12.75" customHeight="1">
      <c r="A232" s="3278" t="s">
        <v>3</v>
      </c>
      <c r="B232" s="1171" t="s">
        <v>413</v>
      </c>
      <c r="C232" s="1989"/>
      <c r="D232" s="28"/>
      <c r="E232" s="28"/>
      <c r="F232" s="28"/>
      <c r="G232" s="28"/>
      <c r="H232" s="28"/>
      <c r="I232" s="31"/>
      <c r="J232" s="28"/>
      <c r="K232" s="28"/>
      <c r="L232" s="28"/>
      <c r="M232" s="28"/>
      <c r="N232" s="31"/>
      <c r="O232" s="31"/>
      <c r="P232" s="31"/>
      <c r="Q232" s="31"/>
      <c r="R232" s="31"/>
      <c r="S232" s="31"/>
      <c r="T232" s="31"/>
      <c r="U232" s="31"/>
      <c r="V232" s="31"/>
      <c r="W232" s="31"/>
      <c r="X232" s="312"/>
      <c r="Y232" s="31"/>
      <c r="Z232" s="31"/>
      <c r="AA232" s="31"/>
      <c r="AB232" s="31"/>
      <c r="AC232" s="312"/>
      <c r="AD232" s="31"/>
      <c r="AE232" s="31"/>
      <c r="AF232" s="31"/>
      <c r="AG232" s="31"/>
      <c r="AH232" s="312"/>
      <c r="AI232" s="28"/>
      <c r="AJ232" s="28"/>
      <c r="AK232" s="28"/>
      <c r="AL232" s="31"/>
      <c r="AM232" s="312"/>
      <c r="AN232" s="28"/>
      <c r="AO232" s="28"/>
      <c r="AP232" s="28"/>
      <c r="AQ232" s="31"/>
      <c r="AR232" s="312"/>
      <c r="AS232" s="28"/>
      <c r="AT232" s="28"/>
      <c r="AU232" s="28"/>
      <c r="AV232" s="28"/>
      <c r="AW232" s="312"/>
      <c r="AX232" s="28"/>
      <c r="AY232" s="28"/>
      <c r="AZ232" s="28"/>
      <c r="BA232" s="28">
        <f>+SUM(BA230:BA231)</f>
      </c>
      <c r="BB232" s="312">
        <f>SUM(AX232:BA232)</f>
      </c>
      <c r="BC232" s="28">
        <v>5</v>
      </c>
      <c r="BD232" s="28">
        <v>10</v>
      </c>
      <c r="BE232" s="28">
        <v>13</v>
      </c>
      <c r="BF232" s="28">
        <v>32</v>
      </c>
      <c r="BG232" s="312">
        <f>SUM(BC232:BF232)</f>
      </c>
      <c r="BH232" s="28">
        <f>SUM(BH230:BH231)</f>
      </c>
      <c r="BI232" s="28">
        <f>SUM(BI230:BI231)</f>
      </c>
      <c r="BJ232" s="28">
        <f>SUM(BJ230:BJ231)</f>
      </c>
      <c r="BK232" s="28">
        <f>SUM(BK230:BK231)</f>
      </c>
      <c r="BL232" s="312">
        <f>SUM(BH232:BK232)</f>
      </c>
      <c r="BM232" s="28">
        <f>SUM(BM230:BM231)</f>
      </c>
      <c r="BN232" s="28">
        <f>SUM(BN230:BN231)</f>
      </c>
      <c r="BO232" s="28">
        <f>SUM(BO230:BO231)</f>
      </c>
      <c r="BP232" s="28">
        <f>SUM(BP230:BP231)</f>
      </c>
      <c r="BQ232" s="312">
        <f>SUM(BM232:BP232)</f>
      </c>
      <c r="BR232" s="28">
        <f>SUM(BR230:BR231)</f>
      </c>
      <c r="BS232" s="28">
        <f>SUM(BS230:BS231)</f>
      </c>
      <c r="BT232" s="28">
        <f>SUM(BT230:BT231)</f>
      </c>
      <c r="BU232" s="28">
        <f>SUM(BU230:BU231)</f>
      </c>
      <c r="BV232" s="312">
        <f>SUM(BR232:BU232)</f>
      </c>
      <c r="BW232" s="28">
        <f>SUM(BW230:BW231)</f>
      </c>
      <c r="BX232" s="28">
        <f>SUM(BX230:BX231)</f>
      </c>
      <c r="BY232" s="28">
        <f>SUM(BY230:BY231)</f>
      </c>
      <c r="BZ232" s="28">
        <f>SUM(BZ230:BZ231)</f>
      </c>
      <c r="CA232" s="312">
        <f>SUM(BW232:BZ232)</f>
      </c>
      <c r="CB232" s="28">
        <f>SUM(CB230:CB231)</f>
      </c>
      <c r="CC232" s="28">
        <f>SUM(CC230:CC231)</f>
      </c>
      <c r="CD232" s="28">
        <f>SUM(CD230:CD231)</f>
      </c>
      <c r="CE232" s="28">
        <f>SUM(CE230:CE231)</f>
      </c>
      <c r="CF232" s="312">
        <f>SUM(CB232:CE232)</f>
      </c>
      <c r="CG232" s="28">
        <f>SUM(CG230:CG231)</f>
      </c>
      <c r="CH232" s="28">
        <f>SUM(CH230:CH231)</f>
      </c>
      <c r="CI232" s="28">
        <f>SUM(CI230:CI231)</f>
      </c>
      <c r="CJ232" s="28">
        <f>SUM(CJ230:CJ231)</f>
      </c>
      <c r="CK232" s="312">
        <f>SUM(CG232:CJ232)</f>
      </c>
      <c r="CL232" s="28">
        <f>SUM(CL230:CL231)</f>
      </c>
      <c r="CM232" s="28">
        <f>SUM(CM230:CM231)</f>
      </c>
      <c r="CN232" s="28">
        <f>SUM(CN230:CN231)</f>
      </c>
      <c r="CO232" s="28">
        <f>SUM(CO230:CO231)</f>
      </c>
      <c r="CP232" s="312">
        <f>SUM(CL232:CO232)</f>
      </c>
      <c r="CQ232" s="933">
        <f>SUM(CQ230:CQ231)</f>
      </c>
      <c r="CR232" s="933">
        <f>SUM(CR230:CR231)</f>
      </c>
      <c r="CS232" s="933">
        <f>SUM(CS230:CS231)</f>
      </c>
      <c r="CT232" s="933">
        <f>SUM(CT230:CT231)</f>
      </c>
      <c r="CU232" s="312">
        <f>SUM(CQ232:CT232)</f>
      </c>
      <c r="CV232" s="933">
        <f>SUM(CV230:CV231)</f>
      </c>
      <c r="CW232" s="933">
        <f>SUM(CW230:CW231)</f>
      </c>
      <c r="CX232" s="933">
        <f>SUM(CX230:CX231)</f>
      </c>
      <c r="CY232" s="933">
        <f>SUM(CY230:CY231)</f>
      </c>
      <c r="CZ232" s="312">
        <f>SUM(CV232:CY232)</f>
      </c>
      <c r="DA232" s="933">
        <f>SUM(DA230:DA231)</f>
      </c>
      <c r="DB232" s="933">
        <f>SUM(DB230:DB231)</f>
      </c>
      <c r="DC232" s="36">
        <f>SUM(DC230:DC231)</f>
      </c>
      <c r="DD232" s="984">
        <f>+DD230+DD231</f>
      </c>
      <c r="DE232" s="1835">
        <f>SUM(DA232:DD232)</f>
      </c>
      <c r="DF232" s="1542">
        <f>SUM(DF230:DF231)</f>
      </c>
      <c r="DG232" s="1542">
        <f>SUM(DG230:DG231)</f>
      </c>
      <c r="DH232" s="1542">
        <f>SUM(DH230:DH231)</f>
      </c>
      <c r="DI232" s="1556">
        <f>+DI230+DI231</f>
      </c>
      <c r="DJ232" s="1835">
        <f>SUM(DF232:DI232)</f>
      </c>
      <c r="DK232" s="1542">
        <f>SUM(DK230:DK231)</f>
      </c>
      <c r="DL232" s="1542">
        <f>SUM(DL230:DL231)</f>
      </c>
      <c r="DM232" s="1542">
        <f>SUM(DM230:DM231)</f>
      </c>
      <c r="DN232" s="1556">
        <f>+DN230+DN231</f>
      </c>
      <c r="DO232" s="573">
        <f>SUM(DO230:DO231)</f>
      </c>
      <c r="DP232" s="1542">
        <f>SUM(DP230:DP231)</f>
      </c>
      <c r="DQ232" s="1542">
        <f>SUM(DQ230:DQ231)</f>
      </c>
      <c r="DR232" s="1542">
        <f>SUM(DR230:DR231)</f>
      </c>
      <c r="DS232" s="1556">
        <f>+DS230+DS231</f>
      </c>
      <c r="DT232" s="303">
        <f t="shared" ref="DT232:EB232" si="611">SUM(DT230:DT231)</f>
      </c>
      <c r="DU232" s="1542">
        <f t="shared" si="611"/>
      </c>
      <c r="DV232" s="1542">
        <f t="shared" si="611"/>
      </c>
      <c r="DW232" s="1542">
        <f t="shared" si="611"/>
      </c>
      <c r="DX232" s="1542">
        <f t="shared" si="611"/>
      </c>
      <c r="DY232" s="303">
        <f t="shared" si="611"/>
      </c>
      <c r="DZ232" s="1542">
        <f t="shared" si="611"/>
      </c>
      <c r="EA232" s="1542">
        <f t="shared" si="611"/>
      </c>
      <c r="EB232" s="1542">
        <f t="shared" si="611"/>
      </c>
      <c r="EC232" s="1556">
        <f>+EC230+EC231</f>
      </c>
      <c r="ED232" s="303">
        <f t="shared" ref="ED232:EG232" si="612">SUM(ED230:ED231)</f>
      </c>
      <c r="EE232" s="1542">
        <f t="shared" si="612"/>
      </c>
      <c r="EF232" s="1542">
        <f t="shared" si="612"/>
      </c>
      <c r="EG232" s="1542">
        <f t="shared" si="612"/>
      </c>
      <c r="EH232" s="1542">
        <f t="shared" ref="EH232:EI232" si="613">SUM(EH230:EH231)</f>
      </c>
      <c r="EI232" s="303">
        <f t="shared" si="613"/>
      </c>
      <c r="EJ232" s="573">
        <f t="shared" ref="EJ232:ES232" si="614">SUM(EJ230:EJ231)</f>
      </c>
      <c r="EK232" s="573">
        <f t="shared" si="614"/>
      </c>
      <c r="EL232" s="573">
        <f t="shared" si="614"/>
      </c>
      <c r="EM232" s="573">
        <f t="shared" si="614"/>
      </c>
      <c r="EN232" s="573">
        <f t="shared" si="614"/>
      </c>
      <c r="EO232" s="573">
        <f t="shared" si="614"/>
      </c>
      <c r="EP232" s="573">
        <f t="shared" si="614"/>
      </c>
      <c r="EQ232" s="573">
        <f t="shared" si="614"/>
      </c>
      <c r="ER232" s="573">
        <f t="shared" si="614"/>
      </c>
      <c r="ES232" s="573">
        <f t="shared" si="614"/>
      </c>
      <c r="ET232" s="1788"/>
      <c r="EU232" s="1788"/>
      <c r="EV232" s="1788"/>
      <c r="EW232" s="1788"/>
      <c r="EX232" s="1788"/>
    </row>
    <row r="233" spans="1:154" ht="12.75" customHeight="1">
      <c r="A233" s="3277"/>
      <c r="B233" s="1171"/>
      <c r="C233" s="1989"/>
      <c r="D233" s="28"/>
      <c r="E233" s="28"/>
      <c r="F233" s="28"/>
      <c r="G233" s="28"/>
      <c r="H233" s="28"/>
      <c r="I233" s="31"/>
      <c r="J233" s="28"/>
      <c r="K233" s="28"/>
      <c r="L233" s="28"/>
      <c r="M233" s="28"/>
      <c r="N233" s="31"/>
      <c r="O233" s="31"/>
      <c r="P233" s="31"/>
      <c r="Q233" s="31"/>
      <c r="R233" s="31"/>
      <c r="S233" s="31"/>
      <c r="T233" s="31"/>
      <c r="U233" s="31"/>
      <c r="V233" s="31"/>
      <c r="W233" s="31"/>
      <c r="X233" s="312"/>
      <c r="Y233" s="31"/>
      <c r="Z233" s="31"/>
      <c r="AA233" s="31"/>
      <c r="AB233" s="31"/>
      <c r="AC233" s="312"/>
      <c r="AD233" s="31"/>
      <c r="AE233" s="31"/>
      <c r="AF233" s="31"/>
      <c r="AG233" s="31"/>
      <c r="AH233" s="312"/>
      <c r="AI233" s="28"/>
      <c r="AJ233" s="28"/>
      <c r="AK233" s="28"/>
      <c r="AL233" s="31"/>
      <c r="AM233" s="312"/>
      <c r="AN233" s="28"/>
      <c r="AO233" s="28"/>
      <c r="AP233" s="28"/>
      <c r="AQ233" s="31"/>
      <c r="AR233" s="312"/>
      <c r="AS233" s="28"/>
      <c r="AT233" s="28"/>
      <c r="AU233" s="28"/>
      <c r="AV233" s="28"/>
      <c r="AW233" s="312"/>
      <c r="AX233" s="28"/>
      <c r="AY233" s="28"/>
      <c r="AZ233" s="28"/>
      <c r="BA233" s="28"/>
      <c r="BB233" s="312"/>
      <c r="BC233" s="28"/>
      <c r="BD233" s="28"/>
      <c r="BE233" s="28"/>
      <c r="BF233" s="28"/>
      <c r="BG233" s="312"/>
      <c r="BH233" s="28"/>
      <c r="BI233" s="28"/>
      <c r="BJ233" s="28"/>
      <c r="BK233" s="28"/>
      <c r="BL233" s="312"/>
      <c r="BM233" s="28"/>
      <c r="BN233" s="28"/>
      <c r="BO233" s="28"/>
      <c r="BP233" s="28"/>
      <c r="BQ233" s="312"/>
      <c r="BR233" s="28"/>
      <c r="BS233" s="28"/>
      <c r="BT233" s="28"/>
      <c r="BU233" s="28"/>
      <c r="BV233" s="312"/>
      <c r="BW233" s="28"/>
      <c r="BX233" s="28"/>
      <c r="BY233" s="28"/>
      <c r="BZ233" s="28"/>
      <c r="CA233" s="312"/>
      <c r="CB233" s="28"/>
      <c r="CC233" s="28"/>
      <c r="CD233" s="28"/>
      <c r="CE233" s="28"/>
      <c r="CF233" s="312"/>
      <c r="CG233" s="28"/>
      <c r="CH233" s="28"/>
      <c r="CI233" s="28"/>
      <c r="CJ233" s="28"/>
      <c r="CK233" s="312"/>
      <c r="CL233" s="933"/>
      <c r="CM233" s="933"/>
      <c r="CN233" s="28"/>
      <c r="CO233" s="28"/>
      <c r="CP233" s="312"/>
      <c r="CQ233" s="933"/>
      <c r="CR233" s="933"/>
      <c r="CS233" s="933"/>
      <c r="CT233" s="933"/>
      <c r="CU233" s="312"/>
      <c r="CV233" s="933"/>
      <c r="CW233" s="933"/>
      <c r="CX233" s="933"/>
      <c r="CY233" s="933"/>
      <c r="CZ233" s="312"/>
      <c r="DA233" s="933"/>
      <c r="DB233" s="31"/>
      <c r="DC233" s="31"/>
      <c r="DD233" s="955"/>
      <c r="DE233" s="1830"/>
      <c r="DF233" s="1842"/>
      <c r="DG233" s="1822"/>
      <c r="DH233" s="1822"/>
      <c r="DI233" s="1798"/>
      <c r="DJ233" s="445"/>
      <c r="DK233" s="2407">
        <f>DK231/SUM($DK$231:$DN$231)</f>
      </c>
      <c r="DL233" s="2407">
        <f>DL231/SUM($DK$231:$DN$231)</f>
      </c>
      <c r="DM233" s="2407">
        <f>DM231/SUM($DK$231:$DN$231)</f>
      </c>
      <c r="DN233" s="2462">
        <f>DN231/SUM($DK$231:$DN$231)</f>
      </c>
      <c r="DO233" s="445"/>
      <c r="DP233" s="2407">
        <f>DP231/SUM($DP$231:$DS$231)</f>
      </c>
      <c r="DQ233" s="2407">
        <f>DQ231/SUM($DP$231:$DS$231)</f>
      </c>
      <c r="DR233" s="2407">
        <f>DR231/SUM($DP$231:$DS$231)</f>
      </c>
      <c r="DS233" s="2462">
        <f>DS231/SUM($DP$231:$DS$231)</f>
      </c>
      <c r="DT233" s="445"/>
      <c r="DU233" s="2407">
        <f>DU231/SUM($DU$231:$DX$231)</f>
      </c>
      <c r="DV233" s="2407">
        <f>DV231/SUM($DU$231:$DX$231)</f>
      </c>
      <c r="DW233" s="2407">
        <f>DW231/SUM($DU$231:$DX$231)</f>
      </c>
      <c r="DX233" s="2407">
        <f>DX231/SUM($DU$231:$DX$231)</f>
      </c>
      <c r="DY233" s="445"/>
      <c r="DZ233" s="2407">
        <f>DZ231/SUM(DZ$231:$EC$231)</f>
      </c>
      <c r="EA233" s="2407">
        <f>EA231/SUM($DZ$231:$EC$231)</f>
      </c>
      <c r="EB233" s="2407">
        <f>EB231/SUM($DZ$231:$EC$231)</f>
      </c>
      <c r="EC233" s="2462">
        <f>EC231/SUM($DZ$231:$EC$231)</f>
      </c>
      <c r="ED233" s="2476"/>
      <c r="EE233" s="2407"/>
      <c r="EF233" s="2407"/>
      <c r="EG233" s="2407">
        <f>EG231/SUM($DZ$231:$EC$231)</f>
      </c>
      <c r="EH233" s="3545"/>
      <c r="EI233" s="2476"/>
      <c r="EJ233" s="445"/>
      <c r="EK233" s="445"/>
      <c r="EL233" s="445"/>
      <c r="EM233" s="445"/>
      <c r="EN233" s="445"/>
      <c r="EO233" s="445"/>
      <c r="EP233" s="445"/>
      <c r="EQ233" s="445"/>
      <c r="ER233" s="445"/>
      <c r="ES233" s="445"/>
      <c r="ET233" s="445"/>
      <c r="EU233" s="445"/>
      <c r="EV233" s="445"/>
      <c r="EW233" s="445"/>
      <c r="EX233" s="445"/>
    </row>
    <row r="234" spans="1:154" ht="12.75" customHeight="1">
      <c r="A234" s="3277"/>
      <c r="B234" s="1172" t="s">
        <v>892</v>
      </c>
      <c r="C234" s="1989"/>
      <c r="D234" s="28"/>
      <c r="E234" s="28"/>
      <c r="F234" s="28"/>
      <c r="G234" s="28"/>
      <c r="H234" s="28"/>
      <c r="I234" s="31"/>
      <c r="J234" s="28"/>
      <c r="K234" s="28"/>
      <c r="L234" s="28"/>
      <c r="M234" s="28"/>
      <c r="N234" s="31"/>
      <c r="O234" s="31"/>
      <c r="P234" s="31"/>
      <c r="Q234" s="31"/>
      <c r="R234" s="31"/>
      <c r="S234" s="31"/>
      <c r="T234" s="31"/>
      <c r="U234" s="31"/>
      <c r="V234" s="31"/>
      <c r="W234" s="31"/>
      <c r="X234" s="312"/>
      <c r="Y234" s="31"/>
      <c r="Z234" s="31"/>
      <c r="AA234" s="31"/>
      <c r="AB234" s="31"/>
      <c r="AC234" s="312"/>
      <c r="AD234" s="31"/>
      <c r="AE234" s="31"/>
      <c r="AF234" s="31"/>
      <c r="AG234" s="31"/>
      <c r="AH234" s="312"/>
      <c r="AI234" s="28"/>
      <c r="AJ234" s="28"/>
      <c r="AK234" s="28"/>
      <c r="AL234" s="31"/>
      <c r="AM234" s="312"/>
      <c r="AN234" s="28"/>
      <c r="AO234" s="28"/>
      <c r="AP234" s="28"/>
      <c r="AQ234" s="31"/>
      <c r="AR234" s="312"/>
      <c r="AS234" s="28"/>
      <c r="AT234" s="28"/>
      <c r="AU234" s="28"/>
      <c r="AV234" s="28"/>
      <c r="AW234" s="312"/>
      <c r="AX234" s="28"/>
      <c r="AY234" s="28"/>
      <c r="AZ234" s="28"/>
      <c r="BA234" s="28"/>
      <c r="BB234" s="312"/>
      <c r="BC234" s="28"/>
      <c r="BD234" s="28"/>
      <c r="BE234" s="28"/>
      <c r="BF234" s="28"/>
      <c r="BG234" s="312"/>
      <c r="BH234" s="28"/>
      <c r="BI234" s="28"/>
      <c r="BJ234" s="28"/>
      <c r="BK234" s="28"/>
      <c r="BL234" s="312"/>
      <c r="BM234" s="28"/>
      <c r="BN234" s="28"/>
      <c r="BO234" s="28"/>
      <c r="BP234" s="28"/>
      <c r="BQ234" s="312"/>
      <c r="BR234" s="28"/>
      <c r="BS234" s="28"/>
      <c r="BT234" s="28"/>
      <c r="BU234" s="28"/>
      <c r="BV234" s="312"/>
      <c r="BW234" s="28"/>
      <c r="BX234" s="28"/>
      <c r="BY234" s="28"/>
      <c r="BZ234" s="28"/>
      <c r="CA234" s="312"/>
      <c r="CB234" s="28"/>
      <c r="CC234" s="28"/>
      <c r="CD234" s="28"/>
      <c r="CE234" s="28"/>
      <c r="CF234" s="312"/>
      <c r="CG234" s="28"/>
      <c r="CH234" s="28"/>
      <c r="CI234" s="28"/>
      <c r="CJ234" s="28"/>
      <c r="CK234" s="312"/>
      <c r="CL234" s="933"/>
      <c r="CM234" s="933"/>
      <c r="CN234" s="28"/>
      <c r="CO234" s="28"/>
      <c r="CP234" s="312"/>
      <c r="CQ234" s="1175"/>
      <c r="CR234" s="1175"/>
      <c r="CS234" s="1175"/>
      <c r="CT234" s="1175"/>
      <c r="CU234" s="312"/>
      <c r="CV234" s="1175"/>
      <c r="CW234" s="1175"/>
      <c r="CX234" s="1175"/>
      <c r="CY234" s="1175"/>
      <c r="CZ234" s="312"/>
      <c r="DA234" s="1175"/>
      <c r="DB234" s="31"/>
      <c r="DC234" s="31"/>
      <c r="DD234" s="955"/>
      <c r="DE234" s="1830"/>
      <c r="DF234" s="1843"/>
      <c r="DG234" s="1822"/>
      <c r="DH234" s="1822"/>
      <c r="DI234" s="1798"/>
      <c r="DJ234" s="445"/>
      <c r="DK234" s="1800"/>
      <c r="DL234" s="603"/>
      <c r="DM234" s="603"/>
      <c r="DN234" s="1798"/>
      <c r="DO234" s="1967"/>
      <c r="DP234" s="603"/>
      <c r="DQ234" s="603"/>
      <c r="DR234" s="603"/>
      <c r="DS234" s="1798"/>
      <c r="DT234" s="445"/>
      <c r="DU234" s="603"/>
      <c r="DV234" s="2407"/>
      <c r="DW234" s="2407"/>
      <c r="DX234" s="2407"/>
      <c r="DY234" s="445"/>
      <c r="DZ234" s="603"/>
      <c r="EA234" s="603"/>
      <c r="EB234" s="603"/>
      <c r="EC234" s="1798"/>
      <c r="ED234" s="1866"/>
      <c r="EE234" s="603"/>
      <c r="EF234" s="603"/>
      <c r="EG234" s="603"/>
      <c r="EH234" s="3945"/>
      <c r="EI234" s="1866"/>
      <c r="EJ234" s="445"/>
      <c r="EK234" s="445"/>
      <c r="EL234" s="445"/>
      <c r="EM234" s="445"/>
      <c r="EN234" s="445"/>
      <c r="EO234" s="445"/>
      <c r="EP234" s="445"/>
      <c r="EQ234" s="445"/>
      <c r="ER234" s="445"/>
      <c r="ES234" s="445"/>
      <c r="ET234" s="445"/>
      <c r="EU234" s="445"/>
      <c r="EV234" s="445"/>
      <c r="EW234" s="445"/>
      <c r="EX234" s="445"/>
    </row>
    <row r="235" spans="1:154" ht="12.75" customHeight="1">
      <c r="B235" s="912" t="s">
        <v>921</v>
      </c>
      <c r="C235" s="1989"/>
      <c r="D235" s="28"/>
      <c r="E235" s="28"/>
      <c r="F235" s="28"/>
      <c r="G235" s="28"/>
      <c r="H235" s="28"/>
      <c r="I235" s="31"/>
      <c r="J235" s="28"/>
      <c r="K235" s="28"/>
      <c r="L235" s="28"/>
      <c r="M235" s="28"/>
      <c r="N235" s="31"/>
      <c r="O235" s="31"/>
      <c r="P235" s="31"/>
      <c r="Q235" s="31"/>
      <c r="R235" s="31"/>
      <c r="S235" s="31"/>
      <c r="T235" s="31"/>
      <c r="U235" s="31"/>
      <c r="V235" s="31"/>
      <c r="W235" s="31"/>
      <c r="X235" s="308"/>
      <c r="Y235" s="31"/>
      <c r="Z235" s="31"/>
      <c r="AA235" s="31"/>
      <c r="AB235" s="31"/>
      <c r="AC235" s="308"/>
      <c r="AD235" s="31"/>
      <c r="AE235" s="31"/>
      <c r="AF235" s="31"/>
      <c r="AG235" s="31"/>
      <c r="AH235" s="308"/>
      <c r="AI235" s="28"/>
      <c r="AJ235" s="28"/>
      <c r="AK235" s="28"/>
      <c r="AL235" s="31"/>
      <c r="AM235" s="308"/>
      <c r="AN235" s="28"/>
      <c r="AO235" s="28"/>
      <c r="AP235" s="28"/>
      <c r="AQ235" s="31"/>
      <c r="AR235" s="308"/>
      <c r="AS235" s="28"/>
      <c r="AT235" s="28"/>
      <c r="AU235" s="28"/>
      <c r="AV235" s="28"/>
      <c r="AW235" s="308"/>
      <c r="AX235" s="28"/>
      <c r="AY235" s="28"/>
      <c r="AZ235" s="28"/>
      <c r="BA235" s="28"/>
      <c r="BB235" s="308"/>
      <c r="BC235" s="30"/>
      <c r="BD235" s="30"/>
      <c r="BE235" s="30"/>
      <c r="BF235" s="30"/>
      <c r="BG235" s="308"/>
      <c r="BH235" s="30" t="str">
        <f t="shared" ref="BH235:BV235" si="615">IF(BC230="NM","NM",IF(BH230="NM","NM",IF(BC230&lt;=0,"NM",IF(BH230=0,"NM",IF(ABS(BH230/BC230-1)&gt;2.5,"NM",IF((ABS(BH230-BC230)=ABS(ABS(BH230)-ABS(BC230))),(BH230/BC230-1),"NM"))))))</f>
      </c>
      <c r="BI235" s="30" t="str">
        <f t="shared" si="615"/>
      </c>
      <c r="BJ235" s="30" t="str">
        <f t="shared" si="615"/>
      </c>
      <c r="BK235" s="30" t="str">
        <f t="shared" si="615"/>
      </c>
      <c r="BL235" s="308" t="str">
        <f t="shared" si="615"/>
      </c>
      <c r="BM235" s="30">
        <f t="shared" si="615"/>
      </c>
      <c r="BN235" s="30">
        <f t="shared" si="615"/>
      </c>
      <c r="BO235" s="30">
        <f t="shared" si="615"/>
      </c>
      <c r="BP235" s="30">
        <f t="shared" si="615"/>
      </c>
      <c r="BQ235" s="308">
        <f t="shared" si="615"/>
      </c>
      <c r="BR235" s="30">
        <f t="shared" si="615"/>
      </c>
      <c r="BS235" s="30">
        <f t="shared" si="615"/>
      </c>
      <c r="BT235" s="30">
        <f t="shared" si="615"/>
      </c>
      <c r="BU235" s="30">
        <f t="shared" si="615"/>
      </c>
      <c r="BV235" s="308">
        <f t="shared" si="615"/>
      </c>
      <c r="BW235" s="30">
        <f t="shared" ref="BW235:CI236" si="616">IF(BR230="NM","NM",IF(BW230="NM","NM",IF(BR230&lt;=0,"NM",IF(BW230=0,"NM",IF(ABS(BW230/BR230-1)&gt;2.5,"NM",IF((ABS(BW230-BR230)=ABS(ABS(BW230)-ABS(BR230))),(BW230/BR230-1),"NM"))))))</f>
      </c>
      <c r="BX235" s="30">
        <f t="shared" si="616"/>
      </c>
      <c r="BY235" s="30">
        <f t="shared" si="616"/>
      </c>
      <c r="BZ235" s="30">
        <f t="shared" si="616"/>
      </c>
      <c r="CA235" s="309">
        <f>IF(BV230="NM","NM",IF(CA230="NM","NM",IF(BV230&lt;=0,"NM",IF(CA230=0,"NM",IF(ABS(CA230/BV230-1)&gt;2.5,"NM",IF((ABS(CA230-BV230)=ABS(ABS(CA230)-ABS(BV230))),(CA230/BV230-1),"NM"))))))</f>
      </c>
      <c r="CB235" s="30">
        <f t="shared" si="616"/>
      </c>
      <c r="CC235" s="30">
        <f t="shared" si="616"/>
      </c>
      <c r="CD235" s="30">
        <f t="shared" si="616"/>
      </c>
      <c r="CE235" s="30">
        <f t="shared" si="616"/>
      </c>
      <c r="CF235" s="309">
        <f>IF(CA230="NM","NM",IF(CF230="NM","NM",IF(CA230&lt;=0,"NM",IF(CF230=0,"NM",IF(ABS(CF230/CA230-1)&gt;2.5,"NM",IF((ABS(CF230-CA230)=ABS(ABS(CF230)-ABS(CA230))),(CF230/CA230-1),"NM"))))))</f>
      </c>
      <c r="CG235" s="30">
        <f t="shared" si="616"/>
      </c>
      <c r="CH235" s="30">
        <f t="shared" si="616"/>
      </c>
      <c r="CI235" s="30">
        <f t="shared" si="616"/>
      </c>
      <c r="CJ235" s="30">
        <f>IF(CE230="NM","NM",IF(CJ230="NM","NM",IF(CE230&lt;=0,"NM",IF(CJ230=0,"NM",IF(ABS(CJ230/CE230-1)&gt;2.5,"NM",IF((ABS(CJ230-CE230)=ABS(ABS(CJ230)-ABS(CE230))),(CJ230/CE230-1),"NM"))))))</f>
      </c>
      <c r="CK235" s="308">
        <f>IF(CF230=0, "NA", CK230/CF230-1)</f>
      </c>
      <c r="CL235" s="30">
        <f t="shared" ref="CL235:CN236" si="617">IF(CG230="NM","NM",IF(CL230="NM","NM",IF(CG230&lt;=0,"NM",IF(CL230=0,"NM",IF(ABS(CL230/CG230-1)&gt;2.5,"NM",IF((ABS(CL230-CG230)=ABS(ABS(CL230)-ABS(CG230))),(CL230/CG230-1),"NM"))))))</f>
      </c>
      <c r="CM235" s="30">
        <f>IF(CH230="NM","NM",IF(CM230="NM","NM",IF(CH230&lt;=0,"NM",IF(CM230=0,"NM",IF(ABS(CM230/CH230-1)&gt;2.5,"NM",IF((ABS(CM230-CH230)=ABS(ABS(CM230)-ABS(CH230))),(CM230/CH230-1),"NM"))))))</f>
      </c>
      <c r="CN235" s="30">
        <f t="shared" si="617"/>
      </c>
      <c r="CO235" s="30">
        <f>IF(CJ230="NM","NM",IF(CO230="NM","NM",IF(CJ230&lt;=0,"NM",IF(CO230=0,"NM",IF(ABS(CO230/CJ230-1)&gt;2.5,"NM",IF((ABS(CO230-CJ230)=ABS(ABS(CO230)-ABS(CJ230))),(CO230/CJ230-1),"NM"))))))</f>
      </c>
      <c r="CP235" s="308">
        <f>IF(CK230=0, "NA", CP230/CK230-1)</f>
      </c>
      <c r="CQ235" s="30">
        <f>IF(CL230="NM","NM",IF(CQ230="NM","NM",IF(CL230&lt;=0,"NM",IF(CQ230=0,"NM",IF(ABS(CQ230/CL230-1)&gt;2.5,"NM",IF((ABS(CQ230-CL230)=ABS(ABS(CQ230)-ABS(CL230))),(CQ230/CL230-1),"NM"))))))</f>
      </c>
      <c r="CR235" s="30">
        <f>IF(CM230="NM","NM",IF(CR230="NM","NM",IF(CM230&lt;=0,"NM",IF(CR230=0,"NM",IF(ABS(CR230/CM230-1)&gt;2.5,"NM",IF((ABS(CR230-CM230)=ABS(ABS(CR230)-ABS(CM230))),(CR230/CM230-1),"NM"))))))</f>
      </c>
      <c r="CS235" s="30">
        <f>IF(CN230="NM","NM",IF(CS230="NM","NM",IF(CN230&lt;=0,"NM",IF(CS230=0,"NM",IF(ABS(CS230/CN230-1)&gt;2.5,"NM",IF((ABS(CS230-CN230)=ABS(ABS(CS230)-ABS(CN230))),(CS230/CN230-1),"NM"))))))</f>
      </c>
      <c r="CT235" s="30">
        <f>IF(CO230="NM","NM",IF(CT230="NM","NM",IF(CO230&lt;=0,"NM",IF(CT230=0,"NM",IF(ABS(CT230/CO230-1)&gt;2.5,"NM",IF((ABS(CT230-CO230)=ABS(ABS(CT230)-ABS(CO230))),(CT230/CO230-1),"NM"))))))</f>
      </c>
      <c r="CU235" s="308">
        <f>IF(CP230=0, "NA", CU230/CP230-1)</f>
      </c>
      <c r="CV235" s="30">
        <f>IF(CQ230="NM","NM",IF(CV230="NM","NM",IF(CQ230&lt;=0,"NM",IF(CV230=0,"NM",IF(ABS(CV230/CQ230-1)&gt;2.5,"NM",IF((ABS(CV230-CQ230)=ABS(ABS(CV230)-ABS(CQ230))),(CV230/CQ230-1),"NM"))))))</f>
      </c>
      <c r="CW235" s="30">
        <f>IF(CR230="NM","NM",IF(CW230="NM","NM",IF(CR230&lt;=0,"NM",IF(CW230=0,"NM",IF(ABS(CW230/CR230-1)&gt;2.5,"NM",IF((ABS(CW230-CR230)=ABS(ABS(CW230)-ABS(CR230))),(CW230/CR230-1),"NM"))))))</f>
      </c>
      <c r="CX235" s="30">
        <f>IF(CS230="NM","NM",IF(CX230="NM","NM",IF(CS230&lt;=0,"NM",IF(CX230=0,"NM",IF(ABS(CX230/CS230-1)&gt;2.5,"NM",IF((ABS(CX230-CS230)=ABS(ABS(CX230)-ABS(CS230))),(CX230/CS230-1),"NM"))))))</f>
      </c>
      <c r="CY235" s="30">
        <f>IF(CT230="NM","NM",IF(CY230="NM","NM",IF(CT230&lt;=0,"NM",IF(CY230=0,"NM",IF(ABS(CY230/CT230-1)&gt;2.5,"NM",IF((ABS(CY230-CT230)=ABS(ABS(CY230)-ABS(CT230))),(CY230/CT230-1),"NM"))))))</f>
      </c>
      <c r="CZ235" s="308">
        <f>IF(CU230=0, "NA", CZ230/CU230-1)</f>
      </c>
      <c r="DA235" s="30">
        <f t="shared" ref="DA235:DC236" si="618">IF(CV230="NM","NM",IF(DA230="NM","NM",IF(CV230&lt;=0,"NM",IF(DA230=0,"NM",IF(ABS(DA230/CV230-1)&gt;2.5,"NM",IF((ABS(DA230-CV230)=ABS(ABS(DA230)-ABS(CV230))),(DA230/CV230-1),"NM"))))))</f>
      </c>
      <c r="DB235" s="30">
        <f t="shared" si="618"/>
      </c>
      <c r="DC235" s="30">
        <f t="shared" si="618"/>
      </c>
      <c r="DD235" s="927">
        <f>IF(DD230=0,"NM",+DD230/CY230-1)</f>
      </c>
      <c r="DE235" s="1233">
        <f>IF(CZ230=0, "NA", DE230/CZ230-1)</f>
      </c>
      <c r="DF235" s="1361">
        <f t="shared" ref="DF235:DH236" si="619">IF(DA230="NM","NM",IF(DF230="NM","NM",IF(DA230&lt;=0,"NM",IF(DF230=0,"NM",IF(ABS(DF230/DA230-1)&gt;2.5,"NM",IF((ABS(DF230-DA230)=ABS(ABS(DF230)-ABS(DA230))),(DF230/DA230-1),"NM"))))))</f>
      </c>
      <c r="DG235" s="1361">
        <f t="shared" si="619"/>
      </c>
      <c r="DH235" s="1361">
        <f t="shared" si="619"/>
      </c>
      <c r="DI235" s="928">
        <f>IF(DI230=0,"NM",+DI230/DD230-1)</f>
      </c>
      <c r="DJ235" s="1233">
        <f>IF(DE230=0, "NA", DJ230/DE230-1)</f>
      </c>
      <c r="DK235" s="1361">
        <f t="shared" ref="DK235:DM236" si="620">IF(DF230="NM","NM",IF(DK230="NM","NM",IF(DF230&lt;=0,"NM",IF(DK230=0,"NM",IF(ABS(DK230/DF230-1)&gt;2.5,"NM",IF((ABS(DK230-DF230)=ABS(ABS(DK230)-ABS(DF230))),(DK230/DF230-1),"NM"))))))</f>
      </c>
      <c r="DL235" s="30">
        <f t="shared" si="620"/>
      </c>
      <c r="DM235" s="30">
        <f t="shared" si="620"/>
      </c>
      <c r="DN235" s="928">
        <f>IF(DN230=0,"NM",+DN230/DI230-1)</f>
      </c>
      <c r="DO235" s="1233">
        <f>IF(DJ230=0, "NA", DO230/DJ230-1)</f>
      </c>
      <c r="DP235" s="30">
        <f t="shared" ref="DP235:DX236" si="621">IF(DK230="NM","NM",IF(DP230="NM","NM",IF(DK230&lt;=0,"NM",IF(DP230=0,"NM",IF(ABS(DP230/DK230-1)&gt;2.5,"NM",IF((ABS(DP230-DK230)=ABS(ABS(DP230)-ABS(DK230))),(DP230/DK230-1),"NM"))))))</f>
      </c>
      <c r="DQ235" s="30">
        <f t="shared" si="621"/>
      </c>
      <c r="DR235" s="30">
        <f t="shared" si="621"/>
      </c>
      <c r="DS235" s="30">
        <f t="shared" si="621"/>
      </c>
      <c r="DT235" s="1233">
        <f>IF(DO230=0, "NA", DT230/DO230-1)</f>
      </c>
      <c r="DU235" s="30">
        <f t="shared" si="621"/>
      </c>
      <c r="DV235" s="30">
        <f t="shared" si="621"/>
      </c>
      <c r="DW235" s="30">
        <f t="shared" si="621"/>
      </c>
      <c r="DX235" s="30">
        <f t="shared" si="621"/>
      </c>
      <c r="DY235" s="1233">
        <f>IF(DT230=0, "NA", DY230/DT230-1)</f>
      </c>
      <c r="DZ235" s="926">
        <f>+DZ230/DU230-1</f>
      </c>
      <c r="EA235" s="926">
        <f>+EA230/DV230-1</f>
      </c>
      <c r="EB235" s="926">
        <f>+EB230/DW230-1</f>
      </c>
      <c r="EC235" s="926">
        <f>+EC230/DX230-1</f>
      </c>
      <c r="ED235" s="1233">
        <f>IF(DY230=0, "NA", ED230/DY230-1)</f>
      </c>
      <c r="EE235" s="926">
        <f>+EE230/DZ230-1</f>
      </c>
      <c r="EF235" s="926">
        <f>+EF230/EA230-1</f>
      </c>
      <c r="EG235" s="926">
        <f>+EG230/EB230-1</f>
      </c>
      <c r="EH235" s="926">
        <f>+EH230/EC230-1</f>
      </c>
      <c r="EI235" s="1233">
        <f>IF(ED230=0, "NA", EI230/ED230-1)</f>
      </c>
      <c r="EJ235" s="2218">
        <v>-0.4</v>
      </c>
      <c r="EK235" s="2218">
        <v>-0.35</v>
      </c>
      <c r="EL235" s="2218">
        <v>-0.2</v>
      </c>
      <c r="EM235" s="2218">
        <v>-0.2</v>
      </c>
      <c r="EN235" s="2218">
        <v>-0.15</v>
      </c>
      <c r="EO235" s="2218">
        <v>-0.15</v>
      </c>
      <c r="EP235" s="2218">
        <v>-0.1</v>
      </c>
      <c r="EQ235" s="2218">
        <v>-0.2</v>
      </c>
      <c r="ER235" s="2218">
        <v>-0.4</v>
      </c>
      <c r="ES235" s="2218">
        <v>-0.1</v>
      </c>
      <c r="ET235" s="597"/>
      <c r="EU235" s="597"/>
      <c r="EV235" s="597"/>
      <c r="EW235" s="597"/>
      <c r="EX235" s="597"/>
    </row>
    <row r="236" spans="1:154" ht="12.75" customHeight="1">
      <c r="B236" s="912" t="s">
        <v>412</v>
      </c>
      <c r="C236" s="1989"/>
      <c r="D236" s="28"/>
      <c r="E236" s="28"/>
      <c r="F236" s="28"/>
      <c r="G236" s="28"/>
      <c r="H236" s="28"/>
      <c r="I236" s="31"/>
      <c r="J236" s="28"/>
      <c r="K236" s="28"/>
      <c r="L236" s="28"/>
      <c r="M236" s="28"/>
      <c r="N236" s="31"/>
      <c r="O236" s="31"/>
      <c r="P236" s="31"/>
      <c r="Q236" s="31"/>
      <c r="R236" s="31"/>
      <c r="S236" s="31"/>
      <c r="T236" s="31"/>
      <c r="U236" s="31"/>
      <c r="V236" s="31"/>
      <c r="W236" s="31"/>
      <c r="X236" s="308"/>
      <c r="Y236" s="31"/>
      <c r="Z236" s="31"/>
      <c r="AA236" s="31"/>
      <c r="AB236" s="31"/>
      <c r="AC236" s="308"/>
      <c r="AD236" s="31"/>
      <c r="AE236" s="31"/>
      <c r="AF236" s="31"/>
      <c r="AG236" s="31"/>
      <c r="AH236" s="308"/>
      <c r="AI236" s="28"/>
      <c r="AJ236" s="28"/>
      <c r="AK236" s="28"/>
      <c r="AL236" s="31"/>
      <c r="AM236" s="308"/>
      <c r="AN236" s="28"/>
      <c r="AO236" s="28"/>
      <c r="AP236" s="28"/>
      <c r="AQ236" s="31"/>
      <c r="AR236" s="308"/>
      <c r="AS236" s="28"/>
      <c r="AT236" s="28"/>
      <c r="AU236" s="28"/>
      <c r="AV236" s="28"/>
      <c r="AW236" s="308"/>
      <c r="AX236" s="28"/>
      <c r="AY236" s="28"/>
      <c r="AZ236" s="28"/>
      <c r="BA236" s="28"/>
      <c r="BB236" s="308"/>
      <c r="BC236" s="30"/>
      <c r="BD236" s="30"/>
      <c r="BE236" s="30"/>
      <c r="BF236" s="30"/>
      <c r="BG236" s="308"/>
      <c r="BH236" s="30" t="str">
        <f>IF(BC231="NM","NM",IF(BH231="NM","NM",IF(BC231&lt;=0,"NM",IF(BH231=0,"NM",IF(ABS(BH231/BC231-1)&gt;2.5,"NM",IF((ABS(BH231-BC231)=ABS(ABS(BH231)-ABS(BC231))),(BH231/BC231-1),"NM"))))))</f>
      </c>
      <c r="BI236" s="30" t="str">
        <f>IF(BD230="NM","NM",IF(BI230="NM","NM",IF(BD230&lt;=0,"NM",IF(BI230=0,"NM",IF(ABS(BI230/BD230-1)&gt;2.5,"NM",IF((ABS(BI230-BD230)=ABS(ABS(BI230)-ABS(BD230))),(BI230/BD230-1),"NM"))))))</f>
      </c>
      <c r="BJ236" s="30" t="str">
        <f>IF(BE230="NM","NM",IF(BJ230="NM","NM",IF(BE230&lt;=0,"NM",IF(BJ230=0,"NM",IF(ABS(BJ230/BE230-1)&gt;2.5,"NM",IF((ABS(BJ230-BE230)=ABS(ABS(BJ230)-ABS(BE230))),(BJ230/BE230-1),"NM"))))))</f>
      </c>
      <c r="BK236" s="30" t="str">
        <f>IF(BF230="NM","NM",IF(BK230="NM","NM",IF(BF230&lt;=0,"NM",IF(BK230=0,"NM",IF(ABS(BK230/BF230-1)&gt;2.5,"NM",IF((ABS(BK230-BF230)=ABS(ABS(BK230)-ABS(BF230))),(BK230/BF230-1),"NM"))))))</f>
      </c>
      <c r="BL236" s="308">
        <f t="shared" ref="BL236:BQ236" si="622">IF(BG231="NM","NM",IF(BL231="NM","NM",IF(BG231&lt;=0,"NM",IF(BL231=0,"NM",IF(ABS(BL231/BG231-1)&gt;2.5,"NM",IF((ABS(BL231-BG231)=ABS(ABS(BL231)-ABS(BG231))),(BL231/BG231-1),"NM"))))))</f>
      </c>
      <c r="BM236" s="30">
        <f t="shared" si="622"/>
      </c>
      <c r="BN236" s="30">
        <f t="shared" si="622"/>
      </c>
      <c r="BO236" s="30">
        <f t="shared" si="622"/>
      </c>
      <c r="BP236" s="30">
        <f t="shared" si="622"/>
      </c>
      <c r="BQ236" s="308">
        <f t="shared" si="622"/>
      </c>
      <c r="BR236" s="30">
        <f t="shared" ref="BR236:BZ236" si="623">IF(BM231="NM","NM",IF(BR231="NM","NM",IF(BM231&lt;=0,"NM",IF(BR231=0,"NM",IF(ABS(BR231/BM231-1)&gt;2.5,"NM",IF((ABS(BR231-BM231)=ABS(ABS(BR231)-ABS(BM231))),(BR231/BM231-1),"NM"))))))</f>
      </c>
      <c r="BS236" s="30">
        <f t="shared" si="623"/>
      </c>
      <c r="BT236" s="30">
        <f t="shared" si="623"/>
      </c>
      <c r="BU236" s="30">
        <f t="shared" si="623"/>
      </c>
      <c r="BV236" s="308">
        <f>IF(BQ231="NM","NM",IF(BV231="NM","NM",IF(BQ231&lt;=0,"NM",IF(BV231=0,"NM",IF(ABS(BV231/BQ231-1)&gt;2.5,"NM",IF((ABS(BV231-BQ231)=ABS(ABS(BV231)-ABS(BQ231))),(BV231/BQ231-1),"NM"))))))</f>
      </c>
      <c r="BW236" s="30">
        <f t="shared" si="623"/>
      </c>
      <c r="BX236" s="30">
        <f t="shared" si="623"/>
      </c>
      <c r="BY236" s="30">
        <f t="shared" si="623"/>
      </c>
      <c r="BZ236" s="30">
        <f t="shared" si="623"/>
      </c>
      <c r="CA236" s="661">
        <f>IF(BV231="NM","NM",IF(CA231="NM","NM",IF(BV231&lt;=0,"NM",IF(CA231=0,"NM",IF(ABS(CA231/BV231-1)&gt;2.5,"NM",IF((ABS(CA231-BV231)=ABS(ABS(CA231)-ABS(BV231))),(CA231/BV231-1),"NM"))))))</f>
      </c>
      <c r="CB236" s="30">
        <f t="shared" si="616"/>
      </c>
      <c r="CC236" s="30">
        <f t="shared" si="616"/>
      </c>
      <c r="CD236" s="30">
        <f t="shared" si="616"/>
      </c>
      <c r="CE236" s="30">
        <f t="shared" si="616"/>
      </c>
      <c r="CF236" s="661">
        <f>IF(CA231="NM","NM",IF(CF231="NM","NM",IF(CA231&lt;=0,"NM",IF(CF231=0,"NM",IF(ABS(CF231/CA231-1)&gt;2.5,"NM",IF((ABS(CF231-CA231)=ABS(ABS(CF231)-ABS(CA231))),(CF231/CA231-1),"NM"))))))</f>
      </c>
      <c r="CG236" s="30">
        <f t="shared" si="616"/>
      </c>
      <c r="CH236" s="30">
        <f t="shared" si="616"/>
      </c>
      <c r="CI236" s="30">
        <f t="shared" si="616"/>
      </c>
      <c r="CJ236" s="30">
        <f>IF(CE231="NM","NM",IF(CJ231="NM","NM",IF(CE231&lt;=0,"NM",IF(CJ231=0,"NM",IF(ABS(CJ231/CE231-1)&gt;2.5,"NM",IF((ABS(CJ231-CE231)=ABS(ABS(CJ231)-ABS(CE231))),(CJ231/CE231-1),"NM"))))))</f>
      </c>
      <c r="CK236" s="308">
        <f>IF(CF231=0, "NA", CK231/CF231-1)</f>
      </c>
      <c r="CL236" s="30">
        <f t="shared" si="617"/>
      </c>
      <c r="CM236" s="30">
        <f t="shared" si="617"/>
      </c>
      <c r="CN236" s="30">
        <f t="shared" si="617"/>
      </c>
      <c r="CO236" s="30">
        <f>IF(CJ231="NM","NM",IF(CO231="NM","NM",IF(CJ231&lt;=0,"NM",IF(CO231=0,"NM",IF(ABS(CO231/CJ231-1)&gt;2.5,"NM",IF((ABS(CO231-CJ231)=ABS(ABS(CO231)-ABS(CJ231))),(CO231/CJ231-1),"NM"))))))</f>
      </c>
      <c r="CP236" s="308">
        <f>IF(CK231=0, "NA", CP231/CK231-1)</f>
      </c>
      <c r="CQ236" s="30">
        <f>IF(CL231="NM","NM",IF(CQ231="NM","NM",IF(CL231&lt;=0,"NM",IF(CQ231=0,"NM",IF(ABS(CQ231/CL231-1)&gt;2.5,"NM",IF((ABS(CQ231-CL231)=ABS(ABS(CQ231)-ABS(CL231))),(CQ231/CL231-1),"NM"))))))</f>
      </c>
      <c r="CR236" s="30">
        <f>CR237+CR$21</f>
      </c>
      <c r="CS236" s="30">
        <f>CS237+CS$21</f>
      </c>
      <c r="CT236" s="30">
        <f>CT237+CT$21</f>
      </c>
      <c r="CU236" s="308">
        <f>IF(CP231=0, "NA", CU231/CP231-1)</f>
      </c>
      <c r="CV236" s="30">
        <f>IF(CQ231="NM","NM",IF(CV231="NM","NM",IF(CQ231&lt;=0,"NM",IF(CV231=0,"NM",IF(ABS(CV231/CQ231-1)&gt;2.5,"NM",IF((ABS(CV231-CQ231)=ABS(ABS(CV231)-ABS(CQ231))),(CV231/CQ231-1),"NM"))))))</f>
      </c>
      <c r="CW236" s="30">
        <f>IF(CR231="NM","NM",IF(CW231="NM","NM",IF(CR231&lt;=0,"NM",IF(CW231=0,"NM",IF(ABS(CW231/CR231-1)&gt;2.5,"NM",IF((ABS(CW231-CR231)=ABS(ABS(CW231)-ABS(CR231))),(CW231/CR231-1),"NM"))))))</f>
      </c>
      <c r="CX236" s="30">
        <f>IF(CS231="NM","NM",IF(CX231="NM","NM",IF(CS231&lt;=0,"NM",IF(CX231=0,"NM",IF(ABS(CX231/CS231-1)&gt;2.5,"NM",IF((ABS(CX231-CS231)=ABS(ABS(CX231)-ABS(CS231))),(CX231/CS231-1),"NM"))))))</f>
      </c>
      <c r="CY236" s="30">
        <f>CY237+CY$21</f>
      </c>
      <c r="CZ236" s="308">
        <f>IF(CU231=0, "NA", CZ231/CU231-1)</f>
      </c>
      <c r="DA236" s="1361">
        <f t="shared" si="618"/>
      </c>
      <c r="DB236" s="30">
        <f t="shared" si="618"/>
      </c>
      <c r="DC236" s="30">
        <f t="shared" si="618"/>
      </c>
      <c r="DD236" s="960">
        <f>IF(DD231=0, "NM", DD231/CY231-1)</f>
      </c>
      <c r="DE236" s="1233">
        <f>IF(CZ231=0, "NA", DE231/CZ231-1)</f>
      </c>
      <c r="DF236" s="1361">
        <f t="shared" si="619"/>
      </c>
      <c r="DG236" s="1361">
        <f t="shared" si="619"/>
      </c>
      <c r="DH236" s="1361">
        <f t="shared" si="619"/>
      </c>
      <c r="DI236" s="928">
        <f>IF(DI231=0, "NM", DI231/DD231-1)</f>
      </c>
      <c r="DJ236" s="1233">
        <f>IF(DE231=0, "NA", DJ231/DE231-1)</f>
      </c>
      <c r="DK236" s="1361">
        <f t="shared" si="620"/>
      </c>
      <c r="DL236" s="30">
        <f t="shared" si="620"/>
      </c>
      <c r="DM236" s="30">
        <f t="shared" si="620"/>
      </c>
      <c r="DN236" s="928">
        <f>IF(DN231=0, "NM", DN231/DI231-1)</f>
      </c>
      <c r="DO236" s="1233">
        <f>IF(DJ231=0, "NA", DO231/DJ231-1)</f>
      </c>
      <c r="DP236" s="30">
        <f t="shared" si="621"/>
      </c>
      <c r="DQ236" s="30">
        <f t="shared" si="621"/>
      </c>
      <c r="DR236" s="30">
        <f t="shared" si="621"/>
      </c>
      <c r="DS236" s="30">
        <f t="shared" si="621"/>
      </c>
      <c r="DT236" s="1233">
        <f>IF(DO231=0, "NA", DT231/DO231-1)</f>
      </c>
      <c r="DU236" s="30">
        <f t="shared" si="621"/>
      </c>
      <c r="DV236" s="30">
        <f t="shared" si="621"/>
      </c>
      <c r="DW236" s="30">
        <f t="shared" si="621"/>
      </c>
      <c r="DX236" s="30">
        <f>IF(DS231="NM","NM",IF(DX231="NM","NM",IF(DS231&lt;=0,"NM",IF(DX231=0,"NM",IF(ABS(DX231/DS231-1)&gt;2.5,"NM",IF((ABS(DX231-DS231)=ABS(ABS(DX231)-ABS(DS231))),(DX231/DS231-1),"NM"))))))</f>
      </c>
      <c r="DY236" s="1233">
        <f>IF(DT231=0, "NA", DY231/DT231-1)</f>
      </c>
      <c r="DZ236" s="30">
        <f>IF(DU231="NM","NM",IF(DZ231="NM","NM",IF(DU231&lt;=0,"NM",IF(DZ231=0,"NM",IF(ABS(DZ231/DU231-1)&gt;2.5,"NM",IF((ABS(DZ231-DU231)=ABS(ABS(DZ231)-ABS(DU231))),(DZ231/DU231-1),"NM"))))))</f>
      </c>
      <c r="EA236" s="926">
        <f>IF(DV231="NM","NM",IF(EA231="NM","NM",IF(DV231&lt;=0,"NM",IF(EA231=0,"NM",IF(ABS(EA231/DV231-1)&gt;2.5,"NM",IF((ABS(EA231-DV231)=ABS(ABS(EA231)-ABS(DV231))),(EA231/DV231-1),"NM"))))))</f>
      </c>
      <c r="EB236" s="926">
        <f>IF(DW231="NM","NM",IF(EB231="NM","NM",IF(DW231&lt;=0,"NM",IF(EB231=0,"NM",IF(ABS(EB231/DW231-1)&gt;2.5,"NM",IF((ABS(EB231-DW231)=ABS(ABS(EB231)-ABS(DW231))),(EB231/DW231-1),"NM"))))))</f>
      </c>
      <c r="EC236" s="926">
        <f>IF(EC231=0, "NM", EC231/DX231-1)</f>
      </c>
      <c r="ED236" s="1233">
        <f>IF(DY231=0, "NA", ED231/DY231-1)</f>
      </c>
      <c r="EE236" s="30">
        <f>IF(DZ231="NM","NM",IF(EE231="NM","NM",IF(DZ231&lt;=0,"NM",IF(EE231=0,"NM",IF(ABS(EE231/DZ231-1)&gt;2.5,"NM",IF((ABS(EE231-DZ231)=ABS(ABS(EE231)-ABS(DZ231))),(EE231/DZ231-1),"NM"))))))</f>
      </c>
      <c r="EF236" s="926">
        <f>IF(EA231="NM","NM",IF(EF231="NM","NM",IF(EA231&lt;=0,"NM",IF(EF231=0,"NM",IF(ABS(EF231/EA231-1)&gt;2.5,"NM",IF((ABS(EF231-EA231)=ABS(ABS(EF231)-ABS(EA231))),(EF231/EA231-1),"NM"))))))</f>
      </c>
      <c r="EG236" s="926">
        <f>IF(EB231="NM","NM",IF(EG231="NM","NM",IF(EB231&lt;=0,"NM",IF(EG231=0,"NM",IF(ABS(EG231/EB231-1)&gt;2.5,"NM",IF((ABS(EG231-EB231)=ABS(ABS(EG231)-ABS(EB231))),(EG231/EB231-1),"NM"))))))</f>
      </c>
      <c r="EH236" s="926">
        <f>IF(EH231=0, "NM", EH231/EC231-1)</f>
      </c>
      <c r="EI236" s="1233">
        <f>IF(ED231=0, "NA", EI231/ED231-1)</f>
      </c>
      <c r="EJ236" s="308">
        <f t="shared" ref="EJ236:ES236" si="624">EJ237+EJ$21</f>
      </c>
      <c r="EK236" s="308">
        <f t="shared" si="624"/>
      </c>
      <c r="EL236" s="308">
        <f t="shared" si="624"/>
      </c>
      <c r="EM236" s="308">
        <f t="shared" si="624"/>
      </c>
      <c r="EN236" s="308">
        <f t="shared" si="624"/>
      </c>
      <c r="EO236" s="308">
        <f t="shared" si="624"/>
      </c>
      <c r="EP236" s="308">
        <f t="shared" si="624"/>
      </c>
      <c r="EQ236" s="308">
        <f t="shared" si="624"/>
      </c>
      <c r="ER236" s="308">
        <f t="shared" si="624"/>
      </c>
      <c r="ES236" s="308">
        <f t="shared" si="624"/>
      </c>
      <c r="ET236" s="309"/>
      <c r="EU236" s="309"/>
      <c r="EV236" s="309"/>
      <c r="EW236" s="309"/>
      <c r="EX236" s="309"/>
    </row>
    <row r="237" spans="1:154" ht="12.75" customHeight="1">
      <c r="B237" s="912" t="s">
        <v>256</v>
      </c>
      <c r="C237" s="1989"/>
      <c r="D237" s="28"/>
      <c r="E237" s="28"/>
      <c r="F237" s="28"/>
      <c r="G237" s="28"/>
      <c r="H237" s="28"/>
      <c r="I237" s="31"/>
      <c r="J237" s="28"/>
      <c r="K237" s="28"/>
      <c r="L237" s="28"/>
      <c r="M237" s="28"/>
      <c r="N237" s="31"/>
      <c r="O237" s="31"/>
      <c r="P237" s="31"/>
      <c r="Q237" s="31"/>
      <c r="R237" s="31"/>
      <c r="S237" s="31"/>
      <c r="T237" s="31"/>
      <c r="U237" s="31"/>
      <c r="V237" s="31"/>
      <c r="W237" s="31"/>
      <c r="X237" s="214"/>
      <c r="Y237" s="31"/>
      <c r="Z237" s="31"/>
      <c r="AA237" s="31"/>
      <c r="AB237" s="31"/>
      <c r="AC237" s="214"/>
      <c r="AD237" s="31"/>
      <c r="AE237" s="31"/>
      <c r="AF237" s="31"/>
      <c r="AG237" s="31"/>
      <c r="AH237" s="214"/>
      <c r="AI237" s="28"/>
      <c r="AJ237" s="28"/>
      <c r="AK237" s="28"/>
      <c r="AL237" s="31"/>
      <c r="AM237" s="214"/>
      <c r="AN237" s="28"/>
      <c r="AO237" s="28"/>
      <c r="AP237" s="28"/>
      <c r="AQ237" s="31"/>
      <c r="AR237" s="214"/>
      <c r="AS237" s="28"/>
      <c r="AT237" s="28"/>
      <c r="AU237" s="28"/>
      <c r="AV237" s="28"/>
      <c r="AW237" s="214"/>
      <c r="AX237" s="28"/>
      <c r="AY237" s="28"/>
      <c r="AZ237" s="28"/>
      <c r="BA237" s="28"/>
      <c r="BB237" s="214"/>
      <c r="BC237" s="41"/>
      <c r="BD237" s="41"/>
      <c r="BE237" s="41"/>
      <c r="BF237" s="41"/>
      <c r="BG237" s="214"/>
      <c r="BH237" s="30"/>
      <c r="BI237" s="41"/>
      <c r="BJ237" s="41"/>
      <c r="BK237" s="41"/>
      <c r="BL237" s="309">
        <f t="shared" ref="BL237:BQ237" si="625">IF(ISNUMBER(BL236),(1+BL236)/(1+BL$21)-1,"NM")</f>
      </c>
      <c r="BM237" s="41">
        <f t="shared" si="625"/>
      </c>
      <c r="BN237" s="41">
        <f t="shared" si="625"/>
      </c>
      <c r="BO237" s="41">
        <f t="shared" si="625"/>
      </c>
      <c r="BP237" s="41">
        <f t="shared" si="625"/>
      </c>
      <c r="BQ237" s="308">
        <f t="shared" si="625"/>
      </c>
      <c r="BR237" s="29">
        <v>0.53900000000000003</v>
      </c>
      <c r="BS237" s="29">
        <v>0.35099999999999998</v>
      </c>
      <c r="BT237" s="29">
        <v>0.39500000000000002</v>
      </c>
      <c r="BU237" s="649">
        <v>0.40100000000000002</v>
      </c>
      <c r="BV237" s="308">
        <f>IF(ISNUMBER(BV236),(1+BV236)/(1+BV$21)-1,"NM")</f>
      </c>
      <c r="BW237" s="29">
        <v>0.312</v>
      </c>
      <c r="BX237" s="29">
        <v>0.45400000000000001</v>
      </c>
      <c r="BY237" s="29">
        <v>0.38600000000000001</v>
      </c>
      <c r="BZ237" s="835">
        <v>0.378</v>
      </c>
      <c r="CA237" s="297">
        <f>IF(ISNUMBER(CA236),(1+CA236)/(1+CA$21)-1,"NM")</f>
      </c>
      <c r="CB237" s="29">
        <v>0.48199999999999998</v>
      </c>
      <c r="CC237" s="361">
        <v>0.314</v>
      </c>
      <c r="CD237" s="29">
        <v>0.372</v>
      </c>
      <c r="CE237" s="835">
        <v>0.34300000000000003</v>
      </c>
      <c r="CF237" s="1067">
        <f>IF(ISNUMBER(CF236),(1+CF236)/(1+CF$21)-1,"NM")</f>
      </c>
      <c r="CG237" s="649">
        <v>0.22500000000000001</v>
      </c>
      <c r="CH237" s="649">
        <v>0.26500000000000001</v>
      </c>
      <c r="CI237" s="649">
        <v>0.26300000000000001</v>
      </c>
      <c r="CJ237" s="649">
        <v>0.32400000000000001</v>
      </c>
      <c r="CK237" s="309">
        <f>CK236-CK$21</f>
      </c>
      <c r="CL237" s="649">
        <v>0.27300000000000002</v>
      </c>
      <c r="CM237" s="649">
        <v>0.26400000000000001</v>
      </c>
      <c r="CN237" s="649">
        <v>0.27800000000000002</v>
      </c>
      <c r="CO237" s="649">
        <v>0.156</v>
      </c>
      <c r="CP237" s="309">
        <f>CP236-CP$21</f>
      </c>
      <c r="CQ237" s="649">
        <v>0.26100000000000001</v>
      </c>
      <c r="CR237" s="649">
        <v>0.27500000000000002</v>
      </c>
      <c r="CS237" s="649">
        <v>0.247</v>
      </c>
      <c r="CT237" s="649">
        <v>0.30599999999999999</v>
      </c>
      <c r="CU237" s="309">
        <f>CU236-CU$21</f>
      </c>
      <c r="CV237" s="649">
        <v>0.34</v>
      </c>
      <c r="CW237" s="649">
        <v>0.32</v>
      </c>
      <c r="CX237" s="649">
        <v>0.33</v>
      </c>
      <c r="CY237" s="649">
        <v>0.32</v>
      </c>
      <c r="CZ237" s="309">
        <f>CZ236-CZ$21</f>
      </c>
      <c r="DA237" s="1220">
        <v>0.34</v>
      </c>
      <c r="DB237" s="361">
        <v>0.25</v>
      </c>
      <c r="DC237" s="361">
        <v>0.19500000000000001</v>
      </c>
      <c r="DD237" s="1479">
        <v>0.19700000000000001</v>
      </c>
      <c r="DE237" s="1233">
        <f>DE236-DE$21</f>
      </c>
      <c r="DF237" s="1220">
        <v>0.18</v>
      </c>
      <c r="DG237" s="1208">
        <v>0</v>
      </c>
      <c r="DH237" s="1208">
        <v>0.18</v>
      </c>
      <c r="DI237" s="928">
        <f>IF(DI231=0, "NM",DI236-DI$21)</f>
      </c>
      <c r="DJ237" s="1233">
        <f>DJ236-DJ$21</f>
      </c>
      <c r="DK237" s="1220">
        <v>0.15</v>
      </c>
      <c r="DL237" s="649">
        <v>0.15</v>
      </c>
      <c r="DM237" s="649">
        <v>0.15</v>
      </c>
      <c r="DN237" s="928">
        <f>IF(DN231=0, "NM",DN236-DN$21)</f>
      </c>
      <c r="DO237" s="1233">
        <f>DO236-DO$21</f>
      </c>
      <c r="DP237" s="2683">
        <f>DP236-(-6.6%)</f>
      </c>
      <c r="DQ237" s="410">
        <f>DQ236-(-12.4%)</f>
      </c>
      <c r="DR237" s="410">
        <f>DR236-(-14.8%)</f>
      </c>
      <c r="DS237" s="410">
        <f>DS236-(-11.6%)</f>
      </c>
      <c r="DT237" s="1233">
        <f>DT236-DT$21</f>
      </c>
      <c r="DU237" s="2683">
        <f>DU236-(-6.9%)</f>
      </c>
      <c r="DV237" s="410">
        <f>DV236-(-1.1%)</f>
      </c>
      <c r="DW237" s="410">
        <f>DW236-(3.7%)</f>
      </c>
      <c r="DX237" s="410">
        <f>DX236-(2.5%)</f>
      </c>
      <c r="DY237" s="1233">
        <f>DY236-DY$21</f>
      </c>
      <c r="DZ237" s="926">
        <f>DZ236-(-2%)</f>
      </c>
      <c r="EA237" s="926">
        <f>EA236-(-5.1%)</f>
      </c>
      <c r="EB237" s="926">
        <f>EB236-(-2.5%)</f>
      </c>
      <c r="EC237" s="926">
        <f>EC236-(-3.1%)</f>
      </c>
      <c r="ED237" s="1233">
        <f>ED236-ED$21</f>
      </c>
      <c r="EE237" s="926">
        <f>EE236-(-2%)</f>
      </c>
      <c r="EF237" s="926">
        <f>EF236-(1.4%)</f>
      </c>
      <c r="EG237" s="926">
        <f>EG236-(-2.5%)</f>
      </c>
      <c r="EH237" s="926">
        <f>EH236-(-3.1%)</f>
      </c>
      <c r="EI237" s="1233">
        <f>EI236-EI$21</f>
      </c>
      <c r="EJ237" s="2218">
        <v>-0.32</v>
      </c>
      <c r="EK237" s="2218">
        <v>-0.2</v>
      </c>
      <c r="EL237" s="2218">
        <v>-0.18</v>
      </c>
      <c r="EM237" s="2218">
        <v>-0.17</v>
      </c>
      <c r="EN237" s="2218">
        <v>-0.16</v>
      </c>
      <c r="EO237" s="2218">
        <v>-0.15</v>
      </c>
      <c r="EP237" s="2218">
        <v>-0.15</v>
      </c>
      <c r="EQ237" s="2218">
        <v>-0.15</v>
      </c>
      <c r="ER237" s="2218">
        <v>-0.15</v>
      </c>
      <c r="ES237" s="2218">
        <v>-0.15</v>
      </c>
      <c r="ET237" s="597"/>
      <c r="EU237" s="597"/>
      <c r="EV237" s="597"/>
      <c r="EW237" s="597"/>
      <c r="EX237" s="597"/>
    </row>
    <row r="238" spans="1:154" ht="12.75" customHeight="1">
      <c r="B238" s="912" t="s">
        <v>413</v>
      </c>
      <c r="C238" s="1989"/>
      <c r="D238" s="28"/>
      <c r="E238" s="28"/>
      <c r="F238" s="28"/>
      <c r="G238" s="28"/>
      <c r="H238" s="28"/>
      <c r="I238" s="31"/>
      <c r="J238" s="28"/>
      <c r="K238" s="28"/>
      <c r="L238" s="28"/>
      <c r="M238" s="28"/>
      <c r="N238" s="31"/>
      <c r="O238" s="31"/>
      <c r="P238" s="31"/>
      <c r="Q238" s="31"/>
      <c r="R238" s="31"/>
      <c r="S238" s="31"/>
      <c r="T238" s="31"/>
      <c r="U238" s="31"/>
      <c r="V238" s="31"/>
      <c r="W238" s="31"/>
      <c r="X238" s="308"/>
      <c r="Y238" s="31"/>
      <c r="Z238" s="31"/>
      <c r="AA238" s="31"/>
      <c r="AB238" s="31"/>
      <c r="AC238" s="308"/>
      <c r="AD238" s="31"/>
      <c r="AE238" s="31"/>
      <c r="AF238" s="31"/>
      <c r="AG238" s="31"/>
      <c r="AH238" s="308"/>
      <c r="AI238" s="28"/>
      <c r="AJ238" s="28"/>
      <c r="AK238" s="28"/>
      <c r="AL238" s="31"/>
      <c r="AM238" s="308"/>
      <c r="AN238" s="28"/>
      <c r="AO238" s="28"/>
      <c r="AP238" s="28"/>
      <c r="AQ238" s="31"/>
      <c r="AR238" s="308"/>
      <c r="AS238" s="28"/>
      <c r="AT238" s="28"/>
      <c r="AU238" s="28"/>
      <c r="AV238" s="28"/>
      <c r="AW238" s="308"/>
      <c r="AX238" s="28"/>
      <c r="AY238" s="28"/>
      <c r="AZ238" s="28"/>
      <c r="BA238" s="28"/>
      <c r="BB238" s="308"/>
      <c r="BC238" s="30"/>
      <c r="BD238" s="30"/>
      <c r="BE238" s="30"/>
      <c r="BF238" s="30"/>
      <c r="BG238" s="308"/>
      <c r="BH238" s="30" t="str">
        <f t="shared" ref="BH238:CB238" si="626">IF(BC232="NM","NM",IF(BH232="NM","NM",IF(BC232&lt;=0,"NM",IF(BH232=0,"NM",IF(ABS(BH232/BC232-1)&gt;2.5,"NM",IF((ABS(BH232-BC232)=ABS(ABS(BH232)-ABS(BC232))),(BH232/BC232-1),"NM"))))))</f>
      </c>
      <c r="BI238" s="30" t="str">
        <f t="shared" si="626"/>
      </c>
      <c r="BJ238" s="30" t="str">
        <f t="shared" si="626"/>
      </c>
      <c r="BK238" s="30" t="str">
        <f t="shared" si="626"/>
      </c>
      <c r="BL238" s="308" t="str">
        <f t="shared" si="626"/>
      </c>
      <c r="BM238" s="30">
        <f t="shared" si="626"/>
      </c>
      <c r="BN238" s="30">
        <f t="shared" si="626"/>
      </c>
      <c r="BO238" s="30">
        <f t="shared" si="626"/>
      </c>
      <c r="BP238" s="30">
        <f t="shared" si="626"/>
      </c>
      <c r="BQ238" s="308">
        <f t="shared" si="626"/>
      </c>
      <c r="BR238" s="30">
        <f t="shared" si="626"/>
      </c>
      <c r="BS238" s="30">
        <f t="shared" si="626"/>
      </c>
      <c r="BT238" s="30">
        <f t="shared" si="626"/>
      </c>
      <c r="BU238" s="30">
        <f t="shared" si="626"/>
      </c>
      <c r="BV238" s="308">
        <f t="shared" si="626"/>
      </c>
      <c r="BW238" s="30">
        <f t="shared" si="626"/>
      </c>
      <c r="BX238" s="30">
        <f t="shared" si="626"/>
      </c>
      <c r="BY238" s="30">
        <f t="shared" si="626"/>
      </c>
      <c r="BZ238" s="30">
        <f t="shared" si="626"/>
      </c>
      <c r="CA238" s="308">
        <f t="shared" si="626"/>
      </c>
      <c r="CB238" s="30">
        <f t="shared" si="626"/>
      </c>
      <c r="CC238" s="30">
        <f t="shared" ref="CC238:CI238" si="627">IF(BX232="NM","NM",IF(CC232="NM","NM",IF(BX232&lt;=0,"NM",IF(CC232=0,"NM",IF(ABS(CC232/BX232-1)&gt;2.5,"NM",IF((ABS(CC232-BX232)=ABS(ABS(CC232)-ABS(BX232))),(CC232/BX232-1),"NM"))))))</f>
      </c>
      <c r="CD238" s="30">
        <f t="shared" si="627"/>
      </c>
      <c r="CE238" s="30">
        <f t="shared" si="627"/>
      </c>
      <c r="CF238" s="308">
        <f>IF(CA232="NM","NM",IF(CF232="NM","NM",IF(CA232&lt;=0,"NM",IF(CF232=0,"NM",IF(ABS(CF232/CA232-1)&gt;2.5,"NM",IF((ABS(CF232-CA232)=ABS(ABS(CF232)-ABS(CA232))),(CF232/CA232-1),"NM"))))))</f>
      </c>
      <c r="CG238" s="30">
        <f>IF(CB232="NM","NM",IF(CG232="NM","NM",IF(CB232&lt;=0,"NM",IF(CG232=0,"NM",IF(ABS(CG232/CB232-1)&gt;2.5,"NM",IF((ABS(CG232-CB232)=ABS(ABS(CG232)-ABS(CB232))),(CG232/CB232-1),"NM"))))))</f>
      </c>
      <c r="CH238" s="30">
        <f t="shared" si="627"/>
      </c>
      <c r="CI238" s="30">
        <f t="shared" si="627"/>
      </c>
      <c r="CJ238" s="30">
        <f>IF(CE232="NM","NM",IF(CJ232="NM","NM",IF(CE232&lt;=0,"NM",IF(CJ232=0,"NM",IF(ABS(CJ232/CE232-1)&gt;2.5,"NM",IF((ABS(CJ232-CE232)=ABS(ABS(CJ232)-ABS(CE232))),(CJ232/CE232-1),"NM"))))))</f>
      </c>
      <c r="CK238" s="308">
        <f>IF(CF232=0, "NA", CK232/CF232-1)</f>
      </c>
      <c r="CL238" s="30">
        <f>IF(CG232="NM","NM",IF(CL232="NM","NM",IF(CG232&lt;=0,"NM",IF(CL232=0,"NM",IF(ABS(CL232/CG232-1)&gt;2.5,"NM",IF((ABS(CL232-CG232)=ABS(ABS(CL232)-ABS(CG232))),(CL232/CG232-1),"NM"))))))</f>
      </c>
      <c r="CM238" s="30">
        <f>IF(CH232="NM","NM",IF(CM232="NM","NM",IF(CH232&lt;=0,"NM",IF(CM232=0,"NM",IF(ABS(CM232/CH232-1)&gt;2.5,"NM",IF((ABS(CM232-CH232)=ABS(ABS(CM232)-ABS(CH232))),(CM232/CH232-1),"NM"))))))</f>
      </c>
      <c r="CN238" s="30">
        <f>IF(CI232="NM","NM",IF(CN232="NM","NM",IF(CI232&lt;=0,"NM",IF(CN232=0,"NM",IF(ABS(CN232/CI232-1)&gt;2.5,"NM",IF((ABS(CN232-CI232)=ABS(ABS(CN232)-ABS(CI232))),(CN232/CI232-1),"NM"))))))</f>
      </c>
      <c r="CO238" s="30">
        <f>IF(CJ232="NM","NM",IF(CO232="NM","NM",IF(CJ232&lt;=0,"NM",IF(CO232=0,"NM",IF(ABS(CO232/CJ232-1)&gt;2.5,"NM",IF((ABS(CO232-CJ232)=ABS(ABS(CO232)-ABS(CJ232))),(CO232/CJ232-1),"NM"))))))</f>
      </c>
      <c r="CP238" s="308">
        <f>IF(CK232=0, "NA", CP232/CK232-1)</f>
      </c>
      <c r="CQ238" s="30">
        <f>IF(CL232="NM","NM",IF(CQ232="NM","NM",IF(CL232&lt;=0,"NM",IF(CQ232=0,"NM",IF(ABS(CQ232/CL232-1)&gt;2.5,"NM",IF((ABS(CQ232-CL232)=ABS(ABS(CQ232)-ABS(CL232))),(CQ232/CL232-1),"NM"))))))</f>
      </c>
      <c r="CR238" s="30">
        <f>IF(CM232=0, "NA", CR232/CM232-1)</f>
      </c>
      <c r="CS238" s="30">
        <f>IF(CN232=0, "NA", CS232/CN232-1)</f>
      </c>
      <c r="CT238" s="30">
        <f>IF(CO232=0, "NA", CT232/CO232-1)</f>
      </c>
      <c r="CU238" s="308">
        <f>IF(CP232=0, "NA", CU232/CP232-1)</f>
      </c>
      <c r="CV238" s="30">
        <f>IF(CQ232="NM","NM",IF(CV232="NM","NM",IF(CQ232&lt;=0,"NM",IF(CV232=0,"NM",IF(ABS(CV232/CQ232-1)&gt;2.5,"NM",IF((ABS(CV232-CQ232)=ABS(ABS(CV232)-ABS(CQ232))),(CV232/CQ232-1),"NM"))))))</f>
      </c>
      <c r="CW238" s="30">
        <f>IF(CR232="NM","NM",IF(CW232="NM","NM",IF(CR232&lt;=0,"NM",IF(CW232=0,"NM",IF(ABS(CW232/CR232-1)&gt;2.5,"NM",IF((ABS(CW232-CR232)=ABS(ABS(CW232)-ABS(CR232))),(CW232/CR232-1),"NM"))))))</f>
      </c>
      <c r="CX238" s="30">
        <f>IF(CS232="NM","NM",IF(CX232="NM","NM",IF(CS232&lt;=0,"NM",IF(CX232=0,"NM",IF(ABS(CX232/CS232-1)&gt;2.5,"NM",IF((ABS(CX232-CS232)=ABS(ABS(CX232)-ABS(CS232))),(CX232/CS232-1),"NM"))))))</f>
      </c>
      <c r="CY238" s="30">
        <f>IF(CT232=0, "NA", CY232/CT232-1)</f>
      </c>
      <c r="CZ238" s="308">
        <f>IF(CU232=0, "NA", CZ232/CU232-1)</f>
      </c>
      <c r="DA238" s="30">
        <f>IF(CV232="NM","NM",IF(DA232="NM","NM",IF(CV232&lt;=0,"NM",IF(DA232=0,"NM",IF(ABS(DA232/CV232-1)&gt;2.5,"NM",IF((ABS(DA232-CV232)=ABS(ABS(DA232)-ABS(CV232))),(DA232/CV232-1),"NM"))))))</f>
      </c>
      <c r="DB238" s="926">
        <f>IF(CW232=0, "NA", DB232/CW232-1)</f>
      </c>
      <c r="DC238" s="926">
        <f>IF(CX232=0, "NA", DC232/CX232-1)</f>
      </c>
      <c r="DD238" s="928">
        <f>IF(CY232=0, "NM", DD232/CY232-1)</f>
      </c>
      <c r="DE238" s="1233">
        <f>IF(CZ232=0, "NA", DE232/CZ232-1)</f>
      </c>
      <c r="DF238" s="1361">
        <f>IF(DA232="NM","NM",IF(DF232="NM","NM",IF(DA232&lt;=0,"NM",IF(DF232=0,"NM",IF(ABS(DF232/DA232-1)&gt;2.5,"NM",IF((ABS(DF232-DA232)=ABS(ABS(DF232)-ABS(DA232))),(DF232/DA232-1),"NM"))))))</f>
      </c>
      <c r="DG238" s="1219">
        <f>IF(DB232=0, "NA", DG232/DB232-1)</f>
      </c>
      <c r="DH238" s="1219">
        <f>IF(DC232=0, "NA", DH232/DC232-1)</f>
      </c>
      <c r="DI238" s="928">
        <f>IF(DD232=0, "NM", DI232/DD232-1)</f>
      </c>
      <c r="DJ238" s="1233">
        <f>IF(DE232=0, "NA", DJ232/DE232-1)</f>
      </c>
      <c r="DK238" s="1361">
        <f>IF(DF232="NM","NM",IF(DK232="NM","NM",IF(DF232&lt;=0,"NM",IF(DK232=0,"NM",IF(ABS(DK232/DF232-1)&gt;2.5,"NM",IF((ABS(DK232-DF232)=ABS(ABS(DK232)-ABS(DF232))),(DK232/DF232-1),"NM"))))))</f>
      </c>
      <c r="DL238" s="30">
        <f>IF(DG232="NM","NM",IF(DL232="NM","NM",IF(DG232&lt;=0,"NM",IF(DL232=0,"NM",IF(ABS(DL232/DG232-1)&gt;2.5,"NM",IF((ABS(DL232-DG232)=ABS(ABS(DL232)-ABS(DG232))),(DL232/DG232-1),"NM"))))))</f>
      </c>
      <c r="DM238" s="30">
        <f>IF(DH232="NM","NM",IF(DM232="NM","NM",IF(DH232&lt;=0,"NM",IF(DM232=0,"NM",IF(ABS(DM232/DH232-1)&gt;2.5,"NM",IF((ABS(DM232-DH232)=ABS(ABS(DM232)-ABS(DH232))),(DM232/DH232-1),"NM"))))))</f>
      </c>
      <c r="DN238" s="928">
        <f>IF(DI232=0, "NM", DN232/DI232-1)</f>
      </c>
      <c r="DO238" s="308">
        <f>IF(DJ232=0, "NA", DO232/DJ232-1)</f>
      </c>
      <c r="DP238" s="926">
        <f>IF(DK232=0, "NA", DP232/DK232-1)</f>
      </c>
      <c r="DQ238" s="30">
        <f>IF(DL232="NM","NM",IF(DQ232="NM","NM",IF(DL232&lt;=0,"NM",IF(DQ232=0,"NM",IF(ABS(DQ232/DL232-1)&gt;2.5,"NM",IF((ABS(DQ232-DL232)=ABS(ABS(DQ232)-ABS(DL232))),(DQ232/DL232-1),"NM"))))))</f>
      </c>
      <c r="DR238" s="30">
        <f>IF(DM232="NM","NM",IF(DR232="NM","NM",IF(DM232&lt;=0,"NM",IF(DR232=0,"NM",IF(ABS(DR232/DM232-1)&gt;2.5,"NM",IF((ABS(DR232-DM232)=ABS(ABS(DR232)-ABS(DM232))),(DR232/DM232-1),"NM"))))))</f>
      </c>
      <c r="DS238" s="30">
        <f>IF(DN232="NM","NM",IF(DS232="NM","NM",IF(DN232&lt;=0,"NM",IF(DS232=0,"NM",IF(ABS(DS232/DN232-1)&gt;2.5,"NM",IF((ABS(DS232-DN232)=ABS(ABS(DS232)-ABS(DN232))),(DS232/DN232-1),"NM"))))))</f>
      </c>
      <c r="DT238" s="308">
        <f t="shared" ref="DT238:EI238" si="628">IF(DO232=0, "NA", DT232/DO232-1)</f>
      </c>
      <c r="DU238" s="926">
        <f t="shared" si="628"/>
      </c>
      <c r="DV238" s="926">
        <f t="shared" si="628"/>
      </c>
      <c r="DW238" s="926">
        <f t="shared" si="628"/>
      </c>
      <c r="DX238" s="926">
        <f t="shared" si="628"/>
      </c>
      <c r="DY238" s="308">
        <f t="shared" si="628"/>
      </c>
      <c r="DZ238" s="926">
        <f t="shared" si="628"/>
      </c>
      <c r="EA238" s="926">
        <f t="shared" si="628"/>
      </c>
      <c r="EB238" s="926">
        <f t="shared" si="628"/>
      </c>
      <c r="EC238" s="926">
        <f>IF(DX232=0, "NM", EC232/DX232-1)</f>
      </c>
      <c r="ED238" s="308">
        <f t="shared" si="628"/>
      </c>
      <c r="EE238" s="926">
        <f t="shared" si="628"/>
      </c>
      <c r="EF238" s="926">
        <f t="shared" si="628"/>
      </c>
      <c r="EG238" s="926">
        <f t="shared" si="628"/>
      </c>
      <c r="EH238" s="926">
        <f>IF(EC232=0, "NM", EH232/EC232-1)</f>
      </c>
      <c r="EI238" s="308">
        <f t="shared" si="628"/>
      </c>
      <c r="EJ238" s="308">
        <f t="shared" ref="EJ238" si="629">IF(EI232=0, "NA", EJ232/EI232-1)</f>
      </c>
      <c r="EK238" s="308">
        <f t="shared" ref="EK238" si="630">IF(EJ232=0, "NA", EK232/EJ232-1)</f>
      </c>
      <c r="EL238" s="308">
        <f t="shared" ref="EL238" si="631">IF(EK232=0, "NA", EL232/EK232-1)</f>
      </c>
      <c r="EM238" s="308">
        <f t="shared" ref="EM238" si="632">IF(EL232=0, "NA", EM232/EL232-1)</f>
      </c>
      <c r="EN238" s="308">
        <f t="shared" ref="EN238" si="633">IF(EM232=0, "NA", EN232/EM232-1)</f>
      </c>
      <c r="EO238" s="308">
        <f t="shared" ref="EO238" si="634">IF(EN232=0, "NA", EO232/EN232-1)</f>
      </c>
      <c r="EP238" s="308">
        <f t="shared" ref="EP238" si="635">IF(EO232=0, "NA", EP232/EO232-1)</f>
      </c>
      <c r="EQ238" s="308">
        <f t="shared" ref="EQ238" si="636">IF(EP232=0, "NA", EQ232/EP232-1)</f>
      </c>
      <c r="ER238" s="308">
        <f t="shared" ref="ER238" si="637">IF(EQ232=0, "NA", ER232/EQ232-1)</f>
      </c>
      <c r="ES238" s="308">
        <f t="shared" ref="ES238" si="638">IF(ER232=0, "NA", ES232/ER232-1)</f>
      </c>
      <c r="ET238" s="308"/>
      <c r="EU238" s="308"/>
      <c r="EV238" s="308"/>
      <c r="EW238" s="308"/>
      <c r="EX238" s="308"/>
    </row>
    <row r="239" spans="1:154" ht="12.75" customHeight="1">
      <c r="B239" s="912"/>
      <c r="C239" s="1989"/>
      <c r="D239" s="28"/>
      <c r="E239" s="28"/>
      <c r="F239" s="28"/>
      <c r="G239" s="28"/>
      <c r="H239" s="28"/>
      <c r="I239" s="31"/>
      <c r="J239" s="28"/>
      <c r="K239" s="28"/>
      <c r="L239" s="28"/>
      <c r="M239" s="28"/>
      <c r="N239" s="31"/>
      <c r="O239" s="31"/>
      <c r="P239" s="31"/>
      <c r="Q239" s="31"/>
      <c r="R239" s="31"/>
      <c r="S239" s="31"/>
      <c r="T239" s="31"/>
      <c r="U239" s="31"/>
      <c r="V239" s="31"/>
      <c r="W239" s="31"/>
      <c r="X239" s="308"/>
      <c r="Y239" s="31"/>
      <c r="Z239" s="31"/>
      <c r="AA239" s="31"/>
      <c r="AB239" s="31"/>
      <c r="AC239" s="308"/>
      <c r="AD239" s="31"/>
      <c r="AE239" s="31"/>
      <c r="AF239" s="31"/>
      <c r="AG239" s="31"/>
      <c r="AH239" s="308"/>
      <c r="AI239" s="28"/>
      <c r="AJ239" s="28"/>
      <c r="AK239" s="28"/>
      <c r="AL239" s="31"/>
      <c r="AM239" s="308"/>
      <c r="AN239" s="28"/>
      <c r="AO239" s="28"/>
      <c r="AP239" s="28"/>
      <c r="AQ239" s="31"/>
      <c r="AR239" s="308"/>
      <c r="AS239" s="28"/>
      <c r="AT239" s="28"/>
      <c r="AU239" s="28"/>
      <c r="AV239" s="28"/>
      <c r="AW239" s="308"/>
      <c r="AX239" s="28"/>
      <c r="AY239" s="28"/>
      <c r="AZ239" s="28"/>
      <c r="BA239" s="28"/>
      <c r="BB239" s="308"/>
      <c r="BC239" s="30"/>
      <c r="BD239" s="30"/>
      <c r="BE239" s="30"/>
      <c r="BF239" s="30"/>
      <c r="BG239" s="308"/>
      <c r="BH239" s="30"/>
      <c r="BI239" s="30"/>
      <c r="BJ239" s="30"/>
      <c r="BK239" s="30"/>
      <c r="BL239" s="308"/>
      <c r="BM239" s="30"/>
      <c r="BN239" s="30"/>
      <c r="BO239" s="30"/>
      <c r="BP239" s="30"/>
      <c r="BQ239" s="308"/>
      <c r="BR239" s="30"/>
      <c r="BS239" s="30"/>
      <c r="BT239" s="30"/>
      <c r="BU239" s="30"/>
      <c r="BV239" s="308"/>
      <c r="BW239" s="30"/>
      <c r="BX239" s="30"/>
      <c r="BY239" s="30"/>
      <c r="BZ239" s="30"/>
      <c r="CA239" s="308"/>
      <c r="CB239" s="30"/>
      <c r="CC239" s="30"/>
      <c r="CD239" s="30"/>
      <c r="CE239" s="30"/>
      <c r="CF239" s="308"/>
      <c r="CG239" s="30"/>
      <c r="CH239" s="30"/>
      <c r="CI239" s="30"/>
      <c r="CJ239" s="30"/>
      <c r="CK239" s="308"/>
      <c r="CL239" s="926"/>
      <c r="CM239" s="926"/>
      <c r="CN239" s="926"/>
      <c r="CO239" s="30"/>
      <c r="CP239" s="308"/>
      <c r="CQ239" s="926"/>
      <c r="CR239" s="926"/>
      <c r="CS239" s="926"/>
      <c r="CT239" s="926"/>
      <c r="CU239" s="308"/>
      <c r="CV239" s="926"/>
      <c r="CW239" s="926"/>
      <c r="CX239" s="926"/>
      <c r="CY239" s="926"/>
      <c r="CZ239" s="308"/>
      <c r="DA239" s="926"/>
      <c r="DB239" s="30"/>
      <c r="DC239" s="30"/>
      <c r="DD239" s="409"/>
      <c r="DE239" s="1233"/>
      <c r="DF239" s="1219"/>
      <c r="DG239" s="1361"/>
      <c r="DH239" s="1361"/>
      <c r="DI239" s="409"/>
      <c r="DJ239" s="1233"/>
      <c r="DK239" s="830"/>
      <c r="DL239" s="30"/>
      <c r="DM239" s="30"/>
      <c r="DN239" s="409"/>
      <c r="DO239" s="308"/>
      <c r="DP239" s="30"/>
      <c r="DQ239" s="30"/>
      <c r="DR239" s="30"/>
      <c r="DS239" s="409"/>
      <c r="DT239" s="308"/>
      <c r="DU239" s="2407"/>
      <c r="DV239" s="2407"/>
      <c r="DW239" s="2407"/>
      <c r="DX239" s="928"/>
      <c r="DY239" s="308"/>
      <c r="DZ239" s="2407"/>
      <c r="EA239" s="2407"/>
      <c r="EB239" s="2407"/>
      <c r="EC239" s="928"/>
      <c r="ED239" s="1060"/>
      <c r="EE239" s="2407"/>
      <c r="EF239" s="2407"/>
      <c r="EG239" s="2407"/>
      <c r="EH239" s="928"/>
      <c r="EI239" s="308"/>
      <c r="EJ239" s="308"/>
      <c r="EK239" s="308"/>
      <c r="EL239" s="308"/>
      <c r="EM239" s="308"/>
      <c r="EN239" s="308"/>
      <c r="EO239" s="308"/>
      <c r="EP239" s="308"/>
      <c r="EQ239" s="308"/>
      <c r="ER239" s="308"/>
      <c r="ES239" s="308"/>
      <c r="ET239" s="308"/>
      <c r="EU239" s="308"/>
      <c r="EV239" s="308"/>
      <c r="EW239" s="308"/>
      <c r="EX239" s="308"/>
    </row>
    <row r="240" spans="1:154" ht="12.75" customHeight="1">
      <c r="B240" s="1170" t="s">
        <v>628</v>
      </c>
      <c r="C240" s="1989"/>
      <c r="D240" s="28"/>
      <c r="E240" s="28"/>
      <c r="F240" s="28"/>
      <c r="G240" s="28"/>
      <c r="H240" s="28"/>
      <c r="I240" s="31"/>
      <c r="J240" s="28"/>
      <c r="K240" s="28"/>
      <c r="L240" s="28"/>
      <c r="M240" s="28"/>
      <c r="N240" s="31"/>
      <c r="O240" s="31"/>
      <c r="P240" s="31"/>
      <c r="Q240" s="31"/>
      <c r="R240" s="31"/>
      <c r="S240" s="31"/>
      <c r="T240" s="31"/>
      <c r="U240" s="31"/>
      <c r="V240" s="31"/>
      <c r="W240" s="31"/>
      <c r="X240" s="313"/>
      <c r="Y240" s="31"/>
      <c r="Z240" s="31"/>
      <c r="AA240" s="31"/>
      <c r="AB240" s="31"/>
      <c r="AC240" s="313"/>
      <c r="AD240" s="31"/>
      <c r="AE240" s="31"/>
      <c r="AF240" s="31"/>
      <c r="AG240" s="31"/>
      <c r="AH240" s="313"/>
      <c r="AI240" s="28"/>
      <c r="AJ240" s="28"/>
      <c r="AK240" s="28"/>
      <c r="AL240" s="31"/>
      <c r="AM240" s="313"/>
      <c r="AN240" s="28"/>
      <c r="AO240" s="28"/>
      <c r="AP240" s="28"/>
      <c r="AQ240" s="31"/>
      <c r="AR240" s="313"/>
      <c r="AS240" s="28"/>
      <c r="AT240" s="28"/>
      <c r="AU240" s="28"/>
      <c r="AV240" s="28"/>
      <c r="AW240" s="313"/>
      <c r="AX240" s="28"/>
      <c r="AY240" s="28"/>
      <c r="AZ240" s="28"/>
      <c r="BA240" s="28"/>
      <c r="BB240" s="313"/>
      <c r="BC240" s="28"/>
      <c r="BD240" s="28"/>
      <c r="BE240" s="28"/>
      <c r="BF240" s="28"/>
      <c r="BG240" s="313"/>
      <c r="BH240" s="28"/>
      <c r="BI240" s="28"/>
      <c r="BJ240" s="28"/>
      <c r="BK240" s="28"/>
      <c r="BL240" s="313"/>
      <c r="BM240" s="28"/>
      <c r="BN240" s="28"/>
      <c r="BO240" s="28"/>
      <c r="BP240" s="28"/>
      <c r="BQ240" s="313"/>
      <c r="BR240" s="28"/>
      <c r="BS240" s="28"/>
      <c r="BT240" s="28"/>
      <c r="BU240" s="28"/>
      <c r="BV240" s="313"/>
      <c r="BW240" s="28"/>
      <c r="BX240" s="28"/>
      <c r="BY240" s="28"/>
      <c r="BZ240" s="28"/>
      <c r="CA240" s="313"/>
      <c r="CB240" s="28"/>
      <c r="CC240" s="28"/>
      <c r="CD240" s="28"/>
      <c r="CE240" s="28"/>
      <c r="CF240" s="313"/>
      <c r="CG240" s="28"/>
      <c r="CH240" s="28"/>
      <c r="CI240" s="28"/>
      <c r="CJ240" s="28"/>
      <c r="CK240" s="313"/>
      <c r="CL240" s="933"/>
      <c r="CM240" s="933"/>
      <c r="CN240" s="933"/>
      <c r="CO240" s="28"/>
      <c r="CP240" s="313"/>
      <c r="CQ240" s="933"/>
      <c r="CR240" s="933"/>
      <c r="CS240" s="933"/>
      <c r="CT240" s="933"/>
      <c r="CU240" s="313"/>
      <c r="CV240" s="933"/>
      <c r="CW240" s="933"/>
      <c r="CX240" s="933"/>
      <c r="CY240" s="933"/>
      <c r="CZ240" s="313"/>
      <c r="DA240" s="933"/>
      <c r="DB240" s="31"/>
      <c r="DC240" s="31"/>
      <c r="DD240" s="955"/>
      <c r="DE240" s="1811"/>
      <c r="DF240" s="1842"/>
      <c r="DG240" s="1822"/>
      <c r="DH240" s="1822"/>
      <c r="DI240" s="1798"/>
      <c r="DJ240" s="477"/>
      <c r="DK240" s="603">
        <f>+DK241-DI241</f>
      </c>
      <c r="DL240" s="603">
        <f>+DL241-DK241</f>
      </c>
      <c r="DM240" s="603">
        <f>+DM241-DL241</f>
      </c>
      <c r="DN240" s="603">
        <f>+DN241-DM241</f>
      </c>
      <c r="DO240" s="1811">
        <f>+DO241-DJ241</f>
      </c>
      <c r="DP240" s="603">
        <f>+DP241-DN241</f>
      </c>
      <c r="DQ240" s="603">
        <f>+DQ241-DP241</f>
      </c>
      <c r="DR240" s="603">
        <f>+DR241-DQ241</f>
      </c>
      <c r="DS240" s="603">
        <f>+DS241-DR241</f>
      </c>
      <c r="DT240" s="2064"/>
      <c r="DU240" s="603">
        <f>+DU241-DS241</f>
      </c>
      <c r="DV240" s="603">
        <f>+DV241-DU241</f>
      </c>
      <c r="DW240" s="603">
        <f>+DW241-DV241</f>
      </c>
      <c r="DX240" s="603">
        <f>+DX241-DW241</f>
      </c>
      <c r="DY240" s="2064"/>
      <c r="DZ240" s="603">
        <f>+DZ241-DX241</f>
      </c>
      <c r="EA240" s="603">
        <f>+EA241-DZ241</f>
      </c>
      <c r="EB240" s="603">
        <f>+EB241-EA241</f>
      </c>
      <c r="EC240" s="603">
        <f>+EC241-EB241</f>
      </c>
      <c r="ED240" s="1835"/>
      <c r="EE240" s="603">
        <f>+EE241-EC241</f>
      </c>
      <c r="EF240" s="603">
        <f>+EF241-EE241</f>
      </c>
      <c r="EG240" s="603">
        <f>+EG241-EF241</f>
      </c>
      <c r="EH240" s="603">
        <f>+EH241-EG241</f>
      </c>
      <c r="EI240" s="477"/>
      <c r="EJ240" s="477"/>
      <c r="EK240" s="477"/>
      <c r="EL240" s="477"/>
      <c r="EM240" s="477"/>
      <c r="EN240" s="477"/>
      <c r="EO240" s="477"/>
      <c r="EP240" s="477"/>
      <c r="EQ240" s="477"/>
      <c r="ER240" s="477"/>
      <c r="ES240" s="477"/>
      <c r="ET240" s="477"/>
      <c r="EU240" s="477"/>
      <c r="EV240" s="477"/>
      <c r="EW240" s="477"/>
      <c r="EX240" s="477"/>
    </row>
    <row r="241" spans="1:154" ht="12.75" customHeight="1">
      <c r="A241" s="3275" t="str">
        <f>A243&amp;" - US"</f>
      </c>
      <c r="B241" s="1171" t="s">
        <v>921</v>
      </c>
      <c r="C241" s="1999">
        <v>2031</v>
      </c>
      <c r="D241" s="28"/>
      <c r="E241" s="28"/>
      <c r="F241" s="28"/>
      <c r="G241" s="28"/>
      <c r="H241" s="28"/>
      <c r="I241" s="31"/>
      <c r="J241" s="28"/>
      <c r="K241" s="28"/>
      <c r="L241" s="28"/>
      <c r="M241" s="28"/>
      <c r="N241" s="31"/>
      <c r="O241" s="31"/>
      <c r="P241" s="31"/>
      <c r="Q241" s="31"/>
      <c r="R241" s="31"/>
      <c r="S241" s="31"/>
      <c r="T241" s="31"/>
      <c r="U241" s="31"/>
      <c r="V241" s="31"/>
      <c r="W241" s="31"/>
      <c r="X241" s="312"/>
      <c r="Y241" s="31"/>
      <c r="Z241" s="31"/>
      <c r="AA241" s="31"/>
      <c r="AB241" s="31"/>
      <c r="AC241" s="312"/>
      <c r="AD241" s="31"/>
      <c r="AE241" s="31"/>
      <c r="AF241" s="31"/>
      <c r="AG241" s="31"/>
      <c r="AH241" s="312"/>
      <c r="AI241" s="28"/>
      <c r="AJ241" s="28"/>
      <c r="AK241" s="28"/>
      <c r="AL241" s="31"/>
      <c r="AM241" s="312"/>
      <c r="AN241" s="28"/>
      <c r="AO241" s="28"/>
      <c r="AP241" s="28"/>
      <c r="AQ241" s="31"/>
      <c r="AR241" s="312"/>
      <c r="AS241" s="28"/>
      <c r="AT241" s="28"/>
      <c r="AU241" s="28"/>
      <c r="AV241" s="28"/>
      <c r="AW241" s="312"/>
      <c r="AX241" s="28"/>
      <c r="AY241" s="28"/>
      <c r="AZ241" s="28"/>
      <c r="BA241" s="33"/>
      <c r="BB241" s="312"/>
      <c r="BC241" s="28"/>
      <c r="BD241" s="28"/>
      <c r="BE241" s="28"/>
      <c r="BF241" s="28"/>
      <c r="BG241" s="312"/>
      <c r="BH241" s="28"/>
      <c r="BI241" s="28"/>
      <c r="BJ241" s="33"/>
      <c r="BK241" s="33"/>
      <c r="BL241" s="312"/>
      <c r="BM241" s="352"/>
      <c r="BN241" s="352"/>
      <c r="BO241" s="352"/>
      <c r="BP241" s="352"/>
      <c r="BQ241" s="312"/>
      <c r="BR241" s="352"/>
      <c r="BS241" s="352"/>
      <c r="BT241" s="352"/>
      <c r="BU241" s="352"/>
      <c r="BV241" s="312"/>
      <c r="BW241" s="352"/>
      <c r="BX241" s="352"/>
      <c r="BY241" s="352"/>
      <c r="BZ241" s="352"/>
      <c r="CA241" s="312"/>
      <c r="CB241" s="352"/>
      <c r="CC241" s="352"/>
      <c r="CD241" s="352"/>
      <c r="CE241" s="352"/>
      <c r="CF241" s="312"/>
      <c r="CG241" s="352"/>
      <c r="CH241" s="352"/>
      <c r="CI241" s="352"/>
      <c r="CJ241" s="352"/>
      <c r="CK241" s="312"/>
      <c r="CL241" s="352"/>
      <c r="CM241" s="352"/>
      <c r="CN241" s="352"/>
      <c r="CO241" s="352"/>
      <c r="CP241" s="312"/>
      <c r="CQ241" s="352"/>
      <c r="CR241" s="352"/>
      <c r="CS241" s="277">
        <v>16</v>
      </c>
      <c r="CT241" s="352">
        <v>46</v>
      </c>
      <c r="CU241" s="899">
        <f>SUM(CQ241:CT241)</f>
      </c>
      <c r="CV241" s="352">
        <v>66</v>
      </c>
      <c r="CW241" s="352">
        <v>102</v>
      </c>
      <c r="CX241" s="352">
        <v>143</v>
      </c>
      <c r="CY241" s="352">
        <v>142</v>
      </c>
      <c r="CZ241" s="312">
        <f>SUM(CV241:CY241)</f>
      </c>
      <c r="DA241" s="352">
        <v>168</v>
      </c>
      <c r="DB241" s="352">
        <v>176</v>
      </c>
      <c r="DC241" s="908">
        <v>221</v>
      </c>
      <c r="DD241" s="1021">
        <v>199</v>
      </c>
      <c r="DE241" s="1369">
        <f>SUM(DA241:DD241)</f>
      </c>
      <c r="DF241" s="1512">
        <v>187</v>
      </c>
      <c r="DG241" s="1512">
        <v>241</v>
      </c>
      <c r="DH241" s="1512">
        <v>222</v>
      </c>
      <c r="DI241" s="1021">
        <v>276</v>
      </c>
      <c r="DJ241" s="1369">
        <f>SUM(DF241:DI241)</f>
      </c>
      <c r="DK241" s="1512">
        <v>274</v>
      </c>
      <c r="DL241" s="908">
        <v>325</v>
      </c>
      <c r="DM241" s="908">
        <v>376</v>
      </c>
      <c r="DN241" s="1021">
        <v>528</v>
      </c>
      <c r="DO241" s="1369">
        <f>SUM(DK241:DN241)</f>
      </c>
      <c r="DP241" s="908">
        <v>391</v>
      </c>
      <c r="DQ241" s="1512">
        <v>382</v>
      </c>
      <c r="DR241" s="1512">
        <v>530</v>
      </c>
      <c r="DS241" s="1522">
        <v>541</v>
      </c>
      <c r="DT241" s="2032">
        <f>SUM(DP241:DS241)</f>
      </c>
      <c r="DU241" s="1512">
        <v>406</v>
      </c>
      <c r="DV241" s="1512">
        <v>450</v>
      </c>
      <c r="DW241" s="1512">
        <v>634</v>
      </c>
      <c r="DX241" s="1512">
        <v>657</v>
      </c>
      <c r="DY241" s="2032">
        <f>SUM(DU241:DX241)</f>
      </c>
      <c r="DZ241" s="1512">
        <v>509</v>
      </c>
      <c r="EA241" s="1512">
        <v>589</v>
      </c>
      <c r="EB241" s="1512">
        <v>691</v>
      </c>
      <c r="EC241" s="1522">
        <v>654</v>
      </c>
      <c r="ED241" s="2032">
        <f>SUM(DZ241:EC241)</f>
      </c>
      <c r="EE241" s="1512">
        <v>599</v>
      </c>
      <c r="EF241" s="1512">
        <v>796</v>
      </c>
      <c r="EG241" s="1512">
        <v>989</v>
      </c>
      <c r="EH241" s="2227">
        <f t="shared" ref="EH241:EH242" si="639">EC241*(1+EH246)</f>
      </c>
      <c r="EI241" s="899">
        <f>SUM(EE241:EH241)</f>
      </c>
      <c r="EJ241" s="2401">
        <f>'Product0404 ESTIMATES'!F12</f>
      </c>
      <c r="EK241" s="2401">
        <f>'Product0404 ESTIMATES'!G12</f>
      </c>
      <c r="EL241" s="2401">
        <f>'Product0404 ESTIMATES'!H12</f>
      </c>
      <c r="EM241" s="2401">
        <f>'Product0404 ESTIMATES'!I12</f>
      </c>
      <c r="EN241" s="2401">
        <f>'Product0404 ESTIMATES'!J12</f>
      </c>
      <c r="EO241" s="1835">
        <f t="shared" ref="EO241" si="640">+EN241*(1+EO246)</f>
      </c>
      <c r="EP241" s="1835">
        <f t="shared" ref="EP241" si="641">+EO241*(1+EP246)</f>
      </c>
      <c r="EQ241" s="1835">
        <f t="shared" ref="EQ241" si="642">+EP241*(1+EQ246)</f>
      </c>
      <c r="ER241" s="1835">
        <f t="shared" ref="ER241" si="643">+EQ241*(1+ER246)</f>
      </c>
      <c r="ES241" s="1835">
        <f t="shared" ref="ES241" si="644">+ER241*(1+ES246)</f>
      </c>
      <c r="ET241" s="1835">
        <f t="shared" ref="ET241:EV241" si="645">+ES241*(1+ET246)</f>
      </c>
      <c r="EU241" s="1835">
        <f t="shared" si="645"/>
      </c>
      <c r="EV241" s="1835">
        <f t="shared" si="645"/>
      </c>
      <c r="EW241" s="909"/>
      <c r="EX241" s="909"/>
    </row>
    <row r="242" spans="1:154" ht="12.75" customHeight="1">
      <c r="A242" s="3275" t="str">
        <f>+A243&amp;" - OUS"</f>
      </c>
      <c r="B242" s="1171" t="s">
        <v>412</v>
      </c>
      <c r="C242" s="2002"/>
      <c r="D242" s="28"/>
      <c r="E242" s="28"/>
      <c r="F242" s="28"/>
      <c r="G242" s="28"/>
      <c r="H242" s="28"/>
      <c r="I242" s="31"/>
      <c r="J242" s="28"/>
      <c r="K242" s="28"/>
      <c r="L242" s="28"/>
      <c r="M242" s="28"/>
      <c r="N242" s="31"/>
      <c r="O242" s="31"/>
      <c r="P242" s="31"/>
      <c r="Q242" s="31"/>
      <c r="R242" s="31"/>
      <c r="S242" s="31"/>
      <c r="T242" s="31"/>
      <c r="U242" s="31"/>
      <c r="V242" s="31"/>
      <c r="W242" s="31"/>
      <c r="X242" s="312"/>
      <c r="Y242" s="31"/>
      <c r="Z242" s="31"/>
      <c r="AA242" s="31"/>
      <c r="AB242" s="31"/>
      <c r="AC242" s="312"/>
      <c r="AD242" s="31"/>
      <c r="AE242" s="31"/>
      <c r="AF242" s="31"/>
      <c r="AG242" s="31"/>
      <c r="AH242" s="312"/>
      <c r="AI242" s="28"/>
      <c r="AJ242" s="28"/>
      <c r="AK242" s="28"/>
      <c r="AL242" s="31"/>
      <c r="AM242" s="312"/>
      <c r="AN242" s="28"/>
      <c r="AO242" s="28"/>
      <c r="AP242" s="28"/>
      <c r="AQ242" s="31"/>
      <c r="AR242" s="312"/>
      <c r="AS242" s="28"/>
      <c r="AT242" s="28"/>
      <c r="AU242" s="28"/>
      <c r="AV242" s="28"/>
      <c r="AW242" s="312"/>
      <c r="AX242" s="28"/>
      <c r="AY242" s="28"/>
      <c r="AZ242" s="28"/>
      <c r="BA242" s="33"/>
      <c r="BB242" s="312"/>
      <c r="BC242" s="28"/>
      <c r="BD242" s="28"/>
      <c r="BE242" s="28"/>
      <c r="BF242" s="28"/>
      <c r="BG242" s="312"/>
      <c r="BH242" s="28"/>
      <c r="BI242" s="28"/>
      <c r="BJ242" s="33"/>
      <c r="BK242" s="33"/>
      <c r="BL242" s="312"/>
      <c r="BM242" s="352"/>
      <c r="BN242" s="352"/>
      <c r="BO242" s="352"/>
      <c r="BP242" s="352"/>
      <c r="BQ242" s="312"/>
      <c r="BR242" s="352"/>
      <c r="BS242" s="352"/>
      <c r="BT242" s="352"/>
      <c r="BU242" s="352"/>
      <c r="BV242" s="312"/>
      <c r="BW242" s="352"/>
      <c r="BX242" s="352"/>
      <c r="BY242" s="352"/>
      <c r="BZ242" s="352"/>
      <c r="CA242" s="312"/>
      <c r="CB242" s="352"/>
      <c r="CC242" s="352"/>
      <c r="CD242" s="352"/>
      <c r="CE242" s="352"/>
      <c r="CF242" s="312"/>
      <c r="CG242" s="352"/>
      <c r="CH242" s="352"/>
      <c r="CI242" s="352"/>
      <c r="CJ242" s="352"/>
      <c r="CK242" s="312"/>
      <c r="CL242" s="352"/>
      <c r="CM242" s="352"/>
      <c r="CN242" s="352"/>
      <c r="CO242" s="352"/>
      <c r="CP242" s="312"/>
      <c r="CQ242" s="352"/>
      <c r="CR242" s="352"/>
      <c r="CS242" s="277">
        <v>0</v>
      </c>
      <c r="CT242" s="352">
        <v>1</v>
      </c>
      <c r="CU242" s="899">
        <f>SUM(CQ242:CT242)</f>
      </c>
      <c r="CV242" s="352">
        <v>6</v>
      </c>
      <c r="CW242" s="352">
        <v>24</v>
      </c>
      <c r="CX242" s="352">
        <v>28</v>
      </c>
      <c r="CY242" s="352">
        <v>33</v>
      </c>
      <c r="CZ242" s="312">
        <f>SUM(CV242:CY242)</f>
      </c>
      <c r="DA242" s="352">
        <v>49</v>
      </c>
      <c r="DB242" s="352">
        <v>59</v>
      </c>
      <c r="DC242" s="908">
        <v>69</v>
      </c>
      <c r="DD242" s="1021">
        <v>71</v>
      </c>
      <c r="DE242" s="1369">
        <f>SUM(DA242:DD242)</f>
      </c>
      <c r="DF242" s="1512">
        <v>109</v>
      </c>
      <c r="DG242" s="1512">
        <v>101</v>
      </c>
      <c r="DH242" s="1512">
        <v>105</v>
      </c>
      <c r="DI242" s="1021">
        <v>105</v>
      </c>
      <c r="DJ242" s="1369">
        <f>SUM(DF242:DI242)</f>
      </c>
      <c r="DK242" s="1512">
        <v>143</v>
      </c>
      <c r="DL242" s="908">
        <v>155</v>
      </c>
      <c r="DM242" s="908">
        <v>161</v>
      </c>
      <c r="DN242" s="1021">
        <v>165</v>
      </c>
      <c r="DO242" s="1369">
        <f>SUM(DK242:DN242)</f>
      </c>
      <c r="DP242" s="908">
        <v>199</v>
      </c>
      <c r="DQ242" s="1512">
        <v>214</v>
      </c>
      <c r="DR242" s="1512">
        <v>200</v>
      </c>
      <c r="DS242" s="1522">
        <v>211</v>
      </c>
      <c r="DT242" s="2032">
        <f>SUM(DP242:DS242)</f>
      </c>
      <c r="DU242" s="1512">
        <v>234</v>
      </c>
      <c r="DV242" s="1512">
        <v>255</v>
      </c>
      <c r="DW242" s="1512">
        <v>258</v>
      </c>
      <c r="DX242" s="1512">
        <v>252</v>
      </c>
      <c r="DY242" s="2032">
        <f>SUM(DU242:DX242)</f>
      </c>
      <c r="DZ242" s="1512">
        <v>299</v>
      </c>
      <c r="EA242" s="1512">
        <v>317</v>
      </c>
      <c r="EB242" s="1512">
        <v>316</v>
      </c>
      <c r="EC242" s="1522">
        <v>295</v>
      </c>
      <c r="ED242" s="2032">
        <f>SUM(DZ242:EC242)</f>
      </c>
      <c r="EE242" s="1512">
        <v>356</v>
      </c>
      <c r="EF242" s="1512">
        <v>391</v>
      </c>
      <c r="EG242" s="1512">
        <v>434</v>
      </c>
      <c r="EH242" s="2227">
        <f t="shared" si="639"/>
      </c>
      <c r="EI242" s="899">
        <f t="shared" ref="EI242" si="646">SUM(EE242:EH242)</f>
      </c>
      <c r="EJ242" s="2401">
        <f>'Product0404 ESTIMATES'!F13</f>
      </c>
      <c r="EK242" s="2401">
        <f>'Product0404 ESTIMATES'!G13</f>
      </c>
      <c r="EL242" s="2401">
        <f>'Product0404 ESTIMATES'!H13</f>
      </c>
      <c r="EM242" s="2401">
        <f>'Product0404 ESTIMATES'!I13</f>
      </c>
      <c r="EN242" s="2401">
        <f>'Product0404 ESTIMATES'!J13</f>
      </c>
      <c r="EO242" s="573">
        <f t="shared" ref="EO242" si="647">EN242*(1+EO247)</f>
      </c>
      <c r="EP242" s="573">
        <f t="shared" ref="EP242" si="648">EO242*(1+EP247)</f>
      </c>
      <c r="EQ242" s="573">
        <f t="shared" ref="EQ242" si="649">EP242*(1+EQ247)</f>
      </c>
      <c r="ER242" s="573">
        <f t="shared" ref="ER242" si="650">EQ242*(1+ER247)</f>
      </c>
      <c r="ES242" s="573">
        <f t="shared" ref="ES242" si="651">ER242*(1+ES247)</f>
      </c>
      <c r="ET242" s="1835">
        <f t="shared" ref="ET242:EV242" si="652">ES242*(1+ET247)</f>
      </c>
      <c r="EU242" s="1835">
        <f t="shared" si="652"/>
      </c>
      <c r="EV242" s="1835">
        <f t="shared" si="652"/>
      </c>
      <c r="EW242" s="909"/>
      <c r="EX242" s="909"/>
    </row>
    <row r="243" spans="1:154" ht="12.75" customHeight="1">
      <c r="A243" s="3279" t="s">
        <v>628</v>
      </c>
      <c r="B243" s="1171" t="s">
        <v>413</v>
      </c>
      <c r="C243" s="1989"/>
      <c r="D243" s="28"/>
      <c r="E243" s="28"/>
      <c r="F243" s="28"/>
      <c r="G243" s="28"/>
      <c r="H243" s="28"/>
      <c r="I243" s="31"/>
      <c r="J243" s="28"/>
      <c r="K243" s="28"/>
      <c r="L243" s="28"/>
      <c r="M243" s="28"/>
      <c r="N243" s="31"/>
      <c r="O243" s="31"/>
      <c r="P243" s="31"/>
      <c r="Q243" s="31"/>
      <c r="R243" s="31"/>
      <c r="S243" s="31"/>
      <c r="T243" s="31"/>
      <c r="U243" s="31"/>
      <c r="V243" s="31"/>
      <c r="W243" s="31"/>
      <c r="X243" s="312"/>
      <c r="Y243" s="31"/>
      <c r="Z243" s="31"/>
      <c r="AA243" s="31"/>
      <c r="AB243" s="31"/>
      <c r="AC243" s="312"/>
      <c r="AD243" s="31"/>
      <c r="AE243" s="31"/>
      <c r="AF243" s="31"/>
      <c r="AG243" s="31"/>
      <c r="AH243" s="312"/>
      <c r="AI243" s="28"/>
      <c r="AJ243" s="28"/>
      <c r="AK243" s="28"/>
      <c r="AL243" s="31"/>
      <c r="AM243" s="312"/>
      <c r="AN243" s="28"/>
      <c r="AO243" s="28"/>
      <c r="AP243" s="28"/>
      <c r="AQ243" s="31"/>
      <c r="AR243" s="312"/>
      <c r="AS243" s="28"/>
      <c r="AT243" s="28"/>
      <c r="AU243" s="28"/>
      <c r="AV243" s="28"/>
      <c r="AW243" s="312"/>
      <c r="AX243" s="28"/>
      <c r="AY243" s="28"/>
      <c r="AZ243" s="28"/>
      <c r="BA243" s="28"/>
      <c r="BB243" s="312"/>
      <c r="BC243" s="28"/>
      <c r="BD243" s="28"/>
      <c r="BE243" s="28"/>
      <c r="BF243" s="28"/>
      <c r="BG243" s="312"/>
      <c r="BH243" s="28"/>
      <c r="BI243" s="28"/>
      <c r="BJ243" s="28"/>
      <c r="BK243" s="28"/>
      <c r="BL243" s="312"/>
      <c r="BM243" s="28"/>
      <c r="BN243" s="28"/>
      <c r="BO243" s="28"/>
      <c r="BP243" s="28"/>
      <c r="BQ243" s="312"/>
      <c r="BR243" s="28"/>
      <c r="BS243" s="28"/>
      <c r="BT243" s="28"/>
      <c r="BU243" s="28"/>
      <c r="BV243" s="312"/>
      <c r="BW243" s="28"/>
      <c r="BX243" s="28"/>
      <c r="BY243" s="28"/>
      <c r="BZ243" s="28"/>
      <c r="CA243" s="312"/>
      <c r="CB243" s="28"/>
      <c r="CC243" s="28"/>
      <c r="CD243" s="28"/>
      <c r="CE243" s="28"/>
      <c r="CF243" s="312"/>
      <c r="CG243" s="28"/>
      <c r="CH243" s="28"/>
      <c r="CI243" s="28"/>
      <c r="CJ243" s="28"/>
      <c r="CK243" s="312"/>
      <c r="CL243" s="28"/>
      <c r="CM243" s="28"/>
      <c r="CN243" s="28"/>
      <c r="CO243" s="28"/>
      <c r="CP243" s="312"/>
      <c r="CQ243" s="933"/>
      <c r="CR243" s="933"/>
      <c r="CS243" s="895">
        <f>SUM(CS241:CS242)</f>
      </c>
      <c r="CT243" s="915">
        <f>SUM(CT241:CT242)</f>
      </c>
      <c r="CU243" s="899">
        <f>SUM(CU241:CU242)</f>
      </c>
      <c r="CV243" s="895">
        <f>+SUM(CV241:CV242)</f>
      </c>
      <c r="CW243" s="895">
        <f>+SUM(CW241:CW242)</f>
      </c>
      <c r="CX243" s="895">
        <f>+SUM(CX241:CX242)</f>
      </c>
      <c r="CY243" s="933">
        <f>SUM(CY241:CY242)</f>
      </c>
      <c r="CZ243" s="312">
        <f>SUM(CV243:CY243)</f>
      </c>
      <c r="DA243" s="895">
        <f>SUM(DA241:DA242)</f>
      </c>
      <c r="DB243" s="895">
        <f>SUM(DB241:DB242)</f>
      </c>
      <c r="DC243" s="895">
        <f>SUM(DC241:DC242)</f>
      </c>
      <c r="DD243" s="915">
        <f>SUM(DD241:DD242)</f>
      </c>
      <c r="DE243" s="1369">
        <f>SUM(DA243:DD243)</f>
      </c>
      <c r="DF243" s="1509">
        <f>SUM(DF241:DF242)</f>
      </c>
      <c r="DG243" s="1509">
        <f>SUM(DG241:DG242)</f>
      </c>
      <c r="DH243" s="1509">
        <f>SUM(DH241:DH242)</f>
      </c>
      <c r="DI243" s="1509">
        <f>SUM(DI241:DI242)</f>
      </c>
      <c r="DJ243" s="1369">
        <f>SUM(DF243:DI243)</f>
      </c>
      <c r="DK243" s="895">
        <f>SUM(DK241:DK242)</f>
      </c>
      <c r="DL243" s="895">
        <f>SUM(DL241:DL242)</f>
      </c>
      <c r="DM243" s="895">
        <f>SUM(DM241:DM242)</f>
      </c>
      <c r="DN243" s="1509">
        <f>SUM(DN241:DN242)</f>
      </c>
      <c r="DO243" s="1369">
        <f>DO241+DO242</f>
      </c>
      <c r="DP243" s="895">
        <f>SUM(DP241:DP242)</f>
      </c>
      <c r="DQ243" s="1509">
        <f>SUM(DQ241:DQ242)</f>
      </c>
      <c r="DR243" s="1509">
        <f>SUM(DR241:DR242)</f>
      </c>
      <c r="DS243" s="1509">
        <f>SUM(DS241:DS242)</f>
      </c>
      <c r="DT243" s="899">
        <f t="shared" ref="DT243:EN243" si="653">DT241+DT242</f>
      </c>
      <c r="DU243" s="1509">
        <f>SUM(DU241:DU242)</f>
      </c>
      <c r="DV243" s="1509">
        <f>SUM(DV241:DV242)</f>
      </c>
      <c r="DW243" s="1509">
        <f>SUM(DW241:DW242)</f>
      </c>
      <c r="DX243" s="1509">
        <f>SUM(DX241:DX242)</f>
      </c>
      <c r="DY243" s="899">
        <f>DY241+DY242</f>
      </c>
      <c r="DZ243" s="1509">
        <f>SUM(DZ241:DZ242)</f>
      </c>
      <c r="EA243" s="1509">
        <f>SUM(EA241:EA242)</f>
      </c>
      <c r="EB243" s="1509">
        <f>SUM(EB241:EB242)</f>
      </c>
      <c r="EC243" s="1556">
        <f>+EC241+EC242</f>
      </c>
      <c r="ED243" s="899">
        <f>ED241+ED242</f>
      </c>
      <c r="EE243" s="1509">
        <f>SUM(EE241:EE242)</f>
      </c>
      <c r="EF243" s="1509">
        <f>SUM(EF241:EF242)</f>
      </c>
      <c r="EG243" s="1509">
        <f>SUM(EG241:EG242)</f>
      </c>
      <c r="EH243" s="895">
        <f t="shared" ref="EH243" si="654">SUM(EH241:EH242)</f>
      </c>
      <c r="EI243" s="899">
        <f t="shared" si="653"/>
      </c>
      <c r="EJ243" s="899">
        <f t="shared" si="653"/>
      </c>
      <c r="EK243" s="899">
        <f t="shared" si="653"/>
      </c>
      <c r="EL243" s="899">
        <f t="shared" si="653"/>
      </c>
      <c r="EM243" s="899">
        <f t="shared" si="653"/>
      </c>
      <c r="EN243" s="899">
        <f t="shared" si="653"/>
      </c>
      <c r="EO243" s="1835">
        <f t="shared" ref="EO243:EV243" si="655">SUM(EO241:EO242)</f>
      </c>
      <c r="EP243" s="1835">
        <f t="shared" si="655"/>
      </c>
      <c r="EQ243" s="1835">
        <f t="shared" si="655"/>
      </c>
      <c r="ER243" s="1835">
        <f t="shared" si="655"/>
      </c>
      <c r="ES243" s="1835">
        <f t="shared" si="655"/>
      </c>
      <c r="ET243" s="1835">
        <f t="shared" si="655"/>
      </c>
      <c r="EU243" s="1835">
        <f t="shared" si="655"/>
      </c>
      <c r="EV243" s="1835">
        <f t="shared" si="655"/>
      </c>
      <c r="EW243" s="899"/>
      <c r="EX243" s="899"/>
    </row>
    <row r="244" spans="1:154" ht="12.75" customHeight="1">
      <c r="B244" s="1171"/>
      <c r="C244" s="1989"/>
      <c r="D244" s="28"/>
      <c r="E244" s="28"/>
      <c r="F244" s="28"/>
      <c r="G244" s="28"/>
      <c r="H244" s="28"/>
      <c r="I244" s="31"/>
      <c r="J244" s="28"/>
      <c r="K244" s="28"/>
      <c r="L244" s="28"/>
      <c r="M244" s="28"/>
      <c r="N244" s="31"/>
      <c r="O244" s="31"/>
      <c r="P244" s="31"/>
      <c r="Q244" s="31"/>
      <c r="R244" s="31"/>
      <c r="S244" s="31"/>
      <c r="T244" s="31"/>
      <c r="U244" s="31"/>
      <c r="V244" s="31"/>
      <c r="W244" s="31"/>
      <c r="X244" s="312"/>
      <c r="Y244" s="31"/>
      <c r="Z244" s="31"/>
      <c r="AA244" s="31"/>
      <c r="AB244" s="31"/>
      <c r="AC244" s="312"/>
      <c r="AD244" s="31"/>
      <c r="AE244" s="31"/>
      <c r="AF244" s="31"/>
      <c r="AG244" s="31"/>
      <c r="AH244" s="312"/>
      <c r="AI244" s="28"/>
      <c r="AJ244" s="28"/>
      <c r="AK244" s="28"/>
      <c r="AL244" s="31"/>
      <c r="AM244" s="312"/>
      <c r="AN244" s="28"/>
      <c r="AO244" s="28"/>
      <c r="AP244" s="28"/>
      <c r="AQ244" s="31"/>
      <c r="AR244" s="312"/>
      <c r="AS244" s="28"/>
      <c r="AT244" s="28"/>
      <c r="AU244" s="28"/>
      <c r="AV244" s="28"/>
      <c r="AW244" s="312"/>
      <c r="AX244" s="28"/>
      <c r="AY244" s="28"/>
      <c r="AZ244" s="28"/>
      <c r="BA244" s="28"/>
      <c r="BB244" s="312"/>
      <c r="BC244" s="28"/>
      <c r="BD244" s="28"/>
      <c r="BE244" s="28"/>
      <c r="BF244" s="28"/>
      <c r="BG244" s="312"/>
      <c r="BH244" s="28"/>
      <c r="BI244" s="28"/>
      <c r="BJ244" s="28"/>
      <c r="BK244" s="28"/>
      <c r="BL244" s="312"/>
      <c r="BM244" s="28"/>
      <c r="BN244" s="28"/>
      <c r="BO244" s="28"/>
      <c r="BP244" s="28"/>
      <c r="BQ244" s="312"/>
      <c r="BR244" s="28"/>
      <c r="BS244" s="28"/>
      <c r="BT244" s="28"/>
      <c r="BU244" s="28"/>
      <c r="BV244" s="312"/>
      <c r="BW244" s="28"/>
      <c r="BX244" s="28"/>
      <c r="BY244" s="28"/>
      <c r="BZ244" s="28"/>
      <c r="CA244" s="312"/>
      <c r="CB244" s="28"/>
      <c r="CC244" s="28"/>
      <c r="CD244" s="28"/>
      <c r="CE244" s="28"/>
      <c r="CF244" s="312"/>
      <c r="CG244" s="28"/>
      <c r="CH244" s="28"/>
      <c r="CI244" s="28"/>
      <c r="CJ244" s="28"/>
      <c r="CK244" s="312"/>
      <c r="CL244" s="933"/>
      <c r="CM244" s="933"/>
      <c r="CN244" s="28"/>
      <c r="CO244" s="28"/>
      <c r="CP244" s="312"/>
      <c r="CQ244" s="933"/>
      <c r="CR244" s="933"/>
      <c r="CS244" s="933"/>
      <c r="CT244" s="933"/>
      <c r="CU244" s="312"/>
      <c r="CV244" s="933"/>
      <c r="CW244" s="933"/>
      <c r="CX244" s="933"/>
      <c r="CY244" s="933"/>
      <c r="CZ244" s="313"/>
      <c r="DA244" s="933"/>
      <c r="DB244" s="31"/>
      <c r="DC244" s="31"/>
      <c r="DD244" s="955"/>
      <c r="DE244" s="1830"/>
      <c r="DF244" s="1842"/>
      <c r="DG244" s="1822"/>
      <c r="DH244" s="1822"/>
      <c r="DI244" s="1798"/>
      <c r="DJ244" s="445"/>
      <c r="DK244" s="1800">
        <f>+DK242-DI242</f>
      </c>
      <c r="DL244" s="444">
        <f>+DL242-DK242</f>
      </c>
      <c r="DM244" s="444">
        <f>+DM242-DL242</f>
      </c>
      <c r="DN244" s="1788">
        <f>+DN242-DM242</f>
      </c>
      <c r="DO244" s="445">
        <f>+DO242-DJ242</f>
      </c>
      <c r="DP244" s="1800">
        <f>+DP242-DN242</f>
      </c>
      <c r="DQ244" s="444">
        <f>+DQ242-DP242</f>
      </c>
      <c r="DR244" s="444">
        <f>+DR242-DQ242</f>
      </c>
      <c r="DS244" s="1788">
        <f>+DS242-DR242</f>
      </c>
      <c r="DT244" s="445"/>
      <c r="DU244" s="1800"/>
      <c r="DV244" s="444"/>
      <c r="DW244" s="444"/>
      <c r="DX244" s="444"/>
      <c r="DY244" s="445"/>
      <c r="DZ244" s="444"/>
      <c r="EA244" s="3481"/>
      <c r="EB244" s="3481"/>
      <c r="EC244" s="1875"/>
      <c r="ED244" s="1866"/>
      <c r="EE244" s="444"/>
      <c r="EF244" s="3481"/>
      <c r="EG244" s="3481"/>
      <c r="EH244" s="982"/>
      <c r="EI244" s="445"/>
      <c r="EJ244" s="445"/>
      <c r="EK244" s="445"/>
      <c r="EL244" s="445"/>
      <c r="EM244" s="445"/>
      <c r="EN244" s="445"/>
      <c r="EO244" s="445"/>
      <c r="EP244" s="445"/>
      <c r="EQ244" s="445"/>
      <c r="ER244" s="445"/>
      <c r="ES244" s="1788"/>
      <c r="ET244" s="1788"/>
      <c r="EU244" s="1788"/>
      <c r="EV244" s="1788"/>
      <c r="EW244" s="445"/>
      <c r="EX244" s="445"/>
    </row>
    <row r="245" spans="1:154" ht="12.75" customHeight="1">
      <c r="B245" s="1172" t="s">
        <v>893</v>
      </c>
      <c r="C245" s="1989"/>
      <c r="D245" s="28"/>
      <c r="E245" s="28"/>
      <c r="F245" s="28"/>
      <c r="G245" s="28"/>
      <c r="H245" s="28"/>
      <c r="I245" s="31"/>
      <c r="J245" s="28"/>
      <c r="K245" s="28"/>
      <c r="L245" s="28"/>
      <c r="M245" s="28"/>
      <c r="N245" s="31"/>
      <c r="O245" s="31"/>
      <c r="P245" s="31"/>
      <c r="Q245" s="31"/>
      <c r="R245" s="31"/>
      <c r="S245" s="31"/>
      <c r="T245" s="31"/>
      <c r="U245" s="31"/>
      <c r="V245" s="31"/>
      <c r="W245" s="31"/>
      <c r="X245" s="312"/>
      <c r="Y245" s="31"/>
      <c r="Z245" s="31"/>
      <c r="AA245" s="31"/>
      <c r="AB245" s="31"/>
      <c r="AC245" s="312"/>
      <c r="AD245" s="31"/>
      <c r="AE245" s="31"/>
      <c r="AF245" s="31"/>
      <c r="AG245" s="31"/>
      <c r="AH245" s="312"/>
      <c r="AI245" s="28"/>
      <c r="AJ245" s="28"/>
      <c r="AK245" s="28"/>
      <c r="AL245" s="31"/>
      <c r="AM245" s="312"/>
      <c r="AN245" s="28"/>
      <c r="AO245" s="28"/>
      <c r="AP245" s="28"/>
      <c r="AQ245" s="31"/>
      <c r="AR245" s="312"/>
      <c r="AS245" s="28"/>
      <c r="AT245" s="28"/>
      <c r="AU245" s="28"/>
      <c r="AV245" s="28"/>
      <c r="AW245" s="312"/>
      <c r="AX245" s="28"/>
      <c r="AY245" s="28"/>
      <c r="AZ245" s="28"/>
      <c r="BA245" s="28"/>
      <c r="BB245" s="312"/>
      <c r="BC245" s="28"/>
      <c r="BD245" s="28"/>
      <c r="BE245" s="28"/>
      <c r="BF245" s="28"/>
      <c r="BG245" s="312"/>
      <c r="BH245" s="28"/>
      <c r="BI245" s="28"/>
      <c r="BJ245" s="28"/>
      <c r="BK245" s="28"/>
      <c r="BL245" s="312"/>
      <c r="BM245" s="28"/>
      <c r="BN245" s="28"/>
      <c r="BO245" s="28"/>
      <c r="BP245" s="28"/>
      <c r="BQ245" s="312"/>
      <c r="BR245" s="28"/>
      <c r="BS245" s="28"/>
      <c r="BT245" s="28"/>
      <c r="BU245" s="28"/>
      <c r="BV245" s="312"/>
      <c r="BW245" s="28"/>
      <c r="BX245" s="28"/>
      <c r="BY245" s="28"/>
      <c r="BZ245" s="28"/>
      <c r="CA245" s="312"/>
      <c r="CB245" s="28"/>
      <c r="CC245" s="28"/>
      <c r="CD245" s="28"/>
      <c r="CE245" s="28"/>
      <c r="CF245" s="312"/>
      <c r="CG245" s="28"/>
      <c r="CH245" s="28"/>
      <c r="CI245" s="28"/>
      <c r="CJ245" s="28"/>
      <c r="CK245" s="312"/>
      <c r="CL245" s="933"/>
      <c r="CM245" s="933"/>
      <c r="CN245" s="28"/>
      <c r="CO245" s="28"/>
      <c r="CP245" s="312"/>
      <c r="CQ245" s="1175"/>
      <c r="CR245" s="1175"/>
      <c r="CS245" s="1175"/>
      <c r="CT245" s="1175"/>
      <c r="CU245" s="312"/>
      <c r="CV245" s="1175"/>
      <c r="CW245" s="1175"/>
      <c r="CX245" s="1175"/>
      <c r="CY245" s="29"/>
      <c r="CZ245" s="313"/>
      <c r="DA245" s="1175"/>
      <c r="DB245" s="31"/>
      <c r="DC245" s="31"/>
      <c r="DD245" s="955"/>
      <c r="DE245" s="1830"/>
      <c r="DF245" s="1843"/>
      <c r="DG245" s="1822"/>
      <c r="DH245" s="1822"/>
      <c r="DI245" s="1798"/>
      <c r="DJ245" s="445"/>
      <c r="DK245" s="1800"/>
      <c r="DL245" s="444"/>
      <c r="DM245" s="444"/>
      <c r="DN245" s="1788"/>
      <c r="DO245" s="445"/>
      <c r="DP245" s="2457"/>
      <c r="DQ245" s="2457"/>
      <c r="DR245" s="2457"/>
      <c r="DS245" s="2458"/>
      <c r="DT245" s="445"/>
      <c r="DU245" s="2457"/>
      <c r="DV245" s="2457"/>
      <c r="DW245" s="2457"/>
      <c r="DX245" s="2457"/>
      <c r="DY245" s="445"/>
      <c r="DZ245" s="2457"/>
      <c r="EA245" s="2648"/>
      <c r="EB245" s="2648"/>
      <c r="EC245" s="2649"/>
      <c r="ED245" s="1866"/>
      <c r="EE245" s="2457"/>
      <c r="EF245" s="2648"/>
      <c r="EG245" s="2648"/>
      <c r="EH245" s="2648"/>
      <c r="EI245" s="445"/>
      <c r="EJ245" s="445"/>
      <c r="EK245" s="445"/>
      <c r="EL245" s="445"/>
      <c r="EM245" s="445"/>
      <c r="EN245" s="445"/>
      <c r="EO245" s="445"/>
      <c r="EP245" s="1788"/>
      <c r="EQ245" s="1788"/>
      <c r="ER245" s="1788"/>
      <c r="ES245" s="1788"/>
      <c r="ET245" s="1788"/>
      <c r="EU245" s="1788"/>
      <c r="EV245" s="1788"/>
      <c r="EW245" s="445"/>
      <c r="EX245" s="445"/>
    </row>
    <row r="246" spans="1:154" ht="12.75" customHeight="1">
      <c r="B246" s="912" t="s">
        <v>921</v>
      </c>
      <c r="C246" s="1989"/>
      <c r="D246" s="28"/>
      <c r="E246" s="28"/>
      <c r="F246" s="28"/>
      <c r="G246" s="28"/>
      <c r="H246" s="28"/>
      <c r="I246" s="31"/>
      <c r="J246" s="28"/>
      <c r="K246" s="28"/>
      <c r="L246" s="28"/>
      <c r="M246" s="28"/>
      <c r="N246" s="31"/>
      <c r="O246" s="31"/>
      <c r="P246" s="31"/>
      <c r="Q246" s="31"/>
      <c r="R246" s="31"/>
      <c r="S246" s="31"/>
      <c r="T246" s="31"/>
      <c r="U246" s="31"/>
      <c r="V246" s="31"/>
      <c r="W246" s="31"/>
      <c r="X246" s="308"/>
      <c r="Y246" s="31"/>
      <c r="Z246" s="31"/>
      <c r="AA246" s="31"/>
      <c r="AB246" s="31"/>
      <c r="AC246" s="308"/>
      <c r="AD246" s="31"/>
      <c r="AE246" s="31"/>
      <c r="AF246" s="31"/>
      <c r="AG246" s="31"/>
      <c r="AH246" s="308"/>
      <c r="AI246" s="28"/>
      <c r="AJ246" s="28"/>
      <c r="AK246" s="28"/>
      <c r="AL246" s="31"/>
      <c r="AM246" s="308"/>
      <c r="AN246" s="28"/>
      <c r="AO246" s="28"/>
      <c r="AP246" s="28"/>
      <c r="AQ246" s="31"/>
      <c r="AR246" s="308"/>
      <c r="AS246" s="28"/>
      <c r="AT246" s="28"/>
      <c r="AU246" s="28"/>
      <c r="AV246" s="28"/>
      <c r="AW246" s="308"/>
      <c r="AX246" s="28"/>
      <c r="AY246" s="28"/>
      <c r="AZ246" s="28"/>
      <c r="BA246" s="28"/>
      <c r="BB246" s="308"/>
      <c r="BC246" s="30"/>
      <c r="BD246" s="30"/>
      <c r="BE246" s="30"/>
      <c r="BF246" s="30"/>
      <c r="BG246" s="308"/>
      <c r="BH246" s="30"/>
      <c r="BI246" s="30"/>
      <c r="BJ246" s="30"/>
      <c r="BK246" s="30"/>
      <c r="BL246" s="308"/>
      <c r="BM246" s="30"/>
      <c r="BN246" s="30"/>
      <c r="BO246" s="30"/>
      <c r="BP246" s="30"/>
      <c r="BQ246" s="308"/>
      <c r="BR246" s="30"/>
      <c r="BS246" s="30"/>
      <c r="BT246" s="30"/>
      <c r="BU246" s="30"/>
      <c r="BV246" s="308"/>
      <c r="BW246" s="30"/>
      <c r="BX246" s="30"/>
      <c r="BY246" s="30"/>
      <c r="BZ246" s="30"/>
      <c r="CA246" s="309"/>
      <c r="CB246" s="30"/>
      <c r="CC246" s="30"/>
      <c r="CD246" s="30"/>
      <c r="CE246" s="30"/>
      <c r="CF246" s="309"/>
      <c r="CG246" s="30"/>
      <c r="CH246" s="30"/>
      <c r="CI246" s="30"/>
      <c r="CJ246" s="30"/>
      <c r="CK246" s="308"/>
      <c r="CL246" s="30"/>
      <c r="CM246" s="30"/>
      <c r="CN246" s="30"/>
      <c r="CO246" s="30"/>
      <c r="CP246" s="308"/>
      <c r="CQ246" s="30"/>
      <c r="CR246" s="30"/>
      <c r="CS246" s="30"/>
      <c r="CT246" s="30"/>
      <c r="CU246" s="308"/>
      <c r="CV246" s="30"/>
      <c r="CW246" s="30"/>
      <c r="CX246" s="30"/>
      <c r="CY246" s="30">
        <f>IF(CY241=0,"NM",+CY241/CT241-1)</f>
      </c>
      <c r="CZ246" s="308">
        <f>IF(CZ241=0,"NM",+CZ241/CU241-1)</f>
      </c>
      <c r="DA246" s="30">
        <f t="shared" ref="DA246:DD247" si="656">IF(CV241="NM","NM",IF(DA241="NM","NM",IF(CV241&lt;=0,"NM",IF(DA241=0,"NM",IF(ABS(DA241/CV241-1)&gt;2.5,"NM",IF((ABS(DA241-CV241)=ABS(ABS(DA241)-ABS(CV241))),(DA241/CV241-1),"NM"))))))</f>
      </c>
      <c r="DB246" s="30">
        <f t="shared" si="656"/>
      </c>
      <c r="DC246" s="30">
        <f t="shared" si="656"/>
      </c>
      <c r="DD246" s="30">
        <f t="shared" si="656"/>
      </c>
      <c r="DE246" s="1233">
        <f>IF(DE241=0,"NM",+DE241/CZ241-1)</f>
      </c>
      <c r="DF246" s="1361">
        <f t="shared" ref="DF246:DH247" si="657">IF(DA241="NM","NM",IF(DF241="NM","NM",IF(DA241&lt;=0,"NM",IF(DF241=0,"NM",IF(ABS(DF241/DA241-1)&gt;2.5,"NM",IF((ABS(DF241-DA241)=ABS(ABS(DF241)-ABS(DA241))),(DF241/DA241-1),"NM"))))))</f>
      </c>
      <c r="DG246" s="1361">
        <f t="shared" si="657"/>
      </c>
      <c r="DH246" s="1361">
        <f t="shared" si="657"/>
      </c>
      <c r="DI246" s="928">
        <f>IF(DI241=0,"NM",+DI241/DD241-1)</f>
      </c>
      <c r="DJ246" s="1233">
        <f>IF(DJ241=0,"NM",+DJ241/DE241-1)</f>
      </c>
      <c r="DK246" s="1361">
        <f t="shared" ref="DK246:DM247" si="658">IF(DF241="NM","NM",IF(DK241="NM","NM",IF(DF241&lt;=0,"NM",IF(DK241=0,"NM",IF(ABS(DK241/DF241-1)&gt;2.5,"NM",IF((ABS(DK241-DF241)=ABS(ABS(DK241)-ABS(DF241))),(DK241/DF241-1),"NM"))))))</f>
      </c>
      <c r="DL246" s="30">
        <f t="shared" si="658"/>
      </c>
      <c r="DM246" s="30">
        <f t="shared" si="658"/>
      </c>
      <c r="DN246" s="928">
        <f>IF(DN241=0,"NM",+DN241/DI241-1)</f>
      </c>
      <c r="DO246" s="308">
        <f>IF(DO241=0,"NM",+DO241/DJ241-1)</f>
      </c>
      <c r="DP246" s="1361">
        <f t="shared" ref="DP246:EB247" si="659">IF(DK241="NM","NM",IF(DP241="NM","NM",IF(DK241&lt;=0,"NM",IF(DP241=0,"NM",IF(ABS(DP241/DK241-1)&gt;2.5,"NM",IF((ABS(DP241-DK241)=ABS(ABS(DP241)-ABS(DK241))),(DP241/DK241-1),"NM"))))))</f>
      </c>
      <c r="DQ246" s="30">
        <f t="shared" si="659"/>
      </c>
      <c r="DR246" s="30">
        <f t="shared" si="659"/>
      </c>
      <c r="DS246" s="30">
        <f t="shared" si="659"/>
      </c>
      <c r="DT246" s="308">
        <f>IF(DT241=0,"NM",+DT241/DO241-1)</f>
      </c>
      <c r="DU246" s="1361">
        <f t="shared" si="659"/>
      </c>
      <c r="DV246" s="1361">
        <f t="shared" si="659"/>
      </c>
      <c r="DW246" s="1361">
        <f t="shared" si="659"/>
      </c>
      <c r="DX246" s="1361">
        <f t="shared" si="659"/>
      </c>
      <c r="DY246" s="308">
        <f>IF(DY241=0,"NM",+DY241/DT241-1)</f>
      </c>
      <c r="DZ246" s="1703">
        <f>+DZ241/DU241-1</f>
      </c>
      <c r="EA246" s="1703">
        <f>+EA241/DV241-1</f>
      </c>
      <c r="EB246" s="1703">
        <f>+EB241/DW241-1</f>
      </c>
      <c r="EC246" s="1703">
        <f>+EC241/DX241-1</f>
      </c>
      <c r="ED246" s="308">
        <f>IF(ED241=0,"NM",+ED241/DY241-1)</f>
      </c>
      <c r="EE246" s="1703">
        <f>+EE241/DZ241-1</f>
      </c>
      <c r="EF246" s="1703">
        <f>+EF241/EA241-1</f>
      </c>
      <c r="EG246" s="1703">
        <f>+EG241/EB241-1</f>
      </c>
      <c r="EH246" s="2682">
        <v>0.53</v>
      </c>
      <c r="EI246" s="308">
        <f>IF(EI241=0,"NM",+EI241/ED241-1)</f>
      </c>
      <c r="EJ246" s="308">
        <f>EJ241/EI241-1</f>
      </c>
      <c r="EK246" s="308">
        <f t="shared" ref="EK246:EN246" si="660">EK241/EJ241-1</f>
      </c>
      <c r="EL246" s="308">
        <f t="shared" si="660"/>
      </c>
      <c r="EM246" s="308">
        <f t="shared" si="660"/>
      </c>
      <c r="EN246" s="308">
        <f t="shared" si="660"/>
      </c>
      <c r="EO246" s="2218">
        <v>-0.2</v>
      </c>
      <c r="EP246" s="2218">
        <v>-0.3</v>
      </c>
      <c r="EQ246" s="2218">
        <v>-0.2</v>
      </c>
      <c r="ER246" s="2218">
        <v>-0.2</v>
      </c>
      <c r="ES246" s="2218">
        <v>-0.1</v>
      </c>
      <c r="ET246" s="2464">
        <v>-0.05</v>
      </c>
      <c r="EU246" s="2464">
        <v>-0.05</v>
      </c>
      <c r="EV246" s="2464">
        <v>-0.05</v>
      </c>
      <c r="EW246" s="409"/>
      <c r="EX246" s="409"/>
    </row>
    <row r="247" spans="1:154" ht="12.75" customHeight="1">
      <c r="B247" s="912" t="s">
        <v>412</v>
      </c>
      <c r="C247" s="1989"/>
      <c r="D247" s="28"/>
      <c r="E247" s="28"/>
      <c r="F247" s="28"/>
      <c r="G247" s="28"/>
      <c r="H247" s="28"/>
      <c r="I247" s="31"/>
      <c r="J247" s="28"/>
      <c r="K247" s="28"/>
      <c r="L247" s="28"/>
      <c r="M247" s="28"/>
      <c r="N247" s="31"/>
      <c r="O247" s="31"/>
      <c r="P247" s="31"/>
      <c r="Q247" s="31"/>
      <c r="R247" s="31"/>
      <c r="S247" s="31"/>
      <c r="T247" s="31"/>
      <c r="U247" s="31"/>
      <c r="V247" s="31"/>
      <c r="W247" s="31"/>
      <c r="X247" s="308"/>
      <c r="Y247" s="31"/>
      <c r="Z247" s="31"/>
      <c r="AA247" s="31"/>
      <c r="AB247" s="31"/>
      <c r="AC247" s="308"/>
      <c r="AD247" s="31"/>
      <c r="AE247" s="31"/>
      <c r="AF247" s="31"/>
      <c r="AG247" s="31"/>
      <c r="AH247" s="308"/>
      <c r="AI247" s="28"/>
      <c r="AJ247" s="28"/>
      <c r="AK247" s="28"/>
      <c r="AL247" s="31"/>
      <c r="AM247" s="308"/>
      <c r="AN247" s="28"/>
      <c r="AO247" s="28"/>
      <c r="AP247" s="28"/>
      <c r="AQ247" s="31"/>
      <c r="AR247" s="308"/>
      <c r="AS247" s="28"/>
      <c r="AT247" s="28"/>
      <c r="AU247" s="28"/>
      <c r="AV247" s="28"/>
      <c r="AW247" s="308"/>
      <c r="AX247" s="28"/>
      <c r="AY247" s="28"/>
      <c r="AZ247" s="28"/>
      <c r="BA247" s="28"/>
      <c r="BB247" s="308"/>
      <c r="BC247" s="30"/>
      <c r="BD247" s="30"/>
      <c r="BE247" s="30"/>
      <c r="BF247" s="30"/>
      <c r="BG247" s="308"/>
      <c r="BH247" s="30"/>
      <c r="BI247" s="30"/>
      <c r="BJ247" s="30"/>
      <c r="BK247" s="30"/>
      <c r="BL247" s="308"/>
      <c r="BM247" s="30"/>
      <c r="BN247" s="30"/>
      <c r="BO247" s="30"/>
      <c r="BP247" s="30"/>
      <c r="BQ247" s="308"/>
      <c r="BR247" s="30"/>
      <c r="BS247" s="30"/>
      <c r="BT247" s="30"/>
      <c r="BU247" s="30"/>
      <c r="BV247" s="308"/>
      <c r="BW247" s="30"/>
      <c r="BX247" s="30"/>
      <c r="BY247" s="30"/>
      <c r="BZ247" s="30"/>
      <c r="CA247" s="661"/>
      <c r="CB247" s="30"/>
      <c r="CC247" s="30"/>
      <c r="CD247" s="30"/>
      <c r="CE247" s="30"/>
      <c r="CF247" s="661"/>
      <c r="CG247" s="30"/>
      <c r="CH247" s="30"/>
      <c r="CI247" s="30"/>
      <c r="CJ247" s="30"/>
      <c r="CK247" s="308"/>
      <c r="CL247" s="30"/>
      <c r="CM247" s="30"/>
      <c r="CN247" s="30"/>
      <c r="CO247" s="30"/>
      <c r="CP247" s="308"/>
      <c r="CQ247" s="30"/>
      <c r="CR247" s="30"/>
      <c r="CS247" s="30"/>
      <c r="CT247" s="30"/>
      <c r="CU247" s="308"/>
      <c r="CV247" s="30"/>
      <c r="CW247" s="30"/>
      <c r="CX247" s="30"/>
      <c r="CY247" s="30">
        <f>IF(CY242=0, "NM", CY242/CT242-1)</f>
      </c>
      <c r="CZ247" s="308">
        <f>IF(CZ242=0, "NM", CZ242/CU242-1)</f>
      </c>
      <c r="DA247" s="30" t="str">
        <f t="shared" si="656"/>
      </c>
      <c r="DB247" s="30">
        <f t="shared" si="656"/>
      </c>
      <c r="DC247" s="30">
        <f t="shared" si="656"/>
      </c>
      <c r="DD247" s="30">
        <f t="shared" si="656"/>
      </c>
      <c r="DE247" s="1233">
        <f>IF(DE242=0, "NM", DE242/CZ242-1)</f>
      </c>
      <c r="DF247" s="1361">
        <f t="shared" si="657"/>
      </c>
      <c r="DG247" s="1361">
        <f t="shared" si="657"/>
      </c>
      <c r="DH247" s="1361">
        <f t="shared" si="657"/>
      </c>
      <c r="DI247" s="928">
        <f>IF(DI242=0, "NM", DI242/DD242-1)</f>
      </c>
      <c r="DJ247" s="1233">
        <f>IF(DJ242=0, "NM", DJ242/DE242-1)</f>
      </c>
      <c r="DK247" s="1361">
        <f t="shared" si="658"/>
      </c>
      <c r="DL247" s="30">
        <f t="shared" si="658"/>
      </c>
      <c r="DM247" s="30">
        <f t="shared" si="658"/>
      </c>
      <c r="DN247" s="928">
        <f>IF(DN242=0, "NM", DN242/DI242-1)</f>
      </c>
      <c r="DO247" s="308">
        <f>IF(DO242=0, "NM", DO242/DJ242-1)</f>
      </c>
      <c r="DP247" s="1361">
        <f t="shared" si="659"/>
      </c>
      <c r="DQ247" s="30">
        <f t="shared" si="659"/>
      </c>
      <c r="DR247" s="30">
        <f t="shared" si="659"/>
      </c>
      <c r="DS247" s="30">
        <f t="shared" si="659"/>
      </c>
      <c r="DT247" s="308">
        <f>IF(DT242=0, "NM", DT242/DO242-1)</f>
      </c>
      <c r="DU247" s="1361">
        <f t="shared" si="659"/>
      </c>
      <c r="DV247" s="1361">
        <f t="shared" si="659"/>
      </c>
      <c r="DW247" s="1361">
        <f t="shared" si="659"/>
      </c>
      <c r="DX247" s="1361">
        <f t="shared" si="659"/>
      </c>
      <c r="DY247" s="308">
        <f>IF(DY242=0, "NM", DY242/DT242-1)</f>
      </c>
      <c r="DZ247" s="30">
        <f t="shared" si="659"/>
      </c>
      <c r="EA247" s="926">
        <f t="shared" si="659"/>
      </c>
      <c r="EB247" s="926">
        <f t="shared" si="659"/>
      </c>
      <c r="EC247" s="928">
        <f>IF(EC242=0, "NM", EC242/DX242-1)</f>
      </c>
      <c r="ED247" s="308">
        <f>IF(ED242=0, "NM", ED242/DY242-1)</f>
      </c>
      <c r="EE247" s="30">
        <f t="shared" ref="EE247:EG247" si="661">IF(DZ242="NM","NM",IF(EE242="NM","NM",IF(DZ242&lt;=0,"NM",IF(EE242=0,"NM",IF(ABS(EE242/DZ242-1)&gt;2.5,"NM",IF((ABS(EE242-DZ242)=ABS(ABS(EE242)-ABS(DZ242))),(EE242/DZ242-1),"NM"))))))</f>
      </c>
      <c r="EF247" s="926">
        <f t="shared" si="661"/>
      </c>
      <c r="EG247" s="926">
        <f t="shared" si="661"/>
      </c>
      <c r="EH247" s="926">
        <f t="shared" ref="EH247" si="662">EH248+EH$21</f>
      </c>
      <c r="EI247" s="308">
        <f>IF(EI242=0, "NM", EI242/ED242-1)</f>
      </c>
      <c r="EJ247" s="308">
        <f t="shared" ref="EJ247:ES247" si="663">EJ248+EJ$21</f>
      </c>
      <c r="EK247" s="308">
        <f t="shared" si="663"/>
      </c>
      <c r="EL247" s="308">
        <f t="shared" si="663"/>
      </c>
      <c r="EM247" s="308">
        <f t="shared" si="663"/>
      </c>
      <c r="EN247" s="308">
        <f t="shared" si="663"/>
      </c>
      <c r="EO247" s="308">
        <f t="shared" si="663"/>
      </c>
      <c r="EP247" s="308">
        <f t="shared" si="663"/>
      </c>
      <c r="EQ247" s="308">
        <f t="shared" si="663"/>
      </c>
      <c r="ER247" s="308">
        <f t="shared" si="663"/>
      </c>
      <c r="ES247" s="308">
        <f t="shared" si="663"/>
      </c>
      <c r="ET247" s="837">
        <f t="shared" ref="ET247:EV247" si="664">ET248+ET$21</f>
      </c>
      <c r="EU247" s="837">
        <f t="shared" si="664"/>
      </c>
      <c r="EV247" s="837">
        <f t="shared" si="664"/>
      </c>
      <c r="EW247" s="409"/>
      <c r="EX247" s="409"/>
    </row>
    <row r="248" spans="1:154" ht="12.75" customHeight="1">
      <c r="B248" s="912" t="s">
        <v>256</v>
      </c>
      <c r="C248" s="1989"/>
      <c r="D248" s="28"/>
      <c r="E248" s="28"/>
      <c r="F248" s="28"/>
      <c r="G248" s="28"/>
      <c r="H248" s="28"/>
      <c r="I248" s="31"/>
      <c r="J248" s="28"/>
      <c r="K248" s="28"/>
      <c r="L248" s="28"/>
      <c r="M248" s="28"/>
      <c r="N248" s="31"/>
      <c r="O248" s="31"/>
      <c r="P248" s="31"/>
      <c r="Q248" s="31"/>
      <c r="R248" s="31"/>
      <c r="S248" s="31"/>
      <c r="T248" s="31"/>
      <c r="U248" s="31"/>
      <c r="V248" s="31"/>
      <c r="W248" s="31"/>
      <c r="X248" s="214"/>
      <c r="Y248" s="31"/>
      <c r="Z248" s="31"/>
      <c r="AA248" s="31"/>
      <c r="AB248" s="31"/>
      <c r="AC248" s="214"/>
      <c r="AD248" s="31"/>
      <c r="AE248" s="31"/>
      <c r="AF248" s="31"/>
      <c r="AG248" s="31"/>
      <c r="AH248" s="214"/>
      <c r="AI248" s="28"/>
      <c r="AJ248" s="28"/>
      <c r="AK248" s="28"/>
      <c r="AL248" s="31"/>
      <c r="AM248" s="214"/>
      <c r="AN248" s="28"/>
      <c r="AO248" s="28"/>
      <c r="AP248" s="28"/>
      <c r="AQ248" s="31"/>
      <c r="AR248" s="214"/>
      <c r="AS248" s="28"/>
      <c r="AT248" s="28"/>
      <c r="AU248" s="28"/>
      <c r="AV248" s="28"/>
      <c r="AW248" s="214"/>
      <c r="AX248" s="28"/>
      <c r="AY248" s="28"/>
      <c r="AZ248" s="28"/>
      <c r="BA248" s="28"/>
      <c r="BB248" s="214"/>
      <c r="BC248" s="41"/>
      <c r="BD248" s="41"/>
      <c r="BE248" s="41"/>
      <c r="BF248" s="41"/>
      <c r="BG248" s="214"/>
      <c r="BH248" s="30"/>
      <c r="BI248" s="41"/>
      <c r="BJ248" s="41"/>
      <c r="BK248" s="41"/>
      <c r="BL248" s="309"/>
      <c r="BM248" s="41"/>
      <c r="BN248" s="41"/>
      <c r="BO248" s="41"/>
      <c r="BP248" s="41"/>
      <c r="BQ248" s="308"/>
      <c r="BR248" s="29"/>
      <c r="BS248" s="29"/>
      <c r="BT248" s="29"/>
      <c r="BU248" s="649"/>
      <c r="BV248" s="308"/>
      <c r="BW248" s="29"/>
      <c r="BX248" s="29"/>
      <c r="BY248" s="29"/>
      <c r="BZ248" s="835"/>
      <c r="CA248" s="297"/>
      <c r="CB248" s="29"/>
      <c r="CC248" s="361"/>
      <c r="CD248" s="29"/>
      <c r="CE248" s="835"/>
      <c r="CF248" s="1067"/>
      <c r="CG248" s="649"/>
      <c r="CH248" s="649"/>
      <c r="CI248" s="649"/>
      <c r="CJ248" s="649"/>
      <c r="CK248" s="309"/>
      <c r="CL248" s="649"/>
      <c r="CM248" s="649"/>
      <c r="CN248" s="649"/>
      <c r="CO248" s="649"/>
      <c r="CP248" s="309"/>
      <c r="CQ248" s="649"/>
      <c r="CR248" s="649"/>
      <c r="CS248" s="649"/>
      <c r="CT248" s="649"/>
      <c r="CU248" s="309"/>
      <c r="CV248" s="649"/>
      <c r="CW248" s="649"/>
      <c r="CX248" s="649"/>
      <c r="CY248" s="30">
        <f>IF(CY242=0, "NM",CY247-CY$21)</f>
      </c>
      <c r="CZ248" s="308">
        <f>IF(CZ242=0, "NM",CZ247-CZ$21)</f>
      </c>
      <c r="DA248" s="649"/>
      <c r="DB248" s="649"/>
      <c r="DC248" s="30"/>
      <c r="DD248" s="30"/>
      <c r="DE248" s="1233"/>
      <c r="DF248" s="1220"/>
      <c r="DG248" s="1208"/>
      <c r="DH248" s="1208"/>
      <c r="DI248" s="928"/>
      <c r="DJ248" s="1233"/>
      <c r="DK248" s="1220"/>
      <c r="DL248" s="649"/>
      <c r="DM248" s="29">
        <v>0.45</v>
      </c>
      <c r="DN248" s="928">
        <f>IF(DN242=0, "NM",DN247-DN$21)</f>
      </c>
      <c r="DO248" s="308">
        <f>IF(DO242=0, "NM",DO247-DO$21)</f>
      </c>
      <c r="DP248" s="2184">
        <f>DP247-(-9.1%)</f>
      </c>
      <c r="DQ248" s="410">
        <f>DQ247-(-16.3%)</f>
      </c>
      <c r="DR248" s="410">
        <f>DR247-(-19.9%)</f>
      </c>
      <c r="DS248" s="410">
        <f>DS247-(-17%)</f>
      </c>
      <c r="DT248" s="308">
        <f>IF(DT242=0, "NM",DT247-DT$21)</f>
      </c>
      <c r="DU248" s="2184">
        <f>DU247-(-7.6%)</f>
      </c>
      <c r="DV248" s="2184">
        <f>DV247-(-1.6%)</f>
      </c>
      <c r="DW248" s="2184">
        <f>DW247-(2.7%)</f>
      </c>
      <c r="DX248" s="2184">
        <f>DX247-(2.7%)</f>
      </c>
      <c r="DY248" s="308">
        <f>IF(DY242=0, "NM",DY247-DY$21)</f>
      </c>
      <c r="DZ248" s="1703">
        <f>DZ247-(-3.6%)</f>
      </c>
      <c r="EA248" s="1703">
        <f>EA247-(-6.6%)</f>
      </c>
      <c r="EB248" s="1703">
        <f>EB247-(-4.3%)</f>
      </c>
      <c r="EC248" s="1703">
        <f>EC247-(-4.8%)</f>
      </c>
      <c r="ED248" s="308">
        <f>IF(ED242=0, "NM",ED247-ED$21)</f>
      </c>
      <c r="EE248" s="1703">
        <f>EE247-(-3.6%)</f>
      </c>
      <c r="EF248" s="1703">
        <f>EF247-(2.7%)</f>
      </c>
      <c r="EG248" s="1703">
        <f>EG247-(-4.3%)</f>
      </c>
      <c r="EH248" s="2682">
        <v>0.45</v>
      </c>
      <c r="EI248" s="308">
        <f>IF(EI242=0, "NM",EI247-EI$21)</f>
      </c>
      <c r="EJ248" s="1060">
        <f t="shared" ref="EJ248:EJ249" si="665">IF(EI242=0, "NM", EJ242/EI242-1)</f>
      </c>
      <c r="EK248" s="1060">
        <f t="shared" ref="EK248:EK249" si="666">IF(EJ242=0, "NM", EK242/EJ242-1)</f>
      </c>
      <c r="EL248" s="1060">
        <f t="shared" ref="EL248:EL249" si="667">IF(EK242=0, "NM", EL242/EK242-1)</f>
      </c>
      <c r="EM248" s="1060">
        <f t="shared" ref="EM248:EM249" si="668">IF(EL242=0, "NM", EM242/EL242-1)</f>
      </c>
      <c r="EN248" s="1060">
        <f t="shared" ref="EN248:EN249" si="669">IF(EM242=0, "NM", EN242/EM242-1)</f>
      </c>
      <c r="EO248" s="2218">
        <v>-0.2</v>
      </c>
      <c r="EP248" s="2218">
        <v>-0.2</v>
      </c>
      <c r="EQ248" s="2218">
        <v>-0.05</v>
      </c>
      <c r="ER248" s="2218">
        <v>-0.05</v>
      </c>
      <c r="ES248" s="2218">
        <v>-0.05</v>
      </c>
      <c r="ET248" s="657">
        <v>-0.1</v>
      </c>
      <c r="EU248" s="657">
        <v>-0.1</v>
      </c>
      <c r="EV248" s="657">
        <v>-0.1</v>
      </c>
      <c r="EW248" s="409"/>
      <c r="EX248" s="409"/>
    </row>
    <row r="249" spans="1:154" ht="12.75" customHeight="1">
      <c r="B249" s="912" t="s">
        <v>413</v>
      </c>
      <c r="C249" s="1989"/>
      <c r="D249" s="28"/>
      <c r="E249" s="28"/>
      <c r="F249" s="28"/>
      <c r="G249" s="28"/>
      <c r="H249" s="28"/>
      <c r="I249" s="31"/>
      <c r="J249" s="28"/>
      <c r="K249" s="28"/>
      <c r="L249" s="28"/>
      <c r="M249" s="28"/>
      <c r="N249" s="31"/>
      <c r="O249" s="31"/>
      <c r="P249" s="31"/>
      <c r="Q249" s="31"/>
      <c r="R249" s="31"/>
      <c r="S249" s="31"/>
      <c r="T249" s="31"/>
      <c r="U249" s="31"/>
      <c r="V249" s="31"/>
      <c r="W249" s="31"/>
      <c r="X249" s="308"/>
      <c r="Y249" s="31"/>
      <c r="Z249" s="31"/>
      <c r="AA249" s="31"/>
      <c r="AB249" s="31"/>
      <c r="AC249" s="308"/>
      <c r="AD249" s="31"/>
      <c r="AE249" s="31"/>
      <c r="AF249" s="31"/>
      <c r="AG249" s="31"/>
      <c r="AH249" s="308"/>
      <c r="AI249" s="28"/>
      <c r="AJ249" s="28"/>
      <c r="AK249" s="28"/>
      <c r="AL249" s="31"/>
      <c r="AM249" s="308"/>
      <c r="AN249" s="28"/>
      <c r="AO249" s="28"/>
      <c r="AP249" s="28"/>
      <c r="AQ249" s="31"/>
      <c r="AR249" s="308"/>
      <c r="AS249" s="28"/>
      <c r="AT249" s="28"/>
      <c r="AU249" s="28"/>
      <c r="AV249" s="28"/>
      <c r="AW249" s="308"/>
      <c r="AX249" s="28"/>
      <c r="AY249" s="28"/>
      <c r="AZ249" s="28"/>
      <c r="BA249" s="28"/>
      <c r="BB249" s="308"/>
      <c r="BC249" s="30"/>
      <c r="BD249" s="30"/>
      <c r="BE249" s="30"/>
      <c r="BF249" s="30"/>
      <c r="BG249" s="308"/>
      <c r="BH249" s="30"/>
      <c r="BI249" s="30"/>
      <c r="BJ249" s="30"/>
      <c r="BK249" s="30"/>
      <c r="BL249" s="308"/>
      <c r="BM249" s="30"/>
      <c r="BN249" s="30"/>
      <c r="BO249" s="30"/>
      <c r="BP249" s="30"/>
      <c r="BQ249" s="308"/>
      <c r="BR249" s="30"/>
      <c r="BS249" s="30"/>
      <c r="BT249" s="30"/>
      <c r="BU249" s="30"/>
      <c r="BV249" s="308"/>
      <c r="BW249" s="30"/>
      <c r="BX249" s="30"/>
      <c r="BY249" s="30"/>
      <c r="BZ249" s="30"/>
      <c r="CA249" s="308"/>
      <c r="CB249" s="30"/>
      <c r="CC249" s="30"/>
      <c r="CD249" s="30"/>
      <c r="CE249" s="30"/>
      <c r="CF249" s="308"/>
      <c r="CG249" s="30"/>
      <c r="CH249" s="30"/>
      <c r="CI249" s="30"/>
      <c r="CJ249" s="30"/>
      <c r="CK249" s="308"/>
      <c r="CL249" s="30"/>
      <c r="CM249" s="30"/>
      <c r="CN249" s="30"/>
      <c r="CO249" s="30"/>
      <c r="CP249" s="308"/>
      <c r="CQ249" s="30"/>
      <c r="CR249" s="30"/>
      <c r="CS249" s="30"/>
      <c r="CT249" s="30"/>
      <c r="CU249" s="308"/>
      <c r="CV249" s="30"/>
      <c r="CW249" s="30"/>
      <c r="CX249" s="30"/>
      <c r="CY249" s="926">
        <f>IF(CT243=0, "NM", CY243/CT243-1)</f>
      </c>
      <c r="CZ249" s="1060">
        <f>IF(CU243=0, "NM", CZ243/CU243-1)</f>
      </c>
      <c r="DA249" s="30">
        <f>IF(CV243="NM","NM",IF(DA243="NM","NM",IF(CV243&lt;=0,"NM",IF(DA243=0,"NM",IF(ABS(DA243/CV243-1)&gt;2.5,"NM",IF((ABS(DA243-CV243)=ABS(ABS(DA243)-ABS(CV243))),(DA243/CV243-1),"NM"))))))</f>
      </c>
      <c r="DB249" s="926">
        <f>IF(CW243=0, "NM", DB243/CW243-1)</f>
      </c>
      <c r="DC249" s="926">
        <f>IF(CX243=0, "NM", DC243/CX243-1)</f>
      </c>
      <c r="DD249" s="926">
        <f>IF(CY243=0, "NM", DD243/CY243-1)</f>
      </c>
      <c r="DE249" s="1536">
        <f>IF(CZ243=0, "NM", DE243/CZ243-1)</f>
      </c>
      <c r="DF249" s="1361">
        <f>IF(DA243="NM","NM",IF(DF243="NM","NM",IF(DA243&lt;=0,"NM",IF(DF243=0,"NM",IF(ABS(DF243/DA243-1)&gt;2.5,"NM",IF((ABS(DF243-DA243)=ABS(ABS(DF243)-ABS(DA243))),(DF243/DA243-1),"NM"))))))</f>
      </c>
      <c r="DG249" s="1219">
        <f>IF(DB243=0, "NM", DG243/DB243-1)</f>
      </c>
      <c r="DH249" s="1219">
        <f>IF(DC243=0, "NM", DH243/DC243-1)</f>
      </c>
      <c r="DI249" s="926">
        <f>IF(DD243=0, "NM", DI243/DD243-1)</f>
      </c>
      <c r="DJ249" s="1536">
        <f>IF(DE243=0, "NM", DJ243/DE243-1)</f>
      </c>
      <c r="DK249" s="1361">
        <f>IF(DF243="NM","NM",IF(DK243="NM","NM",IF(DF243&lt;=0,"NM",IF(DK243=0,"NM",IF(ABS(DK243/DF243-1)&gt;2.5,"NM",IF((ABS(DK243-DF243)=ABS(ABS(DK243)-ABS(DF243))),(DK243/DF243-1),"NM"))))))</f>
      </c>
      <c r="DL249" s="30">
        <f>IF(DG243="NM","NM",IF(DL243="NM","NM",IF(DG243&lt;=0,"NM",IF(DL243=0,"NM",IF(ABS(DL243/DG243-1)&gt;2.5,"NM",IF((ABS(DL243-DG243)=ABS(ABS(DL243)-ABS(DG243))),(DL243/DG243-1),"NM"))))))</f>
      </c>
      <c r="DM249" s="30">
        <f>IF(DH243="NM","NM",IF(DM243="NM","NM",IF(DH243&lt;=0,"NM",IF(DM243=0,"NM",IF(ABS(DM243/DH243-1)&gt;2.5,"NM",IF((ABS(DM243-DH243)=ABS(ABS(DM243)-ABS(DH243))),(DM243/DH243-1),"NM"))))))</f>
      </c>
      <c r="DN249" s="926">
        <f>IF(DI243=0, "NM", DN243/DI243-1)</f>
      </c>
      <c r="DO249" s="1060">
        <f>IF(DJ243=0, "NM", DO243/DJ243-1)</f>
      </c>
      <c r="DP249" s="926">
        <f>IF(DK243=0, "NA", DP243/DK243-1)</f>
      </c>
      <c r="DQ249" s="30">
        <f>IF(DL243="NM","NM",IF(DQ243="NM","NM",IF(DL243&lt;=0,"NM",IF(DQ243=0,"NM",IF(ABS(DQ243/DL243-1)&gt;2.5,"NM",IF((ABS(DQ243-DL243)=ABS(ABS(DQ243)-ABS(DL243))),(DQ243/DL243-1),"NM"))))))</f>
      </c>
      <c r="DR249" s="30">
        <f>IF(DM243="NM","NM",IF(DR243="NM","NM",IF(DM243&lt;=0,"NM",IF(DR243=0,"NM",IF(ABS(DR243/DM243-1)&gt;2.5,"NM",IF((ABS(DR243-DM243)=ABS(ABS(DR243)-ABS(DM243))),(DR243/DM243-1),"NM"))))))</f>
      </c>
      <c r="DS249" s="30">
        <f>IF(DN243="NM","NM",IF(DS243="NM","NM",IF(DN243&lt;=0,"NM",IF(DS243=0,"NM",IF(ABS(DS243/DN243-1)&gt;2.5,"NM",IF((ABS(DS243-DN243)=ABS(ABS(DS243)-ABS(DN243))),(DS243/DN243-1),"NM"))))))</f>
      </c>
      <c r="DT249" s="1060">
        <f>IF(DO243=0, "NM", DT243/DO243-1)</f>
      </c>
      <c r="DU249" s="926">
        <f>IF(DP243=0, "NA", DU243/DP243-1)</f>
      </c>
      <c r="DV249" s="926">
        <f>IF(DQ243=0, "NA", DV243/DQ243-1)</f>
      </c>
      <c r="DW249" s="926">
        <f>IF(DR243=0, "NA", DW243/DR243-1)</f>
      </c>
      <c r="DX249" s="926">
        <f>IF(DS243=0, "NA", DX243/DS243-1)</f>
      </c>
      <c r="DY249" s="1060">
        <f>IF(DT243=0, "NM", DY243/DT243-1)</f>
      </c>
      <c r="DZ249" s="926">
        <f>IF(DU243=0, "NA", DZ243/DU243-1)</f>
      </c>
      <c r="EA249" s="926">
        <f>IF(DV243=0, "NA", EA243/DV243-1)</f>
      </c>
      <c r="EB249" s="926">
        <f>IF(DW243=0, "NA", EB243/DW243-1)</f>
      </c>
      <c r="EC249" s="926">
        <f>IF(DX243=0, "NM", EC243/DX243-1)</f>
      </c>
      <c r="ED249" s="1060">
        <f>IF(DY243=0, "NM", ED243/DY243-1)</f>
      </c>
      <c r="EE249" s="926">
        <f>IF(DZ243=0, "NA", EE243/DZ243-1)</f>
      </c>
      <c r="EF249" s="926">
        <f>IF(EA243=0, "NA", EF243/EA243-1)</f>
      </c>
      <c r="EG249" s="926">
        <f>IF(EB243=0, "NA", EG243/EB243-1)</f>
      </c>
      <c r="EH249" s="926">
        <f t="shared" ref="EH249" si="670">IF(EC243=0, "NA", EH243/EC243-1)</f>
      </c>
      <c r="EI249" s="1060">
        <f>IF(ED243=0, "NM", EI243/ED243-1)</f>
      </c>
      <c r="EJ249" s="1060">
        <f t="shared" si="665"/>
      </c>
      <c r="EK249" s="1060">
        <f t="shared" si="666"/>
      </c>
      <c r="EL249" s="1060">
        <f t="shared" si="667"/>
      </c>
      <c r="EM249" s="1060">
        <f t="shared" si="668"/>
      </c>
      <c r="EN249" s="1060">
        <f t="shared" si="669"/>
      </c>
      <c r="EO249" s="308">
        <f>IF(EN243=0, "NA", EO243/EN243-1)</f>
      </c>
      <c r="EP249" s="928">
        <f t="shared" ref="EP249:EV249" si="671">IF(EO243=0, "NM", EP243/EO243-1)</f>
      </c>
      <c r="EQ249" s="928">
        <f t="shared" si="671"/>
      </c>
      <c r="ER249" s="928">
        <f t="shared" si="671"/>
      </c>
      <c r="ES249" s="928">
        <f t="shared" si="671"/>
      </c>
      <c r="ET249" s="928">
        <f t="shared" si="671"/>
      </c>
      <c r="EU249" s="928">
        <f t="shared" si="671"/>
      </c>
      <c r="EV249" s="928">
        <f t="shared" si="671"/>
      </c>
      <c r="EW249" s="928"/>
      <c r="EX249" s="928"/>
    </row>
    <row r="250" spans="1:154" ht="12.75" customHeight="1">
      <c r="B250" s="912"/>
      <c r="C250" s="1989"/>
      <c r="D250" s="28"/>
      <c r="E250" s="28"/>
      <c r="F250" s="28"/>
      <c r="G250" s="28"/>
      <c r="H250" s="28"/>
      <c r="I250" s="31"/>
      <c r="J250" s="28"/>
      <c r="K250" s="28"/>
      <c r="L250" s="28"/>
      <c r="M250" s="28"/>
      <c r="N250" s="31"/>
      <c r="O250" s="31"/>
      <c r="P250" s="31"/>
      <c r="Q250" s="31"/>
      <c r="R250" s="31"/>
      <c r="S250" s="31"/>
      <c r="T250" s="31"/>
      <c r="U250" s="31"/>
      <c r="V250" s="31"/>
      <c r="W250" s="31"/>
      <c r="X250" s="308"/>
      <c r="Y250" s="31"/>
      <c r="Z250" s="31"/>
      <c r="AA250" s="31"/>
      <c r="AB250" s="31"/>
      <c r="AC250" s="308"/>
      <c r="AD250" s="31"/>
      <c r="AE250" s="31"/>
      <c r="AF250" s="31"/>
      <c r="AG250" s="31"/>
      <c r="AH250" s="308"/>
      <c r="AI250" s="28"/>
      <c r="AJ250" s="28"/>
      <c r="AK250" s="28"/>
      <c r="AL250" s="31"/>
      <c r="AM250" s="308"/>
      <c r="AN250" s="28"/>
      <c r="AO250" s="28"/>
      <c r="AP250" s="28"/>
      <c r="AQ250" s="31"/>
      <c r="AR250" s="308"/>
      <c r="AS250" s="28"/>
      <c r="AT250" s="28"/>
      <c r="AU250" s="28"/>
      <c r="AV250" s="28"/>
      <c r="AW250" s="308"/>
      <c r="AX250" s="28"/>
      <c r="AY250" s="28"/>
      <c r="AZ250" s="28"/>
      <c r="BA250" s="28"/>
      <c r="BB250" s="308"/>
      <c r="BC250" s="30"/>
      <c r="BD250" s="30"/>
      <c r="BE250" s="30"/>
      <c r="BF250" s="30"/>
      <c r="BG250" s="308"/>
      <c r="BH250" s="30"/>
      <c r="BI250" s="30"/>
      <c r="BJ250" s="30"/>
      <c r="BK250" s="30"/>
      <c r="BL250" s="308"/>
      <c r="BM250" s="30"/>
      <c r="BN250" s="30"/>
      <c r="BO250" s="30"/>
      <c r="BP250" s="30"/>
      <c r="BQ250" s="308"/>
      <c r="BR250" s="30"/>
      <c r="BS250" s="30"/>
      <c r="BT250" s="30"/>
      <c r="BU250" s="30"/>
      <c r="BV250" s="308"/>
      <c r="BW250" s="30"/>
      <c r="BX250" s="30"/>
      <c r="BY250" s="30"/>
      <c r="BZ250" s="30"/>
      <c r="CA250" s="308"/>
      <c r="CB250" s="30"/>
      <c r="CC250" s="30"/>
      <c r="CD250" s="30"/>
      <c r="CE250" s="30"/>
      <c r="CF250" s="308"/>
      <c r="CG250" s="30"/>
      <c r="CH250" s="30"/>
      <c r="CI250" s="30"/>
      <c r="CJ250" s="30"/>
      <c r="CK250" s="308"/>
      <c r="CL250" s="926"/>
      <c r="CM250" s="926"/>
      <c r="CN250" s="926"/>
      <c r="CO250" s="30"/>
      <c r="CP250" s="308"/>
      <c r="CQ250" s="926"/>
      <c r="CR250" s="926"/>
      <c r="CS250" s="926"/>
      <c r="CT250" s="926"/>
      <c r="CU250" s="308"/>
      <c r="CV250" s="926"/>
      <c r="CW250" s="926"/>
      <c r="CX250" s="926"/>
      <c r="CY250" s="926"/>
      <c r="CZ250" s="308"/>
      <c r="DA250" s="926"/>
      <c r="DB250" s="30"/>
      <c r="DC250" s="30"/>
      <c r="DD250" s="409"/>
      <c r="DE250" s="1233"/>
      <c r="DF250" s="1219"/>
      <c r="DG250" s="1361"/>
      <c r="DH250" s="1361"/>
      <c r="DI250" s="409"/>
      <c r="DJ250" s="308"/>
      <c r="DK250" s="830"/>
      <c r="DL250" s="30"/>
      <c r="DM250" s="30"/>
      <c r="DN250" s="409"/>
      <c r="DO250" s="308"/>
      <c r="DP250" s="41"/>
      <c r="DQ250" s="30"/>
      <c r="DR250" s="30"/>
      <c r="DS250" s="409"/>
      <c r="DT250" s="308"/>
      <c r="DU250" s="41"/>
      <c r="DV250" s="30"/>
      <c r="DW250" s="30"/>
      <c r="DX250" s="409"/>
      <c r="DY250" s="308"/>
      <c r="DZ250" s="30"/>
      <c r="EA250" s="926"/>
      <c r="EB250" s="926"/>
      <c r="EC250" s="928"/>
      <c r="ED250" s="1060"/>
      <c r="EE250" s="30"/>
      <c r="EF250" s="926"/>
      <c r="EG250" s="926"/>
      <c r="EH250" s="928"/>
      <c r="EI250" s="308"/>
      <c r="EJ250" s="409"/>
      <c r="EK250" s="409"/>
      <c r="EL250" s="409"/>
      <c r="EM250" s="409"/>
      <c r="EN250" s="308"/>
      <c r="EO250" s="409"/>
      <c r="EP250" s="409"/>
      <c r="EQ250" s="409"/>
      <c r="ER250" s="409"/>
      <c r="ES250" s="409"/>
      <c r="ET250" s="409"/>
      <c r="EU250" s="409"/>
      <c r="EV250" s="409"/>
      <c r="EW250" s="409"/>
      <c r="EX250" s="409"/>
    </row>
    <row r="251" spans="1:154" ht="12.75" customHeight="1">
      <c r="B251" s="1170" t="s">
        <v>507</v>
      </c>
      <c r="C251" s="1989"/>
      <c r="D251" s="28"/>
      <c r="E251" s="28"/>
      <c r="F251" s="28"/>
      <c r="G251" s="28"/>
      <c r="H251" s="28"/>
      <c r="I251" s="31"/>
      <c r="J251" s="28"/>
      <c r="K251" s="28"/>
      <c r="L251" s="28"/>
      <c r="M251" s="28"/>
      <c r="N251" s="31"/>
      <c r="O251" s="31"/>
      <c r="P251" s="31"/>
      <c r="Q251" s="31"/>
      <c r="R251" s="31"/>
      <c r="S251" s="31"/>
      <c r="T251" s="31"/>
      <c r="U251" s="31"/>
      <c r="V251" s="31"/>
      <c r="W251" s="31"/>
      <c r="X251" s="308"/>
      <c r="Y251" s="31"/>
      <c r="Z251" s="31"/>
      <c r="AA251" s="31"/>
      <c r="AB251" s="31"/>
      <c r="AC251" s="308"/>
      <c r="AD251" s="31"/>
      <c r="AE251" s="31"/>
      <c r="AF251" s="31"/>
      <c r="AG251" s="31"/>
      <c r="AH251" s="308"/>
      <c r="AI251" s="28"/>
      <c r="AJ251" s="28"/>
      <c r="AK251" s="28"/>
      <c r="AL251" s="31"/>
      <c r="AM251" s="308"/>
      <c r="AN251" s="28"/>
      <c r="AO251" s="28"/>
      <c r="AP251" s="28"/>
      <c r="AQ251" s="31"/>
      <c r="AR251" s="308"/>
      <c r="AS251" s="28"/>
      <c r="AT251" s="28"/>
      <c r="AU251" s="28"/>
      <c r="AV251" s="28"/>
      <c r="AW251" s="308"/>
      <c r="AX251" s="28"/>
      <c r="AY251" s="28"/>
      <c r="AZ251" s="28"/>
      <c r="BA251" s="28"/>
      <c r="BB251" s="308"/>
      <c r="BC251" s="30"/>
      <c r="BD251" s="30"/>
      <c r="BE251" s="30"/>
      <c r="BF251" s="30"/>
      <c r="BG251" s="308"/>
      <c r="BH251" s="30"/>
      <c r="BI251" s="30"/>
      <c r="BJ251" s="30"/>
      <c r="BK251" s="30"/>
      <c r="BL251" s="308"/>
      <c r="BM251" s="30"/>
      <c r="BN251" s="30"/>
      <c r="BO251" s="30"/>
      <c r="BP251" s="30"/>
      <c r="BQ251" s="308"/>
      <c r="BR251" s="30"/>
      <c r="BS251" s="30"/>
      <c r="BT251" s="30"/>
      <c r="BU251" s="30"/>
      <c r="BV251" s="308"/>
      <c r="BW251" s="30"/>
      <c r="BX251" s="30"/>
      <c r="BY251" s="30"/>
      <c r="BZ251" s="30"/>
      <c r="CA251" s="308"/>
      <c r="CB251" s="30"/>
      <c r="CC251" s="30"/>
      <c r="CD251" s="30"/>
      <c r="CE251" s="30"/>
      <c r="CF251" s="308"/>
      <c r="CG251" s="30"/>
      <c r="CH251" s="30"/>
      <c r="CI251" s="30"/>
      <c r="CJ251" s="30"/>
      <c r="CK251" s="308"/>
      <c r="CL251" s="926"/>
      <c r="CM251" s="926"/>
      <c r="CN251" s="926"/>
      <c r="CO251" s="30"/>
      <c r="CP251" s="308"/>
      <c r="CQ251" s="926"/>
      <c r="CR251" s="926"/>
      <c r="CS251" s="926"/>
      <c r="CT251" s="926"/>
      <c r="CU251" s="308"/>
      <c r="CV251" s="926"/>
      <c r="CW251" s="926"/>
      <c r="CX251" s="926"/>
      <c r="CY251" s="926"/>
      <c r="CZ251" s="308"/>
      <c r="DA251" s="926"/>
      <c r="DB251" s="30"/>
      <c r="DC251" s="30"/>
      <c r="DD251" s="409"/>
      <c r="DE251" s="1233"/>
      <c r="DF251" s="1219"/>
      <c r="DG251" s="1361"/>
      <c r="DH251" s="1361"/>
      <c r="DI251" s="409"/>
      <c r="DJ251" s="308"/>
      <c r="DK251" s="830"/>
      <c r="DL251" s="30"/>
      <c r="DM251" s="30"/>
      <c r="DN251" s="409"/>
      <c r="DO251" s="308"/>
      <c r="DP251" s="30"/>
      <c r="DQ251" s="30"/>
      <c r="DR251" s="30"/>
      <c r="DS251" s="409"/>
      <c r="DT251" s="308"/>
      <c r="DU251" s="926"/>
      <c r="DV251" s="926"/>
      <c r="DW251" s="926"/>
      <c r="DX251" s="928"/>
      <c r="DY251" s="308"/>
      <c r="DZ251" s="926"/>
      <c r="EA251" s="926"/>
      <c r="EB251" s="926"/>
      <c r="EC251" s="928"/>
      <c r="ED251" s="2736"/>
      <c r="EE251" s="926"/>
      <c r="EF251" s="926"/>
      <c r="EG251" s="926"/>
      <c r="EH251" s="928"/>
      <c r="EI251" s="308"/>
      <c r="EJ251" s="409"/>
      <c r="EK251" s="409"/>
      <c r="EL251" s="409"/>
      <c r="EM251" s="409"/>
      <c r="EN251" s="308"/>
      <c r="EO251" s="409"/>
      <c r="EP251" s="409"/>
      <c r="EQ251" s="409"/>
      <c r="ER251" s="409"/>
      <c r="ES251" s="409"/>
      <c r="ET251" s="409"/>
      <c r="EU251" s="409"/>
      <c r="EV251" s="409"/>
      <c r="EW251" s="409"/>
      <c r="EX251" s="409"/>
    </row>
    <row r="252" spans="1:154" ht="12.75" customHeight="1">
      <c r="B252" s="1171" t="s">
        <v>921</v>
      </c>
      <c r="C252" s="1989"/>
      <c r="D252" s="28"/>
      <c r="E252" s="28"/>
      <c r="F252" s="28"/>
      <c r="G252" s="28"/>
      <c r="H252" s="28"/>
      <c r="I252" s="31"/>
      <c r="J252" s="28"/>
      <c r="K252" s="28"/>
      <c r="L252" s="28"/>
      <c r="M252" s="28"/>
      <c r="N252" s="31"/>
      <c r="O252" s="31"/>
      <c r="P252" s="31"/>
      <c r="Q252" s="31"/>
      <c r="R252" s="31"/>
      <c r="S252" s="31"/>
      <c r="T252" s="31"/>
      <c r="U252" s="31"/>
      <c r="V252" s="31"/>
      <c r="W252" s="31"/>
      <c r="X252" s="308"/>
      <c r="Y252" s="31"/>
      <c r="Z252" s="31"/>
      <c r="AA252" s="31"/>
      <c r="AB252" s="31"/>
      <c r="AC252" s="308"/>
      <c r="AD252" s="31"/>
      <c r="AE252" s="31"/>
      <c r="AF252" s="31"/>
      <c r="AG252" s="31"/>
      <c r="AH252" s="308"/>
      <c r="AI252" s="28"/>
      <c r="AJ252" s="28"/>
      <c r="AK252" s="28"/>
      <c r="AL252" s="31"/>
      <c r="AM252" s="308"/>
      <c r="AN252" s="28"/>
      <c r="AO252" s="28"/>
      <c r="AP252" s="28"/>
      <c r="AQ252" s="31"/>
      <c r="AR252" s="308"/>
      <c r="AS252" s="28"/>
      <c r="AT252" s="28"/>
      <c r="AU252" s="28"/>
      <c r="AV252" s="28"/>
      <c r="AW252" s="308"/>
      <c r="AX252" s="28"/>
      <c r="AY252" s="28"/>
      <c r="AZ252" s="28"/>
      <c r="BA252" s="28"/>
      <c r="BB252" s="308"/>
      <c r="BC252" s="30"/>
      <c r="BD252" s="30"/>
      <c r="BE252" s="30"/>
      <c r="BF252" s="30"/>
      <c r="BG252" s="308"/>
      <c r="BH252" s="30"/>
      <c r="BI252" s="30"/>
      <c r="BJ252" s="30"/>
      <c r="BK252" s="30"/>
      <c r="BL252" s="308"/>
      <c r="BM252" s="663">
        <f>BM191-BM202-BM203-BM219-BM230</f>
      </c>
      <c r="BN252" s="663">
        <f>BN191-BN202-BN203-BN219-BN230</f>
      </c>
      <c r="BO252" s="663">
        <f>BO191-BO202-BO203-BO219-BO230</f>
      </c>
      <c r="BP252" s="663">
        <f>BP191-BP202-BP203-BP219-BP230</f>
      </c>
      <c r="BQ252" s="298">
        <f>SUM(BM252:BP252)</f>
      </c>
      <c r="BR252" s="465">
        <f>+BR191-BR202-BR203-BR219-BR230</f>
      </c>
      <c r="BS252" s="465">
        <f>+BS191-BS202-BS203-BS219-BS230</f>
      </c>
      <c r="BT252" s="465">
        <f>+BT191-BT202-BT203-BT219-BT230</f>
      </c>
      <c r="BU252" s="465">
        <f>+BU191-BU202-BU203-BU219-BU230</f>
      </c>
      <c r="BV252" s="298">
        <f>SUM(BR252:BU252)</f>
      </c>
      <c r="BW252" s="465">
        <f>+BW191-BW202-BW203-BW219-BW230</f>
      </c>
      <c r="BX252" s="465">
        <f>+BX191-BX202-BX203-BX219-BX230</f>
      </c>
      <c r="BY252" s="465">
        <f>+BY191-BY202-BY203-BY219-BY230</f>
      </c>
      <c r="BZ252" s="465">
        <f>+BZ191-BZ202-BZ203-BZ219-BZ230</f>
      </c>
      <c r="CA252" s="298">
        <f>SUM(BW252:BZ252)</f>
      </c>
      <c r="CB252" s="465">
        <f>+CB191-CB202-CB203-CB219-CB230</f>
      </c>
      <c r="CC252" s="465">
        <f>+CC191-CC202-CC203-CC219-CC230</f>
      </c>
      <c r="CD252" s="465">
        <f>+CD191-CD202-CD203-CD219-CD230</f>
      </c>
      <c r="CE252" s="663">
        <v>0</v>
      </c>
      <c r="CF252" s="298">
        <f>SUM(CB252:CE252)</f>
      </c>
      <c r="CG252" s="465">
        <f>+CG191-CG202-CG203-CG219-CG230</f>
      </c>
      <c r="CH252" s="465">
        <f>+CH191-CH202-CH203-CH219-CH230</f>
      </c>
      <c r="CI252" s="465">
        <f>+CI191-CI202-CI203-CI219-CI230</f>
      </c>
      <c r="CJ252" s="465">
        <f>+CJ191-CJ202-CJ203-CJ219-CJ230</f>
      </c>
      <c r="CK252" s="298">
        <f>SUM(CG252:CJ252)</f>
      </c>
      <c r="CL252" s="465">
        <f>+CL191-CL202-CL203-CL219-CL230</f>
      </c>
      <c r="CM252" s="465">
        <f>+CM191-CM202-CM203-CM219-CM230</f>
      </c>
      <c r="CN252" s="465">
        <f>+CN191-CN202-CN203-CN219-CN230</f>
      </c>
      <c r="CO252" s="1355">
        <f>+CO191-CO202-CO203-CO219-CO230</f>
      </c>
      <c r="CP252" s="298">
        <f>SUM(CL252:CO252)</f>
      </c>
      <c r="CQ252" s="465">
        <f>+CQ191-CQ202-CQ203-CQ219-CQ230</f>
      </c>
      <c r="CR252" s="465">
        <f>+CR191-CR202-CR203-CR219-CR230</f>
      </c>
      <c r="CS252" s="465">
        <f>+CS191-CS202-CS203-CS219-CS230-CS241</f>
      </c>
      <c r="CT252" s="465">
        <f>+CT191-CT202-CT203-CT219-CT230-CT241</f>
      </c>
      <c r="CU252" s="298">
        <f>SUM(CQ252:CT252)</f>
      </c>
      <c r="CV252" s="465">
        <f>+CV191-CV202-CV203-CV219-CV230-CV241</f>
      </c>
      <c r="CW252" s="465">
        <f>+CW191-CW202-CW203-CW219-CW230-CW241</f>
      </c>
      <c r="CX252" s="465">
        <f>+CX191-CX202-CX203-CX219-CX230-CX241</f>
      </c>
      <c r="CY252" s="465">
        <f>+CY191-CY202-CY203-CY219-CY230-CY241</f>
      </c>
      <c r="CZ252" s="298">
        <f>SUM(CV252:CY252)</f>
      </c>
      <c r="DA252" s="465">
        <v>0</v>
      </c>
      <c r="DB252" s="36">
        <v>0</v>
      </c>
      <c r="DC252" s="36">
        <v>0</v>
      </c>
      <c r="DD252" s="984">
        <v>0</v>
      </c>
      <c r="DE252" s="1734">
        <v>0</v>
      </c>
      <c r="DF252" s="1537">
        <f>+DF191-DF202-DF203-DF219-DF230-DF241</f>
      </c>
      <c r="DG252" s="1537">
        <f>+DG191-DG202-DG203-DG219-DG230-DG241</f>
      </c>
      <c r="DH252" s="1537">
        <f>+DH191-DH202-DH203-DH219-DH230-DH241</f>
      </c>
      <c r="DI252" s="1537">
        <f>+DI191-DI202-DI203-DI219-DI230-DI241</f>
      </c>
      <c r="DJ252" s="1717">
        <f>SUM(DF252:DI252)</f>
      </c>
      <c r="DK252" s="1537">
        <f>+DK191-DK202-DK203-DK219-DK230-DK241</f>
      </c>
      <c r="DL252" s="1355">
        <f>+DL191-DL202-DL203-DL219-DL230-DL241</f>
      </c>
      <c r="DM252" s="1537">
        <f>+DM191-DM202-DM203-DM219-DM230-DM241</f>
      </c>
      <c r="DN252" s="1537">
        <f>+DN191-DN202-DN203-DN219-DN230-DN241</f>
      </c>
      <c r="DO252" s="1717">
        <f>SUM(DK252:DN252)</f>
      </c>
      <c r="DP252" s="1846">
        <f>+DP191-DP202-DP203-DP219-DP230-DP241</f>
      </c>
      <c r="DQ252" s="1718">
        <f>+DQ191-DQ202-DQ203-DQ219-DQ230-DQ241</f>
      </c>
      <c r="DR252" s="1840">
        <f>+DR191-DR202-DR203-DR219-DR230-DR241</f>
      </c>
      <c r="DS252" s="1840">
        <f>+DS191-DS202-DS203-DS219-DS230-DS241</f>
      </c>
      <c r="DT252" s="1717">
        <f>SUM(DP252:DS252)</f>
      </c>
      <c r="DU252" s="1509">
        <v>3</v>
      </c>
      <c r="DV252" s="1509">
        <v>3.1999999999998181</v>
      </c>
      <c r="DW252" s="1509">
        <v>3</v>
      </c>
      <c r="DX252" s="1514">
        <v>2</v>
      </c>
      <c r="DY252" s="1717">
        <f>SUM(DU252:DX252)</f>
      </c>
      <c r="DZ252" s="1509">
        <v>0</v>
      </c>
      <c r="EA252" s="1512">
        <v>2</v>
      </c>
      <c r="EB252" s="1512">
        <v>1</v>
      </c>
      <c r="EC252" s="1514">
        <v>0</v>
      </c>
      <c r="ED252" s="1717">
        <f>SUM(DZ252:EC252)</f>
      </c>
      <c r="EE252" s="1509">
        <v>1</v>
      </c>
      <c r="EF252" s="1512">
        <v>8</v>
      </c>
      <c r="EG252" s="1512">
        <v>12</v>
      </c>
      <c r="EH252" s="1514">
        <v>0</v>
      </c>
      <c r="EI252" s="2585">
        <f>SUM(EE252:EH252)</f>
      </c>
      <c r="EJ252" s="2585">
        <v>0</v>
      </c>
      <c r="EK252" s="2585">
        <v>0</v>
      </c>
      <c r="EL252" s="2585">
        <v>0</v>
      </c>
      <c r="EM252" s="2585">
        <v>0</v>
      </c>
      <c r="EN252" s="2585">
        <v>0</v>
      </c>
      <c r="EO252" s="2585">
        <v>0</v>
      </c>
      <c r="EP252" s="2585">
        <v>0</v>
      </c>
      <c r="EQ252" s="2585">
        <v>0</v>
      </c>
      <c r="ER252" s="2585">
        <v>0</v>
      </c>
      <c r="ES252" s="2585">
        <v>0</v>
      </c>
      <c r="ET252" s="1845"/>
      <c r="EU252" s="1845"/>
      <c r="EV252" s="1845"/>
      <c r="EW252" s="1845"/>
      <c r="EX252" s="1845"/>
    </row>
    <row r="253" spans="1:154" ht="12.75" customHeight="1">
      <c r="B253" s="1171" t="s">
        <v>412</v>
      </c>
      <c r="C253" s="1989"/>
      <c r="D253" s="28"/>
      <c r="E253" s="28"/>
      <c r="F253" s="28"/>
      <c r="G253" s="28"/>
      <c r="H253" s="28"/>
      <c r="I253" s="31"/>
      <c r="J253" s="28"/>
      <c r="K253" s="28"/>
      <c r="L253" s="28"/>
      <c r="M253" s="28"/>
      <c r="N253" s="31"/>
      <c r="O253" s="31"/>
      <c r="P253" s="31"/>
      <c r="Q253" s="31"/>
      <c r="R253" s="31"/>
      <c r="S253" s="31"/>
      <c r="T253" s="31"/>
      <c r="U253" s="31"/>
      <c r="V253" s="31"/>
      <c r="W253" s="31"/>
      <c r="X253" s="308"/>
      <c r="Y253" s="31"/>
      <c r="Z253" s="31"/>
      <c r="AA253" s="31"/>
      <c r="AB253" s="31"/>
      <c r="AC253" s="308"/>
      <c r="AD253" s="31"/>
      <c r="AE253" s="31"/>
      <c r="AF253" s="31"/>
      <c r="AG253" s="31"/>
      <c r="AH253" s="308"/>
      <c r="AI253" s="28"/>
      <c r="AJ253" s="28"/>
      <c r="AK253" s="28"/>
      <c r="AL253" s="31"/>
      <c r="AM253" s="308"/>
      <c r="AN253" s="28"/>
      <c r="AO253" s="28"/>
      <c r="AP253" s="28"/>
      <c r="AQ253" s="31"/>
      <c r="AR253" s="308"/>
      <c r="AS253" s="28"/>
      <c r="AT253" s="28"/>
      <c r="AU253" s="28"/>
      <c r="AV253" s="28"/>
      <c r="AW253" s="308"/>
      <c r="AX253" s="28"/>
      <c r="AY253" s="28"/>
      <c r="AZ253" s="28"/>
      <c r="BA253" s="28"/>
      <c r="BB253" s="308"/>
      <c r="BC253" s="30"/>
      <c r="BD253" s="30"/>
      <c r="BE253" s="30"/>
      <c r="BF253" s="30"/>
      <c r="BG253" s="308"/>
      <c r="BH253" s="30"/>
      <c r="BI253" s="30"/>
      <c r="BJ253" s="30"/>
      <c r="BK253" s="30"/>
      <c r="BL253" s="308"/>
      <c r="BM253" s="647">
        <f t="shared" ref="BM253:BP254" si="672">BM192-BM204-BM220-BM231</f>
      </c>
      <c r="BN253" s="647">
        <f t="shared" si="672"/>
      </c>
      <c r="BO253" s="647">
        <f t="shared" si="672"/>
      </c>
      <c r="BP253" s="647">
        <f t="shared" si="672"/>
      </c>
      <c r="BQ253" s="312">
        <f>SUM(BM253:BP253)</f>
      </c>
      <c r="BR253" s="447">
        <f t="shared" ref="BR253:BU254" si="673">BR192-BR204-BR220-BR231</f>
      </c>
      <c r="BS253" s="447">
        <f t="shared" si="673"/>
      </c>
      <c r="BT253" s="447">
        <f t="shared" si="673"/>
      </c>
      <c r="BU253" s="447">
        <f t="shared" si="673"/>
      </c>
      <c r="BV253" s="312">
        <f>SUM(BR253:BU253)</f>
      </c>
      <c r="BW253" s="447">
        <f>BW192-BW204-BW220-BW231</f>
      </c>
      <c r="BX253" s="447">
        <f>BX192-BX204-BX220-BX231</f>
      </c>
      <c r="BY253" s="447">
        <f>BY192-BY204-BY220-BY231</f>
      </c>
      <c r="BZ253" s="28">
        <f>BZ192-BZ204-BZ220-BZ231</f>
      </c>
      <c r="CA253" s="312">
        <f>SUM(BW253:BZ253)</f>
      </c>
      <c r="CB253" s="447">
        <f>CB192-CB204-CB220-CB231</f>
      </c>
      <c r="CC253" s="447">
        <f>CC192-CC204-CC220-CC231</f>
      </c>
      <c r="CD253" s="447">
        <f>CD192-CD204-CD220-CD231</f>
      </c>
      <c r="CE253" s="28">
        <f>CE192-CE204-CE220-CE231</f>
      </c>
      <c r="CF253" s="312">
        <f>SUM(CB253:CE253)</f>
      </c>
      <c r="CG253" s="447">
        <f>CG192-CG204-CG220-CG231</f>
      </c>
      <c r="CH253" s="447">
        <f>CH192-CH204-CH220-CH231</f>
      </c>
      <c r="CI253" s="447">
        <f>CI192-CI204-CI220-CI231</f>
      </c>
      <c r="CJ253" s="447">
        <f>CJ192-CJ204-CJ220-CJ231</f>
      </c>
      <c r="CK253" s="312">
        <f>SUM(CG253:CJ253)</f>
      </c>
      <c r="CL253" s="447">
        <f>CL192-CL204-CL220-CL231</f>
      </c>
      <c r="CM253" s="447">
        <f>CM192-CM204-CM220-CM231</f>
      </c>
      <c r="CN253" s="447">
        <f>CN192-CN204-CN220-CN231</f>
      </c>
      <c r="CO253" s="1396">
        <f>CO192-CO204-CO220-CO231</f>
      </c>
      <c r="CP253" s="312">
        <f>SUM(CL253:CO253)</f>
      </c>
      <c r="CQ253" s="447">
        <f>CQ192-CQ204-CQ220-CQ231</f>
      </c>
      <c r="CR253" s="447">
        <f>CR192-CR204-CR220-CR231</f>
      </c>
      <c r="CS253" s="447">
        <f>CS192-CS204-CS220-CS231-CS242</f>
      </c>
      <c r="CT253" s="447">
        <f>CT192-CT204-CT220-CT231-CT242</f>
      </c>
      <c r="CU253" s="312">
        <f>SUM(CQ253:CT253)</f>
      </c>
      <c r="CV253" s="447">
        <f>CV192-CV204-CV220-CV231-CV242</f>
      </c>
      <c r="CW253" s="447">
        <f>CW192-CW204-CW220-CW231-CW242</f>
      </c>
      <c r="CX253" s="447">
        <f>CX192-CX204-CX220-CX231-CX242</f>
      </c>
      <c r="CY253" s="447">
        <f>CY192-CY204-CY220-CY231-CY242</f>
      </c>
      <c r="CZ253" s="312">
        <f>SUM(CV253:CY253)</f>
      </c>
      <c r="DA253" s="447">
        <f>DA192-DA204-DA220-DA231-DA242</f>
      </c>
      <c r="DB253" s="36">
        <v>3</v>
      </c>
      <c r="DC253" s="36">
        <v>2</v>
      </c>
      <c r="DD253" s="984">
        <v>2</v>
      </c>
      <c r="DE253" s="1830">
        <f>SUM(DA253:DD253)</f>
      </c>
      <c r="DF253" s="1537">
        <f>DF192-DF204-DF220-DF231-DF242</f>
      </c>
      <c r="DG253" s="1537">
        <f>DG192-DG204-DG220-DG231-DG242</f>
      </c>
      <c r="DH253" s="1537">
        <f>DH192-DH204-DH220-DH231-DH242</f>
      </c>
      <c r="DI253" s="1537">
        <f>DI192-DI204-DI220-DI231-DI242</f>
      </c>
      <c r="DJ253" s="1717">
        <f>SUM(DF253:DI253)</f>
      </c>
      <c r="DK253" s="1537">
        <f>DK192-DK204-DK220-DK231-DK242</f>
      </c>
      <c r="DL253" s="1355">
        <f>DL192-DL204-DL220-DL231-DL242</f>
      </c>
      <c r="DM253" s="1537">
        <f>DM192-DM204-DM220-DM231-DM242</f>
      </c>
      <c r="DN253" s="1537">
        <f>DN192-DN204-DN220-DN231-DN242</f>
      </c>
      <c r="DO253" s="1717">
        <f>SUM(DK253:DN253)</f>
      </c>
      <c r="DP253" s="1846">
        <f>DP192-DP204-DP220-DP231-DP242</f>
      </c>
      <c r="DQ253" s="1718">
        <f>DQ192-DQ204-DQ220-DQ231-DQ242</f>
      </c>
      <c r="DR253" s="1840">
        <f>DR192-DR204-DR220-DR231-DR242</f>
      </c>
      <c r="DS253" s="1840">
        <f>DS192-DS204-DS220-DS231-DS242</f>
      </c>
      <c r="DT253" s="1717">
        <f>SUM(DP253:DS253)</f>
      </c>
      <c r="DU253" s="1509">
        <v>1</v>
      </c>
      <c r="DV253" s="1509">
        <v>-9.9999999999909051E-2</v>
      </c>
      <c r="DW253" s="1509">
        <v>0.49999999999988631</v>
      </c>
      <c r="DX253" s="1514">
        <v>0</v>
      </c>
      <c r="DY253" s="1717">
        <f>SUM(DU253:DX253)</f>
      </c>
      <c r="DZ253" s="1509">
        <v>0</v>
      </c>
      <c r="EA253" s="1512">
        <v>0</v>
      </c>
      <c r="EB253" s="1512">
        <v>0</v>
      </c>
      <c r="EC253" s="1514">
        <v>0</v>
      </c>
      <c r="ED253" s="1717">
        <f>SUM(DZ253:EC253)</f>
      </c>
      <c r="EE253" s="1509">
        <v>0</v>
      </c>
      <c r="EF253" s="1512">
        <v>0</v>
      </c>
      <c r="EG253" s="1512">
        <v>0</v>
      </c>
      <c r="EH253" s="1514">
        <v>0</v>
      </c>
      <c r="EI253" s="2585">
        <f t="shared" ref="EI253" si="674">SUM(EE253:EH253)</f>
      </c>
      <c r="EJ253" s="2585">
        <v>0</v>
      </c>
      <c r="EK253" s="2585">
        <v>0</v>
      </c>
      <c r="EL253" s="2585">
        <v>0</v>
      </c>
      <c r="EM253" s="2585">
        <v>0</v>
      </c>
      <c r="EN253" s="2585">
        <v>0</v>
      </c>
      <c r="EO253" s="2585">
        <v>0</v>
      </c>
      <c r="EP253" s="2585">
        <v>0</v>
      </c>
      <c r="EQ253" s="2585">
        <v>0</v>
      </c>
      <c r="ER253" s="2585">
        <v>0</v>
      </c>
      <c r="ES253" s="2585">
        <v>0</v>
      </c>
      <c r="ET253" s="1845"/>
      <c r="EU253" s="1845"/>
      <c r="EV253" s="1845"/>
      <c r="EW253" s="1845"/>
      <c r="EX253" s="1845"/>
    </row>
    <row r="254" spans="1:154" ht="12.75" customHeight="1">
      <c r="B254" s="1171" t="s">
        <v>413</v>
      </c>
      <c r="C254" s="1989"/>
      <c r="D254" s="28"/>
      <c r="E254" s="28"/>
      <c r="F254" s="28"/>
      <c r="G254" s="28"/>
      <c r="H254" s="28"/>
      <c r="I254" s="31"/>
      <c r="J254" s="28"/>
      <c r="K254" s="28"/>
      <c r="L254" s="28"/>
      <c r="M254" s="28"/>
      <c r="N254" s="31"/>
      <c r="O254" s="31"/>
      <c r="P254" s="31"/>
      <c r="Q254" s="31"/>
      <c r="R254" s="31"/>
      <c r="S254" s="31"/>
      <c r="T254" s="31"/>
      <c r="U254" s="31"/>
      <c r="V254" s="31"/>
      <c r="W254" s="31"/>
      <c r="X254" s="308"/>
      <c r="Y254" s="31"/>
      <c r="Z254" s="31"/>
      <c r="AA254" s="31"/>
      <c r="AB254" s="31"/>
      <c r="AC254" s="308"/>
      <c r="AD254" s="31"/>
      <c r="AE254" s="31"/>
      <c r="AF254" s="31"/>
      <c r="AG254" s="31"/>
      <c r="AH254" s="308"/>
      <c r="AI254" s="28"/>
      <c r="AJ254" s="28"/>
      <c r="AK254" s="28"/>
      <c r="AL254" s="31"/>
      <c r="AM254" s="308"/>
      <c r="AN254" s="28"/>
      <c r="AO254" s="28"/>
      <c r="AP254" s="28"/>
      <c r="AQ254" s="31"/>
      <c r="AR254" s="308"/>
      <c r="AS254" s="28"/>
      <c r="AT254" s="28"/>
      <c r="AU254" s="28"/>
      <c r="AV254" s="28"/>
      <c r="AW254" s="308"/>
      <c r="AX254" s="28"/>
      <c r="AY254" s="28"/>
      <c r="AZ254" s="28"/>
      <c r="BA254" s="28"/>
      <c r="BB254" s="308"/>
      <c r="BC254" s="30"/>
      <c r="BD254" s="30"/>
      <c r="BE254" s="30"/>
      <c r="BF254" s="30"/>
      <c r="BG254" s="308"/>
      <c r="BH254" s="30"/>
      <c r="BI254" s="30"/>
      <c r="BJ254" s="30"/>
      <c r="BK254" s="30"/>
      <c r="BL254" s="308"/>
      <c r="BM254" s="447">
        <f t="shared" si="672"/>
      </c>
      <c r="BN254" s="447">
        <f t="shared" si="672"/>
      </c>
      <c r="BO254" s="447">
        <f t="shared" si="672"/>
      </c>
      <c r="BP254" s="447">
        <f t="shared" si="672"/>
      </c>
      <c r="BQ254" s="312">
        <f>BQ253+BQ252</f>
      </c>
      <c r="BR254" s="447">
        <f t="shared" si="673"/>
      </c>
      <c r="BS254" s="447">
        <f t="shared" si="673"/>
      </c>
      <c r="BT254" s="447">
        <f t="shared" si="673"/>
      </c>
      <c r="BU254" s="447">
        <f t="shared" si="673"/>
      </c>
      <c r="BV254" s="312">
        <f>BV253+BV252</f>
      </c>
      <c r="BW254" s="28">
        <f>SUM(BW252:BW253)</f>
      </c>
      <c r="BX254" s="28">
        <f>SUM(BX252:BX253)</f>
      </c>
      <c r="BY254" s="28">
        <f>SUM(BY252:BY253)</f>
      </c>
      <c r="BZ254" s="28">
        <f>SUM(BZ252:BZ253)</f>
      </c>
      <c r="CA254" s="312">
        <f>SUM(BW254:BZ254)</f>
      </c>
      <c r="CB254" s="28">
        <f>SUM(CB252:CB253)</f>
      </c>
      <c r="CC254" s="28">
        <f>SUM(CC252:CC253)</f>
      </c>
      <c r="CD254" s="28">
        <f>SUM(CD252:CD253)</f>
      </c>
      <c r="CE254" s="28">
        <f>SUM(CE252:CE253)</f>
      </c>
      <c r="CF254" s="312">
        <f>SUM(CB254:CE254)</f>
      </c>
      <c r="CG254" s="28">
        <f>SUM(CG252:CG253)</f>
      </c>
      <c r="CH254" s="28">
        <f>SUM(CH252:CH253)</f>
      </c>
      <c r="CI254" s="28">
        <f>SUM(CI252:CI253)</f>
      </c>
      <c r="CJ254" s="28">
        <f>SUM(CJ252:CJ253)</f>
      </c>
      <c r="CK254" s="312">
        <f>SUM(CG254:CJ254)</f>
      </c>
      <c r="CL254" s="28">
        <f>SUM(CL252:CL253)</f>
      </c>
      <c r="CM254" s="28">
        <f>SUM(CM252:CM253)</f>
      </c>
      <c r="CN254" s="28">
        <f>SUM(CN252:CN253)</f>
      </c>
      <c r="CO254" s="28">
        <f>SUM(CO252:CO253)</f>
      </c>
      <c r="CP254" s="312">
        <f>SUM(CL254:CO254)</f>
      </c>
      <c r="CQ254" s="933">
        <f>SUM(CQ252:CQ253)</f>
      </c>
      <c r="CR254" s="933">
        <f>SUM(CR252:CR253)</f>
      </c>
      <c r="CS254" s="933">
        <f>SUM(CS252:CS253)</f>
      </c>
      <c r="CT254" s="933">
        <f>SUM(CT252:CT253)</f>
      </c>
      <c r="CU254" s="312">
        <f>SUM(CQ254:CT254)</f>
      </c>
      <c r="CV254" s="933">
        <f>SUM(CV252:CV253)</f>
      </c>
      <c r="CW254" s="933">
        <f>SUM(CW252:CW253)</f>
      </c>
      <c r="CX254" s="933">
        <f>SUM(CX252:CX253)</f>
      </c>
      <c r="CY254" s="933">
        <f>SUM(CY252:CY253)</f>
      </c>
      <c r="CZ254" s="312">
        <f>SUM(CV254:CY254)</f>
      </c>
      <c r="DA254" s="933">
        <f>SUM(DA252:DA253)</f>
      </c>
      <c r="DB254" s="36">
        <f>SUM(DB252:DB253)</f>
      </c>
      <c r="DC254" s="36">
        <f>SUM(DC252:DC253)</f>
      </c>
      <c r="DD254" s="984">
        <f>+DD252+DD253</f>
      </c>
      <c r="DE254" s="1830">
        <f>DE253+DE252</f>
      </c>
      <c r="DF254" s="1537">
        <f>SUM(DF252:DF253)</f>
      </c>
      <c r="DG254" s="1537">
        <f>DG253+DG252</f>
      </c>
      <c r="DH254" s="1537">
        <f>DH253+DH252</f>
      </c>
      <c r="DI254" s="1537">
        <f>DI253+DI252</f>
      </c>
      <c r="DJ254" s="1717">
        <f>SUM(DF254:DI254)</f>
      </c>
      <c r="DK254" s="1846">
        <f t="shared" ref="DK254:DP254" si="675">SUM(DK252:DK253)</f>
      </c>
      <c r="DL254" s="1718">
        <f t="shared" si="675"/>
      </c>
      <c r="DM254" s="1840">
        <f>DM253+DM252</f>
      </c>
      <c r="DN254" s="1840">
        <f>DN253+DN252</f>
      </c>
      <c r="DO254" s="1717">
        <f t="shared" si="675"/>
      </c>
      <c r="DP254" s="1846">
        <f t="shared" si="675"/>
      </c>
      <c r="DQ254" s="1718">
        <f>SUM(DQ252:DQ253)</f>
      </c>
      <c r="DR254" s="1840">
        <f>DR253+DR252</f>
      </c>
      <c r="DS254" s="1840">
        <f>DS253+DS252</f>
      </c>
      <c r="DT254" s="1717">
        <f t="shared" ref="DT254:EA254" si="676">SUM(DT252:DT253)</f>
      </c>
      <c r="DU254" s="1509">
        <f t="shared" si="676"/>
      </c>
      <c r="DV254" s="1509">
        <f t="shared" si="676"/>
      </c>
      <c r="DW254" s="1509">
        <f t="shared" si="676"/>
      </c>
      <c r="DX254" s="1514">
        <f t="shared" si="676"/>
      </c>
      <c r="DY254" s="1717">
        <f t="shared" si="676"/>
      </c>
      <c r="DZ254" s="1509">
        <f t="shared" si="676"/>
      </c>
      <c r="EA254" s="1509">
        <f t="shared" si="676"/>
      </c>
      <c r="EB254" s="1509">
        <f>SUM(EB252:EB253)</f>
      </c>
      <c r="EC254" s="1509">
        <f>SUM(EC252:EC253)</f>
      </c>
      <c r="ED254" s="1717">
        <f t="shared" ref="ED254:EF254" si="677">SUM(ED252:ED253)</f>
      </c>
      <c r="EE254" s="1509">
        <f t="shared" si="677"/>
      </c>
      <c r="EF254" s="1509">
        <f t="shared" si="677"/>
      </c>
      <c r="EG254" s="1509">
        <f>SUM(EG252:EG253)</f>
      </c>
      <c r="EH254" s="1514">
        <f>EI254-SUM(EE254:EG254)</f>
      </c>
      <c r="EI254" s="2577">
        <f t="shared" ref="EI254:EN254" si="678">SUM(EI252:EI253)</f>
      </c>
      <c r="EJ254" s="2577">
        <f t="shared" si="678"/>
      </c>
      <c r="EK254" s="2577">
        <f t="shared" si="678"/>
      </c>
      <c r="EL254" s="2577">
        <f t="shared" si="678"/>
      </c>
      <c r="EM254" s="2577">
        <f t="shared" si="678"/>
      </c>
      <c r="EN254" s="2577">
        <f t="shared" si="678"/>
      </c>
      <c r="EO254" s="2577">
        <f t="shared" ref="EO254:ES254" si="679">SUM(EO252:EO253)</f>
      </c>
      <c r="EP254" s="2577">
        <f t="shared" si="679"/>
      </c>
      <c r="EQ254" s="2577">
        <f t="shared" si="679"/>
      </c>
      <c r="ER254" s="2577">
        <f t="shared" si="679"/>
      </c>
      <c r="ES254" s="2577">
        <f t="shared" si="679"/>
      </c>
      <c r="ET254" s="1788"/>
      <c r="EU254" s="1788"/>
      <c r="EV254" s="1788"/>
      <c r="EW254" s="1788"/>
      <c r="EX254" s="1788"/>
    </row>
    <row r="255" spans="1:154" ht="12.75" customHeight="1">
      <c r="B255" s="1171"/>
      <c r="C255" s="1989"/>
      <c r="D255" s="28"/>
      <c r="E255" s="28"/>
      <c r="F255" s="28"/>
      <c r="G255" s="28"/>
      <c r="H255" s="28"/>
      <c r="I255" s="31"/>
      <c r="J255" s="28"/>
      <c r="K255" s="28"/>
      <c r="L255" s="28"/>
      <c r="M255" s="28"/>
      <c r="N255" s="31"/>
      <c r="O255" s="31"/>
      <c r="P255" s="31"/>
      <c r="Q255" s="31"/>
      <c r="R255" s="31"/>
      <c r="S255" s="31"/>
      <c r="T255" s="31"/>
      <c r="U255" s="31"/>
      <c r="V255" s="31"/>
      <c r="W255" s="31"/>
      <c r="X255" s="308"/>
      <c r="Y255" s="31"/>
      <c r="Z255" s="31"/>
      <c r="AA255" s="31"/>
      <c r="AB255" s="31"/>
      <c r="AC255" s="308"/>
      <c r="AD255" s="31"/>
      <c r="AE255" s="31"/>
      <c r="AF255" s="31"/>
      <c r="AG255" s="31"/>
      <c r="AH255" s="308"/>
      <c r="AI255" s="28"/>
      <c r="AJ255" s="28"/>
      <c r="AK255" s="28"/>
      <c r="AL255" s="31"/>
      <c r="AM255" s="308"/>
      <c r="AN255" s="28"/>
      <c r="AO255" s="28"/>
      <c r="AP255" s="28"/>
      <c r="AQ255" s="31"/>
      <c r="AR255" s="308"/>
      <c r="AS255" s="28"/>
      <c r="AT255" s="28"/>
      <c r="AU255" s="28"/>
      <c r="AV255" s="28"/>
      <c r="AW255" s="308"/>
      <c r="AX255" s="28"/>
      <c r="AY255" s="28"/>
      <c r="AZ255" s="28"/>
      <c r="BA255" s="28"/>
      <c r="BB255" s="308"/>
      <c r="BC255" s="30"/>
      <c r="BD255" s="30"/>
      <c r="BE255" s="30"/>
      <c r="BF255" s="30"/>
      <c r="BG255" s="308"/>
      <c r="BH255" s="30"/>
      <c r="BI255" s="30"/>
      <c r="BJ255" s="30"/>
      <c r="BK255" s="30"/>
      <c r="BL255" s="308"/>
      <c r="BM255" s="30"/>
      <c r="BN255" s="30"/>
      <c r="BO255" s="30"/>
      <c r="BP255" s="30"/>
      <c r="BQ255" s="308"/>
      <c r="BR255" s="588"/>
      <c r="BS255" s="588"/>
      <c r="BT255" s="588"/>
      <c r="BU255" s="588"/>
      <c r="BV255" s="589"/>
      <c r="BW255" s="588"/>
      <c r="BX255" s="588"/>
      <c r="BY255" s="588"/>
      <c r="BZ255" s="588"/>
      <c r="CA255" s="308"/>
      <c r="CB255" s="588"/>
      <c r="CC255" s="588"/>
      <c r="CD255" s="588"/>
      <c r="CE255" s="588"/>
      <c r="CF255" s="308"/>
      <c r="CG255" s="588"/>
      <c r="CH255" s="588"/>
      <c r="CI255" s="588"/>
      <c r="CJ255" s="588"/>
      <c r="CK255" s="308"/>
      <c r="CL255" s="588"/>
      <c r="CM255" s="949"/>
      <c r="CN255" s="588"/>
      <c r="CO255" s="1397"/>
      <c r="CP255" s="308"/>
      <c r="CQ255" s="949"/>
      <c r="CR255" s="949"/>
      <c r="CS255" s="949"/>
      <c r="CT255" s="949"/>
      <c r="CU255" s="308"/>
      <c r="CV255" s="949"/>
      <c r="CW255" s="949"/>
      <c r="CX255" s="949"/>
      <c r="CY255" s="933"/>
      <c r="CZ255" s="313"/>
      <c r="DA255" s="949"/>
      <c r="DB255" s="31"/>
      <c r="DC255" s="31"/>
      <c r="DD255" s="955"/>
      <c r="DE255" s="1233"/>
      <c r="DF255" s="1538"/>
      <c r="DG255" s="1822"/>
      <c r="DH255" s="1822"/>
      <c r="DI255" s="1798"/>
      <c r="DJ255" s="1233"/>
      <c r="DK255" s="830"/>
      <c r="DL255" s="30"/>
      <c r="DM255" s="30"/>
      <c r="DN255" s="409"/>
      <c r="DO255" s="308"/>
      <c r="DP255" s="30"/>
      <c r="DQ255" s="30"/>
      <c r="DR255" s="30"/>
      <c r="DS255" s="409"/>
      <c r="DT255" s="308"/>
      <c r="DU255" s="926"/>
      <c r="DV255" s="926"/>
      <c r="DW255" s="926"/>
      <c r="DX255" s="928"/>
      <c r="DY255" s="308"/>
      <c r="DZ255" s="926"/>
      <c r="EA255" s="926"/>
      <c r="EB255" s="926"/>
      <c r="EC255" s="928"/>
      <c r="ED255" s="2736"/>
      <c r="EE255" s="926"/>
      <c r="EF255" s="926"/>
      <c r="EG255" s="926"/>
      <c r="EH255" s="928"/>
      <c r="EI255" s="308"/>
      <c r="EJ255" s="308"/>
      <c r="EK255" s="308"/>
      <c r="EL255" s="308"/>
      <c r="EM255" s="308"/>
      <c r="EN255" s="308"/>
      <c r="EO255" s="308"/>
      <c r="EP255" s="308"/>
      <c r="EQ255" s="308"/>
      <c r="ER255" s="308"/>
      <c r="ES255" s="308"/>
      <c r="ET255" s="409"/>
      <c r="EU255" s="409"/>
      <c r="EV255" s="409"/>
      <c r="EW255" s="409"/>
      <c r="EX255" s="409"/>
    </row>
    <row r="256" spans="1:154" ht="12.75" customHeight="1">
      <c r="B256" s="1172" t="s">
        <v>894</v>
      </c>
      <c r="C256" s="1989"/>
      <c r="D256" s="28"/>
      <c r="E256" s="28"/>
      <c r="F256" s="28"/>
      <c r="G256" s="28"/>
      <c r="H256" s="28"/>
      <c r="I256" s="31"/>
      <c r="J256" s="28"/>
      <c r="K256" s="28"/>
      <c r="L256" s="28"/>
      <c r="M256" s="28"/>
      <c r="N256" s="31"/>
      <c r="O256" s="31"/>
      <c r="P256" s="31"/>
      <c r="Q256" s="31"/>
      <c r="R256" s="31"/>
      <c r="S256" s="31"/>
      <c r="T256" s="31"/>
      <c r="U256" s="31"/>
      <c r="V256" s="31"/>
      <c r="W256" s="31"/>
      <c r="X256" s="308"/>
      <c r="Y256" s="31"/>
      <c r="Z256" s="31"/>
      <c r="AA256" s="31"/>
      <c r="AB256" s="31"/>
      <c r="AC256" s="308"/>
      <c r="AD256" s="31"/>
      <c r="AE256" s="31"/>
      <c r="AF256" s="31"/>
      <c r="AG256" s="31"/>
      <c r="AH256" s="308"/>
      <c r="AI256" s="28"/>
      <c r="AJ256" s="28"/>
      <c r="AK256" s="28"/>
      <c r="AL256" s="31"/>
      <c r="AM256" s="308"/>
      <c r="AN256" s="28"/>
      <c r="AO256" s="28"/>
      <c r="AP256" s="28"/>
      <c r="AQ256" s="31"/>
      <c r="AR256" s="308"/>
      <c r="AS256" s="28"/>
      <c r="AT256" s="28"/>
      <c r="AU256" s="28"/>
      <c r="AV256" s="28"/>
      <c r="AW256" s="308"/>
      <c r="AX256" s="28"/>
      <c r="AY256" s="28"/>
      <c r="AZ256" s="28"/>
      <c r="BA256" s="28"/>
      <c r="BB256" s="308"/>
      <c r="BC256" s="30"/>
      <c r="BD256" s="30"/>
      <c r="BE256" s="30"/>
      <c r="BF256" s="30"/>
      <c r="BG256" s="308"/>
      <c r="BH256" s="30"/>
      <c r="BI256" s="30"/>
      <c r="BJ256" s="30"/>
      <c r="BK256" s="30"/>
      <c r="BL256" s="308"/>
      <c r="BM256" s="30"/>
      <c r="BN256" s="30"/>
      <c r="BO256" s="30"/>
      <c r="BP256" s="30"/>
      <c r="BQ256" s="308"/>
      <c r="BR256" s="30"/>
      <c r="BS256" s="30"/>
      <c r="BT256" s="30"/>
      <c r="BU256" s="30"/>
      <c r="BV256" s="308"/>
      <c r="BW256" s="30"/>
      <c r="BX256" s="30"/>
      <c r="BY256" s="30"/>
      <c r="BZ256" s="30"/>
      <c r="CA256" s="308"/>
      <c r="CB256" s="30"/>
      <c r="CC256" s="30"/>
      <c r="CD256" s="30"/>
      <c r="CE256" s="30"/>
      <c r="CF256" s="308"/>
      <c r="CG256" s="30"/>
      <c r="CH256" s="30"/>
      <c r="CI256" s="30"/>
      <c r="CJ256" s="30"/>
      <c r="CK256" s="308"/>
      <c r="CL256" s="30"/>
      <c r="CM256" s="926"/>
      <c r="CN256" s="30"/>
      <c r="CO256" s="30"/>
      <c r="CP256" s="308"/>
      <c r="CQ256" s="926"/>
      <c r="CR256" s="926"/>
      <c r="CS256" s="926"/>
      <c r="CT256" s="926"/>
      <c r="CU256" s="308"/>
      <c r="CV256" s="926"/>
      <c r="CW256" s="926"/>
      <c r="CX256" s="926"/>
      <c r="CY256" s="29"/>
      <c r="CZ256" s="313"/>
      <c r="DA256" s="926"/>
      <c r="DB256" s="31"/>
      <c r="DC256" s="31"/>
      <c r="DD256" s="955"/>
      <c r="DE256" s="1233"/>
      <c r="DF256" s="1219"/>
      <c r="DG256" s="1822"/>
      <c r="DH256" s="1822"/>
      <c r="DI256" s="1798"/>
      <c r="DJ256" s="1233"/>
      <c r="DK256" s="1336"/>
      <c r="DL256" s="1361"/>
      <c r="DM256" s="1361"/>
      <c r="DN256" s="1351"/>
      <c r="DO256" s="308"/>
      <c r="DP256" s="30"/>
      <c r="DQ256" s="30"/>
      <c r="DR256" s="30"/>
      <c r="DS256" s="409"/>
      <c r="DT256" s="308"/>
      <c r="DU256" s="1219"/>
      <c r="DV256" s="1219"/>
      <c r="DW256" s="1219"/>
      <c r="DX256" s="1235"/>
      <c r="DY256" s="308"/>
      <c r="DZ256" s="1219"/>
      <c r="EA256" s="1219"/>
      <c r="EB256" s="1219"/>
      <c r="EC256" s="1235"/>
      <c r="ED256" s="1060"/>
      <c r="EE256" s="1219"/>
      <c r="EF256" s="1219"/>
      <c r="EG256" s="1219"/>
      <c r="EH256" s="1235"/>
      <c r="EI256" s="308"/>
      <c r="EJ256" s="308"/>
      <c r="EK256" s="308"/>
      <c r="EL256" s="308"/>
      <c r="EM256" s="308"/>
      <c r="EN256" s="308"/>
      <c r="EO256" s="308"/>
      <c r="EP256" s="308"/>
      <c r="EQ256" s="308"/>
      <c r="ER256" s="308"/>
      <c r="ES256" s="308"/>
      <c r="ET256" s="409"/>
      <c r="EU256" s="409"/>
      <c r="EV256" s="409"/>
      <c r="EW256" s="409"/>
      <c r="EX256" s="409"/>
    </row>
    <row r="257" spans="1:154" ht="12.75" customHeight="1">
      <c r="B257" s="912" t="s">
        <v>921</v>
      </c>
      <c r="C257" s="1989"/>
      <c r="D257" s="28"/>
      <c r="E257" s="28"/>
      <c r="F257" s="28"/>
      <c r="G257" s="28"/>
      <c r="H257" s="28"/>
      <c r="I257" s="31"/>
      <c r="J257" s="28"/>
      <c r="K257" s="28"/>
      <c r="L257" s="28"/>
      <c r="M257" s="28"/>
      <c r="N257" s="31"/>
      <c r="O257" s="31"/>
      <c r="P257" s="31"/>
      <c r="Q257" s="31"/>
      <c r="R257" s="31"/>
      <c r="S257" s="31"/>
      <c r="T257" s="31"/>
      <c r="U257" s="31"/>
      <c r="V257" s="31"/>
      <c r="W257" s="31"/>
      <c r="X257" s="308"/>
      <c r="Y257" s="31"/>
      <c r="Z257" s="31"/>
      <c r="AA257" s="31"/>
      <c r="AB257" s="31"/>
      <c r="AC257" s="308"/>
      <c r="AD257" s="31"/>
      <c r="AE257" s="31"/>
      <c r="AF257" s="31"/>
      <c r="AG257" s="31"/>
      <c r="AH257" s="308"/>
      <c r="AI257" s="28"/>
      <c r="AJ257" s="28"/>
      <c r="AK257" s="28"/>
      <c r="AL257" s="31"/>
      <c r="AM257" s="308"/>
      <c r="AN257" s="28"/>
      <c r="AO257" s="28"/>
      <c r="AP257" s="28"/>
      <c r="AQ257" s="31"/>
      <c r="AR257" s="308"/>
      <c r="AS257" s="28"/>
      <c r="AT257" s="28"/>
      <c r="AU257" s="28"/>
      <c r="AV257" s="28"/>
      <c r="AW257" s="308"/>
      <c r="AX257" s="28"/>
      <c r="AY257" s="28"/>
      <c r="AZ257" s="28"/>
      <c r="BA257" s="28"/>
      <c r="BB257" s="308"/>
      <c r="BC257" s="30"/>
      <c r="BD257" s="30"/>
      <c r="BE257" s="30"/>
      <c r="BF257" s="30"/>
      <c r="BG257" s="308"/>
      <c r="BH257" s="30"/>
      <c r="BI257" s="30"/>
      <c r="BJ257" s="30"/>
      <c r="BK257" s="30"/>
      <c r="BL257" s="308"/>
      <c r="BM257" s="30"/>
      <c r="BN257" s="30"/>
      <c r="BO257" s="30"/>
      <c r="BP257" s="30"/>
      <c r="BQ257" s="308"/>
      <c r="BR257" s="41"/>
      <c r="BS257" s="41"/>
      <c r="BT257" s="41"/>
      <c r="BU257" s="41"/>
      <c r="BV257" s="308"/>
      <c r="BW257" s="41"/>
      <c r="BX257" s="41"/>
      <c r="BY257" s="41"/>
      <c r="BZ257" s="41"/>
      <c r="CA257" s="662"/>
      <c r="CB257" s="41"/>
      <c r="CC257" s="41"/>
      <c r="CD257" s="41"/>
      <c r="CE257" s="650"/>
      <c r="CF257" s="662"/>
      <c r="CG257" s="41"/>
      <c r="CH257" s="41"/>
      <c r="CI257" s="41"/>
      <c r="CJ257" s="41"/>
      <c r="CK257" s="308">
        <f>IF(CF252=0, 0, CK252/CF252-1)</f>
      </c>
      <c r="CL257" s="41"/>
      <c r="CM257" s="41"/>
      <c r="CN257" s="41"/>
      <c r="CO257" s="41"/>
      <c r="CP257" s="308">
        <f>IF(CK252=0, 0, CP252/CK252-1)</f>
      </c>
      <c r="CQ257" s="1211"/>
      <c r="CR257" s="1211"/>
      <c r="CS257" s="1211"/>
      <c r="CT257" s="1211"/>
      <c r="CU257" s="308">
        <f>IF(CP252=0, 0, CU252/CP252-1)</f>
      </c>
      <c r="CV257" s="1211"/>
      <c r="CW257" s="1211"/>
      <c r="CX257" s="1211"/>
      <c r="CY257" s="30"/>
      <c r="CZ257" s="308">
        <f>IF(CU252=0, 0, CZ252/CU252-1)</f>
      </c>
      <c r="DA257" s="1211"/>
      <c r="DB257" s="1211"/>
      <c r="DC257" s="361"/>
      <c r="DD257" s="927"/>
      <c r="DE257" s="1234"/>
      <c r="DF257" s="1220"/>
      <c r="DG257" s="1208"/>
      <c r="DH257" s="1208"/>
      <c r="DI257" s="928"/>
      <c r="DJ257" s="1234"/>
      <c r="DK257" s="1271"/>
      <c r="DL257" s="1208"/>
      <c r="DM257" s="1208"/>
      <c r="DN257" s="836"/>
      <c r="DO257" s="317"/>
      <c r="DP257" s="2217"/>
      <c r="DQ257" s="2217"/>
      <c r="DR257" s="2217"/>
      <c r="DS257" s="30"/>
      <c r="DT257" s="317"/>
      <c r="DU257" s="1741"/>
      <c r="DV257" s="1741"/>
      <c r="DW257" s="1741"/>
      <c r="DX257" s="926"/>
      <c r="DY257" s="317"/>
      <c r="DZ257" s="926" t="str">
        <f t="shared" ref="DZ257:EN260" si="680">IF(DZ252=0, "NM", DZ252/DU252-1)</f>
      </c>
      <c r="EA257" s="926">
        <f t="shared" si="680"/>
      </c>
      <c r="EB257" s="926">
        <f t="shared" si="680"/>
      </c>
      <c r="EC257" s="926" t="str">
        <f t="shared" si="680"/>
      </c>
      <c r="ED257" s="1066">
        <f t="shared" si="680"/>
      </c>
      <c r="EE257" s="926"/>
      <c r="EF257" s="926">
        <f t="shared" si="680"/>
      </c>
      <c r="EG257" s="926">
        <f t="shared" si="680"/>
      </c>
      <c r="EH257" s="926" t="str">
        <f t="shared" si="680"/>
      </c>
      <c r="EI257" s="1066">
        <f t="shared" ref="EI257" si="681">IF(EI252=0,"NM",+EI252/ED252-1)</f>
      </c>
      <c r="EJ257" s="1066" t="str">
        <f>IF(EJ252=0, "NM", EJ252/EA252-1)</f>
      </c>
      <c r="EK257" s="1066" t="str">
        <f>IF(EK252=0, "NM", EK252/EB252-1)</f>
      </c>
      <c r="EL257" s="1066" t="str">
        <f>IF(EL252=0, "NM", EL252/EC252-1)</f>
      </c>
      <c r="EM257" s="1066" t="str">
        <f>IF(EM252=0, "NM", EM252/ED252-1)</f>
      </c>
      <c r="EN257" s="1066" t="str">
        <f t="shared" si="680"/>
      </c>
      <c r="EO257" s="1066" t="str">
        <f t="shared" ref="EO257" si="682">IF(EO252=0, "NM", EO252/EJ252-1)</f>
      </c>
      <c r="EP257" s="1066" t="str">
        <f t="shared" ref="EP257" si="683">IF(EP252=0, "NM", EP252/EK252-1)</f>
      </c>
      <c r="EQ257" s="1066" t="str">
        <f t="shared" ref="EQ257" si="684">IF(EQ252=0, "NM", EQ252/EL252-1)</f>
      </c>
      <c r="ER257" s="1066" t="str">
        <f t="shared" ref="ER257" si="685">IF(ER252=0, "NM", ER252/EM252-1)</f>
      </c>
      <c r="ES257" s="1066" t="str">
        <f t="shared" ref="ES257" si="686">IF(ES252=0, "NM", ES252/EN252-1)</f>
      </c>
      <c r="ET257" s="657"/>
      <c r="EU257" s="657"/>
      <c r="EV257" s="657"/>
      <c r="EW257" s="657"/>
      <c r="EX257" s="657"/>
    </row>
    <row r="258" spans="1:154" ht="12.75" customHeight="1">
      <c r="B258" s="912" t="s">
        <v>412</v>
      </c>
      <c r="C258" s="1989"/>
      <c r="D258" s="28"/>
      <c r="E258" s="28"/>
      <c r="F258" s="28"/>
      <c r="G258" s="28"/>
      <c r="H258" s="28"/>
      <c r="I258" s="31"/>
      <c r="J258" s="28"/>
      <c r="K258" s="28"/>
      <c r="L258" s="28"/>
      <c r="M258" s="28"/>
      <c r="N258" s="31"/>
      <c r="O258" s="31"/>
      <c r="P258" s="31"/>
      <c r="Q258" s="31"/>
      <c r="R258" s="31"/>
      <c r="S258" s="31"/>
      <c r="T258" s="31"/>
      <c r="U258" s="31"/>
      <c r="V258" s="31"/>
      <c r="W258" s="31"/>
      <c r="X258" s="308"/>
      <c r="Y258" s="31"/>
      <c r="Z258" s="31"/>
      <c r="AA258" s="31"/>
      <c r="AB258" s="31"/>
      <c r="AC258" s="308"/>
      <c r="AD258" s="31"/>
      <c r="AE258" s="31"/>
      <c r="AF258" s="31"/>
      <c r="AG258" s="31"/>
      <c r="AH258" s="308"/>
      <c r="AI258" s="28"/>
      <c r="AJ258" s="28"/>
      <c r="AK258" s="28"/>
      <c r="AL258" s="31"/>
      <c r="AM258" s="308"/>
      <c r="AN258" s="28"/>
      <c r="AO258" s="28"/>
      <c r="AP258" s="28"/>
      <c r="AQ258" s="31"/>
      <c r="AR258" s="308"/>
      <c r="AS258" s="28"/>
      <c r="AT258" s="28"/>
      <c r="AU258" s="28"/>
      <c r="AV258" s="28"/>
      <c r="AW258" s="308"/>
      <c r="AX258" s="28"/>
      <c r="AY258" s="28"/>
      <c r="AZ258" s="28"/>
      <c r="BA258" s="28"/>
      <c r="BB258" s="308"/>
      <c r="BC258" s="30"/>
      <c r="BD258" s="30"/>
      <c r="BE258" s="30"/>
      <c r="BF258" s="30"/>
      <c r="BG258" s="308"/>
      <c r="BH258" s="30"/>
      <c r="BI258" s="30"/>
      <c r="BJ258" s="30"/>
      <c r="BK258" s="30"/>
      <c r="BL258" s="308"/>
      <c r="BM258" s="30" t="str">
        <f t="shared" ref="BM258:BV258" si="687">IF(BH253="NM","NM",IF(BM253="NM","NM",IF(BH253&lt;=0,"NM",IF(BM253=0,"NM",IF(ABS(BM253/BH253-1)&gt;2.5,"NM",IF((ABS(BM253-BH253)=ABS(ABS(BM253)-ABS(BH253))),(BM253/BH253-1),"NM"))))))</f>
      </c>
      <c r="BN258" s="30" t="str">
        <f t="shared" si="687"/>
      </c>
      <c r="BO258" s="30" t="str">
        <f t="shared" si="687"/>
      </c>
      <c r="BP258" s="30" t="str">
        <f t="shared" si="687"/>
      </c>
      <c r="BQ258" s="308" t="str">
        <f t="shared" si="687"/>
      </c>
      <c r="BR258" s="30">
        <f t="shared" si="687"/>
      </c>
      <c r="BS258" s="30">
        <f t="shared" si="687"/>
      </c>
      <c r="BT258" s="30">
        <f t="shared" si="687"/>
      </c>
      <c r="BU258" s="30">
        <f t="shared" si="687"/>
      </c>
      <c r="BV258" s="308">
        <f t="shared" si="687"/>
      </c>
      <c r="BW258" s="30">
        <f t="shared" ref="BW258:CI258" si="688">IF(BR253="NM","NM",IF(BW253="NM","NM",IF(BR253&lt;=0,"NM",IF(BW253=0,"NM",IF(ABS(BW253/BR253-1)&gt;2.5,"NM",IF((ABS(BW253-BR253)=ABS(ABS(BW253)-ABS(BR253))),(BW253/BR253-1),"NM"))))))</f>
      </c>
      <c r="BX258" s="30">
        <f t="shared" si="688"/>
      </c>
      <c r="BY258" s="30">
        <f t="shared" si="688"/>
      </c>
      <c r="BZ258" s="30">
        <f t="shared" si="688"/>
      </c>
      <c r="CA258" s="308">
        <f>IF(BV253="NM","NM",IF(CA253="NM","NM",IF(BV253&lt;=0,"NM",IF(CA253=0,"NM",IF(ABS(CA253/BV253-1)&gt;2.5,"NM",IF((ABS(CA253-BV253)=ABS(ABS(CA253)-ABS(BV253))),(CA253/BV253-1),"NM"))))))</f>
      </c>
      <c r="CB258" s="30">
        <f t="shared" si="688"/>
      </c>
      <c r="CC258" s="30">
        <f t="shared" si="688"/>
      </c>
      <c r="CD258" s="30">
        <f t="shared" si="688"/>
      </c>
      <c r="CE258" s="30">
        <f t="shared" si="688"/>
      </c>
      <c r="CF258" s="308">
        <f>IF(CA253="NM","NM",IF(CF253="NM","NM",IF(CA253&lt;=0,"NM",IF(CF253=0,"NM",IF(ABS(CF253/CA253-1)&gt;2.5,"NM",IF((ABS(CF253-CA253)=ABS(ABS(CF253)-ABS(CA253))),(CF253/CA253-1),"NM"))))))</f>
      </c>
      <c r="CG258" s="30">
        <f t="shared" si="688"/>
      </c>
      <c r="CH258" s="30">
        <f t="shared" si="688"/>
      </c>
      <c r="CI258" s="30">
        <f t="shared" si="688"/>
      </c>
      <c r="CJ258" s="30">
        <f>IF(CE253="NM","NM",IF(CJ253="NM","NM",IF(CE253&lt;=0,"NM",IF(CJ253=0,"NM",IF(ABS(CJ253/CE253-1)&gt;2.5,"NM",IF((ABS(CJ253-CE253)=ABS(ABS(CJ253)-ABS(CE253))),(CJ253/CE253-1),"NM"))))))</f>
      </c>
      <c r="CK258" s="308">
        <f>IF(CF253=0, "NA", CK253/CF253-1)</f>
      </c>
      <c r="CL258" s="30">
        <f>IF(CG253="NM","NM",IF(CL253="NM","NM",IF(CG253&lt;=0,"NM",IF(CL253=0,"NM",IF(ABS(CL253/CG253-1)&gt;2.5,"NM",IF((ABS(CL253-CG253)=ABS(ABS(CL253)-ABS(CG253))),(CL253/CG253-1),"NM"))))))</f>
      </c>
      <c r="CM258" s="30">
        <f>IF(CH253="NM","NM",IF(CM253="NM","NM",IF(CH253&lt;=0,"NM",IF(CM253=0,"NM",IF(ABS(CM253/CH253-1)&gt;2.5,"NM",IF((ABS(CM253-CH253)=ABS(ABS(CM253)-ABS(CH253))),(CM253/CH253-1),"NM"))))))</f>
      </c>
      <c r="CN258" s="30">
        <f>IF(CI253="NM","NM",IF(CN253="NM","NM",IF(CI253&lt;=0,"NM",IF(CN253=0,"NM",IF(ABS(CN253/CI253-1)&gt;2.5,"NM",IF((ABS(CN253-CI253)=ABS(ABS(CN253)-ABS(CI253))),(CN253/CI253-1),"NM"))))))</f>
      </c>
      <c r="CO258" s="30">
        <f>IF(CJ253="NM","NM",IF(CO253="NM","NM",IF(CJ253&lt;=0,"NM",IF(CO253=0,"NM",IF(ABS(CO253/CJ253-1)&gt;2.5,"NM",IF((ABS(CO253-CJ253)=ABS(ABS(CO253)-ABS(CJ253))),(CO253/CJ253-1),"NM"))))))</f>
      </c>
      <c r="CP258" s="308">
        <f>IF(CK253=0, "NA", CP253/CK253-1)</f>
      </c>
      <c r="CQ258" s="30">
        <f>IF(CL253="NM","NM",IF(CQ253="NM","NM",IF(CL253&lt;=0,"NM",IF(CQ253=0,"NM",IF(ABS(CQ253/CL253-1)&gt;2.5,"NM",IF((ABS(CQ253-CL253)=ABS(ABS(CQ253)-ABS(CL253))),(CQ253/CL253-1),"NM"))))))</f>
      </c>
      <c r="CR258" s="30">
        <f>IF(CM253="NM","NM",IF(CR253="NM","NM",IF(CM253&lt;=0,"NM",IF(CR253=0,"NM",IF(ABS(CR253/CM253-1)&gt;2.5,"NM",IF((ABS(CR253-CM253)=ABS(ABS(CR253)-ABS(CM253))),(CR253/CM253-1),"NM"))))))</f>
      </c>
      <c r="CS258" s="30">
        <f>IF(CN253="NM","NM",IF(CS253="NM","NM",IF(CN253&lt;=0,"NM",IF(CS253=0,"NM",IF(ABS(CS253/CN253-1)&gt;2.5,"NM",IF((ABS(CS253-CN253)=ABS(ABS(CS253)-ABS(CN253))),(CS253/CN253-1),"NM"))))))</f>
      </c>
      <c r="CT258" s="30">
        <f>IF(CO253="NM","NM",IF(CT253="NM","NM",IF(CO253&lt;=0,"NM",IF(CT253=0,"NM",IF(ABS(CT253/CO253-1)&gt;2.5,"NM",IF((ABS(CT253-CO253)=ABS(ABS(CT253)-ABS(CO253))),(CT253/CO253-1),"NM"))))))</f>
      </c>
      <c r="CU258" s="308">
        <f>IF(CP253=0, "NA", CU253/CP253-1)</f>
      </c>
      <c r="CV258" s="30">
        <f>IF(CQ253="NM","NM",IF(CV253="NM","NM",IF(CQ253&lt;=0,"NM",IF(CV253=0,"NM",IF(ABS(CV253/CQ253-1)&gt;2.5,"NM",IF((ABS(CV253-CQ253)=ABS(ABS(CV253)-ABS(CQ253))),(CV253/CQ253-1),"NM"))))))</f>
      </c>
      <c r="CW258" s="30">
        <f>IF(CR253="NM","NM",IF(CW253="NM","NM",IF(CR253&lt;=0,"NM",IF(CW253=0,"NM",IF(ABS(CW253/CR253-1)&gt;2.5,"NM",IF((ABS(CW253-CR253)=ABS(ABS(CW253)-ABS(CR253))),(CW253/CR253-1),"NM"))))))</f>
      </c>
      <c r="CX258" s="30">
        <f>IF(CS253="NM","NM",IF(CX253="NM","NM",IF(CS253&lt;=0,"NM",IF(CX253=0,"NM",IF(ABS(CX253/CS253-1)&gt;2.5,"NM",IF((ABS(CX253-CS253)=ABS(ABS(CX253)-ABS(CS253))),(CX253/CS253-1),"NM"))))))</f>
      </c>
      <c r="CY258" s="30">
        <f>IF(CY253=0, "NM", CY253/CT253-1)</f>
      </c>
      <c r="CZ258" s="308">
        <f>IF(CU253=0, "NA", CZ253/CU253-1)</f>
      </c>
      <c r="DA258" s="30">
        <f>IF(CV253="NM","NM",IF(DA253="NM","NM",IF(CV253&lt;=0,"NM",IF(DA253=0,"NM",IF(ABS(DA253/CV253-1)&gt;2.5,"NM",IF((ABS(DA253-CV253)=ABS(ABS(DA253)-ABS(CV253))),(DA253/CV253-1),"NM"))))))</f>
      </c>
      <c r="DB258" s="30">
        <f>IF(CW253="NM","NM",IF(DB253="NM","NM",IF(CW253&lt;=0,"NM",IF(DB253=0,"NM",IF(ABS(DB253/CW253-1)&gt;2.5,"NM",IF((ABS(DB253-CW253)=ABS(ABS(DB253)-ABS(CW253))),(DB253/CW253-1),"NM"))))))</f>
      </c>
      <c r="DC258" s="959">
        <f>DC259+DC$21</f>
      </c>
      <c r="DD258" s="928">
        <f>IF(DD253=0, "NM", DD253/CY253-1)</f>
      </c>
      <c r="DE258" s="1233">
        <f>DE259+DE$21</f>
      </c>
      <c r="DF258" s="1361"/>
      <c r="DG258" s="1219"/>
      <c r="DH258" s="1219"/>
      <c r="DI258" s="928"/>
      <c r="DJ258" s="1233"/>
      <c r="DK258" s="1336"/>
      <c r="DL258" s="1361"/>
      <c r="DM258" s="1361"/>
      <c r="DN258" s="409"/>
      <c r="DO258" s="308"/>
      <c r="DP258" s="926"/>
      <c r="DQ258" s="926"/>
      <c r="DR258" s="926"/>
      <c r="DS258" s="30"/>
      <c r="DT258" s="308"/>
      <c r="DU258" s="926"/>
      <c r="DV258" s="926"/>
      <c r="DW258" s="926"/>
      <c r="DX258" s="926"/>
      <c r="DY258" s="308"/>
      <c r="DZ258" s="926" t="str">
        <f t="shared" ref="DZ258:DZ260" si="689">IF(DZ253=0, "NM", DZ253/DU253-1)</f>
      </c>
      <c r="EA258" s="926" t="str">
        <f t="shared" si="680"/>
      </c>
      <c r="EB258" s="926" t="str">
        <f t="shared" si="680"/>
      </c>
      <c r="EC258" s="926" t="str">
        <f t="shared" si="680"/>
      </c>
      <c r="ED258" s="1066" t="str">
        <f t="shared" si="680"/>
      </c>
      <c r="EE258" s="926" t="str">
        <f t="shared" si="680"/>
      </c>
      <c r="EF258" s="926" t="str">
        <f t="shared" si="680"/>
      </c>
      <c r="EG258" s="926" t="str">
        <f t="shared" si="680"/>
      </c>
      <c r="EH258" s="926" t="str">
        <f t="shared" si="680"/>
      </c>
      <c r="EI258" s="1066" t="str">
        <f>IF(EI253=0,"NM",+EI253/ED253-1)</f>
      </c>
      <c r="EJ258" s="1066" t="str">
        <f t="shared" ref="EJ258:EN258" si="690">IF(EJ253=0,"NM",+EJ253/EI253-1)</f>
      </c>
      <c r="EK258" s="1066" t="str">
        <f t="shared" si="690"/>
      </c>
      <c r="EL258" s="1066" t="str">
        <f t="shared" si="690"/>
      </c>
      <c r="EM258" s="1066" t="str">
        <f t="shared" si="690"/>
      </c>
      <c r="EN258" s="1066" t="str">
        <f t="shared" si="690"/>
      </c>
      <c r="EO258" s="1066" t="str">
        <f t="shared" ref="EO258:EO260" si="691">IF(EO253=0,"NM",+EO253/EN253-1)</f>
      </c>
      <c r="EP258" s="1066" t="str">
        <f t="shared" ref="EP258:EP260" si="692">IF(EP253=0,"NM",+EP253/EO253-1)</f>
      </c>
      <c r="EQ258" s="1066" t="str">
        <f t="shared" ref="EQ258:EQ260" si="693">IF(EQ253=0,"NM",+EQ253/EP253-1)</f>
      </c>
      <c r="ER258" s="1066" t="str">
        <f t="shared" ref="ER258:ER260" si="694">IF(ER253=0,"NM",+ER253/EQ253-1)</f>
      </c>
      <c r="ES258" s="1066" t="str">
        <f t="shared" ref="ES258:ES260" si="695">IF(ES253=0,"NM",+ES253/ER253-1)</f>
      </c>
      <c r="ET258" s="837"/>
      <c r="EU258" s="837"/>
      <c r="EV258" s="837"/>
      <c r="EW258" s="837"/>
      <c r="EX258" s="837"/>
    </row>
    <row r="259" spans="1:154" ht="12.75" customHeight="1">
      <c r="B259" s="912" t="s">
        <v>256</v>
      </c>
      <c r="C259" s="1989"/>
      <c r="D259" s="28"/>
      <c r="E259" s="28"/>
      <c r="F259" s="28"/>
      <c r="G259" s="28"/>
      <c r="H259" s="28"/>
      <c r="I259" s="31"/>
      <c r="J259" s="28"/>
      <c r="K259" s="28"/>
      <c r="L259" s="28"/>
      <c r="M259" s="28"/>
      <c r="N259" s="31"/>
      <c r="O259" s="31"/>
      <c r="P259" s="31"/>
      <c r="Q259" s="31"/>
      <c r="R259" s="31"/>
      <c r="S259" s="31"/>
      <c r="T259" s="31"/>
      <c r="U259" s="31"/>
      <c r="V259" s="31"/>
      <c r="W259" s="31"/>
      <c r="X259" s="308"/>
      <c r="Y259" s="31"/>
      <c r="Z259" s="31"/>
      <c r="AA259" s="31"/>
      <c r="AB259" s="31"/>
      <c r="AC259" s="308"/>
      <c r="AD259" s="31"/>
      <c r="AE259" s="31"/>
      <c r="AF259" s="31"/>
      <c r="AG259" s="31"/>
      <c r="AH259" s="308"/>
      <c r="AI259" s="28"/>
      <c r="AJ259" s="28"/>
      <c r="AK259" s="28"/>
      <c r="AL259" s="31"/>
      <c r="AM259" s="308"/>
      <c r="AN259" s="28"/>
      <c r="AO259" s="28"/>
      <c r="AP259" s="28"/>
      <c r="AQ259" s="31"/>
      <c r="AR259" s="308"/>
      <c r="AS259" s="28"/>
      <c r="AT259" s="28"/>
      <c r="AU259" s="28"/>
      <c r="AV259" s="28"/>
      <c r="AW259" s="308"/>
      <c r="AX259" s="28"/>
      <c r="AY259" s="28"/>
      <c r="AZ259" s="28"/>
      <c r="BA259" s="28"/>
      <c r="BB259" s="308"/>
      <c r="BC259" s="30"/>
      <c r="BD259" s="30"/>
      <c r="BE259" s="30"/>
      <c r="BF259" s="30"/>
      <c r="BG259" s="308"/>
      <c r="BH259" s="30"/>
      <c r="BI259" s="30"/>
      <c r="BJ259" s="30"/>
      <c r="BK259" s="30"/>
      <c r="BL259" s="308"/>
      <c r="BM259" s="41" t="str">
        <f t="shared" ref="BM259:CJ259" si="696">IF(ISNUMBER(BM258),(1+BM258)/(1+BM$21)-1,"NM")</f>
      </c>
      <c r="BN259" s="41" t="str">
        <f t="shared" si="696"/>
      </c>
      <c r="BO259" s="41" t="str">
        <f t="shared" si="696"/>
      </c>
      <c r="BP259" s="41" t="str">
        <f t="shared" si="696"/>
      </c>
      <c r="BQ259" s="309" t="str">
        <f t="shared" si="696"/>
      </c>
      <c r="BR259" s="41">
        <f t="shared" si="696"/>
      </c>
      <c r="BS259" s="41">
        <f t="shared" si="696"/>
      </c>
      <c r="BT259" s="41">
        <f t="shared" si="696"/>
      </c>
      <c r="BU259" s="41">
        <f t="shared" si="696"/>
      </c>
      <c r="BV259" s="309">
        <f t="shared" si="696"/>
      </c>
      <c r="BW259" s="41">
        <f t="shared" si="696"/>
      </c>
      <c r="BX259" s="41">
        <f t="shared" si="696"/>
      </c>
      <c r="BY259" s="41">
        <f t="shared" si="696"/>
      </c>
      <c r="BZ259" s="41">
        <f t="shared" si="696"/>
      </c>
      <c r="CA259" s="297">
        <f t="shared" si="696"/>
      </c>
      <c r="CB259" s="41">
        <f t="shared" si="696"/>
      </c>
      <c r="CC259" s="41">
        <f t="shared" si="696"/>
      </c>
      <c r="CD259" s="41">
        <f t="shared" si="696"/>
      </c>
      <c r="CE259" s="41">
        <f t="shared" si="696"/>
      </c>
      <c r="CF259" s="297">
        <f t="shared" si="696"/>
      </c>
      <c r="CG259" s="41">
        <f t="shared" si="696"/>
      </c>
      <c r="CH259" s="41">
        <f t="shared" si="696"/>
      </c>
      <c r="CI259" s="41">
        <f t="shared" si="696"/>
      </c>
      <c r="CJ259" s="41">
        <f t="shared" si="696"/>
      </c>
      <c r="CK259" s="309">
        <f>CK258-CK$21</f>
      </c>
      <c r="CL259" s="41">
        <f>IF(ISNUMBER(CL258),(1+CL258)/(1+CL$21)-1,"NM")</f>
      </c>
      <c r="CM259" s="41">
        <f>IF(ISNUMBER(CM258),(1+CM258)/(1+CM$21)-1,"NM")</f>
      </c>
      <c r="CN259" s="41">
        <f>IF(ISNUMBER(CN258),(1+CN258)/(1+CN$21)-1,"NM")</f>
      </c>
      <c r="CO259" s="41">
        <f>IF(ISNUMBER(CO258),(1+CO258)/(1+CO$21)-1,"NM")</f>
      </c>
      <c r="CP259" s="309">
        <f>CP258-CP$21</f>
      </c>
      <c r="CQ259" s="41">
        <f>IF(ISNUMBER(CQ258),(1+CQ258)/(1+CQ$21)-1,"NM")</f>
      </c>
      <c r="CR259" s="41">
        <f>IF(ISNUMBER(CR258),(1+CR258)/(1+CR$21)-1,"NM")</f>
      </c>
      <c r="CS259" s="41">
        <f>IF(ISNUMBER(CS258),(1+CS258)/(1+CS$21)-1,"NM")</f>
      </c>
      <c r="CT259" s="41">
        <f>IF(ISNUMBER(CT258),(1+CT258)/(1+CT$21)-1,"NM")</f>
      </c>
      <c r="CU259" s="309">
        <f>CU258-CU$21</f>
      </c>
      <c r="CV259" s="41">
        <f>IF(ISNUMBER(CV258),(1+CV258)/(1+CV$21)-1,"NM")</f>
      </c>
      <c r="CW259" s="41">
        <f>IF(ISNUMBER(CW258),(1+CW258)/(1+CW$21)-1,"NM")</f>
      </c>
      <c r="CX259" s="41">
        <f>IF(ISNUMBER(CX258),(1+CX258)/(1+CX$21)-1,"NM")</f>
      </c>
      <c r="CY259" s="30">
        <f>IF(CY253=0, "NM",CY258-CY$21)</f>
      </c>
      <c r="CZ259" s="309">
        <f>CZ258-CZ$21</f>
      </c>
      <c r="DA259" s="41">
        <f>IF(ISNUMBER(DA258),(1+DA258)/(1+DA$21)-1,"NM")</f>
      </c>
      <c r="DB259" s="41">
        <f>IF(ISNUMBER(DB258),(1+DB258)/(1+DB$21)-1,"NM")</f>
      </c>
      <c r="DC259" s="361">
        <v>-0.03</v>
      </c>
      <c r="DD259" s="927">
        <v>-0.24</v>
      </c>
      <c r="DE259" s="1234">
        <v>4.7E-2</v>
      </c>
      <c r="DF259" s="1361"/>
      <c r="DG259" s="1208"/>
      <c r="DH259" s="1208"/>
      <c r="DI259" s="928"/>
      <c r="DJ259" s="1234"/>
      <c r="DK259" s="1271"/>
      <c r="DL259" s="1208"/>
      <c r="DM259" s="1208"/>
      <c r="DN259" s="836"/>
      <c r="DO259" s="317"/>
      <c r="DP259" s="2217"/>
      <c r="DQ259" s="2217"/>
      <c r="DR259" s="2217"/>
      <c r="DS259" s="30"/>
      <c r="DT259" s="317"/>
      <c r="DU259" s="1741"/>
      <c r="DV259" s="1741"/>
      <c r="DW259" s="1741"/>
      <c r="DX259" s="926"/>
      <c r="DY259" s="317"/>
      <c r="DZ259" s="926" t="str">
        <f t="shared" si="689"/>
      </c>
      <c r="EA259" s="926">
        <f t="shared" si="680"/>
      </c>
      <c r="EB259" s="926">
        <f t="shared" si="680"/>
      </c>
      <c r="EC259" s="926" t="str">
        <f t="shared" si="680"/>
      </c>
      <c r="ED259" s="1066">
        <f t="shared" si="680"/>
      </c>
      <c r="EE259" s="926"/>
      <c r="EF259" s="926">
        <f t="shared" si="680"/>
      </c>
      <c r="EG259" s="926">
        <f t="shared" si="680"/>
      </c>
      <c r="EH259" s="926" t="str">
        <f t="shared" si="680"/>
      </c>
      <c r="EI259" s="1066">
        <f>IF(EI254=0,"NM",+EI254/ED254-1)</f>
      </c>
      <c r="EJ259" s="1066" t="str">
        <f t="shared" ref="EJ259:EJ260" si="697">IF(EJ254=0,"NM",+EJ254/EI254-1)</f>
      </c>
      <c r="EK259" s="1066" t="str">
        <f t="shared" ref="EK259:EK260" si="698">IF(EK254=0,"NM",+EK254/EJ254-1)</f>
      </c>
      <c r="EL259" s="1066" t="str">
        <f t="shared" ref="EL259:EL260" si="699">IF(EL254=0,"NM",+EL254/EK254-1)</f>
      </c>
      <c r="EM259" s="1066" t="str">
        <f t="shared" ref="EM259:EM260" si="700">IF(EM254=0,"NM",+EM254/EL254-1)</f>
      </c>
      <c r="EN259" s="1066" t="str">
        <f t="shared" ref="EN259:EN260" si="701">IF(EN254=0,"NM",+EN254/EM254-1)</f>
      </c>
      <c r="EO259" s="1066" t="str">
        <f t="shared" si="691"/>
      </c>
      <c r="EP259" s="1066" t="str">
        <f t="shared" si="692"/>
      </c>
      <c r="EQ259" s="1066" t="str">
        <f t="shared" si="693"/>
      </c>
      <c r="ER259" s="1066" t="str">
        <f t="shared" si="694"/>
      </c>
      <c r="ES259" s="1066" t="str">
        <f t="shared" si="695"/>
      </c>
      <c r="ET259" s="657"/>
      <c r="EU259" s="657"/>
      <c r="EV259" s="657"/>
      <c r="EW259" s="657"/>
      <c r="EX259" s="657"/>
    </row>
    <row r="260" spans="1:154" ht="12.75" customHeight="1">
      <c r="B260" s="912" t="s">
        <v>413</v>
      </c>
      <c r="C260" s="1989"/>
      <c r="D260" s="28"/>
      <c r="E260" s="28"/>
      <c r="F260" s="28"/>
      <c r="G260" s="28"/>
      <c r="H260" s="28"/>
      <c r="I260" s="31"/>
      <c r="J260" s="28"/>
      <c r="K260" s="28"/>
      <c r="L260" s="28"/>
      <c r="M260" s="28"/>
      <c r="N260" s="31"/>
      <c r="O260" s="31"/>
      <c r="P260" s="31"/>
      <c r="Q260" s="31"/>
      <c r="R260" s="31"/>
      <c r="S260" s="31"/>
      <c r="T260" s="31"/>
      <c r="U260" s="31"/>
      <c r="V260" s="31"/>
      <c r="W260" s="31"/>
      <c r="X260" s="308"/>
      <c r="Y260" s="31"/>
      <c r="Z260" s="31"/>
      <c r="AA260" s="31"/>
      <c r="AB260" s="31"/>
      <c r="AC260" s="308"/>
      <c r="AD260" s="31"/>
      <c r="AE260" s="31"/>
      <c r="AF260" s="31"/>
      <c r="AG260" s="31"/>
      <c r="AH260" s="308"/>
      <c r="AI260" s="28"/>
      <c r="AJ260" s="28"/>
      <c r="AK260" s="28"/>
      <c r="AL260" s="31"/>
      <c r="AM260" s="308"/>
      <c r="AN260" s="28"/>
      <c r="AO260" s="28"/>
      <c r="AP260" s="28"/>
      <c r="AQ260" s="31"/>
      <c r="AR260" s="308"/>
      <c r="AS260" s="28"/>
      <c r="AT260" s="28"/>
      <c r="AU260" s="28"/>
      <c r="AV260" s="28"/>
      <c r="AW260" s="308"/>
      <c r="AX260" s="28"/>
      <c r="AY260" s="28"/>
      <c r="AZ260" s="28"/>
      <c r="BA260" s="28"/>
      <c r="BB260" s="308"/>
      <c r="BC260" s="30"/>
      <c r="BD260" s="30"/>
      <c r="BE260" s="30"/>
      <c r="BF260" s="30"/>
      <c r="BG260" s="308"/>
      <c r="BH260" s="30"/>
      <c r="BI260" s="30"/>
      <c r="BJ260" s="30"/>
      <c r="BK260" s="30"/>
      <c r="BL260" s="308"/>
      <c r="BM260" s="30" t="str">
        <f t="shared" ref="BM260:CA260" si="702">IF(BH254="NM","NM",IF(BM254="NM","NM",IF(BH254&lt;=0,"NM",IF(BM254=0,"NM",IF(ABS(BM254/BH254-1)&gt;2.5,"NM",IF((ABS(BM254-BH254)=ABS(ABS(BM254)-ABS(BH254))),(BM254/BH254-1),"NM"))))))</f>
      </c>
      <c r="BN260" s="30" t="str">
        <f t="shared" si="702"/>
      </c>
      <c r="BO260" s="30" t="str">
        <f t="shared" si="702"/>
      </c>
      <c r="BP260" s="30" t="str">
        <f t="shared" si="702"/>
      </c>
      <c r="BQ260" s="308" t="str">
        <f t="shared" si="702"/>
      </c>
      <c r="BR260" s="30">
        <f t="shared" si="702"/>
      </c>
      <c r="BS260" s="30">
        <f t="shared" si="702"/>
      </c>
      <c r="BT260" s="30">
        <f t="shared" si="702"/>
      </c>
      <c r="BU260" s="30">
        <f t="shared" si="702"/>
      </c>
      <c r="BV260" s="308">
        <f t="shared" si="702"/>
      </c>
      <c r="BW260" s="30">
        <f t="shared" si="702"/>
      </c>
      <c r="BX260" s="30">
        <f t="shared" si="702"/>
      </c>
      <c r="BY260" s="30">
        <f t="shared" si="702"/>
      </c>
      <c r="BZ260" s="30">
        <f t="shared" si="702"/>
      </c>
      <c r="CA260" s="308">
        <f t="shared" si="702"/>
      </c>
      <c r="CB260" s="30">
        <f t="shared" ref="CB260:CH260" si="703">IF(BW254="NM","NM",IF(CB254="NM","NM",IF(BW254&lt;=0,"NM",IF(CB254=0,"NM",IF(ABS(CB254/BW254-1)&gt;2.5,"NM",IF((ABS(CB254-BW254)=ABS(ABS(CB254)-ABS(BW254))),(CB254/BW254-1),"NM"))))))</f>
      </c>
      <c r="CC260" s="30">
        <f t="shared" si="703"/>
      </c>
      <c r="CD260" s="30">
        <f>IF(BY254="NM","NM",IF(CD254="NM","NM",IF(BY254&lt;=0,"NM",IF(CD254=0,"NM",IF(ABS(CD254/BY254-1)&gt;2.5,"NM",IF((ABS(CD254-BY254)=ABS(ABS(CD254)-ABS(BY254))),(CD254/BY254-1),"NM"))))))</f>
      </c>
      <c r="CE260" s="30">
        <f>IF(BZ254="NM","NM",IF(CE254="NM","NM",IF(BZ254&lt;=0,"NM",IF(CE254=0,"NM",IF(ABS(CE254/BZ254-1)&gt;2.5,"NM",IF((ABS(CE254-BZ254)=ABS(ABS(CE254)-ABS(BZ254))),(CE254/BZ254-1),"NM"))))))</f>
      </c>
      <c r="CF260" s="308">
        <f>IF(CA254="NM","NM",IF(CF254="NM","NM",IF(CA254&lt;=0,"NM",IF(CF254=0,"NM",IF(ABS(CF254/CA254-1)&gt;2.5,"NM",IF((ABS(CF254-CA254)=ABS(ABS(CF254)-ABS(CA254))),(CF254/CA254-1),"NM"))))))</f>
      </c>
      <c r="CG260" s="30">
        <f t="shared" si="703"/>
      </c>
      <c r="CH260" s="30">
        <f t="shared" si="703"/>
      </c>
      <c r="CI260" s="30">
        <f>IF(CD254="NM","NM",IF(CI254="NM","NM",IF(CD254&lt;=0,"NM",IF(CI254=0,"NM",IF(ABS(CI254/CD254-1)&gt;2.5,"NM",IF((ABS(CI254-CD254)=ABS(ABS(CI254)-ABS(CD254))),(CI254/CD254-1),"NM"))))))</f>
      </c>
      <c r="CJ260" s="30">
        <f>IF(CE254="NM","NM",IF(CJ254="NM","NM",IF(CE254&lt;=0,"NM",IF(CJ254=0,"NM",IF(ABS(CJ254/CE254-1)&gt;2.5,"NM",IF((ABS(CJ254-CE254)=ABS(ABS(CJ254)-ABS(CE254))),(CJ254/CE254-1),"NM"))))))</f>
      </c>
      <c r="CK260" s="308">
        <f>IF(CF254=0, "NA", CK254/CF254-1)</f>
      </c>
      <c r="CL260" s="30">
        <f>IF(CG254="NM","NM",IF(CL254="NM","NM",IF(CG254&lt;=0,"NM",IF(CL254=0,"NM",IF(ABS(CL254/CG254-1)&gt;2.5,"NM",IF((ABS(CL254-CG254)=ABS(ABS(CL254)-ABS(CG254))),(CL254/CG254-1),"NM"))))))</f>
      </c>
      <c r="CM260" s="30">
        <f>IF(CH254="NM","NM",IF(CM254="NM","NM",IF(CH254&lt;=0,"NM",IF(CM254=0,"NM",IF(ABS(CM254/CH254-1)&gt;2.5,"NM",IF((ABS(CM254-CH254)=ABS(ABS(CM254)-ABS(CH254))),(CM254/CH254-1),"NM"))))))</f>
      </c>
      <c r="CN260" s="30">
        <f>IF(CI254="NM","NM",IF(CN254="NM","NM",IF(CI254&lt;=0,"NM",IF(CN254=0,"NM",IF(ABS(CN254/CI254-1)&gt;2.5,"NM",IF((ABS(CN254-CI254)=ABS(ABS(CN254)-ABS(CI254))),(CN254/CI254-1),"NM"))))))</f>
      </c>
      <c r="CO260" s="30">
        <f>IF(CJ254="NM","NM",IF(CO254="NM","NM",IF(CJ254&lt;=0,"NM",IF(CO254=0,"NM",IF(ABS(CO254/CJ254-1)&gt;2.5,"NM",IF((ABS(CO254-CJ254)=ABS(ABS(CO254)-ABS(CJ254))),(CO254/CJ254-1),"NM"))))))</f>
      </c>
      <c r="CP260" s="308">
        <f>IF(CK254=0, "NA", CP254/CK254-1)</f>
      </c>
      <c r="CQ260" s="30">
        <f>IF(CL254="NM","NM",IF(CQ254="NM","NM",IF(CL254&lt;=0,"NM",IF(CQ254=0,"NM",IF(ABS(CQ254/CL254-1)&gt;2.5,"NM",IF((ABS(CQ254-CL254)=ABS(ABS(CQ254)-ABS(CL254))),(CQ254/CL254-1),"NM"))))))</f>
      </c>
      <c r="CR260" s="30">
        <f>IF(CM254="NM","NM",IF(CR254="NM","NM",IF(CM254&lt;=0,"NM",IF(CR254=0,"NM",IF(ABS(CR254/CM254-1)&gt;2.5,"NM",IF((ABS(CR254-CM254)=ABS(ABS(CR254)-ABS(CM254))),(CR254/CM254-1),"NM"))))))</f>
      </c>
      <c r="CS260" s="30" t="str">
        <f>IF(CN254="NM","NM",IF(CS254="NM","NM",IF(CN254&lt;=0,"NM",IF(CS254=0,"NM",IF(ABS(CS254/CN254-1)&gt;2.5,"NM",IF((ABS(CS254-CN254)=ABS(ABS(CS254)-ABS(CN254))),(CS254/CN254-1),"NM"))))))</f>
      </c>
      <c r="CT260" s="30">
        <f>IF(CO254="NM","NM",IF(CT254="NM","NM",IF(CO254&lt;=0,"NM",IF(CT254=0,"NM",IF(ABS(CT254/CO254-1)&gt;2.5,"NM",IF((ABS(CT254-CO254)=ABS(ABS(CT254)-ABS(CO254))),(CT254/CO254-1),"NM"))))))</f>
      </c>
      <c r="CU260" s="308">
        <f>IF(CP254=0, "NA", CU254/CP254-1)</f>
      </c>
      <c r="CV260" s="30">
        <f>IF(CQ254="NM","NM",IF(CV254="NM","NM",IF(CQ254&lt;=0,"NM",IF(CV254=0,"NM",IF(ABS(CV254/CQ254-1)&gt;2.5,"NM",IF((ABS(CV254-CQ254)=ABS(ABS(CV254)-ABS(CQ254))),(CV254/CQ254-1),"NM"))))))</f>
      </c>
      <c r="CW260" s="30">
        <f>IF(CR254="NM","NM",IF(CW254="NM","NM",IF(CR254&lt;=0,"NM",IF(CW254=0,"NM",IF(ABS(CW254/CR254-1)&gt;2.5,"NM",IF((ABS(CW254-CR254)=ABS(ABS(CW254)-ABS(CR254))),(CW254/CR254-1),"NM"))))))</f>
      </c>
      <c r="CX260" s="30">
        <f>IF(CS254="NM","NM",IF(CX254="NM","NM",IF(CS254&lt;=0,"NM",IF(CX254=0,"NM",IF(ABS(CX254/CS254-1)&gt;2.5,"NM",IF((ABS(CX254-CS254)=ABS(ABS(CX254)-ABS(CS254))),(CX254/CS254-1),"NM"))))))</f>
      </c>
      <c r="CY260" s="926">
        <f>IF(CT254=0, "NM", CY254/CT254-1)</f>
      </c>
      <c r="CZ260" s="308">
        <f>IF(CU254=0, "NA", CZ254/CU254-1)</f>
      </c>
      <c r="DA260" s="30">
        <f>IF(CV254="NM","NM",IF(DA254="NM","NM",IF(CV254&lt;=0,"NM",IF(DA254=0,"NM",IF(ABS(DA254/CV254-1)&gt;2.5,"NM",IF((ABS(DA254-CV254)=ABS(ABS(DA254)-ABS(CV254))),(DA254/CV254-1),"NM"))))))</f>
      </c>
      <c r="DB260" s="30">
        <f>IF(CW254="NM","NM",IF(DB254="NM","NM",IF(CW254&lt;=0,"NM",IF(DB254=0,"NM",IF(ABS(DB254/CW254-1)&gt;2.5,"NM",IF((ABS(DB254-CW254)=ABS(ABS(DB254)-ABS(CW254))),(DB254/CW254-1),"NM"))))))</f>
      </c>
      <c r="DC260" s="30">
        <f>IF(CX254="NM","NM",IF(DC254="NM","NM",IF(CX254&lt;=0,"NM",IF(DC254=0,"NM",IF(ABS(DC254/CX254-1)&gt;2.5,"NM",IF((ABS(DC254-CX254)=ABS(ABS(DC254)-ABS(CX254))),(DC254/CX254-1),"NM"))))))</f>
      </c>
      <c r="DD260" s="928">
        <f>IF(CY254=0, "NM", DD254/CY254-1)</f>
      </c>
      <c r="DE260" s="1233">
        <f>IF(CZ254=0, "NA", DE254/CZ254-1)</f>
      </c>
      <c r="DF260" s="1361"/>
      <c r="DG260" s="1219"/>
      <c r="DH260" s="1219"/>
      <c r="DI260" s="928"/>
      <c r="DJ260" s="1233"/>
      <c r="DK260" s="1336"/>
      <c r="DL260" s="1361"/>
      <c r="DM260" s="1361"/>
      <c r="DN260" s="1351"/>
      <c r="DO260" s="308"/>
      <c r="DP260" s="926"/>
      <c r="DQ260" s="926"/>
      <c r="DR260" s="926"/>
      <c r="DS260" s="926"/>
      <c r="DT260" s="308"/>
      <c r="DU260" s="926"/>
      <c r="DV260" s="926"/>
      <c r="DW260" s="926"/>
      <c r="DX260" s="926"/>
      <c r="DY260" s="308"/>
      <c r="DZ260" s="926" t="str">
        <f t="shared" si="689"/>
      </c>
      <c r="EA260" s="926" t="str">
        <f t="shared" si="680"/>
      </c>
      <c r="EB260" s="926" t="str">
        <f t="shared" si="680"/>
      </c>
      <c r="EC260" s="926" t="str">
        <f t="shared" si="680"/>
      </c>
      <c r="ED260" s="1066" t="str">
        <f t="shared" si="680"/>
      </c>
      <c r="EE260" s="926" t="e">
        <f>IF(EE254=0, "NM", EE254/DZ254-1)</f>
      </c>
      <c r="EF260" s="926">
        <f t="shared" ref="EF260:EH260" si="704">IF(EF254=0, "NM", EF254/EA254-1)</f>
      </c>
      <c r="EG260" s="926" t="str">
        <f t="shared" si="680"/>
      </c>
      <c r="EH260" s="926" t="str">
        <f t="shared" si="704"/>
      </c>
      <c r="EI260" s="1066" t="str">
        <f>IF(EI255=0,"NM",+EI255/ED255-1)</f>
      </c>
      <c r="EJ260" s="1066" t="str">
        <f t="shared" si="697"/>
      </c>
      <c r="EK260" s="1066" t="str">
        <f t="shared" si="698"/>
      </c>
      <c r="EL260" s="1066" t="str">
        <f t="shared" si="699"/>
      </c>
      <c r="EM260" s="1066" t="str">
        <f t="shared" si="700"/>
      </c>
      <c r="EN260" s="1066" t="str">
        <f t="shared" si="701"/>
      </c>
      <c r="EO260" s="1066" t="str">
        <f t="shared" si="691"/>
      </c>
      <c r="EP260" s="1066" t="str">
        <f t="shared" si="692"/>
      </c>
      <c r="EQ260" s="1066" t="str">
        <f t="shared" si="693"/>
      </c>
      <c r="ER260" s="1066" t="str">
        <f t="shared" si="694"/>
      </c>
      <c r="ES260" s="1066" t="str">
        <f t="shared" si="695"/>
      </c>
      <c r="ET260" s="409"/>
      <c r="EU260" s="409"/>
      <c r="EV260" s="409"/>
      <c r="EW260" s="409"/>
      <c r="EX260" s="409"/>
    </row>
    <row r="261" spans="1:154">
      <c r="B261" s="912"/>
      <c r="C261" s="1989"/>
      <c r="D261" s="28"/>
      <c r="E261" s="28"/>
      <c r="F261" s="28"/>
      <c r="G261" s="28"/>
      <c r="H261" s="28"/>
      <c r="I261" s="31"/>
      <c r="J261" s="28"/>
      <c r="K261" s="28"/>
      <c r="L261" s="28"/>
      <c r="M261" s="28"/>
      <c r="N261" s="31"/>
      <c r="O261" s="31"/>
      <c r="P261" s="31"/>
      <c r="Q261" s="31"/>
      <c r="R261" s="31"/>
      <c r="S261" s="31"/>
      <c r="T261" s="31"/>
      <c r="U261" s="31"/>
      <c r="V261" s="31"/>
      <c r="W261" s="31"/>
      <c r="X261" s="308"/>
      <c r="Y261" s="31"/>
      <c r="Z261" s="31"/>
      <c r="AA261" s="31"/>
      <c r="AB261" s="31"/>
      <c r="AC261" s="308"/>
      <c r="AD261" s="31"/>
      <c r="AE261" s="31"/>
      <c r="AF261" s="31"/>
      <c r="AG261" s="31"/>
      <c r="AH261" s="308"/>
      <c r="AI261" s="28"/>
      <c r="AJ261" s="28"/>
      <c r="AK261" s="28"/>
      <c r="AL261" s="31"/>
      <c r="AM261" s="308"/>
      <c r="AN261" s="28"/>
      <c r="AO261" s="28"/>
      <c r="AP261" s="28"/>
      <c r="AQ261" s="31"/>
      <c r="AR261" s="308"/>
      <c r="AS261" s="28"/>
      <c r="AT261" s="28"/>
      <c r="AU261" s="28"/>
      <c r="AV261" s="28"/>
      <c r="AW261" s="308"/>
      <c r="AX261" s="28"/>
      <c r="AY261" s="28"/>
      <c r="AZ261" s="28"/>
      <c r="BA261" s="28"/>
      <c r="BB261" s="308"/>
      <c r="BC261" s="30"/>
      <c r="BD261" s="30"/>
      <c r="BE261" s="30"/>
      <c r="BF261" s="30"/>
      <c r="BG261" s="308"/>
      <c r="BH261" s="30"/>
      <c r="BI261" s="30"/>
      <c r="BJ261" s="30"/>
      <c r="BK261" s="30"/>
      <c r="BL261" s="308"/>
      <c r="BM261" s="30"/>
      <c r="BN261" s="30"/>
      <c r="BO261" s="30"/>
      <c r="BP261" s="30"/>
      <c r="BQ261" s="308"/>
      <c r="BR261" s="30"/>
      <c r="BS261" s="30"/>
      <c r="BT261" s="30"/>
      <c r="BU261" s="30"/>
      <c r="BV261" s="308"/>
      <c r="BW261" s="30"/>
      <c r="BX261" s="30"/>
      <c r="BY261" s="30"/>
      <c r="BZ261" s="30"/>
      <c r="CA261" s="308"/>
      <c r="CB261" s="30"/>
      <c r="CC261" s="30"/>
      <c r="CD261" s="30"/>
      <c r="CE261" s="30"/>
      <c r="CF261" s="308"/>
      <c r="CG261" s="30"/>
      <c r="CH261" s="30"/>
      <c r="CI261" s="30"/>
      <c r="CJ261" s="30"/>
      <c r="CK261" s="308"/>
      <c r="CL261" s="926"/>
      <c r="CM261" s="926"/>
      <c r="CN261" s="926"/>
      <c r="CO261" s="30"/>
      <c r="CP261" s="308"/>
      <c r="CQ261" s="926"/>
      <c r="CR261" s="926"/>
      <c r="CS261" s="926"/>
      <c r="CT261" s="926"/>
      <c r="CU261" s="308"/>
      <c r="CV261" s="926"/>
      <c r="CW261" s="926"/>
      <c r="CX261" s="926"/>
      <c r="CY261" s="926"/>
      <c r="CZ261" s="308"/>
      <c r="DA261" s="926"/>
      <c r="DB261" s="30"/>
      <c r="DC261" s="30"/>
      <c r="DD261" s="409"/>
      <c r="DE261" s="308"/>
      <c r="DF261" s="926"/>
      <c r="DG261" s="30"/>
      <c r="DH261" s="30"/>
      <c r="DI261" s="409"/>
      <c r="DJ261" s="308"/>
      <c r="DK261" s="1336"/>
      <c r="DL261" s="1361"/>
      <c r="DM261" s="1361"/>
      <c r="DN261" s="1351"/>
      <c r="DO261" s="308"/>
      <c r="DP261" s="1361"/>
      <c r="DQ261" s="1361"/>
      <c r="DR261" s="1361"/>
      <c r="DS261" s="1351"/>
      <c r="DT261" s="308"/>
      <c r="DU261" s="1219"/>
      <c r="DV261" s="1219"/>
      <c r="DW261" s="1219"/>
      <c r="DX261" s="1235"/>
      <c r="DY261" s="308"/>
      <c r="DZ261" s="1219"/>
      <c r="EA261" s="1219"/>
      <c r="EB261" s="1219"/>
      <c r="EC261" s="1235"/>
      <c r="ED261" s="1060"/>
      <c r="EE261" s="1219"/>
      <c r="EF261" s="1219"/>
      <c r="EG261" s="1219"/>
      <c r="EH261" s="1235"/>
      <c r="EI261" s="308"/>
      <c r="EJ261" s="409"/>
      <c r="EK261" s="409"/>
      <c r="EL261" s="409"/>
      <c r="EM261" s="409"/>
      <c r="EN261" s="308"/>
      <c r="EO261" s="409"/>
      <c r="EP261" s="409"/>
      <c r="EQ261" s="409"/>
      <c r="ER261" s="409"/>
      <c r="ES261" s="409"/>
      <c r="ET261" s="409"/>
      <c r="EU261" s="409"/>
      <c r="EV261" s="409"/>
      <c r="EW261" s="409"/>
      <c r="EX261" s="409"/>
    </row>
    <row r="262" spans="1:154">
      <c r="B262" s="1165" t="s">
        <v>513</v>
      </c>
      <c r="C262" s="2003"/>
      <c r="D262" s="1981"/>
      <c r="E262" s="461"/>
      <c r="F262" s="461"/>
      <c r="G262" s="461"/>
      <c r="H262" s="461"/>
      <c r="I262" s="462"/>
      <c r="J262" s="461"/>
      <c r="K262" s="461"/>
      <c r="L262" s="461"/>
      <c r="M262" s="461"/>
      <c r="N262" s="462"/>
      <c r="O262" s="462"/>
      <c r="P262" s="462"/>
      <c r="Q262" s="462"/>
      <c r="R262" s="462"/>
      <c r="S262" s="462"/>
      <c r="T262" s="462"/>
      <c r="U262" s="462"/>
      <c r="V262" s="462"/>
      <c r="W262" s="462"/>
      <c r="X262" s="464"/>
      <c r="Y262" s="462"/>
      <c r="Z262" s="462"/>
      <c r="AA262" s="462"/>
      <c r="AB262" s="462"/>
      <c r="AC262" s="464"/>
      <c r="AD262" s="462"/>
      <c r="AE262" s="462"/>
      <c r="AF262" s="462"/>
      <c r="AG262" s="462"/>
      <c r="AH262" s="464"/>
      <c r="AI262" s="461"/>
      <c r="AJ262" s="461"/>
      <c r="AK262" s="461"/>
      <c r="AL262" s="462"/>
      <c r="AM262" s="464"/>
      <c r="AN262" s="461"/>
      <c r="AO262" s="461"/>
      <c r="AP262" s="461"/>
      <c r="AQ262" s="462"/>
      <c r="AR262" s="464"/>
      <c r="AS262" s="461"/>
      <c r="AT262" s="461"/>
      <c r="AU262" s="461"/>
      <c r="AV262" s="461"/>
      <c r="AW262" s="464"/>
      <c r="AX262" s="461"/>
      <c r="AY262" s="461"/>
      <c r="AZ262" s="461"/>
      <c r="BA262" s="461"/>
      <c r="BB262" s="464"/>
      <c r="BC262" s="463"/>
      <c r="BD262" s="463"/>
      <c r="BE262" s="463"/>
      <c r="BF262" s="463"/>
      <c r="BG262" s="464"/>
      <c r="BH262" s="463"/>
      <c r="BI262" s="463"/>
      <c r="BJ262" s="463"/>
      <c r="BK262" s="463"/>
      <c r="BL262" s="464"/>
      <c r="BM262" s="463"/>
      <c r="BN262" s="463"/>
      <c r="BO262" s="463"/>
      <c r="BP262" s="463"/>
      <c r="BQ262" s="464"/>
      <c r="BR262" s="463"/>
      <c r="BS262" s="463"/>
      <c r="BT262" s="463"/>
      <c r="BU262" s="463"/>
      <c r="BV262" s="464"/>
      <c r="BW262" s="463"/>
      <c r="BX262" s="463"/>
      <c r="BY262" s="463"/>
      <c r="BZ262" s="463"/>
      <c r="CA262" s="464"/>
      <c r="CB262" s="463"/>
      <c r="CC262" s="463"/>
      <c r="CD262" s="463"/>
      <c r="CE262" s="463"/>
      <c r="CF262" s="464"/>
      <c r="CG262" s="463"/>
      <c r="CH262" s="463"/>
      <c r="CI262" s="463"/>
      <c r="CJ262" s="463"/>
      <c r="CK262" s="464"/>
      <c r="CL262" s="950"/>
      <c r="CM262" s="950"/>
      <c r="CN262" s="950"/>
      <c r="CO262" s="1398"/>
      <c r="CP262" s="464"/>
      <c r="CQ262" s="950"/>
      <c r="CR262" s="950"/>
      <c r="CS262" s="950"/>
      <c r="CT262" s="1142"/>
      <c r="CU262" s="464"/>
      <c r="CV262" s="950"/>
      <c r="CW262" s="950"/>
      <c r="CX262" s="950"/>
      <c r="CY262" s="1142"/>
      <c r="CZ262" s="464"/>
      <c r="DA262" s="950"/>
      <c r="DB262" s="1368"/>
      <c r="DC262" s="1368"/>
      <c r="DD262" s="1197"/>
      <c r="DE262" s="464"/>
      <c r="DF262" s="950"/>
      <c r="DG262" s="1368"/>
      <c r="DH262" s="1368"/>
      <c r="DI262" s="1197"/>
      <c r="DJ262" s="464"/>
      <c r="DK262" s="950"/>
      <c r="DL262" s="1368"/>
      <c r="DM262" s="1368"/>
      <c r="DN262" s="1197"/>
      <c r="DO262" s="464"/>
      <c r="DP262" s="1368"/>
      <c r="DQ262" s="1368"/>
      <c r="DR262" s="1368"/>
      <c r="DS262" s="1197"/>
      <c r="DT262" s="464"/>
      <c r="DU262" s="2674">
        <f>SUM(DU276,DU341,DU456,DU352)</f>
      </c>
      <c r="DV262" s="2674">
        <f>SUM(DV276,DV341,DV456,DV352)</f>
      </c>
      <c r="DW262" s="2674">
        <f>SUM(DW276,DW341,DW456,DW352)</f>
      </c>
      <c r="DX262" s="2675">
        <f>SUM(DX276,DX341,DX456,DX352)</f>
      </c>
      <c r="DY262" s="464"/>
      <c r="DZ262" s="2115"/>
      <c r="EA262" s="3509"/>
      <c r="EB262" s="3509"/>
      <c r="EC262" s="2116"/>
      <c r="ED262" s="3532"/>
      <c r="EE262" s="2115"/>
      <c r="EF262" s="3509"/>
      <c r="EG262" s="3509"/>
      <c r="EH262" s="2116"/>
      <c r="EI262" s="464"/>
      <c r="EJ262" s="464"/>
      <c r="EK262" s="464"/>
      <c r="EL262" s="464"/>
      <c r="EM262" s="464"/>
      <c r="EN262" s="3941"/>
      <c r="EO262" s="464"/>
      <c r="EP262" s="464"/>
      <c r="EQ262" s="464"/>
      <c r="ER262" s="464"/>
      <c r="ES262" s="464"/>
      <c r="ET262" s="464"/>
      <c r="EU262" s="464"/>
      <c r="EV262" s="464"/>
      <c r="EW262" s="464"/>
      <c r="EX262" s="464"/>
    </row>
    <row r="263" spans="1:154" s="529" customFormat="1">
      <c r="A263" s="3275"/>
      <c r="B263" s="1166" t="s">
        <v>921</v>
      </c>
      <c r="C263" s="2004"/>
      <c r="D263" s="523"/>
      <c r="E263" s="523"/>
      <c r="F263" s="523"/>
      <c r="G263" s="523"/>
      <c r="H263" s="523"/>
      <c r="I263" s="524"/>
      <c r="J263" s="523"/>
      <c r="K263" s="523"/>
      <c r="L263" s="523"/>
      <c r="M263" s="523"/>
      <c r="N263" s="524"/>
      <c r="O263" s="524"/>
      <c r="P263" s="524"/>
      <c r="Q263" s="524"/>
      <c r="R263" s="524"/>
      <c r="S263" s="524"/>
      <c r="T263" s="524"/>
      <c r="U263" s="524"/>
      <c r="V263" s="524"/>
      <c r="W263" s="524"/>
      <c r="X263" s="525"/>
      <c r="Y263" s="524"/>
      <c r="Z263" s="524"/>
      <c r="AA263" s="524"/>
      <c r="AB263" s="524"/>
      <c r="AC263" s="525"/>
      <c r="AD263" s="524"/>
      <c r="AE263" s="524"/>
      <c r="AF263" s="524"/>
      <c r="AG263" s="524"/>
      <c r="AH263" s="525"/>
      <c r="AI263" s="523"/>
      <c r="AJ263" s="523"/>
      <c r="AK263" s="523"/>
      <c r="AL263" s="524"/>
      <c r="AM263" s="525"/>
      <c r="AN263" s="523"/>
      <c r="AO263" s="523"/>
      <c r="AP263" s="523"/>
      <c r="AQ263" s="524"/>
      <c r="AR263" s="525"/>
      <c r="AS263" s="523"/>
      <c r="AT263" s="523"/>
      <c r="AU263" s="523"/>
      <c r="AV263" s="523"/>
      <c r="AW263" s="525"/>
      <c r="AX263" s="523"/>
      <c r="AY263" s="523"/>
      <c r="AZ263" s="523"/>
      <c r="BA263" s="523"/>
      <c r="BB263" s="525"/>
      <c r="BC263" s="526"/>
      <c r="BD263" s="526"/>
      <c r="BE263" s="526"/>
      <c r="BF263" s="526"/>
      <c r="BG263" s="525"/>
      <c r="BH263" s="526"/>
      <c r="BI263" s="526"/>
      <c r="BJ263" s="526"/>
      <c r="BK263" s="526"/>
      <c r="BL263" s="525"/>
      <c r="BM263" s="527">
        <v>688</v>
      </c>
      <c r="BN263" s="527">
        <v>684</v>
      </c>
      <c r="BO263" s="527">
        <v>634</v>
      </c>
      <c r="BP263" s="527">
        <v>611</v>
      </c>
      <c r="BQ263" s="528">
        <f>SUM(BM263:BP263)</f>
      </c>
      <c r="BR263" s="527">
        <v>674</v>
      </c>
      <c r="BS263" s="527">
        <v>658</v>
      </c>
      <c r="BT263" s="527">
        <v>678</v>
      </c>
      <c r="BU263" s="527">
        <v>601</v>
      </c>
      <c r="BV263" s="528">
        <f>SUM(BR263:BU263)</f>
      </c>
      <c r="BW263" s="527">
        <v>746</v>
      </c>
      <c r="BX263" s="527">
        <v>626</v>
      </c>
      <c r="BY263" s="527">
        <v>601</v>
      </c>
      <c r="BZ263" s="527">
        <v>611</v>
      </c>
      <c r="CA263" s="983">
        <f>SUM(BW263:BZ263)</f>
      </c>
      <c r="CB263" s="527">
        <v>601</v>
      </c>
      <c r="CC263" s="527">
        <v>600</v>
      </c>
      <c r="CD263" s="527">
        <v>606</v>
      </c>
      <c r="CE263" s="527">
        <v>645</v>
      </c>
      <c r="CF263" s="983">
        <f>SUM(CB263:CE263)</f>
      </c>
      <c r="CG263" s="527">
        <v>750</v>
      </c>
      <c r="CH263" s="527">
        <v>693</v>
      </c>
      <c r="CI263" s="527">
        <v>655</v>
      </c>
      <c r="CJ263" s="527">
        <v>752</v>
      </c>
      <c r="CK263" s="983">
        <f>SUM(CG263:CJ263)</f>
      </c>
      <c r="CL263" s="527">
        <v>680</v>
      </c>
      <c r="CM263" s="527">
        <v>695</v>
      </c>
      <c r="CN263" s="527">
        <v>622</v>
      </c>
      <c r="CO263" s="1213">
        <v>631</v>
      </c>
      <c r="CP263" s="983">
        <f>+CP295+CP274+CP454+CP365+CP387+CP431+CP442</f>
      </c>
      <c r="CQ263" s="1212">
        <v>664</v>
      </c>
      <c r="CR263" s="1212">
        <v>620</v>
      </c>
      <c r="CS263" s="1212">
        <v>647</v>
      </c>
      <c r="CT263" s="1212">
        <v>699</v>
      </c>
      <c r="CU263" s="983">
        <f>+SUM(CQ263:CT263)</f>
      </c>
      <c r="CV263" s="1212">
        <v>624</v>
      </c>
      <c r="CW263" s="1212">
        <v>639</v>
      </c>
      <c r="CX263" s="1212">
        <v>651</v>
      </c>
      <c r="CY263" s="1212">
        <v>660</v>
      </c>
      <c r="CZ263" s="983">
        <f>+SUM(CV263:CY263)</f>
      </c>
      <c r="DA263" s="1212">
        <v>723</v>
      </c>
      <c r="DB263" s="1212">
        <v>664</v>
      </c>
      <c r="DC263" s="1213">
        <v>785</v>
      </c>
      <c r="DD263" s="1480">
        <v>747</v>
      </c>
      <c r="DE263" s="518">
        <f>SUM(DA263:DD263)</f>
      </c>
      <c r="DF263" s="1131">
        <v>748</v>
      </c>
      <c r="DG263" s="1131">
        <v>778</v>
      </c>
      <c r="DH263" s="1131">
        <v>759</v>
      </c>
      <c r="DI263" s="2480">
        <v>806</v>
      </c>
      <c r="DJ263" s="1551">
        <f>SUM(DF263:DI263)</f>
      </c>
      <c r="DK263" s="1131">
        <v>771.4</v>
      </c>
      <c r="DL263" s="1131">
        <v>842</v>
      </c>
      <c r="DM263" s="1131">
        <v>835</v>
      </c>
      <c r="DN263" s="2480">
        <v>899</v>
      </c>
      <c r="DO263" s="1551">
        <f>SUM(DK263:DN263)</f>
      </c>
      <c r="DP263" s="1131">
        <v>843</v>
      </c>
      <c r="DQ263" s="1131">
        <v>896</v>
      </c>
      <c r="DR263" s="1131">
        <v>919</v>
      </c>
      <c r="DS263" s="1131">
        <v>912</v>
      </c>
      <c r="DT263" s="518">
        <f>+DT274+DT328+DT339+DT454</f>
      </c>
      <c r="DU263" s="1131">
        <v>978</v>
      </c>
      <c r="DV263" s="1131">
        <v>1029</v>
      </c>
      <c r="DW263" s="1131">
        <v>1036</v>
      </c>
      <c r="DX263" s="1131">
        <v>1021.5</v>
      </c>
      <c r="DY263" s="518">
        <f>+DY274+DY339+DY454+DY355</f>
      </c>
      <c r="DZ263" s="1131">
        <v>1054</v>
      </c>
      <c r="EA263" s="1131">
        <v>1102.4000000000001</v>
      </c>
      <c r="EB263" s="1131">
        <v>1093.5</v>
      </c>
      <c r="EC263" s="1131">
        <v>1148</v>
      </c>
      <c r="ED263" s="518">
        <f>+ED274+ED339+ED454+ED355</f>
      </c>
      <c r="EE263" s="978">
        <f>+EE274+EE339+EE454+EE350+EE285</f>
      </c>
      <c r="EF263" s="978">
        <f t="shared" ref="EF263:EF264" si="705">+EF274+EF339+EF454+EF350+EF285</f>
      </c>
      <c r="EG263" s="3540">
        <v>1367</v>
      </c>
      <c r="EH263" s="978">
        <f t="shared" ref="EH263:ES263" si="706">+EH274+EH339+EH454+EH350+EH285</f>
      </c>
      <c r="EI263" s="977">
        <f t="shared" si="706"/>
      </c>
      <c r="EJ263" s="977">
        <f t="shared" si="706"/>
      </c>
      <c r="EK263" s="977">
        <f t="shared" si="706"/>
      </c>
      <c r="EL263" s="977">
        <f t="shared" si="706"/>
      </c>
      <c r="EM263" s="977">
        <f t="shared" si="706"/>
      </c>
      <c r="EN263" s="518">
        <f t="shared" si="706"/>
      </c>
      <c r="EO263" s="977">
        <f t="shared" si="706"/>
      </c>
      <c r="EP263" s="977">
        <f t="shared" si="706"/>
      </c>
      <c r="EQ263" s="977">
        <f t="shared" si="706"/>
      </c>
      <c r="ER263" s="977">
        <f t="shared" si="706"/>
      </c>
      <c r="ES263" s="977">
        <f t="shared" si="706"/>
      </c>
      <c r="ET263" s="1763"/>
      <c r="EU263" s="1763"/>
      <c r="EV263" s="1763"/>
      <c r="EW263" s="1763"/>
      <c r="EX263" s="1763"/>
    </row>
    <row r="264" spans="1:154" s="529" customFormat="1">
      <c r="A264" s="3275"/>
      <c r="B264" s="1166" t="s">
        <v>412</v>
      </c>
      <c r="C264" s="2004"/>
      <c r="D264" s="523"/>
      <c r="E264" s="523"/>
      <c r="F264" s="523"/>
      <c r="G264" s="523"/>
      <c r="H264" s="523"/>
      <c r="I264" s="524"/>
      <c r="J264" s="523"/>
      <c r="K264" s="523"/>
      <c r="L264" s="523"/>
      <c r="M264" s="523"/>
      <c r="N264" s="524"/>
      <c r="O264" s="524"/>
      <c r="P264" s="524"/>
      <c r="Q264" s="524"/>
      <c r="R264" s="524"/>
      <c r="S264" s="524"/>
      <c r="T264" s="524"/>
      <c r="U264" s="524"/>
      <c r="V264" s="524"/>
      <c r="W264" s="524"/>
      <c r="X264" s="525"/>
      <c r="Y264" s="524"/>
      <c r="Z264" s="524"/>
      <c r="AA264" s="524"/>
      <c r="AB264" s="524"/>
      <c r="AC264" s="525"/>
      <c r="AD264" s="524"/>
      <c r="AE264" s="524"/>
      <c r="AF264" s="524"/>
      <c r="AG264" s="524"/>
      <c r="AH264" s="525"/>
      <c r="AI264" s="523"/>
      <c r="AJ264" s="523"/>
      <c r="AK264" s="523"/>
      <c r="AL264" s="524"/>
      <c r="AM264" s="525"/>
      <c r="AN264" s="523"/>
      <c r="AO264" s="523"/>
      <c r="AP264" s="523"/>
      <c r="AQ264" s="524"/>
      <c r="AR264" s="525"/>
      <c r="AS264" s="523"/>
      <c r="AT264" s="523"/>
      <c r="AU264" s="523"/>
      <c r="AV264" s="523"/>
      <c r="AW264" s="525"/>
      <c r="AX264" s="523"/>
      <c r="AY264" s="523"/>
      <c r="AZ264" s="523"/>
      <c r="BA264" s="523"/>
      <c r="BB264" s="525"/>
      <c r="BC264" s="526"/>
      <c r="BD264" s="526"/>
      <c r="BE264" s="526"/>
      <c r="BF264" s="526"/>
      <c r="BG264" s="525"/>
      <c r="BH264" s="526"/>
      <c r="BI264" s="526"/>
      <c r="BJ264" s="526"/>
      <c r="BK264" s="526"/>
      <c r="BL264" s="525"/>
      <c r="BM264" s="527">
        <v>1057</v>
      </c>
      <c r="BN264" s="527">
        <v>1096</v>
      </c>
      <c r="BO264" s="527">
        <v>1050</v>
      </c>
      <c r="BP264" s="527">
        <v>1128</v>
      </c>
      <c r="BQ264" s="528">
        <f>SUM(BM264:BP264)</f>
      </c>
      <c r="BR264" s="527">
        <v>973</v>
      </c>
      <c r="BS264" s="527">
        <v>1056</v>
      </c>
      <c r="BT264" s="527">
        <v>990</v>
      </c>
      <c r="BU264" s="527">
        <v>1088</v>
      </c>
      <c r="BV264" s="528">
        <f>SUM(BR264:BU264)</f>
      </c>
      <c r="BW264" s="527">
        <v>998</v>
      </c>
      <c r="BX264" s="527">
        <v>1054</v>
      </c>
      <c r="BY264" s="527">
        <v>991</v>
      </c>
      <c r="BZ264" s="527">
        <v>1040</v>
      </c>
      <c r="CA264" s="983">
        <f>SUM(BW264:BZ264)</f>
      </c>
      <c r="CB264" s="527">
        <v>1037</v>
      </c>
      <c r="CC264" s="527">
        <v>1027</v>
      </c>
      <c r="CD264" s="527">
        <v>965</v>
      </c>
      <c r="CE264" s="527">
        <v>1006</v>
      </c>
      <c r="CF264" s="983">
        <f>SUM(CB264:CE264)</f>
      </c>
      <c r="CG264" s="527">
        <v>868</v>
      </c>
      <c r="CH264" s="527">
        <v>871</v>
      </c>
      <c r="CI264" s="527">
        <v>821</v>
      </c>
      <c r="CJ264" s="527">
        <v>849</v>
      </c>
      <c r="CK264" s="983">
        <f>SUM(CG264:CJ264)</f>
      </c>
      <c r="CL264" s="527">
        <v>869</v>
      </c>
      <c r="CM264" s="527">
        <v>907</v>
      </c>
      <c r="CN264" s="527">
        <v>842</v>
      </c>
      <c r="CO264" s="1213">
        <v>839</v>
      </c>
      <c r="CP264" s="983">
        <f>+CP296+CP275+CP455+CP366+CP388+CP432+CP443</f>
      </c>
      <c r="CQ264" s="1213">
        <v>833</v>
      </c>
      <c r="CR264" s="1213">
        <v>847</v>
      </c>
      <c r="CS264" s="1213">
        <v>851</v>
      </c>
      <c r="CT264" s="1213">
        <v>825</v>
      </c>
      <c r="CU264" s="983">
        <f>+SUM(CQ264:CT264)</f>
      </c>
      <c r="CV264" s="1213">
        <v>935</v>
      </c>
      <c r="CW264" s="1213">
        <v>889</v>
      </c>
      <c r="CX264" s="1213">
        <v>839</v>
      </c>
      <c r="CY264" s="1213">
        <v>840</v>
      </c>
      <c r="CZ264" s="983">
        <f>+SUM(CV264:CY264)</f>
      </c>
      <c r="DA264" s="1213">
        <v>905</v>
      </c>
      <c r="DB264" s="1213">
        <v>875</v>
      </c>
      <c r="DC264" s="1213">
        <v>810</v>
      </c>
      <c r="DD264" s="1213">
        <v>819</v>
      </c>
      <c r="DE264" s="518">
        <f>SUM(DA264:DD264)</f>
      </c>
      <c r="DF264" s="1131">
        <v>910</v>
      </c>
      <c r="DG264" s="1131">
        <v>809.4</v>
      </c>
      <c r="DH264" s="1131">
        <v>846</v>
      </c>
      <c r="DI264" s="1131">
        <v>892.4</v>
      </c>
      <c r="DJ264" s="1551">
        <f>SUM(DF264:DI264)</f>
      </c>
      <c r="DK264" s="1131">
        <v>949.4</v>
      </c>
      <c r="DL264" s="1131">
        <v>967</v>
      </c>
      <c r="DM264" s="1131">
        <v>854</v>
      </c>
      <c r="DN264" s="1131">
        <v>894</v>
      </c>
      <c r="DO264" s="1551">
        <f>SUM(DK264:DN264)</f>
      </c>
      <c r="DP264" s="1131">
        <v>898</v>
      </c>
      <c r="DQ264" s="1131">
        <v>837</v>
      </c>
      <c r="DR264" s="1131">
        <v>762</v>
      </c>
      <c r="DS264" s="1131">
        <v>825</v>
      </c>
      <c r="DT264" s="518">
        <f>+DT275+DT329+DT340+DT455</f>
      </c>
      <c r="DU264" s="1131">
        <v>826</v>
      </c>
      <c r="DV264" s="1131">
        <v>764.3</v>
      </c>
      <c r="DW264" s="1131">
        <v>706</v>
      </c>
      <c r="DX264" s="1131">
        <v>779.5</v>
      </c>
      <c r="DY264" s="518">
        <f>+DY275+DY340+DY455+DY356</f>
      </c>
      <c r="DZ264" s="3443">
        <v>749</v>
      </c>
      <c r="EA264" s="1131">
        <v>679.4</v>
      </c>
      <c r="EB264" s="1131">
        <v>661.5</v>
      </c>
      <c r="EC264" s="1131">
        <v>628</v>
      </c>
      <c r="ED264" s="518">
        <f>+ED275+ED340+ED455+ED356</f>
      </c>
      <c r="EE264" s="978">
        <f>+EE275+EE340+EE455+EE351+EE286</f>
      </c>
      <c r="EF264" s="978">
        <f t="shared" si="705"/>
      </c>
      <c r="EG264" s="1857">
        <v>658</v>
      </c>
      <c r="EH264" s="978">
        <f t="shared" ref="EH264:ES264" si="707">+EH275+EH340+EH455+EH351+EH286</f>
      </c>
      <c r="EI264" s="977">
        <f t="shared" si="707"/>
      </c>
      <c r="EJ264" s="977">
        <f t="shared" si="707"/>
      </c>
      <c r="EK264" s="977">
        <f t="shared" si="707"/>
      </c>
      <c r="EL264" s="977">
        <f t="shared" si="707"/>
      </c>
      <c r="EM264" s="977">
        <f t="shared" si="707"/>
      </c>
      <c r="EN264" s="518">
        <f t="shared" si="707"/>
      </c>
      <c r="EO264" s="977">
        <f t="shared" si="707"/>
      </c>
      <c r="EP264" s="977">
        <f t="shared" si="707"/>
      </c>
      <c r="EQ264" s="977">
        <f t="shared" si="707"/>
      </c>
      <c r="ER264" s="977">
        <f t="shared" si="707"/>
      </c>
      <c r="ES264" s="977">
        <f t="shared" si="707"/>
      </c>
      <c r="ET264" s="983"/>
      <c r="EU264" s="983"/>
      <c r="EV264" s="983"/>
      <c r="EW264" s="983"/>
      <c r="EX264" s="983"/>
    </row>
    <row r="265" spans="1:154" s="529" customFormat="1">
      <c r="A265" s="3275" t="str">
        <f>+B262</f>
      </c>
      <c r="B265" s="1166" t="s">
        <v>413</v>
      </c>
      <c r="C265" s="2004"/>
      <c r="D265" s="523"/>
      <c r="E265" s="523"/>
      <c r="F265" s="523"/>
      <c r="G265" s="523"/>
      <c r="H265" s="523"/>
      <c r="I265" s="524"/>
      <c r="J265" s="523"/>
      <c r="K265" s="523"/>
      <c r="L265" s="523"/>
      <c r="M265" s="523"/>
      <c r="N265" s="524"/>
      <c r="O265" s="524"/>
      <c r="P265" s="524"/>
      <c r="Q265" s="524"/>
      <c r="R265" s="524"/>
      <c r="S265" s="524"/>
      <c r="T265" s="524"/>
      <c r="U265" s="524"/>
      <c r="V265" s="524"/>
      <c r="W265" s="524"/>
      <c r="X265" s="525"/>
      <c r="Y265" s="524"/>
      <c r="Z265" s="524"/>
      <c r="AA265" s="524"/>
      <c r="AB265" s="524"/>
      <c r="AC265" s="525"/>
      <c r="AD265" s="524"/>
      <c r="AE265" s="524"/>
      <c r="AF265" s="524"/>
      <c r="AG265" s="524"/>
      <c r="AH265" s="525"/>
      <c r="AI265" s="523"/>
      <c r="AJ265" s="523"/>
      <c r="AK265" s="523"/>
      <c r="AL265" s="524"/>
      <c r="AM265" s="525"/>
      <c r="AN265" s="523"/>
      <c r="AO265" s="523"/>
      <c r="AP265" s="523"/>
      <c r="AQ265" s="524"/>
      <c r="AR265" s="525"/>
      <c r="AS265" s="523"/>
      <c r="AT265" s="523"/>
      <c r="AU265" s="523"/>
      <c r="AV265" s="523"/>
      <c r="AW265" s="525"/>
      <c r="AX265" s="523"/>
      <c r="AY265" s="523"/>
      <c r="AZ265" s="523"/>
      <c r="BA265" s="523"/>
      <c r="BB265" s="525"/>
      <c r="BC265" s="526"/>
      <c r="BD265" s="526"/>
      <c r="BE265" s="526"/>
      <c r="BF265" s="526"/>
      <c r="BG265" s="525"/>
      <c r="BH265" s="526"/>
      <c r="BI265" s="526"/>
      <c r="BJ265" s="526"/>
      <c r="BK265" s="526"/>
      <c r="BL265" s="525"/>
      <c r="BM265" s="530">
        <f t="shared" ref="BM265:BZ265" si="708">+BM263+BM264</f>
      </c>
      <c r="BN265" s="530">
        <f t="shared" si="708"/>
      </c>
      <c r="BO265" s="530">
        <f t="shared" si="708"/>
      </c>
      <c r="BP265" s="530">
        <f t="shared" si="708"/>
      </c>
      <c r="BQ265" s="528">
        <f t="shared" si="708"/>
      </c>
      <c r="BR265" s="530">
        <f t="shared" si="708"/>
      </c>
      <c r="BS265" s="530">
        <f t="shared" si="708"/>
      </c>
      <c r="BT265" s="530">
        <f t="shared" si="708"/>
      </c>
      <c r="BU265" s="530">
        <f t="shared" si="708"/>
      </c>
      <c r="BV265" s="528">
        <f t="shared" si="708"/>
      </c>
      <c r="BW265" s="530">
        <f t="shared" si="708"/>
      </c>
      <c r="BX265" s="530">
        <f t="shared" si="708"/>
      </c>
      <c r="BY265" s="530">
        <f t="shared" si="708"/>
      </c>
      <c r="BZ265" s="530">
        <f t="shared" si="708"/>
      </c>
      <c r="CA265" s="983">
        <f>SUM(BW265:BZ265)</f>
      </c>
      <c r="CB265" s="530">
        <f>+CB263+CB264</f>
      </c>
      <c r="CC265" s="530">
        <f>+CC263+CC264</f>
      </c>
      <c r="CD265" s="530">
        <f>+CD263+CD264</f>
      </c>
      <c r="CE265" s="530">
        <f>+CE263+CE264</f>
      </c>
      <c r="CF265" s="983">
        <f>SUM(CB265:CE265)</f>
      </c>
      <c r="CG265" s="530">
        <f>+CG263+CG264</f>
      </c>
      <c r="CH265" s="530">
        <f>+CH263+CH264</f>
      </c>
      <c r="CI265" s="530">
        <f>+CI263+CI264</f>
      </c>
      <c r="CJ265" s="530">
        <f>+CJ263+CJ264</f>
      </c>
      <c r="CK265" s="983">
        <f>SUM(CG265:CJ265)</f>
      </c>
      <c r="CL265" s="530">
        <f t="shared" ref="CL265:CS265" si="709">+CL263+CL264</f>
      </c>
      <c r="CM265" s="530">
        <f t="shared" si="709"/>
      </c>
      <c r="CN265" s="530">
        <f t="shared" si="709"/>
      </c>
      <c r="CO265" s="530">
        <f t="shared" si="709"/>
      </c>
      <c r="CP265" s="983">
        <f t="shared" si="709"/>
      </c>
      <c r="CQ265" s="530">
        <f t="shared" si="709"/>
      </c>
      <c r="CR265" s="530">
        <f t="shared" si="709"/>
      </c>
      <c r="CS265" s="530">
        <f t="shared" si="709"/>
      </c>
      <c r="CT265" s="530">
        <f>+CT263+CT264</f>
      </c>
      <c r="CU265" s="983">
        <f>+SUM(CQ265:CT265)</f>
      </c>
      <c r="CV265" s="530">
        <f>+CV263+CV264</f>
      </c>
      <c r="CW265" s="530">
        <f>+CW263+CW264</f>
      </c>
      <c r="CX265" s="530">
        <f>+CX263+CX264</f>
      </c>
      <c r="CY265" s="530">
        <f>+CY263+CY264</f>
      </c>
      <c r="CZ265" s="983">
        <f>+SUM(CV265:CY265)</f>
      </c>
      <c r="DA265" s="530">
        <f>+DA263+DA264</f>
      </c>
      <c r="DB265" s="530">
        <f>+DB263+DB264</f>
      </c>
      <c r="DC265" s="965">
        <f>+DC263+DC264</f>
      </c>
      <c r="DD265" s="530">
        <f>+DD263+DD264</f>
      </c>
      <c r="DE265" s="518">
        <f>SUM(DA265:DD265)</f>
      </c>
      <c r="DF265" s="978">
        <f>+DF263+DF264</f>
      </c>
      <c r="DG265" s="978">
        <f>+DG263+DG264</f>
      </c>
      <c r="DH265" s="978">
        <f>+DH263+DH264</f>
      </c>
      <c r="DI265" s="1733">
        <f>+DI263+DI264</f>
      </c>
      <c r="DJ265" s="1551">
        <f>SUM(DF265:DI265)</f>
      </c>
      <c r="DK265" s="978">
        <f t="shared" ref="DK265:DY265" si="710">+DK263+DK264</f>
      </c>
      <c r="DL265" s="978">
        <f t="shared" si="710"/>
      </c>
      <c r="DM265" s="978">
        <f t="shared" si="710"/>
      </c>
      <c r="DN265" s="978">
        <f t="shared" si="710"/>
      </c>
      <c r="DO265" s="518">
        <f t="shared" si="710"/>
      </c>
      <c r="DP265" s="978">
        <f t="shared" si="710"/>
      </c>
      <c r="DQ265" s="978">
        <f t="shared" si="710"/>
      </c>
      <c r="DR265" s="978">
        <f t="shared" si="710"/>
      </c>
      <c r="DS265" s="978">
        <f t="shared" si="710"/>
      </c>
      <c r="DT265" s="518">
        <f t="shared" si="710"/>
      </c>
      <c r="DU265" s="978">
        <f t="shared" si="710"/>
      </c>
      <c r="DV265" s="978">
        <f>+DV263+DV264</f>
      </c>
      <c r="DW265" s="978">
        <f>+DW263+DW264</f>
      </c>
      <c r="DX265" s="978">
        <f>+DX263+DX264</f>
      </c>
      <c r="DY265" s="518">
        <f t="shared" si="710"/>
      </c>
      <c r="DZ265" s="978">
        <f t="shared" ref="DZ265:ED265" si="711">+DZ263+DZ264</f>
      </c>
      <c r="EA265" s="978">
        <f t="shared" si="711"/>
      </c>
      <c r="EB265" s="978">
        <f t="shared" si="711"/>
      </c>
      <c r="EC265" s="978">
        <f t="shared" si="711"/>
      </c>
      <c r="ED265" s="518">
        <f t="shared" si="711"/>
      </c>
      <c r="EE265" s="978">
        <f t="shared" ref="EE265" si="712">+EE263+EE264</f>
      </c>
      <c r="EF265" s="978">
        <f t="shared" ref="EF265" si="713">+EF263+EF264</f>
      </c>
      <c r="EG265" s="1777">
        <f t="shared" ref="EG265" si="714">SUM(EG263:EG264)</f>
      </c>
      <c r="EH265" s="978">
        <f t="shared" ref="EH265:ES265" si="715">+EH263+EH264</f>
      </c>
      <c r="EI265" s="518">
        <f t="shared" si="715"/>
      </c>
      <c r="EJ265" s="518">
        <f t="shared" si="715"/>
      </c>
      <c r="EK265" s="518">
        <f t="shared" si="715"/>
      </c>
      <c r="EL265" s="975">
        <f t="shared" si="715"/>
      </c>
      <c r="EM265" s="518">
        <f t="shared" si="715"/>
      </c>
      <c r="EN265" s="518">
        <f t="shared" si="715"/>
      </c>
      <c r="EO265" s="518">
        <f t="shared" si="715"/>
      </c>
      <c r="EP265" s="518">
        <f t="shared" si="715"/>
      </c>
      <c r="EQ265" s="518">
        <f t="shared" si="715"/>
      </c>
      <c r="ER265" s="518">
        <f t="shared" si="715"/>
      </c>
      <c r="ES265" s="518">
        <f t="shared" si="715"/>
      </c>
      <c r="ET265" s="983"/>
      <c r="EU265" s="983"/>
      <c r="EV265" s="983"/>
      <c r="EW265" s="983"/>
      <c r="EX265" s="983"/>
    </row>
    <row r="266" spans="1:154" s="474" customFormat="1">
      <c r="A266" s="3275"/>
      <c r="B266" s="1167"/>
      <c r="C266" s="2005"/>
      <c r="D266" s="241"/>
      <c r="E266" s="241"/>
      <c r="F266" s="241"/>
      <c r="G266" s="241"/>
      <c r="H266" s="241"/>
      <c r="I266" s="466"/>
      <c r="J266" s="241"/>
      <c r="K266" s="241"/>
      <c r="L266" s="241"/>
      <c r="M266" s="241"/>
      <c r="N266" s="466"/>
      <c r="O266" s="466"/>
      <c r="P266" s="466"/>
      <c r="Q266" s="466"/>
      <c r="R266" s="466"/>
      <c r="S266" s="466"/>
      <c r="T266" s="466"/>
      <c r="U266" s="466"/>
      <c r="V266" s="466"/>
      <c r="W266" s="466"/>
      <c r="X266" s="329"/>
      <c r="Y266" s="466"/>
      <c r="Z266" s="466"/>
      <c r="AA266" s="466"/>
      <c r="AB266" s="466"/>
      <c r="AC266" s="329"/>
      <c r="AD266" s="466"/>
      <c r="AE266" s="466"/>
      <c r="AF266" s="466"/>
      <c r="AG266" s="466"/>
      <c r="AH266" s="329"/>
      <c r="AI266" s="241"/>
      <c r="AJ266" s="241"/>
      <c r="AK266" s="241"/>
      <c r="AL266" s="466"/>
      <c r="AM266" s="329"/>
      <c r="AN266" s="241"/>
      <c r="AO266" s="241"/>
      <c r="AP266" s="241"/>
      <c r="AQ266" s="466"/>
      <c r="AR266" s="329"/>
      <c r="AS266" s="241"/>
      <c r="AT266" s="241"/>
      <c r="AU266" s="241"/>
      <c r="AV266" s="241"/>
      <c r="AW266" s="329"/>
      <c r="AX266" s="241"/>
      <c r="AY266" s="241"/>
      <c r="AZ266" s="241"/>
      <c r="BA266" s="241"/>
      <c r="BB266" s="329"/>
      <c r="BC266" s="446"/>
      <c r="BD266" s="446"/>
      <c r="BE266" s="446"/>
      <c r="BF266" s="446"/>
      <c r="BG266" s="329"/>
      <c r="BH266" s="446"/>
      <c r="BI266" s="446"/>
      <c r="BJ266" s="446"/>
      <c r="BK266" s="446"/>
      <c r="BL266" s="329"/>
      <c r="BM266" s="446"/>
      <c r="BN266" s="446"/>
      <c r="BO266" s="446"/>
      <c r="BP266" s="446"/>
      <c r="BQ266" s="329"/>
      <c r="BR266" s="446"/>
      <c r="BS266" s="446"/>
      <c r="BT266" s="446"/>
      <c r="BU266" s="446"/>
      <c r="BV266" s="329"/>
      <c r="BW266" s="446"/>
      <c r="BX266" s="446"/>
      <c r="BY266" s="446"/>
      <c r="BZ266" s="446"/>
      <c r="CA266" s="329"/>
      <c r="CB266" s="446"/>
      <c r="CC266" s="446"/>
      <c r="CD266" s="446"/>
      <c r="CE266" s="446"/>
      <c r="CF266" s="329"/>
      <c r="CG266" s="446"/>
      <c r="CH266" s="446"/>
      <c r="CI266" s="446"/>
      <c r="CJ266" s="446"/>
      <c r="CK266" s="329"/>
      <c r="CL266" s="966"/>
      <c r="CM266" s="967"/>
      <c r="CN266" s="967"/>
      <c r="CO266" s="1356"/>
      <c r="CP266" s="329"/>
      <c r="CQ266" s="967"/>
      <c r="CR266" s="967"/>
      <c r="CS266" s="967"/>
      <c r="CT266" s="967"/>
      <c r="CU266" s="329"/>
      <c r="CV266" s="967"/>
      <c r="CW266" s="967"/>
      <c r="CX266" s="967"/>
      <c r="CY266" s="967"/>
      <c r="CZ266" s="329"/>
      <c r="DA266" s="972"/>
      <c r="DB266" s="1396"/>
      <c r="DC266" s="1396"/>
      <c r="DD266" s="972"/>
      <c r="DE266" s="469"/>
      <c r="DF266" s="972"/>
      <c r="DG266" s="1396"/>
      <c r="DH266" s="1396"/>
      <c r="DI266" s="972"/>
      <c r="DJ266" s="469"/>
      <c r="DK266" s="1396"/>
      <c r="DL266" s="1396"/>
      <c r="DM266" s="1396"/>
      <c r="DN266" s="1396"/>
      <c r="DO266" s="469"/>
      <c r="DP266" s="1396"/>
      <c r="DQ266" s="1396"/>
      <c r="DR266" s="1396"/>
      <c r="DS266" s="1396"/>
      <c r="DT266" s="469"/>
      <c r="DU266" s="972"/>
      <c r="DV266" s="972"/>
      <c r="DW266" s="972"/>
      <c r="DX266" s="972"/>
      <c r="DY266" s="469"/>
      <c r="DZ266" s="972"/>
      <c r="EA266" s="972"/>
      <c r="EB266" s="972"/>
      <c r="EC266" s="972"/>
      <c r="ED266" s="3533"/>
      <c r="EE266" s="972"/>
      <c r="EF266" s="972"/>
      <c r="EG266" s="972"/>
      <c r="EH266" s="972"/>
      <c r="EI266" s="469"/>
      <c r="EJ266" s="469"/>
      <c r="EK266" s="469"/>
      <c r="EL266" s="469"/>
      <c r="EM266" s="469"/>
      <c r="EN266" s="469"/>
      <c r="EO266" s="469"/>
      <c r="EP266" s="469"/>
      <c r="EQ266" s="469"/>
      <c r="ER266" s="469"/>
      <c r="ES266" s="469"/>
      <c r="ET266" s="329"/>
      <c r="EU266" s="329"/>
      <c r="EV266" s="329"/>
      <c r="EW266" s="329"/>
      <c r="EX266" s="329"/>
    </row>
    <row r="267" spans="1:154">
      <c r="B267" s="453" t="s">
        <v>895</v>
      </c>
      <c r="C267" s="1989"/>
      <c r="D267" s="28"/>
      <c r="E267" s="28"/>
      <c r="F267" s="28"/>
      <c r="G267" s="28"/>
      <c r="H267" s="28"/>
      <c r="I267" s="31"/>
      <c r="J267" s="28"/>
      <c r="K267" s="28"/>
      <c r="L267" s="28"/>
      <c r="M267" s="28"/>
      <c r="N267" s="31"/>
      <c r="O267" s="31"/>
      <c r="P267" s="31"/>
      <c r="Q267" s="31"/>
      <c r="R267" s="31"/>
      <c r="S267" s="31"/>
      <c r="T267" s="31"/>
      <c r="U267" s="31"/>
      <c r="V267" s="31"/>
      <c r="W267" s="31"/>
      <c r="X267" s="308"/>
      <c r="Y267" s="31"/>
      <c r="Z267" s="31"/>
      <c r="AA267" s="31"/>
      <c r="AB267" s="31"/>
      <c r="AC267" s="308"/>
      <c r="AD267" s="31"/>
      <c r="AE267" s="31"/>
      <c r="AF267" s="31"/>
      <c r="AG267" s="31"/>
      <c r="AH267" s="308"/>
      <c r="AI267" s="28"/>
      <c r="AJ267" s="28"/>
      <c r="AK267" s="28"/>
      <c r="AL267" s="31"/>
      <c r="AM267" s="308"/>
      <c r="AN267" s="28"/>
      <c r="AO267" s="28"/>
      <c r="AP267" s="28"/>
      <c r="AQ267" s="31"/>
      <c r="AR267" s="308"/>
      <c r="AS267" s="28"/>
      <c r="AT267" s="28"/>
      <c r="AU267" s="28"/>
      <c r="AV267" s="28"/>
      <c r="AW267" s="308"/>
      <c r="AX267" s="28"/>
      <c r="AY267" s="28"/>
      <c r="AZ267" s="28"/>
      <c r="BA267" s="28"/>
      <c r="BB267" s="308"/>
      <c r="BC267" s="30"/>
      <c r="BD267" s="30"/>
      <c r="BE267" s="30"/>
      <c r="BF267" s="30"/>
      <c r="BG267" s="308"/>
      <c r="BH267" s="30"/>
      <c r="BI267" s="30"/>
      <c r="BJ267" s="30"/>
      <c r="BK267" s="30"/>
      <c r="BL267" s="308"/>
      <c r="BM267" s="30"/>
      <c r="BN267" s="30"/>
      <c r="BO267" s="30"/>
      <c r="BP267" s="30"/>
      <c r="BQ267" s="308"/>
      <c r="BR267" s="30"/>
      <c r="BS267" s="30"/>
      <c r="BT267" s="30"/>
      <c r="BU267" s="30"/>
      <c r="BV267" s="308"/>
      <c r="BW267" s="30"/>
      <c r="BX267" s="30"/>
      <c r="BY267" s="30"/>
      <c r="BZ267" s="30"/>
      <c r="CA267" s="308"/>
      <c r="CB267" s="30"/>
      <c r="CC267" s="30"/>
      <c r="CD267" s="30"/>
      <c r="CE267" s="30"/>
      <c r="CF267" s="308"/>
      <c r="CG267" s="30"/>
      <c r="CH267" s="30"/>
      <c r="CI267" s="30"/>
      <c r="CJ267" s="30"/>
      <c r="CK267" s="308"/>
      <c r="CL267" s="958"/>
      <c r="CM267" s="926"/>
      <c r="CN267" s="926"/>
      <c r="CO267" s="30"/>
      <c r="CP267" s="308"/>
      <c r="CQ267" s="926"/>
      <c r="CR267" s="926"/>
      <c r="CS267" s="926"/>
      <c r="CT267" s="926"/>
      <c r="CU267" s="308"/>
      <c r="CV267" s="926"/>
      <c r="CW267" s="926"/>
      <c r="CX267" s="926"/>
      <c r="CY267" s="926"/>
      <c r="CZ267" s="308"/>
      <c r="DA267" s="926"/>
      <c r="DB267" s="30"/>
      <c r="DC267" s="30"/>
      <c r="DD267" s="926"/>
      <c r="DE267" s="308"/>
      <c r="DF267" s="926"/>
      <c r="DG267" s="30"/>
      <c r="DH267" s="30"/>
      <c r="DI267" s="926"/>
      <c r="DJ267" s="308"/>
      <c r="DK267" s="30"/>
      <c r="DL267" s="30"/>
      <c r="DM267" s="30"/>
      <c r="DN267" s="30"/>
      <c r="DO267" s="308"/>
      <c r="DP267" s="30"/>
      <c r="DQ267" s="30"/>
      <c r="DR267" s="30"/>
      <c r="DS267" s="30"/>
      <c r="DT267" s="308"/>
      <c r="DU267" s="926"/>
      <c r="DV267" s="926"/>
      <c r="DW267" s="926"/>
      <c r="DX267" s="926"/>
      <c r="DY267" s="308"/>
      <c r="DZ267" s="926"/>
      <c r="EA267" s="926"/>
      <c r="EB267" s="926"/>
      <c r="EC267" s="926"/>
      <c r="ED267" s="3533"/>
      <c r="EE267" s="926"/>
      <c r="EF267" s="926"/>
      <c r="EG267" s="926"/>
      <c r="EH267" s="926"/>
      <c r="EI267" s="308"/>
      <c r="EJ267" s="308"/>
      <c r="EK267" s="308"/>
      <c r="EL267" s="308"/>
      <c r="EM267" s="308"/>
      <c r="EN267" s="308"/>
      <c r="EO267" s="308"/>
      <c r="EP267" s="308"/>
      <c r="EQ267" s="308"/>
      <c r="ER267" s="308"/>
      <c r="ES267" s="308"/>
      <c r="ET267" s="308"/>
      <c r="EU267" s="308"/>
      <c r="EV267" s="308"/>
      <c r="EW267" s="308"/>
      <c r="EX267" s="308"/>
    </row>
    <row r="268" spans="1:154">
      <c r="B268" s="454" t="s">
        <v>921</v>
      </c>
      <c r="C268" s="1989"/>
      <c r="D268" s="28"/>
      <c r="E268" s="28"/>
      <c r="F268" s="28"/>
      <c r="G268" s="28"/>
      <c r="H268" s="28"/>
      <c r="I268" s="31"/>
      <c r="J268" s="28"/>
      <c r="K268" s="28"/>
      <c r="L268" s="28"/>
      <c r="M268" s="28"/>
      <c r="N268" s="31"/>
      <c r="O268" s="31"/>
      <c r="P268" s="31"/>
      <c r="Q268" s="31"/>
      <c r="R268" s="31"/>
      <c r="S268" s="31"/>
      <c r="T268" s="31"/>
      <c r="U268" s="31"/>
      <c r="V268" s="31"/>
      <c r="W268" s="31"/>
      <c r="X268" s="308"/>
      <c r="Y268" s="31"/>
      <c r="Z268" s="31"/>
      <c r="AA268" s="31"/>
      <c r="AB268" s="31"/>
      <c r="AC268" s="308"/>
      <c r="AD268" s="31"/>
      <c r="AE268" s="31"/>
      <c r="AF268" s="31"/>
      <c r="AG268" s="31"/>
      <c r="AH268" s="308"/>
      <c r="AI268" s="28"/>
      <c r="AJ268" s="28"/>
      <c r="AK268" s="28"/>
      <c r="AL268" s="31"/>
      <c r="AM268" s="308"/>
      <c r="AN268" s="28"/>
      <c r="AO268" s="28"/>
      <c r="AP268" s="28"/>
      <c r="AQ268" s="31"/>
      <c r="AR268" s="308"/>
      <c r="AS268" s="28"/>
      <c r="AT268" s="28"/>
      <c r="AU268" s="28"/>
      <c r="AV268" s="28"/>
      <c r="AW268" s="308"/>
      <c r="AX268" s="28"/>
      <c r="AY268" s="28"/>
      <c r="AZ268" s="28"/>
      <c r="BA268" s="28"/>
      <c r="BB268" s="308"/>
      <c r="BC268" s="30"/>
      <c r="BD268" s="30"/>
      <c r="BE268" s="30"/>
      <c r="BF268" s="30"/>
      <c r="BG268" s="308"/>
      <c r="BH268" s="30"/>
      <c r="BI268" s="30"/>
      <c r="BJ268" s="30"/>
      <c r="BK268" s="30"/>
      <c r="BL268" s="308"/>
      <c r="BM268" s="30" t="str">
        <f t="shared" ref="BM268:CA269" si="716">IF(BH263="NM","NM",IF(BM263="NM","NM",IF(BH263&lt;=0,"NM",IF(BM263=0,"NM",IF(ABS(BM263/BH263-1)&gt;2.5,"NM",IF((ABS(BM263-BH263)=ABS(ABS(BM263)-ABS(BH263))),(BM263/BH263-1),"NM"))))))</f>
      </c>
      <c r="BN268" s="30" t="str">
        <f t="shared" si="716"/>
      </c>
      <c r="BO268" s="30" t="str">
        <f t="shared" si="716"/>
      </c>
      <c r="BP268" s="30" t="str">
        <f t="shared" si="716"/>
      </c>
      <c r="BQ268" s="308" t="str">
        <f t="shared" si="716"/>
      </c>
      <c r="BR268" s="30">
        <f t="shared" si="716"/>
      </c>
      <c r="BS268" s="30">
        <f t="shared" si="716"/>
      </c>
      <c r="BT268" s="30">
        <f t="shared" si="716"/>
      </c>
      <c r="BU268" s="30">
        <f t="shared" si="716"/>
      </c>
      <c r="BV268" s="308">
        <f t="shared" si="716"/>
      </c>
      <c r="BW268" s="30">
        <f t="shared" si="716"/>
      </c>
      <c r="BX268" s="30">
        <f t="shared" si="716"/>
      </c>
      <c r="BY268" s="30">
        <f t="shared" si="716"/>
      </c>
      <c r="BZ268" s="30">
        <f t="shared" si="716"/>
      </c>
      <c r="CA268" s="308">
        <f t="shared" si="716"/>
      </c>
      <c r="CB268" s="30">
        <f t="shared" ref="CB268:CE269" si="717">IF(BW263="NM","NM",IF(CB263="NM","NM",IF(BW263&lt;=0,"NM",IF(CB263=0,"NM",IF(ABS(CB263/BW263-1)&gt;2.5,"NM",IF((ABS(CB263-BW263)=ABS(ABS(CB263)-ABS(BW263))),(CB263/BW263-1),"NM"))))))</f>
      </c>
      <c r="CC268" s="30">
        <f t="shared" si="717"/>
      </c>
      <c r="CD268" s="30">
        <f t="shared" si="717"/>
      </c>
      <c r="CE268" s="30">
        <f t="shared" si="717"/>
      </c>
      <c r="CF268" s="308">
        <f>IF(CA263="NM","NM",IF(CF263="NM","NM",IF(CA263&lt;=0,"NM",IF(CF263=0,"NM",IF(ABS(CF263/CA263-1)&gt;2.5,"NM",IF((ABS(CF263-CA263)=ABS(ABS(CF263)-ABS(CA263))),(CF263/CA263-1),"NM"))))))</f>
      </c>
      <c r="CG268" s="30">
        <f>IF(CB263=0, "NA", CG263/CB263-1)</f>
      </c>
      <c r="CH268" s="30">
        <f t="shared" ref="CH268:CO269" si="718">IF(CC263=0, "NA", CH263/CC263-1)</f>
      </c>
      <c r="CI268" s="30">
        <f t="shared" si="718"/>
      </c>
      <c r="CJ268" s="30">
        <f>IF(CE263=0, "NA", CJ263/CE263-1)</f>
      </c>
      <c r="CK268" s="308">
        <f>IF(CF263=0, "NA", CK263/CF263-1)</f>
      </c>
      <c r="CL268" s="30">
        <f t="shared" si="718"/>
      </c>
      <c r="CM268" s="30">
        <f t="shared" si="718"/>
      </c>
      <c r="CN268" s="30">
        <f t="shared" si="718"/>
      </c>
      <c r="CO268" s="30">
        <f t="shared" si="718"/>
      </c>
      <c r="CP268" s="308">
        <f>IF(CK263=0, "NA", CP263/CK263-1)</f>
      </c>
      <c r="CQ268" s="926">
        <f>IF(CL263=0, "NA", CQ263/CL263-1)</f>
      </c>
      <c r="CR268" s="926">
        <f t="shared" ref="CR268:CT269" si="719">IF(CM263=0, "NA", CR263/CM263-1)</f>
      </c>
      <c r="CS268" s="926">
        <f t="shared" si="719"/>
      </c>
      <c r="CT268" s="926">
        <f t="shared" si="719"/>
      </c>
      <c r="CU268" s="308">
        <f t="shared" ref="CU268:CX269" si="720">IF(CP263=0, "NA", CU263/CP263-1)</f>
      </c>
      <c r="CV268" s="926">
        <f t="shared" si="720"/>
      </c>
      <c r="CW268" s="926">
        <f t="shared" si="720"/>
      </c>
      <c r="CX268" s="926">
        <f t="shared" si="720"/>
      </c>
      <c r="CY268" s="926">
        <f t="shared" ref="CY268:DC269" si="721">IF(CT263=0, "NA", CY263/CT263-1)</f>
      </c>
      <c r="CZ268" s="308">
        <f t="shared" si="721"/>
      </c>
      <c r="DA268" s="926">
        <f t="shared" si="721"/>
      </c>
      <c r="DB268" s="30">
        <f t="shared" si="721"/>
      </c>
      <c r="DC268" s="30">
        <f t="shared" si="721"/>
      </c>
      <c r="DD268" s="30">
        <f>IF(DD263=0,"NM",+DD263/CY263-1)</f>
      </c>
      <c r="DE268" s="308">
        <f t="shared" ref="DE268:DH269" si="722">IF(CZ263=0, "NA", DE263/CZ263-1)</f>
      </c>
      <c r="DF268" s="926">
        <f t="shared" si="722"/>
      </c>
      <c r="DG268" s="30">
        <f t="shared" si="722"/>
      </c>
      <c r="DH268" s="30">
        <f t="shared" si="722"/>
      </c>
      <c r="DI268" s="30">
        <f>IF(DI263=0,"NM",+DI263/DD263-1)</f>
      </c>
      <c r="DJ268" s="308">
        <f t="shared" ref="DJ268:DZ269" si="723">IF(DE263=0, "NA", DJ263/DE263-1)</f>
      </c>
      <c r="DK268" s="30">
        <f t="shared" si="723"/>
      </c>
      <c r="DL268" s="30">
        <f t="shared" si="723"/>
      </c>
      <c r="DM268" s="30">
        <f t="shared" si="723"/>
      </c>
      <c r="DN268" s="30">
        <f t="shared" si="723"/>
      </c>
      <c r="DO268" s="308">
        <f t="shared" si="723"/>
      </c>
      <c r="DP268" s="30">
        <f t="shared" si="723"/>
      </c>
      <c r="DQ268" s="30">
        <f t="shared" si="723"/>
      </c>
      <c r="DR268" s="30">
        <f t="shared" si="723"/>
      </c>
      <c r="DS268" s="30">
        <f t="shared" si="723"/>
      </c>
      <c r="DT268" s="308">
        <f t="shared" si="723"/>
      </c>
      <c r="DU268" s="926">
        <f t="shared" si="723"/>
      </c>
      <c r="DV268" s="926">
        <f t="shared" si="723"/>
      </c>
      <c r="DW268" s="926">
        <f t="shared" si="723"/>
      </c>
      <c r="DX268" s="926">
        <f t="shared" si="723"/>
      </c>
      <c r="DY268" s="308">
        <f t="shared" si="723"/>
      </c>
      <c r="DZ268" s="926">
        <f t="shared" ref="DZ268:EH269" si="724">IF(DU263=0, "NA", DZ263/DU263-1)</f>
      </c>
      <c r="EA268" s="926">
        <f t="shared" si="724"/>
      </c>
      <c r="EB268" s="926">
        <f t="shared" si="724"/>
      </c>
      <c r="EC268" s="926">
        <f t="shared" si="724"/>
      </c>
      <c r="ED268" s="308">
        <f t="shared" si="724"/>
      </c>
      <c r="EE268" s="926">
        <f t="shared" si="724"/>
      </c>
      <c r="EF268" s="926">
        <f t="shared" si="724"/>
      </c>
      <c r="EG268" s="926">
        <f t="shared" si="724"/>
      </c>
      <c r="EH268" s="926">
        <f t="shared" si="724"/>
      </c>
      <c r="EI268" s="308">
        <f>IF(ED263=0, "NA", EI263/ED263-1)</f>
      </c>
      <c r="EJ268" s="308">
        <f t="shared" ref="EJ268:EN269" si="725">IF(EI263=0, "NA", EJ263/EI263-1)</f>
      </c>
      <c r="EK268" s="308">
        <f t="shared" si="725"/>
      </c>
      <c r="EL268" s="308">
        <f t="shared" si="725"/>
      </c>
      <c r="EM268" s="308">
        <f t="shared" si="725"/>
      </c>
      <c r="EN268" s="308">
        <f t="shared" si="725"/>
      </c>
      <c r="EO268" s="308">
        <f t="shared" ref="EO268:EO269" si="726">IF(EN263=0, "NA", EO263/EN263-1)</f>
      </c>
      <c r="EP268" s="308">
        <f t="shared" ref="EP268:EP269" si="727">IF(EO263=0, "NA", EP263/EO263-1)</f>
      </c>
      <c r="EQ268" s="308">
        <f t="shared" ref="EQ268:EQ269" si="728">IF(EP263=0, "NA", EQ263/EP263-1)</f>
      </c>
      <c r="ER268" s="308">
        <f t="shared" ref="ER268:ER269" si="729">IF(EQ263=0, "NA", ER263/EQ263-1)</f>
      </c>
      <c r="ES268" s="308">
        <f t="shared" ref="ES268:ES269" si="730">IF(ER263=0, "NA", ES263/ER263-1)</f>
      </c>
      <c r="ET268" s="308"/>
      <c r="EU268" s="308"/>
      <c r="EV268" s="308"/>
      <c r="EW268" s="308"/>
      <c r="EX268" s="308"/>
    </row>
    <row r="269" spans="1:154">
      <c r="B269" s="454" t="s">
        <v>412</v>
      </c>
      <c r="C269" s="1989"/>
      <c r="D269" s="28"/>
      <c r="E269" s="28"/>
      <c r="F269" s="28"/>
      <c r="G269" s="28"/>
      <c r="H269" s="28"/>
      <c r="I269" s="31"/>
      <c r="J269" s="28"/>
      <c r="K269" s="28"/>
      <c r="L269" s="28"/>
      <c r="M269" s="28"/>
      <c r="N269" s="31"/>
      <c r="O269" s="31"/>
      <c r="P269" s="31"/>
      <c r="Q269" s="31"/>
      <c r="R269" s="31"/>
      <c r="S269" s="31"/>
      <c r="T269" s="31"/>
      <c r="U269" s="31"/>
      <c r="V269" s="31"/>
      <c r="W269" s="31"/>
      <c r="X269" s="308"/>
      <c r="Y269" s="31"/>
      <c r="Z269" s="31"/>
      <c r="AA269" s="31"/>
      <c r="AB269" s="31"/>
      <c r="AC269" s="308"/>
      <c r="AD269" s="31"/>
      <c r="AE269" s="31"/>
      <c r="AF269" s="31"/>
      <c r="AG269" s="31"/>
      <c r="AH269" s="308"/>
      <c r="AI269" s="28"/>
      <c r="AJ269" s="28"/>
      <c r="AK269" s="28"/>
      <c r="AL269" s="31"/>
      <c r="AM269" s="308"/>
      <c r="AN269" s="28"/>
      <c r="AO269" s="28"/>
      <c r="AP269" s="28"/>
      <c r="AQ269" s="31"/>
      <c r="AR269" s="308"/>
      <c r="AS269" s="28"/>
      <c r="AT269" s="28"/>
      <c r="AU269" s="28"/>
      <c r="AV269" s="28"/>
      <c r="AW269" s="308"/>
      <c r="AX269" s="28"/>
      <c r="AY269" s="28"/>
      <c r="AZ269" s="28"/>
      <c r="BA269" s="28"/>
      <c r="BB269" s="308"/>
      <c r="BC269" s="30"/>
      <c r="BD269" s="30"/>
      <c r="BE269" s="30"/>
      <c r="BF269" s="30"/>
      <c r="BG269" s="308"/>
      <c r="BH269" s="30"/>
      <c r="BI269" s="30"/>
      <c r="BJ269" s="30"/>
      <c r="BK269" s="30"/>
      <c r="BL269" s="308"/>
      <c r="BM269" s="30" t="str">
        <f t="shared" si="716"/>
      </c>
      <c r="BN269" s="30" t="str">
        <f t="shared" si="716"/>
      </c>
      <c r="BO269" s="30" t="str">
        <f t="shared" si="716"/>
      </c>
      <c r="BP269" s="30" t="str">
        <f t="shared" si="716"/>
      </c>
      <c r="BQ269" s="308" t="str">
        <f t="shared" si="716"/>
      </c>
      <c r="BR269" s="30">
        <f t="shared" si="716"/>
      </c>
      <c r="BS269" s="30">
        <f t="shared" si="716"/>
      </c>
      <c r="BT269" s="30">
        <f t="shared" si="716"/>
      </c>
      <c r="BU269" s="30">
        <f t="shared" si="716"/>
      </c>
      <c r="BV269" s="308">
        <f t="shared" si="716"/>
      </c>
      <c r="BW269" s="30">
        <f t="shared" si="716"/>
      </c>
      <c r="BX269" s="30">
        <f t="shared" si="716"/>
      </c>
      <c r="BY269" s="30">
        <f t="shared" si="716"/>
      </c>
      <c r="BZ269" s="30">
        <f t="shared" si="716"/>
      </c>
      <c r="CA269" s="308">
        <f t="shared" si="716"/>
      </c>
      <c r="CB269" s="30">
        <f t="shared" si="717"/>
      </c>
      <c r="CC269" s="30">
        <f t="shared" si="717"/>
      </c>
      <c r="CD269" s="30">
        <f t="shared" si="717"/>
      </c>
      <c r="CE269" s="30">
        <f t="shared" si="717"/>
      </c>
      <c r="CF269" s="308">
        <f>IF(CA264="NM","NM",IF(CF264="NM","NM",IF(CA264&lt;=0,"NM",IF(CF264=0,"NM",IF(ABS(CF264/CA264-1)&gt;2.5,"NM",IF((ABS(CF264-CA264)=ABS(ABS(CF264)-ABS(CA264))),(CF264/CA264-1),"NM"))))))</f>
      </c>
      <c r="CG269" s="30">
        <f>IF(CB264=0, "NA", CG264/CB264-1)</f>
      </c>
      <c r="CH269" s="30">
        <f>IF(CC264=0, "NA", CH264/CC264-1)</f>
      </c>
      <c r="CI269" s="30">
        <f t="shared" si="718"/>
      </c>
      <c r="CJ269" s="30">
        <f>IF(CE264=0, "NA", CJ264/CE264-1)</f>
      </c>
      <c r="CK269" s="308">
        <f>IF(CF264=0, "NA", CK264/CF264-1)</f>
      </c>
      <c r="CL269" s="30">
        <f t="shared" si="718"/>
      </c>
      <c r="CM269" s="30">
        <f t="shared" si="718"/>
      </c>
      <c r="CN269" s="30">
        <f t="shared" si="718"/>
      </c>
      <c r="CO269" s="30">
        <f t="shared" si="718"/>
      </c>
      <c r="CP269" s="308">
        <f>IF(CK264=0, "NA", CP264/CK264-1)</f>
      </c>
      <c r="CQ269" s="926">
        <f>IF(CL264=0, "NA", CQ264/CL264-1)</f>
      </c>
      <c r="CR269" s="926">
        <f t="shared" si="719"/>
      </c>
      <c r="CS269" s="926">
        <f t="shared" si="719"/>
      </c>
      <c r="CT269" s="926">
        <f t="shared" si="719"/>
      </c>
      <c r="CU269" s="308">
        <f t="shared" si="720"/>
      </c>
      <c r="CV269" s="926">
        <f t="shared" si="720"/>
      </c>
      <c r="CW269" s="926">
        <f t="shared" si="720"/>
      </c>
      <c r="CX269" s="926">
        <f t="shared" si="720"/>
      </c>
      <c r="CY269" s="926">
        <f t="shared" si="721"/>
      </c>
      <c r="CZ269" s="308">
        <f t="shared" si="721"/>
      </c>
      <c r="DA269" s="926">
        <f t="shared" si="721"/>
      </c>
      <c r="DB269" s="30">
        <f t="shared" si="721"/>
      </c>
      <c r="DC269" s="30">
        <f t="shared" si="721"/>
      </c>
      <c r="DD269" s="30">
        <f>IF(DD264=0, "NM", DD264/CY264-1)</f>
      </c>
      <c r="DE269" s="308">
        <f t="shared" si="722"/>
      </c>
      <c r="DF269" s="926">
        <f t="shared" si="722"/>
      </c>
      <c r="DG269" s="30">
        <f t="shared" si="722"/>
      </c>
      <c r="DH269" s="30">
        <f t="shared" si="722"/>
      </c>
      <c r="DI269" s="30">
        <f>IF(DI264=0, "NM", DI264/DD264-1)</f>
      </c>
      <c r="DJ269" s="308">
        <f t="shared" si="723"/>
      </c>
      <c r="DK269" s="30">
        <f t="shared" si="723"/>
      </c>
      <c r="DL269" s="30">
        <f t="shared" si="723"/>
      </c>
      <c r="DM269" s="30">
        <f t="shared" si="723"/>
      </c>
      <c r="DN269" s="30">
        <f t="shared" si="723"/>
      </c>
      <c r="DO269" s="308">
        <f t="shared" si="723"/>
      </c>
      <c r="DP269" s="30">
        <f t="shared" si="723"/>
      </c>
      <c r="DQ269" s="30">
        <f t="shared" si="723"/>
      </c>
      <c r="DR269" s="30">
        <f t="shared" si="723"/>
      </c>
      <c r="DS269" s="30">
        <f t="shared" si="723"/>
      </c>
      <c r="DT269" s="308">
        <f t="shared" si="723"/>
      </c>
      <c r="DU269" s="926">
        <f t="shared" si="723"/>
      </c>
      <c r="DV269" s="926">
        <f t="shared" si="723"/>
      </c>
      <c r="DW269" s="926">
        <f t="shared" si="723"/>
      </c>
      <c r="DX269" s="926">
        <f t="shared" si="723"/>
      </c>
      <c r="DY269" s="308">
        <f t="shared" si="723"/>
      </c>
      <c r="DZ269" s="926">
        <f t="shared" si="723"/>
      </c>
      <c r="EA269" s="926">
        <f t="shared" si="724"/>
      </c>
      <c r="EB269" s="926">
        <f t="shared" si="724"/>
      </c>
      <c r="EC269" s="926">
        <f t="shared" si="724"/>
      </c>
      <c r="ED269" s="308">
        <f t="shared" si="724"/>
      </c>
      <c r="EE269" s="926">
        <f t="shared" si="724"/>
      </c>
      <c r="EF269" s="926">
        <f t="shared" si="724"/>
      </c>
      <c r="EG269" s="926">
        <f t="shared" si="724"/>
      </c>
      <c r="EH269" s="926">
        <f t="shared" si="724"/>
      </c>
      <c r="EI269" s="308">
        <f>IF(ED264=0, "NA", EI264/ED264-1)</f>
      </c>
      <c r="EJ269" s="308">
        <f t="shared" si="725"/>
      </c>
      <c r="EK269" s="308">
        <f t="shared" si="725"/>
      </c>
      <c r="EL269" s="308">
        <f t="shared" si="725"/>
      </c>
      <c r="EM269" s="308">
        <f t="shared" si="725"/>
      </c>
      <c r="EN269" s="308">
        <f t="shared" si="725"/>
      </c>
      <c r="EO269" s="308">
        <f t="shared" si="726"/>
      </c>
      <c r="EP269" s="308">
        <f t="shared" si="727"/>
      </c>
      <c r="EQ269" s="308">
        <f t="shared" si="728"/>
      </c>
      <c r="ER269" s="308">
        <f t="shared" si="729"/>
      </c>
      <c r="ES269" s="308">
        <f t="shared" si="730"/>
      </c>
      <c r="ET269" s="308"/>
      <c r="EU269" s="308"/>
      <c r="EV269" s="308"/>
      <c r="EW269" s="308"/>
      <c r="EX269" s="308"/>
    </row>
    <row r="270" spans="1:154">
      <c r="B270" s="454" t="s">
        <v>256</v>
      </c>
      <c r="C270" s="1989"/>
      <c r="D270" s="28"/>
      <c r="E270" s="28"/>
      <c r="F270" s="28"/>
      <c r="G270" s="28"/>
      <c r="H270" s="28"/>
      <c r="I270" s="31"/>
      <c r="J270" s="28"/>
      <c r="K270" s="28"/>
      <c r="L270" s="28"/>
      <c r="M270" s="28"/>
      <c r="N270" s="31"/>
      <c r="O270" s="31"/>
      <c r="P270" s="31"/>
      <c r="Q270" s="31"/>
      <c r="R270" s="31"/>
      <c r="S270" s="31"/>
      <c r="T270" s="31"/>
      <c r="U270" s="31"/>
      <c r="V270" s="31"/>
      <c r="W270" s="31"/>
      <c r="X270" s="308"/>
      <c r="Y270" s="31"/>
      <c r="Z270" s="31"/>
      <c r="AA270" s="31"/>
      <c r="AB270" s="31"/>
      <c r="AC270" s="308"/>
      <c r="AD270" s="31"/>
      <c r="AE270" s="31"/>
      <c r="AF270" s="31"/>
      <c r="AG270" s="31"/>
      <c r="AH270" s="308"/>
      <c r="AI270" s="28"/>
      <c r="AJ270" s="28"/>
      <c r="AK270" s="28"/>
      <c r="AL270" s="31"/>
      <c r="AM270" s="308"/>
      <c r="AN270" s="28"/>
      <c r="AO270" s="28"/>
      <c r="AP270" s="28"/>
      <c r="AQ270" s="31"/>
      <c r="AR270" s="308"/>
      <c r="AS270" s="28"/>
      <c r="AT270" s="28"/>
      <c r="AU270" s="28"/>
      <c r="AV270" s="28"/>
      <c r="AW270" s="308"/>
      <c r="AX270" s="28"/>
      <c r="AY270" s="28"/>
      <c r="AZ270" s="28"/>
      <c r="BA270" s="28"/>
      <c r="BB270" s="308"/>
      <c r="BC270" s="30"/>
      <c r="BD270" s="30"/>
      <c r="BE270" s="30"/>
      <c r="BF270" s="30"/>
      <c r="BG270" s="308"/>
      <c r="BH270" s="30"/>
      <c r="BI270" s="30"/>
      <c r="BJ270" s="30"/>
      <c r="BK270" s="30"/>
      <c r="BL270" s="308"/>
      <c r="BM270" s="41" t="str">
        <f t="shared" ref="BM270:CF270" si="731">IF(ISNUMBER(BM269),(1+BM269)/(1+BM$21)-1,"NM")</f>
      </c>
      <c r="BN270" s="41" t="str">
        <f t="shared" si="731"/>
      </c>
      <c r="BO270" s="41" t="str">
        <f t="shared" si="731"/>
      </c>
      <c r="BP270" s="41" t="str">
        <f t="shared" si="731"/>
      </c>
      <c r="BQ270" s="309" t="str">
        <f t="shared" si="731"/>
      </c>
      <c r="BR270" s="41">
        <f t="shared" si="731"/>
      </c>
      <c r="BS270" s="41">
        <f t="shared" si="731"/>
      </c>
      <c r="BT270" s="41">
        <f t="shared" si="731"/>
      </c>
      <c r="BU270" s="41">
        <f t="shared" si="731"/>
      </c>
      <c r="BV270" s="309">
        <f t="shared" si="731"/>
      </c>
      <c r="BW270" s="41">
        <f t="shared" si="731"/>
      </c>
      <c r="BX270" s="41">
        <f t="shared" si="731"/>
      </c>
      <c r="BY270" s="41">
        <f t="shared" si="731"/>
      </c>
      <c r="BZ270" s="41">
        <f t="shared" si="731"/>
      </c>
      <c r="CA270" s="309">
        <f t="shared" si="731"/>
      </c>
      <c r="CB270" s="41">
        <f t="shared" si="731"/>
      </c>
      <c r="CC270" s="41">
        <f t="shared" si="731"/>
      </c>
      <c r="CD270" s="41">
        <f t="shared" si="731"/>
      </c>
      <c r="CE270" s="41">
        <f t="shared" si="731"/>
      </c>
      <c r="CF270" s="309">
        <f t="shared" si="731"/>
      </c>
      <c r="CG270" s="41">
        <f t="shared" ref="CG270:CN270" si="732">CG269-CG$21</f>
      </c>
      <c r="CH270" s="41">
        <f t="shared" si="732"/>
      </c>
      <c r="CI270" s="41">
        <f t="shared" si="732"/>
      </c>
      <c r="CJ270" s="41">
        <f t="shared" si="732"/>
      </c>
      <c r="CK270" s="309">
        <f t="shared" si="732"/>
      </c>
      <c r="CL270" s="41">
        <f t="shared" si="732"/>
      </c>
      <c r="CM270" s="41">
        <f t="shared" si="732"/>
      </c>
      <c r="CN270" s="41">
        <f t="shared" si="732"/>
      </c>
      <c r="CO270" s="41">
        <f t="shared" ref="CO270:DA270" si="733">CO269-CO$21</f>
      </c>
      <c r="CP270" s="309">
        <f t="shared" si="733"/>
      </c>
      <c r="CQ270" s="925">
        <f t="shared" si="733"/>
      </c>
      <c r="CR270" s="925">
        <f t="shared" si="733"/>
      </c>
      <c r="CS270" s="925">
        <f t="shared" si="733"/>
      </c>
      <c r="CT270" s="925">
        <f t="shared" si="733"/>
      </c>
      <c r="CU270" s="309">
        <f t="shared" si="733"/>
      </c>
      <c r="CV270" s="925">
        <f t="shared" si="733"/>
      </c>
      <c r="CW270" s="925">
        <f t="shared" si="733"/>
      </c>
      <c r="CX270" s="925">
        <f t="shared" si="733"/>
      </c>
      <c r="CY270" s="925">
        <f t="shared" si="733"/>
      </c>
      <c r="CZ270" s="309">
        <f t="shared" si="733"/>
      </c>
      <c r="DA270" s="925">
        <f t="shared" si="733"/>
      </c>
      <c r="DB270" s="41">
        <f>DB269-DB$21</f>
      </c>
      <c r="DC270" s="41">
        <f>DC269-DC$21</f>
      </c>
      <c r="DD270" s="30">
        <f>IF(DD264=0, "NM",DD269-DD$21)</f>
      </c>
      <c r="DE270" s="308">
        <f>DE269-DE$21</f>
      </c>
      <c r="DF270" s="926">
        <f>DF269-DF$21</f>
      </c>
      <c r="DG270" s="30">
        <f>DG269-DG$21</f>
      </c>
      <c r="DH270" s="30">
        <f>DH269-DH$21</f>
      </c>
      <c r="DI270" s="30">
        <f>IF(DI264=0, "NM",DI269-DI$21)</f>
      </c>
      <c r="DJ270" s="308">
        <f t="shared" ref="DJ270:DT270" si="734">DJ269-DJ$21</f>
      </c>
      <c r="DK270" s="30">
        <f t="shared" si="734"/>
      </c>
      <c r="DL270" s="30">
        <f t="shared" si="734"/>
      </c>
      <c r="DM270" s="30">
        <f t="shared" si="734"/>
      </c>
      <c r="DN270" s="30">
        <f t="shared" si="734"/>
      </c>
      <c r="DO270" s="308">
        <f t="shared" si="734"/>
      </c>
      <c r="DP270" s="30">
        <f t="shared" si="734"/>
      </c>
      <c r="DQ270" s="30">
        <f t="shared" si="734"/>
      </c>
      <c r="DR270" s="30">
        <f t="shared" si="734"/>
      </c>
      <c r="DS270" s="30">
        <f t="shared" si="734"/>
      </c>
      <c r="DT270" s="308">
        <f t="shared" si="734"/>
      </c>
      <c r="DU270" s="926">
        <f>DU269-(5%)</f>
      </c>
      <c r="DV270" s="926">
        <f>DV269-(-4.2%)</f>
      </c>
      <c r="DW270" s="926">
        <f>DW269-(-2.3%)</f>
      </c>
      <c r="DX270" s="926">
        <f>DX269-(-3.5%)</f>
      </c>
      <c r="DY270" s="308">
        <f t="shared" ref="DY270:EN270" si="735">DY269-DY$21</f>
      </c>
      <c r="DZ270" s="926">
        <f>DZ269-(-4.9%)</f>
      </c>
      <c r="EA270" s="926">
        <f>EA269-(-5.1%)</f>
      </c>
      <c r="EB270" s="926">
        <f>EB269-(-2.3%)</f>
      </c>
      <c r="EC270" s="926">
        <f>EC269-(-2.8%)</f>
      </c>
      <c r="ED270" s="308">
        <f t="shared" ref="ED270" si="736">ED269-ED$21</f>
      </c>
      <c r="EE270" s="926">
        <f>EE269-(-4.9%)</f>
      </c>
      <c r="EF270" s="926">
        <f>EF269-(-5.1%)</f>
      </c>
      <c r="EG270" s="926">
        <f>EG269-(-2.3%)</f>
      </c>
      <c r="EH270" s="926">
        <f t="shared" ref="EH270" si="737">EH269-EH$21</f>
      </c>
      <c r="EI270" s="308">
        <f t="shared" si="735"/>
      </c>
      <c r="EJ270" s="308">
        <f t="shared" si="735"/>
      </c>
      <c r="EK270" s="308">
        <f t="shared" si="735"/>
      </c>
      <c r="EL270" s="308">
        <f t="shared" si="735"/>
      </c>
      <c r="EM270" s="308">
        <f t="shared" si="735"/>
      </c>
      <c r="EN270" s="308">
        <f t="shared" si="735"/>
      </c>
      <c r="EO270" s="308">
        <f t="shared" ref="EO270:ES270" si="738">EO269-EO$21</f>
      </c>
      <c r="EP270" s="308">
        <f t="shared" si="738"/>
      </c>
      <c r="EQ270" s="308">
        <f t="shared" si="738"/>
      </c>
      <c r="ER270" s="308">
        <f t="shared" si="738"/>
      </c>
      <c r="ES270" s="308">
        <f t="shared" si="738"/>
      </c>
      <c r="ET270" s="309"/>
      <c r="EU270" s="309"/>
      <c r="EV270" s="309"/>
      <c r="EW270" s="309"/>
      <c r="EX270" s="309"/>
    </row>
    <row r="271" spans="1:154">
      <c r="B271" s="454" t="s">
        <v>413</v>
      </c>
      <c r="C271" s="1989"/>
      <c r="D271" s="28"/>
      <c r="E271" s="28"/>
      <c r="F271" s="28"/>
      <c r="G271" s="28"/>
      <c r="H271" s="28"/>
      <c r="I271" s="31"/>
      <c r="J271" s="28"/>
      <c r="K271" s="28"/>
      <c r="L271" s="28"/>
      <c r="M271" s="28"/>
      <c r="N271" s="31"/>
      <c r="O271" s="31"/>
      <c r="P271" s="31"/>
      <c r="Q271" s="31"/>
      <c r="R271" s="31"/>
      <c r="S271" s="31"/>
      <c r="T271" s="31"/>
      <c r="U271" s="31"/>
      <c r="V271" s="31"/>
      <c r="W271" s="31"/>
      <c r="X271" s="308"/>
      <c r="Y271" s="31"/>
      <c r="Z271" s="31"/>
      <c r="AA271" s="31"/>
      <c r="AB271" s="31"/>
      <c r="AC271" s="308"/>
      <c r="AD271" s="31"/>
      <c r="AE271" s="31"/>
      <c r="AF271" s="31"/>
      <c r="AG271" s="31"/>
      <c r="AH271" s="308"/>
      <c r="AI271" s="28"/>
      <c r="AJ271" s="28"/>
      <c r="AK271" s="28"/>
      <c r="AL271" s="31"/>
      <c r="AM271" s="308"/>
      <c r="AN271" s="28"/>
      <c r="AO271" s="28"/>
      <c r="AP271" s="28"/>
      <c r="AQ271" s="31"/>
      <c r="AR271" s="308"/>
      <c r="AS271" s="28"/>
      <c r="AT271" s="28"/>
      <c r="AU271" s="28"/>
      <c r="AV271" s="28"/>
      <c r="AW271" s="308"/>
      <c r="AX271" s="28"/>
      <c r="AY271" s="28"/>
      <c r="AZ271" s="28"/>
      <c r="BA271" s="28"/>
      <c r="BB271" s="308"/>
      <c r="BC271" s="30"/>
      <c r="BD271" s="30"/>
      <c r="BE271" s="30"/>
      <c r="BF271" s="30"/>
      <c r="BG271" s="308"/>
      <c r="BH271" s="30"/>
      <c r="BI271" s="30"/>
      <c r="BJ271" s="30"/>
      <c r="BK271" s="30"/>
      <c r="BL271" s="308"/>
      <c r="BM271" s="30" t="str">
        <f t="shared" ref="BM271:CF271" si="739">IF(BH265="NM","NM",IF(BM265="NM","NM",IF(BH265&lt;=0,"NM",IF(BM265=0,"NM",IF(ABS(BM265/BH265-1)&gt;2.5,"NM",IF((ABS(BM265-BH265)=ABS(ABS(BM265)-ABS(BH265))),(BM265/BH265-1),"NM"))))))</f>
      </c>
      <c r="BN271" s="30" t="str">
        <f t="shared" si="739"/>
      </c>
      <c r="BO271" s="30" t="str">
        <f t="shared" si="739"/>
      </c>
      <c r="BP271" s="30" t="str">
        <f t="shared" si="739"/>
      </c>
      <c r="BQ271" s="308" t="str">
        <f t="shared" si="739"/>
      </c>
      <c r="BR271" s="30">
        <f t="shared" si="739"/>
      </c>
      <c r="BS271" s="30">
        <f t="shared" si="739"/>
      </c>
      <c r="BT271" s="30">
        <f t="shared" si="739"/>
      </c>
      <c r="BU271" s="30">
        <f t="shared" si="739"/>
      </c>
      <c r="BV271" s="308">
        <f t="shared" si="739"/>
      </c>
      <c r="BW271" s="30">
        <f t="shared" si="739"/>
      </c>
      <c r="BX271" s="30">
        <f t="shared" si="739"/>
      </c>
      <c r="BY271" s="30">
        <f t="shared" si="739"/>
      </c>
      <c r="BZ271" s="30">
        <f t="shared" si="739"/>
      </c>
      <c r="CA271" s="308">
        <f t="shared" si="739"/>
      </c>
      <c r="CB271" s="30">
        <f t="shared" si="739"/>
      </c>
      <c r="CC271" s="30">
        <f t="shared" si="739"/>
      </c>
      <c r="CD271" s="30">
        <f t="shared" si="739"/>
      </c>
      <c r="CE271" s="30">
        <f t="shared" si="739"/>
      </c>
      <c r="CF271" s="308">
        <f t="shared" si="739"/>
      </c>
      <c r="CG271" s="30">
        <f t="shared" ref="CG271:CX271" si="740">IF(CB265=0, "NA", CG265/CB265-1)</f>
      </c>
      <c r="CH271" s="30">
        <f t="shared" si="740"/>
      </c>
      <c r="CI271" s="30">
        <f t="shared" si="740"/>
      </c>
      <c r="CJ271" s="30">
        <f t="shared" si="740"/>
      </c>
      <c r="CK271" s="308">
        <f t="shared" si="740"/>
      </c>
      <c r="CL271" s="30">
        <f t="shared" si="740"/>
      </c>
      <c r="CM271" s="30">
        <f t="shared" si="740"/>
      </c>
      <c r="CN271" s="30">
        <f t="shared" si="740"/>
      </c>
      <c r="CO271" s="30">
        <f t="shared" si="740"/>
      </c>
      <c r="CP271" s="308">
        <f t="shared" si="740"/>
      </c>
      <c r="CQ271" s="926">
        <f t="shared" si="740"/>
      </c>
      <c r="CR271" s="926">
        <f t="shared" si="740"/>
      </c>
      <c r="CS271" s="926">
        <f t="shared" si="740"/>
      </c>
      <c r="CT271" s="926">
        <f t="shared" si="740"/>
      </c>
      <c r="CU271" s="308">
        <f t="shared" si="740"/>
      </c>
      <c r="CV271" s="926">
        <f t="shared" si="740"/>
      </c>
      <c r="CW271" s="926">
        <f t="shared" si="740"/>
      </c>
      <c r="CX271" s="926">
        <f t="shared" si="740"/>
      </c>
      <c r="CY271" s="926">
        <f>IF(CT265=0, "NA", CY265/CT265-1)</f>
      </c>
      <c r="CZ271" s="308">
        <f>IF(CU265=0, "NA", CZ265/CU265-1)</f>
      </c>
      <c r="DA271" s="926">
        <f>IF(CV265=0, "NA", DA265/CV265-1)</f>
      </c>
      <c r="DB271" s="30">
        <f>IF(CW265=0, "NA", DB265/CW265-1)</f>
      </c>
      <c r="DC271" s="30">
        <f>IF(CX265=0, "NA", DC265/CX265-1)</f>
      </c>
      <c r="DD271" s="926">
        <f>IF(CY265=0, "NM", DD265/CY265-1)</f>
      </c>
      <c r="DE271" s="308">
        <f>IF(CZ265=0, "NA", DE265/CZ265-1)</f>
      </c>
      <c r="DF271" s="926">
        <f>IF(DA265=0, "NA", DF265/DA265-1)</f>
      </c>
      <c r="DG271" s="30">
        <f>IF(DB265=0, "NA", DG265/DB265-1)</f>
      </c>
      <c r="DH271" s="30">
        <f>IF(DC265=0, "NA", DH265/DC265-1)</f>
      </c>
      <c r="DI271" s="926">
        <f>IF(DD265=0, "NM", DI265/DD265-1)</f>
      </c>
      <c r="DJ271" s="308">
        <f t="shared" ref="DJ271:DY271" si="741">IF(DE265=0, "NA", DJ265/DE265-1)</f>
      </c>
      <c r="DK271" s="30">
        <f t="shared" si="741"/>
      </c>
      <c r="DL271" s="30">
        <f t="shared" si="741"/>
      </c>
      <c r="DM271" s="30">
        <f t="shared" si="741"/>
      </c>
      <c r="DN271" s="30">
        <f t="shared" si="741"/>
      </c>
      <c r="DO271" s="308">
        <f t="shared" si="741"/>
      </c>
      <c r="DP271" s="30">
        <f t="shared" si="741"/>
      </c>
      <c r="DQ271" s="30">
        <f t="shared" si="741"/>
      </c>
      <c r="DR271" s="30">
        <f t="shared" si="741"/>
      </c>
      <c r="DS271" s="30">
        <f t="shared" si="741"/>
      </c>
      <c r="DT271" s="308">
        <f t="shared" si="741"/>
      </c>
      <c r="DU271" s="926">
        <f t="shared" si="741"/>
      </c>
      <c r="DV271" s="926">
        <f t="shared" si="741"/>
      </c>
      <c r="DW271" s="926">
        <f t="shared" si="741"/>
      </c>
      <c r="DX271" s="926">
        <f t="shared" si="741"/>
      </c>
      <c r="DY271" s="308">
        <f t="shared" si="741"/>
      </c>
      <c r="DZ271" s="926">
        <f>IF(DU265=0, "NA", DZ265/DU265-1)</f>
      </c>
      <c r="EA271" s="926">
        <f t="shared" ref="EA271:EH271" si="742">IF(DV265=0, "NA", EA265/DV265-1)</f>
      </c>
      <c r="EB271" s="926">
        <f t="shared" si="742"/>
      </c>
      <c r="EC271" s="926">
        <f t="shared" si="742"/>
      </c>
      <c r="ED271" s="308">
        <f t="shared" si="742"/>
      </c>
      <c r="EE271" s="926">
        <f>IF(DZ265=0, "NA", EE265/DZ265-1)</f>
      </c>
      <c r="EF271" s="926">
        <f t="shared" si="742"/>
      </c>
      <c r="EG271" s="926">
        <f t="shared" si="742"/>
      </c>
      <c r="EH271" s="926">
        <f t="shared" si="742"/>
      </c>
      <c r="EI271" s="308">
        <f>IF(ED265=0, "NA", EI265/ED265-1)</f>
      </c>
      <c r="EJ271" s="308">
        <f t="shared" ref="EJ271:EN271" si="743">IF(EI265=0, "NA", EJ265/EI265-1)</f>
      </c>
      <c r="EK271" s="308">
        <f t="shared" si="743"/>
      </c>
      <c r="EL271" s="308">
        <f t="shared" si="743"/>
      </c>
      <c r="EM271" s="308">
        <f t="shared" si="743"/>
      </c>
      <c r="EN271" s="308">
        <f t="shared" si="743"/>
      </c>
      <c r="EO271" s="308">
        <f t="shared" ref="EO271" si="744">IF(EN265=0, "NA", EO265/EN265-1)</f>
      </c>
      <c r="EP271" s="308">
        <f t="shared" ref="EP271" si="745">IF(EO265=0, "NA", EP265/EO265-1)</f>
      </c>
      <c r="EQ271" s="308">
        <f t="shared" ref="EQ271" si="746">IF(EP265=0, "NA", EQ265/EP265-1)</f>
      </c>
      <c r="ER271" s="308">
        <f t="shared" ref="ER271" si="747">IF(EQ265=0, "NA", ER265/EQ265-1)</f>
      </c>
      <c r="ES271" s="308">
        <f t="shared" ref="ES271" si="748">IF(ER265=0, "NA", ES265/ER265-1)</f>
      </c>
      <c r="ET271" s="308"/>
      <c r="EU271" s="308"/>
      <c r="EV271" s="308"/>
      <c r="EW271" s="308"/>
      <c r="EX271" s="308"/>
    </row>
    <row r="272" spans="1:154" ht="12.75" customHeight="1">
      <c r="B272" s="454"/>
      <c r="C272" s="1989"/>
      <c r="D272" s="28"/>
      <c r="E272" s="28"/>
      <c r="F272" s="28"/>
      <c r="G272" s="28"/>
      <c r="H272" s="28"/>
      <c r="I272" s="31"/>
      <c r="J272" s="28"/>
      <c r="K272" s="28"/>
      <c r="L272" s="28"/>
      <c r="M272" s="28"/>
      <c r="N272" s="31"/>
      <c r="O272" s="31"/>
      <c r="P272" s="31"/>
      <c r="Q272" s="31"/>
      <c r="R272" s="31"/>
      <c r="S272" s="31"/>
      <c r="T272" s="31"/>
      <c r="U272" s="31"/>
      <c r="V272" s="31"/>
      <c r="W272" s="31"/>
      <c r="X272" s="308"/>
      <c r="Y272" s="31"/>
      <c r="Z272" s="31"/>
      <c r="AA272" s="31"/>
      <c r="AB272" s="31"/>
      <c r="AC272" s="308"/>
      <c r="AD272" s="31"/>
      <c r="AE272" s="31"/>
      <c r="AF272" s="31"/>
      <c r="AG272" s="31"/>
      <c r="AH272" s="308"/>
      <c r="AI272" s="28"/>
      <c r="AJ272" s="28"/>
      <c r="AK272" s="28"/>
      <c r="AL272" s="31"/>
      <c r="AM272" s="308"/>
      <c r="AN272" s="28"/>
      <c r="AO272" s="28"/>
      <c r="AP272" s="28"/>
      <c r="AQ272" s="31"/>
      <c r="AR272" s="308"/>
      <c r="AS272" s="28"/>
      <c r="AT272" s="28"/>
      <c r="AU272" s="28"/>
      <c r="AV272" s="28"/>
      <c r="AW272" s="308"/>
      <c r="AX272" s="28"/>
      <c r="AY272" s="28"/>
      <c r="AZ272" s="28"/>
      <c r="BA272" s="28"/>
      <c r="BB272" s="308"/>
      <c r="BC272" s="30"/>
      <c r="BD272" s="30"/>
      <c r="BE272" s="30"/>
      <c r="BF272" s="30"/>
      <c r="BG272" s="308"/>
      <c r="BH272" s="30"/>
      <c r="BI272" s="30"/>
      <c r="BJ272" s="30"/>
      <c r="BK272" s="30"/>
      <c r="BL272" s="308"/>
      <c r="BM272" s="30"/>
      <c r="BN272" s="30"/>
      <c r="BO272" s="30"/>
      <c r="BP272" s="30"/>
      <c r="BQ272" s="308"/>
      <c r="BR272" s="30"/>
      <c r="BS272" s="30"/>
      <c r="BT272" s="30"/>
      <c r="BU272" s="30"/>
      <c r="BV272" s="308"/>
      <c r="BW272" s="30"/>
      <c r="BX272" s="30"/>
      <c r="BY272" s="30"/>
      <c r="BZ272" s="30"/>
      <c r="CA272" s="308"/>
      <c r="CB272" s="30"/>
      <c r="CC272" s="30"/>
      <c r="CD272" s="30"/>
      <c r="CE272" s="30"/>
      <c r="CF272" s="308"/>
      <c r="CG272" s="30"/>
      <c r="CH272" s="30"/>
      <c r="CI272" s="30"/>
      <c r="CJ272" s="30"/>
      <c r="CK272" s="308"/>
      <c r="CL272" s="30"/>
      <c r="CM272" s="926"/>
      <c r="CN272" s="30"/>
      <c r="CO272" s="30"/>
      <c r="CP272" s="308"/>
      <c r="CQ272" s="926"/>
      <c r="CR272" s="926"/>
      <c r="CS272" s="926"/>
      <c r="CT272" s="926"/>
      <c r="CU272" s="308"/>
      <c r="CV272" s="926"/>
      <c r="CW272" s="926"/>
      <c r="CX272" s="926"/>
      <c r="CY272" s="926"/>
      <c r="CZ272" s="308"/>
      <c r="DA272" s="926"/>
      <c r="DB272" s="30"/>
      <c r="DC272" s="30"/>
      <c r="DD272" s="409"/>
      <c r="DE272" s="308"/>
      <c r="DF272" s="926"/>
      <c r="DG272" s="30"/>
      <c r="DH272" s="30"/>
      <c r="DI272" s="409"/>
      <c r="DJ272" s="308"/>
      <c r="DK272" s="926"/>
      <c r="DL272" s="30"/>
      <c r="DM272" s="30"/>
      <c r="DN272" s="409"/>
      <c r="DO272" s="308"/>
      <c r="DP272" s="30"/>
      <c r="DQ272" s="30"/>
      <c r="DR272" s="30"/>
      <c r="DS272" s="409"/>
      <c r="DT272" s="308"/>
      <c r="DU272" s="926"/>
      <c r="DV272" s="926"/>
      <c r="DW272" s="926"/>
      <c r="DX272" s="928"/>
      <c r="DY272" s="308"/>
      <c r="DZ272" s="926"/>
      <c r="EA272" s="926"/>
      <c r="EB272" s="926"/>
      <c r="EC272" s="928"/>
      <c r="ED272" s="1060"/>
      <c r="EE272" s="926"/>
      <c r="EF272" s="926"/>
      <c r="EG272" s="926"/>
      <c r="EH272" s="928"/>
      <c r="EI272" s="308"/>
      <c r="EJ272" s="308"/>
      <c r="EK272" s="308"/>
      <c r="EL272" s="308"/>
      <c r="EM272" s="308"/>
      <c r="EN272" s="308"/>
      <c r="EO272" s="308"/>
      <c r="EP272" s="308"/>
      <c r="EQ272" s="308"/>
      <c r="ER272" s="308"/>
      <c r="ES272" s="308"/>
      <c r="ET272" s="308"/>
      <c r="EU272" s="308"/>
      <c r="EV272" s="308"/>
      <c r="EW272" s="308"/>
      <c r="EX272" s="308"/>
    </row>
    <row r="273" spans="1:154" ht="12.75" customHeight="1">
      <c r="A273" s="3277"/>
      <c r="B273" s="336" t="s">
        <v>195</v>
      </c>
      <c r="C273" s="1989"/>
      <c r="D273" s="28"/>
      <c r="E273" s="28"/>
      <c r="F273" s="28"/>
      <c r="G273" s="28"/>
      <c r="H273" s="28"/>
      <c r="I273" s="31"/>
      <c r="J273" s="28"/>
      <c r="K273" s="28"/>
      <c r="L273" s="28"/>
      <c r="M273" s="28"/>
      <c r="N273" s="31"/>
      <c r="O273" s="31"/>
      <c r="P273" s="31"/>
      <c r="Q273" s="31"/>
      <c r="R273" s="31"/>
      <c r="S273" s="31"/>
      <c r="T273" s="31"/>
      <c r="U273" s="31"/>
      <c r="V273" s="31"/>
      <c r="W273" s="31"/>
      <c r="X273" s="313"/>
      <c r="Y273" s="31"/>
      <c r="Z273" s="31"/>
      <c r="AA273" s="31"/>
      <c r="AB273" s="31"/>
      <c r="AC273" s="313"/>
      <c r="AD273" s="31"/>
      <c r="AE273" s="31"/>
      <c r="AF273" s="31"/>
      <c r="AG273" s="31"/>
      <c r="AH273" s="313"/>
      <c r="AI273" s="28"/>
      <c r="AJ273" s="28"/>
      <c r="AK273" s="28"/>
      <c r="AL273" s="31"/>
      <c r="AM273" s="313"/>
      <c r="AN273" s="28"/>
      <c r="AO273" s="28"/>
      <c r="AP273" s="28"/>
      <c r="AQ273" s="31"/>
      <c r="AR273" s="313"/>
      <c r="AS273" s="28"/>
      <c r="AT273" s="28"/>
      <c r="AU273" s="28"/>
      <c r="AV273" s="28"/>
      <c r="AW273" s="313"/>
      <c r="AX273" s="28"/>
      <c r="AY273" s="28"/>
      <c r="AZ273" s="28"/>
      <c r="BA273" s="28"/>
      <c r="BB273" s="313"/>
      <c r="BC273" s="28"/>
      <c r="BD273" s="28"/>
      <c r="BE273" s="28"/>
      <c r="BF273" s="28"/>
      <c r="BG273" s="313"/>
      <c r="BH273" s="28"/>
      <c r="BI273" s="28"/>
      <c r="BJ273" s="28"/>
      <c r="BK273" s="28"/>
      <c r="BL273" s="313"/>
      <c r="BM273" s="28"/>
      <c r="BN273" s="28"/>
      <c r="BO273" s="28"/>
      <c r="BP273" s="28"/>
      <c r="BQ273" s="313"/>
      <c r="BR273" s="28"/>
      <c r="BS273" s="28"/>
      <c r="BT273" s="28"/>
      <c r="BU273" s="28"/>
      <c r="BV273" s="313"/>
      <c r="BW273" s="28"/>
      <c r="BX273" s="28"/>
      <c r="BY273" s="28"/>
      <c r="BZ273" s="28"/>
      <c r="CA273" s="313"/>
      <c r="CB273" s="28"/>
      <c r="CC273" s="28"/>
      <c r="CD273" s="28"/>
      <c r="CE273" s="28"/>
      <c r="CF273" s="313"/>
      <c r="CG273" s="28"/>
      <c r="CH273" s="28"/>
      <c r="CI273" s="28"/>
      <c r="CJ273" s="28"/>
      <c r="CK273" s="313"/>
      <c r="CL273" s="28"/>
      <c r="CM273" s="933"/>
      <c r="CN273" s="28"/>
      <c r="CO273" s="28"/>
      <c r="CP273" s="313"/>
      <c r="CQ273" s="933"/>
      <c r="CR273" s="933"/>
      <c r="CS273" s="933"/>
      <c r="CT273" s="933"/>
      <c r="CU273" s="313"/>
      <c r="CV273" s="933"/>
      <c r="CW273" s="933"/>
      <c r="CX273" s="933"/>
      <c r="CY273" s="933"/>
      <c r="CZ273" s="313"/>
      <c r="DA273" s="933"/>
      <c r="DB273" s="31"/>
      <c r="DC273" s="31"/>
      <c r="DD273" s="955"/>
      <c r="DE273" s="477"/>
      <c r="DF273" s="982"/>
      <c r="DG273" s="603"/>
      <c r="DH273" s="603"/>
      <c r="DI273" s="1798"/>
      <c r="DJ273" s="477"/>
      <c r="DK273" s="982"/>
      <c r="DL273" s="1822"/>
      <c r="DM273" s="603"/>
      <c r="DN273" s="1837"/>
      <c r="DO273" s="1811"/>
      <c r="DP273" s="1822"/>
      <c r="DQ273" s="1822"/>
      <c r="DR273" s="1822"/>
      <c r="DS273" s="1837"/>
      <c r="DT273" s="1811"/>
      <c r="DU273" s="1822"/>
      <c r="DV273" s="1822"/>
      <c r="DW273" s="1822"/>
      <c r="DX273" s="1837"/>
      <c r="DY273" s="477"/>
      <c r="DZ273" s="1822"/>
      <c r="EA273" s="1822"/>
      <c r="EB273" s="1822"/>
      <c r="EC273" s="1837"/>
      <c r="ED273" s="477"/>
      <c r="EE273" s="1822"/>
      <c r="EF273" s="1822"/>
      <c r="EG273" s="1822"/>
      <c r="EH273" s="1837"/>
      <c r="EI273" s="477"/>
      <c r="EJ273" s="477"/>
      <c r="EK273" s="477"/>
      <c r="EL273" s="477"/>
      <c r="EM273" s="477"/>
      <c r="EN273" s="477"/>
      <c r="EO273" s="477"/>
      <c r="EP273" s="477"/>
      <c r="EQ273" s="477"/>
      <c r="ER273" s="477"/>
      <c r="ES273" s="477"/>
      <c r="ET273" s="477"/>
      <c r="EU273" s="477"/>
      <c r="EV273" s="477"/>
      <c r="EW273" s="477"/>
      <c r="EX273" s="477"/>
    </row>
    <row r="274" spans="1:154" ht="12.75" customHeight="1">
      <c r="A274" s="3277" t="str">
        <f>A276&amp;" - US"</f>
      </c>
      <c r="B274" s="340" t="s">
        <v>921</v>
      </c>
      <c r="C274" s="1997">
        <v>43131</v>
      </c>
      <c r="D274" s="33">
        <v>403</v>
      </c>
      <c r="E274" s="33">
        <v>120</v>
      </c>
      <c r="F274" s="33">
        <v>127</v>
      </c>
      <c r="G274" s="33">
        <v>202</v>
      </c>
      <c r="H274" s="33">
        <v>87</v>
      </c>
      <c r="I274" s="31">
        <f>+SUM(E274:H274)</f>
      </c>
      <c r="J274" s="33">
        <v>121</v>
      </c>
      <c r="K274" s="33">
        <v>162</v>
      </c>
      <c r="L274" s="33">
        <v>234</v>
      </c>
      <c r="M274" s="33">
        <v>189</v>
      </c>
      <c r="N274" s="31">
        <f>+SUM(J274:M274)</f>
      </c>
      <c r="O274" s="33">
        <v>227</v>
      </c>
      <c r="P274" s="33">
        <v>251</v>
      </c>
      <c r="Q274" s="33">
        <v>265</v>
      </c>
      <c r="R274" s="33">
        <v>290</v>
      </c>
      <c r="S274" s="31">
        <f>SUM(O274:R274)</f>
      </c>
      <c r="T274" s="33">
        <v>290</v>
      </c>
      <c r="U274" s="33">
        <v>295</v>
      </c>
      <c r="V274" s="33">
        <v>344</v>
      </c>
      <c r="W274" s="33">
        <v>377</v>
      </c>
      <c r="X274" s="313">
        <f>SUM(T274:W274)</f>
      </c>
      <c r="Y274" s="33">
        <v>363</v>
      </c>
      <c r="Z274" s="33">
        <v>368</v>
      </c>
      <c r="AA274" s="33">
        <v>430</v>
      </c>
      <c r="AB274" s="33">
        <v>119</v>
      </c>
      <c r="AC274" s="313">
        <f>SUM(Y274:AB274)</f>
      </c>
      <c r="AD274" s="33">
        <v>142</v>
      </c>
      <c r="AE274" s="33">
        <v>140</v>
      </c>
      <c r="AF274" s="33">
        <v>143</v>
      </c>
      <c r="AG274" s="33">
        <v>175</v>
      </c>
      <c r="AH274" s="313">
        <f>SUM(AD274:AG274)</f>
      </c>
      <c r="AI274" s="33">
        <v>165</v>
      </c>
      <c r="AJ274" s="33">
        <v>162</v>
      </c>
      <c r="AK274" s="33">
        <v>140</v>
      </c>
      <c r="AL274" s="33">
        <v>171</v>
      </c>
      <c r="AM274" s="313">
        <f>+SUM(AI274:AL274)</f>
      </c>
      <c r="AN274" s="33">
        <v>193</v>
      </c>
      <c r="AO274" s="33">
        <v>174</v>
      </c>
      <c r="AP274" s="33">
        <v>179</v>
      </c>
      <c r="AQ274" s="33">
        <v>209</v>
      </c>
      <c r="AR274" s="313">
        <f>+SUM(AN274:AQ274)</f>
      </c>
      <c r="AS274" s="33">
        <v>200</v>
      </c>
      <c r="AT274" s="33">
        <v>199</v>
      </c>
      <c r="AU274" s="33">
        <v>177</v>
      </c>
      <c r="AV274" s="33">
        <v>222</v>
      </c>
      <c r="AW274" s="313">
        <f>+SUM(AS274:AV274)</f>
      </c>
      <c r="AX274" s="33">
        <v>224</v>
      </c>
      <c r="AY274" s="33">
        <v>208</v>
      </c>
      <c r="AZ274" s="33">
        <v>190</v>
      </c>
      <c r="BA274" s="33">
        <v>208</v>
      </c>
      <c r="BB274" s="313">
        <f>SUM(AX274:BA274)</f>
      </c>
      <c r="BC274" s="33">
        <v>269</v>
      </c>
      <c r="BD274" s="33">
        <v>233</v>
      </c>
      <c r="BE274" s="33">
        <v>205</v>
      </c>
      <c r="BF274" s="33">
        <v>279</v>
      </c>
      <c r="BG274" s="313">
        <f>SUM(BC274:BF274)</f>
      </c>
      <c r="BH274" s="33">
        <v>231</v>
      </c>
      <c r="BI274" s="33">
        <v>223</v>
      </c>
      <c r="BJ274" s="33">
        <v>214</v>
      </c>
      <c r="BK274" s="33">
        <v>261</v>
      </c>
      <c r="BL274" s="313">
        <f>SUM(BH274:BK274)</f>
      </c>
      <c r="BM274" s="480">
        <v>254</v>
      </c>
      <c r="BN274" s="480">
        <v>234</v>
      </c>
      <c r="BO274" s="480">
        <v>179</v>
      </c>
      <c r="BP274" s="480">
        <v>155</v>
      </c>
      <c r="BQ274" s="479">
        <f>SUM(BM274:BP274)</f>
      </c>
      <c r="BR274" s="480">
        <v>197</v>
      </c>
      <c r="BS274" s="648">
        <v>146</v>
      </c>
      <c r="BT274" s="648">
        <v>150</v>
      </c>
      <c r="BU274" s="648">
        <v>116</v>
      </c>
      <c r="BV274" s="479">
        <f>SUM(BR274:BU274)</f>
      </c>
      <c r="BW274" s="648">
        <v>139</v>
      </c>
      <c r="BX274" s="648">
        <v>85</v>
      </c>
      <c r="BY274" s="648">
        <v>38</v>
      </c>
      <c r="BZ274" s="648">
        <v>46</v>
      </c>
      <c r="CA274" s="479">
        <f>SUM(BW274:BZ274)</f>
      </c>
      <c r="CB274" s="648">
        <v>35</v>
      </c>
      <c r="CC274" s="648">
        <v>28</v>
      </c>
      <c r="CD274" s="648">
        <v>34</v>
      </c>
      <c r="CE274" s="648">
        <v>55</v>
      </c>
      <c r="CF274" s="479">
        <f>SUM(CB274:CE274)</f>
      </c>
      <c r="CG274" s="648">
        <v>126</v>
      </c>
      <c r="CH274" s="648">
        <v>102</v>
      </c>
      <c r="CI274" s="648">
        <v>89</v>
      </c>
      <c r="CJ274" s="648">
        <v>117</v>
      </c>
      <c r="CK274" s="479">
        <f>SUM(CG274:CJ274)</f>
      </c>
      <c r="CL274" s="648">
        <v>134</v>
      </c>
      <c r="CM274" s="648">
        <v>129</v>
      </c>
      <c r="CN274" s="648">
        <v>102</v>
      </c>
      <c r="CO274" s="1214">
        <v>103</v>
      </c>
      <c r="CP274" s="479">
        <f>SUM(CL274:CO274)</f>
      </c>
      <c r="CQ274" s="1214">
        <v>108</v>
      </c>
      <c r="CR274" s="1214">
        <v>76</v>
      </c>
      <c r="CS274" s="1214">
        <v>100</v>
      </c>
      <c r="CT274" s="1214">
        <v>100</v>
      </c>
      <c r="CU274" s="479">
        <f>SUM(CQ274:CT274)</f>
      </c>
      <c r="CV274" s="1214">
        <v>66</v>
      </c>
      <c r="CW274" s="1214">
        <v>68</v>
      </c>
      <c r="CX274" s="1214">
        <v>57</v>
      </c>
      <c r="CY274" s="1214">
        <v>38</v>
      </c>
      <c r="CZ274" s="479">
        <f>SUM(CV274:CY274)</f>
      </c>
      <c r="DA274" s="1214">
        <v>97</v>
      </c>
      <c r="DB274" s="1214">
        <v>15</v>
      </c>
      <c r="DC274" s="352">
        <v>84</v>
      </c>
      <c r="DD274" s="1205">
        <v>37</v>
      </c>
      <c r="DE274" s="2481">
        <f>SUM(DA274:DD274)</f>
      </c>
      <c r="DF274" s="2482">
        <v>52</v>
      </c>
      <c r="DG274" s="2482">
        <v>55</v>
      </c>
      <c r="DH274" s="2482">
        <v>43</v>
      </c>
      <c r="DI274" s="2483">
        <v>33</v>
      </c>
      <c r="DJ274" s="2481">
        <f>SUM(DF274:DI274)</f>
      </c>
      <c r="DK274" s="2482">
        <v>47</v>
      </c>
      <c r="DL274" s="2484">
        <v>35</v>
      </c>
      <c r="DM274" s="2482">
        <v>35</v>
      </c>
      <c r="DN274" s="2483">
        <v>55</v>
      </c>
      <c r="DO274" s="2481">
        <f>SUM(DK274:DN274)</f>
      </c>
      <c r="DP274" s="2484">
        <v>35</v>
      </c>
      <c r="DQ274" s="2484">
        <v>38</v>
      </c>
      <c r="DR274" s="2484">
        <v>41</v>
      </c>
      <c r="DS274" s="2485">
        <v>37</v>
      </c>
      <c r="DT274" s="2481">
        <f>SUM(DP274:DS274)</f>
      </c>
      <c r="DU274" s="2484">
        <v>70</v>
      </c>
      <c r="DV274" s="2484">
        <v>64</v>
      </c>
      <c r="DW274" s="2484">
        <v>57</v>
      </c>
      <c r="DX274" s="2484">
        <v>38.5</v>
      </c>
      <c r="DY274" s="2481">
        <f>SUM(DU274:DX274)</f>
      </c>
      <c r="DZ274" s="2484">
        <v>41</v>
      </c>
      <c r="EA274" s="2484">
        <v>34</v>
      </c>
      <c r="EB274" s="2484">
        <v>25.5</v>
      </c>
      <c r="EC274" s="2485">
        <v>33</v>
      </c>
      <c r="ED274" s="2481">
        <f>SUM(DZ274:EC274)</f>
      </c>
      <c r="EE274" s="2484">
        <v>38</v>
      </c>
      <c r="EF274" s="2484">
        <v>24</v>
      </c>
      <c r="EG274" s="2484">
        <v>14</v>
      </c>
      <c r="EH274" s="2487">
        <f>+EI274-SUM(EE274:EG274)</f>
      </c>
      <c r="EI274" s="2481">
        <f>+ED274*(1+EI279)</f>
      </c>
      <c r="EJ274" s="2481">
        <f t="shared" ref="EJ274:EJ275" si="749">+EI274*(1+EJ279)</f>
      </c>
      <c r="EK274" s="2481">
        <f t="shared" ref="EK274:EK275" si="750">+EJ274*(1+EK279)</f>
      </c>
      <c r="EL274" s="2481">
        <f t="shared" ref="EL274:EL275" si="751">+EK274*(1+EL279)</f>
      </c>
      <c r="EM274" s="2481">
        <f t="shared" ref="EM274:EM275" si="752">+EL274*(1+EM279)</f>
      </c>
      <c r="EN274" s="2481">
        <f t="shared" ref="EN274:EN275" si="753">+EM274*(1+EN279)</f>
      </c>
      <c r="EO274" s="2481">
        <f t="shared" ref="EO274:EO275" si="754">+EN274*(1+EO279)</f>
      </c>
      <c r="EP274" s="2481">
        <f t="shared" ref="EP274:EP275" si="755">+EO274*(1+EP279)</f>
      </c>
      <c r="EQ274" s="2481">
        <f t="shared" ref="EQ274:EQ275" si="756">+EP274*(1+EQ279)</f>
      </c>
      <c r="ER274" s="2481">
        <f t="shared" ref="ER274:ER275" si="757">+EQ274*(1+ER279)</f>
      </c>
      <c r="ES274" s="2481">
        <f t="shared" ref="ES274:ES275" si="758">+ER274*(1+ES279)</f>
      </c>
      <c r="ET274" s="1847"/>
      <c r="EU274" s="1847"/>
      <c r="EV274" s="1847"/>
      <c r="EW274" s="1847"/>
      <c r="EX274" s="1847"/>
    </row>
    <row r="275" spans="1:154" ht="12.75" customHeight="1">
      <c r="A275" s="3277" t="str">
        <f>+A276&amp;" - OUS"</f>
      </c>
      <c r="B275" s="340" t="s">
        <v>412</v>
      </c>
      <c r="C275" s="1999" t="s">
        <v>671</v>
      </c>
      <c r="D275" s="40"/>
      <c r="E275" s="33">
        <v>0</v>
      </c>
      <c r="F275" s="33">
        <v>0</v>
      </c>
      <c r="G275" s="33">
        <v>0</v>
      </c>
      <c r="H275" s="33">
        <v>0</v>
      </c>
      <c r="I275" s="31">
        <f>+SUM(E275:H275)</f>
      </c>
      <c r="J275" s="33">
        <v>0</v>
      </c>
      <c r="K275" s="33">
        <v>0</v>
      </c>
      <c r="L275" s="33">
        <v>0</v>
      </c>
      <c r="M275" s="33">
        <v>1</v>
      </c>
      <c r="N275" s="31">
        <f>+SUM(J275:M275)</f>
      </c>
      <c r="O275" s="33">
        <v>3</v>
      </c>
      <c r="P275" s="33">
        <v>4</v>
      </c>
      <c r="Q275" s="33">
        <v>5</v>
      </c>
      <c r="R275" s="33">
        <v>5</v>
      </c>
      <c r="S275" s="31">
        <f>SUM(O275:R275)</f>
      </c>
      <c r="T275" s="33">
        <v>4</v>
      </c>
      <c r="U275" s="33">
        <v>5</v>
      </c>
      <c r="V275" s="33">
        <v>7</v>
      </c>
      <c r="W275" s="33">
        <v>7</v>
      </c>
      <c r="X275" s="313">
        <f>SUM(T275:W275)</f>
      </c>
      <c r="Y275" s="33">
        <v>10</v>
      </c>
      <c r="Z275" s="33">
        <v>15</v>
      </c>
      <c r="AA275" s="33">
        <v>20</v>
      </c>
      <c r="AB275" s="33">
        <v>17</v>
      </c>
      <c r="AC275" s="313">
        <f>SUM(Y275:AB275)</f>
      </c>
      <c r="AD275" s="33">
        <v>18</v>
      </c>
      <c r="AE275" s="33">
        <v>24</v>
      </c>
      <c r="AF275" s="33">
        <v>21</v>
      </c>
      <c r="AG275" s="33">
        <v>32</v>
      </c>
      <c r="AH275" s="313">
        <f>SUM(AD275:AG275)</f>
      </c>
      <c r="AI275" s="33">
        <v>33</v>
      </c>
      <c r="AJ275" s="33">
        <v>36</v>
      </c>
      <c r="AK275" s="33">
        <v>29</v>
      </c>
      <c r="AL275" s="33">
        <v>37</v>
      </c>
      <c r="AM275" s="313">
        <f>+SUM(AI275:AL275)</f>
      </c>
      <c r="AN275" s="33">
        <v>42</v>
      </c>
      <c r="AO275" s="33">
        <v>43</v>
      </c>
      <c r="AP275" s="33">
        <v>41</v>
      </c>
      <c r="AQ275" s="33">
        <v>48</v>
      </c>
      <c r="AR275" s="313">
        <f>+SUM(AN275:AQ275)</f>
      </c>
      <c r="AS275" s="33">
        <v>52</v>
      </c>
      <c r="AT275" s="33">
        <v>56</v>
      </c>
      <c r="AU275" s="33">
        <v>55.35</v>
      </c>
      <c r="AV275" s="33">
        <v>67</v>
      </c>
      <c r="AW275" s="313">
        <f>+SUM(AS275:AV275)</f>
      </c>
      <c r="AX275" s="33">
        <v>66</v>
      </c>
      <c r="AY275" s="33">
        <v>71</v>
      </c>
      <c r="AZ275" s="33">
        <v>208</v>
      </c>
      <c r="BA275" s="33">
        <v>72</v>
      </c>
      <c r="BB275" s="313">
        <f>SUM(AX275:BA275)</f>
      </c>
      <c r="BC275" s="33">
        <v>75</v>
      </c>
      <c r="BD275" s="33">
        <v>84</v>
      </c>
      <c r="BE275" s="33">
        <v>79</v>
      </c>
      <c r="BF275" s="33">
        <v>102</v>
      </c>
      <c r="BG275" s="313">
        <f>SUM(BC275:BF275)</f>
      </c>
      <c r="BH275" s="33">
        <v>98</v>
      </c>
      <c r="BI275" s="33">
        <v>100</v>
      </c>
      <c r="BJ275" s="33">
        <v>85</v>
      </c>
      <c r="BK275" s="33">
        <v>107</v>
      </c>
      <c r="BL275" s="313">
        <f>SUM(BH275:BK275)</f>
      </c>
      <c r="BM275" s="480">
        <v>108</v>
      </c>
      <c r="BN275" s="480">
        <v>115</v>
      </c>
      <c r="BO275" s="480">
        <v>104</v>
      </c>
      <c r="BP275" s="480">
        <v>119</v>
      </c>
      <c r="BQ275" s="479">
        <f>SUM(BM275:BP275)</f>
      </c>
      <c r="BR275" s="480">
        <v>111</v>
      </c>
      <c r="BS275" s="648">
        <v>122</v>
      </c>
      <c r="BT275" s="648">
        <v>104</v>
      </c>
      <c r="BU275" s="648">
        <v>127</v>
      </c>
      <c r="BV275" s="479">
        <f>SUM(BR275:BU275)</f>
      </c>
      <c r="BW275" s="648">
        <v>117</v>
      </c>
      <c r="BX275" s="648">
        <v>130</v>
      </c>
      <c r="BY275" s="648">
        <v>104</v>
      </c>
      <c r="BZ275" s="648">
        <v>123</v>
      </c>
      <c r="CA275" s="479">
        <f>SUM(BW275:BZ275)</f>
      </c>
      <c r="CB275" s="648">
        <v>115</v>
      </c>
      <c r="CC275" s="648">
        <v>117</v>
      </c>
      <c r="CD275" s="648">
        <v>101</v>
      </c>
      <c r="CE275" s="648">
        <v>114</v>
      </c>
      <c r="CF275" s="479">
        <f>SUM(CB275:CE275)</f>
      </c>
      <c r="CG275" s="648">
        <v>98</v>
      </c>
      <c r="CH275" s="648">
        <v>104</v>
      </c>
      <c r="CI275" s="648">
        <v>89</v>
      </c>
      <c r="CJ275" s="648">
        <v>96</v>
      </c>
      <c r="CK275" s="479">
        <f>SUM(CG275:CJ275)</f>
      </c>
      <c r="CL275" s="648">
        <v>97</v>
      </c>
      <c r="CM275" s="648">
        <v>109</v>
      </c>
      <c r="CN275" s="648">
        <v>88</v>
      </c>
      <c r="CO275" s="1214">
        <v>101</v>
      </c>
      <c r="CP275" s="479">
        <f>SUM(CL275:CO275)</f>
      </c>
      <c r="CQ275" s="1214">
        <v>101</v>
      </c>
      <c r="CR275" s="1214">
        <v>105</v>
      </c>
      <c r="CS275" s="1214">
        <v>98</v>
      </c>
      <c r="CT275" s="1214">
        <v>103</v>
      </c>
      <c r="CU275" s="479">
        <f>SUM(CQ275:CT275)</f>
      </c>
      <c r="CV275" s="1214">
        <v>107</v>
      </c>
      <c r="CW275" s="1214">
        <v>115</v>
      </c>
      <c r="CX275" s="1214">
        <v>100</v>
      </c>
      <c r="CY275" s="1214">
        <v>112</v>
      </c>
      <c r="CZ275" s="479">
        <f>SUM(CV275:CY275)</f>
      </c>
      <c r="DA275" s="1214">
        <v>116</v>
      </c>
      <c r="DB275" s="1214">
        <v>123</v>
      </c>
      <c r="DC275" s="352">
        <v>109</v>
      </c>
      <c r="DD275" s="1205">
        <v>115</v>
      </c>
      <c r="DE275" s="2481">
        <f>SUM(DA275:DD275)</f>
      </c>
      <c r="DF275" s="2482">
        <v>118</v>
      </c>
      <c r="DG275" s="2482">
        <v>94</v>
      </c>
      <c r="DH275" s="2482">
        <v>107</v>
      </c>
      <c r="DI275" s="2483">
        <v>120</v>
      </c>
      <c r="DJ275" s="2481">
        <f>SUM(DF275:DI275)</f>
      </c>
      <c r="DK275" s="2482">
        <v>123</v>
      </c>
      <c r="DL275" s="2484">
        <v>127</v>
      </c>
      <c r="DM275" s="2482">
        <v>122</v>
      </c>
      <c r="DN275" s="2483">
        <v>123</v>
      </c>
      <c r="DO275" s="2481">
        <f>SUM(DK275:DN275)</f>
      </c>
      <c r="DP275" s="2484">
        <v>122</v>
      </c>
      <c r="DQ275" s="2484">
        <v>123</v>
      </c>
      <c r="DR275" s="2484">
        <v>117</v>
      </c>
      <c r="DS275" s="2485">
        <v>131</v>
      </c>
      <c r="DT275" s="2481">
        <f>SUM(DP275:DS275)</f>
      </c>
      <c r="DU275" s="2484">
        <v>136</v>
      </c>
      <c r="DV275" s="2484">
        <v>143</v>
      </c>
      <c r="DW275" s="2484">
        <v>133</v>
      </c>
      <c r="DX275" s="2484">
        <v>141.5</v>
      </c>
      <c r="DY275" s="2481">
        <f>SUM(DU275:DX275)</f>
      </c>
      <c r="DZ275" s="2484">
        <v>136</v>
      </c>
      <c r="EA275" s="2484">
        <v>129</v>
      </c>
      <c r="EB275" s="2484">
        <v>116.5</v>
      </c>
      <c r="EC275" s="2485">
        <v>125</v>
      </c>
      <c r="ED275" s="2481">
        <f>SUM(DZ275:EC275)</f>
      </c>
      <c r="EE275" s="2484">
        <v>110</v>
      </c>
      <c r="EF275" s="2484">
        <v>139</v>
      </c>
      <c r="EG275" s="2484">
        <v>127</v>
      </c>
      <c r="EH275" s="2487">
        <f>+EI275-SUM(EE275:EG275)</f>
      </c>
      <c r="EI275" s="2481">
        <f>+ED275*(1+EI280)</f>
      </c>
      <c r="EJ275" s="2481">
        <f t="shared" si="749"/>
      </c>
      <c r="EK275" s="2481">
        <f t="shared" si="750"/>
      </c>
      <c r="EL275" s="2481">
        <f t="shared" si="751"/>
      </c>
      <c r="EM275" s="2481">
        <f t="shared" si="752"/>
      </c>
      <c r="EN275" s="2481">
        <f t="shared" si="753"/>
      </c>
      <c r="EO275" s="2481">
        <f t="shared" si="754"/>
      </c>
      <c r="EP275" s="2481">
        <f t="shared" si="755"/>
      </c>
      <c r="EQ275" s="2481">
        <f t="shared" si="756"/>
      </c>
      <c r="ER275" s="2481">
        <f t="shared" si="757"/>
      </c>
      <c r="ES275" s="2481">
        <f t="shared" si="758"/>
      </c>
      <c r="ET275" s="1847"/>
      <c r="EU275" s="1847"/>
      <c r="EV275" s="1847"/>
      <c r="EW275" s="1847"/>
      <c r="EX275" s="1847"/>
    </row>
    <row r="276" spans="1:154" ht="12.75" customHeight="1">
      <c r="A276" s="3277" t="s">
        <v>195</v>
      </c>
      <c r="B276" s="340" t="s">
        <v>413</v>
      </c>
      <c r="C276" s="1989"/>
      <c r="D276" s="33">
        <v>403</v>
      </c>
      <c r="E276" s="28">
        <f t="shared" ref="E276:AJ276" si="759">+E274+E275</f>
      </c>
      <c r="F276" s="28">
        <f t="shared" si="759"/>
      </c>
      <c r="G276" s="28">
        <f t="shared" si="759"/>
      </c>
      <c r="H276" s="28">
        <f t="shared" si="759"/>
      </c>
      <c r="I276" s="31">
        <f t="shared" si="759"/>
      </c>
      <c r="J276" s="28">
        <f t="shared" si="759"/>
      </c>
      <c r="K276" s="28">
        <f t="shared" si="759"/>
      </c>
      <c r="L276" s="28">
        <f t="shared" si="759"/>
      </c>
      <c r="M276" s="28">
        <f t="shared" si="759"/>
      </c>
      <c r="N276" s="31">
        <f t="shared" si="759"/>
      </c>
      <c r="O276" s="28">
        <f t="shared" si="759"/>
      </c>
      <c r="P276" s="28">
        <f t="shared" si="759"/>
      </c>
      <c r="Q276" s="28">
        <f t="shared" si="759"/>
      </c>
      <c r="R276" s="28">
        <f t="shared" si="759"/>
      </c>
      <c r="S276" s="31">
        <f t="shared" si="759"/>
      </c>
      <c r="T276" s="28">
        <f t="shared" si="759"/>
      </c>
      <c r="U276" s="28">
        <f t="shared" si="759"/>
      </c>
      <c r="V276" s="28">
        <f t="shared" si="759"/>
      </c>
      <c r="W276" s="28">
        <f t="shared" si="759"/>
      </c>
      <c r="X276" s="313">
        <f t="shared" si="759"/>
      </c>
      <c r="Y276" s="28">
        <f t="shared" si="759"/>
      </c>
      <c r="Z276" s="28">
        <f t="shared" si="759"/>
      </c>
      <c r="AA276" s="28">
        <f t="shared" si="759"/>
      </c>
      <c r="AB276" s="28">
        <f t="shared" si="759"/>
      </c>
      <c r="AC276" s="313">
        <f t="shared" si="759"/>
      </c>
      <c r="AD276" s="28">
        <f t="shared" si="759"/>
      </c>
      <c r="AE276" s="28">
        <f t="shared" si="759"/>
      </c>
      <c r="AF276" s="28">
        <f t="shared" si="759"/>
      </c>
      <c r="AG276" s="28">
        <f t="shared" si="759"/>
      </c>
      <c r="AH276" s="313">
        <f t="shared" si="759"/>
      </c>
      <c r="AI276" s="28">
        <f t="shared" si="759"/>
      </c>
      <c r="AJ276" s="28">
        <f t="shared" si="759"/>
      </c>
      <c r="AK276" s="28">
        <f t="shared" ref="AK276:BK276" si="760">+AK274+AK275</f>
      </c>
      <c r="AL276" s="28">
        <f t="shared" si="760"/>
      </c>
      <c r="AM276" s="313">
        <f t="shared" si="760"/>
      </c>
      <c r="AN276" s="28">
        <f t="shared" si="760"/>
      </c>
      <c r="AO276" s="28">
        <f t="shared" si="760"/>
      </c>
      <c r="AP276" s="28">
        <f t="shared" si="760"/>
      </c>
      <c r="AQ276" s="28">
        <f t="shared" si="760"/>
      </c>
      <c r="AR276" s="313">
        <f t="shared" si="760"/>
      </c>
      <c r="AS276" s="28">
        <f t="shared" si="760"/>
      </c>
      <c r="AT276" s="28">
        <f t="shared" si="760"/>
      </c>
      <c r="AU276" s="28">
        <f t="shared" si="760"/>
      </c>
      <c r="AV276" s="28">
        <f t="shared" si="760"/>
      </c>
      <c r="AW276" s="313">
        <f t="shared" si="760"/>
      </c>
      <c r="AX276" s="28">
        <f t="shared" si="760"/>
      </c>
      <c r="AY276" s="28">
        <f t="shared" si="760"/>
      </c>
      <c r="AZ276" s="28">
        <f t="shared" si="760"/>
      </c>
      <c r="BA276" s="28">
        <f t="shared" si="760"/>
      </c>
      <c r="BB276" s="313">
        <f t="shared" si="760"/>
      </c>
      <c r="BC276" s="28">
        <f t="shared" si="760"/>
      </c>
      <c r="BD276" s="28">
        <f t="shared" si="760"/>
      </c>
      <c r="BE276" s="28">
        <f t="shared" si="760"/>
      </c>
      <c r="BF276" s="28">
        <f t="shared" si="760"/>
      </c>
      <c r="BG276" s="313">
        <f t="shared" si="760"/>
      </c>
      <c r="BH276" s="28">
        <f t="shared" si="760"/>
      </c>
      <c r="BI276" s="28">
        <f t="shared" si="760"/>
      </c>
      <c r="BJ276" s="28">
        <f t="shared" si="760"/>
      </c>
      <c r="BK276" s="28">
        <f t="shared" si="760"/>
      </c>
      <c r="BL276" s="313">
        <f>SUM(BH276:BK276)</f>
      </c>
      <c r="BM276" s="467">
        <f>+BM274+BM275</f>
      </c>
      <c r="BN276" s="467">
        <f>+BN274+BN275</f>
      </c>
      <c r="BO276" s="467">
        <f>+BO274+BO275</f>
      </c>
      <c r="BP276" s="467">
        <f>+BP274+BP275</f>
      </c>
      <c r="BQ276" s="479">
        <f>SUM(BM276:BP276)</f>
      </c>
      <c r="BR276" s="467">
        <f>+BR274+BR275</f>
      </c>
      <c r="BS276" s="467">
        <f>+BS274+BS275</f>
      </c>
      <c r="BT276" s="467">
        <f>+BT274+BT275</f>
      </c>
      <c r="BU276" s="467">
        <f>+BU274+BU275</f>
      </c>
      <c r="BV276" s="479">
        <f>SUM(BR276:BU276)</f>
      </c>
      <c r="BW276" s="467">
        <f>+BW274+BW275</f>
      </c>
      <c r="BX276" s="467">
        <f>+BX274+BX275</f>
      </c>
      <c r="BY276" s="467">
        <f>+BY274+BY275</f>
      </c>
      <c r="BZ276" s="467">
        <f>+BZ274+BZ275</f>
      </c>
      <c r="CA276" s="479">
        <f>SUM(BW276:BZ276)</f>
      </c>
      <c r="CB276" s="467">
        <f>+CB274+CB275</f>
      </c>
      <c r="CC276" s="467">
        <f>+CC274+CC275</f>
      </c>
      <c r="CD276" s="467">
        <f>+CD274+CD275</f>
      </c>
      <c r="CE276" s="467">
        <f>+CE274+CE275</f>
      </c>
      <c r="CF276" s="479">
        <f>SUM(CB276:CE276)</f>
      </c>
      <c r="CG276" s="467">
        <f>+CG274+CG275</f>
      </c>
      <c r="CH276" s="467">
        <f>+CH274+CH275</f>
      </c>
      <c r="CI276" s="467">
        <f>+CI274+CI275</f>
      </c>
      <c r="CJ276" s="467">
        <f>+CJ274+CJ275</f>
      </c>
      <c r="CK276" s="479">
        <f>SUM(CG276:CJ276)</f>
      </c>
      <c r="CL276" s="467">
        <f>+CL274+CL275</f>
      </c>
      <c r="CM276" s="467">
        <f>+CM274+CM275</f>
      </c>
      <c r="CN276" s="467">
        <f>+CN274+CN275</f>
      </c>
      <c r="CO276" s="1399">
        <f>+CO274+CO275</f>
      </c>
      <c r="CP276" s="479">
        <f>SUM(CL276:CO276)</f>
      </c>
      <c r="CQ276" s="969">
        <f>+CQ274+CQ275</f>
      </c>
      <c r="CR276" s="969">
        <f>+CR274+CR275</f>
      </c>
      <c r="CS276" s="969">
        <f>+CS274+CS275</f>
      </c>
      <c r="CT276" s="969">
        <f>+CT274+CT275</f>
      </c>
      <c r="CU276" s="479">
        <f>SUM(CQ276:CT276)</f>
      </c>
      <c r="CV276" s="969">
        <f>+CV274+CV275</f>
      </c>
      <c r="CW276" s="969">
        <f>+CW274+CW275</f>
      </c>
      <c r="CX276" s="969">
        <f>+CX274+CX275</f>
      </c>
      <c r="CY276" s="969">
        <f>+CY274+CY275</f>
      </c>
      <c r="CZ276" s="479">
        <f>SUM(CV276:CY276)</f>
      </c>
      <c r="DA276" s="969">
        <f>SUM(DA274:DA275)</f>
      </c>
      <c r="DB276" s="969">
        <f>SUM(DB274:DB275)</f>
      </c>
      <c r="DC276" s="36">
        <f>SUM(DC274:DC275)</f>
      </c>
      <c r="DD276" s="984">
        <f>+DD274+DD275</f>
      </c>
      <c r="DE276" s="2481">
        <f>SUM(DA276:DD276)</f>
      </c>
      <c r="DF276" s="2471">
        <f>SUM(DF274:DF275)</f>
      </c>
      <c r="DG276" s="2471">
        <f>SUM(DG274:DG275)</f>
      </c>
      <c r="DH276" s="2471">
        <f>SUM(DH274:DH275)</f>
      </c>
      <c r="DI276" s="2472">
        <f>+DI274+DI275</f>
      </c>
      <c r="DJ276" s="2481">
        <f>SUM(DF276:DI276)</f>
      </c>
      <c r="DK276" s="2471">
        <f>SUM(DK274:DK275)</f>
      </c>
      <c r="DL276" s="2486">
        <f>SUM(DL274:DL275)</f>
      </c>
      <c r="DM276" s="2471">
        <f>SUM(DM274:DM275)</f>
      </c>
      <c r="DN276" s="2487">
        <f>+DN274+DN275</f>
      </c>
      <c r="DO276" s="2481">
        <f>+DO274+DO275</f>
      </c>
      <c r="DP276" s="2486">
        <f>SUM(DP274:DP275)</f>
      </c>
      <c r="DQ276" s="2486">
        <f>SUM(DQ274:DQ275)</f>
      </c>
      <c r="DR276" s="2486">
        <f>SUM(DR274:DR275)</f>
      </c>
      <c r="DS276" s="2487">
        <f>+DS274+DS275</f>
      </c>
      <c r="DT276" s="2481">
        <f>+DT274+DT275</f>
      </c>
      <c r="DU276" s="2486">
        <f>SUM(DU274:DU275)</f>
      </c>
      <c r="DV276" s="2486">
        <f>SUM(DV274:DV275)</f>
      </c>
      <c r="DW276" s="2486">
        <f>SUM(DW274:DW275)</f>
      </c>
      <c r="DX276" s="2486">
        <f>SUM(DX274:DX275)</f>
      </c>
      <c r="DY276" s="2481">
        <f>+DY274+DY275</f>
      </c>
      <c r="DZ276" s="2486">
        <f>SUM(DZ274:DZ275)</f>
      </c>
      <c r="EA276" s="2486">
        <f>SUM(EA274:EA275)</f>
      </c>
      <c r="EB276" s="2486">
        <f>SUM(EB274:EB275)</f>
      </c>
      <c r="EC276" s="2486">
        <f>SUM(EC274:EC275)</f>
      </c>
      <c r="ED276" s="2481">
        <f>+ED274+ED275</f>
      </c>
      <c r="EE276" s="2486">
        <f>SUM(EE274:EE275)</f>
      </c>
      <c r="EF276" s="2486">
        <f>SUM(EF274:EF275)</f>
      </c>
      <c r="EG276" s="2486">
        <f>SUM(EG274:EG275)</f>
      </c>
      <c r="EH276" s="2487">
        <f t="shared" ref="EH276:ES276" si="761">+EH274+EH275</f>
      </c>
      <c r="EI276" s="2481">
        <f t="shared" si="761"/>
      </c>
      <c r="EJ276" s="2481">
        <f t="shared" si="761"/>
      </c>
      <c r="EK276" s="2481">
        <f t="shared" si="761"/>
      </c>
      <c r="EL276" s="2481">
        <f t="shared" si="761"/>
      </c>
      <c r="EM276" s="2481">
        <f t="shared" si="761"/>
      </c>
      <c r="EN276" s="2481">
        <f t="shared" si="761"/>
      </c>
      <c r="EO276" s="2481">
        <f t="shared" si="761"/>
      </c>
      <c r="EP276" s="2481">
        <f t="shared" si="761"/>
      </c>
      <c r="EQ276" s="2481">
        <f t="shared" si="761"/>
      </c>
      <c r="ER276" s="2481">
        <f t="shared" si="761"/>
      </c>
      <c r="ES276" s="2481">
        <f t="shared" si="761"/>
      </c>
      <c r="ET276" s="1847"/>
      <c r="EU276" s="1847"/>
      <c r="EV276" s="1847"/>
      <c r="EW276" s="1847"/>
      <c r="EX276" s="1847"/>
    </row>
    <row r="277" spans="1:154" ht="12.75" customHeight="1">
      <c r="A277" s="3277"/>
      <c r="B277" s="340"/>
      <c r="C277" s="1989"/>
      <c r="D277" s="33"/>
      <c r="E277" s="28"/>
      <c r="F277" s="28"/>
      <c r="G277" s="28"/>
      <c r="H277" s="28"/>
      <c r="I277" s="31"/>
      <c r="J277" s="28"/>
      <c r="K277" s="28"/>
      <c r="L277" s="28"/>
      <c r="M277" s="28"/>
      <c r="N277" s="31"/>
      <c r="O277" s="28"/>
      <c r="P277" s="28"/>
      <c r="Q277" s="28"/>
      <c r="R277" s="28"/>
      <c r="S277" s="31"/>
      <c r="T277" s="28"/>
      <c r="U277" s="28"/>
      <c r="V277" s="28"/>
      <c r="W277" s="28"/>
      <c r="X277" s="319"/>
      <c r="Y277" s="28"/>
      <c r="Z277" s="28"/>
      <c r="AA277" s="28"/>
      <c r="AB277" s="28"/>
      <c r="AC277" s="319"/>
      <c r="AD277" s="28"/>
      <c r="AE277" s="28"/>
      <c r="AF277" s="28"/>
      <c r="AG277" s="28"/>
      <c r="AH277" s="319"/>
      <c r="AI277" s="28"/>
      <c r="AJ277" s="28"/>
      <c r="AK277" s="28"/>
      <c r="AL277" s="28"/>
      <c r="AM277" s="319"/>
      <c r="AN277" s="28"/>
      <c r="AO277" s="28"/>
      <c r="AP277" s="28"/>
      <c r="AQ277" s="28"/>
      <c r="AR277" s="319"/>
      <c r="AS277" s="28"/>
      <c r="AT277" s="28"/>
      <c r="AU277" s="28"/>
      <c r="AV277" s="28"/>
      <c r="AW277" s="319"/>
      <c r="AX277" s="28"/>
      <c r="AY277" s="28"/>
      <c r="AZ277" s="28"/>
      <c r="BA277" s="28"/>
      <c r="BB277" s="319"/>
      <c r="BC277" s="28"/>
      <c r="BD277" s="28"/>
      <c r="BE277" s="28"/>
      <c r="BF277" s="22"/>
      <c r="BG277" s="297"/>
      <c r="BH277" s="22"/>
      <c r="BI277" s="28"/>
      <c r="BJ277" s="28"/>
      <c r="BK277" s="28"/>
      <c r="BL277" s="313"/>
      <c r="BM277" s="28"/>
      <c r="BN277" s="28"/>
      <c r="BO277" s="28"/>
      <c r="BP277" s="28"/>
      <c r="BQ277" s="313"/>
      <c r="BR277" s="28"/>
      <c r="BS277" s="28"/>
      <c r="BT277" s="28"/>
      <c r="BU277" s="28"/>
      <c r="BV277" s="313"/>
      <c r="BW277" s="28"/>
      <c r="BX277" s="28"/>
      <c r="BY277" s="28"/>
      <c r="BZ277" s="28"/>
      <c r="CA277" s="313"/>
      <c r="CB277" s="28"/>
      <c r="CC277" s="28"/>
      <c r="CD277" s="28"/>
      <c r="CE277" s="28"/>
      <c r="CF277" s="313"/>
      <c r="CG277" s="28"/>
      <c r="CH277" s="28"/>
      <c r="CI277" s="28"/>
      <c r="CJ277" s="28"/>
      <c r="CK277" s="313"/>
      <c r="CL277" s="961"/>
      <c r="CM277" s="933"/>
      <c r="CN277" s="933"/>
      <c r="CO277" s="28"/>
      <c r="CP277" s="313"/>
      <c r="CQ277" s="933"/>
      <c r="CR277" s="933"/>
      <c r="CS277" s="933"/>
      <c r="CT277" s="933"/>
      <c r="CU277" s="313"/>
      <c r="CV277" s="933"/>
      <c r="CW277" s="933"/>
      <c r="CX277" s="933"/>
      <c r="CY277" s="933"/>
      <c r="CZ277" s="313"/>
      <c r="DA277" s="933"/>
      <c r="DB277" s="31"/>
      <c r="DC277" s="31"/>
      <c r="DD277" s="955"/>
      <c r="DE277" s="477"/>
      <c r="DF277" s="982"/>
      <c r="DG277" s="603"/>
      <c r="DH277" s="603"/>
      <c r="DI277" s="1798"/>
      <c r="DJ277" s="477"/>
      <c r="DK277" s="982"/>
      <c r="DL277" s="603"/>
      <c r="DM277" s="603"/>
      <c r="DN277" s="1798"/>
      <c r="DO277" s="477"/>
      <c r="DP277" s="603"/>
      <c r="DQ277" s="603"/>
      <c r="DR277" s="603"/>
      <c r="DS277" s="1798"/>
      <c r="DT277" s="477"/>
      <c r="DU277" s="603"/>
      <c r="DV277" s="603"/>
      <c r="DW277" s="603"/>
      <c r="DX277" s="603"/>
      <c r="DY277" s="477"/>
      <c r="DZ277" s="603"/>
      <c r="EA277" s="603"/>
      <c r="EB277" s="603"/>
      <c r="EC277" s="1798"/>
      <c r="ED277" s="477"/>
      <c r="EE277" s="603"/>
      <c r="EF277" s="603"/>
      <c r="EG277" s="603"/>
      <c r="EH277" s="1798"/>
      <c r="EI277" s="477"/>
      <c r="EJ277" s="477"/>
      <c r="EK277" s="477"/>
      <c r="EL277" s="477"/>
      <c r="EM277" s="477"/>
      <c r="EN277" s="477"/>
      <c r="EO277" s="477"/>
      <c r="EP277" s="477"/>
      <c r="EQ277" s="477"/>
      <c r="ER277" s="477"/>
      <c r="ES277" s="477"/>
      <c r="ET277" s="477"/>
      <c r="EU277" s="477"/>
      <c r="EV277" s="477"/>
      <c r="EW277" s="477"/>
      <c r="EX277" s="477"/>
    </row>
    <row r="278" spans="1:154" ht="12.75" customHeight="1">
      <c r="B278" s="338" t="s">
        <v>896</v>
      </c>
      <c r="C278" s="1989"/>
      <c r="D278" s="33"/>
      <c r="E278" s="28"/>
      <c r="F278" s="28"/>
      <c r="G278" s="28"/>
      <c r="H278" s="28"/>
      <c r="I278" s="31"/>
      <c r="J278" s="28"/>
      <c r="K278" s="28"/>
      <c r="L278" s="28"/>
      <c r="M278" s="28"/>
      <c r="N278" s="31"/>
      <c r="O278" s="28"/>
      <c r="P278" s="28"/>
      <c r="Q278" s="28"/>
      <c r="R278" s="28"/>
      <c r="S278" s="31"/>
      <c r="T278" s="28"/>
      <c r="U278" s="28"/>
      <c r="V278" s="28"/>
      <c r="W278" s="28"/>
      <c r="X278" s="313"/>
      <c r="Y278" s="28"/>
      <c r="Z278" s="28"/>
      <c r="AA278" s="28"/>
      <c r="AB278" s="28"/>
      <c r="AC278" s="313"/>
      <c r="AD278" s="28"/>
      <c r="AE278" s="28"/>
      <c r="AF278" s="28"/>
      <c r="AG278" s="28"/>
      <c r="AH278" s="313"/>
      <c r="AI278" s="28"/>
      <c r="AJ278" s="28"/>
      <c r="AK278" s="28"/>
      <c r="AL278" s="28"/>
      <c r="AM278" s="313"/>
      <c r="AN278" s="28"/>
      <c r="AO278" s="28"/>
      <c r="AP278" s="28"/>
      <c r="AQ278" s="28"/>
      <c r="AR278" s="313"/>
      <c r="AS278" s="28"/>
      <c r="AT278" s="28"/>
      <c r="AU278" s="28"/>
      <c r="AV278" s="28"/>
      <c r="AW278" s="313"/>
      <c r="AX278" s="28"/>
      <c r="AY278" s="28"/>
      <c r="AZ278" s="28"/>
      <c r="BA278" s="28"/>
      <c r="BB278" s="313"/>
      <c r="BC278" s="28"/>
      <c r="BD278" s="28"/>
      <c r="BE278" s="28"/>
      <c r="BF278" s="28" t="s">
        <v>29</v>
      </c>
      <c r="BG278" s="319"/>
      <c r="BH278" s="28"/>
      <c r="BI278" s="28"/>
      <c r="BJ278" s="28"/>
      <c r="BK278" s="28"/>
      <c r="BL278" s="313"/>
      <c r="BM278" s="28"/>
      <c r="BN278" s="28"/>
      <c r="BO278" s="28"/>
      <c r="BP278" s="28"/>
      <c r="BQ278" s="313"/>
      <c r="BR278" s="28"/>
      <c r="BS278" s="28"/>
      <c r="BT278" s="28"/>
      <c r="BU278" s="28"/>
      <c r="BV278" s="313"/>
      <c r="BW278" s="28"/>
      <c r="BX278" s="28"/>
      <c r="BY278" s="28"/>
      <c r="BZ278" s="28"/>
      <c r="CA278" s="313"/>
      <c r="CB278" s="28"/>
      <c r="CC278" s="28"/>
      <c r="CD278" s="28"/>
      <c r="CE278" s="28"/>
      <c r="CF278" s="313"/>
      <c r="CG278" s="28"/>
      <c r="CH278" s="28"/>
      <c r="CI278" s="28"/>
      <c r="CJ278" s="28"/>
      <c r="CK278" s="313"/>
      <c r="CL278" s="961"/>
      <c r="CM278" s="933"/>
      <c r="CN278" s="933"/>
      <c r="CO278" s="28"/>
      <c r="CP278" s="313"/>
      <c r="CQ278" s="933"/>
      <c r="CR278" s="933"/>
      <c r="CS278" s="933"/>
      <c r="CT278" s="933"/>
      <c r="CU278" s="313"/>
      <c r="CV278" s="933"/>
      <c r="CW278" s="933"/>
      <c r="CX278" s="933"/>
      <c r="CY278" s="933"/>
      <c r="CZ278" s="313"/>
      <c r="DA278" s="933"/>
      <c r="DB278" s="31"/>
      <c r="DC278" s="31"/>
      <c r="DD278" s="955"/>
      <c r="DE278" s="477"/>
      <c r="DF278" s="982"/>
      <c r="DG278" s="603"/>
      <c r="DH278" s="603"/>
      <c r="DI278" s="1798"/>
      <c r="DJ278" s="477"/>
      <c r="DK278" s="982"/>
      <c r="DL278" s="603"/>
      <c r="DM278" s="603"/>
      <c r="DN278" s="1798"/>
      <c r="DO278" s="477"/>
      <c r="DP278" s="603"/>
      <c r="DQ278" s="603"/>
      <c r="DR278" s="603"/>
      <c r="DS278" s="1798"/>
      <c r="DT278" s="477"/>
      <c r="DU278" s="603"/>
      <c r="DV278" s="603"/>
      <c r="DW278" s="603"/>
      <c r="DX278" s="603"/>
      <c r="DY278" s="477"/>
      <c r="DZ278" s="603"/>
      <c r="EA278" s="603"/>
      <c r="EB278" s="603"/>
      <c r="EC278" s="1798"/>
      <c r="ED278" s="477"/>
      <c r="EE278" s="603"/>
      <c r="EF278" s="603"/>
      <c r="EG278" s="603"/>
      <c r="EH278" s="1798"/>
      <c r="EI278" s="477"/>
      <c r="EJ278" s="477"/>
      <c r="EK278" s="477"/>
      <c r="EL278" s="477"/>
      <c r="EM278" s="477"/>
      <c r="EN278" s="477"/>
      <c r="EO278" s="477"/>
      <c r="EP278" s="477"/>
      <c r="EQ278" s="477"/>
      <c r="ER278" s="477"/>
      <c r="ES278" s="477"/>
      <c r="ET278" s="477"/>
      <c r="EU278" s="477"/>
      <c r="EV278" s="477"/>
      <c r="EW278" s="477"/>
      <c r="EX278" s="477"/>
    </row>
    <row r="279" spans="1:154" ht="12.75" customHeight="1">
      <c r="B279" s="341" t="s">
        <v>921</v>
      </c>
      <c r="C279" s="1989"/>
      <c r="D279" s="33"/>
      <c r="E279" s="28"/>
      <c r="F279" s="28"/>
      <c r="G279" s="28"/>
      <c r="H279" s="28"/>
      <c r="I279" s="30">
        <f t="shared" ref="I279:R280" si="762">IF(D274="NM","NM",IF(I274="NM","NM",IF(D274&lt;=0,"NM",IF(I274=0,"NM",IF(ABS(I274/D274-1)&gt;2.5,"NM",IF((ABS(I274-D274)=ABS(ABS(I274)-ABS(D274))),(I274/D274-1),"NM"))))))</f>
      </c>
      <c r="J279" s="30">
        <f t="shared" si="762"/>
      </c>
      <c r="K279" s="30">
        <f t="shared" si="762"/>
      </c>
      <c r="L279" s="30">
        <f t="shared" si="762"/>
      </c>
      <c r="M279" s="30">
        <f t="shared" si="762"/>
      </c>
      <c r="N279" s="30">
        <f t="shared" si="762"/>
      </c>
      <c r="O279" s="30">
        <f t="shared" si="762"/>
      </c>
      <c r="P279" s="30">
        <f t="shared" si="762"/>
      </c>
      <c r="Q279" s="30">
        <f t="shared" si="762"/>
      </c>
      <c r="R279" s="30">
        <f t="shared" si="762"/>
      </c>
      <c r="S279" s="30">
        <f t="shared" ref="S279:AB280" si="763">IF(N274="NM","NM",IF(S274="NM","NM",IF(N274&lt;=0,"NM",IF(S274=0,"NM",IF(ABS(S274/N274-1)&gt;2.5,"NM",IF((ABS(S274-N274)=ABS(ABS(S274)-ABS(N274))),(S274/N274-1),"NM"))))))</f>
      </c>
      <c r="T279" s="30">
        <f t="shared" si="763"/>
      </c>
      <c r="U279" s="30">
        <f t="shared" si="763"/>
      </c>
      <c r="V279" s="30">
        <f t="shared" si="763"/>
      </c>
      <c r="W279" s="30">
        <f t="shared" si="763"/>
      </c>
      <c r="X279" s="308">
        <f t="shared" si="763"/>
      </c>
      <c r="Y279" s="30">
        <f t="shared" si="763"/>
      </c>
      <c r="Z279" s="30">
        <f t="shared" si="763"/>
      </c>
      <c r="AA279" s="30">
        <f t="shared" si="763"/>
      </c>
      <c r="AB279" s="30">
        <f t="shared" si="763"/>
      </c>
      <c r="AC279" s="308">
        <f t="shared" ref="AC279:AL280" si="764">IF(X274="NM","NM",IF(AC274="NM","NM",IF(X274&lt;=0,"NM",IF(AC274=0,"NM",IF(ABS(AC274/X274-1)&gt;2.5,"NM",IF((ABS(AC274-X274)=ABS(ABS(AC274)-ABS(X274))),(AC274/X274-1),"NM"))))))</f>
      </c>
      <c r="AD279" s="30">
        <f t="shared" si="764"/>
      </c>
      <c r="AE279" s="30">
        <f t="shared" si="764"/>
      </c>
      <c r="AF279" s="30">
        <f t="shared" si="764"/>
      </c>
      <c r="AG279" s="30">
        <f t="shared" si="764"/>
      </c>
      <c r="AH279" s="308">
        <f t="shared" si="764"/>
      </c>
      <c r="AI279" s="30">
        <f t="shared" si="764"/>
      </c>
      <c r="AJ279" s="30">
        <f t="shared" si="764"/>
      </c>
      <c r="AK279" s="30">
        <f t="shared" si="764"/>
      </c>
      <c r="AL279" s="30">
        <f t="shared" si="764"/>
      </c>
      <c r="AM279" s="308">
        <f t="shared" ref="AM279:AV280" si="765">IF(AH274="NM","NM",IF(AM274="NM","NM",IF(AH274&lt;=0,"NM",IF(AM274=0,"NM",IF(ABS(AM274/AH274-1)&gt;2.5,"NM",IF((ABS(AM274-AH274)=ABS(ABS(AM274)-ABS(AH274))),(AM274/AH274-1),"NM"))))))</f>
      </c>
      <c r="AN279" s="30">
        <f t="shared" si="765"/>
      </c>
      <c r="AO279" s="30">
        <f t="shared" si="765"/>
      </c>
      <c r="AP279" s="30">
        <f t="shared" si="765"/>
      </c>
      <c r="AQ279" s="30">
        <f t="shared" si="765"/>
      </c>
      <c r="AR279" s="308">
        <f t="shared" si="765"/>
      </c>
      <c r="AS279" s="30">
        <f t="shared" si="765"/>
      </c>
      <c r="AT279" s="30">
        <f t="shared" si="765"/>
      </c>
      <c r="AU279" s="30">
        <f t="shared" si="765"/>
      </c>
      <c r="AV279" s="30">
        <f t="shared" si="765"/>
      </c>
      <c r="AW279" s="308">
        <f t="shared" ref="AW279:BF280" si="766">IF(AR274="NM","NM",IF(AW274="NM","NM",IF(AR274&lt;=0,"NM",IF(AW274=0,"NM",IF(ABS(AW274/AR274-1)&gt;2.5,"NM",IF((ABS(AW274-AR274)=ABS(ABS(AW274)-ABS(AR274))),(AW274/AR274-1),"NM"))))))</f>
      </c>
      <c r="AX279" s="30">
        <f t="shared" si="766"/>
      </c>
      <c r="AY279" s="30">
        <f t="shared" si="766"/>
      </c>
      <c r="AZ279" s="30">
        <f t="shared" si="766"/>
      </c>
      <c r="BA279" s="30">
        <f t="shared" si="766"/>
      </c>
      <c r="BB279" s="308">
        <f t="shared" si="766"/>
      </c>
      <c r="BC279" s="30">
        <f t="shared" si="766"/>
      </c>
      <c r="BD279" s="30">
        <f t="shared" si="766"/>
      </c>
      <c r="BE279" s="30">
        <f t="shared" si="766"/>
      </c>
      <c r="BF279" s="30">
        <f t="shared" si="766"/>
      </c>
      <c r="BG279" s="308">
        <f t="shared" ref="BG279:BP280" si="767">IF(BB274="NM","NM",IF(BG274="NM","NM",IF(BB274&lt;=0,"NM",IF(BG274=0,"NM",IF(ABS(BG274/BB274-1)&gt;2.5,"NM",IF((ABS(BG274-BB274)=ABS(ABS(BG274)-ABS(BB274))),(BG274/BB274-1),"NM"))))))</f>
      </c>
      <c r="BH279" s="30">
        <f t="shared" si="767"/>
      </c>
      <c r="BI279" s="30">
        <f t="shared" si="767"/>
      </c>
      <c r="BJ279" s="30">
        <f t="shared" si="767"/>
      </c>
      <c r="BK279" s="30">
        <f t="shared" si="767"/>
      </c>
      <c r="BL279" s="315">
        <f t="shared" si="767"/>
      </c>
      <c r="BM279" s="30">
        <f t="shared" si="767"/>
      </c>
      <c r="BN279" s="30">
        <f t="shared" si="767"/>
      </c>
      <c r="BO279" s="30">
        <f t="shared" si="767"/>
      </c>
      <c r="BP279" s="30">
        <f t="shared" si="767"/>
      </c>
      <c r="BQ279" s="315">
        <f>IF(BL274="NM","NM",IF(BQ274="NM","NM",IF(BL274&lt;=0,"NM",IF(BQ274=0,"NM",IF(ABS(BQ274/BL274-1)&gt;2.5,"NM",IF((ABS(BQ274-BL274)=ABS(ABS(BQ274)-ABS(BL274))),(BQ274/BL274-1),"NM"))))))</f>
      </c>
      <c r="BR279" s="30">
        <f>IF(BM274="NM","NM",IF(BR274="NM","NM",IF(BM274&lt;=0,"NM",IF(BR274=0,"NM",IF(ABS(BR274/BM274-1)&gt;2.5,"NM",IF((ABS(BR274-BM274)=ABS(ABS(BR274)-ABS(BM274))),(BR274/BM274-1),"NM"))))))</f>
      </c>
      <c r="BS279" s="30">
        <f t="shared" ref="BS279:BY280" si="768">IF(BN274="NM","NM",IF(BS274="NM","NM",IF(BN274&lt;=0,"NM",IF(BS274=0,"NM",IF(ABS(BS274/BN274-1)&gt;2.5,"NM",IF((ABS(BS274-BN274)=ABS(ABS(BS274)-ABS(BN274))),(BS274/BN274-1),"NM"))))))</f>
      </c>
      <c r="BT279" s="30">
        <f t="shared" si="768"/>
      </c>
      <c r="BU279" s="30">
        <f>IF(BP274="NM","NM",IF(BU274="NM","NM",IF(BP274&lt;=0,"NM",IF(BU274=0,"NM",IF(ABS(BU274/BP274-1)&gt;2.5,"NM",IF((ABS(BU274-BP274)=ABS(ABS(BU274)-ABS(BP274))),(BU274/BP274-1),"NM"))))))</f>
      </c>
      <c r="BV279" s="315">
        <f>IF(BQ274="NM","NM",IF(BV274="NM","NM",IF(BQ274&lt;=0,"NM",IF(BV274=0,"NM",IF(ABS(BV274/BQ274-1)&gt;2.5,"NM",IF((ABS(BV274-BQ274)=ABS(ABS(BV274)-ABS(BQ274))),(BV274/BQ274-1),"NM"))))))</f>
      </c>
      <c r="BW279" s="829">
        <f t="shared" si="768"/>
      </c>
      <c r="BX279" s="41">
        <f t="shared" si="768"/>
      </c>
      <c r="BY279" s="41">
        <f t="shared" si="768"/>
      </c>
      <c r="BZ279" s="30">
        <f>IF(BU274="NM","NM",IF(BZ274="NM","NM",IF(BU274&lt;=0,"NM",IF(BZ274=0,"NM",IF(ABS(BZ274/BU274-1)&gt;2.5,"NM",IF((ABS(BZ274-BU274)=ABS(ABS(BZ274)-ABS(BU274))),(BZ274/BU274-1),"NM"))))))</f>
      </c>
      <c r="CA279" s="308">
        <f>CA274/BV274-1</f>
      </c>
      <c r="CB279" s="829">
        <f t="shared" ref="CB279:CD280" si="769">IF(BW274="NM","NM",IF(CB274="NM","NM",IF(BW274&lt;=0,"NM",IF(CB274=0,"NM",IF(ABS(CB274/BW274-1)&gt;2.5,"NM",IF((ABS(CB274-BW274)=ABS(ABS(CB274)-ABS(BW274))),(CB274/BW274-1),"NM"))))))</f>
      </c>
      <c r="CC279" s="41">
        <f t="shared" si="769"/>
      </c>
      <c r="CD279" s="41">
        <f t="shared" si="769"/>
      </c>
      <c r="CE279" s="30">
        <f>IF(BZ274="NM","NM",IF(CE274="NM","NM",IF(BZ274&lt;=0,"NM",IF(CE274=0,"NM",IF(ABS(CE274/BZ274-1)&gt;2.5,"NM",IF((ABS(CE274-BZ274)=ABS(ABS(CE274)-ABS(BZ274))),(CE274/BZ274-1),"NM"))))))</f>
      </c>
      <c r="CF279" s="308">
        <f>CF274/CA274-1</f>
      </c>
      <c r="CG279" s="829" t="str">
        <f t="shared" ref="CG279:CX280" si="770">IF(CB274="NM","NM",IF(CG274="NM","NM",IF(CB274&lt;=0,"NM",IF(CG274=0,"NM",IF(ABS(CG274/CB274-1)&gt;2.5,"NM",IF((ABS(CG274-CB274)=ABS(ABS(CG274)-ABS(CB274))),(CG274/CB274-1),"NM"))))))</f>
      </c>
      <c r="CH279" s="41" t="str">
        <f t="shared" si="770"/>
      </c>
      <c r="CI279" s="41">
        <f t="shared" si="770"/>
      </c>
      <c r="CJ279" s="41">
        <f t="shared" si="770"/>
      </c>
      <c r="CK279" s="308">
        <f>IF(CF274=0, "NA", CK274/CF274-1)</f>
      </c>
      <c r="CL279" s="829">
        <f t="shared" si="770"/>
      </c>
      <c r="CM279" s="41">
        <f t="shared" si="770"/>
      </c>
      <c r="CN279" s="41">
        <f t="shared" si="770"/>
      </c>
      <c r="CO279" s="41">
        <f t="shared" si="770"/>
      </c>
      <c r="CP279" s="308">
        <f>IF(CK274=0, "NA", CP274/CK274-1)</f>
      </c>
      <c r="CQ279" s="41">
        <f t="shared" si="770"/>
      </c>
      <c r="CR279" s="41">
        <f t="shared" si="770"/>
      </c>
      <c r="CS279" s="41">
        <f t="shared" si="770"/>
      </c>
      <c r="CT279" s="41">
        <f t="shared" si="770"/>
      </c>
      <c r="CU279" s="308">
        <f>IF(CP274=0, "NA", CU274/CP274-1)</f>
      </c>
      <c r="CV279" s="41">
        <f t="shared" si="770"/>
      </c>
      <c r="CW279" s="41">
        <f t="shared" si="770"/>
      </c>
      <c r="CX279" s="41">
        <f t="shared" si="770"/>
      </c>
      <c r="CY279" s="41">
        <f>IF(CT274="NM","NM",IF(CY274="NM","NM",IF(CT274&lt;=0,"NM",IF(CY274=0,"NM",IF(ABS(CY274/CT274-1)&gt;2.5,"NM",IF((ABS(CY274-CT274)=ABS(ABS(CY274)-ABS(CT274))),(CY274/CT274-1),"NM"))))))</f>
      </c>
      <c r="CZ279" s="308">
        <f>IF(CU274=0, "NA", CZ274/CU274-1)</f>
      </c>
      <c r="DA279" s="41">
        <f t="shared" ref="DA279:DC280" si="771">IF(CV274="NM","NM",IF(DA274="NM","NM",IF(CV274&lt;=0,"NM",IF(DA274=0,"NM",IF(ABS(DA274/CV274-1)&gt;2.5,"NM",IF((ABS(DA274-CV274)=ABS(ABS(DA274)-ABS(CV274))),(DA274/CV274-1),"NM"))))))</f>
      </c>
      <c r="DB279" s="41">
        <f t="shared" si="771"/>
      </c>
      <c r="DC279" s="41">
        <f t="shared" si="771"/>
      </c>
      <c r="DD279" s="927">
        <f>IF(DD274=0,"NM",+DD274/CY274-1)</f>
      </c>
      <c r="DE279" s="308">
        <f>IF(CZ274=0, "NA", DE274/CZ274-1)</f>
      </c>
      <c r="DF279" s="30">
        <f t="shared" ref="DF279:DH280" si="772">IF(DA274="NM","NM",IF(DF274="NM","NM",IF(DA274&lt;=0,"NM",IF(DF274=0,"NM",IF(ABS(DF274/DA274-1)&gt;2.5,"NM",IF((ABS(DF274-DA274)=ABS(ABS(DF274)-ABS(DA274))),(DF274/DA274-1),"NM"))))))</f>
      </c>
      <c r="DG279" s="30" t="str">
        <f t="shared" si="772"/>
      </c>
      <c r="DH279" s="30">
        <f t="shared" si="772"/>
      </c>
      <c r="DI279" s="928">
        <f>IF(DI274=0,"NM",+DI274/DD274-1)</f>
      </c>
      <c r="DJ279" s="308">
        <f>IF(DE274=0, "NA", DJ274/DE274-1)</f>
      </c>
      <c r="DK279" s="30">
        <f t="shared" ref="DK279:DM280" si="773">IF(DF274="NM","NM",IF(DK274="NM","NM",IF(DF274&lt;=0,"NM",IF(DK274=0,"NM",IF(ABS(DK274/DF274-1)&gt;2.5,"NM",IF((ABS(DK274-DF274)=ABS(ABS(DK274)-ABS(DF274))),(DK274/DF274-1),"NM"))))))</f>
      </c>
      <c r="DL279" s="30">
        <f t="shared" si="773"/>
      </c>
      <c r="DM279" s="30">
        <f t="shared" si="773"/>
      </c>
      <c r="DN279" s="928">
        <f>IF(DN274=0,"NM",+DN274/DI274-1)</f>
      </c>
      <c r="DO279" s="308">
        <f>IF(DJ274=0, "NA", DO274/DJ274-1)</f>
      </c>
      <c r="DP279" s="30">
        <f t="shared" ref="DP279:DS280" si="774">IF(DK274="NM","NM",IF(DP274="NM","NM",IF(DK274&lt;=0,"NM",IF(DP274=0,"NM",IF(ABS(DP274/DK274-1)&gt;2.5,"NM",IF((ABS(DP274-DK274)=ABS(ABS(DP274)-ABS(DK274))),(DP274/DK274-1),"NM"))))))</f>
      </c>
      <c r="DQ279" s="30">
        <f t="shared" si="774"/>
      </c>
      <c r="DR279" s="30">
        <f t="shared" si="774"/>
      </c>
      <c r="DS279" s="30">
        <f t="shared" si="774"/>
      </c>
      <c r="DT279" s="308">
        <f>IF(DO274=0, "NA", DT274/DO274-1)</f>
      </c>
      <c r="DU279" s="30">
        <f t="shared" ref="DU279:EB280" si="775">IF(DP274="NM","NM",IF(DU274="NM","NM",IF(DP274&lt;=0,"NM",IF(DU274=0,"NM",IF(ABS(DU274/DP274-1)&gt;2.5,"NM",IF((ABS(DU274-DP274)=ABS(ABS(DU274)-ABS(DP274))),(DU274/DP274-1),"NM"))))))</f>
      </c>
      <c r="DV279" s="30">
        <f t="shared" si="775"/>
      </c>
      <c r="DW279" s="30">
        <f t="shared" si="775"/>
      </c>
      <c r="DX279" s="30">
        <f t="shared" si="775"/>
      </c>
      <c r="DY279" s="308">
        <f>IF(DT274=0, "NA", DY274/DT274-1)</f>
      </c>
      <c r="DZ279" s="1703">
        <f>+DZ274/DU274-1</f>
      </c>
      <c r="EA279" s="1703">
        <f>+EA274/DV274-1</f>
      </c>
      <c r="EB279" s="1703">
        <f>+EB274/DW274-1</f>
      </c>
      <c r="EC279" s="1703">
        <f>+EC274/DX274-1</f>
      </c>
      <c r="ED279" s="308">
        <f>IF(DY274=0, "NA", ED274/DY274-1)</f>
      </c>
      <c r="EE279" s="1703">
        <f>+EE274/DZ274-1</f>
      </c>
      <c r="EF279" s="1703">
        <f>+EF274/EA274-1</f>
      </c>
      <c r="EG279" s="1703">
        <f>+EG274/EB274-1</f>
      </c>
      <c r="EH279" s="1063">
        <f>IF(EH274=0,"NM",+EH274/EC274-1)</f>
      </c>
      <c r="EI279" s="660">
        <v>-0.15</v>
      </c>
      <c r="EJ279" s="660">
        <v>-0.1</v>
      </c>
      <c r="EK279" s="660">
        <v>-0.1</v>
      </c>
      <c r="EL279" s="660">
        <v>-0.1</v>
      </c>
      <c r="EM279" s="660">
        <v>-0.1</v>
      </c>
      <c r="EN279" s="673">
        <v>-0.1</v>
      </c>
      <c r="EO279" s="660">
        <v>-0.1</v>
      </c>
      <c r="EP279" s="660">
        <v>-0.1</v>
      </c>
      <c r="EQ279" s="660">
        <v>-0.1</v>
      </c>
      <c r="ER279" s="660">
        <v>-0.1</v>
      </c>
      <c r="ES279" s="660">
        <v>-0.1</v>
      </c>
      <c r="ET279" s="597"/>
      <c r="EU279" s="597"/>
      <c r="EV279" s="597"/>
      <c r="EW279" s="597"/>
      <c r="EX279" s="597"/>
    </row>
    <row r="280" spans="1:154" ht="12.75" customHeight="1">
      <c r="B280" s="341" t="s">
        <v>412</v>
      </c>
      <c r="C280" s="1989"/>
      <c r="D280" s="33"/>
      <c r="E280" s="28"/>
      <c r="F280" s="28"/>
      <c r="G280" s="28"/>
      <c r="H280" s="28"/>
      <c r="I280" s="30" t="str">
        <f t="shared" si="762"/>
      </c>
      <c r="J280" s="30" t="str">
        <f t="shared" si="762"/>
      </c>
      <c r="K280" s="30" t="str">
        <f t="shared" si="762"/>
      </c>
      <c r="L280" s="30" t="str">
        <f t="shared" si="762"/>
      </c>
      <c r="M280" s="30" t="str">
        <f t="shared" si="762"/>
      </c>
      <c r="N280" s="30" t="str">
        <f t="shared" si="762"/>
      </c>
      <c r="O280" s="30" t="str">
        <f t="shared" si="762"/>
      </c>
      <c r="P280" s="30" t="str">
        <f t="shared" si="762"/>
      </c>
      <c r="Q280" s="30" t="str">
        <f t="shared" si="762"/>
      </c>
      <c r="R280" s="30" t="str">
        <f t="shared" si="762"/>
      </c>
      <c r="S280" s="30" t="str">
        <f t="shared" si="763"/>
      </c>
      <c r="T280" s="30">
        <f t="shared" si="763"/>
      </c>
      <c r="U280" s="30">
        <f t="shared" si="763"/>
      </c>
      <c r="V280" s="30">
        <f t="shared" si="763"/>
      </c>
      <c r="W280" s="30">
        <f t="shared" si="763"/>
      </c>
      <c r="X280" s="308">
        <f t="shared" si="763"/>
      </c>
      <c r="Y280" s="30">
        <f t="shared" si="763"/>
      </c>
      <c r="Z280" s="30">
        <f t="shared" si="763"/>
      </c>
      <c r="AA280" s="30">
        <f t="shared" si="763"/>
      </c>
      <c r="AB280" s="30">
        <f t="shared" si="763"/>
      </c>
      <c r="AC280" s="308">
        <f t="shared" si="764"/>
      </c>
      <c r="AD280" s="30">
        <f t="shared" si="764"/>
      </c>
      <c r="AE280" s="30">
        <f t="shared" si="764"/>
      </c>
      <c r="AF280" s="30">
        <f t="shared" si="764"/>
      </c>
      <c r="AG280" s="30">
        <f t="shared" si="764"/>
      </c>
      <c r="AH280" s="308">
        <f t="shared" si="764"/>
      </c>
      <c r="AI280" s="30">
        <f t="shared" si="764"/>
      </c>
      <c r="AJ280" s="30">
        <f t="shared" si="764"/>
      </c>
      <c r="AK280" s="30">
        <f t="shared" si="764"/>
      </c>
      <c r="AL280" s="30">
        <f t="shared" si="764"/>
      </c>
      <c r="AM280" s="308">
        <f t="shared" si="765"/>
      </c>
      <c r="AN280" s="30">
        <f t="shared" si="765"/>
      </c>
      <c r="AO280" s="30">
        <f t="shared" si="765"/>
      </c>
      <c r="AP280" s="30">
        <f t="shared" si="765"/>
      </c>
      <c r="AQ280" s="30">
        <f t="shared" si="765"/>
      </c>
      <c r="AR280" s="308">
        <f t="shared" si="765"/>
      </c>
      <c r="AS280" s="30">
        <f t="shared" si="765"/>
      </c>
      <c r="AT280" s="30">
        <f t="shared" si="765"/>
      </c>
      <c r="AU280" s="30">
        <f t="shared" si="765"/>
      </c>
      <c r="AV280" s="30">
        <f t="shared" si="765"/>
      </c>
      <c r="AW280" s="308">
        <f t="shared" si="766"/>
      </c>
      <c r="AX280" s="30">
        <f t="shared" si="766"/>
      </c>
      <c r="AY280" s="30">
        <f t="shared" si="766"/>
      </c>
      <c r="AZ280" s="30" t="str">
        <f t="shared" si="766"/>
      </c>
      <c r="BA280" s="30">
        <f t="shared" si="766"/>
      </c>
      <c r="BB280" s="308">
        <f t="shared" si="766"/>
      </c>
      <c r="BC280" s="30">
        <f t="shared" si="766"/>
      </c>
      <c r="BD280" s="30">
        <f t="shared" si="766"/>
      </c>
      <c r="BE280" s="30">
        <f t="shared" si="766"/>
      </c>
      <c r="BF280" s="30">
        <f t="shared" si="766"/>
      </c>
      <c r="BG280" s="308">
        <f t="shared" si="767"/>
      </c>
      <c r="BH280" s="30">
        <f t="shared" si="767"/>
      </c>
      <c r="BI280" s="30">
        <f t="shared" si="767"/>
      </c>
      <c r="BJ280" s="30">
        <f t="shared" si="767"/>
      </c>
      <c r="BK280" s="30">
        <f t="shared" si="767"/>
      </c>
      <c r="BL280" s="315">
        <f t="shared" si="767"/>
      </c>
      <c r="BM280" s="30">
        <f t="shared" si="767"/>
      </c>
      <c r="BN280" s="30">
        <f t="shared" si="767"/>
      </c>
      <c r="BO280" s="30">
        <f t="shared" si="767"/>
      </c>
      <c r="BP280" s="30">
        <f t="shared" si="767"/>
      </c>
      <c r="BQ280" s="315">
        <f>IF(BL275="NM","NM",IF(BQ275="NM","NM",IF(BL275&lt;=0,"NM",IF(BQ275=0,"NM",IF(ABS(BQ275/BL275-1)&gt;2.5,"NM",IF((ABS(BQ275-BL275)=ABS(ABS(BQ275)-ABS(BL275))),(BQ275/BL275-1),"NM"))))))</f>
      </c>
      <c r="BR280" s="30">
        <f>IF(BM275="NM","NM",IF(BR275="NM","NM",IF(BM275&lt;=0,"NM",IF(BR275=0,"NM",IF(ABS(BR275/BM275-1)&gt;2.5,"NM",IF((ABS(BR275-BM275)=ABS(ABS(BR275)-ABS(BM275))),(BR275/BM275-1),"NM"))))))</f>
      </c>
      <c r="BS280" s="30">
        <f t="shared" si="768"/>
      </c>
      <c r="BT280" s="30">
        <f t="shared" si="768"/>
      </c>
      <c r="BU280" s="30">
        <f>IF(BP275="NM","NM",IF(BU275="NM","NM",IF(BP275&lt;=0,"NM",IF(BU275=0,"NM",IF(ABS(BU275/BP275-1)&gt;2.5,"NM",IF((ABS(BU275-BP275)=ABS(ABS(BU275)-ABS(BP275))),(BU275/BP275-1),"NM"))))))</f>
      </c>
      <c r="BV280" s="315">
        <f>IF(BQ275="NM","NM",IF(BV275="NM","NM",IF(BQ275&lt;=0,"NM",IF(BV275=0,"NM",IF(ABS(BV275/BQ275-1)&gt;2.5,"NM",IF((ABS(BV275-BQ275)=ABS(ABS(BV275)-ABS(BQ275))),(BV275/BQ275-1),"NM"))))))</f>
      </c>
      <c r="BW280" s="830">
        <f t="shared" si="768"/>
      </c>
      <c r="BX280" s="30">
        <f t="shared" si="768"/>
      </c>
      <c r="BY280" s="30">
        <f t="shared" si="768"/>
      </c>
      <c r="BZ280" s="30">
        <f>IF(BU275="NM","NM",IF(BZ275="NM","NM",IF(BU275&lt;=0,"NM",IF(BZ275=0,"NM",IF(ABS(BZ275/BU275-1)&gt;2.5,"NM",IF((ABS(BZ275-BU275)=ABS(ABS(BZ275)-ABS(BU275))),(BZ275/BU275-1),"NM"))))))</f>
      </c>
      <c r="CA280" s="308">
        <f>CA275/BV275-1</f>
      </c>
      <c r="CB280" s="830">
        <f t="shared" si="769"/>
      </c>
      <c r="CC280" s="30">
        <f t="shared" si="769"/>
      </c>
      <c r="CD280" s="30">
        <f t="shared" si="769"/>
      </c>
      <c r="CE280" s="30">
        <f>IF(BZ275="NM","NM",IF(CE275="NM","NM",IF(BZ275&lt;=0,"NM",IF(CE275=0,"NM",IF(ABS(CE275/BZ275-1)&gt;2.5,"NM",IF((ABS(CE275-BZ275)=ABS(ABS(CE275)-ABS(BZ275))),(CE275/BZ275-1),"NM"))))))</f>
      </c>
      <c r="CF280" s="308">
        <f>CF275/CA275-1</f>
      </c>
      <c r="CG280" s="830">
        <f t="shared" si="770"/>
      </c>
      <c r="CH280" s="30">
        <f t="shared" si="770"/>
      </c>
      <c r="CI280" s="30">
        <f t="shared" si="770"/>
      </c>
      <c r="CJ280" s="30">
        <f t="shared" si="770"/>
      </c>
      <c r="CK280" s="308">
        <f>IF(CF275=0, "NA", CK275/CF275-1)</f>
      </c>
      <c r="CL280" s="830">
        <f t="shared" si="770"/>
      </c>
      <c r="CM280" s="30">
        <f t="shared" si="770"/>
      </c>
      <c r="CN280" s="30">
        <f t="shared" si="770"/>
      </c>
      <c r="CO280" s="30">
        <f t="shared" si="770"/>
      </c>
      <c r="CP280" s="308">
        <f>IF(CK275=0, "NA", CP275/CK275-1)</f>
      </c>
      <c r="CQ280" s="30">
        <f t="shared" si="770"/>
      </c>
      <c r="CR280" s="30">
        <f t="shared" si="770"/>
      </c>
      <c r="CS280" s="30">
        <f t="shared" si="770"/>
      </c>
      <c r="CT280" s="30">
        <f t="shared" si="770"/>
      </c>
      <c r="CU280" s="308">
        <f>IF(CP275=0, "NA", CU275/CP275-1)</f>
      </c>
      <c r="CV280" s="30">
        <f t="shared" si="770"/>
      </c>
      <c r="CW280" s="30">
        <f t="shared" si="770"/>
      </c>
      <c r="CX280" s="30">
        <f t="shared" si="770"/>
      </c>
      <c r="CY280" s="30">
        <f>IF(CT275="NM","NM",IF(CY275="NM","NM",IF(CT275&lt;=0,"NM",IF(CY275=0,"NM",IF(ABS(CY275/CT275-1)&gt;2.5,"NM",IF((ABS(CY275-CT275)=ABS(ABS(CY275)-ABS(CT275))),(CY275/CT275-1),"NM"))))))</f>
      </c>
      <c r="CZ280" s="308">
        <f>IF(CU275=0, "NA", CZ275/CU275-1)</f>
      </c>
      <c r="DA280" s="30">
        <f t="shared" si="771"/>
      </c>
      <c r="DB280" s="30">
        <f t="shared" si="771"/>
      </c>
      <c r="DC280" s="30">
        <f t="shared" si="771"/>
      </c>
      <c r="DD280" s="960">
        <f>IF(DD275=0, "NM", DD275/CY275-1)</f>
      </c>
      <c r="DE280" s="308">
        <f>IF(CZ275=0, "NA", DE275/CZ275-1)</f>
      </c>
      <c r="DF280" s="30">
        <f t="shared" si="772"/>
      </c>
      <c r="DG280" s="30">
        <f t="shared" si="772"/>
      </c>
      <c r="DH280" s="30">
        <f t="shared" si="772"/>
      </c>
      <c r="DI280" s="928">
        <f>IF(DI275=0, "NM", DI275/DD275-1)</f>
      </c>
      <c r="DJ280" s="308">
        <f>IF(DE275=0, "NA", DJ275/DE275-1)</f>
      </c>
      <c r="DK280" s="30">
        <f t="shared" si="773"/>
      </c>
      <c r="DL280" s="30">
        <f t="shared" si="773"/>
      </c>
      <c r="DM280" s="30">
        <f t="shared" si="773"/>
      </c>
      <c r="DN280" s="928">
        <f>IF(DN275=0, "NM", DN275/DI275-1)</f>
      </c>
      <c r="DO280" s="308">
        <f>IF(DJ275=0, "NA", DO275/DJ275-1)</f>
      </c>
      <c r="DP280" s="30">
        <f t="shared" si="774"/>
      </c>
      <c r="DQ280" s="30">
        <f t="shared" si="774"/>
      </c>
      <c r="DR280" s="30">
        <f t="shared" si="774"/>
      </c>
      <c r="DS280" s="30">
        <f t="shared" si="774"/>
      </c>
      <c r="DT280" s="308">
        <f>IF(DO275=0, "NA", DT275/DO275-1)</f>
      </c>
      <c r="DU280" s="30">
        <f t="shared" si="775"/>
      </c>
      <c r="DV280" s="30">
        <f t="shared" si="775"/>
      </c>
      <c r="DW280" s="30">
        <f t="shared" si="775"/>
      </c>
      <c r="DX280" s="30">
        <f t="shared" si="775"/>
      </c>
      <c r="DY280" s="308">
        <f>IF(DT275=0, "NA", DY275/DT275-1)</f>
      </c>
      <c r="DZ280" s="30">
        <f t="shared" si="775"/>
      </c>
      <c r="EA280" s="926">
        <f t="shared" si="775"/>
      </c>
      <c r="EB280" s="926">
        <f t="shared" si="775"/>
      </c>
      <c r="EC280" s="928">
        <f>IF(EC275=0, "NM", EC275/DX275-1)</f>
      </c>
      <c r="ED280" s="308">
        <f>IF(DY275=0, "NA", ED275/DY275-1)</f>
      </c>
      <c r="EE280" s="30">
        <f t="shared" ref="EE280:EG280" si="776">IF(DZ275="NM","NM",IF(EE275="NM","NM",IF(DZ275&lt;=0,"NM",IF(EE275=0,"NM",IF(ABS(EE275/DZ275-1)&gt;2.5,"NM",IF((ABS(EE275-DZ275)=ABS(ABS(EE275)-ABS(DZ275))),(EE275/DZ275-1),"NM"))))))</f>
      </c>
      <c r="EF280" s="926">
        <f t="shared" si="776"/>
      </c>
      <c r="EG280" s="926">
        <f t="shared" si="776"/>
      </c>
      <c r="EH280" s="928">
        <f>IF(EH275=0, "NM", EH275/EC275-1)</f>
      </c>
      <c r="EI280" s="308">
        <f t="shared" ref="EI280" si="777">EI281+EI$21</f>
      </c>
      <c r="EJ280" s="308">
        <f t="shared" ref="EJ280:ES280" si="778">EJ281+EJ$21</f>
      </c>
      <c r="EK280" s="308">
        <f t="shared" si="778"/>
      </c>
      <c r="EL280" s="308">
        <f t="shared" si="778"/>
      </c>
      <c r="EM280" s="308">
        <f t="shared" si="778"/>
      </c>
      <c r="EN280" s="308">
        <f t="shared" si="778"/>
      </c>
      <c r="EO280" s="308">
        <f t="shared" si="778"/>
      </c>
      <c r="EP280" s="308">
        <f t="shared" si="778"/>
      </c>
      <c r="EQ280" s="308">
        <f t="shared" si="778"/>
      </c>
      <c r="ER280" s="308">
        <f t="shared" si="778"/>
      </c>
      <c r="ES280" s="308">
        <f t="shared" si="778"/>
      </c>
      <c r="ET280" s="308"/>
      <c r="EU280" s="308"/>
      <c r="EV280" s="308"/>
      <c r="EW280" s="308"/>
      <c r="EX280" s="308"/>
    </row>
    <row r="281" spans="1:154" ht="12.75" customHeight="1">
      <c r="B281" s="341" t="s">
        <v>256</v>
      </c>
      <c r="C281" s="1989"/>
      <c r="D281" s="33"/>
      <c r="E281" s="28"/>
      <c r="F281" s="28"/>
      <c r="G281" s="28"/>
      <c r="H281" s="28"/>
      <c r="I281" s="1"/>
      <c r="J281" s="1"/>
      <c r="K281" s="1"/>
      <c r="L281" s="1"/>
      <c r="M281" s="1"/>
      <c r="N281" s="1"/>
      <c r="O281" s="1"/>
      <c r="P281" s="1"/>
      <c r="Q281" s="1"/>
      <c r="R281" s="1"/>
      <c r="S281" s="1"/>
      <c r="T281" s="1"/>
      <c r="U281" s="1"/>
      <c r="V281" s="1"/>
      <c r="W281" s="1"/>
      <c r="X281" s="309"/>
      <c r="Y281" s="1"/>
      <c r="Z281" s="1"/>
      <c r="AA281" s="1"/>
      <c r="AB281" s="1"/>
      <c r="AC281" s="309"/>
      <c r="AD281" s="1"/>
      <c r="AE281" s="1"/>
      <c r="AF281" s="1"/>
      <c r="AG281" s="1"/>
      <c r="AH281" s="309"/>
      <c r="AI281" s="41">
        <f t="shared" ref="AI281:BK281" si="779">IF(ISNUMBER(AI280),(1+AI280)/(1+AI$21)-1,"NM")</f>
      </c>
      <c r="AJ281" s="41">
        <f t="shared" si="779"/>
      </c>
      <c r="AK281" s="41">
        <f t="shared" si="779"/>
      </c>
      <c r="AL281" s="41">
        <f t="shared" si="779"/>
      </c>
      <c r="AM281" s="309">
        <f t="shared" si="779"/>
      </c>
      <c r="AN281" s="41">
        <f t="shared" si="779"/>
      </c>
      <c r="AO281" s="41">
        <f t="shared" si="779"/>
      </c>
      <c r="AP281" s="41">
        <f t="shared" si="779"/>
      </c>
      <c r="AQ281" s="41">
        <f t="shared" si="779"/>
      </c>
      <c r="AR281" s="309">
        <f t="shared" si="779"/>
      </c>
      <c r="AS281" s="41">
        <f t="shared" si="779"/>
      </c>
      <c r="AT281" s="41">
        <f t="shared" si="779"/>
      </c>
      <c r="AU281" s="41">
        <f t="shared" si="779"/>
      </c>
      <c r="AV281" s="41">
        <f t="shared" si="779"/>
      </c>
      <c r="AW281" s="309">
        <f t="shared" si="779"/>
      </c>
      <c r="AX281" s="41">
        <f t="shared" si="779"/>
      </c>
      <c r="AY281" s="41">
        <f t="shared" si="779"/>
      </c>
      <c r="AZ281" s="41" t="str">
        <f t="shared" si="779"/>
      </c>
      <c r="BA281" s="41">
        <f t="shared" si="779"/>
      </c>
      <c r="BB281" s="309">
        <f t="shared" si="779"/>
      </c>
      <c r="BC281" s="41">
        <f t="shared" si="779"/>
      </c>
      <c r="BD281" s="41">
        <f t="shared" si="779"/>
      </c>
      <c r="BE281" s="41">
        <f t="shared" si="779"/>
      </c>
      <c r="BF281" s="41">
        <f t="shared" si="779"/>
      </c>
      <c r="BG281" s="309">
        <f t="shared" si="779"/>
      </c>
      <c r="BH281" s="41">
        <f t="shared" si="779"/>
      </c>
      <c r="BI281" s="41">
        <f t="shared" si="779"/>
      </c>
      <c r="BJ281" s="41">
        <f t="shared" si="779"/>
      </c>
      <c r="BK281" s="41">
        <f t="shared" si="779"/>
      </c>
      <c r="BL281" s="315">
        <f>BL280-$BL$21</f>
      </c>
      <c r="BM281" s="41">
        <f>IF(ISNUMBER(BM280),(1+BM280)/(1+BM$21)-1,"NM")</f>
      </c>
      <c r="BN281" s="41">
        <v>3.5999999999999997E-2</v>
      </c>
      <c r="BO281" s="41">
        <v>0.13700000000000001</v>
      </c>
      <c r="BP281" s="30">
        <v>0.11600000000000001</v>
      </c>
      <c r="BQ281" s="315">
        <v>8.6999999999999994E-2</v>
      </c>
      <c r="BR281" s="650">
        <v>5.8000000000000003E-2</v>
      </c>
      <c r="BS281" s="650">
        <v>0.14000000000000001</v>
      </c>
      <c r="BT281" s="361">
        <v>6.8000000000000005E-2</v>
      </c>
      <c r="BU281" s="649">
        <v>8.1000000000000003E-2</v>
      </c>
      <c r="BV281" s="315">
        <v>8.6999999999999994E-2</v>
      </c>
      <c r="BW281" s="828">
        <v>6.8000000000000005E-2</v>
      </c>
      <c r="BX281" s="361">
        <v>8.8999999999999996E-2</v>
      </c>
      <c r="BY281" s="361">
        <v>3.5000000000000003E-2</v>
      </c>
      <c r="BZ281" s="835">
        <v>7.0000000000000001E-3</v>
      </c>
      <c r="CA281" s="839">
        <v>0.05</v>
      </c>
      <c r="CB281" s="361">
        <v>2.9000000000000001E-2</v>
      </c>
      <c r="CC281" s="361">
        <v>-8.3000000000000004E-2</v>
      </c>
      <c r="CD281" s="361">
        <v>-7.0000000000000001E-3</v>
      </c>
      <c r="CE281" s="835">
        <v>5.0000000000000001E-3</v>
      </c>
      <c r="CF281" s="839">
        <v>-1.6E-2</v>
      </c>
      <c r="CG281" s="361">
        <v>-3.5000000000000003E-2</v>
      </c>
      <c r="CH281" s="361">
        <v>2.7E-2</v>
      </c>
      <c r="CI281" s="361">
        <v>3.9E-2</v>
      </c>
      <c r="CJ281" s="361">
        <v>-0.04</v>
      </c>
      <c r="CK281" s="309">
        <f>CK280-CK$21</f>
      </c>
      <c r="CL281" s="361">
        <v>6.4000000000000001E-2</v>
      </c>
      <c r="CM281" s="361">
        <v>2.7E-2</v>
      </c>
      <c r="CN281" s="361">
        <v>-2.5000000000000001E-2</v>
      </c>
      <c r="CO281" s="361">
        <v>5.8000000000000003E-2</v>
      </c>
      <c r="CP281" s="309">
        <f>CP280-CP$21</f>
      </c>
      <c r="CQ281" s="361">
        <v>4.2000000000000003E-2</v>
      </c>
      <c r="CR281" s="361">
        <v>-1.2999999999999999E-2</v>
      </c>
      <c r="CS281" s="361">
        <v>0.105</v>
      </c>
      <c r="CT281" s="361">
        <v>-6.0000000000000001E-3</v>
      </c>
      <c r="CU281" s="309">
        <f>CU280-CU$21</f>
      </c>
      <c r="CV281" s="361">
        <v>-8.9999999999999993E-3</v>
      </c>
      <c r="CW281" s="361">
        <v>6.9000000000000006E-2</v>
      </c>
      <c r="CX281" s="361">
        <v>7.2999999999999995E-2</v>
      </c>
      <c r="CY281" s="361">
        <v>0.13200000000000001</v>
      </c>
      <c r="CZ281" s="309">
        <f>CZ280-CZ$21</f>
      </c>
      <c r="DA281" s="1109">
        <v>-8.9999999999999993E-3</v>
      </c>
      <c r="DB281" s="361">
        <v>0.121</v>
      </c>
      <c r="DC281" s="361">
        <v>0.106</v>
      </c>
      <c r="DD281" s="1479">
        <v>0.03</v>
      </c>
      <c r="DE281" s="308">
        <f>DE280-DE$21</f>
      </c>
      <c r="DF281" s="29"/>
      <c r="DG281" s="29"/>
      <c r="DH281" s="29"/>
      <c r="DI281" s="1482"/>
      <c r="DJ281" s="308">
        <f>DJ280-DJ$21</f>
      </c>
      <c r="DK281" s="29"/>
      <c r="DL281" s="29"/>
      <c r="DM281" s="29">
        <v>0.1</v>
      </c>
      <c r="DN281" s="928">
        <f>IF(DN275=0, "NM",DN280-DN$21)</f>
      </c>
      <c r="DO281" s="308">
        <f t="shared" ref="DO281:DT281" si="780">DO280-DO$21</f>
      </c>
      <c r="DP281" s="926">
        <f t="shared" si="780"/>
      </c>
      <c r="DQ281" s="410">
        <f t="shared" si="780"/>
      </c>
      <c r="DR281" s="410">
        <f t="shared" si="780"/>
      </c>
      <c r="DS281" s="410">
        <f t="shared" si="780"/>
      </c>
      <c r="DT281" s="308">
        <f t="shared" si="780"/>
      </c>
      <c r="DU281" s="926">
        <f>DU280-(-8.8%)</f>
      </c>
      <c r="DV281" s="926">
        <f>DV280-(-5%)</f>
      </c>
      <c r="DW281" s="926">
        <f>DW280-(-1.9%)</f>
      </c>
      <c r="DX281" s="926">
        <f>DX280-(-1.3%)</f>
      </c>
      <c r="DY281" s="308">
        <f>DY280-DY$21</f>
      </c>
      <c r="DZ281" s="1703">
        <f>DZ280-(-4.6%)</f>
      </c>
      <c r="EA281" s="1703">
        <f>EA280-(-5.2%)</f>
      </c>
      <c r="EB281" s="1703">
        <f>EB280-(-3.4%)</f>
      </c>
      <c r="EC281" s="1703">
        <f>EC280-(-3.8%)</f>
      </c>
      <c r="ED281" s="308">
        <f>ED280-ED$21</f>
      </c>
      <c r="EE281" s="1703">
        <f>EE280-(-4.6%)</f>
      </c>
      <c r="EF281" s="1703">
        <f>EF280-(0.5%)</f>
      </c>
      <c r="EG281" s="1703">
        <f>EG280-(-3.4%)</f>
      </c>
      <c r="EH281" s="1063">
        <f>IF(EH275=0, "NM",EH280-EH$21)</f>
      </c>
      <c r="EI281" s="660">
        <v>-0.03</v>
      </c>
      <c r="EJ281" s="660">
        <v>-0.05</v>
      </c>
      <c r="EK281" s="660">
        <v>-0.06</v>
      </c>
      <c r="EL281" s="660">
        <v>-0.06</v>
      </c>
      <c r="EM281" s="660">
        <v>-0.06</v>
      </c>
      <c r="EN281" s="673">
        <v>-0.15</v>
      </c>
      <c r="EO281" s="660">
        <v>-0.1</v>
      </c>
      <c r="EP281" s="660">
        <v>-0.1</v>
      </c>
      <c r="EQ281" s="660">
        <v>-0.1</v>
      </c>
      <c r="ER281" s="660">
        <v>-0.2</v>
      </c>
      <c r="ES281" s="660">
        <v>-0.05</v>
      </c>
      <c r="ET281" s="597"/>
      <c r="EU281" s="597"/>
      <c r="EV281" s="597"/>
      <c r="EW281" s="597"/>
      <c r="EX281" s="597"/>
    </row>
    <row r="282" spans="1:154" ht="12.75" customHeight="1">
      <c r="B282" s="341" t="s">
        <v>413</v>
      </c>
      <c r="C282" s="1989"/>
      <c r="D282" s="33"/>
      <c r="E282" s="28"/>
      <c r="F282" s="28"/>
      <c r="G282" s="28"/>
      <c r="H282" s="28"/>
      <c r="I282" s="30">
        <f t="shared" ref="I282:AN282" si="781">IF(D276="NM","NM",IF(I276="NM","NM",IF(D276&lt;=0,"NM",IF(I276=0,"NM",IF(ABS(I276/D276-1)&gt;2.5,"NM",IF((ABS(I276-D276)=ABS(ABS(I276)-ABS(D276))),(I276/D276-1),"NM"))))))</f>
      </c>
      <c r="J282" s="30">
        <f t="shared" si="781"/>
      </c>
      <c r="K282" s="30">
        <f t="shared" si="781"/>
      </c>
      <c r="L282" s="30">
        <f t="shared" si="781"/>
      </c>
      <c r="M282" s="30">
        <f t="shared" si="781"/>
      </c>
      <c r="N282" s="30">
        <f t="shared" si="781"/>
      </c>
      <c r="O282" s="30">
        <f t="shared" si="781"/>
      </c>
      <c r="P282" s="30">
        <f t="shared" si="781"/>
      </c>
      <c r="Q282" s="30">
        <f t="shared" si="781"/>
      </c>
      <c r="R282" s="30">
        <f t="shared" si="781"/>
      </c>
      <c r="S282" s="30">
        <f t="shared" si="781"/>
      </c>
      <c r="T282" s="30">
        <f t="shared" si="781"/>
      </c>
      <c r="U282" s="30">
        <f t="shared" si="781"/>
      </c>
      <c r="V282" s="30">
        <f t="shared" si="781"/>
      </c>
      <c r="W282" s="30">
        <f t="shared" si="781"/>
      </c>
      <c r="X282" s="308">
        <f t="shared" si="781"/>
      </c>
      <c r="Y282" s="30">
        <f t="shared" si="781"/>
      </c>
      <c r="Z282" s="30">
        <f t="shared" si="781"/>
      </c>
      <c r="AA282" s="30">
        <f t="shared" si="781"/>
      </c>
      <c r="AB282" s="30">
        <f t="shared" si="781"/>
      </c>
      <c r="AC282" s="308">
        <f t="shared" si="781"/>
      </c>
      <c r="AD282" s="30">
        <f t="shared" si="781"/>
      </c>
      <c r="AE282" s="30">
        <f t="shared" si="781"/>
      </c>
      <c r="AF282" s="30">
        <f t="shared" si="781"/>
      </c>
      <c r="AG282" s="30">
        <f t="shared" si="781"/>
      </c>
      <c r="AH282" s="308">
        <f t="shared" si="781"/>
      </c>
      <c r="AI282" s="30">
        <f t="shared" si="781"/>
      </c>
      <c r="AJ282" s="30">
        <f t="shared" si="781"/>
      </c>
      <c r="AK282" s="30">
        <f t="shared" si="781"/>
      </c>
      <c r="AL282" s="30">
        <f t="shared" si="781"/>
      </c>
      <c r="AM282" s="308">
        <f t="shared" si="781"/>
      </c>
      <c r="AN282" s="30">
        <f t="shared" si="781"/>
      </c>
      <c r="AO282" s="30">
        <f t="shared" ref="AO282:BT282" si="782">IF(AJ276="NM","NM",IF(AO276="NM","NM",IF(AJ276&lt;=0,"NM",IF(AO276=0,"NM",IF(ABS(AO276/AJ276-1)&gt;2.5,"NM",IF((ABS(AO276-AJ276)=ABS(ABS(AO276)-ABS(AJ276))),(AO276/AJ276-1),"NM"))))))</f>
      </c>
      <c r="AP282" s="30">
        <f t="shared" si="782"/>
      </c>
      <c r="AQ282" s="30">
        <f t="shared" si="782"/>
      </c>
      <c r="AR282" s="308">
        <f t="shared" si="782"/>
      </c>
      <c r="AS282" s="30">
        <f t="shared" si="782"/>
      </c>
      <c r="AT282" s="30">
        <f t="shared" si="782"/>
      </c>
      <c r="AU282" s="30">
        <f t="shared" si="782"/>
      </c>
      <c r="AV282" s="30">
        <f t="shared" si="782"/>
      </c>
      <c r="AW282" s="308">
        <f t="shared" si="782"/>
      </c>
      <c r="AX282" s="30">
        <f t="shared" si="782"/>
      </c>
      <c r="AY282" s="30">
        <f t="shared" si="782"/>
      </c>
      <c r="AZ282" s="30">
        <f t="shared" si="782"/>
      </c>
      <c r="BA282" s="30">
        <f t="shared" si="782"/>
      </c>
      <c r="BB282" s="308">
        <f t="shared" si="782"/>
      </c>
      <c r="BC282" s="30">
        <f t="shared" si="782"/>
      </c>
      <c r="BD282" s="30">
        <f t="shared" si="782"/>
      </c>
      <c r="BE282" s="30">
        <f t="shared" si="782"/>
      </c>
      <c r="BF282" s="30">
        <f t="shared" si="782"/>
      </c>
      <c r="BG282" s="308">
        <f t="shared" si="782"/>
      </c>
      <c r="BH282" s="30">
        <f t="shared" si="782"/>
      </c>
      <c r="BI282" s="30">
        <f t="shared" si="782"/>
      </c>
      <c r="BJ282" s="30">
        <f t="shared" si="782"/>
      </c>
      <c r="BK282" s="30">
        <f t="shared" si="782"/>
      </c>
      <c r="BL282" s="315">
        <f t="shared" si="782"/>
      </c>
      <c r="BM282" s="30">
        <f t="shared" si="782"/>
      </c>
      <c r="BN282" s="30">
        <f t="shared" si="782"/>
      </c>
      <c r="BO282" s="30">
        <f t="shared" si="782"/>
      </c>
      <c r="BP282" s="30">
        <f t="shared" si="782"/>
      </c>
      <c r="BQ282" s="315">
        <f t="shared" si="782"/>
      </c>
      <c r="BR282" s="30">
        <f t="shared" si="782"/>
      </c>
      <c r="BS282" s="30">
        <f t="shared" si="782"/>
      </c>
      <c r="BT282" s="30">
        <f t="shared" si="782"/>
      </c>
      <c r="BU282" s="30">
        <f t="shared" ref="BU282:CA282" si="783">IF(BP276="NM","NM",IF(BU276="NM","NM",IF(BP276&lt;=0,"NM",IF(BU276=0,"NM",IF(ABS(BU276/BP276-1)&gt;2.5,"NM",IF((ABS(BU276-BP276)=ABS(ABS(BU276)-ABS(BP276))),(BU276/BP276-1),"NM"))))))</f>
      </c>
      <c r="BV282" s="315">
        <f t="shared" si="783"/>
      </c>
      <c r="BW282" s="30">
        <f t="shared" si="783"/>
      </c>
      <c r="BX282" s="30">
        <f t="shared" si="783"/>
      </c>
      <c r="BY282" s="30">
        <f t="shared" si="783"/>
      </c>
      <c r="BZ282" s="30">
        <f t="shared" si="783"/>
      </c>
      <c r="CA282" s="308">
        <f t="shared" si="783"/>
      </c>
      <c r="CB282" s="30">
        <f t="shared" ref="CB282:CH282" si="784">IF(BW276="NM","NM",IF(CB276="NM","NM",IF(BW276&lt;=0,"NM",IF(CB276=0,"NM",IF(ABS(CB276/BW276-1)&gt;2.5,"NM",IF((ABS(CB276-BW276)=ABS(ABS(CB276)-ABS(BW276))),(CB276/BW276-1),"NM"))))))</f>
      </c>
      <c r="CC282" s="30">
        <f t="shared" si="784"/>
      </c>
      <c r="CD282" s="30">
        <f>IF(BY276="NM","NM",IF(CD276="NM","NM",IF(BY276&lt;=0,"NM",IF(CD276=0,"NM",IF(ABS(CD276/BY276-1)&gt;2.5,"NM",IF((ABS(CD276-BY276)=ABS(ABS(CD276)-ABS(BY276))),(CD276/BY276-1),"NM"))))))</f>
      </c>
      <c r="CE282" s="30">
        <f>IF(BZ276="NM","NM",IF(CE276="NM","NM",IF(BZ276&lt;=0,"NM",IF(CE276=0,"NM",IF(ABS(CE276/BZ276-1)&gt;2.5,"NM",IF((ABS(CE276-BZ276)=ABS(ABS(CE276)-ABS(BZ276))),(CE276/BZ276-1),"NM"))))))</f>
      </c>
      <c r="CF282" s="308">
        <f>IF(CA276="NM","NM",IF(CF276="NM","NM",IF(CA276&lt;=0,"NM",IF(CF276=0,"NM",IF(ABS(CF276/CA276-1)&gt;2.5,"NM",IF((ABS(CF276-CA276)=ABS(ABS(CF276)-ABS(CA276))),(CF276/CA276-1),"NM"))))))</f>
      </c>
      <c r="CG282" s="30">
        <f t="shared" si="784"/>
      </c>
      <c r="CH282" s="30">
        <f t="shared" si="784"/>
      </c>
      <c r="CI282" s="30">
        <f>IF(CD276="NM","NM",IF(CI276="NM","NM",IF(CD276&lt;=0,"NM",IF(CI276=0,"NM",IF(ABS(CI276/CD276-1)&gt;2.5,"NM",IF((ABS(CI276-CD276)=ABS(ABS(CI276)-ABS(CD276))),(CI276/CD276-1),"NM"))))))</f>
      </c>
      <c r="CJ282" s="30">
        <f>IF(CE276="NM","NM",IF(CJ276="NM","NM",IF(CE276&lt;=0,"NM",IF(CJ276=0,"NM",IF(ABS(CJ276/CE276-1)&gt;2.5,"NM",IF((ABS(CJ276-CE276)=ABS(ABS(CJ276)-ABS(CE276))),(CJ276/CE276-1),"NM"))))))</f>
      </c>
      <c r="CK282" s="308">
        <f>IF(CF276=0, "NA", CK276/CF276-1)</f>
      </c>
      <c r="CL282" s="30">
        <f>IF(CG276="NM","NM",IF(CL276="NM","NM",IF(CG276&lt;=0,"NM",IF(CL276=0,"NM",IF(ABS(CL276/CG276-1)&gt;2.5,"NM",IF((ABS(CL276-CG276)=ABS(ABS(CL276)-ABS(CG276))),(CL276/CG276-1),"NM"))))))</f>
      </c>
      <c r="CM282" s="30">
        <f>IF(CH276="NM","NM",IF(CM276="NM","NM",IF(CH276&lt;=0,"NM",IF(CM276=0,"NM",IF(ABS(CM276/CH276-1)&gt;2.5,"NM",IF((ABS(CM276-CH276)=ABS(ABS(CM276)-ABS(CH276))),(CM276/CH276-1),"NM"))))))</f>
      </c>
      <c r="CN282" s="30">
        <f>IF(CI276="NM","NM",IF(CN276="NM","NM",IF(CI276&lt;=0,"NM",IF(CN276=0,"NM",IF(ABS(CN276/CI276-1)&gt;2.5,"NM",IF((ABS(CN276-CI276)=ABS(ABS(CN276)-ABS(CI276))),(CN276/CI276-1),"NM"))))))</f>
      </c>
      <c r="CO282" s="30">
        <f>IF(CJ276="NM","NM",IF(CO276="NM","NM",IF(CJ276&lt;=0,"NM",IF(CO276=0,"NM",IF(ABS(CO276/CJ276-1)&gt;2.5,"NM",IF((ABS(CO276-CJ276)=ABS(ABS(CO276)-ABS(CJ276))),(CO276/CJ276-1),"NM"))))))</f>
      </c>
      <c r="CP282" s="308">
        <f>IF(CK276=0, "NA", CP276/CK276-1)</f>
      </c>
      <c r="CQ282" s="30">
        <f>IF(CL276="NM","NM",IF(CQ276="NM","NM",IF(CL276&lt;=0,"NM",IF(CQ276=0,"NM",IF(ABS(CQ276/CL276-1)&gt;2.5,"NM",IF((ABS(CQ276-CL276)=ABS(ABS(CQ276)-ABS(CL276))),(CQ276/CL276-1),"NM"))))))</f>
      </c>
      <c r="CR282" s="30">
        <f>IF(CM276="NM","NM",IF(CR276="NM","NM",IF(CM276&lt;=0,"NM",IF(CR276=0,"NM",IF(ABS(CR276/CM276-1)&gt;2.5,"NM",IF((ABS(CR276-CM276)=ABS(ABS(CR276)-ABS(CM276))),(CR276/CM276-1),"NM"))))))</f>
      </c>
      <c r="CS282" s="30">
        <f>IF(CN276="NM","NM",IF(CS276="NM","NM",IF(CN276&lt;=0,"NM",IF(CS276=0,"NM",IF(ABS(CS276/CN276-1)&gt;2.5,"NM",IF((ABS(CS276-CN276)=ABS(ABS(CS276)-ABS(CN276))),(CS276/CN276-1),"NM"))))))</f>
      </c>
      <c r="CT282" s="30">
        <f>IF(CO276="NM","NM",IF(CT276="NM","NM",IF(CO276&lt;=0,"NM",IF(CT276=0,"NM",IF(ABS(CT276/CO276-1)&gt;2.5,"NM",IF((ABS(CT276-CO276)=ABS(ABS(CT276)-ABS(CO276))),(CT276/CO276-1),"NM"))))))</f>
      </c>
      <c r="CU282" s="308">
        <f>IF(CP276=0, "NA", CU276/CP276-1)</f>
      </c>
      <c r="CV282" s="30">
        <f>IF(CQ276="NM","NM",IF(CV276="NM","NM",IF(CQ276&lt;=0,"NM",IF(CV276=0,"NM",IF(ABS(CV276/CQ276-1)&gt;2.5,"NM",IF((ABS(CV276-CQ276)=ABS(ABS(CV276)-ABS(CQ276))),(CV276/CQ276-1),"NM"))))))</f>
      </c>
      <c r="CW282" s="30">
        <f>IF(CR276="NM","NM",IF(CW276="NM","NM",IF(CR276&lt;=0,"NM",IF(CW276=0,"NM",IF(ABS(CW276/CR276-1)&gt;2.5,"NM",IF((ABS(CW276-CR276)=ABS(ABS(CW276)-ABS(CR276))),(CW276/CR276-1),"NM"))))))</f>
      </c>
      <c r="CX282" s="30">
        <f>IF(CS276="NM","NM",IF(CX276="NM","NM",IF(CS276&lt;=0,"NM",IF(CX276=0,"NM",IF(ABS(CX276/CS276-1)&gt;2.5,"NM",IF((ABS(CX276-CS276)=ABS(ABS(CX276)-ABS(CS276))),(CX276/CS276-1),"NM"))))))</f>
      </c>
      <c r="CY282" s="30">
        <f>IF(CT276="NM","NM",IF(CY276="NM","NM",IF(CT276&lt;=0,"NM",IF(CY276=0,"NM",IF(ABS(CY276/CT276-1)&gt;2.5,"NM",IF((ABS(CY276-CT276)=ABS(ABS(CY276)-ABS(CT276))),(CY276/CT276-1),"NM"))))))</f>
      </c>
      <c r="CZ282" s="308">
        <f>IF(CU276=0, "NA", CZ276/CU276-1)</f>
      </c>
      <c r="DA282" s="30">
        <f>IF(CV276="NM","NM",IF(DA276="NM","NM",IF(CV276&lt;=0,"NM",IF(DA276=0,"NM",IF(ABS(DA276/CV276-1)&gt;2.5,"NM",IF((ABS(DA276-CV276)=ABS(ABS(DA276)-ABS(CV276))),(DA276/CV276-1),"NM"))))))</f>
      </c>
      <c r="DB282" s="926">
        <f>IF(CW276=0, "NA", DB276/CW276-1)</f>
      </c>
      <c r="DC282" s="926">
        <f>IF(CX276=0, "NA", DC276/CX276-1)</f>
      </c>
      <c r="DD282" s="928">
        <f>IF(CY276=0, "NM", DD276/CY276-1)</f>
      </c>
      <c r="DE282" s="308">
        <f>IF(CZ276=0, "NA", DE276/CZ276-1)</f>
      </c>
      <c r="DF282" s="926">
        <f>IF(DA276=0, "NA", DF276/DA276-1)</f>
      </c>
      <c r="DG282" s="926">
        <f>IF(DB276=0, "NA", DG276/DB276-1)</f>
      </c>
      <c r="DH282" s="926">
        <f>IF(DC276=0, "NA", DH276/DC276-1)</f>
      </c>
      <c r="DI282" s="928">
        <f>IF(DD276=0, "NM", DI276/DD276-1)</f>
      </c>
      <c r="DJ282" s="308">
        <f>IF(DE276=0, "NA", DJ276/DE276-1)</f>
      </c>
      <c r="DK282" s="926">
        <f>IF(DF276=0, "NA", DK276/DF276-1)</f>
      </c>
      <c r="DL282" s="926">
        <f>IF(DG276=0, "NA", DL276/DG276-1)</f>
      </c>
      <c r="DM282" s="926">
        <f>IF(DH276=0, "NA", DM276/DH276-1)</f>
      </c>
      <c r="DN282" s="928">
        <f>IF(DI276=0, "NM", DN276/DI276-1)</f>
      </c>
      <c r="DO282" s="308">
        <f>IF(DJ276=0, "NA", DO276/DJ276-1)</f>
      </c>
      <c r="DP282" s="926">
        <f>IF(DK276=0, "NA", DP276/DK276-1)</f>
      </c>
      <c r="DQ282" s="926">
        <f>IF(DL276=0, "NA", DQ276/DL276-1)</f>
      </c>
      <c r="DR282" s="926">
        <f>IF(DM276=0, "NA", DR276/DM276-1)</f>
      </c>
      <c r="DS282" s="928">
        <f>IF(DN276=0, "NM", DS276/DN276-1)</f>
      </c>
      <c r="DT282" s="308">
        <f t="shared" ref="DT282:EG282" si="785">IF(DO276=0, "NA", DT276/DO276-1)</f>
      </c>
      <c r="DU282" s="926">
        <f t="shared" si="785"/>
      </c>
      <c r="DV282" s="926">
        <f t="shared" si="785"/>
      </c>
      <c r="DW282" s="926">
        <f t="shared" si="785"/>
      </c>
      <c r="DX282" s="926">
        <f t="shared" si="785"/>
      </c>
      <c r="DY282" s="308">
        <f t="shared" si="785"/>
      </c>
      <c r="DZ282" s="926">
        <f t="shared" si="785"/>
      </c>
      <c r="EA282" s="926">
        <f t="shared" si="785"/>
      </c>
      <c r="EB282" s="926">
        <f t="shared" si="785"/>
      </c>
      <c r="EC282" s="928">
        <f>IF(DX276=0, "NM", EC276/DX276-1)</f>
      </c>
      <c r="ED282" s="308">
        <f t="shared" si="785"/>
      </c>
      <c r="EE282" s="926">
        <f t="shared" si="785"/>
      </c>
      <c r="EF282" s="926">
        <f t="shared" si="785"/>
      </c>
      <c r="EG282" s="926">
        <f t="shared" si="785"/>
      </c>
      <c r="EH282" s="928">
        <f>IF(EC276=0, "NM", EH276/EC276-1)</f>
      </c>
      <c r="EI282" s="308">
        <f>IF(ED276=0, "NA", EI276/ED276-1)</f>
      </c>
      <c r="EJ282" s="308">
        <f t="shared" ref="EJ282" si="786">IF(EI276=0, "NA", EJ276/EI276-1)</f>
      </c>
      <c r="EK282" s="308">
        <f t="shared" ref="EK282" si="787">IF(EJ276=0, "NA", EK276/EJ276-1)</f>
      </c>
      <c r="EL282" s="308">
        <f t="shared" ref="EL282" si="788">IF(EK276=0, "NA", EL276/EK276-1)</f>
      </c>
      <c r="EM282" s="308">
        <f t="shared" ref="EM282" si="789">IF(EL276=0, "NA", EM276/EL276-1)</f>
      </c>
      <c r="EN282" s="308">
        <f t="shared" ref="EN282" si="790">IF(EM276=0, "NA", EN276/EM276-1)</f>
      </c>
      <c r="EO282" s="308">
        <f t="shared" ref="EO282" si="791">IF(EN276=0, "NA", EO276/EN276-1)</f>
      </c>
      <c r="EP282" s="308">
        <f t="shared" ref="EP282" si="792">IF(EO276=0, "NA", EP276/EO276-1)</f>
      </c>
      <c r="EQ282" s="308">
        <f t="shared" ref="EQ282" si="793">IF(EP276=0, "NA", EQ276/EP276-1)</f>
      </c>
      <c r="ER282" s="308">
        <f t="shared" ref="ER282" si="794">IF(EQ276=0, "NA", ER276/EQ276-1)</f>
      </c>
      <c r="ES282" s="308">
        <f t="shared" ref="ES282" si="795">IF(ER276=0, "NA", ES276/ER276-1)</f>
      </c>
      <c r="ET282" s="308"/>
      <c r="EU282" s="308"/>
      <c r="EV282" s="308"/>
      <c r="EW282" s="308"/>
      <c r="EX282" s="308"/>
    </row>
    <row r="283" spans="1:154" ht="12.75" customHeight="1">
      <c r="B283" s="341"/>
      <c r="C283" s="1989"/>
      <c r="D283" s="33"/>
      <c r="E283" s="28"/>
      <c r="F283" s="28"/>
      <c r="G283" s="28"/>
      <c r="H283" s="28"/>
      <c r="I283" s="30"/>
      <c r="J283" s="30"/>
      <c r="K283" s="30"/>
      <c r="L283" s="30"/>
      <c r="M283" s="30"/>
      <c r="N283" s="30"/>
      <c r="O283" s="30"/>
      <c r="P283" s="30"/>
      <c r="Q283" s="30"/>
      <c r="R283" s="30"/>
      <c r="S283" s="30"/>
      <c r="T283" s="30"/>
      <c r="U283" s="30"/>
      <c r="V283" s="30"/>
      <c r="W283" s="30"/>
      <c r="X283" s="308"/>
      <c r="Y283" s="30"/>
      <c r="Z283" s="30"/>
      <c r="AA283" s="30"/>
      <c r="AB283" s="30"/>
      <c r="AC283" s="308"/>
      <c r="AD283" s="30"/>
      <c r="AE283" s="30"/>
      <c r="AF283" s="30"/>
      <c r="AG283" s="30"/>
      <c r="AH283" s="308"/>
      <c r="AI283" s="30"/>
      <c r="AJ283" s="30"/>
      <c r="AK283" s="30"/>
      <c r="AL283" s="30"/>
      <c r="AM283" s="308"/>
      <c r="AN283" s="30"/>
      <c r="AO283" s="30"/>
      <c r="AP283" s="30"/>
      <c r="AQ283" s="30"/>
      <c r="AR283" s="308"/>
      <c r="AS283" s="30"/>
      <c r="AT283" s="30"/>
      <c r="AU283" s="30"/>
      <c r="AV283" s="30"/>
      <c r="AW283" s="308"/>
      <c r="AX283" s="30"/>
      <c r="AY283" s="30"/>
      <c r="AZ283" s="30"/>
      <c r="BA283" s="30"/>
      <c r="BB283" s="308"/>
      <c r="BC283" s="30"/>
      <c r="BD283" s="30"/>
      <c r="BE283" s="30"/>
      <c r="BF283" s="30"/>
      <c r="BG283" s="308"/>
      <c r="BH283" s="30"/>
      <c r="BI283" s="30"/>
      <c r="BJ283" s="30"/>
      <c r="BK283" s="30"/>
      <c r="BL283" s="315"/>
      <c r="BM283" s="30"/>
      <c r="BN283" s="30"/>
      <c r="BO283" s="30"/>
      <c r="BP283" s="30"/>
      <c r="BQ283" s="315"/>
      <c r="BR283" s="30"/>
      <c r="BS283" s="30"/>
      <c r="BT283" s="30"/>
      <c r="BU283" s="30"/>
      <c r="BV283" s="315"/>
      <c r="BW283" s="30"/>
      <c r="BX283" s="30"/>
      <c r="BY283" s="30"/>
      <c r="BZ283" s="30"/>
      <c r="CA283" s="308"/>
      <c r="CB283" s="30"/>
      <c r="CC283" s="30"/>
      <c r="CD283" s="30"/>
      <c r="CE283" s="30"/>
      <c r="CF283" s="308"/>
      <c r="CG283" s="30"/>
      <c r="CH283" s="30"/>
      <c r="CI283" s="30"/>
      <c r="CJ283" s="30"/>
      <c r="CK283" s="308"/>
      <c r="CL283" s="30"/>
      <c r="CM283" s="30"/>
      <c r="CN283" s="30"/>
      <c r="CO283" s="30"/>
      <c r="CP283" s="308"/>
      <c r="CQ283" s="30"/>
      <c r="CR283" s="30"/>
      <c r="CS283" s="30"/>
      <c r="CT283" s="30"/>
      <c r="CU283" s="308"/>
      <c r="CV283" s="30"/>
      <c r="CW283" s="30"/>
      <c r="CX283" s="30"/>
      <c r="CY283" s="30"/>
      <c r="CZ283" s="308"/>
      <c r="DA283" s="30"/>
      <c r="DB283" s="926"/>
      <c r="DC283" s="926"/>
      <c r="DD283" s="928"/>
      <c r="DE283" s="308"/>
      <c r="DF283" s="926"/>
      <c r="DG283" s="926"/>
      <c r="DH283" s="926"/>
      <c r="DI283" s="928"/>
      <c r="DJ283" s="308"/>
      <c r="DK283" s="926"/>
      <c r="DL283" s="926"/>
      <c r="DM283" s="926"/>
      <c r="DN283" s="928"/>
      <c r="DO283" s="308"/>
      <c r="DP283" s="926"/>
      <c r="DQ283" s="926"/>
      <c r="DR283" s="926"/>
      <c r="DS283" s="928"/>
      <c r="DT283" s="308"/>
      <c r="DU283" s="926"/>
      <c r="DV283" s="926"/>
      <c r="DW283" s="926"/>
      <c r="DX283" s="926"/>
      <c r="DY283" s="308"/>
      <c r="DZ283" s="926"/>
      <c r="EA283" s="926"/>
      <c r="EB283" s="926"/>
      <c r="EC283" s="928"/>
      <c r="ED283" s="308"/>
      <c r="EE283" s="926"/>
      <c r="EF283" s="926"/>
      <c r="EG283" s="926"/>
      <c r="EH283" s="928"/>
      <c r="EI283" s="308"/>
      <c r="EJ283" s="308"/>
      <c r="EK283" s="308"/>
      <c r="EL283" s="308"/>
      <c r="EM283" s="308"/>
      <c r="EN283" s="308"/>
      <c r="EO283" s="409"/>
      <c r="EP283" s="308"/>
      <c r="EQ283" s="308"/>
      <c r="ER283" s="308"/>
      <c r="ES283" s="308"/>
      <c r="ET283" s="308"/>
      <c r="EU283" s="409"/>
      <c r="EV283" s="308"/>
      <c r="EW283" s="308"/>
      <c r="EX283" s="409"/>
    </row>
    <row r="284" spans="1:154">
      <c r="B284" s="2684" t="s">
        <v>1040</v>
      </c>
      <c r="C284" s="1392"/>
      <c r="D284" s="894"/>
      <c r="E284" s="894"/>
      <c r="F284" s="895"/>
      <c r="G284" s="895"/>
      <c r="H284" s="895"/>
      <c r="I284" s="895"/>
      <c r="J284" s="895"/>
      <c r="K284" s="895"/>
      <c r="L284" s="895"/>
      <c r="M284" s="895"/>
      <c r="N284" s="895"/>
      <c r="O284" s="896"/>
      <c r="P284" s="895"/>
      <c r="Q284" s="895"/>
      <c r="R284" s="895"/>
      <c r="S284" s="895"/>
      <c r="T284" s="896"/>
      <c r="U284" s="895"/>
      <c r="V284" s="895"/>
      <c r="W284" s="895"/>
      <c r="X284" s="898"/>
      <c r="Y284" s="896"/>
      <c r="Z284" s="895"/>
      <c r="AA284" s="895"/>
      <c r="AB284" s="895"/>
      <c r="AC284" s="898"/>
      <c r="AD284" s="896"/>
      <c r="AE284" s="895"/>
      <c r="AF284" s="895"/>
      <c r="AG284" s="895"/>
      <c r="AH284" s="898"/>
      <c r="AI284" s="896"/>
      <c r="AJ284" s="895"/>
      <c r="AK284" s="895"/>
      <c r="AL284" s="895"/>
      <c r="AM284" s="898"/>
      <c r="AN284" s="896"/>
      <c r="AO284" s="895"/>
      <c r="AP284" s="895"/>
      <c r="AQ284" s="897"/>
      <c r="AR284" s="898"/>
      <c r="AS284" s="896"/>
      <c r="AT284" s="895"/>
      <c r="AU284" s="895"/>
      <c r="AV284" s="895"/>
      <c r="AW284" s="898"/>
      <c r="AX284" s="896"/>
      <c r="AY284" s="895"/>
      <c r="AZ284" s="895"/>
      <c r="BA284" s="895"/>
      <c r="BB284" s="898"/>
      <c r="BC284" s="896"/>
      <c r="BD284" s="895"/>
      <c r="BE284" s="895"/>
      <c r="BF284" s="895"/>
      <c r="BG284" s="898"/>
      <c r="BH284" s="896"/>
      <c r="BI284" s="895"/>
      <c r="BJ284" s="895"/>
      <c r="BK284" s="895"/>
      <c r="BL284" s="898"/>
      <c r="BM284" s="895"/>
      <c r="BN284" s="895"/>
      <c r="BO284" s="895"/>
      <c r="BP284" s="895"/>
      <c r="BQ284" s="898"/>
      <c r="BR284" s="895"/>
      <c r="BS284" s="895"/>
      <c r="BT284" s="895"/>
      <c r="BU284" s="895"/>
      <c r="BV284" s="898"/>
      <c r="BW284" s="895"/>
      <c r="BX284" s="895"/>
      <c r="BY284" s="895"/>
      <c r="BZ284" s="895"/>
      <c r="CA284" s="898"/>
      <c r="CB284" s="895"/>
      <c r="CC284" s="895"/>
      <c r="CD284" s="895"/>
      <c r="CE284" s="895"/>
      <c r="CF284" s="898"/>
      <c r="CG284" s="895"/>
      <c r="CH284" s="895"/>
      <c r="CI284" s="895"/>
      <c r="CJ284" s="895"/>
      <c r="CK284" s="899"/>
      <c r="CL284" s="1015"/>
      <c r="CM284" s="895"/>
      <c r="CN284" s="895"/>
      <c r="CO284" s="895"/>
      <c r="CP284" s="899"/>
      <c r="CQ284" s="895"/>
      <c r="CR284" s="895"/>
      <c r="CS284" s="895"/>
      <c r="CT284" s="915"/>
      <c r="CU284" s="899"/>
      <c r="CV284" s="895"/>
      <c r="CW284" s="895"/>
      <c r="CX284" s="895"/>
      <c r="CY284" s="915"/>
      <c r="CZ284" s="899"/>
      <c r="DA284" s="1015"/>
      <c r="DB284" s="1509"/>
      <c r="DC284" s="895"/>
      <c r="DD284" s="915"/>
      <c r="DE284" s="899"/>
      <c r="DF284" s="1015"/>
      <c r="DG284" s="895"/>
      <c r="DH284" s="895"/>
      <c r="DI284" s="915"/>
      <c r="DJ284" s="899"/>
      <c r="DK284" s="1015"/>
      <c r="DL284" s="895"/>
      <c r="DM284" s="895"/>
      <c r="DN284" s="915"/>
      <c r="DO284" s="899"/>
      <c r="DP284" s="895"/>
      <c r="DQ284" s="895"/>
      <c r="DR284" s="895"/>
      <c r="DS284" s="915"/>
      <c r="DT284" s="899"/>
      <c r="DV284" s="2460"/>
      <c r="DW284" s="2460"/>
      <c r="DY284" s="1808"/>
      <c r="DZ284" s="2460"/>
      <c r="EA284" s="2460"/>
      <c r="EB284" s="2460"/>
      <c r="EC284" s="2466"/>
      <c r="ED284" s="2467"/>
      <c r="EE284" s="2460"/>
      <c r="EF284" s="2460"/>
      <c r="EG284" s="2460"/>
      <c r="EH284" s="2466"/>
      <c r="EI284" s="2412"/>
      <c r="EJ284" s="2412"/>
      <c r="EK284" s="2412"/>
      <c r="EL284" s="2412"/>
      <c r="EM284" s="2412"/>
      <c r="EN284" s="2412"/>
      <c r="EO284" s="2921"/>
      <c r="EP284" s="2412"/>
      <c r="EQ284" s="2412"/>
      <c r="ER284" s="2412"/>
      <c r="ES284" s="2412"/>
      <c r="ET284" s="899"/>
      <c r="EU284" s="915"/>
      <c r="EV284" s="899"/>
      <c r="EW284" s="899"/>
      <c r="EX284" s="915"/>
    </row>
    <row r="285" spans="1:154">
      <c r="B285" s="907" t="s">
        <v>153</v>
      </c>
      <c r="C285" s="1392"/>
      <c r="D285" s="894"/>
      <c r="E285" s="894"/>
      <c r="F285" s="895"/>
      <c r="G285" s="895"/>
      <c r="H285" s="895"/>
      <c r="I285" s="895"/>
      <c r="J285" s="895"/>
      <c r="K285" s="895"/>
      <c r="L285" s="895"/>
      <c r="M285" s="895"/>
      <c r="N285" s="895"/>
      <c r="O285" s="896"/>
      <c r="P285" s="895"/>
      <c r="Q285" s="895"/>
      <c r="R285" s="895"/>
      <c r="S285" s="895"/>
      <c r="T285" s="896"/>
      <c r="U285" s="895"/>
      <c r="V285" s="895"/>
      <c r="W285" s="895"/>
      <c r="X285" s="899"/>
      <c r="Y285" s="896"/>
      <c r="Z285" s="895"/>
      <c r="AA285" s="895"/>
      <c r="AB285" s="895"/>
      <c r="AC285" s="899"/>
      <c r="AD285" s="896"/>
      <c r="AE285" s="895"/>
      <c r="AF285" s="895"/>
      <c r="AG285" s="895"/>
      <c r="AH285" s="899"/>
      <c r="AI285" s="896"/>
      <c r="AJ285" s="895"/>
      <c r="AK285" s="895"/>
      <c r="AL285" s="895"/>
      <c r="AM285" s="899"/>
      <c r="AN285" s="896"/>
      <c r="AO285" s="895"/>
      <c r="AP285" s="895"/>
      <c r="AQ285" s="897"/>
      <c r="AR285" s="899"/>
      <c r="AS285" s="896"/>
      <c r="AT285" s="895"/>
      <c r="AU285" s="895"/>
      <c r="AV285" s="895"/>
      <c r="AW285" s="899"/>
      <c r="AX285" s="896"/>
      <c r="AY285" s="895"/>
      <c r="AZ285" s="895"/>
      <c r="BA285" s="895"/>
      <c r="BB285" s="899"/>
      <c r="BC285" s="896"/>
      <c r="BD285" s="895"/>
      <c r="BE285" s="895"/>
      <c r="BF285" s="895"/>
      <c r="BG285" s="899"/>
      <c r="BH285" s="896"/>
      <c r="BI285" s="895"/>
      <c r="BJ285" s="895"/>
      <c r="BK285" s="895"/>
      <c r="BL285" s="899"/>
      <c r="BM285" s="895"/>
      <c r="BN285" s="908"/>
      <c r="BO285" s="895"/>
      <c r="BP285" s="895"/>
      <c r="BQ285" s="899"/>
      <c r="BR285" s="895"/>
      <c r="BS285" s="908"/>
      <c r="BT285" s="895"/>
      <c r="BU285" s="895"/>
      <c r="BV285" s="899"/>
      <c r="BW285" s="908"/>
      <c r="BX285" s="908"/>
      <c r="BY285" s="908"/>
      <c r="BZ285" s="908"/>
      <c r="CA285" s="899"/>
      <c r="CB285" s="908"/>
      <c r="CC285" s="895"/>
      <c r="CD285" s="908"/>
      <c r="CE285" s="908"/>
      <c r="CF285" s="899"/>
      <c r="CG285" s="908"/>
      <c r="CH285" s="908"/>
      <c r="CI285" s="908"/>
      <c r="CJ285" s="908"/>
      <c r="CK285" s="899"/>
      <c r="CL285" s="1015"/>
      <c r="CM285" s="895"/>
      <c r="CN285" s="895"/>
      <c r="CO285" s="908"/>
      <c r="CP285" s="909">
        <v>0</v>
      </c>
      <c r="CQ285" s="895"/>
      <c r="CR285" s="895"/>
      <c r="CS285" s="895"/>
      <c r="CT285" s="915"/>
      <c r="CU285" s="909">
        <v>0</v>
      </c>
      <c r="CV285" s="908">
        <v>0</v>
      </c>
      <c r="CW285" s="908"/>
      <c r="CX285" s="908"/>
      <c r="CY285" s="915"/>
      <c r="CZ285" s="909"/>
      <c r="DA285" s="1321">
        <v>0</v>
      </c>
      <c r="DB285" s="1512">
        <v>0</v>
      </c>
      <c r="DC285" s="908">
        <v>65</v>
      </c>
      <c r="DD285" s="915">
        <f>+DE285-SUM(DA285:DC285)</f>
      </c>
      <c r="DE285" s="909"/>
      <c r="DF285" s="1321"/>
      <c r="DG285" s="908"/>
      <c r="DH285" s="1512"/>
      <c r="DI285" s="908"/>
      <c r="DJ285" s="909"/>
      <c r="DK285" s="908"/>
      <c r="DL285" s="908"/>
      <c r="DM285" s="908"/>
      <c r="DN285" s="915"/>
      <c r="DO285" s="909"/>
      <c r="DP285" s="908">
        <v>61</v>
      </c>
      <c r="DQ285" s="908">
        <v>74</v>
      </c>
      <c r="DR285" s="908">
        <v>88</v>
      </c>
      <c r="DS285" s="1021">
        <v>105</v>
      </c>
      <c r="DT285" s="899"/>
      <c r="DU285" s="908"/>
      <c r="DV285" s="908"/>
      <c r="DW285" s="908"/>
      <c r="DX285" s="908"/>
      <c r="DY285" s="899"/>
      <c r="DZ285" s="908"/>
      <c r="EA285" s="908"/>
      <c r="EB285" s="908"/>
      <c r="EC285" s="1021"/>
      <c r="ED285" s="899"/>
      <c r="EE285" s="908"/>
      <c r="EF285" s="908">
        <v>211</v>
      </c>
      <c r="EG285" s="908">
        <v>240</v>
      </c>
      <c r="EH285" s="908">
        <v>260</v>
      </c>
      <c r="EI285" s="1015">
        <f>SUM(EE285:EH285)</f>
      </c>
      <c r="EJ285" s="3706">
        <v>1229.8275019786104</v>
      </c>
      <c r="EK285" s="3706">
        <v>1531.5804941519773</v>
      </c>
      <c r="EL285" s="3706">
        <v>1806.574888273864</v>
      </c>
      <c r="EM285" s="3706">
        <v>2178.3318439724567</v>
      </c>
      <c r="EN285" s="3707">
        <v>2462.3392761821146</v>
      </c>
      <c r="EO285" s="3706">
        <v>2637.0540797039239</v>
      </c>
      <c r="EP285" s="3706">
        <v>2820.8830825575405</v>
      </c>
      <c r="EQ285" s="3706">
        <v>3014.1446620644147</v>
      </c>
      <c r="ER285" s="3706">
        <v>3122.8064114686094</v>
      </c>
      <c r="ES285" s="3706">
        <v>334.58698569012142</v>
      </c>
      <c r="ET285" s="909"/>
      <c r="EU285" s="909"/>
      <c r="EV285" s="909"/>
      <c r="EW285" s="909"/>
      <c r="EX285" s="909"/>
    </row>
    <row r="286" spans="1:154">
      <c r="B286" s="907" t="s">
        <v>235</v>
      </c>
      <c r="C286" s="1392"/>
      <c r="D286" s="894"/>
      <c r="E286" s="894"/>
      <c r="F286" s="895"/>
      <c r="G286" s="895"/>
      <c r="H286" s="895"/>
      <c r="I286" s="895"/>
      <c r="J286" s="895"/>
      <c r="K286" s="895"/>
      <c r="L286" s="895"/>
      <c r="M286" s="895"/>
      <c r="N286" s="895"/>
      <c r="O286" s="896"/>
      <c r="P286" s="895"/>
      <c r="Q286" s="895"/>
      <c r="R286" s="895"/>
      <c r="S286" s="895"/>
      <c r="T286" s="896"/>
      <c r="U286" s="895"/>
      <c r="V286" s="895"/>
      <c r="W286" s="895"/>
      <c r="X286" s="899"/>
      <c r="Y286" s="896"/>
      <c r="Z286" s="895"/>
      <c r="AA286" s="895"/>
      <c r="AB286" s="895"/>
      <c r="AC286" s="899"/>
      <c r="AD286" s="896"/>
      <c r="AE286" s="895"/>
      <c r="AF286" s="895"/>
      <c r="AG286" s="895"/>
      <c r="AH286" s="899"/>
      <c r="AI286" s="896"/>
      <c r="AJ286" s="895"/>
      <c r="AK286" s="895"/>
      <c r="AL286" s="895"/>
      <c r="AM286" s="899"/>
      <c r="AN286" s="896"/>
      <c r="AO286" s="895"/>
      <c r="AP286" s="895"/>
      <c r="AQ286" s="897"/>
      <c r="AR286" s="899"/>
      <c r="AS286" s="896"/>
      <c r="AT286" s="895"/>
      <c r="AU286" s="895"/>
      <c r="AV286" s="895"/>
      <c r="AW286" s="899"/>
      <c r="AX286" s="896"/>
      <c r="AY286" s="895"/>
      <c r="AZ286" s="895"/>
      <c r="BA286" s="895"/>
      <c r="BB286" s="899"/>
      <c r="BC286" s="896"/>
      <c r="BD286" s="895"/>
      <c r="BE286" s="895"/>
      <c r="BF286" s="895"/>
      <c r="BG286" s="899"/>
      <c r="BH286" s="896"/>
      <c r="BI286" s="895"/>
      <c r="BJ286" s="895"/>
      <c r="BK286" s="895"/>
      <c r="BL286" s="899"/>
      <c r="BM286" s="895"/>
      <c r="BN286" s="908"/>
      <c r="BO286" s="895"/>
      <c r="BP286" s="895"/>
      <c r="BQ286" s="899"/>
      <c r="BR286" s="895"/>
      <c r="BS286" s="908"/>
      <c r="BT286" s="895"/>
      <c r="BU286" s="895"/>
      <c r="BV286" s="899"/>
      <c r="BW286" s="908"/>
      <c r="BX286" s="908"/>
      <c r="BY286" s="908"/>
      <c r="BZ286" s="908"/>
      <c r="CA286" s="899"/>
      <c r="CB286" s="908"/>
      <c r="CC286" s="895"/>
      <c r="CD286" s="908"/>
      <c r="CE286" s="908"/>
      <c r="CF286" s="899"/>
      <c r="CG286" s="908"/>
      <c r="CH286" s="908"/>
      <c r="CI286" s="908"/>
      <c r="CJ286" s="908"/>
      <c r="CK286" s="899"/>
      <c r="CL286" s="1015"/>
      <c r="CM286" s="895"/>
      <c r="CN286" s="895"/>
      <c r="CO286" s="908"/>
      <c r="CP286" s="909">
        <v>0</v>
      </c>
      <c r="CQ286" s="895"/>
      <c r="CR286" s="895"/>
      <c r="CS286" s="895"/>
      <c r="CT286" s="915"/>
      <c r="CU286" s="909">
        <v>0</v>
      </c>
      <c r="CV286" s="908"/>
      <c r="CW286" s="908"/>
      <c r="CX286" s="908"/>
      <c r="CY286" s="915"/>
      <c r="CZ286" s="909"/>
      <c r="DA286" s="1321"/>
      <c r="DB286" s="1512">
        <v>0</v>
      </c>
      <c r="DC286" s="908">
        <v>0</v>
      </c>
      <c r="DD286" s="915">
        <f>+DE286-SUM(DA286:DC286)</f>
      </c>
      <c r="DE286" s="909"/>
      <c r="DF286" s="1321"/>
      <c r="DG286" s="908"/>
      <c r="DH286" s="908"/>
      <c r="DI286" s="908"/>
      <c r="DJ286" s="909"/>
      <c r="DK286" s="908"/>
      <c r="DL286" s="908"/>
      <c r="DM286" s="908"/>
      <c r="DN286" s="915"/>
      <c r="DO286" s="909"/>
      <c r="DP286" s="908">
        <v>9</v>
      </c>
      <c r="DQ286" s="908">
        <v>11</v>
      </c>
      <c r="DR286" s="908">
        <v>12</v>
      </c>
      <c r="DS286" s="1021">
        <v>14</v>
      </c>
      <c r="DT286" s="899"/>
      <c r="DU286" s="908"/>
      <c r="DV286" s="908"/>
      <c r="DW286" s="908"/>
      <c r="DX286" s="908"/>
      <c r="DY286" s="899"/>
      <c r="DZ286" s="908"/>
      <c r="EA286" s="908"/>
      <c r="EB286" s="908"/>
      <c r="EC286" s="1021"/>
      <c r="ED286" s="899"/>
      <c r="EE286" s="908"/>
      <c r="EF286" s="908"/>
      <c r="EG286" s="908"/>
      <c r="EH286" s="3776">
        <v>0</v>
      </c>
      <c r="EI286" s="3706">
        <v>0</v>
      </c>
      <c r="EJ286" s="3706">
        <v>0</v>
      </c>
      <c r="EK286" s="3706">
        <v>30.998446618229018</v>
      </c>
      <c r="EL286" s="3706">
        <v>112.66309949925582</v>
      </c>
      <c r="EM286" s="3706">
        <v>226.94123853849106</v>
      </c>
      <c r="EN286" s="3707">
        <v>321.1073498962399</v>
      </c>
      <c r="EO286" s="3706">
        <v>387.92741901924097</v>
      </c>
      <c r="EP286" s="3706">
        <v>455.34005089080028</v>
      </c>
      <c r="EQ286" s="3706">
        <v>504.25095508656898</v>
      </c>
      <c r="ER286" s="3706">
        <v>555.82365309854242</v>
      </c>
      <c r="ES286" s="3706">
        <v>603.49764092470173</v>
      </c>
      <c r="ET286" s="909"/>
      <c r="EU286" s="909"/>
      <c r="EV286" s="909"/>
      <c r="EW286" s="909"/>
      <c r="EX286" s="909"/>
    </row>
    <row r="287" spans="1:154">
      <c r="A287" s="3281" t="str">
        <f>+B284</f>
      </c>
      <c r="B287" s="907" t="s">
        <v>188</v>
      </c>
      <c r="C287" s="1392"/>
      <c r="D287" s="894"/>
      <c r="E287" s="894"/>
      <c r="F287" s="895"/>
      <c r="G287" s="895"/>
      <c r="H287" s="895"/>
      <c r="I287" s="895"/>
      <c r="J287" s="895"/>
      <c r="K287" s="895"/>
      <c r="L287" s="895"/>
      <c r="M287" s="895"/>
      <c r="N287" s="895"/>
      <c r="O287" s="896"/>
      <c r="P287" s="895"/>
      <c r="Q287" s="895"/>
      <c r="R287" s="895"/>
      <c r="S287" s="895"/>
      <c r="T287" s="896"/>
      <c r="U287" s="895"/>
      <c r="V287" s="895"/>
      <c r="W287" s="895"/>
      <c r="X287" s="899"/>
      <c r="Y287" s="896"/>
      <c r="Z287" s="895"/>
      <c r="AA287" s="895"/>
      <c r="AB287" s="895"/>
      <c r="AC287" s="899"/>
      <c r="AD287" s="896"/>
      <c r="AE287" s="895"/>
      <c r="AF287" s="895"/>
      <c r="AG287" s="895"/>
      <c r="AH287" s="899"/>
      <c r="AI287" s="896"/>
      <c r="AJ287" s="895"/>
      <c r="AK287" s="895"/>
      <c r="AL287" s="895"/>
      <c r="AM287" s="899"/>
      <c r="AN287" s="896"/>
      <c r="AO287" s="895"/>
      <c r="AP287" s="895"/>
      <c r="AQ287" s="897"/>
      <c r="AR287" s="899"/>
      <c r="AS287" s="896"/>
      <c r="AT287" s="895"/>
      <c r="AU287" s="895"/>
      <c r="AV287" s="895"/>
      <c r="AW287" s="899"/>
      <c r="AX287" s="896"/>
      <c r="AY287" s="895"/>
      <c r="AZ287" s="895"/>
      <c r="BA287" s="895"/>
      <c r="BB287" s="899"/>
      <c r="BC287" s="896"/>
      <c r="BD287" s="895"/>
      <c r="BE287" s="895"/>
      <c r="BF287" s="895"/>
      <c r="BG287" s="899"/>
      <c r="BH287" s="896"/>
      <c r="BI287" s="895"/>
      <c r="BJ287" s="895"/>
      <c r="BK287" s="895"/>
      <c r="BL287" s="899"/>
      <c r="BM287" s="895"/>
      <c r="BN287" s="895"/>
      <c r="BO287" s="895"/>
      <c r="BP287" s="895"/>
      <c r="BQ287" s="899"/>
      <c r="BR287" s="895"/>
      <c r="BS287" s="895"/>
      <c r="BT287" s="895"/>
      <c r="BU287" s="895"/>
      <c r="BV287" s="899"/>
      <c r="BW287" s="895"/>
      <c r="BX287" s="895"/>
      <c r="BY287" s="895"/>
      <c r="BZ287" s="895"/>
      <c r="CA287" s="899"/>
      <c r="CB287" s="895"/>
      <c r="CC287" s="895"/>
      <c r="CD287" s="895"/>
      <c r="CE287" s="895"/>
      <c r="CF287" s="899"/>
      <c r="CG287" s="895"/>
      <c r="CH287" s="895"/>
      <c r="CI287" s="895"/>
      <c r="CJ287" s="895"/>
      <c r="CK287" s="899"/>
      <c r="CL287" s="1015"/>
      <c r="CM287" s="895"/>
      <c r="CN287" s="895"/>
      <c r="CO287" s="895"/>
      <c r="CP287" s="899">
        <f>CP285+CP286</f>
      </c>
      <c r="CQ287" s="895"/>
      <c r="CR287" s="895"/>
      <c r="CS287" s="895"/>
      <c r="CT287" s="915"/>
      <c r="CU287" s="899">
        <f>CU285+CU286</f>
      </c>
      <c r="CV287" s="895">
        <f>+SUM(CV285:CV286)</f>
      </c>
      <c r="CW287" s="895">
        <f>+SUM(CW285:CW286)</f>
      </c>
      <c r="CX287" s="895"/>
      <c r="CY287" s="895"/>
      <c r="CZ287" s="899"/>
      <c r="DA287" s="895">
        <f>SUM(DA285:DA286)</f>
      </c>
      <c r="DB287" s="1509">
        <f>SUM(DB285:DB286)</f>
      </c>
      <c r="DC287" s="895">
        <f>SUM(DC285:DC286)</f>
      </c>
      <c r="DD287" s="915">
        <f>SUM(DD285:DD286)</f>
      </c>
      <c r="DE287" s="899"/>
      <c r="DF287" s="895"/>
      <c r="DG287" s="895"/>
      <c r="DH287" s="895"/>
      <c r="DI287" s="915"/>
      <c r="DJ287" s="899"/>
      <c r="DK287" s="895"/>
      <c r="DL287" s="895"/>
      <c r="DM287" s="895"/>
      <c r="DN287" s="915"/>
      <c r="DO287" s="899"/>
      <c r="DP287" s="895">
        <f>SUM(DP285:DP286)</f>
      </c>
      <c r="DQ287" s="895">
        <f>SUM(DQ285:DQ286)</f>
      </c>
      <c r="DR287" s="895">
        <f>SUM(DR285:DR286)</f>
      </c>
      <c r="DS287" s="915">
        <f>SUM(DS285:DS286)</f>
      </c>
      <c r="DT287" s="899"/>
      <c r="DU287" s="895"/>
      <c r="DV287" s="895"/>
      <c r="DW287" s="895"/>
      <c r="DX287" s="895"/>
      <c r="DY287" s="899"/>
      <c r="DZ287" s="895"/>
      <c r="EA287" s="895"/>
      <c r="EB287" s="895"/>
      <c r="EC287" s="915"/>
      <c r="ED287" s="899"/>
      <c r="EE287" s="895"/>
      <c r="EF287" s="895">
        <f t="shared" ref="EF287:EM287" si="796">SUM(EF285:EF286)</f>
      </c>
      <c r="EG287" s="895">
        <f t="shared" si="796"/>
      </c>
      <c r="EH287" s="895">
        <f t="shared" si="796"/>
      </c>
      <c r="EI287" s="1015">
        <f t="shared" si="796"/>
      </c>
      <c r="EJ287" s="1015">
        <f t="shared" si="796"/>
      </c>
      <c r="EK287" s="1015">
        <f t="shared" si="796"/>
      </c>
      <c r="EL287" s="1015">
        <f t="shared" si="796"/>
      </c>
      <c r="EM287" s="1015">
        <f t="shared" si="796"/>
      </c>
      <c r="EN287" s="899">
        <f t="shared" ref="EN287" si="797">SUM(EN285:EN286)</f>
      </c>
      <c r="EO287" s="1015">
        <f t="shared" ref="EO287" si="798">SUM(EO285:EO286)</f>
      </c>
      <c r="EP287" s="1015">
        <f t="shared" ref="EP287" si="799">SUM(EP285:EP286)</f>
      </c>
      <c r="EQ287" s="1015">
        <f t="shared" ref="EQ287" si="800">SUM(EQ285:EQ286)</f>
      </c>
      <c r="ER287" s="1015">
        <f t="shared" ref="ER287" si="801">SUM(ER285:ER286)</f>
      </c>
      <c r="ES287" s="1015">
        <f t="shared" ref="ES287" si="802">SUM(ES285:ES286)</f>
      </c>
      <c r="ET287" s="899"/>
      <c r="EU287" s="899"/>
      <c r="EV287" s="899"/>
      <c r="EW287" s="899"/>
      <c r="EX287" s="899"/>
    </row>
    <row r="288" spans="1:154">
      <c r="A288" s="3281"/>
      <c r="B288" s="907"/>
      <c r="C288" s="2010"/>
      <c r="D288" s="894"/>
      <c r="E288" s="894"/>
      <c r="F288" s="895"/>
      <c r="G288" s="895"/>
      <c r="H288" s="895"/>
      <c r="I288" s="895"/>
      <c r="J288" s="895"/>
      <c r="K288" s="895"/>
      <c r="L288" s="895"/>
      <c r="M288" s="895"/>
      <c r="N288" s="895"/>
      <c r="O288" s="896"/>
      <c r="P288" s="895"/>
      <c r="Q288" s="895"/>
      <c r="R288" s="895"/>
      <c r="S288" s="895"/>
      <c r="T288" s="896"/>
      <c r="U288" s="895"/>
      <c r="V288" s="895"/>
      <c r="W288" s="895"/>
      <c r="X288" s="899"/>
      <c r="Y288" s="896"/>
      <c r="Z288" s="895"/>
      <c r="AA288" s="895"/>
      <c r="AB288" s="895"/>
      <c r="AC288" s="899"/>
      <c r="AD288" s="896"/>
      <c r="AE288" s="895"/>
      <c r="AF288" s="895"/>
      <c r="AG288" s="895"/>
      <c r="AH288" s="899"/>
      <c r="AI288" s="896"/>
      <c r="AJ288" s="895"/>
      <c r="AK288" s="895"/>
      <c r="AL288" s="895"/>
      <c r="AM288" s="899"/>
      <c r="AN288" s="896"/>
      <c r="AO288" s="895"/>
      <c r="AP288" s="895"/>
      <c r="AQ288" s="897"/>
      <c r="AR288" s="899"/>
      <c r="AS288" s="896"/>
      <c r="AT288" s="895"/>
      <c r="AU288" s="895"/>
      <c r="AV288" s="895"/>
      <c r="AW288" s="899"/>
      <c r="AX288" s="896"/>
      <c r="AY288" s="895"/>
      <c r="AZ288" s="895"/>
      <c r="BA288" s="895"/>
      <c r="BB288" s="899"/>
      <c r="BC288" s="896"/>
      <c r="BD288" s="895"/>
      <c r="BE288" s="895"/>
      <c r="BF288" s="895"/>
      <c r="BG288" s="899"/>
      <c r="BH288" s="896"/>
      <c r="BI288" s="895"/>
      <c r="BJ288" s="895"/>
      <c r="BK288" s="895"/>
      <c r="BL288" s="899"/>
      <c r="BM288" s="895"/>
      <c r="BN288" s="895"/>
      <c r="BO288" s="895"/>
      <c r="BP288" s="895"/>
      <c r="BQ288" s="899"/>
      <c r="BR288" s="895"/>
      <c r="BS288" s="895"/>
      <c r="BT288" s="895"/>
      <c r="BU288" s="895"/>
      <c r="BV288" s="899"/>
      <c r="BW288" s="895"/>
      <c r="BX288" s="895"/>
      <c r="BY288" s="895"/>
      <c r="BZ288" s="895"/>
      <c r="CA288" s="899"/>
      <c r="CB288" s="895"/>
      <c r="CC288" s="895"/>
      <c r="CD288" s="895"/>
      <c r="CE288" s="895"/>
      <c r="CF288" s="899"/>
      <c r="CG288" s="895"/>
      <c r="CH288" s="895"/>
      <c r="CI288" s="895"/>
      <c r="CJ288" s="895"/>
      <c r="CK288" s="899"/>
      <c r="CL288" s="1015"/>
      <c r="CM288" s="895"/>
      <c r="CN288" s="895"/>
      <c r="CO288" s="895"/>
      <c r="CP288" s="899"/>
      <c r="CQ288" s="895"/>
      <c r="CR288" s="895"/>
      <c r="CS288" s="895"/>
      <c r="CT288" s="895"/>
      <c r="CU288" s="899"/>
      <c r="CV288" s="895"/>
      <c r="CW288" s="895"/>
      <c r="CX288" s="895"/>
      <c r="CY288" s="895"/>
      <c r="CZ288" s="899"/>
      <c r="DA288" s="895"/>
      <c r="DB288" s="1509"/>
      <c r="DC288" s="895"/>
      <c r="DD288" s="915"/>
      <c r="DE288" s="899"/>
      <c r="DF288" s="895"/>
      <c r="DG288" s="895"/>
      <c r="DH288" s="895"/>
      <c r="DI288" s="915"/>
      <c r="DJ288" s="899"/>
      <c r="DK288" s="895"/>
      <c r="DL288" s="895"/>
      <c r="DM288" s="895"/>
      <c r="DN288" s="915"/>
      <c r="DO288" s="899"/>
      <c r="DP288" s="895"/>
      <c r="DQ288" s="895"/>
      <c r="DR288" s="895"/>
      <c r="DS288" s="915"/>
      <c r="DT288" s="899"/>
      <c r="DU288" s="895"/>
      <c r="DV288" s="895"/>
      <c r="DW288" s="895"/>
      <c r="DX288" s="895"/>
      <c r="DY288" s="899"/>
      <c r="DZ288" s="895"/>
      <c r="EA288" s="895"/>
      <c r="EB288" s="895"/>
      <c r="EC288" s="915"/>
      <c r="ED288" s="899"/>
      <c r="EE288" s="895"/>
      <c r="EF288" s="895"/>
      <c r="EG288" s="895"/>
      <c r="EH288" s="895"/>
      <c r="EI288" s="1015"/>
      <c r="EJ288" s="1015"/>
      <c r="EK288" s="1015"/>
      <c r="EL288" s="1015"/>
      <c r="EM288" s="1015"/>
      <c r="EN288" s="899"/>
      <c r="EO288" s="1015"/>
      <c r="EP288" s="1015"/>
      <c r="EQ288" s="1015"/>
      <c r="ER288" s="1015"/>
      <c r="ES288" s="1015"/>
      <c r="ET288" s="899"/>
      <c r="EU288" s="899"/>
      <c r="EV288" s="899"/>
      <c r="EW288" s="899"/>
      <c r="EX288" s="899"/>
    </row>
    <row r="289" spans="1:154" ht="12.75" customHeight="1">
      <c r="B289" s="338" t="s">
        <v>1041</v>
      </c>
      <c r="C289" s="1989"/>
      <c r="D289" s="33"/>
      <c r="E289" s="28"/>
      <c r="F289" s="28"/>
      <c r="G289" s="28"/>
      <c r="H289" s="28"/>
      <c r="I289" s="31"/>
      <c r="J289" s="28"/>
      <c r="K289" s="28"/>
      <c r="L289" s="28"/>
      <c r="M289" s="28"/>
      <c r="N289" s="31"/>
      <c r="O289" s="28"/>
      <c r="P289" s="28"/>
      <c r="Q289" s="28"/>
      <c r="R289" s="28"/>
      <c r="S289" s="31"/>
      <c r="T289" s="28"/>
      <c r="U289" s="28"/>
      <c r="V289" s="28"/>
      <c r="W289" s="28"/>
      <c r="X289" s="313"/>
      <c r="Y289" s="28"/>
      <c r="Z289" s="28"/>
      <c r="AA289" s="28"/>
      <c r="AB289" s="28"/>
      <c r="AC289" s="313"/>
      <c r="AD289" s="28"/>
      <c r="AE289" s="28"/>
      <c r="AF289" s="28"/>
      <c r="AG289" s="28"/>
      <c r="AH289" s="313"/>
      <c r="AI289" s="28"/>
      <c r="AJ289" s="28"/>
      <c r="AK289" s="28"/>
      <c r="AL289" s="28"/>
      <c r="AM289" s="313"/>
      <c r="AN289" s="28"/>
      <c r="AO289" s="28"/>
      <c r="AP289" s="28"/>
      <c r="AQ289" s="28"/>
      <c r="AR289" s="313"/>
      <c r="AS289" s="28"/>
      <c r="AT289" s="28"/>
      <c r="AU289" s="28"/>
      <c r="AV289" s="28"/>
      <c r="AW289" s="313"/>
      <c r="AX289" s="28"/>
      <c r="AY289" s="28"/>
      <c r="AZ289" s="28"/>
      <c r="BA289" s="28"/>
      <c r="BB289" s="313"/>
      <c r="BC289" s="28"/>
      <c r="BD289" s="28"/>
      <c r="BE289" s="28"/>
      <c r="BF289" s="28" t="s">
        <v>29</v>
      </c>
      <c r="BG289" s="319"/>
      <c r="BH289" s="28"/>
      <c r="BI289" s="28"/>
      <c r="BJ289" s="28"/>
      <c r="BK289" s="28"/>
      <c r="BL289" s="313"/>
      <c r="BM289" s="28"/>
      <c r="BN289" s="28"/>
      <c r="BO289" s="28"/>
      <c r="BP289" s="28"/>
      <c r="BQ289" s="313"/>
      <c r="BR289" s="28"/>
      <c r="BS289" s="28"/>
      <c r="BT289" s="28"/>
      <c r="BU289" s="28"/>
      <c r="BV289" s="313"/>
      <c r="BW289" s="28"/>
      <c r="BX289" s="28"/>
      <c r="BY289" s="28"/>
      <c r="BZ289" s="28"/>
      <c r="CA289" s="313"/>
      <c r="CB289" s="28"/>
      <c r="CC289" s="28"/>
      <c r="CD289" s="28"/>
      <c r="CE289" s="28"/>
      <c r="CF289" s="313"/>
      <c r="CG289" s="28"/>
      <c r="CH289" s="28"/>
      <c r="CI289" s="28"/>
      <c r="CJ289" s="28"/>
      <c r="CK289" s="313"/>
      <c r="CL289" s="961"/>
      <c r="CM289" s="933"/>
      <c r="CN289" s="933"/>
      <c r="CO289" s="28"/>
      <c r="CP289" s="313"/>
      <c r="CQ289" s="933"/>
      <c r="CR289" s="933"/>
      <c r="CS289" s="933"/>
      <c r="CT289" s="933"/>
      <c r="CU289" s="313"/>
      <c r="CV289" s="933"/>
      <c r="CW289" s="933"/>
      <c r="CX289" s="933"/>
      <c r="CY289" s="933"/>
      <c r="CZ289" s="313"/>
      <c r="DA289" s="933"/>
      <c r="DB289" s="31"/>
      <c r="DC289" s="31"/>
      <c r="DD289" s="955"/>
      <c r="DE289" s="477"/>
      <c r="DF289" s="982"/>
      <c r="DG289" s="603"/>
      <c r="DH289" s="603"/>
      <c r="DI289" s="1798"/>
      <c r="DJ289" s="477"/>
      <c r="DK289" s="982"/>
      <c r="DL289" s="603"/>
      <c r="DM289" s="603"/>
      <c r="DN289" s="1798"/>
      <c r="DO289" s="477"/>
      <c r="DP289" s="603"/>
      <c r="DQ289" s="603"/>
      <c r="DR289" s="603"/>
      <c r="DS289" s="1798"/>
      <c r="DT289" s="477"/>
      <c r="DU289" s="603"/>
      <c r="DV289" s="603"/>
      <c r="DW289" s="603"/>
      <c r="DX289" s="603"/>
      <c r="DY289" s="477"/>
      <c r="DZ289" s="603"/>
      <c r="EA289" s="603"/>
      <c r="EB289" s="603"/>
      <c r="EC289" s="1798"/>
      <c r="ED289" s="477"/>
      <c r="EE289" s="603"/>
      <c r="EF289" s="603"/>
      <c r="EG289" s="603"/>
      <c r="EH289" s="1798"/>
      <c r="EI289" s="477"/>
      <c r="EJ289" s="477"/>
      <c r="EK289" s="477"/>
      <c r="EL289" s="477"/>
      <c r="EM289" s="477"/>
      <c r="EN289" s="477"/>
      <c r="EO289" s="477"/>
      <c r="EP289" s="477"/>
      <c r="EQ289" s="477"/>
      <c r="ER289" s="477"/>
      <c r="ES289" s="477"/>
      <c r="ET289" s="477"/>
      <c r="EU289" s="477"/>
      <c r="EV289" s="477"/>
      <c r="EW289" s="477"/>
      <c r="EX289" s="477"/>
    </row>
    <row r="290" spans="1:154" ht="12.75" customHeight="1">
      <c r="B290" s="341" t="s">
        <v>921</v>
      </c>
      <c r="C290" s="1989"/>
      <c r="D290" s="33"/>
      <c r="E290" s="28"/>
      <c r="F290" s="28"/>
      <c r="G290" s="28"/>
      <c r="H290" s="28"/>
      <c r="I290" s="30" t="str">
        <f t="shared" ref="I290:I291" si="803">IF(D285="NM","NM",IF(I285="NM","NM",IF(D285&lt;=0,"NM",IF(I285=0,"NM",IF(ABS(I285/D285-1)&gt;2.5,"NM",IF((ABS(I285-D285)=ABS(ABS(I285)-ABS(D285))),(I285/D285-1),"NM"))))))</f>
      </c>
      <c r="J290" s="30" t="str">
        <f t="shared" ref="J290:J291" si="804">IF(E285="NM","NM",IF(J285="NM","NM",IF(E285&lt;=0,"NM",IF(J285=0,"NM",IF(ABS(J285/E285-1)&gt;2.5,"NM",IF((ABS(J285-E285)=ABS(ABS(J285)-ABS(E285))),(J285/E285-1),"NM"))))))</f>
      </c>
      <c r="K290" s="30" t="str">
        <f t="shared" ref="K290:K291" si="805">IF(F285="NM","NM",IF(K285="NM","NM",IF(F285&lt;=0,"NM",IF(K285=0,"NM",IF(ABS(K285/F285-1)&gt;2.5,"NM",IF((ABS(K285-F285)=ABS(ABS(K285)-ABS(F285))),(K285/F285-1),"NM"))))))</f>
      </c>
      <c r="L290" s="30" t="str">
        <f t="shared" ref="L290:L291" si="806">IF(G285="NM","NM",IF(L285="NM","NM",IF(G285&lt;=0,"NM",IF(L285=0,"NM",IF(ABS(L285/G285-1)&gt;2.5,"NM",IF((ABS(L285-G285)=ABS(ABS(L285)-ABS(G285))),(L285/G285-1),"NM"))))))</f>
      </c>
      <c r="M290" s="30" t="str">
        <f t="shared" ref="M290:M291" si="807">IF(H285="NM","NM",IF(M285="NM","NM",IF(H285&lt;=0,"NM",IF(M285=0,"NM",IF(ABS(M285/H285-1)&gt;2.5,"NM",IF((ABS(M285-H285)=ABS(ABS(M285)-ABS(H285))),(M285/H285-1),"NM"))))))</f>
      </c>
      <c r="N290" s="30" t="str">
        <f t="shared" ref="N290:N291" si="808">IF(I285="NM","NM",IF(N285="NM","NM",IF(I285&lt;=0,"NM",IF(N285=0,"NM",IF(ABS(N285/I285-1)&gt;2.5,"NM",IF((ABS(N285-I285)=ABS(ABS(N285)-ABS(I285))),(N285/I285-1),"NM"))))))</f>
      </c>
      <c r="O290" s="30" t="str">
        <f t="shared" ref="O290:O291" si="809">IF(J285="NM","NM",IF(O285="NM","NM",IF(J285&lt;=0,"NM",IF(O285=0,"NM",IF(ABS(O285/J285-1)&gt;2.5,"NM",IF((ABS(O285-J285)=ABS(ABS(O285)-ABS(J285))),(O285/J285-1),"NM"))))))</f>
      </c>
      <c r="P290" s="30" t="str">
        <f t="shared" ref="P290:P291" si="810">IF(K285="NM","NM",IF(P285="NM","NM",IF(K285&lt;=0,"NM",IF(P285=0,"NM",IF(ABS(P285/K285-1)&gt;2.5,"NM",IF((ABS(P285-K285)=ABS(ABS(P285)-ABS(K285))),(P285/K285-1),"NM"))))))</f>
      </c>
      <c r="Q290" s="30" t="str">
        <f t="shared" ref="Q290:Q291" si="811">IF(L285="NM","NM",IF(Q285="NM","NM",IF(L285&lt;=0,"NM",IF(Q285=0,"NM",IF(ABS(Q285/L285-1)&gt;2.5,"NM",IF((ABS(Q285-L285)=ABS(ABS(Q285)-ABS(L285))),(Q285/L285-1),"NM"))))))</f>
      </c>
      <c r="R290" s="30" t="str">
        <f t="shared" ref="R290:R291" si="812">IF(M285="NM","NM",IF(R285="NM","NM",IF(M285&lt;=0,"NM",IF(R285=0,"NM",IF(ABS(R285/M285-1)&gt;2.5,"NM",IF((ABS(R285-M285)=ABS(ABS(R285)-ABS(M285))),(R285/M285-1),"NM"))))))</f>
      </c>
      <c r="S290" s="30" t="str">
        <f t="shared" ref="S290:S291" si="813">IF(N285="NM","NM",IF(S285="NM","NM",IF(N285&lt;=0,"NM",IF(S285=0,"NM",IF(ABS(S285/N285-1)&gt;2.5,"NM",IF((ABS(S285-N285)=ABS(ABS(S285)-ABS(N285))),(S285/N285-1),"NM"))))))</f>
      </c>
      <c r="T290" s="30" t="str">
        <f t="shared" ref="T290:T291" si="814">IF(O285="NM","NM",IF(T285="NM","NM",IF(O285&lt;=0,"NM",IF(T285=0,"NM",IF(ABS(T285/O285-1)&gt;2.5,"NM",IF((ABS(T285-O285)=ABS(ABS(T285)-ABS(O285))),(T285/O285-1),"NM"))))))</f>
      </c>
      <c r="U290" s="30" t="str">
        <f t="shared" ref="U290:U291" si="815">IF(P285="NM","NM",IF(U285="NM","NM",IF(P285&lt;=0,"NM",IF(U285=0,"NM",IF(ABS(U285/P285-1)&gt;2.5,"NM",IF((ABS(U285-P285)=ABS(ABS(U285)-ABS(P285))),(U285/P285-1),"NM"))))))</f>
      </c>
      <c r="V290" s="30" t="str">
        <f t="shared" ref="V290:V291" si="816">IF(Q285="NM","NM",IF(V285="NM","NM",IF(Q285&lt;=0,"NM",IF(V285=0,"NM",IF(ABS(V285/Q285-1)&gt;2.5,"NM",IF((ABS(V285-Q285)=ABS(ABS(V285)-ABS(Q285))),(V285/Q285-1),"NM"))))))</f>
      </c>
      <c r="W290" s="30" t="str">
        <f t="shared" ref="W290:W291" si="817">IF(R285="NM","NM",IF(W285="NM","NM",IF(R285&lt;=0,"NM",IF(W285=0,"NM",IF(ABS(W285/R285-1)&gt;2.5,"NM",IF((ABS(W285-R285)=ABS(ABS(W285)-ABS(R285))),(W285/R285-1),"NM"))))))</f>
      </c>
      <c r="X290" s="308" t="str">
        <f t="shared" ref="X290:X291" si="818">IF(S285="NM","NM",IF(X285="NM","NM",IF(S285&lt;=0,"NM",IF(X285=0,"NM",IF(ABS(X285/S285-1)&gt;2.5,"NM",IF((ABS(X285-S285)=ABS(ABS(X285)-ABS(S285))),(X285/S285-1),"NM"))))))</f>
      </c>
      <c r="Y290" s="30" t="str">
        <f t="shared" ref="Y290:Y291" si="819">IF(T285="NM","NM",IF(Y285="NM","NM",IF(T285&lt;=0,"NM",IF(Y285=0,"NM",IF(ABS(Y285/T285-1)&gt;2.5,"NM",IF((ABS(Y285-T285)=ABS(ABS(Y285)-ABS(T285))),(Y285/T285-1),"NM"))))))</f>
      </c>
      <c r="Z290" s="30" t="str">
        <f t="shared" ref="Z290:Z291" si="820">IF(U285="NM","NM",IF(Z285="NM","NM",IF(U285&lt;=0,"NM",IF(Z285=0,"NM",IF(ABS(Z285/U285-1)&gt;2.5,"NM",IF((ABS(Z285-U285)=ABS(ABS(Z285)-ABS(U285))),(Z285/U285-1),"NM"))))))</f>
      </c>
      <c r="AA290" s="30" t="str">
        <f t="shared" ref="AA290:AA291" si="821">IF(V285="NM","NM",IF(AA285="NM","NM",IF(V285&lt;=0,"NM",IF(AA285=0,"NM",IF(ABS(AA285/V285-1)&gt;2.5,"NM",IF((ABS(AA285-V285)=ABS(ABS(AA285)-ABS(V285))),(AA285/V285-1),"NM"))))))</f>
      </c>
      <c r="AB290" s="30" t="str">
        <f t="shared" ref="AB290:AB291" si="822">IF(W285="NM","NM",IF(AB285="NM","NM",IF(W285&lt;=0,"NM",IF(AB285=0,"NM",IF(ABS(AB285/W285-1)&gt;2.5,"NM",IF((ABS(AB285-W285)=ABS(ABS(AB285)-ABS(W285))),(AB285/W285-1),"NM"))))))</f>
      </c>
      <c r="AC290" s="308" t="str">
        <f t="shared" ref="AC290:AC291" si="823">IF(X285="NM","NM",IF(AC285="NM","NM",IF(X285&lt;=0,"NM",IF(AC285=0,"NM",IF(ABS(AC285/X285-1)&gt;2.5,"NM",IF((ABS(AC285-X285)=ABS(ABS(AC285)-ABS(X285))),(AC285/X285-1),"NM"))))))</f>
      </c>
      <c r="AD290" s="30" t="str">
        <f t="shared" ref="AD290:AD291" si="824">IF(Y285="NM","NM",IF(AD285="NM","NM",IF(Y285&lt;=0,"NM",IF(AD285=0,"NM",IF(ABS(AD285/Y285-1)&gt;2.5,"NM",IF((ABS(AD285-Y285)=ABS(ABS(AD285)-ABS(Y285))),(AD285/Y285-1),"NM"))))))</f>
      </c>
      <c r="AE290" s="30" t="str">
        <f t="shared" ref="AE290:AE291" si="825">IF(Z285="NM","NM",IF(AE285="NM","NM",IF(Z285&lt;=0,"NM",IF(AE285=0,"NM",IF(ABS(AE285/Z285-1)&gt;2.5,"NM",IF((ABS(AE285-Z285)=ABS(ABS(AE285)-ABS(Z285))),(AE285/Z285-1),"NM"))))))</f>
      </c>
      <c r="AF290" s="30" t="str">
        <f t="shared" ref="AF290:AF291" si="826">IF(AA285="NM","NM",IF(AF285="NM","NM",IF(AA285&lt;=0,"NM",IF(AF285=0,"NM",IF(ABS(AF285/AA285-1)&gt;2.5,"NM",IF((ABS(AF285-AA285)=ABS(ABS(AF285)-ABS(AA285))),(AF285/AA285-1),"NM"))))))</f>
      </c>
      <c r="AG290" s="30" t="str">
        <f t="shared" ref="AG290:AG291" si="827">IF(AB285="NM","NM",IF(AG285="NM","NM",IF(AB285&lt;=0,"NM",IF(AG285=0,"NM",IF(ABS(AG285/AB285-1)&gt;2.5,"NM",IF((ABS(AG285-AB285)=ABS(ABS(AG285)-ABS(AB285))),(AG285/AB285-1),"NM"))))))</f>
      </c>
      <c r="AH290" s="308" t="str">
        <f t="shared" ref="AH290:AH291" si="828">IF(AC285="NM","NM",IF(AH285="NM","NM",IF(AC285&lt;=0,"NM",IF(AH285=0,"NM",IF(ABS(AH285/AC285-1)&gt;2.5,"NM",IF((ABS(AH285-AC285)=ABS(ABS(AH285)-ABS(AC285))),(AH285/AC285-1),"NM"))))))</f>
      </c>
      <c r="AI290" s="30" t="str">
        <f t="shared" ref="AI290:AI291" si="829">IF(AD285="NM","NM",IF(AI285="NM","NM",IF(AD285&lt;=0,"NM",IF(AI285=0,"NM",IF(ABS(AI285/AD285-1)&gt;2.5,"NM",IF((ABS(AI285-AD285)=ABS(ABS(AI285)-ABS(AD285))),(AI285/AD285-1),"NM"))))))</f>
      </c>
      <c r="AJ290" s="30" t="str">
        <f t="shared" ref="AJ290:AJ291" si="830">IF(AE285="NM","NM",IF(AJ285="NM","NM",IF(AE285&lt;=0,"NM",IF(AJ285=0,"NM",IF(ABS(AJ285/AE285-1)&gt;2.5,"NM",IF((ABS(AJ285-AE285)=ABS(ABS(AJ285)-ABS(AE285))),(AJ285/AE285-1),"NM"))))))</f>
      </c>
      <c r="AK290" s="30" t="str">
        <f t="shared" ref="AK290:AK291" si="831">IF(AF285="NM","NM",IF(AK285="NM","NM",IF(AF285&lt;=0,"NM",IF(AK285=0,"NM",IF(ABS(AK285/AF285-1)&gt;2.5,"NM",IF((ABS(AK285-AF285)=ABS(ABS(AK285)-ABS(AF285))),(AK285/AF285-1),"NM"))))))</f>
      </c>
      <c r="AL290" s="30" t="str">
        <f t="shared" ref="AL290:AL291" si="832">IF(AG285="NM","NM",IF(AL285="NM","NM",IF(AG285&lt;=0,"NM",IF(AL285=0,"NM",IF(ABS(AL285/AG285-1)&gt;2.5,"NM",IF((ABS(AL285-AG285)=ABS(ABS(AL285)-ABS(AG285))),(AL285/AG285-1),"NM"))))))</f>
      </c>
      <c r="AM290" s="308" t="str">
        <f t="shared" ref="AM290:AM291" si="833">IF(AH285="NM","NM",IF(AM285="NM","NM",IF(AH285&lt;=0,"NM",IF(AM285=0,"NM",IF(ABS(AM285/AH285-1)&gt;2.5,"NM",IF((ABS(AM285-AH285)=ABS(ABS(AM285)-ABS(AH285))),(AM285/AH285-1),"NM"))))))</f>
      </c>
      <c r="AN290" s="30" t="str">
        <f t="shared" ref="AN290:AN291" si="834">IF(AI285="NM","NM",IF(AN285="NM","NM",IF(AI285&lt;=0,"NM",IF(AN285=0,"NM",IF(ABS(AN285/AI285-1)&gt;2.5,"NM",IF((ABS(AN285-AI285)=ABS(ABS(AN285)-ABS(AI285))),(AN285/AI285-1),"NM"))))))</f>
      </c>
      <c r="AO290" s="30" t="str">
        <f t="shared" ref="AO290:AO291" si="835">IF(AJ285="NM","NM",IF(AO285="NM","NM",IF(AJ285&lt;=0,"NM",IF(AO285=0,"NM",IF(ABS(AO285/AJ285-1)&gt;2.5,"NM",IF((ABS(AO285-AJ285)=ABS(ABS(AO285)-ABS(AJ285))),(AO285/AJ285-1),"NM"))))))</f>
      </c>
      <c r="AP290" s="30" t="str">
        <f t="shared" ref="AP290:AP291" si="836">IF(AK285="NM","NM",IF(AP285="NM","NM",IF(AK285&lt;=0,"NM",IF(AP285=0,"NM",IF(ABS(AP285/AK285-1)&gt;2.5,"NM",IF((ABS(AP285-AK285)=ABS(ABS(AP285)-ABS(AK285))),(AP285/AK285-1),"NM"))))))</f>
      </c>
      <c r="AQ290" s="30" t="str">
        <f t="shared" ref="AQ290:AQ291" si="837">IF(AL285="NM","NM",IF(AQ285="NM","NM",IF(AL285&lt;=0,"NM",IF(AQ285=0,"NM",IF(ABS(AQ285/AL285-1)&gt;2.5,"NM",IF((ABS(AQ285-AL285)=ABS(ABS(AQ285)-ABS(AL285))),(AQ285/AL285-1),"NM"))))))</f>
      </c>
      <c r="AR290" s="308" t="str">
        <f t="shared" ref="AR290:AR291" si="838">IF(AM285="NM","NM",IF(AR285="NM","NM",IF(AM285&lt;=0,"NM",IF(AR285=0,"NM",IF(ABS(AR285/AM285-1)&gt;2.5,"NM",IF((ABS(AR285-AM285)=ABS(ABS(AR285)-ABS(AM285))),(AR285/AM285-1),"NM"))))))</f>
      </c>
      <c r="AS290" s="30" t="str">
        <f t="shared" ref="AS290:AS291" si="839">IF(AN285="NM","NM",IF(AS285="NM","NM",IF(AN285&lt;=0,"NM",IF(AS285=0,"NM",IF(ABS(AS285/AN285-1)&gt;2.5,"NM",IF((ABS(AS285-AN285)=ABS(ABS(AS285)-ABS(AN285))),(AS285/AN285-1),"NM"))))))</f>
      </c>
      <c r="AT290" s="30" t="str">
        <f t="shared" ref="AT290:AT291" si="840">IF(AO285="NM","NM",IF(AT285="NM","NM",IF(AO285&lt;=0,"NM",IF(AT285=0,"NM",IF(ABS(AT285/AO285-1)&gt;2.5,"NM",IF((ABS(AT285-AO285)=ABS(ABS(AT285)-ABS(AO285))),(AT285/AO285-1),"NM"))))))</f>
      </c>
      <c r="AU290" s="30" t="str">
        <f t="shared" ref="AU290:AU291" si="841">IF(AP285="NM","NM",IF(AU285="NM","NM",IF(AP285&lt;=0,"NM",IF(AU285=0,"NM",IF(ABS(AU285/AP285-1)&gt;2.5,"NM",IF((ABS(AU285-AP285)=ABS(ABS(AU285)-ABS(AP285))),(AU285/AP285-1),"NM"))))))</f>
      </c>
      <c r="AV290" s="30" t="str">
        <f t="shared" ref="AV290:AV291" si="842">IF(AQ285="NM","NM",IF(AV285="NM","NM",IF(AQ285&lt;=0,"NM",IF(AV285=0,"NM",IF(ABS(AV285/AQ285-1)&gt;2.5,"NM",IF((ABS(AV285-AQ285)=ABS(ABS(AV285)-ABS(AQ285))),(AV285/AQ285-1),"NM"))))))</f>
      </c>
      <c r="AW290" s="308" t="str">
        <f t="shared" ref="AW290:AW291" si="843">IF(AR285="NM","NM",IF(AW285="NM","NM",IF(AR285&lt;=0,"NM",IF(AW285=0,"NM",IF(ABS(AW285/AR285-1)&gt;2.5,"NM",IF((ABS(AW285-AR285)=ABS(ABS(AW285)-ABS(AR285))),(AW285/AR285-1),"NM"))))))</f>
      </c>
      <c r="AX290" s="30" t="str">
        <f t="shared" ref="AX290:AX291" si="844">IF(AS285="NM","NM",IF(AX285="NM","NM",IF(AS285&lt;=0,"NM",IF(AX285=0,"NM",IF(ABS(AX285/AS285-1)&gt;2.5,"NM",IF((ABS(AX285-AS285)=ABS(ABS(AX285)-ABS(AS285))),(AX285/AS285-1),"NM"))))))</f>
      </c>
      <c r="AY290" s="30" t="str">
        <f t="shared" ref="AY290:AY291" si="845">IF(AT285="NM","NM",IF(AY285="NM","NM",IF(AT285&lt;=0,"NM",IF(AY285=0,"NM",IF(ABS(AY285/AT285-1)&gt;2.5,"NM",IF((ABS(AY285-AT285)=ABS(ABS(AY285)-ABS(AT285))),(AY285/AT285-1),"NM"))))))</f>
      </c>
      <c r="AZ290" s="30" t="str">
        <f t="shared" ref="AZ290:AZ291" si="846">IF(AU285="NM","NM",IF(AZ285="NM","NM",IF(AU285&lt;=0,"NM",IF(AZ285=0,"NM",IF(ABS(AZ285/AU285-1)&gt;2.5,"NM",IF((ABS(AZ285-AU285)=ABS(ABS(AZ285)-ABS(AU285))),(AZ285/AU285-1),"NM"))))))</f>
      </c>
      <c r="BA290" s="30" t="str">
        <f t="shared" ref="BA290:BA291" si="847">IF(AV285="NM","NM",IF(BA285="NM","NM",IF(AV285&lt;=0,"NM",IF(BA285=0,"NM",IF(ABS(BA285/AV285-1)&gt;2.5,"NM",IF((ABS(BA285-AV285)=ABS(ABS(BA285)-ABS(AV285))),(BA285/AV285-1),"NM"))))))</f>
      </c>
      <c r="BB290" s="308" t="str">
        <f t="shared" ref="BB290:BB291" si="848">IF(AW285="NM","NM",IF(BB285="NM","NM",IF(AW285&lt;=0,"NM",IF(BB285=0,"NM",IF(ABS(BB285/AW285-1)&gt;2.5,"NM",IF((ABS(BB285-AW285)=ABS(ABS(BB285)-ABS(AW285))),(BB285/AW285-1),"NM"))))))</f>
      </c>
      <c r="BC290" s="30" t="str">
        <f t="shared" ref="BC290:BC291" si="849">IF(AX285="NM","NM",IF(BC285="NM","NM",IF(AX285&lt;=0,"NM",IF(BC285=0,"NM",IF(ABS(BC285/AX285-1)&gt;2.5,"NM",IF((ABS(BC285-AX285)=ABS(ABS(BC285)-ABS(AX285))),(BC285/AX285-1),"NM"))))))</f>
      </c>
      <c r="BD290" s="30" t="str">
        <f t="shared" ref="BD290:BD291" si="850">IF(AY285="NM","NM",IF(BD285="NM","NM",IF(AY285&lt;=0,"NM",IF(BD285=0,"NM",IF(ABS(BD285/AY285-1)&gt;2.5,"NM",IF((ABS(BD285-AY285)=ABS(ABS(BD285)-ABS(AY285))),(BD285/AY285-1),"NM"))))))</f>
      </c>
      <c r="BE290" s="30" t="str">
        <f t="shared" ref="BE290:BE291" si="851">IF(AZ285="NM","NM",IF(BE285="NM","NM",IF(AZ285&lt;=0,"NM",IF(BE285=0,"NM",IF(ABS(BE285/AZ285-1)&gt;2.5,"NM",IF((ABS(BE285-AZ285)=ABS(ABS(BE285)-ABS(AZ285))),(BE285/AZ285-1),"NM"))))))</f>
      </c>
      <c r="BF290" s="30" t="str">
        <f t="shared" ref="BF290:BF291" si="852">IF(BA285="NM","NM",IF(BF285="NM","NM",IF(BA285&lt;=0,"NM",IF(BF285=0,"NM",IF(ABS(BF285/BA285-1)&gt;2.5,"NM",IF((ABS(BF285-BA285)=ABS(ABS(BF285)-ABS(BA285))),(BF285/BA285-1),"NM"))))))</f>
      </c>
      <c r="BG290" s="308" t="str">
        <f t="shared" ref="BG290:BG291" si="853">IF(BB285="NM","NM",IF(BG285="NM","NM",IF(BB285&lt;=0,"NM",IF(BG285=0,"NM",IF(ABS(BG285/BB285-1)&gt;2.5,"NM",IF((ABS(BG285-BB285)=ABS(ABS(BG285)-ABS(BB285))),(BG285/BB285-1),"NM"))))))</f>
      </c>
      <c r="BH290" s="30" t="str">
        <f t="shared" ref="BH290:BH291" si="854">IF(BC285="NM","NM",IF(BH285="NM","NM",IF(BC285&lt;=0,"NM",IF(BH285=0,"NM",IF(ABS(BH285/BC285-1)&gt;2.5,"NM",IF((ABS(BH285-BC285)=ABS(ABS(BH285)-ABS(BC285))),(BH285/BC285-1),"NM"))))))</f>
      </c>
      <c r="BI290" s="30" t="str">
        <f t="shared" ref="BI290:BI291" si="855">IF(BD285="NM","NM",IF(BI285="NM","NM",IF(BD285&lt;=0,"NM",IF(BI285=0,"NM",IF(ABS(BI285/BD285-1)&gt;2.5,"NM",IF((ABS(BI285-BD285)=ABS(ABS(BI285)-ABS(BD285))),(BI285/BD285-1),"NM"))))))</f>
      </c>
      <c r="BJ290" s="30" t="str">
        <f t="shared" ref="BJ290:BJ291" si="856">IF(BE285="NM","NM",IF(BJ285="NM","NM",IF(BE285&lt;=0,"NM",IF(BJ285=0,"NM",IF(ABS(BJ285/BE285-1)&gt;2.5,"NM",IF((ABS(BJ285-BE285)=ABS(ABS(BJ285)-ABS(BE285))),(BJ285/BE285-1),"NM"))))))</f>
      </c>
      <c r="BK290" s="30" t="str">
        <f t="shared" ref="BK290:BK291" si="857">IF(BF285="NM","NM",IF(BK285="NM","NM",IF(BF285&lt;=0,"NM",IF(BK285=0,"NM",IF(ABS(BK285/BF285-1)&gt;2.5,"NM",IF((ABS(BK285-BF285)=ABS(ABS(BK285)-ABS(BF285))),(BK285/BF285-1),"NM"))))))</f>
      </c>
      <c r="BL290" s="315" t="str">
        <f t="shared" ref="BL290:BL291" si="858">IF(BG285="NM","NM",IF(BL285="NM","NM",IF(BG285&lt;=0,"NM",IF(BL285=0,"NM",IF(ABS(BL285/BG285-1)&gt;2.5,"NM",IF((ABS(BL285-BG285)=ABS(ABS(BL285)-ABS(BG285))),(BL285/BG285-1),"NM"))))))</f>
      </c>
      <c r="BM290" s="30" t="str">
        <f t="shared" ref="BM290:BM291" si="859">IF(BH285="NM","NM",IF(BM285="NM","NM",IF(BH285&lt;=0,"NM",IF(BM285=0,"NM",IF(ABS(BM285/BH285-1)&gt;2.5,"NM",IF((ABS(BM285-BH285)=ABS(ABS(BM285)-ABS(BH285))),(BM285/BH285-1),"NM"))))))</f>
      </c>
      <c r="BN290" s="30" t="str">
        <f t="shared" ref="BN290:BN291" si="860">IF(BI285="NM","NM",IF(BN285="NM","NM",IF(BI285&lt;=0,"NM",IF(BN285=0,"NM",IF(ABS(BN285/BI285-1)&gt;2.5,"NM",IF((ABS(BN285-BI285)=ABS(ABS(BN285)-ABS(BI285))),(BN285/BI285-1),"NM"))))))</f>
      </c>
      <c r="BO290" s="30" t="str">
        <f t="shared" ref="BO290:BO291" si="861">IF(BJ285="NM","NM",IF(BO285="NM","NM",IF(BJ285&lt;=0,"NM",IF(BO285=0,"NM",IF(ABS(BO285/BJ285-1)&gt;2.5,"NM",IF((ABS(BO285-BJ285)=ABS(ABS(BO285)-ABS(BJ285))),(BO285/BJ285-1),"NM"))))))</f>
      </c>
      <c r="BP290" s="30" t="str">
        <f t="shared" ref="BP290:BP291" si="862">IF(BK285="NM","NM",IF(BP285="NM","NM",IF(BK285&lt;=0,"NM",IF(BP285=0,"NM",IF(ABS(BP285/BK285-1)&gt;2.5,"NM",IF((ABS(BP285-BK285)=ABS(ABS(BP285)-ABS(BK285))),(BP285/BK285-1),"NM"))))))</f>
      </c>
      <c r="BQ290" s="315" t="str">
        <f t="shared" ref="BQ290:BR292" si="863">IF(BL285="NM","NM",IF(BQ285="NM","NM",IF(BL285&lt;=0,"NM",IF(BQ285=0,"NM",IF(ABS(BQ285/BL285-1)&gt;2.5,"NM",IF((ABS(BQ285-BL285)=ABS(ABS(BQ285)-ABS(BL285))),(BQ285/BL285-1),"NM"))))))</f>
      </c>
      <c r="BR290" s="30" t="str">
        <f t="shared" si="863"/>
      </c>
      <c r="BS290" s="30" t="str">
        <f t="shared" ref="BS290:BS291" si="864">IF(BN285="NM","NM",IF(BS285="NM","NM",IF(BN285&lt;=0,"NM",IF(BS285=0,"NM",IF(ABS(BS285/BN285-1)&gt;2.5,"NM",IF((ABS(BS285-BN285)=ABS(ABS(BS285)-ABS(BN285))),(BS285/BN285-1),"NM"))))))</f>
      </c>
      <c r="BT290" s="30" t="str">
        <f t="shared" ref="BT290:BT291" si="865">IF(BO285="NM","NM",IF(BT285="NM","NM",IF(BO285&lt;=0,"NM",IF(BT285=0,"NM",IF(ABS(BT285/BO285-1)&gt;2.5,"NM",IF((ABS(BT285-BO285)=ABS(ABS(BT285)-ABS(BO285))),(BT285/BO285-1),"NM"))))))</f>
      </c>
      <c r="BU290" s="30" t="str">
        <f t="shared" ref="BU290:BV292" si="866">IF(BP285="NM","NM",IF(BU285="NM","NM",IF(BP285&lt;=0,"NM",IF(BU285=0,"NM",IF(ABS(BU285/BP285-1)&gt;2.5,"NM",IF((ABS(BU285-BP285)=ABS(ABS(BU285)-ABS(BP285))),(BU285/BP285-1),"NM"))))))</f>
      </c>
      <c r="BV290" s="315" t="str">
        <f t="shared" si="866"/>
      </c>
      <c r="BW290" s="829" t="str">
        <f t="shared" ref="BW290:BW291" si="867">IF(BR285="NM","NM",IF(BW285="NM","NM",IF(BR285&lt;=0,"NM",IF(BW285=0,"NM",IF(ABS(BW285/BR285-1)&gt;2.5,"NM",IF((ABS(BW285-BR285)=ABS(ABS(BW285)-ABS(BR285))),(BW285/BR285-1),"NM"))))))</f>
      </c>
      <c r="BX290" s="41" t="str">
        <f t="shared" ref="BX290:BX291" si="868">IF(BS285="NM","NM",IF(BX285="NM","NM",IF(BS285&lt;=0,"NM",IF(BX285=0,"NM",IF(ABS(BX285/BS285-1)&gt;2.5,"NM",IF((ABS(BX285-BS285)=ABS(ABS(BX285)-ABS(BS285))),(BX285/BS285-1),"NM"))))))</f>
      </c>
      <c r="BY290" s="41" t="str">
        <f t="shared" ref="BY290:BY291" si="869">IF(BT285="NM","NM",IF(BY285="NM","NM",IF(BT285&lt;=0,"NM",IF(BY285=0,"NM",IF(ABS(BY285/BT285-1)&gt;2.5,"NM",IF((ABS(BY285-BT285)=ABS(ABS(BY285)-ABS(BT285))),(BY285/BT285-1),"NM"))))))</f>
      </c>
      <c r="BZ290" s="30" t="str">
        <f>IF(BU285="NM","NM",IF(BZ285="NM","NM",IF(BU285&lt;=0,"NM",IF(BZ285=0,"NM",IF(ABS(BZ285/BU285-1)&gt;2.5,"NM",IF((ABS(BZ285-BU285)=ABS(ABS(BZ285)-ABS(BU285))),(BZ285/BU285-1),"NM"))))))</f>
      </c>
      <c r="CA290" s="308" t="e">
        <f>CA285/BV285-1</f>
      </c>
      <c r="CB290" s="829" t="str">
        <f t="shared" ref="CB290:CB291" si="870">IF(BW285="NM","NM",IF(CB285="NM","NM",IF(BW285&lt;=0,"NM",IF(CB285=0,"NM",IF(ABS(CB285/BW285-1)&gt;2.5,"NM",IF((ABS(CB285-BW285)=ABS(ABS(CB285)-ABS(BW285))),(CB285/BW285-1),"NM"))))))</f>
      </c>
      <c r="CC290" s="41" t="str">
        <f t="shared" ref="CC290:CC291" si="871">IF(BX285="NM","NM",IF(CC285="NM","NM",IF(BX285&lt;=0,"NM",IF(CC285=0,"NM",IF(ABS(CC285/BX285-1)&gt;2.5,"NM",IF((ABS(CC285-BX285)=ABS(ABS(CC285)-ABS(BX285))),(CC285/BX285-1),"NM"))))))</f>
      </c>
      <c r="CD290" s="41" t="str">
        <f t="shared" ref="CD290:CD291" si="872">IF(BY285="NM","NM",IF(CD285="NM","NM",IF(BY285&lt;=0,"NM",IF(CD285=0,"NM",IF(ABS(CD285/BY285-1)&gt;2.5,"NM",IF((ABS(CD285-BY285)=ABS(ABS(CD285)-ABS(BY285))),(CD285/BY285-1),"NM"))))))</f>
      </c>
      <c r="CE290" s="30" t="str">
        <f>IF(BZ285="NM","NM",IF(CE285="NM","NM",IF(BZ285&lt;=0,"NM",IF(CE285=0,"NM",IF(ABS(CE285/BZ285-1)&gt;2.5,"NM",IF((ABS(CE285-BZ285)=ABS(ABS(CE285)-ABS(BZ285))),(CE285/BZ285-1),"NM"))))))</f>
      </c>
      <c r="CF290" s="308" t="e">
        <f>CF285/CA285-1</f>
      </c>
      <c r="CG290" s="829" t="str">
        <f t="shared" ref="CG290:CG291" si="873">IF(CB285="NM","NM",IF(CG285="NM","NM",IF(CB285&lt;=0,"NM",IF(CG285=0,"NM",IF(ABS(CG285/CB285-1)&gt;2.5,"NM",IF((ABS(CG285-CB285)=ABS(ABS(CG285)-ABS(CB285))),(CG285/CB285-1),"NM"))))))</f>
      </c>
      <c r="CH290" s="41" t="str">
        <f t="shared" ref="CH290:CH291" si="874">IF(CC285="NM","NM",IF(CH285="NM","NM",IF(CC285&lt;=0,"NM",IF(CH285=0,"NM",IF(ABS(CH285/CC285-1)&gt;2.5,"NM",IF((ABS(CH285-CC285)=ABS(ABS(CH285)-ABS(CC285))),(CH285/CC285-1),"NM"))))))</f>
      </c>
      <c r="CI290" s="41" t="str">
        <f t="shared" ref="CI290:CI291" si="875">IF(CD285="NM","NM",IF(CI285="NM","NM",IF(CD285&lt;=0,"NM",IF(CI285=0,"NM",IF(ABS(CI285/CD285-1)&gt;2.5,"NM",IF((ABS(CI285-CD285)=ABS(ABS(CI285)-ABS(CD285))),(CI285/CD285-1),"NM"))))))</f>
      </c>
      <c r="CJ290" s="41" t="str">
        <f t="shared" ref="CJ290:CJ291" si="876">IF(CE285="NM","NM",IF(CJ285="NM","NM",IF(CE285&lt;=0,"NM",IF(CJ285=0,"NM",IF(ABS(CJ285/CE285-1)&gt;2.5,"NM",IF((ABS(CJ285-CE285)=ABS(ABS(CJ285)-ABS(CE285))),(CJ285/CE285-1),"NM"))))))</f>
      </c>
      <c r="CK290" s="308" t="str">
        <f>IF(CF285=0, "NA", CK285/CF285-1)</f>
      </c>
      <c r="CL290" s="829" t="str">
        <f t="shared" ref="CL290:CL291" si="877">IF(CG285="NM","NM",IF(CL285="NM","NM",IF(CG285&lt;=0,"NM",IF(CL285=0,"NM",IF(ABS(CL285/CG285-1)&gt;2.5,"NM",IF((ABS(CL285-CG285)=ABS(ABS(CL285)-ABS(CG285))),(CL285/CG285-1),"NM"))))))</f>
      </c>
      <c r="CM290" s="41" t="str">
        <f t="shared" ref="CM290:CM291" si="878">IF(CH285="NM","NM",IF(CM285="NM","NM",IF(CH285&lt;=0,"NM",IF(CM285=0,"NM",IF(ABS(CM285/CH285-1)&gt;2.5,"NM",IF((ABS(CM285-CH285)=ABS(ABS(CM285)-ABS(CH285))),(CM285/CH285-1),"NM"))))))</f>
      </c>
      <c r="CN290" s="41" t="str">
        <f t="shared" ref="CN290:CN291" si="879">IF(CI285="NM","NM",IF(CN285="NM","NM",IF(CI285&lt;=0,"NM",IF(CN285=0,"NM",IF(ABS(CN285/CI285-1)&gt;2.5,"NM",IF((ABS(CN285-CI285)=ABS(ABS(CN285)-ABS(CI285))),(CN285/CI285-1),"NM"))))))</f>
      </c>
      <c r="CO290" s="41" t="str">
        <f t="shared" ref="CO290:CO291" si="880">IF(CJ285="NM","NM",IF(CO285="NM","NM",IF(CJ285&lt;=0,"NM",IF(CO285=0,"NM",IF(ABS(CO285/CJ285-1)&gt;2.5,"NM",IF((ABS(CO285-CJ285)=ABS(ABS(CO285)-ABS(CJ285))),(CO285/CJ285-1),"NM"))))))</f>
      </c>
      <c r="CP290" s="308" t="str">
        <f>IF(CK285=0, "NA", CP285/CK285-1)</f>
      </c>
      <c r="CQ290" s="41" t="str">
        <f t="shared" ref="CQ290:CQ291" si="881">IF(CL285="NM","NM",IF(CQ285="NM","NM",IF(CL285&lt;=0,"NM",IF(CQ285=0,"NM",IF(ABS(CQ285/CL285-1)&gt;2.5,"NM",IF((ABS(CQ285-CL285)=ABS(ABS(CQ285)-ABS(CL285))),(CQ285/CL285-1),"NM"))))))</f>
      </c>
      <c r="CR290" s="41" t="str">
        <f t="shared" ref="CR290:CR291" si="882">IF(CM285="NM","NM",IF(CR285="NM","NM",IF(CM285&lt;=0,"NM",IF(CR285=0,"NM",IF(ABS(CR285/CM285-1)&gt;2.5,"NM",IF((ABS(CR285-CM285)=ABS(ABS(CR285)-ABS(CM285))),(CR285/CM285-1),"NM"))))))</f>
      </c>
      <c r="CS290" s="41" t="str">
        <f t="shared" ref="CS290:CS291" si="883">IF(CN285="NM","NM",IF(CS285="NM","NM",IF(CN285&lt;=0,"NM",IF(CS285=0,"NM",IF(ABS(CS285/CN285-1)&gt;2.5,"NM",IF((ABS(CS285-CN285)=ABS(ABS(CS285)-ABS(CN285))),(CS285/CN285-1),"NM"))))))</f>
      </c>
      <c r="CT290" s="41" t="str">
        <f t="shared" ref="CT290:CT291" si="884">IF(CO285="NM","NM",IF(CT285="NM","NM",IF(CO285&lt;=0,"NM",IF(CT285=0,"NM",IF(ABS(CT285/CO285-1)&gt;2.5,"NM",IF((ABS(CT285-CO285)=ABS(ABS(CT285)-ABS(CO285))),(CT285/CO285-1),"NM"))))))</f>
      </c>
      <c r="CU290" s="308" t="str">
        <f>IF(CP285=0, "NA", CU285/CP285-1)</f>
      </c>
      <c r="CV290" s="41" t="str">
        <f t="shared" ref="CV290:CV291" si="885">IF(CQ285="NM","NM",IF(CV285="NM","NM",IF(CQ285&lt;=0,"NM",IF(CV285=0,"NM",IF(ABS(CV285/CQ285-1)&gt;2.5,"NM",IF((ABS(CV285-CQ285)=ABS(ABS(CV285)-ABS(CQ285))),(CV285/CQ285-1),"NM"))))))</f>
      </c>
      <c r="CW290" s="41" t="str">
        <f t="shared" ref="CW290:CW291" si="886">IF(CR285="NM","NM",IF(CW285="NM","NM",IF(CR285&lt;=0,"NM",IF(CW285=0,"NM",IF(ABS(CW285/CR285-1)&gt;2.5,"NM",IF((ABS(CW285-CR285)=ABS(ABS(CW285)-ABS(CR285))),(CW285/CR285-1),"NM"))))))</f>
      </c>
      <c r="CX290" s="41" t="str">
        <f t="shared" ref="CX290:CX291" si="887">IF(CS285="NM","NM",IF(CX285="NM","NM",IF(CS285&lt;=0,"NM",IF(CX285=0,"NM",IF(ABS(CX285/CS285-1)&gt;2.5,"NM",IF((ABS(CX285-CS285)=ABS(ABS(CX285)-ABS(CS285))),(CX285/CS285-1),"NM"))))))</f>
      </c>
      <c r="CY290" s="41" t="str">
        <f>IF(CT285="NM","NM",IF(CY285="NM","NM",IF(CT285&lt;=0,"NM",IF(CY285=0,"NM",IF(ABS(CY285/CT285-1)&gt;2.5,"NM",IF((ABS(CY285-CT285)=ABS(ABS(CY285)-ABS(CT285))),(CY285/CT285-1),"NM"))))))</f>
      </c>
      <c r="CZ290" s="308" t="str">
        <f>IF(CU285=0, "NA", CZ285/CU285-1)</f>
      </c>
      <c r="DA290" s="41" t="str">
        <f t="shared" ref="DA290:DA291" si="888">IF(CV285="NM","NM",IF(DA285="NM","NM",IF(CV285&lt;=0,"NM",IF(DA285=0,"NM",IF(ABS(DA285/CV285-1)&gt;2.5,"NM",IF((ABS(DA285-CV285)=ABS(ABS(DA285)-ABS(CV285))),(DA285/CV285-1),"NM"))))))</f>
      </c>
      <c r="DB290" s="41" t="str">
        <f t="shared" ref="DB290:DB291" si="889">IF(CW285="NM","NM",IF(DB285="NM","NM",IF(CW285&lt;=0,"NM",IF(DB285=0,"NM",IF(ABS(DB285/CW285-1)&gt;2.5,"NM",IF((ABS(DB285-CW285)=ABS(ABS(DB285)-ABS(CW285))),(DB285/CW285-1),"NM"))))))</f>
      </c>
      <c r="DC290" s="41" t="str">
        <f t="shared" ref="DC290:DC291" si="890">IF(CX285="NM","NM",IF(DC285="NM","NM",IF(CX285&lt;=0,"NM",IF(DC285=0,"NM",IF(ABS(DC285/CX285-1)&gt;2.5,"NM",IF((ABS(DC285-CX285)=ABS(ABS(DC285)-ABS(CX285))),(DC285/CX285-1),"NM"))))))</f>
      </c>
      <c r="DD290" s="927" t="e">
        <f>IF(DD285=0,"NM",+DD285/CY285-1)</f>
      </c>
      <c r="DE290" s="308" t="str">
        <f>IF(CZ285=0, "NA", DE285/CZ285-1)</f>
      </c>
      <c r="DF290" s="30" t="str">
        <f t="shared" ref="DF290:DF291" si="891">IF(DA285="NM","NM",IF(DF285="NM","NM",IF(DA285&lt;=0,"NM",IF(DF285=0,"NM",IF(ABS(DF285/DA285-1)&gt;2.5,"NM",IF((ABS(DF285-DA285)=ABS(ABS(DF285)-ABS(DA285))),(DF285/DA285-1),"NM"))))))</f>
      </c>
      <c r="DG290" s="30" t="str">
        <f t="shared" ref="DG290:DG291" si="892">IF(DB285="NM","NM",IF(DG285="NM","NM",IF(DB285&lt;=0,"NM",IF(DG285=0,"NM",IF(ABS(DG285/DB285-1)&gt;2.5,"NM",IF((ABS(DG285-DB285)=ABS(ABS(DG285)-ABS(DB285))),(DG285/DB285-1),"NM"))))))</f>
      </c>
      <c r="DH290" s="30" t="str">
        <f t="shared" ref="DH290:DH291" si="893">IF(DC285="NM","NM",IF(DH285="NM","NM",IF(DC285&lt;=0,"NM",IF(DH285=0,"NM",IF(ABS(DH285/DC285-1)&gt;2.5,"NM",IF((ABS(DH285-DC285)=ABS(ABS(DH285)-ABS(DC285))),(DH285/DC285-1),"NM"))))))</f>
      </c>
      <c r="DI290" s="928" t="str">
        <f>IF(DI285=0,"NM",+DI285/DD285-1)</f>
      </c>
      <c r="DJ290" s="308"/>
      <c r="DK290" s="30"/>
      <c r="DL290" s="30"/>
      <c r="DM290" s="30"/>
      <c r="DN290" s="928"/>
      <c r="DO290" s="308"/>
      <c r="DP290" s="30"/>
      <c r="DQ290" s="30"/>
      <c r="DR290" s="30"/>
      <c r="DS290" s="30"/>
      <c r="DT290" s="308"/>
      <c r="DU290" s="30"/>
      <c r="DV290" s="30"/>
      <c r="DW290" s="30"/>
      <c r="DX290" s="30"/>
      <c r="DY290" s="308"/>
      <c r="DZ290" s="1703"/>
      <c r="EA290" s="1703"/>
      <c r="EB290" s="1703"/>
      <c r="EC290" s="1703"/>
      <c r="ED290" s="308"/>
      <c r="EE290" s="1703"/>
      <c r="EF290" s="1703"/>
      <c r="EG290" s="1703"/>
      <c r="EH290" s="928"/>
      <c r="EI290" s="836"/>
      <c r="EJ290" s="928">
        <f>EJ285/EI285-1</f>
      </c>
      <c r="EK290" s="928">
        <f t="shared" ref="EK290:ES290" si="894">EK285/EJ285-1</f>
      </c>
      <c r="EL290" s="928">
        <f t="shared" si="894"/>
      </c>
      <c r="EM290" s="928">
        <f t="shared" si="894"/>
      </c>
      <c r="EN290" s="1060">
        <f t="shared" si="894"/>
      </c>
      <c r="EO290" s="928">
        <f t="shared" si="894"/>
      </c>
      <c r="EP290" s="928">
        <f t="shared" si="894"/>
      </c>
      <c r="EQ290" s="928">
        <f t="shared" si="894"/>
      </c>
      <c r="ER290" s="928">
        <f t="shared" si="894"/>
      </c>
      <c r="ES290" s="928">
        <f t="shared" si="894"/>
      </c>
      <c r="ET290" s="316"/>
      <c r="EU290" s="316"/>
      <c r="EV290" s="316"/>
      <c r="EW290" s="316"/>
      <c r="EX290" s="316"/>
    </row>
    <row r="291" spans="1:154" ht="12.75" customHeight="1">
      <c r="B291" s="341" t="s">
        <v>412</v>
      </c>
      <c r="C291" s="1989"/>
      <c r="D291" s="33"/>
      <c r="E291" s="28"/>
      <c r="F291" s="28"/>
      <c r="G291" s="28"/>
      <c r="H291" s="28"/>
      <c r="I291" s="30" t="str">
        <f t="shared" si="803"/>
      </c>
      <c r="J291" s="30" t="str">
        <f t="shared" si="804"/>
      </c>
      <c r="K291" s="30" t="str">
        <f t="shared" si="805"/>
      </c>
      <c r="L291" s="30" t="str">
        <f t="shared" si="806"/>
      </c>
      <c r="M291" s="30" t="str">
        <f t="shared" si="807"/>
      </c>
      <c r="N291" s="30" t="str">
        <f t="shared" si="808"/>
      </c>
      <c r="O291" s="30" t="str">
        <f t="shared" si="809"/>
      </c>
      <c r="P291" s="30" t="str">
        <f t="shared" si="810"/>
      </c>
      <c r="Q291" s="30" t="str">
        <f t="shared" si="811"/>
      </c>
      <c r="R291" s="30" t="str">
        <f t="shared" si="812"/>
      </c>
      <c r="S291" s="30" t="str">
        <f t="shared" si="813"/>
      </c>
      <c r="T291" s="30" t="str">
        <f t="shared" si="814"/>
      </c>
      <c r="U291" s="30" t="str">
        <f t="shared" si="815"/>
      </c>
      <c r="V291" s="30" t="str">
        <f t="shared" si="816"/>
      </c>
      <c r="W291" s="30" t="str">
        <f t="shared" si="817"/>
      </c>
      <c r="X291" s="308" t="str">
        <f t="shared" si="818"/>
      </c>
      <c r="Y291" s="30" t="str">
        <f t="shared" si="819"/>
      </c>
      <c r="Z291" s="30" t="str">
        <f t="shared" si="820"/>
      </c>
      <c r="AA291" s="30" t="str">
        <f t="shared" si="821"/>
      </c>
      <c r="AB291" s="30" t="str">
        <f t="shared" si="822"/>
      </c>
      <c r="AC291" s="308" t="str">
        <f t="shared" si="823"/>
      </c>
      <c r="AD291" s="30" t="str">
        <f t="shared" si="824"/>
      </c>
      <c r="AE291" s="30" t="str">
        <f t="shared" si="825"/>
      </c>
      <c r="AF291" s="30" t="str">
        <f t="shared" si="826"/>
      </c>
      <c r="AG291" s="30" t="str">
        <f t="shared" si="827"/>
      </c>
      <c r="AH291" s="308" t="str">
        <f t="shared" si="828"/>
      </c>
      <c r="AI291" s="30" t="str">
        <f t="shared" si="829"/>
      </c>
      <c r="AJ291" s="30" t="str">
        <f t="shared" si="830"/>
      </c>
      <c r="AK291" s="30" t="str">
        <f t="shared" si="831"/>
      </c>
      <c r="AL291" s="30" t="str">
        <f t="shared" si="832"/>
      </c>
      <c r="AM291" s="308" t="str">
        <f t="shared" si="833"/>
      </c>
      <c r="AN291" s="30" t="str">
        <f t="shared" si="834"/>
      </c>
      <c r="AO291" s="30" t="str">
        <f t="shared" si="835"/>
      </c>
      <c r="AP291" s="30" t="str">
        <f t="shared" si="836"/>
      </c>
      <c r="AQ291" s="30" t="str">
        <f t="shared" si="837"/>
      </c>
      <c r="AR291" s="308" t="str">
        <f t="shared" si="838"/>
      </c>
      <c r="AS291" s="30" t="str">
        <f t="shared" si="839"/>
      </c>
      <c r="AT291" s="30" t="str">
        <f t="shared" si="840"/>
      </c>
      <c r="AU291" s="30" t="str">
        <f t="shared" si="841"/>
      </c>
      <c r="AV291" s="30" t="str">
        <f t="shared" si="842"/>
      </c>
      <c r="AW291" s="308" t="str">
        <f t="shared" si="843"/>
      </c>
      <c r="AX291" s="30" t="str">
        <f t="shared" si="844"/>
      </c>
      <c r="AY291" s="30" t="str">
        <f t="shared" si="845"/>
      </c>
      <c r="AZ291" s="30" t="str">
        <f t="shared" si="846"/>
      </c>
      <c r="BA291" s="30" t="str">
        <f t="shared" si="847"/>
      </c>
      <c r="BB291" s="308" t="str">
        <f t="shared" si="848"/>
      </c>
      <c r="BC291" s="30" t="str">
        <f t="shared" si="849"/>
      </c>
      <c r="BD291" s="30" t="str">
        <f t="shared" si="850"/>
      </c>
      <c r="BE291" s="30" t="str">
        <f t="shared" si="851"/>
      </c>
      <c r="BF291" s="30" t="str">
        <f t="shared" si="852"/>
      </c>
      <c r="BG291" s="308" t="str">
        <f t="shared" si="853"/>
      </c>
      <c r="BH291" s="30" t="str">
        <f t="shared" si="854"/>
      </c>
      <c r="BI291" s="30" t="str">
        <f t="shared" si="855"/>
      </c>
      <c r="BJ291" s="30" t="str">
        <f t="shared" si="856"/>
      </c>
      <c r="BK291" s="30" t="str">
        <f t="shared" si="857"/>
      </c>
      <c r="BL291" s="315" t="str">
        <f t="shared" si="858"/>
      </c>
      <c r="BM291" s="30" t="str">
        <f t="shared" si="859"/>
      </c>
      <c r="BN291" s="30" t="str">
        <f t="shared" si="860"/>
      </c>
      <c r="BO291" s="30" t="str">
        <f t="shared" si="861"/>
      </c>
      <c r="BP291" s="30" t="str">
        <f t="shared" si="862"/>
      </c>
      <c r="BQ291" s="315" t="str">
        <f t="shared" si="863"/>
      </c>
      <c r="BR291" s="30" t="str">
        <f t="shared" si="863"/>
      </c>
      <c r="BS291" s="30" t="str">
        <f t="shared" si="864"/>
      </c>
      <c r="BT291" s="30" t="str">
        <f t="shared" si="865"/>
      </c>
      <c r="BU291" s="30" t="str">
        <f t="shared" si="866"/>
      </c>
      <c r="BV291" s="315" t="str">
        <f t="shared" si="866"/>
      </c>
      <c r="BW291" s="830" t="str">
        <f t="shared" si="867"/>
      </c>
      <c r="BX291" s="30" t="str">
        <f t="shared" si="868"/>
      </c>
      <c r="BY291" s="30" t="str">
        <f t="shared" si="869"/>
      </c>
      <c r="BZ291" s="30" t="str">
        <f>IF(BU286="NM","NM",IF(BZ286="NM","NM",IF(BU286&lt;=0,"NM",IF(BZ286=0,"NM",IF(ABS(BZ286/BU286-1)&gt;2.5,"NM",IF((ABS(BZ286-BU286)=ABS(ABS(BZ286)-ABS(BU286))),(BZ286/BU286-1),"NM"))))))</f>
      </c>
      <c r="CA291" s="308" t="e">
        <f>CA286/BV286-1</f>
      </c>
      <c r="CB291" s="830" t="str">
        <f t="shared" si="870"/>
      </c>
      <c r="CC291" s="30" t="str">
        <f t="shared" si="871"/>
      </c>
      <c r="CD291" s="30" t="str">
        <f t="shared" si="872"/>
      </c>
      <c r="CE291" s="30" t="str">
        <f>IF(BZ286="NM","NM",IF(CE286="NM","NM",IF(BZ286&lt;=0,"NM",IF(CE286=0,"NM",IF(ABS(CE286/BZ286-1)&gt;2.5,"NM",IF((ABS(CE286-BZ286)=ABS(ABS(CE286)-ABS(BZ286))),(CE286/BZ286-1),"NM"))))))</f>
      </c>
      <c r="CF291" s="308" t="e">
        <f>CF286/CA286-1</f>
      </c>
      <c r="CG291" s="830" t="str">
        <f t="shared" si="873"/>
      </c>
      <c r="CH291" s="30" t="str">
        <f t="shared" si="874"/>
      </c>
      <c r="CI291" s="30" t="str">
        <f t="shared" si="875"/>
      </c>
      <c r="CJ291" s="30" t="str">
        <f t="shared" si="876"/>
      </c>
      <c r="CK291" s="308" t="str">
        <f>IF(CF286=0, "NA", CK286/CF286-1)</f>
      </c>
      <c r="CL291" s="830" t="str">
        <f t="shared" si="877"/>
      </c>
      <c r="CM291" s="30" t="str">
        <f t="shared" si="878"/>
      </c>
      <c r="CN291" s="30" t="str">
        <f t="shared" si="879"/>
      </c>
      <c r="CO291" s="30" t="str">
        <f t="shared" si="880"/>
      </c>
      <c r="CP291" s="308" t="str">
        <f>IF(CK286=0, "NA", CP286/CK286-1)</f>
      </c>
      <c r="CQ291" s="30" t="str">
        <f t="shared" si="881"/>
      </c>
      <c r="CR291" s="30" t="str">
        <f t="shared" si="882"/>
      </c>
      <c r="CS291" s="30" t="str">
        <f t="shared" si="883"/>
      </c>
      <c r="CT291" s="30" t="str">
        <f t="shared" si="884"/>
      </c>
      <c r="CU291" s="308" t="str">
        <f>IF(CP286=0, "NA", CU286/CP286-1)</f>
      </c>
      <c r="CV291" s="30" t="str">
        <f t="shared" si="885"/>
      </c>
      <c r="CW291" s="30" t="str">
        <f t="shared" si="886"/>
      </c>
      <c r="CX291" s="30" t="str">
        <f t="shared" si="887"/>
      </c>
      <c r="CY291" s="30" t="str">
        <f>IF(CT286="NM","NM",IF(CY286="NM","NM",IF(CT286&lt;=0,"NM",IF(CY286=0,"NM",IF(ABS(CY286/CT286-1)&gt;2.5,"NM",IF((ABS(CY286-CT286)=ABS(ABS(CY286)-ABS(CT286))),(CY286/CT286-1),"NM"))))))</f>
      </c>
      <c r="CZ291" s="308" t="str">
        <f>IF(CU286=0, "NA", CZ286/CU286-1)</f>
      </c>
      <c r="DA291" s="30" t="str">
        <f t="shared" si="888"/>
      </c>
      <c r="DB291" s="30" t="str">
        <f t="shared" si="889"/>
      </c>
      <c r="DC291" s="30" t="str">
        <f t="shared" si="890"/>
      </c>
      <c r="DD291" s="960" t="str">
        <f>IF(DD286=0, "NM", DD286/CY286-1)</f>
      </c>
      <c r="DE291" s="308" t="str">
        <f>IF(CZ286=0, "NA", DE286/CZ286-1)</f>
      </c>
      <c r="DF291" s="30" t="str">
        <f t="shared" si="891"/>
      </c>
      <c r="DG291" s="30" t="str">
        <f t="shared" si="892"/>
      </c>
      <c r="DH291" s="30" t="str">
        <f t="shared" si="893"/>
      </c>
      <c r="DI291" s="928" t="str">
        <f>IF(DI286=0, "NM", DI286/DD286-1)</f>
      </c>
      <c r="DJ291" s="308"/>
      <c r="DK291" s="30"/>
      <c r="DL291" s="30"/>
      <c r="DM291" s="30"/>
      <c r="DN291" s="928"/>
      <c r="DO291" s="308"/>
      <c r="DP291" s="30"/>
      <c r="DQ291" s="30"/>
      <c r="DR291" s="30"/>
      <c r="DS291" s="30"/>
      <c r="DT291" s="308"/>
      <c r="DU291" s="30"/>
      <c r="DV291" s="30"/>
      <c r="DW291" s="30"/>
      <c r="DX291" s="30"/>
      <c r="DY291" s="308"/>
      <c r="DZ291" s="30"/>
      <c r="EA291" s="926"/>
      <c r="EB291" s="926"/>
      <c r="EC291" s="928"/>
      <c r="ED291" s="308"/>
      <c r="EE291" s="30"/>
      <c r="EF291" s="926"/>
      <c r="EG291" s="926"/>
      <c r="EH291" s="928"/>
      <c r="EI291" s="308"/>
      <c r="EJ291" s="928"/>
      <c r="EK291" s="928"/>
      <c r="EL291" s="928">
        <f t="shared" ref="EL291:ES291" si="895">EL286/EK286-1</f>
      </c>
      <c r="EM291" s="928">
        <f t="shared" si="895"/>
      </c>
      <c r="EN291" s="1060">
        <f t="shared" si="895"/>
      </c>
      <c r="EO291" s="928">
        <f t="shared" si="895"/>
      </c>
      <c r="EP291" s="928">
        <f t="shared" si="895"/>
      </c>
      <c r="EQ291" s="928">
        <f t="shared" si="895"/>
      </c>
      <c r="ER291" s="928">
        <f t="shared" si="895"/>
      </c>
      <c r="ES291" s="928">
        <f t="shared" si="895"/>
      </c>
      <c r="ET291" s="308"/>
      <c r="EU291" s="308"/>
      <c r="EV291" s="308"/>
      <c r="EW291" s="308"/>
      <c r="EX291" s="308"/>
    </row>
    <row r="292" spans="1:154" ht="12.75" customHeight="1">
      <c r="B292" s="341" t="s">
        <v>413</v>
      </c>
      <c r="C292" s="1989"/>
      <c r="D292" s="33"/>
      <c r="E292" s="28"/>
      <c r="F292" s="28"/>
      <c r="G292" s="28"/>
      <c r="H292" s="28"/>
      <c r="I292" s="30" t="str">
        <f t="shared" ref="I292:AN292" si="896">IF(D287="NM","NM",IF(I287="NM","NM",IF(D287&lt;=0,"NM",IF(I287=0,"NM",IF(ABS(I287/D287-1)&gt;2.5,"NM",IF((ABS(I287-D287)=ABS(ABS(I287)-ABS(D287))),(I287/D287-1),"NM"))))))</f>
      </c>
      <c r="J292" s="30" t="str">
        <f t="shared" si="896"/>
      </c>
      <c r="K292" s="30" t="str">
        <f t="shared" si="896"/>
      </c>
      <c r="L292" s="30" t="str">
        <f t="shared" si="896"/>
      </c>
      <c r="M292" s="30" t="str">
        <f t="shared" si="896"/>
      </c>
      <c r="N292" s="30" t="str">
        <f t="shared" si="896"/>
      </c>
      <c r="O292" s="30" t="str">
        <f t="shared" si="896"/>
      </c>
      <c r="P292" s="30" t="str">
        <f t="shared" si="896"/>
      </c>
      <c r="Q292" s="30" t="str">
        <f t="shared" si="896"/>
      </c>
      <c r="R292" s="30" t="str">
        <f t="shared" si="896"/>
      </c>
      <c r="S292" s="30" t="str">
        <f t="shared" si="896"/>
      </c>
      <c r="T292" s="30" t="str">
        <f t="shared" si="896"/>
      </c>
      <c r="U292" s="30" t="str">
        <f t="shared" si="896"/>
      </c>
      <c r="V292" s="30" t="str">
        <f t="shared" si="896"/>
      </c>
      <c r="W292" s="30" t="str">
        <f t="shared" si="896"/>
      </c>
      <c r="X292" s="308" t="str">
        <f t="shared" si="896"/>
      </c>
      <c r="Y292" s="30" t="str">
        <f t="shared" si="896"/>
      </c>
      <c r="Z292" s="30" t="str">
        <f t="shared" si="896"/>
      </c>
      <c r="AA292" s="30" t="str">
        <f t="shared" si="896"/>
      </c>
      <c r="AB292" s="30" t="str">
        <f t="shared" si="896"/>
      </c>
      <c r="AC292" s="308" t="str">
        <f t="shared" si="896"/>
      </c>
      <c r="AD292" s="30" t="str">
        <f t="shared" si="896"/>
      </c>
      <c r="AE292" s="30" t="str">
        <f t="shared" si="896"/>
      </c>
      <c r="AF292" s="30" t="str">
        <f t="shared" si="896"/>
      </c>
      <c r="AG292" s="30" t="str">
        <f t="shared" si="896"/>
      </c>
      <c r="AH292" s="308" t="str">
        <f t="shared" si="896"/>
      </c>
      <c r="AI292" s="30" t="str">
        <f t="shared" si="896"/>
      </c>
      <c r="AJ292" s="30" t="str">
        <f t="shared" si="896"/>
      </c>
      <c r="AK292" s="30" t="str">
        <f t="shared" si="896"/>
      </c>
      <c r="AL292" s="30" t="str">
        <f t="shared" si="896"/>
      </c>
      <c r="AM292" s="308" t="str">
        <f t="shared" si="896"/>
      </c>
      <c r="AN292" s="30" t="str">
        <f t="shared" si="896"/>
      </c>
      <c r="AO292" s="30" t="str">
        <f t="shared" ref="AO292:BP292" si="897">IF(AJ287="NM","NM",IF(AO287="NM","NM",IF(AJ287&lt;=0,"NM",IF(AO287=0,"NM",IF(ABS(AO287/AJ287-1)&gt;2.5,"NM",IF((ABS(AO287-AJ287)=ABS(ABS(AO287)-ABS(AJ287))),(AO287/AJ287-1),"NM"))))))</f>
      </c>
      <c r="AP292" s="30" t="str">
        <f t="shared" si="897"/>
      </c>
      <c r="AQ292" s="30" t="str">
        <f t="shared" si="897"/>
      </c>
      <c r="AR292" s="308" t="str">
        <f t="shared" si="897"/>
      </c>
      <c r="AS292" s="30" t="str">
        <f t="shared" si="897"/>
      </c>
      <c r="AT292" s="30" t="str">
        <f t="shared" si="897"/>
      </c>
      <c r="AU292" s="30" t="str">
        <f t="shared" si="897"/>
      </c>
      <c r="AV292" s="30" t="str">
        <f t="shared" si="897"/>
      </c>
      <c r="AW292" s="308" t="str">
        <f t="shared" si="897"/>
      </c>
      <c r="AX292" s="30" t="str">
        <f t="shared" si="897"/>
      </c>
      <c r="AY292" s="30" t="str">
        <f t="shared" si="897"/>
      </c>
      <c r="AZ292" s="30" t="str">
        <f t="shared" si="897"/>
      </c>
      <c r="BA292" s="30" t="str">
        <f t="shared" si="897"/>
      </c>
      <c r="BB292" s="308" t="str">
        <f t="shared" si="897"/>
      </c>
      <c r="BC292" s="30" t="str">
        <f t="shared" si="897"/>
      </c>
      <c r="BD292" s="30" t="str">
        <f t="shared" si="897"/>
      </c>
      <c r="BE292" s="30" t="str">
        <f t="shared" si="897"/>
      </c>
      <c r="BF292" s="30" t="str">
        <f t="shared" si="897"/>
      </c>
      <c r="BG292" s="308" t="str">
        <f t="shared" si="897"/>
      </c>
      <c r="BH292" s="30" t="str">
        <f t="shared" si="897"/>
      </c>
      <c r="BI292" s="30" t="str">
        <f t="shared" si="897"/>
      </c>
      <c r="BJ292" s="30" t="str">
        <f t="shared" si="897"/>
      </c>
      <c r="BK292" s="30" t="str">
        <f t="shared" si="897"/>
      </c>
      <c r="BL292" s="315" t="str">
        <f t="shared" si="897"/>
      </c>
      <c r="BM292" s="30" t="str">
        <f t="shared" si="897"/>
      </c>
      <c r="BN292" s="30" t="str">
        <f t="shared" si="897"/>
      </c>
      <c r="BO292" s="30" t="str">
        <f t="shared" si="897"/>
      </c>
      <c r="BP292" s="30" t="str">
        <f t="shared" si="897"/>
      </c>
      <c r="BQ292" s="315" t="str">
        <f t="shared" si="863"/>
      </c>
      <c r="BR292" s="30" t="str">
        <f t="shared" si="863"/>
      </c>
      <c r="BS292" s="30" t="str">
        <f>IF(BN287="NM","NM",IF(BS287="NM","NM",IF(BN287&lt;=0,"NM",IF(BS287=0,"NM",IF(ABS(BS287/BN287-1)&gt;2.5,"NM",IF((ABS(BS287-BN287)=ABS(ABS(BS287)-ABS(BN287))),(BS287/BN287-1),"NM"))))))</f>
      </c>
      <c r="BT292" s="30" t="str">
        <f>IF(BO287="NM","NM",IF(BT287="NM","NM",IF(BO287&lt;=0,"NM",IF(BT287=0,"NM",IF(ABS(BT287/BO287-1)&gt;2.5,"NM",IF((ABS(BT287-BO287)=ABS(ABS(BT287)-ABS(BO287))),(BT287/BO287-1),"NM"))))))</f>
      </c>
      <c r="BU292" s="30" t="str">
        <f t="shared" si="866"/>
      </c>
      <c r="BV292" s="315" t="str">
        <f t="shared" si="866"/>
      </c>
      <c r="BW292" s="30" t="str">
        <f>IF(BR287="NM","NM",IF(BW287="NM","NM",IF(BR287&lt;=0,"NM",IF(BW287=0,"NM",IF(ABS(BW287/BR287-1)&gt;2.5,"NM",IF((ABS(BW287-BR287)=ABS(ABS(BW287)-ABS(BR287))),(BW287/BR287-1),"NM"))))))</f>
      </c>
      <c r="BX292" s="30" t="str">
        <f>IF(BS287="NM","NM",IF(BX287="NM","NM",IF(BS287&lt;=0,"NM",IF(BX287=0,"NM",IF(ABS(BX287/BS287-1)&gt;2.5,"NM",IF((ABS(BX287-BS287)=ABS(ABS(BX287)-ABS(BS287))),(BX287/BS287-1),"NM"))))))</f>
      </c>
      <c r="BY292" s="30" t="str">
        <f>IF(BT287="NM","NM",IF(BY287="NM","NM",IF(BT287&lt;=0,"NM",IF(BY287=0,"NM",IF(ABS(BY287/BT287-1)&gt;2.5,"NM",IF((ABS(BY287-BT287)=ABS(ABS(BY287)-ABS(BT287))),(BY287/BT287-1),"NM"))))))</f>
      </c>
      <c r="BZ292" s="30" t="str">
        <f>IF(BU287="NM","NM",IF(BZ287="NM","NM",IF(BU287&lt;=0,"NM",IF(BZ287=0,"NM",IF(ABS(BZ287/BU287-1)&gt;2.5,"NM",IF((ABS(BZ287-BU287)=ABS(ABS(BZ287)-ABS(BU287))),(BZ287/BU287-1),"NM"))))))</f>
      </c>
      <c r="CA292" s="308" t="str">
        <f>IF(BV287="NM","NM",IF(CA287="NM","NM",IF(BV287&lt;=0,"NM",IF(CA287=0,"NM",IF(ABS(CA287/BV287-1)&gt;2.5,"NM",IF((ABS(CA287-BV287)=ABS(ABS(CA287)-ABS(BV287))),(CA287/BV287-1),"NM"))))))</f>
      </c>
      <c r="CB292" s="30" t="str">
        <f>IF(BW287="NM","NM",IF(CB287="NM","NM",IF(BW287&lt;=0,"NM",IF(CB287=0,"NM",IF(ABS(CB287/BW287-1)&gt;2.5,"NM",IF((ABS(CB287-BW287)=ABS(ABS(CB287)-ABS(BW287))),(CB287/BW287-1),"NM"))))))</f>
      </c>
      <c r="CC292" s="30" t="str">
        <f>IF(BX287="NM","NM",IF(CC287="NM","NM",IF(BX287&lt;=0,"NM",IF(CC287=0,"NM",IF(ABS(CC287/BX287-1)&gt;2.5,"NM",IF((ABS(CC287-BX287)=ABS(ABS(CC287)-ABS(BX287))),(CC287/BX287-1),"NM"))))))</f>
      </c>
      <c r="CD292" s="30" t="str">
        <f>IF(BY287="NM","NM",IF(CD287="NM","NM",IF(BY287&lt;=0,"NM",IF(CD287=0,"NM",IF(ABS(CD287/BY287-1)&gt;2.5,"NM",IF((ABS(CD287-BY287)=ABS(ABS(CD287)-ABS(BY287))),(CD287/BY287-1),"NM"))))))</f>
      </c>
      <c r="CE292" s="30" t="str">
        <f>IF(BZ287="NM","NM",IF(CE287="NM","NM",IF(BZ287&lt;=0,"NM",IF(CE287=0,"NM",IF(ABS(CE287/BZ287-1)&gt;2.5,"NM",IF((ABS(CE287-BZ287)=ABS(ABS(CE287)-ABS(BZ287))),(CE287/BZ287-1),"NM"))))))</f>
      </c>
      <c r="CF292" s="308" t="str">
        <f>IF(CA287="NM","NM",IF(CF287="NM","NM",IF(CA287&lt;=0,"NM",IF(CF287=0,"NM",IF(ABS(CF287/CA287-1)&gt;2.5,"NM",IF((ABS(CF287-CA287)=ABS(ABS(CF287)-ABS(CA287))),(CF287/CA287-1),"NM"))))))</f>
      </c>
      <c r="CG292" s="30" t="str">
        <f>IF(CB287="NM","NM",IF(CG287="NM","NM",IF(CB287&lt;=0,"NM",IF(CG287=0,"NM",IF(ABS(CG287/CB287-1)&gt;2.5,"NM",IF((ABS(CG287-CB287)=ABS(ABS(CG287)-ABS(CB287))),(CG287/CB287-1),"NM"))))))</f>
      </c>
      <c r="CH292" s="30" t="str">
        <f>IF(CC287="NM","NM",IF(CH287="NM","NM",IF(CC287&lt;=0,"NM",IF(CH287=0,"NM",IF(ABS(CH287/CC287-1)&gt;2.5,"NM",IF((ABS(CH287-CC287)=ABS(ABS(CH287)-ABS(CC287))),(CH287/CC287-1),"NM"))))))</f>
      </c>
      <c r="CI292" s="30" t="str">
        <f>IF(CD287="NM","NM",IF(CI287="NM","NM",IF(CD287&lt;=0,"NM",IF(CI287=0,"NM",IF(ABS(CI287/CD287-1)&gt;2.5,"NM",IF((ABS(CI287-CD287)=ABS(ABS(CI287)-ABS(CD287))),(CI287/CD287-1),"NM"))))))</f>
      </c>
      <c r="CJ292" s="30" t="str">
        <f>IF(CE287="NM","NM",IF(CJ287="NM","NM",IF(CE287&lt;=0,"NM",IF(CJ287=0,"NM",IF(ABS(CJ287/CE287-1)&gt;2.5,"NM",IF((ABS(CJ287-CE287)=ABS(ABS(CJ287)-ABS(CE287))),(CJ287/CE287-1),"NM"))))))</f>
      </c>
      <c r="CK292" s="308" t="str">
        <f>IF(CF287=0, "NA", CK287/CF287-1)</f>
      </c>
      <c r="CL292" s="30" t="str">
        <f>IF(CG287="NM","NM",IF(CL287="NM","NM",IF(CG287&lt;=0,"NM",IF(CL287=0,"NM",IF(ABS(CL287/CG287-1)&gt;2.5,"NM",IF((ABS(CL287-CG287)=ABS(ABS(CL287)-ABS(CG287))),(CL287/CG287-1),"NM"))))))</f>
      </c>
      <c r="CM292" s="30" t="str">
        <f>IF(CH287="NM","NM",IF(CM287="NM","NM",IF(CH287&lt;=0,"NM",IF(CM287=0,"NM",IF(ABS(CM287/CH287-1)&gt;2.5,"NM",IF((ABS(CM287-CH287)=ABS(ABS(CM287)-ABS(CH287))),(CM287/CH287-1),"NM"))))))</f>
      </c>
      <c r="CN292" s="30" t="str">
        <f>IF(CI287="NM","NM",IF(CN287="NM","NM",IF(CI287&lt;=0,"NM",IF(CN287=0,"NM",IF(ABS(CN287/CI287-1)&gt;2.5,"NM",IF((ABS(CN287-CI287)=ABS(ABS(CN287)-ABS(CI287))),(CN287/CI287-1),"NM"))))))</f>
      </c>
      <c r="CO292" s="30" t="str">
        <f>IF(CJ287="NM","NM",IF(CO287="NM","NM",IF(CJ287&lt;=0,"NM",IF(CO287=0,"NM",IF(ABS(CO287/CJ287-1)&gt;2.5,"NM",IF((ABS(CO287-CJ287)=ABS(ABS(CO287)-ABS(CJ287))),(CO287/CJ287-1),"NM"))))))</f>
      </c>
      <c r="CP292" s="308" t="str">
        <f>IF(CK287=0, "NA", CP287/CK287-1)</f>
      </c>
      <c r="CQ292" s="30" t="str">
        <f>IF(CL287="NM","NM",IF(CQ287="NM","NM",IF(CL287&lt;=0,"NM",IF(CQ287=0,"NM",IF(ABS(CQ287/CL287-1)&gt;2.5,"NM",IF((ABS(CQ287-CL287)=ABS(ABS(CQ287)-ABS(CL287))),(CQ287/CL287-1),"NM"))))))</f>
      </c>
      <c r="CR292" s="30" t="str">
        <f>IF(CM287="NM","NM",IF(CR287="NM","NM",IF(CM287&lt;=0,"NM",IF(CR287=0,"NM",IF(ABS(CR287/CM287-1)&gt;2.5,"NM",IF((ABS(CR287-CM287)=ABS(ABS(CR287)-ABS(CM287))),(CR287/CM287-1),"NM"))))))</f>
      </c>
      <c r="CS292" s="30" t="str">
        <f>IF(CN287="NM","NM",IF(CS287="NM","NM",IF(CN287&lt;=0,"NM",IF(CS287=0,"NM",IF(ABS(CS287/CN287-1)&gt;2.5,"NM",IF((ABS(CS287-CN287)=ABS(ABS(CS287)-ABS(CN287))),(CS287/CN287-1),"NM"))))))</f>
      </c>
      <c r="CT292" s="30" t="str">
        <f>IF(CO287="NM","NM",IF(CT287="NM","NM",IF(CO287&lt;=0,"NM",IF(CT287=0,"NM",IF(ABS(CT287/CO287-1)&gt;2.5,"NM",IF((ABS(CT287-CO287)=ABS(ABS(CT287)-ABS(CO287))),(CT287/CO287-1),"NM"))))))</f>
      </c>
      <c r="CU292" s="308" t="str">
        <f>IF(CP287=0, "NA", CU287/CP287-1)</f>
      </c>
      <c r="CV292" s="30" t="str">
        <f>IF(CQ287="NM","NM",IF(CV287="NM","NM",IF(CQ287&lt;=0,"NM",IF(CV287=0,"NM",IF(ABS(CV287/CQ287-1)&gt;2.5,"NM",IF((ABS(CV287-CQ287)=ABS(ABS(CV287)-ABS(CQ287))),(CV287/CQ287-1),"NM"))))))</f>
      </c>
      <c r="CW292" s="30" t="str">
        <f>IF(CR287="NM","NM",IF(CW287="NM","NM",IF(CR287&lt;=0,"NM",IF(CW287=0,"NM",IF(ABS(CW287/CR287-1)&gt;2.5,"NM",IF((ABS(CW287-CR287)=ABS(ABS(CW287)-ABS(CR287))),(CW287/CR287-1),"NM"))))))</f>
      </c>
      <c r="CX292" s="30" t="str">
        <f>IF(CS287="NM","NM",IF(CX287="NM","NM",IF(CS287&lt;=0,"NM",IF(CX287=0,"NM",IF(ABS(CX287/CS287-1)&gt;2.5,"NM",IF((ABS(CX287-CS287)=ABS(ABS(CX287)-ABS(CS287))),(CX287/CS287-1),"NM"))))))</f>
      </c>
      <c r="CY292" s="30" t="str">
        <f>IF(CT287="NM","NM",IF(CY287="NM","NM",IF(CT287&lt;=0,"NM",IF(CY287=0,"NM",IF(ABS(CY287/CT287-1)&gt;2.5,"NM",IF((ABS(CY287-CT287)=ABS(ABS(CY287)-ABS(CT287))),(CY287/CT287-1),"NM"))))))</f>
      </c>
      <c r="CZ292" s="308" t="str">
        <f>IF(CU287=0, "NA", CZ287/CU287-1)</f>
      </c>
      <c r="DA292" s="30" t="str">
        <f>IF(CV287="NM","NM",IF(DA287="NM","NM",IF(CV287&lt;=0,"NM",IF(DA287=0,"NM",IF(ABS(DA287/CV287-1)&gt;2.5,"NM",IF((ABS(DA287-CV287)=ABS(ABS(DA287)-ABS(CV287))),(DA287/CV287-1),"NM"))))))</f>
      </c>
      <c r="DB292" s="926" t="str">
        <f>IF(CW287=0, "NA", DB287/CW287-1)</f>
      </c>
      <c r="DC292" s="926" t="str">
        <f>IF(CX287=0, "NA", DC287/CX287-1)</f>
      </c>
      <c r="DD292" s="928" t="str">
        <f>IF(CY287=0, "NM", DD287/CY287-1)</f>
      </c>
      <c r="DE292" s="308" t="str">
        <f>IF(CZ287=0, "NA", DE287/CZ287-1)</f>
      </c>
      <c r="DF292" s="926" t="str">
        <f>IF(DA287=0, "NA", DF287/DA287-1)</f>
      </c>
      <c r="DG292" s="926" t="str">
        <f>IF(DB287=0, "NA", DG287/DB287-1)</f>
      </c>
      <c r="DH292" s="926">
        <f>IF(DC287=0, "NA", DH287/DC287-1)</f>
      </c>
      <c r="DI292" s="928">
        <f>IF(DD287=0, "NM", DI287/DD287-1)</f>
      </c>
      <c r="DJ292" s="308"/>
      <c r="DK292" s="926"/>
      <c r="DL292" s="926"/>
      <c r="DM292" s="926"/>
      <c r="DN292" s="928"/>
      <c r="DO292" s="308"/>
      <c r="DP292" s="926"/>
      <c r="DQ292" s="926"/>
      <c r="DR292" s="926"/>
      <c r="DS292" s="928"/>
      <c r="DT292" s="308"/>
      <c r="DU292" s="926"/>
      <c r="DV292" s="926"/>
      <c r="DW292" s="926"/>
      <c r="DX292" s="926"/>
      <c r="DY292" s="308"/>
      <c r="DZ292" s="926"/>
      <c r="EA292" s="926"/>
      <c r="EB292" s="926"/>
      <c r="EC292" s="928"/>
      <c r="ED292" s="308"/>
      <c r="EE292" s="926"/>
      <c r="EF292" s="926"/>
      <c r="EG292" s="926"/>
      <c r="EH292" s="928"/>
      <c r="EI292" s="308"/>
      <c r="EJ292" s="308">
        <f>IF(EI287=0, "NA", EJ287/EI287-1)</f>
      </c>
      <c r="EK292" s="308">
        <f t="shared" ref="EK292:ES292" si="898">IF(EJ287=0, "NA", EK287/EJ287-1)</f>
      </c>
      <c r="EL292" s="308">
        <f t="shared" si="898"/>
      </c>
      <c r="EM292" s="308">
        <f t="shared" si="898"/>
      </c>
      <c r="EN292" s="308">
        <f t="shared" si="898"/>
      </c>
      <c r="EO292" s="308">
        <f t="shared" si="898"/>
      </c>
      <c r="EP292" s="308">
        <f t="shared" si="898"/>
      </c>
      <c r="EQ292" s="308">
        <f t="shared" si="898"/>
      </c>
      <c r="ER292" s="308">
        <f t="shared" si="898"/>
      </c>
      <c r="ES292" s="308">
        <f t="shared" si="898"/>
      </c>
      <c r="ET292" s="308"/>
      <c r="EU292" s="308"/>
      <c r="EV292" s="308"/>
      <c r="EW292" s="308"/>
      <c r="EX292" s="308"/>
    </row>
    <row r="293" spans="1:154">
      <c r="A293" s="3281"/>
      <c r="B293" s="907"/>
      <c r="C293" s="2010"/>
      <c r="D293" s="894"/>
      <c r="E293" s="894"/>
      <c r="F293" s="895"/>
      <c r="G293" s="895"/>
      <c r="H293" s="895"/>
      <c r="I293" s="895"/>
      <c r="J293" s="895"/>
      <c r="K293" s="895"/>
      <c r="L293" s="895"/>
      <c r="M293" s="895"/>
      <c r="N293" s="895"/>
      <c r="O293" s="896"/>
      <c r="P293" s="895"/>
      <c r="Q293" s="895"/>
      <c r="R293" s="895"/>
      <c r="S293" s="895"/>
      <c r="T293" s="896"/>
      <c r="U293" s="895"/>
      <c r="V293" s="895"/>
      <c r="W293" s="895"/>
      <c r="X293" s="899"/>
      <c r="Y293" s="896"/>
      <c r="Z293" s="895"/>
      <c r="AA293" s="895"/>
      <c r="AB293" s="895"/>
      <c r="AC293" s="899"/>
      <c r="AD293" s="896"/>
      <c r="AE293" s="895"/>
      <c r="AF293" s="895"/>
      <c r="AG293" s="895"/>
      <c r="AH293" s="899"/>
      <c r="AI293" s="896"/>
      <c r="AJ293" s="895"/>
      <c r="AK293" s="895"/>
      <c r="AL293" s="895"/>
      <c r="AM293" s="899"/>
      <c r="AN293" s="896"/>
      <c r="AO293" s="895"/>
      <c r="AP293" s="895"/>
      <c r="AQ293" s="897"/>
      <c r="AR293" s="899"/>
      <c r="AS293" s="896"/>
      <c r="AT293" s="895"/>
      <c r="AU293" s="895"/>
      <c r="AV293" s="895"/>
      <c r="AW293" s="899"/>
      <c r="AX293" s="896"/>
      <c r="AY293" s="895"/>
      <c r="AZ293" s="895"/>
      <c r="BA293" s="895"/>
      <c r="BB293" s="899"/>
      <c r="BC293" s="896"/>
      <c r="BD293" s="895"/>
      <c r="BE293" s="895"/>
      <c r="BF293" s="895"/>
      <c r="BG293" s="899"/>
      <c r="BH293" s="896"/>
      <c r="BI293" s="895"/>
      <c r="BJ293" s="895"/>
      <c r="BK293" s="895"/>
      <c r="BL293" s="899"/>
      <c r="BM293" s="895"/>
      <c r="BN293" s="895"/>
      <c r="BO293" s="895"/>
      <c r="BP293" s="895"/>
      <c r="BQ293" s="899"/>
      <c r="BR293" s="895"/>
      <c r="BS293" s="895"/>
      <c r="BT293" s="895"/>
      <c r="BU293" s="895"/>
      <c r="BV293" s="899"/>
      <c r="BW293" s="895"/>
      <c r="BX293" s="895"/>
      <c r="BY293" s="895"/>
      <c r="BZ293" s="895"/>
      <c r="CA293" s="899"/>
      <c r="CB293" s="895"/>
      <c r="CC293" s="895"/>
      <c r="CD293" s="895"/>
      <c r="CE293" s="895"/>
      <c r="CF293" s="899"/>
      <c r="CG293" s="895"/>
      <c r="CH293" s="895"/>
      <c r="CI293" s="895"/>
      <c r="CJ293" s="895"/>
      <c r="CK293" s="899"/>
      <c r="CL293" s="1015"/>
      <c r="CM293" s="895"/>
      <c r="CN293" s="895"/>
      <c r="CO293" s="895"/>
      <c r="CP293" s="899"/>
      <c r="CQ293" s="895"/>
      <c r="CR293" s="895"/>
      <c r="CS293" s="895"/>
      <c r="CT293" s="895"/>
      <c r="CU293" s="899"/>
      <c r="CV293" s="895"/>
      <c r="CW293" s="895"/>
      <c r="CX293" s="895"/>
      <c r="CY293" s="895"/>
      <c r="CZ293" s="899"/>
      <c r="DA293" s="895"/>
      <c r="DB293" s="1509"/>
      <c r="DC293" s="895"/>
      <c r="DD293" s="915"/>
      <c r="DE293" s="899"/>
      <c r="DF293" s="895"/>
      <c r="DG293" s="895"/>
      <c r="DH293" s="895"/>
      <c r="DI293" s="915"/>
      <c r="DJ293" s="899"/>
      <c r="DK293" s="895"/>
      <c r="DL293" s="895"/>
      <c r="DM293" s="895"/>
      <c r="DN293" s="915"/>
      <c r="DO293" s="899"/>
      <c r="DP293" s="895"/>
      <c r="DQ293" s="895"/>
      <c r="DR293" s="895"/>
      <c r="DS293" s="915"/>
      <c r="DT293" s="899"/>
      <c r="DU293" s="895"/>
      <c r="DV293" s="895"/>
      <c r="DW293" s="895"/>
      <c r="DX293" s="895"/>
      <c r="DY293" s="899"/>
      <c r="DZ293" s="895"/>
      <c r="EA293" s="895"/>
      <c r="EB293" s="895"/>
      <c r="EC293" s="915"/>
      <c r="ED293" s="899"/>
      <c r="EE293" s="895"/>
      <c r="EF293" s="895"/>
      <c r="EG293" s="895"/>
      <c r="EH293" s="895"/>
      <c r="EI293" s="1015"/>
      <c r="EJ293" s="1015"/>
      <c r="EK293" s="1015"/>
      <c r="EL293" s="1015"/>
      <c r="EM293" s="1015"/>
      <c r="EN293" s="899"/>
      <c r="EO293" s="1015"/>
      <c r="EP293" s="1015"/>
      <c r="EQ293" s="1015"/>
      <c r="ER293" s="1015"/>
      <c r="ES293" s="1015"/>
      <c r="ET293" s="899"/>
      <c r="EU293" s="899"/>
      <c r="EV293" s="899"/>
      <c r="EW293" s="899"/>
      <c r="EX293" s="899"/>
    </row>
    <row r="294" spans="1:154" ht="12.75" hidden="1" customHeight="1">
      <c r="B294" s="457" t="s">
        <v>512</v>
      </c>
      <c r="C294" s="1990"/>
      <c r="D294" s="26"/>
      <c r="E294" s="26"/>
      <c r="F294" s="26"/>
      <c r="G294" s="26"/>
      <c r="H294" s="26"/>
      <c r="I294" s="27"/>
      <c r="J294" s="26"/>
      <c r="K294" s="26"/>
      <c r="L294" s="26"/>
      <c r="M294" s="26"/>
      <c r="N294" s="27"/>
      <c r="O294" s="27"/>
      <c r="P294" s="27"/>
      <c r="Q294" s="27"/>
      <c r="R294" s="27"/>
      <c r="S294" s="27"/>
      <c r="T294" s="27"/>
      <c r="U294" s="27"/>
      <c r="V294" s="27"/>
      <c r="W294" s="27"/>
      <c r="X294" s="307"/>
      <c r="Y294" s="27"/>
      <c r="Z294" s="27"/>
      <c r="AA294" s="27"/>
      <c r="AB294" s="27"/>
      <c r="AC294" s="307"/>
      <c r="AD294" s="27"/>
      <c r="AE294" s="27"/>
      <c r="AF294" s="27"/>
      <c r="AG294" s="27"/>
      <c r="AH294" s="307"/>
      <c r="AI294" s="26"/>
      <c r="AJ294" s="26"/>
      <c r="AK294" s="26"/>
      <c r="AL294" s="27"/>
      <c r="AM294" s="307"/>
      <c r="AN294" s="26"/>
      <c r="AO294" s="26"/>
      <c r="AP294" s="26"/>
      <c r="AQ294" s="27"/>
      <c r="AR294" s="307"/>
      <c r="AS294" s="26"/>
      <c r="AT294" s="26"/>
      <c r="AU294" s="26"/>
      <c r="AV294" s="27"/>
      <c r="AW294" s="307"/>
      <c r="AX294" s="26"/>
      <c r="AY294" s="26"/>
      <c r="AZ294" s="26"/>
      <c r="BA294" s="26"/>
      <c r="BB294" s="307"/>
      <c r="BC294" s="26"/>
      <c r="BD294" s="26"/>
      <c r="BE294" s="26"/>
      <c r="BF294" s="26"/>
      <c r="BG294" s="307"/>
      <c r="BH294" s="26"/>
      <c r="BI294" s="26"/>
      <c r="BJ294" s="26"/>
      <c r="BK294" s="26"/>
      <c r="BL294" s="307"/>
      <c r="BM294" s="26"/>
      <c r="BN294" s="26"/>
      <c r="BO294" s="26"/>
      <c r="BP294" s="26"/>
      <c r="BQ294" s="307"/>
      <c r="BR294" s="26"/>
      <c r="BS294" s="26"/>
      <c r="BT294" s="26"/>
      <c r="BU294" s="26"/>
      <c r="BV294" s="307"/>
      <c r="BW294" s="26"/>
      <c r="BX294" s="26"/>
      <c r="BY294" s="26"/>
      <c r="BZ294" s="26"/>
      <c r="CA294" s="307"/>
      <c r="CB294" s="26"/>
      <c r="CC294" s="26"/>
      <c r="CD294" s="26"/>
      <c r="CE294" s="26"/>
      <c r="CF294" s="307"/>
      <c r="CG294" s="26"/>
      <c r="CH294" s="26"/>
      <c r="CI294" s="26"/>
      <c r="CJ294" s="26"/>
      <c r="CK294" s="307"/>
      <c r="CL294" s="970"/>
      <c r="CM294" s="26"/>
      <c r="CN294" s="26"/>
      <c r="CO294" s="26"/>
      <c r="CP294" s="307"/>
      <c r="CQ294" s="26"/>
      <c r="CR294" s="26"/>
      <c r="CS294" s="26"/>
      <c r="CT294" s="26"/>
      <c r="CU294" s="307"/>
      <c r="CV294" s="26"/>
      <c r="CW294" s="26"/>
      <c r="CX294" s="26"/>
      <c r="CY294" s="26"/>
      <c r="CZ294" s="307"/>
      <c r="DA294" s="26"/>
      <c r="DB294" s="27"/>
      <c r="DC294" s="27"/>
      <c r="DD294" s="964"/>
      <c r="DE294" s="1766"/>
      <c r="DF294" s="1783"/>
      <c r="DG294" s="1767"/>
      <c r="DH294" s="1767"/>
      <c r="DI294" s="1784"/>
      <c r="DJ294" s="1766"/>
      <c r="DK294" s="1783"/>
      <c r="DL294" s="1767"/>
      <c r="DM294" s="1767"/>
      <c r="DN294" s="1784"/>
      <c r="DO294" s="1766"/>
      <c r="DP294" s="1767"/>
      <c r="DQ294" s="1767"/>
      <c r="DR294" s="1767"/>
      <c r="DS294" s="1784"/>
      <c r="DT294" s="1766"/>
      <c r="DU294" s="1767"/>
      <c r="DV294" s="1767"/>
      <c r="DW294" s="1767"/>
      <c r="DX294" s="1784"/>
      <c r="DY294" s="1766"/>
      <c r="DZ294" s="1767"/>
      <c r="EA294" s="1767"/>
      <c r="EB294" s="1767"/>
      <c r="EC294" s="1784"/>
      <c r="ED294" s="1766"/>
      <c r="EE294" s="1767"/>
      <c r="EF294" s="1767"/>
      <c r="EG294" s="1767"/>
      <c r="EH294" s="1784"/>
      <c r="EI294" s="1766"/>
      <c r="EJ294" s="1766"/>
      <c r="EK294" s="1766"/>
      <c r="EL294" s="1766"/>
      <c r="EM294" s="1766"/>
      <c r="EN294" s="1766"/>
      <c r="EO294" s="1766"/>
      <c r="EP294" s="1766"/>
      <c r="EQ294" s="1766"/>
      <c r="ER294" s="1766"/>
      <c r="ES294" s="1766"/>
      <c r="ET294" s="1766"/>
      <c r="EU294" s="1766"/>
      <c r="EV294" s="1766"/>
      <c r="EW294" s="1766"/>
      <c r="EX294" s="1766"/>
    </row>
    <row r="295" spans="1:154" ht="12.75" hidden="1" customHeight="1">
      <c r="B295" s="458" t="s">
        <v>187</v>
      </c>
      <c r="C295" s="1989"/>
      <c r="D295" s="28">
        <f t="shared" ref="D295:AR295" si="899">+D306+D328+D339</f>
      </c>
      <c r="E295" s="28">
        <f t="shared" si="899"/>
      </c>
      <c r="F295" s="28">
        <f t="shared" si="899"/>
      </c>
      <c r="G295" s="28">
        <f t="shared" si="899"/>
      </c>
      <c r="H295" s="28">
        <f t="shared" si="899"/>
      </c>
      <c r="I295" s="28">
        <f t="shared" si="899"/>
      </c>
      <c r="J295" s="28">
        <f t="shared" si="899"/>
      </c>
      <c r="K295" s="28">
        <f t="shared" si="899"/>
      </c>
      <c r="L295" s="28">
        <f t="shared" si="899"/>
      </c>
      <c r="M295" s="28">
        <f t="shared" si="899"/>
      </c>
      <c r="N295" s="28">
        <f t="shared" si="899"/>
      </c>
      <c r="O295" s="28">
        <f t="shared" si="899"/>
      </c>
      <c r="P295" s="28">
        <f t="shared" si="899"/>
      </c>
      <c r="Q295" s="28">
        <f t="shared" si="899"/>
      </c>
      <c r="R295" s="28">
        <f t="shared" si="899"/>
      </c>
      <c r="S295" s="28">
        <f t="shared" si="899"/>
      </c>
      <c r="T295" s="28">
        <f t="shared" si="899"/>
      </c>
      <c r="U295" s="28">
        <f t="shared" si="899"/>
      </c>
      <c r="V295" s="28">
        <f t="shared" si="899"/>
      </c>
      <c r="W295" s="28">
        <f t="shared" si="899"/>
      </c>
      <c r="X295" s="312">
        <f t="shared" si="899"/>
      </c>
      <c r="Y295" s="28">
        <f t="shared" si="899"/>
      </c>
      <c r="Z295" s="28">
        <f t="shared" si="899"/>
      </c>
      <c r="AA295" s="28">
        <f t="shared" si="899"/>
      </c>
      <c r="AB295" s="28">
        <f t="shared" si="899"/>
      </c>
      <c r="AC295" s="312">
        <f t="shared" si="899"/>
      </c>
      <c r="AD295" s="28">
        <f t="shared" si="899"/>
      </c>
      <c r="AE295" s="28">
        <f t="shared" si="899"/>
      </c>
      <c r="AF295" s="28">
        <f t="shared" si="899"/>
      </c>
      <c r="AG295" s="28">
        <f t="shared" si="899"/>
      </c>
      <c r="AH295" s="312">
        <f t="shared" si="899"/>
      </c>
      <c r="AI295" s="28">
        <f t="shared" si="899"/>
      </c>
      <c r="AJ295" s="28">
        <f t="shared" si="899"/>
      </c>
      <c r="AK295" s="28">
        <f t="shared" si="899"/>
      </c>
      <c r="AL295" s="28">
        <f t="shared" si="899"/>
      </c>
      <c r="AM295" s="312">
        <f t="shared" si="899"/>
      </c>
      <c r="AN295" s="28">
        <f t="shared" si="899"/>
      </c>
      <c r="AO295" s="28">
        <f t="shared" si="899"/>
      </c>
      <c r="AP295" s="28">
        <f t="shared" si="899"/>
      </c>
      <c r="AQ295" s="28">
        <f t="shared" si="899"/>
      </c>
      <c r="AR295" s="312">
        <f t="shared" si="899"/>
      </c>
      <c r="AS295" s="28">
        <f t="shared" ref="AS295:BW295" si="900">+AS306+AS328+AS339+AS317</f>
      </c>
      <c r="AT295" s="28">
        <f t="shared" si="900"/>
      </c>
      <c r="AU295" s="28">
        <f t="shared" si="900"/>
      </c>
      <c r="AV295" s="28">
        <f t="shared" si="900"/>
      </c>
      <c r="AW295" s="312">
        <f t="shared" si="900"/>
      </c>
      <c r="AX295" s="28">
        <f t="shared" si="900"/>
      </c>
      <c r="AY295" s="28">
        <f t="shared" si="900"/>
      </c>
      <c r="AZ295" s="28">
        <f t="shared" si="900"/>
      </c>
      <c r="BA295" s="28">
        <f t="shared" si="900"/>
      </c>
      <c r="BB295" s="312">
        <f t="shared" si="900"/>
      </c>
      <c r="BC295" s="28">
        <f t="shared" si="900"/>
      </c>
      <c r="BD295" s="28">
        <f t="shared" si="900"/>
      </c>
      <c r="BE295" s="28">
        <f t="shared" si="900"/>
      </c>
      <c r="BF295" s="28">
        <f t="shared" si="900"/>
      </c>
      <c r="BG295" s="312">
        <f t="shared" si="900"/>
      </c>
      <c r="BH295" s="28">
        <f t="shared" si="900"/>
      </c>
      <c r="BI295" s="28">
        <f t="shared" si="900"/>
      </c>
      <c r="BJ295" s="28">
        <f t="shared" si="900"/>
      </c>
      <c r="BK295" s="28">
        <f t="shared" si="900"/>
      </c>
      <c r="BL295" s="312">
        <f t="shared" si="900"/>
      </c>
      <c r="BM295" s="28">
        <f t="shared" si="900"/>
      </c>
      <c r="BN295" s="28">
        <f t="shared" si="900"/>
      </c>
      <c r="BO295" s="28">
        <f t="shared" si="900"/>
      </c>
      <c r="BP295" s="28">
        <f t="shared" si="900"/>
      </c>
      <c r="BQ295" s="312">
        <f t="shared" si="900"/>
      </c>
      <c r="BR295" s="28">
        <f t="shared" si="900"/>
      </c>
      <c r="BS295" s="28">
        <f t="shared" si="900"/>
      </c>
      <c r="BT295" s="28">
        <f t="shared" si="900"/>
      </c>
      <c r="BU295" s="28">
        <f t="shared" si="900"/>
      </c>
      <c r="BV295" s="312">
        <f t="shared" si="900"/>
      </c>
      <c r="BW295" s="28">
        <f t="shared" si="900"/>
      </c>
      <c r="BX295" s="28">
        <f>+BX306+BX328+BX339+BX317</f>
      </c>
      <c r="BY295" s="28">
        <f t="shared" ref="BY295:CB296" si="901">+BY306+BY328+BY339+BY317</f>
      </c>
      <c r="BZ295" s="28">
        <f t="shared" si="901"/>
      </c>
      <c r="CA295" s="312">
        <f t="shared" si="901"/>
      </c>
      <c r="CB295" s="28">
        <f t="shared" si="901"/>
      </c>
      <c r="CC295" s="28">
        <f t="shared" ref="CC295:CJ296" si="902">+CC306+CC328+CC339+CC317</f>
      </c>
      <c r="CD295" s="28">
        <f t="shared" si="902"/>
      </c>
      <c r="CE295" s="28">
        <f t="shared" si="902"/>
      </c>
      <c r="CF295" s="312">
        <f t="shared" si="902"/>
      </c>
      <c r="CG295" s="28">
        <f t="shared" si="902"/>
      </c>
      <c r="CH295" s="28">
        <f t="shared" si="902"/>
      </c>
      <c r="CI295" s="28">
        <f t="shared" si="902"/>
      </c>
      <c r="CJ295" s="28">
        <f t="shared" si="902"/>
      </c>
      <c r="CK295" s="312">
        <f>SUM(CG295:CJ295)</f>
      </c>
      <c r="CL295" s="28">
        <f t="shared" ref="CL295:CO296" si="903">+CL306+CL328+CL339+CL317</f>
      </c>
      <c r="CM295" s="28">
        <f t="shared" si="903"/>
      </c>
      <c r="CN295" s="28">
        <f t="shared" si="903"/>
      </c>
      <c r="CO295" s="28">
        <f t="shared" si="903"/>
      </c>
      <c r="CP295" s="312">
        <f>+CP306+CP328+CP339+CP317</f>
      </c>
      <c r="CQ295" s="933"/>
      <c r="CR295" s="933"/>
      <c r="CS295" s="933"/>
      <c r="CT295" s="933"/>
      <c r="CU295" s="312"/>
      <c r="CV295" s="933"/>
      <c r="CW295" s="933"/>
      <c r="CX295" s="933"/>
      <c r="CY295" s="933"/>
      <c r="CZ295" s="312"/>
      <c r="DA295" s="933"/>
      <c r="DB295" s="28"/>
      <c r="DC295" s="28"/>
      <c r="DD295" s="876"/>
      <c r="DE295" s="445"/>
      <c r="DF295" s="982"/>
      <c r="DG295" s="444"/>
      <c r="DH295" s="444"/>
      <c r="DI295" s="1788"/>
      <c r="DJ295" s="445"/>
      <c r="DK295" s="982"/>
      <c r="DL295" s="444"/>
      <c r="DM295" s="444"/>
      <c r="DN295" s="1788"/>
      <c r="DO295" s="445"/>
      <c r="DP295" s="444"/>
      <c r="DQ295" s="444"/>
      <c r="DR295" s="444"/>
      <c r="DS295" s="1788"/>
      <c r="DT295" s="445"/>
      <c r="DU295" s="982"/>
      <c r="DV295" s="982"/>
      <c r="DW295" s="982"/>
      <c r="DX295" s="1875"/>
      <c r="DY295" s="445"/>
      <c r="DZ295" s="982"/>
      <c r="EA295" s="982"/>
      <c r="EB295" s="982"/>
      <c r="EC295" s="1875"/>
      <c r="ED295" s="1866"/>
      <c r="EE295" s="982"/>
      <c r="EF295" s="982"/>
      <c r="EG295" s="982"/>
      <c r="EH295" s="1875"/>
      <c r="EI295" s="445"/>
      <c r="EJ295" s="445"/>
      <c r="EK295" s="445"/>
      <c r="EL295" s="445"/>
      <c r="EM295" s="445"/>
      <c r="EN295" s="445"/>
      <c r="EO295" s="445"/>
      <c r="EP295" s="445"/>
      <c r="EQ295" s="445"/>
      <c r="ER295" s="445"/>
      <c r="ES295" s="445"/>
      <c r="ET295" s="445"/>
      <c r="EU295" s="445"/>
      <c r="EV295" s="445"/>
      <c r="EW295" s="445"/>
      <c r="EX295" s="445"/>
    </row>
    <row r="296" spans="1:154" ht="12.75" hidden="1" customHeight="1">
      <c r="B296" s="458" t="s">
        <v>412</v>
      </c>
      <c r="C296" s="1989"/>
      <c r="D296" s="28">
        <f t="shared" ref="D296:AR296" si="904">+D307+D329+D340</f>
      </c>
      <c r="E296" s="28">
        <f t="shared" si="904"/>
      </c>
      <c r="F296" s="28">
        <f t="shared" si="904"/>
      </c>
      <c r="G296" s="28">
        <f t="shared" si="904"/>
      </c>
      <c r="H296" s="28">
        <f t="shared" si="904"/>
      </c>
      <c r="I296" s="28">
        <f t="shared" si="904"/>
      </c>
      <c r="J296" s="28">
        <f t="shared" si="904"/>
      </c>
      <c r="K296" s="28">
        <f t="shared" si="904"/>
      </c>
      <c r="L296" s="28">
        <f t="shared" si="904"/>
      </c>
      <c r="M296" s="28">
        <f t="shared" si="904"/>
      </c>
      <c r="N296" s="28">
        <f t="shared" si="904"/>
      </c>
      <c r="O296" s="28">
        <f t="shared" si="904"/>
      </c>
      <c r="P296" s="28">
        <f t="shared" si="904"/>
      </c>
      <c r="Q296" s="28">
        <f t="shared" si="904"/>
      </c>
      <c r="R296" s="28">
        <f t="shared" si="904"/>
      </c>
      <c r="S296" s="28">
        <f t="shared" si="904"/>
      </c>
      <c r="T296" s="28">
        <f t="shared" si="904"/>
      </c>
      <c r="U296" s="28">
        <f t="shared" si="904"/>
      </c>
      <c r="V296" s="28">
        <f t="shared" si="904"/>
      </c>
      <c r="W296" s="28">
        <f t="shared" si="904"/>
      </c>
      <c r="X296" s="312">
        <f t="shared" si="904"/>
      </c>
      <c r="Y296" s="28">
        <f t="shared" si="904"/>
      </c>
      <c r="Z296" s="28">
        <f t="shared" si="904"/>
      </c>
      <c r="AA296" s="28">
        <f t="shared" si="904"/>
      </c>
      <c r="AB296" s="28">
        <f t="shared" si="904"/>
      </c>
      <c r="AC296" s="312">
        <f t="shared" si="904"/>
      </c>
      <c r="AD296" s="28">
        <f t="shared" si="904"/>
      </c>
      <c r="AE296" s="28">
        <f t="shared" si="904"/>
      </c>
      <c r="AF296" s="28">
        <f t="shared" si="904"/>
      </c>
      <c r="AG296" s="28">
        <f t="shared" si="904"/>
      </c>
      <c r="AH296" s="312">
        <f t="shared" si="904"/>
      </c>
      <c r="AI296" s="28">
        <f t="shared" si="904"/>
      </c>
      <c r="AJ296" s="28">
        <f t="shared" si="904"/>
      </c>
      <c r="AK296" s="28">
        <f t="shared" si="904"/>
      </c>
      <c r="AL296" s="28">
        <f t="shared" si="904"/>
      </c>
      <c r="AM296" s="312">
        <f t="shared" si="904"/>
      </c>
      <c r="AN296" s="28">
        <f t="shared" si="904"/>
      </c>
      <c r="AO296" s="28">
        <f t="shared" si="904"/>
      </c>
      <c r="AP296" s="28">
        <f t="shared" si="904"/>
      </c>
      <c r="AQ296" s="28">
        <f t="shared" si="904"/>
      </c>
      <c r="AR296" s="312">
        <f t="shared" si="904"/>
      </c>
      <c r="AS296" s="28">
        <f t="shared" ref="AS296:BV296" si="905">+AS307+AS329+AS340+AS318</f>
      </c>
      <c r="AT296" s="28">
        <f t="shared" si="905"/>
      </c>
      <c r="AU296" s="28">
        <f t="shared" si="905"/>
      </c>
      <c r="AV296" s="28">
        <f t="shared" si="905"/>
      </c>
      <c r="AW296" s="312">
        <f t="shared" si="905"/>
      </c>
      <c r="AX296" s="28">
        <f t="shared" si="905"/>
      </c>
      <c r="AY296" s="28">
        <f t="shared" si="905"/>
      </c>
      <c r="AZ296" s="28">
        <f t="shared" si="905"/>
      </c>
      <c r="BA296" s="28">
        <f t="shared" si="905"/>
      </c>
      <c r="BB296" s="312">
        <f t="shared" si="905"/>
      </c>
      <c r="BC296" s="28">
        <f t="shared" si="905"/>
      </c>
      <c r="BD296" s="28">
        <f t="shared" si="905"/>
      </c>
      <c r="BE296" s="28">
        <f t="shared" si="905"/>
      </c>
      <c r="BF296" s="28">
        <f t="shared" si="905"/>
      </c>
      <c r="BG296" s="312">
        <f t="shared" si="905"/>
      </c>
      <c r="BH296" s="28">
        <f t="shared" si="905"/>
      </c>
      <c r="BI296" s="28">
        <f t="shared" si="905"/>
      </c>
      <c r="BJ296" s="28">
        <f t="shared" si="905"/>
      </c>
      <c r="BK296" s="28">
        <f t="shared" si="905"/>
      </c>
      <c r="BL296" s="312">
        <f t="shared" si="905"/>
      </c>
      <c r="BM296" s="28">
        <f t="shared" si="905"/>
      </c>
      <c r="BN296" s="28">
        <f t="shared" si="905"/>
      </c>
      <c r="BO296" s="28">
        <f t="shared" si="905"/>
      </c>
      <c r="BP296" s="28">
        <f t="shared" si="905"/>
      </c>
      <c r="BQ296" s="312">
        <f t="shared" si="905"/>
      </c>
      <c r="BR296" s="28">
        <f t="shared" si="905"/>
      </c>
      <c r="BS296" s="28">
        <f t="shared" si="905"/>
      </c>
      <c r="BT296" s="28">
        <f t="shared" si="905"/>
      </c>
      <c r="BU296" s="28">
        <f t="shared" si="905"/>
      </c>
      <c r="BV296" s="312">
        <f t="shared" si="905"/>
      </c>
      <c r="BW296" s="28">
        <f>+BW307+BW329+BW340+BW318</f>
      </c>
      <c r="BX296" s="28">
        <f>+BX307+BX329+BX340+BX318</f>
      </c>
      <c r="BY296" s="28">
        <f t="shared" si="901"/>
      </c>
      <c r="BZ296" s="28">
        <f t="shared" si="901"/>
      </c>
      <c r="CA296" s="312">
        <f t="shared" si="901"/>
      </c>
      <c r="CB296" s="28">
        <f t="shared" si="901"/>
      </c>
      <c r="CC296" s="28">
        <f t="shared" si="902"/>
      </c>
      <c r="CD296" s="28">
        <f t="shared" si="902"/>
      </c>
      <c r="CE296" s="28">
        <f t="shared" si="902"/>
      </c>
      <c r="CF296" s="312">
        <f t="shared" si="902"/>
      </c>
      <c r="CG296" s="28">
        <f t="shared" si="902"/>
      </c>
      <c r="CH296" s="28">
        <f t="shared" si="902"/>
      </c>
      <c r="CI296" s="28">
        <f t="shared" si="902"/>
      </c>
      <c r="CJ296" s="28">
        <f t="shared" si="902"/>
      </c>
      <c r="CK296" s="312">
        <f>SUM(CG296:CJ296)</f>
      </c>
      <c r="CL296" s="28">
        <f t="shared" si="903"/>
      </c>
      <c r="CM296" s="28">
        <f t="shared" si="903"/>
      </c>
      <c r="CN296" s="28">
        <f t="shared" si="903"/>
      </c>
      <c r="CO296" s="28">
        <f t="shared" si="903"/>
      </c>
      <c r="CP296" s="312">
        <f>+CP307+CP329+CP340+CP318</f>
      </c>
      <c r="CQ296" s="933"/>
      <c r="CR296" s="933"/>
      <c r="CS296" s="933"/>
      <c r="CT296" s="933"/>
      <c r="CU296" s="312"/>
      <c r="CV296" s="933"/>
      <c r="CW296" s="933"/>
      <c r="CX296" s="933"/>
      <c r="CY296" s="933"/>
      <c r="CZ296" s="312"/>
      <c r="DA296" s="933"/>
      <c r="DB296" s="28"/>
      <c r="DC296" s="28"/>
      <c r="DD296" s="876"/>
      <c r="DE296" s="445"/>
      <c r="DF296" s="982"/>
      <c r="DG296" s="444"/>
      <c r="DH296" s="444"/>
      <c r="DI296" s="1788"/>
      <c r="DJ296" s="445"/>
      <c r="DK296" s="982"/>
      <c r="DL296" s="444"/>
      <c r="DM296" s="444"/>
      <c r="DN296" s="1788"/>
      <c r="DO296" s="445"/>
      <c r="DP296" s="444"/>
      <c r="DQ296" s="444"/>
      <c r="DR296" s="444"/>
      <c r="DS296" s="1788"/>
      <c r="DT296" s="445"/>
      <c r="DU296" s="982"/>
      <c r="DV296" s="982"/>
      <c r="DW296" s="982"/>
      <c r="DX296" s="1875"/>
      <c r="DY296" s="445"/>
      <c r="DZ296" s="982"/>
      <c r="EA296" s="982"/>
      <c r="EB296" s="982"/>
      <c r="EC296" s="1875"/>
      <c r="ED296" s="1866"/>
      <c r="EE296" s="982"/>
      <c r="EF296" s="982"/>
      <c r="EG296" s="982"/>
      <c r="EH296" s="1875"/>
      <c r="EI296" s="445"/>
      <c r="EJ296" s="445"/>
      <c r="EK296" s="445"/>
      <c r="EL296" s="445"/>
      <c r="EM296" s="445"/>
      <c r="EN296" s="445"/>
      <c r="EO296" s="445"/>
      <c r="EP296" s="445"/>
      <c r="EQ296" s="445"/>
      <c r="ER296" s="445"/>
      <c r="ES296" s="445"/>
      <c r="ET296" s="445"/>
      <c r="EU296" s="445"/>
      <c r="EV296" s="445"/>
      <c r="EW296" s="445"/>
      <c r="EX296" s="445"/>
    </row>
    <row r="297" spans="1:154" ht="12.75" hidden="1" customHeight="1">
      <c r="B297" s="458" t="s">
        <v>413</v>
      </c>
      <c r="C297" s="1989"/>
      <c r="D297" s="28">
        <f t="shared" ref="D297:AI297" si="906">+D308+D319+D330+D341</f>
      </c>
      <c r="E297" s="28">
        <f t="shared" si="906"/>
      </c>
      <c r="F297" s="28">
        <f t="shared" si="906"/>
      </c>
      <c r="G297" s="28">
        <f t="shared" si="906"/>
      </c>
      <c r="H297" s="28">
        <f t="shared" si="906"/>
      </c>
      <c r="I297" s="28">
        <f t="shared" si="906"/>
      </c>
      <c r="J297" s="28">
        <f t="shared" si="906"/>
      </c>
      <c r="K297" s="28">
        <f t="shared" si="906"/>
      </c>
      <c r="L297" s="28">
        <f t="shared" si="906"/>
      </c>
      <c r="M297" s="28">
        <f t="shared" si="906"/>
      </c>
      <c r="N297" s="28">
        <f t="shared" si="906"/>
      </c>
      <c r="O297" s="28">
        <f t="shared" si="906"/>
      </c>
      <c r="P297" s="28">
        <f t="shared" si="906"/>
      </c>
      <c r="Q297" s="28">
        <f t="shared" si="906"/>
      </c>
      <c r="R297" s="28">
        <f t="shared" si="906"/>
      </c>
      <c r="S297" s="28">
        <f t="shared" si="906"/>
      </c>
      <c r="T297" s="28">
        <f t="shared" si="906"/>
      </c>
      <c r="U297" s="28">
        <f t="shared" si="906"/>
      </c>
      <c r="V297" s="28">
        <f t="shared" si="906"/>
      </c>
      <c r="W297" s="28">
        <f t="shared" si="906"/>
      </c>
      <c r="X297" s="312">
        <f t="shared" si="906"/>
      </c>
      <c r="Y297" s="28">
        <f t="shared" si="906"/>
      </c>
      <c r="Z297" s="28">
        <f t="shared" si="906"/>
      </c>
      <c r="AA297" s="28">
        <f t="shared" si="906"/>
      </c>
      <c r="AB297" s="28">
        <f t="shared" si="906"/>
      </c>
      <c r="AC297" s="312">
        <f t="shared" si="906"/>
      </c>
      <c r="AD297" s="28">
        <f t="shared" si="906"/>
      </c>
      <c r="AE297" s="28">
        <f t="shared" si="906"/>
      </c>
      <c r="AF297" s="28">
        <f t="shared" si="906"/>
      </c>
      <c r="AG297" s="28">
        <f t="shared" si="906"/>
      </c>
      <c r="AH297" s="312">
        <f t="shared" si="906"/>
      </c>
      <c r="AI297" s="28">
        <f t="shared" si="906"/>
      </c>
      <c r="AJ297" s="28">
        <f t="shared" ref="AJ297:BB297" si="907">+AJ308+AJ319+AJ330+AJ341</f>
      </c>
      <c r="AK297" s="28">
        <f t="shared" si="907"/>
      </c>
      <c r="AL297" s="28">
        <f t="shared" si="907"/>
      </c>
      <c r="AM297" s="312">
        <f t="shared" si="907"/>
      </c>
      <c r="AN297" s="28">
        <f t="shared" si="907"/>
      </c>
      <c r="AO297" s="28">
        <f t="shared" si="907"/>
      </c>
      <c r="AP297" s="28">
        <f t="shared" si="907"/>
      </c>
      <c r="AQ297" s="28">
        <f t="shared" si="907"/>
      </c>
      <c r="AR297" s="312">
        <f t="shared" si="907"/>
      </c>
      <c r="AS297" s="28">
        <f t="shared" si="907"/>
      </c>
      <c r="AT297" s="28">
        <f t="shared" si="907"/>
      </c>
      <c r="AU297" s="28">
        <f t="shared" si="907"/>
      </c>
      <c r="AV297" s="28">
        <f t="shared" si="907"/>
      </c>
      <c r="AW297" s="312">
        <f t="shared" si="907"/>
      </c>
      <c r="AX297" s="28">
        <f t="shared" si="907"/>
      </c>
      <c r="AY297" s="28">
        <f t="shared" si="907"/>
      </c>
      <c r="AZ297" s="28">
        <f t="shared" si="907"/>
      </c>
      <c r="BA297" s="28">
        <f t="shared" si="907"/>
      </c>
      <c r="BB297" s="312">
        <f t="shared" si="907"/>
      </c>
      <c r="BC297" s="28">
        <f t="shared" ref="BC297:BV297" si="908">+BC296+BC295</f>
      </c>
      <c r="BD297" s="28">
        <f t="shared" si="908"/>
      </c>
      <c r="BE297" s="28">
        <f t="shared" si="908"/>
      </c>
      <c r="BF297" s="28">
        <f t="shared" si="908"/>
      </c>
      <c r="BG297" s="312">
        <f t="shared" si="908"/>
      </c>
      <c r="BH297" s="28">
        <f t="shared" si="908"/>
      </c>
      <c r="BI297" s="28">
        <f t="shared" si="908"/>
      </c>
      <c r="BJ297" s="28">
        <f t="shared" si="908"/>
      </c>
      <c r="BK297" s="28">
        <f t="shared" si="908"/>
      </c>
      <c r="BL297" s="312">
        <f t="shared" si="908"/>
      </c>
      <c r="BM297" s="28">
        <f t="shared" si="908"/>
      </c>
      <c r="BN297" s="28">
        <f t="shared" si="908"/>
      </c>
      <c r="BO297" s="28">
        <f t="shared" si="908"/>
      </c>
      <c r="BP297" s="28">
        <f t="shared" si="908"/>
      </c>
      <c r="BQ297" s="312">
        <f t="shared" si="908"/>
      </c>
      <c r="BR297" s="28">
        <f t="shared" si="908"/>
      </c>
      <c r="BS297" s="28">
        <f t="shared" si="908"/>
      </c>
      <c r="BT297" s="28">
        <f t="shared" si="908"/>
      </c>
      <c r="BU297" s="28">
        <f t="shared" si="908"/>
      </c>
      <c r="BV297" s="312">
        <f t="shared" si="908"/>
      </c>
      <c r="BW297" s="28">
        <f>+BW296+BW295</f>
      </c>
      <c r="BX297" s="28">
        <f>+BX296+BX295</f>
      </c>
      <c r="BY297" s="28">
        <f>+BY296+BY295</f>
      </c>
      <c r="BZ297" s="28">
        <f>+BZ296+BZ295</f>
      </c>
      <c r="CA297" s="479">
        <f>SUM(BW297:BZ297)</f>
      </c>
      <c r="CB297" s="28">
        <f>+CB296+CB295</f>
      </c>
      <c r="CC297" s="28">
        <f>+CC296+CC295</f>
      </c>
      <c r="CD297" s="28">
        <f>+CD296+CD295</f>
      </c>
      <c r="CE297" s="28">
        <f>+CE296+CE295</f>
      </c>
      <c r="CF297" s="479">
        <f>SUM(CB297:CE297)</f>
      </c>
      <c r="CG297" s="28">
        <f>+CG296+CG295</f>
      </c>
      <c r="CH297" s="28">
        <f>+CH296+CH295</f>
      </c>
      <c r="CI297" s="28">
        <f>+CI296+CI295</f>
      </c>
      <c r="CJ297" s="28">
        <f>+CJ296+CJ295</f>
      </c>
      <c r="CK297" s="312">
        <f>SUM(CG297:CJ297)</f>
      </c>
      <c r="CL297" s="28">
        <f>+CL296+CL295</f>
      </c>
      <c r="CM297" s="28">
        <f>+CM296+CM295</f>
      </c>
      <c r="CN297" s="28">
        <f>+CN296+CN295</f>
      </c>
      <c r="CO297" s="28">
        <f>+CO296+CO295</f>
      </c>
      <c r="CP297" s="312">
        <f>+CP296+CP295</f>
      </c>
      <c r="CQ297" s="933"/>
      <c r="CR297" s="933"/>
      <c r="CS297" s="933"/>
      <c r="CT297" s="933"/>
      <c r="CU297" s="312"/>
      <c r="CV297" s="933"/>
      <c r="CW297" s="933"/>
      <c r="CX297" s="933"/>
      <c r="CY297" s="933"/>
      <c r="CZ297" s="312"/>
      <c r="DA297" s="933"/>
      <c r="DB297" s="28"/>
      <c r="DC297" s="28"/>
      <c r="DD297" s="876"/>
      <c r="DE297" s="445"/>
      <c r="DF297" s="982"/>
      <c r="DG297" s="444"/>
      <c r="DH297" s="444"/>
      <c r="DI297" s="1788"/>
      <c r="DJ297" s="445"/>
      <c r="DK297" s="982"/>
      <c r="DL297" s="444"/>
      <c r="DM297" s="444"/>
      <c r="DN297" s="1788"/>
      <c r="DO297" s="445"/>
      <c r="DP297" s="444"/>
      <c r="DQ297" s="444"/>
      <c r="DR297" s="444"/>
      <c r="DS297" s="1788"/>
      <c r="DT297" s="445"/>
      <c r="DU297" s="982"/>
      <c r="DV297" s="982"/>
      <c r="DW297" s="982"/>
      <c r="DX297" s="1875"/>
      <c r="DY297" s="445"/>
      <c r="DZ297" s="982"/>
      <c r="EA297" s="982"/>
      <c r="EB297" s="982"/>
      <c r="EC297" s="1875"/>
      <c r="ED297" s="1866"/>
      <c r="EE297" s="982"/>
      <c r="EF297" s="982"/>
      <c r="EG297" s="982"/>
      <c r="EH297" s="1875"/>
      <c r="EI297" s="445"/>
      <c r="EJ297" s="445"/>
      <c r="EK297" s="445"/>
      <c r="EL297" s="445"/>
      <c r="EM297" s="445"/>
      <c r="EN297" s="445"/>
      <c r="EO297" s="445"/>
      <c r="EP297" s="445"/>
      <c r="EQ297" s="445"/>
      <c r="ER297" s="445"/>
      <c r="ES297" s="445"/>
      <c r="ET297" s="445"/>
      <c r="EU297" s="445"/>
      <c r="EV297" s="445"/>
      <c r="EW297" s="445"/>
      <c r="EX297" s="445"/>
    </row>
    <row r="298" spans="1:154" ht="12.75" hidden="1" customHeight="1">
      <c r="B298" s="458"/>
      <c r="C298" s="1989"/>
      <c r="D298" s="28"/>
      <c r="E298" s="28"/>
      <c r="F298" s="28"/>
      <c r="G298" s="28"/>
      <c r="H298" s="28"/>
      <c r="I298" s="31"/>
      <c r="J298" s="28"/>
      <c r="K298" s="28"/>
      <c r="L298" s="28"/>
      <c r="M298" s="28"/>
      <c r="N298" s="31"/>
      <c r="O298" s="31"/>
      <c r="P298" s="31"/>
      <c r="Q298" s="31"/>
      <c r="R298" s="31"/>
      <c r="S298" s="31"/>
      <c r="T298" s="31"/>
      <c r="U298" s="31"/>
      <c r="V298" s="31"/>
      <c r="W298" s="31"/>
      <c r="X298" s="312"/>
      <c r="Y298" s="31"/>
      <c r="Z298" s="31"/>
      <c r="AA298" s="31"/>
      <c r="AB298" s="31"/>
      <c r="AC298" s="312"/>
      <c r="AD298" s="31"/>
      <c r="AE298" s="31"/>
      <c r="AF298" s="31"/>
      <c r="AG298" s="31"/>
      <c r="AH298" s="312"/>
      <c r="AI298" s="28"/>
      <c r="AJ298" s="28"/>
      <c r="AK298" s="28"/>
      <c r="AL298" s="31"/>
      <c r="AM298" s="312"/>
      <c r="AN298" s="28"/>
      <c r="AO298" s="28"/>
      <c r="AP298" s="28"/>
      <c r="AQ298" s="31"/>
      <c r="AR298" s="312"/>
      <c r="AS298" s="28"/>
      <c r="AT298" s="28"/>
      <c r="AU298" s="28"/>
      <c r="AV298" s="31"/>
      <c r="AW298" s="312"/>
      <c r="AX298" s="28"/>
      <c r="AY298" s="28"/>
      <c r="AZ298" s="28"/>
      <c r="BA298" s="28"/>
      <c r="BB298" s="312"/>
      <c r="BC298" s="28"/>
      <c r="BD298" s="28"/>
      <c r="BE298" s="28"/>
      <c r="BF298" s="28"/>
      <c r="BG298" s="312"/>
      <c r="BH298" s="28"/>
      <c r="BI298" s="28"/>
      <c r="BJ298" s="28"/>
      <c r="BK298" s="28"/>
      <c r="BL298" s="312"/>
      <c r="BM298" s="28"/>
      <c r="BN298" s="28"/>
      <c r="BO298" s="28"/>
      <c r="BP298" s="28"/>
      <c r="BQ298" s="312"/>
      <c r="BR298" s="28"/>
      <c r="BS298" s="28"/>
      <c r="BT298" s="28"/>
      <c r="BU298" s="28"/>
      <c r="BV298" s="312"/>
      <c r="BW298" s="28"/>
      <c r="BX298" s="28"/>
      <c r="BY298" s="28"/>
      <c r="BZ298" s="28"/>
      <c r="CA298" s="312"/>
      <c r="CB298" s="28"/>
      <c r="CC298" s="28"/>
      <c r="CD298" s="28"/>
      <c r="CE298" s="28"/>
      <c r="CF298" s="312"/>
      <c r="CG298" s="28"/>
      <c r="CH298" s="28"/>
      <c r="CI298" s="28"/>
      <c r="CJ298" s="28"/>
      <c r="CK298" s="312"/>
      <c r="CL298" s="28"/>
      <c r="CM298" s="933"/>
      <c r="CN298" s="28"/>
      <c r="CO298" s="28"/>
      <c r="CP298" s="312"/>
      <c r="CQ298" s="933"/>
      <c r="CR298" s="933"/>
      <c r="CS298" s="933"/>
      <c r="CT298" s="933"/>
      <c r="CU298" s="312"/>
      <c r="CV298" s="933"/>
      <c r="CW298" s="933"/>
      <c r="CX298" s="933"/>
      <c r="CY298" s="933"/>
      <c r="CZ298" s="312"/>
      <c r="DA298" s="933"/>
      <c r="DB298" s="28"/>
      <c r="DC298" s="28"/>
      <c r="DD298" s="876"/>
      <c r="DE298" s="445"/>
      <c r="DF298" s="982"/>
      <c r="DG298" s="444"/>
      <c r="DH298" s="444"/>
      <c r="DI298" s="1788"/>
      <c r="DJ298" s="445"/>
      <c r="DK298" s="982"/>
      <c r="DL298" s="444"/>
      <c r="DM298" s="444"/>
      <c r="DN298" s="1788"/>
      <c r="DO298" s="445"/>
      <c r="DP298" s="444"/>
      <c r="DQ298" s="444"/>
      <c r="DR298" s="444"/>
      <c r="DS298" s="1788"/>
      <c r="DT298" s="445"/>
      <c r="DU298" s="982"/>
      <c r="DV298" s="982"/>
      <c r="DW298" s="982"/>
      <c r="DX298" s="1875"/>
      <c r="DY298" s="445"/>
      <c r="DZ298" s="982"/>
      <c r="EA298" s="982"/>
      <c r="EB298" s="982"/>
      <c r="EC298" s="1875"/>
      <c r="ED298" s="1866"/>
      <c r="EE298" s="982"/>
      <c r="EF298" s="982"/>
      <c r="EG298" s="982"/>
      <c r="EH298" s="1875"/>
      <c r="EI298" s="445"/>
      <c r="EJ298" s="445"/>
      <c r="EK298" s="445"/>
      <c r="EL298" s="445"/>
      <c r="EM298" s="445"/>
      <c r="EN298" s="445"/>
      <c r="EO298" s="445"/>
      <c r="EP298" s="445"/>
      <c r="EQ298" s="445"/>
      <c r="ER298" s="445"/>
      <c r="ES298" s="445"/>
      <c r="ET298" s="445"/>
      <c r="EU298" s="445"/>
      <c r="EV298" s="445"/>
      <c r="EW298" s="445"/>
      <c r="EX298" s="445"/>
    </row>
    <row r="299" spans="1:154" ht="12.75" hidden="1" customHeight="1">
      <c r="B299" s="459" t="s">
        <v>211</v>
      </c>
      <c r="C299" s="1989"/>
      <c r="D299" s="28"/>
      <c r="E299" s="28"/>
      <c r="F299" s="28"/>
      <c r="G299" s="28"/>
      <c r="H299" s="28"/>
      <c r="I299" s="31"/>
      <c r="J299" s="28"/>
      <c r="K299" s="28"/>
      <c r="L299" s="28"/>
      <c r="M299" s="28"/>
      <c r="N299" s="31"/>
      <c r="O299" s="31"/>
      <c r="P299" s="31"/>
      <c r="Q299" s="31"/>
      <c r="R299" s="31"/>
      <c r="S299" s="31"/>
      <c r="T299" s="31"/>
      <c r="U299" s="31"/>
      <c r="V299" s="31"/>
      <c r="W299" s="31"/>
      <c r="X299" s="312"/>
      <c r="Y299" s="31"/>
      <c r="Z299" s="31"/>
      <c r="AA299" s="31"/>
      <c r="AB299" s="31"/>
      <c r="AC299" s="312"/>
      <c r="AD299" s="31"/>
      <c r="AE299" s="31"/>
      <c r="AF299" s="31"/>
      <c r="AG299" s="31"/>
      <c r="AH299" s="312"/>
      <c r="AI299" s="28"/>
      <c r="AJ299" s="28"/>
      <c r="AK299" s="28"/>
      <c r="AL299" s="31"/>
      <c r="AM299" s="312"/>
      <c r="AN299" s="28"/>
      <c r="AO299" s="28"/>
      <c r="AP299" s="28"/>
      <c r="AQ299" s="31"/>
      <c r="AR299" s="312"/>
      <c r="AS299" s="28"/>
      <c r="AT299" s="28"/>
      <c r="AU299" s="28"/>
      <c r="AV299" s="31"/>
      <c r="AW299" s="312"/>
      <c r="AX299" s="28"/>
      <c r="AY299" s="28"/>
      <c r="AZ299" s="28"/>
      <c r="BA299" s="28"/>
      <c r="BB299" s="312"/>
      <c r="BC299" s="28"/>
      <c r="BD299" s="28"/>
      <c r="BE299" s="28"/>
      <c r="BF299" s="28"/>
      <c r="BG299" s="312"/>
      <c r="BH299" s="28"/>
      <c r="BI299" s="28"/>
      <c r="BJ299" s="28"/>
      <c r="BK299" s="28"/>
      <c r="BL299" s="312"/>
      <c r="BM299" s="28"/>
      <c r="BN299" s="28"/>
      <c r="BO299" s="28"/>
      <c r="BP299" s="28"/>
      <c r="BQ299" s="312"/>
      <c r="BR299" s="28"/>
      <c r="BS299" s="28"/>
      <c r="BT299" s="28"/>
      <c r="BU299" s="28"/>
      <c r="BV299" s="312"/>
      <c r="BW299" s="28"/>
      <c r="BX299" s="28"/>
      <c r="BY299" s="28"/>
      <c r="BZ299" s="28"/>
      <c r="CA299" s="312"/>
      <c r="CB299" s="28"/>
      <c r="CC299" s="28"/>
      <c r="CD299" s="28"/>
      <c r="CE299" s="28"/>
      <c r="CF299" s="312"/>
      <c r="CG299" s="28"/>
      <c r="CH299" s="28"/>
      <c r="CI299" s="28"/>
      <c r="CJ299" s="28"/>
      <c r="CK299" s="312"/>
      <c r="CL299" s="28"/>
      <c r="CM299" s="933"/>
      <c r="CN299" s="28"/>
      <c r="CO299" s="28"/>
      <c r="CP299" s="312"/>
      <c r="CQ299" s="933"/>
      <c r="CR299" s="933"/>
      <c r="CS299" s="933"/>
      <c r="CT299" s="933"/>
      <c r="CU299" s="312"/>
      <c r="CV299" s="933"/>
      <c r="CW299" s="933"/>
      <c r="CX299" s="933"/>
      <c r="CY299" s="933"/>
      <c r="CZ299" s="312"/>
      <c r="DA299" s="933"/>
      <c r="DB299" s="28"/>
      <c r="DC299" s="28"/>
      <c r="DD299" s="876"/>
      <c r="DE299" s="445"/>
      <c r="DF299" s="982"/>
      <c r="DG299" s="444"/>
      <c r="DH299" s="444"/>
      <c r="DI299" s="1788"/>
      <c r="DJ299" s="445"/>
      <c r="DK299" s="982"/>
      <c r="DL299" s="444"/>
      <c r="DM299" s="444"/>
      <c r="DN299" s="1788"/>
      <c r="DO299" s="445"/>
      <c r="DP299" s="444"/>
      <c r="DQ299" s="444"/>
      <c r="DR299" s="444"/>
      <c r="DS299" s="1788"/>
      <c r="DT299" s="445"/>
      <c r="DU299" s="982"/>
      <c r="DV299" s="982"/>
      <c r="DW299" s="982"/>
      <c r="DX299" s="1875"/>
      <c r="DY299" s="445"/>
      <c r="DZ299" s="982"/>
      <c r="EA299" s="982"/>
      <c r="EB299" s="982"/>
      <c r="EC299" s="1875"/>
      <c r="ED299" s="1866"/>
      <c r="EE299" s="982"/>
      <c r="EF299" s="982"/>
      <c r="EG299" s="982"/>
      <c r="EH299" s="1875"/>
      <c r="EI299" s="445"/>
      <c r="EJ299" s="445"/>
      <c r="EK299" s="445"/>
      <c r="EL299" s="445"/>
      <c r="EM299" s="445"/>
      <c r="EN299" s="445"/>
      <c r="EO299" s="445"/>
      <c r="EP299" s="445"/>
      <c r="EQ299" s="445"/>
      <c r="ER299" s="445"/>
      <c r="ES299" s="445"/>
      <c r="ET299" s="445"/>
      <c r="EU299" s="445"/>
      <c r="EV299" s="445"/>
      <c r="EW299" s="445"/>
      <c r="EX299" s="445"/>
    </row>
    <row r="300" spans="1:154" ht="12.75" hidden="1" customHeight="1">
      <c r="B300" s="460" t="s">
        <v>187</v>
      </c>
      <c r="C300" s="1989"/>
      <c r="D300" s="28"/>
      <c r="E300" s="28"/>
      <c r="F300" s="28"/>
      <c r="G300" s="28"/>
      <c r="H300" s="28"/>
      <c r="I300" s="30">
        <f t="shared" ref="I300:R301" si="909">IF(D295="NM","NM",IF(I295="NM","NM",IF(D295&lt;=0,"NM",IF(I295=0,"NM",IF(ABS(I295/D295-1)&gt;2.5,"NM",IF((ABS(I295-D295)=ABS(ABS(I295)-ABS(D295))),(I295/D295-1),"NM"))))))</f>
      </c>
      <c r="J300" s="30">
        <f t="shared" si="909"/>
      </c>
      <c r="K300" s="30">
        <f t="shared" si="909"/>
      </c>
      <c r="L300" s="30">
        <f t="shared" si="909"/>
      </c>
      <c r="M300" s="30">
        <f t="shared" si="909"/>
      </c>
      <c r="N300" s="30">
        <f t="shared" si="909"/>
      </c>
      <c r="O300" s="30">
        <f t="shared" si="909"/>
      </c>
      <c r="P300" s="30">
        <f t="shared" si="909"/>
      </c>
      <c r="Q300" s="30">
        <f t="shared" si="909"/>
      </c>
      <c r="R300" s="30">
        <f t="shared" si="909"/>
      </c>
      <c r="S300" s="30">
        <f t="shared" ref="S300:AB301" si="910">IF(N295="NM","NM",IF(S295="NM","NM",IF(N295&lt;=0,"NM",IF(S295=0,"NM",IF(ABS(S295/N295-1)&gt;2.5,"NM",IF((ABS(S295-N295)=ABS(ABS(S295)-ABS(N295))),(S295/N295-1),"NM"))))))</f>
      </c>
      <c r="T300" s="30">
        <f t="shared" si="910"/>
      </c>
      <c r="U300" s="30">
        <f t="shared" si="910"/>
      </c>
      <c r="V300" s="30">
        <f t="shared" si="910"/>
      </c>
      <c r="W300" s="30">
        <f t="shared" si="910"/>
      </c>
      <c r="X300" s="308">
        <f t="shared" si="910"/>
      </c>
      <c r="Y300" s="30">
        <f t="shared" si="910"/>
      </c>
      <c r="Z300" s="30">
        <f t="shared" si="910"/>
      </c>
      <c r="AA300" s="30">
        <f t="shared" si="910"/>
      </c>
      <c r="AB300" s="30">
        <f t="shared" si="910"/>
      </c>
      <c r="AC300" s="308">
        <f t="shared" ref="AC300:AL301" si="911">IF(X295="NM","NM",IF(AC295="NM","NM",IF(X295&lt;=0,"NM",IF(AC295=0,"NM",IF(ABS(AC295/X295-1)&gt;2.5,"NM",IF((ABS(AC295-X295)=ABS(ABS(AC295)-ABS(X295))),(AC295/X295-1),"NM"))))))</f>
      </c>
      <c r="AD300" s="30">
        <f t="shared" si="911"/>
      </c>
      <c r="AE300" s="30">
        <f t="shared" si="911"/>
      </c>
      <c r="AF300" s="30">
        <f t="shared" si="911"/>
      </c>
      <c r="AG300" s="30">
        <f t="shared" si="911"/>
      </c>
      <c r="AH300" s="308">
        <f t="shared" si="911"/>
      </c>
      <c r="AI300" s="30">
        <f t="shared" si="911"/>
      </c>
      <c r="AJ300" s="30">
        <f t="shared" si="911"/>
      </c>
      <c r="AK300" s="30">
        <f t="shared" si="911"/>
      </c>
      <c r="AL300" s="30">
        <f t="shared" si="911"/>
      </c>
      <c r="AM300" s="308">
        <f t="shared" ref="AM300:AV301" si="912">IF(AH295="NM","NM",IF(AM295="NM","NM",IF(AH295&lt;=0,"NM",IF(AM295=0,"NM",IF(ABS(AM295/AH295-1)&gt;2.5,"NM",IF((ABS(AM295-AH295)=ABS(ABS(AM295)-ABS(AH295))),(AM295/AH295-1),"NM"))))))</f>
      </c>
      <c r="AN300" s="30">
        <f t="shared" si="912"/>
      </c>
      <c r="AO300" s="30">
        <f t="shared" si="912"/>
      </c>
      <c r="AP300" s="30">
        <f t="shared" si="912"/>
      </c>
      <c r="AQ300" s="30">
        <f t="shared" si="912"/>
      </c>
      <c r="AR300" s="308">
        <f t="shared" si="912"/>
      </c>
      <c r="AS300" s="30">
        <f t="shared" si="912"/>
      </c>
      <c r="AT300" s="30">
        <f t="shared" si="912"/>
      </c>
      <c r="AU300" s="30">
        <f t="shared" si="912"/>
      </c>
      <c r="AV300" s="30">
        <f t="shared" si="912"/>
      </c>
      <c r="AW300" s="308">
        <f t="shared" ref="AW300:BF301" si="913">IF(AR295="NM","NM",IF(AW295="NM","NM",IF(AR295&lt;=0,"NM",IF(AW295=0,"NM",IF(ABS(AW295/AR295-1)&gt;2.5,"NM",IF((ABS(AW295-AR295)=ABS(ABS(AW295)-ABS(AR295))),(AW295/AR295-1),"NM"))))))</f>
      </c>
      <c r="AX300" s="30">
        <f t="shared" si="913"/>
      </c>
      <c r="AY300" s="30">
        <f t="shared" si="913"/>
      </c>
      <c r="AZ300" s="30">
        <f t="shared" si="913"/>
      </c>
      <c r="BA300" s="30">
        <f t="shared" si="913"/>
      </c>
      <c r="BB300" s="308">
        <f t="shared" si="913"/>
      </c>
      <c r="BC300" s="30">
        <f t="shared" si="913"/>
      </c>
      <c r="BD300" s="30">
        <f t="shared" si="913"/>
      </c>
      <c r="BE300" s="30">
        <f t="shared" si="913"/>
      </c>
      <c r="BF300" s="30">
        <f t="shared" si="913"/>
      </c>
      <c r="BG300" s="308">
        <f t="shared" ref="BG300:BP301" si="914">IF(BB295="NM","NM",IF(BG295="NM","NM",IF(BB295&lt;=0,"NM",IF(BG295=0,"NM",IF(ABS(BG295/BB295-1)&gt;2.5,"NM",IF((ABS(BG295-BB295)=ABS(ABS(BG295)-ABS(BB295))),(BG295/BB295-1),"NM"))))))</f>
      </c>
      <c r="BH300" s="30">
        <f t="shared" si="914"/>
      </c>
      <c r="BI300" s="30">
        <f t="shared" si="914"/>
      </c>
      <c r="BJ300" s="30">
        <f t="shared" si="914"/>
      </c>
      <c r="BK300" s="30">
        <f t="shared" si="914"/>
      </c>
      <c r="BL300" s="308">
        <f t="shared" si="914"/>
      </c>
      <c r="BM300" s="30">
        <f t="shared" si="914"/>
      </c>
      <c r="BN300" s="30">
        <f t="shared" si="914"/>
      </c>
      <c r="BO300" s="30">
        <f t="shared" si="914"/>
      </c>
      <c r="BP300" s="30">
        <f t="shared" si="914"/>
      </c>
      <c r="BQ300" s="308">
        <f t="shared" ref="BQ300:BZ301" si="915">IF(BL295="NM","NM",IF(BQ295="NM","NM",IF(BL295&lt;=0,"NM",IF(BQ295=0,"NM",IF(ABS(BQ295/BL295-1)&gt;2.5,"NM",IF((ABS(BQ295-BL295)=ABS(ABS(BQ295)-ABS(BL295))),(BQ295/BL295-1),"NM"))))))</f>
      </c>
      <c r="BR300" s="30">
        <f t="shared" si="915"/>
      </c>
      <c r="BS300" s="30">
        <f t="shared" si="915"/>
      </c>
      <c r="BT300" s="30">
        <f t="shared" si="915"/>
      </c>
      <c r="BU300" s="30">
        <f t="shared" si="915"/>
      </c>
      <c r="BV300" s="308">
        <f t="shared" si="915"/>
      </c>
      <c r="BW300" s="30">
        <f t="shared" si="915"/>
      </c>
      <c r="BX300" s="30">
        <f t="shared" si="915"/>
      </c>
      <c r="BY300" s="30">
        <f t="shared" si="915"/>
      </c>
      <c r="BZ300" s="30">
        <f t="shared" si="915"/>
      </c>
      <c r="CA300" s="308">
        <f t="shared" ref="CA300:CC301" si="916">IF(BV295="NM","NM",IF(CA295="NM","NM",IF(BV295&lt;=0,"NM",IF(CA295=0,"NM",IF(ABS(CA295/BV295-1)&gt;2.5,"NM",IF((ABS(CA295-BV295)=ABS(ABS(CA295)-ABS(BV295))),(CA295/BV295-1),"NM"))))))</f>
      </c>
      <c r="CB300" s="30">
        <f t="shared" si="916"/>
      </c>
      <c r="CC300" s="30">
        <f t="shared" si="916"/>
      </c>
      <c r="CD300" s="30">
        <f t="shared" ref="CD300:CF301" si="917">IF(BY295="NM","NM",IF(CD295="NM","NM",IF(BY295&lt;=0,"NM",IF(CD295=0,"NM",IF(ABS(CD295/BY295-1)&gt;2.5,"NM",IF((ABS(CD295-BY295)=ABS(ABS(CD295)-ABS(BY295))),(CD295/BY295-1),"NM"))))))</f>
      </c>
      <c r="CE300" s="30">
        <f t="shared" si="917"/>
      </c>
      <c r="CF300" s="308">
        <f t="shared" si="917"/>
      </c>
      <c r="CG300" s="30">
        <f>IF(CB295=0, "NA", CG295/CB295-1)</f>
      </c>
      <c r="CH300" s="30">
        <f>IF(CC295=0, "NA", CH295/CC295-1)</f>
      </c>
      <c r="CI300" s="30">
        <f t="shared" ref="CI300:CK301" si="918">IF(CD295=0, "NA", CI295/CD295-1)</f>
      </c>
      <c r="CJ300" s="30">
        <f t="shared" si="918"/>
      </c>
      <c r="CK300" s="308">
        <f t="shared" si="918"/>
      </c>
      <c r="CL300" s="30">
        <f>IF(CG295=0, "NA", CL295/CG295-1)</f>
      </c>
      <c r="CM300" s="30">
        <f>IF(CH295=0, "NA", CM295/CH295-1)</f>
      </c>
      <c r="CN300" s="30">
        <f t="shared" ref="CN300:CP301" si="919">IF(CI295=0, "NA", CN295/CI295-1)</f>
      </c>
      <c r="CO300" s="30">
        <f t="shared" si="919"/>
      </c>
      <c r="CP300" s="308">
        <f t="shared" si="919"/>
      </c>
      <c r="CQ300" s="926"/>
      <c r="CR300" s="926"/>
      <c r="CS300" s="926"/>
      <c r="CT300" s="926"/>
      <c r="CU300" s="308"/>
      <c r="CV300" s="926"/>
      <c r="CW300" s="926"/>
      <c r="CX300" s="926"/>
      <c r="CY300" s="926"/>
      <c r="CZ300" s="308"/>
      <c r="DA300" s="926"/>
      <c r="DB300" s="30"/>
      <c r="DC300" s="30"/>
      <c r="DD300" s="409"/>
      <c r="DE300" s="308"/>
      <c r="DF300" s="926"/>
      <c r="DG300" s="30"/>
      <c r="DH300" s="30"/>
      <c r="DI300" s="409"/>
      <c r="DJ300" s="308"/>
      <c r="DK300" s="926"/>
      <c r="DL300" s="30"/>
      <c r="DM300" s="30"/>
      <c r="DN300" s="409"/>
      <c r="DO300" s="308"/>
      <c r="DP300" s="30"/>
      <c r="DQ300" s="30"/>
      <c r="DR300" s="30"/>
      <c r="DS300" s="409"/>
      <c r="DT300" s="308"/>
      <c r="DU300" s="926"/>
      <c r="DV300" s="926"/>
      <c r="DW300" s="926"/>
      <c r="DX300" s="928"/>
      <c r="DY300" s="308"/>
      <c r="DZ300" s="926"/>
      <c r="EA300" s="926"/>
      <c r="EB300" s="926"/>
      <c r="EC300" s="928"/>
      <c r="ED300" s="1060"/>
      <c r="EE300" s="926"/>
      <c r="EF300" s="926"/>
      <c r="EG300" s="926"/>
      <c r="EH300" s="928"/>
      <c r="EI300" s="308"/>
      <c r="EJ300" s="308"/>
      <c r="EK300" s="308"/>
      <c r="EL300" s="308"/>
      <c r="EM300" s="308"/>
      <c r="EN300" s="308"/>
      <c r="EO300" s="308"/>
      <c r="EP300" s="308"/>
      <c r="EQ300" s="308"/>
      <c r="ER300" s="308"/>
      <c r="ES300" s="308"/>
      <c r="ET300" s="308"/>
      <c r="EU300" s="308"/>
      <c r="EV300" s="308"/>
      <c r="EW300" s="308"/>
      <c r="EX300" s="308"/>
    </row>
    <row r="301" spans="1:154" ht="12.75" hidden="1" customHeight="1">
      <c r="B301" s="460" t="s">
        <v>412</v>
      </c>
      <c r="C301" s="1989"/>
      <c r="D301" s="28"/>
      <c r="E301" s="28"/>
      <c r="F301" s="28"/>
      <c r="G301" s="28"/>
      <c r="H301" s="28"/>
      <c r="I301" s="30">
        <f t="shared" si="909"/>
      </c>
      <c r="J301" s="30">
        <f t="shared" si="909"/>
      </c>
      <c r="K301" s="30">
        <f t="shared" si="909"/>
      </c>
      <c r="L301" s="30">
        <f t="shared" si="909"/>
      </c>
      <c r="M301" s="30">
        <f t="shared" si="909"/>
      </c>
      <c r="N301" s="30">
        <f t="shared" si="909"/>
      </c>
      <c r="O301" s="30">
        <f t="shared" si="909"/>
      </c>
      <c r="P301" s="30">
        <f t="shared" si="909"/>
      </c>
      <c r="Q301" s="30">
        <f t="shared" si="909"/>
      </c>
      <c r="R301" s="30">
        <f t="shared" si="909"/>
      </c>
      <c r="S301" s="30">
        <f t="shared" si="910"/>
      </c>
      <c r="T301" s="30">
        <f t="shared" si="910"/>
      </c>
      <c r="U301" s="30">
        <f t="shared" si="910"/>
      </c>
      <c r="V301" s="30">
        <f t="shared" si="910"/>
      </c>
      <c r="W301" s="30">
        <f t="shared" si="910"/>
      </c>
      <c r="X301" s="308">
        <f t="shared" si="910"/>
      </c>
      <c r="Y301" s="30">
        <f t="shared" si="910"/>
      </c>
      <c r="Z301" s="30">
        <f t="shared" si="910"/>
      </c>
      <c r="AA301" s="30">
        <f t="shared" si="910"/>
      </c>
      <c r="AB301" s="30">
        <f t="shared" si="910"/>
      </c>
      <c r="AC301" s="308">
        <f t="shared" si="911"/>
      </c>
      <c r="AD301" s="30">
        <f t="shared" si="911"/>
      </c>
      <c r="AE301" s="30">
        <f t="shared" si="911"/>
      </c>
      <c r="AF301" s="30">
        <f t="shared" si="911"/>
      </c>
      <c r="AG301" s="30">
        <f t="shared" si="911"/>
      </c>
      <c r="AH301" s="308">
        <f t="shared" si="911"/>
      </c>
      <c r="AI301" s="30">
        <f t="shared" si="911"/>
      </c>
      <c r="AJ301" s="30">
        <f t="shared" si="911"/>
      </c>
      <c r="AK301" s="30">
        <f t="shared" si="911"/>
      </c>
      <c r="AL301" s="30">
        <f t="shared" si="911"/>
      </c>
      <c r="AM301" s="308">
        <f t="shared" si="912"/>
      </c>
      <c r="AN301" s="30">
        <f t="shared" si="912"/>
      </c>
      <c r="AO301" s="30">
        <f t="shared" si="912"/>
      </c>
      <c r="AP301" s="30">
        <f t="shared" si="912"/>
      </c>
      <c r="AQ301" s="30">
        <f t="shared" si="912"/>
      </c>
      <c r="AR301" s="308">
        <f t="shared" si="912"/>
      </c>
      <c r="AS301" s="30">
        <f t="shared" si="912"/>
      </c>
      <c r="AT301" s="30">
        <f t="shared" si="912"/>
      </c>
      <c r="AU301" s="30">
        <f t="shared" si="912"/>
      </c>
      <c r="AV301" s="30">
        <f t="shared" si="912"/>
      </c>
      <c r="AW301" s="308">
        <f t="shared" si="913"/>
      </c>
      <c r="AX301" s="30">
        <f t="shared" si="913"/>
      </c>
      <c r="AY301" s="30">
        <f t="shared" si="913"/>
      </c>
      <c r="AZ301" s="30">
        <f t="shared" si="913"/>
      </c>
      <c r="BA301" s="30">
        <f t="shared" si="913"/>
      </c>
      <c r="BB301" s="308">
        <f t="shared" si="913"/>
      </c>
      <c r="BC301" s="30">
        <f t="shared" si="913"/>
      </c>
      <c r="BD301" s="30">
        <f t="shared" si="913"/>
      </c>
      <c r="BE301" s="30">
        <f t="shared" si="913"/>
      </c>
      <c r="BF301" s="30">
        <f t="shared" si="913"/>
      </c>
      <c r="BG301" s="308">
        <f t="shared" si="914"/>
      </c>
      <c r="BH301" s="30">
        <f t="shared" si="914"/>
      </c>
      <c r="BI301" s="30">
        <f t="shared" si="914"/>
      </c>
      <c r="BJ301" s="30">
        <f t="shared" si="914"/>
      </c>
      <c r="BK301" s="30">
        <f t="shared" si="914"/>
      </c>
      <c r="BL301" s="308">
        <f t="shared" si="914"/>
      </c>
      <c r="BM301" s="30">
        <f t="shared" si="914"/>
      </c>
      <c r="BN301" s="30">
        <f t="shared" si="914"/>
      </c>
      <c r="BO301" s="30">
        <f t="shared" si="914"/>
      </c>
      <c r="BP301" s="30">
        <f t="shared" si="914"/>
      </c>
      <c r="BQ301" s="308">
        <f t="shared" si="915"/>
      </c>
      <c r="BR301" s="30">
        <f t="shared" si="915"/>
      </c>
      <c r="BS301" s="30">
        <f t="shared" si="915"/>
      </c>
      <c r="BT301" s="30">
        <f t="shared" si="915"/>
      </c>
      <c r="BU301" s="30">
        <f t="shared" si="915"/>
      </c>
      <c r="BV301" s="308">
        <f t="shared" si="915"/>
      </c>
      <c r="BW301" s="30">
        <f t="shared" si="915"/>
      </c>
      <c r="BX301" s="30">
        <f t="shared" si="915"/>
      </c>
      <c r="BY301" s="30">
        <f t="shared" si="915"/>
      </c>
      <c r="BZ301" s="30">
        <f t="shared" si="915"/>
      </c>
      <c r="CA301" s="308">
        <f t="shared" si="916"/>
      </c>
      <c r="CB301" s="30">
        <f t="shared" si="916"/>
      </c>
      <c r="CC301" s="30">
        <f t="shared" si="916"/>
      </c>
      <c r="CD301" s="30">
        <f t="shared" si="917"/>
      </c>
      <c r="CE301" s="30">
        <f t="shared" si="917"/>
      </c>
      <c r="CF301" s="308">
        <f t="shared" si="917"/>
      </c>
      <c r="CG301" s="30">
        <f>IF(CB296=0, "NA", CG296/CB296-1)</f>
      </c>
      <c r="CH301" s="30">
        <f>IF(CC296=0, "NA", CH296/CC296-1)</f>
      </c>
      <c r="CI301" s="30">
        <f t="shared" si="918"/>
      </c>
      <c r="CJ301" s="30">
        <f t="shared" si="918"/>
      </c>
      <c r="CK301" s="308">
        <f t="shared" si="918"/>
      </c>
      <c r="CL301" s="30">
        <f>IF(CG296=0, "NA", CL296/CG296-1)</f>
      </c>
      <c r="CM301" s="30">
        <f>IF(CH296=0, "NA", CM296/CH296-1)</f>
      </c>
      <c r="CN301" s="30">
        <f t="shared" si="919"/>
      </c>
      <c r="CO301" s="30">
        <f t="shared" si="919"/>
      </c>
      <c r="CP301" s="308">
        <f t="shared" si="919"/>
      </c>
      <c r="CQ301" s="926"/>
      <c r="CR301" s="926"/>
      <c r="CS301" s="926"/>
      <c r="CT301" s="926"/>
      <c r="CU301" s="308"/>
      <c r="CV301" s="926"/>
      <c r="CW301" s="926"/>
      <c r="CX301" s="926"/>
      <c r="CY301" s="926"/>
      <c r="CZ301" s="308"/>
      <c r="DA301" s="926"/>
      <c r="DB301" s="30"/>
      <c r="DC301" s="30"/>
      <c r="DD301" s="409"/>
      <c r="DE301" s="308"/>
      <c r="DF301" s="926"/>
      <c r="DG301" s="30"/>
      <c r="DH301" s="30"/>
      <c r="DI301" s="409"/>
      <c r="DJ301" s="308"/>
      <c r="DK301" s="926"/>
      <c r="DL301" s="30"/>
      <c r="DM301" s="30"/>
      <c r="DN301" s="409"/>
      <c r="DO301" s="308"/>
      <c r="DP301" s="30"/>
      <c r="DQ301" s="30"/>
      <c r="DR301" s="30"/>
      <c r="DS301" s="409"/>
      <c r="DT301" s="308"/>
      <c r="DU301" s="926"/>
      <c r="DV301" s="926"/>
      <c r="DW301" s="926"/>
      <c r="DX301" s="928"/>
      <c r="DY301" s="308"/>
      <c r="DZ301" s="926"/>
      <c r="EA301" s="926"/>
      <c r="EB301" s="926"/>
      <c r="EC301" s="928"/>
      <c r="ED301" s="1060"/>
      <c r="EE301" s="926"/>
      <c r="EF301" s="926"/>
      <c r="EG301" s="926"/>
      <c r="EH301" s="928"/>
      <c r="EI301" s="308"/>
      <c r="EJ301" s="308"/>
      <c r="EK301" s="308"/>
      <c r="EL301" s="308"/>
      <c r="EM301" s="308"/>
      <c r="EN301" s="308"/>
      <c r="EO301" s="308"/>
      <c r="EP301" s="308"/>
      <c r="EQ301" s="308"/>
      <c r="ER301" s="308"/>
      <c r="ES301" s="308"/>
      <c r="ET301" s="308"/>
      <c r="EU301" s="308"/>
      <c r="EV301" s="308"/>
      <c r="EW301" s="308"/>
      <c r="EX301" s="308"/>
    </row>
    <row r="302" spans="1:154" ht="12.75" hidden="1" customHeight="1">
      <c r="B302" s="460" t="s">
        <v>256</v>
      </c>
      <c r="C302" s="1989"/>
      <c r="D302" s="28"/>
      <c r="E302" s="28"/>
      <c r="F302" s="28"/>
      <c r="G302" s="28"/>
      <c r="H302" s="28"/>
      <c r="I302" s="1"/>
      <c r="J302" s="1"/>
      <c r="K302" s="1"/>
      <c r="L302" s="1"/>
      <c r="M302" s="1"/>
      <c r="N302" s="1"/>
      <c r="O302" s="1"/>
      <c r="P302" s="1"/>
      <c r="Q302" s="1"/>
      <c r="R302" s="1"/>
      <c r="S302" s="1"/>
      <c r="T302" s="1"/>
      <c r="U302" s="1"/>
      <c r="V302" s="1"/>
      <c r="W302" s="1"/>
      <c r="X302" s="309"/>
      <c r="Y302" s="1"/>
      <c r="Z302" s="1"/>
      <c r="AA302" s="1"/>
      <c r="AB302" s="1"/>
      <c r="AC302" s="309"/>
      <c r="AD302" s="1"/>
      <c r="AE302" s="1"/>
      <c r="AF302" s="1"/>
      <c r="AG302" s="1"/>
      <c r="AH302" s="309"/>
      <c r="AI302" s="41">
        <f t="shared" ref="AI302:BN302" si="920">IF(ISNUMBER(AI301),(1+AI301)/(1+AI$21)-1,"NM")</f>
      </c>
      <c r="AJ302" s="41">
        <f t="shared" si="920"/>
      </c>
      <c r="AK302" s="41">
        <f t="shared" si="920"/>
      </c>
      <c r="AL302" s="41">
        <f t="shared" si="920"/>
      </c>
      <c r="AM302" s="309">
        <f t="shared" si="920"/>
      </c>
      <c r="AN302" s="41">
        <f t="shared" si="920"/>
      </c>
      <c r="AO302" s="41">
        <f t="shared" si="920"/>
      </c>
      <c r="AP302" s="41">
        <f t="shared" si="920"/>
      </c>
      <c r="AQ302" s="41">
        <f t="shared" si="920"/>
      </c>
      <c r="AR302" s="309">
        <f t="shared" si="920"/>
      </c>
      <c r="AS302" s="41">
        <f t="shared" si="920"/>
      </c>
      <c r="AT302" s="41">
        <f t="shared" si="920"/>
      </c>
      <c r="AU302" s="41">
        <f t="shared" si="920"/>
      </c>
      <c r="AV302" s="41">
        <f t="shared" si="920"/>
      </c>
      <c r="AW302" s="309">
        <f t="shared" si="920"/>
      </c>
      <c r="AX302" s="41">
        <f t="shared" si="920"/>
      </c>
      <c r="AY302" s="41">
        <f t="shared" si="920"/>
      </c>
      <c r="AZ302" s="41">
        <f t="shared" si="920"/>
      </c>
      <c r="BA302" s="41">
        <f t="shared" si="920"/>
      </c>
      <c r="BB302" s="309">
        <f t="shared" si="920"/>
      </c>
      <c r="BC302" s="41">
        <f t="shared" si="920"/>
      </c>
      <c r="BD302" s="41">
        <f t="shared" si="920"/>
      </c>
      <c r="BE302" s="41">
        <f t="shared" si="920"/>
      </c>
      <c r="BF302" s="41">
        <f t="shared" si="920"/>
      </c>
      <c r="BG302" s="309">
        <f t="shared" si="920"/>
      </c>
      <c r="BH302" s="41">
        <f t="shared" si="920"/>
      </c>
      <c r="BI302" s="41">
        <f t="shared" si="920"/>
      </c>
      <c r="BJ302" s="41">
        <f t="shared" si="920"/>
      </c>
      <c r="BK302" s="41">
        <f t="shared" si="920"/>
      </c>
      <c r="BL302" s="309">
        <f t="shared" si="920"/>
      </c>
      <c r="BM302" s="41">
        <f t="shared" si="920"/>
      </c>
      <c r="BN302" s="41">
        <f t="shared" si="920"/>
      </c>
      <c r="BO302" s="41">
        <f t="shared" ref="BO302:CF302" si="921">IF(ISNUMBER(BO301),(1+BO301)/(1+BO$21)-1,"NM")</f>
      </c>
      <c r="BP302" s="41">
        <f t="shared" si="921"/>
      </c>
      <c r="BQ302" s="309">
        <f t="shared" si="921"/>
      </c>
      <c r="BR302" s="41">
        <f t="shared" si="921"/>
      </c>
      <c r="BS302" s="41">
        <f t="shared" si="921"/>
      </c>
      <c r="BT302" s="41">
        <f t="shared" si="921"/>
      </c>
      <c r="BU302" s="41">
        <f t="shared" si="921"/>
      </c>
      <c r="BV302" s="309">
        <f t="shared" si="921"/>
      </c>
      <c r="BW302" s="41">
        <f t="shared" si="921"/>
      </c>
      <c r="BX302" s="41">
        <f t="shared" si="921"/>
      </c>
      <c r="BY302" s="41">
        <f t="shared" si="921"/>
      </c>
      <c r="BZ302" s="41">
        <f t="shared" si="921"/>
      </c>
      <c r="CA302" s="309">
        <f t="shared" si="921"/>
      </c>
      <c r="CB302" s="41">
        <f t="shared" si="921"/>
      </c>
      <c r="CC302" s="41">
        <f t="shared" si="921"/>
      </c>
      <c r="CD302" s="41">
        <f t="shared" si="921"/>
      </c>
      <c r="CE302" s="41">
        <f t="shared" si="921"/>
      </c>
      <c r="CF302" s="309">
        <f t="shared" si="921"/>
      </c>
      <c r="CG302" s="41">
        <f t="shared" ref="CG302:CP302" si="922">CG301-CG$21</f>
      </c>
      <c r="CH302" s="41">
        <f t="shared" si="922"/>
      </c>
      <c r="CI302" s="41">
        <f t="shared" si="922"/>
      </c>
      <c r="CJ302" s="41">
        <f t="shared" si="922"/>
      </c>
      <c r="CK302" s="309">
        <f t="shared" si="922"/>
      </c>
      <c r="CL302" s="41">
        <f t="shared" si="922"/>
      </c>
      <c r="CM302" s="41">
        <f t="shared" si="922"/>
      </c>
      <c r="CN302" s="41">
        <f t="shared" si="922"/>
      </c>
      <c r="CO302" s="41">
        <f t="shared" si="922"/>
      </c>
      <c r="CP302" s="309">
        <f t="shared" si="922"/>
      </c>
      <c r="CQ302" s="925"/>
      <c r="CR302" s="925"/>
      <c r="CS302" s="925"/>
      <c r="CT302" s="925"/>
      <c r="CU302" s="309"/>
      <c r="CV302" s="925"/>
      <c r="CW302" s="925"/>
      <c r="CX302" s="925"/>
      <c r="CY302" s="925"/>
      <c r="CZ302" s="309"/>
      <c r="DA302" s="925"/>
      <c r="DB302" s="41"/>
      <c r="DC302" s="41"/>
      <c r="DD302" s="837"/>
      <c r="DE302" s="309"/>
      <c r="DF302" s="925"/>
      <c r="DG302" s="41"/>
      <c r="DH302" s="41"/>
      <c r="DI302" s="837"/>
      <c r="DJ302" s="309"/>
      <c r="DK302" s="925"/>
      <c r="DL302" s="41"/>
      <c r="DM302" s="41"/>
      <c r="DN302" s="837"/>
      <c r="DO302" s="309"/>
      <c r="DP302" s="41"/>
      <c r="DQ302" s="41"/>
      <c r="DR302" s="41"/>
      <c r="DS302" s="837"/>
      <c r="DT302" s="309"/>
      <c r="DU302" s="925"/>
      <c r="DV302" s="925"/>
      <c r="DW302" s="925"/>
      <c r="DX302" s="927"/>
      <c r="DY302" s="309"/>
      <c r="DZ302" s="925"/>
      <c r="EA302" s="925"/>
      <c r="EB302" s="925"/>
      <c r="EC302" s="927"/>
      <c r="ED302" s="1066"/>
      <c r="EE302" s="925"/>
      <c r="EF302" s="925"/>
      <c r="EG302" s="925"/>
      <c r="EH302" s="927"/>
      <c r="EI302" s="309"/>
      <c r="EJ302" s="309"/>
      <c r="EK302" s="309"/>
      <c r="EL302" s="309"/>
      <c r="EM302" s="309"/>
      <c r="EN302" s="309"/>
      <c r="EO302" s="309"/>
      <c r="EP302" s="309"/>
      <c r="EQ302" s="309"/>
      <c r="ER302" s="309"/>
      <c r="ES302" s="309"/>
      <c r="ET302" s="309"/>
      <c r="EU302" s="309"/>
      <c r="EV302" s="309"/>
      <c r="EW302" s="309"/>
      <c r="EX302" s="309"/>
    </row>
    <row r="303" spans="1:154" ht="12.75" hidden="1" customHeight="1">
      <c r="B303" s="460" t="s">
        <v>413</v>
      </c>
      <c r="C303" s="1989"/>
      <c r="D303" s="28"/>
      <c r="E303" s="28"/>
      <c r="F303" s="28"/>
      <c r="G303" s="28"/>
      <c r="H303" s="28"/>
      <c r="I303" s="30">
        <f t="shared" ref="I303:AN303" si="923">IF(D297="NM","NM",IF(I297="NM","NM",IF(D297&lt;=0,"NM",IF(I297=0,"NM",IF(ABS(I297/D297-1)&gt;2.5,"NM",IF((ABS(I297-D297)=ABS(ABS(I297)-ABS(D297))),(I297/D297-1),"NM"))))))</f>
      </c>
      <c r="J303" s="30">
        <f t="shared" si="923"/>
      </c>
      <c r="K303" s="30">
        <f t="shared" si="923"/>
      </c>
      <c r="L303" s="30">
        <f t="shared" si="923"/>
      </c>
      <c r="M303" s="30">
        <f t="shared" si="923"/>
      </c>
      <c r="N303" s="30">
        <f t="shared" si="923"/>
      </c>
      <c r="O303" s="30">
        <f t="shared" si="923"/>
      </c>
      <c r="P303" s="30">
        <f t="shared" si="923"/>
      </c>
      <c r="Q303" s="30">
        <f t="shared" si="923"/>
      </c>
      <c r="R303" s="30">
        <f t="shared" si="923"/>
      </c>
      <c r="S303" s="30">
        <f t="shared" si="923"/>
      </c>
      <c r="T303" s="30">
        <f t="shared" si="923"/>
      </c>
      <c r="U303" s="30">
        <f t="shared" si="923"/>
      </c>
      <c r="V303" s="30">
        <f t="shared" si="923"/>
      </c>
      <c r="W303" s="30">
        <f t="shared" si="923"/>
      </c>
      <c r="X303" s="308">
        <f t="shared" si="923"/>
      </c>
      <c r="Y303" s="30">
        <f t="shared" si="923"/>
      </c>
      <c r="Z303" s="30">
        <f t="shared" si="923"/>
      </c>
      <c r="AA303" s="30">
        <f t="shared" si="923"/>
      </c>
      <c r="AB303" s="30">
        <f t="shared" si="923"/>
      </c>
      <c r="AC303" s="308">
        <f t="shared" si="923"/>
      </c>
      <c r="AD303" s="30">
        <f t="shared" si="923"/>
      </c>
      <c r="AE303" s="30">
        <f t="shared" si="923"/>
      </c>
      <c r="AF303" s="30">
        <f t="shared" si="923"/>
      </c>
      <c r="AG303" s="30">
        <f t="shared" si="923"/>
      </c>
      <c r="AH303" s="308">
        <f t="shared" si="923"/>
      </c>
      <c r="AI303" s="30">
        <f t="shared" si="923"/>
      </c>
      <c r="AJ303" s="30">
        <f t="shared" si="923"/>
      </c>
      <c r="AK303" s="30">
        <f t="shared" si="923"/>
      </c>
      <c r="AL303" s="30">
        <f t="shared" si="923"/>
      </c>
      <c r="AM303" s="308">
        <f t="shared" si="923"/>
      </c>
      <c r="AN303" s="30">
        <f t="shared" si="923"/>
      </c>
      <c r="AO303" s="30">
        <f t="shared" ref="AO303:BT303" si="924">IF(AJ297="NM","NM",IF(AO297="NM","NM",IF(AJ297&lt;=0,"NM",IF(AO297=0,"NM",IF(ABS(AO297/AJ297-1)&gt;2.5,"NM",IF((ABS(AO297-AJ297)=ABS(ABS(AO297)-ABS(AJ297))),(AO297/AJ297-1),"NM"))))))</f>
      </c>
      <c r="AP303" s="30">
        <f t="shared" si="924"/>
      </c>
      <c r="AQ303" s="30">
        <f t="shared" si="924"/>
      </c>
      <c r="AR303" s="308">
        <f t="shared" si="924"/>
      </c>
      <c r="AS303" s="30">
        <f t="shared" si="924"/>
      </c>
      <c r="AT303" s="30">
        <f t="shared" si="924"/>
      </c>
      <c r="AU303" s="30">
        <f t="shared" si="924"/>
      </c>
      <c r="AV303" s="30">
        <f t="shared" si="924"/>
      </c>
      <c r="AW303" s="308">
        <f t="shared" si="924"/>
      </c>
      <c r="AX303" s="30">
        <f t="shared" si="924"/>
      </c>
      <c r="AY303" s="30">
        <f t="shared" si="924"/>
      </c>
      <c r="AZ303" s="30">
        <f t="shared" si="924"/>
      </c>
      <c r="BA303" s="30">
        <f t="shared" si="924"/>
      </c>
      <c r="BB303" s="308">
        <f t="shared" si="924"/>
      </c>
      <c r="BC303" s="30">
        <f t="shared" si="924"/>
      </c>
      <c r="BD303" s="30">
        <f t="shared" si="924"/>
      </c>
      <c r="BE303" s="30">
        <f t="shared" si="924"/>
      </c>
      <c r="BF303" s="30">
        <f t="shared" si="924"/>
      </c>
      <c r="BG303" s="308">
        <f t="shared" si="924"/>
      </c>
      <c r="BH303" s="30">
        <f t="shared" si="924"/>
      </c>
      <c r="BI303" s="30">
        <f t="shared" si="924"/>
      </c>
      <c r="BJ303" s="30">
        <f t="shared" si="924"/>
      </c>
      <c r="BK303" s="30">
        <f t="shared" si="924"/>
      </c>
      <c r="BL303" s="308">
        <f t="shared" si="924"/>
      </c>
      <c r="BM303" s="30">
        <f t="shared" si="924"/>
      </c>
      <c r="BN303" s="30">
        <f t="shared" si="924"/>
      </c>
      <c r="BO303" s="30">
        <f t="shared" si="924"/>
      </c>
      <c r="BP303" s="30">
        <f t="shared" si="924"/>
      </c>
      <c r="BQ303" s="308">
        <f t="shared" si="924"/>
      </c>
      <c r="BR303" s="30">
        <f t="shared" si="924"/>
      </c>
      <c r="BS303" s="30">
        <f t="shared" si="924"/>
      </c>
      <c r="BT303" s="30">
        <f t="shared" si="924"/>
      </c>
      <c r="BU303" s="30">
        <f t="shared" ref="BU303:CB303" si="925">IF(BP297="NM","NM",IF(BU297="NM","NM",IF(BP297&lt;=0,"NM",IF(BU297=0,"NM",IF(ABS(BU297/BP297-1)&gt;2.5,"NM",IF((ABS(BU297-BP297)=ABS(ABS(BU297)-ABS(BP297))),(BU297/BP297-1),"NM"))))))</f>
      </c>
      <c r="BV303" s="308">
        <f t="shared" si="925"/>
      </c>
      <c r="BW303" s="30">
        <f t="shared" si="925"/>
      </c>
      <c r="BX303" s="30">
        <f t="shared" si="925"/>
      </c>
      <c r="BY303" s="30">
        <f t="shared" si="925"/>
      </c>
      <c r="BZ303" s="30">
        <f t="shared" si="925"/>
      </c>
      <c r="CA303" s="308">
        <f t="shared" si="925"/>
      </c>
      <c r="CB303" s="30">
        <f t="shared" si="925"/>
      </c>
      <c r="CC303" s="30">
        <f>IF(BX297="NM","NM",IF(CC297="NM","NM",IF(BX297&lt;=0,"NM",IF(CC297=0,"NM",IF(ABS(CC297/BX297-1)&gt;2.5,"NM",IF((ABS(CC297-BX297)=ABS(ABS(CC297)-ABS(BX297))),(CC297/BX297-1),"NM"))))))</f>
      </c>
      <c r="CD303" s="30">
        <f>IF(BY297="NM","NM",IF(CD297="NM","NM",IF(BY297&lt;=0,"NM",IF(CD297=0,"NM",IF(ABS(CD297/BY297-1)&gt;2.5,"NM",IF((ABS(CD297-BY297)=ABS(ABS(CD297)-ABS(BY297))),(CD297/BY297-1),"NM"))))))</f>
      </c>
      <c r="CE303" s="30">
        <f>IF(BZ297="NM","NM",IF(CE297="NM","NM",IF(BZ297&lt;=0,"NM",IF(CE297=0,"NM",IF(ABS(CE297/BZ297-1)&gt;2.5,"NM",IF((ABS(CE297-BZ297)=ABS(ABS(CE297)-ABS(BZ297))),(CE297/BZ297-1),"NM"))))))</f>
      </c>
      <c r="CF303" s="308">
        <f>IF(CA297="NM","NM",IF(CF297="NM","NM",IF(CA297&lt;=0,"NM",IF(CF297=0,"NM",IF(ABS(CF297/CA297-1)&gt;2.5,"NM",IF((ABS(CF297-CA297)=ABS(ABS(CF297)-ABS(CA297))),(CF297/CA297-1),"NM"))))))</f>
      </c>
      <c r="CG303" s="30">
        <f t="shared" ref="CG303:CP303" si="926">IF(CB297=0, "NA", CG297/CB297-1)</f>
      </c>
      <c r="CH303" s="30">
        <f t="shared" si="926"/>
      </c>
      <c r="CI303" s="30">
        <f t="shared" si="926"/>
      </c>
      <c r="CJ303" s="30">
        <f t="shared" si="926"/>
      </c>
      <c r="CK303" s="308">
        <f t="shared" si="926"/>
      </c>
      <c r="CL303" s="30">
        <f t="shared" si="926"/>
      </c>
      <c r="CM303" s="30">
        <f t="shared" si="926"/>
      </c>
      <c r="CN303" s="30">
        <f t="shared" si="926"/>
      </c>
      <c r="CO303" s="30">
        <f t="shared" si="926"/>
      </c>
      <c r="CP303" s="308">
        <f t="shared" si="926"/>
      </c>
      <c r="CQ303" s="926"/>
      <c r="CR303" s="926"/>
      <c r="CS303" s="926"/>
      <c r="CT303" s="926"/>
      <c r="CU303" s="308"/>
      <c r="CV303" s="926"/>
      <c r="CW303" s="926"/>
      <c r="CX303" s="926"/>
      <c r="CY303" s="926"/>
      <c r="CZ303" s="308"/>
      <c r="DA303" s="926"/>
      <c r="DB303" s="30"/>
      <c r="DC303" s="30"/>
      <c r="DD303" s="409"/>
      <c r="DE303" s="308"/>
      <c r="DF303" s="926"/>
      <c r="DG303" s="30"/>
      <c r="DH303" s="30"/>
      <c r="DI303" s="409"/>
      <c r="DJ303" s="308"/>
      <c r="DK303" s="926"/>
      <c r="DL303" s="30"/>
      <c r="DM303" s="30"/>
      <c r="DN303" s="409"/>
      <c r="DO303" s="308"/>
      <c r="DP303" s="30"/>
      <c r="DQ303" s="30"/>
      <c r="DR303" s="30"/>
      <c r="DS303" s="409"/>
      <c r="DT303" s="308"/>
      <c r="DU303" s="926"/>
      <c r="DV303" s="926"/>
      <c r="DW303" s="926"/>
      <c r="DX303" s="928"/>
      <c r="DY303" s="308"/>
      <c r="DZ303" s="926"/>
      <c r="EA303" s="926"/>
      <c r="EB303" s="926"/>
      <c r="EC303" s="928"/>
      <c r="ED303" s="1060"/>
      <c r="EE303" s="926"/>
      <c r="EF303" s="926"/>
      <c r="EG303" s="926"/>
      <c r="EH303" s="928"/>
      <c r="EI303" s="308"/>
      <c r="EJ303" s="308"/>
      <c r="EK303" s="308"/>
      <c r="EL303" s="308"/>
      <c r="EM303" s="308"/>
      <c r="EN303" s="308"/>
      <c r="EO303" s="308"/>
      <c r="EP303" s="308"/>
      <c r="EQ303" s="308"/>
      <c r="ER303" s="308"/>
      <c r="ES303" s="308"/>
      <c r="ET303" s="308"/>
      <c r="EU303" s="308"/>
      <c r="EV303" s="308"/>
      <c r="EW303" s="308"/>
      <c r="EX303" s="308"/>
    </row>
    <row r="304" spans="1:154" ht="12.75" hidden="1" customHeight="1">
      <c r="B304" s="458"/>
      <c r="C304" s="1989"/>
      <c r="D304" s="28"/>
      <c r="E304" s="28"/>
      <c r="F304" s="28"/>
      <c r="G304" s="28"/>
      <c r="H304" s="28"/>
      <c r="I304" s="31"/>
      <c r="J304" s="28"/>
      <c r="K304" s="28"/>
      <c r="L304" s="28"/>
      <c r="M304" s="28"/>
      <c r="N304" s="31"/>
      <c r="O304" s="31"/>
      <c r="P304" s="31"/>
      <c r="Q304" s="31"/>
      <c r="R304" s="31"/>
      <c r="S304" s="31"/>
      <c r="T304" s="31"/>
      <c r="U304" s="31"/>
      <c r="V304" s="31"/>
      <c r="W304" s="31"/>
      <c r="X304" s="312"/>
      <c r="Y304" s="31"/>
      <c r="Z304" s="31"/>
      <c r="AA304" s="31"/>
      <c r="AB304" s="31"/>
      <c r="AC304" s="312"/>
      <c r="AD304" s="31"/>
      <c r="AE304" s="31"/>
      <c r="AF304" s="31"/>
      <c r="AG304" s="31"/>
      <c r="AH304" s="312"/>
      <c r="AI304" s="28"/>
      <c r="AJ304" s="28"/>
      <c r="AK304" s="28"/>
      <c r="AL304" s="31"/>
      <c r="AM304" s="312"/>
      <c r="AN304" s="28"/>
      <c r="AO304" s="28"/>
      <c r="AP304" s="28"/>
      <c r="AQ304" s="31"/>
      <c r="AR304" s="312"/>
      <c r="AS304" s="28"/>
      <c r="AT304" s="28"/>
      <c r="AU304" s="28"/>
      <c r="AV304" s="28"/>
      <c r="AW304" s="312"/>
      <c r="AX304" s="28"/>
      <c r="AY304" s="28"/>
      <c r="AZ304" s="28"/>
      <c r="BA304" s="28"/>
      <c r="BB304" s="312"/>
      <c r="BC304" s="28"/>
      <c r="BD304" s="28"/>
      <c r="BE304" s="28"/>
      <c r="BF304" s="28"/>
      <c r="BG304" s="312"/>
      <c r="BH304" s="28"/>
      <c r="BI304" s="28"/>
      <c r="BJ304" s="28"/>
      <c r="BK304" s="28"/>
      <c r="BL304" s="312"/>
      <c r="BM304" s="28"/>
      <c r="BN304" s="28"/>
      <c r="BO304" s="28"/>
      <c r="BP304" s="28"/>
      <c r="BQ304" s="312"/>
      <c r="BR304" s="28"/>
      <c r="BS304" s="28"/>
      <c r="BT304" s="28"/>
      <c r="BU304" s="28"/>
      <c r="BV304" s="312"/>
      <c r="BW304" s="28"/>
      <c r="BX304" s="28"/>
      <c r="BY304" s="28"/>
      <c r="BZ304" s="28"/>
      <c r="CA304" s="312"/>
      <c r="CB304" s="28"/>
      <c r="CC304" s="28"/>
      <c r="CD304" s="28"/>
      <c r="CE304" s="28"/>
      <c r="CF304" s="312"/>
      <c r="CG304" s="28"/>
      <c r="CH304" s="28"/>
      <c r="CI304" s="28"/>
      <c r="CJ304" s="28"/>
      <c r="CK304" s="312"/>
      <c r="CL304" s="961"/>
      <c r="CM304" s="933"/>
      <c r="CN304" s="933"/>
      <c r="CO304" s="28"/>
      <c r="CP304" s="312"/>
      <c r="CQ304" s="933"/>
      <c r="CR304" s="933"/>
      <c r="CS304" s="933"/>
      <c r="CT304" s="933"/>
      <c r="CU304" s="312"/>
      <c r="CV304" s="933"/>
      <c r="CW304" s="933"/>
      <c r="CX304" s="933"/>
      <c r="CY304" s="933"/>
      <c r="CZ304" s="312"/>
      <c r="DA304" s="933"/>
      <c r="DB304" s="28"/>
      <c r="DC304" s="28"/>
      <c r="DD304" s="876"/>
      <c r="DE304" s="445"/>
      <c r="DF304" s="982"/>
      <c r="DG304" s="444"/>
      <c r="DH304" s="444"/>
      <c r="DI304" s="1788"/>
      <c r="DJ304" s="445"/>
      <c r="DK304" s="982"/>
      <c r="DL304" s="444"/>
      <c r="DM304" s="444"/>
      <c r="DN304" s="1788"/>
      <c r="DO304" s="445"/>
      <c r="DP304" s="444"/>
      <c r="DQ304" s="444"/>
      <c r="DR304" s="444"/>
      <c r="DS304" s="1788"/>
      <c r="DT304" s="445"/>
      <c r="DU304" s="982"/>
      <c r="DV304" s="982"/>
      <c r="DW304" s="982"/>
      <c r="DX304" s="1875"/>
      <c r="DY304" s="445"/>
      <c r="DZ304" s="982"/>
      <c r="EA304" s="982"/>
      <c r="EB304" s="982"/>
      <c r="EC304" s="1875"/>
      <c r="ED304" s="1866"/>
      <c r="EE304" s="982"/>
      <c r="EF304" s="982"/>
      <c r="EG304" s="982"/>
      <c r="EH304" s="1875"/>
      <c r="EI304" s="445"/>
      <c r="EJ304" s="445"/>
      <c r="EK304" s="445"/>
      <c r="EL304" s="445"/>
      <c r="EM304" s="445"/>
      <c r="EN304" s="445"/>
      <c r="EO304" s="445"/>
      <c r="EP304" s="445"/>
      <c r="EQ304" s="445"/>
      <c r="ER304" s="445"/>
      <c r="ES304" s="445"/>
      <c r="ET304" s="445"/>
      <c r="EU304" s="445"/>
      <c r="EV304" s="445"/>
      <c r="EW304" s="445"/>
      <c r="EX304" s="445"/>
    </row>
    <row r="305" spans="1:154" ht="12.75" hidden="1" customHeight="1">
      <c r="B305" s="436" t="s">
        <v>511</v>
      </c>
      <c r="C305" s="1989"/>
      <c r="D305" s="28"/>
      <c r="E305" s="28"/>
      <c r="F305" s="28"/>
      <c r="G305" s="28"/>
      <c r="H305" s="28"/>
      <c r="I305" s="31"/>
      <c r="J305" s="28"/>
      <c r="K305" s="28"/>
      <c r="L305" s="28"/>
      <c r="M305" s="28"/>
      <c r="N305" s="31"/>
      <c r="O305" s="31"/>
      <c r="P305" s="31"/>
      <c r="Q305" s="31"/>
      <c r="R305" s="31"/>
      <c r="S305" s="31"/>
      <c r="T305" s="31"/>
      <c r="U305" s="31"/>
      <c r="V305" s="31"/>
      <c r="W305" s="31"/>
      <c r="X305" s="313"/>
      <c r="Y305" s="31"/>
      <c r="Z305" s="31"/>
      <c r="AA305" s="31"/>
      <c r="AB305" s="31"/>
      <c r="AC305" s="313"/>
      <c r="AD305" s="31"/>
      <c r="AE305" s="31"/>
      <c r="AF305" s="31"/>
      <c r="AG305" s="31"/>
      <c r="AH305" s="313"/>
      <c r="AI305" s="32"/>
      <c r="AJ305" s="28"/>
      <c r="AK305" s="28"/>
      <c r="AL305" s="31"/>
      <c r="AM305" s="313"/>
      <c r="AN305" s="28"/>
      <c r="AO305" s="28"/>
      <c r="AP305" s="28"/>
      <c r="AQ305" s="31"/>
      <c r="AR305" s="313"/>
      <c r="AS305" s="34"/>
      <c r="AT305" s="28"/>
      <c r="AU305" s="28"/>
      <c r="AV305" s="28"/>
      <c r="AW305" s="313"/>
      <c r="AX305" s="28"/>
      <c r="AY305" s="28"/>
      <c r="AZ305" s="28"/>
      <c r="BA305" s="28"/>
      <c r="BB305" s="313"/>
      <c r="BC305" s="34"/>
      <c r="BD305" s="34"/>
      <c r="BE305" s="28"/>
      <c r="BF305" s="28"/>
      <c r="BG305" s="313"/>
      <c r="BH305" s="28"/>
      <c r="BI305" s="28"/>
      <c r="BJ305" s="28"/>
      <c r="BK305" s="28"/>
      <c r="BL305" s="313"/>
      <c r="BM305" s="28"/>
      <c r="BN305" s="28"/>
      <c r="BO305" s="28"/>
      <c r="BP305" s="28"/>
      <c r="BQ305" s="313"/>
      <c r="BR305" s="28"/>
      <c r="BS305" s="28"/>
      <c r="BT305" s="28"/>
      <c r="BU305" s="28"/>
      <c r="BV305" s="313"/>
      <c r="BW305" s="28"/>
      <c r="BX305" s="28"/>
      <c r="BY305" s="28"/>
      <c r="BZ305" s="28"/>
      <c r="CA305" s="313"/>
      <c r="CB305" s="28"/>
      <c r="CC305" s="28"/>
      <c r="CD305" s="28"/>
      <c r="CE305" s="28"/>
      <c r="CF305" s="313"/>
      <c r="CG305" s="28"/>
      <c r="CH305" s="28"/>
      <c r="CI305" s="28"/>
      <c r="CJ305" s="28"/>
      <c r="CK305" s="313"/>
      <c r="CL305" s="961"/>
      <c r="CM305" s="933"/>
      <c r="CN305" s="933"/>
      <c r="CO305" s="28"/>
      <c r="CP305" s="313"/>
      <c r="CQ305" s="933"/>
      <c r="CR305" s="933"/>
      <c r="CS305" s="933"/>
      <c r="CT305" s="933"/>
      <c r="CU305" s="313"/>
      <c r="CV305" s="933"/>
      <c r="CW305" s="933"/>
      <c r="CX305" s="933"/>
      <c r="CY305" s="933"/>
      <c r="CZ305" s="313"/>
      <c r="DA305" s="933"/>
      <c r="DB305" s="31"/>
      <c r="DC305" s="31"/>
      <c r="DD305" s="955"/>
      <c r="DE305" s="477"/>
      <c r="DF305" s="982"/>
      <c r="DG305" s="603"/>
      <c r="DH305" s="603"/>
      <c r="DI305" s="1798"/>
      <c r="DJ305" s="477"/>
      <c r="DK305" s="982"/>
      <c r="DL305" s="603"/>
      <c r="DM305" s="603"/>
      <c r="DN305" s="1798"/>
      <c r="DO305" s="477"/>
      <c r="DP305" s="603"/>
      <c r="DQ305" s="603"/>
      <c r="DR305" s="603"/>
      <c r="DS305" s="1798"/>
      <c r="DT305" s="477"/>
      <c r="DU305" s="603"/>
      <c r="DV305" s="603"/>
      <c r="DW305" s="603"/>
      <c r="DX305" s="1798"/>
      <c r="DY305" s="477"/>
      <c r="DZ305" s="603"/>
      <c r="EA305" s="603"/>
      <c r="EB305" s="603"/>
      <c r="EC305" s="1798"/>
      <c r="ED305" s="477"/>
      <c r="EE305" s="603"/>
      <c r="EF305" s="603"/>
      <c r="EG305" s="603"/>
      <c r="EH305" s="1798"/>
      <c r="EI305" s="477"/>
      <c r="EJ305" s="477"/>
      <c r="EK305" s="477"/>
      <c r="EL305" s="477"/>
      <c r="EM305" s="477"/>
      <c r="EN305" s="477"/>
      <c r="EO305" s="477"/>
      <c r="EP305" s="477"/>
      <c r="EQ305" s="477"/>
      <c r="ER305" s="477"/>
      <c r="ES305" s="477"/>
      <c r="ET305" s="477"/>
      <c r="EU305" s="477"/>
      <c r="EV305" s="477"/>
      <c r="EW305" s="477"/>
      <c r="EX305" s="477"/>
    </row>
    <row r="306" spans="1:154" ht="12.75" hidden="1" customHeight="1">
      <c r="A306" s="3275" t="str">
        <f>A308&amp;" - US"</f>
      </c>
      <c r="B306" s="437" t="s">
        <v>416</v>
      </c>
      <c r="C306" s="1995">
        <v>39600</v>
      </c>
      <c r="D306" s="31">
        <f>+I306/(1+I311)</f>
      </c>
      <c r="E306" s="33">
        <v>218</v>
      </c>
      <c r="F306" s="33">
        <v>247.88732394366198</v>
      </c>
      <c r="G306" s="33">
        <v>214</v>
      </c>
      <c r="H306" s="33">
        <v>212</v>
      </c>
      <c r="I306" s="31">
        <f>+SUM(E306:H306)</f>
      </c>
      <c r="J306" s="33">
        <v>273</v>
      </c>
      <c r="K306" s="33">
        <v>352</v>
      </c>
      <c r="L306" s="33">
        <v>271</v>
      </c>
      <c r="M306" s="33">
        <v>188</v>
      </c>
      <c r="N306" s="31">
        <f>+SUM(J306:M306)</f>
      </c>
      <c r="O306" s="33">
        <v>315</v>
      </c>
      <c r="P306" s="33">
        <v>364</v>
      </c>
      <c r="Q306" s="33">
        <v>266</v>
      </c>
      <c r="R306" s="33">
        <v>295</v>
      </c>
      <c r="S306" s="31">
        <f>SUM(O306:R306)</f>
      </c>
      <c r="T306" s="33">
        <v>380</v>
      </c>
      <c r="U306" s="33">
        <v>335</v>
      </c>
      <c r="V306" s="33">
        <v>337</v>
      </c>
      <c r="W306" s="33">
        <v>352</v>
      </c>
      <c r="X306" s="313">
        <f>SUM(T306:W306)</f>
      </c>
      <c r="Y306" s="33">
        <v>377</v>
      </c>
      <c r="Z306" s="33">
        <v>390</v>
      </c>
      <c r="AA306" s="33">
        <v>335</v>
      </c>
      <c r="AB306" s="33">
        <v>352</v>
      </c>
      <c r="AC306" s="313">
        <f>SUM(Y306:AB306)</f>
      </c>
      <c r="AD306" s="33">
        <v>414</v>
      </c>
      <c r="AE306" s="33">
        <v>399</v>
      </c>
      <c r="AF306" s="33">
        <v>420</v>
      </c>
      <c r="AG306" s="33">
        <v>478</v>
      </c>
      <c r="AH306" s="313">
        <f>SUM(AD306:AG306)</f>
      </c>
      <c r="AI306" s="33">
        <v>462.3</v>
      </c>
      <c r="AJ306" s="33">
        <v>492</v>
      </c>
      <c r="AK306" s="33">
        <v>513</v>
      </c>
      <c r="AL306" s="33">
        <v>478</v>
      </c>
      <c r="AM306" s="313">
        <f>+SUM(AI306:AL306)</f>
      </c>
      <c r="AN306" s="33">
        <v>585</v>
      </c>
      <c r="AO306" s="33">
        <v>568</v>
      </c>
      <c r="AP306" s="33">
        <v>635</v>
      </c>
      <c r="AQ306" s="33">
        <v>629</v>
      </c>
      <c r="AR306" s="313">
        <f>+SUM(AN306:AQ306)</f>
      </c>
      <c r="AS306" s="33">
        <v>559</v>
      </c>
      <c r="AT306" s="33">
        <v>530</v>
      </c>
      <c r="AU306" s="33">
        <v>495</v>
      </c>
      <c r="AV306" s="33">
        <v>515</v>
      </c>
      <c r="AW306" s="313">
        <f>SUM(AS306:AV306)</f>
      </c>
      <c r="AX306" s="33">
        <v>582</v>
      </c>
      <c r="AY306" s="33">
        <v>492</v>
      </c>
      <c r="AZ306" s="33">
        <v>122</v>
      </c>
      <c r="BA306" s="33">
        <v>91</v>
      </c>
      <c r="BB306" s="313">
        <f>SUM(AX306:BA306)</f>
      </c>
      <c r="BC306" s="33">
        <v>118</v>
      </c>
      <c r="BD306" s="33">
        <v>70</v>
      </c>
      <c r="BE306" s="33">
        <v>35</v>
      </c>
      <c r="BF306" s="33">
        <v>24</v>
      </c>
      <c r="BG306" s="313">
        <f>SUM(BC306:BF306)</f>
      </c>
      <c r="BH306" s="33">
        <v>5</v>
      </c>
      <c r="BI306" s="33">
        <v>-17</v>
      </c>
      <c r="BJ306" s="33">
        <v>-2</v>
      </c>
      <c r="BK306" s="33">
        <v>2</v>
      </c>
      <c r="BL306" s="313">
        <f>SUM(BH306:BK306)</f>
      </c>
      <c r="BM306" s="33">
        <v>8</v>
      </c>
      <c r="BN306" s="33">
        <v>11</v>
      </c>
      <c r="BO306" s="33">
        <v>8</v>
      </c>
      <c r="BP306" s="33">
        <v>7</v>
      </c>
      <c r="BQ306" s="313">
        <f>SUM(BM306:BP306)</f>
      </c>
      <c r="BR306" s="880">
        <v>7.6</v>
      </c>
      <c r="BS306" s="761">
        <v>9.9</v>
      </c>
      <c r="BT306" s="761">
        <v>7.2</v>
      </c>
      <c r="BU306" s="761">
        <v>6.41</v>
      </c>
      <c r="BV306" s="313">
        <f>SUM(BR306:BU306)</f>
      </c>
      <c r="BW306" s="761">
        <v>6.84</v>
      </c>
      <c r="BX306" s="761">
        <v>9</v>
      </c>
      <c r="BY306" s="761">
        <v>7</v>
      </c>
      <c r="BZ306" s="761">
        <v>5</v>
      </c>
      <c r="CA306" s="479">
        <f>SUM(BW306:BZ306)</f>
      </c>
      <c r="CB306" s="761">
        <v>6</v>
      </c>
      <c r="CC306" s="761">
        <v>8</v>
      </c>
      <c r="CD306" s="761">
        <v>6.7</v>
      </c>
      <c r="CE306" s="761">
        <v>4.8</v>
      </c>
      <c r="CF306" s="479">
        <f>SUM(CB306:CE306)</f>
      </c>
      <c r="CG306" s="761">
        <v>4.7</v>
      </c>
      <c r="CH306" s="761">
        <v>7.6</v>
      </c>
      <c r="CI306" s="761">
        <v>6</v>
      </c>
      <c r="CJ306" s="761">
        <v>7</v>
      </c>
      <c r="CK306" s="479">
        <f>SUM(CG306:CJ306)</f>
      </c>
      <c r="CL306" s="761">
        <v>7</v>
      </c>
      <c r="CM306" s="761">
        <v>6.5</v>
      </c>
      <c r="CN306" s="761">
        <v>5</v>
      </c>
      <c r="CO306" s="761">
        <v>5</v>
      </c>
      <c r="CP306" s="479">
        <f>SUM(CL306:CO306)</f>
      </c>
      <c r="CQ306" s="352"/>
      <c r="CR306" s="352"/>
      <c r="CS306" s="31"/>
      <c r="CT306" s="31"/>
      <c r="CU306" s="479"/>
      <c r="CV306" s="352"/>
      <c r="CW306" s="31"/>
      <c r="CX306" s="31"/>
      <c r="CY306" s="31"/>
      <c r="CZ306" s="479"/>
      <c r="DA306" s="352"/>
      <c r="DB306" s="31"/>
      <c r="DC306" s="31"/>
      <c r="DD306" s="955"/>
      <c r="DE306" s="477"/>
      <c r="DF306" s="1801"/>
      <c r="DG306" s="603"/>
      <c r="DH306" s="603"/>
      <c r="DI306" s="1798"/>
      <c r="DJ306" s="477"/>
      <c r="DK306" s="1801"/>
      <c r="DL306" s="603"/>
      <c r="DM306" s="603"/>
      <c r="DN306" s="1798"/>
      <c r="DO306" s="477"/>
      <c r="DP306" s="603"/>
      <c r="DQ306" s="603"/>
      <c r="DR306" s="603"/>
      <c r="DS306" s="1798"/>
      <c r="DT306" s="477"/>
      <c r="DU306" s="603"/>
      <c r="DV306" s="603"/>
      <c r="DW306" s="603"/>
      <c r="DX306" s="1798"/>
      <c r="DY306" s="477"/>
      <c r="DZ306" s="603"/>
      <c r="EA306" s="603"/>
      <c r="EB306" s="603"/>
      <c r="EC306" s="1798"/>
      <c r="ED306" s="477"/>
      <c r="EE306" s="603"/>
      <c r="EF306" s="603"/>
      <c r="EG306" s="603"/>
      <c r="EH306" s="1798"/>
      <c r="EI306" s="477"/>
      <c r="EJ306" s="477"/>
      <c r="EK306" s="477"/>
      <c r="EL306" s="477"/>
      <c r="EM306" s="477"/>
      <c r="EN306" s="477"/>
      <c r="EO306" s="477"/>
      <c r="EP306" s="477"/>
      <c r="EQ306" s="477"/>
      <c r="ER306" s="477"/>
      <c r="ES306" s="477"/>
      <c r="ET306" s="477"/>
      <c r="EU306" s="477"/>
      <c r="EV306" s="477"/>
      <c r="EW306" s="477"/>
      <c r="EX306" s="477"/>
    </row>
    <row r="307" spans="1:154" ht="12.75" hidden="1" customHeight="1">
      <c r="B307" s="437" t="s">
        <v>417</v>
      </c>
      <c r="C307" s="1995">
        <v>39417</v>
      </c>
      <c r="D307" s="31">
        <f>+I307/(1+I312)</f>
      </c>
      <c r="E307" s="33">
        <v>102</v>
      </c>
      <c r="F307" s="33">
        <v>108</v>
      </c>
      <c r="G307" s="33">
        <v>110</v>
      </c>
      <c r="H307" s="33">
        <v>117</v>
      </c>
      <c r="I307" s="31">
        <f>+SUM(E307:H307)</f>
      </c>
      <c r="J307" s="33">
        <v>121</v>
      </c>
      <c r="K307" s="33">
        <v>131</v>
      </c>
      <c r="L307" s="33">
        <v>126</v>
      </c>
      <c r="M307" s="33">
        <v>142</v>
      </c>
      <c r="N307" s="31">
        <f>+SUM(J307:M307)</f>
      </c>
      <c r="O307" s="33">
        <v>137</v>
      </c>
      <c r="P307" s="33">
        <v>153</v>
      </c>
      <c r="Q307" s="33">
        <v>149</v>
      </c>
      <c r="R307" s="33">
        <v>166</v>
      </c>
      <c r="S307" s="31">
        <f>SUM(O307:R307)</f>
      </c>
      <c r="T307" s="33">
        <v>167</v>
      </c>
      <c r="U307" s="33">
        <v>172</v>
      </c>
      <c r="V307" s="33">
        <v>187</v>
      </c>
      <c r="W307" s="33">
        <v>216</v>
      </c>
      <c r="X307" s="313">
        <f>SUM(T307:W307)</f>
      </c>
      <c r="Y307" s="33">
        <v>224</v>
      </c>
      <c r="Z307" s="33">
        <v>265</v>
      </c>
      <c r="AA307" s="33">
        <v>264</v>
      </c>
      <c r="AB307" s="33">
        <v>306</v>
      </c>
      <c r="AC307" s="313">
        <f>SUM(Y307:AB307)</f>
      </c>
      <c r="AD307" s="33">
        <v>317</v>
      </c>
      <c r="AE307" s="33">
        <v>328</v>
      </c>
      <c r="AF307" s="33">
        <v>326</v>
      </c>
      <c r="AG307" s="33">
        <v>368</v>
      </c>
      <c r="AH307" s="313">
        <f>SUM(AD307:AG307)</f>
      </c>
      <c r="AI307" s="33">
        <v>382</v>
      </c>
      <c r="AJ307" s="33">
        <v>402</v>
      </c>
      <c r="AK307" s="33">
        <v>403</v>
      </c>
      <c r="AL307" s="33">
        <v>419</v>
      </c>
      <c r="AM307" s="313">
        <f>+SUM(AI307:AL307)</f>
      </c>
      <c r="AN307" s="33">
        <v>433</v>
      </c>
      <c r="AO307" s="33">
        <v>468</v>
      </c>
      <c r="AP307" s="33">
        <v>433</v>
      </c>
      <c r="AQ307" s="33">
        <v>432</v>
      </c>
      <c r="AR307" s="313">
        <f>+SUM(AN307:AQ307)</f>
      </c>
      <c r="AS307" s="33">
        <v>308</v>
      </c>
      <c r="AT307" s="33">
        <v>306</v>
      </c>
      <c r="AU307" s="33">
        <v>296</v>
      </c>
      <c r="AV307" s="33">
        <v>296</v>
      </c>
      <c r="AW307" s="313">
        <f>SUM(AS307:AV307)</f>
      </c>
      <c r="AX307" s="33">
        <v>227</v>
      </c>
      <c r="AY307" s="33">
        <v>220</v>
      </c>
      <c r="AZ307" s="33">
        <v>198</v>
      </c>
      <c r="BA307" s="33">
        <v>194</v>
      </c>
      <c r="BB307" s="313">
        <f>SUM(AX307:BA307)</f>
      </c>
      <c r="BC307" s="33">
        <v>157</v>
      </c>
      <c r="BD307" s="33">
        <v>169</v>
      </c>
      <c r="BE307" s="33">
        <v>157</v>
      </c>
      <c r="BF307" s="33">
        <v>169</v>
      </c>
      <c r="BG307" s="313">
        <f>SUM(BC307:BF307)</f>
      </c>
      <c r="BH307" s="33">
        <v>133</v>
      </c>
      <c r="BI307" s="33">
        <v>134</v>
      </c>
      <c r="BJ307" s="33">
        <v>123</v>
      </c>
      <c r="BK307" s="33">
        <v>149</v>
      </c>
      <c r="BL307" s="313">
        <f>SUM(BH307:BK307)</f>
      </c>
      <c r="BM307" s="33">
        <v>119</v>
      </c>
      <c r="BN307" s="33">
        <v>128</v>
      </c>
      <c r="BO307" s="33">
        <v>120</v>
      </c>
      <c r="BP307" s="33">
        <v>141</v>
      </c>
      <c r="BQ307" s="313">
        <f>SUM(BM307:BP307)</f>
      </c>
      <c r="BR307" s="880">
        <v>104.958</v>
      </c>
      <c r="BS307" s="761">
        <v>106.4</v>
      </c>
      <c r="BT307" s="761">
        <v>99.9</v>
      </c>
      <c r="BU307" s="761">
        <v>94.308161070875428</v>
      </c>
      <c r="BV307" s="313">
        <f>SUM(BR307:BU307)</f>
      </c>
      <c r="BW307" s="761">
        <v>84.506830825607778</v>
      </c>
      <c r="BX307" s="761">
        <v>83</v>
      </c>
      <c r="BY307" s="761">
        <v>78</v>
      </c>
      <c r="BZ307" s="761">
        <v>73</v>
      </c>
      <c r="CA307" s="479">
        <f>SUM(BW307:BZ307)</f>
      </c>
      <c r="CB307" s="761">
        <v>68</v>
      </c>
      <c r="CC307" s="761">
        <v>66</v>
      </c>
      <c r="CD307" s="761">
        <v>61.4</v>
      </c>
      <c r="CE307" s="761">
        <v>54.5</v>
      </c>
      <c r="CF307" s="479">
        <f>SUM(CB307:CE307)</f>
      </c>
      <c r="CG307" s="761">
        <v>59.6</v>
      </c>
      <c r="CH307" s="761">
        <v>46.3</v>
      </c>
      <c r="CI307" s="761">
        <v>43</v>
      </c>
      <c r="CJ307" s="761">
        <v>39.314707357512951</v>
      </c>
      <c r="CK307" s="479">
        <f>SUM(CG307:CJ307)</f>
      </c>
      <c r="CL307" s="761">
        <v>39.314707357512951</v>
      </c>
      <c r="CM307" s="761">
        <v>36.799999999999997</v>
      </c>
      <c r="CN307" s="761">
        <v>38</v>
      </c>
      <c r="CO307" s="761">
        <v>35</v>
      </c>
      <c r="CP307" s="479">
        <f>SUM(CL307:CO307)</f>
      </c>
      <c r="CQ307" s="352"/>
      <c r="CR307" s="352"/>
      <c r="CS307" s="933"/>
      <c r="CT307" s="933"/>
      <c r="CU307" s="479"/>
      <c r="CV307" s="352"/>
      <c r="CW307" s="933"/>
      <c r="CX307" s="933"/>
      <c r="CY307" s="933"/>
      <c r="CZ307" s="479"/>
      <c r="DA307" s="352"/>
      <c r="DB307" s="31"/>
      <c r="DC307" s="31"/>
      <c r="DD307" s="955"/>
      <c r="DE307" s="477"/>
      <c r="DF307" s="1801"/>
      <c r="DG307" s="603"/>
      <c r="DH307" s="603"/>
      <c r="DI307" s="1798"/>
      <c r="DJ307" s="477"/>
      <c r="DK307" s="1801"/>
      <c r="DL307" s="603"/>
      <c r="DM307" s="603"/>
      <c r="DN307" s="1798"/>
      <c r="DO307" s="477"/>
      <c r="DP307" s="603"/>
      <c r="DQ307" s="603"/>
      <c r="DR307" s="603"/>
      <c r="DS307" s="1798"/>
      <c r="DT307" s="477"/>
      <c r="DU307" s="603"/>
      <c r="DV307" s="603"/>
      <c r="DW307" s="603"/>
      <c r="DX307" s="1798"/>
      <c r="DY307" s="477"/>
      <c r="DZ307" s="603"/>
      <c r="EA307" s="603"/>
      <c r="EB307" s="603"/>
      <c r="EC307" s="1798"/>
      <c r="ED307" s="477"/>
      <c r="EE307" s="603"/>
      <c r="EF307" s="603"/>
      <c r="EG307" s="603"/>
      <c r="EH307" s="1798"/>
      <c r="EI307" s="477"/>
      <c r="EJ307" s="477"/>
      <c r="EK307" s="477"/>
      <c r="EL307" s="477"/>
      <c r="EM307" s="477"/>
      <c r="EN307" s="477"/>
      <c r="EO307" s="477"/>
      <c r="EP307" s="477"/>
      <c r="EQ307" s="477"/>
      <c r="ER307" s="477"/>
      <c r="ES307" s="477"/>
      <c r="ET307" s="477"/>
      <c r="EU307" s="477"/>
      <c r="EV307" s="477"/>
      <c r="EW307" s="477"/>
      <c r="EX307" s="477"/>
    </row>
    <row r="308" spans="1:154" ht="12.75" hidden="1" customHeight="1">
      <c r="A308" s="3275" t="s">
        <v>414</v>
      </c>
      <c r="B308" s="437" t="s">
        <v>418</v>
      </c>
      <c r="C308" s="1989"/>
      <c r="D308" s="28">
        <f t="shared" ref="D308:AI308" si="927">+D306+D307</f>
      </c>
      <c r="E308" s="28">
        <f t="shared" si="927"/>
      </c>
      <c r="F308" s="28">
        <f t="shared" si="927"/>
      </c>
      <c r="G308" s="28">
        <f t="shared" si="927"/>
      </c>
      <c r="H308" s="28">
        <f t="shared" si="927"/>
      </c>
      <c r="I308" s="31">
        <f t="shared" si="927"/>
      </c>
      <c r="J308" s="28">
        <f t="shared" si="927"/>
      </c>
      <c r="K308" s="28">
        <f t="shared" si="927"/>
      </c>
      <c r="L308" s="28">
        <f t="shared" si="927"/>
      </c>
      <c r="M308" s="28">
        <f t="shared" si="927"/>
      </c>
      <c r="N308" s="31">
        <f t="shared" si="927"/>
      </c>
      <c r="O308" s="31">
        <f t="shared" si="927"/>
      </c>
      <c r="P308" s="31">
        <f t="shared" si="927"/>
      </c>
      <c r="Q308" s="31">
        <f t="shared" si="927"/>
      </c>
      <c r="R308" s="31">
        <f t="shared" si="927"/>
      </c>
      <c r="S308" s="31">
        <f t="shared" si="927"/>
      </c>
      <c r="T308" s="31">
        <f t="shared" si="927"/>
      </c>
      <c r="U308" s="31">
        <f t="shared" si="927"/>
      </c>
      <c r="V308" s="31">
        <f t="shared" si="927"/>
      </c>
      <c r="W308" s="31">
        <f t="shared" si="927"/>
      </c>
      <c r="X308" s="313">
        <f t="shared" si="927"/>
      </c>
      <c r="Y308" s="31">
        <f t="shared" si="927"/>
      </c>
      <c r="Z308" s="31">
        <f t="shared" si="927"/>
      </c>
      <c r="AA308" s="31">
        <f t="shared" si="927"/>
      </c>
      <c r="AB308" s="31">
        <f t="shared" si="927"/>
      </c>
      <c r="AC308" s="313">
        <f t="shared" si="927"/>
      </c>
      <c r="AD308" s="31">
        <f t="shared" si="927"/>
      </c>
      <c r="AE308" s="31">
        <f t="shared" si="927"/>
      </c>
      <c r="AF308" s="31">
        <f t="shared" si="927"/>
      </c>
      <c r="AG308" s="31">
        <f t="shared" si="927"/>
      </c>
      <c r="AH308" s="313">
        <f t="shared" si="927"/>
      </c>
      <c r="AI308" s="28">
        <f t="shared" si="927"/>
      </c>
      <c r="AJ308" s="28">
        <f t="shared" ref="AJ308:BK308" si="928">+AJ306+AJ307</f>
      </c>
      <c r="AK308" s="28">
        <f t="shared" si="928"/>
      </c>
      <c r="AL308" s="31">
        <f t="shared" si="928"/>
      </c>
      <c r="AM308" s="313">
        <f t="shared" si="928"/>
      </c>
      <c r="AN308" s="28">
        <f t="shared" si="928"/>
      </c>
      <c r="AO308" s="28">
        <f t="shared" si="928"/>
      </c>
      <c r="AP308" s="28">
        <f t="shared" si="928"/>
      </c>
      <c r="AQ308" s="31">
        <f t="shared" si="928"/>
      </c>
      <c r="AR308" s="313">
        <f t="shared" si="928"/>
      </c>
      <c r="AS308" s="28">
        <f t="shared" si="928"/>
      </c>
      <c r="AT308" s="28">
        <f t="shared" si="928"/>
      </c>
      <c r="AU308" s="28">
        <f t="shared" si="928"/>
      </c>
      <c r="AV308" s="31">
        <f t="shared" si="928"/>
      </c>
      <c r="AW308" s="313">
        <f t="shared" si="928"/>
      </c>
      <c r="AX308" s="28">
        <f t="shared" si="928"/>
      </c>
      <c r="AY308" s="28">
        <f t="shared" si="928"/>
      </c>
      <c r="AZ308" s="28">
        <f t="shared" si="928"/>
      </c>
      <c r="BA308" s="28">
        <f t="shared" si="928"/>
      </c>
      <c r="BB308" s="313">
        <f t="shared" si="928"/>
      </c>
      <c r="BC308" s="28">
        <f t="shared" si="928"/>
      </c>
      <c r="BD308" s="28">
        <f t="shared" si="928"/>
      </c>
      <c r="BE308" s="28">
        <f t="shared" si="928"/>
      </c>
      <c r="BF308" s="28">
        <f t="shared" si="928"/>
      </c>
      <c r="BG308" s="313">
        <f t="shared" si="928"/>
      </c>
      <c r="BH308" s="28">
        <f t="shared" si="928"/>
      </c>
      <c r="BI308" s="28">
        <f t="shared" si="928"/>
      </c>
      <c r="BJ308" s="28">
        <f t="shared" si="928"/>
      </c>
      <c r="BK308" s="28">
        <f t="shared" si="928"/>
      </c>
      <c r="BL308" s="313">
        <f>SUM(BH308:BK308)</f>
      </c>
      <c r="BM308" s="28">
        <f>+BM306+BM307</f>
      </c>
      <c r="BN308" s="28">
        <f>+BN306+BN307</f>
      </c>
      <c r="BO308" s="28">
        <f>+BO306+BO307</f>
      </c>
      <c r="BP308" s="28">
        <f>+BP306+BP307</f>
      </c>
      <c r="BQ308" s="313">
        <f>SUM(BM308:BP308)</f>
      </c>
      <c r="BR308" s="28">
        <f>+BR306+BR307</f>
      </c>
      <c r="BS308" s="28">
        <f>+BS306+BS307</f>
      </c>
      <c r="BT308" s="28">
        <f>+BT306+BT307</f>
      </c>
      <c r="BU308" s="28">
        <f>+BU306+BU307</f>
      </c>
      <c r="BV308" s="313">
        <f>SUM(BR308:BU308)</f>
      </c>
      <c r="BW308" s="28">
        <f>+BW306+BW307</f>
      </c>
      <c r="BX308" s="28">
        <f>+BX306+BX307</f>
      </c>
      <c r="BY308" s="28">
        <f>+BY306+BY307</f>
      </c>
      <c r="BZ308" s="28">
        <f>+BZ306+BZ307</f>
      </c>
      <c r="CA308" s="479">
        <f>SUM(BW308:BZ308)</f>
      </c>
      <c r="CB308" s="28">
        <f>+CB306+CB307</f>
      </c>
      <c r="CC308" s="28">
        <f>+CC306+CC307</f>
      </c>
      <c r="CD308" s="28">
        <f>+CD306+CD307</f>
      </c>
      <c r="CE308" s="28">
        <f>+CE306+CE307</f>
      </c>
      <c r="CF308" s="479">
        <f>SUM(CB308:CE308)</f>
      </c>
      <c r="CG308" s="28">
        <f>+CG306+CG307</f>
      </c>
      <c r="CH308" s="28">
        <f>+CH306+CH307</f>
      </c>
      <c r="CI308" s="28">
        <f>+CI306+CI307</f>
      </c>
      <c r="CJ308" s="28">
        <f>+CJ306+CJ307</f>
      </c>
      <c r="CK308" s="479">
        <f>SUM(CG308:CJ308)</f>
      </c>
      <c r="CL308" s="28">
        <f>+CL306+CL307</f>
      </c>
      <c r="CM308" s="28">
        <f>+CM306+CM307</f>
      </c>
      <c r="CN308" s="28">
        <f>+CN306+CN307</f>
      </c>
      <c r="CO308" s="28">
        <f>+CO306+CO307</f>
      </c>
      <c r="CP308" s="479">
        <f>SUM(CL308:CO308)</f>
      </c>
      <c r="CQ308" s="933"/>
      <c r="CR308" s="933"/>
      <c r="CS308" s="933"/>
      <c r="CT308" s="933"/>
      <c r="CU308" s="479"/>
      <c r="CV308" s="933"/>
      <c r="CW308" s="933"/>
      <c r="CX308" s="933"/>
      <c r="CY308" s="933"/>
      <c r="CZ308" s="479"/>
      <c r="DA308" s="933"/>
      <c r="DB308" s="31"/>
      <c r="DC308" s="31"/>
      <c r="DD308" s="955"/>
      <c r="DE308" s="477"/>
      <c r="DF308" s="982"/>
      <c r="DG308" s="603"/>
      <c r="DH308" s="603"/>
      <c r="DI308" s="1798"/>
      <c r="DJ308" s="477"/>
      <c r="DK308" s="982"/>
      <c r="DL308" s="603"/>
      <c r="DM308" s="603"/>
      <c r="DN308" s="1798"/>
      <c r="DO308" s="477"/>
      <c r="DP308" s="603"/>
      <c r="DQ308" s="603"/>
      <c r="DR308" s="603"/>
      <c r="DS308" s="1798"/>
      <c r="DT308" s="477"/>
      <c r="DU308" s="603"/>
      <c r="DV308" s="603"/>
      <c r="DW308" s="603"/>
      <c r="DX308" s="1798"/>
      <c r="DY308" s="477"/>
      <c r="DZ308" s="603"/>
      <c r="EA308" s="603"/>
      <c r="EB308" s="603"/>
      <c r="EC308" s="1798"/>
      <c r="ED308" s="477"/>
      <c r="EE308" s="603"/>
      <c r="EF308" s="603"/>
      <c r="EG308" s="603"/>
      <c r="EH308" s="1798"/>
      <c r="EI308" s="477"/>
      <c r="EJ308" s="477"/>
      <c r="EK308" s="477"/>
      <c r="EL308" s="477"/>
      <c r="EM308" s="477"/>
      <c r="EN308" s="477"/>
      <c r="EO308" s="477"/>
      <c r="EP308" s="477"/>
      <c r="EQ308" s="477"/>
      <c r="ER308" s="477"/>
      <c r="ES308" s="477"/>
      <c r="ET308" s="477"/>
      <c r="EU308" s="477"/>
      <c r="EV308" s="477"/>
      <c r="EW308" s="477"/>
      <c r="EX308" s="477"/>
    </row>
    <row r="309" spans="1:154" ht="12.75" hidden="1" customHeight="1">
      <c r="B309" s="437"/>
      <c r="C309" s="1989"/>
      <c r="D309" s="28"/>
      <c r="E309" s="28"/>
      <c r="F309" s="28"/>
      <c r="G309" s="28"/>
      <c r="H309" s="28"/>
      <c r="I309" s="31"/>
      <c r="J309" s="28"/>
      <c r="K309" s="28"/>
      <c r="L309" s="28"/>
      <c r="M309" s="28"/>
      <c r="N309" s="31"/>
      <c r="O309" s="31"/>
      <c r="P309" s="31"/>
      <c r="Q309" s="31"/>
      <c r="R309" s="31"/>
      <c r="S309" s="31"/>
      <c r="T309" s="31"/>
      <c r="U309" s="31"/>
      <c r="V309" s="31"/>
      <c r="W309" s="31"/>
      <c r="X309" s="313"/>
      <c r="Y309" s="31"/>
      <c r="Z309" s="31"/>
      <c r="AA309" s="31"/>
      <c r="AB309" s="31"/>
      <c r="AC309" s="313"/>
      <c r="AD309" s="31"/>
      <c r="AE309" s="31"/>
      <c r="AF309" s="31"/>
      <c r="AG309" s="31"/>
      <c r="AH309" s="313"/>
      <c r="AI309" s="28"/>
      <c r="AJ309" s="28"/>
      <c r="AK309" s="28"/>
      <c r="AL309" s="31"/>
      <c r="AM309" s="313"/>
      <c r="AN309" s="28"/>
      <c r="AO309" s="28"/>
      <c r="AP309" s="28"/>
      <c r="AQ309" s="31"/>
      <c r="AR309" s="313"/>
      <c r="AS309" s="28"/>
      <c r="AT309" s="28"/>
      <c r="AU309" s="28"/>
      <c r="AV309" s="31"/>
      <c r="AW309" s="313"/>
      <c r="AX309" s="28"/>
      <c r="AY309" s="28"/>
      <c r="AZ309" s="28"/>
      <c r="BA309" s="28"/>
      <c r="BB309" s="313"/>
      <c r="BC309" s="28"/>
      <c r="BD309" s="28"/>
      <c r="BE309" s="28"/>
      <c r="BF309" s="28"/>
      <c r="BG309" s="313"/>
      <c r="BH309" s="28"/>
      <c r="BI309" s="28"/>
      <c r="BJ309" s="28"/>
      <c r="BK309" s="28"/>
      <c r="BL309" s="313"/>
      <c r="BM309" s="28"/>
      <c r="BN309" s="28"/>
      <c r="BO309" s="28"/>
      <c r="BP309" s="28"/>
      <c r="BQ309" s="313"/>
      <c r="BR309" s="28"/>
      <c r="BS309" s="28"/>
      <c r="BT309" s="28"/>
      <c r="BU309" s="28"/>
      <c r="BV309" s="313"/>
      <c r="BW309" s="28"/>
      <c r="BX309" s="28"/>
      <c r="BY309" s="28"/>
      <c r="BZ309" s="28"/>
      <c r="CA309" s="313"/>
      <c r="CB309" s="28"/>
      <c r="CC309" s="28"/>
      <c r="CD309" s="28"/>
      <c r="CE309" s="28"/>
      <c r="CF309" s="313"/>
      <c r="CG309" s="28"/>
      <c r="CH309" s="28"/>
      <c r="CI309" s="28"/>
      <c r="CJ309" s="28"/>
      <c r="CK309" s="313"/>
      <c r="CL309" s="28"/>
      <c r="CM309" s="28"/>
      <c r="CN309" s="28"/>
      <c r="CO309" s="28"/>
      <c r="CP309" s="313"/>
      <c r="CQ309" s="933"/>
      <c r="CR309" s="933"/>
      <c r="CS309" s="933"/>
      <c r="CT309" s="933"/>
      <c r="CU309" s="313"/>
      <c r="CV309" s="933"/>
      <c r="CW309" s="933"/>
      <c r="CX309" s="933"/>
      <c r="CY309" s="933"/>
      <c r="CZ309" s="313"/>
      <c r="DA309" s="933"/>
      <c r="DB309" s="31"/>
      <c r="DC309" s="31"/>
      <c r="DD309" s="955"/>
      <c r="DE309" s="477"/>
      <c r="DF309" s="982"/>
      <c r="DG309" s="603"/>
      <c r="DH309" s="603"/>
      <c r="DI309" s="1798"/>
      <c r="DJ309" s="477"/>
      <c r="DK309" s="982"/>
      <c r="DL309" s="603"/>
      <c r="DM309" s="603"/>
      <c r="DN309" s="1798"/>
      <c r="DO309" s="477"/>
      <c r="DP309" s="603"/>
      <c r="DQ309" s="603"/>
      <c r="DR309" s="603"/>
      <c r="DS309" s="1798"/>
      <c r="DT309" s="477"/>
      <c r="DU309" s="603"/>
      <c r="DV309" s="603"/>
      <c r="DW309" s="603"/>
      <c r="DX309" s="1798"/>
      <c r="DY309" s="477"/>
      <c r="DZ309" s="603"/>
      <c r="EA309" s="603"/>
      <c r="EB309" s="603"/>
      <c r="EC309" s="1798"/>
      <c r="ED309" s="477"/>
      <c r="EE309" s="603"/>
      <c r="EF309" s="603"/>
      <c r="EG309" s="603"/>
      <c r="EH309" s="1798"/>
      <c r="EI309" s="477"/>
      <c r="EJ309" s="477"/>
      <c r="EK309" s="477"/>
      <c r="EL309" s="477"/>
      <c r="EM309" s="477"/>
      <c r="EN309" s="477"/>
      <c r="EO309" s="477"/>
      <c r="EP309" s="477"/>
      <c r="EQ309" s="477"/>
      <c r="ER309" s="477"/>
      <c r="ES309" s="477"/>
      <c r="ET309" s="477"/>
      <c r="EU309" s="477"/>
      <c r="EV309" s="477"/>
      <c r="EW309" s="477"/>
      <c r="EX309" s="477"/>
    </row>
    <row r="310" spans="1:154" ht="12.75" hidden="1" customHeight="1">
      <c r="B310" s="439" t="s">
        <v>213</v>
      </c>
      <c r="C310" s="1989"/>
      <c r="D310" s="28"/>
      <c r="E310" s="28"/>
      <c r="F310" s="28"/>
      <c r="G310" s="28"/>
      <c r="H310" s="28"/>
      <c r="I310" s="31"/>
      <c r="J310" s="28"/>
      <c r="K310" s="28"/>
      <c r="L310" s="28"/>
      <c r="M310" s="28"/>
      <c r="N310" s="31"/>
      <c r="O310" s="31"/>
      <c r="P310" s="31"/>
      <c r="Q310" s="31"/>
      <c r="R310" s="31"/>
      <c r="S310" s="31"/>
      <c r="T310" s="31"/>
      <c r="U310" s="31"/>
      <c r="V310" s="31"/>
      <c r="W310" s="31"/>
      <c r="X310" s="313"/>
      <c r="Y310" s="31"/>
      <c r="Z310" s="31"/>
      <c r="AA310" s="31"/>
      <c r="AB310" s="31"/>
      <c r="AC310" s="313"/>
      <c r="AD310" s="31"/>
      <c r="AE310" s="31"/>
      <c r="AF310" s="31"/>
      <c r="AG310" s="31"/>
      <c r="AH310" s="313"/>
      <c r="AI310" s="28"/>
      <c r="AJ310" s="28"/>
      <c r="AK310" s="28"/>
      <c r="AL310" s="31"/>
      <c r="AM310" s="313"/>
      <c r="AN310" s="28"/>
      <c r="AO310" s="28"/>
      <c r="AP310" s="28"/>
      <c r="AQ310" s="31"/>
      <c r="AR310" s="313"/>
      <c r="AS310" s="28"/>
      <c r="AT310" s="28"/>
      <c r="AU310" s="28"/>
      <c r="AV310" s="31"/>
      <c r="AW310" s="313"/>
      <c r="AX310" s="28"/>
      <c r="AY310" s="28"/>
      <c r="AZ310" s="28"/>
      <c r="BA310" s="28"/>
      <c r="BB310" s="313"/>
      <c r="BC310" s="28"/>
      <c r="BD310" s="28"/>
      <c r="BE310" s="28"/>
      <c r="BF310" s="28"/>
      <c r="BG310" s="313"/>
      <c r="BH310" s="28"/>
      <c r="BI310" s="28"/>
      <c r="BJ310" s="28"/>
      <c r="BK310" s="28"/>
      <c r="BL310" s="313"/>
      <c r="BM310" s="28"/>
      <c r="BN310" s="28"/>
      <c r="BO310" s="28"/>
      <c r="BP310" s="28"/>
      <c r="BQ310" s="313"/>
      <c r="BR310" s="28"/>
      <c r="BS310" s="28"/>
      <c r="BT310" s="28"/>
      <c r="BU310" s="28"/>
      <c r="BV310" s="313"/>
      <c r="BW310" s="28"/>
      <c r="BX310" s="28"/>
      <c r="BY310" s="28"/>
      <c r="BZ310" s="28"/>
      <c r="CA310" s="313"/>
      <c r="CB310" s="28"/>
      <c r="CC310" s="28"/>
      <c r="CD310" s="28"/>
      <c r="CE310" s="28"/>
      <c r="CF310" s="313"/>
      <c r="CG310" s="28"/>
      <c r="CH310" s="28"/>
      <c r="CI310" s="28"/>
      <c r="CJ310" s="28"/>
      <c r="CK310" s="313"/>
      <c r="CL310" s="28"/>
      <c r="CM310" s="933"/>
      <c r="CN310" s="28"/>
      <c r="CO310" s="28"/>
      <c r="CP310" s="313"/>
      <c r="CQ310" s="933"/>
      <c r="CR310" s="933"/>
      <c r="CS310" s="933"/>
      <c r="CT310" s="933"/>
      <c r="CU310" s="313"/>
      <c r="CV310" s="933"/>
      <c r="CW310" s="933"/>
      <c r="CX310" s="933"/>
      <c r="CY310" s="933"/>
      <c r="CZ310" s="313"/>
      <c r="DA310" s="933"/>
      <c r="DB310" s="31"/>
      <c r="DC310" s="31"/>
      <c r="DD310" s="955"/>
      <c r="DE310" s="477"/>
      <c r="DF310" s="982"/>
      <c r="DG310" s="603"/>
      <c r="DH310" s="603"/>
      <c r="DI310" s="1798"/>
      <c r="DJ310" s="477"/>
      <c r="DK310" s="982"/>
      <c r="DL310" s="603"/>
      <c r="DM310" s="603"/>
      <c r="DN310" s="1798"/>
      <c r="DO310" s="477"/>
      <c r="DP310" s="603"/>
      <c r="DQ310" s="603"/>
      <c r="DR310" s="603"/>
      <c r="DS310" s="1798"/>
      <c r="DT310" s="477"/>
      <c r="DU310" s="603"/>
      <c r="DV310" s="603"/>
      <c r="DW310" s="603"/>
      <c r="DX310" s="1798"/>
      <c r="DY310" s="477"/>
      <c r="DZ310" s="603"/>
      <c r="EA310" s="603"/>
      <c r="EB310" s="603"/>
      <c r="EC310" s="1798"/>
      <c r="ED310" s="477"/>
      <c r="EE310" s="603"/>
      <c r="EF310" s="603"/>
      <c r="EG310" s="603"/>
      <c r="EH310" s="1798"/>
      <c r="EI310" s="477"/>
      <c r="EJ310" s="477"/>
      <c r="EK310" s="477"/>
      <c r="EL310" s="477"/>
      <c r="EM310" s="477"/>
      <c r="EN310" s="477"/>
      <c r="EO310" s="477"/>
      <c r="EP310" s="477"/>
      <c r="EQ310" s="477"/>
      <c r="ER310" s="477"/>
      <c r="ES310" s="477"/>
      <c r="ET310" s="477"/>
      <c r="EU310" s="477"/>
      <c r="EV310" s="477"/>
      <c r="EW310" s="477"/>
      <c r="EX310" s="477"/>
    </row>
    <row r="311" spans="1:154" ht="12.75" hidden="1" customHeight="1">
      <c r="B311" s="440" t="s">
        <v>416</v>
      </c>
      <c r="C311" s="1989"/>
      <c r="D311" s="28"/>
      <c r="E311" s="28"/>
      <c r="F311" s="28"/>
      <c r="G311" s="28"/>
      <c r="H311" s="28"/>
      <c r="I311" s="29">
        <v>0.28000000000000003</v>
      </c>
      <c r="J311" s="30">
        <f t="shared" ref="J311:S312" si="929">IF(E306="NM","NM",IF(J306="NM","NM",IF(E306&lt;=0,"NM",IF(J306=0,"NM",IF(ABS(J306/E306-1)&gt;2.5,"NM",IF((ABS(J306-E306)=ABS(ABS(J306)-ABS(E306))),(J306/E306-1),"NM"))))))</f>
      </c>
      <c r="K311" s="30">
        <f t="shared" si="929"/>
      </c>
      <c r="L311" s="30">
        <f t="shared" si="929"/>
      </c>
      <c r="M311" s="30">
        <f t="shared" si="929"/>
      </c>
      <c r="N311" s="30">
        <f t="shared" si="929"/>
      </c>
      <c r="O311" s="30">
        <f t="shared" si="929"/>
      </c>
      <c r="P311" s="30">
        <f t="shared" si="929"/>
      </c>
      <c r="Q311" s="30">
        <f t="shared" si="929"/>
      </c>
      <c r="R311" s="30">
        <f t="shared" si="929"/>
      </c>
      <c r="S311" s="30">
        <f t="shared" si="929"/>
      </c>
      <c r="T311" s="30">
        <f t="shared" ref="T311:AC312" si="930">IF(O306="NM","NM",IF(T306="NM","NM",IF(O306&lt;=0,"NM",IF(T306=0,"NM",IF(ABS(T306/O306-1)&gt;2.5,"NM",IF((ABS(T306-O306)=ABS(ABS(T306)-ABS(O306))),(T306/O306-1),"NM"))))))</f>
      </c>
      <c r="U311" s="30">
        <f t="shared" si="930"/>
      </c>
      <c r="V311" s="30">
        <f t="shared" si="930"/>
      </c>
      <c r="W311" s="30">
        <f t="shared" si="930"/>
      </c>
      <c r="X311" s="315">
        <f t="shared" si="930"/>
      </c>
      <c r="Y311" s="30">
        <f t="shared" si="930"/>
      </c>
      <c r="Z311" s="30">
        <f t="shared" si="930"/>
      </c>
      <c r="AA311" s="30">
        <f t="shared" si="930"/>
      </c>
      <c r="AB311" s="30">
        <f t="shared" si="930"/>
      </c>
      <c r="AC311" s="315">
        <f t="shared" si="930"/>
      </c>
      <c r="AD311" s="30">
        <f t="shared" ref="AD311:AM312" si="931">IF(Y306="NM","NM",IF(AD306="NM","NM",IF(Y306&lt;=0,"NM",IF(AD306=0,"NM",IF(ABS(AD306/Y306-1)&gt;2.5,"NM",IF((ABS(AD306-Y306)=ABS(ABS(AD306)-ABS(Y306))),(AD306/Y306-1),"NM"))))))</f>
      </c>
      <c r="AE311" s="30">
        <f t="shared" si="931"/>
      </c>
      <c r="AF311" s="30">
        <f t="shared" si="931"/>
      </c>
      <c r="AG311" s="30">
        <f t="shared" si="931"/>
      </c>
      <c r="AH311" s="315">
        <f t="shared" si="931"/>
      </c>
      <c r="AI311" s="30">
        <f t="shared" si="931"/>
      </c>
      <c r="AJ311" s="30">
        <f t="shared" si="931"/>
      </c>
      <c r="AK311" s="30">
        <f t="shared" si="931"/>
      </c>
      <c r="AL311" s="30">
        <f t="shared" si="931"/>
      </c>
      <c r="AM311" s="315">
        <f t="shared" si="931"/>
      </c>
      <c r="AN311" s="30">
        <f t="shared" ref="AN311:AW312" si="932">IF(AI306="NM","NM",IF(AN306="NM","NM",IF(AI306&lt;=0,"NM",IF(AN306=0,"NM",IF(ABS(AN306/AI306-1)&gt;2.5,"NM",IF((ABS(AN306-AI306)=ABS(ABS(AN306)-ABS(AI306))),(AN306/AI306-1),"NM"))))))</f>
      </c>
      <c r="AO311" s="30">
        <f t="shared" si="932"/>
      </c>
      <c r="AP311" s="30">
        <f t="shared" si="932"/>
      </c>
      <c r="AQ311" s="30">
        <f t="shared" si="932"/>
      </c>
      <c r="AR311" s="315">
        <f t="shared" si="932"/>
      </c>
      <c r="AS311" s="30">
        <f t="shared" si="932"/>
      </c>
      <c r="AT311" s="30">
        <f t="shared" si="932"/>
      </c>
      <c r="AU311" s="30">
        <f t="shared" si="932"/>
      </c>
      <c r="AV311" s="30">
        <f t="shared" si="932"/>
      </c>
      <c r="AW311" s="315">
        <f t="shared" si="932"/>
      </c>
      <c r="AX311" s="30">
        <f t="shared" ref="AX311:BG312" si="933">IF(AS306="NM","NM",IF(AX306="NM","NM",IF(AS306&lt;=0,"NM",IF(AX306=0,"NM",IF(ABS(AX306/AS306-1)&gt;2.5,"NM",IF((ABS(AX306-AS306)=ABS(ABS(AX306)-ABS(AS306))),(AX306/AS306-1),"NM"))))))</f>
      </c>
      <c r="AY311" s="30">
        <f t="shared" si="933"/>
      </c>
      <c r="AZ311" s="30">
        <f t="shared" si="933"/>
      </c>
      <c r="BA311" s="30">
        <f t="shared" si="933"/>
      </c>
      <c r="BB311" s="315">
        <f t="shared" si="933"/>
      </c>
      <c r="BC311" s="30">
        <f t="shared" si="933"/>
      </c>
      <c r="BD311" s="30">
        <f t="shared" si="933"/>
      </c>
      <c r="BE311" s="30">
        <f t="shared" si="933"/>
      </c>
      <c r="BF311" s="30">
        <f t="shared" si="933"/>
      </c>
      <c r="BG311" s="308">
        <f t="shared" si="933"/>
      </c>
      <c r="BH311" s="30">
        <f t="shared" ref="BH311:BQ312" si="934">IF(BC306="NM","NM",IF(BH306="NM","NM",IF(BC306&lt;=0,"NM",IF(BH306=0,"NM",IF(ABS(BH306/BC306-1)&gt;2.5,"NM",IF((ABS(BH306-BC306)=ABS(ABS(BH306)-ABS(BC306))),(BH306/BC306-1),"NM"))))))</f>
      </c>
      <c r="BI311" s="30" t="str">
        <f t="shared" si="934"/>
      </c>
      <c r="BJ311" s="30" t="str">
        <f t="shared" si="934"/>
      </c>
      <c r="BK311" s="30">
        <f t="shared" si="934"/>
      </c>
      <c r="BL311" s="308" t="str">
        <f t="shared" si="934"/>
      </c>
      <c r="BM311" s="30">
        <f t="shared" si="934"/>
      </c>
      <c r="BN311" s="30" t="str">
        <f t="shared" si="934"/>
      </c>
      <c r="BO311" s="30" t="str">
        <f t="shared" si="934"/>
      </c>
      <c r="BP311" s="30">
        <f t="shared" si="934"/>
      </c>
      <c r="BQ311" s="308" t="str">
        <f t="shared" si="934"/>
      </c>
      <c r="BR311" s="30">
        <f>IF(BM306="NM","NM",IF(BR306="NM","NM",IF(BM306&lt;=0,"NM",IF(BR306=0,"NM",IF(ABS(BR306/BM306-1)&gt;2.5,"NM",IF((ABS(BR306-BM306)=ABS(ABS(BR306)-ABS(BM306))),(BR306/BM306-1),"NM"))))))</f>
      </c>
      <c r="BS311" s="30">
        <f t="shared" ref="BS311:BY311" si="935">IF(BN306="NM","NM",IF(BS306="NM","NM",IF(BN306&lt;=0,"NM",IF(BS306=0,"NM",IF(ABS(BS306/BN306-1)&gt;2.5,"NM",IF((ABS(BS306-BN306)=ABS(ABS(BS306)-ABS(BN306))),(BS306/BN306-1),"NM"))))))</f>
      </c>
      <c r="BT311" s="30">
        <f t="shared" si="935"/>
      </c>
      <c r="BU311" s="30">
        <f>IF(BP306="NM","NM",IF(BU306="NM","NM",IF(BP306&lt;=0,"NM",IF(BU306=0,"NM",IF(ABS(BU306/BP306-1)&gt;2.5,"NM",IF((ABS(BU306-BP306)=ABS(ABS(BU306)-ABS(BP306))),(BU306/BP306-1),"NM"))))))</f>
      </c>
      <c r="BV311" s="308">
        <f>IF(BQ306="NM","NM",IF(BV306="NM","NM",IF(BQ306&lt;=0,"NM",IF(BV306=0,"NM",IF(ABS(BV306/BQ306-1)&gt;2.5,"NM",IF((ABS(BV306-BQ306)=ABS(ABS(BV306)-ABS(BQ306))),(BV306/BQ306-1),"NM"))))))</f>
      </c>
      <c r="BW311" s="30">
        <f t="shared" si="935"/>
      </c>
      <c r="BX311" s="30">
        <f t="shared" si="935"/>
      </c>
      <c r="BY311" s="30">
        <f t="shared" si="935"/>
      </c>
      <c r="BZ311" s="30">
        <f>IF(BU306="NM","NM",IF(BZ306="NM","NM",IF(BU306&lt;=0,"NM",IF(BZ306=0,"NM",IF(ABS(BZ306/BU306-1)&gt;2.5,"NM",IF((ABS(BZ306-BU306)=ABS(ABS(BZ306)-ABS(BU306))),(BZ306/BU306-1),"NM"))))))</f>
      </c>
      <c r="CA311" s="315">
        <f>CA306/BV306-1</f>
      </c>
      <c r="CB311" s="30">
        <f t="shared" ref="CB311:CE312" si="936">IF(BW306="NM","NM",IF(CB306="NM","NM",IF(BW306&lt;=0,"NM",IF(CB306=0,"NM",IF(ABS(CB306/BW306-1)&gt;2.5,"NM",IF((ABS(CB306-BW306)=ABS(ABS(CB306)-ABS(BW306))),(CB306/BW306-1),"NM"))))))</f>
      </c>
      <c r="CC311" s="30">
        <f t="shared" si="936"/>
      </c>
      <c r="CD311" s="30">
        <f t="shared" si="936"/>
      </c>
      <c r="CE311" s="30">
        <f t="shared" si="936"/>
      </c>
      <c r="CF311" s="315">
        <f>CF306/CA306-1</f>
      </c>
      <c r="CG311" s="30">
        <f t="shared" ref="CG311:CI312" si="937">IF(CB306="NM","NM",IF(CG306="NM","NM",IF(CB306&lt;=0,"NM",IF(CG306=0,"NM",IF(ABS(CG306/CB306-1)&gt;2.5,"NM",IF((ABS(CG306-CB306)=ABS(ABS(CG306)-ABS(CB306))),(CG306/CB306-1),"NM"))))))</f>
      </c>
      <c r="CH311" s="30">
        <f t="shared" si="937"/>
      </c>
      <c r="CI311" s="30">
        <f t="shared" si="937"/>
      </c>
      <c r="CJ311" s="30">
        <f>IF(CE306="NM","NM",IF(CJ306="NM","NM",IF(CE306&lt;=0,"NM",IF(CJ306=0,"NM",IF(ABS(CJ306/CE306-1)&gt;2.5,"NM",IF((ABS(CJ306-CE306)=ABS(ABS(CJ306)-ABS(CE306))),(CJ306/CE306-1),"NM"))))))</f>
      </c>
      <c r="CK311" s="308">
        <f>IF(CF306=0, "NA", CK306/CF306-1)</f>
      </c>
      <c r="CL311" s="30">
        <f t="shared" ref="CL311:CN312" si="938">IF(CG306="NM","NM",IF(CL306="NM","NM",IF(CG306&lt;=0,"NM",IF(CL306=0,"NM",IF(ABS(CL306/CG306-1)&gt;2.5,"NM",IF((ABS(CL306-CG306)=ABS(ABS(CL306)-ABS(CG306))),(CL306/CG306-1),"NM"))))))</f>
      </c>
      <c r="CM311" s="30">
        <f t="shared" si="938"/>
      </c>
      <c r="CN311" s="30">
        <f t="shared" si="938"/>
      </c>
      <c r="CO311" s="30">
        <f>IF(CJ306="NM","NM",IF(CO306="NM","NM",IF(CJ306&lt;=0,"NM",IF(CO306=0,"NM",IF(ABS(CO306/CJ306-1)&gt;2.5,"NM",IF((ABS(CO306-CJ306)=ABS(ABS(CO306)-ABS(CJ306))),(CO306/CJ306-1),"NM"))))))</f>
      </c>
      <c r="CP311" s="308">
        <f>IF(CK306=0, "NA", CP306/CK306-1)</f>
      </c>
      <c r="CQ311" s="30"/>
      <c r="CR311" s="30"/>
      <c r="CS311" s="361"/>
      <c r="CT311" s="361"/>
      <c r="CU311" s="308"/>
      <c r="CV311" s="30"/>
      <c r="CW311" s="361"/>
      <c r="CX311" s="361"/>
      <c r="CY311" s="361"/>
      <c r="CZ311" s="308"/>
      <c r="DA311" s="30"/>
      <c r="DB311" s="361"/>
      <c r="DC311" s="361"/>
      <c r="DD311" s="835"/>
      <c r="DE311" s="316"/>
      <c r="DF311" s="30"/>
      <c r="DG311" s="361"/>
      <c r="DH311" s="361"/>
      <c r="DI311" s="835"/>
      <c r="DJ311" s="835"/>
      <c r="DK311" s="30"/>
      <c r="DL311" s="361"/>
      <c r="DM311" s="361"/>
      <c r="DN311" s="835"/>
      <c r="DO311" s="835"/>
      <c r="DP311" s="361"/>
      <c r="DQ311" s="361"/>
      <c r="DR311" s="361"/>
      <c r="DS311" s="835"/>
      <c r="DT311" s="835"/>
      <c r="DU311" s="361"/>
      <c r="DV311" s="361"/>
      <c r="DW311" s="361"/>
      <c r="DX311" s="835"/>
      <c r="DY311" s="835"/>
      <c r="DZ311" s="361"/>
      <c r="EA311" s="361"/>
      <c r="EB311" s="361"/>
      <c r="EC311" s="835"/>
      <c r="ED311" s="835"/>
      <c r="EE311" s="361"/>
      <c r="EF311" s="361"/>
      <c r="EG311" s="361"/>
      <c r="EH311" s="835"/>
      <c r="EI311" s="835"/>
      <c r="EJ311" s="835"/>
      <c r="EK311" s="835"/>
      <c r="EL311" s="835"/>
      <c r="EM311" s="835"/>
      <c r="EN311" s="316"/>
      <c r="EO311" s="835"/>
      <c r="EP311" s="835"/>
      <c r="EQ311" s="835"/>
      <c r="ER311" s="835"/>
      <c r="ES311" s="835"/>
      <c r="ET311" s="835"/>
      <c r="EU311" s="835"/>
      <c r="EV311" s="835"/>
      <c r="EW311" s="835"/>
      <c r="EX311" s="835"/>
    </row>
    <row r="312" spans="1:154" ht="12.75" hidden="1" customHeight="1">
      <c r="B312" s="440" t="s">
        <v>417</v>
      </c>
      <c r="C312" s="1989"/>
      <c r="D312" s="28"/>
      <c r="E312" s="28"/>
      <c r="F312" s="28"/>
      <c r="G312" s="28"/>
      <c r="H312" s="28"/>
      <c r="I312" s="29">
        <v>0.37</v>
      </c>
      <c r="J312" s="30">
        <f t="shared" si="929"/>
      </c>
      <c r="K312" s="30">
        <f t="shared" si="929"/>
      </c>
      <c r="L312" s="30">
        <f t="shared" si="929"/>
      </c>
      <c r="M312" s="30">
        <f t="shared" si="929"/>
      </c>
      <c r="N312" s="30">
        <f t="shared" si="929"/>
      </c>
      <c r="O312" s="30">
        <f t="shared" si="929"/>
      </c>
      <c r="P312" s="30">
        <f t="shared" si="929"/>
      </c>
      <c r="Q312" s="30">
        <f t="shared" si="929"/>
      </c>
      <c r="R312" s="30">
        <f t="shared" si="929"/>
      </c>
      <c r="S312" s="30">
        <f t="shared" si="929"/>
      </c>
      <c r="T312" s="30">
        <f t="shared" si="930"/>
      </c>
      <c r="U312" s="30">
        <f t="shared" si="930"/>
      </c>
      <c r="V312" s="30">
        <f t="shared" si="930"/>
      </c>
      <c r="W312" s="30">
        <f t="shared" si="930"/>
      </c>
      <c r="X312" s="315">
        <f t="shared" si="930"/>
      </c>
      <c r="Y312" s="30">
        <f t="shared" si="930"/>
      </c>
      <c r="Z312" s="30">
        <f t="shared" si="930"/>
      </c>
      <c r="AA312" s="30">
        <f t="shared" si="930"/>
      </c>
      <c r="AB312" s="30">
        <f t="shared" si="930"/>
      </c>
      <c r="AC312" s="315">
        <f t="shared" si="930"/>
      </c>
      <c r="AD312" s="30">
        <f t="shared" si="931"/>
      </c>
      <c r="AE312" s="30">
        <f t="shared" si="931"/>
      </c>
      <c r="AF312" s="30">
        <f t="shared" si="931"/>
      </c>
      <c r="AG312" s="30">
        <f t="shared" si="931"/>
      </c>
      <c r="AH312" s="315">
        <f t="shared" si="931"/>
      </c>
      <c r="AI312" s="30">
        <f t="shared" si="931"/>
      </c>
      <c r="AJ312" s="30">
        <f t="shared" si="931"/>
      </c>
      <c r="AK312" s="30">
        <f t="shared" si="931"/>
      </c>
      <c r="AL312" s="30">
        <f t="shared" si="931"/>
      </c>
      <c r="AM312" s="315">
        <f t="shared" si="931"/>
      </c>
      <c r="AN312" s="30">
        <f t="shared" si="932"/>
      </c>
      <c r="AO312" s="30">
        <f t="shared" si="932"/>
      </c>
      <c r="AP312" s="30">
        <f t="shared" si="932"/>
      </c>
      <c r="AQ312" s="30">
        <f t="shared" si="932"/>
      </c>
      <c r="AR312" s="315">
        <f t="shared" si="932"/>
      </c>
      <c r="AS312" s="30">
        <f t="shared" si="932"/>
      </c>
      <c r="AT312" s="30">
        <f t="shared" si="932"/>
      </c>
      <c r="AU312" s="30">
        <f t="shared" si="932"/>
      </c>
      <c r="AV312" s="30">
        <f t="shared" si="932"/>
      </c>
      <c r="AW312" s="315">
        <f t="shared" si="932"/>
      </c>
      <c r="AX312" s="30">
        <f t="shared" si="933"/>
      </c>
      <c r="AY312" s="30">
        <f t="shared" si="933"/>
      </c>
      <c r="AZ312" s="30">
        <f t="shared" si="933"/>
      </c>
      <c r="BA312" s="30">
        <f t="shared" si="933"/>
      </c>
      <c r="BB312" s="315">
        <f t="shared" si="933"/>
      </c>
      <c r="BC312" s="30">
        <f t="shared" si="933"/>
      </c>
      <c r="BD312" s="30">
        <f t="shared" si="933"/>
      </c>
      <c r="BE312" s="30">
        <f t="shared" si="933"/>
      </c>
      <c r="BF312" s="30">
        <f t="shared" si="933"/>
      </c>
      <c r="BG312" s="308">
        <f t="shared" si="933"/>
      </c>
      <c r="BH312" s="30">
        <f t="shared" si="934"/>
      </c>
      <c r="BI312" s="30">
        <f t="shared" si="934"/>
      </c>
      <c r="BJ312" s="30">
        <f t="shared" si="934"/>
      </c>
      <c r="BK312" s="30">
        <f t="shared" si="934"/>
      </c>
      <c r="BL312" s="308">
        <f t="shared" si="934"/>
      </c>
      <c r="BM312" s="30">
        <f t="shared" si="934"/>
      </c>
      <c r="BN312" s="30">
        <f t="shared" si="934"/>
      </c>
      <c r="BO312" s="30">
        <f t="shared" si="934"/>
      </c>
      <c r="BP312" s="30">
        <f t="shared" si="934"/>
      </c>
      <c r="BQ312" s="308">
        <f t="shared" si="934"/>
      </c>
      <c r="BR312" s="30">
        <f>IF(BM307="NM","NM",IF(BR307="NM","NM",IF(BM307&lt;=0,"NM",IF(BR307=0,"NM",IF(ABS(BR307/BM307-1)&gt;2.5,"NM",IF((ABS(BR307-BM307)=ABS(ABS(BR307)-ABS(BM307))),(BR307/BM307-1),"NM"))))))</f>
      </c>
      <c r="BS312" s="30">
        <f>IF(BN307="NM","NM",IF(BS307="NM","NM",IF(BN307&lt;=0,"NM",IF(BS307=0,"NM",IF(ABS(BS307/BN307-1)&gt;2.5,"NM",IF((ABS(BS307-BN307)=ABS(ABS(BS307)-ABS(BN307))),(BS307/BN307-1),"NM"))))))</f>
      </c>
      <c r="BT312" s="30">
        <f>IF(BO307="NM","NM",IF(BT307="NM","NM",IF(BO307&lt;=0,"NM",IF(BT307=0,"NM",IF(ABS(BT307/BO307-1)&gt;2.5,"NM",IF((ABS(BT307-BO307)=ABS(ABS(BT307)-ABS(BO307))),(BT307/BO307-1),"NM"))))))</f>
      </c>
      <c r="BU312" s="30">
        <f>IF(BP307="NM","NM",IF(BU307="NM","NM",IF(BP307&lt;=0,"NM",IF(BU307=0,"NM",IF(ABS(BU307/BP307-1)&gt;2.5,"NM",IF((ABS(BU307-BP307)=ABS(ABS(BU307)-ABS(BP307))),(BU307/BP307-1),"NM"))))))</f>
      </c>
      <c r="BV312" s="308">
        <f>IF(BQ307="NM","NM",IF(BV307="NM","NM",IF(BQ307&lt;=0,"NM",IF(BV307=0,"NM",IF(ABS(BV307/BQ307-1)&gt;2.5,"NM",IF((ABS(BV307-BQ307)=ABS(ABS(BV307)-ABS(BQ307))),(BV307/BQ307-1),"NM"))))))</f>
      </c>
      <c r="BW312" s="30">
        <f>IF(BR307="NM","NM",IF(BW307="NM","NM",IF(BR307&lt;=0,"NM",IF(BW307=0,"NM",IF(ABS(BW307/BR307-1)&gt;2.5,"NM",IF((ABS(BW307-BR307)=ABS(ABS(BW307)-ABS(BR307))),(BW307/BR307-1),"NM"))))))</f>
      </c>
      <c r="BX312" s="30">
        <f>IF(BS307="NM","NM",IF(BX307="NM","NM",IF(BS307&lt;=0,"NM",IF(BX307=0,"NM",IF(ABS(BX307/BS307-1)&gt;2.5,"NM",IF((ABS(BX307-BS307)=ABS(ABS(BX307)-ABS(BS307))),(BX307/BS307-1),"NM"))))))</f>
      </c>
      <c r="BY312" s="30">
        <f>IF(BT307="NM","NM",IF(BY307="NM","NM",IF(BT307&lt;=0,"NM",IF(BY307=0,"NM",IF(ABS(BY307/BT307-1)&gt;2.5,"NM",IF((ABS(BY307-BT307)=ABS(ABS(BY307)-ABS(BT307))),(BY307/BT307-1),"NM"))))))</f>
      </c>
      <c r="BZ312" s="30">
        <f>IF(BU307="NM","NM",IF(BZ307="NM","NM",IF(BU307&lt;=0,"NM",IF(BZ307=0,"NM",IF(ABS(BZ307/BU307-1)&gt;2.5,"NM",IF((ABS(BZ307-BU307)=ABS(ABS(BZ307)-ABS(BU307))),(BZ307/BU307-1),"NM"))))))</f>
      </c>
      <c r="CA312" s="308">
        <f>CA307/BV307-1</f>
      </c>
      <c r="CB312" s="30">
        <f t="shared" si="936"/>
      </c>
      <c r="CC312" s="30">
        <f t="shared" si="936"/>
      </c>
      <c r="CD312" s="30">
        <f t="shared" si="936"/>
      </c>
      <c r="CE312" s="30">
        <f t="shared" si="936"/>
      </c>
      <c r="CF312" s="308">
        <f>CF307/CA307-1</f>
      </c>
      <c r="CG312" s="30">
        <f t="shared" si="937"/>
      </c>
      <c r="CH312" s="30">
        <f t="shared" si="937"/>
      </c>
      <c r="CI312" s="30">
        <f t="shared" si="937"/>
      </c>
      <c r="CJ312" s="30">
        <f>IF(CE307="NM","NM",IF(CJ307="NM","NM",IF(CE307&lt;=0,"NM",IF(CJ307=0,"NM",IF(ABS(CJ307/CE307-1)&gt;2.5,"NM",IF((ABS(CJ307-CE307)=ABS(ABS(CJ307)-ABS(CE307))),(CJ307/CE307-1),"NM"))))))</f>
      </c>
      <c r="CK312" s="308">
        <f>IF(CF307=0, "NA", CK307/CF307-1)</f>
      </c>
      <c r="CL312" s="30">
        <f t="shared" si="938"/>
      </c>
      <c r="CM312" s="30">
        <f t="shared" si="938"/>
      </c>
      <c r="CN312" s="30">
        <f t="shared" si="938"/>
      </c>
      <c r="CO312" s="30">
        <f>IF(CJ307="NM","NM",IF(CO307="NM","NM",IF(CJ307&lt;=0,"NM",IF(CO307=0,"NM",IF(ABS(CO307/CJ307-1)&gt;2.5,"NM",IF((ABS(CO307-CJ307)=ABS(ABS(CO307)-ABS(CJ307))),(CO307/CJ307-1),"NM"))))))</f>
      </c>
      <c r="CP312" s="308">
        <f>IF(CK307=0, "NA", CP307/CK307-1)</f>
      </c>
      <c r="CQ312" s="30"/>
      <c r="CR312" s="30"/>
      <c r="CS312" s="926"/>
      <c r="CT312" s="926"/>
      <c r="CU312" s="308"/>
      <c r="CV312" s="30"/>
      <c r="CW312" s="926"/>
      <c r="CX312" s="926"/>
      <c r="CY312" s="926"/>
      <c r="CZ312" s="308"/>
      <c r="DA312" s="30"/>
      <c r="DB312" s="959"/>
      <c r="DC312" s="959"/>
      <c r="DD312" s="960"/>
      <c r="DE312" s="308"/>
      <c r="DF312" s="30"/>
      <c r="DG312" s="926"/>
      <c r="DH312" s="926"/>
      <c r="DI312" s="928"/>
      <c r="DJ312" s="308"/>
      <c r="DK312" s="30"/>
      <c r="DL312" s="926"/>
      <c r="DM312" s="926"/>
      <c r="DN312" s="928"/>
      <c r="DO312" s="308"/>
      <c r="DP312" s="926"/>
      <c r="DQ312" s="926"/>
      <c r="DR312" s="926"/>
      <c r="DS312" s="928"/>
      <c r="DT312" s="308"/>
      <c r="DU312" s="926"/>
      <c r="DV312" s="926"/>
      <c r="DW312" s="926"/>
      <c r="DX312" s="928"/>
      <c r="DY312" s="308"/>
      <c r="DZ312" s="926"/>
      <c r="EA312" s="926"/>
      <c r="EB312" s="926"/>
      <c r="EC312" s="928"/>
      <c r="ED312" s="1060"/>
      <c r="EE312" s="926"/>
      <c r="EF312" s="926"/>
      <c r="EG312" s="926"/>
      <c r="EH312" s="928"/>
      <c r="EI312" s="308"/>
      <c r="EJ312" s="308"/>
      <c r="EK312" s="308"/>
      <c r="EL312" s="308"/>
      <c r="EM312" s="308"/>
      <c r="EN312" s="308"/>
      <c r="EO312" s="308"/>
      <c r="EP312" s="308"/>
      <c r="EQ312" s="308"/>
      <c r="ER312" s="308"/>
      <c r="ES312" s="308"/>
      <c r="ET312" s="308"/>
      <c r="EU312" s="308"/>
      <c r="EV312" s="308"/>
      <c r="EW312" s="308"/>
      <c r="EX312" s="308"/>
    </row>
    <row r="313" spans="1:154" ht="12.75" hidden="1" customHeight="1">
      <c r="B313" s="440" t="s">
        <v>212</v>
      </c>
      <c r="C313" s="1989"/>
      <c r="D313" s="28"/>
      <c r="E313" s="28"/>
      <c r="F313" s="28"/>
      <c r="G313" s="28"/>
      <c r="H313" s="28"/>
      <c r="I313" s="24"/>
      <c r="J313" s="1"/>
      <c r="K313" s="1"/>
      <c r="L313" s="1"/>
      <c r="M313" s="1"/>
      <c r="N313" s="24"/>
      <c r="O313" s="24"/>
      <c r="P313" s="24"/>
      <c r="Q313" s="24"/>
      <c r="R313" s="24"/>
      <c r="S313" s="1"/>
      <c r="T313" s="24"/>
      <c r="U313" s="24"/>
      <c r="V313" s="24"/>
      <c r="W313" s="24"/>
      <c r="X313" s="309"/>
      <c r="Y313" s="24"/>
      <c r="Z313" s="24"/>
      <c r="AA313" s="24"/>
      <c r="AB313" s="24"/>
      <c r="AC313" s="309"/>
      <c r="AD313" s="24"/>
      <c r="AE313" s="24"/>
      <c r="AF313" s="24"/>
      <c r="AG313" s="24"/>
      <c r="AH313" s="309"/>
      <c r="AI313" s="41">
        <f t="shared" ref="AI313:BM313" si="939">IF(ISNUMBER(AI312),(1+AI312)/(1+AI$21)-1,"NM")</f>
      </c>
      <c r="AJ313" s="41">
        <f t="shared" si="939"/>
      </c>
      <c r="AK313" s="41">
        <f t="shared" si="939"/>
      </c>
      <c r="AL313" s="41">
        <f t="shared" si="939"/>
      </c>
      <c r="AM313" s="309">
        <f t="shared" si="939"/>
      </c>
      <c r="AN313" s="41">
        <f t="shared" si="939"/>
      </c>
      <c r="AO313" s="41">
        <f t="shared" si="939"/>
      </c>
      <c r="AP313" s="41">
        <f t="shared" si="939"/>
      </c>
      <c r="AQ313" s="41">
        <f t="shared" si="939"/>
      </c>
      <c r="AR313" s="309">
        <f t="shared" si="939"/>
      </c>
      <c r="AS313" s="41">
        <f t="shared" si="939"/>
      </c>
      <c r="AT313" s="41">
        <f t="shared" si="939"/>
      </c>
      <c r="AU313" s="41">
        <f t="shared" si="939"/>
      </c>
      <c r="AV313" s="41">
        <f t="shared" si="939"/>
      </c>
      <c r="AW313" s="309">
        <f t="shared" si="939"/>
      </c>
      <c r="AX313" s="41">
        <f t="shared" si="939"/>
      </c>
      <c r="AY313" s="41">
        <f t="shared" si="939"/>
      </c>
      <c r="AZ313" s="41">
        <f t="shared" si="939"/>
      </c>
      <c r="BA313" s="41">
        <f t="shared" si="939"/>
      </c>
      <c r="BB313" s="309">
        <f t="shared" si="939"/>
      </c>
      <c r="BC313" s="41">
        <f t="shared" si="939"/>
      </c>
      <c r="BD313" s="41">
        <f t="shared" si="939"/>
      </c>
      <c r="BE313" s="41">
        <f t="shared" si="939"/>
      </c>
      <c r="BF313" s="41">
        <f t="shared" si="939"/>
      </c>
      <c r="BG313" s="309">
        <f t="shared" si="939"/>
      </c>
      <c r="BH313" s="41">
        <f t="shared" si="939"/>
      </c>
      <c r="BI313" s="41">
        <f t="shared" si="939"/>
      </c>
      <c r="BJ313" s="41">
        <f t="shared" si="939"/>
      </c>
      <c r="BK313" s="41">
        <f t="shared" si="939"/>
      </c>
      <c r="BL313" s="309">
        <f t="shared" si="939"/>
      </c>
      <c r="BM313" s="41">
        <f t="shared" si="939"/>
      </c>
      <c r="BN313" s="41">
        <v>-0.14099999999999999</v>
      </c>
      <c r="BO313" s="41">
        <v>-9.7000000000000003E-2</v>
      </c>
      <c r="BP313" s="41">
        <v>-7.9000000000000001E-2</v>
      </c>
      <c r="BQ313" s="309">
        <v>-0.11600000000000001</v>
      </c>
      <c r="BR313" s="41">
        <f>IF(ISNUMBER(BR312),(1+BR312)/(1+BR$21)-1,"NM")</f>
      </c>
      <c r="BS313" s="41">
        <f>IF(ISNUMBER(BS312),(1+BS312)/(1+BS$21)-1,"NM")</f>
      </c>
      <c r="BT313" s="41">
        <f>IF(ISNUMBER(BT312),(1+BT312)/(1+BT$21)-1,"NM")</f>
      </c>
      <c r="BU313" s="30">
        <f>IF(ISNUMBER(BU312),(1+BU312)/(1+BU$21)-1,"NM")</f>
      </c>
      <c r="BV313" s="309">
        <v>-0.11600000000000001</v>
      </c>
      <c r="BW313" s="41">
        <f t="shared" ref="BW313:CJ313" si="940">IF(ISNUMBER(BW312),(1+BW312)/(1+BW$21)-1,"NM")</f>
      </c>
      <c r="BX313" s="41">
        <f t="shared" si="940"/>
      </c>
      <c r="BY313" s="41">
        <f t="shared" si="940"/>
      </c>
      <c r="BZ313" s="30">
        <f t="shared" si="940"/>
      </c>
      <c r="CA313" s="297">
        <f t="shared" si="940"/>
      </c>
      <c r="CB313" s="41">
        <f t="shared" si="940"/>
      </c>
      <c r="CC313" s="41">
        <f t="shared" si="940"/>
      </c>
      <c r="CD313" s="41">
        <f t="shared" si="940"/>
      </c>
      <c r="CE313" s="30">
        <f t="shared" si="940"/>
      </c>
      <c r="CF313" s="297">
        <f t="shared" si="940"/>
      </c>
      <c r="CG313" s="41">
        <f t="shared" si="940"/>
      </c>
      <c r="CH313" s="41">
        <f t="shared" si="940"/>
      </c>
      <c r="CI313" s="41">
        <f t="shared" si="940"/>
      </c>
      <c r="CJ313" s="41">
        <f t="shared" si="940"/>
      </c>
      <c r="CK313" s="309">
        <f>CK312-CK$21</f>
      </c>
      <c r="CL313" s="41">
        <f>IF(ISNUMBER(CL312),(1+CL312)/(1+CL$21)-1,"NM")</f>
      </c>
      <c r="CM313" s="41">
        <f>IF(ISNUMBER(CM312),(1+CM312)/(1+CM$21)-1,"NM")</f>
      </c>
      <c r="CN313" s="41">
        <f>IF(ISNUMBER(CN312),(1+CN312)/(1+CN$21)-1,"NM")</f>
      </c>
      <c r="CO313" s="41">
        <f>IF(ISNUMBER(CO312),(1+CO312)/(1+CO$21)-1,"NM")</f>
      </c>
      <c r="CP313" s="309">
        <f>CP312-CP$21</f>
      </c>
      <c r="CQ313" s="41"/>
      <c r="CR313" s="41"/>
      <c r="CS313" s="361"/>
      <c r="CT313" s="361"/>
      <c r="CU313" s="309"/>
      <c r="CV313" s="41"/>
      <c r="CW313" s="361"/>
      <c r="CX313" s="361"/>
      <c r="CY313" s="361"/>
      <c r="CZ313" s="309"/>
      <c r="DA313" s="41"/>
      <c r="DB313" s="361"/>
      <c r="DC313" s="361"/>
      <c r="DD313" s="835"/>
      <c r="DE313" s="316"/>
      <c r="DF313" s="41"/>
      <c r="DG313" s="361"/>
      <c r="DH313" s="361"/>
      <c r="DI313" s="835"/>
      <c r="DJ313" s="835"/>
      <c r="DK313" s="41"/>
      <c r="DL313" s="361"/>
      <c r="DM313" s="361"/>
      <c r="DN313" s="835"/>
      <c r="DO313" s="835"/>
      <c r="DP313" s="361"/>
      <c r="DQ313" s="361"/>
      <c r="DR313" s="361"/>
      <c r="DS313" s="835"/>
      <c r="DT313" s="835"/>
      <c r="DU313" s="361"/>
      <c r="DV313" s="361"/>
      <c r="DW313" s="361"/>
      <c r="DX313" s="835"/>
      <c r="DY313" s="835"/>
      <c r="DZ313" s="361"/>
      <c r="EA313" s="361"/>
      <c r="EB313" s="361"/>
      <c r="EC313" s="835"/>
      <c r="ED313" s="835"/>
      <c r="EE313" s="361"/>
      <c r="EF313" s="361"/>
      <c r="EG313" s="361"/>
      <c r="EH313" s="835"/>
      <c r="EI313" s="835"/>
      <c r="EJ313" s="835"/>
      <c r="EK313" s="835"/>
      <c r="EL313" s="835"/>
      <c r="EM313" s="835"/>
      <c r="EN313" s="316"/>
      <c r="EO313" s="835"/>
      <c r="EP313" s="835"/>
      <c r="EQ313" s="835"/>
      <c r="ER313" s="835"/>
      <c r="ES313" s="835"/>
      <c r="ET313" s="835"/>
      <c r="EU313" s="835"/>
      <c r="EV313" s="835"/>
      <c r="EW313" s="835"/>
      <c r="EX313" s="835"/>
    </row>
    <row r="314" spans="1:154" ht="12.75" hidden="1" customHeight="1">
      <c r="B314" s="440" t="s">
        <v>418</v>
      </c>
      <c r="C314" s="1989"/>
      <c r="D314" s="28"/>
      <c r="E314" s="28"/>
      <c r="F314" s="28"/>
      <c r="G314" s="28"/>
      <c r="H314" s="28"/>
      <c r="I314" s="29">
        <v>0.31</v>
      </c>
      <c r="J314" s="30">
        <f t="shared" ref="J314:AO314" si="941">IF(E308="NM","NM",IF(J308="NM","NM",IF(E308&lt;=0,"NM",IF(J308=0,"NM",IF(ABS(J308/E308-1)&gt;2.5,"NM",IF((ABS(J308-E308)=ABS(ABS(J308)-ABS(E308))),(J308/E308-1),"NM"))))))</f>
      </c>
      <c r="K314" s="30">
        <f t="shared" si="941"/>
      </c>
      <c r="L314" s="30">
        <f t="shared" si="941"/>
      </c>
      <c r="M314" s="30">
        <f t="shared" si="941"/>
      </c>
      <c r="N314" s="30">
        <f t="shared" si="941"/>
      </c>
      <c r="O314" s="30">
        <f t="shared" si="941"/>
      </c>
      <c r="P314" s="30">
        <f t="shared" si="941"/>
      </c>
      <c r="Q314" s="30">
        <f t="shared" si="941"/>
      </c>
      <c r="R314" s="30">
        <f t="shared" si="941"/>
      </c>
      <c r="S314" s="30">
        <f t="shared" si="941"/>
      </c>
      <c r="T314" s="30">
        <f t="shared" si="941"/>
      </c>
      <c r="U314" s="30">
        <f t="shared" si="941"/>
      </c>
      <c r="V314" s="30">
        <f t="shared" si="941"/>
      </c>
      <c r="W314" s="30">
        <f t="shared" si="941"/>
      </c>
      <c r="X314" s="308">
        <f t="shared" si="941"/>
      </c>
      <c r="Y314" s="30">
        <f t="shared" si="941"/>
      </c>
      <c r="Z314" s="30">
        <f t="shared" si="941"/>
      </c>
      <c r="AA314" s="30">
        <f t="shared" si="941"/>
      </c>
      <c r="AB314" s="30">
        <f t="shared" si="941"/>
      </c>
      <c r="AC314" s="308">
        <f t="shared" si="941"/>
      </c>
      <c r="AD314" s="30">
        <f t="shared" si="941"/>
      </c>
      <c r="AE314" s="30">
        <f t="shared" si="941"/>
      </c>
      <c r="AF314" s="30">
        <f t="shared" si="941"/>
      </c>
      <c r="AG314" s="30">
        <f t="shared" si="941"/>
      </c>
      <c r="AH314" s="308">
        <f t="shared" si="941"/>
      </c>
      <c r="AI314" s="30">
        <f t="shared" si="941"/>
      </c>
      <c r="AJ314" s="30">
        <f t="shared" si="941"/>
      </c>
      <c r="AK314" s="30">
        <f t="shared" si="941"/>
      </c>
      <c r="AL314" s="30">
        <f t="shared" si="941"/>
      </c>
      <c r="AM314" s="308">
        <f t="shared" si="941"/>
      </c>
      <c r="AN314" s="30">
        <f t="shared" si="941"/>
      </c>
      <c r="AO314" s="30">
        <f t="shared" si="941"/>
      </c>
      <c r="AP314" s="30">
        <f t="shared" ref="AP314:BU314" si="942">IF(AK308="NM","NM",IF(AP308="NM","NM",IF(AK308&lt;=0,"NM",IF(AP308=0,"NM",IF(ABS(AP308/AK308-1)&gt;2.5,"NM",IF((ABS(AP308-AK308)=ABS(ABS(AP308)-ABS(AK308))),(AP308/AK308-1),"NM"))))))</f>
      </c>
      <c r="AQ314" s="30">
        <f t="shared" si="942"/>
      </c>
      <c r="AR314" s="308">
        <f t="shared" si="942"/>
      </c>
      <c r="AS314" s="30">
        <f t="shared" si="942"/>
      </c>
      <c r="AT314" s="30">
        <f t="shared" si="942"/>
      </c>
      <c r="AU314" s="30">
        <f t="shared" si="942"/>
      </c>
      <c r="AV314" s="30">
        <f t="shared" si="942"/>
      </c>
      <c r="AW314" s="308">
        <f t="shared" si="942"/>
      </c>
      <c r="AX314" s="30">
        <f t="shared" si="942"/>
      </c>
      <c r="AY314" s="30">
        <f t="shared" si="942"/>
      </c>
      <c r="AZ314" s="30">
        <f t="shared" si="942"/>
      </c>
      <c r="BA314" s="30">
        <f t="shared" si="942"/>
      </c>
      <c r="BB314" s="308">
        <f t="shared" si="942"/>
      </c>
      <c r="BC314" s="30">
        <f t="shared" si="942"/>
      </c>
      <c r="BD314" s="30">
        <f t="shared" si="942"/>
      </c>
      <c r="BE314" s="30">
        <f t="shared" si="942"/>
      </c>
      <c r="BF314" s="30">
        <f t="shared" si="942"/>
      </c>
      <c r="BG314" s="308">
        <f t="shared" si="942"/>
      </c>
      <c r="BH314" s="30">
        <f t="shared" si="942"/>
      </c>
      <c r="BI314" s="30">
        <f t="shared" si="942"/>
      </c>
      <c r="BJ314" s="30">
        <f t="shared" si="942"/>
      </c>
      <c r="BK314" s="30">
        <f t="shared" si="942"/>
      </c>
      <c r="BL314" s="308">
        <f t="shared" si="942"/>
      </c>
      <c r="BM314" s="30">
        <f t="shared" si="942"/>
      </c>
      <c r="BN314" s="30">
        <f t="shared" si="942"/>
      </c>
      <c r="BO314" s="30">
        <f t="shared" si="942"/>
      </c>
      <c r="BP314" s="30">
        <f t="shared" si="942"/>
      </c>
      <c r="BQ314" s="308">
        <f t="shared" si="942"/>
      </c>
      <c r="BR314" s="30">
        <f t="shared" si="942"/>
      </c>
      <c r="BS314" s="30">
        <f t="shared" si="942"/>
      </c>
      <c r="BT314" s="30">
        <f t="shared" si="942"/>
      </c>
      <c r="BU314" s="30">
        <f t="shared" si="942"/>
      </c>
      <c r="BV314" s="308">
        <f t="shared" ref="BV314:CJ314" si="943">IF(BQ308="NM","NM",IF(BV308="NM","NM",IF(BQ308&lt;=0,"NM",IF(BV308=0,"NM",IF(ABS(BV308/BQ308-1)&gt;2.5,"NM",IF((ABS(BV308-BQ308)=ABS(ABS(BV308)-ABS(BQ308))),(BV308/BQ308-1),"NM"))))))</f>
      </c>
      <c r="BW314" s="30">
        <f t="shared" si="943"/>
      </c>
      <c r="BX314" s="30">
        <f t="shared" si="943"/>
      </c>
      <c r="BY314" s="30">
        <f t="shared" si="943"/>
      </c>
      <c r="BZ314" s="30">
        <f t="shared" si="943"/>
      </c>
      <c r="CA314" s="308">
        <f t="shared" si="943"/>
      </c>
      <c r="CB314" s="30">
        <f t="shared" si="943"/>
      </c>
      <c r="CC314" s="30">
        <f t="shared" si="943"/>
      </c>
      <c r="CD314" s="30">
        <f t="shared" si="943"/>
      </c>
      <c r="CE314" s="30">
        <f t="shared" si="943"/>
      </c>
      <c r="CF314" s="308">
        <f t="shared" si="943"/>
      </c>
      <c r="CG314" s="30">
        <f t="shared" si="943"/>
      </c>
      <c r="CH314" s="30">
        <f t="shared" si="943"/>
      </c>
      <c r="CI314" s="30">
        <f t="shared" si="943"/>
      </c>
      <c r="CJ314" s="30">
        <f t="shared" si="943"/>
      </c>
      <c r="CK314" s="308">
        <f>IF(CF308=0, "NA", CK308/CF308-1)</f>
      </c>
      <c r="CL314" s="30">
        <f>IF(CG308="NM","NM",IF(CL308="NM","NM",IF(CG308&lt;=0,"NM",IF(CL308=0,"NM",IF(ABS(CL308/CG308-1)&gt;2.5,"NM",IF((ABS(CL308-CG308)=ABS(ABS(CL308)-ABS(CG308))),(CL308/CG308-1),"NM"))))))</f>
      </c>
      <c r="CM314" s="30">
        <f>IF(CH308="NM","NM",IF(CM308="NM","NM",IF(CH308&lt;=0,"NM",IF(CM308=0,"NM",IF(ABS(CM308/CH308-1)&gt;2.5,"NM",IF((ABS(CM308-CH308)=ABS(ABS(CM308)-ABS(CH308))),(CM308/CH308-1),"NM"))))))</f>
      </c>
      <c r="CN314" s="30">
        <f>IF(CI308="NM","NM",IF(CN308="NM","NM",IF(CI308&lt;=0,"NM",IF(CN308=0,"NM",IF(ABS(CN308/CI308-1)&gt;2.5,"NM",IF((ABS(CN308-CI308)=ABS(ABS(CN308)-ABS(CI308))),(CN308/CI308-1),"NM"))))))</f>
      </c>
      <c r="CO314" s="30">
        <f>IF(CJ308="NM","NM",IF(CO308="NM","NM",IF(CJ308&lt;=0,"NM",IF(CO308=0,"NM",IF(ABS(CO308/CJ308-1)&gt;2.5,"NM",IF((ABS(CO308-CJ308)=ABS(ABS(CO308)-ABS(CJ308))),(CO308/CJ308-1),"NM"))))))</f>
      </c>
      <c r="CP314" s="308">
        <f>IF(CK308=0, "NA", CP308/CK308-1)</f>
      </c>
      <c r="CQ314" s="30"/>
      <c r="CR314" s="30"/>
      <c r="CS314" s="926"/>
      <c r="CT314" s="926"/>
      <c r="CU314" s="308"/>
      <c r="CV314" s="30"/>
      <c r="CW314" s="926"/>
      <c r="CX314" s="926"/>
      <c r="CY314" s="926"/>
      <c r="CZ314" s="308"/>
      <c r="DA314" s="30"/>
      <c r="DB314" s="926"/>
      <c r="DC314" s="926"/>
      <c r="DD314" s="928"/>
      <c r="DE314" s="308"/>
      <c r="DF314" s="30"/>
      <c r="DG314" s="926"/>
      <c r="DH314" s="926"/>
      <c r="DI314" s="928"/>
      <c r="DJ314" s="308"/>
      <c r="DK314" s="30"/>
      <c r="DL314" s="926"/>
      <c r="DM314" s="926"/>
      <c r="DN314" s="928"/>
      <c r="DO314" s="308"/>
      <c r="DP314" s="926"/>
      <c r="DQ314" s="926"/>
      <c r="DR314" s="926"/>
      <c r="DS314" s="928"/>
      <c r="DT314" s="308"/>
      <c r="DU314" s="926"/>
      <c r="DV314" s="926"/>
      <c r="DW314" s="926"/>
      <c r="DX314" s="928"/>
      <c r="DY314" s="308"/>
      <c r="DZ314" s="926"/>
      <c r="EA314" s="926"/>
      <c r="EB314" s="926"/>
      <c r="EC314" s="928"/>
      <c r="ED314" s="1060"/>
      <c r="EE314" s="926"/>
      <c r="EF314" s="926"/>
      <c r="EG314" s="926"/>
      <c r="EH314" s="928"/>
      <c r="EI314" s="308"/>
      <c r="EJ314" s="308"/>
      <c r="EK314" s="308"/>
      <c r="EL314" s="308"/>
      <c r="EM314" s="308"/>
      <c r="EN314" s="308"/>
      <c r="EO314" s="308"/>
      <c r="EP314" s="308"/>
      <c r="EQ314" s="308"/>
      <c r="ER314" s="308"/>
      <c r="ES314" s="308"/>
      <c r="ET314" s="308"/>
      <c r="EU314" s="308"/>
      <c r="EV314" s="308"/>
      <c r="EW314" s="308"/>
      <c r="EX314" s="308"/>
    </row>
    <row r="315" spans="1:154" ht="12.75" hidden="1" customHeight="1">
      <c r="B315" s="437"/>
      <c r="C315" s="1989"/>
      <c r="D315" s="28"/>
      <c r="E315" s="28"/>
      <c r="F315" s="28"/>
      <c r="G315" s="28"/>
      <c r="H315" s="28"/>
      <c r="I315" s="31"/>
      <c r="J315" s="28"/>
      <c r="K315" s="28"/>
      <c r="L315" s="28"/>
      <c r="M315" s="28"/>
      <c r="N315" s="31"/>
      <c r="O315" s="31"/>
      <c r="P315" s="31"/>
      <c r="Q315" s="31"/>
      <c r="R315" s="31"/>
      <c r="S315" s="31"/>
      <c r="T315" s="31"/>
      <c r="U315" s="31"/>
      <c r="V315" s="31"/>
      <c r="W315" s="31"/>
      <c r="X315" s="313"/>
      <c r="Y315" s="31"/>
      <c r="Z315" s="31"/>
      <c r="AA315" s="31"/>
      <c r="AB315" s="31"/>
      <c r="AC315" s="313"/>
      <c r="AD315" s="31"/>
      <c r="AE315" s="31"/>
      <c r="AF315" s="31"/>
      <c r="AG315" s="31"/>
      <c r="AH315" s="313"/>
      <c r="AI315" s="28"/>
      <c r="AJ315" s="28"/>
      <c r="AK315" s="28"/>
      <c r="AL315" s="31"/>
      <c r="AM315" s="313"/>
      <c r="AN315" s="28"/>
      <c r="AO315" s="28"/>
      <c r="AP315" s="28"/>
      <c r="AQ315" s="31"/>
      <c r="AR315" s="313"/>
      <c r="AS315" s="28"/>
      <c r="AT315" s="28"/>
      <c r="AU315" s="28"/>
      <c r="AV315" s="31"/>
      <c r="AW315" s="313"/>
      <c r="AX315" s="33"/>
      <c r="AY315" s="33"/>
      <c r="AZ315" s="33"/>
      <c r="BA315" s="28"/>
      <c r="BB315" s="313"/>
      <c r="BC315" s="28"/>
      <c r="BD315" s="28"/>
      <c r="BE315" s="28"/>
      <c r="BF315" s="28"/>
      <c r="BG315" s="313"/>
      <c r="BH315" s="28"/>
      <c r="BI315" s="28"/>
      <c r="BJ315" s="28"/>
      <c r="BK315" s="28"/>
      <c r="BL315" s="313"/>
      <c r="BM315" s="28"/>
      <c r="BN315" s="28"/>
      <c r="BO315" s="28"/>
      <c r="BP315" s="28"/>
      <c r="BQ315" s="313"/>
      <c r="BR315" s="28"/>
      <c r="BS315" s="28"/>
      <c r="BT315" s="28"/>
      <c r="BU315" s="28"/>
      <c r="BV315" s="313"/>
      <c r="BW315" s="28"/>
      <c r="BX315" s="28"/>
      <c r="BY315" s="28"/>
      <c r="BZ315" s="28"/>
      <c r="CA315" s="313"/>
      <c r="CB315" s="28"/>
      <c r="CC315" s="28"/>
      <c r="CD315" s="28"/>
      <c r="CE315" s="28"/>
      <c r="CF315" s="313"/>
      <c r="CG315" s="28"/>
      <c r="CH315" s="28"/>
      <c r="CI315" s="28"/>
      <c r="CJ315" s="28"/>
      <c r="CK315" s="313"/>
      <c r="CL315" s="961"/>
      <c r="CM315" s="28"/>
      <c r="CN315" s="933"/>
      <c r="CO315" s="28"/>
      <c r="CP315" s="313"/>
      <c r="CQ315" s="933"/>
      <c r="CR315" s="933"/>
      <c r="CS315" s="933"/>
      <c r="CT315" s="933"/>
      <c r="CU315" s="313"/>
      <c r="CV315" s="933"/>
      <c r="CW315" s="933"/>
      <c r="CX315" s="933"/>
      <c r="CY315" s="933"/>
      <c r="CZ315" s="313"/>
      <c r="DA315" s="933"/>
      <c r="DB315" s="31"/>
      <c r="DC315" s="31"/>
      <c r="DD315" s="955"/>
      <c r="DE315" s="477"/>
      <c r="DF315" s="982"/>
      <c r="DG315" s="603"/>
      <c r="DH315" s="603"/>
      <c r="DI315" s="1798"/>
      <c r="DJ315" s="477"/>
      <c r="DK315" s="982"/>
      <c r="DL315" s="603"/>
      <c r="DM315" s="603"/>
      <c r="DN315" s="1798"/>
      <c r="DO315" s="477"/>
      <c r="DP315" s="603"/>
      <c r="DQ315" s="603"/>
      <c r="DR315" s="603"/>
      <c r="DS315" s="1798"/>
      <c r="DT315" s="477"/>
      <c r="DU315" s="603"/>
      <c r="DV315" s="603"/>
      <c r="DW315" s="603"/>
      <c r="DX315" s="1798"/>
      <c r="DY315" s="477"/>
      <c r="DZ315" s="603"/>
      <c r="EA315" s="603"/>
      <c r="EB315" s="603"/>
      <c r="EC315" s="1798"/>
      <c r="ED315" s="477"/>
      <c r="EE315" s="603"/>
      <c r="EF315" s="603"/>
      <c r="EG315" s="603"/>
      <c r="EH315" s="1798"/>
      <c r="EI315" s="477"/>
      <c r="EJ315" s="477"/>
      <c r="EK315" s="477"/>
      <c r="EL315" s="477"/>
      <c r="EM315" s="477"/>
      <c r="EN315" s="477"/>
      <c r="EO315" s="477"/>
      <c r="EP315" s="477"/>
      <c r="EQ315" s="477"/>
      <c r="ER315" s="477"/>
      <c r="ES315" s="477"/>
      <c r="ET315" s="477"/>
      <c r="EU315" s="477"/>
      <c r="EV315" s="477"/>
      <c r="EW315" s="477"/>
      <c r="EX315" s="477"/>
    </row>
    <row r="316" spans="1:154" ht="12.75" hidden="1" customHeight="1">
      <c r="B316" s="436" t="s">
        <v>533</v>
      </c>
      <c r="C316" s="1989"/>
      <c r="D316" s="28"/>
      <c r="E316" s="28"/>
      <c r="F316" s="28"/>
      <c r="G316" s="28"/>
      <c r="H316" s="28"/>
      <c r="I316" s="31"/>
      <c r="J316" s="28"/>
      <c r="K316" s="28"/>
      <c r="L316" s="28"/>
      <c r="M316" s="28"/>
      <c r="N316" s="31"/>
      <c r="O316" s="31"/>
      <c r="P316" s="31"/>
      <c r="Q316" s="31"/>
      <c r="R316" s="31"/>
      <c r="S316" s="31"/>
      <c r="T316" s="31"/>
      <c r="U316" s="31"/>
      <c r="V316" s="31"/>
      <c r="W316" s="31"/>
      <c r="X316" s="313"/>
      <c r="Y316" s="31"/>
      <c r="Z316" s="31"/>
      <c r="AA316" s="31"/>
      <c r="AB316" s="31"/>
      <c r="AC316" s="313"/>
      <c r="AD316" s="31"/>
      <c r="AE316" s="31"/>
      <c r="AF316" s="31"/>
      <c r="AG316" s="31"/>
      <c r="AH316" s="313"/>
      <c r="AI316" s="28"/>
      <c r="AJ316" s="28"/>
      <c r="AK316" s="28"/>
      <c r="AL316" s="31"/>
      <c r="AM316" s="313"/>
      <c r="AN316" s="28"/>
      <c r="AO316" s="28"/>
      <c r="AP316" s="28"/>
      <c r="AQ316" s="31"/>
      <c r="AR316" s="313"/>
      <c r="AS316" s="28"/>
      <c r="AT316" s="28"/>
      <c r="AU316" s="28"/>
      <c r="AV316" s="31"/>
      <c r="AW316" s="313"/>
      <c r="AX316" s="33"/>
      <c r="AY316" s="33"/>
      <c r="AZ316" s="33"/>
      <c r="BA316" s="28"/>
      <c r="BB316" s="313"/>
      <c r="BC316" s="28"/>
      <c r="BD316" s="28"/>
      <c r="BE316" s="28"/>
      <c r="BF316" s="28"/>
      <c r="BG316" s="313"/>
      <c r="BH316" s="28"/>
      <c r="BI316" s="28"/>
      <c r="BJ316" s="28"/>
      <c r="BK316" s="28"/>
      <c r="BL316" s="313"/>
      <c r="BM316" s="28"/>
      <c r="BN316" s="28"/>
      <c r="BO316" s="28"/>
      <c r="BP316" s="28"/>
      <c r="BQ316" s="313"/>
      <c r="BR316" s="28"/>
      <c r="BS316" s="28"/>
      <c r="BT316" s="28"/>
      <c r="BU316" s="28"/>
      <c r="BV316" s="313"/>
      <c r="BW316" s="28"/>
      <c r="BX316" s="28"/>
      <c r="BY316" s="28"/>
      <c r="BZ316" s="28"/>
      <c r="CA316" s="313"/>
      <c r="CB316" s="28"/>
      <c r="CC316" s="28"/>
      <c r="CD316" s="28"/>
      <c r="CE316" s="28"/>
      <c r="CF316" s="313"/>
      <c r="CG316" s="28"/>
      <c r="CH316" s="28"/>
      <c r="CI316" s="28"/>
      <c r="CJ316" s="28"/>
      <c r="CK316" s="313"/>
      <c r="CL316" s="961"/>
      <c r="CM316" s="933"/>
      <c r="CN316" s="933"/>
      <c r="CO316" s="28"/>
      <c r="CP316" s="313"/>
      <c r="CQ316" s="933"/>
      <c r="CR316" s="933"/>
      <c r="CS316" s="933"/>
      <c r="CT316" s="933"/>
      <c r="CU316" s="313"/>
      <c r="CV316" s="933"/>
      <c r="CW316" s="933"/>
      <c r="CX316" s="933"/>
      <c r="CY316" s="933"/>
      <c r="CZ316" s="313"/>
      <c r="DA316" s="933"/>
      <c r="DB316" s="31"/>
      <c r="DC316" s="31"/>
      <c r="DD316" s="955"/>
      <c r="DE316" s="477"/>
      <c r="DF316" s="982"/>
      <c r="DG316" s="603"/>
      <c r="DH316" s="603"/>
      <c r="DI316" s="1798"/>
      <c r="DJ316" s="477"/>
      <c r="DK316" s="982"/>
      <c r="DL316" s="603"/>
      <c r="DM316" s="603"/>
      <c r="DN316" s="1798"/>
      <c r="DO316" s="477"/>
      <c r="DP316" s="603"/>
      <c r="DQ316" s="603"/>
      <c r="DR316" s="603"/>
      <c r="DS316" s="1798"/>
      <c r="DT316" s="477"/>
      <c r="DU316" s="603"/>
      <c r="DV316" s="603"/>
      <c r="DW316" s="603"/>
      <c r="DX316" s="1798"/>
      <c r="DY316" s="477"/>
      <c r="DZ316" s="603"/>
      <c r="EA316" s="603"/>
      <c r="EB316" s="603"/>
      <c r="EC316" s="1798"/>
      <c r="ED316" s="477"/>
      <c r="EE316" s="603"/>
      <c r="EF316" s="603"/>
      <c r="EG316" s="603"/>
      <c r="EH316" s="1798"/>
      <c r="EI316" s="477"/>
      <c r="EJ316" s="477"/>
      <c r="EK316" s="477"/>
      <c r="EL316" s="477"/>
      <c r="EM316" s="477"/>
      <c r="EN316" s="477"/>
      <c r="EO316" s="477"/>
      <c r="EP316" s="477"/>
      <c r="EQ316" s="477"/>
      <c r="ER316" s="477"/>
      <c r="ES316" s="477"/>
      <c r="ET316" s="477"/>
      <c r="EU316" s="477"/>
      <c r="EV316" s="477"/>
      <c r="EW316" s="477"/>
      <c r="EX316" s="477"/>
    </row>
    <row r="317" spans="1:154" ht="12.75" hidden="1" customHeight="1">
      <c r="B317" s="437" t="s">
        <v>416</v>
      </c>
      <c r="C317" s="1995" t="s">
        <v>490</v>
      </c>
      <c r="D317" s="28"/>
      <c r="E317" s="28"/>
      <c r="F317" s="28"/>
      <c r="G317" s="28"/>
      <c r="H317" s="28"/>
      <c r="I317" s="31"/>
      <c r="J317" s="28"/>
      <c r="K317" s="28"/>
      <c r="L317" s="28"/>
      <c r="M317" s="28"/>
      <c r="N317" s="31"/>
      <c r="O317" s="31"/>
      <c r="P317" s="31"/>
      <c r="Q317" s="31"/>
      <c r="R317" s="31"/>
      <c r="S317" s="31"/>
      <c r="T317" s="31"/>
      <c r="U317" s="31"/>
      <c r="V317" s="31"/>
      <c r="W317" s="31"/>
      <c r="X317" s="312"/>
      <c r="Y317" s="31"/>
      <c r="Z317" s="31"/>
      <c r="AA317" s="31"/>
      <c r="AB317" s="31"/>
      <c r="AC317" s="312"/>
      <c r="AD317" s="31"/>
      <c r="AE317" s="31"/>
      <c r="AF317" s="31"/>
      <c r="AG317" s="31"/>
      <c r="AH317" s="312"/>
      <c r="AI317" s="28"/>
      <c r="AJ317" s="28"/>
      <c r="AK317" s="28"/>
      <c r="AL317" s="31"/>
      <c r="AM317" s="312"/>
      <c r="AN317" s="28"/>
      <c r="AO317" s="28"/>
      <c r="AP317" s="28"/>
      <c r="AQ317" s="31"/>
      <c r="AR317" s="312"/>
      <c r="AS317" s="28"/>
      <c r="AT317" s="28">
        <v>10</v>
      </c>
      <c r="AU317" s="28">
        <v>35</v>
      </c>
      <c r="AV317" s="31">
        <f>+AW317-SUM(AS317:AU317)</f>
      </c>
      <c r="AW317" s="312">
        <v>100</v>
      </c>
      <c r="AX317" s="33">
        <v>57</v>
      </c>
      <c r="AY317" s="33">
        <v>62</v>
      </c>
      <c r="AZ317" s="33">
        <v>73</v>
      </c>
      <c r="BA317" s="33">
        <v>63</v>
      </c>
      <c r="BB317" s="312">
        <f>+SUM(AX317:BA317)</f>
      </c>
      <c r="BC317" s="33">
        <v>66</v>
      </c>
      <c r="BD317" s="33">
        <v>67</v>
      </c>
      <c r="BE317" s="33">
        <v>61</v>
      </c>
      <c r="BF317" s="33">
        <v>72</v>
      </c>
      <c r="BG317" s="313">
        <f>SUM(BC317:BF317)</f>
      </c>
      <c r="BH317" s="33">
        <v>69</v>
      </c>
      <c r="BI317" s="33">
        <v>68</v>
      </c>
      <c r="BJ317" s="33">
        <v>63</v>
      </c>
      <c r="BK317" s="33">
        <v>70</v>
      </c>
      <c r="BL317" s="313">
        <f>SUM(BH317:BK317)</f>
      </c>
      <c r="BM317" s="33">
        <v>69</v>
      </c>
      <c r="BN317" s="33">
        <v>76</v>
      </c>
      <c r="BO317" s="33">
        <v>74</v>
      </c>
      <c r="BP317" s="33">
        <v>66</v>
      </c>
      <c r="BQ317" s="313">
        <f>SUM(BM317:BP317)</f>
      </c>
      <c r="BR317" s="33">
        <v>69</v>
      </c>
      <c r="BS317" s="352">
        <v>76</v>
      </c>
      <c r="BT317" s="352">
        <v>78</v>
      </c>
      <c r="BU317" s="352">
        <v>76</v>
      </c>
      <c r="BV317" s="313">
        <f>SUM(BR317:BU317)</f>
      </c>
      <c r="BW317" s="352">
        <v>71</v>
      </c>
      <c r="BX317" s="352">
        <v>76</v>
      </c>
      <c r="BY317" s="352">
        <v>82</v>
      </c>
      <c r="BZ317" s="352">
        <v>87</v>
      </c>
      <c r="CA317" s="479">
        <f>SUM(BW317:BZ317)</f>
      </c>
      <c r="CB317" s="352">
        <v>86</v>
      </c>
      <c r="CC317" s="352">
        <v>89</v>
      </c>
      <c r="CD317" s="352">
        <v>89</v>
      </c>
      <c r="CE317" s="352">
        <v>96</v>
      </c>
      <c r="CF317" s="313">
        <f>SUM(CB317:CE317)</f>
      </c>
      <c r="CG317" s="352">
        <v>94</v>
      </c>
      <c r="CH317" s="352">
        <v>105</v>
      </c>
      <c r="CI317" s="352">
        <v>82</v>
      </c>
      <c r="CJ317" s="352">
        <v>58</v>
      </c>
      <c r="CK317" s="313">
        <f>SUM(CG317:CJ317)</f>
      </c>
      <c r="CL317" s="352">
        <v>24</v>
      </c>
      <c r="CM317" s="352">
        <v>18</v>
      </c>
      <c r="CN317" s="352">
        <v>28</v>
      </c>
      <c r="CO317" s="352">
        <v>0</v>
      </c>
      <c r="CP317" s="313">
        <f>SUM(CL317:CO317)</f>
      </c>
      <c r="CQ317" s="352"/>
      <c r="CR317" s="352"/>
      <c r="CS317" s="31"/>
      <c r="CT317" s="31"/>
      <c r="CU317" s="313"/>
      <c r="CV317" s="352"/>
      <c r="CW317" s="31"/>
      <c r="CX317" s="31"/>
      <c r="CY317" s="31"/>
      <c r="CZ317" s="313"/>
      <c r="DA317" s="352"/>
      <c r="DB317" s="31"/>
      <c r="DC317" s="31"/>
      <c r="DD317" s="955"/>
      <c r="DE317" s="477"/>
      <c r="DF317" s="1801"/>
      <c r="DG317" s="603"/>
      <c r="DH317" s="603"/>
      <c r="DI317" s="1798"/>
      <c r="DJ317" s="477"/>
      <c r="DK317" s="1801"/>
      <c r="DL317" s="603"/>
      <c r="DM317" s="603"/>
      <c r="DN317" s="1798"/>
      <c r="DO317" s="477"/>
      <c r="DP317" s="603"/>
      <c r="DQ317" s="603"/>
      <c r="DR317" s="603"/>
      <c r="DS317" s="1798"/>
      <c r="DT317" s="477"/>
      <c r="DU317" s="603"/>
      <c r="DV317" s="603"/>
      <c r="DW317" s="603"/>
      <c r="DX317" s="1798"/>
      <c r="DY317" s="477"/>
      <c r="DZ317" s="603"/>
      <c r="EA317" s="603"/>
      <c r="EB317" s="603"/>
      <c r="EC317" s="1798"/>
      <c r="ED317" s="477"/>
      <c r="EE317" s="603"/>
      <c r="EF317" s="603"/>
      <c r="EG317" s="603"/>
      <c r="EH317" s="1798"/>
      <c r="EI317" s="477"/>
      <c r="EJ317" s="477"/>
      <c r="EK317" s="477"/>
      <c r="EL317" s="477"/>
      <c r="EM317" s="477"/>
      <c r="EN317" s="477"/>
      <c r="EO317" s="477"/>
      <c r="EP317" s="477"/>
      <c r="EQ317" s="477"/>
      <c r="ER317" s="477"/>
      <c r="ES317" s="477"/>
      <c r="ET317" s="477"/>
      <c r="EU317" s="477"/>
      <c r="EV317" s="477"/>
      <c r="EW317" s="477"/>
      <c r="EX317" s="477"/>
    </row>
    <row r="318" spans="1:154" ht="12.75" hidden="1" customHeight="1">
      <c r="B318" s="437" t="s">
        <v>417</v>
      </c>
      <c r="C318" s="1997">
        <v>42887</v>
      </c>
      <c r="D318" s="28"/>
      <c r="E318" s="28"/>
      <c r="F318" s="28"/>
      <c r="G318" s="28"/>
      <c r="H318" s="28"/>
      <c r="I318" s="31"/>
      <c r="J318" s="28"/>
      <c r="K318" s="28"/>
      <c r="L318" s="28"/>
      <c r="M318" s="28"/>
      <c r="N318" s="31"/>
      <c r="O318" s="31"/>
      <c r="P318" s="31"/>
      <c r="Q318" s="31"/>
      <c r="R318" s="31"/>
      <c r="S318" s="31"/>
      <c r="T318" s="31"/>
      <c r="U318" s="31"/>
      <c r="V318" s="31"/>
      <c r="W318" s="31"/>
      <c r="X318" s="312"/>
      <c r="Y318" s="31"/>
      <c r="Z318" s="31"/>
      <c r="AA318" s="31"/>
      <c r="AB318" s="31"/>
      <c r="AC318" s="312"/>
      <c r="AD318" s="31"/>
      <c r="AE318" s="31"/>
      <c r="AF318" s="31"/>
      <c r="AG318" s="31"/>
      <c r="AH318" s="312"/>
      <c r="AI318" s="28"/>
      <c r="AJ318" s="28"/>
      <c r="AK318" s="28"/>
      <c r="AL318" s="31"/>
      <c r="AM318" s="312"/>
      <c r="AN318" s="28"/>
      <c r="AO318" s="28"/>
      <c r="AP318" s="28"/>
      <c r="AQ318" s="31"/>
      <c r="AR318" s="312"/>
      <c r="AS318" s="28"/>
      <c r="AT318" s="28">
        <v>2</v>
      </c>
      <c r="AU318" s="28">
        <v>5</v>
      </c>
      <c r="AV318" s="31">
        <f>+AW318-SUM(AS318:AU318)</f>
      </c>
      <c r="AW318" s="312">
        <v>15</v>
      </c>
      <c r="AX318" s="33">
        <v>9</v>
      </c>
      <c r="AY318" s="33">
        <v>14</v>
      </c>
      <c r="AZ318" s="33">
        <v>16</v>
      </c>
      <c r="BA318" s="33">
        <v>22</v>
      </c>
      <c r="BB318" s="312">
        <f>+SUM(AX318:BA318)</f>
      </c>
      <c r="BC318" s="33">
        <v>25</v>
      </c>
      <c r="BD318" s="33">
        <v>32</v>
      </c>
      <c r="BE318" s="33">
        <v>36</v>
      </c>
      <c r="BF318" s="33">
        <v>34</v>
      </c>
      <c r="BG318" s="313">
        <f>SUM(BC318:BF318)</f>
      </c>
      <c r="BH318" s="33">
        <v>39</v>
      </c>
      <c r="BI318" s="33">
        <v>34</v>
      </c>
      <c r="BJ318" s="33">
        <v>35</v>
      </c>
      <c r="BK318" s="33">
        <v>46</v>
      </c>
      <c r="BL318" s="313">
        <f>SUM(BH318:BK318)</f>
      </c>
      <c r="BM318" s="33">
        <v>51</v>
      </c>
      <c r="BN318" s="33">
        <v>52</v>
      </c>
      <c r="BO318" s="33">
        <v>52</v>
      </c>
      <c r="BP318" s="33">
        <v>59</v>
      </c>
      <c r="BQ318" s="313">
        <f>SUM(BM318:BP318)</f>
      </c>
      <c r="BR318" s="33">
        <v>52</v>
      </c>
      <c r="BS318" s="352">
        <v>66</v>
      </c>
      <c r="BT318" s="352">
        <v>62</v>
      </c>
      <c r="BU318" s="352">
        <v>71</v>
      </c>
      <c r="BV318" s="313">
        <f>SUM(BR318:BU318)</f>
      </c>
      <c r="BW318" s="352">
        <v>61</v>
      </c>
      <c r="BX318" s="352">
        <v>74</v>
      </c>
      <c r="BY318" s="352">
        <v>65</v>
      </c>
      <c r="BZ318" s="352">
        <v>67</v>
      </c>
      <c r="CA318" s="479">
        <f>SUM(BW318:BZ318)</f>
      </c>
      <c r="CB318" s="352">
        <v>79</v>
      </c>
      <c r="CC318" s="352">
        <v>69</v>
      </c>
      <c r="CD318" s="352">
        <v>67</v>
      </c>
      <c r="CE318" s="352">
        <v>65</v>
      </c>
      <c r="CF318" s="313">
        <f>SUM(CB318:CE318)</f>
      </c>
      <c r="CG318" s="352">
        <v>61</v>
      </c>
      <c r="CH318" s="352">
        <v>61</v>
      </c>
      <c r="CI318" s="352">
        <v>57</v>
      </c>
      <c r="CJ318" s="352">
        <v>55</v>
      </c>
      <c r="CK318" s="313">
        <f>SUM(CG318:CJ318)</f>
      </c>
      <c r="CL318" s="352">
        <v>62</v>
      </c>
      <c r="CM318" s="352">
        <v>64</v>
      </c>
      <c r="CN318" s="352">
        <v>59</v>
      </c>
      <c r="CO318" s="352">
        <v>56</v>
      </c>
      <c r="CP318" s="313">
        <f>SUM(CL318:CO318)</f>
      </c>
      <c r="CQ318" s="352"/>
      <c r="CR318" s="352"/>
      <c r="CS318" s="31"/>
      <c r="CT318" s="31"/>
      <c r="CU318" s="313"/>
      <c r="CV318" s="352"/>
      <c r="CW318" s="31"/>
      <c r="CX318" s="31"/>
      <c r="CY318" s="31"/>
      <c r="CZ318" s="313"/>
      <c r="DA318" s="352"/>
      <c r="DB318" s="31"/>
      <c r="DC318" s="31"/>
      <c r="DD318" s="955"/>
      <c r="DE318" s="477"/>
      <c r="DF318" s="1801"/>
      <c r="DG318" s="603"/>
      <c r="DH318" s="603"/>
      <c r="DI318" s="1798"/>
      <c r="DJ318" s="477"/>
      <c r="DK318" s="1801"/>
      <c r="DL318" s="603"/>
      <c r="DM318" s="603"/>
      <c r="DN318" s="1798"/>
      <c r="DO318" s="477"/>
      <c r="DP318" s="603"/>
      <c r="DQ318" s="603"/>
      <c r="DR318" s="603"/>
      <c r="DS318" s="1798"/>
      <c r="DT318" s="477"/>
      <c r="DU318" s="603"/>
      <c r="DV318" s="603"/>
      <c r="DW318" s="603"/>
      <c r="DX318" s="1798"/>
      <c r="DY318" s="477"/>
      <c r="DZ318" s="603"/>
      <c r="EA318" s="603"/>
      <c r="EB318" s="603"/>
      <c r="EC318" s="1798"/>
      <c r="ED318" s="477"/>
      <c r="EE318" s="603"/>
      <c r="EF318" s="603"/>
      <c r="EG318" s="603"/>
      <c r="EH318" s="1798"/>
      <c r="EI318" s="477"/>
      <c r="EJ318" s="477"/>
      <c r="EK318" s="477"/>
      <c r="EL318" s="477"/>
      <c r="EM318" s="477"/>
      <c r="EN318" s="477"/>
      <c r="EO318" s="477"/>
      <c r="EP318" s="477"/>
      <c r="EQ318" s="477"/>
      <c r="ER318" s="477"/>
      <c r="ES318" s="477"/>
      <c r="ET318" s="477"/>
      <c r="EU318" s="477"/>
      <c r="EV318" s="477"/>
      <c r="EW318" s="477"/>
      <c r="EX318" s="477"/>
    </row>
    <row r="319" spans="1:154" ht="12.75" hidden="1" customHeight="1">
      <c r="B319" s="437" t="s">
        <v>418</v>
      </c>
      <c r="C319" s="1989"/>
      <c r="D319" s="28"/>
      <c r="E319" s="28"/>
      <c r="F319" s="28"/>
      <c r="G319" s="28"/>
      <c r="H319" s="28"/>
      <c r="I319" s="31"/>
      <c r="J319" s="28"/>
      <c r="K319" s="28"/>
      <c r="L319" s="28"/>
      <c r="M319" s="28"/>
      <c r="N319" s="31"/>
      <c r="O319" s="31"/>
      <c r="P319" s="31"/>
      <c r="Q319" s="31"/>
      <c r="R319" s="31"/>
      <c r="S319" s="31"/>
      <c r="T319" s="31"/>
      <c r="U319" s="31"/>
      <c r="V319" s="31"/>
      <c r="W319" s="31"/>
      <c r="X319" s="313"/>
      <c r="Y319" s="31"/>
      <c r="Z319" s="31"/>
      <c r="AA319" s="31"/>
      <c r="AB319" s="31"/>
      <c r="AC319" s="313"/>
      <c r="AD319" s="31"/>
      <c r="AE319" s="31"/>
      <c r="AF319" s="31"/>
      <c r="AG319" s="31"/>
      <c r="AH319" s="313"/>
      <c r="AI319" s="28"/>
      <c r="AJ319" s="28"/>
      <c r="AK319" s="28"/>
      <c r="AL319" s="31"/>
      <c r="AM319" s="313"/>
      <c r="AN319" s="28"/>
      <c r="AO319" s="28"/>
      <c r="AP319" s="28"/>
      <c r="AQ319" s="31"/>
      <c r="AR319" s="313"/>
      <c r="AS319" s="28"/>
      <c r="AT319" s="28"/>
      <c r="AU319" s="28"/>
      <c r="AV319" s="31"/>
      <c r="AW319" s="313">
        <f t="shared" ref="AW319:BK319" si="944">+AW317+AW318</f>
      </c>
      <c r="AX319" s="31">
        <f t="shared" si="944"/>
      </c>
      <c r="AY319" s="31">
        <f t="shared" si="944"/>
      </c>
      <c r="AZ319" s="31">
        <f t="shared" si="944"/>
      </c>
      <c r="BA319" s="31">
        <f t="shared" si="944"/>
      </c>
      <c r="BB319" s="313">
        <f t="shared" si="944"/>
      </c>
      <c r="BC319" s="31">
        <f t="shared" si="944"/>
      </c>
      <c r="BD319" s="31">
        <f t="shared" si="944"/>
      </c>
      <c r="BE319" s="31">
        <f t="shared" si="944"/>
      </c>
      <c r="BF319" s="31">
        <f t="shared" si="944"/>
      </c>
      <c r="BG319" s="313">
        <f t="shared" si="944"/>
      </c>
      <c r="BH319" s="31">
        <f t="shared" si="944"/>
      </c>
      <c r="BI319" s="31">
        <f t="shared" si="944"/>
      </c>
      <c r="BJ319" s="31">
        <f t="shared" si="944"/>
      </c>
      <c r="BK319" s="28">
        <f t="shared" si="944"/>
      </c>
      <c r="BL319" s="313">
        <f>SUM(BH319:BK319)</f>
      </c>
      <c r="BM319" s="31">
        <f>+BM317+BM318</f>
      </c>
      <c r="BN319" s="31">
        <f>+BN317+BN318</f>
      </c>
      <c r="BO319" s="31">
        <f>+BO317+BO318</f>
      </c>
      <c r="BP319" s="28">
        <f>+BP317+BP318</f>
      </c>
      <c r="BQ319" s="313">
        <f>SUM(BM319:BP319)</f>
      </c>
      <c r="BR319" s="31">
        <f>+BR317+BR318</f>
      </c>
      <c r="BS319" s="31">
        <f>+BS317+BS318</f>
      </c>
      <c r="BT319" s="31">
        <f>+BT317+BT318</f>
      </c>
      <c r="BU319" s="28">
        <f>+BU317+BU318</f>
      </c>
      <c r="BV319" s="313">
        <f>SUM(BR319:BU319)</f>
      </c>
      <c r="BW319" s="31">
        <f>+BW317+BW318</f>
      </c>
      <c r="BX319" s="31">
        <f>+BX317+BX318</f>
      </c>
      <c r="BY319" s="31">
        <f>+BY317+BY318</f>
      </c>
      <c r="BZ319" s="31">
        <f>+BZ317+BZ318</f>
      </c>
      <c r="CA319" s="479">
        <f>SUM(BW319:BZ319)</f>
      </c>
      <c r="CB319" s="31">
        <f>+CB317+CB318</f>
      </c>
      <c r="CC319" s="31">
        <f>+CC317+CC318</f>
      </c>
      <c r="CD319" s="31">
        <f>+CD317+CD318</f>
      </c>
      <c r="CE319" s="31">
        <f>+CE317+CE318</f>
      </c>
      <c r="CF319" s="313">
        <f>SUM(CB319:CE319)</f>
      </c>
      <c r="CG319" s="31">
        <f>+CG317+CG318</f>
      </c>
      <c r="CH319" s="31">
        <f>+CH317+CH318</f>
      </c>
      <c r="CI319" s="31">
        <f>+CI317+CI318</f>
      </c>
      <c r="CJ319" s="31">
        <f>+CJ317+CJ318</f>
      </c>
      <c r="CK319" s="313">
        <f>SUM(CG319:CJ319)</f>
      </c>
      <c r="CL319" s="31">
        <f>+CL317+CL318</f>
      </c>
      <c r="CM319" s="31">
        <f>+CM317+CM318</f>
      </c>
      <c r="CN319" s="31">
        <f>+CN317+CN318</f>
      </c>
      <c r="CO319" s="31">
        <f>+CO317+CO318</f>
      </c>
      <c r="CP319" s="313">
        <f>SUM(CL319:CO319)</f>
      </c>
      <c r="CQ319" s="31"/>
      <c r="CR319" s="31"/>
      <c r="CS319" s="31"/>
      <c r="CT319" s="31"/>
      <c r="CU319" s="313"/>
      <c r="CV319" s="31"/>
      <c r="CW319" s="31"/>
      <c r="CX319" s="31"/>
      <c r="CY319" s="31"/>
      <c r="CZ319" s="313"/>
      <c r="DA319" s="31"/>
      <c r="DB319" s="31"/>
      <c r="DC319" s="31"/>
      <c r="DD319" s="955"/>
      <c r="DE319" s="477"/>
      <c r="DF319" s="603"/>
      <c r="DG319" s="603"/>
      <c r="DH319" s="603"/>
      <c r="DI319" s="1798"/>
      <c r="DJ319" s="477"/>
      <c r="DK319" s="603"/>
      <c r="DL319" s="603"/>
      <c r="DM319" s="603"/>
      <c r="DN319" s="1798"/>
      <c r="DO319" s="477"/>
      <c r="DP319" s="603"/>
      <c r="DQ319" s="603"/>
      <c r="DR319" s="603"/>
      <c r="DS319" s="1798"/>
      <c r="DT319" s="477"/>
      <c r="DU319" s="603"/>
      <c r="DV319" s="603"/>
      <c r="DW319" s="603"/>
      <c r="DX319" s="1798"/>
      <c r="DY319" s="477"/>
      <c r="DZ319" s="603"/>
      <c r="EA319" s="603"/>
      <c r="EB319" s="603"/>
      <c r="EC319" s="1798"/>
      <c r="ED319" s="477"/>
      <c r="EE319" s="603"/>
      <c r="EF319" s="603"/>
      <c r="EG319" s="603"/>
      <c r="EH319" s="1798"/>
      <c r="EI319" s="477"/>
      <c r="EJ319" s="477"/>
      <c r="EK319" s="477"/>
      <c r="EL319" s="477"/>
      <c r="EM319" s="477"/>
      <c r="EN319" s="477"/>
      <c r="EO319" s="477"/>
      <c r="EP319" s="477"/>
      <c r="EQ319" s="477"/>
      <c r="ER319" s="477"/>
      <c r="ES319" s="477"/>
      <c r="ET319" s="477"/>
      <c r="EU319" s="477"/>
      <c r="EV319" s="477"/>
      <c r="EW319" s="477"/>
      <c r="EX319" s="477"/>
    </row>
    <row r="320" spans="1:154" ht="12.75" hidden="1" customHeight="1">
      <c r="B320" s="437"/>
      <c r="C320" s="1989"/>
      <c r="D320" s="28"/>
      <c r="E320" s="28"/>
      <c r="F320" s="28"/>
      <c r="G320" s="28"/>
      <c r="H320" s="28"/>
      <c r="I320" s="31"/>
      <c r="J320" s="28"/>
      <c r="K320" s="28"/>
      <c r="L320" s="28"/>
      <c r="M320" s="28"/>
      <c r="N320" s="31"/>
      <c r="O320" s="31"/>
      <c r="P320" s="31"/>
      <c r="Q320" s="31"/>
      <c r="R320" s="31"/>
      <c r="S320" s="31"/>
      <c r="T320" s="31"/>
      <c r="U320" s="31"/>
      <c r="V320" s="31"/>
      <c r="W320" s="31"/>
      <c r="X320" s="313"/>
      <c r="Y320" s="31"/>
      <c r="Z320" s="31"/>
      <c r="AA320" s="31"/>
      <c r="AB320" s="31"/>
      <c r="AC320" s="313"/>
      <c r="AD320" s="31"/>
      <c r="AE320" s="31"/>
      <c r="AF320" s="31"/>
      <c r="AG320" s="31"/>
      <c r="AH320" s="313"/>
      <c r="AI320" s="28"/>
      <c r="AJ320" s="28"/>
      <c r="AK320" s="28"/>
      <c r="AL320" s="31"/>
      <c r="AM320" s="313"/>
      <c r="AN320" s="28"/>
      <c r="AO320" s="28"/>
      <c r="AP320" s="28"/>
      <c r="AQ320" s="31"/>
      <c r="AR320" s="313"/>
      <c r="AS320" s="28"/>
      <c r="AT320" s="28"/>
      <c r="AU320" s="28"/>
      <c r="AV320" s="31"/>
      <c r="AW320" s="313"/>
      <c r="AX320" s="28"/>
      <c r="AY320" s="28"/>
      <c r="AZ320" s="28"/>
      <c r="BA320" s="28"/>
      <c r="BB320" s="313"/>
      <c r="BC320" s="28"/>
      <c r="BD320" s="28"/>
      <c r="BE320" s="28"/>
      <c r="BF320" s="28"/>
      <c r="BG320" s="313"/>
      <c r="BH320" s="28"/>
      <c r="BI320" s="28"/>
      <c r="BJ320" s="28"/>
      <c r="BK320" s="28"/>
      <c r="BL320" s="313"/>
      <c r="BM320" s="28"/>
      <c r="BN320" s="28"/>
      <c r="BO320" s="28"/>
      <c r="BP320" s="28"/>
      <c r="BQ320" s="313"/>
      <c r="BR320" s="28"/>
      <c r="BS320" s="28"/>
      <c r="BT320" s="28"/>
      <c r="BU320" s="28"/>
      <c r="BV320" s="313"/>
      <c r="BW320" s="28"/>
      <c r="BX320" s="28"/>
      <c r="BY320" s="28"/>
      <c r="BZ320" s="28"/>
      <c r="CA320" s="313"/>
      <c r="CB320" s="28"/>
      <c r="CC320" s="28"/>
      <c r="CD320" s="28"/>
      <c r="CE320" s="28"/>
      <c r="CF320" s="313"/>
      <c r="CG320" s="28"/>
      <c r="CH320" s="28"/>
      <c r="CI320" s="28"/>
      <c r="CJ320" s="28"/>
      <c r="CK320" s="313"/>
      <c r="CL320" s="961"/>
      <c r="CM320" s="28"/>
      <c r="CN320" s="28"/>
      <c r="CO320" s="28"/>
      <c r="CP320" s="313"/>
      <c r="CQ320" s="933"/>
      <c r="CR320" s="933"/>
      <c r="CS320" s="933"/>
      <c r="CT320" s="933"/>
      <c r="CU320" s="313"/>
      <c r="CV320" s="933"/>
      <c r="CW320" s="933"/>
      <c r="CX320" s="933"/>
      <c r="CY320" s="933"/>
      <c r="CZ320" s="313"/>
      <c r="DA320" s="933"/>
      <c r="DB320" s="31"/>
      <c r="DC320" s="31"/>
      <c r="DD320" s="955"/>
      <c r="DE320" s="477"/>
      <c r="DF320" s="982"/>
      <c r="DG320" s="603"/>
      <c r="DH320" s="603"/>
      <c r="DI320" s="1798"/>
      <c r="DJ320" s="477"/>
      <c r="DK320" s="982"/>
      <c r="DL320" s="603"/>
      <c r="DM320" s="603"/>
      <c r="DN320" s="1798"/>
      <c r="DO320" s="477"/>
      <c r="DP320" s="603"/>
      <c r="DQ320" s="603"/>
      <c r="DR320" s="603"/>
      <c r="DS320" s="1798"/>
      <c r="DT320" s="477"/>
      <c r="DU320" s="603"/>
      <c r="DV320" s="603"/>
      <c r="DW320" s="603"/>
      <c r="DX320" s="1798"/>
      <c r="DY320" s="477"/>
      <c r="DZ320" s="603"/>
      <c r="EA320" s="603"/>
      <c r="EB320" s="603"/>
      <c r="EC320" s="1798"/>
      <c r="ED320" s="477"/>
      <c r="EE320" s="603"/>
      <c r="EF320" s="603"/>
      <c r="EG320" s="603"/>
      <c r="EH320" s="1798"/>
      <c r="EI320" s="477"/>
      <c r="EJ320" s="477"/>
      <c r="EK320" s="477"/>
      <c r="EL320" s="477"/>
      <c r="EM320" s="477"/>
      <c r="EN320" s="477"/>
      <c r="EO320" s="477"/>
      <c r="EP320" s="477"/>
      <c r="EQ320" s="477"/>
      <c r="ER320" s="477"/>
      <c r="ES320" s="477"/>
      <c r="ET320" s="477"/>
      <c r="EU320" s="477"/>
      <c r="EV320" s="477"/>
      <c r="EW320" s="477"/>
      <c r="EX320" s="477"/>
    </row>
    <row r="321" spans="1:154" ht="12.75" hidden="1" customHeight="1">
      <c r="B321" s="439" t="s">
        <v>214</v>
      </c>
      <c r="C321" s="1989"/>
      <c r="D321" s="28"/>
      <c r="E321" s="28"/>
      <c r="F321" s="28"/>
      <c r="G321" s="28"/>
      <c r="H321" s="28"/>
      <c r="I321" s="31"/>
      <c r="J321" s="28"/>
      <c r="K321" s="28"/>
      <c r="L321" s="28"/>
      <c r="M321" s="28"/>
      <c r="N321" s="31"/>
      <c r="O321" s="31"/>
      <c r="P321" s="31"/>
      <c r="Q321" s="31"/>
      <c r="R321" s="31"/>
      <c r="S321" s="31"/>
      <c r="T321" s="31"/>
      <c r="U321" s="31"/>
      <c r="V321" s="31"/>
      <c r="W321" s="31"/>
      <c r="X321" s="313"/>
      <c r="Y321" s="31"/>
      <c r="Z321" s="31"/>
      <c r="AA321" s="31"/>
      <c r="AB321" s="31"/>
      <c r="AC321" s="313"/>
      <c r="AD321" s="31"/>
      <c r="AE321" s="31"/>
      <c r="AF321" s="31"/>
      <c r="AG321" s="31"/>
      <c r="AH321" s="313"/>
      <c r="AI321" s="28"/>
      <c r="AJ321" s="28"/>
      <c r="AK321" s="28"/>
      <c r="AL321" s="31"/>
      <c r="AM321" s="313"/>
      <c r="AN321" s="28"/>
      <c r="AO321" s="28"/>
      <c r="AP321" s="28"/>
      <c r="AQ321" s="31"/>
      <c r="AR321" s="313"/>
      <c r="AS321" s="28"/>
      <c r="AT321" s="28"/>
      <c r="AU321" s="28"/>
      <c r="AV321" s="31"/>
      <c r="AW321" s="313"/>
      <c r="AX321" s="28"/>
      <c r="AY321" s="28"/>
      <c r="AZ321" s="28"/>
      <c r="BA321" s="28"/>
      <c r="BB321" s="313"/>
      <c r="BC321" s="28"/>
      <c r="BD321" s="28"/>
      <c r="BE321" s="28"/>
      <c r="BF321" s="28"/>
      <c r="BG321" s="313"/>
      <c r="BH321" s="28"/>
      <c r="BI321" s="29"/>
      <c r="BJ321" s="28"/>
      <c r="BK321" s="28"/>
      <c r="BL321" s="313"/>
      <c r="BM321" s="28"/>
      <c r="BN321" s="28"/>
      <c r="BO321" s="28"/>
      <c r="BP321" s="28"/>
      <c r="BQ321" s="313"/>
      <c r="BR321" s="28"/>
      <c r="BS321" s="28"/>
      <c r="BT321" s="28"/>
      <c r="BU321" s="28"/>
      <c r="BV321" s="313"/>
      <c r="BW321" s="28"/>
      <c r="BX321" s="28"/>
      <c r="BY321" s="28"/>
      <c r="BZ321" s="28"/>
      <c r="CA321" s="313"/>
      <c r="CB321" s="28"/>
      <c r="CC321" s="28"/>
      <c r="CD321" s="28"/>
      <c r="CE321" s="28"/>
      <c r="CF321" s="313"/>
      <c r="CG321" s="28"/>
      <c r="CH321" s="28"/>
      <c r="CI321" s="28"/>
      <c r="CJ321" s="28"/>
      <c r="CK321" s="313"/>
      <c r="CL321" s="961"/>
      <c r="CM321" s="933"/>
      <c r="CN321" s="933"/>
      <c r="CO321" s="28"/>
      <c r="CP321" s="313"/>
      <c r="CQ321" s="933"/>
      <c r="CR321" s="933"/>
      <c r="CS321" s="933"/>
      <c r="CT321" s="933"/>
      <c r="CU321" s="313"/>
      <c r="CV321" s="933"/>
      <c r="CW321" s="933"/>
      <c r="CX321" s="933"/>
      <c r="CY321" s="933"/>
      <c r="CZ321" s="313"/>
      <c r="DA321" s="933"/>
      <c r="DB321" s="31"/>
      <c r="DC321" s="31"/>
      <c r="DD321" s="955"/>
      <c r="DE321" s="477"/>
      <c r="DF321" s="982"/>
      <c r="DG321" s="603"/>
      <c r="DH321" s="603"/>
      <c r="DI321" s="1798"/>
      <c r="DJ321" s="477"/>
      <c r="DK321" s="982"/>
      <c r="DL321" s="603"/>
      <c r="DM321" s="603"/>
      <c r="DN321" s="1798"/>
      <c r="DO321" s="477"/>
      <c r="DP321" s="603"/>
      <c r="DQ321" s="603"/>
      <c r="DR321" s="603"/>
      <c r="DS321" s="1798"/>
      <c r="DT321" s="477"/>
      <c r="DU321" s="603"/>
      <c r="DV321" s="603"/>
      <c r="DW321" s="603"/>
      <c r="DX321" s="1798"/>
      <c r="DY321" s="477"/>
      <c r="DZ321" s="603"/>
      <c r="EA321" s="603"/>
      <c r="EB321" s="603"/>
      <c r="EC321" s="1798"/>
      <c r="ED321" s="477"/>
      <c r="EE321" s="603"/>
      <c r="EF321" s="603"/>
      <c r="EG321" s="603"/>
      <c r="EH321" s="1798"/>
      <c r="EI321" s="477"/>
      <c r="EJ321" s="477"/>
      <c r="EK321" s="477"/>
      <c r="EL321" s="477"/>
      <c r="EM321" s="477"/>
      <c r="EN321" s="477"/>
      <c r="EO321" s="477"/>
      <c r="EP321" s="477"/>
      <c r="EQ321" s="477"/>
      <c r="ER321" s="477"/>
      <c r="ES321" s="477"/>
      <c r="ET321" s="477"/>
      <c r="EU321" s="477"/>
      <c r="EV321" s="477"/>
      <c r="EW321" s="477"/>
      <c r="EX321" s="477"/>
    </row>
    <row r="322" spans="1:154" ht="12.75" hidden="1" customHeight="1">
      <c r="B322" s="440" t="s">
        <v>416</v>
      </c>
      <c r="C322" s="1989"/>
      <c r="D322" s="28"/>
      <c r="E322" s="28"/>
      <c r="F322" s="28"/>
      <c r="G322" s="28"/>
      <c r="H322" s="28"/>
      <c r="I322" s="31"/>
      <c r="J322" s="28"/>
      <c r="K322" s="28"/>
      <c r="L322" s="28"/>
      <c r="M322" s="28"/>
      <c r="N322" s="31"/>
      <c r="O322" s="31"/>
      <c r="P322" s="31"/>
      <c r="Q322" s="31"/>
      <c r="R322" s="31"/>
      <c r="S322" s="31"/>
      <c r="T322" s="31"/>
      <c r="U322" s="31"/>
      <c r="V322" s="31"/>
      <c r="W322" s="31"/>
      <c r="X322" s="308"/>
      <c r="Y322" s="31"/>
      <c r="Z322" s="31"/>
      <c r="AA322" s="31"/>
      <c r="AB322" s="31"/>
      <c r="AC322" s="308"/>
      <c r="AD322" s="31"/>
      <c r="AE322" s="31"/>
      <c r="AF322" s="31"/>
      <c r="AG322" s="31"/>
      <c r="AH322" s="308"/>
      <c r="AI322" s="28"/>
      <c r="AJ322" s="28"/>
      <c r="AK322" s="28"/>
      <c r="AL322" s="31"/>
      <c r="AM322" s="308"/>
      <c r="AN322" s="28"/>
      <c r="AO322" s="28"/>
      <c r="AP322" s="28"/>
      <c r="AQ322" s="31"/>
      <c r="AR322" s="308"/>
      <c r="AS322" s="28"/>
      <c r="AT322" s="28"/>
      <c r="AU322" s="28"/>
      <c r="AV322" s="31"/>
      <c r="AW322" s="308"/>
      <c r="AX322" s="28"/>
      <c r="AY322" s="28"/>
      <c r="AZ322" s="28"/>
      <c r="BA322" s="28"/>
      <c r="BB322" s="308">
        <f t="shared" ref="BB322:BK323" si="945">IF(AW317="NM","NM",IF(BB317="NM","NM",IF(AW317&lt;=0,"NM",IF(BB317=0,"NM",IF(ABS(BB317/AW317-1)&gt;2.5,"NM",IF((ABS(BB317-AW317)=ABS(ABS(BB317)-ABS(AW317))),(BB317/AW317-1),"NM"))))))</f>
      </c>
      <c r="BC322" s="30">
        <f t="shared" si="945"/>
      </c>
      <c r="BD322" s="30">
        <f t="shared" si="945"/>
      </c>
      <c r="BE322" s="30">
        <f t="shared" si="945"/>
      </c>
      <c r="BF322" s="30">
        <f t="shared" si="945"/>
      </c>
      <c r="BG322" s="308">
        <f t="shared" si="945"/>
      </c>
      <c r="BH322" s="30">
        <f t="shared" si="945"/>
      </c>
      <c r="BI322" s="30">
        <f t="shared" si="945"/>
      </c>
      <c r="BJ322" s="30">
        <f t="shared" si="945"/>
      </c>
      <c r="BK322" s="30">
        <f t="shared" si="945"/>
      </c>
      <c r="BL322" s="308">
        <f t="shared" ref="BL322:BR323" si="946">IF(BG317="NM","NM",IF(BL317="NM","NM",IF(BG317&lt;=0,"NM",IF(BL317=0,"NM",IF(ABS(BL317/BG317-1)&gt;2.5,"NM",IF((ABS(BL317-BG317)=ABS(ABS(BL317)-ABS(BG317))),(BL317/BG317-1),"NM"))))))</f>
      </c>
      <c r="BM322" s="30">
        <f t="shared" si="946"/>
      </c>
      <c r="BN322" s="30">
        <f t="shared" si="946"/>
      </c>
      <c r="BO322" s="30">
        <f t="shared" si="946"/>
      </c>
      <c r="BP322" s="30">
        <f t="shared" si="946"/>
      </c>
      <c r="BQ322" s="308">
        <f t="shared" si="946"/>
      </c>
      <c r="BR322" s="30">
        <f t="shared" si="946"/>
      </c>
      <c r="BS322" s="30">
        <f t="shared" ref="BS322:CI323" si="947">IF(BN317="NM","NM",IF(BS317="NM","NM",IF(BN317&lt;=0,"NM",IF(BS317=0,"NM",IF(ABS(BS317/BN317-1)&gt;2.5,"NM",IF((ABS(BS317-BN317)=ABS(ABS(BS317)-ABS(BN317))),(BS317/BN317-1),"NM"))))))</f>
      </c>
      <c r="BT322" s="30">
        <f t="shared" si="947"/>
      </c>
      <c r="BU322" s="30">
        <f>IF(BP317="NM","NM",IF(BU317="NM","NM",IF(BP317&lt;=0,"NM",IF(BU317=0,"NM",IF(ABS(BU317/BP317-1)&gt;2.5,"NM",IF((ABS(BU317-BP317)=ABS(ABS(BU317)-ABS(BP317))),(BU317/BP317-1),"NM"))))))</f>
      </c>
      <c r="BV322" s="308">
        <f>IF(BQ317="NM","NM",IF(BV317="NM","NM",IF(BQ317&lt;=0,"NM",IF(BV317=0,"NM",IF(ABS(BV317/BQ317-1)&gt;2.5,"NM",IF((ABS(BV317-BQ317)=ABS(ABS(BV317)-ABS(BQ317))),(BV317/BQ317-1),"NM"))))))</f>
      </c>
      <c r="BW322" s="30">
        <f t="shared" si="947"/>
      </c>
      <c r="BX322" s="30">
        <f t="shared" si="947"/>
      </c>
      <c r="BY322" s="30">
        <f t="shared" si="947"/>
      </c>
      <c r="BZ322" s="30">
        <f>IF(BU317="NM","NM",IF(BZ317="NM","NM",IF(BU317&lt;=0,"NM",IF(BZ317=0,"NM",IF(ABS(BZ317/BU317-1)&gt;2.5,"NM",IF((ABS(BZ317-BU317)=ABS(ABS(BZ317)-ABS(BU317))),(BZ317/BU317-1),"NM"))))))</f>
      </c>
      <c r="CA322" s="315">
        <f>IF(BV317="NM","NM",IF(CA317="NM","NM",IF(BV317&lt;=0,"NM",IF(CA317=0,"NM",IF(ABS(CA317/BV317-1)&gt;2.5,"NM",IF((ABS(CA317-BV317)=ABS(ABS(CA317)-ABS(BV317))),(CA317/BV317-1),"NM"))))))</f>
      </c>
      <c r="CB322" s="30">
        <f t="shared" si="947"/>
      </c>
      <c r="CC322" s="30">
        <f t="shared" si="947"/>
      </c>
      <c r="CD322" s="30">
        <f t="shared" si="947"/>
      </c>
      <c r="CE322" s="30">
        <f>IF(BZ317="NM","NM",IF(CE317="NM","NM",IF(BZ317&lt;=0,"NM",IF(CE317=0,"NM",IF(ABS(CE317/BZ317-1)&gt;2.5,"NM",IF((ABS(CE317-BZ317)=ABS(ABS(CE317)-ABS(BZ317))),(CE317/BZ317-1),"NM"))))))</f>
      </c>
      <c r="CF322" s="315">
        <f>IF(CA317="NM","NM",IF(CF317="NM","NM",IF(CA317&lt;=0,"NM",IF(CF317=0,"NM",IF(ABS(CF317/CA317-1)&gt;2.5,"NM",IF((ABS(CF317-CA317)=ABS(ABS(CF317)-ABS(CA317))),(CF317/CA317-1),"NM"))))))</f>
      </c>
      <c r="CG322" s="30">
        <f t="shared" si="947"/>
      </c>
      <c r="CH322" s="30">
        <f t="shared" si="947"/>
      </c>
      <c r="CI322" s="30">
        <f t="shared" si="947"/>
      </c>
      <c r="CJ322" s="925">
        <f>IF(CE317="NM","NM",IF(CJ317="NM","NM",IF(CE317&lt;=0,"NM",IF(CJ317=0,"NM",IF(ABS(CJ317/CE317-1)&gt;2.5,"NM",IF((ABS(CJ317-CE317)=ABS(ABS(CJ317)-ABS(CE317))),(CJ317/CE317-1),"NM"))))))</f>
      </c>
      <c r="CK322" s="308">
        <f>IF(CF317=0, "NA", CK317/CF317-1)</f>
      </c>
      <c r="CL322" s="30">
        <f t="shared" ref="CL322:CN323" si="948">IF(CG317="NM","NM",IF(CL317="NM","NM",IF(CG317&lt;=0,"NM",IF(CL317=0,"NM",IF(ABS(CL317/CG317-1)&gt;2.5,"NM",IF((ABS(CL317-CG317)=ABS(ABS(CL317)-ABS(CG317))),(CL317/CG317-1),"NM"))))))</f>
      </c>
      <c r="CM322" s="30">
        <f t="shared" si="948"/>
      </c>
      <c r="CN322" s="30">
        <f t="shared" si="948"/>
      </c>
      <c r="CO322" s="925" t="str">
        <f>IF(CJ317="NM","NM",IF(CO317="NM","NM",IF(CJ317&lt;=0,"NM",IF(CO317=0,"NM",IF(ABS(CO317/CJ317-1)&gt;2.5,"NM",IF((ABS(CO317-CJ317)=ABS(ABS(CO317)-ABS(CJ317))),(CO317/CJ317-1),"NM"))))))</f>
      </c>
      <c r="CP322" s="308">
        <f>IF(CK317=0, "NA", CP317/CK317-1)</f>
      </c>
      <c r="CQ322" s="30"/>
      <c r="CR322" s="30"/>
      <c r="CS322" s="361"/>
      <c r="CT322" s="361"/>
      <c r="CU322" s="308"/>
      <c r="CV322" s="30"/>
      <c r="CW322" s="361"/>
      <c r="CX322" s="361"/>
      <c r="CY322" s="361"/>
      <c r="CZ322" s="308"/>
      <c r="DA322" s="30"/>
      <c r="DB322" s="361"/>
      <c r="DC322" s="361"/>
      <c r="DD322" s="835"/>
      <c r="DE322" s="316"/>
      <c r="DF322" s="30"/>
      <c r="DG322" s="361"/>
      <c r="DH322" s="361"/>
      <c r="DI322" s="835"/>
      <c r="DJ322" s="835"/>
      <c r="DK322" s="30"/>
      <c r="DL322" s="361"/>
      <c r="DM322" s="361"/>
      <c r="DN322" s="835"/>
      <c r="DO322" s="835"/>
      <c r="DP322" s="361"/>
      <c r="DQ322" s="361"/>
      <c r="DR322" s="361"/>
      <c r="DS322" s="835"/>
      <c r="DT322" s="835"/>
      <c r="DU322" s="361"/>
      <c r="DV322" s="361"/>
      <c r="DW322" s="361"/>
      <c r="DX322" s="835"/>
      <c r="DY322" s="835"/>
      <c r="DZ322" s="361"/>
      <c r="EA322" s="361"/>
      <c r="EB322" s="361"/>
      <c r="EC322" s="835"/>
      <c r="ED322" s="835"/>
      <c r="EE322" s="361"/>
      <c r="EF322" s="361"/>
      <c r="EG322" s="361"/>
      <c r="EH322" s="835"/>
      <c r="EI322" s="835"/>
      <c r="EJ322" s="835"/>
      <c r="EK322" s="835"/>
      <c r="EL322" s="835"/>
      <c r="EM322" s="835"/>
      <c r="EN322" s="316"/>
      <c r="EO322" s="835"/>
      <c r="EP322" s="835"/>
      <c r="EQ322" s="835"/>
      <c r="ER322" s="835"/>
      <c r="ES322" s="835"/>
      <c r="ET322" s="835"/>
      <c r="EU322" s="835"/>
      <c r="EV322" s="835"/>
      <c r="EW322" s="835"/>
      <c r="EX322" s="835"/>
    </row>
    <row r="323" spans="1:154" ht="12.75" hidden="1" customHeight="1">
      <c r="B323" s="440" t="s">
        <v>417</v>
      </c>
      <c r="C323" s="1989"/>
      <c r="D323" s="28"/>
      <c r="E323" s="28"/>
      <c r="F323" s="28"/>
      <c r="G323" s="28"/>
      <c r="H323" s="28"/>
      <c r="I323" s="31"/>
      <c r="J323" s="28"/>
      <c r="K323" s="28"/>
      <c r="L323" s="28"/>
      <c r="M323" s="28"/>
      <c r="N323" s="31"/>
      <c r="O323" s="31"/>
      <c r="P323" s="31"/>
      <c r="Q323" s="31"/>
      <c r="R323" s="31"/>
      <c r="S323" s="31"/>
      <c r="T323" s="31"/>
      <c r="U323" s="31"/>
      <c r="V323" s="31"/>
      <c r="W323" s="31"/>
      <c r="X323" s="308"/>
      <c r="Y323" s="31"/>
      <c r="Z323" s="31"/>
      <c r="AA323" s="31"/>
      <c r="AB323" s="31"/>
      <c r="AC323" s="308"/>
      <c r="AD323" s="31"/>
      <c r="AE323" s="31"/>
      <c r="AF323" s="31"/>
      <c r="AG323" s="31"/>
      <c r="AH323" s="308"/>
      <c r="AI323" s="28"/>
      <c r="AJ323" s="28"/>
      <c r="AK323" s="28"/>
      <c r="AL323" s="31"/>
      <c r="AM323" s="308"/>
      <c r="AN323" s="28"/>
      <c r="AO323" s="28"/>
      <c r="AP323" s="28"/>
      <c r="AQ323" s="31"/>
      <c r="AR323" s="308"/>
      <c r="AS323" s="28"/>
      <c r="AT323" s="28"/>
      <c r="AU323" s="28"/>
      <c r="AV323" s="31"/>
      <c r="AW323" s="308"/>
      <c r="AX323" s="28"/>
      <c r="AY323" s="28"/>
      <c r="AZ323" s="28"/>
      <c r="BA323" s="28"/>
      <c r="BB323" s="308" t="str">
        <f t="shared" si="945"/>
      </c>
      <c r="BC323" s="30">
        <f t="shared" si="945"/>
      </c>
      <c r="BD323" s="30">
        <f t="shared" si="945"/>
      </c>
      <c r="BE323" s="30">
        <f t="shared" si="945"/>
      </c>
      <c r="BF323" s="30">
        <f t="shared" si="945"/>
      </c>
      <c r="BG323" s="308">
        <f t="shared" si="945"/>
      </c>
      <c r="BH323" s="30">
        <f t="shared" si="945"/>
      </c>
      <c r="BI323" s="30">
        <f t="shared" si="945"/>
      </c>
      <c r="BJ323" s="30">
        <f t="shared" si="945"/>
      </c>
      <c r="BK323" s="30">
        <f t="shared" si="945"/>
      </c>
      <c r="BL323" s="308">
        <f t="shared" si="946"/>
      </c>
      <c r="BM323" s="30">
        <f t="shared" si="946"/>
      </c>
      <c r="BN323" s="30">
        <f t="shared" si="946"/>
      </c>
      <c r="BO323" s="30">
        <f t="shared" si="946"/>
      </c>
      <c r="BP323" s="30">
        <f t="shared" si="946"/>
      </c>
      <c r="BQ323" s="308">
        <f t="shared" si="946"/>
      </c>
      <c r="BR323" s="30">
        <f t="shared" si="946"/>
      </c>
      <c r="BS323" s="30">
        <f t="shared" si="947"/>
      </c>
      <c r="BT323" s="30">
        <f t="shared" si="947"/>
      </c>
      <c r="BU323" s="30">
        <f>IF(BP318="NM","NM",IF(BU318="NM","NM",IF(BP318&lt;=0,"NM",IF(BU318=0,"NM",IF(ABS(BU318/BP318-1)&gt;2.5,"NM",IF((ABS(BU318-BP318)=ABS(ABS(BU318)-ABS(BP318))),(BU318/BP318-1),"NM"))))))</f>
      </c>
      <c r="BV323" s="308">
        <f>IF(BQ318="NM","NM",IF(BV318="NM","NM",IF(BQ318&lt;=0,"NM",IF(BV318=0,"NM",IF(ABS(BV318/BQ318-1)&gt;2.5,"NM",IF((ABS(BV318-BQ318)=ABS(ABS(BV318)-ABS(BQ318))),(BV318/BQ318-1),"NM"))))))</f>
      </c>
      <c r="BW323" s="30">
        <f t="shared" si="947"/>
      </c>
      <c r="BX323" s="30">
        <f t="shared" si="947"/>
      </c>
      <c r="BY323" s="30">
        <f t="shared" si="947"/>
      </c>
      <c r="BZ323" s="30">
        <f>IF(BU318="NM","NM",IF(BZ318="NM","NM",IF(BU318&lt;=0,"NM",IF(BZ318=0,"NM",IF(ABS(BZ318/BU318-1)&gt;2.5,"NM",IF((ABS(BZ318-BU318)=ABS(ABS(BZ318)-ABS(BU318))),(BZ318/BU318-1),"NM"))))))</f>
      </c>
      <c r="CA323" s="308">
        <f>IF(BV318="NM","NM",IF(CA318="NM","NM",IF(BV318&lt;=0,"NM",IF(CA318=0,"NM",IF(ABS(CA318/BV318-1)&gt;2.5,"NM",IF((ABS(CA318-BV318)=ABS(ABS(CA318)-ABS(BV318))),(CA318/BV318-1),"NM"))))))</f>
      </c>
      <c r="CB323" s="30">
        <f t="shared" si="947"/>
      </c>
      <c r="CC323" s="30">
        <f t="shared" si="947"/>
      </c>
      <c r="CD323" s="30">
        <f t="shared" si="947"/>
      </c>
      <c r="CE323" s="30">
        <f>IF(BZ318="NM","NM",IF(CE318="NM","NM",IF(BZ318&lt;=0,"NM",IF(CE318=0,"NM",IF(ABS(CE318/BZ318-1)&gt;2.5,"NM",IF((ABS(CE318-BZ318)=ABS(ABS(CE318)-ABS(BZ318))),(CE318/BZ318-1),"NM"))))))</f>
      </c>
      <c r="CF323" s="308">
        <f>IF(CA318="NM","NM",IF(CF318="NM","NM",IF(CA318&lt;=0,"NM",IF(CF318=0,"NM",IF(ABS(CF318/CA318-1)&gt;2.5,"NM",IF((ABS(CF318-CA318)=ABS(ABS(CF318)-ABS(CA318))),(CF318/CA318-1),"NM"))))))</f>
      </c>
      <c r="CG323" s="30">
        <f t="shared" si="947"/>
      </c>
      <c r="CH323" s="30">
        <f t="shared" si="947"/>
      </c>
      <c r="CI323" s="30">
        <f t="shared" si="947"/>
      </c>
      <c r="CJ323" s="926">
        <f>IF(CE318="NM","NM",IF(CJ318="NM","NM",IF(CE318&lt;=0,"NM",IF(CJ318=0,"NM",IF(ABS(CJ318/CE318-1)&gt;2.5,"NM",IF((ABS(CJ318-CE318)=ABS(ABS(CJ318)-ABS(CE318))),(CJ318/CE318-1),"NM"))))))</f>
      </c>
      <c r="CK323" s="308">
        <f>IF(CF318=0, "NA", CK318/CF318-1)</f>
      </c>
      <c r="CL323" s="30">
        <f t="shared" si="948"/>
      </c>
      <c r="CM323" s="30">
        <f t="shared" si="948"/>
      </c>
      <c r="CN323" s="30">
        <f t="shared" si="948"/>
      </c>
      <c r="CO323" s="926">
        <f>IF(CJ318="NM","NM",IF(CO318="NM","NM",IF(CJ318&lt;=0,"NM",IF(CO318=0,"NM",IF(ABS(CO318/CJ318-1)&gt;2.5,"NM",IF((ABS(CO318-CJ318)=ABS(ABS(CO318)-ABS(CJ318))),(CO318/CJ318-1),"NM"))))))</f>
      </c>
      <c r="CP323" s="308">
        <f>IF(CK318=0, "NA", CP318/CK318-1)</f>
      </c>
      <c r="CQ323" s="30"/>
      <c r="CR323" s="30"/>
      <c r="CS323" s="926"/>
      <c r="CT323" s="926"/>
      <c r="CU323" s="308"/>
      <c r="CV323" s="30"/>
      <c r="CW323" s="926"/>
      <c r="CX323" s="926"/>
      <c r="CY323" s="926"/>
      <c r="CZ323" s="308"/>
      <c r="DA323" s="30"/>
      <c r="DB323" s="959"/>
      <c r="DC323" s="959"/>
      <c r="DD323" s="960"/>
      <c r="DE323" s="308"/>
      <c r="DF323" s="30"/>
      <c r="DG323" s="926"/>
      <c r="DH323" s="926"/>
      <c r="DI323" s="928"/>
      <c r="DJ323" s="308"/>
      <c r="DK323" s="30"/>
      <c r="DL323" s="926"/>
      <c r="DM323" s="926"/>
      <c r="DN323" s="928"/>
      <c r="DO323" s="308"/>
      <c r="DP323" s="926"/>
      <c r="DQ323" s="926"/>
      <c r="DR323" s="926"/>
      <c r="DS323" s="928"/>
      <c r="DT323" s="308"/>
      <c r="DU323" s="926"/>
      <c r="DV323" s="926"/>
      <c r="DW323" s="926"/>
      <c r="DX323" s="928"/>
      <c r="DY323" s="308"/>
      <c r="DZ323" s="926"/>
      <c r="EA323" s="926"/>
      <c r="EB323" s="926"/>
      <c r="EC323" s="928"/>
      <c r="ED323" s="1060"/>
      <c r="EE323" s="926"/>
      <c r="EF323" s="926"/>
      <c r="EG323" s="926"/>
      <c r="EH323" s="928"/>
      <c r="EI323" s="308"/>
      <c r="EJ323" s="308"/>
      <c r="EK323" s="308"/>
      <c r="EL323" s="308"/>
      <c r="EM323" s="308"/>
      <c r="EN323" s="308"/>
      <c r="EO323" s="308"/>
      <c r="EP323" s="308"/>
      <c r="EQ323" s="308"/>
      <c r="ER323" s="308"/>
      <c r="ES323" s="308"/>
      <c r="ET323" s="308"/>
      <c r="EU323" s="308"/>
      <c r="EV323" s="308"/>
      <c r="EW323" s="308"/>
      <c r="EX323" s="308"/>
    </row>
    <row r="324" spans="1:154" ht="12.75" hidden="1" customHeight="1">
      <c r="B324" s="440" t="s">
        <v>212</v>
      </c>
      <c r="C324" s="1989"/>
      <c r="D324" s="28"/>
      <c r="E324" s="28"/>
      <c r="F324" s="28"/>
      <c r="G324" s="28"/>
      <c r="H324" s="28"/>
      <c r="I324" s="31"/>
      <c r="J324" s="28"/>
      <c r="K324" s="28"/>
      <c r="L324" s="28"/>
      <c r="M324" s="28"/>
      <c r="N324" s="31"/>
      <c r="O324" s="31"/>
      <c r="P324" s="31"/>
      <c r="Q324" s="31"/>
      <c r="R324" s="31"/>
      <c r="S324" s="31"/>
      <c r="T324" s="31"/>
      <c r="U324" s="31"/>
      <c r="V324" s="31"/>
      <c r="W324" s="31"/>
      <c r="X324" s="214"/>
      <c r="Y324" s="31"/>
      <c r="Z324" s="31"/>
      <c r="AA324" s="31"/>
      <c r="AB324" s="31"/>
      <c r="AC324" s="214"/>
      <c r="AD324" s="31"/>
      <c r="AE324" s="31"/>
      <c r="AF324" s="31"/>
      <c r="AG324" s="31"/>
      <c r="AH324" s="214"/>
      <c r="AI324" s="28"/>
      <c r="AJ324" s="28"/>
      <c r="AK324" s="28"/>
      <c r="AL324" s="31"/>
      <c r="AM324" s="214"/>
      <c r="AN324" s="28"/>
      <c r="AO324" s="28"/>
      <c r="AP324" s="28"/>
      <c r="AQ324" s="31"/>
      <c r="AR324" s="214"/>
      <c r="AS324" s="28"/>
      <c r="AT324" s="28"/>
      <c r="AU324" s="28"/>
      <c r="AV324" s="31"/>
      <c r="AW324" s="214"/>
      <c r="AX324" s="28"/>
      <c r="AY324" s="28"/>
      <c r="AZ324" s="28"/>
      <c r="BA324" s="28"/>
      <c r="BB324" s="214"/>
      <c r="BC324" s="41">
        <f t="shared" ref="BC324:BV324" si="949">IF(ISNUMBER(BC323),(1+BC323)/(1+BC$21)-1,"NM")</f>
      </c>
      <c r="BD324" s="41">
        <f t="shared" si="949"/>
      </c>
      <c r="BE324" s="41">
        <f t="shared" si="949"/>
      </c>
      <c r="BF324" s="41">
        <f t="shared" si="949"/>
      </c>
      <c r="BG324" s="309">
        <f t="shared" si="949"/>
      </c>
      <c r="BH324" s="41">
        <f t="shared" si="949"/>
      </c>
      <c r="BI324" s="41">
        <f t="shared" si="949"/>
      </c>
      <c r="BJ324" s="41">
        <f t="shared" si="949"/>
      </c>
      <c r="BK324" s="41">
        <f t="shared" si="949"/>
      </c>
      <c r="BL324" s="308">
        <f t="shared" si="949"/>
      </c>
      <c r="BM324" s="30">
        <f t="shared" si="949"/>
      </c>
      <c r="BN324" s="30">
        <f t="shared" si="949"/>
      </c>
      <c r="BO324" s="30">
        <f t="shared" si="949"/>
      </c>
      <c r="BP324" s="30">
        <f t="shared" si="949"/>
      </c>
      <c r="BQ324" s="308">
        <f t="shared" si="949"/>
      </c>
      <c r="BR324" s="30">
        <f t="shared" si="949"/>
      </c>
      <c r="BS324" s="30">
        <f t="shared" si="949"/>
      </c>
      <c r="BT324" s="30">
        <f t="shared" si="949"/>
      </c>
      <c r="BU324" s="30">
        <f t="shared" si="949"/>
      </c>
      <c r="BV324" s="308">
        <f t="shared" si="949"/>
      </c>
      <c r="BW324" s="649">
        <v>0.22</v>
      </c>
      <c r="BX324" s="649">
        <v>0.183</v>
      </c>
      <c r="BY324" s="649">
        <v>0.11</v>
      </c>
      <c r="BZ324" s="836">
        <v>8.0000000000000002E-3</v>
      </c>
      <c r="CA324" s="406">
        <v>0.123</v>
      </c>
      <c r="CB324" s="29">
        <v>0.34</v>
      </c>
      <c r="CC324" s="649">
        <v>-7.4999999999999997E-2</v>
      </c>
      <c r="CD324" s="649">
        <v>4.7E-2</v>
      </c>
      <c r="CE324" s="836">
        <v>7.0000000000000007E-2</v>
      </c>
      <c r="CF324" s="406">
        <v>8.6999999999999994E-2</v>
      </c>
      <c r="CG324" s="29">
        <v>-8.6999999999999994E-2</v>
      </c>
      <c r="CH324" s="29">
        <v>3.6999999999999998E-2</v>
      </c>
      <c r="CI324" s="29">
        <v>-4.0000000000000001E-3</v>
      </c>
      <c r="CJ324" s="649">
        <v>-5.6000000000000001E-2</v>
      </c>
      <c r="CK324" s="309">
        <f>CK323-CK$21</f>
      </c>
      <c r="CL324" s="29">
        <v>5.2999999999999999E-2</v>
      </c>
      <c r="CM324" s="29">
        <v>3.4000000000000002E-2</v>
      </c>
      <c r="CN324" s="29">
        <v>-4.0000000000000001E-3</v>
      </c>
      <c r="CO324" s="649">
        <v>2E-3</v>
      </c>
      <c r="CP324" s="309">
        <f>CP323-CP$21</f>
      </c>
      <c r="CQ324" s="41"/>
      <c r="CR324" s="41"/>
      <c r="CS324" s="29"/>
      <c r="CT324" s="29"/>
      <c r="CU324" s="309"/>
      <c r="CV324" s="41"/>
      <c r="CW324" s="29"/>
      <c r="CX324" s="29"/>
      <c r="CY324" s="29"/>
      <c r="CZ324" s="309"/>
      <c r="DA324" s="41"/>
      <c r="DB324" s="361"/>
      <c r="DC324" s="361"/>
      <c r="DD324" s="835"/>
      <c r="DE324" s="316"/>
      <c r="DF324" s="41"/>
      <c r="DG324" s="361"/>
      <c r="DH324" s="361"/>
      <c r="DI324" s="835"/>
      <c r="DJ324" s="835"/>
      <c r="DK324" s="41"/>
      <c r="DL324" s="361"/>
      <c r="DM324" s="361"/>
      <c r="DN324" s="835"/>
      <c r="DO324" s="835"/>
      <c r="DP324" s="361"/>
      <c r="DQ324" s="361"/>
      <c r="DR324" s="361"/>
      <c r="DS324" s="835"/>
      <c r="DT324" s="835"/>
      <c r="DU324" s="361"/>
      <c r="DV324" s="361"/>
      <c r="DW324" s="361"/>
      <c r="DX324" s="835"/>
      <c r="DY324" s="835"/>
      <c r="DZ324" s="361"/>
      <c r="EA324" s="361"/>
      <c r="EB324" s="361"/>
      <c r="EC324" s="835"/>
      <c r="ED324" s="835"/>
      <c r="EE324" s="361"/>
      <c r="EF324" s="361"/>
      <c r="EG324" s="361"/>
      <c r="EH324" s="835"/>
      <c r="EI324" s="835"/>
      <c r="EJ324" s="835"/>
      <c r="EK324" s="835"/>
      <c r="EL324" s="835"/>
      <c r="EM324" s="835"/>
      <c r="EN324" s="316"/>
      <c r="EO324" s="835"/>
      <c r="EP324" s="835"/>
      <c r="EQ324" s="835"/>
      <c r="ER324" s="835"/>
      <c r="ES324" s="835"/>
      <c r="ET324" s="835"/>
      <c r="EU324" s="835"/>
      <c r="EV324" s="835"/>
      <c r="EW324" s="835"/>
      <c r="EX324" s="835"/>
    </row>
    <row r="325" spans="1:154" ht="12.75" hidden="1" customHeight="1">
      <c r="B325" s="440" t="s">
        <v>418</v>
      </c>
      <c r="C325" s="1989"/>
      <c r="D325" s="28"/>
      <c r="E325" s="28"/>
      <c r="F325" s="28"/>
      <c r="G325" s="28"/>
      <c r="H325" s="28"/>
      <c r="I325" s="31"/>
      <c r="J325" s="28"/>
      <c r="K325" s="28"/>
      <c r="L325" s="28"/>
      <c r="M325" s="28"/>
      <c r="N325" s="31"/>
      <c r="O325" s="31"/>
      <c r="P325" s="31"/>
      <c r="Q325" s="31"/>
      <c r="R325" s="31"/>
      <c r="S325" s="31"/>
      <c r="T325" s="31"/>
      <c r="U325" s="31"/>
      <c r="V325" s="31"/>
      <c r="W325" s="31"/>
      <c r="X325" s="308"/>
      <c r="Y325" s="31"/>
      <c r="Z325" s="31"/>
      <c r="AA325" s="31"/>
      <c r="AB325" s="31"/>
      <c r="AC325" s="308"/>
      <c r="AD325" s="31"/>
      <c r="AE325" s="31"/>
      <c r="AF325" s="31"/>
      <c r="AG325" s="31"/>
      <c r="AH325" s="308"/>
      <c r="AI325" s="28"/>
      <c r="AJ325" s="28"/>
      <c r="AK325" s="28"/>
      <c r="AL325" s="31"/>
      <c r="AM325" s="308"/>
      <c r="AN325" s="28"/>
      <c r="AO325" s="28"/>
      <c r="AP325" s="28"/>
      <c r="AQ325" s="31"/>
      <c r="AR325" s="308"/>
      <c r="AS325" s="28"/>
      <c r="AT325" s="28"/>
      <c r="AU325" s="28"/>
      <c r="AV325" s="31"/>
      <c r="AW325" s="308"/>
      <c r="AX325" s="28"/>
      <c r="AY325" s="28"/>
      <c r="AZ325" s="28"/>
      <c r="BA325" s="28"/>
      <c r="BB325" s="308">
        <f t="shared" ref="BB325:CA325" si="950">IF(AW319="NM","NM",IF(BB319="NM","NM",IF(AW319&lt;=0,"NM",IF(BB319=0,"NM",IF(ABS(BB319/AW319-1)&gt;2.5,"NM",IF((ABS(BB319-AW319)=ABS(ABS(BB319)-ABS(AW319))),(BB319/AW319-1),"NM"))))))</f>
      </c>
      <c r="BC325" s="30">
        <f t="shared" si="950"/>
      </c>
      <c r="BD325" s="30">
        <f t="shared" si="950"/>
      </c>
      <c r="BE325" s="30">
        <f t="shared" si="950"/>
      </c>
      <c r="BF325" s="30">
        <f t="shared" si="950"/>
      </c>
      <c r="BG325" s="308">
        <f t="shared" si="950"/>
      </c>
      <c r="BH325" s="30">
        <f t="shared" si="950"/>
      </c>
      <c r="BI325" s="30">
        <f t="shared" si="950"/>
      </c>
      <c r="BJ325" s="30">
        <f t="shared" si="950"/>
      </c>
      <c r="BK325" s="30">
        <f t="shared" si="950"/>
      </c>
      <c r="BL325" s="308">
        <f t="shared" si="950"/>
      </c>
      <c r="BM325" s="30">
        <f t="shared" si="950"/>
      </c>
      <c r="BN325" s="30">
        <f t="shared" si="950"/>
      </c>
      <c r="BO325" s="30">
        <f t="shared" si="950"/>
      </c>
      <c r="BP325" s="30">
        <f t="shared" si="950"/>
      </c>
      <c r="BQ325" s="308">
        <f t="shared" si="950"/>
      </c>
      <c r="BR325" s="30">
        <f t="shared" si="950"/>
      </c>
      <c r="BS325" s="30">
        <f t="shared" si="950"/>
      </c>
      <c r="BT325" s="30">
        <f t="shared" si="950"/>
      </c>
      <c r="BU325" s="30">
        <f t="shared" si="950"/>
      </c>
      <c r="BV325" s="308">
        <f t="shared" si="950"/>
      </c>
      <c r="BW325" s="30">
        <f t="shared" si="950"/>
      </c>
      <c r="BX325" s="30">
        <f t="shared" si="950"/>
      </c>
      <c r="BY325" s="30">
        <f t="shared" si="950"/>
      </c>
      <c r="BZ325" s="30">
        <f t="shared" si="950"/>
      </c>
      <c r="CA325" s="308">
        <f t="shared" si="950"/>
      </c>
      <c r="CB325" s="30">
        <f t="shared" ref="CB325:CH325" si="951">IF(BW319="NM","NM",IF(CB319="NM","NM",IF(BW319&lt;=0,"NM",IF(CB319=0,"NM",IF(ABS(CB319/BW319-1)&gt;2.5,"NM",IF((ABS(CB319-BW319)=ABS(ABS(CB319)-ABS(BW319))),(CB319/BW319-1),"NM"))))))</f>
      </c>
      <c r="CC325" s="30">
        <f t="shared" si="951"/>
      </c>
      <c r="CD325" s="30">
        <f>IF(BY319="NM","NM",IF(CD319="NM","NM",IF(BY319&lt;=0,"NM",IF(CD319=0,"NM",IF(ABS(CD319/BY319-1)&gt;2.5,"NM",IF((ABS(CD319-BY319)=ABS(ABS(CD319)-ABS(BY319))),(CD319/BY319-1),"NM"))))))</f>
      </c>
      <c r="CE325" s="30">
        <f>IF(BZ319="NM","NM",IF(CE319="NM","NM",IF(BZ319&lt;=0,"NM",IF(CE319=0,"NM",IF(ABS(CE319/BZ319-1)&gt;2.5,"NM",IF((ABS(CE319-BZ319)=ABS(ABS(CE319)-ABS(BZ319))),(CE319/BZ319-1),"NM"))))))</f>
      </c>
      <c r="CF325" s="308">
        <f>IF(CA319="NM","NM",IF(CF319="NM","NM",IF(CA319&lt;=0,"NM",IF(CF319=0,"NM",IF(ABS(CF319/CA319-1)&gt;2.5,"NM",IF((ABS(CF319-CA319)=ABS(ABS(CF319)-ABS(CA319))),(CF319/CA319-1),"NM"))))))</f>
      </c>
      <c r="CG325" s="30">
        <f t="shared" si="951"/>
      </c>
      <c r="CH325" s="30">
        <f t="shared" si="951"/>
      </c>
      <c r="CI325" s="30">
        <f>IF(CD319="NM","NM",IF(CI319="NM","NM",IF(CD319&lt;=0,"NM",IF(CI319=0,"NM",IF(ABS(CI319/CD319-1)&gt;2.5,"NM",IF((ABS(CI319-CD319)=ABS(ABS(CI319)-ABS(CD319))),(CI319/CD319-1),"NM"))))))</f>
      </c>
      <c r="CJ325" s="926">
        <f>IF(CE319="NM","NM",IF(CJ319="NM","NM",IF(CE319&lt;=0,"NM",IF(CJ319=0,"NM",IF(ABS(CJ319/CE319-1)&gt;2.5,"NM",IF((ABS(CJ319-CE319)=ABS(ABS(CJ319)-ABS(CE319))),(CJ319/CE319-1),"NM"))))))</f>
      </c>
      <c r="CK325" s="308">
        <f>IF(CF319=0, "NA", CK319/CF319-1)</f>
      </c>
      <c r="CL325" s="30">
        <f>IF(CG319="NM","NM",IF(CL319="NM","NM",IF(CG319&lt;=0,"NM",IF(CL319=0,"NM",IF(ABS(CL319/CG319-1)&gt;2.5,"NM",IF((ABS(CL319-CG319)=ABS(ABS(CL319)-ABS(CG319))),(CL319/CG319-1),"NM"))))))</f>
      </c>
      <c r="CM325" s="30">
        <f>IF(CH319="NM","NM",IF(CM319="NM","NM",IF(CH319&lt;=0,"NM",IF(CM319=0,"NM",IF(ABS(CM319/CH319-1)&gt;2.5,"NM",IF((ABS(CM319-CH319)=ABS(ABS(CM319)-ABS(CH319))),(CM319/CH319-1),"NM"))))))</f>
      </c>
      <c r="CN325" s="30">
        <f>IF(CI319="NM","NM",IF(CN319="NM","NM",IF(CI319&lt;=0,"NM",IF(CN319=0,"NM",IF(ABS(CN319/CI319-1)&gt;2.5,"NM",IF((ABS(CN319-CI319)=ABS(ABS(CN319)-ABS(CI319))),(CN319/CI319-1),"NM"))))))</f>
      </c>
      <c r="CO325" s="926">
        <f>IF(CJ319="NM","NM",IF(CO319="NM","NM",IF(CJ319&lt;=0,"NM",IF(CO319=0,"NM",IF(ABS(CO319/CJ319-1)&gt;2.5,"NM",IF((ABS(CO319-CJ319)=ABS(ABS(CO319)-ABS(CJ319))),(CO319/CJ319-1),"NM"))))))</f>
      </c>
      <c r="CP325" s="308">
        <f>IF(CK319=0, "NA", CP319/CK319-1)</f>
      </c>
      <c r="CQ325" s="30"/>
      <c r="CR325" s="30"/>
      <c r="CS325" s="926"/>
      <c r="CT325" s="926"/>
      <c r="CU325" s="308"/>
      <c r="CV325" s="30"/>
      <c r="CW325" s="926"/>
      <c r="CX325" s="926"/>
      <c r="CY325" s="926"/>
      <c r="CZ325" s="308"/>
      <c r="DA325" s="30"/>
      <c r="DB325" s="926"/>
      <c r="DC325" s="926"/>
      <c r="DD325" s="928"/>
      <c r="DE325" s="308"/>
      <c r="DF325" s="30"/>
      <c r="DG325" s="926"/>
      <c r="DH325" s="926"/>
      <c r="DI325" s="928"/>
      <c r="DJ325" s="308"/>
      <c r="DK325" s="30"/>
      <c r="DL325" s="926"/>
      <c r="DM325" s="926"/>
      <c r="DN325" s="928"/>
      <c r="DO325" s="308"/>
      <c r="DP325" s="926"/>
      <c r="DQ325" s="926"/>
      <c r="DR325" s="926"/>
      <c r="DS325" s="928"/>
      <c r="DT325" s="308"/>
      <c r="DU325" s="926"/>
      <c r="DV325" s="926"/>
      <c r="DW325" s="926"/>
      <c r="DX325" s="928"/>
      <c r="DY325" s="308"/>
      <c r="DZ325" s="926"/>
      <c r="EA325" s="926"/>
      <c r="EB325" s="926"/>
      <c r="EC325" s="928"/>
      <c r="ED325" s="1060"/>
      <c r="EE325" s="926"/>
      <c r="EF325" s="926"/>
      <c r="EG325" s="926"/>
      <c r="EH325" s="928"/>
      <c r="EI325" s="308"/>
      <c r="EJ325" s="308"/>
      <c r="EK325" s="308"/>
      <c r="EL325" s="308"/>
      <c r="EM325" s="308"/>
      <c r="EN325" s="308"/>
      <c r="EO325" s="308"/>
      <c r="EP325" s="308"/>
      <c r="EQ325" s="308"/>
      <c r="ER325" s="308"/>
      <c r="ES325" s="308"/>
      <c r="ET325" s="308"/>
      <c r="EU325" s="308"/>
      <c r="EV325" s="308"/>
      <c r="EW325" s="308"/>
      <c r="EX325" s="308"/>
    </row>
    <row r="326" spans="1:154" ht="12.75" hidden="1" customHeight="1">
      <c r="B326" s="437"/>
      <c r="C326" s="1989"/>
      <c r="D326" s="28"/>
      <c r="E326" s="28"/>
      <c r="F326" s="28"/>
      <c r="G326" s="28"/>
      <c r="H326" s="28"/>
      <c r="I326" s="31"/>
      <c r="J326" s="28"/>
      <c r="K326" s="28"/>
      <c r="L326" s="28"/>
      <c r="M326" s="28"/>
      <c r="N326" s="31"/>
      <c r="O326" s="31"/>
      <c r="P326" s="31"/>
      <c r="Q326" s="31"/>
      <c r="R326" s="31"/>
      <c r="S326" s="31"/>
      <c r="T326" s="31"/>
      <c r="U326" s="31"/>
      <c r="V326" s="31"/>
      <c r="W326" s="31"/>
      <c r="X326" s="313"/>
      <c r="Y326" s="31"/>
      <c r="Z326" s="31"/>
      <c r="AA326" s="31"/>
      <c r="AB326" s="31"/>
      <c r="AC326" s="313"/>
      <c r="AD326" s="31"/>
      <c r="AE326" s="31"/>
      <c r="AF326" s="31"/>
      <c r="AG326" s="31"/>
      <c r="AH326" s="313"/>
      <c r="AI326" s="28"/>
      <c r="AJ326" s="28"/>
      <c r="AK326" s="28"/>
      <c r="AL326" s="31"/>
      <c r="AM326" s="313"/>
      <c r="AN326" s="28"/>
      <c r="AO326" s="28"/>
      <c r="AP326" s="28"/>
      <c r="AQ326" s="31"/>
      <c r="AR326" s="313"/>
      <c r="AS326" s="28"/>
      <c r="AT326" s="28"/>
      <c r="AU326" s="28"/>
      <c r="AV326" s="31"/>
      <c r="AW326" s="313"/>
      <c r="AX326" s="28"/>
      <c r="AY326" s="28"/>
      <c r="AZ326" s="28"/>
      <c r="BA326" s="28"/>
      <c r="BB326" s="313"/>
      <c r="BC326" s="28"/>
      <c r="BD326" s="28"/>
      <c r="BE326" s="28"/>
      <c r="BF326" s="28"/>
      <c r="BG326" s="313"/>
      <c r="BH326" s="28"/>
      <c r="BI326" s="28"/>
      <c r="BJ326" s="28"/>
      <c r="BK326" s="28"/>
      <c r="BL326" s="313"/>
      <c r="BM326" s="28"/>
      <c r="BN326" s="28"/>
      <c r="BO326" s="28"/>
      <c r="BP326" s="28"/>
      <c r="BQ326" s="313"/>
      <c r="BR326" s="28"/>
      <c r="BS326" s="28"/>
      <c r="BT326" s="28"/>
      <c r="BU326" s="28"/>
      <c r="BV326" s="313"/>
      <c r="BW326" s="28"/>
      <c r="BX326" s="28"/>
      <c r="BY326" s="28"/>
      <c r="BZ326" s="28"/>
      <c r="CA326" s="313"/>
      <c r="CB326" s="28"/>
      <c r="CC326" s="28"/>
      <c r="CD326" s="28"/>
      <c r="CE326" s="28"/>
      <c r="CF326" s="313"/>
      <c r="CG326" s="28"/>
      <c r="CH326" s="28"/>
      <c r="CI326" s="28"/>
      <c r="CJ326" s="28"/>
      <c r="CK326" s="313"/>
      <c r="CL326" s="28"/>
      <c r="CM326" s="28"/>
      <c r="CN326" s="933"/>
      <c r="CO326" s="28"/>
      <c r="CP326" s="313"/>
      <c r="CQ326" s="933"/>
      <c r="CR326" s="933"/>
      <c r="CS326" s="933"/>
      <c r="CT326" s="933"/>
      <c r="CU326" s="313"/>
      <c r="CV326" s="933"/>
      <c r="CW326" s="933"/>
      <c r="CX326" s="933"/>
      <c r="CY326" s="933"/>
      <c r="CZ326" s="313"/>
      <c r="DA326" s="933"/>
      <c r="DB326" s="31"/>
      <c r="DC326" s="31"/>
      <c r="DD326" s="955"/>
      <c r="DE326" s="477"/>
      <c r="DF326" s="982"/>
      <c r="DG326" s="603"/>
      <c r="DH326" s="603"/>
      <c r="DI326" s="1798"/>
      <c r="DJ326" s="477"/>
      <c r="DK326" s="982"/>
      <c r="DL326" s="603"/>
      <c r="DM326" s="603"/>
      <c r="DN326" s="1798"/>
      <c r="DO326" s="477"/>
      <c r="DP326" s="603"/>
      <c r="DQ326" s="603"/>
      <c r="DR326" s="603"/>
      <c r="DS326" s="1798"/>
      <c r="DT326" s="477"/>
      <c r="DU326" s="603"/>
      <c r="DV326" s="603"/>
      <c r="DW326" s="603"/>
      <c r="DX326" s="1798"/>
      <c r="DY326" s="477"/>
      <c r="DZ326" s="603"/>
      <c r="EA326" s="603"/>
      <c r="EB326" s="603"/>
      <c r="EC326" s="1798"/>
      <c r="ED326" s="477"/>
      <c r="EE326" s="603"/>
      <c r="EF326" s="603"/>
      <c r="EG326" s="603"/>
      <c r="EH326" s="1798"/>
      <c r="EI326" s="477"/>
      <c r="EJ326" s="477"/>
      <c r="EK326" s="477"/>
      <c r="EL326" s="477"/>
      <c r="EM326" s="477"/>
      <c r="EN326" s="477"/>
      <c r="EO326" s="477"/>
      <c r="EP326" s="477"/>
      <c r="EQ326" s="477"/>
      <c r="ER326" s="477"/>
      <c r="ES326" s="477"/>
      <c r="ET326" s="477"/>
      <c r="EU326" s="477"/>
      <c r="EV326" s="477"/>
      <c r="EW326" s="477"/>
      <c r="EX326" s="477"/>
    </row>
    <row r="327" spans="1:154" ht="12.75" hidden="1" customHeight="1">
      <c r="B327" s="436" t="s">
        <v>510</v>
      </c>
      <c r="C327" s="1989"/>
      <c r="D327" s="28"/>
      <c r="E327" s="28"/>
      <c r="F327" s="28"/>
      <c r="G327" s="28"/>
      <c r="H327" s="28"/>
      <c r="I327" s="31"/>
      <c r="J327" s="28"/>
      <c r="K327" s="28"/>
      <c r="L327" s="28"/>
      <c r="M327" s="28"/>
      <c r="N327" s="31"/>
      <c r="O327" s="31"/>
      <c r="P327" s="31"/>
      <c r="Q327" s="31"/>
      <c r="R327" s="31"/>
      <c r="S327" s="31"/>
      <c r="T327" s="31"/>
      <c r="U327" s="31"/>
      <c r="V327" s="31"/>
      <c r="W327" s="31"/>
      <c r="X327" s="313"/>
      <c r="Y327" s="31"/>
      <c r="Z327" s="31"/>
      <c r="AA327" s="31"/>
      <c r="AB327" s="31"/>
      <c r="AC327" s="313"/>
      <c r="AD327" s="31"/>
      <c r="AE327" s="31"/>
      <c r="AF327" s="31"/>
      <c r="AG327" s="31"/>
      <c r="AH327" s="313"/>
      <c r="AI327" s="28"/>
      <c r="AJ327" s="28"/>
      <c r="AK327" s="28"/>
      <c r="AL327" s="31"/>
      <c r="AM327" s="313"/>
      <c r="AN327" s="28"/>
      <c r="AO327" s="28"/>
      <c r="AP327" s="28"/>
      <c r="AQ327" s="31"/>
      <c r="AR327" s="313"/>
      <c r="AS327" s="28"/>
      <c r="AT327" s="28"/>
      <c r="AU327" s="28"/>
      <c r="AV327" s="31"/>
      <c r="AW327" s="313"/>
      <c r="AX327" s="28"/>
      <c r="AY327" s="28"/>
      <c r="AZ327" s="28"/>
      <c r="BA327" s="28"/>
      <c r="BB327" s="313"/>
      <c r="BC327" s="28"/>
      <c r="BD327" s="28"/>
      <c r="BE327" s="28"/>
      <c r="BF327" s="28"/>
      <c r="BG327" s="313"/>
      <c r="BH327" s="28"/>
      <c r="BI327" s="28"/>
      <c r="BJ327" s="28"/>
      <c r="BK327" s="28"/>
      <c r="BL327" s="313"/>
      <c r="BM327" s="28"/>
      <c r="BN327" s="28"/>
      <c r="BO327" s="28"/>
      <c r="BP327" s="28"/>
      <c r="BQ327" s="313"/>
      <c r="BR327" s="28"/>
      <c r="BS327" s="28"/>
      <c r="BT327" s="28"/>
      <c r="BU327" s="28"/>
      <c r="BV327" s="313"/>
      <c r="BW327" s="28"/>
      <c r="BX327" s="28"/>
      <c r="BY327" s="28"/>
      <c r="BZ327" s="28"/>
      <c r="CA327" s="313"/>
      <c r="CB327" s="28"/>
      <c r="CC327" s="28"/>
      <c r="CD327" s="28"/>
      <c r="CE327" s="28"/>
      <c r="CF327" s="313"/>
      <c r="CG327" s="28"/>
      <c r="CH327" s="28"/>
      <c r="CI327" s="28"/>
      <c r="CJ327" s="28"/>
      <c r="CK327" s="313"/>
      <c r="CL327" s="961"/>
      <c r="CM327" s="28"/>
      <c r="CN327" s="28"/>
      <c r="CO327" s="28"/>
      <c r="CP327" s="313"/>
      <c r="CQ327" s="933"/>
      <c r="CR327" s="933"/>
      <c r="CS327" s="933"/>
      <c r="CT327" s="933"/>
      <c r="CU327" s="313"/>
      <c r="CV327" s="933"/>
      <c r="CW327" s="933"/>
      <c r="CX327" s="933"/>
      <c r="CY327" s="933"/>
      <c r="CZ327" s="313"/>
      <c r="DA327" s="933"/>
      <c r="DB327" s="31"/>
      <c r="DC327" s="31"/>
      <c r="DD327" s="955"/>
      <c r="DE327" s="477"/>
      <c r="DF327" s="982"/>
      <c r="DG327" s="603"/>
      <c r="DH327" s="603"/>
      <c r="DI327" s="1798"/>
      <c r="DJ327" s="477"/>
      <c r="DK327" s="982"/>
      <c r="DL327" s="1822"/>
      <c r="DM327" s="603"/>
      <c r="DN327" s="1837"/>
      <c r="DO327" s="1811"/>
      <c r="DP327" s="1822"/>
      <c r="DQ327" s="1822"/>
      <c r="DR327" s="1822"/>
      <c r="DS327" s="1837"/>
      <c r="DT327" s="477"/>
      <c r="DU327" s="1822"/>
      <c r="DV327" s="1822"/>
      <c r="DW327" s="1822"/>
      <c r="DX327" s="1837"/>
      <c r="DY327" s="477"/>
      <c r="DZ327" s="1822"/>
      <c r="EA327" s="1822"/>
      <c r="EB327" s="1822"/>
      <c r="EC327" s="1837"/>
      <c r="ED327" s="477"/>
      <c r="EE327" s="1822"/>
      <c r="EF327" s="1822"/>
      <c r="EG327" s="1822"/>
      <c r="EH327" s="1837"/>
      <c r="EI327" s="477"/>
      <c r="EJ327" s="477"/>
      <c r="EK327" s="477"/>
      <c r="EL327" s="477"/>
      <c r="EM327" s="477"/>
      <c r="EN327" s="477"/>
      <c r="EO327" s="477"/>
      <c r="EP327" s="477"/>
      <c r="EQ327" s="477"/>
      <c r="ER327" s="477"/>
      <c r="ES327" s="477"/>
      <c r="ET327" s="477"/>
      <c r="EU327" s="477"/>
      <c r="EV327" s="477"/>
      <c r="EW327" s="477"/>
      <c r="EX327" s="477"/>
    </row>
    <row r="328" spans="1:154" ht="12.75" hidden="1" customHeight="1">
      <c r="A328" s="3275" t="str">
        <f>A330&amp;" - US"</f>
      </c>
      <c r="B328" s="437" t="s">
        <v>416</v>
      </c>
      <c r="C328" s="1998" t="s">
        <v>669</v>
      </c>
      <c r="D328" s="28"/>
      <c r="E328" s="28"/>
      <c r="F328" s="28"/>
      <c r="G328" s="28"/>
      <c r="H328" s="28"/>
      <c r="I328" s="31"/>
      <c r="J328" s="28"/>
      <c r="K328" s="28"/>
      <c r="L328" s="28"/>
      <c r="M328" s="28"/>
      <c r="N328" s="31"/>
      <c r="O328" s="31"/>
      <c r="P328" s="31"/>
      <c r="Q328" s="31"/>
      <c r="R328" s="31"/>
      <c r="S328" s="31"/>
      <c r="T328" s="31"/>
      <c r="U328" s="31"/>
      <c r="V328" s="31"/>
      <c r="W328" s="31"/>
      <c r="X328" s="313"/>
      <c r="Y328" s="31"/>
      <c r="Z328" s="31"/>
      <c r="AA328" s="31"/>
      <c r="AB328" s="31"/>
      <c r="AC328" s="313"/>
      <c r="AD328" s="31"/>
      <c r="AE328" s="31"/>
      <c r="AF328" s="31"/>
      <c r="AG328" s="31"/>
      <c r="AH328" s="313"/>
      <c r="AI328" s="28"/>
      <c r="AJ328" s="28"/>
      <c r="AK328" s="28"/>
      <c r="AL328" s="31"/>
      <c r="AM328" s="313"/>
      <c r="AN328" s="33"/>
      <c r="AO328" s="33"/>
      <c r="AP328" s="33"/>
      <c r="AQ328" s="33"/>
      <c r="AR328" s="313"/>
      <c r="AS328" s="33">
        <v>101</v>
      </c>
      <c r="AT328" s="33">
        <v>102</v>
      </c>
      <c r="AU328" s="33">
        <v>111</v>
      </c>
      <c r="AV328" s="33">
        <v>108</v>
      </c>
      <c r="AW328" s="313">
        <f>SUM(AS328:AV328)</f>
      </c>
      <c r="AX328" s="33">
        <v>101</v>
      </c>
      <c r="AY328" s="33">
        <v>120</v>
      </c>
      <c r="AZ328" s="33">
        <v>118</v>
      </c>
      <c r="BA328" s="33">
        <v>117</v>
      </c>
      <c r="BB328" s="313">
        <f>SUM(AX328:BA328)</f>
      </c>
      <c r="BC328" s="33">
        <v>126</v>
      </c>
      <c r="BD328" s="33">
        <v>131</v>
      </c>
      <c r="BE328" s="33">
        <v>129</v>
      </c>
      <c r="BF328" s="33">
        <v>133</v>
      </c>
      <c r="BG328" s="313">
        <f>SUM(BC328:BF328)</f>
      </c>
      <c r="BH328" s="33">
        <v>117</v>
      </c>
      <c r="BI328" s="33">
        <v>115</v>
      </c>
      <c r="BJ328" s="33">
        <v>108</v>
      </c>
      <c r="BK328" s="33">
        <v>105</v>
      </c>
      <c r="BL328" s="313">
        <f>SUM(BH328:BK328)</f>
      </c>
      <c r="BM328" s="33">
        <v>114</v>
      </c>
      <c r="BN328" s="33">
        <v>110</v>
      </c>
      <c r="BO328" s="33">
        <v>111</v>
      </c>
      <c r="BP328" s="33">
        <v>108</v>
      </c>
      <c r="BQ328" s="313">
        <f>SUM(BM328:BP328)</f>
      </c>
      <c r="BR328" s="33">
        <v>113</v>
      </c>
      <c r="BS328" s="352">
        <v>110</v>
      </c>
      <c r="BT328" s="352">
        <v>113</v>
      </c>
      <c r="BU328" s="352">
        <v>103</v>
      </c>
      <c r="BV328" s="313">
        <f>SUM(BR328:BU328)</f>
      </c>
      <c r="BW328" s="352">
        <v>106</v>
      </c>
      <c r="BX328" s="352">
        <v>107</v>
      </c>
      <c r="BY328" s="352">
        <v>114</v>
      </c>
      <c r="BZ328" s="352">
        <v>113</v>
      </c>
      <c r="CA328" s="479">
        <f>SUM(BW328:BZ328)</f>
      </c>
      <c r="CB328" s="352">
        <v>106</v>
      </c>
      <c r="CC328" s="352">
        <v>110</v>
      </c>
      <c r="CD328" s="352">
        <v>107</v>
      </c>
      <c r="CE328" s="352">
        <v>104</v>
      </c>
      <c r="CF328" s="479">
        <f>SUM(CB328:CE328)</f>
      </c>
      <c r="CG328" s="352">
        <v>104</v>
      </c>
      <c r="CH328" s="352">
        <v>99</v>
      </c>
      <c r="CI328" s="352">
        <v>103</v>
      </c>
      <c r="CJ328" s="352">
        <v>103</v>
      </c>
      <c r="CK328" s="479">
        <f>SUM(CG328:CJ328)</f>
      </c>
      <c r="CL328" s="352">
        <v>95</v>
      </c>
      <c r="CM328" s="352">
        <v>100</v>
      </c>
      <c r="CN328" s="352">
        <v>94</v>
      </c>
      <c r="CO328" s="352">
        <v>92</v>
      </c>
      <c r="CP328" s="479">
        <f>SUM(CL328:CO328)</f>
      </c>
      <c r="CQ328" s="352">
        <v>95</v>
      </c>
      <c r="CR328" s="352">
        <v>91</v>
      </c>
      <c r="CS328" s="352">
        <v>87</v>
      </c>
      <c r="CT328" s="352">
        <v>87</v>
      </c>
      <c r="CU328" s="479">
        <f>SUM(CQ328:CT328)</f>
      </c>
      <c r="CV328" s="352">
        <v>82</v>
      </c>
      <c r="CW328" s="352">
        <v>80</v>
      </c>
      <c r="CX328" s="352">
        <v>76</v>
      </c>
      <c r="CY328" s="352">
        <v>77</v>
      </c>
      <c r="CZ328" s="479">
        <f>SUM(CV328:CY328)</f>
      </c>
      <c r="DA328" s="352">
        <v>77</v>
      </c>
      <c r="DB328" s="352">
        <v>81</v>
      </c>
      <c r="DC328" s="352">
        <v>79</v>
      </c>
      <c r="DD328" s="1205">
        <v>77</v>
      </c>
      <c r="DE328" s="2475">
        <f>SUM(DA328:DD328)</f>
      </c>
      <c r="DF328" s="2482">
        <v>76</v>
      </c>
      <c r="DG328" s="2482">
        <v>74</v>
      </c>
      <c r="DH328" s="2482">
        <v>70</v>
      </c>
      <c r="DI328" s="2483">
        <v>76</v>
      </c>
      <c r="DJ328" s="2475">
        <f>SUM(DF328:DI328)</f>
      </c>
      <c r="DK328" s="2482">
        <v>67</v>
      </c>
      <c r="DL328" s="2482">
        <v>72</v>
      </c>
      <c r="DM328" s="2482">
        <v>71</v>
      </c>
      <c r="DN328" s="2483">
        <v>77</v>
      </c>
      <c r="DO328" s="2475">
        <f>SUM(DK328:DN328)</f>
      </c>
      <c r="DP328" s="2482">
        <v>63</v>
      </c>
      <c r="DQ328" s="2482">
        <v>65</v>
      </c>
      <c r="DR328" s="2482">
        <v>67</v>
      </c>
      <c r="DS328" s="2483">
        <v>62</v>
      </c>
      <c r="DT328" s="2475">
        <f>SUM(DP328:DS328)</f>
      </c>
      <c r="DU328" s="2471">
        <f t="shared" ref="DU328:DW329" si="952">+(1+DU333)*DP328</f>
      </c>
      <c r="DV328" s="2471">
        <f t="shared" si="952"/>
      </c>
      <c r="DW328" s="2471">
        <f t="shared" si="952"/>
      </c>
      <c r="DX328" s="2472">
        <f>+DY328-SUM(DU328:DW328)</f>
      </c>
      <c r="DY328" s="2475">
        <f>+DT328*(1+DY333)</f>
      </c>
      <c r="DZ328" s="2471">
        <f t="shared" ref="DZ328:EB329" si="953">+(1+DZ333)*DU328</f>
      </c>
      <c r="EA328" s="2471">
        <f t="shared" si="953"/>
      </c>
      <c r="EB328" s="2471">
        <f t="shared" si="953"/>
      </c>
      <c r="EC328" s="2472">
        <f>+ED328-SUM(DZ328:EB328)</f>
      </c>
      <c r="ED328" s="2475">
        <f>+DY328*(1+ED333)</f>
      </c>
      <c r="EE328" s="2471">
        <f t="shared" ref="EE328:EG329" si="954">+(1+EE333)*DZ328</f>
      </c>
      <c r="EF328" s="2471">
        <f t="shared" si="954"/>
      </c>
      <c r="EG328" s="2471">
        <f t="shared" si="954"/>
      </c>
      <c r="EH328" s="2472">
        <f>+EI328-SUM(EE328:EG328)</f>
      </c>
      <c r="EI328" s="2475">
        <f>+ED328*(1+EI333)</f>
      </c>
      <c r="EJ328" s="2475">
        <f>+EI328*(1+EJ333)</f>
      </c>
      <c r="EK328" s="477"/>
      <c r="EL328" s="477"/>
      <c r="EM328" s="477"/>
      <c r="EN328" s="477"/>
      <c r="EO328" s="477"/>
      <c r="EP328" s="477"/>
      <c r="EQ328" s="477"/>
      <c r="ER328" s="477"/>
      <c r="ES328" s="477"/>
      <c r="ET328" s="477"/>
      <c r="EU328" s="477"/>
      <c r="EV328" s="477"/>
      <c r="EW328" s="477"/>
      <c r="EX328" s="477"/>
    </row>
    <row r="329" spans="1:154" ht="12.75" hidden="1" customHeight="1">
      <c r="A329" s="3275" t="str">
        <f>+A330&amp;" - OUS"</f>
      </c>
      <c r="B329" s="437" t="s">
        <v>417</v>
      </c>
      <c r="C329" s="1998" t="s">
        <v>670</v>
      </c>
      <c r="D329" s="28"/>
      <c r="E329" s="28"/>
      <c r="F329" s="28"/>
      <c r="G329" s="28"/>
      <c r="H329" s="28"/>
      <c r="I329" s="31"/>
      <c r="J329" s="28"/>
      <c r="K329" s="28"/>
      <c r="L329" s="28"/>
      <c r="M329" s="28"/>
      <c r="N329" s="31"/>
      <c r="O329" s="31"/>
      <c r="P329" s="31"/>
      <c r="Q329" s="31"/>
      <c r="R329" s="31"/>
      <c r="S329" s="31"/>
      <c r="T329" s="31"/>
      <c r="U329" s="31"/>
      <c r="V329" s="31"/>
      <c r="W329" s="31"/>
      <c r="X329" s="313"/>
      <c r="Y329" s="31"/>
      <c r="Z329" s="31"/>
      <c r="AA329" s="31"/>
      <c r="AB329" s="31"/>
      <c r="AC329" s="313"/>
      <c r="AD329" s="31"/>
      <c r="AE329" s="31"/>
      <c r="AF329" s="31"/>
      <c r="AG329" s="31"/>
      <c r="AH329" s="313"/>
      <c r="AI329" s="28"/>
      <c r="AJ329" s="28"/>
      <c r="AK329" s="28"/>
      <c r="AL329" s="31"/>
      <c r="AM329" s="313"/>
      <c r="AN329" s="33"/>
      <c r="AO329" s="33"/>
      <c r="AP329" s="33"/>
      <c r="AQ329" s="33"/>
      <c r="AR329" s="313"/>
      <c r="AS329" s="33">
        <v>160</v>
      </c>
      <c r="AT329" s="33">
        <v>176</v>
      </c>
      <c r="AU329" s="33">
        <v>183</v>
      </c>
      <c r="AV329" s="33">
        <v>187</v>
      </c>
      <c r="AW329" s="313">
        <f>SUM(AS329:AV329)</f>
      </c>
      <c r="AX329" s="33">
        <v>208</v>
      </c>
      <c r="AY329" s="33">
        <v>223</v>
      </c>
      <c r="AZ329" s="33">
        <v>220</v>
      </c>
      <c r="BA329" s="33">
        <v>202</v>
      </c>
      <c r="BB329" s="313">
        <f>SUM(AX329:BA329)</f>
      </c>
      <c r="BC329" s="33">
        <v>199</v>
      </c>
      <c r="BD329" s="33">
        <v>217</v>
      </c>
      <c r="BE329" s="33">
        <v>224</v>
      </c>
      <c r="BF329" s="33">
        <v>266</v>
      </c>
      <c r="BG329" s="313">
        <f>SUM(BC329:BF329)</f>
      </c>
      <c r="BH329" s="33">
        <v>262</v>
      </c>
      <c r="BI329" s="33">
        <v>240</v>
      </c>
      <c r="BJ329" s="33">
        <v>270</v>
      </c>
      <c r="BK329" s="33">
        <v>283</v>
      </c>
      <c r="BL329" s="313">
        <f>SUM(BH329:BK329)</f>
      </c>
      <c r="BM329" s="33">
        <v>290</v>
      </c>
      <c r="BN329" s="33">
        <v>294</v>
      </c>
      <c r="BO329" s="33">
        <v>279</v>
      </c>
      <c r="BP329" s="33">
        <v>277</v>
      </c>
      <c r="BQ329" s="313">
        <f>SUM(BM329:BP329)</f>
      </c>
      <c r="BR329" s="33">
        <v>248</v>
      </c>
      <c r="BS329" s="352">
        <v>245</v>
      </c>
      <c r="BT329" s="352">
        <v>238</v>
      </c>
      <c r="BU329" s="352">
        <v>255</v>
      </c>
      <c r="BV329" s="313">
        <f>SUM(BR329:BU329)</f>
      </c>
      <c r="BW329" s="352">
        <v>229</v>
      </c>
      <c r="BX329" s="352">
        <v>229</v>
      </c>
      <c r="BY329" s="352">
        <v>212</v>
      </c>
      <c r="BZ329" s="352">
        <v>208</v>
      </c>
      <c r="CA329" s="479">
        <f>SUM(BW329:BZ329)</f>
      </c>
      <c r="CB329" s="352">
        <v>204</v>
      </c>
      <c r="CC329" s="352">
        <v>192</v>
      </c>
      <c r="CD329" s="352">
        <v>177</v>
      </c>
      <c r="CE329" s="352">
        <v>190</v>
      </c>
      <c r="CF329" s="479">
        <f>SUM(CB329:CE329)</f>
      </c>
      <c r="CG329" s="352">
        <v>150</v>
      </c>
      <c r="CH329" s="352">
        <v>148</v>
      </c>
      <c r="CI329" s="352">
        <v>132</v>
      </c>
      <c r="CJ329" s="352">
        <v>131</v>
      </c>
      <c r="CK329" s="479">
        <f>SUM(CG329:CJ329)</f>
      </c>
      <c r="CL329" s="352">
        <v>136</v>
      </c>
      <c r="CM329" s="352">
        <v>130</v>
      </c>
      <c r="CN329" s="352">
        <v>128</v>
      </c>
      <c r="CO329" s="352">
        <v>118</v>
      </c>
      <c r="CP329" s="479">
        <f>SUM(CL329:CO329)</f>
      </c>
      <c r="CQ329" s="352">
        <v>112</v>
      </c>
      <c r="CR329" s="352">
        <v>116</v>
      </c>
      <c r="CS329" s="352">
        <v>107</v>
      </c>
      <c r="CT329" s="352">
        <v>110</v>
      </c>
      <c r="CU329" s="479">
        <f>SUM(CQ329:CT329)</f>
      </c>
      <c r="CV329" s="352">
        <v>114</v>
      </c>
      <c r="CW329" s="352">
        <v>108</v>
      </c>
      <c r="CX329" s="352">
        <v>99</v>
      </c>
      <c r="CY329" s="352">
        <v>101</v>
      </c>
      <c r="CZ329" s="479">
        <f>SUM(CV329:CY329)</f>
      </c>
      <c r="DA329" s="352">
        <v>102</v>
      </c>
      <c r="DB329" s="352">
        <v>101</v>
      </c>
      <c r="DC329" s="352">
        <v>89</v>
      </c>
      <c r="DD329" s="1205">
        <v>82</v>
      </c>
      <c r="DE329" s="2475">
        <f>SUM(DA329:DD329)</f>
      </c>
      <c r="DF329" s="2482">
        <v>94</v>
      </c>
      <c r="DG329" s="2482">
        <v>79</v>
      </c>
      <c r="DH329" s="2482">
        <v>81</v>
      </c>
      <c r="DI329" s="2483">
        <v>92</v>
      </c>
      <c r="DJ329" s="2475">
        <f>SUM(DF329:DI329)</f>
      </c>
      <c r="DK329" s="2482">
        <v>89</v>
      </c>
      <c r="DL329" s="2482">
        <v>84</v>
      </c>
      <c r="DM329" s="2482">
        <v>69</v>
      </c>
      <c r="DN329" s="2483">
        <v>63</v>
      </c>
      <c r="DO329" s="2475">
        <f>SUM(DK329:DN329)</f>
      </c>
      <c r="DP329" s="2482">
        <v>66</v>
      </c>
      <c r="DQ329" s="2482">
        <v>60</v>
      </c>
      <c r="DR329" s="2482">
        <v>52</v>
      </c>
      <c r="DS329" s="2483">
        <v>50</v>
      </c>
      <c r="DT329" s="2475">
        <f>SUM(DP329:DS329)</f>
      </c>
      <c r="DU329" s="2471">
        <f t="shared" si="952"/>
      </c>
      <c r="DV329" s="2471">
        <f t="shared" si="952"/>
      </c>
      <c r="DW329" s="2471">
        <f t="shared" si="952"/>
      </c>
      <c r="DX329" s="2472">
        <f>+DY329-SUM(DU329:DW329)</f>
      </c>
      <c r="DY329" s="2475">
        <f>+DT329*(1+DY334)</f>
      </c>
      <c r="DZ329" s="2471">
        <f t="shared" si="953"/>
      </c>
      <c r="EA329" s="2471">
        <f t="shared" si="953"/>
      </c>
      <c r="EB329" s="2471">
        <f t="shared" si="953"/>
      </c>
      <c r="EC329" s="2472">
        <f>+ED329-SUM(DZ329:EB329)</f>
      </c>
      <c r="ED329" s="2475">
        <f>+DY329*(1+ED334)</f>
      </c>
      <c r="EE329" s="2471">
        <f t="shared" si="954"/>
      </c>
      <c r="EF329" s="2471">
        <f t="shared" si="954"/>
      </c>
      <c r="EG329" s="2471">
        <f t="shared" si="954"/>
      </c>
      <c r="EH329" s="2472">
        <f>+EI329-SUM(EE329:EG329)</f>
      </c>
      <c r="EI329" s="2475">
        <f>+ED329*(1+EI334)</f>
      </c>
      <c r="EJ329" s="2475">
        <f>+EI329*(1+EJ334)</f>
      </c>
      <c r="EK329" s="477"/>
      <c r="EL329" s="477"/>
      <c r="EM329" s="477"/>
      <c r="EN329" s="477"/>
      <c r="EO329" s="477"/>
      <c r="EP329" s="477"/>
      <c r="EQ329" s="477"/>
      <c r="ER329" s="477"/>
      <c r="ES329" s="477"/>
      <c r="ET329" s="477"/>
      <c r="EU329" s="477"/>
      <c r="EV329" s="477"/>
      <c r="EW329" s="477"/>
      <c r="EX329" s="477"/>
    </row>
    <row r="330" spans="1:154" ht="12.75" hidden="1" customHeight="1">
      <c r="A330" s="3275" t="s">
        <v>273</v>
      </c>
      <c r="B330" s="437" t="s">
        <v>418</v>
      </c>
      <c r="C330" s="1989"/>
      <c r="D330" s="28"/>
      <c r="E330" s="28"/>
      <c r="F330" s="28"/>
      <c r="G330" s="28"/>
      <c r="H330" s="28"/>
      <c r="I330" s="31"/>
      <c r="J330" s="28"/>
      <c r="K330" s="28"/>
      <c r="L330" s="28"/>
      <c r="M330" s="28"/>
      <c r="N330" s="31"/>
      <c r="O330" s="31"/>
      <c r="P330" s="31"/>
      <c r="Q330" s="31"/>
      <c r="R330" s="31"/>
      <c r="S330" s="31"/>
      <c r="T330" s="31"/>
      <c r="U330" s="31"/>
      <c r="V330" s="31"/>
      <c r="W330" s="31"/>
      <c r="X330" s="313"/>
      <c r="Y330" s="31"/>
      <c r="Z330" s="31"/>
      <c r="AA330" s="31"/>
      <c r="AB330" s="31"/>
      <c r="AC330" s="313"/>
      <c r="AD330" s="31"/>
      <c r="AE330" s="31"/>
      <c r="AF330" s="31"/>
      <c r="AG330" s="33"/>
      <c r="AH330" s="313"/>
      <c r="AI330" s="33"/>
      <c r="AJ330" s="33"/>
      <c r="AK330" s="33"/>
      <c r="AL330" s="33"/>
      <c r="AM330" s="313"/>
      <c r="AN330" s="33"/>
      <c r="AO330" s="33"/>
      <c r="AP330" s="33"/>
      <c r="AQ330" s="33"/>
      <c r="AR330" s="313"/>
      <c r="AS330" s="28">
        <f t="shared" ref="AS330:BA330" si="955">AS328+AS329</f>
      </c>
      <c r="AT330" s="28">
        <f t="shared" si="955"/>
      </c>
      <c r="AU330" s="28">
        <f t="shared" si="955"/>
      </c>
      <c r="AV330" s="31">
        <f t="shared" si="955"/>
      </c>
      <c r="AW330" s="313">
        <f t="shared" si="955"/>
      </c>
      <c r="AX330" s="28">
        <f t="shared" si="955"/>
      </c>
      <c r="AY330" s="28">
        <f t="shared" si="955"/>
      </c>
      <c r="AZ330" s="28">
        <f t="shared" si="955"/>
      </c>
      <c r="BA330" s="28">
        <f t="shared" si="955"/>
      </c>
      <c r="BB330" s="313">
        <f>+BB328+BB329</f>
      </c>
      <c r="BC330" s="28">
        <f t="shared" ref="BC330:BJ330" si="956">BC328+BC329</f>
      </c>
      <c r="BD330" s="28">
        <f t="shared" si="956"/>
      </c>
      <c r="BE330" s="28">
        <f t="shared" si="956"/>
      </c>
      <c r="BF330" s="28">
        <f t="shared" si="956"/>
      </c>
      <c r="BG330" s="313">
        <f t="shared" si="956"/>
      </c>
      <c r="BH330" s="28">
        <f t="shared" si="956"/>
      </c>
      <c r="BI330" s="28">
        <f t="shared" si="956"/>
      </c>
      <c r="BJ330" s="28">
        <f t="shared" si="956"/>
      </c>
      <c r="BK330" s="28">
        <f>+BK328+BK329</f>
      </c>
      <c r="BL330" s="313">
        <f>SUM(BH330:BK330)</f>
      </c>
      <c r="BM330" s="28">
        <f>BM328+BM329</f>
      </c>
      <c r="BN330" s="28">
        <f>BN328+BN329</f>
      </c>
      <c r="BO330" s="28">
        <f>BO328+BO329</f>
      </c>
      <c r="BP330" s="28">
        <f>+BP328+BP329</f>
      </c>
      <c r="BQ330" s="313">
        <f>SUM(BM330:BP330)</f>
      </c>
      <c r="BR330" s="28">
        <f>BR328+BR329</f>
      </c>
      <c r="BS330" s="28">
        <f>BS328+BS329</f>
      </c>
      <c r="BT330" s="28">
        <f>BT328+BT329</f>
      </c>
      <c r="BU330" s="28">
        <f>+BU328+BU329</f>
      </c>
      <c r="BV330" s="313">
        <f>SUM(BR330:BU330)</f>
      </c>
      <c r="BW330" s="28">
        <f>BW328+BW329</f>
      </c>
      <c r="BX330" s="28">
        <f>BX328+BX329</f>
      </c>
      <c r="BY330" s="28">
        <f>BY328+BY329</f>
      </c>
      <c r="BZ330" s="28">
        <f>BZ328+BZ329</f>
      </c>
      <c r="CA330" s="479">
        <f>SUM(BW330:BZ330)</f>
      </c>
      <c r="CB330" s="28">
        <f>CB328+CB329</f>
      </c>
      <c r="CC330" s="28">
        <f>CC328+CC329</f>
      </c>
      <c r="CD330" s="28">
        <f>CD328+CD329</f>
      </c>
      <c r="CE330" s="28">
        <f>CE328+CE329</f>
      </c>
      <c r="CF330" s="479">
        <f>SUM(CB330:CE330)</f>
      </c>
      <c r="CG330" s="28">
        <f>CG328+CG329</f>
      </c>
      <c r="CH330" s="28">
        <f>CH328+CH329</f>
      </c>
      <c r="CI330" s="28">
        <f>CI328+CI329</f>
      </c>
      <c r="CJ330" s="28">
        <f>CJ328+CJ329</f>
      </c>
      <c r="CK330" s="479">
        <f>SUM(CG330:CJ330)</f>
      </c>
      <c r="CL330" s="28">
        <f>CL328+CL329</f>
      </c>
      <c r="CM330" s="28">
        <f>CM328+CM329</f>
      </c>
      <c r="CN330" s="28">
        <f>CN328+CN329</f>
      </c>
      <c r="CO330" s="28">
        <f>CO328+CO329</f>
      </c>
      <c r="CP330" s="479">
        <f>SUM(CL330:CO330)</f>
      </c>
      <c r="CQ330" s="933">
        <f>CQ328+CQ329</f>
      </c>
      <c r="CR330" s="933">
        <f>CR328+CR329</f>
      </c>
      <c r="CS330" s="933">
        <f>CS328+CS329</f>
      </c>
      <c r="CT330" s="933">
        <f>CT328+CT329</f>
      </c>
      <c r="CU330" s="479">
        <f>SUM(CQ330:CT330)</f>
      </c>
      <c r="CV330" s="933">
        <f>CV328+CV329</f>
      </c>
      <c r="CW330" s="933">
        <f>CW328+CW329</f>
      </c>
      <c r="CX330" s="933">
        <f>CX328+CX329</f>
      </c>
      <c r="CY330" s="933">
        <f>CY328+CY329</f>
      </c>
      <c r="CZ330" s="479">
        <f>SUM(CV330:CY330)</f>
      </c>
      <c r="DA330" s="933">
        <f>SUM(DA328:DA329)</f>
      </c>
      <c r="DB330" s="933">
        <f>SUM(DB328:DB329)</f>
      </c>
      <c r="DC330" s="31">
        <f>SUM(DC328:DC329)</f>
      </c>
      <c r="DD330" s="984">
        <f>+DD328+DD329</f>
      </c>
      <c r="DE330" s="2475">
        <f>SUM(DA330:DD330)</f>
      </c>
      <c r="DF330" s="2471">
        <f>SUM(DF328:DF329)</f>
      </c>
      <c r="DG330" s="2471">
        <f>SUM(DG328:DG329)</f>
      </c>
      <c r="DH330" s="2471">
        <f>SUM(DH328:DH329)</f>
      </c>
      <c r="DI330" s="2472">
        <f>+DI328+DI329</f>
      </c>
      <c r="DJ330" s="2475">
        <f>SUM(DF330:DI330)</f>
      </c>
      <c r="DK330" s="2471">
        <f>SUM(DK328:DK329)</f>
      </c>
      <c r="DL330" s="2471">
        <f>SUM(DL328:DL329)</f>
      </c>
      <c r="DM330" s="2471">
        <f>SUM(DM328:DM329)</f>
      </c>
      <c r="DN330" s="2472">
        <f>+DN328+DN329</f>
      </c>
      <c r="DO330" s="2475">
        <f>DO328+DO329</f>
      </c>
      <c r="DP330" s="2471">
        <f>SUM(DP328:DP329)</f>
      </c>
      <c r="DQ330" s="2471">
        <f>SUM(DQ328:DQ329)</f>
      </c>
      <c r="DR330" s="2471">
        <f>SUM(DR328:DR329)</f>
      </c>
      <c r="DS330" s="2472">
        <f>+DS328+DS329</f>
      </c>
      <c r="DT330" s="2475">
        <f>DT328+DT329</f>
      </c>
      <c r="DU330" s="2471">
        <f>SUM(DU328:DU329)</f>
      </c>
      <c r="DV330" s="2471">
        <f>SUM(DV328:DV329)</f>
      </c>
      <c r="DW330" s="2471">
        <f>SUM(DW328:DW329)</f>
      </c>
      <c r="DX330" s="2472">
        <f>+DX328+DX329</f>
      </c>
      <c r="DY330" s="2475">
        <f>DY328+DY329</f>
      </c>
      <c r="DZ330" s="2471">
        <f>SUM(DZ328:DZ329)</f>
      </c>
      <c r="EA330" s="2471">
        <f>SUM(EA328:EA329)</f>
      </c>
      <c r="EB330" s="2471">
        <f>SUM(EB328:EB329)</f>
      </c>
      <c r="EC330" s="2472">
        <f>+EC328+EC329</f>
      </c>
      <c r="ED330" s="2475">
        <f>ED328+ED329</f>
      </c>
      <c r="EE330" s="2471">
        <f>SUM(EE328:EE329)</f>
      </c>
      <c r="EF330" s="2471">
        <f>SUM(EF328:EF329)</f>
      </c>
      <c r="EG330" s="2471">
        <f>SUM(EG328:EG329)</f>
      </c>
      <c r="EH330" s="2472">
        <f>+EH328+EH329</f>
      </c>
      <c r="EI330" s="2475">
        <f>EI328+EI329</f>
      </c>
      <c r="EJ330" s="2475">
        <f>EJ328+EJ329</f>
      </c>
      <c r="EK330" s="477"/>
      <c r="EL330" s="477"/>
      <c r="EM330" s="477"/>
      <c r="EN330" s="477"/>
      <c r="EO330" s="477"/>
      <c r="EP330" s="477"/>
      <c r="EQ330" s="477"/>
      <c r="ER330" s="477"/>
      <c r="ES330" s="477"/>
      <c r="ET330" s="477"/>
      <c r="EU330" s="477"/>
      <c r="EV330" s="477"/>
      <c r="EW330" s="477"/>
      <c r="EX330" s="477"/>
    </row>
    <row r="331" spans="1:154" ht="12.75" hidden="1" customHeight="1">
      <c r="B331" s="437"/>
      <c r="C331" s="1989"/>
      <c r="D331" s="28"/>
      <c r="E331" s="28"/>
      <c r="F331" s="28"/>
      <c r="G331" s="28"/>
      <c r="H331" s="28"/>
      <c r="I331" s="31"/>
      <c r="J331" s="28"/>
      <c r="K331" s="28"/>
      <c r="L331" s="28"/>
      <c r="M331" s="28"/>
      <c r="N331" s="31"/>
      <c r="O331" s="31"/>
      <c r="P331" s="31"/>
      <c r="Q331" s="31"/>
      <c r="R331" s="31"/>
      <c r="S331" s="31"/>
      <c r="T331" s="31"/>
      <c r="U331" s="31"/>
      <c r="V331" s="31"/>
      <c r="W331" s="31"/>
      <c r="X331" s="313"/>
      <c r="Y331" s="31"/>
      <c r="Z331" s="31"/>
      <c r="AA331" s="31"/>
      <c r="AB331" s="31"/>
      <c r="AC331" s="313"/>
      <c r="AD331" s="31"/>
      <c r="AE331" s="31"/>
      <c r="AF331" s="31"/>
      <c r="AG331" s="33"/>
      <c r="AH331" s="313"/>
      <c r="AI331" s="33"/>
      <c r="AJ331" s="33"/>
      <c r="AK331" s="33"/>
      <c r="AL331" s="33"/>
      <c r="AM331" s="313"/>
      <c r="AN331" s="33"/>
      <c r="AO331" s="33"/>
      <c r="AP331" s="33"/>
      <c r="AQ331" s="33"/>
      <c r="AR331" s="313"/>
      <c r="AS331" s="28"/>
      <c r="AT331" s="28"/>
      <c r="AU331" s="28"/>
      <c r="AV331" s="31"/>
      <c r="AW331" s="313"/>
      <c r="AX331" s="28"/>
      <c r="AY331" s="28"/>
      <c r="AZ331" s="28"/>
      <c r="BA331" s="28"/>
      <c r="BB331" s="313"/>
      <c r="BC331" s="28"/>
      <c r="BD331" s="28"/>
      <c r="BE331" s="28"/>
      <c r="BF331" s="28"/>
      <c r="BG331" s="313"/>
      <c r="BH331" s="28"/>
      <c r="BI331" s="28"/>
      <c r="BJ331" s="28"/>
      <c r="BK331" s="28"/>
      <c r="BL331" s="313"/>
      <c r="BM331" s="28"/>
      <c r="BN331" s="28"/>
      <c r="BO331" s="28"/>
      <c r="BP331" s="28"/>
      <c r="BQ331" s="313"/>
      <c r="BR331" s="28"/>
      <c r="BS331" s="28"/>
      <c r="BT331" s="28"/>
      <c r="BU331" s="28"/>
      <c r="BV331" s="313"/>
      <c r="BW331" s="28"/>
      <c r="BX331" s="28"/>
      <c r="BY331" s="28"/>
      <c r="BZ331" s="28"/>
      <c r="CA331" s="313"/>
      <c r="CB331" s="28"/>
      <c r="CC331" s="28"/>
      <c r="CD331" s="28"/>
      <c r="CE331" s="28"/>
      <c r="CF331" s="313"/>
      <c r="CG331" s="28"/>
      <c r="CH331" s="28"/>
      <c r="CI331" s="28"/>
      <c r="CJ331" s="28"/>
      <c r="CK331" s="313"/>
      <c r="CL331" s="961"/>
      <c r="CM331" s="933"/>
      <c r="CN331" s="933"/>
      <c r="CO331" s="28"/>
      <c r="CP331" s="313"/>
      <c r="CQ331" s="933"/>
      <c r="CR331" s="933"/>
      <c r="CS331" s="933"/>
      <c r="CT331" s="933"/>
      <c r="CU331" s="313"/>
      <c r="CV331" s="933"/>
      <c r="CW331" s="933"/>
      <c r="CX331" s="933"/>
      <c r="CY331" s="933"/>
      <c r="CZ331" s="313"/>
      <c r="DA331" s="933"/>
      <c r="DB331" s="31"/>
      <c r="DC331" s="31"/>
      <c r="DD331" s="955"/>
      <c r="DE331" s="477"/>
      <c r="DF331" s="982"/>
      <c r="DG331" s="603"/>
      <c r="DH331" s="603"/>
      <c r="DI331" s="1798"/>
      <c r="DJ331" s="477"/>
      <c r="DK331" s="982"/>
      <c r="DL331" s="603"/>
      <c r="DM331" s="603"/>
      <c r="DN331" s="1798"/>
      <c r="DO331" s="477"/>
      <c r="DP331" s="603"/>
      <c r="DQ331" s="603"/>
      <c r="DR331" s="603"/>
      <c r="DS331" s="1798"/>
      <c r="DT331" s="477"/>
      <c r="DU331" s="603"/>
      <c r="DV331" s="603"/>
      <c r="DW331" s="603"/>
      <c r="DX331" s="1798"/>
      <c r="DY331" s="477"/>
      <c r="DZ331" s="603"/>
      <c r="EA331" s="603"/>
      <c r="EB331" s="603"/>
      <c r="EC331" s="1798"/>
      <c r="ED331" s="477"/>
      <c r="EE331" s="603"/>
      <c r="EF331" s="603"/>
      <c r="EG331" s="603"/>
      <c r="EH331" s="1798"/>
      <c r="EI331" s="477"/>
      <c r="EJ331" s="477"/>
      <c r="EK331" s="477"/>
      <c r="EL331" s="477"/>
      <c r="EM331" s="477"/>
      <c r="EN331" s="477"/>
      <c r="EO331" s="477"/>
      <c r="EP331" s="477"/>
      <c r="EQ331" s="477"/>
      <c r="ER331" s="477"/>
      <c r="ES331" s="477"/>
      <c r="ET331" s="477"/>
      <c r="EU331" s="477"/>
      <c r="EV331" s="477"/>
      <c r="EW331" s="477"/>
      <c r="EX331" s="477"/>
    </row>
    <row r="332" spans="1:154" ht="12.75" hidden="1" customHeight="1">
      <c r="B332" s="439" t="s">
        <v>215</v>
      </c>
      <c r="C332" s="1989"/>
      <c r="D332" s="28"/>
      <c r="E332" s="28"/>
      <c r="F332" s="28"/>
      <c r="G332" s="28"/>
      <c r="H332" s="28"/>
      <c r="I332" s="31"/>
      <c r="J332" s="28"/>
      <c r="K332" s="28"/>
      <c r="L332" s="28"/>
      <c r="M332" s="28"/>
      <c r="N332" s="31"/>
      <c r="O332" s="31"/>
      <c r="P332" s="31"/>
      <c r="Q332" s="31"/>
      <c r="R332" s="31"/>
      <c r="S332" s="31"/>
      <c r="T332" s="31"/>
      <c r="U332" s="31"/>
      <c r="V332" s="31"/>
      <c r="W332" s="31"/>
      <c r="X332" s="313"/>
      <c r="Y332" s="31"/>
      <c r="Z332" s="31"/>
      <c r="AA332" s="31"/>
      <c r="AB332" s="31"/>
      <c r="AC332" s="313"/>
      <c r="AD332" s="31"/>
      <c r="AE332" s="31"/>
      <c r="AF332" s="31"/>
      <c r="AG332" s="33"/>
      <c r="AH332" s="313"/>
      <c r="AI332" s="33"/>
      <c r="AJ332" s="33"/>
      <c r="AK332" s="33"/>
      <c r="AL332" s="33"/>
      <c r="AM332" s="313"/>
      <c r="AN332" s="33"/>
      <c r="AO332" s="33"/>
      <c r="AP332" s="33"/>
      <c r="AQ332" s="33"/>
      <c r="AR332" s="313"/>
      <c r="AS332" s="28"/>
      <c r="AT332" s="28"/>
      <c r="AU332" s="28"/>
      <c r="AV332" s="31"/>
      <c r="AW332" s="313"/>
      <c r="AX332" s="28"/>
      <c r="AY332" s="28"/>
      <c r="AZ332" s="28"/>
      <c r="BA332" s="28"/>
      <c r="BB332" s="313"/>
      <c r="BC332" s="28"/>
      <c r="BD332" s="28"/>
      <c r="BE332" s="28"/>
      <c r="BF332" s="28"/>
      <c r="BG332" s="313"/>
      <c r="BH332" s="28"/>
      <c r="BI332" s="28"/>
      <c r="BJ332" s="28"/>
      <c r="BK332" s="28"/>
      <c r="BL332" s="308"/>
      <c r="BM332" s="28"/>
      <c r="BN332" s="28"/>
      <c r="BO332" s="28"/>
      <c r="BP332" s="30"/>
      <c r="BQ332" s="313"/>
      <c r="BR332" s="28"/>
      <c r="BS332" s="28"/>
      <c r="BT332" s="28"/>
      <c r="BU332" s="30"/>
      <c r="BV332" s="321"/>
      <c r="BW332" s="28"/>
      <c r="BX332" s="28"/>
      <c r="BY332" s="28"/>
      <c r="BZ332" s="28"/>
      <c r="CA332" s="321"/>
      <c r="CB332" s="28"/>
      <c r="CC332" s="28"/>
      <c r="CD332" s="28"/>
      <c r="CE332" s="28"/>
      <c r="CF332" s="313"/>
      <c r="CG332" s="28"/>
      <c r="CH332" s="28"/>
      <c r="CI332" s="28"/>
      <c r="CJ332" s="28"/>
      <c r="CK332" s="313"/>
      <c r="CL332" s="961"/>
      <c r="CM332" s="933"/>
      <c r="CN332" s="933"/>
      <c r="CO332" s="28"/>
      <c r="CP332" s="313"/>
      <c r="CQ332" s="933"/>
      <c r="CR332" s="933"/>
      <c r="CS332" s="933"/>
      <c r="CT332" s="933"/>
      <c r="CU332" s="313"/>
      <c r="CV332" s="933"/>
      <c r="CW332" s="933"/>
      <c r="CX332" s="933"/>
      <c r="CY332" s="933"/>
      <c r="CZ332" s="313"/>
      <c r="DA332" s="933"/>
      <c r="DB332" s="31"/>
      <c r="DC332" s="31"/>
      <c r="DD332" s="955"/>
      <c r="DE332" s="477"/>
      <c r="DF332" s="982"/>
      <c r="DG332" s="603"/>
      <c r="DH332" s="603"/>
      <c r="DI332" s="1798"/>
      <c r="DJ332" s="477"/>
      <c r="DK332" s="982"/>
      <c r="DL332" s="603"/>
      <c r="DM332" s="603"/>
      <c r="DN332" s="1798"/>
      <c r="DO332" s="477"/>
      <c r="DP332" s="603"/>
      <c r="DQ332" s="603"/>
      <c r="DR332" s="603"/>
      <c r="DS332" s="1798"/>
      <c r="DT332" s="477"/>
      <c r="DU332" s="603"/>
      <c r="DV332" s="603"/>
      <c r="DW332" s="603"/>
      <c r="DX332" s="1798"/>
      <c r="DY332" s="477"/>
      <c r="DZ332" s="603"/>
      <c r="EA332" s="603"/>
      <c r="EB332" s="603"/>
      <c r="EC332" s="1798"/>
      <c r="ED332" s="477"/>
      <c r="EE332" s="603"/>
      <c r="EF332" s="603"/>
      <c r="EG332" s="603"/>
      <c r="EH332" s="1798"/>
      <c r="EI332" s="477"/>
      <c r="EJ332" s="477"/>
      <c r="EK332" s="477"/>
      <c r="EL332" s="477"/>
      <c r="EM332" s="477"/>
      <c r="EN332" s="477"/>
      <c r="EO332" s="477"/>
      <c r="EP332" s="477"/>
      <c r="EQ332" s="477"/>
      <c r="ER332" s="477"/>
      <c r="ES332" s="477"/>
      <c r="ET332" s="477"/>
      <c r="EU332" s="477"/>
      <c r="EV332" s="477"/>
      <c r="EW332" s="477"/>
      <c r="EX332" s="477"/>
    </row>
    <row r="333" spans="1:154" ht="12.75" hidden="1" customHeight="1">
      <c r="B333" s="440" t="s">
        <v>416</v>
      </c>
      <c r="C333" s="1989"/>
      <c r="D333" s="28"/>
      <c r="E333" s="28"/>
      <c r="F333" s="28"/>
      <c r="G333" s="28"/>
      <c r="H333" s="28"/>
      <c r="I333" s="31"/>
      <c r="J333" s="28"/>
      <c r="K333" s="28"/>
      <c r="L333" s="28"/>
      <c r="M333" s="28"/>
      <c r="N333" s="31"/>
      <c r="O333" s="31"/>
      <c r="P333" s="31"/>
      <c r="Q333" s="31"/>
      <c r="R333" s="31"/>
      <c r="S333" s="31"/>
      <c r="T333" s="31"/>
      <c r="U333" s="31"/>
      <c r="V333" s="31"/>
      <c r="W333" s="31"/>
      <c r="X333" s="308"/>
      <c r="Y333" s="30"/>
      <c r="Z333" s="30"/>
      <c r="AA333" s="30"/>
      <c r="AB333" s="30"/>
      <c r="AC333" s="308"/>
      <c r="AD333" s="30"/>
      <c r="AE333" s="30"/>
      <c r="AF333" s="30"/>
      <c r="AG333" s="30"/>
      <c r="AH333" s="308"/>
      <c r="AI333" s="30"/>
      <c r="AJ333" s="30"/>
      <c r="AK333" s="30"/>
      <c r="AL333" s="30"/>
      <c r="AM333" s="308"/>
      <c r="AN333" s="30"/>
      <c r="AO333" s="30"/>
      <c r="AP333" s="30"/>
      <c r="AQ333" s="30"/>
      <c r="AR333" s="308"/>
      <c r="AS333" s="30"/>
      <c r="AT333" s="30"/>
      <c r="AU333" s="30"/>
      <c r="AV333" s="30"/>
      <c r="AW333" s="308" t="str">
        <f t="shared" ref="AW333:BF334" si="957">IF(AR328="NM","NM",IF(AW328="NM","NM",IF(AR328&lt;=0,"NM",IF(AW328=0,"NM",IF(ABS(AW328/AR328-1)&gt;2.5,"NM",IF((ABS(AW328-AR328)=ABS(ABS(AW328)-ABS(AR328))),(AW328/AR328-1),"NM"))))))</f>
      </c>
      <c r="AX333" s="30">
        <f t="shared" si="957"/>
      </c>
      <c r="AY333" s="30">
        <f t="shared" si="957"/>
      </c>
      <c r="AZ333" s="30">
        <f t="shared" si="957"/>
      </c>
      <c r="BA333" s="30">
        <f t="shared" si="957"/>
      </c>
      <c r="BB333" s="308">
        <f t="shared" si="957"/>
      </c>
      <c r="BC333" s="30">
        <f t="shared" si="957"/>
      </c>
      <c r="BD333" s="30">
        <f t="shared" si="957"/>
      </c>
      <c r="BE333" s="30">
        <f t="shared" si="957"/>
      </c>
      <c r="BF333" s="30">
        <f t="shared" si="957"/>
      </c>
      <c r="BG333" s="308">
        <f t="shared" ref="BG333:BP334" si="958">IF(BB328="NM","NM",IF(BG328="NM","NM",IF(BB328&lt;=0,"NM",IF(BG328=0,"NM",IF(ABS(BG328/BB328-1)&gt;2.5,"NM",IF((ABS(BG328-BB328)=ABS(ABS(BG328)-ABS(BB328))),(BG328/BB328-1),"NM"))))))</f>
      </c>
      <c r="BH333" s="30">
        <f t="shared" si="958"/>
      </c>
      <c r="BI333" s="30">
        <f t="shared" si="958"/>
      </c>
      <c r="BJ333" s="30">
        <f t="shared" si="958"/>
      </c>
      <c r="BK333" s="30">
        <f t="shared" si="958"/>
      </c>
      <c r="BL333" s="308">
        <f t="shared" si="958"/>
      </c>
      <c r="BM333" s="30">
        <f t="shared" si="958"/>
      </c>
      <c r="BN333" s="30">
        <f t="shared" si="958"/>
      </c>
      <c r="BO333" s="30">
        <f t="shared" si="958"/>
      </c>
      <c r="BP333" s="30">
        <f t="shared" si="958"/>
      </c>
      <c r="BQ333" s="308">
        <f>IF(BL328="NM","NM",IF(BQ328="NM","NM",IF(BL328&lt;=0,"NM",IF(BQ328=0,"NM",IF(ABS(BQ328/BL328-1)&gt;2.5,"NM",IF((ABS(BQ328-BL328)=ABS(ABS(BQ328)-ABS(BL328))),(BQ328/BL328-1),"NM"))))))</f>
      </c>
      <c r="BR333" s="30">
        <f>IF(BM328="NM","NM",IF(BR328="NM","NM",IF(BM328&lt;=0,"NM",IF(BR328=0,"NM",IF(ABS(BR328/BM328-1)&gt;2.5,"NM",IF((ABS(BR328-BM328)=ABS(ABS(BR328)-ABS(BM328))),(BR328/BM328-1),"NM"))))))</f>
      </c>
      <c r="BS333" s="30">
        <f t="shared" ref="BS333:BY334" si="959">IF(BN328="NM","NM",IF(BS328="NM","NM",IF(BN328&lt;=0,"NM",IF(BS328=0,"NM",IF(ABS(BS328/BN328-1)&gt;2.5,"NM",IF((ABS(BS328-BN328)=ABS(ABS(BS328)-ABS(BN328))),(BS328/BN328-1),"NM"))))))</f>
      </c>
      <c r="BT333" s="30">
        <f t="shared" si="959"/>
      </c>
      <c r="BU333" s="30">
        <f>IF(BP328="NM","NM",IF(BU328="NM","NM",IF(BP328&lt;=0,"NM",IF(BU328=0,"NM",IF(ABS(BU328/BP328-1)&gt;2.5,"NM",IF((ABS(BU328-BP328)=ABS(ABS(BU328)-ABS(BP328))),(BU328/BP328-1),"NM"))))))</f>
      </c>
      <c r="BV333" s="308">
        <f>IF(BQ328="NM","NM",IF(BV328="NM","NM",IF(BQ328&lt;=0,"NM",IF(BV328=0,"NM",IF(ABS(BV328/BQ328-1)&gt;2.5,"NM",IF((ABS(BV328-BQ328)=ABS(ABS(BV328)-ABS(BQ328))),(BV328/BQ328-1),"NM"))))))</f>
      </c>
      <c r="BW333" s="30">
        <f t="shared" si="959"/>
      </c>
      <c r="BX333" s="30">
        <f t="shared" si="959"/>
      </c>
      <c r="BY333" s="30">
        <f t="shared" si="959"/>
      </c>
      <c r="BZ333" s="30">
        <f>IF(BU328="NM","NM",IF(BZ328="NM","NM",IF(BU328&lt;=0,"NM",IF(BZ328=0,"NM",IF(ABS(BZ328/BU328-1)&gt;2.5,"NM",IF((ABS(BZ328-BU328)=ABS(ABS(BZ328)-ABS(BU328))),(BZ328/BU328-1),"NM"))))))</f>
      </c>
      <c r="CA333" s="315">
        <f>CA328/BV328-1</f>
      </c>
      <c r="CB333" s="30">
        <f t="shared" ref="CB333:CD334" si="960">IF(BW328="NM","NM",IF(CB328="NM","NM",IF(BW328&lt;=0,"NM",IF(CB328=0,"NM",IF(ABS(CB328/BW328-1)&gt;2.5,"NM",IF((ABS(CB328-BW328)=ABS(ABS(CB328)-ABS(BW328))),(CB328/BW328-1),"NM"))))))</f>
      </c>
      <c r="CC333" s="30">
        <f t="shared" si="960"/>
      </c>
      <c r="CD333" s="30">
        <f t="shared" si="960"/>
      </c>
      <c r="CE333" s="30">
        <f>IF(BZ328="NM","NM",IF(CE328="NM","NM",IF(BZ328&lt;=0,"NM",IF(CE328=0,"NM",IF(ABS(CE328/BZ328-1)&gt;2.5,"NM",IF((ABS(CE328-BZ328)=ABS(ABS(CE328)-ABS(BZ328))),(CE328/BZ328-1),"NM"))))))</f>
      </c>
      <c r="CF333" s="315">
        <f>CF328/CA328-1</f>
      </c>
      <c r="CG333" s="30">
        <f t="shared" ref="CG333:CI334" si="961">IF(CB328="NM","NM",IF(CG328="NM","NM",IF(CB328&lt;=0,"NM",IF(CG328=0,"NM",IF(ABS(CG328/CB328-1)&gt;2.5,"NM",IF((ABS(CG328-CB328)=ABS(ABS(CG328)-ABS(CB328))),(CG328/CB328-1),"NM"))))))</f>
      </c>
      <c r="CH333" s="30">
        <f t="shared" si="961"/>
      </c>
      <c r="CI333" s="30">
        <f t="shared" si="961"/>
      </c>
      <c r="CJ333" s="30">
        <f>IF(CE328="NM","NM",IF(CJ328="NM","NM",IF(CE328&lt;=0,"NM",IF(CJ328=0,"NM",IF(ABS(CJ328/CE328-1)&gt;2.5,"NM",IF((ABS(CJ328-CE328)=ABS(ABS(CJ328)-ABS(CE328))),(CJ328/CE328-1),"NM"))))))</f>
      </c>
      <c r="CK333" s="308">
        <f>IF(CF328=0, "NA", CK328/CF328-1)</f>
      </c>
      <c r="CL333" s="30">
        <f t="shared" ref="CL333:CN334" si="962">IF(CG328="NM","NM",IF(CL328="NM","NM",IF(CG328&lt;=0,"NM",IF(CL328=0,"NM",IF(ABS(CL328/CG328-1)&gt;2.5,"NM",IF((ABS(CL328-CG328)=ABS(ABS(CL328)-ABS(CG328))),(CL328/CG328-1),"NM"))))))</f>
      </c>
      <c r="CM333" s="30">
        <f t="shared" si="962"/>
      </c>
      <c r="CN333" s="30">
        <f t="shared" si="962"/>
      </c>
      <c r="CO333" s="30">
        <f>IF(CJ328="NM","NM",IF(CO328="NM","NM",IF(CJ328&lt;=0,"NM",IF(CO328=0,"NM",IF(ABS(CO328/CJ328-1)&gt;2.5,"NM",IF((ABS(CO328-CJ328)=ABS(ABS(CO328)-ABS(CJ328))),(CO328/CJ328-1),"NM"))))))</f>
      </c>
      <c r="CP333" s="308">
        <f>IF(CK328=0, "NA", CP328/CK328-1)</f>
      </c>
      <c r="CQ333" s="30">
        <f t="shared" ref="CQ333:CX334" si="963">IF(CL328="NM","NM",IF(CQ328="NM","NM",IF(CL328&lt;=0,"NM",IF(CQ328=0,"NM",IF(ABS(CQ328/CL328-1)&gt;2.5,"NM",IF((ABS(CQ328-CL328)=ABS(ABS(CQ328)-ABS(CL328))),(CQ328/CL328-1),"NM"))))))</f>
      </c>
      <c r="CR333" s="30">
        <f t="shared" si="963"/>
      </c>
      <c r="CS333" s="30">
        <f t="shared" si="963"/>
      </c>
      <c r="CT333" s="30">
        <f t="shared" si="963"/>
      </c>
      <c r="CU333" s="308">
        <f>IF(CP328=0, "NA", CU328/CP328-1)</f>
      </c>
      <c r="CV333" s="30">
        <f t="shared" si="963"/>
      </c>
      <c r="CW333" s="30">
        <f t="shared" si="963"/>
      </c>
      <c r="CX333" s="30">
        <f t="shared" si="963"/>
      </c>
      <c r="CY333" s="30">
        <f>IF(CT328="NM","NM",IF(CY328="NM","NM",IF(CT328&lt;=0,"NM",IF(CY328=0,"NM",IF(ABS(CY328/CT328-1)&gt;2.5,"NM",IF((ABS(CY328-CT328)=ABS(ABS(CY328)-ABS(CT328))),(CY328/CT328-1),"NM"))))))</f>
      </c>
      <c r="CZ333" s="308">
        <f>IF(CU328=0, "NA", CZ328/CU328-1)</f>
      </c>
      <c r="DA333" s="30">
        <f t="shared" ref="DA333:DC334" si="964">IF(CV328="NM","NM",IF(DA328="NM","NM",IF(CV328&lt;=0,"NM",IF(DA328=0,"NM",IF(ABS(DA328/CV328-1)&gt;2.5,"NM",IF((ABS(DA328-CV328)=ABS(ABS(DA328)-ABS(CV328))),(DA328/CV328-1),"NM"))))))</f>
      </c>
      <c r="DB333" s="30">
        <f t="shared" si="964"/>
      </c>
      <c r="DC333" s="30">
        <f t="shared" si="964"/>
      </c>
      <c r="DD333" s="927">
        <f>IF(DD328=0,"NM",+DD328/CY328-1)</f>
      </c>
      <c r="DE333" s="308">
        <f>IF(CZ328=0, "NA", DE328/CZ328-1)</f>
      </c>
      <c r="DF333" s="30">
        <v>-0.1</v>
      </c>
      <c r="DG333" s="30">
        <f>IF(DB328="NM","NM",IF(DG328="NM","NM",IF(DB328&lt;=0,"NM",IF(DG328=0,"NM",IF(ABS(DG328/DB328-1)&gt;2.5,"NM",IF((ABS(DG328-DB328)=ABS(ABS(DG328)-ABS(DB328))),(DG328/DB328-1),"NM"))))))</f>
      </c>
      <c r="DH333" s="30">
        <f>IF(DC328="NM","NM",IF(DH328="NM","NM",IF(DC328&lt;=0,"NM",IF(DH328=0,"NM",IF(ABS(DH328/DC328-1)&gt;2.5,"NM",IF((ABS(DH328-DC328)=ABS(ABS(DH328)-ABS(DC328))),(DH328/DC328-1),"NM"))))))</f>
      </c>
      <c r="DI333" s="928">
        <f>IF(DI328=0,"NM",+DI328/DD328-1)</f>
      </c>
      <c r="DJ333" s="308">
        <f>IF(DE328=0, "NA", DJ328/DE328-1)</f>
      </c>
      <c r="DK333" s="30">
        <v>-0.1</v>
      </c>
      <c r="DL333" s="30">
        <v>-0.1</v>
      </c>
      <c r="DM333" s="30">
        <v>0.9</v>
      </c>
      <c r="DN333" s="928">
        <f>IF(DN328=0,"NM",+DN328/DI328-1)</f>
      </c>
      <c r="DO333" s="308">
        <f>IF(DJ328=0, "NA", DO328/DJ328-1)</f>
      </c>
      <c r="DP333" s="30">
        <v>-0.1</v>
      </c>
      <c r="DQ333" s="30">
        <v>-0.1</v>
      </c>
      <c r="DR333" s="30">
        <v>-0.1</v>
      </c>
      <c r="DS333" s="409">
        <v>-0.1</v>
      </c>
      <c r="DT333" s="308">
        <f>IF(DO328=0, "NA", DT328/DO328-1)</f>
      </c>
      <c r="DU333" s="2215">
        <v>-0.15</v>
      </c>
      <c r="DV333" s="2216">
        <v>-0.17</v>
      </c>
      <c r="DW333" s="2216">
        <v>-0.2</v>
      </c>
      <c r="DX333" s="1063">
        <f>IF(DX328=0,"NM",+DX328/DS328-1)</f>
      </c>
      <c r="DY333" s="660">
        <v>-0.2</v>
      </c>
      <c r="DZ333" s="2216">
        <v>-0.2</v>
      </c>
      <c r="EA333" s="2216">
        <v>-0.25</v>
      </c>
      <c r="EB333" s="2216">
        <v>-0.3</v>
      </c>
      <c r="EC333" s="1063">
        <f>IF(EC328=0,"NM",+EC328/DX328-1)</f>
      </c>
      <c r="ED333" s="660">
        <v>-0.3</v>
      </c>
      <c r="EE333" s="2216">
        <v>-0.2</v>
      </c>
      <c r="EF333" s="2216">
        <v>-0.25</v>
      </c>
      <c r="EG333" s="2216">
        <v>-0.3</v>
      </c>
      <c r="EH333" s="1063">
        <f>IF(EH328=0,"NM",+EH328/EC328-1)</f>
      </c>
      <c r="EI333" s="660">
        <v>-0.3</v>
      </c>
      <c r="EJ333" s="660">
        <v>-1</v>
      </c>
      <c r="EK333" s="673"/>
      <c r="EL333" s="673"/>
      <c r="EM333" s="673"/>
      <c r="EN333" s="673"/>
      <c r="EO333" s="597"/>
      <c r="EP333" s="597"/>
      <c r="EQ333" s="597"/>
      <c r="ER333" s="597"/>
      <c r="ES333" s="597"/>
      <c r="ET333" s="597"/>
      <c r="EU333" s="597"/>
      <c r="EV333" s="597"/>
      <c r="EW333" s="597"/>
      <c r="EX333" s="597"/>
    </row>
    <row r="334" spans="1:154" ht="12.75" hidden="1" customHeight="1">
      <c r="B334" s="440" t="s">
        <v>417</v>
      </c>
      <c r="C334" s="1989"/>
      <c r="D334" s="28"/>
      <c r="E334" s="28"/>
      <c r="F334" s="28"/>
      <c r="G334" s="28"/>
      <c r="H334" s="28"/>
      <c r="I334" s="31"/>
      <c r="J334" s="28"/>
      <c r="K334" s="28"/>
      <c r="L334" s="28"/>
      <c r="M334" s="28"/>
      <c r="N334" s="31"/>
      <c r="O334" s="31"/>
      <c r="P334" s="31"/>
      <c r="Q334" s="31"/>
      <c r="R334" s="31"/>
      <c r="S334" s="31"/>
      <c r="T334" s="31"/>
      <c r="U334" s="31"/>
      <c r="V334" s="31"/>
      <c r="W334" s="31"/>
      <c r="X334" s="308"/>
      <c r="Y334" s="30"/>
      <c r="Z334" s="30"/>
      <c r="AA334" s="30"/>
      <c r="AB334" s="30"/>
      <c r="AC334" s="308"/>
      <c r="AD334" s="30"/>
      <c r="AE334" s="30"/>
      <c r="AF334" s="30"/>
      <c r="AG334" s="30"/>
      <c r="AH334" s="308"/>
      <c r="AI334" s="30"/>
      <c r="AJ334" s="30"/>
      <c r="AK334" s="30"/>
      <c r="AL334" s="30"/>
      <c r="AM334" s="308"/>
      <c r="AN334" s="30"/>
      <c r="AO334" s="30"/>
      <c r="AP334" s="30"/>
      <c r="AQ334" s="30"/>
      <c r="AR334" s="308"/>
      <c r="AS334" s="30"/>
      <c r="AT334" s="30"/>
      <c r="AU334" s="30"/>
      <c r="AV334" s="30"/>
      <c r="AW334" s="308" t="str">
        <f t="shared" si="957"/>
      </c>
      <c r="AX334" s="30">
        <f t="shared" si="957"/>
      </c>
      <c r="AY334" s="30">
        <f t="shared" si="957"/>
      </c>
      <c r="AZ334" s="30">
        <f t="shared" si="957"/>
      </c>
      <c r="BA334" s="30">
        <f t="shared" si="957"/>
      </c>
      <c r="BB334" s="308">
        <f t="shared" si="957"/>
      </c>
      <c r="BC334" s="30">
        <f t="shared" si="957"/>
      </c>
      <c r="BD334" s="30">
        <f t="shared" si="957"/>
      </c>
      <c r="BE334" s="30">
        <f t="shared" si="957"/>
      </c>
      <c r="BF334" s="30">
        <f t="shared" si="957"/>
      </c>
      <c r="BG334" s="308">
        <f t="shared" si="958"/>
      </c>
      <c r="BH334" s="30">
        <f t="shared" si="958"/>
      </c>
      <c r="BI334" s="30">
        <f t="shared" si="958"/>
      </c>
      <c r="BJ334" s="30">
        <f t="shared" si="958"/>
      </c>
      <c r="BK334" s="30">
        <f t="shared" si="958"/>
      </c>
      <c r="BL334" s="308">
        <f t="shared" si="958"/>
      </c>
      <c r="BM334" s="30">
        <f t="shared" si="958"/>
      </c>
      <c r="BN334" s="30">
        <f t="shared" si="958"/>
      </c>
      <c r="BO334" s="30">
        <f t="shared" si="958"/>
      </c>
      <c r="BP334" s="30">
        <f t="shared" si="958"/>
      </c>
      <c r="BQ334" s="308">
        <f>IF(BL329="NM","NM",IF(BQ329="NM","NM",IF(BL329&lt;=0,"NM",IF(BQ329=0,"NM",IF(ABS(BQ329/BL329-1)&gt;2.5,"NM",IF((ABS(BQ329-BL329)=ABS(ABS(BQ329)-ABS(BL329))),(BQ329/BL329-1),"NM"))))))</f>
      </c>
      <c r="BR334" s="30">
        <f>IF(BM329="NM","NM",IF(BR329="NM","NM",IF(BM329&lt;=0,"NM",IF(BR329=0,"NM",IF(ABS(BR329/BM329-1)&gt;2.5,"NM",IF((ABS(BR329-BM329)=ABS(ABS(BR329)-ABS(BM329))),(BR329/BM329-1),"NM"))))))</f>
      </c>
      <c r="BS334" s="30">
        <f t="shared" si="959"/>
      </c>
      <c r="BT334" s="30">
        <f>IF(ISNUMBER(BT335),(1+BT335)*(1+BT$21)-1,"NM")</f>
      </c>
      <c r="BU334" s="30">
        <f>IF(BP329="NM","NM",IF(BU329="NM","NM",IF(BP329&lt;=0,"NM",IF(BU329=0,"NM",IF(ABS(BU329/BP329-1)&gt;2.5,"NM",IF((ABS(BU329-BP329)=ABS(ABS(BU329)-ABS(BP329))),(BU329/BP329-1),"NM"))))))</f>
      </c>
      <c r="BV334" s="308">
        <f>IF(BQ329="NM","NM",IF(BV329="NM","NM",IF(BQ329&lt;=0,"NM",IF(BV329=0,"NM",IF(ABS(BV329/BQ329-1)&gt;2.5,"NM",IF((ABS(BV329-BQ329)=ABS(ABS(BV329)-ABS(BQ329))),(BV329/BQ329-1),"NM"))))))</f>
      </c>
      <c r="BW334" s="30">
        <f t="shared" si="959"/>
      </c>
      <c r="BX334" s="30">
        <f t="shared" si="959"/>
      </c>
      <c r="BY334" s="30">
        <f t="shared" si="959"/>
      </c>
      <c r="BZ334" s="30">
        <f>IF(BU329="NM","NM",IF(BZ329="NM","NM",IF(BU329&lt;=0,"NM",IF(BZ329=0,"NM",IF(ABS(BZ329/BU329-1)&gt;2.5,"NM",IF((ABS(BZ329-BU329)=ABS(ABS(BZ329)-ABS(BU329))),(BZ329/BU329-1),"NM"))))))</f>
      </c>
      <c r="CA334" s="308">
        <f>CA329/BV329-1</f>
      </c>
      <c r="CB334" s="30">
        <f t="shared" si="960"/>
      </c>
      <c r="CC334" s="30">
        <f t="shared" si="960"/>
      </c>
      <c r="CD334" s="30">
        <f t="shared" si="960"/>
      </c>
      <c r="CE334" s="30">
        <f>IF(BZ329="NM","NM",IF(CE329="NM","NM",IF(BZ329&lt;=0,"NM",IF(CE329=0,"NM",IF(ABS(CE329/BZ329-1)&gt;2.5,"NM",IF((ABS(CE329-BZ329)=ABS(ABS(CE329)-ABS(BZ329))),(CE329/BZ329-1),"NM"))))))</f>
      </c>
      <c r="CF334" s="308">
        <f>CF329/CA329-1</f>
      </c>
      <c r="CG334" s="30">
        <f t="shared" si="961"/>
      </c>
      <c r="CH334" s="30">
        <f t="shared" si="961"/>
      </c>
      <c r="CI334" s="30">
        <f t="shared" si="961"/>
      </c>
      <c r="CJ334" s="30">
        <f>IF(CE329="NM","NM",IF(CJ329="NM","NM",IF(CE329&lt;=0,"NM",IF(CJ329=0,"NM",IF(ABS(CJ329/CE329-1)&gt;2.5,"NM",IF((ABS(CJ329-CE329)=ABS(ABS(CJ329)-ABS(CE329))),(CJ329/CE329-1),"NM"))))))</f>
      </c>
      <c r="CK334" s="308">
        <f>IF(CF329=0, "NA", CK329/CF329-1)</f>
      </c>
      <c r="CL334" s="30">
        <f t="shared" si="962"/>
      </c>
      <c r="CM334" s="30">
        <f t="shared" si="962"/>
      </c>
      <c r="CN334" s="30">
        <f t="shared" si="962"/>
      </c>
      <c r="CO334" s="30">
        <f>IF(CJ329="NM","NM",IF(CO329="NM","NM",IF(CJ329&lt;=0,"NM",IF(CO329=0,"NM",IF(ABS(CO329/CJ329-1)&gt;2.5,"NM",IF((ABS(CO329-CJ329)=ABS(ABS(CO329)-ABS(CJ329))),(CO329/CJ329-1),"NM"))))))</f>
      </c>
      <c r="CP334" s="308">
        <f>IF(CK329=0, "NA", CP329/CK329-1)</f>
      </c>
      <c r="CQ334" s="30">
        <f t="shared" si="963"/>
      </c>
      <c r="CR334" s="30">
        <f t="shared" si="963"/>
      </c>
      <c r="CS334" s="30">
        <f t="shared" si="963"/>
      </c>
      <c r="CT334" s="30">
        <f t="shared" si="963"/>
      </c>
      <c r="CU334" s="308">
        <f>IF(CP329=0, "NA", CU329/CP329-1)</f>
      </c>
      <c r="CV334" s="30">
        <f t="shared" si="963"/>
      </c>
      <c r="CW334" s="30">
        <f t="shared" si="963"/>
      </c>
      <c r="CX334" s="30">
        <f t="shared" si="963"/>
      </c>
      <c r="CY334" s="30">
        <f>IF(CT329="NM","NM",IF(CY329="NM","NM",IF(CT329&lt;=0,"NM",IF(CY329=0,"NM",IF(ABS(CY329/CT329-1)&gt;2.5,"NM",IF((ABS(CY329-CT329)=ABS(ABS(CY329)-ABS(CT329))),(CY329/CT329-1),"NM"))))))</f>
      </c>
      <c r="CZ334" s="308">
        <f>IF(CU329=0, "NA", CZ329/CU329-1)</f>
      </c>
      <c r="DA334" s="30">
        <f t="shared" si="964"/>
      </c>
      <c r="DB334" s="1361">
        <f t="shared" si="964"/>
      </c>
      <c r="DC334" s="1361">
        <f t="shared" si="964"/>
      </c>
      <c r="DD334" s="1534">
        <f>IF(DD329=0, "NM", DD329/CY329-1)</f>
      </c>
      <c r="DE334" s="1233">
        <f>IF(CZ329=0, "NA", DE329/CZ329-1)</f>
      </c>
      <c r="DF334" s="1219">
        <f>DF335+DF$21</f>
      </c>
      <c r="DG334" s="1361">
        <f>IF(DB329="NM","NM",IF(DG329="NM","NM",IF(DB329&lt;=0,"NM",IF(DG329=0,"NM",IF(ABS(DG329/DB329-1)&gt;2.5,"NM",IF((ABS(DG329-DB329)=ABS(ABS(DG329)-ABS(DB329))),(DG329/DB329-1),"NM"))))))</f>
      </c>
      <c r="DH334" s="1361">
        <f>IF(DC329="NM","NM",IF(DH329="NM","NM",IF(DC329&lt;=0,"NM",IF(DH329=0,"NM",IF(ABS(DH329/DC329-1)&gt;2.5,"NM",IF((ABS(DH329-DC329)=ABS(ABS(DH329)-ABS(DC329))),(DH329/DC329-1),"NM"))))))</f>
      </c>
      <c r="DI334" s="1235">
        <f>IF(DI329=0, "NM", DI329/DD329-1)</f>
      </c>
      <c r="DJ334" s="1233">
        <f>IF(DE329=0, "NA", DJ329/DE329-1)</f>
      </c>
      <c r="DK334" s="1219">
        <f>DK335+DK$21</f>
      </c>
      <c r="DL334" s="926">
        <f>DL335+DL$21</f>
      </c>
      <c r="DM334" s="926">
        <f>DM335+DM$21</f>
      </c>
      <c r="DN334" s="928">
        <f>IF(DN329=0, "NM", DN329/DI329-1)</f>
      </c>
      <c r="DO334" s="1233">
        <f>IF(DJ329=0, "NA", DO329/DJ329-1)</f>
      </c>
      <c r="DP334" s="30">
        <f>IF(DK329="NM","NM",IF(DP329="NM","NM",IF(DK329&lt;=0,"NM",IF(DP329=0,"NM",IF(ABS(DP329/DK329-1)&gt;2.5,"NM",IF((ABS(DP329-DK329)=ABS(ABS(DP329)-ABS(DK329))),(DP329/DK329-1),"NM"))))))</f>
      </c>
      <c r="DQ334" s="926">
        <f>IF(DL329="NM","NM",IF(DQ329="NM","NM",IF(DL329&lt;=0,"NM",IF(DQ329=0,"NM",IF(ABS(DQ329/DL329-1)&gt;2.5,"NM",IF((ABS(DQ329-DL329)=ABS(ABS(DQ329)-ABS(DL329))),(DQ329/DL329-1),"NM"))))))</f>
      </c>
      <c r="DR334" s="926">
        <f>IF(DM329="NM","NM",IF(DR329="NM","NM",IF(DM329&lt;=0,"NM",IF(DR329=0,"NM",IF(ABS(DR329/DM329-1)&gt;2.5,"NM",IF((ABS(DR329-DM329)=ABS(ABS(DR329)-ABS(DM329))),(DR329/DM329-1),"NM"))))))</f>
      </c>
      <c r="DS334" s="928">
        <f>IF(DN329="NM","NM",IF(DS329="NM","NM",IF(DN329&lt;=0,"NM",IF(DS329=0,"NM",IF(ABS(DS329/DN329-1)&gt;2.5,"NM",IF((ABS(DS329-DN329)=ABS(ABS(DS329)-ABS(DN329))),(DS329/DN329-1),"NM"))))))</f>
      </c>
      <c r="DT334" s="1233">
        <f>IF(DO329=0, "NA", DT329/DO329-1)</f>
      </c>
      <c r="DU334" s="958">
        <f>DU335+DU$21</f>
      </c>
      <c r="DV334" s="926">
        <f>DV335+DV$21</f>
      </c>
      <c r="DW334" s="926">
        <f>DW335+DW$21</f>
      </c>
      <c r="DX334" s="928">
        <f>IF(DX329=0, "NM", DX329/DS329-1)</f>
      </c>
      <c r="DY334" s="308">
        <f>DY335+DY$21</f>
      </c>
      <c r="DZ334" s="926">
        <f>DZ335+DZ$21</f>
      </c>
      <c r="EA334" s="926">
        <f>EA335+EA$21</f>
      </c>
      <c r="EB334" s="926">
        <f>EB335+EB$21</f>
      </c>
      <c r="EC334" s="928">
        <f>IF(EC329=0, "NM", EC329/DX329-1)</f>
      </c>
      <c r="ED334" s="1060">
        <f>ED335+ED$21</f>
      </c>
      <c r="EE334" s="926">
        <f>EE335+EE$21</f>
      </c>
      <c r="EF334" s="926">
        <f>EF335+EF$21</f>
      </c>
      <c r="EG334" s="926">
        <f>EG335+EG$21</f>
      </c>
      <c r="EH334" s="928">
        <f>IF(EH329=0, "NM", EH329/EC329-1)</f>
      </c>
      <c r="EI334" s="308">
        <f>EI335+EI$21</f>
      </c>
      <c r="EJ334" s="308">
        <f>EJ335+EJ$21</f>
      </c>
      <c r="EK334" s="308"/>
      <c r="EL334" s="308"/>
      <c r="EM334" s="308"/>
      <c r="EN334" s="308"/>
      <c r="EO334" s="308"/>
      <c r="EP334" s="308"/>
      <c r="EQ334" s="308"/>
      <c r="ER334" s="308"/>
      <c r="ES334" s="308"/>
      <c r="ET334" s="308"/>
      <c r="EU334" s="308"/>
      <c r="EV334" s="308"/>
      <c r="EW334" s="308"/>
      <c r="EX334" s="308"/>
    </row>
    <row r="335" spans="1:154" s="221" customFormat="1" ht="12.75" hidden="1" customHeight="1">
      <c r="A335" s="3280"/>
      <c r="B335" s="2659" t="s">
        <v>212</v>
      </c>
      <c r="C335" s="2006"/>
      <c r="D335" s="8"/>
      <c r="E335" s="8"/>
      <c r="F335" s="8"/>
      <c r="G335" s="8"/>
      <c r="H335" s="8"/>
      <c r="I335" s="43"/>
      <c r="J335" s="8"/>
      <c r="K335" s="8"/>
      <c r="L335" s="8"/>
      <c r="M335" s="8"/>
      <c r="N335" s="43"/>
      <c r="O335" s="43"/>
      <c r="P335" s="43"/>
      <c r="Q335" s="43"/>
      <c r="R335" s="43"/>
      <c r="S335" s="43"/>
      <c r="T335" s="43"/>
      <c r="U335" s="43"/>
      <c r="V335" s="43"/>
      <c r="W335" s="43"/>
      <c r="X335" s="308"/>
      <c r="Y335" s="43"/>
      <c r="Z335" s="43"/>
      <c r="AA335" s="43"/>
      <c r="AB335" s="43"/>
      <c r="AC335" s="308"/>
      <c r="AD335" s="43"/>
      <c r="AE335" s="43"/>
      <c r="AF335" s="43"/>
      <c r="AG335" s="43"/>
      <c r="AH335" s="308"/>
      <c r="AI335" s="8"/>
      <c r="AJ335" s="8"/>
      <c r="AK335" s="8"/>
      <c r="AL335" s="43"/>
      <c r="AM335" s="308"/>
      <c r="AN335" s="8"/>
      <c r="AO335" s="8"/>
      <c r="AP335" s="8"/>
      <c r="AQ335" s="43"/>
      <c r="AR335" s="308"/>
      <c r="AS335" s="8"/>
      <c r="AT335" s="8"/>
      <c r="AU335" s="8"/>
      <c r="AV335" s="43"/>
      <c r="AW335" s="308" t="str">
        <f t="shared" ref="AW335:BM335" si="965">IF(ISNUMBER(AW334),(1+AW334)/(1+AW$21)-1,"NM")</f>
      </c>
      <c r="AX335" s="30">
        <f t="shared" si="965"/>
      </c>
      <c r="AY335" s="30">
        <f t="shared" si="965"/>
      </c>
      <c r="AZ335" s="30">
        <f t="shared" si="965"/>
      </c>
      <c r="BA335" s="30">
        <f t="shared" si="965"/>
      </c>
      <c r="BB335" s="308">
        <f t="shared" si="965"/>
      </c>
      <c r="BC335" s="30">
        <f t="shared" si="965"/>
      </c>
      <c r="BD335" s="30">
        <f t="shared" si="965"/>
      </c>
      <c r="BE335" s="30">
        <f t="shared" si="965"/>
      </c>
      <c r="BF335" s="30">
        <f t="shared" si="965"/>
      </c>
      <c r="BG335" s="308">
        <f t="shared" si="965"/>
      </c>
      <c r="BH335" s="30">
        <f t="shared" si="965"/>
      </c>
      <c r="BI335" s="30">
        <f t="shared" si="965"/>
      </c>
      <c r="BJ335" s="30">
        <f t="shared" si="965"/>
      </c>
      <c r="BK335" s="30">
        <f t="shared" si="965"/>
      </c>
      <c r="BL335" s="308">
        <f t="shared" si="965"/>
      </c>
      <c r="BM335" s="30">
        <f t="shared" si="965"/>
      </c>
      <c r="BN335" s="30">
        <v>8.6999999999999994E-2</v>
      </c>
      <c r="BO335" s="30">
        <v>-4.8000000000000001E-2</v>
      </c>
      <c r="BP335" s="30">
        <v>-1.2999999999999999E-2</v>
      </c>
      <c r="BQ335" s="448">
        <v>2.7E-2</v>
      </c>
      <c r="BR335" s="649">
        <v>-0.11799999999999999</v>
      </c>
      <c r="BS335" s="649">
        <v>-9.2999999999999999E-2</v>
      </c>
      <c r="BT335" s="649">
        <v>-7.1999999999999995E-2</v>
      </c>
      <c r="BU335" s="649">
        <v>-5.8000000000000003E-2</v>
      </c>
      <c r="BV335" s="448">
        <v>-8.5999999999999993E-2</v>
      </c>
      <c r="BW335" s="649">
        <v>-0.06</v>
      </c>
      <c r="BX335" s="649">
        <v>-3.6999999999999998E-2</v>
      </c>
      <c r="BY335" s="649">
        <v>-8.6999999999999994E-2</v>
      </c>
      <c r="BZ335" s="29">
        <v>-0.16</v>
      </c>
      <c r="CA335" s="406">
        <v>-8.6999999999999994E-2</v>
      </c>
      <c r="CB335" s="29">
        <v>-9.0999999999999998E-2</v>
      </c>
      <c r="CC335" s="649">
        <v>-0.17699999999999999</v>
      </c>
      <c r="CD335" s="649">
        <v>-0.156</v>
      </c>
      <c r="CE335" s="29">
        <v>-5.0000000000000001E-3</v>
      </c>
      <c r="CF335" s="406">
        <v>-0.109</v>
      </c>
      <c r="CG335" s="29">
        <v>-0.13</v>
      </c>
      <c r="CH335" s="29">
        <v>-6.5000000000000002E-2</v>
      </c>
      <c r="CI335" s="29">
        <v>-0.106</v>
      </c>
      <c r="CJ335" s="29">
        <v>-0.21199999999999999</v>
      </c>
      <c r="CK335" s="309">
        <f>CK334-CK$21</f>
      </c>
      <c r="CL335" s="29">
        <v>-4.9000000000000002E-2</v>
      </c>
      <c r="CM335" s="29">
        <v>-0.11899999999999999</v>
      </c>
      <c r="CN335" s="29">
        <v>-3.9E-2</v>
      </c>
      <c r="CO335" s="29">
        <v>-8.5999999999999993E-2</v>
      </c>
      <c r="CP335" s="309">
        <f>CP334-CP$21</f>
      </c>
      <c r="CQ335" s="29">
        <v>-0.157</v>
      </c>
      <c r="CR335" s="29">
        <v>-0.108</v>
      </c>
      <c r="CS335" s="29">
        <v>-0.18</v>
      </c>
      <c r="CT335" s="29">
        <v>-0.115</v>
      </c>
      <c r="CU335" s="309">
        <f>CU334-CU$21</f>
      </c>
      <c r="CV335" s="29">
        <v>-7.0999999999999994E-2</v>
      </c>
      <c r="CW335" s="29">
        <v>-0.10299999999999999</v>
      </c>
      <c r="CX335" s="29">
        <v>-0.04</v>
      </c>
      <c r="CY335" s="29">
        <v>-3.5999999999999997E-2</v>
      </c>
      <c r="CZ335" s="309">
        <f>CZ334-CZ$21</f>
      </c>
      <c r="DA335" s="29">
        <v>-7.0999999999999994E-2</v>
      </c>
      <c r="DB335" s="1109">
        <v>-1E-3</v>
      </c>
      <c r="DC335" s="1208">
        <v>-7.4999999999999997E-2</v>
      </c>
      <c r="DD335" s="1525">
        <v>-0.17</v>
      </c>
      <c r="DE335" s="1233">
        <f>DE334-DE$21</f>
      </c>
      <c r="DF335" s="1208">
        <v>-0.15</v>
      </c>
      <c r="DG335" s="1208">
        <v>-0.15</v>
      </c>
      <c r="DH335" s="1208">
        <v>-0.15</v>
      </c>
      <c r="DI335" s="1235"/>
      <c r="DJ335" s="1233">
        <f>DJ334-DJ$21</f>
      </c>
      <c r="DK335" s="1208">
        <v>-0.17</v>
      </c>
      <c r="DL335" s="29">
        <v>-0.17</v>
      </c>
      <c r="DM335" s="29">
        <v>-0.15</v>
      </c>
      <c r="DN335" s="928">
        <f>IF(DN329=0, "NM",DN334-DN$21)</f>
      </c>
      <c r="DO335" s="1233">
        <f t="shared" ref="DO335:DT335" si="966">DO334-DO$21</f>
      </c>
      <c r="DP335" s="926">
        <f t="shared" si="966"/>
      </c>
      <c r="DQ335" s="410">
        <f t="shared" si="966"/>
      </c>
      <c r="DR335" s="410">
        <f t="shared" si="966"/>
      </c>
      <c r="DS335" s="875">
        <f t="shared" si="966"/>
      </c>
      <c r="DT335" s="1233">
        <f t="shared" si="966"/>
      </c>
      <c r="DU335" s="2215">
        <v>-0.2</v>
      </c>
      <c r="DV335" s="2216">
        <v>-0.2</v>
      </c>
      <c r="DW335" s="2216">
        <v>-0.2</v>
      </c>
      <c r="DX335" s="1063">
        <f>IF(DX329=0, "NM",DX334-DX$21)</f>
      </c>
      <c r="DY335" s="660">
        <v>-0.2</v>
      </c>
      <c r="DZ335" s="2216">
        <v>-0.2</v>
      </c>
      <c r="EA335" s="2216">
        <v>-0.25</v>
      </c>
      <c r="EB335" s="2216">
        <v>-0.3</v>
      </c>
      <c r="EC335" s="1063">
        <f>IF(EC329=0, "NM",EC334-EC$21)</f>
      </c>
      <c r="ED335" s="660">
        <v>-0.3</v>
      </c>
      <c r="EE335" s="2216">
        <v>-0.2</v>
      </c>
      <c r="EF335" s="2216">
        <v>-0.25</v>
      </c>
      <c r="EG335" s="2216">
        <v>-0.3</v>
      </c>
      <c r="EH335" s="1063">
        <f>IF(EH329=0, "NM",EH334-EH$21)</f>
      </c>
      <c r="EI335" s="660">
        <v>-0.3</v>
      </c>
      <c r="EJ335" s="660">
        <v>-1</v>
      </c>
      <c r="EK335" s="673"/>
      <c r="EL335" s="673"/>
      <c r="EM335" s="673"/>
      <c r="EN335" s="673"/>
      <c r="EO335" s="597"/>
      <c r="EP335" s="597"/>
      <c r="EQ335" s="597"/>
      <c r="ER335" s="597"/>
      <c r="ES335" s="597"/>
      <c r="ET335" s="597"/>
      <c r="EU335" s="597"/>
      <c r="EV335" s="597"/>
      <c r="EW335" s="597"/>
      <c r="EX335" s="597"/>
    </row>
    <row r="336" spans="1:154" ht="12.75" hidden="1" customHeight="1">
      <c r="B336" s="440" t="s">
        <v>418</v>
      </c>
      <c r="C336" s="1989"/>
      <c r="D336" s="28"/>
      <c r="E336" s="28"/>
      <c r="F336" s="28"/>
      <c r="G336" s="28"/>
      <c r="H336" s="28"/>
      <c r="I336" s="31"/>
      <c r="J336" s="28"/>
      <c r="K336" s="28"/>
      <c r="L336" s="28"/>
      <c r="M336" s="28"/>
      <c r="N336" s="31"/>
      <c r="O336" s="31"/>
      <c r="P336" s="31"/>
      <c r="Q336" s="31"/>
      <c r="R336" s="31"/>
      <c r="S336" s="31"/>
      <c r="T336" s="31"/>
      <c r="U336" s="31"/>
      <c r="V336" s="31"/>
      <c r="W336" s="31"/>
      <c r="X336" s="308"/>
      <c r="Y336" s="30"/>
      <c r="Z336" s="30"/>
      <c r="AA336" s="30"/>
      <c r="AB336" s="30"/>
      <c r="AC336" s="308"/>
      <c r="AD336" s="30"/>
      <c r="AE336" s="30"/>
      <c r="AF336" s="30"/>
      <c r="AG336" s="30"/>
      <c r="AH336" s="308"/>
      <c r="AI336" s="30"/>
      <c r="AJ336" s="30"/>
      <c r="AK336" s="30"/>
      <c r="AL336" s="30"/>
      <c r="AM336" s="308"/>
      <c r="AN336" s="30"/>
      <c r="AO336" s="30"/>
      <c r="AP336" s="30"/>
      <c r="AQ336" s="30"/>
      <c r="AR336" s="308"/>
      <c r="AS336" s="30"/>
      <c r="AT336" s="30"/>
      <c r="AU336" s="30"/>
      <c r="AV336" s="30"/>
      <c r="AW336" s="308" t="str">
        <f t="shared" ref="AW336:CA336" si="967">IF(AR330="NM","NM",IF(AW330="NM","NM",IF(AR330&lt;=0,"NM",IF(AW330=0,"NM",IF(ABS(AW330/AR330-1)&gt;2.5,"NM",IF((ABS(AW330-AR330)=ABS(ABS(AW330)-ABS(AR330))),(AW330/AR330-1),"NM"))))))</f>
      </c>
      <c r="AX336" s="30">
        <f t="shared" si="967"/>
      </c>
      <c r="AY336" s="30">
        <f t="shared" si="967"/>
      </c>
      <c r="AZ336" s="30">
        <f t="shared" si="967"/>
      </c>
      <c r="BA336" s="30">
        <f t="shared" si="967"/>
      </c>
      <c r="BB336" s="308">
        <f t="shared" si="967"/>
      </c>
      <c r="BC336" s="30">
        <f t="shared" si="967"/>
      </c>
      <c r="BD336" s="30">
        <f t="shared" si="967"/>
      </c>
      <c r="BE336" s="30">
        <f t="shared" si="967"/>
      </c>
      <c r="BF336" s="30">
        <f t="shared" si="967"/>
      </c>
      <c r="BG336" s="308">
        <f t="shared" si="967"/>
      </c>
      <c r="BH336" s="30">
        <f t="shared" si="967"/>
      </c>
      <c r="BI336" s="30">
        <f t="shared" si="967"/>
      </c>
      <c r="BJ336" s="30">
        <f t="shared" si="967"/>
      </c>
      <c r="BK336" s="30">
        <f t="shared" si="967"/>
      </c>
      <c r="BL336" s="308">
        <f t="shared" si="967"/>
      </c>
      <c r="BM336" s="30">
        <f t="shared" si="967"/>
      </c>
      <c r="BN336" s="30">
        <f t="shared" si="967"/>
      </c>
      <c r="BO336" s="30">
        <f t="shared" si="967"/>
      </c>
      <c r="BP336" s="30">
        <f t="shared" si="967"/>
      </c>
      <c r="BQ336" s="308">
        <f t="shared" si="967"/>
      </c>
      <c r="BR336" s="30">
        <f t="shared" si="967"/>
      </c>
      <c r="BS336" s="30">
        <f t="shared" si="967"/>
      </c>
      <c r="BT336" s="30">
        <f t="shared" si="967"/>
      </c>
      <c r="BU336" s="30">
        <f t="shared" si="967"/>
      </c>
      <c r="BV336" s="308">
        <f t="shared" si="967"/>
      </c>
      <c r="BW336" s="30">
        <f t="shared" si="967"/>
      </c>
      <c r="BX336" s="30">
        <f t="shared" si="967"/>
      </c>
      <c r="BY336" s="30">
        <f t="shared" si="967"/>
      </c>
      <c r="BZ336" s="30">
        <f t="shared" si="967"/>
      </c>
      <c r="CA336" s="308">
        <f t="shared" si="967"/>
      </c>
      <c r="CB336" s="30">
        <f t="shared" ref="CB336:CX336" si="968">IF(BW330="NM","NM",IF(CB330="NM","NM",IF(BW330&lt;=0,"NM",IF(CB330=0,"NM",IF(ABS(CB330/BW330-1)&gt;2.5,"NM",IF((ABS(CB330-BW330)=ABS(ABS(CB330)-ABS(BW330))),(CB330/BW330-1),"NM"))))))</f>
      </c>
      <c r="CC336" s="30">
        <f t="shared" si="968"/>
      </c>
      <c r="CD336" s="30">
        <f>IF(BY330="NM","NM",IF(CD330="NM","NM",IF(BY330&lt;=0,"NM",IF(CD330=0,"NM",IF(ABS(CD330/BY330-1)&gt;2.5,"NM",IF((ABS(CD330-BY330)=ABS(ABS(CD330)-ABS(BY330))),(CD330/BY330-1),"NM"))))))</f>
      </c>
      <c r="CE336" s="30">
        <f>IF(BZ330="NM","NM",IF(CE330="NM","NM",IF(BZ330&lt;=0,"NM",IF(CE330=0,"NM",IF(ABS(CE330/BZ330-1)&gt;2.5,"NM",IF((ABS(CE330-BZ330)=ABS(ABS(CE330)-ABS(BZ330))),(CE330/BZ330-1),"NM"))))))</f>
      </c>
      <c r="CF336" s="308">
        <f>IF(CA330="NM","NM",IF(CF330="NM","NM",IF(CA330&lt;=0,"NM",IF(CF330=0,"NM",IF(ABS(CF330/CA330-1)&gt;2.5,"NM",IF((ABS(CF330-CA330)=ABS(ABS(CF330)-ABS(CA330))),(CF330/CA330-1),"NM"))))))</f>
      </c>
      <c r="CG336" s="30">
        <f t="shared" si="968"/>
      </c>
      <c r="CH336" s="30">
        <f t="shared" si="968"/>
      </c>
      <c r="CI336" s="30">
        <f>IF(CD330="NM","NM",IF(CI330="NM","NM",IF(CD330&lt;=0,"NM",IF(CI330=0,"NM",IF(ABS(CI330/CD330-1)&gt;2.5,"NM",IF((ABS(CI330-CD330)=ABS(ABS(CI330)-ABS(CD330))),(CI330/CD330-1),"NM"))))))</f>
      </c>
      <c r="CJ336" s="30">
        <f>IF(CE330="NM","NM",IF(CJ330="NM","NM",IF(CE330&lt;=0,"NM",IF(CJ330=0,"NM",IF(ABS(CJ330/CE330-1)&gt;2.5,"NM",IF((ABS(CJ330-CE330)=ABS(ABS(CJ330)-ABS(CE330))),(CJ330/CE330-1),"NM"))))))</f>
      </c>
      <c r="CK336" s="308">
        <f>IF(CF330=0, "NA", CK330/CF330-1)</f>
      </c>
      <c r="CL336" s="30">
        <f t="shared" si="968"/>
      </c>
      <c r="CM336" s="30">
        <f t="shared" si="968"/>
      </c>
      <c r="CN336" s="30">
        <f>IF(CI330="NM","NM",IF(CN330="NM","NM",IF(CI330&lt;=0,"NM",IF(CN330=0,"NM",IF(ABS(CN330/CI330-1)&gt;2.5,"NM",IF((ABS(CN330-CI330)=ABS(ABS(CN330)-ABS(CI330))),(CN330/CI330-1),"NM"))))))</f>
      </c>
      <c r="CO336" s="30">
        <f>IF(CJ330="NM","NM",IF(CO330="NM","NM",IF(CJ330&lt;=0,"NM",IF(CO330=0,"NM",IF(ABS(CO330/CJ330-1)&gt;2.5,"NM",IF((ABS(CO330-CJ330)=ABS(ABS(CO330)-ABS(CJ330))),(CO330/CJ330-1),"NM"))))))</f>
      </c>
      <c r="CP336" s="308">
        <f>IF(CK330=0, "NA", CP330/CK330-1)</f>
      </c>
      <c r="CQ336" s="30">
        <f t="shared" si="968"/>
      </c>
      <c r="CR336" s="30">
        <f t="shared" si="968"/>
      </c>
      <c r="CS336" s="30">
        <f t="shared" si="968"/>
      </c>
      <c r="CT336" s="30">
        <f t="shared" si="968"/>
      </c>
      <c r="CU336" s="308">
        <f>IF(CP330=0, "NA", CU330/CP330-1)</f>
      </c>
      <c r="CV336" s="30">
        <f t="shared" si="968"/>
      </c>
      <c r="CW336" s="30">
        <f t="shared" si="968"/>
      </c>
      <c r="CX336" s="30">
        <f t="shared" si="968"/>
      </c>
      <c r="CY336" s="30">
        <f>IF(CT330="NM","NM",IF(CY330="NM","NM",IF(CT330&lt;=0,"NM",IF(CY330=0,"NM",IF(ABS(CY330/CT330-1)&gt;2.5,"NM",IF((ABS(CY330-CT330)=ABS(ABS(CY330)-ABS(CT330))),(CY330/CT330-1),"NM"))))))</f>
      </c>
      <c r="CZ336" s="308">
        <f>IF(CU330=0, "NA", CZ330/CU330-1)</f>
      </c>
      <c r="DA336" s="30">
        <f>IF(CV330="NM","NM",IF(DA330="NM","NM",IF(CV330&lt;=0,"NM",IF(DA330=0,"NM",IF(ABS(DA330/CV330-1)&gt;2.5,"NM",IF((ABS(DA330-CV330)=ABS(ABS(DA330)-ABS(CV330))),(DA330/CV330-1),"NM"))))))</f>
      </c>
      <c r="DB336" s="926">
        <f>IF(CW330=0, "NA", DB330/CW330-1)</f>
      </c>
      <c r="DC336" s="926">
        <f>IF(CX330=0, "NA", DC330/CX330-1)</f>
      </c>
      <c r="DD336" s="928">
        <f>IF(CY330=0, "NM", DD330/CY330-1)</f>
      </c>
      <c r="DE336" s="308">
        <f>IF(CZ330=0, "NA", DE330/CZ330-1)</f>
      </c>
      <c r="DF336" s="926">
        <f>IF(DA330=0, "NA", DF330/DA330-1)</f>
      </c>
      <c r="DG336" s="926">
        <f>IF(DB330=0, "NA", DG330/DB330-1)</f>
      </c>
      <c r="DH336" s="926">
        <f>IF(DC330=0, "NA", DH330/DC330-1)</f>
      </c>
      <c r="DI336" s="928">
        <f>IF(DD330=0, "NM", DI330/DD330-1)</f>
      </c>
      <c r="DJ336" s="308">
        <f>IF(DE330=0, "NA", DJ330/DE330-1)</f>
      </c>
      <c r="DK336" s="926">
        <f>IF(DF330=0, "NA", DK330/DF330-1)</f>
      </c>
      <c r="DL336" s="926">
        <f>IF(DG330=0, "NA", DL330/DG330-1)</f>
      </c>
      <c r="DM336" s="926">
        <f>IF(DH330=0, "NA", DM330/DH330-1)</f>
      </c>
      <c r="DN336" s="928">
        <f>IF(DI330=0, "NM", DN330/DI330-1)</f>
      </c>
      <c r="DO336" s="308">
        <f t="shared" ref="DO336:DW336" si="969">IF(DJ330=0, "NA", DO330/DJ330-1)</f>
      </c>
      <c r="DP336" s="958">
        <f t="shared" si="969"/>
      </c>
      <c r="DQ336" s="926">
        <f t="shared" si="969"/>
      </c>
      <c r="DR336" s="926">
        <f t="shared" si="969"/>
      </c>
      <c r="DS336" s="926">
        <f t="shared" si="969"/>
      </c>
      <c r="DT336" s="308">
        <f t="shared" si="969"/>
      </c>
      <c r="DU336" s="958">
        <f t="shared" si="969"/>
      </c>
      <c r="DV336" s="926">
        <f t="shared" si="969"/>
      </c>
      <c r="DW336" s="926">
        <f t="shared" si="969"/>
      </c>
      <c r="DX336" s="928">
        <f>IF(DS330=0, "NM", DX330/DS330-1)</f>
      </c>
      <c r="DY336" s="308">
        <f>IF(DT330=0, "NA", DY330/DT330-1)</f>
      </c>
      <c r="DZ336" s="926">
        <f>IF(DU330=0, "NA", DZ330/DU330-1)</f>
      </c>
      <c r="EA336" s="926">
        <f>IF(DV330=0, "NA", EA330/DV330-1)</f>
      </c>
      <c r="EB336" s="926">
        <f>IF(DW330=0, "NA", EB330/DW330-1)</f>
      </c>
      <c r="EC336" s="928">
        <f>IF(DX330=0, "NM", EC330/DX330-1)</f>
      </c>
      <c r="ED336" s="1060">
        <f>IF(DY330=0, "NA", ED330/DY330-1)</f>
      </c>
      <c r="EE336" s="926">
        <f>IF(DZ330=0, "NA", EE330/DZ330-1)</f>
      </c>
      <c r="EF336" s="926">
        <f>IF(EA330=0, "NA", EF330/EA330-1)</f>
      </c>
      <c r="EG336" s="926">
        <f>IF(EB330=0, "NA", EG330/EB330-1)</f>
      </c>
      <c r="EH336" s="928">
        <f>IF(EC330=0, "NM", EH330/EC330-1)</f>
      </c>
      <c r="EI336" s="308">
        <f>IF(ED330=0, "NA", EI330/ED330-1)</f>
      </c>
      <c r="EJ336" s="308">
        <f>IF(EI330=0, "NA", EJ330/EI330-1)</f>
      </c>
      <c r="EK336" s="308"/>
      <c r="EL336" s="308"/>
      <c r="EM336" s="308"/>
      <c r="EN336" s="308"/>
      <c r="EO336" s="308"/>
      <c r="EP336" s="308"/>
      <c r="EQ336" s="308"/>
      <c r="ER336" s="308"/>
      <c r="ES336" s="308"/>
      <c r="ET336" s="308"/>
      <c r="EU336" s="308"/>
      <c r="EV336" s="308"/>
      <c r="EW336" s="308"/>
      <c r="EX336" s="308"/>
    </row>
    <row r="337" spans="1:154" ht="12.75" customHeight="1" collapsed="1">
      <c r="B337" s="1171"/>
      <c r="C337" s="1989"/>
      <c r="D337" s="28"/>
      <c r="E337" s="28"/>
      <c r="F337" s="28"/>
      <c r="G337" s="28"/>
      <c r="H337" s="28"/>
      <c r="I337" s="31"/>
      <c r="J337" s="28"/>
      <c r="K337" s="28"/>
      <c r="L337" s="28"/>
      <c r="M337" s="28"/>
      <c r="N337" s="31"/>
      <c r="O337" s="31"/>
      <c r="P337" s="31"/>
      <c r="Q337" s="31"/>
      <c r="R337" s="31"/>
      <c r="S337" s="31"/>
      <c r="T337" s="31"/>
      <c r="U337" s="31"/>
      <c r="V337" s="31"/>
      <c r="W337" s="31"/>
      <c r="X337" s="313"/>
      <c r="Y337" s="31"/>
      <c r="Z337" s="31"/>
      <c r="AA337" s="31"/>
      <c r="AB337" s="31"/>
      <c r="AC337" s="313"/>
      <c r="AD337" s="31"/>
      <c r="AE337" s="31"/>
      <c r="AF337" s="31"/>
      <c r="AG337" s="33"/>
      <c r="AH337" s="313"/>
      <c r="AI337" s="33"/>
      <c r="AJ337" s="33"/>
      <c r="AK337" s="33"/>
      <c r="AL337" s="33"/>
      <c r="AM337" s="313"/>
      <c r="AN337" s="33"/>
      <c r="AO337" s="33"/>
      <c r="AP337" s="33"/>
      <c r="AQ337" s="33"/>
      <c r="AR337" s="313"/>
      <c r="AS337" s="28"/>
      <c r="AT337" s="28"/>
      <c r="AU337" s="28"/>
      <c r="AV337" s="31"/>
      <c r="AW337" s="313"/>
      <c r="AX337" s="28"/>
      <c r="AY337" s="28"/>
      <c r="AZ337" s="28"/>
      <c r="BA337" s="28"/>
      <c r="BB337" s="313"/>
      <c r="BC337" s="28"/>
      <c r="BD337" s="28"/>
      <c r="BE337" s="28"/>
      <c r="BF337" s="28"/>
      <c r="BG337" s="313"/>
      <c r="BH337" s="28"/>
      <c r="BI337" s="28"/>
      <c r="BJ337" s="28"/>
      <c r="BK337" s="28"/>
      <c r="BL337" s="313"/>
      <c r="BM337" s="28"/>
      <c r="BN337" s="28"/>
      <c r="BO337" s="28"/>
      <c r="BP337" s="28"/>
      <c r="BQ337" s="313"/>
      <c r="BR337" s="28"/>
      <c r="BS337" s="28"/>
      <c r="BT337" s="28"/>
      <c r="BU337" s="28"/>
      <c r="BV337" s="313"/>
      <c r="BW337" s="28"/>
      <c r="BX337" s="28"/>
      <c r="BY337" s="28"/>
      <c r="BZ337" s="28"/>
      <c r="CA337" s="313"/>
      <c r="CB337" s="28"/>
      <c r="CC337" s="28"/>
      <c r="CD337" s="28"/>
      <c r="CE337" s="28"/>
      <c r="CF337" s="313"/>
      <c r="CG337" s="28"/>
      <c r="CH337" s="28"/>
      <c r="CI337" s="28"/>
      <c r="CJ337" s="28"/>
      <c r="CK337" s="313"/>
      <c r="CL337" s="961"/>
      <c r="CM337" s="933"/>
      <c r="CN337" s="28"/>
      <c r="CO337" s="28"/>
      <c r="CP337" s="313"/>
      <c r="CQ337" s="933"/>
      <c r="CR337" s="933"/>
      <c r="CS337" s="933"/>
      <c r="CT337" s="933"/>
      <c r="CU337" s="313"/>
      <c r="CV337" s="933"/>
      <c r="CW337" s="933"/>
      <c r="CX337" s="933"/>
      <c r="CY337" s="933"/>
      <c r="CZ337" s="313"/>
      <c r="DA337" s="933"/>
      <c r="DB337" s="31"/>
      <c r="DC337" s="31"/>
      <c r="DD337" s="955"/>
      <c r="DE337" s="477"/>
      <c r="DF337" s="982"/>
      <c r="DG337" s="603"/>
      <c r="DH337" s="603"/>
      <c r="DI337" s="1798"/>
      <c r="DJ337" s="477"/>
      <c r="DK337" s="982"/>
      <c r="DL337" s="603"/>
      <c r="DM337" s="603"/>
      <c r="DN337" s="1798"/>
      <c r="DO337" s="477"/>
      <c r="DP337" s="603"/>
      <c r="DQ337" s="603"/>
      <c r="DR337" s="603"/>
      <c r="DS337" s="1798"/>
      <c r="DT337" s="477"/>
      <c r="DU337" s="603"/>
      <c r="DV337" s="603"/>
      <c r="DW337" s="603"/>
      <c r="DX337" s="1798"/>
      <c r="DY337" s="477"/>
      <c r="DZ337" s="603"/>
      <c r="EA337" s="603"/>
      <c r="EB337" s="603"/>
      <c r="EC337" s="1798"/>
      <c r="ED337" s="477"/>
      <c r="EE337" s="603"/>
      <c r="EF337" s="603"/>
      <c r="EG337" s="603"/>
      <c r="EH337" s="1798"/>
      <c r="EI337" s="477"/>
      <c r="EJ337" s="477"/>
      <c r="EK337" s="477"/>
      <c r="EL337" s="477"/>
      <c r="EM337" s="477"/>
      <c r="EN337" s="477"/>
      <c r="EO337" s="477"/>
      <c r="EP337" s="477"/>
      <c r="EQ337" s="477"/>
      <c r="ER337" s="477"/>
      <c r="ES337" s="477"/>
      <c r="ET337" s="477"/>
      <c r="EU337" s="477"/>
      <c r="EV337" s="477"/>
      <c r="EW337" s="477"/>
      <c r="EX337" s="477"/>
    </row>
    <row r="338" spans="1:154" ht="12.75" customHeight="1">
      <c r="B338" s="336" t="s">
        <v>927</v>
      </c>
      <c r="C338" s="1989"/>
      <c r="D338" s="28"/>
      <c r="E338" s="28"/>
      <c r="F338" s="28"/>
      <c r="G338" s="28"/>
      <c r="H338" s="28"/>
      <c r="I338" s="31"/>
      <c r="J338" s="28"/>
      <c r="K338" s="28"/>
      <c r="L338" s="28"/>
      <c r="M338" s="28"/>
      <c r="N338" s="31"/>
      <c r="O338" s="31"/>
      <c r="P338" s="31"/>
      <c r="Q338" s="31"/>
      <c r="R338" s="31"/>
      <c r="S338" s="31"/>
      <c r="T338" s="31"/>
      <c r="U338" s="31"/>
      <c r="V338" s="31"/>
      <c r="W338" s="31"/>
      <c r="X338" s="313"/>
      <c r="Y338" s="31"/>
      <c r="Z338" s="31"/>
      <c r="AA338" s="31"/>
      <c r="AB338" s="31"/>
      <c r="AC338" s="313"/>
      <c r="AD338" s="31"/>
      <c r="AE338" s="31"/>
      <c r="AF338" s="31"/>
      <c r="AG338" s="33"/>
      <c r="AH338" s="313"/>
      <c r="AI338" s="33"/>
      <c r="AJ338" s="33"/>
      <c r="AK338" s="33"/>
      <c r="AL338" s="33"/>
      <c r="AM338" s="313"/>
      <c r="AN338" s="33"/>
      <c r="AO338" s="33"/>
      <c r="AP338" s="33"/>
      <c r="AQ338" s="33"/>
      <c r="AR338" s="313"/>
      <c r="AS338" s="28"/>
      <c r="AT338" s="28"/>
      <c r="AU338" s="28"/>
      <c r="AV338" s="31"/>
      <c r="AW338" s="313"/>
      <c r="AX338" s="28"/>
      <c r="AY338" s="28"/>
      <c r="AZ338" s="28"/>
      <c r="BA338" s="28"/>
      <c r="BB338" s="313"/>
      <c r="BC338" s="28"/>
      <c r="BD338" s="28"/>
      <c r="BE338" s="28"/>
      <c r="BF338" s="28"/>
      <c r="BG338" s="313"/>
      <c r="BH338" s="28"/>
      <c r="BI338" s="28"/>
      <c r="BJ338" s="28"/>
      <c r="BK338" s="28"/>
      <c r="BL338" s="313"/>
      <c r="BM338" s="28"/>
      <c r="BN338" s="28"/>
      <c r="BO338" s="28"/>
      <c r="BP338" s="28"/>
      <c r="BQ338" s="313"/>
      <c r="BR338" s="28"/>
      <c r="BS338" s="28"/>
      <c r="BT338" s="28"/>
      <c r="BU338" s="28"/>
      <c r="BV338" s="313"/>
      <c r="BW338" s="28"/>
      <c r="BX338" s="28"/>
      <c r="BY338" s="28"/>
      <c r="BZ338" s="28"/>
      <c r="CA338" s="313"/>
      <c r="CB338" s="28"/>
      <c r="CC338" s="28"/>
      <c r="CD338" s="28"/>
      <c r="CE338" s="28"/>
      <c r="CF338" s="313"/>
      <c r="CG338" s="28"/>
      <c r="CH338" s="28"/>
      <c r="CI338" s="28"/>
      <c r="CJ338" s="28"/>
      <c r="CK338" s="313"/>
      <c r="CL338" s="961"/>
      <c r="CM338" s="933"/>
      <c r="CN338" s="933"/>
      <c r="CO338" s="28"/>
      <c r="CP338" s="313"/>
      <c r="CQ338" s="933"/>
      <c r="CR338" s="933"/>
      <c r="CS338" s="933"/>
      <c r="CT338" s="933"/>
      <c r="CU338" s="313"/>
      <c r="CV338" s="933"/>
      <c r="CW338" s="933"/>
      <c r="CX338" s="933"/>
      <c r="CY338" s="933"/>
      <c r="CZ338" s="313"/>
      <c r="DA338" s="933"/>
      <c r="DB338" s="31"/>
      <c r="DC338" s="31"/>
      <c r="DD338" s="955"/>
      <c r="DE338" s="477"/>
      <c r="DF338" s="982"/>
      <c r="DG338" s="603"/>
      <c r="DH338" s="603"/>
      <c r="DI338" s="1798"/>
      <c r="DJ338" s="477"/>
      <c r="DK338" s="1842"/>
      <c r="DL338" s="603"/>
      <c r="DM338" s="603"/>
      <c r="DN338" s="1798"/>
      <c r="DO338" s="2067"/>
      <c r="DP338" s="1822"/>
      <c r="DQ338" s="1822"/>
      <c r="DR338" s="1822"/>
      <c r="DS338" s="1837"/>
      <c r="DT338" s="477"/>
      <c r="DU338" s="1822"/>
      <c r="DV338" s="1822"/>
      <c r="DW338" s="1822"/>
      <c r="DX338" s="1837"/>
      <c r="DY338" s="477"/>
      <c r="DZ338" s="1822"/>
      <c r="EA338" s="1822"/>
      <c r="EB338" s="1822"/>
      <c r="EC338" s="1837"/>
      <c r="ED338" s="477"/>
      <c r="EE338" s="1822"/>
      <c r="EF338" s="1822"/>
      <c r="EG338" s="1822"/>
      <c r="EH338" s="1837"/>
      <c r="EI338" s="477"/>
      <c r="EJ338" s="477"/>
      <c r="EK338" s="477"/>
      <c r="EL338" s="477"/>
      <c r="EM338" s="477"/>
      <c r="EN338" s="477"/>
      <c r="EO338" s="477"/>
      <c r="EP338" s="477"/>
      <c r="EQ338" s="477"/>
      <c r="ER338" s="477"/>
      <c r="ES338" s="477"/>
      <c r="ET338" s="477"/>
      <c r="EU338" s="477"/>
      <c r="EV338" s="477"/>
      <c r="EW338" s="477"/>
      <c r="EX338" s="477"/>
    </row>
    <row r="339" spans="1:154" ht="12.75" customHeight="1">
      <c r="A339" s="3275" t="str">
        <f>A341&amp;" - US"</f>
      </c>
      <c r="B339" s="340" t="s">
        <v>921</v>
      </c>
      <c r="C339" s="2001" t="s">
        <v>738</v>
      </c>
      <c r="D339" s="28"/>
      <c r="E339" s="28"/>
      <c r="F339" s="28"/>
      <c r="G339" s="28"/>
      <c r="H339" s="28"/>
      <c r="I339" s="31"/>
      <c r="J339" s="28"/>
      <c r="K339" s="28"/>
      <c r="L339" s="28"/>
      <c r="M339" s="28"/>
      <c r="N339" s="31"/>
      <c r="O339" s="31"/>
      <c r="P339" s="31"/>
      <c r="Q339" s="31"/>
      <c r="R339" s="31"/>
      <c r="S339" s="31"/>
      <c r="T339" s="31"/>
      <c r="U339" s="31"/>
      <c r="V339" s="31"/>
      <c r="W339" s="31"/>
      <c r="X339" s="313"/>
      <c r="Y339" s="31"/>
      <c r="Z339" s="31"/>
      <c r="AA339" s="31"/>
      <c r="AB339" s="31"/>
      <c r="AC339" s="313"/>
      <c r="AD339" s="31"/>
      <c r="AE339" s="31"/>
      <c r="AF339" s="31"/>
      <c r="AG339" s="33"/>
      <c r="AH339" s="313"/>
      <c r="AI339" s="33"/>
      <c r="AJ339" s="33"/>
      <c r="AK339" s="33"/>
      <c r="AL339" s="33"/>
      <c r="AM339" s="313"/>
      <c r="AN339" s="33"/>
      <c r="AO339" s="33"/>
      <c r="AP339" s="33"/>
      <c r="AQ339" s="33"/>
      <c r="AR339" s="313"/>
      <c r="AS339" s="28"/>
      <c r="AT339" s="28"/>
      <c r="AU339" s="28"/>
      <c r="AV339" s="31"/>
      <c r="AW339" s="313"/>
      <c r="AX339" s="28"/>
      <c r="AY339" s="28"/>
      <c r="AZ339" s="28"/>
      <c r="BA339" s="28"/>
      <c r="BB339" s="313"/>
      <c r="BC339" s="31">
        <v>0</v>
      </c>
      <c r="BD339" s="31">
        <v>0</v>
      </c>
      <c r="BE339" s="31">
        <v>5</v>
      </c>
      <c r="BF339" s="31">
        <v>51.100000000000009</v>
      </c>
      <c r="BG339" s="313">
        <f>SUM(BC339:BF339)</f>
      </c>
      <c r="BH339" s="31">
        <v>51.000000000000007</v>
      </c>
      <c r="BI339" s="31">
        <v>59.500000000000007</v>
      </c>
      <c r="BJ339" s="33">
        <v>68</v>
      </c>
      <c r="BK339" s="33">
        <v>76.500000000000028</v>
      </c>
      <c r="BL339" s="313">
        <f>SUM(BH339:BK339)</f>
      </c>
      <c r="BM339" s="352">
        <v>65</v>
      </c>
      <c r="BN339" s="33">
        <v>70</v>
      </c>
      <c r="BO339" s="33">
        <f>BJ339*1.25</f>
      </c>
      <c r="BP339" s="352">
        <v>99</v>
      </c>
      <c r="BQ339" s="313">
        <f>SUM(BM339:BP339)</f>
      </c>
      <c r="BR339" s="352">
        <v>100</v>
      </c>
      <c r="BS339" s="352">
        <v>120</v>
      </c>
      <c r="BT339" s="352">
        <v>130</v>
      </c>
      <c r="BU339" s="352">
        <v>132</v>
      </c>
      <c r="BV339" s="312">
        <f>SUM(BR339:BU339)</f>
      </c>
      <c r="BW339" s="352">
        <v>164</v>
      </c>
      <c r="BX339" s="352">
        <v>158</v>
      </c>
      <c r="BY339" s="352">
        <v>180</v>
      </c>
      <c r="BZ339" s="352">
        <v>188</v>
      </c>
      <c r="CA339" s="479">
        <f>SUM(BW339:BZ339)</f>
      </c>
      <c r="CB339" s="352">
        <v>182</v>
      </c>
      <c r="CC339" s="352">
        <v>202</v>
      </c>
      <c r="CD339" s="352">
        <v>215</v>
      </c>
      <c r="CE339" s="352">
        <v>226</v>
      </c>
      <c r="CF339" s="479">
        <f>SUM(CB339:CE339)</f>
      </c>
      <c r="CG339" s="352">
        <v>228</v>
      </c>
      <c r="CH339" s="352">
        <v>253</v>
      </c>
      <c r="CI339" s="352">
        <v>277</v>
      </c>
      <c r="CJ339" s="352">
        <v>327</v>
      </c>
      <c r="CK339" s="479">
        <f>SUM(CG339:CJ339)</f>
      </c>
      <c r="CL339" s="352">
        <v>305</v>
      </c>
      <c r="CM339" s="352">
        <v>339</v>
      </c>
      <c r="CN339" s="352">
        <v>339</v>
      </c>
      <c r="CO339" s="352">
        <v>360</v>
      </c>
      <c r="CP339" s="313">
        <f>SUM(CL339:CO339)</f>
      </c>
      <c r="CQ339" s="352">
        <v>372</v>
      </c>
      <c r="CR339" s="352">
        <v>387</v>
      </c>
      <c r="CS339" s="352">
        <v>395</v>
      </c>
      <c r="CT339" s="352">
        <v>436</v>
      </c>
      <c r="CU339" s="313">
        <f>SUM(CQ339:CT339)</f>
      </c>
      <c r="CV339" s="352">
        <v>400</v>
      </c>
      <c r="CW339" s="352">
        <v>438</v>
      </c>
      <c r="CX339" s="352">
        <v>468</v>
      </c>
      <c r="CY339" s="352">
        <v>485</v>
      </c>
      <c r="CZ339" s="313">
        <f>SUM(CV339:CY339)</f>
      </c>
      <c r="DA339" s="352">
        <v>483</v>
      </c>
      <c r="DB339" s="352">
        <v>506</v>
      </c>
      <c r="DC339" s="352">
        <v>554</v>
      </c>
      <c r="DD339" s="1205">
        <v>564</v>
      </c>
      <c r="DE339" s="2475">
        <f>SUM(DA339:DD339)</f>
      </c>
      <c r="DF339" s="2482">
        <v>544</v>
      </c>
      <c r="DG339" s="2482">
        <v>576</v>
      </c>
      <c r="DH339" s="2484">
        <v>585</v>
      </c>
      <c r="DI339" s="2483">
        <v>610</v>
      </c>
      <c r="DJ339" s="2475">
        <f>SUM(DF339:DI339)</f>
      </c>
      <c r="DK339" s="2484">
        <v>589</v>
      </c>
      <c r="DL339" s="2482">
        <v>645</v>
      </c>
      <c r="DM339" s="2482">
        <v>648</v>
      </c>
      <c r="DN339" s="2483">
        <v>668</v>
      </c>
      <c r="DO339" s="2475">
        <f>SUM(DK339:DN339)</f>
      </c>
      <c r="DP339" s="2482">
        <v>661</v>
      </c>
      <c r="DQ339" s="2484">
        <v>691</v>
      </c>
      <c r="DR339" s="2484">
        <v>684</v>
      </c>
      <c r="DS339" s="2485">
        <v>678</v>
      </c>
      <c r="DT339" s="2475">
        <f>SUM(DP339:DS339)</f>
      </c>
      <c r="DU339" s="2482">
        <v>713</v>
      </c>
      <c r="DV339" s="2482">
        <v>721</v>
      </c>
      <c r="DW339" s="2482">
        <v>730</v>
      </c>
      <c r="DX339" s="2482">
        <v>732.5</v>
      </c>
      <c r="DY339" s="2475">
        <f>SUM(DU339:DX339)</f>
      </c>
      <c r="DZ339" s="2484">
        <v>764.5</v>
      </c>
      <c r="EA339" s="2484">
        <v>784.4</v>
      </c>
      <c r="EB339" s="2484">
        <v>780</v>
      </c>
      <c r="EC339" s="2485">
        <v>796</v>
      </c>
      <c r="ED339" s="2475">
        <f>SUM(DZ339:EC339)</f>
      </c>
      <c r="EE339" s="2484">
        <v>625</v>
      </c>
      <c r="EF339" s="2484">
        <v>732</v>
      </c>
      <c r="EG339" s="2484">
        <v>664</v>
      </c>
      <c r="EH339" s="3546">
        <f t="shared" ref="EH339:EH340" si="970">+(1+EH344)*EC339</f>
      </c>
      <c r="EI339" s="2481">
        <f>SUM(EE339:EH339)</f>
      </c>
      <c r="EJ339" s="2481">
        <f t="shared" ref="EJ339:EJ340" si="971">+EI339*(1+EJ344)</f>
      </c>
      <c r="EK339" s="2481">
        <f t="shared" ref="EK339:EK340" si="972">+EJ339*(1+EK344)</f>
      </c>
      <c r="EL339" s="2481">
        <f t="shared" ref="EL339:EL340" si="973">+EK339*(1+EL344)</f>
      </c>
      <c r="EM339" s="2481">
        <f t="shared" ref="EM339:EM340" si="974">+EL339*(1+EM344)</f>
      </c>
      <c r="EN339" s="2481">
        <f t="shared" ref="EN339:EN340" si="975">+EM339*(1+EN344)</f>
      </c>
      <c r="EO339" s="2481">
        <f t="shared" ref="EO339:EO340" si="976">+EN339*(1+EO344)</f>
      </c>
      <c r="EP339" s="2481">
        <f t="shared" ref="EP339:EP340" si="977">+EO339*(1+EP344)</f>
      </c>
      <c r="EQ339" s="2481">
        <f t="shared" ref="EQ339:EQ340" si="978">+EP339*(1+EQ344)</f>
      </c>
      <c r="ER339" s="2481">
        <f t="shared" ref="ER339:ER340" si="979">+EQ339*(1+ER344)</f>
      </c>
      <c r="ES339" s="2481">
        <f t="shared" ref="ES339:ES340" si="980">+ER339*(1+ES344)</f>
      </c>
      <c r="ET339" s="1798"/>
      <c r="EU339" s="1798"/>
      <c r="EV339" s="1798"/>
      <c r="EW339" s="1798"/>
      <c r="EX339" s="1798"/>
    </row>
    <row r="340" spans="1:154" ht="12.75" customHeight="1">
      <c r="A340" s="3275" t="str">
        <f>+A341&amp;" - OUS"</f>
      </c>
      <c r="B340" s="340" t="s">
        <v>412</v>
      </c>
      <c r="C340" s="2001" t="s">
        <v>739</v>
      </c>
      <c r="D340" s="28"/>
      <c r="E340" s="28"/>
      <c r="F340" s="28"/>
      <c r="G340" s="28"/>
      <c r="H340" s="28"/>
      <c r="I340" s="31"/>
      <c r="J340" s="28"/>
      <c r="K340" s="28"/>
      <c r="L340" s="28"/>
      <c r="M340" s="28"/>
      <c r="N340" s="31"/>
      <c r="O340" s="31"/>
      <c r="P340" s="31"/>
      <c r="Q340" s="31"/>
      <c r="R340" s="31"/>
      <c r="S340" s="31"/>
      <c r="T340" s="31"/>
      <c r="U340" s="31"/>
      <c r="V340" s="31"/>
      <c r="W340" s="31"/>
      <c r="X340" s="313"/>
      <c r="Y340" s="31"/>
      <c r="Z340" s="31"/>
      <c r="AA340" s="31"/>
      <c r="AB340" s="31"/>
      <c r="AC340" s="313"/>
      <c r="AD340" s="31"/>
      <c r="AE340" s="31"/>
      <c r="AF340" s="31"/>
      <c r="AG340" s="33"/>
      <c r="AH340" s="313"/>
      <c r="AI340" s="33"/>
      <c r="AJ340" s="33"/>
      <c r="AK340" s="33"/>
      <c r="AL340" s="33"/>
      <c r="AM340" s="313"/>
      <c r="AN340" s="33"/>
      <c r="AO340" s="33"/>
      <c r="AP340" s="33"/>
      <c r="AQ340" s="33"/>
      <c r="AR340" s="313"/>
      <c r="AS340" s="28"/>
      <c r="AT340" s="28"/>
      <c r="AU340" s="28"/>
      <c r="AV340" s="31"/>
      <c r="AW340" s="313"/>
      <c r="AX340" s="28"/>
      <c r="AY340" s="28"/>
      <c r="AZ340" s="28"/>
      <c r="BA340" s="28"/>
      <c r="BB340" s="313"/>
      <c r="BC340" s="31">
        <v>0</v>
      </c>
      <c r="BD340" s="31">
        <v>0</v>
      </c>
      <c r="BE340" s="31">
        <v>0</v>
      </c>
      <c r="BF340" s="31">
        <v>0</v>
      </c>
      <c r="BG340" s="313">
        <f>SUM(BC340:BF340)</f>
      </c>
      <c r="BH340" s="31">
        <v>0</v>
      </c>
      <c r="BI340" s="31">
        <v>0</v>
      </c>
      <c r="BJ340" s="33">
        <v>0</v>
      </c>
      <c r="BK340" s="33">
        <v>0</v>
      </c>
      <c r="BL340" s="313">
        <f>SUM(BH340:BK340)</f>
      </c>
      <c r="BM340" s="352">
        <v>0</v>
      </c>
      <c r="BN340" s="33">
        <v>7</v>
      </c>
      <c r="BO340" s="33">
        <v>16</v>
      </c>
      <c r="BP340" s="352">
        <v>36</v>
      </c>
      <c r="BQ340" s="313">
        <f>SUM(BM340:BP340)</f>
      </c>
      <c r="BR340" s="352">
        <v>61</v>
      </c>
      <c r="BS340" s="352">
        <v>75</v>
      </c>
      <c r="BT340" s="352">
        <v>82</v>
      </c>
      <c r="BU340" s="352">
        <v>96</v>
      </c>
      <c r="BV340" s="312">
        <f>SUM(BR340:BU340)</f>
      </c>
      <c r="BW340" s="352">
        <v>120</v>
      </c>
      <c r="BX340" s="352">
        <v>132</v>
      </c>
      <c r="BY340" s="352">
        <v>144</v>
      </c>
      <c r="BZ340" s="352">
        <v>162</v>
      </c>
      <c r="CA340" s="479">
        <f>SUM(BW340:BZ340)</f>
      </c>
      <c r="CB340" s="352">
        <v>191</v>
      </c>
      <c r="CC340" s="352">
        <v>192</v>
      </c>
      <c r="CD340" s="352">
        <v>188</v>
      </c>
      <c r="CE340" s="352">
        <v>192</v>
      </c>
      <c r="CF340" s="479">
        <f>SUM(CB340:CE340)</f>
      </c>
      <c r="CG340" s="352">
        <v>183</v>
      </c>
      <c r="CH340" s="352">
        <v>183</v>
      </c>
      <c r="CI340" s="352">
        <v>182</v>
      </c>
      <c r="CJ340" s="352">
        <v>197</v>
      </c>
      <c r="CK340" s="479">
        <f>SUM(CG340:CJ340)</f>
      </c>
      <c r="CL340" s="352">
        <v>208</v>
      </c>
      <c r="CM340" s="352">
        <v>221</v>
      </c>
      <c r="CN340" s="352">
        <v>217</v>
      </c>
      <c r="CO340" s="352">
        <v>225</v>
      </c>
      <c r="CP340" s="312">
        <f>SUM(CL340:CO340)</f>
      </c>
      <c r="CQ340" s="352">
        <v>232</v>
      </c>
      <c r="CR340" s="352">
        <v>242</v>
      </c>
      <c r="CS340" s="352">
        <v>248</v>
      </c>
      <c r="CT340" s="352">
        <v>257</v>
      </c>
      <c r="CU340" s="312">
        <f>SUM(CQ340:CT340)</f>
      </c>
      <c r="CV340" s="352">
        <v>296</v>
      </c>
      <c r="CW340" s="352">
        <v>282</v>
      </c>
      <c r="CX340" s="352">
        <v>281</v>
      </c>
      <c r="CY340" s="352">
        <v>278</v>
      </c>
      <c r="CZ340" s="312">
        <f>SUM(CV340:CY340)</f>
      </c>
      <c r="DA340" s="352">
        <v>307</v>
      </c>
      <c r="DB340" s="352">
        <v>312</v>
      </c>
      <c r="DC340" s="352">
        <v>297</v>
      </c>
      <c r="DD340" s="1205">
        <v>308</v>
      </c>
      <c r="DE340" s="2475">
        <f>SUM(DA340:DD340)</f>
      </c>
      <c r="DF340" s="2482">
        <v>339</v>
      </c>
      <c r="DG340" s="2482">
        <v>303</v>
      </c>
      <c r="DH340" s="2484">
        <v>341</v>
      </c>
      <c r="DI340" s="2483">
        <v>355</v>
      </c>
      <c r="DJ340" s="2475">
        <f>SUM(DF340:DI340)</f>
      </c>
      <c r="DK340" s="2484">
        <v>376</v>
      </c>
      <c r="DL340" s="2482">
        <v>380</v>
      </c>
      <c r="DM340" s="2482">
        <v>355</v>
      </c>
      <c r="DN340" s="2483">
        <v>361</v>
      </c>
      <c r="DO340" s="2488">
        <f>SUM(DK340:DN340)</f>
      </c>
      <c r="DP340" s="2482">
        <v>387</v>
      </c>
      <c r="DQ340" s="2484">
        <v>362</v>
      </c>
      <c r="DR340" s="2484">
        <v>348</v>
      </c>
      <c r="DS340" s="2485">
        <v>329</v>
      </c>
      <c r="DT340" s="2488">
        <f>SUM(DP340:DS340)</f>
      </c>
      <c r="DU340" s="2482">
        <v>331</v>
      </c>
      <c r="DV340" s="2482">
        <v>310</v>
      </c>
      <c r="DW340" s="2482">
        <v>299</v>
      </c>
      <c r="DX340" s="2482">
        <v>278.39999999999998</v>
      </c>
      <c r="DY340" s="2488">
        <f>SUM(DU340:DX340)</f>
      </c>
      <c r="DZ340" s="2484">
        <v>291.5</v>
      </c>
      <c r="EA340" s="2484">
        <v>269.39999999999998</v>
      </c>
      <c r="EB340" s="2484">
        <v>269</v>
      </c>
      <c r="EC340" s="2485">
        <v>267</v>
      </c>
      <c r="ED340" s="2488">
        <f>SUM(DZ340:EC340)</f>
      </c>
      <c r="EE340" s="2484">
        <v>277</v>
      </c>
      <c r="EF340" s="2484">
        <v>260</v>
      </c>
      <c r="EG340" s="2484">
        <v>267</v>
      </c>
      <c r="EH340" s="3546">
        <f t="shared" si="970"/>
      </c>
      <c r="EI340" s="2481">
        <f t="shared" ref="EI340:EI341" si="981">SUM(EE340:EH340)</f>
      </c>
      <c r="EJ340" s="2481">
        <f t="shared" si="971"/>
      </c>
      <c r="EK340" s="2481">
        <f t="shared" si="972"/>
      </c>
      <c r="EL340" s="2481">
        <f t="shared" si="973"/>
      </c>
      <c r="EM340" s="2481">
        <f t="shared" si="974"/>
      </c>
      <c r="EN340" s="2481">
        <f t="shared" si="975"/>
      </c>
      <c r="EO340" s="2481">
        <f t="shared" si="976"/>
      </c>
      <c r="EP340" s="2481">
        <f t="shared" si="977"/>
      </c>
      <c r="EQ340" s="2481">
        <f t="shared" si="978"/>
      </c>
      <c r="ER340" s="2481">
        <f t="shared" si="979"/>
      </c>
      <c r="ES340" s="2481">
        <f t="shared" si="980"/>
      </c>
      <c r="ET340" s="1788"/>
      <c r="EU340" s="1788"/>
      <c r="EV340" s="1788"/>
      <c r="EW340" s="1788"/>
      <c r="EX340" s="1788"/>
    </row>
    <row r="341" spans="1:154" ht="12.75" customHeight="1">
      <c r="A341" s="3275" t="s">
        <v>593</v>
      </c>
      <c r="B341" s="340" t="s">
        <v>413</v>
      </c>
      <c r="C341" s="1989"/>
      <c r="D341" s="28"/>
      <c r="E341" s="28"/>
      <c r="F341" s="28"/>
      <c r="G341" s="28"/>
      <c r="H341" s="28"/>
      <c r="I341" s="31"/>
      <c r="J341" s="28"/>
      <c r="K341" s="28"/>
      <c r="L341" s="28"/>
      <c r="M341" s="28"/>
      <c r="N341" s="31"/>
      <c r="O341" s="31"/>
      <c r="P341" s="31"/>
      <c r="Q341" s="31"/>
      <c r="R341" s="31"/>
      <c r="S341" s="31"/>
      <c r="T341" s="31"/>
      <c r="U341" s="31"/>
      <c r="V341" s="31"/>
      <c r="W341" s="31"/>
      <c r="X341" s="313"/>
      <c r="Y341" s="31"/>
      <c r="Z341" s="31"/>
      <c r="AA341" s="31"/>
      <c r="AB341" s="31"/>
      <c r="AC341" s="313"/>
      <c r="AD341" s="31"/>
      <c r="AE341" s="31"/>
      <c r="AF341" s="31"/>
      <c r="AG341" s="33"/>
      <c r="AH341" s="313"/>
      <c r="AI341" s="33"/>
      <c r="AJ341" s="33"/>
      <c r="AK341" s="33"/>
      <c r="AL341" s="33"/>
      <c r="AM341" s="313"/>
      <c r="AN341" s="33"/>
      <c r="AO341" s="33"/>
      <c r="AP341" s="33"/>
      <c r="AQ341" s="33"/>
      <c r="AR341" s="313"/>
      <c r="AS341" s="28"/>
      <c r="AT341" s="28"/>
      <c r="AU341" s="28"/>
      <c r="AV341" s="31"/>
      <c r="AW341" s="313"/>
      <c r="AX341" s="28"/>
      <c r="AY341" s="28"/>
      <c r="AZ341" s="28"/>
      <c r="BA341" s="28"/>
      <c r="BB341" s="313"/>
      <c r="BC341" s="31">
        <v>0</v>
      </c>
      <c r="BD341" s="31">
        <v>0</v>
      </c>
      <c r="BE341" s="31">
        <v>5</v>
      </c>
      <c r="BF341" s="31">
        <v>51.100000000000009</v>
      </c>
      <c r="BG341" s="313">
        <f>SUM(BC341:BF341)</f>
      </c>
      <c r="BH341" s="31">
        <v>51.000000000000007</v>
      </c>
      <c r="BI341" s="31">
        <v>59.500000000000007</v>
      </c>
      <c r="BJ341" s="31">
        <v>68</v>
      </c>
      <c r="BK341" s="31">
        <v>76.500000000000028</v>
      </c>
      <c r="BL341" s="313">
        <f>SUM(BH341:BK341)</f>
      </c>
      <c r="BM341" s="31">
        <f>SUM(BM339:BM340)</f>
      </c>
      <c r="BN341" s="31">
        <f>SUM(BN339:BN340)</f>
      </c>
      <c r="BO341" s="31">
        <f>SUM(BO339:BO340)</f>
      </c>
      <c r="BP341" s="28">
        <f>SUM(BP339:BP340)</f>
      </c>
      <c r="BQ341" s="313">
        <f>SUM(BM341:BP341)</f>
      </c>
      <c r="BR341" s="31">
        <f t="shared" ref="BR341:BZ341" si="982">SUM(BR339:BR340)</f>
      </c>
      <c r="BS341" s="31">
        <f t="shared" si="982"/>
      </c>
      <c r="BT341" s="31">
        <f t="shared" si="982"/>
      </c>
      <c r="BU341" s="28">
        <f t="shared" si="982"/>
      </c>
      <c r="BV341" s="313">
        <f t="shared" si="982"/>
      </c>
      <c r="BW341" s="31">
        <f t="shared" si="982"/>
      </c>
      <c r="BX341" s="31">
        <f t="shared" si="982"/>
      </c>
      <c r="BY341" s="31">
        <f t="shared" si="982"/>
      </c>
      <c r="BZ341" s="31">
        <f t="shared" si="982"/>
      </c>
      <c r="CA341" s="479">
        <f>SUM(BW341:BZ341)</f>
      </c>
      <c r="CB341" s="31">
        <f>SUM(CB339:CB340)</f>
      </c>
      <c r="CC341" s="31">
        <f>SUM(CC339:CC340)</f>
      </c>
      <c r="CD341" s="31">
        <f>SUM(CD339:CD340)</f>
      </c>
      <c r="CE341" s="31">
        <f>SUM(CE339:CE340)</f>
      </c>
      <c r="CF341" s="479">
        <f>SUM(CB341:CE341)</f>
      </c>
      <c r="CG341" s="31">
        <f>SUM(CG339:CG340)</f>
      </c>
      <c r="CH341" s="31">
        <f>SUM(CH339:CH340)</f>
      </c>
      <c r="CI341" s="31">
        <f>SUM(CI339:CI340)</f>
      </c>
      <c r="CJ341" s="31">
        <f>SUM(CJ339:CJ340)</f>
      </c>
      <c r="CK341" s="479">
        <f>SUM(CG341:CJ341)</f>
      </c>
      <c r="CL341" s="31">
        <f>SUM(CL339:CL340)</f>
      </c>
      <c r="CM341" s="31">
        <f>SUM(CM339:CM340)</f>
      </c>
      <c r="CN341" s="31">
        <f>SUM(CN339:CN340)</f>
      </c>
      <c r="CO341" s="31">
        <f>SUM(CO339:CO340)</f>
      </c>
      <c r="CP341" s="313">
        <f>SUM(CL341:CO341)</f>
      </c>
      <c r="CQ341" s="31">
        <f>SUM(CQ339:CQ340)</f>
      </c>
      <c r="CR341" s="31">
        <f>SUM(CR339:CR340)</f>
      </c>
      <c r="CS341" s="31">
        <f>SUM(CS339:CS340)</f>
      </c>
      <c r="CT341" s="31">
        <f>SUM(CT339:CT340)</f>
      </c>
      <c r="CU341" s="313">
        <f>SUM(CQ341:CT341)</f>
      </c>
      <c r="CV341" s="31">
        <f>SUM(CV339:CV340)</f>
      </c>
      <c r="CW341" s="31">
        <f>SUM(CW339:CW340)</f>
      </c>
      <c r="CX341" s="31">
        <f>SUM(CX339:CX340)</f>
      </c>
      <c r="CY341" s="31">
        <f>SUM(CY339:CY340)</f>
      </c>
      <c r="CZ341" s="313">
        <f>SUM(CV341:CY341)</f>
      </c>
      <c r="DA341" s="31">
        <f>SUM(DA339:DA340)</f>
      </c>
      <c r="DB341" s="31">
        <f>SUM(DB339:DB340)</f>
      </c>
      <c r="DC341" s="31">
        <f>SUM(DC339:DC340)</f>
      </c>
      <c r="DD341" s="984">
        <f>+DD339+DD340</f>
      </c>
      <c r="DE341" s="2475">
        <f>SUM(DA341:DD341)</f>
      </c>
      <c r="DF341" s="2471">
        <f>SUM(DF339:DF340)</f>
      </c>
      <c r="DG341" s="2471">
        <f>SUM(DG339:DG340)</f>
      </c>
      <c r="DH341" s="2471">
        <f>SUM(DH339:DH340)</f>
      </c>
      <c r="DI341" s="2472">
        <f>+DI339+DI340</f>
      </c>
      <c r="DJ341" s="2658">
        <f>SUM(DJ339:DJ340)</f>
      </c>
      <c r="DK341" s="2471">
        <f>SUM(DK339:DK340)</f>
      </c>
      <c r="DL341" s="2471">
        <f>SUM(DL339:DL340)</f>
      </c>
      <c r="DM341" s="2471">
        <f>SUM(DM339:DM340)</f>
      </c>
      <c r="DN341" s="2472">
        <f>+DN339+DN340</f>
      </c>
      <c r="DO341" s="2475">
        <f>SUM(DO339:DO340)</f>
      </c>
      <c r="DP341" s="2471">
        <f>SUM(DP339:DP340)</f>
      </c>
      <c r="DQ341" s="2471">
        <f>SUM(DQ339:DQ340)</f>
      </c>
      <c r="DR341" s="2471">
        <f>SUM(DR339:DR340)</f>
      </c>
      <c r="DS341" s="2472">
        <f>+DS339+DS340</f>
      </c>
      <c r="DT341" s="2475">
        <f t="shared" ref="DT341" si="983">SUM(DT339:DT340)</f>
      </c>
      <c r="DU341" s="2471">
        <f t="shared" ref="DU341:EB341" si="984">SUM(DU339:DU340)</f>
      </c>
      <c r="DV341" s="2471">
        <f t="shared" si="984"/>
      </c>
      <c r="DW341" s="2471">
        <f t="shared" si="984"/>
      </c>
      <c r="DX341" s="2471">
        <f t="shared" si="984"/>
      </c>
      <c r="DY341" s="2475">
        <f t="shared" si="984"/>
      </c>
      <c r="DZ341" s="2471">
        <f t="shared" si="984"/>
      </c>
      <c r="EA341" s="2471">
        <f t="shared" si="984"/>
      </c>
      <c r="EB341" s="2471">
        <f t="shared" si="984"/>
      </c>
      <c r="EC341" s="2472">
        <f>+EC339+EC340</f>
      </c>
      <c r="ED341" s="2475">
        <f t="shared" ref="ED341:EG341" si="985">SUM(ED339:ED340)</f>
      </c>
      <c r="EE341" s="2471">
        <f t="shared" si="985"/>
      </c>
      <c r="EF341" s="2471">
        <f t="shared" si="985"/>
      </c>
      <c r="EG341" s="2471">
        <f t="shared" si="985"/>
      </c>
      <c r="EH341" s="3546">
        <f t="shared" ref="EH341" si="986">SUM(EH339:EH340)</f>
      </c>
      <c r="EI341" s="2481">
        <f t="shared" si="981"/>
      </c>
      <c r="EJ341" s="2481">
        <f t="shared" ref="EJ341:EN341" si="987">+EJ339+EJ340</f>
      </c>
      <c r="EK341" s="2481">
        <f t="shared" si="987"/>
      </c>
      <c r="EL341" s="2481">
        <f t="shared" si="987"/>
      </c>
      <c r="EM341" s="2481">
        <f t="shared" si="987"/>
      </c>
      <c r="EN341" s="2481">
        <f t="shared" si="987"/>
      </c>
      <c r="EO341" s="2481">
        <f t="shared" ref="EO341:ES341" si="988">+EO339+EO340</f>
      </c>
      <c r="EP341" s="2481">
        <f t="shared" si="988"/>
      </c>
      <c r="EQ341" s="2481">
        <f t="shared" si="988"/>
      </c>
      <c r="ER341" s="2481">
        <f t="shared" si="988"/>
      </c>
      <c r="ES341" s="2481">
        <f t="shared" si="988"/>
      </c>
      <c r="ET341" s="1798"/>
      <c r="EU341" s="1798"/>
      <c r="EV341" s="1798"/>
      <c r="EW341" s="1798"/>
      <c r="EX341" s="1798"/>
    </row>
    <row r="342" spans="1:154" ht="12.75" customHeight="1">
      <c r="B342" s="1171"/>
      <c r="C342" s="1989"/>
      <c r="D342" s="28"/>
      <c r="E342" s="28"/>
      <c r="F342" s="28"/>
      <c r="G342" s="28"/>
      <c r="H342" s="28"/>
      <c r="I342" s="31"/>
      <c r="J342" s="28"/>
      <c r="K342" s="28"/>
      <c r="L342" s="28"/>
      <c r="M342" s="28"/>
      <c r="N342" s="31"/>
      <c r="O342" s="31"/>
      <c r="P342" s="31"/>
      <c r="Q342" s="31"/>
      <c r="R342" s="31"/>
      <c r="S342" s="31"/>
      <c r="T342" s="31"/>
      <c r="U342" s="31"/>
      <c r="V342" s="31"/>
      <c r="W342" s="31"/>
      <c r="X342" s="313"/>
      <c r="Y342" s="31"/>
      <c r="Z342" s="31"/>
      <c r="AA342" s="31"/>
      <c r="AB342" s="31"/>
      <c r="AC342" s="313"/>
      <c r="AD342" s="31"/>
      <c r="AE342" s="31"/>
      <c r="AF342" s="31"/>
      <c r="AG342" s="33"/>
      <c r="AH342" s="313"/>
      <c r="AI342" s="33"/>
      <c r="AJ342" s="33"/>
      <c r="AK342" s="33"/>
      <c r="AL342" s="33"/>
      <c r="AM342" s="313"/>
      <c r="AN342" s="33"/>
      <c r="AO342" s="33"/>
      <c r="AP342" s="33"/>
      <c r="AQ342" s="33"/>
      <c r="AR342" s="313"/>
      <c r="AS342" s="28"/>
      <c r="AT342" s="28"/>
      <c r="AU342" s="28"/>
      <c r="AV342" s="31"/>
      <c r="AW342" s="313"/>
      <c r="AX342" s="28"/>
      <c r="AY342" s="28"/>
      <c r="AZ342" s="28"/>
      <c r="BA342" s="28"/>
      <c r="BB342" s="313"/>
      <c r="BC342" s="28"/>
      <c r="BD342" s="28"/>
      <c r="BE342" s="28"/>
      <c r="BF342" s="28"/>
      <c r="BG342" s="313"/>
      <c r="BH342" s="28"/>
      <c r="BI342" s="28"/>
      <c r="BJ342" s="28"/>
      <c r="BK342" s="28"/>
      <c r="BL342" s="313"/>
      <c r="BM342" s="28"/>
      <c r="BN342" s="28"/>
      <c r="BO342" s="236"/>
      <c r="BP342" s="28"/>
      <c r="BQ342" s="313"/>
      <c r="BR342" s="28"/>
      <c r="BS342" s="28"/>
      <c r="BT342" s="28"/>
      <c r="BU342" s="28"/>
      <c r="BV342" s="313"/>
      <c r="BW342" s="28"/>
      <c r="BX342" s="28"/>
      <c r="BY342" s="28"/>
      <c r="BZ342" s="28"/>
      <c r="CA342" s="313"/>
      <c r="CB342" s="28"/>
      <c r="CC342" s="28"/>
      <c r="CD342" s="28"/>
      <c r="CE342" s="28"/>
      <c r="CF342" s="313"/>
      <c r="CG342" s="28"/>
      <c r="CH342" s="28"/>
      <c r="CI342" s="28"/>
      <c r="CJ342" s="28"/>
      <c r="CK342" s="313"/>
      <c r="CL342" s="28"/>
      <c r="CM342" s="933"/>
      <c r="CN342" s="28"/>
      <c r="CO342" s="28"/>
      <c r="CP342" s="313"/>
      <c r="CQ342" s="933"/>
      <c r="CR342" s="933"/>
      <c r="CS342" s="933"/>
      <c r="CT342" s="933"/>
      <c r="CU342" s="313"/>
      <c r="CV342" s="933"/>
      <c r="CW342" s="933"/>
      <c r="CX342" s="933"/>
      <c r="CY342" s="933"/>
      <c r="CZ342" s="313"/>
      <c r="DA342" s="933"/>
      <c r="DB342" s="31"/>
      <c r="DC342" s="31"/>
      <c r="DD342" s="955"/>
      <c r="DE342" s="477"/>
      <c r="DF342" s="982"/>
      <c r="DG342" s="603"/>
      <c r="DH342" s="603"/>
      <c r="DI342" s="1798"/>
      <c r="DJ342" s="477"/>
      <c r="DK342" s="982"/>
      <c r="DL342" s="603"/>
      <c r="DM342" s="603"/>
      <c r="DN342" s="1798"/>
      <c r="DO342" s="477"/>
      <c r="DP342" s="603"/>
      <c r="DQ342" s="603"/>
      <c r="DR342" s="603"/>
      <c r="DS342" s="1798"/>
      <c r="DT342" s="477"/>
      <c r="DU342" s="603"/>
      <c r="DV342" s="603"/>
      <c r="DW342" s="603"/>
      <c r="DX342" s="603"/>
      <c r="DY342" s="477"/>
      <c r="DZ342" s="603"/>
      <c r="EA342" s="603"/>
      <c r="EB342" s="603"/>
      <c r="EC342" s="1798"/>
      <c r="ED342" s="477"/>
      <c r="EE342" s="603"/>
      <c r="EF342" s="603"/>
      <c r="EG342" s="603"/>
      <c r="EH342" s="603"/>
      <c r="EI342" s="477"/>
      <c r="EJ342" s="477"/>
      <c r="EK342" s="477"/>
      <c r="EL342" s="477"/>
      <c r="EM342" s="477"/>
      <c r="EN342" s="477"/>
      <c r="EO342" s="477"/>
      <c r="EP342" s="477"/>
      <c r="EQ342" s="477"/>
      <c r="ER342" s="477"/>
      <c r="ES342" s="477"/>
      <c r="ET342" s="477"/>
      <c r="EU342" s="477"/>
      <c r="EV342" s="477"/>
      <c r="EW342" s="477"/>
      <c r="EX342" s="477"/>
    </row>
    <row r="343" spans="1:154" ht="12.75" customHeight="1">
      <c r="B343" s="338" t="s">
        <v>928</v>
      </c>
      <c r="C343" s="1989"/>
      <c r="D343" s="28"/>
      <c r="E343" s="28"/>
      <c r="F343" s="28"/>
      <c r="G343" s="28"/>
      <c r="H343" s="28"/>
      <c r="I343" s="31"/>
      <c r="J343" s="28"/>
      <c r="K343" s="28"/>
      <c r="L343" s="28"/>
      <c r="M343" s="28"/>
      <c r="N343" s="31"/>
      <c r="O343" s="31"/>
      <c r="P343" s="31"/>
      <c r="Q343" s="31"/>
      <c r="R343" s="31"/>
      <c r="S343" s="31"/>
      <c r="T343" s="31"/>
      <c r="U343" s="31"/>
      <c r="V343" s="31"/>
      <c r="W343" s="31"/>
      <c r="X343" s="313"/>
      <c r="Y343" s="31"/>
      <c r="Z343" s="31"/>
      <c r="AA343" s="31"/>
      <c r="AB343" s="31"/>
      <c r="AC343" s="313"/>
      <c r="AD343" s="31"/>
      <c r="AE343" s="31"/>
      <c r="AF343" s="31"/>
      <c r="AG343" s="33"/>
      <c r="AH343" s="313"/>
      <c r="AI343" s="33"/>
      <c r="AJ343" s="33"/>
      <c r="AK343" s="33"/>
      <c r="AL343" s="33"/>
      <c r="AM343" s="313"/>
      <c r="AN343" s="33"/>
      <c r="AO343" s="33"/>
      <c r="AP343" s="33"/>
      <c r="AQ343" s="33"/>
      <c r="AR343" s="313"/>
      <c r="AS343" s="28"/>
      <c r="AT343" s="28"/>
      <c r="AU343" s="28"/>
      <c r="AV343" s="31"/>
      <c r="AW343" s="313"/>
      <c r="AX343" s="28"/>
      <c r="AY343" s="28"/>
      <c r="AZ343" s="28"/>
      <c r="BA343" s="28"/>
      <c r="BB343" s="313"/>
      <c r="BC343" s="28"/>
      <c r="BD343" s="28"/>
      <c r="BE343" s="28"/>
      <c r="BF343" s="28"/>
      <c r="BG343" s="313"/>
      <c r="BH343" s="28"/>
      <c r="BI343" s="28"/>
      <c r="BJ343" s="28"/>
      <c r="BK343" s="28"/>
      <c r="BL343" s="313"/>
      <c r="BM343" s="28"/>
      <c r="BN343" s="28"/>
      <c r="BO343" s="28"/>
      <c r="BP343" s="28"/>
      <c r="BQ343" s="313"/>
      <c r="BR343" s="28"/>
      <c r="BS343" s="28"/>
      <c r="BT343" s="28"/>
      <c r="BU343" s="28"/>
      <c r="BV343" s="313"/>
      <c r="BW343" s="28"/>
      <c r="BX343" s="28"/>
      <c r="BY343" s="28"/>
      <c r="BZ343" s="28"/>
      <c r="CA343" s="313"/>
      <c r="CB343" s="28"/>
      <c r="CC343" s="28"/>
      <c r="CD343" s="28"/>
      <c r="CE343" s="28"/>
      <c r="CF343" s="313"/>
      <c r="CG343" s="28"/>
      <c r="CH343" s="28"/>
      <c r="CI343" s="28"/>
      <c r="CJ343" s="28"/>
      <c r="CK343" s="313"/>
      <c r="CL343" s="28"/>
      <c r="CM343" s="933"/>
      <c r="CN343" s="28"/>
      <c r="CO343" s="28"/>
      <c r="CP343" s="313"/>
      <c r="CQ343" s="933"/>
      <c r="CR343" s="933"/>
      <c r="CS343" s="933"/>
      <c r="CT343" s="933"/>
      <c r="CU343" s="313"/>
      <c r="CV343" s="933"/>
      <c r="CW343" s="933"/>
      <c r="CX343" s="933"/>
      <c r="CY343" s="933"/>
      <c r="CZ343" s="313"/>
      <c r="DA343" s="933"/>
      <c r="DB343" s="31"/>
      <c r="DC343" s="31"/>
      <c r="DD343" s="955"/>
      <c r="DE343" s="477"/>
      <c r="DF343" s="982"/>
      <c r="DG343" s="603"/>
      <c r="DH343" s="603"/>
      <c r="DI343" s="1798"/>
      <c r="DJ343" s="477"/>
      <c r="DK343" s="982"/>
      <c r="DL343" s="603"/>
      <c r="DM343" s="603"/>
      <c r="DN343" s="1798"/>
      <c r="DO343" s="477"/>
      <c r="DP343" s="603"/>
      <c r="DQ343" s="603"/>
      <c r="DR343" s="603"/>
      <c r="DS343" s="1798"/>
      <c r="DT343" s="477"/>
      <c r="DU343" s="603"/>
      <c r="DV343" s="603"/>
      <c r="DW343" s="603"/>
      <c r="DX343" s="603"/>
      <c r="DY343" s="477"/>
      <c r="DZ343" s="603"/>
      <c r="EA343" s="603"/>
      <c r="EB343" s="603"/>
      <c r="EC343" s="1798"/>
      <c r="ED343" s="477"/>
      <c r="EE343" s="603"/>
      <c r="EF343" s="603"/>
      <c r="EG343" s="603"/>
      <c r="EH343" s="603"/>
      <c r="EI343" s="477"/>
      <c r="EJ343" s="477"/>
      <c r="EK343" s="477"/>
      <c r="EL343" s="477"/>
      <c r="EM343" s="477"/>
      <c r="EN343" s="477"/>
      <c r="EO343" s="477"/>
      <c r="EP343" s="477"/>
      <c r="EQ343" s="477"/>
      <c r="ER343" s="477"/>
      <c r="ES343" s="477"/>
      <c r="ET343" s="477"/>
      <c r="EU343" s="477"/>
      <c r="EV343" s="477"/>
      <c r="EW343" s="477"/>
      <c r="EX343" s="477"/>
    </row>
    <row r="344" spans="1:154" ht="12.75" customHeight="1">
      <c r="B344" s="341" t="s">
        <v>921</v>
      </c>
      <c r="C344" s="1989"/>
      <c r="D344" s="28"/>
      <c r="E344" s="28"/>
      <c r="F344" s="28"/>
      <c r="G344" s="28"/>
      <c r="H344" s="28"/>
      <c r="I344" s="31"/>
      <c r="J344" s="28"/>
      <c r="K344" s="28"/>
      <c r="L344" s="28"/>
      <c r="M344" s="28"/>
      <c r="N344" s="31"/>
      <c r="O344" s="31"/>
      <c r="P344" s="31"/>
      <c r="Q344" s="31"/>
      <c r="R344" s="31"/>
      <c r="S344" s="31"/>
      <c r="T344" s="31"/>
      <c r="U344" s="31"/>
      <c r="V344" s="31"/>
      <c r="W344" s="31"/>
      <c r="X344" s="313"/>
      <c r="Y344" s="31"/>
      <c r="Z344" s="31"/>
      <c r="AA344" s="31"/>
      <c r="AB344" s="31"/>
      <c r="AC344" s="313"/>
      <c r="AD344" s="31"/>
      <c r="AE344" s="31"/>
      <c r="AF344" s="31"/>
      <c r="AG344" s="33"/>
      <c r="AH344" s="313"/>
      <c r="AI344" s="33"/>
      <c r="AJ344" s="33"/>
      <c r="AK344" s="33"/>
      <c r="AL344" s="33"/>
      <c r="AM344" s="313"/>
      <c r="AN344" s="33"/>
      <c r="AO344" s="33"/>
      <c r="AP344" s="33"/>
      <c r="AQ344" s="33"/>
      <c r="AR344" s="313"/>
      <c r="AS344" s="28"/>
      <c r="AT344" s="28"/>
      <c r="AU344" s="28"/>
      <c r="AV344" s="31"/>
      <c r="AW344" s="313"/>
      <c r="AX344" s="28"/>
      <c r="AY344" s="28"/>
      <c r="AZ344" s="28"/>
      <c r="BA344" s="28"/>
      <c r="BB344" s="313"/>
      <c r="BC344" s="28"/>
      <c r="BD344" s="28"/>
      <c r="BE344" s="28"/>
      <c r="BF344" s="28"/>
      <c r="BG344" s="313"/>
      <c r="BH344" s="28"/>
      <c r="BI344" s="28"/>
      <c r="BJ344" s="28"/>
      <c r="BK344" s="28"/>
      <c r="BL344" s="313"/>
      <c r="BM344" s="30">
        <f t="shared" ref="BM344:BV345" si="989">IF(BH339="NM","NM",IF(BM339="NM","NM",IF(BH339&lt;=0,"NM",IF(BM339=0,"NM",IF(ABS(BM339/BH339-1)&gt;2.5,"NM",IF((ABS(BM339-BH339)=ABS(ABS(BM339)-ABS(BH339))),(BM339/BH339-1),"NM"))))))</f>
      </c>
      <c r="BN344" s="30">
        <f t="shared" si="989"/>
      </c>
      <c r="BO344" s="30">
        <f t="shared" si="989"/>
      </c>
      <c r="BP344" s="30">
        <f t="shared" si="989"/>
      </c>
      <c r="BQ344" s="308">
        <f t="shared" si="989"/>
      </c>
      <c r="BR344" s="30">
        <f t="shared" si="989"/>
      </c>
      <c r="BS344" s="30">
        <f t="shared" si="989"/>
      </c>
      <c r="BT344" s="30">
        <f t="shared" si="989"/>
      </c>
      <c r="BU344" s="30">
        <f t="shared" si="989"/>
      </c>
      <c r="BV344" s="308">
        <f t="shared" si="989"/>
      </c>
      <c r="BW344" s="30">
        <f t="shared" ref="BW344:CX345" si="990">IF(BR339="NM","NM",IF(BW339="NM","NM",IF(BR339&lt;=0,"NM",IF(BW339=0,"NM",IF(ABS(BW339/BR339-1)&gt;2.5,"NM",IF((ABS(BW339-BR339)=ABS(ABS(BW339)-ABS(BR339))),(BW339/BR339-1),"NM"))))))</f>
      </c>
      <c r="BX344" s="30">
        <f t="shared" si="990"/>
      </c>
      <c r="BY344" s="30">
        <f t="shared" si="990"/>
      </c>
      <c r="BZ344" s="30">
        <f t="shared" si="990"/>
      </c>
      <c r="CA344" s="308">
        <f>IF(BV339="NM","NM",IF(CA339="NM","NM",IF(BV339&lt;=0,"NM",IF(CA339=0,"NM",IF(ABS(CA339/BV339-1)&gt;2.5,"NM",IF((ABS(CA339-BV339)=ABS(ABS(CA339)-ABS(BV339))),(CA339/BV339-1),"NM"))))))</f>
      </c>
      <c r="CB344" s="30">
        <f t="shared" si="990"/>
      </c>
      <c r="CC344" s="30">
        <f t="shared" si="990"/>
      </c>
      <c r="CD344" s="30">
        <f t="shared" si="990"/>
      </c>
      <c r="CE344" s="30">
        <f t="shared" si="990"/>
      </c>
      <c r="CF344" s="308">
        <f>IF(CA339="NM","NM",IF(CF339="NM","NM",IF(CA339&lt;=0,"NM",IF(CF339=0,"NM",IF(ABS(CF339/CA339-1)&gt;2.5,"NM",IF((ABS(CF339-CA339)=ABS(ABS(CF339)-ABS(CA339))),(CF339/CA339-1),"NM"))))))</f>
      </c>
      <c r="CG344" s="30">
        <f t="shared" si="990"/>
      </c>
      <c r="CH344" s="30">
        <f t="shared" si="990"/>
      </c>
      <c r="CI344" s="30">
        <f t="shared" si="990"/>
      </c>
      <c r="CJ344" s="30">
        <f t="shared" si="990"/>
      </c>
      <c r="CK344" s="308">
        <f>IF(CF339=0, "NA", CK339/CF339-1)</f>
      </c>
      <c r="CL344" s="30">
        <f t="shared" si="990"/>
      </c>
      <c r="CM344" s="30">
        <f t="shared" si="990"/>
      </c>
      <c r="CN344" s="30">
        <f t="shared" si="990"/>
      </c>
      <c r="CO344" s="30">
        <f t="shared" si="990"/>
      </c>
      <c r="CP344" s="308">
        <f>IF(CK339=0, "NA", CP339/CK339-1)</f>
      </c>
      <c r="CQ344" s="30">
        <f t="shared" si="990"/>
      </c>
      <c r="CR344" s="30">
        <f t="shared" si="990"/>
      </c>
      <c r="CS344" s="30">
        <f t="shared" si="990"/>
      </c>
      <c r="CT344" s="30">
        <f t="shared" si="990"/>
      </c>
      <c r="CU344" s="308">
        <f>IF(CP339=0, "NA", CU339/CP339-1)</f>
      </c>
      <c r="CV344" s="30">
        <f t="shared" si="990"/>
      </c>
      <c r="CW344" s="30">
        <f t="shared" si="990"/>
      </c>
      <c r="CX344" s="30">
        <f t="shared" si="990"/>
      </c>
      <c r="CY344" s="30">
        <f>IF(CT339="NM","NM",IF(CY339="NM","NM",IF(CT339&lt;=0,"NM",IF(CY339=0,"NM",IF(ABS(CY339/CT339-1)&gt;2.5,"NM",IF((ABS(CY339-CT339)=ABS(ABS(CY339)-ABS(CT339))),(CY339/CT339-1),"NM"))))))</f>
      </c>
      <c r="CZ344" s="308">
        <f>IF(CU339=0, "NA", CZ339/CU339-1)</f>
      </c>
      <c r="DA344" s="30">
        <f t="shared" ref="DA344:DD345" si="991">IF(CV339="NM","NM",IF(DA339="NM","NM",IF(CV339&lt;=0,"NM",IF(DA339=0,"NM",IF(ABS(DA339/CV339-1)&gt;2.5,"NM",IF((ABS(DA339-CV339)=ABS(ABS(DA339)-ABS(CV339))),(DA339/CV339-1),"NM"))))))</f>
      </c>
      <c r="DB344" s="30">
        <f t="shared" si="991"/>
      </c>
      <c r="DC344" s="30">
        <f t="shared" si="991"/>
      </c>
      <c r="DD344" s="30">
        <f t="shared" si="991"/>
      </c>
      <c r="DE344" s="308">
        <f>IF(CZ339=0, "NA", DE339/CZ339-1)</f>
      </c>
      <c r="DF344" s="30">
        <v>0.1</v>
      </c>
      <c r="DG344" s="30">
        <f t="shared" ref="DG344:DI345" si="992">IF(DB339="NM","NM",IF(DG339="NM","NM",IF(DB339&lt;=0,"NM",IF(DG339=0,"NM",IF(ABS(DG339/DB339-1)&gt;2.5,"NM",IF((ABS(DG339-DB339)=ABS(ABS(DG339)-ABS(DB339))),(DG339/DB339-1),"NM"))))))</f>
      </c>
      <c r="DH344" s="30">
        <f t="shared" si="992"/>
      </c>
      <c r="DI344" s="30">
        <f t="shared" si="992"/>
      </c>
      <c r="DJ344" s="308">
        <f>IF(DE339=0, "NA", DJ339/DE339-1)</f>
      </c>
      <c r="DK344" s="30">
        <v>0.1</v>
      </c>
      <c r="DL344" s="30">
        <v>0.1</v>
      </c>
      <c r="DM344" s="30">
        <v>1.1000000000000001</v>
      </c>
      <c r="DN344" s="928">
        <f>IF(DN339=0,"NM",+DN339/DI339-1)</f>
      </c>
      <c r="DO344" s="308">
        <f>IF(DJ339=0, "NA", DO339/DJ339-1)</f>
      </c>
      <c r="DP344" s="30">
        <f>DP339/DK339-1</f>
      </c>
      <c r="DQ344" s="30">
        <f>DQ339/DL339-1</f>
      </c>
      <c r="DR344" s="30">
        <f>DR339/DM339-1</f>
      </c>
      <c r="DS344" s="30">
        <f>DS339/DN339-1</f>
      </c>
      <c r="DT344" s="308">
        <f>IF(DO339=0, "NA", DT339/DO339-1)</f>
      </c>
      <c r="DU344" s="30">
        <f>DU339/DP339-1</f>
      </c>
      <c r="DV344" s="30">
        <f>DV339/DQ339-1</f>
      </c>
      <c r="DW344" s="30">
        <f>DW339/DR339-1</f>
      </c>
      <c r="DX344" s="30">
        <f>DX339/DS339-1</f>
      </c>
      <c r="DY344" s="308">
        <f>IF(DT339=0, "NA", DY339/DT339-1)</f>
      </c>
      <c r="DZ344" s="1703">
        <f>+DZ339/DU339-1</f>
      </c>
      <c r="EA344" s="1703">
        <f>+EA339/DV339-1</f>
      </c>
      <c r="EB344" s="1703">
        <f>+EB339/DW339-1</f>
      </c>
      <c r="EC344" s="1703">
        <f>+EC339/DX339-1</f>
      </c>
      <c r="ED344" s="308">
        <f>IF(DY339=0, "NA", ED339/DY339-1)</f>
      </c>
      <c r="EE344" s="1703">
        <f>+EE339/DZ339-1</f>
      </c>
      <c r="EF344" s="1703">
        <f>+EF339/EA339-1</f>
      </c>
      <c r="EG344" s="1703">
        <f>+EG339/EB339-1</f>
      </c>
      <c r="EH344" s="659">
        <v>-0.08</v>
      </c>
      <c r="EI344" s="308">
        <f>IF(ED339=0, "NA", EI339/ED339-1)</f>
      </c>
      <c r="EJ344" s="673">
        <v>0.04</v>
      </c>
      <c r="EK344" s="673">
        <v>0.03</v>
      </c>
      <c r="EL344" s="673">
        <v>0.03</v>
      </c>
      <c r="EM344" s="673">
        <v>0.02</v>
      </c>
      <c r="EN344" s="673">
        <v>0.02</v>
      </c>
      <c r="EO344" s="673">
        <v>-0.03</v>
      </c>
      <c r="EP344" s="673">
        <v>-0.15</v>
      </c>
      <c r="EQ344" s="673">
        <v>-0.2</v>
      </c>
      <c r="ER344" s="673">
        <v>-0.4</v>
      </c>
      <c r="ES344" s="673">
        <v>0</v>
      </c>
      <c r="ET344" s="657"/>
      <c r="EU344" s="657"/>
      <c r="EV344" s="657"/>
      <c r="EW344" s="657"/>
      <c r="EX344" s="657"/>
    </row>
    <row r="345" spans="1:154" ht="12.75" customHeight="1">
      <c r="B345" s="341" t="s">
        <v>412</v>
      </c>
      <c r="C345" s="1989"/>
      <c r="D345" s="28"/>
      <c r="E345" s="28"/>
      <c r="F345" s="28"/>
      <c r="G345" s="28"/>
      <c r="H345" s="28"/>
      <c r="I345" s="31"/>
      <c r="J345" s="28"/>
      <c r="K345" s="28"/>
      <c r="L345" s="28"/>
      <c r="M345" s="28"/>
      <c r="N345" s="31"/>
      <c r="O345" s="31"/>
      <c r="P345" s="31"/>
      <c r="Q345" s="31"/>
      <c r="R345" s="31"/>
      <c r="S345" s="31"/>
      <c r="T345" s="31"/>
      <c r="U345" s="31"/>
      <c r="V345" s="31"/>
      <c r="W345" s="31"/>
      <c r="X345" s="313"/>
      <c r="Y345" s="31"/>
      <c r="Z345" s="31"/>
      <c r="AA345" s="31"/>
      <c r="AB345" s="31"/>
      <c r="AC345" s="313"/>
      <c r="AD345" s="31"/>
      <c r="AE345" s="31"/>
      <c r="AF345" s="31"/>
      <c r="AG345" s="33"/>
      <c r="AH345" s="313"/>
      <c r="AI345" s="33"/>
      <c r="AJ345" s="33"/>
      <c r="AK345" s="33"/>
      <c r="AL345" s="33"/>
      <c r="AM345" s="313"/>
      <c r="AN345" s="33"/>
      <c r="AO345" s="33"/>
      <c r="AP345" s="33"/>
      <c r="AQ345" s="33"/>
      <c r="AR345" s="313"/>
      <c r="AS345" s="28"/>
      <c r="AT345" s="28"/>
      <c r="AU345" s="28"/>
      <c r="AV345" s="31"/>
      <c r="AW345" s="313"/>
      <c r="AX345" s="28"/>
      <c r="AY345" s="28"/>
      <c r="AZ345" s="28"/>
      <c r="BA345" s="28"/>
      <c r="BB345" s="313"/>
      <c r="BC345" s="28"/>
      <c r="BD345" s="28"/>
      <c r="BE345" s="28"/>
      <c r="BF345" s="28"/>
      <c r="BG345" s="313"/>
      <c r="BH345" s="28"/>
      <c r="BI345" s="28"/>
      <c r="BJ345" s="28"/>
      <c r="BK345" s="28"/>
      <c r="BL345" s="313"/>
      <c r="BM345" s="30" t="str">
        <f t="shared" si="989"/>
      </c>
      <c r="BN345" s="30" t="str">
        <f t="shared" si="989"/>
      </c>
      <c r="BO345" s="30" t="str">
        <f t="shared" si="989"/>
      </c>
      <c r="BP345" s="30" t="str">
        <f t="shared" si="989"/>
      </c>
      <c r="BQ345" s="308" t="str">
        <f t="shared" si="989"/>
      </c>
      <c r="BR345" s="30" t="str">
        <f t="shared" si="989"/>
      </c>
      <c r="BS345" s="30" t="str">
        <f t="shared" si="989"/>
      </c>
      <c r="BT345" s="30" t="str">
        <f t="shared" si="989"/>
      </c>
      <c r="BU345" s="30">
        <f t="shared" si="989"/>
      </c>
      <c r="BV345" s="308" t="str">
        <f t="shared" si="989"/>
      </c>
      <c r="BW345" s="30">
        <f t="shared" si="990"/>
      </c>
      <c r="BX345" s="30">
        <f t="shared" si="990"/>
      </c>
      <c r="BY345" s="30">
        <f t="shared" si="990"/>
      </c>
      <c r="BZ345" s="30">
        <f t="shared" si="990"/>
      </c>
      <c r="CA345" s="308">
        <f>IF(BV340="NM","NM",IF(CA340="NM","NM",IF(BV340&lt;=0,"NM",IF(CA340=0,"NM",IF(ABS(CA340/BV340-1)&gt;2.5,"NM",IF((ABS(CA340-BV340)=ABS(ABS(CA340)-ABS(BV340))),(CA340/BV340-1),"NM"))))))</f>
      </c>
      <c r="CB345" s="30">
        <f t="shared" si="990"/>
      </c>
      <c r="CC345" s="30">
        <f t="shared" si="990"/>
      </c>
      <c r="CD345" s="30">
        <f t="shared" si="990"/>
      </c>
      <c r="CE345" s="30">
        <f t="shared" si="990"/>
      </c>
      <c r="CF345" s="308">
        <f>IF(CA340="NM","NM",IF(CF340="NM","NM",IF(CA340&lt;=0,"NM",IF(CF340=0,"NM",IF(ABS(CF340/CA340-1)&gt;2.5,"NM",IF((ABS(CF340-CA340)=ABS(ABS(CF340)-ABS(CA340))),(CF340/CA340-1),"NM"))))))</f>
      </c>
      <c r="CG345" s="30">
        <f t="shared" si="990"/>
      </c>
      <c r="CH345" s="30">
        <f t="shared" si="990"/>
      </c>
      <c r="CI345" s="30">
        <f t="shared" si="990"/>
      </c>
      <c r="CJ345" s="30">
        <f t="shared" si="990"/>
      </c>
      <c r="CK345" s="308">
        <f>IF(CF340=0, "NA", CK340/CF340-1)</f>
      </c>
      <c r="CL345" s="30">
        <f t="shared" si="990"/>
      </c>
      <c r="CM345" s="30">
        <f t="shared" si="990"/>
      </c>
      <c r="CN345" s="30">
        <f t="shared" si="990"/>
      </c>
      <c r="CO345" s="30">
        <f t="shared" si="990"/>
      </c>
      <c r="CP345" s="308">
        <f>IF(CK340=0, "NA", CP340/CK340-1)</f>
      </c>
      <c r="CQ345" s="30">
        <f t="shared" si="990"/>
      </c>
      <c r="CR345" s="30">
        <f t="shared" si="990"/>
      </c>
      <c r="CS345" s="30">
        <f t="shared" si="990"/>
      </c>
      <c r="CT345" s="30">
        <f t="shared" si="990"/>
      </c>
      <c r="CU345" s="308">
        <f>IF(CP340=0, "NA", CU340/CP340-1)</f>
      </c>
      <c r="CV345" s="30">
        <f t="shared" si="990"/>
      </c>
      <c r="CW345" s="30">
        <f t="shared" si="990"/>
      </c>
      <c r="CX345" s="30">
        <f t="shared" si="990"/>
      </c>
      <c r="CY345" s="30">
        <f>IF(CT340="NM","NM",IF(CY340="NM","NM",IF(CT340&lt;=0,"NM",IF(CY340=0,"NM",IF(ABS(CY340/CT340-1)&gt;2.5,"NM",IF((ABS(CY340-CT340)=ABS(ABS(CY340)-ABS(CT340))),(CY340/CT340-1),"NM"))))))</f>
      </c>
      <c r="CZ345" s="308">
        <f>IF(CU340=0, "NA", CZ340/CU340-1)</f>
      </c>
      <c r="DA345" s="1361">
        <f t="shared" si="991"/>
      </c>
      <c r="DB345" s="30">
        <f t="shared" si="991"/>
      </c>
      <c r="DC345" s="30">
        <f t="shared" si="991"/>
      </c>
      <c r="DD345" s="30">
        <f t="shared" si="991"/>
      </c>
      <c r="DE345" s="308">
        <f>IF(CZ340=0, "NA", DE340/CZ340-1)</f>
      </c>
      <c r="DF345" s="926">
        <f>DF346+DF$21</f>
      </c>
      <c r="DG345" s="30">
        <f t="shared" si="992"/>
      </c>
      <c r="DH345" s="30">
        <f t="shared" si="992"/>
      </c>
      <c r="DI345" s="30">
        <f t="shared" si="992"/>
      </c>
      <c r="DJ345" s="308">
        <f>IF(DE340=0, "NA", DJ340/DE340-1)</f>
      </c>
      <c r="DK345" s="926">
        <f>DK346+DK$21</f>
      </c>
      <c r="DL345" s="926">
        <f>DL346+DL$21</f>
      </c>
      <c r="DM345" s="926">
        <f>DM346+DM$21</f>
      </c>
      <c r="DN345" s="928">
        <f>IF(DN340=0, "NM", DN340/DI340-1)</f>
      </c>
      <c r="DO345" s="308">
        <f>IF(DJ340=0, "NA", DO340/DJ340-1)</f>
      </c>
      <c r="DP345" s="30">
        <f t="shared" ref="DP345:DX345" si="993">IF(DK340="NM","NM",IF(DP340="NM","NM",IF(DK340&lt;=0,"NM",IF(DP340=0,"NM",IF(ABS(DP340/DK340-1)&gt;2.5,"NM",IF((ABS(DP340-DK340)=ABS(ABS(DP340)-ABS(DK340))),(DP340/DK340-1),"NM"))))))</f>
      </c>
      <c r="DQ345" s="926">
        <f t="shared" si="993"/>
      </c>
      <c r="DR345" s="926">
        <f t="shared" si="993"/>
      </c>
      <c r="DS345" s="926">
        <f t="shared" si="993"/>
      </c>
      <c r="DT345" s="308">
        <f>IF(DO340=0, "NA", DT340/DO340-1)</f>
      </c>
      <c r="DU345" s="30">
        <f t="shared" si="993"/>
      </c>
      <c r="DV345" s="30">
        <f t="shared" si="993"/>
      </c>
      <c r="DW345" s="30">
        <f t="shared" si="993"/>
      </c>
      <c r="DX345" s="30">
        <f t="shared" si="993"/>
      </c>
      <c r="DY345" s="308">
        <f>IF(DT340=0, "NA", DY340/DT340-1)</f>
      </c>
      <c r="DZ345" s="30">
        <f>IF(DU340="NM","NM",IF(DZ340="NM","NM",IF(DU340&lt;=0,"NM",IF(DZ340=0,"NM",IF(ABS(DZ340/DU340-1)&gt;2.5,"NM",IF((ABS(DZ340-DU340)=ABS(ABS(DZ340)-ABS(DU340))),(DZ340/DU340-1),"NM"))))))</f>
      </c>
      <c r="EA345" s="926">
        <f>IF(DV340="NM","NM",IF(EA340="NM","NM",IF(DV340&lt;=0,"NM",IF(EA340=0,"NM",IF(ABS(EA340/DV340-1)&gt;2.5,"NM",IF((ABS(EA340-DV340)=ABS(ABS(EA340)-ABS(DV340))),(EA340/DV340-1),"NM"))))))</f>
      </c>
      <c r="EB345" s="926">
        <f>IF(DW340="NM","NM",IF(EB340="NM","NM",IF(DW340&lt;=0,"NM",IF(EB340=0,"NM",IF(ABS(EB340/DW340-1)&gt;2.5,"NM",IF((ABS(EB340-DW340)=ABS(ABS(EB340)-ABS(DW340))),(EB340/DW340-1),"NM"))))))</f>
      </c>
      <c r="EC345" s="928">
        <f>IF(EC340=0, "NM", EC340/DX340-1)</f>
      </c>
      <c r="ED345" s="308">
        <f>IF(DY340=0, "NA", ED340/DY340-1)</f>
      </c>
      <c r="EE345" s="30">
        <f>IF(DZ340="NM","NM",IF(EE340="NM","NM",IF(DZ340&lt;=0,"NM",IF(EE340=0,"NM",IF(ABS(EE340/DZ340-1)&gt;2.5,"NM",IF((ABS(EE340-DZ340)=ABS(ABS(EE340)-ABS(DZ340))),(EE340/DZ340-1),"NM"))))))</f>
      </c>
      <c r="EF345" s="926">
        <f>IF(EA340="NM","NM",IF(EF340="NM","NM",IF(EA340&lt;=0,"NM",IF(EF340=0,"NM",IF(ABS(EF340/EA340-1)&gt;2.5,"NM",IF((ABS(EF340-EA340)=ABS(ABS(EF340)-ABS(EA340))),(EF340/EA340-1),"NM"))))))</f>
      </c>
      <c r="EG345" s="926">
        <f>IF(EB340="NM","NM",IF(EG340="NM","NM",IF(EB340&lt;=0,"NM",IF(EG340=0,"NM",IF(ABS(EG340/EB340-1)&gt;2.5,"NM",IF((ABS(EG340-EB340)=ABS(ABS(EG340)-ABS(EB340))),(EG340/EB340-1),"NM"))))))</f>
      </c>
      <c r="EH345" s="926">
        <f t="shared" ref="EH345" si="994">EH346+EH$21</f>
      </c>
      <c r="EI345" s="308">
        <f>IF(ED340=0, "NA", EI340/ED340-1)</f>
      </c>
      <c r="EJ345" s="308">
        <f t="shared" ref="EJ345:ES345" si="995">EJ346+EJ$21</f>
      </c>
      <c r="EK345" s="308">
        <f t="shared" si="995"/>
      </c>
      <c r="EL345" s="308">
        <f t="shared" si="995"/>
      </c>
      <c r="EM345" s="308">
        <f t="shared" si="995"/>
      </c>
      <c r="EN345" s="308">
        <f t="shared" si="995"/>
      </c>
      <c r="EO345" s="308">
        <f t="shared" si="995"/>
      </c>
      <c r="EP345" s="308">
        <f t="shared" si="995"/>
      </c>
      <c r="EQ345" s="308">
        <f t="shared" si="995"/>
      </c>
      <c r="ER345" s="308">
        <f t="shared" si="995"/>
      </c>
      <c r="ES345" s="308">
        <f t="shared" si="995"/>
      </c>
      <c r="ET345" s="409"/>
      <c r="EU345" s="409"/>
      <c r="EV345" s="409"/>
      <c r="EW345" s="409"/>
      <c r="EX345" s="409"/>
    </row>
    <row r="346" spans="1:154" ht="12.75" customHeight="1">
      <c r="B346" s="341" t="s">
        <v>256</v>
      </c>
      <c r="C346" s="1989"/>
      <c r="D346" s="28"/>
      <c r="E346" s="28"/>
      <c r="F346" s="28"/>
      <c r="G346" s="28"/>
      <c r="H346" s="28"/>
      <c r="I346" s="31"/>
      <c r="J346" s="28"/>
      <c r="K346" s="28"/>
      <c r="L346" s="28"/>
      <c r="M346" s="28"/>
      <c r="N346" s="31"/>
      <c r="O346" s="31"/>
      <c r="P346" s="31"/>
      <c r="Q346" s="31"/>
      <c r="R346" s="31"/>
      <c r="S346" s="31"/>
      <c r="T346" s="31"/>
      <c r="U346" s="31"/>
      <c r="V346" s="31"/>
      <c r="W346" s="31"/>
      <c r="X346" s="313"/>
      <c r="Y346" s="31"/>
      <c r="Z346" s="31"/>
      <c r="AA346" s="31"/>
      <c r="AB346" s="31"/>
      <c r="AC346" s="313"/>
      <c r="AD346" s="31"/>
      <c r="AE346" s="31"/>
      <c r="AF346" s="31"/>
      <c r="AG346" s="33"/>
      <c r="AH346" s="313"/>
      <c r="AI346" s="33"/>
      <c r="AJ346" s="33"/>
      <c r="AK346" s="33"/>
      <c r="AL346" s="33"/>
      <c r="AM346" s="313"/>
      <c r="AN346" s="33"/>
      <c r="AO346" s="33"/>
      <c r="AP346" s="33"/>
      <c r="AQ346" s="33"/>
      <c r="AR346" s="313"/>
      <c r="AS346" s="28"/>
      <c r="AT346" s="28"/>
      <c r="AU346" s="28"/>
      <c r="AV346" s="31"/>
      <c r="AW346" s="313"/>
      <c r="AX346" s="28"/>
      <c r="AY346" s="28"/>
      <c r="AZ346" s="28"/>
      <c r="BA346" s="28"/>
      <c r="BB346" s="313"/>
      <c r="BC346" s="28"/>
      <c r="BD346" s="28"/>
      <c r="BE346" s="28"/>
      <c r="BF346" s="28"/>
      <c r="BG346" s="313"/>
      <c r="BH346" s="28"/>
      <c r="BI346" s="28"/>
      <c r="BJ346" s="28"/>
      <c r="BK346" s="28"/>
      <c r="BL346" s="313"/>
      <c r="BM346" s="41" t="str">
        <f t="shared" ref="BM346:BV346" si="996">IF(ISNUMBER(BM345),(1+BM345)/(1+BM$21)-1,"NM")</f>
      </c>
      <c r="BN346" s="41" t="str">
        <f t="shared" si="996"/>
      </c>
      <c r="BO346" s="41" t="str">
        <f t="shared" si="996"/>
      </c>
      <c r="BP346" s="41" t="str">
        <f t="shared" si="996"/>
      </c>
      <c r="BQ346" s="309" t="str">
        <f t="shared" si="996"/>
      </c>
      <c r="BR346" s="41" t="str">
        <f t="shared" si="996"/>
      </c>
      <c r="BS346" s="41" t="str">
        <f t="shared" si="996"/>
      </c>
      <c r="BT346" s="41" t="str">
        <f t="shared" si="996"/>
      </c>
      <c r="BU346" s="41">
        <f t="shared" si="996"/>
      </c>
      <c r="BV346" s="309" t="str">
        <f t="shared" si="996"/>
      </c>
      <c r="BW346" s="650">
        <v>0.96</v>
      </c>
      <c r="BX346" s="650">
        <v>0.75</v>
      </c>
      <c r="BY346" s="650">
        <v>0.72899999999999998</v>
      </c>
      <c r="BZ346" s="835">
        <v>0.69399999999999995</v>
      </c>
      <c r="CA346" s="662">
        <v>0.76800000000000002</v>
      </c>
      <c r="CB346" s="361">
        <v>0.60699999999999998</v>
      </c>
      <c r="CC346" s="650">
        <v>0.42299999999999999</v>
      </c>
      <c r="CD346" s="650">
        <v>0.312</v>
      </c>
      <c r="CE346" s="835">
        <v>0.27800000000000002</v>
      </c>
      <c r="CF346" s="662">
        <v>0.39100000000000001</v>
      </c>
      <c r="CG346" s="361">
        <v>0.125</v>
      </c>
      <c r="CH346" s="361">
        <v>0.14599999999999999</v>
      </c>
      <c r="CI346" s="361">
        <v>0.14899999999999999</v>
      </c>
      <c r="CJ346" s="361">
        <v>0.17699999999999999</v>
      </c>
      <c r="CK346" s="309">
        <f>CK345-CK$21</f>
      </c>
      <c r="CL346" s="361">
        <v>0.193</v>
      </c>
      <c r="CM346" s="361">
        <v>0.21199999999999999</v>
      </c>
      <c r="CN346" s="361">
        <v>0.188</v>
      </c>
      <c r="CO346" s="361">
        <v>0.158</v>
      </c>
      <c r="CP346" s="309">
        <f>CP345-CP$21</f>
      </c>
      <c r="CQ346" s="361">
        <v>0.14299999999999999</v>
      </c>
      <c r="CR346" s="361">
        <v>0.14299999999999999</v>
      </c>
      <c r="CS346" s="361">
        <v>0.11</v>
      </c>
      <c r="CT346" s="361">
        <v>0.08</v>
      </c>
      <c r="CU346" s="309">
        <f>CU345-CU$21</f>
      </c>
      <c r="CV346" s="361">
        <v>0.152</v>
      </c>
      <c r="CW346" s="361">
        <v>0.105</v>
      </c>
      <c r="CX346" s="361">
        <v>0.16600000000000001</v>
      </c>
      <c r="CY346" s="361">
        <v>0.126</v>
      </c>
      <c r="CZ346" s="309">
        <f>CZ345-CZ$21</f>
      </c>
      <c r="DA346" s="1109">
        <v>0.152</v>
      </c>
      <c r="DB346" s="361">
        <v>0.17199999999999999</v>
      </c>
      <c r="DC346" s="1109">
        <v>9.4E-2</v>
      </c>
      <c r="DD346" s="1525">
        <v>0.13200000000000001</v>
      </c>
      <c r="DE346" s="1233">
        <f>DE345-DE$21</f>
      </c>
      <c r="DF346" s="1208">
        <v>0.05</v>
      </c>
      <c r="DG346" s="1208">
        <v>-0.2</v>
      </c>
      <c r="DH346" s="1208">
        <v>-0.1</v>
      </c>
      <c r="DI346" s="1235">
        <f>IF(DI340=0, "NM",DI345-DI$21)</f>
      </c>
      <c r="DJ346" s="1233">
        <f>DJ345-DJ$21</f>
      </c>
      <c r="DK346" s="1208">
        <v>0.14000000000000001</v>
      </c>
      <c r="DL346" s="29">
        <v>0.14000000000000001</v>
      </c>
      <c r="DM346" s="29">
        <v>0.14000000000000001</v>
      </c>
      <c r="DN346" s="928">
        <f>IF(DN340=0, "NM",DN345-DN$21)</f>
      </c>
      <c r="DO346" s="1233">
        <f t="shared" ref="DO346:DT346" si="997">DO345-DO$21</f>
      </c>
      <c r="DP346" s="926">
        <f t="shared" si="997"/>
      </c>
      <c r="DQ346" s="410">
        <f t="shared" si="997"/>
      </c>
      <c r="DR346" s="410">
        <f t="shared" si="997"/>
      </c>
      <c r="DS346" s="410">
        <f t="shared" si="997"/>
      </c>
      <c r="DT346" s="1233">
        <f t="shared" si="997"/>
      </c>
      <c r="DU346" s="926">
        <f>DU345-(-5.7%)</f>
      </c>
      <c r="DV346" s="926">
        <f>DV345-(-1.8%)</f>
      </c>
      <c r="DW346" s="926">
        <f>DW345-(0.4%)</f>
      </c>
      <c r="DX346" s="926">
        <f>DX345-(0.2%)</f>
      </c>
      <c r="DY346" s="1233">
        <f>DY345-DY$21</f>
      </c>
      <c r="DZ346" s="1703">
        <f>DZ345-(1.3%)</f>
      </c>
      <c r="EA346" s="1703">
        <f>EA345-(-4.1%)</f>
      </c>
      <c r="EB346" s="1703">
        <f>EB345-(-1.8%)</f>
      </c>
      <c r="EC346" s="1703">
        <f>EC345-(-2.2%)</f>
      </c>
      <c r="ED346" s="1233">
        <f>ED345-ED$21</f>
      </c>
      <c r="EE346" s="1703">
        <f>EE345-(1.3%)</f>
      </c>
      <c r="EF346" s="1703">
        <f>EF345-(1.6%)</f>
      </c>
      <c r="EG346" s="1703">
        <f>EG345-(-1.8%)</f>
      </c>
      <c r="EH346" s="659">
        <v>-7.0000000000000007E-2</v>
      </c>
      <c r="EI346" s="1233">
        <f>EI345-EI$21</f>
      </c>
      <c r="EJ346" s="673">
        <v>-0.01</v>
      </c>
      <c r="EK346" s="673">
        <v>-0.05</v>
      </c>
      <c r="EL346" s="673">
        <v>-0.05</v>
      </c>
      <c r="EM346" s="673">
        <v>-0.05</v>
      </c>
      <c r="EN346" s="673">
        <v>-0.05</v>
      </c>
      <c r="EO346" s="673">
        <v>-0.09</v>
      </c>
      <c r="EP346" s="673">
        <v>-0.05</v>
      </c>
      <c r="EQ346" s="673">
        <v>-0.05</v>
      </c>
      <c r="ER346" s="673">
        <v>-0.2</v>
      </c>
      <c r="ES346" s="673">
        <v>0</v>
      </c>
      <c r="ET346" s="657"/>
      <c r="EU346" s="657"/>
      <c r="EV346" s="657"/>
      <c r="EW346" s="657"/>
      <c r="EX346" s="657"/>
    </row>
    <row r="347" spans="1:154" ht="12.75" customHeight="1">
      <c r="B347" s="341" t="s">
        <v>413</v>
      </c>
      <c r="C347" s="1989"/>
      <c r="D347" s="28"/>
      <c r="E347" s="28"/>
      <c r="F347" s="28"/>
      <c r="G347" s="28"/>
      <c r="H347" s="28"/>
      <c r="I347" s="31"/>
      <c r="J347" s="28"/>
      <c r="K347" s="28"/>
      <c r="L347" s="28"/>
      <c r="M347" s="28"/>
      <c r="N347" s="31"/>
      <c r="O347" s="31"/>
      <c r="P347" s="31"/>
      <c r="Q347" s="31"/>
      <c r="R347" s="31"/>
      <c r="S347" s="31"/>
      <c r="T347" s="31"/>
      <c r="U347" s="31"/>
      <c r="V347" s="31"/>
      <c r="W347" s="31"/>
      <c r="X347" s="313"/>
      <c r="Y347" s="31"/>
      <c r="Z347" s="31"/>
      <c r="AA347" s="31"/>
      <c r="AB347" s="31"/>
      <c r="AC347" s="313"/>
      <c r="AD347" s="31"/>
      <c r="AE347" s="31"/>
      <c r="AF347" s="31"/>
      <c r="AG347" s="33"/>
      <c r="AH347" s="313"/>
      <c r="AI347" s="33"/>
      <c r="AJ347" s="33"/>
      <c r="AK347" s="33"/>
      <c r="AL347" s="33"/>
      <c r="AM347" s="313"/>
      <c r="AN347" s="33"/>
      <c r="AO347" s="33"/>
      <c r="AP347" s="33"/>
      <c r="AQ347" s="33"/>
      <c r="AR347" s="313"/>
      <c r="AS347" s="28"/>
      <c r="AT347" s="28"/>
      <c r="AU347" s="28"/>
      <c r="AV347" s="31"/>
      <c r="AW347" s="313"/>
      <c r="AX347" s="28"/>
      <c r="AY347" s="28"/>
      <c r="AZ347" s="28"/>
      <c r="BA347" s="28"/>
      <c r="BB347" s="313"/>
      <c r="BC347" s="28"/>
      <c r="BD347" s="28"/>
      <c r="BE347" s="28"/>
      <c r="BF347" s="28"/>
      <c r="BG347" s="313"/>
      <c r="BH347" s="28"/>
      <c r="BI347" s="28"/>
      <c r="BJ347" s="28"/>
      <c r="BK347" s="28"/>
      <c r="BL347" s="313"/>
      <c r="BM347" s="30">
        <f t="shared" ref="BM347:CA347" si="998">IF(BH341="NM","NM",IF(BM341="NM","NM",IF(BH341&lt;=0,"NM",IF(BM341=0,"NM",IF(ABS(BM341/BH341-1)&gt;2.5,"NM",IF((ABS(BM341-BH341)=ABS(ABS(BM341)-ABS(BH341))),(BM341/BH341-1),"NM"))))))</f>
      </c>
      <c r="BN347" s="30">
        <f t="shared" si="998"/>
      </c>
      <c r="BO347" s="30">
        <f t="shared" si="998"/>
      </c>
      <c r="BP347" s="30">
        <f t="shared" si="998"/>
      </c>
      <c r="BQ347" s="308">
        <f t="shared" si="998"/>
      </c>
      <c r="BR347" s="30">
        <f t="shared" si="998"/>
      </c>
      <c r="BS347" s="30">
        <f t="shared" si="998"/>
      </c>
      <c r="BT347" s="30">
        <f t="shared" si="998"/>
      </c>
      <c r="BU347" s="30">
        <f t="shared" si="998"/>
      </c>
      <c r="BV347" s="308">
        <f t="shared" si="998"/>
      </c>
      <c r="BW347" s="30">
        <f t="shared" si="998"/>
      </c>
      <c r="BX347" s="30">
        <f t="shared" si="998"/>
      </c>
      <c r="BY347" s="30">
        <f t="shared" si="998"/>
      </c>
      <c r="BZ347" s="30">
        <f t="shared" si="998"/>
      </c>
      <c r="CA347" s="308">
        <f t="shared" si="998"/>
      </c>
      <c r="CB347" s="30">
        <f t="shared" ref="CB347:CX347" si="999">IF(BW341="NM","NM",IF(CB341="NM","NM",IF(BW341&lt;=0,"NM",IF(CB341=0,"NM",IF(ABS(CB341/BW341-1)&gt;2.5,"NM",IF((ABS(CB341-BW341)=ABS(ABS(CB341)-ABS(BW341))),(CB341/BW341-1),"NM"))))))</f>
      </c>
      <c r="CC347" s="30">
        <f t="shared" si="999"/>
      </c>
      <c r="CD347" s="30">
        <f t="shared" si="999"/>
      </c>
      <c r="CE347" s="30">
        <f t="shared" si="999"/>
      </c>
      <c r="CF347" s="308">
        <f t="shared" si="999"/>
      </c>
      <c r="CG347" s="30">
        <f t="shared" si="999"/>
      </c>
      <c r="CH347" s="30">
        <f t="shared" si="999"/>
      </c>
      <c r="CI347" s="30">
        <f t="shared" si="999"/>
      </c>
      <c r="CJ347" s="30">
        <f t="shared" si="999"/>
      </c>
      <c r="CK347" s="308">
        <f>IF(CF341=0, "NA", CK341/CF341-1)</f>
      </c>
      <c r="CL347" s="30">
        <f t="shared" si="999"/>
      </c>
      <c r="CM347" s="30">
        <f t="shared" si="999"/>
      </c>
      <c r="CN347" s="30">
        <f t="shared" si="999"/>
      </c>
      <c r="CO347" s="30">
        <f t="shared" si="999"/>
      </c>
      <c r="CP347" s="308">
        <f>IF(CK341=0, "NA", CP341/CK341-1)</f>
      </c>
      <c r="CQ347" s="30">
        <f t="shared" si="999"/>
      </c>
      <c r="CR347" s="30">
        <f t="shared" si="999"/>
      </c>
      <c r="CS347" s="30">
        <f t="shared" si="999"/>
      </c>
      <c r="CT347" s="30">
        <f t="shared" si="999"/>
      </c>
      <c r="CU347" s="308">
        <f>IF(CP341=0, "NA", CU341/CP341-1)</f>
      </c>
      <c r="CV347" s="30">
        <f t="shared" si="999"/>
      </c>
      <c r="CW347" s="30">
        <f t="shared" si="999"/>
      </c>
      <c r="CX347" s="30">
        <f t="shared" si="999"/>
      </c>
      <c r="CY347" s="30">
        <f>IF(CT341="NM","NM",IF(CY341="NM","NM",IF(CT341&lt;=0,"NM",IF(CY341=0,"NM",IF(ABS(CY341/CT341-1)&gt;2.5,"NM",IF((ABS(CY341-CT341)=ABS(ABS(CY341)-ABS(CT341))),(CY341/CT341-1),"NM"))))))</f>
      </c>
      <c r="CZ347" s="308">
        <f>IF(CU341=0, "NA", CZ341/CU341-1)</f>
      </c>
      <c r="DA347" s="30">
        <f>IF(CV341="NM","NM",IF(DA341="NM","NM",IF(CV341&lt;=0,"NM",IF(DA341=0,"NM",IF(ABS(DA341/CV341-1)&gt;2.5,"NM",IF((ABS(DA341-CV341)=ABS(ABS(DA341)-ABS(CV341))),(DA341/CV341-1),"NM"))))))</f>
      </c>
      <c r="DB347" s="926">
        <f>IF(CW341=0, "NA", DB341/CW341-1)</f>
      </c>
      <c r="DC347" s="926">
        <f>IF(CX341=0, "NA", DC341/CX341-1)</f>
      </c>
      <c r="DD347" s="928">
        <f>IF(CY341=0, "NM", DD341/CY341-1)</f>
      </c>
      <c r="DE347" s="308">
        <f>IF(CZ341=0, "NA", DE341/CZ341-1)</f>
      </c>
      <c r="DF347" s="926">
        <f>IF(DA341=0, "NA", DF341/DA341-1)</f>
      </c>
      <c r="DG347" s="926">
        <f>IF(DB341=0, "NA", DG341/DB341-1)</f>
      </c>
      <c r="DH347" s="926">
        <f>IF(DC341=0, "NA", DH341/DC341-1)</f>
      </c>
      <c r="DI347" s="928">
        <f>IF(DD341=0, "NM", DI341/DD341-1)</f>
      </c>
      <c r="DJ347" s="308">
        <f>IF(DE341=0, "NA", DJ341/DE341-1)</f>
      </c>
      <c r="DK347" s="926">
        <f>IF(DF341=0, "NA", DK341/DF341-1)</f>
      </c>
      <c r="DL347" s="926">
        <f>IF(DG341=0, "NA", DL341/DG341-1)</f>
      </c>
      <c r="DM347" s="926">
        <f>IF(DH341=0, "NA", DM341/DH341-1)</f>
      </c>
      <c r="DN347" s="928">
        <f>IF(DI341=0, "NM", DN341/DI341-1)</f>
      </c>
      <c r="DO347" s="308">
        <f>IF(DJ341=0, "NA", DO341/DJ341-1)</f>
      </c>
      <c r="DP347" s="958">
        <f>IF(DK341=0, "NA", DP341/DK341-1)</f>
      </c>
      <c r="DQ347" s="926">
        <f>IF(DL341=0, "NA", DQ341/DL341-1)</f>
      </c>
      <c r="DR347" s="926">
        <f>IF(DM341=0, "NA", DR341/DM341-1)</f>
      </c>
      <c r="DS347" s="928">
        <f>IF(DN341=0, "NM", DS341/DN341-1)</f>
      </c>
      <c r="DT347" s="308">
        <f t="shared" ref="DT347:ED347" si="1000">IF(DO341=0, "NA", DT341/DO341-1)</f>
      </c>
      <c r="DU347" s="958">
        <f t="shared" si="1000"/>
      </c>
      <c r="DV347" s="926">
        <f t="shared" si="1000"/>
      </c>
      <c r="DW347" s="926">
        <f t="shared" si="1000"/>
      </c>
      <c r="DX347" s="926">
        <f t="shared" si="1000"/>
      </c>
      <c r="DY347" s="308">
        <f t="shared" si="1000"/>
      </c>
      <c r="DZ347" s="926">
        <f>IF(DU341=0, "NA", DZ341/DU341-1)</f>
      </c>
      <c r="EA347" s="926">
        <f>IF(DV341=0, "NA", EA341/DV341-1)</f>
      </c>
      <c r="EB347" s="926">
        <f>IF(DW341=0, "NA", EB341/DW341-1)</f>
      </c>
      <c r="EC347" s="928">
        <f>IF(DX341=0, "NM", EC341/DX341-1)</f>
      </c>
      <c r="ED347" s="308">
        <f t="shared" si="1000"/>
      </c>
      <c r="EE347" s="926">
        <f>IF(DZ341=0, "NA", EE341/DZ341-1)</f>
      </c>
      <c r="EF347" s="926">
        <f>IF(EA341=0, "NA", EF341/EA341-1)</f>
      </c>
      <c r="EG347" s="926">
        <f>IF(EB341=0, "NA", EG341/EB341-1)</f>
      </c>
      <c r="EH347" s="926">
        <f t="shared" ref="EH347:EI347" si="1001">IF(EC341=0, "NA", EH341/EC341-1)</f>
      </c>
      <c r="EI347" s="308">
        <f t="shared" si="1001"/>
      </c>
      <c r="EJ347" s="308">
        <f t="shared" ref="EJ347:EN347" si="1002">IF(EI341=0, "NA", EJ341/EI341-1)</f>
      </c>
      <c r="EK347" s="308">
        <f t="shared" si="1002"/>
      </c>
      <c r="EL347" s="308">
        <f t="shared" si="1002"/>
      </c>
      <c r="EM347" s="308">
        <f t="shared" si="1002"/>
      </c>
      <c r="EN347" s="308">
        <f t="shared" si="1002"/>
      </c>
      <c r="EO347" s="308">
        <f>IF(EN341=0, "NA", EO341/EN341-1)</f>
      </c>
      <c r="EP347" s="308">
        <f>IF(EO341=0, "NA", EP341/EO341-1)</f>
      </c>
      <c r="EQ347" s="308">
        <f>IF(EP341=0, "NA", EQ341/EP341-1)</f>
      </c>
      <c r="ER347" s="308">
        <f>IF(EQ341=0, "NA", ER341/EQ341-1)</f>
      </c>
      <c r="ES347" s="308">
        <f t="shared" ref="ES347" si="1003">IF(ER341=0, "NA", ES341/ER341-1)</f>
      </c>
      <c r="ET347" s="409"/>
      <c r="EU347" s="409"/>
      <c r="EV347" s="409"/>
      <c r="EW347" s="409"/>
      <c r="EX347" s="409"/>
    </row>
    <row r="348" spans="1:154" ht="12.75" customHeight="1">
      <c r="B348" s="912"/>
      <c r="C348" s="1989"/>
      <c r="D348" s="28"/>
      <c r="E348" s="28"/>
      <c r="F348" s="28"/>
      <c r="G348" s="28"/>
      <c r="H348" s="28"/>
      <c r="I348" s="31"/>
      <c r="J348" s="28"/>
      <c r="K348" s="28"/>
      <c r="L348" s="28"/>
      <c r="M348" s="28"/>
      <c r="N348" s="31"/>
      <c r="O348" s="31"/>
      <c r="P348" s="31"/>
      <c r="Q348" s="31"/>
      <c r="R348" s="31"/>
      <c r="S348" s="31"/>
      <c r="T348" s="31"/>
      <c r="U348" s="31"/>
      <c r="V348" s="31"/>
      <c r="W348" s="31"/>
      <c r="X348" s="313"/>
      <c r="Y348" s="31"/>
      <c r="Z348" s="31"/>
      <c r="AA348" s="31"/>
      <c r="AB348" s="31"/>
      <c r="AC348" s="313"/>
      <c r="AD348" s="31"/>
      <c r="AE348" s="31"/>
      <c r="AF348" s="31"/>
      <c r="AG348" s="33"/>
      <c r="AH348" s="313"/>
      <c r="AI348" s="33"/>
      <c r="AJ348" s="33"/>
      <c r="AK348" s="33"/>
      <c r="AL348" s="33"/>
      <c r="AM348" s="313"/>
      <c r="AN348" s="33"/>
      <c r="AO348" s="33"/>
      <c r="AP348" s="33"/>
      <c r="AQ348" s="33"/>
      <c r="AR348" s="313"/>
      <c r="AS348" s="28"/>
      <c r="AT348" s="28"/>
      <c r="AU348" s="28"/>
      <c r="AV348" s="31"/>
      <c r="AW348" s="313"/>
      <c r="AX348" s="28"/>
      <c r="AY348" s="28"/>
      <c r="AZ348" s="28"/>
      <c r="BA348" s="28"/>
      <c r="BB348" s="313"/>
      <c r="BC348" s="28"/>
      <c r="BD348" s="28"/>
      <c r="BE348" s="28"/>
      <c r="BF348" s="28"/>
      <c r="BG348" s="313"/>
      <c r="BH348" s="28"/>
      <c r="BI348" s="28"/>
      <c r="BJ348" s="28"/>
      <c r="BK348" s="28"/>
      <c r="BL348" s="313"/>
      <c r="BM348" s="30"/>
      <c r="BN348" s="30"/>
      <c r="BO348" s="30"/>
      <c r="BP348" s="30"/>
      <c r="BQ348" s="308"/>
      <c r="BR348" s="30"/>
      <c r="BS348" s="30"/>
      <c r="BT348" s="30"/>
      <c r="BU348" s="30"/>
      <c r="BV348" s="308"/>
      <c r="BW348" s="30"/>
      <c r="BX348" s="30"/>
      <c r="BY348" s="30"/>
      <c r="BZ348" s="30"/>
      <c r="CA348" s="308"/>
      <c r="CB348" s="30"/>
      <c r="CC348" s="30"/>
      <c r="CD348" s="30"/>
      <c r="CE348" s="30"/>
      <c r="CF348" s="308"/>
      <c r="CG348" s="30"/>
      <c r="CH348" s="30"/>
      <c r="CI348" s="30"/>
      <c r="CJ348" s="30"/>
      <c r="CK348" s="308"/>
      <c r="CL348" s="30"/>
      <c r="CM348" s="30"/>
      <c r="CN348" s="30"/>
      <c r="CO348" s="30"/>
      <c r="CP348" s="308"/>
      <c r="CQ348" s="30"/>
      <c r="CR348" s="30"/>
      <c r="CS348" s="30"/>
      <c r="CT348" s="30"/>
      <c r="CU348" s="308"/>
      <c r="CV348" s="30"/>
      <c r="CW348" s="30"/>
      <c r="CX348" s="30"/>
      <c r="CY348" s="30"/>
      <c r="CZ348" s="308"/>
      <c r="DA348" s="30"/>
      <c r="DB348" s="926"/>
      <c r="DC348" s="926"/>
      <c r="DD348" s="928"/>
      <c r="DE348" s="308"/>
      <c r="DF348" s="926"/>
      <c r="DG348" s="926"/>
      <c r="DH348" s="926"/>
      <c r="DI348" s="928"/>
      <c r="DJ348" s="308"/>
      <c r="DK348" s="926"/>
      <c r="DL348" s="926"/>
      <c r="DM348" s="926"/>
      <c r="DN348" s="928"/>
      <c r="DO348" s="308"/>
      <c r="DP348" s="926"/>
      <c r="DQ348" s="926"/>
      <c r="DR348" s="926"/>
      <c r="DS348" s="928"/>
      <c r="DT348" s="308"/>
      <c r="DU348" s="926"/>
      <c r="DV348" s="926"/>
      <c r="DW348" s="926"/>
      <c r="DX348" s="928"/>
      <c r="DY348" s="308"/>
      <c r="DZ348" s="926"/>
      <c r="EA348" s="926"/>
      <c r="EB348" s="926"/>
      <c r="EC348" s="928"/>
      <c r="ED348" s="1060"/>
      <c r="EE348" s="926"/>
      <c r="EF348" s="926"/>
      <c r="EG348" s="926"/>
      <c r="EH348" s="928"/>
      <c r="EI348" s="308"/>
      <c r="EJ348" s="308"/>
      <c r="EK348" s="308"/>
      <c r="EL348" s="308"/>
      <c r="EM348" s="308"/>
      <c r="EN348" s="308"/>
      <c r="EO348" s="409"/>
      <c r="EP348" s="308"/>
      <c r="EQ348" s="308"/>
      <c r="ER348" s="308"/>
      <c r="ES348" s="409"/>
      <c r="ET348" s="409"/>
      <c r="EU348" s="409"/>
      <c r="EV348" s="409"/>
      <c r="EW348" s="409"/>
      <c r="EX348" s="409"/>
    </row>
    <row r="349" spans="1:154" outlineLevel="1">
      <c r="B349" s="2684" t="s">
        <v>798</v>
      </c>
      <c r="C349" s="1392"/>
      <c r="D349" s="894"/>
      <c r="E349" s="894"/>
      <c r="F349" s="895"/>
      <c r="G349" s="895"/>
      <c r="H349" s="895"/>
      <c r="I349" s="895"/>
      <c r="J349" s="895"/>
      <c r="K349" s="895"/>
      <c r="L349" s="895"/>
      <c r="M349" s="895"/>
      <c r="N349" s="895"/>
      <c r="O349" s="896"/>
      <c r="P349" s="895"/>
      <c r="Q349" s="895"/>
      <c r="R349" s="895"/>
      <c r="S349" s="895"/>
      <c r="T349" s="896"/>
      <c r="U349" s="895"/>
      <c r="V349" s="895"/>
      <c r="W349" s="895"/>
      <c r="X349" s="898"/>
      <c r="Y349" s="896"/>
      <c r="Z349" s="895"/>
      <c r="AA349" s="895"/>
      <c r="AB349" s="895"/>
      <c r="AC349" s="898"/>
      <c r="AD349" s="896"/>
      <c r="AE349" s="895"/>
      <c r="AF349" s="895"/>
      <c r="AG349" s="895"/>
      <c r="AH349" s="898"/>
      <c r="AI349" s="896"/>
      <c r="AJ349" s="895"/>
      <c r="AK349" s="895"/>
      <c r="AL349" s="895"/>
      <c r="AM349" s="898"/>
      <c r="AN349" s="896"/>
      <c r="AO349" s="895"/>
      <c r="AP349" s="895"/>
      <c r="AQ349" s="897"/>
      <c r="AR349" s="898"/>
      <c r="AS349" s="896"/>
      <c r="AT349" s="895"/>
      <c r="AU349" s="895"/>
      <c r="AV349" s="895"/>
      <c r="AW349" s="898"/>
      <c r="AX349" s="896"/>
      <c r="AY349" s="895"/>
      <c r="AZ349" s="895"/>
      <c r="BA349" s="895"/>
      <c r="BB349" s="898"/>
      <c r="BC349" s="896"/>
      <c r="BD349" s="895"/>
      <c r="BE349" s="895"/>
      <c r="BF349" s="895"/>
      <c r="BG349" s="898"/>
      <c r="BH349" s="896"/>
      <c r="BI349" s="895"/>
      <c r="BJ349" s="895"/>
      <c r="BK349" s="895"/>
      <c r="BL349" s="898"/>
      <c r="BM349" s="895"/>
      <c r="BN349" s="895"/>
      <c r="BO349" s="895"/>
      <c r="BP349" s="895"/>
      <c r="BQ349" s="898"/>
      <c r="BR349" s="895"/>
      <c r="BS349" s="895"/>
      <c r="BT349" s="895"/>
      <c r="BU349" s="895"/>
      <c r="BV349" s="898"/>
      <c r="BW349" s="895"/>
      <c r="BX349" s="895"/>
      <c r="BY349" s="895"/>
      <c r="BZ349" s="895"/>
      <c r="CA349" s="898"/>
      <c r="CB349" s="895"/>
      <c r="CC349" s="895"/>
      <c r="CD349" s="895"/>
      <c r="CE349" s="895"/>
      <c r="CF349" s="898"/>
      <c r="CG349" s="895"/>
      <c r="CH349" s="895"/>
      <c r="CI349" s="895"/>
      <c r="CJ349" s="895"/>
      <c r="CK349" s="899"/>
      <c r="CL349" s="1015"/>
      <c r="CM349" s="895"/>
      <c r="CN349" s="895"/>
      <c r="CO349" s="895"/>
      <c r="CP349" s="899"/>
      <c r="CQ349" s="895"/>
      <c r="CR349" s="895"/>
      <c r="CS349" s="895"/>
      <c r="CT349" s="915"/>
      <c r="CU349" s="899"/>
      <c r="CV349" s="895"/>
      <c r="CW349" s="895"/>
      <c r="CX349" s="895"/>
      <c r="CY349" s="915"/>
      <c r="CZ349" s="899"/>
      <c r="DA349" s="1015"/>
      <c r="DB349" s="1509"/>
      <c r="DC349" s="895"/>
      <c r="DD349" s="915"/>
      <c r="DE349" s="899"/>
      <c r="DF349" s="1015"/>
      <c r="DG349" s="895"/>
      <c r="DH349" s="895"/>
      <c r="DI349" s="915"/>
      <c r="DJ349" s="899"/>
      <c r="DK349" s="1015"/>
      <c r="DL349" s="895"/>
      <c r="DM349" s="895"/>
      <c r="DN349" s="915"/>
      <c r="DO349" s="899"/>
      <c r="DP349" s="895"/>
      <c r="DQ349" s="895"/>
      <c r="DR349" s="895"/>
      <c r="DS349" s="915"/>
      <c r="DT349" s="899"/>
      <c r="DV349" s="2460"/>
      <c r="DW349" s="2460"/>
      <c r="DY349" s="1808"/>
      <c r="DZ349" s="2460"/>
      <c r="EA349" s="3946">
        <f>EA350-DZ350</f>
      </c>
      <c r="EB349" s="3946">
        <f t="shared" ref="EB349:EC349" si="1004">EB350-EA350</f>
      </c>
      <c r="EC349" s="3946">
        <f t="shared" si="1004"/>
      </c>
      <c r="ED349" s="2467"/>
      <c r="EE349" s="2460"/>
      <c r="EF349" s="3946">
        <f>EF350-EE350</f>
      </c>
      <c r="EG349" s="3946">
        <f t="shared" ref="EG349" si="1005">EG350-EF350</f>
      </c>
      <c r="EH349" s="3946">
        <f t="shared" ref="EH349" si="1006">EH350-EG350</f>
      </c>
      <c r="EI349" s="2412"/>
      <c r="EJ349" s="2412"/>
      <c r="EK349" s="2412"/>
      <c r="EL349" s="2412"/>
      <c r="EM349" s="2412"/>
      <c r="EN349" s="2412"/>
      <c r="EO349" s="2921">
        <f t="shared" ref="EO349:ES349" si="1007">IFERROR((EO350/EN350)-1,"")</f>
      </c>
      <c r="EP349" s="2412">
        <f t="shared" si="1007"/>
      </c>
      <c r="EQ349" s="2412">
        <f t="shared" si="1007"/>
      </c>
      <c r="ER349" s="2412">
        <f t="shared" si="1007"/>
      </c>
      <c r="ES349" s="2412">
        <f t="shared" si="1007"/>
      </c>
      <c r="ET349" s="899"/>
      <c r="EU349" s="915"/>
      <c r="EV349" s="899"/>
      <c r="EW349" s="899"/>
      <c r="EX349" s="915"/>
    </row>
    <row r="350" spans="1:154" outlineLevel="1">
      <c r="B350" s="907" t="s">
        <v>153</v>
      </c>
      <c r="C350" s="1392"/>
      <c r="D350" s="894"/>
      <c r="E350" s="894"/>
      <c r="F350" s="895"/>
      <c r="G350" s="895"/>
      <c r="H350" s="895"/>
      <c r="I350" s="895"/>
      <c r="J350" s="895"/>
      <c r="K350" s="895"/>
      <c r="L350" s="895"/>
      <c r="M350" s="895"/>
      <c r="N350" s="895"/>
      <c r="O350" s="896"/>
      <c r="P350" s="895"/>
      <c r="Q350" s="895"/>
      <c r="R350" s="895"/>
      <c r="S350" s="895"/>
      <c r="T350" s="896"/>
      <c r="U350" s="895"/>
      <c r="V350" s="895"/>
      <c r="W350" s="895"/>
      <c r="X350" s="899"/>
      <c r="Y350" s="896"/>
      <c r="Z350" s="895"/>
      <c r="AA350" s="895"/>
      <c r="AB350" s="895"/>
      <c r="AC350" s="899"/>
      <c r="AD350" s="896"/>
      <c r="AE350" s="895"/>
      <c r="AF350" s="895"/>
      <c r="AG350" s="895"/>
      <c r="AH350" s="899"/>
      <c r="AI350" s="896"/>
      <c r="AJ350" s="895"/>
      <c r="AK350" s="895"/>
      <c r="AL350" s="895"/>
      <c r="AM350" s="899"/>
      <c r="AN350" s="896"/>
      <c r="AO350" s="895"/>
      <c r="AP350" s="895"/>
      <c r="AQ350" s="897"/>
      <c r="AR350" s="899"/>
      <c r="AS350" s="896"/>
      <c r="AT350" s="895"/>
      <c r="AU350" s="895"/>
      <c r="AV350" s="895"/>
      <c r="AW350" s="899"/>
      <c r="AX350" s="896"/>
      <c r="AY350" s="895"/>
      <c r="AZ350" s="895"/>
      <c r="BA350" s="895"/>
      <c r="BB350" s="899"/>
      <c r="BC350" s="896"/>
      <c r="BD350" s="895"/>
      <c r="BE350" s="895"/>
      <c r="BF350" s="895"/>
      <c r="BG350" s="899"/>
      <c r="BH350" s="896"/>
      <c r="BI350" s="895"/>
      <c r="BJ350" s="895"/>
      <c r="BK350" s="895"/>
      <c r="BL350" s="899"/>
      <c r="BM350" s="895"/>
      <c r="BN350" s="908"/>
      <c r="BO350" s="895"/>
      <c r="BP350" s="895"/>
      <c r="BQ350" s="899"/>
      <c r="BR350" s="895"/>
      <c r="BS350" s="908"/>
      <c r="BT350" s="895"/>
      <c r="BU350" s="895"/>
      <c r="BV350" s="899"/>
      <c r="BW350" s="908"/>
      <c r="BX350" s="908"/>
      <c r="BY350" s="908"/>
      <c r="BZ350" s="908"/>
      <c r="CA350" s="899"/>
      <c r="CB350" s="908"/>
      <c r="CC350" s="895"/>
      <c r="CD350" s="908"/>
      <c r="CE350" s="908"/>
      <c r="CF350" s="899"/>
      <c r="CG350" s="908"/>
      <c r="CH350" s="908"/>
      <c r="CI350" s="908"/>
      <c r="CJ350" s="908"/>
      <c r="CK350" s="899"/>
      <c r="CL350" s="1015"/>
      <c r="CM350" s="895"/>
      <c r="CN350" s="895"/>
      <c r="CO350" s="908"/>
      <c r="CP350" s="909">
        <v>0</v>
      </c>
      <c r="CQ350" s="895"/>
      <c r="CR350" s="895"/>
      <c r="CS350" s="895"/>
      <c r="CT350" s="915"/>
      <c r="CU350" s="909">
        <v>0</v>
      </c>
      <c r="CV350" s="908">
        <v>0</v>
      </c>
      <c r="CW350" s="908"/>
      <c r="CX350" s="908"/>
      <c r="CY350" s="915"/>
      <c r="CZ350" s="909"/>
      <c r="DA350" s="1321">
        <v>0</v>
      </c>
      <c r="DB350" s="1512">
        <v>0</v>
      </c>
      <c r="DC350" s="908">
        <v>65</v>
      </c>
      <c r="DD350" s="915">
        <f>+DE350-SUM(DA350:DC350)</f>
      </c>
      <c r="DE350" s="909"/>
      <c r="DF350" s="1321"/>
      <c r="DG350" s="908"/>
      <c r="DH350" s="1512"/>
      <c r="DI350" s="908"/>
      <c r="DJ350" s="909"/>
      <c r="DK350" s="908"/>
      <c r="DL350" s="908"/>
      <c r="DM350" s="908"/>
      <c r="DN350" s="915"/>
      <c r="DO350" s="909"/>
      <c r="DP350" s="908">
        <v>61</v>
      </c>
      <c r="DQ350" s="908">
        <v>74</v>
      </c>
      <c r="DR350" s="908">
        <v>88</v>
      </c>
      <c r="DS350" s="1021">
        <v>105</v>
      </c>
      <c r="DT350" s="899">
        <f>SUM(DP350:DS350)</f>
      </c>
      <c r="DU350" s="908">
        <v>111</v>
      </c>
      <c r="DV350" s="908">
        <v>144</v>
      </c>
      <c r="DW350" s="908">
        <v>154</v>
      </c>
      <c r="DX350" s="908">
        <v>180</v>
      </c>
      <c r="DY350" s="899">
        <f>SUM(DU350:DX350)</f>
      </c>
      <c r="DZ350" s="908">
        <v>191</v>
      </c>
      <c r="EA350" s="908">
        <v>226.4</v>
      </c>
      <c r="EB350" s="908">
        <v>242.5</v>
      </c>
      <c r="EC350" s="1021">
        <v>269</v>
      </c>
      <c r="ED350" s="899">
        <f>SUM(DZ350:EC350)</f>
      </c>
      <c r="EE350" s="908">
        <v>276</v>
      </c>
      <c r="EF350" s="908">
        <v>366</v>
      </c>
      <c r="EG350" s="908">
        <v>405</v>
      </c>
      <c r="EH350" s="908">
        <v>430</v>
      </c>
      <c r="EI350" s="1015">
        <f>SUM(EE350:EH350)</f>
      </c>
      <c r="EJ350" s="909">
        <v>1950</v>
      </c>
      <c r="EK350" s="909">
        <v>2350</v>
      </c>
      <c r="EL350" s="909">
        <v>2600</v>
      </c>
      <c r="EM350" s="909">
        <v>2800</v>
      </c>
      <c r="EN350" s="909">
        <v>2900</v>
      </c>
      <c r="EO350" s="909">
        <v>3000</v>
      </c>
      <c r="EP350" s="909">
        <f t="shared" ref="EP350:EU350" si="1008">+EO350+50</f>
      </c>
      <c r="EQ350" s="909">
        <f t="shared" si="1008"/>
      </c>
      <c r="ER350" s="909">
        <f t="shared" si="1008"/>
      </c>
      <c r="ES350" s="909">
        <f t="shared" si="1008"/>
      </c>
      <c r="ET350" s="909">
        <f t="shared" si="1008"/>
      </c>
      <c r="EU350" s="909">
        <f t="shared" si="1008"/>
      </c>
      <c r="EV350" s="909"/>
      <c r="EW350" s="909"/>
      <c r="EX350" s="909"/>
    </row>
    <row r="351" spans="1:154" outlineLevel="1">
      <c r="B351" s="907" t="s">
        <v>235</v>
      </c>
      <c r="C351" s="1392"/>
      <c r="D351" s="894"/>
      <c r="E351" s="894"/>
      <c r="F351" s="895"/>
      <c r="G351" s="895"/>
      <c r="H351" s="895"/>
      <c r="I351" s="895"/>
      <c r="J351" s="895"/>
      <c r="K351" s="895"/>
      <c r="L351" s="895"/>
      <c r="M351" s="895"/>
      <c r="N351" s="895"/>
      <c r="O351" s="896"/>
      <c r="P351" s="895"/>
      <c r="Q351" s="895"/>
      <c r="R351" s="895"/>
      <c r="S351" s="895"/>
      <c r="T351" s="896"/>
      <c r="U351" s="895"/>
      <c r="V351" s="895"/>
      <c r="W351" s="895"/>
      <c r="X351" s="899"/>
      <c r="Y351" s="896"/>
      <c r="Z351" s="895"/>
      <c r="AA351" s="895"/>
      <c r="AB351" s="895"/>
      <c r="AC351" s="899"/>
      <c r="AD351" s="896"/>
      <c r="AE351" s="895"/>
      <c r="AF351" s="895"/>
      <c r="AG351" s="895"/>
      <c r="AH351" s="899"/>
      <c r="AI351" s="896"/>
      <c r="AJ351" s="895"/>
      <c r="AK351" s="895"/>
      <c r="AL351" s="895"/>
      <c r="AM351" s="899"/>
      <c r="AN351" s="896"/>
      <c r="AO351" s="895"/>
      <c r="AP351" s="895"/>
      <c r="AQ351" s="897"/>
      <c r="AR351" s="899"/>
      <c r="AS351" s="896"/>
      <c r="AT351" s="895"/>
      <c r="AU351" s="895"/>
      <c r="AV351" s="895"/>
      <c r="AW351" s="899"/>
      <c r="AX351" s="896"/>
      <c r="AY351" s="895"/>
      <c r="AZ351" s="895"/>
      <c r="BA351" s="895"/>
      <c r="BB351" s="899"/>
      <c r="BC351" s="896"/>
      <c r="BD351" s="895"/>
      <c r="BE351" s="895"/>
      <c r="BF351" s="895"/>
      <c r="BG351" s="899"/>
      <c r="BH351" s="896"/>
      <c r="BI351" s="895"/>
      <c r="BJ351" s="895"/>
      <c r="BK351" s="895"/>
      <c r="BL351" s="899"/>
      <c r="BM351" s="895"/>
      <c r="BN351" s="908"/>
      <c r="BO351" s="895"/>
      <c r="BP351" s="895"/>
      <c r="BQ351" s="899"/>
      <c r="BR351" s="895"/>
      <c r="BS351" s="908"/>
      <c r="BT351" s="895"/>
      <c r="BU351" s="895"/>
      <c r="BV351" s="899"/>
      <c r="BW351" s="908"/>
      <c r="BX351" s="908"/>
      <c r="BY351" s="908"/>
      <c r="BZ351" s="908"/>
      <c r="CA351" s="899"/>
      <c r="CB351" s="908"/>
      <c r="CC351" s="895"/>
      <c r="CD351" s="908"/>
      <c r="CE351" s="908"/>
      <c r="CF351" s="899"/>
      <c r="CG351" s="908"/>
      <c r="CH351" s="908"/>
      <c r="CI351" s="908"/>
      <c r="CJ351" s="908"/>
      <c r="CK351" s="899"/>
      <c r="CL351" s="1015"/>
      <c r="CM351" s="895"/>
      <c r="CN351" s="895"/>
      <c r="CO351" s="908"/>
      <c r="CP351" s="909">
        <v>0</v>
      </c>
      <c r="CQ351" s="895"/>
      <c r="CR351" s="895"/>
      <c r="CS351" s="895"/>
      <c r="CT351" s="915"/>
      <c r="CU351" s="909">
        <v>0</v>
      </c>
      <c r="CV351" s="908"/>
      <c r="CW351" s="908"/>
      <c r="CX351" s="908"/>
      <c r="CY351" s="915"/>
      <c r="CZ351" s="909"/>
      <c r="DA351" s="1321"/>
      <c r="DB351" s="1512">
        <v>0</v>
      </c>
      <c r="DC351" s="908">
        <v>0</v>
      </c>
      <c r="DD351" s="915">
        <f>+DE351-SUM(DA351:DC351)</f>
      </c>
      <c r="DE351" s="909"/>
      <c r="DF351" s="1321"/>
      <c r="DG351" s="908"/>
      <c r="DH351" s="908"/>
      <c r="DI351" s="908"/>
      <c r="DJ351" s="909"/>
      <c r="DK351" s="908"/>
      <c r="DL351" s="908"/>
      <c r="DM351" s="908"/>
      <c r="DN351" s="915"/>
      <c r="DO351" s="909"/>
      <c r="DP351" s="908">
        <v>9</v>
      </c>
      <c r="DQ351" s="908">
        <v>11</v>
      </c>
      <c r="DR351" s="908">
        <v>12</v>
      </c>
      <c r="DS351" s="1021">
        <v>14</v>
      </c>
      <c r="DT351" s="899">
        <f>SUM(DP351:DS351)</f>
      </c>
      <c r="DU351" s="908">
        <v>20</v>
      </c>
      <c r="DV351" s="908">
        <v>25</v>
      </c>
      <c r="DW351" s="908">
        <v>29</v>
      </c>
      <c r="DX351" s="908">
        <v>26.4</v>
      </c>
      <c r="DY351" s="899">
        <f>SUM(DU351:DX351)</f>
      </c>
      <c r="DZ351" s="908">
        <v>34</v>
      </c>
      <c r="EA351" s="908">
        <v>44.4</v>
      </c>
      <c r="EB351" s="908">
        <v>41.5</v>
      </c>
      <c r="EC351" s="1021">
        <v>28</v>
      </c>
      <c r="ED351" s="899">
        <f>SUM(DZ351:EC351)</f>
      </c>
      <c r="EE351" s="908">
        <v>43</v>
      </c>
      <c r="EF351" s="908">
        <v>50</v>
      </c>
      <c r="EG351" s="908">
        <v>53</v>
      </c>
      <c r="EH351" s="908">
        <v>58</v>
      </c>
      <c r="EI351" s="1015">
        <f t="shared" ref="EI351" si="1009">SUM(EE351:EH351)</f>
      </c>
      <c r="EJ351" s="909">
        <v>350</v>
      </c>
      <c r="EK351" s="909">
        <v>500</v>
      </c>
      <c r="EL351" s="909">
        <v>600</v>
      </c>
      <c r="EM351" s="909">
        <v>630</v>
      </c>
      <c r="EN351" s="909">
        <v>700</v>
      </c>
      <c r="EO351" s="909">
        <f t="shared" ref="EO351:EU351" si="1010">+EN351+25</f>
      </c>
      <c r="EP351" s="909">
        <f t="shared" si="1010"/>
      </c>
      <c r="EQ351" s="909">
        <f t="shared" si="1010"/>
      </c>
      <c r="ER351" s="909">
        <f t="shared" si="1010"/>
      </c>
      <c r="ES351" s="909">
        <f t="shared" si="1010"/>
      </c>
      <c r="ET351" s="909">
        <f t="shared" si="1010"/>
      </c>
      <c r="EU351" s="909">
        <f t="shared" si="1010"/>
      </c>
      <c r="EV351" s="909"/>
      <c r="EW351" s="909"/>
      <c r="EX351" s="909"/>
    </row>
    <row r="352" spans="1:154" outlineLevel="1">
      <c r="A352" s="3281" t="str">
        <f>+B349</f>
      </c>
      <c r="B352" s="907" t="s">
        <v>188</v>
      </c>
      <c r="C352" s="1392"/>
      <c r="D352" s="894"/>
      <c r="E352" s="894"/>
      <c r="F352" s="895"/>
      <c r="G352" s="895"/>
      <c r="H352" s="895"/>
      <c r="I352" s="895"/>
      <c r="J352" s="895"/>
      <c r="K352" s="895"/>
      <c r="L352" s="895"/>
      <c r="M352" s="895"/>
      <c r="N352" s="895"/>
      <c r="O352" s="896"/>
      <c r="P352" s="895"/>
      <c r="Q352" s="895"/>
      <c r="R352" s="895"/>
      <c r="S352" s="895"/>
      <c r="T352" s="896"/>
      <c r="U352" s="895"/>
      <c r="V352" s="895"/>
      <c r="W352" s="895"/>
      <c r="X352" s="899"/>
      <c r="Y352" s="896"/>
      <c r="Z352" s="895"/>
      <c r="AA352" s="895"/>
      <c r="AB352" s="895"/>
      <c r="AC352" s="899"/>
      <c r="AD352" s="896"/>
      <c r="AE352" s="895"/>
      <c r="AF352" s="895"/>
      <c r="AG352" s="895"/>
      <c r="AH352" s="899"/>
      <c r="AI352" s="896"/>
      <c r="AJ352" s="895"/>
      <c r="AK352" s="895"/>
      <c r="AL352" s="895"/>
      <c r="AM352" s="899"/>
      <c r="AN352" s="896"/>
      <c r="AO352" s="895"/>
      <c r="AP352" s="895"/>
      <c r="AQ352" s="897"/>
      <c r="AR352" s="899"/>
      <c r="AS352" s="896"/>
      <c r="AT352" s="895"/>
      <c r="AU352" s="895"/>
      <c r="AV352" s="895"/>
      <c r="AW352" s="899"/>
      <c r="AX352" s="896"/>
      <c r="AY352" s="895"/>
      <c r="AZ352" s="895"/>
      <c r="BA352" s="895"/>
      <c r="BB352" s="899"/>
      <c r="BC352" s="896"/>
      <c r="BD352" s="895"/>
      <c r="BE352" s="895"/>
      <c r="BF352" s="895"/>
      <c r="BG352" s="899"/>
      <c r="BH352" s="896"/>
      <c r="BI352" s="895"/>
      <c r="BJ352" s="895"/>
      <c r="BK352" s="895"/>
      <c r="BL352" s="899"/>
      <c r="BM352" s="895"/>
      <c r="BN352" s="895"/>
      <c r="BO352" s="895"/>
      <c r="BP352" s="895"/>
      <c r="BQ352" s="899"/>
      <c r="BR352" s="895"/>
      <c r="BS352" s="895"/>
      <c r="BT352" s="895"/>
      <c r="BU352" s="895"/>
      <c r="BV352" s="899"/>
      <c r="BW352" s="895"/>
      <c r="BX352" s="895"/>
      <c r="BY352" s="895"/>
      <c r="BZ352" s="895"/>
      <c r="CA352" s="899"/>
      <c r="CB352" s="895"/>
      <c r="CC352" s="895"/>
      <c r="CD352" s="895"/>
      <c r="CE352" s="895"/>
      <c r="CF352" s="899"/>
      <c r="CG352" s="895"/>
      <c r="CH352" s="895"/>
      <c r="CI352" s="895"/>
      <c r="CJ352" s="895"/>
      <c r="CK352" s="899"/>
      <c r="CL352" s="1015"/>
      <c r="CM352" s="895"/>
      <c r="CN352" s="895"/>
      <c r="CO352" s="895"/>
      <c r="CP352" s="899">
        <f>CP350+CP351</f>
      </c>
      <c r="CQ352" s="895"/>
      <c r="CR352" s="895"/>
      <c r="CS352" s="895"/>
      <c r="CT352" s="915"/>
      <c r="CU352" s="899">
        <f>CU350+CU351</f>
      </c>
      <c r="CV352" s="895">
        <f>+SUM(CV350:CV351)</f>
      </c>
      <c r="CW352" s="895">
        <f>+SUM(CW350:CW351)</f>
      </c>
      <c r="CX352" s="895"/>
      <c r="CY352" s="895"/>
      <c r="CZ352" s="899"/>
      <c r="DA352" s="895">
        <f>SUM(DA350:DA351)</f>
      </c>
      <c r="DB352" s="1509">
        <f>SUM(DB350:DB351)</f>
      </c>
      <c r="DC352" s="895">
        <f>SUM(DC350:DC351)</f>
      </c>
      <c r="DD352" s="915">
        <f>SUM(DD350:DD351)</f>
      </c>
      <c r="DE352" s="899"/>
      <c r="DF352" s="895"/>
      <c r="DG352" s="895"/>
      <c r="DH352" s="895"/>
      <c r="DI352" s="915"/>
      <c r="DJ352" s="899"/>
      <c r="DK352" s="895"/>
      <c r="DL352" s="895"/>
      <c r="DM352" s="895"/>
      <c r="DN352" s="915"/>
      <c r="DO352" s="899"/>
      <c r="DP352" s="895">
        <f>SUM(DP350:DP351)</f>
      </c>
      <c r="DQ352" s="895">
        <f>SUM(DQ350:DQ351)</f>
      </c>
      <c r="DR352" s="895">
        <f>SUM(DR350:DR351)</f>
      </c>
      <c r="DS352" s="915">
        <f>SUM(DS350:DS351)</f>
      </c>
      <c r="DT352" s="899">
        <f>DT350+DT351</f>
      </c>
      <c r="DU352" s="895">
        <f>SUM(DU350:DU351)</f>
      </c>
      <c r="DV352" s="895">
        <f>SUM(DV350:DV351)</f>
      </c>
      <c r="DW352" s="895">
        <f>SUM(DW350:DW351)</f>
      </c>
      <c r="DX352" s="895">
        <f>SUM(DX350:DX351)</f>
      </c>
      <c r="DY352" s="899">
        <f>DY350+DY351</f>
      </c>
      <c r="DZ352" s="895">
        <f>SUM(DZ350:DZ351)</f>
      </c>
      <c r="EA352" s="895">
        <f>SUM(EA350:EA351)</f>
      </c>
      <c r="EB352" s="895">
        <f>SUM(EB350:EB351)</f>
      </c>
      <c r="EC352" s="915">
        <f>SUM(EC350:EC351)</f>
      </c>
      <c r="ED352" s="899">
        <f>ED350+ED351</f>
      </c>
      <c r="EE352" s="895">
        <f>SUM(EE350:EE351)</f>
      </c>
      <c r="EF352" s="895">
        <f>SUM(EF350:EF351)</f>
      </c>
      <c r="EG352" s="895">
        <f>SUM(EG350:EG351)</f>
      </c>
      <c r="EH352" s="915">
        <f>SUM(EH350:EH351)</f>
      </c>
      <c r="EI352" s="1015">
        <f t="shared" ref="EI352:EU352" si="1011">EI350+EI351</f>
      </c>
      <c r="EJ352" s="899">
        <f t="shared" si="1011"/>
      </c>
      <c r="EK352" s="899">
        <f t="shared" si="1011"/>
      </c>
      <c r="EL352" s="899">
        <f t="shared" si="1011"/>
      </c>
      <c r="EM352" s="899">
        <f t="shared" si="1011"/>
      </c>
      <c r="EN352" s="899">
        <f t="shared" si="1011"/>
      </c>
      <c r="EO352" s="915">
        <f t="shared" si="1011"/>
      </c>
      <c r="EP352" s="899">
        <f t="shared" si="1011"/>
      </c>
      <c r="EQ352" s="899">
        <f t="shared" si="1011"/>
      </c>
      <c r="ER352" s="899">
        <f t="shared" si="1011"/>
      </c>
      <c r="ES352" s="899">
        <f t="shared" si="1011"/>
      </c>
      <c r="ET352" s="899">
        <f t="shared" si="1011"/>
      </c>
      <c r="EU352" s="899">
        <f t="shared" si="1011"/>
      </c>
      <c r="EV352" s="899"/>
      <c r="EW352" s="899"/>
      <c r="EX352" s="899"/>
    </row>
    <row r="353" spans="1:154" ht="12.75" customHeight="1" outlineLevel="1">
      <c r="B353" s="907"/>
      <c r="C353" s="1392"/>
      <c r="D353" s="894"/>
      <c r="E353" s="894"/>
      <c r="F353" s="895"/>
      <c r="G353" s="895"/>
      <c r="H353" s="895"/>
      <c r="I353" s="895"/>
      <c r="J353" s="895"/>
      <c r="K353" s="895"/>
      <c r="L353" s="895"/>
      <c r="M353" s="895"/>
      <c r="N353" s="895"/>
      <c r="O353" s="896"/>
      <c r="P353" s="895"/>
      <c r="Q353" s="895"/>
      <c r="R353" s="895"/>
      <c r="S353" s="895"/>
      <c r="T353" s="896"/>
      <c r="U353" s="895"/>
      <c r="V353" s="895"/>
      <c r="W353" s="895"/>
      <c r="X353" s="898"/>
      <c r="Y353" s="896"/>
      <c r="Z353" s="895"/>
      <c r="AA353" s="895"/>
      <c r="AB353" s="895"/>
      <c r="AC353" s="898"/>
      <c r="AD353" s="896"/>
      <c r="AE353" s="895"/>
      <c r="AF353" s="895"/>
      <c r="AG353" s="895"/>
      <c r="AH353" s="898"/>
      <c r="AI353" s="896"/>
      <c r="AJ353" s="895"/>
      <c r="AK353" s="895"/>
      <c r="AL353" s="895"/>
      <c r="AM353" s="898"/>
      <c r="AN353" s="896"/>
      <c r="AO353" s="895"/>
      <c r="AP353" s="895"/>
      <c r="AQ353" s="897"/>
      <c r="AR353" s="898"/>
      <c r="AS353" s="896"/>
      <c r="AT353" s="895"/>
      <c r="AU353" s="895"/>
      <c r="AV353" s="895"/>
      <c r="AW353" s="898"/>
      <c r="AX353" s="896"/>
      <c r="AY353" s="895"/>
      <c r="AZ353" s="895"/>
      <c r="BA353" s="895"/>
      <c r="BB353" s="898"/>
      <c r="BC353" s="896"/>
      <c r="BD353" s="895"/>
      <c r="BE353" s="895"/>
      <c r="BF353" s="895"/>
      <c r="BG353" s="898"/>
      <c r="BH353" s="896"/>
      <c r="BI353" s="895"/>
      <c r="BJ353" s="895"/>
      <c r="BK353" s="895"/>
      <c r="BL353" s="898"/>
      <c r="BM353" s="895"/>
      <c r="BN353" s="895"/>
      <c r="BO353" s="895"/>
      <c r="BP353" s="895"/>
      <c r="BQ353" s="898"/>
      <c r="BR353" s="895"/>
      <c r="BS353" s="895"/>
      <c r="BT353" s="895"/>
      <c r="BU353" s="895"/>
      <c r="BV353" s="898"/>
      <c r="BW353" s="895"/>
      <c r="BX353" s="895"/>
      <c r="BY353" s="895"/>
      <c r="BZ353" s="895"/>
      <c r="CA353" s="898"/>
      <c r="CB353" s="895"/>
      <c r="CC353" s="895"/>
      <c r="CD353" s="895"/>
      <c r="CE353" s="895"/>
      <c r="CF353" s="898"/>
      <c r="CG353" s="895"/>
      <c r="CH353" s="895"/>
      <c r="CI353" s="895"/>
      <c r="CJ353" s="895"/>
      <c r="CK353" s="899"/>
      <c r="CL353" s="1015"/>
      <c r="CM353" s="895"/>
      <c r="CN353" s="895"/>
      <c r="CO353" s="895"/>
      <c r="CP353" s="899"/>
      <c r="CQ353" s="895"/>
      <c r="CR353" s="895"/>
      <c r="CS353" s="895"/>
      <c r="CT353" s="915"/>
      <c r="CU353" s="899"/>
      <c r="CV353" s="895"/>
      <c r="CW353" s="895"/>
      <c r="CX353" s="895"/>
      <c r="CY353" s="915"/>
      <c r="CZ353" s="899"/>
      <c r="DA353" s="1015"/>
      <c r="DB353" s="1509"/>
      <c r="DC353" s="895"/>
      <c r="DD353" s="915"/>
      <c r="DE353" s="899"/>
      <c r="DF353" s="895"/>
      <c r="DG353" s="895"/>
      <c r="DH353" s="895"/>
      <c r="DI353" s="915"/>
      <c r="DJ353" s="899"/>
      <c r="DK353" s="895"/>
      <c r="DL353" s="895"/>
      <c r="DM353" s="895"/>
      <c r="DN353" s="915"/>
      <c r="DO353" s="899"/>
      <c r="DP353" s="895"/>
      <c r="DQ353" s="895"/>
      <c r="DR353" s="895"/>
      <c r="DS353" s="915"/>
      <c r="DT353" s="899"/>
      <c r="DY353" s="1808"/>
      <c r="DZ353" s="2460"/>
      <c r="EA353" s="2460"/>
      <c r="EB353" s="2460"/>
      <c r="EC353" s="2466"/>
      <c r="ED353" s="2467"/>
      <c r="EE353" s="2460"/>
      <c r="EF353" s="2460"/>
      <c r="EG353" s="2460"/>
      <c r="EH353" s="2466"/>
      <c r="EI353" s="2468"/>
      <c r="EJ353" s="2467"/>
      <c r="EK353" s="2467"/>
      <c r="EL353" s="2467"/>
      <c r="EM353" s="2467"/>
      <c r="EN353" s="2467"/>
      <c r="EO353" s="2466">
        <f t="shared" ref="EO353:EU353" si="1012">EO352/EN352-1</f>
      </c>
      <c r="EP353" s="2467">
        <f t="shared" si="1012"/>
      </c>
      <c r="EQ353" s="2467">
        <f t="shared" si="1012"/>
      </c>
      <c r="ER353" s="2467">
        <f t="shared" si="1012"/>
      </c>
      <c r="ES353" s="2467">
        <f t="shared" si="1012"/>
      </c>
      <c r="ET353" s="2467">
        <f t="shared" si="1012"/>
      </c>
      <c r="EU353" s="2467">
        <f t="shared" si="1012"/>
      </c>
      <c r="EV353" s="899"/>
      <c r="EW353" s="899"/>
      <c r="EX353" s="899"/>
    </row>
    <row r="354" spans="1:154" ht="12.75" customHeight="1">
      <c r="B354" s="2684"/>
      <c r="C354" s="1392"/>
      <c r="D354" s="894"/>
      <c r="E354" s="894"/>
      <c r="F354" s="895"/>
      <c r="G354" s="895"/>
      <c r="H354" s="895"/>
      <c r="I354" s="895"/>
      <c r="J354" s="895"/>
      <c r="K354" s="895"/>
      <c r="L354" s="895"/>
      <c r="M354" s="895"/>
      <c r="N354" s="895"/>
      <c r="O354" s="896"/>
      <c r="P354" s="895"/>
      <c r="Q354" s="895"/>
      <c r="R354" s="895"/>
      <c r="S354" s="895"/>
      <c r="T354" s="896"/>
      <c r="U354" s="895"/>
      <c r="V354" s="895"/>
      <c r="W354" s="895"/>
      <c r="X354" s="899"/>
      <c r="Y354" s="896"/>
      <c r="Z354" s="895"/>
      <c r="AA354" s="895"/>
      <c r="AB354" s="895"/>
      <c r="AC354" s="899"/>
      <c r="AD354" s="896"/>
      <c r="AE354" s="895"/>
      <c r="AF354" s="895"/>
      <c r="AG354" s="895"/>
      <c r="AH354" s="899"/>
      <c r="AI354" s="896"/>
      <c r="AJ354" s="895"/>
      <c r="AK354" s="895"/>
      <c r="AL354" s="895"/>
      <c r="AM354" s="899"/>
      <c r="AN354" s="896"/>
      <c r="AO354" s="895"/>
      <c r="AP354" s="895"/>
      <c r="AQ354" s="897"/>
      <c r="AR354" s="899"/>
      <c r="AS354" s="896"/>
      <c r="AT354" s="895"/>
      <c r="AU354" s="895"/>
      <c r="AV354" s="895"/>
      <c r="AW354" s="899"/>
      <c r="AX354" s="896"/>
      <c r="AY354" s="895"/>
      <c r="AZ354" s="895"/>
      <c r="BA354" s="895"/>
      <c r="BB354" s="899"/>
      <c r="BC354" s="896"/>
      <c r="BD354" s="895"/>
      <c r="BE354" s="895"/>
      <c r="BF354" s="895"/>
      <c r="BG354" s="899"/>
      <c r="BH354" s="896"/>
      <c r="BI354" s="895"/>
      <c r="BJ354" s="895"/>
      <c r="BK354" s="895"/>
      <c r="BL354" s="899"/>
      <c r="BM354" s="895"/>
      <c r="BN354" s="908"/>
      <c r="BO354" s="895"/>
      <c r="BP354" s="895"/>
      <c r="BQ354" s="899"/>
      <c r="BR354" s="895"/>
      <c r="BS354" s="908"/>
      <c r="BT354" s="895"/>
      <c r="BU354" s="895"/>
      <c r="BV354" s="899"/>
      <c r="BW354" s="908"/>
      <c r="BX354" s="908"/>
      <c r="BY354" s="908"/>
      <c r="BZ354" s="908"/>
      <c r="CA354" s="899"/>
      <c r="CB354" s="908"/>
      <c r="CC354" s="895"/>
      <c r="CD354" s="908"/>
      <c r="CE354" s="908"/>
      <c r="CF354" s="899"/>
      <c r="CG354" s="908"/>
      <c r="CH354" s="908"/>
      <c r="CI354" s="908"/>
      <c r="CJ354" s="908"/>
      <c r="CK354" s="899"/>
      <c r="CL354" s="1015"/>
      <c r="CM354" s="895"/>
      <c r="CN354" s="895"/>
      <c r="CO354" s="908"/>
      <c r="CP354" s="909"/>
      <c r="CQ354" s="895"/>
      <c r="CR354" s="895"/>
      <c r="CS354" s="895"/>
      <c r="CT354" s="915"/>
      <c r="CU354" s="909"/>
      <c r="CV354" s="895"/>
      <c r="CW354" s="895"/>
      <c r="CX354" s="895"/>
      <c r="CY354" s="915"/>
      <c r="CZ354" s="909"/>
      <c r="DA354" s="1321"/>
      <c r="DB354" s="1512"/>
      <c r="DC354" s="908"/>
      <c r="DD354" s="1021"/>
      <c r="DE354" s="909"/>
      <c r="DF354" s="908"/>
      <c r="DG354" s="908"/>
      <c r="DH354" s="908"/>
      <c r="DI354" s="1021"/>
      <c r="DJ354" s="909"/>
      <c r="DK354" s="908"/>
      <c r="DL354" s="908"/>
      <c r="DM354" s="908"/>
      <c r="DN354" s="1021"/>
      <c r="DO354" s="909"/>
      <c r="DP354" s="895"/>
      <c r="DQ354" s="895"/>
      <c r="DR354" s="895"/>
      <c r="DS354" s="915"/>
      <c r="DT354" s="909"/>
      <c r="DU354" s="895"/>
      <c r="DV354" s="895"/>
      <c r="DW354" s="895"/>
      <c r="DX354" s="895"/>
      <c r="DY354" s="909"/>
      <c r="DZ354" s="895"/>
      <c r="EA354" s="895"/>
      <c r="EB354" s="895"/>
      <c r="EC354" s="915"/>
      <c r="ED354" s="909"/>
      <c r="EE354" s="895"/>
      <c r="EF354" s="895"/>
      <c r="EG354" s="895"/>
      <c r="EH354" s="915"/>
      <c r="EI354" s="1321"/>
      <c r="EJ354" s="909"/>
      <c r="EK354" s="909"/>
      <c r="EL354" s="909"/>
      <c r="EM354" s="909"/>
      <c r="EN354" s="909"/>
      <c r="EO354" s="1021"/>
      <c r="EP354" s="909"/>
      <c r="EQ354" s="909"/>
      <c r="ER354" s="909"/>
      <c r="ES354" s="909"/>
      <c r="ET354" s="909"/>
      <c r="EU354" s="909"/>
      <c r="EV354" s="909"/>
      <c r="EW354" s="909"/>
      <c r="EX354" s="909"/>
    </row>
    <row r="355" spans="1:154" ht="12.75" customHeight="1">
      <c r="B355" s="907"/>
      <c r="C355" s="1413"/>
      <c r="D355" s="894"/>
      <c r="E355" s="894"/>
      <c r="F355" s="895"/>
      <c r="G355" s="895"/>
      <c r="H355" s="895"/>
      <c r="I355" s="895"/>
      <c r="J355" s="895"/>
      <c r="K355" s="895"/>
      <c r="L355" s="895"/>
      <c r="M355" s="895"/>
      <c r="N355" s="895"/>
      <c r="O355" s="896"/>
      <c r="P355" s="895"/>
      <c r="Q355" s="895"/>
      <c r="R355" s="895"/>
      <c r="S355" s="895"/>
      <c r="T355" s="896"/>
      <c r="U355" s="895"/>
      <c r="V355" s="895"/>
      <c r="W355" s="895"/>
      <c r="X355" s="899"/>
      <c r="Y355" s="896"/>
      <c r="Z355" s="895"/>
      <c r="AA355" s="895"/>
      <c r="AB355" s="895"/>
      <c r="AC355" s="899"/>
      <c r="AD355" s="896"/>
      <c r="AE355" s="895"/>
      <c r="AF355" s="895"/>
      <c r="AG355" s="895"/>
      <c r="AH355" s="899"/>
      <c r="AI355" s="896"/>
      <c r="AJ355" s="895"/>
      <c r="AK355" s="895"/>
      <c r="AL355" s="895"/>
      <c r="AM355" s="899"/>
      <c r="AN355" s="896"/>
      <c r="AO355" s="895"/>
      <c r="AP355" s="895"/>
      <c r="AQ355" s="897"/>
      <c r="AR355" s="899"/>
      <c r="AS355" s="896"/>
      <c r="AT355" s="895"/>
      <c r="AU355" s="895"/>
      <c r="AV355" s="895"/>
      <c r="AW355" s="899"/>
      <c r="AX355" s="896"/>
      <c r="AY355" s="895"/>
      <c r="AZ355" s="895"/>
      <c r="BA355" s="895"/>
      <c r="BB355" s="899"/>
      <c r="BC355" s="896"/>
      <c r="BD355" s="895"/>
      <c r="BE355" s="895"/>
      <c r="BF355" s="895"/>
      <c r="BG355" s="899"/>
      <c r="BH355" s="896"/>
      <c r="BI355" s="895"/>
      <c r="BJ355" s="895"/>
      <c r="BK355" s="895"/>
      <c r="BL355" s="899"/>
      <c r="BM355" s="895"/>
      <c r="BN355" s="895"/>
      <c r="BO355" s="895"/>
      <c r="BP355" s="895"/>
      <c r="BQ355" s="899"/>
      <c r="BR355" s="895"/>
      <c r="BS355" s="895"/>
      <c r="BT355" s="895"/>
      <c r="BU355" s="895"/>
      <c r="BV355" s="899"/>
      <c r="BW355" s="895"/>
      <c r="BX355" s="895"/>
      <c r="BY355" s="895"/>
      <c r="BZ355" s="895"/>
      <c r="CA355" s="899"/>
      <c r="CB355" s="895"/>
      <c r="CC355" s="895"/>
      <c r="CD355" s="895"/>
      <c r="CE355" s="895"/>
      <c r="CF355" s="899"/>
      <c r="CG355" s="895"/>
      <c r="CH355" s="895"/>
      <c r="CI355" s="895"/>
      <c r="CJ355" s="895"/>
      <c r="CK355" s="899"/>
      <c r="CL355" s="1015"/>
      <c r="CM355" s="895"/>
      <c r="CN355" s="895"/>
      <c r="CO355" s="895"/>
      <c r="CP355" s="899"/>
      <c r="CQ355" s="895"/>
      <c r="CR355" s="895"/>
      <c r="CS355" s="895"/>
      <c r="CT355" s="915"/>
      <c r="CU355" s="899"/>
      <c r="CV355" s="895"/>
      <c r="CW355" s="895"/>
      <c r="CX355" s="895"/>
      <c r="CY355" s="915"/>
      <c r="CZ355" s="899"/>
      <c r="DA355" s="895"/>
      <c r="DB355" s="1509"/>
      <c r="DC355" s="895"/>
      <c r="DD355" s="915"/>
      <c r="DE355" s="899"/>
      <c r="DF355" s="895"/>
      <c r="DG355" s="895"/>
      <c r="DH355" s="895"/>
      <c r="DI355" s="915"/>
      <c r="DJ355" s="899"/>
      <c r="DK355" s="895"/>
      <c r="DL355" s="895"/>
      <c r="DM355" s="895"/>
      <c r="DN355" s="915"/>
      <c r="DO355" s="899"/>
      <c r="DP355" s="895"/>
      <c r="DQ355" s="895"/>
      <c r="DR355" s="895"/>
      <c r="DS355" s="915"/>
      <c r="DT355" s="899"/>
      <c r="DU355" s="895"/>
      <c r="DV355" s="895"/>
      <c r="DW355" s="895"/>
      <c r="DX355" s="895"/>
      <c r="DY355" s="899"/>
      <c r="DZ355" s="908"/>
      <c r="EA355" s="908"/>
      <c r="EB355" s="908"/>
      <c r="EC355" s="1021"/>
      <c r="ED355" s="899"/>
      <c r="EE355" s="908"/>
      <c r="EF355" s="908"/>
      <c r="EG355" s="908"/>
      <c r="EH355" s="915"/>
      <c r="EI355" s="1015"/>
      <c r="EJ355" s="899"/>
      <c r="EK355" s="899"/>
      <c r="EL355" s="899"/>
      <c r="EM355" s="899"/>
      <c r="EN355" s="899"/>
      <c r="EO355" s="915"/>
      <c r="EP355" s="899"/>
      <c r="EQ355" s="899"/>
      <c r="ER355" s="899"/>
      <c r="ES355" s="899"/>
      <c r="ET355" s="899"/>
      <c r="EU355" s="899"/>
      <c r="EV355" s="899"/>
      <c r="EW355" s="899"/>
      <c r="EX355" s="899"/>
    </row>
    <row r="356" spans="1:154" ht="12.75" customHeight="1">
      <c r="B356" s="907"/>
      <c r="C356" s="1413"/>
      <c r="D356" s="894"/>
      <c r="E356" s="894"/>
      <c r="F356" s="895"/>
      <c r="G356" s="895"/>
      <c r="H356" s="895"/>
      <c r="I356" s="895"/>
      <c r="J356" s="895"/>
      <c r="K356" s="895"/>
      <c r="L356" s="895"/>
      <c r="M356" s="895"/>
      <c r="N356" s="895"/>
      <c r="O356" s="896"/>
      <c r="P356" s="895"/>
      <c r="Q356" s="895"/>
      <c r="R356" s="895"/>
      <c r="S356" s="895"/>
      <c r="T356" s="896"/>
      <c r="U356" s="895"/>
      <c r="V356" s="895"/>
      <c r="W356" s="895"/>
      <c r="X356" s="898"/>
      <c r="Y356" s="896"/>
      <c r="Z356" s="895"/>
      <c r="AA356" s="895"/>
      <c r="AB356" s="895"/>
      <c r="AC356" s="898"/>
      <c r="AD356" s="896"/>
      <c r="AE356" s="895"/>
      <c r="AF356" s="895"/>
      <c r="AG356" s="895"/>
      <c r="AH356" s="898"/>
      <c r="AI356" s="896"/>
      <c r="AJ356" s="895"/>
      <c r="AK356" s="895"/>
      <c r="AL356" s="895"/>
      <c r="AM356" s="898"/>
      <c r="AN356" s="896"/>
      <c r="AO356" s="895"/>
      <c r="AP356" s="895"/>
      <c r="AQ356" s="897"/>
      <c r="AR356" s="898"/>
      <c r="AS356" s="896"/>
      <c r="AT356" s="895"/>
      <c r="AU356" s="895"/>
      <c r="AV356" s="895"/>
      <c r="AW356" s="898"/>
      <c r="AX356" s="896"/>
      <c r="AY356" s="895"/>
      <c r="AZ356" s="895"/>
      <c r="BA356" s="895"/>
      <c r="BB356" s="898"/>
      <c r="BC356" s="896"/>
      <c r="BD356" s="895"/>
      <c r="BE356" s="895"/>
      <c r="BF356" s="895"/>
      <c r="BG356" s="898"/>
      <c r="BH356" s="896"/>
      <c r="BI356" s="895"/>
      <c r="BJ356" s="895"/>
      <c r="BK356" s="895"/>
      <c r="BL356" s="898"/>
      <c r="BM356" s="895"/>
      <c r="BN356" s="895"/>
      <c r="BO356" s="895"/>
      <c r="BP356" s="895"/>
      <c r="BQ356" s="898"/>
      <c r="BR356" s="895"/>
      <c r="BS356" s="895"/>
      <c r="BT356" s="895"/>
      <c r="BU356" s="895"/>
      <c r="BV356" s="898"/>
      <c r="BW356" s="895"/>
      <c r="BX356" s="895"/>
      <c r="BY356" s="895"/>
      <c r="BZ356" s="895"/>
      <c r="CA356" s="898"/>
      <c r="CB356" s="895"/>
      <c r="CC356" s="895"/>
      <c r="CD356" s="895"/>
      <c r="CE356" s="895"/>
      <c r="CF356" s="898"/>
      <c r="CG356" s="895"/>
      <c r="CH356" s="895"/>
      <c r="CI356" s="895"/>
      <c r="CJ356" s="895"/>
      <c r="CK356" s="899"/>
      <c r="CL356" s="1015"/>
      <c r="CM356" s="895"/>
      <c r="CN356" s="895"/>
      <c r="CO356" s="895"/>
      <c r="CP356" s="899"/>
      <c r="CQ356" s="895"/>
      <c r="CR356" s="895"/>
      <c r="CS356" s="895"/>
      <c r="CT356" s="915"/>
      <c r="CU356" s="899"/>
      <c r="CV356" s="895"/>
      <c r="CW356" s="895"/>
      <c r="CX356" s="895"/>
      <c r="CY356" s="915"/>
      <c r="CZ356" s="899"/>
      <c r="DA356" s="895"/>
      <c r="DB356" s="1509"/>
      <c r="DC356" s="895"/>
      <c r="DD356" s="915"/>
      <c r="DE356" s="899"/>
      <c r="DF356" s="895"/>
      <c r="DG356" s="895"/>
      <c r="DH356" s="895"/>
      <c r="DI356" s="915"/>
      <c r="DJ356" s="899"/>
      <c r="DK356" s="895"/>
      <c r="DL356" s="895"/>
      <c r="DM356" s="895"/>
      <c r="DN356" s="915"/>
      <c r="DO356" s="899"/>
      <c r="DP356" s="895"/>
      <c r="DQ356" s="895"/>
      <c r="DR356" s="895"/>
      <c r="DS356" s="915"/>
      <c r="DT356" s="899"/>
      <c r="DU356" s="895"/>
      <c r="DV356" s="895"/>
      <c r="DW356" s="895"/>
      <c r="DX356" s="895"/>
      <c r="DY356" s="899"/>
      <c r="DZ356" s="908"/>
      <c r="EA356" s="908"/>
      <c r="EB356" s="908"/>
      <c r="EC356" s="1021"/>
      <c r="ED356" s="899"/>
      <c r="EE356" s="908"/>
      <c r="EF356" s="908"/>
      <c r="EG356" s="908"/>
      <c r="EH356" s="915"/>
      <c r="EI356" s="1015"/>
      <c r="EJ356" s="899"/>
      <c r="EK356" s="899"/>
      <c r="EL356" s="899"/>
      <c r="EM356" s="899"/>
      <c r="EN356" s="899"/>
      <c r="EO356" s="915"/>
      <c r="EP356" s="899"/>
      <c r="EQ356" s="899"/>
      <c r="ER356" s="899"/>
      <c r="ES356" s="899"/>
      <c r="ET356" s="899"/>
      <c r="EU356" s="899"/>
      <c r="EV356" s="899"/>
      <c r="EW356" s="899"/>
      <c r="EX356" s="899"/>
    </row>
    <row r="357" spans="1:154" ht="12.75" customHeight="1">
      <c r="B357" s="907"/>
      <c r="C357" s="1392"/>
      <c r="D357" s="894"/>
      <c r="E357" s="894"/>
      <c r="F357" s="895"/>
      <c r="G357" s="895"/>
      <c r="H357" s="895"/>
      <c r="I357" s="895"/>
      <c r="J357" s="895"/>
      <c r="K357" s="895"/>
      <c r="L357" s="895"/>
      <c r="M357" s="895"/>
      <c r="N357" s="895"/>
      <c r="O357" s="896"/>
      <c r="P357" s="895"/>
      <c r="Q357" s="895"/>
      <c r="R357" s="895"/>
      <c r="S357" s="895"/>
      <c r="T357" s="896"/>
      <c r="U357" s="895"/>
      <c r="V357" s="895"/>
      <c r="W357" s="895"/>
      <c r="X357" s="899"/>
      <c r="Y357" s="896"/>
      <c r="Z357" s="895"/>
      <c r="AA357" s="895"/>
      <c r="AB357" s="895"/>
      <c r="AC357" s="899"/>
      <c r="AD357" s="896"/>
      <c r="AE357" s="895"/>
      <c r="AF357" s="895"/>
      <c r="AG357" s="895"/>
      <c r="AH357" s="899"/>
      <c r="AI357" s="896"/>
      <c r="AJ357" s="895"/>
      <c r="AK357" s="895"/>
      <c r="AL357" s="895"/>
      <c r="AM357" s="899"/>
      <c r="AN357" s="896"/>
      <c r="AO357" s="895"/>
      <c r="AP357" s="895"/>
      <c r="AQ357" s="897"/>
      <c r="AR357" s="899"/>
      <c r="AS357" s="896"/>
      <c r="AT357" s="895"/>
      <c r="AU357" s="895"/>
      <c r="AV357" s="895"/>
      <c r="AW357" s="899"/>
      <c r="AX357" s="896"/>
      <c r="AY357" s="895"/>
      <c r="AZ357" s="895"/>
      <c r="BA357" s="895"/>
      <c r="BB357" s="899"/>
      <c r="BC357" s="896"/>
      <c r="BD357" s="895"/>
      <c r="BE357" s="895"/>
      <c r="BF357" s="895"/>
      <c r="BG357" s="899"/>
      <c r="BH357" s="896"/>
      <c r="BI357" s="895"/>
      <c r="BJ357" s="895"/>
      <c r="BK357" s="895"/>
      <c r="BL357" s="899"/>
      <c r="BM357" s="895"/>
      <c r="BN357" s="895"/>
      <c r="BO357" s="895"/>
      <c r="BP357" s="895"/>
      <c r="BQ357" s="899"/>
      <c r="BR357" s="895"/>
      <c r="BS357" s="895"/>
      <c r="BT357" s="895"/>
      <c r="BU357" s="895"/>
      <c r="BV357" s="899"/>
      <c r="BW357" s="908"/>
      <c r="BX357" s="895"/>
      <c r="BY357" s="895"/>
      <c r="BZ357" s="895"/>
      <c r="CA357" s="899"/>
      <c r="CB357" s="895"/>
      <c r="CC357" s="895"/>
      <c r="CD357" s="895"/>
      <c r="CE357" s="895"/>
      <c r="CF357" s="899"/>
      <c r="CG357" s="895"/>
      <c r="CH357" s="895"/>
      <c r="CI357" s="895"/>
      <c r="CJ357" s="895"/>
      <c r="CK357" s="899"/>
      <c r="CL357" s="1015"/>
      <c r="CM357" s="895"/>
      <c r="CN357" s="895"/>
      <c r="CO357" s="895"/>
      <c r="CP357" s="899"/>
      <c r="CQ357" s="895"/>
      <c r="CR357" s="895"/>
      <c r="CS357" s="895"/>
      <c r="CT357" s="915"/>
      <c r="CU357" s="899"/>
      <c r="CV357" s="895"/>
      <c r="CW357" s="895"/>
      <c r="CX357" s="895"/>
      <c r="CY357" s="915"/>
      <c r="CZ357" s="899"/>
      <c r="DA357" s="895"/>
      <c r="DB357" s="1509"/>
      <c r="DC357" s="895"/>
      <c r="DD357" s="915"/>
      <c r="DE357" s="899"/>
      <c r="DF357" s="895"/>
      <c r="DG357" s="895"/>
      <c r="DH357" s="895"/>
      <c r="DI357" s="915"/>
      <c r="DJ357" s="899"/>
      <c r="DK357" s="895"/>
      <c r="DL357" s="895"/>
      <c r="DM357" s="895"/>
      <c r="DN357" s="915"/>
      <c r="DO357" s="899"/>
      <c r="DP357" s="895"/>
      <c r="DQ357" s="895"/>
      <c r="DR357" s="895"/>
      <c r="DS357" s="915"/>
      <c r="DT357" s="899"/>
      <c r="DU357" s="895"/>
      <c r="DV357" s="895"/>
      <c r="DW357" s="895"/>
      <c r="DX357" s="895"/>
      <c r="DY357" s="899"/>
      <c r="DZ357" s="895"/>
      <c r="EA357" s="895"/>
      <c r="EB357" s="895"/>
      <c r="EC357" s="915"/>
      <c r="ED357" s="899"/>
      <c r="EE357" s="895"/>
      <c r="EF357" s="895"/>
      <c r="EG357" s="895"/>
      <c r="EH357" s="915"/>
      <c r="EI357" s="1015"/>
      <c r="EJ357" s="899"/>
      <c r="EK357" s="899"/>
      <c r="EL357" s="899"/>
      <c r="EM357" s="899"/>
      <c r="EN357" s="899"/>
      <c r="EO357" s="915"/>
      <c r="EP357" s="899"/>
      <c r="EQ357" s="899"/>
      <c r="ER357" s="899"/>
      <c r="ES357" s="899"/>
      <c r="ET357" s="899"/>
      <c r="EU357" s="899"/>
      <c r="EV357" s="899"/>
      <c r="EW357" s="899"/>
      <c r="EX357" s="899"/>
    </row>
    <row r="358" spans="1:154" ht="12.75" customHeight="1">
      <c r="B358" s="907"/>
      <c r="C358" s="1392"/>
      <c r="D358" s="894"/>
      <c r="E358" s="894"/>
      <c r="F358" s="895"/>
      <c r="G358" s="895"/>
      <c r="H358" s="895"/>
      <c r="I358" s="895"/>
      <c r="J358" s="895"/>
      <c r="K358" s="895"/>
      <c r="L358" s="895"/>
      <c r="M358" s="895"/>
      <c r="N358" s="895"/>
      <c r="O358" s="896"/>
      <c r="P358" s="895"/>
      <c r="Q358" s="895"/>
      <c r="R358" s="895"/>
      <c r="S358" s="895"/>
      <c r="T358" s="896"/>
      <c r="U358" s="895"/>
      <c r="V358" s="895"/>
      <c r="W358" s="895"/>
      <c r="X358" s="899"/>
      <c r="Y358" s="896"/>
      <c r="Z358" s="895"/>
      <c r="AA358" s="895"/>
      <c r="AB358" s="895"/>
      <c r="AC358" s="899"/>
      <c r="AD358" s="896"/>
      <c r="AE358" s="895"/>
      <c r="AF358" s="895"/>
      <c r="AG358" s="895"/>
      <c r="AH358" s="899"/>
      <c r="AI358" s="896"/>
      <c r="AJ358" s="895"/>
      <c r="AK358" s="895"/>
      <c r="AL358" s="895"/>
      <c r="AM358" s="899"/>
      <c r="AN358" s="896"/>
      <c r="AO358" s="895"/>
      <c r="AP358" s="895"/>
      <c r="AQ358" s="897"/>
      <c r="AR358" s="899"/>
      <c r="AS358" s="896"/>
      <c r="AT358" s="895"/>
      <c r="AU358" s="895"/>
      <c r="AV358" s="895"/>
      <c r="AW358" s="899"/>
      <c r="AX358" s="896"/>
      <c r="AY358" s="895"/>
      <c r="AZ358" s="895"/>
      <c r="BA358" s="895"/>
      <c r="BB358" s="899"/>
      <c r="BC358" s="896"/>
      <c r="BD358" s="895"/>
      <c r="BE358" s="895"/>
      <c r="BF358" s="895"/>
      <c r="BG358" s="899"/>
      <c r="BH358" s="896"/>
      <c r="BI358" s="895"/>
      <c r="BJ358" s="895"/>
      <c r="BK358" s="895"/>
      <c r="BL358" s="899"/>
      <c r="BM358" s="895"/>
      <c r="BN358" s="895"/>
      <c r="BO358" s="895"/>
      <c r="BP358" s="895"/>
      <c r="BQ358" s="899"/>
      <c r="BR358" s="895"/>
      <c r="BS358" s="895"/>
      <c r="BT358" s="895"/>
      <c r="BU358" s="895"/>
      <c r="BV358" s="899"/>
      <c r="BW358" s="895"/>
      <c r="BX358" s="895"/>
      <c r="BY358" s="895"/>
      <c r="BZ358" s="895"/>
      <c r="CA358" s="899"/>
      <c r="CB358" s="895"/>
      <c r="CC358" s="895"/>
      <c r="CD358" s="895"/>
      <c r="CE358" s="895"/>
      <c r="CF358" s="899"/>
      <c r="CG358" s="895"/>
      <c r="CH358" s="895"/>
      <c r="CI358" s="895"/>
      <c r="CJ358" s="895"/>
      <c r="CK358" s="899"/>
      <c r="CL358" s="1015"/>
      <c r="CM358" s="895"/>
      <c r="CN358" s="895"/>
      <c r="CO358" s="895"/>
      <c r="CP358" s="899"/>
      <c r="CQ358" s="895"/>
      <c r="CR358" s="895"/>
      <c r="CS358" s="895"/>
      <c r="CT358" s="915"/>
      <c r="CU358" s="899"/>
      <c r="CV358" s="895"/>
      <c r="CW358" s="895"/>
      <c r="CX358" s="895"/>
      <c r="CY358" s="915"/>
      <c r="CZ358" s="899"/>
      <c r="DA358" s="1015"/>
      <c r="DB358" s="1509"/>
      <c r="DC358" s="895"/>
      <c r="DD358" s="915"/>
      <c r="DE358" s="899"/>
      <c r="DF358" s="895"/>
      <c r="DG358" s="895"/>
      <c r="DH358" s="895"/>
      <c r="DI358" s="915"/>
      <c r="DJ358" s="899"/>
      <c r="DK358" s="895"/>
      <c r="DL358" s="895"/>
      <c r="DM358" s="895"/>
      <c r="DN358" s="915"/>
      <c r="DO358" s="899"/>
      <c r="DP358" s="895"/>
      <c r="DQ358" s="895"/>
      <c r="DR358" s="895"/>
      <c r="DS358" s="915"/>
      <c r="DT358" s="899"/>
      <c r="DU358" s="895"/>
      <c r="DV358" s="895"/>
      <c r="DW358" s="895"/>
      <c r="DX358" s="915"/>
      <c r="DY358" s="899"/>
      <c r="DZ358" s="895"/>
      <c r="EA358" s="895"/>
      <c r="EB358" s="895"/>
      <c r="EC358" s="915"/>
      <c r="ED358" s="899"/>
      <c r="EE358" s="895"/>
      <c r="EF358" s="895"/>
      <c r="EG358" s="895"/>
      <c r="EH358" s="915"/>
      <c r="EI358" s="1015"/>
      <c r="EJ358" s="899"/>
      <c r="EK358" s="899"/>
      <c r="EL358" s="899"/>
      <c r="EM358" s="899"/>
      <c r="EN358" s="899"/>
      <c r="EO358" s="915"/>
      <c r="EP358" s="899"/>
      <c r="EQ358" s="899"/>
      <c r="ER358" s="899"/>
      <c r="ES358" s="899"/>
      <c r="ET358" s="899"/>
      <c r="EU358" s="899"/>
      <c r="EV358" s="899"/>
      <c r="EW358" s="899"/>
      <c r="EX358" s="899"/>
    </row>
    <row r="359" spans="1:154" ht="12.75" customHeight="1">
      <c r="B359" s="338" t="s">
        <v>981</v>
      </c>
      <c r="C359" s="2010"/>
      <c r="D359" s="894"/>
      <c r="E359" s="894"/>
      <c r="F359" s="895"/>
      <c r="G359" s="895"/>
      <c r="H359" s="895"/>
      <c r="I359" s="895"/>
      <c r="J359" s="895"/>
      <c r="K359" s="895"/>
      <c r="L359" s="895"/>
      <c r="M359" s="895"/>
      <c r="N359" s="895"/>
      <c r="O359" s="896"/>
      <c r="P359" s="895"/>
      <c r="Q359" s="895"/>
      <c r="R359" s="895"/>
      <c r="S359" s="895"/>
      <c r="T359" s="896"/>
      <c r="U359" s="895"/>
      <c r="V359" s="895"/>
      <c r="W359" s="895"/>
      <c r="X359" s="899"/>
      <c r="Y359" s="896"/>
      <c r="Z359" s="895"/>
      <c r="AA359" s="895"/>
      <c r="AB359" s="895"/>
      <c r="AC359" s="899"/>
      <c r="AD359" s="896"/>
      <c r="AE359" s="895"/>
      <c r="AF359" s="895"/>
      <c r="AG359" s="895"/>
      <c r="AH359" s="899"/>
      <c r="AI359" s="896"/>
      <c r="AJ359" s="895"/>
      <c r="AK359" s="895"/>
      <c r="AL359" s="895"/>
      <c r="AM359" s="899"/>
      <c r="AN359" s="896"/>
      <c r="AO359" s="895"/>
      <c r="AP359" s="895"/>
      <c r="AQ359" s="897"/>
      <c r="AR359" s="899"/>
      <c r="AS359" s="896"/>
      <c r="AT359" s="895"/>
      <c r="AU359" s="895"/>
      <c r="AV359" s="895"/>
      <c r="AW359" s="899"/>
      <c r="AX359" s="896"/>
      <c r="AY359" s="895"/>
      <c r="AZ359" s="895"/>
      <c r="BA359" s="895"/>
      <c r="BB359" s="899"/>
      <c r="BC359" s="896"/>
      <c r="BD359" s="895"/>
      <c r="BE359" s="895"/>
      <c r="BF359" s="895"/>
      <c r="BG359" s="899"/>
      <c r="BH359" s="896"/>
      <c r="BI359" s="895"/>
      <c r="BJ359" s="895"/>
      <c r="BK359" s="895"/>
      <c r="BL359" s="899"/>
      <c r="BM359" s="895"/>
      <c r="BN359" s="895"/>
      <c r="BO359" s="895"/>
      <c r="BP359" s="895"/>
      <c r="BQ359" s="899"/>
      <c r="BR359" s="895"/>
      <c r="BS359" s="895"/>
      <c r="BT359" s="895"/>
      <c r="BU359" s="895"/>
      <c r="BV359" s="899"/>
      <c r="BW359" s="895"/>
      <c r="BX359" s="895"/>
      <c r="BY359" s="895"/>
      <c r="BZ359" s="895"/>
      <c r="CA359" s="899"/>
      <c r="CB359" s="895"/>
      <c r="CC359" s="895"/>
      <c r="CD359" s="895"/>
      <c r="CE359" s="895"/>
      <c r="CF359" s="899"/>
      <c r="CG359" s="895"/>
      <c r="CH359" s="895"/>
      <c r="CI359" s="895"/>
      <c r="CJ359" s="895"/>
      <c r="CK359" s="899"/>
      <c r="CL359" s="1015"/>
      <c r="CM359" s="895"/>
      <c r="CN359" s="895"/>
      <c r="CO359" s="895"/>
      <c r="CP359" s="899"/>
      <c r="CQ359" s="895"/>
      <c r="CR359" s="895"/>
      <c r="CS359" s="895"/>
      <c r="CT359" s="895"/>
      <c r="CU359" s="899"/>
      <c r="CV359" s="895"/>
      <c r="CW359" s="895"/>
      <c r="CX359" s="895"/>
      <c r="CY359" s="895"/>
      <c r="CZ359" s="899"/>
      <c r="DA359" s="895"/>
      <c r="DB359" s="1509"/>
      <c r="DC359" s="895"/>
      <c r="DD359" s="915"/>
      <c r="DE359" s="899"/>
      <c r="DF359" s="895"/>
      <c r="DG359" s="895"/>
      <c r="DH359" s="895"/>
      <c r="DI359" s="915"/>
      <c r="DJ359" s="899"/>
      <c r="DK359" s="895"/>
      <c r="DL359" s="895"/>
      <c r="DM359" s="895"/>
      <c r="DN359" s="915"/>
      <c r="DO359" s="899"/>
      <c r="DP359" s="895"/>
      <c r="DQ359" s="895"/>
      <c r="DR359" s="895"/>
      <c r="DS359" s="915"/>
      <c r="DT359" s="899"/>
      <c r="DU359" s="895"/>
      <c r="DV359" s="895"/>
      <c r="DW359" s="895"/>
      <c r="DX359" s="915"/>
      <c r="DY359" s="899"/>
      <c r="DZ359" s="895"/>
      <c r="EA359" s="895"/>
      <c r="EB359" s="895"/>
      <c r="EC359" s="915"/>
      <c r="ED359" s="899"/>
      <c r="EE359" s="895"/>
      <c r="EF359" s="895"/>
      <c r="EG359" s="895"/>
      <c r="EH359" s="915"/>
      <c r="EI359" s="1015"/>
      <c r="EJ359" s="899"/>
      <c r="EK359" s="899"/>
      <c r="EL359" s="899"/>
      <c r="EM359" s="899"/>
      <c r="EN359" s="899"/>
      <c r="EO359" s="915"/>
      <c r="EP359" s="899"/>
      <c r="EQ359" s="899"/>
      <c r="ER359" s="899"/>
      <c r="ES359" s="899"/>
      <c r="ET359" s="899"/>
      <c r="EU359" s="899"/>
      <c r="EV359" s="899"/>
      <c r="EW359" s="899"/>
      <c r="EX359" s="899"/>
    </row>
    <row r="360" spans="1:154" s="3474" customFormat="1" ht="12.75" customHeight="1">
      <c r="A360" s="3470"/>
      <c r="B360" s="3471" t="s">
        <v>921</v>
      </c>
      <c r="C360" s="3472"/>
      <c r="D360" s="3473"/>
      <c r="E360" s="3473"/>
      <c r="F360" s="1341"/>
      <c r="G360" s="1341"/>
      <c r="H360" s="1341"/>
      <c r="I360" s="1341"/>
      <c r="J360" s="1341"/>
      <c r="K360" s="1341"/>
      <c r="L360" s="1341"/>
      <c r="M360" s="1341"/>
      <c r="N360" s="1341"/>
      <c r="O360" s="1341"/>
      <c r="P360" s="1341"/>
      <c r="Q360" s="1341"/>
      <c r="R360" s="1341"/>
      <c r="S360" s="1341"/>
      <c r="T360" s="1341"/>
      <c r="U360" s="1341"/>
      <c r="V360" s="1341"/>
      <c r="W360" s="1341"/>
      <c r="X360" s="923"/>
      <c r="Y360" s="1341"/>
      <c r="Z360" s="1341"/>
      <c r="AA360" s="1341"/>
      <c r="AB360" s="1341"/>
      <c r="AC360" s="923"/>
      <c r="AD360" s="1341"/>
      <c r="AE360" s="1341"/>
      <c r="AF360" s="1341"/>
      <c r="AG360" s="1341"/>
      <c r="AH360" s="923"/>
      <c r="AI360" s="1341"/>
      <c r="AJ360" s="1341"/>
      <c r="AK360" s="1341"/>
      <c r="AL360" s="1341"/>
      <c r="AM360" s="923"/>
      <c r="AN360" s="1341"/>
      <c r="AO360" s="1341"/>
      <c r="AP360" s="1341"/>
      <c r="AQ360" s="1341"/>
      <c r="AR360" s="923"/>
      <c r="AS360" s="1341"/>
      <c r="AT360" s="1341"/>
      <c r="AU360" s="1341"/>
      <c r="AV360" s="1341"/>
      <c r="AW360" s="923"/>
      <c r="AX360" s="1341"/>
      <c r="AY360" s="1341"/>
      <c r="AZ360" s="1341"/>
      <c r="BA360" s="1341"/>
      <c r="BB360" s="923"/>
      <c r="BC360" s="1341"/>
      <c r="BD360" s="1341"/>
      <c r="BE360" s="1341"/>
      <c r="BF360" s="1341"/>
      <c r="BG360" s="923"/>
      <c r="BH360" s="1341"/>
      <c r="BI360" s="1341"/>
      <c r="BJ360" s="1341"/>
      <c r="BK360" s="1341"/>
      <c r="BL360" s="923"/>
      <c r="BM360" s="1341"/>
      <c r="BN360" s="1341"/>
      <c r="BO360" s="1341"/>
      <c r="BP360" s="1341"/>
      <c r="BQ360" s="923"/>
      <c r="BR360" s="1341"/>
      <c r="BS360" s="1341"/>
      <c r="BT360" s="1341"/>
      <c r="BU360" s="1341"/>
      <c r="BV360" s="923"/>
      <c r="BW360" s="1341"/>
      <c r="BX360" s="1341"/>
      <c r="BY360" s="1341"/>
      <c r="BZ360" s="1341"/>
      <c r="CA360" s="923"/>
      <c r="CB360" s="1341"/>
      <c r="CC360" s="1341"/>
      <c r="CD360" s="1341"/>
      <c r="CE360" s="1341"/>
      <c r="CF360" s="923"/>
      <c r="CG360" s="1341"/>
      <c r="CH360" s="1341"/>
      <c r="CI360" s="1341"/>
      <c r="CJ360" s="1341"/>
      <c r="CK360" s="923"/>
      <c r="CL360" s="1342"/>
      <c r="CM360" s="1341"/>
      <c r="CN360" s="1341"/>
      <c r="CO360" s="1341"/>
      <c r="CP360" s="923"/>
      <c r="CQ360" s="1341"/>
      <c r="CR360" s="1341"/>
      <c r="CS360" s="1341"/>
      <c r="CT360" s="1341"/>
      <c r="CU360" s="923"/>
      <c r="CV360" s="1341"/>
      <c r="CW360" s="1341"/>
      <c r="CX360" s="1341"/>
      <c r="CY360" s="1341"/>
      <c r="CZ360" s="923"/>
      <c r="DA360" s="1341"/>
      <c r="DB360" s="1516"/>
      <c r="DC360" s="1341"/>
      <c r="DD360" s="922"/>
      <c r="DE360" s="923"/>
      <c r="DF360" s="1341"/>
      <c r="DG360" s="1341"/>
      <c r="DH360" s="1341"/>
      <c r="DI360" s="922"/>
      <c r="DJ360" s="923"/>
      <c r="DK360" s="1341"/>
      <c r="DL360" s="1341"/>
      <c r="DM360" s="1341"/>
      <c r="DN360" s="922"/>
      <c r="DO360" s="923"/>
      <c r="DP360" s="1341"/>
      <c r="DQ360" s="1341"/>
      <c r="DR360" s="1341"/>
      <c r="DS360" s="922"/>
      <c r="DT360" s="923"/>
      <c r="DU360" s="2460">
        <f>IFERROR((DU350/DP350)-1,"")</f>
      </c>
      <c r="DV360" s="2460">
        <f>IFERROR((DV350/DQ350)-1,"")</f>
      </c>
      <c r="DW360" s="2460">
        <f>IFERROR((DW350/DR350)-1,"")</f>
      </c>
      <c r="DX360" s="2466">
        <f>IFERROR((DX350/DS350)-1,"")</f>
      </c>
      <c r="DY360" s="2467">
        <f>IFERROR((DY350/DT350)-1,"")</f>
      </c>
      <c r="DZ360" s="1341">
        <f t="shared" ref="DZ360:EC361" si="1013">+DZ350/DU350-1</f>
      </c>
      <c r="EA360" s="1341">
        <f t="shared" si="1013"/>
      </c>
      <c r="EB360" s="1341">
        <f t="shared" si="1013"/>
      </c>
      <c r="EC360" s="1341">
        <f t="shared" si="1013"/>
      </c>
      <c r="ED360" s="308" t="str">
        <f>IF(DY355=0, "NA", ED355/DY355-1)</f>
      </c>
      <c r="EE360" s="1341"/>
      <c r="EF360" s="1341"/>
      <c r="EG360" s="1341"/>
      <c r="EH360" s="1341"/>
      <c r="EI360" s="3475">
        <f>+EI350/ED350-1</f>
      </c>
      <c r="EJ360" s="3475">
        <f t="shared" ref="EJ360:EN361" si="1014">+EJ350/EI350-1</f>
      </c>
      <c r="EK360" s="3475">
        <f t="shared" si="1014"/>
      </c>
      <c r="EL360" s="3475">
        <f t="shared" si="1014"/>
      </c>
      <c r="EM360" s="3475">
        <f t="shared" si="1014"/>
      </c>
      <c r="EN360" s="3695">
        <f t="shared" si="1014"/>
      </c>
      <c r="EO360" s="922">
        <v>0</v>
      </c>
      <c r="EP360" s="923">
        <v>0</v>
      </c>
      <c r="EQ360" s="923">
        <v>0</v>
      </c>
      <c r="ER360" s="923">
        <v>0</v>
      </c>
      <c r="ES360" s="923">
        <v>0</v>
      </c>
      <c r="ET360" s="923"/>
      <c r="EU360" s="923"/>
      <c r="EV360" s="923"/>
      <c r="EW360" s="923"/>
      <c r="EX360" s="923"/>
    </row>
    <row r="361" spans="1:154" s="3474" customFormat="1" ht="12.75" customHeight="1">
      <c r="A361" s="3470"/>
      <c r="B361" s="3471" t="s">
        <v>412</v>
      </c>
      <c r="C361" s="3472"/>
      <c r="D361" s="3473"/>
      <c r="E361" s="3473"/>
      <c r="F361" s="1341"/>
      <c r="G361" s="1341"/>
      <c r="H361" s="1341"/>
      <c r="I361" s="1341"/>
      <c r="J361" s="1341"/>
      <c r="K361" s="1341"/>
      <c r="L361" s="1341"/>
      <c r="M361" s="1341"/>
      <c r="N361" s="1341"/>
      <c r="O361" s="1341"/>
      <c r="P361" s="1341"/>
      <c r="Q361" s="1341"/>
      <c r="R361" s="1341"/>
      <c r="S361" s="1341"/>
      <c r="T361" s="1341"/>
      <c r="U361" s="1341"/>
      <c r="V361" s="1341"/>
      <c r="W361" s="1341"/>
      <c r="X361" s="923"/>
      <c r="Y361" s="1341"/>
      <c r="Z361" s="1341"/>
      <c r="AA361" s="1341"/>
      <c r="AB361" s="1341"/>
      <c r="AC361" s="923"/>
      <c r="AD361" s="1341"/>
      <c r="AE361" s="1341"/>
      <c r="AF361" s="1341"/>
      <c r="AG361" s="1341"/>
      <c r="AH361" s="923"/>
      <c r="AI361" s="1341"/>
      <c r="AJ361" s="1341"/>
      <c r="AK361" s="1341"/>
      <c r="AL361" s="1341"/>
      <c r="AM361" s="923"/>
      <c r="AN361" s="1341"/>
      <c r="AO361" s="1341"/>
      <c r="AP361" s="1341"/>
      <c r="AQ361" s="1341"/>
      <c r="AR361" s="923"/>
      <c r="AS361" s="1341"/>
      <c r="AT361" s="1341"/>
      <c r="AU361" s="1341"/>
      <c r="AV361" s="1341"/>
      <c r="AW361" s="923"/>
      <c r="AX361" s="1341"/>
      <c r="AY361" s="1341"/>
      <c r="AZ361" s="1341"/>
      <c r="BA361" s="1341"/>
      <c r="BB361" s="923"/>
      <c r="BC361" s="1341"/>
      <c r="BD361" s="1341"/>
      <c r="BE361" s="1341"/>
      <c r="BF361" s="1341"/>
      <c r="BG361" s="923"/>
      <c r="BH361" s="1341"/>
      <c r="BI361" s="1341"/>
      <c r="BJ361" s="1341"/>
      <c r="BK361" s="1341"/>
      <c r="BL361" s="923"/>
      <c r="BM361" s="1341"/>
      <c r="BN361" s="1341"/>
      <c r="BO361" s="1341"/>
      <c r="BP361" s="1341"/>
      <c r="BQ361" s="923"/>
      <c r="BR361" s="1341"/>
      <c r="BS361" s="1341"/>
      <c r="BT361" s="1341"/>
      <c r="BU361" s="1341"/>
      <c r="BV361" s="923"/>
      <c r="BW361" s="1341"/>
      <c r="BX361" s="1341"/>
      <c r="BY361" s="1341"/>
      <c r="BZ361" s="1341"/>
      <c r="CA361" s="923"/>
      <c r="CB361" s="1341"/>
      <c r="CC361" s="1341"/>
      <c r="CD361" s="1341"/>
      <c r="CE361" s="1341"/>
      <c r="CF361" s="923"/>
      <c r="CG361" s="1341"/>
      <c r="CH361" s="1341"/>
      <c r="CI361" s="1341"/>
      <c r="CJ361" s="1341"/>
      <c r="CK361" s="923"/>
      <c r="CL361" s="1342"/>
      <c r="CM361" s="1341"/>
      <c r="CN361" s="1341"/>
      <c r="CO361" s="1341"/>
      <c r="CP361" s="923"/>
      <c r="CQ361" s="1341"/>
      <c r="CR361" s="1341"/>
      <c r="CS361" s="1341"/>
      <c r="CT361" s="1341"/>
      <c r="CU361" s="923"/>
      <c r="CV361" s="1341"/>
      <c r="CW361" s="1341"/>
      <c r="CX361" s="1341"/>
      <c r="CY361" s="1341"/>
      <c r="CZ361" s="923"/>
      <c r="DA361" s="1341"/>
      <c r="DB361" s="1516"/>
      <c r="DC361" s="1341"/>
      <c r="DD361" s="922"/>
      <c r="DE361" s="923"/>
      <c r="DF361" s="1341"/>
      <c r="DG361" s="1341"/>
      <c r="DH361" s="1341"/>
      <c r="DI361" s="922"/>
      <c r="DJ361" s="923"/>
      <c r="DK361" s="1341"/>
      <c r="DL361" s="1341"/>
      <c r="DM361" s="1341"/>
      <c r="DN361" s="922"/>
      <c r="DO361" s="923"/>
      <c r="DP361" s="1341"/>
      <c r="DQ361" s="1341"/>
      <c r="DR361" s="1341"/>
      <c r="DS361" s="922"/>
      <c r="DT361" s="923"/>
      <c r="DU361" s="1341"/>
      <c r="DV361" s="1341"/>
      <c r="DW361" s="1341"/>
      <c r="DX361" s="922"/>
      <c r="DY361" s="923"/>
      <c r="DZ361" s="1341">
        <f t="shared" si="1013"/>
      </c>
      <c r="EA361" s="1341">
        <f t="shared" si="1013"/>
      </c>
      <c r="EB361" s="1341">
        <f t="shared" si="1013"/>
      </c>
      <c r="EC361" s="1341">
        <f t="shared" si="1013"/>
      </c>
      <c r="ED361" s="308" t="str">
        <f>IF(DY356=0, "NA", ED356/DY356-1)</f>
      </c>
      <c r="EE361" s="1341"/>
      <c r="EF361" s="1341"/>
      <c r="EG361" s="1341"/>
      <c r="EH361" s="1341"/>
      <c r="EI361" s="3475">
        <f t="shared" ref="EI361" si="1015">+EI351/ED351-1</f>
      </c>
      <c r="EJ361" s="3475">
        <f t="shared" si="1014"/>
      </c>
      <c r="EK361" s="3475">
        <f t="shared" si="1014"/>
      </c>
      <c r="EL361" s="3475">
        <f t="shared" si="1014"/>
      </c>
      <c r="EM361" s="3475">
        <f t="shared" si="1014"/>
      </c>
      <c r="EN361" s="3695">
        <f t="shared" si="1014"/>
      </c>
      <c r="EO361" s="922"/>
      <c r="EP361" s="923"/>
      <c r="EQ361" s="923"/>
      <c r="ER361" s="923"/>
      <c r="ES361" s="923"/>
      <c r="ET361" s="923"/>
      <c r="EU361" s="923"/>
      <c r="EV361" s="923"/>
      <c r="EW361" s="923"/>
      <c r="EX361" s="923"/>
    </row>
    <row r="362" spans="1:154" ht="12.75" customHeight="1">
      <c r="B362" s="341" t="s">
        <v>256</v>
      </c>
      <c r="C362" s="1989"/>
      <c r="D362" s="28"/>
      <c r="E362" s="28"/>
      <c r="F362" s="28"/>
      <c r="G362" s="28"/>
      <c r="H362" s="28"/>
      <c r="I362" s="31"/>
      <c r="J362" s="28"/>
      <c r="K362" s="28"/>
      <c r="L362" s="28"/>
      <c r="M362" s="28"/>
      <c r="N362" s="31"/>
      <c r="O362" s="31"/>
      <c r="P362" s="31"/>
      <c r="Q362" s="31"/>
      <c r="R362" s="31"/>
      <c r="S362" s="31"/>
      <c r="T362" s="31"/>
      <c r="U362" s="31"/>
      <c r="V362" s="31"/>
      <c r="W362" s="31"/>
      <c r="X362" s="313"/>
      <c r="Y362" s="31"/>
      <c r="Z362" s="31"/>
      <c r="AA362" s="31"/>
      <c r="AB362" s="31"/>
      <c r="AC362" s="313"/>
      <c r="AD362" s="31"/>
      <c r="AE362" s="31"/>
      <c r="AF362" s="31"/>
      <c r="AG362" s="33"/>
      <c r="AH362" s="313"/>
      <c r="AI362" s="33"/>
      <c r="AJ362" s="33"/>
      <c r="AK362" s="33"/>
      <c r="AL362" s="33"/>
      <c r="AM362" s="313"/>
      <c r="AN362" s="33"/>
      <c r="AO362" s="33"/>
      <c r="AP362" s="33"/>
      <c r="AQ362" s="33"/>
      <c r="AR362" s="313"/>
      <c r="AS362" s="28"/>
      <c r="AT362" s="28"/>
      <c r="AU362" s="28"/>
      <c r="AV362" s="31"/>
      <c r="AW362" s="313"/>
      <c r="AX362" s="28"/>
      <c r="AY362" s="28"/>
      <c r="AZ362" s="28"/>
      <c r="BA362" s="28"/>
      <c r="BB362" s="313"/>
      <c r="BC362" s="28"/>
      <c r="BD362" s="28"/>
      <c r="BE362" s="28"/>
      <c r="BF362" s="28"/>
      <c r="BG362" s="313"/>
      <c r="BH362" s="28"/>
      <c r="BI362" s="28"/>
      <c r="BJ362" s="28"/>
      <c r="BK362" s="28"/>
      <c r="BL362" s="313"/>
      <c r="BM362" s="41" t="str">
        <f t="shared" ref="BM362:BV362" si="1016">IF(ISNUMBER(BM361),(1+BM361)/(1+BM$21)-1,"NM")</f>
      </c>
      <c r="BN362" s="41" t="str">
        <f t="shared" si="1016"/>
      </c>
      <c r="BO362" s="41" t="str">
        <f t="shared" si="1016"/>
      </c>
      <c r="BP362" s="41" t="str">
        <f t="shared" si="1016"/>
      </c>
      <c r="BQ362" s="309" t="str">
        <f t="shared" si="1016"/>
      </c>
      <c r="BR362" s="41" t="str">
        <f t="shared" si="1016"/>
      </c>
      <c r="BS362" s="41" t="str">
        <f t="shared" si="1016"/>
      </c>
      <c r="BT362" s="41" t="str">
        <f t="shared" si="1016"/>
      </c>
      <c r="BU362" s="41" t="str">
        <f t="shared" si="1016"/>
      </c>
      <c r="BV362" s="309" t="str">
        <f t="shared" si="1016"/>
      </c>
      <c r="BW362" s="650">
        <v>0.96</v>
      </c>
      <c r="BX362" s="650">
        <v>0.75</v>
      </c>
      <c r="BY362" s="650">
        <v>0.72899999999999998</v>
      </c>
      <c r="BZ362" s="835">
        <v>0.69399999999999995</v>
      </c>
      <c r="CA362" s="662">
        <v>0.76800000000000002</v>
      </c>
      <c r="CB362" s="361">
        <v>0.60699999999999998</v>
      </c>
      <c r="CC362" s="650">
        <v>0.42299999999999999</v>
      </c>
      <c r="CD362" s="650">
        <v>0.312</v>
      </c>
      <c r="CE362" s="835">
        <v>0.27800000000000002</v>
      </c>
      <c r="CF362" s="662">
        <v>0.39100000000000001</v>
      </c>
      <c r="CG362" s="361">
        <v>0.125</v>
      </c>
      <c r="CH362" s="361">
        <v>0.14599999999999999</v>
      </c>
      <c r="CI362" s="361">
        <v>0.14899999999999999</v>
      </c>
      <c r="CJ362" s="361">
        <v>0.17699999999999999</v>
      </c>
      <c r="CK362" s="309">
        <f>CK361-CK$21</f>
      </c>
      <c r="CL362" s="361">
        <v>0.193</v>
      </c>
      <c r="CM362" s="361">
        <v>0.21199999999999999</v>
      </c>
      <c r="CN362" s="361">
        <v>0.188</v>
      </c>
      <c r="CO362" s="361">
        <v>0.158</v>
      </c>
      <c r="CP362" s="309">
        <f>CP361-CP$21</f>
      </c>
      <c r="CQ362" s="361">
        <v>0.14299999999999999</v>
      </c>
      <c r="CR362" s="361">
        <v>0.14299999999999999</v>
      </c>
      <c r="CS362" s="361">
        <v>0.11</v>
      </c>
      <c r="CT362" s="361">
        <v>0.08</v>
      </c>
      <c r="CU362" s="309">
        <f>CU361-CU$21</f>
      </c>
      <c r="CV362" s="361">
        <v>0.152</v>
      </c>
      <c r="CW362" s="361">
        <v>0.105</v>
      </c>
      <c r="CX362" s="361">
        <v>0.16600000000000001</v>
      </c>
      <c r="CY362" s="361">
        <v>0.126</v>
      </c>
      <c r="CZ362" s="309">
        <f>CZ361-CZ$21</f>
      </c>
      <c r="DA362" s="1109">
        <v>0.152</v>
      </c>
      <c r="DB362" s="361">
        <v>0.17199999999999999</v>
      </c>
      <c r="DC362" s="1109">
        <v>9.4E-2</v>
      </c>
      <c r="DD362" s="1525">
        <v>0.13200000000000001</v>
      </c>
      <c r="DE362" s="1233">
        <f>DE361-DE$21</f>
      </c>
      <c r="DF362" s="1208">
        <v>0.05</v>
      </c>
      <c r="DG362" s="1208">
        <v>-0.2</v>
      </c>
      <c r="DH362" s="1208">
        <v>-0.1</v>
      </c>
      <c r="DI362" s="1235" t="str">
        <f>IF(DI356=0, "NM",DI361-DI$21)</f>
      </c>
      <c r="DJ362" s="1233"/>
      <c r="DK362" s="1208">
        <v>0.14000000000000001</v>
      </c>
      <c r="DL362" s="29">
        <v>0.14000000000000001</v>
      </c>
      <c r="DM362" s="29">
        <v>0.14000000000000001</v>
      </c>
      <c r="DN362" s="928" t="str">
        <f>IF(DN356=0, "NM",DN361-DN$21)</f>
      </c>
      <c r="DO362" s="1233"/>
      <c r="DP362" s="926"/>
      <c r="DQ362" s="410"/>
      <c r="DR362" s="410"/>
      <c r="DS362" s="410">
        <f t="shared" ref="DS362" si="1017">DS361-DS$21</f>
      </c>
      <c r="DT362" s="1233"/>
      <c r="DU362" s="926"/>
      <c r="DV362" s="926"/>
      <c r="DW362" s="926"/>
      <c r="DX362" s="926"/>
      <c r="DY362" s="1233"/>
      <c r="DZ362" s="1703">
        <f>DZ361</f>
      </c>
      <c r="EA362" s="1703">
        <f>EA361</f>
      </c>
      <c r="EB362" s="1703">
        <f>EB361-(-2.8%)</f>
      </c>
      <c r="EC362" s="1703">
        <f>EC361-(-5.4%)</f>
      </c>
      <c r="ED362" s="1233" t="e">
        <f>ED361-ED$21</f>
      </c>
      <c r="EE362" s="1703"/>
      <c r="EF362" s="1703"/>
      <c r="EG362" s="1703"/>
      <c r="EH362" s="1063"/>
      <c r="EI362" s="3475"/>
      <c r="EJ362" s="673">
        <v>0.4</v>
      </c>
      <c r="EK362" s="673">
        <v>0.214</v>
      </c>
      <c r="EL362" s="673">
        <v>0.17599999999999999</v>
      </c>
      <c r="EM362" s="673">
        <v>0.05</v>
      </c>
      <c r="EN362" s="673">
        <v>4.8000000000000001E-2</v>
      </c>
      <c r="EO362" s="660">
        <v>-0.05</v>
      </c>
      <c r="EP362" s="673">
        <v>-0.05</v>
      </c>
      <c r="EQ362" s="673">
        <v>-0.05</v>
      </c>
      <c r="ER362" s="673">
        <v>-0.05</v>
      </c>
      <c r="ES362" s="657"/>
      <c r="ET362" s="657"/>
      <c r="EU362" s="657"/>
      <c r="EV362" s="657"/>
      <c r="EW362" s="657"/>
      <c r="EX362" s="657"/>
    </row>
    <row r="363" spans="1:154" s="3474" customFormat="1" ht="12.75" customHeight="1">
      <c r="A363" s="3470"/>
      <c r="B363" s="3471" t="s">
        <v>413</v>
      </c>
      <c r="C363" s="3472"/>
      <c r="D363" s="3473"/>
      <c r="E363" s="3473"/>
      <c r="F363" s="1341"/>
      <c r="G363" s="1341"/>
      <c r="H363" s="1341"/>
      <c r="I363" s="1341"/>
      <c r="J363" s="1341"/>
      <c r="K363" s="1341"/>
      <c r="L363" s="1341"/>
      <c r="M363" s="1341"/>
      <c r="N363" s="1341"/>
      <c r="O363" s="1341"/>
      <c r="P363" s="1341"/>
      <c r="Q363" s="1341"/>
      <c r="R363" s="1341"/>
      <c r="S363" s="1341"/>
      <c r="T363" s="1341"/>
      <c r="U363" s="1341"/>
      <c r="V363" s="1341"/>
      <c r="W363" s="1341"/>
      <c r="X363" s="923"/>
      <c r="Y363" s="1341"/>
      <c r="Z363" s="1341"/>
      <c r="AA363" s="1341"/>
      <c r="AB363" s="1341"/>
      <c r="AC363" s="923"/>
      <c r="AD363" s="1341"/>
      <c r="AE363" s="1341"/>
      <c r="AF363" s="1341"/>
      <c r="AG363" s="1341"/>
      <c r="AH363" s="923"/>
      <c r="AI363" s="1341"/>
      <c r="AJ363" s="1341"/>
      <c r="AK363" s="1341"/>
      <c r="AL363" s="1341"/>
      <c r="AM363" s="923"/>
      <c r="AN363" s="1341"/>
      <c r="AO363" s="1341"/>
      <c r="AP363" s="1341"/>
      <c r="AQ363" s="1341"/>
      <c r="AR363" s="923"/>
      <c r="AS363" s="1341"/>
      <c r="AT363" s="1341"/>
      <c r="AU363" s="1341"/>
      <c r="AV363" s="1341"/>
      <c r="AW363" s="923"/>
      <c r="AX363" s="1341"/>
      <c r="AY363" s="1341"/>
      <c r="AZ363" s="1341"/>
      <c r="BA363" s="1341"/>
      <c r="BB363" s="923"/>
      <c r="BC363" s="1341"/>
      <c r="BD363" s="1341"/>
      <c r="BE363" s="1341"/>
      <c r="BF363" s="1341"/>
      <c r="BG363" s="923"/>
      <c r="BH363" s="1341"/>
      <c r="BI363" s="1341"/>
      <c r="BJ363" s="1341"/>
      <c r="BK363" s="1341"/>
      <c r="BL363" s="923"/>
      <c r="BM363" s="1341"/>
      <c r="BN363" s="1341"/>
      <c r="BO363" s="1341"/>
      <c r="BP363" s="1341"/>
      <c r="BQ363" s="923"/>
      <c r="BR363" s="1341"/>
      <c r="BS363" s="1341"/>
      <c r="BT363" s="1341"/>
      <c r="BU363" s="1341"/>
      <c r="BV363" s="923"/>
      <c r="BW363" s="1341"/>
      <c r="BX363" s="1341"/>
      <c r="BY363" s="1341"/>
      <c r="BZ363" s="1341"/>
      <c r="CA363" s="923"/>
      <c r="CB363" s="1341"/>
      <c r="CC363" s="1341"/>
      <c r="CD363" s="1341"/>
      <c r="CE363" s="1341"/>
      <c r="CF363" s="923"/>
      <c r="CG363" s="1341"/>
      <c r="CH363" s="1341"/>
      <c r="CI363" s="1341"/>
      <c r="CJ363" s="1341"/>
      <c r="CK363" s="923"/>
      <c r="CL363" s="1342"/>
      <c r="CM363" s="1341"/>
      <c r="CN363" s="1341"/>
      <c r="CO363" s="1341"/>
      <c r="CP363" s="923"/>
      <c r="CQ363" s="1341"/>
      <c r="CR363" s="1341"/>
      <c r="CS363" s="1341"/>
      <c r="CT363" s="1341"/>
      <c r="CU363" s="923"/>
      <c r="CV363" s="1341"/>
      <c r="CW363" s="1341"/>
      <c r="CX363" s="1341"/>
      <c r="CY363" s="1341"/>
      <c r="CZ363" s="923"/>
      <c r="DA363" s="1341"/>
      <c r="DB363" s="1516"/>
      <c r="DC363" s="1341"/>
      <c r="DD363" s="922"/>
      <c r="DE363" s="923"/>
      <c r="DF363" s="1341"/>
      <c r="DG363" s="1341"/>
      <c r="DH363" s="1341"/>
      <c r="DI363" s="922"/>
      <c r="DJ363" s="923"/>
      <c r="DK363" s="1341"/>
      <c r="DL363" s="1341"/>
      <c r="DM363" s="1341"/>
      <c r="DN363" s="922"/>
      <c r="DO363" s="923"/>
      <c r="DP363" s="1341"/>
      <c r="DQ363" s="1341"/>
      <c r="DR363" s="1341"/>
      <c r="DS363" s="922"/>
      <c r="DT363" s="923"/>
      <c r="DU363" s="2460">
        <f>DU352/DP352-1</f>
      </c>
      <c r="DV363" s="2460">
        <f>DV352/DQ352-1</f>
      </c>
      <c r="DW363" s="2460">
        <f>DW352/DR352-1</f>
      </c>
      <c r="DX363" s="2460">
        <f>DX352/DS352-1</f>
      </c>
      <c r="DY363" s="2467">
        <f>DY352/DT352-1</f>
      </c>
      <c r="DZ363" s="1341">
        <f t="shared" ref="DZ363:EC363" si="1018">+DZ352/DU352-1</f>
      </c>
      <c r="EA363" s="1341">
        <f t="shared" si="1018"/>
      </c>
      <c r="EB363" s="1341">
        <f t="shared" si="1018"/>
      </c>
      <c r="EC363" s="1341">
        <f t="shared" si="1018"/>
      </c>
      <c r="ED363" s="308" t="str">
        <f t="shared" ref="ED363" si="1019">IF(DY357=0, "NA", ED357/DY357-1)</f>
      </c>
      <c r="EE363" s="1341"/>
      <c r="EF363" s="1341"/>
      <c r="EG363" s="1341"/>
      <c r="EH363" s="1341"/>
      <c r="EI363" s="3475"/>
      <c r="EJ363" s="3475">
        <f>+EJ352/EI352-1</f>
      </c>
      <c r="EK363" s="3475">
        <f>+EK352/EJ352-1</f>
      </c>
      <c r="EL363" s="3475">
        <f>+EL352/EK352-1</f>
      </c>
      <c r="EM363" s="3475">
        <f>+EM352/EL352-1</f>
      </c>
      <c r="EN363" s="3695">
        <f>+EN352/EM352-1</f>
      </c>
      <c r="EO363" s="922"/>
      <c r="EP363" s="923"/>
      <c r="EQ363" s="923"/>
      <c r="ER363" s="923"/>
      <c r="ES363" s="923"/>
      <c r="ET363" s="923"/>
      <c r="EU363" s="923"/>
      <c r="EV363" s="923"/>
      <c r="EW363" s="923"/>
      <c r="EX363" s="923"/>
    </row>
    <row r="364" spans="1:154" ht="12.75" hidden="1" customHeight="1" outlineLevel="1">
      <c r="B364" s="341" t="s">
        <v>413</v>
      </c>
      <c r="C364" s="1990"/>
      <c r="D364" s="26"/>
      <c r="E364" s="26"/>
      <c r="F364" s="26"/>
      <c r="G364" s="26"/>
      <c r="H364" s="26"/>
      <c r="I364" s="27"/>
      <c r="J364" s="26"/>
      <c r="K364" s="26"/>
      <c r="L364" s="26"/>
      <c r="M364" s="26"/>
      <c r="N364" s="27"/>
      <c r="O364" s="27"/>
      <c r="P364" s="27"/>
      <c r="Q364" s="27"/>
      <c r="R364" s="27"/>
      <c r="S364" s="27"/>
      <c r="T364" s="27"/>
      <c r="U364" s="27"/>
      <c r="V364" s="27"/>
      <c r="W364" s="27"/>
      <c r="X364" s="307"/>
      <c r="Y364" s="27"/>
      <c r="Z364" s="27"/>
      <c r="AA364" s="27"/>
      <c r="AB364" s="27"/>
      <c r="AC364" s="307"/>
      <c r="AD364" s="27"/>
      <c r="AE364" s="27"/>
      <c r="AF364" s="27"/>
      <c r="AG364" s="27"/>
      <c r="AH364" s="307"/>
      <c r="AI364" s="26"/>
      <c r="AJ364" s="26"/>
      <c r="AK364" s="26"/>
      <c r="AL364" s="27"/>
      <c r="AM364" s="307"/>
      <c r="AN364" s="26"/>
      <c r="AO364" s="26"/>
      <c r="AP364" s="26"/>
      <c r="AQ364" s="27"/>
      <c r="AR364" s="307"/>
      <c r="AS364" s="26"/>
      <c r="AT364" s="26"/>
      <c r="AU364" s="26"/>
      <c r="AV364" s="27"/>
      <c r="AW364" s="307"/>
      <c r="AX364" s="26"/>
      <c r="AY364" s="26"/>
      <c r="AZ364" s="26"/>
      <c r="BA364" s="26"/>
      <c r="BB364" s="307"/>
      <c r="BC364" s="26"/>
      <c r="BD364" s="26"/>
      <c r="BE364" s="26"/>
      <c r="BF364" s="26"/>
      <c r="BG364" s="307"/>
      <c r="BH364" s="26"/>
      <c r="BI364" s="26"/>
      <c r="BJ364" s="26"/>
      <c r="BK364" s="26"/>
      <c r="BL364" s="307"/>
      <c r="BM364" s="26"/>
      <c r="BN364" s="26"/>
      <c r="BO364" s="26"/>
      <c r="BP364" s="26"/>
      <c r="BQ364" s="307"/>
      <c r="BR364" s="26"/>
      <c r="BS364" s="26"/>
      <c r="BT364" s="26"/>
      <c r="BU364" s="26"/>
      <c r="BV364" s="307"/>
      <c r="BW364" s="26"/>
      <c r="BX364" s="26"/>
      <c r="BY364" s="26"/>
      <c r="BZ364" s="26"/>
      <c r="CA364" s="307"/>
      <c r="CB364" s="26"/>
      <c r="CC364" s="26"/>
      <c r="CD364" s="26"/>
      <c r="CE364" s="26"/>
      <c r="CF364" s="307"/>
      <c r="CG364" s="26"/>
      <c r="CH364" s="26"/>
      <c r="CI364" s="26"/>
      <c r="CJ364" s="26"/>
      <c r="CK364" s="307"/>
      <c r="CL364" s="970"/>
      <c r="CM364" s="26"/>
      <c r="CN364" s="26"/>
      <c r="CO364" s="26"/>
      <c r="CP364" s="307"/>
      <c r="CQ364" s="26"/>
      <c r="CR364" s="26"/>
      <c r="CS364" s="26"/>
      <c r="CT364" s="26"/>
      <c r="CU364" s="307"/>
      <c r="CV364" s="26"/>
      <c r="CW364" s="26"/>
      <c r="CX364" s="26"/>
      <c r="CY364" s="26"/>
      <c r="CZ364" s="307"/>
      <c r="DA364" s="26"/>
      <c r="DB364" s="27"/>
      <c r="DC364" s="27"/>
      <c r="DD364" s="964"/>
      <c r="DE364" s="1766"/>
      <c r="DF364" s="1783"/>
      <c r="DG364" s="1767"/>
      <c r="DH364" s="1767"/>
      <c r="DI364" s="1784"/>
      <c r="DJ364" s="1766"/>
      <c r="DK364" s="1783"/>
      <c r="DL364" s="1767"/>
      <c r="DM364" s="1767"/>
      <c r="DN364" s="1784"/>
      <c r="DO364" s="1766"/>
      <c r="DP364" s="1767"/>
      <c r="DQ364" s="1767"/>
      <c r="DR364" s="1767"/>
      <c r="DS364" s="1784"/>
      <c r="DT364" s="1766"/>
      <c r="DU364" s="1767"/>
      <c r="DV364" s="1767"/>
      <c r="DW364" s="1767"/>
      <c r="DX364" s="1784"/>
      <c r="DY364" s="1766"/>
      <c r="DZ364" s="1767"/>
      <c r="EA364" s="1767"/>
      <c r="EB364" s="1767"/>
      <c r="EC364" s="1784"/>
      <c r="ED364" s="1766"/>
      <c r="EE364" s="1767"/>
      <c r="EF364" s="1767"/>
      <c r="EG364" s="1767"/>
      <c r="EH364" s="1784"/>
      <c r="EI364" s="1766"/>
      <c r="EJ364" s="1766"/>
      <c r="EK364" s="1766"/>
      <c r="EL364" s="1766"/>
      <c r="EM364" s="1766"/>
      <c r="EN364" s="1766"/>
      <c r="EO364" s="1784"/>
      <c r="EP364" s="1766"/>
      <c r="EQ364" s="1766"/>
      <c r="ER364" s="1766"/>
      <c r="ES364" s="1766"/>
      <c r="ET364" s="1766"/>
      <c r="EU364" s="1766"/>
      <c r="EV364" s="1766"/>
      <c r="EW364" s="1766"/>
      <c r="EX364" s="1766"/>
    </row>
    <row r="365" spans="1:154" ht="12.75" hidden="1" customHeight="1" outlineLevel="1">
      <c r="B365" s="458" t="s">
        <v>187</v>
      </c>
      <c r="C365" s="1989"/>
      <c r="D365" s="28">
        <f t="shared" ref="D365:AI365" si="1020">+D376</f>
      </c>
      <c r="E365" s="28">
        <f t="shared" si="1020"/>
      </c>
      <c r="F365" s="28">
        <f t="shared" si="1020"/>
      </c>
      <c r="G365" s="28">
        <f t="shared" si="1020"/>
      </c>
      <c r="H365" s="28">
        <f t="shared" si="1020"/>
      </c>
      <c r="I365" s="28">
        <f t="shared" si="1020"/>
      </c>
      <c r="J365" s="28">
        <f t="shared" si="1020"/>
      </c>
      <c r="K365" s="28">
        <f t="shared" si="1020"/>
      </c>
      <c r="L365" s="28">
        <f t="shared" si="1020"/>
      </c>
      <c r="M365" s="28">
        <f t="shared" si="1020"/>
      </c>
      <c r="N365" s="28">
        <f t="shared" si="1020"/>
      </c>
      <c r="O365" s="28">
        <f t="shared" si="1020"/>
      </c>
      <c r="P365" s="28">
        <f t="shared" si="1020"/>
      </c>
      <c r="Q365" s="28">
        <f t="shared" si="1020"/>
      </c>
      <c r="R365" s="28">
        <f t="shared" si="1020"/>
      </c>
      <c r="S365" s="28">
        <f t="shared" si="1020"/>
      </c>
      <c r="T365" s="28">
        <f t="shared" si="1020"/>
      </c>
      <c r="U365" s="28">
        <f t="shared" si="1020"/>
      </c>
      <c r="V365" s="28">
        <f t="shared" si="1020"/>
      </c>
      <c r="W365" s="28">
        <f t="shared" si="1020"/>
      </c>
      <c r="X365" s="312">
        <f t="shared" si="1020"/>
      </c>
      <c r="Y365" s="28">
        <f t="shared" si="1020"/>
      </c>
      <c r="Z365" s="28">
        <f t="shared" si="1020"/>
      </c>
      <c r="AA365" s="28">
        <f t="shared" si="1020"/>
      </c>
      <c r="AB365" s="28">
        <f t="shared" si="1020"/>
      </c>
      <c r="AC365" s="312">
        <f t="shared" si="1020"/>
      </c>
      <c r="AD365" s="28">
        <f t="shared" si="1020"/>
      </c>
      <c r="AE365" s="28">
        <f t="shared" si="1020"/>
      </c>
      <c r="AF365" s="28">
        <f t="shared" si="1020"/>
      </c>
      <c r="AG365" s="28">
        <f t="shared" si="1020"/>
      </c>
      <c r="AH365" s="312">
        <f t="shared" si="1020"/>
      </c>
      <c r="AI365" s="28">
        <f t="shared" si="1020"/>
      </c>
      <c r="AJ365" s="28">
        <f t="shared" ref="AJ365:BO365" si="1021">+AJ376</f>
      </c>
      <c r="AK365" s="28">
        <f t="shared" si="1021"/>
      </c>
      <c r="AL365" s="28">
        <f t="shared" si="1021"/>
      </c>
      <c r="AM365" s="312">
        <f t="shared" si="1021"/>
      </c>
      <c r="AN365" s="28">
        <f t="shared" si="1021"/>
      </c>
      <c r="AO365" s="28">
        <f t="shared" si="1021"/>
      </c>
      <c r="AP365" s="28">
        <f t="shared" si="1021"/>
      </c>
      <c r="AQ365" s="28">
        <f t="shared" si="1021"/>
      </c>
      <c r="AR365" s="312">
        <f t="shared" si="1021"/>
      </c>
      <c r="AS365" s="28">
        <f t="shared" si="1021"/>
      </c>
      <c r="AT365" s="28">
        <f t="shared" si="1021"/>
      </c>
      <c r="AU365" s="28">
        <f t="shared" si="1021"/>
      </c>
      <c r="AV365" s="28">
        <f t="shared" si="1021"/>
      </c>
      <c r="AW365" s="312">
        <f t="shared" si="1021"/>
      </c>
      <c r="AX365" s="28">
        <f t="shared" si="1021"/>
      </c>
      <c r="AY365" s="28">
        <f t="shared" si="1021"/>
      </c>
      <c r="AZ365" s="28">
        <f t="shared" si="1021"/>
      </c>
      <c r="BA365" s="28">
        <f t="shared" si="1021"/>
      </c>
      <c r="BB365" s="312">
        <f t="shared" si="1021"/>
      </c>
      <c r="BC365" s="28">
        <f t="shared" si="1021"/>
      </c>
      <c r="BD365" s="28">
        <f t="shared" si="1021"/>
      </c>
      <c r="BE365" s="28">
        <f t="shared" si="1021"/>
      </c>
      <c r="BF365" s="28">
        <f t="shared" si="1021"/>
      </c>
      <c r="BG365" s="312">
        <f t="shared" si="1021"/>
      </c>
      <c r="BH365" s="28">
        <f t="shared" si="1021"/>
      </c>
      <c r="BI365" s="28">
        <f t="shared" si="1021"/>
      </c>
      <c r="BJ365" s="28">
        <f t="shared" si="1021"/>
      </c>
      <c r="BK365" s="28">
        <f t="shared" si="1021"/>
      </c>
      <c r="BL365" s="312">
        <f t="shared" si="1021"/>
      </c>
      <c r="BM365" s="28">
        <f t="shared" si="1021"/>
      </c>
      <c r="BN365" s="28">
        <f t="shared" si="1021"/>
      </c>
      <c r="BO365" s="28">
        <f t="shared" si="1021"/>
      </c>
      <c r="BP365" s="28">
        <f t="shared" ref="BP365:BV365" si="1022">+BP376</f>
      </c>
      <c r="BQ365" s="312">
        <f t="shared" si="1022"/>
      </c>
      <c r="BR365" s="28">
        <f t="shared" si="1022"/>
      </c>
      <c r="BS365" s="28">
        <f t="shared" si="1022"/>
      </c>
      <c r="BT365" s="28">
        <f t="shared" si="1022"/>
      </c>
      <c r="BU365" s="28">
        <f t="shared" si="1022"/>
      </c>
      <c r="BV365" s="312">
        <f t="shared" si="1022"/>
      </c>
      <c r="BW365" s="28">
        <f t="shared" ref="BW365:CD365" si="1023">+BW376</f>
      </c>
      <c r="BX365" s="28">
        <f t="shared" si="1023"/>
      </c>
      <c r="BY365" s="28">
        <f t="shared" ref="BY365:CA366" si="1024">+BY376</f>
      </c>
      <c r="BZ365" s="28">
        <f t="shared" si="1024"/>
      </c>
      <c r="CA365" s="312">
        <f t="shared" si="1024"/>
      </c>
      <c r="CB365" s="28">
        <f t="shared" si="1023"/>
      </c>
      <c r="CC365" s="28">
        <f t="shared" si="1023"/>
      </c>
      <c r="CD365" s="28">
        <f t="shared" si="1023"/>
      </c>
      <c r="CE365" s="28">
        <f t="shared" ref="CE365:CJ366" si="1025">+CE376</f>
      </c>
      <c r="CF365" s="312">
        <f t="shared" si="1025"/>
      </c>
      <c r="CG365" s="28">
        <f t="shared" si="1025"/>
      </c>
      <c r="CH365" s="28">
        <f t="shared" si="1025"/>
      </c>
      <c r="CI365" s="28">
        <f t="shared" si="1025"/>
      </c>
      <c r="CJ365" s="28">
        <f t="shared" si="1025"/>
      </c>
      <c r="CK365" s="479">
        <f>SUM(CG365:CJ365)</f>
      </c>
      <c r="CL365" s="28">
        <f>+CL376</f>
      </c>
      <c r="CM365" s="28">
        <f t="shared" ref="CM365:CO366" si="1026">+CM376</f>
      </c>
      <c r="CN365" s="933">
        <f>+CN376</f>
      </c>
      <c r="CO365" s="28">
        <f t="shared" si="1026"/>
      </c>
      <c r="CP365" s="312">
        <f>+CP376</f>
      </c>
      <c r="CQ365" s="933"/>
      <c r="CR365" s="933"/>
      <c r="CS365" s="933"/>
      <c r="CT365" s="933"/>
      <c r="CU365" s="312"/>
      <c r="CV365" s="933"/>
      <c r="CW365" s="933"/>
      <c r="CX365" s="933"/>
      <c r="CY365" s="933"/>
      <c r="CZ365" s="312"/>
      <c r="DA365" s="933"/>
      <c r="DB365" s="28"/>
      <c r="DC365" s="28"/>
      <c r="DD365" s="876"/>
      <c r="DE365" s="445"/>
      <c r="DF365" s="982"/>
      <c r="DG365" s="444"/>
      <c r="DH365" s="444"/>
      <c r="DI365" s="1788"/>
      <c r="DJ365" s="445"/>
      <c r="DK365" s="982"/>
      <c r="DL365" s="444"/>
      <c r="DM365" s="444"/>
      <c r="DN365" s="1788"/>
      <c r="DO365" s="445"/>
      <c r="DP365" s="444"/>
      <c r="DQ365" s="444"/>
      <c r="DR365" s="444"/>
      <c r="DS365" s="1788"/>
      <c r="DT365" s="445"/>
      <c r="DU365" s="982"/>
      <c r="DV365" s="982"/>
      <c r="DW365" s="982"/>
      <c r="DX365" s="1875"/>
      <c r="DY365" s="445"/>
      <c r="DZ365" s="982"/>
      <c r="EA365" s="982"/>
      <c r="EB365" s="982"/>
      <c r="EC365" s="1875"/>
      <c r="ED365" s="1866"/>
      <c r="EE365" s="982"/>
      <c r="EF365" s="982"/>
      <c r="EG365" s="982"/>
      <c r="EH365" s="1875"/>
      <c r="EI365" s="445"/>
      <c r="EJ365" s="445"/>
      <c r="EK365" s="445"/>
      <c r="EL365" s="445"/>
      <c r="EM365" s="445"/>
      <c r="EN365" s="445"/>
      <c r="EO365" s="1788"/>
      <c r="EP365" s="445"/>
      <c r="EQ365" s="445"/>
      <c r="ER365" s="445"/>
      <c r="ES365" s="445"/>
      <c r="ET365" s="445"/>
      <c r="EU365" s="445"/>
      <c r="EV365" s="445"/>
      <c r="EW365" s="445"/>
      <c r="EX365" s="445"/>
    </row>
    <row r="366" spans="1:154" ht="12.75" hidden="1" customHeight="1" outlineLevel="1">
      <c r="B366" s="458" t="s">
        <v>412</v>
      </c>
      <c r="C366" s="1989"/>
      <c r="D366" s="28">
        <f t="shared" ref="D366:AI366" si="1027">+D377</f>
      </c>
      <c r="E366" s="28">
        <f t="shared" si="1027"/>
      </c>
      <c r="F366" s="28">
        <f t="shared" si="1027"/>
      </c>
      <c r="G366" s="28">
        <f t="shared" si="1027"/>
      </c>
      <c r="H366" s="28">
        <f t="shared" si="1027"/>
      </c>
      <c r="I366" s="28">
        <f t="shared" si="1027"/>
      </c>
      <c r="J366" s="28">
        <f t="shared" si="1027"/>
      </c>
      <c r="K366" s="28">
        <f t="shared" si="1027"/>
      </c>
      <c r="L366" s="28">
        <f t="shared" si="1027"/>
      </c>
      <c r="M366" s="28">
        <f t="shared" si="1027"/>
      </c>
      <c r="N366" s="28">
        <f t="shared" si="1027"/>
      </c>
      <c r="O366" s="28">
        <f t="shared" si="1027"/>
      </c>
      <c r="P366" s="28">
        <f t="shared" si="1027"/>
      </c>
      <c r="Q366" s="28">
        <f t="shared" si="1027"/>
      </c>
      <c r="R366" s="28">
        <f t="shared" si="1027"/>
      </c>
      <c r="S366" s="28">
        <f t="shared" si="1027"/>
      </c>
      <c r="T366" s="28">
        <f t="shared" si="1027"/>
      </c>
      <c r="U366" s="28">
        <f t="shared" si="1027"/>
      </c>
      <c r="V366" s="28">
        <f t="shared" si="1027"/>
      </c>
      <c r="W366" s="28">
        <f t="shared" si="1027"/>
      </c>
      <c r="X366" s="312">
        <f t="shared" si="1027"/>
      </c>
      <c r="Y366" s="28">
        <f t="shared" si="1027"/>
      </c>
      <c r="Z366" s="28">
        <f t="shared" si="1027"/>
      </c>
      <c r="AA366" s="28">
        <f t="shared" si="1027"/>
      </c>
      <c r="AB366" s="28">
        <f t="shared" si="1027"/>
      </c>
      <c r="AC366" s="312">
        <f t="shared" si="1027"/>
      </c>
      <c r="AD366" s="28">
        <f t="shared" si="1027"/>
      </c>
      <c r="AE366" s="28">
        <f t="shared" si="1027"/>
      </c>
      <c r="AF366" s="28">
        <f t="shared" si="1027"/>
      </c>
      <c r="AG366" s="28">
        <f t="shared" si="1027"/>
      </c>
      <c r="AH366" s="312">
        <f t="shared" si="1027"/>
      </c>
      <c r="AI366" s="28">
        <f t="shared" si="1027"/>
      </c>
      <c r="AJ366" s="28">
        <f t="shared" ref="AJ366:BO366" si="1028">+AJ377</f>
      </c>
      <c r="AK366" s="28">
        <f t="shared" si="1028"/>
      </c>
      <c r="AL366" s="28">
        <f t="shared" si="1028"/>
      </c>
      <c r="AM366" s="312">
        <f t="shared" si="1028"/>
      </c>
      <c r="AN366" s="28">
        <f t="shared" si="1028"/>
      </c>
      <c r="AO366" s="28">
        <f t="shared" si="1028"/>
      </c>
      <c r="AP366" s="28">
        <f t="shared" si="1028"/>
      </c>
      <c r="AQ366" s="28">
        <f t="shared" si="1028"/>
      </c>
      <c r="AR366" s="312">
        <f t="shared" si="1028"/>
      </c>
      <c r="AS366" s="28">
        <f t="shared" si="1028"/>
      </c>
      <c r="AT366" s="28">
        <f t="shared" si="1028"/>
      </c>
      <c r="AU366" s="28">
        <f t="shared" si="1028"/>
      </c>
      <c r="AV366" s="28">
        <f t="shared" si="1028"/>
      </c>
      <c r="AW366" s="312">
        <f t="shared" si="1028"/>
      </c>
      <c r="AX366" s="28">
        <f t="shared" si="1028"/>
      </c>
      <c r="AY366" s="28">
        <f t="shared" si="1028"/>
      </c>
      <c r="AZ366" s="28">
        <f t="shared" si="1028"/>
      </c>
      <c r="BA366" s="28">
        <f t="shared" si="1028"/>
      </c>
      <c r="BB366" s="312">
        <f t="shared" si="1028"/>
      </c>
      <c r="BC366" s="28">
        <f t="shared" si="1028"/>
      </c>
      <c r="BD366" s="28">
        <f t="shared" si="1028"/>
      </c>
      <c r="BE366" s="28">
        <f t="shared" si="1028"/>
      </c>
      <c r="BF366" s="28">
        <f t="shared" si="1028"/>
      </c>
      <c r="BG366" s="312">
        <f t="shared" si="1028"/>
      </c>
      <c r="BH366" s="28">
        <f t="shared" si="1028"/>
      </c>
      <c r="BI366" s="28">
        <f t="shared" si="1028"/>
      </c>
      <c r="BJ366" s="28">
        <f t="shared" si="1028"/>
      </c>
      <c r="BK366" s="28">
        <f t="shared" si="1028"/>
      </c>
      <c r="BL366" s="312">
        <f t="shared" si="1028"/>
      </c>
      <c r="BM366" s="28">
        <f t="shared" si="1028"/>
      </c>
      <c r="BN366" s="28">
        <f t="shared" si="1028"/>
      </c>
      <c r="BO366" s="28">
        <f t="shared" si="1028"/>
      </c>
      <c r="BP366" s="28">
        <f t="shared" ref="BP366:BV366" si="1029">+BP377</f>
      </c>
      <c r="BQ366" s="312">
        <f t="shared" si="1029"/>
      </c>
      <c r="BR366" s="28">
        <f t="shared" si="1029"/>
      </c>
      <c r="BS366" s="28">
        <f t="shared" si="1029"/>
      </c>
      <c r="BT366" s="28">
        <f t="shared" si="1029"/>
      </c>
      <c r="BU366" s="28">
        <f t="shared" si="1029"/>
      </c>
      <c r="BV366" s="312">
        <f t="shared" si="1029"/>
      </c>
      <c r="BW366" s="28">
        <f t="shared" ref="BW366:CC366" si="1030">+BW377</f>
      </c>
      <c r="BX366" s="28">
        <f t="shared" si="1030"/>
      </c>
      <c r="BY366" s="28">
        <f t="shared" si="1024"/>
      </c>
      <c r="BZ366" s="28">
        <f t="shared" si="1024"/>
      </c>
      <c r="CA366" s="312">
        <f t="shared" si="1024"/>
      </c>
      <c r="CB366" s="28">
        <f t="shared" si="1030"/>
      </c>
      <c r="CC366" s="28">
        <f t="shared" si="1030"/>
      </c>
      <c r="CD366" s="28">
        <f>+CD377</f>
      </c>
      <c r="CE366" s="28">
        <f t="shared" si="1025"/>
      </c>
      <c r="CF366" s="312">
        <f t="shared" si="1025"/>
      </c>
      <c r="CG366" s="28">
        <f t="shared" si="1025"/>
      </c>
      <c r="CH366" s="28">
        <f t="shared" si="1025"/>
      </c>
      <c r="CI366" s="28">
        <f t="shared" si="1025"/>
      </c>
      <c r="CJ366" s="28">
        <f t="shared" si="1025"/>
      </c>
      <c r="CK366" s="479">
        <f>SUM(CG366:CJ366)</f>
      </c>
      <c r="CL366" s="28">
        <f>+CL377</f>
      </c>
      <c r="CM366" s="28">
        <f t="shared" si="1026"/>
      </c>
      <c r="CN366" s="933">
        <f>+CN377</f>
      </c>
      <c r="CO366" s="28">
        <f t="shared" si="1026"/>
      </c>
      <c r="CP366" s="312">
        <f>+CP377</f>
      </c>
      <c r="CQ366" s="933"/>
      <c r="CR366" s="933"/>
      <c r="CS366" s="933"/>
      <c r="CT366" s="933"/>
      <c r="CU366" s="312"/>
      <c r="CV366" s="933"/>
      <c r="CW366" s="933"/>
      <c r="CX366" s="933"/>
      <c r="CY366" s="933"/>
      <c r="CZ366" s="312"/>
      <c r="DA366" s="933"/>
      <c r="DB366" s="28"/>
      <c r="DC366" s="28"/>
      <c r="DD366" s="876"/>
      <c r="DE366" s="445"/>
      <c r="DF366" s="982"/>
      <c r="DG366" s="444"/>
      <c r="DH366" s="444"/>
      <c r="DI366" s="1788"/>
      <c r="DJ366" s="445"/>
      <c r="DK366" s="982"/>
      <c r="DL366" s="444"/>
      <c r="DM366" s="444"/>
      <c r="DN366" s="1788"/>
      <c r="DO366" s="445"/>
      <c r="DP366" s="444"/>
      <c r="DQ366" s="444"/>
      <c r="DR366" s="444"/>
      <c r="DS366" s="1788"/>
      <c r="DT366" s="445"/>
      <c r="DU366" s="982"/>
      <c r="DV366" s="982"/>
      <c r="DW366" s="982"/>
      <c r="DX366" s="1875"/>
      <c r="DY366" s="445"/>
      <c r="DZ366" s="982"/>
      <c r="EA366" s="982"/>
      <c r="EB366" s="982"/>
      <c r="EC366" s="1875"/>
      <c r="ED366" s="1866"/>
      <c r="EE366" s="982"/>
      <c r="EF366" s="982"/>
      <c r="EG366" s="982"/>
      <c r="EH366" s="1875"/>
      <c r="EI366" s="445"/>
      <c r="EJ366" s="445"/>
      <c r="EK366" s="445"/>
      <c r="EL366" s="445"/>
      <c r="EM366" s="445"/>
      <c r="EN366" s="445"/>
      <c r="EO366" s="1788"/>
      <c r="EP366" s="445"/>
      <c r="EQ366" s="445"/>
      <c r="ER366" s="445"/>
      <c r="ES366" s="445"/>
      <c r="ET366" s="445"/>
      <c r="EU366" s="445"/>
      <c r="EV366" s="445"/>
      <c r="EW366" s="445"/>
      <c r="EX366" s="445"/>
    </row>
    <row r="367" spans="1:154" ht="12.75" hidden="1" customHeight="1" outlineLevel="1">
      <c r="B367" s="458" t="s">
        <v>413</v>
      </c>
      <c r="C367" s="1989"/>
      <c r="D367" s="28">
        <f t="shared" ref="D367:AI367" si="1031">+D366+D365</f>
      </c>
      <c r="E367" s="28">
        <f t="shared" si="1031"/>
      </c>
      <c r="F367" s="28">
        <f t="shared" si="1031"/>
      </c>
      <c r="G367" s="28">
        <f t="shared" si="1031"/>
      </c>
      <c r="H367" s="28">
        <f t="shared" si="1031"/>
      </c>
      <c r="I367" s="28">
        <f t="shared" si="1031"/>
      </c>
      <c r="J367" s="28">
        <f t="shared" si="1031"/>
      </c>
      <c r="K367" s="28">
        <f t="shared" si="1031"/>
      </c>
      <c r="L367" s="28">
        <f t="shared" si="1031"/>
      </c>
      <c r="M367" s="28">
        <f t="shared" si="1031"/>
      </c>
      <c r="N367" s="28">
        <f t="shared" si="1031"/>
      </c>
      <c r="O367" s="28">
        <f t="shared" si="1031"/>
      </c>
      <c r="P367" s="28">
        <f t="shared" si="1031"/>
      </c>
      <c r="Q367" s="28">
        <f t="shared" si="1031"/>
      </c>
      <c r="R367" s="28">
        <f t="shared" si="1031"/>
      </c>
      <c r="S367" s="28">
        <f t="shared" si="1031"/>
      </c>
      <c r="T367" s="28">
        <f t="shared" si="1031"/>
      </c>
      <c r="U367" s="28">
        <f t="shared" si="1031"/>
      </c>
      <c r="V367" s="28">
        <f t="shared" si="1031"/>
      </c>
      <c r="W367" s="28">
        <f t="shared" si="1031"/>
      </c>
      <c r="X367" s="312">
        <f t="shared" si="1031"/>
      </c>
      <c r="Y367" s="28">
        <f t="shared" si="1031"/>
      </c>
      <c r="Z367" s="28">
        <f t="shared" si="1031"/>
      </c>
      <c r="AA367" s="28">
        <f t="shared" si="1031"/>
      </c>
      <c r="AB367" s="28">
        <f t="shared" si="1031"/>
      </c>
      <c r="AC367" s="312">
        <f t="shared" si="1031"/>
      </c>
      <c r="AD367" s="28">
        <f t="shared" si="1031"/>
      </c>
      <c r="AE367" s="28">
        <f t="shared" si="1031"/>
      </c>
      <c r="AF367" s="28">
        <f t="shared" si="1031"/>
      </c>
      <c r="AG367" s="28">
        <f t="shared" si="1031"/>
      </c>
      <c r="AH367" s="312">
        <f t="shared" si="1031"/>
      </c>
      <c r="AI367" s="28">
        <f t="shared" si="1031"/>
      </c>
      <c r="AJ367" s="28">
        <f t="shared" ref="AJ367:BO367" si="1032">+AJ366+AJ365</f>
      </c>
      <c r="AK367" s="28">
        <f t="shared" si="1032"/>
      </c>
      <c r="AL367" s="28">
        <f t="shared" si="1032"/>
      </c>
      <c r="AM367" s="312">
        <f t="shared" si="1032"/>
      </c>
      <c r="AN367" s="28">
        <f t="shared" si="1032"/>
      </c>
      <c r="AO367" s="28">
        <f t="shared" si="1032"/>
      </c>
      <c r="AP367" s="28">
        <f t="shared" si="1032"/>
      </c>
      <c r="AQ367" s="28">
        <f t="shared" si="1032"/>
      </c>
      <c r="AR367" s="312">
        <f t="shared" si="1032"/>
      </c>
      <c r="AS367" s="28">
        <f t="shared" si="1032"/>
      </c>
      <c r="AT367" s="28">
        <f t="shared" si="1032"/>
      </c>
      <c r="AU367" s="28">
        <f t="shared" si="1032"/>
      </c>
      <c r="AV367" s="28">
        <f t="shared" si="1032"/>
      </c>
      <c r="AW367" s="312">
        <f t="shared" si="1032"/>
      </c>
      <c r="AX367" s="28">
        <f t="shared" si="1032"/>
      </c>
      <c r="AY367" s="28">
        <f t="shared" si="1032"/>
      </c>
      <c r="AZ367" s="28">
        <f t="shared" si="1032"/>
      </c>
      <c r="BA367" s="28">
        <f t="shared" si="1032"/>
      </c>
      <c r="BB367" s="312">
        <f t="shared" si="1032"/>
      </c>
      <c r="BC367" s="28">
        <f t="shared" si="1032"/>
      </c>
      <c r="BD367" s="28">
        <f t="shared" si="1032"/>
      </c>
      <c r="BE367" s="28">
        <f t="shared" si="1032"/>
      </c>
      <c r="BF367" s="28">
        <f t="shared" si="1032"/>
      </c>
      <c r="BG367" s="312">
        <f t="shared" si="1032"/>
      </c>
      <c r="BH367" s="28">
        <f t="shared" si="1032"/>
      </c>
      <c r="BI367" s="28">
        <f t="shared" si="1032"/>
      </c>
      <c r="BJ367" s="28">
        <f t="shared" si="1032"/>
      </c>
      <c r="BK367" s="28">
        <f t="shared" si="1032"/>
      </c>
      <c r="BL367" s="312">
        <f t="shared" si="1032"/>
      </c>
      <c r="BM367" s="28">
        <f t="shared" si="1032"/>
      </c>
      <c r="BN367" s="28">
        <f t="shared" si="1032"/>
      </c>
      <c r="BO367" s="28">
        <f t="shared" si="1032"/>
      </c>
      <c r="BP367" s="28">
        <f t="shared" ref="BP367:BV367" si="1033">+BP366+BP365</f>
      </c>
      <c r="BQ367" s="312">
        <f t="shared" si="1033"/>
      </c>
      <c r="BR367" s="28">
        <f t="shared" si="1033"/>
      </c>
      <c r="BS367" s="28">
        <f t="shared" si="1033"/>
      </c>
      <c r="BT367" s="28">
        <f t="shared" si="1033"/>
      </c>
      <c r="BU367" s="28">
        <f t="shared" si="1033"/>
      </c>
      <c r="BV367" s="312">
        <f t="shared" si="1033"/>
      </c>
      <c r="BW367" s="28">
        <f>+BW366+BW365</f>
      </c>
      <c r="BX367" s="28">
        <f>+BX366+BX365</f>
      </c>
      <c r="BY367" s="28">
        <f>+BY366+BY365</f>
      </c>
      <c r="BZ367" s="28">
        <f>+BZ366+BZ365</f>
      </c>
      <c r="CA367" s="479">
        <f>SUM(BW367:BZ367)</f>
      </c>
      <c r="CB367" s="28">
        <f>+CB366+CB365</f>
      </c>
      <c r="CC367" s="28">
        <f>+CC366+CC365</f>
      </c>
      <c r="CD367" s="28">
        <f>+CD366+CD365</f>
      </c>
      <c r="CE367" s="28">
        <f>+CE366+CE365</f>
      </c>
      <c r="CF367" s="479">
        <f>SUM(CB367:CE367)</f>
      </c>
      <c r="CG367" s="28">
        <f>+CG366+CG365</f>
      </c>
      <c r="CH367" s="28">
        <f>+CH366+CH365</f>
      </c>
      <c r="CI367" s="28">
        <f>+CI366+CI365</f>
      </c>
      <c r="CJ367" s="28">
        <f>+CJ366+CJ365</f>
      </c>
      <c r="CK367" s="479">
        <f>SUM(CG367:CJ367)</f>
      </c>
      <c r="CL367" s="28">
        <f>+CL366+CL365</f>
      </c>
      <c r="CM367" s="28">
        <f>+CM366+CM365</f>
      </c>
      <c r="CN367" s="933">
        <f>+CN366+CN365</f>
      </c>
      <c r="CO367" s="28">
        <f>+CO366+CO365</f>
      </c>
      <c r="CP367" s="312">
        <f>+CP366+CP365</f>
      </c>
      <c r="CQ367" s="933"/>
      <c r="CR367" s="933"/>
      <c r="CS367" s="933"/>
      <c r="CT367" s="933"/>
      <c r="CU367" s="312"/>
      <c r="CV367" s="933"/>
      <c r="CW367" s="933"/>
      <c r="CX367" s="933"/>
      <c r="CY367" s="933"/>
      <c r="CZ367" s="312"/>
      <c r="DA367" s="933"/>
      <c r="DB367" s="28"/>
      <c r="DC367" s="28"/>
      <c r="DD367" s="876"/>
      <c r="DE367" s="445"/>
      <c r="DF367" s="982"/>
      <c r="DG367" s="444"/>
      <c r="DH367" s="444"/>
      <c r="DI367" s="1788"/>
      <c r="DJ367" s="445"/>
      <c r="DK367" s="982"/>
      <c r="DL367" s="444"/>
      <c r="DM367" s="444"/>
      <c r="DN367" s="1788"/>
      <c r="DO367" s="445"/>
      <c r="DP367" s="444"/>
      <c r="DQ367" s="444"/>
      <c r="DR367" s="444"/>
      <c r="DS367" s="1788"/>
      <c r="DT367" s="445"/>
      <c r="DU367" s="982"/>
      <c r="DV367" s="982"/>
      <c r="DW367" s="982"/>
      <c r="DX367" s="1875"/>
      <c r="DY367" s="445"/>
      <c r="DZ367" s="982"/>
      <c r="EA367" s="982"/>
      <c r="EB367" s="982"/>
      <c r="EC367" s="1875"/>
      <c r="ED367" s="1866"/>
      <c r="EE367" s="982"/>
      <c r="EF367" s="982"/>
      <c r="EG367" s="982"/>
      <c r="EH367" s="1875"/>
      <c r="EI367" s="445"/>
      <c r="EJ367" s="445"/>
      <c r="EK367" s="445"/>
      <c r="EL367" s="445"/>
      <c r="EM367" s="445"/>
      <c r="EN367" s="445"/>
      <c r="EO367" s="1788"/>
      <c r="EP367" s="445"/>
      <c r="EQ367" s="445"/>
      <c r="ER367" s="445"/>
      <c r="ES367" s="445"/>
      <c r="ET367" s="445"/>
      <c r="EU367" s="445"/>
      <c r="EV367" s="445"/>
      <c r="EW367" s="445"/>
      <c r="EX367" s="445"/>
    </row>
    <row r="368" spans="1:154" ht="12.75" hidden="1" customHeight="1" outlineLevel="1">
      <c r="B368" s="458"/>
      <c r="C368" s="1989"/>
      <c r="D368" s="28"/>
      <c r="E368" s="28"/>
      <c r="F368" s="28"/>
      <c r="G368" s="28"/>
      <c r="H368" s="28"/>
      <c r="I368" s="31"/>
      <c r="J368" s="28"/>
      <c r="K368" s="28"/>
      <c r="L368" s="28"/>
      <c r="M368" s="28"/>
      <c r="N368" s="31"/>
      <c r="O368" s="31"/>
      <c r="P368" s="31"/>
      <c r="Q368" s="31"/>
      <c r="R368" s="31"/>
      <c r="S368" s="31"/>
      <c r="T368" s="31"/>
      <c r="U368" s="31"/>
      <c r="V368" s="31"/>
      <c r="W368" s="31"/>
      <c r="X368" s="313"/>
      <c r="Y368" s="31"/>
      <c r="Z368" s="31"/>
      <c r="AA368" s="31"/>
      <c r="AB368" s="31"/>
      <c r="AC368" s="313"/>
      <c r="AD368" s="31"/>
      <c r="AE368" s="31"/>
      <c r="AF368" s="31"/>
      <c r="AG368" s="31"/>
      <c r="AH368" s="313"/>
      <c r="AI368" s="28"/>
      <c r="AJ368" s="28"/>
      <c r="AK368" s="28"/>
      <c r="AL368" s="31"/>
      <c r="AM368" s="313"/>
      <c r="AN368" s="28"/>
      <c r="AO368" s="28"/>
      <c r="AP368" s="28"/>
      <c r="AQ368" s="31"/>
      <c r="AR368" s="313"/>
      <c r="AS368" s="28"/>
      <c r="AT368" s="28"/>
      <c r="AU368" s="28"/>
      <c r="AV368" s="31"/>
      <c r="AW368" s="313"/>
      <c r="AX368" s="28"/>
      <c r="AY368" s="28"/>
      <c r="AZ368" s="28"/>
      <c r="BA368" s="28"/>
      <c r="BB368" s="313"/>
      <c r="BC368" s="31"/>
      <c r="BD368" s="31"/>
      <c r="BE368" s="31"/>
      <c r="BF368" s="31"/>
      <c r="BG368" s="313"/>
      <c r="BH368" s="31"/>
      <c r="BI368" s="31"/>
      <c r="BJ368" s="31"/>
      <c r="BK368" s="31"/>
      <c r="BL368" s="313"/>
      <c r="BM368" s="31"/>
      <c r="BN368" s="31"/>
      <c r="BO368" s="31"/>
      <c r="BP368" s="31"/>
      <c r="BQ368" s="313"/>
      <c r="BR368" s="31"/>
      <c r="BS368" s="31"/>
      <c r="BT368" s="31"/>
      <c r="BU368" s="31"/>
      <c r="BV368" s="313"/>
      <c r="BW368" s="31"/>
      <c r="BX368" s="31"/>
      <c r="BY368" s="31"/>
      <c r="BZ368" s="31"/>
      <c r="CA368" s="313"/>
      <c r="CB368" s="31"/>
      <c r="CC368" s="31"/>
      <c r="CD368" s="31"/>
      <c r="CE368" s="31"/>
      <c r="CF368" s="313"/>
      <c r="CG368" s="31"/>
      <c r="CH368" s="31"/>
      <c r="CI368" s="31"/>
      <c r="CJ368" s="31"/>
      <c r="CK368" s="313"/>
      <c r="CL368" s="31"/>
      <c r="CM368" s="31"/>
      <c r="CN368" s="31"/>
      <c r="CO368" s="31"/>
      <c r="CP368" s="313"/>
      <c r="CQ368" s="31"/>
      <c r="CR368" s="31"/>
      <c r="CS368" s="31"/>
      <c r="CT368" s="31"/>
      <c r="CU368" s="313"/>
      <c r="CV368" s="31"/>
      <c r="CW368" s="31"/>
      <c r="CX368" s="31"/>
      <c r="CY368" s="31"/>
      <c r="CZ368" s="313"/>
      <c r="DA368" s="31"/>
      <c r="DB368" s="31"/>
      <c r="DC368" s="31"/>
      <c r="DD368" s="955"/>
      <c r="DE368" s="477"/>
      <c r="DF368" s="603"/>
      <c r="DG368" s="603"/>
      <c r="DH368" s="603"/>
      <c r="DI368" s="1798"/>
      <c r="DJ368" s="477"/>
      <c r="DK368" s="603"/>
      <c r="DL368" s="603"/>
      <c r="DM368" s="603"/>
      <c r="DN368" s="1798"/>
      <c r="DO368" s="477"/>
      <c r="DP368" s="603"/>
      <c r="DQ368" s="603"/>
      <c r="DR368" s="603"/>
      <c r="DS368" s="1798"/>
      <c r="DT368" s="477"/>
      <c r="DU368" s="603"/>
      <c r="DV368" s="603"/>
      <c r="DW368" s="603"/>
      <c r="DX368" s="1798"/>
      <c r="DY368" s="477"/>
      <c r="DZ368" s="603"/>
      <c r="EA368" s="603"/>
      <c r="EB368" s="603"/>
      <c r="EC368" s="1798"/>
      <c r="ED368" s="477"/>
      <c r="EE368" s="603"/>
      <c r="EF368" s="603"/>
      <c r="EG368" s="603"/>
      <c r="EH368" s="1798"/>
      <c r="EI368" s="477"/>
      <c r="EJ368" s="477"/>
      <c r="EK368" s="477"/>
      <c r="EL368" s="477"/>
      <c r="EM368" s="477"/>
      <c r="EN368" s="477"/>
      <c r="EO368" s="1798"/>
      <c r="EP368" s="477"/>
      <c r="EQ368" s="477"/>
      <c r="ER368" s="477"/>
      <c r="ES368" s="477"/>
      <c r="ET368" s="477"/>
      <c r="EU368" s="477"/>
      <c r="EV368" s="477"/>
      <c r="EW368" s="477"/>
      <c r="EX368" s="477"/>
    </row>
    <row r="369" spans="2:154" ht="12.75" hidden="1" customHeight="1" outlineLevel="1">
      <c r="B369" s="459" t="s">
        <v>217</v>
      </c>
      <c r="C369" s="1989"/>
      <c r="D369" s="28"/>
      <c r="E369" s="28"/>
      <c r="F369" s="28"/>
      <c r="G369" s="28"/>
      <c r="H369" s="28"/>
      <c r="I369" s="31"/>
      <c r="J369" s="28"/>
      <c r="K369" s="28"/>
      <c r="L369" s="28"/>
      <c r="M369" s="28"/>
      <c r="N369" s="31"/>
      <c r="O369" s="31"/>
      <c r="P369" s="31"/>
      <c r="Q369" s="31"/>
      <c r="R369" s="31"/>
      <c r="S369" s="31"/>
      <c r="T369" s="31"/>
      <c r="U369" s="31"/>
      <c r="V369" s="31"/>
      <c r="W369" s="31"/>
      <c r="X369" s="313"/>
      <c r="Y369" s="31"/>
      <c r="Z369" s="31"/>
      <c r="AA369" s="31"/>
      <c r="AB369" s="31"/>
      <c r="AC369" s="313"/>
      <c r="AD369" s="31"/>
      <c r="AE369" s="31"/>
      <c r="AF369" s="31"/>
      <c r="AG369" s="31"/>
      <c r="AH369" s="313"/>
      <c r="AI369" s="28"/>
      <c r="AJ369" s="28"/>
      <c r="AK369" s="28"/>
      <c r="AL369" s="31"/>
      <c r="AM369" s="313"/>
      <c r="AN369" s="28"/>
      <c r="AO369" s="28"/>
      <c r="AP369" s="28"/>
      <c r="AQ369" s="31"/>
      <c r="AR369" s="313"/>
      <c r="AS369" s="28"/>
      <c r="AT369" s="28"/>
      <c r="AU369" s="28"/>
      <c r="AV369" s="31"/>
      <c r="AW369" s="313"/>
      <c r="AX369" s="28"/>
      <c r="AY369" s="28"/>
      <c r="AZ369" s="28"/>
      <c r="BA369" s="28"/>
      <c r="BB369" s="313"/>
      <c r="BC369" s="31"/>
      <c r="BD369" s="31"/>
      <c r="BE369" s="31"/>
      <c r="BF369" s="31"/>
      <c r="BG369" s="313"/>
      <c r="BH369" s="31"/>
      <c r="BI369" s="31"/>
      <c r="BJ369" s="31"/>
      <c r="BK369" s="31"/>
      <c r="BL369" s="313"/>
      <c r="BM369" s="31"/>
      <c r="BN369" s="31"/>
      <c r="BO369" s="31"/>
      <c r="BP369" s="31"/>
      <c r="BQ369" s="313"/>
      <c r="BR369" s="31"/>
      <c r="BS369" s="31"/>
      <c r="BT369" s="31"/>
      <c r="BU369" s="31"/>
      <c r="BV369" s="313"/>
      <c r="BW369" s="31"/>
      <c r="BX369" s="31"/>
      <c r="BY369" s="31"/>
      <c r="BZ369" s="31"/>
      <c r="CA369" s="313"/>
      <c r="CB369" s="31"/>
      <c r="CC369" s="31"/>
      <c r="CD369" s="31"/>
      <c r="CE369" s="31"/>
      <c r="CF369" s="313"/>
      <c r="CG369" s="31"/>
      <c r="CH369" s="31"/>
      <c r="CI369" s="31"/>
      <c r="CJ369" s="31"/>
      <c r="CK369" s="313"/>
      <c r="CL369" s="31"/>
      <c r="CM369" s="31"/>
      <c r="CN369" s="31"/>
      <c r="CO369" s="31"/>
      <c r="CP369" s="313"/>
      <c r="CQ369" s="31"/>
      <c r="CR369" s="31"/>
      <c r="CS369" s="31"/>
      <c r="CT369" s="31"/>
      <c r="CU369" s="313"/>
      <c r="CV369" s="31"/>
      <c r="CW369" s="31"/>
      <c r="CX369" s="31"/>
      <c r="CY369" s="31"/>
      <c r="CZ369" s="313"/>
      <c r="DA369" s="31"/>
      <c r="DB369" s="31"/>
      <c r="DC369" s="31"/>
      <c r="DD369" s="955"/>
      <c r="DE369" s="477"/>
      <c r="DF369" s="603"/>
      <c r="DG369" s="603"/>
      <c r="DH369" s="603"/>
      <c r="DI369" s="1798"/>
      <c r="DJ369" s="477"/>
      <c r="DK369" s="603"/>
      <c r="DL369" s="603"/>
      <c r="DM369" s="603"/>
      <c r="DN369" s="1798"/>
      <c r="DO369" s="477"/>
      <c r="DP369" s="603"/>
      <c r="DQ369" s="603"/>
      <c r="DR369" s="603"/>
      <c r="DS369" s="1798"/>
      <c r="DT369" s="477"/>
      <c r="DU369" s="603"/>
      <c r="DV369" s="603"/>
      <c r="DW369" s="603"/>
      <c r="DX369" s="1798"/>
      <c r="DY369" s="477"/>
      <c r="DZ369" s="603"/>
      <c r="EA369" s="603"/>
      <c r="EB369" s="603"/>
      <c r="EC369" s="1798"/>
      <c r="ED369" s="477"/>
      <c r="EE369" s="603"/>
      <c r="EF369" s="603"/>
      <c r="EG369" s="603"/>
      <c r="EH369" s="1798"/>
      <c r="EI369" s="477"/>
      <c r="EJ369" s="477"/>
      <c r="EK369" s="477"/>
      <c r="EL369" s="477"/>
      <c r="EM369" s="477"/>
      <c r="EN369" s="477"/>
      <c r="EO369" s="1798"/>
      <c r="EP369" s="477"/>
      <c r="EQ369" s="477"/>
      <c r="ER369" s="477"/>
      <c r="ES369" s="477"/>
      <c r="ET369" s="477"/>
      <c r="EU369" s="477"/>
      <c r="EV369" s="477"/>
      <c r="EW369" s="477"/>
      <c r="EX369" s="477"/>
    </row>
    <row r="370" spans="2:154" ht="12.75" hidden="1" customHeight="1" outlineLevel="1">
      <c r="B370" s="460" t="s">
        <v>187</v>
      </c>
      <c r="C370" s="1989"/>
      <c r="D370" s="28"/>
      <c r="E370" s="28"/>
      <c r="F370" s="28"/>
      <c r="G370" s="28"/>
      <c r="H370" s="28"/>
      <c r="I370" s="30">
        <f t="shared" ref="I370:R371" si="1034">IF(D365="NM","NM",IF(I365="NM","NM",IF(D365&lt;=0,"NM",IF(I365=0,"NM",IF(ABS(I365/D365-1)&gt;2.5,"NM",IF((ABS(I365-D365)=ABS(ABS(I365)-ABS(D365))),(I365/D365-1),"NM"))))))</f>
      </c>
      <c r="J370" s="30">
        <f t="shared" si="1034"/>
      </c>
      <c r="K370" s="30">
        <f t="shared" si="1034"/>
      </c>
      <c r="L370" s="30">
        <f t="shared" si="1034"/>
      </c>
      <c r="M370" s="30">
        <f t="shared" si="1034"/>
      </c>
      <c r="N370" s="30">
        <f t="shared" si="1034"/>
      </c>
      <c r="O370" s="30">
        <f t="shared" si="1034"/>
      </c>
      <c r="P370" s="30">
        <f t="shared" si="1034"/>
      </c>
      <c r="Q370" s="30">
        <f t="shared" si="1034"/>
      </c>
      <c r="R370" s="30">
        <f t="shared" si="1034"/>
      </c>
      <c r="S370" s="30">
        <f t="shared" ref="S370:AB371" si="1035">IF(N365="NM","NM",IF(S365="NM","NM",IF(N365&lt;=0,"NM",IF(S365=0,"NM",IF(ABS(S365/N365-1)&gt;2.5,"NM",IF((ABS(S365-N365)=ABS(ABS(S365)-ABS(N365))),(S365/N365-1),"NM"))))))</f>
      </c>
      <c r="T370" s="30">
        <f t="shared" si="1035"/>
      </c>
      <c r="U370" s="30">
        <f t="shared" si="1035"/>
      </c>
      <c r="V370" s="30">
        <f t="shared" si="1035"/>
      </c>
      <c r="W370" s="30">
        <f t="shared" si="1035"/>
      </c>
      <c r="X370" s="308">
        <f t="shared" si="1035"/>
      </c>
      <c r="Y370" s="30">
        <f t="shared" si="1035"/>
      </c>
      <c r="Z370" s="30">
        <f t="shared" si="1035"/>
      </c>
      <c r="AA370" s="30">
        <f t="shared" si="1035"/>
      </c>
      <c r="AB370" s="30">
        <f t="shared" si="1035"/>
      </c>
      <c r="AC370" s="308">
        <f t="shared" ref="AC370:AL371" si="1036">IF(X365="NM","NM",IF(AC365="NM","NM",IF(X365&lt;=0,"NM",IF(AC365=0,"NM",IF(ABS(AC365/X365-1)&gt;2.5,"NM",IF((ABS(AC365-X365)=ABS(ABS(AC365)-ABS(X365))),(AC365/X365-1),"NM"))))))</f>
      </c>
      <c r="AD370" s="30">
        <f t="shared" si="1036"/>
      </c>
      <c r="AE370" s="30">
        <f t="shared" si="1036"/>
      </c>
      <c r="AF370" s="30">
        <f t="shared" si="1036"/>
      </c>
      <c r="AG370" s="30">
        <f t="shared" si="1036"/>
      </c>
      <c r="AH370" s="308">
        <f t="shared" si="1036"/>
      </c>
      <c r="AI370" s="30">
        <f t="shared" si="1036"/>
      </c>
      <c r="AJ370" s="30">
        <f t="shared" si="1036"/>
      </c>
      <c r="AK370" s="30">
        <f t="shared" si="1036"/>
      </c>
      <c r="AL370" s="30">
        <f t="shared" si="1036"/>
      </c>
      <c r="AM370" s="308">
        <f t="shared" ref="AM370:AV371" si="1037">IF(AH365="NM","NM",IF(AM365="NM","NM",IF(AH365&lt;=0,"NM",IF(AM365=0,"NM",IF(ABS(AM365/AH365-1)&gt;2.5,"NM",IF((ABS(AM365-AH365)=ABS(ABS(AM365)-ABS(AH365))),(AM365/AH365-1),"NM"))))))</f>
      </c>
      <c r="AN370" s="30">
        <f t="shared" si="1037"/>
      </c>
      <c r="AO370" s="30">
        <f t="shared" si="1037"/>
      </c>
      <c r="AP370" s="30">
        <f t="shared" si="1037"/>
      </c>
      <c r="AQ370" s="30">
        <f t="shared" si="1037"/>
      </c>
      <c r="AR370" s="308">
        <f t="shared" si="1037"/>
      </c>
      <c r="AS370" s="30">
        <f t="shared" si="1037"/>
      </c>
      <c r="AT370" s="30">
        <f t="shared" si="1037"/>
      </c>
      <c r="AU370" s="30">
        <f t="shared" si="1037"/>
      </c>
      <c r="AV370" s="30">
        <f t="shared" si="1037"/>
      </c>
      <c r="AW370" s="308">
        <f t="shared" ref="AW370:BF371" si="1038">IF(AR365="NM","NM",IF(AW365="NM","NM",IF(AR365&lt;=0,"NM",IF(AW365=0,"NM",IF(ABS(AW365/AR365-1)&gt;2.5,"NM",IF((ABS(AW365-AR365)=ABS(ABS(AW365)-ABS(AR365))),(AW365/AR365-1),"NM"))))))</f>
      </c>
      <c r="AX370" s="30">
        <f t="shared" si="1038"/>
      </c>
      <c r="AY370" s="30">
        <f t="shared" si="1038"/>
      </c>
      <c r="AZ370" s="30">
        <f t="shared" si="1038"/>
      </c>
      <c r="BA370" s="30">
        <f t="shared" si="1038"/>
      </c>
      <c r="BB370" s="308">
        <f t="shared" si="1038"/>
      </c>
      <c r="BC370" s="30">
        <f t="shared" si="1038"/>
      </c>
      <c r="BD370" s="30">
        <f t="shared" si="1038"/>
      </c>
      <c r="BE370" s="30">
        <f t="shared" si="1038"/>
      </c>
      <c r="BF370" s="30">
        <f t="shared" si="1038"/>
      </c>
      <c r="BG370" s="308">
        <f t="shared" ref="BG370:BP371" si="1039">IF(BB365="NM","NM",IF(BG365="NM","NM",IF(BB365&lt;=0,"NM",IF(BG365=0,"NM",IF(ABS(BG365/BB365-1)&gt;2.5,"NM",IF((ABS(BG365-BB365)=ABS(ABS(BG365)-ABS(BB365))),(BG365/BB365-1),"NM"))))))</f>
      </c>
      <c r="BH370" s="30">
        <f t="shared" si="1039"/>
      </c>
      <c r="BI370" s="30">
        <f t="shared" si="1039"/>
      </c>
      <c r="BJ370" s="30">
        <f t="shared" si="1039"/>
      </c>
      <c r="BK370" s="30">
        <f t="shared" si="1039"/>
      </c>
      <c r="BL370" s="308">
        <f t="shared" si="1039"/>
      </c>
      <c r="BM370" s="30">
        <f t="shared" si="1039"/>
      </c>
      <c r="BN370" s="30">
        <f t="shared" si="1039"/>
      </c>
      <c r="BO370" s="30">
        <f t="shared" si="1039"/>
      </c>
      <c r="BP370" s="30">
        <f t="shared" si="1039"/>
      </c>
      <c r="BQ370" s="308">
        <f t="shared" ref="BQ370:BZ371" si="1040">IF(BL365="NM","NM",IF(BQ365="NM","NM",IF(BL365&lt;=0,"NM",IF(BQ365=0,"NM",IF(ABS(BQ365/BL365-1)&gt;2.5,"NM",IF((ABS(BQ365-BL365)=ABS(ABS(BQ365)-ABS(BL365))),(BQ365/BL365-1),"NM"))))))</f>
      </c>
      <c r="BR370" s="30">
        <f t="shared" si="1040"/>
      </c>
      <c r="BS370" s="30">
        <f t="shared" si="1040"/>
      </c>
      <c r="BT370" s="30">
        <f t="shared" si="1040"/>
      </c>
      <c r="BU370" s="30">
        <f t="shared" si="1040"/>
      </c>
      <c r="BV370" s="308">
        <f t="shared" si="1040"/>
      </c>
      <c r="BW370" s="30">
        <f t="shared" si="1040"/>
      </c>
      <c r="BX370" s="30">
        <f t="shared" si="1040"/>
      </c>
      <c r="BY370" s="30">
        <f t="shared" si="1040"/>
      </c>
      <c r="BZ370" s="30">
        <f t="shared" si="1040"/>
      </c>
      <c r="CA370" s="308">
        <f t="shared" ref="CA370:CC371" si="1041">IF(BV365="NM","NM",IF(CA365="NM","NM",IF(BV365&lt;=0,"NM",IF(CA365=0,"NM",IF(ABS(CA365/BV365-1)&gt;2.5,"NM",IF((ABS(CA365-BV365)=ABS(ABS(CA365)-ABS(BV365))),(CA365/BV365-1),"NM"))))))</f>
      </c>
      <c r="CB370" s="30">
        <f t="shared" si="1041"/>
      </c>
      <c r="CC370" s="30">
        <f t="shared" si="1041"/>
      </c>
      <c r="CD370" s="30">
        <f t="shared" ref="CD370:CG371" si="1042">IF(BY365="NM","NM",IF(CD365="NM","NM",IF(BY365&lt;=0,"NM",IF(CD365=0,"NM",IF(ABS(CD365/BY365-1)&gt;2.5,"NM",IF((ABS(CD365-BY365)=ABS(ABS(CD365)-ABS(BY365))),(CD365/BY365-1),"NM"))))))</f>
      </c>
      <c r="CE370" s="30">
        <f t="shared" si="1042"/>
      </c>
      <c r="CF370" s="308">
        <f t="shared" si="1042"/>
      </c>
      <c r="CG370" s="30">
        <f t="shared" si="1042"/>
      </c>
      <c r="CH370" s="30">
        <f>IF(CC365=0, "NA", CH365/CC365-1)</f>
      </c>
      <c r="CI370" s="30">
        <f t="shared" ref="CI370:CK371" si="1043">IF(CD365=0, "NA", CI365/CD365-1)</f>
      </c>
      <c r="CJ370" s="30">
        <f t="shared" si="1043"/>
      </c>
      <c r="CK370" s="308">
        <f t="shared" si="1043"/>
      </c>
      <c r="CL370" s="30">
        <f>IF(CG365="NM","NM",IF(CL365="NM","NM",IF(CG365&lt;=0,"NM",IF(CL365=0,"NM",IF(ABS(CL365/CG365-1)&gt;2.5,"NM",IF((ABS(CL365-CG365)=ABS(ABS(CL365)-ABS(CG365))),(CL365/CG365-1),"NM"))))))</f>
      </c>
      <c r="CM370" s="30">
        <f>IF(CH365=0, "NA", CM365/CH365-1)</f>
      </c>
      <c r="CN370" s="926">
        <f t="shared" ref="CN370:CP371" si="1044">IF(CI365=0, "NA", CN365/CI365-1)</f>
      </c>
      <c r="CO370" s="30">
        <f t="shared" si="1044"/>
      </c>
      <c r="CP370" s="308">
        <f t="shared" si="1044"/>
      </c>
      <c r="CQ370" s="926"/>
      <c r="CR370" s="926"/>
      <c r="CS370" s="926"/>
      <c r="CT370" s="926"/>
      <c r="CU370" s="308"/>
      <c r="CV370" s="926"/>
      <c r="CW370" s="926"/>
      <c r="CX370" s="926"/>
      <c r="CY370" s="926"/>
      <c r="CZ370" s="308"/>
      <c r="DA370" s="926"/>
      <c r="DB370" s="30"/>
      <c r="DC370" s="30"/>
      <c r="DD370" s="409"/>
      <c r="DE370" s="308"/>
      <c r="DF370" s="926"/>
      <c r="DG370" s="30"/>
      <c r="DH370" s="30"/>
      <c r="DI370" s="409"/>
      <c r="DJ370" s="308"/>
      <c r="DK370" s="926"/>
      <c r="DL370" s="30"/>
      <c r="DM370" s="30"/>
      <c r="DN370" s="409"/>
      <c r="DO370" s="308"/>
      <c r="DP370" s="30"/>
      <c r="DQ370" s="30"/>
      <c r="DR370" s="30"/>
      <c r="DS370" s="409"/>
      <c r="DT370" s="308"/>
      <c r="DU370" s="926"/>
      <c r="DV370" s="926"/>
      <c r="DW370" s="926"/>
      <c r="DX370" s="928"/>
      <c r="DY370" s="308"/>
      <c r="DZ370" s="926"/>
      <c r="EA370" s="926"/>
      <c r="EB370" s="926"/>
      <c r="EC370" s="928"/>
      <c r="ED370" s="1060"/>
      <c r="EE370" s="926"/>
      <c r="EF370" s="926"/>
      <c r="EG370" s="926"/>
      <c r="EH370" s="928"/>
      <c r="EI370" s="308"/>
      <c r="EJ370" s="308"/>
      <c r="EK370" s="308"/>
      <c r="EL370" s="308"/>
      <c r="EM370" s="308"/>
      <c r="EN370" s="308"/>
      <c r="EO370" s="409"/>
      <c r="EP370" s="308"/>
      <c r="EQ370" s="308"/>
      <c r="ER370" s="308"/>
      <c r="ES370" s="308"/>
      <c r="ET370" s="308"/>
      <c r="EU370" s="308"/>
      <c r="EV370" s="308"/>
      <c r="EW370" s="308"/>
      <c r="EX370" s="308"/>
    </row>
    <row r="371" spans="2:154" ht="12.75" hidden="1" customHeight="1" outlineLevel="1">
      <c r="B371" s="460" t="s">
        <v>412</v>
      </c>
      <c r="C371" s="1989"/>
      <c r="D371" s="28"/>
      <c r="E371" s="28"/>
      <c r="F371" s="28"/>
      <c r="G371" s="28"/>
      <c r="H371" s="28"/>
      <c r="I371" s="30">
        <f t="shared" si="1034"/>
      </c>
      <c r="J371" s="30">
        <f t="shared" si="1034"/>
      </c>
      <c r="K371" s="30">
        <f t="shared" si="1034"/>
      </c>
      <c r="L371" s="30">
        <f t="shared" si="1034"/>
      </c>
      <c r="M371" s="30">
        <f t="shared" si="1034"/>
      </c>
      <c r="N371" s="30">
        <f t="shared" si="1034"/>
      </c>
      <c r="O371" s="30">
        <f t="shared" si="1034"/>
      </c>
      <c r="P371" s="30">
        <f t="shared" si="1034"/>
      </c>
      <c r="Q371" s="30">
        <f t="shared" si="1034"/>
      </c>
      <c r="R371" s="30">
        <f t="shared" si="1034"/>
      </c>
      <c r="S371" s="30">
        <f t="shared" si="1035"/>
      </c>
      <c r="T371" s="30">
        <f t="shared" si="1035"/>
      </c>
      <c r="U371" s="30">
        <f t="shared" si="1035"/>
      </c>
      <c r="V371" s="30">
        <f t="shared" si="1035"/>
      </c>
      <c r="W371" s="30">
        <f t="shared" si="1035"/>
      </c>
      <c r="X371" s="308">
        <f t="shared" si="1035"/>
      </c>
      <c r="Y371" s="30">
        <f t="shared" si="1035"/>
      </c>
      <c r="Z371" s="30">
        <f t="shared" si="1035"/>
      </c>
      <c r="AA371" s="30">
        <f t="shared" si="1035"/>
      </c>
      <c r="AB371" s="30">
        <f t="shared" si="1035"/>
      </c>
      <c r="AC371" s="308">
        <f t="shared" si="1036"/>
      </c>
      <c r="AD371" s="30">
        <f t="shared" si="1036"/>
      </c>
      <c r="AE371" s="30">
        <f t="shared" si="1036"/>
      </c>
      <c r="AF371" s="30">
        <f t="shared" si="1036"/>
      </c>
      <c r="AG371" s="30">
        <f t="shared" si="1036"/>
      </c>
      <c r="AH371" s="308">
        <f t="shared" si="1036"/>
      </c>
      <c r="AI371" s="30">
        <f t="shared" si="1036"/>
      </c>
      <c r="AJ371" s="30">
        <f t="shared" si="1036"/>
      </c>
      <c r="AK371" s="30">
        <f t="shared" si="1036"/>
      </c>
      <c r="AL371" s="30">
        <f t="shared" si="1036"/>
      </c>
      <c r="AM371" s="308">
        <f t="shared" si="1037"/>
      </c>
      <c r="AN371" s="30">
        <f t="shared" si="1037"/>
      </c>
      <c r="AO371" s="30">
        <f t="shared" si="1037"/>
      </c>
      <c r="AP371" s="30">
        <f t="shared" si="1037"/>
      </c>
      <c r="AQ371" s="30">
        <f t="shared" si="1037"/>
      </c>
      <c r="AR371" s="308">
        <f t="shared" si="1037"/>
      </c>
      <c r="AS371" s="30">
        <f t="shared" si="1037"/>
      </c>
      <c r="AT371" s="30">
        <f t="shared" si="1037"/>
      </c>
      <c r="AU371" s="30">
        <f t="shared" si="1037"/>
      </c>
      <c r="AV371" s="30">
        <f t="shared" si="1037"/>
      </c>
      <c r="AW371" s="308">
        <f t="shared" si="1038"/>
      </c>
      <c r="AX371" s="30">
        <f t="shared" si="1038"/>
      </c>
      <c r="AY371" s="30">
        <f t="shared" si="1038"/>
      </c>
      <c r="AZ371" s="30">
        <f t="shared" si="1038"/>
      </c>
      <c r="BA371" s="30">
        <f t="shared" si="1038"/>
      </c>
      <c r="BB371" s="308">
        <f t="shared" si="1038"/>
      </c>
      <c r="BC371" s="30">
        <f t="shared" si="1038"/>
      </c>
      <c r="BD371" s="30">
        <f t="shared" si="1038"/>
      </c>
      <c r="BE371" s="30">
        <f t="shared" si="1038"/>
      </c>
      <c r="BF371" s="30">
        <f t="shared" si="1038"/>
      </c>
      <c r="BG371" s="308">
        <f t="shared" si="1039"/>
      </c>
      <c r="BH371" s="30">
        <f t="shared" si="1039"/>
      </c>
      <c r="BI371" s="30">
        <f t="shared" si="1039"/>
      </c>
      <c r="BJ371" s="30">
        <f t="shared" si="1039"/>
      </c>
      <c r="BK371" s="30">
        <f t="shared" si="1039"/>
      </c>
      <c r="BL371" s="308">
        <f t="shared" si="1039"/>
      </c>
      <c r="BM371" s="30">
        <f t="shared" si="1039"/>
      </c>
      <c r="BN371" s="30">
        <f t="shared" si="1039"/>
      </c>
      <c r="BO371" s="30">
        <f t="shared" si="1039"/>
      </c>
      <c r="BP371" s="30">
        <f t="shared" si="1039"/>
      </c>
      <c r="BQ371" s="308">
        <f t="shared" si="1040"/>
      </c>
      <c r="BR371" s="30">
        <f t="shared" si="1040"/>
      </c>
      <c r="BS371" s="30">
        <f t="shared" si="1040"/>
      </c>
      <c r="BT371" s="30">
        <f t="shared" si="1040"/>
      </c>
      <c r="BU371" s="30">
        <f t="shared" si="1040"/>
      </c>
      <c r="BV371" s="308">
        <f t="shared" si="1040"/>
      </c>
      <c r="BW371" s="30">
        <f t="shared" si="1040"/>
      </c>
      <c r="BX371" s="30">
        <f t="shared" si="1040"/>
      </c>
      <c r="BY371" s="30">
        <f t="shared" si="1040"/>
      </c>
      <c r="BZ371" s="30">
        <f t="shared" si="1040"/>
      </c>
      <c r="CA371" s="308">
        <f t="shared" si="1041"/>
      </c>
      <c r="CB371" s="30">
        <f t="shared" si="1041"/>
      </c>
      <c r="CC371" s="30">
        <f t="shared" si="1041"/>
      </c>
      <c r="CD371" s="30">
        <f t="shared" si="1042"/>
      </c>
      <c r="CE371" s="30">
        <f t="shared" si="1042"/>
      </c>
      <c r="CF371" s="308">
        <f t="shared" si="1042"/>
      </c>
      <c r="CG371" s="30">
        <f t="shared" si="1042"/>
      </c>
      <c r="CH371" s="30">
        <f>IF(CC366=0, "NA", CH366/CC366-1)</f>
      </c>
      <c r="CI371" s="30">
        <f t="shared" si="1043"/>
      </c>
      <c r="CJ371" s="30">
        <f t="shared" si="1043"/>
      </c>
      <c r="CK371" s="308">
        <f t="shared" si="1043"/>
      </c>
      <c r="CL371" s="30">
        <f>IF(CG366="NM","NM",IF(CL366="NM","NM",IF(CG366&lt;=0,"NM",IF(CL366=0,"NM",IF(ABS(CL366/CG366-1)&gt;2.5,"NM",IF((ABS(CL366-CG366)=ABS(ABS(CL366)-ABS(CG366))),(CL366/CG366-1),"NM"))))))</f>
      </c>
      <c r="CM371" s="30">
        <f>IF(CH366=0, "NA", CM366/CH366-1)</f>
      </c>
      <c r="CN371" s="926">
        <f t="shared" si="1044"/>
      </c>
      <c r="CO371" s="30">
        <f t="shared" si="1044"/>
      </c>
      <c r="CP371" s="308">
        <f t="shared" si="1044"/>
      </c>
      <c r="CQ371" s="926"/>
      <c r="CR371" s="926"/>
      <c r="CS371" s="926"/>
      <c r="CT371" s="926"/>
      <c r="CU371" s="308"/>
      <c r="CV371" s="926"/>
      <c r="CW371" s="926"/>
      <c r="CX371" s="926"/>
      <c r="CY371" s="926"/>
      <c r="CZ371" s="308"/>
      <c r="DA371" s="926"/>
      <c r="DB371" s="30"/>
      <c r="DC371" s="30"/>
      <c r="DD371" s="409"/>
      <c r="DE371" s="308"/>
      <c r="DF371" s="926"/>
      <c r="DG371" s="30"/>
      <c r="DH371" s="30"/>
      <c r="DI371" s="409"/>
      <c r="DJ371" s="308"/>
      <c r="DK371" s="926"/>
      <c r="DL371" s="30"/>
      <c r="DM371" s="30"/>
      <c r="DN371" s="409"/>
      <c r="DO371" s="308"/>
      <c r="DP371" s="30"/>
      <c r="DQ371" s="30"/>
      <c r="DR371" s="30"/>
      <c r="DS371" s="409"/>
      <c r="DT371" s="308"/>
      <c r="DU371" s="926"/>
      <c r="DV371" s="926"/>
      <c r="DW371" s="926"/>
      <c r="DX371" s="928"/>
      <c r="DY371" s="308"/>
      <c r="DZ371" s="926"/>
      <c r="EA371" s="926"/>
      <c r="EB371" s="926"/>
      <c r="EC371" s="928"/>
      <c r="ED371" s="1060"/>
      <c r="EE371" s="926"/>
      <c r="EF371" s="926"/>
      <c r="EG371" s="926"/>
      <c r="EH371" s="928"/>
      <c r="EI371" s="308"/>
      <c r="EJ371" s="308"/>
      <c r="EK371" s="308"/>
      <c r="EL371" s="308"/>
      <c r="EM371" s="308"/>
      <c r="EN371" s="308"/>
      <c r="EO371" s="409"/>
      <c r="EP371" s="308"/>
      <c r="EQ371" s="308"/>
      <c r="ER371" s="308"/>
      <c r="ES371" s="308"/>
      <c r="ET371" s="308"/>
      <c r="EU371" s="308"/>
      <c r="EV371" s="308"/>
      <c r="EW371" s="308"/>
      <c r="EX371" s="308"/>
    </row>
    <row r="372" spans="2:154" ht="12.75" hidden="1" customHeight="1" outlineLevel="1">
      <c r="B372" s="460" t="s">
        <v>256</v>
      </c>
      <c r="C372" s="1989"/>
      <c r="D372" s="28"/>
      <c r="E372" s="28"/>
      <c r="F372" s="28"/>
      <c r="G372" s="28"/>
      <c r="H372" s="28"/>
      <c r="I372" s="1"/>
      <c r="J372" s="1"/>
      <c r="K372" s="1"/>
      <c r="L372" s="1"/>
      <c r="M372" s="1"/>
      <c r="N372" s="1"/>
      <c r="O372" s="1"/>
      <c r="P372" s="1"/>
      <c r="Q372" s="1"/>
      <c r="R372" s="1"/>
      <c r="S372" s="1"/>
      <c r="T372" s="1"/>
      <c r="U372" s="1"/>
      <c r="V372" s="1"/>
      <c r="W372" s="1"/>
      <c r="X372" s="315"/>
      <c r="Y372" s="1"/>
      <c r="Z372" s="1"/>
      <c r="AA372" s="1"/>
      <c r="AB372" s="1"/>
      <c r="AC372" s="315"/>
      <c r="AD372" s="1"/>
      <c r="AE372" s="1"/>
      <c r="AF372" s="1"/>
      <c r="AG372" s="1"/>
      <c r="AH372" s="315"/>
      <c r="AI372" s="8">
        <f t="shared" ref="AI372:BN372" si="1045">IF(ISNUMBER(AI371),(1+AI371)/(1+AI$21)-1,"NM")</f>
      </c>
      <c r="AJ372" s="8">
        <f t="shared" si="1045"/>
      </c>
      <c r="AK372" s="8">
        <f t="shared" si="1045"/>
      </c>
      <c r="AL372" s="8">
        <f t="shared" si="1045"/>
      </c>
      <c r="AM372" s="315">
        <f t="shared" si="1045"/>
      </c>
      <c r="AN372" s="8">
        <f t="shared" si="1045"/>
      </c>
      <c r="AO372" s="8">
        <f t="shared" si="1045"/>
      </c>
      <c r="AP372" s="8">
        <f t="shared" si="1045"/>
      </c>
      <c r="AQ372" s="8">
        <f t="shared" si="1045"/>
      </c>
      <c r="AR372" s="315">
        <f t="shared" si="1045"/>
      </c>
      <c r="AS372" s="8">
        <f t="shared" si="1045"/>
      </c>
      <c r="AT372" s="8">
        <f t="shared" si="1045"/>
      </c>
      <c r="AU372" s="8">
        <f t="shared" si="1045"/>
      </c>
      <c r="AV372" s="8">
        <f t="shared" si="1045"/>
      </c>
      <c r="AW372" s="315">
        <f t="shared" si="1045"/>
      </c>
      <c r="AX372" s="8">
        <f t="shared" si="1045"/>
      </c>
      <c r="AY372" s="8">
        <f t="shared" si="1045"/>
      </c>
      <c r="AZ372" s="8">
        <f t="shared" si="1045"/>
      </c>
      <c r="BA372" s="8">
        <f t="shared" si="1045"/>
      </c>
      <c r="BB372" s="315">
        <f t="shared" si="1045"/>
      </c>
      <c r="BC372" s="8">
        <f t="shared" si="1045"/>
      </c>
      <c r="BD372" s="8">
        <f t="shared" si="1045"/>
      </c>
      <c r="BE372" s="8">
        <f t="shared" si="1045"/>
      </c>
      <c r="BF372" s="8">
        <f t="shared" si="1045"/>
      </c>
      <c r="BG372" s="315">
        <f t="shared" si="1045"/>
      </c>
      <c r="BH372" s="8">
        <f t="shared" si="1045"/>
      </c>
      <c r="BI372" s="8">
        <f t="shared" si="1045"/>
      </c>
      <c r="BJ372" s="8">
        <f t="shared" si="1045"/>
      </c>
      <c r="BK372" s="30">
        <f t="shared" si="1045"/>
      </c>
      <c r="BL372" s="315">
        <f t="shared" si="1045"/>
      </c>
      <c r="BM372" s="8">
        <f t="shared" si="1045"/>
      </c>
      <c r="BN372" s="8">
        <f t="shared" si="1045"/>
      </c>
      <c r="BO372" s="8">
        <f t="shared" ref="BO372:CG372" si="1046">IF(ISNUMBER(BO371),(1+BO371)/(1+BO$21)-1,"NM")</f>
      </c>
      <c r="BP372" s="30">
        <f t="shared" si="1046"/>
      </c>
      <c r="BQ372" s="315">
        <f t="shared" si="1046"/>
      </c>
      <c r="BR372" s="8">
        <f t="shared" si="1046"/>
      </c>
      <c r="BS372" s="8">
        <f t="shared" si="1046"/>
      </c>
      <c r="BT372" s="8">
        <f t="shared" si="1046"/>
      </c>
      <c r="BU372" s="30">
        <f t="shared" si="1046"/>
      </c>
      <c r="BV372" s="315">
        <f t="shared" si="1046"/>
      </c>
      <c r="BW372" s="8">
        <f t="shared" si="1046"/>
      </c>
      <c r="BX372" s="8">
        <f t="shared" si="1046"/>
      </c>
      <c r="BY372" s="8">
        <f t="shared" si="1046"/>
      </c>
      <c r="BZ372" s="8">
        <f t="shared" si="1046"/>
      </c>
      <c r="CA372" s="315">
        <f t="shared" si="1046"/>
      </c>
      <c r="CB372" s="8">
        <f t="shared" si="1046"/>
      </c>
      <c r="CC372" s="8">
        <f t="shared" si="1046"/>
      </c>
      <c r="CD372" s="8">
        <f t="shared" si="1046"/>
      </c>
      <c r="CE372" s="8">
        <f t="shared" si="1046"/>
      </c>
      <c r="CF372" s="315">
        <f t="shared" si="1046"/>
      </c>
      <c r="CG372" s="8">
        <f t="shared" si="1046"/>
      </c>
      <c r="CH372" s="41">
        <f>CH371-CH$21</f>
      </c>
      <c r="CI372" s="41">
        <f>CI371-CI$21</f>
      </c>
      <c r="CJ372" s="41">
        <f>CJ371-CJ$21</f>
      </c>
      <c r="CK372" s="315">
        <f>CK371-CK$21</f>
      </c>
      <c r="CL372" s="8">
        <f>IF(ISNUMBER(CL371),(1+CL371)/(1+CL$21)-1,"NM")</f>
      </c>
      <c r="CM372" s="41">
        <f>CM371-CM$21</f>
      </c>
      <c r="CN372" s="925">
        <f>CN371-CN$21</f>
      </c>
      <c r="CO372" s="41">
        <f>CO371-CO$21</f>
      </c>
      <c r="CP372" s="315">
        <f>CP371-CP$21</f>
      </c>
      <c r="CQ372" s="925"/>
      <c r="CR372" s="925"/>
      <c r="CS372" s="925"/>
      <c r="CT372" s="925"/>
      <c r="CU372" s="315"/>
      <c r="CV372" s="925"/>
      <c r="CW372" s="925"/>
      <c r="CX372" s="925"/>
      <c r="CY372" s="925"/>
      <c r="CZ372" s="315"/>
      <c r="DA372" s="925"/>
      <c r="DB372" s="8"/>
      <c r="DC372" s="8"/>
      <c r="DD372" s="942"/>
      <c r="DE372" s="308"/>
      <c r="DF372" s="925"/>
      <c r="DG372" s="30"/>
      <c r="DH372" s="30"/>
      <c r="DI372" s="409"/>
      <c r="DJ372" s="308"/>
      <c r="DK372" s="925"/>
      <c r="DL372" s="30"/>
      <c r="DM372" s="30"/>
      <c r="DN372" s="409"/>
      <c r="DO372" s="308"/>
      <c r="DP372" s="30"/>
      <c r="DQ372" s="30"/>
      <c r="DR372" s="30"/>
      <c r="DS372" s="409"/>
      <c r="DT372" s="308"/>
      <c r="DU372" s="926"/>
      <c r="DV372" s="926"/>
      <c r="DW372" s="926"/>
      <c r="DX372" s="928"/>
      <c r="DY372" s="308"/>
      <c r="DZ372" s="926"/>
      <c r="EA372" s="926"/>
      <c r="EB372" s="926"/>
      <c r="EC372" s="928"/>
      <c r="ED372" s="1060"/>
      <c r="EE372" s="926"/>
      <c r="EF372" s="926"/>
      <c r="EG372" s="926"/>
      <c r="EH372" s="928"/>
      <c r="EI372" s="308"/>
      <c r="EJ372" s="308"/>
      <c r="EK372" s="308"/>
      <c r="EL372" s="308"/>
      <c r="EM372" s="308"/>
      <c r="EN372" s="308"/>
      <c r="EO372" s="409"/>
      <c r="EP372" s="308"/>
      <c r="EQ372" s="308"/>
      <c r="ER372" s="308"/>
      <c r="ES372" s="308"/>
      <c r="ET372" s="308"/>
      <c r="EU372" s="308"/>
      <c r="EV372" s="308"/>
      <c r="EW372" s="308"/>
      <c r="EX372" s="308"/>
    </row>
    <row r="373" spans="2:154" ht="12.75" hidden="1" customHeight="1" outlineLevel="1">
      <c r="B373" s="460" t="s">
        <v>413</v>
      </c>
      <c r="C373" s="1989"/>
      <c r="D373" s="28"/>
      <c r="E373" s="28"/>
      <c r="F373" s="28"/>
      <c r="G373" s="28"/>
      <c r="H373" s="28"/>
      <c r="I373" s="30">
        <f t="shared" ref="I373:AN373" si="1047">IF(D367="NM","NM",IF(I367="NM","NM",IF(D367&lt;=0,"NM",IF(I367=0,"NM",IF(ABS(I367/D367-1)&gt;2.5,"NM",IF((ABS(I367-D367)=ABS(ABS(I367)-ABS(D367))),(I367/D367-1),"NM"))))))</f>
      </c>
      <c r="J373" s="30">
        <f t="shared" si="1047"/>
      </c>
      <c r="K373" s="30">
        <f t="shared" si="1047"/>
      </c>
      <c r="L373" s="30">
        <f t="shared" si="1047"/>
      </c>
      <c r="M373" s="30">
        <f t="shared" si="1047"/>
      </c>
      <c r="N373" s="30">
        <f t="shared" si="1047"/>
      </c>
      <c r="O373" s="30">
        <f t="shared" si="1047"/>
      </c>
      <c r="P373" s="30">
        <f t="shared" si="1047"/>
      </c>
      <c r="Q373" s="30">
        <f t="shared" si="1047"/>
      </c>
      <c r="R373" s="30">
        <f t="shared" si="1047"/>
      </c>
      <c r="S373" s="30">
        <f t="shared" si="1047"/>
      </c>
      <c r="T373" s="30">
        <f t="shared" si="1047"/>
      </c>
      <c r="U373" s="30">
        <f t="shared" si="1047"/>
      </c>
      <c r="V373" s="30">
        <f t="shared" si="1047"/>
      </c>
      <c r="W373" s="30">
        <f t="shared" si="1047"/>
      </c>
      <c r="X373" s="308">
        <f t="shared" si="1047"/>
      </c>
      <c r="Y373" s="30">
        <f t="shared" si="1047"/>
      </c>
      <c r="Z373" s="30">
        <f t="shared" si="1047"/>
      </c>
      <c r="AA373" s="30">
        <f t="shared" si="1047"/>
      </c>
      <c r="AB373" s="30">
        <f t="shared" si="1047"/>
      </c>
      <c r="AC373" s="308">
        <f t="shared" si="1047"/>
      </c>
      <c r="AD373" s="30">
        <f t="shared" si="1047"/>
      </c>
      <c r="AE373" s="30">
        <f t="shared" si="1047"/>
      </c>
      <c r="AF373" s="30">
        <f t="shared" si="1047"/>
      </c>
      <c r="AG373" s="30">
        <f t="shared" si="1047"/>
      </c>
      <c r="AH373" s="308">
        <f t="shared" si="1047"/>
      </c>
      <c r="AI373" s="30">
        <f t="shared" si="1047"/>
      </c>
      <c r="AJ373" s="30">
        <f t="shared" si="1047"/>
      </c>
      <c r="AK373" s="30">
        <f t="shared" si="1047"/>
      </c>
      <c r="AL373" s="30">
        <f t="shared" si="1047"/>
      </c>
      <c r="AM373" s="308">
        <f t="shared" si="1047"/>
      </c>
      <c r="AN373" s="30">
        <f t="shared" si="1047"/>
      </c>
      <c r="AO373" s="30">
        <f t="shared" ref="AO373:BT373" si="1048">IF(AJ367="NM","NM",IF(AO367="NM","NM",IF(AJ367&lt;=0,"NM",IF(AO367=0,"NM",IF(ABS(AO367/AJ367-1)&gt;2.5,"NM",IF((ABS(AO367-AJ367)=ABS(ABS(AO367)-ABS(AJ367))),(AO367/AJ367-1),"NM"))))))</f>
      </c>
      <c r="AP373" s="30">
        <f t="shared" si="1048"/>
      </c>
      <c r="AQ373" s="30">
        <f t="shared" si="1048"/>
      </c>
      <c r="AR373" s="308">
        <f t="shared" si="1048"/>
      </c>
      <c r="AS373" s="30">
        <f t="shared" si="1048"/>
      </c>
      <c r="AT373" s="30">
        <f t="shared" si="1048"/>
      </c>
      <c r="AU373" s="30">
        <f t="shared" si="1048"/>
      </c>
      <c r="AV373" s="30">
        <f t="shared" si="1048"/>
      </c>
      <c r="AW373" s="308">
        <f t="shared" si="1048"/>
      </c>
      <c r="AX373" s="30">
        <f t="shared" si="1048"/>
      </c>
      <c r="AY373" s="30">
        <f t="shared" si="1048"/>
      </c>
      <c r="AZ373" s="30">
        <f t="shared" si="1048"/>
      </c>
      <c r="BA373" s="30">
        <f t="shared" si="1048"/>
      </c>
      <c r="BB373" s="308">
        <f t="shared" si="1048"/>
      </c>
      <c r="BC373" s="30">
        <f t="shared" si="1048"/>
      </c>
      <c r="BD373" s="30">
        <f t="shared" si="1048"/>
      </c>
      <c r="BE373" s="30">
        <f t="shared" si="1048"/>
      </c>
      <c r="BF373" s="30">
        <f t="shared" si="1048"/>
      </c>
      <c r="BG373" s="308">
        <f t="shared" si="1048"/>
      </c>
      <c r="BH373" s="30">
        <f t="shared" si="1048"/>
      </c>
      <c r="BI373" s="30">
        <f t="shared" si="1048"/>
      </c>
      <c r="BJ373" s="30">
        <f t="shared" si="1048"/>
      </c>
      <c r="BK373" s="30">
        <f t="shared" si="1048"/>
      </c>
      <c r="BL373" s="308">
        <f t="shared" si="1048"/>
      </c>
      <c r="BM373" s="30">
        <f t="shared" si="1048"/>
      </c>
      <c r="BN373" s="30">
        <f t="shared" si="1048"/>
      </c>
      <c r="BO373" s="30">
        <f t="shared" si="1048"/>
      </c>
      <c r="BP373" s="30">
        <f t="shared" si="1048"/>
      </c>
      <c r="BQ373" s="308">
        <f t="shared" si="1048"/>
      </c>
      <c r="BR373" s="30">
        <f t="shared" si="1048"/>
      </c>
      <c r="BS373" s="30">
        <f t="shared" si="1048"/>
      </c>
      <c r="BT373" s="30">
        <f t="shared" si="1048"/>
      </c>
      <c r="BU373" s="30">
        <f t="shared" ref="BU373:CA373" si="1049">IF(BP367="NM","NM",IF(BU367="NM","NM",IF(BP367&lt;=0,"NM",IF(BU367=0,"NM",IF(ABS(BU367/BP367-1)&gt;2.5,"NM",IF((ABS(BU367-BP367)=ABS(ABS(BU367)-ABS(BP367))),(BU367/BP367-1),"NM"))))))</f>
      </c>
      <c r="BV373" s="308">
        <f t="shared" si="1049"/>
      </c>
      <c r="BW373" s="30">
        <f t="shared" si="1049"/>
      </c>
      <c r="BX373" s="30">
        <f t="shared" si="1049"/>
      </c>
      <c r="BY373" s="30">
        <f t="shared" si="1049"/>
      </c>
      <c r="BZ373" s="30">
        <f t="shared" si="1049"/>
      </c>
      <c r="CA373" s="308">
        <f t="shared" si="1049"/>
      </c>
      <c r="CB373" s="30">
        <f t="shared" ref="CB373:CG373" si="1050">IF(BW367="NM","NM",IF(CB367="NM","NM",IF(BW367&lt;=0,"NM",IF(CB367=0,"NM",IF(ABS(CB367/BW367-1)&gt;2.5,"NM",IF((ABS(CB367-BW367)=ABS(ABS(CB367)-ABS(BW367))),(CB367/BW367-1),"NM"))))))</f>
      </c>
      <c r="CC373" s="30">
        <f t="shared" si="1050"/>
      </c>
      <c r="CD373" s="30">
        <f t="shared" si="1050"/>
      </c>
      <c r="CE373" s="30">
        <f t="shared" si="1050"/>
      </c>
      <c r="CF373" s="308">
        <f t="shared" si="1050"/>
      </c>
      <c r="CG373" s="30">
        <f t="shared" si="1050"/>
      </c>
      <c r="CH373" s="30">
        <f>IF(CC367=0, "NA", CH367/CC367-1)</f>
      </c>
      <c r="CI373" s="30">
        <f>IF(CD367=0, "NA", CI367/CD367-1)</f>
      </c>
      <c r="CJ373" s="30">
        <f>IF(CE367=0, "NA", CJ367/CE367-1)</f>
      </c>
      <c r="CK373" s="308">
        <f>IF(CF367=0, "NA", CK367/CF367-1)</f>
      </c>
      <c r="CL373" s="30">
        <f>IF(CG367="NM","NM",IF(CL367="NM","NM",IF(CG367&lt;=0,"NM",IF(CL367=0,"NM",IF(ABS(CL367/CG367-1)&gt;2.5,"NM",IF((ABS(CL367-CG367)=ABS(ABS(CL367)-ABS(CG367))),(CL367/CG367-1),"NM"))))))</f>
      </c>
      <c r="CM373" s="30">
        <f>IF(CH367=0, "NA", CM367/CH367-1)</f>
      </c>
      <c r="CN373" s="926">
        <f>IF(CI367=0, "NA", CN367/CI367-1)</f>
      </c>
      <c r="CO373" s="30">
        <f>IF(CJ367=0, "NA", CO367/CJ367-1)</f>
      </c>
      <c r="CP373" s="308">
        <f>IF(CK367=0, "NA", CP367/CK367-1)</f>
      </c>
      <c r="CQ373" s="926"/>
      <c r="CR373" s="926"/>
      <c r="CS373" s="926"/>
      <c r="CT373" s="926"/>
      <c r="CU373" s="308"/>
      <c r="CV373" s="926"/>
      <c r="CW373" s="926"/>
      <c r="CX373" s="926"/>
      <c r="CY373" s="926"/>
      <c r="CZ373" s="308"/>
      <c r="DA373" s="926"/>
      <c r="DB373" s="30"/>
      <c r="DC373" s="30"/>
      <c r="DD373" s="409"/>
      <c r="DE373" s="308"/>
      <c r="DF373" s="926"/>
      <c r="DG373" s="30"/>
      <c r="DH373" s="30"/>
      <c r="DI373" s="409"/>
      <c r="DJ373" s="308"/>
      <c r="DK373" s="926"/>
      <c r="DL373" s="30"/>
      <c r="DM373" s="30"/>
      <c r="DN373" s="409"/>
      <c r="DO373" s="308"/>
      <c r="DP373" s="30"/>
      <c r="DQ373" s="30"/>
      <c r="DR373" s="30"/>
      <c r="DS373" s="409"/>
      <c r="DT373" s="308"/>
      <c r="DU373" s="926"/>
      <c r="DV373" s="926"/>
      <c r="DW373" s="926"/>
      <c r="DX373" s="928"/>
      <c r="DY373" s="308"/>
      <c r="DZ373" s="926"/>
      <c r="EA373" s="926"/>
      <c r="EB373" s="926"/>
      <c r="EC373" s="928"/>
      <c r="ED373" s="1060"/>
      <c r="EE373" s="926"/>
      <c r="EF373" s="926"/>
      <c r="EG373" s="926"/>
      <c r="EH373" s="928"/>
      <c r="EI373" s="308"/>
      <c r="EJ373" s="308"/>
      <c r="EK373" s="308"/>
      <c r="EL373" s="308"/>
      <c r="EM373" s="308"/>
      <c r="EN373" s="308"/>
      <c r="EO373" s="409"/>
      <c r="EP373" s="308"/>
      <c r="EQ373" s="308"/>
      <c r="ER373" s="308"/>
      <c r="ES373" s="308"/>
      <c r="ET373" s="308"/>
      <c r="EU373" s="308"/>
      <c r="EV373" s="308"/>
      <c r="EW373" s="308"/>
      <c r="EX373" s="308"/>
    </row>
    <row r="374" spans="2:154" ht="12.75" hidden="1" customHeight="1" outlineLevel="1">
      <c r="B374" s="340"/>
      <c r="C374" s="1989"/>
      <c r="D374" s="28"/>
      <c r="E374" s="28"/>
      <c r="F374" s="28"/>
      <c r="G374" s="28"/>
      <c r="H374" s="28"/>
      <c r="I374" s="31"/>
      <c r="J374" s="28"/>
      <c r="K374" s="28"/>
      <c r="L374" s="28"/>
      <c r="M374" s="28"/>
      <c r="N374" s="31"/>
      <c r="O374" s="31"/>
      <c r="P374" s="31"/>
      <c r="Q374" s="31"/>
      <c r="R374" s="31"/>
      <c r="S374" s="31"/>
      <c r="T374" s="31"/>
      <c r="U374" s="31"/>
      <c r="V374" s="31"/>
      <c r="W374" s="31"/>
      <c r="X374" s="313"/>
      <c r="Y374" s="31"/>
      <c r="Z374" s="31"/>
      <c r="AA374" s="31"/>
      <c r="AB374" s="31"/>
      <c r="AC374" s="313"/>
      <c r="AD374" s="31"/>
      <c r="AE374" s="31"/>
      <c r="AF374" s="31"/>
      <c r="AG374" s="31"/>
      <c r="AH374" s="313"/>
      <c r="AI374" s="28"/>
      <c r="AJ374" s="28"/>
      <c r="AK374" s="28"/>
      <c r="AL374" s="31"/>
      <c r="AM374" s="313"/>
      <c r="AN374" s="28"/>
      <c r="AO374" s="28"/>
      <c r="AP374" s="28"/>
      <c r="AQ374" s="31"/>
      <c r="AR374" s="313"/>
      <c r="AS374" s="28"/>
      <c r="AT374" s="28"/>
      <c r="AU374" s="28"/>
      <c r="AV374" s="31"/>
      <c r="AW374" s="313"/>
      <c r="AX374" s="28"/>
      <c r="AY374" s="28"/>
      <c r="AZ374" s="28"/>
      <c r="BA374" s="28"/>
      <c r="BB374" s="313"/>
      <c r="BC374" s="31"/>
      <c r="BD374" s="31"/>
      <c r="BE374" s="31"/>
      <c r="BF374" s="31"/>
      <c r="BG374" s="313"/>
      <c r="BH374" s="31"/>
      <c r="BI374" s="31"/>
      <c r="BJ374" s="31"/>
      <c r="BK374" s="31"/>
      <c r="BL374" s="313"/>
      <c r="BM374" s="31"/>
      <c r="BN374" s="31"/>
      <c r="BO374" s="31"/>
      <c r="BP374" s="31"/>
      <c r="BQ374" s="313"/>
      <c r="BR374" s="31"/>
      <c r="BS374" s="31"/>
      <c r="BT374" s="31"/>
      <c r="BU374" s="31"/>
      <c r="BV374" s="313"/>
      <c r="BW374" s="31"/>
      <c r="BX374" s="31"/>
      <c r="BY374" s="31"/>
      <c r="BZ374" s="31"/>
      <c r="CA374" s="313"/>
      <c r="CB374" s="31"/>
      <c r="CC374" s="31"/>
      <c r="CD374" s="31"/>
      <c r="CE374" s="31"/>
      <c r="CF374" s="313"/>
      <c r="CG374" s="31"/>
      <c r="CH374" s="31"/>
      <c r="CI374" s="31"/>
      <c r="CJ374" s="31"/>
      <c r="CK374" s="313"/>
      <c r="CL374" s="957"/>
      <c r="CM374" s="31"/>
      <c r="CN374" s="31"/>
      <c r="CO374" s="31"/>
      <c r="CP374" s="313"/>
      <c r="CQ374" s="31"/>
      <c r="CR374" s="31"/>
      <c r="CS374" s="31"/>
      <c r="CT374" s="31"/>
      <c r="CU374" s="313"/>
      <c r="CV374" s="31"/>
      <c r="CW374" s="31"/>
      <c r="CX374" s="31"/>
      <c r="CY374" s="31"/>
      <c r="CZ374" s="313"/>
      <c r="DA374" s="31"/>
      <c r="DB374" s="31"/>
      <c r="DC374" s="31"/>
      <c r="DD374" s="955"/>
      <c r="DE374" s="477"/>
      <c r="DF374" s="603"/>
      <c r="DG374" s="603"/>
      <c r="DH374" s="603"/>
      <c r="DI374" s="1798"/>
      <c r="DJ374" s="477"/>
      <c r="DK374" s="603"/>
      <c r="DL374" s="603"/>
      <c r="DM374" s="603"/>
      <c r="DN374" s="1798"/>
      <c r="DO374" s="477"/>
      <c r="DP374" s="603"/>
      <c r="DQ374" s="603"/>
      <c r="DR374" s="603"/>
      <c r="DS374" s="1798"/>
      <c r="DT374" s="477"/>
      <c r="DU374" s="603"/>
      <c r="DV374" s="603"/>
      <c r="DW374" s="603"/>
      <c r="DX374" s="1798"/>
      <c r="DY374" s="477"/>
      <c r="DZ374" s="603"/>
      <c r="EA374" s="603"/>
      <c r="EB374" s="603"/>
      <c r="EC374" s="1798"/>
      <c r="ED374" s="477"/>
      <c r="EE374" s="603"/>
      <c r="EF374" s="603"/>
      <c r="EG374" s="603"/>
      <c r="EH374" s="1798"/>
      <c r="EI374" s="477"/>
      <c r="EJ374" s="477"/>
      <c r="EK374" s="477"/>
      <c r="EL374" s="477"/>
      <c r="EM374" s="477"/>
      <c r="EN374" s="477"/>
      <c r="EO374" s="1798"/>
      <c r="EP374" s="477"/>
      <c r="EQ374" s="477"/>
      <c r="ER374" s="477"/>
      <c r="ES374" s="477"/>
      <c r="ET374" s="477"/>
      <c r="EU374" s="477"/>
      <c r="EV374" s="477"/>
      <c r="EW374" s="477"/>
      <c r="EX374" s="477"/>
    </row>
    <row r="375" spans="2:154" ht="12.75" hidden="1" customHeight="1" outlineLevel="1">
      <c r="B375" s="436" t="s">
        <v>515</v>
      </c>
      <c r="C375" s="1989"/>
      <c r="D375" s="28"/>
      <c r="E375" s="28"/>
      <c r="F375" s="28"/>
      <c r="G375" s="28"/>
      <c r="H375" s="28"/>
      <c r="I375" s="31"/>
      <c r="J375" s="28"/>
      <c r="K375" s="28"/>
      <c r="L375" s="28"/>
      <c r="M375" s="28"/>
      <c r="N375" s="31"/>
      <c r="O375" s="31"/>
      <c r="P375" s="31"/>
      <c r="Q375" s="31"/>
      <c r="R375" s="31"/>
      <c r="S375" s="31"/>
      <c r="T375" s="31"/>
      <c r="U375" s="31"/>
      <c r="V375" s="31"/>
      <c r="W375" s="31"/>
      <c r="X375" s="313"/>
      <c r="Y375" s="31"/>
      <c r="Z375" s="31"/>
      <c r="AA375" s="31"/>
      <c r="AB375" s="31"/>
      <c r="AC375" s="313"/>
      <c r="AD375" s="31"/>
      <c r="AE375" s="31"/>
      <c r="AF375" s="31"/>
      <c r="AG375" s="31"/>
      <c r="AH375" s="313"/>
      <c r="AI375" s="28"/>
      <c r="AJ375" s="28"/>
      <c r="AK375" s="28"/>
      <c r="AL375" s="31"/>
      <c r="AM375" s="313"/>
      <c r="AN375" s="28"/>
      <c r="AO375" s="28"/>
      <c r="AP375" s="28"/>
      <c r="AQ375" s="28"/>
      <c r="AR375" s="313"/>
      <c r="AS375" s="1"/>
      <c r="AT375" s="1"/>
      <c r="AU375" s="1"/>
      <c r="AV375" s="24"/>
      <c r="AW375" s="313"/>
      <c r="AX375" s="1"/>
      <c r="AY375" s="1"/>
      <c r="AZ375" s="1"/>
      <c r="BA375" s="1"/>
      <c r="BB375" s="313"/>
      <c r="BC375" s="1"/>
      <c r="BD375" s="1"/>
      <c r="BE375" s="1"/>
      <c r="BF375" s="1"/>
      <c r="BG375" s="313"/>
      <c r="BH375" s="1"/>
      <c r="BI375" s="1"/>
      <c r="BJ375" s="1"/>
      <c r="BK375" s="1"/>
      <c r="BL375" s="319"/>
      <c r="BM375" s="1"/>
      <c r="BN375" s="1"/>
      <c r="BO375" s="1"/>
      <c r="BP375" s="1"/>
      <c r="BQ375" s="313"/>
      <c r="BR375" s="1"/>
      <c r="BS375" s="1"/>
      <c r="BT375" s="1"/>
      <c r="BU375" s="1"/>
      <c r="BV375" s="313"/>
      <c r="BW375" s="1"/>
      <c r="BX375" s="1"/>
      <c r="BY375" s="1"/>
      <c r="BZ375" s="1"/>
      <c r="CA375" s="313"/>
      <c r="CB375" s="1"/>
      <c r="CC375" s="1"/>
      <c r="CD375" s="1"/>
      <c r="CE375" s="1"/>
      <c r="CF375" s="313"/>
      <c r="CG375" s="1"/>
      <c r="CH375" s="1"/>
      <c r="CI375" s="1"/>
      <c r="CJ375" s="1"/>
      <c r="CK375" s="313"/>
      <c r="CL375" s="971"/>
      <c r="CM375" s="1"/>
      <c r="CN375" s="946"/>
      <c r="CO375" s="1"/>
      <c r="CP375" s="313"/>
      <c r="CQ375" s="946"/>
      <c r="CR375" s="946"/>
      <c r="CS375" s="946"/>
      <c r="CT375" s="946"/>
      <c r="CU375" s="313"/>
      <c r="CV375" s="946"/>
      <c r="CW375" s="946"/>
      <c r="CX375" s="946"/>
      <c r="CY375" s="946"/>
      <c r="CZ375" s="313"/>
      <c r="DA375" s="946"/>
      <c r="DB375" s="31"/>
      <c r="DC375" s="31"/>
      <c r="DD375" s="955"/>
      <c r="DE375" s="477"/>
      <c r="DF375" s="1045"/>
      <c r="DG375" s="603"/>
      <c r="DH375" s="603"/>
      <c r="DI375" s="1798"/>
      <c r="DJ375" s="477"/>
      <c r="DK375" s="1045"/>
      <c r="DL375" s="603"/>
      <c r="DM375" s="603"/>
      <c r="DN375" s="1798"/>
      <c r="DO375" s="477"/>
      <c r="DP375" s="603"/>
      <c r="DQ375" s="603"/>
      <c r="DR375" s="603"/>
      <c r="DS375" s="1798"/>
      <c r="DT375" s="477"/>
      <c r="DU375" s="603"/>
      <c r="DV375" s="603"/>
      <c r="DW375" s="603"/>
      <c r="DX375" s="1798"/>
      <c r="DY375" s="477"/>
      <c r="DZ375" s="603"/>
      <c r="EA375" s="603"/>
      <c r="EB375" s="603"/>
      <c r="EC375" s="1798"/>
      <c r="ED375" s="477"/>
      <c r="EE375" s="603"/>
      <c r="EF375" s="603"/>
      <c r="EG375" s="603"/>
      <c r="EH375" s="1798"/>
      <c r="EI375" s="477"/>
      <c r="EJ375" s="477"/>
      <c r="EK375" s="477"/>
      <c r="EL375" s="477"/>
      <c r="EM375" s="477"/>
      <c r="EN375" s="477"/>
      <c r="EO375" s="1798"/>
      <c r="EP375" s="477"/>
      <c r="EQ375" s="477"/>
      <c r="ER375" s="477"/>
      <c r="ES375" s="477"/>
      <c r="ET375" s="477"/>
      <c r="EU375" s="477"/>
      <c r="EV375" s="477"/>
      <c r="EW375" s="477"/>
      <c r="EX375" s="477"/>
    </row>
    <row r="376" spans="2:154" ht="12.75" hidden="1" customHeight="1" outlineLevel="1">
      <c r="B376" s="437" t="s">
        <v>187</v>
      </c>
      <c r="C376" s="1995">
        <v>39873</v>
      </c>
      <c r="D376" s="31">
        <f>+I376/(1+I381)</f>
      </c>
      <c r="E376" s="33">
        <v>20</v>
      </c>
      <c r="F376" s="33">
        <v>27</v>
      </c>
      <c r="G376" s="33">
        <v>30</v>
      </c>
      <c r="H376" s="33">
        <v>25</v>
      </c>
      <c r="I376" s="31">
        <f>+SUM(E376:H376)</f>
      </c>
      <c r="J376" s="33">
        <v>54</v>
      </c>
      <c r="K376" s="33">
        <v>68</v>
      </c>
      <c r="L376" s="33">
        <v>54</v>
      </c>
      <c r="M376" s="33">
        <v>49</v>
      </c>
      <c r="N376" s="31">
        <f>+SUM(J376:M376)</f>
      </c>
      <c r="O376" s="33">
        <v>80</v>
      </c>
      <c r="P376" s="33">
        <v>100</v>
      </c>
      <c r="Q376" s="33">
        <v>68</v>
      </c>
      <c r="R376" s="33">
        <v>110</v>
      </c>
      <c r="S376" s="31">
        <f>SUM(O376:R376)</f>
      </c>
      <c r="T376" s="33">
        <v>117</v>
      </c>
      <c r="U376" s="33">
        <v>109</v>
      </c>
      <c r="V376" s="33">
        <v>143</v>
      </c>
      <c r="W376" s="33">
        <v>159</v>
      </c>
      <c r="X376" s="313">
        <f>SUM(T376:W376)</f>
      </c>
      <c r="Y376" s="33">
        <v>181</v>
      </c>
      <c r="Z376" s="33">
        <v>205</v>
      </c>
      <c r="AA376" s="33">
        <v>192</v>
      </c>
      <c r="AB376" s="33">
        <v>226</v>
      </c>
      <c r="AC376" s="313">
        <f>SUM(Y376:AB376)</f>
      </c>
      <c r="AD376" s="33">
        <v>253.9</v>
      </c>
      <c r="AE376" s="33">
        <v>257</v>
      </c>
      <c r="AF376" s="33">
        <v>286.5</v>
      </c>
      <c r="AG376" s="33">
        <v>293</v>
      </c>
      <c r="AH376" s="313">
        <f>SUM(AD376:AG376)</f>
      </c>
      <c r="AI376" s="33">
        <v>310</v>
      </c>
      <c r="AJ376" s="33">
        <v>334</v>
      </c>
      <c r="AK376" s="33">
        <v>327</v>
      </c>
      <c r="AL376" s="33">
        <v>319</v>
      </c>
      <c r="AM376" s="313">
        <f>+SUM(AI376:AL376)</f>
      </c>
      <c r="AN376" s="33">
        <v>373</v>
      </c>
      <c r="AO376" s="33">
        <v>393</v>
      </c>
      <c r="AP376" s="33">
        <v>435</v>
      </c>
      <c r="AQ376" s="33">
        <v>429</v>
      </c>
      <c r="AR376" s="313">
        <f>+SUM(AN376:AQ376)</f>
      </c>
      <c r="AS376" s="33">
        <v>501</v>
      </c>
      <c r="AT376" s="33">
        <v>472</v>
      </c>
      <c r="AU376" s="33">
        <v>498</v>
      </c>
      <c r="AV376" s="33">
        <v>535</v>
      </c>
      <c r="AW376" s="313">
        <f>SUM(AS376:AV376)</f>
      </c>
      <c r="AX376" s="33">
        <v>520</v>
      </c>
      <c r="AY376" s="33">
        <v>548</v>
      </c>
      <c r="AZ376" s="33">
        <v>606</v>
      </c>
      <c r="BA376" s="33">
        <v>576</v>
      </c>
      <c r="BB376" s="313">
        <f>SUM(AX376:BA376)</f>
      </c>
      <c r="BC376" s="33">
        <v>495</v>
      </c>
      <c r="BD376" s="33">
        <v>75</v>
      </c>
      <c r="BE376" s="33">
        <v>72</v>
      </c>
      <c r="BF376" s="33">
        <v>89</v>
      </c>
      <c r="BG376" s="313">
        <f>SUM(BC376:BF376)</f>
      </c>
      <c r="BH376" s="33">
        <v>57</v>
      </c>
      <c r="BI376" s="33">
        <v>59</v>
      </c>
      <c r="BJ376" s="33">
        <v>46</v>
      </c>
      <c r="BK376" s="33">
        <v>37</v>
      </c>
      <c r="BL376" s="313">
        <f>SUM(BH376:BK376)</f>
      </c>
      <c r="BM376" s="33">
        <v>50</v>
      </c>
      <c r="BN376" s="33">
        <v>41</v>
      </c>
      <c r="BO376" s="33">
        <v>45</v>
      </c>
      <c r="BP376" s="33">
        <v>40</v>
      </c>
      <c r="BQ376" s="313">
        <f>SUM(BM376:BP376)</f>
      </c>
      <c r="BR376" s="761">
        <v>44.5</v>
      </c>
      <c r="BS376" s="761">
        <v>36.5</v>
      </c>
      <c r="BT376" s="761">
        <v>35</v>
      </c>
      <c r="BU376" s="761">
        <v>33.599999999999994</v>
      </c>
      <c r="BV376" s="313">
        <f>SUM(BR376:BU376)</f>
      </c>
      <c r="BW376" s="761">
        <v>33.375</v>
      </c>
      <c r="BX376" s="761">
        <v>27</v>
      </c>
      <c r="BY376" s="761">
        <v>26</v>
      </c>
      <c r="BZ376" s="761">
        <v>25</v>
      </c>
      <c r="CA376" s="313">
        <f>SUM(BW376:BZ376)</f>
      </c>
      <c r="CB376" s="761">
        <v>28</v>
      </c>
      <c r="CC376" s="761">
        <v>24</v>
      </c>
      <c r="CD376" s="761">
        <v>23.4</v>
      </c>
      <c r="CE376" s="761">
        <v>22</v>
      </c>
      <c r="CF376" s="313">
        <f>SUM(CB376:CE376)</f>
      </c>
      <c r="CG376" s="761">
        <v>25.2</v>
      </c>
      <c r="CH376" s="761">
        <v>21.6</v>
      </c>
      <c r="CI376" s="761">
        <v>21</v>
      </c>
      <c r="CJ376" s="761">
        <v>22</v>
      </c>
      <c r="CK376" s="313">
        <f>SUM(CG376:CJ376)</f>
      </c>
      <c r="CL376" s="761">
        <v>20</v>
      </c>
      <c r="CM376" s="761">
        <v>19</v>
      </c>
      <c r="CN376" s="761">
        <v>18.5</v>
      </c>
      <c r="CO376" s="761">
        <v>15</v>
      </c>
      <c r="CP376" s="313">
        <f>SUM(CL376:CO376)</f>
      </c>
      <c r="CQ376" s="352"/>
      <c r="CR376" s="352"/>
      <c r="CS376" s="933"/>
      <c r="CT376" s="933"/>
      <c r="CU376" s="313"/>
      <c r="CV376" s="352"/>
      <c r="CW376" s="933"/>
      <c r="CX376" s="933"/>
      <c r="CY376" s="933"/>
      <c r="CZ376" s="313"/>
      <c r="DA376" s="352"/>
      <c r="DB376" s="31"/>
      <c r="DC376" s="31"/>
      <c r="DD376" s="955"/>
      <c r="DE376" s="477"/>
      <c r="DF376" s="1801"/>
      <c r="DG376" s="603"/>
      <c r="DH376" s="603"/>
      <c r="DI376" s="1798"/>
      <c r="DJ376" s="477"/>
      <c r="DK376" s="1801"/>
      <c r="DL376" s="603"/>
      <c r="DM376" s="603"/>
      <c r="DN376" s="1798"/>
      <c r="DO376" s="477"/>
      <c r="DP376" s="603"/>
      <c r="DQ376" s="603"/>
      <c r="DR376" s="603"/>
      <c r="DS376" s="1798"/>
      <c r="DT376" s="477"/>
      <c r="DU376" s="603"/>
      <c r="DV376" s="603"/>
      <c r="DW376" s="603"/>
      <c r="DX376" s="1798"/>
      <c r="DY376" s="477"/>
      <c r="DZ376" s="603"/>
      <c r="EA376" s="603"/>
      <c r="EB376" s="603"/>
      <c r="EC376" s="1798"/>
      <c r="ED376" s="477"/>
      <c r="EE376" s="603"/>
      <c r="EF376" s="603"/>
      <c r="EG376" s="603"/>
      <c r="EH376" s="1798"/>
      <c r="EI376" s="477"/>
      <c r="EJ376" s="477"/>
      <c r="EK376" s="477"/>
      <c r="EL376" s="477"/>
      <c r="EM376" s="477"/>
      <c r="EN376" s="477"/>
      <c r="EO376" s="1798"/>
      <c r="EP376" s="477"/>
      <c r="EQ376" s="477"/>
      <c r="ER376" s="477"/>
      <c r="ES376" s="477"/>
      <c r="ET376" s="477"/>
      <c r="EU376" s="477"/>
      <c r="EV376" s="477"/>
      <c r="EW376" s="477"/>
      <c r="EX376" s="477"/>
    </row>
    <row r="377" spans="2:154" ht="12.75" hidden="1" customHeight="1" outlineLevel="1">
      <c r="B377" s="437" t="s">
        <v>412</v>
      </c>
      <c r="C377" s="1995">
        <v>40057</v>
      </c>
      <c r="D377" s="31">
        <f>+I377/(1+I382)</f>
      </c>
      <c r="E377" s="33">
        <v>9</v>
      </c>
      <c r="F377" s="33">
        <v>12</v>
      </c>
      <c r="G377" s="33">
        <v>13</v>
      </c>
      <c r="H377" s="33">
        <v>17</v>
      </c>
      <c r="I377" s="31">
        <f>+SUM(E377:H377)</f>
      </c>
      <c r="J377" s="33">
        <v>18</v>
      </c>
      <c r="K377" s="33">
        <v>21</v>
      </c>
      <c r="L377" s="33">
        <v>21</v>
      </c>
      <c r="M377" s="33">
        <v>24</v>
      </c>
      <c r="N377" s="31">
        <f>+SUM(J377:M377)</f>
      </c>
      <c r="O377" s="33">
        <v>27</v>
      </c>
      <c r="P377" s="33">
        <v>29</v>
      </c>
      <c r="Q377" s="33">
        <v>30</v>
      </c>
      <c r="R377" s="33">
        <v>33</v>
      </c>
      <c r="S377" s="31">
        <f>SUM(O377:R377)</f>
      </c>
      <c r="T377" s="33">
        <v>32</v>
      </c>
      <c r="U377" s="33">
        <v>39</v>
      </c>
      <c r="V377" s="33">
        <v>41</v>
      </c>
      <c r="W377" s="33">
        <v>47</v>
      </c>
      <c r="X377" s="313">
        <f>SUM(T377:W377)</f>
      </c>
      <c r="Y377" s="33">
        <v>50</v>
      </c>
      <c r="Z377" s="33">
        <v>58</v>
      </c>
      <c r="AA377" s="33">
        <v>60</v>
      </c>
      <c r="AB377" s="33">
        <v>70</v>
      </c>
      <c r="AC377" s="313">
        <f>SUM(Y377:AB377)</f>
      </c>
      <c r="AD377" s="33">
        <v>74.5</v>
      </c>
      <c r="AE377" s="33">
        <v>78</v>
      </c>
      <c r="AF377" s="33">
        <v>78.5</v>
      </c>
      <c r="AG377" s="33">
        <v>88</v>
      </c>
      <c r="AH377" s="313">
        <f>SUM(AD377:AG377)</f>
      </c>
      <c r="AI377" s="33">
        <v>96</v>
      </c>
      <c r="AJ377" s="33">
        <v>97</v>
      </c>
      <c r="AK377" s="33">
        <v>102</v>
      </c>
      <c r="AL377" s="33">
        <v>94</v>
      </c>
      <c r="AM377" s="313">
        <f>+SUM(AI377:AL377)</f>
      </c>
      <c r="AN377" s="33">
        <v>98</v>
      </c>
      <c r="AO377" s="33">
        <v>102</v>
      </c>
      <c r="AP377" s="33">
        <v>98</v>
      </c>
      <c r="AQ377" s="33">
        <v>100</v>
      </c>
      <c r="AR377" s="313">
        <f>+SUM(AN377:AQ377)</f>
      </c>
      <c r="AS377" s="33">
        <v>109</v>
      </c>
      <c r="AT377" s="33">
        <v>106</v>
      </c>
      <c r="AU377" s="33">
        <v>115</v>
      </c>
      <c r="AV377" s="33">
        <v>117</v>
      </c>
      <c r="AW377" s="313">
        <f>SUM(AS377:AV377)</f>
      </c>
      <c r="AX377" s="33">
        <v>126</v>
      </c>
      <c r="AY377" s="33">
        <v>129</v>
      </c>
      <c r="AZ377" s="33">
        <v>122</v>
      </c>
      <c r="BA377" s="33">
        <v>104</v>
      </c>
      <c r="BB377" s="313">
        <f>SUM(AX377:BA377)</f>
      </c>
      <c r="BC377" s="33">
        <v>107</v>
      </c>
      <c r="BD377" s="33">
        <v>107</v>
      </c>
      <c r="BE377" s="33">
        <v>103</v>
      </c>
      <c r="BF377" s="33">
        <v>103</v>
      </c>
      <c r="BG377" s="313">
        <f>SUM(BC377:BF377)</f>
      </c>
      <c r="BH377" s="33">
        <v>91</v>
      </c>
      <c r="BI377" s="33">
        <v>83</v>
      </c>
      <c r="BJ377" s="33">
        <v>81</v>
      </c>
      <c r="BK377" s="33">
        <v>84</v>
      </c>
      <c r="BL377" s="313">
        <f>SUM(BH377:BK377)</f>
      </c>
      <c r="BM377" s="33">
        <v>79</v>
      </c>
      <c r="BN377" s="33">
        <v>80</v>
      </c>
      <c r="BO377" s="33">
        <v>72</v>
      </c>
      <c r="BP377" s="33">
        <v>81</v>
      </c>
      <c r="BQ377" s="313">
        <f>SUM(BM377:BP377)</f>
      </c>
      <c r="BR377" s="761">
        <v>68.129599999999996</v>
      </c>
      <c r="BS377" s="761">
        <v>65</v>
      </c>
      <c r="BT377" s="761">
        <v>65</v>
      </c>
      <c r="BU377" s="761">
        <v>62.819605998358611</v>
      </c>
      <c r="BV377" s="313">
        <f>SUM(BR377:BU377)</f>
      </c>
      <c r="BW377" s="761">
        <v>54.854480662896847</v>
      </c>
      <c r="BX377" s="761">
        <v>51</v>
      </c>
      <c r="BY377" s="761">
        <v>50</v>
      </c>
      <c r="BZ377" s="761">
        <v>48</v>
      </c>
      <c r="CA377" s="313">
        <f>SUM(BW377:BZ377)</f>
      </c>
      <c r="CB377" s="761">
        <v>42</v>
      </c>
      <c r="CC377" s="761">
        <v>40</v>
      </c>
      <c r="CD377" s="761">
        <v>39.4</v>
      </c>
      <c r="CE377" s="761">
        <v>35</v>
      </c>
      <c r="CF377" s="313">
        <f>SUM(CB377:CE377)</f>
      </c>
      <c r="CG377" s="761">
        <v>26.5</v>
      </c>
      <c r="CH377" s="761">
        <v>24.1</v>
      </c>
      <c r="CI377" s="761">
        <v>23</v>
      </c>
      <c r="CJ377" s="761">
        <v>21.747977202072537</v>
      </c>
      <c r="CK377" s="313">
        <f>SUM(CG377:CJ377)</f>
      </c>
      <c r="CL377" s="761">
        <v>20</v>
      </c>
      <c r="CM377" s="761">
        <v>18</v>
      </c>
      <c r="CN377" s="761">
        <v>17</v>
      </c>
      <c r="CO377" s="761">
        <v>17</v>
      </c>
      <c r="CP377" s="313">
        <f>SUM(CL377:CO377)</f>
      </c>
      <c r="CQ377" s="352"/>
      <c r="CR377" s="352"/>
      <c r="CS377" s="933"/>
      <c r="CT377" s="933"/>
      <c r="CU377" s="313"/>
      <c r="CV377" s="352"/>
      <c r="CW377" s="933"/>
      <c r="CX377" s="933"/>
      <c r="CY377" s="933"/>
      <c r="CZ377" s="313"/>
      <c r="DA377" s="352"/>
      <c r="DB377" s="31"/>
      <c r="DC377" s="31"/>
      <c r="DD377" s="955"/>
      <c r="DE377" s="477"/>
      <c r="DF377" s="1801"/>
      <c r="DG377" s="603"/>
      <c r="DH377" s="603"/>
      <c r="DI377" s="1798"/>
      <c r="DJ377" s="477"/>
      <c r="DK377" s="1801"/>
      <c r="DL377" s="603"/>
      <c r="DM377" s="603"/>
      <c r="DN377" s="1798"/>
      <c r="DO377" s="477"/>
      <c r="DP377" s="603"/>
      <c r="DQ377" s="603"/>
      <c r="DR377" s="603"/>
      <c r="DS377" s="1798"/>
      <c r="DT377" s="477"/>
      <c r="DU377" s="603"/>
      <c r="DV377" s="603"/>
      <c r="DW377" s="603"/>
      <c r="DX377" s="1798"/>
      <c r="DY377" s="477"/>
      <c r="DZ377" s="603"/>
      <c r="EA377" s="603"/>
      <c r="EB377" s="603"/>
      <c r="EC377" s="1798"/>
      <c r="ED377" s="477"/>
      <c r="EE377" s="603"/>
      <c r="EF377" s="603"/>
      <c r="EG377" s="603"/>
      <c r="EH377" s="1798"/>
      <c r="EI377" s="477"/>
      <c r="EJ377" s="477"/>
      <c r="EK377" s="477"/>
      <c r="EL377" s="477"/>
      <c r="EM377" s="477"/>
      <c r="EN377" s="477"/>
      <c r="EO377" s="1798"/>
      <c r="EP377" s="477"/>
      <c r="EQ377" s="477"/>
      <c r="ER377" s="477"/>
      <c r="ES377" s="477"/>
      <c r="ET377" s="477"/>
      <c r="EU377" s="477"/>
      <c r="EV377" s="477"/>
      <c r="EW377" s="477"/>
      <c r="EX377" s="477"/>
    </row>
    <row r="378" spans="2:154" ht="12.75" hidden="1" customHeight="1" outlineLevel="1">
      <c r="B378" s="437" t="s">
        <v>413</v>
      </c>
      <c r="C378" s="1989"/>
      <c r="D378" s="28">
        <f t="shared" ref="D378:AI378" si="1051">+D376+D377</f>
      </c>
      <c r="E378" s="28">
        <f t="shared" si="1051"/>
      </c>
      <c r="F378" s="28">
        <f t="shared" si="1051"/>
      </c>
      <c r="G378" s="28">
        <f t="shared" si="1051"/>
      </c>
      <c r="H378" s="28">
        <f t="shared" si="1051"/>
      </c>
      <c r="I378" s="31">
        <f t="shared" si="1051"/>
      </c>
      <c r="J378" s="28">
        <f t="shared" si="1051"/>
      </c>
      <c r="K378" s="28">
        <f t="shared" si="1051"/>
      </c>
      <c r="L378" s="28">
        <f t="shared" si="1051"/>
      </c>
      <c r="M378" s="28">
        <f t="shared" si="1051"/>
      </c>
      <c r="N378" s="31">
        <f t="shared" si="1051"/>
      </c>
      <c r="O378" s="31">
        <f t="shared" si="1051"/>
      </c>
      <c r="P378" s="31">
        <f t="shared" si="1051"/>
      </c>
      <c r="Q378" s="31">
        <f t="shared" si="1051"/>
      </c>
      <c r="R378" s="31">
        <f t="shared" si="1051"/>
      </c>
      <c r="S378" s="31">
        <f t="shared" si="1051"/>
      </c>
      <c r="T378" s="31">
        <f t="shared" si="1051"/>
      </c>
      <c r="U378" s="31">
        <f t="shared" si="1051"/>
      </c>
      <c r="V378" s="31">
        <f t="shared" si="1051"/>
      </c>
      <c r="W378" s="31">
        <f t="shared" si="1051"/>
      </c>
      <c r="X378" s="313">
        <f t="shared" si="1051"/>
      </c>
      <c r="Y378" s="31">
        <f t="shared" si="1051"/>
      </c>
      <c r="Z378" s="31">
        <f t="shared" si="1051"/>
      </c>
      <c r="AA378" s="31">
        <f t="shared" si="1051"/>
      </c>
      <c r="AB378" s="31">
        <f t="shared" si="1051"/>
      </c>
      <c r="AC378" s="313">
        <f t="shared" si="1051"/>
      </c>
      <c r="AD378" s="31">
        <f t="shared" si="1051"/>
      </c>
      <c r="AE378" s="31">
        <f t="shared" si="1051"/>
      </c>
      <c r="AF378" s="31">
        <f t="shared" si="1051"/>
      </c>
      <c r="AG378" s="31">
        <f t="shared" si="1051"/>
      </c>
      <c r="AH378" s="313">
        <f t="shared" si="1051"/>
      </c>
      <c r="AI378" s="28">
        <f t="shared" si="1051"/>
      </c>
      <c r="AJ378" s="28">
        <f t="shared" ref="AJ378:BK378" si="1052">+AJ376+AJ377</f>
      </c>
      <c r="AK378" s="28">
        <f t="shared" si="1052"/>
      </c>
      <c r="AL378" s="31">
        <f t="shared" si="1052"/>
      </c>
      <c r="AM378" s="313">
        <f t="shared" si="1052"/>
      </c>
      <c r="AN378" s="28">
        <f t="shared" si="1052"/>
      </c>
      <c r="AO378" s="28">
        <f t="shared" si="1052"/>
      </c>
      <c r="AP378" s="28">
        <f t="shared" si="1052"/>
      </c>
      <c r="AQ378" s="31">
        <f t="shared" si="1052"/>
      </c>
      <c r="AR378" s="313">
        <f t="shared" si="1052"/>
      </c>
      <c r="AS378" s="28">
        <f t="shared" si="1052"/>
      </c>
      <c r="AT378" s="28">
        <f t="shared" si="1052"/>
      </c>
      <c r="AU378" s="28">
        <f t="shared" si="1052"/>
      </c>
      <c r="AV378" s="31">
        <f t="shared" si="1052"/>
      </c>
      <c r="AW378" s="313">
        <f t="shared" si="1052"/>
      </c>
      <c r="AX378" s="28">
        <f t="shared" si="1052"/>
      </c>
      <c r="AY378" s="28">
        <f t="shared" si="1052"/>
      </c>
      <c r="AZ378" s="28">
        <f t="shared" si="1052"/>
      </c>
      <c r="BA378" s="28">
        <f t="shared" si="1052"/>
      </c>
      <c r="BB378" s="313">
        <f t="shared" si="1052"/>
      </c>
      <c r="BC378" s="28">
        <f t="shared" si="1052"/>
      </c>
      <c r="BD378" s="28">
        <f t="shared" si="1052"/>
      </c>
      <c r="BE378" s="28">
        <f t="shared" si="1052"/>
      </c>
      <c r="BF378" s="28">
        <f t="shared" si="1052"/>
      </c>
      <c r="BG378" s="313">
        <f t="shared" si="1052"/>
      </c>
      <c r="BH378" s="28">
        <f t="shared" si="1052"/>
      </c>
      <c r="BI378" s="28">
        <f t="shared" si="1052"/>
      </c>
      <c r="BJ378" s="28">
        <f t="shared" si="1052"/>
      </c>
      <c r="BK378" s="28">
        <f t="shared" si="1052"/>
      </c>
      <c r="BL378" s="313">
        <f>SUM(BH378:BK378)</f>
      </c>
      <c r="BM378" s="28">
        <f>+BM376+BM377</f>
      </c>
      <c r="BN378" s="28">
        <f>+BN376+BN377</f>
      </c>
      <c r="BO378" s="28">
        <f>+BO376+BO377</f>
      </c>
      <c r="BP378" s="28">
        <f>+BP376+BP377</f>
      </c>
      <c r="BQ378" s="313">
        <f>SUM(BM378:BP378)</f>
      </c>
      <c r="BR378" s="28">
        <f>+BR376+BR377</f>
      </c>
      <c r="BS378" s="28">
        <f>+BS376+BS377</f>
      </c>
      <c r="BT378" s="28">
        <f>+BT376+BT377</f>
      </c>
      <c r="BU378" s="28">
        <f>+BU376+BU377</f>
      </c>
      <c r="BV378" s="313">
        <f>SUM(BR378:BU378)</f>
      </c>
      <c r="BW378" s="28">
        <f>+BW376+BW377</f>
      </c>
      <c r="BX378" s="28">
        <f>+BX376+BX377</f>
      </c>
      <c r="BY378" s="28">
        <f>+BY376+BY377</f>
      </c>
      <c r="BZ378" s="28">
        <f>+BZ376+BZ377</f>
      </c>
      <c r="CA378" s="313">
        <f>SUM(BW378:BZ378)</f>
      </c>
      <c r="CB378" s="28">
        <f>+CB376+CB377</f>
      </c>
      <c r="CC378" s="28">
        <f>+CC376+CC377</f>
      </c>
      <c r="CD378" s="28">
        <f>+CD376+CD377</f>
      </c>
      <c r="CE378" s="28">
        <f>+CE376+CE377</f>
      </c>
      <c r="CF378" s="313">
        <f>SUM(CB378:CE378)</f>
      </c>
      <c r="CG378" s="28">
        <f>+CG376+CG377</f>
      </c>
      <c r="CH378" s="28">
        <f>+CH376+CH377</f>
      </c>
      <c r="CI378" s="28">
        <f>+CI376+CI377</f>
      </c>
      <c r="CJ378" s="28">
        <f>+CJ376+CJ377</f>
      </c>
      <c r="CK378" s="313">
        <f>SUM(CG378:CJ378)</f>
      </c>
      <c r="CL378" s="28">
        <f>+CL376+CL377</f>
      </c>
      <c r="CM378" s="28">
        <f>+CM376+CM377</f>
      </c>
      <c r="CN378" s="28">
        <f>+CN376+CN377</f>
      </c>
      <c r="CO378" s="28">
        <f>+CO376+CO377</f>
      </c>
      <c r="CP378" s="313">
        <f>SUM(CL378:CO378)</f>
      </c>
      <c r="CQ378" s="933"/>
      <c r="CR378" s="933"/>
      <c r="CS378" s="933"/>
      <c r="CT378" s="933"/>
      <c r="CU378" s="313"/>
      <c r="CV378" s="933"/>
      <c r="CW378" s="933"/>
      <c r="CX378" s="933"/>
      <c r="CY378" s="933"/>
      <c r="CZ378" s="313"/>
      <c r="DA378" s="933"/>
      <c r="DB378" s="31"/>
      <c r="DC378" s="31"/>
      <c r="DD378" s="955"/>
      <c r="DE378" s="477"/>
      <c r="DF378" s="982"/>
      <c r="DG378" s="603"/>
      <c r="DH378" s="603"/>
      <c r="DI378" s="1798"/>
      <c r="DJ378" s="477"/>
      <c r="DK378" s="982"/>
      <c r="DL378" s="603"/>
      <c r="DM378" s="603"/>
      <c r="DN378" s="1798"/>
      <c r="DO378" s="477"/>
      <c r="DP378" s="603"/>
      <c r="DQ378" s="603"/>
      <c r="DR378" s="603"/>
      <c r="DS378" s="1798"/>
      <c r="DT378" s="477"/>
      <c r="DU378" s="603"/>
      <c r="DV378" s="603"/>
      <c r="DW378" s="603"/>
      <c r="DX378" s="1798"/>
      <c r="DY378" s="477"/>
      <c r="DZ378" s="603"/>
      <c r="EA378" s="603"/>
      <c r="EB378" s="603"/>
      <c r="EC378" s="1798"/>
      <c r="ED378" s="477"/>
      <c r="EE378" s="603"/>
      <c r="EF378" s="603"/>
      <c r="EG378" s="603"/>
      <c r="EH378" s="1798"/>
      <c r="EI378" s="477"/>
      <c r="EJ378" s="477"/>
      <c r="EK378" s="477"/>
      <c r="EL378" s="477"/>
      <c r="EM378" s="477"/>
      <c r="EN378" s="477"/>
      <c r="EO378" s="1798"/>
      <c r="EP378" s="477"/>
      <c r="EQ378" s="477"/>
      <c r="ER378" s="477"/>
      <c r="ES378" s="477"/>
      <c r="ET378" s="477"/>
      <c r="EU378" s="477"/>
      <c r="EV378" s="477"/>
      <c r="EW378" s="477"/>
      <c r="EX378" s="477"/>
    </row>
    <row r="379" spans="2:154" ht="12.75" hidden="1" customHeight="1" outlineLevel="1">
      <c r="B379" s="437"/>
      <c r="C379" s="1989"/>
      <c r="D379" s="28"/>
      <c r="E379" s="28"/>
      <c r="F379" s="28"/>
      <c r="G379" s="28"/>
      <c r="H379" s="28"/>
      <c r="I379" s="31"/>
      <c r="J379" s="28"/>
      <c r="K379" s="28"/>
      <c r="L379" s="28"/>
      <c r="M379" s="28"/>
      <c r="N379" s="31"/>
      <c r="O379" s="31"/>
      <c r="P379" s="31"/>
      <c r="Q379" s="31"/>
      <c r="R379" s="31"/>
      <c r="S379" s="31"/>
      <c r="T379" s="31"/>
      <c r="U379" s="31"/>
      <c r="V379" s="31"/>
      <c r="W379" s="31"/>
      <c r="X379" s="313"/>
      <c r="Y379" s="31"/>
      <c r="Z379" s="31"/>
      <c r="AA379" s="31"/>
      <c r="AB379" s="31"/>
      <c r="AC379" s="313"/>
      <c r="AD379" s="31"/>
      <c r="AE379" s="31"/>
      <c r="AF379" s="31"/>
      <c r="AG379" s="31"/>
      <c r="AH379" s="313"/>
      <c r="AI379" s="28"/>
      <c r="AJ379" s="28"/>
      <c r="AK379" s="28"/>
      <c r="AL379" s="31"/>
      <c r="AM379" s="313"/>
      <c r="AN379" s="28"/>
      <c r="AO379" s="28"/>
      <c r="AP379" s="28"/>
      <c r="AQ379" s="31"/>
      <c r="AR379" s="313"/>
      <c r="AS379" s="28"/>
      <c r="AT379" s="28"/>
      <c r="AU379" s="28"/>
      <c r="AV379" s="31"/>
      <c r="AW379" s="313"/>
      <c r="AX379" s="28"/>
      <c r="AY379" s="28"/>
      <c r="AZ379" s="28"/>
      <c r="BA379" s="28"/>
      <c r="BB379" s="313"/>
      <c r="BC379" s="28"/>
      <c r="BD379" s="28"/>
      <c r="BE379" s="28"/>
      <c r="BF379" s="28"/>
      <c r="BG379" s="313"/>
      <c r="BH379" s="28"/>
      <c r="BI379" s="28"/>
      <c r="BJ379" s="28"/>
      <c r="BK379" s="28"/>
      <c r="BL379" s="313"/>
      <c r="BM379" s="28"/>
      <c r="BN379" s="28"/>
      <c r="BO379" s="28"/>
      <c r="BP379" s="28"/>
      <c r="BQ379" s="313"/>
      <c r="BR379" s="28"/>
      <c r="BS379" s="28"/>
      <c r="BT379" s="28"/>
      <c r="BU379" s="28"/>
      <c r="BV379" s="313"/>
      <c r="BW379" s="28"/>
      <c r="BX379" s="28"/>
      <c r="BY379" s="28"/>
      <c r="BZ379" s="28"/>
      <c r="CA379" s="313"/>
      <c r="CB379" s="28"/>
      <c r="CC379" s="28"/>
      <c r="CD379" s="28"/>
      <c r="CE379" s="28"/>
      <c r="CF379" s="313"/>
      <c r="CG379" s="28"/>
      <c r="CH379" s="28"/>
      <c r="CI379" s="28"/>
      <c r="CJ379" s="28"/>
      <c r="CK379" s="313"/>
      <c r="CL379" s="961"/>
      <c r="CM379" s="28"/>
      <c r="CN379" s="933"/>
      <c r="CO379" s="28"/>
      <c r="CP379" s="313"/>
      <c r="CQ379" s="933"/>
      <c r="CR379" s="933"/>
      <c r="CS379" s="933"/>
      <c r="CT379" s="933"/>
      <c r="CU379" s="313"/>
      <c r="CV379" s="933"/>
      <c r="CW379" s="933"/>
      <c r="CX379" s="933"/>
      <c r="CY379" s="933"/>
      <c r="CZ379" s="313"/>
      <c r="DA379" s="933"/>
      <c r="DB379" s="31"/>
      <c r="DC379" s="31"/>
      <c r="DD379" s="955"/>
      <c r="DE379" s="477"/>
      <c r="DF379" s="982"/>
      <c r="DG379" s="603"/>
      <c r="DH379" s="603"/>
      <c r="DI379" s="1798"/>
      <c r="DJ379" s="477"/>
      <c r="DK379" s="982"/>
      <c r="DL379" s="603"/>
      <c r="DM379" s="603"/>
      <c r="DN379" s="1798"/>
      <c r="DO379" s="477"/>
      <c r="DP379" s="603"/>
      <c r="DQ379" s="603"/>
      <c r="DR379" s="603"/>
      <c r="DS379" s="1798"/>
      <c r="DT379" s="477"/>
      <c r="DU379" s="603"/>
      <c r="DV379" s="603"/>
      <c r="DW379" s="603"/>
      <c r="DX379" s="1798"/>
      <c r="DY379" s="477"/>
      <c r="DZ379" s="603"/>
      <c r="EA379" s="603"/>
      <c r="EB379" s="603"/>
      <c r="EC379" s="1798"/>
      <c r="ED379" s="477"/>
      <c r="EE379" s="603"/>
      <c r="EF379" s="603"/>
      <c r="EG379" s="603"/>
      <c r="EH379" s="1798"/>
      <c r="EI379" s="477"/>
      <c r="EJ379" s="477"/>
      <c r="EK379" s="477"/>
      <c r="EL379" s="477"/>
      <c r="EM379" s="477"/>
      <c r="EN379" s="477"/>
      <c r="EO379" s="1798"/>
      <c r="EP379" s="477"/>
      <c r="EQ379" s="477"/>
      <c r="ER379" s="477"/>
      <c r="ES379" s="477"/>
      <c r="ET379" s="477"/>
      <c r="EU379" s="477"/>
      <c r="EV379" s="477"/>
      <c r="EW379" s="477"/>
      <c r="EX379" s="477"/>
    </row>
    <row r="380" spans="2:154" ht="12.75" hidden="1" customHeight="1" outlineLevel="1">
      <c r="B380" s="439" t="s">
        <v>218</v>
      </c>
      <c r="C380" s="1989"/>
      <c r="D380" s="28"/>
      <c r="E380" s="28"/>
      <c r="F380" s="28"/>
      <c r="G380" s="28"/>
      <c r="H380" s="28"/>
      <c r="I380" s="31"/>
      <c r="J380" s="28"/>
      <c r="K380" s="28"/>
      <c r="L380" s="28"/>
      <c r="M380" s="28"/>
      <c r="N380" s="31"/>
      <c r="O380" s="31"/>
      <c r="P380" s="31"/>
      <c r="Q380" s="31"/>
      <c r="R380" s="31"/>
      <c r="S380" s="31"/>
      <c r="T380" s="31"/>
      <c r="U380" s="31"/>
      <c r="V380" s="31"/>
      <c r="W380" s="31"/>
      <c r="X380" s="313"/>
      <c r="Y380" s="31"/>
      <c r="Z380" s="31"/>
      <c r="AA380" s="31"/>
      <c r="AB380" s="31"/>
      <c r="AC380" s="313"/>
      <c r="AD380" s="31"/>
      <c r="AE380" s="31"/>
      <c r="AF380" s="31"/>
      <c r="AG380" s="31"/>
      <c r="AH380" s="313"/>
      <c r="AI380" s="28"/>
      <c r="AJ380" s="28"/>
      <c r="AK380" s="28"/>
      <c r="AL380" s="31"/>
      <c r="AM380" s="313"/>
      <c r="AN380" s="28"/>
      <c r="AO380" s="28"/>
      <c r="AP380" s="28"/>
      <c r="AQ380" s="31"/>
      <c r="AR380" s="313"/>
      <c r="AS380" s="28"/>
      <c r="AT380" s="28"/>
      <c r="AU380" s="28"/>
      <c r="AV380" s="31"/>
      <c r="AW380" s="313"/>
      <c r="AX380" s="28"/>
      <c r="AY380" s="28"/>
      <c r="AZ380" s="28"/>
      <c r="BA380" s="28"/>
      <c r="BB380" s="313"/>
      <c r="BC380" s="28"/>
      <c r="BD380" s="28"/>
      <c r="BE380" s="28"/>
      <c r="BF380" s="28"/>
      <c r="BG380" s="313"/>
      <c r="BH380" s="28"/>
      <c r="BI380" s="28"/>
      <c r="BJ380" s="28"/>
      <c r="BK380" s="28"/>
      <c r="BL380" s="313"/>
      <c r="BM380" s="28"/>
      <c r="BN380" s="28"/>
      <c r="BO380" s="28"/>
      <c r="BP380" s="28"/>
      <c r="BQ380" s="313"/>
      <c r="BR380" s="28"/>
      <c r="BS380" s="28"/>
      <c r="BT380" s="28"/>
      <c r="BU380" s="28"/>
      <c r="BV380" s="313"/>
      <c r="BW380" s="28"/>
      <c r="BX380" s="28"/>
      <c r="BY380" s="28"/>
      <c r="BZ380" s="28"/>
      <c r="CA380" s="313"/>
      <c r="CB380" s="28"/>
      <c r="CC380" s="28"/>
      <c r="CD380" s="28"/>
      <c r="CE380" s="28"/>
      <c r="CF380" s="313"/>
      <c r="CG380" s="28"/>
      <c r="CH380" s="28"/>
      <c r="CI380" s="28"/>
      <c r="CJ380" s="28"/>
      <c r="CK380" s="313"/>
      <c r="CL380" s="961"/>
      <c r="CM380" s="28"/>
      <c r="CN380" s="933"/>
      <c r="CO380" s="28"/>
      <c r="CP380" s="313"/>
      <c r="CQ380" s="933"/>
      <c r="CR380" s="933"/>
      <c r="CS380" s="933"/>
      <c r="CT380" s="933"/>
      <c r="CU380" s="313"/>
      <c r="CV380" s="933"/>
      <c r="CW380" s="933"/>
      <c r="CX380" s="933"/>
      <c r="CY380" s="933"/>
      <c r="CZ380" s="313"/>
      <c r="DA380" s="933"/>
      <c r="DB380" s="31"/>
      <c r="DC380" s="31"/>
      <c r="DD380" s="955"/>
      <c r="DE380" s="477"/>
      <c r="DF380" s="982"/>
      <c r="DG380" s="603"/>
      <c r="DH380" s="603"/>
      <c r="DI380" s="1798"/>
      <c r="DJ380" s="477"/>
      <c r="DK380" s="982"/>
      <c r="DL380" s="603"/>
      <c r="DM380" s="603"/>
      <c r="DN380" s="1798"/>
      <c r="DO380" s="477"/>
      <c r="DP380" s="603"/>
      <c r="DQ380" s="603"/>
      <c r="DR380" s="603"/>
      <c r="DS380" s="1798"/>
      <c r="DT380" s="477"/>
      <c r="DU380" s="603"/>
      <c r="DV380" s="603"/>
      <c r="DW380" s="603"/>
      <c r="DX380" s="1798"/>
      <c r="DY380" s="477"/>
      <c r="DZ380" s="603"/>
      <c r="EA380" s="603"/>
      <c r="EB380" s="603"/>
      <c r="EC380" s="1798"/>
      <c r="ED380" s="477"/>
      <c r="EE380" s="603"/>
      <c r="EF380" s="603"/>
      <c r="EG380" s="603"/>
      <c r="EH380" s="1798"/>
      <c r="EI380" s="477"/>
      <c r="EJ380" s="477"/>
      <c r="EK380" s="477"/>
      <c r="EL380" s="477"/>
      <c r="EM380" s="477"/>
      <c r="EN380" s="477"/>
      <c r="EO380" s="1798"/>
      <c r="EP380" s="477"/>
      <c r="EQ380" s="477"/>
      <c r="ER380" s="477"/>
      <c r="ES380" s="477"/>
      <c r="ET380" s="477"/>
      <c r="EU380" s="477"/>
      <c r="EV380" s="477"/>
      <c r="EW380" s="477"/>
      <c r="EX380" s="477"/>
    </row>
    <row r="381" spans="2:154" ht="12.75" hidden="1" customHeight="1" outlineLevel="1">
      <c r="B381" s="440" t="s">
        <v>187</v>
      </c>
      <c r="C381" s="1989"/>
      <c r="D381" s="28"/>
      <c r="E381" s="28"/>
      <c r="F381" s="28"/>
      <c r="G381" s="28"/>
      <c r="H381" s="28"/>
      <c r="I381" s="29">
        <v>2</v>
      </c>
      <c r="J381" s="30">
        <f t="shared" ref="J381:S382" si="1053">IF(E376="NM","NM",IF(J376="NM","NM",IF(E376&lt;=0,"NM",IF(J376=0,"NM",IF(ABS(J376/E376-1)&gt;2.5,"NM",IF((ABS(J376-E376)=ABS(ABS(J376)-ABS(E376))),(J376/E376-1),"NM"))))))</f>
      </c>
      <c r="K381" s="30">
        <f t="shared" si="1053"/>
      </c>
      <c r="L381" s="30">
        <f t="shared" si="1053"/>
      </c>
      <c r="M381" s="30">
        <f t="shared" si="1053"/>
      </c>
      <c r="N381" s="30">
        <f t="shared" si="1053"/>
      </c>
      <c r="O381" s="30">
        <f t="shared" si="1053"/>
      </c>
      <c r="P381" s="30">
        <f t="shared" si="1053"/>
      </c>
      <c r="Q381" s="30">
        <f t="shared" si="1053"/>
      </c>
      <c r="R381" s="30">
        <f t="shared" si="1053"/>
      </c>
      <c r="S381" s="30">
        <f t="shared" si="1053"/>
      </c>
      <c r="T381" s="30">
        <f t="shared" ref="T381:AC382" si="1054">IF(O376="NM","NM",IF(T376="NM","NM",IF(O376&lt;=0,"NM",IF(T376=0,"NM",IF(ABS(T376/O376-1)&gt;2.5,"NM",IF((ABS(T376-O376)=ABS(ABS(T376)-ABS(O376))),(T376/O376-1),"NM"))))))</f>
      </c>
      <c r="U381" s="30">
        <f t="shared" si="1054"/>
      </c>
      <c r="V381" s="30">
        <f t="shared" si="1054"/>
      </c>
      <c r="W381" s="30">
        <f t="shared" si="1054"/>
      </c>
      <c r="X381" s="308">
        <f t="shared" si="1054"/>
      </c>
      <c r="Y381" s="30">
        <f t="shared" si="1054"/>
      </c>
      <c r="Z381" s="30">
        <f t="shared" si="1054"/>
      </c>
      <c r="AA381" s="30">
        <f t="shared" si="1054"/>
      </c>
      <c r="AB381" s="30">
        <f t="shared" si="1054"/>
      </c>
      <c r="AC381" s="308">
        <f t="shared" si="1054"/>
      </c>
      <c r="AD381" s="30">
        <f t="shared" ref="AD381:AM382" si="1055">IF(Y376="NM","NM",IF(AD376="NM","NM",IF(Y376&lt;=0,"NM",IF(AD376=0,"NM",IF(ABS(AD376/Y376-1)&gt;2.5,"NM",IF((ABS(AD376-Y376)=ABS(ABS(AD376)-ABS(Y376))),(AD376/Y376-1),"NM"))))))</f>
      </c>
      <c r="AE381" s="30">
        <f t="shared" si="1055"/>
      </c>
      <c r="AF381" s="30">
        <f t="shared" si="1055"/>
      </c>
      <c r="AG381" s="30">
        <f t="shared" si="1055"/>
      </c>
      <c r="AH381" s="308">
        <f t="shared" si="1055"/>
      </c>
      <c r="AI381" s="30">
        <f t="shared" si="1055"/>
      </c>
      <c r="AJ381" s="30">
        <f t="shared" si="1055"/>
      </c>
      <c r="AK381" s="30">
        <f t="shared" si="1055"/>
      </c>
      <c r="AL381" s="30">
        <f t="shared" si="1055"/>
      </c>
      <c r="AM381" s="308">
        <f t="shared" si="1055"/>
      </c>
      <c r="AN381" s="30">
        <f t="shared" ref="AN381:AW382" si="1056">IF(AI376="NM","NM",IF(AN376="NM","NM",IF(AI376&lt;=0,"NM",IF(AN376=0,"NM",IF(ABS(AN376/AI376-1)&gt;2.5,"NM",IF((ABS(AN376-AI376)=ABS(ABS(AN376)-ABS(AI376))),(AN376/AI376-1),"NM"))))))</f>
      </c>
      <c r="AO381" s="30">
        <f t="shared" si="1056"/>
      </c>
      <c r="AP381" s="30">
        <f t="shared" si="1056"/>
      </c>
      <c r="AQ381" s="30">
        <f t="shared" si="1056"/>
      </c>
      <c r="AR381" s="308">
        <f t="shared" si="1056"/>
      </c>
      <c r="AS381" s="30">
        <f t="shared" si="1056"/>
      </c>
      <c r="AT381" s="30">
        <f t="shared" si="1056"/>
      </c>
      <c r="AU381" s="30">
        <f t="shared" si="1056"/>
      </c>
      <c r="AV381" s="30">
        <f t="shared" si="1056"/>
      </c>
      <c r="AW381" s="308">
        <f t="shared" si="1056"/>
      </c>
      <c r="AX381" s="30">
        <f t="shared" ref="AX381:BG382" si="1057">IF(AS376="NM","NM",IF(AX376="NM","NM",IF(AS376&lt;=0,"NM",IF(AX376=0,"NM",IF(ABS(AX376/AS376-1)&gt;2.5,"NM",IF((ABS(AX376-AS376)=ABS(ABS(AX376)-ABS(AS376))),(AX376/AS376-1),"NM"))))))</f>
      </c>
      <c r="AY381" s="30">
        <f t="shared" si="1057"/>
      </c>
      <c r="AZ381" s="30">
        <f t="shared" si="1057"/>
      </c>
      <c r="BA381" s="30">
        <f t="shared" si="1057"/>
      </c>
      <c r="BB381" s="308">
        <f t="shared" si="1057"/>
      </c>
      <c r="BC381" s="30">
        <f t="shared" si="1057"/>
      </c>
      <c r="BD381" s="30">
        <f t="shared" si="1057"/>
      </c>
      <c r="BE381" s="30">
        <f t="shared" si="1057"/>
      </c>
      <c r="BF381" s="30">
        <f t="shared" si="1057"/>
      </c>
      <c r="BG381" s="308">
        <f t="shared" si="1057"/>
      </c>
      <c r="BH381" s="30">
        <f t="shared" ref="BH381:BQ382" si="1058">IF(BC376="NM","NM",IF(BH376="NM","NM",IF(BC376&lt;=0,"NM",IF(BH376=0,"NM",IF(ABS(BH376/BC376-1)&gt;2.5,"NM",IF((ABS(BH376-BC376)=ABS(ABS(BH376)-ABS(BC376))),(BH376/BC376-1),"NM"))))))</f>
      </c>
      <c r="BI381" s="30">
        <f t="shared" si="1058"/>
      </c>
      <c r="BJ381" s="30">
        <f t="shared" si="1058"/>
      </c>
      <c r="BK381" s="30">
        <f t="shared" si="1058"/>
      </c>
      <c r="BL381" s="308">
        <f t="shared" si="1058"/>
      </c>
      <c r="BM381" s="30">
        <f t="shared" si="1058"/>
      </c>
      <c r="BN381" s="30">
        <f t="shared" si="1058"/>
      </c>
      <c r="BO381" s="30">
        <f t="shared" si="1058"/>
      </c>
      <c r="BP381" s="30">
        <f t="shared" si="1058"/>
      </c>
      <c r="BQ381" s="308">
        <f t="shared" si="1058"/>
      </c>
      <c r="BR381" s="30">
        <f>IF(BM376="NM","NM",IF(BR376="NM","NM",IF(BM376&lt;=0,"NM",IF(BR376=0,"NM",IF(ABS(BR376/BM376-1)&gt;2.5,"NM",IF((ABS(BR376-BM376)=ABS(ABS(BR376)-ABS(BM376))),(BR376/BM376-1),"NM"))))))</f>
      </c>
      <c r="BS381" s="30">
        <f t="shared" ref="BS381:BY382" si="1059">IF(BN376="NM","NM",IF(BS376="NM","NM",IF(BN376&lt;=0,"NM",IF(BS376=0,"NM",IF(ABS(BS376/BN376-1)&gt;2.5,"NM",IF((ABS(BS376-BN376)=ABS(ABS(BS376)-ABS(BN376))),(BS376/BN376-1),"NM"))))))</f>
      </c>
      <c r="BT381" s="30">
        <f t="shared" si="1059"/>
      </c>
      <c r="BU381" s="30">
        <f>IF(BP376="NM","NM",IF(BU376="NM","NM",IF(BP376&lt;=0,"NM",IF(BU376=0,"NM",IF(ABS(BU376/BP376-1)&gt;2.5,"NM",IF((ABS(BU376-BP376)=ABS(ABS(BU376)-ABS(BP376))),(BU376/BP376-1),"NM"))))))</f>
      </c>
      <c r="BV381" s="308">
        <f>IF(BQ376="NM","NM",IF(BV376="NM","NM",IF(BQ376&lt;=0,"NM",IF(BV376=0,"NM",IF(ABS(BV376/BQ376-1)&gt;2.5,"NM",IF((ABS(BV376-BQ376)=ABS(ABS(BV376)-ABS(BQ376))),(BV376/BQ376-1),"NM"))))))</f>
      </c>
      <c r="BW381" s="30">
        <f t="shared" si="1059"/>
      </c>
      <c r="BX381" s="30">
        <f t="shared" si="1059"/>
      </c>
      <c r="BY381" s="30">
        <f t="shared" si="1059"/>
      </c>
      <c r="BZ381" s="30">
        <f>IF(BU376="NM","NM",IF(BZ376="NM","NM",IF(BU376&lt;=0,"NM",IF(BZ376=0,"NM",IF(ABS(BZ376/BU376-1)&gt;2.5,"NM",IF((ABS(BZ376-BU376)=ABS(ABS(BZ376)-ABS(BU376))),(BZ376/BU376-1),"NM"))))))</f>
      </c>
      <c r="CA381" s="308">
        <f>IF(BV376="NM","NM",IF(CA376="NM","NM",IF(BV376&lt;=0,"NM",IF(CA376=0,"NM",IF(ABS(CA376/BV376-1)&gt;2.5,"NM",IF((ABS(CA376-BV376)=ABS(ABS(CA376)-ABS(BV376))),(CA376/BV376-1),"NM"))))))</f>
      </c>
      <c r="CB381" s="30">
        <f t="shared" ref="CB381:CD382" si="1060">IF(BW376="NM","NM",IF(CB376="NM","NM",IF(BW376&lt;=0,"NM",IF(CB376=0,"NM",IF(ABS(CB376/BW376-1)&gt;2.5,"NM",IF((ABS(CB376-BW376)=ABS(ABS(CB376)-ABS(BW376))),(CB376/BW376-1),"NM"))))))</f>
      </c>
      <c r="CC381" s="30">
        <f t="shared" si="1060"/>
      </c>
      <c r="CD381" s="30">
        <f t="shared" si="1060"/>
      </c>
      <c r="CE381" s="30">
        <f>IF(BZ376="NM","NM",IF(CE376="NM","NM",IF(BZ376&lt;=0,"NM",IF(CE376=0,"NM",IF(ABS(CE376/BZ376-1)&gt;2.5,"NM",IF((ABS(CE376-BZ376)=ABS(ABS(CE376)-ABS(BZ376))),(CE376/BZ376-1),"NM"))))))</f>
      </c>
      <c r="CF381" s="308">
        <f>IF(CA376="NM","NM",IF(CF376="NM","NM",IF(CA376&lt;=0,"NM",IF(CF376=0,"NM",IF(ABS(CF376/CA376-1)&gt;2.5,"NM",IF((ABS(CF376-CA376)=ABS(ABS(CF376)-ABS(CA376))),(CF376/CA376-1),"NM"))))))</f>
      </c>
      <c r="CG381" s="30">
        <f t="shared" ref="CG381:CI382" si="1061">IF(CB376="NM","NM",IF(CG376="NM","NM",IF(CB376&lt;=0,"NM",IF(CG376=0,"NM",IF(ABS(CG376/CB376-1)&gt;2.5,"NM",IF((ABS(CG376-CB376)=ABS(ABS(CG376)-ABS(CB376))),(CG376/CB376-1),"NM"))))))</f>
      </c>
      <c r="CH381" s="30">
        <f t="shared" si="1061"/>
      </c>
      <c r="CI381" s="30">
        <f t="shared" si="1061"/>
      </c>
      <c r="CJ381" s="30">
        <f>IF(CE376="NM","NM",IF(CJ376="NM","NM",IF(CE376&lt;=0,"NM",IF(CJ376=0,"NM",IF(ABS(CJ376/CE376-1)&gt;2.5,"NM",IF((ABS(CJ376-CE376)=ABS(ABS(CJ376)-ABS(CE376))),(CJ376/CE376-1),"NM"))))))</f>
      </c>
      <c r="CK381" s="308">
        <f>IF(CF376=0, "NA", CK376/CF376-1)</f>
      </c>
      <c r="CL381" s="30">
        <f t="shared" ref="CL381:CO382" si="1062">IF(CG376="NM","NM",IF(CL376="NM","NM",IF(CG376&lt;=0,"NM",IF(CL376=0,"NM",IF(ABS(CL376/CG376-1)&gt;2.5,"NM",IF((ABS(CL376-CG376)=ABS(ABS(CL376)-ABS(CG376))),(CL376/CG376-1),"NM"))))))</f>
      </c>
      <c r="CM381" s="30">
        <f t="shared" si="1062"/>
      </c>
      <c r="CN381" s="30">
        <f t="shared" si="1062"/>
      </c>
      <c r="CO381" s="30">
        <f t="shared" si="1062"/>
      </c>
      <c r="CP381" s="308">
        <f>IF(CK376=0, "NA", CP376/CK376-1)</f>
      </c>
      <c r="CQ381" s="30"/>
      <c r="CR381" s="30"/>
      <c r="CS381" s="361"/>
      <c r="CT381" s="361"/>
      <c r="CU381" s="308"/>
      <c r="CV381" s="30"/>
      <c r="CW381" s="361"/>
      <c r="CX381" s="361"/>
      <c r="CY381" s="361"/>
      <c r="CZ381" s="308"/>
      <c r="DA381" s="30"/>
      <c r="DB381" s="361"/>
      <c r="DC381" s="361"/>
      <c r="DD381" s="835"/>
      <c r="DE381" s="316"/>
      <c r="DF381" s="30"/>
      <c r="DG381" s="361"/>
      <c r="DH381" s="361"/>
      <c r="DI381" s="835"/>
      <c r="DJ381" s="835"/>
      <c r="DK381" s="30"/>
      <c r="DL381" s="361"/>
      <c r="DM381" s="361"/>
      <c r="DN381" s="835"/>
      <c r="DO381" s="835"/>
      <c r="DP381" s="361"/>
      <c r="DQ381" s="361"/>
      <c r="DR381" s="361"/>
      <c r="DS381" s="835"/>
      <c r="DT381" s="835"/>
      <c r="DU381" s="361"/>
      <c r="DV381" s="361"/>
      <c r="DW381" s="361"/>
      <c r="DX381" s="835"/>
      <c r="DY381" s="835"/>
      <c r="DZ381" s="361"/>
      <c r="EA381" s="361"/>
      <c r="EB381" s="361"/>
      <c r="EC381" s="835"/>
      <c r="ED381" s="835"/>
      <c r="EE381" s="361"/>
      <c r="EF381" s="361"/>
      <c r="EG381" s="361"/>
      <c r="EH381" s="835"/>
      <c r="EI381" s="835"/>
      <c r="EJ381" s="835"/>
      <c r="EK381" s="835"/>
      <c r="EL381" s="835"/>
      <c r="EM381" s="835"/>
      <c r="EN381" s="316"/>
      <c r="EO381" s="835"/>
      <c r="EP381" s="835"/>
      <c r="EQ381" s="835"/>
      <c r="ER381" s="835"/>
      <c r="ES381" s="835"/>
      <c r="ET381" s="835"/>
      <c r="EU381" s="835"/>
      <c r="EV381" s="835"/>
      <c r="EW381" s="835"/>
      <c r="EX381" s="835"/>
    </row>
    <row r="382" spans="2:154" ht="12.75" hidden="1" customHeight="1" outlineLevel="1">
      <c r="B382" s="440" t="s">
        <v>412</v>
      </c>
      <c r="C382" s="1989"/>
      <c r="D382" s="28"/>
      <c r="E382" s="28"/>
      <c r="F382" s="28"/>
      <c r="G382" s="28"/>
      <c r="H382" s="28"/>
      <c r="I382" s="29">
        <v>1.5</v>
      </c>
      <c r="J382" s="30">
        <f t="shared" si="1053"/>
      </c>
      <c r="K382" s="30">
        <f t="shared" si="1053"/>
      </c>
      <c r="L382" s="30">
        <f t="shared" si="1053"/>
      </c>
      <c r="M382" s="30">
        <f t="shared" si="1053"/>
      </c>
      <c r="N382" s="30">
        <f t="shared" si="1053"/>
      </c>
      <c r="O382" s="30">
        <f t="shared" si="1053"/>
      </c>
      <c r="P382" s="30">
        <f t="shared" si="1053"/>
      </c>
      <c r="Q382" s="30">
        <f t="shared" si="1053"/>
      </c>
      <c r="R382" s="30">
        <f t="shared" si="1053"/>
      </c>
      <c r="S382" s="30">
        <f t="shared" si="1053"/>
      </c>
      <c r="T382" s="30">
        <f t="shared" si="1054"/>
      </c>
      <c r="U382" s="30">
        <f t="shared" si="1054"/>
      </c>
      <c r="V382" s="30">
        <f t="shared" si="1054"/>
      </c>
      <c r="W382" s="30">
        <f t="shared" si="1054"/>
      </c>
      <c r="X382" s="308">
        <f t="shared" si="1054"/>
      </c>
      <c r="Y382" s="30">
        <f t="shared" si="1054"/>
      </c>
      <c r="Z382" s="30">
        <f t="shared" si="1054"/>
      </c>
      <c r="AA382" s="30">
        <f t="shared" si="1054"/>
      </c>
      <c r="AB382" s="30">
        <f t="shared" si="1054"/>
      </c>
      <c r="AC382" s="308">
        <f t="shared" si="1054"/>
      </c>
      <c r="AD382" s="30">
        <f t="shared" si="1055"/>
      </c>
      <c r="AE382" s="30">
        <f t="shared" si="1055"/>
      </c>
      <c r="AF382" s="30">
        <f t="shared" si="1055"/>
      </c>
      <c r="AG382" s="30">
        <f t="shared" si="1055"/>
      </c>
      <c r="AH382" s="308">
        <f t="shared" si="1055"/>
      </c>
      <c r="AI382" s="30">
        <f t="shared" si="1055"/>
      </c>
      <c r="AJ382" s="30">
        <f t="shared" si="1055"/>
      </c>
      <c r="AK382" s="30">
        <f t="shared" si="1055"/>
      </c>
      <c r="AL382" s="30">
        <f t="shared" si="1055"/>
      </c>
      <c r="AM382" s="308">
        <f t="shared" si="1055"/>
      </c>
      <c r="AN382" s="30">
        <f t="shared" si="1056"/>
      </c>
      <c r="AO382" s="30">
        <f t="shared" si="1056"/>
      </c>
      <c r="AP382" s="30">
        <f t="shared" si="1056"/>
      </c>
      <c r="AQ382" s="30">
        <f t="shared" si="1056"/>
      </c>
      <c r="AR382" s="308">
        <f t="shared" si="1056"/>
      </c>
      <c r="AS382" s="30">
        <f t="shared" si="1056"/>
      </c>
      <c r="AT382" s="30">
        <f t="shared" si="1056"/>
      </c>
      <c r="AU382" s="30">
        <f t="shared" si="1056"/>
      </c>
      <c r="AV382" s="30">
        <f t="shared" si="1056"/>
      </c>
      <c r="AW382" s="308">
        <f t="shared" si="1056"/>
      </c>
      <c r="AX382" s="30">
        <f t="shared" si="1057"/>
      </c>
      <c r="AY382" s="30">
        <f t="shared" si="1057"/>
      </c>
      <c r="AZ382" s="30">
        <f t="shared" si="1057"/>
      </c>
      <c r="BA382" s="30">
        <f t="shared" si="1057"/>
      </c>
      <c r="BB382" s="308">
        <f t="shared" si="1057"/>
      </c>
      <c r="BC382" s="30">
        <f t="shared" si="1057"/>
      </c>
      <c r="BD382" s="30">
        <f t="shared" si="1057"/>
      </c>
      <c r="BE382" s="30">
        <f t="shared" si="1057"/>
      </c>
      <c r="BF382" s="30">
        <f t="shared" si="1057"/>
      </c>
      <c r="BG382" s="308">
        <f t="shared" si="1057"/>
      </c>
      <c r="BH382" s="30">
        <f t="shared" si="1058"/>
      </c>
      <c r="BI382" s="30">
        <f t="shared" si="1058"/>
      </c>
      <c r="BJ382" s="30">
        <f t="shared" si="1058"/>
      </c>
      <c r="BK382" s="30">
        <f t="shared" si="1058"/>
      </c>
      <c r="BL382" s="308">
        <f t="shared" si="1058"/>
      </c>
      <c r="BM382" s="30">
        <f t="shared" si="1058"/>
      </c>
      <c r="BN382" s="30">
        <f t="shared" si="1058"/>
      </c>
      <c r="BO382" s="30">
        <f t="shared" si="1058"/>
      </c>
      <c r="BP382" s="30">
        <f t="shared" si="1058"/>
      </c>
      <c r="BQ382" s="308">
        <f t="shared" si="1058"/>
      </c>
      <c r="BR382" s="30">
        <f>IF(BM377="NM","NM",IF(BR377="NM","NM",IF(BM377&lt;=0,"NM",IF(BR377=0,"NM",IF(ABS(BR377/BM377-1)&gt;2.5,"NM",IF((ABS(BR377-BM377)=ABS(ABS(BR377)-ABS(BM377))),(BR377/BM377-1),"NM"))))))</f>
      </c>
      <c r="BS382" s="30">
        <f t="shared" si="1059"/>
      </c>
      <c r="BT382" s="30">
        <f t="shared" si="1059"/>
      </c>
      <c r="BU382" s="30">
        <f>IF(BP377="NM","NM",IF(BU377="NM","NM",IF(BP377&lt;=0,"NM",IF(BU377=0,"NM",IF(ABS(BU377/BP377-1)&gt;2.5,"NM",IF((ABS(BU377-BP377)=ABS(ABS(BU377)-ABS(BP377))),(BU377/BP377-1),"NM"))))))</f>
      </c>
      <c r="BV382" s="308">
        <f>IF(BQ377="NM","NM",IF(BV377="NM","NM",IF(BQ377&lt;=0,"NM",IF(BV377=0,"NM",IF(ABS(BV377/BQ377-1)&gt;2.5,"NM",IF((ABS(BV377-BQ377)=ABS(ABS(BV377)-ABS(BQ377))),(BV377/BQ377-1),"NM"))))))</f>
      </c>
      <c r="BW382" s="30">
        <f t="shared" si="1059"/>
      </c>
      <c r="BX382" s="30">
        <f t="shared" si="1059"/>
      </c>
      <c r="BY382" s="30">
        <f t="shared" si="1059"/>
      </c>
      <c r="BZ382" s="30">
        <f>IF(BU377="NM","NM",IF(BZ377="NM","NM",IF(BU377&lt;=0,"NM",IF(BZ377=0,"NM",IF(ABS(BZ377/BU377-1)&gt;2.5,"NM",IF((ABS(BZ377-BU377)=ABS(ABS(BZ377)-ABS(BU377))),(BZ377/BU377-1),"NM"))))))</f>
      </c>
      <c r="CA382" s="308">
        <f>IF(BV377="NM","NM",IF(CA377="NM","NM",IF(BV377&lt;=0,"NM",IF(CA377=0,"NM",IF(ABS(CA377/BV377-1)&gt;2.5,"NM",IF((ABS(CA377-BV377)=ABS(ABS(CA377)-ABS(BV377))),(CA377/BV377-1),"NM"))))))</f>
      </c>
      <c r="CB382" s="30">
        <f t="shared" si="1060"/>
      </c>
      <c r="CC382" s="30">
        <f t="shared" si="1060"/>
      </c>
      <c r="CD382" s="30">
        <f t="shared" si="1060"/>
      </c>
      <c r="CE382" s="30">
        <f>IF(BZ377="NM","NM",IF(CE377="NM","NM",IF(BZ377&lt;=0,"NM",IF(CE377=0,"NM",IF(ABS(CE377/BZ377-1)&gt;2.5,"NM",IF((ABS(CE377-BZ377)=ABS(ABS(CE377)-ABS(BZ377))),(CE377/BZ377-1),"NM"))))))</f>
      </c>
      <c r="CF382" s="308">
        <f>IF(CA377="NM","NM",IF(CF377="NM","NM",IF(CA377&lt;=0,"NM",IF(CF377=0,"NM",IF(ABS(CF377/CA377-1)&gt;2.5,"NM",IF((ABS(CF377-CA377)=ABS(ABS(CF377)-ABS(CA377))),(CF377/CA377-1),"NM"))))))</f>
      </c>
      <c r="CG382" s="30">
        <f t="shared" si="1061"/>
      </c>
      <c r="CH382" s="30">
        <f t="shared" si="1061"/>
      </c>
      <c r="CI382" s="30">
        <f t="shared" si="1061"/>
      </c>
      <c r="CJ382" s="30">
        <f>IF(CE377="NM","NM",IF(CJ377="NM","NM",IF(CE377&lt;=0,"NM",IF(CJ377=0,"NM",IF(ABS(CJ377/CE377-1)&gt;2.5,"NM",IF((ABS(CJ377-CE377)=ABS(ABS(CJ377)-ABS(CE377))),(CJ377/CE377-1),"NM"))))))</f>
      </c>
      <c r="CK382" s="308">
        <f>IF(CF377=0, "NA", CK377/CF377-1)</f>
      </c>
      <c r="CL382" s="30">
        <f t="shared" si="1062"/>
      </c>
      <c r="CM382" s="30">
        <f t="shared" si="1062"/>
      </c>
      <c r="CN382" s="30">
        <f t="shared" si="1062"/>
      </c>
      <c r="CO382" s="30">
        <f t="shared" si="1062"/>
      </c>
      <c r="CP382" s="308">
        <f>IF(CK377=0, "NA", CP377/CK377-1)</f>
      </c>
      <c r="CQ382" s="30"/>
      <c r="CR382" s="30"/>
      <c r="CS382" s="926"/>
      <c r="CT382" s="926"/>
      <c r="CU382" s="308"/>
      <c r="CV382" s="30"/>
      <c r="CW382" s="926"/>
      <c r="CX382" s="926"/>
      <c r="CY382" s="926"/>
      <c r="CZ382" s="308"/>
      <c r="DA382" s="30"/>
      <c r="DB382" s="959"/>
      <c r="DC382" s="959"/>
      <c r="DD382" s="960"/>
      <c r="DE382" s="308"/>
      <c r="DF382" s="30"/>
      <c r="DG382" s="926"/>
      <c r="DH382" s="926"/>
      <c r="DI382" s="928"/>
      <c r="DJ382" s="308"/>
      <c r="DK382" s="30"/>
      <c r="DL382" s="926"/>
      <c r="DM382" s="926"/>
      <c r="DN382" s="928"/>
      <c r="DO382" s="308"/>
      <c r="DP382" s="926"/>
      <c r="DQ382" s="926"/>
      <c r="DR382" s="926"/>
      <c r="DS382" s="928"/>
      <c r="DT382" s="308"/>
      <c r="DU382" s="926"/>
      <c r="DV382" s="926"/>
      <c r="DW382" s="926"/>
      <c r="DX382" s="928"/>
      <c r="DY382" s="308"/>
      <c r="DZ382" s="926"/>
      <c r="EA382" s="926"/>
      <c r="EB382" s="926"/>
      <c r="EC382" s="928"/>
      <c r="ED382" s="1060"/>
      <c r="EE382" s="926"/>
      <c r="EF382" s="926"/>
      <c r="EG382" s="926"/>
      <c r="EH382" s="928"/>
      <c r="EI382" s="308"/>
      <c r="EJ382" s="308"/>
      <c r="EK382" s="308"/>
      <c r="EL382" s="308"/>
      <c r="EM382" s="308"/>
      <c r="EN382" s="308"/>
      <c r="EO382" s="409"/>
      <c r="EP382" s="308"/>
      <c r="EQ382" s="308"/>
      <c r="ER382" s="308"/>
      <c r="ES382" s="308"/>
      <c r="ET382" s="308"/>
      <c r="EU382" s="308"/>
      <c r="EV382" s="308"/>
      <c r="EW382" s="308"/>
      <c r="EX382" s="308"/>
    </row>
    <row r="383" spans="2:154" ht="12.75" hidden="1" customHeight="1" outlineLevel="1">
      <c r="B383" s="440" t="s">
        <v>256</v>
      </c>
      <c r="C383" s="1989"/>
      <c r="D383" s="28"/>
      <c r="E383" s="28"/>
      <c r="F383" s="28"/>
      <c r="G383" s="28"/>
      <c r="H383" s="28"/>
      <c r="I383" s="24"/>
      <c r="J383" s="1"/>
      <c r="K383" s="1"/>
      <c r="L383" s="1"/>
      <c r="M383" s="1"/>
      <c r="N383" s="24"/>
      <c r="O383" s="24"/>
      <c r="P383" s="24"/>
      <c r="Q383" s="24"/>
      <c r="R383" s="24"/>
      <c r="S383" s="1"/>
      <c r="T383" s="24"/>
      <c r="U383" s="24"/>
      <c r="V383" s="24"/>
      <c r="W383" s="24"/>
      <c r="X383" s="315"/>
      <c r="Y383" s="24"/>
      <c r="Z383" s="24"/>
      <c r="AA383" s="24"/>
      <c r="AB383" s="24"/>
      <c r="AC383" s="315"/>
      <c r="AD383" s="24"/>
      <c r="AE383" s="24"/>
      <c r="AF383" s="24"/>
      <c r="AG383" s="24"/>
      <c r="AH383" s="315"/>
      <c r="AI383" s="8">
        <f t="shared" ref="AI383:BM383" si="1063">IF(ISNUMBER(AI382),(1+AI382)/(1+AI$21)-1,"NM")</f>
      </c>
      <c r="AJ383" s="8">
        <f t="shared" si="1063"/>
      </c>
      <c r="AK383" s="8">
        <f t="shared" si="1063"/>
      </c>
      <c r="AL383" s="8">
        <f t="shared" si="1063"/>
      </c>
      <c r="AM383" s="315">
        <f t="shared" si="1063"/>
      </c>
      <c r="AN383" s="8">
        <f t="shared" si="1063"/>
      </c>
      <c r="AO383" s="8">
        <f t="shared" si="1063"/>
      </c>
      <c r="AP383" s="8">
        <f t="shared" si="1063"/>
      </c>
      <c r="AQ383" s="8">
        <f t="shared" si="1063"/>
      </c>
      <c r="AR383" s="315">
        <f t="shared" si="1063"/>
      </c>
      <c r="AS383" s="8">
        <f t="shared" si="1063"/>
      </c>
      <c r="AT383" s="8">
        <f t="shared" si="1063"/>
      </c>
      <c r="AU383" s="8">
        <f t="shared" si="1063"/>
      </c>
      <c r="AV383" s="8">
        <f t="shared" si="1063"/>
      </c>
      <c r="AW383" s="315">
        <f t="shared" si="1063"/>
      </c>
      <c r="AX383" s="8">
        <f t="shared" si="1063"/>
      </c>
      <c r="AY383" s="8">
        <f t="shared" si="1063"/>
      </c>
      <c r="AZ383" s="8">
        <f t="shared" si="1063"/>
      </c>
      <c r="BA383" s="8">
        <f t="shared" si="1063"/>
      </c>
      <c r="BB383" s="315">
        <f t="shared" si="1063"/>
      </c>
      <c r="BC383" s="8">
        <f t="shared" si="1063"/>
      </c>
      <c r="BD383" s="8">
        <f t="shared" si="1063"/>
      </c>
      <c r="BE383" s="8">
        <f t="shared" si="1063"/>
      </c>
      <c r="BF383" s="8">
        <f t="shared" si="1063"/>
      </c>
      <c r="BG383" s="309">
        <f t="shared" si="1063"/>
      </c>
      <c r="BH383" s="8">
        <f t="shared" si="1063"/>
      </c>
      <c r="BI383" s="8">
        <f t="shared" si="1063"/>
      </c>
      <c r="BJ383" s="8">
        <f t="shared" si="1063"/>
      </c>
      <c r="BK383" s="8">
        <f t="shared" si="1063"/>
      </c>
      <c r="BL383" s="309">
        <f t="shared" si="1063"/>
      </c>
      <c r="BM383" s="8">
        <f t="shared" si="1063"/>
      </c>
      <c r="BN383" s="8">
        <v>-0.13200000000000001</v>
      </c>
      <c r="BO383" s="8">
        <v>-0.17399999999999999</v>
      </c>
      <c r="BP383" s="30">
        <v>-2.5999999999999999E-2</v>
      </c>
      <c r="BQ383" s="309">
        <v>-0.11899999999999999</v>
      </c>
      <c r="BR383" s="8">
        <f>IF(ISNUMBER(BR382),(1+BR382)/(1+BR$21)-1,"NM")</f>
      </c>
      <c r="BS383" s="8">
        <f>IF(ISNUMBER(BS382),(1+BS382)/(1+BS$21)-1,"NM")</f>
      </c>
      <c r="BT383" s="8">
        <f>IF(ISNUMBER(BT382),(1+BT382)/(1+BT$21)-1,"NM")</f>
      </c>
      <c r="BU383" s="30">
        <f>IF(ISNUMBER(BU382),(1+BU382)/(1+BU$21)-1,"NM")</f>
      </c>
      <c r="BV383" s="309">
        <v>-0.11899999999999999</v>
      </c>
      <c r="BW383" s="8">
        <f t="shared" ref="BW383:CJ383" si="1064">IF(ISNUMBER(BW382),(1+BW382)/(1+BW$21)-1,"NM")</f>
      </c>
      <c r="BX383" s="8">
        <f t="shared" si="1064"/>
      </c>
      <c r="BY383" s="8">
        <f t="shared" si="1064"/>
      </c>
      <c r="BZ383" s="30">
        <f t="shared" si="1064"/>
      </c>
      <c r="CA383" s="309">
        <f t="shared" si="1064"/>
      </c>
      <c r="CB383" s="8">
        <f t="shared" si="1064"/>
      </c>
      <c r="CC383" s="8">
        <f t="shared" si="1064"/>
      </c>
      <c r="CD383" s="8">
        <f t="shared" si="1064"/>
      </c>
      <c r="CE383" s="30">
        <f t="shared" si="1064"/>
      </c>
      <c r="CF383" s="309">
        <f t="shared" si="1064"/>
      </c>
      <c r="CG383" s="8">
        <f t="shared" si="1064"/>
      </c>
      <c r="CH383" s="8">
        <f t="shared" si="1064"/>
      </c>
      <c r="CI383" s="8">
        <f t="shared" si="1064"/>
      </c>
      <c r="CJ383" s="8">
        <f t="shared" si="1064"/>
      </c>
      <c r="CK383" s="308">
        <f>CK382-CK$21</f>
      </c>
      <c r="CL383" s="8">
        <f>IF(ISNUMBER(CL382),(1+CL382)/(1+CL$21)-1,"NM")</f>
      </c>
      <c r="CM383" s="8">
        <f>IF(ISNUMBER(CM382),(1+CM382)/(1+CM$21)-1,"NM")</f>
      </c>
      <c r="CN383" s="8">
        <f>IF(ISNUMBER(CN382),(1+CN382)/(1+CN$21)-1,"NM")</f>
      </c>
      <c r="CO383" s="8">
        <f>IF(ISNUMBER(CO382),(1+CO382)/(1+CO$21)-1,"NM")</f>
      </c>
      <c r="CP383" s="308">
        <f>CP382-CP$21</f>
      </c>
      <c r="CQ383" s="8"/>
      <c r="CR383" s="8"/>
      <c r="CS383" s="361"/>
      <c r="CT383" s="361"/>
      <c r="CU383" s="308"/>
      <c r="CV383" s="8"/>
      <c r="CW383" s="361"/>
      <c r="CX383" s="361"/>
      <c r="CY383" s="361"/>
      <c r="CZ383" s="308"/>
      <c r="DA383" s="8"/>
      <c r="DB383" s="361"/>
      <c r="DC383" s="361"/>
      <c r="DD383" s="835"/>
      <c r="DE383" s="316"/>
      <c r="DF383" s="30"/>
      <c r="DG383" s="361"/>
      <c r="DH383" s="361"/>
      <c r="DI383" s="835"/>
      <c r="DJ383" s="835"/>
      <c r="DK383" s="30"/>
      <c r="DL383" s="361"/>
      <c r="DM383" s="361"/>
      <c r="DN383" s="835"/>
      <c r="DO383" s="835"/>
      <c r="DP383" s="361"/>
      <c r="DQ383" s="361"/>
      <c r="DR383" s="361"/>
      <c r="DS383" s="835"/>
      <c r="DT383" s="835"/>
      <c r="DU383" s="361"/>
      <c r="DV383" s="361"/>
      <c r="DW383" s="361"/>
      <c r="DX383" s="835"/>
      <c r="DY383" s="835"/>
      <c r="DZ383" s="361"/>
      <c r="EA383" s="361"/>
      <c r="EB383" s="361"/>
      <c r="EC383" s="835"/>
      <c r="ED383" s="835"/>
      <c r="EE383" s="361"/>
      <c r="EF383" s="361"/>
      <c r="EG383" s="361"/>
      <c r="EH383" s="835"/>
      <c r="EI383" s="835"/>
      <c r="EJ383" s="835"/>
      <c r="EK383" s="835"/>
      <c r="EL383" s="835"/>
      <c r="EM383" s="835"/>
      <c r="EN383" s="316"/>
      <c r="EO383" s="835"/>
      <c r="EP383" s="835"/>
      <c r="EQ383" s="835"/>
      <c r="ER383" s="835"/>
      <c r="ES383" s="835"/>
      <c r="ET383" s="835"/>
      <c r="EU383" s="835"/>
      <c r="EV383" s="835"/>
      <c r="EW383" s="835"/>
      <c r="EX383" s="835"/>
    </row>
    <row r="384" spans="2:154" ht="12.75" hidden="1" customHeight="1" outlineLevel="1">
      <c r="B384" s="440" t="s">
        <v>413</v>
      </c>
      <c r="C384" s="1989"/>
      <c r="D384" s="28"/>
      <c r="E384" s="28"/>
      <c r="F384" s="28"/>
      <c r="G384" s="28"/>
      <c r="H384" s="28"/>
      <c r="I384" s="29">
        <f t="shared" ref="I384:AN384" si="1065">IF(D378="NM","NM",IF(I378="NM","NM",IF(D378&lt;=0,"NM",IF(I378=0,"NM",IF(ABS(I378/D378-1)&gt;2.5,"NM",IF((ABS(I378-D378)=ABS(ABS(I378)-ABS(D378))),(I378/D378-1),"NM"))))))</f>
      </c>
      <c r="J384" s="30">
        <f t="shared" si="1065"/>
      </c>
      <c r="K384" s="30">
        <f t="shared" si="1065"/>
      </c>
      <c r="L384" s="30">
        <f t="shared" si="1065"/>
      </c>
      <c r="M384" s="30">
        <f t="shared" si="1065"/>
      </c>
      <c r="N384" s="30">
        <f t="shared" si="1065"/>
      </c>
      <c r="O384" s="30">
        <f t="shared" si="1065"/>
      </c>
      <c r="P384" s="30">
        <f t="shared" si="1065"/>
      </c>
      <c r="Q384" s="30">
        <f t="shared" si="1065"/>
      </c>
      <c r="R384" s="30">
        <f t="shared" si="1065"/>
      </c>
      <c r="S384" s="30">
        <f t="shared" si="1065"/>
      </c>
      <c r="T384" s="30">
        <f t="shared" si="1065"/>
      </c>
      <c r="U384" s="30">
        <f t="shared" si="1065"/>
      </c>
      <c r="V384" s="30">
        <f t="shared" si="1065"/>
      </c>
      <c r="W384" s="30">
        <f t="shared" si="1065"/>
      </c>
      <c r="X384" s="308">
        <f t="shared" si="1065"/>
      </c>
      <c r="Y384" s="30">
        <f t="shared" si="1065"/>
      </c>
      <c r="Z384" s="30">
        <f t="shared" si="1065"/>
      </c>
      <c r="AA384" s="30">
        <f t="shared" si="1065"/>
      </c>
      <c r="AB384" s="30">
        <f t="shared" si="1065"/>
      </c>
      <c r="AC384" s="308">
        <f t="shared" si="1065"/>
      </c>
      <c r="AD384" s="30">
        <f t="shared" si="1065"/>
      </c>
      <c r="AE384" s="30">
        <f t="shared" si="1065"/>
      </c>
      <c r="AF384" s="30">
        <f t="shared" si="1065"/>
      </c>
      <c r="AG384" s="30">
        <f t="shared" si="1065"/>
      </c>
      <c r="AH384" s="308">
        <f t="shared" si="1065"/>
      </c>
      <c r="AI384" s="30">
        <f t="shared" si="1065"/>
      </c>
      <c r="AJ384" s="30">
        <f t="shared" si="1065"/>
      </c>
      <c r="AK384" s="30">
        <f t="shared" si="1065"/>
      </c>
      <c r="AL384" s="30">
        <f t="shared" si="1065"/>
      </c>
      <c r="AM384" s="308">
        <f t="shared" si="1065"/>
      </c>
      <c r="AN384" s="30">
        <f t="shared" si="1065"/>
      </c>
      <c r="AO384" s="30">
        <f t="shared" ref="AO384:BT384" si="1066">IF(AJ378="NM","NM",IF(AO378="NM","NM",IF(AJ378&lt;=0,"NM",IF(AO378=0,"NM",IF(ABS(AO378/AJ378-1)&gt;2.5,"NM",IF((ABS(AO378-AJ378)=ABS(ABS(AO378)-ABS(AJ378))),(AO378/AJ378-1),"NM"))))))</f>
      </c>
      <c r="AP384" s="30">
        <f t="shared" si="1066"/>
      </c>
      <c r="AQ384" s="30">
        <f t="shared" si="1066"/>
      </c>
      <c r="AR384" s="308">
        <f t="shared" si="1066"/>
      </c>
      <c r="AS384" s="30">
        <f t="shared" si="1066"/>
      </c>
      <c r="AT384" s="30">
        <f t="shared" si="1066"/>
      </c>
      <c r="AU384" s="30">
        <f t="shared" si="1066"/>
      </c>
      <c r="AV384" s="30">
        <f t="shared" si="1066"/>
      </c>
      <c r="AW384" s="308">
        <f t="shared" si="1066"/>
      </c>
      <c r="AX384" s="30">
        <f t="shared" si="1066"/>
      </c>
      <c r="AY384" s="30">
        <f t="shared" si="1066"/>
      </c>
      <c r="AZ384" s="30">
        <f t="shared" si="1066"/>
      </c>
      <c r="BA384" s="30">
        <f t="shared" si="1066"/>
      </c>
      <c r="BB384" s="308">
        <f t="shared" si="1066"/>
      </c>
      <c r="BC384" s="30">
        <f t="shared" si="1066"/>
      </c>
      <c r="BD384" s="30">
        <f t="shared" si="1066"/>
      </c>
      <c r="BE384" s="30">
        <f t="shared" si="1066"/>
      </c>
      <c r="BF384" s="30">
        <f t="shared" si="1066"/>
      </c>
      <c r="BG384" s="308">
        <f t="shared" si="1066"/>
      </c>
      <c r="BH384" s="30">
        <f t="shared" si="1066"/>
      </c>
      <c r="BI384" s="30">
        <f t="shared" si="1066"/>
      </c>
      <c r="BJ384" s="30">
        <f t="shared" si="1066"/>
      </c>
      <c r="BK384" s="30">
        <f t="shared" si="1066"/>
      </c>
      <c r="BL384" s="308">
        <f t="shared" si="1066"/>
      </c>
      <c r="BM384" s="30">
        <f t="shared" si="1066"/>
      </c>
      <c r="BN384" s="30">
        <f t="shared" si="1066"/>
      </c>
      <c r="BO384" s="30">
        <f t="shared" si="1066"/>
      </c>
      <c r="BP384" s="30">
        <f t="shared" si="1066"/>
      </c>
      <c r="BQ384" s="308">
        <f t="shared" si="1066"/>
      </c>
      <c r="BR384" s="30">
        <f t="shared" si="1066"/>
      </c>
      <c r="BS384" s="30">
        <f t="shared" si="1066"/>
      </c>
      <c r="BT384" s="30">
        <f t="shared" si="1066"/>
      </c>
      <c r="BU384" s="30">
        <f t="shared" ref="BU384:CA384" si="1067">IF(BP378="NM","NM",IF(BU378="NM","NM",IF(BP378&lt;=0,"NM",IF(BU378=0,"NM",IF(ABS(BU378/BP378-1)&gt;2.5,"NM",IF((ABS(BU378-BP378)=ABS(ABS(BU378)-ABS(BP378))),(BU378/BP378-1),"NM"))))))</f>
      </c>
      <c r="BV384" s="308">
        <f t="shared" si="1067"/>
      </c>
      <c r="BW384" s="30">
        <f t="shared" si="1067"/>
      </c>
      <c r="BX384" s="30">
        <f t="shared" si="1067"/>
      </c>
      <c r="BY384" s="30">
        <f t="shared" si="1067"/>
      </c>
      <c r="BZ384" s="30">
        <f t="shared" si="1067"/>
      </c>
      <c r="CA384" s="308">
        <f t="shared" si="1067"/>
      </c>
      <c r="CB384" s="30">
        <f t="shared" ref="CB384:CH384" si="1068">IF(BW378="NM","NM",IF(CB378="NM","NM",IF(BW378&lt;=0,"NM",IF(CB378=0,"NM",IF(ABS(CB378/BW378-1)&gt;2.5,"NM",IF((ABS(CB378-BW378)=ABS(ABS(CB378)-ABS(BW378))),(CB378/BW378-1),"NM"))))))</f>
      </c>
      <c r="CC384" s="30">
        <f t="shared" si="1068"/>
      </c>
      <c r="CD384" s="30">
        <f>IF(BY378="NM","NM",IF(CD378="NM","NM",IF(BY378&lt;=0,"NM",IF(CD378=0,"NM",IF(ABS(CD378/BY378-1)&gt;2.5,"NM",IF((ABS(CD378-BY378)=ABS(ABS(CD378)-ABS(BY378))),(CD378/BY378-1),"NM"))))))</f>
      </c>
      <c r="CE384" s="30">
        <f>IF(BZ378="NM","NM",IF(CE378="NM","NM",IF(BZ378&lt;=0,"NM",IF(CE378=0,"NM",IF(ABS(CE378/BZ378-1)&gt;2.5,"NM",IF((ABS(CE378-BZ378)=ABS(ABS(CE378)-ABS(BZ378))),(CE378/BZ378-1),"NM"))))))</f>
      </c>
      <c r="CF384" s="308">
        <f>IF(CA378="NM","NM",IF(CF378="NM","NM",IF(CA378&lt;=0,"NM",IF(CF378=0,"NM",IF(ABS(CF378/CA378-1)&gt;2.5,"NM",IF((ABS(CF378-CA378)=ABS(ABS(CF378)-ABS(CA378))),(CF378/CA378-1),"NM"))))))</f>
      </c>
      <c r="CG384" s="30">
        <f t="shared" si="1068"/>
      </c>
      <c r="CH384" s="30">
        <f t="shared" si="1068"/>
      </c>
      <c r="CI384" s="30">
        <f>IF(CD378="NM","NM",IF(CI378="NM","NM",IF(CD378&lt;=0,"NM",IF(CI378=0,"NM",IF(ABS(CI378/CD378-1)&gt;2.5,"NM",IF((ABS(CI378-CD378)=ABS(ABS(CI378)-ABS(CD378))),(CI378/CD378-1),"NM"))))))</f>
      </c>
      <c r="CJ384" s="30">
        <f>IF(CE378="NM","NM",IF(CJ378="NM","NM",IF(CE378&lt;=0,"NM",IF(CJ378=0,"NM",IF(ABS(CJ378/CE378-1)&gt;2.5,"NM",IF((ABS(CJ378-CE378)=ABS(ABS(CJ378)-ABS(CE378))),(CJ378/CE378-1),"NM"))))))</f>
      </c>
      <c r="CK384" s="308">
        <f>IF(CK378&lt;=0,0,(CK378/CF378-1))</f>
      </c>
      <c r="CL384" s="30">
        <f>IF(CG378="NM","NM",IF(CL378="NM","NM",IF(CG378&lt;=0,"NM",IF(CL378=0,"NM",IF(ABS(CL378/CG378-1)&gt;2.5,"NM",IF((ABS(CL378-CG378)=ABS(ABS(CL378)-ABS(CG378))),(CL378/CG378-1),"NM"))))))</f>
      </c>
      <c r="CM384" s="30">
        <f>IF(CH378="NM","NM",IF(CM378="NM","NM",IF(CH378&lt;=0,"NM",IF(CM378=0,"NM",IF(ABS(CM378/CH378-1)&gt;2.5,"NM",IF((ABS(CM378-CH378)=ABS(ABS(CM378)-ABS(CH378))),(CM378/CH378-1),"NM"))))))</f>
      </c>
      <c r="CN384" s="30">
        <f>IF(CI378="NM","NM",IF(CN378="NM","NM",IF(CI378&lt;=0,"NM",IF(CN378=0,"NM",IF(ABS(CN378/CI378-1)&gt;2.5,"NM",IF((ABS(CN378-CI378)=ABS(ABS(CN378)-ABS(CI378))),(CN378/CI378-1),"NM"))))))</f>
      </c>
      <c r="CO384" s="30">
        <f>IF(CJ378="NM","NM",IF(CO378="NM","NM",IF(CJ378&lt;=0,"NM",IF(CO378=0,"NM",IF(ABS(CO378/CJ378-1)&gt;2.5,"NM",IF((ABS(CO378-CJ378)=ABS(ABS(CO378)-ABS(CJ378))),(CO378/CJ378-1),"NM"))))))</f>
      </c>
      <c r="CP384" s="308">
        <f>IF(CP378&lt;=0,0,(CP378/CK378-1))</f>
      </c>
      <c r="CQ384" s="30"/>
      <c r="CR384" s="30"/>
      <c r="CS384" s="926"/>
      <c r="CT384" s="926"/>
      <c r="CU384" s="308"/>
      <c r="CV384" s="30"/>
      <c r="CW384" s="926"/>
      <c r="CX384" s="926"/>
      <c r="CY384" s="926"/>
      <c r="CZ384" s="308"/>
      <c r="DA384" s="30"/>
      <c r="DB384" s="926"/>
      <c r="DC384" s="926"/>
      <c r="DD384" s="928"/>
      <c r="DE384" s="308"/>
      <c r="DF384" s="30"/>
      <c r="DG384" s="926"/>
      <c r="DH384" s="926"/>
      <c r="DI384" s="928"/>
      <c r="DJ384" s="308"/>
      <c r="DK384" s="30"/>
      <c r="DL384" s="926"/>
      <c r="DM384" s="926"/>
      <c r="DN384" s="928"/>
      <c r="DO384" s="308"/>
      <c r="DP384" s="926"/>
      <c r="DQ384" s="926"/>
      <c r="DR384" s="926"/>
      <c r="DS384" s="928"/>
      <c r="DT384" s="308"/>
      <c r="DU384" s="926"/>
      <c r="DV384" s="926"/>
      <c r="DW384" s="926"/>
      <c r="DX384" s="928"/>
      <c r="DY384" s="308"/>
      <c r="DZ384" s="926"/>
      <c r="EA384" s="926"/>
      <c r="EB384" s="926"/>
      <c r="EC384" s="928"/>
      <c r="ED384" s="1060"/>
      <c r="EE384" s="926"/>
      <c r="EF384" s="926"/>
      <c r="EG384" s="926"/>
      <c r="EH384" s="928"/>
      <c r="EI384" s="308"/>
      <c r="EJ384" s="308"/>
      <c r="EK384" s="308"/>
      <c r="EL384" s="308"/>
      <c r="EM384" s="308"/>
      <c r="EN384" s="308"/>
      <c r="EO384" s="409"/>
      <c r="EP384" s="308"/>
      <c r="EQ384" s="308"/>
      <c r="ER384" s="308"/>
      <c r="ES384" s="308"/>
      <c r="ET384" s="308"/>
      <c r="EU384" s="308"/>
      <c r="EV384" s="308"/>
      <c r="EW384" s="308"/>
      <c r="EX384" s="308"/>
    </row>
    <row r="385" spans="2:154" ht="12.75" hidden="1" customHeight="1" outlineLevel="1">
      <c r="B385" s="339"/>
      <c r="C385" s="1989"/>
      <c r="D385" s="28"/>
      <c r="E385" s="28"/>
      <c r="F385" s="28"/>
      <c r="G385" s="28"/>
      <c r="H385" s="28"/>
      <c r="I385" s="29"/>
      <c r="J385" s="30"/>
      <c r="K385" s="30"/>
      <c r="L385" s="30"/>
      <c r="M385" s="30"/>
      <c r="N385" s="30"/>
      <c r="O385" s="30"/>
      <c r="P385" s="30"/>
      <c r="Q385" s="30"/>
      <c r="R385" s="30"/>
      <c r="S385" s="30"/>
      <c r="T385" s="30"/>
      <c r="U385" s="30"/>
      <c r="V385" s="30"/>
      <c r="W385" s="30"/>
      <c r="X385" s="308"/>
      <c r="Y385" s="30"/>
      <c r="Z385" s="30"/>
      <c r="AA385" s="30"/>
      <c r="AB385" s="30"/>
      <c r="AC385" s="308"/>
      <c r="AD385" s="30"/>
      <c r="AE385" s="30"/>
      <c r="AF385" s="30"/>
      <c r="AG385" s="30"/>
      <c r="AH385" s="308"/>
      <c r="AI385" s="30"/>
      <c r="AJ385" s="30"/>
      <c r="AK385" s="30"/>
      <c r="AL385" s="30"/>
      <c r="AM385" s="308"/>
      <c r="AN385" s="30"/>
      <c r="AO385" s="30"/>
      <c r="AP385" s="30"/>
      <c r="AQ385" s="30"/>
      <c r="AR385" s="308"/>
      <c r="AS385" s="30"/>
      <c r="AT385" s="30"/>
      <c r="AU385" s="30"/>
      <c r="AV385" s="30"/>
      <c r="AW385" s="308"/>
      <c r="AX385" s="30"/>
      <c r="AY385" s="30"/>
      <c r="AZ385" s="30"/>
      <c r="BA385" s="30"/>
      <c r="BB385" s="308"/>
      <c r="BC385" s="30"/>
      <c r="BD385" s="30"/>
      <c r="BE385" s="30"/>
      <c r="BF385" s="30"/>
      <c r="BG385" s="308"/>
      <c r="BH385" s="30"/>
      <c r="BI385" s="30"/>
      <c r="BJ385" s="30"/>
      <c r="BK385" s="30"/>
      <c r="BL385" s="308"/>
      <c r="BM385" s="30"/>
      <c r="BN385" s="30"/>
      <c r="BO385" s="30"/>
      <c r="BP385" s="30"/>
      <c r="BQ385" s="308"/>
      <c r="BR385" s="30"/>
      <c r="BS385" s="30"/>
      <c r="BT385" s="30"/>
      <c r="BU385" s="30"/>
      <c r="BV385" s="308"/>
      <c r="BW385" s="30"/>
      <c r="BX385" s="30"/>
      <c r="BY385" s="30"/>
      <c r="BZ385" s="30"/>
      <c r="CA385" s="308"/>
      <c r="CB385" s="30"/>
      <c r="CC385" s="30"/>
      <c r="CD385" s="30"/>
      <c r="CE385" s="30"/>
      <c r="CF385" s="308"/>
      <c r="CG385" s="30"/>
      <c r="CH385" s="30"/>
      <c r="CI385" s="30"/>
      <c r="CJ385" s="30"/>
      <c r="CK385" s="308"/>
      <c r="CL385" s="958"/>
      <c r="CM385" s="30"/>
      <c r="CN385" s="30"/>
      <c r="CO385" s="30"/>
      <c r="CP385" s="308"/>
      <c r="CQ385" s="30"/>
      <c r="CR385" s="926"/>
      <c r="CS385" s="926"/>
      <c r="CT385" s="926"/>
      <c r="CU385" s="308"/>
      <c r="CV385" s="30"/>
      <c r="CW385" s="926"/>
      <c r="CX385" s="926"/>
      <c r="CY385" s="926"/>
      <c r="CZ385" s="308"/>
      <c r="DA385" s="30"/>
      <c r="DB385" s="30"/>
      <c r="DC385" s="30"/>
      <c r="DD385" s="409"/>
      <c r="DE385" s="308"/>
      <c r="DF385" s="30"/>
      <c r="DG385" s="30"/>
      <c r="DH385" s="30"/>
      <c r="DI385" s="409"/>
      <c r="DJ385" s="308"/>
      <c r="DK385" s="30"/>
      <c r="DL385" s="30"/>
      <c r="DM385" s="30"/>
      <c r="DN385" s="409"/>
      <c r="DO385" s="308"/>
      <c r="DP385" s="30"/>
      <c r="DQ385" s="30"/>
      <c r="DR385" s="30"/>
      <c r="DS385" s="409"/>
      <c r="DT385" s="308"/>
      <c r="DU385" s="926"/>
      <c r="DV385" s="926"/>
      <c r="DW385" s="926"/>
      <c r="DX385" s="928"/>
      <c r="DY385" s="308"/>
      <c r="DZ385" s="926"/>
      <c r="EA385" s="926"/>
      <c r="EB385" s="926"/>
      <c r="EC385" s="928"/>
      <c r="ED385" s="1060"/>
      <c r="EE385" s="926"/>
      <c r="EF385" s="926"/>
      <c r="EG385" s="926"/>
      <c r="EH385" s="928"/>
      <c r="EI385" s="308"/>
      <c r="EJ385" s="308"/>
      <c r="EK385" s="308"/>
      <c r="EL385" s="308"/>
      <c r="EM385" s="308"/>
      <c r="EN385" s="308"/>
      <c r="EO385" s="409"/>
      <c r="EP385" s="308"/>
      <c r="EQ385" s="308"/>
      <c r="ER385" s="308"/>
      <c r="ES385" s="308"/>
      <c r="ET385" s="308"/>
      <c r="EU385" s="308"/>
      <c r="EV385" s="308"/>
      <c r="EW385" s="308"/>
      <c r="EX385" s="308"/>
    </row>
    <row r="386" spans="2:154" ht="12.75" hidden="1" customHeight="1" outlineLevel="1">
      <c r="B386" s="457" t="s">
        <v>400</v>
      </c>
      <c r="C386" s="1990"/>
      <c r="D386" s="26"/>
      <c r="E386" s="26"/>
      <c r="F386" s="26"/>
      <c r="G386" s="26"/>
      <c r="H386" s="26"/>
      <c r="I386" s="27"/>
      <c r="J386" s="26"/>
      <c r="K386" s="26"/>
      <c r="L386" s="26"/>
      <c r="M386" s="26"/>
      <c r="N386" s="27"/>
      <c r="O386" s="27"/>
      <c r="P386" s="27"/>
      <c r="Q386" s="27"/>
      <c r="R386" s="27"/>
      <c r="S386" s="27"/>
      <c r="T386" s="27"/>
      <c r="U386" s="27"/>
      <c r="V386" s="27"/>
      <c r="W386" s="27"/>
      <c r="X386" s="307"/>
      <c r="Y386" s="27"/>
      <c r="Z386" s="27"/>
      <c r="AA386" s="27"/>
      <c r="AB386" s="27"/>
      <c r="AC386" s="307"/>
      <c r="AD386" s="27"/>
      <c r="AE386" s="27"/>
      <c r="AF386" s="27"/>
      <c r="AG386" s="27"/>
      <c r="AH386" s="307"/>
      <c r="AI386" s="26"/>
      <c r="AJ386" s="26"/>
      <c r="AK386" s="26"/>
      <c r="AL386" s="27"/>
      <c r="AM386" s="307"/>
      <c r="AN386" s="26"/>
      <c r="AO386" s="26"/>
      <c r="AP386" s="26"/>
      <c r="AQ386" s="27"/>
      <c r="AR386" s="307"/>
      <c r="AS386" s="26"/>
      <c r="AT386" s="26"/>
      <c r="AU386" s="26"/>
      <c r="AV386" s="27"/>
      <c r="AW386" s="307"/>
      <c r="AX386" s="26"/>
      <c r="AY386" s="26"/>
      <c r="AZ386" s="26"/>
      <c r="BA386" s="26"/>
      <c r="BB386" s="307"/>
      <c r="BC386" s="26"/>
      <c r="BD386" s="26"/>
      <c r="BE386" s="26"/>
      <c r="BF386" s="26"/>
      <c r="BG386" s="313"/>
      <c r="BH386" s="31"/>
      <c r="BI386" s="31"/>
      <c r="BJ386" s="31"/>
      <c r="BK386" s="31"/>
      <c r="BL386" s="313"/>
      <c r="BM386" s="31"/>
      <c r="BN386" s="31"/>
      <c r="BO386" s="31"/>
      <c r="BP386" s="31"/>
      <c r="BQ386" s="313"/>
      <c r="BR386" s="31"/>
      <c r="BS386" s="31"/>
      <c r="BT386" s="31"/>
      <c r="BU386" s="31"/>
      <c r="BV386" s="313"/>
      <c r="BW386" s="31"/>
      <c r="BX386" s="31"/>
      <c r="BY386" s="31"/>
      <c r="BZ386" s="31"/>
      <c r="CA386" s="313"/>
      <c r="CB386" s="31"/>
      <c r="CC386" s="31"/>
      <c r="CD386" s="31"/>
      <c r="CE386" s="31"/>
      <c r="CF386" s="313"/>
      <c r="CG386" s="31"/>
      <c r="CH386" s="31"/>
      <c r="CI386" s="31"/>
      <c r="CJ386" s="31"/>
      <c r="CK386" s="313"/>
      <c r="CL386" s="957"/>
      <c r="CM386" s="31"/>
      <c r="CN386" s="31"/>
      <c r="CO386" s="31"/>
      <c r="CP386" s="313"/>
      <c r="CQ386" s="31"/>
      <c r="CR386" s="31"/>
      <c r="CS386" s="31"/>
      <c r="CT386" s="31"/>
      <c r="CU386" s="313"/>
      <c r="CV386" s="31"/>
      <c r="CW386" s="31"/>
      <c r="CX386" s="31"/>
      <c r="CY386" s="31"/>
      <c r="CZ386" s="313"/>
      <c r="DA386" s="31"/>
      <c r="DB386" s="31"/>
      <c r="DC386" s="31"/>
      <c r="DD386" s="955"/>
      <c r="DE386" s="477"/>
      <c r="DF386" s="603"/>
      <c r="DG386" s="603"/>
      <c r="DH386" s="603"/>
      <c r="DI386" s="1798"/>
      <c r="DJ386" s="477"/>
      <c r="DK386" s="603"/>
      <c r="DL386" s="603"/>
      <c r="DM386" s="603"/>
      <c r="DN386" s="1798"/>
      <c r="DO386" s="477"/>
      <c r="DP386" s="603"/>
      <c r="DQ386" s="603"/>
      <c r="DR386" s="603"/>
      <c r="DS386" s="1798"/>
      <c r="DT386" s="477"/>
      <c r="DU386" s="603"/>
      <c r="DV386" s="603"/>
      <c r="DW386" s="603"/>
      <c r="DX386" s="1798"/>
      <c r="DY386" s="477"/>
      <c r="DZ386" s="603"/>
      <c r="EA386" s="603"/>
      <c r="EB386" s="603"/>
      <c r="EC386" s="1798"/>
      <c r="ED386" s="477"/>
      <c r="EE386" s="603"/>
      <c r="EF386" s="603"/>
      <c r="EG386" s="603"/>
      <c r="EH386" s="1798"/>
      <c r="EI386" s="477"/>
      <c r="EJ386" s="477"/>
      <c r="EK386" s="477"/>
      <c r="EL386" s="477"/>
      <c r="EM386" s="477"/>
      <c r="EN386" s="477"/>
      <c r="EO386" s="1798"/>
      <c r="EP386" s="477"/>
      <c r="EQ386" s="477"/>
      <c r="ER386" s="477"/>
      <c r="ES386" s="477"/>
      <c r="ET386" s="477"/>
      <c r="EU386" s="477"/>
      <c r="EV386" s="477"/>
      <c r="EW386" s="477"/>
      <c r="EX386" s="477"/>
    </row>
    <row r="387" spans="2:154" ht="12.75" hidden="1" customHeight="1" outlineLevel="1">
      <c r="B387" s="458" t="s">
        <v>187</v>
      </c>
      <c r="C387" s="1989"/>
      <c r="D387" s="28">
        <f t="shared" ref="D387:AW387" si="1069">+D409+D398+D420+D860</f>
      </c>
      <c r="E387" s="28">
        <f t="shared" si="1069"/>
      </c>
      <c r="F387" s="28">
        <f t="shared" si="1069"/>
      </c>
      <c r="G387" s="28">
        <f t="shared" si="1069"/>
      </c>
      <c r="H387" s="28">
        <f t="shared" si="1069"/>
      </c>
      <c r="I387" s="28">
        <f t="shared" si="1069"/>
      </c>
      <c r="J387" s="28">
        <f t="shared" si="1069"/>
      </c>
      <c r="K387" s="28">
        <f t="shared" si="1069"/>
      </c>
      <c r="L387" s="28">
        <f t="shared" si="1069"/>
      </c>
      <c r="M387" s="28">
        <f t="shared" si="1069"/>
      </c>
      <c r="N387" s="28">
        <f t="shared" si="1069"/>
      </c>
      <c r="O387" s="28">
        <f t="shared" si="1069"/>
      </c>
      <c r="P387" s="28">
        <f t="shared" si="1069"/>
      </c>
      <c r="Q387" s="28">
        <f t="shared" si="1069"/>
      </c>
      <c r="R387" s="28">
        <f t="shared" si="1069"/>
      </c>
      <c r="S387" s="28">
        <f t="shared" si="1069"/>
      </c>
      <c r="T387" s="28">
        <f t="shared" si="1069"/>
      </c>
      <c r="U387" s="28">
        <f t="shared" si="1069"/>
      </c>
      <c r="V387" s="28">
        <f t="shared" si="1069"/>
      </c>
      <c r="W387" s="28">
        <f t="shared" si="1069"/>
      </c>
      <c r="X387" s="312">
        <f t="shared" si="1069"/>
      </c>
      <c r="Y387" s="28">
        <f t="shared" si="1069"/>
      </c>
      <c r="Z387" s="28">
        <f t="shared" si="1069"/>
      </c>
      <c r="AA387" s="28">
        <f t="shared" si="1069"/>
      </c>
      <c r="AB387" s="28">
        <f t="shared" si="1069"/>
      </c>
      <c r="AC387" s="312">
        <f t="shared" si="1069"/>
      </c>
      <c r="AD387" s="28">
        <f t="shared" si="1069"/>
      </c>
      <c r="AE387" s="28">
        <f t="shared" si="1069"/>
      </c>
      <c r="AF387" s="28">
        <f t="shared" si="1069"/>
      </c>
      <c r="AG387" s="28">
        <f t="shared" si="1069"/>
      </c>
      <c r="AH387" s="312">
        <f t="shared" si="1069"/>
      </c>
      <c r="AI387" s="28">
        <f t="shared" si="1069"/>
      </c>
      <c r="AJ387" s="28">
        <f t="shared" si="1069"/>
      </c>
      <c r="AK387" s="28">
        <f t="shared" si="1069"/>
      </c>
      <c r="AL387" s="28">
        <f t="shared" si="1069"/>
      </c>
      <c r="AM387" s="312">
        <f t="shared" si="1069"/>
      </c>
      <c r="AN387" s="28">
        <f t="shared" si="1069"/>
      </c>
      <c r="AO387" s="28">
        <f t="shared" si="1069"/>
      </c>
      <c r="AP387" s="28">
        <f t="shared" si="1069"/>
      </c>
      <c r="AQ387" s="28">
        <f t="shared" si="1069"/>
      </c>
      <c r="AR387" s="312">
        <f t="shared" si="1069"/>
      </c>
      <c r="AS387" s="28">
        <f t="shared" si="1069"/>
      </c>
      <c r="AT387" s="28">
        <f t="shared" si="1069"/>
      </c>
      <c r="AU387" s="28">
        <f t="shared" si="1069"/>
      </c>
      <c r="AV387" s="28">
        <f t="shared" si="1069"/>
      </c>
      <c r="AW387" s="312">
        <f t="shared" si="1069"/>
      </c>
      <c r="AX387" s="28">
        <f t="shared" ref="AX387:CJ387" si="1070">+AX409+AX398+AX420+AX860+AX870</f>
      </c>
      <c r="AY387" s="28">
        <f t="shared" si="1070"/>
      </c>
      <c r="AZ387" s="28">
        <f t="shared" si="1070"/>
      </c>
      <c r="BA387" s="28">
        <f t="shared" si="1070"/>
      </c>
      <c r="BB387" s="312">
        <f t="shared" si="1070"/>
      </c>
      <c r="BC387" s="28">
        <f t="shared" si="1070"/>
      </c>
      <c r="BD387" s="28">
        <f t="shared" si="1070"/>
      </c>
      <c r="BE387" s="28">
        <f t="shared" si="1070"/>
      </c>
      <c r="BF387" s="28">
        <f t="shared" si="1070"/>
      </c>
      <c r="BG387" s="312">
        <f t="shared" si="1070"/>
      </c>
      <c r="BH387" s="28">
        <f t="shared" si="1070"/>
      </c>
      <c r="BI387" s="28">
        <f t="shared" si="1070"/>
      </c>
      <c r="BJ387" s="28">
        <f t="shared" si="1070"/>
      </c>
      <c r="BK387" s="28">
        <f t="shared" si="1070"/>
      </c>
      <c r="BL387" s="312">
        <f t="shared" si="1070"/>
      </c>
      <c r="BM387" s="28">
        <f t="shared" si="1070"/>
      </c>
      <c r="BN387" s="28">
        <f t="shared" si="1070"/>
      </c>
      <c r="BO387" s="28">
        <f t="shared" si="1070"/>
      </c>
      <c r="BP387" s="28">
        <f t="shared" si="1070"/>
      </c>
      <c r="BQ387" s="312">
        <f t="shared" si="1070"/>
      </c>
      <c r="BR387" s="28">
        <f t="shared" si="1070"/>
      </c>
      <c r="BS387" s="28">
        <f t="shared" si="1070"/>
      </c>
      <c r="BT387" s="28">
        <f t="shared" si="1070"/>
      </c>
      <c r="BU387" s="28">
        <f t="shared" si="1070"/>
      </c>
      <c r="BV387" s="312">
        <f t="shared" si="1070"/>
      </c>
      <c r="BW387" s="28">
        <f t="shared" si="1070"/>
      </c>
      <c r="BX387" s="28">
        <f t="shared" si="1070"/>
      </c>
      <c r="BY387" s="28">
        <f t="shared" si="1070"/>
      </c>
      <c r="BZ387" s="28">
        <f t="shared" si="1070"/>
      </c>
      <c r="CA387" s="312">
        <f t="shared" si="1070"/>
      </c>
      <c r="CB387" s="28">
        <f t="shared" si="1070"/>
      </c>
      <c r="CC387" s="28">
        <f t="shared" si="1070"/>
      </c>
      <c r="CD387" s="28">
        <f t="shared" si="1070"/>
      </c>
      <c r="CE387" s="28">
        <f t="shared" si="1070"/>
      </c>
      <c r="CF387" s="312">
        <f t="shared" si="1070"/>
      </c>
      <c r="CG387" s="28">
        <f t="shared" si="1070"/>
      </c>
      <c r="CH387" s="28">
        <f t="shared" si="1070"/>
      </c>
      <c r="CI387" s="28">
        <f t="shared" si="1070"/>
      </c>
      <c r="CJ387" s="28">
        <f t="shared" si="1070"/>
      </c>
      <c r="CK387" s="313">
        <f>SUM(CG387:CJ387)</f>
      </c>
      <c r="CL387" s="28">
        <f t="shared" ref="CL387:CP388" si="1071">+CL409+CL398+CL420+CL860+CL870</f>
      </c>
      <c r="CM387" s="28">
        <f t="shared" si="1071"/>
      </c>
      <c r="CN387" s="28">
        <f t="shared" si="1071"/>
      </c>
      <c r="CO387" s="28">
        <f t="shared" si="1071"/>
      </c>
      <c r="CP387" s="312">
        <f t="shared" si="1071"/>
      </c>
      <c r="CQ387" s="933"/>
      <c r="CR387" s="933"/>
      <c r="CS387" s="933"/>
      <c r="CT387" s="933"/>
      <c r="CU387" s="312"/>
      <c r="CV387" s="933"/>
      <c r="CW387" s="933"/>
      <c r="CX387" s="933"/>
      <c r="CY387" s="933"/>
      <c r="CZ387" s="312"/>
      <c r="DA387" s="933"/>
      <c r="DB387" s="28"/>
      <c r="DC387" s="28"/>
      <c r="DD387" s="876"/>
      <c r="DE387" s="445"/>
      <c r="DF387" s="982"/>
      <c r="DG387" s="444"/>
      <c r="DH387" s="444"/>
      <c r="DI387" s="1788"/>
      <c r="DJ387" s="445"/>
      <c r="DK387" s="982"/>
      <c r="DL387" s="444"/>
      <c r="DM387" s="444"/>
      <c r="DN387" s="1788"/>
      <c r="DO387" s="445"/>
      <c r="DP387" s="444"/>
      <c r="DQ387" s="444"/>
      <c r="DR387" s="444"/>
      <c r="DS387" s="1788"/>
      <c r="DT387" s="445"/>
      <c r="DU387" s="982"/>
      <c r="DV387" s="982"/>
      <c r="DW387" s="982"/>
      <c r="DX387" s="1875"/>
      <c r="DY387" s="445"/>
      <c r="DZ387" s="982"/>
      <c r="EA387" s="982"/>
      <c r="EB387" s="982"/>
      <c r="EC387" s="1875"/>
      <c r="ED387" s="1866"/>
      <c r="EE387" s="982"/>
      <c r="EF387" s="982"/>
      <c r="EG387" s="982"/>
      <c r="EH387" s="1875"/>
      <c r="EI387" s="445"/>
      <c r="EJ387" s="445"/>
      <c r="EK387" s="445"/>
      <c r="EL387" s="445"/>
      <c r="EM387" s="445"/>
      <c r="EN387" s="445"/>
      <c r="EO387" s="1788"/>
      <c r="EP387" s="445"/>
      <c r="EQ387" s="445"/>
      <c r="ER387" s="445"/>
      <c r="ES387" s="445"/>
      <c r="ET387" s="445"/>
      <c r="EU387" s="445"/>
      <c r="EV387" s="445"/>
      <c r="EW387" s="445"/>
      <c r="EX387" s="445"/>
    </row>
    <row r="388" spans="2:154" ht="12.75" hidden="1" customHeight="1" outlineLevel="1">
      <c r="B388" s="458" t="s">
        <v>412</v>
      </c>
      <c r="C388" s="1989"/>
      <c r="D388" s="28">
        <f t="shared" ref="D388:AW388" si="1072">+D410+D399+D421+D861</f>
      </c>
      <c r="E388" s="28">
        <f t="shared" si="1072"/>
      </c>
      <c r="F388" s="28">
        <f t="shared" si="1072"/>
      </c>
      <c r="G388" s="28">
        <f t="shared" si="1072"/>
      </c>
      <c r="H388" s="28">
        <f t="shared" si="1072"/>
      </c>
      <c r="I388" s="28">
        <f t="shared" si="1072"/>
      </c>
      <c r="J388" s="28">
        <f t="shared" si="1072"/>
      </c>
      <c r="K388" s="28">
        <f t="shared" si="1072"/>
      </c>
      <c r="L388" s="28">
        <f t="shared" si="1072"/>
      </c>
      <c r="M388" s="28">
        <f t="shared" si="1072"/>
      </c>
      <c r="N388" s="28">
        <f t="shared" si="1072"/>
      </c>
      <c r="O388" s="28">
        <f t="shared" si="1072"/>
      </c>
      <c r="P388" s="28">
        <f t="shared" si="1072"/>
      </c>
      <c r="Q388" s="28">
        <f t="shared" si="1072"/>
      </c>
      <c r="R388" s="28">
        <f t="shared" si="1072"/>
      </c>
      <c r="S388" s="28">
        <f t="shared" si="1072"/>
      </c>
      <c r="T388" s="28">
        <f t="shared" si="1072"/>
      </c>
      <c r="U388" s="28">
        <f t="shared" si="1072"/>
      </c>
      <c r="V388" s="28">
        <f t="shared" si="1072"/>
      </c>
      <c r="W388" s="28">
        <f t="shared" si="1072"/>
      </c>
      <c r="X388" s="312">
        <f t="shared" si="1072"/>
      </c>
      <c r="Y388" s="28">
        <f t="shared" si="1072"/>
      </c>
      <c r="Z388" s="28">
        <f t="shared" si="1072"/>
      </c>
      <c r="AA388" s="28">
        <f t="shared" si="1072"/>
      </c>
      <c r="AB388" s="28">
        <f t="shared" si="1072"/>
      </c>
      <c r="AC388" s="312">
        <f t="shared" si="1072"/>
      </c>
      <c r="AD388" s="28">
        <f t="shared" si="1072"/>
      </c>
      <c r="AE388" s="28">
        <f t="shared" si="1072"/>
      </c>
      <c r="AF388" s="28">
        <f t="shared" si="1072"/>
      </c>
      <c r="AG388" s="28">
        <f t="shared" si="1072"/>
      </c>
      <c r="AH388" s="312">
        <f t="shared" si="1072"/>
      </c>
      <c r="AI388" s="28">
        <f t="shared" si="1072"/>
      </c>
      <c r="AJ388" s="28">
        <f t="shared" si="1072"/>
      </c>
      <c r="AK388" s="28">
        <f t="shared" si="1072"/>
      </c>
      <c r="AL388" s="28">
        <f t="shared" si="1072"/>
      </c>
      <c r="AM388" s="312">
        <f t="shared" si="1072"/>
      </c>
      <c r="AN388" s="28">
        <f t="shared" si="1072"/>
      </c>
      <c r="AO388" s="28">
        <f t="shared" si="1072"/>
      </c>
      <c r="AP388" s="28">
        <f t="shared" si="1072"/>
      </c>
      <c r="AQ388" s="28">
        <f t="shared" si="1072"/>
      </c>
      <c r="AR388" s="312">
        <f t="shared" si="1072"/>
      </c>
      <c r="AS388" s="28">
        <f t="shared" si="1072"/>
      </c>
      <c r="AT388" s="28">
        <f t="shared" si="1072"/>
      </c>
      <c r="AU388" s="28">
        <f t="shared" si="1072"/>
      </c>
      <c r="AV388" s="28">
        <f t="shared" si="1072"/>
      </c>
      <c r="AW388" s="312">
        <f t="shared" si="1072"/>
      </c>
      <c r="AX388" s="28">
        <f t="shared" ref="AX388:CJ388" si="1073">+AX410+AX399+AX421+AX861+AX871</f>
      </c>
      <c r="AY388" s="28">
        <f t="shared" si="1073"/>
      </c>
      <c r="AZ388" s="28">
        <f t="shared" si="1073"/>
      </c>
      <c r="BA388" s="28">
        <f t="shared" si="1073"/>
      </c>
      <c r="BB388" s="312">
        <f t="shared" si="1073"/>
      </c>
      <c r="BC388" s="28">
        <f t="shared" si="1073"/>
      </c>
      <c r="BD388" s="28">
        <f t="shared" si="1073"/>
      </c>
      <c r="BE388" s="28">
        <f t="shared" si="1073"/>
      </c>
      <c r="BF388" s="28">
        <f t="shared" si="1073"/>
      </c>
      <c r="BG388" s="312">
        <f t="shared" si="1073"/>
      </c>
      <c r="BH388" s="28">
        <f t="shared" si="1073"/>
      </c>
      <c r="BI388" s="28">
        <f t="shared" si="1073"/>
      </c>
      <c r="BJ388" s="28">
        <f t="shared" si="1073"/>
      </c>
      <c r="BK388" s="28">
        <f t="shared" si="1073"/>
      </c>
      <c r="BL388" s="312">
        <f t="shared" si="1073"/>
      </c>
      <c r="BM388" s="28">
        <f t="shared" si="1073"/>
      </c>
      <c r="BN388" s="28">
        <f t="shared" si="1073"/>
      </c>
      <c r="BO388" s="28">
        <f t="shared" si="1073"/>
      </c>
      <c r="BP388" s="28">
        <f t="shared" si="1073"/>
      </c>
      <c r="BQ388" s="312">
        <f t="shared" si="1073"/>
      </c>
      <c r="BR388" s="28">
        <f t="shared" si="1073"/>
      </c>
      <c r="BS388" s="28">
        <f t="shared" si="1073"/>
      </c>
      <c r="BT388" s="28">
        <f t="shared" si="1073"/>
      </c>
      <c r="BU388" s="28">
        <f t="shared" si="1073"/>
      </c>
      <c r="BV388" s="312">
        <f t="shared" si="1073"/>
      </c>
      <c r="BW388" s="28">
        <f t="shared" si="1073"/>
      </c>
      <c r="BX388" s="28">
        <f t="shared" si="1073"/>
      </c>
      <c r="BY388" s="28">
        <f t="shared" si="1073"/>
      </c>
      <c r="BZ388" s="28">
        <f t="shared" si="1073"/>
      </c>
      <c r="CA388" s="312">
        <f t="shared" si="1073"/>
      </c>
      <c r="CB388" s="28">
        <f t="shared" si="1073"/>
      </c>
      <c r="CC388" s="28">
        <f t="shared" si="1073"/>
      </c>
      <c r="CD388" s="28">
        <f t="shared" si="1073"/>
      </c>
      <c r="CE388" s="28">
        <f t="shared" si="1073"/>
      </c>
      <c r="CF388" s="312">
        <f t="shared" si="1073"/>
      </c>
      <c r="CG388" s="28">
        <f t="shared" si="1073"/>
      </c>
      <c r="CH388" s="28">
        <f t="shared" si="1073"/>
      </c>
      <c r="CI388" s="28">
        <f t="shared" si="1073"/>
      </c>
      <c r="CJ388" s="28">
        <f t="shared" si="1073"/>
      </c>
      <c r="CK388" s="313">
        <f>SUM(CG388:CJ388)</f>
      </c>
      <c r="CL388" s="28">
        <f t="shared" si="1071"/>
      </c>
      <c r="CM388" s="28">
        <f t="shared" si="1071"/>
      </c>
      <c r="CN388" s="28">
        <f t="shared" si="1071"/>
      </c>
      <c r="CO388" s="28">
        <f t="shared" si="1071"/>
      </c>
      <c r="CP388" s="312">
        <f t="shared" si="1071"/>
      </c>
      <c r="CQ388" s="933"/>
      <c r="CR388" s="933"/>
      <c r="CS388" s="933"/>
      <c r="CT388" s="933"/>
      <c r="CU388" s="312"/>
      <c r="CV388" s="933"/>
      <c r="CW388" s="933"/>
      <c r="CX388" s="933"/>
      <c r="CY388" s="933"/>
      <c r="CZ388" s="312"/>
      <c r="DA388" s="933"/>
      <c r="DB388" s="28"/>
      <c r="DC388" s="28"/>
      <c r="DD388" s="876"/>
      <c r="DE388" s="445"/>
      <c r="DF388" s="982"/>
      <c r="DG388" s="444"/>
      <c r="DH388" s="444"/>
      <c r="DI388" s="1788"/>
      <c r="DJ388" s="445"/>
      <c r="DK388" s="982"/>
      <c r="DL388" s="444"/>
      <c r="DM388" s="444"/>
      <c r="DN388" s="1788"/>
      <c r="DO388" s="445"/>
      <c r="DP388" s="444"/>
      <c r="DQ388" s="444"/>
      <c r="DR388" s="444"/>
      <c r="DS388" s="1788"/>
      <c r="DT388" s="445"/>
      <c r="DU388" s="982"/>
      <c r="DV388" s="982"/>
      <c r="DW388" s="982"/>
      <c r="DX388" s="1875"/>
      <c r="DY388" s="445"/>
      <c r="DZ388" s="982"/>
      <c r="EA388" s="982"/>
      <c r="EB388" s="982"/>
      <c r="EC388" s="1875"/>
      <c r="ED388" s="1866"/>
      <c r="EE388" s="982"/>
      <c r="EF388" s="982"/>
      <c r="EG388" s="982"/>
      <c r="EH388" s="1875"/>
      <c r="EI388" s="445"/>
      <c r="EJ388" s="445"/>
      <c r="EK388" s="445"/>
      <c r="EL388" s="445"/>
      <c r="EM388" s="445"/>
      <c r="EN388" s="445"/>
      <c r="EO388" s="1788"/>
      <c r="EP388" s="445"/>
      <c r="EQ388" s="445"/>
      <c r="ER388" s="445"/>
      <c r="ES388" s="445"/>
      <c r="ET388" s="445"/>
      <c r="EU388" s="445"/>
      <c r="EV388" s="445"/>
      <c r="EW388" s="445"/>
      <c r="EX388" s="445"/>
    </row>
    <row r="389" spans="2:154" ht="12.75" hidden="1" customHeight="1" outlineLevel="1">
      <c r="B389" s="458" t="s">
        <v>413</v>
      </c>
      <c r="C389" s="1989"/>
      <c r="D389" s="28">
        <f t="shared" ref="D389:AI389" si="1074">+D387+D388</f>
      </c>
      <c r="E389" s="28">
        <f t="shared" si="1074"/>
      </c>
      <c r="F389" s="28">
        <f t="shared" si="1074"/>
      </c>
      <c r="G389" s="28">
        <f t="shared" si="1074"/>
      </c>
      <c r="H389" s="28">
        <f t="shared" si="1074"/>
      </c>
      <c r="I389" s="28">
        <f t="shared" si="1074"/>
      </c>
      <c r="J389" s="28">
        <f t="shared" si="1074"/>
      </c>
      <c r="K389" s="28">
        <f t="shared" si="1074"/>
      </c>
      <c r="L389" s="28">
        <f t="shared" si="1074"/>
      </c>
      <c r="M389" s="28">
        <f t="shared" si="1074"/>
      </c>
      <c r="N389" s="28">
        <f t="shared" si="1074"/>
      </c>
      <c r="O389" s="28">
        <f t="shared" si="1074"/>
      </c>
      <c r="P389" s="28">
        <f t="shared" si="1074"/>
      </c>
      <c r="Q389" s="28">
        <f t="shared" si="1074"/>
      </c>
      <c r="R389" s="28">
        <f t="shared" si="1074"/>
      </c>
      <c r="S389" s="28">
        <f t="shared" si="1074"/>
      </c>
      <c r="T389" s="28">
        <f t="shared" si="1074"/>
      </c>
      <c r="U389" s="28">
        <f t="shared" si="1074"/>
      </c>
      <c r="V389" s="28">
        <f t="shared" si="1074"/>
      </c>
      <c r="W389" s="28">
        <f t="shared" si="1074"/>
      </c>
      <c r="X389" s="312">
        <f t="shared" si="1074"/>
      </c>
      <c r="Y389" s="28">
        <f t="shared" si="1074"/>
      </c>
      <c r="Z389" s="28">
        <f t="shared" si="1074"/>
      </c>
      <c r="AA389" s="28">
        <f t="shared" si="1074"/>
      </c>
      <c r="AB389" s="28">
        <f t="shared" si="1074"/>
      </c>
      <c r="AC389" s="312">
        <f t="shared" si="1074"/>
      </c>
      <c r="AD389" s="28">
        <f t="shared" si="1074"/>
      </c>
      <c r="AE389" s="28">
        <f t="shared" si="1074"/>
      </c>
      <c r="AF389" s="28">
        <f t="shared" si="1074"/>
      </c>
      <c r="AG389" s="28">
        <f t="shared" si="1074"/>
      </c>
      <c r="AH389" s="312">
        <f t="shared" si="1074"/>
      </c>
      <c r="AI389" s="28">
        <f t="shared" si="1074"/>
      </c>
      <c r="AJ389" s="28">
        <f t="shared" ref="AJ389:BO389" si="1075">+AJ387+AJ388</f>
      </c>
      <c r="AK389" s="28">
        <f t="shared" si="1075"/>
      </c>
      <c r="AL389" s="28">
        <f t="shared" si="1075"/>
      </c>
      <c r="AM389" s="312">
        <f t="shared" si="1075"/>
      </c>
      <c r="AN389" s="28">
        <f t="shared" si="1075"/>
      </c>
      <c r="AO389" s="28">
        <f t="shared" si="1075"/>
      </c>
      <c r="AP389" s="28">
        <f t="shared" si="1075"/>
      </c>
      <c r="AQ389" s="28">
        <f t="shared" si="1075"/>
      </c>
      <c r="AR389" s="312">
        <f t="shared" si="1075"/>
      </c>
      <c r="AS389" s="28">
        <f t="shared" si="1075"/>
      </c>
      <c r="AT389" s="28">
        <f t="shared" si="1075"/>
      </c>
      <c r="AU389" s="28">
        <f t="shared" si="1075"/>
      </c>
      <c r="AV389" s="28">
        <f t="shared" si="1075"/>
      </c>
      <c r="AW389" s="312">
        <f t="shared" si="1075"/>
      </c>
      <c r="AX389" s="28">
        <f t="shared" si="1075"/>
      </c>
      <c r="AY389" s="28">
        <f t="shared" si="1075"/>
      </c>
      <c r="AZ389" s="28">
        <f t="shared" si="1075"/>
      </c>
      <c r="BA389" s="28">
        <f t="shared" si="1075"/>
      </c>
      <c r="BB389" s="312">
        <f t="shared" si="1075"/>
      </c>
      <c r="BC389" s="28">
        <f t="shared" si="1075"/>
      </c>
      <c r="BD389" s="28">
        <f t="shared" si="1075"/>
      </c>
      <c r="BE389" s="28">
        <f t="shared" si="1075"/>
      </c>
      <c r="BF389" s="28">
        <f t="shared" si="1075"/>
      </c>
      <c r="BG389" s="312">
        <f t="shared" si="1075"/>
      </c>
      <c r="BH389" s="28">
        <f t="shared" si="1075"/>
      </c>
      <c r="BI389" s="28">
        <f t="shared" si="1075"/>
      </c>
      <c r="BJ389" s="28">
        <f t="shared" si="1075"/>
      </c>
      <c r="BK389" s="28">
        <f t="shared" si="1075"/>
      </c>
      <c r="BL389" s="312">
        <f t="shared" si="1075"/>
      </c>
      <c r="BM389" s="28">
        <f t="shared" si="1075"/>
      </c>
      <c r="BN389" s="28">
        <f t="shared" si="1075"/>
      </c>
      <c r="BO389" s="28">
        <f t="shared" si="1075"/>
      </c>
      <c r="BP389" s="28">
        <f t="shared" ref="BP389:BV389" si="1076">+BP387+BP388</f>
      </c>
      <c r="BQ389" s="312">
        <f t="shared" si="1076"/>
      </c>
      <c r="BR389" s="28">
        <f t="shared" si="1076"/>
      </c>
      <c r="BS389" s="28">
        <f t="shared" si="1076"/>
      </c>
      <c r="BT389" s="28">
        <f t="shared" si="1076"/>
      </c>
      <c r="BU389" s="28">
        <f t="shared" si="1076"/>
      </c>
      <c r="BV389" s="312">
        <f t="shared" si="1076"/>
      </c>
      <c r="BW389" s="28">
        <f>+BW387+BW388</f>
      </c>
      <c r="BX389" s="28">
        <f>+BX387+BX388</f>
      </c>
      <c r="BY389" s="28">
        <f>+BY387+BY388</f>
      </c>
      <c r="BZ389" s="28">
        <f>+BZ387+BZ388</f>
      </c>
      <c r="CA389" s="313">
        <f>SUM(BW389:BZ389)</f>
      </c>
      <c r="CB389" s="28">
        <f>+CB387+CB388</f>
      </c>
      <c r="CC389" s="28">
        <f>+CC387+CC388</f>
      </c>
      <c r="CD389" s="28">
        <f>+CD387+CD388</f>
      </c>
      <c r="CE389" s="28">
        <f>+CE387+CE388</f>
      </c>
      <c r="CF389" s="313">
        <f>SUM(CB389:CE389)</f>
      </c>
      <c r="CG389" s="28">
        <f>+CG387+CG388</f>
      </c>
      <c r="CH389" s="28">
        <f>+CH387+CH388</f>
      </c>
      <c r="CI389" s="28">
        <f>+CI387+CI388</f>
      </c>
      <c r="CJ389" s="28">
        <f>+CJ387+CJ388</f>
      </c>
      <c r="CK389" s="313">
        <f>SUM(CG389:CJ389)</f>
      </c>
      <c r="CL389" s="28">
        <f>+CL387+CL388</f>
      </c>
      <c r="CM389" s="28">
        <f>+CM387+CM388</f>
      </c>
      <c r="CN389" s="28">
        <f>+CN387+CN388</f>
      </c>
      <c r="CO389" s="28">
        <f>+CO387+CO388</f>
      </c>
      <c r="CP389" s="312">
        <f>+CP387+CP388</f>
      </c>
      <c r="CQ389" s="933"/>
      <c r="CR389" s="933"/>
      <c r="CS389" s="933"/>
      <c r="CT389" s="933"/>
      <c r="CU389" s="312"/>
      <c r="CV389" s="933"/>
      <c r="CW389" s="933"/>
      <c r="CX389" s="933"/>
      <c r="CY389" s="933"/>
      <c r="CZ389" s="312"/>
      <c r="DA389" s="933"/>
      <c r="DB389" s="28"/>
      <c r="DC389" s="28"/>
      <c r="DD389" s="876"/>
      <c r="DE389" s="445"/>
      <c r="DF389" s="982"/>
      <c r="DG389" s="444"/>
      <c r="DH389" s="444"/>
      <c r="DI389" s="1788"/>
      <c r="DJ389" s="445"/>
      <c r="DK389" s="982"/>
      <c r="DL389" s="444"/>
      <c r="DM389" s="444"/>
      <c r="DN389" s="1788"/>
      <c r="DO389" s="445"/>
      <c r="DP389" s="444"/>
      <c r="DQ389" s="444"/>
      <c r="DR389" s="444"/>
      <c r="DS389" s="1788"/>
      <c r="DT389" s="445"/>
      <c r="DU389" s="982"/>
      <c r="DV389" s="982"/>
      <c r="DW389" s="982"/>
      <c r="DX389" s="1875"/>
      <c r="DY389" s="445"/>
      <c r="DZ389" s="982"/>
      <c r="EA389" s="982"/>
      <c r="EB389" s="982"/>
      <c r="EC389" s="1875"/>
      <c r="ED389" s="1866"/>
      <c r="EE389" s="982"/>
      <c r="EF389" s="982"/>
      <c r="EG389" s="982"/>
      <c r="EH389" s="1875"/>
      <c r="EI389" s="445"/>
      <c r="EJ389" s="445"/>
      <c r="EK389" s="445"/>
      <c r="EL389" s="445"/>
      <c r="EM389" s="445"/>
      <c r="EN389" s="445"/>
      <c r="EO389" s="1788"/>
      <c r="EP389" s="445"/>
      <c r="EQ389" s="445"/>
      <c r="ER389" s="445"/>
      <c r="ES389" s="445"/>
      <c r="ET389" s="445"/>
      <c r="EU389" s="445"/>
      <c r="EV389" s="445"/>
      <c r="EW389" s="445"/>
      <c r="EX389" s="445"/>
    </row>
    <row r="390" spans="2:154" ht="12.75" hidden="1" customHeight="1" outlineLevel="1">
      <c r="B390" s="458"/>
      <c r="C390" s="1989"/>
      <c r="D390" s="28"/>
      <c r="E390" s="28"/>
      <c r="F390" s="28"/>
      <c r="G390" s="28"/>
      <c r="H390" s="28"/>
      <c r="I390" s="31"/>
      <c r="J390" s="28"/>
      <c r="K390" s="28"/>
      <c r="L390" s="28"/>
      <c r="M390" s="28"/>
      <c r="N390" s="31"/>
      <c r="O390" s="31"/>
      <c r="P390" s="31"/>
      <c r="Q390" s="31"/>
      <c r="R390" s="31"/>
      <c r="S390" s="31"/>
      <c r="T390" s="31"/>
      <c r="U390" s="31"/>
      <c r="V390" s="31"/>
      <c r="W390" s="31"/>
      <c r="X390" s="313"/>
      <c r="Y390" s="31"/>
      <c r="Z390" s="31"/>
      <c r="AA390" s="31"/>
      <c r="AB390" s="31"/>
      <c r="AC390" s="313"/>
      <c r="AD390" s="31"/>
      <c r="AE390" s="31"/>
      <c r="AF390" s="31"/>
      <c r="AG390" s="31"/>
      <c r="AH390" s="313"/>
      <c r="AI390" s="31"/>
      <c r="AJ390" s="31"/>
      <c r="AK390" s="31"/>
      <c r="AL390" s="31"/>
      <c r="AM390" s="313"/>
      <c r="AN390" s="31"/>
      <c r="AO390" s="31"/>
      <c r="AP390" s="31"/>
      <c r="AQ390" s="31"/>
      <c r="AR390" s="313"/>
      <c r="AS390" s="31"/>
      <c r="AT390" s="31"/>
      <c r="AU390" s="31"/>
      <c r="AV390" s="31"/>
      <c r="AW390" s="313"/>
      <c r="AX390" s="31"/>
      <c r="AY390" s="31"/>
      <c r="AZ390" s="31"/>
      <c r="BA390" s="31"/>
      <c r="BB390" s="313"/>
      <c r="BC390" s="31"/>
      <c r="BD390" s="31"/>
      <c r="BE390" s="31"/>
      <c r="BF390" s="31"/>
      <c r="BG390" s="313"/>
      <c r="BH390" s="31"/>
      <c r="BI390" s="31"/>
      <c r="BJ390" s="31"/>
      <c r="BK390" s="31"/>
      <c r="BL390" s="313"/>
      <c r="BM390" s="31"/>
      <c r="BN390" s="31"/>
      <c r="BO390" s="31"/>
      <c r="BP390" s="31"/>
      <c r="BQ390" s="313"/>
      <c r="BR390" s="31"/>
      <c r="BS390" s="31"/>
      <c r="BT390" s="31"/>
      <c r="BU390" s="31"/>
      <c r="BV390" s="313"/>
      <c r="BW390" s="31"/>
      <c r="BX390" s="31"/>
      <c r="BY390" s="31"/>
      <c r="BZ390" s="31"/>
      <c r="CA390" s="313"/>
      <c r="CB390" s="31"/>
      <c r="CC390" s="31"/>
      <c r="CD390" s="31"/>
      <c r="CE390" s="31"/>
      <c r="CF390" s="313"/>
      <c r="CG390" s="31"/>
      <c r="CH390" s="31"/>
      <c r="CI390" s="31"/>
      <c r="CJ390" s="31"/>
      <c r="CK390" s="313"/>
      <c r="CL390" s="31"/>
      <c r="CM390" s="31"/>
      <c r="CN390" s="31"/>
      <c r="CO390" s="31"/>
      <c r="CP390" s="313"/>
      <c r="CQ390" s="31"/>
      <c r="CR390" s="31"/>
      <c r="CS390" s="31"/>
      <c r="CT390" s="31"/>
      <c r="CU390" s="313"/>
      <c r="CV390" s="31"/>
      <c r="CW390" s="31"/>
      <c r="CX390" s="31"/>
      <c r="CY390" s="31"/>
      <c r="CZ390" s="313"/>
      <c r="DA390" s="31"/>
      <c r="DB390" s="31"/>
      <c r="DC390" s="31"/>
      <c r="DD390" s="955"/>
      <c r="DE390" s="477"/>
      <c r="DF390" s="603"/>
      <c r="DG390" s="603"/>
      <c r="DH390" s="603"/>
      <c r="DI390" s="1798"/>
      <c r="DJ390" s="477"/>
      <c r="DK390" s="603"/>
      <c r="DL390" s="603"/>
      <c r="DM390" s="603"/>
      <c r="DN390" s="1798"/>
      <c r="DO390" s="477"/>
      <c r="DP390" s="603"/>
      <c r="DQ390" s="603"/>
      <c r="DR390" s="603"/>
      <c r="DS390" s="1798"/>
      <c r="DT390" s="477"/>
      <c r="DU390" s="603"/>
      <c r="DV390" s="603"/>
      <c r="DW390" s="603"/>
      <c r="DX390" s="1798"/>
      <c r="DY390" s="477"/>
      <c r="DZ390" s="603"/>
      <c r="EA390" s="603"/>
      <c r="EB390" s="603"/>
      <c r="EC390" s="1798"/>
      <c r="ED390" s="477"/>
      <c r="EE390" s="603"/>
      <c r="EF390" s="603"/>
      <c r="EG390" s="603"/>
      <c r="EH390" s="1798"/>
      <c r="EI390" s="477"/>
      <c r="EJ390" s="477"/>
      <c r="EK390" s="477"/>
      <c r="EL390" s="477"/>
      <c r="EM390" s="477"/>
      <c r="EN390" s="477"/>
      <c r="EO390" s="1798"/>
      <c r="EP390" s="477"/>
      <c r="EQ390" s="477"/>
      <c r="ER390" s="477"/>
      <c r="ES390" s="477"/>
      <c r="ET390" s="477"/>
      <c r="EU390" s="477"/>
      <c r="EV390" s="477"/>
      <c r="EW390" s="477"/>
      <c r="EX390" s="477"/>
    </row>
    <row r="391" spans="2:154" ht="12.75" hidden="1" customHeight="1" outlineLevel="1">
      <c r="B391" s="459" t="s">
        <v>319</v>
      </c>
      <c r="C391" s="1989"/>
      <c r="D391" s="28"/>
      <c r="E391" s="28"/>
      <c r="F391" s="28"/>
      <c r="G391" s="28"/>
      <c r="H391" s="28"/>
      <c r="I391" s="31"/>
      <c r="J391" s="28"/>
      <c r="K391" s="28"/>
      <c r="L391" s="28"/>
      <c r="M391" s="28"/>
      <c r="N391" s="31"/>
      <c r="O391" s="31"/>
      <c r="P391" s="31"/>
      <c r="Q391" s="31"/>
      <c r="R391" s="31"/>
      <c r="S391" s="31"/>
      <c r="T391" s="31"/>
      <c r="U391" s="31"/>
      <c r="V391" s="31"/>
      <c r="W391" s="31"/>
      <c r="X391" s="313"/>
      <c r="Y391" s="31"/>
      <c r="Z391" s="31"/>
      <c r="AA391" s="31"/>
      <c r="AB391" s="31"/>
      <c r="AC391" s="313"/>
      <c r="AD391" s="31"/>
      <c r="AE391" s="31"/>
      <c r="AF391" s="31"/>
      <c r="AG391" s="31"/>
      <c r="AH391" s="313"/>
      <c r="AI391" s="28"/>
      <c r="AJ391" s="28"/>
      <c r="AK391" s="28"/>
      <c r="AL391" s="31"/>
      <c r="AM391" s="313"/>
      <c r="AN391" s="28"/>
      <c r="AO391" s="28"/>
      <c r="AP391" s="28"/>
      <c r="AQ391" s="31"/>
      <c r="AR391" s="313"/>
      <c r="AS391" s="28"/>
      <c r="AT391" s="28"/>
      <c r="AU391" s="28"/>
      <c r="AV391" s="31"/>
      <c r="AW391" s="313"/>
      <c r="AX391" s="28"/>
      <c r="AY391" s="28"/>
      <c r="AZ391" s="28"/>
      <c r="BA391" s="28"/>
      <c r="BB391" s="313"/>
      <c r="BC391" s="31"/>
      <c r="BD391" s="31"/>
      <c r="BE391" s="31"/>
      <c r="BF391" s="31"/>
      <c r="BG391" s="313"/>
      <c r="BH391" s="31"/>
      <c r="BI391" s="31"/>
      <c r="BJ391" s="31"/>
      <c r="BK391" s="31"/>
      <c r="BL391" s="313"/>
      <c r="BM391" s="31"/>
      <c r="BN391" s="31"/>
      <c r="BO391" s="31"/>
      <c r="BP391" s="31"/>
      <c r="BQ391" s="313"/>
      <c r="BR391" s="31"/>
      <c r="BS391" s="31"/>
      <c r="BT391" s="31"/>
      <c r="BU391" s="31"/>
      <c r="BV391" s="313"/>
      <c r="BW391" s="31"/>
      <c r="BX391" s="31"/>
      <c r="BY391" s="31"/>
      <c r="BZ391" s="31"/>
      <c r="CA391" s="313"/>
      <c r="CB391" s="31"/>
      <c r="CC391" s="31"/>
      <c r="CD391" s="31"/>
      <c r="CE391" s="31"/>
      <c r="CF391" s="313"/>
      <c r="CG391" s="31"/>
      <c r="CH391" s="31"/>
      <c r="CI391" s="31"/>
      <c r="CJ391" s="31"/>
      <c r="CK391" s="313"/>
      <c r="CL391" s="31"/>
      <c r="CM391" s="31"/>
      <c r="CN391" s="31"/>
      <c r="CO391" s="31"/>
      <c r="CP391" s="313"/>
      <c r="CQ391" s="31"/>
      <c r="CR391" s="31"/>
      <c r="CS391" s="31"/>
      <c r="CT391" s="31"/>
      <c r="CU391" s="313"/>
      <c r="CV391" s="31"/>
      <c r="CW391" s="31"/>
      <c r="CX391" s="31"/>
      <c r="CY391" s="31"/>
      <c r="CZ391" s="313"/>
      <c r="DA391" s="31"/>
      <c r="DB391" s="31"/>
      <c r="DC391" s="31"/>
      <c r="DD391" s="955"/>
      <c r="DE391" s="477"/>
      <c r="DF391" s="603"/>
      <c r="DG391" s="603"/>
      <c r="DH391" s="603"/>
      <c r="DI391" s="1798"/>
      <c r="DJ391" s="477"/>
      <c r="DK391" s="603"/>
      <c r="DL391" s="603"/>
      <c r="DM391" s="603"/>
      <c r="DN391" s="1798"/>
      <c r="DO391" s="477"/>
      <c r="DP391" s="603"/>
      <c r="DQ391" s="603"/>
      <c r="DR391" s="603"/>
      <c r="DS391" s="1798"/>
      <c r="DT391" s="477"/>
      <c r="DU391" s="603"/>
      <c r="DV391" s="603"/>
      <c r="DW391" s="603"/>
      <c r="DX391" s="1798"/>
      <c r="DY391" s="477"/>
      <c r="DZ391" s="603"/>
      <c r="EA391" s="603"/>
      <c r="EB391" s="603"/>
      <c r="EC391" s="1798"/>
      <c r="ED391" s="477"/>
      <c r="EE391" s="603"/>
      <c r="EF391" s="603"/>
      <c r="EG391" s="603"/>
      <c r="EH391" s="1798"/>
      <c r="EI391" s="477"/>
      <c r="EJ391" s="477"/>
      <c r="EK391" s="477"/>
      <c r="EL391" s="477"/>
      <c r="EM391" s="477"/>
      <c r="EN391" s="477"/>
      <c r="EO391" s="1798"/>
      <c r="EP391" s="477"/>
      <c r="EQ391" s="477"/>
      <c r="ER391" s="477"/>
      <c r="ES391" s="477"/>
      <c r="ET391" s="477"/>
      <c r="EU391" s="477"/>
      <c r="EV391" s="477"/>
      <c r="EW391" s="477"/>
      <c r="EX391" s="477"/>
    </row>
    <row r="392" spans="2:154" ht="12.75" hidden="1" customHeight="1" outlineLevel="1">
      <c r="B392" s="460" t="s">
        <v>187</v>
      </c>
      <c r="C392" s="1989"/>
      <c r="D392" s="28"/>
      <c r="E392" s="28"/>
      <c r="F392" s="28"/>
      <c r="G392" s="28"/>
      <c r="H392" s="28"/>
      <c r="I392" s="30">
        <f t="shared" ref="I392:R393" si="1077">IF(D387="NM","NM",IF(I387="NM","NM",IF(D387&lt;=0,"NM",IF(I387=0,"NM",IF(ABS(I387/D387-1)&gt;2.5,"NM",IF((ABS(I387-D387)=ABS(ABS(I387)-ABS(D387))),(I387/D387-1),"NM"))))))</f>
      </c>
      <c r="J392" s="30">
        <f t="shared" si="1077"/>
      </c>
      <c r="K392" s="30">
        <f t="shared" si="1077"/>
      </c>
      <c r="L392" s="30">
        <f t="shared" si="1077"/>
      </c>
      <c r="M392" s="30">
        <f t="shared" si="1077"/>
      </c>
      <c r="N392" s="30">
        <f t="shared" si="1077"/>
      </c>
      <c r="O392" s="30">
        <f t="shared" si="1077"/>
      </c>
      <c r="P392" s="30">
        <f t="shared" si="1077"/>
      </c>
      <c r="Q392" s="30">
        <f t="shared" si="1077"/>
      </c>
      <c r="R392" s="30">
        <f t="shared" si="1077"/>
      </c>
      <c r="S392" s="30">
        <f t="shared" ref="S392:AB393" si="1078">IF(N387="NM","NM",IF(S387="NM","NM",IF(N387&lt;=0,"NM",IF(S387=0,"NM",IF(ABS(S387/N387-1)&gt;2.5,"NM",IF((ABS(S387-N387)=ABS(ABS(S387)-ABS(N387))),(S387/N387-1),"NM"))))))</f>
      </c>
      <c r="T392" s="30">
        <f t="shared" si="1078"/>
      </c>
      <c r="U392" s="30">
        <f t="shared" si="1078"/>
      </c>
      <c r="V392" s="30">
        <f t="shared" si="1078"/>
      </c>
      <c r="W392" s="30">
        <f t="shared" si="1078"/>
      </c>
      <c r="X392" s="308">
        <f t="shared" si="1078"/>
      </c>
      <c r="Y392" s="30">
        <f t="shared" si="1078"/>
      </c>
      <c r="Z392" s="30">
        <f t="shared" si="1078"/>
      </c>
      <c r="AA392" s="30">
        <f t="shared" si="1078"/>
      </c>
      <c r="AB392" s="30">
        <f t="shared" si="1078"/>
      </c>
      <c r="AC392" s="308">
        <f t="shared" ref="AC392:AL393" si="1079">IF(X387="NM","NM",IF(AC387="NM","NM",IF(X387&lt;=0,"NM",IF(AC387=0,"NM",IF(ABS(AC387/X387-1)&gt;2.5,"NM",IF((ABS(AC387-X387)=ABS(ABS(AC387)-ABS(X387))),(AC387/X387-1),"NM"))))))</f>
      </c>
      <c r="AD392" s="30">
        <f t="shared" si="1079"/>
      </c>
      <c r="AE392" s="30">
        <f t="shared" si="1079"/>
      </c>
      <c r="AF392" s="30">
        <f t="shared" si="1079"/>
      </c>
      <c r="AG392" s="30">
        <f t="shared" si="1079"/>
      </c>
      <c r="AH392" s="308">
        <f t="shared" si="1079"/>
      </c>
      <c r="AI392" s="30">
        <f t="shared" si="1079"/>
      </c>
      <c r="AJ392" s="30">
        <f t="shared" si="1079"/>
      </c>
      <c r="AK392" s="30">
        <f t="shared" si="1079"/>
      </c>
      <c r="AL392" s="30">
        <f t="shared" si="1079"/>
      </c>
      <c r="AM392" s="308">
        <f t="shared" ref="AM392:AV393" si="1080">IF(AH387="NM","NM",IF(AM387="NM","NM",IF(AH387&lt;=0,"NM",IF(AM387=0,"NM",IF(ABS(AM387/AH387-1)&gt;2.5,"NM",IF((ABS(AM387-AH387)=ABS(ABS(AM387)-ABS(AH387))),(AM387/AH387-1),"NM"))))))</f>
      </c>
      <c r="AN392" s="30">
        <f t="shared" si="1080"/>
      </c>
      <c r="AO392" s="30">
        <f t="shared" si="1080"/>
      </c>
      <c r="AP392" s="30">
        <f t="shared" si="1080"/>
      </c>
      <c r="AQ392" s="30">
        <f t="shared" si="1080"/>
      </c>
      <c r="AR392" s="308">
        <f t="shared" si="1080"/>
      </c>
      <c r="AS392" s="30">
        <f t="shared" si="1080"/>
      </c>
      <c r="AT392" s="30">
        <f t="shared" si="1080"/>
      </c>
      <c r="AU392" s="30">
        <f t="shared" si="1080"/>
      </c>
      <c r="AV392" s="30">
        <f t="shared" si="1080"/>
      </c>
      <c r="AW392" s="308">
        <f t="shared" ref="AW392:BF393" si="1081">IF(AR387="NM","NM",IF(AW387="NM","NM",IF(AR387&lt;=0,"NM",IF(AW387=0,"NM",IF(ABS(AW387/AR387-1)&gt;2.5,"NM",IF((ABS(AW387-AR387)=ABS(ABS(AW387)-ABS(AR387))),(AW387/AR387-1),"NM"))))))</f>
      </c>
      <c r="AX392" s="30">
        <f t="shared" si="1081"/>
      </c>
      <c r="AY392" s="30">
        <f t="shared" si="1081"/>
      </c>
      <c r="AZ392" s="30">
        <f t="shared" si="1081"/>
      </c>
      <c r="BA392" s="30">
        <f t="shared" si="1081"/>
      </c>
      <c r="BB392" s="308">
        <f t="shared" si="1081"/>
      </c>
      <c r="BC392" s="30">
        <f t="shared" si="1081"/>
      </c>
      <c r="BD392" s="30">
        <f t="shared" si="1081"/>
      </c>
      <c r="BE392" s="30">
        <f t="shared" si="1081"/>
      </c>
      <c r="BF392" s="30">
        <f t="shared" si="1081"/>
      </c>
      <c r="BG392" s="308">
        <f t="shared" ref="BG392:BP393" si="1082">IF(BB387="NM","NM",IF(BG387="NM","NM",IF(BB387&lt;=0,"NM",IF(BG387=0,"NM",IF(ABS(BG387/BB387-1)&gt;2.5,"NM",IF((ABS(BG387-BB387)=ABS(ABS(BG387)-ABS(BB387))),(BG387/BB387-1),"NM"))))))</f>
      </c>
      <c r="BH392" s="30">
        <f t="shared" si="1082"/>
      </c>
      <c r="BI392" s="30">
        <f t="shared" si="1082"/>
      </c>
      <c r="BJ392" s="30">
        <f t="shared" si="1082"/>
      </c>
      <c r="BK392" s="30">
        <f t="shared" si="1082"/>
      </c>
      <c r="BL392" s="308">
        <f t="shared" si="1082"/>
      </c>
      <c r="BM392" s="30">
        <f t="shared" si="1082"/>
      </c>
      <c r="BN392" s="30">
        <f t="shared" si="1082"/>
      </c>
      <c r="BO392" s="30">
        <f t="shared" si="1082"/>
      </c>
      <c r="BP392" s="30">
        <f t="shared" si="1082"/>
      </c>
      <c r="BQ392" s="308">
        <f t="shared" ref="BQ392:BZ393" si="1083">IF(BL387="NM","NM",IF(BQ387="NM","NM",IF(BL387&lt;=0,"NM",IF(BQ387=0,"NM",IF(ABS(BQ387/BL387-1)&gt;2.5,"NM",IF((ABS(BQ387-BL387)=ABS(ABS(BQ387)-ABS(BL387))),(BQ387/BL387-1),"NM"))))))</f>
      </c>
      <c r="BR392" s="30">
        <f t="shared" si="1083"/>
      </c>
      <c r="BS392" s="30">
        <f t="shared" si="1083"/>
      </c>
      <c r="BT392" s="30">
        <f t="shared" si="1083"/>
      </c>
      <c r="BU392" s="30">
        <f t="shared" si="1083"/>
      </c>
      <c r="BV392" s="308">
        <f t="shared" si="1083"/>
      </c>
      <c r="BW392" s="30">
        <f t="shared" si="1083"/>
      </c>
      <c r="BX392" s="30">
        <f t="shared" si="1083"/>
      </c>
      <c r="BY392" s="30">
        <f t="shared" si="1083"/>
      </c>
      <c r="BZ392" s="30">
        <f t="shared" si="1083"/>
      </c>
      <c r="CA392" s="308">
        <f t="shared" ref="CA392:CC393" si="1084">IF(BV387="NM","NM",IF(CA387="NM","NM",IF(BV387&lt;=0,"NM",IF(CA387=0,"NM",IF(ABS(CA387/BV387-1)&gt;2.5,"NM",IF((ABS(CA387-BV387)=ABS(ABS(CA387)-ABS(BV387))),(CA387/BV387-1),"NM"))))))</f>
      </c>
      <c r="CB392" s="30">
        <f t="shared" si="1084"/>
      </c>
      <c r="CC392" s="30">
        <f t="shared" si="1084"/>
      </c>
      <c r="CD392" s="30">
        <f t="shared" ref="CD392:CF393" si="1085">IF(BY387="NM","NM",IF(CD387="NM","NM",IF(BY387&lt;=0,"NM",IF(CD387=0,"NM",IF(ABS(CD387/BY387-1)&gt;2.5,"NM",IF((ABS(CD387-BY387)=ABS(ABS(CD387)-ABS(BY387))),(CD387/BY387-1),"NM"))))))</f>
      </c>
      <c r="CE392" s="30">
        <f t="shared" si="1085"/>
      </c>
      <c r="CF392" s="308">
        <f t="shared" si="1085"/>
      </c>
      <c r="CG392" s="30">
        <f t="shared" ref="CG392:CM393" si="1086">IF(CB387=0, "NA", CG387/CB387-1)</f>
      </c>
      <c r="CH392" s="30">
        <f t="shared" si="1086"/>
      </c>
      <c r="CI392" s="30">
        <f t="shared" ref="CI392:CK393" si="1087">IF(CD387=0, "NA", CI387/CD387-1)</f>
      </c>
      <c r="CJ392" s="30">
        <f t="shared" si="1087"/>
      </c>
      <c r="CK392" s="308">
        <f t="shared" si="1087"/>
      </c>
      <c r="CL392" s="30">
        <f t="shared" si="1086"/>
      </c>
      <c r="CM392" s="30">
        <f t="shared" si="1086"/>
      </c>
      <c r="CN392" s="30">
        <f t="shared" ref="CN392:CP393" si="1088">IF(CI387=0, "NA", CN387/CI387-1)</f>
      </c>
      <c r="CO392" s="30">
        <f t="shared" si="1088"/>
      </c>
      <c r="CP392" s="308">
        <f t="shared" si="1088"/>
      </c>
      <c r="CQ392" s="926"/>
      <c r="CR392" s="926"/>
      <c r="CS392" s="926"/>
      <c r="CT392" s="926"/>
      <c r="CU392" s="308"/>
      <c r="CV392" s="926"/>
      <c r="CW392" s="926"/>
      <c r="CX392" s="926"/>
      <c r="CY392" s="926"/>
      <c r="CZ392" s="308"/>
      <c r="DA392" s="926"/>
      <c r="DB392" s="30"/>
      <c r="DC392" s="30"/>
      <c r="DD392" s="409"/>
      <c r="DE392" s="308"/>
      <c r="DF392" s="926"/>
      <c r="DG392" s="30"/>
      <c r="DH392" s="30"/>
      <c r="DI392" s="409"/>
      <c r="DJ392" s="308"/>
      <c r="DK392" s="926"/>
      <c r="DL392" s="30"/>
      <c r="DM392" s="30"/>
      <c r="DN392" s="409"/>
      <c r="DO392" s="308"/>
      <c r="DP392" s="30"/>
      <c r="DQ392" s="30"/>
      <c r="DR392" s="30"/>
      <c r="DS392" s="409"/>
      <c r="DT392" s="308"/>
      <c r="DU392" s="926"/>
      <c r="DV392" s="926"/>
      <c r="DW392" s="926"/>
      <c r="DX392" s="928"/>
      <c r="DY392" s="308"/>
      <c r="DZ392" s="926"/>
      <c r="EA392" s="926"/>
      <c r="EB392" s="926"/>
      <c r="EC392" s="928"/>
      <c r="ED392" s="1060"/>
      <c r="EE392" s="926"/>
      <c r="EF392" s="926"/>
      <c r="EG392" s="926"/>
      <c r="EH392" s="928"/>
      <c r="EI392" s="308"/>
      <c r="EJ392" s="308"/>
      <c r="EK392" s="308"/>
      <c r="EL392" s="308"/>
      <c r="EM392" s="308"/>
      <c r="EN392" s="308"/>
      <c r="EO392" s="409"/>
      <c r="EP392" s="308"/>
      <c r="EQ392" s="308"/>
      <c r="ER392" s="308"/>
      <c r="ES392" s="308"/>
      <c r="ET392" s="308"/>
      <c r="EU392" s="308"/>
      <c r="EV392" s="308"/>
      <c r="EW392" s="308"/>
      <c r="EX392" s="308"/>
    </row>
    <row r="393" spans="2:154" ht="12.75" hidden="1" customHeight="1" outlineLevel="1">
      <c r="B393" s="460" t="s">
        <v>412</v>
      </c>
      <c r="C393" s="1989"/>
      <c r="D393" s="28"/>
      <c r="E393" s="28"/>
      <c r="F393" s="28"/>
      <c r="G393" s="28"/>
      <c r="H393" s="28"/>
      <c r="I393" s="30">
        <f t="shared" si="1077"/>
      </c>
      <c r="J393" s="30">
        <f t="shared" si="1077"/>
      </c>
      <c r="K393" s="30">
        <f t="shared" si="1077"/>
      </c>
      <c r="L393" s="30">
        <f t="shared" si="1077"/>
      </c>
      <c r="M393" s="30">
        <f t="shared" si="1077"/>
      </c>
      <c r="N393" s="30">
        <f t="shared" si="1077"/>
      </c>
      <c r="O393" s="30">
        <f t="shared" si="1077"/>
      </c>
      <c r="P393" s="30">
        <f t="shared" si="1077"/>
      </c>
      <c r="Q393" s="30">
        <f t="shared" si="1077"/>
      </c>
      <c r="R393" s="30">
        <f t="shared" si="1077"/>
      </c>
      <c r="S393" s="30">
        <f t="shared" si="1078"/>
      </c>
      <c r="T393" s="30">
        <f t="shared" si="1078"/>
      </c>
      <c r="U393" s="30">
        <f t="shared" si="1078"/>
      </c>
      <c r="V393" s="30">
        <f t="shared" si="1078"/>
      </c>
      <c r="W393" s="30">
        <f t="shared" si="1078"/>
      </c>
      <c r="X393" s="308">
        <f t="shared" si="1078"/>
      </c>
      <c r="Y393" s="30">
        <f t="shared" si="1078"/>
      </c>
      <c r="Z393" s="30">
        <f t="shared" si="1078"/>
      </c>
      <c r="AA393" s="30">
        <f t="shared" si="1078"/>
      </c>
      <c r="AB393" s="30">
        <f t="shared" si="1078"/>
      </c>
      <c r="AC393" s="308">
        <f t="shared" si="1079"/>
      </c>
      <c r="AD393" s="30">
        <f t="shared" si="1079"/>
      </c>
      <c r="AE393" s="30">
        <f t="shared" si="1079"/>
      </c>
      <c r="AF393" s="30">
        <f t="shared" si="1079"/>
      </c>
      <c r="AG393" s="30">
        <f t="shared" si="1079"/>
      </c>
      <c r="AH393" s="308">
        <f t="shared" si="1079"/>
      </c>
      <c r="AI393" s="30">
        <f t="shared" si="1079"/>
      </c>
      <c r="AJ393" s="30">
        <f t="shared" si="1079"/>
      </c>
      <c r="AK393" s="30">
        <f t="shared" si="1079"/>
      </c>
      <c r="AL393" s="30">
        <f t="shared" si="1079"/>
      </c>
      <c r="AM393" s="308">
        <f t="shared" si="1080"/>
      </c>
      <c r="AN393" s="30">
        <f t="shared" si="1080"/>
      </c>
      <c r="AO393" s="30">
        <f t="shared" si="1080"/>
      </c>
      <c r="AP393" s="30">
        <f t="shared" si="1080"/>
      </c>
      <c r="AQ393" s="30">
        <f t="shared" si="1080"/>
      </c>
      <c r="AR393" s="308">
        <f t="shared" si="1080"/>
      </c>
      <c r="AS393" s="30">
        <f t="shared" si="1080"/>
      </c>
      <c r="AT393" s="30">
        <f t="shared" si="1080"/>
      </c>
      <c r="AU393" s="30">
        <f t="shared" si="1080"/>
      </c>
      <c r="AV393" s="30">
        <f t="shared" si="1080"/>
      </c>
      <c r="AW393" s="308">
        <f t="shared" si="1081"/>
      </c>
      <c r="AX393" s="30">
        <f t="shared" si="1081"/>
      </c>
      <c r="AY393" s="30">
        <f t="shared" si="1081"/>
      </c>
      <c r="AZ393" s="30">
        <f t="shared" si="1081"/>
      </c>
      <c r="BA393" s="30">
        <f t="shared" si="1081"/>
      </c>
      <c r="BB393" s="308">
        <f t="shared" si="1081"/>
      </c>
      <c r="BC393" s="30">
        <f t="shared" si="1081"/>
      </c>
      <c r="BD393" s="30">
        <f t="shared" si="1081"/>
      </c>
      <c r="BE393" s="30">
        <f t="shared" si="1081"/>
      </c>
      <c r="BF393" s="30">
        <f t="shared" si="1081"/>
      </c>
      <c r="BG393" s="308">
        <f t="shared" si="1082"/>
      </c>
      <c r="BH393" s="30">
        <f t="shared" si="1082"/>
      </c>
      <c r="BI393" s="30">
        <f t="shared" si="1082"/>
      </c>
      <c r="BJ393" s="30">
        <f t="shared" si="1082"/>
      </c>
      <c r="BK393" s="30">
        <f t="shared" si="1082"/>
      </c>
      <c r="BL393" s="308">
        <f t="shared" si="1082"/>
      </c>
      <c r="BM393" s="30">
        <f t="shared" si="1082"/>
      </c>
      <c r="BN393" s="30">
        <f t="shared" si="1082"/>
      </c>
      <c r="BO393" s="30">
        <f t="shared" si="1082"/>
      </c>
      <c r="BP393" s="30">
        <f t="shared" si="1082"/>
      </c>
      <c r="BQ393" s="308">
        <f t="shared" si="1083"/>
      </c>
      <c r="BR393" s="30">
        <f t="shared" si="1083"/>
      </c>
      <c r="BS393" s="30">
        <f t="shared" si="1083"/>
      </c>
      <c r="BT393" s="30">
        <f t="shared" si="1083"/>
      </c>
      <c r="BU393" s="30">
        <f t="shared" si="1083"/>
      </c>
      <c r="BV393" s="308">
        <f t="shared" si="1083"/>
      </c>
      <c r="BW393" s="30">
        <f t="shared" si="1083"/>
      </c>
      <c r="BX393" s="30">
        <f t="shared" si="1083"/>
      </c>
      <c r="BY393" s="30">
        <f t="shared" si="1083"/>
      </c>
      <c r="BZ393" s="30">
        <f t="shared" si="1083"/>
      </c>
      <c r="CA393" s="308">
        <f t="shared" si="1084"/>
      </c>
      <c r="CB393" s="30">
        <f t="shared" si="1084"/>
      </c>
      <c r="CC393" s="30">
        <f t="shared" si="1084"/>
      </c>
      <c r="CD393" s="30">
        <f t="shared" si="1085"/>
      </c>
      <c r="CE393" s="30">
        <f t="shared" si="1085"/>
      </c>
      <c r="CF393" s="308">
        <f t="shared" si="1085"/>
      </c>
      <c r="CG393" s="30">
        <f t="shared" si="1086"/>
      </c>
      <c r="CH393" s="30">
        <f t="shared" si="1086"/>
      </c>
      <c r="CI393" s="30">
        <f t="shared" si="1087"/>
      </c>
      <c r="CJ393" s="30">
        <f t="shared" si="1087"/>
      </c>
      <c r="CK393" s="308">
        <f t="shared" si="1087"/>
      </c>
      <c r="CL393" s="30">
        <f t="shared" si="1086"/>
      </c>
      <c r="CM393" s="30">
        <f t="shared" si="1086"/>
      </c>
      <c r="CN393" s="30">
        <f t="shared" si="1088"/>
      </c>
      <c r="CO393" s="30">
        <f t="shared" si="1088"/>
      </c>
      <c r="CP393" s="308">
        <f t="shared" si="1088"/>
      </c>
      <c r="CQ393" s="926"/>
      <c r="CR393" s="926"/>
      <c r="CS393" s="926"/>
      <c r="CT393" s="926"/>
      <c r="CU393" s="308"/>
      <c r="CV393" s="926"/>
      <c r="CW393" s="926"/>
      <c r="CX393" s="926"/>
      <c r="CY393" s="926"/>
      <c r="CZ393" s="308"/>
      <c r="DA393" s="926"/>
      <c r="DB393" s="30"/>
      <c r="DC393" s="30"/>
      <c r="DD393" s="409"/>
      <c r="DE393" s="308"/>
      <c r="DF393" s="926"/>
      <c r="DG393" s="30"/>
      <c r="DH393" s="30"/>
      <c r="DI393" s="409"/>
      <c r="DJ393" s="308"/>
      <c r="DK393" s="926"/>
      <c r="DL393" s="30"/>
      <c r="DM393" s="30"/>
      <c r="DN393" s="409"/>
      <c r="DO393" s="308"/>
      <c r="DP393" s="30"/>
      <c r="DQ393" s="30"/>
      <c r="DR393" s="30"/>
      <c r="DS393" s="409"/>
      <c r="DT393" s="308"/>
      <c r="DU393" s="926"/>
      <c r="DV393" s="926"/>
      <c r="DW393" s="926"/>
      <c r="DX393" s="928"/>
      <c r="DY393" s="308"/>
      <c r="DZ393" s="926"/>
      <c r="EA393" s="926"/>
      <c r="EB393" s="926"/>
      <c r="EC393" s="928"/>
      <c r="ED393" s="1060"/>
      <c r="EE393" s="926"/>
      <c r="EF393" s="926"/>
      <c r="EG393" s="926"/>
      <c r="EH393" s="928"/>
      <c r="EI393" s="308"/>
      <c r="EJ393" s="308"/>
      <c r="EK393" s="308"/>
      <c r="EL393" s="308"/>
      <c r="EM393" s="308"/>
      <c r="EN393" s="308"/>
      <c r="EO393" s="409"/>
      <c r="EP393" s="308"/>
      <c r="EQ393" s="308"/>
      <c r="ER393" s="308"/>
      <c r="ES393" s="308"/>
      <c r="ET393" s="308"/>
      <c r="EU393" s="308"/>
      <c r="EV393" s="308"/>
      <c r="EW393" s="308"/>
      <c r="EX393" s="308"/>
    </row>
    <row r="394" spans="2:154" ht="12.75" hidden="1" customHeight="1" outlineLevel="1">
      <c r="B394" s="460" t="s">
        <v>256</v>
      </c>
      <c r="C394" s="1989"/>
      <c r="D394" s="28"/>
      <c r="E394" s="28"/>
      <c r="F394" s="28"/>
      <c r="G394" s="28"/>
      <c r="H394" s="28"/>
      <c r="I394" s="1"/>
      <c r="J394" s="1"/>
      <c r="K394" s="1"/>
      <c r="L394" s="1"/>
      <c r="M394" s="1"/>
      <c r="N394" s="1"/>
      <c r="O394" s="1"/>
      <c r="P394" s="1"/>
      <c r="Q394" s="1"/>
      <c r="R394" s="1"/>
      <c r="S394" s="1"/>
      <c r="T394" s="1"/>
      <c r="U394" s="1"/>
      <c r="V394" s="1"/>
      <c r="W394" s="1"/>
      <c r="X394" s="315"/>
      <c r="Y394" s="1"/>
      <c r="Z394" s="1"/>
      <c r="AA394" s="1"/>
      <c r="AB394" s="1"/>
      <c r="AC394" s="315"/>
      <c r="AD394" s="1"/>
      <c r="AE394" s="1"/>
      <c r="AF394" s="1"/>
      <c r="AG394" s="1"/>
      <c r="AH394" s="315"/>
      <c r="AI394" s="8">
        <f t="shared" ref="AI394:BN394" si="1089">IF(ISNUMBER(AI393),(1+AI393)/(1+AI$21)-1,"NM")</f>
      </c>
      <c r="AJ394" s="8">
        <f t="shared" si="1089"/>
      </c>
      <c r="AK394" s="8">
        <f t="shared" si="1089"/>
      </c>
      <c r="AL394" s="8">
        <f t="shared" si="1089"/>
      </c>
      <c r="AM394" s="315">
        <f t="shared" si="1089"/>
      </c>
      <c r="AN394" s="8">
        <f t="shared" si="1089"/>
      </c>
      <c r="AO394" s="8">
        <f t="shared" si="1089"/>
      </c>
      <c r="AP394" s="8">
        <f t="shared" si="1089"/>
      </c>
      <c r="AQ394" s="8">
        <f t="shared" si="1089"/>
      </c>
      <c r="AR394" s="315">
        <f t="shared" si="1089"/>
      </c>
      <c r="AS394" s="8">
        <f t="shared" si="1089"/>
      </c>
      <c r="AT394" s="8">
        <f t="shared" si="1089"/>
      </c>
      <c r="AU394" s="8">
        <f t="shared" si="1089"/>
      </c>
      <c r="AV394" s="8">
        <f t="shared" si="1089"/>
      </c>
      <c r="AW394" s="315">
        <f t="shared" si="1089"/>
      </c>
      <c r="AX394" s="8">
        <f t="shared" si="1089"/>
      </c>
      <c r="AY394" s="8">
        <f t="shared" si="1089"/>
      </c>
      <c r="AZ394" s="8">
        <f t="shared" si="1089"/>
      </c>
      <c r="BA394" s="8">
        <f t="shared" si="1089"/>
      </c>
      <c r="BB394" s="315">
        <f t="shared" si="1089"/>
      </c>
      <c r="BC394" s="8">
        <f t="shared" si="1089"/>
      </c>
      <c r="BD394" s="8">
        <f t="shared" si="1089"/>
      </c>
      <c r="BE394" s="8">
        <f t="shared" si="1089"/>
      </c>
      <c r="BF394" s="8">
        <f t="shared" si="1089"/>
      </c>
      <c r="BG394" s="315">
        <f t="shared" si="1089"/>
      </c>
      <c r="BH394" s="8">
        <f t="shared" si="1089"/>
      </c>
      <c r="BI394" s="8">
        <f t="shared" si="1089"/>
      </c>
      <c r="BJ394" s="8">
        <f t="shared" si="1089"/>
      </c>
      <c r="BK394" s="8">
        <f t="shared" si="1089"/>
      </c>
      <c r="BL394" s="315">
        <f t="shared" si="1089"/>
      </c>
      <c r="BM394" s="8">
        <f t="shared" si="1089"/>
      </c>
      <c r="BN394" s="8">
        <f t="shared" si="1089"/>
      </c>
      <c r="BO394" s="8">
        <f t="shared" ref="BO394:CF394" si="1090">IF(ISNUMBER(BO393),(1+BO393)/(1+BO$21)-1,"NM")</f>
      </c>
      <c r="BP394" s="8">
        <f t="shared" si="1090"/>
      </c>
      <c r="BQ394" s="315">
        <f t="shared" si="1090"/>
      </c>
      <c r="BR394" s="8">
        <f t="shared" si="1090"/>
      </c>
      <c r="BS394" s="8">
        <f t="shared" si="1090"/>
      </c>
      <c r="BT394" s="8">
        <f t="shared" si="1090"/>
      </c>
      <c r="BU394" s="8">
        <f t="shared" si="1090"/>
      </c>
      <c r="BV394" s="315">
        <f t="shared" si="1090"/>
      </c>
      <c r="BW394" s="8">
        <f t="shared" si="1090"/>
      </c>
      <c r="BX394" s="8">
        <f t="shared" si="1090"/>
      </c>
      <c r="BY394" s="8">
        <f t="shared" si="1090"/>
      </c>
      <c r="BZ394" s="8">
        <f t="shared" si="1090"/>
      </c>
      <c r="CA394" s="315">
        <f t="shared" si="1090"/>
      </c>
      <c r="CB394" s="8">
        <f t="shared" si="1090"/>
      </c>
      <c r="CC394" s="8">
        <f t="shared" si="1090"/>
      </c>
      <c r="CD394" s="8">
        <f t="shared" si="1090"/>
      </c>
      <c r="CE394" s="8">
        <f t="shared" si="1090"/>
      </c>
      <c r="CF394" s="315">
        <f t="shared" si="1090"/>
      </c>
      <c r="CG394" s="41">
        <f t="shared" ref="CG394:CP394" si="1091">CG393-CG$21</f>
      </c>
      <c r="CH394" s="41">
        <f t="shared" si="1091"/>
      </c>
      <c r="CI394" s="41">
        <f t="shared" si="1091"/>
      </c>
      <c r="CJ394" s="41">
        <f t="shared" si="1091"/>
      </c>
      <c r="CK394" s="315">
        <f t="shared" si="1091"/>
      </c>
      <c r="CL394" s="41">
        <f t="shared" si="1091"/>
      </c>
      <c r="CM394" s="41">
        <f t="shared" si="1091"/>
      </c>
      <c r="CN394" s="41">
        <f t="shared" si="1091"/>
      </c>
      <c r="CO394" s="41">
        <f t="shared" si="1091"/>
      </c>
      <c r="CP394" s="315">
        <f t="shared" si="1091"/>
      </c>
      <c r="CQ394" s="925"/>
      <c r="CR394" s="925"/>
      <c r="CS394" s="925"/>
      <c r="CT394" s="925"/>
      <c r="CU394" s="315"/>
      <c r="CV394" s="925"/>
      <c r="CW394" s="925"/>
      <c r="CX394" s="925"/>
      <c r="CY394" s="925"/>
      <c r="CZ394" s="315"/>
      <c r="DA394" s="925"/>
      <c r="DB394" s="8"/>
      <c r="DC394" s="8"/>
      <c r="DD394" s="942"/>
      <c r="DE394" s="308"/>
      <c r="DF394" s="925"/>
      <c r="DG394" s="30"/>
      <c r="DH394" s="30"/>
      <c r="DI394" s="409"/>
      <c r="DJ394" s="308"/>
      <c r="DK394" s="925"/>
      <c r="DL394" s="30"/>
      <c r="DM394" s="30"/>
      <c r="DN394" s="409"/>
      <c r="DO394" s="308"/>
      <c r="DP394" s="30"/>
      <c r="DQ394" s="30"/>
      <c r="DR394" s="30"/>
      <c r="DS394" s="409"/>
      <c r="DT394" s="308"/>
      <c r="DU394" s="926"/>
      <c r="DV394" s="926"/>
      <c r="DW394" s="926"/>
      <c r="DX394" s="928"/>
      <c r="DY394" s="308"/>
      <c r="DZ394" s="926"/>
      <c r="EA394" s="926"/>
      <c r="EB394" s="926"/>
      <c r="EC394" s="928"/>
      <c r="ED394" s="1060"/>
      <c r="EE394" s="926"/>
      <c r="EF394" s="926"/>
      <c r="EG394" s="926"/>
      <c r="EH394" s="928"/>
      <c r="EI394" s="308"/>
      <c r="EJ394" s="308"/>
      <c r="EK394" s="308"/>
      <c r="EL394" s="308"/>
      <c r="EM394" s="308"/>
      <c r="EN394" s="308"/>
      <c r="EO394" s="409"/>
      <c r="EP394" s="308"/>
      <c r="EQ394" s="308"/>
      <c r="ER394" s="308"/>
      <c r="ES394" s="308"/>
      <c r="ET394" s="308"/>
      <c r="EU394" s="308"/>
      <c r="EV394" s="308"/>
      <c r="EW394" s="308"/>
      <c r="EX394" s="308"/>
    </row>
    <row r="395" spans="2:154" ht="12.75" hidden="1" customHeight="1" outlineLevel="1">
      <c r="B395" s="460" t="s">
        <v>413</v>
      </c>
      <c r="C395" s="1989"/>
      <c r="D395" s="28"/>
      <c r="E395" s="28"/>
      <c r="F395" s="28"/>
      <c r="G395" s="28"/>
      <c r="H395" s="28"/>
      <c r="I395" s="30">
        <f t="shared" ref="I395:AN395" si="1092">IF(D389="NM","NM",IF(I389="NM","NM",IF(D389&lt;=0,"NM",IF(I389=0,"NM",IF(ABS(I389/D389-1)&gt;2.5,"NM",IF((ABS(I389-D389)=ABS(ABS(I389)-ABS(D389))),(I389/D389-1),"NM"))))))</f>
      </c>
      <c r="J395" s="30">
        <f t="shared" si="1092"/>
      </c>
      <c r="K395" s="30">
        <f t="shared" si="1092"/>
      </c>
      <c r="L395" s="30">
        <f t="shared" si="1092"/>
      </c>
      <c r="M395" s="30">
        <f t="shared" si="1092"/>
      </c>
      <c r="N395" s="30">
        <f t="shared" si="1092"/>
      </c>
      <c r="O395" s="30">
        <f t="shared" si="1092"/>
      </c>
      <c r="P395" s="30">
        <f t="shared" si="1092"/>
      </c>
      <c r="Q395" s="30">
        <f t="shared" si="1092"/>
      </c>
      <c r="R395" s="30">
        <f t="shared" si="1092"/>
      </c>
      <c r="S395" s="30">
        <f t="shared" si="1092"/>
      </c>
      <c r="T395" s="30">
        <f t="shared" si="1092"/>
      </c>
      <c r="U395" s="30">
        <f t="shared" si="1092"/>
      </c>
      <c r="V395" s="30">
        <f t="shared" si="1092"/>
      </c>
      <c r="W395" s="30">
        <f t="shared" si="1092"/>
      </c>
      <c r="X395" s="308">
        <f t="shared" si="1092"/>
      </c>
      <c r="Y395" s="30">
        <f t="shared" si="1092"/>
      </c>
      <c r="Z395" s="30">
        <f t="shared" si="1092"/>
      </c>
      <c r="AA395" s="30">
        <f t="shared" si="1092"/>
      </c>
      <c r="AB395" s="30">
        <f t="shared" si="1092"/>
      </c>
      <c r="AC395" s="308">
        <f t="shared" si="1092"/>
      </c>
      <c r="AD395" s="30">
        <f t="shared" si="1092"/>
      </c>
      <c r="AE395" s="30">
        <f t="shared" si="1092"/>
      </c>
      <c r="AF395" s="30">
        <f t="shared" si="1092"/>
      </c>
      <c r="AG395" s="30">
        <f t="shared" si="1092"/>
      </c>
      <c r="AH395" s="308">
        <f t="shared" si="1092"/>
      </c>
      <c r="AI395" s="30">
        <f t="shared" si="1092"/>
      </c>
      <c r="AJ395" s="30">
        <f t="shared" si="1092"/>
      </c>
      <c r="AK395" s="30">
        <f t="shared" si="1092"/>
      </c>
      <c r="AL395" s="30">
        <f t="shared" si="1092"/>
      </c>
      <c r="AM395" s="308">
        <f t="shared" si="1092"/>
      </c>
      <c r="AN395" s="30">
        <f t="shared" si="1092"/>
      </c>
      <c r="AO395" s="30">
        <f t="shared" ref="AO395:BT395" si="1093">IF(AJ389="NM","NM",IF(AO389="NM","NM",IF(AJ389&lt;=0,"NM",IF(AO389=0,"NM",IF(ABS(AO389/AJ389-1)&gt;2.5,"NM",IF((ABS(AO389-AJ389)=ABS(ABS(AO389)-ABS(AJ389))),(AO389/AJ389-1),"NM"))))))</f>
      </c>
      <c r="AP395" s="30">
        <f t="shared" si="1093"/>
      </c>
      <c r="AQ395" s="30">
        <f t="shared" si="1093"/>
      </c>
      <c r="AR395" s="308">
        <f t="shared" si="1093"/>
      </c>
      <c r="AS395" s="30">
        <f t="shared" si="1093"/>
      </c>
      <c r="AT395" s="30">
        <f t="shared" si="1093"/>
      </c>
      <c r="AU395" s="30">
        <f t="shared" si="1093"/>
      </c>
      <c r="AV395" s="30">
        <f t="shared" si="1093"/>
      </c>
      <c r="AW395" s="308">
        <f t="shared" si="1093"/>
      </c>
      <c r="AX395" s="30">
        <f t="shared" si="1093"/>
      </c>
      <c r="AY395" s="30">
        <f t="shared" si="1093"/>
      </c>
      <c r="AZ395" s="30">
        <f t="shared" si="1093"/>
      </c>
      <c r="BA395" s="30">
        <f t="shared" si="1093"/>
      </c>
      <c r="BB395" s="308">
        <f t="shared" si="1093"/>
      </c>
      <c r="BC395" s="30">
        <f t="shared" si="1093"/>
      </c>
      <c r="BD395" s="30">
        <f t="shared" si="1093"/>
      </c>
      <c r="BE395" s="30">
        <f t="shared" si="1093"/>
      </c>
      <c r="BF395" s="30">
        <f t="shared" si="1093"/>
      </c>
      <c r="BG395" s="308">
        <f t="shared" si="1093"/>
      </c>
      <c r="BH395" s="30">
        <f t="shared" si="1093"/>
      </c>
      <c r="BI395" s="30">
        <f t="shared" si="1093"/>
      </c>
      <c r="BJ395" s="30">
        <f t="shared" si="1093"/>
      </c>
      <c r="BK395" s="30">
        <f t="shared" si="1093"/>
      </c>
      <c r="BL395" s="308">
        <f t="shared" si="1093"/>
      </c>
      <c r="BM395" s="30">
        <f t="shared" si="1093"/>
      </c>
      <c r="BN395" s="30">
        <f t="shared" si="1093"/>
      </c>
      <c r="BO395" s="30">
        <f t="shared" si="1093"/>
      </c>
      <c r="BP395" s="30">
        <f t="shared" si="1093"/>
      </c>
      <c r="BQ395" s="308">
        <f t="shared" si="1093"/>
      </c>
      <c r="BR395" s="30">
        <f t="shared" si="1093"/>
      </c>
      <c r="BS395" s="30">
        <f t="shared" si="1093"/>
      </c>
      <c r="BT395" s="30">
        <f t="shared" si="1093"/>
      </c>
      <c r="BU395" s="30">
        <f t="shared" ref="BU395:CA395" si="1094">IF(BP389="NM","NM",IF(BU389="NM","NM",IF(BP389&lt;=0,"NM",IF(BU389=0,"NM",IF(ABS(BU389/BP389-1)&gt;2.5,"NM",IF((ABS(BU389-BP389)=ABS(ABS(BU389)-ABS(BP389))),(BU389/BP389-1),"NM"))))))</f>
      </c>
      <c r="BV395" s="308">
        <f t="shared" si="1094"/>
      </c>
      <c r="BW395" s="30">
        <f t="shared" si="1094"/>
      </c>
      <c r="BX395" s="30">
        <f t="shared" si="1094"/>
      </c>
      <c r="BY395" s="30">
        <f t="shared" si="1094"/>
      </c>
      <c r="BZ395" s="30">
        <f t="shared" si="1094"/>
      </c>
      <c r="CA395" s="308">
        <f t="shared" si="1094"/>
      </c>
      <c r="CB395" s="30">
        <f>IF(BW389="NM","NM",IF(CB389="NM","NM",IF(BW389&lt;=0,"NM",IF(CB389=0,"NM",IF(ABS(CB389/BW389-1)&gt;2.5,"NM",IF((ABS(CB389-BW389)=ABS(ABS(CB389)-ABS(BW389))),(CB389/BW389-1),"NM"))))))</f>
      </c>
      <c r="CC395" s="30">
        <f>IF(BX389="NM","NM",IF(CC389="NM","NM",IF(BX389&lt;=0,"NM",IF(CC389=0,"NM",IF(ABS(CC389/BX389-1)&gt;2.5,"NM",IF((ABS(CC389-BX389)=ABS(ABS(CC389)-ABS(BX389))),(CC389/BX389-1),"NM"))))))</f>
      </c>
      <c r="CD395" s="30">
        <f>IF(BY389="NM","NM",IF(CD389="NM","NM",IF(BY389&lt;=0,"NM",IF(CD389=0,"NM",IF(ABS(CD389/BY389-1)&gt;2.5,"NM",IF((ABS(CD389-BY389)=ABS(ABS(CD389)-ABS(BY389))),(CD389/BY389-1),"NM"))))))</f>
      </c>
      <c r="CE395" s="30">
        <f>IF(BZ389="NM","NM",IF(CE389="NM","NM",IF(BZ389&lt;=0,"NM",IF(CE389=0,"NM",IF(ABS(CE389/BZ389-1)&gt;2.5,"NM",IF((ABS(CE389-BZ389)=ABS(ABS(CE389)-ABS(BZ389))),(CE389/BZ389-1),"NM"))))))</f>
      </c>
      <c r="CF395" s="308">
        <f>IF(CA389="NM","NM",IF(CF389="NM","NM",IF(CA389&lt;=0,"NM",IF(CF389=0,"NM",IF(ABS(CF389/CA389-1)&gt;2.5,"NM",IF((ABS(CF389-CA389)=ABS(ABS(CF389)-ABS(CA389))),(CF389/CA389-1),"NM"))))))</f>
      </c>
      <c r="CG395" s="30">
        <f t="shared" ref="CG395:CM395" si="1095">IF(CB389=0, "NA", CG389/CB389-1)</f>
      </c>
      <c r="CH395" s="30">
        <f t="shared" si="1095"/>
      </c>
      <c r="CI395" s="30">
        <f>IF(CD389=0, "NA", CI389/CD389-1)</f>
      </c>
      <c r="CJ395" s="30">
        <f>IF(CE389=0, "NA", CJ389/CE389-1)</f>
      </c>
      <c r="CK395" s="308">
        <f>IF(CF389=0, "NA", CK389/CF389-1)</f>
      </c>
      <c r="CL395" s="30">
        <f t="shared" si="1095"/>
      </c>
      <c r="CM395" s="30">
        <f t="shared" si="1095"/>
      </c>
      <c r="CN395" s="30">
        <f>IF(CI389=0, "NA", CN389/CI389-1)</f>
      </c>
      <c r="CO395" s="30">
        <f>IF(CJ389=0, "NA", CO389/CJ389-1)</f>
      </c>
      <c r="CP395" s="308">
        <f>IF(CK389=0, "NA", CP389/CK389-1)</f>
      </c>
      <c r="CQ395" s="926"/>
      <c r="CR395" s="926"/>
      <c r="CS395" s="926"/>
      <c r="CT395" s="926"/>
      <c r="CU395" s="308"/>
      <c r="CV395" s="926"/>
      <c r="CW395" s="926"/>
      <c r="CX395" s="926"/>
      <c r="CY395" s="926"/>
      <c r="CZ395" s="308"/>
      <c r="DA395" s="926"/>
      <c r="DB395" s="30"/>
      <c r="DC395" s="30"/>
      <c r="DD395" s="409"/>
      <c r="DE395" s="308"/>
      <c r="DF395" s="926"/>
      <c r="DG395" s="30"/>
      <c r="DH395" s="30"/>
      <c r="DI395" s="409"/>
      <c r="DJ395" s="308"/>
      <c r="DK395" s="926"/>
      <c r="DL395" s="30"/>
      <c r="DM395" s="30"/>
      <c r="DN395" s="409"/>
      <c r="DO395" s="308"/>
      <c r="DP395" s="30"/>
      <c r="DQ395" s="30"/>
      <c r="DR395" s="30"/>
      <c r="DS395" s="409"/>
      <c r="DT395" s="308"/>
      <c r="DU395" s="926"/>
      <c r="DV395" s="926"/>
      <c r="DW395" s="926"/>
      <c r="DX395" s="928"/>
      <c r="DY395" s="308"/>
      <c r="DZ395" s="926"/>
      <c r="EA395" s="926"/>
      <c r="EB395" s="926"/>
      <c r="EC395" s="928"/>
      <c r="ED395" s="1060"/>
      <c r="EE395" s="926"/>
      <c r="EF395" s="926"/>
      <c r="EG395" s="926"/>
      <c r="EH395" s="928"/>
      <c r="EI395" s="308"/>
      <c r="EJ395" s="308"/>
      <c r="EK395" s="308"/>
      <c r="EL395" s="308"/>
      <c r="EM395" s="308"/>
      <c r="EN395" s="308"/>
      <c r="EO395" s="409"/>
      <c r="EP395" s="308"/>
      <c r="EQ395" s="308"/>
      <c r="ER395" s="308"/>
      <c r="ES395" s="308"/>
      <c r="ET395" s="308"/>
      <c r="EU395" s="308"/>
      <c r="EV395" s="308"/>
      <c r="EW395" s="308"/>
      <c r="EX395" s="308"/>
    </row>
    <row r="396" spans="2:154" ht="12.75" hidden="1" customHeight="1" outlineLevel="1">
      <c r="B396" s="340"/>
      <c r="C396" s="1989"/>
      <c r="D396" s="28"/>
      <c r="E396" s="28"/>
      <c r="F396" s="28"/>
      <c r="G396" s="28"/>
      <c r="H396" s="28"/>
      <c r="I396" s="31"/>
      <c r="J396" s="28"/>
      <c r="K396" s="28"/>
      <c r="L396" s="28"/>
      <c r="M396" s="28"/>
      <c r="N396" s="31"/>
      <c r="O396" s="31"/>
      <c r="P396" s="31"/>
      <c r="Q396" s="31"/>
      <c r="R396" s="31"/>
      <c r="S396" s="31"/>
      <c r="T396" s="31"/>
      <c r="U396" s="31"/>
      <c r="V396" s="31"/>
      <c r="W396" s="31"/>
      <c r="X396" s="313"/>
      <c r="Y396" s="31"/>
      <c r="Z396" s="31"/>
      <c r="AA396" s="31"/>
      <c r="AB396" s="31"/>
      <c r="AC396" s="313"/>
      <c r="AD396" s="31"/>
      <c r="AE396" s="31"/>
      <c r="AF396" s="31"/>
      <c r="AG396" s="31"/>
      <c r="AH396" s="313"/>
      <c r="AI396" s="31"/>
      <c r="AJ396" s="31"/>
      <c r="AK396" s="31"/>
      <c r="AL396" s="31"/>
      <c r="AM396" s="313"/>
      <c r="AN396" s="31"/>
      <c r="AO396" s="31"/>
      <c r="AP396" s="31"/>
      <c r="AQ396" s="31"/>
      <c r="AR396" s="313"/>
      <c r="AS396" s="31"/>
      <c r="AT396" s="31"/>
      <c r="AU396" s="31"/>
      <c r="AV396" s="31"/>
      <c r="AW396" s="313"/>
      <c r="AX396" s="31"/>
      <c r="AY396" s="31"/>
      <c r="AZ396" s="31"/>
      <c r="BA396" s="31"/>
      <c r="BB396" s="313"/>
      <c r="BC396" s="31"/>
      <c r="BD396" s="31"/>
      <c r="BE396" s="31"/>
      <c r="BF396" s="31"/>
      <c r="BG396" s="313"/>
      <c r="BH396" s="31"/>
      <c r="BI396" s="31"/>
      <c r="BJ396" s="31"/>
      <c r="BK396" s="31"/>
      <c r="BL396" s="313"/>
      <c r="BM396" s="31"/>
      <c r="BN396" s="31"/>
      <c r="BO396" s="31"/>
      <c r="BP396" s="31"/>
      <c r="BQ396" s="313"/>
      <c r="BR396" s="31"/>
      <c r="BS396" s="31"/>
      <c r="BT396" s="31"/>
      <c r="BU396" s="31"/>
      <c r="BV396" s="313"/>
      <c r="BW396" s="31"/>
      <c r="BX396" s="31"/>
      <c r="BY396" s="31"/>
      <c r="BZ396" s="31"/>
      <c r="CA396" s="313"/>
      <c r="CB396" s="31"/>
      <c r="CC396" s="31"/>
      <c r="CD396" s="31"/>
      <c r="CE396" s="31"/>
      <c r="CF396" s="313"/>
      <c r="CG396" s="31"/>
      <c r="CH396" s="31"/>
      <c r="CI396" s="31"/>
      <c r="CJ396" s="31"/>
      <c r="CK396" s="313"/>
      <c r="CL396" s="31"/>
      <c r="CM396" s="31"/>
      <c r="CN396" s="31"/>
      <c r="CO396" s="31"/>
      <c r="CP396" s="313"/>
      <c r="CQ396" s="31"/>
      <c r="CR396" s="31"/>
      <c r="CS396" s="31"/>
      <c r="CT396" s="31"/>
      <c r="CU396" s="313"/>
      <c r="CV396" s="31"/>
      <c r="CW396" s="31"/>
      <c r="CX396" s="31"/>
      <c r="CY396" s="31"/>
      <c r="CZ396" s="313"/>
      <c r="DA396" s="31"/>
      <c r="DB396" s="31"/>
      <c r="DC396" s="31"/>
      <c r="DD396" s="955"/>
      <c r="DE396" s="477"/>
      <c r="DF396" s="603"/>
      <c r="DG396" s="603"/>
      <c r="DH396" s="603"/>
      <c r="DI396" s="1798"/>
      <c r="DJ396" s="477"/>
      <c r="DK396" s="603"/>
      <c r="DL396" s="603"/>
      <c r="DM396" s="603"/>
      <c r="DN396" s="1798"/>
      <c r="DO396" s="477"/>
      <c r="DP396" s="603"/>
      <c r="DQ396" s="603"/>
      <c r="DR396" s="603"/>
      <c r="DS396" s="1798"/>
      <c r="DT396" s="477"/>
      <c r="DU396" s="603"/>
      <c r="DV396" s="603"/>
      <c r="DW396" s="603"/>
      <c r="DX396" s="1798"/>
      <c r="DY396" s="477"/>
      <c r="DZ396" s="603"/>
      <c r="EA396" s="603"/>
      <c r="EB396" s="603"/>
      <c r="EC396" s="1798"/>
      <c r="ED396" s="477"/>
      <c r="EE396" s="603"/>
      <c r="EF396" s="603"/>
      <c r="EG396" s="603"/>
      <c r="EH396" s="1798"/>
      <c r="EI396" s="477"/>
      <c r="EJ396" s="477"/>
      <c r="EK396" s="477"/>
      <c r="EL396" s="477"/>
      <c r="EM396" s="477"/>
      <c r="EN396" s="477"/>
      <c r="EO396" s="1798"/>
      <c r="EP396" s="477"/>
      <c r="EQ396" s="477"/>
      <c r="ER396" s="477"/>
      <c r="ES396" s="477"/>
      <c r="ET396" s="477"/>
      <c r="EU396" s="477"/>
      <c r="EV396" s="477"/>
      <c r="EW396" s="477"/>
      <c r="EX396" s="477"/>
    </row>
    <row r="397" spans="2:154" ht="12.75" hidden="1" customHeight="1" outlineLevel="1">
      <c r="B397" s="436" t="s">
        <v>534</v>
      </c>
      <c r="C397" s="1989"/>
      <c r="D397" s="28"/>
      <c r="E397" s="28"/>
      <c r="F397" s="28"/>
      <c r="G397" s="28"/>
      <c r="H397" s="28"/>
      <c r="I397" s="31"/>
      <c r="J397" s="28"/>
      <c r="K397" s="28"/>
      <c r="L397" s="28"/>
      <c r="M397" s="28"/>
      <c r="N397" s="31"/>
      <c r="O397" s="31"/>
      <c r="P397" s="31"/>
      <c r="Q397" s="31"/>
      <c r="R397" s="31"/>
      <c r="S397" s="31"/>
      <c r="T397" s="31"/>
      <c r="U397" s="31"/>
      <c r="V397" s="31"/>
      <c r="W397" s="31"/>
      <c r="X397" s="313"/>
      <c r="Y397" s="31"/>
      <c r="Z397" s="31"/>
      <c r="AA397" s="31"/>
      <c r="AB397" s="31"/>
      <c r="AC397" s="313"/>
      <c r="AD397" s="31"/>
      <c r="AE397" s="31"/>
      <c r="AF397" s="31"/>
      <c r="AG397" s="31"/>
      <c r="AH397" s="313"/>
      <c r="AI397" s="28"/>
      <c r="AJ397" s="28"/>
      <c r="AK397" s="28"/>
      <c r="AL397" s="31"/>
      <c r="AM397" s="313"/>
      <c r="AN397" s="28"/>
      <c r="AO397" s="28"/>
      <c r="AP397" s="28"/>
      <c r="AQ397" s="31"/>
      <c r="AR397" s="313"/>
      <c r="AS397" s="28"/>
      <c r="AT397" s="28"/>
      <c r="AU397" s="28"/>
      <c r="AV397" s="31"/>
      <c r="AW397" s="313"/>
      <c r="AX397" s="28"/>
      <c r="AY397" s="28"/>
      <c r="AZ397" s="28"/>
      <c r="BA397" s="28"/>
      <c r="BB397" s="313"/>
      <c r="BC397" s="28"/>
      <c r="BD397" s="28"/>
      <c r="BE397" s="28"/>
      <c r="BF397" s="28"/>
      <c r="BG397" s="313"/>
      <c r="BH397" s="28"/>
      <c r="BI397" s="28"/>
      <c r="BJ397" s="28"/>
      <c r="BK397" s="28"/>
      <c r="BL397" s="313"/>
      <c r="BM397" s="28"/>
      <c r="BN397" s="28"/>
      <c r="BO397" s="28"/>
      <c r="BP397" s="28"/>
      <c r="BQ397" s="313"/>
      <c r="BR397" s="28"/>
      <c r="BS397" s="28"/>
      <c r="BT397" s="28"/>
      <c r="BU397" s="28"/>
      <c r="BV397" s="313"/>
      <c r="BW397" s="28"/>
      <c r="BX397" s="28"/>
      <c r="BY397" s="28"/>
      <c r="BZ397" s="28"/>
      <c r="CA397" s="313"/>
      <c r="CB397" s="28"/>
      <c r="CC397" s="28"/>
      <c r="CD397" s="28"/>
      <c r="CE397" s="28"/>
      <c r="CF397" s="313"/>
      <c r="CG397" s="28"/>
      <c r="CH397" s="28"/>
      <c r="CI397" s="28"/>
      <c r="CJ397" s="28"/>
      <c r="CK397" s="313"/>
      <c r="CL397" s="28"/>
      <c r="CM397" s="28"/>
      <c r="CN397" s="28"/>
      <c r="CO397" s="28"/>
      <c r="CP397" s="313"/>
      <c r="CQ397" s="933"/>
      <c r="CR397" s="933"/>
      <c r="CS397" s="933"/>
      <c r="CT397" s="933"/>
      <c r="CU397" s="313"/>
      <c r="CV397" s="933"/>
      <c r="CW397" s="933"/>
      <c r="CX397" s="933"/>
      <c r="CY397" s="933"/>
      <c r="CZ397" s="313"/>
      <c r="DA397" s="933"/>
      <c r="DB397" s="31"/>
      <c r="DC397" s="31"/>
      <c r="DD397" s="955"/>
      <c r="DE397" s="477"/>
      <c r="DF397" s="982"/>
      <c r="DG397" s="603"/>
      <c r="DH397" s="603"/>
      <c r="DI397" s="1798"/>
      <c r="DJ397" s="477"/>
      <c r="DK397" s="982"/>
      <c r="DL397" s="603"/>
      <c r="DM397" s="603"/>
      <c r="DN397" s="1798"/>
      <c r="DO397" s="477"/>
      <c r="DP397" s="603"/>
      <c r="DQ397" s="603"/>
      <c r="DR397" s="603"/>
      <c r="DS397" s="1798"/>
      <c r="DT397" s="477"/>
      <c r="DU397" s="603"/>
      <c r="DV397" s="603"/>
      <c r="DW397" s="603"/>
      <c r="DX397" s="1798"/>
      <c r="DY397" s="477"/>
      <c r="DZ397" s="603"/>
      <c r="EA397" s="603"/>
      <c r="EB397" s="603"/>
      <c r="EC397" s="1798"/>
      <c r="ED397" s="477"/>
      <c r="EE397" s="603"/>
      <c r="EF397" s="603"/>
      <c r="EG397" s="603"/>
      <c r="EH397" s="1798"/>
      <c r="EI397" s="477"/>
      <c r="EJ397" s="477"/>
      <c r="EK397" s="477"/>
      <c r="EL397" s="477"/>
      <c r="EM397" s="477"/>
      <c r="EN397" s="477"/>
      <c r="EO397" s="1798"/>
      <c r="EP397" s="477"/>
      <c r="EQ397" s="477"/>
      <c r="ER397" s="477"/>
      <c r="ES397" s="477"/>
      <c r="ET397" s="477"/>
      <c r="EU397" s="477"/>
      <c r="EV397" s="477"/>
      <c r="EW397" s="477"/>
      <c r="EX397" s="477"/>
    </row>
    <row r="398" spans="2:154" ht="12.75" hidden="1" customHeight="1" outlineLevel="1">
      <c r="B398" s="437" t="s">
        <v>187</v>
      </c>
      <c r="C398" s="1989">
        <v>2005</v>
      </c>
      <c r="D398" s="31">
        <f>+I398/(1+I403)</f>
      </c>
      <c r="E398" s="33">
        <v>76</v>
      </c>
      <c r="F398" s="33">
        <v>86.428571428571431</v>
      </c>
      <c r="G398" s="33">
        <v>87</v>
      </c>
      <c r="H398" s="33">
        <v>76</v>
      </c>
      <c r="I398" s="31">
        <f>+SUM(E398:H398)</f>
      </c>
      <c r="J398" s="33">
        <v>99</v>
      </c>
      <c r="K398" s="33">
        <v>121</v>
      </c>
      <c r="L398" s="33">
        <v>94</v>
      </c>
      <c r="M398" s="33">
        <v>92</v>
      </c>
      <c r="N398" s="31">
        <f>+SUM(J398:M398)</f>
      </c>
      <c r="O398" s="33">
        <v>124</v>
      </c>
      <c r="P398" s="33">
        <v>161</v>
      </c>
      <c r="Q398" s="33">
        <v>125</v>
      </c>
      <c r="R398" s="33">
        <v>132</v>
      </c>
      <c r="S398" s="31">
        <f>SUM(O398:R398)</f>
      </c>
      <c r="T398" s="33">
        <v>187</v>
      </c>
      <c r="U398" s="33">
        <v>192</v>
      </c>
      <c r="V398" s="33">
        <v>178</v>
      </c>
      <c r="W398" s="33">
        <v>188</v>
      </c>
      <c r="X398" s="313">
        <f>SUM(T398:W398)</f>
      </c>
      <c r="Y398" s="33">
        <v>252</v>
      </c>
      <c r="Z398" s="33">
        <v>215</v>
      </c>
      <c r="AA398" s="33">
        <v>262</v>
      </c>
      <c r="AB398" s="33">
        <v>248</v>
      </c>
      <c r="AC398" s="313">
        <f>SUM(Y398:AB398)</f>
      </c>
      <c r="AD398" s="33">
        <v>267</v>
      </c>
      <c r="AE398" s="33">
        <v>359</v>
      </c>
      <c r="AF398" s="33">
        <v>323.5</v>
      </c>
      <c r="AG398" s="33">
        <v>317</v>
      </c>
      <c r="AH398" s="313">
        <f>SUM(AD398:AG398)</f>
      </c>
      <c r="AI398" s="33">
        <v>194</v>
      </c>
      <c r="AJ398" s="33">
        <v>116</v>
      </c>
      <c r="AK398" s="33">
        <v>142</v>
      </c>
      <c r="AL398" s="33">
        <v>130</v>
      </c>
      <c r="AM398" s="313">
        <f>+SUM(AI398:AL398)</f>
      </c>
      <c r="AN398" s="33">
        <v>110</v>
      </c>
      <c r="AO398" s="33">
        <v>121</v>
      </c>
      <c r="AP398" s="33">
        <v>138</v>
      </c>
      <c r="AQ398" s="33">
        <v>108</v>
      </c>
      <c r="AR398" s="313">
        <f>+SUM(AN398:AQ398)</f>
      </c>
      <c r="AS398" s="33">
        <v>116</v>
      </c>
      <c r="AT398" s="33">
        <v>97</v>
      </c>
      <c r="AU398" s="33">
        <v>107</v>
      </c>
      <c r="AV398" s="33">
        <v>72</v>
      </c>
      <c r="AW398" s="313">
        <f>SUM(AS398:AV398)</f>
      </c>
      <c r="AX398" s="33">
        <v>75</v>
      </c>
      <c r="AY398" s="33">
        <v>70</v>
      </c>
      <c r="AZ398" s="33">
        <v>54</v>
      </c>
      <c r="BA398" s="33">
        <v>72</v>
      </c>
      <c r="BB398" s="313">
        <f>SUM(AX398:BA398)</f>
      </c>
      <c r="BC398" s="33">
        <v>75</v>
      </c>
      <c r="BD398" s="33">
        <v>50</v>
      </c>
      <c r="BE398" s="33">
        <v>38</v>
      </c>
      <c r="BF398" s="33">
        <v>53</v>
      </c>
      <c r="BG398" s="313">
        <f>SUM(BC398:BF398)</f>
      </c>
      <c r="BH398" s="33">
        <v>38</v>
      </c>
      <c r="BI398" s="33">
        <v>37</v>
      </c>
      <c r="BJ398" s="33">
        <v>42</v>
      </c>
      <c r="BK398" s="33">
        <v>45</v>
      </c>
      <c r="BL398" s="313">
        <f>SUM(BH398:BK398)</f>
      </c>
      <c r="BM398" s="33">
        <v>4</v>
      </c>
      <c r="BN398" s="352">
        <v>34</v>
      </c>
      <c r="BO398" s="352">
        <v>31</v>
      </c>
      <c r="BP398" s="33">
        <v>21</v>
      </c>
      <c r="BQ398" s="313">
        <f>SUM(BM398:BP398)</f>
      </c>
      <c r="BR398" s="761">
        <v>26.4</v>
      </c>
      <c r="BS398" s="761">
        <v>25.5</v>
      </c>
      <c r="BT398" s="761">
        <v>18.600000000000001</v>
      </c>
      <c r="BU398" s="761">
        <v>15</v>
      </c>
      <c r="BV398" s="313">
        <f>SUM(BR398:BU398)</f>
      </c>
      <c r="BW398" s="761">
        <v>21.12</v>
      </c>
      <c r="BX398" s="761">
        <v>20</v>
      </c>
      <c r="BY398" s="761">
        <v>19</v>
      </c>
      <c r="BZ398" s="761">
        <v>15</v>
      </c>
      <c r="CA398" s="313">
        <f>SUM(BW398:BZ398)</f>
      </c>
      <c r="CB398" s="761">
        <v>17</v>
      </c>
      <c r="CC398" s="761">
        <v>17</v>
      </c>
      <c r="CD398" s="761">
        <v>16.7</v>
      </c>
      <c r="CE398" s="761">
        <v>13</v>
      </c>
      <c r="CF398" s="313">
        <f>SUM(CB398:CE398)</f>
      </c>
      <c r="CG398" s="761">
        <v>15</v>
      </c>
      <c r="CH398" s="761">
        <v>15</v>
      </c>
      <c r="CI398" s="761">
        <v>15</v>
      </c>
      <c r="CJ398" s="761">
        <v>15</v>
      </c>
      <c r="CK398" s="313">
        <f>SUM(CG398:CJ398)</f>
      </c>
      <c r="CL398" s="761">
        <v>13</v>
      </c>
      <c r="CM398" s="761">
        <v>13</v>
      </c>
      <c r="CN398" s="761">
        <v>13</v>
      </c>
      <c r="CO398" s="761">
        <v>13</v>
      </c>
      <c r="CP398" s="313">
        <f>SUM(CL398:CO398)</f>
      </c>
      <c r="CQ398" s="352"/>
      <c r="CR398" s="933"/>
      <c r="CS398" s="933"/>
      <c r="CT398" s="933"/>
      <c r="CU398" s="313"/>
      <c r="CV398" s="352"/>
      <c r="CW398" s="933"/>
      <c r="CX398" s="933"/>
      <c r="CY398" s="933"/>
      <c r="CZ398" s="313"/>
      <c r="DA398" s="352"/>
      <c r="DB398" s="31"/>
      <c r="DC398" s="31"/>
      <c r="DD398" s="955"/>
      <c r="DE398" s="477"/>
      <c r="DF398" s="1801"/>
      <c r="DG398" s="603"/>
      <c r="DH398" s="603"/>
      <c r="DI398" s="1798"/>
      <c r="DJ398" s="477"/>
      <c r="DK398" s="1801"/>
      <c r="DL398" s="603"/>
      <c r="DM398" s="603"/>
      <c r="DN398" s="1798"/>
      <c r="DO398" s="477"/>
      <c r="DP398" s="603"/>
      <c r="DQ398" s="603"/>
      <c r="DR398" s="603"/>
      <c r="DS398" s="1798"/>
      <c r="DT398" s="477"/>
      <c r="DU398" s="603"/>
      <c r="DV398" s="603"/>
      <c r="DW398" s="603"/>
      <c r="DX398" s="1798"/>
      <c r="DY398" s="477"/>
      <c r="DZ398" s="603"/>
      <c r="EA398" s="603"/>
      <c r="EB398" s="603"/>
      <c r="EC398" s="1798"/>
      <c r="ED398" s="477"/>
      <c r="EE398" s="603"/>
      <c r="EF398" s="603"/>
      <c r="EG398" s="603"/>
      <c r="EH398" s="1798"/>
      <c r="EI398" s="477"/>
      <c r="EJ398" s="477"/>
      <c r="EK398" s="477"/>
      <c r="EL398" s="477"/>
      <c r="EM398" s="477"/>
      <c r="EN398" s="477"/>
      <c r="EO398" s="1798"/>
      <c r="EP398" s="477"/>
      <c r="EQ398" s="477"/>
      <c r="ER398" s="477"/>
      <c r="ES398" s="477"/>
      <c r="ET398" s="477"/>
      <c r="EU398" s="477"/>
      <c r="EV398" s="477"/>
      <c r="EW398" s="477"/>
      <c r="EX398" s="477"/>
    </row>
    <row r="399" spans="2:154" ht="12.75" hidden="1" customHeight="1" outlineLevel="1">
      <c r="B399" s="437" t="s">
        <v>412</v>
      </c>
      <c r="C399" s="1989">
        <v>2005</v>
      </c>
      <c r="D399" s="31">
        <f>+I399/(1+I404)</f>
      </c>
      <c r="E399" s="33">
        <v>42</v>
      </c>
      <c r="F399" s="33">
        <v>44.927536231884062</v>
      </c>
      <c r="G399" s="33">
        <v>50</v>
      </c>
      <c r="H399" s="33">
        <v>54</v>
      </c>
      <c r="I399" s="31">
        <f>+SUM(E399:H399)</f>
      </c>
      <c r="J399" s="33">
        <v>56</v>
      </c>
      <c r="K399" s="33">
        <v>62</v>
      </c>
      <c r="L399" s="33">
        <v>63</v>
      </c>
      <c r="M399" s="33">
        <v>69</v>
      </c>
      <c r="N399" s="31">
        <f>+SUM(J399:M399)</f>
      </c>
      <c r="O399" s="33">
        <v>74</v>
      </c>
      <c r="P399" s="33">
        <v>80</v>
      </c>
      <c r="Q399" s="33">
        <v>85</v>
      </c>
      <c r="R399" s="33">
        <v>94</v>
      </c>
      <c r="S399" s="31">
        <f>SUM(O399:R399)</f>
      </c>
      <c r="T399" s="33">
        <v>94</v>
      </c>
      <c r="U399" s="33">
        <v>111</v>
      </c>
      <c r="V399" s="33">
        <v>121</v>
      </c>
      <c r="W399" s="33">
        <v>132</v>
      </c>
      <c r="X399" s="313">
        <f>SUM(T399:W399)</f>
      </c>
      <c r="Y399" s="33">
        <v>143</v>
      </c>
      <c r="Z399" s="33">
        <v>166</v>
      </c>
      <c r="AA399" s="33">
        <v>161</v>
      </c>
      <c r="AB399" s="33">
        <v>184</v>
      </c>
      <c r="AC399" s="313">
        <f>SUM(Y399:AB399)</f>
      </c>
      <c r="AD399" s="33">
        <v>188</v>
      </c>
      <c r="AE399" s="33">
        <v>198.3</v>
      </c>
      <c r="AF399" s="33">
        <v>212.5</v>
      </c>
      <c r="AG399" s="33">
        <v>218</v>
      </c>
      <c r="AH399" s="313">
        <f>SUM(AD399:AG399)</f>
      </c>
      <c r="AI399" s="33">
        <v>256</v>
      </c>
      <c r="AJ399" s="33">
        <v>266</v>
      </c>
      <c r="AK399" s="33">
        <v>252</v>
      </c>
      <c r="AL399" s="33">
        <v>229</v>
      </c>
      <c r="AM399" s="313">
        <f>+SUM(AI399:AL399)</f>
      </c>
      <c r="AN399" s="33">
        <v>215</v>
      </c>
      <c r="AO399" s="33">
        <v>215</v>
      </c>
      <c r="AP399" s="33">
        <v>204</v>
      </c>
      <c r="AQ399" s="33">
        <v>184</v>
      </c>
      <c r="AR399" s="313">
        <f>+SUM(AN399:AQ399)</f>
      </c>
      <c r="AS399" s="33">
        <v>187</v>
      </c>
      <c r="AT399" s="33">
        <v>192</v>
      </c>
      <c r="AU399" s="33">
        <v>202</v>
      </c>
      <c r="AV399" s="33">
        <v>192</v>
      </c>
      <c r="AW399" s="313">
        <f>SUM(AS399:AV399)</f>
      </c>
      <c r="AX399" s="33">
        <v>158</v>
      </c>
      <c r="AY399" s="33">
        <v>202</v>
      </c>
      <c r="AZ399" s="33">
        <v>205</v>
      </c>
      <c r="BA399" s="33">
        <v>200</v>
      </c>
      <c r="BB399" s="313">
        <f>SUM(AX399:BA399)</f>
      </c>
      <c r="BC399" s="33">
        <v>156</v>
      </c>
      <c r="BD399" s="33">
        <v>168</v>
      </c>
      <c r="BE399" s="33">
        <v>168</v>
      </c>
      <c r="BF399" s="33">
        <v>180</v>
      </c>
      <c r="BG399" s="313">
        <f>SUM(BC399:BF399)</f>
      </c>
      <c r="BH399" s="33">
        <v>146</v>
      </c>
      <c r="BI399" s="33">
        <v>147</v>
      </c>
      <c r="BJ399" s="33">
        <v>142</v>
      </c>
      <c r="BK399" s="33">
        <v>151</v>
      </c>
      <c r="BL399" s="313">
        <f>SUM(BH399:BK399)</f>
      </c>
      <c r="BM399" s="33">
        <v>123</v>
      </c>
      <c r="BN399" s="352">
        <v>133</v>
      </c>
      <c r="BO399" s="352">
        <v>124</v>
      </c>
      <c r="BP399" s="33">
        <v>119</v>
      </c>
      <c r="BQ399" s="313">
        <f>SUM(BM399:BP399)</f>
      </c>
      <c r="BR399" s="761">
        <v>108.486</v>
      </c>
      <c r="BS399" s="761">
        <v>110.6</v>
      </c>
      <c r="BT399" s="761">
        <v>107</v>
      </c>
      <c r="BU399" s="761">
        <v>100.75071479408086</v>
      </c>
      <c r="BV399" s="313">
        <f>SUM(BR399:BU399)</f>
      </c>
      <c r="BW399" s="761">
        <v>99.029361681456336</v>
      </c>
      <c r="BX399" s="761">
        <v>98</v>
      </c>
      <c r="BY399" s="761">
        <v>94</v>
      </c>
      <c r="BZ399" s="761">
        <v>88.5</v>
      </c>
      <c r="CA399" s="313">
        <f>SUM(BW399:BZ399)</f>
      </c>
      <c r="CB399" s="761">
        <v>88</v>
      </c>
      <c r="CC399" s="761">
        <v>88</v>
      </c>
      <c r="CD399" s="761">
        <v>84.1</v>
      </c>
      <c r="CE399" s="761">
        <v>75</v>
      </c>
      <c r="CF399" s="313">
        <f>SUM(CB399:CE399)</f>
      </c>
      <c r="CG399" s="761">
        <v>69.3</v>
      </c>
      <c r="CH399" s="761">
        <v>66.7</v>
      </c>
      <c r="CI399" s="761">
        <v>63</v>
      </c>
      <c r="CJ399" s="761">
        <v>58.377293671192106</v>
      </c>
      <c r="CK399" s="313">
        <f>SUM(CG399:CJ399)</f>
      </c>
      <c r="CL399" s="761">
        <v>57</v>
      </c>
      <c r="CM399" s="761">
        <v>66.7</v>
      </c>
      <c r="CN399" s="761">
        <v>56</v>
      </c>
      <c r="CO399" s="761">
        <v>55</v>
      </c>
      <c r="CP399" s="313">
        <f>SUM(CL399:CO399)</f>
      </c>
      <c r="CQ399" s="352"/>
      <c r="CR399" s="933"/>
      <c r="CS399" s="933"/>
      <c r="CT399" s="933"/>
      <c r="CU399" s="313"/>
      <c r="CV399" s="352"/>
      <c r="CW399" s="933"/>
      <c r="CX399" s="933"/>
      <c r="CY399" s="933"/>
      <c r="CZ399" s="313"/>
      <c r="DA399" s="352"/>
      <c r="DB399" s="31"/>
      <c r="DC399" s="31"/>
      <c r="DD399" s="955"/>
      <c r="DE399" s="477"/>
      <c r="DF399" s="1801"/>
      <c r="DG399" s="603"/>
      <c r="DH399" s="603"/>
      <c r="DI399" s="1798"/>
      <c r="DJ399" s="477"/>
      <c r="DK399" s="1801"/>
      <c r="DL399" s="603"/>
      <c r="DM399" s="603"/>
      <c r="DN399" s="1798"/>
      <c r="DO399" s="477"/>
      <c r="DP399" s="603"/>
      <c r="DQ399" s="603"/>
      <c r="DR399" s="603"/>
      <c r="DS399" s="1798"/>
      <c r="DT399" s="477"/>
      <c r="DU399" s="603"/>
      <c r="DV399" s="603"/>
      <c r="DW399" s="603"/>
      <c r="DX399" s="1798"/>
      <c r="DY399" s="477"/>
      <c r="DZ399" s="603"/>
      <c r="EA399" s="603"/>
      <c r="EB399" s="603"/>
      <c r="EC399" s="1798"/>
      <c r="ED399" s="477"/>
      <c r="EE399" s="603"/>
      <c r="EF399" s="603"/>
      <c r="EG399" s="603"/>
      <c r="EH399" s="1798"/>
      <c r="EI399" s="477"/>
      <c r="EJ399" s="477"/>
      <c r="EK399" s="477"/>
      <c r="EL399" s="477"/>
      <c r="EM399" s="477"/>
      <c r="EN399" s="477"/>
      <c r="EO399" s="1798"/>
      <c r="EP399" s="477"/>
      <c r="EQ399" s="477"/>
      <c r="ER399" s="477"/>
      <c r="ES399" s="477"/>
      <c r="ET399" s="477"/>
      <c r="EU399" s="477"/>
      <c r="EV399" s="477"/>
      <c r="EW399" s="477"/>
      <c r="EX399" s="477"/>
    </row>
    <row r="400" spans="2:154" ht="12.75" hidden="1" customHeight="1" outlineLevel="1">
      <c r="B400" s="437" t="s">
        <v>413</v>
      </c>
      <c r="C400" s="1989"/>
      <c r="D400" s="28">
        <f t="shared" ref="D400:AI400" si="1096">+D398+D399</f>
      </c>
      <c r="E400" s="28">
        <f t="shared" si="1096"/>
      </c>
      <c r="F400" s="28">
        <f t="shared" si="1096"/>
      </c>
      <c r="G400" s="28">
        <f t="shared" si="1096"/>
      </c>
      <c r="H400" s="28">
        <f t="shared" si="1096"/>
      </c>
      <c r="I400" s="31">
        <f t="shared" si="1096"/>
      </c>
      <c r="J400" s="28">
        <f t="shared" si="1096"/>
      </c>
      <c r="K400" s="28">
        <f t="shared" si="1096"/>
      </c>
      <c r="L400" s="28">
        <f t="shared" si="1096"/>
      </c>
      <c r="M400" s="28">
        <f t="shared" si="1096"/>
      </c>
      <c r="N400" s="31">
        <f t="shared" si="1096"/>
      </c>
      <c r="O400" s="31">
        <f t="shared" si="1096"/>
      </c>
      <c r="P400" s="31">
        <f t="shared" si="1096"/>
      </c>
      <c r="Q400" s="31">
        <f t="shared" si="1096"/>
      </c>
      <c r="R400" s="31">
        <f t="shared" si="1096"/>
      </c>
      <c r="S400" s="31">
        <f t="shared" si="1096"/>
      </c>
      <c r="T400" s="31">
        <f t="shared" si="1096"/>
      </c>
      <c r="U400" s="31">
        <f t="shared" si="1096"/>
      </c>
      <c r="V400" s="31">
        <f t="shared" si="1096"/>
      </c>
      <c r="W400" s="31">
        <f t="shared" si="1096"/>
      </c>
      <c r="X400" s="313">
        <f t="shared" si="1096"/>
      </c>
      <c r="Y400" s="31">
        <f t="shared" si="1096"/>
      </c>
      <c r="Z400" s="31">
        <f t="shared" si="1096"/>
      </c>
      <c r="AA400" s="31">
        <f t="shared" si="1096"/>
      </c>
      <c r="AB400" s="31">
        <f t="shared" si="1096"/>
      </c>
      <c r="AC400" s="313">
        <f t="shared" si="1096"/>
      </c>
      <c r="AD400" s="31">
        <f t="shared" si="1096"/>
      </c>
      <c r="AE400" s="31">
        <f t="shared" si="1096"/>
      </c>
      <c r="AF400" s="31">
        <f t="shared" si="1096"/>
      </c>
      <c r="AG400" s="31">
        <f t="shared" si="1096"/>
      </c>
      <c r="AH400" s="313">
        <f t="shared" si="1096"/>
      </c>
      <c r="AI400" s="28">
        <f t="shared" si="1096"/>
      </c>
      <c r="AJ400" s="28">
        <f t="shared" ref="AJ400:BK400" si="1097">+AJ398+AJ399</f>
      </c>
      <c r="AK400" s="28">
        <f t="shared" si="1097"/>
      </c>
      <c r="AL400" s="31">
        <f t="shared" si="1097"/>
      </c>
      <c r="AM400" s="313">
        <f t="shared" si="1097"/>
      </c>
      <c r="AN400" s="28">
        <f t="shared" si="1097"/>
      </c>
      <c r="AO400" s="28">
        <f t="shared" si="1097"/>
      </c>
      <c r="AP400" s="28">
        <f t="shared" si="1097"/>
      </c>
      <c r="AQ400" s="31">
        <f t="shared" si="1097"/>
      </c>
      <c r="AR400" s="313">
        <f t="shared" si="1097"/>
      </c>
      <c r="AS400" s="28">
        <f t="shared" si="1097"/>
      </c>
      <c r="AT400" s="28">
        <f t="shared" si="1097"/>
      </c>
      <c r="AU400" s="28">
        <f t="shared" si="1097"/>
      </c>
      <c r="AV400" s="31">
        <f t="shared" si="1097"/>
      </c>
      <c r="AW400" s="313">
        <f t="shared" si="1097"/>
      </c>
      <c r="AX400" s="28">
        <f t="shared" si="1097"/>
      </c>
      <c r="AY400" s="28">
        <f t="shared" si="1097"/>
      </c>
      <c r="AZ400" s="28">
        <f t="shared" si="1097"/>
      </c>
      <c r="BA400" s="28">
        <f t="shared" si="1097"/>
      </c>
      <c r="BB400" s="313">
        <f t="shared" si="1097"/>
      </c>
      <c r="BC400" s="28">
        <f t="shared" si="1097"/>
      </c>
      <c r="BD400" s="28">
        <f t="shared" si="1097"/>
      </c>
      <c r="BE400" s="28">
        <f t="shared" si="1097"/>
      </c>
      <c r="BF400" s="28">
        <f t="shared" si="1097"/>
      </c>
      <c r="BG400" s="313">
        <f t="shared" si="1097"/>
      </c>
      <c r="BH400" s="28">
        <f t="shared" si="1097"/>
      </c>
      <c r="BI400" s="28">
        <f t="shared" si="1097"/>
      </c>
      <c r="BJ400" s="28">
        <f t="shared" si="1097"/>
      </c>
      <c r="BK400" s="28">
        <f t="shared" si="1097"/>
      </c>
      <c r="BL400" s="313">
        <f>SUM(BH400:BK400)</f>
      </c>
      <c r="BM400" s="28">
        <f>+BM398+BM399</f>
      </c>
      <c r="BN400" s="28">
        <f>+BN398+BN399</f>
      </c>
      <c r="BO400" s="28">
        <f>+BO398+BO399</f>
      </c>
      <c r="BP400" s="28">
        <f>+BP398+BP399</f>
      </c>
      <c r="BQ400" s="313">
        <f>SUM(BM400:BP400)</f>
      </c>
      <c r="BR400" s="28">
        <f>+BR398+BR399</f>
      </c>
      <c r="BS400" s="28">
        <f>+BS398+BS399</f>
      </c>
      <c r="BT400" s="28">
        <f>+BT398+BT399</f>
      </c>
      <c r="BU400" s="28">
        <f>+BU398+BU399</f>
      </c>
      <c r="BV400" s="313">
        <f>SUM(BR400:BU400)</f>
      </c>
      <c r="BW400" s="28">
        <f>+BW398+BW399</f>
      </c>
      <c r="BX400" s="28">
        <f>+BX398+BX399</f>
      </c>
      <c r="BY400" s="28">
        <f>+BY398+BY399</f>
      </c>
      <c r="BZ400" s="28">
        <f>+BZ398+BZ399</f>
      </c>
      <c r="CA400" s="313">
        <f>SUM(BW400:BZ400)</f>
      </c>
      <c r="CB400" s="28">
        <f>+CB398+CB399</f>
      </c>
      <c r="CC400" s="28">
        <f>+CC398+CC399</f>
      </c>
      <c r="CD400" s="28">
        <f>+CD398+CD399</f>
      </c>
      <c r="CE400" s="28">
        <f>+CE398+CE399</f>
      </c>
      <c r="CF400" s="313">
        <f>SUM(CB400:CE400)</f>
      </c>
      <c r="CG400" s="28">
        <f>+CG398+CG399</f>
      </c>
      <c r="CH400" s="28">
        <f>+CH398+CH399</f>
      </c>
      <c r="CI400" s="28">
        <f>+CI398+CI399</f>
      </c>
      <c r="CJ400" s="28">
        <f>+CJ398+CJ399</f>
      </c>
      <c r="CK400" s="313">
        <f>SUM(CG400:CJ400)</f>
      </c>
      <c r="CL400" s="28">
        <f>+CL398+CL399</f>
      </c>
      <c r="CM400" s="28">
        <f>+CM398+CM399</f>
      </c>
      <c r="CN400" s="28">
        <f>+CN398+CN399</f>
      </c>
      <c r="CO400" s="28">
        <f>+CO398+CO399</f>
      </c>
      <c r="CP400" s="313">
        <f>SUM(CL400:CO400)</f>
      </c>
      <c r="CQ400" s="933"/>
      <c r="CR400" s="933"/>
      <c r="CS400" s="933"/>
      <c r="CT400" s="933"/>
      <c r="CU400" s="313"/>
      <c r="CV400" s="933"/>
      <c r="CW400" s="933"/>
      <c r="CX400" s="933"/>
      <c r="CY400" s="933"/>
      <c r="CZ400" s="313"/>
      <c r="DA400" s="933"/>
      <c r="DB400" s="31"/>
      <c r="DC400" s="31"/>
      <c r="DD400" s="955"/>
      <c r="DE400" s="477"/>
      <c r="DF400" s="982"/>
      <c r="DG400" s="603"/>
      <c r="DH400" s="603"/>
      <c r="DI400" s="1798"/>
      <c r="DJ400" s="477"/>
      <c r="DK400" s="982"/>
      <c r="DL400" s="603"/>
      <c r="DM400" s="603"/>
      <c r="DN400" s="1798"/>
      <c r="DO400" s="477"/>
      <c r="DP400" s="603"/>
      <c r="DQ400" s="603"/>
      <c r="DR400" s="603"/>
      <c r="DS400" s="1798"/>
      <c r="DT400" s="477"/>
      <c r="DU400" s="603"/>
      <c r="DV400" s="603"/>
      <c r="DW400" s="603"/>
      <c r="DX400" s="1798"/>
      <c r="DY400" s="477"/>
      <c r="DZ400" s="603"/>
      <c r="EA400" s="603"/>
      <c r="EB400" s="603"/>
      <c r="EC400" s="1798"/>
      <c r="ED400" s="477"/>
      <c r="EE400" s="603"/>
      <c r="EF400" s="603"/>
      <c r="EG400" s="603"/>
      <c r="EH400" s="1798"/>
      <c r="EI400" s="477"/>
      <c r="EJ400" s="477"/>
      <c r="EK400" s="477"/>
      <c r="EL400" s="477"/>
      <c r="EM400" s="477"/>
      <c r="EN400" s="477"/>
      <c r="EO400" s="1798"/>
      <c r="EP400" s="477"/>
      <c r="EQ400" s="477"/>
      <c r="ER400" s="477"/>
      <c r="ES400" s="477"/>
      <c r="ET400" s="477"/>
      <c r="EU400" s="477"/>
      <c r="EV400" s="477"/>
      <c r="EW400" s="477"/>
      <c r="EX400" s="477"/>
    </row>
    <row r="401" spans="2:154" ht="12.75" hidden="1" customHeight="1" outlineLevel="1">
      <c r="B401" s="437"/>
      <c r="C401" s="1989"/>
      <c r="D401" s="28"/>
      <c r="E401" s="28"/>
      <c r="F401" s="28"/>
      <c r="G401" s="28"/>
      <c r="H401" s="28"/>
      <c r="I401" s="31"/>
      <c r="J401" s="28"/>
      <c r="K401" s="28"/>
      <c r="L401" s="28"/>
      <c r="M401" s="28"/>
      <c r="N401" s="31"/>
      <c r="O401" s="31"/>
      <c r="P401" s="31"/>
      <c r="Q401" s="31"/>
      <c r="R401" s="31"/>
      <c r="S401" s="31"/>
      <c r="T401" s="31"/>
      <c r="U401" s="31"/>
      <c r="V401" s="31"/>
      <c r="W401" s="31"/>
      <c r="X401" s="313"/>
      <c r="Y401" s="31"/>
      <c r="Z401" s="31"/>
      <c r="AA401" s="31"/>
      <c r="AB401" s="31"/>
      <c r="AC401" s="313"/>
      <c r="AD401" s="31"/>
      <c r="AE401" s="31"/>
      <c r="AF401" s="31"/>
      <c r="AG401" s="31"/>
      <c r="AH401" s="313"/>
      <c r="AI401" s="28"/>
      <c r="AJ401" s="28"/>
      <c r="AK401" s="28"/>
      <c r="AL401" s="31"/>
      <c r="AM401" s="313"/>
      <c r="AN401" s="28"/>
      <c r="AO401" s="28"/>
      <c r="AP401" s="28"/>
      <c r="AQ401" s="31"/>
      <c r="AR401" s="313"/>
      <c r="AS401" s="28"/>
      <c r="AT401" s="28"/>
      <c r="AU401" s="28"/>
      <c r="AV401" s="31"/>
      <c r="AW401" s="313"/>
      <c r="AX401" s="28"/>
      <c r="AY401" s="28"/>
      <c r="AZ401" s="28"/>
      <c r="BA401" s="28"/>
      <c r="BB401" s="313"/>
      <c r="BC401" s="28"/>
      <c r="BD401" s="28"/>
      <c r="BE401" s="28"/>
      <c r="BF401" s="28"/>
      <c r="BG401" s="313"/>
      <c r="BH401" s="28"/>
      <c r="BI401" s="28"/>
      <c r="BJ401" s="28"/>
      <c r="BK401" s="28"/>
      <c r="BL401" s="313"/>
      <c r="BM401" s="28"/>
      <c r="BN401" s="28"/>
      <c r="BO401" s="28"/>
      <c r="BP401" s="28"/>
      <c r="BQ401" s="313"/>
      <c r="BR401" s="28"/>
      <c r="BS401" s="28"/>
      <c r="BT401" s="28"/>
      <c r="BU401" s="28"/>
      <c r="BV401" s="313"/>
      <c r="BW401" s="28"/>
      <c r="BX401" s="28"/>
      <c r="BY401" s="28"/>
      <c r="BZ401" s="28"/>
      <c r="CA401" s="313"/>
      <c r="CB401" s="28"/>
      <c r="CC401" s="28"/>
      <c r="CD401" s="28"/>
      <c r="CE401" s="28"/>
      <c r="CF401" s="313"/>
      <c r="CG401" s="28"/>
      <c r="CH401" s="28"/>
      <c r="CI401" s="28"/>
      <c r="CJ401" s="28"/>
      <c r="CK401" s="313"/>
      <c r="CL401" s="961"/>
      <c r="CM401" s="933"/>
      <c r="CN401" s="933"/>
      <c r="CO401" s="28"/>
      <c r="CP401" s="313"/>
      <c r="CQ401" s="933"/>
      <c r="CR401" s="933"/>
      <c r="CS401" s="933"/>
      <c r="CT401" s="933"/>
      <c r="CU401" s="313"/>
      <c r="CV401" s="933"/>
      <c r="CW401" s="933"/>
      <c r="CX401" s="933"/>
      <c r="CY401" s="933"/>
      <c r="CZ401" s="313"/>
      <c r="DA401" s="933"/>
      <c r="DB401" s="31"/>
      <c r="DC401" s="31"/>
      <c r="DD401" s="955"/>
      <c r="DE401" s="477"/>
      <c r="DF401" s="982"/>
      <c r="DG401" s="603"/>
      <c r="DH401" s="603"/>
      <c r="DI401" s="1798"/>
      <c r="DJ401" s="477"/>
      <c r="DK401" s="982"/>
      <c r="DL401" s="603"/>
      <c r="DM401" s="603"/>
      <c r="DN401" s="1798"/>
      <c r="DO401" s="477"/>
      <c r="DP401" s="603"/>
      <c r="DQ401" s="603"/>
      <c r="DR401" s="603"/>
      <c r="DS401" s="1798"/>
      <c r="DT401" s="477"/>
      <c r="DU401" s="603"/>
      <c r="DV401" s="603"/>
      <c r="DW401" s="603"/>
      <c r="DX401" s="1798"/>
      <c r="DY401" s="477"/>
      <c r="DZ401" s="603"/>
      <c r="EA401" s="603"/>
      <c r="EB401" s="603"/>
      <c r="EC401" s="1798"/>
      <c r="ED401" s="477"/>
      <c r="EE401" s="603"/>
      <c r="EF401" s="603"/>
      <c r="EG401" s="603"/>
      <c r="EH401" s="1798"/>
      <c r="EI401" s="477"/>
      <c r="EJ401" s="477"/>
      <c r="EK401" s="477"/>
      <c r="EL401" s="477"/>
      <c r="EM401" s="477"/>
      <c r="EN401" s="477"/>
      <c r="EO401" s="1798"/>
      <c r="EP401" s="477"/>
      <c r="EQ401" s="477"/>
      <c r="ER401" s="477"/>
      <c r="ES401" s="477"/>
      <c r="ET401" s="477"/>
      <c r="EU401" s="477"/>
      <c r="EV401" s="477"/>
      <c r="EW401" s="477"/>
      <c r="EX401" s="477"/>
    </row>
    <row r="402" spans="2:154" ht="12.75" hidden="1" customHeight="1" outlineLevel="1">
      <c r="B402" s="439" t="s">
        <v>321</v>
      </c>
      <c r="C402" s="1989"/>
      <c r="D402" s="28"/>
      <c r="E402" s="28"/>
      <c r="F402" s="28"/>
      <c r="G402" s="28"/>
      <c r="H402" s="28"/>
      <c r="I402" s="31"/>
      <c r="J402" s="28"/>
      <c r="K402" s="28"/>
      <c r="L402" s="28"/>
      <c r="M402" s="28"/>
      <c r="N402" s="31"/>
      <c r="O402" s="31"/>
      <c r="P402" s="31"/>
      <c r="Q402" s="31"/>
      <c r="R402" s="31"/>
      <c r="S402" s="31"/>
      <c r="T402" s="31"/>
      <c r="U402" s="31"/>
      <c r="V402" s="31"/>
      <c r="W402" s="31"/>
      <c r="X402" s="313"/>
      <c r="Y402" s="31"/>
      <c r="Z402" s="31"/>
      <c r="AA402" s="31"/>
      <c r="AB402" s="31"/>
      <c r="AC402" s="313"/>
      <c r="AD402" s="31"/>
      <c r="AE402" s="31"/>
      <c r="AF402" s="31"/>
      <c r="AG402" s="31"/>
      <c r="AH402" s="313"/>
      <c r="AI402" s="28"/>
      <c r="AJ402" s="28"/>
      <c r="AK402" s="28"/>
      <c r="AL402" s="31"/>
      <c r="AM402" s="313"/>
      <c r="AN402" s="28"/>
      <c r="AO402" s="28"/>
      <c r="AP402" s="28"/>
      <c r="AQ402" s="31"/>
      <c r="AR402" s="313"/>
      <c r="AS402" s="28"/>
      <c r="AT402" s="28"/>
      <c r="AU402" s="28"/>
      <c r="AV402" s="31"/>
      <c r="AW402" s="313"/>
      <c r="AX402" s="28"/>
      <c r="AY402" s="28"/>
      <c r="AZ402" s="28"/>
      <c r="BA402" s="28"/>
      <c r="BB402" s="313"/>
      <c r="BC402" s="28"/>
      <c r="BD402" s="28"/>
      <c r="BE402" s="28"/>
      <c r="BF402" s="28"/>
      <c r="BG402" s="313"/>
      <c r="BH402" s="28"/>
      <c r="BI402" s="28"/>
      <c r="BJ402" s="28"/>
      <c r="BK402" s="28"/>
      <c r="BL402" s="313"/>
      <c r="BM402" s="28"/>
      <c r="BN402" s="28"/>
      <c r="BO402" s="28"/>
      <c r="BP402" s="28"/>
      <c r="BQ402" s="313"/>
      <c r="BR402" s="28"/>
      <c r="BS402" s="28"/>
      <c r="BT402" s="28"/>
      <c r="BU402" s="28"/>
      <c r="BV402" s="313"/>
      <c r="BW402" s="28"/>
      <c r="BX402" s="28"/>
      <c r="BY402" s="28"/>
      <c r="BZ402" s="28"/>
      <c r="CA402" s="313"/>
      <c r="CB402" s="28"/>
      <c r="CC402" s="28"/>
      <c r="CD402" s="28"/>
      <c r="CE402" s="28"/>
      <c r="CF402" s="313"/>
      <c r="CG402" s="28"/>
      <c r="CH402" s="28"/>
      <c r="CI402" s="28"/>
      <c r="CJ402" s="28"/>
      <c r="CK402" s="313"/>
      <c r="CL402" s="961"/>
      <c r="CM402" s="933"/>
      <c r="CN402" s="933"/>
      <c r="CO402" s="28"/>
      <c r="CP402" s="313"/>
      <c r="CQ402" s="933"/>
      <c r="CR402" s="933"/>
      <c r="CS402" s="933"/>
      <c r="CT402" s="933"/>
      <c r="CU402" s="313"/>
      <c r="CV402" s="933"/>
      <c r="CW402" s="933"/>
      <c r="CX402" s="933"/>
      <c r="CY402" s="933"/>
      <c r="CZ402" s="313"/>
      <c r="DA402" s="933"/>
      <c r="DB402" s="31"/>
      <c r="DC402" s="31"/>
      <c r="DD402" s="955"/>
      <c r="DE402" s="477"/>
      <c r="DF402" s="982"/>
      <c r="DG402" s="603"/>
      <c r="DH402" s="603"/>
      <c r="DI402" s="1798"/>
      <c r="DJ402" s="477"/>
      <c r="DK402" s="982"/>
      <c r="DL402" s="603"/>
      <c r="DM402" s="603"/>
      <c r="DN402" s="1798"/>
      <c r="DO402" s="477"/>
      <c r="DP402" s="603"/>
      <c r="DQ402" s="603"/>
      <c r="DR402" s="603"/>
      <c r="DS402" s="1798"/>
      <c r="DT402" s="477"/>
      <c r="DU402" s="603"/>
      <c r="DV402" s="603"/>
      <c r="DW402" s="603"/>
      <c r="DX402" s="1798"/>
      <c r="DY402" s="477"/>
      <c r="DZ402" s="603"/>
      <c r="EA402" s="603"/>
      <c r="EB402" s="603"/>
      <c r="EC402" s="1798"/>
      <c r="ED402" s="477"/>
      <c r="EE402" s="603"/>
      <c r="EF402" s="603"/>
      <c r="EG402" s="603"/>
      <c r="EH402" s="1798"/>
      <c r="EI402" s="477"/>
      <c r="EJ402" s="477"/>
      <c r="EK402" s="477"/>
      <c r="EL402" s="477"/>
      <c r="EM402" s="477"/>
      <c r="EN402" s="477"/>
      <c r="EO402" s="1798"/>
      <c r="EP402" s="477"/>
      <c r="EQ402" s="477"/>
      <c r="ER402" s="477"/>
      <c r="ES402" s="477"/>
      <c r="ET402" s="477"/>
      <c r="EU402" s="477"/>
      <c r="EV402" s="477"/>
      <c r="EW402" s="477"/>
      <c r="EX402" s="477"/>
    </row>
    <row r="403" spans="2:154" ht="12.75" hidden="1" customHeight="1" outlineLevel="1">
      <c r="B403" s="440" t="s">
        <v>187</v>
      </c>
      <c r="C403" s="1989"/>
      <c r="D403" s="28"/>
      <c r="E403" s="28"/>
      <c r="F403" s="28"/>
      <c r="G403" s="28"/>
      <c r="H403" s="28"/>
      <c r="I403" s="29">
        <v>0.33</v>
      </c>
      <c r="J403" s="30">
        <f t="shared" ref="J403:S404" si="1098">IF(E398="NM","NM",IF(J398="NM","NM",IF(E398&lt;=0,"NM",IF(J398=0,"NM",IF(ABS(J398/E398-1)&gt;2.5,"NM",IF((ABS(J398-E398)=ABS(ABS(J398)-ABS(E398))),(J398/E398-1),"NM"))))))</f>
      </c>
      <c r="K403" s="30">
        <f t="shared" si="1098"/>
      </c>
      <c r="L403" s="30">
        <f t="shared" si="1098"/>
      </c>
      <c r="M403" s="30">
        <f t="shared" si="1098"/>
      </c>
      <c r="N403" s="30">
        <f t="shared" si="1098"/>
      </c>
      <c r="O403" s="30">
        <f t="shared" si="1098"/>
      </c>
      <c r="P403" s="30">
        <f t="shared" si="1098"/>
      </c>
      <c r="Q403" s="30">
        <f t="shared" si="1098"/>
      </c>
      <c r="R403" s="30">
        <f t="shared" si="1098"/>
      </c>
      <c r="S403" s="30">
        <f t="shared" si="1098"/>
      </c>
      <c r="T403" s="30">
        <f t="shared" ref="T403:AC404" si="1099">IF(O398="NM","NM",IF(T398="NM","NM",IF(O398&lt;=0,"NM",IF(T398=0,"NM",IF(ABS(T398/O398-1)&gt;2.5,"NM",IF((ABS(T398-O398)=ABS(ABS(T398)-ABS(O398))),(T398/O398-1),"NM"))))))</f>
      </c>
      <c r="U403" s="30">
        <f t="shared" si="1099"/>
      </c>
      <c r="V403" s="30">
        <f t="shared" si="1099"/>
      </c>
      <c r="W403" s="30">
        <f t="shared" si="1099"/>
      </c>
      <c r="X403" s="308">
        <f t="shared" si="1099"/>
      </c>
      <c r="Y403" s="30">
        <f t="shared" si="1099"/>
      </c>
      <c r="Z403" s="30">
        <f t="shared" si="1099"/>
      </c>
      <c r="AA403" s="30">
        <f t="shared" si="1099"/>
      </c>
      <c r="AB403" s="30">
        <f t="shared" si="1099"/>
      </c>
      <c r="AC403" s="308">
        <f t="shared" si="1099"/>
      </c>
      <c r="AD403" s="30">
        <f t="shared" ref="AD403:AM404" si="1100">IF(Y398="NM","NM",IF(AD398="NM","NM",IF(Y398&lt;=0,"NM",IF(AD398=0,"NM",IF(ABS(AD398/Y398-1)&gt;2.5,"NM",IF((ABS(AD398-Y398)=ABS(ABS(AD398)-ABS(Y398))),(AD398/Y398-1),"NM"))))))</f>
      </c>
      <c r="AE403" s="30">
        <f t="shared" si="1100"/>
      </c>
      <c r="AF403" s="30">
        <f t="shared" si="1100"/>
      </c>
      <c r="AG403" s="30">
        <f t="shared" si="1100"/>
      </c>
      <c r="AH403" s="308">
        <f t="shared" si="1100"/>
      </c>
      <c r="AI403" s="30">
        <f t="shared" si="1100"/>
      </c>
      <c r="AJ403" s="30">
        <f t="shared" si="1100"/>
      </c>
      <c r="AK403" s="30">
        <f t="shared" si="1100"/>
      </c>
      <c r="AL403" s="30">
        <f t="shared" si="1100"/>
      </c>
      <c r="AM403" s="308">
        <f t="shared" si="1100"/>
      </c>
      <c r="AN403" s="30">
        <f t="shared" ref="AN403:AW404" si="1101">IF(AI398="NM","NM",IF(AN398="NM","NM",IF(AI398&lt;=0,"NM",IF(AN398=0,"NM",IF(ABS(AN398/AI398-1)&gt;2.5,"NM",IF((ABS(AN398-AI398)=ABS(ABS(AN398)-ABS(AI398))),(AN398/AI398-1),"NM"))))))</f>
      </c>
      <c r="AO403" s="30">
        <f t="shared" si="1101"/>
      </c>
      <c r="AP403" s="30">
        <f t="shared" si="1101"/>
      </c>
      <c r="AQ403" s="30">
        <f t="shared" si="1101"/>
      </c>
      <c r="AR403" s="308">
        <f t="shared" si="1101"/>
      </c>
      <c r="AS403" s="30">
        <f t="shared" si="1101"/>
      </c>
      <c r="AT403" s="30">
        <f t="shared" si="1101"/>
      </c>
      <c r="AU403" s="30">
        <f t="shared" si="1101"/>
      </c>
      <c r="AV403" s="30">
        <f t="shared" si="1101"/>
      </c>
      <c r="AW403" s="308">
        <f t="shared" si="1101"/>
      </c>
      <c r="AX403" s="30">
        <f t="shared" ref="AX403:BG404" si="1102">IF(AS398="NM","NM",IF(AX398="NM","NM",IF(AS398&lt;=0,"NM",IF(AX398=0,"NM",IF(ABS(AX398/AS398-1)&gt;2.5,"NM",IF((ABS(AX398-AS398)=ABS(ABS(AX398)-ABS(AS398))),(AX398/AS398-1),"NM"))))))</f>
      </c>
      <c r="AY403" s="30">
        <f t="shared" si="1102"/>
      </c>
      <c r="AZ403" s="30">
        <f t="shared" si="1102"/>
      </c>
      <c r="BA403" s="30">
        <f t="shared" si="1102"/>
      </c>
      <c r="BB403" s="308">
        <f t="shared" si="1102"/>
      </c>
      <c r="BC403" s="30">
        <f t="shared" si="1102"/>
      </c>
      <c r="BD403" s="30">
        <f t="shared" si="1102"/>
      </c>
      <c r="BE403" s="30">
        <f t="shared" si="1102"/>
      </c>
      <c r="BF403" s="30">
        <f t="shared" si="1102"/>
      </c>
      <c r="BG403" s="308">
        <f t="shared" si="1102"/>
      </c>
      <c r="BH403" s="30">
        <f t="shared" ref="BH403:BQ404" si="1103">IF(BC398="NM","NM",IF(BH398="NM","NM",IF(BC398&lt;=0,"NM",IF(BH398=0,"NM",IF(ABS(BH398/BC398-1)&gt;2.5,"NM",IF((ABS(BH398-BC398)=ABS(ABS(BH398)-ABS(BC398))),(BH398/BC398-1),"NM"))))))</f>
      </c>
      <c r="BI403" s="30">
        <f t="shared" si="1103"/>
      </c>
      <c r="BJ403" s="30">
        <f t="shared" si="1103"/>
      </c>
      <c r="BK403" s="30">
        <f t="shared" si="1103"/>
      </c>
      <c r="BL403" s="308">
        <f t="shared" si="1103"/>
      </c>
      <c r="BM403" s="30">
        <f t="shared" si="1103"/>
      </c>
      <c r="BN403" s="30">
        <f t="shared" si="1103"/>
      </c>
      <c r="BO403" s="30">
        <f t="shared" si="1103"/>
      </c>
      <c r="BP403" s="30">
        <f t="shared" si="1103"/>
      </c>
      <c r="BQ403" s="308">
        <f t="shared" si="1103"/>
      </c>
      <c r="BR403" s="30" t="str">
        <f t="shared" ref="BR403:BV404" si="1104">IF(BM398="NM","NM",IF(BR398="NM","NM",IF(BM398&lt;=0,"NM",IF(BR398=0,"NM",IF(ABS(BR398/BM398-1)&gt;2.5,"NM",IF((ABS(BR398-BM398)=ABS(ABS(BR398)-ABS(BM398))),(BR398/BM398-1),"NM"))))))</f>
      </c>
      <c r="BS403" s="30">
        <f t="shared" si="1104"/>
      </c>
      <c r="BT403" s="30">
        <f t="shared" si="1104"/>
      </c>
      <c r="BU403" s="30">
        <f t="shared" si="1104"/>
      </c>
      <c r="BV403" s="308">
        <f t="shared" si="1104"/>
      </c>
      <c r="BW403" s="30">
        <f t="shared" ref="BW403:BY404" si="1105">IF(BR398="NM","NM",IF(BW398="NM","NM",IF(BR398&lt;=0,"NM",IF(BW398=0,"NM",IF(ABS(BW398/BR398-1)&gt;2.5,"NM",IF((ABS(BW398-BR398)=ABS(ABS(BW398)-ABS(BR398))),(BW398/BR398-1),"NM"))))))</f>
      </c>
      <c r="BX403" s="30">
        <f t="shared" si="1105"/>
      </c>
      <c r="BY403" s="30">
        <f t="shared" si="1105"/>
      </c>
      <c r="BZ403" s="30">
        <f>IF(BU398="NM","NM",IF(BZ398="NM","NM",IF(BU398&lt;=0,"NM",IF(BZ398=0,"NM",IF(ABS(BZ398/BU398-1)&gt;2.5,"NM",IF((ABS(BZ398-BU398)=ABS(ABS(BZ398)-ABS(BU398))),(BZ398/BU398-1),"NM"))))))</f>
      </c>
      <c r="CA403" s="315">
        <f>IF(BV398="NM","NM",IF(CA398="NM","NM",IF(BV398&lt;=0,"NM",IF(CA398=0,"NM",IF(ABS(CA398/BV398-1)&gt;2.5,"NM",IF((ABS(CA398-BV398)=ABS(ABS(CA398)-ABS(BV398))),(CA398/BV398-1),"NM"))))))</f>
      </c>
      <c r="CB403" s="30">
        <f t="shared" ref="CB403:CD404" si="1106">IF(BW398="NM","NM",IF(CB398="NM","NM",IF(BW398&lt;=0,"NM",IF(CB398=0,"NM",IF(ABS(CB398/BW398-1)&gt;2.5,"NM",IF((ABS(CB398-BW398)=ABS(ABS(CB398)-ABS(BW398))),(CB398/BW398-1),"NM"))))))</f>
      </c>
      <c r="CC403" s="30">
        <f t="shared" si="1106"/>
      </c>
      <c r="CD403" s="30">
        <f t="shared" si="1106"/>
      </c>
      <c r="CE403" s="30">
        <f>IF(BZ398="NM","NM",IF(CE398="NM","NM",IF(BZ398&lt;=0,"NM",IF(CE398=0,"NM",IF(ABS(CE398/BZ398-1)&gt;2.5,"NM",IF((ABS(CE398-BZ398)=ABS(ABS(CE398)-ABS(BZ398))),(CE398/BZ398-1),"NM"))))))</f>
      </c>
      <c r="CF403" s="315">
        <f>IF(CA398="NM","NM",IF(CF398="NM","NM",IF(CA398&lt;=0,"NM",IF(CF398=0,"NM",IF(ABS(CF398/CA398-1)&gt;2.5,"NM",IF((ABS(CF398-CA398)=ABS(ABS(CF398)-ABS(CA398))),(CF398/CA398-1),"NM"))))))</f>
      </c>
      <c r="CG403" s="30">
        <f t="shared" ref="CG403:CI404" si="1107">IF(CB398="NM","NM",IF(CG398="NM","NM",IF(CB398&lt;=0,"NM",IF(CG398=0,"NM",IF(ABS(CG398/CB398-1)&gt;2.5,"NM",IF((ABS(CG398-CB398)=ABS(ABS(CG398)-ABS(CB398))),(CG398/CB398-1),"NM"))))))</f>
      </c>
      <c r="CH403" s="30">
        <f t="shared" si="1107"/>
      </c>
      <c r="CI403" s="30">
        <f t="shared" si="1107"/>
      </c>
      <c r="CJ403" s="30">
        <f>IF(CE398="NM","NM",IF(CJ398="NM","NM",IF(CE398&lt;=0,"NM",IF(CJ398=0,"NM",IF(ABS(CJ398/CE398-1)&gt;2.5,"NM",IF((ABS(CJ398-CE398)=ABS(ABS(CJ398)-ABS(CE398))),(CJ398/CE398-1),"NM"))))))</f>
      </c>
      <c r="CK403" s="308">
        <f>IF(CF398=0, "NA", CK398/CF398-1)</f>
      </c>
      <c r="CL403" s="30">
        <f t="shared" ref="CL403:CN404" si="1108">IF(CG398="NM","NM",IF(CL398="NM","NM",IF(CG398&lt;=0,"NM",IF(CL398=0,"NM",IF(ABS(CL398/CG398-1)&gt;2.5,"NM",IF((ABS(CL398-CG398)=ABS(ABS(CL398)-ABS(CG398))),(CL398/CG398-1),"NM"))))))</f>
      </c>
      <c r="CM403" s="30">
        <f t="shared" si="1108"/>
      </c>
      <c r="CN403" s="30">
        <f t="shared" si="1108"/>
      </c>
      <c r="CO403" s="30">
        <f>IF(CJ398="NM","NM",IF(CO398="NM","NM",IF(CJ398&lt;=0,"NM",IF(CO398=0,"NM",IF(ABS(CO398/CJ398-1)&gt;2.5,"NM",IF((ABS(CO398-CJ398)=ABS(ABS(CO398)-ABS(CJ398))),(CO398/CJ398-1),"NM"))))))</f>
      </c>
      <c r="CP403" s="308">
        <f>IF(CK398=0, "NA", CP398/CK398-1)</f>
      </c>
      <c r="CQ403" s="30"/>
      <c r="CR403" s="361"/>
      <c r="CS403" s="361"/>
      <c r="CT403" s="361"/>
      <c r="CU403" s="308"/>
      <c r="CV403" s="30"/>
      <c r="CW403" s="361"/>
      <c r="CX403" s="361"/>
      <c r="CY403" s="361"/>
      <c r="CZ403" s="308"/>
      <c r="DA403" s="30"/>
      <c r="DB403" s="361"/>
      <c r="DC403" s="361"/>
      <c r="DD403" s="835"/>
      <c r="DE403" s="316"/>
      <c r="DF403" s="30"/>
      <c r="DG403" s="361"/>
      <c r="DH403" s="361"/>
      <c r="DI403" s="835"/>
      <c r="DJ403" s="835"/>
      <c r="DK403" s="30"/>
      <c r="DL403" s="361"/>
      <c r="DM403" s="361"/>
      <c r="DN403" s="835"/>
      <c r="DO403" s="835"/>
      <c r="DP403" s="361"/>
      <c r="DQ403" s="361"/>
      <c r="DR403" s="361"/>
      <c r="DS403" s="835"/>
      <c r="DT403" s="835"/>
      <c r="DU403" s="361"/>
      <c r="DV403" s="361"/>
      <c r="DW403" s="361"/>
      <c r="DX403" s="835"/>
      <c r="DY403" s="835"/>
      <c r="DZ403" s="361"/>
      <c r="EA403" s="361"/>
      <c r="EB403" s="361"/>
      <c r="EC403" s="835"/>
      <c r="ED403" s="835"/>
      <c r="EE403" s="361"/>
      <c r="EF403" s="361"/>
      <c r="EG403" s="361"/>
      <c r="EH403" s="835"/>
      <c r="EI403" s="835"/>
      <c r="EJ403" s="835"/>
      <c r="EK403" s="835"/>
      <c r="EL403" s="835"/>
      <c r="EM403" s="835"/>
      <c r="EN403" s="316"/>
      <c r="EO403" s="835"/>
      <c r="EP403" s="835"/>
      <c r="EQ403" s="835"/>
      <c r="ER403" s="835"/>
      <c r="ES403" s="835"/>
      <c r="ET403" s="835"/>
      <c r="EU403" s="835"/>
      <c r="EV403" s="835"/>
      <c r="EW403" s="835"/>
      <c r="EX403" s="835"/>
    </row>
    <row r="404" spans="2:154" ht="12.75" hidden="1" customHeight="1" outlineLevel="1">
      <c r="B404" s="440" t="s">
        <v>412</v>
      </c>
      <c r="C404" s="1989"/>
      <c r="D404" s="28"/>
      <c r="E404" s="28"/>
      <c r="F404" s="28"/>
      <c r="G404" s="28"/>
      <c r="H404" s="28"/>
      <c r="I404" s="29">
        <v>0.59</v>
      </c>
      <c r="J404" s="30">
        <f t="shared" si="1098"/>
      </c>
      <c r="K404" s="30">
        <f t="shared" si="1098"/>
      </c>
      <c r="L404" s="30">
        <f t="shared" si="1098"/>
      </c>
      <c r="M404" s="30">
        <f t="shared" si="1098"/>
      </c>
      <c r="N404" s="30">
        <f t="shared" si="1098"/>
      </c>
      <c r="O404" s="30">
        <f t="shared" si="1098"/>
      </c>
      <c r="P404" s="30">
        <f t="shared" si="1098"/>
      </c>
      <c r="Q404" s="30">
        <f t="shared" si="1098"/>
      </c>
      <c r="R404" s="30">
        <f t="shared" si="1098"/>
      </c>
      <c r="S404" s="30">
        <f t="shared" si="1098"/>
      </c>
      <c r="T404" s="30">
        <f t="shared" si="1099"/>
      </c>
      <c r="U404" s="30">
        <f t="shared" si="1099"/>
      </c>
      <c r="V404" s="30">
        <f t="shared" si="1099"/>
      </c>
      <c r="W404" s="30">
        <f t="shared" si="1099"/>
      </c>
      <c r="X404" s="308">
        <f t="shared" si="1099"/>
      </c>
      <c r="Y404" s="30">
        <f t="shared" si="1099"/>
      </c>
      <c r="Z404" s="30">
        <f t="shared" si="1099"/>
      </c>
      <c r="AA404" s="30">
        <f t="shared" si="1099"/>
      </c>
      <c r="AB404" s="30">
        <f t="shared" si="1099"/>
      </c>
      <c r="AC404" s="308">
        <f t="shared" si="1099"/>
      </c>
      <c r="AD404" s="30">
        <f t="shared" si="1100"/>
      </c>
      <c r="AE404" s="30">
        <f t="shared" si="1100"/>
      </c>
      <c r="AF404" s="30">
        <f t="shared" si="1100"/>
      </c>
      <c r="AG404" s="30">
        <f t="shared" si="1100"/>
      </c>
      <c r="AH404" s="308">
        <f t="shared" si="1100"/>
      </c>
      <c r="AI404" s="30">
        <f t="shared" si="1100"/>
      </c>
      <c r="AJ404" s="30">
        <f t="shared" si="1100"/>
      </c>
      <c r="AK404" s="30">
        <f t="shared" si="1100"/>
      </c>
      <c r="AL404" s="30">
        <f t="shared" si="1100"/>
      </c>
      <c r="AM404" s="308">
        <f t="shared" si="1100"/>
      </c>
      <c r="AN404" s="30">
        <f t="shared" si="1101"/>
      </c>
      <c r="AO404" s="30">
        <f t="shared" si="1101"/>
      </c>
      <c r="AP404" s="30">
        <f t="shared" si="1101"/>
      </c>
      <c r="AQ404" s="30">
        <f t="shared" si="1101"/>
      </c>
      <c r="AR404" s="308">
        <f t="shared" si="1101"/>
      </c>
      <c r="AS404" s="30">
        <f t="shared" si="1101"/>
      </c>
      <c r="AT404" s="30">
        <f t="shared" si="1101"/>
      </c>
      <c r="AU404" s="30">
        <f t="shared" si="1101"/>
      </c>
      <c r="AV404" s="30">
        <f t="shared" si="1101"/>
      </c>
      <c r="AW404" s="308">
        <f t="shared" si="1101"/>
      </c>
      <c r="AX404" s="30">
        <f t="shared" si="1102"/>
      </c>
      <c r="AY404" s="30">
        <f t="shared" si="1102"/>
      </c>
      <c r="AZ404" s="30">
        <f t="shared" si="1102"/>
      </c>
      <c r="BA404" s="30">
        <f t="shared" si="1102"/>
      </c>
      <c r="BB404" s="308">
        <f t="shared" si="1102"/>
      </c>
      <c r="BC404" s="30">
        <f t="shared" si="1102"/>
      </c>
      <c r="BD404" s="30">
        <f t="shared" si="1102"/>
      </c>
      <c r="BE404" s="30">
        <f t="shared" si="1102"/>
      </c>
      <c r="BF404" s="30">
        <f t="shared" si="1102"/>
      </c>
      <c r="BG404" s="308">
        <f t="shared" si="1102"/>
      </c>
      <c r="BH404" s="30">
        <f t="shared" si="1103"/>
      </c>
      <c r="BI404" s="30">
        <f t="shared" si="1103"/>
      </c>
      <c r="BJ404" s="30">
        <f t="shared" si="1103"/>
      </c>
      <c r="BK404" s="30">
        <f t="shared" si="1103"/>
      </c>
      <c r="BL404" s="308">
        <f t="shared" si="1103"/>
      </c>
      <c r="BM404" s="30">
        <f t="shared" si="1103"/>
      </c>
      <c r="BN404" s="30">
        <f t="shared" si="1103"/>
      </c>
      <c r="BO404" s="30">
        <f t="shared" si="1103"/>
      </c>
      <c r="BP404" s="30">
        <f t="shared" si="1103"/>
      </c>
      <c r="BQ404" s="308">
        <f t="shared" si="1103"/>
      </c>
      <c r="BR404" s="30">
        <f t="shared" si="1104"/>
      </c>
      <c r="BS404" s="30">
        <f t="shared" si="1104"/>
      </c>
      <c r="BT404" s="30">
        <f t="shared" si="1104"/>
      </c>
      <c r="BU404" s="30">
        <f t="shared" si="1104"/>
      </c>
      <c r="BV404" s="308">
        <f t="shared" si="1104"/>
      </c>
      <c r="BW404" s="30">
        <f t="shared" si="1105"/>
      </c>
      <c r="BX404" s="30">
        <f t="shared" si="1105"/>
      </c>
      <c r="BY404" s="30">
        <f t="shared" si="1105"/>
      </c>
      <c r="BZ404" s="30">
        <f>IF(BU399="NM","NM",IF(BZ399="NM","NM",IF(BU399&lt;=0,"NM",IF(BZ399=0,"NM",IF(ABS(BZ399/BU399-1)&gt;2.5,"NM",IF((ABS(BZ399-BU399)=ABS(ABS(BZ399)-ABS(BU399))),(BZ399/BU399-1),"NM"))))))</f>
      </c>
      <c r="CA404" s="315">
        <f>IF(BV399="NM","NM",IF(CA399="NM","NM",IF(BV399&lt;=0,"NM",IF(CA399=0,"NM",IF(ABS(CA399/BV399-1)&gt;2.5,"NM",IF((ABS(CA399-BV399)=ABS(ABS(CA399)-ABS(BV399))),(CA399/BV399-1),"NM"))))))</f>
      </c>
      <c r="CB404" s="30">
        <f t="shared" si="1106"/>
      </c>
      <c r="CC404" s="30">
        <f t="shared" si="1106"/>
      </c>
      <c r="CD404" s="30">
        <f t="shared" si="1106"/>
      </c>
      <c r="CE404" s="30">
        <f>IF(BZ399="NM","NM",IF(CE399="NM","NM",IF(BZ399&lt;=0,"NM",IF(CE399=0,"NM",IF(ABS(CE399/BZ399-1)&gt;2.5,"NM",IF((ABS(CE399-BZ399)=ABS(ABS(CE399)-ABS(BZ399))),(CE399/BZ399-1),"NM"))))))</f>
      </c>
      <c r="CF404" s="315">
        <f>IF(CA399="NM","NM",IF(CF399="NM","NM",IF(CA399&lt;=0,"NM",IF(CF399=0,"NM",IF(ABS(CF399/CA399-1)&gt;2.5,"NM",IF((ABS(CF399-CA399)=ABS(ABS(CF399)-ABS(CA399))),(CF399/CA399-1),"NM"))))))</f>
      </c>
      <c r="CG404" s="30">
        <f t="shared" si="1107"/>
      </c>
      <c r="CH404" s="30">
        <f t="shared" si="1107"/>
      </c>
      <c r="CI404" s="30">
        <f t="shared" si="1107"/>
      </c>
      <c r="CJ404" s="30">
        <f>IF(CE399="NM","NM",IF(CJ399="NM","NM",IF(CE399&lt;=0,"NM",IF(CJ399=0,"NM",IF(ABS(CJ399/CE399-1)&gt;2.5,"NM",IF((ABS(CJ399-CE399)=ABS(ABS(CJ399)-ABS(CE399))),(CJ399/CE399-1),"NM"))))))</f>
      </c>
      <c r="CK404" s="308">
        <f>IF(CF399=0, "NA", CK399/CF399-1)</f>
      </c>
      <c r="CL404" s="30">
        <f t="shared" si="1108"/>
      </c>
      <c r="CM404" s="30">
        <f t="shared" si="1108"/>
      </c>
      <c r="CN404" s="30">
        <f t="shared" si="1108"/>
      </c>
      <c r="CO404" s="30">
        <f>IF(CJ399="NM","NM",IF(CO399="NM","NM",IF(CJ399&lt;=0,"NM",IF(CO399=0,"NM",IF(ABS(CO399/CJ399-1)&gt;2.5,"NM",IF((ABS(CO399-CJ399)=ABS(ABS(CO399)-ABS(CJ399))),(CO399/CJ399-1),"NM"))))))</f>
      </c>
      <c r="CP404" s="308">
        <f>IF(CK399=0, "NA", CP399/CK399-1)</f>
      </c>
      <c r="CQ404" s="30"/>
      <c r="CR404" s="926"/>
      <c r="CS404" s="926"/>
      <c r="CT404" s="926"/>
      <c r="CU404" s="308"/>
      <c r="CV404" s="30"/>
      <c r="CW404" s="926"/>
      <c r="CX404" s="926"/>
      <c r="CY404" s="926"/>
      <c r="CZ404" s="308"/>
      <c r="DA404" s="30"/>
      <c r="DB404" s="959"/>
      <c r="DC404" s="959"/>
      <c r="DD404" s="960"/>
      <c r="DE404" s="308"/>
      <c r="DF404" s="30"/>
      <c r="DG404" s="926"/>
      <c r="DH404" s="926"/>
      <c r="DI404" s="928"/>
      <c r="DJ404" s="308"/>
      <c r="DK404" s="30"/>
      <c r="DL404" s="926"/>
      <c r="DM404" s="926"/>
      <c r="DN404" s="928"/>
      <c r="DO404" s="308"/>
      <c r="DP404" s="926"/>
      <c r="DQ404" s="926"/>
      <c r="DR404" s="926"/>
      <c r="DS404" s="928"/>
      <c r="DT404" s="308"/>
      <c r="DU404" s="926"/>
      <c r="DV404" s="926"/>
      <c r="DW404" s="926"/>
      <c r="DX404" s="928"/>
      <c r="DY404" s="308"/>
      <c r="DZ404" s="926"/>
      <c r="EA404" s="926"/>
      <c r="EB404" s="926"/>
      <c r="EC404" s="928"/>
      <c r="ED404" s="1060"/>
      <c r="EE404" s="926"/>
      <c r="EF404" s="926"/>
      <c r="EG404" s="926"/>
      <c r="EH404" s="928"/>
      <c r="EI404" s="308"/>
      <c r="EJ404" s="308"/>
      <c r="EK404" s="308"/>
      <c r="EL404" s="308"/>
      <c r="EM404" s="308"/>
      <c r="EN404" s="308"/>
      <c r="EO404" s="409"/>
      <c r="EP404" s="308"/>
      <c r="EQ404" s="308"/>
      <c r="ER404" s="308"/>
      <c r="ES404" s="308"/>
      <c r="ET404" s="308"/>
      <c r="EU404" s="308"/>
      <c r="EV404" s="308"/>
      <c r="EW404" s="308"/>
      <c r="EX404" s="308"/>
    </row>
    <row r="405" spans="2:154" ht="12.75" hidden="1" customHeight="1" outlineLevel="1">
      <c r="B405" s="440" t="s">
        <v>256</v>
      </c>
      <c r="C405" s="1989"/>
      <c r="D405" s="28"/>
      <c r="E405" s="28"/>
      <c r="F405" s="28"/>
      <c r="G405" s="28"/>
      <c r="H405" s="28"/>
      <c r="I405" s="24"/>
      <c r="J405" s="1"/>
      <c r="K405" s="1"/>
      <c r="L405" s="1"/>
      <c r="M405" s="1"/>
      <c r="N405" s="24"/>
      <c r="O405" s="24"/>
      <c r="P405" s="24"/>
      <c r="Q405" s="24"/>
      <c r="R405" s="24"/>
      <c r="S405" s="1"/>
      <c r="T405" s="24"/>
      <c r="U405" s="24"/>
      <c r="V405" s="24"/>
      <c r="W405" s="24"/>
      <c r="X405" s="315"/>
      <c r="Y405" s="24"/>
      <c r="Z405" s="24"/>
      <c r="AA405" s="24"/>
      <c r="AB405" s="24"/>
      <c r="AC405" s="315"/>
      <c r="AD405" s="24"/>
      <c r="AE405" s="24"/>
      <c r="AF405" s="24"/>
      <c r="AG405" s="24"/>
      <c r="AH405" s="315"/>
      <c r="AI405" s="8">
        <f t="shared" ref="AI405:BM405" si="1109">IF(ISNUMBER(AI404),(1+AI404)/(1+AI$21)-1,"NM")</f>
      </c>
      <c r="AJ405" s="8">
        <f t="shared" si="1109"/>
      </c>
      <c r="AK405" s="8">
        <f t="shared" si="1109"/>
      </c>
      <c r="AL405" s="8">
        <f t="shared" si="1109"/>
      </c>
      <c r="AM405" s="315">
        <f t="shared" si="1109"/>
      </c>
      <c r="AN405" s="8">
        <f t="shared" si="1109"/>
      </c>
      <c r="AO405" s="8">
        <f t="shared" si="1109"/>
      </c>
      <c r="AP405" s="8">
        <f t="shared" si="1109"/>
      </c>
      <c r="AQ405" s="8">
        <f t="shared" si="1109"/>
      </c>
      <c r="AR405" s="315">
        <f t="shared" si="1109"/>
      </c>
      <c r="AS405" s="8">
        <f t="shared" si="1109"/>
      </c>
      <c r="AT405" s="8">
        <f t="shared" si="1109"/>
      </c>
      <c r="AU405" s="8">
        <f t="shared" si="1109"/>
      </c>
      <c r="AV405" s="8">
        <f t="shared" si="1109"/>
      </c>
      <c r="AW405" s="315">
        <f t="shared" si="1109"/>
      </c>
      <c r="AX405" s="8">
        <f t="shared" si="1109"/>
      </c>
      <c r="AY405" s="8">
        <f t="shared" si="1109"/>
      </c>
      <c r="AZ405" s="8">
        <f t="shared" si="1109"/>
      </c>
      <c r="BA405" s="8">
        <f t="shared" si="1109"/>
      </c>
      <c r="BB405" s="315">
        <f t="shared" si="1109"/>
      </c>
      <c r="BC405" s="8">
        <f t="shared" si="1109"/>
      </c>
      <c r="BD405" s="8">
        <f t="shared" si="1109"/>
      </c>
      <c r="BE405" s="8">
        <f t="shared" si="1109"/>
      </c>
      <c r="BF405" s="8">
        <f t="shared" si="1109"/>
      </c>
      <c r="BG405" s="309">
        <f t="shared" si="1109"/>
      </c>
      <c r="BH405" s="8">
        <f t="shared" si="1109"/>
      </c>
      <c r="BI405" s="8">
        <f t="shared" si="1109"/>
      </c>
      <c r="BJ405" s="8">
        <f t="shared" si="1109"/>
      </c>
      <c r="BK405" s="8">
        <f t="shared" si="1109"/>
      </c>
      <c r="BL405" s="315">
        <f t="shared" si="1109"/>
      </c>
      <c r="BM405" s="8">
        <f t="shared" si="1109"/>
      </c>
      <c r="BN405" s="8">
        <v>-0.19800000000000001</v>
      </c>
      <c r="BO405" s="8">
        <v>-0.20100000000000001</v>
      </c>
      <c r="BP405" s="30">
        <v>-0.219</v>
      </c>
      <c r="BQ405" s="315">
        <v>-0.20100000000000001</v>
      </c>
      <c r="BR405" s="8">
        <f>IF(ISNUMBER(BR404),(1+BR404)/(1+BR$21)-1,"NM")</f>
      </c>
      <c r="BS405" s="8">
        <f>IF(ISNUMBER(BS404),(1+BS404)/(1+BS$21)-1,"NM")</f>
      </c>
      <c r="BT405" s="8">
        <f>IF(ISNUMBER(BT404),(1+BT404)/(1+BT$21)-1,"NM")</f>
      </c>
      <c r="BU405" s="30">
        <f>IF(ISNUMBER(BU404),(1+BU404)/(1+BU$21)-1,"NM")</f>
      </c>
      <c r="BV405" s="315">
        <v>-0.20100000000000001</v>
      </c>
      <c r="BW405" s="30">
        <f t="shared" ref="BW405:CJ405" si="1110">IF(ISNUMBER(BW404),(1+BW404)/(1+BW$21)-1,"NM")</f>
      </c>
      <c r="BX405" s="30">
        <f t="shared" si="1110"/>
      </c>
      <c r="BY405" s="30">
        <f t="shared" si="1110"/>
      </c>
      <c r="BZ405" s="30">
        <f t="shared" si="1110"/>
      </c>
      <c r="CA405" s="308">
        <f t="shared" si="1110"/>
      </c>
      <c r="CB405" s="30">
        <f t="shared" si="1110"/>
      </c>
      <c r="CC405" s="30">
        <f t="shared" si="1110"/>
      </c>
      <c r="CD405" s="30">
        <f t="shared" si="1110"/>
      </c>
      <c r="CE405" s="30">
        <f t="shared" si="1110"/>
      </c>
      <c r="CF405" s="308">
        <f t="shared" si="1110"/>
      </c>
      <c r="CG405" s="30">
        <f t="shared" si="1110"/>
      </c>
      <c r="CH405" s="30">
        <f t="shared" si="1110"/>
      </c>
      <c r="CI405" s="30">
        <f t="shared" si="1110"/>
      </c>
      <c r="CJ405" s="30">
        <f t="shared" si="1110"/>
      </c>
      <c r="CK405" s="308">
        <f>CK404-CK$21</f>
      </c>
      <c r="CL405" s="30">
        <f>IF(ISNUMBER(CL404),(1+CL404)/(1+CL$21)-1,"NM")</f>
      </c>
      <c r="CM405" s="30">
        <f>IF(ISNUMBER(CM404),(1+CM404)/(1+CM$21)-1,"NM")</f>
      </c>
      <c r="CN405" s="30">
        <f>IF(ISNUMBER(CN404),(1+CN404)/(1+CN$21)-1,"NM")</f>
      </c>
      <c r="CO405" s="30">
        <f>IF(ISNUMBER(CO404),(1+CO404)/(1+CO$21)-1,"NM")</f>
      </c>
      <c r="CP405" s="308">
        <f>CP404-CP$21</f>
      </c>
      <c r="CQ405" s="30"/>
      <c r="CR405" s="361"/>
      <c r="CS405" s="361"/>
      <c r="CT405" s="361"/>
      <c r="CU405" s="308"/>
      <c r="CV405" s="30"/>
      <c r="CW405" s="361"/>
      <c r="CX405" s="361"/>
      <c r="CY405" s="361"/>
      <c r="CZ405" s="308"/>
      <c r="DA405" s="30"/>
      <c r="DB405" s="361"/>
      <c r="DC405" s="361"/>
      <c r="DD405" s="835"/>
      <c r="DE405" s="316"/>
      <c r="DF405" s="30"/>
      <c r="DG405" s="361"/>
      <c r="DH405" s="361"/>
      <c r="DI405" s="835"/>
      <c r="DJ405" s="835"/>
      <c r="DK405" s="30"/>
      <c r="DL405" s="361"/>
      <c r="DM405" s="361"/>
      <c r="DN405" s="835"/>
      <c r="DO405" s="835"/>
      <c r="DP405" s="361"/>
      <c r="DQ405" s="361"/>
      <c r="DR405" s="361"/>
      <c r="DS405" s="835"/>
      <c r="DT405" s="835"/>
      <c r="DU405" s="361"/>
      <c r="DV405" s="361"/>
      <c r="DW405" s="361"/>
      <c r="DX405" s="835"/>
      <c r="DY405" s="835"/>
      <c r="DZ405" s="361"/>
      <c r="EA405" s="361"/>
      <c r="EB405" s="361"/>
      <c r="EC405" s="835"/>
      <c r="ED405" s="835"/>
      <c r="EE405" s="361"/>
      <c r="EF405" s="361"/>
      <c r="EG405" s="361"/>
      <c r="EH405" s="835"/>
      <c r="EI405" s="835"/>
      <c r="EJ405" s="835"/>
      <c r="EK405" s="835"/>
      <c r="EL405" s="835"/>
      <c r="EM405" s="835"/>
      <c r="EN405" s="316"/>
      <c r="EO405" s="835"/>
      <c r="EP405" s="835"/>
      <c r="EQ405" s="835"/>
      <c r="ER405" s="835"/>
      <c r="ES405" s="835"/>
      <c r="ET405" s="835"/>
      <c r="EU405" s="835"/>
      <c r="EV405" s="835"/>
      <c r="EW405" s="835"/>
      <c r="EX405" s="835"/>
    </row>
    <row r="406" spans="2:154" ht="12.75" hidden="1" customHeight="1" outlineLevel="1">
      <c r="B406" s="440" t="s">
        <v>413</v>
      </c>
      <c r="C406" s="1989"/>
      <c r="D406" s="28"/>
      <c r="E406" s="28"/>
      <c r="F406" s="28"/>
      <c r="G406" s="28"/>
      <c r="H406" s="28"/>
      <c r="I406" s="29">
        <v>0.41</v>
      </c>
      <c r="J406" s="30">
        <f t="shared" ref="J406:AO406" si="1111">IF(E400="NM","NM",IF(J400="NM","NM",IF(E400&lt;=0,"NM",IF(J400=0,"NM",IF(ABS(J400/E400-1)&gt;2.5,"NM",IF((ABS(J400-E400)=ABS(ABS(J400)-ABS(E400))),(J400/E400-1),"NM"))))))</f>
      </c>
      <c r="K406" s="30">
        <f t="shared" si="1111"/>
      </c>
      <c r="L406" s="30">
        <f t="shared" si="1111"/>
      </c>
      <c r="M406" s="30">
        <f t="shared" si="1111"/>
      </c>
      <c r="N406" s="30">
        <f t="shared" si="1111"/>
      </c>
      <c r="O406" s="30">
        <f t="shared" si="1111"/>
      </c>
      <c r="P406" s="30">
        <f t="shared" si="1111"/>
      </c>
      <c r="Q406" s="30">
        <f t="shared" si="1111"/>
      </c>
      <c r="R406" s="30">
        <f t="shared" si="1111"/>
      </c>
      <c r="S406" s="30">
        <f t="shared" si="1111"/>
      </c>
      <c r="T406" s="30">
        <f t="shared" si="1111"/>
      </c>
      <c r="U406" s="30">
        <f t="shared" si="1111"/>
      </c>
      <c r="V406" s="30">
        <f t="shared" si="1111"/>
      </c>
      <c r="W406" s="30">
        <f t="shared" si="1111"/>
      </c>
      <c r="X406" s="308">
        <f t="shared" si="1111"/>
      </c>
      <c r="Y406" s="30">
        <f t="shared" si="1111"/>
      </c>
      <c r="Z406" s="30">
        <f t="shared" si="1111"/>
      </c>
      <c r="AA406" s="30">
        <f t="shared" si="1111"/>
      </c>
      <c r="AB406" s="30">
        <f t="shared" si="1111"/>
      </c>
      <c r="AC406" s="308">
        <f t="shared" si="1111"/>
      </c>
      <c r="AD406" s="30">
        <f t="shared" si="1111"/>
      </c>
      <c r="AE406" s="30">
        <f t="shared" si="1111"/>
      </c>
      <c r="AF406" s="30">
        <f t="shared" si="1111"/>
      </c>
      <c r="AG406" s="30">
        <f t="shared" si="1111"/>
      </c>
      <c r="AH406" s="308">
        <f t="shared" si="1111"/>
      </c>
      <c r="AI406" s="30">
        <f t="shared" si="1111"/>
      </c>
      <c r="AJ406" s="30">
        <f t="shared" si="1111"/>
      </c>
      <c r="AK406" s="30">
        <f t="shared" si="1111"/>
      </c>
      <c r="AL406" s="30">
        <f t="shared" si="1111"/>
      </c>
      <c r="AM406" s="308">
        <f t="shared" si="1111"/>
      </c>
      <c r="AN406" s="30">
        <f t="shared" si="1111"/>
      </c>
      <c r="AO406" s="30">
        <f t="shared" si="1111"/>
      </c>
      <c r="AP406" s="30">
        <f t="shared" ref="AP406:BU406" si="1112">IF(AK400="NM","NM",IF(AP400="NM","NM",IF(AK400&lt;=0,"NM",IF(AP400=0,"NM",IF(ABS(AP400/AK400-1)&gt;2.5,"NM",IF((ABS(AP400-AK400)=ABS(ABS(AP400)-ABS(AK400))),(AP400/AK400-1),"NM"))))))</f>
      </c>
      <c r="AQ406" s="30">
        <f t="shared" si="1112"/>
      </c>
      <c r="AR406" s="308">
        <f t="shared" si="1112"/>
      </c>
      <c r="AS406" s="30">
        <f t="shared" si="1112"/>
      </c>
      <c r="AT406" s="30">
        <f t="shared" si="1112"/>
      </c>
      <c r="AU406" s="30">
        <f t="shared" si="1112"/>
      </c>
      <c r="AV406" s="30">
        <f t="shared" si="1112"/>
      </c>
      <c r="AW406" s="308">
        <f t="shared" si="1112"/>
      </c>
      <c r="AX406" s="30">
        <f t="shared" si="1112"/>
      </c>
      <c r="AY406" s="30">
        <f t="shared" si="1112"/>
      </c>
      <c r="AZ406" s="30">
        <f t="shared" si="1112"/>
      </c>
      <c r="BA406" s="30">
        <f t="shared" si="1112"/>
      </c>
      <c r="BB406" s="308">
        <f t="shared" si="1112"/>
      </c>
      <c r="BC406" s="30">
        <f t="shared" si="1112"/>
      </c>
      <c r="BD406" s="30">
        <f t="shared" si="1112"/>
      </c>
      <c r="BE406" s="30">
        <f t="shared" si="1112"/>
      </c>
      <c r="BF406" s="30">
        <f t="shared" si="1112"/>
      </c>
      <c r="BG406" s="308">
        <f t="shared" si="1112"/>
      </c>
      <c r="BH406" s="30">
        <f t="shared" si="1112"/>
      </c>
      <c r="BI406" s="30">
        <f t="shared" si="1112"/>
      </c>
      <c r="BJ406" s="30">
        <f t="shared" si="1112"/>
      </c>
      <c r="BK406" s="30">
        <f t="shared" si="1112"/>
      </c>
      <c r="BL406" s="308">
        <f t="shared" si="1112"/>
      </c>
      <c r="BM406" s="30">
        <f t="shared" si="1112"/>
      </c>
      <c r="BN406" s="30">
        <f t="shared" si="1112"/>
      </c>
      <c r="BO406" s="30">
        <f t="shared" si="1112"/>
      </c>
      <c r="BP406" s="30">
        <f t="shared" si="1112"/>
      </c>
      <c r="BQ406" s="308">
        <f t="shared" si="1112"/>
      </c>
      <c r="BR406" s="30">
        <f t="shared" si="1112"/>
      </c>
      <c r="BS406" s="30">
        <f t="shared" si="1112"/>
      </c>
      <c r="BT406" s="30">
        <f t="shared" si="1112"/>
      </c>
      <c r="BU406" s="30">
        <f t="shared" si="1112"/>
      </c>
      <c r="BV406" s="308">
        <f t="shared" ref="BV406:CA406" si="1113">IF(BQ400="NM","NM",IF(BV400="NM","NM",IF(BQ400&lt;=0,"NM",IF(BV400=0,"NM",IF(ABS(BV400/BQ400-1)&gt;2.5,"NM",IF((ABS(BV400-BQ400)=ABS(ABS(BV400)-ABS(BQ400))),(BV400/BQ400-1),"NM"))))))</f>
      </c>
      <c r="BW406" s="30">
        <f t="shared" si="1113"/>
      </c>
      <c r="BX406" s="30">
        <f t="shared" si="1113"/>
      </c>
      <c r="BY406" s="30">
        <f t="shared" si="1113"/>
      </c>
      <c r="BZ406" s="30">
        <f t="shared" si="1113"/>
      </c>
      <c r="CA406" s="308">
        <f t="shared" si="1113"/>
      </c>
      <c r="CB406" s="30">
        <f t="shared" ref="CB406:CH406" si="1114">IF(BW400="NM","NM",IF(CB400="NM","NM",IF(BW400&lt;=0,"NM",IF(CB400=0,"NM",IF(ABS(CB400/BW400-1)&gt;2.5,"NM",IF((ABS(CB400-BW400)=ABS(ABS(CB400)-ABS(BW400))),(CB400/BW400-1),"NM"))))))</f>
      </c>
      <c r="CC406" s="30">
        <f t="shared" si="1114"/>
      </c>
      <c r="CD406" s="30">
        <f>IF(BY400="NM","NM",IF(CD400="NM","NM",IF(BY400&lt;=0,"NM",IF(CD400=0,"NM",IF(ABS(CD400/BY400-1)&gt;2.5,"NM",IF((ABS(CD400-BY400)=ABS(ABS(CD400)-ABS(BY400))),(CD400/BY400-1),"NM"))))))</f>
      </c>
      <c r="CE406" s="30">
        <f>IF(BZ400="NM","NM",IF(CE400="NM","NM",IF(BZ400&lt;=0,"NM",IF(CE400=0,"NM",IF(ABS(CE400/BZ400-1)&gt;2.5,"NM",IF((ABS(CE400-BZ400)=ABS(ABS(CE400)-ABS(BZ400))),(CE400/BZ400-1),"NM"))))))</f>
      </c>
      <c r="CF406" s="308">
        <f>IF(CA400="NM","NM",IF(CF400="NM","NM",IF(CA400&lt;=0,"NM",IF(CF400=0,"NM",IF(ABS(CF400/CA400-1)&gt;2.5,"NM",IF((ABS(CF400-CA400)=ABS(ABS(CF400)-ABS(CA400))),(CF400/CA400-1),"NM"))))))</f>
      </c>
      <c r="CG406" s="30">
        <f t="shared" si="1114"/>
      </c>
      <c r="CH406" s="30">
        <f t="shared" si="1114"/>
      </c>
      <c r="CI406" s="30">
        <f>IF(CD400="NM","NM",IF(CI400="NM","NM",IF(CD400&lt;=0,"NM",IF(CI400=0,"NM",IF(ABS(CI400/CD400-1)&gt;2.5,"NM",IF((ABS(CI400-CD400)=ABS(ABS(CI400)-ABS(CD400))),(CI400/CD400-1),"NM"))))))</f>
      </c>
      <c r="CJ406" s="30">
        <f>IF(CE400="NM","NM",IF(CJ400="NM","NM",IF(CE400&lt;=0,"NM",IF(CJ400=0,"NM",IF(ABS(CJ400/CE400-1)&gt;2.5,"NM",IF((ABS(CJ400-CE400)=ABS(ABS(CJ400)-ABS(CE400))),(CJ400/CE400-1),"NM"))))))</f>
      </c>
      <c r="CK406" s="308">
        <f>IF(CK400&lt;=0,0,(CK400/CF400-1))</f>
      </c>
      <c r="CL406" s="30">
        <f>IF(CG400="NM","NM",IF(CL400="NM","NM",IF(CG400&lt;=0,"NM",IF(CL400=0,"NM",IF(ABS(CL400/CG400-1)&gt;2.5,"NM",IF((ABS(CL400-CG400)=ABS(ABS(CL400)-ABS(CG400))),(CL400/CG400-1),"NM"))))))</f>
      </c>
      <c r="CM406" s="30">
        <f>IF(CH400="NM","NM",IF(CM400="NM","NM",IF(CH400&lt;=0,"NM",IF(CM400=0,"NM",IF(ABS(CM400/CH400-1)&gt;2.5,"NM",IF((ABS(CM400-CH400)=ABS(ABS(CM400)-ABS(CH400))),(CM400/CH400-1),"NM"))))))</f>
      </c>
      <c r="CN406" s="30">
        <f>IF(CI400="NM","NM",IF(CN400="NM","NM",IF(CI400&lt;=0,"NM",IF(CN400=0,"NM",IF(ABS(CN400/CI400-1)&gt;2.5,"NM",IF((ABS(CN400-CI400)=ABS(ABS(CN400)-ABS(CI400))),(CN400/CI400-1),"NM"))))))</f>
      </c>
      <c r="CO406" s="30">
        <f>IF(CJ400="NM","NM",IF(CO400="NM","NM",IF(CJ400&lt;=0,"NM",IF(CO400=0,"NM",IF(ABS(CO400/CJ400-1)&gt;2.5,"NM",IF((ABS(CO400-CJ400)=ABS(ABS(CO400)-ABS(CJ400))),(CO400/CJ400-1),"NM"))))))</f>
      </c>
      <c r="CP406" s="308">
        <f>IF(CP400&lt;=0,0,(CP400/CK400-1))</f>
      </c>
      <c r="CQ406" s="30"/>
      <c r="CR406" s="926"/>
      <c r="CS406" s="926"/>
      <c r="CT406" s="926"/>
      <c r="CU406" s="308"/>
      <c r="CV406" s="30"/>
      <c r="CW406" s="926"/>
      <c r="CX406" s="926"/>
      <c r="CY406" s="926"/>
      <c r="CZ406" s="308"/>
      <c r="DA406" s="30"/>
      <c r="DB406" s="926"/>
      <c r="DC406" s="926"/>
      <c r="DD406" s="928"/>
      <c r="DE406" s="308"/>
      <c r="DF406" s="30"/>
      <c r="DG406" s="926"/>
      <c r="DH406" s="926"/>
      <c r="DI406" s="928"/>
      <c r="DJ406" s="308"/>
      <c r="DK406" s="30"/>
      <c r="DL406" s="926"/>
      <c r="DM406" s="926"/>
      <c r="DN406" s="928"/>
      <c r="DO406" s="308"/>
      <c r="DP406" s="926"/>
      <c r="DQ406" s="926"/>
      <c r="DR406" s="926"/>
      <c r="DS406" s="928"/>
      <c r="DT406" s="308"/>
      <c r="DU406" s="926"/>
      <c r="DV406" s="926"/>
      <c r="DW406" s="926"/>
      <c r="DX406" s="928"/>
      <c r="DY406" s="308"/>
      <c r="DZ406" s="926"/>
      <c r="EA406" s="926"/>
      <c r="EB406" s="926"/>
      <c r="EC406" s="928"/>
      <c r="ED406" s="1060"/>
      <c r="EE406" s="926"/>
      <c r="EF406" s="926"/>
      <c r="EG406" s="926"/>
      <c r="EH406" s="928"/>
      <c r="EI406" s="308"/>
      <c r="EJ406" s="308"/>
      <c r="EK406" s="308"/>
      <c r="EL406" s="308"/>
      <c r="EM406" s="308"/>
      <c r="EN406" s="308"/>
      <c r="EO406" s="409"/>
      <c r="EP406" s="308"/>
      <c r="EQ406" s="308"/>
      <c r="ER406" s="308"/>
      <c r="ES406" s="308"/>
      <c r="ET406" s="308"/>
      <c r="EU406" s="308"/>
      <c r="EV406" s="308"/>
      <c r="EW406" s="308"/>
      <c r="EX406" s="308"/>
    </row>
    <row r="407" spans="2:154" ht="12.75" hidden="1" customHeight="1" outlineLevel="1">
      <c r="B407" s="437"/>
      <c r="C407" s="1989"/>
      <c r="D407" s="28"/>
      <c r="E407" s="28"/>
      <c r="F407" s="28"/>
      <c r="G407" s="28"/>
      <c r="H407" s="28"/>
      <c r="I407" s="31"/>
      <c r="J407" s="28"/>
      <c r="K407" s="28"/>
      <c r="L407" s="28"/>
      <c r="M407" s="28"/>
      <c r="N407" s="31"/>
      <c r="O407" s="31"/>
      <c r="P407" s="31"/>
      <c r="Q407" s="31"/>
      <c r="R407" s="31"/>
      <c r="S407" s="31"/>
      <c r="T407" s="31"/>
      <c r="U407" s="31"/>
      <c r="V407" s="31"/>
      <c r="W407" s="31"/>
      <c r="X407" s="313"/>
      <c r="Y407" s="31"/>
      <c r="Z407" s="31"/>
      <c r="AA407" s="31"/>
      <c r="AB407" s="31"/>
      <c r="AC407" s="313"/>
      <c r="AD407" s="31"/>
      <c r="AE407" s="31"/>
      <c r="AF407" s="31"/>
      <c r="AG407" s="31"/>
      <c r="AH407" s="313"/>
      <c r="AI407" s="28"/>
      <c r="AJ407" s="28"/>
      <c r="AK407" s="28"/>
      <c r="AL407" s="31"/>
      <c r="AM407" s="313"/>
      <c r="AN407" s="28"/>
      <c r="AO407" s="28"/>
      <c r="AP407" s="28"/>
      <c r="AQ407" s="31"/>
      <c r="AR407" s="313"/>
      <c r="AS407" s="28"/>
      <c r="AT407" s="28"/>
      <c r="AU407" s="28"/>
      <c r="AV407" s="31"/>
      <c r="AW407" s="313"/>
      <c r="AX407" s="28"/>
      <c r="AY407" s="28"/>
      <c r="AZ407" s="28"/>
      <c r="BA407" s="28"/>
      <c r="BB407" s="313"/>
      <c r="BC407" s="28"/>
      <c r="BD407" s="28"/>
      <c r="BE407" s="28"/>
      <c r="BF407" s="28"/>
      <c r="BG407" s="313"/>
      <c r="BH407" s="28"/>
      <c r="BI407" s="28"/>
      <c r="BJ407" s="28"/>
      <c r="BK407" s="28"/>
      <c r="BL407" s="313"/>
      <c r="BM407" s="28"/>
      <c r="BN407" s="28"/>
      <c r="BO407" s="28"/>
      <c r="BP407" s="28"/>
      <c r="BQ407" s="313"/>
      <c r="BR407" s="28"/>
      <c r="BS407" s="28"/>
      <c r="BT407" s="28"/>
      <c r="BU407" s="28"/>
      <c r="BV407" s="313"/>
      <c r="BW407" s="28"/>
      <c r="BX407" s="28"/>
      <c r="BY407" s="28"/>
      <c r="BZ407" s="28"/>
      <c r="CA407" s="313"/>
      <c r="CB407" s="28"/>
      <c r="CC407" s="28"/>
      <c r="CD407" s="28"/>
      <c r="CE407" s="28"/>
      <c r="CF407" s="313"/>
      <c r="CG407" s="28"/>
      <c r="CH407" s="28"/>
      <c r="CI407" s="28"/>
      <c r="CJ407" s="28"/>
      <c r="CK407" s="313"/>
      <c r="CL407" s="28"/>
      <c r="CM407" s="28"/>
      <c r="CN407" s="28"/>
      <c r="CO407" s="28"/>
      <c r="CP407" s="313"/>
      <c r="CQ407" s="933"/>
      <c r="CR407" s="933"/>
      <c r="CS407" s="933"/>
      <c r="CT407" s="933"/>
      <c r="CU407" s="313"/>
      <c r="CV407" s="933"/>
      <c r="CW407" s="933"/>
      <c r="CX407" s="933"/>
      <c r="CY407" s="933"/>
      <c r="CZ407" s="313"/>
      <c r="DA407" s="933"/>
      <c r="DB407" s="31"/>
      <c r="DC407" s="31"/>
      <c r="DD407" s="955"/>
      <c r="DE407" s="477"/>
      <c r="DF407" s="982"/>
      <c r="DG407" s="603"/>
      <c r="DH407" s="603"/>
      <c r="DI407" s="1798"/>
      <c r="DJ407" s="477"/>
      <c r="DK407" s="982"/>
      <c r="DL407" s="603"/>
      <c r="DM407" s="603"/>
      <c r="DN407" s="1798"/>
      <c r="DO407" s="477"/>
      <c r="DP407" s="603"/>
      <c r="DQ407" s="603"/>
      <c r="DR407" s="603"/>
      <c r="DS407" s="1798"/>
      <c r="DT407" s="477"/>
      <c r="DU407" s="603"/>
      <c r="DV407" s="603"/>
      <c r="DW407" s="603"/>
      <c r="DX407" s="1798"/>
      <c r="DY407" s="477"/>
      <c r="DZ407" s="603"/>
      <c r="EA407" s="603"/>
      <c r="EB407" s="603"/>
      <c r="EC407" s="1798"/>
      <c r="ED407" s="477"/>
      <c r="EE407" s="603"/>
      <c r="EF407" s="603"/>
      <c r="EG407" s="603"/>
      <c r="EH407" s="1798"/>
      <c r="EI407" s="477"/>
      <c r="EJ407" s="477"/>
      <c r="EK407" s="477"/>
      <c r="EL407" s="477"/>
      <c r="EM407" s="477"/>
      <c r="EN407" s="477"/>
      <c r="EO407" s="1798"/>
      <c r="EP407" s="477"/>
      <c r="EQ407" s="477"/>
      <c r="ER407" s="477"/>
      <c r="ES407" s="477"/>
      <c r="ET407" s="477"/>
      <c r="EU407" s="477"/>
      <c r="EV407" s="477"/>
      <c r="EW407" s="477"/>
      <c r="EX407" s="477"/>
    </row>
    <row r="408" spans="2:154" ht="12.75" hidden="1" customHeight="1" outlineLevel="1">
      <c r="B408" s="436" t="s">
        <v>535</v>
      </c>
      <c r="C408" s="1989"/>
      <c r="D408" s="28"/>
      <c r="E408" s="28"/>
      <c r="F408" s="28"/>
      <c r="G408" s="28"/>
      <c r="H408" s="28"/>
      <c r="I408" s="31"/>
      <c r="J408" s="28"/>
      <c r="K408" s="28"/>
      <c r="L408" s="28"/>
      <c r="M408" s="28"/>
      <c r="N408" s="31"/>
      <c r="O408" s="31"/>
      <c r="P408" s="31"/>
      <c r="Q408" s="31"/>
      <c r="R408" s="31"/>
      <c r="S408" s="31"/>
      <c r="T408" s="31"/>
      <c r="U408" s="31"/>
      <c r="V408" s="31"/>
      <c r="W408" s="31"/>
      <c r="X408" s="313"/>
      <c r="Y408" s="31"/>
      <c r="Z408" s="31"/>
      <c r="AA408" s="31"/>
      <c r="AB408" s="31"/>
      <c r="AC408" s="313"/>
      <c r="AD408" s="31"/>
      <c r="AE408" s="31"/>
      <c r="AF408" s="31"/>
      <c r="AG408" s="31"/>
      <c r="AH408" s="313"/>
      <c r="AI408" s="28"/>
      <c r="AJ408" s="28"/>
      <c r="AK408" s="28"/>
      <c r="AL408" s="31"/>
      <c r="AM408" s="313"/>
      <c r="AN408" s="28"/>
      <c r="AO408" s="28"/>
      <c r="AP408" s="28"/>
      <c r="AQ408" s="31"/>
      <c r="AR408" s="313"/>
      <c r="AS408" s="28"/>
      <c r="AT408" s="28"/>
      <c r="AU408" s="28"/>
      <c r="AV408" s="28"/>
      <c r="AW408" s="313"/>
      <c r="AX408" s="28"/>
      <c r="AY408" s="28"/>
      <c r="AZ408" s="28"/>
      <c r="BA408" s="28"/>
      <c r="BB408" s="313"/>
      <c r="BC408" s="28"/>
      <c r="BD408" s="28"/>
      <c r="BE408" s="28"/>
      <c r="BF408" s="28"/>
      <c r="BG408" s="313"/>
      <c r="BH408" s="28"/>
      <c r="BI408" s="28"/>
      <c r="BJ408" s="28"/>
      <c r="BK408" s="28"/>
      <c r="BL408" s="313"/>
      <c r="BM408" s="28"/>
      <c r="BN408" s="28"/>
      <c r="BO408" s="28"/>
      <c r="BP408" s="28"/>
      <c r="BQ408" s="313"/>
      <c r="BR408" s="28"/>
      <c r="BS408" s="28"/>
      <c r="BT408" s="28"/>
      <c r="BU408" s="28"/>
      <c r="BV408" s="313"/>
      <c r="BW408" s="28"/>
      <c r="BX408" s="28"/>
      <c r="BY408" s="28"/>
      <c r="BZ408" s="28"/>
      <c r="CA408" s="313"/>
      <c r="CB408" s="28"/>
      <c r="CC408" s="28"/>
      <c r="CD408" s="28"/>
      <c r="CE408" s="28"/>
      <c r="CF408" s="313"/>
      <c r="CG408" s="28"/>
      <c r="CH408" s="28"/>
      <c r="CI408" s="28"/>
      <c r="CJ408" s="28"/>
      <c r="CK408" s="313"/>
      <c r="CL408" s="28"/>
      <c r="CM408" s="28"/>
      <c r="CN408" s="28"/>
      <c r="CO408" s="28"/>
      <c r="CP408" s="313"/>
      <c r="CQ408" s="933"/>
      <c r="CR408" s="933"/>
      <c r="CS408" s="933"/>
      <c r="CT408" s="933"/>
      <c r="CU408" s="313"/>
      <c r="CV408" s="933"/>
      <c r="CW408" s="933"/>
      <c r="CX408" s="933"/>
      <c r="CY408" s="933"/>
      <c r="CZ408" s="313"/>
      <c r="DA408" s="933"/>
      <c r="DB408" s="31"/>
      <c r="DC408" s="31"/>
      <c r="DD408" s="955"/>
      <c r="DE408" s="477"/>
      <c r="DF408" s="982"/>
      <c r="DG408" s="603"/>
      <c r="DH408" s="603"/>
      <c r="DI408" s="1798"/>
      <c r="DJ408" s="477"/>
      <c r="DK408" s="982"/>
      <c r="DL408" s="603"/>
      <c r="DM408" s="603"/>
      <c r="DN408" s="1798"/>
      <c r="DO408" s="477"/>
      <c r="DP408" s="603"/>
      <c r="DQ408" s="603"/>
      <c r="DR408" s="603"/>
      <c r="DS408" s="1798"/>
      <c r="DT408" s="477"/>
      <c r="DU408" s="603"/>
      <c r="DV408" s="603"/>
      <c r="DW408" s="603"/>
      <c r="DX408" s="1798"/>
      <c r="DY408" s="477"/>
      <c r="DZ408" s="603"/>
      <c r="EA408" s="603"/>
      <c r="EB408" s="603"/>
      <c r="EC408" s="1798"/>
      <c r="ED408" s="477"/>
      <c r="EE408" s="603"/>
      <c r="EF408" s="603"/>
      <c r="EG408" s="603"/>
      <c r="EH408" s="1798"/>
      <c r="EI408" s="477"/>
      <c r="EJ408" s="477"/>
      <c r="EK408" s="477"/>
      <c r="EL408" s="477"/>
      <c r="EM408" s="477"/>
      <c r="EN408" s="477"/>
      <c r="EO408" s="1798"/>
      <c r="EP408" s="477"/>
      <c r="EQ408" s="477"/>
      <c r="ER408" s="477"/>
      <c r="ES408" s="477"/>
      <c r="ET408" s="477"/>
      <c r="EU408" s="477"/>
      <c r="EV408" s="477"/>
      <c r="EW408" s="477"/>
      <c r="EX408" s="477"/>
    </row>
    <row r="409" spans="2:154" ht="12.75" hidden="1" customHeight="1" outlineLevel="1">
      <c r="B409" s="437" t="s">
        <v>187</v>
      </c>
      <c r="C409" s="1997">
        <v>41769</v>
      </c>
      <c r="D409" s="31">
        <f>+I409/(1+I414)</f>
      </c>
      <c r="E409" s="33">
        <v>113</v>
      </c>
      <c r="F409" s="33">
        <v>143.24324324324323</v>
      </c>
      <c r="G409" s="33">
        <v>121</v>
      </c>
      <c r="H409" s="33">
        <v>74</v>
      </c>
      <c r="I409" s="31">
        <f>+SUM(E409:H409)</f>
      </c>
      <c r="J409" s="33">
        <v>146</v>
      </c>
      <c r="K409" s="33">
        <v>159</v>
      </c>
      <c r="L409" s="33">
        <v>126</v>
      </c>
      <c r="M409" s="33">
        <v>87</v>
      </c>
      <c r="N409" s="31">
        <f>+SUM(J409:M409)</f>
      </c>
      <c r="O409" s="33">
        <v>139</v>
      </c>
      <c r="P409" s="33">
        <v>171</v>
      </c>
      <c r="Q409" s="33">
        <v>114</v>
      </c>
      <c r="R409" s="33">
        <v>180</v>
      </c>
      <c r="S409" s="31">
        <f>SUM(O409:R409)</f>
      </c>
      <c r="T409" s="33">
        <v>161</v>
      </c>
      <c r="U409" s="33">
        <v>155</v>
      </c>
      <c r="V409" s="33">
        <v>61</v>
      </c>
      <c r="W409" s="33">
        <v>61</v>
      </c>
      <c r="X409" s="313">
        <f>SUM(T409:W409)</f>
      </c>
      <c r="Y409" s="33">
        <v>57</v>
      </c>
      <c r="Z409" s="33">
        <v>74</v>
      </c>
      <c r="AA409" s="33">
        <v>75</v>
      </c>
      <c r="AB409" s="33">
        <v>82</v>
      </c>
      <c r="AC409" s="313">
        <f>SUM(Y409:AB409)</f>
      </c>
      <c r="AD409" s="33">
        <v>80</v>
      </c>
      <c r="AE409" s="33">
        <v>86</v>
      </c>
      <c r="AF409" s="33">
        <v>85</v>
      </c>
      <c r="AG409" s="33">
        <v>95</v>
      </c>
      <c r="AH409" s="313">
        <f>SUM(AD409:AG409)</f>
      </c>
      <c r="AI409" s="33">
        <v>90</v>
      </c>
      <c r="AJ409" s="33">
        <v>60</v>
      </c>
      <c r="AK409" s="33">
        <v>10.5</v>
      </c>
      <c r="AL409" s="33">
        <v>15</v>
      </c>
      <c r="AM409" s="313">
        <f>+SUM(AI409:AL409)</f>
      </c>
      <c r="AN409" s="33">
        <v>13</v>
      </c>
      <c r="AO409" s="33">
        <v>12</v>
      </c>
      <c r="AP409" s="33">
        <v>26</v>
      </c>
      <c r="AQ409" s="33">
        <v>50</v>
      </c>
      <c r="AR409" s="313">
        <f>+SUM(AN409:AQ409)</f>
      </c>
      <c r="AS409" s="33">
        <v>40</v>
      </c>
      <c r="AT409" s="33">
        <v>45</v>
      </c>
      <c r="AU409" s="33">
        <v>55</v>
      </c>
      <c r="AV409" s="33">
        <v>70</v>
      </c>
      <c r="AW409" s="313">
        <f>SUM(AS409:AV409)</f>
      </c>
      <c r="AX409" s="33">
        <v>54</v>
      </c>
      <c r="AY409" s="33">
        <v>52.65</v>
      </c>
      <c r="AZ409" s="33">
        <v>69.849999999999994</v>
      </c>
      <c r="BA409" s="33">
        <v>70</v>
      </c>
      <c r="BB409" s="313">
        <f>SUM(AX409:BA409)</f>
      </c>
      <c r="BC409" s="33">
        <v>60.48</v>
      </c>
      <c r="BD409" s="33">
        <v>51.807600000000001</v>
      </c>
      <c r="BE409" s="28">
        <v>69.849999999999994</v>
      </c>
      <c r="BF409" s="28">
        <v>68.599999999999994</v>
      </c>
      <c r="BG409" s="313">
        <f>SUM(BC409:BF409)</f>
      </c>
      <c r="BH409" s="33">
        <v>60.48</v>
      </c>
      <c r="BI409" s="33">
        <v>46.108764000000001</v>
      </c>
      <c r="BJ409" s="33">
        <v>66.357499999999987</v>
      </c>
      <c r="BK409" s="33">
        <v>58.570495999999991</v>
      </c>
      <c r="BL409" s="313">
        <f>SUM(BH409:BK409)</f>
      </c>
      <c r="BM409" s="33">
        <v>58.060799999999993</v>
      </c>
      <c r="BN409" s="33">
        <v>35</v>
      </c>
      <c r="BO409" s="33">
        <v>50</v>
      </c>
      <c r="BP409" s="352">
        <v>50</v>
      </c>
      <c r="BQ409" s="313">
        <f>SUM(BM409:BP409)</f>
      </c>
      <c r="BR409" s="761">
        <v>55.738367999999994</v>
      </c>
      <c r="BS409" s="761">
        <v>33.6</v>
      </c>
      <c r="BT409" s="761">
        <v>32</v>
      </c>
      <c r="BU409" s="761">
        <v>31.179664000000002</v>
      </c>
      <c r="BV409" s="313">
        <f>SUM(BR409:BU409)</f>
      </c>
      <c r="BW409" s="761">
        <v>51.836682239999988</v>
      </c>
      <c r="BX409" s="761">
        <v>31</v>
      </c>
      <c r="BY409" s="761">
        <v>30</v>
      </c>
      <c r="BZ409" s="761">
        <v>29</v>
      </c>
      <c r="CA409" s="313">
        <f>SUM(BW409:BZ409)</f>
      </c>
      <c r="CB409" s="761">
        <v>35</v>
      </c>
      <c r="CC409" s="761">
        <v>25</v>
      </c>
      <c r="CD409" s="761">
        <v>24</v>
      </c>
      <c r="CE409" s="761">
        <v>23</v>
      </c>
      <c r="CF409" s="313">
        <f>SUM(CB409:CE409)</f>
      </c>
      <c r="CG409" s="761">
        <v>10.5</v>
      </c>
      <c r="CH409" s="761">
        <v>7.5</v>
      </c>
      <c r="CI409" s="761">
        <v>7</v>
      </c>
      <c r="CJ409" s="761">
        <v>8</v>
      </c>
      <c r="CK409" s="313">
        <f>SUM(CG409:CJ409)</f>
      </c>
      <c r="CL409" s="761">
        <v>8</v>
      </c>
      <c r="CM409" s="761">
        <v>5</v>
      </c>
      <c r="CN409" s="761">
        <v>2</v>
      </c>
      <c r="CO409" s="761">
        <v>0</v>
      </c>
      <c r="CP409" s="313">
        <f>SUM(CL409:CO409)</f>
      </c>
      <c r="CQ409" s="352"/>
      <c r="CR409" s="933"/>
      <c r="CS409" s="933"/>
      <c r="CT409" s="933"/>
      <c r="CU409" s="313"/>
      <c r="CV409" s="352"/>
      <c r="CW409" s="933"/>
      <c r="CX409" s="933"/>
      <c r="CY409" s="933"/>
      <c r="CZ409" s="313"/>
      <c r="DA409" s="352"/>
      <c r="DB409" s="31"/>
      <c r="DC409" s="31"/>
      <c r="DD409" s="955"/>
      <c r="DE409" s="477"/>
      <c r="DF409" s="1801"/>
      <c r="DG409" s="603"/>
      <c r="DH409" s="603"/>
      <c r="DI409" s="1798"/>
      <c r="DJ409" s="477"/>
      <c r="DK409" s="1801"/>
      <c r="DL409" s="603"/>
      <c r="DM409" s="603"/>
      <c r="DN409" s="1798"/>
      <c r="DO409" s="477"/>
      <c r="DP409" s="603"/>
      <c r="DQ409" s="603"/>
      <c r="DR409" s="603"/>
      <c r="DS409" s="1798"/>
      <c r="DT409" s="477"/>
      <c r="DU409" s="603"/>
      <c r="DV409" s="603"/>
      <c r="DW409" s="603"/>
      <c r="DX409" s="1798"/>
      <c r="DY409" s="477"/>
      <c r="DZ409" s="603"/>
      <c r="EA409" s="603"/>
      <c r="EB409" s="603"/>
      <c r="EC409" s="1798"/>
      <c r="ED409" s="477"/>
      <c r="EE409" s="603"/>
      <c r="EF409" s="603"/>
      <c r="EG409" s="603"/>
      <c r="EH409" s="1798"/>
      <c r="EI409" s="477"/>
      <c r="EJ409" s="477"/>
      <c r="EK409" s="477"/>
      <c r="EL409" s="477"/>
      <c r="EM409" s="477"/>
      <c r="EN409" s="477"/>
      <c r="EO409" s="1798"/>
      <c r="EP409" s="477"/>
      <c r="EQ409" s="477"/>
      <c r="ER409" s="477"/>
      <c r="ES409" s="477"/>
      <c r="ET409" s="477"/>
      <c r="EU409" s="477"/>
      <c r="EV409" s="477"/>
      <c r="EW409" s="477"/>
      <c r="EX409" s="477"/>
    </row>
    <row r="410" spans="2:154" ht="12.75" hidden="1" customHeight="1" outlineLevel="1">
      <c r="B410" s="437" t="s">
        <v>412</v>
      </c>
      <c r="C410" s="1989"/>
      <c r="D410" s="31">
        <v>0</v>
      </c>
      <c r="E410" s="33">
        <v>1</v>
      </c>
      <c r="F410" s="33">
        <v>1</v>
      </c>
      <c r="G410" s="33">
        <v>1</v>
      </c>
      <c r="H410" s="33">
        <v>1</v>
      </c>
      <c r="I410" s="31">
        <f>+SUM(E410:H410)</f>
      </c>
      <c r="J410" s="33">
        <v>1</v>
      </c>
      <c r="K410" s="33">
        <v>1</v>
      </c>
      <c r="L410" s="33">
        <v>1</v>
      </c>
      <c r="M410" s="33">
        <v>1</v>
      </c>
      <c r="N410" s="31">
        <f>+SUM(J410:M410)</f>
      </c>
      <c r="O410" s="33">
        <v>1</v>
      </c>
      <c r="P410" s="33">
        <v>1</v>
      </c>
      <c r="Q410" s="33">
        <v>1</v>
      </c>
      <c r="R410" s="33">
        <v>1</v>
      </c>
      <c r="S410" s="31">
        <f>SUM(O410:R410)</f>
      </c>
      <c r="T410" s="33">
        <v>1</v>
      </c>
      <c r="U410" s="33">
        <v>1</v>
      </c>
      <c r="V410" s="33">
        <v>1</v>
      </c>
      <c r="W410" s="33">
        <v>1</v>
      </c>
      <c r="X410" s="313">
        <f>SUM(T410:W410)</f>
      </c>
      <c r="Y410" s="33">
        <v>2</v>
      </c>
      <c r="Z410" s="33">
        <v>4</v>
      </c>
      <c r="AA410" s="33">
        <v>6</v>
      </c>
      <c r="AB410" s="33">
        <v>8</v>
      </c>
      <c r="AC410" s="313">
        <f>SUM(Y410:AB410)</f>
      </c>
      <c r="AD410" s="33">
        <v>8.5</v>
      </c>
      <c r="AE410" s="33">
        <v>9</v>
      </c>
      <c r="AF410" s="33">
        <v>7.5</v>
      </c>
      <c r="AG410" s="33">
        <v>10</v>
      </c>
      <c r="AH410" s="313">
        <f>SUM(AD410:AG410)</f>
      </c>
      <c r="AI410" s="33">
        <v>10</v>
      </c>
      <c r="AJ410" s="33">
        <v>10</v>
      </c>
      <c r="AK410" s="33">
        <v>10</v>
      </c>
      <c r="AL410" s="33">
        <v>10</v>
      </c>
      <c r="AM410" s="313">
        <f>+SUM(AI410:AL410)</f>
      </c>
      <c r="AN410" s="33">
        <v>11</v>
      </c>
      <c r="AO410" s="33">
        <v>11</v>
      </c>
      <c r="AP410" s="33">
        <v>15</v>
      </c>
      <c r="AQ410" s="33">
        <v>20</v>
      </c>
      <c r="AR410" s="313">
        <f>+SUM(AN410:AQ410)</f>
      </c>
      <c r="AS410" s="33">
        <v>23</v>
      </c>
      <c r="AT410" s="33">
        <v>24</v>
      </c>
      <c r="AU410" s="33">
        <v>26</v>
      </c>
      <c r="AV410" s="33">
        <v>33.156626506024097</v>
      </c>
      <c r="AW410" s="313">
        <f>SUM(AS410:AV410)</f>
      </c>
      <c r="AX410" s="33">
        <v>31.51</v>
      </c>
      <c r="AY410" s="33">
        <v>32.64</v>
      </c>
      <c r="AZ410" s="33">
        <v>33.020000000000003</v>
      </c>
      <c r="BA410" s="33">
        <v>27.52</v>
      </c>
      <c r="BB410" s="313">
        <f>SUM(AX410:BA410)</f>
      </c>
      <c r="BC410" s="33">
        <v>25.838200000000004</v>
      </c>
      <c r="BD410" s="33">
        <v>27.4176</v>
      </c>
      <c r="BE410" s="28">
        <v>31.996380000000002</v>
      </c>
      <c r="BF410" s="28">
        <v>31.438848</v>
      </c>
      <c r="BG410" s="313">
        <f>SUM(BC410:BF410)</f>
      </c>
      <c r="BH410" s="33">
        <v>28.463361120000009</v>
      </c>
      <c r="BI410" s="33">
        <v>25.35031296</v>
      </c>
      <c r="BJ410" s="33">
        <v>29.788629780000001</v>
      </c>
      <c r="BK410" s="33">
        <v>27.178884095999997</v>
      </c>
      <c r="BL410" s="313">
        <f>SUM(BH410:BK410)</f>
      </c>
      <c r="BM410" s="33">
        <v>26.710018075008009</v>
      </c>
      <c r="BN410" s="33">
        <v>26.76993048576</v>
      </c>
      <c r="BO410" s="33">
        <v>30.56313415428</v>
      </c>
      <c r="BP410" s="352">
        <v>25.277373400946828</v>
      </c>
      <c r="BQ410" s="313">
        <f>SUM(BM410:BP410)</f>
      </c>
      <c r="BR410" s="761">
        <v>24.867026827832454</v>
      </c>
      <c r="BS410" s="761">
        <v>23.5</v>
      </c>
      <c r="BT410" s="761">
        <v>23</v>
      </c>
      <c r="BU410" s="761">
        <v>21.104952842673285</v>
      </c>
      <c r="BV410" s="313">
        <f>SUM(BR410:BU410)</f>
      </c>
      <c r="BW410" s="761">
        <v>22.524370061690611</v>
      </c>
      <c r="BX410" s="761">
        <v>21</v>
      </c>
      <c r="BY410" s="761">
        <v>20</v>
      </c>
      <c r="BZ410" s="761">
        <v>18</v>
      </c>
      <c r="CA410" s="313">
        <f>SUM(BW410:BZ410)</f>
      </c>
      <c r="CB410" s="761">
        <v>17</v>
      </c>
      <c r="CC410" s="761">
        <v>17</v>
      </c>
      <c r="CD410" s="761">
        <v>15.7</v>
      </c>
      <c r="CE410" s="761">
        <v>13</v>
      </c>
      <c r="CF410" s="313">
        <f>SUM(CB410:CE410)</f>
      </c>
      <c r="CG410" s="761">
        <v>3.1</v>
      </c>
      <c r="CH410" s="761">
        <v>2.6</v>
      </c>
      <c r="CI410" s="761">
        <v>2</v>
      </c>
      <c r="CJ410" s="761">
        <v>2.2278201036269425</v>
      </c>
      <c r="CK410" s="313">
        <f>SUM(CG410:CJ410)</f>
      </c>
      <c r="CL410" s="761">
        <v>3.1</v>
      </c>
      <c r="CM410" s="761">
        <v>1</v>
      </c>
      <c r="CN410" s="761">
        <v>1</v>
      </c>
      <c r="CO410" s="761">
        <v>0</v>
      </c>
      <c r="CP410" s="313">
        <f>SUM(CL410:CO410)</f>
      </c>
      <c r="CQ410" s="352"/>
      <c r="CR410" s="933"/>
      <c r="CS410" s="933"/>
      <c r="CT410" s="933"/>
      <c r="CU410" s="313"/>
      <c r="CV410" s="352"/>
      <c r="CW410" s="933"/>
      <c r="CX410" s="933"/>
      <c r="CY410" s="933"/>
      <c r="CZ410" s="313"/>
      <c r="DA410" s="352"/>
      <c r="DB410" s="31"/>
      <c r="DC410" s="31"/>
      <c r="DD410" s="955"/>
      <c r="DE410" s="477"/>
      <c r="DF410" s="1801"/>
      <c r="DG410" s="603"/>
      <c r="DH410" s="603"/>
      <c r="DI410" s="1798"/>
      <c r="DJ410" s="477"/>
      <c r="DK410" s="1801"/>
      <c r="DL410" s="603"/>
      <c r="DM410" s="603"/>
      <c r="DN410" s="1798"/>
      <c r="DO410" s="477"/>
      <c r="DP410" s="603"/>
      <c r="DQ410" s="603"/>
      <c r="DR410" s="603"/>
      <c r="DS410" s="1798"/>
      <c r="DT410" s="477"/>
      <c r="DU410" s="603"/>
      <c r="DV410" s="603"/>
      <c r="DW410" s="603"/>
      <c r="DX410" s="1798"/>
      <c r="DY410" s="477"/>
      <c r="DZ410" s="603"/>
      <c r="EA410" s="603"/>
      <c r="EB410" s="603"/>
      <c r="EC410" s="1798"/>
      <c r="ED410" s="477"/>
      <c r="EE410" s="603"/>
      <c r="EF410" s="603"/>
      <c r="EG410" s="603"/>
      <c r="EH410" s="1798"/>
      <c r="EI410" s="477"/>
      <c r="EJ410" s="477"/>
      <c r="EK410" s="477"/>
      <c r="EL410" s="477"/>
      <c r="EM410" s="477"/>
      <c r="EN410" s="477"/>
      <c r="EO410" s="1798"/>
      <c r="EP410" s="477"/>
      <c r="EQ410" s="477"/>
      <c r="ER410" s="477"/>
      <c r="ES410" s="477"/>
      <c r="ET410" s="477"/>
      <c r="EU410" s="477"/>
      <c r="EV410" s="477"/>
      <c r="EW410" s="477"/>
      <c r="EX410" s="477"/>
    </row>
    <row r="411" spans="2:154" ht="12.75" hidden="1" customHeight="1" outlineLevel="1">
      <c r="B411" s="437" t="s">
        <v>413</v>
      </c>
      <c r="C411" s="1989"/>
      <c r="D411" s="28">
        <f t="shared" ref="D411:AI411" si="1115">+D409+D410</f>
      </c>
      <c r="E411" s="28">
        <f t="shared" si="1115"/>
      </c>
      <c r="F411" s="28">
        <f t="shared" si="1115"/>
      </c>
      <c r="G411" s="28">
        <f t="shared" si="1115"/>
      </c>
      <c r="H411" s="28">
        <f t="shared" si="1115"/>
      </c>
      <c r="I411" s="31">
        <f t="shared" si="1115"/>
      </c>
      <c r="J411" s="28">
        <f t="shared" si="1115"/>
      </c>
      <c r="K411" s="28">
        <f t="shared" si="1115"/>
      </c>
      <c r="L411" s="28">
        <f t="shared" si="1115"/>
      </c>
      <c r="M411" s="28">
        <f t="shared" si="1115"/>
      </c>
      <c r="N411" s="31">
        <f t="shared" si="1115"/>
      </c>
      <c r="O411" s="31">
        <f t="shared" si="1115"/>
      </c>
      <c r="P411" s="31">
        <f t="shared" si="1115"/>
      </c>
      <c r="Q411" s="31">
        <f t="shared" si="1115"/>
      </c>
      <c r="R411" s="31">
        <f t="shared" si="1115"/>
      </c>
      <c r="S411" s="31">
        <f t="shared" si="1115"/>
      </c>
      <c r="T411" s="31">
        <f t="shared" si="1115"/>
      </c>
      <c r="U411" s="31">
        <f t="shared" si="1115"/>
      </c>
      <c r="V411" s="31">
        <f t="shared" si="1115"/>
      </c>
      <c r="W411" s="31">
        <f t="shared" si="1115"/>
      </c>
      <c r="X411" s="313">
        <f t="shared" si="1115"/>
      </c>
      <c r="Y411" s="31">
        <f t="shared" si="1115"/>
      </c>
      <c r="Z411" s="31">
        <f t="shared" si="1115"/>
      </c>
      <c r="AA411" s="31">
        <f t="shared" si="1115"/>
      </c>
      <c r="AB411" s="31">
        <f t="shared" si="1115"/>
      </c>
      <c r="AC411" s="313">
        <f t="shared" si="1115"/>
      </c>
      <c r="AD411" s="31">
        <f t="shared" si="1115"/>
      </c>
      <c r="AE411" s="31">
        <f t="shared" si="1115"/>
      </c>
      <c r="AF411" s="31">
        <f t="shared" si="1115"/>
      </c>
      <c r="AG411" s="31">
        <f t="shared" si="1115"/>
      </c>
      <c r="AH411" s="313">
        <f t="shared" si="1115"/>
      </c>
      <c r="AI411" s="28">
        <f t="shared" si="1115"/>
      </c>
      <c r="AJ411" s="28">
        <f t="shared" ref="AJ411:BB411" si="1116">+AJ409+AJ410</f>
      </c>
      <c r="AK411" s="28">
        <f t="shared" si="1116"/>
      </c>
      <c r="AL411" s="31">
        <f t="shared" si="1116"/>
      </c>
      <c r="AM411" s="313">
        <f t="shared" si="1116"/>
      </c>
      <c r="AN411" s="28">
        <f t="shared" si="1116"/>
      </c>
      <c r="AO411" s="28">
        <f t="shared" si="1116"/>
      </c>
      <c r="AP411" s="28">
        <f t="shared" si="1116"/>
      </c>
      <c r="AQ411" s="31">
        <f t="shared" si="1116"/>
      </c>
      <c r="AR411" s="313">
        <f t="shared" si="1116"/>
      </c>
      <c r="AS411" s="28">
        <f t="shared" si="1116"/>
      </c>
      <c r="AT411" s="28">
        <f t="shared" si="1116"/>
      </c>
      <c r="AU411" s="28">
        <f t="shared" si="1116"/>
      </c>
      <c r="AV411" s="31">
        <f t="shared" si="1116"/>
      </c>
      <c r="AW411" s="313">
        <f t="shared" si="1116"/>
      </c>
      <c r="AX411" s="28">
        <f t="shared" si="1116"/>
      </c>
      <c r="AY411" s="28">
        <f t="shared" si="1116"/>
      </c>
      <c r="AZ411" s="28">
        <f t="shared" si="1116"/>
      </c>
      <c r="BA411" s="28">
        <f t="shared" si="1116"/>
      </c>
      <c r="BB411" s="313">
        <f t="shared" si="1116"/>
      </c>
      <c r="BC411" s="28">
        <f>+BC410+BC409</f>
      </c>
      <c r="BD411" s="28">
        <f>+BD410+BD409</f>
      </c>
      <c r="BE411" s="28">
        <f t="shared" ref="BE411:BK411" si="1117">+BE409+BE410</f>
      </c>
      <c r="BF411" s="28">
        <f t="shared" si="1117"/>
      </c>
      <c r="BG411" s="313">
        <f t="shared" si="1117"/>
      </c>
      <c r="BH411" s="28">
        <f t="shared" si="1117"/>
      </c>
      <c r="BI411" s="28">
        <f t="shared" si="1117"/>
      </c>
      <c r="BJ411" s="28">
        <f t="shared" si="1117"/>
      </c>
      <c r="BK411" s="28">
        <f t="shared" si="1117"/>
      </c>
      <c r="BL411" s="313">
        <f>SUM(BH411:BK411)</f>
      </c>
      <c r="BM411" s="28">
        <f>+BM409+BM410</f>
      </c>
      <c r="BN411" s="28">
        <f>+BN409+BN410</f>
      </c>
      <c r="BO411" s="28">
        <f>+BO409+BO410</f>
      </c>
      <c r="BP411" s="28">
        <f>+BP409+BP410</f>
      </c>
      <c r="BQ411" s="313">
        <f>SUM(BM411:BP411)</f>
      </c>
      <c r="BR411" s="28">
        <f>+BR409+BR410</f>
      </c>
      <c r="BS411" s="28">
        <f>+BS409+BS410</f>
      </c>
      <c r="BT411" s="28">
        <f>+BT409+BT410</f>
      </c>
      <c r="BU411" s="28">
        <f>+BU409+BU410</f>
      </c>
      <c r="BV411" s="313">
        <f>SUM(BR411:BU411)</f>
      </c>
      <c r="BW411" s="28">
        <f>+BW409+BW410</f>
      </c>
      <c r="BX411" s="28">
        <f>+BX409+BX410</f>
      </c>
      <c r="BY411" s="28">
        <f>+BY409+BY410</f>
      </c>
      <c r="BZ411" s="28">
        <f>+BZ409+BZ410</f>
      </c>
      <c r="CA411" s="313">
        <f>SUM(BW411:BZ411)</f>
      </c>
      <c r="CB411" s="28">
        <f>+CB409+CB410</f>
      </c>
      <c r="CC411" s="28">
        <f>+CC409+CC410</f>
      </c>
      <c r="CD411" s="28">
        <f>+CD409+CD410</f>
      </c>
      <c r="CE411" s="28">
        <f>+CE409+CE410</f>
      </c>
      <c r="CF411" s="313">
        <f>SUM(CB411:CE411)</f>
      </c>
      <c r="CG411" s="28">
        <f>+CG409+CG410</f>
      </c>
      <c r="CH411" s="28">
        <f>+CH409+CH410</f>
      </c>
      <c r="CI411" s="28">
        <f>+CI409+CI410</f>
      </c>
      <c r="CJ411" s="28">
        <f>+CJ409+CJ410</f>
      </c>
      <c r="CK411" s="313">
        <f>SUM(CG411:CJ411)</f>
      </c>
      <c r="CL411" s="28">
        <f>+CL409+CL410</f>
      </c>
      <c r="CM411" s="28">
        <f>+CM409+CM410</f>
      </c>
      <c r="CN411" s="28">
        <f>+CN409+CN410</f>
      </c>
      <c r="CO411" s="28">
        <f>+CO409+CO410</f>
      </c>
      <c r="CP411" s="313">
        <f>SUM(CL411:CO411)</f>
      </c>
      <c r="CQ411" s="933"/>
      <c r="CR411" s="933"/>
      <c r="CS411" s="933"/>
      <c r="CT411" s="933"/>
      <c r="CU411" s="313"/>
      <c r="CV411" s="933"/>
      <c r="CW411" s="933"/>
      <c r="CX411" s="933"/>
      <c r="CY411" s="933"/>
      <c r="CZ411" s="313"/>
      <c r="DA411" s="933"/>
      <c r="DB411" s="31"/>
      <c r="DC411" s="31"/>
      <c r="DD411" s="955"/>
      <c r="DE411" s="477"/>
      <c r="DF411" s="982"/>
      <c r="DG411" s="603"/>
      <c r="DH411" s="603"/>
      <c r="DI411" s="1798"/>
      <c r="DJ411" s="477"/>
      <c r="DK411" s="982"/>
      <c r="DL411" s="603"/>
      <c r="DM411" s="603"/>
      <c r="DN411" s="1798"/>
      <c r="DO411" s="477"/>
      <c r="DP411" s="603"/>
      <c r="DQ411" s="603"/>
      <c r="DR411" s="603"/>
      <c r="DS411" s="1798"/>
      <c r="DT411" s="477"/>
      <c r="DU411" s="603"/>
      <c r="DV411" s="603"/>
      <c r="DW411" s="603"/>
      <c r="DX411" s="1798"/>
      <c r="DY411" s="477"/>
      <c r="DZ411" s="603"/>
      <c r="EA411" s="603"/>
      <c r="EB411" s="603"/>
      <c r="EC411" s="1798"/>
      <c r="ED411" s="477"/>
      <c r="EE411" s="603"/>
      <c r="EF411" s="603"/>
      <c r="EG411" s="603"/>
      <c r="EH411" s="1798"/>
      <c r="EI411" s="477"/>
      <c r="EJ411" s="477"/>
      <c r="EK411" s="477"/>
      <c r="EL411" s="477"/>
      <c r="EM411" s="477"/>
      <c r="EN411" s="477"/>
      <c r="EO411" s="1798"/>
      <c r="EP411" s="477"/>
      <c r="EQ411" s="477"/>
      <c r="ER411" s="477"/>
      <c r="ES411" s="477"/>
      <c r="ET411" s="477"/>
      <c r="EU411" s="477"/>
      <c r="EV411" s="477"/>
      <c r="EW411" s="477"/>
      <c r="EX411" s="477"/>
    </row>
    <row r="412" spans="2:154" ht="12.75" hidden="1" customHeight="1" outlineLevel="1">
      <c r="B412" s="437"/>
      <c r="C412" s="1989"/>
      <c r="D412" s="28"/>
      <c r="E412" s="28"/>
      <c r="F412" s="28"/>
      <c r="G412" s="28"/>
      <c r="H412" s="28"/>
      <c r="I412" s="31"/>
      <c r="J412" s="28"/>
      <c r="K412" s="28"/>
      <c r="L412" s="28"/>
      <c r="M412" s="28"/>
      <c r="N412" s="31"/>
      <c r="O412" s="31"/>
      <c r="P412" s="31"/>
      <c r="Q412" s="31"/>
      <c r="R412" s="31"/>
      <c r="S412" s="31"/>
      <c r="T412" s="31"/>
      <c r="U412" s="31"/>
      <c r="V412" s="31"/>
      <c r="W412" s="31"/>
      <c r="X412" s="313"/>
      <c r="Y412" s="31"/>
      <c r="Z412" s="31"/>
      <c r="AA412" s="31"/>
      <c r="AB412" s="31"/>
      <c r="AC412" s="313"/>
      <c r="AD412" s="31"/>
      <c r="AE412" s="31"/>
      <c r="AF412" s="31"/>
      <c r="AG412" s="31"/>
      <c r="AH412" s="313"/>
      <c r="AI412" s="28"/>
      <c r="AJ412" s="28"/>
      <c r="AK412" s="28"/>
      <c r="AL412" s="31"/>
      <c r="AM412" s="313"/>
      <c r="AN412" s="28"/>
      <c r="AO412" s="28"/>
      <c r="AP412" s="28"/>
      <c r="AQ412" s="31"/>
      <c r="AR412" s="313"/>
      <c r="AS412" s="28"/>
      <c r="AT412" s="28"/>
      <c r="AU412" s="28"/>
      <c r="AV412" s="31"/>
      <c r="AW412" s="313"/>
      <c r="AX412" s="28"/>
      <c r="AY412" s="28"/>
      <c r="AZ412" s="28"/>
      <c r="BA412" s="28"/>
      <c r="BB412" s="313"/>
      <c r="BC412" s="28"/>
      <c r="BD412" s="28"/>
      <c r="BE412" s="28"/>
      <c r="BF412" s="28"/>
      <c r="BG412" s="313"/>
      <c r="BH412" s="28"/>
      <c r="BI412" s="28"/>
      <c r="BJ412" s="28"/>
      <c r="BK412" s="28"/>
      <c r="BL412" s="313"/>
      <c r="BM412" s="28"/>
      <c r="BN412" s="28"/>
      <c r="BO412" s="28"/>
      <c r="BP412" s="28"/>
      <c r="BQ412" s="313"/>
      <c r="BR412" s="28"/>
      <c r="BS412" s="28"/>
      <c r="BT412" s="28"/>
      <c r="BU412" s="28"/>
      <c r="BV412" s="313"/>
      <c r="BW412" s="28"/>
      <c r="BX412" s="28"/>
      <c r="BY412" s="28"/>
      <c r="BZ412" s="28"/>
      <c r="CA412" s="313"/>
      <c r="CB412" s="28"/>
      <c r="CC412" s="28"/>
      <c r="CD412" s="28"/>
      <c r="CE412" s="28"/>
      <c r="CF412" s="313"/>
      <c r="CG412" s="28"/>
      <c r="CH412" s="28"/>
      <c r="CI412" s="28"/>
      <c r="CJ412" s="28"/>
      <c r="CK412" s="313"/>
      <c r="CL412" s="28"/>
      <c r="CM412" s="28"/>
      <c r="CN412" s="933"/>
      <c r="CO412" s="28"/>
      <c r="CP412" s="313"/>
      <c r="CQ412" s="933"/>
      <c r="CR412" s="933"/>
      <c r="CS412" s="933"/>
      <c r="CT412" s="933"/>
      <c r="CU412" s="313"/>
      <c r="CV412" s="933"/>
      <c r="CW412" s="933"/>
      <c r="CX412" s="933"/>
      <c r="CY412" s="933"/>
      <c r="CZ412" s="313"/>
      <c r="DA412" s="933"/>
      <c r="DB412" s="31"/>
      <c r="DC412" s="31"/>
      <c r="DD412" s="955"/>
      <c r="DE412" s="477"/>
      <c r="DF412" s="982"/>
      <c r="DG412" s="603"/>
      <c r="DH412" s="603"/>
      <c r="DI412" s="1798"/>
      <c r="DJ412" s="477"/>
      <c r="DK412" s="982"/>
      <c r="DL412" s="603"/>
      <c r="DM412" s="603"/>
      <c r="DN412" s="1798"/>
      <c r="DO412" s="477"/>
      <c r="DP412" s="603"/>
      <c r="DQ412" s="603"/>
      <c r="DR412" s="603"/>
      <c r="DS412" s="1798"/>
      <c r="DT412" s="477"/>
      <c r="DU412" s="603"/>
      <c r="DV412" s="603"/>
      <c r="DW412" s="603"/>
      <c r="DX412" s="1798"/>
      <c r="DY412" s="477"/>
      <c r="DZ412" s="603"/>
      <c r="EA412" s="603"/>
      <c r="EB412" s="603"/>
      <c r="EC412" s="1798"/>
      <c r="ED412" s="477"/>
      <c r="EE412" s="603"/>
      <c r="EF412" s="603"/>
      <c r="EG412" s="603"/>
      <c r="EH412" s="1798"/>
      <c r="EI412" s="477"/>
      <c r="EJ412" s="477"/>
      <c r="EK412" s="477"/>
      <c r="EL412" s="477"/>
      <c r="EM412" s="477"/>
      <c r="EN412" s="477"/>
      <c r="EO412" s="1798"/>
      <c r="EP412" s="477"/>
      <c r="EQ412" s="477"/>
      <c r="ER412" s="477"/>
      <c r="ES412" s="477"/>
      <c r="ET412" s="477"/>
      <c r="EU412" s="477"/>
      <c r="EV412" s="477"/>
      <c r="EW412" s="477"/>
      <c r="EX412" s="477"/>
    </row>
    <row r="413" spans="2:154" ht="12.75" hidden="1" customHeight="1" outlineLevel="1">
      <c r="B413" s="439" t="s">
        <v>320</v>
      </c>
      <c r="C413" s="1989"/>
      <c r="D413" s="28"/>
      <c r="E413" s="28"/>
      <c r="F413" s="28"/>
      <c r="G413" s="28"/>
      <c r="H413" s="28"/>
      <c r="I413" s="31"/>
      <c r="J413" s="28"/>
      <c r="K413" s="28"/>
      <c r="L413" s="28"/>
      <c r="M413" s="28"/>
      <c r="N413" s="31"/>
      <c r="O413" s="31"/>
      <c r="P413" s="31"/>
      <c r="Q413" s="31"/>
      <c r="R413" s="31"/>
      <c r="S413" s="31"/>
      <c r="T413" s="31"/>
      <c r="U413" s="31"/>
      <c r="V413" s="31"/>
      <c r="W413" s="31"/>
      <c r="X413" s="313"/>
      <c r="Y413" s="31"/>
      <c r="Z413" s="31"/>
      <c r="AA413" s="31"/>
      <c r="AB413" s="31"/>
      <c r="AC413" s="313"/>
      <c r="AD413" s="31"/>
      <c r="AE413" s="31"/>
      <c r="AF413" s="31"/>
      <c r="AG413" s="31"/>
      <c r="AH413" s="313"/>
      <c r="AI413" s="28"/>
      <c r="AJ413" s="28"/>
      <c r="AK413" s="28"/>
      <c r="AL413" s="31"/>
      <c r="AM413" s="313"/>
      <c r="AN413" s="28"/>
      <c r="AO413" s="28"/>
      <c r="AP413" s="28"/>
      <c r="AQ413" s="31"/>
      <c r="AR413" s="313"/>
      <c r="AS413" s="28"/>
      <c r="AT413" s="28"/>
      <c r="AU413" s="28"/>
      <c r="AV413" s="31"/>
      <c r="AW413" s="313"/>
      <c r="AX413" s="28"/>
      <c r="AY413" s="28"/>
      <c r="AZ413" s="28"/>
      <c r="BA413" s="28"/>
      <c r="BB413" s="313"/>
      <c r="BC413" s="28"/>
      <c r="BD413" s="28"/>
      <c r="BE413" s="28"/>
      <c r="BF413" s="28"/>
      <c r="BG413" s="313"/>
      <c r="BH413" s="28"/>
      <c r="BI413" s="28"/>
      <c r="BJ413" s="28"/>
      <c r="BK413" s="28"/>
      <c r="BL413" s="319"/>
      <c r="BM413" s="28"/>
      <c r="BN413" s="28"/>
      <c r="BO413" s="28"/>
      <c r="BP413" s="28"/>
      <c r="BQ413" s="319"/>
      <c r="BR413" s="28"/>
      <c r="BS413" s="28"/>
      <c r="BT413" s="28"/>
      <c r="BU413" s="28"/>
      <c r="BV413" s="319"/>
      <c r="BW413" s="28"/>
      <c r="BX413" s="28"/>
      <c r="BY413" s="28"/>
      <c r="BZ413" s="28"/>
      <c r="CA413" s="319"/>
      <c r="CB413" s="28"/>
      <c r="CC413" s="28"/>
      <c r="CD413" s="28"/>
      <c r="CE413" s="28"/>
      <c r="CF413" s="319"/>
      <c r="CG413" s="28"/>
      <c r="CH413" s="28"/>
      <c r="CI413" s="28"/>
      <c r="CJ413" s="28"/>
      <c r="CK413" s="319"/>
      <c r="CL413" s="28"/>
      <c r="CM413" s="28"/>
      <c r="CN413" s="933"/>
      <c r="CO413" s="28"/>
      <c r="CP413" s="319"/>
      <c r="CQ413" s="933"/>
      <c r="CR413" s="933"/>
      <c r="CS413" s="933"/>
      <c r="CT413" s="933"/>
      <c r="CU413" s="319"/>
      <c r="CV413" s="933"/>
      <c r="CW413" s="933"/>
      <c r="CX413" s="933"/>
      <c r="CY413" s="933"/>
      <c r="CZ413" s="319"/>
      <c r="DA413" s="933"/>
      <c r="DB413" s="31"/>
      <c r="DC413" s="31"/>
      <c r="DD413" s="955"/>
      <c r="DE413" s="1848"/>
      <c r="DF413" s="982"/>
      <c r="DG413" s="603"/>
      <c r="DH413" s="603"/>
      <c r="DI413" s="1798"/>
      <c r="DJ413" s="1848"/>
      <c r="DK413" s="982"/>
      <c r="DL413" s="603"/>
      <c r="DM413" s="603"/>
      <c r="DN413" s="1798"/>
      <c r="DO413" s="1848"/>
      <c r="DP413" s="603"/>
      <c r="DQ413" s="603"/>
      <c r="DR413" s="603"/>
      <c r="DS413" s="1798"/>
      <c r="DT413" s="1848"/>
      <c r="DU413" s="603"/>
      <c r="DV413" s="603"/>
      <c r="DW413" s="603"/>
      <c r="DX413" s="1798"/>
      <c r="DY413" s="1848"/>
      <c r="DZ413" s="603"/>
      <c r="EA413" s="603"/>
      <c r="EB413" s="603"/>
      <c r="EC413" s="1798"/>
      <c r="ED413" s="1848"/>
      <c r="EE413" s="603"/>
      <c r="EF413" s="603"/>
      <c r="EG413" s="603"/>
      <c r="EH413" s="1798"/>
      <c r="EI413" s="1848"/>
      <c r="EJ413" s="1848"/>
      <c r="EK413" s="1848"/>
      <c r="EL413" s="1848"/>
      <c r="EM413" s="1848"/>
      <c r="EN413" s="1848"/>
      <c r="EO413" s="1904"/>
      <c r="EP413" s="1848"/>
      <c r="EQ413" s="1848"/>
      <c r="ER413" s="1848"/>
      <c r="ES413" s="1848"/>
      <c r="ET413" s="1848"/>
      <c r="EU413" s="1848"/>
      <c r="EV413" s="1848"/>
      <c r="EW413" s="1848"/>
      <c r="EX413" s="1848"/>
    </row>
    <row r="414" spans="2:154" ht="12.75" hidden="1" customHeight="1" outlineLevel="1">
      <c r="B414" s="440" t="s">
        <v>187</v>
      </c>
      <c r="C414" s="1989"/>
      <c r="D414" s="28"/>
      <c r="E414" s="28"/>
      <c r="F414" s="28"/>
      <c r="G414" s="28"/>
      <c r="H414" s="28"/>
      <c r="I414" s="29">
        <v>0.2</v>
      </c>
      <c r="J414" s="30">
        <f t="shared" ref="J414:S415" si="1118">IF(E409="NM","NM",IF(J409="NM","NM",IF(E409&lt;=0,"NM",IF(J409=0,"NM",IF(ABS(J409/E409-1)&gt;2.5,"NM",IF((ABS(J409-E409)=ABS(ABS(J409)-ABS(E409))),(J409/E409-1),"NM"))))))</f>
      </c>
      <c r="K414" s="30">
        <f t="shared" si="1118"/>
      </c>
      <c r="L414" s="30">
        <f t="shared" si="1118"/>
      </c>
      <c r="M414" s="30">
        <f t="shared" si="1118"/>
      </c>
      <c r="N414" s="30">
        <f t="shared" si="1118"/>
      </c>
      <c r="O414" s="30">
        <f t="shared" si="1118"/>
      </c>
      <c r="P414" s="30">
        <f t="shared" si="1118"/>
      </c>
      <c r="Q414" s="30">
        <f t="shared" si="1118"/>
      </c>
      <c r="R414" s="30">
        <f t="shared" si="1118"/>
      </c>
      <c r="S414" s="30">
        <f t="shared" si="1118"/>
      </c>
      <c r="T414" s="30">
        <f t="shared" ref="T414:AC415" si="1119">IF(O409="NM","NM",IF(T409="NM","NM",IF(O409&lt;=0,"NM",IF(T409=0,"NM",IF(ABS(T409/O409-1)&gt;2.5,"NM",IF((ABS(T409-O409)=ABS(ABS(T409)-ABS(O409))),(T409/O409-1),"NM"))))))</f>
      </c>
      <c r="U414" s="30">
        <f t="shared" si="1119"/>
      </c>
      <c r="V414" s="30">
        <f t="shared" si="1119"/>
      </c>
      <c r="W414" s="30">
        <f t="shared" si="1119"/>
      </c>
      <c r="X414" s="308">
        <f t="shared" si="1119"/>
      </c>
      <c r="Y414" s="30">
        <f t="shared" si="1119"/>
      </c>
      <c r="Z414" s="30">
        <f t="shared" si="1119"/>
      </c>
      <c r="AA414" s="30">
        <f t="shared" si="1119"/>
      </c>
      <c r="AB414" s="30">
        <f t="shared" si="1119"/>
      </c>
      <c r="AC414" s="308">
        <f t="shared" si="1119"/>
      </c>
      <c r="AD414" s="30">
        <f t="shared" ref="AD414:AM415" si="1120">IF(Y409="NM","NM",IF(AD409="NM","NM",IF(Y409&lt;=0,"NM",IF(AD409=0,"NM",IF(ABS(AD409/Y409-1)&gt;2.5,"NM",IF((ABS(AD409-Y409)=ABS(ABS(AD409)-ABS(Y409))),(AD409/Y409-1),"NM"))))))</f>
      </c>
      <c r="AE414" s="30">
        <f t="shared" si="1120"/>
      </c>
      <c r="AF414" s="30">
        <f t="shared" si="1120"/>
      </c>
      <c r="AG414" s="30">
        <f t="shared" si="1120"/>
      </c>
      <c r="AH414" s="308">
        <f t="shared" si="1120"/>
      </c>
      <c r="AI414" s="30">
        <f t="shared" si="1120"/>
      </c>
      <c r="AJ414" s="30">
        <f t="shared" si="1120"/>
      </c>
      <c r="AK414" s="30">
        <f t="shared" si="1120"/>
      </c>
      <c r="AL414" s="30">
        <f t="shared" si="1120"/>
      </c>
      <c r="AM414" s="308">
        <f t="shared" si="1120"/>
      </c>
      <c r="AN414" s="30">
        <f t="shared" ref="AN414:AW415" si="1121">IF(AI409="NM","NM",IF(AN409="NM","NM",IF(AI409&lt;=0,"NM",IF(AN409=0,"NM",IF(ABS(AN409/AI409-1)&gt;2.5,"NM",IF((ABS(AN409-AI409)=ABS(ABS(AN409)-ABS(AI409))),(AN409/AI409-1),"NM"))))))</f>
      </c>
      <c r="AO414" s="30">
        <f t="shared" si="1121"/>
      </c>
      <c r="AP414" s="30">
        <f t="shared" si="1121"/>
      </c>
      <c r="AQ414" s="30">
        <f t="shared" si="1121"/>
      </c>
      <c r="AR414" s="308">
        <f t="shared" si="1121"/>
      </c>
      <c r="AS414" s="30">
        <f t="shared" si="1121"/>
      </c>
      <c r="AT414" s="30" t="str">
        <f t="shared" si="1121"/>
      </c>
      <c r="AU414" s="30">
        <f t="shared" si="1121"/>
      </c>
      <c r="AV414" s="30">
        <f t="shared" si="1121"/>
      </c>
      <c r="AW414" s="308">
        <f t="shared" si="1121"/>
      </c>
      <c r="AX414" s="30">
        <f t="shared" ref="AX414:BC415" si="1122">IF(AS409="NM","NM",IF(AX409="NM","NM",IF(AS409&lt;=0,"NM",IF(AX409=0,"NM",IF(ABS(AX409/AS409-1)&gt;2.5,"NM",IF((ABS(AX409-AS409)=ABS(ABS(AX409)-ABS(AS409))),(AX409/AS409-1),"NM"))))))</f>
      </c>
      <c r="AY414" s="30">
        <f t="shared" si="1122"/>
      </c>
      <c r="AZ414" s="30">
        <f t="shared" si="1122"/>
      </c>
      <c r="BA414" s="30">
        <f t="shared" si="1122"/>
      </c>
      <c r="BB414" s="308">
        <f t="shared" si="1122"/>
      </c>
      <c r="BC414" s="30">
        <f t="shared" si="1122"/>
      </c>
      <c r="BD414" s="30">
        <v>-1.6E-2</v>
      </c>
      <c r="BE414" s="30">
        <f t="shared" ref="BE414:BR415" si="1123">IF(AZ409="NM","NM",IF(BE409="NM","NM",IF(AZ409&lt;=0,"NM",IF(BE409=0,"NM",IF(ABS(BE409/AZ409-1)&gt;2.5,"NM",IF((ABS(BE409-AZ409)=ABS(ABS(BE409)-ABS(AZ409))),(BE409/AZ409-1),"NM"))))))</f>
      </c>
      <c r="BF414" s="30">
        <f t="shared" si="1123"/>
      </c>
      <c r="BG414" s="308">
        <f t="shared" si="1123"/>
      </c>
      <c r="BH414" s="30">
        <f t="shared" si="1123"/>
      </c>
      <c r="BI414" s="30">
        <f t="shared" si="1123"/>
      </c>
      <c r="BJ414" s="30">
        <f t="shared" si="1123"/>
      </c>
      <c r="BK414" s="30">
        <f t="shared" si="1123"/>
      </c>
      <c r="BL414" s="308">
        <f t="shared" si="1123"/>
      </c>
      <c r="BM414" s="30">
        <f t="shared" si="1123"/>
      </c>
      <c r="BN414" s="30">
        <f t="shared" si="1123"/>
      </c>
      <c r="BO414" s="30">
        <f t="shared" si="1123"/>
      </c>
      <c r="BP414" s="30">
        <f t="shared" si="1123"/>
      </c>
      <c r="BQ414" s="308">
        <f t="shared" si="1123"/>
      </c>
      <c r="BR414" s="30">
        <f t="shared" si="1123"/>
      </c>
      <c r="BS414" s="30">
        <f t="shared" ref="BS414:BV415" si="1124">IF(BN409="NM","NM",IF(BS409="NM","NM",IF(BN409&lt;=0,"NM",IF(BS409=0,"NM",IF(ABS(BS409/BN409-1)&gt;2.5,"NM",IF((ABS(BS409-BN409)=ABS(ABS(BS409)-ABS(BN409))),(BS409/BN409-1),"NM"))))))</f>
      </c>
      <c r="BT414" s="30">
        <f t="shared" si="1124"/>
      </c>
      <c r="BU414" s="30">
        <f t="shared" si="1124"/>
      </c>
      <c r="BV414" s="308">
        <f t="shared" si="1124"/>
      </c>
      <c r="BW414" s="30">
        <f t="shared" ref="BW414:BY415" si="1125">IF(BR409="NM","NM",IF(BW409="NM","NM",IF(BR409&lt;=0,"NM",IF(BW409=0,"NM",IF(ABS(BW409/BR409-1)&gt;2.5,"NM",IF((ABS(BW409-BR409)=ABS(ABS(BW409)-ABS(BR409))),(BW409/BR409-1),"NM"))))))</f>
      </c>
      <c r="BX414" s="30">
        <f t="shared" si="1125"/>
      </c>
      <c r="BY414" s="30">
        <f t="shared" si="1125"/>
      </c>
      <c r="BZ414" s="30">
        <f>IF(BU409="NM","NM",IF(BZ409="NM","NM",IF(BU409&lt;=0,"NM",IF(BZ409=0,"NM",IF(ABS(BZ409/BU409-1)&gt;2.5,"NM",IF((ABS(BZ409-BU409)=ABS(ABS(BZ409)-ABS(BU409))),(BZ409/BU409-1),"NM"))))))</f>
      </c>
      <c r="CA414" s="315">
        <f>IF(BV409="NM","NM",IF(CA409="NM","NM",IF(BV409&lt;=0,"NM",IF(CA409=0,"NM",IF(ABS(CA409/BV409-1)&gt;2.5,"NM",IF((ABS(CA409-BV409)=ABS(ABS(CA409)-ABS(BV409))),(CA409/BV409-1),"NM"))))))</f>
      </c>
      <c r="CB414" s="30">
        <f t="shared" ref="CB414:CD415" si="1126">IF(BW409="NM","NM",IF(CB409="NM","NM",IF(BW409&lt;=0,"NM",IF(CB409=0,"NM",IF(ABS(CB409/BW409-1)&gt;2.5,"NM",IF((ABS(CB409-BW409)=ABS(ABS(CB409)-ABS(BW409))),(CB409/BW409-1),"NM"))))))</f>
      </c>
      <c r="CC414" s="30">
        <f t="shared" si="1126"/>
      </c>
      <c r="CD414" s="30">
        <f t="shared" si="1126"/>
      </c>
      <c r="CE414" s="30">
        <f>IF(BZ409="NM","NM",IF(CE409="NM","NM",IF(BZ409&lt;=0,"NM",IF(CE409=0,"NM",IF(ABS(CE409/BZ409-1)&gt;2.5,"NM",IF((ABS(CE409-BZ409)=ABS(ABS(CE409)-ABS(BZ409))),(CE409/BZ409-1),"NM"))))))</f>
      </c>
      <c r="CF414" s="308">
        <f>IF(CA409="NM","NM",IF(CF409="NM","NM",IF(CA409&lt;=0,"NM",IF(CF409=0,"NM",IF(ABS(CF409/CA409-1)&gt;2.5,"NM",IF((ABS(CF409-CA409)=ABS(ABS(CF409)-ABS(CA409))),(CF409/CA409-1),"NM"))))))</f>
      </c>
      <c r="CG414" s="30">
        <f t="shared" ref="CG414:CI415" si="1127">IF(CB409="NM","NM",IF(CG409="NM","NM",IF(CB409&lt;=0,"NM",IF(CG409=0,"NM",IF(ABS(CG409/CB409-1)&gt;2.5,"NM",IF((ABS(CG409-CB409)=ABS(ABS(CG409)-ABS(CB409))),(CG409/CB409-1),"NM"))))))</f>
      </c>
      <c r="CH414" s="30">
        <f t="shared" si="1127"/>
      </c>
      <c r="CI414" s="30">
        <f t="shared" si="1127"/>
      </c>
      <c r="CJ414" s="30">
        <f>IF(CE409="NM","NM",IF(CJ409="NM","NM",IF(CE409&lt;=0,"NM",IF(CJ409=0,"NM",IF(ABS(CJ409/CE409-1)&gt;2.5,"NM",IF((ABS(CJ409-CE409)=ABS(ABS(CJ409)-ABS(CE409))),(CJ409/CE409-1),"NM"))))))</f>
      </c>
      <c r="CK414" s="308">
        <f>IF(CF409=0, "NA", CK409/CF409-1)</f>
      </c>
      <c r="CL414" s="30">
        <f t="shared" ref="CL414:CN415" si="1128">IF(CG409="NM","NM",IF(CL409="NM","NM",IF(CG409&lt;=0,"NM",IF(CL409=0,"NM",IF(ABS(CL409/CG409-1)&gt;2.5,"NM",IF((ABS(CL409-CG409)=ABS(ABS(CL409)-ABS(CG409))),(CL409/CG409-1),"NM"))))))</f>
      </c>
      <c r="CM414" s="30">
        <f t="shared" si="1128"/>
      </c>
      <c r="CN414" s="30">
        <f t="shared" si="1128"/>
      </c>
      <c r="CO414" s="30" t="str">
        <f>IF(CJ409="NM","NM",IF(CO409="NM","NM",IF(CJ409&lt;=0,"NM",IF(CO409=0,"NM",IF(ABS(CO409/CJ409-1)&gt;2.5,"NM",IF((ABS(CO409-CJ409)=ABS(ABS(CO409)-ABS(CJ409))),(CO409/CJ409-1),"NM"))))))</f>
      </c>
      <c r="CP414" s="308">
        <f>IF(CK409=0, "NA", CP409/CK409-1)</f>
      </c>
      <c r="CQ414" s="30"/>
      <c r="CR414" s="361"/>
      <c r="CS414" s="361"/>
      <c r="CT414" s="361"/>
      <c r="CU414" s="308"/>
      <c r="CV414" s="30"/>
      <c r="CW414" s="361"/>
      <c r="CX414" s="361"/>
      <c r="CY414" s="361"/>
      <c r="CZ414" s="308"/>
      <c r="DA414" s="30"/>
      <c r="DB414" s="361"/>
      <c r="DC414" s="361"/>
      <c r="DD414" s="835"/>
      <c r="DE414" s="316"/>
      <c r="DF414" s="30"/>
      <c r="DG414" s="361"/>
      <c r="DH414" s="361"/>
      <c r="DI414" s="835"/>
      <c r="DJ414" s="835"/>
      <c r="DK414" s="30"/>
      <c r="DL414" s="361"/>
      <c r="DM414" s="361"/>
      <c r="DN414" s="835"/>
      <c r="DO414" s="835"/>
      <c r="DP414" s="361"/>
      <c r="DQ414" s="361"/>
      <c r="DR414" s="361"/>
      <c r="DS414" s="835"/>
      <c r="DT414" s="835"/>
      <c r="DU414" s="361"/>
      <c r="DV414" s="361"/>
      <c r="DW414" s="361"/>
      <c r="DX414" s="835"/>
      <c r="DY414" s="835"/>
      <c r="DZ414" s="361"/>
      <c r="EA414" s="361"/>
      <c r="EB414" s="361"/>
      <c r="EC414" s="835"/>
      <c r="ED414" s="835"/>
      <c r="EE414" s="361"/>
      <c r="EF414" s="361"/>
      <c r="EG414" s="361"/>
      <c r="EH414" s="835"/>
      <c r="EI414" s="835"/>
      <c r="EJ414" s="835"/>
      <c r="EK414" s="835"/>
      <c r="EL414" s="835"/>
      <c r="EM414" s="835"/>
      <c r="EN414" s="316"/>
      <c r="EO414" s="835"/>
      <c r="EP414" s="835"/>
      <c r="EQ414" s="835"/>
      <c r="ER414" s="835"/>
      <c r="ES414" s="835"/>
      <c r="ET414" s="835"/>
      <c r="EU414" s="835"/>
      <c r="EV414" s="835"/>
      <c r="EW414" s="835"/>
      <c r="EX414" s="835"/>
    </row>
    <row r="415" spans="2:154" ht="12.75" hidden="1" customHeight="1" outlineLevel="1">
      <c r="B415" s="440" t="s">
        <v>412</v>
      </c>
      <c r="C415" s="1989"/>
      <c r="D415" s="28"/>
      <c r="E415" s="28"/>
      <c r="F415" s="28"/>
      <c r="G415" s="28"/>
      <c r="H415" s="28"/>
      <c r="I415" s="29" t="str">
        <f>IF(D410="NM","NM",IF(I410="NM","NM",IF(D410&lt;=0,"NM",IF(I410=0,"NM",IF(ABS(I410/D410-1)&gt;2.5,"NM",IF((ABS(I410-D410)=ABS(ABS(I410)-ABS(D410))),(I410/D410-1),"NM"))))))</f>
      </c>
      <c r="J415" s="30">
        <f t="shared" si="1118"/>
      </c>
      <c r="K415" s="30">
        <f t="shared" si="1118"/>
      </c>
      <c r="L415" s="30">
        <f t="shared" si="1118"/>
      </c>
      <c r="M415" s="30">
        <f t="shared" si="1118"/>
      </c>
      <c r="N415" s="30">
        <f t="shared" si="1118"/>
      </c>
      <c r="O415" s="30">
        <f t="shared" si="1118"/>
      </c>
      <c r="P415" s="30">
        <f t="shared" si="1118"/>
      </c>
      <c r="Q415" s="30">
        <f t="shared" si="1118"/>
      </c>
      <c r="R415" s="30">
        <f t="shared" si="1118"/>
      </c>
      <c r="S415" s="30">
        <f t="shared" si="1118"/>
      </c>
      <c r="T415" s="30">
        <f t="shared" si="1119"/>
      </c>
      <c r="U415" s="30">
        <f t="shared" si="1119"/>
      </c>
      <c r="V415" s="30">
        <f t="shared" si="1119"/>
      </c>
      <c r="W415" s="30">
        <f t="shared" si="1119"/>
      </c>
      <c r="X415" s="308">
        <f t="shared" si="1119"/>
      </c>
      <c r="Y415" s="30">
        <f t="shared" si="1119"/>
      </c>
      <c r="Z415" s="30" t="str">
        <f t="shared" si="1119"/>
      </c>
      <c r="AA415" s="30" t="str">
        <f t="shared" si="1119"/>
      </c>
      <c r="AB415" s="30" t="str">
        <f t="shared" si="1119"/>
      </c>
      <c r="AC415" s="308" t="str">
        <f t="shared" si="1119"/>
      </c>
      <c r="AD415" s="30" t="str">
        <f t="shared" si="1120"/>
      </c>
      <c r="AE415" s="30">
        <f t="shared" si="1120"/>
      </c>
      <c r="AF415" s="30">
        <f t="shared" si="1120"/>
      </c>
      <c r="AG415" s="30">
        <f t="shared" si="1120"/>
      </c>
      <c r="AH415" s="308">
        <f t="shared" si="1120"/>
      </c>
      <c r="AI415" s="30">
        <f t="shared" si="1120"/>
      </c>
      <c r="AJ415" s="30">
        <f t="shared" si="1120"/>
      </c>
      <c r="AK415" s="30">
        <f t="shared" si="1120"/>
      </c>
      <c r="AL415" s="30">
        <f t="shared" si="1120"/>
      </c>
      <c r="AM415" s="308">
        <f t="shared" si="1120"/>
      </c>
      <c r="AN415" s="30">
        <f t="shared" si="1121"/>
      </c>
      <c r="AO415" s="30">
        <f t="shared" si="1121"/>
      </c>
      <c r="AP415" s="30">
        <f t="shared" si="1121"/>
      </c>
      <c r="AQ415" s="30">
        <f t="shared" si="1121"/>
      </c>
      <c r="AR415" s="308">
        <f t="shared" si="1121"/>
      </c>
      <c r="AS415" s="30">
        <f t="shared" si="1121"/>
      </c>
      <c r="AT415" s="30">
        <f t="shared" si="1121"/>
      </c>
      <c r="AU415" s="30">
        <f t="shared" si="1121"/>
      </c>
      <c r="AV415" s="30">
        <f t="shared" si="1121"/>
      </c>
      <c r="AW415" s="308">
        <f t="shared" si="1121"/>
      </c>
      <c r="AX415" s="30">
        <f t="shared" si="1122"/>
      </c>
      <c r="AY415" s="30">
        <f t="shared" si="1122"/>
      </c>
      <c r="AZ415" s="30">
        <f t="shared" si="1122"/>
      </c>
      <c r="BA415" s="30">
        <f t="shared" si="1122"/>
      </c>
      <c r="BB415" s="308">
        <f t="shared" si="1122"/>
      </c>
      <c r="BC415" s="30">
        <f t="shared" si="1122"/>
      </c>
      <c r="BD415" s="30">
        <v>-0.16</v>
      </c>
      <c r="BE415" s="30">
        <f t="shared" si="1123"/>
      </c>
      <c r="BF415" s="30">
        <f t="shared" si="1123"/>
      </c>
      <c r="BG415" s="308">
        <f t="shared" si="1123"/>
      </c>
      <c r="BH415" s="30">
        <f t="shared" si="1123"/>
      </c>
      <c r="BI415" s="30">
        <f t="shared" si="1123"/>
      </c>
      <c r="BJ415" s="30">
        <f t="shared" si="1123"/>
      </c>
      <c r="BK415" s="30">
        <f t="shared" si="1123"/>
      </c>
      <c r="BL415" s="308">
        <f t="shared" si="1123"/>
      </c>
      <c r="BM415" s="30">
        <f t="shared" si="1123"/>
      </c>
      <c r="BN415" s="30">
        <f t="shared" si="1123"/>
      </c>
      <c r="BO415" s="30">
        <f t="shared" si="1123"/>
      </c>
      <c r="BP415" s="30">
        <f t="shared" si="1123"/>
      </c>
      <c r="BQ415" s="308">
        <f t="shared" si="1123"/>
      </c>
      <c r="BR415" s="30">
        <f t="shared" si="1123"/>
      </c>
      <c r="BS415" s="30">
        <f t="shared" si="1124"/>
      </c>
      <c r="BT415" s="30">
        <f t="shared" si="1124"/>
      </c>
      <c r="BU415" s="30">
        <f t="shared" si="1124"/>
      </c>
      <c r="BV415" s="308">
        <f t="shared" si="1124"/>
      </c>
      <c r="BW415" s="30">
        <f t="shared" si="1125"/>
      </c>
      <c r="BX415" s="30">
        <f t="shared" si="1125"/>
      </c>
      <c r="BY415" s="30">
        <f t="shared" si="1125"/>
      </c>
      <c r="BZ415" s="30">
        <f>IF(BU410="NM","NM",IF(BZ410="NM","NM",IF(BU410&lt;=0,"NM",IF(BZ410=0,"NM",IF(ABS(BZ410/BU410-1)&gt;2.5,"NM",IF((ABS(BZ410-BU410)=ABS(ABS(BZ410)-ABS(BU410))),(BZ410/BU410-1),"NM"))))))</f>
      </c>
      <c r="CA415" s="315">
        <f>IF(BV410="NM","NM",IF(CA410="NM","NM",IF(BV410&lt;=0,"NM",IF(CA410=0,"NM",IF(ABS(CA410/BV410-1)&gt;2.5,"NM",IF((ABS(CA410-BV410)=ABS(ABS(CA410)-ABS(BV410))),(CA410/BV410-1),"NM"))))))</f>
      </c>
      <c r="CB415" s="30">
        <f t="shared" si="1126"/>
      </c>
      <c r="CC415" s="30">
        <f t="shared" si="1126"/>
      </c>
      <c r="CD415" s="30">
        <f t="shared" si="1126"/>
      </c>
      <c r="CE415" s="30">
        <f>IF(BZ410="NM","NM",IF(CE410="NM","NM",IF(BZ410&lt;=0,"NM",IF(CE410=0,"NM",IF(ABS(CE410/BZ410-1)&gt;2.5,"NM",IF((ABS(CE410-BZ410)=ABS(ABS(CE410)-ABS(BZ410))),(CE410/BZ410-1),"NM"))))))</f>
      </c>
      <c r="CF415" s="308">
        <f>IF(CA410="NM","NM",IF(CF410="NM","NM",IF(CA410&lt;=0,"NM",IF(CF410=0,"NM",IF(ABS(CF410/CA410-1)&gt;2.5,"NM",IF((ABS(CF410-CA410)=ABS(ABS(CF410)-ABS(CA410))),(CF410/CA410-1),"NM"))))))</f>
      </c>
      <c r="CG415" s="30">
        <f t="shared" si="1127"/>
      </c>
      <c r="CH415" s="30">
        <f t="shared" si="1127"/>
      </c>
      <c r="CI415" s="30">
        <f t="shared" si="1127"/>
      </c>
      <c r="CJ415" s="30">
        <f>IF(CE410="NM","NM",IF(CJ410="NM","NM",IF(CE410&lt;=0,"NM",IF(CJ410=0,"NM",IF(ABS(CJ410/CE410-1)&gt;2.5,"NM",IF((ABS(CJ410-CE410)=ABS(ABS(CJ410)-ABS(CE410))),(CJ410/CE410-1),"NM"))))))</f>
      </c>
      <c r="CK415" s="308">
        <f>IF(CF410=0, "NA", CK410/CF410-1)</f>
      </c>
      <c r="CL415" s="30">
        <f t="shared" si="1128"/>
      </c>
      <c r="CM415" s="30">
        <f t="shared" si="1128"/>
      </c>
      <c r="CN415" s="30">
        <f t="shared" si="1128"/>
      </c>
      <c r="CO415" s="30" t="str">
        <f>IF(CJ410="NM","NM",IF(CO410="NM","NM",IF(CJ410&lt;=0,"NM",IF(CO410=0,"NM",IF(ABS(CO410/CJ410-1)&gt;2.5,"NM",IF((ABS(CO410-CJ410)=ABS(ABS(CO410)-ABS(CJ410))),(CO410/CJ410-1),"NM"))))))</f>
      </c>
      <c r="CP415" s="308">
        <f>IF(CK410=0, "NA", CP410/CK410-1)</f>
      </c>
      <c r="CQ415" s="30"/>
      <c r="CR415" s="926"/>
      <c r="CS415" s="926"/>
      <c r="CT415" s="926"/>
      <c r="CU415" s="308"/>
      <c r="CV415" s="30"/>
      <c r="CW415" s="926"/>
      <c r="CX415" s="926"/>
      <c r="CY415" s="926"/>
      <c r="CZ415" s="308"/>
      <c r="DA415" s="30"/>
      <c r="DB415" s="959"/>
      <c r="DC415" s="959"/>
      <c r="DD415" s="960"/>
      <c r="DE415" s="308"/>
      <c r="DF415" s="30"/>
      <c r="DG415" s="926"/>
      <c r="DH415" s="926"/>
      <c r="DI415" s="928"/>
      <c r="DJ415" s="308"/>
      <c r="DK415" s="30"/>
      <c r="DL415" s="926"/>
      <c r="DM415" s="926"/>
      <c r="DN415" s="928"/>
      <c r="DO415" s="308"/>
      <c r="DP415" s="926"/>
      <c r="DQ415" s="926"/>
      <c r="DR415" s="926"/>
      <c r="DS415" s="928"/>
      <c r="DT415" s="308"/>
      <c r="DU415" s="926"/>
      <c r="DV415" s="926"/>
      <c r="DW415" s="926"/>
      <c r="DX415" s="928"/>
      <c r="DY415" s="308"/>
      <c r="DZ415" s="926"/>
      <c r="EA415" s="926"/>
      <c r="EB415" s="926"/>
      <c r="EC415" s="928"/>
      <c r="ED415" s="1060"/>
      <c r="EE415" s="926"/>
      <c r="EF415" s="926"/>
      <c r="EG415" s="926"/>
      <c r="EH415" s="928"/>
      <c r="EI415" s="308"/>
      <c r="EJ415" s="308"/>
      <c r="EK415" s="308"/>
      <c r="EL415" s="308"/>
      <c r="EM415" s="308"/>
      <c r="EN415" s="308"/>
      <c r="EO415" s="409"/>
      <c r="EP415" s="308"/>
      <c r="EQ415" s="308"/>
      <c r="ER415" s="308"/>
      <c r="ES415" s="308"/>
      <c r="ET415" s="308"/>
      <c r="EU415" s="308"/>
      <c r="EV415" s="308"/>
      <c r="EW415" s="308"/>
      <c r="EX415" s="308"/>
    </row>
    <row r="416" spans="2:154" ht="12.75" hidden="1" customHeight="1" outlineLevel="1">
      <c r="B416" s="440" t="s">
        <v>256</v>
      </c>
      <c r="C416" s="1989"/>
      <c r="D416" s="28"/>
      <c r="E416" s="28"/>
      <c r="F416" s="28"/>
      <c r="G416" s="28"/>
      <c r="H416" s="28"/>
      <c r="I416" s="24"/>
      <c r="J416" s="1"/>
      <c r="K416" s="1"/>
      <c r="L416" s="1"/>
      <c r="M416" s="1"/>
      <c r="N416" s="24"/>
      <c r="O416" s="24"/>
      <c r="P416" s="24"/>
      <c r="Q416" s="24"/>
      <c r="R416" s="24"/>
      <c r="S416" s="1"/>
      <c r="T416" s="24"/>
      <c r="U416" s="24"/>
      <c r="V416" s="24"/>
      <c r="W416" s="24"/>
      <c r="X416" s="315"/>
      <c r="Y416" s="24"/>
      <c r="Z416" s="24"/>
      <c r="AA416" s="24"/>
      <c r="AB416" s="24"/>
      <c r="AC416" s="315"/>
      <c r="AD416" s="24"/>
      <c r="AE416" s="24"/>
      <c r="AF416" s="24"/>
      <c r="AG416" s="24"/>
      <c r="AH416" s="315"/>
      <c r="AI416" s="8">
        <f t="shared" ref="AI416:BN416" si="1129">IF(ISNUMBER(AI415),(1+AI415)/(1+AI$21)-1,"NM")</f>
      </c>
      <c r="AJ416" s="8">
        <f t="shared" si="1129"/>
      </c>
      <c r="AK416" s="8">
        <f t="shared" si="1129"/>
      </c>
      <c r="AL416" s="8">
        <f t="shared" si="1129"/>
      </c>
      <c r="AM416" s="315">
        <f t="shared" si="1129"/>
      </c>
      <c r="AN416" s="8">
        <f t="shared" si="1129"/>
      </c>
      <c r="AO416" s="8">
        <f t="shared" si="1129"/>
      </c>
      <c r="AP416" s="8">
        <f t="shared" si="1129"/>
      </c>
      <c r="AQ416" s="8">
        <f t="shared" si="1129"/>
      </c>
      <c r="AR416" s="315">
        <f t="shared" si="1129"/>
      </c>
      <c r="AS416" s="8">
        <f t="shared" si="1129"/>
      </c>
      <c r="AT416" s="8">
        <f t="shared" si="1129"/>
      </c>
      <c r="AU416" s="8">
        <f t="shared" si="1129"/>
      </c>
      <c r="AV416" s="8">
        <f t="shared" si="1129"/>
      </c>
      <c r="AW416" s="315">
        <f t="shared" si="1129"/>
      </c>
      <c r="AX416" s="8">
        <f t="shared" si="1129"/>
      </c>
      <c r="AY416" s="8">
        <f t="shared" si="1129"/>
      </c>
      <c r="AZ416" s="8">
        <f t="shared" si="1129"/>
      </c>
      <c r="BA416" s="8">
        <f t="shared" si="1129"/>
      </c>
      <c r="BB416" s="315">
        <f t="shared" si="1129"/>
      </c>
      <c r="BC416" s="8">
        <f t="shared" si="1129"/>
      </c>
      <c r="BD416" s="8">
        <f t="shared" si="1129"/>
      </c>
      <c r="BE416" s="8">
        <f t="shared" si="1129"/>
      </c>
      <c r="BF416" s="8">
        <f t="shared" si="1129"/>
      </c>
      <c r="BG416" s="309">
        <f t="shared" si="1129"/>
      </c>
      <c r="BH416" s="8">
        <f t="shared" si="1129"/>
      </c>
      <c r="BI416" s="8">
        <f t="shared" si="1129"/>
      </c>
      <c r="BJ416" s="8">
        <f t="shared" si="1129"/>
      </c>
      <c r="BK416" s="8">
        <f t="shared" si="1129"/>
      </c>
      <c r="BL416" s="315">
        <f t="shared" si="1129"/>
      </c>
      <c r="BM416" s="8">
        <f t="shared" si="1129"/>
      </c>
      <c r="BN416" s="8">
        <f t="shared" si="1129"/>
      </c>
      <c r="BO416" s="8">
        <f t="shared" ref="BO416:CJ416" si="1130">IF(ISNUMBER(BO415),(1+BO415)/(1+BO$21)-1,"NM")</f>
      </c>
      <c r="BP416" s="30">
        <f t="shared" si="1130"/>
      </c>
      <c r="BQ416" s="315">
        <f t="shared" si="1130"/>
      </c>
      <c r="BR416" s="8">
        <f t="shared" si="1130"/>
      </c>
      <c r="BS416" s="8">
        <f t="shared" si="1130"/>
      </c>
      <c r="BT416" s="8">
        <f t="shared" si="1130"/>
      </c>
      <c r="BU416" s="30">
        <f t="shared" si="1130"/>
      </c>
      <c r="BV416" s="315">
        <f t="shared" si="1130"/>
      </c>
      <c r="BW416" s="30">
        <f t="shared" si="1130"/>
      </c>
      <c r="BX416" s="30">
        <f t="shared" si="1130"/>
      </c>
      <c r="BY416" s="30">
        <f t="shared" si="1130"/>
      </c>
      <c r="BZ416" s="30">
        <f t="shared" si="1130"/>
      </c>
      <c r="CA416" s="308">
        <f t="shared" si="1130"/>
      </c>
      <c r="CB416" s="30">
        <f t="shared" si="1130"/>
      </c>
      <c r="CC416" s="30">
        <f t="shared" si="1130"/>
      </c>
      <c r="CD416" s="30">
        <f t="shared" si="1130"/>
      </c>
      <c r="CE416" s="30">
        <f t="shared" si="1130"/>
      </c>
      <c r="CF416" s="308">
        <f t="shared" si="1130"/>
      </c>
      <c r="CG416" s="30">
        <f t="shared" si="1130"/>
      </c>
      <c r="CH416" s="30">
        <f t="shared" si="1130"/>
      </c>
      <c r="CI416" s="30">
        <f t="shared" si="1130"/>
      </c>
      <c r="CJ416" s="30">
        <f t="shared" si="1130"/>
      </c>
      <c r="CK416" s="308">
        <f>CK415-CK$21</f>
      </c>
      <c r="CL416" s="30">
        <f>IF(ISNUMBER(CL415),(1+CL415)/(1+CL$21)-1,"NM")</f>
      </c>
      <c r="CM416" s="30">
        <f>IF(ISNUMBER(CM415),(1+CM415)/(1+CM$21)-1,"NM")</f>
      </c>
      <c r="CN416" s="30">
        <f>IF(ISNUMBER(CN415),(1+CN415)/(1+CN$21)-1,"NM")</f>
      </c>
      <c r="CO416" s="30" t="str">
        <f>IF(ISNUMBER(CO415),(1+CO415)/(1+CO$21)-1,"NM")</f>
      </c>
      <c r="CP416" s="308">
        <f>CP415-CP$21</f>
      </c>
      <c r="CQ416" s="30"/>
      <c r="CR416" s="361"/>
      <c r="CS416" s="361"/>
      <c r="CT416" s="361"/>
      <c r="CU416" s="308"/>
      <c r="CV416" s="30"/>
      <c r="CW416" s="361"/>
      <c r="CX416" s="361"/>
      <c r="CY416" s="361"/>
      <c r="CZ416" s="308"/>
      <c r="DA416" s="30"/>
      <c r="DB416" s="361"/>
      <c r="DC416" s="361"/>
      <c r="DD416" s="835"/>
      <c r="DE416" s="316"/>
      <c r="DF416" s="30"/>
      <c r="DG416" s="361"/>
      <c r="DH416" s="361"/>
      <c r="DI416" s="835"/>
      <c r="DJ416" s="835"/>
      <c r="DK416" s="30"/>
      <c r="DL416" s="361"/>
      <c r="DM416" s="361"/>
      <c r="DN416" s="835"/>
      <c r="DO416" s="835"/>
      <c r="DP416" s="361"/>
      <c r="DQ416" s="361"/>
      <c r="DR416" s="361"/>
      <c r="DS416" s="835"/>
      <c r="DT416" s="835"/>
      <c r="DU416" s="361"/>
      <c r="DV416" s="361"/>
      <c r="DW416" s="361"/>
      <c r="DX416" s="835"/>
      <c r="DY416" s="835"/>
      <c r="DZ416" s="361"/>
      <c r="EA416" s="361"/>
      <c r="EB416" s="361"/>
      <c r="EC416" s="835"/>
      <c r="ED416" s="835"/>
      <c r="EE416" s="361"/>
      <c r="EF416" s="361"/>
      <c r="EG416" s="361"/>
      <c r="EH416" s="835"/>
      <c r="EI416" s="835"/>
      <c r="EJ416" s="835"/>
      <c r="EK416" s="835"/>
      <c r="EL416" s="835"/>
      <c r="EM416" s="835"/>
      <c r="EN416" s="316"/>
      <c r="EO416" s="835"/>
      <c r="EP416" s="835"/>
      <c r="EQ416" s="835"/>
      <c r="ER416" s="835"/>
      <c r="ES416" s="835"/>
      <c r="ET416" s="835"/>
      <c r="EU416" s="835"/>
      <c r="EV416" s="835"/>
      <c r="EW416" s="835"/>
      <c r="EX416" s="835"/>
    </row>
    <row r="417" spans="2:154" ht="12.75" hidden="1" customHeight="1" outlineLevel="1">
      <c r="B417" s="440" t="s">
        <v>413</v>
      </c>
      <c r="C417" s="1989"/>
      <c r="D417" s="28"/>
      <c r="E417" s="28"/>
      <c r="F417" s="28"/>
      <c r="G417" s="28"/>
      <c r="H417" s="28"/>
      <c r="I417" s="29">
        <v>0.21</v>
      </c>
      <c r="J417" s="30">
        <f t="shared" ref="J417:AO417" si="1131">IF(E411="NM","NM",IF(J411="NM","NM",IF(E411&lt;=0,"NM",IF(J411=0,"NM",IF(ABS(J411/E411-1)&gt;2.5,"NM",IF((ABS(J411-E411)=ABS(ABS(J411)-ABS(E411))),(J411/E411-1),"NM"))))))</f>
      </c>
      <c r="K417" s="30">
        <f t="shared" si="1131"/>
      </c>
      <c r="L417" s="30">
        <f t="shared" si="1131"/>
      </c>
      <c r="M417" s="30">
        <f t="shared" si="1131"/>
      </c>
      <c r="N417" s="30">
        <f t="shared" si="1131"/>
      </c>
      <c r="O417" s="30">
        <f t="shared" si="1131"/>
      </c>
      <c r="P417" s="30">
        <f t="shared" si="1131"/>
      </c>
      <c r="Q417" s="30">
        <f t="shared" si="1131"/>
      </c>
      <c r="R417" s="30">
        <f t="shared" si="1131"/>
      </c>
      <c r="S417" s="30">
        <f t="shared" si="1131"/>
      </c>
      <c r="T417" s="30">
        <f t="shared" si="1131"/>
      </c>
      <c r="U417" s="30">
        <f t="shared" si="1131"/>
      </c>
      <c r="V417" s="30">
        <f t="shared" si="1131"/>
      </c>
      <c r="W417" s="30">
        <f t="shared" si="1131"/>
      </c>
      <c r="X417" s="308">
        <f t="shared" si="1131"/>
      </c>
      <c r="Y417" s="30">
        <f t="shared" si="1131"/>
      </c>
      <c r="Z417" s="30">
        <f t="shared" si="1131"/>
      </c>
      <c r="AA417" s="30">
        <f t="shared" si="1131"/>
      </c>
      <c r="AB417" s="30">
        <f t="shared" si="1131"/>
      </c>
      <c r="AC417" s="308">
        <f t="shared" si="1131"/>
      </c>
      <c r="AD417" s="30">
        <f t="shared" si="1131"/>
      </c>
      <c r="AE417" s="30">
        <f t="shared" si="1131"/>
      </c>
      <c r="AF417" s="30">
        <f t="shared" si="1131"/>
      </c>
      <c r="AG417" s="30">
        <f t="shared" si="1131"/>
      </c>
      <c r="AH417" s="308">
        <f t="shared" si="1131"/>
      </c>
      <c r="AI417" s="30">
        <f t="shared" si="1131"/>
      </c>
      <c r="AJ417" s="30">
        <f t="shared" si="1131"/>
      </c>
      <c r="AK417" s="30">
        <f t="shared" si="1131"/>
      </c>
      <c r="AL417" s="30">
        <f t="shared" si="1131"/>
      </c>
      <c r="AM417" s="308">
        <f t="shared" si="1131"/>
      </c>
      <c r="AN417" s="30">
        <f t="shared" si="1131"/>
      </c>
      <c r="AO417" s="30">
        <f t="shared" si="1131"/>
      </c>
      <c r="AP417" s="30">
        <f t="shared" ref="AP417:BU417" si="1132">IF(AK411="NM","NM",IF(AP411="NM","NM",IF(AK411&lt;=0,"NM",IF(AP411=0,"NM",IF(ABS(AP411/AK411-1)&gt;2.5,"NM",IF((ABS(AP411-AK411)=ABS(ABS(AP411)-ABS(AK411))),(AP411/AK411-1),"NM"))))))</f>
      </c>
      <c r="AQ417" s="30">
        <f t="shared" si="1132"/>
      </c>
      <c r="AR417" s="308">
        <f t="shared" si="1132"/>
      </c>
      <c r="AS417" s="30">
        <f t="shared" si="1132"/>
      </c>
      <c r="AT417" s="30">
        <f t="shared" si="1132"/>
      </c>
      <c r="AU417" s="30">
        <f t="shared" si="1132"/>
      </c>
      <c r="AV417" s="30">
        <f t="shared" si="1132"/>
      </c>
      <c r="AW417" s="308">
        <f t="shared" si="1132"/>
      </c>
      <c r="AX417" s="30">
        <f t="shared" si="1132"/>
      </c>
      <c r="AY417" s="30">
        <f t="shared" si="1132"/>
      </c>
      <c r="AZ417" s="30">
        <f t="shared" si="1132"/>
      </c>
      <c r="BA417" s="30">
        <f t="shared" si="1132"/>
      </c>
      <c r="BB417" s="308">
        <f t="shared" si="1132"/>
      </c>
      <c r="BC417" s="30">
        <f t="shared" si="1132"/>
      </c>
      <c r="BD417" s="30">
        <f t="shared" si="1132"/>
      </c>
      <c r="BE417" s="30">
        <f t="shared" si="1132"/>
      </c>
      <c r="BF417" s="30">
        <f t="shared" si="1132"/>
      </c>
      <c r="BG417" s="308">
        <f t="shared" si="1132"/>
      </c>
      <c r="BH417" s="30">
        <f t="shared" si="1132"/>
      </c>
      <c r="BI417" s="30">
        <f t="shared" si="1132"/>
      </c>
      <c r="BJ417" s="30">
        <f t="shared" si="1132"/>
      </c>
      <c r="BK417" s="30">
        <f t="shared" si="1132"/>
      </c>
      <c r="BL417" s="308">
        <f t="shared" si="1132"/>
      </c>
      <c r="BM417" s="30">
        <f t="shared" si="1132"/>
      </c>
      <c r="BN417" s="30">
        <f t="shared" si="1132"/>
      </c>
      <c r="BO417" s="30">
        <f t="shared" si="1132"/>
      </c>
      <c r="BP417" s="30">
        <f t="shared" si="1132"/>
      </c>
      <c r="BQ417" s="308">
        <f t="shared" si="1132"/>
      </c>
      <c r="BR417" s="30">
        <f t="shared" si="1132"/>
      </c>
      <c r="BS417" s="30">
        <f t="shared" si="1132"/>
      </c>
      <c r="BT417" s="30">
        <f t="shared" si="1132"/>
      </c>
      <c r="BU417" s="30">
        <f t="shared" si="1132"/>
      </c>
      <c r="BV417" s="308">
        <f t="shared" ref="BV417:CA417" si="1133">IF(BQ411="NM","NM",IF(BV411="NM","NM",IF(BQ411&lt;=0,"NM",IF(BV411=0,"NM",IF(ABS(BV411/BQ411-1)&gt;2.5,"NM",IF((ABS(BV411-BQ411)=ABS(ABS(BV411)-ABS(BQ411))),(BV411/BQ411-1),"NM"))))))</f>
      </c>
      <c r="BW417" s="30">
        <f t="shared" si="1133"/>
      </c>
      <c r="BX417" s="30">
        <f t="shared" si="1133"/>
      </c>
      <c r="BY417" s="30">
        <f t="shared" si="1133"/>
      </c>
      <c r="BZ417" s="30">
        <f t="shared" si="1133"/>
      </c>
      <c r="CA417" s="308">
        <f t="shared" si="1133"/>
      </c>
      <c r="CB417" s="30">
        <f t="shared" ref="CB417:CH417" si="1134">IF(BW411="NM","NM",IF(CB411="NM","NM",IF(BW411&lt;=0,"NM",IF(CB411=0,"NM",IF(ABS(CB411/BW411-1)&gt;2.5,"NM",IF((ABS(CB411-BW411)=ABS(ABS(CB411)-ABS(BW411))),(CB411/BW411-1),"NM"))))))</f>
      </c>
      <c r="CC417" s="30">
        <f t="shared" si="1134"/>
      </c>
      <c r="CD417" s="30">
        <f>IF(BY411="NM","NM",IF(CD411="NM","NM",IF(BY411&lt;=0,"NM",IF(CD411=0,"NM",IF(ABS(CD411/BY411-1)&gt;2.5,"NM",IF((ABS(CD411-BY411)=ABS(ABS(CD411)-ABS(BY411))),(CD411/BY411-1),"NM"))))))</f>
      </c>
      <c r="CE417" s="30">
        <f>IF(BZ411="NM","NM",IF(CE411="NM","NM",IF(BZ411&lt;=0,"NM",IF(CE411=0,"NM",IF(ABS(CE411/BZ411-1)&gt;2.5,"NM",IF((ABS(CE411-BZ411)=ABS(ABS(CE411)-ABS(BZ411))),(CE411/BZ411-1),"NM"))))))</f>
      </c>
      <c r="CF417" s="308">
        <f>IF(CA411="NM","NM",IF(CF411="NM","NM",IF(CA411&lt;=0,"NM",IF(CF411=0,"NM",IF(ABS(CF411/CA411-1)&gt;2.5,"NM",IF((ABS(CF411-CA411)=ABS(ABS(CF411)-ABS(CA411))),(CF411/CA411-1),"NM"))))))</f>
      </c>
      <c r="CG417" s="30">
        <f t="shared" si="1134"/>
      </c>
      <c r="CH417" s="30">
        <f t="shared" si="1134"/>
      </c>
      <c r="CI417" s="30">
        <f>IF(CD411="NM","NM",IF(CI411="NM","NM",IF(CD411&lt;=0,"NM",IF(CI411=0,"NM",IF(ABS(CI411/CD411-1)&gt;2.5,"NM",IF((ABS(CI411-CD411)=ABS(ABS(CI411)-ABS(CD411))),(CI411/CD411-1),"NM"))))))</f>
      </c>
      <c r="CJ417" s="30">
        <f>IF(CE411="NM","NM",IF(CJ411="NM","NM",IF(CE411&lt;=0,"NM",IF(CJ411=0,"NM",IF(ABS(CJ411/CE411-1)&gt;2.5,"NM",IF((ABS(CJ411-CE411)=ABS(ABS(CJ411)-ABS(CE411))),(CJ411/CE411-1),"NM"))))))</f>
      </c>
      <c r="CK417" s="308">
        <f>IF(CK411&lt;=0,0,(CK411/CF411-1))</f>
      </c>
      <c r="CL417" s="30">
        <f>IF(CG411="NM","NM",IF(CL411="NM","NM",IF(CG411&lt;=0,"NM",IF(CL411=0,"NM",IF(ABS(CL411/CG411-1)&gt;2.5,"NM",IF((ABS(CL411-CG411)=ABS(ABS(CL411)-ABS(CG411))),(CL411/CG411-1),"NM"))))))</f>
      </c>
      <c r="CM417" s="30">
        <f>IF(CH411="NM","NM",IF(CM411="NM","NM",IF(CH411&lt;=0,"NM",IF(CM411=0,"NM",IF(ABS(CM411/CH411-1)&gt;2.5,"NM",IF((ABS(CM411-CH411)=ABS(ABS(CM411)-ABS(CH411))),(CM411/CH411-1),"NM"))))))</f>
      </c>
      <c r="CN417" s="30">
        <f>IF(CI411="NM","NM",IF(CN411="NM","NM",IF(CI411&lt;=0,"NM",IF(CN411=0,"NM",IF(ABS(CN411/CI411-1)&gt;2.5,"NM",IF((ABS(CN411-CI411)=ABS(ABS(CN411)-ABS(CI411))),(CN411/CI411-1),"NM"))))))</f>
      </c>
      <c r="CO417" s="30" t="str">
        <f>IF(CJ411="NM","NM",IF(CO411="NM","NM",IF(CJ411&lt;=0,"NM",IF(CO411=0,"NM",IF(ABS(CO411/CJ411-1)&gt;2.5,"NM",IF((ABS(CO411-CJ411)=ABS(ABS(CO411)-ABS(CJ411))),(CO411/CJ411-1),"NM"))))))</f>
      </c>
      <c r="CP417" s="308">
        <f>IF(CP411&lt;=0,0,(CP411/CK411-1))</f>
      </c>
      <c r="CQ417" s="30"/>
      <c r="CR417" s="926"/>
      <c r="CS417" s="926"/>
      <c r="CT417" s="926"/>
      <c r="CU417" s="308"/>
      <c r="CV417" s="30"/>
      <c r="CW417" s="926"/>
      <c r="CX417" s="926"/>
      <c r="CY417" s="926"/>
      <c r="CZ417" s="308"/>
      <c r="DA417" s="30"/>
      <c r="DB417" s="926"/>
      <c r="DC417" s="926"/>
      <c r="DD417" s="928"/>
      <c r="DE417" s="308"/>
      <c r="DF417" s="30"/>
      <c r="DG417" s="926"/>
      <c r="DH417" s="926"/>
      <c r="DI417" s="928"/>
      <c r="DJ417" s="308"/>
      <c r="DK417" s="30"/>
      <c r="DL417" s="926"/>
      <c r="DM417" s="926"/>
      <c r="DN417" s="928"/>
      <c r="DO417" s="308"/>
      <c r="DP417" s="926"/>
      <c r="DQ417" s="926"/>
      <c r="DR417" s="926"/>
      <c r="DS417" s="928"/>
      <c r="DT417" s="308"/>
      <c r="DU417" s="926"/>
      <c r="DV417" s="926"/>
      <c r="DW417" s="926"/>
      <c r="DX417" s="928"/>
      <c r="DY417" s="308"/>
      <c r="DZ417" s="926"/>
      <c r="EA417" s="926"/>
      <c r="EB417" s="926"/>
      <c r="EC417" s="928"/>
      <c r="ED417" s="1060"/>
      <c r="EE417" s="926"/>
      <c r="EF417" s="926"/>
      <c r="EG417" s="926"/>
      <c r="EH417" s="928"/>
      <c r="EI417" s="308"/>
      <c r="EJ417" s="308"/>
      <c r="EK417" s="308"/>
      <c r="EL417" s="308"/>
      <c r="EM417" s="308"/>
      <c r="EN417" s="308"/>
      <c r="EO417" s="409"/>
      <c r="EP417" s="308"/>
      <c r="EQ417" s="308"/>
      <c r="ER417" s="308"/>
      <c r="ES417" s="308"/>
      <c r="ET417" s="308"/>
      <c r="EU417" s="308"/>
      <c r="EV417" s="308"/>
      <c r="EW417" s="308"/>
      <c r="EX417" s="308"/>
    </row>
    <row r="418" spans="2:154" ht="12.75" hidden="1" customHeight="1" outlineLevel="1">
      <c r="B418" s="437"/>
      <c r="C418" s="1989"/>
      <c r="D418" s="28"/>
      <c r="E418" s="28"/>
      <c r="F418" s="28"/>
      <c r="G418" s="28"/>
      <c r="H418" s="28"/>
      <c r="I418" s="31"/>
      <c r="J418" s="28"/>
      <c r="K418" s="28"/>
      <c r="L418" s="28"/>
      <c r="M418" s="28"/>
      <c r="N418" s="31"/>
      <c r="O418" s="31"/>
      <c r="P418" s="31"/>
      <c r="Q418" s="31"/>
      <c r="R418" s="31"/>
      <c r="S418" s="31"/>
      <c r="T418" s="31"/>
      <c r="U418" s="31"/>
      <c r="V418" s="31"/>
      <c r="W418" s="31"/>
      <c r="X418" s="313"/>
      <c r="Y418" s="31"/>
      <c r="Z418" s="31"/>
      <c r="AA418" s="31"/>
      <c r="AB418" s="31"/>
      <c r="AC418" s="313"/>
      <c r="AD418" s="31"/>
      <c r="AE418" s="31"/>
      <c r="AF418" s="31"/>
      <c r="AG418" s="31"/>
      <c r="AH418" s="313"/>
      <c r="AI418" s="28"/>
      <c r="AJ418" s="28"/>
      <c r="AK418" s="28"/>
      <c r="AL418" s="31"/>
      <c r="AM418" s="313"/>
      <c r="AN418" s="28"/>
      <c r="AO418" s="28"/>
      <c r="AP418" s="28"/>
      <c r="AQ418" s="31"/>
      <c r="AR418" s="313"/>
      <c r="AS418" s="28"/>
      <c r="AT418" s="28"/>
      <c r="AU418" s="28"/>
      <c r="AV418" s="31"/>
      <c r="AW418" s="313"/>
      <c r="AX418" s="28"/>
      <c r="AY418" s="28"/>
      <c r="AZ418" s="28"/>
      <c r="BA418" s="28"/>
      <c r="BB418" s="313"/>
      <c r="BC418" s="28"/>
      <c r="BD418" s="28"/>
      <c r="BE418" s="28"/>
      <c r="BF418" s="28"/>
      <c r="BG418" s="313"/>
      <c r="BH418" s="28"/>
      <c r="BI418" s="28"/>
      <c r="BJ418" s="28"/>
      <c r="BK418" s="28"/>
      <c r="BL418" s="313"/>
      <c r="BM418" s="28"/>
      <c r="BN418" s="28"/>
      <c r="BO418" s="28"/>
      <c r="BP418" s="28"/>
      <c r="BQ418" s="313"/>
      <c r="BR418" s="28"/>
      <c r="BS418" s="28"/>
      <c r="BT418" s="28"/>
      <c r="BU418" s="28"/>
      <c r="BV418" s="313"/>
      <c r="BW418" s="28"/>
      <c r="BX418" s="28"/>
      <c r="BY418" s="28"/>
      <c r="BZ418" s="28"/>
      <c r="CA418" s="313"/>
      <c r="CB418" s="28"/>
      <c r="CC418" s="28"/>
      <c r="CD418" s="28"/>
      <c r="CE418" s="28"/>
      <c r="CF418" s="313"/>
      <c r="CG418" s="28"/>
      <c r="CH418" s="28"/>
      <c r="CI418" s="28"/>
      <c r="CJ418" s="28"/>
      <c r="CK418" s="313"/>
      <c r="CL418" s="961"/>
      <c r="CM418" s="28"/>
      <c r="CN418" s="28"/>
      <c r="CO418" s="28"/>
      <c r="CP418" s="313"/>
      <c r="CQ418" s="933"/>
      <c r="CR418" s="933"/>
      <c r="CS418" s="933"/>
      <c r="CT418" s="933"/>
      <c r="CU418" s="313"/>
      <c r="CV418" s="933"/>
      <c r="CW418" s="933"/>
      <c r="CX418" s="933"/>
      <c r="CY418" s="933"/>
      <c r="CZ418" s="313"/>
      <c r="DA418" s="933"/>
      <c r="DB418" s="31"/>
      <c r="DC418" s="31"/>
      <c r="DD418" s="955"/>
      <c r="DE418" s="477"/>
      <c r="DF418" s="982"/>
      <c r="DG418" s="603"/>
      <c r="DH418" s="603"/>
      <c r="DI418" s="1798"/>
      <c r="DJ418" s="477"/>
      <c r="DK418" s="982"/>
      <c r="DL418" s="603"/>
      <c r="DM418" s="603"/>
      <c r="DN418" s="1798"/>
      <c r="DO418" s="477"/>
      <c r="DP418" s="603"/>
      <c r="DQ418" s="603"/>
      <c r="DR418" s="603"/>
      <c r="DS418" s="1798"/>
      <c r="DT418" s="477"/>
      <c r="DU418" s="603"/>
      <c r="DV418" s="603"/>
      <c r="DW418" s="603"/>
      <c r="DX418" s="1798"/>
      <c r="DY418" s="477"/>
      <c r="DZ418" s="603"/>
      <c r="EA418" s="603"/>
      <c r="EB418" s="603"/>
      <c r="EC418" s="1798"/>
      <c r="ED418" s="477"/>
      <c r="EE418" s="603"/>
      <c r="EF418" s="603"/>
      <c r="EG418" s="603"/>
      <c r="EH418" s="1798"/>
      <c r="EI418" s="477"/>
      <c r="EJ418" s="477"/>
      <c r="EK418" s="477"/>
      <c r="EL418" s="477"/>
      <c r="EM418" s="477"/>
      <c r="EN418" s="477"/>
      <c r="EO418" s="1798"/>
      <c r="EP418" s="477"/>
      <c r="EQ418" s="477"/>
      <c r="ER418" s="477"/>
      <c r="ES418" s="477"/>
      <c r="ET418" s="477"/>
      <c r="EU418" s="477"/>
      <c r="EV418" s="477"/>
      <c r="EW418" s="477"/>
      <c r="EX418" s="477"/>
    </row>
    <row r="419" spans="2:154" ht="12.75" hidden="1" customHeight="1" outlineLevel="1">
      <c r="B419" s="439" t="s">
        <v>536</v>
      </c>
      <c r="C419" s="1989"/>
      <c r="D419" s="28"/>
      <c r="E419" s="28"/>
      <c r="F419" s="28"/>
      <c r="G419" s="28"/>
      <c r="H419" s="28"/>
      <c r="I419" s="31"/>
      <c r="J419" s="28"/>
      <c r="K419" s="28"/>
      <c r="L419" s="28"/>
      <c r="M419" s="28"/>
      <c r="N419" s="31"/>
      <c r="O419" s="31"/>
      <c r="P419" s="31"/>
      <c r="Q419" s="31"/>
      <c r="R419" s="31"/>
      <c r="S419" s="31"/>
      <c r="T419" s="31"/>
      <c r="U419" s="31"/>
      <c r="V419" s="31"/>
      <c r="W419" s="31"/>
      <c r="X419" s="313"/>
      <c r="Y419" s="31"/>
      <c r="Z419" s="31"/>
      <c r="AA419" s="31"/>
      <c r="AB419" s="31"/>
      <c r="AC419" s="313"/>
      <c r="AD419" s="31"/>
      <c r="AE419" s="31"/>
      <c r="AF419" s="31"/>
      <c r="AG419" s="31"/>
      <c r="AH419" s="313"/>
      <c r="AI419" s="28"/>
      <c r="AJ419" s="28"/>
      <c r="AK419" s="28"/>
      <c r="AL419" s="31"/>
      <c r="AM419" s="313"/>
      <c r="AN419" s="28"/>
      <c r="AO419" s="28"/>
      <c r="AP419" s="28"/>
      <c r="AQ419" s="31"/>
      <c r="AR419" s="313"/>
      <c r="AS419" s="28"/>
      <c r="AT419" s="28"/>
      <c r="AU419" s="28"/>
      <c r="AV419" s="28"/>
      <c r="AW419" s="313"/>
      <c r="AX419" s="28"/>
      <c r="AY419" s="28"/>
      <c r="AZ419" s="28"/>
      <c r="BA419" s="28"/>
      <c r="BB419" s="313"/>
      <c r="BC419" s="28"/>
      <c r="BD419" s="28"/>
      <c r="BE419" s="28"/>
      <c r="BF419" s="28"/>
      <c r="BG419" s="313"/>
      <c r="BH419" s="28"/>
      <c r="BI419" s="28"/>
      <c r="BJ419" s="28"/>
      <c r="BK419" s="28"/>
      <c r="BL419" s="313"/>
      <c r="BM419" s="28"/>
      <c r="BN419" s="28"/>
      <c r="BO419" s="28"/>
      <c r="BP419" s="28"/>
      <c r="BQ419" s="313"/>
      <c r="BR419" s="28"/>
      <c r="BS419" s="28"/>
      <c r="BT419" s="28"/>
      <c r="BU419" s="28"/>
      <c r="BV419" s="313"/>
      <c r="BW419" s="28"/>
      <c r="BX419" s="28"/>
      <c r="BY419" s="28"/>
      <c r="BZ419" s="28"/>
      <c r="CA419" s="313"/>
      <c r="CB419" s="28"/>
      <c r="CC419" s="28"/>
      <c r="CD419" s="28"/>
      <c r="CE419" s="28"/>
      <c r="CF419" s="313"/>
      <c r="CG419" s="28"/>
      <c r="CH419" s="28"/>
      <c r="CI419" s="28"/>
      <c r="CJ419" s="28"/>
      <c r="CK419" s="313"/>
      <c r="CL419" s="961"/>
      <c r="CM419" s="28"/>
      <c r="CN419" s="28"/>
      <c r="CO419" s="28"/>
      <c r="CP419" s="313"/>
      <c r="CQ419" s="933"/>
      <c r="CR419" s="933"/>
      <c r="CS419" s="933"/>
      <c r="CT419" s="933"/>
      <c r="CU419" s="313"/>
      <c r="CV419" s="933"/>
      <c r="CW419" s="933"/>
      <c r="CX419" s="933"/>
      <c r="CY419" s="933"/>
      <c r="CZ419" s="313"/>
      <c r="DA419" s="933"/>
      <c r="DB419" s="31"/>
      <c r="DC419" s="31"/>
      <c r="DD419" s="955"/>
      <c r="DE419" s="477"/>
      <c r="DF419" s="982"/>
      <c r="DG419" s="603"/>
      <c r="DH419" s="603"/>
      <c r="DI419" s="1798"/>
      <c r="DJ419" s="477"/>
      <c r="DK419" s="982"/>
      <c r="DL419" s="603"/>
      <c r="DM419" s="603"/>
      <c r="DN419" s="1798"/>
      <c r="DO419" s="477"/>
      <c r="DP419" s="603"/>
      <c r="DQ419" s="603"/>
      <c r="DR419" s="603"/>
      <c r="DS419" s="1798"/>
      <c r="DT419" s="477"/>
      <c r="DU419" s="603"/>
      <c r="DV419" s="603"/>
      <c r="DW419" s="603"/>
      <c r="DX419" s="1798"/>
      <c r="DY419" s="477"/>
      <c r="DZ419" s="603"/>
      <c r="EA419" s="603"/>
      <c r="EB419" s="603"/>
      <c r="EC419" s="1798"/>
      <c r="ED419" s="477"/>
      <c r="EE419" s="603"/>
      <c r="EF419" s="603"/>
      <c r="EG419" s="603"/>
      <c r="EH419" s="1798"/>
      <c r="EI419" s="477"/>
      <c r="EJ419" s="477"/>
      <c r="EK419" s="477"/>
      <c r="EL419" s="477"/>
      <c r="EM419" s="477"/>
      <c r="EN419" s="477"/>
      <c r="EO419" s="1798"/>
      <c r="EP419" s="477"/>
      <c r="EQ419" s="477"/>
      <c r="ER419" s="477"/>
      <c r="ES419" s="477"/>
      <c r="ET419" s="477"/>
      <c r="EU419" s="477"/>
      <c r="EV419" s="477"/>
      <c r="EW419" s="477"/>
      <c r="EX419" s="477"/>
    </row>
    <row r="420" spans="2:154" ht="12.75" hidden="1" customHeight="1" outlineLevel="1">
      <c r="B420" s="437" t="s">
        <v>187</v>
      </c>
      <c r="C420" s="1997">
        <v>42892</v>
      </c>
      <c r="D420" s="28"/>
      <c r="E420" s="28"/>
      <c r="F420" s="28"/>
      <c r="G420" s="28"/>
      <c r="H420" s="28"/>
      <c r="I420" s="31"/>
      <c r="J420" s="28"/>
      <c r="K420" s="28"/>
      <c r="L420" s="28"/>
      <c r="M420" s="28"/>
      <c r="N420" s="31"/>
      <c r="O420" s="31"/>
      <c r="P420" s="31"/>
      <c r="Q420" s="31"/>
      <c r="R420" s="31"/>
      <c r="S420" s="31"/>
      <c r="T420" s="31"/>
      <c r="U420" s="31"/>
      <c r="V420" s="31"/>
      <c r="W420" s="31"/>
      <c r="X420" s="313"/>
      <c r="Y420" s="31"/>
      <c r="Z420" s="31"/>
      <c r="AA420" s="31"/>
      <c r="AB420" s="31"/>
      <c r="AC420" s="313"/>
      <c r="AD420" s="31"/>
      <c r="AE420" s="31"/>
      <c r="AF420" s="31"/>
      <c r="AG420" s="31"/>
      <c r="AH420" s="313"/>
      <c r="AI420" s="28"/>
      <c r="AJ420" s="28"/>
      <c r="AK420" s="28"/>
      <c r="AL420" s="31"/>
      <c r="AM420" s="313"/>
      <c r="AN420" s="28"/>
      <c r="AO420" s="28"/>
      <c r="AP420" s="28"/>
      <c r="AQ420" s="31"/>
      <c r="AR420" s="313"/>
      <c r="AS420" s="28"/>
      <c r="AT420" s="28"/>
      <c r="AU420" s="28"/>
      <c r="AV420" s="28"/>
      <c r="AW420" s="313"/>
      <c r="AX420" s="28"/>
      <c r="AY420" s="28"/>
      <c r="AZ420" s="28"/>
      <c r="BA420" s="28"/>
      <c r="BB420" s="313"/>
      <c r="BC420" s="33">
        <v>0</v>
      </c>
      <c r="BD420" s="33">
        <v>0</v>
      </c>
      <c r="BE420" s="33">
        <v>15</v>
      </c>
      <c r="BF420" s="33">
        <v>20</v>
      </c>
      <c r="BG420" s="312">
        <f>SUM(BC420:BF420)</f>
      </c>
      <c r="BH420" s="33">
        <v>22</v>
      </c>
      <c r="BI420" s="33">
        <v>24</v>
      </c>
      <c r="BJ420" s="33">
        <v>30</v>
      </c>
      <c r="BK420" s="33">
        <v>34</v>
      </c>
      <c r="BL420" s="320">
        <v>110</v>
      </c>
      <c r="BM420" s="33">
        <v>35</v>
      </c>
      <c r="BN420" s="33">
        <v>45</v>
      </c>
      <c r="BO420" s="33">
        <v>48</v>
      </c>
      <c r="BP420" s="28">
        <v>53.5</v>
      </c>
      <c r="BQ420" s="313">
        <f>SUM(BM420:BP420)</f>
      </c>
      <c r="BR420" s="880">
        <v>55</v>
      </c>
      <c r="BS420" s="880">
        <v>62</v>
      </c>
      <c r="BT420" s="880">
        <v>63</v>
      </c>
      <c r="BU420" s="761">
        <v>65.025000000000006</v>
      </c>
      <c r="BV420" s="313">
        <f>SUM(BR420:BU420)</f>
      </c>
      <c r="BW420" s="761">
        <v>63.249999999999993</v>
      </c>
      <c r="BX420" s="761">
        <v>71</v>
      </c>
      <c r="BY420" s="761">
        <v>72</v>
      </c>
      <c r="BZ420" s="761">
        <v>74</v>
      </c>
      <c r="CA420" s="313">
        <f>SUM(BW420:BZ420)</f>
      </c>
      <c r="CB420" s="761">
        <v>70</v>
      </c>
      <c r="CC420" s="761">
        <v>80</v>
      </c>
      <c r="CD420" s="761">
        <v>80.599999999999994</v>
      </c>
      <c r="CE420" s="761">
        <v>83</v>
      </c>
      <c r="CF420" s="313">
        <f>SUM(CB420:CE420)</f>
      </c>
      <c r="CG420" s="761">
        <v>77</v>
      </c>
      <c r="CH420" s="761">
        <v>0</v>
      </c>
      <c r="CI420" s="761">
        <v>0</v>
      </c>
      <c r="CJ420" s="761">
        <v>0</v>
      </c>
      <c r="CK420" s="313">
        <f>SUM(CG420:CJ420)</f>
      </c>
      <c r="CL420" s="761">
        <v>0</v>
      </c>
      <c r="CM420" s="761">
        <v>0</v>
      </c>
      <c r="CN420" s="761">
        <v>0</v>
      </c>
      <c r="CO420" s="761">
        <v>0</v>
      </c>
      <c r="CP420" s="313">
        <f>SUM(CL420:CO420)</f>
      </c>
      <c r="CQ420" s="352"/>
      <c r="CR420" s="933"/>
      <c r="CS420" s="933"/>
      <c r="CT420" s="933"/>
      <c r="CU420" s="313"/>
      <c r="CV420" s="352"/>
      <c r="CW420" s="933"/>
      <c r="CX420" s="933"/>
      <c r="CY420" s="933"/>
      <c r="CZ420" s="313"/>
      <c r="DA420" s="352"/>
      <c r="DB420" s="31"/>
      <c r="DC420" s="31"/>
      <c r="DD420" s="955"/>
      <c r="DE420" s="477"/>
      <c r="DF420" s="1801"/>
      <c r="DG420" s="603"/>
      <c r="DH420" s="603"/>
      <c r="DI420" s="1798"/>
      <c r="DJ420" s="477"/>
      <c r="DK420" s="1801"/>
      <c r="DL420" s="603"/>
      <c r="DM420" s="603"/>
      <c r="DN420" s="1798"/>
      <c r="DO420" s="477"/>
      <c r="DP420" s="603"/>
      <c r="DQ420" s="603"/>
      <c r="DR420" s="603"/>
      <c r="DS420" s="1798"/>
      <c r="DT420" s="477"/>
      <c r="DU420" s="603"/>
      <c r="DV420" s="603"/>
      <c r="DW420" s="603"/>
      <c r="DX420" s="1798"/>
      <c r="DY420" s="477"/>
      <c r="DZ420" s="603"/>
      <c r="EA420" s="603"/>
      <c r="EB420" s="603"/>
      <c r="EC420" s="1798"/>
      <c r="ED420" s="477"/>
      <c r="EE420" s="603"/>
      <c r="EF420" s="603"/>
      <c r="EG420" s="603"/>
      <c r="EH420" s="1798"/>
      <c r="EI420" s="477"/>
      <c r="EJ420" s="477"/>
      <c r="EK420" s="477"/>
      <c r="EL420" s="477"/>
      <c r="EM420" s="477"/>
      <c r="EN420" s="477"/>
      <c r="EO420" s="1798"/>
      <c r="EP420" s="477"/>
      <c r="EQ420" s="477"/>
      <c r="ER420" s="477"/>
      <c r="ES420" s="477"/>
      <c r="ET420" s="477"/>
      <c r="EU420" s="477"/>
      <c r="EV420" s="477"/>
      <c r="EW420" s="477"/>
      <c r="EX420" s="477"/>
    </row>
    <row r="421" spans="2:154" ht="12.75" hidden="1" customHeight="1" outlineLevel="1">
      <c r="B421" s="437" t="s">
        <v>412</v>
      </c>
      <c r="C421" s="1989"/>
      <c r="D421" s="28"/>
      <c r="E421" s="28"/>
      <c r="F421" s="28"/>
      <c r="G421" s="28"/>
      <c r="H421" s="28"/>
      <c r="I421" s="31"/>
      <c r="J421" s="28"/>
      <c r="K421" s="28"/>
      <c r="L421" s="28"/>
      <c r="M421" s="28"/>
      <c r="N421" s="31"/>
      <c r="O421" s="31"/>
      <c r="P421" s="31"/>
      <c r="Q421" s="31"/>
      <c r="R421" s="31"/>
      <c r="S421" s="31"/>
      <c r="T421" s="31"/>
      <c r="U421" s="31"/>
      <c r="V421" s="31"/>
      <c r="W421" s="31"/>
      <c r="X421" s="313"/>
      <c r="Y421" s="31"/>
      <c r="Z421" s="31"/>
      <c r="AA421" s="31"/>
      <c r="AB421" s="31"/>
      <c r="AC421" s="313"/>
      <c r="AD421" s="31"/>
      <c r="AE421" s="31"/>
      <c r="AF421" s="31"/>
      <c r="AG421" s="31"/>
      <c r="AH421" s="313"/>
      <c r="AI421" s="28"/>
      <c r="AJ421" s="28"/>
      <c r="AK421" s="28"/>
      <c r="AL421" s="31"/>
      <c r="AM421" s="313"/>
      <c r="AN421" s="28"/>
      <c r="AO421" s="28"/>
      <c r="AP421" s="28"/>
      <c r="AQ421" s="31"/>
      <c r="AR421" s="313"/>
      <c r="AS421" s="28"/>
      <c r="AT421" s="28"/>
      <c r="AU421" s="28"/>
      <c r="AV421" s="28"/>
      <c r="AW421" s="313"/>
      <c r="AX421" s="28"/>
      <c r="AY421" s="28"/>
      <c r="AZ421" s="28"/>
      <c r="BA421" s="28"/>
      <c r="BB421" s="313"/>
      <c r="BC421" s="33">
        <v>0</v>
      </c>
      <c r="BD421" s="33">
        <v>0</v>
      </c>
      <c r="BE421" s="33">
        <v>0</v>
      </c>
      <c r="BF421" s="33">
        <v>0</v>
      </c>
      <c r="BG421" s="312">
        <f>SUM(BC421:BF421)</f>
      </c>
      <c r="BH421" s="33">
        <v>0</v>
      </c>
      <c r="BI421" s="33">
        <v>0</v>
      </c>
      <c r="BJ421" s="33">
        <v>0</v>
      </c>
      <c r="BK421" s="33">
        <v>0</v>
      </c>
      <c r="BL421" s="313">
        <f>SUM(BH421:BK421)</f>
      </c>
      <c r="BM421" s="33">
        <v>0</v>
      </c>
      <c r="BN421" s="33">
        <v>0</v>
      </c>
      <c r="BO421" s="33">
        <v>0</v>
      </c>
      <c r="BP421" s="28">
        <v>0</v>
      </c>
      <c r="BQ421" s="313">
        <f>SUM(BM421:BP421)</f>
      </c>
      <c r="BR421" s="880">
        <v>0</v>
      </c>
      <c r="BS421" s="880">
        <v>0</v>
      </c>
      <c r="BT421" s="880">
        <v>0</v>
      </c>
      <c r="BU421" s="761">
        <v>0</v>
      </c>
      <c r="BV421" s="313">
        <f>SUM(BR421:BU421)</f>
      </c>
      <c r="BW421" s="761">
        <v>0</v>
      </c>
      <c r="BX421" s="761">
        <v>0</v>
      </c>
      <c r="BY421" s="761">
        <v>0</v>
      </c>
      <c r="BZ421" s="761">
        <v>0</v>
      </c>
      <c r="CA421" s="313">
        <f>SUM(BW421:BZ421)</f>
      </c>
      <c r="CB421" s="761">
        <v>0</v>
      </c>
      <c r="CC421" s="761">
        <v>0</v>
      </c>
      <c r="CD421" s="761">
        <v>0</v>
      </c>
      <c r="CE421" s="761">
        <v>0</v>
      </c>
      <c r="CF421" s="313">
        <f>SUM(CB421:CE421)</f>
      </c>
      <c r="CG421" s="761">
        <v>0</v>
      </c>
      <c r="CH421" s="761">
        <v>0</v>
      </c>
      <c r="CI421" s="761">
        <v>0</v>
      </c>
      <c r="CJ421" s="761">
        <v>0</v>
      </c>
      <c r="CK421" s="313">
        <f>SUM(CG421:CJ421)</f>
      </c>
      <c r="CL421" s="761">
        <v>0</v>
      </c>
      <c r="CM421" s="761">
        <v>0</v>
      </c>
      <c r="CN421" s="761">
        <v>0</v>
      </c>
      <c r="CO421" s="761">
        <v>0</v>
      </c>
      <c r="CP421" s="313">
        <f>SUM(CL421:CO421)</f>
      </c>
      <c r="CQ421" s="352"/>
      <c r="CR421" s="33"/>
      <c r="CS421" s="33"/>
      <c r="CT421" s="33"/>
      <c r="CU421" s="313"/>
      <c r="CV421" s="352"/>
      <c r="CW421" s="33"/>
      <c r="CX421" s="33"/>
      <c r="CY421" s="33"/>
      <c r="CZ421" s="313"/>
      <c r="DA421" s="352"/>
      <c r="DB421" s="31"/>
      <c r="DC421" s="31"/>
      <c r="DD421" s="955"/>
      <c r="DE421" s="477"/>
      <c r="DF421" s="1801"/>
      <c r="DG421" s="603"/>
      <c r="DH421" s="603"/>
      <c r="DI421" s="1798"/>
      <c r="DJ421" s="477"/>
      <c r="DK421" s="1801"/>
      <c r="DL421" s="603"/>
      <c r="DM421" s="603"/>
      <c r="DN421" s="1798"/>
      <c r="DO421" s="477"/>
      <c r="DP421" s="603"/>
      <c r="DQ421" s="603"/>
      <c r="DR421" s="603"/>
      <c r="DS421" s="1798"/>
      <c r="DT421" s="477"/>
      <c r="DU421" s="603"/>
      <c r="DV421" s="603"/>
      <c r="DW421" s="603"/>
      <c r="DX421" s="1798"/>
      <c r="DY421" s="477"/>
      <c r="DZ421" s="603"/>
      <c r="EA421" s="603"/>
      <c r="EB421" s="603"/>
      <c r="EC421" s="1798"/>
      <c r="ED421" s="477"/>
      <c r="EE421" s="603"/>
      <c r="EF421" s="603"/>
      <c r="EG421" s="603"/>
      <c r="EH421" s="1798"/>
      <c r="EI421" s="477"/>
      <c r="EJ421" s="477"/>
      <c r="EK421" s="477"/>
      <c r="EL421" s="477"/>
      <c r="EM421" s="477"/>
      <c r="EN421" s="477"/>
      <c r="EO421" s="1798"/>
      <c r="EP421" s="477"/>
      <c r="EQ421" s="477"/>
      <c r="ER421" s="477"/>
      <c r="ES421" s="477"/>
      <c r="ET421" s="477"/>
      <c r="EU421" s="477"/>
      <c r="EV421" s="477"/>
      <c r="EW421" s="477"/>
      <c r="EX421" s="477"/>
    </row>
    <row r="422" spans="2:154" ht="12.75" hidden="1" customHeight="1" outlineLevel="1">
      <c r="B422" s="437" t="s">
        <v>413</v>
      </c>
      <c r="C422" s="1989"/>
      <c r="D422" s="28"/>
      <c r="E422" s="28"/>
      <c r="F422" s="28"/>
      <c r="G422" s="28"/>
      <c r="H422" s="28"/>
      <c r="I422" s="31"/>
      <c r="J422" s="28"/>
      <c r="K422" s="28"/>
      <c r="L422" s="28"/>
      <c r="M422" s="28"/>
      <c r="N422" s="31"/>
      <c r="O422" s="31"/>
      <c r="P422" s="31"/>
      <c r="Q422" s="31"/>
      <c r="R422" s="31"/>
      <c r="S422" s="31"/>
      <c r="T422" s="31"/>
      <c r="U422" s="31"/>
      <c r="V422" s="31"/>
      <c r="W422" s="31"/>
      <c r="X422" s="313"/>
      <c r="Y422" s="31"/>
      <c r="Z422" s="31"/>
      <c r="AA422" s="31"/>
      <c r="AB422" s="31"/>
      <c r="AC422" s="313"/>
      <c r="AD422" s="31"/>
      <c r="AE422" s="31"/>
      <c r="AF422" s="31"/>
      <c r="AG422" s="31"/>
      <c r="AH422" s="313"/>
      <c r="AI422" s="28"/>
      <c r="AJ422" s="28"/>
      <c r="AK422" s="28"/>
      <c r="AL422" s="31"/>
      <c r="AM422" s="313"/>
      <c r="AN422" s="28"/>
      <c r="AO422" s="28"/>
      <c r="AP422" s="28"/>
      <c r="AQ422" s="31"/>
      <c r="AR422" s="313"/>
      <c r="AS422" s="28"/>
      <c r="AT422" s="28"/>
      <c r="AU422" s="28"/>
      <c r="AV422" s="28"/>
      <c r="AW422" s="313"/>
      <c r="AX422" s="28"/>
      <c r="AY422" s="28"/>
      <c r="AZ422" s="28"/>
      <c r="BA422" s="28"/>
      <c r="BB422" s="313"/>
      <c r="BC422" s="28"/>
      <c r="BD422" s="28">
        <f>+SUM(BD420:BD421)</f>
      </c>
      <c r="BE422" s="28">
        <f>+SUM(BE420:BE421)</f>
      </c>
      <c r="BF422" s="28">
        <f>+SUM(BF420:BF421)</f>
      </c>
      <c r="BG422" s="313">
        <f>SUM(BG420:BG421)</f>
      </c>
      <c r="BH422" s="28">
        <f>+SUM(BH420:BH421)</f>
      </c>
      <c r="BI422" s="28">
        <f>+SUM(BI420:BI421)</f>
      </c>
      <c r="BJ422" s="28">
        <f>+SUM(BJ420:BJ421)</f>
      </c>
      <c r="BK422" s="28">
        <f>+BK420+BK421</f>
      </c>
      <c r="BL422" s="313">
        <f>SUM(BL420:BL421)</f>
      </c>
      <c r="BM422" s="28">
        <f>+SUM(BM420:BM421)</f>
      </c>
      <c r="BN422" s="28">
        <f>+SUM(BN420:BN421)</f>
      </c>
      <c r="BO422" s="28">
        <f>+SUM(BO420:BO421)</f>
      </c>
      <c r="BP422" s="28">
        <f>+BP420+BP421</f>
      </c>
      <c r="BQ422" s="313">
        <f>SUM(BM422:BP422)</f>
      </c>
      <c r="BR422" s="28">
        <f>+SUM(BR420:BR421)</f>
      </c>
      <c r="BS422" s="28">
        <f>+SUM(BS420:BS421)</f>
      </c>
      <c r="BT422" s="28">
        <f>+SUM(BT420:BT421)</f>
      </c>
      <c r="BU422" s="28">
        <f>+BU420+BU421</f>
      </c>
      <c r="BV422" s="313">
        <f>SUM(BR422:BU422)</f>
      </c>
      <c r="BW422" s="28">
        <f>+SUM(BW420:BW421)</f>
      </c>
      <c r="BX422" s="28">
        <f>+SUM(BX420:BX421)</f>
      </c>
      <c r="BY422" s="28">
        <f>+SUM(BY420:BY421)</f>
      </c>
      <c r="BZ422" s="28">
        <f>+SUM(BZ420:BZ421)</f>
      </c>
      <c r="CA422" s="313">
        <f>SUM(BW422:BZ422)</f>
      </c>
      <c r="CB422" s="28">
        <f>+SUM(CB420:CB421)</f>
      </c>
      <c r="CC422" s="28">
        <f>+SUM(CC420:CC421)</f>
      </c>
      <c r="CD422" s="28">
        <f>+SUM(CD420:CD421)</f>
      </c>
      <c r="CE422" s="28">
        <f>+SUM(CE420:CE421)</f>
      </c>
      <c r="CF422" s="313">
        <f>SUM(CB422:CE422)</f>
      </c>
      <c r="CG422" s="28">
        <f>+SUM(CG420:CG421)</f>
      </c>
      <c r="CH422" s="28">
        <f>+SUM(CH420:CH421)</f>
      </c>
      <c r="CI422" s="28">
        <f>+SUM(CI420:CI421)</f>
      </c>
      <c r="CJ422" s="28">
        <f>+SUM(CJ420:CJ421)</f>
      </c>
      <c r="CK422" s="313">
        <f>SUM(CG422:CJ422)</f>
      </c>
      <c r="CL422" s="28">
        <f>+SUM(CL420:CL421)</f>
      </c>
      <c r="CM422" s="28">
        <f>+SUM(CM420:CM421)</f>
      </c>
      <c r="CN422" s="28">
        <f>+SUM(CN420:CN421)</f>
      </c>
      <c r="CO422" s="28">
        <f>+SUM(CO420:CO421)</f>
      </c>
      <c r="CP422" s="313">
        <f>SUM(CL422:CO422)</f>
      </c>
      <c r="CQ422" s="933"/>
      <c r="CR422" s="933"/>
      <c r="CS422" s="933"/>
      <c r="CT422" s="933"/>
      <c r="CU422" s="313"/>
      <c r="CV422" s="933"/>
      <c r="CW422" s="933"/>
      <c r="CX422" s="933"/>
      <c r="CY422" s="933"/>
      <c r="CZ422" s="313"/>
      <c r="DA422" s="933"/>
      <c r="DB422" s="31"/>
      <c r="DC422" s="31"/>
      <c r="DD422" s="955"/>
      <c r="DE422" s="477"/>
      <c r="DF422" s="982"/>
      <c r="DG422" s="603"/>
      <c r="DH422" s="603"/>
      <c r="DI422" s="1798"/>
      <c r="DJ422" s="477"/>
      <c r="DK422" s="982"/>
      <c r="DL422" s="603"/>
      <c r="DM422" s="603"/>
      <c r="DN422" s="1798"/>
      <c r="DO422" s="477"/>
      <c r="DP422" s="603"/>
      <c r="DQ422" s="603"/>
      <c r="DR422" s="603"/>
      <c r="DS422" s="1798"/>
      <c r="DT422" s="477"/>
      <c r="DU422" s="603"/>
      <c r="DV422" s="603"/>
      <c r="DW422" s="603"/>
      <c r="DX422" s="1798"/>
      <c r="DY422" s="477"/>
      <c r="DZ422" s="603"/>
      <c r="EA422" s="603"/>
      <c r="EB422" s="603"/>
      <c r="EC422" s="1798"/>
      <c r="ED422" s="477"/>
      <c r="EE422" s="603"/>
      <c r="EF422" s="603"/>
      <c r="EG422" s="603"/>
      <c r="EH422" s="1798"/>
      <c r="EI422" s="477"/>
      <c r="EJ422" s="477"/>
      <c r="EK422" s="477"/>
      <c r="EL422" s="477"/>
      <c r="EM422" s="477"/>
      <c r="EN422" s="477"/>
      <c r="EO422" s="1798"/>
      <c r="EP422" s="477"/>
      <c r="EQ422" s="477"/>
      <c r="ER422" s="477"/>
      <c r="ES422" s="477"/>
      <c r="ET422" s="477"/>
      <c r="EU422" s="477"/>
      <c r="EV422" s="477"/>
      <c r="EW422" s="477"/>
      <c r="EX422" s="477"/>
    </row>
    <row r="423" spans="2:154" ht="12.75" hidden="1" customHeight="1" outlineLevel="1">
      <c r="B423" s="437"/>
      <c r="C423" s="1989"/>
      <c r="D423" s="28"/>
      <c r="E423" s="28"/>
      <c r="F423" s="28"/>
      <c r="G423" s="28"/>
      <c r="H423" s="28"/>
      <c r="I423" s="31"/>
      <c r="J423" s="28"/>
      <c r="K423" s="28"/>
      <c r="L423" s="28"/>
      <c r="M423" s="28"/>
      <c r="N423" s="31"/>
      <c r="O423" s="31"/>
      <c r="P423" s="31"/>
      <c r="Q423" s="31"/>
      <c r="R423" s="31"/>
      <c r="S423" s="31"/>
      <c r="T423" s="31"/>
      <c r="U423" s="31"/>
      <c r="V423" s="31"/>
      <c r="W423" s="31"/>
      <c r="X423" s="313"/>
      <c r="Y423" s="31"/>
      <c r="Z423" s="31"/>
      <c r="AA423" s="31"/>
      <c r="AB423" s="31"/>
      <c r="AC423" s="313"/>
      <c r="AD423" s="31"/>
      <c r="AE423" s="31"/>
      <c r="AF423" s="31"/>
      <c r="AG423" s="31"/>
      <c r="AH423" s="313"/>
      <c r="AI423" s="28"/>
      <c r="AJ423" s="28"/>
      <c r="AK423" s="28"/>
      <c r="AL423" s="31"/>
      <c r="AM423" s="313"/>
      <c r="AN423" s="28"/>
      <c r="AO423" s="28"/>
      <c r="AP423" s="28"/>
      <c r="AQ423" s="31"/>
      <c r="AR423" s="313"/>
      <c r="AS423" s="28"/>
      <c r="AT423" s="28"/>
      <c r="AU423" s="28"/>
      <c r="AV423" s="28"/>
      <c r="AW423" s="313"/>
      <c r="AX423" s="28"/>
      <c r="AY423" s="28"/>
      <c r="AZ423" s="28"/>
      <c r="BA423" s="28"/>
      <c r="BB423" s="313"/>
      <c r="BC423" s="28"/>
      <c r="BD423" s="28"/>
      <c r="BE423" s="28"/>
      <c r="BF423" s="28"/>
      <c r="BG423" s="313"/>
      <c r="BH423" s="28"/>
      <c r="BI423" s="28"/>
      <c r="BJ423" s="28"/>
      <c r="BK423" s="28"/>
      <c r="BL423" s="313"/>
      <c r="BM423" s="28"/>
      <c r="BN423" s="28"/>
      <c r="BO423" s="28"/>
      <c r="BP423" s="28"/>
      <c r="BQ423" s="313"/>
      <c r="BR423" s="28"/>
      <c r="BS423" s="28"/>
      <c r="BT423" s="28"/>
      <c r="BU423" s="28"/>
      <c r="BV423" s="313"/>
      <c r="BW423" s="28"/>
      <c r="BX423" s="28"/>
      <c r="BY423" s="28"/>
      <c r="BZ423" s="28"/>
      <c r="CA423" s="313"/>
      <c r="CB423" s="28"/>
      <c r="CC423" s="28"/>
      <c r="CD423" s="28"/>
      <c r="CE423" s="28"/>
      <c r="CF423" s="313"/>
      <c r="CG423" s="28"/>
      <c r="CH423" s="28"/>
      <c r="CI423" s="28"/>
      <c r="CJ423" s="28"/>
      <c r="CK423" s="313"/>
      <c r="CL423" s="28"/>
      <c r="CM423" s="28"/>
      <c r="CN423" s="28"/>
      <c r="CO423" s="28"/>
      <c r="CP423" s="313"/>
      <c r="CQ423" s="933"/>
      <c r="CR423" s="933"/>
      <c r="CS423" s="933"/>
      <c r="CT423" s="933"/>
      <c r="CU423" s="313"/>
      <c r="CV423" s="933"/>
      <c r="CW423" s="933"/>
      <c r="CX423" s="933"/>
      <c r="CY423" s="933"/>
      <c r="CZ423" s="313"/>
      <c r="DA423" s="933"/>
      <c r="DB423" s="31"/>
      <c r="DC423" s="31"/>
      <c r="DD423" s="955"/>
      <c r="DE423" s="477"/>
      <c r="DF423" s="982"/>
      <c r="DG423" s="603"/>
      <c r="DH423" s="603"/>
      <c r="DI423" s="1798"/>
      <c r="DJ423" s="477"/>
      <c r="DK423" s="982"/>
      <c r="DL423" s="603"/>
      <c r="DM423" s="603"/>
      <c r="DN423" s="1798"/>
      <c r="DO423" s="477"/>
      <c r="DP423" s="603"/>
      <c r="DQ423" s="603"/>
      <c r="DR423" s="603"/>
      <c r="DS423" s="1798"/>
      <c r="DT423" s="477"/>
      <c r="DU423" s="603"/>
      <c r="DV423" s="603"/>
      <c r="DW423" s="603"/>
      <c r="DX423" s="1798"/>
      <c r="DY423" s="477"/>
      <c r="DZ423" s="603"/>
      <c r="EA423" s="603"/>
      <c r="EB423" s="603"/>
      <c r="EC423" s="1798"/>
      <c r="ED423" s="477"/>
      <c r="EE423" s="603"/>
      <c r="EF423" s="603"/>
      <c r="EG423" s="603"/>
      <c r="EH423" s="1798"/>
      <c r="EI423" s="477"/>
      <c r="EJ423" s="477"/>
      <c r="EK423" s="477"/>
      <c r="EL423" s="477"/>
      <c r="EM423" s="477"/>
      <c r="EN423" s="477"/>
      <c r="EO423" s="1798"/>
      <c r="EP423" s="477"/>
      <c r="EQ423" s="477"/>
      <c r="ER423" s="477"/>
      <c r="ES423" s="477"/>
      <c r="ET423" s="477"/>
      <c r="EU423" s="477"/>
      <c r="EV423" s="477"/>
      <c r="EW423" s="477"/>
      <c r="EX423" s="477"/>
    </row>
    <row r="424" spans="2:154" ht="12.75" hidden="1" customHeight="1" outlineLevel="1">
      <c r="B424" s="439" t="s">
        <v>117</v>
      </c>
      <c r="C424" s="1989"/>
      <c r="D424" s="28"/>
      <c r="E424" s="28"/>
      <c r="F424" s="28"/>
      <c r="G424" s="28"/>
      <c r="H424" s="28"/>
      <c r="I424" s="31"/>
      <c r="J424" s="28"/>
      <c r="K424" s="28"/>
      <c r="L424" s="28"/>
      <c r="M424" s="28"/>
      <c r="N424" s="31"/>
      <c r="O424" s="31"/>
      <c r="P424" s="31"/>
      <c r="Q424" s="31"/>
      <c r="R424" s="31"/>
      <c r="S424" s="31"/>
      <c r="T424" s="31"/>
      <c r="U424" s="31"/>
      <c r="V424" s="31"/>
      <c r="W424" s="31"/>
      <c r="X424" s="313"/>
      <c r="Y424" s="31"/>
      <c r="Z424" s="31"/>
      <c r="AA424" s="31"/>
      <c r="AB424" s="31"/>
      <c r="AC424" s="313"/>
      <c r="AD424" s="31"/>
      <c r="AE424" s="31"/>
      <c r="AF424" s="31"/>
      <c r="AG424" s="31"/>
      <c r="AH424" s="313"/>
      <c r="AI424" s="28"/>
      <c r="AJ424" s="28"/>
      <c r="AK424" s="28"/>
      <c r="AL424" s="31"/>
      <c r="AM424" s="313"/>
      <c r="AN424" s="28"/>
      <c r="AO424" s="28"/>
      <c r="AP424" s="28"/>
      <c r="AQ424" s="31"/>
      <c r="AR424" s="313"/>
      <c r="AS424" s="28"/>
      <c r="AT424" s="28"/>
      <c r="AU424" s="28"/>
      <c r="AV424" s="28"/>
      <c r="AW424" s="313"/>
      <c r="AX424" s="28"/>
      <c r="AY424" s="28"/>
      <c r="AZ424" s="28"/>
      <c r="BA424" s="28"/>
      <c r="BB424" s="313"/>
      <c r="BC424" s="28"/>
      <c r="BD424" s="28"/>
      <c r="BE424" s="28"/>
      <c r="BF424" s="28"/>
      <c r="BG424" s="313"/>
      <c r="BH424" s="28"/>
      <c r="BI424" s="28"/>
      <c r="BJ424" s="28"/>
      <c r="BK424" s="28"/>
      <c r="BL424" s="313"/>
      <c r="BM424" s="28"/>
      <c r="BN424" s="28"/>
      <c r="BO424" s="28"/>
      <c r="BP424" s="28"/>
      <c r="BQ424" s="313"/>
      <c r="BR424" s="28"/>
      <c r="BS424" s="28"/>
      <c r="BT424" s="28"/>
      <c r="BU424" s="28"/>
      <c r="BV424" s="313"/>
      <c r="BW424" s="28"/>
      <c r="BX424" s="28"/>
      <c r="BY424" s="28"/>
      <c r="BZ424" s="28"/>
      <c r="CA424" s="313"/>
      <c r="CB424" s="28"/>
      <c r="CC424" s="28"/>
      <c r="CD424" s="28"/>
      <c r="CE424" s="28"/>
      <c r="CF424" s="313"/>
      <c r="CG424" s="28"/>
      <c r="CH424" s="28"/>
      <c r="CI424" s="28"/>
      <c r="CJ424" s="28"/>
      <c r="CK424" s="313"/>
      <c r="CL424" s="28"/>
      <c r="CM424" s="28"/>
      <c r="CN424" s="933"/>
      <c r="CO424" s="28"/>
      <c r="CP424" s="313"/>
      <c r="CQ424" s="933"/>
      <c r="CR424" s="933"/>
      <c r="CS424" s="933"/>
      <c r="CT424" s="933"/>
      <c r="CU424" s="313"/>
      <c r="CV424" s="933"/>
      <c r="CW424" s="933"/>
      <c r="CX424" s="933"/>
      <c r="CY424" s="933"/>
      <c r="CZ424" s="313"/>
      <c r="DA424" s="933"/>
      <c r="DB424" s="31"/>
      <c r="DC424" s="31"/>
      <c r="DD424" s="955"/>
      <c r="DE424" s="477"/>
      <c r="DF424" s="982"/>
      <c r="DG424" s="603"/>
      <c r="DH424" s="603"/>
      <c r="DI424" s="1798"/>
      <c r="DJ424" s="477"/>
      <c r="DK424" s="982"/>
      <c r="DL424" s="603"/>
      <c r="DM424" s="603"/>
      <c r="DN424" s="1798"/>
      <c r="DO424" s="477"/>
      <c r="DP424" s="603"/>
      <c r="DQ424" s="603"/>
      <c r="DR424" s="603"/>
      <c r="DS424" s="1798"/>
      <c r="DT424" s="477"/>
      <c r="DU424" s="603"/>
      <c r="DV424" s="603"/>
      <c r="DW424" s="603"/>
      <c r="DX424" s="1798"/>
      <c r="DY424" s="477"/>
      <c r="DZ424" s="603"/>
      <c r="EA424" s="603"/>
      <c r="EB424" s="603"/>
      <c r="EC424" s="1798"/>
      <c r="ED424" s="477"/>
      <c r="EE424" s="603"/>
      <c r="EF424" s="603"/>
      <c r="EG424" s="603"/>
      <c r="EH424" s="1798"/>
      <c r="EI424" s="477"/>
      <c r="EJ424" s="477"/>
      <c r="EK424" s="477"/>
      <c r="EL424" s="477"/>
      <c r="EM424" s="477"/>
      <c r="EN424" s="477"/>
      <c r="EO424" s="1798"/>
      <c r="EP424" s="477"/>
      <c r="EQ424" s="477"/>
      <c r="ER424" s="477"/>
      <c r="ES424" s="477"/>
      <c r="ET424" s="477"/>
      <c r="EU424" s="477"/>
      <c r="EV424" s="477"/>
      <c r="EW424" s="477"/>
      <c r="EX424" s="477"/>
    </row>
    <row r="425" spans="2:154" ht="12.75" hidden="1" customHeight="1" outlineLevel="1">
      <c r="B425" s="440" t="s">
        <v>187</v>
      </c>
      <c r="C425" s="1989"/>
      <c r="D425" s="28"/>
      <c r="E425" s="28"/>
      <c r="F425" s="28"/>
      <c r="G425" s="28"/>
      <c r="H425" s="28"/>
      <c r="I425" s="31"/>
      <c r="J425" s="28"/>
      <c r="K425" s="28"/>
      <c r="L425" s="28"/>
      <c r="M425" s="28"/>
      <c r="N425" s="31"/>
      <c r="O425" s="31"/>
      <c r="P425" s="31"/>
      <c r="Q425" s="31"/>
      <c r="R425" s="31"/>
      <c r="S425" s="31"/>
      <c r="T425" s="31"/>
      <c r="U425" s="31"/>
      <c r="V425" s="31"/>
      <c r="W425" s="31"/>
      <c r="X425" s="313"/>
      <c r="Y425" s="31"/>
      <c r="Z425" s="31"/>
      <c r="AA425" s="31"/>
      <c r="AB425" s="31"/>
      <c r="AC425" s="313"/>
      <c r="AD425" s="31"/>
      <c r="AE425" s="31"/>
      <c r="AF425" s="31"/>
      <c r="AG425" s="31"/>
      <c r="AH425" s="313"/>
      <c r="AI425" s="28"/>
      <c r="AJ425" s="28"/>
      <c r="AK425" s="28"/>
      <c r="AL425" s="31"/>
      <c r="AM425" s="313"/>
      <c r="AN425" s="28"/>
      <c r="AO425" s="28"/>
      <c r="AP425" s="28"/>
      <c r="AQ425" s="31"/>
      <c r="AR425" s="313"/>
      <c r="AS425" s="28"/>
      <c r="AT425" s="28"/>
      <c r="AU425" s="28"/>
      <c r="AV425" s="28"/>
      <c r="AW425" s="313"/>
      <c r="AX425" s="28"/>
      <c r="AY425" s="28"/>
      <c r="AZ425" s="28"/>
      <c r="BA425" s="28"/>
      <c r="BB425" s="313"/>
      <c r="BC425" s="28"/>
      <c r="BD425" s="28"/>
      <c r="BE425" s="28"/>
      <c r="BF425" s="28"/>
      <c r="BG425" s="308"/>
      <c r="BH425" s="28"/>
      <c r="BI425" s="28"/>
      <c r="BJ425" s="28"/>
      <c r="BK425" s="28"/>
      <c r="BL425" s="314"/>
      <c r="BM425" s="28"/>
      <c r="BN425" s="28"/>
      <c r="BO425" s="28"/>
      <c r="BP425" s="28"/>
      <c r="BQ425" s="308">
        <f>IF(BL420="NM","NM",IF(BQ420="NM","NM",IF(BL420&lt;=0,"NM",IF(BQ420=0,"NM",IF(ABS(BQ420/BL420-1)&gt;2.5,"NM",IF((ABS(BQ420-BL420)=ABS(ABS(BQ420)-ABS(BL420))),(BQ420/BL420-1),"NM"))))))</f>
      </c>
      <c r="BR425" s="28"/>
      <c r="BS425" s="28"/>
      <c r="BT425" s="28"/>
      <c r="BU425" s="28"/>
      <c r="BV425" s="308">
        <f>IF(BQ420="NM","NM",IF(BV420="NM","NM",IF(BQ420&lt;=0,"NM",IF(BV420=0,"NM",IF(ABS(BV420/BQ420-1)&gt;2.5,"NM",IF((ABS(BV420-BQ420)=ABS(ABS(BV420)-ABS(BQ420))),(BV420/BQ420-1),"NM"))))))</f>
      </c>
      <c r="BW425" s="30">
        <f t="shared" ref="BW425:CI426" si="1135">IF(BR420="NM","NM",IF(BW420="NM","NM",IF(BR420&lt;=0,"NM",IF(BW420=0,"NM",IF(ABS(BW420/BR420-1)&gt;2.5,"NM",IF((ABS(BW420-BR420)=ABS(ABS(BW420)-ABS(BR420))),(BW420/BR420-1),"NM"))))))</f>
      </c>
      <c r="BX425" s="30">
        <f t="shared" si="1135"/>
      </c>
      <c r="BY425" s="30">
        <f t="shared" si="1135"/>
      </c>
      <c r="BZ425" s="837">
        <f t="shared" si="1135"/>
      </c>
      <c r="CA425" s="308">
        <f>IF(BV420="NM","NM",IF(CA420="NM","NM",IF(BV420&lt;=0,"NM",IF(CA420=0,"NM",IF(ABS(CA420/BV420-1)&gt;2.5,"NM",IF((ABS(CA420-BV420)=ABS(ABS(CA420)-ABS(BV420))),(CA420/BV420-1),"NM"))))))</f>
      </c>
      <c r="CB425" s="30">
        <f t="shared" si="1135"/>
      </c>
      <c r="CC425" s="30">
        <f t="shared" si="1135"/>
      </c>
      <c r="CD425" s="30">
        <f t="shared" si="1135"/>
      </c>
      <c r="CE425" s="837">
        <f t="shared" si="1135"/>
      </c>
      <c r="CF425" s="308">
        <f>IF(CA420="NM","NM",IF(CF420="NM","NM",IF(CA420&lt;=0,"NM",IF(CF420=0,"NM",IF(ABS(CF420/CA420-1)&gt;2.5,"NM",IF((ABS(CF420-CA420)=ABS(ABS(CF420)-ABS(CA420))),(CF420/CA420-1),"NM"))))))</f>
      </c>
      <c r="CG425" s="30">
        <f t="shared" si="1135"/>
      </c>
      <c r="CH425" s="30" t="str">
        <f t="shared" si="1135"/>
      </c>
      <c r="CI425" s="30" t="str">
        <f t="shared" si="1135"/>
      </c>
      <c r="CJ425" s="30" t="str">
        <f>IF(CE420="NM","NM",IF(CJ420="NM","NM",IF(CE420&lt;=0,"NM",IF(CJ420=0,"NM",IF(ABS(CJ420/CE420-1)&gt;2.5,"NM",IF((ABS(CJ420-CE420)=ABS(ABS(CJ420)-ABS(CE420))),(CJ420/CE420-1),"NM"))))))</f>
      </c>
      <c r="CK425" s="308">
        <f>IF(CF420=0, "NA", CK420/CF420-1)</f>
      </c>
      <c r="CL425" s="30" t="str">
        <f t="shared" ref="CL425:CN426" si="1136">IF(CG420="NM","NM",IF(CL420="NM","NM",IF(CG420&lt;=0,"NM",IF(CL420=0,"NM",IF(ABS(CL420/CG420-1)&gt;2.5,"NM",IF((ABS(CL420-CG420)=ABS(ABS(CL420)-ABS(CG420))),(CL420/CG420-1),"NM"))))))</f>
      </c>
      <c r="CM425" s="30" t="str">
        <f t="shared" si="1136"/>
      </c>
      <c r="CN425" s="30" t="str">
        <f t="shared" si="1136"/>
      </c>
      <c r="CO425" s="30" t="str">
        <f>IF(CJ420="NM","NM",IF(CO420="NM","NM",IF(CJ420&lt;=0,"NM",IF(CO420=0,"NM",IF(ABS(CO420/CJ420-1)&gt;2.5,"NM",IF((ABS(CO420-CJ420)=ABS(ABS(CO420)-ABS(CJ420))),(CO420/CJ420-1),"NM"))))))</f>
      </c>
      <c r="CP425" s="308">
        <f>IF(CK420=0, "NA", CP420/CK420-1)</f>
      </c>
      <c r="CQ425" s="30"/>
      <c r="CR425" s="361"/>
      <c r="CS425" s="361"/>
      <c r="CT425" s="361"/>
      <c r="CU425" s="308"/>
      <c r="CV425" s="30"/>
      <c r="CW425" s="361"/>
      <c r="CX425" s="361"/>
      <c r="CY425" s="361"/>
      <c r="CZ425" s="308"/>
      <c r="DA425" s="30"/>
      <c r="DB425" s="361"/>
      <c r="DC425" s="361"/>
      <c r="DD425" s="835"/>
      <c r="DE425" s="316"/>
      <c r="DF425" s="30"/>
      <c r="DG425" s="361"/>
      <c r="DH425" s="361"/>
      <c r="DI425" s="835"/>
      <c r="DJ425" s="835"/>
      <c r="DK425" s="30"/>
      <c r="DL425" s="361"/>
      <c r="DM425" s="361"/>
      <c r="DN425" s="835"/>
      <c r="DO425" s="835"/>
      <c r="DP425" s="361"/>
      <c r="DQ425" s="361"/>
      <c r="DR425" s="361"/>
      <c r="DS425" s="835"/>
      <c r="DT425" s="835"/>
      <c r="DU425" s="361"/>
      <c r="DV425" s="361"/>
      <c r="DW425" s="361"/>
      <c r="DX425" s="835"/>
      <c r="DY425" s="835"/>
      <c r="DZ425" s="361"/>
      <c r="EA425" s="361"/>
      <c r="EB425" s="361"/>
      <c r="EC425" s="835"/>
      <c r="ED425" s="835"/>
      <c r="EE425" s="361"/>
      <c r="EF425" s="361"/>
      <c r="EG425" s="361"/>
      <c r="EH425" s="835"/>
      <c r="EI425" s="835"/>
      <c r="EJ425" s="835"/>
      <c r="EK425" s="835"/>
      <c r="EL425" s="835"/>
      <c r="EM425" s="835"/>
      <c r="EN425" s="316"/>
      <c r="EO425" s="835"/>
      <c r="EP425" s="835"/>
      <c r="EQ425" s="835"/>
      <c r="ER425" s="835"/>
      <c r="ES425" s="835"/>
      <c r="ET425" s="835"/>
      <c r="EU425" s="835"/>
      <c r="EV425" s="835"/>
      <c r="EW425" s="835"/>
      <c r="EX425" s="835"/>
    </row>
    <row r="426" spans="2:154" ht="12.75" hidden="1" customHeight="1" outlineLevel="1">
      <c r="B426" s="440" t="s">
        <v>412</v>
      </c>
      <c r="C426" s="1989"/>
      <c r="D426" s="28"/>
      <c r="E426" s="28"/>
      <c r="F426" s="28"/>
      <c r="G426" s="28"/>
      <c r="H426" s="28"/>
      <c r="I426" s="31"/>
      <c r="J426" s="28"/>
      <c r="K426" s="28"/>
      <c r="L426" s="28"/>
      <c r="M426" s="28"/>
      <c r="N426" s="31"/>
      <c r="O426" s="31"/>
      <c r="P426" s="31"/>
      <c r="Q426" s="31"/>
      <c r="R426" s="31"/>
      <c r="S426" s="31"/>
      <c r="T426" s="31"/>
      <c r="U426" s="31"/>
      <c r="V426" s="31"/>
      <c r="W426" s="31"/>
      <c r="X426" s="313"/>
      <c r="Y426" s="31"/>
      <c r="Z426" s="31"/>
      <c r="AA426" s="31"/>
      <c r="AB426" s="31"/>
      <c r="AC426" s="313"/>
      <c r="AD426" s="31"/>
      <c r="AE426" s="31"/>
      <c r="AF426" s="31"/>
      <c r="AG426" s="31"/>
      <c r="AH426" s="313"/>
      <c r="AI426" s="28"/>
      <c r="AJ426" s="28"/>
      <c r="AK426" s="28"/>
      <c r="AL426" s="31"/>
      <c r="AM426" s="313"/>
      <c r="AN426" s="28"/>
      <c r="AO426" s="28"/>
      <c r="AP426" s="28"/>
      <c r="AQ426" s="31"/>
      <c r="AR426" s="313"/>
      <c r="AS426" s="28"/>
      <c r="AT426" s="28"/>
      <c r="AU426" s="28"/>
      <c r="AV426" s="28"/>
      <c r="AW426" s="313"/>
      <c r="AX426" s="28"/>
      <c r="AY426" s="28"/>
      <c r="AZ426" s="28"/>
      <c r="BA426" s="28"/>
      <c r="BB426" s="313"/>
      <c r="BC426" s="28"/>
      <c r="BD426" s="28"/>
      <c r="BE426" s="28"/>
      <c r="BF426" s="28"/>
      <c r="BG426" s="308"/>
      <c r="BH426" s="28"/>
      <c r="BI426" s="28"/>
      <c r="BJ426" s="28"/>
      <c r="BK426" s="28"/>
      <c r="BL426" s="308"/>
      <c r="BM426" s="28"/>
      <c r="BN426" s="28"/>
      <c r="BO426" s="28"/>
      <c r="BP426" s="28"/>
      <c r="BQ426" s="308" t="str">
        <f>IF(BL421="NM","NM",IF(BQ421="NM","NM",IF(BL421&lt;=0,"NM",IF(BQ421=0,"NM",IF(ABS(BQ421/BL421-1)&gt;2.5,"NM",IF((ABS(BQ421-BL421)=ABS(ABS(BQ421)-ABS(BL421))),(BQ421/BL421-1),"NM"))))))</f>
      </c>
      <c r="BR426" s="28"/>
      <c r="BS426" s="28"/>
      <c r="BT426" s="28"/>
      <c r="BU426" s="28"/>
      <c r="BV426" s="308" t="str">
        <f>IF(BQ421="NM","NM",IF(BV421="NM","NM",IF(BQ421&lt;=0,"NM",IF(BV421=0,"NM",IF(ABS(BV421/BQ421-1)&gt;2.5,"NM",IF((ABS(BV421-BQ421)=ABS(ABS(BV421)-ABS(BQ421))),(BV421/BQ421-1),"NM"))))))</f>
      </c>
      <c r="BW426" s="30" t="str">
        <f t="shared" si="1135"/>
      </c>
      <c r="BX426" s="30" t="str">
        <f t="shared" si="1135"/>
      </c>
      <c r="BY426" s="30" t="str">
        <f t="shared" si="1135"/>
      </c>
      <c r="BZ426" s="444" t="str">
        <f t="shared" si="1135"/>
      </c>
      <c r="CA426" s="308" t="str">
        <f t="shared" si="1135"/>
      </c>
      <c r="CB426" s="30" t="str">
        <f t="shared" si="1135"/>
      </c>
      <c r="CC426" s="30" t="str">
        <f t="shared" si="1135"/>
      </c>
      <c r="CD426" s="30" t="str">
        <f t="shared" si="1135"/>
      </c>
      <c r="CE426" s="444" t="str">
        <f t="shared" si="1135"/>
      </c>
      <c r="CF426" s="308" t="str">
        <f t="shared" si="1135"/>
      </c>
      <c r="CG426" s="30" t="str">
        <f t="shared" si="1135"/>
      </c>
      <c r="CH426" s="30" t="str">
        <f t="shared" si="1135"/>
      </c>
      <c r="CI426" s="30" t="str">
        <f t="shared" si="1135"/>
      </c>
      <c r="CJ426" s="30" t="str">
        <f>IF(CE421="NM","NM",IF(CJ421="NM","NM",IF(CE421&lt;=0,"NM",IF(CJ421=0,"NM",IF(ABS(CJ421/CE421-1)&gt;2.5,"NM",IF((ABS(CJ421-CE421)=ABS(ABS(CJ421)-ABS(CE421))),(CJ421/CE421-1),"NM"))))))</f>
      </c>
      <c r="CK426" s="308">
        <f>IF(CF421=0,0, CK421/CF421-1)</f>
      </c>
      <c r="CL426" s="30" t="str">
        <f t="shared" si="1136"/>
      </c>
      <c r="CM426" s="30" t="str">
        <f t="shared" si="1136"/>
      </c>
      <c r="CN426" s="30" t="str">
        <f t="shared" si="1136"/>
      </c>
      <c r="CO426" s="30" t="str">
        <f>IF(CJ421="NM","NM",IF(CO421="NM","NM",IF(CJ421&lt;=0,"NM",IF(CO421=0,"NM",IF(ABS(CO421/CJ421-1)&gt;2.5,"NM",IF((ABS(CO421-CJ421)=ABS(ABS(CO421)-ABS(CJ421))),(CO421/CJ421-1),"NM"))))))</f>
      </c>
      <c r="CP426" s="308">
        <f>IF(CK421=0,0, CP421/CK421-1)</f>
      </c>
      <c r="CQ426" s="30"/>
      <c r="CR426" s="352"/>
      <c r="CS426" s="352"/>
      <c r="CT426" s="352"/>
      <c r="CU426" s="308"/>
      <c r="CV426" s="30"/>
      <c r="CW426" s="352"/>
      <c r="CX426" s="352"/>
      <c r="CY426" s="352"/>
      <c r="CZ426" s="308"/>
      <c r="DA426" s="30"/>
      <c r="DB426" s="959"/>
      <c r="DC426" s="959"/>
      <c r="DD426" s="960"/>
      <c r="DE426" s="308"/>
      <c r="DF426" s="30"/>
      <c r="DG426" s="926"/>
      <c r="DH426" s="926"/>
      <c r="DI426" s="928"/>
      <c r="DJ426" s="308"/>
      <c r="DK426" s="30"/>
      <c r="DL426" s="926"/>
      <c r="DM426" s="926"/>
      <c r="DN426" s="928"/>
      <c r="DO426" s="308"/>
      <c r="DP426" s="926"/>
      <c r="DQ426" s="926"/>
      <c r="DR426" s="926"/>
      <c r="DS426" s="928"/>
      <c r="DT426" s="308"/>
      <c r="DU426" s="926"/>
      <c r="DV426" s="926"/>
      <c r="DW426" s="926"/>
      <c r="DX426" s="928"/>
      <c r="DY426" s="308"/>
      <c r="DZ426" s="926"/>
      <c r="EA426" s="926"/>
      <c r="EB426" s="926"/>
      <c r="EC426" s="928"/>
      <c r="ED426" s="1060"/>
      <c r="EE426" s="926"/>
      <c r="EF426" s="926"/>
      <c r="EG426" s="926"/>
      <c r="EH426" s="928"/>
      <c r="EI426" s="308"/>
      <c r="EJ426" s="308"/>
      <c r="EK426" s="308"/>
      <c r="EL426" s="308"/>
      <c r="EM426" s="308"/>
      <c r="EN426" s="308"/>
      <c r="EO426" s="409"/>
      <c r="EP426" s="308"/>
      <c r="EQ426" s="308"/>
      <c r="ER426" s="308"/>
      <c r="ES426" s="308"/>
      <c r="ET426" s="308"/>
      <c r="EU426" s="308"/>
      <c r="EV426" s="308"/>
      <c r="EW426" s="308"/>
      <c r="EX426" s="308"/>
    </row>
    <row r="427" spans="2:154" ht="12.75" hidden="1" customHeight="1" outlineLevel="1">
      <c r="B427" s="440" t="s">
        <v>256</v>
      </c>
      <c r="C427" s="1989"/>
      <c r="D427" s="28"/>
      <c r="E427" s="28"/>
      <c r="F427" s="28"/>
      <c r="G427" s="28"/>
      <c r="H427" s="28"/>
      <c r="I427" s="31"/>
      <c r="J427" s="28"/>
      <c r="K427" s="28"/>
      <c r="L427" s="28"/>
      <c r="M427" s="28"/>
      <c r="N427" s="31"/>
      <c r="O427" s="31"/>
      <c r="P427" s="31"/>
      <c r="Q427" s="31"/>
      <c r="R427" s="31"/>
      <c r="S427" s="31"/>
      <c r="T427" s="31"/>
      <c r="U427" s="31"/>
      <c r="V427" s="31"/>
      <c r="W427" s="31"/>
      <c r="X427" s="313"/>
      <c r="Y427" s="31"/>
      <c r="Z427" s="31"/>
      <c r="AA427" s="31"/>
      <c r="AB427" s="31"/>
      <c r="AC427" s="313"/>
      <c r="AD427" s="31"/>
      <c r="AE427" s="31"/>
      <c r="AF427" s="31"/>
      <c r="AG427" s="31"/>
      <c r="AH427" s="313"/>
      <c r="AI427" s="28"/>
      <c r="AJ427" s="28"/>
      <c r="AK427" s="28"/>
      <c r="AL427" s="31"/>
      <c r="AM427" s="313"/>
      <c r="AN427" s="28"/>
      <c r="AO427" s="28"/>
      <c r="AP427" s="28"/>
      <c r="AQ427" s="31"/>
      <c r="AR427" s="313"/>
      <c r="AS427" s="28"/>
      <c r="AT427" s="28"/>
      <c r="AU427" s="28"/>
      <c r="AV427" s="28"/>
      <c r="AW427" s="313"/>
      <c r="AX427" s="28"/>
      <c r="AY427" s="28"/>
      <c r="AZ427" s="28"/>
      <c r="BA427" s="28"/>
      <c r="BB427" s="313"/>
      <c r="BC427" s="28"/>
      <c r="BD427" s="28"/>
      <c r="BE427" s="28"/>
      <c r="BF427" s="28"/>
      <c r="BG427" s="214"/>
      <c r="BH427" s="28"/>
      <c r="BI427" s="28"/>
      <c r="BJ427" s="28"/>
      <c r="BK427" s="28"/>
      <c r="BL427" s="214"/>
      <c r="BM427" s="28"/>
      <c r="BN427" s="28"/>
      <c r="BO427" s="28"/>
      <c r="BP427" s="28"/>
      <c r="BQ427" s="308" t="str">
        <f>IF(ISNUMBER(BQ426),(1+BQ426)/(1+BQ$21)-1,"NM")</f>
      </c>
      <c r="BR427" s="28"/>
      <c r="BS427" s="28"/>
      <c r="BT427" s="28"/>
      <c r="BU427" s="28"/>
      <c r="BV427" s="308" t="str">
        <f t="shared" ref="BV427:CA427" si="1137">IF(ISNUMBER(BV426),(1+BV426)/(1+BV$21)-1,"NM")</f>
      </c>
      <c r="BW427" s="30" t="str">
        <f t="shared" si="1137"/>
      </c>
      <c r="BX427" s="30" t="str">
        <f t="shared" si="1137"/>
      </c>
      <c r="BY427" s="30" t="str">
        <f t="shared" si="1137"/>
      </c>
      <c r="BZ427" s="444" t="str">
        <f t="shared" si="1137"/>
      </c>
      <c r="CA427" s="308" t="str">
        <f t="shared" si="1137"/>
      </c>
      <c r="CB427" s="30" t="str">
        <f t="shared" ref="CB427:CG427" si="1138">IF(ISNUMBER(CB426),(1+CB426)/(1+CB$21)-1,"NM")</f>
      </c>
      <c r="CC427" s="30" t="str">
        <f t="shared" si="1138"/>
      </c>
      <c r="CD427" s="30" t="str">
        <f t="shared" si="1138"/>
      </c>
      <c r="CE427" s="444" t="str">
        <f t="shared" si="1138"/>
      </c>
      <c r="CF427" s="308" t="str">
        <f t="shared" si="1138"/>
      </c>
      <c r="CG427" s="30" t="str">
        <f t="shared" si="1138"/>
      </c>
      <c r="CH427" s="30" t="str">
        <f>IF(ISNUMBER(CH426),(1+CH426)/(1+CH$21)-1,"NM")</f>
      </c>
      <c r="CI427" s="30" t="str">
        <f>IF(ISNUMBER(CI426),(1+CI426)/(1+CI$21)-1,"NM")</f>
      </c>
      <c r="CJ427" s="30" t="str">
        <f>IF(ISNUMBER(CJ426),(1+CJ426)/(1+CJ$21)-1,"NM")</f>
      </c>
      <c r="CK427" s="308"/>
      <c r="CL427" s="30" t="str">
        <f>IF(ISNUMBER(CL426),(1+CL426)/(1+CL$21)-1,"NM")</f>
      </c>
      <c r="CM427" s="30" t="str">
        <f>IF(ISNUMBER(CM426),(1+CM426)/(1+CM$21)-1,"NM")</f>
      </c>
      <c r="CN427" s="30" t="str">
        <f>IF(ISNUMBER(CN426),(1+CN426)/(1+CN$21)-1,"NM")</f>
      </c>
      <c r="CO427" s="30" t="str">
        <f>IF(ISNUMBER(CO426),(1+CO426)/(1+CO$21)-1,"NM")</f>
      </c>
      <c r="CP427" s="214"/>
      <c r="CQ427" s="30"/>
      <c r="CR427" s="352"/>
      <c r="CS427" s="352"/>
      <c r="CT427" s="352"/>
      <c r="CU427" s="214"/>
      <c r="CV427" s="30"/>
      <c r="CW427" s="352"/>
      <c r="CX427" s="352"/>
      <c r="CY427" s="352"/>
      <c r="CZ427" s="214"/>
      <c r="DA427" s="30"/>
      <c r="DB427" s="361"/>
      <c r="DC427" s="361"/>
      <c r="DD427" s="835"/>
      <c r="DE427" s="1628"/>
      <c r="DF427" s="30"/>
      <c r="DG427" s="361"/>
      <c r="DH427" s="361"/>
      <c r="DI427" s="835"/>
      <c r="DJ427" s="1628"/>
      <c r="DK427" s="30"/>
      <c r="DL427" s="361"/>
      <c r="DM427" s="361"/>
      <c r="DN427" s="835"/>
      <c r="DO427" s="1628"/>
      <c r="DP427" s="361"/>
      <c r="DQ427" s="361"/>
      <c r="DR427" s="361"/>
      <c r="DS427" s="835"/>
      <c r="DT427" s="1628"/>
      <c r="DU427" s="361"/>
      <c r="DV427" s="361"/>
      <c r="DW427" s="361"/>
      <c r="DX427" s="835"/>
      <c r="DY427" s="1628"/>
      <c r="DZ427" s="361"/>
      <c r="EA427" s="361"/>
      <c r="EB427" s="361"/>
      <c r="EC427" s="835"/>
      <c r="ED427" s="2734"/>
      <c r="EE427" s="361"/>
      <c r="EF427" s="361"/>
      <c r="EG427" s="361"/>
      <c r="EH427" s="835"/>
      <c r="EI427" s="1628"/>
      <c r="EJ427" s="1628"/>
      <c r="EK427" s="1628"/>
      <c r="EL427" s="1628"/>
      <c r="EM427" s="1628"/>
      <c r="EN427" s="1628"/>
      <c r="EO427" s="1629"/>
      <c r="EP427" s="1628"/>
      <c r="EQ427" s="1628"/>
      <c r="ER427" s="1628"/>
      <c r="ES427" s="1628"/>
      <c r="ET427" s="1628"/>
      <c r="EU427" s="1628"/>
      <c r="EV427" s="1628"/>
      <c r="EW427" s="1628"/>
      <c r="EX427" s="1628"/>
    </row>
    <row r="428" spans="2:154" ht="12.75" hidden="1" customHeight="1" outlineLevel="1">
      <c r="B428" s="440" t="s">
        <v>413</v>
      </c>
      <c r="C428" s="1989"/>
      <c r="D428" s="28"/>
      <c r="E428" s="28"/>
      <c r="F428" s="28"/>
      <c r="G428" s="28"/>
      <c r="H428" s="28"/>
      <c r="I428" s="31"/>
      <c r="J428" s="28"/>
      <c r="K428" s="28"/>
      <c r="L428" s="28"/>
      <c r="M428" s="28"/>
      <c r="N428" s="31"/>
      <c r="O428" s="31"/>
      <c r="P428" s="31"/>
      <c r="Q428" s="31"/>
      <c r="R428" s="31"/>
      <c r="S428" s="31"/>
      <c r="T428" s="31"/>
      <c r="U428" s="31"/>
      <c r="V428" s="31"/>
      <c r="W428" s="31"/>
      <c r="X428" s="313"/>
      <c r="Y428" s="31"/>
      <c r="Z428" s="31"/>
      <c r="AA428" s="31"/>
      <c r="AB428" s="31"/>
      <c r="AC428" s="313"/>
      <c r="AD428" s="31"/>
      <c r="AE428" s="31"/>
      <c r="AF428" s="31"/>
      <c r="AG428" s="31"/>
      <c r="AH428" s="313"/>
      <c r="AI428" s="28"/>
      <c r="AJ428" s="28"/>
      <c r="AK428" s="28"/>
      <c r="AL428" s="31"/>
      <c r="AM428" s="313"/>
      <c r="AN428" s="28"/>
      <c r="AO428" s="28"/>
      <c r="AP428" s="28"/>
      <c r="AQ428" s="31"/>
      <c r="AR428" s="313"/>
      <c r="AS428" s="28"/>
      <c r="AT428" s="28"/>
      <c r="AU428" s="28"/>
      <c r="AV428" s="28"/>
      <c r="AW428" s="313"/>
      <c r="AX428" s="28"/>
      <c r="AY428" s="28"/>
      <c r="AZ428" s="28"/>
      <c r="BA428" s="28"/>
      <c r="BB428" s="313"/>
      <c r="BC428" s="28"/>
      <c r="BD428" s="28"/>
      <c r="BE428" s="28"/>
      <c r="BF428" s="28"/>
      <c r="BG428" s="308"/>
      <c r="BH428" s="28"/>
      <c r="BI428" s="28"/>
      <c r="BJ428" s="28"/>
      <c r="BK428" s="28"/>
      <c r="BL428" s="308"/>
      <c r="BM428" s="28"/>
      <c r="BN428" s="28"/>
      <c r="BO428" s="28"/>
      <c r="BP428" s="28"/>
      <c r="BQ428" s="308">
        <f>IF(BL422="NM","NM",IF(BQ422="NM","NM",IF(BL422&lt;=0,"NM",IF(BQ422=0,"NM",IF(ABS(BQ422/BL422-1)&gt;2.5,"NM",IF((ABS(BQ422-BL422)=ABS(ABS(BQ422)-ABS(BL422))),(BQ422/BL422-1),"NM"))))))</f>
      </c>
      <c r="BR428" s="28"/>
      <c r="BS428" s="28"/>
      <c r="BT428" s="28"/>
      <c r="BU428" s="28"/>
      <c r="BV428" s="308">
        <f t="shared" ref="BV428:CA428" si="1139">IF(BQ422="NM","NM",IF(BV422="NM","NM",IF(BQ422&lt;=0,"NM",IF(BV422=0,"NM",IF(ABS(BV422/BQ422-1)&gt;2.5,"NM",IF((ABS(BV422-BQ422)=ABS(ABS(BV422)-ABS(BQ422))),(BV422/BQ422-1),"NM"))))))</f>
      </c>
      <c r="BW428" s="30">
        <f t="shared" si="1139"/>
      </c>
      <c r="BX428" s="30">
        <f t="shared" si="1139"/>
      </c>
      <c r="BY428" s="30">
        <f t="shared" si="1139"/>
      </c>
      <c r="BZ428" s="28">
        <f t="shared" si="1139"/>
      </c>
      <c r="CA428" s="308">
        <f t="shared" si="1139"/>
      </c>
      <c r="CB428" s="30">
        <f t="shared" ref="CB428:CI428" si="1140">IF(BW422="NM","NM",IF(CB422="NM","NM",IF(BW422&lt;=0,"NM",IF(CB422=0,"NM",IF(ABS(CB422/BW422-1)&gt;2.5,"NM",IF((ABS(CB422-BW422)=ABS(ABS(CB422)-ABS(BW422))),(CB422/BW422-1),"NM"))))))</f>
      </c>
      <c r="CC428" s="30">
        <f t="shared" si="1140"/>
      </c>
      <c r="CD428" s="30">
        <f t="shared" si="1140"/>
      </c>
      <c r="CE428" s="28">
        <f>IF(BZ422="NM","NM",IF(CE422="NM","NM",IF(BZ422&lt;=0,"NM",IF(CE422=0,"NM",IF(ABS(CE422/BZ422-1)&gt;2.5,"NM",IF((ABS(CE422-BZ422)=ABS(ABS(CE422)-ABS(BZ422))),(CE422/BZ422-1),"NM"))))))</f>
      </c>
      <c r="CF428" s="308">
        <f>IF(CA422="NM","NM",IF(CF422="NM","NM",IF(CA422&lt;=0,"NM",IF(CF422=0,"NM",IF(ABS(CF422/CA422-1)&gt;2.5,"NM",IF((ABS(CF422-CA422)=ABS(ABS(CF422)-ABS(CA422))),(CF422/CA422-1),"NM"))))))</f>
      </c>
      <c r="CG428" s="30">
        <f t="shared" si="1140"/>
      </c>
      <c r="CH428" s="30" t="str">
        <f t="shared" si="1140"/>
      </c>
      <c r="CI428" s="30" t="str">
        <f t="shared" si="1140"/>
      </c>
      <c r="CJ428" s="30" t="str">
        <f>IF(CE422="NM","NM",IF(CJ422="NM","NM",IF(CE422&lt;=0,"NM",IF(CJ422=0,"NM",IF(ABS(CJ422/CE422-1)&gt;2.5,"NM",IF((ABS(CJ422-CE422)=ABS(ABS(CJ422)-ABS(CE422))),(CJ422/CE422-1),"NM"))))))</f>
      </c>
      <c r="CK428" s="308">
        <f>IF(CK422&lt;=0,0,(CK422/CF422-1))</f>
      </c>
      <c r="CL428" s="30" t="str">
        <f>IF(CG422="NM","NM",IF(CL422="NM","NM",IF(CG422&lt;=0,"NM",IF(CL422=0,"NM",IF(ABS(CL422/CG422-1)&gt;2.5,"NM",IF((ABS(CL422-CG422)=ABS(ABS(CL422)-ABS(CG422))),(CL422/CG422-1),"NM"))))))</f>
      </c>
      <c r="CM428" s="30" t="str">
        <f>IF(CH422="NM","NM",IF(CM422="NM","NM",IF(CH422&lt;=0,"NM",IF(CM422=0,"NM",IF(ABS(CM422/CH422-1)&gt;2.5,"NM",IF((ABS(CM422-CH422)=ABS(ABS(CM422)-ABS(CH422))),(CM422/CH422-1),"NM"))))))</f>
      </c>
      <c r="CN428" s="30" t="str">
        <f>IF(CI422="NM","NM",IF(CN422="NM","NM",IF(CI422&lt;=0,"NM",IF(CN422=0,"NM",IF(ABS(CN422/CI422-1)&gt;2.5,"NM",IF((ABS(CN422-CI422)=ABS(ABS(CN422)-ABS(CI422))),(CN422/CI422-1),"NM"))))))</f>
      </c>
      <c r="CO428" s="30" t="str">
        <f>IF(CJ422="NM","NM",IF(CO422="NM","NM",IF(CJ422&lt;=0,"NM",IF(CO422=0,"NM",IF(ABS(CO422/CJ422-1)&gt;2.5,"NM",IF((ABS(CO422-CJ422)=ABS(ABS(CO422)-ABS(CJ422))),(CO422/CJ422-1),"NM"))))))</f>
      </c>
      <c r="CP428" s="308">
        <f>IF(CK422=0, "NA", CP422/CK422-1)</f>
      </c>
      <c r="CQ428" s="30"/>
      <c r="CR428" s="926"/>
      <c r="CS428" s="926"/>
      <c r="CT428" s="926"/>
      <c r="CU428" s="308"/>
      <c r="CV428" s="30"/>
      <c r="CW428" s="926"/>
      <c r="CX428" s="926"/>
      <c r="CY428" s="926"/>
      <c r="CZ428" s="308"/>
      <c r="DA428" s="30"/>
      <c r="DB428" s="926"/>
      <c r="DC428" s="926"/>
      <c r="DD428" s="928"/>
      <c r="DE428" s="308"/>
      <c r="DF428" s="30"/>
      <c r="DG428" s="926"/>
      <c r="DH428" s="926"/>
      <c r="DI428" s="928"/>
      <c r="DJ428" s="308"/>
      <c r="DK428" s="30"/>
      <c r="DL428" s="926"/>
      <c r="DM428" s="926"/>
      <c r="DN428" s="928"/>
      <c r="DO428" s="308"/>
      <c r="DP428" s="926"/>
      <c r="DQ428" s="926"/>
      <c r="DR428" s="926"/>
      <c r="DS428" s="928"/>
      <c r="DT428" s="308"/>
      <c r="DU428" s="926"/>
      <c r="DV428" s="926"/>
      <c r="DW428" s="926"/>
      <c r="DX428" s="928"/>
      <c r="DY428" s="308"/>
      <c r="DZ428" s="926"/>
      <c r="EA428" s="926"/>
      <c r="EB428" s="926"/>
      <c r="EC428" s="928"/>
      <c r="ED428" s="1060"/>
      <c r="EE428" s="926"/>
      <c r="EF428" s="926"/>
      <c r="EG428" s="926"/>
      <c r="EH428" s="928"/>
      <c r="EI428" s="308"/>
      <c r="EJ428" s="308"/>
      <c r="EK428" s="308"/>
      <c r="EL428" s="308"/>
      <c r="EM428" s="308"/>
      <c r="EN428" s="308"/>
      <c r="EO428" s="409"/>
      <c r="EP428" s="308"/>
      <c r="EQ428" s="308"/>
      <c r="ER428" s="308"/>
      <c r="ES428" s="308"/>
      <c r="ET428" s="308"/>
      <c r="EU428" s="308"/>
      <c r="EV428" s="308"/>
      <c r="EW428" s="308"/>
      <c r="EX428" s="308"/>
    </row>
    <row r="429" spans="2:154" ht="12.75" hidden="1" customHeight="1" outlineLevel="1" collapsed="1">
      <c r="B429" s="339"/>
      <c r="C429" s="1989"/>
      <c r="D429" s="28"/>
      <c r="E429" s="28"/>
      <c r="F429" s="28"/>
      <c r="G429" s="28"/>
      <c r="H429" s="28"/>
      <c r="I429" s="31"/>
      <c r="J429" s="28"/>
      <c r="K429" s="28"/>
      <c r="L429" s="28"/>
      <c r="M429" s="28"/>
      <c r="N429" s="31"/>
      <c r="O429" s="31"/>
      <c r="P429" s="31"/>
      <c r="Q429" s="31"/>
      <c r="R429" s="31"/>
      <c r="S429" s="31"/>
      <c r="T429" s="31"/>
      <c r="U429" s="31"/>
      <c r="V429" s="31"/>
      <c r="W429" s="31"/>
      <c r="X429" s="313"/>
      <c r="Y429" s="31"/>
      <c r="Z429" s="31"/>
      <c r="AA429" s="31"/>
      <c r="AB429" s="31"/>
      <c r="AC429" s="313"/>
      <c r="AD429" s="31"/>
      <c r="AE429" s="31"/>
      <c r="AF429" s="31"/>
      <c r="AG429" s="31"/>
      <c r="AH429" s="313"/>
      <c r="AI429" s="28"/>
      <c r="AJ429" s="28"/>
      <c r="AK429" s="28"/>
      <c r="AL429" s="31"/>
      <c r="AM429" s="313"/>
      <c r="AN429" s="28"/>
      <c r="AO429" s="28"/>
      <c r="AP429" s="28"/>
      <c r="AQ429" s="31"/>
      <c r="AR429" s="313"/>
      <c r="AS429" s="28"/>
      <c r="AT429" s="28"/>
      <c r="AU429" s="28"/>
      <c r="AV429" s="28"/>
      <c r="AW429" s="313"/>
      <c r="AX429" s="28"/>
      <c r="AY429" s="28"/>
      <c r="AZ429" s="28"/>
      <c r="BA429" s="28"/>
      <c r="BB429" s="313"/>
      <c r="BC429" s="28"/>
      <c r="BD429" s="28"/>
      <c r="BE429" s="28"/>
      <c r="BF429" s="28"/>
      <c r="BG429" s="308"/>
      <c r="BH429" s="28"/>
      <c r="BI429" s="28"/>
      <c r="BJ429" s="28"/>
      <c r="BK429" s="28"/>
      <c r="BL429" s="308"/>
      <c r="BM429" s="28"/>
      <c r="BN429" s="28"/>
      <c r="BO429" s="28"/>
      <c r="BP429" s="28"/>
      <c r="BQ429" s="308"/>
      <c r="BR429" s="28"/>
      <c r="BS429" s="28"/>
      <c r="BT429" s="28"/>
      <c r="BU429" s="28"/>
      <c r="BV429" s="308"/>
      <c r="BW429" s="28"/>
      <c r="BX429" s="28"/>
      <c r="BY429" s="28"/>
      <c r="BZ429" s="28"/>
      <c r="CA429" s="308"/>
      <c r="CB429" s="28"/>
      <c r="CC429" s="28"/>
      <c r="CD429" s="28"/>
      <c r="CE429" s="28"/>
      <c r="CF429" s="308"/>
      <c r="CG429" s="28"/>
      <c r="CH429" s="28"/>
      <c r="CI429" s="28"/>
      <c r="CJ429" s="28"/>
      <c r="CK429" s="308"/>
      <c r="CL429" s="961"/>
      <c r="CM429" s="28"/>
      <c r="CN429" s="28"/>
      <c r="CO429" s="28"/>
      <c r="CP429" s="308"/>
      <c r="CQ429" s="933"/>
      <c r="CR429" s="933"/>
      <c r="CS429" s="933"/>
      <c r="CT429" s="933"/>
      <c r="CU429" s="308"/>
      <c r="CV429" s="933"/>
      <c r="CW429" s="933"/>
      <c r="CX429" s="933"/>
      <c r="CY429" s="933"/>
      <c r="CZ429" s="308"/>
      <c r="DA429" s="933"/>
      <c r="DB429" s="30"/>
      <c r="DC429" s="30"/>
      <c r="DD429" s="409"/>
      <c r="DE429" s="308"/>
      <c r="DF429" s="982"/>
      <c r="DG429" s="30"/>
      <c r="DH429" s="30"/>
      <c r="DI429" s="409"/>
      <c r="DJ429" s="308"/>
      <c r="DK429" s="982"/>
      <c r="DL429" s="30"/>
      <c r="DM429" s="30"/>
      <c r="DN429" s="409"/>
      <c r="DO429" s="308"/>
      <c r="DP429" s="30"/>
      <c r="DQ429" s="30"/>
      <c r="DR429" s="30"/>
      <c r="DS429" s="409"/>
      <c r="DT429" s="308"/>
      <c r="DU429" s="926"/>
      <c r="DV429" s="926"/>
      <c r="DW429" s="926"/>
      <c r="DX429" s="928"/>
      <c r="DY429" s="308"/>
      <c r="DZ429" s="926"/>
      <c r="EA429" s="926"/>
      <c r="EB429" s="926"/>
      <c r="EC429" s="928"/>
      <c r="ED429" s="1060"/>
      <c r="EE429" s="926"/>
      <c r="EF429" s="926"/>
      <c r="EG429" s="926"/>
      <c r="EH429" s="928"/>
      <c r="EI429" s="308"/>
      <c r="EJ429" s="308"/>
      <c r="EK429" s="308"/>
      <c r="EL429" s="308"/>
      <c r="EM429" s="308"/>
      <c r="EN429" s="308"/>
      <c r="EO429" s="409"/>
      <c r="EP429" s="308"/>
      <c r="EQ429" s="308"/>
      <c r="ER429" s="308"/>
      <c r="ES429" s="308"/>
      <c r="ET429" s="308"/>
      <c r="EU429" s="308"/>
      <c r="EV429" s="308"/>
      <c r="EW429" s="308"/>
      <c r="EX429" s="308"/>
    </row>
    <row r="430" spans="2:154" ht="12.75" hidden="1" customHeight="1" outlineLevel="1">
      <c r="B430" s="436" t="s">
        <v>516</v>
      </c>
      <c r="C430" s="1989"/>
      <c r="D430" s="28"/>
      <c r="E430" s="28"/>
      <c r="F430" s="28"/>
      <c r="G430" s="28"/>
      <c r="H430" s="28"/>
      <c r="I430" s="31"/>
      <c r="J430" s="28"/>
      <c r="K430" s="28"/>
      <c r="L430" s="28"/>
      <c r="M430" s="28"/>
      <c r="N430" s="31"/>
      <c r="O430" s="31"/>
      <c r="P430" s="31"/>
      <c r="Q430" s="31"/>
      <c r="R430" s="31"/>
      <c r="S430" s="31"/>
      <c r="T430" s="31"/>
      <c r="U430" s="31"/>
      <c r="V430" s="31"/>
      <c r="W430" s="31"/>
      <c r="X430" s="313"/>
      <c r="Y430" s="31"/>
      <c r="Z430" s="31"/>
      <c r="AA430" s="31"/>
      <c r="AB430" s="31"/>
      <c r="AC430" s="313"/>
      <c r="AD430" s="31"/>
      <c r="AE430" s="31"/>
      <c r="AF430" s="31"/>
      <c r="AG430" s="31"/>
      <c r="AH430" s="313"/>
      <c r="AI430" s="28"/>
      <c r="AJ430" s="32"/>
      <c r="AK430" s="28"/>
      <c r="AL430" s="31"/>
      <c r="AM430" s="313"/>
      <c r="AN430" s="28"/>
      <c r="AO430" s="28"/>
      <c r="AP430" s="28"/>
      <c r="AQ430" s="31"/>
      <c r="AR430" s="313"/>
      <c r="AS430" s="28"/>
      <c r="AT430" s="28"/>
      <c r="AU430" s="28"/>
      <c r="AV430" s="28"/>
      <c r="AW430" s="313"/>
      <c r="AX430" s="28"/>
      <c r="AY430" s="28"/>
      <c r="AZ430" s="28"/>
      <c r="BA430" s="28"/>
      <c r="BB430" s="313"/>
      <c r="BC430" s="28"/>
      <c r="BD430" s="28"/>
      <c r="BE430" s="28"/>
      <c r="BF430" s="28"/>
      <c r="BG430" s="313"/>
      <c r="BH430" s="28"/>
      <c r="BI430" s="28"/>
      <c r="BJ430" s="28"/>
      <c r="BK430" s="28"/>
      <c r="BL430" s="313"/>
      <c r="BM430" s="28"/>
      <c r="BN430" s="28"/>
      <c r="BO430" s="28"/>
      <c r="BP430" s="28"/>
      <c r="BQ430" s="313"/>
      <c r="BR430" s="28"/>
      <c r="BS430" s="28"/>
      <c r="BT430" s="28"/>
      <c r="BU430" s="28"/>
      <c r="BV430" s="313"/>
      <c r="BW430" s="28"/>
      <c r="BX430" s="28"/>
      <c r="BY430" s="28"/>
      <c r="BZ430" s="28"/>
      <c r="CA430" s="313"/>
      <c r="CB430" s="28"/>
      <c r="CC430" s="28"/>
      <c r="CD430" s="28"/>
      <c r="CE430" s="28"/>
      <c r="CF430" s="313"/>
      <c r="CG430" s="28"/>
      <c r="CH430" s="28"/>
      <c r="CI430" s="28"/>
      <c r="CJ430" s="28"/>
      <c r="CK430" s="313"/>
      <c r="CL430" s="961"/>
      <c r="CM430" s="28"/>
      <c r="CN430" s="28"/>
      <c r="CO430" s="28"/>
      <c r="CP430" s="313"/>
      <c r="CQ430" s="933"/>
      <c r="CR430" s="933"/>
      <c r="CS430" s="933"/>
      <c r="CT430" s="933"/>
      <c r="CU430" s="313"/>
      <c r="CV430" s="933"/>
      <c r="CW430" s="933"/>
      <c r="CX430" s="933"/>
      <c r="CY430" s="933"/>
      <c r="CZ430" s="313"/>
      <c r="DA430" s="933"/>
      <c r="DB430" s="31"/>
      <c r="DC430" s="31"/>
      <c r="DD430" s="955"/>
      <c r="DE430" s="477"/>
      <c r="DF430" s="982"/>
      <c r="DG430" s="603"/>
      <c r="DH430" s="603"/>
      <c r="DI430" s="1798"/>
      <c r="DJ430" s="477"/>
      <c r="DK430" s="982"/>
      <c r="DL430" s="603"/>
      <c r="DM430" s="603"/>
      <c r="DN430" s="1798"/>
      <c r="DO430" s="477"/>
      <c r="DP430" s="603"/>
      <c r="DQ430" s="603"/>
      <c r="DR430" s="603"/>
      <c r="DS430" s="1798"/>
      <c r="DT430" s="477"/>
      <c r="DU430" s="603"/>
      <c r="DV430" s="603"/>
      <c r="DW430" s="603"/>
      <c r="DX430" s="1798"/>
      <c r="DY430" s="477"/>
      <c r="DZ430" s="603"/>
      <c r="EA430" s="603"/>
      <c r="EB430" s="603"/>
      <c r="EC430" s="1798"/>
      <c r="ED430" s="477"/>
      <c r="EE430" s="603"/>
      <c r="EF430" s="603"/>
      <c r="EG430" s="603"/>
      <c r="EH430" s="1798"/>
      <c r="EI430" s="477"/>
      <c r="EJ430" s="477"/>
      <c r="EK430" s="477"/>
      <c r="EL430" s="477"/>
      <c r="EM430" s="477"/>
      <c r="EN430" s="477"/>
      <c r="EO430" s="1798"/>
      <c r="EP430" s="477"/>
      <c r="EQ430" s="477"/>
      <c r="ER430" s="477"/>
      <c r="ES430" s="477"/>
      <c r="ET430" s="477"/>
      <c r="EU430" s="477"/>
      <c r="EV430" s="477"/>
      <c r="EW430" s="477"/>
      <c r="EX430" s="477"/>
    </row>
    <row r="431" spans="2:154" ht="12.75" hidden="1" customHeight="1" outlineLevel="1">
      <c r="B431" s="437" t="s">
        <v>187</v>
      </c>
      <c r="C431" s="1989"/>
      <c r="D431" s="31"/>
      <c r="E431" s="33"/>
      <c r="F431" s="33"/>
      <c r="G431" s="33"/>
      <c r="H431" s="33"/>
      <c r="I431" s="31"/>
      <c r="J431" s="33"/>
      <c r="K431" s="33"/>
      <c r="L431" s="33"/>
      <c r="M431" s="33"/>
      <c r="N431" s="31"/>
      <c r="O431" s="33"/>
      <c r="P431" s="33"/>
      <c r="Q431" s="33"/>
      <c r="R431" s="33"/>
      <c r="S431" s="31"/>
      <c r="T431" s="33"/>
      <c r="U431" s="33"/>
      <c r="V431" s="33"/>
      <c r="W431" s="33"/>
      <c r="X431" s="313"/>
      <c r="Y431" s="33"/>
      <c r="Z431" s="33"/>
      <c r="AA431" s="33"/>
      <c r="AB431" s="33"/>
      <c r="AC431" s="313"/>
      <c r="AD431" s="33"/>
      <c r="AE431" s="33"/>
      <c r="AF431" s="33"/>
      <c r="AG431" s="33"/>
      <c r="AH431" s="313"/>
      <c r="AI431" s="33"/>
      <c r="AJ431" s="33"/>
      <c r="AK431" s="33"/>
      <c r="AL431" s="33"/>
      <c r="AM431" s="313"/>
      <c r="AN431" s="33"/>
      <c r="AO431" s="33"/>
      <c r="AP431" s="33"/>
      <c r="AQ431" s="33"/>
      <c r="AR431" s="313"/>
      <c r="AS431" s="33"/>
      <c r="AT431" s="33"/>
      <c r="AU431" s="33"/>
      <c r="AV431" s="33"/>
      <c r="AW431" s="313"/>
      <c r="AX431" s="33">
        <v>0</v>
      </c>
      <c r="AY431" s="33">
        <v>0</v>
      </c>
      <c r="AZ431" s="33">
        <v>0</v>
      </c>
      <c r="BA431" s="33">
        <v>0</v>
      </c>
      <c r="BB431" s="313">
        <f>SUM(AX431:BA431)</f>
      </c>
      <c r="BC431" s="33">
        <v>0</v>
      </c>
      <c r="BD431" s="33">
        <v>0</v>
      </c>
      <c r="BE431" s="33">
        <v>0</v>
      </c>
      <c r="BF431" s="33">
        <v>0</v>
      </c>
      <c r="BG431" s="313">
        <f>SUM(BC431:BF431)</f>
      </c>
      <c r="BH431" s="33">
        <v>0</v>
      </c>
      <c r="BI431" s="33">
        <v>0</v>
      </c>
      <c r="BJ431" s="33">
        <v>0</v>
      </c>
      <c r="BK431" s="33">
        <v>0</v>
      </c>
      <c r="BL431" s="313">
        <f>SUM(BH431:BK431)</f>
      </c>
      <c r="BM431" s="33">
        <v>0</v>
      </c>
      <c r="BN431" s="33">
        <v>0</v>
      </c>
      <c r="BO431" s="33">
        <v>0</v>
      </c>
      <c r="BP431" s="352">
        <v>0</v>
      </c>
      <c r="BQ431" s="313">
        <f>SUM(BM431:BP431)</f>
      </c>
      <c r="BR431" s="761">
        <v>0</v>
      </c>
      <c r="BS431" s="761">
        <v>0</v>
      </c>
      <c r="BT431" s="761">
        <v>0</v>
      </c>
      <c r="BU431" s="761">
        <v>0</v>
      </c>
      <c r="BV431" s="313">
        <f>SUM(BR431:BU431)</f>
      </c>
      <c r="BW431" s="761">
        <v>0</v>
      </c>
      <c r="BX431" s="761">
        <v>0</v>
      </c>
      <c r="BY431" s="761">
        <v>0</v>
      </c>
      <c r="BZ431" s="761">
        <v>0</v>
      </c>
      <c r="CA431" s="313">
        <f>SUM(BW431:BZ431)</f>
      </c>
      <c r="CB431" s="761">
        <v>0</v>
      </c>
      <c r="CC431" s="761">
        <v>0</v>
      </c>
      <c r="CD431" s="761">
        <v>0</v>
      </c>
      <c r="CE431" s="761">
        <v>0</v>
      </c>
      <c r="CF431" s="312">
        <f>SUM(CB431:CE431)</f>
      </c>
      <c r="CG431" s="761">
        <v>0</v>
      </c>
      <c r="CH431" s="761">
        <v>0</v>
      </c>
      <c r="CI431" s="761">
        <v>0</v>
      </c>
      <c r="CJ431" s="761">
        <v>0</v>
      </c>
      <c r="CK431" s="312">
        <f>SUM(CG431:CJ431)</f>
      </c>
      <c r="CL431" s="761">
        <v>0</v>
      </c>
      <c r="CM431" s="761">
        <v>0</v>
      </c>
      <c r="CN431" s="761">
        <v>0</v>
      </c>
      <c r="CO431" s="761">
        <v>0</v>
      </c>
      <c r="CP431" s="312">
        <f>SUM(CL431:CO431)</f>
      </c>
      <c r="CQ431" s="352"/>
      <c r="CR431" s="352"/>
      <c r="CS431" s="352"/>
      <c r="CT431" s="352"/>
      <c r="CU431" s="312"/>
      <c r="CV431" s="352"/>
      <c r="CW431" s="352"/>
      <c r="CX431" s="352"/>
      <c r="CY431" s="352"/>
      <c r="CZ431" s="312"/>
      <c r="DA431" s="352"/>
      <c r="DB431" s="31"/>
      <c r="DC431" s="31"/>
      <c r="DD431" s="955"/>
      <c r="DE431" s="1821"/>
      <c r="DF431" s="1801"/>
      <c r="DG431" s="603"/>
      <c r="DH431" s="603"/>
      <c r="DI431" s="1798"/>
      <c r="DJ431" s="1821"/>
      <c r="DK431" s="1801"/>
      <c r="DL431" s="603"/>
      <c r="DM431" s="603"/>
      <c r="DN431" s="1798"/>
      <c r="DO431" s="1821"/>
      <c r="DP431" s="603"/>
      <c r="DQ431" s="603"/>
      <c r="DR431" s="603"/>
      <c r="DS431" s="1798"/>
      <c r="DT431" s="1821"/>
      <c r="DU431" s="603"/>
      <c r="DV431" s="603"/>
      <c r="DW431" s="603"/>
      <c r="DX431" s="1798"/>
      <c r="DY431" s="1821"/>
      <c r="DZ431" s="603"/>
      <c r="EA431" s="603"/>
      <c r="EB431" s="603"/>
      <c r="EC431" s="1798"/>
      <c r="ED431" s="1821"/>
      <c r="EE431" s="603"/>
      <c r="EF431" s="603"/>
      <c r="EG431" s="603"/>
      <c r="EH431" s="1798"/>
      <c r="EI431" s="1821"/>
      <c r="EJ431" s="1821"/>
      <c r="EK431" s="1821"/>
      <c r="EL431" s="1821"/>
      <c r="EM431" s="1821"/>
      <c r="EN431" s="1821"/>
      <c r="EO431" s="1758"/>
      <c r="EP431" s="1821"/>
      <c r="EQ431" s="1821"/>
      <c r="ER431" s="1821"/>
      <c r="ES431" s="1821"/>
      <c r="ET431" s="1821"/>
      <c r="EU431" s="1821"/>
      <c r="EV431" s="1821"/>
      <c r="EW431" s="1821"/>
      <c r="EX431" s="1821"/>
    </row>
    <row r="432" spans="2:154" ht="12.75" hidden="1" customHeight="1" outlineLevel="1">
      <c r="B432" s="437" t="s">
        <v>412</v>
      </c>
      <c r="C432" s="1989">
        <v>2020</v>
      </c>
      <c r="D432" s="31"/>
      <c r="E432" s="33"/>
      <c r="F432" s="33"/>
      <c r="G432" s="33"/>
      <c r="H432" s="33"/>
      <c r="I432" s="31"/>
      <c r="J432" s="33"/>
      <c r="K432" s="33"/>
      <c r="L432" s="33"/>
      <c r="M432" s="33"/>
      <c r="N432" s="31"/>
      <c r="O432" s="33"/>
      <c r="P432" s="33"/>
      <c r="Q432" s="33"/>
      <c r="R432" s="33"/>
      <c r="S432" s="31"/>
      <c r="T432" s="33"/>
      <c r="U432" s="33"/>
      <c r="V432" s="33"/>
      <c r="W432" s="33"/>
      <c r="X432" s="313"/>
      <c r="Y432" s="33"/>
      <c r="Z432" s="33"/>
      <c r="AA432" s="33"/>
      <c r="AB432" s="33"/>
      <c r="AC432" s="313"/>
      <c r="AD432" s="33"/>
      <c r="AE432" s="33"/>
      <c r="AF432" s="33"/>
      <c r="AG432" s="33"/>
      <c r="AH432" s="313"/>
      <c r="AI432" s="33"/>
      <c r="AJ432" s="33"/>
      <c r="AK432" s="33"/>
      <c r="AL432" s="33"/>
      <c r="AM432" s="313"/>
      <c r="AN432" s="33"/>
      <c r="AO432" s="33"/>
      <c r="AP432" s="33"/>
      <c r="AQ432" s="33"/>
      <c r="AR432" s="313"/>
      <c r="AS432" s="33"/>
      <c r="AT432" s="33"/>
      <c r="AU432" s="33"/>
      <c r="AV432" s="33"/>
      <c r="AW432" s="313"/>
      <c r="AX432" s="33">
        <v>0</v>
      </c>
      <c r="AY432" s="33">
        <v>0</v>
      </c>
      <c r="AZ432" s="33">
        <v>0</v>
      </c>
      <c r="BA432" s="33">
        <v>0</v>
      </c>
      <c r="BB432" s="313">
        <f>SUM(AX432:BA432)</f>
      </c>
      <c r="BC432" s="33">
        <v>3</v>
      </c>
      <c r="BD432" s="33">
        <v>7</v>
      </c>
      <c r="BE432" s="33">
        <v>12</v>
      </c>
      <c r="BF432" s="33">
        <v>17</v>
      </c>
      <c r="BG432" s="313">
        <f>SUM(BC432:BF432)</f>
      </c>
      <c r="BH432" s="33">
        <v>18</v>
      </c>
      <c r="BI432" s="33">
        <v>20</v>
      </c>
      <c r="BJ432" s="33">
        <v>23</v>
      </c>
      <c r="BK432" s="33">
        <v>26.064451422830032</v>
      </c>
      <c r="BL432" s="313">
        <f>SUM(BH432:BK432)</f>
      </c>
      <c r="BM432" s="33">
        <v>28</v>
      </c>
      <c r="BN432" s="33">
        <v>32</v>
      </c>
      <c r="BO432" s="33">
        <v>35</v>
      </c>
      <c r="BP432" s="352">
        <v>37.530682244618845</v>
      </c>
      <c r="BQ432" s="313">
        <f>SUM(BM432:BP432)</f>
      </c>
      <c r="BR432" s="761">
        <v>38.415999999999997</v>
      </c>
      <c r="BS432" s="761">
        <v>38.4</v>
      </c>
      <c r="BT432" s="761">
        <v>24.3</v>
      </c>
      <c r="BU432" s="761">
        <v>12.248651340102867</v>
      </c>
      <c r="BV432" s="313">
        <f>SUM(BR432:BU432)</f>
      </c>
      <c r="BW432" s="761">
        <v>11.598976779985383</v>
      </c>
      <c r="BX432" s="761">
        <v>11</v>
      </c>
      <c r="BY432" s="761">
        <v>9</v>
      </c>
      <c r="BZ432" s="761">
        <v>9</v>
      </c>
      <c r="CA432" s="313">
        <f>SUM(BW432:BZ432)</f>
      </c>
      <c r="CB432" s="761">
        <v>10</v>
      </c>
      <c r="CC432" s="761">
        <v>9.8000000000000007</v>
      </c>
      <c r="CD432" s="761">
        <v>8</v>
      </c>
      <c r="CE432" s="761">
        <v>7</v>
      </c>
      <c r="CF432" s="313">
        <f>SUM(CB432:CE432)</f>
      </c>
      <c r="CG432" s="761">
        <v>8</v>
      </c>
      <c r="CH432" s="761">
        <v>7.6</v>
      </c>
      <c r="CI432" s="761">
        <v>6</v>
      </c>
      <c r="CJ432" s="761">
        <v>5.5395954404145078</v>
      </c>
      <c r="CK432" s="313">
        <f>SUM(CG432:CJ432)</f>
      </c>
      <c r="CL432" s="761">
        <v>8</v>
      </c>
      <c r="CM432" s="761">
        <v>7</v>
      </c>
      <c r="CN432" s="761">
        <v>6</v>
      </c>
      <c r="CO432" s="761">
        <v>5</v>
      </c>
      <c r="CP432" s="313">
        <f>SUM(CL432:CO432)</f>
      </c>
      <c r="CQ432" s="352"/>
      <c r="CR432" s="352"/>
      <c r="CS432" s="933"/>
      <c r="CT432" s="933"/>
      <c r="CU432" s="313"/>
      <c r="CV432" s="352"/>
      <c r="CW432" s="933"/>
      <c r="CX432" s="933"/>
      <c r="CY432" s="933"/>
      <c r="CZ432" s="313"/>
      <c r="DA432" s="352"/>
      <c r="DB432" s="31"/>
      <c r="DC432" s="31"/>
      <c r="DD432" s="955"/>
      <c r="DE432" s="477"/>
      <c r="DF432" s="1801"/>
      <c r="DG432" s="603"/>
      <c r="DH432" s="603"/>
      <c r="DI432" s="1798"/>
      <c r="DJ432" s="477"/>
      <c r="DK432" s="1801"/>
      <c r="DL432" s="603"/>
      <c r="DM432" s="603"/>
      <c r="DN432" s="1798"/>
      <c r="DO432" s="477"/>
      <c r="DP432" s="603"/>
      <c r="DQ432" s="603"/>
      <c r="DR432" s="603"/>
      <c r="DS432" s="1798"/>
      <c r="DT432" s="477"/>
      <c r="DU432" s="603"/>
      <c r="DV432" s="603"/>
      <c r="DW432" s="603"/>
      <c r="DX432" s="1798"/>
      <c r="DY432" s="477"/>
      <c r="DZ432" s="603"/>
      <c r="EA432" s="603"/>
      <c r="EB432" s="603"/>
      <c r="EC432" s="1798"/>
      <c r="ED432" s="477"/>
      <c r="EE432" s="603"/>
      <c r="EF432" s="603"/>
      <c r="EG432" s="603"/>
      <c r="EH432" s="1798"/>
      <c r="EI432" s="477"/>
      <c r="EJ432" s="477"/>
      <c r="EK432" s="477"/>
      <c r="EL432" s="477"/>
      <c r="EM432" s="477"/>
      <c r="EN432" s="477"/>
      <c r="EO432" s="1798"/>
      <c r="EP432" s="477"/>
      <c r="EQ432" s="477"/>
      <c r="ER432" s="477"/>
      <c r="ES432" s="477"/>
      <c r="ET432" s="477"/>
      <c r="EU432" s="477"/>
      <c r="EV432" s="477"/>
      <c r="EW432" s="477"/>
      <c r="EX432" s="477"/>
    </row>
    <row r="433" spans="2:154" ht="12.75" hidden="1" customHeight="1" outlineLevel="1">
      <c r="B433" s="437" t="s">
        <v>413</v>
      </c>
      <c r="C433" s="1989"/>
      <c r="D433" s="28"/>
      <c r="E433" s="28"/>
      <c r="F433" s="28"/>
      <c r="G433" s="28"/>
      <c r="H433" s="28"/>
      <c r="I433" s="31"/>
      <c r="J433" s="28"/>
      <c r="K433" s="28"/>
      <c r="L433" s="28"/>
      <c r="M433" s="28"/>
      <c r="N433" s="31"/>
      <c r="O433" s="31"/>
      <c r="P433" s="31"/>
      <c r="Q433" s="31"/>
      <c r="R433" s="31"/>
      <c r="S433" s="31"/>
      <c r="T433" s="31"/>
      <c r="U433" s="31"/>
      <c r="V433" s="31"/>
      <c r="W433" s="31"/>
      <c r="X433" s="313"/>
      <c r="Y433" s="31"/>
      <c r="Z433" s="31"/>
      <c r="AA433" s="31"/>
      <c r="AB433" s="31"/>
      <c r="AC433" s="313"/>
      <c r="AD433" s="31"/>
      <c r="AE433" s="31"/>
      <c r="AF433" s="31"/>
      <c r="AG433" s="31"/>
      <c r="AH433" s="313"/>
      <c r="AI433" s="28"/>
      <c r="AJ433" s="28"/>
      <c r="AK433" s="28"/>
      <c r="AL433" s="31"/>
      <c r="AM433" s="313"/>
      <c r="AN433" s="28"/>
      <c r="AO433" s="28"/>
      <c r="AP433" s="28"/>
      <c r="AQ433" s="31"/>
      <c r="AR433" s="313"/>
      <c r="AS433" s="28"/>
      <c r="AT433" s="28"/>
      <c r="AU433" s="28"/>
      <c r="AV433" s="31"/>
      <c r="AW433" s="313"/>
      <c r="AX433" s="28">
        <f>AX431+AX432</f>
      </c>
      <c r="AY433" s="28">
        <f>AY431+AY432</f>
      </c>
      <c r="AZ433" s="28">
        <f>AZ431+AZ432</f>
      </c>
      <c r="BA433" s="28">
        <f>BA431+BA432</f>
      </c>
      <c r="BB433" s="313">
        <f>+BB431+BB432</f>
      </c>
      <c r="BC433" s="28">
        <f t="shared" ref="BC433:BJ433" si="1141">BC431+BC432</f>
      </c>
      <c r="BD433" s="28">
        <f t="shared" si="1141"/>
      </c>
      <c r="BE433" s="28">
        <f t="shared" si="1141"/>
      </c>
      <c r="BF433" s="28">
        <f t="shared" si="1141"/>
      </c>
      <c r="BG433" s="313">
        <f t="shared" si="1141"/>
      </c>
      <c r="BH433" s="28">
        <f t="shared" si="1141"/>
      </c>
      <c r="BI433" s="28">
        <f t="shared" si="1141"/>
      </c>
      <c r="BJ433" s="28">
        <f t="shared" si="1141"/>
      </c>
      <c r="BK433" s="28">
        <f>+BK431+BK432</f>
      </c>
      <c r="BL433" s="313">
        <f>+BL431+BL432</f>
      </c>
      <c r="BM433" s="28">
        <f>BM431+BM432</f>
      </c>
      <c r="BN433" s="28">
        <f>BN431+BN432</f>
      </c>
      <c r="BO433" s="28">
        <f>BO431+BO432</f>
      </c>
      <c r="BP433" s="28">
        <f>+BP431+BP432</f>
      </c>
      <c r="BQ433" s="313">
        <f>+BQ431+BQ432</f>
      </c>
      <c r="BR433" s="28">
        <f>BR431+BR432</f>
      </c>
      <c r="BS433" s="28">
        <f>BS431+BS432</f>
      </c>
      <c r="BT433" s="28">
        <f>BT431+BT432</f>
      </c>
      <c r="BU433" s="28">
        <f>+BU431+BU432</f>
      </c>
      <c r="BV433" s="313">
        <f>+BV431+BV432</f>
      </c>
      <c r="BW433" s="28">
        <f>BW431+BW432</f>
      </c>
      <c r="BX433" s="28">
        <f>BX431+BX432</f>
      </c>
      <c r="BY433" s="28">
        <f>BY431+BY432</f>
      </c>
      <c r="BZ433" s="28">
        <f>BZ431+BZ432</f>
      </c>
      <c r="CA433" s="313">
        <f>+CA431+CA432</f>
      </c>
      <c r="CB433" s="28">
        <f>CB431+CB432</f>
      </c>
      <c r="CC433" s="28">
        <f>CC431+CC432</f>
      </c>
      <c r="CD433" s="28">
        <f>CD431+CD432</f>
      </c>
      <c r="CE433" s="28">
        <f>CE431+CE432</f>
      </c>
      <c r="CF433" s="313">
        <f>+CF431+CF432</f>
      </c>
      <c r="CG433" s="28">
        <f>CG431+CG432</f>
      </c>
      <c r="CH433" s="28">
        <f>CH431+CH432</f>
      </c>
      <c r="CI433" s="28">
        <f>CI431+CI432</f>
      </c>
      <c r="CJ433" s="28">
        <f>CJ431+CJ432</f>
      </c>
      <c r="CK433" s="313">
        <f>+CK431+CK432</f>
      </c>
      <c r="CL433" s="28">
        <f>CL431+CL432</f>
      </c>
      <c r="CM433" s="28">
        <f>CM431+CM432</f>
      </c>
      <c r="CN433" s="28">
        <f>CN431+CN432</f>
      </c>
      <c r="CO433" s="28">
        <f>CO431+CO432</f>
      </c>
      <c r="CP433" s="313">
        <f>+CP431+CP432</f>
      </c>
      <c r="CQ433" s="933"/>
      <c r="CR433" s="933"/>
      <c r="CS433" s="933"/>
      <c r="CT433" s="933"/>
      <c r="CU433" s="313"/>
      <c r="CV433" s="933"/>
      <c r="CW433" s="933"/>
      <c r="CX433" s="933"/>
      <c r="CY433" s="933"/>
      <c r="CZ433" s="313"/>
      <c r="DA433" s="933"/>
      <c r="DB433" s="31"/>
      <c r="DC433" s="31"/>
      <c r="DD433" s="955"/>
      <c r="DE433" s="477"/>
      <c r="DF433" s="982"/>
      <c r="DG433" s="603"/>
      <c r="DH433" s="603"/>
      <c r="DI433" s="1798"/>
      <c r="DJ433" s="477"/>
      <c r="DK433" s="982"/>
      <c r="DL433" s="603"/>
      <c r="DM433" s="603"/>
      <c r="DN433" s="1798"/>
      <c r="DO433" s="477"/>
      <c r="DP433" s="603"/>
      <c r="DQ433" s="603"/>
      <c r="DR433" s="603"/>
      <c r="DS433" s="1798"/>
      <c r="DT433" s="477"/>
      <c r="DU433" s="603"/>
      <c r="DV433" s="603"/>
      <c r="DW433" s="603"/>
      <c r="DX433" s="1798"/>
      <c r="DY433" s="477"/>
      <c r="DZ433" s="603"/>
      <c r="EA433" s="603"/>
      <c r="EB433" s="603"/>
      <c r="EC433" s="1798"/>
      <c r="ED433" s="477"/>
      <c r="EE433" s="603"/>
      <c r="EF433" s="603"/>
      <c r="EG433" s="603"/>
      <c r="EH433" s="1798"/>
      <c r="EI433" s="477"/>
      <c r="EJ433" s="477"/>
      <c r="EK433" s="477"/>
      <c r="EL433" s="477"/>
      <c r="EM433" s="477"/>
      <c r="EN433" s="477"/>
      <c r="EO433" s="1798"/>
      <c r="EP433" s="477"/>
      <c r="EQ433" s="477"/>
      <c r="ER433" s="477"/>
      <c r="ES433" s="477"/>
      <c r="ET433" s="477"/>
      <c r="EU433" s="477"/>
      <c r="EV433" s="477"/>
      <c r="EW433" s="477"/>
      <c r="EX433" s="477"/>
    </row>
    <row r="434" spans="2:154" ht="12.75" hidden="1" customHeight="1" outlineLevel="1">
      <c r="B434" s="437"/>
      <c r="C434" s="1989"/>
      <c r="D434" s="28"/>
      <c r="E434" s="28"/>
      <c r="F434" s="28"/>
      <c r="G434" s="28"/>
      <c r="H434" s="28"/>
      <c r="I434" s="31"/>
      <c r="J434" s="28"/>
      <c r="K434" s="28"/>
      <c r="L434" s="28"/>
      <c r="M434" s="28"/>
      <c r="N434" s="31"/>
      <c r="O434" s="31"/>
      <c r="P434" s="31"/>
      <c r="Q434" s="31"/>
      <c r="R434" s="31"/>
      <c r="S434" s="31"/>
      <c r="T434" s="31"/>
      <c r="U434" s="31"/>
      <c r="V434" s="31"/>
      <c r="W434" s="31"/>
      <c r="X434" s="313"/>
      <c r="Y434" s="31"/>
      <c r="Z434" s="31"/>
      <c r="AA434" s="31"/>
      <c r="AB434" s="31"/>
      <c r="AC434" s="313"/>
      <c r="AD434" s="31"/>
      <c r="AE434" s="31"/>
      <c r="AF434" s="31"/>
      <c r="AG434" s="31"/>
      <c r="AH434" s="313"/>
      <c r="AI434" s="28"/>
      <c r="AJ434" s="28"/>
      <c r="AK434" s="28"/>
      <c r="AL434" s="31"/>
      <c r="AM434" s="313"/>
      <c r="AN434" s="28"/>
      <c r="AO434" s="28"/>
      <c r="AP434" s="28"/>
      <c r="AQ434" s="31"/>
      <c r="AR434" s="313"/>
      <c r="AS434" s="28"/>
      <c r="AT434" s="28"/>
      <c r="AU434" s="28"/>
      <c r="AV434" s="31"/>
      <c r="AW434" s="313"/>
      <c r="AX434" s="28"/>
      <c r="AY434" s="28"/>
      <c r="AZ434" s="28"/>
      <c r="BA434" s="28"/>
      <c r="BB434" s="313"/>
      <c r="BC434" s="28"/>
      <c r="BD434" s="28"/>
      <c r="BE434" s="28"/>
      <c r="BF434" s="28"/>
      <c r="BG434" s="313"/>
      <c r="BH434" s="28"/>
      <c r="BI434" s="28"/>
      <c r="BJ434" s="28"/>
      <c r="BK434" s="28"/>
      <c r="BL434" s="313"/>
      <c r="BM434" s="28"/>
      <c r="BN434" s="28"/>
      <c r="BO434" s="28"/>
      <c r="BP434" s="28"/>
      <c r="BQ434" s="313"/>
      <c r="BR434" s="28"/>
      <c r="BS434" s="28"/>
      <c r="BT434" s="28"/>
      <c r="BU434" s="28"/>
      <c r="BV434" s="313"/>
      <c r="BW434" s="28"/>
      <c r="BX434" s="28"/>
      <c r="BY434" s="28"/>
      <c r="BZ434" s="28"/>
      <c r="CA434" s="313"/>
      <c r="CB434" s="28"/>
      <c r="CC434" s="28"/>
      <c r="CD434" s="28"/>
      <c r="CE434" s="28"/>
      <c r="CF434" s="313"/>
      <c r="CG434" s="28"/>
      <c r="CH434" s="28"/>
      <c r="CI434" s="28"/>
      <c r="CJ434" s="28"/>
      <c r="CK434" s="313"/>
      <c r="CL434" s="28"/>
      <c r="CM434" s="28"/>
      <c r="CN434" s="28"/>
      <c r="CO434" s="28"/>
      <c r="CP434" s="313"/>
      <c r="CQ434" s="933"/>
      <c r="CR434" s="933"/>
      <c r="CS434" s="933"/>
      <c r="CT434" s="933"/>
      <c r="CU434" s="313"/>
      <c r="CV434" s="933"/>
      <c r="CW434" s="933"/>
      <c r="CX434" s="933"/>
      <c r="CY434" s="933"/>
      <c r="CZ434" s="313"/>
      <c r="DA434" s="933"/>
      <c r="DB434" s="31"/>
      <c r="DC434" s="31"/>
      <c r="DD434" s="955"/>
      <c r="DE434" s="477"/>
      <c r="DF434" s="982"/>
      <c r="DG434" s="603"/>
      <c r="DH434" s="603"/>
      <c r="DI434" s="1798"/>
      <c r="DJ434" s="477"/>
      <c r="DK434" s="982"/>
      <c r="DL434" s="603"/>
      <c r="DM434" s="603"/>
      <c r="DN434" s="1798"/>
      <c r="DO434" s="477"/>
      <c r="DP434" s="603"/>
      <c r="DQ434" s="603"/>
      <c r="DR434" s="603"/>
      <c r="DS434" s="1798"/>
      <c r="DT434" s="477"/>
      <c r="DU434" s="603"/>
      <c r="DV434" s="603"/>
      <c r="DW434" s="603"/>
      <c r="DX434" s="1798"/>
      <c r="DY434" s="477"/>
      <c r="DZ434" s="603"/>
      <c r="EA434" s="603"/>
      <c r="EB434" s="603"/>
      <c r="EC434" s="1798"/>
      <c r="ED434" s="477"/>
      <c r="EE434" s="603"/>
      <c r="EF434" s="603"/>
      <c r="EG434" s="603"/>
      <c r="EH434" s="1798"/>
      <c r="EI434" s="477"/>
      <c r="EJ434" s="477"/>
      <c r="EK434" s="477"/>
      <c r="EL434" s="477"/>
      <c r="EM434" s="477"/>
      <c r="EN434" s="477"/>
      <c r="EO434" s="1798"/>
      <c r="EP434" s="477"/>
      <c r="EQ434" s="477"/>
      <c r="ER434" s="477"/>
      <c r="ES434" s="477"/>
      <c r="ET434" s="477"/>
      <c r="EU434" s="477"/>
      <c r="EV434" s="477"/>
      <c r="EW434" s="477"/>
      <c r="EX434" s="477"/>
    </row>
    <row r="435" spans="2:154" ht="12.75" hidden="1" customHeight="1" outlineLevel="1">
      <c r="B435" s="439" t="s">
        <v>393</v>
      </c>
      <c r="C435" s="1989"/>
      <c r="D435" s="28"/>
      <c r="E435" s="28"/>
      <c r="F435" s="28"/>
      <c r="G435" s="28"/>
      <c r="H435" s="28"/>
      <c r="I435" s="31"/>
      <c r="J435" s="28"/>
      <c r="K435" s="28"/>
      <c r="L435" s="28"/>
      <c r="M435" s="28"/>
      <c r="N435" s="31"/>
      <c r="O435" s="31"/>
      <c r="P435" s="31"/>
      <c r="Q435" s="31"/>
      <c r="R435" s="31"/>
      <c r="S435" s="31"/>
      <c r="T435" s="31"/>
      <c r="U435" s="31"/>
      <c r="V435" s="31"/>
      <c r="W435" s="31"/>
      <c r="X435" s="313"/>
      <c r="Y435" s="31"/>
      <c r="Z435" s="31"/>
      <c r="AA435" s="31"/>
      <c r="AB435" s="31"/>
      <c r="AC435" s="313"/>
      <c r="AD435" s="31"/>
      <c r="AE435" s="31"/>
      <c r="AF435" s="31"/>
      <c r="AG435" s="31"/>
      <c r="AH435" s="313"/>
      <c r="AI435" s="28"/>
      <c r="AJ435" s="28"/>
      <c r="AK435" s="28"/>
      <c r="AL435" s="31"/>
      <c r="AM435" s="313"/>
      <c r="AN435" s="28"/>
      <c r="AO435" s="28"/>
      <c r="AP435" s="28"/>
      <c r="AQ435" s="31"/>
      <c r="AR435" s="313"/>
      <c r="AS435" s="28"/>
      <c r="AT435" s="28"/>
      <c r="AU435" s="28"/>
      <c r="AV435" s="31"/>
      <c r="AW435" s="313"/>
      <c r="AX435" s="28"/>
      <c r="AY435" s="28"/>
      <c r="AZ435" s="28"/>
      <c r="BA435" s="28"/>
      <c r="BB435" s="313"/>
      <c r="BC435" s="28"/>
      <c r="BD435" s="28"/>
      <c r="BE435" s="28"/>
      <c r="BF435" s="28"/>
      <c r="BG435" s="313"/>
      <c r="BH435" s="28"/>
      <c r="BI435" s="28"/>
      <c r="BJ435" s="28"/>
      <c r="BK435" s="28"/>
      <c r="BL435" s="313"/>
      <c r="BM435" s="28"/>
      <c r="BN435" s="28"/>
      <c r="BO435" s="28"/>
      <c r="BP435" s="28"/>
      <c r="BQ435" s="313"/>
      <c r="BR435" s="28"/>
      <c r="BS435" s="28"/>
      <c r="BT435" s="28"/>
      <c r="BU435" s="28"/>
      <c r="BV435" s="313"/>
      <c r="BW435" s="28"/>
      <c r="BX435" s="28"/>
      <c r="BY435" s="28"/>
      <c r="BZ435" s="28"/>
      <c r="CA435" s="313"/>
      <c r="CB435" s="28"/>
      <c r="CC435" s="28"/>
      <c r="CD435" s="28"/>
      <c r="CE435" s="28"/>
      <c r="CF435" s="313"/>
      <c r="CG435" s="28"/>
      <c r="CH435" s="28"/>
      <c r="CI435" s="28"/>
      <c r="CJ435" s="28"/>
      <c r="CK435" s="313"/>
      <c r="CL435" s="28"/>
      <c r="CM435" s="28"/>
      <c r="CN435" s="28"/>
      <c r="CO435" s="28"/>
      <c r="CP435" s="313"/>
      <c r="CQ435" s="933"/>
      <c r="CR435" s="933"/>
      <c r="CS435" s="933"/>
      <c r="CT435" s="933"/>
      <c r="CU435" s="313"/>
      <c r="CV435" s="933"/>
      <c r="CW435" s="933"/>
      <c r="CX435" s="933"/>
      <c r="CY435" s="933"/>
      <c r="CZ435" s="313"/>
      <c r="DA435" s="933"/>
      <c r="DB435" s="31"/>
      <c r="DC435" s="31"/>
      <c r="DD435" s="955"/>
      <c r="DE435" s="477"/>
      <c r="DF435" s="982"/>
      <c r="DG435" s="603"/>
      <c r="DH435" s="603"/>
      <c r="DI435" s="1798"/>
      <c r="DJ435" s="477"/>
      <c r="DK435" s="982"/>
      <c r="DL435" s="603"/>
      <c r="DM435" s="603"/>
      <c r="DN435" s="1798"/>
      <c r="DO435" s="477"/>
      <c r="DP435" s="603"/>
      <c r="DQ435" s="603"/>
      <c r="DR435" s="603"/>
      <c r="DS435" s="1798"/>
      <c r="DT435" s="477"/>
      <c r="DU435" s="603"/>
      <c r="DV435" s="603"/>
      <c r="DW435" s="603"/>
      <c r="DX435" s="1798"/>
      <c r="DY435" s="477"/>
      <c r="DZ435" s="603"/>
      <c r="EA435" s="603"/>
      <c r="EB435" s="603"/>
      <c r="EC435" s="1798"/>
      <c r="ED435" s="477"/>
      <c r="EE435" s="603"/>
      <c r="EF435" s="603"/>
      <c r="EG435" s="603"/>
      <c r="EH435" s="1798"/>
      <c r="EI435" s="477"/>
      <c r="EJ435" s="477"/>
      <c r="EK435" s="477"/>
      <c r="EL435" s="477"/>
      <c r="EM435" s="477"/>
      <c r="EN435" s="477"/>
      <c r="EO435" s="1798"/>
      <c r="EP435" s="477"/>
      <c r="EQ435" s="477"/>
      <c r="ER435" s="477"/>
      <c r="ES435" s="477"/>
      <c r="ET435" s="477"/>
      <c r="EU435" s="477"/>
      <c r="EV435" s="477"/>
      <c r="EW435" s="477"/>
      <c r="EX435" s="477"/>
    </row>
    <row r="436" spans="2:154" ht="12.75" hidden="1" customHeight="1" outlineLevel="1">
      <c r="B436" s="440" t="s">
        <v>187</v>
      </c>
      <c r="C436" s="1989"/>
      <c r="D436" s="28"/>
      <c r="E436" s="28"/>
      <c r="F436" s="28"/>
      <c r="G436" s="28"/>
      <c r="H436" s="28"/>
      <c r="I436" s="31"/>
      <c r="J436" s="28"/>
      <c r="K436" s="28"/>
      <c r="L436" s="28"/>
      <c r="M436" s="28"/>
      <c r="N436" s="31"/>
      <c r="O436" s="31"/>
      <c r="P436" s="31"/>
      <c r="Q436" s="31"/>
      <c r="R436" s="31"/>
      <c r="S436" s="31"/>
      <c r="T436" s="31"/>
      <c r="U436" s="31"/>
      <c r="V436" s="31"/>
      <c r="W436" s="31"/>
      <c r="X436" s="308"/>
      <c r="Y436" s="30"/>
      <c r="Z436" s="30"/>
      <c r="AA436" s="30"/>
      <c r="AB436" s="30"/>
      <c r="AC436" s="308"/>
      <c r="AD436" s="30"/>
      <c r="AE436" s="30"/>
      <c r="AF436" s="30"/>
      <c r="AG436" s="30"/>
      <c r="AH436" s="308"/>
      <c r="AI436" s="30"/>
      <c r="AJ436" s="30"/>
      <c r="AK436" s="30"/>
      <c r="AL436" s="30"/>
      <c r="AM436" s="308"/>
      <c r="AN436" s="30"/>
      <c r="AO436" s="30"/>
      <c r="AP436" s="30"/>
      <c r="AQ436" s="30"/>
      <c r="AR436" s="308"/>
      <c r="AS436" s="30"/>
      <c r="AT436" s="30"/>
      <c r="AU436" s="30"/>
      <c r="AV436" s="30"/>
      <c r="AW436" s="308"/>
      <c r="AX436" s="30"/>
      <c r="AY436" s="30"/>
      <c r="AZ436" s="30"/>
      <c r="BA436" s="30"/>
      <c r="BB436" s="308"/>
      <c r="BC436" s="30"/>
      <c r="BD436" s="30"/>
      <c r="BE436" s="30"/>
      <c r="BF436" s="30"/>
      <c r="BG436" s="308"/>
      <c r="BH436" s="30"/>
      <c r="BI436" s="30"/>
      <c r="BJ436" s="30"/>
      <c r="BK436" s="30"/>
      <c r="BL436" s="308"/>
      <c r="BM436" s="30"/>
      <c r="BN436" s="30"/>
      <c r="BO436" s="30"/>
      <c r="BP436" s="30"/>
      <c r="BQ436" s="308" t="str">
        <f>IF(BL431="NM","NM",IF(BQ431="NM","NM",IF(BL431&lt;=0,"NM",IF(BQ431=0,"NM",IF(ABS(BQ431/BL431-1)&gt;2.5,"NM",IF((ABS(BQ431-BL431)=ABS(ABS(BQ431)-ABS(BL431))),(BQ431/BL431-1),"NM"))))))</f>
      </c>
      <c r="BR436" s="29"/>
      <c r="BS436" s="29"/>
      <c r="BT436" s="29"/>
      <c r="BU436" s="30"/>
      <c r="BV436" s="308" t="str">
        <f>IF(BQ431="NM","NM",IF(BV431="NM","NM",IF(BQ431&lt;=0,"NM",IF(BV431=0,"NM",IF(ABS(BV431/BQ431-1)&gt;2.5,"NM",IF((ABS(BV431-BQ431)=ABS(ABS(BV431)-ABS(BQ431))),(BV431/BQ431-1),"NM"))))))</f>
      </c>
      <c r="BW436" s="30"/>
      <c r="BX436" s="29"/>
      <c r="BY436" s="29"/>
      <c r="BZ436" s="29"/>
      <c r="CA436" s="308"/>
      <c r="CB436" s="872"/>
      <c r="CC436" s="29"/>
      <c r="CD436" s="29"/>
      <c r="CE436" s="834"/>
      <c r="CF436" s="308"/>
      <c r="CG436" s="872"/>
      <c r="CH436" s="872"/>
      <c r="CI436" s="872"/>
      <c r="CJ436" s="872"/>
      <c r="CK436" s="308">
        <f>IF(CF431=0,0, CK431/CF431-1)</f>
      </c>
      <c r="CL436" s="872"/>
      <c r="CM436" s="872"/>
      <c r="CN436" s="28"/>
      <c r="CO436" s="1215"/>
      <c r="CP436" s="308">
        <f>IF(CK431=0,0, CP431/CK431-1)</f>
      </c>
      <c r="CQ436" s="1215"/>
      <c r="CR436" s="1215"/>
      <c r="CS436" s="1215"/>
      <c r="CT436" s="1215"/>
      <c r="CU436" s="308"/>
      <c r="CV436" s="1215"/>
      <c r="CW436" s="1215"/>
      <c r="CX436" s="1215"/>
      <c r="CY436" s="1215"/>
      <c r="CZ436" s="308"/>
      <c r="DA436" s="1215"/>
      <c r="DB436" s="361"/>
      <c r="DC436" s="361"/>
      <c r="DD436" s="835"/>
      <c r="DE436" s="448"/>
      <c r="DF436" s="1849"/>
      <c r="DG436" s="361"/>
      <c r="DH436" s="361"/>
      <c r="DI436" s="835"/>
      <c r="DJ436" s="448"/>
      <c r="DK436" s="1849"/>
      <c r="DL436" s="361"/>
      <c r="DM436" s="361"/>
      <c r="DN436" s="835"/>
      <c r="DO436" s="448"/>
      <c r="DP436" s="361"/>
      <c r="DQ436" s="361"/>
      <c r="DR436" s="361"/>
      <c r="DS436" s="835"/>
      <c r="DT436" s="448"/>
      <c r="DU436" s="361"/>
      <c r="DV436" s="361"/>
      <c r="DW436" s="361"/>
      <c r="DX436" s="835"/>
      <c r="DY436" s="448"/>
      <c r="DZ436" s="361"/>
      <c r="EA436" s="361"/>
      <c r="EB436" s="361"/>
      <c r="EC436" s="835"/>
      <c r="ED436" s="448"/>
      <c r="EE436" s="361"/>
      <c r="EF436" s="361"/>
      <c r="EG436" s="361"/>
      <c r="EH436" s="835"/>
      <c r="EI436" s="448"/>
      <c r="EJ436" s="448"/>
      <c r="EK436" s="448"/>
      <c r="EL436" s="448"/>
      <c r="EM436" s="448"/>
      <c r="EN436" s="448"/>
      <c r="EO436" s="1482"/>
      <c r="EP436" s="448"/>
      <c r="EQ436" s="448"/>
      <c r="ER436" s="448"/>
      <c r="ES436" s="448"/>
      <c r="ET436" s="448"/>
      <c r="EU436" s="448"/>
      <c r="EV436" s="448"/>
      <c r="EW436" s="448"/>
      <c r="EX436" s="448"/>
    </row>
    <row r="437" spans="2:154" ht="12.75" hidden="1" customHeight="1" outlineLevel="1">
      <c r="B437" s="440" t="s">
        <v>412</v>
      </c>
      <c r="C437" s="1989"/>
      <c r="D437" s="28"/>
      <c r="E437" s="28"/>
      <c r="F437" s="28"/>
      <c r="G437" s="28"/>
      <c r="H437" s="28"/>
      <c r="I437" s="31"/>
      <c r="J437" s="28"/>
      <c r="K437" s="28"/>
      <c r="L437" s="28"/>
      <c r="M437" s="28"/>
      <c r="N437" s="31"/>
      <c r="O437" s="31"/>
      <c r="P437" s="31"/>
      <c r="Q437" s="31"/>
      <c r="R437" s="31"/>
      <c r="S437" s="31"/>
      <c r="T437" s="31"/>
      <c r="U437" s="31"/>
      <c r="V437" s="31"/>
      <c r="W437" s="31"/>
      <c r="X437" s="308"/>
      <c r="Y437" s="30"/>
      <c r="Z437" s="30"/>
      <c r="AA437" s="30"/>
      <c r="AB437" s="30"/>
      <c r="AC437" s="308"/>
      <c r="AD437" s="30"/>
      <c r="AE437" s="30"/>
      <c r="AF437" s="30"/>
      <c r="AG437" s="30"/>
      <c r="AH437" s="308"/>
      <c r="AI437" s="30"/>
      <c r="AJ437" s="30"/>
      <c r="AK437" s="30"/>
      <c r="AL437" s="30"/>
      <c r="AM437" s="308"/>
      <c r="AN437" s="30"/>
      <c r="AO437" s="30"/>
      <c r="AP437" s="30"/>
      <c r="AQ437" s="30"/>
      <c r="AR437" s="308"/>
      <c r="AS437" s="30"/>
      <c r="AT437" s="30"/>
      <c r="AU437" s="30"/>
      <c r="AV437" s="30"/>
      <c r="AW437" s="308"/>
      <c r="AX437" s="30"/>
      <c r="AY437" s="30"/>
      <c r="AZ437" s="30"/>
      <c r="BA437" s="30"/>
      <c r="BB437" s="308"/>
      <c r="BC437" s="30"/>
      <c r="BD437" s="30"/>
      <c r="BE437" s="30"/>
      <c r="BF437" s="30"/>
      <c r="BG437" s="308"/>
      <c r="BH437" s="30"/>
      <c r="BI437" s="30"/>
      <c r="BJ437" s="30"/>
      <c r="BK437" s="30"/>
      <c r="BL437" s="308">
        <f>IF(ISNUMBER(BL438),(1+BL438)*(1+BL$21)-1,"NM")</f>
      </c>
      <c r="BM437" s="30">
        <f>IF(BH432="NM","NM",IF(BM432="NM","NM",IF(BH432&lt;=0,"NM",IF(BM432=0,"NM",IF(ABS(BM432/BH432-1)&gt;2.5,"NM",IF((ABS(BM432-BH432)=ABS(ABS(BM432)-ABS(BH432))),(BM432/BH432-1),"NM"))))))</f>
      </c>
      <c r="BN437" s="30">
        <f>IF(BI432="NM","NM",IF(BN432="NM","NM",IF(BI432&lt;=0,"NM",IF(BN432=0,"NM",IF(ABS(BN432/BI432-1)&gt;2.5,"NM",IF((ABS(BN432-BI432)=ABS(ABS(BN432)-ABS(BI432))),(BN432/BI432-1),"NM"))))))</f>
      </c>
      <c r="BO437" s="30">
        <f>IF(BJ432="NM","NM",IF(BO432="NM","NM",IF(BJ432&lt;=0,"NM",IF(BO432=0,"NM",IF(ABS(BO432/BJ432-1)&gt;2.5,"NM",IF((ABS(BO432-BJ432)=ABS(ABS(BO432)-ABS(BJ432))),(BO432/BJ432-1),"NM"))))))</f>
      </c>
      <c r="BP437" s="30">
        <f>IF(BK432="NM","NM",IF(BP432="NM","NM",IF(BK432&lt;=0,"NM",IF(BP432=0,"NM",IF(ABS(BP432/BK432-1)&gt;2.5,"NM",IF((ABS(BP432-BK432)=ABS(ABS(BP432)-ABS(BK432))),(BP432/BK432-1),"NM"))))))</f>
      </c>
      <c r="BQ437" s="315">
        <f>IF(BL432="NM","NM",IF(BQ432="NM","NM",IF(BL432&lt;=0,"NM",IF(BQ432=0,"NM",IF(ABS(BQ432/BL432-1)&gt;2.5,"NM",IF((ABS(BQ432-BL432)=ABS(ABS(BQ432)-ABS(BL432))),(BQ432/BL432-1),"NM"))))))</f>
      </c>
      <c r="BR437" s="30">
        <f>IF(BM432="NM","NM",IF(BR432="NM","NM",IF(BM432&lt;=0,"NM",IF(BR432=0,"NM",IF(ABS(BR432/BM432-1)&gt;2.5,"NM",IF((ABS(BR432-BM432)=ABS(ABS(BR432)-ABS(BM432))),(BR432/BM432-1),"NM"))))))</f>
      </c>
      <c r="BS437" s="30">
        <f>IF(BN432="NM","NM",IF(BS432="NM","NM",IF(BN432&lt;=0,"NM",IF(BS432=0,"NM",IF(ABS(BS432/BN432-1)&gt;2.5,"NM",IF((ABS(BS432-BN432)=ABS(ABS(BS432)-ABS(BN432))),(BS432/BN432-1),"NM"))))))</f>
      </c>
      <c r="BT437" s="30">
        <f>IF(BO432="NM","NM",IF(BT432="NM","NM",IF(BO432&lt;=0,"NM",IF(BT432=0,"NM",IF(ABS(BT432/BO432-1)&gt;2.5,"NM",IF((ABS(BT432-BO432)=ABS(ABS(BT432)-ABS(BO432))),(BT432/BO432-1),"NM"))))))</f>
      </c>
      <c r="BU437" s="30">
        <f>IF(BP432="NM","NM",IF(BU432="NM","NM",IF(BP432&lt;=0,"NM",IF(BU432=0,"NM",IF(ABS(BU432/BP432-1)&gt;2.5,"NM",IF((ABS(BU432-BP432)=ABS(ABS(BU432)-ABS(BP432))),(BU432/BP432-1),"NM"))))))</f>
      </c>
      <c r="BV437" s="315">
        <f>IF(BQ432="NM","NM",IF(BV432="NM","NM",IF(BQ432&lt;=0,"NM",IF(BV432=0,"NM",IF(ABS(BV432/BQ432-1)&gt;2.5,"NM",IF((ABS(BV432-BQ432)=ABS(ABS(BV432)-ABS(BQ432))),(BV432/BQ432-1),"NM"))))))</f>
      </c>
      <c r="BW437" s="30">
        <f t="shared" ref="BW437:CI437" si="1142">IF(BR432="NM","NM",IF(BW432="NM","NM",IF(BR432&lt;=0,"NM",IF(BW432=0,"NM",IF(ABS(BW432/BR432-1)&gt;2.5,"NM",IF((ABS(BW432-BR432)=ABS(ABS(BW432)-ABS(BR432))),(BW432/BR432-1),"NM"))))))</f>
      </c>
      <c r="BX437" s="30">
        <f t="shared" si="1142"/>
      </c>
      <c r="BY437" s="30">
        <f t="shared" si="1142"/>
      </c>
      <c r="BZ437" s="30">
        <f t="shared" si="1142"/>
      </c>
      <c r="CA437" s="315">
        <f>IF(BV432="NM","NM",IF(CA432="NM","NM",IF(BV432&lt;=0,"NM",IF(CA432=0,"NM",IF(ABS(CA432/BV432-1)&gt;2.5,"NM",IF((ABS(CA432-BV432)=ABS(ABS(CA432)-ABS(BV432))),(CA432/BV432-1),"NM"))))))</f>
      </c>
      <c r="CB437" s="30">
        <f t="shared" si="1142"/>
      </c>
      <c r="CC437" s="30">
        <f t="shared" si="1142"/>
      </c>
      <c r="CD437" s="30">
        <f t="shared" si="1142"/>
      </c>
      <c r="CE437" s="30">
        <f t="shared" si="1142"/>
      </c>
      <c r="CF437" s="315">
        <f>IF(CA432="NM","NM",IF(CF432="NM","NM",IF(CA432&lt;=0,"NM",IF(CF432=0,"NM",IF(ABS(CF432/CA432-1)&gt;2.5,"NM",IF((ABS(CF432-CA432)=ABS(ABS(CF432)-ABS(CA432))),(CF432/CA432-1),"NM"))))))</f>
      </c>
      <c r="CG437" s="30">
        <f t="shared" si="1142"/>
      </c>
      <c r="CH437" s="30">
        <f t="shared" si="1142"/>
      </c>
      <c r="CI437" s="30">
        <f t="shared" si="1142"/>
      </c>
      <c r="CJ437" s="30">
        <f>IF(CE432="NM","NM",IF(CJ432="NM","NM",IF(CE432&lt;=0,"NM",IF(CJ432=0,"NM",IF(ABS(CJ432/CE432-1)&gt;2.5,"NM",IF((ABS(CJ432-CE432)=ABS(ABS(CJ432)-ABS(CE432))),(CJ432/CE432-1),"NM"))))))</f>
      </c>
      <c r="CK437" s="308">
        <f>IF(CF432=0,0, CK432/CF432-1)</f>
      </c>
      <c r="CL437" s="30">
        <f>IF(CG432="NM","NM",IF(CL432="NM","NM",IF(CG432&lt;=0,"NM",IF(CL432=0,"NM",IF(ABS(CL432/CG432-1)&gt;2.5,"NM",IF((ABS(CL432-CG432)=ABS(ABS(CL432)-ABS(CG432))),(CL432/CG432-1),"NM"))))))</f>
      </c>
      <c r="CM437" s="30">
        <f>IF(CH432="NM","NM",IF(CM432="NM","NM",IF(CH432&lt;=0,"NM",IF(CM432=0,"NM",IF(ABS(CM432/CH432-1)&gt;2.5,"NM",IF((ABS(CM432-CH432)=ABS(ABS(CM432)-ABS(CH432))),(CM432/CH432-1),"NM"))))))</f>
      </c>
      <c r="CN437" s="30">
        <f>IF(CI432="NM","NM",IF(CN432="NM","NM",IF(CI432&lt;=0,"NM",IF(CN432=0,"NM",IF(ABS(CN432/CI432-1)&gt;2.5,"NM",IF((ABS(CN432-CI432)=ABS(ABS(CN432)-ABS(CI432))),(CN432/CI432-1),"NM"))))))</f>
      </c>
      <c r="CO437" s="30">
        <f>IF(CJ432="NM","NM",IF(CO432="NM","NM",IF(CJ432&lt;=0,"NM",IF(CO432=0,"NM",IF(ABS(CO432/CJ432-1)&gt;2.5,"NM",IF((ABS(CO432-CJ432)=ABS(ABS(CO432)-ABS(CJ432))),(CO432/CJ432-1),"NM"))))))</f>
      </c>
      <c r="CP437" s="308">
        <f>IF(CK432=0,0, CP432/CK432-1)</f>
      </c>
      <c r="CQ437" s="30"/>
      <c r="CR437" s="30"/>
      <c r="CS437" s="926"/>
      <c r="CT437" s="926"/>
      <c r="CU437" s="308"/>
      <c r="CV437" s="30"/>
      <c r="CW437" s="926"/>
      <c r="CX437" s="926"/>
      <c r="CY437" s="926"/>
      <c r="CZ437" s="308"/>
      <c r="DA437" s="30"/>
      <c r="DB437" s="959"/>
      <c r="DC437" s="959"/>
      <c r="DD437" s="960"/>
      <c r="DE437" s="308"/>
      <c r="DF437" s="30"/>
      <c r="DG437" s="926"/>
      <c r="DH437" s="926"/>
      <c r="DI437" s="928"/>
      <c r="DJ437" s="308"/>
      <c r="DK437" s="30"/>
      <c r="DL437" s="926"/>
      <c r="DM437" s="926"/>
      <c r="DN437" s="928"/>
      <c r="DO437" s="308"/>
      <c r="DP437" s="926"/>
      <c r="DQ437" s="926"/>
      <c r="DR437" s="926"/>
      <c r="DS437" s="928"/>
      <c r="DT437" s="308"/>
      <c r="DU437" s="926"/>
      <c r="DV437" s="926"/>
      <c r="DW437" s="926"/>
      <c r="DX437" s="928"/>
      <c r="DY437" s="308"/>
      <c r="DZ437" s="926"/>
      <c r="EA437" s="926"/>
      <c r="EB437" s="926"/>
      <c r="EC437" s="928"/>
      <c r="ED437" s="1060"/>
      <c r="EE437" s="926"/>
      <c r="EF437" s="926"/>
      <c r="EG437" s="926"/>
      <c r="EH437" s="928"/>
      <c r="EI437" s="308"/>
      <c r="EJ437" s="308"/>
      <c r="EK437" s="308"/>
      <c r="EL437" s="308"/>
      <c r="EM437" s="308"/>
      <c r="EN437" s="308"/>
      <c r="EO437" s="409"/>
      <c r="EP437" s="308"/>
      <c r="EQ437" s="308"/>
      <c r="ER437" s="308"/>
      <c r="ES437" s="308"/>
      <c r="ET437" s="308"/>
      <c r="EU437" s="308"/>
      <c r="EV437" s="308"/>
      <c r="EW437" s="308"/>
      <c r="EX437" s="308"/>
    </row>
    <row r="438" spans="2:154" ht="12.75" hidden="1" customHeight="1" outlineLevel="1">
      <c r="B438" s="440" t="s">
        <v>256</v>
      </c>
      <c r="C438" s="1989"/>
      <c r="D438" s="28"/>
      <c r="E438" s="28"/>
      <c r="F438" s="28"/>
      <c r="G438" s="28"/>
      <c r="H438" s="28"/>
      <c r="I438" s="31"/>
      <c r="J438" s="28"/>
      <c r="K438" s="28"/>
      <c r="L438" s="28"/>
      <c r="M438" s="28"/>
      <c r="N438" s="31"/>
      <c r="O438" s="31"/>
      <c r="P438" s="31"/>
      <c r="Q438" s="31"/>
      <c r="R438" s="31"/>
      <c r="S438" s="31"/>
      <c r="T438" s="31"/>
      <c r="U438" s="31"/>
      <c r="V438" s="31"/>
      <c r="W438" s="31"/>
      <c r="X438" s="309"/>
      <c r="Y438" s="24"/>
      <c r="Z438" s="24"/>
      <c r="AA438" s="24"/>
      <c r="AB438" s="24"/>
      <c r="AC438" s="309"/>
      <c r="AD438" s="24"/>
      <c r="AE438" s="24"/>
      <c r="AF438" s="24"/>
      <c r="AG438" s="24"/>
      <c r="AH438" s="309"/>
      <c r="AI438" s="41"/>
      <c r="AJ438" s="41"/>
      <c r="AK438" s="41"/>
      <c r="AL438" s="41"/>
      <c r="AM438" s="309"/>
      <c r="AN438" s="41"/>
      <c r="AO438" s="41"/>
      <c r="AP438" s="41"/>
      <c r="AQ438" s="41"/>
      <c r="AR438" s="309"/>
      <c r="AS438" s="41"/>
      <c r="AT438" s="41"/>
      <c r="AU438" s="41"/>
      <c r="AV438" s="41"/>
      <c r="AW438" s="309"/>
      <c r="AX438" s="41"/>
      <c r="AY438" s="41"/>
      <c r="AZ438" s="41"/>
      <c r="BA438" s="41"/>
      <c r="BB438" s="309"/>
      <c r="BC438" s="41"/>
      <c r="BD438" s="41"/>
      <c r="BE438" s="41"/>
      <c r="BF438" s="41"/>
      <c r="BG438" s="309"/>
      <c r="BH438" s="41"/>
      <c r="BI438" s="41"/>
      <c r="BJ438" s="41"/>
      <c r="BK438" s="41"/>
      <c r="BL438" s="316">
        <v>1.25</v>
      </c>
      <c r="BM438" s="41">
        <f>IF(ISNUMBER(BM437),(1+BM437)/(1+BM$21)-1,"NM")</f>
      </c>
      <c r="BN438" s="41">
        <f>IF(ISNUMBER(BN437),(1+BN437)/(1+BN$21)-1,"NM")</f>
      </c>
      <c r="BO438" s="41">
        <f>IF(ISNUMBER(BO437),(1+BO437)/(1+BO$21)-1,"NM")</f>
      </c>
      <c r="BP438" s="30">
        <f>IF(ISNUMBER(BP437),(1+BP437)/(1+BP$21)-1,"NM")</f>
      </c>
      <c r="BQ438" s="315">
        <f>BQ437-$BQ$21</f>
      </c>
      <c r="BR438" s="41">
        <f>IF(ISNUMBER(BR437),(1+BR437)/(1+BR$21)-1,"NM")</f>
      </c>
      <c r="BS438" s="41">
        <f>IF(ISNUMBER(BS437),(1+BS437)/(1+BS$21)-1,"NM")</f>
      </c>
      <c r="BT438" s="41">
        <f>IF(ISNUMBER(BT437),(1+BT437)/(1+BT$21)-1,"NM")</f>
      </c>
      <c r="BU438" s="30">
        <f>IF(ISNUMBER(BU437),(1+BU437)/(1+BU$21)-1,"NM")</f>
      </c>
      <c r="BV438" s="315">
        <f>BV437-$BQ$21</f>
      </c>
      <c r="BW438" s="30">
        <f t="shared" ref="BW438:CJ438" si="1143">IF(ISNUMBER(BW437),(1+BW437)/(1+BW$21)-1,"NM")</f>
      </c>
      <c r="BX438" s="30">
        <f t="shared" si="1143"/>
      </c>
      <c r="BY438" s="30">
        <f t="shared" si="1143"/>
      </c>
      <c r="BZ438" s="30">
        <f t="shared" si="1143"/>
      </c>
      <c r="CA438" s="308">
        <f t="shared" si="1143"/>
      </c>
      <c r="CB438" s="30">
        <f t="shared" si="1143"/>
      </c>
      <c r="CC438" s="30">
        <f t="shared" si="1143"/>
      </c>
      <c r="CD438" s="30">
        <f t="shared" si="1143"/>
      </c>
      <c r="CE438" s="30">
        <f t="shared" si="1143"/>
      </c>
      <c r="CF438" s="308">
        <f t="shared" si="1143"/>
      </c>
      <c r="CG438" s="30">
        <f t="shared" si="1143"/>
      </c>
      <c r="CH438" s="30">
        <f t="shared" si="1143"/>
      </c>
      <c r="CI438" s="30">
        <f t="shared" si="1143"/>
      </c>
      <c r="CJ438" s="30">
        <f t="shared" si="1143"/>
      </c>
      <c r="CK438" s="308">
        <f>CK437-CK$21</f>
      </c>
      <c r="CL438" s="30">
        <f>IF(ISNUMBER(CL437),(1+CL437)/(1+CL$21)-1,"NM")</f>
      </c>
      <c r="CM438" s="30">
        <f>IF(ISNUMBER(CM437),(1+CM437)/(1+CM$21)-1,"NM")</f>
      </c>
      <c r="CN438" s="30">
        <f>IF(ISNUMBER(CN437),(1+CN437)/(1+CN$21)-1,"NM")</f>
      </c>
      <c r="CO438" s="30">
        <f>IF(ISNUMBER(CO437),(1+CO437)/(1+CO$21)-1,"NM")</f>
      </c>
      <c r="CP438" s="308">
        <f>CP437-CP$21</f>
      </c>
      <c r="CQ438" s="30"/>
      <c r="CR438" s="30"/>
      <c r="CS438" s="361"/>
      <c r="CT438" s="361"/>
      <c r="CU438" s="308"/>
      <c r="CV438" s="30"/>
      <c r="CW438" s="361"/>
      <c r="CX438" s="361"/>
      <c r="CY438" s="361"/>
      <c r="CZ438" s="308"/>
      <c r="DA438" s="30"/>
      <c r="DB438" s="361"/>
      <c r="DC438" s="361"/>
      <c r="DD438" s="835"/>
      <c r="DE438" s="316"/>
      <c r="DF438" s="30"/>
      <c r="DG438" s="361"/>
      <c r="DH438" s="361"/>
      <c r="DI438" s="835"/>
      <c r="DJ438" s="835"/>
      <c r="DK438" s="30"/>
      <c r="DL438" s="361"/>
      <c r="DM438" s="361"/>
      <c r="DN438" s="835"/>
      <c r="DO438" s="835"/>
      <c r="DP438" s="361"/>
      <c r="DQ438" s="361"/>
      <c r="DR438" s="361"/>
      <c r="DS438" s="835"/>
      <c r="DT438" s="835"/>
      <c r="DU438" s="361"/>
      <c r="DV438" s="361"/>
      <c r="DW438" s="361"/>
      <c r="DX438" s="835"/>
      <c r="DY438" s="835"/>
      <c r="DZ438" s="361"/>
      <c r="EA438" s="361"/>
      <c r="EB438" s="361"/>
      <c r="EC438" s="835"/>
      <c r="ED438" s="835"/>
      <c r="EE438" s="361"/>
      <c r="EF438" s="361"/>
      <c r="EG438" s="361"/>
      <c r="EH438" s="835"/>
      <c r="EI438" s="835"/>
      <c r="EJ438" s="835"/>
      <c r="EK438" s="835"/>
      <c r="EL438" s="835"/>
      <c r="EM438" s="835"/>
      <c r="EN438" s="316"/>
      <c r="EO438" s="835"/>
      <c r="EP438" s="835"/>
      <c r="EQ438" s="835"/>
      <c r="ER438" s="835"/>
      <c r="ES438" s="835"/>
      <c r="ET438" s="835"/>
      <c r="EU438" s="835"/>
      <c r="EV438" s="835"/>
      <c r="EW438" s="835"/>
      <c r="EX438" s="835"/>
    </row>
    <row r="439" spans="2:154" ht="12.75" hidden="1" customHeight="1" outlineLevel="1">
      <c r="B439" s="440" t="s">
        <v>413</v>
      </c>
      <c r="C439" s="1989"/>
      <c r="D439" s="28"/>
      <c r="E439" s="28"/>
      <c r="F439" s="28"/>
      <c r="G439" s="28"/>
      <c r="H439" s="28"/>
      <c r="I439" s="31"/>
      <c r="J439" s="28"/>
      <c r="K439" s="28"/>
      <c r="L439" s="28"/>
      <c r="M439" s="28"/>
      <c r="N439" s="31"/>
      <c r="O439" s="31"/>
      <c r="P439" s="31"/>
      <c r="Q439" s="31"/>
      <c r="R439" s="31"/>
      <c r="S439" s="31"/>
      <c r="T439" s="31"/>
      <c r="U439" s="31"/>
      <c r="V439" s="31"/>
      <c r="W439" s="31"/>
      <c r="X439" s="308"/>
      <c r="Y439" s="30"/>
      <c r="Z439" s="30"/>
      <c r="AA439" s="30"/>
      <c r="AB439" s="30"/>
      <c r="AC439" s="308"/>
      <c r="AD439" s="30"/>
      <c r="AE439" s="30"/>
      <c r="AF439" s="30"/>
      <c r="AG439" s="30"/>
      <c r="AH439" s="308"/>
      <c r="AI439" s="30"/>
      <c r="AJ439" s="30"/>
      <c r="AK439" s="30"/>
      <c r="AL439" s="30"/>
      <c r="AM439" s="308"/>
      <c r="AN439" s="30"/>
      <c r="AO439" s="30"/>
      <c r="AP439" s="30"/>
      <c r="AQ439" s="30"/>
      <c r="AR439" s="308"/>
      <c r="AS439" s="30"/>
      <c r="AT439" s="30"/>
      <c r="AU439" s="30"/>
      <c r="AV439" s="30"/>
      <c r="AW439" s="308"/>
      <c r="AX439" s="30"/>
      <c r="AY439" s="30"/>
      <c r="AZ439" s="30"/>
      <c r="BA439" s="30"/>
      <c r="BB439" s="308"/>
      <c r="BC439" s="30"/>
      <c r="BD439" s="30"/>
      <c r="BE439" s="30"/>
      <c r="BF439" s="30"/>
      <c r="BG439" s="308"/>
      <c r="BH439" s="30"/>
      <c r="BI439" s="30"/>
      <c r="BJ439" s="30"/>
      <c r="BK439" s="30"/>
      <c r="BL439" s="308">
        <f t="shared" ref="BL439:CA439" si="1144">IF(BG433="NM","NM",IF(BL433="NM","NM",IF(BG433&lt;=0,"NM",IF(BL433=0,"NM",IF(ABS(BL433/BG433-1)&gt;2.5,"NM",IF((ABS(BL433-BG433)=ABS(ABS(BL433)-ABS(BG433))),(BL433/BG433-1),"NM"))))))</f>
      </c>
      <c r="BM439" s="30">
        <f t="shared" si="1144"/>
      </c>
      <c r="BN439" s="30">
        <f t="shared" si="1144"/>
      </c>
      <c r="BO439" s="30">
        <f t="shared" si="1144"/>
      </c>
      <c r="BP439" s="30">
        <f t="shared" si="1144"/>
      </c>
      <c r="BQ439" s="315">
        <f t="shared" si="1144"/>
      </c>
      <c r="BR439" s="30">
        <f t="shared" si="1144"/>
      </c>
      <c r="BS439" s="30">
        <f t="shared" si="1144"/>
      </c>
      <c r="BT439" s="30">
        <f t="shared" si="1144"/>
      </c>
      <c r="BU439" s="30">
        <f t="shared" si="1144"/>
      </c>
      <c r="BV439" s="315">
        <f t="shared" si="1144"/>
      </c>
      <c r="BW439" s="30">
        <f t="shared" si="1144"/>
      </c>
      <c r="BX439" s="30">
        <f t="shared" si="1144"/>
      </c>
      <c r="BY439" s="30">
        <f t="shared" si="1144"/>
      </c>
      <c r="BZ439" s="30">
        <f t="shared" si="1144"/>
      </c>
      <c r="CA439" s="308">
        <f t="shared" si="1144"/>
      </c>
      <c r="CB439" s="30">
        <f t="shared" ref="CB439:CH439" si="1145">IF(BW433="NM","NM",IF(CB433="NM","NM",IF(BW433&lt;=0,"NM",IF(CB433=0,"NM",IF(ABS(CB433/BW433-1)&gt;2.5,"NM",IF((ABS(CB433-BW433)=ABS(ABS(CB433)-ABS(BW433))),(CB433/BW433-1),"NM"))))))</f>
      </c>
      <c r="CC439" s="30">
        <f t="shared" si="1145"/>
      </c>
      <c r="CD439" s="30">
        <f>IF(BY433="NM","NM",IF(CD433="NM","NM",IF(BY433&lt;=0,"NM",IF(CD433=0,"NM",IF(ABS(CD433/BY433-1)&gt;2.5,"NM",IF((ABS(CD433-BY433)=ABS(ABS(CD433)-ABS(BY433))),(CD433/BY433-1),"NM"))))))</f>
      </c>
      <c r="CE439" s="30">
        <f>IF(BZ433="NM","NM",IF(CE433="NM","NM",IF(BZ433&lt;=0,"NM",IF(CE433=0,"NM",IF(ABS(CE433/BZ433-1)&gt;2.5,"NM",IF((ABS(CE433-BZ433)=ABS(ABS(CE433)-ABS(BZ433))),(CE433/BZ433-1),"NM"))))))</f>
      </c>
      <c r="CF439" s="308">
        <f>IF(CA433="NM","NM",IF(CF433="NM","NM",IF(CA433&lt;=0,"NM",IF(CF433=0,"NM",IF(ABS(CF433/CA433-1)&gt;2.5,"NM",IF((ABS(CF433-CA433)=ABS(ABS(CF433)-ABS(CA433))),(CF433/CA433-1),"NM"))))))</f>
      </c>
      <c r="CG439" s="30">
        <f t="shared" si="1145"/>
      </c>
      <c r="CH439" s="30">
        <f t="shared" si="1145"/>
      </c>
      <c r="CI439" s="30">
        <f>IF(CD433="NM","NM",IF(CI433="NM","NM",IF(CD433&lt;=0,"NM",IF(CI433=0,"NM",IF(ABS(CI433/CD433-1)&gt;2.5,"NM",IF((ABS(CI433-CD433)=ABS(ABS(CI433)-ABS(CD433))),(CI433/CD433-1),"NM"))))))</f>
      </c>
      <c r="CJ439" s="30">
        <f>IF(CE433="NM","NM",IF(CJ433="NM","NM",IF(CE433&lt;=0,"NM",IF(CJ433=0,"NM",IF(ABS(CJ433/CE433-1)&gt;2.5,"NM",IF((ABS(CJ433-CE433)=ABS(ABS(CJ433)-ABS(CE433))),(CJ433/CE433-1),"NM"))))))</f>
      </c>
      <c r="CK439" s="308">
        <f>IF(CK433&lt;=0,0,(CK433/CF433-1))</f>
      </c>
      <c r="CL439" s="30">
        <f>IF(CG433="NM","NM",IF(CL433="NM","NM",IF(CG433&lt;=0,"NM",IF(CL433=0,"NM",IF(ABS(CL433/CG433-1)&gt;2.5,"NM",IF((ABS(CL433-CG433)=ABS(ABS(CL433)-ABS(CG433))),(CL433/CG433-1),"NM"))))))</f>
      </c>
      <c r="CM439" s="30">
        <f>IF(CH433="NM","NM",IF(CM433="NM","NM",IF(CH433&lt;=0,"NM",IF(CM433=0,"NM",IF(ABS(CM433/CH433-1)&gt;2.5,"NM",IF((ABS(CM433-CH433)=ABS(ABS(CM433)-ABS(CH433))),(CM433/CH433-1),"NM"))))))</f>
      </c>
      <c r="CN439" s="30">
        <f>IF(CI433="NM","NM",IF(CN433="NM","NM",IF(CI433&lt;=0,"NM",IF(CN433=0,"NM",IF(ABS(CN433/CI433-1)&gt;2.5,"NM",IF((ABS(CN433-CI433)=ABS(ABS(CN433)-ABS(CI433))),(CN433/CI433-1),"NM"))))))</f>
      </c>
      <c r="CO439" s="30">
        <f>IF(CJ433="NM","NM",IF(CO433="NM","NM",IF(CJ433&lt;=0,"NM",IF(CO433=0,"NM",IF(ABS(CO433/CJ433-1)&gt;2.5,"NM",IF((ABS(CO433-CJ433)=ABS(ABS(CO433)-ABS(CJ433))),(CO433/CJ433-1),"NM"))))))</f>
      </c>
      <c r="CP439" s="308">
        <f>IF(CP433&lt;=0,0,(CP433/CK433-1))</f>
      </c>
      <c r="CQ439" s="30"/>
      <c r="CR439" s="30"/>
      <c r="CS439" s="926"/>
      <c r="CT439" s="926"/>
      <c r="CU439" s="308"/>
      <c r="CV439" s="30"/>
      <c r="CW439" s="926"/>
      <c r="CX439" s="926"/>
      <c r="CY439" s="926"/>
      <c r="CZ439" s="308"/>
      <c r="DA439" s="30"/>
      <c r="DB439" s="926"/>
      <c r="DC439" s="926"/>
      <c r="DD439" s="928"/>
      <c r="DE439" s="308"/>
      <c r="DF439" s="30"/>
      <c r="DG439" s="926"/>
      <c r="DH439" s="926"/>
      <c r="DI439" s="928"/>
      <c r="DJ439" s="308"/>
      <c r="DK439" s="30"/>
      <c r="DL439" s="926"/>
      <c r="DM439" s="926"/>
      <c r="DN439" s="928"/>
      <c r="DO439" s="308"/>
      <c r="DP439" s="926"/>
      <c r="DQ439" s="926"/>
      <c r="DR439" s="926"/>
      <c r="DS439" s="928"/>
      <c r="DT439" s="308"/>
      <c r="DU439" s="926"/>
      <c r="DV439" s="926"/>
      <c r="DW439" s="926"/>
      <c r="DX439" s="928"/>
      <c r="DY439" s="308"/>
      <c r="DZ439" s="926"/>
      <c r="EA439" s="926"/>
      <c r="EB439" s="926"/>
      <c r="EC439" s="928"/>
      <c r="ED439" s="1060"/>
      <c r="EE439" s="926"/>
      <c r="EF439" s="926"/>
      <c r="EG439" s="926"/>
      <c r="EH439" s="928"/>
      <c r="EI439" s="308"/>
      <c r="EJ439" s="308"/>
      <c r="EK439" s="308"/>
      <c r="EL439" s="308"/>
      <c r="EM439" s="308"/>
      <c r="EN439" s="308"/>
      <c r="EO439" s="409"/>
      <c r="EP439" s="308"/>
      <c r="EQ439" s="308"/>
      <c r="ER439" s="308"/>
      <c r="ES439" s="308"/>
      <c r="ET439" s="308"/>
      <c r="EU439" s="308"/>
      <c r="EV439" s="308"/>
      <c r="EW439" s="308"/>
      <c r="EX439" s="308"/>
    </row>
    <row r="440" spans="2:154" ht="12.75" hidden="1" customHeight="1" outlineLevel="1">
      <c r="B440" s="440"/>
      <c r="C440" s="1989"/>
      <c r="D440" s="28"/>
      <c r="E440" s="28"/>
      <c r="F440" s="28"/>
      <c r="G440" s="28"/>
      <c r="H440" s="28"/>
      <c r="I440" s="31"/>
      <c r="J440" s="28"/>
      <c r="K440" s="28"/>
      <c r="L440" s="28"/>
      <c r="M440" s="28"/>
      <c r="N440" s="31"/>
      <c r="O440" s="31"/>
      <c r="P440" s="31"/>
      <c r="Q440" s="31"/>
      <c r="R440" s="31"/>
      <c r="S440" s="31"/>
      <c r="T440" s="31"/>
      <c r="U440" s="31"/>
      <c r="V440" s="31"/>
      <c r="W440" s="31"/>
      <c r="X440" s="308"/>
      <c r="Y440" s="30"/>
      <c r="Z440" s="30"/>
      <c r="AA440" s="30"/>
      <c r="AB440" s="30"/>
      <c r="AC440" s="308"/>
      <c r="AD440" s="30"/>
      <c r="AE440" s="30"/>
      <c r="AF440" s="30"/>
      <c r="AG440" s="30"/>
      <c r="AH440" s="308"/>
      <c r="AI440" s="30"/>
      <c r="AJ440" s="30"/>
      <c r="AK440" s="30"/>
      <c r="AL440" s="30"/>
      <c r="AM440" s="308"/>
      <c r="AN440" s="30"/>
      <c r="AO440" s="30"/>
      <c r="AP440" s="30"/>
      <c r="AQ440" s="30"/>
      <c r="AR440" s="308"/>
      <c r="AS440" s="30"/>
      <c r="AT440" s="30"/>
      <c r="AU440" s="30"/>
      <c r="AV440" s="30"/>
      <c r="AW440" s="308"/>
      <c r="AX440" s="30"/>
      <c r="AY440" s="30"/>
      <c r="AZ440" s="30"/>
      <c r="BA440" s="30"/>
      <c r="BB440" s="308"/>
      <c r="BC440" s="30"/>
      <c r="BD440" s="30"/>
      <c r="BE440" s="30"/>
      <c r="BF440" s="30"/>
      <c r="BG440" s="308"/>
      <c r="BH440" s="30"/>
      <c r="BI440" s="30"/>
      <c r="BJ440" s="30"/>
      <c r="BK440" s="30"/>
      <c r="BL440" s="308"/>
      <c r="BM440" s="30"/>
      <c r="BN440" s="30"/>
      <c r="BO440" s="30"/>
      <c r="BP440" s="30"/>
      <c r="BQ440" s="308"/>
      <c r="BR440" s="30"/>
      <c r="BS440" s="30"/>
      <c r="BT440" s="30"/>
      <c r="BU440" s="30"/>
      <c r="BV440" s="308"/>
      <c r="BW440" s="30"/>
      <c r="BX440" s="30"/>
      <c r="BY440" s="30"/>
      <c r="BZ440" s="30"/>
      <c r="CA440" s="308"/>
      <c r="CB440" s="30"/>
      <c r="CC440" s="30"/>
      <c r="CD440" s="30"/>
      <c r="CE440" s="30"/>
      <c r="CF440" s="308"/>
      <c r="CG440" s="30"/>
      <c r="CH440" s="30"/>
      <c r="CI440" s="30"/>
      <c r="CJ440" s="30"/>
      <c r="CK440" s="308"/>
      <c r="CL440" s="30"/>
      <c r="CM440" s="926"/>
      <c r="CN440" s="30"/>
      <c r="CO440" s="30"/>
      <c r="CP440" s="308"/>
      <c r="CQ440" s="926"/>
      <c r="CR440" s="926"/>
      <c r="CS440" s="926"/>
      <c r="CT440" s="926"/>
      <c r="CU440" s="308"/>
      <c r="CV440" s="926"/>
      <c r="CW440" s="926"/>
      <c r="CX440" s="926"/>
      <c r="CY440" s="926"/>
      <c r="CZ440" s="308"/>
      <c r="DA440" s="926"/>
      <c r="DB440" s="30"/>
      <c r="DC440" s="30"/>
      <c r="DD440" s="409"/>
      <c r="DE440" s="308"/>
      <c r="DF440" s="926"/>
      <c r="DG440" s="30"/>
      <c r="DH440" s="30"/>
      <c r="DI440" s="409"/>
      <c r="DJ440" s="308"/>
      <c r="DK440" s="926"/>
      <c r="DL440" s="30"/>
      <c r="DM440" s="30"/>
      <c r="DN440" s="409"/>
      <c r="DO440" s="308"/>
      <c r="DP440" s="30"/>
      <c r="DQ440" s="30"/>
      <c r="DR440" s="30"/>
      <c r="DS440" s="409"/>
      <c r="DT440" s="308"/>
      <c r="DU440" s="926"/>
      <c r="DV440" s="926"/>
      <c r="DW440" s="926"/>
      <c r="DX440" s="928"/>
      <c r="DY440" s="308"/>
      <c r="DZ440" s="926"/>
      <c r="EA440" s="926"/>
      <c r="EB440" s="926"/>
      <c r="EC440" s="928"/>
      <c r="ED440" s="1060"/>
      <c r="EE440" s="926"/>
      <c r="EF440" s="926"/>
      <c r="EG440" s="926"/>
      <c r="EH440" s="928"/>
      <c r="EI440" s="308"/>
      <c r="EJ440" s="308"/>
      <c r="EK440" s="308"/>
      <c r="EL440" s="308"/>
      <c r="EM440" s="308"/>
      <c r="EN440" s="308"/>
      <c r="EO440" s="409"/>
      <c r="EP440" s="308"/>
      <c r="EQ440" s="308"/>
      <c r="ER440" s="308"/>
      <c r="ES440" s="308"/>
      <c r="ET440" s="308"/>
      <c r="EU440" s="308"/>
      <c r="EV440" s="308"/>
      <c r="EW440" s="308"/>
      <c r="EX440" s="308"/>
    </row>
    <row r="441" spans="2:154" ht="12.75" hidden="1" customHeight="1" outlineLevel="1">
      <c r="B441" s="436" t="s">
        <v>517</v>
      </c>
      <c r="C441" s="1989"/>
      <c r="D441" s="28"/>
      <c r="E441" s="28"/>
      <c r="F441" s="28"/>
      <c r="G441" s="28"/>
      <c r="H441" s="28"/>
      <c r="I441" s="31"/>
      <c r="J441" s="28"/>
      <c r="K441" s="28"/>
      <c r="L441" s="28"/>
      <c r="M441" s="28"/>
      <c r="N441" s="31"/>
      <c r="O441" s="31"/>
      <c r="P441" s="31"/>
      <c r="Q441" s="31"/>
      <c r="R441" s="31"/>
      <c r="S441" s="31"/>
      <c r="T441" s="31"/>
      <c r="U441" s="31"/>
      <c r="V441" s="31"/>
      <c r="W441" s="31"/>
      <c r="X441" s="313"/>
      <c r="Y441" s="31"/>
      <c r="Z441" s="31"/>
      <c r="AA441" s="31"/>
      <c r="AB441" s="31"/>
      <c r="AC441" s="313"/>
      <c r="AD441" s="31"/>
      <c r="AE441" s="31"/>
      <c r="AF441" s="31"/>
      <c r="AG441" s="31"/>
      <c r="AH441" s="313"/>
      <c r="AI441" s="28"/>
      <c r="AJ441" s="32"/>
      <c r="AK441" s="28"/>
      <c r="AL441" s="31"/>
      <c r="AM441" s="313"/>
      <c r="AN441" s="28"/>
      <c r="AO441" s="28"/>
      <c r="AP441" s="28"/>
      <c r="AQ441" s="31"/>
      <c r="AR441" s="313"/>
      <c r="AS441" s="28"/>
      <c r="AT441" s="28"/>
      <c r="AU441" s="28"/>
      <c r="AV441" s="28"/>
      <c r="AW441" s="313"/>
      <c r="AX441" s="28"/>
      <c r="AY441" s="28"/>
      <c r="AZ441" s="28"/>
      <c r="BA441" s="28"/>
      <c r="BB441" s="313"/>
      <c r="BC441" s="28"/>
      <c r="BD441" s="28"/>
      <c r="BE441" s="28"/>
      <c r="BF441" s="28"/>
      <c r="BG441" s="313"/>
      <c r="BH441" s="28"/>
      <c r="BI441" s="28"/>
      <c r="BJ441" s="28"/>
      <c r="BK441" s="28"/>
      <c r="BL441" s="313"/>
      <c r="BM441" s="28"/>
      <c r="BN441" s="28"/>
      <c r="BO441" s="28"/>
      <c r="BP441" s="28"/>
      <c r="BQ441" s="313"/>
      <c r="BR441" s="28"/>
      <c r="BS441" s="28"/>
      <c r="BT441" s="28"/>
      <c r="BU441" s="28"/>
      <c r="BV441" s="313"/>
      <c r="BW441" s="28"/>
      <c r="BX441" s="28"/>
      <c r="BY441" s="28"/>
      <c r="BZ441" s="28"/>
      <c r="CA441" s="313"/>
      <c r="CB441" s="28"/>
      <c r="CC441" s="28"/>
      <c r="CD441" s="28"/>
      <c r="CE441" s="28"/>
      <c r="CF441" s="313"/>
      <c r="CG441" s="28"/>
      <c r="CH441" s="28"/>
      <c r="CI441" s="28"/>
      <c r="CJ441" s="28"/>
      <c r="CK441" s="313"/>
      <c r="CL441" s="28"/>
      <c r="CM441" s="28"/>
      <c r="CN441" s="28"/>
      <c r="CO441" s="28"/>
      <c r="CP441" s="313"/>
      <c r="CQ441" s="933"/>
      <c r="CR441" s="933"/>
      <c r="CS441" s="933"/>
      <c r="CT441" s="933"/>
      <c r="CU441" s="313"/>
      <c r="CV441" s="933"/>
      <c r="CW441" s="933"/>
      <c r="CX441" s="933"/>
      <c r="CY441" s="933"/>
      <c r="CZ441" s="313"/>
      <c r="DA441" s="933"/>
      <c r="DB441" s="31"/>
      <c r="DC441" s="31"/>
      <c r="DD441" s="955"/>
      <c r="DE441" s="477"/>
      <c r="DF441" s="982"/>
      <c r="DG441" s="603"/>
      <c r="DH441" s="603"/>
      <c r="DI441" s="1798"/>
      <c r="DJ441" s="477"/>
      <c r="DK441" s="982"/>
      <c r="DL441" s="603"/>
      <c r="DM441" s="603"/>
      <c r="DN441" s="1798"/>
      <c r="DO441" s="477"/>
      <c r="DP441" s="603"/>
      <c r="DQ441" s="603"/>
      <c r="DR441" s="603"/>
      <c r="DS441" s="1798"/>
      <c r="DT441" s="477"/>
      <c r="DU441" s="603"/>
      <c r="DV441" s="603"/>
      <c r="DW441" s="603"/>
      <c r="DX441" s="1798"/>
      <c r="DY441" s="477"/>
      <c r="DZ441" s="603"/>
      <c r="EA441" s="603"/>
      <c r="EB441" s="603"/>
      <c r="EC441" s="1798"/>
      <c r="ED441" s="477"/>
      <c r="EE441" s="603"/>
      <c r="EF441" s="603"/>
      <c r="EG441" s="603"/>
      <c r="EH441" s="1798"/>
      <c r="EI441" s="477"/>
      <c r="EJ441" s="477"/>
      <c r="EK441" s="477"/>
      <c r="EL441" s="477"/>
      <c r="EM441" s="477"/>
      <c r="EN441" s="477"/>
      <c r="EO441" s="1798"/>
      <c r="EP441" s="477"/>
      <c r="EQ441" s="477"/>
      <c r="ER441" s="477"/>
      <c r="ES441" s="477"/>
      <c r="ET441" s="477"/>
      <c r="EU441" s="477"/>
      <c r="EV441" s="477"/>
      <c r="EW441" s="477"/>
      <c r="EX441" s="477"/>
    </row>
    <row r="442" spans="2:154" ht="12.75" hidden="1" customHeight="1" outlineLevel="1">
      <c r="B442" s="437" t="s">
        <v>187</v>
      </c>
      <c r="C442" s="1997">
        <v>39796</v>
      </c>
      <c r="D442" s="31"/>
      <c r="E442" s="33">
        <v>0</v>
      </c>
      <c r="F442" s="33">
        <v>0</v>
      </c>
      <c r="G442" s="33">
        <v>0</v>
      </c>
      <c r="H442" s="33">
        <v>0</v>
      </c>
      <c r="I442" s="31">
        <f>+SUM(E442:H442)</f>
      </c>
      <c r="J442" s="33">
        <v>0</v>
      </c>
      <c r="K442" s="33">
        <v>0</v>
      </c>
      <c r="L442" s="33">
        <v>0</v>
      </c>
      <c r="M442" s="33">
        <v>0</v>
      </c>
      <c r="N442" s="31">
        <f>+SUM(J442:M442)</f>
      </c>
      <c r="O442" s="33">
        <v>0</v>
      </c>
      <c r="P442" s="33">
        <v>8</v>
      </c>
      <c r="Q442" s="33">
        <v>11</v>
      </c>
      <c r="R442" s="33">
        <v>16</v>
      </c>
      <c r="S442" s="31">
        <f>SUM(O442:R442)</f>
      </c>
      <c r="T442" s="33">
        <v>15</v>
      </c>
      <c r="U442" s="33">
        <v>20</v>
      </c>
      <c r="V442" s="33">
        <v>24</v>
      </c>
      <c r="W442" s="33">
        <v>29</v>
      </c>
      <c r="X442" s="313">
        <f>SUM(T442:W442)</f>
      </c>
      <c r="Y442" s="33">
        <v>32</v>
      </c>
      <c r="Z442" s="33">
        <v>37</v>
      </c>
      <c r="AA442" s="33">
        <v>41</v>
      </c>
      <c r="AB442" s="33">
        <v>44</v>
      </c>
      <c r="AC442" s="313">
        <f>SUM(Y442:AB442)</f>
      </c>
      <c r="AD442" s="33">
        <v>47</v>
      </c>
      <c r="AE442" s="33">
        <v>46</v>
      </c>
      <c r="AF442" s="33">
        <v>46</v>
      </c>
      <c r="AG442" s="33">
        <v>45</v>
      </c>
      <c r="AH442" s="313">
        <f>SUM(AD442:AG442)</f>
      </c>
      <c r="AI442" s="33">
        <v>45</v>
      </c>
      <c r="AJ442" s="33">
        <v>47</v>
      </c>
      <c r="AK442" s="33">
        <v>48</v>
      </c>
      <c r="AL442" s="33">
        <v>49</v>
      </c>
      <c r="AM442" s="313">
        <f>+SUM(AI442:AL442)</f>
      </c>
      <c r="AN442" s="33">
        <v>45.9</v>
      </c>
      <c r="AO442" s="33">
        <v>47.5</v>
      </c>
      <c r="AP442" s="33">
        <v>52</v>
      </c>
      <c r="AQ442" s="33">
        <v>50</v>
      </c>
      <c r="AR442" s="313">
        <f>+SUM(AN442:AQ442)</f>
      </c>
      <c r="AS442" s="33">
        <v>50</v>
      </c>
      <c r="AT442" s="33">
        <v>48.924999999999997</v>
      </c>
      <c r="AU442" s="33">
        <v>36</v>
      </c>
      <c r="AV442" s="33">
        <v>44.842999999999989</v>
      </c>
      <c r="AW442" s="313">
        <f>SUM(AS442:AV442)</f>
      </c>
      <c r="AX442" s="33">
        <v>50</v>
      </c>
      <c r="AY442" s="33">
        <v>42</v>
      </c>
      <c r="AZ442" s="33">
        <v>31</v>
      </c>
      <c r="BA442" s="33">
        <v>11</v>
      </c>
      <c r="BB442" s="313">
        <f>SUM(AX442:BA442)</f>
      </c>
      <c r="BC442" s="33">
        <v>13</v>
      </c>
      <c r="BD442" s="33">
        <v>10.5</v>
      </c>
      <c r="BE442" s="33">
        <v>1</v>
      </c>
      <c r="BF442" s="33">
        <v>6</v>
      </c>
      <c r="BG442" s="313">
        <f>SUM(BC442:BF442)</f>
      </c>
      <c r="BH442" s="33">
        <v>6.5</v>
      </c>
      <c r="BI442" s="28">
        <v>5.25</v>
      </c>
      <c r="BJ442" s="33">
        <v>0.5</v>
      </c>
      <c r="BK442" s="33">
        <v>3</v>
      </c>
      <c r="BL442" s="313">
        <f>SUM(BH442:BK442)</f>
      </c>
      <c r="BM442" s="33">
        <v>5.5249999999999995</v>
      </c>
      <c r="BN442" s="33">
        <v>4.4624999999999995</v>
      </c>
      <c r="BO442" s="33">
        <v>0.42499999999999999</v>
      </c>
      <c r="BP442" s="352">
        <v>2.5500000000000007</v>
      </c>
      <c r="BQ442" s="313">
        <f>SUM(BM442:BP442)</f>
      </c>
      <c r="BR442" s="761">
        <v>2</v>
      </c>
      <c r="BS442" s="761">
        <v>2</v>
      </c>
      <c r="BT442" s="761">
        <v>2</v>
      </c>
      <c r="BU442" s="761">
        <v>1.7774999999999999</v>
      </c>
      <c r="BV442" s="313">
        <f>SUM(BR442:BU442)</f>
      </c>
      <c r="BW442" s="761">
        <v>1.8</v>
      </c>
      <c r="BX442" s="761">
        <v>2</v>
      </c>
      <c r="BY442" s="761">
        <v>2</v>
      </c>
      <c r="BZ442" s="761">
        <v>1</v>
      </c>
      <c r="CA442" s="313">
        <f>SUM(BW442:BZ442)</f>
      </c>
      <c r="CB442" s="761">
        <v>1</v>
      </c>
      <c r="CC442" s="761">
        <v>1</v>
      </c>
      <c r="CD442" s="761">
        <v>1</v>
      </c>
      <c r="CE442" s="761">
        <v>0.8</v>
      </c>
      <c r="CF442" s="313">
        <f>SUM(CB442:CE442)</f>
      </c>
      <c r="CG442" s="761">
        <v>0.9</v>
      </c>
      <c r="CH442" s="761">
        <v>0.9</v>
      </c>
      <c r="CI442" s="761">
        <v>1</v>
      </c>
      <c r="CJ442" s="761">
        <v>1.2</v>
      </c>
      <c r="CK442" s="313">
        <f>SUM(CG442:CJ442)</f>
      </c>
      <c r="CL442" s="761">
        <v>0.9</v>
      </c>
      <c r="CM442" s="761">
        <v>0.9</v>
      </c>
      <c r="CN442" s="761">
        <v>1</v>
      </c>
      <c r="CO442" s="761">
        <v>0</v>
      </c>
      <c r="CP442" s="313">
        <f>SUM(CL442:CO442)</f>
      </c>
      <c r="CQ442" s="352"/>
      <c r="CR442" s="352"/>
      <c r="CS442" s="933"/>
      <c r="CT442" s="933"/>
      <c r="CU442" s="313"/>
      <c r="CV442" s="352"/>
      <c r="CW442" s="933"/>
      <c r="CX442" s="933"/>
      <c r="CY442" s="933"/>
      <c r="CZ442" s="313"/>
      <c r="DA442" s="352"/>
      <c r="DB442" s="31"/>
      <c r="DC442" s="31"/>
      <c r="DD442" s="955"/>
      <c r="DE442" s="477"/>
      <c r="DF442" s="1801"/>
      <c r="DG442" s="603"/>
      <c r="DH442" s="603"/>
      <c r="DI442" s="1798"/>
      <c r="DJ442" s="477"/>
      <c r="DK442" s="1801"/>
      <c r="DL442" s="603"/>
      <c r="DM442" s="603"/>
      <c r="DN442" s="1798"/>
      <c r="DO442" s="477"/>
      <c r="DP442" s="603"/>
      <c r="DQ442" s="603"/>
      <c r="DR442" s="603"/>
      <c r="DS442" s="1798"/>
      <c r="DT442" s="477"/>
      <c r="DU442" s="603"/>
      <c r="DV442" s="603"/>
      <c r="DW442" s="603"/>
      <c r="DX442" s="1798"/>
      <c r="DY442" s="477"/>
      <c r="DZ442" s="603"/>
      <c r="EA442" s="603"/>
      <c r="EB442" s="603"/>
      <c r="EC442" s="1798"/>
      <c r="ED442" s="477"/>
      <c r="EE442" s="603"/>
      <c r="EF442" s="603"/>
      <c r="EG442" s="603"/>
      <c r="EH442" s="1798"/>
      <c r="EI442" s="477"/>
      <c r="EJ442" s="477"/>
      <c r="EK442" s="477"/>
      <c r="EL442" s="477"/>
      <c r="EM442" s="477"/>
      <c r="EN442" s="477"/>
      <c r="EO442" s="1798"/>
      <c r="EP442" s="477"/>
      <c r="EQ442" s="477"/>
      <c r="ER442" s="477"/>
      <c r="ES442" s="477"/>
      <c r="ET442" s="477"/>
      <c r="EU442" s="477"/>
      <c r="EV442" s="477"/>
      <c r="EW442" s="477"/>
      <c r="EX442" s="477"/>
    </row>
    <row r="443" spans="2:154" ht="12.75" hidden="1" customHeight="1" outlineLevel="1">
      <c r="B443" s="437" t="s">
        <v>412</v>
      </c>
      <c r="C443" s="1989">
        <v>2011</v>
      </c>
      <c r="D443" s="31"/>
      <c r="E443" s="33">
        <v>0</v>
      </c>
      <c r="F443" s="33">
        <v>0</v>
      </c>
      <c r="G443" s="33">
        <v>0</v>
      </c>
      <c r="H443" s="33">
        <v>0</v>
      </c>
      <c r="I443" s="31">
        <f>+SUM(E443:H443)</f>
      </c>
      <c r="J443" s="33">
        <v>0</v>
      </c>
      <c r="K443" s="33">
        <v>0</v>
      </c>
      <c r="L443" s="33">
        <v>0</v>
      </c>
      <c r="M443" s="33">
        <v>0</v>
      </c>
      <c r="N443" s="31">
        <f>+SUM(J443:M443)</f>
      </c>
      <c r="O443" s="33">
        <v>2</v>
      </c>
      <c r="P443" s="33">
        <v>2</v>
      </c>
      <c r="Q443" s="33">
        <v>3</v>
      </c>
      <c r="R443" s="33">
        <v>3</v>
      </c>
      <c r="S443" s="31">
        <f>SUM(O443:R443)</f>
      </c>
      <c r="T443" s="33">
        <v>6</v>
      </c>
      <c r="U443" s="33">
        <v>10</v>
      </c>
      <c r="V443" s="33">
        <v>16</v>
      </c>
      <c r="W443" s="33">
        <v>22</v>
      </c>
      <c r="X443" s="313">
        <f>SUM(T443:W443)</f>
      </c>
      <c r="Y443" s="33">
        <v>26</v>
      </c>
      <c r="Z443" s="33">
        <v>30</v>
      </c>
      <c r="AA443" s="33">
        <v>28</v>
      </c>
      <c r="AB443" s="33">
        <v>42</v>
      </c>
      <c r="AC443" s="313">
        <f>SUM(Y443:AB443)</f>
      </c>
      <c r="AD443" s="33">
        <v>45</v>
      </c>
      <c r="AE443" s="33">
        <v>43</v>
      </c>
      <c r="AF443" s="33">
        <v>42</v>
      </c>
      <c r="AG443" s="33">
        <v>47</v>
      </c>
      <c r="AH443" s="313">
        <f>SUM(AD443:AG443)</f>
      </c>
      <c r="AI443" s="33">
        <v>50</v>
      </c>
      <c r="AJ443" s="33">
        <v>53</v>
      </c>
      <c r="AK443" s="33">
        <v>55</v>
      </c>
      <c r="AL443" s="33">
        <v>60</v>
      </c>
      <c r="AM443" s="313">
        <f>+SUM(AI443:AL443)</f>
      </c>
      <c r="AN443" s="33">
        <v>57.5</v>
      </c>
      <c r="AO443" s="33">
        <v>60</v>
      </c>
      <c r="AP443" s="33">
        <v>63.25</v>
      </c>
      <c r="AQ443" s="33">
        <v>65</v>
      </c>
      <c r="AR443" s="313">
        <f>+SUM(AN443:AQ443)</f>
      </c>
      <c r="AS443" s="33">
        <v>70</v>
      </c>
      <c r="AT443" s="33">
        <v>66</v>
      </c>
      <c r="AU443" s="33">
        <v>84</v>
      </c>
      <c r="AV443" s="33">
        <v>81</v>
      </c>
      <c r="AW443" s="313">
        <f>SUM(AS443:AV443)</f>
      </c>
      <c r="AX443" s="33">
        <v>80.5</v>
      </c>
      <c r="AY443" s="33">
        <v>110</v>
      </c>
      <c r="AZ443" s="33">
        <v>107</v>
      </c>
      <c r="BA443" s="33">
        <v>91</v>
      </c>
      <c r="BB443" s="313">
        <f>SUM(AX443:BA443)</f>
      </c>
      <c r="BC443" s="33">
        <v>100</v>
      </c>
      <c r="BD443" s="33">
        <v>100.7864</v>
      </c>
      <c r="BE443" s="33">
        <v>96</v>
      </c>
      <c r="BF443" s="33">
        <v>104</v>
      </c>
      <c r="BG443" s="313">
        <f>SUM(BC443:BF443)</f>
      </c>
      <c r="BH443" s="33">
        <v>114.48</v>
      </c>
      <c r="BI443" s="28">
        <v>106.3548486</v>
      </c>
      <c r="BJ443" s="33">
        <v>104.42880000000001</v>
      </c>
      <c r="BK443" s="33">
        <v>97.668480000000002</v>
      </c>
      <c r="BL443" s="313">
        <f>SUM(BH443:BK443)</f>
      </c>
      <c r="BM443" s="33">
        <v>116.76960000000001</v>
      </c>
      <c r="BN443" s="33">
        <v>93.592266768000016</v>
      </c>
      <c r="BO443" s="33">
        <v>107.14394880000002</v>
      </c>
      <c r="BP443" s="352">
        <v>82.089833699172743</v>
      </c>
      <c r="BQ443" s="313">
        <f>SUM(BM443:BP443)</f>
      </c>
      <c r="BR443" s="761">
        <v>91.547366400000016</v>
      </c>
      <c r="BS443" s="761">
        <v>69.2</v>
      </c>
      <c r="BT443" s="761">
        <v>50</v>
      </c>
      <c r="BU443" s="761">
        <v>36.113825353473743</v>
      </c>
      <c r="BV443" s="313">
        <f>SUM(BR443:BU443)</f>
      </c>
      <c r="BW443" s="761">
        <v>69.102442806539855</v>
      </c>
      <c r="BX443" s="761">
        <v>51</v>
      </c>
      <c r="BY443" s="761">
        <v>36</v>
      </c>
      <c r="BZ443" s="761">
        <v>26</v>
      </c>
      <c r="CA443" s="313">
        <f>SUM(BW443:BZ443)</f>
      </c>
      <c r="CB443" s="761">
        <v>51</v>
      </c>
      <c r="CC443" s="761">
        <v>38</v>
      </c>
      <c r="CD443" s="761">
        <v>26.5</v>
      </c>
      <c r="CE443" s="761">
        <v>18</v>
      </c>
      <c r="CF443" s="313">
        <f>SUM(CB443:CE443)</f>
      </c>
      <c r="CG443" s="761">
        <v>39.799999999999997</v>
      </c>
      <c r="CH443" s="761">
        <v>28.6</v>
      </c>
      <c r="CI443" s="761">
        <v>20</v>
      </c>
      <c r="CJ443" s="761">
        <v>15</v>
      </c>
      <c r="CK443" s="313">
        <f>SUM(CG443:CJ443)</f>
      </c>
      <c r="CL443" s="761">
        <v>39.799999999999997</v>
      </c>
      <c r="CM443" s="761">
        <v>22</v>
      </c>
      <c r="CN443" s="761">
        <v>20</v>
      </c>
      <c r="CO443" s="761">
        <v>18</v>
      </c>
      <c r="CP443" s="313">
        <f>SUM(CL443:CO443)</f>
      </c>
      <c r="CQ443" s="352"/>
      <c r="CR443" s="352"/>
      <c r="CS443" s="933"/>
      <c r="CT443" s="933"/>
      <c r="CU443" s="313"/>
      <c r="CV443" s="352"/>
      <c r="CW443" s="933"/>
      <c r="CX443" s="933"/>
      <c r="CY443" s="933"/>
      <c r="CZ443" s="313"/>
      <c r="DA443" s="352"/>
      <c r="DB443" s="31"/>
      <c r="DC443" s="31"/>
      <c r="DD443" s="955"/>
      <c r="DE443" s="477"/>
      <c r="DF443" s="1801"/>
      <c r="DG443" s="603"/>
      <c r="DH443" s="603"/>
      <c r="DI443" s="1798"/>
      <c r="DJ443" s="477"/>
      <c r="DK443" s="1801"/>
      <c r="DL443" s="603"/>
      <c r="DM443" s="603"/>
      <c r="DN443" s="1798"/>
      <c r="DO443" s="477"/>
      <c r="DP443" s="603"/>
      <c r="DQ443" s="603"/>
      <c r="DR443" s="603"/>
      <c r="DS443" s="1798"/>
      <c r="DT443" s="477"/>
      <c r="DU443" s="603"/>
      <c r="DV443" s="603"/>
      <c r="DW443" s="603"/>
      <c r="DX443" s="1798"/>
      <c r="DY443" s="477"/>
      <c r="DZ443" s="603"/>
      <c r="EA443" s="603"/>
      <c r="EB443" s="603"/>
      <c r="EC443" s="1798"/>
      <c r="ED443" s="477"/>
      <c r="EE443" s="603"/>
      <c r="EF443" s="603"/>
      <c r="EG443" s="603"/>
      <c r="EH443" s="1798"/>
      <c r="EI443" s="477"/>
      <c r="EJ443" s="477"/>
      <c r="EK443" s="477"/>
      <c r="EL443" s="477"/>
      <c r="EM443" s="477"/>
      <c r="EN443" s="477"/>
      <c r="EO443" s="1798"/>
      <c r="EP443" s="477"/>
      <c r="EQ443" s="477"/>
      <c r="ER443" s="477"/>
      <c r="ES443" s="477"/>
      <c r="ET443" s="477"/>
      <c r="EU443" s="477"/>
      <c r="EV443" s="477"/>
      <c r="EW443" s="477"/>
      <c r="EX443" s="477"/>
    </row>
    <row r="444" spans="2:154" ht="12.75" hidden="1" customHeight="1" outlineLevel="1">
      <c r="B444" s="437" t="s">
        <v>413</v>
      </c>
      <c r="C444" s="1989"/>
      <c r="D444" s="28">
        <f t="shared" ref="D444:AI444" si="1146">+D442+D443</f>
      </c>
      <c r="E444" s="28">
        <f t="shared" si="1146"/>
      </c>
      <c r="F444" s="28">
        <f t="shared" si="1146"/>
      </c>
      <c r="G444" s="28">
        <f t="shared" si="1146"/>
      </c>
      <c r="H444" s="28">
        <f t="shared" si="1146"/>
      </c>
      <c r="I444" s="31">
        <f t="shared" si="1146"/>
      </c>
      <c r="J444" s="28">
        <f t="shared" si="1146"/>
      </c>
      <c r="K444" s="28">
        <f t="shared" si="1146"/>
      </c>
      <c r="L444" s="28">
        <f t="shared" si="1146"/>
      </c>
      <c r="M444" s="28">
        <f t="shared" si="1146"/>
      </c>
      <c r="N444" s="31">
        <f t="shared" si="1146"/>
      </c>
      <c r="O444" s="31">
        <f t="shared" si="1146"/>
      </c>
      <c r="P444" s="31">
        <f t="shared" si="1146"/>
      </c>
      <c r="Q444" s="31">
        <f t="shared" si="1146"/>
      </c>
      <c r="R444" s="31">
        <f t="shared" si="1146"/>
      </c>
      <c r="S444" s="31">
        <f t="shared" si="1146"/>
      </c>
      <c r="T444" s="31">
        <f t="shared" si="1146"/>
      </c>
      <c r="U444" s="31">
        <f t="shared" si="1146"/>
      </c>
      <c r="V444" s="31">
        <f t="shared" si="1146"/>
      </c>
      <c r="W444" s="31">
        <f t="shared" si="1146"/>
      </c>
      <c r="X444" s="313">
        <f t="shared" si="1146"/>
      </c>
      <c r="Y444" s="31">
        <f t="shared" si="1146"/>
      </c>
      <c r="Z444" s="31">
        <f t="shared" si="1146"/>
      </c>
      <c r="AA444" s="31">
        <f t="shared" si="1146"/>
      </c>
      <c r="AB444" s="31">
        <f t="shared" si="1146"/>
      </c>
      <c r="AC444" s="313">
        <f t="shared" si="1146"/>
      </c>
      <c r="AD444" s="31">
        <f t="shared" si="1146"/>
      </c>
      <c r="AE444" s="31">
        <f t="shared" si="1146"/>
      </c>
      <c r="AF444" s="31">
        <f t="shared" si="1146"/>
      </c>
      <c r="AG444" s="31">
        <f t="shared" si="1146"/>
      </c>
      <c r="AH444" s="313">
        <f t="shared" si="1146"/>
      </c>
      <c r="AI444" s="28">
        <f t="shared" si="1146"/>
      </c>
      <c r="AJ444" s="28">
        <f t="shared" ref="AJ444:BK444" si="1147">+AJ442+AJ443</f>
      </c>
      <c r="AK444" s="28">
        <f t="shared" si="1147"/>
      </c>
      <c r="AL444" s="31">
        <f t="shared" si="1147"/>
      </c>
      <c r="AM444" s="313">
        <f t="shared" si="1147"/>
      </c>
      <c r="AN444" s="28">
        <f t="shared" si="1147"/>
      </c>
      <c r="AO444" s="28">
        <f t="shared" si="1147"/>
      </c>
      <c r="AP444" s="28">
        <f t="shared" si="1147"/>
      </c>
      <c r="AQ444" s="31">
        <f t="shared" si="1147"/>
      </c>
      <c r="AR444" s="313">
        <f t="shared" si="1147"/>
      </c>
      <c r="AS444" s="28">
        <f t="shared" si="1147"/>
      </c>
      <c r="AT444" s="28">
        <f t="shared" si="1147"/>
      </c>
      <c r="AU444" s="28">
        <f t="shared" si="1147"/>
      </c>
      <c r="AV444" s="31">
        <f t="shared" si="1147"/>
      </c>
      <c r="AW444" s="313">
        <f t="shared" si="1147"/>
      </c>
      <c r="AX444" s="28">
        <f t="shared" si="1147"/>
      </c>
      <c r="AY444" s="28">
        <f t="shared" si="1147"/>
      </c>
      <c r="AZ444" s="28">
        <f t="shared" si="1147"/>
      </c>
      <c r="BA444" s="28">
        <f t="shared" si="1147"/>
      </c>
      <c r="BB444" s="313">
        <f t="shared" si="1147"/>
      </c>
      <c r="BC444" s="28">
        <f t="shared" si="1147"/>
      </c>
      <c r="BD444" s="28">
        <f t="shared" si="1147"/>
      </c>
      <c r="BE444" s="28">
        <f t="shared" si="1147"/>
      </c>
      <c r="BF444" s="28">
        <f t="shared" si="1147"/>
      </c>
      <c r="BG444" s="313">
        <f t="shared" si="1147"/>
      </c>
      <c r="BH444" s="28">
        <f t="shared" si="1147"/>
      </c>
      <c r="BI444" s="28">
        <f t="shared" si="1147"/>
      </c>
      <c r="BJ444" s="28">
        <f t="shared" si="1147"/>
      </c>
      <c r="BK444" s="28">
        <f t="shared" si="1147"/>
      </c>
      <c r="BL444" s="313">
        <f>SUM(BH444:BK444)</f>
      </c>
      <c r="BM444" s="28">
        <f t="shared" ref="BM444:BU444" si="1148">+BM442+BM443</f>
      </c>
      <c r="BN444" s="28">
        <f t="shared" si="1148"/>
      </c>
      <c r="BO444" s="28">
        <f t="shared" si="1148"/>
      </c>
      <c r="BP444" s="28">
        <f t="shared" si="1148"/>
      </c>
      <c r="BQ444" s="313">
        <f t="shared" si="1148"/>
      </c>
      <c r="BR444" s="28">
        <f t="shared" si="1148"/>
      </c>
      <c r="BS444" s="28">
        <f t="shared" si="1148"/>
      </c>
      <c r="BT444" s="28">
        <f t="shared" si="1148"/>
      </c>
      <c r="BU444" s="28">
        <f t="shared" si="1148"/>
      </c>
      <c r="BV444" s="313">
        <f>+BV442+BV443</f>
      </c>
      <c r="BW444" s="28">
        <f>+BW442+BW443</f>
      </c>
      <c r="BX444" s="28">
        <f>+BX442+BX443</f>
      </c>
      <c r="BY444" s="28">
        <f>+BY442+BY443</f>
      </c>
      <c r="BZ444" s="28">
        <f>+BZ442+BZ443</f>
      </c>
      <c r="CA444" s="313">
        <f>SUM(BW444:BZ444)</f>
      </c>
      <c r="CB444" s="28">
        <f>+CB442+CB443</f>
      </c>
      <c r="CC444" s="28">
        <f>+CC442+CC443</f>
      </c>
      <c r="CD444" s="28">
        <f>+CD442+CD443</f>
      </c>
      <c r="CE444" s="28">
        <f>+CE442+CE443</f>
      </c>
      <c r="CF444" s="313">
        <f>SUM(CB444:CE444)</f>
      </c>
      <c r="CG444" s="28">
        <f>+CG442+CG443</f>
      </c>
      <c r="CH444" s="28">
        <f>+CH442+CH443</f>
      </c>
      <c r="CI444" s="28">
        <f>+CI442+CI443</f>
      </c>
      <c r="CJ444" s="28">
        <f>+CJ442+CJ443</f>
      </c>
      <c r="CK444" s="313">
        <f>SUM(CG444:CJ444)</f>
      </c>
      <c r="CL444" s="28">
        <f>+CL442+CL443</f>
      </c>
      <c r="CM444" s="28">
        <f>+CM442+CM443</f>
      </c>
      <c r="CN444" s="28">
        <f>+CN442+CN443</f>
      </c>
      <c r="CO444" s="28">
        <f>+CO442+CO443</f>
      </c>
      <c r="CP444" s="313">
        <f>SUM(CL444:CO444)</f>
      </c>
      <c r="CQ444" s="933"/>
      <c r="CR444" s="933"/>
      <c r="CS444" s="933"/>
      <c r="CT444" s="933"/>
      <c r="CU444" s="313"/>
      <c r="CV444" s="933"/>
      <c r="CW444" s="933"/>
      <c r="CX444" s="933"/>
      <c r="CY444" s="933"/>
      <c r="CZ444" s="313"/>
      <c r="DA444" s="933"/>
      <c r="DB444" s="31"/>
      <c r="DC444" s="31"/>
      <c r="DD444" s="955"/>
      <c r="DE444" s="477"/>
      <c r="DF444" s="982"/>
      <c r="DG444" s="603"/>
      <c r="DH444" s="603"/>
      <c r="DI444" s="1798"/>
      <c r="DJ444" s="477"/>
      <c r="DK444" s="982"/>
      <c r="DL444" s="603"/>
      <c r="DM444" s="603"/>
      <c r="DN444" s="1798"/>
      <c r="DO444" s="477"/>
      <c r="DP444" s="603"/>
      <c r="DQ444" s="603"/>
      <c r="DR444" s="603"/>
      <c r="DS444" s="1798"/>
      <c r="DT444" s="477"/>
      <c r="DU444" s="603"/>
      <c r="DV444" s="603"/>
      <c r="DW444" s="603"/>
      <c r="DX444" s="1798"/>
      <c r="DY444" s="477"/>
      <c r="DZ444" s="603"/>
      <c r="EA444" s="603"/>
      <c r="EB444" s="603"/>
      <c r="EC444" s="1798"/>
      <c r="ED444" s="477"/>
      <c r="EE444" s="603"/>
      <c r="EF444" s="603"/>
      <c r="EG444" s="603"/>
      <c r="EH444" s="1798"/>
      <c r="EI444" s="477"/>
      <c r="EJ444" s="477"/>
      <c r="EK444" s="477"/>
      <c r="EL444" s="477"/>
      <c r="EM444" s="477"/>
      <c r="EN444" s="477"/>
      <c r="EO444" s="1798"/>
      <c r="EP444" s="477"/>
      <c r="EQ444" s="477"/>
      <c r="ER444" s="477"/>
      <c r="ES444" s="477"/>
      <c r="ET444" s="477"/>
      <c r="EU444" s="477"/>
      <c r="EV444" s="477"/>
      <c r="EW444" s="477"/>
      <c r="EX444" s="477"/>
    </row>
    <row r="445" spans="2:154" ht="12.75" hidden="1" customHeight="1" outlineLevel="1">
      <c r="B445" s="437"/>
      <c r="C445" s="1989"/>
      <c r="D445" s="28"/>
      <c r="E445" s="28"/>
      <c r="F445" s="28"/>
      <c r="G445" s="28"/>
      <c r="H445" s="28"/>
      <c r="I445" s="31"/>
      <c r="J445" s="28"/>
      <c r="K445" s="28"/>
      <c r="L445" s="28"/>
      <c r="M445" s="28"/>
      <c r="N445" s="31"/>
      <c r="O445" s="31"/>
      <c r="P445" s="31"/>
      <c r="Q445" s="31"/>
      <c r="R445" s="31"/>
      <c r="S445" s="31"/>
      <c r="T445" s="31"/>
      <c r="U445" s="31"/>
      <c r="V445" s="31"/>
      <c r="W445" s="31"/>
      <c r="X445" s="313"/>
      <c r="Y445" s="31"/>
      <c r="Z445" s="31"/>
      <c r="AA445" s="31"/>
      <c r="AB445" s="31"/>
      <c r="AC445" s="313"/>
      <c r="AD445" s="31"/>
      <c r="AE445" s="31"/>
      <c r="AF445" s="31"/>
      <c r="AG445" s="31"/>
      <c r="AH445" s="313"/>
      <c r="AI445" s="28"/>
      <c r="AJ445" s="28"/>
      <c r="AK445" s="28"/>
      <c r="AL445" s="31"/>
      <c r="AM445" s="313"/>
      <c r="AN445" s="28"/>
      <c r="AO445" s="28"/>
      <c r="AP445" s="28"/>
      <c r="AQ445" s="31"/>
      <c r="AR445" s="313"/>
      <c r="AS445" s="28"/>
      <c r="AT445" s="28"/>
      <c r="AU445" s="28"/>
      <c r="AV445" s="31"/>
      <c r="AW445" s="313"/>
      <c r="AX445" s="28"/>
      <c r="AY445" s="28"/>
      <c r="AZ445" s="28"/>
      <c r="BA445" s="28"/>
      <c r="BB445" s="313"/>
      <c r="BC445" s="28"/>
      <c r="BD445" s="28"/>
      <c r="BE445" s="28"/>
      <c r="BF445" s="28"/>
      <c r="BG445" s="313"/>
      <c r="BH445" s="28"/>
      <c r="BI445" s="28"/>
      <c r="BJ445" s="28"/>
      <c r="BK445" s="28"/>
      <c r="BL445" s="313"/>
      <c r="BM445" s="28"/>
      <c r="BN445" s="28"/>
      <c r="BO445" s="28"/>
      <c r="BP445" s="28"/>
      <c r="BQ445" s="313"/>
      <c r="BR445" s="28"/>
      <c r="BS445" s="28"/>
      <c r="BT445" s="28"/>
      <c r="BU445" s="28"/>
      <c r="BV445" s="313"/>
      <c r="BW445" s="28"/>
      <c r="BX445" s="28"/>
      <c r="BY445" s="28"/>
      <c r="BZ445" s="28"/>
      <c r="CA445" s="313"/>
      <c r="CB445" s="28"/>
      <c r="CC445" s="28"/>
      <c r="CD445" s="28"/>
      <c r="CE445" s="28"/>
      <c r="CF445" s="313"/>
      <c r="CG445" s="28"/>
      <c r="CH445" s="28"/>
      <c r="CI445" s="28"/>
      <c r="CJ445" s="28"/>
      <c r="CK445" s="313"/>
      <c r="CL445" s="961"/>
      <c r="CM445" s="933"/>
      <c r="CN445" s="28"/>
      <c r="CO445" s="28"/>
      <c r="CP445" s="313"/>
      <c r="CQ445" s="933"/>
      <c r="CR445" s="933"/>
      <c r="CS445" s="933"/>
      <c r="CT445" s="933"/>
      <c r="CU445" s="313"/>
      <c r="CV445" s="933"/>
      <c r="CW445" s="933"/>
      <c r="CX445" s="933"/>
      <c r="CY445" s="933"/>
      <c r="CZ445" s="313"/>
      <c r="DA445" s="933"/>
      <c r="DB445" s="31"/>
      <c r="DC445" s="31"/>
      <c r="DD445" s="955"/>
      <c r="DE445" s="477"/>
      <c r="DF445" s="982"/>
      <c r="DG445" s="603"/>
      <c r="DH445" s="603"/>
      <c r="DI445" s="1798"/>
      <c r="DJ445" s="477"/>
      <c r="DK445" s="982"/>
      <c r="DL445" s="603"/>
      <c r="DM445" s="603"/>
      <c r="DN445" s="1798"/>
      <c r="DO445" s="477"/>
      <c r="DP445" s="603"/>
      <c r="DQ445" s="603"/>
      <c r="DR445" s="603"/>
      <c r="DS445" s="1798"/>
      <c r="DT445" s="477"/>
      <c r="DU445" s="603"/>
      <c r="DV445" s="603"/>
      <c r="DW445" s="603"/>
      <c r="DX445" s="1798"/>
      <c r="DY445" s="477"/>
      <c r="DZ445" s="603"/>
      <c r="EA445" s="603"/>
      <c r="EB445" s="603"/>
      <c r="EC445" s="1798"/>
      <c r="ED445" s="477"/>
      <c r="EE445" s="603"/>
      <c r="EF445" s="603"/>
      <c r="EG445" s="603"/>
      <c r="EH445" s="1798"/>
      <c r="EI445" s="477"/>
      <c r="EJ445" s="477"/>
      <c r="EK445" s="477"/>
      <c r="EL445" s="477"/>
      <c r="EM445" s="477"/>
      <c r="EN445" s="477"/>
      <c r="EO445" s="1798"/>
      <c r="EP445" s="477"/>
      <c r="EQ445" s="477"/>
      <c r="ER445" s="477"/>
      <c r="ES445" s="477"/>
      <c r="ET445" s="477"/>
      <c r="EU445" s="477"/>
      <c r="EV445" s="477"/>
      <c r="EW445" s="477"/>
      <c r="EX445" s="477"/>
    </row>
    <row r="446" spans="2:154" ht="12.75" hidden="1" customHeight="1" outlineLevel="1">
      <c r="B446" s="439" t="s">
        <v>459</v>
      </c>
      <c r="C446" s="1989"/>
      <c r="D446" s="28"/>
      <c r="E446" s="28"/>
      <c r="F446" s="28"/>
      <c r="G446" s="28"/>
      <c r="H446" s="28"/>
      <c r="I446" s="31"/>
      <c r="J446" s="28"/>
      <c r="K446" s="28"/>
      <c r="L446" s="28"/>
      <c r="M446" s="28"/>
      <c r="N446" s="31"/>
      <c r="O446" s="31"/>
      <c r="P446" s="31"/>
      <c r="Q446" s="31"/>
      <c r="R446" s="31"/>
      <c r="S446" s="31"/>
      <c r="T446" s="31"/>
      <c r="U446" s="31"/>
      <c r="V446" s="31"/>
      <c r="W446" s="31"/>
      <c r="X446" s="319"/>
      <c r="Y446" s="31"/>
      <c r="Z446" s="31"/>
      <c r="AA446" s="31"/>
      <c r="AB446" s="31"/>
      <c r="AC446" s="319"/>
      <c r="AD446" s="31"/>
      <c r="AE446" s="31"/>
      <c r="AF446" s="31"/>
      <c r="AG446" s="31"/>
      <c r="AH446" s="319"/>
      <c r="AI446" s="28"/>
      <c r="AJ446" s="28"/>
      <c r="AK446" s="28"/>
      <c r="AL446" s="31"/>
      <c r="AM446" s="319"/>
      <c r="AN446" s="28"/>
      <c r="AO446" s="28"/>
      <c r="AP446" s="28"/>
      <c r="AQ446" s="31"/>
      <c r="AR446" s="319"/>
      <c r="AS446" s="28"/>
      <c r="AT446" s="28"/>
      <c r="AU446" s="28"/>
      <c r="AV446" s="31"/>
      <c r="AW446" s="319"/>
      <c r="AX446" s="28"/>
      <c r="AY446" s="28"/>
      <c r="AZ446" s="28"/>
      <c r="BA446" s="28"/>
      <c r="BB446" s="319"/>
      <c r="BC446" s="28"/>
      <c r="BD446" s="28"/>
      <c r="BE446" s="28"/>
      <c r="BF446" s="28" t="s">
        <v>29</v>
      </c>
      <c r="BG446" s="313"/>
      <c r="BH446" s="28"/>
      <c r="BI446" s="28"/>
      <c r="BJ446" s="28"/>
      <c r="BK446" s="28"/>
      <c r="BL446" s="313"/>
      <c r="BM446" s="28"/>
      <c r="BN446" s="28"/>
      <c r="BO446" s="28"/>
      <c r="BP446" s="28"/>
      <c r="BQ446" s="313"/>
      <c r="BR446" s="28"/>
      <c r="BS446" s="28"/>
      <c r="BT446" s="28"/>
      <c r="BU446" s="28"/>
      <c r="BV446" s="313"/>
      <c r="BW446" s="28"/>
      <c r="BX446" s="28"/>
      <c r="BY446" s="28"/>
      <c r="BZ446" s="28"/>
      <c r="CA446" s="313"/>
      <c r="CB446" s="28"/>
      <c r="CC446" s="28"/>
      <c r="CD446" s="28"/>
      <c r="CE446" s="28"/>
      <c r="CF446" s="313"/>
      <c r="CG446" s="28"/>
      <c r="CH446" s="28"/>
      <c r="CI446" s="28"/>
      <c r="CJ446" s="28"/>
      <c r="CK446" s="313"/>
      <c r="CL446" s="961"/>
      <c r="CM446" s="28"/>
      <c r="CN446" s="933"/>
      <c r="CO446" s="28"/>
      <c r="CP446" s="313"/>
      <c r="CQ446" s="933"/>
      <c r="CR446" s="933"/>
      <c r="CS446" s="933"/>
      <c r="CT446" s="933"/>
      <c r="CU446" s="313"/>
      <c r="CV446" s="933"/>
      <c r="CW446" s="933"/>
      <c r="CX446" s="933"/>
      <c r="CY446" s="933"/>
      <c r="CZ446" s="313"/>
      <c r="DA446" s="933"/>
      <c r="DB446" s="31"/>
      <c r="DC446" s="31"/>
      <c r="DD446" s="955"/>
      <c r="DE446" s="477"/>
      <c r="DF446" s="982"/>
      <c r="DG446" s="603"/>
      <c r="DH446" s="603"/>
      <c r="DI446" s="1798"/>
      <c r="DJ446" s="477"/>
      <c r="DK446" s="982"/>
      <c r="DL446" s="603"/>
      <c r="DM446" s="603"/>
      <c r="DN446" s="1798"/>
      <c r="DO446" s="477"/>
      <c r="DP446" s="603"/>
      <c r="DQ446" s="603"/>
      <c r="DR446" s="603"/>
      <c r="DS446" s="1798"/>
      <c r="DT446" s="477"/>
      <c r="DU446" s="603"/>
      <c r="DV446" s="603"/>
      <c r="DW446" s="603"/>
      <c r="DX446" s="1798"/>
      <c r="DY446" s="477"/>
      <c r="DZ446" s="603"/>
      <c r="EA446" s="603"/>
      <c r="EB446" s="603"/>
      <c r="EC446" s="1798"/>
      <c r="ED446" s="477"/>
      <c r="EE446" s="603"/>
      <c r="EF446" s="603"/>
      <c r="EG446" s="603"/>
      <c r="EH446" s="1798"/>
      <c r="EI446" s="477"/>
      <c r="EJ446" s="477"/>
      <c r="EK446" s="477"/>
      <c r="EL446" s="477"/>
      <c r="EM446" s="477"/>
      <c r="EN446" s="477"/>
      <c r="EO446" s="1798"/>
      <c r="EP446" s="477"/>
      <c r="EQ446" s="477"/>
      <c r="ER446" s="477"/>
      <c r="ES446" s="477"/>
      <c r="ET446" s="477"/>
      <c r="EU446" s="477"/>
      <c r="EV446" s="477"/>
      <c r="EW446" s="477"/>
      <c r="EX446" s="477"/>
    </row>
    <row r="447" spans="2:154" ht="12.75" hidden="1" customHeight="1" outlineLevel="1">
      <c r="B447" s="437" t="s">
        <v>187</v>
      </c>
      <c r="C447" s="1989"/>
      <c r="D447" s="28"/>
      <c r="E447" s="28"/>
      <c r="F447" s="28"/>
      <c r="G447" s="28"/>
      <c r="H447" s="28"/>
      <c r="I447" s="29" t="str">
        <f t="shared" ref="I447:R448" si="1149">IF(D442="NM","NM",IF(I442="NM","NM",IF(D442&lt;=0,"NM",IF(I442=0,"NM",IF(ABS(I442/D442-1)&gt;2.5,"NM",IF((ABS(I442-D442)=ABS(ABS(I442)-ABS(D442))),(I442/D442-1),"NM"))))))</f>
      </c>
      <c r="J447" s="30" t="str">
        <f t="shared" si="1149"/>
      </c>
      <c r="K447" s="30" t="str">
        <f t="shared" si="1149"/>
      </c>
      <c r="L447" s="30" t="str">
        <f t="shared" si="1149"/>
      </c>
      <c r="M447" s="30" t="str">
        <f t="shared" si="1149"/>
      </c>
      <c r="N447" s="30" t="str">
        <f t="shared" si="1149"/>
      </c>
      <c r="O447" s="30" t="str">
        <f t="shared" si="1149"/>
      </c>
      <c r="P447" s="30" t="str">
        <f t="shared" si="1149"/>
      </c>
      <c r="Q447" s="30" t="str">
        <f t="shared" si="1149"/>
      </c>
      <c r="R447" s="30" t="str">
        <f t="shared" si="1149"/>
      </c>
      <c r="S447" s="30" t="str">
        <f t="shared" ref="S447:AB448" si="1150">IF(N442="NM","NM",IF(S442="NM","NM",IF(N442&lt;=0,"NM",IF(S442=0,"NM",IF(ABS(S442/N442-1)&gt;2.5,"NM",IF((ABS(S442-N442)=ABS(ABS(S442)-ABS(N442))),(S442/N442-1),"NM"))))))</f>
      </c>
      <c r="T447" s="30" t="str">
        <f t="shared" si="1150"/>
      </c>
      <c r="U447" s="30">
        <f t="shared" si="1150"/>
      </c>
      <c r="V447" s="30">
        <f t="shared" si="1150"/>
      </c>
      <c r="W447" s="30">
        <f t="shared" si="1150"/>
      </c>
      <c r="X447" s="308">
        <f t="shared" si="1150"/>
      </c>
      <c r="Y447" s="30">
        <f t="shared" si="1150"/>
      </c>
      <c r="Z447" s="30">
        <f t="shared" si="1150"/>
      </c>
      <c r="AA447" s="30">
        <f t="shared" si="1150"/>
      </c>
      <c r="AB447" s="30">
        <f t="shared" si="1150"/>
      </c>
      <c r="AC447" s="308">
        <f t="shared" ref="AC447:AL448" si="1151">IF(X442="NM","NM",IF(AC442="NM","NM",IF(X442&lt;=0,"NM",IF(AC442=0,"NM",IF(ABS(AC442/X442-1)&gt;2.5,"NM",IF((ABS(AC442-X442)=ABS(ABS(AC442)-ABS(X442))),(AC442/X442-1),"NM"))))))</f>
      </c>
      <c r="AD447" s="30">
        <f t="shared" si="1151"/>
      </c>
      <c r="AE447" s="30">
        <f t="shared" si="1151"/>
      </c>
      <c r="AF447" s="30">
        <f t="shared" si="1151"/>
      </c>
      <c r="AG447" s="30">
        <f t="shared" si="1151"/>
      </c>
      <c r="AH447" s="308">
        <f t="shared" si="1151"/>
      </c>
      <c r="AI447" s="30">
        <f t="shared" si="1151"/>
      </c>
      <c r="AJ447" s="30">
        <f t="shared" si="1151"/>
      </c>
      <c r="AK447" s="30">
        <f t="shared" si="1151"/>
      </c>
      <c r="AL447" s="30">
        <f t="shared" si="1151"/>
      </c>
      <c r="AM447" s="308">
        <f t="shared" ref="AM447:AV448" si="1152">IF(AH442="NM","NM",IF(AM442="NM","NM",IF(AH442&lt;=0,"NM",IF(AM442=0,"NM",IF(ABS(AM442/AH442-1)&gt;2.5,"NM",IF((ABS(AM442-AH442)=ABS(ABS(AM442)-ABS(AH442))),(AM442/AH442-1),"NM"))))))</f>
      </c>
      <c r="AN447" s="30">
        <f t="shared" si="1152"/>
      </c>
      <c r="AO447" s="30">
        <f t="shared" si="1152"/>
      </c>
      <c r="AP447" s="30">
        <f t="shared" si="1152"/>
      </c>
      <c r="AQ447" s="30">
        <f t="shared" si="1152"/>
      </c>
      <c r="AR447" s="308">
        <f t="shared" si="1152"/>
      </c>
      <c r="AS447" s="30">
        <f t="shared" si="1152"/>
      </c>
      <c r="AT447" s="30">
        <f t="shared" si="1152"/>
      </c>
      <c r="AU447" s="30">
        <f t="shared" si="1152"/>
      </c>
      <c r="AV447" s="30">
        <f t="shared" si="1152"/>
      </c>
      <c r="AW447" s="308">
        <f t="shared" ref="AW447:BF448" si="1153">IF(AR442="NM","NM",IF(AW442="NM","NM",IF(AR442&lt;=0,"NM",IF(AW442=0,"NM",IF(ABS(AW442/AR442-1)&gt;2.5,"NM",IF((ABS(AW442-AR442)=ABS(ABS(AW442)-ABS(AR442))),(AW442/AR442-1),"NM"))))))</f>
      </c>
      <c r="AX447" s="30">
        <f t="shared" si="1153"/>
      </c>
      <c r="AY447" s="30">
        <f t="shared" si="1153"/>
      </c>
      <c r="AZ447" s="30">
        <f t="shared" si="1153"/>
      </c>
      <c r="BA447" s="30">
        <f t="shared" si="1153"/>
      </c>
      <c r="BB447" s="308">
        <f t="shared" si="1153"/>
      </c>
      <c r="BC447" s="30">
        <f t="shared" si="1153"/>
      </c>
      <c r="BD447" s="30">
        <f t="shared" si="1153"/>
      </c>
      <c r="BE447" s="30">
        <f t="shared" si="1153"/>
      </c>
      <c r="BF447" s="30">
        <f t="shared" si="1153"/>
      </c>
      <c r="BG447" s="308">
        <f t="shared" ref="BG447:BP448" si="1154">IF(BB442="NM","NM",IF(BG442="NM","NM",IF(BB442&lt;=0,"NM",IF(BG442=0,"NM",IF(ABS(BG442/BB442-1)&gt;2.5,"NM",IF((ABS(BG442-BB442)=ABS(ABS(BG442)-ABS(BB442))),(BG442/BB442-1),"NM"))))))</f>
      </c>
      <c r="BH447" s="30">
        <f t="shared" si="1154"/>
      </c>
      <c r="BI447" s="30">
        <f t="shared" si="1154"/>
      </c>
      <c r="BJ447" s="30">
        <f t="shared" si="1154"/>
      </c>
      <c r="BK447" s="30">
        <f t="shared" si="1154"/>
      </c>
      <c r="BL447" s="315">
        <f t="shared" si="1154"/>
      </c>
      <c r="BM447" s="30">
        <f t="shared" si="1154"/>
      </c>
      <c r="BN447" s="30">
        <f t="shared" si="1154"/>
      </c>
      <c r="BO447" s="30">
        <f t="shared" si="1154"/>
      </c>
      <c r="BP447" s="30">
        <f t="shared" si="1154"/>
      </c>
      <c r="BQ447" s="315">
        <f t="shared" ref="BQ447:BV448" si="1155">IF(BL442="NM","NM",IF(BQ442="NM","NM",IF(BL442&lt;=0,"NM",IF(BQ442=0,"NM",IF(ABS(BQ442/BL442-1)&gt;2.5,"NM",IF((ABS(BQ442-BL442)=ABS(ABS(BQ442)-ABS(BL442))),(BQ442/BL442-1),"NM"))))))</f>
      </c>
      <c r="BR447" s="30">
        <f t="shared" si="1155"/>
      </c>
      <c r="BS447" s="30">
        <f t="shared" si="1155"/>
      </c>
      <c r="BT447" s="30" t="str">
        <f t="shared" si="1155"/>
      </c>
      <c r="BU447" s="30">
        <f t="shared" si="1155"/>
      </c>
      <c r="BV447" s="315">
        <f t="shared" si="1155"/>
      </c>
      <c r="BW447" s="30">
        <f t="shared" ref="BW447:BY448" si="1156">IF(BR442="NM","NM",IF(BW442="NM","NM",IF(BR442&lt;=0,"NM",IF(BW442=0,"NM",IF(ABS(BW442/BR442-1)&gt;2.5,"NM",IF((ABS(BW442-BR442)=ABS(ABS(BW442)-ABS(BR442))),(BW442/BR442-1),"NM"))))))</f>
      </c>
      <c r="BX447" s="30">
        <f t="shared" si="1156"/>
      </c>
      <c r="BY447" s="30">
        <f t="shared" si="1156"/>
      </c>
      <c r="BZ447" s="30">
        <f>IF(BU442="NM","NM",IF(BZ442="NM","NM",IF(BU442&lt;=0,"NM",IF(BZ442=0,"NM",IF(ABS(BZ442/BU442-1)&gt;2.5,"NM",IF((ABS(BZ442-BU442)=ABS(ABS(BZ442)-ABS(BU442))),(BZ442/BU442-1),"NM"))))))</f>
      </c>
      <c r="CA447" s="315">
        <f>IF(BV442="NM","NM",IF(CA442="NM","NM",IF(BV442&lt;=0,"NM",IF(CA442=0,"NM",IF(ABS(CA442/BV442-1)&gt;2.5,"NM",IF((ABS(CA442-BV442)=ABS(ABS(CA442)-ABS(BV442))),(CA442/BV442-1),"NM"))))))</f>
      </c>
      <c r="CB447" s="30">
        <f t="shared" ref="CB447:CI448" si="1157">IF(BW442="NM","NM",IF(CB442="NM","NM",IF(BW442&lt;=0,"NM",IF(CB442=0,"NM",IF(ABS(CB442/BW442-1)&gt;2.5,"NM",IF((ABS(CB442-BW442)=ABS(ABS(CB442)-ABS(BW442))),(CB442/BW442-1),"NM"))))))</f>
      </c>
      <c r="CC447" s="30">
        <f t="shared" si="1157"/>
      </c>
      <c r="CD447" s="30">
        <f t="shared" si="1157"/>
      </c>
      <c r="CE447" s="30">
        <f>IF(BZ442="NM","NM",IF(CE442="NM","NM",IF(BZ442&lt;=0,"NM",IF(CE442=0,"NM",IF(ABS(CE442/BZ442-1)&gt;2.5,"NM",IF((ABS(CE442-BZ442)=ABS(ABS(CE442)-ABS(BZ442))),(CE442/BZ442-1),"NM"))))))</f>
      </c>
      <c r="CF447" s="315">
        <f>IF(CA442="NM","NM",IF(CF442="NM","NM",IF(CA442&lt;=0,"NM",IF(CF442=0,"NM",IF(ABS(CF442/CA442-1)&gt;2.5,"NM",IF((ABS(CF442-CA442)=ABS(ABS(CF442)-ABS(CA442))),(CF442/CA442-1),"NM"))))))</f>
      </c>
      <c r="CG447" s="30">
        <f t="shared" si="1157"/>
      </c>
      <c r="CH447" s="30">
        <f t="shared" si="1157"/>
      </c>
      <c r="CI447" s="30">
        <f t="shared" si="1157"/>
      </c>
      <c r="CJ447" s="30">
        <f>IF(CE442="NM","NM",IF(CJ442="NM","NM",IF(CE442&lt;=0,"NM",IF(CJ442=0,"NM",IF(ABS(CJ442/CE442-1)&gt;2.5,"NM",IF((ABS(CJ442-CE442)=ABS(ABS(CJ442)-ABS(CE442))),(CJ442/CE442-1),"NM"))))))</f>
      </c>
      <c r="CK447" s="308">
        <f>IF(CF442=0,0, CK442/CF442-1)</f>
      </c>
      <c r="CL447" s="30">
        <f t="shared" ref="CL447:CN448" si="1158">IF(CG442="NM","NM",IF(CL442="NM","NM",IF(CG442&lt;=0,"NM",IF(CL442=0,"NM",IF(ABS(CL442/CG442-1)&gt;2.5,"NM",IF((ABS(CL442-CG442)=ABS(ABS(CL442)-ABS(CG442))),(CL442/CG442-1),"NM"))))))</f>
      </c>
      <c r="CM447" s="30">
        <f t="shared" si="1158"/>
      </c>
      <c r="CN447" s="30">
        <f t="shared" si="1158"/>
      </c>
      <c r="CO447" s="30" t="str">
        <f>IF(CJ442="NM","NM",IF(CO442="NM","NM",IF(CJ442&lt;=0,"NM",IF(CO442=0,"NM",IF(ABS(CO442/CJ442-1)&gt;2.5,"NM",IF((ABS(CO442-CJ442)=ABS(ABS(CO442)-ABS(CJ442))),(CO442/CJ442-1),"NM"))))))</f>
      </c>
      <c r="CP447" s="308">
        <f>IF(CK442=0,0, CP442/CK442-1)</f>
      </c>
      <c r="CQ447" s="30"/>
      <c r="CR447" s="30"/>
      <c r="CS447" s="361"/>
      <c r="CT447" s="361"/>
      <c r="CU447" s="308"/>
      <c r="CV447" s="30"/>
      <c r="CW447" s="361"/>
      <c r="CX447" s="361"/>
      <c r="CY447" s="361"/>
      <c r="CZ447" s="308"/>
      <c r="DA447" s="30"/>
      <c r="DB447" s="361"/>
      <c r="DC447" s="361"/>
      <c r="DD447" s="835"/>
      <c r="DE447" s="316"/>
      <c r="DF447" s="30"/>
      <c r="DG447" s="361"/>
      <c r="DH447" s="361"/>
      <c r="DI447" s="835"/>
      <c r="DJ447" s="835"/>
      <c r="DK447" s="30"/>
      <c r="DL447" s="361"/>
      <c r="DM447" s="361"/>
      <c r="DN447" s="835"/>
      <c r="DO447" s="835"/>
      <c r="DP447" s="361"/>
      <c r="DQ447" s="361"/>
      <c r="DR447" s="361"/>
      <c r="DS447" s="835"/>
      <c r="DT447" s="835"/>
      <c r="DU447" s="361"/>
      <c r="DV447" s="361"/>
      <c r="DW447" s="361"/>
      <c r="DX447" s="835"/>
      <c r="DY447" s="835"/>
      <c r="DZ447" s="361"/>
      <c r="EA447" s="361"/>
      <c r="EB447" s="361"/>
      <c r="EC447" s="835"/>
      <c r="ED447" s="835"/>
      <c r="EE447" s="361"/>
      <c r="EF447" s="361"/>
      <c r="EG447" s="361"/>
      <c r="EH447" s="835"/>
      <c r="EI447" s="835"/>
      <c r="EJ447" s="835"/>
      <c r="EK447" s="835"/>
      <c r="EL447" s="835"/>
      <c r="EM447" s="835"/>
      <c r="EN447" s="316"/>
      <c r="EO447" s="835"/>
      <c r="EP447" s="835"/>
      <c r="EQ447" s="835"/>
      <c r="ER447" s="835"/>
      <c r="ES447" s="835"/>
      <c r="ET447" s="835"/>
      <c r="EU447" s="835"/>
      <c r="EV447" s="835"/>
      <c r="EW447" s="835"/>
      <c r="EX447" s="835"/>
    </row>
    <row r="448" spans="2:154" ht="12.75" hidden="1" customHeight="1" outlineLevel="1">
      <c r="B448" s="440" t="s">
        <v>412</v>
      </c>
      <c r="C448" s="1989"/>
      <c r="D448" s="28"/>
      <c r="E448" s="28"/>
      <c r="F448" s="28"/>
      <c r="G448" s="28"/>
      <c r="H448" s="28"/>
      <c r="I448" s="29" t="str">
        <f t="shared" si="1149"/>
      </c>
      <c r="J448" s="30" t="str">
        <f t="shared" si="1149"/>
      </c>
      <c r="K448" s="30" t="str">
        <f t="shared" si="1149"/>
      </c>
      <c r="L448" s="30" t="str">
        <f t="shared" si="1149"/>
      </c>
      <c r="M448" s="30" t="str">
        <f t="shared" si="1149"/>
      </c>
      <c r="N448" s="30" t="str">
        <f t="shared" si="1149"/>
      </c>
      <c r="O448" s="30" t="str">
        <f t="shared" si="1149"/>
      </c>
      <c r="P448" s="30" t="str">
        <f t="shared" si="1149"/>
      </c>
      <c r="Q448" s="30" t="str">
        <f t="shared" si="1149"/>
      </c>
      <c r="R448" s="30" t="str">
        <f t="shared" si="1149"/>
      </c>
      <c r="S448" s="30" t="str">
        <f t="shared" si="1150"/>
      </c>
      <c r="T448" s="30">
        <f t="shared" si="1150"/>
      </c>
      <c r="U448" s="30" t="str">
        <f t="shared" si="1150"/>
      </c>
      <c r="V448" s="30" t="str">
        <f t="shared" si="1150"/>
      </c>
      <c r="W448" s="30" t="str">
        <f t="shared" si="1150"/>
      </c>
      <c r="X448" s="308" t="str">
        <f t="shared" si="1150"/>
      </c>
      <c r="Y448" s="30" t="str">
        <f t="shared" si="1150"/>
      </c>
      <c r="Z448" s="30">
        <f t="shared" si="1150"/>
      </c>
      <c r="AA448" s="30">
        <f t="shared" si="1150"/>
      </c>
      <c r="AB448" s="30">
        <f t="shared" si="1150"/>
      </c>
      <c r="AC448" s="308">
        <f t="shared" si="1151"/>
      </c>
      <c r="AD448" s="30">
        <f t="shared" si="1151"/>
      </c>
      <c r="AE448" s="30">
        <f t="shared" si="1151"/>
      </c>
      <c r="AF448" s="30">
        <f t="shared" si="1151"/>
      </c>
      <c r="AG448" s="30">
        <f t="shared" si="1151"/>
      </c>
      <c r="AH448" s="308">
        <f t="shared" si="1151"/>
      </c>
      <c r="AI448" s="30">
        <f t="shared" si="1151"/>
      </c>
      <c r="AJ448" s="30">
        <f t="shared" si="1151"/>
      </c>
      <c r="AK448" s="30">
        <f t="shared" si="1151"/>
      </c>
      <c r="AL448" s="30">
        <f t="shared" si="1151"/>
      </c>
      <c r="AM448" s="308">
        <f t="shared" si="1152"/>
      </c>
      <c r="AN448" s="30">
        <f t="shared" si="1152"/>
      </c>
      <c r="AO448" s="30">
        <f t="shared" si="1152"/>
      </c>
      <c r="AP448" s="30">
        <f t="shared" si="1152"/>
      </c>
      <c r="AQ448" s="30">
        <f t="shared" si="1152"/>
      </c>
      <c r="AR448" s="308">
        <f t="shared" si="1152"/>
      </c>
      <c r="AS448" s="30">
        <f t="shared" si="1152"/>
      </c>
      <c r="AT448" s="30">
        <f t="shared" si="1152"/>
      </c>
      <c r="AU448" s="30">
        <f t="shared" si="1152"/>
      </c>
      <c r="AV448" s="30">
        <f t="shared" si="1152"/>
      </c>
      <c r="AW448" s="308">
        <f t="shared" si="1153"/>
      </c>
      <c r="AX448" s="30">
        <f t="shared" si="1153"/>
      </c>
      <c r="AY448" s="30">
        <f t="shared" si="1153"/>
      </c>
      <c r="AZ448" s="30">
        <f t="shared" si="1153"/>
      </c>
      <c r="BA448" s="30">
        <f t="shared" si="1153"/>
      </c>
      <c r="BB448" s="308">
        <f t="shared" si="1153"/>
      </c>
      <c r="BC448" s="30">
        <f t="shared" si="1153"/>
      </c>
      <c r="BD448" s="30">
        <f t="shared" si="1153"/>
      </c>
      <c r="BE448" s="30">
        <f t="shared" si="1153"/>
      </c>
      <c r="BF448" s="30">
        <f t="shared" si="1153"/>
      </c>
      <c r="BG448" s="308">
        <f t="shared" si="1154"/>
      </c>
      <c r="BH448" s="30">
        <f t="shared" si="1154"/>
      </c>
      <c r="BI448" s="30">
        <f t="shared" si="1154"/>
      </c>
      <c r="BJ448" s="30">
        <f t="shared" si="1154"/>
      </c>
      <c r="BK448" s="30">
        <f t="shared" si="1154"/>
      </c>
      <c r="BL448" s="315">
        <f t="shared" si="1154"/>
      </c>
      <c r="BM448" s="30">
        <f t="shared" si="1154"/>
      </c>
      <c r="BN448" s="30">
        <f t="shared" si="1154"/>
      </c>
      <c r="BO448" s="30">
        <f t="shared" si="1154"/>
      </c>
      <c r="BP448" s="30">
        <f t="shared" si="1154"/>
      </c>
      <c r="BQ448" s="315">
        <f t="shared" si="1155"/>
      </c>
      <c r="BR448" s="30">
        <f t="shared" si="1155"/>
      </c>
      <c r="BS448" s="30">
        <f t="shared" si="1155"/>
      </c>
      <c r="BT448" s="30">
        <f t="shared" si="1155"/>
      </c>
      <c r="BU448" s="30">
        <f t="shared" si="1155"/>
      </c>
      <c r="BV448" s="315">
        <f t="shared" si="1155"/>
      </c>
      <c r="BW448" s="30">
        <f t="shared" si="1156"/>
      </c>
      <c r="BX448" s="30">
        <f t="shared" si="1156"/>
      </c>
      <c r="BY448" s="30">
        <f t="shared" si="1156"/>
      </c>
      <c r="BZ448" s="30">
        <f>IF(BU443="NM","NM",IF(BZ443="NM","NM",IF(BU443&lt;=0,"NM",IF(BZ443=0,"NM",IF(ABS(BZ443/BU443-1)&gt;2.5,"NM",IF((ABS(BZ443-BU443)=ABS(ABS(BZ443)-ABS(BU443))),(BZ443/BU443-1),"NM"))))))</f>
      </c>
      <c r="CA448" s="315">
        <f>IF(BV443="NM","NM",IF(CA443="NM","NM",IF(BV443&lt;=0,"NM",IF(CA443=0,"NM",IF(ABS(CA443/BV443-1)&gt;2.5,"NM",IF((ABS(CA443-BV443)=ABS(ABS(CA443)-ABS(BV443))),(CA443/BV443-1),"NM"))))))</f>
      </c>
      <c r="CB448" s="30">
        <f t="shared" si="1157"/>
      </c>
      <c r="CC448" s="30">
        <f t="shared" si="1157"/>
      </c>
      <c r="CD448" s="30">
        <f t="shared" si="1157"/>
      </c>
      <c r="CE448" s="30">
        <f>IF(BZ443="NM","NM",IF(CE443="NM","NM",IF(BZ443&lt;=0,"NM",IF(CE443=0,"NM",IF(ABS(CE443/BZ443-1)&gt;2.5,"NM",IF((ABS(CE443-BZ443)=ABS(ABS(CE443)-ABS(BZ443))),(CE443/BZ443-1),"NM"))))))</f>
      </c>
      <c r="CF448" s="315">
        <f>IF(CA443="NM","NM",IF(CF443="NM","NM",IF(CA443&lt;=0,"NM",IF(CF443=0,"NM",IF(ABS(CF443/CA443-1)&gt;2.5,"NM",IF((ABS(CF443-CA443)=ABS(ABS(CF443)-ABS(CA443))),(CF443/CA443-1),"NM"))))))</f>
      </c>
      <c r="CG448" s="30">
        <f t="shared" si="1157"/>
      </c>
      <c r="CH448" s="30">
        <f t="shared" si="1157"/>
      </c>
      <c r="CI448" s="30">
        <f t="shared" si="1157"/>
      </c>
      <c r="CJ448" s="30">
        <f>IF(CE443="NM","NM",IF(CJ443="NM","NM",IF(CE443&lt;=0,"NM",IF(CJ443=0,"NM",IF(ABS(CJ443/CE443-1)&gt;2.5,"NM",IF((ABS(CJ443-CE443)=ABS(ABS(CJ443)-ABS(CE443))),(CJ443/CE443-1),"NM"))))))</f>
      </c>
      <c r="CK448" s="308">
        <f>IF(CF443=0,0, CK443/CF443-1)</f>
      </c>
      <c r="CL448" s="30">
        <f t="shared" si="1158"/>
      </c>
      <c r="CM448" s="30">
        <f t="shared" si="1158"/>
      </c>
      <c r="CN448" s="30">
        <f t="shared" si="1158"/>
      </c>
      <c r="CO448" s="30">
        <f>IF(CJ443="NM","NM",IF(CO443="NM","NM",IF(CJ443&lt;=0,"NM",IF(CO443=0,"NM",IF(ABS(CO443/CJ443-1)&gt;2.5,"NM",IF((ABS(CO443-CJ443)=ABS(ABS(CO443)-ABS(CJ443))),(CO443/CJ443-1),"NM"))))))</f>
      </c>
      <c r="CP448" s="308">
        <f>IF(CK443=0,0, CP443/CK443-1)</f>
      </c>
      <c r="CQ448" s="30"/>
      <c r="CR448" s="30"/>
      <c r="CS448" s="926"/>
      <c r="CT448" s="926"/>
      <c r="CU448" s="308"/>
      <c r="CV448" s="30"/>
      <c r="CW448" s="926"/>
      <c r="CX448" s="926"/>
      <c r="CY448" s="926"/>
      <c r="CZ448" s="308"/>
      <c r="DA448" s="30"/>
      <c r="DB448" s="959"/>
      <c r="DC448" s="959"/>
      <c r="DD448" s="960"/>
      <c r="DE448" s="308"/>
      <c r="DF448" s="30"/>
      <c r="DG448" s="926"/>
      <c r="DH448" s="926"/>
      <c r="DI448" s="928"/>
      <c r="DJ448" s="308"/>
      <c r="DK448" s="30"/>
      <c r="DL448" s="926"/>
      <c r="DM448" s="926"/>
      <c r="DN448" s="928"/>
      <c r="DO448" s="308"/>
      <c r="DP448" s="926"/>
      <c r="DQ448" s="926"/>
      <c r="DR448" s="926"/>
      <c r="DS448" s="928"/>
      <c r="DT448" s="308"/>
      <c r="DU448" s="926"/>
      <c r="DV448" s="926"/>
      <c r="DW448" s="926"/>
      <c r="DX448" s="928"/>
      <c r="DY448" s="308"/>
      <c r="DZ448" s="926"/>
      <c r="EA448" s="926"/>
      <c r="EB448" s="926"/>
      <c r="EC448" s="928"/>
      <c r="ED448" s="1060"/>
      <c r="EE448" s="926"/>
      <c r="EF448" s="926"/>
      <c r="EG448" s="926"/>
      <c r="EH448" s="928"/>
      <c r="EI448" s="308"/>
      <c r="EJ448" s="308"/>
      <c r="EK448" s="308"/>
      <c r="EL448" s="308"/>
      <c r="EM448" s="308"/>
      <c r="EN448" s="308"/>
      <c r="EO448" s="409"/>
      <c r="EP448" s="308"/>
      <c r="EQ448" s="308"/>
      <c r="ER448" s="308"/>
      <c r="ES448" s="308"/>
      <c r="ET448" s="308"/>
      <c r="EU448" s="308"/>
      <c r="EV448" s="308"/>
      <c r="EW448" s="308"/>
      <c r="EX448" s="308"/>
    </row>
    <row r="449" spans="1:154" ht="12.75" hidden="1" customHeight="1" outlineLevel="1">
      <c r="B449" s="440" t="s">
        <v>256</v>
      </c>
      <c r="C449" s="1989"/>
      <c r="D449" s="28"/>
      <c r="E449" s="28"/>
      <c r="F449" s="28"/>
      <c r="G449" s="28"/>
      <c r="H449" s="28"/>
      <c r="I449" s="24"/>
      <c r="J449" s="1"/>
      <c r="K449" s="1"/>
      <c r="L449" s="1"/>
      <c r="M449" s="1"/>
      <c r="N449" s="24"/>
      <c r="O449" s="24"/>
      <c r="P449" s="24"/>
      <c r="Q449" s="24"/>
      <c r="R449" s="24"/>
      <c r="S449" s="1"/>
      <c r="T449" s="24"/>
      <c r="U449" s="24"/>
      <c r="V449" s="24"/>
      <c r="W449" s="24"/>
      <c r="X449" s="309"/>
      <c r="Y449" s="24"/>
      <c r="Z449" s="24"/>
      <c r="AA449" s="24"/>
      <c r="AB449" s="24"/>
      <c r="AC449" s="309"/>
      <c r="AD449" s="24"/>
      <c r="AE449" s="24"/>
      <c r="AF449" s="24"/>
      <c r="AG449" s="24"/>
      <c r="AH449" s="309"/>
      <c r="AI449" s="41">
        <f t="shared" ref="AI449:BK449" si="1159">IF(ISNUMBER(AI448),(1+AI448)/(1+AI$21)-1,"NM")</f>
      </c>
      <c r="AJ449" s="41">
        <f t="shared" si="1159"/>
      </c>
      <c r="AK449" s="41">
        <f t="shared" si="1159"/>
      </c>
      <c r="AL449" s="41">
        <f t="shared" si="1159"/>
      </c>
      <c r="AM449" s="309">
        <f t="shared" si="1159"/>
      </c>
      <c r="AN449" s="41">
        <f t="shared" si="1159"/>
      </c>
      <c r="AO449" s="41">
        <f t="shared" si="1159"/>
      </c>
      <c r="AP449" s="41">
        <f t="shared" si="1159"/>
      </c>
      <c r="AQ449" s="41">
        <f t="shared" si="1159"/>
      </c>
      <c r="AR449" s="309">
        <f t="shared" si="1159"/>
      </c>
      <c r="AS449" s="41">
        <f t="shared" si="1159"/>
      </c>
      <c r="AT449" s="41">
        <f t="shared" si="1159"/>
      </c>
      <c r="AU449" s="41">
        <f t="shared" si="1159"/>
      </c>
      <c r="AV449" s="41">
        <f t="shared" si="1159"/>
      </c>
      <c r="AW449" s="309">
        <f t="shared" si="1159"/>
      </c>
      <c r="AX449" s="41">
        <f t="shared" si="1159"/>
      </c>
      <c r="AY449" s="41">
        <f t="shared" si="1159"/>
      </c>
      <c r="AZ449" s="41">
        <f t="shared" si="1159"/>
      </c>
      <c r="BA449" s="41">
        <f t="shared" si="1159"/>
      </c>
      <c r="BB449" s="309">
        <f t="shared" si="1159"/>
      </c>
      <c r="BC449" s="41">
        <f t="shared" si="1159"/>
      </c>
      <c r="BD449" s="41">
        <f t="shared" si="1159"/>
      </c>
      <c r="BE449" s="41">
        <f t="shared" si="1159"/>
      </c>
      <c r="BF449" s="41">
        <f t="shared" si="1159"/>
      </c>
      <c r="BG449" s="309">
        <f t="shared" si="1159"/>
      </c>
      <c r="BH449" s="41">
        <f t="shared" si="1159"/>
      </c>
      <c r="BI449" s="41">
        <f t="shared" si="1159"/>
      </c>
      <c r="BJ449" s="41">
        <f t="shared" si="1159"/>
      </c>
      <c r="BK449" s="41">
        <f t="shared" si="1159"/>
      </c>
      <c r="BL449" s="315">
        <f>BL448-$BL$21</f>
      </c>
      <c r="BM449" s="41">
        <f>IF(ISNUMBER(BM448),(1+BM448)/(1+BM$21)-1,"NM")</f>
      </c>
      <c r="BN449" s="41">
        <f>IF(ISNUMBER(BN448),(1+BN448)/(1+BN$21)-1,"NM")</f>
      </c>
      <c r="BO449" s="41">
        <f>IF(ISNUMBER(BO448),(1+BO448)/(1+BO$21)-1,"NM")</f>
      </c>
      <c r="BP449" s="30">
        <f>IF(ISNUMBER(BP448),(1+BP448)/(1+BP$21)-1,"NM")</f>
      </c>
      <c r="BQ449" s="315">
        <f>BQ448-$BQ$21</f>
      </c>
      <c r="BR449" s="30">
        <f>IF(ISNUMBER(BR448),(1+BR448)/(1+BR$21)-1,"NM")</f>
      </c>
      <c r="BS449" s="30">
        <f>IF(ISNUMBER(BS448),(1+BS448)/(1+BS$21)-1,"NM")</f>
      </c>
      <c r="BT449" s="30">
        <f>IF(ISNUMBER(BT448),(1+BT448)/(1+BT$21)-1,"NM")</f>
      </c>
      <c r="BU449" s="30">
        <f>IF(ISNUMBER(BU448),(1+BU448)/(1+BU$21)-1,"NM")</f>
      </c>
      <c r="BV449" s="315">
        <f>BV448-$BQ$21</f>
      </c>
      <c r="BW449" s="30">
        <f>IF(ISNUMBER(BW448),(1+BW448)/(1+BW$21)-1,"NM")</f>
      </c>
      <c r="BX449" s="30">
        <f>IF(ISNUMBER(BX448),(1+BX448)/(1+BX$21)-1,"NM")</f>
      </c>
      <c r="BY449" s="30">
        <f>IF(ISNUMBER(BY448),(1+BY448)/(1+BY$21)-1,"NM")</f>
      </c>
      <c r="BZ449" s="30">
        <f>IF(ISNUMBER(BZ448),(1+BZ448)/(1+BZ$21)-1,"NM")</f>
      </c>
      <c r="CA449" s="315">
        <f>CA448-$BQ$21</f>
      </c>
      <c r="CB449" s="30">
        <f>IF(ISNUMBER(CB448),(1+CB448)/(1+CB$21)-1,"NM")</f>
      </c>
      <c r="CC449" s="30">
        <f>IF(ISNUMBER(CC448),(1+CC448)/(1+CC$21)-1,"NM")</f>
      </c>
      <c r="CD449" s="30">
        <f>IF(ISNUMBER(CD448),(1+CD448)/(1+CD$21)-1,"NM")</f>
      </c>
      <c r="CE449" s="30">
        <f>IF(ISNUMBER(CE448),(1+CE448)/(1+CE$21)-1,"NM")</f>
      </c>
      <c r="CF449" s="315">
        <f>CF448-$BQ$21</f>
      </c>
      <c r="CG449" s="30">
        <f>IF(ISNUMBER(CG448),(1+CG448)/(1+CG$21)-1,"NM")</f>
      </c>
      <c r="CH449" s="30">
        <f>IF(ISNUMBER(CH448),(1+CH448)/(1+CH$21)-1,"NM")</f>
      </c>
      <c r="CI449" s="30">
        <f>IF(ISNUMBER(CI448),(1+CI448)/(1+CI$21)-1,"NM")</f>
      </c>
      <c r="CJ449" s="30">
        <f>IF(ISNUMBER(CJ448),(1+CJ448)/(1+CJ$21)-1,"NM")</f>
      </c>
      <c r="CK449" s="308">
        <f>CK448-CK$21</f>
      </c>
      <c r="CL449" s="30">
        <f>IF(ISNUMBER(CL448),(1+CL448)/(1+CL$21)-1,"NM")</f>
      </c>
      <c r="CM449" s="30">
        <f>IF(ISNUMBER(CM448),(1+CM448)/(1+CM$21)-1,"NM")</f>
      </c>
      <c r="CN449" s="30">
        <f>IF(ISNUMBER(CN448),(1+CN448)/(1+CN$21)-1,"NM")</f>
      </c>
      <c r="CO449" s="30">
        <f>IF(ISNUMBER(CO448),(1+CO448)/(1+CO$21)-1,"NM")</f>
      </c>
      <c r="CP449" s="308">
        <f>CP448-CP$21</f>
      </c>
      <c r="CQ449" s="30"/>
      <c r="CR449" s="30"/>
      <c r="CS449" s="361"/>
      <c r="CT449" s="361"/>
      <c r="CU449" s="308"/>
      <c r="CV449" s="30"/>
      <c r="CW449" s="361"/>
      <c r="CX449" s="361"/>
      <c r="CY449" s="361"/>
      <c r="CZ449" s="308"/>
      <c r="DA449" s="30"/>
      <c r="DB449" s="361"/>
      <c r="DC449" s="361"/>
      <c r="DD449" s="835"/>
      <c r="DE449" s="316"/>
      <c r="DF449" s="30"/>
      <c r="DG449" s="361"/>
      <c r="DH449" s="361"/>
      <c r="DI449" s="835"/>
      <c r="DJ449" s="835"/>
      <c r="DK449" s="30"/>
      <c r="DL449" s="361"/>
      <c r="DM449" s="361"/>
      <c r="DN449" s="835"/>
      <c r="DO449" s="835"/>
      <c r="DP449" s="361"/>
      <c r="DQ449" s="361"/>
      <c r="DR449" s="361"/>
      <c r="DS449" s="835"/>
      <c r="DT449" s="835"/>
      <c r="DU449" s="361"/>
      <c r="DV449" s="361"/>
      <c r="DW449" s="361"/>
      <c r="DX449" s="835"/>
      <c r="DY449" s="835"/>
      <c r="DZ449" s="361"/>
      <c r="EA449" s="361"/>
      <c r="EB449" s="361"/>
      <c r="EC449" s="835"/>
      <c r="ED449" s="835"/>
      <c r="EE449" s="361"/>
      <c r="EF449" s="361"/>
      <c r="EG449" s="361"/>
      <c r="EH449" s="835"/>
      <c r="EI449" s="835"/>
      <c r="EJ449" s="835"/>
      <c r="EK449" s="835"/>
      <c r="EL449" s="835"/>
      <c r="EM449" s="835"/>
      <c r="EN449" s="316"/>
      <c r="EO449" s="835"/>
      <c r="EP449" s="835"/>
      <c r="EQ449" s="835"/>
      <c r="ER449" s="835"/>
      <c r="ES449" s="835"/>
      <c r="ET449" s="835"/>
      <c r="EU449" s="835"/>
      <c r="EV449" s="835"/>
      <c r="EW449" s="835"/>
      <c r="EX449" s="835"/>
    </row>
    <row r="450" spans="1:154" ht="12.75" hidden="1" customHeight="1" outlineLevel="1">
      <c r="B450" s="440" t="s">
        <v>413</v>
      </c>
      <c r="C450" s="1989"/>
      <c r="D450" s="28"/>
      <c r="E450" s="28"/>
      <c r="F450" s="28"/>
      <c r="G450" s="28"/>
      <c r="H450" s="28"/>
      <c r="I450" s="29" t="str">
        <f t="shared" ref="I450:AN450" si="1160">IF(D444="NM","NM",IF(I444="NM","NM",IF(D444&lt;=0,"NM",IF(I444=0,"NM",IF(ABS(I444/D444-1)&gt;2.5,"NM",IF((ABS(I444-D444)=ABS(ABS(I444)-ABS(D444))),(I444/D444-1),"NM"))))))</f>
      </c>
      <c r="J450" s="30" t="str">
        <f t="shared" si="1160"/>
      </c>
      <c r="K450" s="30" t="str">
        <f t="shared" si="1160"/>
      </c>
      <c r="L450" s="30" t="str">
        <f t="shared" si="1160"/>
      </c>
      <c r="M450" s="30" t="str">
        <f t="shared" si="1160"/>
      </c>
      <c r="N450" s="30" t="str">
        <f t="shared" si="1160"/>
      </c>
      <c r="O450" s="30" t="str">
        <f t="shared" si="1160"/>
      </c>
      <c r="P450" s="30" t="str">
        <f t="shared" si="1160"/>
      </c>
      <c r="Q450" s="30" t="str">
        <f t="shared" si="1160"/>
      </c>
      <c r="R450" s="30" t="str">
        <f t="shared" si="1160"/>
      </c>
      <c r="S450" s="30" t="str">
        <f t="shared" si="1160"/>
      </c>
      <c r="T450" s="30" t="str">
        <f t="shared" si="1160"/>
      </c>
      <c r="U450" s="30">
        <f t="shared" si="1160"/>
      </c>
      <c r="V450" s="30">
        <f t="shared" si="1160"/>
      </c>
      <c r="W450" s="30">
        <f t="shared" si="1160"/>
      </c>
      <c r="X450" s="308">
        <f t="shared" si="1160"/>
      </c>
      <c r="Y450" s="30">
        <f t="shared" si="1160"/>
      </c>
      <c r="Z450" s="30">
        <f t="shared" si="1160"/>
      </c>
      <c r="AA450" s="30">
        <f t="shared" si="1160"/>
      </c>
      <c r="AB450" s="30">
        <f t="shared" si="1160"/>
      </c>
      <c r="AC450" s="308">
        <f t="shared" si="1160"/>
      </c>
      <c r="AD450" s="30">
        <f t="shared" si="1160"/>
      </c>
      <c r="AE450" s="30">
        <f t="shared" si="1160"/>
      </c>
      <c r="AF450" s="30">
        <f t="shared" si="1160"/>
      </c>
      <c r="AG450" s="30">
        <f t="shared" si="1160"/>
      </c>
      <c r="AH450" s="308">
        <f t="shared" si="1160"/>
      </c>
      <c r="AI450" s="30">
        <f t="shared" si="1160"/>
      </c>
      <c r="AJ450" s="30">
        <f t="shared" si="1160"/>
      </c>
      <c r="AK450" s="30">
        <f t="shared" si="1160"/>
      </c>
      <c r="AL450" s="30">
        <f t="shared" si="1160"/>
      </c>
      <c r="AM450" s="308">
        <f t="shared" si="1160"/>
      </c>
      <c r="AN450" s="30">
        <f t="shared" si="1160"/>
      </c>
      <c r="AO450" s="30">
        <f t="shared" ref="AO450:BT450" si="1161">IF(AJ444="NM","NM",IF(AO444="NM","NM",IF(AJ444&lt;=0,"NM",IF(AO444=0,"NM",IF(ABS(AO444/AJ444-1)&gt;2.5,"NM",IF((ABS(AO444-AJ444)=ABS(ABS(AO444)-ABS(AJ444))),(AO444/AJ444-1),"NM"))))))</f>
      </c>
      <c r="AP450" s="30">
        <f t="shared" si="1161"/>
      </c>
      <c r="AQ450" s="30">
        <f t="shared" si="1161"/>
      </c>
      <c r="AR450" s="308">
        <f t="shared" si="1161"/>
      </c>
      <c r="AS450" s="30">
        <f t="shared" si="1161"/>
      </c>
      <c r="AT450" s="30">
        <f t="shared" si="1161"/>
      </c>
      <c r="AU450" s="30">
        <f t="shared" si="1161"/>
      </c>
      <c r="AV450" s="30">
        <f t="shared" si="1161"/>
      </c>
      <c r="AW450" s="308">
        <f t="shared" si="1161"/>
      </c>
      <c r="AX450" s="30">
        <f t="shared" si="1161"/>
      </c>
      <c r="AY450" s="30">
        <f t="shared" si="1161"/>
      </c>
      <c r="AZ450" s="30">
        <f t="shared" si="1161"/>
      </c>
      <c r="BA450" s="30">
        <f t="shared" si="1161"/>
      </c>
      <c r="BB450" s="308">
        <f t="shared" si="1161"/>
      </c>
      <c r="BC450" s="30">
        <f t="shared" si="1161"/>
      </c>
      <c r="BD450" s="30">
        <f t="shared" si="1161"/>
      </c>
      <c r="BE450" s="30">
        <f t="shared" si="1161"/>
      </c>
      <c r="BF450" s="30">
        <f t="shared" si="1161"/>
      </c>
      <c r="BG450" s="308">
        <f t="shared" si="1161"/>
      </c>
      <c r="BH450" s="30">
        <f t="shared" si="1161"/>
      </c>
      <c r="BI450" s="30">
        <f t="shared" si="1161"/>
      </c>
      <c r="BJ450" s="30">
        <f t="shared" si="1161"/>
      </c>
      <c r="BK450" s="30">
        <f t="shared" si="1161"/>
      </c>
      <c r="BL450" s="315">
        <f t="shared" si="1161"/>
      </c>
      <c r="BM450" s="30">
        <f t="shared" si="1161"/>
      </c>
      <c r="BN450" s="30">
        <f t="shared" si="1161"/>
      </c>
      <c r="BO450" s="30">
        <f t="shared" si="1161"/>
      </c>
      <c r="BP450" s="30">
        <f t="shared" si="1161"/>
      </c>
      <c r="BQ450" s="315">
        <f t="shared" si="1161"/>
      </c>
      <c r="BR450" s="30">
        <f t="shared" si="1161"/>
      </c>
      <c r="BS450" s="30">
        <f t="shared" si="1161"/>
      </c>
      <c r="BT450" s="30">
        <f t="shared" si="1161"/>
      </c>
      <c r="BU450" s="30">
        <f t="shared" ref="BU450:CA450" si="1162">IF(BP444="NM","NM",IF(BU444="NM","NM",IF(BP444&lt;=0,"NM",IF(BU444=0,"NM",IF(ABS(BU444/BP444-1)&gt;2.5,"NM",IF((ABS(BU444-BP444)=ABS(ABS(BU444)-ABS(BP444))),(BU444/BP444-1),"NM"))))))</f>
      </c>
      <c r="BV450" s="315">
        <f t="shared" si="1162"/>
      </c>
      <c r="BW450" s="30">
        <f t="shared" si="1162"/>
      </c>
      <c r="BX450" s="30">
        <f t="shared" si="1162"/>
      </c>
      <c r="BY450" s="30">
        <f t="shared" si="1162"/>
      </c>
      <c r="BZ450" s="30">
        <f t="shared" si="1162"/>
      </c>
      <c r="CA450" s="315">
        <f t="shared" si="1162"/>
      </c>
      <c r="CB450" s="30">
        <f>IF(BW444="NM","NM",IF(CB444="NM","NM",IF(BW444&lt;=0,"NM",IF(CB444=0,"NM",IF(ABS(CB444/BW444-1)&gt;2.5,"NM",IF((ABS(CB444-BW444)=ABS(ABS(CB444)-ABS(BW444))),(CB444/BW444-1),"NM"))))))</f>
      </c>
      <c r="CC450" s="30">
        <f>IF(BX444="NM","NM",IF(CC444="NM","NM",IF(BX444&lt;=0,"NM",IF(CC444=0,"NM",IF(ABS(CC444/BX444-1)&gt;2.5,"NM",IF((ABS(CC444-BX444)=ABS(ABS(CC444)-ABS(BX444))),(CC444/BX444-1),"NM"))))))</f>
      </c>
      <c r="CD450" s="30">
        <f>IF(BY444="NM","NM",IF(CD444="NM","NM",IF(BY444&lt;=0,"NM",IF(CD444=0,"NM",IF(ABS(CD444/BY444-1)&gt;2.5,"NM",IF((ABS(CD444-BY444)=ABS(ABS(CD444)-ABS(BY444))),(CD444/BY444-1),"NM"))))))</f>
      </c>
      <c r="CE450" s="30">
        <f>IF(BZ444="NM","NM",IF(CE444="NM","NM",IF(BZ444&lt;=0,"NM",IF(CE444=0,"NM",IF(ABS(CE444/BZ444-1)&gt;2.5,"NM",IF((ABS(CE444-BZ444)=ABS(ABS(CE444)-ABS(BZ444))),(CE444/BZ444-1),"NM"))))))</f>
      </c>
      <c r="CF450" s="315">
        <f>IF(CA444="NM","NM",IF(CF444="NM","NM",IF(CA444&lt;=0,"NM",IF(CF444=0,"NM",IF(ABS(CF444/CA444-1)&gt;2.5,"NM",IF((ABS(CF444-CA444)=ABS(ABS(CF444)-ABS(CA444))),(CF444/CA444-1),"NM"))))))</f>
      </c>
      <c r="CG450" s="30">
        <f t="shared" ref="CG450:CM450" si="1163">IF(CG444&lt;=0,0,(CG444/CB444-1))</f>
      </c>
      <c r="CH450" s="30">
        <f t="shared" si="1163"/>
      </c>
      <c r="CI450" s="30">
        <f>IF(CI444&lt;=0,0,(CI444/CD444-1))</f>
      </c>
      <c r="CJ450" s="30">
        <f>IF(CJ444&lt;=0,0,(CJ444/CE444-1))</f>
      </c>
      <c r="CK450" s="308">
        <f>IF(CK444&lt;=0,0,(CK444/CF444-1))</f>
      </c>
      <c r="CL450" s="30">
        <f t="shared" si="1163"/>
      </c>
      <c r="CM450" s="30">
        <f t="shared" si="1163"/>
      </c>
      <c r="CN450" s="30">
        <f>IF(CN444&lt;=0,0,(CN444/CI444-1))</f>
      </c>
      <c r="CO450" s="30">
        <f>IF(CO444&lt;=0,0,(CO444/CJ444-1))</f>
      </c>
      <c r="CP450" s="308">
        <f>IF(CP444&lt;=0,0,(CP444/CK444-1))</f>
      </c>
      <c r="CQ450" s="30"/>
      <c r="CR450" s="30"/>
      <c r="CS450" s="926"/>
      <c r="CT450" s="926"/>
      <c r="CU450" s="308"/>
      <c r="CV450" s="30"/>
      <c r="CW450" s="926"/>
      <c r="CX450" s="926"/>
      <c r="CY450" s="926"/>
      <c r="CZ450" s="308"/>
      <c r="DA450" s="30"/>
      <c r="DB450" s="926"/>
      <c r="DC450" s="926"/>
      <c r="DD450" s="928"/>
      <c r="DE450" s="308"/>
      <c r="DF450" s="30"/>
      <c r="DG450" s="926"/>
      <c r="DH450" s="926"/>
      <c r="DI450" s="928"/>
      <c r="DJ450" s="308"/>
      <c r="DK450" s="30"/>
      <c r="DL450" s="926"/>
      <c r="DM450" s="926"/>
      <c r="DN450" s="928"/>
      <c r="DO450" s="308"/>
      <c r="DP450" s="926"/>
      <c r="DQ450" s="926"/>
      <c r="DR450" s="926"/>
      <c r="DS450" s="928"/>
      <c r="DT450" s="308"/>
      <c r="DU450" s="926"/>
      <c r="DV450" s="926"/>
      <c r="DW450" s="926"/>
      <c r="DX450" s="928"/>
      <c r="DY450" s="308"/>
      <c r="DZ450" s="926"/>
      <c r="EA450" s="926"/>
      <c r="EB450" s="926"/>
      <c r="EC450" s="928"/>
      <c r="ED450" s="1060"/>
      <c r="EE450" s="926"/>
      <c r="EF450" s="926"/>
      <c r="EG450" s="926"/>
      <c r="EH450" s="928"/>
      <c r="EI450" s="308"/>
      <c r="EJ450" s="308"/>
      <c r="EK450" s="308"/>
      <c r="EL450" s="308"/>
      <c r="EM450" s="308"/>
      <c r="EN450" s="308"/>
      <c r="EO450" s="409"/>
      <c r="EP450" s="308"/>
      <c r="EQ450" s="308"/>
      <c r="ER450" s="308"/>
      <c r="ES450" s="308"/>
      <c r="ET450" s="308"/>
      <c r="EU450" s="308"/>
      <c r="EV450" s="308"/>
      <c r="EW450" s="308"/>
      <c r="EX450" s="308"/>
    </row>
    <row r="451" spans="1:154" ht="12.75" hidden="1" customHeight="1" outlineLevel="1">
      <c r="B451" s="440"/>
      <c r="C451" s="1989"/>
      <c r="D451" s="28"/>
      <c r="E451" s="28"/>
      <c r="F451" s="28"/>
      <c r="G451" s="28"/>
      <c r="H451" s="28"/>
      <c r="I451" s="29"/>
      <c r="J451" s="30"/>
      <c r="K451" s="30"/>
      <c r="L451" s="30"/>
      <c r="M451" s="30"/>
      <c r="N451" s="30"/>
      <c r="O451" s="30"/>
      <c r="P451" s="30"/>
      <c r="Q451" s="30"/>
      <c r="R451" s="30"/>
      <c r="S451" s="30"/>
      <c r="T451" s="30"/>
      <c r="U451" s="30"/>
      <c r="V451" s="30"/>
      <c r="W451" s="30"/>
      <c r="X451" s="308"/>
      <c r="Y451" s="30"/>
      <c r="Z451" s="30"/>
      <c r="AA451" s="30"/>
      <c r="AB451" s="30"/>
      <c r="AC451" s="308"/>
      <c r="AD451" s="30"/>
      <c r="AE451" s="30"/>
      <c r="AF451" s="30"/>
      <c r="AG451" s="30"/>
      <c r="AH451" s="308"/>
      <c r="AI451" s="30"/>
      <c r="AJ451" s="30"/>
      <c r="AK451" s="30"/>
      <c r="AL451" s="30"/>
      <c r="AM451" s="308"/>
      <c r="AN451" s="30"/>
      <c r="AO451" s="30"/>
      <c r="AP451" s="30"/>
      <c r="AQ451" s="30"/>
      <c r="AR451" s="308"/>
      <c r="AS451" s="30"/>
      <c r="AT451" s="30"/>
      <c r="AU451" s="30"/>
      <c r="AV451" s="30"/>
      <c r="AW451" s="308"/>
      <c r="AX451" s="30"/>
      <c r="AY451" s="30"/>
      <c r="AZ451" s="30"/>
      <c r="BA451" s="30"/>
      <c r="BB451" s="308"/>
      <c r="BC451" s="30"/>
      <c r="BD451" s="30"/>
      <c r="BE451" s="30"/>
      <c r="BF451" s="30"/>
      <c r="BG451" s="308"/>
      <c r="BH451" s="30"/>
      <c r="BI451" s="30"/>
      <c r="BJ451" s="30"/>
      <c r="BK451" s="30"/>
      <c r="BL451" s="315"/>
      <c r="BM451" s="30"/>
      <c r="BN451" s="30"/>
      <c r="BO451" s="30"/>
      <c r="BP451" s="30"/>
      <c r="BQ451" s="315"/>
      <c r="BR451" s="30"/>
      <c r="BS451" s="30"/>
      <c r="BT451" s="30"/>
      <c r="BU451" s="30"/>
      <c r="BV451" s="315"/>
      <c r="BW451" s="30"/>
      <c r="BX451" s="30"/>
      <c r="BY451" s="30"/>
      <c r="BZ451" s="30"/>
      <c r="CA451" s="315"/>
      <c r="CB451" s="30"/>
      <c r="CC451" s="30"/>
      <c r="CD451" s="30"/>
      <c r="CE451" s="30"/>
      <c r="CF451" s="315"/>
      <c r="CG451" s="30"/>
      <c r="CH451" s="30"/>
      <c r="CI451" s="30"/>
      <c r="CJ451" s="30"/>
      <c r="CK451" s="308"/>
      <c r="CL451" s="30"/>
      <c r="CM451" s="30"/>
      <c r="CN451" s="30"/>
      <c r="CO451" s="30"/>
      <c r="CP451" s="308"/>
      <c r="CQ451" s="30"/>
      <c r="CR451" s="30"/>
      <c r="CS451" s="926"/>
      <c r="CT451" s="926"/>
      <c r="CU451" s="308"/>
      <c r="CV451" s="30"/>
      <c r="CW451" s="926"/>
      <c r="CX451" s="926"/>
      <c r="CY451" s="926"/>
      <c r="CZ451" s="308"/>
      <c r="DA451" s="30"/>
      <c r="DB451" s="926"/>
      <c r="DC451" s="926"/>
      <c r="DD451" s="928"/>
      <c r="DE451" s="308"/>
      <c r="DF451" s="30"/>
      <c r="DG451" s="926"/>
      <c r="DH451" s="926"/>
      <c r="DI451" s="928"/>
      <c r="DJ451" s="308"/>
      <c r="DK451" s="30"/>
      <c r="DL451" s="926"/>
      <c r="DM451" s="926"/>
      <c r="DN451" s="928"/>
      <c r="DO451" s="308"/>
      <c r="DP451" s="926"/>
      <c r="DQ451" s="926"/>
      <c r="DR451" s="926"/>
      <c r="DS451" s="928"/>
      <c r="DT451" s="308"/>
      <c r="DU451" s="926"/>
      <c r="DV451" s="926"/>
      <c r="DW451" s="926"/>
      <c r="DX451" s="928"/>
      <c r="DY451" s="308"/>
      <c r="DZ451" s="926"/>
      <c r="EA451" s="926"/>
      <c r="EB451" s="926"/>
      <c r="EC451" s="928"/>
      <c r="ED451" s="1060"/>
      <c r="EE451" s="926"/>
      <c r="EF451" s="926"/>
      <c r="EG451" s="926"/>
      <c r="EH451" s="928"/>
      <c r="EI451" s="308"/>
      <c r="EJ451" s="308"/>
      <c r="EK451" s="308"/>
      <c r="EL451" s="308"/>
      <c r="EM451" s="308"/>
      <c r="EN451" s="308"/>
      <c r="EO451" s="409"/>
      <c r="EP451" s="308"/>
      <c r="EQ451" s="308"/>
      <c r="ER451" s="308"/>
      <c r="ES451" s="308"/>
      <c r="ET451" s="308"/>
      <c r="EU451" s="308"/>
      <c r="EV451" s="308"/>
      <c r="EW451" s="308"/>
      <c r="EX451" s="308"/>
    </row>
    <row r="452" spans="1:154" ht="12.75" hidden="1" customHeight="1" outlineLevel="1">
      <c r="B452" s="438"/>
      <c r="C452" s="1989"/>
      <c r="D452" s="28"/>
      <c r="E452" s="28"/>
      <c r="F452" s="28"/>
      <c r="G452" s="28"/>
      <c r="H452" s="28"/>
      <c r="I452" s="31"/>
      <c r="J452" s="28"/>
      <c r="K452" s="28"/>
      <c r="L452" s="28"/>
      <c r="M452" s="28"/>
      <c r="N452" s="31"/>
      <c r="O452" s="31"/>
      <c r="P452" s="31"/>
      <c r="Q452" s="31"/>
      <c r="R452" s="31"/>
      <c r="S452" s="31"/>
      <c r="T452" s="31"/>
      <c r="U452" s="31"/>
      <c r="V452" s="31"/>
      <c r="W452" s="31"/>
      <c r="X452" s="313"/>
      <c r="Y452" s="31"/>
      <c r="Z452" s="31"/>
      <c r="AA452" s="31"/>
      <c r="AB452" s="31"/>
      <c r="AC452" s="313"/>
      <c r="AD452" s="31"/>
      <c r="AE452" s="31"/>
      <c r="AF452" s="31"/>
      <c r="AG452" s="31"/>
      <c r="AH452" s="313"/>
      <c r="AI452" s="28"/>
      <c r="AJ452" s="28"/>
      <c r="AK452" s="28"/>
      <c r="AL452" s="31"/>
      <c r="AM452" s="313"/>
      <c r="AN452" s="28"/>
      <c r="AO452" s="28"/>
      <c r="AP452" s="28"/>
      <c r="AQ452" s="31"/>
      <c r="AR452" s="313"/>
      <c r="AS452" s="28"/>
      <c r="AT452" s="28"/>
      <c r="AU452" s="28"/>
      <c r="AV452" s="31"/>
      <c r="AW452" s="313"/>
      <c r="AX452" s="28"/>
      <c r="AY452" s="28"/>
      <c r="AZ452" s="28"/>
      <c r="BA452" s="28"/>
      <c r="BB452" s="313"/>
      <c r="BC452" s="28"/>
      <c r="BD452" s="28"/>
      <c r="BE452" s="28"/>
      <c r="BF452" s="28"/>
      <c r="BG452" s="313"/>
      <c r="BH452" s="28"/>
      <c r="BI452" s="28"/>
      <c r="BJ452" s="28"/>
      <c r="BK452" s="28"/>
      <c r="BL452" s="313"/>
      <c r="BM452" s="28"/>
      <c r="BN452" s="28"/>
      <c r="BO452" s="28"/>
      <c r="BP452" s="28"/>
      <c r="BQ452" s="313"/>
      <c r="BR452" s="28"/>
      <c r="BS452" s="28"/>
      <c r="BT452" s="28"/>
      <c r="BU452" s="28"/>
      <c r="BV452" s="313"/>
      <c r="BW452" s="28"/>
      <c r="BX452" s="28"/>
      <c r="BY452" s="28"/>
      <c r="BZ452" s="28"/>
      <c r="CA452" s="313"/>
      <c r="CB452" s="28"/>
      <c r="CC452" s="28"/>
      <c r="CD452" s="28"/>
      <c r="CE452" s="28"/>
      <c r="CF452" s="313"/>
      <c r="CG452" s="28"/>
      <c r="CH452" s="28"/>
      <c r="CI452" s="28"/>
      <c r="CJ452" s="28"/>
      <c r="CK452" s="313"/>
      <c r="CL452" s="28"/>
      <c r="CM452" s="28"/>
      <c r="CN452" s="28"/>
      <c r="CO452" s="28"/>
      <c r="CP452" s="313"/>
      <c r="CQ452" s="933"/>
      <c r="CR452" s="933"/>
      <c r="CS452" s="933"/>
      <c r="CT452" s="933"/>
      <c r="CU452" s="313"/>
      <c r="CV452" s="933"/>
      <c r="CW452" s="933"/>
      <c r="CX452" s="933"/>
      <c r="CY452" s="933"/>
      <c r="CZ452" s="313"/>
      <c r="DA452" s="933"/>
      <c r="DB452" s="31"/>
      <c r="DC452" s="31"/>
      <c r="DD452" s="955"/>
      <c r="DE452" s="477"/>
      <c r="DF452" s="982"/>
      <c r="DG452" s="603"/>
      <c r="DH452" s="603"/>
      <c r="DI452" s="1798"/>
      <c r="DJ452" s="477"/>
      <c r="DK452" s="982"/>
      <c r="DL452" s="603"/>
      <c r="DM452" s="603"/>
      <c r="DN452" s="1798"/>
      <c r="DO452" s="477"/>
      <c r="DP452" s="603"/>
      <c r="DQ452" s="603"/>
      <c r="DR452" s="603"/>
      <c r="DS452" s="1798"/>
      <c r="DT452" s="477"/>
      <c r="DU452" s="603"/>
      <c r="DV452" s="603"/>
      <c r="DW452" s="603"/>
      <c r="DX452" s="1798"/>
      <c r="DY452" s="477"/>
      <c r="DZ452" s="603"/>
      <c r="EA452" s="603"/>
      <c r="EB452" s="603"/>
      <c r="EC452" s="1798"/>
      <c r="ED452" s="477"/>
      <c r="EE452" s="603"/>
      <c r="EF452" s="603"/>
      <c r="EG452" s="603"/>
      <c r="EH452" s="1798"/>
      <c r="EI452" s="477"/>
      <c r="EJ452" s="477"/>
      <c r="EK452" s="477"/>
      <c r="EL452" s="477"/>
      <c r="EM452" s="477"/>
      <c r="EN452" s="477"/>
      <c r="EO452" s="1798"/>
      <c r="EP452" s="477"/>
      <c r="EQ452" s="477"/>
      <c r="ER452" s="477"/>
      <c r="ES452" s="477"/>
      <c r="ET452" s="477"/>
      <c r="EU452" s="477"/>
      <c r="EV452" s="477"/>
      <c r="EW452" s="477"/>
      <c r="EX452" s="477"/>
    </row>
    <row r="453" spans="1:154" ht="12.75" customHeight="1" collapsed="1">
      <c r="B453" s="457" t="s">
        <v>514</v>
      </c>
      <c r="C453" s="1989"/>
      <c r="D453" s="28"/>
      <c r="E453" s="28"/>
      <c r="F453" s="28"/>
      <c r="G453" s="28"/>
      <c r="H453" s="28"/>
      <c r="I453" s="31"/>
      <c r="J453" s="28"/>
      <c r="K453" s="28"/>
      <c r="L453" s="28"/>
      <c r="M453" s="28"/>
      <c r="N453" s="31"/>
      <c r="O453" s="31"/>
      <c r="P453" s="31"/>
      <c r="Q453" s="31"/>
      <c r="R453" s="31"/>
      <c r="S453" s="31"/>
      <c r="T453" s="31"/>
      <c r="U453" s="31"/>
      <c r="V453" s="31"/>
      <c r="W453" s="31"/>
      <c r="X453" s="308"/>
      <c r="Y453" s="31"/>
      <c r="Z453" s="31"/>
      <c r="AA453" s="31"/>
      <c r="AB453" s="31"/>
      <c r="AC453" s="308"/>
      <c r="AD453" s="31"/>
      <c r="AE453" s="31"/>
      <c r="AF453" s="31"/>
      <c r="AG453" s="31"/>
      <c r="AH453" s="308"/>
      <c r="AI453" s="28"/>
      <c r="AJ453" s="28"/>
      <c r="AK453" s="28"/>
      <c r="AL453" s="31"/>
      <c r="AM453" s="308"/>
      <c r="AN453" s="28"/>
      <c r="AO453" s="28"/>
      <c r="AP453" s="28"/>
      <c r="AQ453" s="31"/>
      <c r="AR453" s="308"/>
      <c r="AS453" s="28"/>
      <c r="AT453" s="28"/>
      <c r="AU453" s="28"/>
      <c r="AV453" s="28"/>
      <c r="AW453" s="308"/>
      <c r="AX453" s="28"/>
      <c r="AY453" s="28"/>
      <c r="AZ453" s="28"/>
      <c r="BA453" s="28"/>
      <c r="BB453" s="308"/>
      <c r="BC453" s="30"/>
      <c r="BD453" s="30"/>
      <c r="BE453" s="30"/>
      <c r="BF453" s="30"/>
      <c r="BG453" s="308"/>
      <c r="BH453" s="30"/>
      <c r="BI453" s="30"/>
      <c r="BJ453" s="30"/>
      <c r="BK453" s="30"/>
      <c r="BL453" s="308"/>
      <c r="BM453" s="30"/>
      <c r="BN453" s="30"/>
      <c r="BO453" s="30"/>
      <c r="BP453" s="30"/>
      <c r="BQ453" s="308"/>
      <c r="BR453" s="30"/>
      <c r="BS453" s="30"/>
      <c r="BT453" s="30"/>
      <c r="BU453" s="30"/>
      <c r="BV453" s="308"/>
      <c r="BW453" s="30"/>
      <c r="BX453" s="30"/>
      <c r="BY453" s="30"/>
      <c r="BZ453" s="30"/>
      <c r="CA453" s="313"/>
      <c r="CB453" s="30"/>
      <c r="CC453" s="30"/>
      <c r="CD453" s="30"/>
      <c r="CE453" s="30"/>
      <c r="CF453" s="308"/>
      <c r="CG453" s="30"/>
      <c r="CH453" s="30"/>
      <c r="CI453" s="30"/>
      <c r="CJ453" s="30"/>
      <c r="CK453" s="308"/>
      <c r="CL453" s="30"/>
      <c r="CM453" s="30"/>
      <c r="CN453" s="30"/>
      <c r="CO453" s="30"/>
      <c r="CP453" s="308"/>
      <c r="CQ453" s="926"/>
      <c r="CR453" s="926"/>
      <c r="CS453" s="926"/>
      <c r="CT453" s="926"/>
      <c r="CU453" s="308"/>
      <c r="CV453" s="926"/>
      <c r="CW453" s="926"/>
      <c r="CX453" s="926"/>
      <c r="CY453" s="926"/>
      <c r="CZ453" s="308"/>
      <c r="DA453" s="926"/>
      <c r="DB453" s="30"/>
      <c r="DC453" s="30"/>
      <c r="DD453" s="409"/>
      <c r="DE453" s="308"/>
      <c r="DF453" s="926"/>
      <c r="DG453" s="30"/>
      <c r="DH453" s="30"/>
      <c r="DI453" s="409"/>
      <c r="DJ453" s="308"/>
      <c r="DK453" s="926"/>
      <c r="DL453" s="30"/>
      <c r="DM453" s="30"/>
      <c r="DN453" s="409"/>
      <c r="DO453" s="308"/>
      <c r="DP453" s="30"/>
      <c r="DQ453" s="30"/>
      <c r="DR453" s="30"/>
      <c r="DS453" s="409"/>
      <c r="DT453" s="308"/>
      <c r="DU453" s="926"/>
      <c r="DV453" s="926"/>
      <c r="DW453" s="926"/>
      <c r="DX453" s="928"/>
      <c r="DY453" s="308"/>
      <c r="DZ453" s="926"/>
      <c r="EA453" s="926"/>
      <c r="EB453" s="926"/>
      <c r="EC453" s="3441"/>
      <c r="ED453" s="1060"/>
      <c r="EE453" s="926"/>
      <c r="EF453" s="926"/>
      <c r="EG453" s="926"/>
      <c r="EH453" s="3441"/>
      <c r="EI453" s="308"/>
      <c r="EJ453" s="308"/>
      <c r="EK453" s="308"/>
      <c r="EL453" s="308"/>
      <c r="EM453" s="308"/>
      <c r="EN453" s="308"/>
      <c r="EO453" s="409"/>
      <c r="EP453" s="308"/>
      <c r="EQ453" s="308"/>
      <c r="ER453" s="308"/>
      <c r="ES453" s="308"/>
      <c r="ET453" s="308"/>
      <c r="EU453" s="308"/>
      <c r="EV453" s="308"/>
      <c r="EW453" s="308"/>
      <c r="EX453" s="308"/>
    </row>
    <row r="454" spans="1:154" s="475" customFormat="1" ht="12.75" customHeight="1">
      <c r="A454" s="3282"/>
      <c r="B454" s="481" t="s">
        <v>925</v>
      </c>
      <c r="C454" s="2007"/>
      <c r="D454" s="467"/>
      <c r="E454" s="467"/>
      <c r="F454" s="467"/>
      <c r="G454" s="467"/>
      <c r="H454" s="467"/>
      <c r="I454" s="468"/>
      <c r="J454" s="467"/>
      <c r="K454" s="467"/>
      <c r="L454" s="467"/>
      <c r="M454" s="467"/>
      <c r="N454" s="468"/>
      <c r="O454" s="468"/>
      <c r="P454" s="468"/>
      <c r="Q454" s="468"/>
      <c r="R454" s="468"/>
      <c r="S454" s="468"/>
      <c r="T454" s="468"/>
      <c r="U454" s="468"/>
      <c r="V454" s="468"/>
      <c r="W454" s="468"/>
      <c r="X454" s="469"/>
      <c r="Y454" s="468"/>
      <c r="Z454" s="468"/>
      <c r="AA454" s="468"/>
      <c r="AB454" s="468"/>
      <c r="AC454" s="469"/>
      <c r="AD454" s="468"/>
      <c r="AE454" s="468"/>
      <c r="AF454" s="468"/>
      <c r="AG454" s="468"/>
      <c r="AH454" s="469"/>
      <c r="AI454" s="467"/>
      <c r="AJ454" s="467"/>
      <c r="AK454" s="467"/>
      <c r="AL454" s="468"/>
      <c r="AM454" s="469"/>
      <c r="AN454" s="467"/>
      <c r="AO454" s="467"/>
      <c r="AP454" s="467"/>
      <c r="AQ454" s="468"/>
      <c r="AR454" s="469"/>
      <c r="AS454" s="467"/>
      <c r="AT454" s="467"/>
      <c r="AU454" s="467"/>
      <c r="AV454" s="467"/>
      <c r="AW454" s="672">
        <f>SUM(AS454:AV454)</f>
      </c>
      <c r="AX454" s="467"/>
      <c r="AY454" s="467"/>
      <c r="AZ454" s="467"/>
      <c r="BA454" s="467"/>
      <c r="BB454" s="672">
        <f>SUM(AX454:BA454)</f>
      </c>
      <c r="BC454" s="447"/>
      <c r="BD454" s="447"/>
      <c r="BE454" s="447"/>
      <c r="BF454" s="447"/>
      <c r="BG454" s="672">
        <f>SUM(BC454:BF454)</f>
      </c>
      <c r="BH454" s="447"/>
      <c r="BI454" s="447"/>
      <c r="BJ454" s="447"/>
      <c r="BK454" s="447"/>
      <c r="BL454" s="469"/>
      <c r="BM454" s="671">
        <f t="shared" ref="BM454:BP455" si="1164">BM263-BM295-BM274-BM365-BM387-BM431-BM442</f>
      </c>
      <c r="BN454" s="671">
        <f t="shared" si="1164"/>
      </c>
      <c r="BO454" s="671">
        <f t="shared" si="1164"/>
      </c>
      <c r="BP454" s="671">
        <f t="shared" si="1164"/>
      </c>
      <c r="BQ454" s="672">
        <f>SUM(BM454:BP454)</f>
      </c>
      <c r="BR454" s="671">
        <f t="shared" ref="BR454:BU455" si="1165">BR263-BR295-BR274-BR365-BR387-BR431-BR442</f>
      </c>
      <c r="BS454" s="671">
        <f t="shared" si="1165"/>
      </c>
      <c r="BT454" s="671">
        <f t="shared" si="1165"/>
      </c>
      <c r="BU454" s="671">
        <f t="shared" si="1165"/>
      </c>
      <c r="BV454" s="672">
        <f>SUM(BR454:BU454)</f>
      </c>
      <c r="BW454" s="671">
        <f t="shared" ref="BW454:BZ455" si="1166">BW263-BW295-BW274-BW365-BW387-BW431-BW442</f>
      </c>
      <c r="BX454" s="671">
        <f t="shared" si="1166"/>
      </c>
      <c r="BY454" s="671">
        <f t="shared" si="1166"/>
      </c>
      <c r="BZ454" s="28">
        <f t="shared" si="1166"/>
      </c>
      <c r="CA454" s="313">
        <f>SUM(BW454:BZ454)</f>
      </c>
      <c r="CB454" s="671">
        <f t="shared" ref="CB454:CE455" si="1167">CB263-CB295-CB274-CB365-CB387-CB431-CB442</f>
      </c>
      <c r="CC454" s="671">
        <f t="shared" si="1167"/>
      </c>
      <c r="CD454" s="671">
        <f t="shared" si="1167"/>
      </c>
      <c r="CE454" s="28">
        <f t="shared" si="1167"/>
      </c>
      <c r="CF454" s="313">
        <f>SUM(CB454:CE454)</f>
      </c>
      <c r="CG454" s="671">
        <f t="shared" ref="CG454:CJ455" si="1168">CG263-CG295-CG274-CG365-CG387-CG431-CG442</f>
      </c>
      <c r="CH454" s="671">
        <f t="shared" si="1168"/>
      </c>
      <c r="CI454" s="671">
        <f t="shared" si="1168"/>
      </c>
      <c r="CJ454" s="671">
        <f t="shared" si="1168"/>
      </c>
      <c r="CK454" s="313">
        <f>SUM(CG454:CJ454)</f>
      </c>
      <c r="CL454" s="671">
        <f t="shared" ref="CL454:CO455" si="1169">CL263-CL295-CL274-CL365-CL387-CL431-CL442</f>
      </c>
      <c r="CM454" s="671">
        <f t="shared" si="1169"/>
      </c>
      <c r="CN454" s="671">
        <f t="shared" si="1169"/>
      </c>
      <c r="CO454" s="1400">
        <f t="shared" si="1169"/>
      </c>
      <c r="CP454" s="313">
        <f>SUM(CL454:CO454)</f>
      </c>
      <c r="CQ454" s="671">
        <f t="shared" ref="CQ454:CT455" si="1170">+CQ263-CQ274-CQ328-CQ339</f>
      </c>
      <c r="CR454" s="671">
        <f t="shared" si="1170"/>
      </c>
      <c r="CS454" s="671">
        <f t="shared" si="1170"/>
      </c>
      <c r="CT454" s="671">
        <f t="shared" si="1170"/>
      </c>
      <c r="CU454" s="313">
        <f>SUM(CQ454:CT454)</f>
      </c>
      <c r="CV454" s="671">
        <f t="shared" ref="CV454:CY455" si="1171">+CV263-CV274-CV328-CV339</f>
      </c>
      <c r="CW454" s="671">
        <f t="shared" si="1171"/>
      </c>
      <c r="CX454" s="671">
        <f t="shared" si="1171"/>
      </c>
      <c r="CY454" s="671">
        <f t="shared" si="1171"/>
      </c>
      <c r="CZ454" s="313">
        <f>SUM(CV454:CY454)</f>
      </c>
      <c r="DA454" s="671">
        <f t="shared" ref="DA454:DC455" si="1172">+DA263-DA274-DA328-DA339</f>
      </c>
      <c r="DB454" s="671">
        <f t="shared" si="1172"/>
      </c>
      <c r="DC454" s="671">
        <f t="shared" si="1172"/>
      </c>
      <c r="DD454" s="984">
        <v>70</v>
      </c>
      <c r="DE454" s="2489">
        <f>SUM(DA454:DD454)</f>
      </c>
      <c r="DF454" s="2490">
        <f t="shared" ref="DF454:DI455" si="1173">+DF263-DF274-DF328-DF339</f>
      </c>
      <c r="DG454" s="2490">
        <f t="shared" si="1173"/>
      </c>
      <c r="DH454" s="2490">
        <f t="shared" si="1173"/>
      </c>
      <c r="DI454" s="2490">
        <f t="shared" si="1173"/>
      </c>
      <c r="DJ454" s="2489">
        <f>SUM(DF454:DI454)</f>
      </c>
      <c r="DK454" s="2490">
        <f t="shared" ref="DK454:DN455" si="1174">+DK263-DK274-DK328-DK339</f>
      </c>
      <c r="DL454" s="2491">
        <f t="shared" si="1174"/>
      </c>
      <c r="DM454" s="2491">
        <f t="shared" si="1174"/>
      </c>
      <c r="DN454" s="2490">
        <f t="shared" si="1174"/>
      </c>
      <c r="DO454" s="2489">
        <f>SUM(DK454:DN454)</f>
      </c>
      <c r="DP454" s="2482">
        <v>84</v>
      </c>
      <c r="DQ454" s="2491">
        <f t="shared" ref="DQ454:DS455" si="1175">+DQ263-DQ274-DQ328-DQ339</f>
      </c>
      <c r="DR454" s="2491">
        <f t="shared" si="1175"/>
      </c>
      <c r="DS454" s="2491">
        <f t="shared" si="1175"/>
      </c>
      <c r="DT454" s="2489">
        <f>SUM(DP454:DS454)</f>
      </c>
      <c r="DU454" s="2471">
        <v>84</v>
      </c>
      <c r="DV454" s="2471">
        <v>100</v>
      </c>
      <c r="DW454" s="2471">
        <v>95</v>
      </c>
      <c r="DX454" s="2471">
        <v>70.5</v>
      </c>
      <c r="DY454" s="2489">
        <f>SUM(DU454:DX454)</f>
      </c>
      <c r="DZ454" s="2482">
        <v>58</v>
      </c>
      <c r="EA454" s="2482">
        <v>57</v>
      </c>
      <c r="EB454" s="2482">
        <v>46</v>
      </c>
      <c r="EC454" s="2483">
        <v>49</v>
      </c>
      <c r="ED454" s="2489">
        <f>SUM(DZ454:EC454)</f>
      </c>
      <c r="EE454" s="2482">
        <v>28</v>
      </c>
      <c r="EF454" s="2482">
        <v>45</v>
      </c>
      <c r="EG454" s="2482">
        <v>46</v>
      </c>
      <c r="EH454" s="2472">
        <f>+EI454-SUM(EE454:EG454)</f>
      </c>
      <c r="EI454" s="2489">
        <f>ED454*(1+EI459)</f>
      </c>
      <c r="EJ454" s="2489">
        <f t="shared" ref="EJ454:EN455" si="1176">EI454*(1+EJ459)</f>
      </c>
      <c r="EK454" s="2489">
        <f t="shared" si="1176"/>
      </c>
      <c r="EL454" s="2489">
        <f t="shared" si="1176"/>
      </c>
      <c r="EM454" s="2489">
        <f t="shared" si="1176"/>
      </c>
      <c r="EN454" s="2489">
        <f t="shared" si="1176"/>
      </c>
      <c r="EO454" s="2489">
        <f t="shared" ref="EO454:EO455" si="1177">EN454*(1+EO459)</f>
      </c>
      <c r="EP454" s="2489">
        <f t="shared" ref="EP454:EP455" si="1178">EO454*(1+EP459)</f>
      </c>
      <c r="EQ454" s="2489">
        <f t="shared" ref="EQ454:EQ455" si="1179">EP454*(1+EQ459)</f>
      </c>
      <c r="ER454" s="2489">
        <f t="shared" ref="ER454:ER455" si="1180">EQ454*(1+ER459)</f>
      </c>
      <c r="ES454" s="2489">
        <f t="shared" ref="ES454:ES455" si="1181">ER454*(1+ES459)</f>
      </c>
      <c r="ET454" s="1762"/>
      <c r="EU454" s="1762"/>
      <c r="EV454" s="1762"/>
      <c r="EW454" s="1762"/>
      <c r="EX454" s="1762"/>
    </row>
    <row r="455" spans="1:154" s="475" customFormat="1" ht="12.75" customHeight="1">
      <c r="A455" s="3282"/>
      <c r="B455" s="481" t="s">
        <v>412</v>
      </c>
      <c r="C455" s="2007"/>
      <c r="D455" s="467"/>
      <c r="E455" s="467"/>
      <c r="F455" s="467"/>
      <c r="G455" s="467"/>
      <c r="H455" s="467"/>
      <c r="I455" s="468"/>
      <c r="J455" s="467"/>
      <c r="K455" s="467"/>
      <c r="L455" s="467"/>
      <c r="M455" s="467"/>
      <c r="N455" s="468"/>
      <c r="O455" s="468"/>
      <c r="P455" s="468"/>
      <c r="Q455" s="468"/>
      <c r="R455" s="468"/>
      <c r="S455" s="468"/>
      <c r="T455" s="468"/>
      <c r="U455" s="468"/>
      <c r="V455" s="468"/>
      <c r="W455" s="468"/>
      <c r="X455" s="469"/>
      <c r="Y455" s="468"/>
      <c r="Z455" s="468"/>
      <c r="AA455" s="468"/>
      <c r="AB455" s="468"/>
      <c r="AC455" s="469"/>
      <c r="AD455" s="468"/>
      <c r="AE455" s="468"/>
      <c r="AF455" s="468"/>
      <c r="AG455" s="468"/>
      <c r="AH455" s="469"/>
      <c r="AI455" s="467"/>
      <c r="AJ455" s="467"/>
      <c r="AK455" s="467"/>
      <c r="AL455" s="468"/>
      <c r="AM455" s="469"/>
      <c r="AN455" s="467"/>
      <c r="AO455" s="467"/>
      <c r="AP455" s="467"/>
      <c r="AQ455" s="468"/>
      <c r="AR455" s="469"/>
      <c r="AS455" s="467"/>
      <c r="AT455" s="467"/>
      <c r="AU455" s="467"/>
      <c r="AV455" s="467">
        <v>9</v>
      </c>
      <c r="AW455" s="672">
        <f>SUM(AS455:AV455)</f>
      </c>
      <c r="AX455" s="467"/>
      <c r="AY455" s="467"/>
      <c r="AZ455" s="467"/>
      <c r="BA455" s="467">
        <v>90</v>
      </c>
      <c r="BB455" s="672">
        <f>SUM(AX455:BA455)</f>
      </c>
      <c r="BC455" s="447"/>
      <c r="BD455" s="447"/>
      <c r="BE455" s="447"/>
      <c r="BF455" s="447">
        <v>8.5</v>
      </c>
      <c r="BG455" s="672">
        <f>SUM(BC455:BF455)</f>
      </c>
      <c r="BH455" s="447"/>
      <c r="BI455" s="447"/>
      <c r="BJ455" s="447"/>
      <c r="BK455" s="447"/>
      <c r="BL455" s="469"/>
      <c r="BM455" s="671">
        <f t="shared" si="1164"/>
      </c>
      <c r="BN455" s="671">
        <f t="shared" si="1164"/>
      </c>
      <c r="BO455" s="671">
        <f t="shared" si="1164"/>
      </c>
      <c r="BP455" s="671">
        <f t="shared" si="1164"/>
      </c>
      <c r="BQ455" s="672">
        <f>SUM(BM455:BP455)</f>
      </c>
      <c r="BR455" s="671">
        <f t="shared" si="1165"/>
      </c>
      <c r="BS455" s="671">
        <f t="shared" si="1165"/>
      </c>
      <c r="BT455" s="671">
        <f t="shared" si="1165"/>
      </c>
      <c r="BU455" s="671">
        <f t="shared" si="1165"/>
      </c>
      <c r="BV455" s="672">
        <f>SUM(BR455:BU455)</f>
      </c>
      <c r="BW455" s="671">
        <f t="shared" si="1166"/>
      </c>
      <c r="BX455" s="671">
        <f t="shared" si="1166"/>
      </c>
      <c r="BY455" s="671">
        <f t="shared" si="1166"/>
      </c>
      <c r="BZ455" s="28">
        <f t="shared" si="1166"/>
      </c>
      <c r="CA455" s="313">
        <f>SUM(BW455:BZ455)</f>
      </c>
      <c r="CB455" s="671">
        <f t="shared" si="1167"/>
      </c>
      <c r="CC455" s="671">
        <f t="shared" si="1167"/>
      </c>
      <c r="CD455" s="671">
        <f t="shared" si="1167"/>
      </c>
      <c r="CE455" s="28">
        <f t="shared" si="1167"/>
      </c>
      <c r="CF455" s="313">
        <f>SUM(CB455:CE455)</f>
      </c>
      <c r="CG455" s="671">
        <f t="shared" si="1168"/>
      </c>
      <c r="CH455" s="671">
        <f t="shared" si="1168"/>
      </c>
      <c r="CI455" s="671">
        <f t="shared" si="1168"/>
      </c>
      <c r="CJ455" s="671">
        <f t="shared" si="1168"/>
      </c>
      <c r="CK455" s="313">
        <f>SUM(CG455:CJ455)</f>
      </c>
      <c r="CL455" s="671">
        <f t="shared" si="1169"/>
      </c>
      <c r="CM455" s="671">
        <f t="shared" si="1169"/>
      </c>
      <c r="CN455" s="671">
        <f t="shared" si="1169"/>
      </c>
      <c r="CO455" s="1400">
        <f t="shared" si="1169"/>
      </c>
      <c r="CP455" s="313">
        <f>SUM(CL455:CO455)</f>
      </c>
      <c r="CQ455" s="671">
        <f t="shared" si="1170"/>
      </c>
      <c r="CR455" s="671">
        <f t="shared" si="1170"/>
      </c>
      <c r="CS455" s="671">
        <f t="shared" si="1170"/>
      </c>
      <c r="CT455" s="671">
        <f t="shared" si="1170"/>
      </c>
      <c r="CU455" s="313">
        <f>SUM(CQ455:CT455)</f>
      </c>
      <c r="CV455" s="671">
        <f t="shared" si="1171"/>
      </c>
      <c r="CW455" s="671">
        <f t="shared" si="1171"/>
      </c>
      <c r="CX455" s="671">
        <f t="shared" si="1171"/>
      </c>
      <c r="CY455" s="671">
        <f t="shared" si="1171"/>
      </c>
      <c r="CZ455" s="313">
        <f>SUM(CV455:CY455)</f>
      </c>
      <c r="DA455" s="671">
        <f t="shared" si="1172"/>
      </c>
      <c r="DB455" s="671">
        <f t="shared" si="1172"/>
      </c>
      <c r="DC455" s="671">
        <f t="shared" si="1172"/>
      </c>
      <c r="DD455" s="984">
        <v>314</v>
      </c>
      <c r="DE455" s="2489">
        <f>SUM(DA455:DD455)</f>
      </c>
      <c r="DF455" s="2490">
        <f t="shared" si="1173"/>
      </c>
      <c r="DG455" s="2490">
        <f t="shared" si="1173"/>
      </c>
      <c r="DH455" s="2490">
        <f t="shared" si="1173"/>
      </c>
      <c r="DI455" s="2490">
        <f t="shared" si="1173"/>
      </c>
      <c r="DJ455" s="2489">
        <f>SUM(DF455:DI455)</f>
      </c>
      <c r="DK455" s="2490">
        <f t="shared" si="1174"/>
      </c>
      <c r="DL455" s="2491">
        <f t="shared" si="1174"/>
      </c>
      <c r="DM455" s="2491">
        <f t="shared" si="1174"/>
      </c>
      <c r="DN455" s="2490">
        <f t="shared" si="1174"/>
      </c>
      <c r="DO455" s="2489">
        <f>SUM(DK455:DN455)</f>
      </c>
      <c r="DP455" s="2482">
        <v>323</v>
      </c>
      <c r="DQ455" s="2491">
        <f t="shared" si="1175"/>
      </c>
      <c r="DR455" s="2491">
        <f t="shared" si="1175"/>
      </c>
      <c r="DS455" s="2491">
        <f t="shared" si="1175"/>
      </c>
      <c r="DT455" s="2489">
        <f>SUM(DP455:DS455)</f>
      </c>
      <c r="DU455" s="2471">
        <v>339</v>
      </c>
      <c r="DV455" s="2471">
        <v>286</v>
      </c>
      <c r="DW455" s="2471">
        <v>245</v>
      </c>
      <c r="DX455" s="2471">
        <v>333.5</v>
      </c>
      <c r="DY455" s="2489">
        <f>SUM(DU455:DX455)</f>
      </c>
      <c r="DZ455" s="2482">
        <v>287</v>
      </c>
      <c r="EA455" s="2482">
        <v>237</v>
      </c>
      <c r="EB455" s="2482">
        <v>235</v>
      </c>
      <c r="EC455" s="2483">
        <v>206</v>
      </c>
      <c r="ED455" s="2489">
        <f>SUM(DZ455:EC455)</f>
      </c>
      <c r="EE455" s="2482">
        <v>248</v>
      </c>
      <c r="EF455" s="2482">
        <v>226</v>
      </c>
      <c r="EG455" s="2482">
        <v>210</v>
      </c>
      <c r="EH455" s="2472">
        <f>+EI455-SUM(EE455:EG455)</f>
      </c>
      <c r="EI455" s="2489">
        <f>ED455*(1+EI460)</f>
      </c>
      <c r="EJ455" s="2489">
        <f t="shared" si="1176"/>
      </c>
      <c r="EK455" s="2489">
        <f t="shared" si="1176"/>
      </c>
      <c r="EL455" s="2489">
        <f t="shared" si="1176"/>
      </c>
      <c r="EM455" s="2489">
        <f t="shared" si="1176"/>
      </c>
      <c r="EN455" s="2489">
        <f t="shared" si="1176"/>
      </c>
      <c r="EO455" s="2489">
        <f t="shared" si="1177"/>
      </c>
      <c r="EP455" s="2489">
        <f t="shared" si="1178"/>
      </c>
      <c r="EQ455" s="2489">
        <f t="shared" si="1179"/>
      </c>
      <c r="ER455" s="2489">
        <f t="shared" si="1180"/>
      </c>
      <c r="ES455" s="2489">
        <f t="shared" si="1181"/>
      </c>
      <c r="ET455" s="1762"/>
      <c r="EU455" s="1762"/>
      <c r="EV455" s="1762"/>
      <c r="EW455" s="1762"/>
      <c r="EX455" s="1762"/>
    </row>
    <row r="456" spans="1:154" s="475" customFormat="1" ht="12.75" customHeight="1">
      <c r="A456" s="3282"/>
      <c r="B456" s="481" t="s">
        <v>413</v>
      </c>
      <c r="C456" s="2007"/>
      <c r="D456" s="467"/>
      <c r="E456" s="467"/>
      <c r="F456" s="467"/>
      <c r="G456" s="467"/>
      <c r="H456" s="467"/>
      <c r="I456" s="468"/>
      <c r="J456" s="467"/>
      <c r="K456" s="467"/>
      <c r="L456" s="467"/>
      <c r="M456" s="467"/>
      <c r="N456" s="468"/>
      <c r="O456" s="468"/>
      <c r="P456" s="468"/>
      <c r="Q456" s="468"/>
      <c r="R456" s="468"/>
      <c r="S456" s="468"/>
      <c r="T456" s="468"/>
      <c r="U456" s="468"/>
      <c r="V456" s="468"/>
      <c r="W456" s="468"/>
      <c r="X456" s="469"/>
      <c r="Y456" s="468"/>
      <c r="Z456" s="468"/>
      <c r="AA456" s="468"/>
      <c r="AB456" s="468"/>
      <c r="AC456" s="469"/>
      <c r="AD456" s="468"/>
      <c r="AE456" s="468"/>
      <c r="AF456" s="468"/>
      <c r="AG456" s="468"/>
      <c r="AH456" s="469"/>
      <c r="AI456" s="467"/>
      <c r="AJ456" s="467"/>
      <c r="AK456" s="467"/>
      <c r="AL456" s="468"/>
      <c r="AM456" s="469"/>
      <c r="AN456" s="467"/>
      <c r="AO456" s="467"/>
      <c r="AP456" s="467"/>
      <c r="AQ456" s="468"/>
      <c r="AR456" s="469"/>
      <c r="AS456" s="467"/>
      <c r="AT456" s="467"/>
      <c r="AU456" s="467"/>
      <c r="AV456" s="467"/>
      <c r="AW456" s="479">
        <f>+AW454+AW455</f>
      </c>
      <c r="AX456" s="467"/>
      <c r="AY456" s="467"/>
      <c r="AZ456" s="467"/>
      <c r="BA456" s="467"/>
      <c r="BB456" s="479">
        <f>+BB454+BB455</f>
      </c>
      <c r="BC456" s="447"/>
      <c r="BD456" s="447"/>
      <c r="BE456" s="447"/>
      <c r="BF456" s="447"/>
      <c r="BG456" s="479">
        <f>+BG454+BG455</f>
      </c>
      <c r="BH456" s="447"/>
      <c r="BI456" s="447"/>
      <c r="BJ456" s="447"/>
      <c r="BK456" s="447"/>
      <c r="BL456" s="469"/>
      <c r="BM456" s="467">
        <f t="shared" ref="BM456:BW456" si="1182">+BM454+BM455</f>
      </c>
      <c r="BN456" s="467">
        <f t="shared" si="1182"/>
      </c>
      <c r="BO456" s="467">
        <f t="shared" si="1182"/>
      </c>
      <c r="BP456" s="467">
        <f t="shared" si="1182"/>
      </c>
      <c r="BQ456" s="479">
        <f t="shared" si="1182"/>
      </c>
      <c r="BR456" s="467">
        <f t="shared" si="1182"/>
      </c>
      <c r="BS456" s="467">
        <f t="shared" si="1182"/>
      </c>
      <c r="BT456" s="467">
        <f t="shared" si="1182"/>
      </c>
      <c r="BU456" s="467">
        <f t="shared" si="1182"/>
      </c>
      <c r="BV456" s="479">
        <f t="shared" si="1182"/>
      </c>
      <c r="BW456" s="467">
        <f t="shared" si="1182"/>
      </c>
      <c r="BX456" s="467">
        <f>+BX454+BX455</f>
      </c>
      <c r="BY456" s="467">
        <f>+BY454+BY455</f>
      </c>
      <c r="BZ456" s="467">
        <f>+BZ454+BZ455</f>
      </c>
      <c r="CA456" s="313">
        <f>SUM(BW456:BZ456)</f>
      </c>
      <c r="CB456" s="467">
        <f>+CB454+CB455</f>
      </c>
      <c r="CC456" s="467">
        <f>+CC454+CC455</f>
      </c>
      <c r="CD456" s="467">
        <f>+CD454+CD455</f>
      </c>
      <c r="CE456" s="467">
        <f>+CE454+CE455</f>
      </c>
      <c r="CF456" s="313">
        <f>SUM(CB456:CE456)</f>
      </c>
      <c r="CG456" s="467">
        <f>+CG454+CG455</f>
      </c>
      <c r="CH456" s="467">
        <f>+CH454+CH455</f>
      </c>
      <c r="CI456" s="467">
        <f>+CI454+CI455</f>
      </c>
      <c r="CJ456" s="467">
        <f>+CJ454+CJ455</f>
      </c>
      <c r="CK456" s="313">
        <f>SUM(CG456:CJ456)</f>
      </c>
      <c r="CL456" s="467">
        <f>+CL454+CL455</f>
      </c>
      <c r="CM456" s="467">
        <f>+CM454+CM455</f>
      </c>
      <c r="CN456" s="467">
        <f>+CN454+CN455</f>
      </c>
      <c r="CO456" s="1399">
        <f>+CO454+CO455</f>
      </c>
      <c r="CP456" s="313">
        <f>SUM(CL456:CO456)</f>
      </c>
      <c r="CQ456" s="467">
        <f>+CQ454+CQ455</f>
      </c>
      <c r="CR456" s="969">
        <f>+CR454+CR455</f>
      </c>
      <c r="CS456" s="969">
        <f>+CS454+CS455</f>
      </c>
      <c r="CT456" s="969">
        <f>+CT454+CT455</f>
      </c>
      <c r="CU456" s="313">
        <f>SUM(CQ456:CT456)</f>
      </c>
      <c r="CV456" s="467">
        <f>+CV454+CV455</f>
      </c>
      <c r="CW456" s="467">
        <f>+CW454+CW455</f>
      </c>
      <c r="CX456" s="467">
        <f>+CX454+CX455</f>
      </c>
      <c r="CY456" s="969">
        <f>+CY454+CY455</f>
      </c>
      <c r="CZ456" s="313">
        <f>SUM(CV456:CY456)</f>
      </c>
      <c r="DA456" s="467">
        <f>+DA454+DA455</f>
      </c>
      <c r="DB456" s="467">
        <f>+DB454+DB455</f>
      </c>
      <c r="DC456" s="467">
        <f>+DC454+DC455</f>
      </c>
      <c r="DD456" s="984">
        <f>+DD454+DD455</f>
      </c>
      <c r="DE456" s="2489">
        <f>SUM(DA456:DD456)</f>
      </c>
      <c r="DF456" s="2471">
        <f>SUM(DF454:DF455)</f>
      </c>
      <c r="DG456" s="2471">
        <f>SUM(DG454:DG455)</f>
      </c>
      <c r="DH456" s="2471">
        <f>SUM(DH454:DH455)</f>
      </c>
      <c r="DI456" s="2471">
        <f>SUM(DI454:DI455)</f>
      </c>
      <c r="DJ456" s="2489">
        <f>SUM(DF456:DI456)</f>
      </c>
      <c r="DK456" s="2471">
        <f>SUM(DK454:DK455)</f>
      </c>
      <c r="DL456" s="2471">
        <f>SUM(DL454:DL455)</f>
      </c>
      <c r="DM456" s="2471">
        <f>SUM(DM454:DM455)</f>
      </c>
      <c r="DN456" s="2472">
        <f>+DN454+DN455</f>
      </c>
      <c r="DO456" s="2481">
        <f>+DO454+DO455</f>
      </c>
      <c r="DP456" s="2471">
        <f>SUM(DP454:DP455)</f>
      </c>
      <c r="DQ456" s="2491">
        <f>SUM(DQ454:DQ455)</f>
      </c>
      <c r="DR456" s="2491">
        <f>SUM(DR454:DR455)</f>
      </c>
      <c r="DS456" s="2472">
        <f>+DS454+DS455</f>
      </c>
      <c r="DT456" s="2481">
        <f>+DT454+DT455</f>
      </c>
      <c r="DU456" s="2471">
        <f>SUM(DU454:DU455)</f>
      </c>
      <c r="DV456" s="2471">
        <f>SUM(DV454:DV455)</f>
      </c>
      <c r="DW456" s="2471">
        <f>SUM(DW454:DW455)</f>
      </c>
      <c r="DX456" s="2471">
        <f>SUM(DX454:DX455)</f>
      </c>
      <c r="DY456" s="2481">
        <f>+DY454+DY455</f>
      </c>
      <c r="DZ456" s="2471">
        <f>SUM(DZ454:DZ455)</f>
      </c>
      <c r="EA456" s="2471">
        <f>SUM(EA454:EA455)</f>
      </c>
      <c r="EB456" s="2471">
        <f>SUM(EB454:EB455)</f>
      </c>
      <c r="EC456" s="2472">
        <f t="shared" ref="EC456" si="1183">+EC454+EC455</f>
      </c>
      <c r="ED456" s="2481">
        <f>+ED454+ED455</f>
      </c>
      <c r="EE456" s="2471">
        <f>SUM(EE454:EE455)</f>
      </c>
      <c r="EF456" s="2471">
        <f>SUM(EF454:EF455)</f>
      </c>
      <c r="EG456" s="2471">
        <f>SUM(EG454:EG455)</f>
      </c>
      <c r="EH456" s="2472">
        <f t="shared" ref="EH456" si="1184">+EH454+EH455</f>
      </c>
      <c r="EI456" s="2481">
        <f t="shared" ref="EI456:EN456" si="1185">+EI454+EI455</f>
      </c>
      <c r="EJ456" s="2481">
        <f t="shared" si="1185"/>
      </c>
      <c r="EK456" s="2481">
        <f t="shared" si="1185"/>
      </c>
      <c r="EL456" s="2481">
        <f t="shared" si="1185"/>
      </c>
      <c r="EM456" s="2481">
        <f t="shared" si="1185"/>
      </c>
      <c r="EN456" s="2481">
        <f t="shared" si="1185"/>
      </c>
      <c r="EO456" s="2481">
        <f t="shared" ref="EO456:ES456" si="1186">+EO454+EO455</f>
      </c>
      <c r="EP456" s="2481">
        <f t="shared" si="1186"/>
      </c>
      <c r="EQ456" s="2481">
        <f t="shared" si="1186"/>
      </c>
      <c r="ER456" s="2481">
        <f t="shared" si="1186"/>
      </c>
      <c r="ES456" s="2481">
        <f t="shared" si="1186"/>
      </c>
      <c r="ET456" s="1850"/>
      <c r="EU456" s="1850"/>
      <c r="EV456" s="1850"/>
      <c r="EW456" s="1850"/>
      <c r="EX456" s="1850"/>
    </row>
    <row r="457" spans="1:154" s="475" customFormat="1" ht="12.75" customHeight="1">
      <c r="A457" s="3282"/>
      <c r="B457" s="481"/>
      <c r="C457" s="2007"/>
      <c r="D457" s="467"/>
      <c r="E457" s="467"/>
      <c r="F457" s="467"/>
      <c r="G457" s="467"/>
      <c r="H457" s="467"/>
      <c r="I457" s="468"/>
      <c r="J457" s="467"/>
      <c r="K457" s="467"/>
      <c r="L457" s="467"/>
      <c r="M457" s="467"/>
      <c r="N457" s="468"/>
      <c r="O457" s="468"/>
      <c r="P457" s="468"/>
      <c r="Q457" s="468"/>
      <c r="R457" s="468"/>
      <c r="S457" s="468"/>
      <c r="T457" s="468"/>
      <c r="U457" s="468"/>
      <c r="V457" s="468"/>
      <c r="W457" s="468"/>
      <c r="X457" s="469"/>
      <c r="Y457" s="468"/>
      <c r="Z457" s="468"/>
      <c r="AA457" s="468"/>
      <c r="AB457" s="468"/>
      <c r="AC457" s="469"/>
      <c r="AD457" s="468"/>
      <c r="AE457" s="468"/>
      <c r="AF457" s="468"/>
      <c r="AG457" s="468"/>
      <c r="AH457" s="469"/>
      <c r="AI457" s="467"/>
      <c r="AJ457" s="467"/>
      <c r="AK457" s="467"/>
      <c r="AL457" s="468"/>
      <c r="AM457" s="469"/>
      <c r="AN457" s="467"/>
      <c r="AO457" s="467"/>
      <c r="AP457" s="467"/>
      <c r="AQ457" s="468"/>
      <c r="AR457" s="469"/>
      <c r="AS457" s="467"/>
      <c r="AT457" s="467"/>
      <c r="AU457" s="467"/>
      <c r="AV457" s="467"/>
      <c r="AW457" s="469"/>
      <c r="AX457" s="467"/>
      <c r="AY457" s="467"/>
      <c r="AZ457" s="467"/>
      <c r="BA457" s="467"/>
      <c r="BB457" s="469"/>
      <c r="BC457" s="447"/>
      <c r="BD457" s="447"/>
      <c r="BE457" s="447"/>
      <c r="BF457" s="447"/>
      <c r="BG457" s="469"/>
      <c r="BH457" s="447"/>
      <c r="BI457" s="447"/>
      <c r="BJ457" s="447"/>
      <c r="BK457" s="447"/>
      <c r="BL457" s="469"/>
      <c r="BM457" s="447"/>
      <c r="BN457" s="447"/>
      <c r="BO457" s="447"/>
      <c r="BP457" s="447"/>
      <c r="BQ457" s="469"/>
      <c r="BR457" s="447"/>
      <c r="BS457" s="447"/>
      <c r="BT457" s="447"/>
      <c r="BU457" s="447"/>
      <c r="BV457" s="469"/>
      <c r="BW457" s="447"/>
      <c r="BX457" s="447"/>
      <c r="BY457" s="447"/>
      <c r="BZ457" s="447"/>
      <c r="CA457" s="469"/>
      <c r="CB457" s="447"/>
      <c r="CC457" s="447"/>
      <c r="CD457" s="447"/>
      <c r="CE457" s="447"/>
      <c r="CF457" s="469"/>
      <c r="CG457" s="447"/>
      <c r="CH457" s="447"/>
      <c r="CI457" s="447"/>
      <c r="CJ457" s="447"/>
      <c r="CK457" s="469"/>
      <c r="CL457" s="447"/>
      <c r="CM457" s="447"/>
      <c r="CN457" s="447"/>
      <c r="CO457" s="1396"/>
      <c r="CP457" s="469"/>
      <c r="CQ457" s="972"/>
      <c r="CR457" s="972"/>
      <c r="CS457" s="972"/>
      <c r="CT457" s="972"/>
      <c r="CU457" s="469"/>
      <c r="CV457" s="972"/>
      <c r="CW457" s="972"/>
      <c r="CX457" s="972"/>
      <c r="CY457" s="972"/>
      <c r="CZ457" s="469"/>
      <c r="DA457" s="972"/>
      <c r="DB457" s="31"/>
      <c r="DC457" s="31"/>
      <c r="DD457" s="955"/>
      <c r="DE457" s="469"/>
      <c r="DF457" s="972"/>
      <c r="DG457" s="603"/>
      <c r="DH457" s="603"/>
      <c r="DI457" s="1798"/>
      <c r="DJ457" s="469"/>
      <c r="DK457" s="972"/>
      <c r="DL457" s="603"/>
      <c r="DM457" s="603"/>
      <c r="DN457" s="1798"/>
      <c r="DO457" s="469"/>
      <c r="DP457" s="603"/>
      <c r="DQ457" s="603"/>
      <c r="DR457" s="603"/>
      <c r="DS457" s="1798"/>
      <c r="DT457" s="469"/>
      <c r="DU457" s="603"/>
      <c r="DV457" s="603"/>
      <c r="DW457" s="603"/>
      <c r="DX457" s="603"/>
      <c r="DY457" s="469"/>
      <c r="DZ457" s="603"/>
      <c r="EA457" s="603"/>
      <c r="EB457" s="603"/>
      <c r="EC457" s="1798"/>
      <c r="ED457" s="3533"/>
      <c r="EE457" s="603"/>
      <c r="EF457" s="603"/>
      <c r="EG457" s="603"/>
      <c r="EH457" s="1798"/>
      <c r="EI457" s="469"/>
      <c r="EJ457" s="469"/>
      <c r="EK457" s="469"/>
      <c r="EL457" s="469"/>
      <c r="EM457" s="469"/>
      <c r="EN457" s="469"/>
      <c r="EO457" s="1762"/>
      <c r="EP457" s="1762"/>
      <c r="EQ457" s="1762"/>
      <c r="ER457" s="1762"/>
      <c r="ES457" s="1762"/>
      <c r="ET457" s="1762"/>
      <c r="EU457" s="1762"/>
      <c r="EV457" s="1762"/>
      <c r="EW457" s="1762"/>
      <c r="EX457" s="1762"/>
    </row>
    <row r="458" spans="1:154" ht="12.75" customHeight="1">
      <c r="B458" s="459" t="s">
        <v>897</v>
      </c>
      <c r="C458" s="1989"/>
      <c r="D458" s="28"/>
      <c r="E458" s="28"/>
      <c r="F458" s="28"/>
      <c r="G458" s="28"/>
      <c r="H458" s="28"/>
      <c r="I458" s="31"/>
      <c r="J458" s="28"/>
      <c r="K458" s="28"/>
      <c r="L458" s="28"/>
      <c r="M458" s="28"/>
      <c r="N458" s="31"/>
      <c r="O458" s="31"/>
      <c r="P458" s="31"/>
      <c r="Q458" s="31"/>
      <c r="R458" s="31"/>
      <c r="S458" s="31"/>
      <c r="T458" s="31"/>
      <c r="U458" s="31"/>
      <c r="V458" s="31"/>
      <c r="W458" s="31"/>
      <c r="X458" s="308"/>
      <c r="Y458" s="31"/>
      <c r="Z458" s="31"/>
      <c r="AA458" s="31"/>
      <c r="AB458" s="31"/>
      <c r="AC458" s="308"/>
      <c r="AD458" s="31"/>
      <c r="AE458" s="31"/>
      <c r="AF458" s="31"/>
      <c r="AG458" s="31"/>
      <c r="AH458" s="308"/>
      <c r="AI458" s="28"/>
      <c r="AJ458" s="28"/>
      <c r="AK458" s="28"/>
      <c r="AL458" s="31"/>
      <c r="AM458" s="308"/>
      <c r="AN458" s="28"/>
      <c r="AO458" s="28"/>
      <c r="AP458" s="28"/>
      <c r="AQ458" s="31"/>
      <c r="AR458" s="308"/>
      <c r="AS458" s="28"/>
      <c r="AT458" s="28"/>
      <c r="AU458" s="28"/>
      <c r="AV458" s="28"/>
      <c r="AW458" s="308"/>
      <c r="AX458" s="28"/>
      <c r="AY458" s="28"/>
      <c r="AZ458" s="28"/>
      <c r="BA458" s="28"/>
      <c r="BB458" s="308"/>
      <c r="BC458" s="30"/>
      <c r="BD458" s="30"/>
      <c r="BE458" s="30"/>
      <c r="BF458" s="30"/>
      <c r="BG458" s="308"/>
      <c r="BH458" s="30"/>
      <c r="BI458" s="30"/>
      <c r="BJ458" s="30"/>
      <c r="BK458" s="30"/>
      <c r="BL458" s="308"/>
      <c r="BM458" s="30"/>
      <c r="BN458" s="30"/>
      <c r="BO458" s="30"/>
      <c r="BP458" s="30"/>
      <c r="BQ458" s="308"/>
      <c r="BR458" s="30"/>
      <c r="BS458" s="30"/>
      <c r="BT458" s="30"/>
      <c r="BU458" s="30"/>
      <c r="BV458" s="308"/>
      <c r="BW458" s="30"/>
      <c r="BX458" s="30"/>
      <c r="BY458" s="30"/>
      <c r="BZ458" s="30"/>
      <c r="CA458" s="308"/>
      <c r="CB458" s="30"/>
      <c r="CC458" s="30"/>
      <c r="CD458" s="30"/>
      <c r="CE458" s="30"/>
      <c r="CF458" s="308"/>
      <c r="CG458" s="30"/>
      <c r="CH458" s="30"/>
      <c r="CI458" s="30"/>
      <c r="CJ458" s="30"/>
      <c r="CK458" s="308"/>
      <c r="CL458" s="30"/>
      <c r="CM458" s="30"/>
      <c r="CN458" s="30"/>
      <c r="CO458" s="30"/>
      <c r="CP458" s="308"/>
      <c r="CQ458" s="926"/>
      <c r="CR458" s="926"/>
      <c r="CS458" s="926"/>
      <c r="CT458" s="926"/>
      <c r="CU458" s="308"/>
      <c r="CV458" s="926"/>
      <c r="CW458" s="926"/>
      <c r="CX458" s="926"/>
      <c r="CY458" s="926"/>
      <c r="CZ458" s="308"/>
      <c r="DA458" s="926"/>
      <c r="DB458" s="31"/>
      <c r="DC458" s="31"/>
      <c r="DD458" s="955"/>
      <c r="DE458" s="308"/>
      <c r="DF458" s="926"/>
      <c r="DG458" s="603"/>
      <c r="DH458" s="603"/>
      <c r="DI458" s="1798"/>
      <c r="DJ458" s="308"/>
      <c r="DK458" s="926"/>
      <c r="DL458" s="603"/>
      <c r="DM458" s="603"/>
      <c r="DN458" s="1798"/>
      <c r="DO458" s="308"/>
      <c r="DP458" s="603"/>
      <c r="DQ458" s="603"/>
      <c r="DR458" s="603"/>
      <c r="DS458" s="1798"/>
      <c r="DT458" s="308"/>
      <c r="DU458" s="603"/>
      <c r="DV458" s="603"/>
      <c r="DW458" s="603"/>
      <c r="DX458" s="603"/>
      <c r="DY458" s="308"/>
      <c r="DZ458" s="603"/>
      <c r="EA458" s="603"/>
      <c r="EB458" s="603"/>
      <c r="EC458" s="1798"/>
      <c r="ED458" s="1060"/>
      <c r="EE458" s="603"/>
      <c r="EF458" s="603"/>
      <c r="EG458" s="603"/>
      <c r="EH458" s="1798"/>
      <c r="EI458" s="308"/>
      <c r="EJ458" s="308"/>
      <c r="EK458" s="308"/>
      <c r="EL458" s="308"/>
      <c r="EM458" s="308"/>
      <c r="EN458" s="308"/>
      <c r="EO458" s="409"/>
      <c r="EP458" s="409"/>
      <c r="EQ458" s="409"/>
      <c r="ER458" s="409"/>
      <c r="ES458" s="409"/>
      <c r="ET458" s="409"/>
      <c r="EU458" s="409"/>
      <c r="EV458" s="409"/>
      <c r="EW458" s="409"/>
      <c r="EX458" s="409"/>
    </row>
    <row r="459" spans="1:154" ht="12.75" customHeight="1">
      <c r="B459" s="460" t="s">
        <v>925</v>
      </c>
      <c r="C459" s="1989"/>
      <c r="D459" s="28"/>
      <c r="E459" s="28"/>
      <c r="F459" s="28"/>
      <c r="G459" s="28"/>
      <c r="H459" s="28"/>
      <c r="I459" s="31"/>
      <c r="J459" s="28"/>
      <c r="K459" s="28"/>
      <c r="L459" s="28"/>
      <c r="M459" s="28"/>
      <c r="N459" s="31"/>
      <c r="O459" s="31"/>
      <c r="P459" s="31"/>
      <c r="Q459" s="31"/>
      <c r="R459" s="31"/>
      <c r="S459" s="31"/>
      <c r="T459" s="31"/>
      <c r="U459" s="31"/>
      <c r="V459" s="31"/>
      <c r="W459" s="31"/>
      <c r="X459" s="308"/>
      <c r="Y459" s="31"/>
      <c r="Z459" s="31"/>
      <c r="AA459" s="31"/>
      <c r="AB459" s="31"/>
      <c r="AC459" s="308"/>
      <c r="AD459" s="31"/>
      <c r="AE459" s="31"/>
      <c r="AF459" s="31"/>
      <c r="AG459" s="31"/>
      <c r="AH459" s="308"/>
      <c r="AI459" s="28"/>
      <c r="AJ459" s="28"/>
      <c r="AK459" s="28"/>
      <c r="AL459" s="31"/>
      <c r="AM459" s="308"/>
      <c r="AN459" s="28"/>
      <c r="AO459" s="28"/>
      <c r="AP459" s="28"/>
      <c r="AQ459" s="31"/>
      <c r="AR459" s="308"/>
      <c r="AS459" s="28"/>
      <c r="AT459" s="28"/>
      <c r="AU459" s="28"/>
      <c r="AV459" s="28"/>
      <c r="AW459" s="308"/>
      <c r="AX459" s="28"/>
      <c r="AY459" s="28"/>
      <c r="AZ459" s="28"/>
      <c r="BA459" s="28"/>
      <c r="BB459" s="308"/>
      <c r="BC459" s="30"/>
      <c r="BD459" s="30"/>
      <c r="BE459" s="30"/>
      <c r="BF459" s="30"/>
      <c r="BG459" s="308"/>
      <c r="BH459" s="30"/>
      <c r="BI459" s="30"/>
      <c r="BJ459" s="30"/>
      <c r="BK459" s="30"/>
      <c r="BL459" s="308"/>
      <c r="BM459" s="30" t="str">
        <f t="shared" ref="BM459:CB460" si="1187">IF(BH454="NM","NM",IF(BM454="NM","NM",IF(BH454&lt;=0,"NM",IF(BM454=0,"NM",IF(ABS(BM454/BH454-1)&gt;2.5,"NM",IF((ABS(BM454-BH454)=ABS(ABS(BM454)-ABS(BH454))),(BM454/BH454-1),"NM"))))))</f>
      </c>
      <c r="BN459" s="30" t="str">
        <f t="shared" si="1187"/>
      </c>
      <c r="BO459" s="30" t="str">
        <f t="shared" si="1187"/>
      </c>
      <c r="BP459" s="30" t="str">
        <f t="shared" si="1187"/>
      </c>
      <c r="BQ459" s="308" t="str">
        <f t="shared" si="1187"/>
      </c>
      <c r="BR459" s="30">
        <f t="shared" si="1187"/>
      </c>
      <c r="BS459" s="30">
        <f t="shared" si="1187"/>
      </c>
      <c r="BT459" s="30" t="str">
        <f t="shared" si="1187"/>
      </c>
      <c r="BU459" s="30">
        <f t="shared" si="1187"/>
      </c>
      <c r="BV459" s="308">
        <f t="shared" si="1187"/>
      </c>
      <c r="BW459" s="30" t="str">
        <f t="shared" si="1187"/>
      </c>
      <c r="BX459" s="30">
        <f t="shared" si="1187"/>
      </c>
      <c r="BY459" s="30">
        <f t="shared" si="1187"/>
      </c>
      <c r="BZ459" s="30">
        <f t="shared" si="1187"/>
      </c>
      <c r="CA459" s="315">
        <f t="shared" si="1187"/>
      </c>
      <c r="CB459" s="30">
        <f t="shared" si="1187"/>
      </c>
      <c r="CC459" s="30">
        <f>IF(BX454="NM","NM",IF(CC454="NM","NM",IF(BX454&lt;=0,"NM",IF(CC454=0,"NM",IF(ABS(CC454/BX454-1)&gt;2.5,"NM",IF((ABS(CC454-BX454)=ABS(ABS(CC454)-ABS(BX454))),(CC454/BX454-1),"NM"))))))</f>
      </c>
      <c r="CD459" s="30">
        <f t="shared" ref="CD459:CJ460" si="1188">IF(BY454="NM","NM",IF(CD454="NM","NM",IF(BY454&lt;=0,"NM",IF(CD454=0,"NM",IF(ABS(CD454/BY454-1)&gt;2.5,"NM",IF((ABS(CD454-BY454)=ABS(ABS(CD454)-ABS(BY454))),(CD454/BY454-1),"NM"))))))</f>
      </c>
      <c r="CE459" s="30">
        <f t="shared" si="1188"/>
      </c>
      <c r="CF459" s="315">
        <f t="shared" si="1188"/>
      </c>
      <c r="CG459" s="30">
        <f t="shared" si="1188"/>
      </c>
      <c r="CH459" s="30" t="str">
        <f t="shared" si="1188"/>
      </c>
      <c r="CI459" s="30" t="str">
        <f t="shared" si="1188"/>
      </c>
      <c r="CJ459" s="30" t="str">
        <f t="shared" si="1188"/>
      </c>
      <c r="CK459" s="308">
        <f>IF(CF454=0,0, CK454/CF454-1)</f>
      </c>
      <c r="CL459" s="30">
        <f t="shared" ref="CL459:CO460" si="1189">IF(CG454="NM","NM",IF(CL454="NM","NM",IF(CG454&lt;=0,"NM",IF(CL454=0,"NM",IF(ABS(CL454/CG454-1)&gt;2.5,"NM",IF((ABS(CL454-CG454)=ABS(ABS(CL454)-ABS(CG454))),(CL454/CG454-1),"NM"))))))</f>
      </c>
      <c r="CM459" s="30">
        <f t="shared" si="1189"/>
      </c>
      <c r="CN459" s="30">
        <f t="shared" si="1189"/>
      </c>
      <c r="CO459" s="30">
        <f t="shared" si="1189"/>
      </c>
      <c r="CP459" s="308">
        <f>IF(CK454=0,0, CP454/CK454-1)</f>
      </c>
      <c r="CQ459" s="30">
        <f t="shared" ref="CQ459:CT460" si="1190">IF(CL454="NM","NM",IF(CQ454="NM","NM",IF(CL454&lt;=0,"NM",IF(CQ454=0,"NM",IF(ABS(CQ454/CL454-1)&gt;2.5,"NM",IF((ABS(CQ454-CL454)=ABS(ABS(CQ454)-ABS(CL454))),(CQ454/CL454-1),"NM"))))))</f>
      </c>
      <c r="CR459" s="30">
        <f t="shared" si="1190"/>
      </c>
      <c r="CS459" s="30">
        <f t="shared" si="1190"/>
      </c>
      <c r="CT459" s="30">
        <f t="shared" si="1190"/>
      </c>
      <c r="CU459" s="308">
        <f>IF(CP454=0,0, CU454/CP454-1)</f>
      </c>
      <c r="CV459" s="30">
        <f t="shared" ref="CV459:CX460" si="1191">IF(CQ454="NM","NM",IF(CV454="NM","NM",IF(CQ454&lt;=0,"NM",IF(CV454=0,"NM",IF(ABS(CV454/CQ454-1)&gt;2.5,"NM",IF((ABS(CV454-CQ454)=ABS(ABS(CV454)-ABS(CQ454))),(CV454/CQ454-1),"NM"))))))</f>
      </c>
      <c r="CW459" s="30">
        <f t="shared" si="1191"/>
      </c>
      <c r="CX459" s="30">
        <f t="shared" si="1191"/>
      </c>
      <c r="CY459" s="30">
        <f>IF(CT454="NM","NM",IF(CY454="NM","NM",IF(CT454&lt;=0,"NM",IF(CY454=0,"NM",IF(ABS(CY454/CT454-1)&gt;2.5,"NM",IF((ABS(CY454-CT454)=ABS(ABS(CY454)-ABS(CT454))),(CY454/CT454-1),"NM"))))))</f>
      </c>
      <c r="CZ459" s="308">
        <f>IF(CU454=0,0, CZ454/CU454-1)</f>
      </c>
      <c r="DA459" s="30">
        <f t="shared" ref="DA459:DC460" si="1192">IF(CV454="NM","NM",IF(DA454="NM","NM",IF(CV454&lt;=0,"NM",IF(DA454=0,"NM",IF(ABS(DA454/CV454-1)&gt;2.5,"NM",IF((ABS(DA454-CV454)=ABS(ABS(DA454)-ABS(CV454))),(DA454/CV454-1),"NM"))))))</f>
      </c>
      <c r="DB459" s="30">
        <f t="shared" si="1192"/>
      </c>
      <c r="DC459" s="30">
        <f t="shared" si="1192"/>
      </c>
      <c r="DD459" s="927">
        <f>IF(DD454=0,"NM",+DD454/CY454-1)</f>
      </c>
      <c r="DE459" s="308">
        <f>IF(CZ454=0,0, DE454/CZ454-1)</f>
      </c>
      <c r="DF459" s="30">
        <v>0</v>
      </c>
      <c r="DG459" s="30">
        <f>IF(DB454="NM","NM",IF(DG454="NM","NM",IF(DB454&lt;=0,"NM",IF(DG454=0,"NM",IF(ABS(DG454/DB454-1)&gt;2.5,"NM",IF((ABS(DG454-DB454)=ABS(ABS(DG454)-ABS(DB454))),(DG454/DB454-1),"NM"))))))</f>
      </c>
      <c r="DH459" s="30">
        <f>IF(DC454="NM","NM",IF(DH454="NM","NM",IF(DC454&lt;=0,"NM",IF(DH454=0,"NM",IF(ABS(DH454/DC454-1)&gt;2.5,"NM",IF((ABS(DH454-DC454)=ABS(ABS(DH454)-ABS(DC454))),(DH454/DC454-1),"NM"))))))</f>
      </c>
      <c r="DI459" s="928">
        <f>IF(DI454=0,"NM",+DI454/DD454-1)</f>
      </c>
      <c r="DJ459" s="308">
        <f>IF(DE454=0,0, DJ454/DE454-1)</f>
      </c>
      <c r="DK459" s="30">
        <v>0</v>
      </c>
      <c r="DL459" s="30">
        <f>IF(DG454="NM","NM",IF(DL454="NM","NM",IF(DG454&lt;=0,"NM",IF(DL454=0,"NM",IF(ABS(DL454/DG454-1)&gt;2.5,"NM",IF((ABS(DL454-DG454)=ABS(ABS(DL454)-ABS(DG454))),(DL454/DG454-1),"NM"))))))</f>
      </c>
      <c r="DM459" s="30">
        <f>IF(DH454="NM","NM",IF(DM454="NM","NM",IF(DH454&lt;=0,"NM",IF(DM454=0,"NM",IF(ABS(DM454/DH454-1)&gt;2.5,"NM",IF((ABS(DM454-DH454)=ABS(ABS(DM454)-ABS(DH454))),(DM454/DH454-1),"NM"))))))</f>
      </c>
      <c r="DN459" s="928">
        <f>IF(DN454=0,"NM",+DN454/DI454-1)</f>
      </c>
      <c r="DO459" s="308">
        <f>IF(DJ454=0,0, DO454/DJ454-1)</f>
      </c>
      <c r="DP459" s="30">
        <v>0</v>
      </c>
      <c r="DQ459" s="30">
        <f t="shared" ref="DQ459:DX460" si="1193">IF(DL454="NM","NM",IF(DQ454="NM","NM",IF(DL454&lt;=0,"NM",IF(DQ454=0,"NM",IF(ABS(DQ454/DL454-1)&gt;2.5,"NM",IF((ABS(DQ454-DL454)=ABS(ABS(DQ454)-ABS(DL454))),(DQ454/DL454-1),"NM"))))))</f>
      </c>
      <c r="DR459" s="30">
        <f t="shared" si="1193"/>
      </c>
      <c r="DS459" s="30">
        <f t="shared" si="1193"/>
      </c>
      <c r="DT459" s="308">
        <f>IF(DO454=0,0, DT454/DO454-1)</f>
      </c>
      <c r="DU459" s="30">
        <f t="shared" si="1193"/>
      </c>
      <c r="DV459" s="30">
        <f t="shared" si="1193"/>
      </c>
      <c r="DW459" s="649">
        <v>-0.113</v>
      </c>
      <c r="DX459" s="30">
        <f t="shared" si="1193"/>
      </c>
      <c r="DY459" s="308">
        <f>IF(DT454=0,0, DY454/DT454-1)</f>
      </c>
      <c r="DZ459" s="1703">
        <f>+DZ454/DU454-1</f>
      </c>
      <c r="EA459" s="1703">
        <f>+EA454/DV454-1</f>
      </c>
      <c r="EB459" s="1703">
        <f>+EB454/DW454-1</f>
      </c>
      <c r="EC459" s="1703">
        <f>+EC454/DX454-1</f>
      </c>
      <c r="ED459" s="308">
        <f>IF(DY454=0,0, ED454/DY454-1)</f>
      </c>
      <c r="EE459" s="1703">
        <f>+EE454/DZ454-1</f>
      </c>
      <c r="EF459" s="1703">
        <f>+EF454/EA454-1</f>
      </c>
      <c r="EG459" s="1703">
        <f>+EG454/EB454-1</f>
      </c>
      <c r="EH459" s="1063">
        <f>IF(EH454=0,"NM",+EH454/EC454-1)</f>
      </c>
      <c r="EI459" s="660">
        <v>-0.1</v>
      </c>
      <c r="EJ459" s="660">
        <v>-0.05</v>
      </c>
      <c r="EK459" s="660">
        <v>-0.05</v>
      </c>
      <c r="EL459" s="660">
        <v>-0.05</v>
      </c>
      <c r="EM459" s="660">
        <v>-0.05</v>
      </c>
      <c r="EN459" s="660">
        <v>-0.05</v>
      </c>
      <c r="EO459" s="660">
        <v>-0.05</v>
      </c>
      <c r="EP459" s="660">
        <v>-0.05</v>
      </c>
      <c r="EQ459" s="660">
        <v>-0.05</v>
      </c>
      <c r="ER459" s="660">
        <v>-0.05</v>
      </c>
      <c r="ES459" s="660">
        <v>-0.05</v>
      </c>
      <c r="ET459" s="657"/>
      <c r="EU459" s="657"/>
      <c r="EV459" s="657"/>
      <c r="EW459" s="657"/>
      <c r="EX459" s="657"/>
    </row>
    <row r="460" spans="1:154" ht="12.75" customHeight="1">
      <c r="B460" s="460" t="s">
        <v>412</v>
      </c>
      <c r="C460" s="1989"/>
      <c r="D460" s="28"/>
      <c r="E460" s="28"/>
      <c r="F460" s="28"/>
      <c r="G460" s="28"/>
      <c r="H460" s="28"/>
      <c r="I460" s="31"/>
      <c r="J460" s="28"/>
      <c r="K460" s="28"/>
      <c r="L460" s="28"/>
      <c r="M460" s="28"/>
      <c r="N460" s="31"/>
      <c r="O460" s="31"/>
      <c r="P460" s="31"/>
      <c r="Q460" s="31"/>
      <c r="R460" s="31"/>
      <c r="S460" s="31"/>
      <c r="T460" s="31"/>
      <c r="U460" s="31"/>
      <c r="V460" s="31"/>
      <c r="W460" s="31"/>
      <c r="X460" s="308"/>
      <c r="Y460" s="31"/>
      <c r="Z460" s="31"/>
      <c r="AA460" s="31"/>
      <c r="AB460" s="31"/>
      <c r="AC460" s="308"/>
      <c r="AD460" s="31"/>
      <c r="AE460" s="31"/>
      <c r="AF460" s="31"/>
      <c r="AG460" s="31"/>
      <c r="AH460" s="308"/>
      <c r="AI460" s="28"/>
      <c r="AJ460" s="28"/>
      <c r="AK460" s="28"/>
      <c r="AL460" s="31"/>
      <c r="AM460" s="308"/>
      <c r="AN460" s="28"/>
      <c r="AO460" s="28"/>
      <c r="AP460" s="28"/>
      <c r="AQ460" s="31"/>
      <c r="AR460" s="308"/>
      <c r="AS460" s="28"/>
      <c r="AT460" s="28"/>
      <c r="AU460" s="28"/>
      <c r="AV460" s="28"/>
      <c r="AW460" s="308"/>
      <c r="AX460" s="28"/>
      <c r="AY460" s="28"/>
      <c r="AZ460" s="28"/>
      <c r="BA460" s="28"/>
      <c r="BB460" s="308"/>
      <c r="BC460" s="30"/>
      <c r="BD460" s="30"/>
      <c r="BE460" s="30"/>
      <c r="BF460" s="30"/>
      <c r="BG460" s="308"/>
      <c r="BH460" s="30"/>
      <c r="BI460" s="30"/>
      <c r="BJ460" s="30"/>
      <c r="BK460" s="30"/>
      <c r="BL460" s="308"/>
      <c r="BM460" s="30" t="str">
        <f t="shared" si="1187"/>
      </c>
      <c r="BN460" s="30" t="str">
        <f t="shared" si="1187"/>
      </c>
      <c r="BO460" s="30" t="str">
        <f t="shared" si="1187"/>
      </c>
      <c r="BP460" s="30" t="str">
        <f t="shared" si="1187"/>
      </c>
      <c r="BQ460" s="308" t="str">
        <f t="shared" si="1187"/>
      </c>
      <c r="BR460" s="30">
        <f t="shared" si="1187"/>
      </c>
      <c r="BS460" s="30">
        <f t="shared" si="1187"/>
      </c>
      <c r="BT460" s="30">
        <f t="shared" si="1187"/>
      </c>
      <c r="BU460" s="30">
        <f t="shared" si="1187"/>
      </c>
      <c r="BV460" s="308">
        <f t="shared" si="1187"/>
      </c>
      <c r="BW460" s="30">
        <f t="shared" si="1187"/>
      </c>
      <c r="BX460" s="30">
        <f t="shared" si="1187"/>
      </c>
      <c r="BY460" s="30">
        <f t="shared" si="1187"/>
      </c>
      <c r="BZ460" s="30">
        <f t="shared" si="1187"/>
      </c>
      <c r="CA460" s="315">
        <f t="shared" si="1187"/>
      </c>
      <c r="CB460" s="30">
        <f t="shared" si="1187"/>
      </c>
      <c r="CC460" s="30">
        <f>IF(BX455="NM","NM",IF(CC455="NM","NM",IF(BX455&lt;=0,"NM",IF(CC455=0,"NM",IF(ABS(CC455/BX455-1)&gt;2.5,"NM",IF((ABS(CC455-BX455)=ABS(ABS(CC455)-ABS(BX455))),(CC455/BX455-1),"NM"))))))</f>
      </c>
      <c r="CD460" s="30">
        <f t="shared" si="1188"/>
      </c>
      <c r="CE460" s="30">
        <f t="shared" si="1188"/>
      </c>
      <c r="CF460" s="315">
        <f t="shared" si="1188"/>
      </c>
      <c r="CG460" s="30">
        <f t="shared" si="1188"/>
      </c>
      <c r="CH460" s="30">
        <f t="shared" si="1188"/>
      </c>
      <c r="CI460" s="30">
        <f t="shared" si="1188"/>
      </c>
      <c r="CJ460" s="30">
        <f t="shared" si="1188"/>
      </c>
      <c r="CK460" s="308">
        <f>IF(CF455=0,0, CK455/CF455-1)</f>
      </c>
      <c r="CL460" s="30">
        <f t="shared" si="1189"/>
      </c>
      <c r="CM460" s="30">
        <f t="shared" si="1189"/>
      </c>
      <c r="CN460" s="30">
        <f t="shared" si="1189"/>
      </c>
      <c r="CO460" s="30">
        <f t="shared" si="1189"/>
      </c>
      <c r="CP460" s="308">
        <f>IF(CK455=0,0, CP455/CK455-1)</f>
      </c>
      <c r="CQ460" s="30">
        <f t="shared" si="1190"/>
      </c>
      <c r="CR460" s="30">
        <f t="shared" si="1190"/>
      </c>
      <c r="CS460" s="30">
        <f t="shared" si="1190"/>
      </c>
      <c r="CT460" s="30">
        <f t="shared" si="1190"/>
      </c>
      <c r="CU460" s="308">
        <f>IF(CP455=0,0, CU455/CP455-1)</f>
      </c>
      <c r="CV460" s="30">
        <f t="shared" si="1191"/>
      </c>
      <c r="CW460" s="30">
        <f t="shared" si="1191"/>
      </c>
      <c r="CX460" s="30">
        <f t="shared" si="1191"/>
      </c>
      <c r="CY460" s="30">
        <f>IF(CT455="NM","NM",IF(CY455="NM","NM",IF(CT455&lt;=0,"NM",IF(CY455=0,"NM",IF(ABS(CY455/CT455-1)&gt;2.5,"NM",IF((ABS(CY455-CT455)=ABS(ABS(CY455)-ABS(CT455))),(CY455/CT455-1),"NM"))))))</f>
      </c>
      <c r="CZ460" s="308">
        <f>IF(CU455=0,0, CZ455/CU455-1)</f>
      </c>
      <c r="DA460" s="30">
        <f t="shared" si="1192"/>
      </c>
      <c r="DB460" s="30">
        <f t="shared" si="1192"/>
      </c>
      <c r="DC460" s="30">
        <f t="shared" si="1192"/>
      </c>
      <c r="DD460" s="960">
        <f>IF(DD455=0, "NM", DD455/CY455-1)</f>
      </c>
      <c r="DE460" s="308">
        <f>IF(CZ455=0,0, DE455/CZ455-1)</f>
      </c>
      <c r="DF460" s="926">
        <f>DF461+DF$21</f>
      </c>
      <c r="DG460" s="30">
        <f>IF(DB455="NM","NM",IF(DG455="NM","NM",IF(DB455&lt;=0,"NM",IF(DG455=0,"NM",IF(ABS(DG455/DB455-1)&gt;2.5,"NM",IF((ABS(DG455-DB455)=ABS(ABS(DG455)-ABS(DB455))),(DG455/DB455-1),"NM"))))))</f>
      </c>
      <c r="DH460" s="30">
        <f>IF(DC455="NM","NM",IF(DH455="NM","NM",IF(DC455&lt;=0,"NM",IF(DH455=0,"NM",IF(ABS(DH455/DC455-1)&gt;2.5,"NM",IF((ABS(DH455-DC455)=ABS(ABS(DH455)-ABS(DC455))),(DH455/DC455-1),"NM"))))))</f>
      </c>
      <c r="DI460" s="928">
        <f>IF(DI455=0, "NM", DI455/DD455-1)</f>
      </c>
      <c r="DJ460" s="308">
        <f>IF(DE455=0,0, DJ455/DE455-1)</f>
      </c>
      <c r="DK460" s="926">
        <f>DK461+DK$21</f>
      </c>
      <c r="DL460" s="30">
        <f>IF(DG455="NM","NM",IF(DL455="NM","NM",IF(DG455&lt;=0,"NM",IF(DL455=0,"NM",IF(ABS(DL455/DG455-1)&gt;2.5,"NM",IF((ABS(DL455-DG455)=ABS(ABS(DL455)-ABS(DG455))),(DL455/DG455-1),"NM"))))))</f>
      </c>
      <c r="DM460" s="30">
        <f>IF(DH455="NM","NM",IF(DM455="NM","NM",IF(DH455&lt;=0,"NM",IF(DM455=0,"NM",IF(ABS(DM455/DH455-1)&gt;2.5,"NM",IF((ABS(DM455-DH455)=ABS(ABS(DM455)-ABS(DH455))),(DM455/DH455-1),"NM"))))))</f>
      </c>
      <c r="DN460" s="928">
        <f>IF(DN455=0, "NM", DN455/DI455-1)</f>
      </c>
      <c r="DO460" s="308">
        <f>IF(DJ455=0,0, DO455/DJ455-1)</f>
      </c>
      <c r="DP460" s="30">
        <f>IF(DK455="NM","NM",IF(DP455="NM","NM",IF(DK455&lt;=0,"NM",IF(DP455=0,"NM",IF(ABS(DP455/DK455-1)&gt;2.5,"NM",IF((ABS(DP455-DK455)=ABS(ABS(DP455)-ABS(DK455))),(DP455/DK455-1),"NM"))))))</f>
      </c>
      <c r="DQ460" s="30">
        <f t="shared" si="1193"/>
      </c>
      <c r="DR460" s="30">
        <f t="shared" si="1193"/>
      </c>
      <c r="DS460" s="30">
        <f t="shared" si="1193"/>
      </c>
      <c r="DT460" s="308">
        <f>IF(DO455=0,0, DT455/DO455-1)</f>
      </c>
      <c r="DU460" s="30">
        <f>IF(DP455="NM","NM",IF(DU455="NM","NM",IF(DP455&lt;=0,"NM",IF(DU455=0,"NM",IF(ABS(DU455/DP455-1)&gt;2.5,"NM",IF((ABS(DU455-DP455)=ABS(ABS(DU455)-ABS(DP455))),(DU455/DP455-1),"NM"))))))</f>
      </c>
      <c r="DV460" s="30">
        <f>IF(DQ455="NM","NM",IF(DV455="NM","NM",IF(DQ455&lt;=0,"NM",IF(DV455=0,"NM",IF(ABS(DV455/DQ455-1)&gt;2.5,"NM",IF((ABS(DV455-DQ455)=ABS(ABS(DV455)-ABS(DQ455))),(DV455/DQ455-1),"NM"))))))</f>
      </c>
      <c r="DW460" s="649">
        <v>-0.13900000000000001</v>
      </c>
      <c r="DX460" s="30">
        <f>IF(DS455="NM","NM",IF(DX455="NM","NM",IF(DS455&lt;=0,"NM",IF(DX455=0,"NM",IF(ABS(DX455/DS455-1)&gt;2.5,"NM",IF((ABS(DX455-DS455)=ABS(ABS(DX455)-ABS(DS455))),(DX455/DS455-1),"NM"))))))</f>
      </c>
      <c r="DY460" s="308">
        <f>IF(DT455=0,0, DY455/DT455-1)</f>
      </c>
      <c r="DZ460" s="30">
        <f>IF(DU455="NM","NM",IF(DZ455="NM","NM",IF(DU455&lt;=0,"NM",IF(DZ455=0,"NM",IF(ABS(DZ455/DU455-1)&gt;2.5,"NM",IF((ABS(DZ455-DU455)=ABS(ABS(DZ455)-ABS(DU455))),(DZ455/DU455-1),"NM"))))))</f>
      </c>
      <c r="EA460" s="926">
        <f>IF(DV455="NM","NM",IF(EA455="NM","NM",IF(DV455&lt;=0,"NM",IF(EA455=0,"NM",IF(ABS(EA455/DV455-1)&gt;2.5,"NM",IF((ABS(EA455-DV455)=ABS(ABS(EA455)-ABS(DV455))),(EA455/DV455-1),"NM"))))))</f>
      </c>
      <c r="EB460" s="926">
        <f>IF(DW455="NM","NM",IF(EB455="NM","NM",IF(DW455&lt;=0,"NM",IF(EB455=0,"NM",IF(ABS(EB455/DW455-1)&gt;2.5,"NM",IF((ABS(EB455-DW455)=ABS(ABS(EB455)-ABS(DW455))),(EB455/DW455-1),"NM"))))))</f>
      </c>
      <c r="EC460" s="928">
        <f>IF(EC455=0, "NM", EC455/DX455-1)</f>
      </c>
      <c r="ED460" s="308">
        <f>IF(DY455=0,0, ED455/DY455-1)</f>
      </c>
      <c r="EE460" s="30">
        <f>IF(DZ455="NM","NM",IF(EE455="NM","NM",IF(DZ455&lt;=0,"NM",IF(EE455=0,"NM",IF(ABS(EE455/DZ455-1)&gt;2.5,"NM",IF((ABS(EE455-DZ455)=ABS(ABS(EE455)-ABS(DZ455))),(EE455/DZ455-1),"NM"))))))</f>
      </c>
      <c r="EF460" s="926">
        <f>IF(EA455="NM","NM",IF(EF455="NM","NM",IF(EA455&lt;=0,"NM",IF(EF455=0,"NM",IF(ABS(EF455/EA455-1)&gt;2.5,"NM",IF((ABS(EF455-EA455)=ABS(ABS(EF455)-ABS(EA455))),(EF455/EA455-1),"NM"))))))</f>
      </c>
      <c r="EG460" s="926">
        <f>IF(EB455="NM","NM",IF(EG455="NM","NM",IF(EB455&lt;=0,"NM",IF(EG455=0,"NM",IF(ABS(EG455/EB455-1)&gt;2.5,"NM",IF((ABS(EG455-EB455)=ABS(ABS(EG455)-ABS(EB455))),(EG455/EB455-1),"NM"))))))</f>
      </c>
      <c r="EH460" s="928">
        <f>IF(EH455=0, "NM", EH455/EC455-1)</f>
      </c>
      <c r="EI460" s="308">
        <f t="shared" ref="EI460:ES460" si="1194">EI461+EI$21</f>
      </c>
      <c r="EJ460" s="308">
        <f t="shared" si="1194"/>
      </c>
      <c r="EK460" s="308">
        <f t="shared" si="1194"/>
      </c>
      <c r="EL460" s="308">
        <f t="shared" si="1194"/>
      </c>
      <c r="EM460" s="308">
        <f t="shared" si="1194"/>
      </c>
      <c r="EN460" s="308">
        <f t="shared" si="1194"/>
      </c>
      <c r="EO460" s="308">
        <f t="shared" si="1194"/>
      </c>
      <c r="EP460" s="308">
        <f t="shared" si="1194"/>
      </c>
      <c r="EQ460" s="308">
        <f t="shared" si="1194"/>
      </c>
      <c r="ER460" s="308">
        <f t="shared" si="1194"/>
      </c>
      <c r="ES460" s="308">
        <f t="shared" si="1194"/>
      </c>
      <c r="ET460" s="409"/>
      <c r="EU460" s="409"/>
      <c r="EV460" s="409"/>
      <c r="EW460" s="409"/>
      <c r="EX460" s="409"/>
    </row>
    <row r="461" spans="1:154" ht="12.75" customHeight="1">
      <c r="B461" s="460" t="s">
        <v>256</v>
      </c>
      <c r="C461" s="1989"/>
      <c r="D461" s="28"/>
      <c r="E461" s="28"/>
      <c r="F461" s="28"/>
      <c r="G461" s="28"/>
      <c r="H461" s="28"/>
      <c r="I461" s="31"/>
      <c r="J461" s="28"/>
      <c r="K461" s="28"/>
      <c r="L461" s="28"/>
      <c r="M461" s="28"/>
      <c r="N461" s="31"/>
      <c r="O461" s="31"/>
      <c r="P461" s="31"/>
      <c r="Q461" s="31"/>
      <c r="R461" s="31"/>
      <c r="S461" s="31"/>
      <c r="T461" s="31"/>
      <c r="U461" s="31"/>
      <c r="V461" s="31"/>
      <c r="W461" s="31"/>
      <c r="X461" s="308"/>
      <c r="Y461" s="31"/>
      <c r="Z461" s="31"/>
      <c r="AA461" s="31"/>
      <c r="AB461" s="31"/>
      <c r="AC461" s="308"/>
      <c r="AD461" s="31"/>
      <c r="AE461" s="31"/>
      <c r="AF461" s="31"/>
      <c r="AG461" s="31"/>
      <c r="AH461" s="308"/>
      <c r="AI461" s="28"/>
      <c r="AJ461" s="28"/>
      <c r="AK461" s="28"/>
      <c r="AL461" s="31"/>
      <c r="AM461" s="308"/>
      <c r="AN461" s="28"/>
      <c r="AO461" s="28"/>
      <c r="AP461" s="28"/>
      <c r="AQ461" s="31"/>
      <c r="AR461" s="308"/>
      <c r="AS461" s="28"/>
      <c r="AT461" s="28"/>
      <c r="AU461" s="28"/>
      <c r="AV461" s="28"/>
      <c r="AW461" s="308"/>
      <c r="AX461" s="28"/>
      <c r="AY461" s="28"/>
      <c r="AZ461" s="28"/>
      <c r="BA461" s="28"/>
      <c r="BB461" s="308"/>
      <c r="BC461" s="30"/>
      <c r="BD461" s="30"/>
      <c r="BE461" s="30"/>
      <c r="BF461" s="30"/>
      <c r="BG461" s="308"/>
      <c r="BH461" s="30"/>
      <c r="BI461" s="30"/>
      <c r="BJ461" s="30"/>
      <c r="BK461" s="30"/>
      <c r="BL461" s="308"/>
      <c r="BM461" s="41" t="str">
        <f t="shared" ref="BM461:CJ461" si="1195">IF(ISNUMBER(BM460),(1+BM460)/(1+BM$21)-1,"NM")</f>
      </c>
      <c r="BN461" s="41" t="str">
        <f t="shared" si="1195"/>
      </c>
      <c r="BO461" s="41" t="str">
        <f t="shared" si="1195"/>
      </c>
      <c r="BP461" s="41" t="str">
        <f t="shared" si="1195"/>
      </c>
      <c r="BQ461" s="309" t="str">
        <f t="shared" si="1195"/>
      </c>
      <c r="BR461" s="41">
        <f t="shared" si="1195"/>
      </c>
      <c r="BS461" s="41">
        <f t="shared" si="1195"/>
      </c>
      <c r="BT461" s="41">
        <f t="shared" si="1195"/>
      </c>
      <c r="BU461" s="41">
        <f t="shared" si="1195"/>
      </c>
      <c r="BV461" s="309">
        <f t="shared" si="1195"/>
      </c>
      <c r="BW461" s="41">
        <f t="shared" si="1195"/>
      </c>
      <c r="BX461" s="41">
        <f t="shared" si="1195"/>
      </c>
      <c r="BY461" s="41">
        <f t="shared" si="1195"/>
      </c>
      <c r="BZ461" s="41">
        <f t="shared" si="1195"/>
      </c>
      <c r="CA461" s="308">
        <f t="shared" si="1195"/>
      </c>
      <c r="CB461" s="41">
        <f t="shared" si="1195"/>
      </c>
      <c r="CC461" s="41">
        <f t="shared" si="1195"/>
      </c>
      <c r="CD461" s="41">
        <f t="shared" si="1195"/>
      </c>
      <c r="CE461" s="41">
        <f t="shared" si="1195"/>
      </c>
      <c r="CF461" s="308">
        <f t="shared" si="1195"/>
      </c>
      <c r="CG461" s="41">
        <f t="shared" si="1195"/>
      </c>
      <c r="CH461" s="41">
        <f t="shared" si="1195"/>
      </c>
      <c r="CI461" s="41">
        <f t="shared" si="1195"/>
      </c>
      <c r="CJ461" s="41">
        <f t="shared" si="1195"/>
      </c>
      <c r="CK461" s="308">
        <f>CK460-CK$21</f>
      </c>
      <c r="CL461" s="41">
        <f>IF(ISNUMBER(CL460),(1+CL460)/(1+CL$21)-1,"NM")</f>
      </c>
      <c r="CM461" s="41">
        <f>IF(ISNUMBER(CM460),(1+CM460)/(1+CM$21)-1,"NM")</f>
      </c>
      <c r="CN461" s="41">
        <f>IF(ISNUMBER(CN460),(1+CN460)/(1+CN$21)-1,"NM")</f>
      </c>
      <c r="CO461" s="41">
        <f>IF(ISNUMBER(CO460),(1+CO460)/(1+CO$21)-1,"NM")</f>
      </c>
      <c r="CP461" s="308">
        <f>CP460-CP$21</f>
      </c>
      <c r="CQ461" s="41">
        <f>IF(ISNUMBER(CQ460),(1+CQ460)/(1+CQ$21)-1,"NM")</f>
      </c>
      <c r="CR461" s="41">
        <f>IF(ISNUMBER(CR460),(1+CR460)/(1+CR$21)-1,"NM")</f>
      </c>
      <c r="CS461" s="41">
        <f>IF(ISNUMBER(CS460),(1+CS460)/(1+CS$21)-1,"NM")</f>
      </c>
      <c r="CT461" s="41">
        <f>IF(ISNUMBER(CT460),(1+CT460)/(1+CT$21)-1,"NM")</f>
      </c>
      <c r="CU461" s="308">
        <f>CU460-CU$21</f>
      </c>
      <c r="CV461" s="41">
        <f>IF(ISNUMBER(CV460),(1+CV460)/(1+CV$21)-1,"NM")</f>
      </c>
      <c r="CW461" s="41">
        <f>IF(ISNUMBER(CW460),(1+CW460)/(1+CW$21)-1,"NM")</f>
      </c>
      <c r="CX461" s="41">
        <f>IF(ISNUMBER(CX460),(1+CX460)/(1+CX$21)-1,"NM")</f>
      </c>
      <c r="CY461" s="41">
        <f>IF(ISNUMBER(CY460),(1+CY460)/(1+CY$21)-1,"NM")</f>
      </c>
      <c r="CZ461" s="308">
        <f>CZ460-CZ$21</f>
      </c>
      <c r="DA461" s="41">
        <f>IF(ISNUMBER(DA460),(1+DA460)/(1+DA$21)-1,"NM")</f>
      </c>
      <c r="DB461" s="41">
        <f>IF(ISNUMBER(DB460),(1+DB460)/(1+DB$21)-1,"NM")</f>
      </c>
      <c r="DC461" s="41">
        <f>IF(ISNUMBER(DC460),(1+DC460)/(1+DC$21)-1,"NM")</f>
      </c>
      <c r="DD461" s="927">
        <v>-9.2999999999999999E-2</v>
      </c>
      <c r="DE461" s="308">
        <f>DE460-DE$21</f>
      </c>
      <c r="DF461" s="30">
        <v>-0.05</v>
      </c>
      <c r="DG461" s="30">
        <f>IF(ISNUMBER(DG460),(1+DG460)/(1+DG$21)-1,"NM")</f>
      </c>
      <c r="DH461" s="30">
        <f>IF(ISNUMBER(DH460),(1+DH460)/(1+DH$21)-1,"NM")</f>
      </c>
      <c r="DI461" s="928">
        <f>IF(DI455=0, "NM",DI460-DI$21)</f>
      </c>
      <c r="DJ461" s="308">
        <f>DJ460-DJ$21</f>
      </c>
      <c r="DK461" s="30">
        <v>-0.05</v>
      </c>
      <c r="DL461" s="30">
        <f>IF(ISNUMBER(DL460),(1+DL460)/(1+DL$21)-1,"NM")</f>
      </c>
      <c r="DM461" s="30">
        <f>IF(ISNUMBER(DM460),(1+DM460)/(1+DM$21)-1,"NM")</f>
      </c>
      <c r="DN461" s="928">
        <f>IF(DN455=0, "NM",DN460-DN$21)</f>
      </c>
      <c r="DO461" s="308">
        <f>DO460-DO$21</f>
      </c>
      <c r="DP461" s="926">
        <f>DP460-DP$21</f>
      </c>
      <c r="DQ461" s="30">
        <f>IF(ISNUMBER(DQ460),(1+DQ460)/(1+DQ$21)-1,"NM")</f>
      </c>
      <c r="DR461" s="30">
        <f>IF(ISNUMBER(DR460),(1+DR460)/(1+DR$21)-1,"NM")</f>
      </c>
      <c r="DS461" s="30">
        <f>IF(ISNUMBER(DS460),(1+DS460)/(1+DS$21)-1,"NM")</f>
      </c>
      <c r="DT461" s="308">
        <f>DT460-DT$21</f>
      </c>
      <c r="DU461" s="926">
        <f>DU460-(-3.1%)</f>
      </c>
      <c r="DV461" s="926">
        <f>DV460-(-6.5%)</f>
      </c>
      <c r="DW461" s="926">
        <f>DW460-(-6.1%)</f>
      </c>
      <c r="DX461" s="926">
        <f>DX460-(-8.2%)</f>
      </c>
      <c r="DY461" s="308">
        <f>DY460-DY$21</f>
      </c>
      <c r="DZ461" s="1703">
        <f>DZ460-(-7.1%)</f>
      </c>
      <c r="EA461" s="1703">
        <f>EA460-(-7.1%)</f>
      </c>
      <c r="EB461" s="1703">
        <f>EB460-(-2.4%)</f>
      </c>
      <c r="EC461" s="1703">
        <f>EC460-(-2.7%)</f>
      </c>
      <c r="ED461" s="308">
        <f>ED460-ED$21</f>
      </c>
      <c r="EE461" s="1703">
        <f>EE460-(-7.1%)</f>
      </c>
      <c r="EF461" s="1703">
        <f>EF460-(2.9%)</f>
      </c>
      <c r="EG461" s="1703">
        <f>EG460-(-2.4%)</f>
      </c>
      <c r="EH461" s="1063">
        <f>IF(EH455=0, "NM",EH460-EH$21)</f>
      </c>
      <c r="EI461" s="660">
        <v>-0.05</v>
      </c>
      <c r="EJ461" s="660">
        <v>-0.05</v>
      </c>
      <c r="EK461" s="660">
        <v>-0.05</v>
      </c>
      <c r="EL461" s="660">
        <v>-0.05</v>
      </c>
      <c r="EM461" s="660">
        <v>-0.05</v>
      </c>
      <c r="EN461" s="660">
        <v>-0.05</v>
      </c>
      <c r="EO461" s="660">
        <v>-0.05</v>
      </c>
      <c r="EP461" s="660">
        <v>-0.05</v>
      </c>
      <c r="EQ461" s="660">
        <v>-0.05</v>
      </c>
      <c r="ER461" s="660">
        <v>-0.05</v>
      </c>
      <c r="ES461" s="660">
        <v>-0.05</v>
      </c>
      <c r="ET461" s="657"/>
      <c r="EU461" s="657"/>
      <c r="EV461" s="657"/>
      <c r="EW461" s="657"/>
      <c r="EX461" s="657"/>
    </row>
    <row r="462" spans="1:154" ht="12.75" customHeight="1">
      <c r="B462" s="460" t="s">
        <v>413</v>
      </c>
      <c r="C462" s="1989"/>
      <c r="D462" s="28"/>
      <c r="E462" s="28"/>
      <c r="F462" s="28"/>
      <c r="G462" s="28"/>
      <c r="H462" s="28"/>
      <c r="I462" s="31"/>
      <c r="J462" s="28"/>
      <c r="K462" s="28"/>
      <c r="L462" s="28"/>
      <c r="M462" s="28"/>
      <c r="N462" s="31"/>
      <c r="O462" s="31"/>
      <c r="P462" s="31"/>
      <c r="Q462" s="31"/>
      <c r="R462" s="31"/>
      <c r="S462" s="31"/>
      <c r="T462" s="31"/>
      <c r="U462" s="31"/>
      <c r="V462" s="31"/>
      <c r="W462" s="31"/>
      <c r="X462" s="308"/>
      <c r="Y462" s="31"/>
      <c r="Z462" s="31"/>
      <c r="AA462" s="31"/>
      <c r="AB462" s="31"/>
      <c r="AC462" s="308"/>
      <c r="AD462" s="31"/>
      <c r="AE462" s="31"/>
      <c r="AF462" s="31"/>
      <c r="AG462" s="31"/>
      <c r="AH462" s="308"/>
      <c r="AI462" s="28"/>
      <c r="AJ462" s="28"/>
      <c r="AK462" s="28"/>
      <c r="AL462" s="31"/>
      <c r="AM462" s="308"/>
      <c r="AN462" s="28"/>
      <c r="AO462" s="28"/>
      <c r="AP462" s="28"/>
      <c r="AQ462" s="31"/>
      <c r="AR462" s="308"/>
      <c r="AS462" s="28"/>
      <c r="AT462" s="28"/>
      <c r="AU462" s="28"/>
      <c r="AV462" s="28"/>
      <c r="AW462" s="308"/>
      <c r="AX462" s="28"/>
      <c r="AY462" s="28"/>
      <c r="AZ462" s="28"/>
      <c r="BA462" s="28"/>
      <c r="BB462" s="308"/>
      <c r="BC462" s="30"/>
      <c r="BD462" s="30"/>
      <c r="BE462" s="30"/>
      <c r="BF462" s="30"/>
      <c r="BG462" s="308"/>
      <c r="BH462" s="30"/>
      <c r="BI462" s="30"/>
      <c r="BJ462" s="30"/>
      <c r="BK462" s="30"/>
      <c r="BL462" s="308"/>
      <c r="BM462" s="30" t="str">
        <f t="shared" ref="BM462:CB462" si="1196">IF(BH456="NM","NM",IF(BM456="NM","NM",IF(BH456&lt;=0,"NM",IF(BM456=0,"NM",IF(ABS(BM456/BH456-1)&gt;2.5,"NM",IF((ABS(BM456-BH456)=ABS(ABS(BM456)-ABS(BH456))),(BM456/BH456-1),"NM"))))))</f>
      </c>
      <c r="BN462" s="30" t="str">
        <f t="shared" si="1196"/>
      </c>
      <c r="BO462" s="30" t="str">
        <f t="shared" si="1196"/>
      </c>
      <c r="BP462" s="30" t="str">
        <f t="shared" si="1196"/>
      </c>
      <c r="BQ462" s="308" t="str">
        <f t="shared" si="1196"/>
      </c>
      <c r="BR462" s="30">
        <f t="shared" si="1196"/>
      </c>
      <c r="BS462" s="30">
        <f t="shared" si="1196"/>
      </c>
      <c r="BT462" s="30">
        <f t="shared" si="1196"/>
      </c>
      <c r="BU462" s="30">
        <f t="shared" si="1196"/>
      </c>
      <c r="BV462" s="308">
        <f t="shared" si="1196"/>
      </c>
      <c r="BW462" s="30">
        <f t="shared" si="1196"/>
      </c>
      <c r="BX462" s="30">
        <f t="shared" si="1196"/>
      </c>
      <c r="BY462" s="30">
        <f t="shared" si="1196"/>
      </c>
      <c r="BZ462" s="30">
        <f t="shared" si="1196"/>
      </c>
      <c r="CA462" s="308">
        <f t="shared" si="1196"/>
      </c>
      <c r="CB462" s="30">
        <f t="shared" si="1196"/>
      </c>
      <c r="CC462" s="30">
        <f>IF(BX456="NM","NM",IF(CC456="NM","NM",IF(BX456&lt;=0,"NM",IF(CC456=0,"NM",IF(ABS(CC456/BX456-1)&gt;2.5,"NM",IF((ABS(CC456-BX456)=ABS(ABS(CC456)-ABS(BX456))),(CC456/BX456-1),"NM"))))))</f>
      </c>
      <c r="CD462" s="30">
        <f t="shared" ref="CD462:CJ462" si="1197">IF(BY456="NM","NM",IF(CD456="NM","NM",IF(BY456&lt;=0,"NM",IF(CD456=0,"NM",IF(ABS(CD456/BY456-1)&gt;2.5,"NM",IF((ABS(CD456-BY456)=ABS(ABS(CD456)-ABS(BY456))),(CD456/BY456-1),"NM"))))))</f>
      </c>
      <c r="CE462" s="30">
        <f t="shared" si="1197"/>
      </c>
      <c r="CF462" s="308">
        <f t="shared" si="1197"/>
      </c>
      <c r="CG462" s="30">
        <f t="shared" si="1197"/>
      </c>
      <c r="CH462" s="30">
        <f t="shared" si="1197"/>
      </c>
      <c r="CI462" s="30">
        <f t="shared" si="1197"/>
      </c>
      <c r="CJ462" s="30">
        <f t="shared" si="1197"/>
      </c>
      <c r="CK462" s="308">
        <f>IF(CK456&lt;=0,0,(CK456/CF456-1))</f>
      </c>
      <c r="CL462" s="30">
        <f>IF(CG456="NM","NM",IF(CL456="NM","NM",IF(CG456&lt;=0,"NM",IF(CL456=0,"NM",IF(ABS(CL456/CG456-1)&gt;2.5,"NM",IF((ABS(CL456-CG456)=ABS(ABS(CL456)-ABS(CG456))),(CL456/CG456-1),"NM"))))))</f>
      </c>
      <c r="CM462" s="30">
        <f>IF(CH456="NM","NM",IF(CM456="NM","NM",IF(CH456&lt;=0,"NM",IF(CM456=0,"NM",IF(ABS(CM456/CH456-1)&gt;2.5,"NM",IF((ABS(CM456-CH456)=ABS(ABS(CM456)-ABS(CH456))),(CM456/CH456-1),"NM"))))))</f>
      </c>
      <c r="CN462" s="30">
        <f>IF(CI456="NM","NM",IF(CN456="NM","NM",IF(CI456&lt;=0,"NM",IF(CN456=0,"NM",IF(ABS(CN456/CI456-1)&gt;2.5,"NM",IF((ABS(CN456-CI456)=ABS(ABS(CN456)-ABS(CI456))),(CN456/CI456-1),"NM"))))))</f>
      </c>
      <c r="CO462" s="30">
        <f>IF(CJ456="NM","NM",IF(CO456="NM","NM",IF(CJ456&lt;=0,"NM",IF(CO456=0,"NM",IF(ABS(CO456/CJ456-1)&gt;2.5,"NM",IF((ABS(CO456-CJ456)=ABS(ABS(CO456)-ABS(CJ456))),(CO456/CJ456-1),"NM"))))))</f>
      </c>
      <c r="CP462" s="308">
        <f>IF(CP456&lt;=0,0,(CP456/CK456-1))</f>
      </c>
      <c r="CQ462" s="30">
        <f>IF(CL456="NM","NM",IF(CQ456="NM","NM",IF(CL456&lt;=0,"NM",IF(CQ456=0,"NM",IF(ABS(CQ456/CL456-1)&gt;2.5,"NM",IF((ABS(CQ456-CL456)=ABS(ABS(CQ456)-ABS(CL456))),(CQ456/CL456-1),"NM"))))))</f>
      </c>
      <c r="CR462" s="926">
        <f>IF(CR456&lt;=0,0,(CR456/CM456-1))</f>
      </c>
      <c r="CS462" s="926">
        <f>IF(CS456&lt;=0,0,(CS456/CN456-1))</f>
      </c>
      <c r="CT462" s="926">
        <f>IF(CT456&lt;=0,0,(CT456/CO456-1))</f>
      </c>
      <c r="CU462" s="308">
        <f>IF(CU456&lt;=0,0,(CU456/CP456-1))</f>
      </c>
      <c r="CV462" s="30">
        <f>IF(CQ456="NM","NM",IF(CV456="NM","NM",IF(CQ456&lt;=0,"NM",IF(CV456=0,"NM",IF(ABS(CV456/CQ456-1)&gt;2.5,"NM",IF((ABS(CV456-CQ456)=ABS(ABS(CV456)-ABS(CQ456))),(CV456/CQ456-1),"NM"))))))</f>
      </c>
      <c r="CW462" s="30">
        <f>IF(CR456="NM","NM",IF(CW456="NM","NM",IF(CR456&lt;=0,"NM",IF(CW456=0,"NM",IF(ABS(CW456/CR456-1)&gt;2.5,"NM",IF((ABS(CW456-CR456)=ABS(ABS(CW456)-ABS(CR456))),(CW456/CR456-1),"NM"))))))</f>
      </c>
      <c r="CX462" s="30">
        <f>IF(CS456="NM","NM",IF(CX456="NM","NM",IF(CS456&lt;=0,"NM",IF(CX456=0,"NM",IF(ABS(CX456/CS456-1)&gt;2.5,"NM",IF((ABS(CX456-CS456)=ABS(ABS(CX456)-ABS(CS456))),(CX456/CS456-1),"NM"))))))</f>
      </c>
      <c r="CY462" s="926">
        <f>IF(CY456&lt;=0,0,(CY456/CT456-1))</f>
      </c>
      <c r="CZ462" s="308">
        <f>IF(CZ456&lt;=0,0,(CZ456/CU456-1))</f>
      </c>
      <c r="DA462" s="30">
        <f>IF(CV456="NM","NM",IF(DA456="NM","NM",IF(CV456&lt;=0,"NM",IF(DA456=0,"NM",IF(ABS(DA456/CV456-1)&gt;2.5,"NM",IF((ABS(DA456-CV456)=ABS(ABS(DA456)-ABS(CV456))),(DA456/CV456-1),"NM"))))))</f>
      </c>
      <c r="DB462" s="30">
        <f>IF(CW456="NM","NM",IF(DB456="NM","NM",IF(CW456&lt;=0,"NM",IF(DB456=0,"NM",IF(ABS(DB456/CW456-1)&gt;2.5,"NM",IF((ABS(DB456-CW456)=ABS(ABS(DB456)-ABS(CW456))),(DB456/CW456-1),"NM"))))))</f>
      </c>
      <c r="DC462" s="30">
        <f>IF(CX456="NM","NM",IF(DC456="NM","NM",IF(CX456&lt;=0,"NM",IF(DC456=0,"NM",IF(ABS(DC456/CX456-1)&gt;2.5,"NM",IF((ABS(DC456-CX456)=ABS(ABS(DC456)-ABS(CX456))),(DC456/CX456-1),"NM"))))))</f>
      </c>
      <c r="DD462" s="928">
        <f>IF(CY456=0, "NM", DD456/CY456-1)</f>
      </c>
      <c r="DE462" s="308">
        <f>IF(DE456&lt;=0,0,(DE456/CZ456-1))</f>
      </c>
      <c r="DF462" s="926">
        <f>IF(DA456=0, "NA", DF456/DA456-1)</f>
      </c>
      <c r="DG462" s="30">
        <f>IF(DB456="NM","NM",IF(DG456="NM","NM",IF(DB456&lt;=0,"NM",IF(DG456=0,"NM",IF(ABS(DG456/DB456-1)&gt;2.5,"NM",IF((ABS(DG456-DB456)=ABS(ABS(DG456)-ABS(DB456))),(DG456/DB456-1),"NM"))))))</f>
      </c>
      <c r="DH462" s="30">
        <f>IF(DC456="NM","NM",IF(DH456="NM","NM",IF(DC456&lt;=0,"NM",IF(DH456=0,"NM",IF(ABS(DH456/DC456-1)&gt;2.5,"NM",IF((ABS(DH456-DC456)=ABS(ABS(DH456)-ABS(DC456))),(DH456/DC456-1),"NM"))))))</f>
      </c>
      <c r="DI462" s="928">
        <f>IF(DD456=0, "NM", DI456/DD456-1)</f>
      </c>
      <c r="DJ462" s="308">
        <f>IF(DJ456&lt;=0,0,(DJ456/DE456-1))</f>
      </c>
      <c r="DK462" s="926">
        <f>IF(DF456=0, "NA", DK456/DF456-1)</f>
      </c>
      <c r="DL462" s="926">
        <f>IF(DG456=0, "NA", DL456/DG456-1)</f>
      </c>
      <c r="DM462" s="926">
        <f>IF(DH456=0, "NA", DM456/DH456-1)</f>
      </c>
      <c r="DN462" s="928">
        <f>IF(DI456=0, "NM", DN456/DI456-1)</f>
      </c>
      <c r="DO462" s="308">
        <f>IF(DJ456=0, "NA", DO456/DJ456-1)</f>
      </c>
      <c r="DP462" s="958">
        <f>IF(DK456=0, "NA", DP456/DK456-1)</f>
      </c>
      <c r="DQ462" s="926">
        <f>IF(DL456=0, "NA", DQ456/DL456-1)</f>
      </c>
      <c r="DR462" s="926">
        <f>IF(DM456=0, "NA", DR456/DM456-1)</f>
      </c>
      <c r="DS462" s="928">
        <f>IF(DN456=0, "NM", DS456/DN456-1)</f>
      </c>
      <c r="DT462" s="409">
        <f t="shared" ref="DT462:EG462" si="1198">IF(DO456=0, "NA", DT456/DO456-1)</f>
      </c>
      <c r="DU462" s="958">
        <f t="shared" si="1198"/>
      </c>
      <c r="DV462" s="926">
        <f t="shared" si="1198"/>
      </c>
      <c r="DW462" s="926">
        <f t="shared" si="1198"/>
      </c>
      <c r="DX462" s="926">
        <f t="shared" si="1198"/>
      </c>
      <c r="DY462" s="308">
        <f t="shared" si="1198"/>
      </c>
      <c r="DZ462" s="926">
        <f t="shared" si="1198"/>
      </c>
      <c r="EA462" s="926">
        <f t="shared" si="1198"/>
      </c>
      <c r="EB462" s="926">
        <f t="shared" si="1198"/>
      </c>
      <c r="EC462" s="928">
        <f>IF(DX456=0, "NM", EC456/DX456-1)</f>
      </c>
      <c r="ED462" s="409">
        <f t="shared" si="1198"/>
      </c>
      <c r="EE462" s="926">
        <f t="shared" si="1198"/>
      </c>
      <c r="EF462" s="926">
        <f t="shared" si="1198"/>
      </c>
      <c r="EG462" s="926">
        <f t="shared" si="1198"/>
      </c>
      <c r="EH462" s="928">
        <f>IF(EC456=0, "NM", EH456/EC456-1)</f>
      </c>
      <c r="EI462" s="308">
        <f>IF(ED456=0, "NA", EI456/ED456-1)</f>
      </c>
      <c r="EJ462" s="308">
        <f t="shared" ref="EJ462" si="1199">IF(EI456=0, "NA", EJ456/EI456-1)</f>
      </c>
      <c r="EK462" s="308">
        <f t="shared" ref="EK462" si="1200">IF(EJ456=0, "NA", EK456/EJ456-1)</f>
      </c>
      <c r="EL462" s="308">
        <f t="shared" ref="EL462" si="1201">IF(EK456=0, "NA", EL456/EK456-1)</f>
      </c>
      <c r="EM462" s="308">
        <f t="shared" ref="EM462" si="1202">IF(EL456=0, "NA", EM456/EL456-1)</f>
      </c>
      <c r="EN462" s="308">
        <f t="shared" ref="EN462" si="1203">IF(EM456=0, "NA", EN456/EM456-1)</f>
      </c>
      <c r="EO462" s="308">
        <f t="shared" ref="EO462" si="1204">IF(EN456=0, "NA", EO456/EN456-1)</f>
      </c>
      <c r="EP462" s="308">
        <f t="shared" ref="EP462" si="1205">IF(EO456=0, "NA", EP456/EO456-1)</f>
      </c>
      <c r="EQ462" s="308">
        <f t="shared" ref="EQ462" si="1206">IF(EP456=0, "NA", EQ456/EP456-1)</f>
      </c>
      <c r="ER462" s="308">
        <f t="shared" ref="ER462" si="1207">IF(EQ456=0, "NA", ER456/EQ456-1)</f>
      </c>
      <c r="ES462" s="308">
        <f t="shared" ref="ES462" si="1208">IF(ER456=0, "NA", ES456/ER456-1)</f>
      </c>
      <c r="ET462" s="409"/>
      <c r="EU462" s="409"/>
      <c r="EV462" s="409"/>
      <c r="EW462" s="409"/>
      <c r="EX462" s="409"/>
    </row>
    <row r="463" spans="1:154">
      <c r="B463" s="341"/>
      <c r="C463" s="1989"/>
      <c r="D463" s="28"/>
      <c r="E463" s="28"/>
      <c r="F463" s="28"/>
      <c r="G463" s="28"/>
      <c r="H463" s="28"/>
      <c r="I463" s="31"/>
      <c r="J463" s="28"/>
      <c r="K463" s="28"/>
      <c r="L463" s="28"/>
      <c r="M463" s="28"/>
      <c r="N463" s="31"/>
      <c r="O463" s="31"/>
      <c r="P463" s="31"/>
      <c r="Q463" s="31"/>
      <c r="R463" s="31"/>
      <c r="S463" s="31"/>
      <c r="T463" s="31"/>
      <c r="U463" s="31"/>
      <c r="V463" s="31"/>
      <c r="W463" s="31"/>
      <c r="X463" s="308"/>
      <c r="Y463" s="31"/>
      <c r="Z463" s="31"/>
      <c r="AA463" s="31"/>
      <c r="AB463" s="31"/>
      <c r="AC463" s="308"/>
      <c r="AD463" s="31"/>
      <c r="AE463" s="31"/>
      <c r="AF463" s="31"/>
      <c r="AG463" s="31"/>
      <c r="AH463" s="308"/>
      <c r="AI463" s="28"/>
      <c r="AJ463" s="28"/>
      <c r="AK463" s="28"/>
      <c r="AL463" s="31"/>
      <c r="AM463" s="308"/>
      <c r="AN463" s="28"/>
      <c r="AO463" s="28"/>
      <c r="AP463" s="28"/>
      <c r="AQ463" s="31"/>
      <c r="AR463" s="308"/>
      <c r="AS463" s="28"/>
      <c r="AT463" s="28"/>
      <c r="AU463" s="28"/>
      <c r="AV463" s="28"/>
      <c r="AW463" s="308"/>
      <c r="AX463" s="28"/>
      <c r="AY463" s="28"/>
      <c r="AZ463" s="28"/>
      <c r="BA463" s="28"/>
      <c r="BB463" s="308"/>
      <c r="BC463" s="30"/>
      <c r="BD463" s="30"/>
      <c r="BE463" s="30"/>
      <c r="BF463" s="30"/>
      <c r="BG463" s="308"/>
      <c r="BH463" s="30"/>
      <c r="BI463" s="30"/>
      <c r="BJ463" s="30"/>
      <c r="BK463" s="30"/>
      <c r="BL463" s="308"/>
      <c r="BM463" s="30"/>
      <c r="BN463" s="30"/>
      <c r="BO463" s="30"/>
      <c r="BP463" s="30"/>
      <c r="BQ463" s="308"/>
      <c r="BR463" s="30"/>
      <c r="BS463" s="30"/>
      <c r="BT463" s="30"/>
      <c r="BU463" s="30"/>
      <c r="BV463" s="308"/>
      <c r="BW463" s="30"/>
      <c r="BX463" s="30"/>
      <c r="BY463" s="30"/>
      <c r="BZ463" s="30"/>
      <c r="CA463" s="308"/>
      <c r="CB463" s="30"/>
      <c r="CC463" s="30"/>
      <c r="CD463" s="30"/>
      <c r="CE463" s="30"/>
      <c r="CF463" s="308"/>
      <c r="CG463" s="30"/>
      <c r="CH463" s="30"/>
      <c r="CI463" s="30"/>
      <c r="CJ463" s="30"/>
      <c r="CK463" s="308"/>
      <c r="CL463" s="973"/>
      <c r="CM463" s="974"/>
      <c r="CN463" s="974"/>
      <c r="CO463" s="30"/>
      <c r="CP463" s="308"/>
      <c r="CQ463" s="974"/>
      <c r="CR463" s="974"/>
      <c r="CS463" s="974"/>
      <c r="CT463" s="1140"/>
      <c r="CU463" s="308"/>
      <c r="CV463" s="974"/>
      <c r="CW463" s="974"/>
      <c r="CX463" s="974"/>
      <c r="CY463" s="1140"/>
      <c r="CZ463" s="308"/>
      <c r="DA463" s="974"/>
      <c r="DB463" s="30"/>
      <c r="DC463" s="30"/>
      <c r="DD463" s="409"/>
      <c r="DE463" s="308"/>
      <c r="DF463" s="974"/>
      <c r="DG463" s="30"/>
      <c r="DH463" s="30"/>
      <c r="DI463" s="409"/>
      <c r="DJ463" s="308"/>
      <c r="DK463" s="974"/>
      <c r="DL463" s="30"/>
      <c r="DM463" s="30"/>
      <c r="DN463" s="409"/>
      <c r="DO463" s="308"/>
      <c r="DP463" s="30"/>
      <c r="DQ463" s="30"/>
      <c r="DR463" s="30"/>
      <c r="DS463" s="409"/>
      <c r="DT463" s="308"/>
      <c r="DU463" s="926"/>
      <c r="DV463" s="926"/>
      <c r="DW463" s="926"/>
      <c r="DX463" s="928"/>
      <c r="DY463" s="308"/>
      <c r="DZ463" s="926"/>
      <c r="EA463" s="926"/>
      <c r="EB463" s="926"/>
      <c r="EC463" s="928"/>
      <c r="ED463" s="1060"/>
      <c r="EE463" s="926"/>
      <c r="EF463" s="926"/>
      <c r="EG463" s="926"/>
      <c r="EH463" s="928"/>
      <c r="EI463" s="308"/>
      <c r="EJ463" s="308"/>
      <c r="EK463" s="308"/>
      <c r="EL463" s="308"/>
      <c r="EM463" s="308"/>
      <c r="EN463" s="308"/>
      <c r="EO463" s="308"/>
      <c r="EP463" s="308"/>
      <c r="EQ463" s="308"/>
      <c r="ER463" s="308"/>
      <c r="ES463" s="308"/>
      <c r="ET463" s="308"/>
      <c r="EU463" s="308"/>
      <c r="EV463" s="308"/>
      <c r="EW463" s="308"/>
      <c r="EX463" s="308"/>
    </row>
    <row r="464" spans="1:154" collapsed="1">
      <c r="B464" s="452" t="s">
        <v>154</v>
      </c>
      <c r="C464" s="1992"/>
      <c r="D464" s="1980"/>
      <c r="E464" s="449"/>
      <c r="F464" s="449"/>
      <c r="G464" s="449"/>
      <c r="H464" s="449"/>
      <c r="I464" s="450"/>
      <c r="J464" s="449"/>
      <c r="K464" s="449"/>
      <c r="L464" s="449"/>
      <c r="M464" s="449"/>
      <c r="N464" s="450"/>
      <c r="O464" s="450"/>
      <c r="P464" s="450"/>
      <c r="Q464" s="450"/>
      <c r="R464" s="450"/>
      <c r="S464" s="450"/>
      <c r="T464" s="450"/>
      <c r="U464" s="450"/>
      <c r="V464" s="450"/>
      <c r="W464" s="450"/>
      <c r="X464" s="451"/>
      <c r="Y464" s="450"/>
      <c r="Z464" s="450"/>
      <c r="AA464" s="450"/>
      <c r="AB464" s="450"/>
      <c r="AC464" s="451"/>
      <c r="AD464" s="450"/>
      <c r="AE464" s="450"/>
      <c r="AF464" s="450"/>
      <c r="AG464" s="450"/>
      <c r="AH464" s="451"/>
      <c r="AI464" s="449"/>
      <c r="AJ464" s="449"/>
      <c r="AK464" s="449"/>
      <c r="AL464" s="450"/>
      <c r="AM464" s="451"/>
      <c r="AN464" s="449"/>
      <c r="AO464" s="449"/>
      <c r="AP464" s="449"/>
      <c r="AQ464" s="450"/>
      <c r="AR464" s="451"/>
      <c r="AS464" s="449"/>
      <c r="AT464" s="449"/>
      <c r="AU464" s="449"/>
      <c r="AV464" s="450"/>
      <c r="AW464" s="451"/>
      <c r="AX464" s="449"/>
      <c r="AY464" s="449"/>
      <c r="AZ464" s="449"/>
      <c r="BA464" s="449"/>
      <c r="BB464" s="451"/>
      <c r="BC464" s="449"/>
      <c r="BD464" s="449"/>
      <c r="BE464" s="449"/>
      <c r="BF464" s="449"/>
      <c r="BG464" s="451"/>
      <c r="BH464" s="449"/>
      <c r="BI464" s="449"/>
      <c r="BJ464" s="449"/>
      <c r="BK464" s="449"/>
      <c r="BL464" s="451"/>
      <c r="BM464" s="449"/>
      <c r="BN464" s="449"/>
      <c r="BO464" s="449"/>
      <c r="BP464" s="449"/>
      <c r="BQ464" s="451"/>
      <c r="BR464" s="449"/>
      <c r="BS464" s="449"/>
      <c r="BT464" s="449"/>
      <c r="BU464" s="449"/>
      <c r="BV464" s="451"/>
      <c r="BW464" s="449"/>
      <c r="BX464" s="449"/>
      <c r="BY464" s="449"/>
      <c r="BZ464" s="449"/>
      <c r="CA464" s="451"/>
      <c r="CB464" s="449"/>
      <c r="CC464" s="449"/>
      <c r="CD464" s="449"/>
      <c r="CE464" s="449"/>
      <c r="CF464" s="451"/>
      <c r="CG464" s="449"/>
      <c r="CH464" s="449"/>
      <c r="CI464" s="449"/>
      <c r="CJ464" s="449"/>
      <c r="CK464" s="451"/>
      <c r="CL464" s="449"/>
      <c r="CM464" s="449"/>
      <c r="CN464" s="449"/>
      <c r="CO464" s="1395"/>
      <c r="CP464" s="451"/>
      <c r="CQ464" s="449"/>
      <c r="CR464" s="449"/>
      <c r="CS464" s="449"/>
      <c r="CT464" s="1141"/>
      <c r="CU464" s="451"/>
      <c r="CV464" s="449"/>
      <c r="CW464" s="449"/>
      <c r="CX464" s="449"/>
      <c r="CY464" s="1141"/>
      <c r="CZ464" s="451"/>
      <c r="DA464" s="449"/>
      <c r="DB464" s="1367"/>
      <c r="DC464" s="1367"/>
      <c r="DD464" s="1196"/>
      <c r="DE464" s="1824"/>
      <c r="DF464" s="1825"/>
      <c r="DG464" s="1826"/>
      <c r="DH464" s="1826"/>
      <c r="DI464" s="1827"/>
      <c r="DJ464" s="1824"/>
      <c r="DK464" s="1825"/>
      <c r="DL464" s="1826"/>
      <c r="DM464" s="1826"/>
      <c r="DN464" s="1827"/>
      <c r="DO464" s="1824"/>
      <c r="DP464" s="1826"/>
      <c r="DQ464" s="1826"/>
      <c r="DR464" s="1826"/>
      <c r="DS464" s="1827"/>
      <c r="DT464" s="1824"/>
      <c r="DU464" s="3411">
        <f>SUM(DU500,DU517,DU539,DU550,DU628,DU572)</f>
      </c>
      <c r="DV464" s="3411">
        <f>SUM(DV500,DV517,DV539,DV550,DV628,DV572)</f>
      </c>
      <c r="DW464" s="3411">
        <f>SUM(DW500,DW517,DW539,DW550,DW628,DW572)</f>
      </c>
      <c r="DX464" s="3412">
        <f>SUM(DX500,DX517,DX539,DX550,DX628,DX572)</f>
      </c>
      <c r="DY464" s="1824"/>
      <c r="DZ464" s="2113"/>
      <c r="EA464" s="3476"/>
      <c r="EB464" s="3476"/>
      <c r="EC464" s="2114"/>
      <c r="ED464" s="1828"/>
      <c r="EE464" s="2113"/>
      <c r="EF464" s="3476"/>
      <c r="EG464" s="3476"/>
      <c r="EH464" s="2114"/>
      <c r="EI464" s="1824"/>
      <c r="EJ464" s="1824"/>
      <c r="EK464" s="1824"/>
      <c r="EL464" s="1824"/>
      <c r="EM464" s="1824"/>
      <c r="EN464" s="1824"/>
      <c r="EO464" s="1824"/>
      <c r="EP464" s="1828"/>
      <c r="EQ464" s="1828"/>
      <c r="ER464" s="1828"/>
      <c r="ES464" s="1828"/>
      <c r="ET464" s="1828"/>
      <c r="EU464" s="1828"/>
      <c r="EV464" s="1828"/>
      <c r="EW464" s="1828"/>
      <c r="EX464" s="1828"/>
    </row>
    <row r="465" spans="1:154" s="331" customFormat="1">
      <c r="A465" s="3275"/>
      <c r="B465" s="514" t="s">
        <v>921</v>
      </c>
      <c r="C465" s="1990"/>
      <c r="D465" s="26"/>
      <c r="E465" s="26"/>
      <c r="F465" s="26"/>
      <c r="G465" s="26"/>
      <c r="H465" s="26"/>
      <c r="I465" s="26"/>
      <c r="J465" s="26"/>
      <c r="K465" s="26"/>
      <c r="L465" s="26"/>
      <c r="M465" s="26"/>
      <c r="N465" s="26"/>
      <c r="O465" s="26"/>
      <c r="P465" s="26"/>
      <c r="Q465" s="26"/>
      <c r="R465" s="26"/>
      <c r="S465" s="26"/>
      <c r="T465" s="26"/>
      <c r="U465" s="26"/>
      <c r="V465" s="26"/>
      <c r="W465" s="26"/>
      <c r="X465" s="323"/>
      <c r="Y465" s="26"/>
      <c r="Z465" s="26"/>
      <c r="AA465" s="26"/>
      <c r="AB465" s="26"/>
      <c r="AC465" s="323"/>
      <c r="AD465" s="15">
        <f t="shared" ref="AD465:BG465" si="1209">+AD476</f>
      </c>
      <c r="AE465" s="15">
        <f t="shared" si="1209"/>
      </c>
      <c r="AF465" s="15">
        <f t="shared" si="1209"/>
      </c>
      <c r="AG465" s="15">
        <f t="shared" si="1209"/>
      </c>
      <c r="AH465" s="327">
        <f t="shared" si="1209"/>
      </c>
      <c r="AI465" s="15">
        <f t="shared" si="1209"/>
      </c>
      <c r="AJ465" s="15">
        <f t="shared" si="1209"/>
      </c>
      <c r="AK465" s="15">
        <f t="shared" si="1209"/>
      </c>
      <c r="AL465" s="15">
        <f t="shared" si="1209"/>
      </c>
      <c r="AM465" s="327">
        <f t="shared" si="1209"/>
      </c>
      <c r="AN465" s="15">
        <f t="shared" si="1209"/>
      </c>
      <c r="AO465" s="15">
        <f t="shared" si="1209"/>
      </c>
      <c r="AP465" s="15">
        <f t="shared" si="1209"/>
      </c>
      <c r="AQ465" s="15">
        <f t="shared" si="1209"/>
      </c>
      <c r="AR465" s="327">
        <f t="shared" si="1209"/>
      </c>
      <c r="AS465" s="15">
        <f t="shared" si="1209"/>
      </c>
      <c r="AT465" s="15">
        <f t="shared" si="1209"/>
      </c>
      <c r="AU465" s="15">
        <f t="shared" si="1209"/>
      </c>
      <c r="AV465" s="15">
        <f t="shared" si="1209"/>
      </c>
      <c r="AW465" s="327">
        <f t="shared" si="1209"/>
      </c>
      <c r="AX465" s="15">
        <f t="shared" si="1209"/>
      </c>
      <c r="AY465" s="15">
        <f t="shared" si="1209"/>
      </c>
      <c r="AZ465" s="15">
        <f t="shared" si="1209"/>
      </c>
      <c r="BA465" s="15">
        <f t="shared" si="1209"/>
      </c>
      <c r="BB465" s="327">
        <f t="shared" si="1209"/>
      </c>
      <c r="BC465" s="15">
        <f t="shared" si="1209"/>
      </c>
      <c r="BD465" s="15">
        <f t="shared" si="1209"/>
      </c>
      <c r="BE465" s="15">
        <f t="shared" si="1209"/>
      </c>
      <c r="BF465" s="15">
        <f t="shared" si="1209"/>
      </c>
      <c r="BG465" s="327">
        <f t="shared" si="1209"/>
      </c>
      <c r="BH465" s="15">
        <f t="shared" ref="BH465:BL466" si="1210">+BH476+BH487</f>
      </c>
      <c r="BI465" s="15">
        <f t="shared" si="1210"/>
      </c>
      <c r="BJ465" s="15">
        <f t="shared" si="1210"/>
      </c>
      <c r="BK465" s="15">
        <f t="shared" si="1210"/>
      </c>
      <c r="BL465" s="327">
        <f t="shared" si="1210"/>
      </c>
      <c r="BM465" s="1586">
        <v>64</v>
      </c>
      <c r="BN465" s="1586">
        <v>93</v>
      </c>
      <c r="BO465" s="1586">
        <v>79</v>
      </c>
      <c r="BP465" s="1586">
        <v>95</v>
      </c>
      <c r="BQ465" s="327">
        <f>+BQ476+BQ487+BQ498</f>
      </c>
      <c r="BR465" s="1586">
        <v>107</v>
      </c>
      <c r="BS465" s="1586">
        <v>119</v>
      </c>
      <c r="BT465" s="1586">
        <v>145</v>
      </c>
      <c r="BU465" s="1586">
        <v>135</v>
      </c>
      <c r="BV465" s="327">
        <f>+BV476+BV487+BV498+BV626</f>
      </c>
      <c r="BW465" s="1586">
        <v>199</v>
      </c>
      <c r="BX465" s="1586">
        <v>206</v>
      </c>
      <c r="BY465" s="1586">
        <v>227</v>
      </c>
      <c r="BZ465" s="1586">
        <v>216</v>
      </c>
      <c r="CA465" s="327">
        <f>SUM(BW465:BZ465)</f>
      </c>
      <c r="CB465" s="1586">
        <f>240</f>
      </c>
      <c r="CC465" s="1586">
        <v>278</v>
      </c>
      <c r="CD465" s="1586">
        <v>305</v>
      </c>
      <c r="CE465" s="1586">
        <v>334</v>
      </c>
      <c r="CF465" s="327">
        <f>SUM(CB465:CE465)</f>
      </c>
      <c r="CG465" s="1586">
        <v>334</v>
      </c>
      <c r="CH465" s="1586">
        <v>362</v>
      </c>
      <c r="CI465" s="1586">
        <v>394</v>
      </c>
      <c r="CJ465" s="1586">
        <v>457</v>
      </c>
      <c r="CK465" s="327">
        <f>SUM(CG465:CJ465)</f>
      </c>
      <c r="CL465" s="1586">
        <v>549</v>
      </c>
      <c r="CM465" s="1586">
        <v>569</v>
      </c>
      <c r="CN465" s="1586">
        <v>622</v>
      </c>
      <c r="CO465" s="1586">
        <v>595</v>
      </c>
      <c r="CP465" s="327">
        <f>SUM(CL465:CO465)</f>
      </c>
      <c r="CQ465" s="1216">
        <v>664</v>
      </c>
      <c r="CR465" s="1216">
        <v>697</v>
      </c>
      <c r="CS465" s="1216">
        <v>846</v>
      </c>
      <c r="CT465" s="1216">
        <v>891</v>
      </c>
      <c r="CU465" s="327">
        <f>SUM(CQ465:CT465)</f>
      </c>
      <c r="CV465" s="1584">
        <v>933</v>
      </c>
      <c r="CW465" s="1584">
        <v>1085</v>
      </c>
      <c r="CX465" s="1584">
        <v>1250</v>
      </c>
      <c r="CY465" s="1584">
        <v>1063</v>
      </c>
      <c r="CZ465" s="327">
        <f>SUM(CV465:CY465)</f>
      </c>
      <c r="DA465" s="1584">
        <v>962</v>
      </c>
      <c r="DB465" s="1584">
        <v>1013</v>
      </c>
      <c r="DC465" s="1584">
        <v>1171</v>
      </c>
      <c r="DD465" s="1585">
        <v>1153</v>
      </c>
      <c r="DE465" s="1851">
        <f>+DE498+DE511+DE537+DE626+DE548</f>
      </c>
      <c r="DF465" s="1852">
        <v>1175</v>
      </c>
      <c r="DG465" s="1852">
        <v>1181</v>
      </c>
      <c r="DH465" s="1852">
        <v>1267</v>
      </c>
      <c r="DI465" s="1853">
        <v>1469</v>
      </c>
      <c r="DJ465" s="1854">
        <f>+DJ498+DJ511+DJ537+DJ626+DJ548</f>
      </c>
      <c r="DK465" s="1855">
        <v>1377</v>
      </c>
      <c r="DL465" s="1852">
        <v>1462</v>
      </c>
      <c r="DM465" s="1968">
        <v>1525</v>
      </c>
      <c r="DN465" s="1853">
        <v>1594</v>
      </c>
      <c r="DO465" s="1851">
        <f>+DO498+DO511+DO537+DO626+DO548</f>
      </c>
      <c r="DP465" s="1852">
        <v>1582</v>
      </c>
      <c r="DQ465" s="1852">
        <v>1679</v>
      </c>
      <c r="DR465" s="1852">
        <v>1812</v>
      </c>
      <c r="DS465" s="2411">
        <v>1857</v>
      </c>
      <c r="DT465" s="1851">
        <f>+DT498+DT511+DT537+DT626+DT548</f>
      </c>
      <c r="DU465" s="1852">
        <v>1889.1</v>
      </c>
      <c r="DV465" s="1852">
        <v>2068.5</v>
      </c>
      <c r="DW465" s="1852">
        <v>2219.4</v>
      </c>
      <c r="DX465" s="1852">
        <v>2284.5</v>
      </c>
      <c r="DY465" s="1851">
        <f>+DY498+DY511+DY537+DY626+DY548+DY570</f>
      </c>
      <c r="DZ465" s="1968">
        <v>2383.4</v>
      </c>
      <c r="EA465" s="3539">
        <v>2635.5</v>
      </c>
      <c r="EB465" s="3539">
        <v>2815.5</v>
      </c>
      <c r="EC465" s="3539">
        <v>3019</v>
      </c>
      <c r="ED465" s="1851">
        <f>+ED498+ED511+ED537+ED626+ED548+ED570+ED559</f>
      </c>
      <c r="EE465" s="1777">
        <f t="shared" ref="EE465:EF465" si="1211">+EE498+EE511+EE537+EE626+EE548+EE570+EE559+EE581+EE592</f>
      </c>
      <c r="EF465" s="1777">
        <f t="shared" si="1211"/>
      </c>
      <c r="EG465" s="3540">
        <v>3468</v>
      </c>
      <c r="EH465" s="1777">
        <f t="shared" ref="EH465:EW465" si="1212">+EH498+EH511+EH537+EH626+EH548+EH570+EH559+EH581+EH592</f>
      </c>
      <c r="EI465" s="1851">
        <f t="shared" si="1212"/>
      </c>
      <c r="EJ465" s="1851">
        <f t="shared" si="1212"/>
      </c>
      <c r="EK465" s="1851">
        <f t="shared" si="1212"/>
      </c>
      <c r="EL465" s="1851">
        <f t="shared" si="1212"/>
      </c>
      <c r="EM465" s="1851">
        <f t="shared" si="1212"/>
      </c>
      <c r="EN465" s="1851">
        <f t="shared" si="1212"/>
      </c>
      <c r="EO465" s="1851">
        <f t="shared" si="1212"/>
      </c>
      <c r="EP465" s="1851">
        <f t="shared" si="1212"/>
      </c>
      <c r="EQ465" s="1851">
        <f t="shared" si="1212"/>
      </c>
      <c r="ER465" s="1851">
        <f t="shared" si="1212"/>
      </c>
      <c r="ES465" s="1851">
        <f t="shared" si="1212"/>
      </c>
      <c r="ET465" s="1851">
        <f t="shared" si="1212"/>
      </c>
      <c r="EU465" s="1851">
        <f t="shared" si="1212"/>
      </c>
      <c r="EV465" s="1851">
        <f t="shared" si="1212"/>
      </c>
      <c r="EW465" s="1851">
        <f t="shared" si="1212"/>
      </c>
      <c r="EX465" s="1815"/>
    </row>
    <row r="466" spans="1:154" s="331" customFormat="1">
      <c r="A466" s="3275"/>
      <c r="B466" s="514" t="s">
        <v>412</v>
      </c>
      <c r="C466" s="1990"/>
      <c r="D466" s="26"/>
      <c r="E466" s="26"/>
      <c r="F466" s="26"/>
      <c r="G466" s="26"/>
      <c r="H466" s="26"/>
      <c r="I466" s="26"/>
      <c r="J466" s="26"/>
      <c r="K466" s="26"/>
      <c r="L466" s="26"/>
      <c r="M466" s="26"/>
      <c r="N466" s="26"/>
      <c r="O466" s="26"/>
      <c r="P466" s="26"/>
      <c r="Q466" s="26"/>
      <c r="R466" s="26"/>
      <c r="S466" s="26"/>
      <c r="T466" s="26"/>
      <c r="U466" s="26"/>
      <c r="V466" s="26"/>
      <c r="W466" s="26"/>
      <c r="X466" s="323"/>
      <c r="Y466" s="26"/>
      <c r="Z466" s="26"/>
      <c r="AA466" s="26"/>
      <c r="AB466" s="26"/>
      <c r="AC466" s="323"/>
      <c r="AD466" s="15">
        <f t="shared" ref="AD466:BG466" si="1213">+AD477</f>
      </c>
      <c r="AE466" s="15">
        <f t="shared" si="1213"/>
      </c>
      <c r="AF466" s="15">
        <f t="shared" si="1213"/>
      </c>
      <c r="AG466" s="15">
        <f t="shared" si="1213"/>
      </c>
      <c r="AH466" s="327">
        <f t="shared" si="1213"/>
      </c>
      <c r="AI466" s="15">
        <f t="shared" si="1213"/>
      </c>
      <c r="AJ466" s="15">
        <f t="shared" si="1213"/>
      </c>
      <c r="AK466" s="15">
        <f t="shared" si="1213"/>
      </c>
      <c r="AL466" s="15">
        <f t="shared" si="1213"/>
      </c>
      <c r="AM466" s="327">
        <f t="shared" si="1213"/>
      </c>
      <c r="AN466" s="15">
        <f t="shared" si="1213"/>
      </c>
      <c r="AO466" s="15">
        <f t="shared" si="1213"/>
      </c>
      <c r="AP466" s="15">
        <f t="shared" si="1213"/>
      </c>
      <c r="AQ466" s="15">
        <f t="shared" si="1213"/>
      </c>
      <c r="AR466" s="327">
        <f t="shared" si="1213"/>
      </c>
      <c r="AS466" s="15">
        <f t="shared" si="1213"/>
      </c>
      <c r="AT466" s="15">
        <f t="shared" si="1213"/>
      </c>
      <c r="AU466" s="15">
        <f t="shared" si="1213"/>
      </c>
      <c r="AV466" s="15">
        <f t="shared" si="1213"/>
      </c>
      <c r="AW466" s="327">
        <f t="shared" si="1213"/>
      </c>
      <c r="AX466" s="15">
        <f t="shared" si="1213"/>
      </c>
      <c r="AY466" s="15">
        <f t="shared" si="1213"/>
      </c>
      <c r="AZ466" s="15">
        <f t="shared" si="1213"/>
      </c>
      <c r="BA466" s="15">
        <f t="shared" si="1213"/>
      </c>
      <c r="BB466" s="327">
        <f t="shared" si="1213"/>
      </c>
      <c r="BC466" s="15">
        <f t="shared" si="1213"/>
      </c>
      <c r="BD466" s="15">
        <f t="shared" si="1213"/>
      </c>
      <c r="BE466" s="15">
        <f t="shared" si="1213"/>
      </c>
      <c r="BF466" s="15">
        <f t="shared" si="1213"/>
      </c>
      <c r="BG466" s="327">
        <f t="shared" si="1213"/>
      </c>
      <c r="BH466" s="15">
        <f t="shared" si="1210"/>
      </c>
      <c r="BI466" s="15">
        <f t="shared" si="1210"/>
      </c>
      <c r="BJ466" s="15">
        <f t="shared" si="1210"/>
      </c>
      <c r="BK466" s="15">
        <f t="shared" si="1210"/>
      </c>
      <c r="BL466" s="327">
        <f t="shared" si="1210"/>
      </c>
      <c r="BM466" s="1586">
        <v>375</v>
      </c>
      <c r="BN466" s="1586">
        <v>459</v>
      </c>
      <c r="BO466" s="1586">
        <v>415</v>
      </c>
      <c r="BP466" s="1586">
        <v>468</v>
      </c>
      <c r="BQ466" s="327">
        <f>+BQ477+BQ488+BQ499+BQ627</f>
      </c>
      <c r="BR466" s="1586">
        <v>489</v>
      </c>
      <c r="BS466" s="1586">
        <v>467</v>
      </c>
      <c r="BT466" s="1586">
        <v>483</v>
      </c>
      <c r="BU466" s="1586">
        <v>684</v>
      </c>
      <c r="BV466" s="327">
        <f>+BV477+BV488+BV499+BV627</f>
      </c>
      <c r="BW466" s="1586">
        <v>595</v>
      </c>
      <c r="BX466" s="1586">
        <v>679</v>
      </c>
      <c r="BY466" s="1586">
        <v>754</v>
      </c>
      <c r="BZ466" s="1586">
        <v>897</v>
      </c>
      <c r="CA466" s="327">
        <f>SUM(BW466:BZ466)</f>
      </c>
      <c r="CB466" s="1586">
        <v>782</v>
      </c>
      <c r="CC466" s="1586">
        <v>833</v>
      </c>
      <c r="CD466" s="1586">
        <v>807</v>
      </c>
      <c r="CE466" s="1586">
        <v>878</v>
      </c>
      <c r="CF466" s="327">
        <f>SUM(CB466:CE466)</f>
      </c>
      <c r="CG466" s="1586">
        <v>774</v>
      </c>
      <c r="CH466" s="1586">
        <v>782</v>
      </c>
      <c r="CI466" s="1586">
        <v>776</v>
      </c>
      <c r="CJ466" s="1586">
        <v>816</v>
      </c>
      <c r="CK466" s="327">
        <f>SUM(CG466:CJ466)</f>
      </c>
      <c r="CL466" s="1586">
        <v>805</v>
      </c>
      <c r="CM466" s="1586">
        <v>905</v>
      </c>
      <c r="CN466" s="1586">
        <v>895</v>
      </c>
      <c r="CO466" s="1586">
        <v>867</v>
      </c>
      <c r="CP466" s="327">
        <f>SUM(CL466:CO466)</f>
      </c>
      <c r="CQ466" s="522">
        <v>930</v>
      </c>
      <c r="CR466" s="522">
        <v>1030</v>
      </c>
      <c r="CS466" s="522">
        <v>1052</v>
      </c>
      <c r="CT466" s="522">
        <v>1148</v>
      </c>
      <c r="CU466" s="327">
        <f>SUM(CQ466:CT466)</f>
      </c>
      <c r="CV466" s="1586">
        <v>1378</v>
      </c>
      <c r="CW466" s="1586">
        <v>1371</v>
      </c>
      <c r="CX466" s="1586">
        <v>1338</v>
      </c>
      <c r="CY466" s="1586">
        <v>1426</v>
      </c>
      <c r="CZ466" s="327">
        <f>SUM(CV466:CY466)</f>
      </c>
      <c r="DA466" s="1586">
        <v>1556</v>
      </c>
      <c r="DB466" s="1586">
        <v>1684</v>
      </c>
      <c r="DC466" s="1586">
        <v>1590</v>
      </c>
      <c r="DD466" s="1586">
        <v>1563</v>
      </c>
      <c r="DE466" s="1851">
        <f>+DE499+DE513+DE538+DE627+DE549</f>
      </c>
      <c r="DF466" s="1856">
        <v>1839</v>
      </c>
      <c r="DG466" s="1856">
        <v>1609.4</v>
      </c>
      <c r="DH466" s="1856">
        <v>1862</v>
      </c>
      <c r="DI466" s="1857">
        <v>1965.4</v>
      </c>
      <c r="DJ466" s="1854">
        <f>+DJ499+DJ513+DJ538+DJ627+DJ549</f>
      </c>
      <c r="DK466" s="1857">
        <v>2193</v>
      </c>
      <c r="DL466" s="1856">
        <v>2073</v>
      </c>
      <c r="DM466" s="1856">
        <v>2140</v>
      </c>
      <c r="DN466" s="1857">
        <v>2184</v>
      </c>
      <c r="DO466" s="1851">
        <f>+DO499+DO513+DO538+DO627+DO549</f>
      </c>
      <c r="DP466" s="1856">
        <v>2369</v>
      </c>
      <c r="DQ466" s="1856">
        <v>2362</v>
      </c>
      <c r="DR466" s="1856">
        <v>2252</v>
      </c>
      <c r="DS466" s="1856">
        <v>2069</v>
      </c>
      <c r="DT466" s="1851">
        <f>+DT499+DT513+DT538+DT627+DT549</f>
      </c>
      <c r="DU466" s="1856">
        <v>2223.4</v>
      </c>
      <c r="DV466" s="1856">
        <v>2329</v>
      </c>
      <c r="DW466" s="1856">
        <v>2313.4</v>
      </c>
      <c r="DX466" s="1856">
        <v>2333.5</v>
      </c>
      <c r="DY466" s="1851">
        <f>+DY499+DY513+DY538+DY627+DY549+DY571</f>
      </c>
      <c r="DZ466" s="3442">
        <v>2430.4</v>
      </c>
      <c r="EA466" s="1856">
        <v>2454.5</v>
      </c>
      <c r="EB466" s="1856">
        <v>2564.5</v>
      </c>
      <c r="EC466" s="1856">
        <v>2476</v>
      </c>
      <c r="ED466" s="1851">
        <f>+ED499+ED513+ED538+ED627+ED549+ED571+ED560</f>
      </c>
      <c r="EE466" s="1777">
        <f>+EE499+EE513+EE538+EE627+EE549+EE571+EE560+EE582+EE593</f>
      </c>
      <c r="EF466" s="1777">
        <f>+EF499+EF513+EF538+EF627+EF549+EF571+EF560+EF582+EF593</f>
      </c>
      <c r="EG466" s="1857">
        <v>3060</v>
      </c>
      <c r="EH466" s="1777">
        <f t="shared" ref="EH466:EW466" si="1214">+EH499+EH513+EH538+EH627+EH549+EH571+EH560+EH582+EH593</f>
      </c>
      <c r="EI466" s="1851">
        <f t="shared" si="1214"/>
      </c>
      <c r="EJ466" s="1851">
        <f t="shared" si="1214"/>
      </c>
      <c r="EK466" s="1851">
        <f t="shared" si="1214"/>
      </c>
      <c r="EL466" s="1851">
        <f t="shared" si="1214"/>
      </c>
      <c r="EM466" s="1851">
        <f t="shared" si="1214"/>
      </c>
      <c r="EN466" s="1851">
        <f t="shared" si="1214"/>
      </c>
      <c r="EO466" s="1851">
        <f t="shared" si="1214"/>
      </c>
      <c r="EP466" s="1851">
        <f t="shared" si="1214"/>
      </c>
      <c r="EQ466" s="1851">
        <f t="shared" si="1214"/>
      </c>
      <c r="ER466" s="1851">
        <f t="shared" si="1214"/>
      </c>
      <c r="ES466" s="1851">
        <f t="shared" si="1214"/>
      </c>
      <c r="ET466" s="1851">
        <f t="shared" si="1214"/>
      </c>
      <c r="EU466" s="1851">
        <f t="shared" si="1214"/>
      </c>
      <c r="EV466" s="1851">
        <f t="shared" si="1214"/>
      </c>
      <c r="EW466" s="1851">
        <f t="shared" si="1214"/>
      </c>
      <c r="EX466" s="1815"/>
    </row>
    <row r="467" spans="1:154" s="331" customFormat="1">
      <c r="A467" s="3275" t="str">
        <f>+B464</f>
      </c>
      <c r="B467" s="514" t="s">
        <v>413</v>
      </c>
      <c r="C467" s="1990"/>
      <c r="D467" s="26"/>
      <c r="E467" s="26"/>
      <c r="F467" s="26"/>
      <c r="G467" s="26"/>
      <c r="H467" s="26"/>
      <c r="I467" s="26"/>
      <c r="J467" s="26"/>
      <c r="K467" s="26"/>
      <c r="L467" s="26"/>
      <c r="M467" s="26"/>
      <c r="N467" s="26"/>
      <c r="O467" s="26"/>
      <c r="P467" s="26"/>
      <c r="Q467" s="26"/>
      <c r="R467" s="26"/>
      <c r="S467" s="26"/>
      <c r="T467" s="26"/>
      <c r="U467" s="26"/>
      <c r="V467" s="26"/>
      <c r="W467" s="26"/>
      <c r="X467" s="323"/>
      <c r="Y467" s="26"/>
      <c r="Z467" s="26"/>
      <c r="AA467" s="26"/>
      <c r="AB467" s="26"/>
      <c r="AC467" s="323"/>
      <c r="AD467" s="15">
        <f t="shared" ref="AD467:BI467" si="1215">+AD465+AD466</f>
      </c>
      <c r="AE467" s="15">
        <f t="shared" si="1215"/>
      </c>
      <c r="AF467" s="15">
        <f t="shared" si="1215"/>
      </c>
      <c r="AG467" s="15">
        <f t="shared" si="1215"/>
      </c>
      <c r="AH467" s="327">
        <f t="shared" si="1215"/>
      </c>
      <c r="AI467" s="15">
        <f t="shared" si="1215"/>
      </c>
      <c r="AJ467" s="15">
        <f t="shared" si="1215"/>
      </c>
      <c r="AK467" s="15">
        <f t="shared" si="1215"/>
      </c>
      <c r="AL467" s="15">
        <f t="shared" si="1215"/>
      </c>
      <c r="AM467" s="327">
        <f t="shared" si="1215"/>
      </c>
      <c r="AN467" s="15">
        <f t="shared" si="1215"/>
      </c>
      <c r="AO467" s="15">
        <f t="shared" si="1215"/>
      </c>
      <c r="AP467" s="15">
        <f t="shared" si="1215"/>
      </c>
      <c r="AQ467" s="15">
        <f t="shared" si="1215"/>
      </c>
      <c r="AR467" s="327">
        <f t="shared" si="1215"/>
      </c>
      <c r="AS467" s="15">
        <f t="shared" si="1215"/>
      </c>
      <c r="AT467" s="15">
        <f t="shared" si="1215"/>
      </c>
      <c r="AU467" s="15">
        <f t="shared" si="1215"/>
      </c>
      <c r="AV467" s="15">
        <f t="shared" si="1215"/>
      </c>
      <c r="AW467" s="327">
        <f t="shared" si="1215"/>
      </c>
      <c r="AX467" s="15">
        <f t="shared" si="1215"/>
      </c>
      <c r="AY467" s="15">
        <f t="shared" si="1215"/>
      </c>
      <c r="AZ467" s="15">
        <f t="shared" si="1215"/>
      </c>
      <c r="BA467" s="15">
        <f t="shared" si="1215"/>
      </c>
      <c r="BB467" s="327">
        <f t="shared" si="1215"/>
      </c>
      <c r="BC467" s="15">
        <f t="shared" si="1215"/>
      </c>
      <c r="BD467" s="15">
        <f t="shared" si="1215"/>
      </c>
      <c r="BE467" s="15">
        <f t="shared" si="1215"/>
      </c>
      <c r="BF467" s="15">
        <f t="shared" si="1215"/>
      </c>
      <c r="BG467" s="327">
        <f t="shared" si="1215"/>
      </c>
      <c r="BH467" s="15">
        <f t="shared" si="1215"/>
      </c>
      <c r="BI467" s="15">
        <f t="shared" si="1215"/>
      </c>
      <c r="BJ467" s="15">
        <f t="shared" ref="BJ467:BZ467" si="1216">+BJ465+BJ466</f>
      </c>
      <c r="BK467" s="15">
        <f t="shared" si="1216"/>
      </c>
      <c r="BL467" s="327">
        <f t="shared" si="1216"/>
      </c>
      <c r="BM467" s="15">
        <f t="shared" si="1216"/>
      </c>
      <c r="BN467" s="15">
        <f t="shared" si="1216"/>
      </c>
      <c r="BO467" s="15">
        <f t="shared" si="1216"/>
      </c>
      <c r="BP467" s="15">
        <f t="shared" si="1216"/>
      </c>
      <c r="BQ467" s="327">
        <f t="shared" si="1216"/>
      </c>
      <c r="BR467" s="15">
        <f t="shared" si="1216"/>
      </c>
      <c r="BS467" s="15">
        <f t="shared" si="1216"/>
      </c>
      <c r="BT467" s="15">
        <f t="shared" si="1216"/>
      </c>
      <c r="BU467" s="15">
        <f t="shared" si="1216"/>
      </c>
      <c r="BV467" s="327">
        <f t="shared" si="1216"/>
      </c>
      <c r="BW467" s="15">
        <f t="shared" si="1216"/>
      </c>
      <c r="BX467" s="15">
        <f t="shared" si="1216"/>
      </c>
      <c r="BY467" s="15">
        <f t="shared" si="1216"/>
      </c>
      <c r="BZ467" s="15">
        <f t="shared" si="1216"/>
      </c>
      <c r="CA467" s="327">
        <f>SUM(BW467:BZ467)</f>
      </c>
      <c r="CB467" s="15">
        <f>+CB465+CB466</f>
      </c>
      <c r="CC467" s="15">
        <f>+CC465+CC466</f>
      </c>
      <c r="CD467" s="15">
        <f>+CD465+CD466</f>
      </c>
      <c r="CE467" s="15">
        <f>+CE465+CE466</f>
      </c>
      <c r="CF467" s="327">
        <f>SUM(CB467:CE467)</f>
      </c>
      <c r="CG467" s="15">
        <f>+CG465+CG466</f>
      </c>
      <c r="CH467" s="15">
        <f>+CH465+CH466</f>
      </c>
      <c r="CI467" s="15">
        <f>+CI465+CI466</f>
      </c>
      <c r="CJ467" s="15">
        <f>+CJ465+CJ466</f>
      </c>
      <c r="CK467" s="327">
        <f>SUM(CG467:CJ467)</f>
      </c>
      <c r="CL467" s="15">
        <f t="shared" ref="CL467:DZ467" si="1217">+CL465+CL466</f>
      </c>
      <c r="CM467" s="15">
        <f t="shared" si="1217"/>
      </c>
      <c r="CN467" s="15">
        <f t="shared" si="1217"/>
      </c>
      <c r="CO467" s="15">
        <f t="shared" si="1217"/>
      </c>
      <c r="CP467" s="327">
        <f t="shared" si="1217"/>
      </c>
      <c r="CQ467" s="26">
        <f t="shared" si="1217"/>
      </c>
      <c r="CR467" s="26">
        <f t="shared" si="1217"/>
      </c>
      <c r="CS467" s="26">
        <f t="shared" si="1217"/>
      </c>
      <c r="CT467" s="26">
        <f t="shared" si="1217"/>
      </c>
      <c r="CU467" s="327">
        <f t="shared" si="1217"/>
      </c>
      <c r="CV467" s="15">
        <f t="shared" si="1217"/>
      </c>
      <c r="CW467" s="15">
        <f t="shared" si="1217"/>
      </c>
      <c r="CX467" s="15">
        <f t="shared" si="1217"/>
      </c>
      <c r="CY467" s="15">
        <f t="shared" si="1217"/>
      </c>
      <c r="CZ467" s="327">
        <f t="shared" si="1217"/>
      </c>
      <c r="DA467" s="15">
        <f t="shared" si="1217"/>
      </c>
      <c r="DB467" s="15">
        <f t="shared" si="1217"/>
      </c>
      <c r="DC467" s="15">
        <f t="shared" si="1217"/>
      </c>
      <c r="DD467" s="15">
        <f t="shared" si="1217"/>
      </c>
      <c r="DE467" s="1851">
        <f t="shared" si="1217"/>
      </c>
      <c r="DF467" s="1777">
        <f t="shared" si="1217"/>
      </c>
      <c r="DG467" s="1777">
        <f t="shared" si="1217"/>
      </c>
      <c r="DH467" s="1777">
        <f t="shared" si="1217"/>
      </c>
      <c r="DI467" s="1858">
        <f t="shared" si="1217"/>
      </c>
      <c r="DJ467" s="1854">
        <f t="shared" si="1217"/>
      </c>
      <c r="DK467" s="1858">
        <f t="shared" si="1217"/>
      </c>
      <c r="DL467" s="1777">
        <f t="shared" si="1217"/>
      </c>
      <c r="DM467" s="1777">
        <f t="shared" si="1217"/>
      </c>
      <c r="DN467" s="1777">
        <f>+DN465+DN466</f>
      </c>
      <c r="DO467" s="1851">
        <f t="shared" si="1217"/>
      </c>
      <c r="DP467" s="1777">
        <f t="shared" si="1217"/>
      </c>
      <c r="DQ467" s="1777">
        <f t="shared" si="1217"/>
      </c>
      <c r="DR467" s="1777">
        <f t="shared" si="1217"/>
      </c>
      <c r="DS467" s="1777">
        <f t="shared" si="1217"/>
      </c>
      <c r="DT467" s="1851">
        <f t="shared" si="1217"/>
      </c>
      <c r="DU467" s="1777">
        <f t="shared" si="1217"/>
      </c>
      <c r="DV467" s="1777">
        <f>+DV465+DV466</f>
      </c>
      <c r="DW467" s="1777">
        <f>+DW465+DW466</f>
      </c>
      <c r="DX467" s="1777">
        <f>+DX465+DX466</f>
      </c>
      <c r="DY467" s="1851">
        <f t="shared" si="1217"/>
      </c>
      <c r="DZ467" s="1777">
        <f t="shared" si="1217"/>
      </c>
      <c r="EA467" s="1777">
        <f>+EA465+EA466</f>
      </c>
      <c r="EB467" s="1777">
        <f>+EB465+EB466</f>
      </c>
      <c r="EC467" s="1777">
        <f>+EC465+EC466</f>
      </c>
      <c r="ED467" s="1851">
        <f t="shared" ref="ED467:EE467" si="1218">+ED465+ED466</f>
      </c>
      <c r="EE467" s="1777">
        <f t="shared" si="1218"/>
      </c>
      <c r="EF467" s="1777">
        <f t="shared" ref="EF467" si="1219">+EF465+EF466</f>
      </c>
      <c r="EG467" s="1777">
        <f t="shared" ref="EG467" si="1220">SUM(EG465:EG466)</f>
      </c>
      <c r="EH467" s="1777">
        <f t="shared" ref="EH467:EW467" si="1221">+EH465+EH466</f>
      </c>
      <c r="EI467" s="1851">
        <f t="shared" si="1221"/>
      </c>
      <c r="EJ467" s="1851">
        <f t="shared" si="1221"/>
      </c>
      <c r="EK467" s="1851">
        <f t="shared" si="1221"/>
      </c>
      <c r="EL467" s="1851">
        <f t="shared" si="1221"/>
      </c>
      <c r="EM467" s="1851">
        <f t="shared" si="1221"/>
      </c>
      <c r="EN467" s="1851">
        <f t="shared" si="1221"/>
      </c>
      <c r="EO467" s="1851">
        <f t="shared" si="1221"/>
      </c>
      <c r="EP467" s="1851">
        <f t="shared" si="1221"/>
      </c>
      <c r="EQ467" s="1851">
        <f t="shared" si="1221"/>
      </c>
      <c r="ER467" s="1851">
        <f t="shared" si="1221"/>
      </c>
      <c r="ES467" s="1851">
        <f t="shared" si="1221"/>
      </c>
      <c r="ET467" s="1851">
        <f t="shared" si="1221"/>
      </c>
      <c r="EU467" s="1851">
        <f t="shared" si="1221"/>
      </c>
      <c r="EV467" s="1851">
        <f t="shared" si="1221"/>
      </c>
      <c r="EW467" s="1851">
        <f t="shared" si="1221"/>
      </c>
      <c r="EX467" s="1815"/>
    </row>
    <row r="468" spans="1:154">
      <c r="B468" s="1583"/>
      <c r="C468" s="2008"/>
      <c r="D468" s="28"/>
      <c r="E468" s="28"/>
      <c r="F468" s="28"/>
      <c r="G468" s="28"/>
      <c r="H468" s="28"/>
      <c r="I468" s="31"/>
      <c r="J468" s="28"/>
      <c r="K468" s="28"/>
      <c r="L468" s="28"/>
      <c r="M468" s="28"/>
      <c r="N468" s="31"/>
      <c r="O468" s="31"/>
      <c r="P468" s="31"/>
      <c r="Q468" s="31"/>
      <c r="R468" s="31"/>
      <c r="S468" s="31"/>
      <c r="T468" s="31"/>
      <c r="U468" s="31"/>
      <c r="V468" s="31"/>
      <c r="W468" s="31"/>
      <c r="X468" s="313"/>
      <c r="Y468" s="31"/>
      <c r="Z468" s="31"/>
      <c r="AA468" s="31"/>
      <c r="AB468" s="31"/>
      <c r="AC468" s="313"/>
      <c r="AD468" s="31"/>
      <c r="AE468" s="31"/>
      <c r="AF468" s="31"/>
      <c r="AG468" s="31"/>
      <c r="AH468" s="313"/>
      <c r="AI468" s="31"/>
      <c r="AJ468" s="31"/>
      <c r="AK468" s="31"/>
      <c r="AL468" s="31"/>
      <c r="AM468" s="313"/>
      <c r="AN468" s="31"/>
      <c r="AO468" s="31"/>
      <c r="AP468" s="31"/>
      <c r="AQ468" s="31"/>
      <c r="AR468" s="313"/>
      <c r="AS468" s="31"/>
      <c r="AT468" s="31"/>
      <c r="AU468" s="31"/>
      <c r="AV468" s="31"/>
      <c r="AW468" s="313"/>
      <c r="AX468" s="31"/>
      <c r="AY468" s="31"/>
      <c r="AZ468" s="31"/>
      <c r="BA468" s="31"/>
      <c r="BB468" s="313"/>
      <c r="BC468" s="31"/>
      <c r="BD468" s="31"/>
      <c r="BE468" s="31"/>
      <c r="BF468" s="31"/>
      <c r="BG468" s="313"/>
      <c r="BH468" s="31"/>
      <c r="BI468" s="31"/>
      <c r="BJ468" s="31"/>
      <c r="BK468" s="31"/>
      <c r="BL468" s="313"/>
      <c r="BM468" s="31"/>
      <c r="BN468" s="31"/>
      <c r="BO468" s="31"/>
      <c r="BP468" s="31"/>
      <c r="BQ468" s="313"/>
      <c r="BR468" s="31"/>
      <c r="BS468" s="31"/>
      <c r="BT468" s="31"/>
      <c r="BU468" s="31"/>
      <c r="BV468" s="313"/>
      <c r="BW468" s="31"/>
      <c r="BX468" s="31"/>
      <c r="BY468" s="31"/>
      <c r="BZ468" s="31"/>
      <c r="CA468" s="313"/>
      <c r="CB468" s="31"/>
      <c r="CC468" s="31"/>
      <c r="CD468" s="31"/>
      <c r="CE468" s="31"/>
      <c r="CF468" s="313"/>
      <c r="CG468" s="31"/>
      <c r="CH468" s="31"/>
      <c r="CI468" s="31"/>
      <c r="CJ468" s="31"/>
      <c r="CK468" s="313"/>
      <c r="CL468" s="957"/>
      <c r="CM468" s="31"/>
      <c r="CN468" s="31"/>
      <c r="CO468" s="31"/>
      <c r="CP468" s="957"/>
      <c r="CQ468" s="31"/>
      <c r="CR468" s="31"/>
      <c r="CS468" s="31"/>
      <c r="CT468" s="31"/>
      <c r="CU468" s="313"/>
      <c r="CV468" s="31"/>
      <c r="CW468" s="31"/>
      <c r="CX468" s="31"/>
      <c r="CY468" s="31"/>
      <c r="CZ468" s="313"/>
      <c r="DA468" s="31"/>
      <c r="DB468" s="31"/>
      <c r="DC468" s="31"/>
      <c r="DD468" s="31"/>
      <c r="DE468" s="477"/>
      <c r="DF468" s="603"/>
      <c r="DG468" s="603"/>
      <c r="DH468" s="603"/>
      <c r="DI468" s="1822"/>
      <c r="DJ468" s="1811"/>
      <c r="DK468" s="1822"/>
      <c r="DL468" s="603"/>
      <c r="DM468" s="603"/>
      <c r="DN468" s="603"/>
      <c r="DO468" s="477"/>
      <c r="DP468" s="603"/>
      <c r="DQ468" s="603"/>
      <c r="DR468" s="603"/>
      <c r="DS468" s="603"/>
      <c r="DT468" s="477"/>
      <c r="DU468" s="603"/>
      <c r="DV468" s="603"/>
      <c r="DW468" s="603"/>
      <c r="DX468" s="603"/>
      <c r="DY468" s="477"/>
      <c r="DZ468" s="603"/>
      <c r="EA468" s="603">
        <f>SUM(DZ466:EC466)</f>
      </c>
      <c r="EB468" s="603"/>
      <c r="EC468" s="603"/>
      <c r="ED468" s="477"/>
      <c r="EE468" s="603"/>
      <c r="EF468" s="603"/>
      <c r="EG468" s="603"/>
      <c r="EH468" s="603"/>
      <c r="EI468" s="477"/>
      <c r="EJ468" s="477"/>
      <c r="EK468" s="477"/>
      <c r="EL468" s="477"/>
      <c r="EM468" s="477"/>
      <c r="EN468" s="477"/>
      <c r="EO468" s="477"/>
      <c r="EP468" s="477"/>
      <c r="EQ468" s="477"/>
      <c r="ER468" s="477"/>
      <c r="ES468" s="477"/>
      <c r="ET468" s="477"/>
      <c r="EU468" s="477"/>
      <c r="EV468" s="477"/>
      <c r="EW468" s="477"/>
      <c r="EX468" s="477"/>
    </row>
    <row r="469" spans="1:154">
      <c r="B469" s="453" t="s">
        <v>929</v>
      </c>
      <c r="C469" s="1989"/>
      <c r="D469" s="28"/>
      <c r="E469" s="28"/>
      <c r="F469" s="28"/>
      <c r="G469" s="28"/>
      <c r="H469" s="28"/>
      <c r="I469" s="31"/>
      <c r="J469" s="28"/>
      <c r="K469" s="28"/>
      <c r="L469" s="28"/>
      <c r="M469" s="28"/>
      <c r="N469" s="31"/>
      <c r="O469" s="31"/>
      <c r="P469" s="31"/>
      <c r="Q469" s="31"/>
      <c r="R469" s="31"/>
      <c r="S469" s="31"/>
      <c r="T469" s="31"/>
      <c r="U469" s="31"/>
      <c r="V469" s="31"/>
      <c r="W469" s="31"/>
      <c r="X469" s="313"/>
      <c r="Y469" s="31"/>
      <c r="Z469" s="31"/>
      <c r="AA469" s="31"/>
      <c r="AB469" s="31"/>
      <c r="AC469" s="313"/>
      <c r="AD469" s="31"/>
      <c r="AE469" s="31"/>
      <c r="AF469" s="31"/>
      <c r="AG469" s="31"/>
      <c r="AH469" s="313"/>
      <c r="AI469" s="28"/>
      <c r="AJ469" s="28"/>
      <c r="AK469" s="28"/>
      <c r="AL469" s="31"/>
      <c r="AM469" s="313"/>
      <c r="AN469" s="28"/>
      <c r="AO469" s="28"/>
      <c r="AP469" s="28"/>
      <c r="AQ469" s="31"/>
      <c r="AR469" s="313"/>
      <c r="AS469" s="28"/>
      <c r="AT469" s="28"/>
      <c r="AU469" s="28"/>
      <c r="AV469" s="31"/>
      <c r="AW469" s="313"/>
      <c r="AX469" s="28"/>
      <c r="AY469" s="28"/>
      <c r="AZ469" s="28"/>
      <c r="BA469" s="28"/>
      <c r="BB469" s="313"/>
      <c r="BC469" s="31"/>
      <c r="BD469" s="31"/>
      <c r="BE469" s="31"/>
      <c r="BF469" s="31"/>
      <c r="BG469" s="313"/>
      <c r="BH469" s="31"/>
      <c r="BI469" s="31"/>
      <c r="BJ469" s="31"/>
      <c r="BK469" s="31"/>
      <c r="BL469" s="313"/>
      <c r="BM469" s="31"/>
      <c r="BN469" s="31"/>
      <c r="BO469" s="31"/>
      <c r="BP469" s="31"/>
      <c r="BQ469" s="313"/>
      <c r="BR469" s="31"/>
      <c r="BS469" s="31"/>
      <c r="BT469" s="31"/>
      <c r="BU469" s="31"/>
      <c r="BV469" s="313"/>
      <c r="BW469" s="31"/>
      <c r="BX469" s="31"/>
      <c r="BY469" s="31"/>
      <c r="BZ469" s="31"/>
      <c r="CA469" s="313"/>
      <c r="CB469" s="31"/>
      <c r="CC469" s="31"/>
      <c r="CD469" s="31"/>
      <c r="CE469" s="31"/>
      <c r="CF469" s="313"/>
      <c r="CG469" s="31"/>
      <c r="CH469" s="31"/>
      <c r="CI469" s="31"/>
      <c r="CJ469" s="31"/>
      <c r="CK469" s="313"/>
      <c r="CL469" s="957"/>
      <c r="CM469" s="31"/>
      <c r="CN469" s="31"/>
      <c r="CO469" s="31"/>
      <c r="CP469" s="957"/>
      <c r="CQ469" s="31"/>
      <c r="CR469" s="31"/>
      <c r="CS469" s="31"/>
      <c r="CT469" s="31"/>
      <c r="CU469" s="313"/>
      <c r="CV469" s="31"/>
      <c r="CW469" s="31"/>
      <c r="CX469" s="31"/>
      <c r="CY469" s="31"/>
      <c r="CZ469" s="313"/>
      <c r="DA469" s="31"/>
      <c r="DB469" s="31"/>
      <c r="DC469" s="31"/>
      <c r="DD469" s="31"/>
      <c r="DE469" s="477"/>
      <c r="DF469" s="603"/>
      <c r="DG469" s="603"/>
      <c r="DH469" s="603"/>
      <c r="DI469" s="1822"/>
      <c r="DJ469" s="1811"/>
      <c r="DK469" s="1822"/>
      <c r="DL469" s="603"/>
      <c r="DM469" s="603"/>
      <c r="DN469" s="603"/>
      <c r="DO469" s="477"/>
      <c r="DP469" s="603"/>
      <c r="DQ469" s="603"/>
      <c r="DR469" s="603"/>
      <c r="DS469" s="603"/>
      <c r="DT469" s="477"/>
      <c r="DU469" s="603"/>
      <c r="DV469" s="603"/>
      <c r="DW469" s="603"/>
      <c r="DX469" s="603"/>
      <c r="DY469" s="477"/>
      <c r="DZ469" s="603"/>
      <c r="EA469" s="603"/>
      <c r="EB469" s="603"/>
      <c r="EC469" s="603"/>
      <c r="ED469" s="477"/>
      <c r="EE469" s="603"/>
      <c r="EF469" s="603"/>
      <c r="EG469" s="603"/>
      <c r="EH469" s="603"/>
      <c r="EI469" s="477"/>
      <c r="EJ469" s="477"/>
      <c r="EK469" s="477"/>
      <c r="EL469" s="477"/>
      <c r="EM469" s="477"/>
      <c r="EN469" s="477"/>
      <c r="EO469" s="477"/>
      <c r="EP469" s="477"/>
      <c r="EQ469" s="477"/>
      <c r="ER469" s="477"/>
      <c r="ES469" s="477"/>
      <c r="ET469" s="477"/>
      <c r="EU469" s="477"/>
      <c r="EV469" s="477"/>
      <c r="EW469" s="477"/>
      <c r="EX469" s="477"/>
    </row>
    <row r="470" spans="1:154">
      <c r="B470" s="454" t="s">
        <v>921</v>
      </c>
      <c r="C470" s="1989"/>
      <c r="D470" s="28"/>
      <c r="E470" s="28"/>
      <c r="F470" s="28"/>
      <c r="G470" s="28"/>
      <c r="H470" s="28"/>
      <c r="I470" s="30"/>
      <c r="J470" s="30"/>
      <c r="K470" s="30"/>
      <c r="L470" s="30"/>
      <c r="M470" s="30"/>
      <c r="N470" s="30"/>
      <c r="O470" s="30"/>
      <c r="P470" s="30"/>
      <c r="Q470" s="30"/>
      <c r="R470" s="30"/>
      <c r="S470" s="30"/>
      <c r="T470" s="30"/>
      <c r="U470" s="30"/>
      <c r="V470" s="30"/>
      <c r="W470" s="30"/>
      <c r="X470" s="308"/>
      <c r="Y470" s="30"/>
      <c r="Z470" s="30"/>
      <c r="AA470" s="30"/>
      <c r="AB470" s="30"/>
      <c r="AC470" s="308"/>
      <c r="AD470" s="30" t="str">
        <f t="shared" ref="AD470:AM471" si="1222">IF(Y465="NM","NM",IF(AD465="NM","NM",IF(Y465&lt;=0,"NM",IF(AD465=0,"NM",IF(ABS(AD465/Y465-1)&gt;2.5,"NM",IF((ABS(AD465-Y465)=ABS(ABS(AD465)-ABS(Y465))),(AD465/Y465-1),"NM"))))))</f>
      </c>
      <c r="AE470" s="30" t="str">
        <f t="shared" si="1222"/>
      </c>
      <c r="AF470" s="30" t="str">
        <f t="shared" si="1222"/>
      </c>
      <c r="AG470" s="30" t="str">
        <f t="shared" si="1222"/>
      </c>
      <c r="AH470" s="308" t="str">
        <f t="shared" si="1222"/>
      </c>
      <c r="AI470" s="30" t="str">
        <f t="shared" si="1222"/>
      </c>
      <c r="AJ470" s="30" t="str">
        <f t="shared" si="1222"/>
      </c>
      <c r="AK470" s="30" t="str">
        <f t="shared" si="1222"/>
      </c>
      <c r="AL470" s="30" t="str">
        <f t="shared" si="1222"/>
      </c>
      <c r="AM470" s="308" t="str">
        <f t="shared" si="1222"/>
      </c>
      <c r="AN470" s="30" t="str">
        <f t="shared" ref="AN470:AW471" si="1223">IF(AI465="NM","NM",IF(AN465="NM","NM",IF(AI465&lt;=0,"NM",IF(AN465=0,"NM",IF(ABS(AN465/AI465-1)&gt;2.5,"NM",IF((ABS(AN465-AI465)=ABS(ABS(AN465)-ABS(AI465))),(AN465/AI465-1),"NM"))))))</f>
      </c>
      <c r="AO470" s="30" t="str">
        <f t="shared" si="1223"/>
      </c>
      <c r="AP470" s="30" t="str">
        <f t="shared" si="1223"/>
      </c>
      <c r="AQ470" s="30" t="str">
        <f t="shared" si="1223"/>
      </c>
      <c r="AR470" s="308" t="str">
        <f t="shared" si="1223"/>
      </c>
      <c r="AS470" s="30" t="str">
        <f t="shared" si="1223"/>
      </c>
      <c r="AT470" s="30" t="str">
        <f t="shared" si="1223"/>
      </c>
      <c r="AU470" s="30" t="str">
        <f t="shared" si="1223"/>
      </c>
      <c r="AV470" s="30" t="str">
        <f t="shared" si="1223"/>
      </c>
      <c r="AW470" s="308" t="str">
        <f t="shared" si="1223"/>
      </c>
      <c r="AX470" s="30" t="str">
        <f t="shared" ref="AX470:BG471" si="1224">IF(AS465="NM","NM",IF(AX465="NM","NM",IF(AS465&lt;=0,"NM",IF(AX465=0,"NM",IF(ABS(AX465/AS465-1)&gt;2.5,"NM",IF((ABS(AX465-AS465)=ABS(ABS(AX465)-ABS(AS465))),(AX465/AS465-1),"NM"))))))</f>
      </c>
      <c r="AY470" s="30" t="str">
        <f t="shared" si="1224"/>
      </c>
      <c r="AZ470" s="30">
        <f t="shared" si="1224"/>
      </c>
      <c r="BA470" s="30" t="str">
        <f t="shared" si="1224"/>
      </c>
      <c r="BB470" s="308">
        <f t="shared" si="1224"/>
      </c>
      <c r="BC470" s="30" t="str">
        <f t="shared" si="1224"/>
      </c>
      <c r="BD470" s="30" t="str">
        <f t="shared" si="1224"/>
      </c>
      <c r="BE470" s="30" t="str">
        <f t="shared" si="1224"/>
      </c>
      <c r="BF470" s="30" t="str">
        <f t="shared" si="1224"/>
      </c>
      <c r="BG470" s="308" t="str">
        <f t="shared" si="1224"/>
      </c>
      <c r="BH470" s="30" t="str">
        <f t="shared" ref="BH470:BQ471" si="1225">IF(BC465="NM","NM",IF(BH465="NM","NM",IF(BC465&lt;=0,"NM",IF(BH465=0,"NM",IF(ABS(BH465/BC465-1)&gt;2.5,"NM",IF((ABS(BH465-BC465)=ABS(ABS(BH465)-ABS(BC465))),(BH465/BC465-1),"NM"))))))</f>
      </c>
      <c r="BI470" s="30" t="str">
        <f t="shared" si="1225"/>
      </c>
      <c r="BJ470" s="30" t="str">
        <f t="shared" si="1225"/>
      </c>
      <c r="BK470" s="30" t="str">
        <f t="shared" si="1225"/>
      </c>
      <c r="BL470" s="308" t="str">
        <f t="shared" si="1225"/>
      </c>
      <c r="BM470" s="30">
        <f t="shared" si="1225"/>
      </c>
      <c r="BN470" s="30">
        <f t="shared" si="1225"/>
      </c>
      <c r="BO470" s="30">
        <f t="shared" si="1225"/>
      </c>
      <c r="BP470" s="30">
        <f t="shared" si="1225"/>
      </c>
      <c r="BQ470" s="308">
        <f t="shared" si="1225"/>
      </c>
      <c r="BR470" s="30">
        <f t="shared" ref="BR470:BV471" si="1226">IF(BM465="NM","NM",IF(BR465="NM","NM",IF(BM465&lt;=0,"NM",IF(BR465=0,"NM",IF(ABS(BR465/BM465-1)&gt;2.5,"NM",IF((ABS(BR465-BM465)=ABS(ABS(BR465)-ABS(BM465))),(BR465/BM465-1),"NM"))))))</f>
      </c>
      <c r="BS470" s="30">
        <f t="shared" si="1226"/>
      </c>
      <c r="BT470" s="30">
        <f t="shared" si="1226"/>
      </c>
      <c r="BU470" s="30">
        <f t="shared" si="1226"/>
      </c>
      <c r="BV470" s="308">
        <f t="shared" si="1226"/>
      </c>
      <c r="BW470" s="30">
        <f t="shared" ref="BW470:CA471" si="1227">IF(BR465="NM","NM",IF(BW465="NM","NM",IF(BR465&lt;=0,"NM",IF(BW465=0,"NM",IF(ABS(BW465/BR465-1)&gt;2.5,"NM",IF((ABS(BW465-BR465)=ABS(ABS(BW465)-ABS(BR465))),(BW465/BR465-1),"NM"))))))</f>
      </c>
      <c r="BX470" s="30">
        <f t="shared" si="1227"/>
      </c>
      <c r="BY470" s="30">
        <f t="shared" si="1227"/>
      </c>
      <c r="BZ470" s="30">
        <f t="shared" si="1227"/>
      </c>
      <c r="CA470" s="308">
        <f t="shared" si="1227"/>
      </c>
      <c r="CB470" s="30">
        <f t="shared" ref="CB470:CI471" si="1228">IF(BW465="NM","NM",IF(CB465="NM","NM",IF(BW465&lt;=0,"NM",IF(CB465=0,"NM",IF(ABS(CB465/BW465-1)&gt;2.5,"NM",IF((ABS(CB465-BW465)=ABS(ABS(CB465)-ABS(BW465))),(CB465/BW465-1),"NM"))))))</f>
      </c>
      <c r="CC470" s="30">
        <f t="shared" si="1228"/>
      </c>
      <c r="CD470" s="30">
        <f t="shared" si="1228"/>
      </c>
      <c r="CE470" s="30">
        <f t="shared" si="1228"/>
      </c>
      <c r="CF470" s="308">
        <f>IF(CA465="NM","NM",IF(CF465="NM","NM",IF(CA465&lt;=0,"NM",IF(CF465=0,"NM",IF(ABS(CF465/CA465-1)&gt;2.5,"NM",IF((ABS(CF465-CA465)=ABS(ABS(CF465)-ABS(CA465))),(CF465/CA465-1),"NM"))))))</f>
      </c>
      <c r="CG470" s="30">
        <f t="shared" si="1228"/>
      </c>
      <c r="CH470" s="30">
        <f t="shared" si="1228"/>
      </c>
      <c r="CI470" s="30">
        <f t="shared" si="1228"/>
      </c>
      <c r="CJ470" s="30">
        <f>IF(CE465=0, "NA", CJ465/CE465-1)</f>
      </c>
      <c r="CK470" s="308">
        <f>IF(CF465=0, "NA", CK465/CF465-1)</f>
      </c>
      <c r="CL470" s="30">
        <f t="shared" ref="CL470:CN471" si="1229">IF(CG465="NM","NM",IF(CL465="NM","NM",IF(CG465&lt;=0,"NM",IF(CL465=0,"NM",IF(ABS(CL465/CG465-1)&gt;2.5,"NM",IF((ABS(CL465-CG465)=ABS(ABS(CL465)-ABS(CG465))),(CL465/CG465-1),"NM"))))))</f>
      </c>
      <c r="CM470" s="30">
        <f t="shared" si="1229"/>
      </c>
      <c r="CN470" s="30">
        <f t="shared" si="1229"/>
      </c>
      <c r="CO470" s="30">
        <f t="shared" ref="CO470:CU471" si="1230">IF(CJ465=0, "NA", CO465/CJ465-1)</f>
      </c>
      <c r="CP470" s="308">
        <f t="shared" si="1230"/>
      </c>
      <c r="CQ470" s="926">
        <f t="shared" si="1230"/>
      </c>
      <c r="CR470" s="926">
        <f t="shared" si="1230"/>
      </c>
      <c r="CS470" s="926">
        <f t="shared" si="1230"/>
      </c>
      <c r="CT470" s="926">
        <f t="shared" si="1230"/>
      </c>
      <c r="CU470" s="308">
        <f t="shared" si="1230"/>
      </c>
      <c r="CV470" s="926">
        <f t="shared" ref="CV470:CX471" si="1231">IF(CQ465=0, "NA", CV465/CQ465-1)</f>
      </c>
      <c r="CW470" s="926">
        <f t="shared" si="1231"/>
      </c>
      <c r="CX470" s="926">
        <f t="shared" si="1231"/>
      </c>
      <c r="CY470" s="926">
        <f t="shared" ref="CY470:DH471" si="1232">IF(CT465=0, "NA", CY465/CT465-1)</f>
      </c>
      <c r="CZ470" s="308">
        <f t="shared" si="1232"/>
      </c>
      <c r="DA470" s="926">
        <f t="shared" si="1232"/>
      </c>
      <c r="DB470" s="926">
        <f t="shared" si="1232"/>
      </c>
      <c r="DC470" s="926">
        <f t="shared" si="1232"/>
      </c>
      <c r="DD470" s="926">
        <f t="shared" si="1232"/>
      </c>
      <c r="DE470" s="308">
        <f t="shared" si="1232"/>
      </c>
      <c r="DF470" s="926">
        <f t="shared" si="1232"/>
      </c>
      <c r="DG470" s="926">
        <f t="shared" si="1232"/>
      </c>
      <c r="DH470" s="926">
        <f t="shared" si="1232"/>
      </c>
      <c r="DI470" s="1219">
        <f t="shared" ref="DI470:DR471" si="1233">IF(DD465=0, "NA", DI465/DD465-1)</f>
      </c>
      <c r="DJ470" s="1233">
        <f t="shared" si="1233"/>
      </c>
      <c r="DK470" s="1219">
        <f t="shared" si="1233"/>
      </c>
      <c r="DL470" s="926">
        <f t="shared" si="1233"/>
      </c>
      <c r="DM470" s="926">
        <f t="shared" si="1233"/>
      </c>
      <c r="DN470" s="926">
        <f t="shared" si="1233"/>
      </c>
      <c r="DO470" s="308">
        <f t="shared" si="1233"/>
      </c>
      <c r="DP470" s="926">
        <f t="shared" si="1233"/>
      </c>
      <c r="DQ470" s="926">
        <f t="shared" si="1233"/>
      </c>
      <c r="DR470" s="926">
        <f t="shared" si="1233"/>
      </c>
      <c r="DS470" s="926">
        <f t="shared" ref="DS470:DX471" si="1234">IF(DN465=0, "NA", DS465/DN465-1)</f>
      </c>
      <c r="DT470" s="308">
        <f t="shared" si="1234"/>
      </c>
      <c r="DU470" s="926">
        <f t="shared" si="1234"/>
      </c>
      <c r="DV470" s="926">
        <f t="shared" si="1234"/>
      </c>
      <c r="DW470" s="926">
        <f t="shared" si="1234"/>
      </c>
      <c r="DX470" s="926">
        <f t="shared" si="1234"/>
      </c>
      <c r="DY470" s="308">
        <f t="shared" ref="DY470:EH471" si="1235">IF(DT465=0, "NA", DY465/DT465-1)</f>
      </c>
      <c r="DZ470" s="926">
        <f t="shared" si="1235"/>
      </c>
      <c r="EA470" s="926">
        <f t="shared" si="1235"/>
      </c>
      <c r="EB470" s="926">
        <f t="shared" si="1235"/>
      </c>
      <c r="EC470" s="926">
        <f t="shared" si="1235"/>
      </c>
      <c r="ED470" s="1060">
        <f t="shared" si="1235"/>
      </c>
      <c r="EE470" s="926">
        <f t="shared" si="1235"/>
      </c>
      <c r="EF470" s="926">
        <f t="shared" si="1235"/>
      </c>
      <c r="EG470" s="926">
        <f t="shared" si="1235"/>
      </c>
      <c r="EH470" s="926">
        <f t="shared" si="1235"/>
      </c>
      <c r="EI470" s="308">
        <f>IF(ED465=0, "NA", EI465/ED465-1)</f>
      </c>
      <c r="EJ470" s="308">
        <f t="shared" ref="EJ470:EO470" si="1236">IF(EI465=0, "NA", EJ465/EI465-1)</f>
      </c>
      <c r="EK470" s="308">
        <f t="shared" si="1236"/>
      </c>
      <c r="EL470" s="308">
        <f t="shared" si="1236"/>
      </c>
      <c r="EM470" s="308">
        <f t="shared" si="1236"/>
      </c>
      <c r="EN470" s="308">
        <f t="shared" si="1236"/>
      </c>
      <c r="EO470" s="308">
        <f t="shared" si="1236"/>
      </c>
      <c r="EP470" s="308">
        <f t="shared" ref="EP470:EP471" si="1237">IF(EO465=0, "NA", EP465/EO465-1)</f>
      </c>
      <c r="EQ470" s="308">
        <f t="shared" ref="EQ470:EQ471" si="1238">IF(EP465=0, "NA", EQ465/EP465-1)</f>
      </c>
      <c r="ER470" s="308">
        <f t="shared" ref="ER470:ER471" si="1239">IF(EQ465=0, "NA", ER465/EQ465-1)</f>
      </c>
      <c r="ES470" s="308">
        <f t="shared" ref="ES470:ES471" si="1240">IF(ER465=0, "NA", ES465/ER465-1)</f>
      </c>
      <c r="ET470" s="308">
        <f t="shared" ref="ET470:ET471" si="1241">IF(ES465=0, "NA", ET465/ES465-1)</f>
      </c>
      <c r="EU470" s="308">
        <f t="shared" ref="EU470:EU471" si="1242">IF(ET465=0, "NA", EU465/ET465-1)</f>
      </c>
      <c r="EV470" s="308">
        <f t="shared" ref="EV470:EV471" si="1243">IF(EU465=0, "NA", EV465/EU465-1)</f>
      </c>
      <c r="EW470" s="308">
        <f t="shared" ref="EW470:EW471" si="1244">IF(EV465=0, "NA", EW465/EV465-1)</f>
      </c>
      <c r="EX470" s="308"/>
    </row>
    <row r="471" spans="1:154">
      <c r="B471" s="454" t="s">
        <v>412</v>
      </c>
      <c r="C471" s="1989"/>
      <c r="D471" s="28"/>
      <c r="E471" s="28"/>
      <c r="F471" s="28"/>
      <c r="G471" s="28"/>
      <c r="H471" s="28"/>
      <c r="I471" s="30"/>
      <c r="J471" s="30"/>
      <c r="K471" s="30"/>
      <c r="L471" s="30"/>
      <c r="M471" s="30"/>
      <c r="N471" s="30"/>
      <c r="O471" s="30"/>
      <c r="P471" s="30"/>
      <c r="Q471" s="30"/>
      <c r="R471" s="30"/>
      <c r="S471" s="30"/>
      <c r="T471" s="30"/>
      <c r="U471" s="30"/>
      <c r="V471" s="30"/>
      <c r="W471" s="30"/>
      <c r="X471" s="308"/>
      <c r="Y471" s="30"/>
      <c r="Z471" s="30"/>
      <c r="AA471" s="30"/>
      <c r="AB471" s="30"/>
      <c r="AC471" s="308"/>
      <c r="AD471" s="30" t="str">
        <f t="shared" si="1222"/>
      </c>
      <c r="AE471" s="30" t="str">
        <f t="shared" si="1222"/>
      </c>
      <c r="AF471" s="30" t="str">
        <f t="shared" si="1222"/>
      </c>
      <c r="AG471" s="30" t="str">
        <f t="shared" si="1222"/>
      </c>
      <c r="AH471" s="308" t="str">
        <f t="shared" si="1222"/>
      </c>
      <c r="AI471" s="30" t="str">
        <f t="shared" si="1222"/>
      </c>
      <c r="AJ471" s="30" t="str">
        <f t="shared" si="1222"/>
      </c>
      <c r="AK471" s="30">
        <f t="shared" si="1222"/>
      </c>
      <c r="AL471" s="30">
        <f t="shared" si="1222"/>
      </c>
      <c r="AM471" s="308" t="str">
        <f t="shared" si="1222"/>
      </c>
      <c r="AN471" s="30">
        <f t="shared" si="1223"/>
      </c>
      <c r="AO471" s="30">
        <f t="shared" si="1223"/>
      </c>
      <c r="AP471" s="30">
        <f t="shared" si="1223"/>
      </c>
      <c r="AQ471" s="30">
        <f t="shared" si="1223"/>
      </c>
      <c r="AR471" s="308">
        <f t="shared" si="1223"/>
      </c>
      <c r="AS471" s="30">
        <f t="shared" si="1223"/>
      </c>
      <c r="AT471" s="30">
        <f t="shared" si="1223"/>
      </c>
      <c r="AU471" s="30">
        <f t="shared" si="1223"/>
      </c>
      <c r="AV471" s="30">
        <f t="shared" si="1223"/>
      </c>
      <c r="AW471" s="308">
        <f t="shared" si="1223"/>
      </c>
      <c r="AX471" s="30">
        <f t="shared" si="1224"/>
      </c>
      <c r="AY471" s="30">
        <f t="shared" si="1224"/>
      </c>
      <c r="AZ471" s="30">
        <f t="shared" si="1224"/>
      </c>
      <c r="BA471" s="30">
        <f t="shared" si="1224"/>
      </c>
      <c r="BB471" s="308">
        <f t="shared" si="1224"/>
      </c>
      <c r="BC471" s="30">
        <f t="shared" si="1224"/>
      </c>
      <c r="BD471" s="30">
        <f t="shared" si="1224"/>
      </c>
      <c r="BE471" s="30">
        <f t="shared" si="1224"/>
      </c>
      <c r="BF471" s="30">
        <f t="shared" si="1224"/>
      </c>
      <c r="BG471" s="308">
        <f t="shared" si="1224"/>
      </c>
      <c r="BH471" s="30">
        <f t="shared" si="1225"/>
      </c>
      <c r="BI471" s="30">
        <f t="shared" si="1225"/>
      </c>
      <c r="BJ471" s="30">
        <f t="shared" si="1225"/>
      </c>
      <c r="BK471" s="30">
        <f t="shared" si="1225"/>
      </c>
      <c r="BL471" s="308">
        <f t="shared" si="1225"/>
      </c>
      <c r="BM471" s="30">
        <f t="shared" si="1225"/>
      </c>
      <c r="BN471" s="30">
        <f t="shared" si="1225"/>
      </c>
      <c r="BO471" s="30">
        <f t="shared" si="1225"/>
      </c>
      <c r="BP471" s="30">
        <f t="shared" si="1225"/>
      </c>
      <c r="BQ471" s="308">
        <f t="shared" si="1225"/>
      </c>
      <c r="BR471" s="30">
        <f t="shared" si="1226"/>
      </c>
      <c r="BS471" s="30">
        <f t="shared" si="1226"/>
      </c>
      <c r="BT471" s="30">
        <f t="shared" si="1226"/>
      </c>
      <c r="BU471" s="30">
        <f t="shared" si="1226"/>
      </c>
      <c r="BV471" s="308">
        <f t="shared" si="1226"/>
      </c>
      <c r="BW471" s="30">
        <f t="shared" si="1227"/>
      </c>
      <c r="BX471" s="30">
        <f t="shared" si="1227"/>
      </c>
      <c r="BY471" s="30">
        <f t="shared" si="1227"/>
      </c>
      <c r="BZ471" s="30">
        <f t="shared" si="1227"/>
      </c>
      <c r="CA471" s="308">
        <f t="shared" si="1227"/>
      </c>
      <c r="CB471" s="30">
        <f t="shared" si="1228"/>
      </c>
      <c r="CC471" s="30">
        <f t="shared" si="1228"/>
      </c>
      <c r="CD471" s="30">
        <f t="shared" si="1228"/>
      </c>
      <c r="CE471" s="30">
        <f t="shared" si="1228"/>
      </c>
      <c r="CF471" s="308">
        <f>IF(CA466="NM","NM",IF(CF466="NM","NM",IF(CA466&lt;=0,"NM",IF(CF466=0,"NM",IF(ABS(CF466/CA466-1)&gt;2.5,"NM",IF((ABS(CF466-CA466)=ABS(ABS(CF466)-ABS(CA466))),(CF466/CA466-1),"NM"))))))</f>
      </c>
      <c r="CG471" s="30">
        <f t="shared" si="1228"/>
      </c>
      <c r="CH471" s="30">
        <f t="shared" si="1228"/>
      </c>
      <c r="CI471" s="30">
        <f t="shared" si="1228"/>
      </c>
      <c r="CJ471" s="30">
        <f>IF(CE466=0, "NA", CJ466/CE466-1)</f>
      </c>
      <c r="CK471" s="308">
        <f>IF(CF466=0, "NA", CK466/CF466-1)</f>
      </c>
      <c r="CL471" s="30">
        <f t="shared" si="1229"/>
      </c>
      <c r="CM471" s="30">
        <f t="shared" si="1229"/>
      </c>
      <c r="CN471" s="30">
        <f t="shared" si="1229"/>
      </c>
      <c r="CO471" s="30">
        <f t="shared" si="1230"/>
      </c>
      <c r="CP471" s="308">
        <f t="shared" si="1230"/>
      </c>
      <c r="CQ471" s="926">
        <f t="shared" si="1230"/>
      </c>
      <c r="CR471" s="926">
        <f t="shared" si="1230"/>
      </c>
      <c r="CS471" s="926">
        <f t="shared" si="1230"/>
      </c>
      <c r="CT471" s="926">
        <f t="shared" si="1230"/>
      </c>
      <c r="CU471" s="308">
        <f t="shared" si="1230"/>
      </c>
      <c r="CV471" s="926">
        <f t="shared" si="1231"/>
      </c>
      <c r="CW471" s="926">
        <f t="shared" si="1231"/>
      </c>
      <c r="CX471" s="926">
        <f t="shared" si="1231"/>
      </c>
      <c r="CY471" s="926">
        <f t="shared" si="1232"/>
      </c>
      <c r="CZ471" s="308">
        <f t="shared" si="1232"/>
      </c>
      <c r="DA471" s="926">
        <f t="shared" si="1232"/>
      </c>
      <c r="DB471" s="926">
        <f t="shared" si="1232"/>
      </c>
      <c r="DC471" s="926">
        <f t="shared" si="1232"/>
      </c>
      <c r="DD471" s="926">
        <f t="shared" si="1232"/>
      </c>
      <c r="DE471" s="308">
        <f t="shared" si="1232"/>
      </c>
      <c r="DF471" s="926">
        <f t="shared" si="1232"/>
      </c>
      <c r="DG471" s="926">
        <f t="shared" si="1232"/>
      </c>
      <c r="DH471" s="926">
        <f t="shared" si="1232"/>
      </c>
      <c r="DI471" s="1219">
        <f t="shared" si="1233"/>
      </c>
      <c r="DJ471" s="1233">
        <f t="shared" si="1233"/>
      </c>
      <c r="DK471" s="1219">
        <f t="shared" si="1233"/>
      </c>
      <c r="DL471" s="926">
        <f t="shared" si="1233"/>
      </c>
      <c r="DM471" s="926">
        <f t="shared" si="1233"/>
      </c>
      <c r="DN471" s="926">
        <f t="shared" si="1233"/>
      </c>
      <c r="DO471" s="308">
        <f t="shared" si="1233"/>
      </c>
      <c r="DP471" s="926">
        <f t="shared" si="1233"/>
      </c>
      <c r="DQ471" s="926">
        <f t="shared" si="1233"/>
      </c>
      <c r="DR471" s="926">
        <f t="shared" si="1233"/>
      </c>
      <c r="DS471" s="926">
        <f t="shared" si="1234"/>
      </c>
      <c r="DT471" s="308">
        <f t="shared" si="1234"/>
      </c>
      <c r="DU471" s="926">
        <f t="shared" si="1234"/>
      </c>
      <c r="DV471" s="926">
        <f t="shared" si="1234"/>
      </c>
      <c r="DW471" s="926">
        <f t="shared" si="1234"/>
      </c>
      <c r="DX471" s="926">
        <f t="shared" si="1234"/>
      </c>
      <c r="DY471" s="308">
        <f t="shared" si="1235"/>
      </c>
      <c r="DZ471" s="926">
        <f t="shared" si="1235"/>
      </c>
      <c r="EA471" s="926">
        <f t="shared" si="1235"/>
      </c>
      <c r="EB471" s="926">
        <f t="shared" si="1235"/>
      </c>
      <c r="EC471" s="926">
        <f t="shared" si="1235"/>
      </c>
      <c r="ED471" s="1060">
        <f t="shared" si="1235"/>
      </c>
      <c r="EE471" s="926">
        <f t="shared" si="1235"/>
      </c>
      <c r="EF471" s="926">
        <f t="shared" si="1235"/>
      </c>
      <c r="EG471" s="926">
        <f t="shared" si="1235"/>
      </c>
      <c r="EH471" s="926">
        <f t="shared" si="1235"/>
      </c>
      <c r="EI471" s="308">
        <f>IF(ED466=0, "NA", EI466/ED466-1)</f>
      </c>
      <c r="EJ471" s="308">
        <f t="shared" ref="EJ471:EO471" si="1245">IF(EI466=0, "NA", EJ466/EI466-1)</f>
      </c>
      <c r="EK471" s="308">
        <f t="shared" si="1245"/>
      </c>
      <c r="EL471" s="308">
        <f t="shared" si="1245"/>
      </c>
      <c r="EM471" s="308">
        <f t="shared" si="1245"/>
      </c>
      <c r="EN471" s="308">
        <f t="shared" si="1245"/>
      </c>
      <c r="EO471" s="308">
        <f t="shared" si="1245"/>
      </c>
      <c r="EP471" s="308">
        <f t="shared" si="1237"/>
      </c>
      <c r="EQ471" s="308">
        <f t="shared" si="1238"/>
      </c>
      <c r="ER471" s="308">
        <f t="shared" si="1239"/>
      </c>
      <c r="ES471" s="308">
        <f t="shared" si="1240"/>
      </c>
      <c r="ET471" s="308">
        <f t="shared" si="1241"/>
      </c>
      <c r="EU471" s="308">
        <f t="shared" si="1242"/>
      </c>
      <c r="EV471" s="308">
        <f t="shared" si="1243"/>
      </c>
      <c r="EW471" s="308">
        <f t="shared" si="1244"/>
      </c>
      <c r="EX471" s="308"/>
    </row>
    <row r="472" spans="1:154">
      <c r="B472" s="454" t="s">
        <v>256</v>
      </c>
      <c r="C472" s="1989"/>
      <c r="D472" s="28"/>
      <c r="E472" s="28"/>
      <c r="F472" s="28"/>
      <c r="G472" s="28"/>
      <c r="H472" s="28"/>
      <c r="I472" s="1"/>
      <c r="J472" s="1"/>
      <c r="K472" s="1"/>
      <c r="L472" s="1"/>
      <c r="M472" s="1"/>
      <c r="N472" s="1"/>
      <c r="O472" s="1"/>
      <c r="P472" s="1"/>
      <c r="Q472" s="1"/>
      <c r="R472" s="1"/>
      <c r="S472" s="1"/>
      <c r="T472" s="1"/>
      <c r="U472" s="1"/>
      <c r="V472" s="1"/>
      <c r="W472" s="1"/>
      <c r="X472" s="315"/>
      <c r="Y472" s="1"/>
      <c r="Z472" s="1"/>
      <c r="AA472" s="1"/>
      <c r="AB472" s="1"/>
      <c r="AC472" s="315"/>
      <c r="AD472" s="1"/>
      <c r="AE472" s="1"/>
      <c r="AF472" s="1"/>
      <c r="AG472" s="1"/>
      <c r="AH472" s="315"/>
      <c r="AI472" s="8" t="str">
        <f t="shared" ref="AI472:BR472" si="1246">IF(ISNUMBER(AI471),(1+AI471)/(1+AI$21)-1,"NM")</f>
      </c>
      <c r="AJ472" s="8" t="str">
        <f t="shared" si="1246"/>
      </c>
      <c r="AK472" s="8">
        <f t="shared" si="1246"/>
      </c>
      <c r="AL472" s="8">
        <f t="shared" si="1246"/>
      </c>
      <c r="AM472" s="315" t="str">
        <f t="shared" si="1246"/>
      </c>
      <c r="AN472" s="8">
        <f t="shared" si="1246"/>
      </c>
      <c r="AO472" s="8">
        <f t="shared" si="1246"/>
      </c>
      <c r="AP472" s="8">
        <f t="shared" si="1246"/>
      </c>
      <c r="AQ472" s="8">
        <f t="shared" si="1246"/>
      </c>
      <c r="AR472" s="315">
        <f t="shared" si="1246"/>
      </c>
      <c r="AS472" s="8">
        <f t="shared" si="1246"/>
      </c>
      <c r="AT472" s="8">
        <f t="shared" si="1246"/>
      </c>
      <c r="AU472" s="8">
        <f t="shared" si="1246"/>
      </c>
      <c r="AV472" s="8">
        <f t="shared" si="1246"/>
      </c>
      <c r="AW472" s="315">
        <f t="shared" si="1246"/>
      </c>
      <c r="AX472" s="8">
        <f t="shared" si="1246"/>
      </c>
      <c r="AY472" s="8">
        <f t="shared" si="1246"/>
      </c>
      <c r="AZ472" s="8">
        <f t="shared" si="1246"/>
      </c>
      <c r="BA472" s="8">
        <f t="shared" si="1246"/>
      </c>
      <c r="BB472" s="315">
        <f t="shared" si="1246"/>
      </c>
      <c r="BC472" s="8">
        <f t="shared" si="1246"/>
      </c>
      <c r="BD472" s="8">
        <f t="shared" si="1246"/>
      </c>
      <c r="BE472" s="8">
        <f t="shared" si="1246"/>
      </c>
      <c r="BF472" s="8">
        <f t="shared" si="1246"/>
      </c>
      <c r="BG472" s="315">
        <f t="shared" si="1246"/>
      </c>
      <c r="BH472" s="8">
        <f t="shared" si="1246"/>
      </c>
      <c r="BI472" s="8">
        <f t="shared" si="1246"/>
      </c>
      <c r="BJ472" s="8">
        <f t="shared" si="1246"/>
      </c>
      <c r="BK472" s="8">
        <f t="shared" si="1246"/>
      </c>
      <c r="BL472" s="315">
        <f t="shared" si="1246"/>
      </c>
      <c r="BM472" s="8">
        <f t="shared" si="1246"/>
      </c>
      <c r="BN472" s="8">
        <f t="shared" si="1246"/>
      </c>
      <c r="BO472" s="8">
        <f t="shared" si="1246"/>
      </c>
      <c r="BP472" s="8">
        <f t="shared" si="1246"/>
      </c>
      <c r="BQ472" s="315">
        <f t="shared" si="1246"/>
      </c>
      <c r="BR472" s="8">
        <f t="shared" si="1246"/>
      </c>
      <c r="BS472" s="407">
        <v>0.112</v>
      </c>
      <c r="BT472" s="407">
        <v>0.27300000000000002</v>
      </c>
      <c r="BU472" s="407">
        <v>0.497</v>
      </c>
      <c r="BV472" s="315">
        <f>IF(ISNUMBER(BV471),(1+BV471)/(1+BV$21)-1,"NM")</f>
      </c>
      <c r="BW472" s="407">
        <v>0.23899999999999999</v>
      </c>
      <c r="BX472" s="407">
        <v>0.48099999999999998</v>
      </c>
      <c r="BY472" s="407">
        <v>0.57099999999999995</v>
      </c>
      <c r="BZ472" s="407">
        <v>0.32900000000000001</v>
      </c>
      <c r="CA472" s="406">
        <v>0.39700000000000002</v>
      </c>
      <c r="CB472" s="407">
        <v>0.33400000000000002</v>
      </c>
      <c r="CC472" s="407">
        <v>0.216</v>
      </c>
      <c r="CD472" s="407">
        <v>8.3000000000000004E-2</v>
      </c>
      <c r="CE472" s="407">
        <v>6.7000000000000004E-2</v>
      </c>
      <c r="CF472" s="406">
        <v>0.16</v>
      </c>
      <c r="CG472" s="407">
        <v>0.157</v>
      </c>
      <c r="CH472" s="407">
        <v>0.128</v>
      </c>
      <c r="CI472" s="407">
        <v>0.14299999999999999</v>
      </c>
      <c r="CJ472" s="407">
        <v>6.5000000000000002E-2</v>
      </c>
      <c r="CK472" s="315">
        <f>CK471-CK$21</f>
      </c>
      <c r="CL472" s="407">
        <v>9.8000000000000004E-2</v>
      </c>
      <c r="CM472" s="407">
        <v>0.17100000000000001</v>
      </c>
      <c r="CN472" s="407">
        <v>0.154</v>
      </c>
      <c r="CO472" s="407">
        <v>8.1000000000000003E-2</v>
      </c>
      <c r="CP472" s="315">
        <f>CP471-CP$21</f>
      </c>
      <c r="CQ472" s="407">
        <v>0.183</v>
      </c>
      <c r="CR472" s="407">
        <v>0.17</v>
      </c>
      <c r="CS472" s="407">
        <v>0.152</v>
      </c>
      <c r="CT472" s="407">
        <v>0.26</v>
      </c>
      <c r="CU472" s="315">
        <f>CU471-CU$21</f>
      </c>
      <c r="CV472" s="407">
        <v>0.34499999999999997</v>
      </c>
      <c r="CW472" s="407">
        <v>0.27200000000000002</v>
      </c>
      <c r="CX472" s="407">
        <v>0.312</v>
      </c>
      <c r="CY472" s="407">
        <v>0.29199999999999998</v>
      </c>
      <c r="CZ472" s="315">
        <f>CZ471-CZ$21</f>
      </c>
      <c r="DA472" s="407">
        <v>0.80100000000000005</v>
      </c>
      <c r="DB472" s="407">
        <v>0.30499999999999999</v>
      </c>
      <c r="DC472" s="407">
        <v>0.22900000000000001</v>
      </c>
      <c r="DD472" s="407">
        <v>0.122</v>
      </c>
      <c r="DE472" s="308">
        <f t="shared" ref="DE472:EI472" si="1247">DE471-DE$21</f>
      </c>
      <c r="DF472" s="926">
        <f t="shared" si="1247"/>
      </c>
      <c r="DG472" s="926">
        <f t="shared" si="1247"/>
      </c>
      <c r="DH472" s="926">
        <f t="shared" si="1247"/>
      </c>
      <c r="DI472" s="1219">
        <f t="shared" si="1247"/>
      </c>
      <c r="DJ472" s="1233">
        <f t="shared" si="1247"/>
      </c>
      <c r="DK472" s="1219">
        <f t="shared" si="1247"/>
      </c>
      <c r="DL472" s="926">
        <f t="shared" si="1247"/>
      </c>
      <c r="DM472" s="926">
        <f t="shared" si="1247"/>
      </c>
      <c r="DN472" s="926">
        <f t="shared" si="1247"/>
      </c>
      <c r="DO472" s="308">
        <f t="shared" si="1247"/>
      </c>
      <c r="DP472" s="926">
        <f t="shared" si="1247"/>
      </c>
      <c r="DQ472" s="926">
        <f t="shared" si="1247"/>
      </c>
      <c r="DR472" s="926">
        <f t="shared" si="1247"/>
      </c>
      <c r="DS472" s="926">
        <f t="shared" si="1247"/>
      </c>
      <c r="DT472" s="308">
        <f t="shared" si="1247"/>
      </c>
      <c r="DU472" s="926">
        <f>DU471-(-6%)</f>
      </c>
      <c r="DV472" s="926">
        <f>DV471-(-1.5%)</f>
      </c>
      <c r="DW472" s="926">
        <f>DW471-(2%)</f>
      </c>
      <c r="DX472" s="926">
        <f>DX471-(0.8%)</f>
      </c>
      <c r="DY472" s="308">
        <f t="shared" si="1247"/>
      </c>
      <c r="DZ472" s="926">
        <f>DZ471-(-3.3%)</f>
      </c>
      <c r="EA472" s="926">
        <f>EA471-EA$21</f>
      </c>
      <c r="EB472" s="926">
        <f>EB471-(-3.4%)</f>
      </c>
      <c r="EC472" s="926">
        <f>EC471-(-4.5%)</f>
      </c>
      <c r="ED472" s="1060">
        <f t="shared" ref="ED472" si="1248">ED471-ED$21</f>
      </c>
      <c r="EE472" s="926">
        <f>EE471-(-3.3%)</f>
      </c>
      <c r="EF472" s="926">
        <f>EF471-3.6%</f>
      </c>
      <c r="EG472" s="926">
        <f>EG471-(-3.4%)</f>
      </c>
      <c r="EH472" s="926">
        <f>EH471-EH$21</f>
      </c>
      <c r="EI472" s="308">
        <f t="shared" si="1247"/>
      </c>
      <c r="EJ472" s="308">
        <f t="shared" ref="EJ472:EO472" si="1249">EJ471-EJ$21</f>
      </c>
      <c r="EK472" s="308">
        <f t="shared" si="1249"/>
      </c>
      <c r="EL472" s="308">
        <f t="shared" si="1249"/>
      </c>
      <c r="EM472" s="308">
        <f t="shared" si="1249"/>
      </c>
      <c r="EN472" s="308">
        <f t="shared" si="1249"/>
      </c>
      <c r="EO472" s="308">
        <f t="shared" si="1249"/>
      </c>
      <c r="EP472" s="308">
        <f t="shared" ref="EP472:EW472" si="1250">EP471-EP$21</f>
      </c>
      <c r="EQ472" s="308">
        <f t="shared" si="1250"/>
      </c>
      <c r="ER472" s="308">
        <f t="shared" si="1250"/>
      </c>
      <c r="ES472" s="308">
        <f t="shared" si="1250"/>
      </c>
      <c r="ET472" s="308">
        <f t="shared" si="1250"/>
      </c>
      <c r="EU472" s="308">
        <f t="shared" si="1250"/>
      </c>
      <c r="EV472" s="308">
        <f t="shared" si="1250"/>
      </c>
      <c r="EW472" s="308">
        <f t="shared" si="1250"/>
      </c>
      <c r="EX472" s="308"/>
    </row>
    <row r="473" spans="1:154">
      <c r="B473" s="454" t="s">
        <v>413</v>
      </c>
      <c r="C473" s="1989"/>
      <c r="D473" s="28"/>
      <c r="E473" s="28"/>
      <c r="F473" s="28"/>
      <c r="G473" s="28"/>
      <c r="H473" s="28"/>
      <c r="I473" s="30"/>
      <c r="J473" s="30"/>
      <c r="K473" s="30"/>
      <c r="L473" s="30"/>
      <c r="M473" s="30"/>
      <c r="N473" s="30"/>
      <c r="O473" s="30"/>
      <c r="P473" s="30"/>
      <c r="Q473" s="30"/>
      <c r="R473" s="30"/>
      <c r="S473" s="30"/>
      <c r="T473" s="30"/>
      <c r="U473" s="30"/>
      <c r="V473" s="30"/>
      <c r="W473" s="30"/>
      <c r="X473" s="308"/>
      <c r="Y473" s="30"/>
      <c r="Z473" s="30"/>
      <c r="AA473" s="30"/>
      <c r="AB473" s="30"/>
      <c r="AC473" s="308"/>
      <c r="AD473" s="30" t="str">
        <f t="shared" ref="AD473:BI473" si="1251">IF(Y467="NM","NM",IF(AD467="NM","NM",IF(Y467&lt;=0,"NM",IF(AD467=0,"NM",IF(ABS(AD467/Y467-1)&gt;2.5,"NM",IF((ABS(AD467-Y467)=ABS(ABS(AD467)-ABS(Y467))),(AD467/Y467-1),"NM"))))))</f>
      </c>
      <c r="AE473" s="30" t="str">
        <f t="shared" si="1251"/>
      </c>
      <c r="AF473" s="30" t="str">
        <f t="shared" si="1251"/>
      </c>
      <c r="AG473" s="30" t="str">
        <f t="shared" si="1251"/>
      </c>
      <c r="AH473" s="308" t="str">
        <f t="shared" si="1251"/>
      </c>
      <c r="AI473" s="30" t="str">
        <f t="shared" si="1251"/>
      </c>
      <c r="AJ473" s="30" t="str">
        <f t="shared" si="1251"/>
      </c>
      <c r="AK473" s="30">
        <f t="shared" si="1251"/>
      </c>
      <c r="AL473" s="30">
        <f t="shared" si="1251"/>
      </c>
      <c r="AM473" s="308" t="str">
        <f t="shared" si="1251"/>
      </c>
      <c r="AN473" s="30">
        <f t="shared" si="1251"/>
      </c>
      <c r="AO473" s="30">
        <f t="shared" si="1251"/>
      </c>
      <c r="AP473" s="30">
        <f t="shared" si="1251"/>
      </c>
      <c r="AQ473" s="30">
        <f t="shared" si="1251"/>
      </c>
      <c r="AR473" s="308">
        <f t="shared" si="1251"/>
      </c>
      <c r="AS473" s="30">
        <f t="shared" si="1251"/>
      </c>
      <c r="AT473" s="30">
        <f t="shared" si="1251"/>
      </c>
      <c r="AU473" s="30">
        <f t="shared" si="1251"/>
      </c>
      <c r="AV473" s="30">
        <f t="shared" si="1251"/>
      </c>
      <c r="AW473" s="308">
        <f t="shared" si="1251"/>
      </c>
      <c r="AX473" s="30">
        <f t="shared" si="1251"/>
      </c>
      <c r="AY473" s="30">
        <f t="shared" si="1251"/>
      </c>
      <c r="AZ473" s="30">
        <f t="shared" si="1251"/>
      </c>
      <c r="BA473" s="30">
        <f t="shared" si="1251"/>
      </c>
      <c r="BB473" s="308">
        <f t="shared" si="1251"/>
      </c>
      <c r="BC473" s="30">
        <f t="shared" si="1251"/>
      </c>
      <c r="BD473" s="30">
        <f t="shared" si="1251"/>
      </c>
      <c r="BE473" s="30">
        <f t="shared" si="1251"/>
      </c>
      <c r="BF473" s="30">
        <f t="shared" si="1251"/>
      </c>
      <c r="BG473" s="308">
        <f t="shared" si="1251"/>
      </c>
      <c r="BH473" s="30">
        <f t="shared" si="1251"/>
      </c>
      <c r="BI473" s="30">
        <f t="shared" si="1251"/>
      </c>
      <c r="BJ473" s="30">
        <f t="shared" ref="BJ473:CG473" si="1252">IF(BE467="NM","NM",IF(BJ467="NM","NM",IF(BE467&lt;=0,"NM",IF(BJ467=0,"NM",IF(ABS(BJ467/BE467-1)&gt;2.5,"NM",IF((ABS(BJ467-BE467)=ABS(ABS(BJ467)-ABS(BE467))),(BJ467/BE467-1),"NM"))))))</f>
      </c>
      <c r="BK473" s="30">
        <f t="shared" si="1252"/>
      </c>
      <c r="BL473" s="308">
        <f t="shared" si="1252"/>
      </c>
      <c r="BM473" s="30">
        <f t="shared" si="1252"/>
      </c>
      <c r="BN473" s="30">
        <f t="shared" si="1252"/>
      </c>
      <c r="BO473" s="30">
        <f t="shared" si="1252"/>
      </c>
      <c r="BP473" s="30">
        <f t="shared" si="1252"/>
      </c>
      <c r="BQ473" s="308">
        <f t="shared" si="1252"/>
      </c>
      <c r="BR473" s="30">
        <f t="shared" si="1252"/>
      </c>
      <c r="BS473" s="30">
        <f t="shared" si="1252"/>
      </c>
      <c r="BT473" s="30">
        <f t="shared" si="1252"/>
      </c>
      <c r="BU473" s="30">
        <f t="shared" si="1252"/>
      </c>
      <c r="BV473" s="308">
        <f t="shared" si="1252"/>
      </c>
      <c r="BW473" s="30">
        <f t="shared" si="1252"/>
      </c>
      <c r="BX473" s="30">
        <f t="shared" si="1252"/>
      </c>
      <c r="BY473" s="30">
        <f t="shared" si="1252"/>
      </c>
      <c r="BZ473" s="30">
        <f t="shared" si="1252"/>
      </c>
      <c r="CA473" s="308">
        <f t="shared" si="1252"/>
      </c>
      <c r="CB473" s="30">
        <f t="shared" si="1252"/>
      </c>
      <c r="CC473" s="30">
        <f t="shared" si="1252"/>
      </c>
      <c r="CD473" s="30">
        <f t="shared" si="1252"/>
      </c>
      <c r="CE473" s="30">
        <f t="shared" si="1252"/>
      </c>
      <c r="CF473" s="308">
        <f t="shared" si="1252"/>
      </c>
      <c r="CG473" s="30">
        <f t="shared" si="1252"/>
      </c>
      <c r="CH473" s="30">
        <f>IF(CC467="NM","NM",IF(CH467="NM","NM",IF(CC467&lt;=0,"NM",IF(CH467=0,"NM",IF(ABS(CH467/CC467-1)&gt;2.5,"NM",IF((ABS(CH467-CC467)=ABS(ABS(CH467)-ABS(CC467))),(CH467/CC467-1),"NM"))))))</f>
      </c>
      <c r="CI473" s="30">
        <f>IF(CD467="NM","NM",IF(CI467="NM","NM",IF(CD467&lt;=0,"NM",IF(CI467=0,"NM",IF(ABS(CI467/CD467-1)&gt;2.5,"NM",IF((ABS(CI467-CD467)=ABS(ABS(CI467)-ABS(CD467))),(CI467/CD467-1),"NM"))))))</f>
      </c>
      <c r="CJ473" s="30">
        <f>IF(CE467=0, "NA", CJ467/CE467-1)</f>
      </c>
      <c r="CK473" s="308">
        <f>IF(CF467=0, "NA", CK467/CF467-1)</f>
      </c>
      <c r="CL473" s="30">
        <f>IF(CG467="NM","NM",IF(CL467="NM","NM",IF(CG467&lt;=0,"NM",IF(CL467=0,"NM",IF(ABS(CL467/CG467-1)&gt;2.5,"NM",IF((ABS(CL467-CG467)=ABS(ABS(CL467)-ABS(CG467))),(CL467/CG467-1),"NM"))))))</f>
      </c>
      <c r="CM473" s="30">
        <f>IF(CH467="NM","NM",IF(CM467="NM","NM",IF(CH467&lt;=0,"NM",IF(CM467=0,"NM",IF(ABS(CM467/CH467-1)&gt;2.5,"NM",IF((ABS(CM467-CH467)=ABS(ABS(CM467)-ABS(CH467))),(CM467/CH467-1),"NM"))))))</f>
      </c>
      <c r="CN473" s="30">
        <f>IF(CI467="NM","NM",IF(CN467="NM","NM",IF(CI467&lt;=0,"NM",IF(CN467=0,"NM",IF(ABS(CN467/CI467-1)&gt;2.5,"NM",IF((ABS(CN467-CI467)=ABS(ABS(CN467)-ABS(CI467))),(CN467/CI467-1),"NM"))))))</f>
      </c>
      <c r="CO473" s="30">
        <f t="shared" ref="CO473:CX473" si="1253">IF(CJ467=0, "NA", CO467/CJ467-1)</f>
      </c>
      <c r="CP473" s="308">
        <f t="shared" si="1253"/>
      </c>
      <c r="CQ473" s="926">
        <f t="shared" si="1253"/>
      </c>
      <c r="CR473" s="926">
        <f t="shared" si="1253"/>
      </c>
      <c r="CS473" s="926">
        <f>IF(CN467=0, "NA", CS467/CN467-1)</f>
      </c>
      <c r="CT473" s="926">
        <f>IF(CO467=0, "NA", CT467/CO467-1)</f>
      </c>
      <c r="CU473" s="308">
        <f t="shared" si="1253"/>
      </c>
      <c r="CV473" s="926">
        <f t="shared" si="1253"/>
      </c>
      <c r="CW473" s="926">
        <f t="shared" si="1253"/>
      </c>
      <c r="CX473" s="926">
        <f t="shared" si="1253"/>
      </c>
      <c r="CY473" s="926">
        <f t="shared" ref="CY473:DX473" si="1254">IF(CT467=0, "NA", CY467/CT467-1)</f>
      </c>
      <c r="CZ473" s="308">
        <f t="shared" si="1254"/>
      </c>
      <c r="DA473" s="926">
        <f t="shared" si="1254"/>
      </c>
      <c r="DB473" s="926">
        <f t="shared" si="1254"/>
      </c>
      <c r="DC473" s="926">
        <f t="shared" si="1254"/>
      </c>
      <c r="DD473" s="926">
        <f t="shared" si="1254"/>
      </c>
      <c r="DE473" s="308">
        <f t="shared" si="1254"/>
      </c>
      <c r="DF473" s="926">
        <f t="shared" si="1254"/>
      </c>
      <c r="DG473" s="926">
        <f t="shared" si="1254"/>
      </c>
      <c r="DH473" s="926">
        <f t="shared" si="1254"/>
      </c>
      <c r="DI473" s="1219">
        <f t="shared" si="1254"/>
      </c>
      <c r="DJ473" s="1233">
        <f t="shared" si="1254"/>
      </c>
      <c r="DK473" s="1219">
        <f t="shared" si="1254"/>
      </c>
      <c r="DL473" s="926">
        <f t="shared" si="1254"/>
      </c>
      <c r="DM473" s="926">
        <f t="shared" si="1254"/>
      </c>
      <c r="DN473" s="926">
        <f t="shared" si="1254"/>
      </c>
      <c r="DO473" s="308">
        <f t="shared" si="1254"/>
      </c>
      <c r="DP473" s="926">
        <f t="shared" si="1254"/>
      </c>
      <c r="DQ473" s="926">
        <f t="shared" si="1254"/>
      </c>
      <c r="DR473" s="926">
        <f t="shared" si="1254"/>
      </c>
      <c r="DS473" s="926">
        <f t="shared" si="1254"/>
      </c>
      <c r="DT473" s="308">
        <f t="shared" si="1254"/>
      </c>
      <c r="DU473" s="926">
        <f t="shared" si="1254"/>
      </c>
      <c r="DV473" s="926">
        <f t="shared" si="1254"/>
      </c>
      <c r="DW473" s="926">
        <f t="shared" si="1254"/>
      </c>
      <c r="DX473" s="926">
        <f t="shared" si="1254"/>
      </c>
      <c r="DY473" s="308">
        <f t="shared" ref="DY473:EH473" si="1255">IF(DT467=0, "NA", DY467/DT467-1)</f>
      </c>
      <c r="DZ473" s="926">
        <f t="shared" si="1255"/>
      </c>
      <c r="EA473" s="926">
        <f t="shared" si="1255"/>
      </c>
      <c r="EB473" s="926">
        <f t="shared" si="1255"/>
      </c>
      <c r="EC473" s="926">
        <f t="shared" si="1255"/>
      </c>
      <c r="ED473" s="1060">
        <f t="shared" si="1255"/>
      </c>
      <c r="EE473" s="926">
        <f t="shared" si="1255"/>
      </c>
      <c r="EF473" s="926">
        <f t="shared" si="1255"/>
      </c>
      <c r="EG473" s="926">
        <f t="shared" si="1255"/>
      </c>
      <c r="EH473" s="926">
        <f t="shared" si="1255"/>
      </c>
      <c r="EI473" s="308">
        <f>IF(ED467=0, "NA", EI467/ED467-1)</f>
      </c>
      <c r="EJ473" s="308">
        <f t="shared" ref="EJ473:EO473" si="1256">IF(EI467=0, "NA", EJ467/EI467-1)</f>
      </c>
      <c r="EK473" s="308">
        <f t="shared" si="1256"/>
      </c>
      <c r="EL473" s="308">
        <f t="shared" si="1256"/>
      </c>
      <c r="EM473" s="308">
        <f t="shared" si="1256"/>
      </c>
      <c r="EN473" s="308">
        <f t="shared" si="1256"/>
      </c>
      <c r="EO473" s="308">
        <f t="shared" si="1256"/>
      </c>
      <c r="EP473" s="308">
        <f t="shared" ref="EP473" si="1257">IF(EO467=0, "NA", EP467/EO467-1)</f>
      </c>
      <c r="EQ473" s="308">
        <f t="shared" ref="EQ473" si="1258">IF(EP467=0, "NA", EQ467/EP467-1)</f>
      </c>
      <c r="ER473" s="308">
        <f t="shared" ref="ER473" si="1259">IF(EQ467=0, "NA", ER467/EQ467-1)</f>
      </c>
      <c r="ES473" s="308">
        <f t="shared" ref="ES473" si="1260">IF(ER467=0, "NA", ES467/ER467-1)</f>
      </c>
      <c r="ET473" s="308">
        <f t="shared" ref="ET473" si="1261">IF(ES467=0, "NA", ET467/ES467-1)</f>
      </c>
      <c r="EU473" s="308">
        <f t="shared" ref="EU473" si="1262">IF(ET467=0, "NA", EU467/ET467-1)</f>
      </c>
      <c r="EV473" s="308">
        <f t="shared" ref="EV473" si="1263">IF(EU467=0, "NA", EV467/EU467-1)</f>
      </c>
      <c r="EW473" s="308">
        <f t="shared" ref="EW473" si="1264">IF(EV467=0, "NA", EW467/EV467-1)</f>
      </c>
      <c r="EX473" s="308"/>
    </row>
    <row r="474" spans="1:154">
      <c r="B474" s="340"/>
      <c r="C474" s="1989"/>
      <c r="D474" s="28"/>
      <c r="E474" s="28"/>
      <c r="F474" s="28"/>
      <c r="G474" s="28"/>
      <c r="H474" s="28"/>
      <c r="I474" s="31"/>
      <c r="J474" s="28"/>
      <c r="K474" s="28"/>
      <c r="L474" s="28"/>
      <c r="M474" s="28"/>
      <c r="N474" s="31"/>
      <c r="O474" s="31"/>
      <c r="P474" s="31"/>
      <c r="Q474" s="31"/>
      <c r="R474" s="31"/>
      <c r="S474" s="31"/>
      <c r="T474" s="31"/>
      <c r="U474" s="31"/>
      <c r="V474" s="31"/>
      <c r="W474" s="31"/>
      <c r="X474" s="313"/>
      <c r="Y474" s="31"/>
      <c r="Z474" s="31"/>
      <c r="AA474" s="31"/>
      <c r="AB474" s="31"/>
      <c r="AC474" s="313"/>
      <c r="AD474" s="31"/>
      <c r="AE474" s="31"/>
      <c r="AF474" s="31"/>
      <c r="AG474" s="31"/>
      <c r="AH474" s="313"/>
      <c r="AI474" s="31"/>
      <c r="AJ474" s="31"/>
      <c r="AK474" s="31"/>
      <c r="AL474" s="31"/>
      <c r="AM474" s="313"/>
      <c r="AN474" s="31"/>
      <c r="AO474" s="31"/>
      <c r="AP474" s="31"/>
      <c r="AQ474" s="31"/>
      <c r="AR474" s="313"/>
      <c r="AS474" s="31"/>
      <c r="AT474" s="31"/>
      <c r="AU474" s="31"/>
      <c r="AV474" s="31"/>
      <c r="AW474" s="313"/>
      <c r="AX474" s="31"/>
      <c r="AY474" s="31"/>
      <c r="AZ474" s="31"/>
      <c r="BA474" s="31"/>
      <c r="BB474" s="313"/>
      <c r="BC474" s="31"/>
      <c r="BD474" s="31"/>
      <c r="BE474" s="31"/>
      <c r="BF474" s="31"/>
      <c r="BG474" s="313"/>
      <c r="BH474" s="31"/>
      <c r="BI474" s="31"/>
      <c r="BJ474" s="31"/>
      <c r="BK474" s="31"/>
      <c r="BL474" s="313"/>
      <c r="BM474" s="31"/>
      <c r="BN474" s="31"/>
      <c r="BO474" s="31"/>
      <c r="BP474" s="31"/>
      <c r="BQ474" s="313"/>
      <c r="BR474" s="31"/>
      <c r="BS474" s="31"/>
      <c r="BT474" s="31"/>
      <c r="BU474" s="31"/>
      <c r="BV474" s="313"/>
      <c r="BW474" s="31"/>
      <c r="BX474" s="31"/>
      <c r="BY474" s="31"/>
      <c r="BZ474" s="31"/>
      <c r="CA474" s="313"/>
      <c r="CB474" s="31"/>
      <c r="CC474" s="31"/>
      <c r="CD474" s="31"/>
      <c r="CE474" s="31"/>
      <c r="CF474" s="313"/>
      <c r="CG474" s="31"/>
      <c r="CH474" s="31"/>
      <c r="CI474" s="31"/>
      <c r="CJ474" s="31"/>
      <c r="CK474" s="313"/>
      <c r="CL474" s="957"/>
      <c r="CM474" s="31"/>
      <c r="CN474" s="31"/>
      <c r="CO474" s="31"/>
      <c r="CP474" s="313"/>
      <c r="CQ474" s="31"/>
      <c r="CR474" s="31"/>
      <c r="CS474" s="31"/>
      <c r="CT474" s="31"/>
      <c r="CU474" s="313"/>
      <c r="CV474" s="31"/>
      <c r="CW474" s="31"/>
      <c r="CX474" s="31"/>
      <c r="CY474" s="31"/>
      <c r="CZ474" s="313"/>
      <c r="DA474" s="31"/>
      <c r="DB474" s="31"/>
      <c r="DC474" s="31"/>
      <c r="DD474" s="955"/>
      <c r="DE474" s="477"/>
      <c r="DF474" s="603"/>
      <c r="DG474" s="603"/>
      <c r="DH474" s="603"/>
      <c r="DI474" s="1837"/>
      <c r="DJ474" s="1811"/>
      <c r="DK474" s="1822"/>
      <c r="DL474" s="603"/>
      <c r="DM474" s="603"/>
      <c r="DN474" s="1798"/>
      <c r="DO474" s="477"/>
      <c r="DP474" s="603"/>
      <c r="DQ474" s="603"/>
      <c r="DR474" s="603"/>
      <c r="DS474" s="1798"/>
      <c r="DT474" s="477"/>
      <c r="DU474" s="603"/>
      <c r="DV474" s="603"/>
      <c r="DW474" s="603"/>
      <c r="DX474" s="1798"/>
      <c r="DY474" s="477"/>
      <c r="DZ474" s="603"/>
      <c r="EA474" s="603"/>
      <c r="EB474" s="603"/>
      <c r="EC474" s="1798"/>
      <c r="ED474" s="477"/>
      <c r="EE474" s="603"/>
      <c r="EF474" s="603"/>
      <c r="EG474" s="603"/>
      <c r="EH474" s="1798"/>
      <c r="EI474" s="477"/>
      <c r="EJ474" s="477"/>
      <c r="EK474" s="477"/>
      <c r="EL474" s="477"/>
      <c r="EM474" s="477"/>
      <c r="EN474" s="477"/>
      <c r="EO474" s="477"/>
      <c r="EP474" s="477"/>
      <c r="EQ474" s="477"/>
      <c r="ER474" s="477"/>
      <c r="ES474" s="477"/>
      <c r="ET474" s="477"/>
      <c r="EU474" s="477"/>
      <c r="EV474" s="477"/>
      <c r="EW474" s="477"/>
      <c r="EX474" s="477"/>
    </row>
    <row r="475" spans="1:154" ht="12.75" hidden="1" customHeight="1" outlineLevel="1">
      <c r="B475" s="456" t="s">
        <v>18</v>
      </c>
      <c r="C475" s="1989"/>
      <c r="D475" s="28"/>
      <c r="E475" s="28"/>
      <c r="F475" s="28"/>
      <c r="G475" s="28"/>
      <c r="H475" s="28"/>
      <c r="I475" s="31"/>
      <c r="J475" s="28"/>
      <c r="K475" s="28"/>
      <c r="L475" s="28"/>
      <c r="M475" s="28"/>
      <c r="N475" s="31"/>
      <c r="O475" s="31"/>
      <c r="P475" s="31"/>
      <c r="Q475" s="31"/>
      <c r="R475" s="31"/>
      <c r="S475" s="31"/>
      <c r="T475" s="31"/>
      <c r="U475" s="31"/>
      <c r="V475" s="31"/>
      <c r="W475" s="31"/>
      <c r="X475" s="313"/>
      <c r="Y475" s="31"/>
      <c r="Z475" s="31"/>
      <c r="AA475" s="31"/>
      <c r="AB475" s="31"/>
      <c r="AC475" s="313"/>
      <c r="AD475" s="31"/>
      <c r="AE475" s="31"/>
      <c r="AF475" s="31"/>
      <c r="AG475" s="35"/>
      <c r="AH475" s="313"/>
      <c r="AI475" s="28"/>
      <c r="AJ475" s="28"/>
      <c r="AK475" s="28"/>
      <c r="AL475" s="28"/>
      <c r="AM475" s="313"/>
      <c r="AN475" s="28"/>
      <c r="AO475" s="28"/>
      <c r="AP475" s="28"/>
      <c r="AQ475" s="31"/>
      <c r="AR475" s="313"/>
      <c r="AS475" s="28"/>
      <c r="AT475" s="28"/>
      <c r="AU475" s="28"/>
      <c r="AV475" s="31"/>
      <c r="AW475" s="313"/>
      <c r="AX475" s="28"/>
      <c r="AY475" s="28"/>
      <c r="AZ475" s="28"/>
      <c r="BA475" s="28"/>
      <c r="BB475" s="313"/>
      <c r="BC475" s="28"/>
      <c r="BD475" s="28"/>
      <c r="BE475" s="28"/>
      <c r="BF475" s="28"/>
      <c r="BG475" s="313"/>
      <c r="BH475" s="28"/>
      <c r="BI475" s="28"/>
      <c r="BJ475" s="28"/>
      <c r="BK475" s="28"/>
      <c r="BL475" s="313"/>
      <c r="BM475" s="28"/>
      <c r="BN475" s="28"/>
      <c r="BO475" s="28"/>
      <c r="BP475" s="28"/>
      <c r="BQ475" s="313"/>
      <c r="BR475" s="28"/>
      <c r="BS475" s="28"/>
      <c r="BT475" s="28"/>
      <c r="BU475" s="28"/>
      <c r="BV475" s="313"/>
      <c r="BW475" s="28"/>
      <c r="BX475" s="28"/>
      <c r="BY475" s="28"/>
      <c r="BZ475" s="28"/>
      <c r="CA475" s="313"/>
      <c r="CB475" s="28"/>
      <c r="CC475" s="28"/>
      <c r="CD475" s="28"/>
      <c r="CE475" s="28"/>
      <c r="CF475" s="313"/>
      <c r="CG475" s="28"/>
      <c r="CH475" s="28"/>
      <c r="CI475" s="28"/>
      <c r="CJ475" s="28"/>
      <c r="CK475" s="313"/>
      <c r="CL475" s="961"/>
      <c r="CM475" s="933"/>
      <c r="CN475" s="28"/>
      <c r="CO475" s="28"/>
      <c r="CP475" s="313"/>
      <c r="CQ475" s="933"/>
      <c r="CR475" s="933"/>
      <c r="CS475" s="933"/>
      <c r="CT475" s="933"/>
      <c r="CU475" s="313"/>
      <c r="CV475" s="933"/>
      <c r="CW475" s="933"/>
      <c r="CX475" s="933"/>
      <c r="CY475" s="933"/>
      <c r="CZ475" s="313"/>
      <c r="DA475" s="933"/>
      <c r="DB475" s="31"/>
      <c r="DC475" s="31"/>
      <c r="DD475" s="955"/>
      <c r="DE475" s="477"/>
      <c r="DF475" s="982"/>
      <c r="DG475" s="603"/>
      <c r="DH475" s="603"/>
      <c r="DI475" s="1837"/>
      <c r="DJ475" s="1811"/>
      <c r="DK475" s="1842"/>
      <c r="DL475" s="603"/>
      <c r="DM475" s="603"/>
      <c r="DN475" s="1798"/>
      <c r="DO475" s="477"/>
      <c r="DP475" s="603"/>
      <c r="DQ475" s="603"/>
      <c r="DR475" s="603"/>
      <c r="DS475" s="1798"/>
      <c r="DT475" s="477"/>
      <c r="DU475" s="603"/>
      <c r="DV475" s="603"/>
      <c r="DW475" s="603"/>
      <c r="DX475" s="1798"/>
      <c r="DY475" s="477"/>
      <c r="DZ475" s="603"/>
      <c r="EA475" s="603"/>
      <c r="EB475" s="603"/>
      <c r="EC475" s="1798"/>
      <c r="ED475" s="477"/>
      <c r="EE475" s="603"/>
      <c r="EF475" s="603"/>
      <c r="EG475" s="603"/>
      <c r="EH475" s="1798"/>
      <c r="EI475" s="477"/>
      <c r="EJ475" s="477"/>
      <c r="EK475" s="477"/>
      <c r="EL475" s="477"/>
      <c r="EM475" s="477"/>
      <c r="EN475" s="477"/>
      <c r="EO475" s="477"/>
      <c r="EP475" s="477"/>
      <c r="EQ475" s="477"/>
      <c r="ER475" s="477"/>
      <c r="ES475" s="477"/>
      <c r="ET475" s="477"/>
      <c r="EU475" s="477"/>
      <c r="EV475" s="477"/>
      <c r="EW475" s="477"/>
      <c r="EX475" s="477"/>
    </row>
    <row r="476" spans="1:154" ht="12.75" hidden="1" customHeight="1" outlineLevel="1">
      <c r="B476" s="438" t="s">
        <v>187</v>
      </c>
      <c r="C476" s="1997">
        <v>41940</v>
      </c>
      <c r="D476" s="28"/>
      <c r="E476" s="28"/>
      <c r="F476" s="28"/>
      <c r="G476" s="28"/>
      <c r="H476" s="28"/>
      <c r="I476" s="31"/>
      <c r="J476" s="28"/>
      <c r="K476" s="28"/>
      <c r="L476" s="28"/>
      <c r="M476" s="28"/>
      <c r="N476" s="31"/>
      <c r="O476" s="31"/>
      <c r="P476" s="31"/>
      <c r="Q476" s="31"/>
      <c r="R476" s="31"/>
      <c r="S476" s="31"/>
      <c r="T476" s="31"/>
      <c r="U476" s="31"/>
      <c r="V476" s="31"/>
      <c r="W476" s="31"/>
      <c r="X476" s="320"/>
      <c r="Y476" s="31"/>
      <c r="Z476" s="31"/>
      <c r="AA476" s="31"/>
      <c r="AB476" s="31"/>
      <c r="AC476" s="320"/>
      <c r="AD476" s="31"/>
      <c r="AE476" s="31"/>
      <c r="AF476" s="31"/>
      <c r="AG476" s="35"/>
      <c r="AH476" s="320"/>
      <c r="AI476" s="28"/>
      <c r="AJ476" s="28"/>
      <c r="AK476" s="28"/>
      <c r="AL476" s="28"/>
      <c r="AM476" s="320"/>
      <c r="AN476" s="28"/>
      <c r="AO476" s="28"/>
      <c r="AP476" s="28"/>
      <c r="AQ476" s="31"/>
      <c r="AR476" s="320"/>
      <c r="AS476" s="28"/>
      <c r="AT476" s="28"/>
      <c r="AU476" s="28">
        <v>2</v>
      </c>
      <c r="AV476" s="31"/>
      <c r="AW476" s="320">
        <f>SUM(AS476:AV476)</f>
      </c>
      <c r="AX476" s="28"/>
      <c r="AY476" s="28"/>
      <c r="AZ476" s="33">
        <v>1</v>
      </c>
      <c r="BA476" s="33">
        <v>0</v>
      </c>
      <c r="BB476" s="320">
        <f>SUM(AX476:BA476)</f>
      </c>
      <c r="BC476" s="33">
        <v>0</v>
      </c>
      <c r="BD476" s="33">
        <v>0</v>
      </c>
      <c r="BE476" s="33">
        <v>0</v>
      </c>
      <c r="BF476" s="33">
        <v>0</v>
      </c>
      <c r="BG476" s="312">
        <f>SUM(BC476:BF476)</f>
      </c>
      <c r="BH476" s="33">
        <v>0</v>
      </c>
      <c r="BI476" s="33">
        <v>0</v>
      </c>
      <c r="BJ476" s="33">
        <v>0</v>
      </c>
      <c r="BK476" s="33">
        <v>0</v>
      </c>
      <c r="BL476" s="313">
        <f>+BG476*(1+BL481)</f>
      </c>
      <c r="BM476" s="33">
        <v>0</v>
      </c>
      <c r="BN476" s="33">
        <v>0</v>
      </c>
      <c r="BO476" s="33">
        <v>0</v>
      </c>
      <c r="BP476" s="33">
        <v>0</v>
      </c>
      <c r="BQ476" s="313">
        <f>+BL476*(1+BQ481)</f>
      </c>
      <c r="BR476" s="352">
        <v>0</v>
      </c>
      <c r="BS476" s="352">
        <v>0</v>
      </c>
      <c r="BT476" s="33">
        <v>0</v>
      </c>
      <c r="BU476" s="352">
        <v>0</v>
      </c>
      <c r="BV476" s="313">
        <f>+BQ476*(1+BV481)</f>
      </c>
      <c r="BW476" s="352">
        <v>0</v>
      </c>
      <c r="BX476" s="352">
        <v>0</v>
      </c>
      <c r="BY476" s="352">
        <v>0</v>
      </c>
      <c r="BZ476" s="352">
        <v>0</v>
      </c>
      <c r="CA476" s="313">
        <f>+BV476*(1+CA481)</f>
      </c>
      <c r="CB476" s="33">
        <v>0</v>
      </c>
      <c r="CC476" s="352">
        <v>0</v>
      </c>
      <c r="CD476" s="33">
        <v>0</v>
      </c>
      <c r="CE476" s="352">
        <v>0</v>
      </c>
      <c r="CF476" s="313">
        <f>+CA476*(1+CF481)</f>
      </c>
      <c r="CG476" s="352">
        <v>0</v>
      </c>
      <c r="CH476" s="352">
        <v>0</v>
      </c>
      <c r="CI476" s="33">
        <v>0</v>
      </c>
      <c r="CJ476" s="352">
        <v>0</v>
      </c>
      <c r="CK476" s="313">
        <f>+CF476*(1+CK481)</f>
      </c>
      <c r="CL476" s="352">
        <v>0</v>
      </c>
      <c r="CM476" s="352">
        <v>0</v>
      </c>
      <c r="CN476" s="33">
        <v>0</v>
      </c>
      <c r="CO476" s="352">
        <v>0</v>
      </c>
      <c r="CP476" s="313">
        <f>+CK476*(1+CP481)</f>
      </c>
      <c r="CQ476" s="33"/>
      <c r="CR476" s="33"/>
      <c r="CS476" s="33"/>
      <c r="CT476" s="352"/>
      <c r="CU476" s="313"/>
      <c r="CV476" s="33"/>
      <c r="CW476" s="33"/>
      <c r="CX476" s="33"/>
      <c r="CY476" s="352"/>
      <c r="CZ476" s="313"/>
      <c r="DA476" s="33"/>
      <c r="DB476" s="31"/>
      <c r="DC476" s="31"/>
      <c r="DD476" s="955"/>
      <c r="DE476" s="477"/>
      <c r="DF476" s="602"/>
      <c r="DG476" s="603"/>
      <c r="DH476" s="603"/>
      <c r="DI476" s="1837"/>
      <c r="DJ476" s="1811"/>
      <c r="DK476" s="1859"/>
      <c r="DL476" s="603"/>
      <c r="DM476" s="603"/>
      <c r="DN476" s="1798"/>
      <c r="DO476" s="477"/>
      <c r="DP476" s="603"/>
      <c r="DQ476" s="603"/>
      <c r="DR476" s="603"/>
      <c r="DS476" s="1798"/>
      <c r="DT476" s="477"/>
      <c r="DU476" s="603"/>
      <c r="DV476" s="603"/>
      <c r="DW476" s="603"/>
      <c r="DX476" s="1798"/>
      <c r="DY476" s="477"/>
      <c r="DZ476" s="603"/>
      <c r="EA476" s="603"/>
      <c r="EB476" s="603"/>
      <c r="EC476" s="1798"/>
      <c r="ED476" s="477"/>
      <c r="EE476" s="603"/>
      <c r="EF476" s="603"/>
      <c r="EG476" s="603"/>
      <c r="EH476" s="1798"/>
      <c r="EI476" s="477"/>
      <c r="EJ476" s="477"/>
      <c r="EK476" s="477"/>
      <c r="EL476" s="477"/>
      <c r="EM476" s="477"/>
      <c r="EN476" s="477"/>
      <c r="EO476" s="477"/>
      <c r="EP476" s="477"/>
      <c r="EQ476" s="477"/>
      <c r="ER476" s="477"/>
      <c r="ES476" s="477"/>
      <c r="ET476" s="477"/>
      <c r="EU476" s="477"/>
      <c r="EV476" s="477"/>
      <c r="EW476" s="477"/>
      <c r="EX476" s="477"/>
    </row>
    <row r="477" spans="1:154" ht="12.75" hidden="1" customHeight="1" outlineLevel="1">
      <c r="B477" s="438" t="s">
        <v>412</v>
      </c>
      <c r="C477" s="1997">
        <v>43556</v>
      </c>
      <c r="D477" s="33"/>
      <c r="E477" s="33"/>
      <c r="F477" s="33"/>
      <c r="G477" s="33"/>
      <c r="H477" s="33"/>
      <c r="I477" s="31"/>
      <c r="J477" s="33"/>
      <c r="K477" s="33"/>
      <c r="L477" s="33"/>
      <c r="M477" s="33"/>
      <c r="N477" s="31"/>
      <c r="O477" s="33"/>
      <c r="P477" s="33"/>
      <c r="Q477" s="33"/>
      <c r="R477" s="33"/>
      <c r="S477" s="31"/>
      <c r="T477" s="33"/>
      <c r="U477" s="33"/>
      <c r="V477" s="33"/>
      <c r="W477" s="33"/>
      <c r="X477" s="313"/>
      <c r="Y477" s="33"/>
      <c r="Z477" s="33"/>
      <c r="AA477" s="33"/>
      <c r="AB477" s="33"/>
      <c r="AC477" s="313"/>
      <c r="AD477" s="33">
        <v>1</v>
      </c>
      <c r="AE477" s="33">
        <v>5</v>
      </c>
      <c r="AF477" s="33">
        <v>15</v>
      </c>
      <c r="AG477" s="33">
        <v>25</v>
      </c>
      <c r="AH477" s="313">
        <f>SUM(AD477:AG477)</f>
      </c>
      <c r="AI477" s="33">
        <v>36</v>
      </c>
      <c r="AJ477" s="33">
        <v>40</v>
      </c>
      <c r="AK477" s="33">
        <v>47</v>
      </c>
      <c r="AL477" s="33">
        <v>52</v>
      </c>
      <c r="AM477" s="313">
        <f>+SUM(AI477:AL477)</f>
      </c>
      <c r="AN477" s="33">
        <v>62</v>
      </c>
      <c r="AO477" s="33">
        <v>62</v>
      </c>
      <c r="AP477" s="33">
        <v>80</v>
      </c>
      <c r="AQ477" s="33">
        <v>85</v>
      </c>
      <c r="AR477" s="313">
        <f>+SUM(AN477:AQ477)</f>
      </c>
      <c r="AS477" s="33">
        <v>110</v>
      </c>
      <c r="AT477" s="33">
        <v>125</v>
      </c>
      <c r="AU477" s="33">
        <v>128</v>
      </c>
      <c r="AV477" s="33">
        <v>140</v>
      </c>
      <c r="AW477" s="313">
        <f>SUM(AS477:AV477)</f>
      </c>
      <c r="AX477" s="33">
        <f>182+2</f>
      </c>
      <c r="AY477" s="33">
        <v>204</v>
      </c>
      <c r="AZ477" s="33">
        <v>189</v>
      </c>
      <c r="BA477" s="33">
        <v>208</v>
      </c>
      <c r="BB477" s="313">
        <f>SUM(AX477:BA477)</f>
      </c>
      <c r="BC477" s="33">
        <v>192</v>
      </c>
      <c r="BD477" s="33">
        <v>229</v>
      </c>
      <c r="BE477" s="33">
        <v>231</v>
      </c>
      <c r="BF477" s="33">
        <v>281</v>
      </c>
      <c r="BG477" s="312">
        <f>SUM(BC477:BF477)</f>
      </c>
      <c r="BH477" s="33">
        <v>261</v>
      </c>
      <c r="BI477" s="33">
        <v>286</v>
      </c>
      <c r="BJ477" s="33">
        <v>246</v>
      </c>
      <c r="BK477" s="33">
        <v>287</v>
      </c>
      <c r="BL477" s="313">
        <f>SUM(BH477:BK477)</f>
      </c>
      <c r="BM477" s="33">
        <v>280</v>
      </c>
      <c r="BN477" s="352">
        <v>347</v>
      </c>
      <c r="BO477" s="352">
        <v>295</v>
      </c>
      <c r="BP477" s="33">
        <v>352</v>
      </c>
      <c r="BQ477" s="313">
        <f>SUM(BM477:BP477)</f>
      </c>
      <c r="BR477" s="352">
        <v>353</v>
      </c>
      <c r="BS477" s="352">
        <v>318</v>
      </c>
      <c r="BT477" s="352">
        <v>327</v>
      </c>
      <c r="BU477" s="352">
        <v>502</v>
      </c>
      <c r="BV477" s="313">
        <f>SUM(BR477:BU477)</f>
      </c>
      <c r="BW477" s="352">
        <v>353</v>
      </c>
      <c r="BX477" s="352">
        <v>379</v>
      </c>
      <c r="BY477" s="352">
        <v>404</v>
      </c>
      <c r="BZ477" s="352">
        <v>524</v>
      </c>
      <c r="CA477" s="313">
        <f>SUM(BW477:BZ477)</f>
      </c>
      <c r="CB477" s="352">
        <v>408</v>
      </c>
      <c r="CC477" s="352">
        <v>403</v>
      </c>
      <c r="CD477" s="352">
        <v>389</v>
      </c>
      <c r="CE477" s="352">
        <v>418</v>
      </c>
      <c r="CF477" s="313">
        <f>SUM(CB477:CE477)</f>
      </c>
      <c r="CG477" s="352">
        <v>339</v>
      </c>
      <c r="CH477" s="352">
        <v>344</v>
      </c>
      <c r="CI477" s="352">
        <v>329</v>
      </c>
      <c r="CJ477" s="352">
        <v>321</v>
      </c>
      <c r="CK477" s="313">
        <f>SUM(CG477:CJ477)</f>
      </c>
      <c r="CL477" s="352">
        <v>304</v>
      </c>
      <c r="CM477" s="352">
        <v>342</v>
      </c>
      <c r="CN477" s="352">
        <v>304</v>
      </c>
      <c r="CO477" s="352">
        <v>274</v>
      </c>
      <c r="CP477" s="313">
        <f>SUM(CL477:CO477)</f>
      </c>
      <c r="CQ477" s="352"/>
      <c r="CR477" s="352"/>
      <c r="CS477" s="352"/>
      <c r="CT477" s="933"/>
      <c r="CU477" s="313"/>
      <c r="CV477" s="352"/>
      <c r="CW477" s="933"/>
      <c r="CX477" s="933"/>
      <c r="CY477" s="933"/>
      <c r="CZ477" s="313"/>
      <c r="DA477" s="352"/>
      <c r="DB477" s="31"/>
      <c r="DC477" s="31"/>
      <c r="DD477" s="955"/>
      <c r="DE477" s="477"/>
      <c r="DF477" s="1801"/>
      <c r="DG477" s="603"/>
      <c r="DH477" s="603"/>
      <c r="DI477" s="1837"/>
      <c r="DJ477" s="1811"/>
      <c r="DK477" s="1834"/>
      <c r="DL477" s="603"/>
      <c r="DM477" s="603"/>
      <c r="DN477" s="1798"/>
      <c r="DO477" s="477"/>
      <c r="DP477" s="603"/>
      <c r="DQ477" s="603"/>
      <c r="DR477" s="603"/>
      <c r="DS477" s="1798"/>
      <c r="DT477" s="477"/>
      <c r="DU477" s="603"/>
      <c r="DV477" s="603"/>
      <c r="DW477" s="603"/>
      <c r="DX477" s="1798"/>
      <c r="DY477" s="477"/>
      <c r="DZ477" s="603"/>
      <c r="EA477" s="603"/>
      <c r="EB477" s="603"/>
      <c r="EC477" s="1798"/>
      <c r="ED477" s="477"/>
      <c r="EE477" s="603"/>
      <c r="EF477" s="603"/>
      <c r="EG477" s="603"/>
      <c r="EH477" s="1798"/>
      <c r="EI477" s="477"/>
      <c r="EJ477" s="477"/>
      <c r="EK477" s="477"/>
      <c r="EL477" s="477"/>
      <c r="EM477" s="477"/>
      <c r="EN477" s="477"/>
      <c r="EO477" s="477"/>
      <c r="EP477" s="477"/>
      <c r="EQ477" s="477"/>
      <c r="ER477" s="477"/>
      <c r="ES477" s="477"/>
      <c r="ET477" s="477"/>
      <c r="EU477" s="477"/>
      <c r="EV477" s="477"/>
      <c r="EW477" s="477"/>
      <c r="EX477" s="477"/>
    </row>
    <row r="478" spans="1:154" ht="12.75" hidden="1" customHeight="1" outlineLevel="1">
      <c r="B478" s="438" t="s">
        <v>413</v>
      </c>
      <c r="C478" s="1989"/>
      <c r="D478" s="33"/>
      <c r="E478" s="33"/>
      <c r="F478" s="33"/>
      <c r="G478" s="33"/>
      <c r="H478" s="33"/>
      <c r="I478" s="28"/>
      <c r="J478" s="28"/>
      <c r="K478" s="28"/>
      <c r="L478" s="28"/>
      <c r="M478" s="28"/>
      <c r="N478" s="28"/>
      <c r="O478" s="28"/>
      <c r="P478" s="28"/>
      <c r="Q478" s="28"/>
      <c r="R478" s="28"/>
      <c r="S478" s="28"/>
      <c r="T478" s="28"/>
      <c r="U478" s="28"/>
      <c r="V478" s="28"/>
      <c r="W478" s="28"/>
      <c r="X478" s="312"/>
      <c r="Y478" s="28"/>
      <c r="Z478" s="28"/>
      <c r="AA478" s="28"/>
      <c r="AB478" s="28"/>
      <c r="AC478" s="312"/>
      <c r="AD478" s="28">
        <f t="shared" ref="AD478:BA478" si="1265">+AD477+AD476</f>
      </c>
      <c r="AE478" s="28">
        <f t="shared" si="1265"/>
      </c>
      <c r="AF478" s="28">
        <f t="shared" si="1265"/>
      </c>
      <c r="AG478" s="28">
        <f t="shared" si="1265"/>
      </c>
      <c r="AH478" s="312">
        <f t="shared" si="1265"/>
      </c>
      <c r="AI478" s="28">
        <f t="shared" si="1265"/>
      </c>
      <c r="AJ478" s="28">
        <f t="shared" si="1265"/>
      </c>
      <c r="AK478" s="28">
        <f t="shared" si="1265"/>
      </c>
      <c r="AL478" s="28">
        <f t="shared" si="1265"/>
      </c>
      <c r="AM478" s="312">
        <f t="shared" si="1265"/>
      </c>
      <c r="AN478" s="28">
        <f t="shared" si="1265"/>
      </c>
      <c r="AO478" s="28">
        <f t="shared" si="1265"/>
      </c>
      <c r="AP478" s="28">
        <f t="shared" si="1265"/>
      </c>
      <c r="AQ478" s="28">
        <f t="shared" si="1265"/>
      </c>
      <c r="AR478" s="312">
        <f t="shared" si="1265"/>
      </c>
      <c r="AS478" s="28">
        <f t="shared" si="1265"/>
      </c>
      <c r="AT478" s="28">
        <f t="shared" si="1265"/>
      </c>
      <c r="AU478" s="28">
        <f t="shared" si="1265"/>
      </c>
      <c r="AV478" s="28">
        <f t="shared" si="1265"/>
      </c>
      <c r="AW478" s="312">
        <f t="shared" si="1265"/>
      </c>
      <c r="AX478" s="28">
        <f t="shared" si="1265"/>
      </c>
      <c r="AY478" s="28">
        <f t="shared" si="1265"/>
      </c>
      <c r="AZ478" s="28">
        <f t="shared" si="1265"/>
      </c>
      <c r="BA478" s="28">
        <f t="shared" si="1265"/>
      </c>
      <c r="BB478" s="312">
        <f>+BB476+BB477</f>
      </c>
      <c r="BC478" s="28">
        <f t="shared" ref="BC478:BJ478" si="1266">+BC477+BC476</f>
      </c>
      <c r="BD478" s="28">
        <f t="shared" si="1266"/>
      </c>
      <c r="BE478" s="28">
        <f t="shared" si="1266"/>
      </c>
      <c r="BF478" s="28">
        <f t="shared" si="1266"/>
      </c>
      <c r="BG478" s="312">
        <f t="shared" si="1266"/>
      </c>
      <c r="BH478" s="28">
        <f t="shared" si="1266"/>
      </c>
      <c r="BI478" s="28">
        <f t="shared" si="1266"/>
      </c>
      <c r="BJ478" s="28">
        <f t="shared" si="1266"/>
      </c>
      <c r="BK478" s="28">
        <f>+BK476+BK477</f>
      </c>
      <c r="BL478" s="313">
        <f>SUM(BH478:BK478)</f>
      </c>
      <c r="BM478" s="28">
        <f>+BM477+BM476</f>
      </c>
      <c r="BN478" s="28">
        <f>+BN477+BN476</f>
      </c>
      <c r="BO478" s="28">
        <f>+BO477+BO476</f>
      </c>
      <c r="BP478" s="28">
        <f>+BP476+BP477</f>
      </c>
      <c r="BQ478" s="313">
        <f>SUM(BM478:BP478)</f>
      </c>
      <c r="BR478" s="28">
        <f>+BR477+BR476</f>
      </c>
      <c r="BS478" s="28">
        <f>+BS477+BS476</f>
      </c>
      <c r="BT478" s="28">
        <f>+BT477+BT476</f>
      </c>
      <c r="BU478" s="28">
        <f>+BU476+BU477</f>
      </c>
      <c r="BV478" s="313">
        <f>SUM(BR478:BU478)</f>
      </c>
      <c r="BW478" s="28">
        <f>+BW477+BW476</f>
      </c>
      <c r="BX478" s="28">
        <f>+BX477+BX476</f>
      </c>
      <c r="BY478" s="28">
        <f>+BY477+BY476</f>
      </c>
      <c r="BZ478" s="28">
        <f>+BZ477+BZ476</f>
      </c>
      <c r="CA478" s="313">
        <f>SUM(BW478:BZ478)</f>
      </c>
      <c r="CB478" s="28">
        <f>+CB477+CB476</f>
      </c>
      <c r="CC478" s="28">
        <f>+CC477+CC476</f>
      </c>
      <c r="CD478" s="28">
        <f>+CD477+CD476</f>
      </c>
      <c r="CE478" s="28">
        <f>+CE477+CE476</f>
      </c>
      <c r="CF478" s="313">
        <f>SUM(CB478:CE478)</f>
      </c>
      <c r="CG478" s="28">
        <f>+CG477+CG476</f>
      </c>
      <c r="CH478" s="28">
        <f>+CH477+CH476</f>
      </c>
      <c r="CI478" s="28">
        <f>+CI477+CI476</f>
      </c>
      <c r="CJ478" s="28">
        <f>+CJ477+CJ476</f>
      </c>
      <c r="CK478" s="313">
        <f>SUM(CG478:CJ478)</f>
      </c>
      <c r="CL478" s="28">
        <f>+CL477+CL476</f>
      </c>
      <c r="CM478" s="28">
        <f>+CM477+CM476</f>
      </c>
      <c r="CN478" s="28">
        <f>+CN477+CN476</f>
      </c>
      <c r="CO478" s="28">
        <f>+CO477+CO476</f>
      </c>
      <c r="CP478" s="313">
        <f>SUM(CL478:CO478)</f>
      </c>
      <c r="CQ478" s="933"/>
      <c r="CR478" s="933"/>
      <c r="CS478" s="933"/>
      <c r="CT478" s="933"/>
      <c r="CU478" s="313"/>
      <c r="CV478" s="933"/>
      <c r="CW478" s="933"/>
      <c r="CX478" s="933"/>
      <c r="CY478" s="933"/>
      <c r="CZ478" s="313"/>
      <c r="DA478" s="933"/>
      <c r="DB478" s="31"/>
      <c r="DC478" s="31"/>
      <c r="DD478" s="955"/>
      <c r="DE478" s="445"/>
      <c r="DF478" s="982"/>
      <c r="DG478" s="603"/>
      <c r="DH478" s="603"/>
      <c r="DI478" s="1837"/>
      <c r="DJ478" s="1830"/>
      <c r="DK478" s="1842"/>
      <c r="DL478" s="603"/>
      <c r="DM478" s="603"/>
      <c r="DN478" s="1798"/>
      <c r="DO478" s="445"/>
      <c r="DP478" s="603"/>
      <c r="DQ478" s="603"/>
      <c r="DR478" s="603"/>
      <c r="DS478" s="1798"/>
      <c r="DT478" s="445"/>
      <c r="DU478" s="603"/>
      <c r="DV478" s="603"/>
      <c r="DW478" s="603"/>
      <c r="DX478" s="1798"/>
      <c r="DY478" s="445"/>
      <c r="DZ478" s="603"/>
      <c r="EA478" s="603"/>
      <c r="EB478" s="603"/>
      <c r="EC478" s="1798"/>
      <c r="ED478" s="1866"/>
      <c r="EE478" s="603"/>
      <c r="EF478" s="603"/>
      <c r="EG478" s="603"/>
      <c r="EH478" s="1798"/>
      <c r="EI478" s="445"/>
      <c r="EJ478" s="445"/>
      <c r="EK478" s="445"/>
      <c r="EL478" s="445"/>
      <c r="EM478" s="445"/>
      <c r="EN478" s="445"/>
      <c r="EO478" s="445"/>
      <c r="EP478" s="445"/>
      <c r="EQ478" s="445"/>
      <c r="ER478" s="445"/>
      <c r="ES478" s="445"/>
      <c r="ET478" s="445"/>
      <c r="EU478" s="445"/>
      <c r="EV478" s="445"/>
      <c r="EW478" s="445"/>
      <c r="EX478" s="445"/>
    </row>
    <row r="479" spans="1:154" ht="12.75" hidden="1" customHeight="1" outlineLevel="1">
      <c r="B479" s="438"/>
      <c r="C479" s="1989"/>
      <c r="D479" s="33"/>
      <c r="E479" s="33"/>
      <c r="F479" s="33"/>
      <c r="G479" s="33"/>
      <c r="H479" s="33"/>
      <c r="I479" s="31"/>
      <c r="J479" s="33"/>
      <c r="K479" s="33"/>
      <c r="L479" s="33"/>
      <c r="M479" s="33"/>
      <c r="N479" s="31"/>
      <c r="O479" s="33"/>
      <c r="P479" s="33"/>
      <c r="Q479" s="33"/>
      <c r="R479" s="33"/>
      <c r="S479" s="31"/>
      <c r="T479" s="33"/>
      <c r="U479" s="33"/>
      <c r="V479" s="33"/>
      <c r="W479" s="33"/>
      <c r="X479" s="312"/>
      <c r="Y479" s="33"/>
      <c r="Z479" s="33"/>
      <c r="AA479" s="33"/>
      <c r="AB479" s="33"/>
      <c r="AC479" s="312"/>
      <c r="AD479" s="33"/>
      <c r="AE479" s="33"/>
      <c r="AF479" s="33"/>
      <c r="AG479" s="33"/>
      <c r="AH479" s="312"/>
      <c r="AI479" s="33"/>
      <c r="AJ479" s="33"/>
      <c r="AK479" s="33"/>
      <c r="AL479" s="33"/>
      <c r="AM479" s="312"/>
      <c r="AN479" s="33"/>
      <c r="AO479" s="33"/>
      <c r="AP479" s="33"/>
      <c r="AQ479" s="33"/>
      <c r="AR479" s="312"/>
      <c r="AS479" s="28"/>
      <c r="AT479" s="28"/>
      <c r="AU479" s="28"/>
      <c r="AV479" s="28"/>
      <c r="AW479" s="312"/>
      <c r="AX479" s="28"/>
      <c r="AY479" s="28"/>
      <c r="AZ479" s="28"/>
      <c r="BA479" s="28"/>
      <c r="BB479" s="312"/>
      <c r="BC479" s="28"/>
      <c r="BD479" s="28"/>
      <c r="BE479" s="28"/>
      <c r="BF479" s="28"/>
      <c r="BG479" s="312"/>
      <c r="BH479" s="28"/>
      <c r="BI479" s="28"/>
      <c r="BJ479" s="28"/>
      <c r="BK479" s="28"/>
      <c r="BL479" s="312"/>
      <c r="BM479" s="28"/>
      <c r="BN479" s="28"/>
      <c r="BO479" s="28"/>
      <c r="BP479" s="28"/>
      <c r="BQ479" s="312"/>
      <c r="BR479" s="28"/>
      <c r="BS479" s="28"/>
      <c r="BT479" s="28"/>
      <c r="BU479" s="28"/>
      <c r="BV479" s="312"/>
      <c r="BW479" s="28"/>
      <c r="BX479" s="28"/>
      <c r="BY479" s="28"/>
      <c r="BZ479" s="28"/>
      <c r="CA479" s="312"/>
      <c r="CB479" s="28"/>
      <c r="CC479" s="28"/>
      <c r="CD479" s="28"/>
      <c r="CE479" s="28"/>
      <c r="CF479" s="312"/>
      <c r="CG479" s="28"/>
      <c r="CH479" s="28"/>
      <c r="CI479" s="28"/>
      <c r="CJ479" s="28"/>
      <c r="CK479" s="312"/>
      <c r="CL479" s="961"/>
      <c r="CM479" s="933"/>
      <c r="CN479" s="933"/>
      <c r="CO479" s="28"/>
      <c r="CP479" s="312"/>
      <c r="CQ479" s="933"/>
      <c r="CR479" s="933"/>
      <c r="CS479" s="933"/>
      <c r="CT479" s="933"/>
      <c r="CU479" s="312"/>
      <c r="CV479" s="933"/>
      <c r="CW479" s="933"/>
      <c r="CX479" s="933"/>
      <c r="CY479" s="933"/>
      <c r="CZ479" s="312"/>
      <c r="DA479" s="933"/>
      <c r="DB479" s="31"/>
      <c r="DC479" s="31"/>
      <c r="DD479" s="955"/>
      <c r="DE479" s="445"/>
      <c r="DF479" s="982"/>
      <c r="DG479" s="603"/>
      <c r="DH479" s="603"/>
      <c r="DI479" s="1837"/>
      <c r="DJ479" s="1830"/>
      <c r="DK479" s="1842"/>
      <c r="DL479" s="603"/>
      <c r="DM479" s="603"/>
      <c r="DN479" s="1798"/>
      <c r="DO479" s="445"/>
      <c r="DP479" s="603"/>
      <c r="DQ479" s="603"/>
      <c r="DR479" s="603"/>
      <c r="DS479" s="1798"/>
      <c r="DT479" s="445"/>
      <c r="DU479" s="603"/>
      <c r="DV479" s="603"/>
      <c r="DW479" s="603"/>
      <c r="DX479" s="1798"/>
      <c r="DY479" s="445"/>
      <c r="DZ479" s="603"/>
      <c r="EA479" s="603"/>
      <c r="EB479" s="603"/>
      <c r="EC479" s="1798"/>
      <c r="ED479" s="1866"/>
      <c r="EE479" s="603"/>
      <c r="EF479" s="603"/>
      <c r="EG479" s="603"/>
      <c r="EH479" s="1798"/>
      <c r="EI479" s="445"/>
      <c r="EJ479" s="445"/>
      <c r="EK479" s="445"/>
      <c r="EL479" s="445"/>
      <c r="EM479" s="445"/>
      <c r="EN479" s="445"/>
      <c r="EO479" s="445"/>
      <c r="EP479" s="445"/>
      <c r="EQ479" s="445"/>
      <c r="ER479" s="445"/>
      <c r="ES479" s="445"/>
      <c r="ET479" s="445"/>
      <c r="EU479" s="445"/>
      <c r="EV479" s="445"/>
      <c r="EW479" s="445"/>
      <c r="EX479" s="445"/>
    </row>
    <row r="480" spans="1:154" ht="12.75" hidden="1" customHeight="1" outlineLevel="1">
      <c r="B480" s="455" t="s">
        <v>129</v>
      </c>
      <c r="C480" s="1989"/>
      <c r="D480" s="33"/>
      <c r="E480" s="33"/>
      <c r="F480" s="33"/>
      <c r="G480" s="33"/>
      <c r="H480" s="33"/>
      <c r="I480" s="31"/>
      <c r="J480" s="33"/>
      <c r="K480" s="33"/>
      <c r="L480" s="33"/>
      <c r="M480" s="33"/>
      <c r="N480" s="31"/>
      <c r="O480" s="33"/>
      <c r="P480" s="33"/>
      <c r="Q480" s="33"/>
      <c r="R480" s="33"/>
      <c r="S480" s="31"/>
      <c r="T480" s="33"/>
      <c r="U480" s="33"/>
      <c r="V480" s="33"/>
      <c r="W480" s="33"/>
      <c r="X480" s="312"/>
      <c r="Y480" s="33"/>
      <c r="Z480" s="33"/>
      <c r="AA480" s="33"/>
      <c r="AB480" s="33"/>
      <c r="AC480" s="312"/>
      <c r="AD480" s="33"/>
      <c r="AE480" s="33"/>
      <c r="AF480" s="33"/>
      <c r="AG480" s="33"/>
      <c r="AH480" s="312"/>
      <c r="AI480" s="33"/>
      <c r="AJ480" s="33"/>
      <c r="AK480" s="33"/>
      <c r="AL480" s="33"/>
      <c r="AM480" s="312"/>
      <c r="AN480" s="33"/>
      <c r="AO480" s="33"/>
      <c r="AP480" s="33"/>
      <c r="AQ480" s="33"/>
      <c r="AR480" s="312"/>
      <c r="AS480" s="28"/>
      <c r="AT480" s="28"/>
      <c r="AU480" s="28"/>
      <c r="AV480" s="28"/>
      <c r="AW480" s="312"/>
      <c r="AX480" s="28"/>
      <c r="AY480" s="28"/>
      <c r="AZ480" s="28"/>
      <c r="BA480" s="28"/>
      <c r="BB480" s="312"/>
      <c r="BC480" s="28"/>
      <c r="BD480" s="28"/>
      <c r="BE480" s="28"/>
      <c r="BF480" s="28"/>
      <c r="BG480" s="312"/>
      <c r="BH480" s="28"/>
      <c r="BI480" s="28"/>
      <c r="BJ480" s="28"/>
      <c r="BK480" s="28"/>
      <c r="BL480" s="312"/>
      <c r="BM480" s="28"/>
      <c r="BN480" s="28"/>
      <c r="BO480" s="28"/>
      <c r="BP480" s="28"/>
      <c r="BQ480" s="312"/>
      <c r="BR480" s="28"/>
      <c r="BS480" s="28"/>
      <c r="BT480" s="28"/>
      <c r="BU480" s="28"/>
      <c r="BV480" s="312"/>
      <c r="BW480" s="28"/>
      <c r="BX480" s="28"/>
      <c r="BY480" s="28"/>
      <c r="BZ480" s="28"/>
      <c r="CA480" s="312"/>
      <c r="CB480" s="28"/>
      <c r="CC480" s="28"/>
      <c r="CD480" s="28"/>
      <c r="CE480" s="28"/>
      <c r="CF480" s="312"/>
      <c r="CG480" s="28"/>
      <c r="CH480" s="28"/>
      <c r="CI480" s="28"/>
      <c r="CJ480" s="28"/>
      <c r="CK480" s="312"/>
      <c r="CL480" s="961"/>
      <c r="CM480" s="933"/>
      <c r="CN480" s="933"/>
      <c r="CO480" s="28"/>
      <c r="CP480" s="312"/>
      <c r="CQ480" s="933"/>
      <c r="CR480" s="933"/>
      <c r="CS480" s="933"/>
      <c r="CT480" s="933"/>
      <c r="CU480" s="312"/>
      <c r="CV480" s="933"/>
      <c r="CW480" s="933"/>
      <c r="CX480" s="933"/>
      <c r="CY480" s="933"/>
      <c r="CZ480" s="312"/>
      <c r="DA480" s="933"/>
      <c r="DB480" s="31"/>
      <c r="DC480" s="31"/>
      <c r="DD480" s="955"/>
      <c r="DE480" s="445"/>
      <c r="DF480" s="982"/>
      <c r="DG480" s="603"/>
      <c r="DH480" s="603"/>
      <c r="DI480" s="1837"/>
      <c r="DJ480" s="1830"/>
      <c r="DK480" s="1842"/>
      <c r="DL480" s="603"/>
      <c r="DM480" s="603"/>
      <c r="DN480" s="1798"/>
      <c r="DO480" s="445"/>
      <c r="DP480" s="603"/>
      <c r="DQ480" s="603"/>
      <c r="DR480" s="603"/>
      <c r="DS480" s="1798"/>
      <c r="DT480" s="445"/>
      <c r="DU480" s="603"/>
      <c r="DV480" s="603"/>
      <c r="DW480" s="603"/>
      <c r="DX480" s="1798"/>
      <c r="DY480" s="445"/>
      <c r="DZ480" s="603"/>
      <c r="EA480" s="603"/>
      <c r="EB480" s="603"/>
      <c r="EC480" s="1798"/>
      <c r="ED480" s="1866"/>
      <c r="EE480" s="603"/>
      <c r="EF480" s="603"/>
      <c r="EG480" s="603"/>
      <c r="EH480" s="1798"/>
      <c r="EI480" s="445"/>
      <c r="EJ480" s="445"/>
      <c r="EK480" s="445"/>
      <c r="EL480" s="445"/>
      <c r="EM480" s="445"/>
      <c r="EN480" s="445"/>
      <c r="EO480" s="445"/>
      <c r="EP480" s="445"/>
      <c r="EQ480" s="445"/>
      <c r="ER480" s="445"/>
      <c r="ES480" s="445"/>
      <c r="ET480" s="445"/>
      <c r="EU480" s="445"/>
      <c r="EV480" s="445"/>
      <c r="EW480" s="445"/>
      <c r="EX480" s="445"/>
    </row>
    <row r="481" spans="2:154" ht="12.75" hidden="1" customHeight="1" outlineLevel="1">
      <c r="B481" s="441" t="s">
        <v>187</v>
      </c>
      <c r="C481" s="1989"/>
      <c r="D481" s="33"/>
      <c r="E481" s="33"/>
      <c r="F481" s="33"/>
      <c r="G481" s="33"/>
      <c r="H481" s="33"/>
      <c r="I481" s="29"/>
      <c r="J481" s="30"/>
      <c r="K481" s="29"/>
      <c r="L481" s="30"/>
      <c r="M481" s="30"/>
      <c r="N481" s="30"/>
      <c r="O481" s="30"/>
      <c r="P481" s="30"/>
      <c r="Q481" s="30"/>
      <c r="R481" s="30"/>
      <c r="S481" s="30"/>
      <c r="T481" s="30"/>
      <c r="U481" s="30"/>
      <c r="V481" s="30"/>
      <c r="W481" s="30"/>
      <c r="X481" s="308"/>
      <c r="Y481" s="30"/>
      <c r="Z481" s="30"/>
      <c r="AA481" s="30"/>
      <c r="AB481" s="30"/>
      <c r="AC481" s="308"/>
      <c r="AD481" s="30"/>
      <c r="AE481" s="30"/>
      <c r="AF481" s="30"/>
      <c r="AG481" s="30"/>
      <c r="AH481" s="308"/>
      <c r="AI481" s="30"/>
      <c r="AJ481" s="30"/>
      <c r="AK481" s="30"/>
      <c r="AL481" s="30"/>
      <c r="AM481" s="308"/>
      <c r="AN481" s="30"/>
      <c r="AO481" s="30"/>
      <c r="AP481" s="30"/>
      <c r="AQ481" s="30"/>
      <c r="AR481" s="308"/>
      <c r="AS481" s="30"/>
      <c r="AT481" s="30"/>
      <c r="AU481" s="30"/>
      <c r="AV481" s="30"/>
      <c r="AW481" s="308"/>
      <c r="AX481" s="30"/>
      <c r="AY481" s="30"/>
      <c r="AZ481" s="30"/>
      <c r="BA481" s="30"/>
      <c r="BB481" s="308"/>
      <c r="BC481" s="29"/>
      <c r="BD481" s="29"/>
      <c r="BE481" s="29"/>
      <c r="BF481" s="29"/>
      <c r="BG481" s="308"/>
      <c r="BH481" s="29"/>
      <c r="BI481" s="29"/>
      <c r="BJ481" s="30" t="str">
        <f>IF(BE476="NM","NM",IF(BJ476="NM","NM",IF(BE476&lt;=0,"NM",IF(BJ476=0,"NM",IF(ABS(BJ476/BE476-1)&gt;2.5,"NM",IF((ABS(BJ476-BE476)=ABS(ABS(BJ476)-ABS(BE476))),(BJ476/BE476-1),"NM"))))))</f>
      </c>
      <c r="BK481" s="30" t="str">
        <f>IF(BF476="NM","NM",IF(BK476="NM","NM",IF(BF476&lt;=0,"NM",IF(BK476=0,"NM",IF(ABS(BK476/BF476-1)&gt;2.5,"NM",IF((ABS(BK476-BF476)=ABS(ABS(BK476)-ABS(BF476))),(BK476/BF476-1),"NM"))))))</f>
      </c>
      <c r="BL481" s="317">
        <v>0.05</v>
      </c>
      <c r="BM481" s="29"/>
      <c r="BN481" s="29"/>
      <c r="BO481" s="29"/>
      <c r="BP481" s="30"/>
      <c r="BQ481" s="317"/>
      <c r="BR481" s="29"/>
      <c r="BS481" s="29"/>
      <c r="BT481" s="29"/>
      <c r="BU481" s="30"/>
      <c r="BV481" s="317"/>
      <c r="BW481" s="29"/>
      <c r="BX481" s="29"/>
      <c r="BY481" s="29"/>
      <c r="BZ481" s="29"/>
      <c r="CA481" s="317"/>
      <c r="CB481" s="361"/>
      <c r="CC481" s="361"/>
      <c r="CD481" s="361"/>
      <c r="CE481" s="361"/>
      <c r="CF481" s="308"/>
      <c r="CG481" s="361"/>
      <c r="CH481" s="361"/>
      <c r="CI481" s="361"/>
      <c r="CJ481" s="361"/>
      <c r="CK481" s="308"/>
      <c r="CL481" s="828"/>
      <c r="CM481" s="361"/>
      <c r="CN481" s="361"/>
      <c r="CO481" s="361"/>
      <c r="CP481" s="316"/>
      <c r="CQ481" s="361"/>
      <c r="CR481" s="361"/>
      <c r="CS481" s="361"/>
      <c r="CT481" s="361"/>
      <c r="CU481" s="316"/>
      <c r="CV481" s="361"/>
      <c r="CW481" s="361"/>
      <c r="CX481" s="361"/>
      <c r="CY481" s="361"/>
      <c r="CZ481" s="316"/>
      <c r="DA481" s="361"/>
      <c r="DB481" s="361"/>
      <c r="DC481" s="361"/>
      <c r="DD481" s="835"/>
      <c r="DE481" s="316"/>
      <c r="DF481" s="361"/>
      <c r="DG481" s="361"/>
      <c r="DH481" s="361"/>
      <c r="DI481" s="1237"/>
      <c r="DJ481" s="1237"/>
      <c r="DK481" s="1109"/>
      <c r="DL481" s="361"/>
      <c r="DM481" s="361"/>
      <c r="DN481" s="835"/>
      <c r="DO481" s="835"/>
      <c r="DP481" s="361"/>
      <c r="DQ481" s="361"/>
      <c r="DR481" s="361"/>
      <c r="DS481" s="835"/>
      <c r="DT481" s="835"/>
      <c r="DU481" s="361"/>
      <c r="DV481" s="361"/>
      <c r="DW481" s="361"/>
      <c r="DX481" s="835"/>
      <c r="DY481" s="835"/>
      <c r="DZ481" s="361"/>
      <c r="EA481" s="361"/>
      <c r="EB481" s="361"/>
      <c r="EC481" s="835"/>
      <c r="ED481" s="835"/>
      <c r="EE481" s="361"/>
      <c r="EF481" s="361"/>
      <c r="EG481" s="361"/>
      <c r="EH481" s="835"/>
      <c r="EI481" s="835"/>
      <c r="EJ481" s="316"/>
      <c r="EK481" s="316"/>
      <c r="EL481" s="316"/>
      <c r="EM481" s="316"/>
      <c r="EN481" s="316"/>
      <c r="EO481" s="316"/>
      <c r="EP481" s="316"/>
      <c r="EQ481" s="316"/>
      <c r="ER481" s="316"/>
      <c r="ES481" s="316"/>
      <c r="ET481" s="316"/>
      <c r="EU481" s="316"/>
      <c r="EV481" s="316"/>
      <c r="EW481" s="316"/>
      <c r="EX481" s="316"/>
    </row>
    <row r="482" spans="2:154" ht="12.75" hidden="1" customHeight="1" outlineLevel="1">
      <c r="B482" s="441" t="s">
        <v>412</v>
      </c>
      <c r="C482" s="1989"/>
      <c r="D482" s="33"/>
      <c r="E482" s="33"/>
      <c r="F482" s="33"/>
      <c r="G482" s="33"/>
      <c r="H482" s="33"/>
      <c r="I482" s="30"/>
      <c r="J482" s="30"/>
      <c r="K482" s="30"/>
      <c r="L482" s="30"/>
      <c r="M482" s="30"/>
      <c r="N482" s="30"/>
      <c r="O482" s="30"/>
      <c r="P482" s="30"/>
      <c r="Q482" s="30"/>
      <c r="R482" s="30"/>
      <c r="S482" s="30"/>
      <c r="T482" s="30"/>
      <c r="U482" s="30"/>
      <c r="V482" s="30"/>
      <c r="W482" s="30"/>
      <c r="X482" s="308"/>
      <c r="Y482" s="30"/>
      <c r="Z482" s="30"/>
      <c r="AA482" s="30"/>
      <c r="AB482" s="30"/>
      <c r="AC482" s="308"/>
      <c r="AD482" s="30" t="str">
        <f t="shared" ref="AD482:BI482" si="1267">IF(Y477="NM","NM",IF(AD477="NM","NM",IF(Y477&lt;=0,"NM",IF(AD477=0,"NM",IF(ABS(AD477/Y477-1)&gt;2.5,"NM",IF((ABS(AD477-Y477)=ABS(ABS(AD477)-ABS(Y477))),(AD477/Y477-1),"NM"))))))</f>
      </c>
      <c r="AE482" s="30" t="str">
        <f t="shared" si="1267"/>
      </c>
      <c r="AF482" s="30" t="str">
        <f t="shared" si="1267"/>
      </c>
      <c r="AG482" s="30" t="str">
        <f t="shared" si="1267"/>
      </c>
      <c r="AH482" s="308" t="str">
        <f t="shared" si="1267"/>
      </c>
      <c r="AI482" s="30" t="str">
        <f t="shared" si="1267"/>
      </c>
      <c r="AJ482" s="30" t="str">
        <f t="shared" si="1267"/>
      </c>
      <c r="AK482" s="30">
        <f t="shared" si="1267"/>
      </c>
      <c r="AL482" s="30">
        <f t="shared" si="1267"/>
      </c>
      <c r="AM482" s="308" t="str">
        <f t="shared" si="1267"/>
      </c>
      <c r="AN482" s="30">
        <f t="shared" si="1267"/>
      </c>
      <c r="AO482" s="30">
        <f t="shared" si="1267"/>
      </c>
      <c r="AP482" s="30">
        <f t="shared" si="1267"/>
      </c>
      <c r="AQ482" s="30">
        <f t="shared" si="1267"/>
      </c>
      <c r="AR482" s="308">
        <f t="shared" si="1267"/>
      </c>
      <c r="AS482" s="30">
        <f t="shared" si="1267"/>
      </c>
      <c r="AT482" s="30">
        <f t="shared" si="1267"/>
      </c>
      <c r="AU482" s="30">
        <f t="shared" si="1267"/>
      </c>
      <c r="AV482" s="30">
        <f t="shared" si="1267"/>
      </c>
      <c r="AW482" s="308">
        <f t="shared" si="1267"/>
      </c>
      <c r="AX482" s="30">
        <f t="shared" si="1267"/>
      </c>
      <c r="AY482" s="30">
        <f t="shared" si="1267"/>
      </c>
      <c r="AZ482" s="30">
        <f t="shared" si="1267"/>
      </c>
      <c r="BA482" s="30">
        <f t="shared" si="1267"/>
      </c>
      <c r="BB482" s="308">
        <f t="shared" si="1267"/>
      </c>
      <c r="BC482" s="30">
        <f t="shared" si="1267"/>
      </c>
      <c r="BD482" s="30">
        <f t="shared" si="1267"/>
      </c>
      <c r="BE482" s="30">
        <f t="shared" si="1267"/>
      </c>
      <c r="BF482" s="30">
        <f t="shared" si="1267"/>
      </c>
      <c r="BG482" s="308">
        <f t="shared" si="1267"/>
      </c>
      <c r="BH482" s="30">
        <f t="shared" si="1267"/>
      </c>
      <c r="BI482" s="30">
        <f t="shared" si="1267"/>
      </c>
      <c r="BJ482" s="30">
        <f>IF(BE477="NM","NM",IF(BJ477="NM","NM",IF(BE477&lt;=0,"NM",IF(BJ477=0,"NM",IF(ABS(BJ477/BE477-1)&gt;2.5,"NM",IF((ABS(BJ477-BE477)=ABS(ABS(BJ477)-ABS(BE477))),(BJ477/BE477-1),"NM"))))))</f>
      </c>
      <c r="BK482" s="30">
        <f>IF(BF477="NM","NM",IF(BK477="NM","NM",IF(BF477&lt;=0,"NM",IF(BK477=0,"NM",IF(ABS(BK477/BF477-1)&gt;2.5,"NM",IF((ABS(BK477-BF477)=ABS(ABS(BK477)-ABS(BF477))),(BK477/BF477-1),"NM"))))))</f>
      </c>
      <c r="BL482" s="308">
        <f t="shared" ref="BL482:BR482" si="1268">IF(BG477="NM","NM",IF(BL477="NM","NM",IF(BG477&lt;=0,"NM",IF(BL477=0,"NM",IF(ABS(BL477/BG477-1)&gt;2.5,"NM",IF((ABS(BL477-BG477)=ABS(ABS(BL477)-ABS(BG477))),(BL477/BG477-1),"NM"))))))</f>
      </c>
      <c r="BM482" s="30">
        <f t="shared" si="1268"/>
      </c>
      <c r="BN482" s="30">
        <f t="shared" si="1268"/>
      </c>
      <c r="BO482" s="30">
        <f t="shared" si="1268"/>
      </c>
      <c r="BP482" s="30">
        <f t="shared" si="1268"/>
      </c>
      <c r="BQ482" s="308">
        <f t="shared" si="1268"/>
      </c>
      <c r="BR482" s="30">
        <f t="shared" si="1268"/>
      </c>
      <c r="BS482" s="30">
        <f t="shared" ref="BS482:BY482" si="1269">IF(BN477="NM","NM",IF(BS477="NM","NM",IF(BN477&lt;=0,"NM",IF(BS477=0,"NM",IF(ABS(BS477/BN477-1)&gt;2.5,"NM",IF((ABS(BS477-BN477)=ABS(ABS(BS477)-ABS(BN477))),(BS477/BN477-1),"NM"))))))</f>
      </c>
      <c r="BT482" s="30">
        <f t="shared" si="1269"/>
      </c>
      <c r="BU482" s="30">
        <f>IF(BP477="NM","NM",IF(BU477="NM","NM",IF(BP477&lt;=0,"NM",IF(BU477=0,"NM",IF(ABS(BU477/BP477-1)&gt;2.5,"NM",IF((ABS(BU477-BP477)=ABS(ABS(BU477)-ABS(BP477))),(BU477/BP477-1),"NM"))))))</f>
      </c>
      <c r="BV482" s="308">
        <f>IF(BQ477="NM","NM",IF(BV477="NM","NM",IF(BQ477&lt;=0,"NM",IF(BV477=0,"NM",IF(ABS(BV477/BQ477-1)&gt;2.5,"NM",IF((ABS(BV477-BQ477)=ABS(ABS(BV477)-ABS(BQ477))),(BV477/BQ477-1),"NM"))))))</f>
      </c>
      <c r="BW482" s="30">
        <f t="shared" si="1269"/>
      </c>
      <c r="BX482" s="30">
        <f t="shared" si="1269"/>
      </c>
      <c r="BY482" s="30">
        <f t="shared" si="1269"/>
      </c>
      <c r="BZ482" s="30">
        <f t="shared" ref="BZ482:CI482" si="1270">IF(BU477="NM","NM",IF(BZ477="NM","NM",IF(BU477&lt;=0,"NM",IF(BZ477=0,"NM",IF(ABS(BZ477/BU477-1)&gt;2.5,"NM",IF((ABS(BZ477-BU477)=ABS(ABS(BZ477)-ABS(BU477))),(BZ477/BU477-1),"NM"))))))</f>
      </c>
      <c r="CA482" s="315">
        <f>IF(BV477="NM","NM",IF(CA477="NM","NM",IF(BV477&lt;=0,"NM",IF(CA477=0,"NM",IF(ABS(CA477/BV477-1)&gt;2.5,"NM",IF((ABS(CA477-BV477)=ABS(ABS(CA477)-ABS(BV477))),(CA477/BV477-1),"NM"))))))</f>
      </c>
      <c r="CB482" s="30">
        <f t="shared" si="1270"/>
      </c>
      <c r="CC482" s="30">
        <f t="shared" si="1270"/>
      </c>
      <c r="CD482" s="30">
        <f t="shared" si="1270"/>
      </c>
      <c r="CE482" s="30">
        <f t="shared" si="1270"/>
      </c>
      <c r="CF482" s="315">
        <f>IF(CA477="NM","NM",IF(CF477="NM","NM",IF(CA477&lt;=0,"NM",IF(CF477=0,"NM",IF(ABS(CF477/CA477-1)&gt;2.5,"NM",IF((ABS(CF477-CA477)=ABS(ABS(CF477)-ABS(CA477))),(CF477/CA477-1),"NM"))))))</f>
      </c>
      <c r="CG482" s="30">
        <f t="shared" si="1270"/>
      </c>
      <c r="CH482" s="30">
        <f t="shared" si="1270"/>
      </c>
      <c r="CI482" s="30">
        <f t="shared" si="1270"/>
      </c>
      <c r="CJ482" s="30">
        <f>CJ483+CJ$21</f>
      </c>
      <c r="CK482" s="308">
        <f>IF(CF477=0,0, CK477/CF477-1)</f>
      </c>
      <c r="CL482" s="30">
        <f>IF(CG477="NM","NM",IF(CL477="NM","NM",IF(CG477&lt;=0,"NM",IF(CL477=0,"NM",IF(ABS(CL477/CG477-1)&gt;2.5,"NM",IF((ABS(CL477-CG477)=ABS(ABS(CL477)-ABS(CG477))),(CL477/CG477-1),"NM"))))))</f>
      </c>
      <c r="CM482" s="30">
        <f>IF(CH477="NM","NM",IF(CM477="NM","NM",IF(CH477&lt;=0,"NM",IF(CM477=0,"NM",IF(ABS(CM477/CH477-1)&gt;2.5,"NM",IF((ABS(CM477-CH477)=ABS(ABS(CM477)-ABS(CH477))),(CM477/CH477-1),"NM"))))))</f>
      </c>
      <c r="CN482" s="30">
        <f>IF(CI477="NM","NM",IF(CN477="NM","NM",IF(CI477&lt;=0,"NM",IF(CN477=0,"NM",IF(ABS(CN477/CI477-1)&gt;2.5,"NM",IF((ABS(CN477-CI477)=ABS(ABS(CN477)-ABS(CI477))),(CN477/CI477-1),"NM"))))))</f>
      </c>
      <c r="CO482" s="30">
        <f>CO483+CO$21</f>
      </c>
      <c r="CP482" s="308">
        <f>IF(CK477=0,0, CP477/CK477-1)</f>
      </c>
      <c r="CQ482" s="30"/>
      <c r="CR482" s="30"/>
      <c r="CS482" s="30"/>
      <c r="CT482" s="926"/>
      <c r="CU482" s="308"/>
      <c r="CV482" s="30"/>
      <c r="CW482" s="926"/>
      <c r="CX482" s="926"/>
      <c r="CY482" s="926"/>
      <c r="CZ482" s="308"/>
      <c r="DA482" s="30"/>
      <c r="DB482" s="959"/>
      <c r="DC482" s="959"/>
      <c r="DD482" s="960"/>
      <c r="DE482" s="308"/>
      <c r="DF482" s="30"/>
      <c r="DG482" s="926"/>
      <c r="DH482" s="926"/>
      <c r="DI482" s="1235"/>
      <c r="DJ482" s="1233"/>
      <c r="DK482" s="1361"/>
      <c r="DL482" s="926"/>
      <c r="DM482" s="926"/>
      <c r="DN482" s="928"/>
      <c r="DO482" s="308"/>
      <c r="DP482" s="926"/>
      <c r="DQ482" s="926"/>
      <c r="DR482" s="926"/>
      <c r="DS482" s="928"/>
      <c r="DT482" s="308"/>
      <c r="DU482" s="926"/>
      <c r="DV482" s="926"/>
      <c r="DW482" s="926"/>
      <c r="DX482" s="928"/>
      <c r="DY482" s="308"/>
      <c r="DZ482" s="926"/>
      <c r="EA482" s="926"/>
      <c r="EB482" s="926"/>
      <c r="EC482" s="928"/>
      <c r="ED482" s="1060"/>
      <c r="EE482" s="926"/>
      <c r="EF482" s="926"/>
      <c r="EG482" s="926"/>
      <c r="EH482" s="928"/>
      <c r="EI482" s="308"/>
      <c r="EJ482" s="308"/>
      <c r="EK482" s="308"/>
      <c r="EL482" s="308"/>
      <c r="EM482" s="308"/>
      <c r="EN482" s="308"/>
      <c r="EO482" s="308"/>
      <c r="EP482" s="308"/>
      <c r="EQ482" s="308"/>
      <c r="ER482" s="308"/>
      <c r="ES482" s="308"/>
      <c r="ET482" s="308"/>
      <c r="EU482" s="308"/>
      <c r="EV482" s="308"/>
      <c r="EW482" s="308"/>
      <c r="EX482" s="308"/>
    </row>
    <row r="483" spans="2:154" ht="12.75" hidden="1" customHeight="1" outlineLevel="1">
      <c r="B483" s="441" t="s">
        <v>256</v>
      </c>
      <c r="C483" s="1989"/>
      <c r="D483" s="33"/>
      <c r="E483" s="33"/>
      <c r="F483" s="33"/>
      <c r="G483" s="33"/>
      <c r="H483" s="33"/>
      <c r="I483" s="24"/>
      <c r="J483" s="1"/>
      <c r="K483" s="1"/>
      <c r="L483" s="1"/>
      <c r="M483" s="1"/>
      <c r="N483" s="24"/>
      <c r="O483" s="24"/>
      <c r="P483" s="24"/>
      <c r="Q483" s="24"/>
      <c r="R483" s="24"/>
      <c r="S483" s="1"/>
      <c r="T483" s="24"/>
      <c r="U483" s="24"/>
      <c r="V483" s="24"/>
      <c r="W483" s="24"/>
      <c r="X483" s="315"/>
      <c r="Y483" s="24"/>
      <c r="Z483" s="24"/>
      <c r="AA483" s="24"/>
      <c r="AB483" s="24"/>
      <c r="AC483" s="315"/>
      <c r="AD483" s="24"/>
      <c r="AE483" s="24"/>
      <c r="AF483" s="24"/>
      <c r="AG483" s="24"/>
      <c r="AH483" s="315"/>
      <c r="AI483" s="8" t="str">
        <f t="shared" ref="AI483:BM483" si="1271">IF(ISNUMBER(AI482),(1+AI482)/(1+AI$21)-1,"NM")</f>
      </c>
      <c r="AJ483" s="8" t="str">
        <f t="shared" si="1271"/>
      </c>
      <c r="AK483" s="8">
        <f t="shared" si="1271"/>
      </c>
      <c r="AL483" s="8">
        <f t="shared" si="1271"/>
      </c>
      <c r="AM483" s="315" t="str">
        <f t="shared" si="1271"/>
      </c>
      <c r="AN483" s="8">
        <f t="shared" si="1271"/>
      </c>
      <c r="AO483" s="8">
        <f t="shared" si="1271"/>
      </c>
      <c r="AP483" s="8">
        <f t="shared" si="1271"/>
      </c>
      <c r="AQ483" s="8">
        <f t="shared" si="1271"/>
      </c>
      <c r="AR483" s="315">
        <f t="shared" si="1271"/>
      </c>
      <c r="AS483" s="8">
        <f t="shared" si="1271"/>
      </c>
      <c r="AT483" s="8">
        <f t="shared" si="1271"/>
      </c>
      <c r="AU483" s="8">
        <f t="shared" si="1271"/>
      </c>
      <c r="AV483" s="8">
        <f t="shared" si="1271"/>
      </c>
      <c r="AW483" s="315">
        <f t="shared" si="1271"/>
      </c>
      <c r="AX483" s="8">
        <f t="shared" si="1271"/>
      </c>
      <c r="AY483" s="8">
        <f t="shared" si="1271"/>
      </c>
      <c r="AZ483" s="8">
        <f t="shared" si="1271"/>
      </c>
      <c r="BA483" s="8">
        <f t="shared" si="1271"/>
      </c>
      <c r="BB483" s="315">
        <f t="shared" si="1271"/>
      </c>
      <c r="BC483" s="8">
        <f t="shared" si="1271"/>
      </c>
      <c r="BD483" s="8">
        <f t="shared" si="1271"/>
      </c>
      <c r="BE483" s="8">
        <f t="shared" si="1271"/>
      </c>
      <c r="BF483" s="8">
        <f t="shared" si="1271"/>
      </c>
      <c r="BG483" s="309">
        <f t="shared" si="1271"/>
      </c>
      <c r="BH483" s="8">
        <f t="shared" si="1271"/>
      </c>
      <c r="BI483" s="8">
        <f t="shared" si="1271"/>
      </c>
      <c r="BJ483" s="8">
        <f t="shared" si="1271"/>
      </c>
      <c r="BK483" s="8">
        <f t="shared" si="1271"/>
      </c>
      <c r="BL483" s="315">
        <f t="shared" si="1271"/>
      </c>
      <c r="BM483" s="407">
        <f t="shared" si="1271"/>
      </c>
      <c r="BN483" s="407">
        <v>0.1</v>
      </c>
      <c r="BO483" s="407">
        <v>0.115</v>
      </c>
      <c r="BP483" s="649">
        <v>0.224</v>
      </c>
      <c r="BQ483" s="406">
        <v>0.127</v>
      </c>
      <c r="BR483" s="407">
        <v>0.115</v>
      </c>
      <c r="BS483" s="407">
        <v>-1E-3</v>
      </c>
      <c r="BT483" s="29">
        <v>0.20699999999999999</v>
      </c>
      <c r="BU483" s="649">
        <v>0.47599999999999998</v>
      </c>
      <c r="BV483" s="317">
        <v>0.245</v>
      </c>
      <c r="BW483" s="649">
        <v>2.5000000000000001E-2</v>
      </c>
      <c r="BX483" s="649">
        <v>0.22700000000000001</v>
      </c>
      <c r="BY483" s="649">
        <v>0.26300000000000001</v>
      </c>
      <c r="BZ483" s="836">
        <v>7.3999999999999996E-2</v>
      </c>
      <c r="CA483" s="308">
        <f>IF(ISNUMBER(CA482),(1+CA482)/(1+CA$21)-1,"NM")</f>
      </c>
      <c r="CB483" s="29">
        <v>0.186</v>
      </c>
      <c r="CC483" s="649">
        <v>6.2E-2</v>
      </c>
      <c r="CD483" s="649">
        <v>-0.02</v>
      </c>
      <c r="CE483" s="836">
        <v>-0.121</v>
      </c>
      <c r="CF483" s="308">
        <f>IF(ISNUMBER(CF482),(1+CF482)/(1+CF$21)-1,"NM")</f>
      </c>
      <c r="CG483" s="29">
        <v>-0.04</v>
      </c>
      <c r="CH483" s="29">
        <v>1.0999999999999999E-2</v>
      </c>
      <c r="CI483" s="29">
        <v>1E-3</v>
      </c>
      <c r="CJ483" s="29">
        <v>-0.13500000000000001</v>
      </c>
      <c r="CK483" s="308">
        <f>CK482-CK$21</f>
      </c>
      <c r="CL483" s="29">
        <v>-5.3999999999999999E-2</v>
      </c>
      <c r="CM483" s="29">
        <v>1.4E-2</v>
      </c>
      <c r="CN483" s="29">
        <v>-7.3999999999999996E-2</v>
      </c>
      <c r="CO483" s="29">
        <v>-0.126</v>
      </c>
      <c r="CP483" s="308">
        <f>CP482-CP$21</f>
      </c>
      <c r="CQ483" s="29"/>
      <c r="CR483" s="29"/>
      <c r="CS483" s="29"/>
      <c r="CT483" s="29"/>
      <c r="CU483" s="308"/>
      <c r="CV483" s="29"/>
      <c r="CW483" s="29"/>
      <c r="CX483" s="29"/>
      <c r="CY483" s="29"/>
      <c r="CZ483" s="308"/>
      <c r="DA483" s="29"/>
      <c r="DB483" s="361"/>
      <c r="DC483" s="361"/>
      <c r="DD483" s="835"/>
      <c r="DE483" s="317"/>
      <c r="DF483" s="29"/>
      <c r="DG483" s="361"/>
      <c r="DH483" s="361"/>
      <c r="DI483" s="1237"/>
      <c r="DJ483" s="1232"/>
      <c r="DK483" s="1208"/>
      <c r="DL483" s="361"/>
      <c r="DM483" s="361"/>
      <c r="DN483" s="835"/>
      <c r="DO483" s="836"/>
      <c r="DP483" s="361"/>
      <c r="DQ483" s="361"/>
      <c r="DR483" s="361"/>
      <c r="DS483" s="835"/>
      <c r="DT483" s="836"/>
      <c r="DU483" s="361"/>
      <c r="DV483" s="361"/>
      <c r="DW483" s="361"/>
      <c r="DX483" s="835"/>
      <c r="DY483" s="836"/>
      <c r="DZ483" s="361"/>
      <c r="EA483" s="361"/>
      <c r="EB483" s="361"/>
      <c r="EC483" s="835"/>
      <c r="ED483" s="836"/>
      <c r="EE483" s="361"/>
      <c r="EF483" s="361"/>
      <c r="EG483" s="361"/>
      <c r="EH483" s="835"/>
      <c r="EI483" s="836"/>
      <c r="EJ483" s="317"/>
      <c r="EK483" s="317"/>
      <c r="EL483" s="317"/>
      <c r="EM483" s="317"/>
      <c r="EN483" s="317"/>
      <c r="EO483" s="317"/>
      <c r="EP483" s="317"/>
      <c r="EQ483" s="317"/>
      <c r="ER483" s="317"/>
      <c r="ES483" s="317"/>
      <c r="ET483" s="317"/>
      <c r="EU483" s="317"/>
      <c r="EV483" s="317"/>
      <c r="EW483" s="317"/>
      <c r="EX483" s="317"/>
    </row>
    <row r="484" spans="2:154" ht="12.75" hidden="1" customHeight="1" outlineLevel="1">
      <c r="B484" s="441" t="s">
        <v>413</v>
      </c>
      <c r="C484" s="1989"/>
      <c r="D484" s="33"/>
      <c r="E484" s="33"/>
      <c r="F484" s="33"/>
      <c r="G484" s="33"/>
      <c r="H484" s="33"/>
      <c r="I484" s="30"/>
      <c r="J484" s="30"/>
      <c r="K484" s="30"/>
      <c r="L484" s="30"/>
      <c r="M484" s="30"/>
      <c r="N484" s="30"/>
      <c r="O484" s="30"/>
      <c r="P484" s="30"/>
      <c r="Q484" s="30"/>
      <c r="R484" s="30"/>
      <c r="S484" s="30"/>
      <c r="T484" s="30"/>
      <c r="U484" s="30"/>
      <c r="V484" s="30"/>
      <c r="W484" s="30"/>
      <c r="X484" s="308"/>
      <c r="Y484" s="30"/>
      <c r="Z484" s="30"/>
      <c r="AA484" s="30"/>
      <c r="AB484" s="30"/>
      <c r="AC484" s="308"/>
      <c r="AD484" s="30" t="str">
        <f t="shared" ref="AD484:BI484" si="1272">IF(Y478="NM","NM",IF(AD478="NM","NM",IF(Y478&lt;=0,"NM",IF(AD478=0,"NM",IF(ABS(AD478/Y478-1)&gt;2.5,"NM",IF((ABS(AD478-Y478)=ABS(ABS(AD478)-ABS(Y478))),(AD478/Y478-1),"NM"))))))</f>
      </c>
      <c r="AE484" s="30" t="str">
        <f t="shared" si="1272"/>
      </c>
      <c r="AF484" s="30" t="str">
        <f t="shared" si="1272"/>
      </c>
      <c r="AG484" s="30" t="str">
        <f t="shared" si="1272"/>
      </c>
      <c r="AH484" s="308" t="str">
        <f t="shared" si="1272"/>
      </c>
      <c r="AI484" s="30" t="str">
        <f t="shared" si="1272"/>
      </c>
      <c r="AJ484" s="30" t="str">
        <f t="shared" si="1272"/>
      </c>
      <c r="AK484" s="30">
        <f t="shared" si="1272"/>
      </c>
      <c r="AL484" s="30">
        <f t="shared" si="1272"/>
      </c>
      <c r="AM484" s="308" t="str">
        <f t="shared" si="1272"/>
      </c>
      <c r="AN484" s="30">
        <f t="shared" si="1272"/>
      </c>
      <c r="AO484" s="30">
        <f t="shared" si="1272"/>
      </c>
      <c r="AP484" s="30">
        <f t="shared" si="1272"/>
      </c>
      <c r="AQ484" s="30">
        <f t="shared" si="1272"/>
      </c>
      <c r="AR484" s="308">
        <f t="shared" si="1272"/>
      </c>
      <c r="AS484" s="30">
        <f t="shared" si="1272"/>
      </c>
      <c r="AT484" s="30">
        <f t="shared" si="1272"/>
      </c>
      <c r="AU484" s="30">
        <f t="shared" si="1272"/>
      </c>
      <c r="AV484" s="30">
        <f t="shared" si="1272"/>
      </c>
      <c r="AW484" s="308">
        <f t="shared" si="1272"/>
      </c>
      <c r="AX484" s="30">
        <f t="shared" si="1272"/>
      </c>
      <c r="AY484" s="30">
        <f t="shared" si="1272"/>
      </c>
      <c r="AZ484" s="30">
        <f t="shared" si="1272"/>
      </c>
      <c r="BA484" s="30">
        <f t="shared" si="1272"/>
      </c>
      <c r="BB484" s="308">
        <f t="shared" si="1272"/>
      </c>
      <c r="BC484" s="30">
        <f t="shared" si="1272"/>
      </c>
      <c r="BD484" s="30">
        <f t="shared" si="1272"/>
      </c>
      <c r="BE484" s="30">
        <f t="shared" si="1272"/>
      </c>
      <c r="BF484" s="30">
        <f t="shared" si="1272"/>
      </c>
      <c r="BG484" s="308">
        <f t="shared" si="1272"/>
      </c>
      <c r="BH484" s="30">
        <f t="shared" si="1272"/>
      </c>
      <c r="BI484" s="30">
        <f t="shared" si="1272"/>
      </c>
      <c r="BJ484" s="30">
        <f t="shared" ref="BJ484:CF484" si="1273">IF(BE478="NM","NM",IF(BJ478="NM","NM",IF(BE478&lt;=0,"NM",IF(BJ478=0,"NM",IF(ABS(BJ478/BE478-1)&gt;2.5,"NM",IF((ABS(BJ478-BE478)=ABS(ABS(BJ478)-ABS(BE478))),(BJ478/BE478-1),"NM"))))))</f>
      </c>
      <c r="BK484" s="30">
        <f t="shared" si="1273"/>
      </c>
      <c r="BL484" s="308">
        <f t="shared" si="1273"/>
      </c>
      <c r="BM484" s="30">
        <f t="shared" si="1273"/>
      </c>
      <c r="BN484" s="30">
        <f t="shared" si="1273"/>
      </c>
      <c r="BO484" s="30">
        <f t="shared" si="1273"/>
      </c>
      <c r="BP484" s="30">
        <f t="shared" si="1273"/>
      </c>
      <c r="BQ484" s="308">
        <f t="shared" si="1273"/>
      </c>
      <c r="BR484" s="30">
        <f t="shared" si="1273"/>
      </c>
      <c r="BS484" s="30">
        <f t="shared" si="1273"/>
      </c>
      <c r="BT484" s="30">
        <f t="shared" si="1273"/>
      </c>
      <c r="BU484" s="30">
        <f t="shared" si="1273"/>
      </c>
      <c r="BV484" s="308">
        <f t="shared" si="1273"/>
      </c>
      <c r="BW484" s="30">
        <f t="shared" si="1273"/>
      </c>
      <c r="BX484" s="30">
        <f t="shared" si="1273"/>
      </c>
      <c r="BY484" s="30">
        <f t="shared" si="1273"/>
      </c>
      <c r="BZ484" s="30">
        <f t="shared" si="1273"/>
      </c>
      <c r="CA484" s="308">
        <f t="shared" si="1273"/>
      </c>
      <c r="CB484" s="30">
        <f t="shared" si="1273"/>
      </c>
      <c r="CC484" s="30">
        <f t="shared" si="1273"/>
      </c>
      <c r="CD484" s="30">
        <f t="shared" si="1273"/>
      </c>
      <c r="CE484" s="30">
        <f t="shared" si="1273"/>
      </c>
      <c r="CF484" s="308">
        <f t="shared" si="1273"/>
      </c>
      <c r="CG484" s="30">
        <f>IF(CB478="NM","NM",IF(CG478="NM","NM",IF(CB478&lt;=0,"NM",IF(CG478=0,"NM",IF(ABS(CG478/CB478-1)&gt;2.5,"NM",IF((ABS(CG478-CB478)=ABS(ABS(CG478)-ABS(CB478))),(CG478/CB478-1),"NM"))))))</f>
      </c>
      <c r="CH484" s="30">
        <f>IF(CC478="NM","NM",IF(CH478="NM","NM",IF(CC478&lt;=0,"NM",IF(CH478=0,"NM",IF(ABS(CH478/CC478-1)&gt;2.5,"NM",IF((ABS(CH478-CC478)=ABS(ABS(CH478)-ABS(CC478))),(CH478/CC478-1),"NM"))))))</f>
      </c>
      <c r="CI484" s="30">
        <f>IF(CD478="NM","NM",IF(CI478="NM","NM",IF(CD478&lt;=0,"NM",IF(CI478=0,"NM",IF(ABS(CI478/CD478-1)&gt;2.5,"NM",IF((ABS(CI478-CD478)=ABS(ABS(CI478)-ABS(CD478))),(CI478/CD478-1),"NM"))))))</f>
      </c>
      <c r="CJ484" s="30">
        <f>IF(CJ478&lt;=0,0,(CJ478/CE478-1))</f>
      </c>
      <c r="CK484" s="308">
        <f>IF(CK478&lt;=0,0,(CK478/CF478-1))</f>
      </c>
      <c r="CL484" s="30">
        <f>IF(CG478="NM","NM",IF(CL478="NM","NM",IF(CG478&lt;=0,"NM",IF(CL478=0,"NM",IF(ABS(CL478/CG478-1)&gt;2.5,"NM",IF((ABS(CL478-CG478)=ABS(ABS(CL478)-ABS(CG478))),(CL478/CG478-1),"NM"))))))</f>
      </c>
      <c r="CM484" s="30">
        <f>IF(CH478="NM","NM",IF(CM478="NM","NM",IF(CH478&lt;=0,"NM",IF(CM478=0,"NM",IF(ABS(CM478/CH478-1)&gt;2.5,"NM",IF((ABS(CM478-CH478)=ABS(ABS(CM478)-ABS(CH478))),(CM478/CH478-1),"NM"))))))</f>
      </c>
      <c r="CN484" s="30">
        <f>IF(CI478="NM","NM",IF(CN478="NM","NM",IF(CI478&lt;=0,"NM",IF(CN478=0,"NM",IF(ABS(CN478/CI478-1)&gt;2.5,"NM",IF((ABS(CN478-CI478)=ABS(ABS(CN478)-ABS(CI478))),(CN478/CI478-1),"NM"))))))</f>
      </c>
      <c r="CO484" s="30">
        <f>IF(CO478&lt;=0,0,(CO478/CJ478-1))</f>
      </c>
      <c r="CP484" s="308">
        <f>IF(CP478&lt;=0,0,(CP478/CK478-1))</f>
      </c>
      <c r="CQ484" s="30"/>
      <c r="CR484" s="30"/>
      <c r="CS484" s="30"/>
      <c r="CT484" s="926"/>
      <c r="CU484" s="308"/>
      <c r="CV484" s="30"/>
      <c r="CW484" s="926"/>
      <c r="CX484" s="926"/>
      <c r="CY484" s="926"/>
      <c r="CZ484" s="308"/>
      <c r="DA484" s="30"/>
      <c r="DB484" s="926"/>
      <c r="DC484" s="926"/>
      <c r="DD484" s="928"/>
      <c r="DE484" s="308"/>
      <c r="DF484" s="30"/>
      <c r="DG484" s="926"/>
      <c r="DH484" s="926"/>
      <c r="DI484" s="1235"/>
      <c r="DJ484" s="1233"/>
      <c r="DK484" s="1361"/>
      <c r="DL484" s="926"/>
      <c r="DM484" s="926"/>
      <c r="DN484" s="928"/>
      <c r="DO484" s="308"/>
      <c r="DP484" s="926"/>
      <c r="DQ484" s="926"/>
      <c r="DR484" s="926"/>
      <c r="DS484" s="928"/>
      <c r="DT484" s="308"/>
      <c r="DU484" s="926"/>
      <c r="DV484" s="926"/>
      <c r="DW484" s="926"/>
      <c r="DX484" s="928"/>
      <c r="DY484" s="308"/>
      <c r="DZ484" s="926"/>
      <c r="EA484" s="926"/>
      <c r="EB484" s="926"/>
      <c r="EC484" s="928"/>
      <c r="ED484" s="1060"/>
      <c r="EE484" s="926"/>
      <c r="EF484" s="926"/>
      <c r="EG484" s="926"/>
      <c r="EH484" s="928"/>
      <c r="EI484" s="308"/>
      <c r="EJ484" s="308"/>
      <c r="EK484" s="308"/>
      <c r="EL484" s="308"/>
      <c r="EM484" s="308"/>
      <c r="EN484" s="308"/>
      <c r="EO484" s="308"/>
      <c r="EP484" s="308"/>
      <c r="EQ484" s="308"/>
      <c r="ER484" s="308"/>
      <c r="ES484" s="308"/>
      <c r="ET484" s="308"/>
      <c r="EU484" s="308"/>
      <c r="EV484" s="308"/>
      <c r="EW484" s="308"/>
      <c r="EX484" s="308"/>
    </row>
    <row r="485" spans="2:154" ht="12.75" hidden="1" customHeight="1" outlineLevel="1">
      <c r="B485" s="438"/>
      <c r="C485" s="1989"/>
      <c r="D485" s="33"/>
      <c r="E485" s="33"/>
      <c r="F485" s="33"/>
      <c r="G485" s="33"/>
      <c r="H485" s="33"/>
      <c r="I485" s="31"/>
      <c r="J485" s="33"/>
      <c r="K485" s="33"/>
      <c r="L485" s="33"/>
      <c r="M485" s="33"/>
      <c r="N485" s="31"/>
      <c r="O485" s="33"/>
      <c r="P485" s="33"/>
      <c r="Q485" s="33"/>
      <c r="R485" s="33"/>
      <c r="S485" s="31"/>
      <c r="T485" s="33"/>
      <c r="U485" s="33"/>
      <c r="V485" s="33"/>
      <c r="W485" s="33"/>
      <c r="X485" s="312"/>
      <c r="Y485" s="33"/>
      <c r="Z485" s="33"/>
      <c r="AA485" s="33"/>
      <c r="AB485" s="33"/>
      <c r="AC485" s="312"/>
      <c r="AD485" s="33"/>
      <c r="AE485" s="33"/>
      <c r="AF485" s="33"/>
      <c r="AG485" s="33"/>
      <c r="AH485" s="312"/>
      <c r="AI485" s="33"/>
      <c r="AJ485" s="33"/>
      <c r="AK485" s="33"/>
      <c r="AL485" s="33"/>
      <c r="AM485" s="312"/>
      <c r="AN485" s="33"/>
      <c r="AO485" s="33"/>
      <c r="AP485" s="33"/>
      <c r="AQ485" s="33"/>
      <c r="AR485" s="312"/>
      <c r="AS485" s="28"/>
      <c r="AT485" s="28"/>
      <c r="AU485" s="28"/>
      <c r="AV485" s="28"/>
      <c r="AW485" s="312"/>
      <c r="AX485" s="28"/>
      <c r="AY485" s="28"/>
      <c r="AZ485" s="28"/>
      <c r="BA485" s="28"/>
      <c r="BB485" s="312"/>
      <c r="BC485" s="28"/>
      <c r="BD485" s="28"/>
      <c r="BE485" s="28"/>
      <c r="BF485" s="28"/>
      <c r="BG485" s="312"/>
      <c r="BH485" s="28"/>
      <c r="BI485" s="28"/>
      <c r="BJ485" s="28"/>
      <c r="BK485" s="28"/>
      <c r="BL485" s="312"/>
      <c r="BM485" s="28"/>
      <c r="BN485" s="28"/>
      <c r="BO485" s="28"/>
      <c r="BP485" s="28"/>
      <c r="BQ485" s="312"/>
      <c r="BR485" s="28"/>
      <c r="BS485" s="28"/>
      <c r="BT485" s="28"/>
      <c r="BU485" s="28"/>
      <c r="BV485" s="312"/>
      <c r="BW485" s="28"/>
      <c r="BX485" s="28"/>
      <c r="BY485" s="28"/>
      <c r="BZ485" s="28"/>
      <c r="CA485" s="312"/>
      <c r="CB485" s="28"/>
      <c r="CC485" s="28"/>
      <c r="CD485" s="28"/>
      <c r="CE485" s="28"/>
      <c r="CF485" s="312"/>
      <c r="CG485" s="28"/>
      <c r="CH485" s="28"/>
      <c r="CI485" s="28"/>
      <c r="CJ485" s="28"/>
      <c r="CK485" s="312"/>
      <c r="CL485" s="28"/>
      <c r="CM485" s="28"/>
      <c r="CN485" s="28"/>
      <c r="CO485" s="28"/>
      <c r="CP485" s="312"/>
      <c r="CQ485" s="933"/>
      <c r="CR485" s="933"/>
      <c r="CS485" s="933"/>
      <c r="CT485" s="933"/>
      <c r="CU485" s="312"/>
      <c r="CV485" s="933"/>
      <c r="CW485" s="933"/>
      <c r="CX485" s="933"/>
      <c r="CY485" s="933"/>
      <c r="CZ485" s="312"/>
      <c r="DA485" s="933"/>
      <c r="DB485" s="28"/>
      <c r="DC485" s="28"/>
      <c r="DD485" s="876"/>
      <c r="DE485" s="445"/>
      <c r="DF485" s="982"/>
      <c r="DG485" s="444"/>
      <c r="DH485" s="444"/>
      <c r="DI485" s="1832"/>
      <c r="DJ485" s="1830"/>
      <c r="DK485" s="1842"/>
      <c r="DL485" s="444"/>
      <c r="DM485" s="444"/>
      <c r="DN485" s="1788"/>
      <c r="DO485" s="445"/>
      <c r="DP485" s="444"/>
      <c r="DQ485" s="444"/>
      <c r="DR485" s="444"/>
      <c r="DS485" s="1788"/>
      <c r="DT485" s="445"/>
      <c r="DU485" s="982"/>
      <c r="DV485" s="982"/>
      <c r="DW485" s="982"/>
      <c r="DX485" s="1875"/>
      <c r="DY485" s="445"/>
      <c r="DZ485" s="982"/>
      <c r="EA485" s="982"/>
      <c r="EB485" s="982"/>
      <c r="EC485" s="1875"/>
      <c r="ED485" s="1866"/>
      <c r="EE485" s="982"/>
      <c r="EF485" s="982"/>
      <c r="EG485" s="982"/>
      <c r="EH485" s="1875"/>
      <c r="EI485" s="445"/>
      <c r="EJ485" s="445"/>
      <c r="EK485" s="445"/>
      <c r="EL485" s="445"/>
      <c r="EM485" s="445"/>
      <c r="EN485" s="445"/>
      <c r="EO485" s="445"/>
      <c r="EP485" s="445"/>
      <c r="EQ485" s="445"/>
      <c r="ER485" s="445"/>
      <c r="ES485" s="445"/>
      <c r="ET485" s="445"/>
      <c r="EU485" s="445"/>
      <c r="EV485" s="445"/>
      <c r="EW485" s="445"/>
      <c r="EX485" s="445"/>
    </row>
    <row r="486" spans="2:154" ht="12.75" hidden="1" customHeight="1" outlineLevel="1">
      <c r="B486" s="456" t="s">
        <v>475</v>
      </c>
      <c r="C486" s="1989"/>
      <c r="D486" s="28"/>
      <c r="E486" s="28"/>
      <c r="F486" s="28"/>
      <c r="G486" s="28"/>
      <c r="H486" s="28"/>
      <c r="I486" s="31"/>
      <c r="J486" s="28"/>
      <c r="K486" s="28"/>
      <c r="L486" s="28"/>
      <c r="M486" s="28"/>
      <c r="N486" s="31"/>
      <c r="O486" s="31"/>
      <c r="P486" s="31"/>
      <c r="Q486" s="31"/>
      <c r="R486" s="31"/>
      <c r="S486" s="31"/>
      <c r="T486" s="31"/>
      <c r="U486" s="31"/>
      <c r="V486" s="31"/>
      <c r="W486" s="31"/>
      <c r="X486" s="313"/>
      <c r="Y486" s="31"/>
      <c r="Z486" s="31"/>
      <c r="AA486" s="31"/>
      <c r="AB486" s="31"/>
      <c r="AC486" s="313"/>
      <c r="AD486" s="31"/>
      <c r="AE486" s="31"/>
      <c r="AF486" s="31"/>
      <c r="AG486" s="35"/>
      <c r="AH486" s="313"/>
      <c r="AI486" s="28"/>
      <c r="AJ486" s="28"/>
      <c r="AK486" s="28"/>
      <c r="AL486" s="28"/>
      <c r="AM486" s="313"/>
      <c r="AN486" s="28"/>
      <c r="AO486" s="28"/>
      <c r="AP486" s="28"/>
      <c r="AQ486" s="31"/>
      <c r="AR486" s="313"/>
      <c r="AS486" s="28"/>
      <c r="AT486" s="28"/>
      <c r="AU486" s="28"/>
      <c r="AV486" s="31"/>
      <c r="AW486" s="313"/>
      <c r="AX486" s="28"/>
      <c r="AY486" s="28"/>
      <c r="AZ486" s="28"/>
      <c r="BA486" s="28"/>
      <c r="BB486" s="313"/>
      <c r="BC486" s="28"/>
      <c r="BD486" s="28"/>
      <c r="BE486" s="28"/>
      <c r="BF486" s="28"/>
      <c r="BG486" s="313"/>
      <c r="BH486" s="28"/>
      <c r="BI486" s="28"/>
      <c r="BJ486" s="28"/>
      <c r="BK486" s="28"/>
      <c r="BL486" s="313"/>
      <c r="BM486" s="28"/>
      <c r="BN486" s="28"/>
      <c r="BO486" s="28"/>
      <c r="BP486" s="28"/>
      <c r="BQ486" s="313"/>
      <c r="BR486" s="28"/>
      <c r="BS486" s="28"/>
      <c r="BT486" s="28"/>
      <c r="BU486" s="28"/>
      <c r="BV486" s="313"/>
      <c r="BW486" s="28"/>
      <c r="BX486" s="28"/>
      <c r="BY486" s="28"/>
      <c r="BZ486" s="28"/>
      <c r="CA486" s="313"/>
      <c r="CB486" s="28"/>
      <c r="CC486" s="28"/>
      <c r="CD486" s="28"/>
      <c r="CE486" s="28"/>
      <c r="CF486" s="313"/>
      <c r="CG486" s="28"/>
      <c r="CH486" s="28"/>
      <c r="CI486" s="28"/>
      <c r="CJ486" s="28"/>
      <c r="CK486" s="313"/>
      <c r="CL486" s="28"/>
      <c r="CM486" s="28"/>
      <c r="CN486" s="28"/>
      <c r="CO486" s="28"/>
      <c r="CP486" s="313"/>
      <c r="CQ486" s="933"/>
      <c r="CR486" s="933"/>
      <c r="CS486" s="933"/>
      <c r="CT486" s="933"/>
      <c r="CU486" s="313"/>
      <c r="CV486" s="933"/>
      <c r="CW486" s="933"/>
      <c r="CX486" s="933"/>
      <c r="CY486" s="933"/>
      <c r="CZ486" s="313"/>
      <c r="DA486" s="933"/>
      <c r="DB486" s="31"/>
      <c r="DC486" s="31"/>
      <c r="DD486" s="955"/>
      <c r="DE486" s="477"/>
      <c r="DF486" s="982"/>
      <c r="DG486" s="603"/>
      <c r="DH486" s="603"/>
      <c r="DI486" s="1837"/>
      <c r="DJ486" s="1811"/>
      <c r="DK486" s="1842"/>
      <c r="DL486" s="603"/>
      <c r="DM486" s="603"/>
      <c r="DN486" s="1798"/>
      <c r="DO486" s="477"/>
      <c r="DP486" s="603"/>
      <c r="DQ486" s="603"/>
      <c r="DR486" s="603"/>
      <c r="DS486" s="1798"/>
      <c r="DT486" s="477"/>
      <c r="DU486" s="603"/>
      <c r="DV486" s="603"/>
      <c r="DW486" s="603"/>
      <c r="DX486" s="1798"/>
      <c r="DY486" s="477"/>
      <c r="DZ486" s="603"/>
      <c r="EA486" s="603"/>
      <c r="EB486" s="603"/>
      <c r="EC486" s="1798"/>
      <c r="ED486" s="477"/>
      <c r="EE486" s="603"/>
      <c r="EF486" s="603"/>
      <c r="EG486" s="603"/>
      <c r="EH486" s="1798"/>
      <c r="EI486" s="477"/>
      <c r="EJ486" s="477"/>
      <c r="EK486" s="477"/>
      <c r="EL486" s="477"/>
      <c r="EM486" s="477"/>
      <c r="EN486" s="477"/>
      <c r="EO486" s="477"/>
      <c r="EP486" s="477"/>
      <c r="EQ486" s="477"/>
      <c r="ER486" s="477"/>
      <c r="ES486" s="477"/>
      <c r="ET486" s="477"/>
      <c r="EU486" s="477"/>
      <c r="EV486" s="477"/>
      <c r="EW486" s="477"/>
      <c r="EX486" s="477"/>
    </row>
    <row r="487" spans="2:154" ht="12.75" hidden="1" customHeight="1" outlineLevel="1">
      <c r="B487" s="438" t="s">
        <v>187</v>
      </c>
      <c r="C487" s="1997"/>
      <c r="D487" s="28"/>
      <c r="E487" s="28"/>
      <c r="F487" s="28"/>
      <c r="G487" s="28"/>
      <c r="H487" s="28"/>
      <c r="I487" s="31"/>
      <c r="J487" s="28"/>
      <c r="K487" s="28"/>
      <c r="L487" s="28"/>
      <c r="M487" s="28"/>
      <c r="N487" s="31"/>
      <c r="O487" s="31"/>
      <c r="P487" s="31"/>
      <c r="Q487" s="31"/>
      <c r="R487" s="31"/>
      <c r="S487" s="31"/>
      <c r="T487" s="31"/>
      <c r="U487" s="31"/>
      <c r="V487" s="31"/>
      <c r="W487" s="31"/>
      <c r="X487" s="320"/>
      <c r="Y487" s="31"/>
      <c r="Z487" s="31"/>
      <c r="AA487" s="31"/>
      <c r="AB487" s="31"/>
      <c r="AC487" s="320"/>
      <c r="AD487" s="31"/>
      <c r="AE487" s="31"/>
      <c r="AF487" s="31"/>
      <c r="AG487" s="35"/>
      <c r="AH487" s="320"/>
      <c r="AI487" s="28"/>
      <c r="AJ487" s="28"/>
      <c r="AK487" s="28"/>
      <c r="AL487" s="28"/>
      <c r="AM487" s="320"/>
      <c r="AN487" s="28"/>
      <c r="AO487" s="28"/>
      <c r="AP487" s="28"/>
      <c r="AQ487" s="31"/>
      <c r="AR487" s="320"/>
      <c r="AS487" s="28"/>
      <c r="AT487" s="28"/>
      <c r="AU487" s="28"/>
      <c r="AV487" s="31"/>
      <c r="AW487" s="320"/>
      <c r="AX487" s="28"/>
      <c r="AY487" s="28"/>
      <c r="AZ487" s="33"/>
      <c r="BA487" s="33"/>
      <c r="BB487" s="320"/>
      <c r="BC487" s="33"/>
      <c r="BD487" s="33"/>
      <c r="BE487" s="33"/>
      <c r="BF487" s="33"/>
      <c r="BG487" s="312"/>
      <c r="BH487" s="33">
        <v>72</v>
      </c>
      <c r="BI487" s="33">
        <v>78</v>
      </c>
      <c r="BJ487" s="33">
        <v>75</v>
      </c>
      <c r="BK487" s="33">
        <v>55</v>
      </c>
      <c r="BL487" s="313">
        <f>SUM(BH487:BK487)</f>
      </c>
      <c r="BM487" s="33">
        <v>64</v>
      </c>
      <c r="BN487" s="352">
        <v>56</v>
      </c>
      <c r="BO487" s="352">
        <v>10</v>
      </c>
      <c r="BP487" s="33">
        <v>10</v>
      </c>
      <c r="BQ487" s="313">
        <f>SUM(BM487:BP487)</f>
      </c>
      <c r="BR487" s="33">
        <v>7</v>
      </c>
      <c r="BS487" s="352">
        <v>6</v>
      </c>
      <c r="BT487" s="352">
        <v>9</v>
      </c>
      <c r="BU487" s="352">
        <v>21</v>
      </c>
      <c r="BV487" s="313">
        <f>SUM(BR487:BU487)</f>
      </c>
      <c r="BW487" s="761">
        <v>38</v>
      </c>
      <c r="BX487" s="761">
        <v>32</v>
      </c>
      <c r="BY487" s="761">
        <v>23</v>
      </c>
      <c r="BZ487" s="761">
        <v>5</v>
      </c>
      <c r="CA487" s="313">
        <f>SUM(BW487:BZ487)</f>
      </c>
      <c r="CB487" s="761">
        <v>3</v>
      </c>
      <c r="CC487" s="761">
        <v>5</v>
      </c>
      <c r="CD487" s="761">
        <v>6</v>
      </c>
      <c r="CE487" s="761">
        <v>4</v>
      </c>
      <c r="CF487" s="313">
        <f>SUM(CB487:CE487)</f>
      </c>
      <c r="CG487" s="761">
        <v>2.6</v>
      </c>
      <c r="CH487" s="761">
        <v>4.3</v>
      </c>
      <c r="CI487" s="761">
        <v>5</v>
      </c>
      <c r="CJ487" s="761">
        <v>10</v>
      </c>
      <c r="CK487" s="313">
        <f>SUM(CG487:CJ487)</f>
      </c>
      <c r="CL487" s="761">
        <v>5</v>
      </c>
      <c r="CM487" s="761">
        <v>5</v>
      </c>
      <c r="CN487" s="761">
        <v>2</v>
      </c>
      <c r="CO487" s="761">
        <v>2</v>
      </c>
      <c r="CP487" s="313">
        <f>SUM(CL487:CO487)</f>
      </c>
      <c r="CQ487" s="352"/>
      <c r="CR487" s="352"/>
      <c r="CS487" s="933"/>
      <c r="CT487" s="933"/>
      <c r="CU487" s="313"/>
      <c r="CV487" s="352"/>
      <c r="CW487" s="933"/>
      <c r="CX487" s="933"/>
      <c r="CY487" s="933"/>
      <c r="CZ487" s="313"/>
      <c r="DA487" s="352"/>
      <c r="DB487" s="31"/>
      <c r="DC487" s="31"/>
      <c r="DD487" s="955"/>
      <c r="DE487" s="477"/>
      <c r="DF487" s="1801"/>
      <c r="DG487" s="603"/>
      <c r="DH487" s="603"/>
      <c r="DI487" s="1837"/>
      <c r="DJ487" s="1811"/>
      <c r="DK487" s="1834"/>
      <c r="DL487" s="603"/>
      <c r="DM487" s="603"/>
      <c r="DN487" s="1798"/>
      <c r="DO487" s="477"/>
      <c r="DP487" s="603"/>
      <c r="DQ487" s="603"/>
      <c r="DR487" s="603"/>
      <c r="DS487" s="1798"/>
      <c r="DT487" s="477"/>
      <c r="DU487" s="603"/>
      <c r="DV487" s="603"/>
      <c r="DW487" s="603"/>
      <c r="DX487" s="1798"/>
      <c r="DY487" s="477"/>
      <c r="DZ487" s="603"/>
      <c r="EA487" s="603"/>
      <c r="EB487" s="603"/>
      <c r="EC487" s="1798"/>
      <c r="ED487" s="477"/>
      <c r="EE487" s="603"/>
      <c r="EF487" s="603"/>
      <c r="EG487" s="603"/>
      <c r="EH487" s="1798"/>
      <c r="EI487" s="477"/>
      <c r="EJ487" s="477"/>
      <c r="EK487" s="477"/>
      <c r="EL487" s="477"/>
      <c r="EM487" s="477"/>
      <c r="EN487" s="477"/>
      <c r="EO487" s="477"/>
      <c r="EP487" s="477"/>
      <c r="EQ487" s="477"/>
      <c r="ER487" s="477"/>
      <c r="ES487" s="477"/>
      <c r="ET487" s="477"/>
      <c r="EU487" s="477"/>
      <c r="EV487" s="477"/>
      <c r="EW487" s="477"/>
      <c r="EX487" s="477"/>
    </row>
    <row r="488" spans="2:154" ht="12.75" hidden="1" customHeight="1" outlineLevel="1">
      <c r="B488" s="438" t="s">
        <v>412</v>
      </c>
      <c r="C488" s="1995"/>
      <c r="D488" s="33"/>
      <c r="E488" s="33"/>
      <c r="F488" s="33"/>
      <c r="G488" s="33"/>
      <c r="H488" s="33"/>
      <c r="I488" s="31"/>
      <c r="J488" s="33"/>
      <c r="K488" s="33"/>
      <c r="L488" s="33"/>
      <c r="M488" s="33"/>
      <c r="N488" s="31"/>
      <c r="O488" s="33"/>
      <c r="P488" s="33"/>
      <c r="Q488" s="33"/>
      <c r="R488" s="33"/>
      <c r="S488" s="31"/>
      <c r="T488" s="33"/>
      <c r="U488" s="33"/>
      <c r="V488" s="33"/>
      <c r="W488" s="33"/>
      <c r="X488" s="313"/>
      <c r="Y488" s="33"/>
      <c r="Z488" s="33"/>
      <c r="AA488" s="33"/>
      <c r="AB488" s="33"/>
      <c r="AC488" s="313"/>
      <c r="AD488" s="33"/>
      <c r="AE488" s="33"/>
      <c r="AF488" s="33"/>
      <c r="AG488" s="33"/>
      <c r="AH488" s="313"/>
      <c r="AI488" s="33"/>
      <c r="AJ488" s="33"/>
      <c r="AK488" s="33"/>
      <c r="AL488" s="33"/>
      <c r="AM488" s="313"/>
      <c r="AN488" s="33"/>
      <c r="AO488" s="33"/>
      <c r="AP488" s="33"/>
      <c r="AQ488" s="33"/>
      <c r="AR488" s="313"/>
      <c r="AS488" s="33"/>
      <c r="AT488" s="33"/>
      <c r="AU488" s="33"/>
      <c r="AV488" s="33"/>
      <c r="AW488" s="313"/>
      <c r="AX488" s="33"/>
      <c r="AY488" s="33"/>
      <c r="AZ488" s="33"/>
      <c r="BA488" s="33"/>
      <c r="BB488" s="313"/>
      <c r="BC488" s="33"/>
      <c r="BD488" s="33"/>
      <c r="BE488" s="33"/>
      <c r="BF488" s="33"/>
      <c r="BG488" s="312"/>
      <c r="BH488" s="33">
        <v>8</v>
      </c>
      <c r="BI488" s="33">
        <v>10</v>
      </c>
      <c r="BJ488" s="33">
        <v>9</v>
      </c>
      <c r="BK488" s="33">
        <v>13</v>
      </c>
      <c r="BL488" s="313">
        <f>SUM(BH488:BK488)</f>
      </c>
      <c r="BM488" s="33">
        <v>75</v>
      </c>
      <c r="BN488" s="352">
        <v>82</v>
      </c>
      <c r="BO488" s="352">
        <v>76</v>
      </c>
      <c r="BP488" s="33">
        <v>29</v>
      </c>
      <c r="BQ488" s="313">
        <f>SUM(BM488:BP488)</f>
      </c>
      <c r="BR488" s="33">
        <v>17</v>
      </c>
      <c r="BS488" s="352">
        <v>7</v>
      </c>
      <c r="BT488" s="352">
        <v>7</v>
      </c>
      <c r="BU488" s="352">
        <v>9</v>
      </c>
      <c r="BV488" s="313">
        <f>SUM(BR488:BU488)</f>
      </c>
      <c r="BW488" s="761">
        <v>15</v>
      </c>
      <c r="BX488" s="761">
        <v>15</v>
      </c>
      <c r="BY488" s="761">
        <v>15</v>
      </c>
      <c r="BZ488" s="761">
        <v>8.5</v>
      </c>
      <c r="CA488" s="313">
        <f>SUM(BW488:BZ488)</f>
      </c>
      <c r="CB488" s="761">
        <v>9</v>
      </c>
      <c r="CC488" s="761">
        <v>9</v>
      </c>
      <c r="CD488" s="761">
        <v>14.5</v>
      </c>
      <c r="CE488" s="761">
        <v>7.9</v>
      </c>
      <c r="CF488" s="313">
        <f>SUM(CB488:CE488)</f>
      </c>
      <c r="CG488" s="761">
        <v>7.7</v>
      </c>
      <c r="CH488" s="761">
        <v>7.5</v>
      </c>
      <c r="CI488" s="761">
        <v>12</v>
      </c>
      <c r="CJ488" s="761">
        <v>6.7258291398963737</v>
      </c>
      <c r="CK488" s="313">
        <f>SUM(CG488:CJ488)</f>
      </c>
      <c r="CL488" s="761">
        <v>7.7</v>
      </c>
      <c r="CM488" s="761">
        <v>7</v>
      </c>
      <c r="CN488" s="761">
        <v>10</v>
      </c>
      <c r="CO488" s="761">
        <v>12</v>
      </c>
      <c r="CP488" s="313">
        <f>SUM(CL488:CO488)</f>
      </c>
      <c r="CQ488" s="352"/>
      <c r="CR488" s="352"/>
      <c r="CS488" s="933"/>
      <c r="CT488" s="933"/>
      <c r="CU488" s="313"/>
      <c r="CV488" s="352"/>
      <c r="CW488" s="933"/>
      <c r="CX488" s="933"/>
      <c r="CY488" s="933"/>
      <c r="CZ488" s="313"/>
      <c r="DA488" s="352"/>
      <c r="DB488" s="31"/>
      <c r="DC488" s="31"/>
      <c r="DD488" s="955"/>
      <c r="DE488" s="477"/>
      <c r="DF488" s="1801"/>
      <c r="DG488" s="603"/>
      <c r="DH488" s="603"/>
      <c r="DI488" s="1837"/>
      <c r="DJ488" s="1811"/>
      <c r="DK488" s="1834"/>
      <c r="DL488" s="603"/>
      <c r="DM488" s="603"/>
      <c r="DN488" s="1798"/>
      <c r="DO488" s="477"/>
      <c r="DP488" s="603"/>
      <c r="DQ488" s="603"/>
      <c r="DR488" s="603"/>
      <c r="DS488" s="1798"/>
      <c r="DT488" s="477"/>
      <c r="DU488" s="603"/>
      <c r="DV488" s="603"/>
      <c r="DW488" s="603"/>
      <c r="DX488" s="1798"/>
      <c r="DY488" s="477"/>
      <c r="DZ488" s="603"/>
      <c r="EA488" s="603"/>
      <c r="EB488" s="603"/>
      <c r="EC488" s="1798"/>
      <c r="ED488" s="477"/>
      <c r="EE488" s="603"/>
      <c r="EF488" s="603"/>
      <c r="EG488" s="603"/>
      <c r="EH488" s="1798"/>
      <c r="EI488" s="477"/>
      <c r="EJ488" s="477"/>
      <c r="EK488" s="477"/>
      <c r="EL488" s="477"/>
      <c r="EM488" s="477"/>
      <c r="EN488" s="477"/>
      <c r="EO488" s="477"/>
      <c r="EP488" s="477"/>
      <c r="EQ488" s="477"/>
      <c r="ER488" s="477"/>
      <c r="ES488" s="477"/>
      <c r="ET488" s="477"/>
      <c r="EU488" s="477"/>
      <c r="EV488" s="477"/>
      <c r="EW488" s="477"/>
      <c r="EX488" s="477"/>
    </row>
    <row r="489" spans="2:154" ht="12.75" hidden="1" customHeight="1" outlineLevel="1">
      <c r="B489" s="438" t="s">
        <v>413</v>
      </c>
      <c r="C489" s="1989"/>
      <c r="D489" s="33"/>
      <c r="E489" s="33"/>
      <c r="F489" s="33"/>
      <c r="G489" s="33"/>
      <c r="H489" s="33"/>
      <c r="I489" s="28"/>
      <c r="J489" s="28"/>
      <c r="K489" s="28"/>
      <c r="L489" s="28"/>
      <c r="M489" s="28"/>
      <c r="N489" s="28"/>
      <c r="O489" s="28"/>
      <c r="P489" s="28"/>
      <c r="Q489" s="28"/>
      <c r="R489" s="28"/>
      <c r="S489" s="28"/>
      <c r="T489" s="28"/>
      <c r="U489" s="28"/>
      <c r="V489" s="28"/>
      <c r="W489" s="28"/>
      <c r="X489" s="312"/>
      <c r="Y489" s="28"/>
      <c r="Z489" s="28"/>
      <c r="AA489" s="28"/>
      <c r="AB489" s="28"/>
      <c r="AC489" s="312"/>
      <c r="AD489" s="28"/>
      <c r="AE489" s="28"/>
      <c r="AF489" s="28"/>
      <c r="AG489" s="28"/>
      <c r="AH489" s="312"/>
      <c r="AI489" s="28"/>
      <c r="AJ489" s="28"/>
      <c r="AK489" s="28"/>
      <c r="AL489" s="28"/>
      <c r="AM489" s="312"/>
      <c r="AN489" s="28"/>
      <c r="AO489" s="28"/>
      <c r="AP489" s="28"/>
      <c r="AQ489" s="28"/>
      <c r="AR489" s="312"/>
      <c r="AS489" s="28"/>
      <c r="AT489" s="28"/>
      <c r="AU489" s="28"/>
      <c r="AV489" s="28"/>
      <c r="AW489" s="312"/>
      <c r="AX489" s="28"/>
      <c r="AY489" s="28"/>
      <c r="AZ489" s="28"/>
      <c r="BA489" s="28"/>
      <c r="BB489" s="312"/>
      <c r="BC489" s="28"/>
      <c r="BD489" s="28"/>
      <c r="BE489" s="28"/>
      <c r="BF489" s="28"/>
      <c r="BG489" s="312"/>
      <c r="BH489" s="28">
        <f>+BH488+BH487</f>
      </c>
      <c r="BI489" s="28">
        <f>+BI488+BI487</f>
      </c>
      <c r="BJ489" s="28">
        <f>+BJ488+BJ487</f>
      </c>
      <c r="BK489" s="28">
        <f>+BK487+BK488</f>
      </c>
      <c r="BL489" s="313">
        <f>SUM(BH489:BK489)</f>
      </c>
      <c r="BM489" s="28">
        <f>+BM488+BM487</f>
      </c>
      <c r="BN489" s="28">
        <f>+BN488+BN487</f>
      </c>
      <c r="BO489" s="28">
        <f>+BO488+BO487</f>
      </c>
      <c r="BP489" s="28">
        <f>+BP487+BP488</f>
      </c>
      <c r="BQ489" s="313">
        <f>SUM(BM489:BP489)</f>
      </c>
      <c r="BR489" s="28">
        <f>+BR488+BR487</f>
      </c>
      <c r="BS489" s="28">
        <f>+BS488+BS487</f>
      </c>
      <c r="BT489" s="28">
        <f>+BT488+BT487</f>
      </c>
      <c r="BU489" s="28">
        <f>+BU487+BU488</f>
      </c>
      <c r="BV489" s="313">
        <f>SUM(BR489:BU489)</f>
      </c>
      <c r="BW489" s="28">
        <f>+BW488+BW487</f>
      </c>
      <c r="BX489" s="28">
        <f>+BX488+BX487</f>
      </c>
      <c r="BY489" s="28">
        <f>+BY488+BY487</f>
      </c>
      <c r="BZ489" s="28">
        <f>+BZ488+BZ487</f>
      </c>
      <c r="CA489" s="313">
        <f>SUM(BW489:BZ489)</f>
      </c>
      <c r="CB489" s="28">
        <f>+CB488+CB487</f>
      </c>
      <c r="CC489" s="28">
        <f>+CC488+CC487</f>
      </c>
      <c r="CD489" s="28">
        <f>+CD488+CD487</f>
      </c>
      <c r="CE489" s="28">
        <f>+CE488+CE487</f>
      </c>
      <c r="CF489" s="313">
        <f>SUM(CB489:CE489)</f>
      </c>
      <c r="CG489" s="28">
        <f>+CG488+CG487</f>
      </c>
      <c r="CH489" s="28">
        <f>+CH488+CH487</f>
      </c>
      <c r="CI489" s="28">
        <f>+CI488+CI487</f>
      </c>
      <c r="CJ489" s="28">
        <f>+CJ488+CJ487</f>
      </c>
      <c r="CK489" s="313">
        <f>SUM(CG489:CJ489)</f>
      </c>
      <c r="CL489" s="28">
        <f>+CL488+CL487</f>
      </c>
      <c r="CM489" s="28">
        <f>+CM488+CM487</f>
      </c>
      <c r="CN489" s="28">
        <f>+CN488+CN487</f>
      </c>
      <c r="CO489" s="28">
        <f>+CO488+CO487</f>
      </c>
      <c r="CP489" s="313">
        <f>SUM(CL489:CO489)</f>
      </c>
      <c r="CQ489" s="933"/>
      <c r="CR489" s="933"/>
      <c r="CS489" s="933"/>
      <c r="CT489" s="933"/>
      <c r="CU489" s="313"/>
      <c r="CV489" s="933"/>
      <c r="CW489" s="933"/>
      <c r="CX489" s="933"/>
      <c r="CY489" s="933"/>
      <c r="CZ489" s="313"/>
      <c r="DA489" s="933"/>
      <c r="DB489" s="31"/>
      <c r="DC489" s="31"/>
      <c r="DD489" s="955"/>
      <c r="DE489" s="445"/>
      <c r="DF489" s="982"/>
      <c r="DG489" s="603"/>
      <c r="DH489" s="603"/>
      <c r="DI489" s="1837"/>
      <c r="DJ489" s="1830"/>
      <c r="DK489" s="1842"/>
      <c r="DL489" s="603"/>
      <c r="DM489" s="603"/>
      <c r="DN489" s="1798"/>
      <c r="DO489" s="445"/>
      <c r="DP489" s="603"/>
      <c r="DQ489" s="603"/>
      <c r="DR489" s="603"/>
      <c r="DS489" s="1798"/>
      <c r="DT489" s="445"/>
      <c r="DU489" s="603"/>
      <c r="DV489" s="603"/>
      <c r="DW489" s="603"/>
      <c r="DX489" s="1798"/>
      <c r="DY489" s="445"/>
      <c r="DZ489" s="603"/>
      <c r="EA489" s="603"/>
      <c r="EB489" s="603"/>
      <c r="EC489" s="1798"/>
      <c r="ED489" s="1866"/>
      <c r="EE489" s="603"/>
      <c r="EF489" s="603"/>
      <c r="EG489" s="603"/>
      <c r="EH489" s="1798"/>
      <c r="EI489" s="445"/>
      <c r="EJ489" s="445"/>
      <c r="EK489" s="445"/>
      <c r="EL489" s="445"/>
      <c r="EM489" s="445"/>
      <c r="EN489" s="445"/>
      <c r="EO489" s="445"/>
      <c r="EP489" s="445"/>
      <c r="EQ489" s="445"/>
      <c r="ER489" s="445"/>
      <c r="ES489" s="445"/>
      <c r="ET489" s="445"/>
      <c r="EU489" s="445"/>
      <c r="EV489" s="445"/>
      <c r="EW489" s="445"/>
      <c r="EX489" s="445"/>
    </row>
    <row r="490" spans="2:154" ht="12.75" hidden="1" customHeight="1" outlineLevel="1">
      <c r="B490" s="438"/>
      <c r="C490" s="1989"/>
      <c r="D490" s="33"/>
      <c r="E490" s="33"/>
      <c r="F490" s="33"/>
      <c r="G490" s="33"/>
      <c r="H490" s="33"/>
      <c r="I490" s="31"/>
      <c r="J490" s="33"/>
      <c r="K490" s="33"/>
      <c r="L490" s="33"/>
      <c r="M490" s="33"/>
      <c r="N490" s="31"/>
      <c r="O490" s="33"/>
      <c r="P490" s="33"/>
      <c r="Q490" s="33"/>
      <c r="R490" s="33"/>
      <c r="S490" s="31"/>
      <c r="T490" s="33"/>
      <c r="U490" s="33"/>
      <c r="V490" s="33"/>
      <c r="W490" s="33"/>
      <c r="X490" s="312"/>
      <c r="Y490" s="33"/>
      <c r="Z490" s="33"/>
      <c r="AA490" s="33"/>
      <c r="AB490" s="33"/>
      <c r="AC490" s="312"/>
      <c r="AD490" s="33"/>
      <c r="AE490" s="33"/>
      <c r="AF490" s="33"/>
      <c r="AG490" s="33"/>
      <c r="AH490" s="312"/>
      <c r="AI490" s="33"/>
      <c r="AJ490" s="33"/>
      <c r="AK490" s="33"/>
      <c r="AL490" s="33"/>
      <c r="AM490" s="312"/>
      <c r="AN490" s="33"/>
      <c r="AO490" s="33"/>
      <c r="AP490" s="33"/>
      <c r="AQ490" s="33"/>
      <c r="AR490" s="312"/>
      <c r="AS490" s="28"/>
      <c r="AT490" s="28"/>
      <c r="AU490" s="28"/>
      <c r="AV490" s="28"/>
      <c r="AW490" s="312"/>
      <c r="AX490" s="28"/>
      <c r="AY490" s="28"/>
      <c r="AZ490" s="28"/>
      <c r="BA490" s="28"/>
      <c r="BB490" s="312"/>
      <c r="BC490" s="28"/>
      <c r="BD490" s="28"/>
      <c r="BE490" s="28"/>
      <c r="BF490" s="28"/>
      <c r="BG490" s="312"/>
      <c r="BH490" s="28"/>
      <c r="BI490" s="28"/>
      <c r="BJ490" s="28"/>
      <c r="BK490" s="28"/>
      <c r="BL490" s="312"/>
      <c r="BM490" s="28"/>
      <c r="BN490" s="28"/>
      <c r="BO490" s="28"/>
      <c r="BP490" s="28"/>
      <c r="BQ490" s="312"/>
      <c r="BR490" s="28"/>
      <c r="BS490" s="28"/>
      <c r="BT490" s="28"/>
      <c r="BU490" s="28"/>
      <c r="BV490" s="312"/>
      <c r="BW490" s="28"/>
      <c r="BX490" s="28"/>
      <c r="BY490" s="28"/>
      <c r="BZ490" s="28"/>
      <c r="CA490" s="312"/>
      <c r="CB490" s="28"/>
      <c r="CC490" s="28"/>
      <c r="CD490" s="28"/>
      <c r="CE490" s="28"/>
      <c r="CF490" s="312"/>
      <c r="CG490" s="28"/>
      <c r="CH490" s="28"/>
      <c r="CI490" s="28"/>
      <c r="CJ490" s="28"/>
      <c r="CK490" s="312"/>
      <c r="CL490" s="961"/>
      <c r="CM490" s="28"/>
      <c r="CN490" s="933"/>
      <c r="CO490" s="28"/>
      <c r="CP490" s="312"/>
      <c r="CQ490" s="933"/>
      <c r="CR490" s="933"/>
      <c r="CS490" s="933"/>
      <c r="CT490" s="933"/>
      <c r="CU490" s="312"/>
      <c r="CV490" s="933"/>
      <c r="CW490" s="933"/>
      <c r="CX490" s="933"/>
      <c r="CY490" s="933"/>
      <c r="CZ490" s="312"/>
      <c r="DA490" s="933"/>
      <c r="DB490" s="31"/>
      <c r="DC490" s="31"/>
      <c r="DD490" s="955"/>
      <c r="DE490" s="445"/>
      <c r="DF490" s="982"/>
      <c r="DG490" s="603"/>
      <c r="DH490" s="603"/>
      <c r="DI490" s="1837"/>
      <c r="DJ490" s="1830"/>
      <c r="DK490" s="1842"/>
      <c r="DL490" s="603"/>
      <c r="DM490" s="603"/>
      <c r="DN490" s="1798"/>
      <c r="DO490" s="445"/>
      <c r="DP490" s="603"/>
      <c r="DQ490" s="603"/>
      <c r="DR490" s="603"/>
      <c r="DS490" s="1798"/>
      <c r="DT490" s="445"/>
      <c r="DU490" s="603"/>
      <c r="DV490" s="603"/>
      <c r="DW490" s="603"/>
      <c r="DX490" s="1798"/>
      <c r="DY490" s="445"/>
      <c r="DZ490" s="603"/>
      <c r="EA490" s="603"/>
      <c r="EB490" s="603"/>
      <c r="EC490" s="1798"/>
      <c r="ED490" s="1866"/>
      <c r="EE490" s="603"/>
      <c r="EF490" s="603"/>
      <c r="EG490" s="603"/>
      <c r="EH490" s="1798"/>
      <c r="EI490" s="445"/>
      <c r="EJ490" s="445"/>
      <c r="EK490" s="445"/>
      <c r="EL490" s="445"/>
      <c r="EM490" s="445"/>
      <c r="EN490" s="445"/>
      <c r="EO490" s="445"/>
      <c r="EP490" s="445"/>
      <c r="EQ490" s="445"/>
      <c r="ER490" s="445"/>
      <c r="ES490" s="445"/>
      <c r="ET490" s="445"/>
      <c r="EU490" s="445"/>
      <c r="EV490" s="445"/>
      <c r="EW490" s="445"/>
      <c r="EX490" s="445"/>
    </row>
    <row r="491" spans="2:154" ht="12.75" hidden="1" customHeight="1" outlineLevel="1">
      <c r="B491" s="455" t="s">
        <v>474</v>
      </c>
      <c r="C491" s="1989"/>
      <c r="D491" s="33"/>
      <c r="E491" s="33"/>
      <c r="F491" s="33"/>
      <c r="G491" s="33"/>
      <c r="H491" s="33"/>
      <c r="I491" s="31"/>
      <c r="J491" s="33"/>
      <c r="K491" s="33"/>
      <c r="L491" s="33"/>
      <c r="M491" s="33"/>
      <c r="N491" s="31"/>
      <c r="O491" s="33"/>
      <c r="P491" s="33"/>
      <c r="Q491" s="33"/>
      <c r="R491" s="33"/>
      <c r="S491" s="31"/>
      <c r="T491" s="33"/>
      <c r="U491" s="33"/>
      <c r="V491" s="33"/>
      <c r="W491" s="33"/>
      <c r="X491" s="312"/>
      <c r="Y491" s="33"/>
      <c r="Z491" s="33"/>
      <c r="AA491" s="33"/>
      <c r="AB491" s="33"/>
      <c r="AC491" s="312"/>
      <c r="AD491" s="602"/>
      <c r="AE491" s="602"/>
      <c r="AF491" s="602"/>
      <c r="AG491" s="602"/>
      <c r="AH491" s="445"/>
      <c r="AI491" s="602"/>
      <c r="AJ491" s="602"/>
      <c r="AK491" s="602"/>
      <c r="AL491" s="602"/>
      <c r="AM491" s="445"/>
      <c r="AN491" s="602"/>
      <c r="AO491" s="602"/>
      <c r="AP491" s="602"/>
      <c r="AQ491" s="602"/>
      <c r="AR491" s="445"/>
      <c r="AS491" s="444"/>
      <c r="AT491" s="444"/>
      <c r="AU491" s="444"/>
      <c r="AV491" s="444"/>
      <c r="AW491" s="445"/>
      <c r="AX491" s="28"/>
      <c r="AY491" s="28"/>
      <c r="AZ491" s="28"/>
      <c r="BA491" s="28"/>
      <c r="BB491" s="312"/>
      <c r="BC491" s="28"/>
      <c r="BD491" s="28"/>
      <c r="BE491" s="28"/>
      <c r="BF491" s="28"/>
      <c r="BG491" s="312"/>
      <c r="BH491" s="28"/>
      <c r="BI491" s="28"/>
      <c r="BJ491" s="28"/>
      <c r="BK491" s="28"/>
      <c r="BL491" s="312"/>
      <c r="BM491" s="28"/>
      <c r="BN491" s="28"/>
      <c r="BO491" s="28"/>
      <c r="BP491" s="28"/>
      <c r="BQ491" s="312"/>
      <c r="BR491" s="28"/>
      <c r="BS491" s="28"/>
      <c r="BT491" s="28"/>
      <c r="BU491" s="28"/>
      <c r="BV491" s="312"/>
      <c r="BW491" s="28"/>
      <c r="BX491" s="28"/>
      <c r="BY491" s="28"/>
      <c r="BZ491" s="28"/>
      <c r="CA491" s="312"/>
      <c r="CB491" s="28"/>
      <c r="CC491" s="28"/>
      <c r="CD491" s="28"/>
      <c r="CE491" s="28"/>
      <c r="CF491" s="312"/>
      <c r="CG491" s="28"/>
      <c r="CH491" s="28"/>
      <c r="CI491" s="28"/>
      <c r="CJ491" s="28"/>
      <c r="CK491" s="312"/>
      <c r="CL491" s="961"/>
      <c r="CM491" s="28"/>
      <c r="CN491" s="933"/>
      <c r="CO491" s="28"/>
      <c r="CP491" s="312"/>
      <c r="CQ491" s="933"/>
      <c r="CR491" s="933"/>
      <c r="CS491" s="933"/>
      <c r="CT491" s="933"/>
      <c r="CU491" s="312"/>
      <c r="CV491" s="933"/>
      <c r="CW491" s="933"/>
      <c r="CX491" s="933"/>
      <c r="CY491" s="933"/>
      <c r="CZ491" s="312"/>
      <c r="DA491" s="933"/>
      <c r="DB491" s="31"/>
      <c r="DC491" s="31"/>
      <c r="DD491" s="955"/>
      <c r="DE491" s="445"/>
      <c r="DF491" s="982"/>
      <c r="DG491" s="603"/>
      <c r="DH491" s="603"/>
      <c r="DI491" s="1837"/>
      <c r="DJ491" s="1830"/>
      <c r="DK491" s="1842"/>
      <c r="DL491" s="603"/>
      <c r="DM491" s="603"/>
      <c r="DN491" s="1798"/>
      <c r="DO491" s="445"/>
      <c r="DP491" s="603"/>
      <c r="DQ491" s="603"/>
      <c r="DR491" s="603"/>
      <c r="DS491" s="1798"/>
      <c r="DT491" s="445"/>
      <c r="DU491" s="603"/>
      <c r="DV491" s="603"/>
      <c r="DW491" s="603"/>
      <c r="DX491" s="1798"/>
      <c r="DY491" s="445"/>
      <c r="DZ491" s="603"/>
      <c r="EA491" s="603"/>
      <c r="EB491" s="603"/>
      <c r="EC491" s="1798"/>
      <c r="ED491" s="1866"/>
      <c r="EE491" s="603"/>
      <c r="EF491" s="603"/>
      <c r="EG491" s="603"/>
      <c r="EH491" s="1798"/>
      <c r="EI491" s="445"/>
      <c r="EJ491" s="445"/>
      <c r="EK491" s="445"/>
      <c r="EL491" s="445"/>
      <c r="EM491" s="445"/>
      <c r="EN491" s="445"/>
      <c r="EO491" s="445"/>
      <c r="EP491" s="445"/>
      <c r="EQ491" s="445"/>
      <c r="ER491" s="445"/>
      <c r="ES491" s="445"/>
      <c r="ET491" s="445"/>
      <c r="EU491" s="445"/>
      <c r="EV491" s="445"/>
      <c r="EW491" s="445"/>
      <c r="EX491" s="445"/>
    </row>
    <row r="492" spans="2:154" ht="12.75" hidden="1" customHeight="1" outlineLevel="1">
      <c r="B492" s="441" t="s">
        <v>187</v>
      </c>
      <c r="C492" s="1989"/>
      <c r="D492" s="33"/>
      <c r="E492" s="33"/>
      <c r="F492" s="33"/>
      <c r="G492" s="33"/>
      <c r="H492" s="33"/>
      <c r="I492" s="29"/>
      <c r="J492" s="30"/>
      <c r="K492" s="29"/>
      <c r="L492" s="30"/>
      <c r="M492" s="30"/>
      <c r="N492" s="30"/>
      <c r="O492" s="30"/>
      <c r="P492" s="30"/>
      <c r="Q492" s="30"/>
      <c r="R492" s="30"/>
      <c r="S492" s="30"/>
      <c r="T492" s="30"/>
      <c r="U492" s="30"/>
      <c r="V492" s="30"/>
      <c r="W492" s="30"/>
      <c r="X492" s="308"/>
      <c r="Y492" s="30"/>
      <c r="Z492" s="30"/>
      <c r="AA492" s="30"/>
      <c r="AB492" s="30"/>
      <c r="AC492" s="308"/>
      <c r="AD492" s="30"/>
      <c r="AE492" s="30"/>
      <c r="AF492" s="30"/>
      <c r="AG492" s="30"/>
      <c r="AH492" s="308"/>
      <c r="AI492" s="30"/>
      <c r="AJ492" s="30"/>
      <c r="AK492" s="30"/>
      <c r="AL492" s="30"/>
      <c r="AM492" s="308"/>
      <c r="AN492" s="30"/>
      <c r="AO492" s="30"/>
      <c r="AP492" s="30"/>
      <c r="AQ492" s="30"/>
      <c r="AR492" s="308"/>
      <c r="AS492" s="30"/>
      <c r="AT492" s="30"/>
      <c r="AU492" s="30"/>
      <c r="AV492" s="30"/>
      <c r="AW492" s="308"/>
      <c r="AX492" s="30"/>
      <c r="AY492" s="30"/>
      <c r="AZ492" s="30"/>
      <c r="BA492" s="30"/>
      <c r="BB492" s="308"/>
      <c r="BC492" s="29"/>
      <c r="BD492" s="29"/>
      <c r="BE492" s="29"/>
      <c r="BF492" s="29"/>
      <c r="BG492" s="308"/>
      <c r="BH492" s="29"/>
      <c r="BI492" s="29"/>
      <c r="BJ492" s="30"/>
      <c r="BK492" s="30"/>
      <c r="BL492" s="317"/>
      <c r="BM492" s="30">
        <f t="shared" ref="BM492:BR492" si="1274">IF(BH487="NM","NM",IF(BM487="NM","NM",IF(BH487&lt;=0,"NM",IF(BM487=0,"NM",IF(ABS(BM487/BH487-1)&gt;2.5,"NM",IF((ABS(BM487-BH487)=ABS(ABS(BM487)-ABS(BH487))),(BM487/BH487-1),"NM"))))))</f>
      </c>
      <c r="BN492" s="30">
        <f t="shared" si="1274"/>
      </c>
      <c r="BO492" s="30">
        <f t="shared" si="1274"/>
      </c>
      <c r="BP492" s="30">
        <f t="shared" si="1274"/>
      </c>
      <c r="BQ492" s="308">
        <f t="shared" si="1274"/>
      </c>
      <c r="BR492" s="30">
        <f t="shared" si="1274"/>
      </c>
      <c r="BS492" s="30">
        <f>IF(BN487="NM","NM",IF(BS487="NM","NM",IF(BN487&lt;=0,"NM",IF(BS487=0,"NM",IF(ABS(BS487/BN487-1)&gt;2.5,"NM",IF((ABS(BS487-BN487)=ABS(ABS(BS487)-ABS(BN487))),(BS487/BN487-1),"NM"))))))</f>
      </c>
      <c r="BT492" s="30">
        <f>IF(BO487="NM","NM",IF(BT487="NM","NM",IF(BO487&lt;=0,"NM",IF(BT487=0,"NM",IF(ABS(BT487/BO487-1)&gt;2.5,"NM",IF((ABS(BT487-BO487)=ABS(ABS(BT487)-ABS(BO487))),(BT487/BO487-1),"NM"))))))</f>
      </c>
      <c r="BU492" s="30">
        <f>IF(BP487="NM","NM",IF(BU487="NM","NM",IF(BP487&lt;=0,"NM",IF(BU487=0,"NM",IF(ABS(BU487/BP487-1)&gt;2.5,"NM",IF((ABS(BU487-BP487)=ABS(ABS(BU487)-ABS(BP487))),(BU487/BP487-1),"NM"))))))</f>
      </c>
      <c r="BV492" s="308">
        <f>IF(BQ487="NM","NM",IF(BV487="NM","NM",IF(BQ487&lt;=0,"NM",IF(BV487=0,"NM",IF(ABS(BV487/BQ487-1)&gt;2.5,"NM",IF((ABS(BV487-BQ487)=ABS(ABS(BV487)-ABS(BQ487))),(BV487/BQ487-1),"NM"))))))</f>
      </c>
      <c r="BW492" s="30">
        <f t="shared" ref="BW492:BY493" si="1275">BW487/BR487-1</f>
      </c>
      <c r="BX492" s="30">
        <f t="shared" si="1275"/>
      </c>
      <c r="BY492" s="30">
        <f t="shared" si="1275"/>
      </c>
      <c r="BZ492" s="30">
        <f>IF(BU487="NM","NM",IF(BZ487="NM","NM",IF(BU487&lt;=0,"NM",IF(BZ487=0,"NM",IF(ABS(BZ487/BU487-1)&gt;2.5,"NM",IF((ABS(BZ487-BU487)=ABS(ABS(BZ487)-ABS(BU487))),(BZ487/BU487-1),"NM"))))))</f>
      </c>
      <c r="CA492" s="315">
        <f>IF(BV487="NM","NM",IF(CA487="NM","NM",IF(BV487&lt;=0,"NM",IF(CA487=0,"NM",IF(ABS(CA487/BV487-1)&gt;2.5,"NM",IF((ABS(CA487-BV487)=ABS(ABS(CA487)-ABS(BV487))),(CA487/BV487-1),"NM"))))))</f>
      </c>
      <c r="CB492" s="30">
        <f t="shared" ref="CB492:CD493" si="1276">CB487/BW487-1</f>
      </c>
      <c r="CC492" s="30">
        <f t="shared" si="1276"/>
      </c>
      <c r="CD492" s="30">
        <f t="shared" si="1276"/>
      </c>
      <c r="CE492" s="30">
        <f>IF(BZ487="NM","NM",IF(CE487="NM","NM",IF(BZ487&lt;=0,"NM",IF(CE487=0,"NM",IF(ABS(CE487/BZ487-1)&gt;2.5,"NM",IF((ABS(CE487-BZ487)=ABS(ABS(CE487)-ABS(BZ487))),(CE487/BZ487-1),"NM"))))))</f>
      </c>
      <c r="CF492" s="308">
        <f>IF(CA487="NM","NM",IF(CF487="NM","NM",IF(CA487&lt;=0,"NM",IF(CF487=0,"NM",IF(ABS(CF487/CA487-1)&gt;2.5,"NM",IF((ABS(CF487-CA487)=ABS(ABS(CF487)-ABS(CA487))),(CF487/CA487-1),"NM"))))))</f>
      </c>
      <c r="CG492" s="30">
        <f t="shared" ref="CG492:CI493" si="1277">CG487/CB487-1</f>
      </c>
      <c r="CH492" s="30">
        <f t="shared" si="1277"/>
      </c>
      <c r="CI492" s="30">
        <f t="shared" si="1277"/>
      </c>
      <c r="CJ492" s="30">
        <f>CJ487/CE487-1</f>
      </c>
      <c r="CK492" s="308">
        <f>IF(CF487=0,0, CK487/CF487-1)</f>
      </c>
      <c r="CL492" s="30">
        <f t="shared" ref="CL492:CN493" si="1278">CL487/CG487-1</f>
      </c>
      <c r="CM492" s="30">
        <f t="shared" si="1278"/>
      </c>
      <c r="CN492" s="30">
        <f t="shared" si="1278"/>
      </c>
      <c r="CO492" s="30">
        <f>CO487/CJ487-1</f>
      </c>
      <c r="CP492" s="308">
        <f>IF(CK487=0,0, CP487/CK487-1)</f>
      </c>
      <c r="CQ492" s="30"/>
      <c r="CR492" s="30"/>
      <c r="CS492" s="361"/>
      <c r="CT492" s="361"/>
      <c r="CU492" s="308"/>
      <c r="CV492" s="30"/>
      <c r="CW492" s="361"/>
      <c r="CX492" s="361"/>
      <c r="CY492" s="361"/>
      <c r="CZ492" s="308"/>
      <c r="DA492" s="30"/>
      <c r="DB492" s="361"/>
      <c r="DC492" s="361"/>
      <c r="DD492" s="835"/>
      <c r="DE492" s="316"/>
      <c r="DF492" s="30"/>
      <c r="DG492" s="361"/>
      <c r="DH492" s="361"/>
      <c r="DI492" s="1237"/>
      <c r="DJ492" s="1237"/>
      <c r="DK492" s="1361"/>
      <c r="DL492" s="361"/>
      <c r="DM492" s="361"/>
      <c r="DN492" s="835"/>
      <c r="DO492" s="835"/>
      <c r="DP492" s="361"/>
      <c r="DQ492" s="361"/>
      <c r="DR492" s="361"/>
      <c r="DS492" s="835"/>
      <c r="DT492" s="835"/>
      <c r="DU492" s="361"/>
      <c r="DV492" s="361"/>
      <c r="DW492" s="361"/>
      <c r="DX492" s="835"/>
      <c r="DY492" s="835"/>
      <c r="DZ492" s="361"/>
      <c r="EA492" s="361"/>
      <c r="EB492" s="361"/>
      <c r="EC492" s="835"/>
      <c r="ED492" s="835"/>
      <c r="EE492" s="361"/>
      <c r="EF492" s="361"/>
      <c r="EG492" s="361"/>
      <c r="EH492" s="835"/>
      <c r="EI492" s="835"/>
      <c r="EJ492" s="316"/>
      <c r="EK492" s="316"/>
      <c r="EL492" s="316"/>
      <c r="EM492" s="316"/>
      <c r="EN492" s="316"/>
      <c r="EO492" s="316"/>
      <c r="EP492" s="316"/>
      <c r="EQ492" s="316"/>
      <c r="ER492" s="316"/>
      <c r="ES492" s="316"/>
      <c r="ET492" s="316"/>
      <c r="EU492" s="316"/>
      <c r="EV492" s="316"/>
      <c r="EW492" s="316"/>
      <c r="EX492" s="316"/>
    </row>
    <row r="493" spans="2:154" ht="12.75" hidden="1" customHeight="1" outlineLevel="1">
      <c r="B493" s="441" t="s">
        <v>412</v>
      </c>
      <c r="C493" s="1989"/>
      <c r="D493" s="33"/>
      <c r="E493" s="33"/>
      <c r="F493" s="33"/>
      <c r="G493" s="33"/>
      <c r="H493" s="33"/>
      <c r="I493" s="30"/>
      <c r="J493" s="30"/>
      <c r="K493" s="30"/>
      <c r="L493" s="30"/>
      <c r="M493" s="30"/>
      <c r="N493" s="30"/>
      <c r="O493" s="30"/>
      <c r="P493" s="30"/>
      <c r="Q493" s="30"/>
      <c r="R493" s="30"/>
      <c r="S493" s="30"/>
      <c r="T493" s="30"/>
      <c r="U493" s="30"/>
      <c r="V493" s="30"/>
      <c r="W493" s="30"/>
      <c r="X493" s="308"/>
      <c r="Y493" s="30"/>
      <c r="Z493" s="30"/>
      <c r="AA493" s="30"/>
      <c r="AB493" s="30"/>
      <c r="AC493" s="308"/>
      <c r="AD493" s="30" t="str">
        <f t="shared" ref="AD493:AV493" si="1279">IF(Y488="NM","NM",IF(AD488="NM","NM",IF(Y488&lt;=0,"NM",IF(AD488=0,"NM",IF(ABS(AD488/Y488-1)&gt;2.5,"NM",IF((ABS(AD488-Y488)=ABS(ABS(AD488)-ABS(Y488))),(AD488/Y488-1),"NM"))))))</f>
      </c>
      <c r="AE493" s="30" t="str">
        <f t="shared" si="1279"/>
      </c>
      <c r="AF493" s="30" t="str">
        <f t="shared" si="1279"/>
      </c>
      <c r="AG493" s="30" t="str">
        <f t="shared" si="1279"/>
      </c>
      <c r="AH493" s="308" t="str">
        <f t="shared" si="1279"/>
      </c>
      <c r="AI493" s="30" t="str">
        <f t="shared" si="1279"/>
      </c>
      <c r="AJ493" s="30" t="str">
        <f t="shared" si="1279"/>
      </c>
      <c r="AK493" s="30" t="str">
        <f t="shared" si="1279"/>
      </c>
      <c r="AL493" s="30" t="str">
        <f t="shared" si="1279"/>
      </c>
      <c r="AM493" s="308" t="str">
        <f t="shared" si="1279"/>
      </c>
      <c r="AN493" s="30" t="str">
        <f t="shared" si="1279"/>
      </c>
      <c r="AO493" s="30" t="str">
        <f t="shared" si="1279"/>
      </c>
      <c r="AP493" s="30" t="str">
        <f t="shared" si="1279"/>
      </c>
      <c r="AQ493" s="30" t="str">
        <f t="shared" si="1279"/>
      </c>
      <c r="AR493" s="308" t="str">
        <f t="shared" si="1279"/>
      </c>
      <c r="AS493" s="30" t="str">
        <f t="shared" si="1279"/>
      </c>
      <c r="AT493" s="30" t="str">
        <f t="shared" si="1279"/>
      </c>
      <c r="AU493" s="30" t="str">
        <f t="shared" si="1279"/>
      </c>
      <c r="AV493" s="30" t="str">
        <f t="shared" si="1279"/>
      </c>
      <c r="AW493" s="308"/>
      <c r="AX493" s="30"/>
      <c r="AY493" s="30"/>
      <c r="AZ493" s="30"/>
      <c r="BA493" s="30"/>
      <c r="BB493" s="308"/>
      <c r="BC493" s="30"/>
      <c r="BD493" s="30"/>
      <c r="BE493" s="30"/>
      <c r="BF493" s="30"/>
      <c r="BG493" s="308"/>
      <c r="BH493" s="30"/>
      <c r="BI493" s="30"/>
      <c r="BJ493" s="30"/>
      <c r="BK493" s="30"/>
      <c r="BL493" s="308"/>
      <c r="BM493" s="30" t="s">
        <v>463</v>
      </c>
      <c r="BN493" s="30" t="s">
        <v>463</v>
      </c>
      <c r="BO493" s="30" t="s">
        <v>463</v>
      </c>
      <c r="BP493" s="30" t="s">
        <v>463</v>
      </c>
      <c r="BQ493" s="308" t="str">
        <f>IF(BL488="NM","NM",IF(BQ488="NM","NM",IF(BL488&lt;=0,"NM",IF(BQ488=0,"NM",IF(ABS(BQ488/BL488-1)&gt;2.5,"NM",IF((ABS(BQ488-BL488)=ABS(ABS(BQ488)-ABS(BL488))),(BQ488/BL488-1),"NM"))))))</f>
      </c>
      <c r="BR493" s="30">
        <f>IF(ISNUMBER(BR494),(1+BR494)*(1+BR$21)-1,"NM")</f>
      </c>
      <c r="BS493" s="30">
        <f>IF(ISNUMBER(BS494),(1+BS494)*(1+BS$21)-1,"NM")</f>
      </c>
      <c r="BT493" s="30">
        <f>IF(ISNUMBER(BT494),(1+BT494)*(1+BT$21)-1,"NM")</f>
      </c>
      <c r="BU493" s="30">
        <f>IF(BP488="NM","NM",IF(BU488="NM","NM",IF(BP488&lt;=0,"NM",IF(BU488=0,"NM",IF(ABS(BU488/BP488-1)&gt;2.5,"NM",IF((ABS(BU488-BP488)=ABS(ABS(BU488)-ABS(BP488))),(BU488/BP488-1),"NM"))))))</f>
      </c>
      <c r="BV493" s="308">
        <f>IF(BQ488="NM","NM",IF(BV488="NM","NM",IF(BQ488&lt;=0,"NM",IF(BV488=0,"NM",IF(ABS(BV488/BQ488-1)&gt;2.5,"NM",IF((ABS(BV488-BQ488)=ABS(ABS(BV488)-ABS(BQ488))),(BV488/BQ488-1),"NM"))))))</f>
      </c>
      <c r="BW493" s="30">
        <f t="shared" si="1275"/>
      </c>
      <c r="BX493" s="30">
        <f t="shared" si="1275"/>
      </c>
      <c r="BY493" s="30">
        <f t="shared" si="1275"/>
      </c>
      <c r="BZ493" s="30">
        <f>IF(BU488="NM","NM",IF(BZ488="NM","NM",IF(BU488&lt;=0,"NM",IF(BZ488=0,"NM",IF(ABS(BZ488/BU488-1)&gt;2.5,"NM",IF((ABS(BZ488-BU488)=ABS(ABS(BZ488)-ABS(BU488))),(BZ488/BU488-1),"NM"))))))</f>
      </c>
      <c r="CA493" s="315">
        <f>IF(BV488="NM","NM",IF(CA488="NM","NM",IF(BV488&lt;=0,"NM",IF(CA488=0,"NM",IF(ABS(CA488/BV488-1)&gt;2.5,"NM",IF((ABS(CA488-BV488)=ABS(ABS(CA488)-ABS(BV488))),(CA488/BV488-1),"NM"))))))</f>
      </c>
      <c r="CB493" s="30">
        <f t="shared" si="1276"/>
      </c>
      <c r="CC493" s="30">
        <f t="shared" si="1276"/>
      </c>
      <c r="CD493" s="30">
        <f t="shared" si="1276"/>
      </c>
      <c r="CE493" s="30">
        <f>IF(BZ488="NM","NM",IF(CE488="NM","NM",IF(BZ488&lt;=0,"NM",IF(CE488=0,"NM",IF(ABS(CE488/BZ488-1)&gt;2.5,"NM",IF((ABS(CE488-BZ488)=ABS(ABS(CE488)-ABS(BZ488))),(CE488/BZ488-1),"NM"))))))</f>
      </c>
      <c r="CF493" s="308">
        <f>IF(CA488="NM","NM",IF(CF488="NM","NM",IF(CA488&lt;=0,"NM",IF(CF488=0,"NM",IF(ABS(CF488/CA488-1)&gt;2.5,"NM",IF((ABS(CF488-CA488)=ABS(ABS(CF488)-ABS(CA488))),(CF488/CA488-1),"NM"))))))</f>
      </c>
      <c r="CG493" s="30">
        <f t="shared" si="1277"/>
      </c>
      <c r="CH493" s="30">
        <f t="shared" si="1277"/>
      </c>
      <c r="CI493" s="30">
        <f t="shared" si="1277"/>
      </c>
      <c r="CJ493" s="30">
        <f>CJ488/CE488-1</f>
      </c>
      <c r="CK493" s="308">
        <f>IF(CF488=0,0, CK488/CF488-1)</f>
      </c>
      <c r="CL493" s="30">
        <f t="shared" si="1278"/>
      </c>
      <c r="CM493" s="30">
        <f t="shared" si="1278"/>
      </c>
      <c r="CN493" s="30">
        <f t="shared" si="1278"/>
      </c>
      <c r="CO493" s="30">
        <f>CO488/CJ488-1</f>
      </c>
      <c r="CP493" s="308">
        <f>IF(CK488=0,0, CP488/CK488-1)</f>
      </c>
      <c r="CQ493" s="30"/>
      <c r="CR493" s="30"/>
      <c r="CS493" s="926"/>
      <c r="CT493" s="926"/>
      <c r="CU493" s="308"/>
      <c r="CV493" s="30"/>
      <c r="CW493" s="926"/>
      <c r="CX493" s="926"/>
      <c r="CY493" s="926"/>
      <c r="CZ493" s="308"/>
      <c r="DA493" s="30"/>
      <c r="DB493" s="959"/>
      <c r="DC493" s="959"/>
      <c r="DD493" s="960"/>
      <c r="DE493" s="308"/>
      <c r="DF493" s="30"/>
      <c r="DG493" s="926"/>
      <c r="DH493" s="926"/>
      <c r="DI493" s="1235"/>
      <c r="DJ493" s="1233"/>
      <c r="DK493" s="1361"/>
      <c r="DL493" s="926"/>
      <c r="DM493" s="926"/>
      <c r="DN493" s="928"/>
      <c r="DO493" s="308"/>
      <c r="DP493" s="926"/>
      <c r="DQ493" s="926"/>
      <c r="DR493" s="926"/>
      <c r="DS493" s="928"/>
      <c r="DT493" s="308"/>
      <c r="DU493" s="926"/>
      <c r="DV493" s="926"/>
      <c r="DW493" s="926"/>
      <c r="DX493" s="928"/>
      <c r="DY493" s="308"/>
      <c r="DZ493" s="926"/>
      <c r="EA493" s="926"/>
      <c r="EB493" s="926"/>
      <c r="EC493" s="928"/>
      <c r="ED493" s="1060"/>
      <c r="EE493" s="926"/>
      <c r="EF493" s="926"/>
      <c r="EG493" s="926"/>
      <c r="EH493" s="928"/>
      <c r="EI493" s="308"/>
      <c r="EJ493" s="308"/>
      <c r="EK493" s="308"/>
      <c r="EL493" s="308"/>
      <c r="EM493" s="308"/>
      <c r="EN493" s="308"/>
      <c r="EO493" s="308"/>
      <c r="EP493" s="308"/>
      <c r="EQ493" s="308"/>
      <c r="ER493" s="308"/>
      <c r="ES493" s="308"/>
      <c r="ET493" s="308"/>
      <c r="EU493" s="308"/>
      <c r="EV493" s="308"/>
      <c r="EW493" s="308"/>
      <c r="EX493" s="308"/>
    </row>
    <row r="494" spans="2:154" ht="12.75" hidden="1" customHeight="1" outlineLevel="1">
      <c r="B494" s="441" t="s">
        <v>256</v>
      </c>
      <c r="C494" s="1989"/>
      <c r="D494" s="33"/>
      <c r="E494" s="33"/>
      <c r="F494" s="33"/>
      <c r="G494" s="33"/>
      <c r="H494" s="33"/>
      <c r="I494" s="24"/>
      <c r="J494" s="1"/>
      <c r="K494" s="1"/>
      <c r="L494" s="1"/>
      <c r="M494" s="1"/>
      <c r="N494" s="24"/>
      <c r="O494" s="24"/>
      <c r="P494" s="24"/>
      <c r="Q494" s="24"/>
      <c r="R494" s="24"/>
      <c r="S494" s="1"/>
      <c r="T494" s="24"/>
      <c r="U494" s="24"/>
      <c r="V494" s="24"/>
      <c r="W494" s="24"/>
      <c r="X494" s="315"/>
      <c r="Y494" s="24"/>
      <c r="Z494" s="24"/>
      <c r="AA494" s="24"/>
      <c r="AB494" s="24"/>
      <c r="AC494" s="315"/>
      <c r="AD494" s="601"/>
      <c r="AE494" s="601"/>
      <c r="AF494" s="601"/>
      <c r="AG494" s="601"/>
      <c r="AH494" s="308"/>
      <c r="AI494" s="30" t="str">
        <f t="shared" ref="AI494:AV494" si="1280">IF(ISNUMBER(AI493),(1+AI493)/(1+AI$21)-1,"NM")</f>
      </c>
      <c r="AJ494" s="30" t="str">
        <f t="shared" si="1280"/>
      </c>
      <c r="AK494" s="30" t="str">
        <f t="shared" si="1280"/>
      </c>
      <c r="AL494" s="30" t="str">
        <f t="shared" si="1280"/>
      </c>
      <c r="AM494" s="308" t="str">
        <f t="shared" si="1280"/>
      </c>
      <c r="AN494" s="30" t="str">
        <f t="shared" si="1280"/>
      </c>
      <c r="AO494" s="30" t="str">
        <f t="shared" si="1280"/>
      </c>
      <c r="AP494" s="30" t="str">
        <f t="shared" si="1280"/>
      </c>
      <c r="AQ494" s="30" t="str">
        <f t="shared" si="1280"/>
      </c>
      <c r="AR494" s="308" t="str">
        <f t="shared" si="1280"/>
      </c>
      <c r="AS494" s="30" t="str">
        <f t="shared" si="1280"/>
      </c>
      <c r="AT494" s="30" t="str">
        <f t="shared" si="1280"/>
      </c>
      <c r="AU494" s="30" t="str">
        <f t="shared" si="1280"/>
      </c>
      <c r="AV494" s="30" t="str">
        <f t="shared" si="1280"/>
      </c>
      <c r="AW494" s="308"/>
      <c r="AX494" s="8"/>
      <c r="AY494" s="8"/>
      <c r="AZ494" s="8"/>
      <c r="BA494" s="8"/>
      <c r="BB494" s="315"/>
      <c r="BC494" s="8"/>
      <c r="BD494" s="8"/>
      <c r="BE494" s="8"/>
      <c r="BF494" s="8"/>
      <c r="BG494" s="309"/>
      <c r="BH494" s="8"/>
      <c r="BI494" s="8"/>
      <c r="BJ494" s="8"/>
      <c r="BK494" s="8"/>
      <c r="BL494" s="315"/>
      <c r="BM494" s="30" t="s">
        <v>463</v>
      </c>
      <c r="BN494" s="30" t="s">
        <v>463</v>
      </c>
      <c r="BO494" s="30" t="s">
        <v>463</v>
      </c>
      <c r="BP494" s="30" t="s">
        <v>463</v>
      </c>
      <c r="BQ494" s="308" t="str">
        <f>IF(ISNUMBER(BQ493),(1+BQ493)/(1+BQ$21)-1,"NM")</f>
      </c>
      <c r="BR494" s="29">
        <v>-0.76200000000000001</v>
      </c>
      <c r="BS494" s="29">
        <v>-0.89900000000000002</v>
      </c>
      <c r="BT494" s="29">
        <v>-0.89600000000000002</v>
      </c>
      <c r="BU494" s="649">
        <v>-0.68300000000000005</v>
      </c>
      <c r="BV494" s="308">
        <f>IF(ISNUMBER(BV493),(1+BV493)/(1+BV$21)-1,"NM")</f>
      </c>
      <c r="BW494" s="29">
        <v>0.83399999999999996</v>
      </c>
      <c r="BX494" s="29">
        <v>-0.02</v>
      </c>
      <c r="BY494" s="29">
        <v>-0.02</v>
      </c>
      <c r="BZ494" s="835">
        <v>-0.02</v>
      </c>
      <c r="CA494" s="308">
        <f t="shared" ref="CA494:CJ494" si="1281">IF(ISNUMBER(CA493),(1+CA493)/(1+CA$21)-1,"NM")</f>
      </c>
      <c r="CB494" s="41">
        <f t="shared" si="1281"/>
      </c>
      <c r="CC494" s="41">
        <f t="shared" si="1281"/>
      </c>
      <c r="CD494" s="41">
        <f t="shared" si="1281"/>
      </c>
      <c r="CE494" s="927">
        <f t="shared" si="1281"/>
      </c>
      <c r="CF494" s="308">
        <f t="shared" si="1281"/>
      </c>
      <c r="CG494" s="41">
        <f t="shared" si="1281"/>
      </c>
      <c r="CH494" s="41">
        <f t="shared" si="1281"/>
      </c>
      <c r="CI494" s="41">
        <f t="shared" si="1281"/>
      </c>
      <c r="CJ494" s="41">
        <f t="shared" si="1281"/>
      </c>
      <c r="CK494" s="308">
        <f>CK493-CK$21</f>
      </c>
      <c r="CL494" s="41">
        <f>IF(ISNUMBER(CL493),(1+CL493)/(1+CL$21)-1,"NM")</f>
      </c>
      <c r="CM494" s="41">
        <f>IF(ISNUMBER(CM493),(1+CM493)/(1+CM$21)-1,"NM")</f>
      </c>
      <c r="CN494" s="41">
        <f>IF(ISNUMBER(CN493),(1+CN493)/(1+CN$21)-1,"NM")</f>
      </c>
      <c r="CO494" s="41">
        <f>IF(ISNUMBER(CO493),(1+CO493)/(1+CO$21)-1,"NM")</f>
      </c>
      <c r="CP494" s="308">
        <f>CP493-CP$21</f>
      </c>
      <c r="CQ494" s="41"/>
      <c r="CR494" s="41"/>
      <c r="CS494" s="361"/>
      <c r="CT494" s="361"/>
      <c r="CU494" s="308"/>
      <c r="CV494" s="41"/>
      <c r="CW494" s="361"/>
      <c r="CX494" s="361"/>
      <c r="CY494" s="361"/>
      <c r="CZ494" s="308"/>
      <c r="DA494" s="41"/>
      <c r="DB494" s="361"/>
      <c r="DC494" s="361"/>
      <c r="DD494" s="835"/>
      <c r="DE494" s="316"/>
      <c r="DF494" s="41"/>
      <c r="DG494" s="361"/>
      <c r="DH494" s="361"/>
      <c r="DI494" s="1237"/>
      <c r="DJ494" s="1237"/>
      <c r="DK494" s="1539"/>
      <c r="DL494" s="361"/>
      <c r="DM494" s="361"/>
      <c r="DN494" s="835"/>
      <c r="DO494" s="835"/>
      <c r="DP494" s="361"/>
      <c r="DQ494" s="361"/>
      <c r="DR494" s="361"/>
      <c r="DS494" s="835"/>
      <c r="DT494" s="835"/>
      <c r="DU494" s="361"/>
      <c r="DV494" s="361"/>
      <c r="DW494" s="361"/>
      <c r="DX494" s="835"/>
      <c r="DY494" s="835"/>
      <c r="DZ494" s="361"/>
      <c r="EA494" s="361"/>
      <c r="EB494" s="361"/>
      <c r="EC494" s="835"/>
      <c r="ED494" s="835"/>
      <c r="EE494" s="361"/>
      <c r="EF494" s="361"/>
      <c r="EG494" s="361"/>
      <c r="EH494" s="835"/>
      <c r="EI494" s="835"/>
      <c r="EJ494" s="316"/>
      <c r="EK494" s="316"/>
      <c r="EL494" s="316"/>
      <c r="EM494" s="316"/>
      <c r="EN494" s="316"/>
      <c r="EO494" s="316"/>
      <c r="EP494" s="316"/>
      <c r="EQ494" s="316"/>
      <c r="ER494" s="316"/>
      <c r="ES494" s="316"/>
      <c r="ET494" s="316"/>
      <c r="EU494" s="316"/>
      <c r="EV494" s="316"/>
      <c r="EW494" s="316"/>
      <c r="EX494" s="316"/>
    </row>
    <row r="495" spans="2:154" ht="12.75" hidden="1" customHeight="1" outlineLevel="1">
      <c r="B495" s="441" t="s">
        <v>413</v>
      </c>
      <c r="C495" s="1989"/>
      <c r="D495" s="33"/>
      <c r="E495" s="33"/>
      <c r="F495" s="33"/>
      <c r="G495" s="33"/>
      <c r="H495" s="33"/>
      <c r="I495" s="30"/>
      <c r="J495" s="30"/>
      <c r="K495" s="30"/>
      <c r="L495" s="30"/>
      <c r="M495" s="30"/>
      <c r="N495" s="30"/>
      <c r="O495" s="30"/>
      <c r="P495" s="30"/>
      <c r="Q495" s="30"/>
      <c r="R495" s="30"/>
      <c r="S495" s="30"/>
      <c r="T495" s="30"/>
      <c r="U495" s="30"/>
      <c r="V495" s="30"/>
      <c r="W495" s="30"/>
      <c r="X495" s="308"/>
      <c r="Y495" s="30"/>
      <c r="Z495" s="30"/>
      <c r="AA495" s="30"/>
      <c r="AB495" s="30"/>
      <c r="AC495" s="308"/>
      <c r="AD495" s="30" t="str">
        <f t="shared" ref="AD495:AV495" si="1282">IF(Y489="NM","NM",IF(AD489="NM","NM",IF(Y489&lt;=0,"NM",IF(AD489=0,"NM",IF(ABS(AD489/Y489-1)&gt;2.5,"NM",IF((ABS(AD489-Y489)=ABS(ABS(AD489)-ABS(Y489))),(AD489/Y489-1),"NM"))))))</f>
      </c>
      <c r="AE495" s="30" t="str">
        <f t="shared" si="1282"/>
      </c>
      <c r="AF495" s="30" t="str">
        <f t="shared" si="1282"/>
      </c>
      <c r="AG495" s="30" t="str">
        <f t="shared" si="1282"/>
      </c>
      <c r="AH495" s="308" t="str">
        <f t="shared" si="1282"/>
      </c>
      <c r="AI495" s="30" t="str">
        <f t="shared" si="1282"/>
      </c>
      <c r="AJ495" s="30" t="str">
        <f t="shared" si="1282"/>
      </c>
      <c r="AK495" s="30" t="str">
        <f t="shared" si="1282"/>
      </c>
      <c r="AL495" s="30" t="str">
        <f t="shared" si="1282"/>
      </c>
      <c r="AM495" s="308" t="str">
        <f t="shared" si="1282"/>
      </c>
      <c r="AN495" s="30" t="str">
        <f t="shared" si="1282"/>
      </c>
      <c r="AO495" s="30" t="str">
        <f t="shared" si="1282"/>
      </c>
      <c r="AP495" s="30" t="str">
        <f t="shared" si="1282"/>
      </c>
      <c r="AQ495" s="30" t="str">
        <f t="shared" si="1282"/>
      </c>
      <c r="AR495" s="308" t="str">
        <f t="shared" si="1282"/>
      </c>
      <c r="AS495" s="30" t="str">
        <f t="shared" si="1282"/>
      </c>
      <c r="AT495" s="30" t="str">
        <f t="shared" si="1282"/>
      </c>
      <c r="AU495" s="30" t="str">
        <f t="shared" si="1282"/>
      </c>
      <c r="AV495" s="30" t="str">
        <f t="shared" si="1282"/>
      </c>
      <c r="AW495" s="308"/>
      <c r="AX495" s="30"/>
      <c r="AY495" s="30"/>
      <c r="AZ495" s="30"/>
      <c r="BA495" s="30"/>
      <c r="BB495" s="308"/>
      <c r="BC495" s="30"/>
      <c r="BD495" s="30"/>
      <c r="BE495" s="30"/>
      <c r="BF495" s="30"/>
      <c r="BG495" s="308"/>
      <c r="BH495" s="30"/>
      <c r="BI495" s="30"/>
      <c r="BJ495" s="30"/>
      <c r="BK495" s="30"/>
      <c r="BL495" s="308"/>
      <c r="BM495" s="30">
        <f t="shared" ref="BM495:CA495" si="1283">IF(BH489="NM","NM",IF(BM489="NM","NM",IF(BH489&lt;=0,"NM",IF(BM489=0,"NM",IF(ABS(BM489/BH489-1)&gt;2.5,"NM",IF((ABS(BM489-BH489)=ABS(ABS(BM489)-ABS(BH489))),(BM489/BH489-1),"NM"))))))</f>
      </c>
      <c r="BN495" s="30">
        <f t="shared" si="1283"/>
      </c>
      <c r="BO495" s="30">
        <f t="shared" si="1283"/>
      </c>
      <c r="BP495" s="30">
        <f t="shared" si="1283"/>
      </c>
      <c r="BQ495" s="308">
        <f t="shared" si="1283"/>
      </c>
      <c r="BR495" s="30">
        <f t="shared" si="1283"/>
      </c>
      <c r="BS495" s="30">
        <f t="shared" si="1283"/>
      </c>
      <c r="BT495" s="30">
        <f t="shared" si="1283"/>
      </c>
      <c r="BU495" s="30">
        <f t="shared" si="1283"/>
      </c>
      <c r="BV495" s="308">
        <f t="shared" si="1283"/>
      </c>
      <c r="BW495" s="30">
        <f t="shared" si="1283"/>
      </c>
      <c r="BX495" s="30" t="str">
        <f t="shared" si="1283"/>
      </c>
      <c r="BY495" s="30">
        <f t="shared" si="1283"/>
      </c>
      <c r="BZ495" s="30">
        <f t="shared" si="1283"/>
      </c>
      <c r="CA495" s="308">
        <f t="shared" si="1283"/>
      </c>
      <c r="CB495" s="30">
        <f t="shared" ref="CB495:CH495" si="1284">IF(BW489="NM","NM",IF(CB489="NM","NM",IF(BW489&lt;=0,"NM",IF(CB489=0,"NM",IF(ABS(CB489/BW489-1)&gt;2.5,"NM",IF((ABS(CB489-BW489)=ABS(ABS(CB489)-ABS(BW489))),(CB489/BW489-1),"NM"))))))</f>
      </c>
      <c r="CC495" s="30">
        <f t="shared" si="1284"/>
      </c>
      <c r="CD495" s="30">
        <f>IF(BY489="NM","NM",IF(CD489="NM","NM",IF(BY489&lt;=0,"NM",IF(CD489=0,"NM",IF(ABS(CD489/BY489-1)&gt;2.5,"NM",IF((ABS(CD489-BY489)=ABS(ABS(CD489)-ABS(BY489))),(CD489/BY489-1),"NM"))))))</f>
      </c>
      <c r="CE495" s="30">
        <f>IF(BZ489="NM","NM",IF(CE489="NM","NM",IF(BZ489&lt;=0,"NM",IF(CE489=0,"NM",IF(ABS(CE489/BZ489-1)&gt;2.5,"NM",IF((ABS(CE489-BZ489)=ABS(ABS(CE489)-ABS(BZ489))),(CE489/BZ489-1),"NM"))))))</f>
      </c>
      <c r="CF495" s="308">
        <f>IF(CA489="NM","NM",IF(CF489="NM","NM",IF(CA489&lt;=0,"NM",IF(CF489=0,"NM",IF(ABS(CF489/CA489-1)&gt;2.5,"NM",IF((ABS(CF489-CA489)=ABS(ABS(CF489)-ABS(CA489))),(CF489/CA489-1),"NM"))))))</f>
      </c>
      <c r="CG495" s="30">
        <f t="shared" si="1284"/>
      </c>
      <c r="CH495" s="30">
        <f t="shared" si="1284"/>
      </c>
      <c r="CI495" s="30">
        <f>IF(CD489="NM","NM",IF(CI489="NM","NM",IF(CD489&lt;=0,"NM",IF(CI489=0,"NM",IF(ABS(CI489/CD489-1)&gt;2.5,"NM",IF((ABS(CI489-CD489)=ABS(ABS(CI489)-ABS(CD489))),(CI489/CD489-1),"NM"))))))</f>
      </c>
      <c r="CJ495" s="30">
        <f>IF(CE489="NM","NM",IF(CJ489="NM","NM",IF(CE489&lt;=0,"NM",IF(CJ489=0,"NM",IF(ABS(CJ489/CE489-1)&gt;2.5,"NM",IF((ABS(CJ489-CE489)=ABS(ABS(CJ489)-ABS(CE489))),(CJ489/CE489-1),"NM"))))))</f>
      </c>
      <c r="CK495" s="308">
        <f>IF(CK489&lt;=0,0,(CK489/CF489-1))</f>
      </c>
      <c r="CL495" s="30">
        <f>IF(CG489="NM","NM",IF(CL489="NM","NM",IF(CG489&lt;=0,"NM",IF(CL489=0,"NM",IF(ABS(CL489/CG489-1)&gt;2.5,"NM",IF((ABS(CL489-CG489)=ABS(ABS(CL489)-ABS(CG489))),(CL489/CG489-1),"NM"))))))</f>
      </c>
      <c r="CM495" s="30">
        <f>IF(CH489="NM","NM",IF(CM489="NM","NM",IF(CH489&lt;=0,"NM",IF(CM489=0,"NM",IF(ABS(CM489/CH489-1)&gt;2.5,"NM",IF((ABS(CM489-CH489)=ABS(ABS(CM489)-ABS(CH489))),(CM489/CH489-1),"NM"))))))</f>
      </c>
      <c r="CN495" s="30">
        <f>IF(CI489="NM","NM",IF(CN489="NM","NM",IF(CI489&lt;=0,"NM",IF(CN489=0,"NM",IF(ABS(CN489/CI489-1)&gt;2.5,"NM",IF((ABS(CN489-CI489)=ABS(ABS(CN489)-ABS(CI489))),(CN489/CI489-1),"NM"))))))</f>
      </c>
      <c r="CO495" s="30">
        <f>IF(CJ489="NM","NM",IF(CO489="NM","NM",IF(CJ489&lt;=0,"NM",IF(CO489=0,"NM",IF(ABS(CO489/CJ489-1)&gt;2.5,"NM",IF((ABS(CO489-CJ489)=ABS(ABS(CO489)-ABS(CJ489))),(CO489/CJ489-1),"NM"))))))</f>
      </c>
      <c r="CP495" s="308">
        <f>IF(CP489&lt;=0,0,(CP489/CK489-1))</f>
      </c>
      <c r="CQ495" s="30"/>
      <c r="CR495" s="30"/>
      <c r="CS495" s="926"/>
      <c r="CT495" s="926"/>
      <c r="CU495" s="308"/>
      <c r="CV495" s="30"/>
      <c r="CW495" s="926"/>
      <c r="CX495" s="926"/>
      <c r="CY495" s="926"/>
      <c r="CZ495" s="308"/>
      <c r="DA495" s="30"/>
      <c r="DB495" s="926"/>
      <c r="DC495" s="926"/>
      <c r="DD495" s="928"/>
      <c r="DE495" s="308"/>
      <c r="DF495" s="30"/>
      <c r="DG495" s="926"/>
      <c r="DH495" s="926"/>
      <c r="DI495" s="1235"/>
      <c r="DJ495" s="1233"/>
      <c r="DK495" s="1361"/>
      <c r="DL495" s="926"/>
      <c r="DM495" s="926"/>
      <c r="DN495" s="928"/>
      <c r="DO495" s="308"/>
      <c r="DP495" s="926"/>
      <c r="DQ495" s="926"/>
      <c r="DR495" s="926"/>
      <c r="DS495" s="928"/>
      <c r="DT495" s="308"/>
      <c r="DU495" s="926"/>
      <c r="DV495" s="926"/>
      <c r="DW495" s="926"/>
      <c r="DX495" s="928"/>
      <c r="DY495" s="308"/>
      <c r="DZ495" s="926"/>
      <c r="EA495" s="926"/>
      <c r="EB495" s="926"/>
      <c r="EC495" s="928"/>
      <c r="ED495" s="1060"/>
      <c r="EE495" s="926"/>
      <c r="EF495" s="926"/>
      <c r="EG495" s="926"/>
      <c r="EH495" s="928"/>
      <c r="EI495" s="308"/>
      <c r="EJ495" s="308"/>
      <c r="EK495" s="308"/>
      <c r="EL495" s="308"/>
      <c r="EM495" s="308"/>
      <c r="EN495" s="308"/>
      <c r="EO495" s="308"/>
      <c r="EP495" s="308"/>
      <c r="EQ495" s="308"/>
      <c r="ER495" s="308"/>
      <c r="ES495" s="308"/>
      <c r="ET495" s="308"/>
      <c r="EU495" s="308"/>
      <c r="EV495" s="308"/>
      <c r="EW495" s="308"/>
      <c r="EX495" s="308"/>
    </row>
    <row r="496" spans="2:154" ht="12.75" customHeight="1" collapsed="1">
      <c r="B496" s="441"/>
      <c r="C496" s="1989"/>
      <c r="D496" s="33"/>
      <c r="E496" s="33"/>
      <c r="F496" s="33"/>
      <c r="G496" s="33"/>
      <c r="H496" s="33"/>
      <c r="I496" s="30"/>
      <c r="J496" s="30"/>
      <c r="K496" s="30"/>
      <c r="L496" s="30"/>
      <c r="M496" s="30"/>
      <c r="N496" s="30"/>
      <c r="O496" s="30"/>
      <c r="P496" s="30"/>
      <c r="Q496" s="30"/>
      <c r="R496" s="30"/>
      <c r="S496" s="30"/>
      <c r="T496" s="30"/>
      <c r="U496" s="30"/>
      <c r="V496" s="30"/>
      <c r="W496" s="30"/>
      <c r="X496" s="308"/>
      <c r="Y496" s="30"/>
      <c r="Z496" s="30"/>
      <c r="AA496" s="30"/>
      <c r="AB496" s="30"/>
      <c r="AC496" s="308"/>
      <c r="AD496" s="30"/>
      <c r="AE496" s="30"/>
      <c r="AF496" s="30"/>
      <c r="AG496" s="30"/>
      <c r="AH496" s="308"/>
      <c r="AI496" s="30"/>
      <c r="AJ496" s="30"/>
      <c r="AK496" s="30"/>
      <c r="AL496" s="30"/>
      <c r="AM496" s="308"/>
      <c r="AN496" s="30"/>
      <c r="AO496" s="30"/>
      <c r="AP496" s="30"/>
      <c r="AQ496" s="30"/>
      <c r="AR496" s="308"/>
      <c r="AS496" s="30"/>
      <c r="AT496" s="30"/>
      <c r="AU496" s="30"/>
      <c r="AV496" s="30"/>
      <c r="AW496" s="308"/>
      <c r="AX496" s="30"/>
      <c r="AY496" s="30"/>
      <c r="AZ496" s="30"/>
      <c r="BA496" s="30"/>
      <c r="BB496" s="308"/>
      <c r="BC496" s="30"/>
      <c r="BD496" s="30"/>
      <c r="BE496" s="30"/>
      <c r="BF496" s="30"/>
      <c r="BG496" s="308"/>
      <c r="BH496" s="30"/>
      <c r="BI496" s="30"/>
      <c r="BJ496" s="30"/>
      <c r="BK496" s="30"/>
      <c r="BL496" s="308"/>
      <c r="BM496" s="30"/>
      <c r="BN496" s="30"/>
      <c r="BO496" s="30"/>
      <c r="BP496" s="30"/>
      <c r="BQ496" s="308"/>
      <c r="BR496" s="30"/>
      <c r="BS496" s="30"/>
      <c r="BT496" s="30"/>
      <c r="BU496" s="30"/>
      <c r="BV496" s="308"/>
      <c r="BW496" s="30"/>
      <c r="BX496" s="30"/>
      <c r="BY496" s="30"/>
      <c r="BZ496" s="30"/>
      <c r="CA496" s="308"/>
      <c r="CB496" s="30"/>
      <c r="CC496" s="30"/>
      <c r="CD496" s="30"/>
      <c r="CE496" s="30"/>
      <c r="CF496" s="308"/>
      <c r="CG496" s="30"/>
      <c r="CH496" s="30"/>
      <c r="CI496" s="30"/>
      <c r="CJ496" s="30"/>
      <c r="CK496" s="308"/>
      <c r="CL496" s="958"/>
      <c r="CM496" s="926"/>
      <c r="CN496" s="30"/>
      <c r="CO496" s="30"/>
      <c r="CP496" s="308"/>
      <c r="CQ496" s="926"/>
      <c r="CR496" s="926"/>
      <c r="CS496" s="926"/>
      <c r="CT496" s="926"/>
      <c r="CU496" s="308"/>
      <c r="CV496" s="926"/>
      <c r="CW496" s="926"/>
      <c r="CX496" s="926"/>
      <c r="CY496" s="926"/>
      <c r="CZ496" s="308"/>
      <c r="DA496" s="926"/>
      <c r="DB496" s="30"/>
      <c r="DC496" s="30"/>
      <c r="DD496" s="409"/>
      <c r="DE496" s="308"/>
      <c r="DF496" s="926"/>
      <c r="DG496" s="30"/>
      <c r="DH496" s="30"/>
      <c r="DI496" s="1351"/>
      <c r="DJ496" s="1233"/>
      <c r="DK496" s="1219"/>
      <c r="DL496" s="30"/>
      <c r="DM496" s="30"/>
      <c r="DN496" s="409"/>
      <c r="DO496" s="308"/>
      <c r="DP496" s="30"/>
      <c r="DQ496" s="30"/>
      <c r="DR496" s="30"/>
      <c r="DS496" s="409"/>
      <c r="DT496" s="308"/>
      <c r="DU496" s="926"/>
      <c r="DV496" s="926"/>
      <c r="DW496" s="926"/>
      <c r="DX496" s="928"/>
      <c r="DY496" s="308"/>
      <c r="DZ496" s="926"/>
      <c r="EA496" s="926"/>
      <c r="EB496" s="926"/>
      <c r="EC496" s="928"/>
      <c r="ED496" s="1060"/>
      <c r="EE496" s="926"/>
      <c r="EF496" s="926"/>
      <c r="EG496" s="926"/>
      <c r="EH496" s="928"/>
      <c r="EI496" s="308"/>
      <c r="EJ496" s="308"/>
      <c r="EK496" s="308"/>
      <c r="EL496" s="308"/>
      <c r="EM496" s="308"/>
      <c r="EN496" s="308"/>
      <c r="EO496" s="308"/>
      <c r="EP496" s="308"/>
      <c r="EQ496" s="308"/>
      <c r="ER496" s="308"/>
      <c r="ES496" s="308"/>
      <c r="ET496" s="308"/>
      <c r="EU496" s="308"/>
      <c r="EV496" s="308"/>
      <c r="EW496" s="308"/>
      <c r="EX496" s="308"/>
    </row>
    <row r="497" spans="1:154" ht="12.75" customHeight="1">
      <c r="B497" s="1164" t="s">
        <v>543</v>
      </c>
      <c r="C497" s="1989"/>
      <c r="D497" s="28"/>
      <c r="E497" s="28"/>
      <c r="F497" s="28"/>
      <c r="G497" s="28"/>
      <c r="H497" s="28"/>
      <c r="I497" s="31"/>
      <c r="J497" s="28"/>
      <c r="K497" s="28"/>
      <c r="L497" s="28"/>
      <c r="M497" s="28"/>
      <c r="N497" s="31"/>
      <c r="O497" s="31"/>
      <c r="P497" s="31"/>
      <c r="Q497" s="31"/>
      <c r="R497" s="31"/>
      <c r="S497" s="31"/>
      <c r="T497" s="31"/>
      <c r="U497" s="31"/>
      <c r="V497" s="31"/>
      <c r="W497" s="31"/>
      <c r="X497" s="313"/>
      <c r="Y497" s="31"/>
      <c r="Z497" s="31"/>
      <c r="AA497" s="31"/>
      <c r="AB497" s="31"/>
      <c r="AC497" s="313"/>
      <c r="AD497" s="603"/>
      <c r="AE497" s="603"/>
      <c r="AF497" s="603"/>
      <c r="AG497" s="604"/>
      <c r="AH497" s="477"/>
      <c r="AI497" s="444"/>
      <c r="AJ497" s="444"/>
      <c r="AK497" s="444"/>
      <c r="AL497" s="444"/>
      <c r="AM497" s="477"/>
      <c r="AN497" s="444"/>
      <c r="AO497" s="444"/>
      <c r="AP497" s="444"/>
      <c r="AQ497" s="603"/>
      <c r="AR497" s="477"/>
      <c r="AS497" s="444"/>
      <c r="AT497" s="444"/>
      <c r="AU497" s="444"/>
      <c r="AV497" s="603"/>
      <c r="AW497" s="477"/>
      <c r="AX497" s="28"/>
      <c r="AY497" s="28"/>
      <c r="AZ497" s="28"/>
      <c r="BA497" s="28"/>
      <c r="BB497" s="313"/>
      <c r="BC497" s="28"/>
      <c r="BD497" s="28"/>
      <c r="BE497" s="28"/>
      <c r="BF497" s="28"/>
      <c r="BG497" s="313"/>
      <c r="BH497" s="28"/>
      <c r="BI497" s="28"/>
      <c r="BJ497" s="28"/>
      <c r="BK497" s="28"/>
      <c r="BL497" s="313"/>
      <c r="BM497" s="28"/>
      <c r="BN497" s="28"/>
      <c r="BO497" s="28"/>
      <c r="BP497" s="28"/>
      <c r="BQ497" s="313"/>
      <c r="BR497" s="28"/>
      <c r="BS497" s="28"/>
      <c r="BT497" s="28"/>
      <c r="BU497" s="28"/>
      <c r="BV497" s="313"/>
      <c r="BW497" s="28"/>
      <c r="BX497" s="28"/>
      <c r="BY497" s="28"/>
      <c r="BZ497" s="28"/>
      <c r="CA497" s="313"/>
      <c r="CB497" s="28"/>
      <c r="CC497" s="28"/>
      <c r="CD497" s="28"/>
      <c r="CE497" s="28"/>
      <c r="CF497" s="313"/>
      <c r="CG497" s="28"/>
      <c r="CH497" s="28"/>
      <c r="CI497" s="28"/>
      <c r="CJ497" s="28"/>
      <c r="CK497" s="313"/>
      <c r="CL497" s="961"/>
      <c r="CM497" s="933"/>
      <c r="CN497" s="933"/>
      <c r="CO497" s="28"/>
      <c r="CP497" s="313"/>
      <c r="CQ497" s="933"/>
      <c r="CR497" s="933"/>
      <c r="CS497" s="933"/>
      <c r="CT497" s="933"/>
      <c r="CU497" s="313"/>
      <c r="CV497" s="933"/>
      <c r="CW497" s="933"/>
      <c r="CX497" s="933"/>
      <c r="CY497" s="933"/>
      <c r="CZ497" s="313"/>
      <c r="DA497" s="933"/>
      <c r="DB497" s="31"/>
      <c r="DC497" s="31"/>
      <c r="DD497" s="955"/>
      <c r="DE497" s="477"/>
      <c r="DF497" s="982"/>
      <c r="DG497" s="603"/>
      <c r="DH497" s="603"/>
      <c r="DI497" s="1837"/>
      <c r="DJ497" s="1811"/>
      <c r="DK497" s="1842"/>
      <c r="DL497" s="603"/>
      <c r="DM497" s="603"/>
      <c r="DN497" s="1798"/>
      <c r="DO497" s="477"/>
      <c r="DP497" s="603"/>
      <c r="DQ497" s="603"/>
      <c r="DR497" s="603"/>
      <c r="DS497" s="1798"/>
      <c r="DT497" s="477"/>
      <c r="DU497" s="603"/>
      <c r="DV497" s="603"/>
      <c r="DW497" s="603"/>
      <c r="DX497" s="1798"/>
      <c r="DY497" s="477"/>
      <c r="DZ497" s="603"/>
      <c r="EA497" s="603"/>
      <c r="EB497" s="603"/>
      <c r="EC497" s="1798"/>
      <c r="ED497" s="477"/>
      <c r="EE497" s="603"/>
      <c r="EF497" s="603"/>
      <c r="EG497" s="603"/>
      <c r="EH497" s="1798"/>
      <c r="EI497" s="477"/>
      <c r="EJ497" s="477"/>
      <c r="EK497" s="477"/>
      <c r="EL497" s="477"/>
      <c r="EM497" s="477"/>
      <c r="EN497" s="477"/>
      <c r="EO497" s="477"/>
      <c r="EP497" s="477"/>
      <c r="EQ497" s="477"/>
      <c r="ER497" s="477"/>
      <c r="ES497" s="477"/>
      <c r="ET497" s="477"/>
      <c r="EU497" s="477"/>
      <c r="EV497" s="477"/>
      <c r="EW497" s="477"/>
      <c r="EX497" s="477"/>
    </row>
    <row r="498" spans="1:154" ht="12.75" customHeight="1">
      <c r="A498" s="3275" t="str">
        <f>A500&amp;" - US"</f>
      </c>
      <c r="B498" s="1168" t="s">
        <v>925</v>
      </c>
      <c r="C498" s="2009">
        <v>43404</v>
      </c>
      <c r="D498" s="28"/>
      <c r="E498" s="28"/>
      <c r="F498" s="28"/>
      <c r="G498" s="28"/>
      <c r="H498" s="28"/>
      <c r="I498" s="31"/>
      <c r="J498" s="28"/>
      <c r="K498" s="28"/>
      <c r="L498" s="28"/>
      <c r="M498" s="28"/>
      <c r="N498" s="31"/>
      <c r="O498" s="31"/>
      <c r="P498" s="31"/>
      <c r="Q498" s="31"/>
      <c r="R498" s="31"/>
      <c r="S498" s="31"/>
      <c r="T498" s="31"/>
      <c r="U498" s="31"/>
      <c r="V498" s="31"/>
      <c r="W498" s="31"/>
      <c r="X498" s="320"/>
      <c r="Y498" s="31"/>
      <c r="Z498" s="31"/>
      <c r="AA498" s="31"/>
      <c r="AB498" s="31"/>
      <c r="AC498" s="320"/>
      <c r="AD498" s="603"/>
      <c r="AE498" s="603"/>
      <c r="AF498" s="603"/>
      <c r="AG498" s="604"/>
      <c r="AH498" s="605"/>
      <c r="AI498" s="444"/>
      <c r="AJ498" s="444"/>
      <c r="AK498" s="444"/>
      <c r="AL498" s="444"/>
      <c r="AM498" s="605"/>
      <c r="AN498" s="444"/>
      <c r="AO498" s="444"/>
      <c r="AP498" s="444"/>
      <c r="AQ498" s="603"/>
      <c r="AR498" s="605"/>
      <c r="AS498" s="444"/>
      <c r="AT498" s="444"/>
      <c r="AU498" s="444"/>
      <c r="AV498" s="603"/>
      <c r="AW498" s="605"/>
      <c r="AX498" s="28"/>
      <c r="AY498" s="28"/>
      <c r="AZ498" s="33"/>
      <c r="BA498" s="33"/>
      <c r="BB498" s="320"/>
      <c r="BC498" s="33"/>
      <c r="BD498" s="33"/>
      <c r="BE498" s="33"/>
      <c r="BF498" s="33"/>
      <c r="BG498" s="312"/>
      <c r="BH498" s="33"/>
      <c r="BI498" s="33"/>
      <c r="BJ498" s="33"/>
      <c r="BK498" s="33"/>
      <c r="BL498" s="313"/>
      <c r="BM498" s="352"/>
      <c r="BN498" s="352">
        <v>37</v>
      </c>
      <c r="BO498" s="352">
        <v>69</v>
      </c>
      <c r="BP498" s="352">
        <v>85</v>
      </c>
      <c r="BQ498" s="313">
        <f>SUM(BM498:BP498)</f>
      </c>
      <c r="BR498" s="352">
        <v>100</v>
      </c>
      <c r="BS498" s="352">
        <v>113</v>
      </c>
      <c r="BT498" s="352">
        <v>136</v>
      </c>
      <c r="BU498" s="352">
        <v>114</v>
      </c>
      <c r="BV498" s="313">
        <f>SUM(BR498:BU498)</f>
      </c>
      <c r="BW498" s="352">
        <v>161</v>
      </c>
      <c r="BX498" s="352">
        <v>174</v>
      </c>
      <c r="BY498" s="352">
        <v>204</v>
      </c>
      <c r="BZ498" s="352">
        <v>211</v>
      </c>
      <c r="CA498" s="313">
        <f>SUM(BW498:BZ498)</f>
      </c>
      <c r="CB498" s="352">
        <v>229</v>
      </c>
      <c r="CC498" s="352">
        <v>235</v>
      </c>
      <c r="CD498" s="352">
        <v>252</v>
      </c>
      <c r="CE498" s="352">
        <v>255</v>
      </c>
      <c r="CF498" s="313">
        <f>SUM(CB498:CE498)</f>
      </c>
      <c r="CG498" s="352">
        <v>253</v>
      </c>
      <c r="CH498" s="352">
        <v>255</v>
      </c>
      <c r="CI498" s="352">
        <v>276</v>
      </c>
      <c r="CJ498" s="352">
        <v>286</v>
      </c>
      <c r="CK498" s="313">
        <f>SUM(CG498:CJ498)</f>
      </c>
      <c r="CL498" s="352">
        <v>272</v>
      </c>
      <c r="CM498" s="352">
        <v>286</v>
      </c>
      <c r="CN498" s="352">
        <v>282</v>
      </c>
      <c r="CO498" s="352">
        <v>249</v>
      </c>
      <c r="CP498" s="313">
        <f>SUM(CL498:CO498)</f>
      </c>
      <c r="CQ498" s="1222">
        <v>233</v>
      </c>
      <c r="CR498" s="352">
        <v>241</v>
      </c>
      <c r="CS498" s="352">
        <v>352</v>
      </c>
      <c r="CT498" s="352">
        <v>402</v>
      </c>
      <c r="CU498" s="313">
        <f>SUM(CQ498:CT498)</f>
      </c>
      <c r="CV498" s="1222">
        <v>407</v>
      </c>
      <c r="CW498" s="1222">
        <v>486</v>
      </c>
      <c r="CX498" s="1222">
        <v>527</v>
      </c>
      <c r="CY498" s="352">
        <v>351</v>
      </c>
      <c r="CZ498" s="313">
        <f>SUM(CV498:CY498)</f>
      </c>
      <c r="DA498" s="1222">
        <v>185</v>
      </c>
      <c r="DB498" s="1222">
        <v>198</v>
      </c>
      <c r="DC498" s="352">
        <v>233</v>
      </c>
      <c r="DD498" s="1205">
        <v>194</v>
      </c>
      <c r="DE498" s="477">
        <f>SUM(DA498:DD498)</f>
      </c>
      <c r="DF498" s="710">
        <v>139</v>
      </c>
      <c r="DG498" s="710">
        <v>87</v>
      </c>
      <c r="DH498" s="710">
        <v>58</v>
      </c>
      <c r="DI498" s="1552">
        <v>89</v>
      </c>
      <c r="DJ498" s="2064">
        <f>SUM(DF498:DI498)</f>
      </c>
      <c r="DK498" s="1544">
        <v>50</v>
      </c>
      <c r="DL498" s="710">
        <v>21</v>
      </c>
      <c r="DM498" s="710">
        <v>25</v>
      </c>
      <c r="DN498" s="1552">
        <v>23</v>
      </c>
      <c r="DO498" s="2064">
        <f>SUM(DK498:DN498)</f>
      </c>
      <c r="DP498" s="710">
        <v>19</v>
      </c>
      <c r="DQ498" s="710">
        <v>19</v>
      </c>
      <c r="DR498" s="1544">
        <v>16</v>
      </c>
      <c r="DS498" s="1839">
        <v>20</v>
      </c>
      <c r="DT498" s="1835">
        <f>SUM(DP498:DS498)</f>
      </c>
      <c r="DU498" s="710">
        <v>16</v>
      </c>
      <c r="DV498" s="710">
        <v>9</v>
      </c>
      <c r="DW498" s="710">
        <v>15.5</v>
      </c>
      <c r="DX498" s="710">
        <v>9.4</v>
      </c>
      <c r="DY498" s="1835">
        <f>SUM(DU498:DX498)</f>
      </c>
      <c r="DZ498" s="710">
        <v>9</v>
      </c>
      <c r="EA498" s="710">
        <v>11</v>
      </c>
      <c r="EB498" s="710">
        <v>5.4</v>
      </c>
      <c r="EC498" s="1839">
        <v>9</v>
      </c>
      <c r="ED498" s="1835">
        <f>SUM(DZ498:EC498)</f>
      </c>
      <c r="EE498" s="710">
        <v>7</v>
      </c>
      <c r="EF498" s="710">
        <v>6</v>
      </c>
      <c r="EG498" s="710">
        <v>5.4</v>
      </c>
      <c r="EH498" s="1556">
        <f>+EI498-SUM(EE498:EG498)</f>
      </c>
      <c r="EI498" s="1835">
        <f>+ED498*(1+EI503)</f>
      </c>
      <c r="EJ498" s="1835">
        <f t="shared" ref="EJ498:EL499" si="1285">+EI498*(1+EJ503)</f>
      </c>
      <c r="EK498" s="1835">
        <f t="shared" si="1285"/>
      </c>
      <c r="EL498" s="1835">
        <f t="shared" si="1285"/>
      </c>
      <c r="EM498" s="1835">
        <f t="shared" ref="EM498:EM499" si="1286">+EL498*(1+EM503)</f>
      </c>
      <c r="EN498" s="1835">
        <f t="shared" ref="EN498:EN499" si="1287">+EM498*(1+EN503)</f>
      </c>
      <c r="EO498" s="1835">
        <f t="shared" ref="EO498:EO499" si="1288">+EN498*(1+EO503)</f>
      </c>
      <c r="EP498" s="1835">
        <f t="shared" ref="EP498:EP499" si="1289">+EO498*(1+EP503)</f>
      </c>
      <c r="EQ498" s="1835">
        <f t="shared" ref="EQ498:EQ499" si="1290">+EP498*(1+EQ503)</f>
      </c>
      <c r="ER498" s="1835">
        <f t="shared" ref="ER498:ER499" si="1291">+EQ498*(1+ER503)</f>
      </c>
      <c r="ES498" s="1835">
        <f t="shared" ref="ES498:ES499" si="1292">+ER498*(1+ES503)</f>
      </c>
      <c r="ET498" s="477"/>
      <c r="EU498" s="477"/>
      <c r="EV498" s="477"/>
      <c r="EW498" s="477"/>
      <c r="EX498" s="477"/>
    </row>
    <row r="499" spans="1:154" ht="12.75" customHeight="1">
      <c r="A499" s="3275" t="str">
        <f>+A500&amp;" - OUS"</f>
      </c>
      <c r="B499" s="1168" t="s">
        <v>412</v>
      </c>
      <c r="C499" s="2009">
        <v>44805</v>
      </c>
      <c r="D499" s="33"/>
      <c r="E499" s="33"/>
      <c r="F499" s="33"/>
      <c r="G499" s="33"/>
      <c r="H499" s="33"/>
      <c r="I499" s="31"/>
      <c r="J499" s="33"/>
      <c r="K499" s="33"/>
      <c r="L499" s="33"/>
      <c r="M499" s="33"/>
      <c r="N499" s="31"/>
      <c r="O499" s="33"/>
      <c r="P499" s="33"/>
      <c r="Q499" s="33"/>
      <c r="R499" s="33"/>
      <c r="S499" s="31"/>
      <c r="T499" s="33"/>
      <c r="U499" s="33"/>
      <c r="V499" s="33"/>
      <c r="W499" s="33"/>
      <c r="X499" s="313"/>
      <c r="Y499" s="33"/>
      <c r="Z499" s="33"/>
      <c r="AA499" s="33"/>
      <c r="AB499" s="33"/>
      <c r="AC499" s="313"/>
      <c r="AD499" s="602"/>
      <c r="AE499" s="602"/>
      <c r="AF499" s="602"/>
      <c r="AG499" s="602"/>
      <c r="AH499" s="477"/>
      <c r="AI499" s="602"/>
      <c r="AJ499" s="602"/>
      <c r="AK499" s="602"/>
      <c r="AL499" s="602"/>
      <c r="AM499" s="477"/>
      <c r="AN499" s="602"/>
      <c r="AO499" s="602"/>
      <c r="AP499" s="602"/>
      <c r="AQ499" s="602"/>
      <c r="AR499" s="477"/>
      <c r="AS499" s="602"/>
      <c r="AT499" s="602"/>
      <c r="AU499" s="602"/>
      <c r="AV499" s="602"/>
      <c r="AW499" s="477"/>
      <c r="AX499" s="33"/>
      <c r="AY499" s="33"/>
      <c r="AZ499" s="33"/>
      <c r="BA499" s="33"/>
      <c r="BB499" s="313"/>
      <c r="BC499" s="33"/>
      <c r="BD499" s="33"/>
      <c r="BE499" s="33"/>
      <c r="BF499" s="33"/>
      <c r="BG499" s="312"/>
      <c r="BH499" s="33"/>
      <c r="BI499" s="33"/>
      <c r="BJ499" s="33"/>
      <c r="BK499" s="33"/>
      <c r="BL499" s="313"/>
      <c r="BM499" s="352">
        <v>5</v>
      </c>
      <c r="BN499" s="352">
        <v>12</v>
      </c>
      <c r="BO499" s="352">
        <v>26</v>
      </c>
      <c r="BP499" s="352">
        <v>67</v>
      </c>
      <c r="BQ499" s="313">
        <f>SUM(BM499:BP499)</f>
      </c>
      <c r="BR499" s="352">
        <v>100</v>
      </c>
      <c r="BS499" s="352">
        <v>119</v>
      </c>
      <c r="BT499" s="352">
        <v>129</v>
      </c>
      <c r="BU499" s="352">
        <v>150</v>
      </c>
      <c r="BV499" s="313">
        <f>SUM(BR499:BU499)</f>
      </c>
      <c r="BW499" s="352">
        <v>183</v>
      </c>
      <c r="BX499" s="352">
        <v>221</v>
      </c>
      <c r="BY499" s="352">
        <v>260</v>
      </c>
      <c r="BZ499" s="352">
        <v>284</v>
      </c>
      <c r="CA499" s="313">
        <f>SUM(BW499:BZ499)</f>
      </c>
      <c r="CB499" s="352">
        <v>283</v>
      </c>
      <c r="CC499" s="352">
        <v>327</v>
      </c>
      <c r="CD499" s="352">
        <v>316</v>
      </c>
      <c r="CE499" s="352">
        <v>340</v>
      </c>
      <c r="CF499" s="313">
        <f>SUM(CB499:CE499)</f>
      </c>
      <c r="CG499" s="352">
        <v>303</v>
      </c>
      <c r="CH499" s="352">
        <v>291</v>
      </c>
      <c r="CI499" s="352">
        <v>272</v>
      </c>
      <c r="CJ499" s="352">
        <v>295</v>
      </c>
      <c r="CK499" s="313">
        <f>SUM(CG499:CJ499)</f>
      </c>
      <c r="CL499" s="352">
        <v>286</v>
      </c>
      <c r="CM499" s="352">
        <v>315</v>
      </c>
      <c r="CN499" s="352">
        <v>300</v>
      </c>
      <c r="CO499" s="352">
        <v>270</v>
      </c>
      <c r="CP499" s="313">
        <f>SUM(CL499:CO499)</f>
      </c>
      <c r="CQ499" s="1222">
        <v>290</v>
      </c>
      <c r="CR499" s="352">
        <v>317</v>
      </c>
      <c r="CS499" s="352">
        <v>317</v>
      </c>
      <c r="CT499" s="352">
        <v>353</v>
      </c>
      <c r="CU499" s="313">
        <f>SUM(CQ499:CT499)</f>
      </c>
      <c r="CV499" s="1222">
        <v>438</v>
      </c>
      <c r="CW499" s="1222">
        <v>423</v>
      </c>
      <c r="CX499" s="1222">
        <v>431</v>
      </c>
      <c r="CY499" s="352">
        <v>435</v>
      </c>
      <c r="CZ499" s="313">
        <f>SUM(CV499:CY499)</f>
      </c>
      <c r="DA499" s="1222">
        <v>494</v>
      </c>
      <c r="DB499" s="1222">
        <v>500</v>
      </c>
      <c r="DC499" s="352">
        <v>508</v>
      </c>
      <c r="DD499" s="1205">
        <v>483</v>
      </c>
      <c r="DE499" s="477">
        <f>SUM(DA499:DD499)</f>
      </c>
      <c r="DF499" s="710">
        <v>552</v>
      </c>
      <c r="DG499" s="710">
        <v>480</v>
      </c>
      <c r="DH499" s="710">
        <v>532</v>
      </c>
      <c r="DI499" s="1552">
        <v>533</v>
      </c>
      <c r="DJ499" s="2064">
        <f>SUM(DF499:DI499)</f>
      </c>
      <c r="DK499" s="1544">
        <v>588</v>
      </c>
      <c r="DL499" s="710">
        <v>542</v>
      </c>
      <c r="DM499" s="710">
        <v>523</v>
      </c>
      <c r="DN499" s="1552">
        <v>525</v>
      </c>
      <c r="DO499" s="2064">
        <f>SUM(DK499:DN499)</f>
      </c>
      <c r="DP499" s="710">
        <v>520</v>
      </c>
      <c r="DQ499" s="710">
        <v>486</v>
      </c>
      <c r="DR499" s="710">
        <v>440</v>
      </c>
      <c r="DS499" s="1839">
        <v>250</v>
      </c>
      <c r="DT499" s="1835">
        <f>SUM(DP499:DS499)</f>
      </c>
      <c r="DU499" s="710">
        <v>229</v>
      </c>
      <c r="DV499" s="710">
        <v>218</v>
      </c>
      <c r="DW499" s="710">
        <v>198.5</v>
      </c>
      <c r="DX499" s="710">
        <v>191.4</v>
      </c>
      <c r="DY499" s="1835">
        <f>SUM(DU499:DX499)</f>
      </c>
      <c r="DZ499" s="710">
        <v>172</v>
      </c>
      <c r="EA499" s="710">
        <v>154</v>
      </c>
      <c r="EB499" s="710">
        <v>144.4</v>
      </c>
      <c r="EC499" s="1839">
        <v>127</v>
      </c>
      <c r="ED499" s="1835">
        <f>SUM(DZ499:EC499)</f>
      </c>
      <c r="EE499" s="710">
        <v>118</v>
      </c>
      <c r="EF499" s="710">
        <v>139</v>
      </c>
      <c r="EG499" s="710">
        <v>108</v>
      </c>
      <c r="EH499" s="1556">
        <f>+EI499-SUM(EE499:EG499)</f>
      </c>
      <c r="EI499" s="1835">
        <f>+ED499*(1+EI504)</f>
      </c>
      <c r="EJ499" s="1835">
        <f t="shared" si="1285"/>
      </c>
      <c r="EK499" s="1835">
        <f t="shared" si="1285"/>
      </c>
      <c r="EL499" s="1835">
        <f t="shared" si="1285"/>
      </c>
      <c r="EM499" s="1835">
        <f t="shared" si="1286"/>
      </c>
      <c r="EN499" s="1835">
        <f t="shared" si="1287"/>
      </c>
      <c r="EO499" s="1835">
        <f t="shared" si="1288"/>
      </c>
      <c r="EP499" s="1835">
        <f t="shared" si="1289"/>
      </c>
      <c r="EQ499" s="1835">
        <f t="shared" si="1290"/>
      </c>
      <c r="ER499" s="1835">
        <f t="shared" si="1291"/>
      </c>
      <c r="ES499" s="1835">
        <f t="shared" si="1292"/>
      </c>
      <c r="ET499" s="477"/>
      <c r="EU499" s="477"/>
      <c r="EV499" s="477"/>
      <c r="EW499" s="477"/>
      <c r="EX499" s="477"/>
    </row>
    <row r="500" spans="1:154" ht="12.75" customHeight="1">
      <c r="A500" s="3275" t="s">
        <v>543</v>
      </c>
      <c r="B500" s="1168" t="s">
        <v>413</v>
      </c>
      <c r="C500" s="1989"/>
      <c r="D500" s="33"/>
      <c r="E500" s="33"/>
      <c r="F500" s="33"/>
      <c r="G500" s="33"/>
      <c r="H500" s="33"/>
      <c r="I500" s="28"/>
      <c r="J500" s="28"/>
      <c r="K500" s="28"/>
      <c r="L500" s="28"/>
      <c r="M500" s="28"/>
      <c r="N500" s="28"/>
      <c r="O500" s="28"/>
      <c r="P500" s="28"/>
      <c r="Q500" s="28"/>
      <c r="R500" s="28"/>
      <c r="S500" s="28"/>
      <c r="T500" s="28"/>
      <c r="U500" s="28"/>
      <c r="V500" s="28"/>
      <c r="W500" s="28"/>
      <c r="X500" s="312"/>
      <c r="Y500" s="28"/>
      <c r="Z500" s="28"/>
      <c r="AA500" s="28"/>
      <c r="AB500" s="28"/>
      <c r="AC500" s="312"/>
      <c r="AD500" s="444"/>
      <c r="AE500" s="444"/>
      <c r="AF500" s="444"/>
      <c r="AG500" s="444"/>
      <c r="AH500" s="445"/>
      <c r="AI500" s="444"/>
      <c r="AJ500" s="444"/>
      <c r="AK500" s="444"/>
      <c r="AL500" s="444"/>
      <c r="AM500" s="445"/>
      <c r="AN500" s="444"/>
      <c r="AO500" s="444"/>
      <c r="AP500" s="444"/>
      <c r="AQ500" s="444"/>
      <c r="AR500" s="445"/>
      <c r="AS500" s="444"/>
      <c r="AT500" s="444"/>
      <c r="AU500" s="444"/>
      <c r="AV500" s="444"/>
      <c r="AW500" s="445"/>
      <c r="AX500" s="28"/>
      <c r="AY500" s="28"/>
      <c r="AZ500" s="28"/>
      <c r="BA500" s="28"/>
      <c r="BB500" s="312"/>
      <c r="BC500" s="28"/>
      <c r="BD500" s="28"/>
      <c r="BE500" s="28"/>
      <c r="BF500" s="28"/>
      <c r="BG500" s="312"/>
      <c r="BH500" s="28"/>
      <c r="BI500" s="28"/>
      <c r="BJ500" s="28"/>
      <c r="BK500" s="28"/>
      <c r="BL500" s="313"/>
      <c r="BM500" s="28">
        <f>SUM(BM498:BM499)</f>
      </c>
      <c r="BN500" s="28">
        <f>SUM(BN498:BN499)</f>
      </c>
      <c r="BO500" s="28">
        <f>+BO499+BO498</f>
      </c>
      <c r="BP500" s="28">
        <f>+BP498+BP499</f>
      </c>
      <c r="BQ500" s="312">
        <f>+BQ499+BQ498</f>
      </c>
      <c r="BR500" s="28">
        <f>+BR499+BR498</f>
      </c>
      <c r="BS500" s="28">
        <f>+BS499+BS498</f>
      </c>
      <c r="BT500" s="28">
        <f>+BT499+BT498</f>
      </c>
      <c r="BU500" s="28">
        <f>+BU498+BU499</f>
      </c>
      <c r="BV500" s="312">
        <f>+BV499+BV498</f>
      </c>
      <c r="BW500" s="28">
        <f>+BW499+BW498</f>
      </c>
      <c r="BX500" s="28">
        <f>+BX499+BX498</f>
      </c>
      <c r="BY500" s="28">
        <f>+BY499+BY498</f>
      </c>
      <c r="BZ500" s="28">
        <f>+BZ499+BZ498</f>
      </c>
      <c r="CA500" s="313">
        <f>SUM(BW500:BZ500)</f>
      </c>
      <c r="CB500" s="28">
        <f>+CB499+CB498</f>
      </c>
      <c r="CC500" s="28">
        <f>+CC499+CC498</f>
      </c>
      <c r="CD500" s="28">
        <f>+CD499+CD498</f>
      </c>
      <c r="CE500" s="28">
        <f>+CE499+CE498</f>
      </c>
      <c r="CF500" s="313">
        <f>SUM(CB500:CE500)</f>
      </c>
      <c r="CG500" s="28">
        <f>+CG499+CG498</f>
      </c>
      <c r="CH500" s="28">
        <f>+CH499+CH498</f>
      </c>
      <c r="CI500" s="28">
        <f>+CI499+CI498</f>
      </c>
      <c r="CJ500" s="28">
        <f>+CJ499+CJ498</f>
      </c>
      <c r="CK500" s="313">
        <f>SUM(CG500:CJ500)</f>
      </c>
      <c r="CL500" s="28">
        <f>+CL499+CL498</f>
      </c>
      <c r="CM500" s="28">
        <f>+CM499+CM498</f>
      </c>
      <c r="CN500" s="28">
        <f>+CN499+CN498</f>
      </c>
      <c r="CO500" s="28">
        <f>+CO499+CO498</f>
      </c>
      <c r="CP500" s="313">
        <f>SUM(CL500:CO500)</f>
      </c>
      <c r="CQ500" s="933">
        <f>+CQ499+CQ498</f>
      </c>
      <c r="CR500" s="933">
        <f>+CR499+CR498</f>
      </c>
      <c r="CS500" s="933">
        <f>+CS499+CS498</f>
      </c>
      <c r="CT500" s="933">
        <f>+CT499+CT498</f>
      </c>
      <c r="CU500" s="313">
        <f>SUM(CQ500:CT500)</f>
      </c>
      <c r="CV500" s="933">
        <f>+CV499+CV498</f>
      </c>
      <c r="CW500" s="933">
        <f>+CW499+CW498</f>
      </c>
      <c r="CX500" s="933">
        <f>+CX499+CX498</f>
      </c>
      <c r="CY500" s="933">
        <f>+CY499+CY498</f>
      </c>
      <c r="CZ500" s="313">
        <f>SUM(CV500:CY500)</f>
      </c>
      <c r="DA500" s="933">
        <f>SUM(DA498:DA499)</f>
      </c>
      <c r="DB500" s="933">
        <f>SUM(DB498:DB499)</f>
      </c>
      <c r="DC500" s="31">
        <f>SUM(DC498:DC499)</f>
      </c>
      <c r="DD500" s="984">
        <f>+DD498+DD499</f>
      </c>
      <c r="DE500" s="477">
        <f>SUM(DA500:DD500)</f>
      </c>
      <c r="DF500" s="1542">
        <f>SUM(DF498:DF499)</f>
      </c>
      <c r="DG500" s="1542">
        <f>SUM(DG498:DG499)</f>
      </c>
      <c r="DH500" s="1542">
        <f>SUM(DH498:DH499)</f>
      </c>
      <c r="DI500" s="1553">
        <f>+DI498+DI499</f>
      </c>
      <c r="DJ500" s="2064">
        <f>SUM(DF500:DI500)</f>
      </c>
      <c r="DK500" s="1840">
        <f>SUM(DK498:DK499)</f>
      </c>
      <c r="DL500" s="1542">
        <f>SUM(DL498:DL499)</f>
      </c>
      <c r="DM500" s="1542">
        <f>SUM(DM498:DM499)</f>
      </c>
      <c r="DN500" s="1556">
        <f>+DN498+DN499</f>
      </c>
      <c r="DO500" s="573">
        <f>+DO499+DO498</f>
      </c>
      <c r="DP500" s="1542">
        <f>SUM(DP498:DP499)</f>
      </c>
      <c r="DQ500" s="1542">
        <f>SUM(DQ498:DQ499)</f>
      </c>
      <c r="DR500" s="1542">
        <f>SUM(DR498:DR499)</f>
      </c>
      <c r="DS500" s="1556">
        <f>+DS498+DS499</f>
      </c>
      <c r="DT500" s="573">
        <f>+DT499+DT498</f>
      </c>
      <c r="DU500" s="1542">
        <f>SUM(DU498:DU499)</f>
      </c>
      <c r="DV500" s="1542">
        <f>SUM(DV498:DV499)</f>
      </c>
      <c r="DW500" s="1542">
        <f>SUM(DW498:DW499)</f>
      </c>
      <c r="DX500" s="1542">
        <f>SUM(DX498:DX499)</f>
      </c>
      <c r="DY500" s="573">
        <f>+DY499+DY498</f>
      </c>
      <c r="DZ500" s="1542">
        <f>SUM(DZ498:DZ499)</f>
      </c>
      <c r="EA500" s="1542">
        <f>SUM(EA498:EA499)</f>
      </c>
      <c r="EB500" s="1542">
        <f>SUM(EB498:EB499)</f>
      </c>
      <c r="EC500" s="1556">
        <f>+EC498+EC499</f>
      </c>
      <c r="ED500" s="573">
        <f>+ED499+ED498</f>
      </c>
      <c r="EE500" s="1542">
        <f>SUM(EE498:EE499)</f>
      </c>
      <c r="EF500" s="1542">
        <f>SUM(EF498:EF499)</f>
      </c>
      <c r="EG500" s="1542">
        <f>SUM(EG498:EG499)</f>
      </c>
      <c r="EH500" s="1556">
        <f>+EH498+EH499</f>
      </c>
      <c r="EI500" s="573">
        <f t="shared" ref="EI500:EL500" si="1293">+EI499+EI498</f>
      </c>
      <c r="EJ500" s="573">
        <f t="shared" si="1293"/>
      </c>
      <c r="EK500" s="573">
        <f t="shared" si="1293"/>
      </c>
      <c r="EL500" s="573">
        <f t="shared" si="1293"/>
      </c>
      <c r="EM500" s="573">
        <f t="shared" ref="EM500:ES500" si="1294">+EM499+EM498</f>
      </c>
      <c r="EN500" s="573">
        <f t="shared" si="1294"/>
      </c>
      <c r="EO500" s="573">
        <f t="shared" si="1294"/>
      </c>
      <c r="EP500" s="573">
        <f t="shared" si="1294"/>
      </c>
      <c r="EQ500" s="573">
        <f t="shared" si="1294"/>
      </c>
      <c r="ER500" s="573">
        <f t="shared" si="1294"/>
      </c>
      <c r="ES500" s="573">
        <f t="shared" si="1294"/>
      </c>
      <c r="ET500" s="445"/>
      <c r="EU500" s="445"/>
      <c r="EV500" s="445"/>
      <c r="EW500" s="445"/>
      <c r="EX500" s="445"/>
    </row>
    <row r="501" spans="1:154" ht="12.75" customHeight="1">
      <c r="B501" s="1168"/>
      <c r="C501" s="1989"/>
      <c r="D501" s="33"/>
      <c r="E501" s="33"/>
      <c r="F501" s="33"/>
      <c r="G501" s="33"/>
      <c r="H501" s="33"/>
      <c r="I501" s="31"/>
      <c r="J501" s="33"/>
      <c r="K501" s="33"/>
      <c r="L501" s="33"/>
      <c r="M501" s="33"/>
      <c r="N501" s="31"/>
      <c r="O501" s="33"/>
      <c r="P501" s="33"/>
      <c r="Q501" s="33"/>
      <c r="R501" s="33"/>
      <c r="S501" s="31"/>
      <c r="T501" s="33"/>
      <c r="U501" s="33"/>
      <c r="V501" s="33"/>
      <c r="W501" s="33"/>
      <c r="X501" s="312"/>
      <c r="Y501" s="33"/>
      <c r="Z501" s="33"/>
      <c r="AA501" s="33"/>
      <c r="AB501" s="33"/>
      <c r="AC501" s="312"/>
      <c r="AD501" s="602"/>
      <c r="AE501" s="602"/>
      <c r="AF501" s="602"/>
      <c r="AG501" s="602"/>
      <c r="AH501" s="445"/>
      <c r="AI501" s="602"/>
      <c r="AJ501" s="602"/>
      <c r="AK501" s="602"/>
      <c r="AL501" s="602"/>
      <c r="AM501" s="445"/>
      <c r="AN501" s="602"/>
      <c r="AO501" s="602"/>
      <c r="AP501" s="602"/>
      <c r="AQ501" s="602"/>
      <c r="AR501" s="445"/>
      <c r="AS501" s="444"/>
      <c r="AT501" s="444"/>
      <c r="AU501" s="444"/>
      <c r="AV501" s="444"/>
      <c r="AW501" s="445"/>
      <c r="AX501" s="28"/>
      <c r="AY501" s="28"/>
      <c r="AZ501" s="28"/>
      <c r="BA501" s="28"/>
      <c r="BB501" s="312"/>
      <c r="BC501" s="28"/>
      <c r="BD501" s="28"/>
      <c r="BE501" s="28"/>
      <c r="BF501" s="28"/>
      <c r="BG501" s="312"/>
      <c r="BH501" s="28"/>
      <c r="BI501" s="28"/>
      <c r="BJ501" s="28"/>
      <c r="BK501" s="28"/>
      <c r="BL501" s="312"/>
      <c r="BM501" s="28"/>
      <c r="BN501" s="28"/>
      <c r="BO501" s="28"/>
      <c r="BP501" s="28"/>
      <c r="BQ501" s="312"/>
      <c r="BR501" s="28"/>
      <c r="BS501" s="28"/>
      <c r="BT501" s="28"/>
      <c r="BU501" s="28"/>
      <c r="BV501" s="312"/>
      <c r="BW501" s="28"/>
      <c r="BX501" s="28"/>
      <c r="BY501" s="28"/>
      <c r="BZ501" s="28"/>
      <c r="CA501" s="312"/>
      <c r="CB501" s="28"/>
      <c r="CC501" s="28"/>
      <c r="CD501" s="28"/>
      <c r="CE501" s="28"/>
      <c r="CF501" s="312"/>
      <c r="CG501" s="28"/>
      <c r="CH501" s="28"/>
      <c r="CI501" s="28"/>
      <c r="CJ501" s="28"/>
      <c r="CK501" s="312"/>
      <c r="CL501" s="961"/>
      <c r="CM501" s="933"/>
      <c r="CN501" s="28"/>
      <c r="CO501" s="28"/>
      <c r="CP501" s="312"/>
      <c r="CQ501" s="933"/>
      <c r="CR501" s="933"/>
      <c r="CS501" s="933"/>
      <c r="CT501" s="933"/>
      <c r="CU501" s="312"/>
      <c r="CV501" s="933"/>
      <c r="CW501" s="933"/>
      <c r="CX501" s="933"/>
      <c r="CY501" s="933"/>
      <c r="CZ501" s="312"/>
      <c r="DA501" s="933"/>
      <c r="DB501" s="31"/>
      <c r="DC501" s="31"/>
      <c r="DD501" s="955"/>
      <c r="DE501" s="445"/>
      <c r="DF501" s="982"/>
      <c r="DG501" s="603"/>
      <c r="DH501" s="603"/>
      <c r="DI501" s="1837"/>
      <c r="DJ501" s="1830"/>
      <c r="DK501" s="1842"/>
      <c r="DL501" s="603"/>
      <c r="DM501" s="603"/>
      <c r="DN501" s="1798"/>
      <c r="DO501" s="445"/>
      <c r="DP501" s="603"/>
      <c r="DQ501" s="603"/>
      <c r="DR501" s="603"/>
      <c r="DS501" s="1798"/>
      <c r="DT501" s="445"/>
      <c r="DU501" s="603"/>
      <c r="DV501" s="603"/>
      <c r="DW501" s="603"/>
      <c r="DX501" s="603"/>
      <c r="DY501" s="445"/>
      <c r="DZ501" s="603"/>
      <c r="EA501" s="603"/>
      <c r="EB501" s="603"/>
      <c r="EC501" s="1798"/>
      <c r="ED501" s="1866"/>
      <c r="EE501" s="603"/>
      <c r="EF501" s="603"/>
      <c r="EG501" s="603"/>
      <c r="EH501" s="1798"/>
      <c r="EI501" s="445"/>
      <c r="EJ501" s="445"/>
      <c r="EK501" s="445"/>
      <c r="EL501" s="445"/>
      <c r="EM501" s="445"/>
      <c r="EN501" s="445"/>
      <c r="EO501" s="445"/>
      <c r="EP501" s="445"/>
      <c r="EQ501" s="445"/>
      <c r="ER501" s="445"/>
      <c r="ES501" s="445"/>
      <c r="ET501" s="445"/>
      <c r="EU501" s="445"/>
      <c r="EV501" s="445"/>
      <c r="EW501" s="445"/>
      <c r="EX501" s="445"/>
    </row>
    <row r="502" spans="1:154" ht="12.75" customHeight="1">
      <c r="B502" s="1162" t="s">
        <v>898</v>
      </c>
      <c r="C502" s="1989"/>
      <c r="D502" s="33"/>
      <c r="E502" s="33"/>
      <c r="F502" s="33"/>
      <c r="G502" s="33"/>
      <c r="H502" s="33"/>
      <c r="I502" s="31"/>
      <c r="J502" s="33"/>
      <c r="K502" s="33"/>
      <c r="L502" s="33"/>
      <c r="M502" s="33"/>
      <c r="N502" s="31"/>
      <c r="O502" s="33"/>
      <c r="P502" s="33"/>
      <c r="Q502" s="33"/>
      <c r="R502" s="33"/>
      <c r="S502" s="31"/>
      <c r="T502" s="33"/>
      <c r="U502" s="33"/>
      <c r="V502" s="33"/>
      <c r="W502" s="33"/>
      <c r="X502" s="312"/>
      <c r="Y502" s="33"/>
      <c r="Z502" s="33"/>
      <c r="AA502" s="33"/>
      <c r="AB502" s="33"/>
      <c r="AC502" s="312"/>
      <c r="AD502" s="602"/>
      <c r="AE502" s="602"/>
      <c r="AF502" s="602"/>
      <c r="AG502" s="602"/>
      <c r="AH502" s="445"/>
      <c r="AI502" s="602"/>
      <c r="AJ502" s="602"/>
      <c r="AK502" s="602"/>
      <c r="AL502" s="602"/>
      <c r="AM502" s="445"/>
      <c r="AN502" s="602"/>
      <c r="AO502" s="602"/>
      <c r="AP502" s="602"/>
      <c r="AQ502" s="602"/>
      <c r="AR502" s="445"/>
      <c r="AS502" s="444"/>
      <c r="AT502" s="444"/>
      <c r="AU502" s="444"/>
      <c r="AV502" s="444"/>
      <c r="AW502" s="445"/>
      <c r="AX502" s="28"/>
      <c r="AY502" s="28"/>
      <c r="AZ502" s="28"/>
      <c r="BA502" s="28"/>
      <c r="BB502" s="312"/>
      <c r="BC502" s="28"/>
      <c r="BD502" s="28"/>
      <c r="BE502" s="28"/>
      <c r="BF502" s="28"/>
      <c r="BG502" s="312"/>
      <c r="BH502" s="28"/>
      <c r="BI502" s="28"/>
      <c r="BJ502" s="28"/>
      <c r="BK502" s="28"/>
      <c r="BL502" s="312"/>
      <c r="BM502" s="28"/>
      <c r="BN502" s="28"/>
      <c r="BO502" s="28"/>
      <c r="BP502" s="28"/>
      <c r="BQ502" s="312"/>
      <c r="BR502" s="28"/>
      <c r="BS502" s="28"/>
      <c r="BT502" s="28"/>
      <c r="BU502" s="28"/>
      <c r="BV502" s="312"/>
      <c r="BW502" s="28"/>
      <c r="BX502" s="28"/>
      <c r="BY502" s="28"/>
      <c r="BZ502" s="28"/>
      <c r="CA502" s="312"/>
      <c r="CB502" s="28"/>
      <c r="CC502" s="28"/>
      <c r="CD502" s="28"/>
      <c r="CE502" s="28"/>
      <c r="CF502" s="312"/>
      <c r="CG502" s="28"/>
      <c r="CH502" s="28"/>
      <c r="CI502" s="28"/>
      <c r="CJ502" s="28"/>
      <c r="CK502" s="312"/>
      <c r="CL502" s="961"/>
      <c r="CM502" s="933"/>
      <c r="CN502" s="28"/>
      <c r="CO502" s="28"/>
      <c r="CP502" s="312"/>
      <c r="CQ502" s="933"/>
      <c r="CR502" s="933"/>
      <c r="CS502" s="933"/>
      <c r="CT502" s="933"/>
      <c r="CU502" s="312"/>
      <c r="CV502" s="933"/>
      <c r="CW502" s="933"/>
      <c r="CX502" s="933"/>
      <c r="CY502" s="933"/>
      <c r="CZ502" s="312"/>
      <c r="DA502" s="933"/>
      <c r="DB502" s="31"/>
      <c r="DC502" s="31"/>
      <c r="DD502" s="955"/>
      <c r="DE502" s="445"/>
      <c r="DF502" s="982"/>
      <c r="DG502" s="603"/>
      <c r="DH502" s="603"/>
      <c r="DI502" s="1837"/>
      <c r="DJ502" s="1830"/>
      <c r="DK502" s="1842"/>
      <c r="DL502" s="603"/>
      <c r="DM502" s="603"/>
      <c r="DN502" s="1798"/>
      <c r="DO502" s="445"/>
      <c r="DP502" s="603"/>
      <c r="DQ502" s="603"/>
      <c r="DR502" s="603"/>
      <c r="DS502" s="1798"/>
      <c r="DT502" s="445"/>
      <c r="DU502" s="603"/>
      <c r="DV502" s="603"/>
      <c r="DW502" s="603"/>
      <c r="DX502" s="603"/>
      <c r="DY502" s="445"/>
      <c r="DZ502" s="603"/>
      <c r="EA502" s="603"/>
      <c r="EB502" s="603"/>
      <c r="EC502" s="1798"/>
      <c r="ED502" s="1866"/>
      <c r="EE502" s="603"/>
      <c r="EF502" s="603"/>
      <c r="EG502" s="603"/>
      <c r="EH502" s="1798"/>
      <c r="EI502" s="445"/>
      <c r="EJ502" s="445"/>
      <c r="EK502" s="445"/>
      <c r="EL502" s="445"/>
      <c r="EM502" s="445"/>
      <c r="EN502" s="445"/>
      <c r="EO502" s="445"/>
      <c r="EP502" s="445"/>
      <c r="EQ502" s="445"/>
      <c r="ER502" s="445"/>
      <c r="ES502" s="445"/>
      <c r="ET502" s="445"/>
      <c r="EU502" s="445"/>
      <c r="EV502" s="445"/>
      <c r="EW502" s="445"/>
      <c r="EX502" s="445"/>
    </row>
    <row r="503" spans="1:154" ht="12.75" customHeight="1">
      <c r="B503" s="1169" t="s">
        <v>921</v>
      </c>
      <c r="C503" s="1989"/>
      <c r="D503" s="33"/>
      <c r="E503" s="33"/>
      <c r="F503" s="33"/>
      <c r="G503" s="33"/>
      <c r="H503" s="33"/>
      <c r="I503" s="29"/>
      <c r="J503" s="30"/>
      <c r="K503" s="29"/>
      <c r="L503" s="30"/>
      <c r="M503" s="30"/>
      <c r="N503" s="30"/>
      <c r="O503" s="30"/>
      <c r="P503" s="30"/>
      <c r="Q503" s="30"/>
      <c r="R503" s="30"/>
      <c r="S503" s="30"/>
      <c r="T503" s="30"/>
      <c r="U503" s="30"/>
      <c r="V503" s="30"/>
      <c r="W503" s="30"/>
      <c r="X503" s="308"/>
      <c r="Y503" s="30"/>
      <c r="Z503" s="30"/>
      <c r="AA503" s="30"/>
      <c r="AB503" s="30"/>
      <c r="AC503" s="308"/>
      <c r="AD503" s="30"/>
      <c r="AE503" s="30"/>
      <c r="AF503" s="30"/>
      <c r="AG503" s="30"/>
      <c r="AH503" s="308"/>
      <c r="AI503" s="30"/>
      <c r="AJ503" s="30"/>
      <c r="AK503" s="30"/>
      <c r="AL503" s="30"/>
      <c r="AM503" s="308"/>
      <c r="AN503" s="30"/>
      <c r="AO503" s="30"/>
      <c r="AP503" s="30"/>
      <c r="AQ503" s="30"/>
      <c r="AR503" s="308"/>
      <c r="AS503" s="30"/>
      <c r="AT503" s="30"/>
      <c r="AU503" s="30"/>
      <c r="AV503" s="30"/>
      <c r="AW503" s="308"/>
      <c r="AX503" s="30"/>
      <c r="AY503" s="30"/>
      <c r="AZ503" s="30"/>
      <c r="BA503" s="30"/>
      <c r="BB503" s="308"/>
      <c r="BC503" s="29"/>
      <c r="BD503" s="29"/>
      <c r="BE503" s="29"/>
      <c r="BF503" s="29"/>
      <c r="BG503" s="308"/>
      <c r="BH503" s="29"/>
      <c r="BI503" s="29"/>
      <c r="BJ503" s="30"/>
      <c r="BK503" s="30"/>
      <c r="BL503" s="317"/>
      <c r="BM503" s="30"/>
      <c r="BN503" s="29"/>
      <c r="BO503" s="29"/>
      <c r="BP503" s="30"/>
      <c r="BQ503" s="317"/>
      <c r="BR503" s="29"/>
      <c r="BS503" s="30">
        <f>BS498/BN498-1</f>
      </c>
      <c r="BT503" s="30">
        <f t="shared" ref="BT503:CI503" si="1295">BT498/BO498-1</f>
      </c>
      <c r="BU503" s="30">
        <f>BU498/BP498-1</f>
      </c>
      <c r="BV503" s="308">
        <f>IF(BQ498="NM","NM",IF(BV498="NM","NM",IF(BQ498&lt;=0,"NM",IF(BV498=0,"NM",IF(ABS(BV498/BQ498-1)&gt;2.5,"NM",IF((ABS(BV498-BQ498)=ABS(ABS(BV498)-ABS(BQ498))),(BV498/BQ498-1),"NM"))))))</f>
      </c>
      <c r="BW503" s="30">
        <f t="shared" si="1295"/>
      </c>
      <c r="BX503" s="30">
        <f t="shared" si="1295"/>
      </c>
      <c r="BY503" s="30">
        <f t="shared" si="1295"/>
      </c>
      <c r="BZ503" s="30">
        <f t="shared" si="1295"/>
      </c>
      <c r="CA503" s="315">
        <f>IF(BV498="NM","NM",IF(CA498="NM","NM",IF(BV498&lt;=0,"NM",IF(CA498=0,"NM",IF(ABS(CA498/BV498-1)&gt;2.5,"NM",IF((ABS(CA498-BV498)=ABS(ABS(CA498)-ABS(BV498))),(CA498/BV498-1),"NM"))))))</f>
      </c>
      <c r="CB503" s="30">
        <f t="shared" si="1295"/>
      </c>
      <c r="CC503" s="30">
        <f t="shared" si="1295"/>
      </c>
      <c r="CD503" s="30">
        <f t="shared" si="1295"/>
      </c>
      <c r="CE503" s="30">
        <f t="shared" si="1295"/>
      </c>
      <c r="CF503" s="315">
        <f>IF(CA498="NM","NM",IF(CF498="NM","NM",IF(CA498&lt;=0,"NM",IF(CF498=0,"NM",IF(ABS(CF498/CA498-1)&gt;2.5,"NM",IF((ABS(CF498-CA498)=ABS(ABS(CF498)-ABS(CA498))),(CF498/CA498-1),"NM"))))))</f>
      </c>
      <c r="CG503" s="30">
        <f t="shared" si="1295"/>
      </c>
      <c r="CH503" s="30">
        <f t="shared" si="1295"/>
      </c>
      <c r="CI503" s="30">
        <f t="shared" si="1295"/>
      </c>
      <c r="CJ503" s="30">
        <f>CJ498/CE498-1</f>
      </c>
      <c r="CK503" s="308">
        <f>IF(CF498=0, "NA", CK498/CF498-1)</f>
      </c>
      <c r="CL503" s="30">
        <f t="shared" ref="CL503:CN504" si="1296">CL498/CG498-1</f>
      </c>
      <c r="CM503" s="30">
        <f t="shared" si="1296"/>
      </c>
      <c r="CN503" s="30">
        <f t="shared" si="1296"/>
      </c>
      <c r="CO503" s="30">
        <f>CO498/CJ498-1</f>
      </c>
      <c r="CP503" s="308">
        <f>IF(CK498=0, "NA", CP498/CK498-1)</f>
      </c>
      <c r="CQ503" s="30">
        <f t="shared" ref="CQ503:CX504" si="1297">CQ498/CL498-1</f>
      </c>
      <c r="CR503" s="30">
        <f t="shared" si="1297"/>
      </c>
      <c r="CS503" s="30">
        <f t="shared" si="1297"/>
      </c>
      <c r="CT503" s="30">
        <f t="shared" si="1297"/>
      </c>
      <c r="CU503" s="308">
        <f>IF(CP498=0, "NA", CU498/CP498-1)</f>
      </c>
      <c r="CV503" s="30">
        <f t="shared" si="1297"/>
      </c>
      <c r="CW503" s="30">
        <f t="shared" si="1297"/>
      </c>
      <c r="CX503" s="30">
        <f t="shared" si="1297"/>
      </c>
      <c r="CY503" s="30">
        <f>CY498/CT498-1</f>
      </c>
      <c r="CZ503" s="308">
        <f>IF(CU498=0, "NA", CZ498/CU498-1)</f>
      </c>
      <c r="DA503" s="30">
        <f t="shared" ref="DA503:DI503" si="1298">DA498/CV498-1</f>
      </c>
      <c r="DB503" s="30">
        <f t="shared" si="1298"/>
      </c>
      <c r="DC503" s="1361">
        <f t="shared" si="1298"/>
      </c>
      <c r="DD503" s="1361">
        <f t="shared" si="1298"/>
      </c>
      <c r="DE503" s="1233">
        <f>IF(CZ498=0, "NA", DE498/CZ498-1)</f>
      </c>
      <c r="DF503" s="1361">
        <f t="shared" si="1298"/>
      </c>
      <c r="DG503" s="1361">
        <f t="shared" si="1298"/>
      </c>
      <c r="DH503" s="1361">
        <f>DH498/DC498-1</f>
      </c>
      <c r="DI503" s="1361">
        <f t="shared" si="1298"/>
      </c>
      <c r="DJ503" s="1233">
        <f>IF(DE498=0, "NA", DJ498/DE498-1)</f>
      </c>
      <c r="DK503" s="1208">
        <v>-0.45</v>
      </c>
      <c r="DL503" s="30">
        <f>DL498/DG498-1</f>
      </c>
      <c r="DM503" s="30">
        <f>DM498/DH498-1</f>
      </c>
      <c r="DN503" s="928">
        <f>IF(DN498=0,"NM",+DN498/DI498-1)</f>
      </c>
      <c r="DO503" s="1233">
        <f>IF(DJ498=0, "NA", DO498/DJ498-1)</f>
      </c>
      <c r="DP503" s="1361">
        <f>DP498/DK498-1</f>
      </c>
      <c r="DQ503" s="30">
        <f t="shared" ref="DQ503:DS504" si="1299">DQ498/DL498-1</f>
      </c>
      <c r="DR503" s="30">
        <f t="shared" si="1299"/>
      </c>
      <c r="DS503" s="30">
        <f t="shared" si="1299"/>
      </c>
      <c r="DT503" s="1233">
        <f>IF(DO498=0, "NA", DT498/DO498-1)</f>
      </c>
      <c r="DU503" s="1361">
        <f t="shared" ref="DU503:EB504" si="1300">DU498/DP498-1</f>
      </c>
      <c r="DV503" s="1361">
        <f t="shared" si="1300"/>
      </c>
      <c r="DW503" s="1361">
        <f t="shared" si="1300"/>
      </c>
      <c r="DX503" s="1361">
        <f t="shared" si="1300"/>
      </c>
      <c r="DY503" s="1233">
        <f>IF(DT498=0, "NA", DY498/DT498-1)</f>
      </c>
      <c r="DZ503" s="1703">
        <f>+DZ498/DU498-1</f>
      </c>
      <c r="EA503" s="1703">
        <f>+EA498/DV498-1</f>
      </c>
      <c r="EB503" s="1703">
        <f>+EB498/DW498-1</f>
      </c>
      <c r="EC503" s="1703">
        <f>+EC498/DX498-1</f>
      </c>
      <c r="ED503" s="1233">
        <f>IF(DY498=0, "NA", ED498/DY498-1)</f>
      </c>
      <c r="EE503" s="1703">
        <f>+EE498/DZ498-1</f>
      </c>
      <c r="EF503" s="1703">
        <f>+EF498/EA498-1</f>
      </c>
      <c r="EG503" s="1703">
        <f>+EG498/EB498-1</f>
      </c>
      <c r="EH503" s="1063">
        <f>IF(EH498=0,"NM",+EH498/EC498-1)</f>
      </c>
      <c r="EI503" s="660">
        <v>-0.2</v>
      </c>
      <c r="EJ503" s="660">
        <v>-0.2</v>
      </c>
      <c r="EK503" s="660">
        <v>-0.15</v>
      </c>
      <c r="EL503" s="660">
        <v>-0.15</v>
      </c>
      <c r="EM503" s="660">
        <v>-0.15</v>
      </c>
      <c r="EN503" s="660">
        <v>-0.1</v>
      </c>
      <c r="EO503" s="660">
        <v>-0.1</v>
      </c>
      <c r="EP503" s="660">
        <v>-0.1</v>
      </c>
      <c r="EQ503" s="660">
        <v>-0.02</v>
      </c>
      <c r="ER503" s="660">
        <v>-0.02</v>
      </c>
      <c r="ES503" s="660">
        <v>-0.02</v>
      </c>
      <c r="ET503" s="597"/>
      <c r="EU503" s="597"/>
      <c r="EV503" s="597"/>
      <c r="EW503" s="597"/>
      <c r="EX503" s="597"/>
    </row>
    <row r="504" spans="1:154" ht="12.75" customHeight="1">
      <c r="B504" s="1169" t="s">
        <v>412</v>
      </c>
      <c r="C504" s="1989"/>
      <c r="D504" s="33"/>
      <c r="E504" s="33"/>
      <c r="F504" s="33"/>
      <c r="G504" s="33"/>
      <c r="H504" s="33"/>
      <c r="I504" s="30"/>
      <c r="J504" s="30"/>
      <c r="K504" s="30"/>
      <c r="L504" s="30"/>
      <c r="M504" s="30"/>
      <c r="N504" s="30"/>
      <c r="O504" s="30"/>
      <c r="P504" s="30"/>
      <c r="Q504" s="30"/>
      <c r="R504" s="30"/>
      <c r="S504" s="30"/>
      <c r="T504" s="30"/>
      <c r="U504" s="30"/>
      <c r="V504" s="30"/>
      <c r="W504" s="30"/>
      <c r="X504" s="308"/>
      <c r="Y504" s="30"/>
      <c r="Z504" s="30"/>
      <c r="AA504" s="30"/>
      <c r="AB504" s="30"/>
      <c r="AC504" s="308"/>
      <c r="AD504" s="30" t="str">
        <f t="shared" ref="AD504:AV504" si="1301">IF(Y499="NM","NM",IF(AD499="NM","NM",IF(Y499&lt;=0,"NM",IF(AD499=0,"NM",IF(ABS(AD499/Y499-1)&gt;2.5,"NM",IF((ABS(AD499-Y499)=ABS(ABS(AD499)-ABS(Y499))),(AD499/Y499-1),"NM"))))))</f>
      </c>
      <c r="AE504" s="30" t="str">
        <f t="shared" si="1301"/>
      </c>
      <c r="AF504" s="30" t="str">
        <f t="shared" si="1301"/>
      </c>
      <c r="AG504" s="30" t="str">
        <f t="shared" si="1301"/>
      </c>
      <c r="AH504" s="308" t="str">
        <f t="shared" si="1301"/>
      </c>
      <c r="AI504" s="30" t="str">
        <f t="shared" si="1301"/>
      </c>
      <c r="AJ504" s="30" t="str">
        <f t="shared" si="1301"/>
      </c>
      <c r="AK504" s="30" t="str">
        <f t="shared" si="1301"/>
      </c>
      <c r="AL504" s="30" t="str">
        <f t="shared" si="1301"/>
      </c>
      <c r="AM504" s="308" t="str">
        <f t="shared" si="1301"/>
      </c>
      <c r="AN504" s="30" t="str">
        <f t="shared" si="1301"/>
      </c>
      <c r="AO504" s="30" t="str">
        <f t="shared" si="1301"/>
      </c>
      <c r="AP504" s="30" t="str">
        <f t="shared" si="1301"/>
      </c>
      <c r="AQ504" s="30" t="str">
        <f t="shared" si="1301"/>
      </c>
      <c r="AR504" s="308" t="str">
        <f t="shared" si="1301"/>
      </c>
      <c r="AS504" s="30" t="str">
        <f t="shared" si="1301"/>
      </c>
      <c r="AT504" s="30" t="str">
        <f t="shared" si="1301"/>
      </c>
      <c r="AU504" s="30" t="str">
        <f t="shared" si="1301"/>
      </c>
      <c r="AV504" s="30" t="str">
        <f t="shared" si="1301"/>
      </c>
      <c r="AW504" s="308"/>
      <c r="AX504" s="30"/>
      <c r="AY504" s="30"/>
      <c r="AZ504" s="30"/>
      <c r="BA504" s="30"/>
      <c r="BB504" s="308"/>
      <c r="BC504" s="30"/>
      <c r="BD504" s="30"/>
      <c r="BE504" s="30"/>
      <c r="BF504" s="30"/>
      <c r="BG504" s="308"/>
      <c r="BH504" s="30"/>
      <c r="BI504" s="30"/>
      <c r="BJ504" s="30"/>
      <c r="BK504" s="30"/>
      <c r="BL504" s="308"/>
      <c r="BM504" s="30"/>
      <c r="BN504" s="30"/>
      <c r="BO504" s="30"/>
      <c r="BP504" s="30"/>
      <c r="BQ504" s="308"/>
      <c r="BR504" s="30"/>
      <c r="BS504" s="30">
        <f>BS499/BN499-1</f>
      </c>
      <c r="BT504" s="30">
        <f t="shared" ref="BT504:CI504" si="1302">BT499/BO499-1</f>
      </c>
      <c r="BU504" s="30">
        <f>BU499/BP499-1</f>
      </c>
      <c r="BV504" s="308" t="str">
        <f>IF(BQ499="NM","NM",IF(BV499="NM","NM",IF(BQ499&lt;=0,"NM",IF(BV499=0,"NM",IF(ABS(BV499/BQ499-1)&gt;2.5,"NM",IF((ABS(BV499-BQ499)=ABS(ABS(BV499)-ABS(BQ499))),(BV499/BQ499-1),"NM"))))))</f>
      </c>
      <c r="BW504" s="30">
        <f t="shared" si="1302"/>
      </c>
      <c r="BX504" s="30">
        <f t="shared" si="1302"/>
      </c>
      <c r="BY504" s="30">
        <f t="shared" si="1302"/>
      </c>
      <c r="BZ504" s="30">
        <f t="shared" si="1302"/>
      </c>
      <c r="CA504" s="315">
        <f>IF(BV499="NM","NM",IF(CA499="NM","NM",IF(BV499&lt;=0,"NM",IF(CA499=0,"NM",IF(ABS(CA499/BV499-1)&gt;2.5,"NM",IF((ABS(CA499-BV499)=ABS(ABS(CA499)-ABS(BV499))),(CA499/BV499-1),"NM"))))))</f>
      </c>
      <c r="CB504" s="30">
        <f t="shared" si="1302"/>
      </c>
      <c r="CC504" s="30">
        <f t="shared" si="1302"/>
      </c>
      <c r="CD504" s="30">
        <f t="shared" si="1302"/>
      </c>
      <c r="CE504" s="30">
        <f t="shared" si="1302"/>
      </c>
      <c r="CF504" s="315">
        <f>IF(CA499="NM","NM",IF(CF499="NM","NM",IF(CA499&lt;=0,"NM",IF(CF499=0,"NM",IF(ABS(CF499/CA499-1)&gt;2.5,"NM",IF((ABS(CF499-CA499)=ABS(ABS(CF499)-ABS(CA499))),(CF499/CA499-1),"NM"))))))</f>
      </c>
      <c r="CG504" s="30">
        <f t="shared" si="1302"/>
      </c>
      <c r="CH504" s="30">
        <f t="shared" si="1302"/>
      </c>
      <c r="CI504" s="30">
        <f t="shared" si="1302"/>
      </c>
      <c r="CJ504" s="30">
        <f>CJ499/CE499-1</f>
      </c>
      <c r="CK504" s="308">
        <f>IF(CF499=0, "NA", CK499/CF499-1)</f>
      </c>
      <c r="CL504" s="30">
        <f t="shared" si="1296"/>
      </c>
      <c r="CM504" s="30">
        <f t="shared" si="1296"/>
      </c>
      <c r="CN504" s="30">
        <f t="shared" si="1296"/>
      </c>
      <c r="CO504" s="30">
        <f>CO499/CJ499-1</f>
      </c>
      <c r="CP504" s="308">
        <f>IF(CK499=0, "NA", CP499/CK499-1)</f>
      </c>
      <c r="CQ504" s="30">
        <f t="shared" si="1297"/>
      </c>
      <c r="CR504" s="30">
        <f t="shared" si="1297"/>
      </c>
      <c r="CS504" s="30">
        <f t="shared" si="1297"/>
      </c>
      <c r="CT504" s="30">
        <f t="shared" si="1297"/>
      </c>
      <c r="CU504" s="308">
        <f>IF(CP499=0, "NA", CU499/CP499-1)</f>
      </c>
      <c r="CV504" s="30">
        <f t="shared" si="1297"/>
      </c>
      <c r="CW504" s="30">
        <f t="shared" si="1297"/>
      </c>
      <c r="CX504" s="30">
        <f t="shared" si="1297"/>
      </c>
      <c r="CY504" s="30">
        <f>CY499/CT499-1</f>
      </c>
      <c r="CZ504" s="308">
        <f>IF(CU499=0, "NA", CZ499/CU499-1)</f>
      </c>
      <c r="DA504" s="30">
        <f>DA499/CV499-1</f>
      </c>
      <c r="DB504" s="30">
        <f>DB499/CW499-1</f>
      </c>
      <c r="DC504" s="1361">
        <f>DC499/CX499-1</f>
      </c>
      <c r="DD504" s="1361">
        <f>DD499/CY499-1</f>
      </c>
      <c r="DE504" s="1233">
        <f>IF(CZ499=0, "NA", DE499/CZ499-1)</f>
      </c>
      <c r="DF504" s="1361">
        <f>DF499/DA499-1</f>
      </c>
      <c r="DG504" s="1361">
        <f>DG499/DB499-1</f>
      </c>
      <c r="DH504" s="1361">
        <f>DH499/DC499-1</f>
      </c>
      <c r="DI504" s="1361">
        <f>DI499/DD499-1</f>
      </c>
      <c r="DJ504" s="1233">
        <f>IF(DE499=0, "NA", DJ499/DE499-1)</f>
      </c>
      <c r="DK504" s="1219">
        <f>DK505+DK$21</f>
      </c>
      <c r="DL504" s="30">
        <f>DL499/DG499-1</f>
      </c>
      <c r="DM504" s="30">
        <f>DM499/DH499-1</f>
      </c>
      <c r="DN504" s="928">
        <f>IF(DN499=0, "NM", DN499/DI499-1)</f>
      </c>
      <c r="DO504" s="308">
        <f>DO505+DO$21</f>
      </c>
      <c r="DP504" s="30">
        <f>DP499/DK499-1</f>
      </c>
      <c r="DQ504" s="30">
        <f t="shared" si="1299"/>
      </c>
      <c r="DR504" s="30">
        <f t="shared" si="1299"/>
      </c>
      <c r="DS504" s="30">
        <f t="shared" si="1299"/>
      </c>
      <c r="DT504" s="308">
        <f>DT505+DT$21</f>
      </c>
      <c r="DU504" s="30">
        <f t="shared" si="1300"/>
      </c>
      <c r="DV504" s="30">
        <f t="shared" si="1300"/>
      </c>
      <c r="DW504" s="30">
        <f t="shared" si="1300"/>
      </c>
      <c r="DX504" s="30">
        <f t="shared" si="1300"/>
      </c>
      <c r="DY504" s="308">
        <f>DY505+DY$21</f>
      </c>
      <c r="DZ504" s="30">
        <f t="shared" si="1300"/>
      </c>
      <c r="EA504" s="926">
        <f t="shared" si="1300"/>
      </c>
      <c r="EB504" s="926">
        <f t="shared" si="1300"/>
      </c>
      <c r="EC504" s="928">
        <f>IF(EC499=0, "NM", EC499/DX499-1)</f>
      </c>
      <c r="ED504" s="308">
        <f>ED505+ED$21</f>
      </c>
      <c r="EE504" s="30">
        <f t="shared" ref="EE504:EG504" si="1303">EE499/DZ499-1</f>
      </c>
      <c r="EF504" s="926">
        <f t="shared" si="1303"/>
      </c>
      <c r="EG504" s="926">
        <f t="shared" si="1303"/>
      </c>
      <c r="EH504" s="928">
        <f>IF(EH499=0, "NM", EH499/EC499-1)</f>
      </c>
      <c r="EI504" s="308">
        <f t="shared" ref="EI504:ES504" si="1304">EI505+EI$21</f>
      </c>
      <c r="EJ504" s="308">
        <f t="shared" si="1304"/>
      </c>
      <c r="EK504" s="308">
        <f t="shared" si="1304"/>
      </c>
      <c r="EL504" s="308">
        <f t="shared" si="1304"/>
      </c>
      <c r="EM504" s="308">
        <f t="shared" si="1304"/>
      </c>
      <c r="EN504" s="308">
        <f t="shared" si="1304"/>
      </c>
      <c r="EO504" s="308">
        <f t="shared" si="1304"/>
      </c>
      <c r="EP504" s="308">
        <f t="shared" si="1304"/>
      </c>
      <c r="EQ504" s="308">
        <f t="shared" si="1304"/>
      </c>
      <c r="ER504" s="308">
        <f t="shared" si="1304"/>
      </c>
      <c r="ES504" s="308">
        <f t="shared" si="1304"/>
      </c>
      <c r="ET504" s="308"/>
      <c r="EU504" s="308"/>
      <c r="EV504" s="308"/>
      <c r="EW504" s="308"/>
      <c r="EX504" s="308"/>
    </row>
    <row r="505" spans="1:154" ht="12.75" customHeight="1">
      <c r="B505" s="1169" t="s">
        <v>256</v>
      </c>
      <c r="C505" s="1971"/>
      <c r="D505" s="33"/>
      <c r="E505" s="33"/>
      <c r="F505" s="33"/>
      <c r="G505" s="33"/>
      <c r="H505" s="33"/>
      <c r="I505" s="24"/>
      <c r="J505" s="1"/>
      <c r="K505" s="1"/>
      <c r="L505" s="1"/>
      <c r="M505" s="1"/>
      <c r="N505" s="24"/>
      <c r="O505" s="24"/>
      <c r="P505" s="24"/>
      <c r="Q505" s="24"/>
      <c r="R505" s="24"/>
      <c r="S505" s="1"/>
      <c r="T505" s="24"/>
      <c r="U505" s="24"/>
      <c r="V505" s="24"/>
      <c r="W505" s="24"/>
      <c r="X505" s="315"/>
      <c r="Y505" s="24"/>
      <c r="Z505" s="24"/>
      <c r="AA505" s="24"/>
      <c r="AB505" s="24"/>
      <c r="AC505" s="315"/>
      <c r="AD505" s="601"/>
      <c r="AE505" s="601"/>
      <c r="AF505" s="601"/>
      <c r="AG505" s="601"/>
      <c r="AH505" s="308"/>
      <c r="AI505" s="30" t="str">
        <f t="shared" ref="AI505:AV505" si="1305">IF(ISNUMBER(AI504),(1+AI504)/(1+AI$21)-1,"NM")</f>
      </c>
      <c r="AJ505" s="30" t="str">
        <f t="shared" si="1305"/>
      </c>
      <c r="AK505" s="30" t="str">
        <f t="shared" si="1305"/>
      </c>
      <c r="AL505" s="30" t="str">
        <f t="shared" si="1305"/>
      </c>
      <c r="AM505" s="308" t="str">
        <f t="shared" si="1305"/>
      </c>
      <c r="AN505" s="30" t="str">
        <f t="shared" si="1305"/>
      </c>
      <c r="AO505" s="30" t="str">
        <f t="shared" si="1305"/>
      </c>
      <c r="AP505" s="30" t="str">
        <f t="shared" si="1305"/>
      </c>
      <c r="AQ505" s="30" t="str">
        <f t="shared" si="1305"/>
      </c>
      <c r="AR505" s="308" t="str">
        <f t="shared" si="1305"/>
      </c>
      <c r="AS505" s="30" t="str">
        <f t="shared" si="1305"/>
      </c>
      <c r="AT505" s="30" t="str">
        <f t="shared" si="1305"/>
      </c>
      <c r="AU505" s="30" t="str">
        <f t="shared" si="1305"/>
      </c>
      <c r="AV505" s="30" t="str">
        <f t="shared" si="1305"/>
      </c>
      <c r="AW505" s="308"/>
      <c r="AX505" s="8"/>
      <c r="AY505" s="8"/>
      <c r="AZ505" s="8"/>
      <c r="BA505" s="8"/>
      <c r="BB505" s="315"/>
      <c r="BC505" s="8"/>
      <c r="BD505" s="8"/>
      <c r="BE505" s="8"/>
      <c r="BF505" s="8"/>
      <c r="BG505" s="309"/>
      <c r="BH505" s="8"/>
      <c r="BI505" s="8"/>
      <c r="BJ505" s="8"/>
      <c r="BK505" s="8"/>
      <c r="BL505" s="315"/>
      <c r="BM505" s="30"/>
      <c r="BN505" s="41"/>
      <c r="BO505" s="41"/>
      <c r="BP505" s="30"/>
      <c r="BQ505" s="308"/>
      <c r="BR505" s="41"/>
      <c r="BS505" s="30">
        <f>IF(ISNUMBER(BS504),(1+BS504)/(1+BS$21)-1,"NM")</f>
      </c>
      <c r="BT505" s="30">
        <f>IF(ISNUMBER(BT504),(1+BT504)/(1+BT$21)-1,"NM")</f>
      </c>
      <c r="BU505" s="30">
        <f>IF(ISNUMBER(BU504),(1+BU504)/(1+BU$21)-1,"NM")</f>
      </c>
      <c r="BV505" s="308" t="str">
        <f>IF(ISNUMBER(BV504),(1+BV504)/(1+BV$21)-1,"NM")</f>
      </c>
      <c r="BW505" s="29">
        <v>0.83399999999999996</v>
      </c>
      <c r="BX505" s="29">
        <v>0.85199999999999998</v>
      </c>
      <c r="BY505" s="29">
        <v>0.97099999999999997</v>
      </c>
      <c r="BZ505" s="835">
        <v>0.86499999999999999</v>
      </c>
      <c r="CA505" s="448">
        <v>0.88400000000000001</v>
      </c>
      <c r="CB505" s="361">
        <v>0.54600000000000004</v>
      </c>
      <c r="CC505" s="29">
        <v>0.45100000000000001</v>
      </c>
      <c r="CD505" s="29">
        <v>0.222</v>
      </c>
      <c r="CE505" s="835">
        <v>0.29899999999999999</v>
      </c>
      <c r="CF505" s="448">
        <v>0.36099999999999999</v>
      </c>
      <c r="CG505" s="361">
        <v>0.26300000000000001</v>
      </c>
      <c r="CH505" s="361">
        <v>8.5999999999999993E-2</v>
      </c>
      <c r="CI505" s="361">
        <v>3.4000000000000002E-2</v>
      </c>
      <c r="CJ505" s="361">
        <v>2E-3</v>
      </c>
      <c r="CK505" s="315">
        <f>CK504-CK$21</f>
      </c>
      <c r="CL505" s="361">
        <v>-1E-3</v>
      </c>
      <c r="CM505" s="361">
        <v>8.4000000000000005E-2</v>
      </c>
      <c r="CN505" s="361">
        <v>8.5000000000000006E-2</v>
      </c>
      <c r="CO505" s="361">
        <v>-0.09</v>
      </c>
      <c r="CP505" s="315">
        <f>CP504-CP$21</f>
      </c>
      <c r="CQ505" s="361">
        <v>2.7E-2</v>
      </c>
      <c r="CR505" s="361">
        <v>3.2000000000000001E-2</v>
      </c>
      <c r="CS505" s="361">
        <v>4.3999999999999997E-2</v>
      </c>
      <c r="CT505" s="835">
        <v>0.25</v>
      </c>
      <c r="CU505" s="942">
        <f>CU504-CU$21</f>
      </c>
      <c r="CV505" s="361">
        <v>0.36799999999999999</v>
      </c>
      <c r="CW505" s="361">
        <v>0.27300000000000002</v>
      </c>
      <c r="CX505" s="361">
        <v>0.38800000000000001</v>
      </c>
      <c r="CY505" s="835">
        <v>0.27100000000000002</v>
      </c>
      <c r="CZ505" s="942">
        <f>CZ504-CZ$21</f>
      </c>
      <c r="DA505" s="361">
        <v>0.20899999999999999</v>
      </c>
      <c r="DB505" s="361">
        <v>0.245</v>
      </c>
      <c r="DC505" s="1109">
        <v>0.21099999999999999</v>
      </c>
      <c r="DD505" s="1525">
        <v>0.129</v>
      </c>
      <c r="DE505" s="1351">
        <f>DE504-DE$21</f>
      </c>
      <c r="DF505" s="1208">
        <v>0.1</v>
      </c>
      <c r="DG505" s="1208">
        <v>0.1</v>
      </c>
      <c r="DH505" s="1208">
        <v>0.06</v>
      </c>
      <c r="DI505" s="1235">
        <f>IF(DI499=0, "NM",DI504-DI$21)</f>
      </c>
      <c r="DJ505" s="1351">
        <f>DJ504-DJ$21</f>
      </c>
      <c r="DK505" s="1208">
        <v>0.01</v>
      </c>
      <c r="DL505" s="29">
        <v>0.245</v>
      </c>
      <c r="DM505" s="29">
        <v>0.02</v>
      </c>
      <c r="DN505" s="928">
        <f>IF(DN499=0, "NM",DN504-DN$21)</f>
      </c>
      <c r="DO505" s="836">
        <v>0.06</v>
      </c>
      <c r="DP505" s="926">
        <f>DP504-DP$21</f>
      </c>
      <c r="DQ505" s="410">
        <f>DQ504-DQ$21</f>
      </c>
      <c r="DR505" s="410">
        <f>DR504-DR$21</f>
      </c>
      <c r="DS505" s="410">
        <f>DS504-DS$21</f>
      </c>
      <c r="DT505" s="317">
        <v>-9.8000000000000004E-2</v>
      </c>
      <c r="DU505" s="926">
        <f>DU504-(-3.8%)</f>
      </c>
      <c r="DV505" s="926">
        <f>DV504-(-1.3%)</f>
      </c>
      <c r="DW505" s="926">
        <f>DW504-(0.2%)</f>
      </c>
      <c r="DX505" s="926">
        <f>DX504-(-0.4%)</f>
      </c>
      <c r="DY505" s="317">
        <v>-0.49099999999999999</v>
      </c>
      <c r="DZ505" s="1703">
        <f>DZ504-(-4.1%)</f>
      </c>
      <c r="EA505" s="1703">
        <f>EA504-(-6%)</f>
      </c>
      <c r="EB505" s="1703">
        <f>EB504-(-2.7%)</f>
      </c>
      <c r="EC505" s="1703">
        <f>EC504-(-2.9%)</f>
      </c>
      <c r="ED505" s="317">
        <v>-0.49099999999999999</v>
      </c>
      <c r="EE505" s="1703">
        <f>EE504-(-4.1%)</f>
      </c>
      <c r="EF505" s="1703">
        <f>EF504-(3.5%)</f>
      </c>
      <c r="EG505" s="1703">
        <f>EG504-(-2.7%)</f>
      </c>
      <c r="EH505" s="1063">
        <f>IF(EH499=0, "NM",EH504-EH$21)</f>
      </c>
      <c r="EI505" s="660">
        <v>-0.2</v>
      </c>
      <c r="EJ505" s="660">
        <v>-0.25</v>
      </c>
      <c r="EK505" s="660">
        <v>-0.2</v>
      </c>
      <c r="EL505" s="660">
        <v>-0.2</v>
      </c>
      <c r="EM505" s="660">
        <v>-0.2</v>
      </c>
      <c r="EN505" s="660">
        <v>-0.12</v>
      </c>
      <c r="EO505" s="660">
        <v>-0.03</v>
      </c>
      <c r="EP505" s="660">
        <v>-0.05</v>
      </c>
      <c r="EQ505" s="660">
        <v>-0.1</v>
      </c>
      <c r="ER505" s="660">
        <v>-0.05</v>
      </c>
      <c r="ES505" s="660">
        <v>-0.05</v>
      </c>
      <c r="ET505" s="597"/>
      <c r="EU505" s="597"/>
      <c r="EV505" s="597"/>
      <c r="EW505" s="597"/>
      <c r="EX505" s="597"/>
    </row>
    <row r="506" spans="1:154" ht="12.75" customHeight="1">
      <c r="B506" s="1169" t="s">
        <v>413</v>
      </c>
      <c r="C506" s="1989"/>
      <c r="D506" s="33"/>
      <c r="E506" s="33"/>
      <c r="F506" s="33"/>
      <c r="G506" s="33"/>
      <c r="H506" s="33"/>
      <c r="I506" s="30"/>
      <c r="J506" s="30"/>
      <c r="K506" s="30"/>
      <c r="L506" s="30"/>
      <c r="M506" s="30"/>
      <c r="N506" s="30"/>
      <c r="O506" s="30"/>
      <c r="P506" s="30"/>
      <c r="Q506" s="30"/>
      <c r="R506" s="30"/>
      <c r="S506" s="30"/>
      <c r="T506" s="30"/>
      <c r="U506" s="30"/>
      <c r="V506" s="30"/>
      <c r="W506" s="30"/>
      <c r="X506" s="308"/>
      <c r="Y506" s="30"/>
      <c r="Z506" s="30"/>
      <c r="AA506" s="30"/>
      <c r="AB506" s="30"/>
      <c r="AC506" s="308"/>
      <c r="AD506" s="30" t="str">
        <f t="shared" ref="AD506:AV506" si="1306">IF(Y500="NM","NM",IF(AD500="NM","NM",IF(Y500&lt;=0,"NM",IF(AD500=0,"NM",IF(ABS(AD500/Y500-1)&gt;2.5,"NM",IF((ABS(AD500-Y500)=ABS(ABS(AD500)-ABS(Y500))),(AD500/Y500-1),"NM"))))))</f>
      </c>
      <c r="AE506" s="30" t="str">
        <f t="shared" si="1306"/>
      </c>
      <c r="AF506" s="30" t="str">
        <f t="shared" si="1306"/>
      </c>
      <c r="AG506" s="30" t="str">
        <f t="shared" si="1306"/>
      </c>
      <c r="AH506" s="308" t="str">
        <f t="shared" si="1306"/>
      </c>
      <c r="AI506" s="30" t="str">
        <f t="shared" si="1306"/>
      </c>
      <c r="AJ506" s="30" t="str">
        <f t="shared" si="1306"/>
      </c>
      <c r="AK506" s="30" t="str">
        <f t="shared" si="1306"/>
      </c>
      <c r="AL506" s="30" t="str">
        <f t="shared" si="1306"/>
      </c>
      <c r="AM506" s="308" t="str">
        <f t="shared" si="1306"/>
      </c>
      <c r="AN506" s="30" t="str">
        <f t="shared" si="1306"/>
      </c>
      <c r="AO506" s="30" t="str">
        <f t="shared" si="1306"/>
      </c>
      <c r="AP506" s="30" t="str">
        <f t="shared" si="1306"/>
      </c>
      <c r="AQ506" s="30" t="str">
        <f t="shared" si="1306"/>
      </c>
      <c r="AR506" s="308" t="str">
        <f t="shared" si="1306"/>
      </c>
      <c r="AS506" s="30" t="str">
        <f t="shared" si="1306"/>
      </c>
      <c r="AT506" s="30" t="str">
        <f t="shared" si="1306"/>
      </c>
      <c r="AU506" s="30" t="str">
        <f t="shared" si="1306"/>
      </c>
      <c r="AV506" s="30" t="str">
        <f t="shared" si="1306"/>
      </c>
      <c r="AW506" s="308"/>
      <c r="AX506" s="30"/>
      <c r="AY506" s="30"/>
      <c r="AZ506" s="30"/>
      <c r="BA506" s="30"/>
      <c r="BB506" s="308"/>
      <c r="BC506" s="30"/>
      <c r="BD506" s="30"/>
      <c r="BE506" s="30"/>
      <c r="BF506" s="30"/>
      <c r="BG506" s="308"/>
      <c r="BH506" s="30"/>
      <c r="BI506" s="30"/>
      <c r="BJ506" s="30"/>
      <c r="BK506" s="30"/>
      <c r="BL506" s="308"/>
      <c r="BM506" s="30"/>
      <c r="BN506" s="30"/>
      <c r="BO506" s="30"/>
      <c r="BP506" s="30"/>
      <c r="BQ506" s="308"/>
      <c r="BR506" s="30"/>
      <c r="BS506" s="30" t="str">
        <f t="shared" ref="BS506:CA506" si="1307">IF(BN500="NM","NM",IF(BS500="NM","NM",IF(BN500&lt;=0,"NM",IF(BS500=0,"NM",IF(ABS(BS500/BN500-1)&gt;2.5,"NM",IF((ABS(BS500-BN500)=ABS(ABS(BS500)-ABS(BN500))),(BS500/BN500-1),"NM"))))))</f>
      </c>
      <c r="BT506" s="30">
        <f t="shared" si="1307"/>
      </c>
      <c r="BU506" s="30">
        <f t="shared" si="1307"/>
      </c>
      <c r="BV506" s="308">
        <f t="shared" si="1307"/>
      </c>
      <c r="BW506" s="30">
        <f t="shared" si="1307"/>
      </c>
      <c r="BX506" s="30">
        <f t="shared" si="1307"/>
      </c>
      <c r="BY506" s="30">
        <f t="shared" si="1307"/>
      </c>
      <c r="BZ506" s="30">
        <f t="shared" si="1307"/>
      </c>
      <c r="CA506" s="308">
        <f t="shared" si="1307"/>
      </c>
      <c r="CB506" s="30">
        <f t="shared" ref="CB506:CI506" si="1308">IF(BW500="NM","NM",IF(CB500="NM","NM",IF(BW500&lt;=0,"NM",IF(CB500=0,"NM",IF(ABS(CB500/BW500-1)&gt;2.5,"NM",IF((ABS(CB500-BW500)=ABS(ABS(CB500)-ABS(BW500))),(CB500/BW500-1),"NM"))))))</f>
      </c>
      <c r="CC506" s="30">
        <f t="shared" si="1308"/>
      </c>
      <c r="CD506" s="30">
        <f t="shared" si="1308"/>
      </c>
      <c r="CE506" s="30">
        <f>IF(BZ500="NM","NM",IF(CE500="NM","NM",IF(BZ500&lt;=0,"NM",IF(CE500=0,"NM",IF(ABS(CE500/BZ500-1)&gt;2.5,"NM",IF((ABS(CE500-BZ500)=ABS(ABS(CE500)-ABS(BZ500))),(CE500/BZ500-1),"NM"))))))</f>
      </c>
      <c r="CF506" s="308">
        <f>IF(CA500="NM","NM",IF(CF500="NM","NM",IF(CA500&lt;=0,"NM",IF(CF500=0,"NM",IF(ABS(CF500/CA500-1)&gt;2.5,"NM",IF((ABS(CF500-CA500)=ABS(ABS(CF500)-ABS(CA500))),(CF500/CA500-1),"NM"))))))</f>
      </c>
      <c r="CG506" s="30">
        <f t="shared" si="1308"/>
      </c>
      <c r="CH506" s="30">
        <f t="shared" si="1308"/>
      </c>
      <c r="CI506" s="30">
        <f t="shared" si="1308"/>
      </c>
      <c r="CJ506" s="30">
        <f>IF(CJ500&lt;=0,0,(CJ500/CE500-1))</f>
      </c>
      <c r="CK506" s="308">
        <f>IF(CF500=0, "NA", CK500/CF500-1)</f>
      </c>
      <c r="CL506" s="30">
        <f>IF(CG500="NM","NM",IF(CL500="NM","NM",IF(CG500&lt;=0,"NM",IF(CL500=0,"NM",IF(ABS(CL500/CG500-1)&gt;2.5,"NM",IF((ABS(CL500-CG500)=ABS(ABS(CL500)-ABS(CG500))),(CL500/CG500-1),"NM"))))))</f>
      </c>
      <c r="CM506" s="30">
        <f>IF(CH500="NM","NM",IF(CM500="NM","NM",IF(CH500&lt;=0,"NM",IF(CM500=0,"NM",IF(ABS(CM500/CH500-1)&gt;2.5,"NM",IF((ABS(CM500-CH500)=ABS(ABS(CM500)-ABS(CH500))),(CM500/CH500-1),"NM"))))))</f>
      </c>
      <c r="CN506" s="30">
        <f>IF(CI500="NM","NM",IF(CN500="NM","NM",IF(CI500&lt;=0,"NM",IF(CN500=0,"NM",IF(ABS(CN500/CI500-1)&gt;2.5,"NM",IF((ABS(CN500-CI500)=ABS(ABS(CN500)-ABS(CI500))),(CN500/CI500-1),"NM"))))))</f>
      </c>
      <c r="CO506" s="30">
        <f>IF(CO500&lt;=0,0,(CO500/CJ500-1))</f>
      </c>
      <c r="CP506" s="308">
        <f>IF(CK500=0, "NA", CP500/CK500-1)</f>
      </c>
      <c r="CQ506" s="30">
        <f>IF(CL500="NM","NM",IF(CQ500="NM","NM",IF(CL500&lt;=0,"NM",IF(CQ500=0,"NM",IF(ABS(CQ500/CL500-1)&gt;2.5,"NM",IF((ABS(CQ500-CL500)=ABS(ABS(CQ500)-ABS(CL500))),(CQ500/CL500-1),"NM"))))))</f>
      </c>
      <c r="CR506" s="30">
        <f>IF(CM500="NM","NM",IF(CR500="NM","NM",IF(CM500&lt;=0,"NM",IF(CR500=0,"NM",IF(ABS(CR500/CM500-1)&gt;2.5,"NM",IF((ABS(CR500-CM500)=ABS(ABS(CR500)-ABS(CM500))),(CR500/CM500-1),"NM"))))))</f>
      </c>
      <c r="CS506" s="30">
        <f>IF(CN500="NM","NM",IF(CS500="NM","NM",IF(CN500&lt;=0,"NM",IF(CS500=0,"NM",IF(ABS(CS500/CN500-1)&gt;2.5,"NM",IF((ABS(CS500-CN500)=ABS(ABS(CS500)-ABS(CN500))),(CS500/CN500-1),"NM"))))))</f>
      </c>
      <c r="CT506" s="30">
        <f>IF(CO500="NM","NM",IF(CT500="NM","NM",IF(CO500&lt;=0,"NM",IF(CT500=0,"NM",IF(ABS(CT500/CO500-1)&gt;2.5,"NM",IF((ABS(CT500-CO500)=ABS(ABS(CT500)-ABS(CO500))),(CT500/CO500-1),"NM"))))))</f>
      </c>
      <c r="CU506" s="308">
        <f>IF(CP500=0, "NA", CU500/CP500-1)</f>
      </c>
      <c r="CV506" s="30">
        <f>IF(CQ500="NM","NM",IF(CV500="NM","NM",IF(CQ500&lt;=0,"NM",IF(CV500=0,"NM",IF(ABS(CV500/CQ500-1)&gt;2.5,"NM",IF((ABS(CV500-CQ500)=ABS(ABS(CV500)-ABS(CQ500))),(CV500/CQ500-1),"NM"))))))</f>
      </c>
      <c r="CW506" s="30">
        <f>IF(CR500="NM","NM",IF(CW500="NM","NM",IF(CR500&lt;=0,"NM",IF(CW500=0,"NM",IF(ABS(CW500/CR500-1)&gt;2.5,"NM",IF((ABS(CW500-CR500)=ABS(ABS(CW500)-ABS(CR500))),(CW500/CR500-1),"NM"))))))</f>
      </c>
      <c r="CX506" s="30">
        <f>IF(CS500="NM","NM",IF(CX500="NM","NM",IF(CS500&lt;=0,"NM",IF(CX500=0,"NM",IF(ABS(CX500/CS500-1)&gt;2.5,"NM",IF((ABS(CX500-CS500)=ABS(ABS(CX500)-ABS(CS500))),(CX500/CS500-1),"NM"))))))</f>
      </c>
      <c r="CY506" s="30">
        <f>IF(CT500="NM","NM",IF(CY500="NM","NM",IF(CT500&lt;=0,"NM",IF(CY500=0,"NM",IF(ABS(CY500/CT500-1)&gt;2.5,"NM",IF((ABS(CY500-CT500)=ABS(ABS(CY500)-ABS(CT500))),(CY500/CT500-1),"NM"))))))</f>
      </c>
      <c r="CZ506" s="308">
        <f>IF(CU500=0, "NA", CZ500/CU500-1)</f>
      </c>
      <c r="DA506" s="30">
        <f>IF(CV500="NM","NM",IF(DA500="NM","NM",IF(CV500&lt;=0,"NM",IF(DA500=0,"NM",IF(ABS(DA500/CV500-1)&gt;2.5,"NM",IF((ABS(DA500-CV500)=ABS(ABS(DA500)-ABS(CV500))),(DA500/CV500-1),"NM"))))))</f>
      </c>
      <c r="DB506" s="926">
        <f>IF(CW500=0, "NA", DB500/CW500-1)</f>
      </c>
      <c r="DC506" s="1219">
        <f>IF(CX500=0, "NA", DC500/CX500-1)</f>
      </c>
      <c r="DD506" s="1235">
        <f>IF(CY500=0, "NM", DD500/CY500-1)</f>
      </c>
      <c r="DE506" s="1233">
        <f>IF(CZ500=0, "NA", DE500/CZ500-1)</f>
      </c>
      <c r="DF506" s="1219">
        <f>IF(DA500=0, "NA", DF500/DA500-1)</f>
      </c>
      <c r="DG506" s="1219">
        <f>IF(DB500=0, "NA", DG500/DB500-1)</f>
      </c>
      <c r="DH506" s="1219">
        <f>IF(DC500=0, "NA", DH500/DC500-1)</f>
      </c>
      <c r="DI506" s="1235">
        <f>IF(DD500=0, "NM", DI500/DD500-1)</f>
      </c>
      <c r="DJ506" s="1233">
        <f>IF(DE500=0, "NA", DJ500/DE500-1)</f>
      </c>
      <c r="DK506" s="1219">
        <f>IF(DF500=0, "NA", DK500/DF500-1)</f>
      </c>
      <c r="DL506" s="926">
        <f>IF(DG500=0, "NA", DL500/DG500-1)</f>
      </c>
      <c r="DM506" s="926">
        <f>IF(DH500=0, "NA", DM500/DH500-1)</f>
      </c>
      <c r="DN506" s="928">
        <f>IF(DI500=0, "NM", DN500/DI500-1)</f>
      </c>
      <c r="DO506" s="308">
        <f>IF(DJ500=0, "NA", DO500/DJ500-1)</f>
      </c>
      <c r="DP506" s="958">
        <f>IF(DK500=0, "NA", DP500/DK500-1)</f>
      </c>
      <c r="DQ506" s="926">
        <f>IF(DL500=0, "NA", DQ500/DL500-1)</f>
      </c>
      <c r="DR506" s="926">
        <f>IF(DM500=0, "NA", DR500/DM500-1)</f>
      </c>
      <c r="DS506" s="928">
        <f>IF(DN500=0, "NM", DS500/DN500-1)</f>
      </c>
      <c r="DT506" s="308">
        <f t="shared" ref="DT506:EG506" si="1309">IF(DO500=0, "NA", DT500/DO500-1)</f>
      </c>
      <c r="DU506" s="958">
        <f t="shared" si="1309"/>
      </c>
      <c r="DV506" s="926">
        <f t="shared" si="1309"/>
      </c>
      <c r="DW506" s="926">
        <f t="shared" si="1309"/>
      </c>
      <c r="DX506" s="926">
        <f t="shared" si="1309"/>
      </c>
      <c r="DY506" s="308">
        <f t="shared" si="1309"/>
      </c>
      <c r="DZ506" s="926">
        <f t="shared" si="1309"/>
      </c>
      <c r="EA506" s="926">
        <f t="shared" si="1309"/>
      </c>
      <c r="EB506" s="926">
        <f t="shared" si="1309"/>
      </c>
      <c r="EC506" s="928">
        <f>IF(DX500=0, "NM", EC500/DX500-1)</f>
      </c>
      <c r="ED506" s="308">
        <f t="shared" si="1309"/>
      </c>
      <c r="EE506" s="926">
        <f t="shared" si="1309"/>
      </c>
      <c r="EF506" s="926">
        <f t="shared" si="1309"/>
      </c>
      <c r="EG506" s="926">
        <f t="shared" si="1309"/>
      </c>
      <c r="EH506" s="928">
        <f>IF(EC500=0, "NM", EH500/EC500-1)</f>
      </c>
      <c r="EI506" s="308">
        <f>IF(ED500=0, "NA", EI500/ED500-1)</f>
      </c>
      <c r="EJ506" s="308">
        <f t="shared" ref="EJ506:EL506" si="1310">IF(EI500=0, "NA", EJ500/EI500-1)</f>
      </c>
      <c r="EK506" s="308">
        <f t="shared" si="1310"/>
      </c>
      <c r="EL506" s="308">
        <f t="shared" si="1310"/>
      </c>
      <c r="EM506" s="308">
        <f t="shared" ref="EM506" si="1311">IF(EL500=0, "NA", EM500/EL500-1)</f>
      </c>
      <c r="EN506" s="308">
        <f t="shared" ref="EN506" si="1312">IF(EM500=0, "NA", EN500/EM500-1)</f>
      </c>
      <c r="EO506" s="308">
        <f t="shared" ref="EO506" si="1313">IF(EN500=0, "NA", EO500/EN500-1)</f>
      </c>
      <c r="EP506" s="308">
        <f t="shared" ref="EP506" si="1314">IF(EO500=0, "NA", EP500/EO500-1)</f>
      </c>
      <c r="EQ506" s="308">
        <f t="shared" ref="EQ506" si="1315">IF(EP500=0, "NA", EQ500/EP500-1)</f>
      </c>
      <c r="ER506" s="308">
        <f t="shared" ref="ER506" si="1316">IF(EQ500=0, "NA", ER500/EQ500-1)</f>
      </c>
      <c r="ES506" s="308">
        <f t="shared" ref="ES506" si="1317">IF(ER500=0, "NA", ES500/ER500-1)</f>
      </c>
      <c r="ET506" s="308"/>
      <c r="EU506" s="308"/>
      <c r="EV506" s="308"/>
      <c r="EW506" s="308"/>
      <c r="EX506" s="308"/>
    </row>
    <row r="507" spans="1:154" ht="12.75" customHeight="1">
      <c r="B507" s="1169"/>
      <c r="C507" s="1989"/>
      <c r="D507" s="33"/>
      <c r="E507" s="33"/>
      <c r="F507" s="33"/>
      <c r="G507" s="33"/>
      <c r="H507" s="33"/>
      <c r="I507" s="30"/>
      <c r="J507" s="30"/>
      <c r="K507" s="30"/>
      <c r="L507" s="30"/>
      <c r="M507" s="30"/>
      <c r="N507" s="30"/>
      <c r="O507" s="30"/>
      <c r="P507" s="30"/>
      <c r="Q507" s="30"/>
      <c r="R507" s="30"/>
      <c r="S507" s="30"/>
      <c r="T507" s="30"/>
      <c r="U507" s="30"/>
      <c r="V507" s="30"/>
      <c r="W507" s="30"/>
      <c r="X507" s="308"/>
      <c r="Y507" s="30"/>
      <c r="Z507" s="30"/>
      <c r="AA507" s="30"/>
      <c r="AB507" s="30"/>
      <c r="AC507" s="308"/>
      <c r="AD507" s="30"/>
      <c r="AE507" s="30"/>
      <c r="AF507" s="30"/>
      <c r="AG507" s="30"/>
      <c r="AH507" s="308"/>
      <c r="AI507" s="30"/>
      <c r="AJ507" s="30"/>
      <c r="AK507" s="30"/>
      <c r="AL507" s="30"/>
      <c r="AM507" s="308"/>
      <c r="AN507" s="30"/>
      <c r="AO507" s="30"/>
      <c r="AP507" s="30"/>
      <c r="AQ507" s="30"/>
      <c r="AR507" s="308"/>
      <c r="AS507" s="30"/>
      <c r="AT507" s="30"/>
      <c r="AU507" s="30"/>
      <c r="AV507" s="30"/>
      <c r="AW507" s="308"/>
      <c r="AX507" s="30"/>
      <c r="AY507" s="30"/>
      <c r="AZ507" s="30"/>
      <c r="BA507" s="30"/>
      <c r="BB507" s="308"/>
      <c r="BC507" s="30"/>
      <c r="BD507" s="30"/>
      <c r="BE507" s="30"/>
      <c r="BF507" s="30"/>
      <c r="BG507" s="308"/>
      <c r="BH507" s="30"/>
      <c r="BI507" s="30"/>
      <c r="BJ507" s="30"/>
      <c r="BK507" s="30"/>
      <c r="BL507" s="308"/>
      <c r="BM507" s="30"/>
      <c r="BN507" s="30"/>
      <c r="BO507" s="30"/>
      <c r="BP507" s="30"/>
      <c r="BQ507" s="308"/>
      <c r="BR507" s="30"/>
      <c r="BS507" s="30"/>
      <c r="BT507" s="30"/>
      <c r="BU507" s="30"/>
      <c r="BV507" s="308"/>
      <c r="BW507" s="30"/>
      <c r="BX507" s="30"/>
      <c r="BY507" s="30"/>
      <c r="BZ507" s="30"/>
      <c r="CA507" s="308"/>
      <c r="CB507" s="30"/>
      <c r="CC507" s="30"/>
      <c r="CD507" s="30"/>
      <c r="CE507" s="30"/>
      <c r="CF507" s="308"/>
      <c r="CG507" s="30"/>
      <c r="CH507" s="446"/>
      <c r="CI507" s="30"/>
      <c r="CJ507" s="30"/>
      <c r="CK507" s="308"/>
      <c r="CL507" s="958"/>
      <c r="CM507" s="926"/>
      <c r="CN507" s="926"/>
      <c r="CO507" s="30"/>
      <c r="CP507" s="308"/>
      <c r="CQ507" s="926"/>
      <c r="CR507" s="926"/>
      <c r="CS507" s="926"/>
      <c r="CT507" s="926"/>
      <c r="CU507" s="308"/>
      <c r="CV507" s="926"/>
      <c r="CW507" s="926"/>
      <c r="CX507" s="926"/>
      <c r="CY507" s="926"/>
      <c r="CZ507" s="308"/>
      <c r="DA507" s="926"/>
      <c r="DB507" s="30"/>
      <c r="DC507" s="1361"/>
      <c r="DD507" s="1351"/>
      <c r="DE507" s="1233"/>
      <c r="DF507" s="1219"/>
      <c r="DG507" s="1361"/>
      <c r="DH507" s="1361"/>
      <c r="DI507" s="1351"/>
      <c r="DJ507" s="1535"/>
      <c r="DK507" s="1219"/>
      <c r="DL507" s="30"/>
      <c r="DM507" s="30"/>
      <c r="DN507" s="409"/>
      <c r="DO507" s="308"/>
      <c r="DP507" s="30"/>
      <c r="DQ507" s="30"/>
      <c r="DR507" s="30"/>
      <c r="DS507" s="409"/>
      <c r="DT507" s="308"/>
      <c r="DU507" s="926"/>
      <c r="DV507" s="926"/>
      <c r="DW507" s="2469"/>
      <c r="DX507" s="928"/>
      <c r="DY507" s="308"/>
      <c r="DZ507" s="926"/>
      <c r="EA507" s="926"/>
      <c r="EB507" s="926"/>
      <c r="EC507" s="928"/>
      <c r="ED507" s="1060"/>
      <c r="EE507" s="926"/>
      <c r="EF507" s="926"/>
      <c r="EG507" s="926"/>
      <c r="EH507" s="928"/>
      <c r="EI507" s="308"/>
      <c r="EJ507" s="308"/>
      <c r="EK507" s="308"/>
      <c r="EL507" s="308"/>
      <c r="EM507" s="308"/>
      <c r="EN507" s="308"/>
      <c r="EO507" s="308"/>
      <c r="EP507" s="308"/>
      <c r="EQ507" s="308"/>
      <c r="ER507" s="308"/>
      <c r="ES507" s="308"/>
      <c r="ET507" s="409"/>
      <c r="EU507" s="308"/>
      <c r="EV507" s="308"/>
      <c r="EW507" s="308"/>
      <c r="EX507" s="308"/>
    </row>
    <row r="508" spans="1:154" ht="12.75" customHeight="1">
      <c r="B508" s="1164" t="s">
        <v>592</v>
      </c>
      <c r="C508" s="1989"/>
      <c r="D508" s="33"/>
      <c r="E508" s="33"/>
      <c r="F508" s="33"/>
      <c r="G508" s="33"/>
      <c r="H508" s="33"/>
      <c r="I508" s="30"/>
      <c r="J508" s="30"/>
      <c r="K508" s="30"/>
      <c r="L508" s="30"/>
      <c r="M508" s="30"/>
      <c r="N508" s="30"/>
      <c r="O508" s="30"/>
      <c r="P508" s="30"/>
      <c r="Q508" s="30"/>
      <c r="R508" s="30"/>
      <c r="S508" s="30"/>
      <c r="T508" s="30"/>
      <c r="U508" s="30"/>
      <c r="V508" s="30"/>
      <c r="W508" s="30"/>
      <c r="X508" s="308"/>
      <c r="Y508" s="30"/>
      <c r="Z508" s="30"/>
      <c r="AA508" s="30"/>
      <c r="AB508" s="30"/>
      <c r="AC508" s="308"/>
      <c r="AD508" s="30"/>
      <c r="AE508" s="30"/>
      <c r="AF508" s="30"/>
      <c r="AG508" s="30"/>
      <c r="AH508" s="308"/>
      <c r="AI508" s="30"/>
      <c r="AJ508" s="30"/>
      <c r="AK508" s="30"/>
      <c r="AL508" s="30"/>
      <c r="AM508" s="308"/>
      <c r="AN508" s="30"/>
      <c r="AO508" s="30"/>
      <c r="AP508" s="30"/>
      <c r="AQ508" s="30"/>
      <c r="AR508" s="308"/>
      <c r="AS508" s="30"/>
      <c r="AT508" s="30"/>
      <c r="AU508" s="30"/>
      <c r="AV508" s="30"/>
      <c r="AW508" s="308"/>
      <c r="AX508" s="30"/>
      <c r="AY508" s="30"/>
      <c r="AZ508" s="30"/>
      <c r="BA508" s="30"/>
      <c r="BB508" s="308"/>
      <c r="BC508" s="30"/>
      <c r="BD508" s="30"/>
      <c r="BE508" s="30"/>
      <c r="BF508" s="30"/>
      <c r="BG508" s="308"/>
      <c r="BH508" s="30"/>
      <c r="BI508" s="30"/>
      <c r="BJ508" s="30"/>
      <c r="BK508" s="30"/>
      <c r="BL508" s="308"/>
      <c r="BM508" s="30"/>
      <c r="BN508" s="30"/>
      <c r="BO508" s="30"/>
      <c r="BP508" s="30"/>
      <c r="BQ508" s="308"/>
      <c r="BR508" s="30"/>
      <c r="BS508" s="30"/>
      <c r="BT508" s="30"/>
      <c r="BU508" s="30"/>
      <c r="BV508" s="308"/>
      <c r="BW508" s="30"/>
      <c r="BX508" s="30"/>
      <c r="BY508" s="30"/>
      <c r="BZ508" s="30"/>
      <c r="CA508" s="308"/>
      <c r="CB508" s="30"/>
      <c r="CC508" s="30"/>
      <c r="CD508" s="30"/>
      <c r="CE508" s="30"/>
      <c r="CF508" s="308"/>
      <c r="CG508" s="30"/>
      <c r="CH508" s="446"/>
      <c r="CI508" s="352"/>
      <c r="CJ508" s="30"/>
      <c r="CK508" s="308"/>
      <c r="CL508" s="958"/>
      <c r="CM508" s="926"/>
      <c r="CN508" s="926"/>
      <c r="CO508" s="30"/>
      <c r="CP508" s="308"/>
      <c r="CQ508" s="926"/>
      <c r="CR508" s="926"/>
      <c r="CS508" s="926"/>
      <c r="CT508" s="926"/>
      <c r="CU508" s="308"/>
      <c r="CV508" s="926"/>
      <c r="CW508" s="926"/>
      <c r="CX508" s="926"/>
      <c r="CY508" s="926"/>
      <c r="CZ508" s="308"/>
      <c r="DA508" s="926"/>
      <c r="DB508" s="30"/>
      <c r="DC508" s="1361"/>
      <c r="DD508" s="1351"/>
      <c r="DE508" s="1233"/>
      <c r="DF508" s="1219"/>
      <c r="DG508" s="1361"/>
      <c r="DH508" s="1361"/>
      <c r="DI508" s="1351"/>
      <c r="DJ508" s="2651">
        <f>+(DJ510/DE510)-1</f>
      </c>
      <c r="DK508" s="1219"/>
      <c r="DL508" s="30"/>
      <c r="DM508" s="30"/>
      <c r="DN508" s="409"/>
      <c r="DO508" s="2651">
        <f>+(DO510/DJ510)-1</f>
      </c>
      <c r="DP508" s="2405"/>
      <c r="DQ508" s="2405"/>
      <c r="DR508" s="2405"/>
      <c r="DS508" s="2006"/>
      <c r="DT508" s="2651">
        <f t="shared" ref="DT508:ED508" si="1318">+(DT510/DO510)-1</f>
      </c>
      <c r="DU508" s="2648">
        <f t="shared" si="1318"/>
      </c>
      <c r="DV508" s="2648">
        <f t="shared" si="1318"/>
      </c>
      <c r="DW508" s="2648">
        <f t="shared" si="1318"/>
      </c>
      <c r="DX508" s="2649">
        <f t="shared" si="1318"/>
      </c>
      <c r="DY508" s="2651">
        <f t="shared" si="1318"/>
      </c>
      <c r="DZ508" s="2648">
        <f t="shared" si="1318"/>
      </c>
      <c r="EA508" s="2648">
        <f t="shared" si="1318"/>
      </c>
      <c r="EB508" s="2648">
        <f t="shared" si="1318"/>
      </c>
      <c r="EC508" s="2649">
        <f t="shared" si="1318"/>
      </c>
      <c r="ED508" s="3289">
        <f t="shared" si="1318"/>
      </c>
      <c r="EE508" s="2648"/>
      <c r="EF508" s="2648"/>
      <c r="EG508" s="2648"/>
      <c r="EH508" s="2649"/>
      <c r="EI508" s="3289"/>
      <c r="EJ508" s="3290"/>
      <c r="EK508" s="3290"/>
      <c r="EL508" s="3290"/>
      <c r="EM508" s="3290"/>
      <c r="EN508" s="3290"/>
      <c r="EO508" s="3290"/>
      <c r="EP508" s="3290"/>
      <c r="EQ508" s="3290"/>
      <c r="ER508" s="3290"/>
      <c r="ES508" s="3290"/>
      <c r="ET508" s="1860"/>
      <c r="EU508" s="1861"/>
      <c r="EV508" s="1861"/>
      <c r="EW508" s="1861"/>
      <c r="EX508" s="1861"/>
    </row>
    <row r="509" spans="1:154" ht="12.75" customHeight="1">
      <c r="B509" s="1168" t="s">
        <v>912</v>
      </c>
      <c r="C509" s="1989"/>
      <c r="D509" s="28"/>
      <c r="E509" s="28"/>
      <c r="F509" s="28"/>
      <c r="G509" s="28"/>
      <c r="H509" s="28"/>
      <c r="I509" s="31"/>
      <c r="J509" s="28"/>
      <c r="K509" s="28"/>
      <c r="L509" s="28"/>
      <c r="M509" s="28"/>
      <c r="N509" s="31"/>
      <c r="O509" s="31"/>
      <c r="P509" s="31"/>
      <c r="Q509" s="31"/>
      <c r="R509" s="31"/>
      <c r="S509" s="31"/>
      <c r="T509" s="31"/>
      <c r="U509" s="31"/>
      <c r="V509" s="31"/>
      <c r="W509" s="31"/>
      <c r="X509" s="313"/>
      <c r="Y509" s="31"/>
      <c r="Z509" s="31"/>
      <c r="AA509" s="31"/>
      <c r="AB509" s="31"/>
      <c r="AC509" s="313"/>
      <c r="AD509" s="603"/>
      <c r="AE509" s="603"/>
      <c r="AF509" s="603"/>
      <c r="AG509" s="604"/>
      <c r="AH509" s="477"/>
      <c r="AI509" s="444"/>
      <c r="AJ509" s="444"/>
      <c r="AK509" s="444"/>
      <c r="AL509" s="444"/>
      <c r="AM509" s="477"/>
      <c r="AN509" s="444"/>
      <c r="AO509" s="444"/>
      <c r="AP509" s="444"/>
      <c r="AQ509" s="603"/>
      <c r="AR509" s="477"/>
      <c r="AS509" s="444"/>
      <c r="AT509" s="444"/>
      <c r="AU509" s="444"/>
      <c r="AV509" s="603"/>
      <c r="AW509" s="477"/>
      <c r="AX509" s="28"/>
      <c r="AY509" s="28"/>
      <c r="AZ509" s="28"/>
      <c r="BA509" s="28"/>
      <c r="BB509" s="313"/>
      <c r="BC509" s="28"/>
      <c r="BD509" s="28"/>
      <c r="BE509" s="28"/>
      <c r="BF509" s="28"/>
      <c r="BG509" s="313"/>
      <c r="BH509" s="28"/>
      <c r="BI509" s="28"/>
      <c r="BJ509" s="28"/>
      <c r="BK509" s="28"/>
      <c r="BL509" s="313"/>
      <c r="BM509" s="28"/>
      <c r="BN509" s="28"/>
      <c r="BO509" s="28"/>
      <c r="BP509" s="28"/>
      <c r="BQ509" s="313"/>
      <c r="BR509" s="28"/>
      <c r="BS509" s="28"/>
      <c r="BT509" s="28"/>
      <c r="BU509" s="28"/>
      <c r="BV509" s="313"/>
      <c r="BW509" s="28"/>
      <c r="BX509" s="28"/>
      <c r="BY509" s="28"/>
      <c r="BZ509" s="28"/>
      <c r="CA509" s="313"/>
      <c r="CB509" s="28"/>
      <c r="CC509" s="28"/>
      <c r="CD509" s="28"/>
      <c r="CE509" s="236">
        <f>CE511/CE510</f>
      </c>
      <c r="CF509" s="313"/>
      <c r="CG509" s="236">
        <f>CG511/CG510</f>
      </c>
      <c r="CH509" s="236">
        <f>CH511/CH510</f>
      </c>
      <c r="CI509" s="236">
        <f>CI511/CI510</f>
      </c>
      <c r="CJ509" s="236">
        <f>CJ511/CJ510</f>
      </c>
      <c r="CK509" s="313"/>
      <c r="CL509" s="236">
        <f>CL511/CL510</f>
      </c>
      <c r="CM509" s="236">
        <f>CM511/CM510</f>
      </c>
      <c r="CN509" s="236">
        <f>CN511/CN510</f>
      </c>
      <c r="CO509" s="1401">
        <f>CO511/CO510</f>
      </c>
      <c r="CP509" s="606">
        <f>CP511/CP510</f>
      </c>
      <c r="CQ509" s="1218">
        <v>0.40500000000000003</v>
      </c>
      <c r="CR509" s="1218">
        <v>0.40500000000000003</v>
      </c>
      <c r="CS509" s="935">
        <f t="shared" ref="CS509:CX509" si="1319">CS511/CS510</f>
      </c>
      <c r="CT509" s="935">
        <f t="shared" si="1319"/>
      </c>
      <c r="CU509" s="606">
        <f t="shared" si="1319"/>
      </c>
      <c r="CV509" s="935">
        <f>CV511/CV510</f>
      </c>
      <c r="CW509" s="935">
        <f t="shared" si="1319"/>
      </c>
      <c r="CX509" s="935">
        <f t="shared" si="1319"/>
      </c>
      <c r="CY509" s="935">
        <f>CY511/CY510</f>
      </c>
      <c r="CZ509" s="606">
        <f>CZ511/CZ510</f>
      </c>
      <c r="DA509" s="935">
        <f>DA511/DA510</f>
      </c>
      <c r="DB509" s="935">
        <f>DB511/DB510</f>
      </c>
      <c r="DC509" s="1528">
        <f>DC511/DC510</f>
      </c>
      <c r="DD509" s="1528">
        <f>+DD511/DD510</f>
      </c>
      <c r="DE509" s="1233">
        <f>+DE511/DE510</f>
      </c>
      <c r="DF509" s="1543">
        <f>DF511/DF510</f>
      </c>
      <c r="DG509" s="1543">
        <f>DG511/DG510</f>
      </c>
      <c r="DH509" s="1543">
        <f>DH511/DH510</f>
      </c>
      <c r="DI509" s="1543">
        <f>DI511/DI510</f>
      </c>
      <c r="DJ509" s="1233">
        <f>+DJ511/DJ510</f>
      </c>
      <c r="DK509" s="1543">
        <f>DK511/DK510</f>
      </c>
      <c r="DL509" s="1543">
        <f>DL511/DL510</f>
      </c>
      <c r="DM509" s="1543">
        <f>DM511/DM510</f>
      </c>
      <c r="DN509" s="1543">
        <f>DN511/DN510</f>
      </c>
      <c r="DO509" s="1233">
        <f>+DO511/DO510</f>
      </c>
      <c r="DP509" s="1915">
        <f>DP511/DP510</f>
      </c>
      <c r="DQ509" s="1915">
        <f>DQ511/DQ510</f>
      </c>
      <c r="DR509" s="1915">
        <f>DR511/DR510</f>
      </c>
      <c r="DS509" s="1915">
        <f>DS511/DS510</f>
      </c>
      <c r="DT509" s="1233">
        <f>+DT511/DT510</f>
      </c>
      <c r="DU509" s="1915">
        <f>DU511/DU510</f>
      </c>
      <c r="DV509" s="1915">
        <f>DV511/DV510</f>
      </c>
      <c r="DW509" s="1915">
        <f>DW511/DW510</f>
      </c>
      <c r="DX509" s="1915">
        <f>DX511/DX510</f>
      </c>
      <c r="DY509" s="1233">
        <f>+DY511/DY510</f>
      </c>
      <c r="DZ509" s="1915">
        <f>DZ511/DZ510</f>
      </c>
      <c r="EA509" s="1915">
        <f>EA511/EA510</f>
      </c>
      <c r="EB509" s="1915">
        <f>EB511/EB510</f>
      </c>
      <c r="EC509" s="1915">
        <f>EC511/EC510</f>
      </c>
      <c r="ED509" s="1233">
        <f>+ED511/ED510</f>
      </c>
      <c r="EE509" s="1915">
        <f>EE511/EE510</f>
      </c>
      <c r="EF509" s="1915">
        <f>EF511/EF510</f>
      </c>
      <c r="EG509" s="1915" t="e">
        <f>EG511/EG510</f>
      </c>
      <c r="EH509" s="2583">
        <v>0.38</v>
      </c>
      <c r="EI509" s="2584">
        <v>0.4</v>
      </c>
      <c r="EJ509" s="2584">
        <v>0.4</v>
      </c>
      <c r="EK509" s="2584">
        <v>0.35</v>
      </c>
      <c r="EL509" s="2584">
        <f>+EK509</f>
      </c>
      <c r="EM509" s="2584">
        <f t="shared" ref="EM509:ES509" si="1320">+EL509</f>
      </c>
      <c r="EN509" s="2584">
        <f t="shared" si="1320"/>
      </c>
      <c r="EO509" s="2584">
        <f t="shared" si="1320"/>
      </c>
      <c r="EP509" s="2584">
        <f t="shared" si="1320"/>
      </c>
      <c r="EQ509" s="2584">
        <f t="shared" si="1320"/>
      </c>
      <c r="ER509" s="2584">
        <f t="shared" si="1320"/>
      </c>
      <c r="ES509" s="1862">
        <f t="shared" si="1320"/>
      </c>
      <c r="ET509" s="1862"/>
      <c r="EU509" s="1862"/>
      <c r="EV509" s="1862"/>
      <c r="EW509" s="1862"/>
      <c r="EX509" s="1862"/>
    </row>
    <row r="510" spans="1:154" ht="12.75" customHeight="1">
      <c r="B510" s="1168" t="s">
        <v>930</v>
      </c>
      <c r="C510" s="1989"/>
      <c r="D510" s="28"/>
      <c r="E510" s="28"/>
      <c r="F510" s="28"/>
      <c r="G510" s="28"/>
      <c r="H510" s="28"/>
      <c r="I510" s="31"/>
      <c r="J510" s="28"/>
      <c r="K510" s="28"/>
      <c r="L510" s="28"/>
      <c r="M510" s="28"/>
      <c r="N510" s="31"/>
      <c r="O510" s="31"/>
      <c r="P510" s="31"/>
      <c r="Q510" s="31"/>
      <c r="R510" s="31"/>
      <c r="S510" s="31"/>
      <c r="T510" s="31"/>
      <c r="U510" s="31"/>
      <c r="V510" s="31"/>
      <c r="W510" s="31"/>
      <c r="X510" s="313"/>
      <c r="Y510" s="31"/>
      <c r="Z510" s="31"/>
      <c r="AA510" s="31"/>
      <c r="AB510" s="31"/>
      <c r="AC510" s="313"/>
      <c r="AD510" s="603"/>
      <c r="AE510" s="603"/>
      <c r="AF510" s="603"/>
      <c r="AG510" s="604"/>
      <c r="AH510" s="477"/>
      <c r="AI510" s="444"/>
      <c r="AJ510" s="444"/>
      <c r="AK510" s="444"/>
      <c r="AL510" s="444"/>
      <c r="AM510" s="477"/>
      <c r="AN510" s="444"/>
      <c r="AO510" s="444"/>
      <c r="AP510" s="444"/>
      <c r="AQ510" s="603"/>
      <c r="AR510" s="477"/>
      <c r="AS510" s="444"/>
      <c r="AT510" s="444"/>
      <c r="AU510" s="444"/>
      <c r="AV510" s="603"/>
      <c r="AW510" s="477"/>
      <c r="AX510" s="28"/>
      <c r="AY510" s="28"/>
      <c r="AZ510" s="28"/>
      <c r="BA510" s="28"/>
      <c r="BB510" s="313"/>
      <c r="BC510" s="28"/>
      <c r="BD510" s="28"/>
      <c r="BE510" s="28"/>
      <c r="BF510" s="28"/>
      <c r="BG510" s="313"/>
      <c r="BH510" s="28"/>
      <c r="BI510" s="28"/>
      <c r="BJ510" s="28"/>
      <c r="BK510" s="28"/>
      <c r="BL510" s="313"/>
      <c r="BM510" s="28"/>
      <c r="BN510" s="28"/>
      <c r="BO510" s="28"/>
      <c r="BP510" s="28"/>
      <c r="BQ510" s="313"/>
      <c r="BR510" s="28"/>
      <c r="BS510" s="28"/>
      <c r="BT510" s="28"/>
      <c r="BU510" s="28"/>
      <c r="BV510" s="313"/>
      <c r="BW510" s="28"/>
      <c r="BX510" s="28"/>
      <c r="BY510" s="28"/>
      <c r="BZ510" s="352">
        <v>13.573</v>
      </c>
      <c r="CA510" s="313">
        <f>SUM(BW510:BZ510)</f>
      </c>
      <c r="CB510" s="352">
        <v>56.179000000000002</v>
      </c>
      <c r="CC510" s="352">
        <v>109.495</v>
      </c>
      <c r="CD510" s="352">
        <v>141.608</v>
      </c>
      <c r="CE510" s="352">
        <v>185.136</v>
      </c>
      <c r="CF510" s="313">
        <f>SUM(CB510:CE510)</f>
      </c>
      <c r="CG510" s="352">
        <v>189.15799999999999</v>
      </c>
      <c r="CH510" s="352">
        <v>234</v>
      </c>
      <c r="CI510" s="352">
        <v>267</v>
      </c>
      <c r="CJ510" s="352">
        <v>310</v>
      </c>
      <c r="CK510" s="313">
        <f>SUM(CG510:CJ510)</f>
      </c>
      <c r="CL510" s="352">
        <v>325</v>
      </c>
      <c r="CM510" s="352">
        <v>360</v>
      </c>
      <c r="CN510" s="352">
        <v>425</v>
      </c>
      <c r="CO510" s="1217">
        <v>450</v>
      </c>
      <c r="CP510" s="313">
        <f>SUM(CL510:CO510)</f>
      </c>
      <c r="CQ510" s="352">
        <v>470</v>
      </c>
      <c r="CR510" s="352">
        <v>499</v>
      </c>
      <c r="CS510" s="352">
        <v>574</v>
      </c>
      <c r="CT510" s="352">
        <v>585</v>
      </c>
      <c r="CU510" s="313">
        <f>SUM(CQ510:CT510)</f>
      </c>
      <c r="CV510" s="352">
        <v>624</v>
      </c>
      <c r="CW510" s="352">
        <v>693</v>
      </c>
      <c r="CX510" s="352">
        <v>812</v>
      </c>
      <c r="CY510" s="352">
        <v>839</v>
      </c>
      <c r="CZ510" s="1061">
        <f>SUM(CV510:CY510)</f>
      </c>
      <c r="DA510" s="933">
        <v>829</v>
      </c>
      <c r="DB510" s="933">
        <v>887</v>
      </c>
      <c r="DC510" s="1227">
        <v>974</v>
      </c>
      <c r="DD510" s="3115">
        <f>+DE510-SUM(DA510:DC510)</f>
      </c>
      <c r="DE510" s="1863">
        <v>3697</v>
      </c>
      <c r="DF510" s="2479">
        <v>966</v>
      </c>
      <c r="DG510" s="2479">
        <v>1055</v>
      </c>
      <c r="DH510" s="2479">
        <v>1119</v>
      </c>
      <c r="DI510" s="2479">
        <v>1165</v>
      </c>
      <c r="DJ510" s="2492">
        <f>SUM(DF510:DI510)</f>
      </c>
      <c r="DK510" s="1541">
        <v>999</v>
      </c>
      <c r="DL510" s="1106">
        <v>1099</v>
      </c>
      <c r="DM510" s="1106">
        <v>1109</v>
      </c>
      <c r="DN510" s="1106">
        <v>1114</v>
      </c>
      <c r="DO510" s="2493">
        <f>SUM(DK510:DN510)</f>
      </c>
      <c r="DP510" s="1106">
        <v>874</v>
      </c>
      <c r="DQ510" s="1541">
        <v>862</v>
      </c>
      <c r="DR510" s="1541">
        <v>887.2</v>
      </c>
      <c r="DS510" s="1541">
        <v>835.5</v>
      </c>
      <c r="DT510" s="2493">
        <f>SUM(DP510:DS510)</f>
      </c>
      <c r="DU510" s="2469">
        <v>638</v>
      </c>
      <c r="DV510" s="2469">
        <v>666</v>
      </c>
      <c r="DW510" s="2469">
        <v>678</v>
      </c>
      <c r="DX510" s="3117">
        <v>683</v>
      </c>
      <c r="DY510" s="3117">
        <v>2665</v>
      </c>
      <c r="DZ510" s="2912">
        <v>610</v>
      </c>
      <c r="EA510" s="2912">
        <v>595</v>
      </c>
      <c r="EB510" s="2912">
        <v>618</v>
      </c>
      <c r="EC510" s="2912">
        <v>625</v>
      </c>
      <c r="ED510" s="2913">
        <v>2448</v>
      </c>
      <c r="EE510" s="2912">
        <v>610</v>
      </c>
      <c r="EF510" s="2912">
        <v>595</v>
      </c>
      <c r="EG510" s="2912"/>
      <c r="EH510" s="2912">
        <v>500</v>
      </c>
      <c r="EI510" s="2913">
        <v>1927.9</v>
      </c>
      <c r="EJ510" s="2913">
        <v>1503.7620000000002</v>
      </c>
      <c r="EK510" s="3117">
        <v>1323.3105600000001</v>
      </c>
      <c r="EL510" s="3117">
        <v>1164.5132928</v>
      </c>
      <c r="EM510" s="3117">
        <v>1024.7716976640002</v>
      </c>
      <c r="EN510" s="3117">
        <v>901.79909394432013</v>
      </c>
      <c r="EO510" s="3117">
        <v>793.19037699000012</v>
      </c>
      <c r="EP510" s="3117">
        <v>515.57374504350014</v>
      </c>
      <c r="EQ510" s="3117">
        <v>335.12293427827512</v>
      </c>
      <c r="ER510" s="3117">
        <v>251.34220070870634</v>
      </c>
      <c r="ES510" s="3118">
        <v>213.64087060240038</v>
      </c>
      <c r="ET510" s="1864"/>
      <c r="EU510" s="1864"/>
      <c r="EV510" s="1864"/>
      <c r="EW510" s="1864"/>
      <c r="EX510" s="1864"/>
    </row>
    <row r="511" spans="1:154" ht="12.75" customHeight="1">
      <c r="A511" s="3275" t="str">
        <f>+A517&amp;" - US"</f>
      </c>
      <c r="B511" s="1168" t="s">
        <v>931</v>
      </c>
      <c r="C511" s="2009">
        <v>46719</v>
      </c>
      <c r="D511" s="28"/>
      <c r="E511" s="28"/>
      <c r="F511" s="28"/>
      <c r="G511" s="28"/>
      <c r="H511" s="28"/>
      <c r="I511" s="31"/>
      <c r="J511" s="28"/>
      <c r="K511" s="28"/>
      <c r="L511" s="28"/>
      <c r="M511" s="28"/>
      <c r="N511" s="31"/>
      <c r="O511" s="31"/>
      <c r="P511" s="31"/>
      <c r="Q511" s="31"/>
      <c r="R511" s="31"/>
      <c r="S511" s="31"/>
      <c r="T511" s="31"/>
      <c r="U511" s="31"/>
      <c r="V511" s="31"/>
      <c r="W511" s="31"/>
      <c r="X511" s="320"/>
      <c r="Y511" s="31"/>
      <c r="Z511" s="31"/>
      <c r="AA511" s="31"/>
      <c r="AB511" s="31"/>
      <c r="AC511" s="320"/>
      <c r="AD511" s="603"/>
      <c r="AE511" s="603"/>
      <c r="AF511" s="603"/>
      <c r="AG511" s="604"/>
      <c r="AH511" s="605"/>
      <c r="AI511" s="444"/>
      <c r="AJ511" s="444"/>
      <c r="AK511" s="444"/>
      <c r="AL511" s="444"/>
      <c r="AM511" s="605"/>
      <c r="AN511" s="444"/>
      <c r="AO511" s="444"/>
      <c r="AP511" s="444"/>
      <c r="AQ511" s="603"/>
      <c r="AR511" s="605"/>
      <c r="AS511" s="444"/>
      <c r="AT511" s="444"/>
      <c r="AU511" s="444"/>
      <c r="AV511" s="603"/>
      <c r="AW511" s="605"/>
      <c r="AX511" s="28"/>
      <c r="AY511" s="28"/>
      <c r="AZ511" s="33"/>
      <c r="BA511" s="33"/>
      <c r="BB511" s="320"/>
      <c r="BC511" s="33"/>
      <c r="BD511" s="33"/>
      <c r="BE511" s="33"/>
      <c r="BF511" s="33"/>
      <c r="BG511" s="312"/>
      <c r="BH511" s="33"/>
      <c r="BI511" s="33"/>
      <c r="BJ511" s="33"/>
      <c r="BK511" s="33"/>
      <c r="BL511" s="313"/>
      <c r="BM511" s="352"/>
      <c r="BN511" s="352"/>
      <c r="BO511" s="352"/>
      <c r="BP511" s="352"/>
      <c r="BQ511" s="313"/>
      <c r="BR511" s="352"/>
      <c r="BS511" s="352"/>
      <c r="BT511" s="352"/>
      <c r="BU511" s="352"/>
      <c r="BV511" s="313"/>
      <c r="BW511" s="352"/>
      <c r="BX511" s="352"/>
      <c r="BY511" s="352"/>
      <c r="BZ511" s="352"/>
      <c r="CA511" s="313"/>
      <c r="CB511" s="352">
        <v>6</v>
      </c>
      <c r="CC511" s="761">
        <v>30</v>
      </c>
      <c r="CD511" s="934">
        <f>CF511-CB511-CC511-CE511</f>
      </c>
      <c r="CE511" s="352">
        <v>64</v>
      </c>
      <c r="CF511" s="363">
        <v>144</v>
      </c>
      <c r="CG511" s="352">
        <v>66</v>
      </c>
      <c r="CH511" s="352">
        <v>89</v>
      </c>
      <c r="CI511" s="577">
        <v>98</v>
      </c>
      <c r="CJ511" s="577">
        <v>122</v>
      </c>
      <c r="CK511" s="313">
        <f>SUM(CG511:CJ511)</f>
      </c>
      <c r="CL511" s="352">
        <v>132</v>
      </c>
      <c r="CM511" s="352">
        <v>144</v>
      </c>
      <c r="CN511" s="352">
        <v>179</v>
      </c>
      <c r="CO511" s="577">
        <v>158</v>
      </c>
      <c r="CP511" s="313">
        <f>SUM(CL511:CO511)</f>
      </c>
      <c r="CQ511" s="10">
        <f>CQ509*CQ510</f>
      </c>
      <c r="CR511" s="10">
        <f>CR509*CR510</f>
      </c>
      <c r="CS511" s="1217">
        <v>230</v>
      </c>
      <c r="CT511" s="1217">
        <v>219</v>
      </c>
      <c r="CU511" s="313">
        <f>SUM(CQ511:CT511)</f>
      </c>
      <c r="CV511" s="1217">
        <v>227</v>
      </c>
      <c r="CW511" s="1217">
        <v>250</v>
      </c>
      <c r="CX511" s="1217">
        <v>334</v>
      </c>
      <c r="CY511" s="1217">
        <v>318</v>
      </c>
      <c r="CZ511" s="1061">
        <f>SUM(CV511:CY511)</f>
      </c>
      <c r="DA511" s="1227">
        <v>349</v>
      </c>
      <c r="DB511" s="1227">
        <v>367</v>
      </c>
      <c r="DC511" s="1227">
        <v>447</v>
      </c>
      <c r="DD511" s="1227">
        <v>392</v>
      </c>
      <c r="DE511" s="1863">
        <f>SUM(DA511:DD511)</f>
      </c>
      <c r="DF511" s="2479">
        <v>432</v>
      </c>
      <c r="DG511" s="2479">
        <v>447</v>
      </c>
      <c r="DH511" s="2479">
        <v>450</v>
      </c>
      <c r="DI511" s="2479">
        <v>492</v>
      </c>
      <c r="DJ511" s="2493">
        <f>SUM(DF511:DI511)</f>
      </c>
      <c r="DK511" s="1541">
        <v>444</v>
      </c>
      <c r="DL511" s="1106">
        <v>454</v>
      </c>
      <c r="DM511" s="1106">
        <v>413</v>
      </c>
      <c r="DN511" s="1541">
        <v>436</v>
      </c>
      <c r="DO511" s="2493">
        <f>SUM(DK511:DN511)</f>
      </c>
      <c r="DP511" s="1106">
        <v>370</v>
      </c>
      <c r="DQ511" s="1106">
        <v>349</v>
      </c>
      <c r="DR511" s="1106">
        <v>353</v>
      </c>
      <c r="DS511" s="1288">
        <v>318</v>
      </c>
      <c r="DT511" s="2493">
        <f>SUM(DP511:DS511)</f>
      </c>
      <c r="DU511" s="2469">
        <v>270</v>
      </c>
      <c r="DV511" s="2469">
        <v>262</v>
      </c>
      <c r="DW511" s="2469">
        <v>263.5</v>
      </c>
      <c r="DX511" s="2470">
        <v>255</v>
      </c>
      <c r="DY511" s="2488">
        <f>SUM(DU511:DX511)</f>
      </c>
      <c r="DZ511" s="2482">
        <v>265.39999999999998</v>
      </c>
      <c r="EA511" s="2482">
        <v>245.5</v>
      </c>
      <c r="EB511" s="2482">
        <v>259</v>
      </c>
      <c r="EC511" s="2483">
        <v>250</v>
      </c>
      <c r="ED511" s="2488">
        <f>SUM(DZ511:EC511)</f>
      </c>
      <c r="EE511" s="2482">
        <v>235</v>
      </c>
      <c r="EF511" s="2482">
        <v>239</v>
      </c>
      <c r="EG511" s="2482">
        <v>211</v>
      </c>
      <c r="EH511" s="2482">
        <v>220</v>
      </c>
      <c r="EI511" s="2488">
        <f>SUM(EE511:EH511)</f>
      </c>
      <c r="EJ511" s="2488">
        <f t="shared" ref="EJ511:ES511" si="1321">EJ510*EJ509</f>
      </c>
      <c r="EK511" s="2488">
        <f t="shared" si="1321"/>
      </c>
      <c r="EL511" s="2488">
        <f t="shared" si="1321"/>
      </c>
      <c r="EM511" s="2488">
        <f t="shared" si="1321"/>
      </c>
      <c r="EN511" s="2488">
        <f>EN510*EN509</f>
      </c>
      <c r="EO511" s="2488">
        <f t="shared" si="1321"/>
      </c>
      <c r="EP511" s="2488">
        <f t="shared" si="1321"/>
      </c>
      <c r="EQ511" s="2488">
        <f t="shared" si="1321"/>
      </c>
      <c r="ER511" s="2488">
        <f t="shared" si="1321"/>
      </c>
      <c r="ES511" s="1865">
        <f t="shared" si="1321"/>
      </c>
      <c r="ET511" s="1865"/>
      <c r="EU511" s="1865"/>
      <c r="EV511" s="1865"/>
      <c r="EW511" s="1865"/>
      <c r="EX511" s="1865"/>
    </row>
    <row r="512" spans="1:154" ht="12.75" customHeight="1">
      <c r="B512" s="1168"/>
      <c r="C512" s="2009"/>
      <c r="D512" s="28"/>
      <c r="E512" s="28"/>
      <c r="F512" s="28"/>
      <c r="G512" s="28"/>
      <c r="H512" s="28"/>
      <c r="I512" s="31"/>
      <c r="J512" s="28"/>
      <c r="K512" s="28"/>
      <c r="L512" s="28"/>
      <c r="M512" s="28"/>
      <c r="N512" s="31"/>
      <c r="O512" s="31"/>
      <c r="P512" s="31"/>
      <c r="Q512" s="31"/>
      <c r="R512" s="31"/>
      <c r="S512" s="31"/>
      <c r="T512" s="31"/>
      <c r="U512" s="31"/>
      <c r="V512" s="31"/>
      <c r="W512" s="31"/>
      <c r="X512" s="320"/>
      <c r="Y512" s="31"/>
      <c r="Z512" s="31"/>
      <c r="AA512" s="31"/>
      <c r="AB512" s="31"/>
      <c r="AC512" s="320"/>
      <c r="AD512" s="603"/>
      <c r="AE512" s="603"/>
      <c r="AF512" s="603"/>
      <c r="AG512" s="604"/>
      <c r="AH512" s="605"/>
      <c r="AI512" s="444"/>
      <c r="AJ512" s="444"/>
      <c r="AK512" s="444"/>
      <c r="AL512" s="444"/>
      <c r="AM512" s="605"/>
      <c r="AN512" s="444"/>
      <c r="AO512" s="444"/>
      <c r="AP512" s="444"/>
      <c r="AQ512" s="603"/>
      <c r="AR512" s="605"/>
      <c r="AS512" s="444"/>
      <c r="AT512" s="444"/>
      <c r="AU512" s="444"/>
      <c r="AV512" s="603"/>
      <c r="AW512" s="605"/>
      <c r="AX512" s="28"/>
      <c r="AY512" s="28"/>
      <c r="AZ512" s="33"/>
      <c r="BA512" s="33"/>
      <c r="BB512" s="320"/>
      <c r="BC512" s="33"/>
      <c r="BD512" s="33"/>
      <c r="BE512" s="33"/>
      <c r="BF512" s="33"/>
      <c r="BG512" s="312"/>
      <c r="BH512" s="33"/>
      <c r="BI512" s="33"/>
      <c r="BJ512" s="33"/>
      <c r="BK512" s="33"/>
      <c r="BL512" s="313"/>
      <c r="BM512" s="352"/>
      <c r="BN512" s="352"/>
      <c r="BO512" s="352"/>
      <c r="BP512" s="352"/>
      <c r="BQ512" s="313"/>
      <c r="BR512" s="352"/>
      <c r="BS512" s="352"/>
      <c r="BT512" s="352"/>
      <c r="BU512" s="352"/>
      <c r="BV512" s="313"/>
      <c r="BW512" s="352"/>
      <c r="BX512" s="352"/>
      <c r="BY512" s="352"/>
      <c r="BZ512" s="352"/>
      <c r="CA512" s="313"/>
      <c r="CB512" s="352"/>
      <c r="CC512" s="761"/>
      <c r="CD512" s="934"/>
      <c r="CE512" s="352"/>
      <c r="CF512" s="363"/>
      <c r="CG512" s="352"/>
      <c r="CH512" s="352"/>
      <c r="CI512" s="577"/>
      <c r="CJ512" s="577"/>
      <c r="CK512" s="313"/>
      <c r="CL512" s="352"/>
      <c r="CM512" s="352"/>
      <c r="CN512" s="352"/>
      <c r="CO512" s="577"/>
      <c r="CP512" s="313"/>
      <c r="CQ512" s="10"/>
      <c r="CR512" s="10"/>
      <c r="CS512" s="1217"/>
      <c r="CT512" s="1217"/>
      <c r="CU512" s="313"/>
      <c r="CV512" s="1217"/>
      <c r="CW512" s="1217"/>
      <c r="CX512" s="1217"/>
      <c r="CY512" s="1217"/>
      <c r="CZ512" s="1061"/>
      <c r="DA512" s="1227"/>
      <c r="DB512" s="1227"/>
      <c r="DC512" s="1227"/>
      <c r="DD512" s="1227"/>
      <c r="DE512" s="1863"/>
      <c r="DF512" s="2479"/>
      <c r="DG512" s="2479"/>
      <c r="DH512" s="2479"/>
      <c r="DI512" s="2479"/>
      <c r="DJ512" s="2493"/>
      <c r="DK512" s="1541"/>
      <c r="DL512" s="1106"/>
      <c r="DM512" s="1106"/>
      <c r="DN512" s="1541"/>
      <c r="DO512" s="2493"/>
      <c r="DP512" s="1175">
        <f t="shared" ref="DP512:EH512" si="1322">+(DP513/DK513)-1</f>
      </c>
      <c r="DQ512" s="1175">
        <f t="shared" si="1322"/>
      </c>
      <c r="DR512" s="1175">
        <f t="shared" si="1322"/>
      </c>
      <c r="DS512" s="1175">
        <f t="shared" si="1322"/>
      </c>
      <c r="DT512" s="2672">
        <f t="shared" si="1322"/>
      </c>
      <c r="DU512" s="1221">
        <f t="shared" si="1322"/>
      </c>
      <c r="DV512" s="1221">
        <f t="shared" si="1322"/>
      </c>
      <c r="DW512" s="1221">
        <f t="shared" si="1322"/>
      </c>
      <c r="DX512" s="2671">
        <f t="shared" si="1322"/>
      </c>
      <c r="DY512" s="2673">
        <f t="shared" si="1322"/>
      </c>
      <c r="DZ512" s="1221">
        <f t="shared" si="1322"/>
      </c>
      <c r="EA512" s="1221">
        <f t="shared" si="1322"/>
      </c>
      <c r="EB512" s="1221">
        <f t="shared" si="1322"/>
      </c>
      <c r="EC512" s="2671">
        <f t="shared" si="1322"/>
      </c>
      <c r="ED512" s="2673">
        <f t="shared" si="1322"/>
      </c>
      <c r="EE512" s="1221">
        <f t="shared" si="1322"/>
      </c>
      <c r="EF512" s="1221">
        <f t="shared" si="1322"/>
      </c>
      <c r="EG512" s="1221">
        <f t="shared" si="1322"/>
      </c>
      <c r="EH512" s="2671">
        <f t="shared" si="1322"/>
      </c>
      <c r="EI512" s="2650">
        <f>+(EI513/ED513)-1</f>
      </c>
      <c r="EJ512" s="2650">
        <f t="shared" ref="EJ512:EQ512" si="1323">+(EJ513/EI513)-1</f>
      </c>
      <c r="EK512" s="2650">
        <f t="shared" si="1323"/>
      </c>
      <c r="EL512" s="2650">
        <f t="shared" si="1323"/>
      </c>
      <c r="EM512" s="2650">
        <f t="shared" si="1323"/>
      </c>
      <c r="EN512" s="2650">
        <f t="shared" si="1323"/>
      </c>
      <c r="EO512" s="2650">
        <f t="shared" si="1323"/>
      </c>
      <c r="EP512" s="2650">
        <f t="shared" si="1323"/>
      </c>
      <c r="EQ512" s="2650">
        <f t="shared" si="1323"/>
      </c>
      <c r="ER512" s="2650">
        <f t="shared" ref="ER512" si="1324">+(ER513/EQ513)-1</f>
      </c>
      <c r="ES512" s="2650">
        <f t="shared" ref="ES512" si="1325">+(ES513/ER513)-1</f>
      </c>
      <c r="ET512" s="1865"/>
      <c r="EU512" s="1865"/>
      <c r="EV512" s="1865"/>
      <c r="EW512" s="1865"/>
      <c r="EX512" s="1865"/>
    </row>
    <row r="513" spans="1:154" ht="12.75" customHeight="1">
      <c r="A513" s="3275" t="str">
        <f>+A517&amp;" - OUS"</f>
      </c>
      <c r="B513" s="1168" t="s">
        <v>589</v>
      </c>
      <c r="C513" s="2009">
        <v>46323</v>
      </c>
      <c r="D513" s="33"/>
      <c r="E513" s="33"/>
      <c r="F513" s="33"/>
      <c r="G513" s="33"/>
      <c r="H513" s="33"/>
      <c r="I513" s="31"/>
      <c r="J513" s="33"/>
      <c r="K513" s="33"/>
      <c r="L513" s="33"/>
      <c r="M513" s="33"/>
      <c r="N513" s="31"/>
      <c r="O513" s="33"/>
      <c r="P513" s="33"/>
      <c r="Q513" s="33"/>
      <c r="R513" s="33"/>
      <c r="S513" s="31"/>
      <c r="T513" s="33"/>
      <c r="U513" s="33"/>
      <c r="V513" s="33"/>
      <c r="W513" s="33"/>
      <c r="X513" s="313"/>
      <c r="Y513" s="33"/>
      <c r="Z513" s="33"/>
      <c r="AA513" s="33"/>
      <c r="AB513" s="33"/>
      <c r="AC513" s="313"/>
      <c r="AD513" s="602"/>
      <c r="AE513" s="602"/>
      <c r="AF513" s="602"/>
      <c r="AG513" s="602"/>
      <c r="AH513" s="477"/>
      <c r="AI513" s="602"/>
      <c r="AJ513" s="602"/>
      <c r="AK513" s="602"/>
      <c r="AL513" s="602"/>
      <c r="AM513" s="477"/>
      <c r="AN513" s="602"/>
      <c r="AO513" s="602"/>
      <c r="AP513" s="602"/>
      <c r="AQ513" s="602"/>
      <c r="AR513" s="477"/>
      <c r="AS513" s="602"/>
      <c r="AT513" s="602"/>
      <c r="AU513" s="602"/>
      <c r="AV513" s="602"/>
      <c r="AW513" s="477"/>
      <c r="AX513" s="33"/>
      <c r="AY513" s="33"/>
      <c r="AZ513" s="33"/>
      <c r="BA513" s="33"/>
      <c r="BB513" s="313"/>
      <c r="BC513" s="33"/>
      <c r="BD513" s="33"/>
      <c r="BE513" s="33"/>
      <c r="BF513" s="33"/>
      <c r="BG513" s="312"/>
      <c r="BH513" s="33"/>
      <c r="BI513" s="33"/>
      <c r="BJ513" s="33"/>
      <c r="BK513" s="33"/>
      <c r="BL513" s="313"/>
      <c r="BM513" s="352"/>
      <c r="BN513" s="352"/>
      <c r="BO513" s="352"/>
      <c r="BP513" s="352"/>
      <c r="BQ513" s="313"/>
      <c r="BR513" s="352"/>
      <c r="BS513" s="352"/>
      <c r="BT513" s="352"/>
      <c r="BU513" s="352"/>
      <c r="BV513" s="313"/>
      <c r="BW513" s="352"/>
      <c r="BX513" s="352"/>
      <c r="BY513" s="352"/>
      <c r="BZ513" s="352"/>
      <c r="CA513" s="313"/>
      <c r="CB513" s="352">
        <v>4</v>
      </c>
      <c r="CC513" s="761">
        <v>0</v>
      </c>
      <c r="CD513" s="934">
        <f>CF513-CE513-CB513-CC513</f>
      </c>
      <c r="CE513" s="933">
        <f>CE517-CE511</f>
      </c>
      <c r="CF513" s="313">
        <f>CF517-CF511</f>
      </c>
      <c r="CG513" s="352">
        <v>50</v>
      </c>
      <c r="CH513" s="352">
        <v>65</v>
      </c>
      <c r="CI513" s="352">
        <v>86</v>
      </c>
      <c r="CJ513" s="352">
        <v>113</v>
      </c>
      <c r="CK513" s="313">
        <f>SUM(CG513:CJ513)</f>
      </c>
      <c r="CL513" s="352">
        <v>129</v>
      </c>
      <c r="CM513" s="352">
        <v>151</v>
      </c>
      <c r="CN513" s="352">
        <v>170</v>
      </c>
      <c r="CO513" s="352">
        <v>188</v>
      </c>
      <c r="CP513" s="313">
        <f>SUM(CL513:CO513)</f>
      </c>
      <c r="CQ513" s="1217">
        <v>219</v>
      </c>
      <c r="CR513" s="1217">
        <v>248</v>
      </c>
      <c r="CS513" s="1217">
        <v>282</v>
      </c>
      <c r="CT513" s="1217">
        <v>303</v>
      </c>
      <c r="CU513" s="1061">
        <f>SUM(CQ513:CT513)</f>
      </c>
      <c r="CV513" s="1217">
        <v>360</v>
      </c>
      <c r="CW513" s="1217">
        <v>370</v>
      </c>
      <c r="CX513" s="1217">
        <v>371</v>
      </c>
      <c r="CY513" s="1217">
        <v>385</v>
      </c>
      <c r="CZ513" s="1061">
        <f>SUM(CV513:CY513)</f>
      </c>
      <c r="DA513" s="1227">
        <v>435</v>
      </c>
      <c r="DB513" s="933">
        <v>463</v>
      </c>
      <c r="DC513" s="1227">
        <v>475</v>
      </c>
      <c r="DD513" s="1227">
        <v>483</v>
      </c>
      <c r="DE513" s="1863">
        <f>SUM(DA513:DD513)</f>
      </c>
      <c r="DF513" s="3116">
        <v>599</v>
      </c>
      <c r="DG513" s="2479">
        <v>502</v>
      </c>
      <c r="DH513" s="3116">
        <v>581</v>
      </c>
      <c r="DI513" s="2479">
        <v>625</v>
      </c>
      <c r="DJ513" s="2492">
        <f>SUM(DF513:DI513)</f>
      </c>
      <c r="DK513" s="1541">
        <v>680</v>
      </c>
      <c r="DL513" s="1106">
        <v>662</v>
      </c>
      <c r="DM513" s="1106">
        <v>654</v>
      </c>
      <c r="DN513" s="1541">
        <v>626</v>
      </c>
      <c r="DO513" s="2493">
        <f>SUM(DK513:DN513)</f>
      </c>
      <c r="DP513" s="1106">
        <v>668</v>
      </c>
      <c r="DQ513" s="1541">
        <v>620</v>
      </c>
      <c r="DR513" s="1541">
        <v>559</v>
      </c>
      <c r="DS513" s="1541">
        <v>547</v>
      </c>
      <c r="DT513" s="2493">
        <f>SUM(DP513:DS513)</f>
      </c>
      <c r="DU513" s="2469">
        <v>557</v>
      </c>
      <c r="DV513" s="2469">
        <v>579</v>
      </c>
      <c r="DW513" s="2469">
        <v>544.5</v>
      </c>
      <c r="DX513" s="2587">
        <v>533</v>
      </c>
      <c r="DY513" s="2493">
        <f>SUM(DU513:DX513)</f>
      </c>
      <c r="DZ513" s="2482">
        <v>515</v>
      </c>
      <c r="EA513" s="2482">
        <v>524.5</v>
      </c>
      <c r="EB513" s="2482">
        <v>494</v>
      </c>
      <c r="EC513" s="2484">
        <v>481</v>
      </c>
      <c r="ED513" s="2577">
        <f>SUM(DZ513:EC513)</f>
      </c>
      <c r="EE513" s="2482">
        <v>474</v>
      </c>
      <c r="EF513" s="2482">
        <v>496</v>
      </c>
      <c r="EG513" s="2482">
        <v>483</v>
      </c>
      <c r="EH513" s="2587">
        <f>EI513-SUM(EE513:EG513)</f>
      </c>
      <c r="EI513" s="2585">
        <v>1880</v>
      </c>
      <c r="EJ513" s="2585">
        <v>1800</v>
      </c>
      <c r="EK513" s="2585">
        <v>1650</v>
      </c>
      <c r="EL513" s="2585">
        <v>1400</v>
      </c>
      <c r="EM513" s="2585">
        <v>1100</v>
      </c>
      <c r="EN513" s="2585">
        <v>900</v>
      </c>
      <c r="EO513" s="2585">
        <v>700</v>
      </c>
      <c r="EP513" s="2585">
        <v>350</v>
      </c>
      <c r="EQ513" s="2585">
        <v>300</v>
      </c>
      <c r="ER513" s="2585">
        <v>200</v>
      </c>
      <c r="ES513" s="1867">
        <v>200</v>
      </c>
      <c r="ET513" s="1868"/>
      <c r="EU513" s="1868"/>
      <c r="EV513" s="1868"/>
      <c r="EW513" s="1868"/>
      <c r="EX513" s="1868"/>
    </row>
    <row r="514" spans="1:154" ht="12.75" customHeight="1">
      <c r="B514" s="1168"/>
      <c r="C514" s="2009"/>
      <c r="D514" s="33"/>
      <c r="E514" s="33"/>
      <c r="F514" s="33"/>
      <c r="G514" s="33"/>
      <c r="H514" s="33"/>
      <c r="I514" s="31"/>
      <c r="J514" s="33"/>
      <c r="K514" s="33"/>
      <c r="L514" s="33"/>
      <c r="M514" s="33"/>
      <c r="N514" s="31"/>
      <c r="O514" s="33"/>
      <c r="P514" s="33"/>
      <c r="Q514" s="33"/>
      <c r="R514" s="33"/>
      <c r="S514" s="31"/>
      <c r="T514" s="33"/>
      <c r="U514" s="33"/>
      <c r="V514" s="33"/>
      <c r="W514" s="33"/>
      <c r="X514" s="313"/>
      <c r="Y514" s="33"/>
      <c r="Z514" s="33"/>
      <c r="AA514" s="33"/>
      <c r="AB514" s="33"/>
      <c r="AC514" s="313"/>
      <c r="AD514" s="602"/>
      <c r="AE514" s="602"/>
      <c r="AF514" s="602"/>
      <c r="AG514" s="602"/>
      <c r="AH514" s="477"/>
      <c r="AI514" s="602"/>
      <c r="AJ514" s="602"/>
      <c r="AK514" s="602"/>
      <c r="AL514" s="602"/>
      <c r="AM514" s="477"/>
      <c r="AN514" s="602"/>
      <c r="AO514" s="602"/>
      <c r="AP514" s="602"/>
      <c r="AQ514" s="602"/>
      <c r="AR514" s="477"/>
      <c r="AS514" s="602"/>
      <c r="AT514" s="602"/>
      <c r="AU514" s="602"/>
      <c r="AV514" s="602"/>
      <c r="AW514" s="477"/>
      <c r="AX514" s="33"/>
      <c r="AY514" s="33"/>
      <c r="AZ514" s="33"/>
      <c r="BA514" s="33"/>
      <c r="BB514" s="313"/>
      <c r="BC514" s="33"/>
      <c r="BD514" s="33"/>
      <c r="BE514" s="33"/>
      <c r="BF514" s="33"/>
      <c r="BG514" s="312"/>
      <c r="BH514" s="33"/>
      <c r="BI514" s="33"/>
      <c r="BJ514" s="33"/>
      <c r="BK514" s="33"/>
      <c r="BL514" s="313"/>
      <c r="BM514" s="352"/>
      <c r="BN514" s="352"/>
      <c r="BO514" s="352"/>
      <c r="BP514" s="352"/>
      <c r="BQ514" s="313"/>
      <c r="BR514" s="352"/>
      <c r="BS514" s="352"/>
      <c r="BT514" s="352"/>
      <c r="BU514" s="352"/>
      <c r="BV514" s="313"/>
      <c r="BW514" s="352"/>
      <c r="BX514" s="352"/>
      <c r="BY514" s="352"/>
      <c r="BZ514" s="352"/>
      <c r="CA514" s="313"/>
      <c r="CB514" s="352"/>
      <c r="CC514" s="761"/>
      <c r="CD514" s="934"/>
      <c r="CE514" s="933"/>
      <c r="CF514" s="313"/>
      <c r="CG514" s="352"/>
      <c r="CH514" s="352"/>
      <c r="CI514" s="352"/>
      <c r="CJ514" s="352"/>
      <c r="CK514" s="313"/>
      <c r="CL514" s="352"/>
      <c r="CM514" s="352"/>
      <c r="CN514" s="352"/>
      <c r="CO514" s="352"/>
      <c r="CP514" s="313"/>
      <c r="CQ514" s="1217"/>
      <c r="CR514" s="1217"/>
      <c r="CS514" s="1217"/>
      <c r="CT514" s="1217"/>
      <c r="CU514" s="1061"/>
      <c r="CV514" s="1217"/>
      <c r="CW514" s="1217"/>
      <c r="CX514" s="1217"/>
      <c r="CY514" s="1217"/>
      <c r="CZ514" s="1061"/>
      <c r="DA514" s="1227"/>
      <c r="DB514" s="933"/>
      <c r="DC514" s="1227"/>
      <c r="DD514" s="1227"/>
      <c r="DE514" s="1863"/>
      <c r="DF514" s="3116"/>
      <c r="DG514" s="2479"/>
      <c r="DH514" s="3116"/>
      <c r="DI514" s="2479"/>
      <c r="DJ514" s="2492"/>
      <c r="DK514" s="1541"/>
      <c r="DL514" s="1106"/>
      <c r="DM514" s="1106"/>
      <c r="DN514" s="1541"/>
      <c r="DO514" s="2493"/>
      <c r="DP514" s="2587">
        <f t="shared" ref="DP514:EG514" si="1326">+DK513-DP513</f>
      </c>
      <c r="DQ514" s="2587">
        <f t="shared" si="1326"/>
      </c>
      <c r="DR514" s="2587">
        <f t="shared" si="1326"/>
      </c>
      <c r="DS514" s="2587">
        <f t="shared" si="1326"/>
      </c>
      <c r="DT514" s="2577">
        <f t="shared" si="1326"/>
      </c>
      <c r="DU514" s="2587">
        <f t="shared" si="1326"/>
      </c>
      <c r="DV514" s="2587">
        <f t="shared" si="1326"/>
      </c>
      <c r="DW514" s="2587">
        <f t="shared" si="1326"/>
      </c>
      <c r="DX514" s="2587">
        <f t="shared" si="1326"/>
      </c>
      <c r="DY514" s="2577">
        <f t="shared" si="1326"/>
      </c>
      <c r="DZ514" s="2587">
        <f t="shared" si="1326"/>
      </c>
      <c r="EA514" s="2587">
        <f t="shared" si="1326"/>
      </c>
      <c r="EB514" s="2587">
        <f t="shared" si="1326"/>
      </c>
      <c r="EC514" s="2587">
        <f t="shared" si="1326"/>
      </c>
      <c r="ED514" s="2577">
        <f t="shared" si="1326"/>
      </c>
      <c r="EE514" s="2587">
        <f t="shared" si="1326"/>
      </c>
      <c r="EF514" s="2587">
        <f t="shared" si="1326"/>
      </c>
      <c r="EG514" s="2587">
        <f t="shared" si="1326"/>
      </c>
      <c r="EH514" s="2587">
        <f t="shared" ref="EH514" si="1327">+EC513-EH513</f>
      </c>
      <c r="EI514" s="2577">
        <f>+ED513-EI513</f>
      </c>
      <c r="EJ514" s="2488">
        <f>+EI513-EJ513</f>
      </c>
      <c r="EK514" s="2488">
        <f>+EJ513-EK513</f>
      </c>
      <c r="EL514" s="2488"/>
      <c r="EM514" s="2488"/>
      <c r="EN514" s="2488"/>
      <c r="EO514" s="2488"/>
      <c r="EP514" s="2488"/>
      <c r="EQ514" s="2488"/>
      <c r="ER514" s="2488"/>
      <c r="ES514" s="1868"/>
      <c r="ET514" s="1868"/>
      <c r="EU514" s="1868"/>
      <c r="EV514" s="1868"/>
      <c r="EW514" s="1868"/>
      <c r="EX514" s="1868"/>
    </row>
    <row r="515" spans="1:154" ht="12.75" customHeight="1">
      <c r="B515" s="1168" t="s">
        <v>591</v>
      </c>
      <c r="C515" s="1995"/>
      <c r="D515" s="33"/>
      <c r="E515" s="33"/>
      <c r="F515" s="33"/>
      <c r="G515" s="33"/>
      <c r="H515" s="33"/>
      <c r="I515" s="31"/>
      <c r="J515" s="33"/>
      <c r="K515" s="33"/>
      <c r="L515" s="33"/>
      <c r="M515" s="33"/>
      <c r="N515" s="31"/>
      <c r="O515" s="33"/>
      <c r="P515" s="33"/>
      <c r="Q515" s="33"/>
      <c r="R515" s="33"/>
      <c r="S515" s="31"/>
      <c r="T515" s="33"/>
      <c r="U515" s="33"/>
      <c r="V515" s="33"/>
      <c r="W515" s="33"/>
      <c r="X515" s="313"/>
      <c r="Y515" s="33"/>
      <c r="Z515" s="33"/>
      <c r="AA515" s="33"/>
      <c r="AB515" s="33"/>
      <c r="AC515" s="313"/>
      <c r="AD515" s="602"/>
      <c r="AE515" s="602"/>
      <c r="AF515" s="602"/>
      <c r="AG515" s="602"/>
      <c r="AH515" s="477"/>
      <c r="AI515" s="602"/>
      <c r="AJ515" s="602"/>
      <c r="AK515" s="602"/>
      <c r="AL515" s="602"/>
      <c r="AM515" s="477"/>
      <c r="AN515" s="602"/>
      <c r="AO515" s="602"/>
      <c r="AP515" s="602"/>
      <c r="AQ515" s="602"/>
      <c r="AR515" s="477"/>
      <c r="AS515" s="602"/>
      <c r="AT515" s="602"/>
      <c r="AU515" s="602"/>
      <c r="AV515" s="602"/>
      <c r="AW515" s="477"/>
      <c r="AX515" s="33"/>
      <c r="AY515" s="33"/>
      <c r="AZ515" s="33"/>
      <c r="BA515" s="33"/>
      <c r="BB515" s="313"/>
      <c r="BC515" s="33"/>
      <c r="BD515" s="33"/>
      <c r="BE515" s="33"/>
      <c r="BF515" s="33"/>
      <c r="BG515" s="312"/>
      <c r="BH515" s="33"/>
      <c r="BI515" s="33"/>
      <c r="BJ515" s="33"/>
      <c r="BK515" s="33"/>
      <c r="BL515" s="313"/>
      <c r="BM515" s="352"/>
      <c r="BN515" s="352"/>
      <c r="BO515" s="352"/>
      <c r="BP515" s="352"/>
      <c r="BQ515" s="313"/>
      <c r="BR515" s="352"/>
      <c r="BS515" s="352"/>
      <c r="BT515" s="352"/>
      <c r="BU515" s="352"/>
      <c r="BV515" s="313"/>
      <c r="BW515" s="352"/>
      <c r="BX515" s="352"/>
      <c r="BY515" s="352"/>
      <c r="BZ515" s="352"/>
      <c r="CA515" s="313"/>
      <c r="CB515" s="933">
        <f>CB510+CB513</f>
      </c>
      <c r="CC515" s="934">
        <f>CC510+CC513</f>
      </c>
      <c r="CD515" s="934">
        <f>CD510+CD513</f>
      </c>
      <c r="CE515" s="933">
        <f>CE510+CE513</f>
      </c>
      <c r="CF515" s="313">
        <f>SUM(CB515:CE515)</f>
      </c>
      <c r="CG515" s="28">
        <f t="shared" ref="CG515:DF515" si="1328">CG510+CG513</f>
      </c>
      <c r="CH515" s="28">
        <f t="shared" si="1328"/>
      </c>
      <c r="CI515" s="28">
        <f t="shared" si="1328"/>
      </c>
      <c r="CJ515" s="28">
        <f t="shared" si="1328"/>
      </c>
      <c r="CK515" s="313">
        <f t="shared" si="1328"/>
      </c>
      <c r="CL515" s="28">
        <f t="shared" si="1328"/>
      </c>
      <c r="CM515" s="28">
        <f t="shared" si="1328"/>
      </c>
      <c r="CN515" s="28">
        <f t="shared" si="1328"/>
      </c>
      <c r="CO515" s="28">
        <f>CO510+CO513</f>
      </c>
      <c r="CP515" s="313">
        <f t="shared" si="1328"/>
      </c>
      <c r="CQ515" s="28">
        <f t="shared" si="1328"/>
      </c>
      <c r="CR515" s="28">
        <f t="shared" si="1328"/>
      </c>
      <c r="CS515" s="28">
        <f t="shared" ref="CS515:DD515" si="1329">CS510+CS513</f>
      </c>
      <c r="CT515" s="28">
        <f t="shared" si="1329"/>
      </c>
      <c r="CU515" s="313">
        <f t="shared" si="1329"/>
      </c>
      <c r="CV515" s="28">
        <f t="shared" si="1329"/>
      </c>
      <c r="CW515" s="28">
        <f t="shared" si="1329"/>
      </c>
      <c r="CX515" s="28">
        <f t="shared" si="1329"/>
      </c>
      <c r="CY515" s="28">
        <f t="shared" si="1329"/>
      </c>
      <c r="CZ515" s="313">
        <f t="shared" si="1329"/>
      </c>
      <c r="DA515" s="28">
        <f t="shared" si="1329"/>
      </c>
      <c r="DB515" s="28">
        <f t="shared" si="1329"/>
      </c>
      <c r="DC515" s="1360">
        <f t="shared" si="1329"/>
      </c>
      <c r="DD515" s="1360">
        <f t="shared" si="1329"/>
      </c>
      <c r="DE515" s="1830">
        <f t="shared" si="1328"/>
      </c>
      <c r="DF515" s="1545">
        <f t="shared" si="1328"/>
      </c>
      <c r="DG515" s="1545">
        <f t="shared" ref="DG515:EI515" si="1330">DG510+DG513</f>
      </c>
      <c r="DH515" s="1545">
        <f t="shared" si="1330"/>
      </c>
      <c r="DI515" s="444">
        <f t="shared" si="1330"/>
      </c>
      <c r="DJ515" s="1145">
        <f t="shared" si="1330"/>
      </c>
      <c r="DK515" s="1147">
        <f t="shared" si="1330"/>
      </c>
      <c r="DL515" s="1147">
        <f t="shared" si="1330"/>
      </c>
      <c r="DM515" s="1147">
        <f t="shared" si="1330"/>
      </c>
      <c r="DN515" s="1147">
        <f t="shared" si="1330"/>
      </c>
      <c r="DO515" s="1145">
        <f t="shared" si="1330"/>
      </c>
      <c r="DP515" s="1147">
        <f t="shared" si="1330"/>
      </c>
      <c r="DQ515" s="1147">
        <f t="shared" si="1330"/>
      </c>
      <c r="DR515" s="1147">
        <f t="shared" si="1330"/>
      </c>
      <c r="DS515" s="1147">
        <f t="shared" si="1330"/>
      </c>
      <c r="DT515" s="1145">
        <f t="shared" si="1330"/>
      </c>
      <c r="DU515" s="2469">
        <f t="shared" si="1330"/>
      </c>
      <c r="DV515" s="2469">
        <f t="shared" si="1330"/>
      </c>
      <c r="DW515" s="2469">
        <f t="shared" si="1330"/>
      </c>
      <c r="DX515" s="2469">
        <f t="shared" si="1330"/>
      </c>
      <c r="DY515" s="2488">
        <f t="shared" si="1330"/>
      </c>
      <c r="DZ515" s="2469">
        <f t="shared" si="1330"/>
      </c>
      <c r="EA515" s="2469">
        <f t="shared" si="1330"/>
      </c>
      <c r="EB515" s="2469">
        <f t="shared" si="1330"/>
      </c>
      <c r="EC515" s="2469">
        <f t="shared" si="1330"/>
      </c>
      <c r="ED515" s="2577">
        <f t="shared" si="1330"/>
      </c>
      <c r="EE515" s="2469">
        <f t="shared" ref="EE515:EG515" si="1331">EE510+EE513</f>
      </c>
      <c r="EF515" s="2469">
        <f t="shared" si="1331"/>
      </c>
      <c r="EG515" s="2469">
        <f t="shared" si="1331"/>
      </c>
      <c r="EH515" s="2469">
        <f t="shared" si="1330"/>
      </c>
      <c r="EI515" s="2488">
        <f t="shared" si="1330"/>
      </c>
      <c r="EJ515" s="2488">
        <f t="shared" ref="EJ515:ES515" si="1332">EJ510+EJ513</f>
      </c>
      <c r="EK515" s="2586">
        <f t="shared" si="1332"/>
      </c>
      <c r="EL515" s="2488">
        <f t="shared" si="1332"/>
      </c>
      <c r="EM515" s="2488">
        <f t="shared" si="1332"/>
      </c>
      <c r="EN515" s="2488">
        <f>EN510+EN513</f>
      </c>
      <c r="EO515" s="2488">
        <f t="shared" si="1332"/>
      </c>
      <c r="EP515" s="2488">
        <f t="shared" si="1332"/>
      </c>
      <c r="EQ515" s="2488">
        <f t="shared" si="1332"/>
      </c>
      <c r="ER515" s="2488">
        <f t="shared" si="1332"/>
      </c>
      <c r="ES515" s="2488">
        <f t="shared" si="1332"/>
      </c>
      <c r="ET515" s="1788"/>
      <c r="EU515" s="1788"/>
      <c r="EV515" s="1788"/>
      <c r="EW515" s="1788"/>
      <c r="EX515" s="1788"/>
    </row>
    <row r="516" spans="1:154" ht="12.75" customHeight="1">
      <c r="B516" s="1168"/>
      <c r="C516" s="1995"/>
      <c r="D516" s="33"/>
      <c r="E516" s="33"/>
      <c r="F516" s="33"/>
      <c r="G516" s="33"/>
      <c r="H516" s="33"/>
      <c r="I516" s="31"/>
      <c r="J516" s="33"/>
      <c r="K516" s="33"/>
      <c r="L516" s="33"/>
      <c r="M516" s="33"/>
      <c r="N516" s="31"/>
      <c r="O516" s="33"/>
      <c r="P516" s="33"/>
      <c r="Q516" s="33"/>
      <c r="R516" s="33"/>
      <c r="S516" s="31"/>
      <c r="T516" s="33"/>
      <c r="U516" s="33"/>
      <c r="V516" s="33"/>
      <c r="W516" s="33"/>
      <c r="X516" s="313"/>
      <c r="Y516" s="33"/>
      <c r="Z516" s="33"/>
      <c r="AA516" s="33"/>
      <c r="AB516" s="33"/>
      <c r="AC516" s="313"/>
      <c r="AD516" s="602"/>
      <c r="AE516" s="602"/>
      <c r="AF516" s="602"/>
      <c r="AG516" s="602"/>
      <c r="AH516" s="477"/>
      <c r="AI516" s="602"/>
      <c r="AJ516" s="602"/>
      <c r="AK516" s="602"/>
      <c r="AL516" s="602"/>
      <c r="AM516" s="477"/>
      <c r="AN516" s="602"/>
      <c r="AO516" s="602"/>
      <c r="AP516" s="602"/>
      <c r="AQ516" s="602"/>
      <c r="AR516" s="477"/>
      <c r="AS516" s="602"/>
      <c r="AT516" s="602"/>
      <c r="AU516" s="602"/>
      <c r="AV516" s="602"/>
      <c r="AW516" s="477"/>
      <c r="AX516" s="33"/>
      <c r="AY516" s="33"/>
      <c r="AZ516" s="33"/>
      <c r="BA516" s="33"/>
      <c r="BB516" s="313"/>
      <c r="BC516" s="33"/>
      <c r="BD516" s="33"/>
      <c r="BE516" s="33"/>
      <c r="BF516" s="33"/>
      <c r="BG516" s="312"/>
      <c r="BH516" s="33"/>
      <c r="BI516" s="33"/>
      <c r="BJ516" s="33"/>
      <c r="BK516" s="33"/>
      <c r="BL516" s="313"/>
      <c r="BM516" s="352"/>
      <c r="BN516" s="352"/>
      <c r="BO516" s="352"/>
      <c r="BP516" s="352"/>
      <c r="BQ516" s="313"/>
      <c r="BR516" s="352"/>
      <c r="BS516" s="352"/>
      <c r="BT516" s="352"/>
      <c r="BU516" s="352"/>
      <c r="BV516" s="313"/>
      <c r="BW516" s="352"/>
      <c r="BX516" s="352"/>
      <c r="BY516" s="352"/>
      <c r="BZ516" s="352"/>
      <c r="CA516" s="313"/>
      <c r="CB516" s="933"/>
      <c r="CC516" s="934"/>
      <c r="CD516" s="934"/>
      <c r="CE516" s="933"/>
      <c r="CF516" s="313"/>
      <c r="CG516" s="28"/>
      <c r="CH516" s="28"/>
      <c r="CI516" s="28"/>
      <c r="CJ516" s="28"/>
      <c r="CK516" s="313"/>
      <c r="CL516" s="28"/>
      <c r="CM516" s="28"/>
      <c r="CN516" s="28"/>
      <c r="CO516" s="28"/>
      <c r="CP516" s="313"/>
      <c r="CQ516" s="28"/>
      <c r="CR516" s="28"/>
      <c r="CS516" s="28"/>
      <c r="CT516" s="28"/>
      <c r="CU516" s="313"/>
      <c r="CV516" s="28"/>
      <c r="CW516" s="28"/>
      <c r="CX516" s="28"/>
      <c r="CY516" s="28"/>
      <c r="CZ516" s="313"/>
      <c r="DA516" s="28"/>
      <c r="DB516" s="28"/>
      <c r="DC516" s="1360"/>
      <c r="DD516" s="1360"/>
      <c r="DE516" s="1830"/>
      <c r="DF516" s="1545"/>
      <c r="DG516" s="1545"/>
      <c r="DH516" s="1545"/>
      <c r="DI516" s="444"/>
      <c r="DJ516" s="1145"/>
      <c r="DK516" s="1147"/>
      <c r="DL516" s="1147"/>
      <c r="DM516" s="1147"/>
      <c r="DN516" s="1147"/>
      <c r="DO516" s="1145"/>
      <c r="DP516" s="1147"/>
      <c r="DQ516" s="1147"/>
      <c r="DR516" s="1147"/>
      <c r="DS516" s="1147"/>
      <c r="DT516" s="1145"/>
      <c r="DU516" s="2469"/>
      <c r="DV516" s="2469"/>
      <c r="DW516" s="2469"/>
      <c r="DX516" s="2469"/>
      <c r="DY516" s="2488"/>
      <c r="DZ516" s="2469"/>
      <c r="EA516" s="2469"/>
      <c r="EB516" s="2469"/>
      <c r="EC516" s="2469"/>
      <c r="ED516" s="2577"/>
      <c r="EE516" s="2469"/>
      <c r="EF516" s="2469"/>
      <c r="EG516" s="2469"/>
      <c r="EH516" s="2469"/>
      <c r="EI516" s="2488"/>
      <c r="EJ516" s="2488"/>
      <c r="EK516" s="2586"/>
      <c r="EL516" s="2488"/>
      <c r="EM516" s="2488"/>
      <c r="EN516" s="2488"/>
      <c r="EO516" s="2488"/>
      <c r="EP516" s="2488"/>
      <c r="EQ516" s="2488"/>
      <c r="ER516" s="2488"/>
      <c r="ES516" s="2488"/>
      <c r="ET516" s="1788"/>
      <c r="EU516" s="1788"/>
      <c r="EV516" s="1788"/>
      <c r="EW516" s="1788"/>
      <c r="EX516" s="1788"/>
    </row>
    <row r="517" spans="1:154" ht="12.75" customHeight="1">
      <c r="A517" s="3275" t="s">
        <v>592</v>
      </c>
      <c r="B517" s="1168" t="s">
        <v>590</v>
      </c>
      <c r="C517" s="1989"/>
      <c r="D517" s="33"/>
      <c r="E517" s="33"/>
      <c r="F517" s="33"/>
      <c r="G517" s="33"/>
      <c r="H517" s="33"/>
      <c r="I517" s="28"/>
      <c r="J517" s="28"/>
      <c r="K517" s="28"/>
      <c r="L517" s="28"/>
      <c r="M517" s="28"/>
      <c r="N517" s="28"/>
      <c r="O517" s="28"/>
      <c r="P517" s="28"/>
      <c r="Q517" s="28"/>
      <c r="R517" s="28"/>
      <c r="S517" s="28"/>
      <c r="T517" s="28"/>
      <c r="U517" s="28"/>
      <c r="V517" s="28"/>
      <c r="W517" s="28"/>
      <c r="X517" s="312"/>
      <c r="Y517" s="28"/>
      <c r="Z517" s="28"/>
      <c r="AA517" s="28"/>
      <c r="AB517" s="28"/>
      <c r="AC517" s="312"/>
      <c r="AD517" s="444"/>
      <c r="AE517" s="444"/>
      <c r="AF517" s="444"/>
      <c r="AG517" s="444"/>
      <c r="AH517" s="445"/>
      <c r="AI517" s="444"/>
      <c r="AJ517" s="444"/>
      <c r="AK517" s="444"/>
      <c r="AL517" s="444"/>
      <c r="AM517" s="445"/>
      <c r="AN517" s="444"/>
      <c r="AO517" s="444"/>
      <c r="AP517" s="444"/>
      <c r="AQ517" s="444"/>
      <c r="AR517" s="445"/>
      <c r="AS517" s="444"/>
      <c r="AT517" s="444"/>
      <c r="AU517" s="444"/>
      <c r="AV517" s="444"/>
      <c r="AW517" s="445"/>
      <c r="AX517" s="28"/>
      <c r="AY517" s="28"/>
      <c r="AZ517" s="28"/>
      <c r="BA517" s="28"/>
      <c r="BB517" s="312"/>
      <c r="BC517" s="28"/>
      <c r="BD517" s="28"/>
      <c r="BE517" s="28"/>
      <c r="BF517" s="28"/>
      <c r="BG517" s="312"/>
      <c r="BH517" s="28"/>
      <c r="BI517" s="28"/>
      <c r="BJ517" s="28"/>
      <c r="BK517" s="28"/>
      <c r="BL517" s="313"/>
      <c r="BM517" s="28"/>
      <c r="BN517" s="28"/>
      <c r="BO517" s="28"/>
      <c r="BP517" s="28"/>
      <c r="BQ517" s="312"/>
      <c r="BR517" s="28"/>
      <c r="BS517" s="28"/>
      <c r="BT517" s="28"/>
      <c r="BU517" s="28"/>
      <c r="BV517" s="312"/>
      <c r="BW517" s="28"/>
      <c r="BX517" s="28"/>
      <c r="BY517" s="28"/>
      <c r="BZ517" s="28"/>
      <c r="CA517" s="313"/>
      <c r="CB517" s="933">
        <f>+CB513+CB511</f>
      </c>
      <c r="CC517" s="934">
        <f>+CC513+CC511</f>
      </c>
      <c r="CD517" s="934">
        <f>CF517-CB517-CC517-CE517</f>
      </c>
      <c r="CE517" s="352">
        <v>92</v>
      </c>
      <c r="CF517" s="363">
        <v>200</v>
      </c>
      <c r="CG517" s="28">
        <f>+CG513+CG511</f>
      </c>
      <c r="CH517" s="28">
        <f>+CH513+CH511</f>
      </c>
      <c r="CI517" s="28">
        <f>+CI513+CI511</f>
      </c>
      <c r="CJ517" s="28">
        <f>+CJ513+CJ511</f>
      </c>
      <c r="CK517" s="313">
        <f>SUM(CG517:CJ517)</f>
      </c>
      <c r="CL517" s="28">
        <f>+CL513+CL511</f>
      </c>
      <c r="CM517" s="28">
        <f>+CM513+CM511</f>
      </c>
      <c r="CN517" s="28">
        <f>+CN513+CN511</f>
      </c>
      <c r="CO517" s="28">
        <f>+CO513+CO511</f>
      </c>
      <c r="CP517" s="313">
        <f>SUM(CL517:CO517)</f>
      </c>
      <c r="CQ517" s="28">
        <f>+CQ513+CQ511</f>
      </c>
      <c r="CR517" s="28">
        <f>+CR513+CR511</f>
      </c>
      <c r="CS517" s="28">
        <f>+CS513+CS511</f>
      </c>
      <c r="CT517" s="28">
        <f>+CT513+CT511</f>
      </c>
      <c r="CU517" s="313">
        <f>SUM(CQ517:CT517)</f>
      </c>
      <c r="CV517" s="28">
        <f>+CV513+CV511</f>
      </c>
      <c r="CW517" s="28">
        <f>+CW513+CW511</f>
      </c>
      <c r="CX517" s="28">
        <f>+CX513+CX511</f>
      </c>
      <c r="CY517" s="28">
        <f>+CY513+CY511</f>
      </c>
      <c r="CZ517" s="313">
        <f>SUM(CV517:CY517)</f>
      </c>
      <c r="DA517" s="28">
        <f t="shared" ref="DA517:EI517" si="1333">+DA513+DA511</f>
      </c>
      <c r="DB517" s="28">
        <f t="shared" si="1333"/>
      </c>
      <c r="DC517" s="1360">
        <f t="shared" si="1333"/>
      </c>
      <c r="DD517" s="1360">
        <f t="shared" si="1333"/>
      </c>
      <c r="DE517" s="1830">
        <f t="shared" si="1333"/>
      </c>
      <c r="DF517" s="1545">
        <f t="shared" si="1333"/>
      </c>
      <c r="DG517" s="1545">
        <f t="shared" si="1333"/>
      </c>
      <c r="DH517" s="1545">
        <f t="shared" si="1333"/>
      </c>
      <c r="DI517" s="444">
        <f t="shared" si="1333"/>
      </c>
      <c r="DJ517" s="1145">
        <f t="shared" si="1333"/>
      </c>
      <c r="DK517" s="1147">
        <f t="shared" si="1333"/>
      </c>
      <c r="DL517" s="1147">
        <f t="shared" si="1333"/>
      </c>
      <c r="DM517" s="1147">
        <f t="shared" si="1333"/>
      </c>
      <c r="DN517" s="1147">
        <f t="shared" si="1333"/>
      </c>
      <c r="DO517" s="1145">
        <f t="shared" si="1333"/>
      </c>
      <c r="DP517" s="1147">
        <f t="shared" si="1333"/>
      </c>
      <c r="DQ517" s="1147">
        <f t="shared" si="1333"/>
      </c>
      <c r="DR517" s="1147">
        <f t="shared" si="1333"/>
      </c>
      <c r="DS517" s="1147">
        <f t="shared" si="1333"/>
      </c>
      <c r="DT517" s="1145">
        <f>+DT513+DT511</f>
      </c>
      <c r="DU517" s="2469">
        <f t="shared" si="1333"/>
      </c>
      <c r="DV517" s="2469">
        <f>+DV513+DV511</f>
      </c>
      <c r="DW517" s="2469">
        <f>+DW513+DW511</f>
      </c>
      <c r="DX517" s="2469">
        <f t="shared" si="1333"/>
      </c>
      <c r="DY517" s="2488">
        <f t="shared" si="1333"/>
      </c>
      <c r="DZ517" s="2469">
        <f t="shared" si="1333"/>
      </c>
      <c r="EA517" s="2469">
        <f>+EA513+EA511</f>
      </c>
      <c r="EB517" s="2469">
        <f>+EB513+EB511</f>
      </c>
      <c r="EC517" s="2469">
        <f>+EC513+EC511</f>
      </c>
      <c r="ED517" s="2577">
        <f t="shared" ref="ED517:EE517" si="1334">+ED513+ED511</f>
      </c>
      <c r="EE517" s="2469">
        <f t="shared" si="1334"/>
      </c>
      <c r="EF517" s="2469">
        <f>+EF513+EF511</f>
      </c>
      <c r="EG517" s="2469">
        <f>+EG513+EG511</f>
      </c>
      <c r="EH517" s="2469">
        <f>+EH513+EH511</f>
      </c>
      <c r="EI517" s="2488">
        <f t="shared" si="1333"/>
      </c>
      <c r="EJ517" s="2488">
        <f t="shared" ref="EJ517:ES517" si="1335">+EJ513+EJ511</f>
      </c>
      <c r="EK517" s="2586">
        <f t="shared" si="1335"/>
      </c>
      <c r="EL517" s="2488">
        <f t="shared" si="1335"/>
      </c>
      <c r="EM517" s="2488">
        <f t="shared" si="1335"/>
      </c>
      <c r="EN517" s="2488">
        <f>+EN513+EN511</f>
      </c>
      <c r="EO517" s="2488">
        <f t="shared" si="1335"/>
      </c>
      <c r="EP517" s="2488">
        <f t="shared" si="1335"/>
      </c>
      <c r="EQ517" s="2488">
        <f t="shared" si="1335"/>
      </c>
      <c r="ER517" s="2488">
        <f t="shared" si="1335"/>
      </c>
      <c r="ES517" s="2488">
        <f t="shared" si="1335"/>
      </c>
      <c r="ET517" s="1788"/>
      <c r="EU517" s="1788"/>
      <c r="EV517" s="1788"/>
      <c r="EW517" s="1788"/>
      <c r="EX517" s="1788"/>
    </row>
    <row r="518" spans="1:154" ht="12.75" customHeight="1">
      <c r="B518" s="1168"/>
      <c r="C518" s="1989"/>
      <c r="D518" s="33"/>
      <c r="E518" s="33"/>
      <c r="F518" s="33"/>
      <c r="G518" s="33"/>
      <c r="H518" s="33"/>
      <c r="I518" s="31"/>
      <c r="J518" s="33"/>
      <c r="K518" s="33"/>
      <c r="L518" s="33"/>
      <c r="M518" s="33"/>
      <c r="N518" s="31"/>
      <c r="O518" s="33"/>
      <c r="P518" s="33"/>
      <c r="Q518" s="33"/>
      <c r="R518" s="33"/>
      <c r="S518" s="31"/>
      <c r="T518" s="33"/>
      <c r="U518" s="33"/>
      <c r="V518" s="33"/>
      <c r="W518" s="33"/>
      <c r="X518" s="312"/>
      <c r="Y518" s="33"/>
      <c r="Z518" s="33"/>
      <c r="AA518" s="33"/>
      <c r="AB518" s="33"/>
      <c r="AC518" s="312"/>
      <c r="AD518" s="602"/>
      <c r="AE518" s="602"/>
      <c r="AF518" s="602"/>
      <c r="AG518" s="602"/>
      <c r="AH518" s="445"/>
      <c r="AI518" s="602"/>
      <c r="AJ518" s="602"/>
      <c r="AK518" s="602"/>
      <c r="AL518" s="602"/>
      <c r="AM518" s="445"/>
      <c r="AN518" s="602"/>
      <c r="AO518" s="602"/>
      <c r="AP518" s="602"/>
      <c r="AQ518" s="602"/>
      <c r="AR518" s="445"/>
      <c r="AS518" s="444"/>
      <c r="AT518" s="444"/>
      <c r="AU518" s="444"/>
      <c r="AV518" s="444"/>
      <c r="AW518" s="445"/>
      <c r="AX518" s="28"/>
      <c r="AY518" s="28"/>
      <c r="AZ518" s="28"/>
      <c r="BA518" s="28"/>
      <c r="BB518" s="312"/>
      <c r="BC518" s="28"/>
      <c r="BD518" s="28"/>
      <c r="BE518" s="28"/>
      <c r="BF518" s="28"/>
      <c r="BG518" s="312"/>
      <c r="BH518" s="28"/>
      <c r="BI518" s="28"/>
      <c r="BJ518" s="28"/>
      <c r="BK518" s="28"/>
      <c r="BL518" s="312"/>
      <c r="BM518" s="28"/>
      <c r="BN518" s="28"/>
      <c r="BO518" s="28"/>
      <c r="BP518" s="28"/>
      <c r="BQ518" s="312"/>
      <c r="BR518" s="28"/>
      <c r="BS518" s="28"/>
      <c r="BT518" s="28"/>
      <c r="BU518" s="28"/>
      <c r="BV518" s="312"/>
      <c r="BW518" s="28"/>
      <c r="BX518" s="28"/>
      <c r="BY518" s="28"/>
      <c r="BZ518" s="28"/>
      <c r="CA518" s="312"/>
      <c r="CB518" s="28"/>
      <c r="CC518" s="28"/>
      <c r="CD518" s="28"/>
      <c r="CE518" s="28"/>
      <c r="CF518" s="312"/>
      <c r="CG518" s="28"/>
      <c r="CH518" s="28"/>
      <c r="CI518" s="28"/>
      <c r="CJ518" s="22">
        <f>CJ517/CK517</f>
      </c>
      <c r="CK518" s="312"/>
      <c r="CL518" s="961"/>
      <c r="CM518" s="933"/>
      <c r="CN518" s="28"/>
      <c r="CO518" s="22">
        <f>CO517/CP517</f>
      </c>
      <c r="CP518" s="312"/>
      <c r="CQ518" s="933"/>
      <c r="CR518" s="933"/>
      <c r="CS518" s="933"/>
      <c r="CT518" s="933"/>
      <c r="CU518" s="312"/>
      <c r="CV518" s="933"/>
      <c r="CW518" s="933"/>
      <c r="CX518" s="933"/>
      <c r="CY518" s="22">
        <f>CY517/CZ517</f>
      </c>
      <c r="CZ518" s="312"/>
      <c r="DA518" s="933"/>
      <c r="DB518" s="28"/>
      <c r="DC518" s="28"/>
      <c r="DD518" s="22"/>
      <c r="DE518" s="445"/>
      <c r="DF518" s="982"/>
      <c r="DG518" s="444"/>
      <c r="DH518" s="444"/>
      <c r="DI518" s="1788"/>
      <c r="DJ518" s="445"/>
      <c r="DK518" s="982"/>
      <c r="DL518" s="444"/>
      <c r="DM518" s="444"/>
      <c r="DN518" s="1788"/>
      <c r="DO518" s="445"/>
      <c r="DP518" s="444"/>
      <c r="DQ518" s="444"/>
      <c r="DR518" s="444"/>
      <c r="DS518" s="1788"/>
      <c r="DT518" s="445"/>
      <c r="DU518" s="982"/>
      <c r="DV518" s="982"/>
      <c r="DW518" s="982"/>
      <c r="DX518" s="1875"/>
      <c r="DY518" s="445"/>
      <c r="DZ518" s="982"/>
      <c r="EA518" s="982"/>
      <c r="EB518" s="982"/>
      <c r="EC518" s="1875"/>
      <c r="ED518" s="1866"/>
      <c r="EE518" s="982"/>
      <c r="EF518" s="982"/>
      <c r="EG518" s="982"/>
      <c r="EH518" s="1875"/>
      <c r="EI518" s="445"/>
      <c r="EJ518" s="445"/>
      <c r="EK518" s="445"/>
      <c r="EL518" s="445"/>
      <c r="EM518" s="445"/>
      <c r="EN518" s="445"/>
      <c r="EO518" s="445"/>
      <c r="EP518" s="445"/>
      <c r="EQ518" s="445"/>
      <c r="ER518" s="445"/>
      <c r="ES518" s="445"/>
      <c r="ET518" s="1788"/>
      <c r="EU518" s="445"/>
      <c r="EV518" s="445"/>
      <c r="EW518" s="445"/>
      <c r="EX518" s="445"/>
    </row>
    <row r="519" spans="1:154" ht="12.75" customHeight="1">
      <c r="B519" s="1162" t="str">
        <f>B508&amp; ", % growth"</f>
      </c>
      <c r="C519" s="1989"/>
      <c r="D519" s="33"/>
      <c r="E519" s="33"/>
      <c r="F519" s="33"/>
      <c r="G519" s="33"/>
      <c r="H519" s="33"/>
      <c r="I519" s="31"/>
      <c r="J519" s="33"/>
      <c r="K519" s="33"/>
      <c r="L519" s="33"/>
      <c r="M519" s="33"/>
      <c r="N519" s="31"/>
      <c r="O519" s="33"/>
      <c r="P519" s="33"/>
      <c r="Q519" s="33"/>
      <c r="R519" s="33"/>
      <c r="S519" s="31"/>
      <c r="T519" s="33"/>
      <c r="U519" s="33"/>
      <c r="V519" s="33"/>
      <c r="W519" s="33"/>
      <c r="X519" s="312"/>
      <c r="Y519" s="33"/>
      <c r="Z519" s="33"/>
      <c r="AA519" s="33"/>
      <c r="AB519" s="33"/>
      <c r="AC519" s="312"/>
      <c r="AD519" s="602"/>
      <c r="AE519" s="602"/>
      <c r="AF519" s="602"/>
      <c r="AG519" s="602"/>
      <c r="AH519" s="445"/>
      <c r="AI519" s="602"/>
      <c r="AJ519" s="602"/>
      <c r="AK519" s="602"/>
      <c r="AL519" s="602"/>
      <c r="AM519" s="445"/>
      <c r="AN519" s="602"/>
      <c r="AO519" s="602"/>
      <c r="AP519" s="602"/>
      <c r="AQ519" s="602"/>
      <c r="AR519" s="445"/>
      <c r="AS519" s="444"/>
      <c r="AT519" s="444"/>
      <c r="AU519" s="444"/>
      <c r="AV519" s="444"/>
      <c r="AW519" s="445"/>
      <c r="AX519" s="28"/>
      <c r="AY519" s="28"/>
      <c r="AZ519" s="28"/>
      <c r="BA519" s="28"/>
      <c r="BB519" s="312"/>
      <c r="BC519" s="28"/>
      <c r="BD519" s="28"/>
      <c r="BE519" s="28"/>
      <c r="BF519" s="28"/>
      <c r="BG519" s="312"/>
      <c r="BH519" s="28"/>
      <c r="BI519" s="28"/>
      <c r="BJ519" s="28"/>
      <c r="BK519" s="28"/>
      <c r="BL519" s="312"/>
      <c r="BM519" s="28"/>
      <c r="BN519" s="28"/>
      <c r="BO519" s="28"/>
      <c r="BP519" s="28"/>
      <c r="BQ519" s="312"/>
      <c r="BR519" s="28"/>
      <c r="BS519" s="28"/>
      <c r="BT519" s="28"/>
      <c r="BU519" s="28"/>
      <c r="BV519" s="312"/>
      <c r="BW519" s="28"/>
      <c r="BX519" s="28"/>
      <c r="BY519" s="28"/>
      <c r="BZ519" s="28"/>
      <c r="CA519" s="312"/>
      <c r="CB519" s="28"/>
      <c r="CC519" s="28"/>
      <c r="CD519" s="28"/>
      <c r="CE519" s="28"/>
      <c r="CF519" s="312"/>
      <c r="CG519" s="28"/>
      <c r="CH519" s="28"/>
      <c r="CI519" s="28"/>
      <c r="CJ519" s="28"/>
      <c r="CK519" s="312"/>
      <c r="CL519" s="958"/>
      <c r="CM519" s="926"/>
      <c r="CN519" s="926"/>
      <c r="CO519" s="28"/>
      <c r="CP519" s="312"/>
      <c r="CQ519" s="926"/>
      <c r="CR519" s="926"/>
      <c r="CS519" s="926"/>
      <c r="CT519" s="926"/>
      <c r="CU519" s="312"/>
      <c r="CV519" s="926"/>
      <c r="CW519" s="926"/>
      <c r="CX519" s="926"/>
      <c r="CY519" s="926"/>
      <c r="CZ519" s="312"/>
      <c r="DA519" s="926"/>
      <c r="DB519" s="28"/>
      <c r="DC519" s="28"/>
      <c r="DD519" s="876"/>
      <c r="DE519" s="445"/>
      <c r="DF519" s="926"/>
      <c r="DG519" s="444"/>
      <c r="DH519" s="444"/>
      <c r="DI519" s="1788"/>
      <c r="DJ519" s="445"/>
      <c r="DK519" s="926"/>
      <c r="DL519" s="444"/>
      <c r="DM519" s="444"/>
      <c r="DN519" s="1788"/>
      <c r="DO519" s="445"/>
      <c r="DP519" s="444"/>
      <c r="DQ519" s="444"/>
      <c r="DR519" s="444"/>
      <c r="DS519" s="1788"/>
      <c r="DT519" s="445"/>
      <c r="DU519" s="982"/>
      <c r="DV519" s="982"/>
      <c r="DW519" s="982"/>
      <c r="DX519" s="1875"/>
      <c r="DY519" s="445"/>
      <c r="DZ519" s="982"/>
      <c r="EA519" s="982"/>
      <c r="EB519" s="982"/>
      <c r="EC519" s="1875"/>
      <c r="ED519" s="1866"/>
      <c r="EE519" s="982"/>
      <c r="EF519" s="982"/>
      <c r="EG519" s="982"/>
      <c r="EH519" s="1875"/>
      <c r="EI519" s="445"/>
      <c r="EJ519" s="445"/>
      <c r="EK519" s="445"/>
      <c r="EL519" s="445"/>
      <c r="EM519" s="445"/>
      <c r="EN519" s="445"/>
      <c r="EO519" s="445"/>
      <c r="EP519" s="445"/>
      <c r="EQ519" s="445"/>
      <c r="ER519" s="445"/>
      <c r="ES519" s="445"/>
      <c r="ET519" s="1788"/>
      <c r="EU519" s="445"/>
      <c r="EV519" s="445"/>
      <c r="EW519" s="445"/>
      <c r="EX519" s="445"/>
    </row>
    <row r="520" spans="1:154" ht="12.75" customHeight="1">
      <c r="B520" s="1169" t="s">
        <v>921</v>
      </c>
      <c r="C520" s="1989"/>
      <c r="D520" s="33"/>
      <c r="E520" s="33"/>
      <c r="F520" s="33"/>
      <c r="G520" s="33"/>
      <c r="H520" s="33"/>
      <c r="I520" s="29"/>
      <c r="J520" s="30"/>
      <c r="K520" s="29"/>
      <c r="L520" s="30"/>
      <c r="M520" s="30"/>
      <c r="N520" s="30"/>
      <c r="O520" s="30"/>
      <c r="P520" s="30"/>
      <c r="Q520" s="30"/>
      <c r="R520" s="30"/>
      <c r="S520" s="30"/>
      <c r="T520" s="30"/>
      <c r="U520" s="30"/>
      <c r="V520" s="30"/>
      <c r="W520" s="30"/>
      <c r="X520" s="308"/>
      <c r="Y520" s="30"/>
      <c r="Z520" s="30"/>
      <c r="AA520" s="30"/>
      <c r="AB520" s="30"/>
      <c r="AC520" s="308"/>
      <c r="AD520" s="30"/>
      <c r="AE520" s="30"/>
      <c r="AF520" s="30"/>
      <c r="AG520" s="30"/>
      <c r="AH520" s="308"/>
      <c r="AI520" s="30"/>
      <c r="AJ520" s="30"/>
      <c r="AK520" s="30"/>
      <c r="AL520" s="30"/>
      <c r="AM520" s="308"/>
      <c r="AN520" s="30"/>
      <c r="AO520" s="30"/>
      <c r="AP520" s="30"/>
      <c r="AQ520" s="30"/>
      <c r="AR520" s="308"/>
      <c r="AS520" s="30"/>
      <c r="AT520" s="30"/>
      <c r="AU520" s="30"/>
      <c r="AV520" s="30"/>
      <c r="AW520" s="308"/>
      <c r="AX520" s="30"/>
      <c r="AY520" s="30"/>
      <c r="AZ520" s="30"/>
      <c r="BA520" s="30"/>
      <c r="BB520" s="308"/>
      <c r="BC520" s="29"/>
      <c r="BD520" s="29"/>
      <c r="BE520" s="29"/>
      <c r="BF520" s="29"/>
      <c r="BG520" s="308"/>
      <c r="BH520" s="29"/>
      <c r="BI520" s="29"/>
      <c r="BJ520" s="30"/>
      <c r="BK520" s="30"/>
      <c r="BL520" s="317"/>
      <c r="BM520" s="30"/>
      <c r="BN520" s="29"/>
      <c r="BO520" s="29"/>
      <c r="BP520" s="30"/>
      <c r="BQ520" s="317"/>
      <c r="BR520" s="29"/>
      <c r="BS520" s="30"/>
      <c r="BT520" s="30"/>
      <c r="BU520" s="30"/>
      <c r="BV520" s="308"/>
      <c r="BW520" s="30"/>
      <c r="BX520" s="30"/>
      <c r="BY520" s="30"/>
      <c r="BZ520" s="30"/>
      <c r="CA520" s="315"/>
      <c r="CB520" s="30"/>
      <c r="CC520" s="30"/>
      <c r="CD520" s="361"/>
      <c r="CE520" s="361"/>
      <c r="CF520" s="308"/>
      <c r="CG520" s="30">
        <f>CG511/CB511-1</f>
      </c>
      <c r="CH520" s="30">
        <f>CH511/CC511-1</f>
      </c>
      <c r="CI520" s="30">
        <f>CI511/CD511-1</f>
      </c>
      <c r="CJ520" s="30">
        <f>CJ511/CE511-1</f>
      </c>
      <c r="CK520" s="308">
        <f>IF(CF511=0, "NA", CK511/CF511-1)</f>
      </c>
      <c r="CL520" s="830">
        <f>CL511/CG511-1</f>
      </c>
      <c r="CM520" s="30">
        <f>CM511/CH511-1</f>
      </c>
      <c r="CN520" s="30">
        <f>CN511/CI511-1</f>
      </c>
      <c r="CO520" s="30">
        <f>CO511/CJ511-1</f>
      </c>
      <c r="CP520" s="308">
        <f>IF(CK511=0, "NA", CP511/CK511-1)</f>
      </c>
      <c r="CQ520" s="30">
        <f>CQ511/CL511-1</f>
      </c>
      <c r="CR520" s="30">
        <f>CR511/CM511-1</f>
      </c>
      <c r="CS520" s="30">
        <f>CS511/CN511-1</f>
      </c>
      <c r="CT520" s="30">
        <f>CT511/CO511-1</f>
      </c>
      <c r="CU520" s="308">
        <f>IF(CP511=0, "NA", CU511/CP511-1)</f>
      </c>
      <c r="CV520" s="30">
        <f>CV511/CQ511-1</f>
      </c>
      <c r="CW520" s="30">
        <f>CW511/CR511-1</f>
      </c>
      <c r="CX520" s="30">
        <f>CX511/CS511-1</f>
      </c>
      <c r="CY520" s="30">
        <f>CY511/CT511-1</f>
      </c>
      <c r="CZ520" s="308">
        <f>IF(CU511=0, "NA", CZ511/CU511-1)</f>
      </c>
      <c r="DA520" s="30">
        <f>DA511/CV511-1</f>
      </c>
      <c r="DB520" s="30">
        <f>DB511/CW511-1</f>
      </c>
      <c r="DC520" s="30">
        <f>DC511/CX511-1</f>
      </c>
      <c r="DD520" s="30">
        <f>DD511/CY511-1</f>
      </c>
      <c r="DE520" s="308">
        <f>IF(CZ511=0, "NA", DE511/CZ511-1)</f>
      </c>
      <c r="DF520" s="30">
        <f>DF511/DA511-1</f>
      </c>
      <c r="DG520" s="30">
        <f>DG511/DB511-1</f>
      </c>
      <c r="DH520" s="30">
        <f>DH511/DC511-1</f>
      </c>
      <c r="DI520" s="30">
        <f>DI511/DD511-1</f>
      </c>
      <c r="DJ520" s="308">
        <f>IF(DE511=0, "NA", DJ511/DE511-1)</f>
      </c>
      <c r="DK520" s="926">
        <f>DK511/DF511-1</f>
      </c>
      <c r="DL520" s="30">
        <f>DL511/DG511-1</f>
      </c>
      <c r="DM520" s="30">
        <f>DM511/DH511-1</f>
      </c>
      <c r="DN520" s="30">
        <f>DN511/DI511-1</f>
      </c>
      <c r="DO520" s="308">
        <f>IF(DJ511=0, "NA", DO511/DJ511-1)</f>
      </c>
      <c r="DP520" s="30">
        <f>DP511/DK511-1</f>
      </c>
      <c r="DQ520" s="30">
        <f>DQ511/DL511-1</f>
      </c>
      <c r="DR520" s="30">
        <f>DR511/DM511-1</f>
      </c>
      <c r="DS520" s="30">
        <f>DS511/DN511-1</f>
      </c>
      <c r="DT520" s="308">
        <f>IF(DO511=0, "NA", DT511/DO511-1)</f>
      </c>
      <c r="DU520" s="30">
        <f>DU511/DP511-1</f>
      </c>
      <c r="DV520" s="30">
        <f>DV511/DQ511-1</f>
      </c>
      <c r="DW520" s="30">
        <f>DW511/DR511-1</f>
      </c>
      <c r="DX520" s="30">
        <f>DX511/DS511-1</f>
      </c>
      <c r="DY520" s="308">
        <f>IF(DT511=0, "NA", DY511/DT511-1)</f>
      </c>
      <c r="DZ520" s="30">
        <f>DZ511/DU511-1</f>
      </c>
      <c r="EA520" s="926">
        <f>EA511/DV511-1</f>
      </c>
      <c r="EB520" s="926">
        <f>EB511/DW511-1</f>
      </c>
      <c r="EC520" s="926">
        <f>EC511/DX511-1</f>
      </c>
      <c r="ED520" s="1060">
        <f>IF(DY511=0, "NA", ED511/DY511-1)</f>
      </c>
      <c r="EE520" s="30">
        <f>EE511/DZ511-1</f>
      </c>
      <c r="EF520" s="926">
        <f>EF511/EA511-1</f>
      </c>
      <c r="EG520" s="926">
        <f>EG511/EB511-1</f>
      </c>
      <c r="EH520" s="926">
        <f>EH511/EC511-1</f>
      </c>
      <c r="EI520" s="308">
        <f>IF(ED511=0, "NA", EI511/ED511-1)</f>
      </c>
      <c r="EJ520" s="308">
        <f t="shared" ref="EJ520:ES520" si="1336">IF(EI511=0, "NA", EJ511/EI511-1)</f>
      </c>
      <c r="EK520" s="308">
        <f t="shared" si="1336"/>
      </c>
      <c r="EL520" s="308">
        <f t="shared" si="1336"/>
      </c>
      <c r="EM520" s="308">
        <f t="shared" si="1336"/>
      </c>
      <c r="EN520" s="308">
        <f t="shared" si="1336"/>
      </c>
      <c r="EO520" s="308">
        <f t="shared" si="1336"/>
      </c>
      <c r="EP520" s="308">
        <f t="shared" si="1336"/>
      </c>
      <c r="EQ520" s="308">
        <f t="shared" si="1336"/>
      </c>
      <c r="ER520" s="308">
        <f t="shared" si="1336"/>
      </c>
      <c r="ES520" s="308">
        <f t="shared" si="1336"/>
      </c>
      <c r="ET520" s="409"/>
      <c r="EU520" s="308"/>
      <c r="EV520" s="308"/>
      <c r="EW520" s="308"/>
      <c r="EX520" s="308"/>
    </row>
    <row r="521" spans="1:154" ht="12.75" customHeight="1">
      <c r="B521" s="1169" t="s">
        <v>412</v>
      </c>
      <c r="C521" s="1989"/>
      <c r="D521" s="33"/>
      <c r="E521" s="33"/>
      <c r="F521" s="33"/>
      <c r="G521" s="33"/>
      <c r="H521" s="33"/>
      <c r="I521" s="30"/>
      <c r="J521" s="30"/>
      <c r="K521" s="30"/>
      <c r="L521" s="30"/>
      <c r="M521" s="30"/>
      <c r="N521" s="30"/>
      <c r="O521" s="30"/>
      <c r="P521" s="30"/>
      <c r="Q521" s="30"/>
      <c r="R521" s="30"/>
      <c r="S521" s="30"/>
      <c r="T521" s="30"/>
      <c r="U521" s="30"/>
      <c r="V521" s="30"/>
      <c r="W521" s="30"/>
      <c r="X521" s="308"/>
      <c r="Y521" s="30"/>
      <c r="Z521" s="30"/>
      <c r="AA521" s="30"/>
      <c r="AB521" s="30"/>
      <c r="AC521" s="308"/>
      <c r="AD521" s="30"/>
      <c r="AE521" s="30"/>
      <c r="AF521" s="30"/>
      <c r="AG521" s="30"/>
      <c r="AH521" s="308"/>
      <c r="AI521" s="30"/>
      <c r="AJ521" s="30"/>
      <c r="AK521" s="30"/>
      <c r="AL521" s="30"/>
      <c r="AM521" s="308"/>
      <c r="AN521" s="30"/>
      <c r="AO521" s="30"/>
      <c r="AP521" s="30"/>
      <c r="AQ521" s="30"/>
      <c r="AR521" s="308"/>
      <c r="AS521" s="30"/>
      <c r="AT521" s="30"/>
      <c r="AU521" s="30"/>
      <c r="AV521" s="30"/>
      <c r="AW521" s="308"/>
      <c r="AX521" s="30"/>
      <c r="AY521" s="30"/>
      <c r="AZ521" s="30"/>
      <c r="BA521" s="30"/>
      <c r="BB521" s="308"/>
      <c r="BC521" s="30"/>
      <c r="BD521" s="30"/>
      <c r="BE521" s="30"/>
      <c r="BF521" s="30"/>
      <c r="BG521" s="308"/>
      <c r="BH521" s="30"/>
      <c r="BI521" s="30"/>
      <c r="BJ521" s="30"/>
      <c r="BK521" s="30"/>
      <c r="BL521" s="308"/>
      <c r="BM521" s="30"/>
      <c r="BN521" s="30"/>
      <c r="BO521" s="30"/>
      <c r="BP521" s="30"/>
      <c r="BQ521" s="308"/>
      <c r="BR521" s="30"/>
      <c r="BS521" s="30"/>
      <c r="BT521" s="30"/>
      <c r="BU521" s="30"/>
      <c r="BV521" s="308"/>
      <c r="BW521" s="30"/>
      <c r="BX521" s="30"/>
      <c r="BY521" s="30"/>
      <c r="BZ521" s="30"/>
      <c r="CA521" s="315"/>
      <c r="CB521" s="30"/>
      <c r="CC521" s="30"/>
      <c r="CD521" s="30"/>
      <c r="CE521" s="30"/>
      <c r="CF521" s="308"/>
      <c r="CG521" s="30"/>
      <c r="CH521" s="30"/>
      <c r="CI521" s="30">
        <f>CI513/CD513-1</f>
      </c>
      <c r="CJ521" s="30">
        <f>CJ513/CE513-1</f>
      </c>
      <c r="CK521" s="308">
        <f>IF(CF513=0, "NA", CK513/CF513-1)</f>
      </c>
      <c r="CL521" s="830">
        <f>CL513/CG513-1</f>
      </c>
      <c r="CM521" s="30">
        <f>CM513/CH513-1</f>
      </c>
      <c r="CN521" s="30">
        <f>CN513/CI513-1</f>
      </c>
      <c r="CO521" s="30">
        <f>CO513/CJ513-1</f>
      </c>
      <c r="CP521" s="308">
        <f>IF(CK513=0, "NA", CP513/CK513-1)</f>
      </c>
      <c r="CQ521" s="30">
        <f t="shared" ref="CQ521:CX521" si="1337">CQ513/CL513-1</f>
      </c>
      <c r="CR521" s="30">
        <f t="shared" si="1337"/>
      </c>
      <c r="CS521" s="30">
        <f t="shared" si="1337"/>
      </c>
      <c r="CT521" s="30">
        <f t="shared" si="1337"/>
      </c>
      <c r="CU521" s="308">
        <f>IF(CP513=0, "NA", CU513/CP513-1)</f>
      </c>
      <c r="CV521" s="30">
        <f t="shared" si="1337"/>
      </c>
      <c r="CW521" s="30">
        <f t="shared" si="1337"/>
      </c>
      <c r="CX521" s="30">
        <f t="shared" si="1337"/>
      </c>
      <c r="CY521" s="30">
        <f>CY513/CT513-1</f>
      </c>
      <c r="CZ521" s="308">
        <f>IF(CU513=0, "NA", CZ513/CU513-1)</f>
      </c>
      <c r="DA521" s="30">
        <f>DA513/CV513-1</f>
      </c>
      <c r="DB521" s="30">
        <f>DB513/CW513-1</f>
      </c>
      <c r="DC521" s="30">
        <f>DC513/CX513-1</f>
      </c>
      <c r="DD521" s="30">
        <f>DD513/CY513-1</f>
      </c>
      <c r="DE521" s="308">
        <f>IF(CZ513=0, "NA", DE513/CZ513-1)</f>
      </c>
      <c r="DF521" s="30">
        <f>DF513/DA513-1</f>
      </c>
      <c r="DG521" s="30">
        <f>DG513/DB513-1</f>
      </c>
      <c r="DH521" s="30">
        <f>DH513/DC513-1</f>
      </c>
      <c r="DI521" s="30">
        <f>DI513/DD513-1</f>
      </c>
      <c r="DJ521" s="308">
        <f>IF(DE513=0, "NA", DJ513/DE513-1)</f>
      </c>
      <c r="DK521" s="926">
        <f t="shared" ref="DK521:DR521" si="1338">DK513/DF513-1</f>
      </c>
      <c r="DL521" s="30">
        <f t="shared" si="1338"/>
      </c>
      <c r="DM521" s="30">
        <f t="shared" si="1338"/>
      </c>
      <c r="DN521" s="30">
        <f t="shared" si="1338"/>
      </c>
      <c r="DO521" s="308">
        <f>IF(DJ513=0, "NA", DO513/DJ513-1)</f>
      </c>
      <c r="DP521" s="30">
        <f t="shared" si="1338"/>
      </c>
      <c r="DQ521" s="30">
        <f t="shared" si="1338"/>
      </c>
      <c r="DR521" s="30">
        <f t="shared" si="1338"/>
      </c>
      <c r="DS521" s="30">
        <f>DS513/DN513-1</f>
      </c>
      <c r="DT521" s="308">
        <f>IF(DO513=0, "NA", DT513/DO513-1)</f>
      </c>
      <c r="DU521" s="30">
        <f>DU513/DP513-1</f>
      </c>
      <c r="DV521" s="30">
        <f>DV513/DQ513-1</f>
      </c>
      <c r="DW521" s="30">
        <f>DW513/DR513-1</f>
      </c>
      <c r="DX521" s="30">
        <f>DX513/DS513-1</f>
      </c>
      <c r="DY521" s="308">
        <f>IF(DT513=0, "NA", DY513/DT513-1)</f>
      </c>
      <c r="DZ521" s="30">
        <f>DZ513/DU513-1</f>
      </c>
      <c r="EA521" s="926">
        <f>EA513/DV513-1</f>
      </c>
      <c r="EB521" s="926">
        <f>EB513/DW513-1</f>
      </c>
      <c r="EC521" s="926">
        <f>EC513/DX513-1</f>
      </c>
      <c r="ED521" s="1060">
        <f>IF(DY513=0, "NA", ED513/DY513-1)</f>
      </c>
      <c r="EE521" s="30">
        <f>EE513/DZ513-1</f>
      </c>
      <c r="EF521" s="926">
        <f>EF513/EA513-1</f>
      </c>
      <c r="EG521" s="926">
        <f>EG513/EB513-1</f>
      </c>
      <c r="EH521" s="926">
        <f>EH513/EC513-1</f>
      </c>
      <c r="EI521" s="308">
        <f>IF(ED513=0, "NA", EI513/ED513-1)</f>
      </c>
      <c r="EJ521" s="308">
        <f t="shared" ref="EJ521:ES521" si="1339">IF(EI513=0, "NA", EJ513/EI513-1)</f>
      </c>
      <c r="EK521" s="308">
        <f t="shared" si="1339"/>
      </c>
      <c r="EL521" s="308">
        <f t="shared" si="1339"/>
      </c>
      <c r="EM521" s="308">
        <f t="shared" si="1339"/>
      </c>
      <c r="EN521" s="308">
        <f t="shared" si="1339"/>
      </c>
      <c r="EO521" s="308">
        <f t="shared" si="1339"/>
      </c>
      <c r="EP521" s="308">
        <f t="shared" si="1339"/>
      </c>
      <c r="EQ521" s="308">
        <f t="shared" si="1339"/>
      </c>
      <c r="ER521" s="308">
        <f t="shared" si="1339"/>
      </c>
      <c r="ES521" s="308">
        <f t="shared" si="1339"/>
      </c>
      <c r="ET521" s="409"/>
      <c r="EU521" s="308"/>
      <c r="EV521" s="308"/>
      <c r="EW521" s="308"/>
      <c r="EX521" s="308"/>
    </row>
    <row r="522" spans="1:154" ht="12.75" customHeight="1">
      <c r="B522" s="1169" t="s">
        <v>256</v>
      </c>
      <c r="C522" s="1989"/>
      <c r="D522" s="33"/>
      <c r="E522" s="33"/>
      <c r="F522" s="33"/>
      <c r="G522" s="33"/>
      <c r="H522" s="33"/>
      <c r="I522" s="24"/>
      <c r="J522" s="1"/>
      <c r="K522" s="1"/>
      <c r="L522" s="1"/>
      <c r="M522" s="1"/>
      <c r="N522" s="24"/>
      <c r="O522" s="24"/>
      <c r="P522" s="24"/>
      <c r="Q522" s="24"/>
      <c r="R522" s="24"/>
      <c r="S522" s="1"/>
      <c r="T522" s="24"/>
      <c r="U522" s="24"/>
      <c r="V522" s="24"/>
      <c r="W522" s="24"/>
      <c r="X522" s="315"/>
      <c r="Y522" s="24"/>
      <c r="Z522" s="24"/>
      <c r="AA522" s="24"/>
      <c r="AB522" s="24"/>
      <c r="AC522" s="315"/>
      <c r="AD522" s="601"/>
      <c r="AE522" s="601"/>
      <c r="AF522" s="601"/>
      <c r="AG522" s="601"/>
      <c r="AH522" s="308"/>
      <c r="AI522" s="30"/>
      <c r="AJ522" s="30"/>
      <c r="AK522" s="30"/>
      <c r="AL522" s="30"/>
      <c r="AM522" s="308"/>
      <c r="AN522" s="30"/>
      <c r="AO522" s="30"/>
      <c r="AP522" s="30"/>
      <c r="AQ522" s="30"/>
      <c r="AR522" s="308"/>
      <c r="AS522" s="30"/>
      <c r="AT522" s="30"/>
      <c r="AU522" s="30"/>
      <c r="AV522" s="30"/>
      <c r="AW522" s="308"/>
      <c r="AX522" s="8"/>
      <c r="AY522" s="8"/>
      <c r="AZ522" s="8"/>
      <c r="BA522" s="8"/>
      <c r="BB522" s="315"/>
      <c r="BC522" s="8"/>
      <c r="BD522" s="8"/>
      <c r="BE522" s="8"/>
      <c r="BF522" s="8"/>
      <c r="BG522" s="309"/>
      <c r="BH522" s="8"/>
      <c r="BI522" s="8"/>
      <c r="BJ522" s="8"/>
      <c r="BK522" s="8"/>
      <c r="BL522" s="315"/>
      <c r="BM522" s="30"/>
      <c r="BN522" s="41"/>
      <c r="BO522" s="41"/>
      <c r="BP522" s="30"/>
      <c r="BQ522" s="308"/>
      <c r="BR522" s="41"/>
      <c r="BS522" s="30"/>
      <c r="BT522" s="30"/>
      <c r="BU522" s="30"/>
      <c r="BV522" s="308"/>
      <c r="BW522" s="29"/>
      <c r="BX522" s="29"/>
      <c r="BY522" s="29"/>
      <c r="BZ522" s="835"/>
      <c r="CA522" s="448"/>
      <c r="CB522" s="361"/>
      <c r="CC522" s="29"/>
      <c r="CD522" s="361"/>
      <c r="CE522" s="361"/>
      <c r="CF522" s="315"/>
      <c r="CG522" s="361"/>
      <c r="CH522" s="361"/>
      <c r="CI522" s="361"/>
      <c r="CJ522" s="361"/>
      <c r="CK522" s="315"/>
      <c r="CL522" s="828"/>
      <c r="CM522" s="361"/>
      <c r="CN522" s="361"/>
      <c r="CO522" s="361"/>
      <c r="CP522" s="316"/>
      <c r="CQ522" s="361"/>
      <c r="CR522" s="361"/>
      <c r="CS522" s="361"/>
      <c r="CT522" s="361"/>
      <c r="CU522" s="316"/>
      <c r="CV522" s="361"/>
      <c r="CW522" s="361"/>
      <c r="CX522" s="361"/>
      <c r="CY522" s="361"/>
      <c r="CZ522" s="316"/>
      <c r="DA522" s="361"/>
      <c r="DB522" s="361"/>
      <c r="DC522" s="361"/>
      <c r="DD522" s="361"/>
      <c r="DE522" s="317"/>
      <c r="DF522" s="29"/>
      <c r="DG522" s="29"/>
      <c r="DH522" s="29"/>
      <c r="DI522" s="29"/>
      <c r="DJ522" s="317"/>
      <c r="DK522" s="926"/>
      <c r="DL522" s="29"/>
      <c r="DM522" s="29"/>
      <c r="DN522" s="29"/>
      <c r="DO522" s="317"/>
      <c r="DP522" s="926">
        <f>DP521-DP$21</f>
      </c>
      <c r="DQ522" s="410">
        <f>DQ521-DQ$21</f>
      </c>
      <c r="DR522" s="410">
        <f>DR521-DR$21</f>
      </c>
      <c r="DS522" s="410">
        <f>DS521-DS$21</f>
      </c>
      <c r="DT522" s="317"/>
      <c r="DU522" s="926">
        <f>DU521-(-4.9%)</f>
      </c>
      <c r="DV522" s="926">
        <f>DV521-(-1%)</f>
      </c>
      <c r="DW522" s="926">
        <f>DW521-(2.1%)</f>
      </c>
      <c r="DX522" s="926">
        <f>DX521-(1.2%)</f>
      </c>
      <c r="DY522" s="317"/>
      <c r="DZ522" s="410">
        <f>DZ521-(-1.4%)</f>
      </c>
      <c r="EA522" s="410">
        <f>EA521-(-3.8%)</f>
      </c>
      <c r="EB522" s="410">
        <f>EB521-(-2%)</f>
      </c>
      <c r="EC522" s="410">
        <f>EC521-(-2.8%)</f>
      </c>
      <c r="ED522" s="317"/>
      <c r="EE522" s="410">
        <f>EE521-(-1.4%)</f>
      </c>
      <c r="EF522" s="410">
        <f>EF521-(-3%)</f>
      </c>
      <c r="EG522" s="410">
        <f>EG521-(-2%)</f>
      </c>
      <c r="EH522" s="410"/>
      <c r="EI522" s="317"/>
      <c r="EJ522" s="317"/>
      <c r="EK522" s="317"/>
      <c r="EL522" s="317"/>
      <c r="EM522" s="317"/>
      <c r="EN522" s="317"/>
      <c r="EO522" s="317"/>
      <c r="EP522" s="317"/>
      <c r="EQ522" s="317"/>
      <c r="ER522" s="317"/>
      <c r="ES522" s="317"/>
      <c r="ET522" s="316"/>
      <c r="EU522" s="316"/>
      <c r="EV522" s="316"/>
      <c r="EW522" s="316"/>
      <c r="EX522" s="316"/>
    </row>
    <row r="523" spans="1:154" ht="12.75" customHeight="1">
      <c r="B523" s="1169" t="s">
        <v>413</v>
      </c>
      <c r="C523" s="1989"/>
      <c r="D523" s="33"/>
      <c r="E523" s="33"/>
      <c r="F523" s="33"/>
      <c r="G523" s="33"/>
      <c r="H523" s="33"/>
      <c r="I523" s="30"/>
      <c r="J523" s="30"/>
      <c r="K523" s="30"/>
      <c r="L523" s="30"/>
      <c r="M523" s="30"/>
      <c r="N523" s="30"/>
      <c r="O523" s="30"/>
      <c r="P523" s="30"/>
      <c r="Q523" s="30"/>
      <c r="R523" s="30"/>
      <c r="S523" s="30"/>
      <c r="T523" s="30"/>
      <c r="U523" s="30"/>
      <c r="V523" s="30"/>
      <c r="W523" s="30"/>
      <c r="X523" s="308"/>
      <c r="Y523" s="30"/>
      <c r="Z523" s="30"/>
      <c r="AA523" s="30"/>
      <c r="AB523" s="30"/>
      <c r="AC523" s="308"/>
      <c r="AD523" s="30"/>
      <c r="AE523" s="30"/>
      <c r="AF523" s="30"/>
      <c r="AG523" s="30"/>
      <c r="AH523" s="308"/>
      <c r="AI523" s="30"/>
      <c r="AJ523" s="30"/>
      <c r="AK523" s="30"/>
      <c r="AL523" s="30"/>
      <c r="AM523" s="308"/>
      <c r="AN523" s="30"/>
      <c r="AO523" s="30"/>
      <c r="AP523" s="30"/>
      <c r="AQ523" s="30"/>
      <c r="AR523" s="308"/>
      <c r="AS523" s="30"/>
      <c r="AT523" s="30"/>
      <c r="AU523" s="30"/>
      <c r="AV523" s="30"/>
      <c r="AW523" s="308"/>
      <c r="AX523" s="30"/>
      <c r="AY523" s="30"/>
      <c r="AZ523" s="30"/>
      <c r="BA523" s="30"/>
      <c r="BB523" s="308"/>
      <c r="BC523" s="30"/>
      <c r="BD523" s="30"/>
      <c r="BE523" s="30"/>
      <c r="BF523" s="30"/>
      <c r="BG523" s="308"/>
      <c r="BH523" s="30"/>
      <c r="BI523" s="30"/>
      <c r="BJ523" s="30"/>
      <c r="BK523" s="30"/>
      <c r="BL523" s="308"/>
      <c r="BM523" s="30"/>
      <c r="BN523" s="30"/>
      <c r="BO523" s="30"/>
      <c r="BP523" s="30"/>
      <c r="BQ523" s="308"/>
      <c r="BR523" s="30"/>
      <c r="BS523" s="30"/>
      <c r="BT523" s="30"/>
      <c r="BU523" s="30"/>
      <c r="BV523" s="308"/>
      <c r="BW523" s="30"/>
      <c r="BX523" s="30"/>
      <c r="BY523" s="30"/>
      <c r="BZ523" s="30"/>
      <c r="CA523" s="308"/>
      <c r="CB523" s="30"/>
      <c r="CC523" s="30"/>
      <c r="CD523" s="30"/>
      <c r="CE523" s="30"/>
      <c r="CF523" s="308"/>
      <c r="CG523" s="30">
        <f>IF(CG517&lt;=0,0,(CG517/CB517-1))</f>
      </c>
      <c r="CH523" s="30">
        <f>IF(CH517&lt;=0,0,(CH517/CC517-1))</f>
      </c>
      <c r="CI523" s="30">
        <f>IF(CI517&lt;=0,0,(CI517/CD517-1))</f>
      </c>
      <c r="CJ523" s="30">
        <f>IF(CJ517&lt;=0,0,(CJ517/CE517-1))</f>
      </c>
      <c r="CK523" s="308">
        <f>IF(CF517=0, "NA", CK517/CF517-1)</f>
      </c>
      <c r="CL523" s="830">
        <f>IF(CL517&lt;=0,0,(CL517/CG517-1))</f>
      </c>
      <c r="CM523" s="30">
        <f>IF(CM517&lt;=0,0,(CM517/CH517-1))</f>
      </c>
      <c r="CN523" s="30">
        <f>IF(CN517&lt;=0,0,(CN517/CI517-1))</f>
      </c>
      <c r="CO523" s="30">
        <f>IF(CO517&lt;=0,0,(CO517/CJ517-1))</f>
      </c>
      <c r="CP523" s="308">
        <f>IF(CK517=0, "NA", CP517/CK517-1)</f>
      </c>
      <c r="CQ523" s="30">
        <f>IF(CQ517&lt;=0,0,(CQ517/CL517-1))</f>
      </c>
      <c r="CR523" s="30">
        <f>IF(CR517&lt;=0,0,(CR517/CM517-1))</f>
      </c>
      <c r="CS523" s="30">
        <f>IF(CS517&lt;=0,0,(CS517/CN517-1))</f>
      </c>
      <c r="CT523" s="30">
        <f>IF(CT517&lt;=0,0,(CT517/CO517-1))</f>
      </c>
      <c r="CU523" s="308">
        <f>IF(CP517=0, "NA", CU517/CP517-1)</f>
      </c>
      <c r="CV523" s="30">
        <f>IF(CV517&lt;=0,0,(CV517/CQ517-1))</f>
      </c>
      <c r="CW523" s="30">
        <f>IF(CW517&lt;=0,0,(CW517/CR517-1))</f>
      </c>
      <c r="CX523" s="30">
        <f>IF(CX517&lt;=0,0,(CX517/CS517-1))</f>
      </c>
      <c r="CY523" s="30">
        <f>IF(CY517&lt;=0,0,(CY517/CT517-1))</f>
      </c>
      <c r="CZ523" s="308">
        <f>IF(CU517=0, "NA", CZ517/CU517-1)</f>
      </c>
      <c r="DA523" s="30">
        <f>IF(DA517&lt;=0,0,(DA517/CV517-1))</f>
      </c>
      <c r="DB523" s="30">
        <f>IF(DB517&lt;=0,0,(DB517/CW517-1))</f>
      </c>
      <c r="DC523" s="30">
        <f>IF(DC517&lt;=0,0,(DC517/CX517-1))</f>
      </c>
      <c r="DD523" s="30">
        <f>IF(DD517&lt;=0,0,(DD517/CY517-1))</f>
      </c>
      <c r="DE523" s="308">
        <f>IF(CZ517=0, "NA", DE517/CZ517-1)</f>
      </c>
      <c r="DF523" s="30">
        <f>IF(DF517&lt;=0,0,(DF517/DA517-1))</f>
      </c>
      <c r="DG523" s="30">
        <f>IF(DG517&lt;=0,0,(DG517/DB517-1))</f>
      </c>
      <c r="DH523" s="30">
        <f>IF(DH517&lt;=0,0,(DH517/DC517-1))</f>
      </c>
      <c r="DI523" s="30">
        <f>IF(DI517&lt;=0,0,(DI517/DD517-1))</f>
      </c>
      <c r="DJ523" s="308">
        <f>IF(DE517=0, "NA", DJ517/DE517-1)</f>
      </c>
      <c r="DK523" s="926">
        <f>IF(DK517&lt;=0,0,(DK517/DF517-1))</f>
      </c>
      <c r="DL523" s="30">
        <f>IF(DL517&lt;=0,0,(DL517/DG517-1))</f>
      </c>
      <c r="DM523" s="30">
        <f>IF(DM517&lt;=0,0,(DM517/DH517-1))</f>
      </c>
      <c r="DN523" s="30">
        <f>IF(DN517&lt;=0,0,(DN517/DI517-1))</f>
      </c>
      <c r="DO523" s="308">
        <f>IF(DJ517=0, "NA", DO517/DJ517-1)</f>
      </c>
      <c r="DP523" s="30">
        <f>IF(DP517&lt;=0,0,(DP517/DK517-1))</f>
      </c>
      <c r="DQ523" s="30">
        <f>IF(DQ517&lt;=0,0,(DQ517/DL517-1))</f>
      </c>
      <c r="DR523" s="30">
        <f>IF(DR517&lt;=0,0,(DR517/DM517-1))</f>
      </c>
      <c r="DS523" s="30">
        <f>IF(DS517&lt;=0,0,(DS517/DN517-1))</f>
      </c>
      <c r="DT523" s="308">
        <f>IF(DO517=0, "NA", DT517/DO517-1)</f>
      </c>
      <c r="DU523" s="30">
        <f>IF(DU517&lt;=0,0,(DU517/DP517-1))</f>
      </c>
      <c r="DV523" s="30">
        <f>IF(DV517&lt;=0,0,(DV517/DQ517-1))</f>
      </c>
      <c r="DW523" s="30">
        <f>IF(DW517&lt;=0,0,(DW517/DR517-1))</f>
      </c>
      <c r="DX523" s="30">
        <f>IF(DX517&lt;=0,0,(DX517/DS517-1))</f>
      </c>
      <c r="DY523" s="308">
        <f>IF(DT517=0, "NA", DY517/DT517-1)</f>
      </c>
      <c r="DZ523" s="30">
        <f>IF(DZ517&lt;=0,0,(DZ517/DU517-1))</f>
      </c>
      <c r="EA523" s="926">
        <f>IF(EA517&lt;=0,0,(EA517/DV517-1))</f>
      </c>
      <c r="EB523" s="926">
        <f>IF(EB517&lt;=0,0,(EB517/DW517-1))</f>
      </c>
      <c r="EC523" s="926">
        <f>IF(EC517&lt;=0,0,(EC517/DX517-1))</f>
      </c>
      <c r="ED523" s="1060">
        <f>IF(DY517=0, "NA", ED517/DY517-1)</f>
      </c>
      <c r="EE523" s="30">
        <f>IF(EE517&lt;=0,0,(EE517/DZ517-1))</f>
      </c>
      <c r="EF523" s="926">
        <f>IF(EF517&lt;=0,0,(EF517/EA517-1))</f>
      </c>
      <c r="EG523" s="926">
        <f>IF(EG517&lt;=0,0,(EG517/EB517-1))</f>
      </c>
      <c r="EH523" s="926">
        <f>IF(EH517&lt;=0,0,(EH517/EC517-1))</f>
      </c>
      <c r="EI523" s="308">
        <f>IF(ED517=0, "NA", EI517/ED517-1)</f>
      </c>
      <c r="EJ523" s="308">
        <f t="shared" ref="EJ523:ES523" si="1340">IF(EI517=0, "NA", EJ517/EI517-1)</f>
      </c>
      <c r="EK523" s="308">
        <f t="shared" si="1340"/>
      </c>
      <c r="EL523" s="308">
        <f t="shared" si="1340"/>
      </c>
      <c r="EM523" s="308">
        <f t="shared" si="1340"/>
      </c>
      <c r="EN523" s="308">
        <f t="shared" si="1340"/>
      </c>
      <c r="EO523" s="308">
        <f t="shared" si="1340"/>
      </c>
      <c r="EP523" s="308">
        <f t="shared" si="1340"/>
      </c>
      <c r="EQ523" s="308">
        <f t="shared" si="1340"/>
      </c>
      <c r="ER523" s="308">
        <f t="shared" si="1340"/>
      </c>
      <c r="ES523" s="308">
        <f t="shared" si="1340"/>
      </c>
      <c r="ET523" s="308"/>
      <c r="EU523" s="308"/>
      <c r="EV523" s="308"/>
      <c r="EW523" s="308"/>
      <c r="EX523" s="308"/>
    </row>
    <row r="524" spans="1:154" ht="12.75" customHeight="1">
      <c r="B524" s="1168"/>
      <c r="C524" s="1989"/>
      <c r="D524" s="33"/>
      <c r="E524" s="33"/>
      <c r="F524" s="33"/>
      <c r="G524" s="33"/>
      <c r="H524" s="33"/>
      <c r="I524" s="31"/>
      <c r="J524" s="33"/>
      <c r="K524" s="33"/>
      <c r="L524" s="33"/>
      <c r="M524" s="33"/>
      <c r="N524" s="31"/>
      <c r="O524" s="33"/>
      <c r="P524" s="33"/>
      <c r="Q524" s="33"/>
      <c r="R524" s="33"/>
      <c r="S524" s="31"/>
      <c r="T524" s="33"/>
      <c r="U524" s="33"/>
      <c r="V524" s="33"/>
      <c r="W524" s="33"/>
      <c r="X524" s="312"/>
      <c r="Y524" s="33"/>
      <c r="Z524" s="33"/>
      <c r="AA524" s="33"/>
      <c r="AB524" s="33"/>
      <c r="AC524" s="312"/>
      <c r="AD524" s="602"/>
      <c r="AE524" s="602"/>
      <c r="AF524" s="602"/>
      <c r="AG524" s="602"/>
      <c r="AH524" s="445"/>
      <c r="AI524" s="602"/>
      <c r="AJ524" s="602"/>
      <c r="AK524" s="602"/>
      <c r="AL524" s="602"/>
      <c r="AM524" s="445"/>
      <c r="AN524" s="602"/>
      <c r="AO524" s="602"/>
      <c r="AP524" s="602"/>
      <c r="AQ524" s="602"/>
      <c r="AR524" s="445"/>
      <c r="AS524" s="444"/>
      <c r="AT524" s="444"/>
      <c r="AU524" s="444"/>
      <c r="AV524" s="444"/>
      <c r="AW524" s="445"/>
      <c r="AX524" s="28"/>
      <c r="AY524" s="28"/>
      <c r="AZ524" s="28"/>
      <c r="BA524" s="28"/>
      <c r="BB524" s="312"/>
      <c r="BC524" s="28"/>
      <c r="BD524" s="28"/>
      <c r="BE524" s="28"/>
      <c r="BF524" s="28"/>
      <c r="BG524" s="312"/>
      <c r="BH524" s="28"/>
      <c r="BI524" s="28"/>
      <c r="BJ524" s="28"/>
      <c r="BK524" s="28"/>
      <c r="BL524" s="312"/>
      <c r="BM524" s="28"/>
      <c r="BN524" s="28"/>
      <c r="BO524" s="28"/>
      <c r="BP524" s="28"/>
      <c r="BQ524" s="312"/>
      <c r="BR524" s="28"/>
      <c r="BS524" s="28"/>
      <c r="BT524" s="28"/>
      <c r="BU524" s="28"/>
      <c r="BV524" s="312"/>
      <c r="BW524" s="28"/>
      <c r="BX524" s="28"/>
      <c r="BY524" s="28"/>
      <c r="BZ524" s="28"/>
      <c r="CA524" s="312"/>
      <c r="CB524" s="28"/>
      <c r="CC524" s="28"/>
      <c r="CD524" s="28"/>
      <c r="CE524" s="28"/>
      <c r="CF524" s="312"/>
      <c r="CG524" s="28"/>
      <c r="CH524" s="28"/>
      <c r="CI524" s="28"/>
      <c r="CJ524" s="28"/>
      <c r="CK524" s="312"/>
      <c r="CL524" s="963"/>
      <c r="CM524" s="28"/>
      <c r="CN524" s="28"/>
      <c r="CO524" s="28"/>
      <c r="CP524" s="312"/>
      <c r="CQ524" s="28"/>
      <c r="CR524" s="28"/>
      <c r="CS524" s="28"/>
      <c r="CT524" s="28"/>
      <c r="CU524" s="312"/>
      <c r="CV524" s="28"/>
      <c r="CW524" s="28"/>
      <c r="CX524" s="28"/>
      <c r="CY524" s="28"/>
      <c r="CZ524" s="312"/>
      <c r="DA524" s="28"/>
      <c r="DB524" s="28"/>
      <c r="DC524" s="28"/>
      <c r="DD524" s="876"/>
      <c r="DE524" s="445"/>
      <c r="DF524" s="444"/>
      <c r="DG524" s="444"/>
      <c r="DH524" s="444"/>
      <c r="DI524" s="1788"/>
      <c r="DJ524" s="445"/>
      <c r="DK524" s="444"/>
      <c r="DL524" s="2408">
        <f>DL537/DK537-1</f>
      </c>
      <c r="DM524" s="2408">
        <f>DM537/DL537-1</f>
      </c>
      <c r="DN524" s="2408">
        <f>DN537/DM537-1</f>
      </c>
      <c r="DO524" s="445"/>
      <c r="DP524" s="2408">
        <f>DP537/DN537-1</f>
      </c>
      <c r="DQ524" s="2408">
        <f>DQ537/DP537-1</f>
      </c>
      <c r="DR524" s="2408">
        <f>DR537/DQ537-1</f>
      </c>
      <c r="DS524" s="2408">
        <f>DS537/DR537-1</f>
      </c>
      <c r="DT524" s="445"/>
      <c r="DU524" s="982"/>
      <c r="DV524" s="982"/>
      <c r="DW524" s="982"/>
      <c r="DX524" s="1875"/>
      <c r="DY524" s="445"/>
      <c r="DZ524" s="982"/>
      <c r="EA524" s="982"/>
      <c r="EB524" s="982"/>
      <c r="EC524" s="1875"/>
      <c r="ED524" s="1866"/>
      <c r="EE524" s="982"/>
      <c r="EF524" s="982"/>
      <c r="EG524" s="982"/>
      <c r="EH524" s="1875"/>
      <c r="EI524" s="445"/>
      <c r="EJ524" s="445"/>
      <c r="EK524" s="445"/>
      <c r="EL524" s="445"/>
      <c r="EM524" s="445"/>
      <c r="EN524" s="445"/>
      <c r="EO524" s="445"/>
      <c r="EP524" s="445"/>
      <c r="EQ524" s="445"/>
      <c r="ER524" s="445"/>
      <c r="ES524" s="445"/>
      <c r="ET524" s="445"/>
      <c r="EU524" s="445"/>
      <c r="EV524" s="445"/>
      <c r="EW524" s="445"/>
      <c r="EX524" s="445"/>
    </row>
    <row r="525" spans="1:154" ht="12.75" hidden="1" customHeight="1" outlineLevel="1">
      <c r="B525" s="456" t="s">
        <v>586</v>
      </c>
      <c r="C525" s="1989"/>
      <c r="D525" s="28"/>
      <c r="E525" s="28"/>
      <c r="F525" s="28"/>
      <c r="G525" s="28"/>
      <c r="H525" s="28"/>
      <c r="I525" s="31"/>
      <c r="J525" s="28"/>
      <c r="K525" s="28"/>
      <c r="L525" s="28"/>
      <c r="M525" s="28"/>
      <c r="N525" s="31"/>
      <c r="O525" s="31"/>
      <c r="P525" s="31"/>
      <c r="Q525" s="31"/>
      <c r="R525" s="31"/>
      <c r="S525" s="31"/>
      <c r="T525" s="31"/>
      <c r="U525" s="31"/>
      <c r="V525" s="31"/>
      <c r="W525" s="31"/>
      <c r="X525" s="313"/>
      <c r="Y525" s="31"/>
      <c r="Z525" s="31"/>
      <c r="AA525" s="31"/>
      <c r="AB525" s="31"/>
      <c r="AC525" s="313"/>
      <c r="AD525" s="603"/>
      <c r="AE525" s="603"/>
      <c r="AF525" s="603"/>
      <c r="AG525" s="604"/>
      <c r="AH525" s="477"/>
      <c r="AI525" s="444"/>
      <c r="AJ525" s="444"/>
      <c r="AK525" s="444"/>
      <c r="AL525" s="444"/>
      <c r="AM525" s="477"/>
      <c r="AN525" s="444"/>
      <c r="AO525" s="444"/>
      <c r="AP525" s="444"/>
      <c r="AQ525" s="603"/>
      <c r="AR525" s="477"/>
      <c r="AS525" s="444"/>
      <c r="AT525" s="444"/>
      <c r="AU525" s="444"/>
      <c r="AV525" s="603"/>
      <c r="AW525" s="477"/>
      <c r="AX525" s="28"/>
      <c r="AY525" s="28"/>
      <c r="AZ525" s="28"/>
      <c r="BA525" s="28"/>
      <c r="BB525" s="313"/>
      <c r="BC525" s="28"/>
      <c r="BD525" s="28"/>
      <c r="BE525" s="28"/>
      <c r="BF525" s="28"/>
      <c r="BG525" s="313"/>
      <c r="BH525" s="28"/>
      <c r="BI525" s="28"/>
      <c r="BJ525" s="28"/>
      <c r="BK525" s="28"/>
      <c r="BL525" s="313"/>
      <c r="BM525" s="28"/>
      <c r="BN525" s="28"/>
      <c r="BO525" s="28"/>
      <c r="BP525" s="28"/>
      <c r="BQ525" s="313"/>
      <c r="BR525" s="28"/>
      <c r="BS525" s="28"/>
      <c r="BT525" s="28"/>
      <c r="BU525" s="28"/>
      <c r="BV525" s="313"/>
      <c r="BW525" s="28"/>
      <c r="BX525" s="28"/>
      <c r="BY525" s="28"/>
      <c r="BZ525" s="28"/>
      <c r="CA525" s="313"/>
      <c r="CB525" s="28"/>
      <c r="CC525" s="28"/>
      <c r="CD525" s="28"/>
      <c r="CE525" s="28"/>
      <c r="CF525" s="313"/>
      <c r="CG525" s="28"/>
      <c r="CH525" s="28"/>
      <c r="CI525" s="28"/>
      <c r="CJ525" s="28"/>
      <c r="CK525" s="313"/>
      <c r="CL525" s="963"/>
      <c r="CM525" s="28"/>
      <c r="CN525" s="28"/>
      <c r="CO525" s="28"/>
      <c r="CP525" s="313"/>
      <c r="CQ525" s="28"/>
      <c r="CR525" s="28"/>
      <c r="CS525" s="28"/>
      <c r="CT525" s="28"/>
      <c r="CU525" s="313"/>
      <c r="CV525" s="28"/>
      <c r="CW525" s="28"/>
      <c r="CX525" s="28"/>
      <c r="CY525" s="28"/>
      <c r="CZ525" s="313"/>
      <c r="DA525" s="28"/>
      <c r="DB525" s="31"/>
      <c r="DC525" s="31"/>
      <c r="DD525" s="955"/>
      <c r="DE525" s="477"/>
      <c r="DF525" s="444"/>
      <c r="DG525" s="603"/>
      <c r="DH525" s="603"/>
      <c r="DI525" s="1798"/>
      <c r="DJ525" s="477"/>
      <c r="DK525" s="444"/>
      <c r="DL525" s="603"/>
      <c r="DM525" s="603"/>
      <c r="DN525" s="1798"/>
      <c r="DO525" s="477"/>
      <c r="DP525" s="603"/>
      <c r="DQ525" s="603"/>
      <c r="DR525" s="603"/>
      <c r="DS525" s="1798"/>
      <c r="DT525" s="477"/>
      <c r="DU525" s="603"/>
      <c r="DV525" s="603"/>
      <c r="DW525" s="603"/>
      <c r="DX525" s="1798"/>
      <c r="DY525" s="477"/>
      <c r="DZ525" s="603"/>
      <c r="EA525" s="603"/>
      <c r="EB525" s="603"/>
      <c r="EC525" s="1798"/>
      <c r="ED525" s="477"/>
      <c r="EE525" s="603"/>
      <c r="EF525" s="603"/>
      <c r="EG525" s="603"/>
      <c r="EH525" s="1798"/>
      <c r="EI525" s="477"/>
      <c r="EJ525" s="477"/>
      <c r="EK525" s="477"/>
      <c r="EL525" s="477"/>
      <c r="EM525" s="477"/>
      <c r="EN525" s="477"/>
      <c r="EO525" s="477"/>
      <c r="EP525" s="477"/>
      <c r="EQ525" s="477"/>
      <c r="ER525" s="477"/>
      <c r="ES525" s="477"/>
      <c r="ET525" s="477"/>
      <c r="EU525" s="477"/>
      <c r="EV525" s="477"/>
      <c r="EW525" s="477"/>
      <c r="EX525" s="477"/>
    </row>
    <row r="526" spans="1:154" ht="12.75" hidden="1" customHeight="1" outlineLevel="1">
      <c r="B526" s="438" t="s">
        <v>187</v>
      </c>
      <c r="C526" s="1996" t="s">
        <v>607</v>
      </c>
      <c r="D526" s="28"/>
      <c r="E526" s="28"/>
      <c r="F526" s="28"/>
      <c r="G526" s="28"/>
      <c r="H526" s="28"/>
      <c r="I526" s="31"/>
      <c r="J526" s="28"/>
      <c r="K526" s="28"/>
      <c r="L526" s="28"/>
      <c r="M526" s="28"/>
      <c r="N526" s="31"/>
      <c r="O526" s="31"/>
      <c r="P526" s="31"/>
      <c r="Q526" s="31"/>
      <c r="R526" s="31"/>
      <c r="S526" s="31"/>
      <c r="T526" s="31"/>
      <c r="U526" s="31"/>
      <c r="V526" s="31"/>
      <c r="W526" s="31"/>
      <c r="X526" s="320"/>
      <c r="Y526" s="31"/>
      <c r="Z526" s="31"/>
      <c r="AA526" s="31"/>
      <c r="AB526" s="31"/>
      <c r="AC526" s="320"/>
      <c r="AD526" s="603"/>
      <c r="AE526" s="603"/>
      <c r="AF526" s="603"/>
      <c r="AG526" s="604"/>
      <c r="AH526" s="605"/>
      <c r="AI526" s="444"/>
      <c r="AJ526" s="444"/>
      <c r="AK526" s="444"/>
      <c r="AL526" s="444"/>
      <c r="AM526" s="605"/>
      <c r="AN526" s="444"/>
      <c r="AO526" s="444"/>
      <c r="AP526" s="444"/>
      <c r="AQ526" s="603"/>
      <c r="AR526" s="605"/>
      <c r="AS526" s="444"/>
      <c r="AT526" s="444"/>
      <c r="AU526" s="444"/>
      <c r="AV526" s="603"/>
      <c r="AW526" s="605"/>
      <c r="AX526" s="28"/>
      <c r="AY526" s="28"/>
      <c r="AZ526" s="33"/>
      <c r="BA526" s="33"/>
      <c r="BB526" s="320"/>
      <c r="BC526" s="33"/>
      <c r="BD526" s="33"/>
      <c r="BE526" s="33"/>
      <c r="BF526" s="33"/>
      <c r="BG526" s="312"/>
      <c r="BH526" s="33"/>
      <c r="BI526" s="33"/>
      <c r="BJ526" s="33"/>
      <c r="BK526" s="33"/>
      <c r="BL526" s="313"/>
      <c r="BM526" s="352"/>
      <c r="BN526" s="352"/>
      <c r="BO526" s="352"/>
      <c r="BP526" s="352"/>
      <c r="BQ526" s="313"/>
      <c r="BR526" s="352"/>
      <c r="BS526" s="352"/>
      <c r="BT526" s="352"/>
      <c r="BU526" s="352"/>
      <c r="BV526" s="313"/>
      <c r="BW526" s="352"/>
      <c r="BX526" s="352"/>
      <c r="BY526" s="352"/>
      <c r="BZ526" s="352"/>
      <c r="CA526" s="313"/>
      <c r="CB526" s="352"/>
      <c r="CC526" s="352">
        <v>1</v>
      </c>
      <c r="CD526" s="352">
        <v>3</v>
      </c>
      <c r="CE526" s="352">
        <v>6</v>
      </c>
      <c r="CF526" s="313">
        <f>SUM(CB526:CE526)</f>
      </c>
      <c r="CG526" s="352">
        <v>12</v>
      </c>
      <c r="CH526" s="352">
        <v>12</v>
      </c>
      <c r="CI526" s="352">
        <v>12</v>
      </c>
      <c r="CJ526" s="352">
        <v>15</v>
      </c>
      <c r="CK526" s="313">
        <f>SUM(CG526:CJ526)</f>
      </c>
      <c r="CL526" s="1110">
        <v>15</v>
      </c>
      <c r="CM526" s="352">
        <v>13</v>
      </c>
      <c r="CN526" s="352">
        <v>12</v>
      </c>
      <c r="CO526" s="352">
        <v>15</v>
      </c>
      <c r="CP526" s="313">
        <f>SUM(CL526:CO526)</f>
      </c>
      <c r="CQ526" s="352"/>
      <c r="CR526" s="352"/>
      <c r="CS526" s="352"/>
      <c r="CT526" s="352"/>
      <c r="CU526" s="313"/>
      <c r="CV526" s="352"/>
      <c r="CW526" s="352"/>
      <c r="CX526" s="352"/>
      <c r="CY526" s="352"/>
      <c r="CZ526" s="313"/>
      <c r="DA526" s="352"/>
      <c r="DB526" s="352"/>
      <c r="DC526" s="352"/>
      <c r="DD526" s="956"/>
      <c r="DE526" s="1866"/>
      <c r="DF526" s="1801"/>
      <c r="DG526" s="1801"/>
      <c r="DH526" s="1801"/>
      <c r="DI526" s="1758"/>
      <c r="DJ526" s="1866"/>
      <c r="DK526" s="1801"/>
      <c r="DL526" s="1801"/>
      <c r="DM526" s="1801"/>
      <c r="DN526" s="1758"/>
      <c r="DO526" s="1866"/>
      <c r="DP526" s="1801"/>
      <c r="DQ526" s="1801"/>
      <c r="DR526" s="1801"/>
      <c r="DS526" s="1758"/>
      <c r="DT526" s="1866"/>
      <c r="DU526" s="1801"/>
      <c r="DV526" s="1801"/>
      <c r="DW526" s="1801"/>
      <c r="DX526" s="1758"/>
      <c r="DY526" s="1866"/>
      <c r="DZ526" s="1801"/>
      <c r="EA526" s="1801"/>
      <c r="EB526" s="1801"/>
      <c r="EC526" s="1758"/>
      <c r="ED526" s="1866"/>
      <c r="EE526" s="1801"/>
      <c r="EF526" s="1801"/>
      <c r="EG526" s="1801"/>
      <c r="EH526" s="1758"/>
      <c r="EI526" s="1866"/>
      <c r="EJ526" s="1866"/>
      <c r="EK526" s="1866"/>
      <c r="EL526" s="1866"/>
      <c r="EM526" s="1866"/>
      <c r="EN526" s="1866"/>
      <c r="EO526" s="1866"/>
      <c r="EP526" s="1866"/>
      <c r="EQ526" s="1866"/>
      <c r="ER526" s="1866"/>
      <c r="ES526" s="1866"/>
      <c r="ET526" s="1866"/>
      <c r="EU526" s="1866"/>
      <c r="EV526" s="1866"/>
      <c r="EW526" s="1866"/>
      <c r="EX526" s="1866"/>
    </row>
    <row r="527" spans="1:154" ht="12.75" hidden="1" customHeight="1" outlineLevel="1">
      <c r="B527" s="438" t="s">
        <v>412</v>
      </c>
      <c r="C527" s="1996" t="s">
        <v>607</v>
      </c>
      <c r="D527" s="33"/>
      <c r="E527" s="33"/>
      <c r="F527" s="33"/>
      <c r="G527" s="33"/>
      <c r="H527" s="33"/>
      <c r="I527" s="31"/>
      <c r="J527" s="33"/>
      <c r="K527" s="33"/>
      <c r="L527" s="33"/>
      <c r="M527" s="33"/>
      <c r="N527" s="31"/>
      <c r="O527" s="33"/>
      <c r="P527" s="33"/>
      <c r="Q527" s="33"/>
      <c r="R527" s="33"/>
      <c r="S527" s="31"/>
      <c r="T527" s="33"/>
      <c r="U527" s="33"/>
      <c r="V527" s="33"/>
      <c r="W527" s="33"/>
      <c r="X527" s="313"/>
      <c r="Y527" s="33"/>
      <c r="Z527" s="33"/>
      <c r="AA527" s="33"/>
      <c r="AB527" s="33"/>
      <c r="AC527" s="313"/>
      <c r="AD527" s="602"/>
      <c r="AE527" s="602"/>
      <c r="AF527" s="602"/>
      <c r="AG527" s="602"/>
      <c r="AH527" s="477"/>
      <c r="AI527" s="602"/>
      <c r="AJ527" s="602"/>
      <c r="AK527" s="602"/>
      <c r="AL527" s="602"/>
      <c r="AM527" s="477"/>
      <c r="AN527" s="602"/>
      <c r="AO527" s="602"/>
      <c r="AP527" s="602"/>
      <c r="AQ527" s="602"/>
      <c r="AR527" s="477"/>
      <c r="AS527" s="602"/>
      <c r="AT527" s="602"/>
      <c r="AU527" s="602"/>
      <c r="AV527" s="602"/>
      <c r="AW527" s="477"/>
      <c r="AX527" s="33"/>
      <c r="AY527" s="33"/>
      <c r="AZ527" s="33"/>
      <c r="BA527" s="33"/>
      <c r="BB527" s="313"/>
      <c r="BC527" s="33"/>
      <c r="BD527" s="33"/>
      <c r="BE527" s="33"/>
      <c r="BF527" s="33"/>
      <c r="BG527" s="312"/>
      <c r="BH527" s="33"/>
      <c r="BI527" s="33"/>
      <c r="BJ527" s="33"/>
      <c r="BK527" s="33"/>
      <c r="BL527" s="313"/>
      <c r="BM527" s="352"/>
      <c r="BN527" s="352"/>
      <c r="BO527" s="352"/>
      <c r="BP527" s="352"/>
      <c r="BQ527" s="313"/>
      <c r="BR527" s="352"/>
      <c r="BS527" s="352"/>
      <c r="BT527" s="352"/>
      <c r="BU527" s="352"/>
      <c r="BV527" s="313"/>
      <c r="BW527" s="352"/>
      <c r="BX527" s="352"/>
      <c r="BY527" s="352"/>
      <c r="BZ527" s="352"/>
      <c r="CA527" s="313"/>
      <c r="CB527" s="352"/>
      <c r="CC527" s="352">
        <v>0</v>
      </c>
      <c r="CD527" s="352">
        <v>2</v>
      </c>
      <c r="CE527" s="352">
        <v>5</v>
      </c>
      <c r="CF527" s="313">
        <f>SUM(CB527:CE527)</f>
      </c>
      <c r="CG527" s="352">
        <v>7</v>
      </c>
      <c r="CH527" s="352">
        <v>9</v>
      </c>
      <c r="CI527" s="352">
        <v>10</v>
      </c>
      <c r="CJ527" s="352">
        <v>12</v>
      </c>
      <c r="CK527" s="313">
        <f>SUM(CG527:CJ527)</f>
      </c>
      <c r="CL527" s="1110">
        <v>12</v>
      </c>
      <c r="CM527" s="352">
        <v>18</v>
      </c>
      <c r="CN527" s="352">
        <v>20</v>
      </c>
      <c r="CO527" s="352">
        <v>25</v>
      </c>
      <c r="CP527" s="313">
        <f>SUM(CL527:CO527)</f>
      </c>
      <c r="CQ527" s="352"/>
      <c r="CR527" s="352"/>
      <c r="CS527" s="352"/>
      <c r="CT527" s="352"/>
      <c r="CU527" s="313"/>
      <c r="CV527" s="352"/>
      <c r="CW527" s="352"/>
      <c r="CX527" s="352"/>
      <c r="CY527" s="352"/>
      <c r="CZ527" s="313"/>
      <c r="DA527" s="352"/>
      <c r="DB527" s="352"/>
      <c r="DC527" s="352"/>
      <c r="DD527" s="956"/>
      <c r="DE527" s="1866"/>
      <c r="DF527" s="1801"/>
      <c r="DG527" s="1801"/>
      <c r="DH527" s="1801"/>
      <c r="DI527" s="1758"/>
      <c r="DJ527" s="1866"/>
      <c r="DK527" s="1801"/>
      <c r="DL527" s="1801"/>
      <c r="DM527" s="1801"/>
      <c r="DN527" s="1758"/>
      <c r="DO527" s="1866"/>
      <c r="DP527" s="1801"/>
      <c r="DQ527" s="1801"/>
      <c r="DR527" s="1801"/>
      <c r="DS527" s="1758"/>
      <c r="DT527" s="1866"/>
      <c r="DU527" s="1801"/>
      <c r="DV527" s="1801"/>
      <c r="DW527" s="1801"/>
      <c r="DX527" s="1758"/>
      <c r="DY527" s="1866"/>
      <c r="DZ527" s="1801"/>
      <c r="EA527" s="1801"/>
      <c r="EB527" s="1801"/>
      <c r="EC527" s="1758"/>
      <c r="ED527" s="1866"/>
      <c r="EE527" s="1801"/>
      <c r="EF527" s="1801"/>
      <c r="EG527" s="1801"/>
      <c r="EH527" s="1758"/>
      <c r="EI527" s="1866"/>
      <c r="EJ527" s="1866"/>
      <c r="EK527" s="1866"/>
      <c r="EL527" s="1866"/>
      <c r="EM527" s="1866"/>
      <c r="EN527" s="1866"/>
      <c r="EO527" s="1866"/>
      <c r="EP527" s="1866"/>
      <c r="EQ527" s="1866"/>
      <c r="ER527" s="1866"/>
      <c r="ES527" s="1866"/>
      <c r="ET527" s="1866"/>
      <c r="EU527" s="1866"/>
      <c r="EV527" s="1866"/>
      <c r="EW527" s="1866"/>
      <c r="EX527" s="1866"/>
    </row>
    <row r="528" spans="1:154" ht="12.75" hidden="1" customHeight="1" outlineLevel="1">
      <c r="B528" s="438" t="s">
        <v>413</v>
      </c>
      <c r="C528" s="1989"/>
      <c r="D528" s="33"/>
      <c r="E528" s="33"/>
      <c r="F528" s="33"/>
      <c r="G528" s="33"/>
      <c r="H528" s="33"/>
      <c r="I528" s="28"/>
      <c r="J528" s="28"/>
      <c r="K528" s="28"/>
      <c r="L528" s="28"/>
      <c r="M528" s="28"/>
      <c r="N528" s="28"/>
      <c r="O528" s="28"/>
      <c r="P528" s="28"/>
      <c r="Q528" s="28"/>
      <c r="R528" s="28"/>
      <c r="S528" s="28"/>
      <c r="T528" s="28"/>
      <c r="U528" s="28"/>
      <c r="V528" s="28"/>
      <c r="W528" s="28"/>
      <c r="X528" s="312"/>
      <c r="Y528" s="28"/>
      <c r="Z528" s="28"/>
      <c r="AA528" s="28"/>
      <c r="AB528" s="28"/>
      <c r="AC528" s="312"/>
      <c r="AD528" s="444"/>
      <c r="AE528" s="444"/>
      <c r="AF528" s="444"/>
      <c r="AG528" s="444"/>
      <c r="AH528" s="445"/>
      <c r="AI528" s="444"/>
      <c r="AJ528" s="444"/>
      <c r="AK528" s="444"/>
      <c r="AL528" s="444"/>
      <c r="AM528" s="445"/>
      <c r="AN528" s="444"/>
      <c r="AO528" s="444"/>
      <c r="AP528" s="444"/>
      <c r="AQ528" s="444"/>
      <c r="AR528" s="445"/>
      <c r="AS528" s="444"/>
      <c r="AT528" s="444"/>
      <c r="AU528" s="444"/>
      <c r="AV528" s="444"/>
      <c r="AW528" s="445"/>
      <c r="AX528" s="28"/>
      <c r="AY528" s="28"/>
      <c r="AZ528" s="28"/>
      <c r="BA528" s="28"/>
      <c r="BB528" s="312"/>
      <c r="BC528" s="28"/>
      <c r="BD528" s="28"/>
      <c r="BE528" s="28"/>
      <c r="BF528" s="28"/>
      <c r="BG528" s="312"/>
      <c r="BH528" s="28"/>
      <c r="BI528" s="28"/>
      <c r="BJ528" s="28"/>
      <c r="BK528" s="28"/>
      <c r="BL528" s="313"/>
      <c r="BM528" s="28"/>
      <c r="BN528" s="28"/>
      <c r="BO528" s="28"/>
      <c r="BP528" s="28"/>
      <c r="BQ528" s="312"/>
      <c r="BR528" s="28"/>
      <c r="BS528" s="28"/>
      <c r="BT528" s="28"/>
      <c r="BU528" s="28"/>
      <c r="BV528" s="312"/>
      <c r="BW528" s="28"/>
      <c r="BX528" s="28"/>
      <c r="BY528" s="28"/>
      <c r="BZ528" s="28"/>
      <c r="CA528" s="313"/>
      <c r="CB528" s="28"/>
      <c r="CC528" s="28">
        <f>+CC527+CC526</f>
      </c>
      <c r="CD528" s="28">
        <f>+CD527+CD526</f>
      </c>
      <c r="CE528" s="28">
        <f>+CE527+CE526</f>
      </c>
      <c r="CF528" s="313">
        <f>SUM(CB528:CE528)</f>
      </c>
      <c r="CG528" s="28">
        <f>+CG527+CG526</f>
      </c>
      <c r="CH528" s="28">
        <f>+CH527+CH526</f>
      </c>
      <c r="CI528" s="28">
        <f>+CI527+CI526</f>
      </c>
      <c r="CJ528" s="28">
        <f>+CJ527+CJ526</f>
      </c>
      <c r="CK528" s="313">
        <f>SUM(CG528:CJ528)</f>
      </c>
      <c r="CL528" s="963">
        <f>+CL527+CL526</f>
      </c>
      <c r="CM528" s="28">
        <f>+CM527+CM526</f>
      </c>
      <c r="CN528" s="28">
        <f>+CN527+CN526</f>
      </c>
      <c r="CO528" s="28">
        <f>+CO527+CO526</f>
      </c>
      <c r="CP528" s="313">
        <f>SUM(CL528:CO528)</f>
      </c>
      <c r="CQ528" s="28"/>
      <c r="CR528" s="28"/>
      <c r="CS528" s="28"/>
      <c r="CT528" s="28"/>
      <c r="CU528" s="313"/>
      <c r="CV528" s="28"/>
      <c r="CW528" s="28"/>
      <c r="CX528" s="28"/>
      <c r="CY528" s="28"/>
      <c r="CZ528" s="313"/>
      <c r="DA528" s="28"/>
      <c r="DB528" s="31"/>
      <c r="DC528" s="31"/>
      <c r="DD528" s="955"/>
      <c r="DE528" s="445"/>
      <c r="DF528" s="444"/>
      <c r="DG528" s="603"/>
      <c r="DH528" s="603"/>
      <c r="DI528" s="1798"/>
      <c r="DJ528" s="445"/>
      <c r="DK528" s="444"/>
      <c r="DL528" s="603"/>
      <c r="DM528" s="603"/>
      <c r="DN528" s="1798"/>
      <c r="DO528" s="445"/>
      <c r="DP528" s="603"/>
      <c r="DQ528" s="603"/>
      <c r="DR528" s="603"/>
      <c r="DS528" s="1798"/>
      <c r="DT528" s="445"/>
      <c r="DU528" s="603"/>
      <c r="DV528" s="603"/>
      <c r="DW528" s="603"/>
      <c r="DX528" s="1798"/>
      <c r="DY528" s="445"/>
      <c r="DZ528" s="603"/>
      <c r="EA528" s="603"/>
      <c r="EB528" s="603"/>
      <c r="EC528" s="1798"/>
      <c r="ED528" s="1866"/>
      <c r="EE528" s="603"/>
      <c r="EF528" s="603"/>
      <c r="EG528" s="603"/>
      <c r="EH528" s="1798"/>
      <c r="EI528" s="445"/>
      <c r="EJ528" s="445"/>
      <c r="EK528" s="445"/>
      <c r="EL528" s="445"/>
      <c r="EM528" s="445"/>
      <c r="EN528" s="445"/>
      <c r="EO528" s="445"/>
      <c r="EP528" s="445"/>
      <c r="EQ528" s="445"/>
      <c r="ER528" s="445"/>
      <c r="ES528" s="445"/>
      <c r="ET528" s="445"/>
      <c r="EU528" s="445"/>
      <c r="EV528" s="445"/>
      <c r="EW528" s="445"/>
      <c r="EX528" s="445"/>
    </row>
    <row r="529" spans="1:154" ht="12.75" hidden="1" customHeight="1" outlineLevel="1">
      <c r="B529" s="438"/>
      <c r="C529" s="1989"/>
      <c r="D529" s="33"/>
      <c r="E529" s="33"/>
      <c r="F529" s="33"/>
      <c r="G529" s="33"/>
      <c r="H529" s="33"/>
      <c r="I529" s="31"/>
      <c r="J529" s="33"/>
      <c r="K529" s="33"/>
      <c r="L529" s="33"/>
      <c r="M529" s="33"/>
      <c r="N529" s="31"/>
      <c r="O529" s="33"/>
      <c r="P529" s="33"/>
      <c r="Q529" s="33"/>
      <c r="R529" s="33"/>
      <c r="S529" s="31"/>
      <c r="T529" s="33"/>
      <c r="U529" s="33"/>
      <c r="V529" s="33"/>
      <c r="W529" s="33"/>
      <c r="X529" s="312"/>
      <c r="Y529" s="33"/>
      <c r="Z529" s="33"/>
      <c r="AA529" s="33"/>
      <c r="AB529" s="33"/>
      <c r="AC529" s="312"/>
      <c r="AD529" s="602"/>
      <c r="AE529" s="602"/>
      <c r="AF529" s="602"/>
      <c r="AG529" s="602"/>
      <c r="AH529" s="445"/>
      <c r="AI529" s="602"/>
      <c r="AJ529" s="602"/>
      <c r="AK529" s="602"/>
      <c r="AL529" s="602"/>
      <c r="AM529" s="445"/>
      <c r="AN529" s="602"/>
      <c r="AO529" s="602"/>
      <c r="AP529" s="602"/>
      <c r="AQ529" s="602"/>
      <c r="AR529" s="445"/>
      <c r="AS529" s="444"/>
      <c r="AT529" s="444"/>
      <c r="AU529" s="444"/>
      <c r="AV529" s="444"/>
      <c r="AW529" s="445"/>
      <c r="AX529" s="28"/>
      <c r="AY529" s="28"/>
      <c r="AZ529" s="28"/>
      <c r="BA529" s="28"/>
      <c r="BB529" s="312"/>
      <c r="BC529" s="28"/>
      <c r="BD529" s="28"/>
      <c r="BE529" s="28"/>
      <c r="BF529" s="28"/>
      <c r="BG529" s="312"/>
      <c r="BH529" s="28"/>
      <c r="BI529" s="28"/>
      <c r="BJ529" s="28"/>
      <c r="BK529" s="28"/>
      <c r="BL529" s="312"/>
      <c r="BM529" s="28"/>
      <c r="BN529" s="28"/>
      <c r="BO529" s="28"/>
      <c r="BP529" s="28"/>
      <c r="BQ529" s="312"/>
      <c r="BR529" s="28"/>
      <c r="BS529" s="28"/>
      <c r="BT529" s="28"/>
      <c r="BU529" s="28"/>
      <c r="BV529" s="312"/>
      <c r="BW529" s="28"/>
      <c r="BX529" s="28"/>
      <c r="BY529" s="28"/>
      <c r="BZ529" s="28"/>
      <c r="CA529" s="312"/>
      <c r="CB529" s="28"/>
      <c r="CC529" s="28"/>
      <c r="CD529" s="28"/>
      <c r="CE529" s="28"/>
      <c r="CF529" s="312"/>
      <c r="CG529" s="28"/>
      <c r="CH529" s="28"/>
      <c r="CI529" s="28"/>
      <c r="CJ529" s="28"/>
      <c r="CK529" s="312"/>
      <c r="CL529" s="963"/>
      <c r="CM529" s="28"/>
      <c r="CN529" s="28"/>
      <c r="CO529" s="28"/>
      <c r="CP529" s="312"/>
      <c r="CQ529" s="28"/>
      <c r="CR529" s="28"/>
      <c r="CS529" s="28"/>
      <c r="CT529" s="28"/>
      <c r="CU529" s="312"/>
      <c r="CV529" s="28"/>
      <c r="CW529" s="28"/>
      <c r="CX529" s="28"/>
      <c r="CY529" s="28"/>
      <c r="CZ529" s="312"/>
      <c r="DA529" s="28"/>
      <c r="DB529" s="28"/>
      <c r="DC529" s="28"/>
      <c r="DD529" s="876"/>
      <c r="DE529" s="445"/>
      <c r="DF529" s="444"/>
      <c r="DG529" s="444"/>
      <c r="DH529" s="444"/>
      <c r="DI529" s="1788"/>
      <c r="DJ529" s="445"/>
      <c r="DK529" s="444"/>
      <c r="DL529" s="444"/>
      <c r="DM529" s="444"/>
      <c r="DN529" s="1788"/>
      <c r="DO529" s="445"/>
      <c r="DP529" s="444"/>
      <c r="DQ529" s="444"/>
      <c r="DR529" s="444"/>
      <c r="DS529" s="1788"/>
      <c r="DT529" s="445"/>
      <c r="DU529" s="982"/>
      <c r="DV529" s="982"/>
      <c r="DW529" s="982"/>
      <c r="DX529" s="1875"/>
      <c r="DY529" s="445"/>
      <c r="DZ529" s="982"/>
      <c r="EA529" s="982"/>
      <c r="EB529" s="982"/>
      <c r="EC529" s="1875"/>
      <c r="ED529" s="1866"/>
      <c r="EE529" s="982"/>
      <c r="EF529" s="982"/>
      <c r="EG529" s="982"/>
      <c r="EH529" s="1875"/>
      <c r="EI529" s="445"/>
      <c r="EJ529" s="445"/>
      <c r="EK529" s="445"/>
      <c r="EL529" s="445"/>
      <c r="EM529" s="445"/>
      <c r="EN529" s="445"/>
      <c r="EO529" s="445"/>
      <c r="EP529" s="445"/>
      <c r="EQ529" s="445"/>
      <c r="ER529" s="445"/>
      <c r="ES529" s="445"/>
      <c r="ET529" s="445"/>
      <c r="EU529" s="445"/>
      <c r="EV529" s="445"/>
      <c r="EW529" s="445"/>
      <c r="EX529" s="445"/>
    </row>
    <row r="530" spans="1:154" ht="12.75" hidden="1" customHeight="1" outlineLevel="1">
      <c r="B530" s="455" t="str">
        <f>B525&amp; ", % YoY growth"</f>
      </c>
      <c r="C530" s="1989"/>
      <c r="D530" s="33"/>
      <c r="E530" s="33"/>
      <c r="F530" s="33"/>
      <c r="G530" s="33"/>
      <c r="H530" s="33"/>
      <c r="I530" s="31"/>
      <c r="J530" s="33"/>
      <c r="K530" s="33"/>
      <c r="L530" s="33"/>
      <c r="M530" s="33"/>
      <c r="N530" s="31"/>
      <c r="O530" s="33"/>
      <c r="P530" s="33"/>
      <c r="Q530" s="33"/>
      <c r="R530" s="33"/>
      <c r="S530" s="31"/>
      <c r="T530" s="33"/>
      <c r="U530" s="33"/>
      <c r="V530" s="33"/>
      <c r="W530" s="33"/>
      <c r="X530" s="312"/>
      <c r="Y530" s="33"/>
      <c r="Z530" s="33"/>
      <c r="AA530" s="33"/>
      <c r="AB530" s="33"/>
      <c r="AC530" s="312"/>
      <c r="AD530" s="602"/>
      <c r="AE530" s="602"/>
      <c r="AF530" s="602"/>
      <c r="AG530" s="602"/>
      <c r="AH530" s="445"/>
      <c r="AI530" s="602"/>
      <c r="AJ530" s="602"/>
      <c r="AK530" s="602"/>
      <c r="AL530" s="602"/>
      <c r="AM530" s="445"/>
      <c r="AN530" s="602"/>
      <c r="AO530" s="602"/>
      <c r="AP530" s="602"/>
      <c r="AQ530" s="602"/>
      <c r="AR530" s="445"/>
      <c r="AS530" s="444"/>
      <c r="AT530" s="444"/>
      <c r="AU530" s="444"/>
      <c r="AV530" s="444"/>
      <c r="AW530" s="445"/>
      <c r="AX530" s="28"/>
      <c r="AY530" s="28"/>
      <c r="AZ530" s="28"/>
      <c r="BA530" s="28"/>
      <c r="BB530" s="312"/>
      <c r="BC530" s="28"/>
      <c r="BD530" s="28"/>
      <c r="BE530" s="28"/>
      <c r="BF530" s="28"/>
      <c r="BG530" s="312"/>
      <c r="BH530" s="28"/>
      <c r="BI530" s="28"/>
      <c r="BJ530" s="28"/>
      <c r="BK530" s="28"/>
      <c r="BL530" s="312"/>
      <c r="BM530" s="28"/>
      <c r="BN530" s="28"/>
      <c r="BO530" s="28"/>
      <c r="BP530" s="28"/>
      <c r="BQ530" s="312"/>
      <c r="BR530" s="28"/>
      <c r="BS530" s="28"/>
      <c r="BT530" s="28"/>
      <c r="BU530" s="28"/>
      <c r="BV530" s="312"/>
      <c r="BW530" s="28"/>
      <c r="BX530" s="28"/>
      <c r="BY530" s="28"/>
      <c r="BZ530" s="28"/>
      <c r="CA530" s="312"/>
      <c r="CB530" s="28"/>
      <c r="CC530" s="28"/>
      <c r="CD530" s="28"/>
      <c r="CE530" s="28"/>
      <c r="CF530" s="312"/>
      <c r="CG530" s="28"/>
      <c r="CH530" s="28"/>
      <c r="CI530" s="28"/>
      <c r="CJ530" s="28"/>
      <c r="CK530" s="312"/>
      <c r="CL530" s="963"/>
      <c r="CM530" s="28"/>
      <c r="CN530" s="28"/>
      <c r="CO530" s="28"/>
      <c r="CP530" s="312"/>
      <c r="CQ530" s="28"/>
      <c r="CR530" s="28"/>
      <c r="CS530" s="28"/>
      <c r="CT530" s="28"/>
      <c r="CU530" s="312"/>
      <c r="CV530" s="28"/>
      <c r="CW530" s="28"/>
      <c r="CX530" s="28"/>
      <c r="CY530" s="28"/>
      <c r="CZ530" s="312"/>
      <c r="DA530" s="28"/>
      <c r="DB530" s="28"/>
      <c r="DC530" s="28"/>
      <c r="DD530" s="876"/>
      <c r="DE530" s="445"/>
      <c r="DF530" s="444"/>
      <c r="DG530" s="444"/>
      <c r="DH530" s="444"/>
      <c r="DI530" s="1788"/>
      <c r="DJ530" s="445"/>
      <c r="DK530" s="444"/>
      <c r="DL530" s="444"/>
      <c r="DM530" s="444"/>
      <c r="DN530" s="1788"/>
      <c r="DO530" s="445"/>
      <c r="DP530" s="444"/>
      <c r="DQ530" s="444"/>
      <c r="DR530" s="444"/>
      <c r="DS530" s="1788"/>
      <c r="DT530" s="445"/>
      <c r="DU530" s="982"/>
      <c r="DV530" s="982"/>
      <c r="DW530" s="982"/>
      <c r="DX530" s="1875"/>
      <c r="DY530" s="445"/>
      <c r="DZ530" s="982"/>
      <c r="EA530" s="982"/>
      <c r="EB530" s="982"/>
      <c r="EC530" s="1875"/>
      <c r="ED530" s="1866"/>
      <c r="EE530" s="982"/>
      <c r="EF530" s="982"/>
      <c r="EG530" s="982"/>
      <c r="EH530" s="1875"/>
      <c r="EI530" s="445"/>
      <c r="EJ530" s="445"/>
      <c r="EK530" s="445"/>
      <c r="EL530" s="445"/>
      <c r="EM530" s="445"/>
      <c r="EN530" s="445"/>
      <c r="EO530" s="445"/>
      <c r="EP530" s="445"/>
      <c r="EQ530" s="445"/>
      <c r="ER530" s="445"/>
      <c r="ES530" s="445"/>
      <c r="ET530" s="445"/>
      <c r="EU530" s="445"/>
      <c r="EV530" s="445"/>
      <c r="EW530" s="445"/>
      <c r="EX530" s="445"/>
    </row>
    <row r="531" spans="1:154" ht="12.75" hidden="1" customHeight="1" outlineLevel="1">
      <c r="B531" s="441" t="s">
        <v>187</v>
      </c>
      <c r="C531" s="1989"/>
      <c r="D531" s="33"/>
      <c r="E531" s="33"/>
      <c r="F531" s="33"/>
      <c r="G531" s="33"/>
      <c r="H531" s="33"/>
      <c r="I531" s="29"/>
      <c r="J531" s="30"/>
      <c r="K531" s="29"/>
      <c r="L531" s="30"/>
      <c r="M531" s="30"/>
      <c r="N531" s="30"/>
      <c r="O531" s="30"/>
      <c r="P531" s="30"/>
      <c r="Q531" s="30"/>
      <c r="R531" s="30"/>
      <c r="S531" s="30"/>
      <c r="T531" s="30"/>
      <c r="U531" s="30"/>
      <c r="V531" s="30"/>
      <c r="W531" s="30"/>
      <c r="X531" s="308"/>
      <c r="Y531" s="30"/>
      <c r="Z531" s="30"/>
      <c r="AA531" s="30"/>
      <c r="AB531" s="30"/>
      <c r="AC531" s="308"/>
      <c r="AD531" s="30"/>
      <c r="AE531" s="30"/>
      <c r="AF531" s="30"/>
      <c r="AG531" s="30"/>
      <c r="AH531" s="308"/>
      <c r="AI531" s="30"/>
      <c r="AJ531" s="30"/>
      <c r="AK531" s="30"/>
      <c r="AL531" s="30"/>
      <c r="AM531" s="308"/>
      <c r="AN531" s="30"/>
      <c r="AO531" s="30"/>
      <c r="AP531" s="30"/>
      <c r="AQ531" s="30"/>
      <c r="AR531" s="308"/>
      <c r="AS531" s="30"/>
      <c r="AT531" s="30"/>
      <c r="AU531" s="30"/>
      <c r="AV531" s="30"/>
      <c r="AW531" s="308"/>
      <c r="AX531" s="30"/>
      <c r="AY531" s="30"/>
      <c r="AZ531" s="30"/>
      <c r="BA531" s="30"/>
      <c r="BB531" s="308"/>
      <c r="BC531" s="29"/>
      <c r="BD531" s="29"/>
      <c r="BE531" s="29"/>
      <c r="BF531" s="29"/>
      <c r="BG531" s="308"/>
      <c r="BH531" s="29"/>
      <c r="BI531" s="29"/>
      <c r="BJ531" s="30"/>
      <c r="BK531" s="30"/>
      <c r="BL531" s="317"/>
      <c r="BM531" s="30"/>
      <c r="BN531" s="29"/>
      <c r="BO531" s="29"/>
      <c r="BP531" s="30"/>
      <c r="BQ531" s="317"/>
      <c r="BR531" s="29"/>
      <c r="BS531" s="30"/>
      <c r="BT531" s="30"/>
      <c r="BU531" s="30"/>
      <c r="BV531" s="308"/>
      <c r="BW531" s="30"/>
      <c r="BX531" s="30"/>
      <c r="BY531" s="30"/>
      <c r="BZ531" s="30"/>
      <c r="CA531" s="315"/>
      <c r="CB531" s="30"/>
      <c r="CC531" s="30"/>
      <c r="CD531" s="361"/>
      <c r="CE531" s="361"/>
      <c r="CF531" s="308"/>
      <c r="CG531" s="30"/>
      <c r="CH531" s="30">
        <f>CH526/CC526-1</f>
      </c>
      <c r="CI531" s="30">
        <f>CI526/CD526-1</f>
      </c>
      <c r="CJ531" s="30">
        <f>CJ526/CE526-1</f>
      </c>
      <c r="CK531" s="308">
        <f>IF(CF526=0, "NA", CK526/CF526-1)</f>
      </c>
      <c r="CL531" s="30"/>
      <c r="CM531" s="30">
        <f t="shared" ref="CM531:CO532" si="1341">CM526/CH526-1</f>
      </c>
      <c r="CN531" s="30">
        <f t="shared" si="1341"/>
      </c>
      <c r="CO531" s="30">
        <f t="shared" si="1341"/>
      </c>
      <c r="CP531" s="308">
        <f>IF(CK526=0, "NA", CP526/CK526-1)</f>
      </c>
      <c r="CQ531" s="30"/>
      <c r="CR531" s="30"/>
      <c r="CS531" s="30"/>
      <c r="CT531" s="30"/>
      <c r="CU531" s="308"/>
      <c r="CV531" s="30"/>
      <c r="CW531" s="30"/>
      <c r="CX531" s="30"/>
      <c r="CY531" s="30"/>
      <c r="CZ531" s="308"/>
      <c r="DA531" s="30"/>
      <c r="DB531" s="30"/>
      <c r="DC531" s="30"/>
      <c r="DD531" s="409"/>
      <c r="DE531" s="448"/>
      <c r="DF531" s="30"/>
      <c r="DG531" s="30"/>
      <c r="DH531" s="30"/>
      <c r="DI531" s="409"/>
      <c r="DJ531" s="448"/>
      <c r="DK531" s="30"/>
      <c r="DL531" s="30"/>
      <c r="DM531" s="30"/>
      <c r="DN531" s="409"/>
      <c r="DO531" s="448"/>
      <c r="DP531" s="30"/>
      <c r="DQ531" s="30"/>
      <c r="DR531" s="30"/>
      <c r="DS531" s="409"/>
      <c r="DT531" s="448"/>
      <c r="DU531" s="926"/>
      <c r="DV531" s="926"/>
      <c r="DW531" s="926"/>
      <c r="DX531" s="928"/>
      <c r="DY531" s="448"/>
      <c r="DZ531" s="926"/>
      <c r="EA531" s="926"/>
      <c r="EB531" s="926"/>
      <c r="EC531" s="928"/>
      <c r="ED531" s="448"/>
      <c r="EE531" s="926"/>
      <c r="EF531" s="926"/>
      <c r="EG531" s="926"/>
      <c r="EH531" s="928"/>
      <c r="EI531" s="448"/>
      <c r="EJ531" s="448"/>
      <c r="EK531" s="448"/>
      <c r="EL531" s="448"/>
      <c r="EM531" s="448"/>
      <c r="EN531" s="448"/>
      <c r="EO531" s="448"/>
      <c r="EP531" s="448"/>
      <c r="EQ531" s="448"/>
      <c r="ER531" s="448"/>
      <c r="ES531" s="448"/>
      <c r="ET531" s="448"/>
      <c r="EU531" s="448"/>
      <c r="EV531" s="448"/>
      <c r="EW531" s="448"/>
      <c r="EX531" s="448"/>
    </row>
    <row r="532" spans="1:154" ht="12.75" hidden="1" customHeight="1" outlineLevel="1">
      <c r="B532" s="441" t="s">
        <v>412</v>
      </c>
      <c r="C532" s="1989"/>
      <c r="D532" s="33"/>
      <c r="E532" s="33"/>
      <c r="F532" s="33"/>
      <c r="G532" s="33"/>
      <c r="H532" s="33"/>
      <c r="I532" s="30"/>
      <c r="J532" s="30"/>
      <c r="K532" s="30"/>
      <c r="L532" s="30"/>
      <c r="M532" s="30"/>
      <c r="N532" s="30"/>
      <c r="O532" s="30"/>
      <c r="P532" s="30"/>
      <c r="Q532" s="30"/>
      <c r="R532" s="30"/>
      <c r="S532" s="30"/>
      <c r="T532" s="30"/>
      <c r="U532" s="30"/>
      <c r="V532" s="30"/>
      <c r="W532" s="30"/>
      <c r="X532" s="308"/>
      <c r="Y532" s="30"/>
      <c r="Z532" s="30"/>
      <c r="AA532" s="30"/>
      <c r="AB532" s="30"/>
      <c r="AC532" s="308"/>
      <c r="AD532" s="30"/>
      <c r="AE532" s="30"/>
      <c r="AF532" s="30"/>
      <c r="AG532" s="30"/>
      <c r="AH532" s="308"/>
      <c r="AI532" s="30"/>
      <c r="AJ532" s="30"/>
      <c r="AK532" s="30"/>
      <c r="AL532" s="30"/>
      <c r="AM532" s="308"/>
      <c r="AN532" s="30"/>
      <c r="AO532" s="30"/>
      <c r="AP532" s="30"/>
      <c r="AQ532" s="30"/>
      <c r="AR532" s="308"/>
      <c r="AS532" s="30"/>
      <c r="AT532" s="30"/>
      <c r="AU532" s="30"/>
      <c r="AV532" s="30"/>
      <c r="AW532" s="308"/>
      <c r="AX532" s="30"/>
      <c r="AY532" s="30"/>
      <c r="AZ532" s="30"/>
      <c r="BA532" s="30"/>
      <c r="BB532" s="308"/>
      <c r="BC532" s="30"/>
      <c r="BD532" s="30"/>
      <c r="BE532" s="30"/>
      <c r="BF532" s="30"/>
      <c r="BG532" s="308"/>
      <c r="BH532" s="30"/>
      <c r="BI532" s="30"/>
      <c r="BJ532" s="30"/>
      <c r="BK532" s="30"/>
      <c r="BL532" s="308"/>
      <c r="BM532" s="30"/>
      <c r="BN532" s="30"/>
      <c r="BO532" s="30"/>
      <c r="BP532" s="30"/>
      <c r="BQ532" s="308"/>
      <c r="BR532" s="30"/>
      <c r="BS532" s="30"/>
      <c r="BT532" s="30"/>
      <c r="BU532" s="30"/>
      <c r="BV532" s="308"/>
      <c r="BW532" s="30"/>
      <c r="BX532" s="30"/>
      <c r="BY532" s="30"/>
      <c r="BZ532" s="30"/>
      <c r="CA532" s="315"/>
      <c r="CB532" s="30"/>
      <c r="CC532" s="30"/>
      <c r="CD532" s="30"/>
      <c r="CE532" s="30"/>
      <c r="CF532" s="308"/>
      <c r="CG532" s="30"/>
      <c r="CH532" s="30"/>
      <c r="CI532" s="30">
        <f>CI527/CD527-1</f>
      </c>
      <c r="CJ532" s="30">
        <f>CJ527/CE527-1</f>
      </c>
      <c r="CK532" s="308">
        <f>IF(CF527=0, "NA", CK527/CF527-1)</f>
      </c>
      <c r="CL532" s="30"/>
      <c r="CM532" s="30">
        <f t="shared" si="1341"/>
      </c>
      <c r="CN532" s="30">
        <f t="shared" si="1341"/>
      </c>
      <c r="CO532" s="30">
        <f t="shared" si="1341"/>
      </c>
      <c r="CP532" s="308">
        <f>IF(CK527=0, "NA", CP527/CK527-1)</f>
      </c>
      <c r="CQ532" s="30"/>
      <c r="CR532" s="30"/>
      <c r="CS532" s="30"/>
      <c r="CT532" s="30"/>
      <c r="CU532" s="308"/>
      <c r="CV532" s="30"/>
      <c r="CW532" s="30"/>
      <c r="CX532" s="30"/>
      <c r="CY532" s="30"/>
      <c r="CZ532" s="308"/>
      <c r="DA532" s="30"/>
      <c r="DB532" s="30"/>
      <c r="DC532" s="30"/>
      <c r="DD532" s="409"/>
      <c r="DE532" s="448"/>
      <c r="DF532" s="30"/>
      <c r="DG532" s="30"/>
      <c r="DH532" s="30"/>
      <c r="DI532" s="409"/>
      <c r="DJ532" s="448"/>
      <c r="DK532" s="30"/>
      <c r="DL532" s="30"/>
      <c r="DM532" s="30"/>
      <c r="DN532" s="409"/>
      <c r="DO532" s="448"/>
      <c r="DP532" s="30"/>
      <c r="DQ532" s="30"/>
      <c r="DR532" s="30"/>
      <c r="DS532" s="409"/>
      <c r="DT532" s="448"/>
      <c r="DU532" s="926"/>
      <c r="DV532" s="926"/>
      <c r="DW532" s="926"/>
      <c r="DX532" s="928"/>
      <c r="DY532" s="448"/>
      <c r="DZ532" s="926"/>
      <c r="EA532" s="926"/>
      <c r="EB532" s="926"/>
      <c r="EC532" s="928"/>
      <c r="ED532" s="448"/>
      <c r="EE532" s="926"/>
      <c r="EF532" s="926"/>
      <c r="EG532" s="926"/>
      <c r="EH532" s="928"/>
      <c r="EI532" s="448"/>
      <c r="EJ532" s="448"/>
      <c r="EK532" s="448"/>
      <c r="EL532" s="448"/>
      <c r="EM532" s="448"/>
      <c r="EN532" s="448"/>
      <c r="EO532" s="448"/>
      <c r="EP532" s="448"/>
      <c r="EQ532" s="448"/>
      <c r="ER532" s="448"/>
      <c r="ES532" s="448"/>
      <c r="ET532" s="448"/>
      <c r="EU532" s="448"/>
      <c r="EV532" s="448"/>
      <c r="EW532" s="448"/>
      <c r="EX532" s="448"/>
    </row>
    <row r="533" spans="1:154" ht="12.75" hidden="1" customHeight="1" outlineLevel="1">
      <c r="B533" s="441" t="s">
        <v>256</v>
      </c>
      <c r="C533" s="1989"/>
      <c r="D533" s="33"/>
      <c r="E533" s="33"/>
      <c r="F533" s="33"/>
      <c r="G533" s="33"/>
      <c r="H533" s="33"/>
      <c r="I533" s="24"/>
      <c r="J533" s="1"/>
      <c r="K533" s="1"/>
      <c r="L533" s="1"/>
      <c r="M533" s="1"/>
      <c r="N533" s="24"/>
      <c r="O533" s="24"/>
      <c r="P533" s="24"/>
      <c r="Q533" s="24"/>
      <c r="R533" s="24"/>
      <c r="S533" s="1"/>
      <c r="T533" s="24"/>
      <c r="U533" s="24"/>
      <c r="V533" s="24"/>
      <c r="W533" s="24"/>
      <c r="X533" s="315"/>
      <c r="Y533" s="24"/>
      <c r="Z533" s="24"/>
      <c r="AA533" s="24"/>
      <c r="AB533" s="24"/>
      <c r="AC533" s="315"/>
      <c r="AD533" s="601"/>
      <c r="AE533" s="601"/>
      <c r="AF533" s="601"/>
      <c r="AG533" s="601"/>
      <c r="AH533" s="308"/>
      <c r="AI533" s="30"/>
      <c r="AJ533" s="30"/>
      <c r="AK533" s="30"/>
      <c r="AL533" s="30"/>
      <c r="AM533" s="308"/>
      <c r="AN533" s="30"/>
      <c r="AO533" s="30"/>
      <c r="AP533" s="30"/>
      <c r="AQ533" s="30"/>
      <c r="AR533" s="308"/>
      <c r="AS533" s="30"/>
      <c r="AT533" s="30"/>
      <c r="AU533" s="30"/>
      <c r="AV533" s="30"/>
      <c r="AW533" s="308"/>
      <c r="AX533" s="8"/>
      <c r="AY533" s="8"/>
      <c r="AZ533" s="8"/>
      <c r="BA533" s="8"/>
      <c r="BB533" s="315"/>
      <c r="BC533" s="8"/>
      <c r="BD533" s="8"/>
      <c r="BE533" s="8"/>
      <c r="BF533" s="8"/>
      <c r="BG533" s="309"/>
      <c r="BH533" s="8"/>
      <c r="BI533" s="8"/>
      <c r="BJ533" s="8"/>
      <c r="BK533" s="8"/>
      <c r="BL533" s="315"/>
      <c r="BM533" s="30"/>
      <c r="BN533" s="41"/>
      <c r="BO533" s="41"/>
      <c r="BP533" s="30"/>
      <c r="BQ533" s="308"/>
      <c r="BR533" s="41"/>
      <c r="BS533" s="30"/>
      <c r="BT533" s="30"/>
      <c r="BU533" s="30"/>
      <c r="BV533" s="308"/>
      <c r="BW533" s="29"/>
      <c r="BX533" s="29"/>
      <c r="BY533" s="29"/>
      <c r="BZ533" s="835"/>
      <c r="CA533" s="448"/>
      <c r="CB533" s="361"/>
      <c r="CC533" s="29"/>
      <c r="CD533" s="361"/>
      <c r="CE533" s="361"/>
      <c r="CF533" s="315"/>
      <c r="CG533" s="361"/>
      <c r="CH533" s="361"/>
      <c r="CI533" s="361"/>
      <c r="CJ533" s="361"/>
      <c r="CK533" s="315"/>
      <c r="CL533" s="361"/>
      <c r="CM533" s="361"/>
      <c r="CN533" s="361"/>
      <c r="CO533" s="361"/>
      <c r="CP533" s="316"/>
      <c r="CQ533" s="361"/>
      <c r="CR533" s="361"/>
      <c r="CS533" s="361"/>
      <c r="CT533" s="361"/>
      <c r="CU533" s="316"/>
      <c r="CV533" s="361"/>
      <c r="CW533" s="361"/>
      <c r="CX533" s="361"/>
      <c r="CY533" s="361"/>
      <c r="CZ533" s="316"/>
      <c r="DA533" s="361"/>
      <c r="DB533" s="361"/>
      <c r="DC533" s="361"/>
      <c r="DD533" s="835"/>
      <c r="DE533" s="316"/>
      <c r="DF533" s="361"/>
      <c r="DG533" s="361"/>
      <c r="DH533" s="361"/>
      <c r="DI533" s="835"/>
      <c r="DJ533" s="835"/>
      <c r="DK533" s="361"/>
      <c r="DL533" s="361"/>
      <c r="DM533" s="361"/>
      <c r="DN533" s="835"/>
      <c r="DO533" s="835"/>
      <c r="DP533" s="361"/>
      <c r="DQ533" s="361"/>
      <c r="DR533" s="361"/>
      <c r="DS533" s="835"/>
      <c r="DT533" s="835"/>
      <c r="DU533" s="361"/>
      <c r="DV533" s="361"/>
      <c r="DW533" s="361"/>
      <c r="DX533" s="835"/>
      <c r="DY533" s="835"/>
      <c r="DZ533" s="361"/>
      <c r="EA533" s="361"/>
      <c r="EB533" s="361"/>
      <c r="EC533" s="835"/>
      <c r="ED533" s="835"/>
      <c r="EE533" s="361"/>
      <c r="EF533" s="361"/>
      <c r="EG533" s="361"/>
      <c r="EH533" s="835"/>
      <c r="EI533" s="835"/>
      <c r="EJ533" s="316"/>
      <c r="EK533" s="316"/>
      <c r="EL533" s="316"/>
      <c r="EM533" s="316"/>
      <c r="EN533" s="316"/>
      <c r="EO533" s="316"/>
      <c r="EP533" s="316"/>
      <c r="EQ533" s="316"/>
      <c r="ER533" s="316"/>
      <c r="ES533" s="316"/>
      <c r="ET533" s="316"/>
      <c r="EU533" s="316"/>
      <c r="EV533" s="316"/>
      <c r="EW533" s="316"/>
      <c r="EX533" s="316"/>
    </row>
    <row r="534" spans="1:154" ht="12.75" hidden="1" customHeight="1" outlineLevel="1">
      <c r="B534" s="441" t="s">
        <v>413</v>
      </c>
      <c r="C534" s="1989"/>
      <c r="D534" s="33"/>
      <c r="E534" s="33"/>
      <c r="F534" s="33"/>
      <c r="G534" s="33"/>
      <c r="H534" s="33"/>
      <c r="I534" s="30"/>
      <c r="J534" s="30"/>
      <c r="K534" s="30"/>
      <c r="L534" s="30"/>
      <c r="M534" s="30"/>
      <c r="N534" s="30"/>
      <c r="O534" s="30"/>
      <c r="P534" s="30"/>
      <c r="Q534" s="30"/>
      <c r="R534" s="30"/>
      <c r="S534" s="30"/>
      <c r="T534" s="30"/>
      <c r="U534" s="30"/>
      <c r="V534" s="30"/>
      <c r="W534" s="30"/>
      <c r="X534" s="308"/>
      <c r="Y534" s="30"/>
      <c r="Z534" s="30"/>
      <c r="AA534" s="30"/>
      <c r="AB534" s="30"/>
      <c r="AC534" s="308"/>
      <c r="AD534" s="30"/>
      <c r="AE534" s="30"/>
      <c r="AF534" s="30"/>
      <c r="AG534" s="30"/>
      <c r="AH534" s="308"/>
      <c r="AI534" s="30"/>
      <c r="AJ534" s="30"/>
      <c r="AK534" s="30"/>
      <c r="AL534" s="30"/>
      <c r="AM534" s="308"/>
      <c r="AN534" s="30"/>
      <c r="AO534" s="30"/>
      <c r="AP534" s="30"/>
      <c r="AQ534" s="30"/>
      <c r="AR534" s="308"/>
      <c r="AS534" s="30"/>
      <c r="AT534" s="30"/>
      <c r="AU534" s="30"/>
      <c r="AV534" s="30"/>
      <c r="AW534" s="308"/>
      <c r="AX534" s="30"/>
      <c r="AY534" s="30"/>
      <c r="AZ534" s="30"/>
      <c r="BA534" s="30"/>
      <c r="BB534" s="308"/>
      <c r="BC534" s="30"/>
      <c r="BD534" s="30"/>
      <c r="BE534" s="30"/>
      <c r="BF534" s="30"/>
      <c r="BG534" s="308"/>
      <c r="BH534" s="30"/>
      <c r="BI534" s="30"/>
      <c r="BJ534" s="30"/>
      <c r="BK534" s="30"/>
      <c r="BL534" s="308"/>
      <c r="BM534" s="30"/>
      <c r="BN534" s="30"/>
      <c r="BO534" s="30"/>
      <c r="BP534" s="30"/>
      <c r="BQ534" s="308"/>
      <c r="BR534" s="30"/>
      <c r="BS534" s="30"/>
      <c r="BT534" s="30"/>
      <c r="BU534" s="30"/>
      <c r="BV534" s="308"/>
      <c r="BW534" s="30"/>
      <c r="BX534" s="30"/>
      <c r="BY534" s="30"/>
      <c r="BZ534" s="30"/>
      <c r="CA534" s="308"/>
      <c r="CB534" s="30"/>
      <c r="CC534" s="30"/>
      <c r="CD534" s="30"/>
      <c r="CE534" s="30"/>
      <c r="CF534" s="308"/>
      <c r="CG534" s="30"/>
      <c r="CH534" s="30">
        <f>IF(CH528&lt;=0,0,(CH528/CC528-1))</f>
      </c>
      <c r="CI534" s="30">
        <f>IF(CI528&lt;=0,0,(CI528/CD528-1))</f>
      </c>
      <c r="CJ534" s="30">
        <f>IF(CJ528&lt;=0,0,(CJ528/CE528-1))</f>
      </c>
      <c r="CK534" s="308">
        <f>IF(CF528=0, "NA", CK528/CF528-1)</f>
      </c>
      <c r="CL534" s="30"/>
      <c r="CM534" s="30">
        <f>IF(CM528&lt;=0,0,(CM528/CH528-1))</f>
      </c>
      <c r="CN534" s="30">
        <f>IF(CN528&lt;=0,0,(CN528/CI528-1))</f>
      </c>
      <c r="CO534" s="30">
        <f>IF(CO528&lt;=0,0,(CO528/CJ528-1))</f>
      </c>
      <c r="CP534" s="308">
        <f>IF(CK528=0, "NA", CP528/CK528-1)</f>
      </c>
      <c r="CQ534" s="30"/>
      <c r="CR534" s="30"/>
      <c r="CS534" s="30"/>
      <c r="CT534" s="30"/>
      <c r="CU534" s="308"/>
      <c r="CV534" s="30"/>
      <c r="CW534" s="30"/>
      <c r="CX534" s="30"/>
      <c r="CY534" s="30"/>
      <c r="CZ534" s="308"/>
      <c r="DA534" s="30"/>
      <c r="DB534" s="30"/>
      <c r="DC534" s="30"/>
      <c r="DD534" s="409"/>
      <c r="DE534" s="308"/>
      <c r="DF534" s="30"/>
      <c r="DG534" s="30"/>
      <c r="DH534" s="30"/>
      <c r="DI534" s="409"/>
      <c r="DJ534" s="308"/>
      <c r="DK534" s="30"/>
      <c r="DL534" s="30"/>
      <c r="DM534" s="30"/>
      <c r="DN534" s="409"/>
      <c r="DO534" s="308"/>
      <c r="DP534" s="30"/>
      <c r="DQ534" s="30"/>
      <c r="DR534" s="30"/>
      <c r="DS534" s="409"/>
      <c r="DT534" s="308"/>
      <c r="DU534" s="926"/>
      <c r="DV534" s="926"/>
      <c r="DW534" s="926"/>
      <c r="DX534" s="928"/>
      <c r="DY534" s="308"/>
      <c r="DZ534" s="926"/>
      <c r="EA534" s="926"/>
      <c r="EB534" s="926"/>
      <c r="EC534" s="928"/>
      <c r="ED534" s="1060"/>
      <c r="EE534" s="926"/>
      <c r="EF534" s="926"/>
      <c r="EG534" s="926"/>
      <c r="EH534" s="928"/>
      <c r="EI534" s="308"/>
      <c r="EJ534" s="308"/>
      <c r="EK534" s="308"/>
      <c r="EL534" s="308"/>
      <c r="EM534" s="308"/>
      <c r="EN534" s="308"/>
      <c r="EO534" s="308"/>
      <c r="EP534" s="308"/>
      <c r="EQ534" s="308"/>
      <c r="ER534" s="308"/>
      <c r="ES534" s="308"/>
      <c r="ET534" s="308"/>
      <c r="EU534" s="308"/>
      <c r="EV534" s="308"/>
      <c r="EW534" s="308"/>
      <c r="EX534" s="308"/>
    </row>
    <row r="535" spans="1:154" ht="12.75" hidden="1" customHeight="1" outlineLevel="1">
      <c r="B535" s="1168"/>
      <c r="C535" s="1989"/>
      <c r="D535" s="33"/>
      <c r="E535" s="33"/>
      <c r="F535" s="33"/>
      <c r="G535" s="33"/>
      <c r="H535" s="33"/>
      <c r="I535" s="31"/>
      <c r="J535" s="33"/>
      <c r="K535" s="33"/>
      <c r="L535" s="33"/>
      <c r="M535" s="33"/>
      <c r="N535" s="31"/>
      <c r="O535" s="33"/>
      <c r="P535" s="33"/>
      <c r="Q535" s="33"/>
      <c r="R535" s="33"/>
      <c r="S535" s="31"/>
      <c r="T535" s="33"/>
      <c r="U535" s="33"/>
      <c r="V535" s="33"/>
      <c r="W535" s="33"/>
      <c r="X535" s="312"/>
      <c r="Y535" s="33"/>
      <c r="Z535" s="33"/>
      <c r="AA535" s="33"/>
      <c r="AB535" s="33"/>
      <c r="AC535" s="312"/>
      <c r="AD535" s="602"/>
      <c r="AE535" s="602"/>
      <c r="AF535" s="602"/>
      <c r="AG535" s="602"/>
      <c r="AH535" s="445"/>
      <c r="AI535" s="602"/>
      <c r="AJ535" s="602"/>
      <c r="AK535" s="602"/>
      <c r="AL535" s="602"/>
      <c r="AM535" s="445"/>
      <c r="AN535" s="602"/>
      <c r="AO535" s="602"/>
      <c r="AP535" s="602"/>
      <c r="AQ535" s="602"/>
      <c r="AR535" s="445"/>
      <c r="AS535" s="444"/>
      <c r="AT535" s="444"/>
      <c r="AU535" s="444"/>
      <c r="AV535" s="444"/>
      <c r="AW535" s="445"/>
      <c r="AX535" s="28"/>
      <c r="AY535" s="28"/>
      <c r="AZ535" s="28"/>
      <c r="BA535" s="28"/>
      <c r="BB535" s="312"/>
      <c r="BC535" s="28"/>
      <c r="BD535" s="28"/>
      <c r="BE535" s="28"/>
      <c r="BF535" s="28"/>
      <c r="BG535" s="312"/>
      <c r="BH535" s="28"/>
      <c r="BI535" s="28"/>
      <c r="BJ535" s="28"/>
      <c r="BK535" s="28"/>
      <c r="BL535" s="312"/>
      <c r="BM535" s="28"/>
      <c r="BN535" s="28"/>
      <c r="BO535" s="28"/>
      <c r="BP535" s="28"/>
      <c r="BQ535" s="312"/>
      <c r="BR535" s="28"/>
      <c r="BS535" s="28"/>
      <c r="BT535" s="28"/>
      <c r="BU535" s="28"/>
      <c r="BV535" s="312"/>
      <c r="BW535" s="28"/>
      <c r="BX535" s="28"/>
      <c r="BY535" s="28"/>
      <c r="BZ535" s="28"/>
      <c r="CA535" s="312"/>
      <c r="CB535" s="28"/>
      <c r="CC535" s="28"/>
      <c r="CD535" s="28"/>
      <c r="CE535" s="28"/>
      <c r="CF535" s="312"/>
      <c r="CG535" s="28"/>
      <c r="CH535" s="28"/>
      <c r="CI535" s="28"/>
      <c r="CJ535" s="28"/>
      <c r="CK535" s="312"/>
      <c r="CL535" s="28"/>
      <c r="CM535" s="933"/>
      <c r="CN535" s="28"/>
      <c r="CO535" s="28"/>
      <c r="CP535" s="312"/>
      <c r="CQ535" s="933"/>
      <c r="CR535" s="933"/>
      <c r="CS535" s="933"/>
      <c r="CT535" s="933"/>
      <c r="CU535" s="312"/>
      <c r="CV535" s="933"/>
      <c r="CW535" s="933"/>
      <c r="CX535" s="933"/>
      <c r="CY535" s="933"/>
      <c r="CZ535" s="312"/>
      <c r="DA535" s="933"/>
      <c r="DB535" s="28"/>
      <c r="DC535" s="28"/>
      <c r="DD535" s="876"/>
      <c r="DE535" s="445"/>
      <c r="DF535" s="982"/>
      <c r="DG535" s="444"/>
      <c r="DH535" s="444"/>
      <c r="DI535" s="1788"/>
      <c r="DJ535" s="445"/>
      <c r="DK535" s="982"/>
      <c r="DL535" s="444"/>
      <c r="DM535" s="444"/>
      <c r="DN535" s="1788"/>
      <c r="DO535" s="445"/>
      <c r="DP535" s="444"/>
      <c r="DQ535" s="444"/>
      <c r="DR535" s="444"/>
      <c r="DS535" s="1788"/>
      <c r="DT535" s="445"/>
      <c r="DU535" s="982"/>
      <c r="DV535" s="982"/>
      <c r="DW535" s="982"/>
      <c r="DX535" s="1875"/>
      <c r="DY535" s="445"/>
      <c r="DZ535" s="982"/>
      <c r="EA535" s="982"/>
      <c r="EB535" s="982"/>
      <c r="EC535" s="1875"/>
      <c r="ED535" s="1866"/>
      <c r="EE535" s="982"/>
      <c r="EF535" s="982"/>
      <c r="EG535" s="982"/>
      <c r="EH535" s="1875"/>
      <c r="EI535" s="445"/>
      <c r="EJ535" s="445"/>
      <c r="EK535" s="445"/>
      <c r="EL535" s="445"/>
      <c r="EM535" s="445"/>
      <c r="EN535" s="445"/>
      <c r="EO535" s="445"/>
      <c r="EP535" s="445"/>
      <c r="EQ535" s="445"/>
      <c r="ER535" s="445"/>
      <c r="ES535" s="445"/>
      <c r="ET535" s="445"/>
      <c r="EU535" s="445"/>
      <c r="EV535" s="445"/>
      <c r="EW535" s="445"/>
      <c r="EX535" s="445"/>
    </row>
    <row r="536" spans="1:154" collapsed="1">
      <c r="B536" s="1389" t="s">
        <v>597</v>
      </c>
      <c r="C536" s="2010"/>
      <c r="D536" s="894"/>
      <c r="E536" s="894"/>
      <c r="F536" s="895"/>
      <c r="G536" s="895"/>
      <c r="H536" s="895"/>
      <c r="I536" s="895"/>
      <c r="J536" s="895"/>
      <c r="K536" s="895"/>
      <c r="L536" s="895"/>
      <c r="M536" s="895"/>
      <c r="N536" s="895"/>
      <c r="O536" s="896"/>
      <c r="P536" s="895"/>
      <c r="Q536" s="895"/>
      <c r="R536" s="895"/>
      <c r="S536" s="895"/>
      <c r="T536" s="896"/>
      <c r="U536" s="895"/>
      <c r="V536" s="895"/>
      <c r="W536" s="895"/>
      <c r="X536" s="899"/>
      <c r="Y536" s="896"/>
      <c r="Z536" s="895"/>
      <c r="AA536" s="895"/>
      <c r="AB536" s="895"/>
      <c r="AC536" s="899"/>
      <c r="AD536" s="896"/>
      <c r="AE536" s="895"/>
      <c r="AF536" s="895"/>
      <c r="AG536" s="895"/>
      <c r="AH536" s="899"/>
      <c r="AI536" s="896"/>
      <c r="AJ536" s="895"/>
      <c r="AK536" s="895"/>
      <c r="AL536" s="895"/>
      <c r="AM536" s="899"/>
      <c r="AN536" s="896"/>
      <c r="AO536" s="895"/>
      <c r="AP536" s="895"/>
      <c r="AQ536" s="897"/>
      <c r="AR536" s="899"/>
      <c r="AS536" s="896"/>
      <c r="AT536" s="895"/>
      <c r="AU536" s="895"/>
      <c r="AV536" s="895"/>
      <c r="AW536" s="899"/>
      <c r="AX536" s="896"/>
      <c r="AY536" s="895"/>
      <c r="AZ536" s="895"/>
      <c r="BA536" s="895"/>
      <c r="BB536" s="899"/>
      <c r="BC536" s="896"/>
      <c r="BD536" s="895"/>
      <c r="BE536" s="895"/>
      <c r="BF536" s="895"/>
      <c r="BG536" s="899"/>
      <c r="BH536" s="896"/>
      <c r="BI536" s="895"/>
      <c r="BJ536" s="895"/>
      <c r="BK536" s="895"/>
      <c r="BL536" s="899"/>
      <c r="BM536" s="895"/>
      <c r="BN536" s="908"/>
      <c r="BO536" s="895"/>
      <c r="BP536" s="895"/>
      <c r="BQ536" s="899"/>
      <c r="BR536" s="895"/>
      <c r="BS536" s="908"/>
      <c r="BT536" s="895"/>
      <c r="BU536" s="895"/>
      <c r="BV536" s="899"/>
      <c r="BW536" s="908"/>
      <c r="BX536" s="908"/>
      <c r="BY536" s="908"/>
      <c r="BZ536" s="908"/>
      <c r="CA536" s="899"/>
      <c r="CB536" s="908"/>
      <c r="CC536" s="895"/>
      <c r="CD536" s="908"/>
      <c r="CE536" s="908"/>
      <c r="CF536" s="899"/>
      <c r="CG536" s="908"/>
      <c r="CH536" s="908"/>
      <c r="CI536" s="908"/>
      <c r="CJ536" s="908"/>
      <c r="CK536" s="899"/>
      <c r="CL536" s="1015"/>
      <c r="CM536" s="895"/>
      <c r="CN536" s="908"/>
      <c r="CO536" s="908"/>
      <c r="CP536" s="909"/>
      <c r="CQ536" s="895"/>
      <c r="CR536" s="895"/>
      <c r="CS536" s="895"/>
      <c r="CT536" s="895"/>
      <c r="CU536" s="909"/>
      <c r="CV536" s="895"/>
      <c r="CW536" s="895"/>
      <c r="CX536" s="895"/>
      <c r="CY536" s="895"/>
      <c r="CZ536" s="909"/>
      <c r="DA536" s="895"/>
      <c r="DB536" s="1460"/>
      <c r="DC536" s="1460"/>
      <c r="DD536" s="1573"/>
      <c r="DE536" s="909"/>
      <c r="DF536" s="2454">
        <f>DF537-DD537</f>
      </c>
      <c r="DG536" s="2455">
        <f>DG537-DF537</f>
      </c>
      <c r="DH536" s="2455">
        <f>DH537-DG537</f>
      </c>
      <c r="DI536" s="2455">
        <f>DI537-DH537</f>
      </c>
      <c r="DJ536" s="909">
        <f>SUM(DF536:DI536)</f>
      </c>
      <c r="DK536" s="2454">
        <f>DK537-DI537</f>
      </c>
      <c r="DL536" s="2455">
        <f>DL537-DK537</f>
      </c>
      <c r="DM536" s="2455">
        <f>DM537-DL537</f>
      </c>
      <c r="DN536" s="2455">
        <f>DN537-DM537</f>
      </c>
      <c r="DO536" s="909">
        <f>SUM(DK536:DN536)</f>
      </c>
      <c r="DP536" s="2227">
        <f>DP537-DN537</f>
      </c>
      <c r="DQ536" s="2227">
        <f>DQ537-DP537</f>
      </c>
      <c r="DR536" s="2227">
        <f>DR537-DQ537</f>
      </c>
      <c r="DS536" s="2227">
        <f>DS537-DR537</f>
      </c>
      <c r="DT536" s="909">
        <f>SUM(DP536:DS536)</f>
      </c>
      <c r="DU536" s="2227">
        <f>DU537-DS537</f>
      </c>
      <c r="DV536" s="2227">
        <f>DV537-DU537</f>
      </c>
      <c r="DW536" s="2227">
        <f>DW537-DV537</f>
      </c>
      <c r="DX536" s="2227">
        <f>DX537-DW537</f>
      </c>
      <c r="DY536" s="899">
        <f>SUM(DU536:DX536)</f>
      </c>
      <c r="DZ536" s="2227">
        <f>DZ537-DX537</f>
      </c>
      <c r="EA536" s="2227">
        <f>EA537-DZ537</f>
      </c>
      <c r="EB536" s="2227">
        <f>EB537-EA537</f>
      </c>
      <c r="EC536" s="2227">
        <f>EC537-EB537</f>
      </c>
      <c r="ED536" s="899">
        <f>SUM(DZ536:EC536)</f>
      </c>
      <c r="EE536" s="2227">
        <f>EE537-EC537</f>
      </c>
      <c r="EF536" s="2227">
        <f>EF537-EE537</f>
      </c>
      <c r="EG536" s="2227">
        <f>EG537-EF537</f>
      </c>
      <c r="EH536" s="2227">
        <f t="shared" ref="EH536" si="1342">EH537-EG537</f>
      </c>
      <c r="EI536" s="899" t="s">
        <v>29</v>
      </c>
      <c r="EJ536" s="909"/>
      <c r="EK536" s="909"/>
      <c r="EL536" s="909"/>
      <c r="EM536" s="909"/>
      <c r="EN536" s="909"/>
      <c r="EO536" s="909"/>
      <c r="EP536" s="909"/>
      <c r="EQ536" s="909"/>
      <c r="ER536" s="909"/>
      <c r="ES536" s="909"/>
      <c r="ET536" s="909"/>
      <c r="EU536" s="909"/>
      <c r="EV536" s="909"/>
      <c r="EW536" s="909"/>
      <c r="EX536" s="909"/>
    </row>
    <row r="537" spans="1:154">
      <c r="A537" s="3275" t="str">
        <f>+A539&amp;" - US"</f>
      </c>
      <c r="B537" s="3342" t="s">
        <v>925</v>
      </c>
      <c r="C537" s="2009">
        <v>47331</v>
      </c>
      <c r="D537" s="894"/>
      <c r="E537" s="894"/>
      <c r="F537" s="895"/>
      <c r="G537" s="895"/>
      <c r="H537" s="895"/>
      <c r="I537" s="895"/>
      <c r="J537" s="895"/>
      <c r="K537" s="895"/>
      <c r="L537" s="895"/>
      <c r="M537" s="895"/>
      <c r="N537" s="895"/>
      <c r="O537" s="896"/>
      <c r="P537" s="895"/>
      <c r="Q537" s="895"/>
      <c r="R537" s="895"/>
      <c r="S537" s="895"/>
      <c r="T537" s="896"/>
      <c r="U537" s="895"/>
      <c r="V537" s="895"/>
      <c r="W537" s="895"/>
      <c r="X537" s="899"/>
      <c r="Y537" s="896"/>
      <c r="Z537" s="895"/>
      <c r="AA537" s="895"/>
      <c r="AB537" s="895"/>
      <c r="AC537" s="899"/>
      <c r="AD537" s="896"/>
      <c r="AE537" s="895"/>
      <c r="AF537" s="895"/>
      <c r="AG537" s="895"/>
      <c r="AH537" s="899"/>
      <c r="AI537" s="896"/>
      <c r="AJ537" s="895"/>
      <c r="AK537" s="895"/>
      <c r="AL537" s="895"/>
      <c r="AM537" s="899"/>
      <c r="AN537" s="896"/>
      <c r="AO537" s="895"/>
      <c r="AP537" s="895"/>
      <c r="AQ537" s="897"/>
      <c r="AR537" s="899"/>
      <c r="AS537" s="896"/>
      <c r="AT537" s="895"/>
      <c r="AU537" s="895"/>
      <c r="AV537" s="895"/>
      <c r="AW537" s="899"/>
      <c r="AX537" s="896"/>
      <c r="AY537" s="895"/>
      <c r="AZ537" s="895"/>
      <c r="BA537" s="895"/>
      <c r="BB537" s="899"/>
      <c r="BC537" s="896"/>
      <c r="BD537" s="895"/>
      <c r="BE537" s="895"/>
      <c r="BF537" s="895"/>
      <c r="BG537" s="899"/>
      <c r="BH537" s="896"/>
      <c r="BI537" s="895"/>
      <c r="BJ537" s="895"/>
      <c r="BK537" s="895"/>
      <c r="BL537" s="899"/>
      <c r="BM537" s="895"/>
      <c r="BN537" s="895"/>
      <c r="BO537" s="895"/>
      <c r="BP537" s="895"/>
      <c r="BQ537" s="899"/>
      <c r="BR537" s="895"/>
      <c r="BS537" s="895"/>
      <c r="BT537" s="895"/>
      <c r="BU537" s="895"/>
      <c r="BV537" s="899"/>
      <c r="BW537" s="895"/>
      <c r="BX537" s="895"/>
      <c r="BY537" s="895"/>
      <c r="BZ537" s="895"/>
      <c r="CA537" s="899"/>
      <c r="CB537" s="895"/>
      <c r="CC537" s="895"/>
      <c r="CD537" s="895"/>
      <c r="CE537" s="895"/>
      <c r="CF537" s="899"/>
      <c r="CG537" s="895"/>
      <c r="CH537" s="895"/>
      <c r="CI537" s="895"/>
      <c r="CJ537" s="1177">
        <v>15</v>
      </c>
      <c r="CK537" s="1015">
        <f>SUM(CG537:CJ537)</f>
      </c>
      <c r="CL537" s="1176">
        <v>87</v>
      </c>
      <c r="CM537" s="1177">
        <v>91</v>
      </c>
      <c r="CN537" s="1177">
        <v>140</v>
      </c>
      <c r="CO537" s="908">
        <v>151</v>
      </c>
      <c r="CP537" s="1369">
        <f>SUM(CL537:CO537)</f>
      </c>
      <c r="CQ537" s="908">
        <v>201</v>
      </c>
      <c r="CR537" s="908">
        <v>212</v>
      </c>
      <c r="CS537" s="908">
        <v>230</v>
      </c>
      <c r="CT537" s="908">
        <v>241</v>
      </c>
      <c r="CU537" s="909">
        <f>SUM(CQ537:CT537)</f>
      </c>
      <c r="CV537" s="908">
        <v>264</v>
      </c>
      <c r="CW537" s="908">
        <v>298</v>
      </c>
      <c r="CX537" s="908">
        <v>318</v>
      </c>
      <c r="CY537" s="908">
        <v>323</v>
      </c>
      <c r="CZ537" s="909">
        <f>SUM(CV537:CY537)</f>
      </c>
      <c r="DA537" s="908">
        <v>352</v>
      </c>
      <c r="DB537" s="908">
        <v>369</v>
      </c>
      <c r="DC537" s="577">
        <v>402</v>
      </c>
      <c r="DD537" s="908">
        <v>444.3</v>
      </c>
      <c r="DE537" s="899">
        <f>SUM(DA537:DD537)</f>
      </c>
      <c r="DF537" s="710">
        <v>463</v>
      </c>
      <c r="DG537" s="710">
        <v>492</v>
      </c>
      <c r="DH537" s="710">
        <v>585</v>
      </c>
      <c r="DI537" s="908">
        <v>692</v>
      </c>
      <c r="DJ537" s="899">
        <f>SUM(DF537:DI537)</f>
      </c>
      <c r="DK537" s="1544">
        <v>691</v>
      </c>
      <c r="DL537" s="710">
        <v>770</v>
      </c>
      <c r="DM537" s="710">
        <v>841</v>
      </c>
      <c r="DN537" s="908">
        <v>867</v>
      </c>
      <c r="DO537" s="899">
        <f>SUM(DK537:DN537)</f>
      </c>
      <c r="DP537" s="710">
        <v>953</v>
      </c>
      <c r="DQ537" s="710">
        <v>1021</v>
      </c>
      <c r="DR537" s="710">
        <v>1097</v>
      </c>
      <c r="DS537" s="1839">
        <v>1139</v>
      </c>
      <c r="DT537" s="899">
        <f>SUM(DP537:DS537)</f>
      </c>
      <c r="DU537" s="710">
        <v>1191</v>
      </c>
      <c r="DV537" s="710">
        <v>1322</v>
      </c>
      <c r="DW537" s="710">
        <v>1369</v>
      </c>
      <c r="DX537" s="710">
        <v>1395</v>
      </c>
      <c r="DY537" s="899">
        <f>SUM(DU537:DX537)</f>
      </c>
      <c r="DZ537" s="710">
        <v>1464</v>
      </c>
      <c r="EA537" s="710">
        <v>1641</v>
      </c>
      <c r="EB537" s="710">
        <v>1684</v>
      </c>
      <c r="EC537" s="1839">
        <v>1799</v>
      </c>
      <c r="ED537" s="899">
        <f>SUM(DZ537:EC537)</f>
      </c>
      <c r="EE537" s="710">
        <v>1829</v>
      </c>
      <c r="EF537" s="710">
        <v>2017</v>
      </c>
      <c r="EG537" s="710">
        <v>2088</v>
      </c>
      <c r="EH537" s="1556">
        <f>+EI537-SUM(EE537:EG537)</f>
      </c>
      <c r="EI537" s="899">
        <f>(EI542+1)*ED537</f>
      </c>
      <c r="EJ537" s="899">
        <f t="shared" ref="EJ537:ET537" si="1343">(EJ542+1)*EI537</f>
      </c>
      <c r="EK537" s="899">
        <f t="shared" si="1343"/>
      </c>
      <c r="EL537" s="899">
        <f t="shared" si="1343"/>
      </c>
      <c r="EM537" s="899">
        <f t="shared" si="1343"/>
      </c>
      <c r="EN537" s="899">
        <f t="shared" si="1343"/>
      </c>
      <c r="EO537" s="899">
        <f t="shared" si="1343"/>
      </c>
      <c r="EP537" s="899">
        <f t="shared" si="1343"/>
      </c>
      <c r="EQ537" s="899">
        <f t="shared" si="1343"/>
      </c>
      <c r="ER537" s="899">
        <f t="shared" si="1343"/>
      </c>
      <c r="ES537" s="899">
        <f t="shared" si="1343"/>
      </c>
      <c r="ET537" s="899">
        <f t="shared" si="1343"/>
      </c>
      <c r="EU537" s="899">
        <f t="shared" ref="EU537:EW538" si="1344">(EU542+1)*ET537</f>
      </c>
      <c r="EV537" s="899">
        <f t="shared" si="1344"/>
      </c>
      <c r="EW537" s="899">
        <f t="shared" si="1344"/>
      </c>
      <c r="EX537" s="899"/>
    </row>
    <row r="538" spans="1:154">
      <c r="A538" s="3275" t="str">
        <f>+A539&amp;" - OUS"</f>
      </c>
      <c r="B538" s="3342" t="s">
        <v>412</v>
      </c>
      <c r="C538" s="2009">
        <v>47908</v>
      </c>
      <c r="D538" s="894"/>
      <c r="E538" s="894"/>
      <c r="F538" s="895"/>
      <c r="G538" s="895"/>
      <c r="H538" s="895"/>
      <c r="I538" s="895"/>
      <c r="J538" s="895"/>
      <c r="K538" s="895"/>
      <c r="L538" s="895"/>
      <c r="M538" s="895"/>
      <c r="N538" s="895"/>
      <c r="O538" s="896"/>
      <c r="P538" s="895"/>
      <c r="Q538" s="895"/>
      <c r="R538" s="895"/>
      <c r="S538" s="895"/>
      <c r="T538" s="896"/>
      <c r="U538" s="895"/>
      <c r="V538" s="895"/>
      <c r="W538" s="895"/>
      <c r="X538" s="898"/>
      <c r="Y538" s="896"/>
      <c r="Z538" s="895"/>
      <c r="AA538" s="895"/>
      <c r="AB538" s="895"/>
      <c r="AC538" s="898"/>
      <c r="AD538" s="896"/>
      <c r="AE538" s="895"/>
      <c r="AF538" s="895"/>
      <c r="AG538" s="895"/>
      <c r="AH538" s="898"/>
      <c r="AI538" s="896"/>
      <c r="AJ538" s="895"/>
      <c r="AK538" s="895"/>
      <c r="AL538" s="895"/>
      <c r="AM538" s="898"/>
      <c r="AN538" s="896"/>
      <c r="AO538" s="895"/>
      <c r="AP538" s="895"/>
      <c r="AQ538" s="897"/>
      <c r="AR538" s="898"/>
      <c r="AS538" s="896"/>
      <c r="AT538" s="895"/>
      <c r="AU538" s="895"/>
      <c r="AV538" s="895"/>
      <c r="AW538" s="898"/>
      <c r="AX538" s="896"/>
      <c r="AY538" s="895"/>
      <c r="AZ538" s="895"/>
      <c r="BA538" s="895"/>
      <c r="BB538" s="898"/>
      <c r="BC538" s="896"/>
      <c r="BD538" s="895"/>
      <c r="BE538" s="895"/>
      <c r="BF538" s="895"/>
      <c r="BG538" s="898"/>
      <c r="BH538" s="896"/>
      <c r="BI538" s="895"/>
      <c r="BJ538" s="895"/>
      <c r="BK538" s="895"/>
      <c r="BL538" s="898"/>
      <c r="BM538" s="895"/>
      <c r="BN538" s="895"/>
      <c r="BO538" s="895"/>
      <c r="BP538" s="895"/>
      <c r="BQ538" s="898"/>
      <c r="BR538" s="895"/>
      <c r="BS538" s="895"/>
      <c r="BT538" s="895"/>
      <c r="BU538" s="895"/>
      <c r="BV538" s="898"/>
      <c r="BW538" s="895"/>
      <c r="BX538" s="895"/>
      <c r="BY538" s="895"/>
      <c r="BZ538" s="895"/>
      <c r="CA538" s="898"/>
      <c r="CB538" s="895"/>
      <c r="CC538" s="895"/>
      <c r="CD538" s="895"/>
      <c r="CE538" s="895"/>
      <c r="CF538" s="898"/>
      <c r="CG538" s="895"/>
      <c r="CH538" s="895"/>
      <c r="CI538" s="895"/>
      <c r="CJ538" s="1178"/>
      <c r="CK538" s="1015"/>
      <c r="CL538" s="1176"/>
      <c r="CM538" s="1177">
        <v>10</v>
      </c>
      <c r="CN538" s="1177">
        <v>20</v>
      </c>
      <c r="CO538" s="908">
        <v>49</v>
      </c>
      <c r="CP538" s="1369">
        <f>SUM(CL538:CO538)</f>
      </c>
      <c r="CQ538" s="908">
        <v>54</v>
      </c>
      <c r="CR538" s="908">
        <v>87</v>
      </c>
      <c r="CS538" s="908">
        <v>87</v>
      </c>
      <c r="CT538" s="908">
        <v>130</v>
      </c>
      <c r="CU538" s="909">
        <f>SUM(CQ538:CT538)</f>
      </c>
      <c r="CV538" s="908">
        <v>168</v>
      </c>
      <c r="CW538" s="908">
        <v>213</v>
      </c>
      <c r="CX538" s="908">
        <v>180</v>
      </c>
      <c r="CY538" s="908">
        <v>261</v>
      </c>
      <c r="CZ538" s="909">
        <f>SUM(CV538:CY538)</f>
      </c>
      <c r="DA538" s="908">
        <v>277</v>
      </c>
      <c r="DB538" s="908">
        <v>405</v>
      </c>
      <c r="DC538" s="577">
        <v>363</v>
      </c>
      <c r="DD538" s="908">
        <v>385.3</v>
      </c>
      <c r="DE538" s="899">
        <f>SUM(DA538:DD538)</f>
      </c>
      <c r="DF538" s="710">
        <v>474</v>
      </c>
      <c r="DG538" s="710">
        <v>409</v>
      </c>
      <c r="DH538" s="710">
        <v>514</v>
      </c>
      <c r="DI538" s="908">
        <v>561</v>
      </c>
      <c r="DJ538" s="899">
        <f>SUM(DF538:DI538)</f>
      </c>
      <c r="DK538" s="710">
        <v>674</v>
      </c>
      <c r="DL538" s="710">
        <v>663</v>
      </c>
      <c r="DM538" s="710">
        <v>739</v>
      </c>
      <c r="DN538" s="908">
        <v>778</v>
      </c>
      <c r="DO538" s="899">
        <f>SUM(DK538:DN538)</f>
      </c>
      <c r="DP538" s="710">
        <v>903</v>
      </c>
      <c r="DQ538" s="710">
        <v>965</v>
      </c>
      <c r="DR538" s="710">
        <v>955</v>
      </c>
      <c r="DS538" s="1839">
        <v>944</v>
      </c>
      <c r="DT538" s="899">
        <f>SUM(DP538:DS538)</f>
      </c>
      <c r="DU538" s="710">
        <v>1072</v>
      </c>
      <c r="DV538" s="710">
        <v>1110</v>
      </c>
      <c r="DW538" s="710">
        <v>1130</v>
      </c>
      <c r="DX538" s="710">
        <v>1154.5</v>
      </c>
      <c r="DY538" s="899">
        <f>SUM(DU538:DX538)</f>
      </c>
      <c r="DZ538" s="710">
        <v>1228</v>
      </c>
      <c r="EA538" s="710">
        <v>1237</v>
      </c>
      <c r="EB538" s="710">
        <v>1332</v>
      </c>
      <c r="EC538" s="1839">
        <v>1285</v>
      </c>
      <c r="ED538" s="899">
        <f>SUM(DZ538:EC538)</f>
      </c>
      <c r="EE538" s="710">
        <v>1409</v>
      </c>
      <c r="EF538" s="710">
        <v>1521</v>
      </c>
      <c r="EG538" s="710">
        <v>1584</v>
      </c>
      <c r="EH538" s="1556">
        <f>+EI538-SUM(EE538:EG538)</f>
      </c>
      <c r="EI538" s="899">
        <f>(EI543+1)*ED538</f>
      </c>
      <c r="EJ538" s="899">
        <f t="shared" ref="EJ538:ET538" si="1345">(EJ543+1)*EI538</f>
      </c>
      <c r="EK538" s="899">
        <f t="shared" si="1345"/>
      </c>
      <c r="EL538" s="899">
        <f t="shared" si="1345"/>
      </c>
      <c r="EM538" s="899">
        <f t="shared" si="1345"/>
      </c>
      <c r="EN538" s="899">
        <f t="shared" si="1345"/>
      </c>
      <c r="EO538" s="899">
        <f t="shared" si="1345"/>
      </c>
      <c r="EP538" s="899">
        <f t="shared" si="1345"/>
      </c>
      <c r="EQ538" s="899">
        <f t="shared" si="1345"/>
      </c>
      <c r="ER538" s="899">
        <f t="shared" si="1345"/>
      </c>
      <c r="ES538" s="899">
        <f t="shared" si="1345"/>
      </c>
      <c r="ET538" s="899">
        <f t="shared" si="1345"/>
      </c>
      <c r="EU538" s="899">
        <f t="shared" si="1344"/>
      </c>
      <c r="EV538" s="899">
        <f t="shared" si="1344"/>
      </c>
      <c r="EW538" s="899">
        <f t="shared" si="1344"/>
      </c>
      <c r="EX538" s="899"/>
    </row>
    <row r="539" spans="1:154">
      <c r="A539" s="3275" t="s">
        <v>597</v>
      </c>
      <c r="B539" s="3342" t="s">
        <v>611</v>
      </c>
      <c r="C539" s="2010"/>
      <c r="D539" s="894"/>
      <c r="E539" s="894"/>
      <c r="F539" s="895"/>
      <c r="G539" s="895"/>
      <c r="H539" s="895"/>
      <c r="I539" s="895"/>
      <c r="J539" s="895"/>
      <c r="K539" s="895"/>
      <c r="L539" s="895"/>
      <c r="M539" s="895"/>
      <c r="N539" s="895"/>
      <c r="O539" s="896"/>
      <c r="P539" s="895"/>
      <c r="Q539" s="895"/>
      <c r="R539" s="895"/>
      <c r="S539" s="895"/>
      <c r="T539" s="896"/>
      <c r="U539" s="895"/>
      <c r="V539" s="895"/>
      <c r="W539" s="895"/>
      <c r="X539" s="899"/>
      <c r="Y539" s="896"/>
      <c r="Z539" s="895"/>
      <c r="AA539" s="895"/>
      <c r="AB539" s="895"/>
      <c r="AC539" s="899"/>
      <c r="AD539" s="896"/>
      <c r="AE539" s="895"/>
      <c r="AF539" s="895"/>
      <c r="AG539" s="895"/>
      <c r="AH539" s="899"/>
      <c r="AI539" s="896"/>
      <c r="AJ539" s="895"/>
      <c r="AK539" s="895"/>
      <c r="AL539" s="895"/>
      <c r="AM539" s="899"/>
      <c r="AN539" s="896"/>
      <c r="AO539" s="895"/>
      <c r="AP539" s="895"/>
      <c r="AQ539" s="897"/>
      <c r="AR539" s="899"/>
      <c r="AS539" s="896"/>
      <c r="AT539" s="895"/>
      <c r="AU539" s="895"/>
      <c r="AV539" s="895"/>
      <c r="AW539" s="899"/>
      <c r="AX539" s="896"/>
      <c r="AY539" s="895"/>
      <c r="AZ539" s="895"/>
      <c r="BA539" s="895"/>
      <c r="BB539" s="899"/>
      <c r="BC539" s="896"/>
      <c r="BD539" s="895"/>
      <c r="BE539" s="895"/>
      <c r="BF539" s="895"/>
      <c r="BG539" s="899"/>
      <c r="BH539" s="896"/>
      <c r="BI539" s="895"/>
      <c r="BJ539" s="895"/>
      <c r="BK539" s="895"/>
      <c r="BL539" s="899"/>
      <c r="BM539" s="895"/>
      <c r="BN539" s="895"/>
      <c r="BO539" s="895"/>
      <c r="BP539" s="895"/>
      <c r="BQ539" s="899"/>
      <c r="BR539" s="895"/>
      <c r="BS539" s="895"/>
      <c r="BT539" s="895"/>
      <c r="BU539" s="895"/>
      <c r="BV539" s="899"/>
      <c r="BW539" s="908"/>
      <c r="BX539" s="895"/>
      <c r="BY539" s="895"/>
      <c r="BZ539" s="895"/>
      <c r="CA539" s="899"/>
      <c r="CB539" s="895"/>
      <c r="CC539" s="895"/>
      <c r="CD539" s="895"/>
      <c r="CE539" s="895"/>
      <c r="CF539" s="899"/>
      <c r="CG539" s="895"/>
      <c r="CH539" s="895"/>
      <c r="CI539" s="895"/>
      <c r="CJ539" s="895">
        <f t="shared" ref="CJ539:CP539" si="1346">CJ537+CJ538</f>
      </c>
      <c r="CK539" s="1015">
        <f t="shared" si="1346"/>
      </c>
      <c r="CL539" s="1015">
        <f t="shared" si="1346"/>
      </c>
      <c r="CM539" s="895">
        <f t="shared" si="1346"/>
      </c>
      <c r="CN539" s="895">
        <f t="shared" si="1346"/>
      </c>
      <c r="CO539" s="895">
        <f>CO537+CO538</f>
      </c>
      <c r="CP539" s="899">
        <f t="shared" si="1346"/>
      </c>
      <c r="CQ539" s="895">
        <f t="shared" ref="CQ539:CZ539" si="1347">CQ537+CQ538</f>
      </c>
      <c r="CR539" s="895">
        <f t="shared" si="1347"/>
      </c>
      <c r="CS539" s="895">
        <f t="shared" si="1347"/>
      </c>
      <c r="CT539" s="895">
        <f t="shared" si="1347"/>
      </c>
      <c r="CU539" s="899">
        <f t="shared" si="1347"/>
      </c>
      <c r="CV539" s="895">
        <f t="shared" si="1347"/>
      </c>
      <c r="CW539" s="895">
        <f t="shared" si="1347"/>
      </c>
      <c r="CX539" s="895">
        <f t="shared" si="1347"/>
      </c>
      <c r="CY539" s="895">
        <f t="shared" si="1347"/>
      </c>
      <c r="CZ539" s="899">
        <f t="shared" si="1347"/>
      </c>
      <c r="DA539" s="895">
        <f>SUM(DA537:DA538)</f>
      </c>
      <c r="DB539" s="895">
        <f>SUM(DB537:DB538)</f>
      </c>
      <c r="DC539" s="36">
        <f>SUM(DC537:DC538)</f>
      </c>
      <c r="DD539" s="895">
        <f>DD537+DD538</f>
      </c>
      <c r="DE539" s="899">
        <f>SUM(DA539:DD539)</f>
      </c>
      <c r="DF539" s="1542">
        <f>SUM(DF537:DF538)</f>
      </c>
      <c r="DG539" s="1542">
        <f>SUM(DG537:DG538)</f>
      </c>
      <c r="DH539" s="1542">
        <f>SUM(DH537:DH538)</f>
      </c>
      <c r="DI539" s="895">
        <f>DI537+DI538</f>
      </c>
      <c r="DJ539" s="899">
        <f>SUM(DF539:DI539)</f>
      </c>
      <c r="DK539" s="1542">
        <f>SUM(DK537:DK538)</f>
      </c>
      <c r="DL539" s="1542">
        <f>SUM(DL537:DL538)</f>
      </c>
      <c r="DM539" s="1542">
        <f>SUM(DM537:DM538)</f>
      </c>
      <c r="DN539" s="895">
        <f>DN537+DN538</f>
      </c>
      <c r="DO539" s="899">
        <f>+DO538+DO537</f>
      </c>
      <c r="DP539" s="1542">
        <f>SUM(DP537:DP538)</f>
      </c>
      <c r="DQ539" s="1542">
        <f>SUM(DQ537:DQ538)</f>
      </c>
      <c r="DR539" s="1542">
        <f>SUM(DR537:DR538)</f>
      </c>
      <c r="DS539" s="895">
        <f>DS537+DS538</f>
      </c>
      <c r="DT539" s="899">
        <f>+DT538+DT537</f>
      </c>
      <c r="DU539" s="1542">
        <f>SUM(DU537:DU538)</f>
      </c>
      <c r="DV539" s="1542">
        <f>SUM(DV537:DV538)</f>
      </c>
      <c r="DW539" s="1542">
        <f>SUM(DW537:DW538)</f>
      </c>
      <c r="DX539" s="1542">
        <f>SUM(DX537:DX538)</f>
      </c>
      <c r="DY539" s="899">
        <f>+DY538+DY537</f>
      </c>
      <c r="DZ539" s="1542">
        <f>SUM(DZ537:DZ538)</f>
      </c>
      <c r="EA539" s="1542">
        <f>SUM(EA537:EA538)</f>
      </c>
      <c r="EB539" s="1542">
        <f>SUM(EB537:EB538)</f>
      </c>
      <c r="EC539" s="895">
        <f>EC537+EC538</f>
      </c>
      <c r="ED539" s="899">
        <f>+ED538+ED537</f>
      </c>
      <c r="EE539" s="1542">
        <f>SUM(EE537:EE538)</f>
      </c>
      <c r="EF539" s="1542">
        <f>SUM(EF537:EF538)</f>
      </c>
      <c r="EG539" s="1542">
        <f>SUM(EG537:EG538)</f>
      </c>
      <c r="EH539" s="895">
        <f>EH537+EH538</f>
      </c>
      <c r="EI539" s="899">
        <f t="shared" ref="EI539:EM539" si="1348">+EI538+EI537</f>
      </c>
      <c r="EJ539" s="899">
        <f t="shared" si="1348"/>
      </c>
      <c r="EK539" s="915">
        <f t="shared" si="1348"/>
      </c>
      <c r="EL539" s="899">
        <f t="shared" si="1348"/>
      </c>
      <c r="EM539" s="899">
        <f t="shared" si="1348"/>
      </c>
      <c r="EN539" s="899">
        <f t="shared" ref="EN539:ET539" si="1349">+EN538+EN537</f>
      </c>
      <c r="EO539" s="899">
        <f t="shared" si="1349"/>
      </c>
      <c r="EP539" s="899">
        <f t="shared" si="1349"/>
      </c>
      <c r="EQ539" s="899">
        <f t="shared" si="1349"/>
      </c>
      <c r="ER539" s="899">
        <f t="shared" si="1349"/>
      </c>
      <c r="ES539" s="899">
        <f t="shared" si="1349"/>
      </c>
      <c r="ET539" s="899">
        <f t="shared" si="1349"/>
      </c>
      <c r="EU539" s="899">
        <f>+EU538+EU537</f>
      </c>
      <c r="EV539" s="899">
        <f>+EV538+EV537</f>
      </c>
      <c r="EW539" s="899">
        <f>+EW538+EW537</f>
      </c>
      <c r="EX539" s="899"/>
    </row>
    <row r="540" spans="1:154" ht="13.5" customHeight="1">
      <c r="B540" s="1391"/>
      <c r="C540" s="2010"/>
      <c r="D540" s="894"/>
      <c r="E540" s="894"/>
      <c r="F540" s="895"/>
      <c r="G540" s="895"/>
      <c r="H540" s="895"/>
      <c r="I540" s="895"/>
      <c r="J540" s="895"/>
      <c r="K540" s="895"/>
      <c r="L540" s="895"/>
      <c r="M540" s="895"/>
      <c r="N540" s="895"/>
      <c r="O540" s="896"/>
      <c r="P540" s="895"/>
      <c r="Q540" s="895"/>
      <c r="R540" s="895"/>
      <c r="S540" s="895"/>
      <c r="T540" s="896"/>
      <c r="U540" s="895"/>
      <c r="V540" s="895"/>
      <c r="W540" s="895"/>
      <c r="X540" s="899"/>
      <c r="Y540" s="896"/>
      <c r="Z540" s="895"/>
      <c r="AA540" s="895"/>
      <c r="AB540" s="895"/>
      <c r="AC540" s="899"/>
      <c r="AD540" s="896"/>
      <c r="AE540" s="895"/>
      <c r="AF540" s="895"/>
      <c r="AG540" s="895"/>
      <c r="AH540" s="899"/>
      <c r="AI540" s="896"/>
      <c r="AJ540" s="895"/>
      <c r="AK540" s="895"/>
      <c r="AL540" s="895"/>
      <c r="AM540" s="899"/>
      <c r="AN540" s="896"/>
      <c r="AO540" s="895"/>
      <c r="AP540" s="895"/>
      <c r="AQ540" s="897"/>
      <c r="AR540" s="899"/>
      <c r="AS540" s="896"/>
      <c r="AT540" s="895"/>
      <c r="AU540" s="895"/>
      <c r="AV540" s="895"/>
      <c r="AW540" s="899"/>
      <c r="AX540" s="896"/>
      <c r="AY540" s="895"/>
      <c r="AZ540" s="895"/>
      <c r="BA540" s="895"/>
      <c r="BB540" s="899"/>
      <c r="BC540" s="896"/>
      <c r="BD540" s="895"/>
      <c r="BE540" s="895"/>
      <c r="BF540" s="895"/>
      <c r="BG540" s="899"/>
      <c r="BH540" s="896"/>
      <c r="BI540" s="895"/>
      <c r="BJ540" s="895"/>
      <c r="BK540" s="895"/>
      <c r="BL540" s="899"/>
      <c r="BM540" s="895"/>
      <c r="BN540" s="895"/>
      <c r="BO540" s="895"/>
      <c r="BP540" s="895"/>
      <c r="BQ540" s="899"/>
      <c r="BR540" s="895"/>
      <c r="BS540" s="895"/>
      <c r="BT540" s="895"/>
      <c r="BU540" s="895"/>
      <c r="BV540" s="899"/>
      <c r="BW540" s="895"/>
      <c r="BX540" s="895"/>
      <c r="BY540" s="895"/>
      <c r="BZ540" s="895"/>
      <c r="CA540" s="899"/>
      <c r="CB540" s="895"/>
      <c r="CC540" s="895"/>
      <c r="CD540" s="895"/>
      <c r="CE540" s="895"/>
      <c r="CF540" s="899"/>
      <c r="CG540" s="895"/>
      <c r="CH540" s="895"/>
      <c r="CI540" s="895"/>
      <c r="CJ540" s="895"/>
      <c r="CK540" s="899"/>
      <c r="CL540" s="1015"/>
      <c r="CM540" s="895"/>
      <c r="CN540" s="895"/>
      <c r="CO540" s="895"/>
      <c r="CP540" s="899"/>
      <c r="CQ540" s="895"/>
      <c r="CR540" s="895"/>
      <c r="CS540" s="895"/>
      <c r="CT540" s="895"/>
      <c r="CU540" s="899"/>
      <c r="CV540" s="895"/>
      <c r="CW540" s="895"/>
      <c r="CX540" s="895"/>
      <c r="CY540" s="895"/>
      <c r="CZ540" s="899"/>
      <c r="DA540" s="1341"/>
      <c r="DB540" s="908"/>
      <c r="DC540" s="895"/>
      <c r="DD540" s="915"/>
      <c r="DE540" s="899">
        <f>+DE537-CZ537</f>
      </c>
      <c r="DF540" s="895"/>
      <c r="DG540" s="895"/>
      <c r="DH540" s="895"/>
      <c r="DI540" s="915"/>
      <c r="DJ540" s="899">
        <f>+DJ537-DE537</f>
      </c>
      <c r="DK540" s="895"/>
      <c r="DL540" s="895"/>
      <c r="DM540" s="895"/>
      <c r="DN540" s="915"/>
      <c r="DO540" s="899">
        <f>+DO537-DJ537</f>
      </c>
      <c r="DP540" s="895"/>
      <c r="DQ540" s="895"/>
      <c r="DR540" s="895"/>
      <c r="DS540" s="915"/>
      <c r="DT540" s="899">
        <f>+DT537-DO537</f>
      </c>
      <c r="DU540" s="2456"/>
      <c r="DV540" s="2456"/>
      <c r="DW540" s="2456"/>
      <c r="DX540" s="2456"/>
      <c r="DY540" s="899">
        <f>+DY537-DT537</f>
      </c>
      <c r="DZ540" s="2456"/>
      <c r="EA540" s="2456"/>
      <c r="EB540" s="3510"/>
      <c r="EC540" s="3511"/>
      <c r="ED540" s="899">
        <f>+ED537-DY537</f>
      </c>
      <c r="EE540" s="2456"/>
      <c r="EF540" s="2456"/>
      <c r="EG540" s="3510"/>
      <c r="EH540" s="3511"/>
      <c r="EI540" s="899"/>
      <c r="EJ540" s="899"/>
      <c r="EK540" s="915"/>
      <c r="EL540" s="899"/>
      <c r="EM540" s="899"/>
      <c r="EN540" s="899"/>
      <c r="EO540" s="899"/>
      <c r="EP540" s="899"/>
      <c r="EQ540" s="899"/>
      <c r="ER540" s="899"/>
      <c r="ES540" s="899"/>
      <c r="ET540" s="899"/>
      <c r="EU540" s="899"/>
      <c r="EV540" s="899"/>
      <c r="EW540" s="899"/>
      <c r="EX540" s="899"/>
    </row>
    <row r="541" spans="1:154">
      <c r="B541" s="3344" t="s">
        <v>932</v>
      </c>
      <c r="C541" s="2010"/>
      <c r="D541" s="894"/>
      <c r="E541" s="894"/>
      <c r="F541" s="895"/>
      <c r="G541" s="895"/>
      <c r="H541" s="895"/>
      <c r="I541" s="895"/>
      <c r="J541" s="895"/>
      <c r="K541" s="895"/>
      <c r="L541" s="895"/>
      <c r="M541" s="895"/>
      <c r="N541" s="895"/>
      <c r="O541" s="896"/>
      <c r="P541" s="895"/>
      <c r="Q541" s="895"/>
      <c r="R541" s="895"/>
      <c r="S541" s="895"/>
      <c r="T541" s="896"/>
      <c r="U541" s="895"/>
      <c r="V541" s="895"/>
      <c r="W541" s="895"/>
      <c r="X541" s="899"/>
      <c r="Y541" s="896"/>
      <c r="Z541" s="895"/>
      <c r="AA541" s="895"/>
      <c r="AB541" s="895"/>
      <c r="AC541" s="899"/>
      <c r="AD541" s="896"/>
      <c r="AE541" s="895"/>
      <c r="AF541" s="895"/>
      <c r="AG541" s="895"/>
      <c r="AH541" s="899"/>
      <c r="AI541" s="896"/>
      <c r="AJ541" s="895"/>
      <c r="AK541" s="895"/>
      <c r="AL541" s="895"/>
      <c r="AM541" s="899"/>
      <c r="AN541" s="896"/>
      <c r="AO541" s="895"/>
      <c r="AP541" s="895"/>
      <c r="AQ541" s="897"/>
      <c r="AR541" s="899"/>
      <c r="AS541" s="896"/>
      <c r="AT541" s="895"/>
      <c r="AU541" s="895"/>
      <c r="AV541" s="895"/>
      <c r="AW541" s="899"/>
      <c r="AX541" s="896"/>
      <c r="AY541" s="895"/>
      <c r="AZ541" s="895"/>
      <c r="BA541" s="895"/>
      <c r="BB541" s="899"/>
      <c r="BC541" s="896"/>
      <c r="BD541" s="895"/>
      <c r="BE541" s="895"/>
      <c r="BF541" s="895"/>
      <c r="BG541" s="899"/>
      <c r="BH541" s="896"/>
      <c r="BI541" s="895"/>
      <c r="BJ541" s="895"/>
      <c r="BK541" s="895"/>
      <c r="BL541" s="899"/>
      <c r="BM541" s="895"/>
      <c r="BN541" s="908"/>
      <c r="BO541" s="895"/>
      <c r="BP541" s="895"/>
      <c r="BQ541" s="899"/>
      <c r="BR541" s="895"/>
      <c r="BS541" s="908"/>
      <c r="BT541" s="895"/>
      <c r="BU541" s="895"/>
      <c r="BV541" s="899"/>
      <c r="BW541" s="908"/>
      <c r="BX541" s="908"/>
      <c r="BY541" s="908"/>
      <c r="BZ541" s="908"/>
      <c r="CA541" s="899"/>
      <c r="CB541" s="908"/>
      <c r="CC541" s="895"/>
      <c r="CD541" s="908"/>
      <c r="CE541" s="908"/>
      <c r="CF541" s="899"/>
      <c r="CG541" s="908"/>
      <c r="CH541" s="908"/>
      <c r="CI541" s="908"/>
      <c r="CJ541" s="908"/>
      <c r="CK541" s="899"/>
      <c r="CL541" s="1015"/>
      <c r="CM541" s="895"/>
      <c r="CN541" s="895"/>
      <c r="CO541" s="30"/>
      <c r="CP541" s="909"/>
      <c r="CQ541" s="895"/>
      <c r="CR541" s="895"/>
      <c r="CS541" s="895"/>
      <c r="CT541" s="895"/>
      <c r="CU541" s="909"/>
      <c r="CV541" s="895"/>
      <c r="CW541" s="895"/>
      <c r="CX541" s="895"/>
      <c r="CY541" s="895"/>
      <c r="CZ541" s="909"/>
      <c r="DA541" s="1459"/>
      <c r="DB541" s="1460"/>
      <c r="DC541" s="908"/>
      <c r="DD541" s="1021"/>
      <c r="DE541" s="899">
        <f>+DE538-CZ538</f>
      </c>
      <c r="DF541" s="895"/>
      <c r="DG541" s="895"/>
      <c r="DH541" s="895"/>
      <c r="DI541" s="915"/>
      <c r="DJ541" s="899">
        <f>+DJ538-DE538</f>
      </c>
      <c r="DK541" s="895"/>
      <c r="DL541" s="895"/>
      <c r="DM541" s="895"/>
      <c r="DN541" s="915"/>
      <c r="DO541" s="899">
        <f>+DO538-DJ538</f>
      </c>
      <c r="DP541" s="895"/>
      <c r="DQ541" s="895"/>
      <c r="DR541" s="895"/>
      <c r="DS541" s="915"/>
      <c r="DT541" s="899">
        <f>+DT538-DO538</f>
      </c>
      <c r="DU541" s="2456"/>
      <c r="DV541" s="2456"/>
      <c r="DW541" s="2456"/>
      <c r="DX541" s="2456"/>
      <c r="DY541" s="899">
        <f>+DY538-DT538</f>
      </c>
      <c r="DZ541" s="2456"/>
      <c r="EA541" s="2456"/>
      <c r="EB541" s="3512"/>
      <c r="EC541" s="3512"/>
      <c r="ED541" s="899">
        <f>+ED538-DY538</f>
      </c>
      <c r="EE541" s="2456"/>
      <c r="EF541" s="2456"/>
      <c r="EG541" s="3512"/>
      <c r="EH541" s="3512"/>
      <c r="EI541" s="899"/>
      <c r="EJ541" s="899"/>
      <c r="EK541" s="915"/>
      <c r="EL541" s="899"/>
      <c r="EM541" s="899"/>
      <c r="EN541" s="899"/>
      <c r="EO541" s="909"/>
      <c r="EP541" s="909"/>
      <c r="EQ541" s="909"/>
      <c r="ER541" s="909"/>
      <c r="ES541" s="909"/>
      <c r="ET541" s="909"/>
      <c r="EU541" s="909"/>
      <c r="EV541" s="909"/>
      <c r="EW541" s="909"/>
      <c r="EX541" s="909"/>
    </row>
    <row r="542" spans="1:154">
      <c r="B542" s="1390" t="s">
        <v>925</v>
      </c>
      <c r="C542" s="2011"/>
      <c r="D542" s="894"/>
      <c r="E542" s="894"/>
      <c r="F542" s="895"/>
      <c r="G542" s="895"/>
      <c r="H542" s="895"/>
      <c r="I542" s="895"/>
      <c r="J542" s="895"/>
      <c r="K542" s="895"/>
      <c r="L542" s="895"/>
      <c r="M542" s="895"/>
      <c r="N542" s="895"/>
      <c r="O542" s="896"/>
      <c r="P542" s="895"/>
      <c r="Q542" s="895"/>
      <c r="R542" s="895"/>
      <c r="S542" s="895"/>
      <c r="T542" s="896"/>
      <c r="U542" s="895"/>
      <c r="V542" s="895"/>
      <c r="W542" s="895"/>
      <c r="X542" s="899"/>
      <c r="Y542" s="896"/>
      <c r="Z542" s="895"/>
      <c r="AA542" s="895"/>
      <c r="AB542" s="895"/>
      <c r="AC542" s="899"/>
      <c r="AD542" s="896"/>
      <c r="AE542" s="895"/>
      <c r="AF542" s="895"/>
      <c r="AG542" s="895"/>
      <c r="AH542" s="899"/>
      <c r="AI542" s="896"/>
      <c r="AJ542" s="895"/>
      <c r="AK542" s="895"/>
      <c r="AL542" s="895"/>
      <c r="AM542" s="899"/>
      <c r="AN542" s="896"/>
      <c r="AO542" s="895"/>
      <c r="AP542" s="895"/>
      <c r="AQ542" s="897"/>
      <c r="AR542" s="899"/>
      <c r="AS542" s="896"/>
      <c r="AT542" s="895"/>
      <c r="AU542" s="895"/>
      <c r="AV542" s="895"/>
      <c r="AW542" s="899"/>
      <c r="AX542" s="896"/>
      <c r="AY542" s="895"/>
      <c r="AZ542" s="895"/>
      <c r="BA542" s="895"/>
      <c r="BB542" s="899"/>
      <c r="BC542" s="896"/>
      <c r="BD542" s="895"/>
      <c r="BE542" s="895"/>
      <c r="BF542" s="895"/>
      <c r="BG542" s="899"/>
      <c r="BH542" s="896"/>
      <c r="BI542" s="895"/>
      <c r="BJ542" s="895"/>
      <c r="BK542" s="895"/>
      <c r="BL542" s="899"/>
      <c r="BM542" s="895"/>
      <c r="BN542" s="895"/>
      <c r="BO542" s="895"/>
      <c r="BP542" s="895"/>
      <c r="BQ542" s="899"/>
      <c r="BR542" s="895"/>
      <c r="BS542" s="895"/>
      <c r="BT542" s="895"/>
      <c r="BU542" s="895"/>
      <c r="BV542" s="899"/>
      <c r="BW542" s="895"/>
      <c r="BX542" s="895"/>
      <c r="BY542" s="895"/>
      <c r="BZ542" s="895"/>
      <c r="CA542" s="899"/>
      <c r="CB542" s="895"/>
      <c r="CC542" s="895"/>
      <c r="CD542" s="895"/>
      <c r="CE542" s="895"/>
      <c r="CF542" s="899"/>
      <c r="CG542" s="895"/>
      <c r="CH542" s="30"/>
      <c r="CI542" s="30"/>
      <c r="CJ542" s="30"/>
      <c r="CK542" s="308"/>
      <c r="CL542" s="30"/>
      <c r="CM542" s="30"/>
      <c r="CN542" s="30"/>
      <c r="CO542" s="30">
        <f>CO537/CJ537-1</f>
      </c>
      <c r="CP542" s="308">
        <f>IF(CK537=0, "NA", CP537/CK537-1)</f>
      </c>
      <c r="CQ542" s="30"/>
      <c r="CR542" s="30"/>
      <c r="CS542" s="30"/>
      <c r="CT542" s="30"/>
      <c r="CU542" s="308">
        <f>IF(CP537=0, "NA", CU537/CP537-1)</f>
      </c>
      <c r="CV542" s="30">
        <f t="shared" ref="CV542:CX543" si="1350">CV537/CQ537-1</f>
      </c>
      <c r="CW542" s="30">
        <f t="shared" si="1350"/>
      </c>
      <c r="CX542" s="30">
        <f t="shared" si="1350"/>
      </c>
      <c r="CY542" s="927">
        <f>IF(CY537=0,"NM",+CY537/CT537-1)</f>
      </c>
      <c r="CZ542" s="308">
        <f>IF(CU537=0, "NA", CZ537/CU537-1)</f>
      </c>
      <c r="DA542" s="30">
        <f t="shared" ref="DA542:DC543" si="1351">DA537/CV537-1</f>
      </c>
      <c r="DB542" s="30">
        <f t="shared" si="1351"/>
      </c>
      <c r="DC542" s="30">
        <f t="shared" si="1351"/>
      </c>
      <c r="DD542" s="927">
        <f>IF(DD537=0,"NM",+DD537/CY537-1)</f>
      </c>
      <c r="DE542" s="308">
        <f>IF(CZ537=0, "NA", DE537/CZ537-1)</f>
      </c>
      <c r="DF542" s="30">
        <f t="shared" ref="DF542:DH543" si="1352">DF537/DA537-1</f>
      </c>
      <c r="DG542" s="30">
        <f t="shared" si="1352"/>
      </c>
      <c r="DH542" s="30">
        <f t="shared" si="1352"/>
      </c>
      <c r="DI542" s="928">
        <f>IF(DI537=0,"NM",+DI537/DD537-1)</f>
      </c>
      <c r="DJ542" s="308">
        <f>IF(DE537=0, "NA", DJ537/DE537-1)</f>
      </c>
      <c r="DK542" s="30">
        <f t="shared" ref="DK542:DM543" si="1353">DK537/DF537-1</f>
      </c>
      <c r="DL542" s="30">
        <f t="shared" si="1353"/>
      </c>
      <c r="DM542" s="30">
        <f t="shared" si="1353"/>
      </c>
      <c r="DN542" s="928">
        <f>IF(DN537=0,"NM",+DN537/DI537-1)</f>
      </c>
      <c r="DO542" s="308">
        <f>IF(DJ537=0, "NA", DO537/DJ537-1)</f>
      </c>
      <c r="DP542" s="30">
        <f t="shared" ref="DP542:EG543" si="1354">DP537/DK537-1</f>
      </c>
      <c r="DQ542" s="30">
        <f t="shared" si="1354"/>
      </c>
      <c r="DR542" s="30">
        <f t="shared" si="1354"/>
      </c>
      <c r="DS542" s="30">
        <f t="shared" si="1354"/>
      </c>
      <c r="DT542" s="308">
        <f>IF(DO537=0, "NA", DT537/DO537-1)</f>
      </c>
      <c r="DU542" s="30">
        <f t="shared" si="1354"/>
      </c>
      <c r="DV542" s="30">
        <f t="shared" si="1354"/>
      </c>
      <c r="DW542" s="30">
        <f t="shared" si="1354"/>
      </c>
      <c r="DX542" s="30">
        <f t="shared" si="1354"/>
      </c>
      <c r="DY542" s="308">
        <f>IF(DT537=0, "NA", DY537/DT537-1)</f>
      </c>
      <c r="DZ542" s="1703">
        <f>+DZ537/DU537-1</f>
      </c>
      <c r="EA542" s="1703">
        <f>+EA537/DV537-1</f>
      </c>
      <c r="EB542" s="1703">
        <f>+EB537/DW537-1</f>
      </c>
      <c r="EC542" s="1703">
        <f>+EC537/DX537-1</f>
      </c>
      <c r="ED542" s="308">
        <f>IF(DY537=0, "NA", ED537/DY537-1)</f>
      </c>
      <c r="EE542" s="1703">
        <f>+EE537/DZ537-1</f>
      </c>
      <c r="EF542" s="1703">
        <f>+EF537/EA537-1</f>
      </c>
      <c r="EG542" s="1703">
        <f>+EG537/EB537-1</f>
      </c>
      <c r="EH542" s="1063">
        <f>IF(EH537=0,"NM",+EH537/EC537-1)</f>
      </c>
      <c r="EI542" s="2219">
        <v>0.23200000000000001</v>
      </c>
      <c r="EJ542" s="2218">
        <v>0.15</v>
      </c>
      <c r="EK542" s="2219">
        <v>0.1</v>
      </c>
      <c r="EL542" s="2219">
        <v>0.05</v>
      </c>
      <c r="EM542" s="2219">
        <v>0.03</v>
      </c>
      <c r="EN542" s="660">
        <v>0.01</v>
      </c>
      <c r="EO542" s="657">
        <v>-0.05</v>
      </c>
      <c r="EP542" s="657">
        <v>-0.04</v>
      </c>
      <c r="EQ542" s="657">
        <v>-0.03</v>
      </c>
      <c r="ER542" s="657">
        <v>-0.02</v>
      </c>
      <c r="ES542" s="657">
        <v>-0.01</v>
      </c>
      <c r="ET542" s="657">
        <v>0</v>
      </c>
      <c r="EU542" s="597">
        <v>-0.4</v>
      </c>
      <c r="EV542" s="597">
        <v>-0.4</v>
      </c>
      <c r="EW542" s="597">
        <v>-0.4</v>
      </c>
      <c r="EX542" s="597"/>
    </row>
    <row r="543" spans="1:154">
      <c r="B543" s="1390" t="s">
        <v>412</v>
      </c>
      <c r="C543" s="2011"/>
      <c r="D543" s="894"/>
      <c r="E543" s="894"/>
      <c r="F543" s="895"/>
      <c r="G543" s="895"/>
      <c r="H543" s="895"/>
      <c r="I543" s="895"/>
      <c r="J543" s="895"/>
      <c r="K543" s="895"/>
      <c r="L543" s="895"/>
      <c r="M543" s="895"/>
      <c r="N543" s="895"/>
      <c r="O543" s="896"/>
      <c r="P543" s="895"/>
      <c r="Q543" s="895"/>
      <c r="R543" s="895"/>
      <c r="S543" s="895"/>
      <c r="T543" s="896"/>
      <c r="U543" s="895"/>
      <c r="V543" s="895"/>
      <c r="W543" s="895"/>
      <c r="X543" s="898"/>
      <c r="Y543" s="896"/>
      <c r="Z543" s="895"/>
      <c r="AA543" s="895"/>
      <c r="AB543" s="895"/>
      <c r="AC543" s="898"/>
      <c r="AD543" s="896"/>
      <c r="AE543" s="895"/>
      <c r="AF543" s="895"/>
      <c r="AG543" s="895"/>
      <c r="AH543" s="898"/>
      <c r="AI543" s="896"/>
      <c r="AJ543" s="895"/>
      <c r="AK543" s="895"/>
      <c r="AL543" s="895"/>
      <c r="AM543" s="898"/>
      <c r="AN543" s="896"/>
      <c r="AO543" s="895"/>
      <c r="AP543" s="895"/>
      <c r="AQ543" s="897"/>
      <c r="AR543" s="898"/>
      <c r="AS543" s="896"/>
      <c r="AT543" s="895"/>
      <c r="AU543" s="895"/>
      <c r="AV543" s="895"/>
      <c r="AW543" s="898"/>
      <c r="AX543" s="896"/>
      <c r="AY543" s="895"/>
      <c r="AZ543" s="895"/>
      <c r="BA543" s="895"/>
      <c r="BB543" s="898"/>
      <c r="BC543" s="896"/>
      <c r="BD543" s="895"/>
      <c r="BE543" s="895"/>
      <c r="BF543" s="895"/>
      <c r="BG543" s="898"/>
      <c r="BH543" s="896"/>
      <c r="BI543" s="895"/>
      <c r="BJ543" s="895"/>
      <c r="BK543" s="895"/>
      <c r="BL543" s="898"/>
      <c r="BM543" s="895"/>
      <c r="BN543" s="895"/>
      <c r="BO543" s="895"/>
      <c r="BP543" s="895"/>
      <c r="BQ543" s="898"/>
      <c r="BR543" s="895"/>
      <c r="BS543" s="895"/>
      <c r="BT543" s="895"/>
      <c r="BU543" s="895"/>
      <c r="BV543" s="898"/>
      <c r="BW543" s="895"/>
      <c r="BX543" s="895"/>
      <c r="BY543" s="895"/>
      <c r="BZ543" s="895"/>
      <c r="CA543" s="898"/>
      <c r="CB543" s="895"/>
      <c r="CC543" s="895"/>
      <c r="CD543" s="895"/>
      <c r="CE543" s="895"/>
      <c r="CF543" s="898"/>
      <c r="CG543" s="895"/>
      <c r="CH543" s="30"/>
      <c r="CI543" s="30"/>
      <c r="CJ543" s="30"/>
      <c r="CK543" s="308"/>
      <c r="CL543" s="30"/>
      <c r="CM543" s="30"/>
      <c r="CN543" s="30"/>
      <c r="CO543" s="30"/>
      <c r="CP543" s="308" t="str">
        <f>IF(CK538=0, "NA", CP538/CK538-1)</f>
      </c>
      <c r="CQ543" s="30"/>
      <c r="CR543" s="30"/>
      <c r="CS543" s="30"/>
      <c r="CT543" s="30"/>
      <c r="CU543" s="308">
        <f>IF(CP538=0, "NA", CU538/CP538-1)</f>
      </c>
      <c r="CV543" s="30">
        <f t="shared" si="1350"/>
      </c>
      <c r="CW543" s="30">
        <f t="shared" si="1350"/>
      </c>
      <c r="CX543" s="30">
        <f t="shared" si="1350"/>
      </c>
      <c r="CY543" s="960">
        <f>IF(CY538=0, "NM", CY538/CT538-1)</f>
      </c>
      <c r="CZ543" s="308">
        <f>IF(CU538=0, "NA", CZ538/CU538-1)</f>
      </c>
      <c r="DA543" s="30">
        <f t="shared" si="1351"/>
      </c>
      <c r="DB543" s="30">
        <f t="shared" si="1351"/>
      </c>
      <c r="DC543" s="30">
        <f t="shared" si="1351"/>
      </c>
      <c r="DD543" s="960">
        <f>IF(DD538=0, "NM", DD538/CY538-1)</f>
      </c>
      <c r="DE543" s="308">
        <f>IF(CZ538=0, "NA", DE538/CZ538-1)</f>
      </c>
      <c r="DF543" s="30">
        <f t="shared" si="1352"/>
      </c>
      <c r="DG543" s="30">
        <f t="shared" si="1352"/>
      </c>
      <c r="DH543" s="30">
        <f t="shared" si="1352"/>
      </c>
      <c r="DI543" s="928">
        <f>IF(DI538=0, "NM", DI538/DD538-1)</f>
      </c>
      <c r="DJ543" s="308">
        <f>IF(DE538=0, "NA", DJ538/DE538-1)</f>
      </c>
      <c r="DK543" s="30">
        <f t="shared" si="1353"/>
      </c>
      <c r="DL543" s="30">
        <f t="shared" si="1353"/>
      </c>
      <c r="DM543" s="30">
        <f t="shared" si="1353"/>
      </c>
      <c r="DN543" s="928">
        <f>IF(DN538=0, "NM", DN538/DI538-1)</f>
      </c>
      <c r="DO543" s="308">
        <f>IF(DJ538=0, "NA", DO538/DJ538-1)</f>
      </c>
      <c r="DP543" s="30">
        <f t="shared" si="1354"/>
      </c>
      <c r="DQ543" s="30">
        <f t="shared" si="1354"/>
      </c>
      <c r="DR543" s="30">
        <f t="shared" si="1354"/>
      </c>
      <c r="DS543" s="30">
        <f t="shared" si="1354"/>
      </c>
      <c r="DT543" s="308">
        <f>IF(DO538=0, "NA", DT538/DO538-1)</f>
      </c>
      <c r="DU543" s="30">
        <f t="shared" si="1354"/>
      </c>
      <c r="DV543" s="30">
        <f t="shared" si="1354"/>
      </c>
      <c r="DW543" s="30">
        <f t="shared" si="1354"/>
      </c>
      <c r="DX543" s="30">
        <f t="shared" si="1354"/>
      </c>
      <c r="DY543" s="308">
        <f>IF(DT538=0, "NA", DY538/DT538-1)</f>
      </c>
      <c r="DZ543" s="30">
        <f t="shared" si="1354"/>
      </c>
      <c r="EA543" s="926">
        <f t="shared" si="1354"/>
      </c>
      <c r="EB543" s="926">
        <f t="shared" si="1354"/>
      </c>
      <c r="EC543" s="926">
        <f t="shared" si="1354"/>
      </c>
      <c r="ED543" s="308">
        <f>IF(DY538=0, "NA", ED538/DY538-1)</f>
      </c>
      <c r="EE543" s="30">
        <f t="shared" si="1354"/>
      </c>
      <c r="EF543" s="926">
        <f t="shared" si="1354"/>
      </c>
      <c r="EG543" s="926">
        <f t="shared" si="1354"/>
      </c>
      <c r="EH543" s="928">
        <f>IF(EH538=0, "NM", EH538/EC538-1)</f>
      </c>
      <c r="EI543" s="308">
        <f t="shared" ref="EI543:EW543" si="1355">EI544+EI21</f>
      </c>
      <c r="EJ543" s="308">
        <f t="shared" si="1355"/>
      </c>
      <c r="EK543" s="409">
        <f t="shared" si="1355"/>
      </c>
      <c r="EL543" s="308">
        <f t="shared" si="1355"/>
      </c>
      <c r="EM543" s="308">
        <f t="shared" si="1355"/>
      </c>
      <c r="EN543" s="308">
        <f t="shared" si="1355"/>
      </c>
      <c r="EO543" s="309">
        <f t="shared" si="1355"/>
      </c>
      <c r="EP543" s="309">
        <f t="shared" si="1355"/>
      </c>
      <c r="EQ543" s="309">
        <f t="shared" si="1355"/>
      </c>
      <c r="ER543" s="309">
        <f t="shared" si="1355"/>
      </c>
      <c r="ES543" s="309">
        <f t="shared" si="1355"/>
      </c>
      <c r="ET543" s="309">
        <f t="shared" si="1355"/>
      </c>
      <c r="EU543" s="309">
        <f t="shared" si="1355"/>
      </c>
      <c r="EV543" s="309">
        <f t="shared" si="1355"/>
      </c>
      <c r="EW543" s="309">
        <f t="shared" si="1355"/>
      </c>
      <c r="EX543" s="309"/>
    </row>
    <row r="544" spans="1:154">
      <c r="B544" s="1390" t="s">
        <v>256</v>
      </c>
      <c r="C544" s="2010"/>
      <c r="D544" s="894"/>
      <c r="E544" s="894"/>
      <c r="F544" s="895"/>
      <c r="G544" s="895"/>
      <c r="H544" s="895"/>
      <c r="I544" s="895"/>
      <c r="J544" s="895"/>
      <c r="K544" s="895"/>
      <c r="L544" s="895"/>
      <c r="M544" s="895"/>
      <c r="N544" s="895"/>
      <c r="O544" s="896"/>
      <c r="P544" s="895"/>
      <c r="Q544" s="895"/>
      <c r="R544" s="895"/>
      <c r="S544" s="895"/>
      <c r="T544" s="896"/>
      <c r="U544" s="895"/>
      <c r="V544" s="895"/>
      <c r="W544" s="895"/>
      <c r="X544" s="899"/>
      <c r="Y544" s="896"/>
      <c r="Z544" s="895"/>
      <c r="AA544" s="895"/>
      <c r="AB544" s="895"/>
      <c r="AC544" s="899"/>
      <c r="AD544" s="896"/>
      <c r="AE544" s="895"/>
      <c r="AF544" s="895"/>
      <c r="AG544" s="895"/>
      <c r="AH544" s="899"/>
      <c r="AI544" s="896"/>
      <c r="AJ544" s="895"/>
      <c r="AK544" s="895"/>
      <c r="AL544" s="895"/>
      <c r="AM544" s="899"/>
      <c r="AN544" s="896"/>
      <c r="AO544" s="895"/>
      <c r="AP544" s="895"/>
      <c r="AQ544" s="897"/>
      <c r="AR544" s="899"/>
      <c r="AS544" s="896"/>
      <c r="AT544" s="895"/>
      <c r="AU544" s="895"/>
      <c r="AV544" s="895"/>
      <c r="AW544" s="899"/>
      <c r="AX544" s="896"/>
      <c r="AY544" s="895"/>
      <c r="AZ544" s="895"/>
      <c r="BA544" s="895"/>
      <c r="BB544" s="899"/>
      <c r="BC544" s="896"/>
      <c r="BD544" s="895"/>
      <c r="BE544" s="895"/>
      <c r="BF544" s="895"/>
      <c r="BG544" s="899"/>
      <c r="BH544" s="896"/>
      <c r="BI544" s="895"/>
      <c r="BJ544" s="895"/>
      <c r="BK544" s="895"/>
      <c r="BL544" s="899"/>
      <c r="BM544" s="895"/>
      <c r="BN544" s="895"/>
      <c r="BO544" s="895"/>
      <c r="BP544" s="895"/>
      <c r="BQ544" s="899"/>
      <c r="BR544" s="895"/>
      <c r="BS544" s="895"/>
      <c r="BT544" s="895"/>
      <c r="BU544" s="895"/>
      <c r="BV544" s="899"/>
      <c r="BW544" s="908"/>
      <c r="BX544" s="895"/>
      <c r="BY544" s="895"/>
      <c r="BZ544" s="895"/>
      <c r="CA544" s="899"/>
      <c r="CB544" s="895"/>
      <c r="CC544" s="895"/>
      <c r="CD544" s="895"/>
      <c r="CE544" s="895"/>
      <c r="CF544" s="899"/>
      <c r="CG544" s="895"/>
      <c r="CH544" s="361"/>
      <c r="CI544" s="361"/>
      <c r="CJ544" s="361"/>
      <c r="CK544" s="315"/>
      <c r="CL544" s="361"/>
      <c r="CM544" s="361"/>
      <c r="CN544" s="361"/>
      <c r="CO544" s="361"/>
      <c r="CP544" s="316"/>
      <c r="CQ544" s="361"/>
      <c r="CR544" s="361"/>
      <c r="CS544" s="361"/>
      <c r="CT544" s="361"/>
      <c r="CU544" s="316"/>
      <c r="CV544" s="925">
        <f t="shared" ref="CV544:DM544" si="1356">IF(CV538=0, "NM",CV543-CV$21)</f>
      </c>
      <c r="CW544" s="925">
        <f t="shared" si="1356"/>
      </c>
      <c r="CX544" s="925">
        <f t="shared" si="1356"/>
      </c>
      <c r="CY544" s="927">
        <f t="shared" si="1356"/>
      </c>
      <c r="CZ544" s="1060">
        <f t="shared" si="1356"/>
      </c>
      <c r="DA544" s="925">
        <f t="shared" si="1356"/>
      </c>
      <c r="DB544" s="925">
        <f t="shared" si="1356"/>
      </c>
      <c r="DC544" s="925">
        <f t="shared" si="1356"/>
      </c>
      <c r="DD544" s="927">
        <f t="shared" si="1356"/>
      </c>
      <c r="DE544" s="1060">
        <f t="shared" si="1356"/>
      </c>
      <c r="DF544" s="926">
        <f t="shared" si="1356"/>
      </c>
      <c r="DG544" s="926">
        <f t="shared" si="1356"/>
      </c>
      <c r="DH544" s="926">
        <f t="shared" si="1356"/>
      </c>
      <c r="DI544" s="928">
        <f t="shared" si="1356"/>
      </c>
      <c r="DJ544" s="1060">
        <f t="shared" si="1356"/>
      </c>
      <c r="DK544" s="926">
        <f t="shared" si="1356"/>
      </c>
      <c r="DL544" s="926">
        <f t="shared" si="1356"/>
      </c>
      <c r="DM544" s="926">
        <f t="shared" si="1356"/>
      </c>
      <c r="DN544" s="928">
        <f t="shared" ref="DN544:DT544" si="1357">IF(DN538=0, "NM",DN543-DN$21)</f>
      </c>
      <c r="DO544" s="1060">
        <f t="shared" si="1357"/>
      </c>
      <c r="DP544" s="926">
        <f t="shared" si="1357"/>
      </c>
      <c r="DQ544" s="926">
        <f t="shared" si="1357"/>
      </c>
      <c r="DR544" s="926">
        <f t="shared" si="1357"/>
      </c>
      <c r="DS544" s="926">
        <f t="shared" si="1357"/>
      </c>
      <c r="DT544" s="1060">
        <f t="shared" si="1357"/>
      </c>
      <c r="DU544" s="926">
        <f>IF(DU538=0, "NM",DU543-(-7.6%))</f>
      </c>
      <c r="DV544" s="926">
        <f>IF(DV538=0, "NM",DV543-(-2%))</f>
      </c>
      <c r="DW544" s="926">
        <f>IF(DW538=0, "NM",DW543-(2.3%))</f>
      </c>
      <c r="DX544" s="926">
        <f>IF(DX538=0, "NM",DX543-(0.5%))</f>
      </c>
      <c r="DY544" s="1060">
        <f>IF(DY538=0, "NM",DY543-DY$21)</f>
      </c>
      <c r="DZ544" s="1703">
        <f>DZ543-(-4.5%)</f>
      </c>
      <c r="EA544" s="1703">
        <f>EA543-(-6.4%)</f>
      </c>
      <c r="EB544" s="1703">
        <f>EB543-(-4.9%)</f>
      </c>
      <c r="EC544" s="1703">
        <f>EC543-(-5.7%)</f>
      </c>
      <c r="ED544" s="1060">
        <f>IF(ED538=0, "NM",ED543-ED$21)</f>
      </c>
      <c r="EE544" s="1703">
        <f>EE543-(-4.5%)</f>
      </c>
      <c r="EF544" s="1703">
        <f>EF543-(3.4%)</f>
      </c>
      <c r="EG544" s="1703">
        <f>EG543-(-4.9%)</f>
      </c>
      <c r="EH544" s="1063">
        <f>IF(EH538=0, "NM",EH543-EH$21)</f>
      </c>
      <c r="EI544" s="2219">
        <v>0.20499999999999999</v>
      </c>
      <c r="EJ544" s="2218">
        <v>0.12</v>
      </c>
      <c r="EK544" s="2219">
        <v>0.08</v>
      </c>
      <c r="EL544" s="2219">
        <v>0.04</v>
      </c>
      <c r="EM544" s="2219">
        <v>0.03</v>
      </c>
      <c r="EN544" s="2219">
        <v>0.01</v>
      </c>
      <c r="EO544" s="2061">
        <v>-0.1</v>
      </c>
      <c r="EP544" s="2061">
        <v>-0.1</v>
      </c>
      <c r="EQ544" s="2061">
        <v>-0.1</v>
      </c>
      <c r="ER544" s="2061">
        <v>-0.05</v>
      </c>
      <c r="ES544" s="2061">
        <v>-0.05</v>
      </c>
      <c r="ET544" s="2061">
        <v>0</v>
      </c>
      <c r="EU544" s="597">
        <v>-0.2</v>
      </c>
      <c r="EV544" s="597">
        <v>-0.4</v>
      </c>
      <c r="EW544" s="597">
        <v>-0.5</v>
      </c>
      <c r="EX544" s="597"/>
    </row>
    <row r="545" spans="1:154">
      <c r="B545" s="1390" t="s">
        <v>611</v>
      </c>
      <c r="C545" s="2010"/>
      <c r="D545" s="894"/>
      <c r="E545" s="894"/>
      <c r="F545" s="895"/>
      <c r="G545" s="895"/>
      <c r="H545" s="895"/>
      <c r="I545" s="895"/>
      <c r="J545" s="895"/>
      <c r="K545" s="895"/>
      <c r="L545" s="895"/>
      <c r="M545" s="895"/>
      <c r="N545" s="895"/>
      <c r="O545" s="896"/>
      <c r="P545" s="895"/>
      <c r="Q545" s="895"/>
      <c r="R545" s="895"/>
      <c r="S545" s="895"/>
      <c r="T545" s="896"/>
      <c r="U545" s="895"/>
      <c r="V545" s="895"/>
      <c r="W545" s="895"/>
      <c r="X545" s="899"/>
      <c r="Y545" s="896"/>
      <c r="Z545" s="895"/>
      <c r="AA545" s="895"/>
      <c r="AB545" s="895"/>
      <c r="AC545" s="899"/>
      <c r="AD545" s="896"/>
      <c r="AE545" s="895"/>
      <c r="AF545" s="895"/>
      <c r="AG545" s="895"/>
      <c r="AH545" s="899"/>
      <c r="AI545" s="896"/>
      <c r="AJ545" s="895"/>
      <c r="AK545" s="895"/>
      <c r="AL545" s="895"/>
      <c r="AM545" s="899"/>
      <c r="AN545" s="896"/>
      <c r="AO545" s="895"/>
      <c r="AP545" s="895"/>
      <c r="AQ545" s="897"/>
      <c r="AR545" s="899"/>
      <c r="AS545" s="896"/>
      <c r="AT545" s="895"/>
      <c r="AU545" s="895"/>
      <c r="AV545" s="895"/>
      <c r="AW545" s="899"/>
      <c r="AX545" s="896"/>
      <c r="AY545" s="895"/>
      <c r="AZ545" s="895"/>
      <c r="BA545" s="895"/>
      <c r="BB545" s="899"/>
      <c r="BC545" s="896"/>
      <c r="BD545" s="895"/>
      <c r="BE545" s="895"/>
      <c r="BF545" s="895"/>
      <c r="BG545" s="899"/>
      <c r="BH545" s="896"/>
      <c r="BI545" s="895"/>
      <c r="BJ545" s="895"/>
      <c r="BK545" s="895"/>
      <c r="BL545" s="899"/>
      <c r="BM545" s="895"/>
      <c r="BN545" s="895"/>
      <c r="BO545" s="895"/>
      <c r="BP545" s="895"/>
      <c r="BQ545" s="899"/>
      <c r="BR545" s="895"/>
      <c r="BS545" s="895"/>
      <c r="BT545" s="895"/>
      <c r="BU545" s="895"/>
      <c r="BV545" s="899"/>
      <c r="BW545" s="908"/>
      <c r="BX545" s="895"/>
      <c r="BY545" s="895"/>
      <c r="BZ545" s="895"/>
      <c r="CA545" s="899"/>
      <c r="CB545" s="895"/>
      <c r="CC545" s="895"/>
      <c r="CD545" s="895"/>
      <c r="CE545" s="895"/>
      <c r="CF545" s="899"/>
      <c r="CG545" s="895"/>
      <c r="CH545" s="30"/>
      <c r="CI545" s="30"/>
      <c r="CJ545" s="30"/>
      <c r="CK545" s="308"/>
      <c r="CL545" s="30"/>
      <c r="CM545" s="30"/>
      <c r="CN545" s="30"/>
      <c r="CO545" s="30">
        <f>IF(CJ539=0, "NA", CO539/CJ539-1)</f>
      </c>
      <c r="CP545" s="308">
        <f>IF(CK539=0, "NA", CP539/CK539-1)</f>
      </c>
      <c r="CQ545" s="30"/>
      <c r="CR545" s="30"/>
      <c r="CS545" s="30"/>
      <c r="CT545" s="30"/>
      <c r="CU545" s="308">
        <f>IF(CP539=0, "NA", CU539/CP539-1)</f>
      </c>
      <c r="CV545" s="30">
        <f>IF(CV539&lt;=0,0,(CV539/CQ539-1))</f>
      </c>
      <c r="CW545" s="30">
        <f>IF(CW539&lt;=0,0,(CW539/CR539-1))</f>
      </c>
      <c r="CX545" s="30">
        <f>IF(CX539&lt;=0,0,(CX539/CS539-1))</f>
      </c>
      <c r="CY545" s="928">
        <f>IF(CT539=0, "NM", CY539/CT539-1)</f>
      </c>
      <c r="CZ545" s="308">
        <f>IF(CU539=0, "NA", CZ539/CU539-1)</f>
      </c>
      <c r="DA545" s="30">
        <f>IF(DA539&lt;=0,0,(DA539/CV539-1))</f>
      </c>
      <c r="DB545" s="30">
        <f>IF(DB539&lt;=0,0,(DB539/CW539-1))</f>
      </c>
      <c r="DC545" s="926">
        <f>IF(DC539&lt;=0,0,(DC539/CX539-1))</f>
      </c>
      <c r="DD545" s="928">
        <f>IF(CY539=0, "NM", DD539/CY539-1)</f>
      </c>
      <c r="DE545" s="308">
        <f>IF(CZ539=0, "NA", DE539/CZ539-1)</f>
      </c>
      <c r="DF545" s="30">
        <f>IF(DF539&lt;=0,0,(DF539/DA539-1))</f>
      </c>
      <c r="DG545" s="30">
        <f>IF(DG539&lt;=0,0,(DG539/DB539-1))</f>
      </c>
      <c r="DH545" s="926">
        <f>IF(DH539&lt;=0,0,(DH539/DC539-1))</f>
      </c>
      <c r="DI545" s="928">
        <f>IF(DD539=0, "NM", DI539/DD539-1)</f>
      </c>
      <c r="DJ545" s="308">
        <f>IF(DE539=0, "NA", DJ539/DE539-1)</f>
      </c>
      <c r="DK545" s="30">
        <f>IF(DK539&lt;=0,0,(DK539/DF539-1))</f>
      </c>
      <c r="DL545" s="30">
        <f>IF(DL539&lt;=0,0,(DL539/DG539-1))</f>
      </c>
      <c r="DM545" s="926">
        <f>IF(DM539&lt;=0,0,(DM539/DH539-1))</f>
      </c>
      <c r="DN545" s="928">
        <f>DN539/DI539-1</f>
      </c>
      <c r="DO545" s="308">
        <f>IF(DJ539=0, "NA", DO539/DJ539-1)</f>
      </c>
      <c r="DP545" s="958">
        <f>IF(DK539=0, "NA", DP539/DK539-1)</f>
      </c>
      <c r="DQ545" s="30">
        <f>IF(DQ539&lt;=0,0,(DQ539/DL539-1))</f>
      </c>
      <c r="DR545" s="30">
        <f>IF(DR539&lt;=0,0,(DR539/DM539-1))</f>
      </c>
      <c r="DS545" s="928">
        <f>IF(DN539=0, "NM", DS539/DN539-1)</f>
      </c>
      <c r="DT545" s="308">
        <f t="shared" ref="DT545:EG545" si="1358">IF(DO539=0, "NA", DT539/DO539-1)</f>
      </c>
      <c r="DU545" s="958">
        <f t="shared" si="1358"/>
      </c>
      <c r="DV545" s="926">
        <f t="shared" si="1358"/>
      </c>
      <c r="DW545" s="926">
        <f t="shared" si="1358"/>
      </c>
      <c r="DX545" s="926">
        <f t="shared" si="1358"/>
      </c>
      <c r="DY545" s="308">
        <f t="shared" si="1358"/>
      </c>
      <c r="DZ545" s="926">
        <f t="shared" si="1358"/>
      </c>
      <c r="EA545" s="926">
        <f t="shared" si="1358"/>
      </c>
      <c r="EB545" s="926">
        <f t="shared" si="1358"/>
      </c>
      <c r="EC545" s="926">
        <f t="shared" si="1358"/>
      </c>
      <c r="ED545" s="308">
        <f t="shared" si="1358"/>
      </c>
      <c r="EE545" s="926">
        <f t="shared" si="1358"/>
      </c>
      <c r="EF545" s="926">
        <f t="shared" si="1358"/>
      </c>
      <c r="EG545" s="926">
        <f t="shared" si="1358"/>
      </c>
      <c r="EH545" s="928">
        <f>IF(EC539=0, "NM", EH539/EC539-1)</f>
      </c>
      <c r="EI545" s="308">
        <f>IF(ED539=0, "NA", EI539/ED539-1)</f>
      </c>
      <c r="EJ545" s="308">
        <f t="shared" ref="EJ545:EU545" si="1359">IF(EI539=0, "NA", EJ539/EI539-1)</f>
      </c>
      <c r="EK545" s="409">
        <f t="shared" si="1359"/>
      </c>
      <c r="EL545" s="308">
        <f t="shared" si="1359"/>
      </c>
      <c r="EM545" s="308">
        <f t="shared" si="1359"/>
      </c>
      <c r="EN545" s="308">
        <f t="shared" si="1359"/>
      </c>
      <c r="EO545" s="308">
        <f t="shared" si="1359"/>
      </c>
      <c r="EP545" s="308">
        <f t="shared" si="1359"/>
      </c>
      <c r="EQ545" s="308">
        <f t="shared" si="1359"/>
      </c>
      <c r="ER545" s="308">
        <f t="shared" si="1359"/>
      </c>
      <c r="ES545" s="308">
        <f t="shared" si="1359"/>
      </c>
      <c r="ET545" s="308">
        <f t="shared" si="1359"/>
      </c>
      <c r="EU545" s="308">
        <f t="shared" si="1359"/>
      </c>
      <c r="EV545" s="308">
        <f>IF(EU539=0, "NA", EV539/EU539-1)</f>
      </c>
      <c r="EW545" s="308">
        <f>IF(EV539=0, "NA", EW539/EV539-1)</f>
      </c>
      <c r="EX545" s="308"/>
    </row>
    <row r="546" spans="1:154">
      <c r="A546" s="3277"/>
      <c r="B546" s="1129"/>
      <c r="C546" s="2010"/>
      <c r="D546" s="894"/>
      <c r="E546" s="894"/>
      <c r="F546" s="895"/>
      <c r="G546" s="895"/>
      <c r="H546" s="895"/>
      <c r="I546" s="895"/>
      <c r="J546" s="895"/>
      <c r="K546" s="895"/>
      <c r="L546" s="895"/>
      <c r="M546" s="895"/>
      <c r="N546" s="895"/>
      <c r="O546" s="896"/>
      <c r="P546" s="895"/>
      <c r="Q546" s="895"/>
      <c r="R546" s="895"/>
      <c r="S546" s="895"/>
      <c r="T546" s="896"/>
      <c r="U546" s="895"/>
      <c r="V546" s="895"/>
      <c r="W546" s="895"/>
      <c r="X546" s="899"/>
      <c r="Y546" s="896"/>
      <c r="Z546" s="895"/>
      <c r="AA546" s="895"/>
      <c r="AB546" s="895"/>
      <c r="AC546" s="899"/>
      <c r="AD546" s="896"/>
      <c r="AE546" s="895"/>
      <c r="AF546" s="895"/>
      <c r="AG546" s="895"/>
      <c r="AH546" s="899"/>
      <c r="AI546" s="896"/>
      <c r="AJ546" s="895"/>
      <c r="AK546" s="895"/>
      <c r="AL546" s="895"/>
      <c r="AM546" s="899"/>
      <c r="AN546" s="896"/>
      <c r="AO546" s="895"/>
      <c r="AP546" s="895"/>
      <c r="AQ546" s="897"/>
      <c r="AR546" s="899"/>
      <c r="AS546" s="896"/>
      <c r="AT546" s="895"/>
      <c r="AU546" s="895"/>
      <c r="AV546" s="895"/>
      <c r="AW546" s="899"/>
      <c r="AX546" s="896"/>
      <c r="AY546" s="895"/>
      <c r="AZ546" s="895"/>
      <c r="BA546" s="895"/>
      <c r="BB546" s="899"/>
      <c r="BC546" s="896"/>
      <c r="BD546" s="895"/>
      <c r="BE546" s="895"/>
      <c r="BF546" s="895"/>
      <c r="BG546" s="899"/>
      <c r="BH546" s="896"/>
      <c r="BI546" s="895"/>
      <c r="BJ546" s="895"/>
      <c r="BK546" s="895"/>
      <c r="BL546" s="899"/>
      <c r="BM546" s="895"/>
      <c r="BN546" s="895"/>
      <c r="BO546" s="895"/>
      <c r="BP546" s="895"/>
      <c r="BQ546" s="899"/>
      <c r="BR546" s="895"/>
      <c r="BS546" s="895"/>
      <c r="BT546" s="895"/>
      <c r="BU546" s="895"/>
      <c r="BV546" s="899"/>
      <c r="BW546" s="908"/>
      <c r="BX546" s="895"/>
      <c r="BY546" s="895"/>
      <c r="BZ546" s="895"/>
      <c r="CA546" s="899"/>
      <c r="CB546" s="895"/>
      <c r="CC546" s="895"/>
      <c r="CD546" s="895"/>
      <c r="CE546" s="895"/>
      <c r="CF546" s="899"/>
      <c r="CG546" s="895"/>
      <c r="CH546" s="30"/>
      <c r="CI546" s="30"/>
      <c r="CJ546" s="30"/>
      <c r="CK546" s="308"/>
      <c r="CL546" s="30"/>
      <c r="CM546" s="30"/>
      <c r="CN546" s="30"/>
      <c r="CO546" s="30"/>
      <c r="CP546" s="308"/>
      <c r="CQ546" s="30"/>
      <c r="CR546" s="30"/>
      <c r="CS546" s="30"/>
      <c r="CT546" s="30"/>
      <c r="CU546" s="308"/>
      <c r="CV546" s="30"/>
      <c r="CW546" s="30"/>
      <c r="CX546" s="30"/>
      <c r="CY546" s="30"/>
      <c r="CZ546" s="308"/>
      <c r="DA546" s="30"/>
      <c r="DB546" s="30"/>
      <c r="DC546" s="30"/>
      <c r="DD546" s="409"/>
      <c r="DE546" s="308"/>
      <c r="DF546" s="30"/>
      <c r="DG546" s="30"/>
      <c r="DH546" s="30"/>
      <c r="DI546" s="409"/>
      <c r="DJ546" s="308"/>
      <c r="DK546" s="30"/>
      <c r="DL546" s="30"/>
      <c r="DM546" s="30"/>
      <c r="DN546" s="409"/>
      <c r="DO546" s="308"/>
      <c r="DP546" s="30"/>
      <c r="DQ546" s="30"/>
      <c r="DR546" s="30"/>
      <c r="DS546" s="409"/>
      <c r="DT546" s="308"/>
      <c r="DU546" s="926"/>
      <c r="DV546" s="926"/>
      <c r="DW546" s="926"/>
      <c r="DX546" s="928"/>
      <c r="DY546" s="308"/>
      <c r="DZ546" s="926"/>
      <c r="EA546" s="926"/>
      <c r="EB546" s="926"/>
      <c r="EC546" s="928"/>
      <c r="ED546" s="1060"/>
      <c r="EE546" s="926"/>
      <c r="EF546" s="926"/>
      <c r="EG546" s="926"/>
      <c r="EH546" s="928"/>
      <c r="EI546" s="308"/>
      <c r="EJ546" s="308"/>
      <c r="EK546" s="308"/>
      <c r="EL546" s="308"/>
      <c r="EM546" s="308"/>
      <c r="EN546" s="308"/>
      <c r="EO546" s="308"/>
      <c r="EP546" s="308"/>
      <c r="EQ546" s="308"/>
      <c r="ER546" s="308"/>
      <c r="ES546" s="308"/>
      <c r="ET546" s="308"/>
      <c r="EU546" s="308"/>
      <c r="EV546" s="308"/>
      <c r="EW546" s="308"/>
      <c r="EX546" s="308"/>
    </row>
    <row r="547" spans="1:154">
      <c r="A547" s="3277"/>
      <c r="B547" s="1389" t="s">
        <v>657</v>
      </c>
      <c r="C547" s="2012"/>
      <c r="D547" s="894"/>
      <c r="E547" s="894"/>
      <c r="F547" s="895"/>
      <c r="G547" s="895"/>
      <c r="H547" s="895"/>
      <c r="I547" s="895"/>
      <c r="J547" s="895"/>
      <c r="K547" s="895"/>
      <c r="L547" s="895"/>
      <c r="M547" s="895"/>
      <c r="N547" s="895"/>
      <c r="O547" s="896"/>
      <c r="P547" s="895"/>
      <c r="Q547" s="895"/>
      <c r="R547" s="895"/>
      <c r="S547" s="895"/>
      <c r="T547" s="896"/>
      <c r="U547" s="895"/>
      <c r="V547" s="895"/>
      <c r="W547" s="895"/>
      <c r="X547" s="899"/>
      <c r="Y547" s="896"/>
      <c r="Z547" s="895"/>
      <c r="AA547" s="895"/>
      <c r="AB547" s="895"/>
      <c r="AC547" s="899"/>
      <c r="AD547" s="896"/>
      <c r="AE547" s="895"/>
      <c r="AF547" s="895"/>
      <c r="AG547" s="895"/>
      <c r="AH547" s="899"/>
      <c r="AI547" s="896"/>
      <c r="AJ547" s="895"/>
      <c r="AK547" s="895"/>
      <c r="AL547" s="895"/>
      <c r="AM547" s="899"/>
      <c r="AN547" s="896"/>
      <c r="AO547" s="895"/>
      <c r="AP547" s="895"/>
      <c r="AQ547" s="897"/>
      <c r="AR547" s="899"/>
      <c r="AS547" s="896"/>
      <c r="AT547" s="895"/>
      <c r="AU547" s="895"/>
      <c r="AV547" s="895"/>
      <c r="AW547" s="899"/>
      <c r="AX547" s="896"/>
      <c r="AY547" s="895"/>
      <c r="AZ547" s="895"/>
      <c r="BA547" s="895"/>
      <c r="BB547" s="899"/>
      <c r="BC547" s="896"/>
      <c r="BD547" s="895"/>
      <c r="BE547" s="895"/>
      <c r="BF547" s="895"/>
      <c r="BG547" s="899"/>
      <c r="BH547" s="896"/>
      <c r="BI547" s="895"/>
      <c r="BJ547" s="895"/>
      <c r="BK547" s="895"/>
      <c r="BL547" s="899"/>
      <c r="BM547" s="895"/>
      <c r="BN547" s="908"/>
      <c r="BO547" s="895"/>
      <c r="BP547" s="895"/>
      <c r="BQ547" s="899"/>
      <c r="BR547" s="895"/>
      <c r="BS547" s="908"/>
      <c r="BT547" s="895"/>
      <c r="BU547" s="895"/>
      <c r="BV547" s="899"/>
      <c r="BW547" s="908"/>
      <c r="BX547" s="908"/>
      <c r="BY547" s="908"/>
      <c r="BZ547" s="908"/>
      <c r="CA547" s="899"/>
      <c r="CB547" s="908"/>
      <c r="CC547" s="895"/>
      <c r="CD547" s="908"/>
      <c r="CE547" s="908"/>
      <c r="CF547" s="899"/>
      <c r="CG547" s="908"/>
      <c r="CH547" s="908"/>
      <c r="CI547" s="908"/>
      <c r="CJ547" s="908"/>
      <c r="CK547" s="899"/>
      <c r="CL547" s="1015"/>
      <c r="CM547" s="895"/>
      <c r="CN547" s="908"/>
      <c r="CO547" s="908"/>
      <c r="CP547" s="909"/>
      <c r="CQ547" s="895"/>
      <c r="CR547" s="895"/>
      <c r="CS547" s="895"/>
      <c r="CT547" s="895"/>
      <c r="CU547" s="909"/>
      <c r="CV547" s="895"/>
      <c r="CW547" s="895"/>
      <c r="CX547" s="895"/>
      <c r="CY547" s="895"/>
      <c r="CZ547" s="909"/>
      <c r="DA547" s="895"/>
      <c r="DB547" s="908"/>
      <c r="DC547" s="908"/>
      <c r="DD547" s="1021"/>
      <c r="DE547" s="909"/>
      <c r="DF547" s="895"/>
      <c r="DG547" s="908"/>
      <c r="DH547" s="908"/>
      <c r="DI547" s="1021"/>
      <c r="DJ547" s="909"/>
      <c r="DK547" s="895"/>
      <c r="DL547" s="908"/>
      <c r="DM547" s="908"/>
      <c r="DN547" s="1021"/>
      <c r="DO547" s="909"/>
      <c r="DP547" s="908"/>
      <c r="DQ547" s="908"/>
      <c r="DR547" s="908"/>
      <c r="DS547" s="1021"/>
      <c r="DT547" s="909"/>
      <c r="DU547" s="908"/>
      <c r="DV547" s="908"/>
      <c r="DW547" s="908"/>
      <c r="DX547" s="1021"/>
      <c r="DY547" s="909"/>
      <c r="DZ547" s="908"/>
      <c r="EA547" s="908"/>
      <c r="EB547" s="908"/>
      <c r="EC547" s="1021"/>
      <c r="ED547" s="909"/>
      <c r="EE547" s="908"/>
      <c r="EF547" s="908"/>
      <c r="EG547" s="908"/>
      <c r="EH547" s="1021"/>
      <c r="EI547" s="909"/>
      <c r="EJ547" s="909"/>
      <c r="EK547" s="909"/>
      <c r="EL547" s="909"/>
      <c r="EM547" s="909"/>
      <c r="EN547" s="909"/>
      <c r="EO547" s="909"/>
      <c r="EP547" s="909"/>
      <c r="EQ547" s="909"/>
      <c r="ER547" s="909"/>
      <c r="ES547" s="909"/>
      <c r="ET547" s="909"/>
      <c r="EU547" s="909"/>
      <c r="EV547" s="909"/>
      <c r="EW547" s="909"/>
      <c r="EX547" s="909"/>
    </row>
    <row r="548" spans="1:154">
      <c r="A548" s="3277" t="str">
        <f>+A550&amp;" - US"</f>
      </c>
      <c r="B548" s="3342" t="s">
        <v>925</v>
      </c>
      <c r="C548" s="2012"/>
      <c r="D548" s="894"/>
      <c r="E548" s="894"/>
      <c r="F548" s="895"/>
      <c r="G548" s="895"/>
      <c r="H548" s="895"/>
      <c r="I548" s="895"/>
      <c r="J548" s="895"/>
      <c r="K548" s="895"/>
      <c r="L548" s="895"/>
      <c r="M548" s="895"/>
      <c r="N548" s="895"/>
      <c r="O548" s="896"/>
      <c r="P548" s="895"/>
      <c r="Q548" s="895"/>
      <c r="R548" s="895"/>
      <c r="S548" s="895"/>
      <c r="T548" s="896"/>
      <c r="U548" s="895"/>
      <c r="V548" s="895"/>
      <c r="W548" s="895"/>
      <c r="X548" s="899"/>
      <c r="Y548" s="896"/>
      <c r="Z548" s="895"/>
      <c r="AA548" s="895"/>
      <c r="AB548" s="895"/>
      <c r="AC548" s="899"/>
      <c r="AD548" s="896"/>
      <c r="AE548" s="895"/>
      <c r="AF548" s="895"/>
      <c r="AG548" s="895"/>
      <c r="AH548" s="899"/>
      <c r="AI548" s="896"/>
      <c r="AJ548" s="895"/>
      <c r="AK548" s="895"/>
      <c r="AL548" s="895"/>
      <c r="AM548" s="899"/>
      <c r="AN548" s="896"/>
      <c r="AO548" s="895"/>
      <c r="AP548" s="895"/>
      <c r="AQ548" s="897"/>
      <c r="AR548" s="899"/>
      <c r="AS548" s="896"/>
      <c r="AT548" s="895"/>
      <c r="AU548" s="895"/>
      <c r="AV548" s="895"/>
      <c r="AW548" s="899"/>
      <c r="AX548" s="896"/>
      <c r="AY548" s="895"/>
      <c r="AZ548" s="895"/>
      <c r="BA548" s="895"/>
      <c r="BB548" s="899"/>
      <c r="BC548" s="896"/>
      <c r="BD548" s="895"/>
      <c r="BE548" s="895"/>
      <c r="BF548" s="895"/>
      <c r="BG548" s="899"/>
      <c r="BH548" s="896"/>
      <c r="BI548" s="895"/>
      <c r="BJ548" s="895"/>
      <c r="BK548" s="895"/>
      <c r="BL548" s="899"/>
      <c r="BM548" s="895"/>
      <c r="BN548" s="895"/>
      <c r="BO548" s="895"/>
      <c r="BP548" s="895"/>
      <c r="BQ548" s="899"/>
      <c r="BR548" s="895"/>
      <c r="BS548" s="895"/>
      <c r="BT548" s="895"/>
      <c r="BU548" s="895"/>
      <c r="BV548" s="899"/>
      <c r="BW548" s="895"/>
      <c r="BX548" s="895"/>
      <c r="BY548" s="895"/>
      <c r="BZ548" s="895"/>
      <c r="CA548" s="899"/>
      <c r="CB548" s="895"/>
      <c r="CC548" s="895"/>
      <c r="CD548" s="895"/>
      <c r="CE548" s="895"/>
      <c r="CF548" s="899"/>
      <c r="CG548" s="895"/>
      <c r="CH548" s="895"/>
      <c r="CI548" s="895"/>
      <c r="CJ548" s="1177">
        <v>15</v>
      </c>
      <c r="CK548" s="1015"/>
      <c r="CL548" s="1176"/>
      <c r="CM548" s="1177"/>
      <c r="CN548" s="1177"/>
      <c r="CO548" s="908"/>
      <c r="CP548" s="1369"/>
      <c r="CQ548" s="908"/>
      <c r="CR548" s="908"/>
      <c r="CS548" s="908"/>
      <c r="CT548" s="908"/>
      <c r="CU548" s="909"/>
      <c r="CV548" s="908"/>
      <c r="CW548" s="908">
        <v>10</v>
      </c>
      <c r="CX548" s="908">
        <v>20</v>
      </c>
      <c r="CY548" s="915">
        <f>CZ548-CX548-CW548</f>
      </c>
      <c r="CZ548" s="909">
        <v>60</v>
      </c>
      <c r="DA548" s="908">
        <v>35</v>
      </c>
      <c r="DB548" s="895">
        <f>CW548*(1+DB553)</f>
      </c>
      <c r="DC548" s="895">
        <f>CX548*(1+DC553)</f>
      </c>
      <c r="DD548" s="915">
        <v>66</v>
      </c>
      <c r="DE548" s="899">
        <f>SUM(DA548:DD548)</f>
      </c>
      <c r="DF548" s="908">
        <v>119</v>
      </c>
      <c r="DG548" s="908">
        <v>136</v>
      </c>
      <c r="DH548" s="908">
        <v>152</v>
      </c>
      <c r="DI548" s="1021">
        <v>176</v>
      </c>
      <c r="DJ548" s="899">
        <f>SUM(DF548:DI548)</f>
      </c>
      <c r="DK548" s="908">
        <v>171</v>
      </c>
      <c r="DL548" s="908">
        <v>193</v>
      </c>
      <c r="DM548" s="908">
        <v>214</v>
      </c>
      <c r="DN548" s="1021">
        <v>235</v>
      </c>
      <c r="DO548" s="899">
        <f>SUM(DK548:DN548)</f>
      </c>
      <c r="DP548" s="908">
        <v>206</v>
      </c>
      <c r="DQ548" s="908">
        <v>233</v>
      </c>
      <c r="DR548" s="908">
        <v>254</v>
      </c>
      <c r="DS548" s="1021">
        <v>275</v>
      </c>
      <c r="DT548" s="899">
        <f>SUM(DP548:DS548)</f>
      </c>
      <c r="DU548" s="908">
        <v>249</v>
      </c>
      <c r="DV548" s="908">
        <v>241</v>
      </c>
      <c r="DW548" s="908">
        <v>288.39999999999998</v>
      </c>
      <c r="DX548" s="908">
        <v>287</v>
      </c>
      <c r="DY548" s="899">
        <f>SUM(DU548:DX548)</f>
      </c>
      <c r="DZ548" s="908">
        <v>285</v>
      </c>
      <c r="EA548" s="908">
        <v>318</v>
      </c>
      <c r="EB548" s="908">
        <v>337</v>
      </c>
      <c r="EC548" s="1021">
        <v>342</v>
      </c>
      <c r="ED548" s="899">
        <f>SUM(DZ548:EC548)</f>
      </c>
      <c r="EE548" s="908">
        <v>292</v>
      </c>
      <c r="EF548" s="908">
        <v>378</v>
      </c>
      <c r="EG548" s="908">
        <v>378</v>
      </c>
      <c r="EH548" s="895">
        <f t="shared" ref="EH548:EH549" si="1360">EC548*(1+EH553)</f>
      </c>
      <c r="EI548" s="899">
        <f>SUM(EE548:EH548)</f>
      </c>
      <c r="EJ548" s="899">
        <f t="shared" ref="EJ548:EN548" si="1361">EI548*(1+EJ553)</f>
      </c>
      <c r="EK548" s="915">
        <f t="shared" si="1361"/>
      </c>
      <c r="EL548" s="915">
        <f t="shared" si="1361"/>
      </c>
      <c r="EM548" s="915">
        <f t="shared" si="1361"/>
      </c>
      <c r="EN548" s="915">
        <f t="shared" si="1361"/>
      </c>
      <c r="EO548" s="915">
        <f t="shared" ref="EO548" si="1362">EN548*(1+EO553)</f>
      </c>
      <c r="EP548" s="915">
        <f t="shared" ref="EP548" si="1363">EO548*(1+EP553)</f>
      </c>
      <c r="EQ548" s="915">
        <f t="shared" ref="EQ548" si="1364">EP548*(1+EQ553)</f>
      </c>
      <c r="ER548" s="915">
        <f t="shared" ref="ER548" si="1365">EQ548*(1+ER553)</f>
      </c>
      <c r="ES548" s="915">
        <f t="shared" ref="ES548" si="1366">ER548*(1+ES553)</f>
      </c>
      <c r="ET548" s="915"/>
      <c r="EU548" s="915"/>
      <c r="EV548" s="915"/>
      <c r="EW548" s="915"/>
      <c r="EX548" s="915"/>
    </row>
    <row r="549" spans="1:154">
      <c r="A549" s="3277" t="str">
        <f>+A550&amp;" - OUS"</f>
      </c>
      <c r="B549" s="3342" t="s">
        <v>412</v>
      </c>
      <c r="C549" s="2012"/>
      <c r="D549" s="894"/>
      <c r="E549" s="894"/>
      <c r="F549" s="895"/>
      <c r="G549" s="895"/>
      <c r="H549" s="895"/>
      <c r="I549" s="895"/>
      <c r="J549" s="895"/>
      <c r="K549" s="895"/>
      <c r="L549" s="895"/>
      <c r="M549" s="895"/>
      <c r="N549" s="895"/>
      <c r="O549" s="896"/>
      <c r="P549" s="895"/>
      <c r="Q549" s="895"/>
      <c r="R549" s="895"/>
      <c r="S549" s="895"/>
      <c r="T549" s="896"/>
      <c r="U549" s="895"/>
      <c r="V549" s="895"/>
      <c r="W549" s="895"/>
      <c r="X549" s="898"/>
      <c r="Y549" s="896"/>
      <c r="Z549" s="895"/>
      <c r="AA549" s="895"/>
      <c r="AB549" s="895"/>
      <c r="AC549" s="898"/>
      <c r="AD549" s="896"/>
      <c r="AE549" s="895"/>
      <c r="AF549" s="895"/>
      <c r="AG549" s="895"/>
      <c r="AH549" s="898"/>
      <c r="AI549" s="896"/>
      <c r="AJ549" s="895"/>
      <c r="AK549" s="895"/>
      <c r="AL549" s="895"/>
      <c r="AM549" s="898"/>
      <c r="AN549" s="896"/>
      <c r="AO549" s="895"/>
      <c r="AP549" s="895"/>
      <c r="AQ549" s="897"/>
      <c r="AR549" s="898"/>
      <c r="AS549" s="896"/>
      <c r="AT549" s="895"/>
      <c r="AU549" s="895"/>
      <c r="AV549" s="895"/>
      <c r="AW549" s="898"/>
      <c r="AX549" s="896"/>
      <c r="AY549" s="895"/>
      <c r="AZ549" s="895"/>
      <c r="BA549" s="895"/>
      <c r="BB549" s="898"/>
      <c r="BC549" s="896"/>
      <c r="BD549" s="895"/>
      <c r="BE549" s="895"/>
      <c r="BF549" s="895"/>
      <c r="BG549" s="898"/>
      <c r="BH549" s="896"/>
      <c r="BI549" s="895"/>
      <c r="BJ549" s="895"/>
      <c r="BK549" s="895"/>
      <c r="BL549" s="898"/>
      <c r="BM549" s="895"/>
      <c r="BN549" s="895"/>
      <c r="BO549" s="895"/>
      <c r="BP549" s="895"/>
      <c r="BQ549" s="898"/>
      <c r="BR549" s="895"/>
      <c r="BS549" s="895"/>
      <c r="BT549" s="895"/>
      <c r="BU549" s="895"/>
      <c r="BV549" s="898"/>
      <c r="BW549" s="895"/>
      <c r="BX549" s="895"/>
      <c r="BY549" s="895"/>
      <c r="BZ549" s="895"/>
      <c r="CA549" s="898"/>
      <c r="CB549" s="895"/>
      <c r="CC549" s="895"/>
      <c r="CD549" s="895"/>
      <c r="CE549" s="895"/>
      <c r="CF549" s="898"/>
      <c r="CG549" s="895"/>
      <c r="CH549" s="895"/>
      <c r="CI549" s="895"/>
      <c r="CJ549" s="1178"/>
      <c r="CK549" s="1015"/>
      <c r="CL549" s="1176"/>
      <c r="CM549" s="1177"/>
      <c r="CN549" s="1177"/>
      <c r="CO549" s="908"/>
      <c r="CP549" s="1369"/>
      <c r="CQ549" s="908"/>
      <c r="CR549" s="908"/>
      <c r="CS549" s="908"/>
      <c r="CT549" s="908"/>
      <c r="CU549" s="909"/>
      <c r="CV549" s="908"/>
      <c r="CW549" s="908">
        <v>3</v>
      </c>
      <c r="CX549" s="908">
        <v>7</v>
      </c>
      <c r="CY549" s="915">
        <f>CZ549-CX549-CW549</f>
      </c>
      <c r="CZ549" s="909">
        <v>20</v>
      </c>
      <c r="DA549" s="908">
        <v>15</v>
      </c>
      <c r="DB549" s="908">
        <v>30</v>
      </c>
      <c r="DC549" s="908">
        <v>41</v>
      </c>
      <c r="DD549" s="915">
        <v>50</v>
      </c>
      <c r="DE549" s="899">
        <f>SUM(DA549:DD549)</f>
      </c>
      <c r="DF549" s="908">
        <v>24</v>
      </c>
      <c r="DG549" s="908">
        <v>33</v>
      </c>
      <c r="DH549" s="908">
        <v>55</v>
      </c>
      <c r="DI549" s="1021">
        <v>64</v>
      </c>
      <c r="DJ549" s="899">
        <f>SUM(DF549:DI549)</f>
      </c>
      <c r="DK549" s="908">
        <v>90</v>
      </c>
      <c r="DL549" s="908">
        <v>109</v>
      </c>
      <c r="DM549" s="908">
        <v>130</v>
      </c>
      <c r="DN549" s="1021">
        <v>149</v>
      </c>
      <c r="DO549" s="899">
        <f>SUM(DK549:DN549)</f>
      </c>
      <c r="DP549" s="908">
        <v>194</v>
      </c>
      <c r="DQ549" s="908">
        <v>218</v>
      </c>
      <c r="DR549" s="908">
        <v>235</v>
      </c>
      <c r="DS549" s="1021">
        <v>266</v>
      </c>
      <c r="DT549" s="899">
        <f>SUM(DP549:DS549)</f>
      </c>
      <c r="DU549" s="908">
        <v>293</v>
      </c>
      <c r="DV549" s="908">
        <v>326</v>
      </c>
      <c r="DW549" s="908">
        <v>342.4</v>
      </c>
      <c r="DX549" s="908">
        <v>360.5</v>
      </c>
      <c r="DY549" s="899">
        <f>SUM(DU549:DX549)</f>
      </c>
      <c r="DZ549" s="908">
        <v>404</v>
      </c>
      <c r="EA549" s="908">
        <v>418</v>
      </c>
      <c r="EB549" s="908">
        <v>453</v>
      </c>
      <c r="EC549" s="1021">
        <v>442</v>
      </c>
      <c r="ED549" s="899">
        <f>SUM(DZ549:EC549)</f>
      </c>
      <c r="EE549" s="908">
        <v>479</v>
      </c>
      <c r="EF549" s="908">
        <v>530</v>
      </c>
      <c r="EG549" s="908">
        <v>558</v>
      </c>
      <c r="EH549" s="895">
        <f t="shared" si="1360"/>
      </c>
      <c r="EI549" s="899">
        <f t="shared" ref="EI549:EI550" si="1367">SUM(EE549:EH549)</f>
      </c>
      <c r="EJ549" s="899">
        <f t="shared" ref="EJ549:EN549" si="1368">EI549*(1+EJ555)</f>
      </c>
      <c r="EK549" s="915">
        <f t="shared" si="1368"/>
      </c>
      <c r="EL549" s="915">
        <f t="shared" si="1368"/>
      </c>
      <c r="EM549" s="915">
        <f t="shared" si="1368"/>
      </c>
      <c r="EN549" s="915">
        <f t="shared" si="1368"/>
      </c>
      <c r="EO549" s="915">
        <f t="shared" ref="EO549" si="1369">EN549*(1+EO555)</f>
      </c>
      <c r="EP549" s="915">
        <f t="shared" ref="EP549" si="1370">EO549*(1+EP555)</f>
      </c>
      <c r="EQ549" s="915">
        <f t="shared" ref="EQ549" si="1371">EP549*(1+EQ555)</f>
      </c>
      <c r="ER549" s="915">
        <f t="shared" ref="ER549" si="1372">EQ549*(1+ER555)</f>
      </c>
      <c r="ES549" s="915">
        <f t="shared" ref="ES549" si="1373">ER549*(1+ES555)</f>
      </c>
      <c r="ET549" s="915"/>
      <c r="EU549" s="915"/>
      <c r="EV549" s="915"/>
      <c r="EW549" s="915"/>
      <c r="EX549" s="915"/>
    </row>
    <row r="550" spans="1:154">
      <c r="A550" s="3277" t="s">
        <v>657</v>
      </c>
      <c r="B550" s="3342" t="s">
        <v>611</v>
      </c>
      <c r="C550" s="2012"/>
      <c r="D550" s="894"/>
      <c r="E550" s="894"/>
      <c r="F550" s="895"/>
      <c r="G550" s="895"/>
      <c r="H550" s="895"/>
      <c r="I550" s="895"/>
      <c r="J550" s="895"/>
      <c r="K550" s="895"/>
      <c r="L550" s="895"/>
      <c r="M550" s="895"/>
      <c r="N550" s="895"/>
      <c r="O550" s="896"/>
      <c r="P550" s="895"/>
      <c r="Q550" s="895"/>
      <c r="R550" s="895"/>
      <c r="S550" s="895"/>
      <c r="T550" s="896"/>
      <c r="U550" s="895"/>
      <c r="V550" s="895"/>
      <c r="W550" s="895"/>
      <c r="X550" s="899"/>
      <c r="Y550" s="896"/>
      <c r="Z550" s="895"/>
      <c r="AA550" s="895"/>
      <c r="AB550" s="895"/>
      <c r="AC550" s="899"/>
      <c r="AD550" s="896"/>
      <c r="AE550" s="895"/>
      <c r="AF550" s="895"/>
      <c r="AG550" s="895"/>
      <c r="AH550" s="899"/>
      <c r="AI550" s="896"/>
      <c r="AJ550" s="895"/>
      <c r="AK550" s="895"/>
      <c r="AL550" s="895"/>
      <c r="AM550" s="899"/>
      <c r="AN550" s="896"/>
      <c r="AO550" s="895"/>
      <c r="AP550" s="895"/>
      <c r="AQ550" s="897"/>
      <c r="AR550" s="899"/>
      <c r="AS550" s="896"/>
      <c r="AT550" s="895"/>
      <c r="AU550" s="895"/>
      <c r="AV550" s="895"/>
      <c r="AW550" s="899"/>
      <c r="AX550" s="896"/>
      <c r="AY550" s="895"/>
      <c r="AZ550" s="895"/>
      <c r="BA550" s="895"/>
      <c r="BB550" s="899"/>
      <c r="BC550" s="896"/>
      <c r="BD550" s="895"/>
      <c r="BE550" s="895"/>
      <c r="BF550" s="895"/>
      <c r="BG550" s="899"/>
      <c r="BH550" s="896"/>
      <c r="BI550" s="895"/>
      <c r="BJ550" s="895"/>
      <c r="BK550" s="895"/>
      <c r="BL550" s="899"/>
      <c r="BM550" s="895"/>
      <c r="BN550" s="895"/>
      <c r="BO550" s="895"/>
      <c r="BP550" s="895"/>
      <c r="BQ550" s="899"/>
      <c r="BR550" s="895"/>
      <c r="BS550" s="895"/>
      <c r="BT550" s="895"/>
      <c r="BU550" s="895"/>
      <c r="BV550" s="899"/>
      <c r="BW550" s="908"/>
      <c r="BX550" s="895"/>
      <c r="BY550" s="895"/>
      <c r="BZ550" s="895"/>
      <c r="CA550" s="899"/>
      <c r="CB550" s="895"/>
      <c r="CC550" s="895"/>
      <c r="CD550" s="895"/>
      <c r="CE550" s="895"/>
      <c r="CF550" s="899"/>
      <c r="CG550" s="895"/>
      <c r="CH550" s="895"/>
      <c r="CI550" s="895"/>
      <c r="CJ550" s="895">
        <f>CJ548+CJ549</f>
      </c>
      <c r="CK550" s="1015"/>
      <c r="CL550" s="1015"/>
      <c r="CM550" s="895"/>
      <c r="CN550" s="895"/>
      <c r="CO550" s="895"/>
      <c r="CP550" s="899"/>
      <c r="CQ550" s="895"/>
      <c r="CR550" s="895"/>
      <c r="CS550" s="895"/>
      <c r="CT550" s="895"/>
      <c r="CU550" s="899"/>
      <c r="CV550" s="895"/>
      <c r="CW550" s="895">
        <f>+SUM(CW548:CW549)</f>
      </c>
      <c r="CX550" s="895">
        <f>+SUM(CX548:CX549)</f>
      </c>
      <c r="CY550" s="895">
        <f>+SUM(CY548:CY549)</f>
      </c>
      <c r="CZ550" s="899">
        <f>CZ548+CZ549</f>
      </c>
      <c r="DA550" s="895">
        <f>SUM(DA548:DA549)</f>
      </c>
      <c r="DB550" s="895">
        <f>SUM(DB548:DB549)</f>
      </c>
      <c r="DC550" s="895">
        <v>91</v>
      </c>
      <c r="DD550" s="1021">
        <v>116</v>
      </c>
      <c r="DE550" s="899">
        <v>332</v>
      </c>
      <c r="DF550" s="895">
        <f>SUM(DF548:DF549)</f>
      </c>
      <c r="DG550" s="895">
        <f>SUM(DG548:DG549)</f>
      </c>
      <c r="DH550" s="895">
        <f>SUM(DH548:DH549)</f>
      </c>
      <c r="DI550" s="915">
        <f>SUM(DI548:DI549)</f>
      </c>
      <c r="DJ550" s="899">
        <f>DJ548+DJ549</f>
      </c>
      <c r="DK550" s="895">
        <f>SUM(DK548:DK549)</f>
      </c>
      <c r="DL550" s="895">
        <f>SUM(DL548:DL549)</f>
      </c>
      <c r="DM550" s="895">
        <f>SUM(DM548:DM549)</f>
      </c>
      <c r="DN550" s="915">
        <f>SUM(DN548:DN549)</f>
      </c>
      <c r="DO550" s="899">
        <f>DO548+DO549</f>
      </c>
      <c r="DP550" s="895">
        <f>SUM(DP548:DP549)</f>
      </c>
      <c r="DQ550" s="895">
        <f>SUM(DQ548:DQ549)</f>
      </c>
      <c r="DR550" s="895">
        <f>SUM(DR548:DR549)</f>
      </c>
      <c r="DS550" s="915">
        <f>SUM(DS548:DS549)</f>
      </c>
      <c r="DT550" s="899">
        <f>DT548+DT549</f>
      </c>
      <c r="DU550" s="895">
        <f>SUM(DU548:DU549)</f>
      </c>
      <c r="DV550" s="895">
        <f>SUM(DV548:DV549)</f>
      </c>
      <c r="DW550" s="895">
        <f>SUM(DW548:DW549)</f>
      </c>
      <c r="DX550" s="895">
        <f>SUM(DX548:DX549)</f>
      </c>
      <c r="DY550" s="899">
        <f>DY548+DY549</f>
      </c>
      <c r="DZ550" s="895">
        <f>SUM(DZ548:DZ549)</f>
      </c>
      <c r="EA550" s="895">
        <f>SUM(EA548:EA549)</f>
      </c>
      <c r="EB550" s="895">
        <f>SUM(EB548:EB549)</f>
      </c>
      <c r="EC550" s="915">
        <f>SUM(EC548:EC549)</f>
      </c>
      <c r="ED550" s="899">
        <f>ED548+ED549</f>
      </c>
      <c r="EE550" s="895">
        <f>SUM(EE548:EE549)</f>
      </c>
      <c r="EF550" s="895">
        <f>SUM(EF548:EF549)</f>
      </c>
      <c r="EG550" s="895">
        <f>SUM(EG548:EG549)</f>
      </c>
      <c r="EH550" s="895">
        <f t="shared" ref="EH550" si="1374">SUM(EH548:EH549)</f>
      </c>
      <c r="EI550" s="899">
        <f t="shared" si="1367"/>
      </c>
      <c r="EJ550" s="899">
        <f t="shared" ref="EJ550:EN550" si="1375">EJ548+EJ549</f>
      </c>
      <c r="EK550" s="915">
        <f t="shared" si="1375"/>
      </c>
      <c r="EL550" s="915">
        <f t="shared" si="1375"/>
      </c>
      <c r="EM550" s="915">
        <f t="shared" si="1375"/>
      </c>
      <c r="EN550" s="915">
        <f t="shared" si="1375"/>
      </c>
      <c r="EO550" s="915">
        <f t="shared" ref="EO550:ES550" si="1376">EO548+EO549</f>
      </c>
      <c r="EP550" s="915">
        <f t="shared" si="1376"/>
      </c>
      <c r="EQ550" s="915">
        <f t="shared" si="1376"/>
      </c>
      <c r="ER550" s="915">
        <f t="shared" si="1376"/>
      </c>
      <c r="ES550" s="915">
        <f t="shared" si="1376"/>
      </c>
      <c r="ET550" s="915"/>
      <c r="EU550" s="915"/>
      <c r="EV550" s="915"/>
      <c r="EW550" s="915"/>
      <c r="EX550" s="915"/>
    </row>
    <row r="551" spans="1:154" ht="13.5" customHeight="1">
      <c r="A551" s="3277"/>
      <c r="B551" s="1391"/>
      <c r="C551" s="2010"/>
      <c r="D551" s="894"/>
      <c r="E551" s="894"/>
      <c r="F551" s="895"/>
      <c r="G551" s="895"/>
      <c r="H551" s="895"/>
      <c r="I551" s="895"/>
      <c r="J551" s="895"/>
      <c r="K551" s="895"/>
      <c r="L551" s="895"/>
      <c r="M551" s="895"/>
      <c r="N551" s="895"/>
      <c r="O551" s="896"/>
      <c r="P551" s="895"/>
      <c r="Q551" s="895"/>
      <c r="R551" s="895"/>
      <c r="S551" s="895"/>
      <c r="T551" s="896"/>
      <c r="U551" s="895"/>
      <c r="V551" s="895"/>
      <c r="W551" s="895"/>
      <c r="X551" s="899"/>
      <c r="Y551" s="896"/>
      <c r="Z551" s="895"/>
      <c r="AA551" s="895"/>
      <c r="AB551" s="895"/>
      <c r="AC551" s="899"/>
      <c r="AD551" s="896"/>
      <c r="AE551" s="895"/>
      <c r="AF551" s="895"/>
      <c r="AG551" s="895"/>
      <c r="AH551" s="899"/>
      <c r="AI551" s="896"/>
      <c r="AJ551" s="895"/>
      <c r="AK551" s="895"/>
      <c r="AL551" s="895"/>
      <c r="AM551" s="899"/>
      <c r="AN551" s="896"/>
      <c r="AO551" s="895"/>
      <c r="AP551" s="895"/>
      <c r="AQ551" s="897"/>
      <c r="AR551" s="899"/>
      <c r="AS551" s="896"/>
      <c r="AT551" s="895"/>
      <c r="AU551" s="895"/>
      <c r="AV551" s="895"/>
      <c r="AW551" s="899"/>
      <c r="AX551" s="896"/>
      <c r="AY551" s="895"/>
      <c r="AZ551" s="895"/>
      <c r="BA551" s="895"/>
      <c r="BB551" s="899"/>
      <c r="BC551" s="896"/>
      <c r="BD551" s="895"/>
      <c r="BE551" s="895"/>
      <c r="BF551" s="895"/>
      <c r="BG551" s="899"/>
      <c r="BH551" s="896"/>
      <c r="BI551" s="895"/>
      <c r="BJ551" s="895"/>
      <c r="BK551" s="895"/>
      <c r="BL551" s="899"/>
      <c r="BM551" s="895"/>
      <c r="BN551" s="895"/>
      <c r="BO551" s="895"/>
      <c r="BP551" s="895"/>
      <c r="BQ551" s="899"/>
      <c r="BR551" s="895"/>
      <c r="BS551" s="895"/>
      <c r="BT551" s="895"/>
      <c r="BU551" s="895"/>
      <c r="BV551" s="899"/>
      <c r="BW551" s="895"/>
      <c r="BX551" s="895"/>
      <c r="BY551" s="895"/>
      <c r="BZ551" s="895"/>
      <c r="CA551" s="899"/>
      <c r="CB551" s="895"/>
      <c r="CC551" s="895"/>
      <c r="CD551" s="895"/>
      <c r="CE551" s="895"/>
      <c r="CF551" s="899"/>
      <c r="CG551" s="895"/>
      <c r="CH551" s="895"/>
      <c r="CI551" s="895"/>
      <c r="CJ551" s="895"/>
      <c r="CK551" s="899"/>
      <c r="CL551" s="1015"/>
      <c r="CM551" s="895"/>
      <c r="CN551" s="895"/>
      <c r="CO551" s="895"/>
      <c r="CP551" s="899"/>
      <c r="CQ551" s="895"/>
      <c r="CR551" s="895"/>
      <c r="CS551" s="895"/>
      <c r="CT551" s="895"/>
      <c r="CU551" s="899"/>
      <c r="CV551" s="895"/>
      <c r="CW551" s="895"/>
      <c r="CX551" s="895"/>
      <c r="CY551" s="895"/>
      <c r="CZ551" s="899"/>
      <c r="DA551" s="895"/>
      <c r="DB551" s="895"/>
      <c r="DC551" s="895"/>
      <c r="DD551" s="915"/>
      <c r="DE551" s="899"/>
      <c r="DF551" s="895"/>
      <c r="DG551" s="895"/>
      <c r="DH551" s="895"/>
      <c r="DI551" s="915"/>
      <c r="DJ551" s="899"/>
      <c r="DK551" s="895"/>
      <c r="DL551" s="895"/>
      <c r="DM551" s="895"/>
      <c r="DN551" s="915"/>
      <c r="DO551" s="899"/>
      <c r="DP551" s="895"/>
      <c r="DQ551" s="895"/>
      <c r="DR551" s="895"/>
      <c r="DS551" s="915"/>
      <c r="DT551" s="899"/>
      <c r="DU551" s="895"/>
      <c r="DV551" s="895"/>
      <c r="DW551" s="895"/>
      <c r="DX551" s="895"/>
      <c r="DY551" s="899"/>
      <c r="DZ551" s="895"/>
      <c r="EA551" s="895"/>
      <c r="EB551" s="895"/>
      <c r="EC551" s="915"/>
      <c r="ED551" s="899"/>
      <c r="EE551" s="895"/>
      <c r="EF551" s="895"/>
      <c r="EG551" s="895"/>
      <c r="EH551" s="895"/>
      <c r="EI551" s="899"/>
      <c r="EJ551" s="899"/>
      <c r="EK551" s="899"/>
      <c r="EL551" s="915"/>
      <c r="EM551" s="915"/>
      <c r="EN551" s="915"/>
      <c r="EO551" s="915"/>
      <c r="EP551" s="915"/>
      <c r="EQ551" s="915"/>
      <c r="ER551" s="915"/>
      <c r="ES551" s="915"/>
      <c r="ET551" s="915"/>
      <c r="EU551" s="915"/>
      <c r="EV551" s="915"/>
      <c r="EW551" s="915"/>
      <c r="EX551" s="915"/>
    </row>
    <row r="552" spans="1:154">
      <c r="A552" s="3277"/>
      <c r="B552" s="3344" t="s">
        <v>933</v>
      </c>
      <c r="C552" s="2010"/>
      <c r="D552" s="894"/>
      <c r="E552" s="894"/>
      <c r="F552" s="895"/>
      <c r="G552" s="895"/>
      <c r="H552" s="895"/>
      <c r="I552" s="895"/>
      <c r="J552" s="895"/>
      <c r="K552" s="895"/>
      <c r="L552" s="895"/>
      <c r="M552" s="895"/>
      <c r="N552" s="895"/>
      <c r="O552" s="896"/>
      <c r="P552" s="895"/>
      <c r="Q552" s="895"/>
      <c r="R552" s="895"/>
      <c r="S552" s="895"/>
      <c r="T552" s="896"/>
      <c r="U552" s="895"/>
      <c r="V552" s="895"/>
      <c r="W552" s="895"/>
      <c r="X552" s="899"/>
      <c r="Y552" s="896"/>
      <c r="Z552" s="895"/>
      <c r="AA552" s="895"/>
      <c r="AB552" s="895"/>
      <c r="AC552" s="899"/>
      <c r="AD552" s="896"/>
      <c r="AE552" s="895"/>
      <c r="AF552" s="895"/>
      <c r="AG552" s="895"/>
      <c r="AH552" s="899"/>
      <c r="AI552" s="896"/>
      <c r="AJ552" s="895"/>
      <c r="AK552" s="895"/>
      <c r="AL552" s="895"/>
      <c r="AM552" s="899"/>
      <c r="AN552" s="896"/>
      <c r="AO552" s="895"/>
      <c r="AP552" s="895"/>
      <c r="AQ552" s="897"/>
      <c r="AR552" s="899"/>
      <c r="AS552" s="896"/>
      <c r="AT552" s="895"/>
      <c r="AU552" s="895"/>
      <c r="AV552" s="895"/>
      <c r="AW552" s="899"/>
      <c r="AX552" s="896"/>
      <c r="AY552" s="895"/>
      <c r="AZ552" s="895"/>
      <c r="BA552" s="895"/>
      <c r="BB552" s="899"/>
      <c r="BC552" s="896"/>
      <c r="BD552" s="895"/>
      <c r="BE552" s="895"/>
      <c r="BF552" s="895"/>
      <c r="BG552" s="899"/>
      <c r="BH552" s="896"/>
      <c r="BI552" s="895"/>
      <c r="BJ552" s="895"/>
      <c r="BK552" s="895"/>
      <c r="BL552" s="899"/>
      <c r="BM552" s="895"/>
      <c r="BN552" s="908"/>
      <c r="BO552" s="895"/>
      <c r="BP552" s="895"/>
      <c r="BQ552" s="899"/>
      <c r="BR552" s="895"/>
      <c r="BS552" s="908"/>
      <c r="BT552" s="895"/>
      <c r="BU552" s="895"/>
      <c r="BV552" s="899"/>
      <c r="BW552" s="908"/>
      <c r="BX552" s="908"/>
      <c r="BY552" s="908"/>
      <c r="BZ552" s="908"/>
      <c r="CA552" s="899"/>
      <c r="CB552" s="908"/>
      <c r="CC552" s="895"/>
      <c r="CD552" s="908"/>
      <c r="CE552" s="908"/>
      <c r="CF552" s="899"/>
      <c r="CG552" s="908"/>
      <c r="CH552" s="908"/>
      <c r="CI552" s="908"/>
      <c r="CJ552" s="908"/>
      <c r="CK552" s="899"/>
      <c r="CL552" s="1015"/>
      <c r="CM552" s="895"/>
      <c r="CN552" s="895"/>
      <c r="CO552" s="30"/>
      <c r="CP552" s="909"/>
      <c r="CQ552" s="895"/>
      <c r="CR552" s="895"/>
      <c r="CS552" s="895"/>
      <c r="CT552" s="895"/>
      <c r="CU552" s="909"/>
      <c r="CV552" s="895"/>
      <c r="CW552" s="895"/>
      <c r="CX552" s="895"/>
      <c r="CY552" s="895"/>
      <c r="CZ552" s="909"/>
      <c r="DA552" s="895"/>
      <c r="DB552" s="1512"/>
      <c r="DC552" s="1512"/>
      <c r="DD552" s="1522"/>
      <c r="DE552" s="1520"/>
      <c r="DF552" s="1509"/>
      <c r="DG552" s="1512"/>
      <c r="DH552" s="908"/>
      <c r="DI552" s="1021"/>
      <c r="DJ552" s="909"/>
      <c r="DK552" s="895"/>
      <c r="DL552" s="908"/>
      <c r="DM552" s="908"/>
      <c r="DN552" s="1021"/>
      <c r="DO552" s="909"/>
      <c r="DP552" s="908"/>
      <c r="DQ552" s="908"/>
      <c r="DR552" s="908"/>
      <c r="DS552" s="1021"/>
      <c r="DT552" s="909"/>
      <c r="DU552" s="908"/>
      <c r="DV552" s="908"/>
      <c r="DW552" s="908"/>
      <c r="DX552" s="908"/>
      <c r="DY552" s="909"/>
      <c r="DZ552" s="908"/>
      <c r="EA552" s="908"/>
      <c r="EB552" s="908"/>
      <c r="EC552" s="1021"/>
      <c r="ED552" s="909"/>
      <c r="EE552" s="908"/>
      <c r="EF552" s="908"/>
      <c r="EG552" s="908"/>
      <c r="EH552" s="3547"/>
      <c r="EI552" s="909"/>
      <c r="EJ552" s="909"/>
      <c r="EK552" s="909"/>
      <c r="EL552" s="1021"/>
      <c r="EM552" s="1021"/>
      <c r="EN552" s="1021"/>
      <c r="EO552" s="1021"/>
      <c r="EP552" s="1021"/>
      <c r="EQ552" s="1021"/>
      <c r="ER552" s="1021"/>
      <c r="ES552" s="1021"/>
      <c r="ET552" s="1021"/>
      <c r="EU552" s="1021"/>
      <c r="EV552" s="1021"/>
      <c r="EW552" s="1021"/>
      <c r="EX552" s="1021"/>
    </row>
    <row r="553" spans="1:154">
      <c r="A553" s="3277"/>
      <c r="B553" s="1390" t="s">
        <v>925</v>
      </c>
      <c r="C553" s="2011"/>
      <c r="D553" s="894"/>
      <c r="E553" s="894"/>
      <c r="F553" s="895"/>
      <c r="G553" s="895"/>
      <c r="H553" s="895"/>
      <c r="I553" s="895"/>
      <c r="J553" s="895"/>
      <c r="K553" s="895"/>
      <c r="L553" s="895"/>
      <c r="M553" s="895"/>
      <c r="N553" s="895"/>
      <c r="O553" s="896"/>
      <c r="P553" s="895"/>
      <c r="Q553" s="895"/>
      <c r="R553" s="895"/>
      <c r="S553" s="895"/>
      <c r="T553" s="896"/>
      <c r="U553" s="895"/>
      <c r="V553" s="895"/>
      <c r="W553" s="895"/>
      <c r="X553" s="899"/>
      <c r="Y553" s="896"/>
      <c r="Z553" s="895"/>
      <c r="AA553" s="895"/>
      <c r="AB553" s="895"/>
      <c r="AC553" s="899"/>
      <c r="AD553" s="896"/>
      <c r="AE553" s="895"/>
      <c r="AF553" s="895"/>
      <c r="AG553" s="895"/>
      <c r="AH553" s="899"/>
      <c r="AI553" s="896"/>
      <c r="AJ553" s="895"/>
      <c r="AK553" s="895"/>
      <c r="AL553" s="895"/>
      <c r="AM553" s="899"/>
      <c r="AN553" s="896"/>
      <c r="AO553" s="895"/>
      <c r="AP553" s="895"/>
      <c r="AQ553" s="897"/>
      <c r="AR553" s="899"/>
      <c r="AS553" s="896"/>
      <c r="AT553" s="895"/>
      <c r="AU553" s="895"/>
      <c r="AV553" s="895"/>
      <c r="AW553" s="899"/>
      <c r="AX553" s="896"/>
      <c r="AY553" s="895"/>
      <c r="AZ553" s="895"/>
      <c r="BA553" s="895"/>
      <c r="BB553" s="899"/>
      <c r="BC553" s="896"/>
      <c r="BD553" s="895"/>
      <c r="BE553" s="895"/>
      <c r="BF553" s="895"/>
      <c r="BG553" s="899"/>
      <c r="BH553" s="896"/>
      <c r="BI553" s="895"/>
      <c r="BJ553" s="895"/>
      <c r="BK553" s="895"/>
      <c r="BL553" s="899"/>
      <c r="BM553" s="895"/>
      <c r="BN553" s="895"/>
      <c r="BO553" s="895"/>
      <c r="BP553" s="895"/>
      <c r="BQ553" s="899"/>
      <c r="BR553" s="895"/>
      <c r="BS553" s="895"/>
      <c r="BT553" s="895"/>
      <c r="BU553" s="895"/>
      <c r="BV553" s="899"/>
      <c r="BW553" s="895"/>
      <c r="BX553" s="895"/>
      <c r="BY553" s="895"/>
      <c r="BZ553" s="895"/>
      <c r="CA553" s="899"/>
      <c r="CB553" s="895"/>
      <c r="CC553" s="895"/>
      <c r="CD553" s="895"/>
      <c r="CE553" s="895"/>
      <c r="CF553" s="899"/>
      <c r="CG553" s="895"/>
      <c r="CH553" s="30"/>
      <c r="CI553" s="30"/>
      <c r="CJ553" s="30"/>
      <c r="CK553" s="308"/>
      <c r="CL553" s="30"/>
      <c r="CM553" s="30"/>
      <c r="CN553" s="30"/>
      <c r="CO553" s="30"/>
      <c r="CP553" s="308"/>
      <c r="CQ553" s="30"/>
      <c r="CR553" s="30"/>
      <c r="CS553" s="30"/>
      <c r="CT553" s="30"/>
      <c r="CU553" s="308"/>
      <c r="CV553" s="30"/>
      <c r="CW553" s="30"/>
      <c r="CX553" s="30"/>
      <c r="CY553" s="30"/>
      <c r="CZ553" s="308"/>
      <c r="DA553" s="30"/>
      <c r="DB553" s="1109">
        <v>3.5</v>
      </c>
      <c r="DC553" s="1109">
        <v>1.5</v>
      </c>
      <c r="DD553" s="1525">
        <f>IF(DD548=0,"NM",+DD548/CY548-1)</f>
      </c>
      <c r="DE553" s="1238">
        <v>2.3333333333333299</v>
      </c>
      <c r="DF553" s="1539">
        <f t="shared" ref="DF553:DH554" si="1377">DF548/DA548-1</f>
      </c>
      <c r="DG553" s="1539">
        <f t="shared" si="1377"/>
      </c>
      <c r="DH553" s="41">
        <f t="shared" si="1377"/>
      </c>
      <c r="DI553" s="927">
        <f>IF(DI548=0,"NM",+DI548/DD548-1)</f>
      </c>
      <c r="DJ553" s="927">
        <f>IF(DJ548=0,"NM",+DJ548/DE548-1)</f>
      </c>
      <c r="DK553" s="1539">
        <f t="shared" ref="DK553:DM554" si="1378">DK548/DF548-1</f>
      </c>
      <c r="DL553" s="1539">
        <f t="shared" si="1378"/>
      </c>
      <c r="DM553" s="1539">
        <f t="shared" si="1378"/>
      </c>
      <c r="DN553" s="927">
        <f>IF(DN548=0,"NM",+DN548/DI548-1)</f>
      </c>
      <c r="DO553" s="835">
        <v>0.5</v>
      </c>
      <c r="DP553" s="1361">
        <f t="shared" ref="DP553:DW554" si="1379">DP548/DK548-1</f>
      </c>
      <c r="DQ553" s="1361">
        <f t="shared" si="1379"/>
      </c>
      <c r="DR553" s="1361">
        <f t="shared" si="1379"/>
      </c>
      <c r="DS553" s="1351">
        <f t="shared" si="1379"/>
      </c>
      <c r="DT553" s="928">
        <f>IF(DT548=0,"NM",+DT548/DO548-1)</f>
      </c>
      <c r="DU553" s="1361">
        <f t="shared" si="1379"/>
      </c>
      <c r="DV553" s="1361">
        <f t="shared" si="1379"/>
      </c>
      <c r="DW553" s="1361">
        <f t="shared" si="1379"/>
      </c>
      <c r="DX553" s="1351">
        <f>DX548/DS548-1</f>
      </c>
      <c r="DY553" s="928">
        <f>IF(DY548=0,"NM",+DY548/DT548-1)</f>
      </c>
      <c r="DZ553" s="1703">
        <f>+DZ548/DU548-1</f>
      </c>
      <c r="EA553" s="1703">
        <f>+EA548/DV548-1</f>
      </c>
      <c r="EB553" s="1703">
        <f>+EB548/DW548-1</f>
      </c>
      <c r="EC553" s="1703">
        <f>+EC548/DX548-1</f>
      </c>
      <c r="ED553" s="1060">
        <f>IF(ED548=0,"NM",+ED548/DY548-1)</f>
      </c>
      <c r="EE553" s="1703">
        <f>+EE548/DZ548-1</f>
      </c>
      <c r="EF553" s="1703">
        <f>+EF548/EA548-1</f>
      </c>
      <c r="EG553" s="1703">
        <f>+EG548/EB548-1</f>
      </c>
      <c r="EH553" s="659">
        <v>0.13</v>
      </c>
      <c r="EI553" s="1060">
        <f>IF(EI548=0,"NM",+EI548/ED548-1)</f>
      </c>
      <c r="EJ553" s="673">
        <v>0.12</v>
      </c>
      <c r="EK553" s="673">
        <v>0.08</v>
      </c>
      <c r="EL553" s="660">
        <v>0.05</v>
      </c>
      <c r="EM553" s="660">
        <v>0.03</v>
      </c>
      <c r="EN553" s="660">
        <v>0.01</v>
      </c>
      <c r="EO553" s="660">
        <v>-0.15</v>
      </c>
      <c r="EP553" s="660">
        <v>-0.15</v>
      </c>
      <c r="EQ553" s="660">
        <v>-0.15</v>
      </c>
      <c r="ER553" s="660">
        <v>-0.1</v>
      </c>
      <c r="ES553" s="660">
        <v>-0.1</v>
      </c>
      <c r="ET553" s="657"/>
      <c r="EU553" s="657"/>
      <c r="EV553" s="657"/>
      <c r="EW553" s="657"/>
      <c r="EX553" s="657"/>
    </row>
    <row r="554" spans="1:154">
      <c r="B554" s="1390" t="s">
        <v>412</v>
      </c>
      <c r="C554" s="2011"/>
      <c r="D554" s="894"/>
      <c r="E554" s="894"/>
      <c r="F554" s="895"/>
      <c r="G554" s="895"/>
      <c r="H554" s="895"/>
      <c r="I554" s="895"/>
      <c r="J554" s="895"/>
      <c r="K554" s="895"/>
      <c r="L554" s="895"/>
      <c r="M554" s="895"/>
      <c r="N554" s="895"/>
      <c r="O554" s="896"/>
      <c r="P554" s="895"/>
      <c r="Q554" s="895"/>
      <c r="R554" s="895"/>
      <c r="S554" s="895"/>
      <c r="T554" s="896"/>
      <c r="U554" s="895"/>
      <c r="V554" s="895"/>
      <c r="W554" s="895"/>
      <c r="X554" s="898"/>
      <c r="Y554" s="896"/>
      <c r="Z554" s="895"/>
      <c r="AA554" s="895"/>
      <c r="AB554" s="895"/>
      <c r="AC554" s="898"/>
      <c r="AD554" s="896"/>
      <c r="AE554" s="895"/>
      <c r="AF554" s="895"/>
      <c r="AG554" s="895"/>
      <c r="AH554" s="898"/>
      <c r="AI554" s="896"/>
      <c r="AJ554" s="895"/>
      <c r="AK554" s="895"/>
      <c r="AL554" s="895"/>
      <c r="AM554" s="898"/>
      <c r="AN554" s="896"/>
      <c r="AO554" s="895"/>
      <c r="AP554" s="895"/>
      <c r="AQ554" s="897"/>
      <c r="AR554" s="898"/>
      <c r="AS554" s="896"/>
      <c r="AT554" s="895"/>
      <c r="AU554" s="895"/>
      <c r="AV554" s="895"/>
      <c r="AW554" s="898"/>
      <c r="AX554" s="896"/>
      <c r="AY554" s="895"/>
      <c r="AZ554" s="895"/>
      <c r="BA554" s="895"/>
      <c r="BB554" s="898"/>
      <c r="BC554" s="896"/>
      <c r="BD554" s="895"/>
      <c r="BE554" s="895"/>
      <c r="BF554" s="895"/>
      <c r="BG554" s="898"/>
      <c r="BH554" s="896"/>
      <c r="BI554" s="895"/>
      <c r="BJ554" s="895"/>
      <c r="BK554" s="895"/>
      <c r="BL554" s="898"/>
      <c r="BM554" s="895"/>
      <c r="BN554" s="895"/>
      <c r="BO554" s="895"/>
      <c r="BP554" s="895"/>
      <c r="BQ554" s="898"/>
      <c r="BR554" s="895"/>
      <c r="BS554" s="895"/>
      <c r="BT554" s="895"/>
      <c r="BU554" s="895"/>
      <c r="BV554" s="898"/>
      <c r="BW554" s="895"/>
      <c r="BX554" s="895"/>
      <c r="BY554" s="895"/>
      <c r="BZ554" s="895"/>
      <c r="CA554" s="898"/>
      <c r="CB554" s="895"/>
      <c r="CC554" s="895"/>
      <c r="CD554" s="895"/>
      <c r="CE554" s="895"/>
      <c r="CF554" s="898"/>
      <c r="CG554" s="895"/>
      <c r="CH554" s="30"/>
      <c r="CI554" s="30"/>
      <c r="CJ554" s="30"/>
      <c r="CK554" s="308"/>
      <c r="CL554" s="30"/>
      <c r="CM554" s="30"/>
      <c r="CN554" s="30"/>
      <c r="CO554" s="30"/>
      <c r="CP554" s="308"/>
      <c r="CQ554" s="30"/>
      <c r="CR554" s="30"/>
      <c r="CS554" s="30"/>
      <c r="CT554" s="30"/>
      <c r="CU554" s="308"/>
      <c r="CV554" s="30"/>
      <c r="CW554" s="30"/>
      <c r="CX554" s="30"/>
      <c r="CY554" s="30"/>
      <c r="CZ554" s="308"/>
      <c r="DA554" s="30"/>
      <c r="DB554" s="1526">
        <f>DB555+DB21</f>
      </c>
      <c r="DC554" s="1526">
        <f>DC555+DC21</f>
      </c>
      <c r="DD554" s="1534">
        <f>IF(DD549=0, "NM", DD549/CY549-1)</f>
      </c>
      <c r="DE554" s="1535">
        <f>DE555+DE21</f>
      </c>
      <c r="DF554" s="1539">
        <f t="shared" si="1377"/>
      </c>
      <c r="DG554" s="1539">
        <f t="shared" si="1377"/>
      </c>
      <c r="DH554" s="41">
        <f t="shared" si="1377"/>
      </c>
      <c r="DI554" s="927">
        <f>IF(DI549=0, "NM", DI549/DD549-1)</f>
      </c>
      <c r="DJ554" s="927">
        <f>IF(DJ549=0, "NM", DJ549/DE549-1)</f>
      </c>
      <c r="DK554" s="1539">
        <f t="shared" si="1378"/>
      </c>
      <c r="DL554" s="1539">
        <f t="shared" si="1378"/>
      </c>
      <c r="DM554" s="1539">
        <f t="shared" si="1378"/>
      </c>
      <c r="DN554" s="927">
        <f>IF(DN549=0, "NM", DN549/DI549-1)</f>
      </c>
      <c r="DO554" s="309">
        <f>DO555+DO21</f>
      </c>
      <c r="DP554" s="1361">
        <f t="shared" si="1379"/>
      </c>
      <c r="DQ554" s="1361">
        <f t="shared" si="1379"/>
      </c>
      <c r="DR554" s="1361">
        <f t="shared" si="1379"/>
      </c>
      <c r="DS554" s="1351">
        <f t="shared" si="1379"/>
      </c>
      <c r="DT554" s="928">
        <f>IF(DT549=0, "NM", DT549/DO549-1)</f>
      </c>
      <c r="DU554" s="1361">
        <f t="shared" si="1379"/>
      </c>
      <c r="DV554" s="1361">
        <f t="shared" si="1379"/>
      </c>
      <c r="DW554" s="1361">
        <f t="shared" si="1379"/>
      </c>
      <c r="DX554" s="1351">
        <f>DX549/DS549-1</f>
      </c>
      <c r="DY554" s="928">
        <f>IF(DY549=0, "NM", DY549/DT549-1)</f>
      </c>
      <c r="DZ554" s="30">
        <f>DZ549/DU549-1</f>
      </c>
      <c r="EA554" s="926">
        <f>EA549/DV549-1</f>
      </c>
      <c r="EB554" s="926">
        <f>EB549/DW549-1</f>
      </c>
      <c r="EC554" s="926">
        <f>EC549/DX549-1</f>
      </c>
      <c r="ED554" s="1060">
        <f>IF(ED549=0, "NM", ED549/DY549-1)</f>
      </c>
      <c r="EE554" s="30">
        <f>EE549/DZ549-1</f>
      </c>
      <c r="EF554" s="926">
        <f>EF549/EA549-1</f>
      </c>
      <c r="EG554" s="926">
        <f>EG549/EB549-1</f>
      </c>
      <c r="EH554" s="926">
        <f t="shared" ref="EH554" si="1380">EH555+EH$21</f>
      </c>
      <c r="EI554" s="1060">
        <f>IF(EI549=0, "NM", EI549/ED549-1)</f>
      </c>
      <c r="EJ554" s="308">
        <f t="shared" ref="EJ554:ES554" si="1381">EJ555+EJ21</f>
      </c>
      <c r="EK554" s="308">
        <f t="shared" si="1381"/>
      </c>
      <c r="EL554" s="308">
        <f t="shared" si="1381"/>
      </c>
      <c r="EM554" s="308">
        <f t="shared" si="1381"/>
      </c>
      <c r="EN554" s="308">
        <f t="shared" si="1381"/>
      </c>
      <c r="EO554" s="308">
        <f t="shared" si="1381"/>
      </c>
      <c r="EP554" s="308">
        <f t="shared" si="1381"/>
      </c>
      <c r="EQ554" s="308">
        <f t="shared" si="1381"/>
      </c>
      <c r="ER554" s="308">
        <f t="shared" si="1381"/>
      </c>
      <c r="ES554" s="308">
        <f t="shared" si="1381"/>
      </c>
      <c r="ET554" s="409"/>
      <c r="EU554" s="409"/>
      <c r="EV554" s="409"/>
      <c r="EW554" s="409"/>
      <c r="EX554" s="409"/>
    </row>
    <row r="555" spans="1:154">
      <c r="B555" s="1390" t="s">
        <v>256</v>
      </c>
      <c r="C555" s="2010"/>
      <c r="D555" s="894"/>
      <c r="E555" s="894"/>
      <c r="F555" s="895"/>
      <c r="G555" s="895"/>
      <c r="H555" s="895"/>
      <c r="I555" s="895"/>
      <c r="J555" s="895"/>
      <c r="K555" s="895"/>
      <c r="L555" s="895"/>
      <c r="M555" s="895"/>
      <c r="N555" s="895"/>
      <c r="O555" s="896"/>
      <c r="P555" s="895"/>
      <c r="Q555" s="895"/>
      <c r="R555" s="895"/>
      <c r="S555" s="895"/>
      <c r="T555" s="896"/>
      <c r="U555" s="895"/>
      <c r="V555" s="895"/>
      <c r="W555" s="895"/>
      <c r="X555" s="899"/>
      <c r="Y555" s="896"/>
      <c r="Z555" s="895"/>
      <c r="AA555" s="895"/>
      <c r="AB555" s="895"/>
      <c r="AC555" s="899"/>
      <c r="AD555" s="896"/>
      <c r="AE555" s="895"/>
      <c r="AF555" s="895"/>
      <c r="AG555" s="895"/>
      <c r="AH555" s="899"/>
      <c r="AI555" s="896"/>
      <c r="AJ555" s="895"/>
      <c r="AK555" s="895"/>
      <c r="AL555" s="895"/>
      <c r="AM555" s="899"/>
      <c r="AN555" s="896"/>
      <c r="AO555" s="895"/>
      <c r="AP555" s="895"/>
      <c r="AQ555" s="897"/>
      <c r="AR555" s="899"/>
      <c r="AS555" s="896"/>
      <c r="AT555" s="895"/>
      <c r="AU555" s="895"/>
      <c r="AV555" s="895"/>
      <c r="AW555" s="899"/>
      <c r="AX555" s="896"/>
      <c r="AY555" s="895"/>
      <c r="AZ555" s="895"/>
      <c r="BA555" s="895"/>
      <c r="BB555" s="899"/>
      <c r="BC555" s="896"/>
      <c r="BD555" s="895"/>
      <c r="BE555" s="895"/>
      <c r="BF555" s="895"/>
      <c r="BG555" s="899"/>
      <c r="BH555" s="896"/>
      <c r="BI555" s="895"/>
      <c r="BJ555" s="895"/>
      <c r="BK555" s="895"/>
      <c r="BL555" s="899"/>
      <c r="BM555" s="895"/>
      <c r="BN555" s="895"/>
      <c r="BO555" s="895"/>
      <c r="BP555" s="895"/>
      <c r="BQ555" s="899"/>
      <c r="BR555" s="895"/>
      <c r="BS555" s="895"/>
      <c r="BT555" s="895"/>
      <c r="BU555" s="895"/>
      <c r="BV555" s="899"/>
      <c r="BW555" s="908"/>
      <c r="BX555" s="895"/>
      <c r="BY555" s="895"/>
      <c r="BZ555" s="895"/>
      <c r="CA555" s="899"/>
      <c r="CB555" s="895"/>
      <c r="CC555" s="895"/>
      <c r="CD555" s="895"/>
      <c r="CE555" s="895"/>
      <c r="CF555" s="899"/>
      <c r="CG555" s="895"/>
      <c r="CH555" s="361"/>
      <c r="CI555" s="361"/>
      <c r="CJ555" s="361"/>
      <c r="CK555" s="315"/>
      <c r="CL555" s="361"/>
      <c r="CM555" s="361"/>
      <c r="CN555" s="361"/>
      <c r="CO555" s="361"/>
      <c r="CP555" s="316"/>
      <c r="CQ555" s="361"/>
      <c r="CR555" s="361"/>
      <c r="CS555" s="361"/>
      <c r="CT555" s="361"/>
      <c r="CU555" s="316"/>
      <c r="CV555" s="361"/>
      <c r="CW555" s="361"/>
      <c r="CX555" s="361"/>
      <c r="CY555" s="361"/>
      <c r="CZ555" s="316"/>
      <c r="DA555" s="361"/>
      <c r="DB555" s="1109"/>
      <c r="DC555" s="1109"/>
      <c r="DD555" s="1525"/>
      <c r="DE555" s="1238"/>
      <c r="DF555" s="1109"/>
      <c r="DG555" s="1230">
        <f>IF(DG549=0, "NM",DG554-DG$21)</f>
      </c>
      <c r="DH555" s="925">
        <f>IF(DH549=0, "NM",DH554-DH$21)</f>
      </c>
      <c r="DI555" s="927">
        <f>IF(DI549=0, "NM",DI554-DI$21)</f>
      </c>
      <c r="DJ555" s="927">
        <f>IF(DJ549=0, "NM",DJ554-DJ$21)</f>
      </c>
      <c r="DK555" s="1109"/>
      <c r="DL555" s="1109"/>
      <c r="DM555" s="925">
        <f>IF(DM549=0, "NM",DM554-DM$21)</f>
      </c>
      <c r="DN555" s="927">
        <f>IF(DN549=0, "NM",DN554-DN$21)</f>
      </c>
      <c r="DO555" s="835">
        <v>1.3</v>
      </c>
      <c r="DP555" s="926">
        <f>DP554-DP$21</f>
      </c>
      <c r="DQ555" s="2185">
        <f>DQ554-DQ$21</f>
      </c>
      <c r="DR555" s="2185">
        <f>DR554-DR$21</f>
      </c>
      <c r="DS555" s="3343">
        <f>DS554-DS$21</f>
      </c>
      <c r="DT555" s="928">
        <f>IF(DT549=0, "NM",DT554-DT$21)</f>
      </c>
      <c r="DU555" s="926">
        <f>DU554-(-9.8%)</f>
      </c>
      <c r="DV555" s="926">
        <f>DV554-(-2%)</f>
      </c>
      <c r="DW555" s="926">
        <f>DW554-(3.5%)</f>
      </c>
      <c r="DX555" s="926">
        <f>DX554-(1.6%)</f>
      </c>
      <c r="DY555" s="928">
        <f>IF(DY549=0, "NM",DY554-DY$21)</f>
      </c>
      <c r="DZ555" s="1703">
        <f>DZ554-(-2.6%)</f>
      </c>
      <c r="EA555" s="1703">
        <f>EA554-(-4.8%)</f>
      </c>
      <c r="EB555" s="1703">
        <f>EB554-(-1.6%)</f>
      </c>
      <c r="EC555" s="1703">
        <f>EC554-(-3.3%)</f>
      </c>
      <c r="ED555" s="1060">
        <f>IF(ED549=0, "NM",ED554-ED$21)</f>
      </c>
      <c r="EE555" s="1703">
        <f>EE554-(-2.6%)</f>
      </c>
      <c r="EF555" s="1703">
        <f>EF554-(4.2%)</f>
      </c>
      <c r="EG555" s="1703">
        <f>EG554-(-1.6%)</f>
      </c>
      <c r="EH555" s="659">
        <v>0.24</v>
      </c>
      <c r="EI555" s="1060">
        <f>IF(EI549=0, "NM",EI554-EI$21)</f>
      </c>
      <c r="EJ555" s="673">
        <v>0.15</v>
      </c>
      <c r="EK555" s="673">
        <v>0.08</v>
      </c>
      <c r="EL555" s="660">
        <v>0.05</v>
      </c>
      <c r="EM555" s="660">
        <v>0.03</v>
      </c>
      <c r="EN555" s="660">
        <v>0.01</v>
      </c>
      <c r="EO555" s="660">
        <v>-0.2</v>
      </c>
      <c r="EP555" s="660">
        <v>-0.2</v>
      </c>
      <c r="EQ555" s="660">
        <v>-0.2</v>
      </c>
      <c r="ER555" s="660">
        <v>-0.2</v>
      </c>
      <c r="ES555" s="660">
        <v>-0.2</v>
      </c>
      <c r="ET555" s="657"/>
      <c r="EU555" s="657"/>
      <c r="EV555" s="657"/>
      <c r="EW555" s="657"/>
      <c r="EX555" s="657"/>
    </row>
    <row r="556" spans="1:154">
      <c r="B556" s="1390" t="s">
        <v>611</v>
      </c>
      <c r="C556" s="2010"/>
      <c r="D556" s="894"/>
      <c r="E556" s="894"/>
      <c r="F556" s="895"/>
      <c r="G556" s="895"/>
      <c r="H556" s="895"/>
      <c r="I556" s="895"/>
      <c r="J556" s="895"/>
      <c r="K556" s="895"/>
      <c r="L556" s="895"/>
      <c r="M556" s="895"/>
      <c r="N556" s="895"/>
      <c r="O556" s="896"/>
      <c r="P556" s="895"/>
      <c r="Q556" s="895"/>
      <c r="R556" s="895"/>
      <c r="S556" s="895"/>
      <c r="T556" s="896"/>
      <c r="U556" s="895"/>
      <c r="V556" s="895"/>
      <c r="W556" s="895"/>
      <c r="X556" s="899"/>
      <c r="Y556" s="896"/>
      <c r="Z556" s="895"/>
      <c r="AA556" s="895"/>
      <c r="AB556" s="895"/>
      <c r="AC556" s="899"/>
      <c r="AD556" s="896"/>
      <c r="AE556" s="895"/>
      <c r="AF556" s="895"/>
      <c r="AG556" s="895"/>
      <c r="AH556" s="899"/>
      <c r="AI556" s="896"/>
      <c r="AJ556" s="895"/>
      <c r="AK556" s="895"/>
      <c r="AL556" s="895"/>
      <c r="AM556" s="899"/>
      <c r="AN556" s="896"/>
      <c r="AO556" s="895"/>
      <c r="AP556" s="895"/>
      <c r="AQ556" s="897"/>
      <c r="AR556" s="899"/>
      <c r="AS556" s="896"/>
      <c r="AT556" s="895"/>
      <c r="AU556" s="895"/>
      <c r="AV556" s="895"/>
      <c r="AW556" s="899"/>
      <c r="AX556" s="896"/>
      <c r="AY556" s="895"/>
      <c r="AZ556" s="895"/>
      <c r="BA556" s="895"/>
      <c r="BB556" s="899"/>
      <c r="BC556" s="896"/>
      <c r="BD556" s="895"/>
      <c r="BE556" s="895"/>
      <c r="BF556" s="895"/>
      <c r="BG556" s="899"/>
      <c r="BH556" s="896"/>
      <c r="BI556" s="895"/>
      <c r="BJ556" s="895"/>
      <c r="BK556" s="895"/>
      <c r="BL556" s="899"/>
      <c r="BM556" s="895"/>
      <c r="BN556" s="895"/>
      <c r="BO556" s="895"/>
      <c r="BP556" s="895"/>
      <c r="BQ556" s="899"/>
      <c r="BR556" s="895"/>
      <c r="BS556" s="895"/>
      <c r="BT556" s="895"/>
      <c r="BU556" s="895"/>
      <c r="BV556" s="899"/>
      <c r="BW556" s="908"/>
      <c r="BX556" s="895"/>
      <c r="BY556" s="895"/>
      <c r="BZ556" s="895"/>
      <c r="CA556" s="899"/>
      <c r="CB556" s="895"/>
      <c r="CC556" s="895"/>
      <c r="CD556" s="895"/>
      <c r="CE556" s="895"/>
      <c r="CF556" s="899"/>
      <c r="CG556" s="895"/>
      <c r="CH556" s="30"/>
      <c r="CI556" s="30"/>
      <c r="CJ556" s="30"/>
      <c r="CK556" s="308"/>
      <c r="CL556" s="30"/>
      <c r="CM556" s="30"/>
      <c r="CN556" s="30"/>
      <c r="CO556" s="30"/>
      <c r="CP556" s="308"/>
      <c r="CQ556" s="30"/>
      <c r="CR556" s="30"/>
      <c r="CS556" s="30"/>
      <c r="CT556" s="30"/>
      <c r="CU556" s="308"/>
      <c r="CV556" s="30"/>
      <c r="CW556" s="30"/>
      <c r="CX556" s="30"/>
      <c r="CY556" s="30"/>
      <c r="CZ556" s="308"/>
      <c r="DA556" s="30"/>
      <c r="DB556" s="1219">
        <f>DB550/CW550-1</f>
      </c>
      <c r="DC556" s="1219">
        <f t="shared" ref="DC556:DL556" si="1382">DC550/CX550-1</f>
      </c>
      <c r="DD556" s="1235">
        <f t="shared" si="1382"/>
      </c>
      <c r="DE556" s="1535">
        <f t="shared" si="1382"/>
      </c>
      <c r="DF556" s="1230">
        <f t="shared" si="1382"/>
      </c>
      <c r="DG556" s="1539">
        <f>IF(DG550&lt;=0,0,(DG550/DB550-1))</f>
      </c>
      <c r="DH556" s="925">
        <f t="shared" si="1382"/>
      </c>
      <c r="DI556" s="927">
        <f t="shared" si="1382"/>
      </c>
      <c r="DJ556" s="927">
        <f t="shared" si="1382"/>
      </c>
      <c r="DK556" s="1230">
        <f t="shared" si="1382"/>
      </c>
      <c r="DL556" s="1230">
        <f t="shared" si="1382"/>
      </c>
      <c r="DM556" s="925">
        <f>DM550/DH550-1</f>
      </c>
      <c r="DN556" s="927">
        <f>DN550/DI550-1</f>
      </c>
      <c r="DO556" s="309">
        <f>DO550/DJ550-1</f>
      </c>
      <c r="DP556" s="958">
        <f>IF(DK550=0, "NA", DP550/DK550-1)</f>
      </c>
      <c r="DQ556" s="1219">
        <f>DQ550/DL550-1</f>
      </c>
      <c r="DR556" s="1219">
        <f>DR550/DM550-1</f>
      </c>
      <c r="DS556" s="928">
        <f>IF(DN550=0, "NM", DS550/DN550-1)</f>
      </c>
      <c r="DT556" s="308">
        <f>DT550/DO550-1</f>
      </c>
      <c r="DU556" s="958">
        <f>IF(DP550=0, "NA", DU550/DP550-1)</f>
      </c>
      <c r="DV556" s="926">
        <f>IF(DQ550=0, "NA", DV550/DQ550-1)</f>
      </c>
      <c r="DW556" s="926">
        <f>IF(DR550=0, "NA", DW550/DR550-1)</f>
      </c>
      <c r="DX556" s="928">
        <f>IF(DS550=0, "NM", DX550/DS550-1)</f>
      </c>
      <c r="DY556" s="308">
        <f>DY550/DT550-1</f>
      </c>
      <c r="DZ556" s="926">
        <f>IF(DU550=0, "NA", DZ550/DU550-1)</f>
      </c>
      <c r="EA556" s="926">
        <f>IF(DV550=0, "NA", EA550/DV550-1)</f>
      </c>
      <c r="EB556" s="926">
        <f>IF(DW550=0, "NA", EB550/DW550-1)</f>
      </c>
      <c r="EC556" s="928">
        <f>IF(DX550=0, "NM", EC550/DX550-1)</f>
      </c>
      <c r="ED556" s="308">
        <f>ED550/DY550-1</f>
      </c>
      <c r="EE556" s="926">
        <f>IF(DZ550=0, "NA", EE550/DZ550-1)</f>
      </c>
      <c r="EF556" s="926">
        <f>IF(EA550=0, "NA", EF550/EA550-1)</f>
      </c>
      <c r="EG556" s="926">
        <f>IF(EB550=0, "NA", EG550/EB550-1)</f>
      </c>
      <c r="EH556" s="926">
        <f t="shared" ref="EH556" si="1383">IF(EC550=0, "NA", EH550/EC550-1)</f>
      </c>
      <c r="EI556" s="308">
        <f>EI550/ED550-1</f>
      </c>
      <c r="EJ556" s="308">
        <f t="shared" ref="EJ556:EN556" si="1384">EJ550/EI550-1</f>
      </c>
      <c r="EK556" s="308">
        <f t="shared" si="1384"/>
      </c>
      <c r="EL556" s="308">
        <f t="shared" si="1384"/>
      </c>
      <c r="EM556" s="308">
        <f t="shared" si="1384"/>
      </c>
      <c r="EN556" s="308">
        <f t="shared" si="1384"/>
      </c>
      <c r="EO556" s="308">
        <f t="shared" ref="EO556" si="1385">EO550/EN550-1</f>
      </c>
      <c r="EP556" s="308">
        <f t="shared" ref="EP556" si="1386">EP550/EO550-1</f>
      </c>
      <c r="EQ556" s="308">
        <f t="shared" ref="EQ556" si="1387">EQ550/EP550-1</f>
      </c>
      <c r="ER556" s="308">
        <f t="shared" ref="ER556" si="1388">ER550/EQ550-1</f>
      </c>
      <c r="ES556" s="308">
        <f t="shared" ref="ES556" si="1389">ES550/ER550-1</f>
      </c>
      <c r="ET556" s="409"/>
      <c r="EU556" s="409"/>
      <c r="EV556" s="409"/>
      <c r="EW556" s="409"/>
      <c r="EX556" s="409"/>
    </row>
    <row r="557" spans="1:154">
      <c r="B557" s="1129"/>
      <c r="C557" s="2010"/>
      <c r="D557" s="894"/>
      <c r="E557" s="894"/>
      <c r="F557" s="895"/>
      <c r="G557" s="895"/>
      <c r="H557" s="895"/>
      <c r="I557" s="895"/>
      <c r="J557" s="895"/>
      <c r="K557" s="895"/>
      <c r="L557" s="895"/>
      <c r="M557" s="895"/>
      <c r="N557" s="895"/>
      <c r="O557" s="896"/>
      <c r="P557" s="895"/>
      <c r="Q557" s="895"/>
      <c r="R557" s="895"/>
      <c r="S557" s="895"/>
      <c r="T557" s="896"/>
      <c r="U557" s="895"/>
      <c r="V557" s="895"/>
      <c r="W557" s="895"/>
      <c r="X557" s="899"/>
      <c r="Y557" s="896"/>
      <c r="Z557" s="895"/>
      <c r="AA557" s="895"/>
      <c r="AB557" s="895"/>
      <c r="AC557" s="899"/>
      <c r="AD557" s="896"/>
      <c r="AE557" s="895"/>
      <c r="AF557" s="895"/>
      <c r="AG557" s="895"/>
      <c r="AH557" s="899"/>
      <c r="AI557" s="896"/>
      <c r="AJ557" s="895"/>
      <c r="AK557" s="895"/>
      <c r="AL557" s="895"/>
      <c r="AM557" s="899"/>
      <c r="AN557" s="896"/>
      <c r="AO557" s="895"/>
      <c r="AP557" s="895"/>
      <c r="AQ557" s="897"/>
      <c r="AR557" s="899"/>
      <c r="AS557" s="896"/>
      <c r="AT557" s="895"/>
      <c r="AU557" s="895"/>
      <c r="AV557" s="895"/>
      <c r="AW557" s="899"/>
      <c r="AX557" s="896"/>
      <c r="AY557" s="895"/>
      <c r="AZ557" s="895"/>
      <c r="BA557" s="895"/>
      <c r="BB557" s="899"/>
      <c r="BC557" s="896"/>
      <c r="BD557" s="895"/>
      <c r="BE557" s="895"/>
      <c r="BF557" s="895"/>
      <c r="BG557" s="899"/>
      <c r="BH557" s="896"/>
      <c r="BI557" s="895"/>
      <c r="BJ557" s="895"/>
      <c r="BK557" s="895"/>
      <c r="BL557" s="899"/>
      <c r="BM557" s="895"/>
      <c r="BN557" s="895"/>
      <c r="BO557" s="895"/>
      <c r="BP557" s="895"/>
      <c r="BQ557" s="899"/>
      <c r="BR557" s="895"/>
      <c r="BS557" s="895"/>
      <c r="BT557" s="895"/>
      <c r="BU557" s="895"/>
      <c r="BV557" s="899"/>
      <c r="BW557" s="908"/>
      <c r="BX557" s="895"/>
      <c r="BY557" s="895"/>
      <c r="BZ557" s="895"/>
      <c r="CA557" s="899"/>
      <c r="CB557" s="895"/>
      <c r="CC557" s="895"/>
      <c r="CD557" s="895"/>
      <c r="CE557" s="895"/>
      <c r="CF557" s="899"/>
      <c r="CG557" s="895"/>
      <c r="CH557" s="30"/>
      <c r="CI557" s="30"/>
      <c r="CJ557" s="30"/>
      <c r="CK557" s="308"/>
      <c r="CL557" s="30"/>
      <c r="CM557" s="30"/>
      <c r="CN557" s="30"/>
      <c r="CO557" s="30"/>
      <c r="CP557" s="308"/>
      <c r="CQ557" s="30"/>
      <c r="CR557" s="30"/>
      <c r="CS557" s="30"/>
      <c r="CT557" s="30"/>
      <c r="CU557" s="308"/>
      <c r="CV557" s="30"/>
      <c r="CW557" s="30"/>
      <c r="CX557" s="30"/>
      <c r="CY557" s="30"/>
      <c r="CZ557" s="308"/>
      <c r="DA557" s="30"/>
      <c r="DB557" s="1361"/>
      <c r="DC557" s="1361"/>
      <c r="DD557" s="1351"/>
      <c r="DE557" s="1233"/>
      <c r="DF557" s="1361"/>
      <c r="DG557" s="1361"/>
      <c r="DH557" s="30"/>
      <c r="DI557" s="409"/>
      <c r="DJ557" s="308"/>
      <c r="DK557" s="30"/>
      <c r="DL557" s="30"/>
      <c r="DM557" s="30"/>
      <c r="DN557" s="409"/>
      <c r="DO557" s="308"/>
      <c r="DP557" s="30"/>
      <c r="DQ557" s="30"/>
      <c r="DR557" s="30"/>
      <c r="DS557" s="409"/>
      <c r="DT557" s="308"/>
      <c r="DU557" s="926"/>
      <c r="DV557" s="926"/>
      <c r="DW557" s="926"/>
      <c r="DX557" s="928"/>
      <c r="DY557" s="308"/>
      <c r="DZ557" s="926"/>
      <c r="EA557" s="926"/>
      <c r="EB557" s="926"/>
      <c r="EC557" s="928"/>
      <c r="ED557" s="1060"/>
      <c r="EE557" s="926"/>
      <c r="EF557" s="926"/>
      <c r="EG557" s="926"/>
      <c r="EH557" s="928"/>
      <c r="EI557" s="308"/>
      <c r="EJ557" s="308"/>
      <c r="EK557" s="308"/>
      <c r="EL557" s="308"/>
      <c r="EM557" s="308"/>
      <c r="EN557" s="308"/>
      <c r="EO557" s="308"/>
      <c r="EP557" s="308"/>
      <c r="EQ557" s="308"/>
      <c r="ER557" s="308"/>
      <c r="ES557" s="308"/>
      <c r="ET557" s="308"/>
      <c r="EU557" s="308"/>
      <c r="EV557" s="308"/>
      <c r="EW557" s="308"/>
      <c r="EX557" s="308"/>
    </row>
    <row r="558" spans="1:154">
      <c r="A558" s="3277"/>
      <c r="B558" s="1389" t="s">
        <v>814</v>
      </c>
      <c r="C558" s="2012"/>
      <c r="D558" s="894"/>
      <c r="E558" s="894"/>
      <c r="F558" s="895"/>
      <c r="G558" s="895"/>
      <c r="H558" s="895"/>
      <c r="I558" s="895"/>
      <c r="J558" s="895"/>
      <c r="K558" s="895"/>
      <c r="L558" s="895"/>
      <c r="M558" s="895"/>
      <c r="N558" s="895"/>
      <c r="O558" s="896"/>
      <c r="P558" s="895"/>
      <c r="Q558" s="895"/>
      <c r="R558" s="895"/>
      <c r="S558" s="895"/>
      <c r="T558" s="896"/>
      <c r="U558" s="895"/>
      <c r="V558" s="895"/>
      <c r="W558" s="895"/>
      <c r="X558" s="899"/>
      <c r="Y558" s="896"/>
      <c r="Z558" s="895"/>
      <c r="AA558" s="895"/>
      <c r="AB558" s="895"/>
      <c r="AC558" s="899"/>
      <c r="AD558" s="896"/>
      <c r="AE558" s="895"/>
      <c r="AF558" s="895"/>
      <c r="AG558" s="895"/>
      <c r="AH558" s="899"/>
      <c r="AI558" s="896"/>
      <c r="AJ558" s="895"/>
      <c r="AK558" s="895"/>
      <c r="AL558" s="895"/>
      <c r="AM558" s="899"/>
      <c r="AN558" s="896"/>
      <c r="AO558" s="895"/>
      <c r="AP558" s="895"/>
      <c r="AQ558" s="897"/>
      <c r="AR558" s="899"/>
      <c r="AS558" s="896"/>
      <c r="AT558" s="895"/>
      <c r="AU558" s="895"/>
      <c r="AV558" s="895"/>
      <c r="AW558" s="899"/>
      <c r="AX558" s="896"/>
      <c r="AY558" s="895"/>
      <c r="AZ558" s="895"/>
      <c r="BA558" s="895"/>
      <c r="BB558" s="899"/>
      <c r="BC558" s="896"/>
      <c r="BD558" s="895"/>
      <c r="BE558" s="895"/>
      <c r="BF558" s="895"/>
      <c r="BG558" s="899"/>
      <c r="BH558" s="896"/>
      <c r="BI558" s="895"/>
      <c r="BJ558" s="895"/>
      <c r="BK558" s="895"/>
      <c r="BL558" s="899"/>
      <c r="BM558" s="895"/>
      <c r="BN558" s="908"/>
      <c r="BO558" s="895"/>
      <c r="BP558" s="895"/>
      <c r="BQ558" s="899"/>
      <c r="BR558" s="895"/>
      <c r="BS558" s="908"/>
      <c r="BT558" s="895"/>
      <c r="BU558" s="895"/>
      <c r="BV558" s="899"/>
      <c r="BW558" s="908"/>
      <c r="BX558" s="908"/>
      <c r="BY558" s="908"/>
      <c r="BZ558" s="908"/>
      <c r="CA558" s="899"/>
      <c r="CB558" s="908"/>
      <c r="CC558" s="895"/>
      <c r="CD558" s="908"/>
      <c r="CE558" s="908"/>
      <c r="CF558" s="899"/>
      <c r="CG558" s="908"/>
      <c r="CH558" s="908"/>
      <c r="CI558" s="908"/>
      <c r="CJ558" s="908"/>
      <c r="CK558" s="899"/>
      <c r="CL558" s="1015"/>
      <c r="CM558" s="895"/>
      <c r="CN558" s="908"/>
      <c r="CO558" s="908"/>
      <c r="CP558" s="909"/>
      <c r="CQ558" s="895"/>
      <c r="CR558" s="895"/>
      <c r="CS558" s="895"/>
      <c r="CT558" s="895"/>
      <c r="CU558" s="909"/>
      <c r="CV558" s="895"/>
      <c r="CW558" s="895"/>
      <c r="CX558" s="895"/>
      <c r="CY558" s="895"/>
      <c r="CZ558" s="909"/>
      <c r="DA558" s="895"/>
      <c r="DB558" s="908"/>
      <c r="DC558" s="908"/>
      <c r="DD558" s="1021"/>
      <c r="DE558" s="909"/>
      <c r="DF558" s="895"/>
      <c r="DG558" s="908"/>
      <c r="DH558" s="908"/>
      <c r="DI558" s="1021"/>
      <c r="DJ558" s="909"/>
      <c r="DK558" s="895"/>
      <c r="DL558" s="908"/>
      <c r="DM558" s="908"/>
      <c r="DN558" s="1021"/>
      <c r="DO558" s="909"/>
      <c r="DP558" s="908"/>
      <c r="DQ558" s="908"/>
      <c r="DR558" s="908"/>
      <c r="DS558" s="1021"/>
      <c r="DT558" s="909"/>
      <c r="DU558" s="908"/>
      <c r="DV558" s="908"/>
      <c r="DW558" s="908"/>
      <c r="DX558" s="1021"/>
      <c r="DY558" s="909"/>
      <c r="ED558" s="1808"/>
      <c r="EH558" s="1021"/>
      <c r="EI558" s="909"/>
      <c r="EJ558" s="909"/>
      <c r="EK558" s="909"/>
      <c r="EL558" s="909"/>
      <c r="EM558" s="909"/>
      <c r="EN558" s="909"/>
      <c r="EO558" s="909"/>
      <c r="EP558" s="909"/>
      <c r="EQ558" s="909"/>
      <c r="ER558" s="909"/>
      <c r="ES558" s="909"/>
      <c r="ET558" s="909"/>
      <c r="EU558" s="909"/>
      <c r="EV558" s="909"/>
      <c r="EW558" s="909"/>
      <c r="EX558" s="909"/>
    </row>
    <row r="559" spans="1:154">
      <c r="A559" s="3277"/>
      <c r="B559" s="3342" t="s">
        <v>925</v>
      </c>
      <c r="C559" s="2012"/>
      <c r="D559" s="894"/>
      <c r="E559" s="894"/>
      <c r="F559" s="895"/>
      <c r="G559" s="895"/>
      <c r="H559" s="895"/>
      <c r="I559" s="895"/>
      <c r="J559" s="895"/>
      <c r="K559" s="895"/>
      <c r="L559" s="895"/>
      <c r="M559" s="895"/>
      <c r="N559" s="895"/>
      <c r="O559" s="896"/>
      <c r="P559" s="895"/>
      <c r="Q559" s="895"/>
      <c r="R559" s="895"/>
      <c r="S559" s="895"/>
      <c r="T559" s="896"/>
      <c r="U559" s="895"/>
      <c r="V559" s="895"/>
      <c r="W559" s="895"/>
      <c r="X559" s="899"/>
      <c r="Y559" s="896"/>
      <c r="Z559" s="895"/>
      <c r="AA559" s="895"/>
      <c r="AB559" s="895"/>
      <c r="AC559" s="899"/>
      <c r="AD559" s="896"/>
      <c r="AE559" s="895"/>
      <c r="AF559" s="895"/>
      <c r="AG559" s="895"/>
      <c r="AH559" s="899"/>
      <c r="AI559" s="896"/>
      <c r="AJ559" s="895"/>
      <c r="AK559" s="895"/>
      <c r="AL559" s="895"/>
      <c r="AM559" s="899"/>
      <c r="AN559" s="896"/>
      <c r="AO559" s="895"/>
      <c r="AP559" s="895"/>
      <c r="AQ559" s="897"/>
      <c r="AR559" s="899"/>
      <c r="AS559" s="896"/>
      <c r="AT559" s="895"/>
      <c r="AU559" s="895"/>
      <c r="AV559" s="895"/>
      <c r="AW559" s="899"/>
      <c r="AX559" s="896"/>
      <c r="AY559" s="895"/>
      <c r="AZ559" s="895"/>
      <c r="BA559" s="895"/>
      <c r="BB559" s="899"/>
      <c r="BC559" s="896"/>
      <c r="BD559" s="895"/>
      <c r="BE559" s="895"/>
      <c r="BF559" s="895"/>
      <c r="BG559" s="899"/>
      <c r="BH559" s="896"/>
      <c r="BI559" s="895"/>
      <c r="BJ559" s="895"/>
      <c r="BK559" s="895"/>
      <c r="BL559" s="899"/>
      <c r="BM559" s="895"/>
      <c r="BN559" s="895"/>
      <c r="BO559" s="895"/>
      <c r="BP559" s="895"/>
      <c r="BQ559" s="899"/>
      <c r="BR559" s="895"/>
      <c r="BS559" s="895"/>
      <c r="BT559" s="895"/>
      <c r="BU559" s="895"/>
      <c r="BV559" s="899"/>
      <c r="BW559" s="895"/>
      <c r="BX559" s="895"/>
      <c r="BY559" s="895"/>
      <c r="BZ559" s="895"/>
      <c r="CA559" s="899"/>
      <c r="CB559" s="895"/>
      <c r="CC559" s="895"/>
      <c r="CD559" s="895"/>
      <c r="CE559" s="895"/>
      <c r="CF559" s="899"/>
      <c r="CG559" s="895"/>
      <c r="CH559" s="895"/>
      <c r="CI559" s="895"/>
      <c r="CJ559" s="1177">
        <v>15</v>
      </c>
      <c r="CK559" s="1015"/>
      <c r="CL559" s="1176"/>
      <c r="CM559" s="1177"/>
      <c r="CN559" s="1177"/>
      <c r="CO559" s="908"/>
      <c r="CP559" s="1369"/>
      <c r="CQ559" s="908"/>
      <c r="CR559" s="908"/>
      <c r="CS559" s="908"/>
      <c r="CT559" s="908"/>
      <c r="CU559" s="909"/>
      <c r="CV559" s="908"/>
      <c r="CW559" s="908">
        <v>10</v>
      </c>
      <c r="CX559" s="908">
        <v>20</v>
      </c>
      <c r="CY559" s="915">
        <f>CZ559-CX559-CW559</f>
      </c>
      <c r="CZ559" s="909"/>
      <c r="DA559" s="908"/>
      <c r="DB559" s="895"/>
      <c r="DC559" s="895"/>
      <c r="DD559" s="915"/>
      <c r="DE559" s="899"/>
      <c r="DF559" s="908"/>
      <c r="DG559" s="908"/>
      <c r="DH559" s="908"/>
      <c r="DI559" s="1021"/>
      <c r="DJ559" s="899"/>
      <c r="DK559" s="908"/>
      <c r="DL559" s="908"/>
      <c r="DM559" s="908"/>
      <c r="DN559" s="1021"/>
      <c r="DO559" s="899"/>
      <c r="DP559" s="908"/>
      <c r="DQ559" s="908"/>
      <c r="DR559" s="908"/>
      <c r="DS559" s="1021"/>
      <c r="DT559" s="899"/>
      <c r="DU559" s="908">
        <v>57</v>
      </c>
      <c r="DV559" s="908">
        <v>82</v>
      </c>
      <c r="DW559" s="908">
        <v>93</v>
      </c>
      <c r="DX559" s="1021">
        <v>102</v>
      </c>
      <c r="DY559" s="899">
        <f>SUM(DU559:DX559)</f>
      </c>
      <c r="DZ559" s="908">
        <v>101</v>
      </c>
      <c r="EA559" s="908">
        <v>104</v>
      </c>
      <c r="EB559" s="908">
        <v>105</v>
      </c>
      <c r="EC559" s="1021">
        <v>108</v>
      </c>
      <c r="ED559" s="899">
        <f>SUM(DZ559:EC559)</f>
      </c>
      <c r="EE559" s="908">
        <v>105</v>
      </c>
      <c r="EF559" s="908">
        <v>114</v>
      </c>
      <c r="EG559" s="908">
        <v>115</v>
      </c>
      <c r="EH559" s="915">
        <f>+EI559-SUM(EE559:EG559)</f>
      </c>
      <c r="EI559" s="3706">
        <v>460</v>
      </c>
      <c r="EJ559" s="3706">
        <v>741.66568280691513</v>
      </c>
      <c r="EK559" s="3706">
        <v>903.71431681390675</v>
      </c>
      <c r="EL559" s="3706">
        <v>1176.4034530270972</v>
      </c>
      <c r="EM559" s="3706">
        <v>1456.9500772608926</v>
      </c>
      <c r="EN559" s="3707">
        <v>1674.8032466770144</v>
      </c>
      <c r="EO559" s="899">
        <f t="shared" ref="EO559" si="1390">EN559*(1+EO564)</f>
      </c>
      <c r="EP559" s="915">
        <f t="shared" ref="EP559" si="1391">EO559*(1+EP564)</f>
      </c>
      <c r="EQ559" s="915">
        <f t="shared" ref="EQ559" si="1392">EP559*(1+EQ564)</f>
      </c>
      <c r="ER559" s="915">
        <f t="shared" ref="ER559" si="1393">EQ559*(1+ER564)</f>
      </c>
      <c r="ES559" s="915">
        <f t="shared" ref="ES559" si="1394">ER559*(1+ES564)</f>
      </c>
      <c r="ET559" s="915"/>
      <c r="EU559" s="915"/>
      <c r="EV559" s="915"/>
      <c r="EW559" s="915"/>
      <c r="EX559" s="915"/>
    </row>
    <row r="560" spans="1:154">
      <c r="A560" s="3277"/>
      <c r="B560" s="3342" t="s">
        <v>412</v>
      </c>
      <c r="C560" s="2012"/>
      <c r="D560" s="894"/>
      <c r="E560" s="894"/>
      <c r="F560" s="895"/>
      <c r="G560" s="895"/>
      <c r="H560" s="895"/>
      <c r="I560" s="895"/>
      <c r="J560" s="895"/>
      <c r="K560" s="895"/>
      <c r="L560" s="895"/>
      <c r="M560" s="895"/>
      <c r="N560" s="895"/>
      <c r="O560" s="896"/>
      <c r="P560" s="895"/>
      <c r="Q560" s="895"/>
      <c r="R560" s="895"/>
      <c r="S560" s="895"/>
      <c r="T560" s="896"/>
      <c r="U560" s="895"/>
      <c r="V560" s="895"/>
      <c r="W560" s="895"/>
      <c r="X560" s="898"/>
      <c r="Y560" s="896"/>
      <c r="Z560" s="895"/>
      <c r="AA560" s="895"/>
      <c r="AB560" s="895"/>
      <c r="AC560" s="898"/>
      <c r="AD560" s="896"/>
      <c r="AE560" s="895"/>
      <c r="AF560" s="895"/>
      <c r="AG560" s="895"/>
      <c r="AH560" s="898"/>
      <c r="AI560" s="896"/>
      <c r="AJ560" s="895"/>
      <c r="AK560" s="895"/>
      <c r="AL560" s="895"/>
      <c r="AM560" s="898"/>
      <c r="AN560" s="896"/>
      <c r="AO560" s="895"/>
      <c r="AP560" s="895"/>
      <c r="AQ560" s="897"/>
      <c r="AR560" s="898"/>
      <c r="AS560" s="896"/>
      <c r="AT560" s="895"/>
      <c r="AU560" s="895"/>
      <c r="AV560" s="895"/>
      <c r="AW560" s="898"/>
      <c r="AX560" s="896"/>
      <c r="AY560" s="895"/>
      <c r="AZ560" s="895"/>
      <c r="BA560" s="895"/>
      <c r="BB560" s="898"/>
      <c r="BC560" s="896"/>
      <c r="BD560" s="895"/>
      <c r="BE560" s="895"/>
      <c r="BF560" s="895"/>
      <c r="BG560" s="898"/>
      <c r="BH560" s="896"/>
      <c r="BI560" s="895"/>
      <c r="BJ560" s="895"/>
      <c r="BK560" s="895"/>
      <c r="BL560" s="898"/>
      <c r="BM560" s="895"/>
      <c r="BN560" s="895"/>
      <c r="BO560" s="895"/>
      <c r="BP560" s="895"/>
      <c r="BQ560" s="898"/>
      <c r="BR560" s="895"/>
      <c r="BS560" s="895"/>
      <c r="BT560" s="895"/>
      <c r="BU560" s="895"/>
      <c r="BV560" s="898"/>
      <c r="BW560" s="895"/>
      <c r="BX560" s="895"/>
      <c r="BY560" s="895"/>
      <c r="BZ560" s="895"/>
      <c r="CA560" s="898"/>
      <c r="CB560" s="895"/>
      <c r="CC560" s="895"/>
      <c r="CD560" s="895"/>
      <c r="CE560" s="895"/>
      <c r="CF560" s="898"/>
      <c r="CG560" s="895"/>
      <c r="CH560" s="895"/>
      <c r="CI560" s="895"/>
      <c r="CJ560" s="1178"/>
      <c r="CK560" s="1015"/>
      <c r="CL560" s="1176"/>
      <c r="CM560" s="1177"/>
      <c r="CN560" s="1177"/>
      <c r="CO560" s="908"/>
      <c r="CP560" s="1369"/>
      <c r="CQ560" s="908"/>
      <c r="CR560" s="908"/>
      <c r="CS560" s="908"/>
      <c r="CT560" s="908"/>
      <c r="CU560" s="909"/>
      <c r="CV560" s="908"/>
      <c r="CW560" s="908">
        <v>3</v>
      </c>
      <c r="CX560" s="908">
        <v>7</v>
      </c>
      <c r="CY560" s="915">
        <f>CZ560-CX560-CW560</f>
      </c>
      <c r="CZ560" s="909"/>
      <c r="DA560" s="908"/>
      <c r="DB560" s="908"/>
      <c r="DC560" s="908"/>
      <c r="DD560" s="915"/>
      <c r="DE560" s="899"/>
      <c r="DF560" s="908"/>
      <c r="DG560" s="908"/>
      <c r="DH560" s="908"/>
      <c r="DI560" s="1021"/>
      <c r="DJ560" s="899"/>
      <c r="DK560" s="908"/>
      <c r="DL560" s="908"/>
      <c r="DM560" s="908"/>
      <c r="DN560" s="1021"/>
      <c r="DO560" s="899"/>
      <c r="DP560" s="908"/>
      <c r="DQ560" s="908"/>
      <c r="DR560" s="908"/>
      <c r="DS560" s="1021"/>
      <c r="DT560" s="899"/>
      <c r="DU560" s="908">
        <v>6</v>
      </c>
      <c r="DV560" s="908">
        <v>12</v>
      </c>
      <c r="DW560" s="908">
        <v>19</v>
      </c>
      <c r="DX560" s="1021">
        <v>24</v>
      </c>
      <c r="DY560" s="899">
        <f>SUM(DU560:DX560)</f>
      </c>
      <c r="DZ560" s="908">
        <v>33</v>
      </c>
      <c r="EA560" s="908">
        <v>30</v>
      </c>
      <c r="EB560" s="908">
        <v>30</v>
      </c>
      <c r="EC560" s="1021">
        <v>38</v>
      </c>
      <c r="ED560" s="899">
        <f>SUM(DZ560:EC560)</f>
      </c>
      <c r="EE560" s="908">
        <v>46</v>
      </c>
      <c r="EF560" s="908">
        <v>52</v>
      </c>
      <c r="EG560" s="908">
        <v>62</v>
      </c>
      <c r="EH560" s="915">
        <f>+EI560-SUM(EE560:EG560)</f>
      </c>
      <c r="EI560" s="3706">
        <v>230</v>
      </c>
      <c r="EJ560" s="3706">
        <v>342.0922071798721</v>
      </c>
      <c r="EK560" s="3706">
        <v>426.53366155768936</v>
      </c>
      <c r="EL560" s="3706">
        <v>566.36409927065131</v>
      </c>
      <c r="EM560" s="3706">
        <v>709.24823342460456</v>
      </c>
      <c r="EN560" s="3707">
        <v>818.67238486661063</v>
      </c>
      <c r="EO560" s="899">
        <f t="shared" ref="EO560" si="1395">EN560*(1+EO566)</f>
      </c>
      <c r="EP560" s="915">
        <f t="shared" ref="EP560" si="1396">EO560*(1+EP566)</f>
      </c>
      <c r="EQ560" s="915">
        <f t="shared" ref="EQ560" si="1397">EP560*(1+EQ566)</f>
      </c>
      <c r="ER560" s="915">
        <f t="shared" ref="ER560" si="1398">EQ560*(1+ER566)</f>
      </c>
      <c r="ES560" s="915">
        <f t="shared" ref="ES560" si="1399">ER560*(1+ES566)</f>
      </c>
      <c r="ET560" s="915"/>
      <c r="EU560" s="915"/>
      <c r="EV560" s="915"/>
      <c r="EW560" s="915"/>
      <c r="EX560" s="915"/>
    </row>
    <row r="561" spans="1:154">
      <c r="A561" s="3277"/>
      <c r="B561" s="3342" t="s">
        <v>611</v>
      </c>
      <c r="C561" s="2012"/>
      <c r="D561" s="894"/>
      <c r="E561" s="894"/>
      <c r="F561" s="895"/>
      <c r="G561" s="895"/>
      <c r="H561" s="895"/>
      <c r="I561" s="895"/>
      <c r="J561" s="895"/>
      <c r="K561" s="895"/>
      <c r="L561" s="895"/>
      <c r="M561" s="895"/>
      <c r="N561" s="895"/>
      <c r="O561" s="896"/>
      <c r="P561" s="895"/>
      <c r="Q561" s="895"/>
      <c r="R561" s="895"/>
      <c r="S561" s="895"/>
      <c r="T561" s="896"/>
      <c r="U561" s="895"/>
      <c r="V561" s="895"/>
      <c r="W561" s="895"/>
      <c r="X561" s="899"/>
      <c r="Y561" s="896"/>
      <c r="Z561" s="895"/>
      <c r="AA561" s="895"/>
      <c r="AB561" s="895"/>
      <c r="AC561" s="899"/>
      <c r="AD561" s="896"/>
      <c r="AE561" s="895"/>
      <c r="AF561" s="895"/>
      <c r="AG561" s="895"/>
      <c r="AH561" s="899"/>
      <c r="AI561" s="896"/>
      <c r="AJ561" s="895"/>
      <c r="AK561" s="895"/>
      <c r="AL561" s="895"/>
      <c r="AM561" s="899"/>
      <c r="AN561" s="896"/>
      <c r="AO561" s="895"/>
      <c r="AP561" s="895"/>
      <c r="AQ561" s="897"/>
      <c r="AR561" s="899"/>
      <c r="AS561" s="896"/>
      <c r="AT561" s="895"/>
      <c r="AU561" s="895"/>
      <c r="AV561" s="895"/>
      <c r="AW561" s="899"/>
      <c r="AX561" s="896"/>
      <c r="AY561" s="895"/>
      <c r="AZ561" s="895"/>
      <c r="BA561" s="895"/>
      <c r="BB561" s="899"/>
      <c r="BC561" s="896"/>
      <c r="BD561" s="895"/>
      <c r="BE561" s="895"/>
      <c r="BF561" s="895"/>
      <c r="BG561" s="899"/>
      <c r="BH561" s="896"/>
      <c r="BI561" s="895"/>
      <c r="BJ561" s="895"/>
      <c r="BK561" s="895"/>
      <c r="BL561" s="899"/>
      <c r="BM561" s="895"/>
      <c r="BN561" s="895"/>
      <c r="BO561" s="895"/>
      <c r="BP561" s="895"/>
      <c r="BQ561" s="899"/>
      <c r="BR561" s="895"/>
      <c r="BS561" s="895"/>
      <c r="BT561" s="895"/>
      <c r="BU561" s="895"/>
      <c r="BV561" s="899"/>
      <c r="BW561" s="908"/>
      <c r="BX561" s="895"/>
      <c r="BY561" s="895"/>
      <c r="BZ561" s="895"/>
      <c r="CA561" s="899"/>
      <c r="CB561" s="895"/>
      <c r="CC561" s="895"/>
      <c r="CD561" s="895"/>
      <c r="CE561" s="895"/>
      <c r="CF561" s="899"/>
      <c r="CG561" s="895"/>
      <c r="CH561" s="895"/>
      <c r="CI561" s="895"/>
      <c r="CJ561" s="895">
        <f>CJ559+CJ560</f>
      </c>
      <c r="CK561" s="1015"/>
      <c r="CL561" s="1015"/>
      <c r="CM561" s="895"/>
      <c r="CN561" s="895"/>
      <c r="CO561" s="895"/>
      <c r="CP561" s="899"/>
      <c r="CQ561" s="895"/>
      <c r="CR561" s="895"/>
      <c r="CS561" s="895"/>
      <c r="CT561" s="895"/>
      <c r="CU561" s="899"/>
      <c r="CV561" s="895"/>
      <c r="CW561" s="895">
        <f>+SUM(CW559:CW560)</f>
      </c>
      <c r="CX561" s="895">
        <f>+SUM(CX559:CX560)</f>
      </c>
      <c r="CY561" s="895">
        <f>+SUM(CY559:CY560)</f>
      </c>
      <c r="CZ561" s="899"/>
      <c r="DA561" s="895"/>
      <c r="DB561" s="895"/>
      <c r="DC561" s="895"/>
      <c r="DD561" s="1021"/>
      <c r="DE561" s="899"/>
      <c r="DF561" s="895"/>
      <c r="DG561" s="895"/>
      <c r="DH561" s="895"/>
      <c r="DI561" s="915"/>
      <c r="DJ561" s="899"/>
      <c r="DK561" s="895"/>
      <c r="DL561" s="895"/>
      <c r="DM561" s="895"/>
      <c r="DN561" s="915"/>
      <c r="DO561" s="899"/>
      <c r="DP561" s="895"/>
      <c r="DQ561" s="895"/>
      <c r="DR561" s="895"/>
      <c r="DS561" s="915"/>
      <c r="DT561" s="899"/>
      <c r="DU561" s="895">
        <f t="shared" ref="DU561" si="1400">SUM(DU559:DU560)</f>
      </c>
      <c r="DV561" s="895">
        <f>SUM(DV559:DV560)</f>
      </c>
      <c r="DW561" s="895">
        <f>SUM(DW559:DW560)</f>
      </c>
      <c r="DX561" s="915">
        <f>SUM(DX559:DX560)</f>
      </c>
      <c r="DY561" s="899">
        <f>DY559+DY560</f>
      </c>
      <c r="DZ561" s="895">
        <f>SUM(DZ559:DZ560)</f>
      </c>
      <c r="EA561" s="895">
        <f>SUM(EA559:EA560)</f>
      </c>
      <c r="EB561" s="895">
        <f>SUM(EB559:EB560)</f>
      </c>
      <c r="EC561" s="915">
        <f>SUM(EC559:EC560)</f>
      </c>
      <c r="ED561" s="899">
        <f>ED559+ED560</f>
      </c>
      <c r="EE561" s="895">
        <f>SUM(EE559:EE560)</f>
      </c>
      <c r="EF561" s="895">
        <f>SUM(EF559:EF560)</f>
      </c>
      <c r="EG561" s="895">
        <f>SUM(EG559:EG560)</f>
      </c>
      <c r="EH561" s="915">
        <f>SUM(EH559:EH560)</f>
      </c>
      <c r="EI561" s="899">
        <f t="shared" ref="EI561:ES561" si="1401">EI559+EI560</f>
      </c>
      <c r="EJ561" s="899">
        <f t="shared" si="1401"/>
      </c>
      <c r="EK561" s="915">
        <f t="shared" si="1401"/>
      </c>
      <c r="EL561" s="915">
        <f t="shared" si="1401"/>
      </c>
      <c r="EM561" s="915">
        <f t="shared" si="1401"/>
      </c>
      <c r="EN561" s="915">
        <f t="shared" si="1401"/>
      </c>
      <c r="EO561" s="915">
        <f t="shared" si="1401"/>
      </c>
      <c r="EP561" s="915">
        <f t="shared" si="1401"/>
      </c>
      <c r="EQ561" s="915">
        <f t="shared" si="1401"/>
      </c>
      <c r="ER561" s="915">
        <f t="shared" si="1401"/>
      </c>
      <c r="ES561" s="915">
        <f t="shared" si="1401"/>
      </c>
      <c r="ET561" s="915"/>
      <c r="EU561" s="915"/>
      <c r="EV561" s="915"/>
      <c r="EW561" s="915"/>
      <c r="EX561" s="915"/>
    </row>
    <row r="562" spans="1:154" ht="13.5" customHeight="1">
      <c r="A562" s="3277"/>
      <c r="B562" s="1391"/>
      <c r="C562" s="2010"/>
      <c r="D562" s="894"/>
      <c r="E562" s="894"/>
      <c r="F562" s="895"/>
      <c r="G562" s="895"/>
      <c r="H562" s="895"/>
      <c r="I562" s="895"/>
      <c r="J562" s="895"/>
      <c r="K562" s="895"/>
      <c r="L562" s="895"/>
      <c r="M562" s="895"/>
      <c r="N562" s="895"/>
      <c r="O562" s="896"/>
      <c r="P562" s="895"/>
      <c r="Q562" s="895"/>
      <c r="R562" s="895"/>
      <c r="S562" s="895"/>
      <c r="T562" s="896"/>
      <c r="U562" s="895"/>
      <c r="V562" s="895"/>
      <c r="W562" s="895"/>
      <c r="X562" s="899"/>
      <c r="Y562" s="896"/>
      <c r="Z562" s="895"/>
      <c r="AA562" s="895"/>
      <c r="AB562" s="895"/>
      <c r="AC562" s="899"/>
      <c r="AD562" s="896"/>
      <c r="AE562" s="895"/>
      <c r="AF562" s="895"/>
      <c r="AG562" s="895"/>
      <c r="AH562" s="899"/>
      <c r="AI562" s="896"/>
      <c r="AJ562" s="895"/>
      <c r="AK562" s="895"/>
      <c r="AL562" s="895"/>
      <c r="AM562" s="899"/>
      <c r="AN562" s="896"/>
      <c r="AO562" s="895"/>
      <c r="AP562" s="895"/>
      <c r="AQ562" s="897"/>
      <c r="AR562" s="899"/>
      <c r="AS562" s="896"/>
      <c r="AT562" s="895"/>
      <c r="AU562" s="895"/>
      <c r="AV562" s="895"/>
      <c r="AW562" s="899"/>
      <c r="AX562" s="896"/>
      <c r="AY562" s="895"/>
      <c r="AZ562" s="895"/>
      <c r="BA562" s="895"/>
      <c r="BB562" s="899"/>
      <c r="BC562" s="896"/>
      <c r="BD562" s="895"/>
      <c r="BE562" s="895"/>
      <c r="BF562" s="895"/>
      <c r="BG562" s="899"/>
      <c r="BH562" s="896"/>
      <c r="BI562" s="895"/>
      <c r="BJ562" s="895"/>
      <c r="BK562" s="895"/>
      <c r="BL562" s="899"/>
      <c r="BM562" s="895"/>
      <c r="BN562" s="895"/>
      <c r="BO562" s="895"/>
      <c r="BP562" s="895"/>
      <c r="BQ562" s="899"/>
      <c r="BR562" s="895"/>
      <c r="BS562" s="895"/>
      <c r="BT562" s="895"/>
      <c r="BU562" s="895"/>
      <c r="BV562" s="899"/>
      <c r="BW562" s="895"/>
      <c r="BX562" s="895"/>
      <c r="BY562" s="895"/>
      <c r="BZ562" s="895"/>
      <c r="CA562" s="899"/>
      <c r="CB562" s="895"/>
      <c r="CC562" s="895"/>
      <c r="CD562" s="895"/>
      <c r="CE562" s="895"/>
      <c r="CF562" s="899"/>
      <c r="CG562" s="895"/>
      <c r="CH562" s="895"/>
      <c r="CI562" s="895"/>
      <c r="CJ562" s="895"/>
      <c r="CK562" s="899"/>
      <c r="CL562" s="1015"/>
      <c r="CM562" s="895"/>
      <c r="CN562" s="895"/>
      <c r="CO562" s="895"/>
      <c r="CP562" s="899"/>
      <c r="CQ562" s="895"/>
      <c r="CR562" s="895"/>
      <c r="CS562" s="895"/>
      <c r="CT562" s="895"/>
      <c r="CU562" s="899"/>
      <c r="CV562" s="895"/>
      <c r="CW562" s="895"/>
      <c r="CX562" s="895"/>
      <c r="CY562" s="895"/>
      <c r="CZ562" s="899"/>
      <c r="DA562" s="895"/>
      <c r="DB562" s="895"/>
      <c r="DC562" s="895"/>
      <c r="DD562" s="915"/>
      <c r="DE562" s="899"/>
      <c r="DF562" s="895"/>
      <c r="DG562" s="895"/>
      <c r="DH562" s="895"/>
      <c r="DI562" s="915"/>
      <c r="DJ562" s="899"/>
      <c r="DK562" s="895"/>
      <c r="DL562" s="895"/>
      <c r="DM562" s="895"/>
      <c r="DN562" s="915"/>
      <c r="DO562" s="899"/>
      <c r="DP562" s="895"/>
      <c r="DQ562" s="895"/>
      <c r="DR562" s="895"/>
      <c r="DS562" s="915"/>
      <c r="DT562" s="899"/>
      <c r="DU562" s="895"/>
      <c r="DV562" s="895"/>
      <c r="DW562" s="895"/>
      <c r="DX562" s="895"/>
      <c r="DY562" s="899"/>
      <c r="DZ562" s="895"/>
      <c r="EA562" s="895"/>
      <c r="EB562" s="895"/>
      <c r="EC562" s="915"/>
      <c r="ED562" s="899"/>
      <c r="EE562" s="895"/>
      <c r="EF562" s="895"/>
      <c r="EG562" s="895"/>
      <c r="EH562" s="915"/>
      <c r="EI562" s="899"/>
      <c r="EJ562" s="899"/>
      <c r="EK562" s="899"/>
      <c r="EL562" s="915"/>
      <c r="EM562" s="915"/>
      <c r="EN562" s="915"/>
      <c r="EO562" s="915"/>
      <c r="EP562" s="915"/>
      <c r="EQ562" s="915"/>
      <c r="ER562" s="915"/>
      <c r="ES562" s="915"/>
      <c r="ET562" s="915"/>
      <c r="EU562" s="915"/>
      <c r="EV562" s="915"/>
      <c r="EW562" s="915"/>
      <c r="EX562" s="915"/>
    </row>
    <row r="563" spans="1:154">
      <c r="A563" s="3277"/>
      <c r="B563" s="3344" t="s">
        <v>1035</v>
      </c>
      <c r="C563" s="2010"/>
      <c r="D563" s="894"/>
      <c r="E563" s="894"/>
      <c r="F563" s="895"/>
      <c r="G563" s="895"/>
      <c r="H563" s="895"/>
      <c r="I563" s="895"/>
      <c r="J563" s="895"/>
      <c r="K563" s="895"/>
      <c r="L563" s="895"/>
      <c r="M563" s="895"/>
      <c r="N563" s="895"/>
      <c r="O563" s="896"/>
      <c r="P563" s="895"/>
      <c r="Q563" s="895"/>
      <c r="R563" s="895"/>
      <c r="S563" s="895"/>
      <c r="T563" s="896"/>
      <c r="U563" s="895"/>
      <c r="V563" s="895"/>
      <c r="W563" s="895"/>
      <c r="X563" s="899"/>
      <c r="Y563" s="896"/>
      <c r="Z563" s="895"/>
      <c r="AA563" s="895"/>
      <c r="AB563" s="895"/>
      <c r="AC563" s="899"/>
      <c r="AD563" s="896"/>
      <c r="AE563" s="895"/>
      <c r="AF563" s="895"/>
      <c r="AG563" s="895"/>
      <c r="AH563" s="899"/>
      <c r="AI563" s="896"/>
      <c r="AJ563" s="895"/>
      <c r="AK563" s="895"/>
      <c r="AL563" s="895"/>
      <c r="AM563" s="899"/>
      <c r="AN563" s="896"/>
      <c r="AO563" s="895"/>
      <c r="AP563" s="895"/>
      <c r="AQ563" s="897"/>
      <c r="AR563" s="899"/>
      <c r="AS563" s="896"/>
      <c r="AT563" s="895"/>
      <c r="AU563" s="895"/>
      <c r="AV563" s="895"/>
      <c r="AW563" s="899"/>
      <c r="AX563" s="896"/>
      <c r="AY563" s="895"/>
      <c r="AZ563" s="895"/>
      <c r="BA563" s="895"/>
      <c r="BB563" s="899"/>
      <c r="BC563" s="896"/>
      <c r="BD563" s="895"/>
      <c r="BE563" s="895"/>
      <c r="BF563" s="895"/>
      <c r="BG563" s="899"/>
      <c r="BH563" s="896"/>
      <c r="BI563" s="895"/>
      <c r="BJ563" s="895"/>
      <c r="BK563" s="895"/>
      <c r="BL563" s="899"/>
      <c r="BM563" s="895"/>
      <c r="BN563" s="908"/>
      <c r="BO563" s="895"/>
      <c r="BP563" s="895"/>
      <c r="BQ563" s="899"/>
      <c r="BR563" s="895"/>
      <c r="BS563" s="908"/>
      <c r="BT563" s="895"/>
      <c r="BU563" s="895"/>
      <c r="BV563" s="899"/>
      <c r="BW563" s="908"/>
      <c r="BX563" s="908"/>
      <c r="BY563" s="908"/>
      <c r="BZ563" s="908"/>
      <c r="CA563" s="899"/>
      <c r="CB563" s="908"/>
      <c r="CC563" s="895"/>
      <c r="CD563" s="908"/>
      <c r="CE563" s="908"/>
      <c r="CF563" s="899"/>
      <c r="CG563" s="908"/>
      <c r="CH563" s="908"/>
      <c r="CI563" s="908"/>
      <c r="CJ563" s="908"/>
      <c r="CK563" s="899"/>
      <c r="CL563" s="1015"/>
      <c r="CM563" s="895"/>
      <c r="CN563" s="895"/>
      <c r="CO563" s="30"/>
      <c r="CP563" s="909"/>
      <c r="CQ563" s="895"/>
      <c r="CR563" s="895"/>
      <c r="CS563" s="895"/>
      <c r="CT563" s="895"/>
      <c r="CU563" s="909"/>
      <c r="CV563" s="895"/>
      <c r="CW563" s="895"/>
      <c r="CX563" s="895"/>
      <c r="CY563" s="895"/>
      <c r="CZ563" s="909"/>
      <c r="DA563" s="895"/>
      <c r="DB563" s="1512"/>
      <c r="DC563" s="1512"/>
      <c r="DD563" s="1522"/>
      <c r="DE563" s="1520"/>
      <c r="DF563" s="1509"/>
      <c r="DG563" s="1512"/>
      <c r="DH563" s="908"/>
      <c r="DI563" s="1021"/>
      <c r="DJ563" s="909"/>
      <c r="DK563" s="895"/>
      <c r="DL563" s="908"/>
      <c r="DM563" s="908"/>
      <c r="DN563" s="1021"/>
      <c r="DO563" s="909"/>
      <c r="DP563" s="908"/>
      <c r="DQ563" s="908"/>
      <c r="DR563" s="908"/>
      <c r="DS563" s="1021"/>
      <c r="DT563" s="909"/>
      <c r="DU563" s="908"/>
      <c r="DV563" s="908"/>
      <c r="DW563" s="908"/>
      <c r="DX563" s="908"/>
      <c r="DY563" s="909"/>
      <c r="DZ563" s="908"/>
      <c r="EA563" s="908"/>
      <c r="EB563" s="908"/>
      <c r="EC563" s="1021"/>
      <c r="ED563" s="909"/>
      <c r="EE563" s="908"/>
      <c r="EF563" s="908"/>
      <c r="EG563" s="908"/>
      <c r="EH563" s="3548"/>
      <c r="EI563" s="909"/>
      <c r="EJ563" s="909"/>
      <c r="EK563" s="909"/>
      <c r="EL563" s="1021"/>
      <c r="EM563" s="1021"/>
      <c r="EN563" s="1021"/>
      <c r="EO563" s="1021"/>
      <c r="EP563" s="1021"/>
      <c r="EQ563" s="1021"/>
      <c r="ER563" s="1021"/>
      <c r="ES563" s="1021"/>
      <c r="ET563" s="1021"/>
      <c r="EU563" s="1021"/>
      <c r="EV563" s="1021"/>
      <c r="EW563" s="1021"/>
      <c r="EX563" s="1021"/>
    </row>
    <row r="564" spans="1:154">
      <c r="A564" s="3277"/>
      <c r="B564" s="1390" t="s">
        <v>925</v>
      </c>
      <c r="C564" s="2011"/>
      <c r="D564" s="894"/>
      <c r="E564" s="894"/>
      <c r="F564" s="895"/>
      <c r="G564" s="895"/>
      <c r="H564" s="895"/>
      <c r="I564" s="895"/>
      <c r="J564" s="895"/>
      <c r="K564" s="895"/>
      <c r="L564" s="895"/>
      <c r="M564" s="895"/>
      <c r="N564" s="895"/>
      <c r="O564" s="896"/>
      <c r="P564" s="895"/>
      <c r="Q564" s="895"/>
      <c r="R564" s="895"/>
      <c r="S564" s="895"/>
      <c r="T564" s="896"/>
      <c r="U564" s="895"/>
      <c r="V564" s="895"/>
      <c r="W564" s="895"/>
      <c r="X564" s="899"/>
      <c r="Y564" s="896"/>
      <c r="Z564" s="895"/>
      <c r="AA564" s="895"/>
      <c r="AB564" s="895"/>
      <c r="AC564" s="899"/>
      <c r="AD564" s="896"/>
      <c r="AE564" s="895"/>
      <c r="AF564" s="895"/>
      <c r="AG564" s="895"/>
      <c r="AH564" s="899"/>
      <c r="AI564" s="896"/>
      <c r="AJ564" s="895"/>
      <c r="AK564" s="895"/>
      <c r="AL564" s="895"/>
      <c r="AM564" s="899"/>
      <c r="AN564" s="896"/>
      <c r="AO564" s="895"/>
      <c r="AP564" s="895"/>
      <c r="AQ564" s="897"/>
      <c r="AR564" s="899"/>
      <c r="AS564" s="896"/>
      <c r="AT564" s="895"/>
      <c r="AU564" s="895"/>
      <c r="AV564" s="895"/>
      <c r="AW564" s="899"/>
      <c r="AX564" s="896"/>
      <c r="AY564" s="895"/>
      <c r="AZ564" s="895"/>
      <c r="BA564" s="895"/>
      <c r="BB564" s="899"/>
      <c r="BC564" s="896"/>
      <c r="BD564" s="895"/>
      <c r="BE564" s="895"/>
      <c r="BF564" s="895"/>
      <c r="BG564" s="899"/>
      <c r="BH564" s="896"/>
      <c r="BI564" s="895"/>
      <c r="BJ564" s="895"/>
      <c r="BK564" s="895"/>
      <c r="BL564" s="899"/>
      <c r="BM564" s="895"/>
      <c r="BN564" s="895"/>
      <c r="BO564" s="895"/>
      <c r="BP564" s="895"/>
      <c r="BQ564" s="899"/>
      <c r="BR564" s="895"/>
      <c r="BS564" s="895"/>
      <c r="BT564" s="895"/>
      <c r="BU564" s="895"/>
      <c r="BV564" s="899"/>
      <c r="BW564" s="895"/>
      <c r="BX564" s="895"/>
      <c r="BY564" s="895"/>
      <c r="BZ564" s="895"/>
      <c r="CA564" s="899"/>
      <c r="CB564" s="895"/>
      <c r="CC564" s="895"/>
      <c r="CD564" s="895"/>
      <c r="CE564" s="895"/>
      <c r="CF564" s="899"/>
      <c r="CG564" s="895"/>
      <c r="CH564" s="30"/>
      <c r="CI564" s="30"/>
      <c r="CJ564" s="30"/>
      <c r="CK564" s="308"/>
      <c r="CL564" s="30"/>
      <c r="CM564" s="30"/>
      <c r="CN564" s="30"/>
      <c r="CO564" s="30"/>
      <c r="CP564" s="308"/>
      <c r="CQ564" s="30"/>
      <c r="CR564" s="30"/>
      <c r="CS564" s="30"/>
      <c r="CT564" s="30"/>
      <c r="CU564" s="308"/>
      <c r="CV564" s="30"/>
      <c r="CW564" s="30"/>
      <c r="CX564" s="30"/>
      <c r="CY564" s="30"/>
      <c r="CZ564" s="308"/>
      <c r="DA564" s="30"/>
      <c r="DB564" s="1109"/>
      <c r="DC564" s="1109"/>
      <c r="DD564" s="1525"/>
      <c r="DE564" s="1238"/>
      <c r="DF564" s="1539"/>
      <c r="DG564" s="1539"/>
      <c r="DH564" s="41"/>
      <c r="DI564" s="927"/>
      <c r="DJ564" s="927"/>
      <c r="DK564" s="1539"/>
      <c r="DL564" s="1539"/>
      <c r="DM564" s="1539"/>
      <c r="DN564" s="927"/>
      <c r="DO564" s="835"/>
      <c r="DP564" s="1361"/>
      <c r="DQ564" s="1361"/>
      <c r="DR564" s="1361"/>
      <c r="DS564" s="1351"/>
      <c r="DT564" s="928"/>
      <c r="DU564" s="1361"/>
      <c r="DV564" s="1361"/>
      <c r="DW564" s="1361"/>
      <c r="DX564" s="1351"/>
      <c r="DY564" s="928"/>
      <c r="DZ564" s="1703">
        <f>+DZ559/DU559-1</f>
      </c>
      <c r="EA564" s="1703">
        <f>+EA559/DV559-1</f>
      </c>
      <c r="EB564" s="1703">
        <f>+EB559/DW559-1</f>
      </c>
      <c r="EC564" s="1703">
        <f>+EC559/DX559-1</f>
      </c>
      <c r="ED564" s="1060">
        <f>IF(ED559=0,"NM",+ED559/DY559-1)</f>
      </c>
      <c r="EE564" s="1703">
        <f>+EE559/DZ559-1</f>
      </c>
      <c r="EF564" s="1703">
        <f>+EF559/EA559-1</f>
      </c>
      <c r="EG564" s="1703">
        <f>+EG559/EB559-1</f>
      </c>
      <c r="EH564" s="1063">
        <f>EH559/EC559-1</f>
      </c>
      <c r="EI564" s="1060">
        <f t="shared" ref="EI564:EI565" si="1402">EI559/ED559-1</f>
      </c>
      <c r="EJ564" s="3422">
        <f t="shared" ref="EJ564:EJ565" si="1403">EJ559/EI559-1</f>
      </c>
      <c r="EK564" s="3421">
        <f t="shared" ref="EK564:EK565" si="1404">EK559/EJ559-1</f>
      </c>
      <c r="EL564" s="3422">
        <f t="shared" ref="EL564:EL565" si="1405">EL559/EK559-1</f>
      </c>
      <c r="EM564" s="3421">
        <f t="shared" ref="EM564:EM565" si="1406">EM559/EL559-1</f>
      </c>
      <c r="EN564" s="3422">
        <f t="shared" ref="EN564:EN565" si="1407">EN559/EM559-1</f>
      </c>
      <c r="EO564" s="3764">
        <v>0.1</v>
      </c>
      <c r="EP564" s="3764">
        <v>0.08</v>
      </c>
      <c r="EQ564" s="3764">
        <v>0.05</v>
      </c>
      <c r="ER564" s="3764">
        <v>0.03</v>
      </c>
      <c r="ES564" s="3764">
        <v>0.03</v>
      </c>
      <c r="ET564" s="657"/>
      <c r="EU564" s="657"/>
      <c r="EV564" s="657"/>
      <c r="EW564" s="657"/>
      <c r="EX564" s="657"/>
    </row>
    <row r="565" spans="1:154">
      <c r="B565" s="1390" t="s">
        <v>412</v>
      </c>
      <c r="C565" s="2011"/>
      <c r="D565" s="894"/>
      <c r="E565" s="894"/>
      <c r="F565" s="895"/>
      <c r="G565" s="895"/>
      <c r="H565" s="895"/>
      <c r="I565" s="895"/>
      <c r="J565" s="895"/>
      <c r="K565" s="895"/>
      <c r="L565" s="895"/>
      <c r="M565" s="895"/>
      <c r="N565" s="895"/>
      <c r="O565" s="896"/>
      <c r="P565" s="895"/>
      <c r="Q565" s="895"/>
      <c r="R565" s="895"/>
      <c r="S565" s="895"/>
      <c r="T565" s="896"/>
      <c r="U565" s="895"/>
      <c r="V565" s="895"/>
      <c r="W565" s="895"/>
      <c r="X565" s="898"/>
      <c r="Y565" s="896"/>
      <c r="Z565" s="895"/>
      <c r="AA565" s="895"/>
      <c r="AB565" s="895"/>
      <c r="AC565" s="898"/>
      <c r="AD565" s="896"/>
      <c r="AE565" s="895"/>
      <c r="AF565" s="895"/>
      <c r="AG565" s="895"/>
      <c r="AH565" s="898"/>
      <c r="AI565" s="896"/>
      <c r="AJ565" s="895"/>
      <c r="AK565" s="895"/>
      <c r="AL565" s="895"/>
      <c r="AM565" s="898"/>
      <c r="AN565" s="896"/>
      <c r="AO565" s="895"/>
      <c r="AP565" s="895"/>
      <c r="AQ565" s="897"/>
      <c r="AR565" s="898"/>
      <c r="AS565" s="896"/>
      <c r="AT565" s="895"/>
      <c r="AU565" s="895"/>
      <c r="AV565" s="895"/>
      <c r="AW565" s="898"/>
      <c r="AX565" s="896"/>
      <c r="AY565" s="895"/>
      <c r="AZ565" s="895"/>
      <c r="BA565" s="895"/>
      <c r="BB565" s="898"/>
      <c r="BC565" s="896"/>
      <c r="BD565" s="895"/>
      <c r="BE565" s="895"/>
      <c r="BF565" s="895"/>
      <c r="BG565" s="898"/>
      <c r="BH565" s="896"/>
      <c r="BI565" s="895"/>
      <c r="BJ565" s="895"/>
      <c r="BK565" s="895"/>
      <c r="BL565" s="898"/>
      <c r="BM565" s="895"/>
      <c r="BN565" s="895"/>
      <c r="BO565" s="895"/>
      <c r="BP565" s="895"/>
      <c r="BQ565" s="898"/>
      <c r="BR565" s="895"/>
      <c r="BS565" s="895"/>
      <c r="BT565" s="895"/>
      <c r="BU565" s="895"/>
      <c r="BV565" s="898"/>
      <c r="BW565" s="895"/>
      <c r="BX565" s="895"/>
      <c r="BY565" s="895"/>
      <c r="BZ565" s="895"/>
      <c r="CA565" s="898"/>
      <c r="CB565" s="895"/>
      <c r="CC565" s="895"/>
      <c r="CD565" s="895"/>
      <c r="CE565" s="895"/>
      <c r="CF565" s="898"/>
      <c r="CG565" s="895"/>
      <c r="CH565" s="30"/>
      <c r="CI565" s="30"/>
      <c r="CJ565" s="30"/>
      <c r="CK565" s="308"/>
      <c r="CL565" s="30"/>
      <c r="CM565" s="30"/>
      <c r="CN565" s="30"/>
      <c r="CO565" s="30"/>
      <c r="CP565" s="308"/>
      <c r="CQ565" s="30"/>
      <c r="CR565" s="30"/>
      <c r="CS565" s="30"/>
      <c r="CT565" s="30"/>
      <c r="CU565" s="308"/>
      <c r="CV565" s="30"/>
      <c r="CW565" s="30"/>
      <c r="CX565" s="30"/>
      <c r="CY565" s="30"/>
      <c r="CZ565" s="308"/>
      <c r="DA565" s="30"/>
      <c r="DB565" s="1526"/>
      <c r="DC565" s="1526"/>
      <c r="DD565" s="1534"/>
      <c r="DE565" s="1535"/>
      <c r="DF565" s="1539"/>
      <c r="DG565" s="1539"/>
      <c r="DH565" s="41"/>
      <c r="DI565" s="927"/>
      <c r="DJ565" s="927"/>
      <c r="DK565" s="1539"/>
      <c r="DL565" s="1539"/>
      <c r="DM565" s="1539"/>
      <c r="DN565" s="927"/>
      <c r="DO565" s="309"/>
      <c r="DP565" s="1361"/>
      <c r="DQ565" s="1361"/>
      <c r="DR565" s="1361"/>
      <c r="DS565" s="1351"/>
      <c r="DT565" s="928"/>
      <c r="DU565" s="1361"/>
      <c r="DV565" s="1361"/>
      <c r="DW565" s="1361"/>
      <c r="DX565" s="1351"/>
      <c r="DY565" s="928"/>
      <c r="DZ565" s="30">
        <f>DZ560/DU560-1</f>
      </c>
      <c r="EA565" s="926">
        <f>EA560/DV560-1</f>
      </c>
      <c r="EB565" s="926">
        <f>EB560/DW560-1</f>
      </c>
      <c r="EC565" s="926">
        <f>EC560/DX560-1</f>
      </c>
      <c r="ED565" s="1060">
        <f>IF(ED560=0, "NM", ED560/DY560-1)</f>
      </c>
      <c r="EE565" s="30">
        <f>EE560/DZ560-1</f>
      </c>
      <c r="EF565" s="926">
        <f>EF560/EA560-1</f>
      </c>
      <c r="EG565" s="926">
        <f>EG560/EB560-1</f>
      </c>
      <c r="EH565" s="928">
        <f t="shared" ref="EH565" si="1408">EH560/EC560-1</f>
      </c>
      <c r="EI565" s="1060">
        <f t="shared" si="1402"/>
      </c>
      <c r="EJ565" s="3422">
        <f t="shared" si="1403"/>
      </c>
      <c r="EK565" s="3421">
        <f t="shared" si="1404"/>
      </c>
      <c r="EL565" s="3422">
        <f t="shared" si="1405"/>
      </c>
      <c r="EM565" s="3421">
        <f t="shared" si="1406"/>
      </c>
      <c r="EN565" s="3422">
        <f t="shared" si="1407"/>
      </c>
      <c r="EO565" s="3764">
        <v>0.1</v>
      </c>
      <c r="EP565" s="3764">
        <v>0.08</v>
      </c>
      <c r="EQ565" s="3764">
        <v>0.05</v>
      </c>
      <c r="ER565" s="3764">
        <v>0.03</v>
      </c>
      <c r="ES565" s="3764">
        <v>0.03</v>
      </c>
      <c r="ET565" s="409"/>
      <c r="EU565" s="409"/>
      <c r="EV565" s="409"/>
      <c r="EW565" s="409"/>
      <c r="EX565" s="409"/>
    </row>
    <row r="566" spans="1:154">
      <c r="B566" s="1390" t="s">
        <v>256</v>
      </c>
      <c r="C566" s="2010"/>
      <c r="D566" s="894"/>
      <c r="E566" s="894"/>
      <c r="F566" s="895"/>
      <c r="G566" s="895"/>
      <c r="H566" s="895"/>
      <c r="I566" s="895"/>
      <c r="J566" s="895"/>
      <c r="K566" s="895"/>
      <c r="L566" s="895"/>
      <c r="M566" s="895"/>
      <c r="N566" s="895"/>
      <c r="O566" s="896"/>
      <c r="P566" s="895"/>
      <c r="Q566" s="895"/>
      <c r="R566" s="895"/>
      <c r="S566" s="895"/>
      <c r="T566" s="896"/>
      <c r="U566" s="895"/>
      <c r="V566" s="895"/>
      <c r="W566" s="895"/>
      <c r="X566" s="899"/>
      <c r="Y566" s="896"/>
      <c r="Z566" s="895"/>
      <c r="AA566" s="895"/>
      <c r="AB566" s="895"/>
      <c r="AC566" s="899"/>
      <c r="AD566" s="896"/>
      <c r="AE566" s="895"/>
      <c r="AF566" s="895"/>
      <c r="AG566" s="895"/>
      <c r="AH566" s="899"/>
      <c r="AI566" s="896"/>
      <c r="AJ566" s="895"/>
      <c r="AK566" s="895"/>
      <c r="AL566" s="895"/>
      <c r="AM566" s="899"/>
      <c r="AN566" s="896"/>
      <c r="AO566" s="895"/>
      <c r="AP566" s="895"/>
      <c r="AQ566" s="897"/>
      <c r="AR566" s="899"/>
      <c r="AS566" s="896"/>
      <c r="AT566" s="895"/>
      <c r="AU566" s="895"/>
      <c r="AV566" s="895"/>
      <c r="AW566" s="899"/>
      <c r="AX566" s="896"/>
      <c r="AY566" s="895"/>
      <c r="AZ566" s="895"/>
      <c r="BA566" s="895"/>
      <c r="BB566" s="899"/>
      <c r="BC566" s="896"/>
      <c r="BD566" s="895"/>
      <c r="BE566" s="895"/>
      <c r="BF566" s="895"/>
      <c r="BG566" s="899"/>
      <c r="BH566" s="896"/>
      <c r="BI566" s="895"/>
      <c r="BJ566" s="895"/>
      <c r="BK566" s="895"/>
      <c r="BL566" s="899"/>
      <c r="BM566" s="895"/>
      <c r="BN566" s="895"/>
      <c r="BO566" s="895"/>
      <c r="BP566" s="895"/>
      <c r="BQ566" s="899"/>
      <c r="BR566" s="895"/>
      <c r="BS566" s="895"/>
      <c r="BT566" s="895"/>
      <c r="BU566" s="895"/>
      <c r="BV566" s="899"/>
      <c r="BW566" s="908"/>
      <c r="BX566" s="895"/>
      <c r="BY566" s="895"/>
      <c r="BZ566" s="895"/>
      <c r="CA566" s="899"/>
      <c r="CB566" s="895"/>
      <c r="CC566" s="895"/>
      <c r="CD566" s="895"/>
      <c r="CE566" s="895"/>
      <c r="CF566" s="899"/>
      <c r="CG566" s="895"/>
      <c r="CH566" s="361"/>
      <c r="CI566" s="361"/>
      <c r="CJ566" s="361"/>
      <c r="CK566" s="315"/>
      <c r="CL566" s="361"/>
      <c r="CM566" s="361"/>
      <c r="CN566" s="361"/>
      <c r="CO566" s="361"/>
      <c r="CP566" s="316"/>
      <c r="CQ566" s="361"/>
      <c r="CR566" s="361"/>
      <c r="CS566" s="361"/>
      <c r="CT566" s="361"/>
      <c r="CU566" s="316"/>
      <c r="CV566" s="361"/>
      <c r="CW566" s="361"/>
      <c r="CX566" s="361"/>
      <c r="CY566" s="361"/>
      <c r="CZ566" s="316"/>
      <c r="DA566" s="361"/>
      <c r="DB566" s="1109"/>
      <c r="DC566" s="1109"/>
      <c r="DD566" s="1525"/>
      <c r="DE566" s="1238"/>
      <c r="DF566" s="1109"/>
      <c r="DG566" s="1230"/>
      <c r="DH566" s="925"/>
      <c r="DI566" s="927"/>
      <c r="DJ566" s="927"/>
      <c r="DK566" s="1109"/>
      <c r="DL566" s="1109"/>
      <c r="DM566" s="925"/>
      <c r="DN566" s="927"/>
      <c r="DO566" s="835"/>
      <c r="DP566" s="926"/>
      <c r="DQ566" s="2185"/>
      <c r="DR566" s="2185"/>
      <c r="DS566" s="3343"/>
      <c r="DT566" s="928"/>
      <c r="DU566" s="926"/>
      <c r="DV566" s="926"/>
      <c r="DW566" s="926"/>
      <c r="DX566" s="926"/>
      <c r="DY566" s="1060"/>
      <c r="DZ566" s="1703">
        <f>DZ565-(-2.6%)</f>
      </c>
      <c r="EA566" s="1703">
        <f>EA565-(-4.8%)</f>
      </c>
      <c r="EB566" s="1703">
        <f>EB565-(-1.6%)</f>
      </c>
      <c r="EC566" s="1703">
        <f>EC565-(-3.3%)</f>
      </c>
      <c r="ED566" s="1060">
        <f>IF(ED560=0, "NM",ED565-ED$21)</f>
      </c>
      <c r="EE566" s="1703">
        <f>EE565-(-2.6%)</f>
      </c>
      <c r="EF566" s="1703">
        <f>EF565-(2.8%)</f>
      </c>
      <c r="EG566" s="1703">
        <f>EG565-(-1.6%)</f>
      </c>
      <c r="EH566" s="1063">
        <f>IF(EH560=0, "NM",EH565-EH$21)</f>
      </c>
      <c r="EI566" s="1060"/>
      <c r="EJ566" s="3422"/>
      <c r="EK566" s="3421"/>
      <c r="EL566" s="3422"/>
      <c r="EM566" s="3421"/>
      <c r="EN566" s="3422"/>
      <c r="EO566" s="3764">
        <v>0.1</v>
      </c>
      <c r="EP566" s="3764">
        <v>0.08</v>
      </c>
      <c r="EQ566" s="3764">
        <v>0.05</v>
      </c>
      <c r="ER566" s="3764">
        <v>0.03</v>
      </c>
      <c r="ES566" s="3764">
        <v>0.03</v>
      </c>
      <c r="ET566" s="657"/>
      <c r="EU566" s="657"/>
      <c r="EV566" s="657"/>
      <c r="EW566" s="657"/>
      <c r="EX566" s="657"/>
    </row>
    <row r="567" spans="1:154">
      <c r="B567" s="1390" t="s">
        <v>611</v>
      </c>
      <c r="C567" s="2010"/>
      <c r="D567" s="894"/>
      <c r="E567" s="894"/>
      <c r="F567" s="895"/>
      <c r="G567" s="895"/>
      <c r="H567" s="895"/>
      <c r="I567" s="895"/>
      <c r="J567" s="895"/>
      <c r="K567" s="895"/>
      <c r="L567" s="895"/>
      <c r="M567" s="895"/>
      <c r="N567" s="895"/>
      <c r="O567" s="896"/>
      <c r="P567" s="895"/>
      <c r="Q567" s="895"/>
      <c r="R567" s="895"/>
      <c r="S567" s="895"/>
      <c r="T567" s="896"/>
      <c r="U567" s="895"/>
      <c r="V567" s="895"/>
      <c r="W567" s="895"/>
      <c r="X567" s="899"/>
      <c r="Y567" s="896"/>
      <c r="Z567" s="895"/>
      <c r="AA567" s="895"/>
      <c r="AB567" s="895"/>
      <c r="AC567" s="899"/>
      <c r="AD567" s="896"/>
      <c r="AE567" s="895"/>
      <c r="AF567" s="895"/>
      <c r="AG567" s="895"/>
      <c r="AH567" s="899"/>
      <c r="AI567" s="896"/>
      <c r="AJ567" s="895"/>
      <c r="AK567" s="895"/>
      <c r="AL567" s="895"/>
      <c r="AM567" s="899"/>
      <c r="AN567" s="896"/>
      <c r="AO567" s="895"/>
      <c r="AP567" s="895"/>
      <c r="AQ567" s="897"/>
      <c r="AR567" s="899"/>
      <c r="AS567" s="896"/>
      <c r="AT567" s="895"/>
      <c r="AU567" s="895"/>
      <c r="AV567" s="895"/>
      <c r="AW567" s="899"/>
      <c r="AX567" s="896"/>
      <c r="AY567" s="895"/>
      <c r="AZ567" s="895"/>
      <c r="BA567" s="895"/>
      <c r="BB567" s="899"/>
      <c r="BC567" s="896"/>
      <c r="BD567" s="895"/>
      <c r="BE567" s="895"/>
      <c r="BF567" s="895"/>
      <c r="BG567" s="899"/>
      <c r="BH567" s="896"/>
      <c r="BI567" s="895"/>
      <c r="BJ567" s="895"/>
      <c r="BK567" s="895"/>
      <c r="BL567" s="899"/>
      <c r="BM567" s="895"/>
      <c r="BN567" s="895"/>
      <c r="BO567" s="895"/>
      <c r="BP567" s="895"/>
      <c r="BQ567" s="899"/>
      <c r="BR567" s="895"/>
      <c r="BS567" s="895"/>
      <c r="BT567" s="895"/>
      <c r="BU567" s="895"/>
      <c r="BV567" s="899"/>
      <c r="BW567" s="908"/>
      <c r="BX567" s="895"/>
      <c r="BY567" s="895"/>
      <c r="BZ567" s="895"/>
      <c r="CA567" s="899"/>
      <c r="CB567" s="895"/>
      <c r="CC567" s="895"/>
      <c r="CD567" s="895"/>
      <c r="CE567" s="895"/>
      <c r="CF567" s="899"/>
      <c r="CG567" s="895"/>
      <c r="CH567" s="30"/>
      <c r="CI567" s="30"/>
      <c r="CJ567" s="30"/>
      <c r="CK567" s="308"/>
      <c r="CL567" s="30"/>
      <c r="CM567" s="30"/>
      <c r="CN567" s="30"/>
      <c r="CO567" s="30"/>
      <c r="CP567" s="308"/>
      <c r="CQ567" s="30"/>
      <c r="CR567" s="30"/>
      <c r="CS567" s="30"/>
      <c r="CT567" s="30"/>
      <c r="CU567" s="308"/>
      <c r="CV567" s="30"/>
      <c r="CW567" s="30"/>
      <c r="CX567" s="30"/>
      <c r="CY567" s="30"/>
      <c r="CZ567" s="308"/>
      <c r="DA567" s="30"/>
      <c r="DB567" s="1219"/>
      <c r="DC567" s="1219"/>
      <c r="DD567" s="1235"/>
      <c r="DE567" s="1535"/>
      <c r="DF567" s="1230"/>
      <c r="DG567" s="1539"/>
      <c r="DH567" s="925"/>
      <c r="DI567" s="927"/>
      <c r="DJ567" s="927"/>
      <c r="DK567" s="1230"/>
      <c r="DL567" s="1230"/>
      <c r="DM567" s="925"/>
      <c r="DN567" s="927"/>
      <c r="DO567" s="309"/>
      <c r="DP567" s="958"/>
      <c r="DQ567" s="1219"/>
      <c r="DR567" s="1219"/>
      <c r="DS567" s="928"/>
      <c r="DT567" s="308"/>
      <c r="DU567" s="958"/>
      <c r="DV567" s="926"/>
      <c r="DW567" s="926"/>
      <c r="DX567" s="928"/>
      <c r="DY567" s="308"/>
      <c r="DZ567" s="926">
        <f>IF(DU561=0, "NA", DZ561/DU561-1)</f>
      </c>
      <c r="EA567" s="926">
        <f>IF(DV561=0, "NA", EA561/DV561-1)</f>
      </c>
      <c r="EB567" s="926">
        <f>IF(DW561=0, "NA", EB561/DW561-1)</f>
      </c>
      <c r="EC567" s="928">
        <f>IF(DX561=0, "NM", EC561/DX561-1)</f>
      </c>
      <c r="ED567" s="308">
        <f>ED561/DY561-1</f>
      </c>
      <c r="EE567" s="926">
        <f>IF(DZ561=0, "NA", EE561/DZ561-1)</f>
      </c>
      <c r="EF567" s="926">
        <f>IF(EA561=0, "NA", EF561/EA561-1)</f>
      </c>
      <c r="EG567" s="926">
        <f>IF(EB561=0, "NA", EG561/EB561-1)</f>
      </c>
      <c r="EH567" s="928">
        <f>EH561/EC561-1</f>
      </c>
      <c r="EI567" s="308">
        <f t="shared" ref="EI567" si="1409">EI561/ED561-1</f>
      </c>
      <c r="EJ567" s="3424">
        <f>EJ561/EI561-1</f>
      </c>
      <c r="EK567" s="3424">
        <f t="shared" ref="EK567" si="1410">EK561/EJ561-1</f>
      </c>
      <c r="EL567" s="3424">
        <f t="shared" ref="EL567" si="1411">EL561/EK561-1</f>
      </c>
      <c r="EM567" s="3424">
        <f t="shared" ref="EM567" si="1412">EM561/EL561-1</f>
      </c>
      <c r="EN567" s="3422">
        <f t="shared" ref="EN567" si="1413">EN561/EM561-1</f>
      </c>
      <c r="EO567" s="3422">
        <f t="shared" ref="EO567" si="1414">EO561/EN561-1</f>
      </c>
      <c r="EP567" s="3422">
        <f t="shared" ref="EP567" si="1415">EP561/EO561-1</f>
      </c>
      <c r="EQ567" s="3422">
        <f t="shared" ref="EQ567" si="1416">EQ561/EP561-1</f>
      </c>
      <c r="ER567" s="3422">
        <f t="shared" ref="ER567" si="1417">ER561/EQ561-1</f>
      </c>
      <c r="ES567" s="3422">
        <f t="shared" ref="ES567" si="1418">ES561/ER561-1</f>
      </c>
      <c r="ET567" s="409"/>
      <c r="EU567" s="409"/>
      <c r="EV567" s="409"/>
      <c r="EW567" s="409"/>
      <c r="EX567" s="409"/>
    </row>
    <row r="568" spans="1:154">
      <c r="B568" s="1390"/>
      <c r="C568" s="2010"/>
      <c r="D568" s="894"/>
      <c r="E568" s="894"/>
      <c r="F568" s="895"/>
      <c r="G568" s="895"/>
      <c r="H568" s="895"/>
      <c r="I568" s="895"/>
      <c r="J568" s="895"/>
      <c r="K568" s="895"/>
      <c r="L568" s="895"/>
      <c r="M568" s="895"/>
      <c r="N568" s="895"/>
      <c r="O568" s="896"/>
      <c r="P568" s="895"/>
      <c r="Q568" s="895"/>
      <c r="R568" s="895"/>
      <c r="S568" s="895"/>
      <c r="T568" s="896"/>
      <c r="U568" s="895"/>
      <c r="V568" s="895"/>
      <c r="W568" s="895"/>
      <c r="X568" s="899"/>
      <c r="Y568" s="896"/>
      <c r="Z568" s="895"/>
      <c r="AA568" s="895"/>
      <c r="AB568" s="895"/>
      <c r="AC568" s="899"/>
      <c r="AD568" s="896"/>
      <c r="AE568" s="895"/>
      <c r="AF568" s="895"/>
      <c r="AG568" s="895"/>
      <c r="AH568" s="899"/>
      <c r="AI568" s="896"/>
      <c r="AJ568" s="895"/>
      <c r="AK568" s="895"/>
      <c r="AL568" s="895"/>
      <c r="AM568" s="899"/>
      <c r="AN568" s="896"/>
      <c r="AO568" s="895"/>
      <c r="AP568" s="895"/>
      <c r="AQ568" s="897"/>
      <c r="AR568" s="899"/>
      <c r="AS568" s="896"/>
      <c r="AT568" s="895"/>
      <c r="AU568" s="895"/>
      <c r="AV568" s="895"/>
      <c r="AW568" s="899"/>
      <c r="AX568" s="896"/>
      <c r="AY568" s="895"/>
      <c r="AZ568" s="895"/>
      <c r="BA568" s="895"/>
      <c r="BB568" s="899"/>
      <c r="BC568" s="896"/>
      <c r="BD568" s="895"/>
      <c r="BE568" s="895"/>
      <c r="BF568" s="895"/>
      <c r="BG568" s="899"/>
      <c r="BH568" s="896"/>
      <c r="BI568" s="895"/>
      <c r="BJ568" s="895"/>
      <c r="BK568" s="895"/>
      <c r="BL568" s="899"/>
      <c r="BM568" s="895"/>
      <c r="BN568" s="895"/>
      <c r="BO568" s="895"/>
      <c r="BP568" s="895"/>
      <c r="BQ568" s="899"/>
      <c r="BR568" s="895"/>
      <c r="BS568" s="895"/>
      <c r="BT568" s="895"/>
      <c r="BU568" s="895"/>
      <c r="BV568" s="899"/>
      <c r="BW568" s="908"/>
      <c r="BX568" s="895"/>
      <c r="BY568" s="895"/>
      <c r="BZ568" s="895"/>
      <c r="CA568" s="899"/>
      <c r="CB568" s="895"/>
      <c r="CC568" s="895"/>
      <c r="CD568" s="895"/>
      <c r="CE568" s="895"/>
      <c r="CF568" s="899"/>
      <c r="CG568" s="895"/>
      <c r="CH568" s="30"/>
      <c r="CI568" s="30"/>
      <c r="CJ568" s="30"/>
      <c r="CK568" s="308"/>
      <c r="CL568" s="30"/>
      <c r="CM568" s="30"/>
      <c r="CN568" s="30"/>
      <c r="CO568" s="30"/>
      <c r="CP568" s="308"/>
      <c r="CQ568" s="30"/>
      <c r="CR568" s="30"/>
      <c r="CS568" s="30"/>
      <c r="CT568" s="30"/>
      <c r="CU568" s="308"/>
      <c r="CV568" s="30"/>
      <c r="CW568" s="30"/>
      <c r="CX568" s="30"/>
      <c r="CY568" s="30"/>
      <c r="CZ568" s="308"/>
      <c r="DA568" s="30"/>
      <c r="DB568" s="1219"/>
      <c r="DC568" s="1219"/>
      <c r="DD568" s="1235"/>
      <c r="DE568" s="1535"/>
      <c r="DF568" s="1230"/>
      <c r="DG568" s="1539"/>
      <c r="DH568" s="925"/>
      <c r="DI568" s="927"/>
      <c r="DJ568" s="927"/>
      <c r="DK568" s="1230"/>
      <c r="DL568" s="1230"/>
      <c r="DM568" s="925"/>
      <c r="DN568" s="927"/>
      <c r="DO568" s="309"/>
      <c r="DP568" s="926"/>
      <c r="DQ568" s="1219"/>
      <c r="DR568" s="1219"/>
      <c r="DS568" s="928"/>
      <c r="DT568" s="308"/>
      <c r="DU568" s="926"/>
      <c r="DV568" s="926"/>
      <c r="DW568" s="926"/>
      <c r="DX568" s="928"/>
      <c r="DY568" s="308"/>
      <c r="DZ568" s="926"/>
      <c r="EA568" s="926"/>
      <c r="EB568" s="926"/>
      <c r="EC568" s="928"/>
      <c r="ED568" s="308"/>
      <c r="EE568" s="926"/>
      <c r="EF568" s="926"/>
      <c r="EG568" s="926"/>
      <c r="EH568" s="928"/>
      <c r="EI568" s="830"/>
      <c r="EJ568" s="308"/>
      <c r="EK568" s="308"/>
      <c r="EL568" s="308"/>
      <c r="EM568" s="308"/>
      <c r="EN568" s="308"/>
      <c r="EO568" s="409"/>
      <c r="EP568" s="409"/>
      <c r="EQ568" s="409"/>
      <c r="ER568" s="409"/>
      <c r="ES568" s="409"/>
      <c r="ET568" s="409"/>
      <c r="EU568" s="409"/>
      <c r="EV568" s="409"/>
      <c r="EW568" s="409"/>
      <c r="EX568" s="409"/>
    </row>
    <row r="569" spans="1:154">
      <c r="B569" s="2684" t="s">
        <v>795</v>
      </c>
      <c r="C569" s="1392"/>
      <c r="D569" s="894"/>
      <c r="E569" s="894"/>
      <c r="F569" s="895"/>
      <c r="G569" s="895"/>
      <c r="H569" s="895"/>
      <c r="I569" s="895"/>
      <c r="J569" s="895"/>
      <c r="K569" s="895"/>
      <c r="L569" s="895"/>
      <c r="M569" s="895"/>
      <c r="N569" s="895"/>
      <c r="O569" s="896"/>
      <c r="P569" s="895"/>
      <c r="Q569" s="895"/>
      <c r="R569" s="895"/>
      <c r="S569" s="895"/>
      <c r="T569" s="896"/>
      <c r="U569" s="895"/>
      <c r="V569" s="895"/>
      <c r="W569" s="895"/>
      <c r="X569" s="899"/>
      <c r="Y569" s="896"/>
      <c r="Z569" s="895"/>
      <c r="AA569" s="895"/>
      <c r="AB569" s="895"/>
      <c r="AC569" s="899"/>
      <c r="AD569" s="896"/>
      <c r="AE569" s="895"/>
      <c r="AF569" s="895"/>
      <c r="AG569" s="895"/>
      <c r="AH569" s="899"/>
      <c r="AI569" s="896"/>
      <c r="AJ569" s="895"/>
      <c r="AK569" s="895"/>
      <c r="AL569" s="895"/>
      <c r="AM569" s="899"/>
      <c r="AN569" s="896"/>
      <c r="AO569" s="895"/>
      <c r="AP569" s="895"/>
      <c r="AQ569" s="897"/>
      <c r="AR569" s="899"/>
      <c r="AS569" s="896"/>
      <c r="AT569" s="895"/>
      <c r="AU569" s="895"/>
      <c r="AV569" s="895"/>
      <c r="AW569" s="899"/>
      <c r="AX569" s="896"/>
      <c r="AY569" s="895"/>
      <c r="AZ569" s="895"/>
      <c r="BA569" s="895"/>
      <c r="BB569" s="899"/>
      <c r="BC569" s="896"/>
      <c r="BD569" s="895"/>
      <c r="BE569" s="895"/>
      <c r="BF569" s="895"/>
      <c r="BG569" s="899"/>
      <c r="BH569" s="896"/>
      <c r="BI569" s="895"/>
      <c r="BJ569" s="895"/>
      <c r="BK569" s="895"/>
      <c r="BL569" s="899"/>
      <c r="BM569" s="895"/>
      <c r="BN569" s="895"/>
      <c r="BO569" s="895"/>
      <c r="BP569" s="895"/>
      <c r="BQ569" s="899"/>
      <c r="BR569" s="895"/>
      <c r="BS569" s="895"/>
      <c r="BT569" s="895"/>
      <c r="BU569" s="895"/>
      <c r="BV569" s="899"/>
      <c r="BW569" s="908"/>
      <c r="BX569" s="895"/>
      <c r="BY569" s="895"/>
      <c r="BZ569" s="895"/>
      <c r="CA569" s="899"/>
      <c r="CB569" s="895"/>
      <c r="CC569" s="895"/>
      <c r="CD569" s="895"/>
      <c r="CE569" s="895"/>
      <c r="CF569" s="899"/>
      <c r="CG569" s="895"/>
      <c r="CH569" s="895"/>
      <c r="CI569" s="895"/>
      <c r="CJ569" s="895"/>
      <c r="CK569" s="899"/>
      <c r="CL569" s="1015"/>
      <c r="CM569" s="895"/>
      <c r="CN569" s="895"/>
      <c r="CO569" s="895"/>
      <c r="CP569" s="899"/>
      <c r="CQ569" s="895"/>
      <c r="CR569" s="895"/>
      <c r="CS569" s="895"/>
      <c r="CT569" s="915"/>
      <c r="CU569" s="899"/>
      <c r="CV569" s="895"/>
      <c r="CW569" s="895"/>
      <c r="CX569" s="895"/>
      <c r="CY569" s="915"/>
      <c r="CZ569" s="899"/>
      <c r="DA569" s="1015"/>
      <c r="DB569" s="1509"/>
      <c r="DC569" s="895"/>
      <c r="DD569" s="915"/>
      <c r="DE569" s="899"/>
      <c r="DF569" s="895"/>
      <c r="DG569" s="895"/>
      <c r="DH569" s="895"/>
      <c r="DI569" s="915"/>
      <c r="DJ569" s="899"/>
      <c r="DK569" s="895"/>
      <c r="DL569" s="895"/>
      <c r="DM569" s="895"/>
      <c r="DN569" s="915"/>
      <c r="DO569" s="899"/>
      <c r="DP569" s="895"/>
      <c r="DQ569" s="895"/>
      <c r="DR569" s="895"/>
      <c r="DS569" s="915"/>
      <c r="DT569" s="899"/>
      <c r="DU569" s="895"/>
      <c r="DV569" s="895">
        <f>+DV570-DU570</f>
      </c>
      <c r="DW569" s="895">
        <f>+DW570-DV570</f>
      </c>
      <c r="DX569" s="915">
        <f>+DX570-DW570</f>
      </c>
      <c r="DY569" s="899"/>
      <c r="DZ569" s="895"/>
      <c r="EA569" s="895"/>
      <c r="EB569" s="895"/>
      <c r="EC569" s="1344"/>
      <c r="ED569" s="899"/>
      <c r="EE569" s="895"/>
      <c r="EF569" s="895"/>
      <c r="EG569" s="895"/>
      <c r="EH569" s="1344"/>
      <c r="EI569" s="1015"/>
      <c r="EJ569" s="899"/>
      <c r="EK569" s="899"/>
      <c r="EL569" s="899"/>
      <c r="EM569" s="899"/>
      <c r="EN569" s="899"/>
      <c r="EO569" s="915"/>
      <c r="EP569" s="915"/>
      <c r="EQ569" s="915"/>
      <c r="ER569" s="915"/>
      <c r="ES569" s="915"/>
      <c r="ET569" s="915"/>
      <c r="EU569" s="915"/>
      <c r="EV569" s="915"/>
      <c r="EW569" s="915"/>
      <c r="EX569" s="915"/>
    </row>
    <row r="570" spans="1:154">
      <c r="B570" s="907" t="s">
        <v>831</v>
      </c>
      <c r="C570" s="1392"/>
      <c r="D570" s="894"/>
      <c r="E570" s="894"/>
      <c r="F570" s="895"/>
      <c r="G570" s="895"/>
      <c r="H570" s="895"/>
      <c r="I570" s="895"/>
      <c r="J570" s="895"/>
      <c r="K570" s="895"/>
      <c r="L570" s="895"/>
      <c r="M570" s="895"/>
      <c r="N570" s="895"/>
      <c r="O570" s="896"/>
      <c r="P570" s="895"/>
      <c r="Q570" s="895"/>
      <c r="R570" s="895"/>
      <c r="S570" s="895"/>
      <c r="T570" s="896"/>
      <c r="U570" s="895"/>
      <c r="V570" s="895"/>
      <c r="W570" s="895"/>
      <c r="X570" s="899"/>
      <c r="Y570" s="896"/>
      <c r="Z570" s="895"/>
      <c r="AA570" s="895"/>
      <c r="AB570" s="895"/>
      <c r="AC570" s="899"/>
      <c r="AD570" s="896"/>
      <c r="AE570" s="895"/>
      <c r="AF570" s="895"/>
      <c r="AG570" s="895"/>
      <c r="AH570" s="899"/>
      <c r="AI570" s="896"/>
      <c r="AJ570" s="895"/>
      <c r="AK570" s="895"/>
      <c r="AL570" s="895"/>
      <c r="AM570" s="899"/>
      <c r="AN570" s="896"/>
      <c r="AO570" s="895"/>
      <c r="AP570" s="895"/>
      <c r="AQ570" s="897"/>
      <c r="AR570" s="899"/>
      <c r="AS570" s="896"/>
      <c r="AT570" s="895"/>
      <c r="AU570" s="895"/>
      <c r="AV570" s="895"/>
      <c r="AW570" s="899"/>
      <c r="AX570" s="896"/>
      <c r="AY570" s="895"/>
      <c r="AZ570" s="895"/>
      <c r="BA570" s="895"/>
      <c r="BB570" s="899"/>
      <c r="BC570" s="896"/>
      <c r="BD570" s="895"/>
      <c r="BE570" s="895"/>
      <c r="BF570" s="895"/>
      <c r="BG570" s="899"/>
      <c r="BH570" s="896"/>
      <c r="BI570" s="895"/>
      <c r="BJ570" s="895"/>
      <c r="BK570" s="895"/>
      <c r="BL570" s="899"/>
      <c r="BM570" s="895"/>
      <c r="BN570" s="895"/>
      <c r="BO570" s="895"/>
      <c r="BP570" s="895"/>
      <c r="BQ570" s="899"/>
      <c r="BR570" s="895"/>
      <c r="BS570" s="895"/>
      <c r="BT570" s="895"/>
      <c r="BU570" s="895"/>
      <c r="BV570" s="899"/>
      <c r="BW570" s="908"/>
      <c r="BX570" s="895"/>
      <c r="BY570" s="895"/>
      <c r="BZ570" s="895"/>
      <c r="CA570" s="899"/>
      <c r="CB570" s="895"/>
      <c r="CC570" s="895"/>
      <c r="CD570" s="895"/>
      <c r="CE570" s="895"/>
      <c r="CF570" s="899"/>
      <c r="CG570" s="895"/>
      <c r="CH570" s="895"/>
      <c r="CI570" s="895"/>
      <c r="CJ570" s="895"/>
      <c r="CK570" s="899"/>
      <c r="CL570" s="1015"/>
      <c r="CM570" s="895"/>
      <c r="CN570" s="895"/>
      <c r="CO570" s="895"/>
      <c r="CP570" s="899"/>
      <c r="CQ570" s="895"/>
      <c r="CR570" s="895"/>
      <c r="CS570" s="895"/>
      <c r="CT570" s="915"/>
      <c r="CU570" s="899"/>
      <c r="CV570" s="895"/>
      <c r="CW570" s="895"/>
      <c r="CX570" s="895"/>
      <c r="CY570" s="915"/>
      <c r="CZ570" s="899"/>
      <c r="DA570" s="1015"/>
      <c r="DB570" s="1509"/>
      <c r="DC570" s="895"/>
      <c r="DD570" s="915"/>
      <c r="DE570" s="899"/>
      <c r="DF570" s="895"/>
      <c r="DG570" s="895"/>
      <c r="DH570" s="895"/>
      <c r="DI570" s="915"/>
      <c r="DJ570" s="899"/>
      <c r="DK570" s="895"/>
      <c r="DL570" s="895"/>
      <c r="DM570" s="895"/>
      <c r="DN570" s="915"/>
      <c r="DO570" s="909"/>
      <c r="DP570" s="908">
        <v>0</v>
      </c>
      <c r="DQ570" s="908">
        <v>24</v>
      </c>
      <c r="DR570" s="908">
        <v>55</v>
      </c>
      <c r="DS570" s="1021">
        <v>55</v>
      </c>
      <c r="DT570" s="2580">
        <v>134</v>
      </c>
      <c r="DU570" s="908">
        <v>70</v>
      </c>
      <c r="DV570" s="908">
        <v>114</v>
      </c>
      <c r="DW570" s="908">
        <v>140</v>
      </c>
      <c r="DX570" s="908">
        <v>145.30000000000001</v>
      </c>
      <c r="DY570" s="899">
        <f>SUM(DU570:DX570)</f>
      </c>
      <c r="DZ570" s="908">
        <v>140.4</v>
      </c>
      <c r="EA570" s="908">
        <v>166.5</v>
      </c>
      <c r="EB570" s="908">
        <v>258.39999999999998</v>
      </c>
      <c r="EC570" s="1021">
        <v>304</v>
      </c>
      <c r="ED570" s="899">
        <f>SUM(DZ570:EC570)</f>
      </c>
      <c r="EE570" s="908">
        <v>318</v>
      </c>
      <c r="EF570" s="908">
        <v>358</v>
      </c>
      <c r="EG570" s="908">
        <v>396</v>
      </c>
      <c r="EH570" s="908">
        <v>425</v>
      </c>
      <c r="EI570" s="1015">
        <f>SUM(EE570:EH570)</f>
      </c>
      <c r="EJ570" s="3706">
        <v>2468.5342087169888</v>
      </c>
      <c r="EK570" s="3706">
        <v>3199.9785039717403</v>
      </c>
      <c r="EL570" s="3706">
        <v>3795.4349719233687</v>
      </c>
      <c r="EM570" s="3706">
        <v>4442.7213199214857</v>
      </c>
      <c r="EN570" s="3706">
        <v>4796.1599959491323</v>
      </c>
      <c r="EO570" s="3706">
        <v>4934.8292448004522</v>
      </c>
      <c r="EP570" s="3706">
        <v>5066.9330454894452</v>
      </c>
      <c r="EQ570" s="3706">
        <v>5158.9250036238591</v>
      </c>
      <c r="ER570" s="3706">
        <v>5263.5313207807349</v>
      </c>
      <c r="ES570" s="3707">
        <v>5357.8640110543656</v>
      </c>
      <c r="ET570" s="1021">
        <f>+ES570*0.65</f>
      </c>
      <c r="EU570" s="1021">
        <f>+ET570*0.45</f>
      </c>
      <c r="EV570" s="1021">
        <f t="shared" ref="EV570:EW571" si="1419">+EU570/2</f>
      </c>
      <c r="EW570" s="1021">
        <f t="shared" si="1419"/>
      </c>
      <c r="EX570" s="1021"/>
    </row>
    <row r="571" spans="1:154">
      <c r="B571" s="907" t="s">
        <v>832</v>
      </c>
      <c r="C571" s="1392"/>
      <c r="D571" s="894"/>
      <c r="E571" s="894"/>
      <c r="F571" s="895"/>
      <c r="G571" s="895"/>
      <c r="H571" s="895"/>
      <c r="I571" s="895"/>
      <c r="J571" s="895"/>
      <c r="K571" s="895"/>
      <c r="L571" s="895"/>
      <c r="M571" s="895"/>
      <c r="N571" s="895"/>
      <c r="O571" s="896"/>
      <c r="P571" s="895"/>
      <c r="Q571" s="895"/>
      <c r="R571" s="895"/>
      <c r="S571" s="895"/>
      <c r="T571" s="896"/>
      <c r="U571" s="895"/>
      <c r="V571" s="895"/>
      <c r="W571" s="895"/>
      <c r="X571" s="899"/>
      <c r="Y571" s="896"/>
      <c r="Z571" s="895"/>
      <c r="AA571" s="895"/>
      <c r="AB571" s="895"/>
      <c r="AC571" s="899"/>
      <c r="AD571" s="896"/>
      <c r="AE571" s="895"/>
      <c r="AF571" s="895"/>
      <c r="AG571" s="895"/>
      <c r="AH571" s="899"/>
      <c r="AI571" s="896"/>
      <c r="AJ571" s="895"/>
      <c r="AK571" s="895"/>
      <c r="AL571" s="895"/>
      <c r="AM571" s="899"/>
      <c r="AN571" s="896"/>
      <c r="AO571" s="895"/>
      <c r="AP571" s="895"/>
      <c r="AQ571" s="897"/>
      <c r="AR571" s="899"/>
      <c r="AS571" s="896"/>
      <c r="AT571" s="895"/>
      <c r="AU571" s="895"/>
      <c r="AV571" s="895"/>
      <c r="AW571" s="899"/>
      <c r="AX571" s="896"/>
      <c r="AY571" s="895"/>
      <c r="AZ571" s="895"/>
      <c r="BA571" s="895"/>
      <c r="BB571" s="899"/>
      <c r="BC571" s="896"/>
      <c r="BD571" s="895"/>
      <c r="BE571" s="895"/>
      <c r="BF571" s="895"/>
      <c r="BG571" s="899"/>
      <c r="BH571" s="896"/>
      <c r="BI571" s="895"/>
      <c r="BJ571" s="895"/>
      <c r="BK571" s="895"/>
      <c r="BL571" s="899"/>
      <c r="BM571" s="895"/>
      <c r="BN571" s="895"/>
      <c r="BO571" s="895"/>
      <c r="BP571" s="895"/>
      <c r="BQ571" s="899"/>
      <c r="BR571" s="895"/>
      <c r="BS571" s="895"/>
      <c r="BT571" s="895"/>
      <c r="BU571" s="895"/>
      <c r="BV571" s="899"/>
      <c r="BW571" s="908"/>
      <c r="BX571" s="895"/>
      <c r="BY571" s="895"/>
      <c r="BZ571" s="895"/>
      <c r="CA571" s="899"/>
      <c r="CB571" s="895"/>
      <c r="CC571" s="895"/>
      <c r="CD571" s="895"/>
      <c r="CE571" s="895"/>
      <c r="CF571" s="899"/>
      <c r="CG571" s="895"/>
      <c r="CH571" s="895"/>
      <c r="CI571" s="895"/>
      <c r="CJ571" s="895"/>
      <c r="CK571" s="899"/>
      <c r="CL571" s="1015"/>
      <c r="CM571" s="895"/>
      <c r="CN571" s="895"/>
      <c r="CO571" s="895"/>
      <c r="CP571" s="899"/>
      <c r="CQ571" s="895"/>
      <c r="CR571" s="895"/>
      <c r="CS571" s="895"/>
      <c r="CT571" s="915"/>
      <c r="CU571" s="899"/>
      <c r="CV571" s="895"/>
      <c r="CW571" s="895"/>
      <c r="CX571" s="895"/>
      <c r="CY571" s="915"/>
      <c r="CZ571" s="899"/>
      <c r="DA571" s="1015"/>
      <c r="DB571" s="1509"/>
      <c r="DC571" s="895"/>
      <c r="DD571" s="915"/>
      <c r="DE571" s="899"/>
      <c r="DF571" s="895"/>
      <c r="DG571" s="895"/>
      <c r="DH571" s="895"/>
      <c r="DI571" s="915"/>
      <c r="DJ571" s="899"/>
      <c r="DK571" s="895"/>
      <c r="DL571" s="895"/>
      <c r="DM571" s="895"/>
      <c r="DN571" s="915"/>
      <c r="DO571" s="909"/>
      <c r="DP571" s="908">
        <v>0</v>
      </c>
      <c r="DQ571" s="908">
        <v>0</v>
      </c>
      <c r="DR571" s="908">
        <v>3</v>
      </c>
      <c r="DS571" s="1021">
        <v>3</v>
      </c>
      <c r="DT571" s="2401">
        <f>SUM(DP571:DS571)</f>
      </c>
      <c r="DU571" s="908">
        <v>2</v>
      </c>
      <c r="DV571" s="908">
        <v>3</v>
      </c>
      <c r="DW571" s="908">
        <v>12</v>
      </c>
      <c r="DX571" s="908">
        <v>13</v>
      </c>
      <c r="DY571" s="899">
        <f>SUM(DU571:DX571)</f>
      </c>
      <c r="DZ571" s="908">
        <v>16.399999999999999</v>
      </c>
      <c r="EA571" s="908">
        <v>19.5</v>
      </c>
      <c r="EB571" s="908">
        <v>27.4</v>
      </c>
      <c r="EC571" s="1021">
        <v>31</v>
      </c>
      <c r="ED571" s="899">
        <f>SUM(DZ571:EC571)</f>
      </c>
      <c r="EE571" s="908">
        <v>51</v>
      </c>
      <c r="EF571" s="908">
        <v>81</v>
      </c>
      <c r="EG571" s="908">
        <v>128</v>
      </c>
      <c r="EH571" s="908">
        <v>140</v>
      </c>
      <c r="EI571" s="1015">
        <f t="shared" ref="EI571" si="1420">SUM(EE571:EH571)</f>
      </c>
      <c r="EJ571" s="3706">
        <v>505.62983953379478</v>
      </c>
      <c r="EK571" s="3706">
        <v>761.07501143090167</v>
      </c>
      <c r="EL571" s="3706">
        <v>1021.6587294375124</v>
      </c>
      <c r="EM571" s="3706">
        <v>1291.8347456123934</v>
      </c>
      <c r="EN571" s="3706">
        <v>1418.9360773115945</v>
      </c>
      <c r="EO571" s="3706">
        <v>1519.8835319696136</v>
      </c>
      <c r="EP571" s="3706">
        <v>1526.7785570853314</v>
      </c>
      <c r="EQ571" s="3706">
        <v>1535.4159238424411</v>
      </c>
      <c r="ER571" s="3706">
        <v>1514.8880230791094</v>
      </c>
      <c r="ES571" s="3707">
        <v>1496.759856340891</v>
      </c>
      <c r="ET571" s="1021">
        <f>+ES571*0.65</f>
      </c>
      <c r="EU571" s="1021">
        <f>+ET571*0.45</f>
      </c>
      <c r="EV571" s="1021">
        <f t="shared" si="1419"/>
      </c>
      <c r="EW571" s="1021">
        <f t="shared" si="1419"/>
      </c>
      <c r="EX571" s="1021"/>
    </row>
    <row r="572" spans="1:154" ht="12.75" customHeight="1">
      <c r="A572" s="3275" t="s">
        <v>795</v>
      </c>
      <c r="B572" s="907" t="s">
        <v>188</v>
      </c>
      <c r="C572" s="1392"/>
      <c r="D572" s="894"/>
      <c r="E572" s="894"/>
      <c r="F572" s="895"/>
      <c r="G572" s="895"/>
      <c r="H572" s="895"/>
      <c r="I572" s="895"/>
      <c r="J572" s="895"/>
      <c r="K572" s="895"/>
      <c r="L572" s="895"/>
      <c r="M572" s="895"/>
      <c r="N572" s="895"/>
      <c r="O572" s="896"/>
      <c r="P572" s="895"/>
      <c r="Q572" s="895"/>
      <c r="R572" s="895"/>
      <c r="S572" s="895"/>
      <c r="T572" s="896"/>
      <c r="U572" s="895"/>
      <c r="V572" s="895"/>
      <c r="W572" s="895"/>
      <c r="X572" s="899"/>
      <c r="Y572" s="896"/>
      <c r="Z572" s="895"/>
      <c r="AA572" s="895"/>
      <c r="AB572" s="895"/>
      <c r="AC572" s="899"/>
      <c r="AD572" s="896"/>
      <c r="AE572" s="895"/>
      <c r="AF572" s="895"/>
      <c r="AG572" s="895"/>
      <c r="AH572" s="899"/>
      <c r="AI572" s="896"/>
      <c r="AJ572" s="895"/>
      <c r="AK572" s="895"/>
      <c r="AL572" s="895"/>
      <c r="AM572" s="899"/>
      <c r="AN572" s="896"/>
      <c r="AO572" s="895"/>
      <c r="AP572" s="895"/>
      <c r="AQ572" s="897"/>
      <c r="AR572" s="899"/>
      <c r="AS572" s="896"/>
      <c r="AT572" s="895"/>
      <c r="AU572" s="895"/>
      <c r="AV572" s="895"/>
      <c r="AW572" s="899"/>
      <c r="AX572" s="896"/>
      <c r="AY572" s="895"/>
      <c r="AZ572" s="895"/>
      <c r="BA572" s="895"/>
      <c r="BB572" s="899"/>
      <c r="BC572" s="896"/>
      <c r="BD572" s="895"/>
      <c r="BE572" s="895"/>
      <c r="BF572" s="895"/>
      <c r="BG572" s="899"/>
      <c r="BH572" s="896"/>
      <c r="BI572" s="895"/>
      <c r="BJ572" s="895"/>
      <c r="BK572" s="895"/>
      <c r="BL572" s="899"/>
      <c r="BM572" s="895"/>
      <c r="BN572" s="895"/>
      <c r="BO572" s="895"/>
      <c r="BP572" s="895"/>
      <c r="BQ572" s="899"/>
      <c r="BR572" s="895"/>
      <c r="BS572" s="895"/>
      <c r="BT572" s="895"/>
      <c r="BU572" s="895"/>
      <c r="BV572" s="899"/>
      <c r="BW572" s="908"/>
      <c r="BX572" s="895"/>
      <c r="BY572" s="895"/>
      <c r="BZ572" s="895"/>
      <c r="CA572" s="899"/>
      <c r="CB572" s="895"/>
      <c r="CC572" s="895"/>
      <c r="CD572" s="895"/>
      <c r="CE572" s="895"/>
      <c r="CF572" s="899"/>
      <c r="CG572" s="895"/>
      <c r="CH572" s="895"/>
      <c r="CI572" s="895"/>
      <c r="CJ572" s="895"/>
      <c r="CK572" s="899"/>
      <c r="CL572" s="1015"/>
      <c r="CM572" s="895"/>
      <c r="CN572" s="895"/>
      <c r="CO572" s="895"/>
      <c r="CP572" s="899"/>
      <c r="CQ572" s="895"/>
      <c r="CR572" s="895"/>
      <c r="CS572" s="895"/>
      <c r="CT572" s="915"/>
      <c r="CU572" s="899"/>
      <c r="CV572" s="895"/>
      <c r="CW572" s="895"/>
      <c r="CX572" s="895"/>
      <c r="CY572" s="915"/>
      <c r="CZ572" s="899"/>
      <c r="DA572" s="1015"/>
      <c r="DB572" s="1509"/>
      <c r="DC572" s="895"/>
      <c r="DD572" s="915"/>
      <c r="DE572" s="899"/>
      <c r="DF572" s="895"/>
      <c r="DG572" s="895"/>
      <c r="DH572" s="895"/>
      <c r="DI572" s="915"/>
      <c r="DJ572" s="899"/>
      <c r="DK572" s="895"/>
      <c r="DL572" s="895"/>
      <c r="DM572" s="895"/>
      <c r="DN572" s="915"/>
      <c r="DO572" s="899"/>
      <c r="DP572" s="895">
        <f t="shared" ref="DP572:EW572" si="1421">SUM(DP570:DP571)</f>
      </c>
      <c r="DQ572" s="895">
        <f t="shared" si="1421"/>
      </c>
      <c r="DR572" s="895">
        <f t="shared" si="1421"/>
      </c>
      <c r="DS572" s="915">
        <f t="shared" si="1421"/>
      </c>
      <c r="DT572" s="899">
        <f t="shared" si="1421"/>
      </c>
      <c r="DU572" s="895">
        <f t="shared" si="1421"/>
      </c>
      <c r="DV572" s="895">
        <f t="shared" si="1421"/>
      </c>
      <c r="DW572" s="895">
        <f>SUM(DW570:DW571)</f>
      </c>
      <c r="DX572" s="895">
        <f>SUM(DX570:DX571)</f>
      </c>
      <c r="DY572" s="899">
        <f>SUM(DU572:DX572)</f>
      </c>
      <c r="DZ572" s="895">
        <f t="shared" si="1421"/>
      </c>
      <c r="EA572" s="895">
        <f>SUM(EA570:EA571)</f>
      </c>
      <c r="EB572" s="895">
        <f t="shared" si="1421"/>
      </c>
      <c r="EC572" s="915">
        <f t="shared" si="1421"/>
      </c>
      <c r="ED572" s="899">
        <f>SUM(DZ572:EC572)</f>
      </c>
      <c r="EE572" s="895">
        <f t="shared" ref="EE572" si="1422">SUM(EE570:EE571)</f>
      </c>
      <c r="EF572" s="895">
        <f>SUM(EF570:EF571)</f>
      </c>
      <c r="EG572" s="895">
        <f t="shared" ref="EG572" si="1423">SUM(EG570:EG571)</f>
      </c>
      <c r="EH572" s="895">
        <f t="shared" ref="EH572" si="1424">SUM(EH570:EH571)</f>
      </c>
      <c r="EI572" s="1015">
        <f t="shared" si="1421"/>
      </c>
      <c r="EJ572" s="899">
        <f t="shared" si="1421"/>
      </c>
      <c r="EK572" s="899">
        <f t="shared" si="1421"/>
      </c>
      <c r="EL572" s="899">
        <f t="shared" si="1421"/>
      </c>
      <c r="EM572" s="899">
        <f t="shared" si="1421"/>
      </c>
      <c r="EN572" s="899">
        <f t="shared" si="1421"/>
      </c>
      <c r="EO572" s="915">
        <f t="shared" si="1421"/>
      </c>
      <c r="EP572" s="915">
        <f t="shared" si="1421"/>
      </c>
      <c r="EQ572" s="915">
        <f t="shared" si="1421"/>
      </c>
      <c r="ER572" s="915">
        <f t="shared" si="1421"/>
      </c>
      <c r="ES572" s="915">
        <f t="shared" si="1421"/>
      </c>
      <c r="ET572" s="915">
        <f t="shared" si="1421"/>
      </c>
      <c r="EU572" s="915">
        <f t="shared" si="1421"/>
      </c>
      <c r="EV572" s="915">
        <f t="shared" si="1421"/>
      </c>
      <c r="EW572" s="915">
        <f t="shared" si="1421"/>
      </c>
      <c r="EX572" s="915"/>
    </row>
    <row r="573" spans="1:154" ht="12.75" customHeight="1">
      <c r="B573" s="907"/>
      <c r="C573" s="1392"/>
      <c r="D573" s="894"/>
      <c r="E573" s="894"/>
      <c r="F573" s="895"/>
      <c r="G573" s="895"/>
      <c r="H573" s="895"/>
      <c r="I573" s="895"/>
      <c r="J573" s="895"/>
      <c r="K573" s="895"/>
      <c r="L573" s="895"/>
      <c r="M573" s="895"/>
      <c r="N573" s="895"/>
      <c r="O573" s="896"/>
      <c r="P573" s="895"/>
      <c r="Q573" s="895"/>
      <c r="R573" s="895"/>
      <c r="S573" s="895"/>
      <c r="T573" s="896"/>
      <c r="U573" s="895"/>
      <c r="V573" s="895"/>
      <c r="W573" s="895"/>
      <c r="X573" s="899"/>
      <c r="Y573" s="896"/>
      <c r="Z573" s="895"/>
      <c r="AA573" s="895"/>
      <c r="AB573" s="895"/>
      <c r="AC573" s="899"/>
      <c r="AD573" s="896"/>
      <c r="AE573" s="895"/>
      <c r="AF573" s="895"/>
      <c r="AG573" s="895"/>
      <c r="AH573" s="899"/>
      <c r="AI573" s="896"/>
      <c r="AJ573" s="895"/>
      <c r="AK573" s="895"/>
      <c r="AL573" s="895"/>
      <c r="AM573" s="899"/>
      <c r="AN573" s="896"/>
      <c r="AO573" s="895"/>
      <c r="AP573" s="895"/>
      <c r="AQ573" s="897"/>
      <c r="AR573" s="899"/>
      <c r="AS573" s="896"/>
      <c r="AT573" s="895"/>
      <c r="AU573" s="895"/>
      <c r="AV573" s="895"/>
      <c r="AW573" s="899"/>
      <c r="AX573" s="896"/>
      <c r="AY573" s="895"/>
      <c r="AZ573" s="895"/>
      <c r="BA573" s="895"/>
      <c r="BB573" s="899"/>
      <c r="BC573" s="896"/>
      <c r="BD573" s="895"/>
      <c r="BE573" s="895"/>
      <c r="BF573" s="895"/>
      <c r="BG573" s="899"/>
      <c r="BH573" s="896"/>
      <c r="BI573" s="895"/>
      <c r="BJ573" s="895"/>
      <c r="BK573" s="895"/>
      <c r="BL573" s="899"/>
      <c r="BM573" s="895"/>
      <c r="BN573" s="895"/>
      <c r="BO573" s="895"/>
      <c r="BP573" s="895"/>
      <c r="BQ573" s="899"/>
      <c r="BR573" s="895"/>
      <c r="BS573" s="895"/>
      <c r="BT573" s="895"/>
      <c r="BU573" s="895"/>
      <c r="BV573" s="899"/>
      <c r="BW573" s="908"/>
      <c r="BX573" s="895"/>
      <c r="BY573" s="895"/>
      <c r="BZ573" s="895"/>
      <c r="CA573" s="899"/>
      <c r="CB573" s="895"/>
      <c r="CC573" s="895"/>
      <c r="CD573" s="895"/>
      <c r="CE573" s="895"/>
      <c r="CF573" s="899"/>
      <c r="CG573" s="895"/>
      <c r="CH573" s="895"/>
      <c r="CI573" s="895"/>
      <c r="CJ573" s="895"/>
      <c r="CK573" s="899"/>
      <c r="CL573" s="1015"/>
      <c r="CM573" s="895"/>
      <c r="CN573" s="895"/>
      <c r="CO573" s="895"/>
      <c r="CP573" s="899"/>
      <c r="CQ573" s="895"/>
      <c r="CR573" s="895"/>
      <c r="CS573" s="895"/>
      <c r="CT573" s="915"/>
      <c r="CU573" s="899"/>
      <c r="CV573" s="895"/>
      <c r="CW573" s="895"/>
      <c r="CX573" s="895"/>
      <c r="CY573" s="915"/>
      <c r="CZ573" s="899"/>
      <c r="DA573" s="1015"/>
      <c r="DB573" s="1509"/>
      <c r="DC573" s="895"/>
      <c r="DD573" s="915"/>
      <c r="DE573" s="899"/>
      <c r="DF573" s="895"/>
      <c r="DG573" s="895"/>
      <c r="DH573" s="895"/>
      <c r="DI573" s="915"/>
      <c r="DJ573" s="899"/>
      <c r="DK573" s="895"/>
      <c r="DL573" s="895"/>
      <c r="DM573" s="895"/>
      <c r="DN573" s="915"/>
      <c r="DO573" s="915"/>
      <c r="DP573" s="895"/>
      <c r="DQ573" s="895"/>
      <c r="DR573" s="895"/>
      <c r="DS573" s="915"/>
      <c r="DT573" s="915"/>
      <c r="DU573" s="895"/>
      <c r="DV573" s="895"/>
      <c r="DW573" s="895"/>
      <c r="DX573" s="895"/>
      <c r="DY573" s="899"/>
      <c r="DZ573" s="895"/>
      <c r="EA573" s="895"/>
      <c r="EB573" s="895"/>
      <c r="EC573" s="915"/>
      <c r="ED573" s="915"/>
      <c r="EE573" s="895"/>
      <c r="EF573" s="895"/>
      <c r="EG573" s="895"/>
      <c r="EH573" s="922"/>
      <c r="EI573" s="895"/>
      <c r="EJ573" s="899"/>
      <c r="EK573" s="899"/>
      <c r="EL573" s="899"/>
      <c r="EM573" s="899"/>
      <c r="EN573" s="899"/>
      <c r="EO573" s="915"/>
      <c r="EP573" s="915"/>
      <c r="EQ573" s="915"/>
      <c r="ER573" s="915"/>
      <c r="ES573" s="1021"/>
      <c r="ET573" s="1021"/>
      <c r="EU573" s="1021"/>
      <c r="EV573" s="1021"/>
      <c r="EW573" s="1021"/>
      <c r="EX573" s="1021"/>
    </row>
    <row r="574" spans="1:154" ht="12.75" customHeight="1">
      <c r="B574" s="3344" t="s">
        <v>934</v>
      </c>
      <c r="C574" s="1392"/>
      <c r="D574" s="894"/>
      <c r="E574" s="894"/>
      <c r="F574" s="895"/>
      <c r="G574" s="895"/>
      <c r="H574" s="895"/>
      <c r="I574" s="895"/>
      <c r="J574" s="895"/>
      <c r="K574" s="895"/>
      <c r="L574" s="895"/>
      <c r="M574" s="895"/>
      <c r="N574" s="895"/>
      <c r="O574" s="896"/>
      <c r="P574" s="895"/>
      <c r="Q574" s="895"/>
      <c r="R574" s="895"/>
      <c r="S574" s="895"/>
      <c r="T574" s="896"/>
      <c r="U574" s="895"/>
      <c r="V574" s="895"/>
      <c r="W574" s="895"/>
      <c r="X574" s="899"/>
      <c r="Y574" s="896"/>
      <c r="Z574" s="895"/>
      <c r="AA574" s="895"/>
      <c r="AB574" s="895"/>
      <c r="AC574" s="899"/>
      <c r="AD574" s="896"/>
      <c r="AE574" s="895"/>
      <c r="AF574" s="895"/>
      <c r="AG574" s="895"/>
      <c r="AH574" s="899"/>
      <c r="AI574" s="896"/>
      <c r="AJ574" s="895"/>
      <c r="AK574" s="895"/>
      <c r="AL574" s="895"/>
      <c r="AM574" s="899"/>
      <c r="AN574" s="896"/>
      <c r="AO574" s="895"/>
      <c r="AP574" s="895"/>
      <c r="AQ574" s="897"/>
      <c r="AR574" s="899"/>
      <c r="AS574" s="896"/>
      <c r="AT574" s="895"/>
      <c r="AU574" s="895"/>
      <c r="AV574" s="895"/>
      <c r="AW574" s="899"/>
      <c r="AX574" s="896"/>
      <c r="AY574" s="895"/>
      <c r="AZ574" s="895"/>
      <c r="BA574" s="895"/>
      <c r="BB574" s="899"/>
      <c r="BC574" s="896"/>
      <c r="BD574" s="895"/>
      <c r="BE574" s="895"/>
      <c r="BF574" s="895"/>
      <c r="BG574" s="899"/>
      <c r="BH574" s="896"/>
      <c r="BI574" s="895"/>
      <c r="BJ574" s="895"/>
      <c r="BK574" s="895"/>
      <c r="BL574" s="899"/>
      <c r="BM574" s="895"/>
      <c r="BN574" s="895"/>
      <c r="BO574" s="895"/>
      <c r="BP574" s="895"/>
      <c r="BQ574" s="899"/>
      <c r="BR574" s="895"/>
      <c r="BS574" s="895"/>
      <c r="BT574" s="895"/>
      <c r="BU574" s="895"/>
      <c r="BV574" s="899"/>
      <c r="BW574" s="908"/>
      <c r="BX574" s="895"/>
      <c r="BY574" s="895"/>
      <c r="BZ574" s="895"/>
      <c r="CA574" s="899"/>
      <c r="CB574" s="895"/>
      <c r="CC574" s="895"/>
      <c r="CD574" s="895"/>
      <c r="CE574" s="895"/>
      <c r="CF574" s="899"/>
      <c r="CG574" s="895"/>
      <c r="CH574" s="895"/>
      <c r="CI574" s="895"/>
      <c r="CJ574" s="895"/>
      <c r="CK574" s="899"/>
      <c r="CL574" s="1015"/>
      <c r="CM574" s="895"/>
      <c r="CN574" s="895"/>
      <c r="CO574" s="895"/>
      <c r="CP574" s="899"/>
      <c r="CQ574" s="895"/>
      <c r="CR574" s="895"/>
      <c r="CS574" s="895"/>
      <c r="CT574" s="915"/>
      <c r="CU574" s="899"/>
      <c r="CV574" s="895"/>
      <c r="CW574" s="895"/>
      <c r="CX574" s="895"/>
      <c r="CY574" s="915"/>
      <c r="CZ574" s="899"/>
      <c r="DA574" s="1015"/>
      <c r="DB574" s="1509"/>
      <c r="DC574" s="895"/>
      <c r="DD574" s="915"/>
      <c r="DE574" s="899"/>
      <c r="DF574" s="895"/>
      <c r="DG574" s="895"/>
      <c r="DH574" s="895"/>
      <c r="DI574" s="915"/>
      <c r="DJ574" s="899"/>
      <c r="DK574" s="895"/>
      <c r="DL574" s="895"/>
      <c r="DM574" s="895"/>
      <c r="DN574" s="915"/>
      <c r="DO574" s="915"/>
      <c r="DP574" s="895"/>
      <c r="DQ574" s="895"/>
      <c r="DR574" s="895"/>
      <c r="DS574" s="915"/>
      <c r="DT574" s="915"/>
      <c r="DU574" s="895"/>
      <c r="DV574" s="895"/>
      <c r="DW574" s="895"/>
      <c r="DX574" s="895"/>
      <c r="DY574" s="899"/>
      <c r="DZ574" s="895"/>
      <c r="EA574" s="895"/>
      <c r="EB574" s="895"/>
      <c r="EC574" s="915"/>
      <c r="ED574" s="915"/>
      <c r="EE574" s="895"/>
      <c r="EF574" s="895"/>
      <c r="EG574" s="895"/>
      <c r="EH574" s="915"/>
      <c r="EI574" s="895"/>
      <c r="EJ574" s="899"/>
      <c r="EK574" s="899"/>
      <c r="EL574" s="899"/>
      <c r="EM574" s="899"/>
      <c r="EN574" s="899"/>
      <c r="EO574" s="899"/>
      <c r="EP574" s="899"/>
      <c r="EQ574" s="899"/>
      <c r="ER574" s="899"/>
      <c r="ES574" s="899"/>
      <c r="ET574" s="1021"/>
      <c r="EU574" s="1021"/>
      <c r="EV574" s="1021"/>
      <c r="EW574" s="1021"/>
      <c r="EX574" s="1021"/>
    </row>
    <row r="575" spans="1:154" s="3428" customFormat="1" ht="12.75" customHeight="1">
      <c r="A575" s="3419"/>
      <c r="B575" s="3417" t="s">
        <v>925</v>
      </c>
      <c r="C575" s="3418"/>
      <c r="D575" s="3420"/>
      <c r="E575" s="3420"/>
      <c r="F575" s="3421"/>
      <c r="G575" s="3421"/>
      <c r="H575" s="3421"/>
      <c r="I575" s="3421"/>
      <c r="J575" s="3421"/>
      <c r="K575" s="3421"/>
      <c r="L575" s="3421"/>
      <c r="M575" s="3421"/>
      <c r="N575" s="3421"/>
      <c r="O575" s="3421"/>
      <c r="P575" s="3421"/>
      <c r="Q575" s="3421"/>
      <c r="R575" s="3421"/>
      <c r="S575" s="3421"/>
      <c r="T575" s="3421"/>
      <c r="U575" s="3421"/>
      <c r="V575" s="3421"/>
      <c r="W575" s="3421"/>
      <c r="X575" s="3422"/>
      <c r="Y575" s="3421"/>
      <c r="Z575" s="3421"/>
      <c r="AA575" s="3421"/>
      <c r="AB575" s="3421"/>
      <c r="AC575" s="3422"/>
      <c r="AD575" s="3421"/>
      <c r="AE575" s="3421"/>
      <c r="AF575" s="3421"/>
      <c r="AG575" s="3421"/>
      <c r="AH575" s="3422"/>
      <c r="AI575" s="3421"/>
      <c r="AJ575" s="3421"/>
      <c r="AK575" s="3421"/>
      <c r="AL575" s="3421"/>
      <c r="AM575" s="3422"/>
      <c r="AN575" s="3421"/>
      <c r="AO575" s="3421"/>
      <c r="AP575" s="3421"/>
      <c r="AQ575" s="3421"/>
      <c r="AR575" s="3422"/>
      <c r="AS575" s="3421"/>
      <c r="AT575" s="3421"/>
      <c r="AU575" s="3421"/>
      <c r="AV575" s="3421"/>
      <c r="AW575" s="3422"/>
      <c r="AX575" s="3421"/>
      <c r="AY575" s="3421"/>
      <c r="AZ575" s="3421"/>
      <c r="BA575" s="3421"/>
      <c r="BB575" s="3422"/>
      <c r="BC575" s="3421"/>
      <c r="BD575" s="3421"/>
      <c r="BE575" s="3421"/>
      <c r="BF575" s="3421"/>
      <c r="BG575" s="3422"/>
      <c r="BH575" s="3421"/>
      <c r="BI575" s="3421"/>
      <c r="BJ575" s="3421"/>
      <c r="BK575" s="3421"/>
      <c r="BL575" s="3422"/>
      <c r="BM575" s="3421"/>
      <c r="BN575" s="3421"/>
      <c r="BO575" s="3421"/>
      <c r="BP575" s="3421"/>
      <c r="BQ575" s="3422"/>
      <c r="BR575" s="3421"/>
      <c r="BS575" s="3421"/>
      <c r="BT575" s="3421"/>
      <c r="BU575" s="3421"/>
      <c r="BV575" s="3422"/>
      <c r="BW575" s="3423"/>
      <c r="BX575" s="3421"/>
      <c r="BY575" s="3421"/>
      <c r="BZ575" s="3421"/>
      <c r="CA575" s="3422"/>
      <c r="CB575" s="3421"/>
      <c r="CC575" s="3421"/>
      <c r="CD575" s="3421"/>
      <c r="CE575" s="3421"/>
      <c r="CF575" s="3422"/>
      <c r="CG575" s="3421"/>
      <c r="CH575" s="3421"/>
      <c r="CI575" s="3421"/>
      <c r="CJ575" s="3421"/>
      <c r="CK575" s="3422"/>
      <c r="CL575" s="3424"/>
      <c r="CM575" s="3421"/>
      <c r="CN575" s="3421"/>
      <c r="CO575" s="3421"/>
      <c r="CP575" s="3422"/>
      <c r="CQ575" s="3421"/>
      <c r="CR575" s="3421"/>
      <c r="CS575" s="3421"/>
      <c r="CT575" s="3425"/>
      <c r="CU575" s="3422"/>
      <c r="CV575" s="3421"/>
      <c r="CW575" s="3421"/>
      <c r="CX575" s="3421"/>
      <c r="CY575" s="3425"/>
      <c r="CZ575" s="3422"/>
      <c r="DA575" s="3424"/>
      <c r="DB575" s="3426"/>
      <c r="DC575" s="3421"/>
      <c r="DD575" s="3425"/>
      <c r="DE575" s="3422"/>
      <c r="DF575" s="3421"/>
      <c r="DG575" s="3421"/>
      <c r="DH575" s="3421"/>
      <c r="DI575" s="3425"/>
      <c r="DJ575" s="3422"/>
      <c r="DK575" s="3421"/>
      <c r="DL575" s="3421"/>
      <c r="DM575" s="3421"/>
      <c r="DN575" s="3425"/>
      <c r="DO575" s="3425"/>
      <c r="DP575" s="3421"/>
      <c r="DQ575" s="3421"/>
      <c r="DR575" s="3421"/>
      <c r="DS575" s="3425"/>
      <c r="DT575" s="3425"/>
      <c r="DU575" s="1703"/>
      <c r="DV575" s="1703">
        <f>DV570/DQ570-1</f>
      </c>
      <c r="DW575" s="1703">
        <f t="shared" ref="DW575:EI576" si="1425">DW570/DR570-1</f>
      </c>
      <c r="DX575" s="1703">
        <f t="shared" si="1425"/>
      </c>
      <c r="DY575" s="1060">
        <f t="shared" si="1425"/>
      </c>
      <c r="DZ575" s="1703">
        <f t="shared" si="1425"/>
      </c>
      <c r="EA575" s="1703">
        <f t="shared" si="1425"/>
      </c>
      <c r="EB575" s="1703">
        <f t="shared" si="1425"/>
      </c>
      <c r="EC575" s="1703">
        <f t="shared" si="1425"/>
      </c>
      <c r="ED575" s="1060">
        <f t="shared" si="1425"/>
      </c>
      <c r="EE575" s="1703">
        <f t="shared" si="1425"/>
      </c>
      <c r="EF575" s="1703">
        <f t="shared" si="1425"/>
      </c>
      <c r="EG575" s="1703">
        <f t="shared" si="1425"/>
      </c>
      <c r="EH575" s="1703">
        <f t="shared" si="1425"/>
      </c>
      <c r="EI575" s="1060">
        <f t="shared" si="1425"/>
      </c>
      <c r="EJ575" s="3422">
        <f t="shared" ref="EJ575:EW575" si="1426">EJ570/EI570-1</f>
      </c>
      <c r="EK575" s="3421">
        <f t="shared" si="1426"/>
      </c>
      <c r="EL575" s="3422">
        <f t="shared" si="1426"/>
      </c>
      <c r="EM575" s="3421">
        <f t="shared" si="1426"/>
      </c>
      <c r="EN575" s="3422">
        <f t="shared" si="1426"/>
      </c>
      <c r="EO575" s="3422">
        <f t="shared" si="1426"/>
      </c>
      <c r="EP575" s="3422">
        <f t="shared" si="1426"/>
      </c>
      <c r="EQ575" s="3422">
        <f t="shared" si="1426"/>
      </c>
      <c r="ER575" s="3422">
        <f t="shared" si="1426"/>
      </c>
      <c r="ES575" s="3422">
        <f t="shared" si="1426"/>
      </c>
      <c r="ET575" s="3422">
        <f t="shared" si="1426"/>
      </c>
      <c r="EU575" s="3422">
        <f t="shared" si="1426"/>
      </c>
      <c r="EV575" s="3422">
        <f t="shared" si="1426"/>
      </c>
      <c r="EW575" s="3422">
        <f t="shared" si="1426"/>
      </c>
      <c r="EX575" s="3427"/>
    </row>
    <row r="576" spans="1:154" s="3428" customFormat="1" ht="12.75" customHeight="1">
      <c r="A576" s="3419"/>
      <c r="B576" s="3417" t="s">
        <v>412</v>
      </c>
      <c r="C576" s="3418"/>
      <c r="D576" s="3420"/>
      <c r="E576" s="3420"/>
      <c r="F576" s="3421"/>
      <c r="G576" s="3421"/>
      <c r="H576" s="3421"/>
      <c r="I576" s="3421"/>
      <c r="J576" s="3421"/>
      <c r="K576" s="3421"/>
      <c r="L576" s="3421"/>
      <c r="M576" s="3421"/>
      <c r="N576" s="3421"/>
      <c r="O576" s="3421"/>
      <c r="P576" s="3421"/>
      <c r="Q576" s="3421"/>
      <c r="R576" s="3421"/>
      <c r="S576" s="3421"/>
      <c r="T576" s="3421"/>
      <c r="U576" s="3421"/>
      <c r="V576" s="3421"/>
      <c r="W576" s="3421"/>
      <c r="X576" s="3422"/>
      <c r="Y576" s="3421"/>
      <c r="Z576" s="3421"/>
      <c r="AA576" s="3421"/>
      <c r="AB576" s="3421"/>
      <c r="AC576" s="3422"/>
      <c r="AD576" s="3421"/>
      <c r="AE576" s="3421"/>
      <c r="AF576" s="3421"/>
      <c r="AG576" s="3421"/>
      <c r="AH576" s="3422"/>
      <c r="AI576" s="3421"/>
      <c r="AJ576" s="3421"/>
      <c r="AK576" s="3421"/>
      <c r="AL576" s="3421"/>
      <c r="AM576" s="3422"/>
      <c r="AN576" s="3421"/>
      <c r="AO576" s="3421"/>
      <c r="AP576" s="3421"/>
      <c r="AQ576" s="3421"/>
      <c r="AR576" s="3422"/>
      <c r="AS576" s="3421"/>
      <c r="AT576" s="3421"/>
      <c r="AU576" s="3421"/>
      <c r="AV576" s="3421"/>
      <c r="AW576" s="3422"/>
      <c r="AX576" s="3421"/>
      <c r="AY576" s="3421"/>
      <c r="AZ576" s="3421"/>
      <c r="BA576" s="3421"/>
      <c r="BB576" s="3422"/>
      <c r="BC576" s="3421"/>
      <c r="BD576" s="3421"/>
      <c r="BE576" s="3421"/>
      <c r="BF576" s="3421"/>
      <c r="BG576" s="3422"/>
      <c r="BH576" s="3421"/>
      <c r="BI576" s="3421"/>
      <c r="BJ576" s="3421"/>
      <c r="BK576" s="3421"/>
      <c r="BL576" s="3422"/>
      <c r="BM576" s="3421"/>
      <c r="BN576" s="3421"/>
      <c r="BO576" s="3421"/>
      <c r="BP576" s="3421"/>
      <c r="BQ576" s="3422"/>
      <c r="BR576" s="3421"/>
      <c r="BS576" s="3421"/>
      <c r="BT576" s="3421"/>
      <c r="BU576" s="3421"/>
      <c r="BV576" s="3422"/>
      <c r="BW576" s="3423"/>
      <c r="BX576" s="3421"/>
      <c r="BY576" s="3421"/>
      <c r="BZ576" s="3421"/>
      <c r="CA576" s="3422"/>
      <c r="CB576" s="3421"/>
      <c r="CC576" s="3421"/>
      <c r="CD576" s="3421"/>
      <c r="CE576" s="3421"/>
      <c r="CF576" s="3422"/>
      <c r="CG576" s="3421"/>
      <c r="CH576" s="3421"/>
      <c r="CI576" s="3421"/>
      <c r="CJ576" s="3421"/>
      <c r="CK576" s="3422"/>
      <c r="CL576" s="3424"/>
      <c r="CM576" s="3421"/>
      <c r="CN576" s="3421"/>
      <c r="CO576" s="3421"/>
      <c r="CP576" s="3422"/>
      <c r="CQ576" s="3421"/>
      <c r="CR576" s="3421"/>
      <c r="CS576" s="3421"/>
      <c r="CT576" s="3425"/>
      <c r="CU576" s="3422"/>
      <c r="CV576" s="3421"/>
      <c r="CW576" s="3421"/>
      <c r="CX576" s="3421"/>
      <c r="CY576" s="3425"/>
      <c r="CZ576" s="3422"/>
      <c r="DA576" s="3424"/>
      <c r="DB576" s="3426"/>
      <c r="DC576" s="3421"/>
      <c r="DD576" s="3425"/>
      <c r="DE576" s="3422"/>
      <c r="DF576" s="3421"/>
      <c r="DG576" s="3421"/>
      <c r="DH576" s="3421"/>
      <c r="DI576" s="3425"/>
      <c r="DJ576" s="3422"/>
      <c r="DK576" s="3421"/>
      <c r="DL576" s="3421"/>
      <c r="DM576" s="3421"/>
      <c r="DN576" s="3425"/>
      <c r="DO576" s="3425"/>
      <c r="DP576" s="3421"/>
      <c r="DQ576" s="3421"/>
      <c r="DR576" s="3421"/>
      <c r="DS576" s="3425"/>
      <c r="DT576" s="3425"/>
      <c r="DU576" s="30"/>
      <c r="DV576" s="1703"/>
      <c r="DW576" s="1703">
        <f t="shared" ref="DW576" si="1427">DW571/DR571-1</f>
      </c>
      <c r="DX576" s="1703">
        <f t="shared" ref="DX576" si="1428">DX571/DS571-1</f>
      </c>
      <c r="DY576" s="1060">
        <f t="shared" ref="DY576" si="1429">DY571/DT571-1</f>
      </c>
      <c r="DZ576" s="1703">
        <f t="shared" ref="DZ576" si="1430">DZ571/DU571-1</f>
      </c>
      <c r="EA576" s="1703">
        <f t="shared" ref="EA576" si="1431">EA571/DV571-1</f>
      </c>
      <c r="EB576" s="1703">
        <f t="shared" ref="EB576" si="1432">EB571/DW571-1</f>
      </c>
      <c r="EC576" s="1703">
        <f t="shared" ref="EC576" si="1433">EC571/DX571-1</f>
      </c>
      <c r="ED576" s="1060">
        <f t="shared" ref="ED576" si="1434">ED571/DY571-1</f>
      </c>
      <c r="EE576" s="1703">
        <f t="shared" si="1425"/>
      </c>
      <c r="EF576" s="1703">
        <f t="shared" si="1425"/>
      </c>
      <c r="EG576" s="1703">
        <f t="shared" si="1425"/>
      </c>
      <c r="EH576" s="1703">
        <f t="shared" ref="EH576" si="1435">EH571/EC571-1</f>
      </c>
      <c r="EI576" s="1060">
        <f t="shared" ref="EI576" si="1436">EI571/ED571-1</f>
      </c>
      <c r="EJ576" s="3422">
        <f t="shared" ref="EJ576:EW576" si="1437">EJ571/EI571-1</f>
      </c>
      <c r="EK576" s="3421">
        <f t="shared" si="1437"/>
      </c>
      <c r="EL576" s="3422">
        <f t="shared" si="1437"/>
      </c>
      <c r="EM576" s="3421">
        <f t="shared" si="1437"/>
      </c>
      <c r="EN576" s="3422">
        <f t="shared" si="1437"/>
      </c>
      <c r="EO576" s="3422">
        <f t="shared" si="1437"/>
      </c>
      <c r="EP576" s="3422">
        <f t="shared" si="1437"/>
      </c>
      <c r="EQ576" s="3422">
        <f t="shared" si="1437"/>
      </c>
      <c r="ER576" s="3422">
        <f t="shared" si="1437"/>
      </c>
      <c r="ES576" s="3422">
        <f t="shared" si="1437"/>
      </c>
      <c r="ET576" s="3422">
        <f t="shared" si="1437"/>
      </c>
      <c r="EU576" s="3422">
        <f t="shared" si="1437"/>
      </c>
      <c r="EV576" s="3422">
        <f t="shared" si="1437"/>
      </c>
      <c r="EW576" s="3422">
        <f t="shared" si="1437"/>
      </c>
      <c r="EX576" s="3427"/>
    </row>
    <row r="577" spans="1:154" s="3428" customFormat="1" ht="12.75" customHeight="1">
      <c r="A577" s="3419"/>
      <c r="B577" s="3417" t="s">
        <v>256</v>
      </c>
      <c r="C577" s="3418"/>
      <c r="D577" s="3420"/>
      <c r="E577" s="3420"/>
      <c r="F577" s="3421"/>
      <c r="G577" s="3421"/>
      <c r="H577" s="3421"/>
      <c r="I577" s="3421"/>
      <c r="J577" s="3421"/>
      <c r="K577" s="3421"/>
      <c r="L577" s="3421"/>
      <c r="M577" s="3421"/>
      <c r="N577" s="3421"/>
      <c r="O577" s="3421"/>
      <c r="P577" s="3421"/>
      <c r="Q577" s="3421"/>
      <c r="R577" s="3421"/>
      <c r="S577" s="3421"/>
      <c r="T577" s="3421"/>
      <c r="U577" s="3421"/>
      <c r="V577" s="3421"/>
      <c r="W577" s="3421"/>
      <c r="X577" s="3422"/>
      <c r="Y577" s="3421"/>
      <c r="Z577" s="3421"/>
      <c r="AA577" s="3421"/>
      <c r="AB577" s="3421"/>
      <c r="AC577" s="3422"/>
      <c r="AD577" s="3421"/>
      <c r="AE577" s="3421"/>
      <c r="AF577" s="3421"/>
      <c r="AG577" s="3421"/>
      <c r="AH577" s="3422"/>
      <c r="AI577" s="3421"/>
      <c r="AJ577" s="3421"/>
      <c r="AK577" s="3421"/>
      <c r="AL577" s="3421"/>
      <c r="AM577" s="3422"/>
      <c r="AN577" s="3421"/>
      <c r="AO577" s="3421"/>
      <c r="AP577" s="3421"/>
      <c r="AQ577" s="3421"/>
      <c r="AR577" s="3422"/>
      <c r="AS577" s="3421"/>
      <c r="AT577" s="3421"/>
      <c r="AU577" s="3421"/>
      <c r="AV577" s="3421"/>
      <c r="AW577" s="3422"/>
      <c r="AX577" s="3421"/>
      <c r="AY577" s="3421"/>
      <c r="AZ577" s="3421"/>
      <c r="BA577" s="3421"/>
      <c r="BB577" s="3422"/>
      <c r="BC577" s="3421"/>
      <c r="BD577" s="3421"/>
      <c r="BE577" s="3421"/>
      <c r="BF577" s="3421"/>
      <c r="BG577" s="3422"/>
      <c r="BH577" s="3421"/>
      <c r="BI577" s="3421"/>
      <c r="BJ577" s="3421"/>
      <c r="BK577" s="3421"/>
      <c r="BL577" s="3422"/>
      <c r="BM577" s="3421"/>
      <c r="BN577" s="3421"/>
      <c r="BO577" s="3421"/>
      <c r="BP577" s="3421"/>
      <c r="BQ577" s="3422"/>
      <c r="BR577" s="3421"/>
      <c r="BS577" s="3421"/>
      <c r="BT577" s="3421"/>
      <c r="BU577" s="3421"/>
      <c r="BV577" s="3422"/>
      <c r="BW577" s="3423"/>
      <c r="BX577" s="3421"/>
      <c r="BY577" s="3421"/>
      <c r="BZ577" s="3421"/>
      <c r="CA577" s="3422"/>
      <c r="CB577" s="3421"/>
      <c r="CC577" s="3421"/>
      <c r="CD577" s="3421"/>
      <c r="CE577" s="3421"/>
      <c r="CF577" s="3422"/>
      <c r="CG577" s="3421"/>
      <c r="CH577" s="3421"/>
      <c r="CI577" s="3421"/>
      <c r="CJ577" s="3421"/>
      <c r="CK577" s="3422"/>
      <c r="CL577" s="3424"/>
      <c r="CM577" s="3421"/>
      <c r="CN577" s="3421"/>
      <c r="CO577" s="3421"/>
      <c r="CP577" s="3422"/>
      <c r="CQ577" s="3421"/>
      <c r="CR577" s="3421"/>
      <c r="CS577" s="3421"/>
      <c r="CT577" s="3425"/>
      <c r="CU577" s="3422"/>
      <c r="CV577" s="3421"/>
      <c r="CW577" s="3421"/>
      <c r="CX577" s="3421"/>
      <c r="CY577" s="3425"/>
      <c r="CZ577" s="3422"/>
      <c r="DA577" s="3424"/>
      <c r="DB577" s="3426"/>
      <c r="DC577" s="3421"/>
      <c r="DD577" s="3425"/>
      <c r="DE577" s="3422"/>
      <c r="DF577" s="3421"/>
      <c r="DG577" s="3421"/>
      <c r="DH577" s="3421"/>
      <c r="DI577" s="3425"/>
      <c r="DJ577" s="3422"/>
      <c r="DK577" s="3421"/>
      <c r="DL577" s="3421"/>
      <c r="DM577" s="3421"/>
      <c r="DN577" s="3425"/>
      <c r="DO577" s="3425"/>
      <c r="DP577" s="3421"/>
      <c r="DQ577" s="3421"/>
      <c r="DR577" s="3421"/>
      <c r="DS577" s="3425"/>
      <c r="DT577" s="3425"/>
      <c r="DU577" s="1703"/>
      <c r="DV577" s="1703"/>
      <c r="DW577" s="1703"/>
      <c r="DX577" s="1703"/>
      <c r="DY577" s="1060"/>
      <c r="DZ577" s="1703"/>
      <c r="EA577" s="1703"/>
      <c r="EB577" s="1703"/>
      <c r="EC577" s="1703"/>
      <c r="ED577" s="1060"/>
      <c r="EE577" s="1703"/>
      <c r="EF577" s="1703"/>
      <c r="EG577" s="1703"/>
      <c r="EH577" s="1703"/>
      <c r="EI577" s="1060"/>
      <c r="EJ577" s="1060"/>
      <c r="EK577" s="3421"/>
      <c r="EL577" s="3422"/>
      <c r="EM577" s="3421"/>
      <c r="EN577" s="3422"/>
      <c r="EO577" s="3422"/>
      <c r="EP577" s="3422"/>
      <c r="EQ577" s="3422"/>
      <c r="ER577" s="3422"/>
      <c r="ES577" s="3422"/>
      <c r="ET577" s="3422"/>
      <c r="EU577" s="3422"/>
      <c r="EV577" s="3422"/>
      <c r="EW577" s="3422"/>
      <c r="EX577" s="3427"/>
    </row>
    <row r="578" spans="1:154" s="3428" customFormat="1" ht="12.75" customHeight="1">
      <c r="A578" s="3419"/>
      <c r="B578" s="3417" t="s">
        <v>611</v>
      </c>
      <c r="C578" s="3418"/>
      <c r="D578" s="3420"/>
      <c r="E578" s="3420"/>
      <c r="F578" s="3421"/>
      <c r="G578" s="3421"/>
      <c r="H578" s="3421"/>
      <c r="I578" s="3421"/>
      <c r="J578" s="3421"/>
      <c r="K578" s="3421"/>
      <c r="L578" s="3421"/>
      <c r="M578" s="3421"/>
      <c r="N578" s="3421"/>
      <c r="O578" s="3421"/>
      <c r="P578" s="3421"/>
      <c r="Q578" s="3421"/>
      <c r="R578" s="3421"/>
      <c r="S578" s="3421"/>
      <c r="T578" s="3421"/>
      <c r="U578" s="3421"/>
      <c r="V578" s="3421"/>
      <c r="W578" s="3421"/>
      <c r="X578" s="3422"/>
      <c r="Y578" s="3421"/>
      <c r="Z578" s="3421"/>
      <c r="AA578" s="3421"/>
      <c r="AB578" s="3421"/>
      <c r="AC578" s="3422"/>
      <c r="AD578" s="3421"/>
      <c r="AE578" s="3421"/>
      <c r="AF578" s="3421"/>
      <c r="AG578" s="3421"/>
      <c r="AH578" s="3422"/>
      <c r="AI578" s="3421"/>
      <c r="AJ578" s="3421"/>
      <c r="AK578" s="3421"/>
      <c r="AL578" s="3421"/>
      <c r="AM578" s="3422"/>
      <c r="AN578" s="3421"/>
      <c r="AO578" s="3421"/>
      <c r="AP578" s="3421"/>
      <c r="AQ578" s="3421"/>
      <c r="AR578" s="3422"/>
      <c r="AS578" s="3421"/>
      <c r="AT578" s="3421"/>
      <c r="AU578" s="3421"/>
      <c r="AV578" s="3421"/>
      <c r="AW578" s="3422"/>
      <c r="AX578" s="3421"/>
      <c r="AY578" s="3421"/>
      <c r="AZ578" s="3421"/>
      <c r="BA578" s="3421"/>
      <c r="BB578" s="3422"/>
      <c r="BC578" s="3421"/>
      <c r="BD578" s="3421"/>
      <c r="BE578" s="3421"/>
      <c r="BF578" s="3421"/>
      <c r="BG578" s="3422"/>
      <c r="BH578" s="3421"/>
      <c r="BI578" s="3421"/>
      <c r="BJ578" s="3421"/>
      <c r="BK578" s="3421"/>
      <c r="BL578" s="3422"/>
      <c r="BM578" s="3421"/>
      <c r="BN578" s="3421"/>
      <c r="BO578" s="3421"/>
      <c r="BP578" s="3421"/>
      <c r="BQ578" s="3422"/>
      <c r="BR578" s="3421"/>
      <c r="BS578" s="3421"/>
      <c r="BT578" s="3421"/>
      <c r="BU578" s="3421"/>
      <c r="BV578" s="3422"/>
      <c r="BW578" s="3423"/>
      <c r="BX578" s="3421"/>
      <c r="BY578" s="3421"/>
      <c r="BZ578" s="3421"/>
      <c r="CA578" s="3422"/>
      <c r="CB578" s="3421"/>
      <c r="CC578" s="3421"/>
      <c r="CD578" s="3421"/>
      <c r="CE578" s="3421"/>
      <c r="CF578" s="3422"/>
      <c r="CG578" s="3421"/>
      <c r="CH578" s="3421"/>
      <c r="CI578" s="3421"/>
      <c r="CJ578" s="3421"/>
      <c r="CK578" s="3422"/>
      <c r="CL578" s="3424"/>
      <c r="CM578" s="3421"/>
      <c r="CN578" s="3421"/>
      <c r="CO578" s="3421"/>
      <c r="CP578" s="3422"/>
      <c r="CQ578" s="3421"/>
      <c r="CR578" s="3421"/>
      <c r="CS578" s="3421"/>
      <c r="CT578" s="3425"/>
      <c r="CU578" s="3422"/>
      <c r="CV578" s="3421"/>
      <c r="CW578" s="3421"/>
      <c r="CX578" s="3421"/>
      <c r="CY578" s="3425"/>
      <c r="CZ578" s="3422"/>
      <c r="DA578" s="3424"/>
      <c r="DB578" s="3426"/>
      <c r="DC578" s="3421"/>
      <c r="DD578" s="3425"/>
      <c r="DE578" s="3422"/>
      <c r="DF578" s="3421"/>
      <c r="DG578" s="3421"/>
      <c r="DH578" s="3421"/>
      <c r="DI578" s="3425"/>
      <c r="DJ578" s="3422"/>
      <c r="DK578" s="3421"/>
      <c r="DL578" s="3421"/>
      <c r="DM578" s="3421"/>
      <c r="DN578" s="3425"/>
      <c r="DO578" s="3422"/>
      <c r="DP578" s="3421"/>
      <c r="DQ578" s="3421"/>
      <c r="DR578" s="3421"/>
      <c r="DS578" s="3425"/>
      <c r="DT578" s="3422"/>
      <c r="DU578" s="926"/>
      <c r="DV578" s="926">
        <f>DV572/DQ572-1</f>
      </c>
      <c r="DW578" s="926">
        <f t="shared" ref="DW578:EI578" si="1438">DW572/DR572-1</f>
      </c>
      <c r="DX578" s="928">
        <f t="shared" si="1438"/>
      </c>
      <c r="DY578" s="308">
        <f t="shared" si="1438"/>
      </c>
      <c r="DZ578" s="926">
        <f t="shared" si="1438"/>
      </c>
      <c r="EA578" s="926">
        <f t="shared" si="1438"/>
      </c>
      <c r="EB578" s="926">
        <f t="shared" si="1438"/>
      </c>
      <c r="EC578" s="928">
        <f t="shared" si="1438"/>
      </c>
      <c r="ED578" s="308">
        <f t="shared" si="1438"/>
      </c>
      <c r="EE578" s="926">
        <f t="shared" si="1438"/>
      </c>
      <c r="EF578" s="926">
        <f t="shared" si="1438"/>
      </c>
      <c r="EG578" s="926">
        <f t="shared" si="1438"/>
      </c>
      <c r="EH578" s="928">
        <f t="shared" si="1438"/>
      </c>
      <c r="EI578" s="308">
        <f t="shared" si="1438"/>
      </c>
      <c r="EJ578" s="3424">
        <f>EJ572/EI572-1</f>
      </c>
      <c r="EK578" s="3424">
        <f t="shared" ref="EK578:EW578" si="1439">EK572/EJ572-1</f>
      </c>
      <c r="EL578" s="3424">
        <f t="shared" si="1439"/>
      </c>
      <c r="EM578" s="3424">
        <f t="shared" si="1439"/>
      </c>
      <c r="EN578" s="3422">
        <f t="shared" si="1439"/>
      </c>
      <c r="EO578" s="3422">
        <f t="shared" si="1439"/>
      </c>
      <c r="EP578" s="3422">
        <f t="shared" si="1439"/>
      </c>
      <c r="EQ578" s="3422">
        <f t="shared" si="1439"/>
      </c>
      <c r="ER578" s="3422">
        <f t="shared" si="1439"/>
      </c>
      <c r="ES578" s="3422">
        <f t="shared" si="1439"/>
      </c>
      <c r="ET578" s="3422">
        <f t="shared" si="1439"/>
      </c>
      <c r="EU578" s="3422">
        <f t="shared" si="1439"/>
      </c>
      <c r="EV578" s="3422">
        <f t="shared" si="1439"/>
      </c>
      <c r="EW578" s="3422">
        <f t="shared" si="1439"/>
      </c>
      <c r="EX578" s="3422"/>
    </row>
    <row r="579" spans="1:154" ht="12.75" customHeight="1">
      <c r="B579" s="1390"/>
      <c r="C579" s="1392"/>
      <c r="D579" s="894"/>
      <c r="E579" s="894"/>
      <c r="F579" s="895"/>
      <c r="G579" s="895"/>
      <c r="H579" s="895"/>
      <c r="I579" s="895"/>
      <c r="J579" s="895"/>
      <c r="K579" s="895"/>
      <c r="L579" s="895"/>
      <c r="M579" s="895"/>
      <c r="N579" s="895"/>
      <c r="O579" s="896"/>
      <c r="P579" s="895"/>
      <c r="Q579" s="895"/>
      <c r="R579" s="895"/>
      <c r="S579" s="895"/>
      <c r="T579" s="896"/>
      <c r="U579" s="895"/>
      <c r="V579" s="895"/>
      <c r="W579" s="895"/>
      <c r="X579" s="899"/>
      <c r="Y579" s="896"/>
      <c r="Z579" s="895"/>
      <c r="AA579" s="895"/>
      <c r="AB579" s="895"/>
      <c r="AC579" s="899"/>
      <c r="AD579" s="896"/>
      <c r="AE579" s="895"/>
      <c r="AF579" s="895"/>
      <c r="AG579" s="895"/>
      <c r="AH579" s="899"/>
      <c r="AI579" s="896"/>
      <c r="AJ579" s="895"/>
      <c r="AK579" s="895"/>
      <c r="AL579" s="895"/>
      <c r="AM579" s="899"/>
      <c r="AN579" s="896"/>
      <c r="AO579" s="895"/>
      <c r="AP579" s="895"/>
      <c r="AQ579" s="897"/>
      <c r="AR579" s="899"/>
      <c r="AS579" s="896"/>
      <c r="AT579" s="895"/>
      <c r="AU579" s="895"/>
      <c r="AV579" s="895"/>
      <c r="AW579" s="899"/>
      <c r="AX579" s="896"/>
      <c r="AY579" s="895"/>
      <c r="AZ579" s="895"/>
      <c r="BA579" s="895"/>
      <c r="BB579" s="899"/>
      <c r="BC579" s="896"/>
      <c r="BD579" s="895"/>
      <c r="BE579" s="895"/>
      <c r="BF579" s="895"/>
      <c r="BG579" s="899"/>
      <c r="BH579" s="896"/>
      <c r="BI579" s="895"/>
      <c r="BJ579" s="895"/>
      <c r="BK579" s="895"/>
      <c r="BL579" s="899"/>
      <c r="BM579" s="895"/>
      <c r="BN579" s="895"/>
      <c r="BO579" s="895"/>
      <c r="BP579" s="895"/>
      <c r="BQ579" s="899"/>
      <c r="BR579" s="895"/>
      <c r="BS579" s="895"/>
      <c r="BT579" s="895"/>
      <c r="BU579" s="895"/>
      <c r="BV579" s="899"/>
      <c r="BW579" s="908"/>
      <c r="BX579" s="895"/>
      <c r="BY579" s="895"/>
      <c r="BZ579" s="895"/>
      <c r="CA579" s="899"/>
      <c r="CB579" s="895"/>
      <c r="CC579" s="895"/>
      <c r="CD579" s="895"/>
      <c r="CE579" s="895"/>
      <c r="CF579" s="899"/>
      <c r="CG579" s="895"/>
      <c r="CH579" s="895"/>
      <c r="CI579" s="895"/>
      <c r="CJ579" s="895"/>
      <c r="CK579" s="899"/>
      <c r="CL579" s="1015"/>
      <c r="CM579" s="895"/>
      <c r="CN579" s="895"/>
      <c r="CO579" s="895"/>
      <c r="CP579" s="899"/>
      <c r="CQ579" s="895"/>
      <c r="CR579" s="895"/>
      <c r="CS579" s="895"/>
      <c r="CT579" s="915"/>
      <c r="CU579" s="899"/>
      <c r="CV579" s="895"/>
      <c r="CW579" s="895"/>
      <c r="CX579" s="895"/>
      <c r="CY579" s="915"/>
      <c r="CZ579" s="899"/>
      <c r="DA579" s="1015"/>
      <c r="DB579" s="1509"/>
      <c r="DC579" s="895"/>
      <c r="DD579" s="915"/>
      <c r="DE579" s="899"/>
      <c r="DF579" s="895"/>
      <c r="DG579" s="895"/>
      <c r="DH579" s="895"/>
      <c r="DI579" s="915"/>
      <c r="DJ579" s="899"/>
      <c r="DK579" s="895"/>
      <c r="DL579" s="895"/>
      <c r="DM579" s="895"/>
      <c r="DN579" s="915"/>
      <c r="DO579" s="899"/>
      <c r="DP579" s="895"/>
      <c r="DQ579" s="895"/>
      <c r="DR579" s="895"/>
      <c r="DS579" s="915"/>
      <c r="DT579" s="899"/>
      <c r="DU579" s="895"/>
      <c r="DV579" s="895"/>
      <c r="DW579" s="895"/>
      <c r="DX579" s="895"/>
      <c r="DY579" s="899"/>
      <c r="DZ579" s="895"/>
      <c r="EA579" s="895"/>
      <c r="EB579" s="895"/>
      <c r="EC579" s="915"/>
      <c r="ED579" s="899"/>
      <c r="EE579" s="895"/>
      <c r="EF579" s="895"/>
      <c r="EG579" s="895"/>
      <c r="EH579" s="915"/>
      <c r="EI579" s="1015"/>
      <c r="EJ579" s="899"/>
      <c r="EK579" s="899"/>
      <c r="EL579" s="899"/>
      <c r="EM579" s="899"/>
      <c r="EN579" s="899"/>
      <c r="EO579" s="915"/>
      <c r="EP579" s="915"/>
      <c r="EQ579" s="915"/>
      <c r="ER579" s="915"/>
      <c r="ES579" s="899"/>
      <c r="ET579" s="899"/>
      <c r="EU579" s="899"/>
      <c r="EV579" s="899"/>
      <c r="EW579" s="899"/>
      <c r="EX579" s="899"/>
    </row>
    <row r="580" spans="1:154">
      <c r="A580" s="3277"/>
      <c r="B580" s="1389" t="s">
        <v>908</v>
      </c>
      <c r="C580" s="2012"/>
      <c r="D580" s="894"/>
      <c r="E580" s="894"/>
      <c r="F580" s="895"/>
      <c r="G580" s="895"/>
      <c r="H580" s="895"/>
      <c r="I580" s="895"/>
      <c r="J580" s="895"/>
      <c r="K580" s="895"/>
      <c r="L580" s="895"/>
      <c r="M580" s="895"/>
      <c r="N580" s="895"/>
      <c r="O580" s="896"/>
      <c r="P580" s="895"/>
      <c r="Q580" s="895"/>
      <c r="R580" s="895"/>
      <c r="S580" s="895"/>
      <c r="T580" s="896"/>
      <c r="U580" s="895"/>
      <c r="V580" s="895"/>
      <c r="W580" s="895"/>
      <c r="X580" s="899"/>
      <c r="Y580" s="896"/>
      <c r="Z580" s="895"/>
      <c r="AA580" s="895"/>
      <c r="AB580" s="895"/>
      <c r="AC580" s="899"/>
      <c r="AD580" s="896"/>
      <c r="AE580" s="895"/>
      <c r="AF580" s="895"/>
      <c r="AG580" s="895"/>
      <c r="AH580" s="899"/>
      <c r="AI580" s="896"/>
      <c r="AJ580" s="895"/>
      <c r="AK580" s="895"/>
      <c r="AL580" s="895"/>
      <c r="AM580" s="899"/>
      <c r="AN580" s="896"/>
      <c r="AO580" s="895"/>
      <c r="AP580" s="895"/>
      <c r="AQ580" s="897"/>
      <c r="AR580" s="899"/>
      <c r="AS580" s="896"/>
      <c r="AT580" s="895"/>
      <c r="AU580" s="895"/>
      <c r="AV580" s="895"/>
      <c r="AW580" s="899"/>
      <c r="AX580" s="896"/>
      <c r="AY580" s="895"/>
      <c r="AZ580" s="895"/>
      <c r="BA580" s="895"/>
      <c r="BB580" s="899"/>
      <c r="BC580" s="896"/>
      <c r="BD580" s="895"/>
      <c r="BE580" s="895"/>
      <c r="BF580" s="895"/>
      <c r="BG580" s="899"/>
      <c r="BH580" s="896"/>
      <c r="BI580" s="895"/>
      <c r="BJ580" s="895"/>
      <c r="BK580" s="895"/>
      <c r="BL580" s="899"/>
      <c r="BM580" s="895"/>
      <c r="BN580" s="908"/>
      <c r="BO580" s="895"/>
      <c r="BP580" s="895"/>
      <c r="BQ580" s="899"/>
      <c r="BR580" s="895"/>
      <c r="BS580" s="908"/>
      <c r="BT580" s="895"/>
      <c r="BU580" s="895"/>
      <c r="BV580" s="899"/>
      <c r="BW580" s="908"/>
      <c r="BX580" s="908"/>
      <c r="BY580" s="908"/>
      <c r="BZ580" s="908"/>
      <c r="CA580" s="899"/>
      <c r="CB580" s="908"/>
      <c r="CC580" s="895"/>
      <c r="CD580" s="908"/>
      <c r="CE580" s="908"/>
      <c r="CF580" s="899"/>
      <c r="CG580" s="908"/>
      <c r="CH580" s="908"/>
      <c r="CI580" s="908"/>
      <c r="CJ580" s="908"/>
      <c r="CK580" s="899"/>
      <c r="CL580" s="1015"/>
      <c r="CM580" s="895"/>
      <c r="CN580" s="908"/>
      <c r="CO580" s="908"/>
      <c r="CP580" s="909"/>
      <c r="CQ580" s="895"/>
      <c r="CR580" s="895"/>
      <c r="CS580" s="895"/>
      <c r="CT580" s="895"/>
      <c r="CU580" s="909"/>
      <c r="CV580" s="895"/>
      <c r="CW580" s="895"/>
      <c r="CX580" s="895"/>
      <c r="CY580" s="895"/>
      <c r="CZ580" s="909"/>
      <c r="DA580" s="895"/>
      <c r="DB580" s="908"/>
      <c r="DC580" s="908"/>
      <c r="DD580" s="1021"/>
      <c r="DE580" s="909"/>
      <c r="DF580" s="895"/>
      <c r="DG580" s="908"/>
      <c r="DH580" s="908"/>
      <c r="DI580" s="1021"/>
      <c r="DJ580" s="909"/>
      <c r="DK580" s="895"/>
      <c r="DL580" s="908"/>
      <c r="DM580" s="908"/>
      <c r="DN580" s="1021"/>
      <c r="DO580" s="909"/>
      <c r="DP580" s="908"/>
      <c r="DQ580" s="908"/>
      <c r="DR580" s="908"/>
      <c r="DS580" s="1021"/>
      <c r="DT580" s="909"/>
      <c r="DU580" s="908"/>
      <c r="DV580" s="908"/>
      <c r="DW580" s="908"/>
      <c r="DX580" s="1021"/>
      <c r="DY580" s="909"/>
      <c r="ED580" s="1808"/>
      <c r="EH580" s="1021"/>
      <c r="EI580" s="909"/>
      <c r="EJ580" s="909"/>
      <c r="EK580" s="909"/>
      <c r="EL580" s="909"/>
      <c r="EM580" s="909"/>
      <c r="EN580" s="909"/>
      <c r="EO580" s="909"/>
      <c r="EP580" s="909"/>
      <c r="EQ580" s="909"/>
      <c r="ER580" s="909"/>
      <c r="ES580" s="909"/>
      <c r="ET580" s="909"/>
      <c r="EU580" s="909"/>
      <c r="EV580" s="909"/>
      <c r="EW580" s="909"/>
      <c r="EX580" s="909"/>
    </row>
    <row r="581" spans="1:154">
      <c r="A581" s="3277"/>
      <c r="B581" s="3342" t="s">
        <v>925</v>
      </c>
      <c r="C581" s="2012"/>
      <c r="D581" s="894"/>
      <c r="E581" s="894"/>
      <c r="F581" s="895"/>
      <c r="G581" s="895"/>
      <c r="H581" s="895"/>
      <c r="I581" s="895"/>
      <c r="J581" s="895"/>
      <c r="K581" s="895"/>
      <c r="L581" s="895"/>
      <c r="M581" s="895"/>
      <c r="N581" s="895"/>
      <c r="O581" s="896"/>
      <c r="P581" s="895"/>
      <c r="Q581" s="895"/>
      <c r="R581" s="895"/>
      <c r="S581" s="895"/>
      <c r="T581" s="896"/>
      <c r="U581" s="895"/>
      <c r="V581" s="895"/>
      <c r="W581" s="895"/>
      <c r="X581" s="899"/>
      <c r="Y581" s="896"/>
      <c r="Z581" s="895"/>
      <c r="AA581" s="895"/>
      <c r="AB581" s="895"/>
      <c r="AC581" s="899"/>
      <c r="AD581" s="896"/>
      <c r="AE581" s="895"/>
      <c r="AF581" s="895"/>
      <c r="AG581" s="895"/>
      <c r="AH581" s="899"/>
      <c r="AI581" s="896"/>
      <c r="AJ581" s="895"/>
      <c r="AK581" s="895"/>
      <c r="AL581" s="895"/>
      <c r="AM581" s="899"/>
      <c r="AN581" s="896"/>
      <c r="AO581" s="895"/>
      <c r="AP581" s="895"/>
      <c r="AQ581" s="897"/>
      <c r="AR581" s="899"/>
      <c r="AS581" s="896"/>
      <c r="AT581" s="895"/>
      <c r="AU581" s="895"/>
      <c r="AV581" s="895"/>
      <c r="AW581" s="899"/>
      <c r="AX581" s="896"/>
      <c r="AY581" s="895"/>
      <c r="AZ581" s="895"/>
      <c r="BA581" s="895"/>
      <c r="BB581" s="899"/>
      <c r="BC581" s="896"/>
      <c r="BD581" s="895"/>
      <c r="BE581" s="895"/>
      <c r="BF581" s="895"/>
      <c r="BG581" s="899"/>
      <c r="BH581" s="896"/>
      <c r="BI581" s="895"/>
      <c r="BJ581" s="895"/>
      <c r="BK581" s="895"/>
      <c r="BL581" s="899"/>
      <c r="BM581" s="895"/>
      <c r="BN581" s="895"/>
      <c r="BO581" s="895"/>
      <c r="BP581" s="895"/>
      <c r="BQ581" s="899"/>
      <c r="BR581" s="895"/>
      <c r="BS581" s="895"/>
      <c r="BT581" s="895"/>
      <c r="BU581" s="895"/>
      <c r="BV581" s="899"/>
      <c r="BW581" s="895"/>
      <c r="BX581" s="895"/>
      <c r="BY581" s="895"/>
      <c r="BZ581" s="895"/>
      <c r="CA581" s="899"/>
      <c r="CB581" s="895"/>
      <c r="CC581" s="895"/>
      <c r="CD581" s="895"/>
      <c r="CE581" s="895"/>
      <c r="CF581" s="899"/>
      <c r="CG581" s="895"/>
      <c r="CH581" s="895"/>
      <c r="CI581" s="895"/>
      <c r="CJ581" s="1177">
        <v>15</v>
      </c>
      <c r="CK581" s="1015"/>
      <c r="CL581" s="1176"/>
      <c r="CM581" s="1177"/>
      <c r="CN581" s="1177"/>
      <c r="CO581" s="908"/>
      <c r="CP581" s="1369"/>
      <c r="CQ581" s="908"/>
      <c r="CR581" s="908"/>
      <c r="CS581" s="908"/>
      <c r="CT581" s="908"/>
      <c r="CU581" s="909"/>
      <c r="CV581" s="908"/>
      <c r="CW581" s="908">
        <v>10</v>
      </c>
      <c r="CX581" s="908">
        <v>20</v>
      </c>
      <c r="CY581" s="915">
        <f>CZ581-CX581-CW581</f>
      </c>
      <c r="CZ581" s="909"/>
      <c r="DA581" s="908"/>
      <c r="DB581" s="895"/>
      <c r="DC581" s="895"/>
      <c r="DD581" s="915"/>
      <c r="DE581" s="899"/>
      <c r="DF581" s="908"/>
      <c r="DG581" s="908"/>
      <c r="DH581" s="908"/>
      <c r="DI581" s="1021"/>
      <c r="DJ581" s="899"/>
      <c r="DK581" s="908"/>
      <c r="DL581" s="908"/>
      <c r="DM581" s="908"/>
      <c r="DN581" s="1021"/>
      <c r="DO581" s="899"/>
      <c r="DP581" s="908"/>
      <c r="DQ581" s="908"/>
      <c r="DR581" s="908"/>
      <c r="DS581" s="1021"/>
      <c r="DT581" s="899"/>
      <c r="DU581" s="908"/>
      <c r="DV581" s="908"/>
      <c r="DW581" s="908"/>
      <c r="DX581" s="1021"/>
      <c r="DY581" s="899"/>
      <c r="DZ581" s="908"/>
      <c r="EA581" s="908"/>
      <c r="EB581" s="908"/>
      <c r="EC581" s="1021"/>
      <c r="ED581" s="899"/>
      <c r="EE581" s="908">
        <v>68</v>
      </c>
      <c r="EF581" s="908">
        <v>82</v>
      </c>
      <c r="EG581" s="908">
        <v>85</v>
      </c>
      <c r="EH581" s="915">
        <f>+EI581-SUM(EE581:EG581)</f>
      </c>
      <c r="EI581" s="3706">
        <v>325</v>
      </c>
      <c r="EJ581" s="3706">
        <v>751.06018371094024</v>
      </c>
      <c r="EK581" s="3706">
        <v>1290.6122996004717</v>
      </c>
      <c r="EL581" s="3706">
        <v>1747.2468533716476</v>
      </c>
      <c r="EM581" s="3706">
        <v>2163.9272066596332</v>
      </c>
      <c r="EN581" s="3707">
        <v>2487.4924459318368</v>
      </c>
      <c r="EO581" s="899">
        <f t="shared" ref="EO581" si="1440">EN581*(1+EO586)</f>
      </c>
      <c r="EP581" s="915">
        <f t="shared" ref="EP581" si="1441">EO581*(1+EP586)</f>
      </c>
      <c r="EQ581" s="915">
        <f t="shared" ref="EQ581" si="1442">EP581*(1+EQ586)</f>
      </c>
      <c r="ER581" s="915">
        <f t="shared" ref="ER581" si="1443">EQ581*(1+ER586)</f>
      </c>
      <c r="ES581" s="915">
        <f t="shared" ref="ES581" si="1444">ER581*(1+ES586)</f>
      </c>
      <c r="ET581" s="915"/>
      <c r="EU581" s="915"/>
      <c r="EV581" s="915"/>
      <c r="EW581" s="915"/>
      <c r="EX581" s="915"/>
    </row>
    <row r="582" spans="1:154">
      <c r="A582" s="3277"/>
      <c r="B582" s="3342" t="s">
        <v>412</v>
      </c>
      <c r="C582" s="2012"/>
      <c r="D582" s="894"/>
      <c r="E582" s="894"/>
      <c r="F582" s="895"/>
      <c r="G582" s="895"/>
      <c r="H582" s="895"/>
      <c r="I582" s="895"/>
      <c r="J582" s="895"/>
      <c r="K582" s="895"/>
      <c r="L582" s="895"/>
      <c r="M582" s="895"/>
      <c r="N582" s="895"/>
      <c r="O582" s="896"/>
      <c r="P582" s="895"/>
      <c r="Q582" s="895"/>
      <c r="R582" s="895"/>
      <c r="S582" s="895"/>
      <c r="T582" s="896"/>
      <c r="U582" s="895"/>
      <c r="V582" s="895"/>
      <c r="W582" s="895"/>
      <c r="X582" s="898"/>
      <c r="Y582" s="896"/>
      <c r="Z582" s="895"/>
      <c r="AA582" s="895"/>
      <c r="AB582" s="895"/>
      <c r="AC582" s="898"/>
      <c r="AD582" s="896"/>
      <c r="AE582" s="895"/>
      <c r="AF582" s="895"/>
      <c r="AG582" s="895"/>
      <c r="AH582" s="898"/>
      <c r="AI582" s="896"/>
      <c r="AJ582" s="895"/>
      <c r="AK582" s="895"/>
      <c r="AL582" s="895"/>
      <c r="AM582" s="898"/>
      <c r="AN582" s="896"/>
      <c r="AO582" s="895"/>
      <c r="AP582" s="895"/>
      <c r="AQ582" s="897"/>
      <c r="AR582" s="898"/>
      <c r="AS582" s="896"/>
      <c r="AT582" s="895"/>
      <c r="AU582" s="895"/>
      <c r="AV582" s="895"/>
      <c r="AW582" s="898"/>
      <c r="AX582" s="896"/>
      <c r="AY582" s="895"/>
      <c r="AZ582" s="895"/>
      <c r="BA582" s="895"/>
      <c r="BB582" s="898"/>
      <c r="BC582" s="896"/>
      <c r="BD582" s="895"/>
      <c r="BE582" s="895"/>
      <c r="BF582" s="895"/>
      <c r="BG582" s="898"/>
      <c r="BH582" s="896"/>
      <c r="BI582" s="895"/>
      <c r="BJ582" s="895"/>
      <c r="BK582" s="895"/>
      <c r="BL582" s="898"/>
      <c r="BM582" s="895"/>
      <c r="BN582" s="895"/>
      <c r="BO582" s="895"/>
      <c r="BP582" s="895"/>
      <c r="BQ582" s="898"/>
      <c r="BR582" s="895"/>
      <c r="BS582" s="895"/>
      <c r="BT582" s="895"/>
      <c r="BU582" s="895"/>
      <c r="BV582" s="898"/>
      <c r="BW582" s="895"/>
      <c r="BX582" s="895"/>
      <c r="BY582" s="895"/>
      <c r="BZ582" s="895"/>
      <c r="CA582" s="898"/>
      <c r="CB582" s="895"/>
      <c r="CC582" s="895"/>
      <c r="CD582" s="895"/>
      <c r="CE582" s="895"/>
      <c r="CF582" s="898"/>
      <c r="CG582" s="895"/>
      <c r="CH582" s="895"/>
      <c r="CI582" s="895"/>
      <c r="CJ582" s="1178"/>
      <c r="CK582" s="1015"/>
      <c r="CL582" s="1176"/>
      <c r="CM582" s="1177"/>
      <c r="CN582" s="1177"/>
      <c r="CO582" s="908"/>
      <c r="CP582" s="1369"/>
      <c r="CQ582" s="908"/>
      <c r="CR582" s="908"/>
      <c r="CS582" s="908"/>
      <c r="CT582" s="908"/>
      <c r="CU582" s="909"/>
      <c r="CV582" s="908"/>
      <c r="CW582" s="908">
        <v>3</v>
      </c>
      <c r="CX582" s="908">
        <v>7</v>
      </c>
      <c r="CY582" s="915">
        <f>CZ582-CX582-CW582</f>
      </c>
      <c r="CZ582" s="909"/>
      <c r="DA582" s="908"/>
      <c r="DB582" s="908"/>
      <c r="DC582" s="908"/>
      <c r="DD582" s="915"/>
      <c r="DE582" s="899"/>
      <c r="DF582" s="908"/>
      <c r="DG582" s="908"/>
      <c r="DH582" s="908"/>
      <c r="DI582" s="1021"/>
      <c r="DJ582" s="899"/>
      <c r="DK582" s="908"/>
      <c r="DL582" s="908"/>
      <c r="DM582" s="908"/>
      <c r="DN582" s="1021"/>
      <c r="DO582" s="899"/>
      <c r="DP582" s="908"/>
      <c r="DQ582" s="908"/>
      <c r="DR582" s="908"/>
      <c r="DS582" s="1021"/>
      <c r="DT582" s="899"/>
      <c r="DU582" s="908"/>
      <c r="DV582" s="908"/>
      <c r="DW582" s="908"/>
      <c r="DX582" s="1021"/>
      <c r="DY582" s="899"/>
      <c r="DZ582" s="908"/>
      <c r="EA582" s="908"/>
      <c r="EB582" s="908"/>
      <c r="EC582" s="1021"/>
      <c r="ED582" s="899"/>
      <c r="EE582" s="908">
        <v>18</v>
      </c>
      <c r="EF582" s="908">
        <v>24</v>
      </c>
      <c r="EG582" s="908">
        <v>37</v>
      </c>
      <c r="EH582" s="915">
        <f>+EI582-SUM(EE582:EG582)</f>
      </c>
      <c r="EI582" s="3706">
        <v>125</v>
      </c>
      <c r="EJ582" s="3706">
        <v>277.14032554205181</v>
      </c>
      <c r="EK582" s="3706">
        <v>414.21599071675251</v>
      </c>
      <c r="EL582" s="3706">
        <v>586.28338820737463</v>
      </c>
      <c r="EM582" s="3706">
        <v>763.72014394235782</v>
      </c>
      <c r="EN582" s="3707">
        <v>945.7223401299002</v>
      </c>
      <c r="EO582" s="899">
        <f t="shared" ref="EO582" si="1445">EN582*(1+EO588)</f>
      </c>
      <c r="EP582" s="915">
        <f t="shared" ref="EP582" si="1446">EO582*(1+EP588)</f>
      </c>
      <c r="EQ582" s="915">
        <f t="shared" ref="EQ582" si="1447">EP582*(1+EQ588)</f>
      </c>
      <c r="ER582" s="915">
        <f t="shared" ref="ER582" si="1448">EQ582*(1+ER588)</f>
      </c>
      <c r="ES582" s="915">
        <f t="shared" ref="ES582" si="1449">ER582*(1+ES588)</f>
      </c>
      <c r="ET582" s="915"/>
      <c r="EU582" s="915"/>
      <c r="EV582" s="915"/>
      <c r="EW582" s="915"/>
      <c r="EX582" s="915"/>
    </row>
    <row r="583" spans="1:154">
      <c r="A583" s="3277"/>
      <c r="B583" s="3342" t="s">
        <v>611</v>
      </c>
      <c r="C583" s="2012"/>
      <c r="D583" s="894"/>
      <c r="E583" s="894"/>
      <c r="F583" s="895"/>
      <c r="G583" s="895"/>
      <c r="H583" s="895"/>
      <c r="I583" s="895"/>
      <c r="J583" s="895"/>
      <c r="K583" s="895"/>
      <c r="L583" s="895"/>
      <c r="M583" s="895"/>
      <c r="N583" s="895"/>
      <c r="O583" s="896"/>
      <c r="P583" s="895"/>
      <c r="Q583" s="895"/>
      <c r="R583" s="895"/>
      <c r="S583" s="895"/>
      <c r="T583" s="896"/>
      <c r="U583" s="895"/>
      <c r="V583" s="895"/>
      <c r="W583" s="895"/>
      <c r="X583" s="899"/>
      <c r="Y583" s="896"/>
      <c r="Z583" s="895"/>
      <c r="AA583" s="895"/>
      <c r="AB583" s="895"/>
      <c r="AC583" s="899"/>
      <c r="AD583" s="896"/>
      <c r="AE583" s="895"/>
      <c r="AF583" s="895"/>
      <c r="AG583" s="895"/>
      <c r="AH583" s="899"/>
      <c r="AI583" s="896"/>
      <c r="AJ583" s="895"/>
      <c r="AK583" s="895"/>
      <c r="AL583" s="895"/>
      <c r="AM583" s="899"/>
      <c r="AN583" s="896"/>
      <c r="AO583" s="895"/>
      <c r="AP583" s="895"/>
      <c r="AQ583" s="897"/>
      <c r="AR583" s="899"/>
      <c r="AS583" s="896"/>
      <c r="AT583" s="895"/>
      <c r="AU583" s="895"/>
      <c r="AV583" s="895"/>
      <c r="AW583" s="899"/>
      <c r="AX583" s="896"/>
      <c r="AY583" s="895"/>
      <c r="AZ583" s="895"/>
      <c r="BA583" s="895"/>
      <c r="BB583" s="899"/>
      <c r="BC583" s="896"/>
      <c r="BD583" s="895"/>
      <c r="BE583" s="895"/>
      <c r="BF583" s="895"/>
      <c r="BG583" s="899"/>
      <c r="BH583" s="896"/>
      <c r="BI583" s="895"/>
      <c r="BJ583" s="895"/>
      <c r="BK583" s="895"/>
      <c r="BL583" s="899"/>
      <c r="BM583" s="895"/>
      <c r="BN583" s="895"/>
      <c r="BO583" s="895"/>
      <c r="BP583" s="895"/>
      <c r="BQ583" s="899"/>
      <c r="BR583" s="895"/>
      <c r="BS583" s="895"/>
      <c r="BT583" s="895"/>
      <c r="BU583" s="895"/>
      <c r="BV583" s="899"/>
      <c r="BW583" s="908"/>
      <c r="BX583" s="895"/>
      <c r="BY583" s="895"/>
      <c r="BZ583" s="895"/>
      <c r="CA583" s="899"/>
      <c r="CB583" s="895"/>
      <c r="CC583" s="895"/>
      <c r="CD583" s="895"/>
      <c r="CE583" s="895"/>
      <c r="CF583" s="899"/>
      <c r="CG583" s="895"/>
      <c r="CH583" s="895"/>
      <c r="CI583" s="895"/>
      <c r="CJ583" s="895">
        <f>CJ581+CJ582</f>
      </c>
      <c r="CK583" s="1015"/>
      <c r="CL583" s="1015"/>
      <c r="CM583" s="895"/>
      <c r="CN583" s="895"/>
      <c r="CO583" s="895"/>
      <c r="CP583" s="899"/>
      <c r="CQ583" s="895"/>
      <c r="CR583" s="895"/>
      <c r="CS583" s="895"/>
      <c r="CT583" s="895"/>
      <c r="CU583" s="899"/>
      <c r="CV583" s="895"/>
      <c r="CW583" s="895">
        <f>+SUM(CW581:CW582)</f>
      </c>
      <c r="CX583" s="895">
        <f>+SUM(CX581:CX582)</f>
      </c>
      <c r="CY583" s="895">
        <f>+SUM(CY581:CY582)</f>
      </c>
      <c r="CZ583" s="899"/>
      <c r="DA583" s="895"/>
      <c r="DB583" s="895"/>
      <c r="DC583" s="895"/>
      <c r="DD583" s="1021"/>
      <c r="DE583" s="899"/>
      <c r="DF583" s="895"/>
      <c r="DG583" s="895"/>
      <c r="DH583" s="895"/>
      <c r="DI583" s="915"/>
      <c r="DJ583" s="899"/>
      <c r="DK583" s="895"/>
      <c r="DL583" s="895"/>
      <c r="DM583" s="895"/>
      <c r="DN583" s="915"/>
      <c r="DO583" s="899"/>
      <c r="DP583" s="895"/>
      <c r="DQ583" s="895"/>
      <c r="DR583" s="895"/>
      <c r="DS583" s="915"/>
      <c r="DT583" s="899"/>
      <c r="DU583" s="895"/>
      <c r="DV583" s="895"/>
      <c r="DW583" s="895"/>
      <c r="DX583" s="915"/>
      <c r="DY583" s="899"/>
      <c r="DZ583" s="895"/>
      <c r="EA583" s="895"/>
      <c r="EB583" s="895"/>
      <c r="EC583" s="915"/>
      <c r="ED583" s="899"/>
      <c r="EE583" s="895">
        <f>SUM(EE581:EE582)</f>
      </c>
      <c r="EF583" s="895">
        <f>SUM(EF581:EF582)</f>
      </c>
      <c r="EG583" s="895">
        <f t="shared" ref="EG583" si="1450">SUM(EG581:EG582)</f>
      </c>
      <c r="EH583" s="915">
        <f>SUM(EH581:EH582)</f>
      </c>
      <c r="EI583" s="899">
        <f t="shared" ref="EI583:ES583" si="1451">EI581+EI582</f>
      </c>
      <c r="EJ583" s="899">
        <f t="shared" si="1451"/>
      </c>
      <c r="EK583" s="915">
        <f t="shared" si="1451"/>
      </c>
      <c r="EL583" s="915">
        <f t="shared" si="1451"/>
      </c>
      <c r="EM583" s="915">
        <f t="shared" si="1451"/>
      </c>
      <c r="EN583" s="915">
        <f t="shared" si="1451"/>
      </c>
      <c r="EO583" s="915">
        <f t="shared" si="1451"/>
      </c>
      <c r="EP583" s="915">
        <f t="shared" si="1451"/>
      </c>
      <c r="EQ583" s="915">
        <f t="shared" si="1451"/>
      </c>
      <c r="ER583" s="915">
        <f t="shared" si="1451"/>
      </c>
      <c r="ES583" s="915">
        <f t="shared" si="1451"/>
      </c>
      <c r="ET583" s="915"/>
      <c r="EU583" s="915"/>
      <c r="EV583" s="915"/>
      <c r="EW583" s="915"/>
      <c r="EX583" s="915"/>
    </row>
    <row r="584" spans="1:154" ht="13.5" customHeight="1">
      <c r="A584" s="3277"/>
      <c r="B584" s="1391"/>
      <c r="C584" s="2010"/>
      <c r="D584" s="894"/>
      <c r="E584" s="894"/>
      <c r="F584" s="895"/>
      <c r="G584" s="895"/>
      <c r="H584" s="895"/>
      <c r="I584" s="895"/>
      <c r="J584" s="895"/>
      <c r="K584" s="895"/>
      <c r="L584" s="895"/>
      <c r="M584" s="895"/>
      <c r="N584" s="895"/>
      <c r="O584" s="896"/>
      <c r="P584" s="895"/>
      <c r="Q584" s="895"/>
      <c r="R584" s="895"/>
      <c r="S584" s="895"/>
      <c r="T584" s="896"/>
      <c r="U584" s="895"/>
      <c r="V584" s="895"/>
      <c r="W584" s="895"/>
      <c r="X584" s="899"/>
      <c r="Y584" s="896"/>
      <c r="Z584" s="895"/>
      <c r="AA584" s="895"/>
      <c r="AB584" s="895"/>
      <c r="AC584" s="899"/>
      <c r="AD584" s="896"/>
      <c r="AE584" s="895"/>
      <c r="AF584" s="895"/>
      <c r="AG584" s="895"/>
      <c r="AH584" s="899"/>
      <c r="AI584" s="896"/>
      <c r="AJ584" s="895"/>
      <c r="AK584" s="895"/>
      <c r="AL584" s="895"/>
      <c r="AM584" s="899"/>
      <c r="AN584" s="896"/>
      <c r="AO584" s="895"/>
      <c r="AP584" s="895"/>
      <c r="AQ584" s="897"/>
      <c r="AR584" s="899"/>
      <c r="AS584" s="896"/>
      <c r="AT584" s="895"/>
      <c r="AU584" s="895"/>
      <c r="AV584" s="895"/>
      <c r="AW584" s="899"/>
      <c r="AX584" s="896"/>
      <c r="AY584" s="895"/>
      <c r="AZ584" s="895"/>
      <c r="BA584" s="895"/>
      <c r="BB584" s="899"/>
      <c r="BC584" s="896"/>
      <c r="BD584" s="895"/>
      <c r="BE584" s="895"/>
      <c r="BF584" s="895"/>
      <c r="BG584" s="899"/>
      <c r="BH584" s="896"/>
      <c r="BI584" s="895"/>
      <c r="BJ584" s="895"/>
      <c r="BK584" s="895"/>
      <c r="BL584" s="899"/>
      <c r="BM584" s="895"/>
      <c r="BN584" s="895"/>
      <c r="BO584" s="895"/>
      <c r="BP584" s="895"/>
      <c r="BQ584" s="899"/>
      <c r="BR584" s="895"/>
      <c r="BS584" s="895"/>
      <c r="BT584" s="895"/>
      <c r="BU584" s="895"/>
      <c r="BV584" s="899"/>
      <c r="BW584" s="895"/>
      <c r="BX584" s="895"/>
      <c r="BY584" s="895"/>
      <c r="BZ584" s="895"/>
      <c r="CA584" s="899"/>
      <c r="CB584" s="895"/>
      <c r="CC584" s="895"/>
      <c r="CD584" s="895"/>
      <c r="CE584" s="895"/>
      <c r="CF584" s="899"/>
      <c r="CG584" s="895"/>
      <c r="CH584" s="895"/>
      <c r="CI584" s="895"/>
      <c r="CJ584" s="895"/>
      <c r="CK584" s="899"/>
      <c r="CL584" s="1015"/>
      <c r="CM584" s="895"/>
      <c r="CN584" s="895"/>
      <c r="CO584" s="895"/>
      <c r="CP584" s="899"/>
      <c r="CQ584" s="895"/>
      <c r="CR584" s="895"/>
      <c r="CS584" s="895"/>
      <c r="CT584" s="895"/>
      <c r="CU584" s="899"/>
      <c r="CV584" s="895"/>
      <c r="CW584" s="895"/>
      <c r="CX584" s="895"/>
      <c r="CY584" s="895"/>
      <c r="CZ584" s="899"/>
      <c r="DA584" s="895"/>
      <c r="DB584" s="895"/>
      <c r="DC584" s="895"/>
      <c r="DD584" s="915"/>
      <c r="DE584" s="899"/>
      <c r="DF584" s="895"/>
      <c r="DG584" s="895"/>
      <c r="DH584" s="895"/>
      <c r="DI584" s="915"/>
      <c r="DJ584" s="899"/>
      <c r="DK584" s="895"/>
      <c r="DL584" s="895"/>
      <c r="DM584" s="895"/>
      <c r="DN584" s="915"/>
      <c r="DO584" s="899"/>
      <c r="DP584" s="895"/>
      <c r="DQ584" s="895"/>
      <c r="DR584" s="895"/>
      <c r="DS584" s="915"/>
      <c r="DT584" s="899"/>
      <c r="DU584" s="895"/>
      <c r="DV584" s="895"/>
      <c r="DW584" s="895"/>
      <c r="DX584" s="895"/>
      <c r="DY584" s="899"/>
      <c r="DZ584" s="895"/>
      <c r="EA584" s="895"/>
      <c r="EB584" s="895"/>
      <c r="EC584" s="915"/>
      <c r="ED584" s="899"/>
      <c r="EE584" s="895"/>
      <c r="EF584" s="895"/>
      <c r="EG584" s="895"/>
      <c r="EH584" s="915"/>
      <c r="EI584" s="899"/>
      <c r="EJ584" s="899"/>
      <c r="EK584" s="899"/>
      <c r="EL584" s="915"/>
      <c r="EM584" s="915"/>
      <c r="EN584" s="915"/>
      <c r="EO584" s="915"/>
      <c r="EP584" s="915"/>
      <c r="EQ584" s="915"/>
      <c r="ER584" s="915"/>
      <c r="ES584" s="915"/>
      <c r="ET584" s="915"/>
      <c r="EU584" s="915"/>
      <c r="EV584" s="915"/>
      <c r="EW584" s="915"/>
      <c r="EX584" s="915"/>
    </row>
    <row r="585" spans="1:154">
      <c r="A585" s="3277"/>
      <c r="B585" s="3344" t="s">
        <v>1036</v>
      </c>
      <c r="C585" s="2010"/>
      <c r="D585" s="894"/>
      <c r="E585" s="894"/>
      <c r="F585" s="895"/>
      <c r="G585" s="895"/>
      <c r="H585" s="895"/>
      <c r="I585" s="895"/>
      <c r="J585" s="895"/>
      <c r="K585" s="895"/>
      <c r="L585" s="895"/>
      <c r="M585" s="895"/>
      <c r="N585" s="895"/>
      <c r="O585" s="896"/>
      <c r="P585" s="895"/>
      <c r="Q585" s="895"/>
      <c r="R585" s="895"/>
      <c r="S585" s="895"/>
      <c r="T585" s="896"/>
      <c r="U585" s="895"/>
      <c r="V585" s="895"/>
      <c r="W585" s="895"/>
      <c r="X585" s="899"/>
      <c r="Y585" s="896"/>
      <c r="Z585" s="895"/>
      <c r="AA585" s="895"/>
      <c r="AB585" s="895"/>
      <c r="AC585" s="899"/>
      <c r="AD585" s="896"/>
      <c r="AE585" s="895"/>
      <c r="AF585" s="895"/>
      <c r="AG585" s="895"/>
      <c r="AH585" s="899"/>
      <c r="AI585" s="896"/>
      <c r="AJ585" s="895"/>
      <c r="AK585" s="895"/>
      <c r="AL585" s="895"/>
      <c r="AM585" s="899"/>
      <c r="AN585" s="896"/>
      <c r="AO585" s="895"/>
      <c r="AP585" s="895"/>
      <c r="AQ585" s="897"/>
      <c r="AR585" s="899"/>
      <c r="AS585" s="896"/>
      <c r="AT585" s="895"/>
      <c r="AU585" s="895"/>
      <c r="AV585" s="895"/>
      <c r="AW585" s="899"/>
      <c r="AX585" s="896"/>
      <c r="AY585" s="895"/>
      <c r="AZ585" s="895"/>
      <c r="BA585" s="895"/>
      <c r="BB585" s="899"/>
      <c r="BC585" s="896"/>
      <c r="BD585" s="895"/>
      <c r="BE585" s="895"/>
      <c r="BF585" s="895"/>
      <c r="BG585" s="899"/>
      <c r="BH585" s="896"/>
      <c r="BI585" s="895"/>
      <c r="BJ585" s="895"/>
      <c r="BK585" s="895"/>
      <c r="BL585" s="899"/>
      <c r="BM585" s="895"/>
      <c r="BN585" s="908"/>
      <c r="BO585" s="895"/>
      <c r="BP585" s="895"/>
      <c r="BQ585" s="899"/>
      <c r="BR585" s="895"/>
      <c r="BS585" s="908"/>
      <c r="BT585" s="895"/>
      <c r="BU585" s="895"/>
      <c r="BV585" s="899"/>
      <c r="BW585" s="908"/>
      <c r="BX585" s="908"/>
      <c r="BY585" s="908"/>
      <c r="BZ585" s="908"/>
      <c r="CA585" s="899"/>
      <c r="CB585" s="908"/>
      <c r="CC585" s="895"/>
      <c r="CD585" s="908"/>
      <c r="CE585" s="908"/>
      <c r="CF585" s="899"/>
      <c r="CG585" s="908"/>
      <c r="CH585" s="908"/>
      <c r="CI585" s="908"/>
      <c r="CJ585" s="908"/>
      <c r="CK585" s="899"/>
      <c r="CL585" s="1015"/>
      <c r="CM585" s="895"/>
      <c r="CN585" s="895"/>
      <c r="CO585" s="30"/>
      <c r="CP585" s="909"/>
      <c r="CQ585" s="895"/>
      <c r="CR585" s="895"/>
      <c r="CS585" s="895"/>
      <c r="CT585" s="895"/>
      <c r="CU585" s="909"/>
      <c r="CV585" s="895"/>
      <c r="CW585" s="895"/>
      <c r="CX585" s="895"/>
      <c r="CY585" s="895"/>
      <c r="CZ585" s="909"/>
      <c r="DA585" s="895"/>
      <c r="DB585" s="1512"/>
      <c r="DC585" s="1512"/>
      <c r="DD585" s="1522"/>
      <c r="DE585" s="1520"/>
      <c r="DF585" s="1509"/>
      <c r="DG585" s="1512"/>
      <c r="DH585" s="908"/>
      <c r="DI585" s="1021"/>
      <c r="DJ585" s="909"/>
      <c r="DK585" s="895"/>
      <c r="DL585" s="908"/>
      <c r="DM585" s="908"/>
      <c r="DN585" s="1021"/>
      <c r="DO585" s="909"/>
      <c r="DP585" s="908"/>
      <c r="DQ585" s="908"/>
      <c r="DR585" s="908"/>
      <c r="DS585" s="1021"/>
      <c r="DT585" s="909"/>
      <c r="DU585" s="908"/>
      <c r="DV585" s="908"/>
      <c r="DW585" s="908"/>
      <c r="DX585" s="908"/>
      <c r="DY585" s="909"/>
      <c r="DZ585" s="908"/>
      <c r="EA585" s="908"/>
      <c r="EB585" s="908"/>
      <c r="EC585" s="1021"/>
      <c r="ED585" s="909"/>
      <c r="EE585" s="908"/>
      <c r="EF585" s="908"/>
      <c r="EG585" s="908"/>
      <c r="EH585" s="3548"/>
      <c r="EI585" s="909"/>
      <c r="EJ585" s="909"/>
      <c r="EK585" s="909"/>
      <c r="EL585" s="1021"/>
      <c r="EM585" s="1021"/>
      <c r="EN585" s="1021"/>
      <c r="EO585" s="1021"/>
      <c r="EP585" s="1021"/>
      <c r="EQ585" s="1021"/>
      <c r="ER585" s="1021"/>
      <c r="ES585" s="1021"/>
      <c r="ET585" s="1021"/>
      <c r="EU585" s="1021"/>
      <c r="EV585" s="1021"/>
      <c r="EW585" s="1021"/>
      <c r="EX585" s="1021"/>
    </row>
    <row r="586" spans="1:154">
      <c r="A586" s="3277"/>
      <c r="B586" s="1390" t="s">
        <v>925</v>
      </c>
      <c r="C586" s="2011"/>
      <c r="D586" s="894"/>
      <c r="E586" s="894"/>
      <c r="F586" s="895"/>
      <c r="G586" s="895"/>
      <c r="H586" s="895"/>
      <c r="I586" s="895"/>
      <c r="J586" s="895"/>
      <c r="K586" s="895"/>
      <c r="L586" s="895"/>
      <c r="M586" s="895"/>
      <c r="N586" s="895"/>
      <c r="O586" s="896"/>
      <c r="P586" s="895"/>
      <c r="Q586" s="895"/>
      <c r="R586" s="895"/>
      <c r="S586" s="895"/>
      <c r="T586" s="896"/>
      <c r="U586" s="895"/>
      <c r="V586" s="895"/>
      <c r="W586" s="895"/>
      <c r="X586" s="899"/>
      <c r="Y586" s="896"/>
      <c r="Z586" s="895"/>
      <c r="AA586" s="895"/>
      <c r="AB586" s="895"/>
      <c r="AC586" s="899"/>
      <c r="AD586" s="896"/>
      <c r="AE586" s="895"/>
      <c r="AF586" s="895"/>
      <c r="AG586" s="895"/>
      <c r="AH586" s="899"/>
      <c r="AI586" s="896"/>
      <c r="AJ586" s="895"/>
      <c r="AK586" s="895"/>
      <c r="AL586" s="895"/>
      <c r="AM586" s="899"/>
      <c r="AN586" s="896"/>
      <c r="AO586" s="895"/>
      <c r="AP586" s="895"/>
      <c r="AQ586" s="897"/>
      <c r="AR586" s="899"/>
      <c r="AS586" s="896"/>
      <c r="AT586" s="895"/>
      <c r="AU586" s="895"/>
      <c r="AV586" s="895"/>
      <c r="AW586" s="899"/>
      <c r="AX586" s="896"/>
      <c r="AY586" s="895"/>
      <c r="AZ586" s="895"/>
      <c r="BA586" s="895"/>
      <c r="BB586" s="899"/>
      <c r="BC586" s="896"/>
      <c r="BD586" s="895"/>
      <c r="BE586" s="895"/>
      <c r="BF586" s="895"/>
      <c r="BG586" s="899"/>
      <c r="BH586" s="896"/>
      <c r="BI586" s="895"/>
      <c r="BJ586" s="895"/>
      <c r="BK586" s="895"/>
      <c r="BL586" s="899"/>
      <c r="BM586" s="895"/>
      <c r="BN586" s="895"/>
      <c r="BO586" s="895"/>
      <c r="BP586" s="895"/>
      <c r="BQ586" s="899"/>
      <c r="BR586" s="895"/>
      <c r="BS586" s="895"/>
      <c r="BT586" s="895"/>
      <c r="BU586" s="895"/>
      <c r="BV586" s="899"/>
      <c r="BW586" s="895"/>
      <c r="BX586" s="895"/>
      <c r="BY586" s="895"/>
      <c r="BZ586" s="895"/>
      <c r="CA586" s="899"/>
      <c r="CB586" s="895"/>
      <c r="CC586" s="895"/>
      <c r="CD586" s="895"/>
      <c r="CE586" s="895"/>
      <c r="CF586" s="899"/>
      <c r="CG586" s="895"/>
      <c r="CH586" s="30"/>
      <c r="CI586" s="30"/>
      <c r="CJ586" s="30"/>
      <c r="CK586" s="308"/>
      <c r="CL586" s="30"/>
      <c r="CM586" s="30"/>
      <c r="CN586" s="30"/>
      <c r="CO586" s="30"/>
      <c r="CP586" s="308"/>
      <c r="CQ586" s="30"/>
      <c r="CR586" s="30"/>
      <c r="CS586" s="30"/>
      <c r="CT586" s="30"/>
      <c r="CU586" s="308"/>
      <c r="CV586" s="30"/>
      <c r="CW586" s="30"/>
      <c r="CX586" s="30"/>
      <c r="CY586" s="30"/>
      <c r="CZ586" s="308"/>
      <c r="DA586" s="30"/>
      <c r="DB586" s="1109"/>
      <c r="DC586" s="1109"/>
      <c r="DD586" s="1525"/>
      <c r="DE586" s="1238"/>
      <c r="DF586" s="1539"/>
      <c r="DG586" s="1539"/>
      <c r="DH586" s="41"/>
      <c r="DI586" s="927"/>
      <c r="DJ586" s="927"/>
      <c r="DK586" s="1539"/>
      <c r="DL586" s="1539"/>
      <c r="DM586" s="1539"/>
      <c r="DN586" s="927"/>
      <c r="DO586" s="835"/>
      <c r="DP586" s="1361"/>
      <c r="DQ586" s="1361"/>
      <c r="DR586" s="1361"/>
      <c r="DS586" s="1351"/>
      <c r="DT586" s="928"/>
      <c r="DU586" s="1361"/>
      <c r="DV586" s="1361"/>
      <c r="DW586" s="1361"/>
      <c r="DX586" s="1351"/>
      <c r="DY586" s="928"/>
      <c r="DZ586" s="1703"/>
      <c r="EA586" s="1703"/>
      <c r="EB586" s="1703"/>
      <c r="EC586" s="1703"/>
      <c r="ED586" s="1060"/>
      <c r="EE586" s="1703"/>
      <c r="EF586" s="1703"/>
      <c r="EG586" s="1703"/>
      <c r="EH586" s="1063"/>
      <c r="EI586" s="1060"/>
      <c r="EJ586" s="3422">
        <f t="shared" ref="EJ586:EJ587" si="1452">EJ581/EI581-1</f>
      </c>
      <c r="EK586" s="3421">
        <f t="shared" ref="EK586:EK587" si="1453">EK581/EJ581-1</f>
      </c>
      <c r="EL586" s="3422">
        <f t="shared" ref="EL586:EL587" si="1454">EL581/EK581-1</f>
      </c>
      <c r="EM586" s="3421">
        <f t="shared" ref="EM586:EM587" si="1455">EM581/EL581-1</f>
      </c>
      <c r="EN586" s="3422">
        <f t="shared" ref="EN586:EN587" si="1456">EN581/EM581-1</f>
      </c>
      <c r="EO586" s="3764">
        <v>0.1</v>
      </c>
      <c r="EP586" s="3764">
        <v>0.08</v>
      </c>
      <c r="EQ586" s="3764">
        <v>0.05</v>
      </c>
      <c r="ER586" s="3764">
        <v>0.03</v>
      </c>
      <c r="ES586" s="3764">
        <v>0.03</v>
      </c>
      <c r="ET586" s="657"/>
      <c r="EU586" s="657"/>
      <c r="EV586" s="657"/>
      <c r="EW586" s="657"/>
      <c r="EX586" s="657"/>
    </row>
    <row r="587" spans="1:154">
      <c r="B587" s="1390" t="s">
        <v>412</v>
      </c>
      <c r="C587" s="2011"/>
      <c r="D587" s="894"/>
      <c r="E587" s="894"/>
      <c r="F587" s="895"/>
      <c r="G587" s="895"/>
      <c r="H587" s="895"/>
      <c r="I587" s="895"/>
      <c r="J587" s="895"/>
      <c r="K587" s="895"/>
      <c r="L587" s="895"/>
      <c r="M587" s="895"/>
      <c r="N587" s="895"/>
      <c r="O587" s="896"/>
      <c r="P587" s="895"/>
      <c r="Q587" s="895"/>
      <c r="R587" s="895"/>
      <c r="S587" s="895"/>
      <c r="T587" s="896"/>
      <c r="U587" s="895"/>
      <c r="V587" s="895"/>
      <c r="W587" s="895"/>
      <c r="X587" s="898"/>
      <c r="Y587" s="896"/>
      <c r="Z587" s="895"/>
      <c r="AA587" s="895"/>
      <c r="AB587" s="895"/>
      <c r="AC587" s="898"/>
      <c r="AD587" s="896"/>
      <c r="AE587" s="895"/>
      <c r="AF587" s="895"/>
      <c r="AG587" s="895"/>
      <c r="AH587" s="898"/>
      <c r="AI587" s="896"/>
      <c r="AJ587" s="895"/>
      <c r="AK587" s="895"/>
      <c r="AL587" s="895"/>
      <c r="AM587" s="898"/>
      <c r="AN587" s="896"/>
      <c r="AO587" s="895"/>
      <c r="AP587" s="895"/>
      <c r="AQ587" s="897"/>
      <c r="AR587" s="898"/>
      <c r="AS587" s="896"/>
      <c r="AT587" s="895"/>
      <c r="AU587" s="895"/>
      <c r="AV587" s="895"/>
      <c r="AW587" s="898"/>
      <c r="AX587" s="896"/>
      <c r="AY587" s="895"/>
      <c r="AZ587" s="895"/>
      <c r="BA587" s="895"/>
      <c r="BB587" s="898"/>
      <c r="BC587" s="896"/>
      <c r="BD587" s="895"/>
      <c r="BE587" s="895"/>
      <c r="BF587" s="895"/>
      <c r="BG587" s="898"/>
      <c r="BH587" s="896"/>
      <c r="BI587" s="895"/>
      <c r="BJ587" s="895"/>
      <c r="BK587" s="895"/>
      <c r="BL587" s="898"/>
      <c r="BM587" s="895"/>
      <c r="BN587" s="895"/>
      <c r="BO587" s="895"/>
      <c r="BP587" s="895"/>
      <c r="BQ587" s="898"/>
      <c r="BR587" s="895"/>
      <c r="BS587" s="895"/>
      <c r="BT587" s="895"/>
      <c r="BU587" s="895"/>
      <c r="BV587" s="898"/>
      <c r="BW587" s="895"/>
      <c r="BX587" s="895"/>
      <c r="BY587" s="895"/>
      <c r="BZ587" s="895"/>
      <c r="CA587" s="898"/>
      <c r="CB587" s="895"/>
      <c r="CC587" s="895"/>
      <c r="CD587" s="895"/>
      <c r="CE587" s="895"/>
      <c r="CF587" s="898"/>
      <c r="CG587" s="895"/>
      <c r="CH587" s="30"/>
      <c r="CI587" s="30"/>
      <c r="CJ587" s="30"/>
      <c r="CK587" s="308"/>
      <c r="CL587" s="30"/>
      <c r="CM587" s="30"/>
      <c r="CN587" s="30"/>
      <c r="CO587" s="30"/>
      <c r="CP587" s="308"/>
      <c r="CQ587" s="30"/>
      <c r="CR587" s="30"/>
      <c r="CS587" s="30"/>
      <c r="CT587" s="30"/>
      <c r="CU587" s="308"/>
      <c r="CV587" s="30"/>
      <c r="CW587" s="30"/>
      <c r="CX587" s="30"/>
      <c r="CY587" s="30"/>
      <c r="CZ587" s="308"/>
      <c r="DA587" s="30"/>
      <c r="DB587" s="1526"/>
      <c r="DC587" s="1526"/>
      <c r="DD587" s="1534"/>
      <c r="DE587" s="1535"/>
      <c r="DF587" s="1539"/>
      <c r="DG587" s="1539"/>
      <c r="DH587" s="41"/>
      <c r="DI587" s="927"/>
      <c r="DJ587" s="927"/>
      <c r="DK587" s="1539"/>
      <c r="DL587" s="1539"/>
      <c r="DM587" s="1539"/>
      <c r="DN587" s="927"/>
      <c r="DO587" s="309"/>
      <c r="DP587" s="1361"/>
      <c r="DQ587" s="1361"/>
      <c r="DR587" s="1361"/>
      <c r="DS587" s="1351"/>
      <c r="DT587" s="928"/>
      <c r="DU587" s="1361"/>
      <c r="DV587" s="1361"/>
      <c r="DW587" s="1361"/>
      <c r="DX587" s="1351"/>
      <c r="DY587" s="928"/>
      <c r="DZ587" s="30"/>
      <c r="EA587" s="926"/>
      <c r="EB587" s="926"/>
      <c r="EC587" s="926"/>
      <c r="ED587" s="1060"/>
      <c r="EE587" s="30"/>
      <c r="EF587" s="926"/>
      <c r="EG587" s="926"/>
      <c r="EH587" s="928"/>
      <c r="EI587" s="1060"/>
      <c r="EJ587" s="3422">
        <f t="shared" si="1452"/>
      </c>
      <c r="EK587" s="3421">
        <f t="shared" si="1453"/>
      </c>
      <c r="EL587" s="3422">
        <f t="shared" si="1454"/>
      </c>
      <c r="EM587" s="3421">
        <f t="shared" si="1455"/>
      </c>
      <c r="EN587" s="3422">
        <f t="shared" si="1456"/>
      </c>
      <c r="EO587" s="3764">
        <v>0.1</v>
      </c>
      <c r="EP587" s="3764">
        <v>0.08</v>
      </c>
      <c r="EQ587" s="3764">
        <v>0.05</v>
      </c>
      <c r="ER587" s="3764">
        <v>0.03</v>
      </c>
      <c r="ES587" s="3764">
        <v>0.03</v>
      </c>
      <c r="ET587" s="409"/>
      <c r="EU587" s="409"/>
      <c r="EV587" s="409"/>
      <c r="EW587" s="409"/>
      <c r="EX587" s="409"/>
    </row>
    <row r="588" spans="1:154">
      <c r="B588" s="1390" t="s">
        <v>256</v>
      </c>
      <c r="C588" s="2010"/>
      <c r="D588" s="894"/>
      <c r="E588" s="894"/>
      <c r="F588" s="895"/>
      <c r="G588" s="895"/>
      <c r="H588" s="895"/>
      <c r="I588" s="895"/>
      <c r="J588" s="895"/>
      <c r="K588" s="895"/>
      <c r="L588" s="895"/>
      <c r="M588" s="895"/>
      <c r="N588" s="895"/>
      <c r="O588" s="896"/>
      <c r="P588" s="895"/>
      <c r="Q588" s="895"/>
      <c r="R588" s="895"/>
      <c r="S588" s="895"/>
      <c r="T588" s="896"/>
      <c r="U588" s="895"/>
      <c r="V588" s="895"/>
      <c r="W588" s="895"/>
      <c r="X588" s="899"/>
      <c r="Y588" s="896"/>
      <c r="Z588" s="895"/>
      <c r="AA588" s="895"/>
      <c r="AB588" s="895"/>
      <c r="AC588" s="899"/>
      <c r="AD588" s="896"/>
      <c r="AE588" s="895"/>
      <c r="AF588" s="895"/>
      <c r="AG588" s="895"/>
      <c r="AH588" s="899"/>
      <c r="AI588" s="896"/>
      <c r="AJ588" s="895"/>
      <c r="AK588" s="895"/>
      <c r="AL588" s="895"/>
      <c r="AM588" s="899"/>
      <c r="AN588" s="896"/>
      <c r="AO588" s="895"/>
      <c r="AP588" s="895"/>
      <c r="AQ588" s="897"/>
      <c r="AR588" s="899"/>
      <c r="AS588" s="896"/>
      <c r="AT588" s="895"/>
      <c r="AU588" s="895"/>
      <c r="AV588" s="895"/>
      <c r="AW588" s="899"/>
      <c r="AX588" s="896"/>
      <c r="AY588" s="895"/>
      <c r="AZ588" s="895"/>
      <c r="BA588" s="895"/>
      <c r="BB588" s="899"/>
      <c r="BC588" s="896"/>
      <c r="BD588" s="895"/>
      <c r="BE588" s="895"/>
      <c r="BF588" s="895"/>
      <c r="BG588" s="899"/>
      <c r="BH588" s="896"/>
      <c r="BI588" s="895"/>
      <c r="BJ588" s="895"/>
      <c r="BK588" s="895"/>
      <c r="BL588" s="899"/>
      <c r="BM588" s="895"/>
      <c r="BN588" s="895"/>
      <c r="BO588" s="895"/>
      <c r="BP588" s="895"/>
      <c r="BQ588" s="899"/>
      <c r="BR588" s="895"/>
      <c r="BS588" s="895"/>
      <c r="BT588" s="895"/>
      <c r="BU588" s="895"/>
      <c r="BV588" s="899"/>
      <c r="BW588" s="908"/>
      <c r="BX588" s="895"/>
      <c r="BY588" s="895"/>
      <c r="BZ588" s="895"/>
      <c r="CA588" s="899"/>
      <c r="CB588" s="895"/>
      <c r="CC588" s="895"/>
      <c r="CD588" s="895"/>
      <c r="CE588" s="895"/>
      <c r="CF588" s="899"/>
      <c r="CG588" s="895"/>
      <c r="CH588" s="361"/>
      <c r="CI588" s="361"/>
      <c r="CJ588" s="361"/>
      <c r="CK588" s="315"/>
      <c r="CL588" s="361"/>
      <c r="CM588" s="361"/>
      <c r="CN588" s="361"/>
      <c r="CO588" s="361"/>
      <c r="CP588" s="316"/>
      <c r="CQ588" s="361"/>
      <c r="CR588" s="361"/>
      <c r="CS588" s="361"/>
      <c r="CT588" s="361"/>
      <c r="CU588" s="316"/>
      <c r="CV588" s="361"/>
      <c r="CW588" s="361"/>
      <c r="CX588" s="361"/>
      <c r="CY588" s="361"/>
      <c r="CZ588" s="316"/>
      <c r="DA588" s="361"/>
      <c r="DB588" s="1109"/>
      <c r="DC588" s="1109"/>
      <c r="DD588" s="1525"/>
      <c r="DE588" s="1238"/>
      <c r="DF588" s="1109"/>
      <c r="DG588" s="1230"/>
      <c r="DH588" s="925"/>
      <c r="DI588" s="927"/>
      <c r="DJ588" s="927"/>
      <c r="DK588" s="1109"/>
      <c r="DL588" s="1109"/>
      <c r="DM588" s="925"/>
      <c r="DN588" s="927"/>
      <c r="DO588" s="835"/>
      <c r="DP588" s="926"/>
      <c r="DQ588" s="2185"/>
      <c r="DR588" s="2185"/>
      <c r="DS588" s="3343"/>
      <c r="DT588" s="928"/>
      <c r="DU588" s="926"/>
      <c r="DV588" s="926"/>
      <c r="DW588" s="926"/>
      <c r="DX588" s="926"/>
      <c r="DY588" s="1060"/>
      <c r="DZ588" s="1703"/>
      <c r="EA588" s="1703"/>
      <c r="EB588" s="1703"/>
      <c r="EC588" s="1703"/>
      <c r="ED588" s="1060"/>
      <c r="EE588" s="1703"/>
      <c r="EF588" s="1703"/>
      <c r="EG588" s="1703"/>
      <c r="EH588" s="1063"/>
      <c r="EI588" s="1060"/>
      <c r="EJ588" s="3422"/>
      <c r="EK588" s="3421"/>
      <c r="EL588" s="3422"/>
      <c r="EM588" s="3421"/>
      <c r="EN588" s="3422"/>
      <c r="EO588" s="3764">
        <v>0.1</v>
      </c>
      <c r="EP588" s="3764">
        <v>0.08</v>
      </c>
      <c r="EQ588" s="3764">
        <v>0.05</v>
      </c>
      <c r="ER588" s="3764">
        <v>0.03</v>
      </c>
      <c r="ES588" s="3764">
        <v>0.03</v>
      </c>
      <c r="ET588" s="657"/>
      <c r="EU588" s="657"/>
      <c r="EV588" s="657"/>
      <c r="EW588" s="657"/>
      <c r="EX588" s="657"/>
    </row>
    <row r="589" spans="1:154">
      <c r="B589" s="1390" t="s">
        <v>611</v>
      </c>
      <c r="C589" s="2010"/>
      <c r="D589" s="894"/>
      <c r="E589" s="894"/>
      <c r="F589" s="895"/>
      <c r="G589" s="895"/>
      <c r="H589" s="895"/>
      <c r="I589" s="895"/>
      <c r="J589" s="895"/>
      <c r="K589" s="895"/>
      <c r="L589" s="895"/>
      <c r="M589" s="895"/>
      <c r="N589" s="895"/>
      <c r="O589" s="896"/>
      <c r="P589" s="895"/>
      <c r="Q589" s="895"/>
      <c r="R589" s="895"/>
      <c r="S589" s="895"/>
      <c r="T589" s="896"/>
      <c r="U589" s="895"/>
      <c r="V589" s="895"/>
      <c r="W589" s="895"/>
      <c r="X589" s="899"/>
      <c r="Y589" s="896"/>
      <c r="Z589" s="895"/>
      <c r="AA589" s="895"/>
      <c r="AB589" s="895"/>
      <c r="AC589" s="899"/>
      <c r="AD589" s="896"/>
      <c r="AE589" s="895"/>
      <c r="AF589" s="895"/>
      <c r="AG589" s="895"/>
      <c r="AH589" s="899"/>
      <c r="AI589" s="896"/>
      <c r="AJ589" s="895"/>
      <c r="AK589" s="895"/>
      <c r="AL589" s="895"/>
      <c r="AM589" s="899"/>
      <c r="AN589" s="896"/>
      <c r="AO589" s="895"/>
      <c r="AP589" s="895"/>
      <c r="AQ589" s="897"/>
      <c r="AR589" s="899"/>
      <c r="AS589" s="896"/>
      <c r="AT589" s="895"/>
      <c r="AU589" s="895"/>
      <c r="AV589" s="895"/>
      <c r="AW589" s="899"/>
      <c r="AX589" s="896"/>
      <c r="AY589" s="895"/>
      <c r="AZ589" s="895"/>
      <c r="BA589" s="895"/>
      <c r="BB589" s="899"/>
      <c r="BC589" s="896"/>
      <c r="BD589" s="895"/>
      <c r="BE589" s="895"/>
      <c r="BF589" s="895"/>
      <c r="BG589" s="899"/>
      <c r="BH589" s="896"/>
      <c r="BI589" s="895"/>
      <c r="BJ589" s="895"/>
      <c r="BK589" s="895"/>
      <c r="BL589" s="899"/>
      <c r="BM589" s="895"/>
      <c r="BN589" s="895"/>
      <c r="BO589" s="895"/>
      <c r="BP589" s="895"/>
      <c r="BQ589" s="899"/>
      <c r="BR589" s="895"/>
      <c r="BS589" s="895"/>
      <c r="BT589" s="895"/>
      <c r="BU589" s="895"/>
      <c r="BV589" s="899"/>
      <c r="BW589" s="908"/>
      <c r="BX589" s="895"/>
      <c r="BY589" s="895"/>
      <c r="BZ589" s="895"/>
      <c r="CA589" s="899"/>
      <c r="CB589" s="895"/>
      <c r="CC589" s="895"/>
      <c r="CD589" s="895"/>
      <c r="CE589" s="895"/>
      <c r="CF589" s="899"/>
      <c r="CG589" s="895"/>
      <c r="CH589" s="30"/>
      <c r="CI589" s="30"/>
      <c r="CJ589" s="30"/>
      <c r="CK589" s="308"/>
      <c r="CL589" s="30"/>
      <c r="CM589" s="30"/>
      <c r="CN589" s="30"/>
      <c r="CO589" s="30"/>
      <c r="CP589" s="308"/>
      <c r="CQ589" s="30"/>
      <c r="CR589" s="30"/>
      <c r="CS589" s="30"/>
      <c r="CT589" s="30"/>
      <c r="CU589" s="308"/>
      <c r="CV589" s="30"/>
      <c r="CW589" s="30"/>
      <c r="CX589" s="30"/>
      <c r="CY589" s="30"/>
      <c r="CZ589" s="308"/>
      <c r="DA589" s="30"/>
      <c r="DB589" s="1219"/>
      <c r="DC589" s="1219"/>
      <c r="DD589" s="1235"/>
      <c r="DE589" s="1535"/>
      <c r="DF589" s="1230"/>
      <c r="DG589" s="1539"/>
      <c r="DH589" s="925"/>
      <c r="DI589" s="927"/>
      <c r="DJ589" s="927"/>
      <c r="DK589" s="1230"/>
      <c r="DL589" s="1230"/>
      <c r="DM589" s="925"/>
      <c r="DN589" s="927"/>
      <c r="DO589" s="309"/>
      <c r="DP589" s="958"/>
      <c r="DQ589" s="1219"/>
      <c r="DR589" s="1219"/>
      <c r="DS589" s="928"/>
      <c r="DT589" s="308"/>
      <c r="DU589" s="958"/>
      <c r="DV589" s="926"/>
      <c r="DW589" s="926"/>
      <c r="DX589" s="928"/>
      <c r="DY589" s="308"/>
      <c r="DZ589" s="926"/>
      <c r="EA589" s="926"/>
      <c r="EB589" s="926"/>
      <c r="EC589" s="928"/>
      <c r="ED589" s="308"/>
      <c r="EE589" s="926"/>
      <c r="EF589" s="926"/>
      <c r="EG589" s="926"/>
      <c r="EH589" s="928"/>
      <c r="EI589" s="308"/>
      <c r="EJ589" s="3424">
        <f>EJ583/EI583-1</f>
      </c>
      <c r="EK589" s="3424">
        <f t="shared" ref="EK589" si="1457">EK583/EJ583-1</f>
      </c>
      <c r="EL589" s="3424">
        <f t="shared" ref="EL589" si="1458">EL583/EK583-1</f>
      </c>
      <c r="EM589" s="3424">
        <f t="shared" ref="EM589" si="1459">EM583/EL583-1</f>
      </c>
      <c r="EN589" s="3422">
        <f t="shared" ref="EN589" si="1460">EN583/EM583-1</f>
      </c>
      <c r="EO589" s="3422">
        <f t="shared" ref="EO589" si="1461">EO583/EN583-1</f>
      </c>
      <c r="EP589" s="3422">
        <f t="shared" ref="EP589" si="1462">EP583/EO583-1</f>
      </c>
      <c r="EQ589" s="3422">
        <f t="shared" ref="EQ589" si="1463">EQ583/EP583-1</f>
      </c>
      <c r="ER589" s="3422">
        <f t="shared" ref="ER589" si="1464">ER583/EQ583-1</f>
      </c>
      <c r="ES589" s="3422">
        <f t="shared" ref="ES589" si="1465">ES583/ER583-1</f>
      </c>
      <c r="ET589" s="409"/>
      <c r="EU589" s="409"/>
      <c r="EV589" s="409"/>
      <c r="EW589" s="409"/>
      <c r="EX589" s="409"/>
    </row>
    <row r="590" spans="1:154">
      <c r="B590" s="1390"/>
      <c r="C590" s="2010"/>
      <c r="D590" s="894"/>
      <c r="E590" s="894"/>
      <c r="F590" s="895"/>
      <c r="G590" s="895"/>
      <c r="H590" s="895"/>
      <c r="I590" s="895"/>
      <c r="J590" s="895"/>
      <c r="K590" s="895"/>
      <c r="L590" s="895"/>
      <c r="M590" s="895"/>
      <c r="N590" s="895"/>
      <c r="O590" s="896"/>
      <c r="P590" s="895"/>
      <c r="Q590" s="895"/>
      <c r="R590" s="895"/>
      <c r="S590" s="895"/>
      <c r="T590" s="896"/>
      <c r="U590" s="895"/>
      <c r="V590" s="895"/>
      <c r="W590" s="895"/>
      <c r="X590" s="899"/>
      <c r="Y590" s="896"/>
      <c r="Z590" s="895"/>
      <c r="AA590" s="895"/>
      <c r="AB590" s="895"/>
      <c r="AC590" s="899"/>
      <c r="AD590" s="896"/>
      <c r="AE590" s="895"/>
      <c r="AF590" s="895"/>
      <c r="AG590" s="895"/>
      <c r="AH590" s="899"/>
      <c r="AI590" s="896"/>
      <c r="AJ590" s="895"/>
      <c r="AK590" s="895"/>
      <c r="AL590" s="895"/>
      <c r="AM590" s="899"/>
      <c r="AN590" s="896"/>
      <c r="AO590" s="895"/>
      <c r="AP590" s="895"/>
      <c r="AQ590" s="897"/>
      <c r="AR590" s="899"/>
      <c r="AS590" s="896"/>
      <c r="AT590" s="895"/>
      <c r="AU590" s="895"/>
      <c r="AV590" s="895"/>
      <c r="AW590" s="899"/>
      <c r="AX590" s="896"/>
      <c r="AY590" s="895"/>
      <c r="AZ590" s="895"/>
      <c r="BA590" s="895"/>
      <c r="BB590" s="899"/>
      <c r="BC590" s="896"/>
      <c r="BD590" s="895"/>
      <c r="BE590" s="895"/>
      <c r="BF590" s="895"/>
      <c r="BG590" s="899"/>
      <c r="BH590" s="896"/>
      <c r="BI590" s="895"/>
      <c r="BJ590" s="895"/>
      <c r="BK590" s="895"/>
      <c r="BL590" s="899"/>
      <c r="BM590" s="895"/>
      <c r="BN590" s="895"/>
      <c r="BO590" s="895"/>
      <c r="BP590" s="895"/>
      <c r="BQ590" s="899"/>
      <c r="BR590" s="895"/>
      <c r="BS590" s="895"/>
      <c r="BT590" s="895"/>
      <c r="BU590" s="895"/>
      <c r="BV590" s="899"/>
      <c r="BW590" s="908"/>
      <c r="BX590" s="895"/>
      <c r="BY590" s="895"/>
      <c r="BZ590" s="895"/>
      <c r="CA590" s="899"/>
      <c r="CB590" s="895"/>
      <c r="CC590" s="895"/>
      <c r="CD590" s="895"/>
      <c r="CE590" s="895"/>
      <c r="CF590" s="899"/>
      <c r="CG590" s="895"/>
      <c r="CH590" s="30"/>
      <c r="CI590" s="30"/>
      <c r="CJ590" s="30"/>
      <c r="CK590" s="308"/>
      <c r="CL590" s="30"/>
      <c r="CM590" s="30"/>
      <c r="CN590" s="30"/>
      <c r="CO590" s="30"/>
      <c r="CP590" s="308"/>
      <c r="CQ590" s="30"/>
      <c r="CR590" s="30"/>
      <c r="CS590" s="30"/>
      <c r="CT590" s="30"/>
      <c r="CU590" s="308"/>
      <c r="CV590" s="30"/>
      <c r="CW590" s="30"/>
      <c r="CX590" s="30"/>
      <c r="CY590" s="30"/>
      <c r="CZ590" s="308"/>
      <c r="DA590" s="30"/>
      <c r="DB590" s="1219"/>
      <c r="DC590" s="1219"/>
      <c r="DD590" s="1235"/>
      <c r="DE590" s="1535"/>
      <c r="DF590" s="1230"/>
      <c r="DG590" s="1539"/>
      <c r="DH590" s="925"/>
      <c r="DI590" s="927"/>
      <c r="DJ590" s="927"/>
      <c r="DK590" s="1230"/>
      <c r="DL590" s="1230"/>
      <c r="DM590" s="925"/>
      <c r="DN590" s="927"/>
      <c r="DO590" s="309"/>
      <c r="DP590" s="926"/>
      <c r="DQ590" s="1219"/>
      <c r="DR590" s="1219"/>
      <c r="DS590" s="928"/>
      <c r="DT590" s="308"/>
      <c r="DU590" s="926"/>
      <c r="DV590" s="926"/>
      <c r="DW590" s="926"/>
      <c r="DX590" s="928"/>
      <c r="DY590" s="308"/>
      <c r="DZ590" s="926"/>
      <c r="EA590" s="926"/>
      <c r="EB590" s="926"/>
      <c r="EC590" s="928"/>
      <c r="ED590" s="308"/>
      <c r="EE590" s="926"/>
      <c r="EF590" s="926"/>
      <c r="EG590" s="926"/>
      <c r="EH590" s="928"/>
      <c r="EI590" s="830"/>
      <c r="EJ590" s="308"/>
      <c r="EK590" s="308"/>
      <c r="EL590" s="308"/>
      <c r="EM590" s="308"/>
      <c r="EN590" s="308"/>
      <c r="EO590" s="409"/>
      <c r="EP590" s="409"/>
      <c r="EQ590" s="409"/>
      <c r="ER590" s="409"/>
      <c r="ES590" s="409"/>
      <c r="ET590" s="409"/>
      <c r="EU590" s="409"/>
      <c r="EV590" s="409"/>
      <c r="EW590" s="409"/>
      <c r="EX590" s="409"/>
    </row>
    <row r="591" spans="1:154">
      <c r="B591" s="2684" t="s">
        <v>1052</v>
      </c>
      <c r="C591" s="2010"/>
      <c r="D591" s="894"/>
      <c r="E591" s="894"/>
      <c r="F591" s="895"/>
      <c r="G591" s="895"/>
      <c r="H591" s="895"/>
      <c r="I591" s="895"/>
      <c r="J591" s="895"/>
      <c r="K591" s="895"/>
      <c r="L591" s="895"/>
      <c r="M591" s="895"/>
      <c r="N591" s="895"/>
      <c r="O591" s="896"/>
      <c r="P591" s="895"/>
      <c r="Q591" s="895"/>
      <c r="R591" s="895"/>
      <c r="S591" s="895"/>
      <c r="T591" s="896"/>
      <c r="U591" s="895"/>
      <c r="V591" s="895"/>
      <c r="W591" s="895"/>
      <c r="X591" s="899"/>
      <c r="Y591" s="896"/>
      <c r="Z591" s="895"/>
      <c r="AA591" s="895"/>
      <c r="AB591" s="895"/>
      <c r="AC591" s="899"/>
      <c r="AD591" s="896"/>
      <c r="AE591" s="895"/>
      <c r="AF591" s="895"/>
      <c r="AG591" s="895"/>
      <c r="AH591" s="899"/>
      <c r="AI591" s="896"/>
      <c r="AJ591" s="895"/>
      <c r="AK591" s="895"/>
      <c r="AL591" s="895"/>
      <c r="AM591" s="899"/>
      <c r="AN591" s="896"/>
      <c r="AO591" s="895"/>
      <c r="AP591" s="895"/>
      <c r="AQ591" s="897"/>
      <c r="AR591" s="899"/>
      <c r="AS591" s="896"/>
      <c r="AT591" s="895"/>
      <c r="AU591" s="895"/>
      <c r="AV591" s="895"/>
      <c r="AW591" s="899"/>
      <c r="AX591" s="896"/>
      <c r="AY591" s="895"/>
      <c r="AZ591" s="895"/>
      <c r="BA591" s="895"/>
      <c r="BB591" s="899"/>
      <c r="BC591" s="896"/>
      <c r="BD591" s="895"/>
      <c r="BE591" s="895"/>
      <c r="BF591" s="895"/>
      <c r="BG591" s="899"/>
      <c r="BH591" s="896"/>
      <c r="BI591" s="895"/>
      <c r="BJ591" s="895"/>
      <c r="BK591" s="895"/>
      <c r="BL591" s="899"/>
      <c r="BM591" s="895"/>
      <c r="BN591" s="895"/>
      <c r="BO591" s="895"/>
      <c r="BP591" s="895"/>
      <c r="BQ591" s="899"/>
      <c r="BR591" s="895"/>
      <c r="BS591" s="895"/>
      <c r="BT591" s="895"/>
      <c r="BU591" s="895"/>
      <c r="BV591" s="899"/>
      <c r="BW591" s="908"/>
      <c r="BX591" s="895"/>
      <c r="BY591" s="895"/>
      <c r="BZ591" s="895"/>
      <c r="CA591" s="899"/>
      <c r="CB591" s="895"/>
      <c r="CC591" s="895"/>
      <c r="CD591" s="895"/>
      <c r="CE591" s="895"/>
      <c r="CF591" s="899"/>
      <c r="CG591" s="895"/>
      <c r="CH591" s="30"/>
      <c r="CI591" s="30"/>
      <c r="CJ591" s="30"/>
      <c r="CK591" s="308"/>
      <c r="CL591" s="30"/>
      <c r="CM591" s="30"/>
      <c r="CN591" s="30"/>
      <c r="CO591" s="30"/>
      <c r="CP591" s="308"/>
      <c r="CQ591" s="30"/>
      <c r="CR591" s="30"/>
      <c r="CS591" s="30"/>
      <c r="CT591" s="30"/>
      <c r="CU591" s="308"/>
      <c r="CV591" s="30"/>
      <c r="CW591" s="30"/>
      <c r="CX591" s="30"/>
      <c r="CY591" s="30"/>
      <c r="CZ591" s="308"/>
      <c r="DA591" s="30"/>
      <c r="DB591" s="1219"/>
      <c r="DC591" s="1219"/>
      <c r="DD591" s="1235"/>
      <c r="DE591" s="1535"/>
      <c r="DF591" s="1230"/>
      <c r="DG591" s="1539"/>
      <c r="DH591" s="925"/>
      <c r="DI591" s="927"/>
      <c r="DJ591" s="927"/>
      <c r="DK591" s="1230"/>
      <c r="DL591" s="1230"/>
      <c r="DM591" s="925"/>
      <c r="DN591" s="927"/>
      <c r="DO591" s="309"/>
      <c r="DP591" s="926"/>
      <c r="DQ591" s="1219"/>
      <c r="DR591" s="1219"/>
      <c r="DS591" s="928"/>
      <c r="DT591" s="308"/>
      <c r="DU591" s="926"/>
      <c r="DV591" s="926"/>
      <c r="DW591" s="926"/>
      <c r="DX591" s="928"/>
      <c r="DY591" s="308"/>
      <c r="DZ591" s="926"/>
      <c r="EA591" s="926"/>
      <c r="EB591" s="926"/>
      <c r="EC591" s="928"/>
      <c r="ED591" s="308"/>
      <c r="EE591" s="926"/>
      <c r="EF591" s="926"/>
      <c r="EG591" s="926"/>
      <c r="EH591" s="928"/>
      <c r="EI591" s="830"/>
      <c r="EJ591" s="308"/>
      <c r="EK591" s="308"/>
      <c r="EL591" s="308"/>
      <c r="EM591" s="308"/>
      <c r="EN591" s="308"/>
      <c r="EO591" s="409"/>
      <c r="EP591" s="409"/>
      <c r="EQ591" s="409"/>
      <c r="ER591" s="409"/>
      <c r="ES591" s="409"/>
      <c r="ET591" s="409"/>
      <c r="EU591" s="409"/>
      <c r="EV591" s="409"/>
      <c r="EW591" s="409"/>
      <c r="EX591" s="409"/>
    </row>
    <row r="592" spans="1:154">
      <c r="B592" s="906" t="s">
        <v>153</v>
      </c>
      <c r="C592" s="2010"/>
      <c r="D592" s="894"/>
      <c r="E592" s="894"/>
      <c r="F592" s="895"/>
      <c r="G592" s="895"/>
      <c r="H592" s="895"/>
      <c r="I592" s="895"/>
      <c r="J592" s="895"/>
      <c r="K592" s="895"/>
      <c r="L592" s="895"/>
      <c r="M592" s="895"/>
      <c r="N592" s="895"/>
      <c r="O592" s="896"/>
      <c r="P592" s="895"/>
      <c r="Q592" s="895"/>
      <c r="R592" s="895"/>
      <c r="S592" s="895"/>
      <c r="T592" s="896"/>
      <c r="U592" s="895"/>
      <c r="V592" s="895"/>
      <c r="W592" s="895"/>
      <c r="X592" s="899"/>
      <c r="Y592" s="896"/>
      <c r="Z592" s="895"/>
      <c r="AA592" s="895"/>
      <c r="AB592" s="895"/>
      <c r="AC592" s="899"/>
      <c r="AD592" s="896"/>
      <c r="AE592" s="895"/>
      <c r="AF592" s="895"/>
      <c r="AG592" s="895"/>
      <c r="AH592" s="899"/>
      <c r="AI592" s="896"/>
      <c r="AJ592" s="895"/>
      <c r="AK592" s="895"/>
      <c r="AL592" s="895"/>
      <c r="AM592" s="899"/>
      <c r="AN592" s="896"/>
      <c r="AO592" s="895"/>
      <c r="AP592" s="895"/>
      <c r="AQ592" s="897"/>
      <c r="AR592" s="899"/>
      <c r="AS592" s="896"/>
      <c r="AT592" s="895"/>
      <c r="AU592" s="895"/>
      <c r="AV592" s="895"/>
      <c r="AW592" s="899"/>
      <c r="AX592" s="896"/>
      <c r="AY592" s="895"/>
      <c r="AZ592" s="895"/>
      <c r="BA592" s="895"/>
      <c r="BB592" s="899"/>
      <c r="BC592" s="896"/>
      <c r="BD592" s="895"/>
      <c r="BE592" s="895"/>
      <c r="BF592" s="895"/>
      <c r="BG592" s="899"/>
      <c r="BH592" s="896"/>
      <c r="BI592" s="895"/>
      <c r="BJ592" s="895"/>
      <c r="BK592" s="895"/>
      <c r="BL592" s="899"/>
      <c r="BM592" s="895"/>
      <c r="BN592" s="895"/>
      <c r="BO592" s="895"/>
      <c r="BP592" s="895"/>
      <c r="BQ592" s="899"/>
      <c r="BR592" s="895"/>
      <c r="BS592" s="895"/>
      <c r="BT592" s="895"/>
      <c r="BU592" s="895"/>
      <c r="BV592" s="899"/>
      <c r="BW592" s="908"/>
      <c r="BX592" s="895"/>
      <c r="BY592" s="895"/>
      <c r="BZ592" s="895"/>
      <c r="CA592" s="899"/>
      <c r="CB592" s="895"/>
      <c r="CC592" s="895"/>
      <c r="CD592" s="895"/>
      <c r="CE592" s="895"/>
      <c r="CF592" s="899"/>
      <c r="CG592" s="895"/>
      <c r="CH592" s="30"/>
      <c r="CI592" s="30"/>
      <c r="CJ592" s="30"/>
      <c r="CK592" s="308"/>
      <c r="CL592" s="30"/>
      <c r="CM592" s="30"/>
      <c r="CN592" s="30"/>
      <c r="CO592" s="30"/>
      <c r="CP592" s="308"/>
      <c r="CQ592" s="30"/>
      <c r="CR592" s="30"/>
      <c r="CS592" s="30"/>
      <c r="CT592" s="30"/>
      <c r="CU592" s="308"/>
      <c r="CV592" s="30"/>
      <c r="CW592" s="30"/>
      <c r="CX592" s="30"/>
      <c r="CY592" s="30"/>
      <c r="CZ592" s="308"/>
      <c r="DA592" s="30"/>
      <c r="DB592" s="1219"/>
      <c r="DC592" s="1219"/>
      <c r="DD592" s="1235"/>
      <c r="DE592" s="1535"/>
      <c r="DF592" s="1230"/>
      <c r="DG592" s="1539"/>
      <c r="DH592" s="925"/>
      <c r="DI592" s="927"/>
      <c r="DJ592" s="927"/>
      <c r="DK592" s="1230"/>
      <c r="DL592" s="1230"/>
      <c r="DM592" s="925"/>
      <c r="DN592" s="927"/>
      <c r="DO592" s="309"/>
      <c r="DP592" s="926"/>
      <c r="DQ592" s="1219"/>
      <c r="DR592" s="1219"/>
      <c r="DS592" s="928"/>
      <c r="DT592" s="308"/>
      <c r="DU592" s="926"/>
      <c r="DV592" s="926"/>
      <c r="DW592" s="926"/>
      <c r="DX592" s="928"/>
      <c r="DY592" s="308"/>
      <c r="DZ592" s="926"/>
      <c r="EA592" s="926"/>
      <c r="EB592" s="926"/>
      <c r="EC592" s="928"/>
      <c r="ED592" s="308"/>
      <c r="EE592" s="3560">
        <v>113</v>
      </c>
      <c r="EF592" s="3560">
        <v>139</v>
      </c>
      <c r="EG592" s="3560">
        <v>136</v>
      </c>
      <c r="EH592" s="3560">
        <v>150</v>
      </c>
      <c r="EI592" s="2449">
        <f>SUM(EE592:EH592)</f>
      </c>
      <c r="EJ592" s="2449">
        <f t="shared" ref="EJ592:ES592" si="1466">EJ604+EJ615</f>
      </c>
      <c r="EK592" s="2449">
        <f t="shared" si="1466"/>
      </c>
      <c r="EL592" s="2449">
        <f t="shared" si="1466"/>
      </c>
      <c r="EM592" s="2449">
        <f t="shared" si="1466"/>
      </c>
      <c r="EN592" s="2449">
        <f t="shared" si="1466"/>
      </c>
      <c r="EO592" s="2449">
        <f t="shared" si="1466"/>
      </c>
      <c r="EP592" s="2449">
        <f t="shared" si="1466"/>
      </c>
      <c r="EQ592" s="2449">
        <f t="shared" si="1466"/>
      </c>
      <c r="ER592" s="2449">
        <f t="shared" si="1466"/>
      </c>
      <c r="ES592" s="2449">
        <f t="shared" si="1466"/>
      </c>
      <c r="ET592" s="2449"/>
      <c r="EU592" s="2449"/>
      <c r="EV592" s="2449"/>
      <c r="EW592" s="2449"/>
      <c r="EX592" s="409"/>
    </row>
    <row r="593" spans="1:154">
      <c r="B593" s="906" t="s">
        <v>235</v>
      </c>
      <c r="C593" s="2010"/>
      <c r="D593" s="894"/>
      <c r="E593" s="894"/>
      <c r="F593" s="895"/>
      <c r="G593" s="895"/>
      <c r="H593" s="895"/>
      <c r="I593" s="895"/>
      <c r="J593" s="895"/>
      <c r="K593" s="895"/>
      <c r="L593" s="895"/>
      <c r="M593" s="895"/>
      <c r="N593" s="895"/>
      <c r="O593" s="896"/>
      <c r="P593" s="895"/>
      <c r="Q593" s="895"/>
      <c r="R593" s="895"/>
      <c r="S593" s="895"/>
      <c r="T593" s="896"/>
      <c r="U593" s="895"/>
      <c r="V593" s="895"/>
      <c r="W593" s="895"/>
      <c r="X593" s="899"/>
      <c r="Y593" s="896"/>
      <c r="Z593" s="895"/>
      <c r="AA593" s="895"/>
      <c r="AB593" s="895"/>
      <c r="AC593" s="899"/>
      <c r="AD593" s="896"/>
      <c r="AE593" s="895"/>
      <c r="AF593" s="895"/>
      <c r="AG593" s="895"/>
      <c r="AH593" s="899"/>
      <c r="AI593" s="896"/>
      <c r="AJ593" s="895"/>
      <c r="AK593" s="895"/>
      <c r="AL593" s="895"/>
      <c r="AM593" s="899"/>
      <c r="AN593" s="896"/>
      <c r="AO593" s="895"/>
      <c r="AP593" s="895"/>
      <c r="AQ593" s="897"/>
      <c r="AR593" s="899"/>
      <c r="AS593" s="896"/>
      <c r="AT593" s="895"/>
      <c r="AU593" s="895"/>
      <c r="AV593" s="895"/>
      <c r="AW593" s="899"/>
      <c r="AX593" s="896"/>
      <c r="AY593" s="895"/>
      <c r="AZ593" s="895"/>
      <c r="BA593" s="895"/>
      <c r="BB593" s="899"/>
      <c r="BC593" s="896"/>
      <c r="BD593" s="895"/>
      <c r="BE593" s="895"/>
      <c r="BF593" s="895"/>
      <c r="BG593" s="899"/>
      <c r="BH593" s="896"/>
      <c r="BI593" s="895"/>
      <c r="BJ593" s="895"/>
      <c r="BK593" s="895"/>
      <c r="BL593" s="899"/>
      <c r="BM593" s="895"/>
      <c r="BN593" s="895"/>
      <c r="BO593" s="895"/>
      <c r="BP593" s="895"/>
      <c r="BQ593" s="899"/>
      <c r="BR593" s="895"/>
      <c r="BS593" s="895"/>
      <c r="BT593" s="895"/>
      <c r="BU593" s="895"/>
      <c r="BV593" s="899"/>
      <c r="BW593" s="908"/>
      <c r="BX593" s="895"/>
      <c r="BY593" s="895"/>
      <c r="BZ593" s="895"/>
      <c r="CA593" s="899"/>
      <c r="CB593" s="895"/>
      <c r="CC593" s="895"/>
      <c r="CD593" s="895"/>
      <c r="CE593" s="895"/>
      <c r="CF593" s="899"/>
      <c r="CG593" s="895"/>
      <c r="CH593" s="30"/>
      <c r="CI593" s="30"/>
      <c r="CJ593" s="30"/>
      <c r="CK593" s="308"/>
      <c r="CL593" s="30"/>
      <c r="CM593" s="30"/>
      <c r="CN593" s="30"/>
      <c r="CO593" s="30"/>
      <c r="CP593" s="308"/>
      <c r="CQ593" s="30"/>
      <c r="CR593" s="30"/>
      <c r="CS593" s="30"/>
      <c r="CT593" s="30"/>
      <c r="CU593" s="308"/>
      <c r="CV593" s="30"/>
      <c r="CW593" s="30"/>
      <c r="CX593" s="30"/>
      <c r="CY593" s="30"/>
      <c r="CZ593" s="308"/>
      <c r="DA593" s="30"/>
      <c r="DB593" s="1219"/>
      <c r="DC593" s="1219"/>
      <c r="DD593" s="1235"/>
      <c r="DE593" s="1535"/>
      <c r="DF593" s="1230"/>
      <c r="DG593" s="1539"/>
      <c r="DH593" s="925"/>
      <c r="DI593" s="927"/>
      <c r="DJ593" s="927"/>
      <c r="DK593" s="1230"/>
      <c r="DL593" s="1230"/>
      <c r="DM593" s="925"/>
      <c r="DN593" s="927"/>
      <c r="DO593" s="309"/>
      <c r="DP593" s="926"/>
      <c r="DQ593" s="1219"/>
      <c r="DR593" s="1219"/>
      <c r="DS593" s="928"/>
      <c r="DT593" s="308"/>
      <c r="DU593" s="926"/>
      <c r="DV593" s="926"/>
      <c r="DW593" s="926"/>
      <c r="DX593" s="928"/>
      <c r="DY593" s="308"/>
      <c r="DZ593" s="926"/>
      <c r="EA593" s="926"/>
      <c r="EB593" s="926"/>
      <c r="EC593" s="928"/>
      <c r="ED593" s="308"/>
      <c r="EE593" s="3560">
        <v>28</v>
      </c>
      <c r="EF593" s="3560">
        <v>41</v>
      </c>
      <c r="EG593" s="3560">
        <v>61</v>
      </c>
      <c r="EH593" s="3560">
        <v>70</v>
      </c>
      <c r="EI593" s="2449">
        <f t="shared" ref="EI593" si="1467">SUM(EE593:EH593)</f>
      </c>
      <c r="EJ593" s="2449">
        <f t="shared" ref="EJ593:ES593" si="1468">EJ605+EJ616</f>
      </c>
      <c r="EK593" s="2449">
        <f t="shared" si="1468"/>
      </c>
      <c r="EL593" s="2449">
        <f t="shared" si="1468"/>
      </c>
      <c r="EM593" s="2449">
        <f t="shared" si="1468"/>
      </c>
      <c r="EN593" s="2449">
        <f t="shared" si="1468"/>
      </c>
      <c r="EO593" s="2449">
        <f t="shared" si="1468"/>
      </c>
      <c r="EP593" s="2449">
        <f t="shared" si="1468"/>
      </c>
      <c r="EQ593" s="2449">
        <f t="shared" si="1468"/>
      </c>
      <c r="ER593" s="2449">
        <f t="shared" si="1468"/>
      </c>
      <c r="ES593" s="2449">
        <f t="shared" si="1468"/>
      </c>
      <c r="ET593" s="2449"/>
      <c r="EU593" s="2449"/>
      <c r="EV593" s="2449"/>
      <c r="EW593" s="2449"/>
      <c r="EX593" s="409"/>
    </row>
    <row r="594" spans="1:154">
      <c r="B594" s="906" t="s">
        <v>188</v>
      </c>
      <c r="C594" s="2010"/>
      <c r="D594" s="894"/>
      <c r="E594" s="894"/>
      <c r="F594" s="895"/>
      <c r="G594" s="895"/>
      <c r="H594" s="895"/>
      <c r="I594" s="895"/>
      <c r="J594" s="895"/>
      <c r="K594" s="895"/>
      <c r="L594" s="895"/>
      <c r="M594" s="895"/>
      <c r="N594" s="895"/>
      <c r="O594" s="896"/>
      <c r="P594" s="895"/>
      <c r="Q594" s="895"/>
      <c r="R594" s="895"/>
      <c r="S594" s="895"/>
      <c r="T594" s="896"/>
      <c r="U594" s="895"/>
      <c r="V594" s="895"/>
      <c r="W594" s="895"/>
      <c r="X594" s="899"/>
      <c r="Y594" s="896"/>
      <c r="Z594" s="895"/>
      <c r="AA594" s="895"/>
      <c r="AB594" s="895"/>
      <c r="AC594" s="899"/>
      <c r="AD594" s="896"/>
      <c r="AE594" s="895"/>
      <c r="AF594" s="895"/>
      <c r="AG594" s="895"/>
      <c r="AH594" s="899"/>
      <c r="AI594" s="896"/>
      <c r="AJ594" s="895"/>
      <c r="AK594" s="895"/>
      <c r="AL594" s="895"/>
      <c r="AM594" s="899"/>
      <c r="AN594" s="896"/>
      <c r="AO594" s="895"/>
      <c r="AP594" s="895"/>
      <c r="AQ594" s="897"/>
      <c r="AR594" s="899"/>
      <c r="AS594" s="896"/>
      <c r="AT594" s="895"/>
      <c r="AU594" s="895"/>
      <c r="AV594" s="895"/>
      <c r="AW594" s="899"/>
      <c r="AX594" s="896"/>
      <c r="AY594" s="895"/>
      <c r="AZ594" s="895"/>
      <c r="BA594" s="895"/>
      <c r="BB594" s="899"/>
      <c r="BC594" s="896"/>
      <c r="BD594" s="895"/>
      <c r="BE594" s="895"/>
      <c r="BF594" s="895"/>
      <c r="BG594" s="899"/>
      <c r="BH594" s="896"/>
      <c r="BI594" s="895"/>
      <c r="BJ594" s="895"/>
      <c r="BK594" s="895"/>
      <c r="BL594" s="899"/>
      <c r="BM594" s="895"/>
      <c r="BN594" s="895"/>
      <c r="BO594" s="895"/>
      <c r="BP594" s="895"/>
      <c r="BQ594" s="899"/>
      <c r="BR594" s="895"/>
      <c r="BS594" s="895"/>
      <c r="BT594" s="895"/>
      <c r="BU594" s="895"/>
      <c r="BV594" s="899"/>
      <c r="BW594" s="908"/>
      <c r="BX594" s="895"/>
      <c r="BY594" s="895"/>
      <c r="BZ594" s="895"/>
      <c r="CA594" s="899"/>
      <c r="CB594" s="895"/>
      <c r="CC594" s="895"/>
      <c r="CD594" s="895"/>
      <c r="CE594" s="895"/>
      <c r="CF594" s="899"/>
      <c r="CG594" s="895"/>
      <c r="CH594" s="30"/>
      <c r="CI594" s="30"/>
      <c r="CJ594" s="30"/>
      <c r="CK594" s="308"/>
      <c r="CL594" s="30"/>
      <c r="CM594" s="30"/>
      <c r="CN594" s="30"/>
      <c r="CO594" s="30"/>
      <c r="CP594" s="308"/>
      <c r="CQ594" s="30"/>
      <c r="CR594" s="30"/>
      <c r="CS594" s="30"/>
      <c r="CT594" s="30"/>
      <c r="CU594" s="308"/>
      <c r="CV594" s="30"/>
      <c r="CW594" s="30"/>
      <c r="CX594" s="30"/>
      <c r="CY594" s="30"/>
      <c r="CZ594" s="308"/>
      <c r="DA594" s="30"/>
      <c r="DB594" s="1219"/>
      <c r="DC594" s="1219"/>
      <c r="DD594" s="1235"/>
      <c r="DE594" s="1535"/>
      <c r="DF594" s="1230"/>
      <c r="DG594" s="1539"/>
      <c r="DH594" s="925"/>
      <c r="DI594" s="927"/>
      <c r="DJ594" s="927"/>
      <c r="DK594" s="1230"/>
      <c r="DL594" s="1230"/>
      <c r="DM594" s="925"/>
      <c r="DN594" s="927"/>
      <c r="DO594" s="309"/>
      <c r="DP594" s="926"/>
      <c r="DQ594" s="1219"/>
      <c r="DR594" s="1219"/>
      <c r="DS594" s="928"/>
      <c r="DT594" s="308"/>
      <c r="DU594" s="926"/>
      <c r="DV594" s="926"/>
      <c r="DW594" s="926"/>
      <c r="DX594" s="928"/>
      <c r="DY594" s="308"/>
      <c r="DZ594" s="926"/>
      <c r="EA594" s="926"/>
      <c r="EB594" s="926"/>
      <c r="EC594" s="928"/>
      <c r="ED594" s="308"/>
      <c r="EE594" s="2451">
        <f>SUM(EE592:EE593)</f>
      </c>
      <c r="EF594" s="2451">
        <f t="shared" ref="EF594:EG594" si="1469">SUM(EF592:EF593)</f>
      </c>
      <c r="EG594" s="2451">
        <f t="shared" si="1469"/>
      </c>
      <c r="EH594" s="2451">
        <f t="shared" ref="EH594" si="1470">SUM(EH592:EH593)</f>
      </c>
      <c r="EI594" s="2449">
        <f t="shared" ref="EI594" si="1471">SUM(EI592:EI593)</f>
      </c>
      <c r="EJ594" s="2449">
        <f t="shared" ref="EJ594:ES594" si="1472">EJ606+EJ617</f>
      </c>
      <c r="EK594" s="2449">
        <f t="shared" si="1472"/>
      </c>
      <c r="EL594" s="2449">
        <f t="shared" si="1472"/>
      </c>
      <c r="EM594" s="2449">
        <f t="shared" si="1472"/>
      </c>
      <c r="EN594" s="2449">
        <f t="shared" si="1472"/>
      </c>
      <c r="EO594" s="2449">
        <f t="shared" si="1472"/>
      </c>
      <c r="EP594" s="2449">
        <f t="shared" si="1472"/>
      </c>
      <c r="EQ594" s="2449">
        <f t="shared" si="1472"/>
      </c>
      <c r="ER594" s="2449">
        <f t="shared" si="1472"/>
      </c>
      <c r="ES594" s="2449">
        <f t="shared" si="1472"/>
      </c>
      <c r="ET594" s="2449"/>
      <c r="EU594" s="2449"/>
      <c r="EV594" s="2449"/>
      <c r="EW594" s="2449"/>
      <c r="EX594" s="409"/>
    </row>
    <row r="595" spans="1:154">
      <c r="B595" s="1390"/>
      <c r="C595" s="2010"/>
      <c r="D595" s="894"/>
      <c r="E595" s="894"/>
      <c r="F595" s="895"/>
      <c r="G595" s="895"/>
      <c r="H595" s="895"/>
      <c r="I595" s="895"/>
      <c r="J595" s="895"/>
      <c r="K595" s="895"/>
      <c r="L595" s="895"/>
      <c r="M595" s="895"/>
      <c r="N595" s="895"/>
      <c r="O595" s="896"/>
      <c r="P595" s="895"/>
      <c r="Q595" s="895"/>
      <c r="R595" s="895"/>
      <c r="S595" s="895"/>
      <c r="T595" s="896"/>
      <c r="U595" s="895"/>
      <c r="V595" s="895"/>
      <c r="W595" s="895"/>
      <c r="X595" s="899"/>
      <c r="Y595" s="896"/>
      <c r="Z595" s="895"/>
      <c r="AA595" s="895"/>
      <c r="AB595" s="895"/>
      <c r="AC595" s="899"/>
      <c r="AD595" s="896"/>
      <c r="AE595" s="895"/>
      <c r="AF595" s="895"/>
      <c r="AG595" s="895"/>
      <c r="AH595" s="899"/>
      <c r="AI595" s="896"/>
      <c r="AJ595" s="895"/>
      <c r="AK595" s="895"/>
      <c r="AL595" s="895"/>
      <c r="AM595" s="899"/>
      <c r="AN595" s="896"/>
      <c r="AO595" s="895"/>
      <c r="AP595" s="895"/>
      <c r="AQ595" s="897"/>
      <c r="AR595" s="899"/>
      <c r="AS595" s="896"/>
      <c r="AT595" s="895"/>
      <c r="AU595" s="895"/>
      <c r="AV595" s="895"/>
      <c r="AW595" s="899"/>
      <c r="AX595" s="896"/>
      <c r="AY595" s="895"/>
      <c r="AZ595" s="895"/>
      <c r="BA595" s="895"/>
      <c r="BB595" s="899"/>
      <c r="BC595" s="896"/>
      <c r="BD595" s="895"/>
      <c r="BE595" s="895"/>
      <c r="BF595" s="895"/>
      <c r="BG595" s="899"/>
      <c r="BH595" s="896"/>
      <c r="BI595" s="895"/>
      <c r="BJ595" s="895"/>
      <c r="BK595" s="895"/>
      <c r="BL595" s="899"/>
      <c r="BM595" s="895"/>
      <c r="BN595" s="895"/>
      <c r="BO595" s="895"/>
      <c r="BP595" s="895"/>
      <c r="BQ595" s="899"/>
      <c r="BR595" s="895"/>
      <c r="BS595" s="895"/>
      <c r="BT595" s="895"/>
      <c r="BU595" s="895"/>
      <c r="BV595" s="899"/>
      <c r="BW595" s="908"/>
      <c r="BX595" s="895"/>
      <c r="BY595" s="895"/>
      <c r="BZ595" s="895"/>
      <c r="CA595" s="899"/>
      <c r="CB595" s="895"/>
      <c r="CC595" s="895"/>
      <c r="CD595" s="895"/>
      <c r="CE595" s="895"/>
      <c r="CF595" s="899"/>
      <c r="CG595" s="895"/>
      <c r="CH595" s="30"/>
      <c r="CI595" s="30"/>
      <c r="CJ595" s="30"/>
      <c r="CK595" s="308"/>
      <c r="CL595" s="30"/>
      <c r="CM595" s="30"/>
      <c r="CN595" s="30"/>
      <c r="CO595" s="30"/>
      <c r="CP595" s="308"/>
      <c r="CQ595" s="30"/>
      <c r="CR595" s="30"/>
      <c r="CS595" s="30"/>
      <c r="CT595" s="30"/>
      <c r="CU595" s="308"/>
      <c r="CV595" s="30"/>
      <c r="CW595" s="30"/>
      <c r="CX595" s="30"/>
      <c r="CY595" s="30"/>
      <c r="CZ595" s="308"/>
      <c r="DA595" s="30"/>
      <c r="DB595" s="1219"/>
      <c r="DC595" s="1219"/>
      <c r="DD595" s="1235"/>
      <c r="DE595" s="1535"/>
      <c r="DF595" s="1230"/>
      <c r="DG595" s="1539"/>
      <c r="DH595" s="925"/>
      <c r="DI595" s="927"/>
      <c r="DJ595" s="927"/>
      <c r="DK595" s="1230"/>
      <c r="DL595" s="1230"/>
      <c r="DM595" s="925"/>
      <c r="DN595" s="927"/>
      <c r="DO595" s="309"/>
      <c r="DP595" s="926"/>
      <c r="DQ595" s="1219"/>
      <c r="DR595" s="1219"/>
      <c r="DS595" s="928"/>
      <c r="DT595" s="308"/>
      <c r="DU595" s="926"/>
      <c r="DV595" s="926"/>
      <c r="DW595" s="926"/>
      <c r="DX595" s="928"/>
      <c r="DY595" s="308"/>
      <c r="DZ595" s="926"/>
      <c r="EA595" s="926"/>
      <c r="EB595" s="926"/>
      <c r="EC595" s="928"/>
      <c r="ED595" s="308"/>
      <c r="EE595" s="926"/>
      <c r="EF595" s="3560"/>
      <c r="EG595" s="926"/>
      <c r="EH595" s="928"/>
      <c r="EI595" s="830"/>
      <c r="EJ595" s="308"/>
      <c r="EK595" s="308"/>
      <c r="EL595" s="308"/>
      <c r="EM595" s="308"/>
      <c r="EN595" s="308"/>
      <c r="EO595" s="308"/>
      <c r="EP595" s="308"/>
      <c r="EQ595" s="308"/>
      <c r="ER595" s="308"/>
      <c r="ES595" s="308"/>
      <c r="ET595" s="409"/>
      <c r="EU595" s="409"/>
      <c r="EV595" s="409"/>
      <c r="EW595" s="409"/>
      <c r="EX595" s="409"/>
    </row>
    <row r="596" spans="1:154">
      <c r="B596" s="3344" t="s">
        <v>1053</v>
      </c>
      <c r="C596" s="2010"/>
      <c r="D596" s="894"/>
      <c r="E596" s="894"/>
      <c r="F596" s="895"/>
      <c r="G596" s="895"/>
      <c r="H596" s="895"/>
      <c r="I596" s="895"/>
      <c r="J596" s="895"/>
      <c r="K596" s="895"/>
      <c r="L596" s="895"/>
      <c r="M596" s="895"/>
      <c r="N596" s="895"/>
      <c r="O596" s="896"/>
      <c r="P596" s="895"/>
      <c r="Q596" s="895"/>
      <c r="R596" s="895"/>
      <c r="S596" s="895"/>
      <c r="T596" s="896"/>
      <c r="U596" s="895"/>
      <c r="V596" s="895"/>
      <c r="W596" s="895"/>
      <c r="X596" s="899"/>
      <c r="Y596" s="896"/>
      <c r="Z596" s="895"/>
      <c r="AA596" s="895"/>
      <c r="AB596" s="895"/>
      <c r="AC596" s="899"/>
      <c r="AD596" s="896"/>
      <c r="AE596" s="895"/>
      <c r="AF596" s="895"/>
      <c r="AG596" s="895"/>
      <c r="AH596" s="899"/>
      <c r="AI596" s="896"/>
      <c r="AJ596" s="895"/>
      <c r="AK596" s="895"/>
      <c r="AL596" s="895"/>
      <c r="AM596" s="899"/>
      <c r="AN596" s="896"/>
      <c r="AO596" s="895"/>
      <c r="AP596" s="895"/>
      <c r="AQ596" s="897"/>
      <c r="AR596" s="899"/>
      <c r="AS596" s="896"/>
      <c r="AT596" s="895"/>
      <c r="AU596" s="895"/>
      <c r="AV596" s="895"/>
      <c r="AW596" s="899"/>
      <c r="AX596" s="896"/>
      <c r="AY596" s="895"/>
      <c r="AZ596" s="895"/>
      <c r="BA596" s="895"/>
      <c r="BB596" s="899"/>
      <c r="BC596" s="896"/>
      <c r="BD596" s="895"/>
      <c r="BE596" s="895"/>
      <c r="BF596" s="895"/>
      <c r="BG596" s="899"/>
      <c r="BH596" s="896"/>
      <c r="BI596" s="895"/>
      <c r="BJ596" s="895"/>
      <c r="BK596" s="895"/>
      <c r="BL596" s="899"/>
      <c r="BM596" s="895"/>
      <c r="BN596" s="895"/>
      <c r="BO596" s="895"/>
      <c r="BP596" s="895"/>
      <c r="BQ596" s="899"/>
      <c r="BR596" s="895"/>
      <c r="BS596" s="895"/>
      <c r="BT596" s="895"/>
      <c r="BU596" s="895"/>
      <c r="BV596" s="899"/>
      <c r="BW596" s="908"/>
      <c r="BX596" s="895"/>
      <c r="BY596" s="895"/>
      <c r="BZ596" s="895"/>
      <c r="CA596" s="899"/>
      <c r="CB596" s="895"/>
      <c r="CC596" s="895"/>
      <c r="CD596" s="895"/>
      <c r="CE596" s="895"/>
      <c r="CF596" s="899"/>
      <c r="CG596" s="895"/>
      <c r="CH596" s="30"/>
      <c r="CI596" s="30"/>
      <c r="CJ596" s="30"/>
      <c r="CK596" s="308"/>
      <c r="CL596" s="30"/>
      <c r="CM596" s="30"/>
      <c r="CN596" s="30"/>
      <c r="CO596" s="30"/>
      <c r="CP596" s="308"/>
      <c r="CQ596" s="30"/>
      <c r="CR596" s="30"/>
      <c r="CS596" s="30"/>
      <c r="CT596" s="30"/>
      <c r="CU596" s="308"/>
      <c r="CV596" s="30"/>
      <c r="CW596" s="30"/>
      <c r="CX596" s="30"/>
      <c r="CY596" s="30"/>
      <c r="CZ596" s="308"/>
      <c r="DA596" s="30"/>
      <c r="DB596" s="1219"/>
      <c r="DC596" s="1219"/>
      <c r="DD596" s="1235"/>
      <c r="DE596" s="1535"/>
      <c r="DF596" s="1230"/>
      <c r="DG596" s="1539"/>
      <c r="DH596" s="925"/>
      <c r="DI596" s="927"/>
      <c r="DJ596" s="927"/>
      <c r="DK596" s="1230"/>
      <c r="DL596" s="1230"/>
      <c r="DM596" s="925"/>
      <c r="DN596" s="927"/>
      <c r="DO596" s="309"/>
      <c r="DP596" s="926"/>
      <c r="DQ596" s="1219"/>
      <c r="DR596" s="1219"/>
      <c r="DS596" s="928"/>
      <c r="DT596" s="308"/>
      <c r="DU596" s="926"/>
      <c r="DV596" s="926"/>
      <c r="DW596" s="926"/>
      <c r="DX596" s="928"/>
      <c r="DY596" s="308"/>
      <c r="DZ596" s="926"/>
      <c r="EA596" s="926"/>
      <c r="EB596" s="926"/>
      <c r="EC596" s="928"/>
      <c r="ED596" s="308"/>
      <c r="EE596" s="926"/>
      <c r="EF596" s="2451"/>
      <c r="EG596" s="926"/>
      <c r="EH596" s="928"/>
      <c r="EI596" s="830"/>
      <c r="EJ596" s="308"/>
      <c r="EK596" s="308"/>
      <c r="EL596" s="308"/>
      <c r="EM596" s="308"/>
      <c r="EN596" s="308"/>
      <c r="EO596" s="409"/>
      <c r="EP596" s="409"/>
      <c r="EQ596" s="409"/>
      <c r="ER596" s="409"/>
      <c r="ES596" s="409"/>
      <c r="ET596" s="409"/>
      <c r="EU596" s="409"/>
      <c r="EV596" s="409"/>
      <c r="EW596" s="409"/>
      <c r="EX596" s="409"/>
    </row>
    <row r="597" spans="1:154">
      <c r="B597" s="1390" t="s">
        <v>925</v>
      </c>
      <c r="C597" s="2010"/>
      <c r="D597" s="894"/>
      <c r="E597" s="894"/>
      <c r="F597" s="895"/>
      <c r="G597" s="895"/>
      <c r="H597" s="895"/>
      <c r="I597" s="895"/>
      <c r="J597" s="895"/>
      <c r="K597" s="895"/>
      <c r="L597" s="895"/>
      <c r="M597" s="895"/>
      <c r="N597" s="895"/>
      <c r="O597" s="896"/>
      <c r="P597" s="895"/>
      <c r="Q597" s="895"/>
      <c r="R597" s="895"/>
      <c r="S597" s="895"/>
      <c r="T597" s="896"/>
      <c r="U597" s="895"/>
      <c r="V597" s="895"/>
      <c r="W597" s="895"/>
      <c r="X597" s="899"/>
      <c r="Y597" s="896"/>
      <c r="Z597" s="895"/>
      <c r="AA597" s="895"/>
      <c r="AB597" s="895"/>
      <c r="AC597" s="899"/>
      <c r="AD597" s="896"/>
      <c r="AE597" s="895"/>
      <c r="AF597" s="895"/>
      <c r="AG597" s="895"/>
      <c r="AH597" s="899"/>
      <c r="AI597" s="896"/>
      <c r="AJ597" s="895"/>
      <c r="AK597" s="895"/>
      <c r="AL597" s="895"/>
      <c r="AM597" s="899"/>
      <c r="AN597" s="896"/>
      <c r="AO597" s="895"/>
      <c r="AP597" s="895"/>
      <c r="AQ597" s="897"/>
      <c r="AR597" s="899"/>
      <c r="AS597" s="896"/>
      <c r="AT597" s="895"/>
      <c r="AU597" s="895"/>
      <c r="AV597" s="895"/>
      <c r="AW597" s="899"/>
      <c r="AX597" s="896"/>
      <c r="AY597" s="895"/>
      <c r="AZ597" s="895"/>
      <c r="BA597" s="895"/>
      <c r="BB597" s="899"/>
      <c r="BC597" s="896"/>
      <c r="BD597" s="895"/>
      <c r="BE597" s="895"/>
      <c r="BF597" s="895"/>
      <c r="BG597" s="899"/>
      <c r="BH597" s="896"/>
      <c r="BI597" s="895"/>
      <c r="BJ597" s="895"/>
      <c r="BK597" s="895"/>
      <c r="BL597" s="899"/>
      <c r="BM597" s="895"/>
      <c r="BN597" s="895"/>
      <c r="BO597" s="895"/>
      <c r="BP597" s="895"/>
      <c r="BQ597" s="899"/>
      <c r="BR597" s="895"/>
      <c r="BS597" s="895"/>
      <c r="BT597" s="895"/>
      <c r="BU597" s="895"/>
      <c r="BV597" s="899"/>
      <c r="BW597" s="908"/>
      <c r="BX597" s="895"/>
      <c r="BY597" s="895"/>
      <c r="BZ597" s="895"/>
      <c r="CA597" s="899"/>
      <c r="CB597" s="895"/>
      <c r="CC597" s="895"/>
      <c r="CD597" s="895"/>
      <c r="CE597" s="895"/>
      <c r="CF597" s="899"/>
      <c r="CG597" s="895"/>
      <c r="CH597" s="30"/>
      <c r="CI597" s="30"/>
      <c r="CJ597" s="30"/>
      <c r="CK597" s="308"/>
      <c r="CL597" s="30"/>
      <c r="CM597" s="30"/>
      <c r="CN597" s="30"/>
      <c r="CO597" s="30"/>
      <c r="CP597" s="308"/>
      <c r="CQ597" s="30"/>
      <c r="CR597" s="30"/>
      <c r="CS597" s="30"/>
      <c r="CT597" s="30"/>
      <c r="CU597" s="308"/>
      <c r="CV597" s="30"/>
      <c r="CW597" s="30"/>
      <c r="CX597" s="30"/>
      <c r="CY597" s="30"/>
      <c r="CZ597" s="308"/>
      <c r="DA597" s="30"/>
      <c r="DB597" s="1219"/>
      <c r="DC597" s="1219"/>
      <c r="DD597" s="1235"/>
      <c r="DE597" s="1535"/>
      <c r="DF597" s="1230"/>
      <c r="DG597" s="1539"/>
      <c r="DH597" s="925"/>
      <c r="DI597" s="927"/>
      <c r="DJ597" s="927"/>
      <c r="DK597" s="1230"/>
      <c r="DL597" s="1230"/>
      <c r="DM597" s="925"/>
      <c r="DN597" s="927"/>
      <c r="DO597" s="309"/>
      <c r="DP597" s="926"/>
      <c r="DQ597" s="1219"/>
      <c r="DR597" s="1219"/>
      <c r="DS597" s="928"/>
      <c r="DT597" s="308"/>
      <c r="DU597" s="926"/>
      <c r="DV597" s="926"/>
      <c r="DW597" s="926"/>
      <c r="DX597" s="928"/>
      <c r="DY597" s="308"/>
      <c r="DZ597" s="926"/>
      <c r="EA597" s="926"/>
      <c r="EB597" s="926"/>
      <c r="EC597" s="928"/>
      <c r="ED597" s="308"/>
      <c r="EE597" s="926"/>
      <c r="EF597" s="926"/>
      <c r="EG597" s="926"/>
      <c r="EH597" s="928"/>
      <c r="EI597" s="830"/>
      <c r="EJ597" s="308">
        <f>EJ592/EI592-1</f>
      </c>
      <c r="EK597" s="308">
        <f t="shared" ref="EK597:ES597" si="1473">EK592/EJ592-1</f>
      </c>
      <c r="EL597" s="308">
        <f t="shared" si="1473"/>
      </c>
      <c r="EM597" s="308">
        <f t="shared" si="1473"/>
      </c>
      <c r="EN597" s="308">
        <f t="shared" si="1473"/>
      </c>
      <c r="EO597" s="308">
        <f t="shared" si="1473"/>
      </c>
      <c r="EP597" s="308">
        <f t="shared" si="1473"/>
      </c>
      <c r="EQ597" s="308">
        <f t="shared" si="1473"/>
      </c>
      <c r="ER597" s="308">
        <f t="shared" si="1473"/>
      </c>
      <c r="ES597" s="308">
        <f t="shared" si="1473"/>
      </c>
      <c r="ET597" s="409"/>
      <c r="EU597" s="409"/>
      <c r="EV597" s="409"/>
      <c r="EW597" s="409"/>
      <c r="EX597" s="409"/>
    </row>
    <row r="598" spans="1:154">
      <c r="B598" s="1390" t="s">
        <v>412</v>
      </c>
      <c r="C598" s="2010"/>
      <c r="D598" s="894"/>
      <c r="E598" s="894"/>
      <c r="F598" s="895"/>
      <c r="G598" s="895"/>
      <c r="H598" s="895"/>
      <c r="I598" s="895"/>
      <c r="J598" s="895"/>
      <c r="K598" s="895"/>
      <c r="L598" s="895"/>
      <c r="M598" s="895"/>
      <c r="N598" s="895"/>
      <c r="O598" s="896"/>
      <c r="P598" s="895"/>
      <c r="Q598" s="895"/>
      <c r="R598" s="895"/>
      <c r="S598" s="895"/>
      <c r="T598" s="896"/>
      <c r="U598" s="895"/>
      <c r="V598" s="895"/>
      <c r="W598" s="895"/>
      <c r="X598" s="899"/>
      <c r="Y598" s="896"/>
      <c r="Z598" s="895"/>
      <c r="AA598" s="895"/>
      <c r="AB598" s="895"/>
      <c r="AC598" s="899"/>
      <c r="AD598" s="896"/>
      <c r="AE598" s="895"/>
      <c r="AF598" s="895"/>
      <c r="AG598" s="895"/>
      <c r="AH598" s="899"/>
      <c r="AI598" s="896"/>
      <c r="AJ598" s="895"/>
      <c r="AK598" s="895"/>
      <c r="AL598" s="895"/>
      <c r="AM598" s="899"/>
      <c r="AN598" s="896"/>
      <c r="AO598" s="895"/>
      <c r="AP598" s="895"/>
      <c r="AQ598" s="897"/>
      <c r="AR598" s="899"/>
      <c r="AS598" s="896"/>
      <c r="AT598" s="895"/>
      <c r="AU598" s="895"/>
      <c r="AV598" s="895"/>
      <c r="AW598" s="899"/>
      <c r="AX598" s="896"/>
      <c r="AY598" s="895"/>
      <c r="AZ598" s="895"/>
      <c r="BA598" s="895"/>
      <c r="BB598" s="899"/>
      <c r="BC598" s="896"/>
      <c r="BD598" s="895"/>
      <c r="BE598" s="895"/>
      <c r="BF598" s="895"/>
      <c r="BG598" s="899"/>
      <c r="BH598" s="896"/>
      <c r="BI598" s="895"/>
      <c r="BJ598" s="895"/>
      <c r="BK598" s="895"/>
      <c r="BL598" s="899"/>
      <c r="BM598" s="895"/>
      <c r="BN598" s="895"/>
      <c r="BO598" s="895"/>
      <c r="BP598" s="895"/>
      <c r="BQ598" s="899"/>
      <c r="BR598" s="895"/>
      <c r="BS598" s="895"/>
      <c r="BT598" s="895"/>
      <c r="BU598" s="895"/>
      <c r="BV598" s="899"/>
      <c r="BW598" s="908"/>
      <c r="BX598" s="895"/>
      <c r="BY598" s="895"/>
      <c r="BZ598" s="895"/>
      <c r="CA598" s="899"/>
      <c r="CB598" s="895"/>
      <c r="CC598" s="895"/>
      <c r="CD598" s="895"/>
      <c r="CE598" s="895"/>
      <c r="CF598" s="899"/>
      <c r="CG598" s="895"/>
      <c r="CH598" s="30"/>
      <c r="CI598" s="30"/>
      <c r="CJ598" s="30"/>
      <c r="CK598" s="308"/>
      <c r="CL598" s="30"/>
      <c r="CM598" s="30"/>
      <c r="CN598" s="30"/>
      <c r="CO598" s="30"/>
      <c r="CP598" s="308"/>
      <c r="CQ598" s="30"/>
      <c r="CR598" s="30"/>
      <c r="CS598" s="30"/>
      <c r="CT598" s="30"/>
      <c r="CU598" s="308"/>
      <c r="CV598" s="30"/>
      <c r="CW598" s="30"/>
      <c r="CX598" s="30"/>
      <c r="CY598" s="30"/>
      <c r="CZ598" s="308"/>
      <c r="DA598" s="30"/>
      <c r="DB598" s="1219"/>
      <c r="DC598" s="1219"/>
      <c r="DD598" s="1235"/>
      <c r="DE598" s="1535"/>
      <c r="DF598" s="1230"/>
      <c r="DG598" s="1539"/>
      <c r="DH598" s="925"/>
      <c r="DI598" s="927"/>
      <c r="DJ598" s="927"/>
      <c r="DK598" s="1230"/>
      <c r="DL598" s="1230"/>
      <c r="DM598" s="925"/>
      <c r="DN598" s="927"/>
      <c r="DO598" s="309"/>
      <c r="DP598" s="926"/>
      <c r="DQ598" s="1219"/>
      <c r="DR598" s="1219"/>
      <c r="DS598" s="928"/>
      <c r="DT598" s="308"/>
      <c r="DU598" s="926"/>
      <c r="DV598" s="926"/>
      <c r="DW598" s="926"/>
      <c r="DX598" s="928"/>
      <c r="DY598" s="308"/>
      <c r="DZ598" s="926"/>
      <c r="EA598" s="926"/>
      <c r="EB598" s="926"/>
      <c r="EC598" s="928"/>
      <c r="ED598" s="308"/>
      <c r="EE598" s="926"/>
      <c r="EF598" s="926"/>
      <c r="EG598" s="926"/>
      <c r="EH598" s="928"/>
      <c r="EI598" s="830"/>
      <c r="EJ598" s="308">
        <f t="shared" ref="EJ598:ES598" si="1474">EJ593/EI593-1</f>
      </c>
      <c r="EK598" s="308">
        <f t="shared" si="1474"/>
      </c>
      <c r="EL598" s="308">
        <f t="shared" si="1474"/>
      </c>
      <c r="EM598" s="308">
        <f t="shared" si="1474"/>
      </c>
      <c r="EN598" s="308">
        <f t="shared" si="1474"/>
      </c>
      <c r="EO598" s="308">
        <f t="shared" si="1474"/>
      </c>
      <c r="EP598" s="308">
        <f t="shared" si="1474"/>
      </c>
      <c r="EQ598" s="308">
        <f t="shared" si="1474"/>
      </c>
      <c r="ER598" s="308">
        <f t="shared" si="1474"/>
      </c>
      <c r="ES598" s="308">
        <f t="shared" si="1474"/>
      </c>
      <c r="ET598" s="409"/>
      <c r="EU598" s="409"/>
      <c r="EV598" s="409"/>
      <c r="EW598" s="409"/>
      <c r="EX598" s="409"/>
    </row>
    <row r="599" spans="1:154">
      <c r="B599" s="1390" t="s">
        <v>611</v>
      </c>
      <c r="C599" s="2010"/>
      <c r="D599" s="894"/>
      <c r="E599" s="894"/>
      <c r="F599" s="895"/>
      <c r="G599" s="895"/>
      <c r="H599" s="895"/>
      <c r="I599" s="895"/>
      <c r="J599" s="895"/>
      <c r="K599" s="895"/>
      <c r="L599" s="895"/>
      <c r="M599" s="895"/>
      <c r="N599" s="895"/>
      <c r="O599" s="896"/>
      <c r="P599" s="895"/>
      <c r="Q599" s="895"/>
      <c r="R599" s="895"/>
      <c r="S599" s="895"/>
      <c r="T599" s="896"/>
      <c r="U599" s="895"/>
      <c r="V599" s="895"/>
      <c r="W599" s="895"/>
      <c r="X599" s="899"/>
      <c r="Y599" s="896"/>
      <c r="Z599" s="895"/>
      <c r="AA599" s="895"/>
      <c r="AB599" s="895"/>
      <c r="AC599" s="899"/>
      <c r="AD599" s="896"/>
      <c r="AE599" s="895"/>
      <c r="AF599" s="895"/>
      <c r="AG599" s="895"/>
      <c r="AH599" s="899"/>
      <c r="AI599" s="896"/>
      <c r="AJ599" s="895"/>
      <c r="AK599" s="895"/>
      <c r="AL599" s="895"/>
      <c r="AM599" s="899"/>
      <c r="AN599" s="896"/>
      <c r="AO599" s="895"/>
      <c r="AP599" s="895"/>
      <c r="AQ599" s="897"/>
      <c r="AR599" s="899"/>
      <c r="AS599" s="896"/>
      <c r="AT599" s="895"/>
      <c r="AU599" s="895"/>
      <c r="AV599" s="895"/>
      <c r="AW599" s="899"/>
      <c r="AX599" s="896"/>
      <c r="AY599" s="895"/>
      <c r="AZ599" s="895"/>
      <c r="BA599" s="895"/>
      <c r="BB599" s="899"/>
      <c r="BC599" s="896"/>
      <c r="BD599" s="895"/>
      <c r="BE599" s="895"/>
      <c r="BF599" s="895"/>
      <c r="BG599" s="899"/>
      <c r="BH599" s="896"/>
      <c r="BI599" s="895"/>
      <c r="BJ599" s="895"/>
      <c r="BK599" s="895"/>
      <c r="BL599" s="899"/>
      <c r="BM599" s="895"/>
      <c r="BN599" s="895"/>
      <c r="BO599" s="895"/>
      <c r="BP599" s="895"/>
      <c r="BQ599" s="899"/>
      <c r="BR599" s="895"/>
      <c r="BS599" s="895"/>
      <c r="BT599" s="895"/>
      <c r="BU599" s="895"/>
      <c r="BV599" s="899"/>
      <c r="BW599" s="908"/>
      <c r="BX599" s="895"/>
      <c r="BY599" s="895"/>
      <c r="BZ599" s="895"/>
      <c r="CA599" s="899"/>
      <c r="CB599" s="895"/>
      <c r="CC599" s="895"/>
      <c r="CD599" s="895"/>
      <c r="CE599" s="895"/>
      <c r="CF599" s="899"/>
      <c r="CG599" s="895"/>
      <c r="CH599" s="30"/>
      <c r="CI599" s="30"/>
      <c r="CJ599" s="30"/>
      <c r="CK599" s="308"/>
      <c r="CL599" s="30"/>
      <c r="CM599" s="30"/>
      <c r="CN599" s="30"/>
      <c r="CO599" s="30"/>
      <c r="CP599" s="308"/>
      <c r="CQ599" s="30"/>
      <c r="CR599" s="30"/>
      <c r="CS599" s="30"/>
      <c r="CT599" s="30"/>
      <c r="CU599" s="308"/>
      <c r="CV599" s="30"/>
      <c r="CW599" s="30"/>
      <c r="CX599" s="30"/>
      <c r="CY599" s="30"/>
      <c r="CZ599" s="308"/>
      <c r="DA599" s="30"/>
      <c r="DB599" s="1219"/>
      <c r="DC599" s="1219"/>
      <c r="DD599" s="1235"/>
      <c r="DE599" s="1535"/>
      <c r="DF599" s="1230"/>
      <c r="DG599" s="1539"/>
      <c r="DH599" s="925"/>
      <c r="DI599" s="927"/>
      <c r="DJ599" s="927"/>
      <c r="DK599" s="1230"/>
      <c r="DL599" s="1230"/>
      <c r="DM599" s="925"/>
      <c r="DN599" s="927"/>
      <c r="DO599" s="309"/>
      <c r="DP599" s="926"/>
      <c r="DQ599" s="1219"/>
      <c r="DR599" s="1219"/>
      <c r="DS599" s="928"/>
      <c r="DT599" s="308"/>
      <c r="DU599" s="926"/>
      <c r="DV599" s="926"/>
      <c r="DW599" s="926"/>
      <c r="DX599" s="928"/>
      <c r="DY599" s="308"/>
      <c r="DZ599" s="926"/>
      <c r="EA599" s="926"/>
      <c r="EB599" s="926"/>
      <c r="EC599" s="928"/>
      <c r="ED599" s="308"/>
      <c r="EE599" s="926"/>
      <c r="EF599" s="926"/>
      <c r="EG599" s="926"/>
      <c r="EH599" s="928"/>
      <c r="EI599" s="830"/>
      <c r="EJ599" s="308">
        <f t="shared" ref="EJ599:ES599" si="1475">EJ594/EI594-1</f>
      </c>
      <c r="EK599" s="308">
        <f t="shared" si="1475"/>
      </c>
      <c r="EL599" s="308">
        <f t="shared" si="1475"/>
      </c>
      <c r="EM599" s="308">
        <f t="shared" si="1475"/>
      </c>
      <c r="EN599" s="308">
        <f t="shared" si="1475"/>
      </c>
      <c r="EO599" s="308">
        <f t="shared" si="1475"/>
      </c>
      <c r="EP599" s="308">
        <f t="shared" si="1475"/>
      </c>
      <c r="EQ599" s="308">
        <f t="shared" si="1475"/>
      </c>
      <c r="ER599" s="308">
        <f t="shared" si="1475"/>
      </c>
      <c r="ES599" s="308">
        <f t="shared" si="1475"/>
      </c>
      <c r="ET599" s="409"/>
      <c r="EU599" s="409"/>
      <c r="EV599" s="409"/>
      <c r="EW599" s="409"/>
      <c r="EX599" s="409"/>
    </row>
    <row r="600" spans="1:154">
      <c r="B600" s="1390"/>
      <c r="C600" s="2010"/>
      <c r="D600" s="894"/>
      <c r="E600" s="894"/>
      <c r="F600" s="895"/>
      <c r="G600" s="895"/>
      <c r="H600" s="895"/>
      <c r="I600" s="895"/>
      <c r="J600" s="895"/>
      <c r="K600" s="895"/>
      <c r="L600" s="895"/>
      <c r="M600" s="895"/>
      <c r="N600" s="895"/>
      <c r="O600" s="896"/>
      <c r="P600" s="895"/>
      <c r="Q600" s="895"/>
      <c r="R600" s="895"/>
      <c r="S600" s="895"/>
      <c r="T600" s="896"/>
      <c r="U600" s="895"/>
      <c r="V600" s="895"/>
      <c r="W600" s="895"/>
      <c r="X600" s="899"/>
      <c r="Y600" s="896"/>
      <c r="Z600" s="895"/>
      <c r="AA600" s="895"/>
      <c r="AB600" s="895"/>
      <c r="AC600" s="899"/>
      <c r="AD600" s="896"/>
      <c r="AE600" s="895"/>
      <c r="AF600" s="895"/>
      <c r="AG600" s="895"/>
      <c r="AH600" s="899"/>
      <c r="AI600" s="896"/>
      <c r="AJ600" s="895"/>
      <c r="AK600" s="895"/>
      <c r="AL600" s="895"/>
      <c r="AM600" s="899"/>
      <c r="AN600" s="896"/>
      <c r="AO600" s="895"/>
      <c r="AP600" s="895"/>
      <c r="AQ600" s="897"/>
      <c r="AR600" s="899"/>
      <c r="AS600" s="896"/>
      <c r="AT600" s="895"/>
      <c r="AU600" s="895"/>
      <c r="AV600" s="895"/>
      <c r="AW600" s="899"/>
      <c r="AX600" s="896"/>
      <c r="AY600" s="895"/>
      <c r="AZ600" s="895"/>
      <c r="BA600" s="895"/>
      <c r="BB600" s="899"/>
      <c r="BC600" s="896"/>
      <c r="BD600" s="895"/>
      <c r="BE600" s="895"/>
      <c r="BF600" s="895"/>
      <c r="BG600" s="899"/>
      <c r="BH600" s="896"/>
      <c r="BI600" s="895"/>
      <c r="BJ600" s="895"/>
      <c r="BK600" s="895"/>
      <c r="BL600" s="899"/>
      <c r="BM600" s="895"/>
      <c r="BN600" s="895"/>
      <c r="BO600" s="895"/>
      <c r="BP600" s="895"/>
      <c r="BQ600" s="899"/>
      <c r="BR600" s="895"/>
      <c r="BS600" s="895"/>
      <c r="BT600" s="895"/>
      <c r="BU600" s="895"/>
      <c r="BV600" s="899"/>
      <c r="BW600" s="908"/>
      <c r="BX600" s="895"/>
      <c r="BY600" s="895"/>
      <c r="BZ600" s="895"/>
      <c r="CA600" s="899"/>
      <c r="CB600" s="895"/>
      <c r="CC600" s="895"/>
      <c r="CD600" s="895"/>
      <c r="CE600" s="895"/>
      <c r="CF600" s="899"/>
      <c r="CG600" s="895"/>
      <c r="CH600" s="30"/>
      <c r="CI600" s="30"/>
      <c r="CJ600" s="30"/>
      <c r="CK600" s="308"/>
      <c r="CL600" s="30"/>
      <c r="CM600" s="30"/>
      <c r="CN600" s="30"/>
      <c r="CO600" s="30"/>
      <c r="CP600" s="308"/>
      <c r="CQ600" s="30"/>
      <c r="CR600" s="30"/>
      <c r="CS600" s="30"/>
      <c r="CT600" s="30"/>
      <c r="CU600" s="308"/>
      <c r="CV600" s="30"/>
      <c r="CW600" s="30"/>
      <c r="CX600" s="30"/>
      <c r="CY600" s="30"/>
      <c r="CZ600" s="308"/>
      <c r="DA600" s="30"/>
      <c r="DB600" s="1219"/>
      <c r="DC600" s="1219"/>
      <c r="DD600" s="1235"/>
      <c r="DE600" s="1535"/>
      <c r="DF600" s="1230"/>
      <c r="DG600" s="1539"/>
      <c r="DH600" s="925"/>
      <c r="DI600" s="927"/>
      <c r="DJ600" s="927"/>
      <c r="DK600" s="1230"/>
      <c r="DL600" s="1230"/>
      <c r="DM600" s="925"/>
      <c r="DN600" s="927"/>
      <c r="DO600" s="309"/>
      <c r="DP600" s="926"/>
      <c r="DQ600" s="1219"/>
      <c r="DR600" s="1219"/>
      <c r="DS600" s="928"/>
      <c r="DT600" s="308"/>
      <c r="DU600" s="926"/>
      <c r="DV600" s="926"/>
      <c r="DW600" s="926"/>
      <c r="DX600" s="928"/>
      <c r="DY600" s="308"/>
      <c r="DZ600" s="926"/>
      <c r="EA600" s="926"/>
      <c r="EB600" s="926"/>
      <c r="EC600" s="928"/>
      <c r="ED600" s="308"/>
      <c r="EE600" s="926"/>
      <c r="EF600" s="926"/>
      <c r="EG600" s="926"/>
      <c r="EH600" s="928"/>
      <c r="EI600" s="830"/>
      <c r="EJ600" s="308"/>
      <c r="EK600" s="308"/>
      <c r="EL600" s="308"/>
      <c r="EM600" s="308"/>
      <c r="EN600" s="308"/>
      <c r="EO600" s="409"/>
      <c r="EP600" s="409"/>
      <c r="EQ600" s="409"/>
      <c r="ER600" s="409"/>
      <c r="ES600" s="409"/>
      <c r="ET600" s="409"/>
      <c r="EU600" s="409"/>
      <c r="EV600" s="409"/>
      <c r="EW600" s="409"/>
      <c r="EX600" s="409"/>
    </row>
    <row r="601" spans="1:154">
      <c r="B601" s="1390"/>
      <c r="C601" s="2010"/>
      <c r="D601" s="894"/>
      <c r="E601" s="894"/>
      <c r="F601" s="895"/>
      <c r="G601" s="895"/>
      <c r="H601" s="895"/>
      <c r="I601" s="895"/>
      <c r="J601" s="895"/>
      <c r="K601" s="895"/>
      <c r="L601" s="895"/>
      <c r="M601" s="895"/>
      <c r="N601" s="895"/>
      <c r="O601" s="896"/>
      <c r="P601" s="895"/>
      <c r="Q601" s="895"/>
      <c r="R601" s="895"/>
      <c r="S601" s="895"/>
      <c r="T601" s="896"/>
      <c r="U601" s="895"/>
      <c r="V601" s="895"/>
      <c r="W601" s="895"/>
      <c r="X601" s="899"/>
      <c r="Y601" s="896"/>
      <c r="Z601" s="895"/>
      <c r="AA601" s="895"/>
      <c r="AB601" s="895"/>
      <c r="AC601" s="899"/>
      <c r="AD601" s="896"/>
      <c r="AE601" s="895"/>
      <c r="AF601" s="895"/>
      <c r="AG601" s="895"/>
      <c r="AH601" s="899"/>
      <c r="AI601" s="896"/>
      <c r="AJ601" s="895"/>
      <c r="AK601" s="895"/>
      <c r="AL601" s="895"/>
      <c r="AM601" s="899"/>
      <c r="AN601" s="896"/>
      <c r="AO601" s="895"/>
      <c r="AP601" s="895"/>
      <c r="AQ601" s="897"/>
      <c r="AR601" s="899"/>
      <c r="AS601" s="896"/>
      <c r="AT601" s="895"/>
      <c r="AU601" s="895"/>
      <c r="AV601" s="895"/>
      <c r="AW601" s="899"/>
      <c r="AX601" s="896"/>
      <c r="AY601" s="895"/>
      <c r="AZ601" s="895"/>
      <c r="BA601" s="895"/>
      <c r="BB601" s="899"/>
      <c r="BC601" s="896"/>
      <c r="BD601" s="895"/>
      <c r="BE601" s="895"/>
      <c r="BF601" s="895"/>
      <c r="BG601" s="899"/>
      <c r="BH601" s="896"/>
      <c r="BI601" s="895"/>
      <c r="BJ601" s="895"/>
      <c r="BK601" s="895"/>
      <c r="BL601" s="899"/>
      <c r="BM601" s="895"/>
      <c r="BN601" s="895"/>
      <c r="BO601" s="895"/>
      <c r="BP601" s="895"/>
      <c r="BQ601" s="899"/>
      <c r="BR601" s="895"/>
      <c r="BS601" s="895"/>
      <c r="BT601" s="895"/>
      <c r="BU601" s="895"/>
      <c r="BV601" s="899"/>
      <c r="BW601" s="908"/>
      <c r="BX601" s="895"/>
      <c r="BY601" s="895"/>
      <c r="BZ601" s="895"/>
      <c r="CA601" s="899"/>
      <c r="CB601" s="895"/>
      <c r="CC601" s="895"/>
      <c r="CD601" s="895"/>
      <c r="CE601" s="895"/>
      <c r="CF601" s="899"/>
      <c r="CG601" s="895"/>
      <c r="CH601" s="30"/>
      <c r="CI601" s="30"/>
      <c r="CJ601" s="30"/>
      <c r="CK601" s="308"/>
      <c r="CL601" s="30"/>
      <c r="CM601" s="30"/>
      <c r="CN601" s="30"/>
      <c r="CO601" s="30"/>
      <c r="CP601" s="308"/>
      <c r="CQ601" s="30"/>
      <c r="CR601" s="30"/>
      <c r="CS601" s="30"/>
      <c r="CT601" s="30"/>
      <c r="CU601" s="308"/>
      <c r="CV601" s="30"/>
      <c r="CW601" s="30"/>
      <c r="CX601" s="30"/>
      <c r="CY601" s="30"/>
      <c r="CZ601" s="308"/>
      <c r="DA601" s="30"/>
      <c r="DB601" s="1219"/>
      <c r="DC601" s="1219"/>
      <c r="DD601" s="1235"/>
      <c r="DE601" s="1535"/>
      <c r="DF601" s="1230"/>
      <c r="DG601" s="1539"/>
      <c r="DH601" s="925"/>
      <c r="DI601" s="927"/>
      <c r="DJ601" s="927"/>
      <c r="DK601" s="1230"/>
      <c r="DL601" s="1230"/>
      <c r="DM601" s="925"/>
      <c r="DN601" s="927"/>
      <c r="DO601" s="309"/>
      <c r="DP601" s="926"/>
      <c r="DQ601" s="1219"/>
      <c r="DR601" s="1219"/>
      <c r="DS601" s="928"/>
      <c r="DT601" s="308"/>
      <c r="DU601" s="926"/>
      <c r="DV601" s="926"/>
      <c r="DW601" s="926"/>
      <c r="DX601" s="928"/>
      <c r="DY601" s="308"/>
      <c r="DZ601" s="926"/>
      <c r="EA601" s="926"/>
      <c r="EB601" s="926"/>
      <c r="EC601" s="928"/>
      <c r="ED601" s="308"/>
      <c r="EE601" s="926"/>
      <c r="EF601" s="926"/>
      <c r="EG601" s="926"/>
      <c r="EH601" s="928"/>
      <c r="EI601" s="830"/>
      <c r="EJ601" s="308"/>
      <c r="EK601" s="308"/>
      <c r="EL601" s="308"/>
      <c r="EM601" s="308"/>
      <c r="EN601" s="308"/>
      <c r="EO601" s="409"/>
      <c r="EP601" s="409"/>
      <c r="EQ601" s="409"/>
      <c r="ER601" s="409"/>
      <c r="ES601" s="409"/>
      <c r="ET601" s="409"/>
      <c r="EU601" s="409"/>
      <c r="EV601" s="409"/>
      <c r="EW601" s="409"/>
      <c r="EX601" s="409"/>
    </row>
    <row r="602" spans="1:154">
      <c r="B602" s="1390"/>
      <c r="C602" s="2010"/>
      <c r="D602" s="894"/>
      <c r="E602" s="894"/>
      <c r="F602" s="895"/>
      <c r="G602" s="895"/>
      <c r="H602" s="895"/>
      <c r="I602" s="895"/>
      <c r="J602" s="895"/>
      <c r="K602" s="895"/>
      <c r="L602" s="895"/>
      <c r="M602" s="895"/>
      <c r="N602" s="895"/>
      <c r="O602" s="896"/>
      <c r="P602" s="895"/>
      <c r="Q602" s="895"/>
      <c r="R602" s="895"/>
      <c r="S602" s="895"/>
      <c r="T602" s="896"/>
      <c r="U602" s="895"/>
      <c r="V602" s="895"/>
      <c r="W602" s="895"/>
      <c r="X602" s="899"/>
      <c r="Y602" s="896"/>
      <c r="Z602" s="895"/>
      <c r="AA602" s="895"/>
      <c r="AB602" s="895"/>
      <c r="AC602" s="899"/>
      <c r="AD602" s="896"/>
      <c r="AE602" s="895"/>
      <c r="AF602" s="895"/>
      <c r="AG602" s="895"/>
      <c r="AH602" s="899"/>
      <c r="AI602" s="896"/>
      <c r="AJ602" s="895"/>
      <c r="AK602" s="895"/>
      <c r="AL602" s="895"/>
      <c r="AM602" s="899"/>
      <c r="AN602" s="896"/>
      <c r="AO602" s="895"/>
      <c r="AP602" s="895"/>
      <c r="AQ602" s="897"/>
      <c r="AR602" s="899"/>
      <c r="AS602" s="896"/>
      <c r="AT602" s="895"/>
      <c r="AU602" s="895"/>
      <c r="AV602" s="895"/>
      <c r="AW602" s="899"/>
      <c r="AX602" s="896"/>
      <c r="AY602" s="895"/>
      <c r="AZ602" s="895"/>
      <c r="BA602" s="895"/>
      <c r="BB602" s="899"/>
      <c r="BC602" s="896"/>
      <c r="BD602" s="895"/>
      <c r="BE602" s="895"/>
      <c r="BF602" s="895"/>
      <c r="BG602" s="899"/>
      <c r="BH602" s="896"/>
      <c r="BI602" s="895"/>
      <c r="BJ602" s="895"/>
      <c r="BK602" s="895"/>
      <c r="BL602" s="899"/>
      <c r="BM602" s="895"/>
      <c r="BN602" s="895"/>
      <c r="BO602" s="895"/>
      <c r="BP602" s="895"/>
      <c r="BQ602" s="899"/>
      <c r="BR602" s="895"/>
      <c r="BS602" s="895"/>
      <c r="BT602" s="895"/>
      <c r="BU602" s="895"/>
      <c r="BV602" s="899"/>
      <c r="BW602" s="908"/>
      <c r="BX602" s="895"/>
      <c r="BY602" s="895"/>
      <c r="BZ602" s="895"/>
      <c r="CA602" s="899"/>
      <c r="CB602" s="895"/>
      <c r="CC602" s="895"/>
      <c r="CD602" s="895"/>
      <c r="CE602" s="895"/>
      <c r="CF602" s="899"/>
      <c r="CG602" s="895"/>
      <c r="CH602" s="30"/>
      <c r="CI602" s="30"/>
      <c r="CJ602" s="30"/>
      <c r="CK602" s="308"/>
      <c r="CL602" s="30"/>
      <c r="CM602" s="30"/>
      <c r="CN602" s="30"/>
      <c r="CO602" s="30"/>
      <c r="CP602" s="308"/>
      <c r="CQ602" s="30"/>
      <c r="CR602" s="30"/>
      <c r="CS602" s="30"/>
      <c r="CT602" s="30"/>
      <c r="CU602" s="308"/>
      <c r="CV602" s="30"/>
      <c r="CW602" s="30"/>
      <c r="CX602" s="30"/>
      <c r="CY602" s="30"/>
      <c r="CZ602" s="308"/>
      <c r="DA602" s="30"/>
      <c r="DB602" s="1219"/>
      <c r="DC602" s="1219"/>
      <c r="DD602" s="1235"/>
      <c r="DE602" s="1535"/>
      <c r="DF602" s="1230"/>
      <c r="DG602" s="1539"/>
      <c r="DH602" s="925"/>
      <c r="DI602" s="927"/>
      <c r="DJ602" s="927"/>
      <c r="DK602" s="1230"/>
      <c r="DL602" s="1230"/>
      <c r="DM602" s="925"/>
      <c r="DN602" s="927"/>
      <c r="DO602" s="309"/>
      <c r="DP602" s="926"/>
      <c r="DQ602" s="1219"/>
      <c r="DR602" s="1219"/>
      <c r="DS602" s="928"/>
      <c r="DT602" s="308"/>
      <c r="DU602" s="926"/>
      <c r="DV602" s="926"/>
      <c r="DW602" s="926"/>
      <c r="DX602" s="928"/>
      <c r="DY602" s="308"/>
      <c r="DZ602" s="926"/>
      <c r="EA602" s="926"/>
      <c r="EB602" s="926"/>
      <c r="EC602" s="928"/>
      <c r="ED602" s="308"/>
      <c r="EE602" s="926"/>
      <c r="EF602" s="926"/>
      <c r="EG602" s="926"/>
      <c r="EH602" s="928"/>
      <c r="EI602" s="830"/>
      <c r="EJ602" s="308"/>
      <c r="EK602" s="308"/>
      <c r="EL602" s="308"/>
      <c r="EM602" s="308"/>
      <c r="EN602" s="308"/>
      <c r="EO602" s="409"/>
      <c r="EP602" s="409"/>
      <c r="EQ602" s="409"/>
      <c r="ER602" s="409"/>
      <c r="ES602" s="409"/>
      <c r="ET602" s="409"/>
      <c r="EU602" s="409"/>
      <c r="EV602" s="409"/>
      <c r="EW602" s="409"/>
      <c r="EX602" s="409"/>
    </row>
    <row r="603" spans="1:154" s="1515" customFormat="1">
      <c r="A603" s="3275"/>
      <c r="B603" s="2684" t="s">
        <v>796</v>
      </c>
      <c r="C603" s="2027"/>
      <c r="D603" s="1508"/>
      <c r="E603" s="1508"/>
      <c r="F603" s="1509"/>
      <c r="G603" s="1509"/>
      <c r="H603" s="1509"/>
      <c r="I603" s="1509"/>
      <c r="J603" s="1509"/>
      <c r="K603" s="1509"/>
      <c r="L603" s="1509"/>
      <c r="M603" s="1509"/>
      <c r="N603" s="1509"/>
      <c r="O603" s="1510"/>
      <c r="P603" s="1509"/>
      <c r="Q603" s="1509"/>
      <c r="R603" s="1509"/>
      <c r="S603" s="1509"/>
      <c r="T603" s="1510"/>
      <c r="U603" s="1509"/>
      <c r="V603" s="1509"/>
      <c r="W603" s="1509"/>
      <c r="X603" s="1369"/>
      <c r="Y603" s="1510"/>
      <c r="Z603" s="1509"/>
      <c r="AA603" s="1509"/>
      <c r="AB603" s="1509"/>
      <c r="AC603" s="1369"/>
      <c r="AD603" s="1510"/>
      <c r="AE603" s="1509"/>
      <c r="AF603" s="1509"/>
      <c r="AG603" s="1509"/>
      <c r="AH603" s="1369"/>
      <c r="AI603" s="1510"/>
      <c r="AJ603" s="1509"/>
      <c r="AK603" s="1509"/>
      <c r="AL603" s="1509"/>
      <c r="AM603" s="1369"/>
      <c r="AN603" s="1510"/>
      <c r="AO603" s="1509"/>
      <c r="AP603" s="1509"/>
      <c r="AQ603" s="2400"/>
      <c r="AR603" s="1369"/>
      <c r="AS603" s="1510"/>
      <c r="AT603" s="1509"/>
      <c r="AU603" s="1509"/>
      <c r="AV603" s="1509"/>
      <c r="AW603" s="1369"/>
      <c r="AX603" s="1510"/>
      <c r="AY603" s="1509"/>
      <c r="AZ603" s="1509"/>
      <c r="BA603" s="1509"/>
      <c r="BB603" s="1369"/>
      <c r="BC603" s="1510"/>
      <c r="BD603" s="1509"/>
      <c r="BE603" s="1509"/>
      <c r="BF603" s="1509"/>
      <c r="BG603" s="1369"/>
      <c r="BH603" s="1510"/>
      <c r="BI603" s="1509"/>
      <c r="BJ603" s="1509"/>
      <c r="BK603" s="1509"/>
      <c r="BL603" s="1369"/>
      <c r="BM603" s="1509"/>
      <c r="BN603" s="1509"/>
      <c r="BO603" s="1509"/>
      <c r="BP603" s="1509"/>
      <c r="BQ603" s="1369"/>
      <c r="BR603" s="1509"/>
      <c r="BS603" s="1509"/>
      <c r="BT603" s="1509"/>
      <c r="BU603" s="1509"/>
      <c r="BV603" s="1369"/>
      <c r="BW603" s="1512"/>
      <c r="BX603" s="1509"/>
      <c r="BY603" s="1509"/>
      <c r="BZ603" s="1509"/>
      <c r="CA603" s="1369"/>
      <c r="CB603" s="1509"/>
      <c r="CC603" s="1509"/>
      <c r="CD603" s="1509"/>
      <c r="CE603" s="1509"/>
      <c r="CF603" s="1369"/>
      <c r="CG603" s="1509"/>
      <c r="CH603" s="1509"/>
      <c r="CI603" s="1509"/>
      <c r="CJ603" s="1509"/>
      <c r="CK603" s="1369"/>
      <c r="CL603" s="1513"/>
      <c r="CM603" s="1509"/>
      <c r="CN603" s="1509"/>
      <c r="CO603" s="1509"/>
      <c r="CP603" s="1369"/>
      <c r="CQ603" s="1509"/>
      <c r="CR603" s="1509"/>
      <c r="CS603" s="1509"/>
      <c r="CT603" s="1514"/>
      <c r="CU603" s="1369"/>
      <c r="CV603" s="1509"/>
      <c r="CW603" s="1509"/>
      <c r="CX603" s="1509"/>
      <c r="CY603" s="1514"/>
      <c r="CZ603" s="1369"/>
      <c r="DA603" s="1513"/>
      <c r="DB603" s="1509"/>
      <c r="DC603" s="1509"/>
      <c r="DD603" s="1514"/>
      <c r="DE603" s="1369"/>
      <c r="DF603" s="1509"/>
      <c r="DG603" s="1509"/>
      <c r="DH603" s="1509"/>
      <c r="DI603" s="1514"/>
      <c r="DJ603" s="1369"/>
      <c r="DK603" s="1509"/>
      <c r="DL603" s="1509"/>
      <c r="DM603" s="1509"/>
      <c r="DN603" s="1514"/>
      <c r="DO603" s="1369"/>
      <c r="DP603" s="1509"/>
      <c r="DQ603" s="1509"/>
      <c r="DR603" s="1509"/>
      <c r="DS603" s="1514"/>
      <c r="DT603" s="899"/>
      <c r="DU603" s="1509"/>
      <c r="DV603" s="1509"/>
      <c r="DW603" s="1509"/>
      <c r="DX603" s="1514"/>
      <c r="DY603" s="1369"/>
      <c r="DZ603" s="1509"/>
      <c r="EA603" s="1509"/>
      <c r="EB603" s="1509"/>
      <c r="EC603" s="1514"/>
      <c r="ED603" s="1369"/>
      <c r="EE603" s="1509"/>
      <c r="EF603" s="1509"/>
      <c r="EG603" s="1509"/>
      <c r="EH603" s="1514"/>
      <c r="EI603" s="1513"/>
      <c r="EJ603" s="1369"/>
      <c r="EK603" s="1369"/>
      <c r="EL603" s="1369"/>
      <c r="EM603" s="1369"/>
      <c r="EN603" s="1369"/>
      <c r="EO603" s="1514"/>
      <c r="EP603" s="1514"/>
      <c r="EQ603" s="1514"/>
      <c r="ER603" s="1514"/>
      <c r="ES603" s="1369"/>
      <c r="ET603" s="1514"/>
      <c r="EU603" s="1514"/>
      <c r="EV603" s="1514"/>
      <c r="EW603" s="1514"/>
      <c r="EX603" s="1369"/>
    </row>
    <row r="604" spans="1:154" s="1515" customFormat="1">
      <c r="A604" s="3275"/>
      <c r="B604" s="906" t="s">
        <v>153</v>
      </c>
      <c r="C604" s="2027"/>
      <c r="D604" s="1508"/>
      <c r="E604" s="1508"/>
      <c r="F604" s="1509"/>
      <c r="G604" s="1509"/>
      <c r="H604" s="1509"/>
      <c r="I604" s="1509"/>
      <c r="J604" s="1509"/>
      <c r="K604" s="1509"/>
      <c r="L604" s="1509"/>
      <c r="M604" s="1509"/>
      <c r="N604" s="1509"/>
      <c r="O604" s="1510"/>
      <c r="P604" s="1509"/>
      <c r="Q604" s="1509"/>
      <c r="R604" s="1509"/>
      <c r="S604" s="1509"/>
      <c r="T604" s="1510"/>
      <c r="U604" s="1509"/>
      <c r="V604" s="1509"/>
      <c r="W604" s="1509"/>
      <c r="X604" s="1369"/>
      <c r="Y604" s="1510"/>
      <c r="Z604" s="1509"/>
      <c r="AA604" s="1509"/>
      <c r="AB604" s="1509"/>
      <c r="AC604" s="1369"/>
      <c r="AD604" s="1510"/>
      <c r="AE604" s="1509"/>
      <c r="AF604" s="1509"/>
      <c r="AG604" s="1509"/>
      <c r="AH604" s="1369"/>
      <c r="AI604" s="1510"/>
      <c r="AJ604" s="1509"/>
      <c r="AK604" s="1509"/>
      <c r="AL604" s="1509"/>
      <c r="AM604" s="1369"/>
      <c r="AN604" s="1510"/>
      <c r="AO604" s="1509"/>
      <c r="AP604" s="1509"/>
      <c r="AQ604" s="2400"/>
      <c r="AR604" s="1369"/>
      <c r="AS604" s="1510"/>
      <c r="AT604" s="1509"/>
      <c r="AU604" s="1509"/>
      <c r="AV604" s="1509"/>
      <c r="AW604" s="1369"/>
      <c r="AX604" s="1510"/>
      <c r="AY604" s="1509"/>
      <c r="AZ604" s="1509"/>
      <c r="BA604" s="1509"/>
      <c r="BB604" s="1369"/>
      <c r="BC604" s="1510"/>
      <c r="BD604" s="1509"/>
      <c r="BE604" s="1509"/>
      <c r="BF604" s="1509"/>
      <c r="BG604" s="1369"/>
      <c r="BH604" s="1510"/>
      <c r="BI604" s="1509"/>
      <c r="BJ604" s="1509"/>
      <c r="BK604" s="1509"/>
      <c r="BL604" s="1369"/>
      <c r="BM604" s="1509"/>
      <c r="BN604" s="1509"/>
      <c r="BO604" s="1509"/>
      <c r="BP604" s="1509"/>
      <c r="BQ604" s="1369"/>
      <c r="BR604" s="1509"/>
      <c r="BS604" s="1509"/>
      <c r="BT604" s="1509"/>
      <c r="BU604" s="1509"/>
      <c r="BV604" s="1369"/>
      <c r="BW604" s="1512"/>
      <c r="BX604" s="1509"/>
      <c r="BY604" s="1509"/>
      <c r="BZ604" s="1509"/>
      <c r="CA604" s="1369"/>
      <c r="CB604" s="1509"/>
      <c r="CC604" s="1509"/>
      <c r="CD604" s="1509"/>
      <c r="CE604" s="1509"/>
      <c r="CF604" s="1369"/>
      <c r="CG604" s="1509"/>
      <c r="CH604" s="1509"/>
      <c r="CI604" s="1509"/>
      <c r="CJ604" s="1509"/>
      <c r="CK604" s="1369"/>
      <c r="CL604" s="1513"/>
      <c r="CM604" s="1509"/>
      <c r="CN604" s="1509"/>
      <c r="CO604" s="1509"/>
      <c r="CP604" s="1369"/>
      <c r="CQ604" s="1509"/>
      <c r="CR604" s="1509"/>
      <c r="CS604" s="1509"/>
      <c r="CT604" s="1514"/>
      <c r="CU604" s="1369"/>
      <c r="CV604" s="1509"/>
      <c r="CW604" s="1509"/>
      <c r="CX604" s="1509"/>
      <c r="CY604" s="1514"/>
      <c r="CZ604" s="1369"/>
      <c r="DA604" s="1513"/>
      <c r="DB604" s="1509"/>
      <c r="DC604" s="1509"/>
      <c r="DD604" s="1514"/>
      <c r="DE604" s="1369"/>
      <c r="DF604" s="1509"/>
      <c r="DG604" s="1509"/>
      <c r="DH604" s="1509"/>
      <c r="DI604" s="1514"/>
      <c r="DJ604" s="1369"/>
      <c r="DK604" s="1509"/>
      <c r="DL604" s="1509"/>
      <c r="DM604" s="1509"/>
      <c r="DN604" s="2450">
        <f>DN615+DN609</f>
      </c>
      <c r="DO604" s="2449"/>
      <c r="DP604" s="2451"/>
      <c r="DQ604" s="2451"/>
      <c r="DR604" s="2451"/>
      <c r="DS604" s="2450"/>
      <c r="DT604" s="2449"/>
      <c r="DU604" s="2451"/>
      <c r="DV604" s="2451"/>
      <c r="DW604" s="2451"/>
      <c r="DX604" s="2450"/>
      <c r="DY604" s="2449"/>
      <c r="DZ604" s="2451"/>
      <c r="EA604" s="2451"/>
      <c r="EB604" s="2451"/>
      <c r="EC604" s="2450"/>
      <c r="ED604" s="2449"/>
      <c r="EE604" s="2451"/>
      <c r="EF604" s="2451"/>
      <c r="EG604" s="2451"/>
      <c r="EH604" s="2450"/>
      <c r="EI604" s="3760"/>
      <c r="EJ604" s="3761">
        <v>280</v>
      </c>
      <c r="EK604" s="3761">
        <v>390</v>
      </c>
      <c r="EL604" s="3761">
        <v>510.82820532626181</v>
      </c>
      <c r="EM604" s="3761">
        <v>585.36399918156826</v>
      </c>
      <c r="EN604" s="3761">
        <v>654.35079872221047</v>
      </c>
      <c r="EO604" s="3762">
        <v>684.01376532993038</v>
      </c>
      <c r="EP604" s="3762">
        <v>697.69404063652917</v>
      </c>
      <c r="EQ604" s="3762">
        <v>711.64792144925968</v>
      </c>
      <c r="ER604" s="3763">
        <v>725.88087987824497</v>
      </c>
      <c r="ES604" s="3763">
        <v>740.39849747580968</v>
      </c>
      <c r="ET604" s="2453"/>
      <c r="EU604" s="2453"/>
      <c r="EV604" s="1514"/>
      <c r="EW604" s="1514"/>
      <c r="EX604" s="1369"/>
    </row>
    <row r="605" spans="1:154" s="1515" customFormat="1">
      <c r="A605" s="3275"/>
      <c r="B605" s="906" t="s">
        <v>235</v>
      </c>
      <c r="C605" s="2027"/>
      <c r="D605" s="1508"/>
      <c r="E605" s="1508"/>
      <c r="F605" s="1509"/>
      <c r="G605" s="1509"/>
      <c r="H605" s="1509"/>
      <c r="I605" s="1509"/>
      <c r="J605" s="1509"/>
      <c r="K605" s="1509"/>
      <c r="L605" s="1509"/>
      <c r="M605" s="1509"/>
      <c r="N605" s="1509"/>
      <c r="O605" s="1510"/>
      <c r="P605" s="1509"/>
      <c r="Q605" s="1509"/>
      <c r="R605" s="1509"/>
      <c r="S605" s="1509"/>
      <c r="T605" s="1510"/>
      <c r="U605" s="1509"/>
      <c r="V605" s="1509"/>
      <c r="W605" s="1509"/>
      <c r="X605" s="1369"/>
      <c r="Y605" s="1510"/>
      <c r="Z605" s="1509"/>
      <c r="AA605" s="1509"/>
      <c r="AB605" s="1509"/>
      <c r="AC605" s="1369"/>
      <c r="AD605" s="1510"/>
      <c r="AE605" s="1509"/>
      <c r="AF605" s="1509"/>
      <c r="AG605" s="1509"/>
      <c r="AH605" s="1369"/>
      <c r="AI605" s="1510"/>
      <c r="AJ605" s="1509"/>
      <c r="AK605" s="1509"/>
      <c r="AL605" s="1509"/>
      <c r="AM605" s="1369"/>
      <c r="AN605" s="1510"/>
      <c r="AO605" s="1509"/>
      <c r="AP605" s="1509"/>
      <c r="AQ605" s="2400"/>
      <c r="AR605" s="1369"/>
      <c r="AS605" s="1510"/>
      <c r="AT605" s="1509"/>
      <c r="AU605" s="1509"/>
      <c r="AV605" s="1509"/>
      <c r="AW605" s="1369"/>
      <c r="AX605" s="1510"/>
      <c r="AY605" s="1509"/>
      <c r="AZ605" s="1509"/>
      <c r="BA605" s="1509"/>
      <c r="BB605" s="1369"/>
      <c r="BC605" s="1510"/>
      <c r="BD605" s="1509"/>
      <c r="BE605" s="1509"/>
      <c r="BF605" s="1509"/>
      <c r="BG605" s="1369"/>
      <c r="BH605" s="1510"/>
      <c r="BI605" s="1509"/>
      <c r="BJ605" s="1509"/>
      <c r="BK605" s="1509"/>
      <c r="BL605" s="1369"/>
      <c r="BM605" s="1509"/>
      <c r="BN605" s="1509"/>
      <c r="BO605" s="1509"/>
      <c r="BP605" s="1509"/>
      <c r="BQ605" s="1369"/>
      <c r="BR605" s="1509"/>
      <c r="BS605" s="1509"/>
      <c r="BT605" s="1509"/>
      <c r="BU605" s="1509"/>
      <c r="BV605" s="1369"/>
      <c r="BW605" s="1512"/>
      <c r="BX605" s="1509"/>
      <c r="BY605" s="1509"/>
      <c r="BZ605" s="1509"/>
      <c r="CA605" s="1369"/>
      <c r="CB605" s="1509"/>
      <c r="CC605" s="1509"/>
      <c r="CD605" s="1509"/>
      <c r="CE605" s="1509"/>
      <c r="CF605" s="1369"/>
      <c r="CG605" s="1509"/>
      <c r="CH605" s="1509"/>
      <c r="CI605" s="1509"/>
      <c r="CJ605" s="1509"/>
      <c r="CK605" s="1369"/>
      <c r="CL605" s="1513"/>
      <c r="CM605" s="1509"/>
      <c r="CN605" s="1509"/>
      <c r="CO605" s="1509"/>
      <c r="CP605" s="1369"/>
      <c r="CQ605" s="1509"/>
      <c r="CR605" s="1509"/>
      <c r="CS605" s="1509"/>
      <c r="CT605" s="1514"/>
      <c r="CU605" s="1369"/>
      <c r="CV605" s="1509"/>
      <c r="CW605" s="1509"/>
      <c r="CX605" s="1509"/>
      <c r="CY605" s="1514"/>
      <c r="CZ605" s="1369"/>
      <c r="DA605" s="1513"/>
      <c r="DB605" s="1509"/>
      <c r="DC605" s="1509"/>
      <c r="DD605" s="1514"/>
      <c r="DE605" s="1369"/>
      <c r="DF605" s="1509"/>
      <c r="DG605" s="1509"/>
      <c r="DH605" s="1509"/>
      <c r="DI605" s="1514"/>
      <c r="DJ605" s="1369"/>
      <c r="DK605" s="1509"/>
      <c r="DL605" s="1509"/>
      <c r="DM605" s="1509"/>
      <c r="DN605" s="2450">
        <f>DN616+DN610</f>
      </c>
      <c r="DO605" s="2449"/>
      <c r="DP605" s="2451"/>
      <c r="DQ605" s="2451"/>
      <c r="DR605" s="2451"/>
      <c r="DS605" s="2450"/>
      <c r="DT605" s="2449"/>
      <c r="DU605" s="2451"/>
      <c r="DV605" s="2451"/>
      <c r="DW605" s="2451"/>
      <c r="DX605" s="2450"/>
      <c r="DY605" s="2449"/>
      <c r="DZ605" s="2451"/>
      <c r="EA605" s="2451"/>
      <c r="EB605" s="2451"/>
      <c r="EC605" s="2450"/>
      <c r="ED605" s="2449"/>
      <c r="EE605" s="2451"/>
      <c r="EF605" s="2451"/>
      <c r="EG605" s="2451"/>
      <c r="EH605" s="2450"/>
      <c r="EI605" s="3760"/>
      <c r="EJ605" s="3761">
        <v>200</v>
      </c>
      <c r="EK605" s="3761">
        <v>240</v>
      </c>
      <c r="EL605" s="3761">
        <v>388.76712741910376</v>
      </c>
      <c r="EM605" s="3761">
        <v>498.52637365542205</v>
      </c>
      <c r="EN605" s="3761">
        <v>558.94799614264582</v>
      </c>
      <c r="EO605" s="3762">
        <v>610.78795322202234</v>
      </c>
      <c r="EP605" s="3761">
        <v>626.08071861870587</v>
      </c>
      <c r="EQ605" s="3761">
        <v>626.08071861870599</v>
      </c>
      <c r="ER605" s="3763">
        <v>626.08071861870599</v>
      </c>
      <c r="ES605" s="3763">
        <v>626.08071861870587</v>
      </c>
      <c r="ET605" s="2453"/>
      <c r="EU605" s="2453"/>
      <c r="EV605" s="1514"/>
      <c r="EW605" s="1514"/>
      <c r="EX605" s="1369"/>
    </row>
    <row r="606" spans="1:154" s="1515" customFormat="1">
      <c r="A606" s="3275"/>
      <c r="B606" s="906" t="s">
        <v>188</v>
      </c>
      <c r="C606" s="2027"/>
      <c r="D606" s="1508"/>
      <c r="E606" s="1508"/>
      <c r="F606" s="1509"/>
      <c r="G606" s="1509"/>
      <c r="H606" s="1509"/>
      <c r="I606" s="1509"/>
      <c r="J606" s="1509"/>
      <c r="K606" s="1509"/>
      <c r="L606" s="1509"/>
      <c r="M606" s="1509"/>
      <c r="N606" s="1509"/>
      <c r="O606" s="1510"/>
      <c r="P606" s="1509"/>
      <c r="Q606" s="1509"/>
      <c r="R606" s="1509"/>
      <c r="S606" s="1509"/>
      <c r="T606" s="1510"/>
      <c r="U606" s="1509"/>
      <c r="V606" s="1509"/>
      <c r="W606" s="1509"/>
      <c r="X606" s="1369"/>
      <c r="Y606" s="1510"/>
      <c r="Z606" s="1509"/>
      <c r="AA606" s="1509"/>
      <c r="AB606" s="1509"/>
      <c r="AC606" s="1369"/>
      <c r="AD606" s="1510"/>
      <c r="AE606" s="1509"/>
      <c r="AF606" s="1509"/>
      <c r="AG606" s="1509"/>
      <c r="AH606" s="1369"/>
      <c r="AI606" s="1510"/>
      <c r="AJ606" s="1509"/>
      <c r="AK606" s="1509"/>
      <c r="AL606" s="1509"/>
      <c r="AM606" s="1369"/>
      <c r="AN606" s="1510"/>
      <c r="AO606" s="1509"/>
      <c r="AP606" s="1509"/>
      <c r="AQ606" s="2400"/>
      <c r="AR606" s="1369"/>
      <c r="AS606" s="1510"/>
      <c r="AT606" s="1509"/>
      <c r="AU606" s="1509"/>
      <c r="AV606" s="1509"/>
      <c r="AW606" s="1369"/>
      <c r="AX606" s="1510"/>
      <c r="AY606" s="1509"/>
      <c r="AZ606" s="1509"/>
      <c r="BA606" s="1509"/>
      <c r="BB606" s="1369"/>
      <c r="BC606" s="1510"/>
      <c r="BD606" s="1509"/>
      <c r="BE606" s="1509"/>
      <c r="BF606" s="1509"/>
      <c r="BG606" s="1369"/>
      <c r="BH606" s="1510"/>
      <c r="BI606" s="1509"/>
      <c r="BJ606" s="1509"/>
      <c r="BK606" s="1509"/>
      <c r="BL606" s="1369"/>
      <c r="BM606" s="1509"/>
      <c r="BN606" s="1509"/>
      <c r="BO606" s="1509"/>
      <c r="BP606" s="1509"/>
      <c r="BQ606" s="1369"/>
      <c r="BR606" s="1509"/>
      <c r="BS606" s="1509"/>
      <c r="BT606" s="1509"/>
      <c r="BU606" s="1509"/>
      <c r="BV606" s="1369"/>
      <c r="BW606" s="1512"/>
      <c r="BX606" s="1509"/>
      <c r="BY606" s="1509"/>
      <c r="BZ606" s="1509"/>
      <c r="CA606" s="1369"/>
      <c r="CB606" s="1509"/>
      <c r="CC606" s="1509"/>
      <c r="CD606" s="1509"/>
      <c r="CE606" s="1509"/>
      <c r="CF606" s="1369"/>
      <c r="CG606" s="1509"/>
      <c r="CH606" s="1509"/>
      <c r="CI606" s="1509"/>
      <c r="CJ606" s="1509"/>
      <c r="CK606" s="1369"/>
      <c r="CL606" s="1513"/>
      <c r="CM606" s="1509"/>
      <c r="CN606" s="1509"/>
      <c r="CO606" s="1509"/>
      <c r="CP606" s="1369"/>
      <c r="CQ606" s="1509"/>
      <c r="CR606" s="1509"/>
      <c r="CS606" s="1509"/>
      <c r="CT606" s="1514"/>
      <c r="CU606" s="1369"/>
      <c r="CV606" s="1509"/>
      <c r="CW606" s="1509"/>
      <c r="CX606" s="1509"/>
      <c r="CY606" s="1514"/>
      <c r="CZ606" s="1369"/>
      <c r="DA606" s="1513"/>
      <c r="DB606" s="1509"/>
      <c r="DC606" s="1509"/>
      <c r="DD606" s="1514"/>
      <c r="DE606" s="1369"/>
      <c r="DF606" s="1509"/>
      <c r="DG606" s="1509"/>
      <c r="DH606" s="1509"/>
      <c r="DI606" s="1514"/>
      <c r="DJ606" s="1369"/>
      <c r="DK606" s="1509"/>
      <c r="DL606" s="1509"/>
      <c r="DM606" s="1509"/>
      <c r="DN606" s="2450">
        <f>DN617+DN611</f>
      </c>
      <c r="DO606" s="2449"/>
      <c r="DP606" s="2451"/>
      <c r="DQ606" s="2451"/>
      <c r="DR606" s="2451"/>
      <c r="DS606" s="2450"/>
      <c r="DT606" s="2449"/>
      <c r="DU606" s="2451"/>
      <c r="DV606" s="2451"/>
      <c r="DW606" s="2451"/>
      <c r="DX606" s="2450"/>
      <c r="DY606" s="2449"/>
      <c r="DZ606" s="2451"/>
      <c r="EA606" s="2451"/>
      <c r="EB606" s="2451"/>
      <c r="EC606" s="2450"/>
      <c r="ED606" s="2449"/>
      <c r="EE606" s="2451"/>
      <c r="EF606" s="2451"/>
      <c r="EG606" s="2451"/>
      <c r="EH606" s="2451"/>
      <c r="EI606" s="2452"/>
      <c r="EJ606" s="2452">
        <f t="shared" ref="EJ606:EU606" si="1476">SUM(EJ604:EJ605)</f>
      </c>
      <c r="EK606" s="2452">
        <f t="shared" si="1476"/>
      </c>
      <c r="EL606" s="2452">
        <f t="shared" si="1476"/>
      </c>
      <c r="EM606" s="2452">
        <f t="shared" si="1476"/>
      </c>
      <c r="EN606" s="2452">
        <f t="shared" si="1476"/>
      </c>
      <c r="EO606" s="2452">
        <f t="shared" si="1476"/>
      </c>
      <c r="EP606" s="2452">
        <f t="shared" si="1476"/>
      </c>
      <c r="EQ606" s="2452">
        <f t="shared" si="1476"/>
      </c>
      <c r="ER606" s="2452">
        <f t="shared" si="1476"/>
      </c>
      <c r="ES606" s="2452">
        <f t="shared" si="1476"/>
      </c>
      <c r="ET606" s="2452">
        <f t="shared" si="1476"/>
      </c>
      <c r="EU606" s="2452">
        <f t="shared" si="1476"/>
      </c>
      <c r="EV606" s="1514"/>
      <c r="EW606" s="1514"/>
      <c r="EX606" s="1369"/>
    </row>
    <row r="607" spans="1:154" ht="12.75" customHeight="1">
      <c r="B607" s="1390"/>
      <c r="C607" s="1392"/>
      <c r="D607" s="894"/>
      <c r="E607" s="894"/>
      <c r="F607" s="895"/>
      <c r="G607" s="895"/>
      <c r="H607" s="895"/>
      <c r="I607" s="895"/>
      <c r="J607" s="895"/>
      <c r="K607" s="895"/>
      <c r="L607" s="895"/>
      <c r="M607" s="895"/>
      <c r="N607" s="895"/>
      <c r="O607" s="896"/>
      <c r="P607" s="895"/>
      <c r="Q607" s="895"/>
      <c r="R607" s="895"/>
      <c r="S607" s="895"/>
      <c r="T607" s="896"/>
      <c r="U607" s="895"/>
      <c r="V607" s="895"/>
      <c r="W607" s="895"/>
      <c r="X607" s="899"/>
      <c r="Y607" s="896"/>
      <c r="Z607" s="895"/>
      <c r="AA607" s="895"/>
      <c r="AB607" s="895"/>
      <c r="AC607" s="899"/>
      <c r="AD607" s="896"/>
      <c r="AE607" s="895"/>
      <c r="AF607" s="895"/>
      <c r="AG607" s="895"/>
      <c r="AH607" s="899"/>
      <c r="AI607" s="896"/>
      <c r="AJ607" s="895"/>
      <c r="AK607" s="895"/>
      <c r="AL607" s="895"/>
      <c r="AM607" s="899"/>
      <c r="AN607" s="896"/>
      <c r="AO607" s="895"/>
      <c r="AP607" s="895"/>
      <c r="AQ607" s="897"/>
      <c r="AR607" s="899"/>
      <c r="AS607" s="896"/>
      <c r="AT607" s="895"/>
      <c r="AU607" s="895"/>
      <c r="AV607" s="895"/>
      <c r="AW607" s="899"/>
      <c r="AX607" s="896"/>
      <c r="AY607" s="895"/>
      <c r="AZ607" s="895"/>
      <c r="BA607" s="895"/>
      <c r="BB607" s="899"/>
      <c r="BC607" s="896"/>
      <c r="BD607" s="895"/>
      <c r="BE607" s="895"/>
      <c r="BF607" s="895"/>
      <c r="BG607" s="899"/>
      <c r="BH607" s="896"/>
      <c r="BI607" s="895"/>
      <c r="BJ607" s="895"/>
      <c r="BK607" s="895"/>
      <c r="BL607" s="899"/>
      <c r="BM607" s="895"/>
      <c r="BN607" s="895"/>
      <c r="BO607" s="895"/>
      <c r="BP607" s="895"/>
      <c r="BQ607" s="899"/>
      <c r="BR607" s="895"/>
      <c r="BS607" s="895"/>
      <c r="BT607" s="895"/>
      <c r="BU607" s="895"/>
      <c r="BV607" s="899"/>
      <c r="BW607" s="908"/>
      <c r="BX607" s="895"/>
      <c r="BY607" s="895"/>
      <c r="BZ607" s="895"/>
      <c r="CA607" s="899"/>
      <c r="CB607" s="895"/>
      <c r="CC607" s="895"/>
      <c r="CD607" s="895"/>
      <c r="CE607" s="895"/>
      <c r="CF607" s="899"/>
      <c r="CG607" s="895"/>
      <c r="CH607" s="895"/>
      <c r="CI607" s="895"/>
      <c r="CJ607" s="895"/>
      <c r="CK607" s="899"/>
      <c r="CL607" s="1015"/>
      <c r="CM607" s="895"/>
      <c r="CN607" s="895"/>
      <c r="CO607" s="895"/>
      <c r="CP607" s="899"/>
      <c r="CQ607" s="895"/>
      <c r="CR607" s="895"/>
      <c r="CS607" s="895"/>
      <c r="CT607" s="915"/>
      <c r="CU607" s="899"/>
      <c r="CV607" s="895"/>
      <c r="CW607" s="895"/>
      <c r="CX607" s="895"/>
      <c r="CY607" s="915"/>
      <c r="CZ607" s="899"/>
      <c r="DA607" s="1015"/>
      <c r="DB607" s="1509"/>
      <c r="DC607" s="895"/>
      <c r="DD607" s="915"/>
      <c r="DE607" s="899"/>
      <c r="DF607" s="895"/>
      <c r="DG607" s="895"/>
      <c r="DH607" s="895"/>
      <c r="DI607" s="915"/>
      <c r="DJ607" s="899"/>
      <c r="DK607" s="895"/>
      <c r="DL607" s="895"/>
      <c r="DM607" s="895"/>
      <c r="DN607" s="915"/>
      <c r="DO607" s="899"/>
      <c r="DP607" s="895"/>
      <c r="DQ607" s="895"/>
      <c r="DR607" s="895"/>
      <c r="DS607" s="915"/>
      <c r="DT607" s="899"/>
      <c r="DU607" s="895"/>
      <c r="DV607" s="895"/>
      <c r="DW607" s="895"/>
      <c r="DX607" s="895"/>
      <c r="DY607" s="899"/>
      <c r="DZ607" s="895"/>
      <c r="EA607" s="895"/>
      <c r="EB607" s="895"/>
      <c r="EC607" s="915"/>
      <c r="ED607" s="899"/>
      <c r="EE607" s="895"/>
      <c r="EF607" s="895"/>
      <c r="EG607" s="895"/>
      <c r="EH607" s="915"/>
      <c r="EI607" s="1015"/>
      <c r="EJ607" s="899"/>
      <c r="EK607" s="899"/>
      <c r="EL607" s="899"/>
      <c r="EM607" s="899"/>
      <c r="EN607" s="899"/>
      <c r="EO607" s="915"/>
      <c r="EP607" s="915"/>
      <c r="EQ607" s="915"/>
      <c r="ER607" s="915"/>
      <c r="ES607" s="899"/>
      <c r="ET607" s="899"/>
      <c r="EU607" s="915"/>
      <c r="EV607" s="899"/>
      <c r="EW607" s="899"/>
      <c r="EX607" s="899"/>
    </row>
    <row r="608" spans="1:154">
      <c r="B608" s="3344" t="s">
        <v>1037</v>
      </c>
      <c r="C608" s="1392"/>
      <c r="D608" s="894"/>
      <c r="E608" s="894"/>
      <c r="F608" s="895"/>
      <c r="G608" s="895"/>
      <c r="H608" s="895"/>
      <c r="I608" s="895"/>
      <c r="J608" s="895"/>
      <c r="K608" s="895"/>
      <c r="L608" s="895"/>
      <c r="M608" s="895"/>
      <c r="N608" s="895"/>
      <c r="O608" s="896"/>
      <c r="P608" s="895"/>
      <c r="Q608" s="895"/>
      <c r="R608" s="895"/>
      <c r="S608" s="895"/>
      <c r="T608" s="896"/>
      <c r="U608" s="895"/>
      <c r="V608" s="895"/>
      <c r="W608" s="895"/>
      <c r="X608" s="899"/>
      <c r="Y608" s="896"/>
      <c r="Z608" s="895"/>
      <c r="AA608" s="895"/>
      <c r="AB608" s="895"/>
      <c r="AC608" s="899"/>
      <c r="AD608" s="896"/>
      <c r="AE608" s="895"/>
      <c r="AF608" s="895"/>
      <c r="AG608" s="895"/>
      <c r="AH608" s="899"/>
      <c r="AI608" s="896"/>
      <c r="AJ608" s="895"/>
      <c r="AK608" s="895"/>
      <c r="AL608" s="895"/>
      <c r="AM608" s="899"/>
      <c r="AN608" s="896"/>
      <c r="AO608" s="895"/>
      <c r="AP608" s="895"/>
      <c r="AQ608" s="2399"/>
      <c r="AR608" s="899"/>
      <c r="AS608" s="896"/>
      <c r="AT608" s="895"/>
      <c r="AU608" s="895"/>
      <c r="AV608" s="895"/>
      <c r="AW608" s="899"/>
      <c r="AX608" s="896"/>
      <c r="AY608" s="895"/>
      <c r="AZ608" s="895"/>
      <c r="BA608" s="895"/>
      <c r="BB608" s="899"/>
      <c r="BC608" s="896"/>
      <c r="BD608" s="895"/>
      <c r="BE608" s="895"/>
      <c r="BF608" s="895"/>
      <c r="BG608" s="899"/>
      <c r="BH608" s="896"/>
      <c r="BI608" s="895"/>
      <c r="BJ608" s="895"/>
      <c r="BK608" s="895"/>
      <c r="BL608" s="899"/>
      <c r="BM608" s="895"/>
      <c r="BN608" s="895"/>
      <c r="BO608" s="895"/>
      <c r="BP608" s="895"/>
      <c r="BQ608" s="899"/>
      <c r="BR608" s="895"/>
      <c r="BS608" s="895"/>
      <c r="BT608" s="895"/>
      <c r="BU608" s="895"/>
      <c r="BV608" s="899"/>
      <c r="BW608" s="908"/>
      <c r="BX608" s="895"/>
      <c r="BY608" s="895"/>
      <c r="BZ608" s="895"/>
      <c r="CA608" s="899"/>
      <c r="CB608" s="895"/>
      <c r="CC608" s="895"/>
      <c r="CD608" s="895"/>
      <c r="CE608" s="895"/>
      <c r="CF608" s="899"/>
      <c r="CG608" s="895"/>
      <c r="CH608" s="895"/>
      <c r="CI608" s="895"/>
      <c r="CJ608" s="895"/>
      <c r="CK608" s="899"/>
      <c r="CL608" s="1015"/>
      <c r="CM608" s="895"/>
      <c r="CN608" s="895"/>
      <c r="CO608" s="895"/>
      <c r="CP608" s="899"/>
      <c r="CQ608" s="895"/>
      <c r="CR608" s="895"/>
      <c r="CS608" s="895"/>
      <c r="CT608" s="915"/>
      <c r="CU608" s="899"/>
      <c r="CV608" s="895"/>
      <c r="CW608" s="895"/>
      <c r="CX608" s="895"/>
      <c r="CY608" s="915"/>
      <c r="CZ608" s="899"/>
      <c r="DA608" s="1015"/>
      <c r="DB608" s="1509"/>
      <c r="DC608" s="895"/>
      <c r="DD608" s="915"/>
      <c r="DE608" s="899"/>
      <c r="DF608" s="895"/>
      <c r="DG608" s="895"/>
      <c r="DH608" s="895"/>
      <c r="DI608" s="915"/>
      <c r="DJ608" s="899"/>
      <c r="DK608" s="895"/>
      <c r="DL608" s="895"/>
      <c r="DM608" s="895"/>
      <c r="DN608" s="915"/>
      <c r="DO608" s="899"/>
      <c r="DP608" s="895"/>
      <c r="DQ608" s="895"/>
      <c r="DR608" s="895"/>
      <c r="DS608" s="915"/>
      <c r="DT608" s="899"/>
      <c r="DU608" s="2460"/>
      <c r="DV608" s="2460"/>
      <c r="DW608" s="2460"/>
      <c r="DX608" s="2466"/>
      <c r="DY608" s="2467"/>
      <c r="DZ608" s="2460"/>
      <c r="EA608" s="2460"/>
      <c r="EB608" s="2460"/>
      <c r="EC608" s="2466"/>
      <c r="ED608" s="2922"/>
      <c r="EE608" s="2460"/>
      <c r="EF608" s="2460"/>
      <c r="EG608" s="2460"/>
      <c r="EH608" s="2466"/>
      <c r="EI608" s="2468"/>
      <c r="EJ608" s="2467"/>
      <c r="EK608" s="2467"/>
      <c r="EL608" s="2467"/>
      <c r="EM608" s="2467"/>
      <c r="EN608" s="899"/>
      <c r="EO608" s="915"/>
      <c r="EP608" s="915"/>
      <c r="EQ608" s="915"/>
      <c r="ER608" s="915"/>
      <c r="ES608" s="899"/>
      <c r="ET608" s="899"/>
      <c r="EU608" s="915"/>
      <c r="EV608" s="899"/>
      <c r="EW608" s="899"/>
      <c r="EX608" s="899"/>
    </row>
    <row r="609" spans="1:154">
      <c r="B609" s="1390" t="s">
        <v>925</v>
      </c>
      <c r="C609" s="1392"/>
      <c r="D609" s="894"/>
      <c r="E609" s="894"/>
      <c r="F609" s="895"/>
      <c r="G609" s="895"/>
      <c r="H609" s="895"/>
      <c r="I609" s="895"/>
      <c r="J609" s="895"/>
      <c r="K609" s="895"/>
      <c r="L609" s="895"/>
      <c r="M609" s="895"/>
      <c r="N609" s="895"/>
      <c r="O609" s="896"/>
      <c r="P609" s="895"/>
      <c r="Q609" s="895"/>
      <c r="R609" s="895"/>
      <c r="S609" s="895"/>
      <c r="T609" s="896"/>
      <c r="U609" s="895"/>
      <c r="V609" s="895"/>
      <c r="W609" s="895"/>
      <c r="X609" s="899"/>
      <c r="Y609" s="896"/>
      <c r="Z609" s="895"/>
      <c r="AA609" s="895"/>
      <c r="AB609" s="895"/>
      <c r="AC609" s="899"/>
      <c r="AD609" s="896"/>
      <c r="AE609" s="895"/>
      <c r="AF609" s="895"/>
      <c r="AG609" s="895"/>
      <c r="AH609" s="899"/>
      <c r="AI609" s="896"/>
      <c r="AJ609" s="895"/>
      <c r="AK609" s="895"/>
      <c r="AL609" s="895"/>
      <c r="AM609" s="899"/>
      <c r="AN609" s="896"/>
      <c r="AO609" s="895"/>
      <c r="AP609" s="895"/>
      <c r="AQ609" s="2399"/>
      <c r="AR609" s="899"/>
      <c r="AS609" s="896"/>
      <c r="AT609" s="895"/>
      <c r="AU609" s="895"/>
      <c r="AV609" s="895"/>
      <c r="AW609" s="899"/>
      <c r="AX609" s="896"/>
      <c r="AY609" s="895"/>
      <c r="AZ609" s="895"/>
      <c r="BA609" s="895"/>
      <c r="BB609" s="899"/>
      <c r="BC609" s="896"/>
      <c r="BD609" s="895"/>
      <c r="BE609" s="895"/>
      <c r="BF609" s="895"/>
      <c r="BG609" s="899"/>
      <c r="BH609" s="896"/>
      <c r="BI609" s="895"/>
      <c r="BJ609" s="895"/>
      <c r="BK609" s="895"/>
      <c r="BL609" s="899"/>
      <c r="BM609" s="895"/>
      <c r="BN609" s="895"/>
      <c r="BO609" s="895"/>
      <c r="BP609" s="895"/>
      <c r="BQ609" s="899"/>
      <c r="BR609" s="895"/>
      <c r="BS609" s="895"/>
      <c r="BT609" s="895"/>
      <c r="BU609" s="895"/>
      <c r="BV609" s="899"/>
      <c r="BW609" s="908"/>
      <c r="BX609" s="895"/>
      <c r="BY609" s="895"/>
      <c r="BZ609" s="895"/>
      <c r="CA609" s="899"/>
      <c r="CB609" s="895"/>
      <c r="CC609" s="895"/>
      <c r="CD609" s="895"/>
      <c r="CE609" s="895"/>
      <c r="CF609" s="899"/>
      <c r="CG609" s="895"/>
      <c r="CH609" s="895"/>
      <c r="CI609" s="895"/>
      <c r="CJ609" s="895"/>
      <c r="CK609" s="899"/>
      <c r="CL609" s="1015"/>
      <c r="CM609" s="895"/>
      <c r="CN609" s="895"/>
      <c r="CO609" s="895"/>
      <c r="CP609" s="899"/>
      <c r="CQ609" s="895"/>
      <c r="CR609" s="895"/>
      <c r="CS609" s="895"/>
      <c r="CT609" s="915"/>
      <c r="CU609" s="899"/>
      <c r="CV609" s="895"/>
      <c r="CW609" s="895"/>
      <c r="CX609" s="895"/>
      <c r="CY609" s="915"/>
      <c r="CZ609" s="899"/>
      <c r="DA609" s="1015"/>
      <c r="DB609" s="1509"/>
      <c r="DC609" s="895"/>
      <c r="DD609" s="915"/>
      <c r="DE609" s="899"/>
      <c r="DF609" s="895"/>
      <c r="DG609" s="895"/>
      <c r="DH609" s="895"/>
      <c r="DI609" s="915"/>
      <c r="DJ609" s="899"/>
      <c r="DK609" s="895"/>
      <c r="DL609" s="895"/>
      <c r="DM609" s="895"/>
      <c r="DN609" s="915">
        <f>DO609</f>
      </c>
      <c r="DO609" s="909"/>
      <c r="DP609" s="908">
        <v>8</v>
      </c>
      <c r="DQ609" s="908">
        <v>12</v>
      </c>
      <c r="DR609" s="908">
        <v>14</v>
      </c>
      <c r="DS609" s="1021">
        <v>16</v>
      </c>
      <c r="DT609" s="899"/>
      <c r="DU609" s="908"/>
      <c r="DV609" s="908"/>
      <c r="DW609" s="908"/>
      <c r="DX609" s="1021"/>
      <c r="DY609" s="899"/>
      <c r="DZ609" s="908"/>
      <c r="EA609" s="908"/>
      <c r="EB609" s="908"/>
      <c r="EC609" s="915"/>
      <c r="ED609" s="2448"/>
      <c r="EE609" s="908"/>
      <c r="EF609" s="908"/>
      <c r="EG609" s="908"/>
      <c r="EH609" s="915"/>
      <c r="EI609" s="2448"/>
      <c r="EJ609" s="3422"/>
      <c r="EK609" s="3421">
        <f t="shared" ref="EK609:EK610" si="1477">EK604/EJ604-1</f>
      </c>
      <c r="EL609" s="3422">
        <f t="shared" ref="EL609:EL610" si="1478">EL604/EK604-1</f>
      </c>
      <c r="EM609" s="3421">
        <f t="shared" ref="EM609:EM610" si="1479">EM604/EL604-1</f>
      </c>
      <c r="EN609" s="3422">
        <f t="shared" ref="EN609:EN610" si="1480">EN604/EM604-1</f>
      </c>
      <c r="EO609" s="3422">
        <f t="shared" ref="EO609:EO610" si="1481">EO604/EN604-1</f>
      </c>
      <c r="EP609" s="3422">
        <f t="shared" ref="EP609:EP610" si="1482">EP604/EO604-1</f>
      </c>
      <c r="EQ609" s="3422">
        <f t="shared" ref="EQ609:EQ610" si="1483">EQ604/EP604-1</f>
      </c>
      <c r="ER609" s="3422">
        <f t="shared" ref="ER609:ER610" si="1484">ER604/EQ604-1</f>
      </c>
      <c r="ES609" s="3422">
        <f t="shared" ref="ES609:ES610" si="1485">ES604/ER604-1</f>
      </c>
      <c r="ET609" s="2448"/>
      <c r="EU609" s="2448"/>
      <c r="EV609" s="909"/>
      <c r="EW609" s="909"/>
      <c r="EX609" s="1021"/>
    </row>
    <row r="610" spans="1:154">
      <c r="B610" s="1390" t="s">
        <v>412</v>
      </c>
      <c r="C610" s="1392"/>
      <c r="D610" s="894"/>
      <c r="E610" s="894"/>
      <c r="F610" s="895"/>
      <c r="G610" s="895"/>
      <c r="H610" s="895"/>
      <c r="I610" s="895"/>
      <c r="J610" s="895"/>
      <c r="K610" s="895"/>
      <c r="L610" s="895"/>
      <c r="M610" s="895"/>
      <c r="N610" s="895"/>
      <c r="O610" s="896"/>
      <c r="P610" s="895"/>
      <c r="Q610" s="895"/>
      <c r="R610" s="895"/>
      <c r="S610" s="895"/>
      <c r="T610" s="896"/>
      <c r="U610" s="895"/>
      <c r="V610" s="895"/>
      <c r="W610" s="895"/>
      <c r="X610" s="899"/>
      <c r="Y610" s="896"/>
      <c r="Z610" s="895"/>
      <c r="AA610" s="895"/>
      <c r="AB610" s="895"/>
      <c r="AC610" s="899"/>
      <c r="AD610" s="896"/>
      <c r="AE610" s="895"/>
      <c r="AF610" s="895"/>
      <c r="AG610" s="895"/>
      <c r="AH610" s="899"/>
      <c r="AI610" s="896"/>
      <c r="AJ610" s="895"/>
      <c r="AK610" s="895"/>
      <c r="AL610" s="895"/>
      <c r="AM610" s="899"/>
      <c r="AN610" s="896"/>
      <c r="AO610" s="895"/>
      <c r="AP610" s="895"/>
      <c r="AQ610" s="2399"/>
      <c r="AR610" s="899"/>
      <c r="AS610" s="896"/>
      <c r="AT610" s="895"/>
      <c r="AU610" s="895"/>
      <c r="AV610" s="895"/>
      <c r="AW610" s="899"/>
      <c r="AX610" s="896"/>
      <c r="AY610" s="895"/>
      <c r="AZ610" s="895"/>
      <c r="BA610" s="895"/>
      <c r="BB610" s="899"/>
      <c r="BC610" s="896"/>
      <c r="BD610" s="895"/>
      <c r="BE610" s="895"/>
      <c r="BF610" s="895"/>
      <c r="BG610" s="899"/>
      <c r="BH610" s="896"/>
      <c r="BI610" s="895"/>
      <c r="BJ610" s="895"/>
      <c r="BK610" s="895"/>
      <c r="BL610" s="899"/>
      <c r="BM610" s="895"/>
      <c r="BN610" s="895"/>
      <c r="BO610" s="895"/>
      <c r="BP610" s="895"/>
      <c r="BQ610" s="899"/>
      <c r="BR610" s="895"/>
      <c r="BS610" s="895"/>
      <c r="BT610" s="895"/>
      <c r="BU610" s="895"/>
      <c r="BV610" s="899"/>
      <c r="BW610" s="908"/>
      <c r="BX610" s="895"/>
      <c r="BY610" s="895"/>
      <c r="BZ610" s="895"/>
      <c r="CA610" s="899"/>
      <c r="CB610" s="895"/>
      <c r="CC610" s="895"/>
      <c r="CD610" s="895"/>
      <c r="CE610" s="895"/>
      <c r="CF610" s="899"/>
      <c r="CG610" s="895"/>
      <c r="CH610" s="895"/>
      <c r="CI610" s="895"/>
      <c r="CJ610" s="895"/>
      <c r="CK610" s="899"/>
      <c r="CL610" s="1015"/>
      <c r="CM610" s="895"/>
      <c r="CN610" s="895"/>
      <c r="CO610" s="895"/>
      <c r="CP610" s="899"/>
      <c r="CQ610" s="895"/>
      <c r="CR610" s="895"/>
      <c r="CS610" s="895"/>
      <c r="CT610" s="915"/>
      <c r="CU610" s="899"/>
      <c r="CV610" s="895"/>
      <c r="CW610" s="895"/>
      <c r="CX610" s="895"/>
      <c r="CY610" s="915"/>
      <c r="CZ610" s="899"/>
      <c r="DA610" s="1015"/>
      <c r="DB610" s="1509"/>
      <c r="DC610" s="895"/>
      <c r="DD610" s="915"/>
      <c r="DE610" s="899"/>
      <c r="DF610" s="895"/>
      <c r="DG610" s="895"/>
      <c r="DH610" s="895"/>
      <c r="DI610" s="915"/>
      <c r="DJ610" s="899"/>
      <c r="DK610" s="895"/>
      <c r="DL610" s="895"/>
      <c r="DM610" s="895"/>
      <c r="DN610" s="915">
        <f>DO610</f>
      </c>
      <c r="DO610" s="909"/>
      <c r="DP610" s="908">
        <v>2</v>
      </c>
      <c r="DQ610" s="908">
        <v>5</v>
      </c>
      <c r="DR610" s="908">
        <v>7</v>
      </c>
      <c r="DS610" s="1021">
        <v>8</v>
      </c>
      <c r="DT610" s="899"/>
      <c r="DU610" s="908"/>
      <c r="DV610" s="908"/>
      <c r="DW610" s="908"/>
      <c r="DX610" s="1021"/>
      <c r="DY610" s="899"/>
      <c r="DZ610" s="908"/>
      <c r="EA610" s="908"/>
      <c r="EB610" s="908"/>
      <c r="EC610" s="915"/>
      <c r="ED610" s="2448"/>
      <c r="EE610" s="908"/>
      <c r="EF610" s="908"/>
      <c r="EG610" s="908"/>
      <c r="EH610" s="915"/>
      <c r="EI610" s="2448"/>
      <c r="EJ610" s="3422"/>
      <c r="EK610" s="3421">
        <f t="shared" si="1477"/>
      </c>
      <c r="EL610" s="3422">
        <f t="shared" si="1478"/>
      </c>
      <c r="EM610" s="3421">
        <f t="shared" si="1479"/>
      </c>
      <c r="EN610" s="3422">
        <f t="shared" si="1480"/>
      </c>
      <c r="EO610" s="3422">
        <f t="shared" si="1481"/>
      </c>
      <c r="EP610" s="3422">
        <f t="shared" si="1482"/>
      </c>
      <c r="EQ610" s="3422">
        <f t="shared" si="1483"/>
      </c>
      <c r="ER610" s="3422">
        <f t="shared" si="1484"/>
      </c>
      <c r="ES610" s="3422">
        <f t="shared" si="1485"/>
      </c>
      <c r="ET610" s="2448"/>
      <c r="EU610" s="2448"/>
      <c r="EV610" s="909"/>
      <c r="EW610" s="909"/>
      <c r="EX610" s="1021"/>
    </row>
    <row r="611" spans="1:154">
      <c r="B611" s="1390" t="s">
        <v>256</v>
      </c>
      <c r="C611" s="1392"/>
      <c r="D611" s="894"/>
      <c r="E611" s="894"/>
      <c r="F611" s="895"/>
      <c r="G611" s="895"/>
      <c r="H611" s="895"/>
      <c r="I611" s="895"/>
      <c r="J611" s="895"/>
      <c r="K611" s="895"/>
      <c r="L611" s="895"/>
      <c r="M611" s="895"/>
      <c r="N611" s="895"/>
      <c r="O611" s="896"/>
      <c r="P611" s="895"/>
      <c r="Q611" s="895"/>
      <c r="R611" s="895"/>
      <c r="S611" s="895"/>
      <c r="T611" s="896"/>
      <c r="U611" s="895"/>
      <c r="V611" s="895"/>
      <c r="W611" s="895"/>
      <c r="X611" s="899"/>
      <c r="Y611" s="896"/>
      <c r="Z611" s="895"/>
      <c r="AA611" s="895"/>
      <c r="AB611" s="895"/>
      <c r="AC611" s="899"/>
      <c r="AD611" s="896"/>
      <c r="AE611" s="895"/>
      <c r="AF611" s="895"/>
      <c r="AG611" s="895"/>
      <c r="AH611" s="899"/>
      <c r="AI611" s="896"/>
      <c r="AJ611" s="895"/>
      <c r="AK611" s="895"/>
      <c r="AL611" s="895"/>
      <c r="AM611" s="899"/>
      <c r="AN611" s="896"/>
      <c r="AO611" s="895"/>
      <c r="AP611" s="895"/>
      <c r="AQ611" s="2399"/>
      <c r="AR611" s="899"/>
      <c r="AS611" s="896"/>
      <c r="AT611" s="895"/>
      <c r="AU611" s="895"/>
      <c r="AV611" s="895"/>
      <c r="AW611" s="899"/>
      <c r="AX611" s="896"/>
      <c r="AY611" s="895"/>
      <c r="AZ611" s="895"/>
      <c r="BA611" s="895"/>
      <c r="BB611" s="899"/>
      <c r="BC611" s="896"/>
      <c r="BD611" s="895"/>
      <c r="BE611" s="895"/>
      <c r="BF611" s="895"/>
      <c r="BG611" s="899"/>
      <c r="BH611" s="896"/>
      <c r="BI611" s="895"/>
      <c r="BJ611" s="895"/>
      <c r="BK611" s="895"/>
      <c r="BL611" s="899"/>
      <c r="BM611" s="895"/>
      <c r="BN611" s="895"/>
      <c r="BO611" s="895"/>
      <c r="BP611" s="895"/>
      <c r="BQ611" s="899"/>
      <c r="BR611" s="895"/>
      <c r="BS611" s="895"/>
      <c r="BT611" s="895"/>
      <c r="BU611" s="895"/>
      <c r="BV611" s="899"/>
      <c r="BW611" s="908"/>
      <c r="BX611" s="895"/>
      <c r="BY611" s="895"/>
      <c r="BZ611" s="895"/>
      <c r="CA611" s="899"/>
      <c r="CB611" s="895"/>
      <c r="CC611" s="895"/>
      <c r="CD611" s="895"/>
      <c r="CE611" s="895"/>
      <c r="CF611" s="899"/>
      <c r="CG611" s="895"/>
      <c r="CH611" s="895"/>
      <c r="CI611" s="895"/>
      <c r="CJ611" s="895"/>
      <c r="CK611" s="899"/>
      <c r="CL611" s="1015"/>
      <c r="CM611" s="895"/>
      <c r="CN611" s="895"/>
      <c r="CO611" s="895"/>
      <c r="CP611" s="899"/>
      <c r="CQ611" s="895"/>
      <c r="CR611" s="895"/>
      <c r="CS611" s="895"/>
      <c r="CT611" s="915"/>
      <c r="CU611" s="899"/>
      <c r="CV611" s="895"/>
      <c r="CW611" s="895"/>
      <c r="CX611" s="895"/>
      <c r="CY611" s="915"/>
      <c r="CZ611" s="899"/>
      <c r="DA611" s="1015"/>
      <c r="DB611" s="1509"/>
      <c r="DC611" s="895"/>
      <c r="DD611" s="915"/>
      <c r="DE611" s="899"/>
      <c r="DF611" s="895"/>
      <c r="DG611" s="895"/>
      <c r="DH611" s="895"/>
      <c r="DI611" s="915"/>
      <c r="DJ611" s="899"/>
      <c r="DK611" s="895"/>
      <c r="DL611" s="895"/>
      <c r="DM611" s="895"/>
      <c r="DN611" s="915">
        <f t="shared" ref="DN611:DS611" si="1486">SUM(DN609:DN610)</f>
      </c>
      <c r="DO611" s="899">
        <f t="shared" si="1486"/>
      </c>
      <c r="DP611" s="895">
        <f t="shared" si="1486"/>
      </c>
      <c r="DQ611" s="895">
        <f t="shared" si="1486"/>
      </c>
      <c r="DR611" s="895">
        <f t="shared" si="1486"/>
      </c>
      <c r="DS611" s="915">
        <f t="shared" si="1486"/>
      </c>
      <c r="DT611" s="899"/>
      <c r="DU611" s="895"/>
      <c r="DV611" s="895"/>
      <c r="DW611" s="895"/>
      <c r="DX611" s="915"/>
      <c r="DY611" s="899"/>
      <c r="DZ611" s="895"/>
      <c r="EA611" s="895"/>
      <c r="EB611" s="895"/>
      <c r="EC611" s="915"/>
      <c r="ED611" s="2449"/>
      <c r="EE611" s="895"/>
      <c r="EF611" s="895"/>
      <c r="EG611" s="895"/>
      <c r="EH611" s="915"/>
      <c r="EI611" s="2449"/>
      <c r="EJ611" s="1060"/>
      <c r="EK611" s="3421"/>
      <c r="EL611" s="3422"/>
      <c r="EM611" s="3421"/>
      <c r="EN611" s="3422"/>
      <c r="EO611" s="3422"/>
      <c r="EP611" s="3422"/>
      <c r="EQ611" s="3422"/>
      <c r="ER611" s="3422"/>
      <c r="ES611" s="3422"/>
      <c r="ET611" s="2449"/>
      <c r="EU611" s="2449"/>
      <c r="EV611" s="899"/>
      <c r="EW611" s="899"/>
      <c r="EX611" s="915"/>
    </row>
    <row r="612" spans="1:154">
      <c r="B612" s="1390" t="s">
        <v>611</v>
      </c>
      <c r="C612" s="1392"/>
      <c r="D612" s="894"/>
      <c r="E612" s="894"/>
      <c r="F612" s="895"/>
      <c r="G612" s="895"/>
      <c r="H612" s="895"/>
      <c r="I612" s="895"/>
      <c r="J612" s="895"/>
      <c r="K612" s="895"/>
      <c r="L612" s="895"/>
      <c r="M612" s="895"/>
      <c r="N612" s="895"/>
      <c r="O612" s="896"/>
      <c r="P612" s="895"/>
      <c r="Q612" s="895"/>
      <c r="R612" s="895"/>
      <c r="S612" s="895"/>
      <c r="T612" s="896"/>
      <c r="U612" s="895"/>
      <c r="V612" s="895"/>
      <c r="W612" s="895"/>
      <c r="X612" s="899"/>
      <c r="Y612" s="896"/>
      <c r="Z612" s="895"/>
      <c r="AA612" s="895"/>
      <c r="AB612" s="895"/>
      <c r="AC612" s="899"/>
      <c r="AD612" s="896"/>
      <c r="AE612" s="895"/>
      <c r="AF612" s="895"/>
      <c r="AG612" s="895"/>
      <c r="AH612" s="899"/>
      <c r="AI612" s="896"/>
      <c r="AJ612" s="895"/>
      <c r="AK612" s="895"/>
      <c r="AL612" s="895"/>
      <c r="AM612" s="899"/>
      <c r="AN612" s="896"/>
      <c r="AO612" s="895"/>
      <c r="AP612" s="895"/>
      <c r="AQ612" s="2399"/>
      <c r="AR612" s="899"/>
      <c r="AS612" s="896"/>
      <c r="AT612" s="895"/>
      <c r="AU612" s="895"/>
      <c r="AV612" s="895"/>
      <c r="AW612" s="899"/>
      <c r="AX612" s="896"/>
      <c r="AY612" s="895"/>
      <c r="AZ612" s="895"/>
      <c r="BA612" s="895"/>
      <c r="BB612" s="899"/>
      <c r="BC612" s="896"/>
      <c r="BD612" s="895"/>
      <c r="BE612" s="895"/>
      <c r="BF612" s="895"/>
      <c r="BG612" s="899"/>
      <c r="BH612" s="896"/>
      <c r="BI612" s="895"/>
      <c r="BJ612" s="895"/>
      <c r="BK612" s="895"/>
      <c r="BL612" s="899"/>
      <c r="BM612" s="895"/>
      <c r="BN612" s="895"/>
      <c r="BO612" s="895"/>
      <c r="BP612" s="895"/>
      <c r="BQ612" s="899"/>
      <c r="BR612" s="895"/>
      <c r="BS612" s="895"/>
      <c r="BT612" s="895"/>
      <c r="BU612" s="895"/>
      <c r="BV612" s="899"/>
      <c r="BW612" s="908"/>
      <c r="BX612" s="895"/>
      <c r="BY612" s="895"/>
      <c r="BZ612" s="895"/>
      <c r="CA612" s="899"/>
      <c r="CB612" s="895"/>
      <c r="CC612" s="895"/>
      <c r="CD612" s="895"/>
      <c r="CE612" s="895"/>
      <c r="CF612" s="899"/>
      <c r="CG612" s="895"/>
      <c r="CH612" s="895"/>
      <c r="CI612" s="895"/>
      <c r="CJ612" s="895"/>
      <c r="CK612" s="899"/>
      <c r="CL612" s="1015"/>
      <c r="CM612" s="895"/>
      <c r="CN612" s="895"/>
      <c r="CO612" s="895"/>
      <c r="CP612" s="899"/>
      <c r="CQ612" s="895"/>
      <c r="CR612" s="895"/>
      <c r="CS612" s="895"/>
      <c r="CT612" s="915"/>
      <c r="CU612" s="899"/>
      <c r="CV612" s="895"/>
      <c r="CW612" s="895"/>
      <c r="CX612" s="895"/>
      <c r="CY612" s="915"/>
      <c r="CZ612" s="899"/>
      <c r="DA612" s="1015"/>
      <c r="DB612" s="1509"/>
      <c r="DC612" s="895"/>
      <c r="DD612" s="915"/>
      <c r="DE612" s="899"/>
      <c r="DF612" s="895"/>
      <c r="DG612" s="895"/>
      <c r="DH612" s="895"/>
      <c r="DI612" s="915"/>
      <c r="DJ612" s="899"/>
      <c r="DK612" s="895"/>
      <c r="DL612" s="895"/>
      <c r="DM612" s="895"/>
      <c r="DN612" s="915"/>
      <c r="DO612" s="899"/>
      <c r="DP612" s="895"/>
      <c r="DQ612" s="895"/>
      <c r="DR612" s="895"/>
      <c r="DS612" s="915"/>
      <c r="DT612" s="899"/>
      <c r="DU612" s="895"/>
      <c r="DV612" s="895"/>
      <c r="DW612" s="895"/>
      <c r="DX612" s="915"/>
      <c r="DY612" s="899"/>
      <c r="DZ612" s="895"/>
      <c r="EA612" s="895"/>
      <c r="EB612" s="895"/>
      <c r="EC612" s="915"/>
      <c r="ED612" s="899"/>
      <c r="EE612" s="895"/>
      <c r="EF612" s="895"/>
      <c r="EG612" s="895"/>
      <c r="EH612" s="915"/>
      <c r="EI612" s="1015"/>
      <c r="EJ612" s="3424"/>
      <c r="EK612" s="3424">
        <f t="shared" ref="EK612" si="1487">EK606/EJ606-1</f>
      </c>
      <c r="EL612" s="3424">
        <f t="shared" ref="EL612" si="1488">EL606/EK606-1</f>
      </c>
      <c r="EM612" s="3424">
        <f t="shared" ref="EM612" si="1489">EM606/EL606-1</f>
      </c>
      <c r="EN612" s="3422">
        <f t="shared" ref="EN612" si="1490">EN606/EM606-1</f>
      </c>
      <c r="EO612" s="3422">
        <f t="shared" ref="EO612" si="1491">EO606/EN606-1</f>
      </c>
      <c r="EP612" s="3422">
        <f t="shared" ref="EP612" si="1492">EP606/EO606-1</f>
      </c>
      <c r="EQ612" s="3422">
        <f t="shared" ref="EQ612" si="1493">EQ606/EP606-1</f>
      </c>
      <c r="ER612" s="3422">
        <f t="shared" ref="ER612" si="1494">ER606/EQ606-1</f>
      </c>
      <c r="ES612" s="3422">
        <f t="shared" ref="ES612" si="1495">ES606/ER606-1</f>
      </c>
      <c r="ET612" s="899"/>
      <c r="EU612" s="915"/>
      <c r="EV612" s="899"/>
      <c r="EW612" s="899"/>
      <c r="EX612" s="899"/>
    </row>
    <row r="613" spans="1:154">
      <c r="B613" s="1390"/>
      <c r="C613" s="1392"/>
      <c r="D613" s="894"/>
      <c r="E613" s="894"/>
      <c r="F613" s="895"/>
      <c r="G613" s="895"/>
      <c r="H613" s="895"/>
      <c r="I613" s="895"/>
      <c r="J613" s="895"/>
      <c r="K613" s="895"/>
      <c r="L613" s="895"/>
      <c r="M613" s="895"/>
      <c r="N613" s="895"/>
      <c r="O613" s="896"/>
      <c r="P613" s="895"/>
      <c r="Q613" s="895"/>
      <c r="R613" s="895"/>
      <c r="S613" s="895"/>
      <c r="T613" s="896"/>
      <c r="U613" s="895"/>
      <c r="V613" s="895"/>
      <c r="W613" s="895"/>
      <c r="X613" s="899"/>
      <c r="Y613" s="896"/>
      <c r="Z613" s="895"/>
      <c r="AA613" s="895"/>
      <c r="AB613" s="895"/>
      <c r="AC613" s="899"/>
      <c r="AD613" s="896"/>
      <c r="AE613" s="895"/>
      <c r="AF613" s="895"/>
      <c r="AG613" s="895"/>
      <c r="AH613" s="899"/>
      <c r="AI613" s="896"/>
      <c r="AJ613" s="895"/>
      <c r="AK613" s="895"/>
      <c r="AL613" s="895"/>
      <c r="AM613" s="899"/>
      <c r="AN613" s="896"/>
      <c r="AO613" s="895"/>
      <c r="AP613" s="895"/>
      <c r="AQ613" s="2399"/>
      <c r="AR613" s="899"/>
      <c r="AS613" s="896"/>
      <c r="AT613" s="895"/>
      <c r="AU613" s="895"/>
      <c r="AV613" s="895"/>
      <c r="AW613" s="899"/>
      <c r="AX613" s="896"/>
      <c r="AY613" s="895"/>
      <c r="AZ613" s="895"/>
      <c r="BA613" s="895"/>
      <c r="BB613" s="899"/>
      <c r="BC613" s="896"/>
      <c r="BD613" s="895"/>
      <c r="BE613" s="895"/>
      <c r="BF613" s="895"/>
      <c r="BG613" s="899"/>
      <c r="BH613" s="896"/>
      <c r="BI613" s="895"/>
      <c r="BJ613" s="895"/>
      <c r="BK613" s="895"/>
      <c r="BL613" s="899"/>
      <c r="BM613" s="895"/>
      <c r="BN613" s="895"/>
      <c r="BO613" s="895"/>
      <c r="BP613" s="895"/>
      <c r="BQ613" s="899"/>
      <c r="BR613" s="895"/>
      <c r="BS613" s="895"/>
      <c r="BT613" s="895"/>
      <c r="BU613" s="895"/>
      <c r="BV613" s="899"/>
      <c r="BW613" s="908"/>
      <c r="BX613" s="895"/>
      <c r="BY613" s="895"/>
      <c r="BZ613" s="895"/>
      <c r="CA613" s="899"/>
      <c r="CB613" s="895"/>
      <c r="CC613" s="895"/>
      <c r="CD613" s="895"/>
      <c r="CE613" s="895"/>
      <c r="CF613" s="899"/>
      <c r="CG613" s="895"/>
      <c r="CH613" s="895"/>
      <c r="CI613" s="895"/>
      <c r="CJ613" s="895"/>
      <c r="CK613" s="899"/>
      <c r="CL613" s="1015"/>
      <c r="CM613" s="895"/>
      <c r="CN613" s="895"/>
      <c r="CO613" s="895"/>
      <c r="CP613" s="899"/>
      <c r="CQ613" s="895"/>
      <c r="CR613" s="895"/>
      <c r="CS613" s="895"/>
      <c r="CT613" s="915"/>
      <c r="CU613" s="899"/>
      <c r="CV613" s="895"/>
      <c r="CW613" s="895"/>
      <c r="CX613" s="895"/>
      <c r="CY613" s="915"/>
      <c r="CZ613" s="899"/>
      <c r="DA613" s="1015"/>
      <c r="DB613" s="1509"/>
      <c r="DC613" s="895"/>
      <c r="DD613" s="915"/>
      <c r="DE613" s="899"/>
      <c r="DF613" s="895"/>
      <c r="DG613" s="895"/>
      <c r="DH613" s="895"/>
      <c r="DI613" s="915"/>
      <c r="DJ613" s="899"/>
      <c r="DK613" s="895"/>
      <c r="DL613" s="895"/>
      <c r="DM613" s="895"/>
      <c r="DN613" s="915"/>
      <c r="DO613" s="899"/>
      <c r="DP613" s="895"/>
      <c r="DQ613" s="895"/>
      <c r="DR613" s="895"/>
      <c r="DS613" s="915"/>
      <c r="DT613" s="899"/>
      <c r="DU613" s="895"/>
      <c r="DV613" s="895"/>
      <c r="DW613" s="895"/>
      <c r="DX613" s="915"/>
      <c r="DY613" s="899"/>
      <c r="DZ613" s="895"/>
      <c r="EA613" s="895"/>
      <c r="EB613" s="895"/>
      <c r="EC613" s="915"/>
      <c r="ED613" s="899"/>
      <c r="EE613" s="895"/>
      <c r="EF613" s="895"/>
      <c r="EG613" s="895"/>
      <c r="EH613" s="915"/>
      <c r="EI613" s="1015"/>
      <c r="EJ613" s="899"/>
      <c r="EK613" s="899"/>
      <c r="EL613" s="899"/>
      <c r="EM613" s="899"/>
      <c r="EN613" s="899"/>
      <c r="EO613" s="915"/>
      <c r="EP613" s="915"/>
      <c r="EQ613" s="915"/>
      <c r="ER613" s="915"/>
      <c r="ES613" s="899"/>
      <c r="ET613" s="899"/>
      <c r="EU613" s="915"/>
      <c r="EV613" s="915"/>
      <c r="EW613" s="915"/>
      <c r="EX613" s="899"/>
    </row>
    <row r="614" spans="1:154" s="1515" customFormat="1">
      <c r="A614" s="3275"/>
      <c r="B614" s="2684" t="s">
        <v>1038</v>
      </c>
      <c r="C614" s="2027"/>
      <c r="D614" s="1508"/>
      <c r="E614" s="1508"/>
      <c r="F614" s="1509"/>
      <c r="G614" s="1509"/>
      <c r="H614" s="1509"/>
      <c r="I614" s="1509"/>
      <c r="J614" s="1509"/>
      <c r="K614" s="1509"/>
      <c r="L614" s="1509"/>
      <c r="M614" s="1509"/>
      <c r="N614" s="1509"/>
      <c r="O614" s="1510"/>
      <c r="P614" s="1509"/>
      <c r="Q614" s="1509"/>
      <c r="R614" s="1509"/>
      <c r="S614" s="1509"/>
      <c r="T614" s="1510"/>
      <c r="U614" s="1509"/>
      <c r="V614" s="1509"/>
      <c r="W614" s="1509"/>
      <c r="X614" s="1369"/>
      <c r="Y614" s="1510"/>
      <c r="Z614" s="1509"/>
      <c r="AA614" s="1509"/>
      <c r="AB614" s="1509"/>
      <c r="AC614" s="1369"/>
      <c r="AD614" s="1510"/>
      <c r="AE614" s="1509"/>
      <c r="AF614" s="1509"/>
      <c r="AG614" s="1509"/>
      <c r="AH614" s="1369"/>
      <c r="AI614" s="1510"/>
      <c r="AJ614" s="1509"/>
      <c r="AK614" s="1509"/>
      <c r="AL614" s="1509"/>
      <c r="AM614" s="1369"/>
      <c r="AN614" s="1510"/>
      <c r="AO614" s="1509"/>
      <c r="AP614" s="1509"/>
      <c r="AQ614" s="2400"/>
      <c r="AR614" s="1369"/>
      <c r="AS614" s="1510"/>
      <c r="AT614" s="1509"/>
      <c r="AU614" s="1509"/>
      <c r="AV614" s="1509"/>
      <c r="AW614" s="1369"/>
      <c r="AX614" s="1510"/>
      <c r="AY614" s="1509"/>
      <c r="AZ614" s="1509"/>
      <c r="BA614" s="1509"/>
      <c r="BB614" s="1369"/>
      <c r="BC614" s="1510"/>
      <c r="BD614" s="1509"/>
      <c r="BE614" s="1509"/>
      <c r="BF614" s="1509"/>
      <c r="BG614" s="1369"/>
      <c r="BH614" s="1510"/>
      <c r="BI614" s="1509"/>
      <c r="BJ614" s="1509"/>
      <c r="BK614" s="1509"/>
      <c r="BL614" s="1369"/>
      <c r="BM614" s="1509"/>
      <c r="BN614" s="1509"/>
      <c r="BO614" s="1509"/>
      <c r="BP614" s="1509"/>
      <c r="BQ614" s="1369"/>
      <c r="BR614" s="1509"/>
      <c r="BS614" s="1509"/>
      <c r="BT614" s="1509"/>
      <c r="BU614" s="1509"/>
      <c r="BV614" s="1369"/>
      <c r="BW614" s="1512"/>
      <c r="BX614" s="1509"/>
      <c r="BY614" s="1509"/>
      <c r="BZ614" s="1509"/>
      <c r="CA614" s="1369"/>
      <c r="CB614" s="1509"/>
      <c r="CC614" s="1509"/>
      <c r="CD614" s="1509"/>
      <c r="CE614" s="1509"/>
      <c r="CF614" s="1369"/>
      <c r="CG614" s="1509"/>
      <c r="CH614" s="1509"/>
      <c r="CI614" s="1509"/>
      <c r="CJ614" s="1509"/>
      <c r="CK614" s="1369"/>
      <c r="CL614" s="1513"/>
      <c r="CM614" s="1509"/>
      <c r="CN614" s="1509"/>
      <c r="CO614" s="1509"/>
      <c r="CP614" s="1369"/>
      <c r="CQ614" s="1509"/>
      <c r="CR614" s="1509"/>
      <c r="CS614" s="1509"/>
      <c r="CT614" s="1514"/>
      <c r="CU614" s="1369"/>
      <c r="CV614" s="1509"/>
      <c r="CW614" s="1509"/>
      <c r="CX614" s="1509"/>
      <c r="CY614" s="1514"/>
      <c r="CZ614" s="1369"/>
      <c r="DA614" s="1513"/>
      <c r="DB614" s="1509"/>
      <c r="DC614" s="1509"/>
      <c r="DD614" s="1514"/>
      <c r="DE614" s="1369"/>
      <c r="DF614" s="1509"/>
      <c r="DG614" s="1509"/>
      <c r="DH614" s="1509"/>
      <c r="DI614" s="1514"/>
      <c r="DJ614" s="1369"/>
      <c r="DK614" s="1509"/>
      <c r="DL614" s="1509"/>
      <c r="DM614" s="1509"/>
      <c r="DN614" s="1514"/>
      <c r="DO614" s="1369"/>
      <c r="DP614" s="1509"/>
      <c r="DQ614" s="1509"/>
      <c r="DR614" s="1509"/>
      <c r="DS614" s="1514"/>
      <c r="DT614" s="899"/>
      <c r="DU614" s="1509"/>
      <c r="DV614" s="1509"/>
      <c r="DW614" s="1509"/>
      <c r="DX614" s="1514"/>
      <c r="DY614" s="1369"/>
      <c r="DZ614" s="1509"/>
      <c r="EA614" s="1509"/>
      <c r="EB614" s="1509"/>
      <c r="EC614" s="1514"/>
      <c r="ED614" s="1369"/>
      <c r="EE614" s="1509"/>
      <c r="EF614" s="1509"/>
      <c r="EG614" s="1509"/>
      <c r="EH614" s="1514"/>
      <c r="EI614" s="1513"/>
      <c r="EJ614" s="1369"/>
      <c r="EK614" s="1369"/>
      <c r="EL614" s="1369"/>
      <c r="EM614" s="1369"/>
      <c r="EN614" s="1369"/>
      <c r="EO614" s="1514"/>
      <c r="EP614" s="1514"/>
      <c r="EQ614" s="1514"/>
      <c r="ER614" s="1514"/>
      <c r="ES614" s="1369"/>
      <c r="ET614" s="1514"/>
      <c r="EU614" s="1514"/>
      <c r="EV614" s="1514"/>
      <c r="EW614" s="1514"/>
      <c r="EX614" s="1369"/>
    </row>
    <row r="615" spans="1:154" s="1515" customFormat="1">
      <c r="A615" s="3275"/>
      <c r="B615" s="906" t="s">
        <v>153</v>
      </c>
      <c r="C615" s="2027"/>
      <c r="D615" s="1508"/>
      <c r="E615" s="1508"/>
      <c r="F615" s="1509"/>
      <c r="G615" s="1509"/>
      <c r="H615" s="1509"/>
      <c r="I615" s="1509"/>
      <c r="J615" s="1509"/>
      <c r="K615" s="1509"/>
      <c r="L615" s="1509"/>
      <c r="M615" s="1509"/>
      <c r="N615" s="1509"/>
      <c r="O615" s="1510"/>
      <c r="P615" s="1509"/>
      <c r="Q615" s="1509"/>
      <c r="R615" s="1509"/>
      <c r="S615" s="1509"/>
      <c r="T615" s="1510"/>
      <c r="U615" s="1509"/>
      <c r="V615" s="1509"/>
      <c r="W615" s="1509"/>
      <c r="X615" s="1369"/>
      <c r="Y615" s="1510"/>
      <c r="Z615" s="1509"/>
      <c r="AA615" s="1509"/>
      <c r="AB615" s="1509"/>
      <c r="AC615" s="1369"/>
      <c r="AD615" s="1510"/>
      <c r="AE615" s="1509"/>
      <c r="AF615" s="1509"/>
      <c r="AG615" s="1509"/>
      <c r="AH615" s="1369"/>
      <c r="AI615" s="1510"/>
      <c r="AJ615" s="1509"/>
      <c r="AK615" s="1509"/>
      <c r="AL615" s="1509"/>
      <c r="AM615" s="1369"/>
      <c r="AN615" s="1510"/>
      <c r="AO615" s="1509"/>
      <c r="AP615" s="1509"/>
      <c r="AQ615" s="2400"/>
      <c r="AR615" s="1369"/>
      <c r="AS615" s="1510"/>
      <c r="AT615" s="1509"/>
      <c r="AU615" s="1509"/>
      <c r="AV615" s="1509"/>
      <c r="AW615" s="1369"/>
      <c r="AX615" s="1510"/>
      <c r="AY615" s="1509"/>
      <c r="AZ615" s="1509"/>
      <c r="BA615" s="1509"/>
      <c r="BB615" s="1369"/>
      <c r="BC615" s="1510"/>
      <c r="BD615" s="1509"/>
      <c r="BE615" s="1509"/>
      <c r="BF615" s="1509"/>
      <c r="BG615" s="1369"/>
      <c r="BH615" s="1510"/>
      <c r="BI615" s="1509"/>
      <c r="BJ615" s="1509"/>
      <c r="BK615" s="1509"/>
      <c r="BL615" s="1369"/>
      <c r="BM615" s="1509"/>
      <c r="BN615" s="1509"/>
      <c r="BO615" s="1509"/>
      <c r="BP615" s="1509"/>
      <c r="BQ615" s="1369"/>
      <c r="BR615" s="1509"/>
      <c r="BS615" s="1509"/>
      <c r="BT615" s="1509"/>
      <c r="BU615" s="1509"/>
      <c r="BV615" s="1369"/>
      <c r="BW615" s="1512"/>
      <c r="BX615" s="1509"/>
      <c r="BY615" s="1509"/>
      <c r="BZ615" s="1509"/>
      <c r="CA615" s="1369"/>
      <c r="CB615" s="1509"/>
      <c r="CC615" s="1509"/>
      <c r="CD615" s="1509"/>
      <c r="CE615" s="1509"/>
      <c r="CF615" s="1369"/>
      <c r="CG615" s="1509"/>
      <c r="CH615" s="1509"/>
      <c r="CI615" s="1509"/>
      <c r="CJ615" s="1509"/>
      <c r="CK615" s="1369"/>
      <c r="CL615" s="1513"/>
      <c r="CM615" s="1509"/>
      <c r="CN615" s="1509"/>
      <c r="CO615" s="1509"/>
      <c r="CP615" s="1369"/>
      <c r="CQ615" s="1509"/>
      <c r="CR615" s="1509"/>
      <c r="CS615" s="1509"/>
      <c r="CT615" s="1514"/>
      <c r="CU615" s="1369"/>
      <c r="CV615" s="1509"/>
      <c r="CW615" s="1509"/>
      <c r="CX615" s="1509"/>
      <c r="CY615" s="1514"/>
      <c r="CZ615" s="1369"/>
      <c r="DA615" s="1513"/>
      <c r="DB615" s="1509"/>
      <c r="DC615" s="1509"/>
      <c r="DD615" s="1514"/>
      <c r="DE615" s="1369"/>
      <c r="DF615" s="1509"/>
      <c r="DG615" s="1509"/>
      <c r="DH615" s="1509"/>
      <c r="DI615" s="1514"/>
      <c r="DJ615" s="1369"/>
      <c r="DK615" s="1509"/>
      <c r="DL615" s="1509"/>
      <c r="DM615" s="1509"/>
      <c r="DN615" s="2450">
        <f>DN632+DN626</f>
      </c>
      <c r="DO615" s="2449"/>
      <c r="DP615" s="2451"/>
      <c r="DQ615" s="2451"/>
      <c r="DR615" s="2451"/>
      <c r="DS615" s="2450"/>
      <c r="DT615" s="2449"/>
      <c r="DU615" s="2451"/>
      <c r="DV615" s="2451"/>
      <c r="DW615" s="2451"/>
      <c r="DX615" s="2450"/>
      <c r="DY615" s="2449"/>
      <c r="DZ615" s="2451"/>
      <c r="EA615" s="2451"/>
      <c r="EB615" s="2451"/>
      <c r="EC615" s="2450"/>
      <c r="ED615" s="2449"/>
      <c r="EE615" s="2451"/>
      <c r="EF615" s="2451"/>
      <c r="EG615" s="2451"/>
      <c r="EH615" s="2450"/>
      <c r="EI615" s="3760"/>
      <c r="EJ615" s="3760">
        <v>380</v>
      </c>
      <c r="EK615" s="3760">
        <v>600</v>
      </c>
      <c r="EL615" s="3760">
        <v>856.48916594548461</v>
      </c>
      <c r="EM615" s="3760">
        <v>991.05625064091964</v>
      </c>
      <c r="EN615" s="3760">
        <v>1039.6065496246295</v>
      </c>
      <c r="EO615" s="3760">
        <v>1060.398680617122</v>
      </c>
      <c r="EP615" s="3760">
        <v>1081.6066542294645</v>
      </c>
      <c r="EQ615" s="3760">
        <v>1103.2387873140538</v>
      </c>
      <c r="ER615" s="3760">
        <v>1125.3035630603349</v>
      </c>
      <c r="ES615" s="3760">
        <v>1147.8096343215416</v>
      </c>
      <c r="ET615" s="2453">
        <v>0</v>
      </c>
      <c r="EU615" s="2453">
        <v>0</v>
      </c>
      <c r="EV615" s="1514"/>
      <c r="EW615" s="1514"/>
      <c r="EX615" s="1369"/>
    </row>
    <row r="616" spans="1:154" s="1515" customFormat="1">
      <c r="A616" s="3275"/>
      <c r="B616" s="906" t="s">
        <v>235</v>
      </c>
      <c r="C616" s="2027"/>
      <c r="D616" s="1508"/>
      <c r="E616" s="1508"/>
      <c r="F616" s="1509"/>
      <c r="G616" s="1509"/>
      <c r="H616" s="1509"/>
      <c r="I616" s="1509"/>
      <c r="J616" s="1509"/>
      <c r="K616" s="1509"/>
      <c r="L616" s="1509"/>
      <c r="M616" s="1509"/>
      <c r="N616" s="1509"/>
      <c r="O616" s="1510"/>
      <c r="P616" s="1509"/>
      <c r="Q616" s="1509"/>
      <c r="R616" s="1509"/>
      <c r="S616" s="1509"/>
      <c r="T616" s="1510"/>
      <c r="U616" s="1509"/>
      <c r="V616" s="1509"/>
      <c r="W616" s="1509"/>
      <c r="X616" s="1369"/>
      <c r="Y616" s="1510"/>
      <c r="Z616" s="1509"/>
      <c r="AA616" s="1509"/>
      <c r="AB616" s="1509"/>
      <c r="AC616" s="1369"/>
      <c r="AD616" s="1510"/>
      <c r="AE616" s="1509"/>
      <c r="AF616" s="1509"/>
      <c r="AG616" s="1509"/>
      <c r="AH616" s="1369"/>
      <c r="AI616" s="1510"/>
      <c r="AJ616" s="1509"/>
      <c r="AK616" s="1509"/>
      <c r="AL616" s="1509"/>
      <c r="AM616" s="1369"/>
      <c r="AN616" s="1510"/>
      <c r="AO616" s="1509"/>
      <c r="AP616" s="1509"/>
      <c r="AQ616" s="2400"/>
      <c r="AR616" s="1369"/>
      <c r="AS616" s="1510"/>
      <c r="AT616" s="1509"/>
      <c r="AU616" s="1509"/>
      <c r="AV616" s="1509"/>
      <c r="AW616" s="1369"/>
      <c r="AX616" s="1510"/>
      <c r="AY616" s="1509"/>
      <c r="AZ616" s="1509"/>
      <c r="BA616" s="1509"/>
      <c r="BB616" s="1369"/>
      <c r="BC616" s="1510"/>
      <c r="BD616" s="1509"/>
      <c r="BE616" s="1509"/>
      <c r="BF616" s="1509"/>
      <c r="BG616" s="1369"/>
      <c r="BH616" s="1510"/>
      <c r="BI616" s="1509"/>
      <c r="BJ616" s="1509"/>
      <c r="BK616" s="1509"/>
      <c r="BL616" s="1369"/>
      <c r="BM616" s="1509"/>
      <c r="BN616" s="1509"/>
      <c r="BO616" s="1509"/>
      <c r="BP616" s="1509"/>
      <c r="BQ616" s="1369"/>
      <c r="BR616" s="1509"/>
      <c r="BS616" s="1509"/>
      <c r="BT616" s="1509"/>
      <c r="BU616" s="1509"/>
      <c r="BV616" s="1369"/>
      <c r="BW616" s="1512"/>
      <c r="BX616" s="1509"/>
      <c r="BY616" s="1509"/>
      <c r="BZ616" s="1509"/>
      <c r="CA616" s="1369"/>
      <c r="CB616" s="1509"/>
      <c r="CC616" s="1509"/>
      <c r="CD616" s="1509"/>
      <c r="CE616" s="1509"/>
      <c r="CF616" s="1369"/>
      <c r="CG616" s="1509"/>
      <c r="CH616" s="1509"/>
      <c r="CI616" s="1509"/>
      <c r="CJ616" s="1509"/>
      <c r="CK616" s="1369"/>
      <c r="CL616" s="1513"/>
      <c r="CM616" s="1509"/>
      <c r="CN616" s="1509"/>
      <c r="CO616" s="1509"/>
      <c r="CP616" s="1369"/>
      <c r="CQ616" s="1509"/>
      <c r="CR616" s="1509"/>
      <c r="CS616" s="1509"/>
      <c r="CT616" s="1514"/>
      <c r="CU616" s="1369"/>
      <c r="CV616" s="1509"/>
      <c r="CW616" s="1509"/>
      <c r="CX616" s="1509"/>
      <c r="CY616" s="1514"/>
      <c r="CZ616" s="1369"/>
      <c r="DA616" s="1513"/>
      <c r="DB616" s="1509"/>
      <c r="DC616" s="1509"/>
      <c r="DD616" s="1514"/>
      <c r="DE616" s="1369"/>
      <c r="DF616" s="1509"/>
      <c r="DG616" s="1509"/>
      <c r="DH616" s="1509"/>
      <c r="DI616" s="1514"/>
      <c r="DJ616" s="1369"/>
      <c r="DK616" s="1509"/>
      <c r="DL616" s="1509"/>
      <c r="DM616" s="1509"/>
      <c r="DN616" s="2450">
        <f>DN633+DN627</f>
      </c>
      <c r="DO616" s="2449"/>
      <c r="DP616" s="2451"/>
      <c r="DQ616" s="2451"/>
      <c r="DR616" s="2451"/>
      <c r="DS616" s="2450"/>
      <c r="DT616" s="2449"/>
      <c r="DU616" s="2451"/>
      <c r="DV616" s="2451"/>
      <c r="DW616" s="2451"/>
      <c r="DX616" s="2450"/>
      <c r="DY616" s="2449"/>
      <c r="DZ616" s="2451"/>
      <c r="EA616" s="2451"/>
      <c r="EB616" s="2451"/>
      <c r="EC616" s="2450"/>
      <c r="ED616" s="2449"/>
      <c r="EE616" s="2451"/>
      <c r="EF616" s="2451"/>
      <c r="EG616" s="2451"/>
      <c r="EH616" s="2450"/>
      <c r="EI616" s="3760"/>
      <c r="EJ616" s="3760">
        <v>360</v>
      </c>
      <c r="EK616" s="3760">
        <v>560</v>
      </c>
      <c r="EL616" s="3760">
        <v>870.86660055318328</v>
      </c>
      <c r="EM616" s="3760">
        <v>1103.0299526413332</v>
      </c>
      <c r="EN616" s="3760">
        <v>1232.815323820332</v>
      </c>
      <c r="EO616" s="3760">
        <v>1340.9069924518294</v>
      </c>
      <c r="EP616" s="3760">
        <v>1374.6490230226457</v>
      </c>
      <c r="EQ616" s="3760">
        <v>1374.6490230226459</v>
      </c>
      <c r="ER616" s="3760">
        <v>1374.6490230226459</v>
      </c>
      <c r="ES616" s="3760">
        <v>1374.6490230226459</v>
      </c>
      <c r="ET616" s="2453">
        <v>0</v>
      </c>
      <c r="EU616" s="2453">
        <v>0</v>
      </c>
      <c r="EV616" s="1514"/>
      <c r="EW616" s="1514"/>
      <c r="EX616" s="1369"/>
    </row>
    <row r="617" spans="1:154" s="1515" customFormat="1">
      <c r="A617" s="3275"/>
      <c r="B617" s="906" t="s">
        <v>188</v>
      </c>
      <c r="C617" s="2027"/>
      <c r="D617" s="1508"/>
      <c r="E617" s="1508"/>
      <c r="F617" s="1509"/>
      <c r="G617" s="1509"/>
      <c r="H617" s="1509"/>
      <c r="I617" s="1509"/>
      <c r="J617" s="1509"/>
      <c r="K617" s="1509"/>
      <c r="L617" s="1509"/>
      <c r="M617" s="1509"/>
      <c r="N617" s="1509"/>
      <c r="O617" s="1510"/>
      <c r="P617" s="1509"/>
      <c r="Q617" s="1509"/>
      <c r="R617" s="1509"/>
      <c r="S617" s="1509"/>
      <c r="T617" s="1510"/>
      <c r="U617" s="1509"/>
      <c r="V617" s="1509"/>
      <c r="W617" s="1509"/>
      <c r="X617" s="1369"/>
      <c r="Y617" s="1510"/>
      <c r="Z617" s="1509"/>
      <c r="AA617" s="1509"/>
      <c r="AB617" s="1509"/>
      <c r="AC617" s="1369"/>
      <c r="AD617" s="1510"/>
      <c r="AE617" s="1509"/>
      <c r="AF617" s="1509"/>
      <c r="AG617" s="1509"/>
      <c r="AH617" s="1369"/>
      <c r="AI617" s="1510"/>
      <c r="AJ617" s="1509"/>
      <c r="AK617" s="1509"/>
      <c r="AL617" s="1509"/>
      <c r="AM617" s="1369"/>
      <c r="AN617" s="1510"/>
      <c r="AO617" s="1509"/>
      <c r="AP617" s="1509"/>
      <c r="AQ617" s="2400"/>
      <c r="AR617" s="1369"/>
      <c r="AS617" s="1510"/>
      <c r="AT617" s="1509"/>
      <c r="AU617" s="1509"/>
      <c r="AV617" s="1509"/>
      <c r="AW617" s="1369"/>
      <c r="AX617" s="1510"/>
      <c r="AY617" s="1509"/>
      <c r="AZ617" s="1509"/>
      <c r="BA617" s="1509"/>
      <c r="BB617" s="1369"/>
      <c r="BC617" s="1510"/>
      <c r="BD617" s="1509"/>
      <c r="BE617" s="1509"/>
      <c r="BF617" s="1509"/>
      <c r="BG617" s="1369"/>
      <c r="BH617" s="1510"/>
      <c r="BI617" s="1509"/>
      <c r="BJ617" s="1509"/>
      <c r="BK617" s="1509"/>
      <c r="BL617" s="1369"/>
      <c r="BM617" s="1509"/>
      <c r="BN617" s="1509"/>
      <c r="BO617" s="1509"/>
      <c r="BP617" s="1509"/>
      <c r="BQ617" s="1369"/>
      <c r="BR617" s="1509"/>
      <c r="BS617" s="1509"/>
      <c r="BT617" s="1509"/>
      <c r="BU617" s="1509"/>
      <c r="BV617" s="1369"/>
      <c r="BW617" s="1512"/>
      <c r="BX617" s="1509"/>
      <c r="BY617" s="1509"/>
      <c r="BZ617" s="1509"/>
      <c r="CA617" s="1369"/>
      <c r="CB617" s="1509"/>
      <c r="CC617" s="1509"/>
      <c r="CD617" s="1509"/>
      <c r="CE617" s="1509"/>
      <c r="CF617" s="1369"/>
      <c r="CG617" s="1509"/>
      <c r="CH617" s="1509"/>
      <c r="CI617" s="1509"/>
      <c r="CJ617" s="1509"/>
      <c r="CK617" s="1369"/>
      <c r="CL617" s="1513"/>
      <c r="CM617" s="1509"/>
      <c r="CN617" s="1509"/>
      <c r="CO617" s="1509"/>
      <c r="CP617" s="1369"/>
      <c r="CQ617" s="1509"/>
      <c r="CR617" s="1509"/>
      <c r="CS617" s="1509"/>
      <c r="CT617" s="1514"/>
      <c r="CU617" s="1369"/>
      <c r="CV617" s="1509"/>
      <c r="CW617" s="1509"/>
      <c r="CX617" s="1509"/>
      <c r="CY617" s="1514"/>
      <c r="CZ617" s="1369"/>
      <c r="DA617" s="1513"/>
      <c r="DB617" s="1509"/>
      <c r="DC617" s="1509"/>
      <c r="DD617" s="1514"/>
      <c r="DE617" s="1369"/>
      <c r="DF617" s="1509"/>
      <c r="DG617" s="1509"/>
      <c r="DH617" s="1509"/>
      <c r="DI617" s="1514"/>
      <c r="DJ617" s="1369"/>
      <c r="DK617" s="1509"/>
      <c r="DL617" s="1509"/>
      <c r="DM617" s="1509"/>
      <c r="DN617" s="2450">
        <f>DN634+DN628</f>
      </c>
      <c r="DO617" s="2449"/>
      <c r="DP617" s="2451"/>
      <c r="DQ617" s="2451"/>
      <c r="DR617" s="2451"/>
      <c r="DS617" s="2450"/>
      <c r="DT617" s="2449"/>
      <c r="DU617" s="2451"/>
      <c r="DV617" s="2451"/>
      <c r="DW617" s="2451"/>
      <c r="DX617" s="2450"/>
      <c r="DY617" s="2449"/>
      <c r="DZ617" s="2451"/>
      <c r="EA617" s="2451"/>
      <c r="EB617" s="2451"/>
      <c r="EC617" s="2450"/>
      <c r="ED617" s="2449"/>
      <c r="EE617" s="2451"/>
      <c r="EF617" s="2451"/>
      <c r="EG617" s="2451"/>
      <c r="EH617" s="2451"/>
      <c r="EI617" s="2452"/>
      <c r="EJ617" s="2452">
        <f t="shared" ref="EJ617:EU617" si="1496">SUM(EJ615:EJ616)</f>
      </c>
      <c r="EK617" s="2452">
        <f t="shared" si="1496"/>
      </c>
      <c r="EL617" s="2452">
        <f t="shared" si="1496"/>
      </c>
      <c r="EM617" s="2452">
        <f t="shared" si="1496"/>
      </c>
      <c r="EN617" s="2452">
        <f t="shared" si="1496"/>
      </c>
      <c r="EO617" s="2452">
        <f t="shared" si="1496"/>
      </c>
      <c r="EP617" s="2452">
        <f t="shared" si="1496"/>
      </c>
      <c r="EQ617" s="2452">
        <f t="shared" si="1496"/>
      </c>
      <c r="ER617" s="2452">
        <f t="shared" si="1496"/>
      </c>
      <c r="ES617" s="2452">
        <f t="shared" si="1496"/>
      </c>
      <c r="ET617" s="2452">
        <f t="shared" si="1496"/>
      </c>
      <c r="EU617" s="2452">
        <f t="shared" si="1496"/>
      </c>
      <c r="EV617" s="1514"/>
      <c r="EW617" s="1514"/>
      <c r="EX617" s="1369"/>
    </row>
    <row r="618" spans="1:154">
      <c r="B618" s="907"/>
      <c r="C618" s="1392"/>
      <c r="D618" s="894"/>
      <c r="E618" s="894"/>
      <c r="F618" s="895"/>
      <c r="G618" s="895"/>
      <c r="H618" s="895"/>
      <c r="I618" s="895"/>
      <c r="J618" s="895"/>
      <c r="K618" s="895"/>
      <c r="L618" s="895"/>
      <c r="M618" s="895"/>
      <c r="N618" s="895"/>
      <c r="O618" s="896"/>
      <c r="P618" s="895"/>
      <c r="Q618" s="895"/>
      <c r="R618" s="895"/>
      <c r="S618" s="895"/>
      <c r="T618" s="896"/>
      <c r="U618" s="895"/>
      <c r="V618" s="895"/>
      <c r="W618" s="895"/>
      <c r="X618" s="899"/>
      <c r="Y618" s="896"/>
      <c r="Z618" s="895"/>
      <c r="AA618" s="895"/>
      <c r="AB618" s="895"/>
      <c r="AC618" s="899"/>
      <c r="AD618" s="896"/>
      <c r="AE618" s="895"/>
      <c r="AF618" s="895"/>
      <c r="AG618" s="895"/>
      <c r="AH618" s="899"/>
      <c r="AI618" s="896"/>
      <c r="AJ618" s="895"/>
      <c r="AK618" s="895"/>
      <c r="AL618" s="895"/>
      <c r="AM618" s="899"/>
      <c r="AN618" s="896"/>
      <c r="AO618" s="895"/>
      <c r="AP618" s="895"/>
      <c r="AQ618" s="897"/>
      <c r="AR618" s="899"/>
      <c r="AS618" s="896"/>
      <c r="AT618" s="895"/>
      <c r="AU618" s="895"/>
      <c r="AV618" s="895"/>
      <c r="AW618" s="899"/>
      <c r="AX618" s="896"/>
      <c r="AY618" s="895"/>
      <c r="AZ618" s="895"/>
      <c r="BA618" s="895"/>
      <c r="BB618" s="899"/>
      <c r="BC618" s="896"/>
      <c r="BD618" s="895"/>
      <c r="BE618" s="895"/>
      <c r="BF618" s="895"/>
      <c r="BG618" s="899"/>
      <c r="BH618" s="896"/>
      <c r="BI618" s="895"/>
      <c r="BJ618" s="895"/>
      <c r="BK618" s="895"/>
      <c r="BL618" s="899"/>
      <c r="BM618" s="895"/>
      <c r="BN618" s="895"/>
      <c r="BO618" s="895"/>
      <c r="BP618" s="895"/>
      <c r="BQ618" s="899"/>
      <c r="BR618" s="895"/>
      <c r="BS618" s="895"/>
      <c r="BT618" s="895"/>
      <c r="BU618" s="895"/>
      <c r="BV618" s="899"/>
      <c r="BW618" s="908"/>
      <c r="BX618" s="895"/>
      <c r="BY618" s="895"/>
      <c r="BZ618" s="895"/>
      <c r="CA618" s="899"/>
      <c r="CB618" s="895"/>
      <c r="CC618" s="895"/>
      <c r="CD618" s="895"/>
      <c r="CE618" s="895"/>
      <c r="CF618" s="899"/>
      <c r="CG618" s="895"/>
      <c r="CH618" s="895"/>
      <c r="CI618" s="895"/>
      <c r="CJ618" s="895"/>
      <c r="CK618" s="899"/>
      <c r="CL618" s="1015"/>
      <c r="CM618" s="895"/>
      <c r="CN618" s="895"/>
      <c r="CO618" s="895"/>
      <c r="CP618" s="899"/>
      <c r="CQ618" s="895"/>
      <c r="CR618" s="895"/>
      <c r="CS618" s="895"/>
      <c r="CT618" s="915"/>
      <c r="CU618" s="899"/>
      <c r="CV618" s="895"/>
      <c r="CW618" s="895"/>
      <c r="CX618" s="895"/>
      <c r="CY618" s="915"/>
      <c r="CZ618" s="899"/>
      <c r="DA618" s="1015"/>
      <c r="DB618" s="1509"/>
      <c r="DC618" s="895"/>
      <c r="DD618" s="915"/>
      <c r="DE618" s="899"/>
      <c r="DF618" s="895"/>
      <c r="DG618" s="895"/>
      <c r="DH618" s="895"/>
      <c r="DI618" s="915"/>
      <c r="DJ618" s="899"/>
      <c r="DK618" s="895"/>
      <c r="DL618" s="895"/>
      <c r="DM618" s="895"/>
      <c r="DN618" s="915"/>
      <c r="DO618" s="899"/>
      <c r="DP618" s="895"/>
      <c r="DQ618" s="895"/>
      <c r="DR618" s="895"/>
      <c r="DS618" s="915"/>
      <c r="DT618" s="899"/>
      <c r="DU618" s="895"/>
      <c r="DV618" s="895"/>
      <c r="DW618" s="895"/>
      <c r="DX618" s="895"/>
      <c r="DY618" s="899"/>
      <c r="DZ618" s="895"/>
      <c r="EA618" s="895"/>
      <c r="EB618" s="895"/>
      <c r="EC618" s="915"/>
      <c r="ED618" s="899"/>
      <c r="EE618" s="895"/>
      <c r="EF618" s="895"/>
      <c r="EG618" s="895"/>
      <c r="EH618" s="915"/>
      <c r="EI618" s="1015"/>
      <c r="EJ618" s="899"/>
      <c r="EK618" s="899"/>
      <c r="EL618" s="899"/>
      <c r="EM618" s="899"/>
      <c r="EN618" s="899"/>
      <c r="EO618" s="915"/>
      <c r="EP618" s="915"/>
      <c r="EQ618" s="899"/>
      <c r="ER618" s="899"/>
      <c r="ES618" s="899"/>
      <c r="ET618" s="899"/>
      <c r="EU618" s="915"/>
      <c r="EV618" s="899"/>
      <c r="EW618" s="899"/>
      <c r="EX618" s="899"/>
    </row>
    <row r="619" spans="1:154">
      <c r="B619" s="3344" t="s">
        <v>1039</v>
      </c>
      <c r="C619" s="1392"/>
      <c r="D619" s="894"/>
      <c r="E619" s="894"/>
      <c r="F619" s="895"/>
      <c r="G619" s="895"/>
      <c r="H619" s="895"/>
      <c r="I619" s="895"/>
      <c r="J619" s="895"/>
      <c r="K619" s="895"/>
      <c r="L619" s="895"/>
      <c r="M619" s="895"/>
      <c r="N619" s="895"/>
      <c r="O619" s="896"/>
      <c r="P619" s="895"/>
      <c r="Q619" s="895"/>
      <c r="R619" s="895"/>
      <c r="S619" s="895"/>
      <c r="T619" s="896"/>
      <c r="U619" s="895"/>
      <c r="V619" s="895"/>
      <c r="W619" s="895"/>
      <c r="X619" s="899"/>
      <c r="Y619" s="896"/>
      <c r="Z619" s="895"/>
      <c r="AA619" s="895"/>
      <c r="AB619" s="895"/>
      <c r="AC619" s="899"/>
      <c r="AD619" s="896"/>
      <c r="AE619" s="895"/>
      <c r="AF619" s="895"/>
      <c r="AG619" s="895"/>
      <c r="AH619" s="899"/>
      <c r="AI619" s="896"/>
      <c r="AJ619" s="895"/>
      <c r="AK619" s="895"/>
      <c r="AL619" s="895"/>
      <c r="AM619" s="899"/>
      <c r="AN619" s="896"/>
      <c r="AO619" s="895"/>
      <c r="AP619" s="895"/>
      <c r="AQ619" s="2399"/>
      <c r="AR619" s="899"/>
      <c r="AS619" s="896"/>
      <c r="AT619" s="895"/>
      <c r="AU619" s="895"/>
      <c r="AV619" s="895"/>
      <c r="AW619" s="899"/>
      <c r="AX619" s="896"/>
      <c r="AY619" s="895"/>
      <c r="AZ619" s="895"/>
      <c r="BA619" s="895"/>
      <c r="BB619" s="899"/>
      <c r="BC619" s="896"/>
      <c r="BD619" s="895"/>
      <c r="BE619" s="895"/>
      <c r="BF619" s="895"/>
      <c r="BG619" s="899"/>
      <c r="BH619" s="896"/>
      <c r="BI619" s="895"/>
      <c r="BJ619" s="895"/>
      <c r="BK619" s="895"/>
      <c r="BL619" s="899"/>
      <c r="BM619" s="895"/>
      <c r="BN619" s="895"/>
      <c r="BO619" s="895"/>
      <c r="BP619" s="895"/>
      <c r="BQ619" s="899"/>
      <c r="BR619" s="895"/>
      <c r="BS619" s="895"/>
      <c r="BT619" s="895"/>
      <c r="BU619" s="895"/>
      <c r="BV619" s="899"/>
      <c r="BW619" s="908"/>
      <c r="BX619" s="895"/>
      <c r="BY619" s="895"/>
      <c r="BZ619" s="895"/>
      <c r="CA619" s="899"/>
      <c r="CB619" s="895"/>
      <c r="CC619" s="895"/>
      <c r="CD619" s="895"/>
      <c r="CE619" s="895"/>
      <c r="CF619" s="899"/>
      <c r="CG619" s="895"/>
      <c r="CH619" s="895"/>
      <c r="CI619" s="895"/>
      <c r="CJ619" s="895"/>
      <c r="CK619" s="899"/>
      <c r="CL619" s="1015"/>
      <c r="CM619" s="895"/>
      <c r="CN619" s="895"/>
      <c r="CO619" s="895"/>
      <c r="CP619" s="899"/>
      <c r="CQ619" s="895"/>
      <c r="CR619" s="895"/>
      <c r="CS619" s="895"/>
      <c r="CT619" s="915"/>
      <c r="CU619" s="899"/>
      <c r="CV619" s="895"/>
      <c r="CW619" s="895"/>
      <c r="CX619" s="895"/>
      <c r="CY619" s="915"/>
      <c r="CZ619" s="899"/>
      <c r="DA619" s="1015"/>
      <c r="DB619" s="1509"/>
      <c r="DC619" s="895"/>
      <c r="DD619" s="915"/>
      <c r="DE619" s="899"/>
      <c r="DF619" s="895"/>
      <c r="DG619" s="895"/>
      <c r="DH619" s="895"/>
      <c r="DI619" s="915"/>
      <c r="DJ619" s="899"/>
      <c r="DK619" s="895"/>
      <c r="DL619" s="895"/>
      <c r="DM619" s="895"/>
      <c r="DN619" s="915"/>
      <c r="DO619" s="899"/>
      <c r="DP619" s="895"/>
      <c r="DQ619" s="895"/>
      <c r="DR619" s="895"/>
      <c r="DS619" s="915"/>
      <c r="DT619" s="899"/>
      <c r="DU619" s="2460"/>
      <c r="DV619" s="2460"/>
      <c r="DW619" s="2460"/>
      <c r="DX619" s="2466"/>
      <c r="DY619" s="2467"/>
      <c r="DZ619" s="2460"/>
      <c r="EA619" s="2460"/>
      <c r="EB619" s="2460"/>
      <c r="EC619" s="2466"/>
      <c r="ED619" s="2922"/>
      <c r="EE619" s="2460"/>
      <c r="EF619" s="2460"/>
      <c r="EG619" s="2460"/>
      <c r="EH619" s="2466"/>
      <c r="EI619" s="2468"/>
      <c r="EJ619" s="2467"/>
      <c r="EK619" s="2467"/>
      <c r="EL619" s="2467"/>
      <c r="EM619" s="2467"/>
      <c r="EN619" s="899"/>
      <c r="EO619" s="915"/>
      <c r="EP619" s="915"/>
      <c r="EQ619" s="915"/>
      <c r="ER619" s="915"/>
      <c r="ES619" s="899"/>
      <c r="ET619" s="899"/>
      <c r="EU619" s="915"/>
      <c r="EV619" s="899"/>
      <c r="EW619" s="899"/>
      <c r="EX619" s="899"/>
    </row>
    <row r="620" spans="1:154">
      <c r="B620" s="1390" t="s">
        <v>925</v>
      </c>
      <c r="C620" s="1392"/>
      <c r="D620" s="894"/>
      <c r="E620" s="894"/>
      <c r="F620" s="895"/>
      <c r="G620" s="895"/>
      <c r="H620" s="895"/>
      <c r="I620" s="895"/>
      <c r="J620" s="895"/>
      <c r="K620" s="895"/>
      <c r="L620" s="895"/>
      <c r="M620" s="895"/>
      <c r="N620" s="895"/>
      <c r="O620" s="896"/>
      <c r="P620" s="895"/>
      <c r="Q620" s="895"/>
      <c r="R620" s="895"/>
      <c r="S620" s="895"/>
      <c r="T620" s="896"/>
      <c r="U620" s="895"/>
      <c r="V620" s="895"/>
      <c r="W620" s="895"/>
      <c r="X620" s="899"/>
      <c r="Y620" s="896"/>
      <c r="Z620" s="895"/>
      <c r="AA620" s="895"/>
      <c r="AB620" s="895"/>
      <c r="AC620" s="899"/>
      <c r="AD620" s="896"/>
      <c r="AE620" s="895"/>
      <c r="AF620" s="895"/>
      <c r="AG620" s="895"/>
      <c r="AH620" s="899"/>
      <c r="AI620" s="896"/>
      <c r="AJ620" s="895"/>
      <c r="AK620" s="895"/>
      <c r="AL620" s="895"/>
      <c r="AM620" s="899"/>
      <c r="AN620" s="896"/>
      <c r="AO620" s="895"/>
      <c r="AP620" s="895"/>
      <c r="AQ620" s="2399"/>
      <c r="AR620" s="899"/>
      <c r="AS620" s="896"/>
      <c r="AT620" s="895"/>
      <c r="AU620" s="895"/>
      <c r="AV620" s="895"/>
      <c r="AW620" s="899"/>
      <c r="AX620" s="896"/>
      <c r="AY620" s="895"/>
      <c r="AZ620" s="895"/>
      <c r="BA620" s="895"/>
      <c r="BB620" s="899"/>
      <c r="BC620" s="896"/>
      <c r="BD620" s="895"/>
      <c r="BE620" s="895"/>
      <c r="BF620" s="895"/>
      <c r="BG620" s="899"/>
      <c r="BH620" s="896"/>
      <c r="BI620" s="895"/>
      <c r="BJ620" s="895"/>
      <c r="BK620" s="895"/>
      <c r="BL620" s="899"/>
      <c r="BM620" s="895"/>
      <c r="BN620" s="895"/>
      <c r="BO620" s="895"/>
      <c r="BP620" s="895"/>
      <c r="BQ620" s="899"/>
      <c r="BR620" s="895"/>
      <c r="BS620" s="895"/>
      <c r="BT620" s="895"/>
      <c r="BU620" s="895"/>
      <c r="BV620" s="899"/>
      <c r="BW620" s="908"/>
      <c r="BX620" s="895"/>
      <c r="BY620" s="895"/>
      <c r="BZ620" s="895"/>
      <c r="CA620" s="899"/>
      <c r="CB620" s="895"/>
      <c r="CC620" s="895"/>
      <c r="CD620" s="895"/>
      <c r="CE620" s="895"/>
      <c r="CF620" s="899"/>
      <c r="CG620" s="895"/>
      <c r="CH620" s="895"/>
      <c r="CI620" s="895"/>
      <c r="CJ620" s="895"/>
      <c r="CK620" s="899"/>
      <c r="CL620" s="1015"/>
      <c r="CM620" s="895"/>
      <c r="CN620" s="895"/>
      <c r="CO620" s="895"/>
      <c r="CP620" s="899"/>
      <c r="CQ620" s="895"/>
      <c r="CR620" s="895"/>
      <c r="CS620" s="895"/>
      <c r="CT620" s="915"/>
      <c r="CU620" s="899"/>
      <c r="CV620" s="895"/>
      <c r="CW620" s="895"/>
      <c r="CX620" s="895"/>
      <c r="CY620" s="915"/>
      <c r="CZ620" s="899"/>
      <c r="DA620" s="1015"/>
      <c r="DB620" s="1509"/>
      <c r="DC620" s="895"/>
      <c r="DD620" s="915"/>
      <c r="DE620" s="899"/>
      <c r="DF620" s="895"/>
      <c r="DG620" s="895"/>
      <c r="DH620" s="895"/>
      <c r="DI620" s="915"/>
      <c r="DJ620" s="899"/>
      <c r="DK620" s="895"/>
      <c r="DL620" s="895"/>
      <c r="DM620" s="895"/>
      <c r="DN620" s="915">
        <f>DO620</f>
      </c>
      <c r="DO620" s="909"/>
      <c r="DP620" s="908">
        <v>8</v>
      </c>
      <c r="DQ620" s="908">
        <v>12</v>
      </c>
      <c r="DR620" s="908">
        <v>14</v>
      </c>
      <c r="DS620" s="1021">
        <v>16</v>
      </c>
      <c r="DT620" s="899"/>
      <c r="DU620" s="908"/>
      <c r="DV620" s="908"/>
      <c r="DW620" s="908"/>
      <c r="DX620" s="1021"/>
      <c r="DY620" s="899"/>
      <c r="DZ620" s="908"/>
      <c r="EA620" s="908"/>
      <c r="EB620" s="908"/>
      <c r="EC620" s="915"/>
      <c r="ED620" s="2448"/>
      <c r="EE620" s="908"/>
      <c r="EF620" s="908"/>
      <c r="EG620" s="908"/>
      <c r="EH620" s="915"/>
      <c r="EI620" s="2448"/>
      <c r="EJ620" s="3422"/>
      <c r="EK620" s="3421">
        <f t="shared" ref="EK620:EK621" si="1497">EK615/EJ615-1</f>
      </c>
      <c r="EL620" s="3422">
        <f t="shared" ref="EL620:EL621" si="1498">EL615/EK615-1</f>
      </c>
      <c r="EM620" s="3421">
        <f t="shared" ref="EM620:EM621" si="1499">EM615/EL615-1</f>
      </c>
      <c r="EN620" s="3422">
        <f t="shared" ref="EN620:EN621" si="1500">EN615/EM615-1</f>
      </c>
      <c r="EO620" s="3422">
        <f t="shared" ref="EO620:EO621" si="1501">EO615/EN615-1</f>
      </c>
      <c r="EP620" s="3422">
        <f t="shared" ref="EP620:EP621" si="1502">EP615/EO615-1</f>
      </c>
      <c r="EQ620" s="3422">
        <f t="shared" ref="EQ620:EQ621" si="1503">EQ615/EP615-1</f>
      </c>
      <c r="ER620" s="3422">
        <f t="shared" ref="ER620:ER621" si="1504">ER615/EQ615-1</f>
      </c>
      <c r="ES620" s="3422">
        <f t="shared" ref="ES620:ES621" si="1505">ES615/ER615-1</f>
      </c>
      <c r="ET620" s="2448"/>
      <c r="EU620" s="2448"/>
      <c r="EV620" s="909"/>
      <c r="EW620" s="909"/>
      <c r="EX620" s="1021"/>
    </row>
    <row r="621" spans="1:154">
      <c r="B621" s="1390" t="s">
        <v>412</v>
      </c>
      <c r="C621" s="1392"/>
      <c r="D621" s="894"/>
      <c r="E621" s="894"/>
      <c r="F621" s="895"/>
      <c r="G621" s="895"/>
      <c r="H621" s="895"/>
      <c r="I621" s="895"/>
      <c r="J621" s="895"/>
      <c r="K621" s="895"/>
      <c r="L621" s="895"/>
      <c r="M621" s="895"/>
      <c r="N621" s="895"/>
      <c r="O621" s="896"/>
      <c r="P621" s="895"/>
      <c r="Q621" s="895"/>
      <c r="R621" s="895"/>
      <c r="S621" s="895"/>
      <c r="T621" s="896"/>
      <c r="U621" s="895"/>
      <c r="V621" s="895"/>
      <c r="W621" s="895"/>
      <c r="X621" s="899"/>
      <c r="Y621" s="896"/>
      <c r="Z621" s="895"/>
      <c r="AA621" s="895"/>
      <c r="AB621" s="895"/>
      <c r="AC621" s="899"/>
      <c r="AD621" s="896"/>
      <c r="AE621" s="895"/>
      <c r="AF621" s="895"/>
      <c r="AG621" s="895"/>
      <c r="AH621" s="899"/>
      <c r="AI621" s="896"/>
      <c r="AJ621" s="895"/>
      <c r="AK621" s="895"/>
      <c r="AL621" s="895"/>
      <c r="AM621" s="899"/>
      <c r="AN621" s="896"/>
      <c r="AO621" s="895"/>
      <c r="AP621" s="895"/>
      <c r="AQ621" s="2399"/>
      <c r="AR621" s="899"/>
      <c r="AS621" s="896"/>
      <c r="AT621" s="895"/>
      <c r="AU621" s="895"/>
      <c r="AV621" s="895"/>
      <c r="AW621" s="899"/>
      <c r="AX621" s="896"/>
      <c r="AY621" s="895"/>
      <c r="AZ621" s="895"/>
      <c r="BA621" s="895"/>
      <c r="BB621" s="899"/>
      <c r="BC621" s="896"/>
      <c r="BD621" s="895"/>
      <c r="BE621" s="895"/>
      <c r="BF621" s="895"/>
      <c r="BG621" s="899"/>
      <c r="BH621" s="896"/>
      <c r="BI621" s="895"/>
      <c r="BJ621" s="895"/>
      <c r="BK621" s="895"/>
      <c r="BL621" s="899"/>
      <c r="BM621" s="895"/>
      <c r="BN621" s="895"/>
      <c r="BO621" s="895"/>
      <c r="BP621" s="895"/>
      <c r="BQ621" s="899"/>
      <c r="BR621" s="895"/>
      <c r="BS621" s="895"/>
      <c r="BT621" s="895"/>
      <c r="BU621" s="895"/>
      <c r="BV621" s="899"/>
      <c r="BW621" s="908"/>
      <c r="BX621" s="895"/>
      <c r="BY621" s="895"/>
      <c r="BZ621" s="895"/>
      <c r="CA621" s="899"/>
      <c r="CB621" s="895"/>
      <c r="CC621" s="895"/>
      <c r="CD621" s="895"/>
      <c r="CE621" s="895"/>
      <c r="CF621" s="899"/>
      <c r="CG621" s="895"/>
      <c r="CH621" s="895"/>
      <c r="CI621" s="895"/>
      <c r="CJ621" s="895"/>
      <c r="CK621" s="899"/>
      <c r="CL621" s="1015"/>
      <c r="CM621" s="895"/>
      <c r="CN621" s="895"/>
      <c r="CO621" s="895"/>
      <c r="CP621" s="899"/>
      <c r="CQ621" s="895"/>
      <c r="CR621" s="895"/>
      <c r="CS621" s="895"/>
      <c r="CT621" s="915"/>
      <c r="CU621" s="899"/>
      <c r="CV621" s="895"/>
      <c r="CW621" s="895"/>
      <c r="CX621" s="895"/>
      <c r="CY621" s="915"/>
      <c r="CZ621" s="899"/>
      <c r="DA621" s="1015"/>
      <c r="DB621" s="1509"/>
      <c r="DC621" s="895"/>
      <c r="DD621" s="915"/>
      <c r="DE621" s="899"/>
      <c r="DF621" s="895"/>
      <c r="DG621" s="895"/>
      <c r="DH621" s="895"/>
      <c r="DI621" s="915"/>
      <c r="DJ621" s="899"/>
      <c r="DK621" s="895"/>
      <c r="DL621" s="895"/>
      <c r="DM621" s="895"/>
      <c r="DN621" s="915">
        <f>DO621</f>
      </c>
      <c r="DO621" s="909"/>
      <c r="DP621" s="908">
        <v>2</v>
      </c>
      <c r="DQ621" s="908">
        <v>5</v>
      </c>
      <c r="DR621" s="908">
        <v>7</v>
      </c>
      <c r="DS621" s="1021">
        <v>8</v>
      </c>
      <c r="DT621" s="899"/>
      <c r="DU621" s="908"/>
      <c r="DV621" s="908"/>
      <c r="DW621" s="908"/>
      <c r="DX621" s="1021"/>
      <c r="DY621" s="899"/>
      <c r="DZ621" s="908"/>
      <c r="EA621" s="908"/>
      <c r="EB621" s="908"/>
      <c r="EC621" s="915"/>
      <c r="ED621" s="2448"/>
      <c r="EE621" s="908"/>
      <c r="EF621" s="908"/>
      <c r="EG621" s="908"/>
      <c r="EH621" s="915"/>
      <c r="EI621" s="2448"/>
      <c r="EJ621" s="3422"/>
      <c r="EK621" s="3421">
        <f t="shared" si="1497"/>
      </c>
      <c r="EL621" s="3422">
        <f t="shared" si="1498"/>
      </c>
      <c r="EM621" s="3421">
        <f t="shared" si="1499"/>
      </c>
      <c r="EN621" s="3422">
        <f t="shared" si="1500"/>
      </c>
      <c r="EO621" s="3422">
        <f t="shared" si="1501"/>
      </c>
      <c r="EP621" s="3422">
        <f t="shared" si="1502"/>
      </c>
      <c r="EQ621" s="3422">
        <f t="shared" si="1503"/>
      </c>
      <c r="ER621" s="3422">
        <f t="shared" si="1504"/>
      </c>
      <c r="ES621" s="3422">
        <f t="shared" si="1505"/>
      </c>
      <c r="ET621" s="2448"/>
      <c r="EU621" s="2448"/>
      <c r="EV621" s="909"/>
      <c r="EW621" s="909"/>
      <c r="EX621" s="1021"/>
    </row>
    <row r="622" spans="1:154">
      <c r="B622" s="1390" t="s">
        <v>256</v>
      </c>
      <c r="C622" s="1392"/>
      <c r="D622" s="894"/>
      <c r="E622" s="894"/>
      <c r="F622" s="895"/>
      <c r="G622" s="895"/>
      <c r="H622" s="895"/>
      <c r="I622" s="895"/>
      <c r="J622" s="895"/>
      <c r="K622" s="895"/>
      <c r="L622" s="895"/>
      <c r="M622" s="895"/>
      <c r="N622" s="895"/>
      <c r="O622" s="896"/>
      <c r="P622" s="895"/>
      <c r="Q622" s="895"/>
      <c r="R622" s="895"/>
      <c r="S622" s="895"/>
      <c r="T622" s="896"/>
      <c r="U622" s="895"/>
      <c r="V622" s="895"/>
      <c r="W622" s="895"/>
      <c r="X622" s="899"/>
      <c r="Y622" s="896"/>
      <c r="Z622" s="895"/>
      <c r="AA622" s="895"/>
      <c r="AB622" s="895"/>
      <c r="AC622" s="899"/>
      <c r="AD622" s="896"/>
      <c r="AE622" s="895"/>
      <c r="AF622" s="895"/>
      <c r="AG622" s="895"/>
      <c r="AH622" s="899"/>
      <c r="AI622" s="896"/>
      <c r="AJ622" s="895"/>
      <c r="AK622" s="895"/>
      <c r="AL622" s="895"/>
      <c r="AM622" s="899"/>
      <c r="AN622" s="896"/>
      <c r="AO622" s="895"/>
      <c r="AP622" s="895"/>
      <c r="AQ622" s="2399"/>
      <c r="AR622" s="899"/>
      <c r="AS622" s="896"/>
      <c r="AT622" s="895"/>
      <c r="AU622" s="895"/>
      <c r="AV622" s="895"/>
      <c r="AW622" s="899"/>
      <c r="AX622" s="896"/>
      <c r="AY622" s="895"/>
      <c r="AZ622" s="895"/>
      <c r="BA622" s="895"/>
      <c r="BB622" s="899"/>
      <c r="BC622" s="896"/>
      <c r="BD622" s="895"/>
      <c r="BE622" s="895"/>
      <c r="BF622" s="895"/>
      <c r="BG622" s="899"/>
      <c r="BH622" s="896"/>
      <c r="BI622" s="895"/>
      <c r="BJ622" s="895"/>
      <c r="BK622" s="895"/>
      <c r="BL622" s="899"/>
      <c r="BM622" s="895"/>
      <c r="BN622" s="895"/>
      <c r="BO622" s="895"/>
      <c r="BP622" s="895"/>
      <c r="BQ622" s="899"/>
      <c r="BR622" s="895"/>
      <c r="BS622" s="895"/>
      <c r="BT622" s="895"/>
      <c r="BU622" s="895"/>
      <c r="BV622" s="899"/>
      <c r="BW622" s="908"/>
      <c r="BX622" s="895"/>
      <c r="BY622" s="895"/>
      <c r="BZ622" s="895"/>
      <c r="CA622" s="899"/>
      <c r="CB622" s="895"/>
      <c r="CC622" s="895"/>
      <c r="CD622" s="895"/>
      <c r="CE622" s="895"/>
      <c r="CF622" s="899"/>
      <c r="CG622" s="895"/>
      <c r="CH622" s="895"/>
      <c r="CI622" s="895"/>
      <c r="CJ622" s="895"/>
      <c r="CK622" s="899"/>
      <c r="CL622" s="1015"/>
      <c r="CM622" s="895"/>
      <c r="CN622" s="895"/>
      <c r="CO622" s="895"/>
      <c r="CP622" s="899"/>
      <c r="CQ622" s="895"/>
      <c r="CR622" s="895"/>
      <c r="CS622" s="895"/>
      <c r="CT622" s="915"/>
      <c r="CU622" s="899"/>
      <c r="CV622" s="895"/>
      <c r="CW622" s="895"/>
      <c r="CX622" s="895"/>
      <c r="CY622" s="915"/>
      <c r="CZ622" s="899"/>
      <c r="DA622" s="1015"/>
      <c r="DB622" s="1509"/>
      <c r="DC622" s="895"/>
      <c r="DD622" s="915"/>
      <c r="DE622" s="899"/>
      <c r="DF622" s="895"/>
      <c r="DG622" s="895"/>
      <c r="DH622" s="895"/>
      <c r="DI622" s="915"/>
      <c r="DJ622" s="899"/>
      <c r="DK622" s="895"/>
      <c r="DL622" s="895"/>
      <c r="DM622" s="895"/>
      <c r="DN622" s="915">
        <f t="shared" ref="DN622:DS622" si="1506">SUM(DN620:DN621)</f>
      </c>
      <c r="DO622" s="899">
        <f t="shared" si="1506"/>
      </c>
      <c r="DP622" s="895">
        <f t="shared" si="1506"/>
      </c>
      <c r="DQ622" s="895">
        <f t="shared" si="1506"/>
      </c>
      <c r="DR622" s="895">
        <f t="shared" si="1506"/>
      </c>
      <c r="DS622" s="915">
        <f t="shared" si="1506"/>
      </c>
      <c r="DT622" s="899"/>
      <c r="DU622" s="895"/>
      <c r="DV622" s="895"/>
      <c r="DW622" s="895"/>
      <c r="DX622" s="915"/>
      <c r="DY622" s="899"/>
      <c r="DZ622" s="895"/>
      <c r="EA622" s="895"/>
      <c r="EB622" s="895"/>
      <c r="EC622" s="915"/>
      <c r="ED622" s="2449"/>
      <c r="EE622" s="895"/>
      <c r="EF622" s="895"/>
      <c r="EG622" s="895"/>
      <c r="EH622" s="915"/>
      <c r="EI622" s="2449"/>
      <c r="EJ622" s="1060"/>
      <c r="EK622" s="3421"/>
      <c r="EL622" s="3422"/>
      <c r="EM622" s="3421"/>
      <c r="EN622" s="3422"/>
      <c r="EO622" s="3422"/>
      <c r="EP622" s="3422"/>
      <c r="EQ622" s="3422"/>
      <c r="ER622" s="3422"/>
      <c r="ES622" s="3422"/>
      <c r="ET622" s="2449"/>
      <c r="EU622" s="2449"/>
      <c r="EV622" s="899"/>
      <c r="EW622" s="899"/>
      <c r="EX622" s="915"/>
    </row>
    <row r="623" spans="1:154">
      <c r="B623" s="1390" t="s">
        <v>611</v>
      </c>
      <c r="C623" s="1392"/>
      <c r="D623" s="894"/>
      <c r="E623" s="894"/>
      <c r="F623" s="895"/>
      <c r="G623" s="895"/>
      <c r="H623" s="895"/>
      <c r="I623" s="895"/>
      <c r="J623" s="895"/>
      <c r="K623" s="895"/>
      <c r="L623" s="895"/>
      <c r="M623" s="895"/>
      <c r="N623" s="895"/>
      <c r="O623" s="896"/>
      <c r="P623" s="895"/>
      <c r="Q623" s="895"/>
      <c r="R623" s="895"/>
      <c r="S623" s="895"/>
      <c r="T623" s="896"/>
      <c r="U623" s="895"/>
      <c r="V623" s="895"/>
      <c r="W623" s="895"/>
      <c r="X623" s="899"/>
      <c r="Y623" s="896"/>
      <c r="Z623" s="895"/>
      <c r="AA623" s="895"/>
      <c r="AB623" s="895"/>
      <c r="AC623" s="899"/>
      <c r="AD623" s="896"/>
      <c r="AE623" s="895"/>
      <c r="AF623" s="895"/>
      <c r="AG623" s="895"/>
      <c r="AH623" s="899"/>
      <c r="AI623" s="896"/>
      <c r="AJ623" s="895"/>
      <c r="AK623" s="895"/>
      <c r="AL623" s="895"/>
      <c r="AM623" s="899"/>
      <c r="AN623" s="896"/>
      <c r="AO623" s="895"/>
      <c r="AP623" s="895"/>
      <c r="AQ623" s="2399"/>
      <c r="AR623" s="899"/>
      <c r="AS623" s="896"/>
      <c r="AT623" s="895"/>
      <c r="AU623" s="895"/>
      <c r="AV623" s="895"/>
      <c r="AW623" s="899"/>
      <c r="AX623" s="896"/>
      <c r="AY623" s="895"/>
      <c r="AZ623" s="895"/>
      <c r="BA623" s="895"/>
      <c r="BB623" s="899"/>
      <c r="BC623" s="896"/>
      <c r="BD623" s="895"/>
      <c r="BE623" s="895"/>
      <c r="BF623" s="895"/>
      <c r="BG623" s="899"/>
      <c r="BH623" s="896"/>
      <c r="BI623" s="895"/>
      <c r="BJ623" s="895"/>
      <c r="BK623" s="895"/>
      <c r="BL623" s="899"/>
      <c r="BM623" s="895"/>
      <c r="BN623" s="895"/>
      <c r="BO623" s="895"/>
      <c r="BP623" s="895"/>
      <c r="BQ623" s="899"/>
      <c r="BR623" s="895"/>
      <c r="BS623" s="895"/>
      <c r="BT623" s="895"/>
      <c r="BU623" s="895"/>
      <c r="BV623" s="899"/>
      <c r="BW623" s="908"/>
      <c r="BX623" s="895"/>
      <c r="BY623" s="895"/>
      <c r="BZ623" s="895"/>
      <c r="CA623" s="899"/>
      <c r="CB623" s="895"/>
      <c r="CC623" s="895"/>
      <c r="CD623" s="895"/>
      <c r="CE623" s="895"/>
      <c r="CF623" s="899"/>
      <c r="CG623" s="895"/>
      <c r="CH623" s="895"/>
      <c r="CI623" s="895"/>
      <c r="CJ623" s="895"/>
      <c r="CK623" s="899"/>
      <c r="CL623" s="1015"/>
      <c r="CM623" s="895"/>
      <c r="CN623" s="895"/>
      <c r="CO623" s="895"/>
      <c r="CP623" s="899"/>
      <c r="CQ623" s="895"/>
      <c r="CR623" s="895"/>
      <c r="CS623" s="895"/>
      <c r="CT623" s="915"/>
      <c r="CU623" s="899"/>
      <c r="CV623" s="895"/>
      <c r="CW623" s="895"/>
      <c r="CX623" s="895"/>
      <c r="CY623" s="915"/>
      <c r="CZ623" s="899"/>
      <c r="DA623" s="1015"/>
      <c r="DB623" s="1509"/>
      <c r="DC623" s="895"/>
      <c r="DD623" s="915"/>
      <c r="DE623" s="899"/>
      <c r="DF623" s="895"/>
      <c r="DG623" s="895"/>
      <c r="DH623" s="895"/>
      <c r="DI623" s="915"/>
      <c r="DJ623" s="899"/>
      <c r="DK623" s="895"/>
      <c r="DL623" s="895"/>
      <c r="DM623" s="895"/>
      <c r="DN623" s="915"/>
      <c r="DO623" s="899"/>
      <c r="DP623" s="895"/>
      <c r="DQ623" s="895"/>
      <c r="DR623" s="895"/>
      <c r="DS623" s="915"/>
      <c r="DT623" s="899"/>
      <c r="DU623" s="895"/>
      <c r="DV623" s="895"/>
      <c r="DW623" s="895"/>
      <c r="DX623" s="915"/>
      <c r="DY623" s="899"/>
      <c r="DZ623" s="895"/>
      <c r="EA623" s="895"/>
      <c r="EB623" s="895"/>
      <c r="EC623" s="915"/>
      <c r="ED623" s="899"/>
      <c r="EE623" s="895"/>
      <c r="EF623" s="895"/>
      <c r="EG623" s="895"/>
      <c r="EH623" s="915"/>
      <c r="EI623" s="1015"/>
      <c r="EJ623" s="3424"/>
      <c r="EK623" s="3424">
        <f t="shared" ref="EK623" si="1507">EK617/EJ617-1</f>
      </c>
      <c r="EL623" s="3424">
        <f t="shared" ref="EL623" si="1508">EL617/EK617-1</f>
      </c>
      <c r="EM623" s="3424">
        <f t="shared" ref="EM623" si="1509">EM617/EL617-1</f>
      </c>
      <c r="EN623" s="3422">
        <f t="shared" ref="EN623" si="1510">EN617/EM617-1</f>
      </c>
      <c r="EO623" s="3422">
        <f t="shared" ref="EO623" si="1511">EO617/EN617-1</f>
      </c>
      <c r="EP623" s="3422">
        <f t="shared" ref="EP623" si="1512">EP617/EO617-1</f>
      </c>
      <c r="EQ623" s="3422">
        <f t="shared" ref="EQ623" si="1513">EQ617/EP617-1</f>
      </c>
      <c r="ER623" s="3422">
        <f t="shared" ref="ER623" si="1514">ER617/EQ617-1</f>
      </c>
      <c r="ES623" s="3422">
        <f t="shared" ref="ES623" si="1515">ES617/ER617-1</f>
      </c>
      <c r="ET623" s="899"/>
      <c r="EU623" s="915"/>
      <c r="EV623" s="899"/>
      <c r="EW623" s="899"/>
      <c r="EX623" s="899"/>
    </row>
    <row r="624" spans="1:154">
      <c r="B624" s="1390"/>
      <c r="C624" s="1392"/>
      <c r="D624" s="894"/>
      <c r="E624" s="894"/>
      <c r="F624" s="895"/>
      <c r="G624" s="895"/>
      <c r="H624" s="895"/>
      <c r="I624" s="895"/>
      <c r="J624" s="895"/>
      <c r="K624" s="895"/>
      <c r="L624" s="895"/>
      <c r="M624" s="895"/>
      <c r="N624" s="895"/>
      <c r="O624" s="896"/>
      <c r="P624" s="895"/>
      <c r="Q624" s="895"/>
      <c r="R624" s="895"/>
      <c r="S624" s="895"/>
      <c r="T624" s="896"/>
      <c r="U624" s="895"/>
      <c r="V624" s="895"/>
      <c r="W624" s="895"/>
      <c r="X624" s="899"/>
      <c r="Y624" s="896"/>
      <c r="Z624" s="895"/>
      <c r="AA624" s="895"/>
      <c r="AB624" s="895"/>
      <c r="AC624" s="899"/>
      <c r="AD624" s="896"/>
      <c r="AE624" s="895"/>
      <c r="AF624" s="895"/>
      <c r="AG624" s="895"/>
      <c r="AH624" s="899"/>
      <c r="AI624" s="896"/>
      <c r="AJ624" s="895"/>
      <c r="AK624" s="895"/>
      <c r="AL624" s="895"/>
      <c r="AM624" s="899"/>
      <c r="AN624" s="896"/>
      <c r="AO624" s="895"/>
      <c r="AP624" s="895"/>
      <c r="AQ624" s="2399"/>
      <c r="AR624" s="899"/>
      <c r="AS624" s="896"/>
      <c r="AT624" s="895"/>
      <c r="AU624" s="895"/>
      <c r="AV624" s="895"/>
      <c r="AW624" s="899"/>
      <c r="AX624" s="896"/>
      <c r="AY624" s="895"/>
      <c r="AZ624" s="895"/>
      <c r="BA624" s="895"/>
      <c r="BB624" s="899"/>
      <c r="BC624" s="896"/>
      <c r="BD624" s="895"/>
      <c r="BE624" s="895"/>
      <c r="BF624" s="895"/>
      <c r="BG624" s="899"/>
      <c r="BH624" s="896"/>
      <c r="BI624" s="895"/>
      <c r="BJ624" s="895"/>
      <c r="BK624" s="895"/>
      <c r="BL624" s="899"/>
      <c r="BM624" s="895"/>
      <c r="BN624" s="895"/>
      <c r="BO624" s="895"/>
      <c r="BP624" s="895"/>
      <c r="BQ624" s="899"/>
      <c r="BR624" s="895"/>
      <c r="BS624" s="895"/>
      <c r="BT624" s="895"/>
      <c r="BU624" s="895"/>
      <c r="BV624" s="899"/>
      <c r="BW624" s="908"/>
      <c r="BX624" s="895"/>
      <c r="BY624" s="895"/>
      <c r="BZ624" s="895"/>
      <c r="CA624" s="899"/>
      <c r="CB624" s="895"/>
      <c r="CC624" s="895"/>
      <c r="CD624" s="895"/>
      <c r="CE624" s="895"/>
      <c r="CF624" s="899"/>
      <c r="CG624" s="895"/>
      <c r="CH624" s="895"/>
      <c r="CI624" s="895"/>
      <c r="CJ624" s="895"/>
      <c r="CK624" s="899"/>
      <c r="CL624" s="1015"/>
      <c r="CM624" s="895"/>
      <c r="CN624" s="895"/>
      <c r="CO624" s="895"/>
      <c r="CP624" s="899"/>
      <c r="CQ624" s="895"/>
      <c r="CR624" s="895"/>
      <c r="CS624" s="895"/>
      <c r="CT624" s="915"/>
      <c r="CU624" s="899"/>
      <c r="CV624" s="895"/>
      <c r="CW624" s="895"/>
      <c r="CX624" s="895"/>
      <c r="CY624" s="915"/>
      <c r="CZ624" s="899"/>
      <c r="DA624" s="1015"/>
      <c r="DB624" s="1509"/>
      <c r="DC624" s="895"/>
      <c r="DD624" s="915"/>
      <c r="DE624" s="899"/>
      <c r="DF624" s="895"/>
      <c r="DG624" s="895"/>
      <c r="DH624" s="895"/>
      <c r="DI624" s="915"/>
      <c r="DJ624" s="899"/>
      <c r="DK624" s="895"/>
      <c r="DL624" s="895"/>
      <c r="DM624" s="895"/>
      <c r="DN624" s="915"/>
      <c r="DO624" s="899"/>
      <c r="DP624" s="895"/>
      <c r="DQ624" s="895"/>
      <c r="DR624" s="895"/>
      <c r="DS624" s="915"/>
      <c r="DT624" s="899"/>
      <c r="DU624" s="895"/>
      <c r="DV624" s="895"/>
      <c r="DW624" s="895"/>
      <c r="DX624" s="915"/>
      <c r="DY624" s="899"/>
      <c r="DZ624" s="895"/>
      <c r="EA624" s="895"/>
      <c r="EB624" s="895"/>
      <c r="EC624" s="915"/>
      <c r="ED624" s="899"/>
      <c r="EE624" s="895"/>
      <c r="EF624" s="895"/>
      <c r="EG624" s="895"/>
      <c r="EH624" s="915"/>
      <c r="EI624" s="1015"/>
      <c r="EJ624" s="899"/>
      <c r="EK624" s="899"/>
      <c r="EL624" s="899"/>
      <c r="EM624" s="899"/>
      <c r="EN624" s="899"/>
      <c r="EO624" s="915"/>
      <c r="EP624" s="915"/>
      <c r="EQ624" s="915"/>
      <c r="ER624" s="915"/>
      <c r="ES624" s="899"/>
      <c r="ET624" s="899"/>
      <c r="EU624" s="915"/>
      <c r="EV624" s="915"/>
      <c r="EW624" s="915"/>
      <c r="EX624" s="899"/>
    </row>
    <row r="625" spans="1:154" ht="12.75" customHeight="1">
      <c r="B625" s="1164" t="s">
        <v>612</v>
      </c>
      <c r="C625" s="1989"/>
      <c r="D625" s="33"/>
      <c r="E625" s="33"/>
      <c r="F625" s="33"/>
      <c r="G625" s="33"/>
      <c r="H625" s="33"/>
      <c r="I625" s="31"/>
      <c r="J625" s="33"/>
      <c r="K625" s="33"/>
      <c r="L625" s="33"/>
      <c r="M625" s="33"/>
      <c r="N625" s="31"/>
      <c r="O625" s="33"/>
      <c r="P625" s="33"/>
      <c r="Q625" s="33"/>
      <c r="R625" s="33"/>
      <c r="S625" s="31"/>
      <c r="T625" s="33"/>
      <c r="U625" s="33"/>
      <c r="V625" s="33"/>
      <c r="W625" s="33"/>
      <c r="X625" s="312"/>
      <c r="Y625" s="33"/>
      <c r="Z625" s="33"/>
      <c r="AA625" s="33"/>
      <c r="AB625" s="33"/>
      <c r="AC625" s="312"/>
      <c r="AD625" s="602"/>
      <c r="AE625" s="602"/>
      <c r="AF625" s="602"/>
      <c r="AG625" s="602"/>
      <c r="AH625" s="445"/>
      <c r="AI625" s="602"/>
      <c r="AJ625" s="602"/>
      <c r="AK625" s="602"/>
      <c r="AL625" s="602"/>
      <c r="AM625" s="445"/>
      <c r="AN625" s="602"/>
      <c r="AO625" s="602"/>
      <c r="AP625" s="602"/>
      <c r="AQ625" s="602"/>
      <c r="AR625" s="445"/>
      <c r="AS625" s="444"/>
      <c r="AT625" s="444"/>
      <c r="AU625" s="444"/>
      <c r="AV625" s="444"/>
      <c r="AW625" s="445"/>
      <c r="AX625" s="28"/>
      <c r="AY625" s="28"/>
      <c r="AZ625" s="28"/>
      <c r="BA625" s="28"/>
      <c r="BB625" s="312"/>
      <c r="BC625" s="28"/>
      <c r="BD625" s="28"/>
      <c r="BE625" s="28"/>
      <c r="BF625" s="28"/>
      <c r="BG625" s="312"/>
      <c r="BH625" s="28"/>
      <c r="BI625" s="28"/>
      <c r="BJ625" s="28"/>
      <c r="BK625" s="28"/>
      <c r="BL625" s="312"/>
      <c r="BM625" s="28"/>
      <c r="BN625" s="28"/>
      <c r="BO625" s="28"/>
      <c r="BP625" s="28"/>
      <c r="BQ625" s="312"/>
      <c r="BR625" s="28"/>
      <c r="BS625" s="28"/>
      <c r="BT625" s="28"/>
      <c r="BU625" s="28"/>
      <c r="BV625" s="312"/>
      <c r="BW625" s="28"/>
      <c r="BX625" s="28"/>
      <c r="BY625" s="28"/>
      <c r="BZ625" s="28"/>
      <c r="CA625" s="312"/>
      <c r="CB625" s="28"/>
      <c r="CC625" s="28"/>
      <c r="CD625" s="28"/>
      <c r="CE625" s="28"/>
      <c r="CF625" s="312"/>
      <c r="CG625" s="28"/>
      <c r="CH625" s="28"/>
      <c r="CI625" s="28"/>
      <c r="CJ625" s="28"/>
      <c r="CK625" s="312"/>
      <c r="CL625" s="28"/>
      <c r="CM625" s="933"/>
      <c r="CN625" s="933"/>
      <c r="CO625" s="28"/>
      <c r="CP625" s="312"/>
      <c r="CQ625" s="933"/>
      <c r="CR625" s="933"/>
      <c r="CS625" s="933"/>
      <c r="CT625" s="933"/>
      <c r="CU625" s="312"/>
      <c r="CV625" s="933"/>
      <c r="CW625" s="933"/>
      <c r="CX625" s="933"/>
      <c r="CY625" s="933"/>
      <c r="CZ625" s="312"/>
      <c r="DA625" s="933"/>
      <c r="DB625" s="1360"/>
      <c r="DC625" s="1360"/>
      <c r="DD625" s="1236"/>
      <c r="DE625" s="1830"/>
      <c r="DF625" s="1842"/>
      <c r="DG625" s="1545"/>
      <c r="DH625" s="444"/>
      <c r="DI625" s="1788"/>
      <c r="DJ625" s="445"/>
      <c r="DK625" s="982"/>
      <c r="DL625" s="444"/>
      <c r="DM625" s="444"/>
      <c r="DN625" s="1788"/>
      <c r="DO625" s="445"/>
      <c r="DP625" s="444"/>
      <c r="DQ625" s="444"/>
      <c r="DR625" s="444"/>
      <c r="DS625" s="1788"/>
      <c r="DT625" s="445"/>
      <c r="DU625"/>
      <c r="DV625"/>
      <c r="DW625"/>
      <c r="DX625"/>
      <c r="DY625" s="318"/>
      <c r="DZ625"/>
      <c r="EA625"/>
      <c r="EB625" s="222"/>
      <c r="EC625" s="222"/>
      <c r="ED625" s="318"/>
      <c r="EE625"/>
      <c r="EF625"/>
      <c r="EG625" s="222"/>
      <c r="EH625" s="222"/>
      <c r="EI625" s="318"/>
      <c r="EJ625" s="318"/>
      <c r="EK625" s="318"/>
      <c r="EL625" s="445"/>
      <c r="EM625" s="445"/>
      <c r="EN625" s="445"/>
      <c r="EO625" s="445"/>
      <c r="EP625" s="445"/>
      <c r="EQ625" s="445"/>
      <c r="ER625" s="445"/>
      <c r="ES625" s="445"/>
      <c r="ET625" s="445"/>
      <c r="EU625" s="445"/>
      <c r="EV625" s="445"/>
      <c r="EW625" s="445"/>
      <c r="EX625" s="445"/>
    </row>
    <row r="626" spans="1:154" ht="12.75" customHeight="1">
      <c r="B626" s="3342" t="s">
        <v>925</v>
      </c>
      <c r="C626" s="1989"/>
      <c r="D626" s="33"/>
      <c r="E626" s="33"/>
      <c r="F626" s="33"/>
      <c r="G626" s="33"/>
      <c r="H626" s="33"/>
      <c r="I626" s="31"/>
      <c r="J626" s="33"/>
      <c r="K626" s="33"/>
      <c r="L626" s="33"/>
      <c r="M626" s="33"/>
      <c r="N626" s="31"/>
      <c r="O626" s="33"/>
      <c r="P626" s="33"/>
      <c r="Q626" s="33"/>
      <c r="R626" s="33"/>
      <c r="S626" s="31"/>
      <c r="T626" s="33"/>
      <c r="U626" s="33"/>
      <c r="V626" s="33"/>
      <c r="W626" s="33"/>
      <c r="X626" s="312"/>
      <c r="Y626" s="33"/>
      <c r="Z626" s="33"/>
      <c r="AA626" s="33"/>
      <c r="AB626" s="33"/>
      <c r="AC626" s="312"/>
      <c r="AD626" s="602"/>
      <c r="AE626" s="602"/>
      <c r="AF626" s="602"/>
      <c r="AG626" s="602"/>
      <c r="AH626" s="445"/>
      <c r="AI626" s="602"/>
      <c r="AJ626" s="602"/>
      <c r="AK626" s="602"/>
      <c r="AL626" s="602"/>
      <c r="AM626" s="445"/>
      <c r="AN626" s="602"/>
      <c r="AO626" s="602"/>
      <c r="AP626" s="602"/>
      <c r="AQ626" s="602"/>
      <c r="AR626" s="445"/>
      <c r="AS626" s="444"/>
      <c r="AT626" s="444"/>
      <c r="AU626" s="444"/>
      <c r="AV626" s="444"/>
      <c r="AW626" s="445"/>
      <c r="AX626" s="28"/>
      <c r="AY626" s="28"/>
      <c r="AZ626" s="28"/>
      <c r="BA626" s="28"/>
      <c r="BB626" s="312"/>
      <c r="BC626" s="28"/>
      <c r="BD626" s="28"/>
      <c r="BE626" s="28"/>
      <c r="BF626" s="28"/>
      <c r="BG626" s="312"/>
      <c r="BH626" s="28"/>
      <c r="BI626" s="28"/>
      <c r="BJ626" s="28"/>
      <c r="BK626" s="28"/>
      <c r="BL626" s="312"/>
      <c r="BM626" s="28">
        <f t="shared" ref="BM626:BP627" si="1516">BM465-BM476-BM487-BM498</f>
      </c>
      <c r="BN626" s="28">
        <f t="shared" si="1516"/>
      </c>
      <c r="BO626" s="28">
        <f t="shared" si="1516"/>
      </c>
      <c r="BP626" s="28">
        <f t="shared" si="1516"/>
      </c>
      <c r="BQ626" s="313">
        <f>SUM(BM626:BP626)</f>
      </c>
      <c r="BR626" s="28">
        <f t="shared" ref="BR626:BU627" si="1517">BR465-BR476-BR487-BR498</f>
      </c>
      <c r="BS626" s="28">
        <f t="shared" si="1517"/>
      </c>
      <c r="BT626" s="28">
        <f t="shared" si="1517"/>
      </c>
      <c r="BU626" s="28">
        <f t="shared" si="1517"/>
      </c>
      <c r="BV626" s="313">
        <f>SUM(BR626:BU626)</f>
      </c>
      <c r="BW626" s="28">
        <f t="shared" ref="BW626:BZ627" si="1518">BW465-BW476-BW487-BW498</f>
      </c>
      <c r="BX626" s="28">
        <f t="shared" si="1518"/>
      </c>
      <c r="BY626" s="28">
        <f t="shared" si="1518"/>
      </c>
      <c r="BZ626" s="28">
        <f t="shared" si="1518"/>
      </c>
      <c r="CA626" s="313">
        <f>SUM(BW626:BZ626)</f>
      </c>
      <c r="CB626" s="28">
        <f>CB465-CB476-CB487-CB498-CB511-CB526</f>
      </c>
      <c r="CC626" s="28">
        <f>CC465-CC476-CC487-CC498-CC511-CC526</f>
      </c>
      <c r="CD626" s="28">
        <f>CD465-CD476-CD487-CD498-CD511-CD526</f>
      </c>
      <c r="CE626" s="28">
        <f>CE465-CE476-CE487-CE498-CE511-CE526</f>
      </c>
      <c r="CF626" s="313">
        <f>SUM(CB626:CE626)</f>
      </c>
      <c r="CG626" s="28">
        <f>CG465-CG476-CG487-CG498-CG511-CG526</f>
      </c>
      <c r="CH626" s="28">
        <f>CH465-CH476-CH487-CH498-CH511-CH526</f>
      </c>
      <c r="CI626" s="28">
        <f>CI465-CI476-CI487-CI498-CI511-CI526</f>
      </c>
      <c r="CJ626" s="28">
        <f>CJ465-CJ476-CJ487-CJ498-CJ511-CJ526-CJ537</f>
      </c>
      <c r="CK626" s="313">
        <f>SUM(CG626:CJ626)</f>
      </c>
      <c r="CL626" s="28">
        <f>CL465-CL476-CL487-CL498-CL511-CL526-CL537</f>
      </c>
      <c r="CM626" s="28">
        <f>CM465-CM476-CM487-CM498-CM511-CM526-CM537</f>
      </c>
      <c r="CN626" s="28">
        <f>CN465-CN476-CN487-CN498-CN511-CN526-CN537</f>
      </c>
      <c r="CO626" s="28">
        <f>CO465-CO476-CO487-CO498-CO511-CO526-CO537</f>
      </c>
      <c r="CP626" s="313">
        <f>SUM(CL626:CO626)</f>
      </c>
      <c r="CQ626" s="10">
        <f>+CQ465-CQ476-CQ498-CQ511-CQ537</f>
      </c>
      <c r="CR626" s="10">
        <f>+CR465-CR476-CR498-CR511-CR537</f>
      </c>
      <c r="CS626" s="1259">
        <f>+CS465-CS476-CS498-CS511-CS537</f>
      </c>
      <c r="CT626" s="1259">
        <f>+CT465-CT476-CT498-CT511-CT537</f>
      </c>
      <c r="CU626" s="324">
        <f>SUM(CQ626:CT626)</f>
      </c>
      <c r="CV626" s="10">
        <f>+CV465-CV476-CV498-CV511-CV537</f>
      </c>
      <c r="CW626" s="10">
        <f>+CW465-CW476-CW498-CW511-CW537-CW548</f>
      </c>
      <c r="CX626" s="10">
        <f>+CX465-CX476-CX498-CX511-CX537-CX548</f>
      </c>
      <c r="CY626" s="1259">
        <f>+CY465-CY476-CY498-CY511-CY537-CY548</f>
      </c>
      <c r="CZ626" s="324">
        <f>SUM(CV626:CY626)</f>
      </c>
      <c r="DA626" s="10">
        <f>+DA465-DA476-DA498-DA511-DA537-DA548</f>
      </c>
      <c r="DB626" s="10">
        <f>+DB465-DB476-DB498-DB511-DB537-DB548</f>
      </c>
      <c r="DC626" s="10">
        <f>+DC465-DC476-DC498-DC511-DC537-DC548</f>
      </c>
      <c r="DD626" s="10">
        <f>+DD465-DD476-DD498-DD511-DD537-DD548</f>
      </c>
      <c r="DE626" s="1835">
        <f>SUM(DA626:DD626)</f>
      </c>
      <c r="DF626" s="107">
        <f>+DF465-DF476-DF498-DF511-DF537-DF548</f>
      </c>
      <c r="DG626" s="107">
        <f>+DG465-DG476-DG498-DG511-DG537-DG548</f>
      </c>
      <c r="DH626" s="107">
        <f>+DH465-DH476-DH498-DH511-DH537-DH548</f>
      </c>
      <c r="DI626" s="107">
        <f>+DI465-DI476-DI498-DI511-DI537-DI548</f>
      </c>
      <c r="DJ626" s="1835">
        <f>SUM(DF626:DI626)</f>
      </c>
      <c r="DK626" s="107">
        <f>+DK465-DK476-DK498-DK511-DK537-DK548</f>
      </c>
      <c r="DL626" s="107">
        <f>+DL465-DL476-DL498-DL511-DL537-DL548</f>
      </c>
      <c r="DM626" s="107">
        <f>+DM465-DM476-DM498-DM511-DM537-DM548</f>
      </c>
      <c r="DN626" s="107">
        <f>+DN465-DN476-DN498-DN511-DN537-DN548</f>
      </c>
      <c r="DO626" s="1835">
        <f>SUM(DK626:DN626)</f>
      </c>
      <c r="DP626" s="107">
        <f>+DP465-DP476-DP498-DP511-DP537-DP548</f>
      </c>
      <c r="DQ626" s="107">
        <f>+DQ465-DQ476-DQ498-DQ511-DQ537-DQ548</f>
      </c>
      <c r="DR626" s="1542">
        <f>+DR465-DR476-DR498-DR511-DR537-DR548</f>
      </c>
      <c r="DS626" s="1542">
        <f>+DS465-DS476-DS498-DS511-DS537-DS548</f>
      </c>
      <c r="DT626" s="1835">
        <f>SUM(DP626:DS626)</f>
      </c>
      <c r="DU626" s="1542">
        <v>93.400000000000091</v>
      </c>
      <c r="DV626" s="1542">
        <v>121</v>
      </c>
      <c r="DW626" s="1542">
        <v>143.00000000000011</v>
      </c>
      <c r="DX626" s="1542">
        <v>192</v>
      </c>
      <c r="DY626" s="1835">
        <f>SUM(DU626:DX626)</f>
      </c>
      <c r="DZ626" s="710">
        <f>118.5</f>
      </c>
      <c r="EA626" s="710">
        <v>148</v>
      </c>
      <c r="EB626" s="710">
        <v>167.5</v>
      </c>
      <c r="EC626" s="1839">
        <f>208</f>
      </c>
      <c r="ED626" s="1835">
        <f>SUM(DZ626:EC626)</f>
      </c>
      <c r="EE626" s="710">
        <v>47</v>
      </c>
      <c r="EF626" s="710">
        <v>50</v>
      </c>
      <c r="EG626" s="710">
        <v>56</v>
      </c>
      <c r="EH626" s="1556">
        <f>+EI626-SUM(EE626:EG626)</f>
      </c>
      <c r="EI626" s="2060">
        <f>ED626*(1+EI631)</f>
      </c>
      <c r="EJ626" s="2060">
        <f t="shared" ref="EJ626:EN626" si="1519">EI626*(1+EJ631)</f>
      </c>
      <c r="EK626" s="2060">
        <f t="shared" si="1519"/>
      </c>
      <c r="EL626" s="2060">
        <f t="shared" si="1519"/>
      </c>
      <c r="EM626" s="2060">
        <f t="shared" si="1519"/>
      </c>
      <c r="EN626" s="2060">
        <f t="shared" si="1519"/>
      </c>
      <c r="EO626" s="2060">
        <f t="shared" ref="EO626" si="1520">EN626*(1+EO631)</f>
      </c>
      <c r="EP626" s="2060">
        <f t="shared" ref="EP626" si="1521">EO626*(1+EP631)</f>
      </c>
      <c r="EQ626" s="2060">
        <f t="shared" ref="EQ626" si="1522">EP626*(1+EQ631)</f>
      </c>
      <c r="ER626" s="2060">
        <f t="shared" ref="ER626" si="1523">EQ626*(1+ER631)</f>
      </c>
      <c r="ES626" s="2060">
        <f t="shared" ref="ES626" si="1524">ER626*(1+ES631)</f>
      </c>
      <c r="ET626" s="1866"/>
      <c r="EU626" s="1866"/>
      <c r="EV626" s="1866"/>
      <c r="EW626" s="1866"/>
      <c r="EX626" s="1866"/>
    </row>
    <row r="627" spans="1:154" ht="12.75" customHeight="1">
      <c r="B627" s="3342" t="s">
        <v>412</v>
      </c>
      <c r="C627" s="2012" t="s">
        <v>658</v>
      </c>
      <c r="D627" s="33"/>
      <c r="E627" s="33"/>
      <c r="F627" s="33"/>
      <c r="G627" s="33"/>
      <c r="H627" s="33"/>
      <c r="I627" s="31"/>
      <c r="J627" s="33"/>
      <c r="K627" s="33"/>
      <c r="L627" s="33"/>
      <c r="M627" s="33"/>
      <c r="N627" s="31"/>
      <c r="O627" s="33"/>
      <c r="P627" s="33"/>
      <c r="Q627" s="33"/>
      <c r="R627" s="33"/>
      <c r="S627" s="31"/>
      <c r="T627" s="33"/>
      <c r="U627" s="33"/>
      <c r="V627" s="33"/>
      <c r="W627" s="33"/>
      <c r="X627" s="312"/>
      <c r="Y627" s="33"/>
      <c r="Z627" s="33"/>
      <c r="AA627" s="33"/>
      <c r="AB627" s="33"/>
      <c r="AC627" s="312"/>
      <c r="AD627" s="33"/>
      <c r="AE627" s="33"/>
      <c r="AF627" s="33"/>
      <c r="AG627" s="33"/>
      <c r="AH627" s="312"/>
      <c r="AI627" s="33"/>
      <c r="AJ627" s="33"/>
      <c r="AK627" s="33"/>
      <c r="AL627" s="33"/>
      <c r="AM627" s="312"/>
      <c r="AN627" s="33"/>
      <c r="AO627" s="33"/>
      <c r="AP627" s="33"/>
      <c r="AQ627" s="33"/>
      <c r="AR627" s="312"/>
      <c r="AS627" s="28"/>
      <c r="AT627" s="28"/>
      <c r="AU627" s="28"/>
      <c r="AV627" s="28"/>
      <c r="AW627" s="312"/>
      <c r="AX627" s="28"/>
      <c r="AY627" s="28"/>
      <c r="AZ627" s="28"/>
      <c r="BA627" s="28"/>
      <c r="BB627" s="312"/>
      <c r="BC627" s="28"/>
      <c r="BD627" s="28"/>
      <c r="BE627" s="28"/>
      <c r="BF627" s="28"/>
      <c r="BG627" s="312"/>
      <c r="BH627" s="28"/>
      <c r="BI627" s="28"/>
      <c r="BJ627" s="28"/>
      <c r="BK627" s="28"/>
      <c r="BL627" s="312"/>
      <c r="BM627" s="28">
        <f t="shared" si="1516"/>
      </c>
      <c r="BN627" s="28">
        <f t="shared" si="1516"/>
      </c>
      <c r="BO627" s="28">
        <f t="shared" si="1516"/>
      </c>
      <c r="BP627" s="28">
        <f t="shared" si="1516"/>
      </c>
      <c r="BQ627" s="313">
        <f>SUM(BM627:BP627)</f>
      </c>
      <c r="BR627" s="28">
        <f t="shared" si="1517"/>
      </c>
      <c r="BS627" s="28">
        <f t="shared" si="1517"/>
      </c>
      <c r="BT627" s="28">
        <f t="shared" si="1517"/>
      </c>
      <c r="BU627" s="28">
        <f t="shared" si="1517"/>
      </c>
      <c r="BV627" s="313">
        <f>SUM(BR627:BU627)</f>
      </c>
      <c r="BW627" s="28">
        <f t="shared" si="1518"/>
      </c>
      <c r="BX627" s="28">
        <f t="shared" si="1518"/>
      </c>
      <c r="BY627" s="28">
        <f t="shared" si="1518"/>
      </c>
      <c r="BZ627" s="28">
        <f t="shared" si="1518"/>
      </c>
      <c r="CA627" s="313">
        <f>SUM(BW627:BZ627)</f>
      </c>
      <c r="CB627" s="28">
        <f>CB466-CB477-CB488-CB499-CB513-CB527</f>
      </c>
      <c r="CC627" s="28">
        <f>CC466-CC477-CC488-CC499-CC513-CC527</f>
      </c>
      <c r="CD627" s="28">
        <f>CD466-CD477-CD488-CD499-CD513-CD527</f>
      </c>
      <c r="CE627" s="28">
        <f>CE466-CE477-CE488-CE499-CE513-CE527</f>
      </c>
      <c r="CF627" s="313">
        <f>SUM(CB627:CE627)</f>
      </c>
      <c r="CG627" s="28">
        <f>CG466-CG477-CG488-CG499-CG513-CG527</f>
      </c>
      <c r="CH627" s="28">
        <f>CH466-CH477-CH488-CH499-CH513-CH527</f>
      </c>
      <c r="CI627" s="28">
        <f>CI466-CI477-CI488-CI499-CI513-CI527</f>
      </c>
      <c r="CJ627" s="28">
        <f>CJ466-CJ477-CJ488-CJ499-CJ513-CJ527</f>
      </c>
      <c r="CK627" s="313">
        <f>SUM(CG627:CJ627)</f>
      </c>
      <c r="CL627" s="28">
        <f>CL466-CL477-CL488-CL499-CL513-CL527</f>
      </c>
      <c r="CM627" s="28">
        <f>CM466-CM477-CM488-CM499-CM513-CM527-CM538</f>
      </c>
      <c r="CN627" s="28">
        <f>CN466-CN477-CN488-CN499-CN513-CN527-CN538</f>
      </c>
      <c r="CO627" s="28">
        <f>CO466-CO477-CO488-CO499-CO513-CO527</f>
      </c>
      <c r="CP627" s="313">
        <f>SUM(CL627:CO627)</f>
      </c>
      <c r="CQ627" s="28">
        <f>+CQ466-CQ477-CQ499-CQ513-CQ538</f>
      </c>
      <c r="CR627" s="28">
        <f>+CR466-CR477-CR499-CR513-CR538</f>
      </c>
      <c r="CS627" s="1259">
        <f>+CS466-CS477-CS499-CS513-CS538</f>
      </c>
      <c r="CT627" s="1259">
        <f>+CT466-CT477-CT499-CT513-CT538</f>
      </c>
      <c r="CU627" s="324">
        <f>SUM(CQ627:CT627)</f>
      </c>
      <c r="CV627" s="10">
        <f>+CV466-CV477-CV499-CV513-CV538</f>
      </c>
      <c r="CW627" s="10">
        <f>+CW466-CW477-CW499-CW513-CW538-CW549</f>
      </c>
      <c r="CX627" s="10">
        <f>+CX466-CX477-CX499-CX513-CX538-CX549</f>
      </c>
      <c r="CY627" s="1259">
        <f>+CY466-CY477-CY499-CY513-CY538-CY549</f>
      </c>
      <c r="CZ627" s="324">
        <f>SUM(CV627:CY627)</f>
      </c>
      <c r="DA627" s="28">
        <f>+DA466-DA477-DA499-DA513-DA538-DA549</f>
      </c>
      <c r="DB627" s="28">
        <f>+DB466-DB477-DB499-DB513-DB538-DB549</f>
      </c>
      <c r="DC627" s="28">
        <f>+DC466-DC477-DC499-DC513-DC538-DC549</f>
      </c>
      <c r="DD627" s="28">
        <f>+DD466-DD477-DD499-DD513-DD538-DD549</f>
      </c>
      <c r="DE627" s="1835">
        <f>SUM(DA627:DD627)</f>
      </c>
      <c r="DF627" s="107">
        <f>+DF466-DF477-DF499-DF513-DF538-DF549</f>
      </c>
      <c r="DG627" s="107">
        <f>+DG466-DG477-DG499-DG513-DG538-DG549</f>
      </c>
      <c r="DH627" s="107">
        <f>+DH466-DH477-DH499-DH513-DH538-DH549</f>
      </c>
      <c r="DI627" s="107">
        <f>+DI466-DI477-DI499-DI513-DI538-DI549</f>
      </c>
      <c r="DJ627" s="1835">
        <f>SUM(DF627:DI627)</f>
      </c>
      <c r="DK627" s="107">
        <f>+DK466-DK477-DK499-DK513-DK538-DK549</f>
      </c>
      <c r="DL627" s="107">
        <f>+DL466-DL477-DL499-DL513-DL538-DL549</f>
      </c>
      <c r="DM627" s="107">
        <f>+DM466-DM477-DM499-DM513-DM538-DM549</f>
      </c>
      <c r="DN627" s="107">
        <f>+DN466-DN477-DN499-DN513-DN538-DN549</f>
      </c>
      <c r="DO627" s="1835">
        <f>SUM(DK627:DN627)</f>
      </c>
      <c r="DP627" s="107">
        <f>+DP466-DP477-DP499-DP513-DP538-DP549</f>
      </c>
      <c r="DQ627" s="107">
        <f>+DQ466-DQ477-DQ499-DQ513-DQ538-DQ549</f>
      </c>
      <c r="DR627" s="1542">
        <f>+DR466-DR477-DR499-DR513-DR538-DR549</f>
      </c>
      <c r="DS627" s="1542">
        <f>+DS466-DS477-DS499-DS513-DS538-DS549</f>
      </c>
      <c r="DT627" s="1835">
        <f>SUM(DP627:DS627)</f>
      </c>
      <c r="DU627" s="1542">
        <v>70</v>
      </c>
      <c r="DV627" s="1542">
        <v>92.5</v>
      </c>
      <c r="DW627" s="1542">
        <v>86.000000000000114</v>
      </c>
      <c r="DX627" s="1542">
        <v>82</v>
      </c>
      <c r="DY627" s="1835">
        <f>SUM(DU627:DX627)</f>
      </c>
      <c r="DZ627" s="710">
        <v>60</v>
      </c>
      <c r="EA627" s="710">
        <v>71</v>
      </c>
      <c r="EB627" s="710">
        <v>82.5</v>
      </c>
      <c r="EC627" s="1839">
        <f>74</f>
      </c>
      <c r="ED627" s="1835">
        <f>SUM(DZ627:EC627)</f>
      </c>
      <c r="EE627" s="710">
        <v>42</v>
      </c>
      <c r="EF627" s="710">
        <v>42</v>
      </c>
      <c r="EG627" s="710">
        <v>39</v>
      </c>
      <c r="EH627" s="1556">
        <f>+EI627-SUM(EE627:EG627)</f>
      </c>
      <c r="EI627" s="2060">
        <f>ED627*(1+EI633)</f>
      </c>
      <c r="EJ627" s="2060">
        <f t="shared" ref="EJ627:EN627" si="1525">EI627*(1+EJ633)</f>
      </c>
      <c r="EK627" s="2060">
        <f t="shared" si="1525"/>
      </c>
      <c r="EL627" s="2060">
        <f t="shared" si="1525"/>
      </c>
      <c r="EM627" s="2060">
        <f t="shared" si="1525"/>
      </c>
      <c r="EN627" s="2060">
        <f t="shared" si="1525"/>
      </c>
      <c r="EO627" s="2060">
        <f t="shared" ref="EO627" si="1526">EN627*(1+EO633)</f>
      </c>
      <c r="EP627" s="2060">
        <f t="shared" ref="EP627" si="1527">EO627*(1+EP633)</f>
      </c>
      <c r="EQ627" s="2060">
        <f t="shared" ref="EQ627" si="1528">EP627*(1+EQ633)</f>
      </c>
      <c r="ER627" s="2060">
        <f t="shared" ref="ER627" si="1529">EQ627*(1+ER633)</f>
      </c>
      <c r="ES627" s="2060">
        <f t="shared" ref="ES627" si="1530">ER627*(1+ES633)</f>
      </c>
      <c r="ET627" s="1866"/>
      <c r="EU627" s="1866"/>
      <c r="EV627" s="1866"/>
      <c r="EW627" s="1866"/>
      <c r="EX627" s="1866"/>
    </row>
    <row r="628" spans="1:154" ht="12.75" customHeight="1">
      <c r="B628" s="3342" t="s">
        <v>611</v>
      </c>
      <c r="C628" s="2012" t="s">
        <v>658</v>
      </c>
      <c r="D628" s="33"/>
      <c r="E628" s="33"/>
      <c r="F628" s="33"/>
      <c r="G628" s="33"/>
      <c r="H628" s="33"/>
      <c r="I628" s="31"/>
      <c r="J628" s="33"/>
      <c r="K628" s="33"/>
      <c r="L628" s="33"/>
      <c r="M628" s="33"/>
      <c r="N628" s="31"/>
      <c r="O628" s="33"/>
      <c r="P628" s="33"/>
      <c r="Q628" s="33"/>
      <c r="R628" s="33"/>
      <c r="S628" s="31"/>
      <c r="T628" s="33"/>
      <c r="U628" s="33"/>
      <c r="V628" s="33"/>
      <c r="W628" s="33"/>
      <c r="X628" s="312"/>
      <c r="Y628" s="33"/>
      <c r="Z628" s="33"/>
      <c r="AA628" s="33"/>
      <c r="AB628" s="33"/>
      <c r="AC628" s="312"/>
      <c r="AD628" s="33"/>
      <c r="AE628" s="33"/>
      <c r="AF628" s="33"/>
      <c r="AG628" s="33"/>
      <c r="AH628" s="312"/>
      <c r="AI628" s="33"/>
      <c r="AJ628" s="33"/>
      <c r="AK628" s="33"/>
      <c r="AL628" s="33"/>
      <c r="AM628" s="312"/>
      <c r="AN628" s="33"/>
      <c r="AO628" s="33"/>
      <c r="AP628" s="33"/>
      <c r="AQ628" s="33"/>
      <c r="AR628" s="312"/>
      <c r="AS628" s="28"/>
      <c r="AT628" s="28"/>
      <c r="AU628" s="28"/>
      <c r="AV628" s="28"/>
      <c r="AW628" s="312"/>
      <c r="AX628" s="28"/>
      <c r="AY628" s="28"/>
      <c r="AZ628" s="28"/>
      <c r="BA628" s="28"/>
      <c r="BB628" s="312"/>
      <c r="BC628" s="28"/>
      <c r="BD628" s="28"/>
      <c r="BE628" s="28"/>
      <c r="BF628" s="28"/>
      <c r="BG628" s="312"/>
      <c r="BH628" s="28"/>
      <c r="BI628" s="28"/>
      <c r="BJ628" s="28"/>
      <c r="BK628" s="28"/>
      <c r="BL628" s="312"/>
      <c r="BM628" s="28">
        <f>+BM627+BM626</f>
      </c>
      <c r="BN628" s="28">
        <f>+BN627+BN626</f>
      </c>
      <c r="BO628" s="28">
        <f>+BO627+BO626</f>
      </c>
      <c r="BP628" s="28">
        <f>+BP626+BP627</f>
      </c>
      <c r="BQ628" s="312">
        <f>+BQ627+BQ626</f>
      </c>
      <c r="BR628" s="28">
        <f>+BR627+BR626</f>
      </c>
      <c r="BS628" s="28">
        <f>+BS627+BS626</f>
      </c>
      <c r="BT628" s="28">
        <f>+BT627+BT626</f>
      </c>
      <c r="BU628" s="28">
        <f>+BU626+BU627</f>
      </c>
      <c r="BV628" s="312">
        <f>+BV627+BV626</f>
      </c>
      <c r="BW628" s="28">
        <f>+BW627+BW626</f>
      </c>
      <c r="BX628" s="28">
        <f>+BX627+BX626</f>
      </c>
      <c r="BY628" s="28">
        <f>+BY627+BY626</f>
      </c>
      <c r="BZ628" s="28">
        <f>+BZ626+BZ627</f>
      </c>
      <c r="CA628" s="313">
        <f>SUM(BW628:BZ628)</f>
      </c>
      <c r="CB628" s="28">
        <f>+CB627+CB626</f>
      </c>
      <c r="CC628" s="28">
        <f>+CC627+CC626</f>
      </c>
      <c r="CD628" s="28">
        <f>+CD627+CD626</f>
      </c>
      <c r="CE628" s="28">
        <f>+CE627+CE626</f>
      </c>
      <c r="CF628" s="313">
        <f>SUM(CB628:CE628)</f>
      </c>
      <c r="CG628" s="28">
        <f>+CG627+CG626</f>
      </c>
      <c r="CH628" s="28">
        <f>+CH627+CH626</f>
      </c>
      <c r="CI628" s="28">
        <f>+CI627+CI626</f>
      </c>
      <c r="CJ628" s="28">
        <f>+CJ627+CJ626</f>
      </c>
      <c r="CK628" s="313">
        <f>SUM(CG628:CJ628)</f>
      </c>
      <c r="CL628" s="28">
        <f>+CL627+CL626</f>
      </c>
      <c r="CM628" s="28">
        <f>+CM627+CM626</f>
      </c>
      <c r="CN628" s="28">
        <f>+CN627+CN626</f>
      </c>
      <c r="CO628" s="28">
        <f>+CO627+CO626</f>
      </c>
      <c r="CP628" s="313">
        <f>SUM(CL628:CO628)</f>
      </c>
      <c r="CQ628" s="28">
        <f>+CQ627+CQ626</f>
      </c>
      <c r="CR628" s="28">
        <f>+CR627+CR626</f>
      </c>
      <c r="CS628" s="28">
        <f>+CS627+CS626</f>
      </c>
      <c r="CT628" s="28">
        <f>+CT627+CT626</f>
      </c>
      <c r="CU628" s="324">
        <f>SUM(CQ628:CT628)</f>
      </c>
      <c r="CV628" s="10">
        <f>+CV627+CV626</f>
      </c>
      <c r="CW628" s="10">
        <f>+CW627+CW626</f>
      </c>
      <c r="CX628" s="10">
        <f>+CX627+CX626</f>
      </c>
      <c r="CY628" s="10">
        <f>+CY627+CY626</f>
      </c>
      <c r="CZ628" s="324">
        <f>SUM(CV628:CY628)</f>
      </c>
      <c r="DA628" s="28">
        <f>+DA627+DA626</f>
      </c>
      <c r="DB628" s="28">
        <f>+DB627+DB626</f>
      </c>
      <c r="DC628" s="36">
        <f>SUM(DC626:DC627)</f>
      </c>
      <c r="DD628" s="984">
        <f>+DD626+DD627</f>
      </c>
      <c r="DE628" s="1835">
        <f>SUM(DA628:DD628)</f>
      </c>
      <c r="DF628" s="1542">
        <f>+DF626+DF627</f>
      </c>
      <c r="DG628" s="107">
        <f>+DG627+DG626</f>
      </c>
      <c r="DH628" s="1542">
        <f>SUM(DH626:DH627)</f>
      </c>
      <c r="DI628" s="1542">
        <f>SUM(DI626:DI627)</f>
      </c>
      <c r="DJ628" s="1835">
        <f>SUM(DF628:DI628)</f>
      </c>
      <c r="DK628" s="1542">
        <f>+DK626+DK627</f>
      </c>
      <c r="DL628" s="107">
        <f>+DL627+DL626</f>
      </c>
      <c r="DM628" s="1542">
        <f>SUM(DM626:DM627)</f>
      </c>
      <c r="DN628" s="1556">
        <f>+DN626+DN627</f>
      </c>
      <c r="DO628" s="573">
        <f>+DO627+DO626</f>
      </c>
      <c r="DP628" s="1542">
        <f>SUM(DP626:DP627)</f>
      </c>
      <c r="DQ628" s="1542">
        <f>SUM(DQ626:DQ627)</f>
      </c>
      <c r="DR628" s="1542">
        <f>SUM(DR626:DR627)</f>
      </c>
      <c r="DS628" s="1556">
        <f>+DS626+DS627</f>
      </c>
      <c r="DT628" s="573">
        <f>+DT627+DT626</f>
      </c>
      <c r="DU628" s="1542">
        <f>SUM(DU626:DU627)</f>
      </c>
      <c r="DV628" s="1542">
        <f>SUM(DV626:DV627)</f>
      </c>
      <c r="DW628" s="1542">
        <f>SUM(DW626:DW627)</f>
      </c>
      <c r="DX628" s="1542">
        <f>+DX626+DX627</f>
      </c>
      <c r="DY628" s="573">
        <f>+DY627+DY626</f>
      </c>
      <c r="DZ628" s="1542">
        <f>SUM(DZ626:DZ627)</f>
      </c>
      <c r="EA628" s="1542">
        <f>SUM(EA626:EA627)</f>
      </c>
      <c r="EB628" s="1542">
        <f>SUM(EB626:EB627)</f>
      </c>
      <c r="EC628" s="1556">
        <f>+EC626+EC627</f>
      </c>
      <c r="ED628" s="573">
        <f>+ED627+ED626</f>
      </c>
      <c r="EE628" s="1542">
        <f>SUM(EE626:EE627)</f>
      </c>
      <c r="EF628" s="1542">
        <f>SUM(EF626:EF627)</f>
      </c>
      <c r="EG628" s="1542">
        <f>SUM(EG626:EG627)</f>
      </c>
      <c r="EH628" s="1556">
        <f>+EH626+EH627</f>
      </c>
      <c r="EI628" s="573">
        <f t="shared" ref="EI628:EN628" si="1531">+EI627+EI626</f>
      </c>
      <c r="EJ628" s="573">
        <f t="shared" si="1531"/>
      </c>
      <c r="EK628" s="573">
        <f t="shared" si="1531"/>
      </c>
      <c r="EL628" s="573">
        <f t="shared" si="1531"/>
      </c>
      <c r="EM628" s="573">
        <f t="shared" si="1531"/>
      </c>
      <c r="EN628" s="573">
        <f t="shared" si="1531"/>
      </c>
      <c r="EO628" s="573">
        <f t="shared" ref="EO628:ES628" si="1532">+EO627+EO626</f>
      </c>
      <c r="EP628" s="573">
        <f t="shared" si="1532"/>
      </c>
      <c r="EQ628" s="573">
        <f t="shared" si="1532"/>
      </c>
      <c r="ER628" s="573">
        <f t="shared" si="1532"/>
      </c>
      <c r="ES628" s="573">
        <f t="shared" si="1532"/>
      </c>
      <c r="ET628" s="445"/>
      <c r="EU628" s="445"/>
      <c r="EV628" s="445"/>
      <c r="EW628" s="445"/>
      <c r="EX628" s="445"/>
    </row>
    <row r="629" spans="1:154" ht="12.75" customHeight="1">
      <c r="B629" s="1168"/>
      <c r="C629" s="1989"/>
      <c r="D629" s="33"/>
      <c r="E629" s="33"/>
      <c r="F629" s="33"/>
      <c r="G629" s="33"/>
      <c r="H629" s="33"/>
      <c r="I629" s="31"/>
      <c r="J629" s="33"/>
      <c r="K629" s="33"/>
      <c r="L629" s="33"/>
      <c r="M629" s="33"/>
      <c r="N629" s="31"/>
      <c r="O629" s="33"/>
      <c r="P629" s="33"/>
      <c r="Q629" s="33"/>
      <c r="R629" s="33"/>
      <c r="S629" s="31"/>
      <c r="T629" s="33"/>
      <c r="U629" s="33"/>
      <c r="V629" s="33"/>
      <c r="W629" s="33"/>
      <c r="X629" s="312"/>
      <c r="Y629" s="33"/>
      <c r="Z629" s="33"/>
      <c r="AA629" s="33"/>
      <c r="AB629" s="33"/>
      <c r="AC629" s="312"/>
      <c r="AD629" s="33"/>
      <c r="AE629" s="33"/>
      <c r="AF629" s="33"/>
      <c r="AG629" s="33"/>
      <c r="AH629" s="312"/>
      <c r="AI629" s="33"/>
      <c r="AJ629" s="33"/>
      <c r="AK629" s="33"/>
      <c r="AL629" s="33"/>
      <c r="AM629" s="312"/>
      <c r="AN629" s="33"/>
      <c r="AO629" s="33"/>
      <c r="AP629" s="33"/>
      <c r="AQ629" s="33"/>
      <c r="AR629" s="312"/>
      <c r="AS629" s="28"/>
      <c r="AT629" s="28"/>
      <c r="AU629" s="28"/>
      <c r="AV629" s="28"/>
      <c r="AW629" s="312"/>
      <c r="AX629" s="28"/>
      <c r="AY629" s="28"/>
      <c r="AZ629" s="28"/>
      <c r="BA629" s="28"/>
      <c r="BB629" s="312"/>
      <c r="BC629" s="28"/>
      <c r="BD629" s="28"/>
      <c r="BE629" s="28"/>
      <c r="BF629" s="28"/>
      <c r="BG629" s="312"/>
      <c r="BH629" s="28"/>
      <c r="BI629" s="28"/>
      <c r="BJ629" s="28"/>
      <c r="BK629" s="28"/>
      <c r="BL629" s="312"/>
      <c r="BM629" s="28"/>
      <c r="BN629" s="28"/>
      <c r="BO629" s="28"/>
      <c r="BP629" s="28"/>
      <c r="BQ629" s="312"/>
      <c r="BR629" s="28"/>
      <c r="BS629" s="28"/>
      <c r="BT629" s="28"/>
      <c r="BU629" s="28"/>
      <c r="BV629" s="312"/>
      <c r="BW629" s="28"/>
      <c r="BX629" s="28"/>
      <c r="BY629" s="28"/>
      <c r="BZ629" s="28"/>
      <c r="CA629" s="312"/>
      <c r="CB629" s="28"/>
      <c r="CC629" s="28"/>
      <c r="CD629" s="28"/>
      <c r="CE629" s="28"/>
      <c r="CF629" s="312"/>
      <c r="CG629" s="28"/>
      <c r="CH629" s="28"/>
      <c r="CI629" s="28"/>
      <c r="CJ629" s="28"/>
      <c r="CK629" s="312"/>
      <c r="CL629" s="28"/>
      <c r="CM629" s="28"/>
      <c r="CN629" s="28"/>
      <c r="CO629" s="28"/>
      <c r="CP629" s="312"/>
      <c r="CQ629" s="933"/>
      <c r="CR629" s="933"/>
      <c r="CS629" s="933"/>
      <c r="CT629" s="933"/>
      <c r="CU629" s="312"/>
      <c r="CV629" s="933"/>
      <c r="CW629" s="933"/>
      <c r="CX629" s="933"/>
      <c r="CY629" s="933"/>
      <c r="CZ629" s="312"/>
      <c r="DA629" s="933"/>
      <c r="DB629" s="31"/>
      <c r="DC629" s="31"/>
      <c r="DD629" s="955"/>
      <c r="DE629" s="445"/>
      <c r="DF629" s="982"/>
      <c r="DG629" s="603"/>
      <c r="DH629" s="603"/>
      <c r="DI629" s="1798"/>
      <c r="DJ629" s="445"/>
      <c r="DK629" s="982"/>
      <c r="DL629" s="603"/>
      <c r="DM629" s="603"/>
      <c r="DN629" s="1798"/>
      <c r="DO629" s="445"/>
      <c r="DP629" s="603"/>
      <c r="DQ629" s="603"/>
      <c r="DR629" s="603"/>
      <c r="DS629" s="1798"/>
      <c r="DT629" s="445"/>
      <c r="DU629" s="603"/>
      <c r="DV629" s="603"/>
      <c r="DW629" s="603"/>
      <c r="DX629" s="603"/>
      <c r="DY629" s="445"/>
      <c r="DZ629" s="603"/>
      <c r="EA629" s="603"/>
      <c r="EB629" s="603"/>
      <c r="EC629" s="1798"/>
      <c r="ED629" s="1866"/>
      <c r="EE629" s="603"/>
      <c r="EF629" s="603"/>
      <c r="EG629" s="603"/>
      <c r="EH629" s="1798"/>
      <c r="EI629" s="445"/>
      <c r="EJ629" s="445"/>
      <c r="EK629" s="445"/>
      <c r="EL629" s="445"/>
      <c r="EM629" s="445"/>
      <c r="EN629" s="445"/>
      <c r="EO629" s="445"/>
      <c r="EP629" s="445"/>
      <c r="EQ629" s="445"/>
      <c r="ER629" s="445"/>
      <c r="ES629" s="445"/>
      <c r="ET629" s="445"/>
      <c r="EU629" s="445"/>
      <c r="EV629" s="445"/>
      <c r="EW629" s="445"/>
      <c r="EX629" s="445"/>
    </row>
    <row r="630" spans="1:154" ht="12.75" customHeight="1">
      <c r="B630" s="1162" t="s">
        <v>935</v>
      </c>
      <c r="C630" s="1989"/>
      <c r="D630" s="33"/>
      <c r="E630" s="33"/>
      <c r="F630" s="33"/>
      <c r="G630" s="33"/>
      <c r="H630" s="33"/>
      <c r="I630" s="31"/>
      <c r="J630" s="33"/>
      <c r="K630" s="33"/>
      <c r="L630" s="33"/>
      <c r="M630" s="33"/>
      <c r="N630" s="31"/>
      <c r="O630" s="33"/>
      <c r="P630" s="33"/>
      <c r="Q630" s="33"/>
      <c r="R630" s="33"/>
      <c r="S630" s="31"/>
      <c r="T630" s="33"/>
      <c r="U630" s="33"/>
      <c r="V630" s="33"/>
      <c r="W630" s="33"/>
      <c r="X630" s="312"/>
      <c r="Y630" s="33"/>
      <c r="Z630" s="33"/>
      <c r="AA630" s="33"/>
      <c r="AB630" s="33"/>
      <c r="AC630" s="312"/>
      <c r="AD630" s="33"/>
      <c r="AE630" s="33"/>
      <c r="AF630" s="33"/>
      <c r="AG630" s="33"/>
      <c r="AH630" s="312"/>
      <c r="AI630" s="33"/>
      <c r="AJ630" s="33"/>
      <c r="AK630" s="33"/>
      <c r="AL630" s="33"/>
      <c r="AM630" s="312"/>
      <c r="AN630" s="33"/>
      <c r="AO630" s="33"/>
      <c r="AP630" s="33"/>
      <c r="AQ630" s="33"/>
      <c r="AR630" s="312"/>
      <c r="AS630" s="28"/>
      <c r="AT630" s="28"/>
      <c r="AU630" s="28"/>
      <c r="AV630" s="28"/>
      <c r="AW630" s="312"/>
      <c r="AX630" s="28"/>
      <c r="AY630" s="28"/>
      <c r="AZ630" s="28"/>
      <c r="BA630" s="28"/>
      <c r="BB630" s="312"/>
      <c r="BC630" s="28"/>
      <c r="BD630" s="28"/>
      <c r="BE630" s="28"/>
      <c r="BF630" s="28"/>
      <c r="BG630" s="312"/>
      <c r="BH630" s="28"/>
      <c r="BI630" s="28"/>
      <c r="BJ630" s="28"/>
      <c r="BK630" s="28"/>
      <c r="BL630" s="312"/>
      <c r="BM630" s="28"/>
      <c r="BN630" s="28"/>
      <c r="BO630" s="28"/>
      <c r="BP630" s="28"/>
      <c r="BQ630" s="312"/>
      <c r="BR630" s="28"/>
      <c r="BS630" s="28"/>
      <c r="BT630" s="28"/>
      <c r="BU630" s="28"/>
      <c r="BV630" s="312"/>
      <c r="BW630" s="28"/>
      <c r="BX630" s="28"/>
      <c r="BY630" s="28"/>
      <c r="BZ630" s="28"/>
      <c r="CA630" s="312"/>
      <c r="CB630" s="28"/>
      <c r="CC630" s="28"/>
      <c r="CD630" s="28"/>
      <c r="CE630" s="28"/>
      <c r="CF630" s="312"/>
      <c r="CG630" s="28"/>
      <c r="CH630" s="28"/>
      <c r="CI630" s="28"/>
      <c r="CJ630" s="28"/>
      <c r="CK630" s="312"/>
      <c r="CL630" s="28"/>
      <c r="CM630" s="28"/>
      <c r="CN630" s="28"/>
      <c r="CO630" s="28"/>
      <c r="CP630" s="312"/>
      <c r="CQ630" s="933"/>
      <c r="CR630" s="933"/>
      <c r="CS630" s="933"/>
      <c r="CT630" s="933"/>
      <c r="CU630" s="312"/>
      <c r="CV630" s="933"/>
      <c r="CW630" s="933"/>
      <c r="CX630" s="933"/>
      <c r="CY630" s="933"/>
      <c r="CZ630" s="312"/>
      <c r="DA630" s="933"/>
      <c r="DB630" s="31"/>
      <c r="DC630" s="31"/>
      <c r="DD630" s="955"/>
      <c r="DE630" s="445"/>
      <c r="DF630" s="982"/>
      <c r="DG630" s="603"/>
      <c r="DH630" s="603"/>
      <c r="DI630" s="1798"/>
      <c r="DJ630" s="445"/>
      <c r="DK630" s="982"/>
      <c r="DL630" s="603"/>
      <c r="DM630" s="603"/>
      <c r="DN630" s="1798"/>
      <c r="DO630" s="445"/>
      <c r="DP630" s="603"/>
      <c r="DQ630" s="603"/>
      <c r="DR630" s="603"/>
      <c r="DS630" s="1798"/>
      <c r="DT630" s="445"/>
      <c r="DU630" s="603"/>
      <c r="DV630" s="603"/>
      <c r="DW630" s="603"/>
      <c r="DX630" s="603"/>
      <c r="DY630" s="445"/>
      <c r="DZ630" s="603"/>
      <c r="EA630" s="603"/>
      <c r="EB630" s="603"/>
      <c r="EC630" s="1798"/>
      <c r="ED630" s="1866"/>
      <c r="EE630" s="603"/>
      <c r="EF630" s="603"/>
      <c r="EG630" s="603"/>
      <c r="EH630" s="1798"/>
      <c r="EI630" s="445"/>
      <c r="EJ630" s="445"/>
      <c r="EK630" s="445"/>
      <c r="EL630" s="445"/>
      <c r="EM630" s="445"/>
      <c r="EN630" s="445"/>
      <c r="EO630" s="445"/>
      <c r="EP630" s="445"/>
      <c r="EQ630" s="445"/>
      <c r="ER630" s="445"/>
      <c r="ES630" s="445"/>
      <c r="ET630" s="445"/>
      <c r="EU630" s="445"/>
      <c r="EV630" s="445"/>
      <c r="EW630" s="445"/>
      <c r="EX630" s="445"/>
    </row>
    <row r="631" spans="1:154" ht="12.75" customHeight="1">
      <c r="B631" s="1169" t="s">
        <v>925</v>
      </c>
      <c r="C631" s="1989"/>
      <c r="D631" s="33"/>
      <c r="E631" s="33"/>
      <c r="F631" s="33"/>
      <c r="G631" s="33"/>
      <c r="H631" s="33"/>
      <c r="I631" s="31"/>
      <c r="J631" s="33"/>
      <c r="K631" s="33"/>
      <c r="L631" s="33"/>
      <c r="M631" s="33"/>
      <c r="N631" s="31"/>
      <c r="O631" s="33"/>
      <c r="P631" s="33"/>
      <c r="Q631" s="33"/>
      <c r="R631" s="33"/>
      <c r="S631" s="31"/>
      <c r="T631" s="33"/>
      <c r="U631" s="33"/>
      <c r="V631" s="33"/>
      <c r="W631" s="33"/>
      <c r="X631" s="312"/>
      <c r="Y631" s="33"/>
      <c r="Z631" s="33"/>
      <c r="AA631" s="33"/>
      <c r="AB631" s="33"/>
      <c r="AC631" s="312"/>
      <c r="AD631" s="33"/>
      <c r="AE631" s="33"/>
      <c r="AF631" s="33"/>
      <c r="AG631" s="33"/>
      <c r="AH631" s="312"/>
      <c r="AI631" s="33"/>
      <c r="AJ631" s="33"/>
      <c r="AK631" s="33"/>
      <c r="AL631" s="33"/>
      <c r="AM631" s="312"/>
      <c r="AN631" s="33"/>
      <c r="AO631" s="33"/>
      <c r="AP631" s="33"/>
      <c r="AQ631" s="33"/>
      <c r="AR631" s="312"/>
      <c r="AS631" s="28"/>
      <c r="AT631" s="28"/>
      <c r="AU631" s="28"/>
      <c r="AV631" s="28"/>
      <c r="AW631" s="312"/>
      <c r="AX631" s="28"/>
      <c r="AY631" s="28"/>
      <c r="AZ631" s="28"/>
      <c r="BA631" s="28"/>
      <c r="BB631" s="312"/>
      <c r="BC631" s="28"/>
      <c r="BD631" s="28"/>
      <c r="BE631" s="28"/>
      <c r="BF631" s="28"/>
      <c r="BG631" s="312"/>
      <c r="BH631" s="28"/>
      <c r="BI631" s="28"/>
      <c r="BJ631" s="28"/>
      <c r="BK631" s="28"/>
      <c r="BL631" s="312"/>
      <c r="BM631" s="30"/>
      <c r="BN631" s="30"/>
      <c r="BO631" s="30"/>
      <c r="BP631" s="30"/>
      <c r="BQ631" s="308"/>
      <c r="BR631" s="30"/>
      <c r="BS631" s="30"/>
      <c r="BT631" s="30"/>
      <c r="BU631" s="30"/>
      <c r="BV631" s="448"/>
      <c r="BW631" s="28"/>
      <c r="BX631" s="28"/>
      <c r="BY631" s="28"/>
      <c r="BZ631" s="28"/>
      <c r="CA631" s="315"/>
      <c r="CB631" s="361"/>
      <c r="CC631" s="28"/>
      <c r="CD631" s="28"/>
      <c r="CE631" s="28"/>
      <c r="CF631" s="308"/>
      <c r="CG631" s="361"/>
      <c r="CH631" s="361"/>
      <c r="CI631" s="361"/>
      <c r="CJ631" s="361"/>
      <c r="CK631" s="308">
        <f>IF(CF626=0, 0, CK626/CF626-1)</f>
      </c>
      <c r="CL631" s="361"/>
      <c r="CM631" s="361"/>
      <c r="CN631" s="361"/>
      <c r="CO631" s="361"/>
      <c r="CP631" s="308"/>
      <c r="CQ631" s="1109"/>
      <c r="CR631" s="1109"/>
      <c r="CS631" s="1109"/>
      <c r="CT631" s="1109"/>
      <c r="CU631" s="308"/>
      <c r="CV631" s="1230">
        <f t="shared" ref="CV631:DE631" si="1533">IF(CV626=0,"NM",+CV626/CQ626-1)</f>
      </c>
      <c r="CW631" s="1230">
        <f t="shared" si="1533"/>
      </c>
      <c r="CX631" s="1230">
        <f t="shared" si="1533"/>
      </c>
      <c r="CY631" s="1230">
        <f t="shared" si="1533"/>
      </c>
      <c r="CZ631" s="1060">
        <f t="shared" si="1533"/>
      </c>
      <c r="DA631" s="1230">
        <f t="shared" si="1533"/>
      </c>
      <c r="DB631" s="1230">
        <f t="shared" si="1533"/>
      </c>
      <c r="DC631" s="1230">
        <f t="shared" si="1533"/>
      </c>
      <c r="DD631" s="927">
        <f t="shared" si="1533"/>
      </c>
      <c r="DE631" s="1060">
        <f t="shared" si="1533"/>
      </c>
      <c r="DF631" s="1219">
        <v>-0.1</v>
      </c>
      <c r="DG631" s="1219">
        <f>IF(DG626=0,"NM",+DG626/DB626-1)</f>
      </c>
      <c r="DH631" s="1219">
        <f>IF(DH626=0,"NM",+DH626/DC626-1)</f>
      </c>
      <c r="DI631" s="928">
        <f>IF(DI626=0,"NM",+DI626/DD626-1)</f>
      </c>
      <c r="DJ631" s="1060">
        <f>IF(DJ626=0,"NM",+DJ626/DE626-1)</f>
      </c>
      <c r="DK631" s="1219">
        <v>-0.1</v>
      </c>
      <c r="DL631" s="1219">
        <f>IF(DL626=0,"NM",+DL626/DG626-1)</f>
      </c>
      <c r="DM631" s="1219">
        <f>IF(DM626=0,"NM",+DM626/DH626-1)</f>
      </c>
      <c r="DN631" s="928">
        <f>IF(DN626=0,"NM",+DN626/DI626-1)</f>
      </c>
      <c r="DO631" s="1060">
        <f>IF(DO626=0,"NM",+DO626/DJ626-1)</f>
      </c>
      <c r="DP631" s="1219">
        <v>-0.1</v>
      </c>
      <c r="DQ631" s="1219">
        <f t="shared" ref="DQ631:DY631" si="1534">IF(DQ626=0,"NM",+DQ626/DL626-1)</f>
      </c>
      <c r="DR631" s="1219">
        <f t="shared" si="1534"/>
      </c>
      <c r="DS631" s="1219">
        <f t="shared" si="1534"/>
      </c>
      <c r="DT631" s="1060">
        <f t="shared" si="1534"/>
      </c>
      <c r="DU631" s="1219">
        <f t="shared" si="1534"/>
      </c>
      <c r="DV631" s="1219">
        <f t="shared" si="1534"/>
      </c>
      <c r="DW631" s="1219">
        <f t="shared" si="1534"/>
      </c>
      <c r="DX631" s="1219">
        <f t="shared" si="1534"/>
      </c>
      <c r="DY631" s="1060">
        <f t="shared" si="1534"/>
      </c>
      <c r="DZ631" s="1703">
        <f>+DZ626/DU626-1</f>
      </c>
      <c r="EA631" s="1703">
        <f>+EA626/DV626-1</f>
      </c>
      <c r="EB631" s="1703">
        <f>+EB626/DW626-1</f>
      </c>
      <c r="EC631" s="1703">
        <f>+EC626/DX626-1</f>
      </c>
      <c r="ED631" s="1060">
        <f t="shared" ref="ED631" si="1535">IF(ED626=0,"NM",+ED626/DY626-1)</f>
      </c>
      <c r="EE631" s="1703">
        <f>+EE626/DZ626-1</f>
      </c>
      <c r="EF631" s="1703">
        <f>+EF626/EA626-1</f>
      </c>
      <c r="EG631" s="1703">
        <f>+EG626/EB626-1</f>
      </c>
      <c r="EH631" s="1063">
        <f>IF(EH626=0,"NM",+EH626/EC626-1)</f>
      </c>
      <c r="EI631" s="660">
        <v>-0.68</v>
      </c>
      <c r="EJ631" s="660">
        <v>0.08</v>
      </c>
      <c r="EK631" s="660">
        <v>0.06</v>
      </c>
      <c r="EL631" s="660">
        <v>-0.2</v>
      </c>
      <c r="EM631" s="660">
        <v>-0.05</v>
      </c>
      <c r="EN631" s="660">
        <v>-0.05</v>
      </c>
      <c r="EO631" s="660">
        <v>-0.05</v>
      </c>
      <c r="EP631" s="660">
        <v>-0.05</v>
      </c>
      <c r="EQ631" s="660">
        <v>-0.05</v>
      </c>
      <c r="ER631" s="660">
        <v>-0.05</v>
      </c>
      <c r="ES631" s="660">
        <v>-0.05</v>
      </c>
      <c r="ET631" s="597"/>
      <c r="EU631" s="597"/>
      <c r="EV631" s="597"/>
      <c r="EW631" s="597"/>
      <c r="EX631" s="597"/>
    </row>
    <row r="632" spans="1:154" ht="12.75" customHeight="1">
      <c r="B632" s="1169" t="s">
        <v>412</v>
      </c>
      <c r="C632" s="1989"/>
      <c r="D632" s="33"/>
      <c r="E632" s="33"/>
      <c r="F632" s="33"/>
      <c r="G632" s="33"/>
      <c r="H632" s="33"/>
      <c r="I632" s="31"/>
      <c r="J632" s="33"/>
      <c r="K632" s="33"/>
      <c r="L632" s="33"/>
      <c r="M632" s="33"/>
      <c r="N632" s="31"/>
      <c r="O632" s="33"/>
      <c r="P632" s="33"/>
      <c r="Q632" s="33"/>
      <c r="R632" s="33"/>
      <c r="S632" s="31"/>
      <c r="T632" s="33"/>
      <c r="U632" s="33"/>
      <c r="V632" s="33"/>
      <c r="W632" s="33"/>
      <c r="X632" s="312"/>
      <c r="Y632" s="33"/>
      <c r="Z632" s="33"/>
      <c r="AA632" s="33"/>
      <c r="AB632" s="33"/>
      <c r="AC632" s="312"/>
      <c r="AD632" s="33"/>
      <c r="AE632" s="33"/>
      <c r="AF632" s="33"/>
      <c r="AG632" s="33"/>
      <c r="AH632" s="312"/>
      <c r="AI632" s="33"/>
      <c r="AJ632" s="33"/>
      <c r="AK632" s="33"/>
      <c r="AL632" s="33"/>
      <c r="AM632" s="312"/>
      <c r="AN632" s="33"/>
      <c r="AO632" s="33"/>
      <c r="AP632" s="33"/>
      <c r="AQ632" s="33"/>
      <c r="AR632" s="312"/>
      <c r="AS632" s="28"/>
      <c r="AT632" s="28"/>
      <c r="AU632" s="28"/>
      <c r="AV632" s="28"/>
      <c r="AW632" s="312"/>
      <c r="AX632" s="28"/>
      <c r="AY632" s="28"/>
      <c r="AZ632" s="28"/>
      <c r="BA632" s="28"/>
      <c r="BB632" s="312"/>
      <c r="BC632" s="28"/>
      <c r="BD632" s="28"/>
      <c r="BE632" s="28"/>
      <c r="BF632" s="28"/>
      <c r="BG632" s="312"/>
      <c r="BH632" s="28"/>
      <c r="BI632" s="28"/>
      <c r="BJ632" s="28"/>
      <c r="BK632" s="28"/>
      <c r="BL632" s="312"/>
      <c r="BM632" s="30"/>
      <c r="BN632" s="30"/>
      <c r="BO632" s="30"/>
      <c r="BP632" s="30"/>
      <c r="BQ632" s="308"/>
      <c r="BR632" s="30">
        <f>IF(BM627="NM","NM",IF(BR627="NM","NM",IF(BM627&lt;=0,"NM",IF(BR627=0,"NM",IF(ABS(BR627/BM627-1)&gt;2.5,"NM",IF((ABS(BR627-BM627)=ABS(ABS(BR627)-ABS(BM627))),(BR627/BM627-1),"NM"))))))</f>
      </c>
      <c r="BS632" s="30">
        <f>IF(BN627="NM","NM",IF(BS627="NM","NM",IF(BN627&lt;=0,"NM",IF(BS627=0,"NM",IF(ABS(BS627/BN627-1)&gt;2.5,"NM",IF((ABS(BS627-BN627)=ABS(ABS(BS627)-ABS(BN627))),(BS627/BN627-1),"NM"))))))</f>
      </c>
      <c r="BT632" s="30">
        <f>IF(BO627="NM","NM",IF(BT627="NM","NM",IF(BO627&lt;=0,"NM",IF(BT627=0,"NM",IF(ABS(BT627/BO627-1)&gt;2.5,"NM",IF((ABS(BT627-BO627)=ABS(ABS(BT627)-ABS(BO627))),(BT627/BO627-1),"NM"))))))</f>
      </c>
      <c r="BU632" s="30">
        <f>IF(BP627="NM","NM",IF(BU627="NM","NM",IF(BP627&lt;=0,"NM",IF(BU627=0,"NM",IF(ABS(BU627/BP627-1)&gt;2.5,"NM",IF((ABS(BU627-BP627)=ABS(ABS(BU627)-ABS(BP627))),(BU627/BP627-1),"NM"))))))</f>
      </c>
      <c r="BV632" s="308">
        <f>IF(BQ627="NM","NM",IF(BV627="NM","NM",IF(BQ627&lt;=0,"NM",IF(BV627=0,"NM",IF(ABS(BV627/BQ627-1)&gt;2.5,"NM",IF((ABS(BV627-BQ627)=ABS(ABS(BV627)-ABS(BQ627))),(BV627/BQ627-1),"NM"))))))</f>
      </c>
      <c r="BW632" s="30">
        <f t="shared" ref="BW632:CI632" si="1536">IF(BR627="NM","NM",IF(BW627="NM","NM",IF(BR627&lt;=0,"NM",IF(BW627=0,"NM",IF(ABS(BW627/BR627-1)&gt;2.5,"NM",IF((ABS(BW627-BR627)=ABS(ABS(BW627)-ABS(BR627))),(BW627/BR627-1),"NM"))))))</f>
      </c>
      <c r="BX632" s="30">
        <f t="shared" si="1536"/>
      </c>
      <c r="BY632" s="30">
        <f>IF(BT627="NM","NM",IF(BY627="NM","NM",IF(BT627&lt;=0,"NM",IF(BY627=0,"NM",IF(ABS(BY627/BT627-1)&gt;4.5,"NM",IF((ABS(BY627-BT627)=ABS(ABS(BY627)-ABS(BT627))),(BY627/BT627-1),"NM"))))))</f>
      </c>
      <c r="BZ632" s="30">
        <f>IF(BU627="NM","NM",IF(BZ627="NM","NM",IF(BU627&lt;=0,"NM",IF(BZ627=0,"NM",IF(ABS(BZ627/BU627-1)&gt;2.5,"NM",IF((ABS(BZ627-BU627)=ABS(ABS(BZ627)-ABS(BU627))),(BZ627/BU627-1),"NM"))))))</f>
      </c>
      <c r="CA632" s="315">
        <f>IF(BV627="NM","NM",IF(CA627="NM","NM",IF(BV627&lt;=0,"NM",IF(CA627=0,"NM",IF(ABS(CA627/BV627-1)&gt;2.5,"NM",IF((ABS(CA627-BV627)=ABS(ABS(CA627)-ABS(BV627))),(CA627/BV627-1),"NM"))))))</f>
      </c>
      <c r="CB632" s="30">
        <f t="shared" si="1536"/>
      </c>
      <c r="CC632" s="30">
        <f t="shared" si="1536"/>
      </c>
      <c r="CD632" s="30">
        <f>IF(BY627="NM","NM",IF(CD627="NM","NM",IF(BY627&lt;=0,"NM",IF(CD627=0,"NM",IF(ABS(CD627/BY627-1)&gt;4.5,"NM",IF((ABS(CD627-BY627)=ABS(ABS(CD627)-ABS(BY627))),(CD627/BY627-1),"NM"))))))</f>
      </c>
      <c r="CE632" s="30">
        <f>IF(BZ627="NM","NM",IF(CE627="NM","NM",IF(BZ627&lt;=0,"NM",IF(CE627=0,"NM",IF(ABS(CE627/BZ627-1)&gt;2.5,"NM",IF((ABS(CE627-BZ627)=ABS(ABS(CE627)-ABS(BZ627))),(CE627/BZ627-1),"NM"))))))</f>
      </c>
      <c r="CF632" s="315">
        <f>IF(CA627="NM","NM",IF(CF627="NM","NM",IF(CA627&lt;=0,"NM",IF(CF627=0,"NM",IF(ABS(CF627/CA627-1)&gt;2.5,"NM",IF((ABS(CF627-CA627)=ABS(ABS(CF627)-ABS(CA627))),(CF627/CA627-1),"NM"))))))</f>
      </c>
      <c r="CG632" s="30">
        <f t="shared" si="1536"/>
      </c>
      <c r="CH632" s="30">
        <f t="shared" si="1536"/>
      </c>
      <c r="CI632" s="30">
        <f t="shared" si="1536"/>
      </c>
      <c r="CJ632" s="30">
        <f>IF(CE627="NM","NM",IF(CJ627="NM","NM",IF(CE627&lt;=0,"NM",IF(CJ627=0,"NM",IF(ABS(CJ627/CE627-1)&gt;2.5,"NM",IF((ABS(CJ627-CE627)=ABS(ABS(CJ627)-ABS(CE627))),(CJ627/CE627-1),"NM"))))))</f>
      </c>
      <c r="CK632" s="308">
        <f>IF(CF627=0, "NA", CK627/CF627-1)</f>
      </c>
      <c r="CL632" s="30">
        <f>IF(CG627="NM","NM",IF(CL627="NM","NM",IF(CG627&lt;=0,"NM",IF(CL627=0,"NM",IF(ABS(CL627/CG627-1)&gt;2.5,"NM",IF((ABS(CL627-CG627)=ABS(ABS(CL627)-ABS(CG627))),(CL627/CG627-1),"NM"))))))</f>
      </c>
      <c r="CM632" s="30">
        <f>IF(CH627="NM","NM",IF(CM627="NM","NM",IF(CH627&lt;=0,"NM",IF(CM627=0,"NM",IF(ABS(CM627/CH627-1)&gt;2.5,"NM",IF((ABS(CM627-CH627)=ABS(ABS(CM627)-ABS(CH627))),(CM627/CH627-1),"NM"))))))</f>
      </c>
      <c r="CN632" s="30">
        <f>IF(CI627="NM","NM",IF(CN627="NM","NM",IF(CI627&lt;=0,"NM",IF(CN627=0,"NM",IF(ABS(CN627/CI627-1)&gt;2.5,"NM",IF((ABS(CN627-CI627)=ABS(ABS(CN627)-ABS(CI627))),(CN627/CI627-1),"NM"))))))</f>
      </c>
      <c r="CO632" s="30">
        <f>IF(CJ627="NM","NM",IF(CO627="NM","NM",IF(CJ627&lt;=0,"NM",IF(CO627=0,"NM",IF(ABS(CO627/CJ627-1)&gt;2.5,"NM",IF((ABS(CO627-CJ627)=ABS(ABS(CO627)-ABS(CJ627))),(CO627/CJ627-1),"NM"))))))</f>
      </c>
      <c r="CP632" s="308">
        <f>IF(CK627=0, "NA", CP627/CK627-1)</f>
      </c>
      <c r="CQ632" s="30" t="str">
        <f>IF(CL627="NM","NM",IF(CQ627="NM","NM",IF(CL627&lt;=0,"NM",IF(CQ627=0,"NM",IF(ABS(CQ627/CL627-1)&gt;2.5,"NM",IF((ABS(CQ627-CL627)=ABS(ABS(CQ627)-ABS(CL627))),(CQ627/CL627-1),"NM"))))))</f>
      </c>
      <c r="CR632" s="30" t="str">
        <f>IF(CM627="NM","NM",IF(CR627="NM","NM",IF(CM627&lt;=0,"NM",IF(CR627=0,"NM",IF(ABS(CR627/CM627-1)&gt;2.5,"NM",IF((ABS(CR627-CM627)=ABS(ABS(CR627)-ABS(CM627))),(CR627/CM627-1),"NM"))))))</f>
      </c>
      <c r="CS632" s="30" t="str">
        <f>IF(CN627="NM","NM",IF(CS627="NM","NM",IF(CN627&lt;=0,"NM",IF(CS627=0,"NM",IF(ABS(CS627/CN627-1)&gt;2.5,"NM",IF((ABS(CS627-CN627)=ABS(ABS(CS627)-ABS(CN627))),(CS627/CN627-1),"NM"))))))</f>
      </c>
      <c r="CT632" s="30" t="str">
        <f>IF(CO627="NM","NM",IF(CT627="NM","NM",IF(CO627&lt;=0,"NM",IF(CT627=0,"NM",IF(ABS(CT627/CO627-1)&gt;2.5,"NM",IF((ABS(CT627-CO627)=ABS(ABS(CT627)-ABS(CO627))),(CT627/CO627-1),"NM"))))))</f>
      </c>
      <c r="CU632" s="308">
        <f>IF(CP627=0, "NA", CU627/CP627-1)</f>
      </c>
      <c r="CV632" s="30">
        <f>IF(CQ627="NM","NM",IF(CV627="NM","NM",IF(CQ627&lt;=0,"NM",IF(CV627=0,"NM",IF(ABS(CV627/CQ627-1)&gt;2.5,"NM",IF((ABS(CV627-CQ627)=ABS(ABS(CV627)-ABS(CQ627))),(CV627/CQ627-1),"NM"))))))</f>
      </c>
      <c r="CW632" s="30">
        <f>IF(CR627="NM","NM",IF(CW627="NM","NM",IF(CR627&lt;=0,"NM",IF(CW627=0,"NM",IF(ABS(CW627/CR627-1)&gt;2.5,"NM",IF((ABS(CW627-CR627)=ABS(ABS(CW627)-ABS(CR627))),(CW627/CR627-1),"NM"))))))</f>
      </c>
      <c r="CX632" s="30">
        <f>IF(CS627="NM","NM",IF(CX627="NM","NM",IF(CS627&lt;=0,"NM",IF(CX627=0,"NM",IF(ABS(CX627/CS627-1)&gt;2.5,"NM",IF((ABS(CX627-CS627)=ABS(ABS(CX627)-ABS(CS627))),(CX627/CS627-1),"NM"))))))</f>
      </c>
      <c r="CY632" s="30">
        <f>IF(CT627="NM","NM",IF(CY627="NM","NM",IF(CT627&lt;=0,"NM",IF(CY627=0,"NM",IF(ABS(CY627/CT627-1)&gt;2.5,"NM",IF((ABS(CY627-CT627)=ABS(ABS(CY627)-ABS(CT627))),(CY627/CT627-1),"NM"))))))</f>
      </c>
      <c r="CZ632" s="308">
        <f>IF(CU627=0, "NA", CZ627/CU627-1)</f>
      </c>
      <c r="DA632" s="30">
        <f>IF(CV627="NM","NM",IF(DA627="NM","NM",IF(CV627&lt;=0,"NM",IF(DA627=0,"NM",IF(ABS(DA627/CV627-1)&gt;2.5,"NM",IF((ABS(DA627-CV627)=ABS(ABS(DA627)-ABS(CV627))),(DA627/CV627-1),"NM"))))))</f>
      </c>
      <c r="DB632" s="30">
        <f>IF(CW627="NM","NM",IF(DB627="NM","NM",IF(CW627&lt;=0,"NM",IF(DB627=0,"NM",IF(ABS(DB627/CW627-1)&gt;2.5,"NM",IF((ABS(DB627-CW627)=ABS(ABS(DB627)-ABS(CW627))),(DB627/CW627-1),"NM"))))))</f>
      </c>
      <c r="DC632" s="30">
        <f>IF(CX627="NM","NM",IF(DC627="NM","NM",IF(CX627&lt;=0,"NM",IF(DC627=0,"NM",IF(ABS(DC627/CX627-1)&gt;2.5,"NM",IF((ABS(DC627-CX627)=ABS(ABS(DC627)-ABS(CX627))),(DC627/CX627-1),"NM"))))))</f>
      </c>
      <c r="DD632" s="960">
        <f>IF(DD627=0, "NM", DD627/CY627-1)</f>
      </c>
      <c r="DE632" s="308">
        <f>IF(CZ627=0, "NA", DE627/CZ627-1)</f>
      </c>
      <c r="DF632" s="926">
        <f>DF633+DF$21</f>
      </c>
      <c r="DG632" s="30">
        <f>IF(DB627="NM","NM",IF(DG627="NM","NM",IF(DB627&lt;=0,"NM",IF(DG627=0,"NM",IF(ABS(DG627/DB627-1)&gt;2.5,"NM",IF((ABS(DG627-DB627)=ABS(ABS(DG627)-ABS(DB627))),(DG627/DB627-1),"NM"))))))</f>
      </c>
      <c r="DH632" s="30">
        <f>IF(DC627="NM","NM",IF(DH627="NM","NM",IF(DC627&lt;=0,"NM",IF(DH627=0,"NM",IF(ABS(DH627/DC627-1)&gt;2.5,"NM",IF((ABS(DH627-DC627)=ABS(ABS(DH627)-ABS(DC627))),(DH627/DC627-1),"NM"))))))</f>
      </c>
      <c r="DI632" s="928">
        <f>IF(DI627=0, "NM", DI627/DD627-1)</f>
      </c>
      <c r="DJ632" s="308">
        <f>IF(DE627=0, "NA", DJ627/DE627-1)</f>
      </c>
      <c r="DK632" s="926">
        <f>DK633+DK$21</f>
      </c>
      <c r="DL632" s="30">
        <f>IF(DG627="NM","NM",IF(DL627="NM","NM",IF(DG627&lt;=0,"NM",IF(DL627=0,"NM",IF(ABS(DL627/DG627-1)&gt;2.5,"NM",IF((ABS(DL627-DG627)=ABS(ABS(DL627)-ABS(DG627))),(DL627/DG627-1),"NM"))))))</f>
      </c>
      <c r="DM632" s="30">
        <f>IF(DH627="NM","NM",IF(DM627="NM","NM",IF(DH627&lt;=0,"NM",IF(DM627=0,"NM",IF(ABS(DM627/DH627-1)&gt;2.5,"NM",IF((ABS(DM627-DH627)=ABS(ABS(DM627)-ABS(DH627))),(DM627/DH627-1),"NM"))))))</f>
      </c>
      <c r="DN632" s="928">
        <f>IF(DN627=0, "NM", DN627/DI627-1)</f>
      </c>
      <c r="DO632" s="308">
        <f>IF(DJ627=0, "NA", DO627/DJ627-1)</f>
      </c>
      <c r="DP632" s="926">
        <f>DP633+DP$21</f>
      </c>
      <c r="DQ632" s="30">
        <f>IF(DL627="NM","NM",IF(DQ627="NM","NM",IF(DL627&lt;=0,"NM",IF(DQ627=0,"NM",IF(ABS(DQ627/DL627-1)&gt;2.5,"NM",IF((ABS(DQ627-DL627)=ABS(ABS(DQ627)-ABS(DL627))),(DQ627/DL627-1),"NM"))))))</f>
      </c>
      <c r="DR632" s="30">
        <f>IF(DM627="NM","NM",IF(DR627="NM","NM",IF(DM627&lt;=0,"NM",IF(DR627=0,"NM",IF(ABS(DR627/DM627-1)&gt;2.5,"NM",IF((ABS(DR627-DM627)=ABS(ABS(DR627)-ABS(DM627))),(DR627/DM627-1),"NM"))))))</f>
      </c>
      <c r="DS632" s="30">
        <f>IF(DN627="NM","NM",IF(DS627="NM","NM",IF(DN627&lt;=0,"NM",IF(DS627=0,"NM",IF(ABS(DS627/DN627-1)&gt;2.5,"NM",IF((ABS(DS627-DN627)=ABS(ABS(DS627)-ABS(DN627))),(DS627/DN627-1),"NM"))))))</f>
      </c>
      <c r="DT632" s="308">
        <f>IF(DO627=0, "NA", DT627/DO627-1)</f>
      </c>
      <c r="DU632" s="926">
        <f>IF(DP627="NM","NM",IF(DU627="NM","NM",IF(DP627&lt;=0,"NM",IF(DU627=0,"NM",IF(ABS(DU627/DP627-1)&gt;2.5,"NM",IF((ABS(DU627-DP627)=ABS(ABS(DU627)-ABS(DP627))),(DU627/DP627-1),"NM"))))))</f>
      </c>
      <c r="DV632" s="926">
        <f>IF(DQ627="NM","NM",IF(DV627="NM","NM",IF(DQ627&lt;=0,"NM",IF(DV627=0,"NM",IF(ABS(DV627/DQ627-1)&gt;2.5,"NM",IF((ABS(DV627-DQ627)=ABS(ABS(DV627)-ABS(DQ627))),(DV627/DQ627-1),"NM"))))))</f>
      </c>
      <c r="DW632" s="926">
        <f>IF(DR627="NM","NM",IF(DW627="NM","NM",IF(DR627&lt;=0,"NM",IF(DW627=0,"NM",IF(ABS(DW627/DR627-1)&gt;2.5,"NM",IF((ABS(DW627-DR627)=ABS(ABS(DW627)-ABS(DR627))),(DW627/DR627-1),"NM"))))))</f>
      </c>
      <c r="DX632" s="926">
        <f>IF(DS627="NM","NM",IF(DX627="NM","NM",IF(DS627&lt;=0,"NM",IF(DX627=0,"NM",IF(ABS(DX627/DS627-1)&gt;2.5,"NM",IF((ABS(DX627-DS627)=ABS(ABS(DX627)-ABS(DS627))),(DX627/DS627-1),"NM"))))))</f>
      </c>
      <c r="DY632" s="308">
        <f>IF(DT627=0, "NA", DY627/DT627-1)</f>
      </c>
      <c r="DZ632" s="926">
        <f>IF(DU627="NM","NM",IF(DZ627="NM","NM",IF(DU627&lt;=0,"NM",IF(DZ627=0,"NM",IF(ABS(DZ627/DU627-1)&gt;2.5,"NM",IF((ABS(DZ627-DU627)=ABS(ABS(DZ627)-ABS(DU627))),(DZ627/DU627-1),"NM"))))))</f>
      </c>
      <c r="EA632" s="926">
        <f>IF(DV627="NM","NM",IF(EA627="NM","NM",IF(DV627&lt;=0,"NM",IF(EA627=0,"NM",IF(ABS(EA627/DV627-1)&gt;2.5,"NM",IF((ABS(EA627-DV627)=ABS(ABS(EA627)-ABS(DV627))),(EA627/DV627-1),"NM"))))))</f>
      </c>
      <c r="EB632" s="926">
        <f>IF(DW627="NM","NM",IF(EB627="NM","NM",IF(DW627&lt;=0,"NM",IF(EB627=0,"NM",IF(ABS(EB627/DW627-1)&gt;2.5,"NM",IF((ABS(EB627-DW627)=ABS(ABS(EB627)-ABS(DW627))),(EB627/DW627-1),"NM"))))))</f>
      </c>
      <c r="EC632" s="926">
        <f>IF(DX627="NM","NM",IF(EC627="NM","NM",IF(DX627&lt;=0,"NM",IF(EC627=0,"NM",IF(ABS(EC627/DX627-1)&gt;2.5,"NM",IF((ABS(EC627-DX627)=ABS(ABS(EC627)-ABS(DX627))),(EC627/DX627-1),"NM"))))))</f>
      </c>
      <c r="ED632" s="308">
        <f>IF(DY627=0, "NA", ED627/DY627-1)</f>
      </c>
      <c r="EE632" s="926">
        <f>IF(DZ627="NM","NM",IF(EE627="NM","NM",IF(DZ627&lt;=0,"NM",IF(EE627=0,"NM",IF(ABS(EE627/DZ627-1)&gt;2.5,"NM",IF((ABS(EE627-DZ627)=ABS(ABS(EE627)-ABS(DZ627))),(EE627/DZ627-1),"NM"))))))</f>
      </c>
      <c r="EF632" s="926">
        <f>IF(EA627="NM","NM",IF(EF627="NM","NM",IF(EA627&lt;=0,"NM",IF(EF627=0,"NM",IF(ABS(EF627/EA627-1)&gt;2.5,"NM",IF((ABS(EF627-EA627)=ABS(ABS(EF627)-ABS(EA627))),(EF627/EA627-1),"NM"))))))</f>
      </c>
      <c r="EG632" s="926">
        <f>IF(EB627="NM","NM",IF(EG627="NM","NM",IF(EB627&lt;=0,"NM",IF(EG627=0,"NM",IF(ABS(EG627/EB627-1)&gt;2.5,"NM",IF((ABS(EG627-EB627)=ABS(ABS(EG627)-ABS(EB627))),(EG627/EB627-1),"NM"))))))</f>
      </c>
      <c r="EH632" s="928">
        <f>IF(EH627=0, "NM", EH627/EC627-1)</f>
      </c>
      <c r="EI632" s="308">
        <f t="shared" ref="EI632:ES632" si="1537">EI633+EI$21</f>
      </c>
      <c r="EJ632" s="308">
        <f t="shared" si="1537"/>
      </c>
      <c r="EK632" s="308">
        <f t="shared" si="1537"/>
      </c>
      <c r="EL632" s="308">
        <f t="shared" si="1537"/>
      </c>
      <c r="EM632" s="308">
        <f t="shared" si="1537"/>
      </c>
      <c r="EN632" s="308">
        <f t="shared" si="1537"/>
      </c>
      <c r="EO632" s="308">
        <f t="shared" si="1537"/>
      </c>
      <c r="EP632" s="308">
        <f t="shared" si="1537"/>
      </c>
      <c r="EQ632" s="308">
        <f t="shared" si="1537"/>
      </c>
      <c r="ER632" s="308">
        <f t="shared" si="1537"/>
      </c>
      <c r="ES632" s="308">
        <f t="shared" si="1537"/>
      </c>
      <c r="ET632" s="308"/>
      <c r="EU632" s="308"/>
      <c r="EV632" s="308"/>
      <c r="EW632" s="308"/>
      <c r="EX632" s="308"/>
    </row>
    <row r="633" spans="1:154" ht="12.75" customHeight="1">
      <c r="B633" s="1169" t="s">
        <v>256</v>
      </c>
      <c r="C633" s="1989"/>
      <c r="D633" s="33"/>
      <c r="E633" s="33"/>
      <c r="F633" s="33"/>
      <c r="G633" s="33"/>
      <c r="H633" s="33"/>
      <c r="I633" s="31"/>
      <c r="J633" s="33"/>
      <c r="K633" s="33"/>
      <c r="L633" s="33"/>
      <c r="M633" s="33"/>
      <c r="N633" s="31"/>
      <c r="O633" s="33"/>
      <c r="P633" s="33"/>
      <c r="Q633" s="33"/>
      <c r="R633" s="33"/>
      <c r="S633" s="31"/>
      <c r="T633" s="33"/>
      <c r="U633" s="33"/>
      <c r="V633" s="33"/>
      <c r="W633" s="33"/>
      <c r="X633" s="312"/>
      <c r="Y633" s="33"/>
      <c r="Z633" s="33"/>
      <c r="AA633" s="33"/>
      <c r="AB633" s="33"/>
      <c r="AC633" s="312"/>
      <c r="AD633" s="33"/>
      <c r="AE633" s="33"/>
      <c r="AF633" s="33"/>
      <c r="AG633" s="33"/>
      <c r="AH633" s="312"/>
      <c r="AI633" s="33"/>
      <c r="AJ633" s="33"/>
      <c r="AK633" s="33"/>
      <c r="AL633" s="33"/>
      <c r="AM633" s="312"/>
      <c r="AN633" s="33"/>
      <c r="AO633" s="33"/>
      <c r="AP633" s="33"/>
      <c r="AQ633" s="33"/>
      <c r="AR633" s="312"/>
      <c r="AS633" s="28"/>
      <c r="AT633" s="28"/>
      <c r="AU633" s="28"/>
      <c r="AV633" s="28"/>
      <c r="AW633" s="312"/>
      <c r="AX633" s="28"/>
      <c r="AY633" s="28"/>
      <c r="AZ633" s="28"/>
      <c r="BA633" s="28"/>
      <c r="BB633" s="312"/>
      <c r="BC633" s="28"/>
      <c r="BD633" s="28"/>
      <c r="BE633" s="28"/>
      <c r="BF633" s="28"/>
      <c r="BG633" s="312"/>
      <c r="BH633" s="28"/>
      <c r="BI633" s="28"/>
      <c r="BJ633" s="28"/>
      <c r="BK633" s="28"/>
      <c r="BL633" s="312"/>
      <c r="BM633" s="30"/>
      <c r="BN633" s="30"/>
      <c r="BO633" s="30"/>
      <c r="BP633" s="30"/>
      <c r="BQ633" s="308"/>
      <c r="BR633" s="30">
        <f t="shared" ref="BR633:CJ633" si="1538">IF(ISNUMBER(BR632),(1+BR632)/(1+BR$21)-1,"NM")</f>
      </c>
      <c r="BS633" s="30">
        <f t="shared" si="1538"/>
      </c>
      <c r="BT633" s="30">
        <f t="shared" si="1538"/>
      </c>
      <c r="BU633" s="30">
        <f t="shared" si="1538"/>
      </c>
      <c r="BV633" s="308">
        <f t="shared" si="1538"/>
      </c>
      <c r="BW633" s="30">
        <f t="shared" si="1538"/>
      </c>
      <c r="BX633" s="30">
        <f t="shared" si="1538"/>
      </c>
      <c r="BY633" s="30">
        <f t="shared" si="1538"/>
      </c>
      <c r="BZ633" s="30">
        <f t="shared" si="1538"/>
      </c>
      <c r="CA633" s="308">
        <f t="shared" si="1538"/>
      </c>
      <c r="CB633" s="30">
        <f t="shared" si="1538"/>
      </c>
      <c r="CC633" s="30">
        <f t="shared" si="1538"/>
      </c>
      <c r="CD633" s="30">
        <f t="shared" si="1538"/>
      </c>
      <c r="CE633" s="30">
        <f t="shared" si="1538"/>
      </c>
      <c r="CF633" s="308">
        <f t="shared" si="1538"/>
      </c>
      <c r="CG633" s="30">
        <f t="shared" si="1538"/>
      </c>
      <c r="CH633" s="30">
        <f t="shared" si="1538"/>
      </c>
      <c r="CI633" s="30">
        <f t="shared" si="1538"/>
      </c>
      <c r="CJ633" s="30">
        <f t="shared" si="1538"/>
      </c>
      <c r="CK633" s="315">
        <f>CK632-CK$21</f>
      </c>
      <c r="CL633" s="30">
        <f>IF(ISNUMBER(CL632),(1+CL632)/(1+CL$21)-1,"NM")</f>
      </c>
      <c r="CM633" s="30">
        <f>IF(ISNUMBER(CM632),(1+CM632)/(1+CM$21)-1,"NM")</f>
      </c>
      <c r="CN633" s="30">
        <f>IF(ISNUMBER(CN632),(1+CN632)/(1+CN$21)-1,"NM")</f>
      </c>
      <c r="CO633" s="30">
        <f>IF(ISNUMBER(CO632),(1+CO632)/(1+CO$21)-1,"NM")</f>
      </c>
      <c r="CP633" s="315">
        <f>CP632-CP$21</f>
      </c>
      <c r="CQ633" s="30" t="str">
        <f>IF(ISNUMBER(CQ632),(1+CQ632)/(1+CQ$21)-1,"NM")</f>
      </c>
      <c r="CR633" s="30" t="str">
        <f>IF(ISNUMBER(CR632),(1+CR632)/(1+CR$21)-1,"NM")</f>
      </c>
      <c r="CS633" s="30" t="str">
        <f>IF(ISNUMBER(CS632),(1+CS632)/(1+CS$21)-1,"NM")</f>
      </c>
      <c r="CT633" s="30" t="str">
        <f>IF(ISNUMBER(CT632),(1+CT632)/(1+CT$21)-1,"NM")</f>
      </c>
      <c r="CU633" s="315">
        <f>CU632-CU$21</f>
      </c>
      <c r="CV633" s="30">
        <f>IF(ISNUMBER(CV632),(1+CV632)/(1+CV$21)-1,"NM")</f>
      </c>
      <c r="CW633" s="30">
        <f>IF(ISNUMBER(CW632),(1+CW632)/(1+CW$21)-1,"NM")</f>
      </c>
      <c r="CX633" s="30">
        <f>IF(ISNUMBER(CX632),(1+CX632)/(1+CX$21)-1,"NM")</f>
      </c>
      <c r="CY633" s="30">
        <f>IF(ISNUMBER(CY632),(1+CY632)/(1+CY$21)-1,"NM")</f>
      </c>
      <c r="CZ633" s="315">
        <f>CZ632-CZ$21</f>
      </c>
      <c r="DA633" s="30">
        <f>IF(ISNUMBER(DA632),(1+DA632)/(1+DA$21)-1,"NM")</f>
      </c>
      <c r="DB633" s="30">
        <f>IF(ISNUMBER(DB632),(1+DB632)/(1+DB$21)-1,"NM")</f>
      </c>
      <c r="DC633" s="30">
        <f>IF(ISNUMBER(DC632),(1+DC632)/(1+DC$21)-1,"NM")</f>
      </c>
      <c r="DD633" s="927">
        <f>IF(DD627=0, "NM",DD632-DD$21)</f>
      </c>
      <c r="DE633" s="308">
        <f>DE632-DE$21</f>
      </c>
      <c r="DF633" s="30">
        <v>-0.3</v>
      </c>
      <c r="DG633" s="30">
        <f>IF(ISNUMBER(DG632),(1+DG632)/(1+DG$21)-1,"NM")</f>
      </c>
      <c r="DH633" s="30">
        <f>IF(ISNUMBER(DH632),(1+DH632)/(1+DH$21)-1,"NM")</f>
      </c>
      <c r="DI633" s="928">
        <f>IF(DI627=0, "NM",DI632-DI$21)</f>
      </c>
      <c r="DJ633" s="308">
        <f>DJ632-DJ$21</f>
      </c>
      <c r="DK633" s="30">
        <v>-0.3</v>
      </c>
      <c r="DL633" s="30">
        <f>IF(ISNUMBER(DL632),(1+DL632)/(1+DL$21)-1,"NM")</f>
      </c>
      <c r="DM633" s="30">
        <f>IF(ISNUMBER(DM632),(1+DM632)/(1+DM$21)-1,"NM")</f>
      </c>
      <c r="DN633" s="928">
        <f>IF(DN627=0, "NM",DN632-DN$21)</f>
      </c>
      <c r="DO633" s="308">
        <f>DO632-DO$21</f>
      </c>
      <c r="DP633" s="2220">
        <f>$DT633</f>
      </c>
      <c r="DQ633" s="30">
        <f>IF(ISNUMBER(DQ632),(1+DQ632)/(1+DQ$21)-1,"NM")</f>
      </c>
      <c r="DR633" s="30">
        <f>IF(ISNUMBER(DR632),(1+DR632)/(1+DR$21)-1,"NM")</f>
      </c>
      <c r="DS633" s="30">
        <f>IF(ISNUMBER(DS632),(1+DS632)/(1+DS$21)-1,"NM")</f>
      </c>
      <c r="DT633" s="308">
        <f>DT632-DT$21</f>
      </c>
      <c r="DU633" s="2465">
        <f>+DU632-(-5.1%)</f>
      </c>
      <c r="DV633" s="1703">
        <f>+DV632-(-1.6%)</f>
      </c>
      <c r="DW633" s="1703">
        <f>+DW632-(4.1%)</f>
      </c>
      <c r="DX633" s="1703">
        <f>+DX632-(3.8%)</f>
      </c>
      <c r="DY633" s="308">
        <f>DY632-DY$21</f>
      </c>
      <c r="DZ633" s="1703">
        <f>DZ632-(-0.5%)</f>
      </c>
      <c r="EA633" s="1703">
        <f>EA632-(-4.4%)</f>
      </c>
      <c r="EB633" s="1703">
        <f>EB632-(-2.8%)</f>
      </c>
      <c r="EC633" s="1703">
        <f>EC632-(-5.1%)</f>
      </c>
      <c r="ED633" s="308">
        <f>ED632-ED$21</f>
      </c>
      <c r="EE633" s="1703">
        <f>EE632-(-0.5%)</f>
      </c>
      <c r="EF633" s="1703">
        <f>EF632-(3.6%)</f>
      </c>
      <c r="EG633" s="1703">
        <f>EG632-(-2.8%)</f>
      </c>
      <c r="EH633" s="1063">
        <f>IF(EH627=0, "NM",EH632-EH$21)</f>
      </c>
      <c r="EI633" s="660">
        <v>-0.42</v>
      </c>
      <c r="EJ633" s="660">
        <v>0.04</v>
      </c>
      <c r="EK633" s="660">
        <v>0.03</v>
      </c>
      <c r="EL633" s="660">
        <v>-0.05</v>
      </c>
      <c r="EM633" s="660">
        <v>-0.05</v>
      </c>
      <c r="EN633" s="660">
        <v>-0.05</v>
      </c>
      <c r="EO633" s="660">
        <v>-0.05</v>
      </c>
      <c r="EP633" s="660">
        <v>-0.05</v>
      </c>
      <c r="EQ633" s="660">
        <v>-0.05</v>
      </c>
      <c r="ER633" s="660">
        <v>-0.05</v>
      </c>
      <c r="ES633" s="660">
        <v>-0.05</v>
      </c>
      <c r="ET633" s="597"/>
      <c r="EU633" s="597"/>
      <c r="EV633" s="597"/>
      <c r="EW633" s="597"/>
      <c r="EX633" s="597"/>
    </row>
    <row r="634" spans="1:154" ht="12.75" customHeight="1">
      <c r="B634" s="1169" t="s">
        <v>413</v>
      </c>
      <c r="C634" s="1989"/>
      <c r="D634" s="33"/>
      <c r="E634" s="33"/>
      <c r="F634" s="33"/>
      <c r="G634" s="33"/>
      <c r="H634" s="33"/>
      <c r="I634" s="31"/>
      <c r="J634" s="33"/>
      <c r="K634" s="33"/>
      <c r="L634" s="33"/>
      <c r="M634" s="33"/>
      <c r="N634" s="31"/>
      <c r="O634" s="33"/>
      <c r="P634" s="33"/>
      <c r="Q634" s="33"/>
      <c r="R634" s="33"/>
      <c r="S634" s="31"/>
      <c r="T634" s="33"/>
      <c r="U634" s="33"/>
      <c r="V634" s="33"/>
      <c r="W634" s="33"/>
      <c r="X634" s="312"/>
      <c r="Y634" s="33"/>
      <c r="Z634" s="33"/>
      <c r="AA634" s="33"/>
      <c r="AB634" s="33"/>
      <c r="AC634" s="312"/>
      <c r="AD634" s="33"/>
      <c r="AE634" s="33"/>
      <c r="AF634" s="33"/>
      <c r="AG634" s="33"/>
      <c r="AH634" s="312"/>
      <c r="AI634" s="33"/>
      <c r="AJ634" s="33"/>
      <c r="AK634" s="33"/>
      <c r="AL634" s="33"/>
      <c r="AM634" s="312"/>
      <c r="AN634" s="33"/>
      <c r="AO634" s="33"/>
      <c r="AP634" s="33"/>
      <c r="AQ634" s="33"/>
      <c r="AR634" s="312"/>
      <c r="AS634" s="28"/>
      <c r="AT634" s="28"/>
      <c r="AU634" s="28"/>
      <c r="AV634" s="28"/>
      <c r="AW634" s="312"/>
      <c r="AX634" s="28"/>
      <c r="AY634" s="28"/>
      <c r="AZ634" s="28"/>
      <c r="BA634" s="28"/>
      <c r="BB634" s="312"/>
      <c r="BC634" s="28"/>
      <c r="BD634" s="28"/>
      <c r="BE634" s="28"/>
      <c r="BF634" s="28"/>
      <c r="BG634" s="312"/>
      <c r="BH634" s="28"/>
      <c r="BI634" s="28"/>
      <c r="BJ634" s="28"/>
      <c r="BK634" s="28"/>
      <c r="BL634" s="312"/>
      <c r="BM634" s="30"/>
      <c r="BN634" s="30"/>
      <c r="BO634" s="30"/>
      <c r="BP634" s="30"/>
      <c r="BQ634" s="308"/>
      <c r="BR634" s="30">
        <f t="shared" ref="BR634:CF634" si="1539">IF(BM628="NM","NM",IF(BR628="NM","NM",IF(BM628&lt;=0,"NM",IF(BR628=0,"NM",IF(ABS(BR628/BM628-1)&gt;2.5,"NM",IF((ABS(BR628-BM628)=ABS(ABS(BR628)-ABS(BM628))),(BR628/BM628-1),"NM"))))))</f>
      </c>
      <c r="BS634" s="30">
        <f t="shared" si="1539"/>
      </c>
      <c r="BT634" s="30">
        <f t="shared" si="1539"/>
      </c>
      <c r="BU634" s="30">
        <f t="shared" si="1539"/>
      </c>
      <c r="BV634" s="308">
        <f t="shared" si="1539"/>
      </c>
      <c r="BW634" s="30">
        <f t="shared" si="1539"/>
      </c>
      <c r="BX634" s="30">
        <f t="shared" si="1539"/>
      </c>
      <c r="BY634" s="30" t="str">
        <f t="shared" si="1539"/>
      </c>
      <c r="BZ634" s="30">
        <f t="shared" si="1539"/>
      </c>
      <c r="CA634" s="308">
        <f t="shared" si="1539"/>
      </c>
      <c r="CB634" s="30">
        <f t="shared" si="1539"/>
      </c>
      <c r="CC634" s="30">
        <f t="shared" si="1539"/>
      </c>
      <c r="CD634" s="30">
        <f t="shared" si="1539"/>
      </c>
      <c r="CE634" s="30">
        <f t="shared" si="1539"/>
      </c>
      <c r="CF634" s="308">
        <f t="shared" si="1539"/>
      </c>
      <c r="CG634" s="30">
        <f>IF(CB628="NM","NM",IF(CG628="NM","NM",IF(CB628&lt;=0,"NM",IF(CG628=0,"NM",IF(ABS(CG628/CB628-1)&gt;2.5,"NM",IF((ABS(CG628-CB628)=ABS(ABS(CG628)-ABS(CB628))),(CG628/CB628-1),"NM"))))))</f>
      </c>
      <c r="CH634" s="30">
        <f>IF(CC628="NM","NM",IF(CH628="NM","NM",IF(CC628&lt;=0,"NM",IF(CH628=0,"NM",IF(ABS(CH628/CC628-1)&gt;2.5,"NM",IF((ABS(CH628-CC628)=ABS(ABS(CH628)-ABS(CC628))),(CH628/CC628-1),"NM"))))))</f>
      </c>
      <c r="CI634" s="30">
        <f>IF(CD628="NM","NM",IF(CI628="NM","NM",IF(CD628&lt;=0,"NM",IF(CI628=0,"NM",IF(ABS(CI628/CD628-1)&gt;2.5,"NM",IF((ABS(CI628-CD628)=ABS(ABS(CI628)-ABS(CD628))),(CI628/CD628-1),"NM"))))))</f>
      </c>
      <c r="CJ634" s="30">
        <f>IF(CE628="NM","NM",IF(CJ628="NM","NM",IF(CE628&lt;=0,"NM",IF(CJ628=0,"NM",IF(ABS(CJ628/CE628-1)&gt;2.5,"NM",IF((ABS(CJ628-CE628)=ABS(ABS(CJ628)-ABS(CE628))),(CJ628/CE628-1),"NM"))))))</f>
      </c>
      <c r="CK634" s="308">
        <f>IF(CF628=0, "NA", CK628/CF628-1)</f>
      </c>
      <c r="CL634" s="30">
        <f>IF(CG628="NM","NM",IF(CL628="NM","NM",IF(CG628&lt;=0,"NM",IF(CL628=0,"NM",IF(ABS(CL628/CG628-1)&gt;2.5,"NM",IF((ABS(CL628-CG628)=ABS(ABS(CL628)-ABS(CG628))),(CL628/CG628-1),"NM"))))))</f>
      </c>
      <c r="CM634" s="30">
        <f>IF(CH628="NM","NM",IF(CM628="NM","NM",IF(CH628&lt;=0,"NM",IF(CM628=0,"NM",IF(ABS(CM628/CH628-1)&gt;2.5,"NM",IF((ABS(CM628-CH628)=ABS(ABS(CM628)-ABS(CH628))),(CM628/CH628-1),"NM"))))))</f>
      </c>
      <c r="CN634" s="30">
        <f>IF(CI628="NM","NM",IF(CN628="NM","NM",IF(CI628&lt;=0,"NM",IF(CN628=0,"NM",IF(ABS(CN628/CI628-1)&gt;2.5,"NM",IF((ABS(CN628-CI628)=ABS(ABS(CN628)-ABS(CI628))),(CN628/CI628-1),"NM"))))))</f>
      </c>
      <c r="CO634" s="30">
        <f>IF(CJ628="NM","NM",IF(CO628="NM","NM",IF(CJ628&lt;=0,"NM",IF(CO628=0,"NM",IF(ABS(CO628/CJ628-1)&gt;2.5,"NM",IF((ABS(CO628-CJ628)=ABS(ABS(CO628)-ABS(CJ628))),(CO628/CJ628-1),"NM"))))))</f>
      </c>
      <c r="CP634" s="308">
        <f>IF(CK628=0, "NA", CP628/CK628-1)</f>
      </c>
      <c r="CQ634" s="30" t="str">
        <f>IF(CL628="NM","NM",IF(CQ628="NM","NM",IF(CL628&lt;=0,"NM",IF(CQ628=0,"NM",IF(ABS(CQ628/CL628-1)&gt;2.5,"NM",IF((ABS(CQ628-CL628)=ABS(ABS(CQ628)-ABS(CL628))),(CQ628/CL628-1),"NM"))))))</f>
      </c>
      <c r="CR634" s="30" t="str">
        <f>IF(CM628="NM","NM",IF(CR628="NM","NM",IF(CM628&lt;=0,"NM",IF(CR628=0,"NM",IF(ABS(CR628/CM628-1)&gt;2.5,"NM",IF((ABS(CR628-CM628)=ABS(ABS(CR628)-ABS(CM628))),(CR628/CM628-1),"NM"))))))</f>
      </c>
      <c r="CS634" s="30" t="str">
        <f>IF(CN628="NM","NM",IF(CS628="NM","NM",IF(CN628&lt;=0,"NM",IF(CS628=0,"NM",IF(ABS(CS628/CN628-1)&gt;2.5,"NM",IF((ABS(CS628-CN628)=ABS(ABS(CS628)-ABS(CN628))),(CS628/CN628-1),"NM"))))))</f>
      </c>
      <c r="CT634" s="30">
        <f>IF(CO628="NM","NM",IF(CT628="NM","NM",IF(CO628&lt;=0,"NM",IF(CT628=0,"NM",IF(ABS(CT628/CO628-1)&gt;2.5,"NM",IF((ABS(CT628-CO628)=ABS(ABS(CT628)-ABS(CO628))),(CT628/CO628-1),"NM"))))))</f>
      </c>
      <c r="CU634" s="308">
        <f>IF(CP628=0, "NA", CU628/CP628-1)</f>
      </c>
      <c r="CV634" s="30">
        <f>IF(CQ628="NM","NM",IF(CV628="NM","NM",IF(CQ628&lt;=0,"NM",IF(CV628=0,"NM",IF(ABS(CV628/CQ628-1)&gt;2.5,"NM",IF((ABS(CV628-CQ628)=ABS(ABS(CV628)-ABS(CQ628))),(CV628/CQ628-1),"NM"))))))</f>
      </c>
      <c r="CW634" s="30">
        <f>IF(CR628="NM","NM",IF(CW628="NM","NM",IF(CR628&lt;=0,"NM",IF(CW628=0,"NM",IF(ABS(CW628/CR628-1)&gt;2.5,"NM",IF((ABS(CW628-CR628)=ABS(ABS(CW628)-ABS(CR628))),(CW628/CR628-1),"NM"))))))</f>
      </c>
      <c r="CX634" s="30">
        <f>IF(CS628="NM","NM",IF(CX628="NM","NM",IF(CS628&lt;=0,"NM",IF(CX628=0,"NM",IF(ABS(CX628/CS628-1)&gt;2.5,"NM",IF((ABS(CX628-CS628)=ABS(ABS(CX628)-ABS(CS628))),(CX628/CS628-1),"NM"))))))</f>
      </c>
      <c r="CY634" s="30">
        <f>IF(CT628="NM","NM",IF(CY628="NM","NM",IF(CT628&lt;=0,"NM",IF(CY628=0,"NM",IF(ABS(CY628/CT628-1)&gt;2.5,"NM",IF((ABS(CY628-CT628)=ABS(ABS(CY628)-ABS(CT628))),(CY628/CT628-1),"NM"))))))</f>
      </c>
      <c r="CZ634" s="308">
        <f>IF(CU628=0, "NA", CZ628/CU628-1)</f>
      </c>
      <c r="DA634" s="30">
        <f>IF(CV628="NM","NM",IF(DA628="NM","NM",IF(CV628&lt;=0,"NM",IF(DA628=0,"NM",IF(ABS(DA628/CV628-1)&gt;2.5,"NM",IF((ABS(DA628-CV628)=ABS(ABS(DA628)-ABS(CV628))),(DA628/CV628-1),"NM"))))))</f>
      </c>
      <c r="DB634" s="30">
        <f>IF(CW628="NM","NM",IF(DB628="NM","NM",IF(CW628&lt;=0,"NM",IF(DB628=0,"NM",IF(ABS(DB628/CW628-1)&gt;2.5,"NM",IF((ABS(DB628-CW628)=ABS(ABS(DB628)-ABS(CW628))),(DB628/CW628-1),"NM"))))))</f>
      </c>
      <c r="DC634" s="30">
        <f>IF(CX628="NM","NM",IF(DC628="NM","NM",IF(CX628&lt;=0,"NM",IF(DC628=0,"NM",IF(ABS(DC628/CX628-1)&gt;2.5,"NM",IF((ABS(DC628-CX628)=ABS(ABS(DC628)-ABS(CX628))),(DC628/CX628-1),"NM"))))))</f>
      </c>
      <c r="DD634" s="928">
        <f>IF(CY628=0, "NM", DD628/CY628-1)</f>
      </c>
      <c r="DE634" s="308">
        <f>IF(CZ628=0, "NA", DE628/CZ628-1)</f>
      </c>
      <c r="DF634" s="926">
        <f>IF(DA628=0, "NA", DF628/DA628-1)</f>
      </c>
      <c r="DG634" s="30">
        <f>IF(DB628="NM","NM",IF(DG628="NM","NM",IF(DB628&lt;=0,"NM",IF(DG628=0,"NM",IF(ABS(DG628/DB628-1)&gt;2.5,"NM",IF((ABS(DG628-DB628)=ABS(ABS(DG628)-ABS(DB628))),(DG628/DB628-1),"NM"))))))</f>
      </c>
      <c r="DH634" s="30">
        <f>IF(DC628="NM","NM",IF(DH628="NM","NM",IF(DC628&lt;=0,"NM",IF(DH628=0,"NM",IF(ABS(DH628/DC628-1)&gt;2.5,"NM",IF((ABS(DH628-DC628)=ABS(ABS(DH628)-ABS(DC628))),(DH628/DC628-1),"NM"))))))</f>
      </c>
      <c r="DI634" s="928">
        <f>IF(DD628=0, "NM", DI628/DD628-1)</f>
      </c>
      <c r="DJ634" s="308">
        <f>IF(DE628=0, "NA", DJ628/DE628-1)</f>
      </c>
      <c r="DK634" s="926">
        <f>IF(DF628=0, "NA", DK628/DF628-1)</f>
      </c>
      <c r="DL634" s="30">
        <f>IF(DG628="NM","NM",IF(DL628="NM","NM",IF(DG628&lt;=0,"NM",IF(DL628=0,"NM",IF(ABS(DL628/DG628-1)&gt;2.5,"NM",IF((ABS(DL628-DG628)=ABS(ABS(DL628)-ABS(DG628))),(DL628/DG628-1),"NM"))))))</f>
      </c>
      <c r="DM634" s="926">
        <f>IF(DH628=0, "NA", DM628/DH628-1)</f>
      </c>
      <c r="DN634" s="928">
        <f>IF(DI628=0, "NM", DN628/DI628-1)</f>
      </c>
      <c r="DO634" s="308">
        <f>IF(DJ628=0, "NA", DO628/DJ628-1)</f>
      </c>
      <c r="DP634" s="958">
        <f>IF(DK628=0, "NA", DP628/DK628-1)</f>
      </c>
      <c r="DQ634" s="30">
        <f>IF(DL628="NM","NM",IF(DQ628="NM","NM",IF(DL628&lt;=0,"NM",IF(DQ628=0,"NM",IF(ABS(DQ628/DL628-1)&gt;2.5,"NM",IF((ABS(DQ628-DL628)=ABS(ABS(DQ628)-ABS(DL628))),(DQ628/DL628-1),"NM"))))))</f>
      </c>
      <c r="DR634" s="30">
        <f>IF(DM628="NM","NM",IF(DR628="NM","NM",IF(DM628&lt;=0,"NM",IF(DR628=0,"NM",IF(ABS(DR628/DM628-1)&gt;2.5,"NM",IF((ABS(DR628-DM628)=ABS(ABS(DR628)-ABS(DM628))),(DR628/DM628-1),"NM"))))))</f>
      </c>
      <c r="DS634" s="928">
        <f>IF(DN628=0, "NM", DS628/DN628-1)</f>
      </c>
      <c r="DT634" s="830">
        <f>IF(DO628=0, "NA", DT628/DO628-1)</f>
      </c>
      <c r="DU634" s="958">
        <f>IF(DP628="NM","NM",IF(DU628="NM","NM",IF(DP628&lt;=0,"NM",IF(DU628=0,"NM",IF(ABS(DU628/DP628-1)&gt;2.5,"NM",IF((ABS(DU628-DP628)=ABS(ABS(DU628)-ABS(DP628))),(DU628/DP628-1),"NM"))))))</f>
      </c>
      <c r="DV634" s="926">
        <f>IF(DQ628="NM","NM",IF(DV628="NM","NM",IF(DQ628&lt;=0,"NM",IF(DV628=0,"NM",IF(ABS(DV628/DQ628-1)&gt;2.5,"NM",IF((ABS(DV628-DQ628)=ABS(ABS(DV628)-ABS(DQ628))),(DV628/DQ628-1),"NM"))))))</f>
      </c>
      <c r="DW634" s="926">
        <f>IF(DR628="NM","NM",IF(DW628="NM","NM",IF(DR628&lt;=0,"NM",IF(DW628=0,"NM",IF(ABS(DW628/DR628-1)&gt;2.5,"NM",IF((ABS(DW628-DR628)=ABS(ABS(DW628)-ABS(DR628))),(DW628/DR628-1),"NM"))))))</f>
      </c>
      <c r="DX634" s="926">
        <f>IF(DS628="NM","NM",IF(DX628="NM","NM",IF(DS628&lt;=0,"NM",IF(DX628=0,"NM",IF(ABS(DX628/DS628-1)&gt;2.5,"NM",IF((ABS(DX628-DS628)=ABS(ABS(DX628)-ABS(DS628))),(DX628/DS628-1),"NM"))))))</f>
      </c>
      <c r="DY634" s="308">
        <f>IF(DT628=0, "NA", DY628/DT628-1)</f>
      </c>
      <c r="DZ634" s="926">
        <f>IF(DU628=0, "NA", DZ628/DU628-1)</f>
      </c>
      <c r="EA634" s="926">
        <f>IF(DV628=0, "NA", EA628/DV628-1)</f>
      </c>
      <c r="EB634" s="926">
        <f>IF(DW628=0, "NA", EB628/DW628-1)</f>
      </c>
      <c r="EC634" s="928">
        <f>IF(DX628=0, "NM", EC628/DX628-1)</f>
      </c>
      <c r="ED634" s="409">
        <f>IF(DY628=0, "NA", ED628/DY628-1)</f>
      </c>
      <c r="EE634" s="926">
        <f>IF(DZ628=0, "NA", EE628/DZ628-1)</f>
      </c>
      <c r="EF634" s="926">
        <f>IF(EA628=0, "NA", EF628/EA628-1)</f>
      </c>
      <c r="EG634" s="926">
        <f>IF(EB628=0, "NA", EG628/EB628-1)</f>
      </c>
      <c r="EH634" s="928">
        <f>IF(EC628=0, "NM", EH628/EC628-1)</f>
      </c>
      <c r="EI634" s="308">
        <f>IF(ED628=0, "NA", EI628/ED628-1)</f>
      </c>
      <c r="EJ634" s="308">
        <f t="shared" ref="EJ634:EN634" si="1540">IF(EI628=0, "NA", EJ628/EI628-1)</f>
      </c>
      <c r="EK634" s="308">
        <f t="shared" si="1540"/>
      </c>
      <c r="EL634" s="308">
        <f t="shared" si="1540"/>
      </c>
      <c r="EM634" s="308">
        <f t="shared" si="1540"/>
      </c>
      <c r="EN634" s="308">
        <f t="shared" si="1540"/>
      </c>
      <c r="EO634" s="308">
        <f t="shared" ref="EO634" si="1541">IF(EN628=0, "NA", EO628/EN628-1)</f>
      </c>
      <c r="EP634" s="308">
        <f t="shared" ref="EP634" si="1542">IF(EO628=0, "NA", EP628/EO628-1)</f>
      </c>
      <c r="EQ634" s="308">
        <f t="shared" ref="EQ634" si="1543">IF(EP628=0, "NA", EQ628/EP628-1)</f>
      </c>
      <c r="ER634" s="308">
        <f t="shared" ref="ER634" si="1544">IF(EQ628=0, "NA", ER628/EQ628-1)</f>
      </c>
      <c r="ES634" s="308">
        <f t="shared" ref="ES634" si="1545">IF(ER628=0, "NA", ES628/ER628-1)</f>
      </c>
      <c r="ET634" s="308"/>
      <c r="EU634" s="308"/>
      <c r="EV634" s="308"/>
      <c r="EW634" s="308"/>
      <c r="EX634" s="308"/>
    </row>
    <row r="635" spans="1:154" ht="12.75" customHeight="1">
      <c r="B635" s="1169"/>
      <c r="C635" s="1989"/>
      <c r="D635" s="33"/>
      <c r="E635" s="33"/>
      <c r="F635" s="33"/>
      <c r="G635" s="33"/>
      <c r="H635" s="33"/>
      <c r="I635" s="31"/>
      <c r="J635" s="33"/>
      <c r="K635" s="33"/>
      <c r="L635" s="33"/>
      <c r="M635" s="33"/>
      <c r="N635" s="31"/>
      <c r="O635" s="33"/>
      <c r="P635" s="33"/>
      <c r="Q635" s="33"/>
      <c r="R635" s="33"/>
      <c r="S635" s="31"/>
      <c r="T635" s="33"/>
      <c r="U635" s="33"/>
      <c r="V635" s="33"/>
      <c r="W635" s="33"/>
      <c r="X635" s="312"/>
      <c r="Y635" s="33"/>
      <c r="Z635" s="33"/>
      <c r="AA635" s="33"/>
      <c r="AB635" s="33"/>
      <c r="AC635" s="312"/>
      <c r="AD635" s="33"/>
      <c r="AE635" s="33"/>
      <c r="AF635" s="33"/>
      <c r="AG635" s="33"/>
      <c r="AH635" s="312"/>
      <c r="AI635" s="33"/>
      <c r="AJ635" s="33"/>
      <c r="AK635" s="33"/>
      <c r="AL635" s="33"/>
      <c r="AM635" s="312"/>
      <c r="AN635" s="33"/>
      <c r="AO635" s="33"/>
      <c r="AP635" s="33"/>
      <c r="AQ635" s="33"/>
      <c r="AR635" s="312"/>
      <c r="AS635" s="28"/>
      <c r="AT635" s="28"/>
      <c r="AU635" s="28"/>
      <c r="AV635" s="28"/>
      <c r="AW635" s="312"/>
      <c r="AX635" s="28"/>
      <c r="AY635" s="28"/>
      <c r="AZ635" s="28"/>
      <c r="BA635" s="28"/>
      <c r="BB635" s="312"/>
      <c r="BC635" s="28"/>
      <c r="BD635" s="28"/>
      <c r="BE635" s="28"/>
      <c r="BF635" s="28"/>
      <c r="BG635" s="312"/>
      <c r="BH635" s="28"/>
      <c r="BI635" s="28"/>
      <c r="BJ635" s="28"/>
      <c r="BK635" s="28"/>
      <c r="BL635" s="312"/>
      <c r="BM635" s="30"/>
      <c r="BN635" s="30"/>
      <c r="BO635" s="30"/>
      <c r="BP635" s="30"/>
      <c r="BQ635" s="308"/>
      <c r="BR635" s="30"/>
      <c r="BS635" s="30"/>
      <c r="BT635" s="30"/>
      <c r="BU635" s="30"/>
      <c r="BV635" s="308"/>
      <c r="BW635" s="30"/>
      <c r="BX635" s="30"/>
      <c r="BY635" s="30"/>
      <c r="BZ635" s="30"/>
      <c r="CA635" s="308"/>
      <c r="CB635" s="30"/>
      <c r="CC635" s="30"/>
      <c r="CD635" s="30"/>
      <c r="CE635" s="30"/>
      <c r="CF635" s="308"/>
      <c r="CG635" s="30"/>
      <c r="CH635" s="30"/>
      <c r="CI635" s="30"/>
      <c r="CJ635" s="30"/>
      <c r="CK635" s="308"/>
      <c r="CL635" s="30"/>
      <c r="CM635" s="30"/>
      <c r="CN635" s="30"/>
      <c r="CO635" s="30"/>
      <c r="CP635" s="308"/>
      <c r="CQ635" s="30"/>
      <c r="CR635" s="30"/>
      <c r="CS635" s="30"/>
      <c r="CT635" s="30"/>
      <c r="CU635" s="308"/>
      <c r="CV635" s="30"/>
      <c r="CW635" s="30"/>
      <c r="CX635" s="30"/>
      <c r="CY635" s="30"/>
      <c r="CZ635" s="308"/>
      <c r="DA635" s="30"/>
      <c r="DB635" s="30"/>
      <c r="DC635" s="30"/>
      <c r="DD635" s="928"/>
      <c r="DE635" s="308"/>
      <c r="DF635" s="926"/>
      <c r="DG635" s="30"/>
      <c r="DH635" s="30"/>
      <c r="DI635" s="928"/>
      <c r="DJ635" s="308"/>
      <c r="DK635" s="926"/>
      <c r="DL635" s="30"/>
      <c r="DM635" s="926"/>
      <c r="DN635" s="928"/>
      <c r="DO635" s="830"/>
      <c r="DP635" s="926"/>
      <c r="DQ635" s="30"/>
      <c r="DR635" s="30"/>
      <c r="DS635" s="928"/>
      <c r="DT635" s="308"/>
      <c r="DU635" s="1140"/>
      <c r="DV635" s="1140"/>
      <c r="DW635" s="1140"/>
      <c r="DX635" s="1140"/>
      <c r="DY635" s="2840"/>
      <c r="DZ635" s="926"/>
      <c r="EA635" s="926"/>
      <c r="EB635" s="926"/>
      <c r="EC635" s="928"/>
      <c r="ED635" s="1060"/>
      <c r="EE635" s="926"/>
      <c r="EF635" s="926"/>
      <c r="EG635" s="926"/>
      <c r="EH635" s="928"/>
      <c r="EI635" s="308"/>
      <c r="EJ635" s="308"/>
      <c r="EK635" s="308"/>
      <c r="EL635" s="308"/>
      <c r="EM635" s="308"/>
      <c r="EN635" s="308"/>
      <c r="EO635" s="308"/>
      <c r="EP635" s="308"/>
      <c r="EQ635" s="308"/>
      <c r="ER635" s="308"/>
      <c r="ES635" s="308"/>
      <c r="ET635" s="308"/>
      <c r="EU635" s="308"/>
      <c r="EV635" s="308"/>
      <c r="EW635" s="308"/>
      <c r="EX635" s="308"/>
    </row>
    <row r="636" spans="1:154">
      <c r="B636" s="1417" t="s">
        <v>839</v>
      </c>
      <c r="C636" s="2013"/>
      <c r="D636" s="1982"/>
      <c r="E636" s="1418"/>
      <c r="F636" s="1418"/>
      <c r="G636" s="1418"/>
      <c r="H636" s="1418"/>
      <c r="I636" s="1419"/>
      <c r="J636" s="1418"/>
      <c r="K636" s="1418"/>
      <c r="L636" s="1418"/>
      <c r="M636" s="1418"/>
      <c r="N636" s="1419"/>
      <c r="O636" s="1419"/>
      <c r="P636" s="1419"/>
      <c r="Q636" s="1419"/>
      <c r="R636" s="1419"/>
      <c r="S636" s="1420"/>
      <c r="T636" s="1419"/>
      <c r="U636" s="1419"/>
      <c r="V636" s="1419"/>
      <c r="W636" s="1419"/>
      <c r="X636" s="1421"/>
      <c r="Y636" s="1419"/>
      <c r="Z636" s="1419"/>
      <c r="AA636" s="1419"/>
      <c r="AB636" s="1419"/>
      <c r="AC636" s="1421"/>
      <c r="AD636" s="1419"/>
      <c r="AE636" s="1419"/>
      <c r="AF636" s="1419"/>
      <c r="AG636" s="1419"/>
      <c r="AH636" s="1421"/>
      <c r="AI636" s="1418"/>
      <c r="AJ636" s="1418"/>
      <c r="AK636" s="1418"/>
      <c r="AL636" s="1419"/>
      <c r="AM636" s="1421"/>
      <c r="AN636" s="1418"/>
      <c r="AO636" s="1418"/>
      <c r="AP636" s="1418"/>
      <c r="AQ636" s="1419"/>
      <c r="AR636" s="1421"/>
      <c r="AS636" s="1418"/>
      <c r="AT636" s="1418"/>
      <c r="AU636" s="1418"/>
      <c r="AV636" s="1419"/>
      <c r="AW636" s="1421"/>
      <c r="AX636" s="1418"/>
      <c r="AY636" s="1418"/>
      <c r="AZ636" s="1418"/>
      <c r="BA636" s="1418"/>
      <c r="BB636" s="1421"/>
      <c r="BC636" s="1418"/>
      <c r="BD636" s="1418"/>
      <c r="BE636" s="1418"/>
      <c r="BF636" s="1418"/>
      <c r="BG636" s="1421"/>
      <c r="BH636" s="1418"/>
      <c r="BI636" s="1418"/>
      <c r="BJ636" s="1418"/>
      <c r="BK636" s="1418"/>
      <c r="BL636" s="1421"/>
      <c r="BM636" s="1418"/>
      <c r="BN636" s="1418"/>
      <c r="BO636" s="1418"/>
      <c r="BP636" s="1418"/>
      <c r="BQ636" s="1421"/>
      <c r="BR636" s="1418"/>
      <c r="BS636" s="1418"/>
      <c r="BT636" s="1418"/>
      <c r="BU636" s="1418"/>
      <c r="BV636" s="1421"/>
      <c r="BW636" s="1418"/>
      <c r="BX636" s="1418"/>
      <c r="BY636" s="1418"/>
      <c r="BZ636" s="1418"/>
      <c r="CA636" s="1421"/>
      <c r="CB636" s="1418"/>
      <c r="CC636" s="1418"/>
      <c r="CD636" s="1418"/>
      <c r="CE636" s="1418"/>
      <c r="CF636" s="1421"/>
      <c r="CG636" s="1418"/>
      <c r="CH636" s="1418"/>
      <c r="CI636" s="1418"/>
      <c r="CJ636" s="1418"/>
      <c r="CK636" s="1421"/>
      <c r="CL636" s="1422"/>
      <c r="CM636" s="1418"/>
      <c r="CN636" s="1418"/>
      <c r="CO636" s="1423"/>
      <c r="CP636" s="1421"/>
      <c r="CQ636" s="1418"/>
      <c r="CR636" s="1418"/>
      <c r="CS636" s="1418"/>
      <c r="CT636" s="1418"/>
      <c r="CU636" s="1421"/>
      <c r="CV636" s="1418"/>
      <c r="CW636" s="1418"/>
      <c r="CX636" s="1418"/>
      <c r="CY636" s="1418"/>
      <c r="CZ636" s="1421"/>
      <c r="DA636" s="1418"/>
      <c r="DB636" s="1424"/>
      <c r="DC636" s="1424"/>
      <c r="DD636" s="1425"/>
      <c r="DE636" s="1869"/>
      <c r="DF636" s="1870"/>
      <c r="DG636" s="1871"/>
      <c r="DH636" s="1871"/>
      <c r="DI636" s="1872"/>
      <c r="DJ636" s="1869"/>
      <c r="DK636" s="1870"/>
      <c r="DL636" s="1871"/>
      <c r="DM636" s="1871"/>
      <c r="DN636" s="1872"/>
      <c r="DO636" s="1873"/>
      <c r="DP636" s="1871"/>
      <c r="DQ636" s="1871"/>
      <c r="DR636" s="1871"/>
      <c r="DS636" s="1872"/>
      <c r="DT636" s="1869"/>
      <c r="DU636" s="2117">
        <f>SUM(DU650,DU672,DU683)</f>
      </c>
      <c r="DV636" s="2117">
        <f>SUM(DV650,DV672,DV683)</f>
      </c>
      <c r="DW636" s="2117">
        <f>SUM(DW650,DW672,DW683)</f>
      </c>
      <c r="DX636" s="2118">
        <f>SUM(DX650,DX672,DX683)</f>
      </c>
      <c r="DY636" s="1869"/>
      <c r="DZ636" s="2117"/>
      <c r="EA636" s="3513"/>
      <c r="EB636" s="3513"/>
      <c r="EC636" s="2118"/>
      <c r="ED636" s="1874"/>
      <c r="EE636" s="2117"/>
      <c r="EF636" s="3513"/>
      <c r="EG636" s="3513"/>
      <c r="EH636" s="2118"/>
      <c r="EI636" s="1869"/>
      <c r="EJ636" s="1869"/>
      <c r="EK636" s="1869"/>
      <c r="EL636" s="1869"/>
      <c r="EM636" s="1869"/>
      <c r="EN636" s="1869"/>
      <c r="EO636" s="1874"/>
      <c r="EP636" s="1874"/>
      <c r="EQ636" s="1874"/>
      <c r="ER636" s="1874"/>
      <c r="ES636" s="1874"/>
      <c r="ET636" s="1874"/>
      <c r="EU636" s="1874"/>
      <c r="EV636" s="1874"/>
      <c r="EW636" s="1874"/>
      <c r="EX636" s="1874"/>
    </row>
    <row r="637" spans="1:154" s="222" customFormat="1">
      <c r="A637" s="3283"/>
      <c r="B637" s="2663" t="s">
        <v>921</v>
      </c>
      <c r="C637" s="2023"/>
      <c r="D637" s="15"/>
      <c r="E637" s="15"/>
      <c r="F637" s="15"/>
      <c r="G637" s="15"/>
      <c r="H637" s="15"/>
      <c r="I637" s="15"/>
      <c r="J637" s="15"/>
      <c r="K637" s="15"/>
      <c r="L637" s="15"/>
      <c r="M637" s="15"/>
      <c r="N637" s="15"/>
      <c r="O637" s="15"/>
      <c r="P637" s="15"/>
      <c r="Q637" s="15"/>
      <c r="R637" s="15"/>
      <c r="S637" s="15"/>
      <c r="T637" s="15"/>
      <c r="U637" s="15"/>
      <c r="V637" s="15"/>
      <c r="W637" s="15"/>
      <c r="X637" s="327"/>
      <c r="Y637" s="15"/>
      <c r="Z637" s="15"/>
      <c r="AA637" s="15"/>
      <c r="AB637" s="15"/>
      <c r="AC637" s="327"/>
      <c r="AD637" s="15"/>
      <c r="AE637" s="15"/>
      <c r="AF637" s="15"/>
      <c r="AG637" s="15"/>
      <c r="AH637" s="327"/>
      <c r="AI637" s="15"/>
      <c r="AJ637" s="15"/>
      <c r="AK637" s="15"/>
      <c r="AL637" s="15"/>
      <c r="AM637" s="327"/>
      <c r="AN637" s="15"/>
      <c r="AO637" s="15"/>
      <c r="AP637" s="15"/>
      <c r="AQ637" s="15"/>
      <c r="AR637" s="327"/>
      <c r="AS637" s="15"/>
      <c r="AT637" s="15"/>
      <c r="AU637" s="15"/>
      <c r="AV637" s="15"/>
      <c r="AW637" s="327"/>
      <c r="AX637" s="15"/>
      <c r="AY637" s="15"/>
      <c r="AZ637" s="15"/>
      <c r="BA637" s="15"/>
      <c r="BB637" s="327"/>
      <c r="BC637" s="15"/>
      <c r="BD637" s="15"/>
      <c r="BE637" s="15"/>
      <c r="BF637" s="15"/>
      <c r="BG637" s="327"/>
      <c r="BH637" s="15"/>
      <c r="BI637" s="15"/>
      <c r="BJ637" s="15"/>
      <c r="BK637" s="15"/>
      <c r="BL637" s="327"/>
      <c r="BM637" s="15"/>
      <c r="BN637" s="15"/>
      <c r="BO637" s="15"/>
      <c r="BP637" s="15"/>
      <c r="BQ637" s="327"/>
      <c r="BR637" s="15"/>
      <c r="BS637" s="15"/>
      <c r="BT637" s="15"/>
      <c r="BU637" s="15"/>
      <c r="BV637" s="327"/>
      <c r="BW637" s="15"/>
      <c r="BX637" s="15"/>
      <c r="BY637" s="15"/>
      <c r="BZ637" s="1586"/>
      <c r="CA637" s="327"/>
      <c r="CB637" s="1586"/>
      <c r="CC637" s="1586"/>
      <c r="CD637" s="1586"/>
      <c r="CE637" s="1586"/>
      <c r="CF637" s="327"/>
      <c r="CG637" s="1586"/>
      <c r="CH637" s="1586"/>
      <c r="CI637" s="1586"/>
      <c r="CJ637" s="1586"/>
      <c r="CK637" s="327"/>
      <c r="CL637" s="1586"/>
      <c r="CM637" s="1586"/>
      <c r="CN637" s="1586"/>
      <c r="CO637" s="1586"/>
      <c r="CP637" s="327"/>
      <c r="CQ637" s="1584"/>
      <c r="CR637" s="576">
        <f t="shared" ref="CR637:CT639" si="1546">CR648+CR659+CR670+CR681</f>
      </c>
      <c r="CS637" s="576">
        <f t="shared" si="1546"/>
      </c>
      <c r="CT637" s="2664">
        <f t="shared" si="1546"/>
      </c>
      <c r="CU637" s="2665">
        <f>SUM(CQ637:CT637)</f>
      </c>
      <c r="CV637" s="576">
        <f t="shared" ref="CV637:CY639" si="1547">CV648+CV659+CV670+CV681</f>
      </c>
      <c r="CW637" s="576">
        <f t="shared" si="1547"/>
      </c>
      <c r="CX637" s="576">
        <f t="shared" si="1547"/>
      </c>
      <c r="CY637" s="2664">
        <f t="shared" si="1547"/>
      </c>
      <c r="CZ637" s="2665">
        <f>SUM(CV637:CY637)</f>
      </c>
      <c r="DA637" s="576">
        <f t="shared" ref="DA637:DD639" si="1548">DA648+DA659+DA670+DA681</f>
      </c>
      <c r="DB637" s="576">
        <f t="shared" si="1548"/>
      </c>
      <c r="DC637" s="576">
        <f t="shared" si="1548"/>
      </c>
      <c r="DD637" s="576">
        <f t="shared" si="1548"/>
      </c>
      <c r="DE637" s="1851">
        <f t="shared" ref="DE637:DF639" si="1549">DE648+DE659+DE670+DE681</f>
      </c>
      <c r="DF637" s="2666">
        <f t="shared" si="1549"/>
      </c>
      <c r="DG637" s="1852">
        <v>545</v>
      </c>
      <c r="DH637" s="1852">
        <v>510</v>
      </c>
      <c r="DI637" s="1852">
        <v>592</v>
      </c>
      <c r="DJ637" s="1854">
        <f>DJ648+DJ659+DJ670+DJ681</f>
      </c>
      <c r="DK637" s="2667">
        <v>573</v>
      </c>
      <c r="DL637" s="2668">
        <v>595</v>
      </c>
      <c r="DM637" s="1968">
        <v>610</v>
      </c>
      <c r="DN637" s="2669">
        <v>587</v>
      </c>
      <c r="DO637" s="2354">
        <f>DO648+DO659+DO670+DO681</f>
      </c>
      <c r="DP637" s="2668">
        <v>572</v>
      </c>
      <c r="DQ637" s="2668">
        <v>560</v>
      </c>
      <c r="DR637" s="2668">
        <v>604</v>
      </c>
      <c r="DS637" s="2495">
        <v>610</v>
      </c>
      <c r="DT637" s="1851">
        <f>DT648+DT659+DT670+DT681</f>
      </c>
      <c r="DU637" s="2668">
        <v>600.4</v>
      </c>
      <c r="DV637" s="2668">
        <v>684.4</v>
      </c>
      <c r="DW637" s="2668">
        <v>680</v>
      </c>
      <c r="DX637" s="2668">
        <v>732.5</v>
      </c>
      <c r="DY637" s="1851">
        <f t="shared" ref="DY637" si="1550">DY648+DY659+DY670+DY681</f>
      </c>
      <c r="DZ637" s="1968">
        <v>766</v>
      </c>
      <c r="EA637" s="3540">
        <v>743</v>
      </c>
      <c r="EB637" s="3540">
        <v>815</v>
      </c>
      <c r="EC637" s="3629">
        <v>819</v>
      </c>
      <c r="ED637" s="1851">
        <f>ED648+ED659+ED670+ED681</f>
      </c>
      <c r="EE637" s="1777">
        <f t="shared" ref="EE637:ES637" si="1551">EE648+EE659+EE670+EE681</f>
      </c>
      <c r="EF637" s="1777">
        <f t="shared" ref="EF637" si="1552">EF648+EF659+EF670+EF681</f>
      </c>
      <c r="EG637" s="3540">
        <v>815</v>
      </c>
      <c r="EH637" s="3477">
        <f t="shared" si="1551"/>
      </c>
      <c r="EI637" s="1851">
        <f t="shared" si="1551"/>
      </c>
      <c r="EJ637" s="1851">
        <f t="shared" si="1551"/>
      </c>
      <c r="EK637" s="2354">
        <f t="shared" si="1551"/>
      </c>
      <c r="EL637" s="1851">
        <f t="shared" si="1551"/>
      </c>
      <c r="EM637" s="1851">
        <f t="shared" si="1551"/>
      </c>
      <c r="EN637" s="1851">
        <f t="shared" si="1551"/>
      </c>
      <c r="EO637" s="1851">
        <f t="shared" si="1551"/>
      </c>
      <c r="EP637" s="1851">
        <f t="shared" si="1551"/>
      </c>
      <c r="EQ637" s="1851">
        <f t="shared" si="1551"/>
      </c>
      <c r="ER637" s="1851">
        <f t="shared" si="1551"/>
      </c>
      <c r="ES637" s="1851">
        <f t="shared" si="1551"/>
      </c>
      <c r="ET637" s="2354"/>
      <c r="EU637" s="2354"/>
      <c r="EV637" s="2354"/>
      <c r="EW637" s="2354"/>
      <c r="EX637" s="2354"/>
    </row>
    <row r="638" spans="1:154" s="222" customFormat="1">
      <c r="A638" s="3283"/>
      <c r="B638" s="2663" t="s">
        <v>412</v>
      </c>
      <c r="C638" s="2023"/>
      <c r="D638" s="15"/>
      <c r="E638" s="15"/>
      <c r="F638" s="15"/>
      <c r="G638" s="15"/>
      <c r="H638" s="15"/>
      <c r="I638" s="15"/>
      <c r="J638" s="15"/>
      <c r="K638" s="15"/>
      <c r="L638" s="15"/>
      <c r="M638" s="15"/>
      <c r="N638" s="15"/>
      <c r="O638" s="15"/>
      <c r="P638" s="15"/>
      <c r="Q638" s="15"/>
      <c r="R638" s="15"/>
      <c r="S638" s="15"/>
      <c r="T638" s="15"/>
      <c r="U638" s="15"/>
      <c r="V638" s="15"/>
      <c r="W638" s="15"/>
      <c r="X638" s="327"/>
      <c r="Y638" s="15"/>
      <c r="Z638" s="15"/>
      <c r="AA638" s="15"/>
      <c r="AB638" s="15"/>
      <c r="AC638" s="327"/>
      <c r="AD638" s="15"/>
      <c r="AE638" s="15"/>
      <c r="AF638" s="15"/>
      <c r="AG638" s="15"/>
      <c r="AH638" s="327"/>
      <c r="AI638" s="15"/>
      <c r="AJ638" s="15"/>
      <c r="AK638" s="15"/>
      <c r="AL638" s="15"/>
      <c r="AM638" s="327"/>
      <c r="AN638" s="15"/>
      <c r="AO638" s="15"/>
      <c r="AP638" s="15"/>
      <c r="AQ638" s="15"/>
      <c r="AR638" s="327"/>
      <c r="AS638" s="15"/>
      <c r="AT638" s="15"/>
      <c r="AU638" s="15"/>
      <c r="AV638" s="15"/>
      <c r="AW638" s="327"/>
      <c r="AX638" s="15"/>
      <c r="AY638" s="15"/>
      <c r="AZ638" s="15"/>
      <c r="BA638" s="15"/>
      <c r="BB638" s="327"/>
      <c r="BC638" s="15"/>
      <c r="BD638" s="15"/>
      <c r="BE638" s="15"/>
      <c r="BF638" s="15"/>
      <c r="BG638" s="327"/>
      <c r="BH638" s="15"/>
      <c r="BI638" s="15"/>
      <c r="BJ638" s="15"/>
      <c r="BK638" s="15"/>
      <c r="BL638" s="327"/>
      <c r="BM638" s="15"/>
      <c r="BN638" s="15"/>
      <c r="BO638" s="15"/>
      <c r="BP638" s="15"/>
      <c r="BQ638" s="327"/>
      <c r="BR638" s="15"/>
      <c r="BS638" s="15"/>
      <c r="BT638" s="15"/>
      <c r="BU638" s="15"/>
      <c r="BV638" s="327"/>
      <c r="BW638" s="15"/>
      <c r="BX638" s="15"/>
      <c r="BY638" s="15"/>
      <c r="BZ638" s="1586"/>
      <c r="CA638" s="327"/>
      <c r="CB638" s="1586"/>
      <c r="CC638" s="1586"/>
      <c r="CD638" s="1586"/>
      <c r="CE638" s="1586"/>
      <c r="CF638" s="327"/>
      <c r="CG638" s="1586"/>
      <c r="CH638" s="1586"/>
      <c r="CI638" s="1586"/>
      <c r="CJ638" s="1586"/>
      <c r="CK638" s="327"/>
      <c r="CL638" s="1586"/>
      <c r="CM638" s="1586"/>
      <c r="CN638" s="1586"/>
      <c r="CO638" s="1586"/>
      <c r="CP638" s="327"/>
      <c r="CQ638" s="1586"/>
      <c r="CR638" s="15">
        <f t="shared" si="1546"/>
      </c>
      <c r="CS638" s="15">
        <f t="shared" si="1546"/>
      </c>
      <c r="CT638" s="15">
        <f t="shared" si="1546"/>
      </c>
      <c r="CU638" s="327">
        <f>SUM(CQ638:CT638)</f>
      </c>
      <c r="CV638" s="15">
        <f t="shared" si="1547"/>
      </c>
      <c r="CW638" s="15">
        <f t="shared" si="1547"/>
      </c>
      <c r="CX638" s="15">
        <f t="shared" si="1547"/>
      </c>
      <c r="CY638" s="15">
        <f t="shared" si="1547"/>
      </c>
      <c r="CZ638" s="327">
        <f>SUM(CV638:CY638)</f>
      </c>
      <c r="DA638" s="15">
        <f t="shared" si="1548"/>
      </c>
      <c r="DB638" s="15">
        <f t="shared" si="1548"/>
      </c>
      <c r="DC638" s="15">
        <f t="shared" si="1548"/>
      </c>
      <c r="DD638" s="15">
        <f t="shared" si="1548"/>
      </c>
      <c r="DE638" s="1851">
        <f t="shared" si="1549"/>
      </c>
      <c r="DF638" s="1777">
        <f t="shared" si="1549"/>
      </c>
      <c r="DG638" s="1856">
        <v>243</v>
      </c>
      <c r="DH638" s="1856">
        <v>239</v>
      </c>
      <c r="DI638" s="1856">
        <v>273.39999999999998</v>
      </c>
      <c r="DJ638" s="1854">
        <f>DJ649+DJ660+DJ671+DJ682</f>
      </c>
      <c r="DK638" s="2497">
        <v>288</v>
      </c>
      <c r="DL638" s="1856">
        <v>275</v>
      </c>
      <c r="DM638" s="1856">
        <v>258</v>
      </c>
      <c r="DN638" s="2398">
        <v>264</v>
      </c>
      <c r="DO638" s="2354">
        <f>DO649+DO660+DO671+DO682</f>
      </c>
      <c r="DP638" s="1856">
        <v>279</v>
      </c>
      <c r="DQ638" s="1856">
        <v>284</v>
      </c>
      <c r="DR638" s="1856">
        <v>247</v>
      </c>
      <c r="DS638" s="2398">
        <v>261</v>
      </c>
      <c r="DT638" s="1851">
        <f>DT649+DT660+DT671+DT682</f>
      </c>
      <c r="DU638" s="1856">
        <v>272.39999999999998</v>
      </c>
      <c r="DV638" s="1856">
        <v>289.39999999999998</v>
      </c>
      <c r="DW638" s="1856">
        <v>274.10000000000002</v>
      </c>
      <c r="DX638" s="1856">
        <v>281.5</v>
      </c>
      <c r="DY638" s="1851">
        <f t="shared" ref="DY638" si="1553">DY649+DY660+DY671+DY682</f>
      </c>
      <c r="DZ638" s="1857">
        <v>283</v>
      </c>
      <c r="EA638" s="1857">
        <v>296</v>
      </c>
      <c r="EB638" s="1857">
        <v>286.5</v>
      </c>
      <c r="EC638" s="2398">
        <v>274</v>
      </c>
      <c r="ED638" s="1851">
        <f t="shared" ref="ED638:EE638" si="1554">ED649+ED660+ED671+ED682</f>
      </c>
      <c r="EE638" s="1777">
        <f t="shared" si="1554"/>
      </c>
      <c r="EF638" s="1777">
        <f t="shared" ref="EF638" si="1555">EF649+EF660+EF671+EF682</f>
      </c>
      <c r="EG638" s="1857">
        <v>300</v>
      </c>
      <c r="EH638" s="2354">
        <f t="shared" ref="EH638:ES638" si="1556">EH649+EH660+EH671+EH682</f>
      </c>
      <c r="EI638" s="1851">
        <f t="shared" si="1556"/>
      </c>
      <c r="EJ638" s="1851">
        <f t="shared" si="1556"/>
      </c>
      <c r="EK638" s="2354">
        <f t="shared" si="1556"/>
      </c>
      <c r="EL638" s="1851">
        <f t="shared" si="1556"/>
      </c>
      <c r="EM638" s="1851">
        <f t="shared" si="1556"/>
      </c>
      <c r="EN638" s="1851">
        <f t="shared" si="1556"/>
      </c>
      <c r="EO638" s="1851">
        <f t="shared" si="1556"/>
      </c>
      <c r="EP638" s="1851">
        <f t="shared" si="1556"/>
      </c>
      <c r="EQ638" s="1851">
        <f t="shared" si="1556"/>
      </c>
      <c r="ER638" s="1851">
        <f t="shared" si="1556"/>
      </c>
      <c r="ES638" s="1851">
        <f t="shared" si="1556"/>
      </c>
      <c r="ET638" s="2354"/>
      <c r="EU638" s="2354"/>
      <c r="EV638" s="2354"/>
      <c r="EW638" s="2354"/>
      <c r="EX638" s="2354"/>
    </row>
    <row r="639" spans="1:154" s="222" customFormat="1">
      <c r="A639" s="3283" t="s">
        <v>825</v>
      </c>
      <c r="B639" s="2663" t="s">
        <v>413</v>
      </c>
      <c r="C639" s="2023"/>
      <c r="D639" s="15"/>
      <c r="E639" s="15"/>
      <c r="F639" s="15"/>
      <c r="G639" s="15"/>
      <c r="H639" s="15"/>
      <c r="I639" s="15"/>
      <c r="J639" s="15"/>
      <c r="K639" s="15"/>
      <c r="L639" s="15"/>
      <c r="M639" s="15"/>
      <c r="N639" s="15"/>
      <c r="O639" s="15"/>
      <c r="P639" s="15"/>
      <c r="Q639" s="15"/>
      <c r="R639" s="15"/>
      <c r="S639" s="15"/>
      <c r="T639" s="15"/>
      <c r="U639" s="15"/>
      <c r="V639" s="15"/>
      <c r="W639" s="15"/>
      <c r="X639" s="327"/>
      <c r="Y639" s="15"/>
      <c r="Z639" s="15"/>
      <c r="AA639" s="15"/>
      <c r="AB639" s="15"/>
      <c r="AC639" s="327"/>
      <c r="AD639" s="15"/>
      <c r="AE639" s="15"/>
      <c r="AF639" s="15"/>
      <c r="AG639" s="15"/>
      <c r="AH639" s="327"/>
      <c r="AI639" s="15"/>
      <c r="AJ639" s="15"/>
      <c r="AK639" s="15"/>
      <c r="AL639" s="15"/>
      <c r="AM639" s="327"/>
      <c r="AN639" s="15"/>
      <c r="AO639" s="15"/>
      <c r="AP639" s="15"/>
      <c r="AQ639" s="15"/>
      <c r="AR639" s="327"/>
      <c r="AS639" s="15"/>
      <c r="AT639" s="15"/>
      <c r="AU639" s="15"/>
      <c r="AV639" s="15"/>
      <c r="AW639" s="327"/>
      <c r="AX639" s="15"/>
      <c r="AY639" s="15"/>
      <c r="AZ639" s="15"/>
      <c r="BA639" s="15"/>
      <c r="BB639" s="327"/>
      <c r="BC639" s="15"/>
      <c r="BD639" s="15"/>
      <c r="BE639" s="15"/>
      <c r="BF639" s="15"/>
      <c r="BG639" s="327"/>
      <c r="BH639" s="15"/>
      <c r="BI639" s="15"/>
      <c r="BJ639" s="15"/>
      <c r="BK639" s="15"/>
      <c r="BL639" s="327"/>
      <c r="BM639" s="15"/>
      <c r="BN639" s="15"/>
      <c r="BO639" s="15"/>
      <c r="BP639" s="15"/>
      <c r="BQ639" s="327"/>
      <c r="BR639" s="15"/>
      <c r="BS639" s="15"/>
      <c r="BT639" s="15"/>
      <c r="BU639" s="15"/>
      <c r="BV639" s="327"/>
      <c r="BW639" s="15"/>
      <c r="BX639" s="15"/>
      <c r="BY639" s="15"/>
      <c r="BZ639" s="15"/>
      <c r="CA639" s="327"/>
      <c r="CB639" s="15"/>
      <c r="CC639" s="15"/>
      <c r="CD639" s="15"/>
      <c r="CE639" s="15"/>
      <c r="CF639" s="327"/>
      <c r="CG639" s="15"/>
      <c r="CH639" s="15"/>
      <c r="CI639" s="15"/>
      <c r="CJ639" s="15"/>
      <c r="CK639" s="327"/>
      <c r="CL639" s="2670"/>
      <c r="CM639" s="2670"/>
      <c r="CN639" s="2670"/>
      <c r="CO639" s="2670"/>
      <c r="CP639" s="1563"/>
      <c r="CQ639" s="2670"/>
      <c r="CR639" s="15">
        <f t="shared" si="1546"/>
      </c>
      <c r="CS639" s="15">
        <f t="shared" si="1546"/>
      </c>
      <c r="CT639" s="15">
        <f t="shared" si="1546"/>
      </c>
      <c r="CU639" s="327">
        <f>+SUM(CQ639:CT639)</f>
      </c>
      <c r="CV639" s="15">
        <f t="shared" si="1547"/>
      </c>
      <c r="CW639" s="15">
        <f t="shared" si="1547"/>
      </c>
      <c r="CX639" s="15">
        <f t="shared" si="1547"/>
      </c>
      <c r="CY639" s="15">
        <f t="shared" si="1547"/>
      </c>
      <c r="CZ639" s="327">
        <f>+SUM(CV639:CY639)</f>
      </c>
      <c r="DA639" s="15">
        <f t="shared" si="1548"/>
      </c>
      <c r="DB639" s="15">
        <f t="shared" si="1548"/>
      </c>
      <c r="DC639" s="15">
        <f t="shared" si="1548"/>
      </c>
      <c r="DD639" s="15">
        <f t="shared" si="1548"/>
      </c>
      <c r="DE639" s="1851">
        <f t="shared" si="1549"/>
      </c>
      <c r="DF639" s="1777">
        <f t="shared" si="1549"/>
      </c>
      <c r="DG639" s="1777">
        <f>DG650+DG661+DG672+DG683</f>
      </c>
      <c r="DH639" s="1777">
        <f>SUM(DH637:DH638)</f>
      </c>
      <c r="DI639" s="1777">
        <f>SUM(DI637:DI638)</f>
      </c>
      <c r="DJ639" s="1854">
        <f>DJ650+DJ661+DJ672+DJ683</f>
      </c>
      <c r="DK639" s="1777">
        <f t="shared" ref="DK639:EC639" si="1557">SUM(DK637:DK638)</f>
      </c>
      <c r="DL639" s="1777">
        <f t="shared" si="1557"/>
      </c>
      <c r="DM639" s="1777">
        <f t="shared" si="1557"/>
      </c>
      <c r="DN639" s="2354">
        <f t="shared" si="1557"/>
      </c>
      <c r="DO639" s="2354">
        <f t="shared" si="1557"/>
      </c>
      <c r="DP639" s="1777">
        <f t="shared" si="1557"/>
      </c>
      <c r="DQ639" s="1777">
        <f t="shared" si="1557"/>
      </c>
      <c r="DR639" s="1777">
        <f t="shared" si="1557"/>
      </c>
      <c r="DS639" s="2354">
        <f t="shared" si="1557"/>
      </c>
      <c r="DT639" s="1851">
        <f t="shared" si="1557"/>
      </c>
      <c r="DU639" s="1777">
        <f t="shared" si="1557"/>
      </c>
      <c r="DV639" s="1777">
        <f t="shared" si="1557"/>
      </c>
      <c r="DW639" s="1777">
        <f>SUM(DW637:DW638)</f>
      </c>
      <c r="DX639" s="1777">
        <f>SUM(DX637:DX638)</f>
      </c>
      <c r="DY639" s="1851">
        <f t="shared" si="1557"/>
      </c>
      <c r="DZ639" s="1777">
        <f t="shared" si="1557"/>
      </c>
      <c r="EA639" s="1858">
        <f t="shared" si="1557"/>
      </c>
      <c r="EB639" s="1777">
        <f t="shared" si="1557"/>
      </c>
      <c r="EC639" s="2354">
        <f t="shared" si="1557"/>
      </c>
      <c r="ED639" s="1851">
        <f t="shared" ref="ED639:EE639" si="1558">SUM(ED637:ED638)</f>
      </c>
      <c r="EE639" s="1777">
        <f t="shared" si="1558"/>
      </c>
      <c r="EF639" s="1777">
        <f t="shared" ref="EF639" si="1559">SUM(EF637:EF638)</f>
      </c>
      <c r="EG639" s="1777">
        <f t="shared" ref="EG639" si="1560">SUM(EG637:EG638)</f>
      </c>
      <c r="EH639" s="2354">
        <f t="shared" ref="EH639:ES639" si="1561">SUM(EH637:EH638)</f>
      </c>
      <c r="EI639" s="1851">
        <f t="shared" si="1561"/>
      </c>
      <c r="EJ639" s="1851">
        <f t="shared" si="1561"/>
      </c>
      <c r="EK639" s="2354">
        <f t="shared" si="1561"/>
      </c>
      <c r="EL639" s="1851">
        <f t="shared" si="1561"/>
      </c>
      <c r="EM639" s="1851">
        <f t="shared" si="1561"/>
      </c>
      <c r="EN639" s="1851">
        <f t="shared" si="1561"/>
      </c>
      <c r="EO639" s="1851">
        <f t="shared" si="1561"/>
      </c>
      <c r="EP639" s="1851">
        <f t="shared" si="1561"/>
      </c>
      <c r="EQ639" s="1851">
        <f t="shared" si="1561"/>
      </c>
      <c r="ER639" s="1851">
        <f t="shared" si="1561"/>
      </c>
      <c r="ES639" s="1851">
        <f t="shared" si="1561"/>
      </c>
      <c r="ET639" s="2354"/>
      <c r="EU639" s="2354"/>
      <c r="EV639" s="2354"/>
      <c r="EW639" s="2354"/>
      <c r="EX639" s="2354"/>
    </row>
    <row r="640" spans="1:154">
      <c r="B640" s="342"/>
      <c r="C640" s="1989"/>
      <c r="D640" s="28"/>
      <c r="E640" s="28"/>
      <c r="F640" s="28"/>
      <c r="G640" s="28"/>
      <c r="H640" s="28"/>
      <c r="I640" s="28"/>
      <c r="J640" s="28"/>
      <c r="K640" s="28"/>
      <c r="L640" s="28"/>
      <c r="M640" s="28"/>
      <c r="N640" s="28"/>
      <c r="O640" s="28"/>
      <c r="P640" s="28"/>
      <c r="Q640" s="28"/>
      <c r="R640" s="28"/>
      <c r="S640" s="28"/>
      <c r="T640" s="28"/>
      <c r="U640" s="28"/>
      <c r="V640" s="28"/>
      <c r="W640" s="28"/>
      <c r="X640" s="312"/>
      <c r="Y640" s="28"/>
      <c r="Z640" s="28"/>
      <c r="AA640" s="28"/>
      <c r="AB640" s="28"/>
      <c r="AC640" s="312"/>
      <c r="AD640" s="28"/>
      <c r="AE640" s="28"/>
      <c r="AF640" s="28"/>
      <c r="AG640" s="28"/>
      <c r="AH640" s="312"/>
      <c r="AI640" s="28"/>
      <c r="AJ640" s="28"/>
      <c r="AK640" s="28"/>
      <c r="AL640" s="28"/>
      <c r="AM640" s="312"/>
      <c r="AN640" s="28"/>
      <c r="AO640" s="28"/>
      <c r="AP640" s="28"/>
      <c r="AQ640" s="28"/>
      <c r="AR640" s="312"/>
      <c r="AS640" s="28"/>
      <c r="AT640" s="28"/>
      <c r="AU640" s="28"/>
      <c r="AV640" s="28"/>
      <c r="AW640" s="312"/>
      <c r="AX640" s="40"/>
      <c r="AY640" s="40"/>
      <c r="AZ640" s="40"/>
      <c r="BA640" s="40"/>
      <c r="BB640" s="312"/>
      <c r="BC640" s="28"/>
      <c r="BD640" s="28"/>
      <c r="BE640" s="28"/>
      <c r="BF640" s="28"/>
      <c r="BG640" s="322"/>
      <c r="BH640" s="277"/>
      <c r="BI640" s="277"/>
      <c r="BJ640" s="28"/>
      <c r="BK640" s="28"/>
      <c r="BL640" s="312"/>
      <c r="BM640" s="28"/>
      <c r="BN640" s="28"/>
      <c r="BO640" s="28"/>
      <c r="BP640" s="28"/>
      <c r="BQ640" s="312"/>
      <c r="BR640" s="28"/>
      <c r="BS640" s="28"/>
      <c r="BT640" s="28"/>
      <c r="BU640" s="28"/>
      <c r="BV640" s="312"/>
      <c r="BW640" s="28"/>
      <c r="BX640" s="28"/>
      <c r="BY640" s="28"/>
      <c r="BZ640" s="28"/>
      <c r="CA640" s="312"/>
      <c r="CB640" s="28"/>
      <c r="CC640" s="28"/>
      <c r="CD640" s="28"/>
      <c r="CE640" s="28"/>
      <c r="CF640" s="312"/>
      <c r="CG640" s="28"/>
      <c r="CH640" s="28"/>
      <c r="CI640" s="28"/>
      <c r="CJ640" s="28"/>
      <c r="CK640" s="312"/>
      <c r="CL640" s="28"/>
      <c r="CM640" s="28"/>
      <c r="CN640" s="28"/>
      <c r="CO640" s="28"/>
      <c r="CP640" s="312"/>
      <c r="CQ640" s="933"/>
      <c r="CR640" s="933"/>
      <c r="CS640" s="933"/>
      <c r="CT640" s="933"/>
      <c r="CU640" s="312"/>
      <c r="CV640" s="933"/>
      <c r="CW640" s="933"/>
      <c r="CX640" s="933"/>
      <c r="CY640" s="962"/>
      <c r="CZ640" s="312"/>
      <c r="DA640" s="933"/>
      <c r="DB640" s="31"/>
      <c r="DC640" s="31"/>
      <c r="DD640" s="955"/>
      <c r="DE640" s="1866"/>
      <c r="DF640" s="982"/>
      <c r="DG640" s="603"/>
      <c r="DH640" s="603"/>
      <c r="DI640" s="1798"/>
      <c r="DJ640" s="1863"/>
      <c r="DK640" s="981"/>
      <c r="DL640" s="982"/>
      <c r="DM640" s="982"/>
      <c r="DN640" s="1875"/>
      <c r="DO640" s="1875"/>
      <c r="DP640" s="982"/>
      <c r="DQ640" s="982"/>
      <c r="DR640" s="982"/>
      <c r="DS640" s="1875"/>
      <c r="DT640" s="1866"/>
      <c r="DU640" s="982"/>
      <c r="DV640" s="982"/>
      <c r="DW640" s="982"/>
      <c r="DX640" s="982"/>
      <c r="DY640" s="1866"/>
      <c r="DZ640" s="982"/>
      <c r="EA640" s="1842"/>
      <c r="EB640" s="982"/>
      <c r="EC640" s="1875"/>
      <c r="ED640" s="1866"/>
      <c r="EE640" s="982"/>
      <c r="EF640" s="1842"/>
      <c r="EG640" s="982"/>
      <c r="EH640" s="1875"/>
      <c r="EI640" s="1866"/>
      <c r="EJ640" s="1866"/>
      <c r="EK640" s="1866"/>
      <c r="EL640" s="1866"/>
      <c r="EM640" s="1866"/>
      <c r="EN640" s="1866"/>
      <c r="EO640" s="1866"/>
      <c r="EP640" s="1866"/>
      <c r="EQ640" s="1866"/>
      <c r="ER640" s="1866"/>
      <c r="ES640" s="1866"/>
      <c r="ET640" s="1866"/>
      <c r="EU640" s="1866"/>
      <c r="EV640" s="1866"/>
      <c r="EW640" s="1866"/>
      <c r="EX640" s="1866"/>
    </row>
    <row r="641" spans="1:154">
      <c r="B641" s="453" t="s">
        <v>988</v>
      </c>
      <c r="C641" s="1989"/>
      <c r="D641" s="28"/>
      <c r="E641" s="28"/>
      <c r="F641" s="28"/>
      <c r="G641" s="28"/>
      <c r="H641" s="28"/>
      <c r="I641" s="28"/>
      <c r="J641" s="28"/>
      <c r="K641" s="28"/>
      <c r="L641" s="28"/>
      <c r="M641" s="28"/>
      <c r="N641" s="28"/>
      <c r="O641" s="28"/>
      <c r="P641" s="28"/>
      <c r="Q641" s="28"/>
      <c r="R641" s="28"/>
      <c r="S641" s="28"/>
      <c r="T641" s="28"/>
      <c r="U641" s="28"/>
      <c r="V641" s="28"/>
      <c r="W641" s="28"/>
      <c r="X641" s="312"/>
      <c r="Y641" s="28"/>
      <c r="Z641" s="28"/>
      <c r="AA641" s="28"/>
      <c r="AB641" s="28"/>
      <c r="AC641" s="312"/>
      <c r="AD641" s="28"/>
      <c r="AE641" s="28"/>
      <c r="AF641" s="28"/>
      <c r="AG641" s="28"/>
      <c r="AH641" s="312"/>
      <c r="AI641" s="28"/>
      <c r="AJ641" s="28"/>
      <c r="AK641" s="28"/>
      <c r="AL641" s="28"/>
      <c r="AM641" s="312"/>
      <c r="AN641" s="28"/>
      <c r="AO641" s="28"/>
      <c r="AP641" s="28"/>
      <c r="AQ641" s="28"/>
      <c r="AR641" s="312"/>
      <c r="AS641" s="28"/>
      <c r="AT641" s="28"/>
      <c r="AU641" s="28"/>
      <c r="AV641" s="28"/>
      <c r="AW641" s="312"/>
      <c r="AX641" s="40"/>
      <c r="AY641" s="40"/>
      <c r="AZ641" s="40"/>
      <c r="BA641" s="40"/>
      <c r="BB641" s="312"/>
      <c r="BC641" s="28"/>
      <c r="BD641" s="28"/>
      <c r="BE641" s="28"/>
      <c r="BF641" s="28"/>
      <c r="BG641" s="312"/>
      <c r="BH641" s="277"/>
      <c r="BI641" s="277"/>
      <c r="BJ641" s="28"/>
      <c r="BK641" s="28"/>
      <c r="BL641" s="312"/>
      <c r="BM641" s="28"/>
      <c r="BN641" s="28"/>
      <c r="BO641" s="28"/>
      <c r="BP641" s="28"/>
      <c r="BQ641" s="312"/>
      <c r="BR641" s="28"/>
      <c r="BS641" s="28"/>
      <c r="BT641" s="28"/>
      <c r="BU641" s="28"/>
      <c r="BV641" s="312"/>
      <c r="BW641" s="28"/>
      <c r="BX641" s="28"/>
      <c r="BY641" s="28"/>
      <c r="BZ641" s="28"/>
      <c r="CA641" s="312"/>
      <c r="CB641" s="28"/>
      <c r="CC641" s="28"/>
      <c r="CD641" s="28"/>
      <c r="CE641" s="28"/>
      <c r="CF641" s="312"/>
      <c r="CG641" s="28"/>
      <c r="CH641" s="28"/>
      <c r="CI641" s="28"/>
      <c r="CJ641" s="28"/>
      <c r="CK641" s="312"/>
      <c r="CL641" s="28"/>
      <c r="CM641" s="28"/>
      <c r="CN641" s="28"/>
      <c r="CO641" s="28"/>
      <c r="CP641" s="312"/>
      <c r="CQ641" s="933"/>
      <c r="CR641" s="933"/>
      <c r="CS641" s="933"/>
      <c r="CT641" s="933"/>
      <c r="CU641" s="312"/>
      <c r="CV641" s="933"/>
      <c r="CW641" s="933"/>
      <c r="CX641" s="933"/>
      <c r="CY641" s="962"/>
      <c r="CZ641" s="312"/>
      <c r="DA641" s="933"/>
      <c r="DB641" s="31"/>
      <c r="DC641" s="31"/>
      <c r="DD641" s="955"/>
      <c r="DE641" s="1866"/>
      <c r="DF641" s="982"/>
      <c r="DG641" s="603"/>
      <c r="DH641" s="603"/>
      <c r="DI641" s="1798"/>
      <c r="DJ641" s="1866"/>
      <c r="DK641" s="981"/>
      <c r="DL641" s="982"/>
      <c r="DM641" s="982"/>
      <c r="DN641" s="1875"/>
      <c r="DO641" s="1875"/>
      <c r="DP641" s="982"/>
      <c r="DQ641" s="982"/>
      <c r="DR641" s="982"/>
      <c r="DS641" s="1875"/>
      <c r="DT641" s="1866"/>
      <c r="DU641" s="982"/>
      <c r="DV641" s="982"/>
      <c r="DW641" s="982"/>
      <c r="DX641" s="982"/>
      <c r="DY641" s="1866"/>
      <c r="DZ641" s="982"/>
      <c r="EA641" s="982"/>
      <c r="EB641" s="982"/>
      <c r="EC641" s="1875"/>
      <c r="ED641" s="1866"/>
      <c r="EE641" s="982"/>
      <c r="EF641" s="982"/>
      <c r="EG641" s="982"/>
      <c r="EH641" s="1875"/>
      <c r="EI641" s="1866"/>
      <c r="EJ641" s="1866"/>
      <c r="EK641" s="1866"/>
      <c r="EL641" s="1866"/>
      <c r="EM641" s="1866"/>
      <c r="EN641" s="1866"/>
      <c r="EO641" s="1866"/>
      <c r="EP641" s="1866"/>
      <c r="EQ641" s="1866"/>
      <c r="ER641" s="1866"/>
      <c r="ES641" s="1866"/>
      <c r="ET641" s="1866"/>
      <c r="EU641" s="1866"/>
      <c r="EV641" s="1866"/>
      <c r="EW641" s="1866"/>
      <c r="EX641" s="1866"/>
    </row>
    <row r="642" spans="1:154">
      <c r="B642" s="454" t="s">
        <v>921</v>
      </c>
      <c r="C642" s="1989"/>
      <c r="D642" s="28"/>
      <c r="E642" s="28"/>
      <c r="F642" s="28"/>
      <c r="G642" s="28"/>
      <c r="H642" s="28"/>
      <c r="I642" s="30"/>
      <c r="J642" s="30"/>
      <c r="K642" s="30"/>
      <c r="L642" s="30"/>
      <c r="M642" s="30"/>
      <c r="N642" s="30"/>
      <c r="O642" s="30"/>
      <c r="P642" s="30"/>
      <c r="Q642" s="30"/>
      <c r="R642" s="30"/>
      <c r="S642" s="30"/>
      <c r="T642" s="30"/>
      <c r="U642" s="30"/>
      <c r="V642" s="30"/>
      <c r="W642" s="30"/>
      <c r="X642" s="308"/>
      <c r="Y642" s="30"/>
      <c r="Z642" s="30"/>
      <c r="AA642" s="30"/>
      <c r="AB642" s="30"/>
      <c r="AC642" s="308"/>
      <c r="AD642" s="30"/>
      <c r="AE642" s="30"/>
      <c r="AF642" s="30"/>
      <c r="AG642" s="30"/>
      <c r="AH642" s="308"/>
      <c r="AI642" s="30"/>
      <c r="AJ642" s="30"/>
      <c r="AK642" s="30"/>
      <c r="AL642" s="30"/>
      <c r="AM642" s="308"/>
      <c r="AN642" s="30"/>
      <c r="AO642" s="30"/>
      <c r="AP642" s="30"/>
      <c r="AQ642" s="30"/>
      <c r="AR642" s="308"/>
      <c r="AS642" s="30"/>
      <c r="AT642" s="30"/>
      <c r="AU642" s="30"/>
      <c r="AV642" s="30"/>
      <c r="AW642" s="308"/>
      <c r="AX642" s="30"/>
      <c r="AY642" s="30"/>
      <c r="AZ642" s="30"/>
      <c r="BA642" s="30"/>
      <c r="BB642" s="308"/>
      <c r="BC642" s="30"/>
      <c r="BD642" s="30"/>
      <c r="BE642" s="30"/>
      <c r="BF642" s="30"/>
      <c r="BG642" s="308"/>
      <c r="BH642" s="30"/>
      <c r="BI642" s="30"/>
      <c r="BJ642" s="30"/>
      <c r="BK642" s="30"/>
      <c r="BL642" s="308"/>
      <c r="BM642" s="30"/>
      <c r="BN642" s="30"/>
      <c r="BO642" s="30"/>
      <c r="BP642" s="30"/>
      <c r="BQ642" s="308"/>
      <c r="BR642" s="30"/>
      <c r="BS642" s="30"/>
      <c r="BT642" s="30"/>
      <c r="BU642" s="30"/>
      <c r="BV642" s="308"/>
      <c r="BW642" s="30"/>
      <c r="BX642" s="30"/>
      <c r="BY642" s="30"/>
      <c r="BZ642" s="30"/>
      <c r="CA642" s="308"/>
      <c r="CB642" s="30"/>
      <c r="CC642" s="30"/>
      <c r="CD642" s="30"/>
      <c r="CE642" s="30"/>
      <c r="CF642" s="308"/>
      <c r="CG642" s="30"/>
      <c r="CH642" s="30"/>
      <c r="CI642" s="30"/>
      <c r="CJ642" s="30"/>
      <c r="CK642" s="308"/>
      <c r="CL642" s="30"/>
      <c r="CM642" s="30"/>
      <c r="CN642" s="30"/>
      <c r="CO642" s="30"/>
      <c r="CP642" s="308"/>
      <c r="CQ642" s="30"/>
      <c r="CR642" s="926"/>
      <c r="CS642" s="926"/>
      <c r="CT642" s="926"/>
      <c r="CU642" s="1267"/>
      <c r="CV642" s="926"/>
      <c r="CW642" s="926"/>
      <c r="CX642" s="926">
        <f t="shared" ref="CX642:EG643" si="1562">IF(CS637=0, "NA", CX637/CS637-1)</f>
      </c>
      <c r="CY642" s="928">
        <f t="shared" si="1562"/>
      </c>
      <c r="CZ642" s="308">
        <f t="shared" si="1562"/>
      </c>
      <c r="DA642" s="926">
        <f t="shared" si="1562"/>
      </c>
      <c r="DB642" s="926">
        <f t="shared" si="1562"/>
      </c>
      <c r="DC642" s="926">
        <f t="shared" si="1562"/>
      </c>
      <c r="DD642" s="926">
        <f t="shared" si="1562"/>
      </c>
      <c r="DE642" s="1060">
        <f t="shared" si="1562"/>
      </c>
      <c r="DF642" s="926">
        <f t="shared" si="1562"/>
      </c>
      <c r="DG642" s="926">
        <f t="shared" si="1562"/>
      </c>
      <c r="DH642" s="926">
        <f t="shared" si="1562"/>
      </c>
      <c r="DI642" s="926">
        <f t="shared" si="1562"/>
      </c>
      <c r="DJ642" s="1060">
        <f t="shared" si="1562"/>
      </c>
      <c r="DK642" s="958">
        <f t="shared" si="1562"/>
      </c>
      <c r="DL642" s="926">
        <f t="shared" si="1562"/>
      </c>
      <c r="DM642" s="926">
        <f t="shared" si="1562"/>
      </c>
      <c r="DN642" s="928">
        <f t="shared" si="1562"/>
      </c>
      <c r="DO642" s="928">
        <f t="shared" si="1562"/>
      </c>
      <c r="DP642" s="926">
        <f t="shared" si="1562"/>
      </c>
      <c r="DQ642" s="926">
        <f t="shared" si="1562"/>
      </c>
      <c r="DR642" s="926">
        <f t="shared" si="1562"/>
      </c>
      <c r="DS642" s="928">
        <f t="shared" si="1562"/>
      </c>
      <c r="DT642" s="1060">
        <f t="shared" si="1562"/>
      </c>
      <c r="DU642" s="926">
        <f t="shared" si="1562"/>
      </c>
      <c r="DV642" s="926">
        <f t="shared" si="1562"/>
      </c>
      <c r="DW642" s="926">
        <f t="shared" si="1562"/>
      </c>
      <c r="DX642" s="926">
        <f t="shared" si="1562"/>
      </c>
      <c r="DY642" s="1060">
        <f t="shared" si="1562"/>
      </c>
      <c r="DZ642" s="926">
        <f t="shared" si="1562"/>
      </c>
      <c r="EA642" s="926">
        <f t="shared" si="1562"/>
      </c>
      <c r="EB642" s="926">
        <f t="shared" si="1562"/>
      </c>
      <c r="EC642" s="928">
        <f t="shared" si="1562"/>
      </c>
      <c r="ED642" s="1060">
        <f t="shared" si="1562"/>
      </c>
      <c r="EE642" s="926">
        <f t="shared" si="1562"/>
      </c>
      <c r="EF642" s="926">
        <f t="shared" si="1562"/>
      </c>
      <c r="EG642" s="926">
        <f t="shared" si="1562"/>
      </c>
      <c r="EH642" s="928">
        <f t="shared" ref="EH642:EH643" si="1563">IF(EC637=0, "NA", EH637/EC637-1)</f>
      </c>
      <c r="EI642" s="1060">
        <f>IF(ED637=0, "NA", EI637/ED637-1)</f>
      </c>
      <c r="EJ642" s="1060">
        <f t="shared" ref="EJ642:EN643" si="1564">IF(EI637=0, "NA", EJ637/EI637-1)</f>
      </c>
      <c r="EK642" s="1060">
        <f t="shared" si="1564"/>
      </c>
      <c r="EL642" s="1060">
        <f t="shared" si="1564"/>
      </c>
      <c r="EM642" s="1060">
        <f t="shared" si="1564"/>
      </c>
      <c r="EN642" s="1060">
        <f t="shared" si="1564"/>
      </c>
      <c r="EO642" s="1060">
        <f t="shared" ref="EO642:EO643" si="1565">IF(EN637=0, "NA", EO637/EN637-1)</f>
      </c>
      <c r="EP642" s="1060">
        <f t="shared" ref="EP642:EP643" si="1566">IF(EO637=0, "NA", EP637/EO637-1)</f>
      </c>
      <c r="EQ642" s="1060">
        <f t="shared" ref="EQ642:EQ643" si="1567">IF(EP637=0, "NA", EQ637/EP637-1)</f>
      </c>
      <c r="ER642" s="1060">
        <f t="shared" ref="ER642:ER643" si="1568">IF(EQ637=0, "NA", ER637/EQ637-1)</f>
      </c>
      <c r="ES642" s="1060">
        <f t="shared" ref="ES642:ES643" si="1569">IF(ER637=0, "NA", ES637/ER637-1)</f>
      </c>
      <c r="ET642" s="1060"/>
      <c r="EU642" s="1060"/>
      <c r="EV642" s="1060"/>
      <c r="EW642" s="1060"/>
      <c r="EX642" s="1060"/>
    </row>
    <row r="643" spans="1:154">
      <c r="B643" s="454" t="s">
        <v>412</v>
      </c>
      <c r="C643" s="1989"/>
      <c r="D643" s="28"/>
      <c r="E643" s="28"/>
      <c r="F643" s="28"/>
      <c r="G643" s="28"/>
      <c r="H643" s="28"/>
      <c r="I643" s="30"/>
      <c r="J643" s="30"/>
      <c r="K643" s="30"/>
      <c r="L643" s="30"/>
      <c r="M643" s="30"/>
      <c r="N643" s="30"/>
      <c r="O643" s="30"/>
      <c r="P643" s="30"/>
      <c r="Q643" s="30"/>
      <c r="R643" s="30"/>
      <c r="S643" s="30"/>
      <c r="T643" s="30"/>
      <c r="U643" s="30"/>
      <c r="V643" s="30"/>
      <c r="W643" s="30"/>
      <c r="X643" s="308"/>
      <c r="Y643" s="30"/>
      <c r="Z643" s="30"/>
      <c r="AA643" s="30"/>
      <c r="AB643" s="30"/>
      <c r="AC643" s="308"/>
      <c r="AD643" s="30"/>
      <c r="AE643" s="30"/>
      <c r="AF643" s="30"/>
      <c r="AG643" s="30"/>
      <c r="AH643" s="308"/>
      <c r="AI643" s="30"/>
      <c r="AJ643" s="30"/>
      <c r="AK643" s="30"/>
      <c r="AL643" s="30"/>
      <c r="AM643" s="308"/>
      <c r="AN643" s="30"/>
      <c r="AO643" s="30"/>
      <c r="AP643" s="30"/>
      <c r="AQ643" s="30"/>
      <c r="AR643" s="308"/>
      <c r="AS643" s="30"/>
      <c r="AT643" s="30"/>
      <c r="AU643" s="30"/>
      <c r="AV643" s="30"/>
      <c r="AW643" s="308"/>
      <c r="AX643" s="30"/>
      <c r="AY643" s="30"/>
      <c r="AZ643" s="30"/>
      <c r="BA643" s="30"/>
      <c r="BB643" s="308"/>
      <c r="BC643" s="30"/>
      <c r="BD643" s="30"/>
      <c r="BE643" s="30"/>
      <c r="BF643" s="30"/>
      <c r="BG643" s="308"/>
      <c r="BH643" s="30"/>
      <c r="BI643" s="30"/>
      <c r="BJ643" s="30"/>
      <c r="BK643" s="30"/>
      <c r="BL643" s="308"/>
      <c r="BM643" s="30"/>
      <c r="BN643" s="30"/>
      <c r="BO643" s="30"/>
      <c r="BP643" s="30"/>
      <c r="BQ643" s="308"/>
      <c r="BR643" s="30"/>
      <c r="BS643" s="30"/>
      <c r="BT643" s="30"/>
      <c r="BU643" s="30"/>
      <c r="BV643" s="308"/>
      <c r="BW643" s="30"/>
      <c r="BX643" s="30"/>
      <c r="BY643" s="30"/>
      <c r="BZ643" s="30"/>
      <c r="CA643" s="308"/>
      <c r="CB643" s="30"/>
      <c r="CC643" s="30"/>
      <c r="CD643" s="30"/>
      <c r="CE643" s="30"/>
      <c r="CF643" s="308"/>
      <c r="CG643" s="30"/>
      <c r="CH643" s="30"/>
      <c r="CI643" s="30"/>
      <c r="CJ643" s="30"/>
      <c r="CK643" s="308"/>
      <c r="CL643" s="30"/>
      <c r="CM643" s="30"/>
      <c r="CN643" s="30"/>
      <c r="CO643" s="30"/>
      <c r="CP643" s="308"/>
      <c r="CQ643" s="30"/>
      <c r="CR643" s="926"/>
      <c r="CS643" s="926"/>
      <c r="CT643" s="926"/>
      <c r="CU643" s="1267"/>
      <c r="CV643" s="926"/>
      <c r="CW643" s="926"/>
      <c r="CX643" s="926">
        <f t="shared" ref="CX643:DD643" si="1570">IF(CS638=0, "NA", CX638/CS638-1)</f>
      </c>
      <c r="CY643" s="928">
        <f t="shared" si="1570"/>
      </c>
      <c r="CZ643" s="308">
        <f>IF(CU638=0, "NA", CZ638/CU638-1)</f>
      </c>
      <c r="DA643" s="926">
        <f>IF(CV638=0, "NA", DA638/CV638-1)</f>
      </c>
      <c r="DB643" s="926">
        <f t="shared" si="1570"/>
      </c>
      <c r="DC643" s="926">
        <f t="shared" si="1570"/>
      </c>
      <c r="DD643" s="926">
        <f t="shared" si="1570"/>
      </c>
      <c r="DE643" s="1060">
        <f t="shared" ref="DE643:DT643" si="1571">IF(CZ638=0, "NA", DE638/CZ638-1)</f>
      </c>
      <c r="DF643" s="926">
        <f t="shared" si="1571"/>
      </c>
      <c r="DG643" s="926">
        <f t="shared" si="1571"/>
      </c>
      <c r="DH643" s="926">
        <f t="shared" si="1571"/>
      </c>
      <c r="DI643" s="926">
        <f t="shared" si="1571"/>
      </c>
      <c r="DJ643" s="1060">
        <f t="shared" si="1571"/>
      </c>
      <c r="DK643" s="958">
        <f t="shared" si="1571"/>
      </c>
      <c r="DL643" s="926">
        <f t="shared" si="1571"/>
      </c>
      <c r="DM643" s="926">
        <f t="shared" si="1571"/>
      </c>
      <c r="DN643" s="928">
        <f t="shared" si="1571"/>
      </c>
      <c r="DO643" s="928">
        <f t="shared" si="1571"/>
      </c>
      <c r="DP643" s="926">
        <f t="shared" si="1571"/>
      </c>
      <c r="DQ643" s="926">
        <f t="shared" si="1571"/>
      </c>
      <c r="DR643" s="926">
        <f t="shared" si="1571"/>
      </c>
      <c r="DS643" s="928">
        <f t="shared" si="1571"/>
      </c>
      <c r="DT643" s="1060">
        <f t="shared" si="1571"/>
      </c>
      <c r="DU643" s="926">
        <f t="shared" ref="DU643:DZ643" si="1572">IF(DP638=0, "NA", DU638/DP638-1)</f>
      </c>
      <c r="DV643" s="926">
        <f t="shared" si="1572"/>
      </c>
      <c r="DW643" s="926">
        <f t="shared" si="1572"/>
      </c>
      <c r="DX643" s="926">
        <f t="shared" si="1572"/>
      </c>
      <c r="DY643" s="1060">
        <f t="shared" si="1572"/>
      </c>
      <c r="DZ643" s="926">
        <f t="shared" si="1572"/>
      </c>
      <c r="EA643" s="926">
        <f t="shared" si="1562"/>
      </c>
      <c r="EB643" s="926">
        <f t="shared" si="1562"/>
      </c>
      <c r="EC643" s="928">
        <f t="shared" si="1562"/>
      </c>
      <c r="ED643" s="1060">
        <f t="shared" si="1562"/>
      </c>
      <c r="EE643" s="926">
        <f t="shared" si="1562"/>
      </c>
      <c r="EF643" s="926">
        <f t="shared" si="1562"/>
      </c>
      <c r="EG643" s="926">
        <f t="shared" si="1562"/>
      </c>
      <c r="EH643" s="928">
        <f t="shared" si="1563"/>
      </c>
      <c r="EI643" s="1060">
        <f>IF(ED638=0, "NA", EI638/ED638-1)</f>
      </c>
      <c r="EJ643" s="1060">
        <f t="shared" si="1564"/>
      </c>
      <c r="EK643" s="1060">
        <f t="shared" si="1564"/>
      </c>
      <c r="EL643" s="1060">
        <f t="shared" si="1564"/>
      </c>
      <c r="EM643" s="1060">
        <f t="shared" si="1564"/>
      </c>
      <c r="EN643" s="1060">
        <f t="shared" si="1564"/>
      </c>
      <c r="EO643" s="1060">
        <f t="shared" si="1565"/>
      </c>
      <c r="EP643" s="1060">
        <f t="shared" si="1566"/>
      </c>
      <c r="EQ643" s="1060">
        <f t="shared" si="1567"/>
      </c>
      <c r="ER643" s="1060">
        <f t="shared" si="1568"/>
      </c>
      <c r="ES643" s="1060">
        <f t="shared" si="1569"/>
      </c>
      <c r="ET643" s="1060"/>
      <c r="EU643" s="1060"/>
      <c r="EV643" s="1060"/>
      <c r="EW643" s="1060"/>
      <c r="EX643" s="1060"/>
    </row>
    <row r="644" spans="1:154">
      <c r="B644" s="454" t="s">
        <v>256</v>
      </c>
      <c r="C644" s="1989"/>
      <c r="D644" s="28"/>
      <c r="E644" s="28"/>
      <c r="F644" s="28"/>
      <c r="G644" s="28"/>
      <c r="H644" s="28"/>
      <c r="I644" s="30"/>
      <c r="J644" s="30"/>
      <c r="K644" s="30"/>
      <c r="L644" s="30"/>
      <c r="M644" s="30"/>
      <c r="N644" s="30"/>
      <c r="O644" s="30"/>
      <c r="P644" s="30"/>
      <c r="Q644" s="30"/>
      <c r="R644" s="30"/>
      <c r="S644" s="30"/>
      <c r="T644" s="30"/>
      <c r="U644" s="30"/>
      <c r="V644" s="30"/>
      <c r="W644" s="30"/>
      <c r="X644" s="308"/>
      <c r="Y644" s="30"/>
      <c r="Z644" s="30"/>
      <c r="AA644" s="30"/>
      <c r="AB644" s="30"/>
      <c r="AC644" s="308"/>
      <c r="AD644" s="30"/>
      <c r="AE644" s="30"/>
      <c r="AF644" s="30"/>
      <c r="AG644" s="30"/>
      <c r="AH644" s="308"/>
      <c r="AI644" s="30"/>
      <c r="AJ644" s="30"/>
      <c r="AK644" s="30"/>
      <c r="AL644" s="30"/>
      <c r="AM644" s="308"/>
      <c r="AN644" s="30"/>
      <c r="AO644" s="30"/>
      <c r="AP644" s="30"/>
      <c r="AQ644" s="30"/>
      <c r="AR644" s="308"/>
      <c r="AS644" s="30"/>
      <c r="AT644" s="30"/>
      <c r="AU644" s="30"/>
      <c r="AV644" s="30"/>
      <c r="AW644" s="308"/>
      <c r="AX644" s="30"/>
      <c r="AY644" s="30"/>
      <c r="AZ644" s="30"/>
      <c r="BA644" s="30"/>
      <c r="BB644" s="308"/>
      <c r="BC644" s="30"/>
      <c r="BD644" s="30"/>
      <c r="BE644" s="30"/>
      <c r="BF644" s="30"/>
      <c r="BG644" s="308"/>
      <c r="BH644" s="30"/>
      <c r="BI644" s="30"/>
      <c r="BJ644" s="30"/>
      <c r="BK644" s="30"/>
      <c r="BL644" s="308"/>
      <c r="BM644" s="30"/>
      <c r="BN644" s="30"/>
      <c r="BO644" s="30"/>
      <c r="BP644" s="30"/>
      <c r="BQ644" s="308"/>
      <c r="BR644" s="30"/>
      <c r="BS644" s="30"/>
      <c r="BT644" s="30"/>
      <c r="BU644" s="30"/>
      <c r="BV644" s="308"/>
      <c r="BW644" s="30"/>
      <c r="BX644" s="30"/>
      <c r="BY644" s="30"/>
      <c r="BZ644" s="30"/>
      <c r="CA644" s="308"/>
      <c r="CB644" s="30"/>
      <c r="CC644" s="30"/>
      <c r="CD644" s="30"/>
      <c r="CE644" s="30"/>
      <c r="CF644" s="308"/>
      <c r="CG644" s="30"/>
      <c r="CH644" s="30"/>
      <c r="CI644" s="30"/>
      <c r="CJ644" s="30"/>
      <c r="CK644" s="308"/>
      <c r="CL644" s="30"/>
      <c r="CM644" s="30"/>
      <c r="CN644" s="30"/>
      <c r="CO644" s="30"/>
      <c r="CP644" s="308"/>
      <c r="CQ644" s="30"/>
      <c r="CR644" s="926"/>
      <c r="CS644" s="926"/>
      <c r="CT644" s="926"/>
      <c r="CU644" s="1267"/>
      <c r="CV644" s="926"/>
      <c r="CW644" s="926"/>
      <c r="CX644" s="926">
        <f t="shared" ref="CX644:EI644" si="1573">CX643-CX$21</f>
      </c>
      <c r="CY644" s="928">
        <f t="shared" si="1573"/>
      </c>
      <c r="CZ644" s="308">
        <f t="shared" si="1573"/>
      </c>
      <c r="DA644" s="926">
        <f t="shared" si="1573"/>
      </c>
      <c r="DB644" s="926">
        <f t="shared" si="1573"/>
      </c>
      <c r="DC644" s="926">
        <f t="shared" si="1573"/>
      </c>
      <c r="DD644" s="926">
        <f t="shared" si="1573"/>
      </c>
      <c r="DE644" s="1060">
        <f t="shared" si="1573"/>
      </c>
      <c r="DF644" s="926">
        <f t="shared" si="1573"/>
      </c>
      <c r="DG644" s="926">
        <f t="shared" si="1573"/>
      </c>
      <c r="DH644" s="926">
        <f t="shared" si="1573"/>
      </c>
      <c r="DI644" s="926">
        <f t="shared" si="1573"/>
      </c>
      <c r="DJ644" s="1060">
        <f t="shared" si="1573"/>
      </c>
      <c r="DK644" s="958">
        <f t="shared" si="1573"/>
      </c>
      <c r="DL644" s="926">
        <f t="shared" si="1573"/>
      </c>
      <c r="DM644" s="926">
        <f t="shared" si="1573"/>
      </c>
      <c r="DN644" s="928">
        <f t="shared" si="1573"/>
      </c>
      <c r="DO644" s="928">
        <f t="shared" si="1573"/>
      </c>
      <c r="DP644" s="926">
        <f t="shared" si="1573"/>
      </c>
      <c r="DQ644" s="926">
        <f t="shared" si="1573"/>
      </c>
      <c r="DR644" s="926">
        <f t="shared" si="1573"/>
      </c>
      <c r="DS644" s="928">
        <f t="shared" si="1573"/>
      </c>
      <c r="DT644" s="1060">
        <f t="shared" si="1573"/>
      </c>
      <c r="DU644" s="926">
        <f>DU643-(-8%)</f>
      </c>
      <c r="DV644" s="926">
        <f>DV643-(-3.7%)</f>
      </c>
      <c r="DW644" s="926">
        <f>DW643-(-1.2%)</f>
      </c>
      <c r="DX644" s="926">
        <f>DX643-(-2.3%)</f>
      </c>
      <c r="DY644" s="1060">
        <f t="shared" si="1573"/>
      </c>
      <c r="DZ644" s="926">
        <f>DZ643-(-6.8%)</f>
      </c>
      <c r="EA644" s="926">
        <f>EA643-(-8.6%)</f>
      </c>
      <c r="EB644" s="926">
        <f>EB643-(-5.2%)</f>
      </c>
      <c r="EC644" s="926">
        <f>EC643-(-4.4%)</f>
      </c>
      <c r="ED644" s="1060">
        <f t="shared" ref="ED644" si="1574">ED643-ED$21</f>
      </c>
      <c r="EE644" s="926">
        <f>EE643-(-6.8%)</f>
      </c>
      <c r="EF644" s="926">
        <f>EF643-(-8.6%)</f>
      </c>
      <c r="EG644" s="926">
        <f>EG643-(-5.2%)</f>
      </c>
      <c r="EH644" s="928">
        <f>EH643-EH$21</f>
      </c>
      <c r="EI644" s="1060">
        <f t="shared" si="1573"/>
      </c>
      <c r="EJ644" s="1060">
        <f>EJ643-EJ$21</f>
      </c>
      <c r="EK644" s="1060">
        <f>EK643-EK$21</f>
      </c>
      <c r="EL644" s="1060">
        <f>EL643-EL$21</f>
      </c>
      <c r="EM644" s="1060">
        <f>EM643-EM$21</f>
      </c>
      <c r="EN644" s="1060">
        <f>EN643-EN$21</f>
      </c>
      <c r="EO644" s="1060">
        <f t="shared" ref="EO644:ES644" si="1575">EO643-EO$21</f>
      </c>
      <c r="EP644" s="1060">
        <f t="shared" si="1575"/>
      </c>
      <c r="EQ644" s="1060">
        <f t="shared" si="1575"/>
      </c>
      <c r="ER644" s="1060">
        <f t="shared" si="1575"/>
      </c>
      <c r="ES644" s="1060">
        <f t="shared" si="1575"/>
      </c>
      <c r="ET644" s="1060"/>
      <c r="EU644" s="1060"/>
      <c r="EV644" s="1060"/>
      <c r="EW644" s="1060"/>
      <c r="EX644" s="1060"/>
    </row>
    <row r="645" spans="1:154">
      <c r="B645" s="454" t="s">
        <v>413</v>
      </c>
      <c r="C645" s="1989"/>
      <c r="D645" s="28"/>
      <c r="E645" s="28"/>
      <c r="F645" s="28"/>
      <c r="G645" s="28"/>
      <c r="H645" s="28"/>
      <c r="I645" s="30"/>
      <c r="J645" s="30"/>
      <c r="K645" s="30"/>
      <c r="L645" s="30"/>
      <c r="M645" s="30"/>
      <c r="N645" s="30"/>
      <c r="O645" s="30"/>
      <c r="P645" s="30"/>
      <c r="Q645" s="30"/>
      <c r="R645" s="30"/>
      <c r="S645" s="30"/>
      <c r="T645" s="30"/>
      <c r="U645" s="30"/>
      <c r="V645" s="30"/>
      <c r="W645" s="30"/>
      <c r="X645" s="308"/>
      <c r="Y645" s="30"/>
      <c r="Z645" s="30"/>
      <c r="AA645" s="30"/>
      <c r="AB645" s="30"/>
      <c r="AC645" s="308"/>
      <c r="AD645" s="30"/>
      <c r="AE645" s="30"/>
      <c r="AF645" s="30"/>
      <c r="AG645" s="30"/>
      <c r="AH645" s="308"/>
      <c r="AI645" s="30"/>
      <c r="AJ645" s="30"/>
      <c r="AK645" s="30"/>
      <c r="AL645" s="30"/>
      <c r="AM645" s="308"/>
      <c r="AN645" s="30"/>
      <c r="AO645" s="30"/>
      <c r="AP645" s="30"/>
      <c r="AQ645" s="30"/>
      <c r="AR645" s="308"/>
      <c r="AS645" s="30"/>
      <c r="AT645" s="30"/>
      <c r="AU645" s="30"/>
      <c r="AV645" s="30"/>
      <c r="AW645" s="308"/>
      <c r="AX645" s="30"/>
      <c r="AY645" s="30"/>
      <c r="AZ645" s="30"/>
      <c r="BA645" s="30"/>
      <c r="BB645" s="308"/>
      <c r="BC645" s="30"/>
      <c r="BD645" s="30"/>
      <c r="BE645" s="30"/>
      <c r="BF645" s="30"/>
      <c r="BG645" s="308"/>
      <c r="BH645" s="30"/>
      <c r="BI645" s="30"/>
      <c r="BJ645" s="30"/>
      <c r="BK645" s="30"/>
      <c r="BL645" s="308"/>
      <c r="BM645" s="30"/>
      <c r="BN645" s="30"/>
      <c r="BO645" s="30"/>
      <c r="BP645" s="30"/>
      <c r="BQ645" s="308"/>
      <c r="BR645" s="30"/>
      <c r="BS645" s="30"/>
      <c r="BT645" s="30"/>
      <c r="BU645" s="30"/>
      <c r="BV645" s="308"/>
      <c r="BW645" s="30"/>
      <c r="BX645" s="30"/>
      <c r="BY645" s="30"/>
      <c r="BZ645" s="30"/>
      <c r="CA645" s="308"/>
      <c r="CB645" s="30"/>
      <c r="CC645" s="30"/>
      <c r="CD645" s="30"/>
      <c r="CE645" s="30"/>
      <c r="CF645" s="308"/>
      <c r="CG645" s="30"/>
      <c r="CH645" s="30"/>
      <c r="CI645" s="30"/>
      <c r="CJ645" s="30"/>
      <c r="CK645" s="308"/>
      <c r="CL645" s="30"/>
      <c r="CM645" s="30"/>
      <c r="CN645" s="30"/>
      <c r="CO645" s="30"/>
      <c r="CP645" s="308"/>
      <c r="CQ645" s="30"/>
      <c r="CR645" s="926"/>
      <c r="CS645" s="926"/>
      <c r="CT645" s="926"/>
      <c r="CU645" s="1267"/>
      <c r="CV645" s="926"/>
      <c r="CW645" s="926"/>
      <c r="CX645" s="926">
        <f t="shared" ref="CX645:DD645" si="1576">IF(CS639=0, "NA", CX639/CS639-1)</f>
      </c>
      <c r="CY645" s="928">
        <f t="shared" si="1576"/>
      </c>
      <c r="CZ645" s="308">
        <f>IF(CU639=0, "NA", CZ639/CU639-1)</f>
      </c>
      <c r="DA645" s="926">
        <f>IF(CV639=0, "NA", DA639/CV639-1)</f>
      </c>
      <c r="DB645" s="926">
        <f t="shared" si="1576"/>
      </c>
      <c r="DC645" s="926">
        <f t="shared" si="1576"/>
      </c>
      <c r="DD645" s="926">
        <f t="shared" si="1576"/>
      </c>
      <c r="DE645" s="1060">
        <f t="shared" ref="DE645:DX645" si="1577">IF(CZ639=0, "NA", DE639/CZ639-1)</f>
      </c>
      <c r="DF645" s="926">
        <f t="shared" si="1577"/>
      </c>
      <c r="DG645" s="926">
        <f t="shared" si="1577"/>
      </c>
      <c r="DH645" s="926">
        <f t="shared" si="1577"/>
      </c>
      <c r="DI645" s="926">
        <f t="shared" si="1577"/>
      </c>
      <c r="DJ645" s="1060">
        <f t="shared" si="1577"/>
      </c>
      <c r="DK645" s="958">
        <f t="shared" si="1577"/>
      </c>
      <c r="DL645" s="926">
        <f t="shared" si="1577"/>
      </c>
      <c r="DM645" s="926">
        <f t="shared" si="1577"/>
      </c>
      <c r="DN645" s="928">
        <f t="shared" si="1577"/>
      </c>
      <c r="DO645" s="928">
        <f t="shared" si="1577"/>
      </c>
      <c r="DP645" s="926">
        <f t="shared" si="1577"/>
      </c>
      <c r="DQ645" s="926">
        <f t="shared" si="1577"/>
      </c>
      <c r="DR645" s="926">
        <f t="shared" si="1577"/>
      </c>
      <c r="DS645" s="928">
        <f t="shared" si="1577"/>
      </c>
      <c r="DT645" s="1060">
        <f t="shared" si="1577"/>
      </c>
      <c r="DU645" s="926">
        <f t="shared" si="1577"/>
      </c>
      <c r="DV645" s="926">
        <f t="shared" si="1577"/>
      </c>
      <c r="DW645" s="926">
        <f t="shared" si="1577"/>
      </c>
      <c r="DX645" s="926">
        <f t="shared" si="1577"/>
      </c>
      <c r="DY645" s="1060">
        <f t="shared" ref="DY645:EH645" si="1578">IF(DT639=0, "NA", DY639/DT639-1)</f>
      </c>
      <c r="DZ645" s="926">
        <f t="shared" si="1578"/>
      </c>
      <c r="EA645" s="926">
        <f t="shared" si="1578"/>
      </c>
      <c r="EB645" s="926">
        <f t="shared" si="1578"/>
      </c>
      <c r="EC645" s="928">
        <f t="shared" si="1578"/>
      </c>
      <c r="ED645" s="1060">
        <f t="shared" si="1578"/>
      </c>
      <c r="EE645" s="926">
        <f t="shared" si="1578"/>
      </c>
      <c r="EF645" s="926">
        <f t="shared" si="1578"/>
      </c>
      <c r="EG645" s="926">
        <f t="shared" si="1578"/>
      </c>
      <c r="EH645" s="928">
        <f t="shared" si="1578"/>
      </c>
      <c r="EI645" s="1060">
        <f>IF(ED639=0, "NA", EI639/ED639-1)</f>
      </c>
      <c r="EJ645" s="1060">
        <f t="shared" ref="EJ645:EN645" si="1579">IF(EI639=0, "NA", EJ639/EI639-1)</f>
      </c>
      <c r="EK645" s="1060">
        <f t="shared" si="1579"/>
      </c>
      <c r="EL645" s="1060">
        <f t="shared" si="1579"/>
      </c>
      <c r="EM645" s="1060">
        <f t="shared" si="1579"/>
      </c>
      <c r="EN645" s="1060">
        <f t="shared" si="1579"/>
      </c>
      <c r="EO645" s="1060">
        <f t="shared" ref="EO645" si="1580">IF(EN639=0, "NA", EO639/EN639-1)</f>
      </c>
      <c r="EP645" s="1060">
        <f t="shared" ref="EP645" si="1581">IF(EO639=0, "NA", EP639/EO639-1)</f>
      </c>
      <c r="EQ645" s="1060">
        <f t="shared" ref="EQ645" si="1582">IF(EP639=0, "NA", EQ639/EP639-1)</f>
      </c>
      <c r="ER645" s="1060">
        <f t="shared" ref="ER645" si="1583">IF(EQ639=0, "NA", ER639/EQ639-1)</f>
      </c>
      <c r="ES645" s="1060">
        <f t="shared" ref="ES645" si="1584">IF(ER639=0, "NA", ES639/ER639-1)</f>
      </c>
      <c r="ET645" s="1060"/>
      <c r="EU645" s="1060"/>
      <c r="EV645" s="1060"/>
      <c r="EW645" s="1060"/>
      <c r="EX645" s="1060"/>
    </row>
    <row r="646" spans="1:154" ht="12.75" customHeight="1" collapsed="1">
      <c r="A646" s="3277"/>
      <c r="B646" s="342"/>
      <c r="C646" s="1989"/>
      <c r="D646" s="33"/>
      <c r="E646" s="33"/>
      <c r="F646" s="33"/>
      <c r="G646" s="33"/>
      <c r="H646" s="33"/>
      <c r="I646" s="31"/>
      <c r="J646" s="33"/>
      <c r="K646" s="33"/>
      <c r="L646" s="33"/>
      <c r="M646" s="33"/>
      <c r="N646" s="31"/>
      <c r="O646" s="33"/>
      <c r="P646" s="33"/>
      <c r="Q646" s="33"/>
      <c r="R646" s="33"/>
      <c r="S646" s="31"/>
      <c r="T646" s="33"/>
      <c r="U646" s="33"/>
      <c r="V646" s="33"/>
      <c r="W646" s="33"/>
      <c r="X646" s="312"/>
      <c r="Y646" s="33"/>
      <c r="Z646" s="33"/>
      <c r="AA646" s="33"/>
      <c r="AB646" s="33"/>
      <c r="AC646" s="312"/>
      <c r="AD646" s="33"/>
      <c r="AE646" s="33"/>
      <c r="AF646" s="33"/>
      <c r="AG646" s="33"/>
      <c r="AH646" s="312"/>
      <c r="AI646" s="33"/>
      <c r="AJ646" s="33"/>
      <c r="AK646" s="33"/>
      <c r="AL646" s="33"/>
      <c r="AM646" s="312"/>
      <c r="AN646" s="33"/>
      <c r="AO646" s="33"/>
      <c r="AP646" s="33"/>
      <c r="AQ646" s="33"/>
      <c r="AR646" s="312"/>
      <c r="AS646" s="28"/>
      <c r="AT646" s="28"/>
      <c r="AU646" s="28"/>
      <c r="AV646" s="28"/>
      <c r="AW646" s="312"/>
      <c r="AX646" s="28"/>
      <c r="AY646" s="28"/>
      <c r="AZ646" s="28"/>
      <c r="BA646" s="28"/>
      <c r="BB646" s="312"/>
      <c r="BC646" s="28"/>
      <c r="BD646" s="28"/>
      <c r="BE646" s="28"/>
      <c r="BF646" s="28"/>
      <c r="BG646" s="312"/>
      <c r="BH646" s="28"/>
      <c r="BI646" s="28"/>
      <c r="BJ646" s="28"/>
      <c r="BK646" s="28"/>
      <c r="BL646" s="312"/>
      <c r="BM646" s="28"/>
      <c r="BN646" s="28"/>
      <c r="BO646" s="28"/>
      <c r="BP646" s="28"/>
      <c r="BQ646" s="312"/>
      <c r="BR646" s="28"/>
      <c r="BS646" s="28"/>
      <c r="BT646" s="28"/>
      <c r="BU646" s="28"/>
      <c r="BV646" s="312"/>
      <c r="BW646" s="28"/>
      <c r="BX646" s="28"/>
      <c r="BY646" s="28"/>
      <c r="BZ646" s="28"/>
      <c r="CA646" s="312"/>
      <c r="CB646" s="28"/>
      <c r="CC646" s="28"/>
      <c r="CD646" s="28"/>
      <c r="CE646" s="28"/>
      <c r="CF646" s="312"/>
      <c r="CG646" s="28"/>
      <c r="CH646" s="28"/>
      <c r="CI646" s="28"/>
      <c r="CJ646" s="28"/>
      <c r="CK646" s="312"/>
      <c r="CL646" s="961"/>
      <c r="CM646" s="933"/>
      <c r="CN646" s="933"/>
      <c r="CO646" s="28"/>
      <c r="CP646" s="312"/>
      <c r="CQ646" s="933"/>
      <c r="CR646" s="933"/>
      <c r="CS646" s="933"/>
      <c r="CT646" s="933"/>
      <c r="CU646" s="312"/>
      <c r="CV646" s="933"/>
      <c r="CW646" s="933"/>
      <c r="CX646" s="933"/>
      <c r="CY646" s="933"/>
      <c r="CZ646" s="312"/>
      <c r="DA646" s="933"/>
      <c r="DB646" s="933"/>
      <c r="DC646" s="933"/>
      <c r="DD646" s="933"/>
      <c r="DE646" s="445"/>
      <c r="DF646" s="982"/>
      <c r="DG646" s="982"/>
      <c r="DH646" s="982"/>
      <c r="DI646" s="982"/>
      <c r="DJ646" s="445"/>
      <c r="DK646" s="1800"/>
      <c r="DL646" s="444"/>
      <c r="DM646" s="444"/>
      <c r="DN646" s="1788"/>
      <c r="DO646" s="1788"/>
      <c r="DP646" s="444"/>
      <c r="DQ646" s="444"/>
      <c r="DR646" s="444"/>
      <c r="DS646" s="1788"/>
      <c r="DT646" s="445"/>
      <c r="DU646" s="982"/>
      <c r="DV646" s="982"/>
      <c r="DW646" s="982"/>
      <c r="DX646" s="1875"/>
      <c r="DY646" s="445"/>
      <c r="DZ646" s="982"/>
      <c r="EA646" s="982"/>
      <c r="EB646" s="982"/>
      <c r="EC646" s="1875"/>
      <c r="ED646" s="1866"/>
      <c r="EE646" s="982"/>
      <c r="EF646" s="982"/>
      <c r="EG646" s="982"/>
      <c r="EH646" s="1875"/>
      <c r="EI646" s="445"/>
      <c r="EJ646" s="445"/>
      <c r="EK646" s="445"/>
      <c r="EL646" s="445"/>
      <c r="EM646" s="445"/>
      <c r="EN646" s="445"/>
      <c r="EO646" s="445"/>
      <c r="EP646" s="445"/>
      <c r="EQ646" s="445"/>
      <c r="ER646" s="445"/>
      <c r="ES646" s="445"/>
      <c r="ET646" s="445"/>
      <c r="EU646" s="445"/>
      <c r="EV646" s="445"/>
      <c r="EW646" s="445"/>
      <c r="EX646" s="445"/>
    </row>
    <row r="647" spans="1:154">
      <c r="A647" s="3277"/>
      <c r="B647" s="1389" t="s">
        <v>624</v>
      </c>
      <c r="C647" s="1989"/>
      <c r="D647" s="28"/>
      <c r="E647" s="28"/>
      <c r="F647" s="28"/>
      <c r="G647" s="28"/>
      <c r="H647" s="28"/>
      <c r="I647" s="28"/>
      <c r="J647" s="28"/>
      <c r="K647" s="28"/>
      <c r="L647" s="28"/>
      <c r="M647" s="28"/>
      <c r="N647" s="28"/>
      <c r="O647" s="28"/>
      <c r="P647" s="28"/>
      <c r="Q647" s="28"/>
      <c r="R647" s="28"/>
      <c r="S647" s="28"/>
      <c r="T647" s="28"/>
      <c r="U647" s="28"/>
      <c r="V647" s="28"/>
      <c r="W647" s="28"/>
      <c r="X647" s="312"/>
      <c r="Y647" s="28"/>
      <c r="Z647" s="28"/>
      <c r="AA647" s="28"/>
      <c r="AB647" s="28"/>
      <c r="AC647" s="312"/>
      <c r="AD647" s="28"/>
      <c r="AE647" s="28"/>
      <c r="AF647" s="28"/>
      <c r="AG647" s="28"/>
      <c r="AH647" s="312"/>
      <c r="AI647" s="28"/>
      <c r="AJ647" s="28"/>
      <c r="AK647" s="28"/>
      <c r="AL647" s="28"/>
      <c r="AM647" s="312"/>
      <c r="AN647" s="28"/>
      <c r="AO647" s="28"/>
      <c r="AP647" s="28"/>
      <c r="AQ647" s="28"/>
      <c r="AR647" s="312"/>
      <c r="AS647" s="28"/>
      <c r="AT647" s="28"/>
      <c r="AU647" s="28"/>
      <c r="AV647" s="28"/>
      <c r="AW647" s="312"/>
      <c r="AX647" s="40"/>
      <c r="AY647" s="40"/>
      <c r="AZ647" s="40"/>
      <c r="BA647" s="40"/>
      <c r="BB647" s="312"/>
      <c r="BC647" s="28"/>
      <c r="BD647" s="28"/>
      <c r="BE647" s="28"/>
      <c r="BF647" s="28"/>
      <c r="BG647" s="322"/>
      <c r="BH647" s="277"/>
      <c r="BI647" s="277"/>
      <c r="BJ647" s="28"/>
      <c r="BK647" s="28"/>
      <c r="BL647" s="312"/>
      <c r="BM647" s="28"/>
      <c r="BN647" s="28"/>
      <c r="BO647" s="28"/>
      <c r="BP647" s="28"/>
      <c r="BQ647" s="312"/>
      <c r="BR647" s="28"/>
      <c r="BS647" s="28"/>
      <c r="BT647" s="28"/>
      <c r="BU647" s="28"/>
      <c r="BV647" s="312"/>
      <c r="BW647" s="28"/>
      <c r="BX647" s="28"/>
      <c r="BY647" s="28"/>
      <c r="BZ647" s="28"/>
      <c r="CA647" s="312"/>
      <c r="CB647" s="28"/>
      <c r="CC647" s="28"/>
      <c r="CD647" s="28"/>
      <c r="CE647" s="28"/>
      <c r="CF647" s="312"/>
      <c r="CG647" s="28"/>
      <c r="CH647" s="28"/>
      <c r="CI647" s="28"/>
      <c r="CJ647" s="28"/>
      <c r="CK647" s="312"/>
      <c r="CL647" s="963"/>
      <c r="CM647" s="28"/>
      <c r="CN647" s="28"/>
      <c r="CO647" s="28"/>
      <c r="CP647" s="312"/>
      <c r="CQ647" s="933"/>
      <c r="CR647" s="933"/>
      <c r="CS647" s="933"/>
      <c r="CT647" s="933"/>
      <c r="CU647" s="312"/>
      <c r="CV647" s="933"/>
      <c r="CW647" s="933"/>
      <c r="CX647" s="933"/>
      <c r="CY647" s="962"/>
      <c r="CZ647" s="312"/>
      <c r="DA647" s="933"/>
      <c r="DB647" s="933"/>
      <c r="DC647" s="933"/>
      <c r="DD647" s="962"/>
      <c r="DE647" s="445"/>
      <c r="DF647" s="982"/>
      <c r="DG647" s="982"/>
      <c r="DH647" s="982"/>
      <c r="DI647" s="1875"/>
      <c r="DJ647" s="445"/>
      <c r="DK647" s="1800"/>
      <c r="DL647" s="444"/>
      <c r="DM647" s="444"/>
      <c r="DN647" s="1788"/>
      <c r="DO647" s="1788"/>
      <c r="DP647" s="444"/>
      <c r="DQ647" s="444"/>
      <c r="DR647" s="444"/>
      <c r="DS647" s="1788"/>
      <c r="DT647" s="445"/>
      <c r="DU647" s="982"/>
      <c r="DV647" s="982"/>
      <c r="DW647" s="982"/>
      <c r="DX647" s="1875"/>
      <c r="DY647" s="445"/>
      <c r="DZ647" s="982"/>
      <c r="EA647" s="982"/>
      <c r="EB647" s="982"/>
      <c r="EC647" s="1875"/>
      <c r="ED647" s="1866"/>
      <c r="EE647" s="982"/>
      <c r="EF647" s="982"/>
      <c r="EG647" s="982"/>
      <c r="EH647" s="1875"/>
      <c r="EI647" s="445"/>
      <c r="EJ647" s="445"/>
      <c r="EK647" s="445"/>
      <c r="EL647" s="445"/>
      <c r="EM647" s="445"/>
      <c r="EN647" s="2650"/>
      <c r="EO647" s="2650"/>
      <c r="EP647" s="2650"/>
      <c r="EQ647" s="2650"/>
      <c r="ER647" s="2650"/>
      <c r="ES647" s="2650"/>
      <c r="ET647" s="445"/>
      <c r="EU647" s="445"/>
      <c r="EV647" s="445"/>
      <c r="EW647" s="445"/>
      <c r="EX647" s="445"/>
    </row>
    <row r="648" spans="1:154">
      <c r="A648" s="3277" t="str">
        <f>+A650&amp;" - US"</f>
      </c>
      <c r="B648" s="3342" t="s">
        <v>925</v>
      </c>
      <c r="C648" s="1995">
        <v>46016</v>
      </c>
      <c r="D648" s="28"/>
      <c r="E648" s="28"/>
      <c r="F648" s="28"/>
      <c r="G648" s="28"/>
      <c r="H648" s="28"/>
      <c r="I648" s="28"/>
      <c r="J648" s="28"/>
      <c r="K648" s="28"/>
      <c r="L648" s="28"/>
      <c r="M648" s="28"/>
      <c r="N648" s="28"/>
      <c r="O648" s="28"/>
      <c r="P648" s="28"/>
      <c r="Q648" s="28"/>
      <c r="R648" s="28"/>
      <c r="S648" s="28"/>
      <c r="T648" s="28"/>
      <c r="U648" s="28"/>
      <c r="V648" s="28"/>
      <c r="W648" s="28"/>
      <c r="X648" s="312"/>
      <c r="Y648" s="28"/>
      <c r="Z648" s="28"/>
      <c r="AA648" s="28"/>
      <c r="AB648" s="28"/>
      <c r="AC648" s="312"/>
      <c r="AD648" s="28"/>
      <c r="AE648" s="28"/>
      <c r="AF648" s="28"/>
      <c r="AG648" s="28"/>
      <c r="AH648" s="312"/>
      <c r="AI648" s="28"/>
      <c r="AJ648" s="28"/>
      <c r="AK648" s="28"/>
      <c r="AL648" s="28"/>
      <c r="AM648" s="312"/>
      <c r="AN648" s="28"/>
      <c r="AO648" s="28"/>
      <c r="AP648" s="28"/>
      <c r="AQ648" s="28"/>
      <c r="AR648" s="312"/>
      <c r="AS648" s="28"/>
      <c r="AT648" s="28"/>
      <c r="AU648" s="28"/>
      <c r="AV648" s="28"/>
      <c r="AW648" s="312"/>
      <c r="AX648" s="40"/>
      <c r="AY648" s="40"/>
      <c r="AZ648" s="40"/>
      <c r="BA648" s="40"/>
      <c r="BB648" s="312"/>
      <c r="BC648" s="28"/>
      <c r="BD648" s="28"/>
      <c r="BE648" s="28"/>
      <c r="BF648" s="28"/>
      <c r="BG648" s="322"/>
      <c r="BH648" s="277"/>
      <c r="BI648" s="277"/>
      <c r="BJ648" s="28"/>
      <c r="BK648" s="28"/>
      <c r="BL648" s="312"/>
      <c r="BM648" s="28"/>
      <c r="BN648" s="28"/>
      <c r="BO648" s="28"/>
      <c r="BP648" s="28"/>
      <c r="BQ648" s="312"/>
      <c r="BR648" s="28"/>
      <c r="BS648" s="28"/>
      <c r="BT648" s="28"/>
      <c r="BU648" s="28"/>
      <c r="BV648" s="312"/>
      <c r="BW648" s="28"/>
      <c r="BX648" s="28"/>
      <c r="BY648" s="28"/>
      <c r="BZ648" s="28"/>
      <c r="CA648" s="312"/>
      <c r="CB648" s="28"/>
      <c r="CC648" s="28"/>
      <c r="CD648" s="28"/>
      <c r="CE648" s="28"/>
      <c r="CF648" s="312"/>
      <c r="CG648" s="28"/>
      <c r="CH648" s="28"/>
      <c r="CI648" s="28"/>
      <c r="CJ648" s="28"/>
      <c r="CK648" s="312"/>
      <c r="CL648" s="28"/>
      <c r="CM648" s="28"/>
      <c r="CN648" s="28"/>
      <c r="CO648" s="28"/>
      <c r="CP648" s="312"/>
      <c r="CQ648" s="933"/>
      <c r="CR648" s="3631">
        <v>24</v>
      </c>
      <c r="CS648" s="3631">
        <v>150</v>
      </c>
      <c r="CT648" s="3631">
        <v>146</v>
      </c>
      <c r="CU648" s="3632">
        <f>+SUM(CQ648:CT648)</f>
      </c>
      <c r="CV648" s="3631">
        <v>149</v>
      </c>
      <c r="CW648" s="3631">
        <v>180</v>
      </c>
      <c r="CX648" s="3631">
        <v>182</v>
      </c>
      <c r="CY648" s="3631">
        <v>189</v>
      </c>
      <c r="CZ648" s="3632">
        <f>+SUM(CV648:CY648)</f>
      </c>
      <c r="DA648" s="3631">
        <v>172</v>
      </c>
      <c r="DB648" s="3631">
        <v>203</v>
      </c>
      <c r="DC648" s="3631">
        <v>206</v>
      </c>
      <c r="DD648" s="3633">
        <v>185</v>
      </c>
      <c r="DE648" s="3634">
        <f>+SUM(DA648:DD648)</f>
      </c>
      <c r="DF648" s="3635">
        <v>229</v>
      </c>
      <c r="DG648" s="3635">
        <v>256</v>
      </c>
      <c r="DH648" s="3635">
        <v>244</v>
      </c>
      <c r="DI648" s="3636">
        <v>279</v>
      </c>
      <c r="DJ648" s="3634">
        <f>+SUM(DF648:DI648)</f>
      </c>
      <c r="DK648" s="3637">
        <v>272</v>
      </c>
      <c r="DL648" s="3635">
        <v>290</v>
      </c>
      <c r="DM648" s="3635">
        <v>299</v>
      </c>
      <c r="DN648" s="3636">
        <v>286</v>
      </c>
      <c r="DO648" s="3634">
        <f>+SUM(DK648:DN648)</f>
      </c>
      <c r="DP648" s="3635">
        <v>273</v>
      </c>
      <c r="DQ648" s="3635">
        <v>265</v>
      </c>
      <c r="DR648" s="3635">
        <v>289</v>
      </c>
      <c r="DS648" s="3636">
        <v>305</v>
      </c>
      <c r="DT648" s="3634">
        <f>+SUM(DP648:DS648)</f>
      </c>
      <c r="DU648" s="3635">
        <v>273</v>
      </c>
      <c r="DV648" s="3635">
        <v>328</v>
      </c>
      <c r="DW648" s="3635">
        <v>323</v>
      </c>
      <c r="DX648" s="3635">
        <v>368.4</v>
      </c>
      <c r="DY648" s="3634">
        <f>+SUM(DU648:DX648)</f>
      </c>
      <c r="DZ648" s="3635">
        <v>355.5</v>
      </c>
      <c r="EA648" s="3635">
        <v>373.4</v>
      </c>
      <c r="EB648" s="3635">
        <v>406</v>
      </c>
      <c r="EC648" s="3636">
        <v>385</v>
      </c>
      <c r="ED648" s="3634">
        <f>+SUM(DZ648:EC648)</f>
      </c>
      <c r="EE648" s="3635">
        <v>363</v>
      </c>
      <c r="EF648" s="3635">
        <v>403</v>
      </c>
      <c r="EG648" s="3635">
        <v>409</v>
      </c>
      <c r="EH648" s="1556">
        <f>+EI648-SUM(EE648:EG648)</f>
      </c>
      <c r="EI648" s="2060">
        <f>ED648*(1+EI653)</f>
      </c>
      <c r="EJ648" s="2060">
        <f t="shared" ref="EJ648" si="1585">EI648*(1+EJ653)</f>
      </c>
      <c r="EK648" s="2060">
        <f t="shared" ref="EK648" si="1586">EJ648*(1+EK653)</f>
      </c>
      <c r="EL648" s="2060">
        <f t="shared" ref="EL648" si="1587">EK648*(1+EL653)</f>
      </c>
      <c r="EM648" s="2060">
        <f t="shared" ref="EM648" si="1588">EL648*(1+EM653)</f>
      </c>
      <c r="EN648" s="2060">
        <f t="shared" ref="EN648" si="1589">EM648*(1+EN653)</f>
      </c>
      <c r="EO648" s="2060">
        <f t="shared" ref="EO648" si="1590">EN648*(1+EO653)</f>
      </c>
      <c r="EP648" s="2060">
        <f t="shared" ref="EP648" si="1591">EO648*(1+EP653)</f>
      </c>
      <c r="EQ648" s="2060">
        <f t="shared" ref="EQ648" si="1592">EP648*(1+EQ653)</f>
      </c>
      <c r="ER648" s="2060">
        <f t="shared" ref="ER648" si="1593">EQ648*(1+ER653)</f>
      </c>
      <c r="ES648" s="2060">
        <f t="shared" ref="ES648" si="1594">ER648*(1+ES653)</f>
      </c>
      <c r="ET648" s="1788"/>
      <c r="EU648" s="1788"/>
      <c r="EV648" s="1788"/>
      <c r="EW648" s="1788"/>
      <c r="EX648" s="1788"/>
    </row>
    <row r="649" spans="1:154">
      <c r="A649" s="3277" t="str">
        <f>+A650&amp;" - OUS"</f>
      </c>
      <c r="B649" s="3342" t="s">
        <v>412</v>
      </c>
      <c r="C649" s="1995">
        <v>46381</v>
      </c>
      <c r="D649" s="28"/>
      <c r="E649" s="28"/>
      <c r="F649" s="28"/>
      <c r="G649" s="28"/>
      <c r="H649" s="28"/>
      <c r="I649" s="28"/>
      <c r="J649" s="28"/>
      <c r="K649" s="28"/>
      <c r="L649" s="28"/>
      <c r="M649" s="28"/>
      <c r="N649" s="28"/>
      <c r="O649" s="28"/>
      <c r="P649" s="28"/>
      <c r="Q649" s="28"/>
      <c r="R649" s="28"/>
      <c r="S649" s="28"/>
      <c r="T649" s="28"/>
      <c r="U649" s="28"/>
      <c r="V649" s="28"/>
      <c r="W649" s="28"/>
      <c r="X649" s="312"/>
      <c r="Y649" s="28"/>
      <c r="Z649" s="28"/>
      <c r="AA649" s="28"/>
      <c r="AB649" s="28"/>
      <c r="AC649" s="312"/>
      <c r="AD649" s="28"/>
      <c r="AE649" s="28"/>
      <c r="AF649" s="28"/>
      <c r="AG649" s="28"/>
      <c r="AH649" s="312"/>
      <c r="AI649" s="28"/>
      <c r="AJ649" s="28"/>
      <c r="AK649" s="28"/>
      <c r="AL649" s="28"/>
      <c r="AM649" s="312"/>
      <c r="AN649" s="28"/>
      <c r="AO649" s="28"/>
      <c r="AP649" s="28"/>
      <c r="AQ649" s="28"/>
      <c r="AR649" s="312"/>
      <c r="AS649" s="28"/>
      <c r="AT649" s="28"/>
      <c r="AU649" s="28"/>
      <c r="AV649" s="28"/>
      <c r="AW649" s="312"/>
      <c r="AX649" s="40"/>
      <c r="AY649" s="40"/>
      <c r="AZ649" s="40"/>
      <c r="BA649" s="40"/>
      <c r="BB649" s="312"/>
      <c r="BC649" s="28"/>
      <c r="BD649" s="28"/>
      <c r="BE649" s="28"/>
      <c r="BF649" s="28"/>
      <c r="BG649" s="322"/>
      <c r="BH649" s="277"/>
      <c r="BI649" s="277"/>
      <c r="BJ649" s="28"/>
      <c r="BK649" s="28"/>
      <c r="BL649" s="312"/>
      <c r="BM649" s="28"/>
      <c r="BN649" s="28"/>
      <c r="BO649" s="28"/>
      <c r="BP649" s="28"/>
      <c r="BQ649" s="312"/>
      <c r="BR649" s="28"/>
      <c r="BS649" s="28"/>
      <c r="BT649" s="28"/>
      <c r="BU649" s="28"/>
      <c r="BV649" s="312"/>
      <c r="BW649" s="28"/>
      <c r="BX649" s="28"/>
      <c r="BY649" s="28"/>
      <c r="BZ649" s="28"/>
      <c r="CA649" s="312"/>
      <c r="CB649" s="28"/>
      <c r="CC649" s="28"/>
      <c r="CD649" s="28"/>
      <c r="CE649" s="28"/>
      <c r="CF649" s="312"/>
      <c r="CG649" s="28"/>
      <c r="CH649" s="28"/>
      <c r="CI649" s="28"/>
      <c r="CJ649" s="28"/>
      <c r="CK649" s="312"/>
      <c r="CL649" s="28"/>
      <c r="CM649" s="28"/>
      <c r="CN649" s="28"/>
      <c r="CO649" s="28"/>
      <c r="CP649" s="312"/>
      <c r="CQ649" s="933"/>
      <c r="CR649" s="3631">
        <v>21</v>
      </c>
      <c r="CS649" s="3631">
        <v>109</v>
      </c>
      <c r="CT649" s="3631">
        <v>123</v>
      </c>
      <c r="CU649" s="3632">
        <f>+SUM(CQ649:CT649)</f>
      </c>
      <c r="CV649" s="3631">
        <v>122</v>
      </c>
      <c r="CW649" s="3631">
        <v>131</v>
      </c>
      <c r="CX649" s="3631">
        <v>128</v>
      </c>
      <c r="CY649" s="3631">
        <v>134</v>
      </c>
      <c r="CZ649" s="3632">
        <f>+SUM(CV649:CY649)</f>
      </c>
      <c r="DA649" s="3631">
        <v>133</v>
      </c>
      <c r="DB649" s="3631">
        <v>146</v>
      </c>
      <c r="DC649" s="3631">
        <v>140</v>
      </c>
      <c r="DD649" s="3633">
        <v>143</v>
      </c>
      <c r="DE649" s="3634">
        <f>+SUM(DA649:DD649)</f>
      </c>
      <c r="DF649" s="3635">
        <v>160</v>
      </c>
      <c r="DG649" s="3635">
        <v>150</v>
      </c>
      <c r="DH649" s="3635">
        <v>148</v>
      </c>
      <c r="DI649" s="3636">
        <v>173</v>
      </c>
      <c r="DJ649" s="3634">
        <f>+SUM(DF649:DI649)</f>
      </c>
      <c r="DK649" s="3637">
        <v>179</v>
      </c>
      <c r="DL649" s="3635">
        <v>172</v>
      </c>
      <c r="DM649" s="3635">
        <v>159</v>
      </c>
      <c r="DN649" s="3636">
        <v>162</v>
      </c>
      <c r="DO649" s="3634">
        <f>+SUM(DK649:DN649)</f>
      </c>
      <c r="DP649" s="3635">
        <v>170</v>
      </c>
      <c r="DQ649" s="3635">
        <v>173</v>
      </c>
      <c r="DR649" s="3635">
        <v>152</v>
      </c>
      <c r="DS649" s="3636">
        <v>156</v>
      </c>
      <c r="DT649" s="3634">
        <f>+SUM(DP649:DS649)</f>
      </c>
      <c r="DU649" s="3635">
        <v>167</v>
      </c>
      <c r="DV649" s="3635">
        <v>179</v>
      </c>
      <c r="DW649" s="3635">
        <v>166</v>
      </c>
      <c r="DX649" s="3635">
        <v>168.6</v>
      </c>
      <c r="DY649" s="3634">
        <f>+SUM(DU649:DX649)</f>
      </c>
      <c r="DZ649" s="3635">
        <v>168.5</v>
      </c>
      <c r="EA649" s="3635">
        <v>170.4</v>
      </c>
      <c r="EB649" s="3635">
        <v>165</v>
      </c>
      <c r="EC649" s="3636">
        <v>160</v>
      </c>
      <c r="ED649" s="3634">
        <f>+SUM(DZ649:EC649)</f>
      </c>
      <c r="EE649" s="3635">
        <v>159</v>
      </c>
      <c r="EF649" s="3635">
        <v>180</v>
      </c>
      <c r="EG649" s="3635">
        <v>168</v>
      </c>
      <c r="EH649" s="1556">
        <f>+EI649-SUM(EE649:EG649)</f>
      </c>
      <c r="EI649" s="2060">
        <f>ED649*(1+EI655)</f>
      </c>
      <c r="EJ649" s="2060">
        <f t="shared" ref="EJ649" si="1595">EI649*(1+EJ655)</f>
      </c>
      <c r="EK649" s="2060">
        <f t="shared" ref="EK649" si="1596">EJ649*(1+EK655)</f>
      </c>
      <c r="EL649" s="2060">
        <f t="shared" ref="EL649" si="1597">EK649*(1+EL655)</f>
      </c>
      <c r="EM649" s="2060">
        <f t="shared" ref="EM649" si="1598">EL649*(1+EM655)</f>
      </c>
      <c r="EN649" s="2060">
        <f t="shared" ref="EN649" si="1599">EM649*(1+EN655)</f>
      </c>
      <c r="EO649" s="2060">
        <f t="shared" ref="EO649" si="1600">EN649*(1+EO655)</f>
      </c>
      <c r="EP649" s="2060">
        <f t="shared" ref="EP649" si="1601">EO649*(1+EP655)</f>
      </c>
      <c r="EQ649" s="2060">
        <f t="shared" ref="EQ649" si="1602">EP649*(1+EQ655)</f>
      </c>
      <c r="ER649" s="2060">
        <f t="shared" ref="ER649" si="1603">EQ649*(1+ER655)</f>
      </c>
      <c r="ES649" s="2060">
        <f t="shared" ref="ES649" si="1604">ER649*(1+ES655)</f>
      </c>
      <c r="ET649" s="1788"/>
      <c r="EU649" s="1788"/>
      <c r="EV649" s="1788"/>
      <c r="EW649" s="1788"/>
      <c r="EX649" s="1788"/>
    </row>
    <row r="650" spans="1:154">
      <c r="A650" s="3277" t="s">
        <v>624</v>
      </c>
      <c r="B650" s="3342" t="s">
        <v>611</v>
      </c>
      <c r="C650" s="1995"/>
      <c r="D650" s="28"/>
      <c r="E650" s="28"/>
      <c r="F650" s="28"/>
      <c r="G650" s="28"/>
      <c r="H650" s="28"/>
      <c r="I650" s="28"/>
      <c r="J650" s="28"/>
      <c r="K650" s="28"/>
      <c r="L650" s="28"/>
      <c r="M650" s="28"/>
      <c r="N650" s="28"/>
      <c r="O650" s="28"/>
      <c r="P650" s="28"/>
      <c r="Q650" s="28"/>
      <c r="R650" s="28"/>
      <c r="S650" s="28"/>
      <c r="T650" s="28"/>
      <c r="U650" s="28"/>
      <c r="V650" s="28"/>
      <c r="W650" s="28"/>
      <c r="X650" s="312"/>
      <c r="Y650" s="28"/>
      <c r="Z650" s="28"/>
      <c r="AA650" s="28"/>
      <c r="AB650" s="28"/>
      <c r="AC650" s="312"/>
      <c r="AD650" s="28"/>
      <c r="AE650" s="28"/>
      <c r="AF650" s="28"/>
      <c r="AG650" s="28"/>
      <c r="AH650" s="312"/>
      <c r="AI650" s="28"/>
      <c r="AJ650" s="28"/>
      <c r="AK650" s="28"/>
      <c r="AL650" s="28"/>
      <c r="AM650" s="312"/>
      <c r="AN650" s="28"/>
      <c r="AO650" s="28"/>
      <c r="AP650" s="28"/>
      <c r="AQ650" s="28"/>
      <c r="AR650" s="312"/>
      <c r="AS650" s="28"/>
      <c r="AT650" s="28"/>
      <c r="AU650" s="28"/>
      <c r="AV650" s="28"/>
      <c r="AW650" s="312"/>
      <c r="AX650" s="40"/>
      <c r="AY650" s="40"/>
      <c r="AZ650" s="40"/>
      <c r="BA650" s="40"/>
      <c r="BB650" s="312"/>
      <c r="BC650" s="28"/>
      <c r="BD650" s="28"/>
      <c r="BE650" s="28"/>
      <c r="BF650" s="28"/>
      <c r="BG650" s="322"/>
      <c r="BH650" s="277"/>
      <c r="BI650" s="277"/>
      <c r="BJ650" s="28"/>
      <c r="BK650" s="28"/>
      <c r="BL650" s="312"/>
      <c r="BM650" s="28"/>
      <c r="BN650" s="28"/>
      <c r="BO650" s="28"/>
      <c r="BP650" s="28"/>
      <c r="BQ650" s="312"/>
      <c r="BR650" s="28"/>
      <c r="BS650" s="28"/>
      <c r="BT650" s="28"/>
      <c r="BU650" s="28"/>
      <c r="BV650" s="312"/>
      <c r="BW650" s="28"/>
      <c r="BX650" s="28"/>
      <c r="BY650" s="28"/>
      <c r="BZ650" s="28"/>
      <c r="CA650" s="312"/>
      <c r="CB650" s="28"/>
      <c r="CC650" s="28"/>
      <c r="CD650" s="28"/>
      <c r="CE650" s="28"/>
      <c r="CF650" s="312"/>
      <c r="CG650" s="28"/>
      <c r="CH650" s="28"/>
      <c r="CI650" s="28"/>
      <c r="CJ650" s="28"/>
      <c r="CK650" s="312"/>
      <c r="CL650" s="28"/>
      <c r="CM650" s="28"/>
      <c r="CN650" s="28"/>
      <c r="CO650" s="28"/>
      <c r="CP650" s="312"/>
      <c r="CQ650" s="933"/>
      <c r="CR650" s="3638">
        <f>SUM(CR648:CR649)</f>
      </c>
      <c r="CS650" s="3638">
        <f>SUM(CS648:CS649)</f>
      </c>
      <c r="CT650" s="3638">
        <f>SUM(CT648:CT649)</f>
      </c>
      <c r="CU650" s="3632">
        <f>+SUM(CQ650:CT650)</f>
      </c>
      <c r="CV650" s="3638">
        <f>SUM(CV648:CV649)</f>
      </c>
      <c r="CW650" s="3638">
        <f>SUM(CW648:CW649)</f>
      </c>
      <c r="CX650" s="3638">
        <f>SUM(CX648:CX649)</f>
      </c>
      <c r="CY650" s="3638">
        <f>SUM(CY648:CY649)</f>
      </c>
      <c r="CZ650" s="3632">
        <f>+SUM(CV650:CY650)</f>
      </c>
      <c r="DA650" s="3638">
        <f>SUM(DA648:DA649)</f>
      </c>
      <c r="DB650" s="3638">
        <f>SUM(DB648:DB649)</f>
      </c>
      <c r="DC650" s="3639">
        <f>SUM(DC648:DC649)</f>
      </c>
      <c r="DD650" s="3640">
        <f>+DD648+DD649</f>
      </c>
      <c r="DE650" s="3634">
        <f>+SUM(DA650:DD650)</f>
      </c>
      <c r="DF650" s="3641">
        <f>SUM(DF648:DF649)</f>
      </c>
      <c r="DG650" s="3641">
        <f>SUM(DG648:DG649)</f>
      </c>
      <c r="DH650" s="3641">
        <f>SUM(DH648:DH649)</f>
      </c>
      <c r="DI650" s="3642">
        <f>+DI648+DI649</f>
      </c>
      <c r="DJ650" s="3634">
        <f>+SUM(DF650:DI650)</f>
      </c>
      <c r="DK650" s="3643">
        <f>SUM(DK648:DK649)</f>
      </c>
      <c r="DL650" s="3641">
        <f>SUM(DL648:DL649)</f>
      </c>
      <c r="DM650" s="3641">
        <f>SUM(DM648:DM649)</f>
      </c>
      <c r="DN650" s="3642">
        <f>+DN648+DN649</f>
      </c>
      <c r="DO650" s="3644">
        <f>SUM(DO648:DO649)</f>
      </c>
      <c r="DP650" s="3641">
        <f>SUM(DP648:DP649)</f>
      </c>
      <c r="DQ650" s="3641">
        <f>SUM(DQ648:DQ649)</f>
      </c>
      <c r="DR650" s="3641">
        <f>SUM(DR648:DR649)</f>
      </c>
      <c r="DS650" s="3642">
        <f>+DS648+DS649</f>
      </c>
      <c r="DT650" s="3645">
        <f t="shared" ref="DT650:EI650" si="1605">SUM(DT648:DT649)</f>
      </c>
      <c r="DU650" s="3641">
        <f t="shared" ref="DU650:EB650" si="1606">SUM(DU648:DU649)</f>
      </c>
      <c r="DV650" s="3641">
        <f t="shared" si="1606"/>
      </c>
      <c r="DW650" s="3641">
        <f t="shared" si="1606"/>
      </c>
      <c r="DX650" s="3641">
        <f t="shared" si="1606"/>
      </c>
      <c r="DY650" s="3645">
        <f t="shared" si="1606"/>
      </c>
      <c r="DZ650" s="3641">
        <f t="shared" si="1606"/>
      </c>
      <c r="EA650" s="3641">
        <f t="shared" si="1606"/>
      </c>
      <c r="EB650" s="3641">
        <f t="shared" si="1606"/>
      </c>
      <c r="EC650" s="3642">
        <f>+EC648+EC649</f>
      </c>
      <c r="ED650" s="3645">
        <f t="shared" ref="ED650:EG650" si="1607">SUM(ED648:ED649)</f>
      </c>
      <c r="EE650" s="3641">
        <f t="shared" si="1607"/>
      </c>
      <c r="EF650" s="3641">
        <f t="shared" si="1607"/>
      </c>
      <c r="EG650" s="3641">
        <f t="shared" si="1607"/>
      </c>
      <c r="EH650" s="1556">
        <f>+EH648+EH649</f>
      </c>
      <c r="EI650" s="573">
        <f t="shared" si="1605"/>
      </c>
      <c r="EJ650" s="573">
        <f t="shared" ref="EJ650:ES650" si="1608">+EJ649+EJ648</f>
      </c>
      <c r="EK650" s="573">
        <f t="shared" si="1608"/>
      </c>
      <c r="EL650" s="573">
        <f t="shared" si="1608"/>
      </c>
      <c r="EM650" s="573">
        <f t="shared" si="1608"/>
      </c>
      <c r="EN650" s="573">
        <f t="shared" si="1608"/>
      </c>
      <c r="EO650" s="573">
        <f t="shared" si="1608"/>
      </c>
      <c r="EP650" s="573">
        <f t="shared" si="1608"/>
      </c>
      <c r="EQ650" s="573">
        <f t="shared" si="1608"/>
      </c>
      <c r="ER650" s="573">
        <f t="shared" si="1608"/>
      </c>
      <c r="ES650" s="573">
        <f t="shared" si="1608"/>
      </c>
      <c r="ET650" s="1788"/>
      <c r="EU650" s="1788"/>
      <c r="EV650" s="1788"/>
      <c r="EW650" s="1788"/>
      <c r="EX650" s="1788"/>
    </row>
    <row r="651" spans="1:154">
      <c r="A651" s="3277"/>
      <c r="B651" s="1171"/>
      <c r="C651" s="1995"/>
      <c r="D651" s="28"/>
      <c r="E651" s="28"/>
      <c r="F651" s="28"/>
      <c r="G651" s="28"/>
      <c r="H651" s="28"/>
      <c r="I651" s="28"/>
      <c r="J651" s="28"/>
      <c r="K651" s="28"/>
      <c r="L651" s="28"/>
      <c r="M651" s="28"/>
      <c r="N651" s="28"/>
      <c r="O651" s="28"/>
      <c r="P651" s="28"/>
      <c r="Q651" s="28"/>
      <c r="R651" s="28"/>
      <c r="S651" s="28"/>
      <c r="T651" s="28"/>
      <c r="U651" s="28"/>
      <c r="V651" s="28"/>
      <c r="W651" s="28"/>
      <c r="X651" s="312"/>
      <c r="Y651" s="28"/>
      <c r="Z651" s="28"/>
      <c r="AA651" s="28"/>
      <c r="AB651" s="28"/>
      <c r="AC651" s="312"/>
      <c r="AD651" s="28"/>
      <c r="AE651" s="28"/>
      <c r="AF651" s="28"/>
      <c r="AG651" s="28"/>
      <c r="AH651" s="312"/>
      <c r="AI651" s="28"/>
      <c r="AJ651" s="28"/>
      <c r="AK651" s="28"/>
      <c r="AL651" s="28"/>
      <c r="AM651" s="312"/>
      <c r="AN651" s="28"/>
      <c r="AO651" s="28"/>
      <c r="AP651" s="28"/>
      <c r="AQ651" s="28"/>
      <c r="AR651" s="312"/>
      <c r="AS651" s="28"/>
      <c r="AT651" s="28"/>
      <c r="AU651" s="28"/>
      <c r="AV651" s="28"/>
      <c r="AW651" s="312"/>
      <c r="AX651" s="40"/>
      <c r="AY651" s="40"/>
      <c r="AZ651" s="40"/>
      <c r="BA651" s="40"/>
      <c r="BB651" s="312"/>
      <c r="BC651" s="28"/>
      <c r="BD651" s="28"/>
      <c r="BE651" s="28"/>
      <c r="BF651" s="28"/>
      <c r="BG651" s="322"/>
      <c r="BH651" s="277"/>
      <c r="BI651" s="277"/>
      <c r="BJ651" s="28"/>
      <c r="BK651" s="28"/>
      <c r="BL651" s="312"/>
      <c r="BM651" s="28"/>
      <c r="BN651" s="28"/>
      <c r="BO651" s="28"/>
      <c r="BP651" s="28"/>
      <c r="BQ651" s="312"/>
      <c r="BR651" s="28"/>
      <c r="BS651" s="28"/>
      <c r="BT651" s="28"/>
      <c r="BU651" s="28"/>
      <c r="BV651" s="312"/>
      <c r="BW651" s="28"/>
      <c r="BX651" s="28"/>
      <c r="BY651" s="28"/>
      <c r="BZ651" s="28"/>
      <c r="CA651" s="312"/>
      <c r="CB651" s="28"/>
      <c r="CC651" s="28"/>
      <c r="CD651" s="28"/>
      <c r="CE651" s="28"/>
      <c r="CF651" s="312"/>
      <c r="CG651" s="28"/>
      <c r="CH651" s="28"/>
      <c r="CI651" s="28"/>
      <c r="CJ651" s="28"/>
      <c r="CK651" s="312"/>
      <c r="CL651" s="28"/>
      <c r="CM651" s="28"/>
      <c r="CN651" s="28"/>
      <c r="CO651" s="28"/>
      <c r="CP651" s="312"/>
      <c r="CQ651" s="933"/>
      <c r="CR651" s="933"/>
      <c r="CS651" s="933"/>
      <c r="CT651" s="933"/>
      <c r="CU651" s="312"/>
      <c r="CV651" s="933"/>
      <c r="CW651" s="933"/>
      <c r="CX651" s="933"/>
      <c r="CY651" s="933"/>
      <c r="CZ651" s="312"/>
      <c r="DA651" s="933"/>
      <c r="DB651" s="31"/>
      <c r="DC651" s="31"/>
      <c r="DD651" s="955"/>
      <c r="DE651" s="445"/>
      <c r="DF651" s="982"/>
      <c r="DG651" s="603"/>
      <c r="DH651" s="603"/>
      <c r="DI651" s="1798"/>
      <c r="DJ651" s="445"/>
      <c r="DK651" s="1800"/>
      <c r="DL651" s="444"/>
      <c r="DM651" s="444"/>
      <c r="DN651" s="1788"/>
      <c r="DO651" s="1788"/>
      <c r="DP651" s="444"/>
      <c r="DQ651" s="444"/>
      <c r="DR651" s="444"/>
      <c r="DS651" s="1788"/>
      <c r="DT651" s="445"/>
      <c r="DU651" s="982"/>
      <c r="DV651" s="982"/>
      <c r="DW651" s="982"/>
      <c r="DX651" s="982"/>
      <c r="DY651" s="445"/>
      <c r="DZ651" s="982"/>
      <c r="EA651" s="982"/>
      <c r="EB651" s="982"/>
      <c r="EC651" s="1875"/>
      <c r="ED651" s="1866"/>
      <c r="EE651" s="982"/>
      <c r="EF651" s="982"/>
      <c r="EG651" s="982"/>
      <c r="EH651" s="1875"/>
      <c r="EI651" s="445"/>
      <c r="EJ651" s="445"/>
      <c r="EK651" s="445"/>
      <c r="EL651" s="445"/>
      <c r="EM651" s="445"/>
      <c r="EN651" s="1788"/>
      <c r="EO651" s="1788"/>
      <c r="EP651" s="445"/>
      <c r="EQ651" s="445"/>
      <c r="ER651" s="445"/>
      <c r="ES651" s="445"/>
      <c r="ET651" s="445"/>
      <c r="EU651" s="445"/>
      <c r="EV651" s="445"/>
      <c r="EW651" s="445"/>
      <c r="EX651" s="445"/>
    </row>
    <row r="652" spans="1:154">
      <c r="B652" s="3344" t="s">
        <v>936</v>
      </c>
      <c r="C652" s="1995"/>
      <c r="D652" s="28"/>
      <c r="E652" s="28"/>
      <c r="F652" s="28"/>
      <c r="G652" s="28"/>
      <c r="H652" s="28"/>
      <c r="I652" s="28"/>
      <c r="J652" s="28"/>
      <c r="K652" s="28"/>
      <c r="L652" s="28"/>
      <c r="M652" s="28"/>
      <c r="N652" s="28"/>
      <c r="O652" s="28"/>
      <c r="P652" s="28"/>
      <c r="Q652" s="28"/>
      <c r="R652" s="28"/>
      <c r="S652" s="28"/>
      <c r="T652" s="28"/>
      <c r="U652" s="28"/>
      <c r="V652" s="28"/>
      <c r="W652" s="28"/>
      <c r="X652" s="312"/>
      <c r="Y652" s="28"/>
      <c r="Z652" s="28"/>
      <c r="AA652" s="28"/>
      <c r="AB652" s="28"/>
      <c r="AC652" s="312"/>
      <c r="AD652" s="28"/>
      <c r="AE652" s="28"/>
      <c r="AF652" s="28"/>
      <c r="AG652" s="28"/>
      <c r="AH652" s="312"/>
      <c r="AI652" s="28"/>
      <c r="AJ652" s="28"/>
      <c r="AK652" s="28"/>
      <c r="AL652" s="28"/>
      <c r="AM652" s="312"/>
      <c r="AN652" s="28"/>
      <c r="AO652" s="28"/>
      <c r="AP652" s="28"/>
      <c r="AQ652" s="28"/>
      <c r="AR652" s="312"/>
      <c r="AS652" s="28"/>
      <c r="AT652" s="28"/>
      <c r="AU652" s="28"/>
      <c r="AV652" s="28"/>
      <c r="AW652" s="312"/>
      <c r="AX652" s="40"/>
      <c r="AY652" s="40"/>
      <c r="AZ652" s="40"/>
      <c r="BA652" s="40"/>
      <c r="BB652" s="312"/>
      <c r="BC652" s="28"/>
      <c r="BD652" s="28"/>
      <c r="BE652" s="28"/>
      <c r="BF652" s="28"/>
      <c r="BG652" s="322"/>
      <c r="BH652" s="277"/>
      <c r="BI652" s="277"/>
      <c r="BJ652" s="28"/>
      <c r="BK652" s="28"/>
      <c r="BL652" s="312"/>
      <c r="BM652" s="28"/>
      <c r="BN652" s="28"/>
      <c r="BO652" s="28"/>
      <c r="BP652" s="28"/>
      <c r="BQ652" s="312"/>
      <c r="BR652" s="28"/>
      <c r="BS652" s="28"/>
      <c r="BT652" s="28"/>
      <c r="BU652" s="28"/>
      <c r="BV652" s="312"/>
      <c r="BW652" s="28"/>
      <c r="BX652" s="28"/>
      <c r="BY652" s="28"/>
      <c r="BZ652" s="28"/>
      <c r="CA652" s="312"/>
      <c r="CB652" s="28"/>
      <c r="CC652" s="28"/>
      <c r="CD652" s="28"/>
      <c r="CE652" s="28"/>
      <c r="CF652" s="312"/>
      <c r="CG652" s="28"/>
      <c r="CH652" s="28"/>
      <c r="CI652" s="28"/>
      <c r="CJ652" s="28"/>
      <c r="CK652" s="312"/>
      <c r="CL652" s="28"/>
      <c r="CM652" s="28"/>
      <c r="CN652" s="28"/>
      <c r="CO652" s="28"/>
      <c r="CP652" s="312"/>
      <c r="CQ652" s="933"/>
      <c r="CR652" s="933"/>
      <c r="CS652" s="933"/>
      <c r="CT652" s="933"/>
      <c r="CU652" s="312"/>
      <c r="CV652" s="933"/>
      <c r="CW652" s="933"/>
      <c r="CX652" s="933"/>
      <c r="CY652" s="933"/>
      <c r="CZ652" s="312"/>
      <c r="DA652" s="933"/>
      <c r="DB652" s="31"/>
      <c r="DC652" s="31"/>
      <c r="DD652" s="955"/>
      <c r="DE652" s="445"/>
      <c r="DF652" s="982"/>
      <c r="DG652" s="603"/>
      <c r="DH652" s="603"/>
      <c r="DI652" s="1798"/>
      <c r="DJ652" s="445"/>
      <c r="DK652" s="1800"/>
      <c r="DL652" s="444"/>
      <c r="DM652" s="444"/>
      <c r="DN652" s="1788"/>
      <c r="DO652" s="1788"/>
      <c r="DP652" s="444"/>
      <c r="DQ652" s="444"/>
      <c r="DR652" s="444"/>
      <c r="DS652" s="1788"/>
      <c r="DT652" s="445"/>
      <c r="DU652" s="982"/>
      <c r="DV652" s="982"/>
      <c r="DW652" s="982"/>
      <c r="DX652" s="982"/>
      <c r="DY652" s="445"/>
      <c r="DZ652" s="982"/>
      <c r="EA652" s="982"/>
      <c r="EB652" s="982"/>
      <c r="EC652" s="1875"/>
      <c r="ED652" s="1866"/>
      <c r="EE652" s="982"/>
      <c r="EF652" s="982"/>
      <c r="EG652" s="982"/>
      <c r="EH652" s="1875"/>
      <c r="EI652" s="445"/>
      <c r="EJ652" s="445"/>
      <c r="EK652" s="445"/>
      <c r="EL652" s="445"/>
      <c r="EM652" s="445"/>
      <c r="EN652" s="1788"/>
      <c r="EO652" s="1788"/>
      <c r="EP652" s="445"/>
      <c r="EQ652" s="445"/>
      <c r="ER652" s="445"/>
      <c r="ES652" s="445"/>
      <c r="ET652" s="445"/>
      <c r="EU652" s="445"/>
      <c r="EV652" s="445"/>
      <c r="EW652" s="445"/>
      <c r="EX652" s="445"/>
    </row>
    <row r="653" spans="1:154">
      <c r="B653" s="1390" t="s">
        <v>925</v>
      </c>
      <c r="C653" s="1995"/>
      <c r="D653" s="28"/>
      <c r="E653" s="28"/>
      <c r="F653" s="28"/>
      <c r="G653" s="28"/>
      <c r="H653" s="28"/>
      <c r="I653" s="28"/>
      <c r="J653" s="28"/>
      <c r="K653" s="28"/>
      <c r="L653" s="28"/>
      <c r="M653" s="28"/>
      <c r="N653" s="28"/>
      <c r="O653" s="28"/>
      <c r="P653" s="28"/>
      <c r="Q653" s="28"/>
      <c r="R653" s="28"/>
      <c r="S653" s="28"/>
      <c r="T653" s="28"/>
      <c r="U653" s="28"/>
      <c r="V653" s="28"/>
      <c r="W653" s="28"/>
      <c r="X653" s="312"/>
      <c r="Y653" s="28"/>
      <c r="Z653" s="28"/>
      <c r="AA653" s="28"/>
      <c r="AB653" s="28"/>
      <c r="AC653" s="312"/>
      <c r="AD653" s="28"/>
      <c r="AE653" s="28"/>
      <c r="AF653" s="28"/>
      <c r="AG653" s="28"/>
      <c r="AH653" s="312"/>
      <c r="AI653" s="28"/>
      <c r="AJ653" s="28"/>
      <c r="AK653" s="28"/>
      <c r="AL653" s="28"/>
      <c r="AM653" s="312"/>
      <c r="AN653" s="28"/>
      <c r="AO653" s="28"/>
      <c r="AP653" s="28"/>
      <c r="AQ653" s="28"/>
      <c r="AR653" s="312"/>
      <c r="AS653" s="28"/>
      <c r="AT653" s="28"/>
      <c r="AU653" s="28"/>
      <c r="AV653" s="28"/>
      <c r="AW653" s="312"/>
      <c r="AX653" s="40"/>
      <c r="AY653" s="40"/>
      <c r="AZ653" s="40"/>
      <c r="BA653" s="40"/>
      <c r="BB653" s="312"/>
      <c r="BC653" s="28"/>
      <c r="BD653" s="28"/>
      <c r="BE653" s="28"/>
      <c r="BF653" s="28"/>
      <c r="BG653" s="322"/>
      <c r="BH653" s="277"/>
      <c r="BI653" s="277"/>
      <c r="BJ653" s="28"/>
      <c r="BK653" s="28"/>
      <c r="BL653" s="312"/>
      <c r="BM653" s="28"/>
      <c r="BN653" s="28"/>
      <c r="BO653" s="28"/>
      <c r="BP653" s="28"/>
      <c r="BQ653" s="312"/>
      <c r="BR653" s="28"/>
      <c r="BS653" s="28"/>
      <c r="BT653" s="28"/>
      <c r="BU653" s="28"/>
      <c r="BV653" s="312"/>
      <c r="BW653" s="28"/>
      <c r="BX653" s="28"/>
      <c r="BY653" s="28"/>
      <c r="BZ653" s="28"/>
      <c r="CA653" s="312"/>
      <c r="CB653" s="28"/>
      <c r="CC653" s="28"/>
      <c r="CD653" s="28"/>
      <c r="CE653" s="28"/>
      <c r="CF653" s="312"/>
      <c r="CG653" s="28"/>
      <c r="CH653" s="28"/>
      <c r="CI653" s="28"/>
      <c r="CJ653" s="28"/>
      <c r="CK653" s="312"/>
      <c r="CL653" s="28"/>
      <c r="CM653" s="28"/>
      <c r="CN653" s="28"/>
      <c r="CO653" s="28"/>
      <c r="CP653" s="312"/>
      <c r="CQ653" s="933"/>
      <c r="CR653" s="933"/>
      <c r="CS653" s="933"/>
      <c r="CT653" s="933"/>
      <c r="CU653" s="312"/>
      <c r="CV653" s="933"/>
      <c r="CW653" s="926"/>
      <c r="CX653" s="926">
        <f t="shared" ref="CX653:DG654" si="1609">IF(CS648=0, "NA", CX648/CS648-1)</f>
      </c>
      <c r="CY653" s="926">
        <f t="shared" si="1609"/>
      </c>
      <c r="CZ653" s="308">
        <f t="shared" ref="CZ653:DG653" si="1610">IF(CU648=0, "NA", CZ648/CU648-1)</f>
      </c>
      <c r="DA653" s="926">
        <f t="shared" si="1610"/>
      </c>
      <c r="DB653" s="926">
        <f t="shared" si="1610"/>
      </c>
      <c r="DC653" s="1219">
        <f t="shared" si="1610"/>
      </c>
      <c r="DD653" s="926">
        <f t="shared" si="1610"/>
      </c>
      <c r="DE653" s="308">
        <f t="shared" si="1610"/>
      </c>
      <c r="DF653" s="926">
        <f t="shared" si="1610"/>
      </c>
      <c r="DG653" s="926">
        <f t="shared" si="1610"/>
      </c>
      <c r="DH653" s="926">
        <f>IF(DC648=0, "NA", DH648/DC648-1)</f>
      </c>
      <c r="DI653" s="928">
        <f>IF(DI648=0,"NM",+DI648/DD648-1)</f>
      </c>
      <c r="DJ653" s="308">
        <f t="shared" ref="DJ653:EG654" si="1611">IF(DE648=0, "NA", DJ648/DE648-1)</f>
      </c>
      <c r="DK653" s="926">
        <f t="shared" si="1611"/>
      </c>
      <c r="DL653" s="926">
        <f t="shared" si="1611"/>
      </c>
      <c r="DM653" s="926">
        <f t="shared" si="1611"/>
      </c>
      <c r="DN653" s="928">
        <f>IF(DN648=0,"NM",+DN648/DI648-1)</f>
      </c>
      <c r="DO653" s="928">
        <f t="shared" si="1611"/>
      </c>
      <c r="DP653" s="926">
        <f t="shared" si="1611"/>
      </c>
      <c r="DQ653" s="926">
        <f t="shared" si="1611"/>
      </c>
      <c r="DR653" s="926">
        <f t="shared" si="1611"/>
      </c>
      <c r="DS653" s="928">
        <f t="shared" si="1611"/>
      </c>
      <c r="DT653" s="928">
        <f t="shared" si="1611"/>
      </c>
      <c r="DU653" s="926">
        <f t="shared" si="1611"/>
      </c>
      <c r="DV653" s="926">
        <f t="shared" si="1611"/>
      </c>
      <c r="DW653" s="926">
        <f t="shared" si="1611"/>
      </c>
      <c r="DX653" s="928">
        <f t="shared" si="1611"/>
      </c>
      <c r="DY653" s="928">
        <f t="shared" si="1611"/>
      </c>
      <c r="DZ653" s="1703">
        <f>+DZ648/DU648-1</f>
      </c>
      <c r="EA653" s="1703">
        <f>+EA648/DV648-1</f>
      </c>
      <c r="EB653" s="1703">
        <f>+EB648/DW648-1</f>
      </c>
      <c r="EC653" s="1703">
        <f>+EC648/DX648-1</f>
      </c>
      <c r="ED653" s="1060">
        <f t="shared" si="1611"/>
      </c>
      <c r="EE653" s="1703">
        <f>+EE648/DZ648-1</f>
      </c>
      <c r="EF653" s="1703">
        <f>+EF648/EA648-1</f>
      </c>
      <c r="EG653" s="1703">
        <f>+EG648/EB648-1</f>
      </c>
      <c r="EH653" s="1063">
        <f>IF(EH648=0,"NM",+EH648/EC648-1)</f>
      </c>
      <c r="EI653" s="3549">
        <v>0.04</v>
      </c>
      <c r="EJ653" s="2221">
        <v>-0.3</v>
      </c>
      <c r="EK653" s="2221">
        <v>-0.25</v>
      </c>
      <c r="EL653" s="2221">
        <v>-0.25</v>
      </c>
      <c r="EM653" s="2221">
        <v>-0.1</v>
      </c>
      <c r="EN653" s="2221">
        <v>-0.55000000000000004</v>
      </c>
      <c r="EO653" s="2221">
        <v>-0.55000000000000004</v>
      </c>
      <c r="EP653" s="2221">
        <v>-0.15</v>
      </c>
      <c r="EQ653" s="2221">
        <v>-0.1</v>
      </c>
      <c r="ER653" s="2221">
        <v>-0.1</v>
      </c>
      <c r="ES653" s="2221">
        <v>-0.1</v>
      </c>
      <c r="ET653" s="1444"/>
      <c r="EU653" s="1444"/>
      <c r="EV653" s="1444"/>
      <c r="EW653" s="1444"/>
      <c r="EX653" s="1444"/>
    </row>
    <row r="654" spans="1:154">
      <c r="B654" s="1390" t="s">
        <v>412</v>
      </c>
      <c r="C654" s="1995"/>
      <c r="D654" s="28"/>
      <c r="E654" s="28"/>
      <c r="F654" s="28"/>
      <c r="G654" s="28"/>
      <c r="H654" s="28"/>
      <c r="I654" s="28"/>
      <c r="J654" s="28"/>
      <c r="K654" s="28"/>
      <c r="L654" s="28"/>
      <c r="M654" s="28"/>
      <c r="N654" s="28"/>
      <c r="O654" s="28"/>
      <c r="P654" s="28"/>
      <c r="Q654" s="28"/>
      <c r="R654" s="28"/>
      <c r="S654" s="28"/>
      <c r="T654" s="28"/>
      <c r="U654" s="28"/>
      <c r="V654" s="28"/>
      <c r="W654" s="28"/>
      <c r="X654" s="312"/>
      <c r="Y654" s="28"/>
      <c r="Z654" s="28"/>
      <c r="AA654" s="28"/>
      <c r="AB654" s="28"/>
      <c r="AC654" s="312"/>
      <c r="AD654" s="28"/>
      <c r="AE654" s="28"/>
      <c r="AF654" s="28"/>
      <c r="AG654" s="28"/>
      <c r="AH654" s="312"/>
      <c r="AI654" s="28"/>
      <c r="AJ654" s="28"/>
      <c r="AK654" s="28"/>
      <c r="AL654" s="28"/>
      <c r="AM654" s="312"/>
      <c r="AN654" s="28"/>
      <c r="AO654" s="28"/>
      <c r="AP654" s="28"/>
      <c r="AQ654" s="28"/>
      <c r="AR654" s="312"/>
      <c r="AS654" s="28"/>
      <c r="AT654" s="28"/>
      <c r="AU654" s="28"/>
      <c r="AV654" s="28"/>
      <c r="AW654" s="312"/>
      <c r="AX654" s="40"/>
      <c r="AY654" s="40"/>
      <c r="AZ654" s="40"/>
      <c r="BA654" s="40"/>
      <c r="BB654" s="312"/>
      <c r="BC654" s="28"/>
      <c r="BD654" s="28"/>
      <c r="BE654" s="28"/>
      <c r="BF654" s="28"/>
      <c r="BG654" s="322"/>
      <c r="BH654" s="277"/>
      <c r="BI654" s="277"/>
      <c r="BJ654" s="28"/>
      <c r="BK654" s="28"/>
      <c r="BL654" s="312"/>
      <c r="BM654" s="28"/>
      <c r="BN654" s="28"/>
      <c r="BO654" s="28"/>
      <c r="BP654" s="28"/>
      <c r="BQ654" s="312"/>
      <c r="BR654" s="28"/>
      <c r="BS654" s="28"/>
      <c r="BT654" s="28"/>
      <c r="BU654" s="28"/>
      <c r="BV654" s="312"/>
      <c r="BW654" s="28"/>
      <c r="BX654" s="28"/>
      <c r="BY654" s="28"/>
      <c r="BZ654" s="28"/>
      <c r="CA654" s="312"/>
      <c r="CB654" s="28"/>
      <c r="CC654" s="28"/>
      <c r="CD654" s="28"/>
      <c r="CE654" s="28"/>
      <c r="CF654" s="312"/>
      <c r="CG654" s="28"/>
      <c r="CH654" s="28"/>
      <c r="CI654" s="28"/>
      <c r="CJ654" s="28"/>
      <c r="CK654" s="312"/>
      <c r="CL654" s="28"/>
      <c r="CM654" s="28"/>
      <c r="CN654" s="28"/>
      <c r="CO654" s="28"/>
      <c r="CP654" s="312"/>
      <c r="CQ654" s="933"/>
      <c r="CR654" s="933"/>
      <c r="CS654" s="933"/>
      <c r="CT654" s="933"/>
      <c r="CU654" s="312"/>
      <c r="CV654" s="933"/>
      <c r="CW654" s="926"/>
      <c r="CX654" s="926">
        <f t="shared" si="1609"/>
      </c>
      <c r="CY654" s="926">
        <f t="shared" si="1609"/>
      </c>
      <c r="CZ654" s="308">
        <f>IF(CU649=0, "NA", CZ649/CU649-1)</f>
      </c>
      <c r="DA654" s="926">
        <f t="shared" si="1609"/>
      </c>
      <c r="DB654" s="926">
        <f t="shared" si="1609"/>
      </c>
      <c r="DC654" s="1219">
        <f t="shared" si="1609"/>
      </c>
      <c r="DD654" s="926">
        <f t="shared" si="1609"/>
      </c>
      <c r="DE654" s="308">
        <f>IF(CZ649=0, "NA", DE649/CZ649-1)</f>
      </c>
      <c r="DF654" s="926">
        <f t="shared" si="1609"/>
      </c>
      <c r="DG654" s="926">
        <f t="shared" si="1609"/>
      </c>
      <c r="DH654" s="926">
        <f>IF(DC649=0, "NA", DH649/DC649-1)</f>
      </c>
      <c r="DI654" s="928">
        <f>IF(DI649=0, "NM", DI649/DD649-1)</f>
      </c>
      <c r="DJ654" s="308">
        <f>IF(DE649=0, "NA", DJ649/DE649-1)</f>
      </c>
      <c r="DK654" s="926">
        <f t="shared" si="1611"/>
      </c>
      <c r="DL654" s="926">
        <f t="shared" si="1611"/>
      </c>
      <c r="DM654" s="926">
        <f t="shared" si="1611"/>
      </c>
      <c r="DN654" s="928">
        <f>IF(DN649=0, "NM", DN649/DI649-1)</f>
      </c>
      <c r="DO654" s="928">
        <f>IF(DJ649=0, "NA", DO649/DJ649-1)</f>
      </c>
      <c r="DP654" s="926">
        <f t="shared" si="1611"/>
      </c>
      <c r="DQ654" s="926">
        <f t="shared" si="1611"/>
      </c>
      <c r="DR654" s="926">
        <f t="shared" si="1611"/>
      </c>
      <c r="DS654" s="928">
        <f t="shared" si="1611"/>
      </c>
      <c r="DT654" s="928">
        <f>IF(DO649=0, "NA", DT649/DO649-1)</f>
      </c>
      <c r="DU654" s="926">
        <f t="shared" si="1611"/>
      </c>
      <c r="DV654" s="926">
        <f t="shared" si="1611"/>
      </c>
      <c r="DW654" s="926">
        <f t="shared" si="1611"/>
      </c>
      <c r="DX654" s="928">
        <f t="shared" si="1611"/>
      </c>
      <c r="DY654" s="928">
        <f>IF(DT649=0, "NA", DY649/DT649-1)</f>
      </c>
      <c r="DZ654" s="926">
        <f t="shared" si="1611"/>
      </c>
      <c r="EA654" s="926">
        <f t="shared" si="1611"/>
      </c>
      <c r="EB654" s="926">
        <f t="shared" si="1611"/>
      </c>
      <c r="EC654" s="926">
        <f t="shared" si="1611"/>
      </c>
      <c r="ED654" s="1060">
        <f>IF(DY649=0, "NA", ED649/DY649-1)</f>
      </c>
      <c r="EE654" s="926">
        <f t="shared" si="1611"/>
      </c>
      <c r="EF654" s="926">
        <f t="shared" si="1611"/>
      </c>
      <c r="EG654" s="926">
        <f t="shared" si="1611"/>
      </c>
      <c r="EH654" s="928">
        <f>IF(EH649=0, "NM", EH649/EC649-1)</f>
      </c>
      <c r="EI654" s="926">
        <f t="shared" ref="EI654" si="1612">EI655+EI$21</f>
      </c>
      <c r="EJ654" s="308">
        <f t="shared" ref="EJ654:ES654" si="1613">EJ655+EJ$21</f>
      </c>
      <c r="EK654" s="308">
        <f t="shared" si="1613"/>
      </c>
      <c r="EL654" s="308">
        <f t="shared" si="1613"/>
      </c>
      <c r="EM654" s="308">
        <f t="shared" si="1613"/>
      </c>
      <c r="EN654" s="308">
        <f t="shared" si="1613"/>
      </c>
      <c r="EO654" s="308">
        <f t="shared" si="1613"/>
      </c>
      <c r="EP654" s="308">
        <f t="shared" si="1613"/>
      </c>
      <c r="EQ654" s="308">
        <f t="shared" si="1613"/>
      </c>
      <c r="ER654" s="308">
        <f t="shared" si="1613"/>
      </c>
      <c r="ES654" s="308">
        <f t="shared" si="1613"/>
      </c>
      <c r="ET654" s="409"/>
      <c r="EU654" s="409"/>
      <c r="EV654" s="409"/>
      <c r="EW654" s="409"/>
      <c r="EX654" s="409"/>
    </row>
    <row r="655" spans="1:154">
      <c r="B655" s="1390" t="s">
        <v>256</v>
      </c>
      <c r="C655" s="1995"/>
      <c r="D655" s="28"/>
      <c r="E655" s="28"/>
      <c r="F655" s="28"/>
      <c r="G655" s="28"/>
      <c r="H655" s="28"/>
      <c r="I655" s="28"/>
      <c r="J655" s="28"/>
      <c r="K655" s="28"/>
      <c r="L655" s="28"/>
      <c r="M655" s="28"/>
      <c r="N655" s="28"/>
      <c r="O655" s="28"/>
      <c r="P655" s="28"/>
      <c r="Q655" s="28"/>
      <c r="R655" s="28"/>
      <c r="S655" s="28"/>
      <c r="T655" s="28"/>
      <c r="U655" s="28"/>
      <c r="V655" s="28"/>
      <c r="W655" s="28"/>
      <c r="X655" s="312"/>
      <c r="Y655" s="28"/>
      <c r="Z655" s="28"/>
      <c r="AA655" s="28"/>
      <c r="AB655" s="28"/>
      <c r="AC655" s="312"/>
      <c r="AD655" s="28"/>
      <c r="AE655" s="28"/>
      <c r="AF655" s="28"/>
      <c r="AG655" s="28"/>
      <c r="AH655" s="312"/>
      <c r="AI655" s="28"/>
      <c r="AJ655" s="28"/>
      <c r="AK655" s="28"/>
      <c r="AL655" s="28"/>
      <c r="AM655" s="312"/>
      <c r="AN655" s="28"/>
      <c r="AO655" s="28"/>
      <c r="AP655" s="28"/>
      <c r="AQ655" s="28"/>
      <c r="AR655" s="312"/>
      <c r="AS655" s="28"/>
      <c r="AT655" s="28"/>
      <c r="AU655" s="28"/>
      <c r="AV655" s="28"/>
      <c r="AW655" s="312"/>
      <c r="AX655" s="40"/>
      <c r="AY655" s="40"/>
      <c r="AZ655" s="40"/>
      <c r="BA655" s="40"/>
      <c r="BB655" s="312"/>
      <c r="BC655" s="28"/>
      <c r="BD655" s="28"/>
      <c r="BE655" s="28"/>
      <c r="BF655" s="28"/>
      <c r="BG655" s="322"/>
      <c r="BH655" s="277"/>
      <c r="BI655" s="277"/>
      <c r="BJ655" s="28"/>
      <c r="BK655" s="28"/>
      <c r="BL655" s="312"/>
      <c r="BM655" s="28"/>
      <c r="BN655" s="28"/>
      <c r="BO655" s="28"/>
      <c r="BP655" s="28"/>
      <c r="BQ655" s="312"/>
      <c r="BR655" s="28"/>
      <c r="BS655" s="28"/>
      <c r="BT655" s="28"/>
      <c r="BU655" s="28"/>
      <c r="BV655" s="312"/>
      <c r="BW655" s="28"/>
      <c r="BX655" s="28"/>
      <c r="BY655" s="28"/>
      <c r="BZ655" s="28"/>
      <c r="CA655" s="312"/>
      <c r="CB655" s="28"/>
      <c r="CC655" s="28"/>
      <c r="CD655" s="28"/>
      <c r="CE655" s="28"/>
      <c r="CF655" s="312"/>
      <c r="CG655" s="28"/>
      <c r="CH655" s="28"/>
      <c r="CI655" s="28"/>
      <c r="CJ655" s="28"/>
      <c r="CK655" s="312"/>
      <c r="CL655" s="28"/>
      <c r="CM655" s="28"/>
      <c r="CN655" s="28"/>
      <c r="CO655" s="28"/>
      <c r="CP655" s="312"/>
      <c r="CQ655" s="933"/>
      <c r="CR655" s="933"/>
      <c r="CS655" s="933"/>
      <c r="CT655" s="933"/>
      <c r="CU655" s="312"/>
      <c r="CV655" s="933"/>
      <c r="CW655" s="926"/>
      <c r="CX655" s="649">
        <v>0.20899999999999999</v>
      </c>
      <c r="CY655" s="649">
        <v>0.13800000000000001</v>
      </c>
      <c r="CZ655" s="308">
        <f>CZ654-CZ$21</f>
      </c>
      <c r="DA655" s="649">
        <v>0.17799999999999999</v>
      </c>
      <c r="DB655" s="361">
        <v>0.18099999999999999</v>
      </c>
      <c r="DC655" s="1109">
        <v>0.13200000000000001</v>
      </c>
      <c r="DD655" s="927">
        <v>7.4999999999999997E-2</v>
      </c>
      <c r="DE655" s="308">
        <f>DE654-DE$21</f>
      </c>
      <c r="DF655" s="649">
        <v>0.15</v>
      </c>
      <c r="DG655" s="649">
        <v>-0.05</v>
      </c>
      <c r="DH655" s="649">
        <v>0.15</v>
      </c>
      <c r="DI655" s="928">
        <f>IF(DI649=0, "NM",DI654-DI$21)</f>
      </c>
      <c r="DJ655" s="308">
        <f>DJ654-DJ$21</f>
      </c>
      <c r="DK655" s="1271">
        <v>0.11</v>
      </c>
      <c r="DL655" s="29">
        <v>0.18099999999999999</v>
      </c>
      <c r="DM655" s="29">
        <v>0.25</v>
      </c>
      <c r="DN655" s="928">
        <f>IF(DN649=0, "NM",DN654-DN$21)</f>
      </c>
      <c r="DO655" s="928">
        <f t="shared" ref="DO655:DT655" si="1614">DO654-DO$21</f>
      </c>
      <c r="DP655" s="926">
        <f t="shared" si="1614"/>
      </c>
      <c r="DQ655" s="410">
        <f t="shared" si="1614"/>
      </c>
      <c r="DR655" s="410">
        <f t="shared" si="1614"/>
      </c>
      <c r="DS655" s="875">
        <f t="shared" si="1614"/>
      </c>
      <c r="DT655" s="928">
        <f t="shared" si="1614"/>
      </c>
      <c r="DU655" s="958">
        <f>DU654-(-7.7%)</f>
      </c>
      <c r="DV655" s="926">
        <f>DV654-(-2.6%)</f>
      </c>
      <c r="DW655" s="926">
        <f>DW654-(0.7%)</f>
      </c>
      <c r="DX655" s="875">
        <f>DX654-(0.4%)</f>
      </c>
      <c r="DY655" s="928">
        <f>DY654-DY$21</f>
      </c>
      <c r="DZ655" s="1703">
        <f>DZ654-(-3.8%)</f>
      </c>
      <c r="EA655" s="1703">
        <f>EA654-(-5.5%)</f>
      </c>
      <c r="EB655" s="1703">
        <f>EB654-(-1.9%)</f>
      </c>
      <c r="EC655" s="1703">
        <f>EC654-(-2.7%)</f>
      </c>
      <c r="ED655" s="1060">
        <f>ED654-ED$21</f>
      </c>
      <c r="EE655" s="1703">
        <f>EE654-(-3.8%)</f>
      </c>
      <c r="EF655" s="1703">
        <f>EF654-(-5.5%)</f>
      </c>
      <c r="EG655" s="1703">
        <f>EG654-(-1.9%)</f>
      </c>
      <c r="EH655" s="1063">
        <f>IF(EH649=0, "NM",EH654-EH$21)</f>
      </c>
      <c r="EI655" s="3549">
        <v>1.4999999999999999E-2</v>
      </c>
      <c r="EJ655" s="2221">
        <v>-0.12</v>
      </c>
      <c r="EK655" s="2221">
        <v>-0.25</v>
      </c>
      <c r="EL655" s="2221">
        <v>-0.3</v>
      </c>
      <c r="EM655" s="2221">
        <v>-0.15</v>
      </c>
      <c r="EN655" s="2221">
        <v>-0.4</v>
      </c>
      <c r="EO655" s="2221">
        <v>-0.15</v>
      </c>
      <c r="EP655" s="2221">
        <v>-0.15</v>
      </c>
      <c r="EQ655" s="2221">
        <v>-0.05</v>
      </c>
      <c r="ER655" s="2221">
        <v>-0.05</v>
      </c>
      <c r="ES655" s="2221">
        <v>-0.05</v>
      </c>
      <c r="ET655" s="1444"/>
      <c r="EU655" s="1444"/>
      <c r="EV655" s="1444"/>
      <c r="EW655" s="1444"/>
      <c r="EX655" s="1444"/>
    </row>
    <row r="656" spans="1:154">
      <c r="B656" s="1390" t="s">
        <v>611</v>
      </c>
      <c r="C656" s="1995"/>
      <c r="D656" s="28"/>
      <c r="E656" s="28"/>
      <c r="F656" s="28"/>
      <c r="G656" s="28"/>
      <c r="H656" s="28"/>
      <c r="I656" s="28"/>
      <c r="J656" s="28"/>
      <c r="K656" s="28"/>
      <c r="L656" s="28"/>
      <c r="M656" s="28"/>
      <c r="N656" s="28"/>
      <c r="O656" s="28"/>
      <c r="P656" s="28"/>
      <c r="Q656" s="28"/>
      <c r="R656" s="28"/>
      <c r="S656" s="28"/>
      <c r="T656" s="28"/>
      <c r="U656" s="28"/>
      <c r="V656" s="28"/>
      <c r="W656" s="28"/>
      <c r="X656" s="312"/>
      <c r="Y656" s="28"/>
      <c r="Z656" s="28"/>
      <c r="AA656" s="28"/>
      <c r="AB656" s="28"/>
      <c r="AC656" s="312"/>
      <c r="AD656" s="28"/>
      <c r="AE656" s="28"/>
      <c r="AF656" s="28"/>
      <c r="AG656" s="28"/>
      <c r="AH656" s="312"/>
      <c r="AI656" s="28"/>
      <c r="AJ656" s="28"/>
      <c r="AK656" s="28"/>
      <c r="AL656" s="28"/>
      <c r="AM656" s="312"/>
      <c r="AN656" s="28"/>
      <c r="AO656" s="28"/>
      <c r="AP656" s="28"/>
      <c r="AQ656" s="28"/>
      <c r="AR656" s="312"/>
      <c r="AS656" s="28"/>
      <c r="AT656" s="28"/>
      <c r="AU656" s="28"/>
      <c r="AV656" s="28"/>
      <c r="AW656" s="312"/>
      <c r="AX656" s="40"/>
      <c r="AY656" s="40"/>
      <c r="AZ656" s="40"/>
      <c r="BA656" s="40"/>
      <c r="BB656" s="312"/>
      <c r="BC656" s="28"/>
      <c r="BD656" s="28"/>
      <c r="BE656" s="28"/>
      <c r="BF656" s="28"/>
      <c r="BG656" s="322"/>
      <c r="BH656" s="277"/>
      <c r="BI656" s="277"/>
      <c r="BJ656" s="28"/>
      <c r="BK656" s="28"/>
      <c r="BL656" s="312"/>
      <c r="BM656" s="28"/>
      <c r="BN656" s="28"/>
      <c r="BO656" s="28"/>
      <c r="BP656" s="28"/>
      <c r="BQ656" s="312"/>
      <c r="BR656" s="28"/>
      <c r="BS656" s="28"/>
      <c r="BT656" s="28"/>
      <c r="BU656" s="28"/>
      <c r="BV656" s="312"/>
      <c r="BW656" s="28"/>
      <c r="BX656" s="28"/>
      <c r="BY656" s="28"/>
      <c r="BZ656" s="28"/>
      <c r="CA656" s="312"/>
      <c r="CB656" s="28"/>
      <c r="CC656" s="28"/>
      <c r="CD656" s="28"/>
      <c r="CE656" s="28"/>
      <c r="CF656" s="312"/>
      <c r="CG656" s="28"/>
      <c r="CH656" s="28"/>
      <c r="CI656" s="28"/>
      <c r="CJ656" s="28"/>
      <c r="CK656" s="312"/>
      <c r="CL656" s="28"/>
      <c r="CM656" s="28"/>
      <c r="CN656" s="28"/>
      <c r="CO656" s="28"/>
      <c r="CP656" s="312"/>
      <c r="CQ656" s="933"/>
      <c r="CR656" s="933"/>
      <c r="CS656" s="933"/>
      <c r="CT656" s="933"/>
      <c r="CU656" s="312"/>
      <c r="CV656" s="933"/>
      <c r="CW656" s="926"/>
      <c r="CX656" s="926">
        <f t="shared" ref="CX656:DC656" si="1615">IF(CS650=0, "NA", CX650/CS650-1)</f>
      </c>
      <c r="CY656" s="926">
        <f t="shared" si="1615"/>
      </c>
      <c r="CZ656" s="308">
        <f t="shared" si="1615"/>
      </c>
      <c r="DA656" s="926">
        <f t="shared" si="1615"/>
      </c>
      <c r="DB656" s="926">
        <f t="shared" si="1615"/>
      </c>
      <c r="DC656" s="1219">
        <f t="shared" si="1615"/>
      </c>
      <c r="DD656" s="928">
        <f>IF(CY650=0, "NM", DD650/CY650-1)</f>
      </c>
      <c r="DE656" s="308">
        <f>IF(CZ650=0, "NA", DE650/CZ650-1)</f>
      </c>
      <c r="DF656" s="926">
        <f>IF(DA650=0, "NA", DF650/DA650-1)</f>
      </c>
      <c r="DG656" s="926">
        <f>IF(DB650=0, "NA", DG650/DB650-1)</f>
      </c>
      <c r="DH656" s="926">
        <f>IF(DC650=0, "NA", DH650/DC650-1)</f>
      </c>
      <c r="DI656" s="928">
        <f>IF(DD650=0, "NM", DI650/DD650-1)</f>
      </c>
      <c r="DJ656" s="308">
        <f>IF(DE650=0, "NA", DJ650/DE650-1)</f>
      </c>
      <c r="DK656" s="926">
        <f>IF(DF650=0, "NA", DK650/DF650-1)</f>
      </c>
      <c r="DL656" s="926">
        <f>IF(DG650=0, "NA", DL650/DG650-1)</f>
      </c>
      <c r="DM656" s="926">
        <f>IF(DH650=0, "NA", DM650/DH650-1)</f>
      </c>
      <c r="DN656" s="928">
        <f>IF(DI650=0, "NM", DN650/DI650-1)</f>
      </c>
      <c r="DO656" s="928">
        <f>DO650/DJ650-1</f>
      </c>
      <c r="DP656" s="958">
        <f>IF(DK650=0, "NA", DP650/DK650-1)</f>
      </c>
      <c r="DQ656" s="926">
        <f>IF(DL650=0, "NA", DQ650/DL650-1)</f>
      </c>
      <c r="DR656" s="926">
        <f>IF(DM650=0, "NA", DR650/DM650-1)</f>
      </c>
      <c r="DS656" s="928">
        <f>IF(DN650=0, "NM", DS650/DN650-1)</f>
      </c>
      <c r="DT656" s="308">
        <f>DT650/DO650-1</f>
      </c>
      <c r="DU656" s="958">
        <f>IF(DP650=0, "NA", DU650/DP650-1)</f>
      </c>
      <c r="DV656" s="926">
        <f>IF(DQ650=0, "NA", DV650/DQ650-1)</f>
      </c>
      <c r="DW656" s="926">
        <f>IF(DR650=0, "NA", DW650/DR650-1)</f>
      </c>
      <c r="DX656" s="928">
        <f>IF(DS650=0, "NA", DX650/DS650-1)</f>
      </c>
      <c r="DY656" s="308">
        <f>DY650/DT650-1</f>
      </c>
      <c r="DZ656" s="926">
        <f>IF(DU650=0, "NA", DZ650/DU650-1)</f>
      </c>
      <c r="EA656" s="926">
        <f>IF(DV650=0, "NA", EA650/DV650-1)</f>
      </c>
      <c r="EB656" s="926">
        <f>IF(DW650=0, "NA", EB650/DW650-1)</f>
      </c>
      <c r="EC656" s="926">
        <f>IF(DX650=0, "NA", EC650/DX650-1)</f>
      </c>
      <c r="ED656" s="308">
        <f>ED650/DY650-1</f>
      </c>
      <c r="EE656" s="926">
        <f>IF(DZ650=0, "NA", EE650/DZ650-1)</f>
      </c>
      <c r="EF656" s="926">
        <f>IF(EA650=0, "NA", EF650/EA650-1)</f>
      </c>
      <c r="EG656" s="926">
        <f>IF(EB650=0, "NA", EG650/EB650-1)</f>
      </c>
      <c r="EH656" s="928">
        <f>IF(EC650=0, "NM", EH650/EC650-1)</f>
      </c>
      <c r="EI656" s="308">
        <f>EI650/ED650-1</f>
      </c>
      <c r="EJ656" s="308">
        <f t="shared" ref="EJ656" si="1616">EJ650/EI650-1</f>
      </c>
      <c r="EK656" s="308">
        <f t="shared" ref="EK656:ES656" si="1617">EK650/EJ650-1</f>
      </c>
      <c r="EL656" s="308">
        <f t="shared" si="1617"/>
      </c>
      <c r="EM656" s="308">
        <f t="shared" si="1617"/>
      </c>
      <c r="EN656" s="308">
        <f t="shared" si="1617"/>
      </c>
      <c r="EO656" s="308">
        <f t="shared" si="1617"/>
      </c>
      <c r="EP656" s="308">
        <f t="shared" si="1617"/>
      </c>
      <c r="EQ656" s="308">
        <f t="shared" si="1617"/>
      </c>
      <c r="ER656" s="308">
        <f t="shared" si="1617"/>
      </c>
      <c r="ES656" s="308">
        <f t="shared" si="1617"/>
      </c>
      <c r="ET656" s="409"/>
      <c r="EU656" s="409"/>
      <c r="EV656" s="409"/>
      <c r="EW656" s="409"/>
      <c r="EX656" s="409"/>
    </row>
    <row r="657" spans="1:154">
      <c r="B657" s="1171"/>
      <c r="C657" s="1995"/>
      <c r="D657" s="28"/>
      <c r="E657" s="28"/>
      <c r="F657" s="28"/>
      <c r="G657" s="28"/>
      <c r="H657" s="28"/>
      <c r="I657" s="28"/>
      <c r="J657" s="28"/>
      <c r="K657" s="28"/>
      <c r="L657" s="28"/>
      <c r="M657" s="28"/>
      <c r="N657" s="28"/>
      <c r="O657" s="28"/>
      <c r="P657" s="28"/>
      <c r="Q657" s="28"/>
      <c r="R657" s="28"/>
      <c r="S657" s="28"/>
      <c r="T657" s="28"/>
      <c r="U657" s="28"/>
      <c r="V657" s="28"/>
      <c r="W657" s="28"/>
      <c r="X657" s="312"/>
      <c r="Y657" s="28"/>
      <c r="Z657" s="28"/>
      <c r="AA657" s="28"/>
      <c r="AB657" s="28"/>
      <c r="AC657" s="312"/>
      <c r="AD657" s="28"/>
      <c r="AE657" s="28"/>
      <c r="AF657" s="28"/>
      <c r="AG657" s="28"/>
      <c r="AH657" s="312"/>
      <c r="AI657" s="28"/>
      <c r="AJ657" s="28"/>
      <c r="AK657" s="28"/>
      <c r="AL657" s="28"/>
      <c r="AM657" s="312"/>
      <c r="AN657" s="28"/>
      <c r="AO657" s="28"/>
      <c r="AP657" s="28"/>
      <c r="AQ657" s="28"/>
      <c r="AR657" s="312"/>
      <c r="AS657" s="28"/>
      <c r="AT657" s="28"/>
      <c r="AU657" s="28"/>
      <c r="AV657" s="28"/>
      <c r="AW657" s="312"/>
      <c r="AX657" s="40"/>
      <c r="AY657" s="40"/>
      <c r="AZ657" s="40"/>
      <c r="BA657" s="40"/>
      <c r="BB657" s="312"/>
      <c r="BC657" s="28"/>
      <c r="BD657" s="28"/>
      <c r="BE657" s="28"/>
      <c r="BF657" s="28"/>
      <c r="BG657" s="322"/>
      <c r="BH657" s="277"/>
      <c r="BI657" s="277"/>
      <c r="BJ657" s="28"/>
      <c r="BK657" s="28"/>
      <c r="BL657" s="312"/>
      <c r="BM657" s="28"/>
      <c r="BN657" s="28"/>
      <c r="BO657" s="28"/>
      <c r="BP657" s="28"/>
      <c r="BQ657" s="312"/>
      <c r="BR657" s="28"/>
      <c r="BS657" s="28"/>
      <c r="BT657" s="28"/>
      <c r="BU657" s="28"/>
      <c r="BV657" s="312"/>
      <c r="BW657" s="28"/>
      <c r="BX657" s="28"/>
      <c r="BY657" s="28"/>
      <c r="BZ657" s="28"/>
      <c r="CA657" s="312"/>
      <c r="CB657" s="28"/>
      <c r="CC657" s="28"/>
      <c r="CD657" s="28"/>
      <c r="CE657" s="28"/>
      <c r="CF657" s="312"/>
      <c r="CG657" s="28"/>
      <c r="CH657" s="28"/>
      <c r="CI657" s="28"/>
      <c r="CJ657" s="28"/>
      <c r="CK657" s="312"/>
      <c r="CL657" s="28"/>
      <c r="CM657" s="28"/>
      <c r="CN657" s="28"/>
      <c r="CO657" s="28"/>
      <c r="CP657" s="312"/>
      <c r="CQ657" s="933"/>
      <c r="CR657" s="933"/>
      <c r="CS657" s="933"/>
      <c r="CT657" s="933"/>
      <c r="CU657" s="312"/>
      <c r="CV657" s="933"/>
      <c r="CW657" s="933"/>
      <c r="CX657" s="933"/>
      <c r="CY657" s="933"/>
      <c r="CZ657" s="312"/>
      <c r="DA657" s="933"/>
      <c r="DB657" s="933"/>
      <c r="DC657" s="1227"/>
      <c r="DD657" s="962"/>
      <c r="DE657" s="445"/>
      <c r="DF657" s="982"/>
      <c r="DG657" s="982"/>
      <c r="DH657" s="982"/>
      <c r="DI657" s="1875"/>
      <c r="DJ657" s="445"/>
      <c r="DK657" s="1800"/>
      <c r="DL657" s="444"/>
      <c r="DM657" s="444"/>
      <c r="DN657" s="1788"/>
      <c r="DO657" s="1788"/>
      <c r="DP657" s="41"/>
      <c r="DQ657" s="444"/>
      <c r="DR657" s="444"/>
      <c r="DS657" s="1788"/>
      <c r="DT657" s="445"/>
      <c r="DU657" s="982"/>
      <c r="DV657" s="982"/>
      <c r="DW657" s="982"/>
      <c r="DX657" s="1875"/>
      <c r="DY657" s="445"/>
      <c r="DZ657" s="982"/>
      <c r="EA657" s="982"/>
      <c r="EB657" s="982"/>
      <c r="EC657" s="982"/>
      <c r="ED657" s="1866"/>
      <c r="EE657" s="982"/>
      <c r="EF657" s="982"/>
      <c r="EG657" s="982"/>
      <c r="EH657" s="1875"/>
      <c r="EI657" s="445"/>
      <c r="EJ657" s="445"/>
      <c r="EK657" s="445"/>
      <c r="EL657" s="445"/>
      <c r="EM657" s="445"/>
      <c r="EN657" s="1788"/>
      <c r="EO657" s="1788"/>
      <c r="EP657" s="445"/>
      <c r="EQ657" s="445"/>
      <c r="ER657" s="445"/>
      <c r="ES657" s="445"/>
      <c r="ET657" s="445"/>
      <c r="EU657" s="445"/>
      <c r="EV657" s="445"/>
      <c r="EW657" s="445"/>
      <c r="EX657" s="445"/>
    </row>
    <row r="658" spans="1:154" hidden="1" outlineLevel="1">
      <c r="B658" s="1389" t="s">
        <v>625</v>
      </c>
      <c r="C658" s="1995"/>
      <c r="D658" s="28"/>
      <c r="E658" s="28"/>
      <c r="F658" s="28"/>
      <c r="G658" s="28"/>
      <c r="H658" s="28"/>
      <c r="I658" s="28"/>
      <c r="J658" s="28"/>
      <c r="K658" s="28"/>
      <c r="L658" s="28"/>
      <c r="M658" s="28"/>
      <c r="N658" s="28"/>
      <c r="O658" s="28"/>
      <c r="P658" s="28"/>
      <c r="Q658" s="28"/>
      <c r="R658" s="28"/>
      <c r="S658" s="28"/>
      <c r="T658" s="28"/>
      <c r="U658" s="28"/>
      <c r="V658" s="28"/>
      <c r="W658" s="28"/>
      <c r="X658" s="312"/>
      <c r="Y658" s="28"/>
      <c r="Z658" s="28"/>
      <c r="AA658" s="28"/>
      <c r="AB658" s="28"/>
      <c r="AC658" s="312"/>
      <c r="AD658" s="28"/>
      <c r="AE658" s="28"/>
      <c r="AF658" s="28"/>
      <c r="AG658" s="28"/>
      <c r="AH658" s="312"/>
      <c r="AI658" s="28"/>
      <c r="AJ658" s="28"/>
      <c r="AK658" s="28"/>
      <c r="AL658" s="28"/>
      <c r="AM658" s="312"/>
      <c r="AN658" s="28"/>
      <c r="AO658" s="28"/>
      <c r="AP658" s="28"/>
      <c r="AQ658" s="28"/>
      <c r="AR658" s="312"/>
      <c r="AS658" s="28"/>
      <c r="AT658" s="28"/>
      <c r="AU658" s="28"/>
      <c r="AV658" s="28"/>
      <c r="AW658" s="312"/>
      <c r="AX658" s="40"/>
      <c r="AY658" s="40"/>
      <c r="AZ658" s="40"/>
      <c r="BA658" s="40"/>
      <c r="BB658" s="312"/>
      <c r="BC658" s="28"/>
      <c r="BD658" s="28"/>
      <c r="BE658" s="28"/>
      <c r="BF658" s="28"/>
      <c r="BG658" s="322"/>
      <c r="BH658" s="277"/>
      <c r="BI658" s="277"/>
      <c r="BJ658" s="28"/>
      <c r="BK658" s="28"/>
      <c r="BL658" s="312"/>
      <c r="BM658" s="28"/>
      <c r="BN658" s="28"/>
      <c r="BO658" s="28"/>
      <c r="BP658" s="28"/>
      <c r="BQ658" s="312"/>
      <c r="BR658" s="28"/>
      <c r="BS658" s="28"/>
      <c r="BT658" s="28"/>
      <c r="BU658" s="28"/>
      <c r="BV658" s="312"/>
      <c r="BW658" s="28"/>
      <c r="BX658" s="28"/>
      <c r="BY658" s="28"/>
      <c r="BZ658" s="28"/>
      <c r="CA658" s="312"/>
      <c r="CB658" s="28"/>
      <c r="CC658" s="28"/>
      <c r="CD658" s="28"/>
      <c r="CE658" s="28"/>
      <c r="CF658" s="312"/>
      <c r="CG658" s="28"/>
      <c r="CH658" s="28"/>
      <c r="CI658" s="28"/>
      <c r="CJ658" s="28"/>
      <c r="CK658" s="312"/>
      <c r="CL658" s="28"/>
      <c r="CM658" s="28"/>
      <c r="CN658" s="28"/>
      <c r="CO658" s="28"/>
      <c r="CP658" s="312"/>
      <c r="CQ658" s="933"/>
      <c r="CR658" s="933"/>
      <c r="CS658" s="933"/>
      <c r="CT658" s="933"/>
      <c r="CU658" s="312"/>
      <c r="CV658" s="933"/>
      <c r="CW658" s="933"/>
      <c r="CX658" s="933"/>
      <c r="CY658" s="933"/>
      <c r="CZ658" s="312"/>
      <c r="DA658" s="933"/>
      <c r="DB658" s="933"/>
      <c r="DC658" s="933"/>
      <c r="DD658" s="962"/>
      <c r="DE658" s="445"/>
      <c r="DF658" s="982"/>
      <c r="DG658" s="982"/>
      <c r="DH658" s="1842"/>
      <c r="DI658" s="1875"/>
      <c r="DJ658" s="445"/>
      <c r="DK658" s="1800"/>
      <c r="DL658" s="444"/>
      <c r="DM658" s="444"/>
      <c r="DN658" s="1788"/>
      <c r="DO658" s="1788"/>
      <c r="DP658" s="444"/>
      <c r="DQ658" s="444"/>
      <c r="DR658" s="444"/>
      <c r="DS658" s="1788"/>
      <c r="DT658" s="445"/>
      <c r="DU658" s="982"/>
      <c r="DV658" s="982"/>
      <c r="DW658" s="982"/>
      <c r="DX658" s="1875"/>
      <c r="DY658" s="445"/>
      <c r="DZ658" s="982"/>
      <c r="EA658" s="982"/>
      <c r="EB658" s="982"/>
      <c r="EC658" s="1875"/>
      <c r="ED658" s="1866"/>
      <c r="EE658" s="982"/>
      <c r="EF658" s="982"/>
      <c r="EG658" s="982"/>
      <c r="EH658" s="1875"/>
      <c r="EI658" s="445"/>
      <c r="EJ658" s="445"/>
      <c r="EK658" s="445"/>
      <c r="EL658" s="445"/>
      <c r="EM658" s="445"/>
      <c r="EN658" s="1788"/>
      <c r="EO658" s="1788"/>
      <c r="EP658" s="445"/>
      <c r="EQ658" s="445"/>
      <c r="ER658" s="445"/>
      <c r="ES658" s="445"/>
      <c r="ET658" s="445"/>
      <c r="EU658" s="445"/>
      <c r="EV658" s="445"/>
      <c r="EW658" s="445"/>
      <c r="EX658" s="445"/>
    </row>
    <row r="659" spans="1:154" hidden="1" outlineLevel="1">
      <c r="A659" s="3275" t="str">
        <f>+A661&amp;" - US"</f>
      </c>
      <c r="B659" s="1390" t="s">
        <v>610</v>
      </c>
      <c r="C659" s="2001" t="s">
        <v>719</v>
      </c>
      <c r="D659" s="28"/>
      <c r="E659" s="28"/>
      <c r="F659" s="28"/>
      <c r="G659" s="28"/>
      <c r="H659" s="28"/>
      <c r="I659" s="28"/>
      <c r="J659" s="28"/>
      <c r="K659" s="28"/>
      <c r="L659" s="28"/>
      <c r="M659" s="28"/>
      <c r="N659" s="28"/>
      <c r="O659" s="28"/>
      <c r="P659" s="28"/>
      <c r="Q659" s="28"/>
      <c r="R659" s="28"/>
      <c r="S659" s="28"/>
      <c r="T659" s="28"/>
      <c r="U659" s="28"/>
      <c r="V659" s="28"/>
      <c r="W659" s="28"/>
      <c r="X659" s="312"/>
      <c r="Y659" s="28"/>
      <c r="Z659" s="28"/>
      <c r="AA659" s="28"/>
      <c r="AB659" s="28"/>
      <c r="AC659" s="312"/>
      <c r="AD659" s="28"/>
      <c r="AE659" s="28"/>
      <c r="AF659" s="28"/>
      <c r="AG659" s="28"/>
      <c r="AH659" s="312"/>
      <c r="AI659" s="28"/>
      <c r="AJ659" s="28"/>
      <c r="AK659" s="28"/>
      <c r="AL659" s="28"/>
      <c r="AM659" s="312"/>
      <c r="AN659" s="28"/>
      <c r="AO659" s="28"/>
      <c r="AP659" s="28"/>
      <c r="AQ659" s="28"/>
      <c r="AR659" s="312"/>
      <c r="AS659" s="28"/>
      <c r="AT659" s="28"/>
      <c r="AU659" s="28"/>
      <c r="AV659" s="28"/>
      <c r="AW659" s="312"/>
      <c r="AX659" s="40"/>
      <c r="AY659" s="40"/>
      <c r="AZ659" s="40"/>
      <c r="BA659" s="40"/>
      <c r="BB659" s="312"/>
      <c r="BC659" s="28"/>
      <c r="BD659" s="28"/>
      <c r="BE659" s="28"/>
      <c r="BF659" s="28"/>
      <c r="BG659" s="322"/>
      <c r="BH659" s="277"/>
      <c r="BI659" s="277"/>
      <c r="BJ659" s="28"/>
      <c r="BK659" s="28"/>
      <c r="BL659" s="312"/>
      <c r="BM659" s="28"/>
      <c r="BN659" s="28"/>
      <c r="BO659" s="28"/>
      <c r="BP659" s="28"/>
      <c r="BQ659" s="312"/>
      <c r="BR659" s="28"/>
      <c r="BS659" s="28"/>
      <c r="BT659" s="28"/>
      <c r="BU659" s="28"/>
      <c r="BV659" s="312"/>
      <c r="BW659" s="28"/>
      <c r="BX659" s="28"/>
      <c r="BY659" s="28"/>
      <c r="BZ659" s="28"/>
      <c r="CA659" s="312"/>
      <c r="CB659" s="28"/>
      <c r="CC659" s="28"/>
      <c r="CD659" s="28"/>
      <c r="CE659" s="28"/>
      <c r="CF659" s="312"/>
      <c r="CG659" s="28"/>
      <c r="CH659" s="28"/>
      <c r="CI659" s="28"/>
      <c r="CJ659" s="28"/>
      <c r="CK659" s="312"/>
      <c r="CL659" s="28"/>
      <c r="CM659" s="28"/>
      <c r="CN659" s="28"/>
      <c r="CO659" s="28"/>
      <c r="CP659" s="312"/>
      <c r="CQ659" s="933"/>
      <c r="CR659" s="352">
        <v>2</v>
      </c>
      <c r="CS659" s="352">
        <v>83</v>
      </c>
      <c r="CT659" s="352">
        <v>76</v>
      </c>
      <c r="CU659" s="1061">
        <f>+SUM(CQ659:CT659)</f>
      </c>
      <c r="CV659" s="352">
        <v>68</v>
      </c>
      <c r="CW659" s="352">
        <v>71</v>
      </c>
      <c r="CX659" s="352">
        <v>69</v>
      </c>
      <c r="CY659" s="352">
        <v>60</v>
      </c>
      <c r="CZ659" s="1061">
        <f>+SUM(CV659:CY659)</f>
      </c>
      <c r="DA659" s="352">
        <v>61</v>
      </c>
      <c r="DB659" s="352">
        <v>41</v>
      </c>
      <c r="DC659" s="352">
        <v>19</v>
      </c>
      <c r="DD659" s="984">
        <v>10</v>
      </c>
      <c r="DE659" s="445">
        <f>SUM(DA659:DD659)</f>
      </c>
      <c r="DF659" s="710">
        <v>31</v>
      </c>
      <c r="DG659" s="710">
        <v>28.7</v>
      </c>
      <c r="DH659" s="1878">
        <f>+(1+DH664)*DC659</f>
      </c>
      <c r="DI659" s="1879">
        <v>15</v>
      </c>
      <c r="DJ659" s="573">
        <f>SUM(DF659:DI659)</f>
      </c>
      <c r="DK659" s="1880">
        <v>0</v>
      </c>
      <c r="DL659" s="1542">
        <v>0</v>
      </c>
      <c r="DM659" s="1542">
        <v>0</v>
      </c>
      <c r="DN659" s="1556">
        <v>0</v>
      </c>
      <c r="DO659" s="573">
        <f>SUM(DK659:DN659)</f>
      </c>
      <c r="DP659" s="1542">
        <v>0</v>
      </c>
      <c r="DQ659" s="1542">
        <v>0</v>
      </c>
      <c r="DR659" s="1542">
        <v>0</v>
      </c>
      <c r="DS659" s="1556">
        <f>+DT659-SUM(DP659:DR659)</f>
      </c>
      <c r="DT659" s="573">
        <f>DO659*(1+DT664)</f>
      </c>
      <c r="DU659" s="1542">
        <v>0</v>
      </c>
      <c r="DV659" s="1542">
        <v>0</v>
      </c>
      <c r="DW659" s="1542">
        <v>0</v>
      </c>
      <c r="DX659" s="1556">
        <f>+DY659-SUM(DU659:DW659)</f>
      </c>
      <c r="DY659" s="573">
        <f>DT659*(1+DY664)</f>
      </c>
      <c r="DZ659" s="1542"/>
      <c r="EA659" s="1542"/>
      <c r="EB659" s="1542"/>
      <c r="EC659" s="1556"/>
      <c r="ED659" s="2060"/>
      <c r="EE659" s="1542"/>
      <c r="EF659" s="1542"/>
      <c r="EG659" s="1542"/>
      <c r="EH659" s="1556"/>
      <c r="EI659" s="573"/>
      <c r="EJ659" s="573"/>
      <c r="EK659" s="445"/>
      <c r="EL659" s="445"/>
      <c r="EM659" s="445"/>
      <c r="EN659" s="1788"/>
      <c r="EO659" s="1788"/>
      <c r="EP659" s="445"/>
      <c r="EQ659" s="445"/>
      <c r="ER659" s="445"/>
      <c r="ES659" s="445"/>
      <c r="ET659" s="445"/>
      <c r="EU659" s="445"/>
      <c r="EV659" s="445"/>
      <c r="EW659" s="445"/>
      <c r="EX659" s="445"/>
    </row>
    <row r="660" spans="1:154" hidden="1" outlineLevel="1">
      <c r="A660" s="3275" t="str">
        <f>+A661&amp;" - OUS"</f>
      </c>
      <c r="B660" s="1390" t="s">
        <v>412</v>
      </c>
      <c r="C660" s="2001" t="s">
        <v>720</v>
      </c>
      <c r="D660" s="28"/>
      <c r="E660" s="28"/>
      <c r="F660" s="28"/>
      <c r="G660" s="28"/>
      <c r="H660" s="28"/>
      <c r="I660" s="28"/>
      <c r="J660" s="28"/>
      <c r="K660" s="28"/>
      <c r="L660" s="28"/>
      <c r="M660" s="28"/>
      <c r="N660" s="28"/>
      <c r="O660" s="28"/>
      <c r="P660" s="28"/>
      <c r="Q660" s="28"/>
      <c r="R660" s="28"/>
      <c r="S660" s="28"/>
      <c r="T660" s="28"/>
      <c r="U660" s="28"/>
      <c r="V660" s="28"/>
      <c r="W660" s="28"/>
      <c r="X660" s="312"/>
      <c r="Y660" s="28"/>
      <c r="Z660" s="28"/>
      <c r="AA660" s="28"/>
      <c r="AB660" s="28"/>
      <c r="AC660" s="312"/>
      <c r="AD660" s="28"/>
      <c r="AE660" s="28"/>
      <c r="AF660" s="28"/>
      <c r="AG660" s="28"/>
      <c r="AH660" s="312"/>
      <c r="AI660" s="28"/>
      <c r="AJ660" s="28"/>
      <c r="AK660" s="28"/>
      <c r="AL660" s="28"/>
      <c r="AM660" s="312"/>
      <c r="AN660" s="28"/>
      <c r="AO660" s="28"/>
      <c r="AP660" s="28"/>
      <c r="AQ660" s="28"/>
      <c r="AR660" s="312"/>
      <c r="AS660" s="28"/>
      <c r="AT660" s="28"/>
      <c r="AU660" s="28"/>
      <c r="AV660" s="28"/>
      <c r="AW660" s="312"/>
      <c r="AX660" s="40"/>
      <c r="AY660" s="40"/>
      <c r="AZ660" s="40"/>
      <c r="BA660" s="40"/>
      <c r="BB660" s="312"/>
      <c r="BC660" s="28"/>
      <c r="BD660" s="28"/>
      <c r="BE660" s="28"/>
      <c r="BF660" s="28"/>
      <c r="BG660" s="322"/>
      <c r="BH660" s="277"/>
      <c r="BI660" s="277"/>
      <c r="BJ660" s="28"/>
      <c r="BK660" s="28"/>
      <c r="BL660" s="312"/>
      <c r="BM660" s="28"/>
      <c r="BN660" s="28"/>
      <c r="BO660" s="28"/>
      <c r="BP660" s="28"/>
      <c r="BQ660" s="312"/>
      <c r="BR660" s="28"/>
      <c r="BS660" s="28"/>
      <c r="BT660" s="28"/>
      <c r="BU660" s="28"/>
      <c r="BV660" s="312"/>
      <c r="BW660" s="28"/>
      <c r="BX660" s="28"/>
      <c r="BY660" s="28"/>
      <c r="BZ660" s="28"/>
      <c r="CA660" s="312"/>
      <c r="CB660" s="28"/>
      <c r="CC660" s="28"/>
      <c r="CD660" s="28"/>
      <c r="CE660" s="28"/>
      <c r="CF660" s="312"/>
      <c r="CG660" s="28"/>
      <c r="CH660" s="28"/>
      <c r="CI660" s="28"/>
      <c r="CJ660" s="28"/>
      <c r="CK660" s="312"/>
      <c r="CL660" s="28"/>
      <c r="CM660" s="28"/>
      <c r="CN660" s="28"/>
      <c r="CO660" s="28"/>
      <c r="CP660" s="312"/>
      <c r="CQ660" s="933"/>
      <c r="CR660" s="352">
        <v>24</v>
      </c>
      <c r="CS660" s="352">
        <v>127</v>
      </c>
      <c r="CT660" s="352">
        <v>91</v>
      </c>
      <c r="CU660" s="1061">
        <f>+SUM(CQ660:CT660)</f>
      </c>
      <c r="CV660" s="352">
        <v>72</v>
      </c>
      <c r="CW660" s="352">
        <v>72</v>
      </c>
      <c r="CX660" s="352">
        <v>70</v>
      </c>
      <c r="CY660" s="352">
        <v>64</v>
      </c>
      <c r="CZ660" s="1061">
        <f>+SUM(CV660:CY660)</f>
      </c>
      <c r="DA660" s="352">
        <v>56</v>
      </c>
      <c r="DB660" s="352">
        <v>62</v>
      </c>
      <c r="DC660" s="352">
        <v>46</v>
      </c>
      <c r="DD660" s="984">
        <v>46</v>
      </c>
      <c r="DE660" s="445">
        <f>SUM(DA660:DD660)</f>
      </c>
      <c r="DF660" s="710">
        <v>45</v>
      </c>
      <c r="DG660" s="710">
        <v>43.4</v>
      </c>
      <c r="DH660" s="1878">
        <f>+(1+DH665)*DC660</f>
      </c>
      <c r="DI660" s="1881">
        <v>38</v>
      </c>
      <c r="DJ660" s="573">
        <f>SUM(DF660:DI660)</f>
      </c>
      <c r="DK660" s="1880">
        <v>0</v>
      </c>
      <c r="DL660" s="1542">
        <v>0</v>
      </c>
      <c r="DM660" s="1542">
        <v>0</v>
      </c>
      <c r="DN660" s="1556">
        <v>0</v>
      </c>
      <c r="DO660" s="573">
        <f>SUM(DK660:DN660)</f>
      </c>
      <c r="DP660" s="1542">
        <v>0</v>
      </c>
      <c r="DQ660" s="1542">
        <v>0</v>
      </c>
      <c r="DR660" s="1542">
        <v>0</v>
      </c>
      <c r="DS660" s="1556">
        <f>+DT660-SUM(DP660:DR660)</f>
      </c>
      <c r="DT660" s="573">
        <f>DO660*(1+DT665)</f>
      </c>
      <c r="DU660" s="1542">
        <v>0</v>
      </c>
      <c r="DV660" s="1542">
        <v>0</v>
      </c>
      <c r="DW660" s="1542">
        <v>0</v>
      </c>
      <c r="DX660" s="1556">
        <f>+DY660-SUM(DU660:DW660)</f>
      </c>
      <c r="DY660" s="573">
        <f>DT660*(1+DY665)</f>
      </c>
      <c r="DZ660" s="1542"/>
      <c r="EA660" s="1542"/>
      <c r="EB660" s="1542"/>
      <c r="EC660" s="1556"/>
      <c r="ED660" s="2060"/>
      <c r="EE660" s="1542"/>
      <c r="EF660" s="1542"/>
      <c r="EG660" s="1542"/>
      <c r="EH660" s="1556"/>
      <c r="EI660" s="573"/>
      <c r="EJ660" s="573"/>
      <c r="EK660" s="445"/>
      <c r="EL660" s="1788"/>
      <c r="EM660" s="445"/>
      <c r="EN660" s="445"/>
      <c r="EO660" s="1788"/>
      <c r="EP660" s="445"/>
      <c r="EQ660" s="445"/>
      <c r="ER660" s="445"/>
      <c r="ES660" s="445"/>
      <c r="ET660" s="445"/>
      <c r="EU660" s="445"/>
      <c r="EV660" s="445"/>
      <c r="EW660" s="445"/>
      <c r="EX660" s="445"/>
    </row>
    <row r="661" spans="1:154" hidden="1" outlineLevel="1">
      <c r="A661" s="3275" t="s">
        <v>625</v>
      </c>
      <c r="B661" s="1390" t="s">
        <v>611</v>
      </c>
      <c r="C661" s="1995"/>
      <c r="D661" s="28"/>
      <c r="E661" s="28"/>
      <c r="F661" s="28"/>
      <c r="G661" s="28"/>
      <c r="H661" s="28"/>
      <c r="I661" s="28"/>
      <c r="J661" s="28"/>
      <c r="K661" s="28"/>
      <c r="L661" s="28"/>
      <c r="M661" s="28"/>
      <c r="N661" s="28"/>
      <c r="O661" s="28"/>
      <c r="P661" s="28"/>
      <c r="Q661" s="28"/>
      <c r="R661" s="28"/>
      <c r="S661" s="28"/>
      <c r="T661" s="28"/>
      <c r="U661" s="28"/>
      <c r="V661" s="28"/>
      <c r="W661" s="28"/>
      <c r="X661" s="312"/>
      <c r="Y661" s="28"/>
      <c r="Z661" s="28"/>
      <c r="AA661" s="28"/>
      <c r="AB661" s="28"/>
      <c r="AC661" s="312"/>
      <c r="AD661" s="28"/>
      <c r="AE661" s="28"/>
      <c r="AF661" s="28"/>
      <c r="AG661" s="28"/>
      <c r="AH661" s="312"/>
      <c r="AI661" s="28"/>
      <c r="AJ661" s="28"/>
      <c r="AK661" s="28"/>
      <c r="AL661" s="28"/>
      <c r="AM661" s="312"/>
      <c r="AN661" s="28"/>
      <c r="AO661" s="28"/>
      <c r="AP661" s="28"/>
      <c r="AQ661" s="28"/>
      <c r="AR661" s="312"/>
      <c r="AS661" s="28"/>
      <c r="AT661" s="28"/>
      <c r="AU661" s="28"/>
      <c r="AV661" s="28"/>
      <c r="AW661" s="312"/>
      <c r="AX661" s="40"/>
      <c r="AY661" s="40"/>
      <c r="AZ661" s="40"/>
      <c r="BA661" s="40"/>
      <c r="BB661" s="312"/>
      <c r="BC661" s="28"/>
      <c r="BD661" s="28"/>
      <c r="BE661" s="28"/>
      <c r="BF661" s="28"/>
      <c r="BG661" s="322"/>
      <c r="BH661" s="277"/>
      <c r="BI661" s="277"/>
      <c r="BJ661" s="28"/>
      <c r="BK661" s="28"/>
      <c r="BL661" s="312"/>
      <c r="BM661" s="28"/>
      <c r="BN661" s="28"/>
      <c r="BO661" s="28"/>
      <c r="BP661" s="28"/>
      <c r="BQ661" s="312"/>
      <c r="BR661" s="28"/>
      <c r="BS661" s="28"/>
      <c r="BT661" s="28"/>
      <c r="BU661" s="28"/>
      <c r="BV661" s="312"/>
      <c r="BW661" s="28"/>
      <c r="BX661" s="28"/>
      <c r="BY661" s="28"/>
      <c r="BZ661" s="28"/>
      <c r="CA661" s="312"/>
      <c r="CB661" s="28"/>
      <c r="CC661" s="28"/>
      <c r="CD661" s="28"/>
      <c r="CE661" s="28"/>
      <c r="CF661" s="312"/>
      <c r="CG661" s="28"/>
      <c r="CH661" s="28"/>
      <c r="CI661" s="28"/>
      <c r="CJ661" s="28"/>
      <c r="CK661" s="312"/>
      <c r="CL661" s="28"/>
      <c r="CM661" s="28"/>
      <c r="CN661" s="28"/>
      <c r="CO661" s="28"/>
      <c r="CP661" s="312"/>
      <c r="CQ661" s="933"/>
      <c r="CR661" s="933">
        <f>SUM(CR659:CR660)</f>
      </c>
      <c r="CS661" s="933">
        <f>SUM(CS659:CS660)</f>
      </c>
      <c r="CT661" s="933">
        <f>SUM(CT659:CT660)</f>
      </c>
      <c r="CU661" s="1061">
        <f>+SUM(CQ661:CT661)</f>
      </c>
      <c r="CV661" s="933">
        <f>SUM(CV659:CV660)</f>
      </c>
      <c r="CW661" s="933">
        <f>SUM(CW659:CW660)</f>
      </c>
      <c r="CX661" s="933">
        <f>SUM(CX659:CX660)</f>
      </c>
      <c r="CY661" s="933">
        <f>SUM(CY659:CY660)</f>
      </c>
      <c r="CZ661" s="1061">
        <f>+SUM(CV661:CY661)</f>
      </c>
      <c r="DA661" s="933">
        <f>SUM(DA659:DA660)</f>
      </c>
      <c r="DB661" s="933">
        <f>SUM(DB659:DB660)</f>
      </c>
      <c r="DC661" s="31">
        <f>SUM(DC659:DC660)</f>
      </c>
      <c r="DD661" s="984">
        <f>+DD659+DD660</f>
      </c>
      <c r="DE661" s="445">
        <f>SUM(DA661:DD661)</f>
      </c>
      <c r="DF661" s="1542">
        <f>SUM(DF659:DF660)</f>
      </c>
      <c r="DG661" s="1542">
        <f>SUM(DG659:DG660)</f>
      </c>
      <c r="DH661" s="1840">
        <f>SUM(DH659:DH660)</f>
      </c>
      <c r="DI661" s="1556">
        <f>+DI659+DI660</f>
      </c>
      <c r="DJ661" s="573">
        <f>SUM(DF661:DI661)</f>
      </c>
      <c r="DK661" s="1542">
        <f>SUM(DK659:DK660)</f>
      </c>
      <c r="DL661" s="1542">
        <f>SUM(DL659:DL660)</f>
      </c>
      <c r="DM661" s="1542">
        <f>SUM(DM659:DM660)</f>
      </c>
      <c r="DN661" s="1556">
        <f>+DN659+DN660</f>
      </c>
      <c r="DO661" s="1841">
        <f>SUM(DO659:DO660)</f>
      </c>
      <c r="DP661" s="1542">
        <f>SUM(DP659:DP660)</f>
      </c>
      <c r="DQ661" s="1542">
        <f>SUM(DQ659:DQ660)</f>
      </c>
      <c r="DR661" s="1542">
        <f>SUM(DR659:DR660)</f>
      </c>
      <c r="DS661" s="1556">
        <f>+DS659+DS660</f>
      </c>
      <c r="DT661" s="573">
        <f>SUM(DT659:DT660)</f>
      </c>
      <c r="DU661" s="1542">
        <f>SUM(DU659:DU660)</f>
      </c>
      <c r="DV661" s="1542">
        <f>SUM(DV659:DV660)</f>
      </c>
      <c r="DW661" s="1542">
        <f>SUM(DW659:DW660)</f>
      </c>
      <c r="DX661" s="1556">
        <f>+DX659+DX660</f>
      </c>
      <c r="DY661" s="573">
        <f>SUM(DY659:DY660)</f>
      </c>
      <c r="DZ661" s="1542"/>
      <c r="EA661" s="1542"/>
      <c r="EB661" s="1542"/>
      <c r="EC661" s="1556"/>
      <c r="ED661" s="2060"/>
      <c r="EE661" s="1542"/>
      <c r="EF661" s="1542"/>
      <c r="EG661" s="1542"/>
      <c r="EH661" s="1556"/>
      <c r="EI661" s="573"/>
      <c r="EJ661" s="573"/>
      <c r="EK661" s="445"/>
      <c r="EL661" s="445"/>
      <c r="EM661" s="445"/>
      <c r="EN661" s="445"/>
      <c r="EO661" s="1788"/>
      <c r="EP661" s="445"/>
      <c r="EQ661" s="445"/>
      <c r="ER661" s="445"/>
      <c r="ES661" s="445"/>
      <c r="ET661" s="445"/>
      <c r="EU661" s="445"/>
      <c r="EV661" s="445"/>
      <c r="EW661" s="445"/>
      <c r="EX661" s="445"/>
    </row>
    <row r="662" spans="1:154" hidden="1" outlineLevel="1">
      <c r="B662" s="1171"/>
      <c r="C662" s="1995"/>
      <c r="D662" s="28"/>
      <c r="E662" s="28"/>
      <c r="F662" s="28"/>
      <c r="G662" s="28"/>
      <c r="H662" s="28"/>
      <c r="I662" s="28"/>
      <c r="J662" s="28"/>
      <c r="K662" s="28"/>
      <c r="L662" s="28"/>
      <c r="M662" s="28"/>
      <c r="N662" s="28"/>
      <c r="O662" s="28"/>
      <c r="P662" s="28"/>
      <c r="Q662" s="28"/>
      <c r="R662" s="28"/>
      <c r="S662" s="28"/>
      <c r="T662" s="28"/>
      <c r="U662" s="28"/>
      <c r="V662" s="28"/>
      <c r="W662" s="28"/>
      <c r="X662" s="312"/>
      <c r="Y662" s="28"/>
      <c r="Z662" s="28"/>
      <c r="AA662" s="28"/>
      <c r="AB662" s="28"/>
      <c r="AC662" s="312"/>
      <c r="AD662" s="28"/>
      <c r="AE662" s="28"/>
      <c r="AF662" s="28"/>
      <c r="AG662" s="28"/>
      <c r="AH662" s="312"/>
      <c r="AI662" s="28"/>
      <c r="AJ662" s="28"/>
      <c r="AK662" s="28"/>
      <c r="AL662" s="28"/>
      <c r="AM662" s="312"/>
      <c r="AN662" s="28"/>
      <c r="AO662" s="28"/>
      <c r="AP662" s="28"/>
      <c r="AQ662" s="28"/>
      <c r="AR662" s="312"/>
      <c r="AS662" s="28"/>
      <c r="AT662" s="28"/>
      <c r="AU662" s="28"/>
      <c r="AV662" s="28"/>
      <c r="AW662" s="312"/>
      <c r="AX662" s="40"/>
      <c r="AY662" s="40"/>
      <c r="AZ662" s="40"/>
      <c r="BA662" s="40"/>
      <c r="BB662" s="312"/>
      <c r="BC662" s="28"/>
      <c r="BD662" s="28"/>
      <c r="BE662" s="28"/>
      <c r="BF662" s="28"/>
      <c r="BG662" s="322"/>
      <c r="BH662" s="277"/>
      <c r="BI662" s="277"/>
      <c r="BJ662" s="28"/>
      <c r="BK662" s="28"/>
      <c r="BL662" s="312"/>
      <c r="BM662" s="28"/>
      <c r="BN662" s="28"/>
      <c r="BO662" s="28"/>
      <c r="BP662" s="28"/>
      <c r="BQ662" s="312"/>
      <c r="BR662" s="28"/>
      <c r="BS662" s="28"/>
      <c r="BT662" s="28"/>
      <c r="BU662" s="28"/>
      <c r="BV662" s="312"/>
      <c r="BW662" s="28"/>
      <c r="BX662" s="28"/>
      <c r="BY662" s="28"/>
      <c r="BZ662" s="28"/>
      <c r="CA662" s="312"/>
      <c r="CB662" s="28"/>
      <c r="CC662" s="28"/>
      <c r="CD662" s="28"/>
      <c r="CE662" s="28"/>
      <c r="CF662" s="312"/>
      <c r="CG662" s="28"/>
      <c r="CH662" s="28"/>
      <c r="CI662" s="28"/>
      <c r="CJ662" s="28"/>
      <c r="CK662" s="312"/>
      <c r="CL662" s="28"/>
      <c r="CM662" s="28"/>
      <c r="CN662" s="28"/>
      <c r="CO662" s="28"/>
      <c r="CP662" s="312"/>
      <c r="CQ662" s="933"/>
      <c r="CR662" s="933"/>
      <c r="CS662" s="933"/>
      <c r="CT662" s="933"/>
      <c r="CU662" s="312"/>
      <c r="CV662" s="933"/>
      <c r="CW662" s="933"/>
      <c r="CX662" s="933"/>
      <c r="CY662" s="933"/>
      <c r="CZ662" s="312"/>
      <c r="DA662" s="933"/>
      <c r="DB662" s="31"/>
      <c r="DC662" s="31"/>
      <c r="DD662" s="955"/>
      <c r="DE662" s="445"/>
      <c r="DF662" s="982"/>
      <c r="DG662" s="603"/>
      <c r="DH662" s="603"/>
      <c r="DI662" s="1798"/>
      <c r="DJ662" s="445"/>
      <c r="DK662" s="1800"/>
      <c r="DL662" s="444"/>
      <c r="DM662" s="444"/>
      <c r="DN662" s="1788"/>
      <c r="DO662" s="1788"/>
      <c r="DP662" s="444"/>
      <c r="DQ662" s="444"/>
      <c r="DR662" s="444"/>
      <c r="DS662" s="1788"/>
      <c r="DT662" s="445"/>
      <c r="DU662" s="982"/>
      <c r="DV662" s="982"/>
      <c r="DW662" s="982"/>
      <c r="DX662" s="1875"/>
      <c r="DY662" s="445"/>
      <c r="DZ662" s="982"/>
      <c r="EA662" s="982"/>
      <c r="EB662" s="982"/>
      <c r="EC662" s="1875"/>
      <c r="ED662" s="1866"/>
      <c r="EE662" s="982"/>
      <c r="EF662" s="982"/>
      <c r="EG662" s="982"/>
      <c r="EH662" s="1875"/>
      <c r="EI662" s="445"/>
      <c r="EJ662" s="445"/>
      <c r="EK662" s="445"/>
      <c r="EL662" s="445"/>
      <c r="EM662" s="445"/>
      <c r="EN662" s="445"/>
      <c r="EO662" s="1788"/>
      <c r="EP662" s="445"/>
      <c r="EQ662" s="445"/>
      <c r="ER662" s="445"/>
      <c r="ES662" s="445"/>
      <c r="ET662" s="445"/>
      <c r="EU662" s="445"/>
      <c r="EV662" s="445"/>
      <c r="EW662" s="445"/>
      <c r="EX662" s="445"/>
    </row>
    <row r="663" spans="1:154" hidden="1" outlineLevel="1">
      <c r="B663" s="1389" t="s">
        <v>626</v>
      </c>
      <c r="C663" s="1995"/>
      <c r="D663" s="28"/>
      <c r="E663" s="28"/>
      <c r="F663" s="28"/>
      <c r="G663" s="28"/>
      <c r="H663" s="28"/>
      <c r="I663" s="28"/>
      <c r="J663" s="28"/>
      <c r="K663" s="28"/>
      <c r="L663" s="28"/>
      <c r="M663" s="28"/>
      <c r="N663" s="28"/>
      <c r="O663" s="28"/>
      <c r="P663" s="28"/>
      <c r="Q663" s="28"/>
      <c r="R663" s="28"/>
      <c r="S663" s="28"/>
      <c r="T663" s="28"/>
      <c r="U663" s="28"/>
      <c r="V663" s="28"/>
      <c r="W663" s="28"/>
      <c r="X663" s="312"/>
      <c r="Y663" s="28"/>
      <c r="Z663" s="28"/>
      <c r="AA663" s="28"/>
      <c r="AB663" s="28"/>
      <c r="AC663" s="312"/>
      <c r="AD663" s="28"/>
      <c r="AE663" s="28"/>
      <c r="AF663" s="28"/>
      <c r="AG663" s="28"/>
      <c r="AH663" s="312"/>
      <c r="AI663" s="28"/>
      <c r="AJ663" s="28"/>
      <c r="AK663" s="28"/>
      <c r="AL663" s="28"/>
      <c r="AM663" s="312"/>
      <c r="AN663" s="28"/>
      <c r="AO663" s="28"/>
      <c r="AP663" s="28"/>
      <c r="AQ663" s="28"/>
      <c r="AR663" s="312"/>
      <c r="AS663" s="28"/>
      <c r="AT663" s="28"/>
      <c r="AU663" s="28"/>
      <c r="AV663" s="28"/>
      <c r="AW663" s="312"/>
      <c r="AX663" s="40"/>
      <c r="AY663" s="40"/>
      <c r="AZ663" s="40"/>
      <c r="BA663" s="40"/>
      <c r="BB663" s="312"/>
      <c r="BC663" s="28"/>
      <c r="BD663" s="28"/>
      <c r="BE663" s="28"/>
      <c r="BF663" s="28"/>
      <c r="BG663" s="322"/>
      <c r="BH663" s="277"/>
      <c r="BI663" s="277"/>
      <c r="BJ663" s="28"/>
      <c r="BK663" s="28"/>
      <c r="BL663" s="312"/>
      <c r="BM663" s="28"/>
      <c r="BN663" s="28"/>
      <c r="BO663" s="28"/>
      <c r="BP663" s="28"/>
      <c r="BQ663" s="312"/>
      <c r="BR663" s="28"/>
      <c r="BS663" s="28"/>
      <c r="BT663" s="28"/>
      <c r="BU663" s="28"/>
      <c r="BV663" s="312"/>
      <c r="BW663" s="28"/>
      <c r="BX663" s="28"/>
      <c r="BY663" s="28"/>
      <c r="BZ663" s="28"/>
      <c r="CA663" s="312"/>
      <c r="CB663" s="28"/>
      <c r="CC663" s="28"/>
      <c r="CD663" s="28"/>
      <c r="CE663" s="28"/>
      <c r="CF663" s="312"/>
      <c r="CG663" s="28"/>
      <c r="CH663" s="28"/>
      <c r="CI663" s="28"/>
      <c r="CJ663" s="28"/>
      <c r="CK663" s="312"/>
      <c r="CL663" s="28"/>
      <c r="CM663" s="28"/>
      <c r="CN663" s="28"/>
      <c r="CO663" s="28"/>
      <c r="CP663" s="312"/>
      <c r="CQ663" s="933"/>
      <c r="CR663" s="933"/>
      <c r="CS663" s="933"/>
      <c r="CT663" s="933"/>
      <c r="CU663" s="312"/>
      <c r="CV663" s="933"/>
      <c r="CW663" s="933"/>
      <c r="CX663" s="933"/>
      <c r="CY663" s="933"/>
      <c r="CZ663" s="312"/>
      <c r="DA663" s="933"/>
      <c r="DB663" s="31"/>
      <c r="DC663" s="1357"/>
      <c r="DD663" s="1345"/>
      <c r="DE663" s="1830"/>
      <c r="DF663" s="1842"/>
      <c r="DG663" s="1822"/>
      <c r="DH663" s="1822"/>
      <c r="DI663" s="1798"/>
      <c r="DJ663" s="445"/>
      <c r="DK663" s="1800"/>
      <c r="DL663" s="444"/>
      <c r="DM663" s="444"/>
      <c r="DN663" s="1788"/>
      <c r="DO663" s="1788"/>
      <c r="DP663" s="444"/>
      <c r="DQ663" s="444"/>
      <c r="DR663" s="444"/>
      <c r="DS663" s="1788"/>
      <c r="DT663" s="445"/>
      <c r="DU663" s="982"/>
      <c r="DV663" s="982"/>
      <c r="DW663" s="982"/>
      <c r="DX663" s="1875"/>
      <c r="DY663" s="445"/>
      <c r="DZ663" s="982"/>
      <c r="EA663" s="982"/>
      <c r="EB663" s="982"/>
      <c r="EC663" s="1875"/>
      <c r="ED663" s="1866"/>
      <c r="EE663" s="982"/>
      <c r="EF663" s="982"/>
      <c r="EG663" s="982"/>
      <c r="EH663" s="1875"/>
      <c r="EI663" s="445"/>
      <c r="EJ663" s="445"/>
      <c r="EK663" s="445"/>
      <c r="EL663" s="445"/>
      <c r="EM663" s="445"/>
      <c r="EN663" s="445"/>
      <c r="EO663" s="1788"/>
      <c r="EP663" s="445"/>
      <c r="EQ663" s="445"/>
      <c r="ER663" s="445"/>
      <c r="ES663" s="445"/>
      <c r="ET663" s="445"/>
      <c r="EU663" s="445"/>
      <c r="EV663" s="445"/>
      <c r="EW663" s="445"/>
      <c r="EX663" s="445"/>
    </row>
    <row r="664" spans="1:154" hidden="1" outlineLevel="1">
      <c r="B664" s="1390" t="s">
        <v>610</v>
      </c>
      <c r="C664" s="1995"/>
      <c r="D664" s="28"/>
      <c r="E664" s="28"/>
      <c r="F664" s="28"/>
      <c r="G664" s="28"/>
      <c r="H664" s="28"/>
      <c r="I664" s="28"/>
      <c r="J664" s="28"/>
      <c r="K664" s="28"/>
      <c r="L664" s="28"/>
      <c r="M664" s="28"/>
      <c r="N664" s="28"/>
      <c r="O664" s="28"/>
      <c r="P664" s="28"/>
      <c r="Q664" s="28"/>
      <c r="R664" s="28"/>
      <c r="S664" s="28"/>
      <c r="T664" s="28"/>
      <c r="U664" s="28"/>
      <c r="V664" s="28"/>
      <c r="W664" s="28"/>
      <c r="X664" s="312"/>
      <c r="Y664" s="28"/>
      <c r="Z664" s="28"/>
      <c r="AA664" s="28"/>
      <c r="AB664" s="28"/>
      <c r="AC664" s="312"/>
      <c r="AD664" s="28"/>
      <c r="AE664" s="28"/>
      <c r="AF664" s="28"/>
      <c r="AG664" s="28"/>
      <c r="AH664" s="312"/>
      <c r="AI664" s="28"/>
      <c r="AJ664" s="28"/>
      <c r="AK664" s="28"/>
      <c r="AL664" s="28"/>
      <c r="AM664" s="312"/>
      <c r="AN664" s="28"/>
      <c r="AO664" s="28"/>
      <c r="AP664" s="28"/>
      <c r="AQ664" s="28"/>
      <c r="AR664" s="312"/>
      <c r="AS664" s="28"/>
      <c r="AT664" s="28"/>
      <c r="AU664" s="28"/>
      <c r="AV664" s="28"/>
      <c r="AW664" s="312"/>
      <c r="AX664" s="40"/>
      <c r="AY664" s="40"/>
      <c r="AZ664" s="40"/>
      <c r="BA664" s="40"/>
      <c r="BB664" s="312"/>
      <c r="BC664" s="28"/>
      <c r="BD664" s="28"/>
      <c r="BE664" s="28"/>
      <c r="BF664" s="28"/>
      <c r="BG664" s="322"/>
      <c r="BH664" s="277"/>
      <c r="BI664" s="277"/>
      <c r="BJ664" s="28"/>
      <c r="BK664" s="28"/>
      <c r="BL664" s="312"/>
      <c r="BM664" s="28"/>
      <c r="BN664" s="28"/>
      <c r="BO664" s="28"/>
      <c r="BP664" s="28"/>
      <c r="BQ664" s="312"/>
      <c r="BR664" s="28"/>
      <c r="BS664" s="28"/>
      <c r="BT664" s="28"/>
      <c r="BU664" s="28"/>
      <c r="BV664" s="312"/>
      <c r="BW664" s="28"/>
      <c r="BX664" s="28"/>
      <c r="BY664" s="28"/>
      <c r="BZ664" s="28"/>
      <c r="CA664" s="312"/>
      <c r="CB664" s="28"/>
      <c r="CC664" s="28"/>
      <c r="CD664" s="28"/>
      <c r="CE664" s="28"/>
      <c r="CF664" s="312"/>
      <c r="CG664" s="28"/>
      <c r="CH664" s="28"/>
      <c r="CI664" s="28"/>
      <c r="CJ664" s="28"/>
      <c r="CK664" s="312"/>
      <c r="CL664" s="28"/>
      <c r="CM664" s="28"/>
      <c r="CN664" s="28"/>
      <c r="CO664" s="28"/>
      <c r="CP664" s="312"/>
      <c r="CQ664" s="933"/>
      <c r="CR664" s="933"/>
      <c r="CS664" s="933"/>
      <c r="CT664" s="933"/>
      <c r="CU664" s="312"/>
      <c r="CV664" s="933"/>
      <c r="CW664" s="926"/>
      <c r="CX664" s="926">
        <f>IF(CS659=0, "NA", CX659/CS659-1)</f>
      </c>
      <c r="CY664" s="926">
        <f>IF(CT659=0, "NA", CY659/CT659-1)</f>
      </c>
      <c r="CZ664" s="308">
        <f t="shared" ref="CZ664:DG665" si="1618">IF(CU659=0, "NA", CZ659/CU659-1)</f>
      </c>
      <c r="DA664" s="926">
        <f t="shared" si="1618"/>
      </c>
      <c r="DB664" s="926">
        <f t="shared" si="1618"/>
      </c>
      <c r="DC664" s="1219">
        <f t="shared" si="1618"/>
      </c>
      <c r="DD664" s="1219">
        <f t="shared" si="1618"/>
      </c>
      <c r="DE664" s="1535">
        <f t="shared" si="1618"/>
      </c>
      <c r="DF664" s="1230">
        <f t="shared" si="1618"/>
      </c>
      <c r="DG664" s="1230">
        <f t="shared" si="1618"/>
      </c>
      <c r="DH664" s="1109">
        <v>-0.1</v>
      </c>
      <c r="DI664" s="927">
        <f>IF(DI659=0,"NM",+DI659/DD659-1)</f>
      </c>
      <c r="DJ664" s="1535">
        <f>IF(DE659=0, "NA", DJ659/DE659-1)</f>
      </c>
      <c r="DK664" s="1230">
        <f>IF(DF659=0, "NA", DK659/DF659-1)</f>
      </c>
      <c r="DL664" s="361">
        <v>-0.5</v>
      </c>
      <c r="DM664" s="361">
        <v>-0.5</v>
      </c>
      <c r="DN664" s="927" t="str">
        <f>IF(DN659=0,"NM",+DN659/DI659-1)</f>
      </c>
      <c r="DO664" s="1535">
        <f>IF(DJ659=0, "NA", DO659/DJ659-1)</f>
      </c>
      <c r="DP664" s="925" t="str">
        <f>IF(DK659=0, "NA", DP659/DK659-1)</f>
      </c>
      <c r="DQ664" s="598">
        <v>-0.5</v>
      </c>
      <c r="DR664" s="598">
        <v>-0.5</v>
      </c>
      <c r="DS664" s="1574" t="str">
        <f>IF(DS659=0,"NM",+DS659/DN659-1)</f>
      </c>
      <c r="DT664" s="657">
        <v>-0.5</v>
      </c>
      <c r="DU664" s="598" t="str">
        <f>IF(DP659=0, "NA", DU659/DP659-1)</f>
      </c>
      <c r="DV664" s="598">
        <v>-0.5</v>
      </c>
      <c r="DW664" s="598">
        <v>-0.5</v>
      </c>
      <c r="DX664" s="1574" t="str">
        <f>IF(DX659=0,"NM",+DX659/DS659-1)</f>
      </c>
      <c r="DY664" s="657">
        <v>-0.5</v>
      </c>
      <c r="DZ664" s="598"/>
      <c r="EA664" s="598"/>
      <c r="EB664" s="598"/>
      <c r="EC664" s="1574"/>
      <c r="ED664" s="657"/>
      <c r="EE664" s="598"/>
      <c r="EF664" s="598"/>
      <c r="EG664" s="598"/>
      <c r="EH664" s="1574"/>
      <c r="EI664" s="657"/>
      <c r="EJ664" s="597"/>
      <c r="EK664" s="597"/>
      <c r="EL664" s="597"/>
      <c r="EM664" s="597"/>
      <c r="EN664" s="597"/>
      <c r="EO664" s="657"/>
      <c r="EP664" s="597"/>
      <c r="EQ664" s="597"/>
      <c r="ER664" s="597"/>
      <c r="ES664" s="597"/>
      <c r="ET664" s="597"/>
      <c r="EU664" s="597"/>
      <c r="EV664" s="597"/>
      <c r="EW664" s="597"/>
      <c r="EX664" s="597"/>
    </row>
    <row r="665" spans="1:154" hidden="1" outlineLevel="1">
      <c r="B665" s="1390" t="s">
        <v>412</v>
      </c>
      <c r="C665" s="1995"/>
      <c r="D665" s="28"/>
      <c r="E665" s="28"/>
      <c r="F665" s="28"/>
      <c r="G665" s="28"/>
      <c r="H665" s="28"/>
      <c r="I665" s="28"/>
      <c r="J665" s="28"/>
      <c r="K665" s="28"/>
      <c r="L665" s="28"/>
      <c r="M665" s="28"/>
      <c r="N665" s="28"/>
      <c r="O665" s="28"/>
      <c r="P665" s="28"/>
      <c r="Q665" s="28"/>
      <c r="R665" s="28"/>
      <c r="S665" s="28"/>
      <c r="T665" s="28"/>
      <c r="U665" s="28"/>
      <c r="V665" s="28"/>
      <c r="W665" s="28"/>
      <c r="X665" s="312"/>
      <c r="Y665" s="28"/>
      <c r="Z665" s="28"/>
      <c r="AA665" s="28"/>
      <c r="AB665" s="28"/>
      <c r="AC665" s="312"/>
      <c r="AD665" s="28"/>
      <c r="AE665" s="28"/>
      <c r="AF665" s="28"/>
      <c r="AG665" s="28"/>
      <c r="AH665" s="312"/>
      <c r="AI665" s="28"/>
      <c r="AJ665" s="28"/>
      <c r="AK665" s="28"/>
      <c r="AL665" s="28"/>
      <c r="AM665" s="312"/>
      <c r="AN665" s="28"/>
      <c r="AO665" s="28"/>
      <c r="AP665" s="28"/>
      <c r="AQ665" s="28"/>
      <c r="AR665" s="312"/>
      <c r="AS665" s="28"/>
      <c r="AT665" s="28"/>
      <c r="AU665" s="28"/>
      <c r="AV665" s="28"/>
      <c r="AW665" s="312"/>
      <c r="AX665" s="40"/>
      <c r="AY665" s="40"/>
      <c r="AZ665" s="40"/>
      <c r="BA665" s="40"/>
      <c r="BB665" s="312"/>
      <c r="BC665" s="28"/>
      <c r="BD665" s="28"/>
      <c r="BE665" s="28"/>
      <c r="BF665" s="28"/>
      <c r="BG665" s="322"/>
      <c r="BH665" s="277"/>
      <c r="BI665" s="277"/>
      <c r="BJ665" s="28"/>
      <c r="BK665" s="28"/>
      <c r="BL665" s="312"/>
      <c r="BM665" s="28"/>
      <c r="BN665" s="28"/>
      <c r="BO665" s="28"/>
      <c r="BP665" s="28"/>
      <c r="BQ665" s="312"/>
      <c r="BR665" s="28"/>
      <c r="BS665" s="28"/>
      <c r="BT665" s="28"/>
      <c r="BU665" s="28"/>
      <c r="BV665" s="312"/>
      <c r="BW665" s="28"/>
      <c r="BX665" s="28"/>
      <c r="BY665" s="28"/>
      <c r="BZ665" s="28"/>
      <c r="CA665" s="312"/>
      <c r="CB665" s="28"/>
      <c r="CC665" s="28"/>
      <c r="CD665" s="28"/>
      <c r="CE665" s="28"/>
      <c r="CF665" s="312"/>
      <c r="CG665" s="28"/>
      <c r="CH665" s="28"/>
      <c r="CI665" s="28"/>
      <c r="CJ665" s="28"/>
      <c r="CK665" s="312"/>
      <c r="CL665" s="28"/>
      <c r="CM665" s="28"/>
      <c r="CN665" s="28"/>
      <c r="CO665" s="28"/>
      <c r="CP665" s="312"/>
      <c r="CQ665" s="933"/>
      <c r="CR665" s="933"/>
      <c r="CS665" s="933"/>
      <c r="CT665" s="933"/>
      <c r="CU665" s="312"/>
      <c r="CV665" s="933"/>
      <c r="CW665" s="926"/>
      <c r="CX665" s="926">
        <f>IF(CS660=0, "NA", CX660/CS660-1)</f>
      </c>
      <c r="CY665" s="926">
        <f>IF(CT660=0, "NA", CY660/CT660-1)</f>
      </c>
      <c r="CZ665" s="308">
        <f t="shared" si="1618"/>
      </c>
      <c r="DA665" s="926">
        <f t="shared" si="1618"/>
      </c>
      <c r="DB665" s="926">
        <f t="shared" si="1618"/>
      </c>
      <c r="DC665" s="1219">
        <f t="shared" si="1618"/>
      </c>
      <c r="DD665" s="1219">
        <f t="shared" si="1618"/>
      </c>
      <c r="DE665" s="1535">
        <f t="shared" si="1618"/>
      </c>
      <c r="DF665" s="1230">
        <f t="shared" si="1618"/>
      </c>
      <c r="DG665" s="1230">
        <f t="shared" si="1618"/>
      </c>
      <c r="DH665" s="1230">
        <f>DH666+DH$21</f>
      </c>
      <c r="DI665" s="927">
        <f>IF(DI660=0, "NM", DI660/DD660-1)</f>
      </c>
      <c r="DJ665" s="1535">
        <f>IF(DE660=0, "NA", DJ660/DE660-1)</f>
      </c>
      <c r="DK665" s="1230">
        <f>IF(DF660=0, "NA", DK660/DF660-1)</f>
      </c>
      <c r="DL665" s="925">
        <f>DL666+DL$21</f>
      </c>
      <c r="DM665" s="925">
        <f>DM666+DM$21</f>
      </c>
      <c r="DN665" s="927" t="str">
        <f>IF(DN660=0, "NM", DN660/DI660-1)</f>
      </c>
      <c r="DO665" s="1535">
        <f>IF(DJ660=0, "NA", DO660/DJ660-1)</f>
      </c>
      <c r="DP665" s="925" t="str">
        <f>IF(DK660=0, "NA", DP660/DK660-1)</f>
      </c>
      <c r="DQ665" s="925">
        <f>DQ666+DQ$21</f>
      </c>
      <c r="DR665" s="925">
        <f>DR666+DR$21</f>
      </c>
      <c r="DS665" s="927" t="str">
        <f>IF(DS660=0, "NM", DS660/DN660-1)</f>
      </c>
      <c r="DT665" s="309">
        <f>DT666+DT$21</f>
      </c>
      <c r="DU665" s="925" t="str">
        <f>IF(DP660=0, "NA", DU660/DP660-1)</f>
      </c>
      <c r="DV665" s="925">
        <f>DV666+DV$21</f>
      </c>
      <c r="DW665" s="925">
        <f>DW666+DW$21</f>
      </c>
      <c r="DX665" s="927" t="str">
        <f>IF(DX660=0, "NM", DX660/DS660-1)</f>
      </c>
      <c r="DY665" s="309">
        <f>DY666+DY$21</f>
      </c>
      <c r="DZ665" s="925"/>
      <c r="EA665" s="925"/>
      <c r="EB665" s="925"/>
      <c r="EC665" s="927"/>
      <c r="ED665" s="1066"/>
      <c r="EE665" s="925"/>
      <c r="EF665" s="925"/>
      <c r="EG665" s="925"/>
      <c r="EH665" s="927"/>
      <c r="EI665" s="309"/>
      <c r="EJ665" s="309"/>
      <c r="EK665" s="309"/>
      <c r="EL665" s="309"/>
      <c r="EM665" s="309"/>
      <c r="EN665" s="309"/>
      <c r="EO665" s="409"/>
      <c r="EP665" s="308"/>
      <c r="EQ665" s="308"/>
      <c r="ER665" s="308"/>
      <c r="ES665" s="308"/>
      <c r="ET665" s="308"/>
      <c r="EU665" s="308"/>
      <c r="EV665" s="308"/>
      <c r="EW665" s="308"/>
      <c r="EX665" s="308"/>
    </row>
    <row r="666" spans="1:154" hidden="1" outlineLevel="1">
      <c r="B666" s="1390" t="s">
        <v>256</v>
      </c>
      <c r="C666" s="1995"/>
      <c r="D666" s="28"/>
      <c r="E666" s="28"/>
      <c r="F666" s="28"/>
      <c r="G666" s="28"/>
      <c r="H666" s="28"/>
      <c r="I666" s="28"/>
      <c r="J666" s="28"/>
      <c r="K666" s="28"/>
      <c r="L666" s="28"/>
      <c r="M666" s="28"/>
      <c r="N666" s="28"/>
      <c r="O666" s="28"/>
      <c r="P666" s="28"/>
      <c r="Q666" s="28"/>
      <c r="R666" s="28"/>
      <c r="S666" s="28"/>
      <c r="T666" s="28"/>
      <c r="U666" s="28"/>
      <c r="V666" s="28"/>
      <c r="W666" s="28"/>
      <c r="X666" s="312"/>
      <c r="Y666" s="28"/>
      <c r="Z666" s="28"/>
      <c r="AA666" s="28"/>
      <c r="AB666" s="28"/>
      <c r="AC666" s="312"/>
      <c r="AD666" s="28"/>
      <c r="AE666" s="28"/>
      <c r="AF666" s="28"/>
      <c r="AG666" s="28"/>
      <c r="AH666" s="312"/>
      <c r="AI666" s="28"/>
      <c r="AJ666" s="28"/>
      <c r="AK666" s="28"/>
      <c r="AL666" s="28"/>
      <c r="AM666" s="312"/>
      <c r="AN666" s="28"/>
      <c r="AO666" s="28"/>
      <c r="AP666" s="28"/>
      <c r="AQ666" s="28"/>
      <c r="AR666" s="312"/>
      <c r="AS666" s="28"/>
      <c r="AT666" s="28"/>
      <c r="AU666" s="28"/>
      <c r="AV666" s="28"/>
      <c r="AW666" s="312"/>
      <c r="AX666" s="40"/>
      <c r="AY666" s="40"/>
      <c r="AZ666" s="40"/>
      <c r="BA666" s="40"/>
      <c r="BB666" s="312"/>
      <c r="BC666" s="28"/>
      <c r="BD666" s="28"/>
      <c r="BE666" s="28"/>
      <c r="BF666" s="28"/>
      <c r="BG666" s="322"/>
      <c r="BH666" s="277"/>
      <c r="BI666" s="277"/>
      <c r="BJ666" s="28"/>
      <c r="BK666" s="28"/>
      <c r="BL666" s="312"/>
      <c r="BM666" s="28"/>
      <c r="BN666" s="28"/>
      <c r="BO666" s="28"/>
      <c r="BP666" s="28"/>
      <c r="BQ666" s="312"/>
      <c r="BR666" s="28"/>
      <c r="BS666" s="28"/>
      <c r="BT666" s="28"/>
      <c r="BU666" s="28"/>
      <c r="BV666" s="312"/>
      <c r="BW666" s="28"/>
      <c r="BX666" s="28"/>
      <c r="BY666" s="28"/>
      <c r="BZ666" s="28"/>
      <c r="CA666" s="312"/>
      <c r="CB666" s="28"/>
      <c r="CC666" s="28"/>
      <c r="CD666" s="28"/>
      <c r="CE666" s="28"/>
      <c r="CF666" s="312"/>
      <c r="CG666" s="28"/>
      <c r="CH666" s="28"/>
      <c r="CI666" s="28"/>
      <c r="CJ666" s="28"/>
      <c r="CK666" s="312"/>
      <c r="CL666" s="28"/>
      <c r="CM666" s="28"/>
      <c r="CN666" s="28"/>
      <c r="CO666" s="28"/>
      <c r="CP666" s="312"/>
      <c r="CQ666" s="933"/>
      <c r="CR666" s="933"/>
      <c r="CS666" s="933"/>
      <c r="CT666" s="933"/>
      <c r="CU666" s="312"/>
      <c r="CV666" s="933"/>
      <c r="CW666" s="649"/>
      <c r="CX666" s="649">
        <v>-0.436</v>
      </c>
      <c r="CY666" s="649">
        <v>-0.27200000000000002</v>
      </c>
      <c r="CZ666" s="308">
        <f>CZ665-CZ$21</f>
      </c>
      <c r="DA666" s="649">
        <v>-0.183</v>
      </c>
      <c r="DB666" s="29">
        <v>-0.109</v>
      </c>
      <c r="DC666" s="1208">
        <v>-0.33500000000000002</v>
      </c>
      <c r="DD666" s="1525">
        <v>-0.28799999999999998</v>
      </c>
      <c r="DE666" s="1535">
        <f>DE665-DE$21</f>
      </c>
      <c r="DF666" s="1211">
        <v>-0.2</v>
      </c>
      <c r="DG666" s="1109">
        <v>-0.3</v>
      </c>
      <c r="DH666" s="1109">
        <v>-0.2</v>
      </c>
      <c r="DI666" s="927">
        <f>IF(DI660=0, "NM",DI665-DI$21)</f>
      </c>
      <c r="DJ666" s="1535">
        <f>DJ665-DJ$21</f>
      </c>
      <c r="DK666" s="1211">
        <v>-0.2</v>
      </c>
      <c r="DL666" s="361">
        <v>-0.2</v>
      </c>
      <c r="DM666" s="361">
        <v>-0.2</v>
      </c>
      <c r="DN666" s="927" t="str">
        <f>IF(DN660=0, "NM",DN665-DN$21)</f>
      </c>
      <c r="DO666" s="1535">
        <f>DO665-DO$21</f>
      </c>
      <c r="DP666" s="361">
        <v>-0.2</v>
      </c>
      <c r="DQ666" s="598">
        <v>-0.2</v>
      </c>
      <c r="DR666" s="598">
        <v>-0.2</v>
      </c>
      <c r="DS666" s="1574" t="str">
        <f>IF(DS660=0, "NM",DS665-DS$21)</f>
      </c>
      <c r="DT666" s="657">
        <v>-0.2</v>
      </c>
      <c r="DU666" s="598">
        <v>-0.2</v>
      </c>
      <c r="DV666" s="598">
        <v>-0.2</v>
      </c>
      <c r="DW666" s="598">
        <v>-0.2</v>
      </c>
      <c r="DX666" s="1574" t="str">
        <f>IF(DX660=0, "NM",DX665-DX$21)</f>
      </c>
      <c r="DY666" s="657">
        <v>-0.2</v>
      </c>
      <c r="DZ666" s="598"/>
      <c r="EA666" s="598"/>
      <c r="EB666" s="598"/>
      <c r="EC666" s="1574"/>
      <c r="ED666" s="657"/>
      <c r="EE666" s="598"/>
      <c r="EF666" s="598"/>
      <c r="EG666" s="598"/>
      <c r="EH666" s="1574"/>
      <c r="EI666" s="657"/>
      <c r="EJ666" s="597"/>
      <c r="EK666" s="597"/>
      <c r="EL666" s="597"/>
      <c r="EM666" s="597"/>
      <c r="EN666" s="597"/>
      <c r="EO666" s="657"/>
      <c r="EP666" s="597"/>
      <c r="EQ666" s="597"/>
      <c r="ER666" s="597"/>
      <c r="ES666" s="597"/>
      <c r="ET666" s="597"/>
      <c r="EU666" s="597"/>
      <c r="EV666" s="597"/>
      <c r="EW666" s="597"/>
      <c r="EX666" s="597"/>
    </row>
    <row r="667" spans="1:154" hidden="1" outlineLevel="1">
      <c r="B667" s="1390" t="s">
        <v>611</v>
      </c>
      <c r="C667" s="1995"/>
      <c r="D667" s="28"/>
      <c r="E667" s="28"/>
      <c r="F667" s="28"/>
      <c r="G667" s="28"/>
      <c r="H667" s="28"/>
      <c r="I667" s="28"/>
      <c r="J667" s="28"/>
      <c r="K667" s="28"/>
      <c r="L667" s="28"/>
      <c r="M667" s="28"/>
      <c r="N667" s="28"/>
      <c r="O667" s="28"/>
      <c r="P667" s="28"/>
      <c r="Q667" s="28"/>
      <c r="R667" s="28"/>
      <c r="S667" s="28"/>
      <c r="T667" s="28"/>
      <c r="U667" s="28"/>
      <c r="V667" s="28"/>
      <c r="W667" s="28"/>
      <c r="X667" s="312"/>
      <c r="Y667" s="28"/>
      <c r="Z667" s="28"/>
      <c r="AA667" s="28"/>
      <c r="AB667" s="28"/>
      <c r="AC667" s="312"/>
      <c r="AD667" s="28"/>
      <c r="AE667" s="28"/>
      <c r="AF667" s="28"/>
      <c r="AG667" s="28"/>
      <c r="AH667" s="312"/>
      <c r="AI667" s="28"/>
      <c r="AJ667" s="28"/>
      <c r="AK667" s="28"/>
      <c r="AL667" s="28"/>
      <c r="AM667" s="312"/>
      <c r="AN667" s="28"/>
      <c r="AO667" s="28"/>
      <c r="AP667" s="28"/>
      <c r="AQ667" s="28"/>
      <c r="AR667" s="312"/>
      <c r="AS667" s="28"/>
      <c r="AT667" s="28"/>
      <c r="AU667" s="28"/>
      <c r="AV667" s="28"/>
      <c r="AW667" s="312"/>
      <c r="AX667" s="40"/>
      <c r="AY667" s="40"/>
      <c r="AZ667" s="40"/>
      <c r="BA667" s="40"/>
      <c r="BB667" s="312"/>
      <c r="BC667" s="28"/>
      <c r="BD667" s="28"/>
      <c r="BE667" s="28"/>
      <c r="BF667" s="28"/>
      <c r="BG667" s="322"/>
      <c r="BH667" s="277"/>
      <c r="BI667" s="277"/>
      <c r="BJ667" s="28"/>
      <c r="BK667" s="28"/>
      <c r="BL667" s="312"/>
      <c r="BM667" s="28"/>
      <c r="BN667" s="28"/>
      <c r="BO667" s="28"/>
      <c r="BP667" s="28"/>
      <c r="BQ667" s="312"/>
      <c r="BR667" s="28"/>
      <c r="BS667" s="28"/>
      <c r="BT667" s="28"/>
      <c r="BU667" s="28"/>
      <c r="BV667" s="312"/>
      <c r="BW667" s="28"/>
      <c r="BX667" s="28"/>
      <c r="BY667" s="28"/>
      <c r="BZ667" s="28"/>
      <c r="CA667" s="312"/>
      <c r="CB667" s="28"/>
      <c r="CC667" s="28"/>
      <c r="CD667" s="28"/>
      <c r="CE667" s="28"/>
      <c r="CF667" s="312"/>
      <c r="CG667" s="28"/>
      <c r="CH667" s="28"/>
      <c r="CI667" s="28"/>
      <c r="CJ667" s="28"/>
      <c r="CK667" s="312"/>
      <c r="CL667" s="28"/>
      <c r="CM667" s="28"/>
      <c r="CN667" s="28"/>
      <c r="CO667" s="28"/>
      <c r="CP667" s="312"/>
      <c r="CQ667" s="933"/>
      <c r="CR667" s="933"/>
      <c r="CS667" s="933"/>
      <c r="CT667" s="933"/>
      <c r="CU667" s="312"/>
      <c r="CV667" s="933"/>
      <c r="CW667" s="926"/>
      <c r="CX667" s="926">
        <f t="shared" ref="CX667:DC667" si="1619">IF(CS661=0, "NA", CX661/CS661-1)</f>
      </c>
      <c r="CY667" s="926">
        <f t="shared" si="1619"/>
      </c>
      <c r="CZ667" s="308">
        <f t="shared" si="1619"/>
      </c>
      <c r="DA667" s="926">
        <f t="shared" si="1619"/>
      </c>
      <c r="DB667" s="926">
        <f t="shared" si="1619"/>
      </c>
      <c r="DC667" s="1219">
        <f t="shared" si="1619"/>
      </c>
      <c r="DD667" s="1235">
        <f>IF(CY661=0, "NM", DD661/CY661-1)</f>
      </c>
      <c r="DE667" s="1535">
        <f>IF(CZ661=0, "NA", DE661/CZ661-1)</f>
      </c>
      <c r="DF667" s="1230">
        <f>IF(DA661=0, "NA", DF661/DA661-1)</f>
      </c>
      <c r="DG667" s="1230">
        <f>IF(DB661=0, "NA", DG661/DB661-1)</f>
      </c>
      <c r="DH667" s="1230">
        <f>IF(DC661=0, "NA", DH661/DC661-1)</f>
      </c>
      <c r="DI667" s="927">
        <f>IF(DD661=0, "NM", DI661/DD661-1)</f>
      </c>
      <c r="DJ667" s="1535">
        <f>IF(DE661=0, "NA", DJ661/DE661-1)</f>
      </c>
      <c r="DK667" s="1230">
        <f>IF(DF661=0, "NA", DK661/DF661-1)</f>
      </c>
      <c r="DL667" s="925">
        <f>IF(DG661=0, "NA", DL661/DG661-1)</f>
      </c>
      <c r="DM667" s="925">
        <f>IF(DH661=0, "NA", DM661/DH661-1)</f>
      </c>
      <c r="DN667" s="927">
        <f>IF(DI661=0, "NM", DN661/DI661-1)</f>
      </c>
      <c r="DO667" s="837">
        <f>DO661/DJ661-1</f>
      </c>
      <c r="DP667" s="925" t="str">
        <f>IF(DK661=0, "NA", DP661/DK661-1)</f>
      </c>
      <c r="DQ667" s="925" t="str">
        <f>IF(DL661=0, "NA", DQ661/DL661-1)</f>
      </c>
      <c r="DR667" s="925" t="str">
        <f>IF(DM661=0, "NA", DR661/DM661-1)</f>
      </c>
      <c r="DS667" s="927" t="str">
        <f>IF(DN661=0, "NM", DS661/DN661-1)</f>
      </c>
      <c r="DT667" s="309"/>
      <c r="DU667" s="925" t="str">
        <f>IF(DP661=0, "NA", DU661/DP661-1)</f>
      </c>
      <c r="DV667" s="925" t="str">
        <f>IF(DQ661=0, "NA", DV661/DQ661-1)</f>
      </c>
      <c r="DW667" s="925" t="str">
        <f>IF(DR661=0, "NA", DW661/DR661-1)</f>
      </c>
      <c r="DX667" s="927" t="str">
        <f>IF(DS661=0, "NM", DX661/DS661-1)</f>
      </c>
      <c r="DY667" s="309"/>
      <c r="DZ667" s="925"/>
      <c r="EA667" s="925"/>
      <c r="EB667" s="925"/>
      <c r="EC667" s="927"/>
      <c r="ED667" s="1066"/>
      <c r="EE667" s="925"/>
      <c r="EF667" s="925"/>
      <c r="EG667" s="925"/>
      <c r="EH667" s="927"/>
      <c r="EI667" s="309"/>
      <c r="EJ667" s="309"/>
      <c r="EK667" s="309"/>
      <c r="EL667" s="309"/>
      <c r="EM667" s="309"/>
      <c r="EN667" s="309"/>
      <c r="EO667" s="409"/>
      <c r="EP667" s="308"/>
      <c r="EQ667" s="308"/>
      <c r="ER667" s="308"/>
      <c r="ES667" s="308"/>
      <c r="ET667" s="308"/>
      <c r="EU667" s="308"/>
      <c r="EV667" s="308"/>
      <c r="EW667" s="308"/>
      <c r="EX667" s="308"/>
    </row>
    <row r="668" spans="1:154" hidden="1" outlineLevel="1">
      <c r="B668" s="1171"/>
      <c r="C668" s="1995"/>
      <c r="D668" s="28"/>
      <c r="E668" s="28"/>
      <c r="F668" s="28"/>
      <c r="G668" s="28"/>
      <c r="H668" s="28"/>
      <c r="I668" s="28"/>
      <c r="J668" s="28"/>
      <c r="K668" s="28"/>
      <c r="L668" s="28"/>
      <c r="M668" s="28"/>
      <c r="N668" s="28"/>
      <c r="O668" s="28"/>
      <c r="P668" s="28"/>
      <c r="Q668" s="28"/>
      <c r="R668" s="28"/>
      <c r="S668" s="28"/>
      <c r="T668" s="28"/>
      <c r="U668" s="28"/>
      <c r="V668" s="28"/>
      <c r="W668" s="28"/>
      <c r="X668" s="312"/>
      <c r="Y668" s="28"/>
      <c r="Z668" s="28"/>
      <c r="AA668" s="28"/>
      <c r="AB668" s="28"/>
      <c r="AC668" s="312"/>
      <c r="AD668" s="28"/>
      <c r="AE668" s="28"/>
      <c r="AF668" s="28"/>
      <c r="AG668" s="28"/>
      <c r="AH668" s="312"/>
      <c r="AI668" s="28"/>
      <c r="AJ668" s="28"/>
      <c r="AK668" s="28"/>
      <c r="AL668" s="28"/>
      <c r="AM668" s="312"/>
      <c r="AN668" s="28"/>
      <c r="AO668" s="28"/>
      <c r="AP668" s="28"/>
      <c r="AQ668" s="28"/>
      <c r="AR668" s="312"/>
      <c r="AS668" s="28"/>
      <c r="AT668" s="28"/>
      <c r="AU668" s="28"/>
      <c r="AV668" s="28"/>
      <c r="AW668" s="312"/>
      <c r="AX668" s="40"/>
      <c r="AY668" s="40"/>
      <c r="AZ668" s="40"/>
      <c r="BA668" s="40"/>
      <c r="BB668" s="312"/>
      <c r="BC668" s="28"/>
      <c r="BD668" s="28"/>
      <c r="BE668" s="28"/>
      <c r="BF668" s="28"/>
      <c r="BG668" s="322"/>
      <c r="BH668" s="277"/>
      <c r="BI668" s="277"/>
      <c r="BJ668" s="28"/>
      <c r="BK668" s="28"/>
      <c r="BL668" s="312"/>
      <c r="BM668" s="28"/>
      <c r="BN668" s="28"/>
      <c r="BO668" s="28"/>
      <c r="BP668" s="28"/>
      <c r="BQ668" s="312"/>
      <c r="BR668" s="28"/>
      <c r="BS668" s="28"/>
      <c r="BT668" s="28"/>
      <c r="BU668" s="28"/>
      <c r="BV668" s="312"/>
      <c r="BW668" s="28"/>
      <c r="BX668" s="28"/>
      <c r="BY668" s="28"/>
      <c r="BZ668" s="28"/>
      <c r="CA668" s="312"/>
      <c r="CB668" s="28"/>
      <c r="CC668" s="28"/>
      <c r="CD668" s="28"/>
      <c r="CE668" s="28"/>
      <c r="CF668" s="312"/>
      <c r="CG668" s="28"/>
      <c r="CH668" s="28"/>
      <c r="CI668" s="28"/>
      <c r="CJ668" s="28"/>
      <c r="CK668" s="312"/>
      <c r="CL668" s="28"/>
      <c r="CM668" s="28"/>
      <c r="CN668" s="28"/>
      <c r="CO668" s="28"/>
      <c r="CP668" s="312"/>
      <c r="CQ668" s="933"/>
      <c r="CR668" s="933"/>
      <c r="CS668" s="933"/>
      <c r="CT668" s="933"/>
      <c r="CU668" s="312"/>
      <c r="CV668" s="933"/>
      <c r="CW668" s="933"/>
      <c r="CX668" s="933"/>
      <c r="CY668" s="933"/>
      <c r="CZ668" s="312"/>
      <c r="DA668" s="933"/>
      <c r="DB668" s="933"/>
      <c r="DC668" s="1227"/>
      <c r="DD668" s="1231"/>
      <c r="DE668" s="1830"/>
      <c r="DF668" s="1842"/>
      <c r="DG668" s="1842"/>
      <c r="DH668" s="1842"/>
      <c r="DI668" s="1875"/>
      <c r="DJ668" s="445"/>
      <c r="DK668" s="1800"/>
      <c r="DL668" s="444"/>
      <c r="DM668" s="444"/>
      <c r="DN668" s="1788"/>
      <c r="DO668" s="1788"/>
      <c r="DP668" s="444"/>
      <c r="DQ668" s="444"/>
      <c r="DR668" s="444"/>
      <c r="DS668" s="1788"/>
      <c r="DT668" s="445"/>
      <c r="DU668" s="982"/>
      <c r="DV668" s="982"/>
      <c r="DW668" s="982"/>
      <c r="DX668" s="1875"/>
      <c r="DY668" s="445"/>
      <c r="DZ668" s="982"/>
      <c r="EA668" s="982"/>
      <c r="EB668" s="982"/>
      <c r="EC668" s="1875"/>
      <c r="ED668" s="1866"/>
      <c r="EE668" s="982"/>
      <c r="EF668" s="982"/>
      <c r="EG668" s="982"/>
      <c r="EH668" s="1875"/>
      <c r="EI668" s="445"/>
      <c r="EJ668" s="445"/>
      <c r="EK668" s="445"/>
      <c r="EL668" s="445"/>
      <c r="EM668" s="445"/>
      <c r="EN668" s="445"/>
      <c r="EO668" s="445"/>
      <c r="EP668" s="445"/>
      <c r="EQ668" s="445"/>
      <c r="ER668" s="445"/>
      <c r="ES668" s="445"/>
      <c r="ET668" s="445"/>
      <c r="EU668" s="445"/>
      <c r="EV668" s="445"/>
      <c r="EW668" s="445"/>
      <c r="EX668" s="445"/>
    </row>
    <row r="669" spans="1:154" collapsed="1">
      <c r="B669" s="1389" t="s">
        <v>627</v>
      </c>
      <c r="C669" s="1995"/>
      <c r="D669" s="28"/>
      <c r="E669" s="28"/>
      <c r="F669" s="28"/>
      <c r="G669" s="28"/>
      <c r="H669" s="28"/>
      <c r="I669" s="28"/>
      <c r="J669" s="28"/>
      <c r="K669" s="28"/>
      <c r="L669" s="28"/>
      <c r="M669" s="28"/>
      <c r="N669" s="28"/>
      <c r="O669" s="28"/>
      <c r="P669" s="28"/>
      <c r="Q669" s="28"/>
      <c r="R669" s="28"/>
      <c r="S669" s="28"/>
      <c r="T669" s="28"/>
      <c r="U669" s="28"/>
      <c r="V669" s="28"/>
      <c r="W669" s="28"/>
      <c r="X669" s="312"/>
      <c r="Y669" s="28"/>
      <c r="Z669" s="28"/>
      <c r="AA669" s="28"/>
      <c r="AB669" s="28"/>
      <c r="AC669" s="312"/>
      <c r="AD669" s="28"/>
      <c r="AE669" s="28"/>
      <c r="AF669" s="28"/>
      <c r="AG669" s="28"/>
      <c r="AH669" s="312"/>
      <c r="AI669" s="28"/>
      <c r="AJ669" s="28"/>
      <c r="AK669" s="28"/>
      <c r="AL669" s="28"/>
      <c r="AM669" s="312"/>
      <c r="AN669" s="28"/>
      <c r="AO669" s="28"/>
      <c r="AP669" s="28"/>
      <c r="AQ669" s="28"/>
      <c r="AR669" s="312"/>
      <c r="AS669" s="28"/>
      <c r="AT669" s="28"/>
      <c r="AU669" s="28"/>
      <c r="AV669" s="28"/>
      <c r="AW669" s="312"/>
      <c r="AX669" s="40"/>
      <c r="AY669" s="40"/>
      <c r="AZ669" s="40"/>
      <c r="BA669" s="40"/>
      <c r="BB669" s="312"/>
      <c r="BC669" s="28"/>
      <c r="BD669" s="28"/>
      <c r="BE669" s="28"/>
      <c r="BF669" s="28"/>
      <c r="BG669" s="322"/>
      <c r="BH669" s="277"/>
      <c r="BI669" s="277"/>
      <c r="BJ669" s="28"/>
      <c r="BK669" s="28"/>
      <c r="BL669" s="312"/>
      <c r="BM669" s="28"/>
      <c r="BN669" s="28"/>
      <c r="BO669" s="28"/>
      <c r="BP669" s="28"/>
      <c r="BQ669" s="312"/>
      <c r="BR669" s="28"/>
      <c r="BS669" s="28"/>
      <c r="BT669" s="28"/>
      <c r="BU669" s="28"/>
      <c r="BV669" s="312"/>
      <c r="BW669" s="28"/>
      <c r="BX669" s="28"/>
      <c r="BY669" s="28"/>
      <c r="BZ669" s="28"/>
      <c r="CA669" s="312"/>
      <c r="CB669" s="28"/>
      <c r="CC669" s="28"/>
      <c r="CD669" s="28"/>
      <c r="CE669" s="28"/>
      <c r="CF669" s="312"/>
      <c r="CG669" s="28"/>
      <c r="CH669" s="28"/>
      <c r="CI669" s="28"/>
      <c r="CJ669" s="28"/>
      <c r="CK669" s="312"/>
      <c r="CL669" s="28"/>
      <c r="CM669" s="28"/>
      <c r="CN669" s="28"/>
      <c r="CO669" s="28"/>
      <c r="CP669" s="312"/>
      <c r="CQ669" s="933"/>
      <c r="CR669" s="933"/>
      <c r="CS669" s="933"/>
      <c r="CT669" s="933"/>
      <c r="CU669" s="312"/>
      <c r="CV669" s="933"/>
      <c r="CW669" s="933"/>
      <c r="CX669" s="933"/>
      <c r="CY669" s="933"/>
      <c r="CZ669" s="312"/>
      <c r="DA669" s="933"/>
      <c r="DB669" s="933"/>
      <c r="DC669" s="1227"/>
      <c r="DD669" s="1231"/>
      <c r="DE669" s="1830"/>
      <c r="DF669" s="1842"/>
      <c r="DG669" s="1842"/>
      <c r="DH669" s="1842"/>
      <c r="DI669" s="1875"/>
      <c r="DJ669" s="445"/>
      <c r="DK669" s="1800"/>
      <c r="DL669" s="444"/>
      <c r="DM669" s="444"/>
      <c r="DN669" s="1788"/>
      <c r="DO669" s="1788"/>
      <c r="DP669" s="444"/>
      <c r="DQ669" s="444"/>
      <c r="DR669" s="444"/>
      <c r="DS669" s="1788"/>
      <c r="DT669" s="445"/>
      <c r="DU669" s="982"/>
      <c r="DV669" s="982"/>
      <c r="DW669" s="982"/>
      <c r="DX669" s="1875"/>
      <c r="DY669" s="445"/>
      <c r="DZ669" s="982"/>
      <c r="EA669" s="982"/>
      <c r="EB669" s="982"/>
      <c r="EC669" s="1875"/>
      <c r="ED669" s="1866"/>
      <c r="EE669" s="982"/>
      <c r="EF669" s="982"/>
      <c r="EG669" s="982"/>
      <c r="EH669" s="1875"/>
      <c r="EI669" s="445"/>
      <c r="EJ669" s="445"/>
      <c r="EK669" s="445"/>
      <c r="EL669" s="445"/>
      <c r="EM669" s="445"/>
      <c r="EN669" s="2650">
        <f>EN670/EI670</f>
      </c>
      <c r="EO669" s="445"/>
      <c r="EP669" s="445"/>
      <c r="EQ669" s="445"/>
      <c r="ER669" s="445"/>
      <c r="ES669" s="445"/>
      <c r="ET669" s="445"/>
      <c r="EU669" s="445"/>
      <c r="EV669" s="445"/>
      <c r="EW669" s="445"/>
      <c r="EX669" s="445"/>
    </row>
    <row r="670" spans="1:154">
      <c r="A670" s="3275" t="str">
        <f>+A672&amp;" - US"</f>
      </c>
      <c r="B670" s="3342" t="s">
        <v>925</v>
      </c>
      <c r="C670" s="1995">
        <v>46326</v>
      </c>
      <c r="D670" s="28"/>
      <c r="E670" s="28"/>
      <c r="F670" s="28"/>
      <c r="G670" s="28"/>
      <c r="H670" s="28"/>
      <c r="I670" s="28"/>
      <c r="J670" s="28"/>
      <c r="K670" s="28"/>
      <c r="L670" s="28"/>
      <c r="M670" s="28"/>
      <c r="N670" s="28"/>
      <c r="O670" s="28"/>
      <c r="P670" s="28"/>
      <c r="Q670" s="28"/>
      <c r="R670" s="28"/>
      <c r="S670" s="28"/>
      <c r="T670" s="28"/>
      <c r="U670" s="28"/>
      <c r="V670" s="28"/>
      <c r="W670" s="28"/>
      <c r="X670" s="312"/>
      <c r="Y670" s="28"/>
      <c r="Z670" s="28"/>
      <c r="AA670" s="28"/>
      <c r="AB670" s="28"/>
      <c r="AC670" s="312"/>
      <c r="AD670" s="28"/>
      <c r="AE670" s="28"/>
      <c r="AF670" s="28"/>
      <c r="AG670" s="28"/>
      <c r="AH670" s="312"/>
      <c r="AI670" s="28"/>
      <c r="AJ670" s="28"/>
      <c r="AK670" s="28"/>
      <c r="AL670" s="28"/>
      <c r="AM670" s="312"/>
      <c r="AN670" s="28"/>
      <c r="AO670" s="28"/>
      <c r="AP670" s="28"/>
      <c r="AQ670" s="28"/>
      <c r="AR670" s="312"/>
      <c r="AS670" s="28"/>
      <c r="AT670" s="28"/>
      <c r="AU670" s="28"/>
      <c r="AV670" s="28"/>
      <c r="AW670" s="312"/>
      <c r="AX670" s="40"/>
      <c r="AY670" s="40"/>
      <c r="AZ670" s="40"/>
      <c r="BA670" s="40"/>
      <c r="BB670" s="312"/>
      <c r="BC670" s="28"/>
      <c r="BD670" s="28"/>
      <c r="BE670" s="28"/>
      <c r="BF670" s="28"/>
      <c r="BG670" s="322"/>
      <c r="BH670" s="277"/>
      <c r="BI670" s="277"/>
      <c r="BJ670" s="28"/>
      <c r="BK670" s="28"/>
      <c r="BL670" s="312"/>
      <c r="BM670" s="28"/>
      <c r="BN670" s="28"/>
      <c r="BO670" s="28"/>
      <c r="BP670" s="28"/>
      <c r="BQ670" s="312"/>
      <c r="BR670" s="28"/>
      <c r="BS670" s="28"/>
      <c r="BT670" s="28"/>
      <c r="BU670" s="28"/>
      <c r="BV670" s="312"/>
      <c r="BW670" s="28"/>
      <c r="BX670" s="28"/>
      <c r="BY670" s="28"/>
      <c r="BZ670" s="28"/>
      <c r="CA670" s="312"/>
      <c r="CB670" s="28"/>
      <c r="CC670" s="28"/>
      <c r="CD670" s="28"/>
      <c r="CE670" s="28"/>
      <c r="CF670" s="312"/>
      <c r="CG670" s="28"/>
      <c r="CH670" s="28"/>
      <c r="CI670" s="28"/>
      <c r="CJ670" s="28"/>
      <c r="CK670" s="312"/>
      <c r="CL670" s="28"/>
      <c r="CM670" s="28"/>
      <c r="CN670" s="28"/>
      <c r="CO670" s="28"/>
      <c r="CP670" s="312"/>
      <c r="CQ670" s="933"/>
      <c r="CR670" s="352">
        <v>8</v>
      </c>
      <c r="CS670" s="352">
        <v>113</v>
      </c>
      <c r="CT670" s="352">
        <v>117</v>
      </c>
      <c r="CU670" s="1061">
        <f>+SUM(CQ670:CT670)</f>
      </c>
      <c r="CV670" s="352">
        <v>124</v>
      </c>
      <c r="CW670" s="352">
        <v>155</v>
      </c>
      <c r="CX670" s="352">
        <v>154</v>
      </c>
      <c r="CY670" s="352">
        <v>165</v>
      </c>
      <c r="CZ670" s="1061">
        <f>+SUM(CV670:CY670)</f>
      </c>
      <c r="DA670" s="352">
        <v>176</v>
      </c>
      <c r="DB670" s="352">
        <v>175</v>
      </c>
      <c r="DC670" s="1217">
        <v>185</v>
      </c>
      <c r="DD670" s="1529">
        <v>178</v>
      </c>
      <c r="DE670" s="2065">
        <f>SUM(DA670:DD670)</f>
      </c>
      <c r="DF670" s="1544">
        <v>212</v>
      </c>
      <c r="DG670" s="1544">
        <v>254</v>
      </c>
      <c r="DH670" s="1544">
        <v>226</v>
      </c>
      <c r="DI670" s="1552">
        <v>263</v>
      </c>
      <c r="DJ670" s="2065">
        <f>SUM(DF670:DI670)</f>
      </c>
      <c r="DK670" s="710">
        <v>259</v>
      </c>
      <c r="DL670" s="710">
        <v>268</v>
      </c>
      <c r="DM670" s="710">
        <v>265</v>
      </c>
      <c r="DN670" s="1552">
        <v>264</v>
      </c>
      <c r="DO670" s="2065">
        <f>SUM(DK670:DN670)</f>
      </c>
      <c r="DP670" s="710">
        <v>269</v>
      </c>
      <c r="DQ670" s="710">
        <v>272</v>
      </c>
      <c r="DR670" s="710">
        <v>283</v>
      </c>
      <c r="DS670" s="1839">
        <v>280</v>
      </c>
      <c r="DT670" s="2065">
        <f>SUM(DP670:DS670)</f>
      </c>
      <c r="DU670" s="710">
        <v>304</v>
      </c>
      <c r="DV670" s="710">
        <v>338</v>
      </c>
      <c r="DW670" s="710">
        <v>336</v>
      </c>
      <c r="DX670" s="1839">
        <v>348.4</v>
      </c>
      <c r="DY670" s="2065">
        <f>SUM(DU670:DX670)</f>
      </c>
      <c r="DZ670" s="710">
        <v>392</v>
      </c>
      <c r="EA670" s="710">
        <v>349.4</v>
      </c>
      <c r="EB670" s="710">
        <v>378.5</v>
      </c>
      <c r="EC670" s="1839">
        <v>391</v>
      </c>
      <c r="ED670" s="2065">
        <f>SUM(DZ670:EC670)</f>
      </c>
      <c r="EE670" s="710">
        <v>365</v>
      </c>
      <c r="EF670" s="710">
        <v>382</v>
      </c>
      <c r="EG670" s="710">
        <v>392</v>
      </c>
      <c r="EH670" s="1284">
        <f t="shared" ref="EH670:EH671" si="1620">+(1+EH675)*EC670</f>
      </c>
      <c r="EI670" s="2060">
        <f>SUM(EE670:EH670)</f>
      </c>
      <c r="EJ670" s="2060">
        <f t="shared" ref="EJ670" si="1621">EI670*(1+EJ675)</f>
      </c>
      <c r="EK670" s="2060">
        <f t="shared" ref="EK670" si="1622">EJ670*(1+EK675)</f>
      </c>
      <c r="EL670" s="2060">
        <f t="shared" ref="EL670" si="1623">EK670*(1+EL675)</f>
      </c>
      <c r="EM670" s="2060">
        <f t="shared" ref="EM670" si="1624">EL670*(1+EM675)</f>
      </c>
      <c r="EN670" s="2060">
        <f t="shared" ref="EN670" si="1625">EM670*(1+EN675)</f>
      </c>
      <c r="EO670" s="2060">
        <f t="shared" ref="EO670" si="1626">EN670*(1+EO675)</f>
      </c>
      <c r="EP670" s="2060">
        <f t="shared" ref="EP670" si="1627">EO670*(1+EP675)</f>
      </c>
      <c r="EQ670" s="2060">
        <f t="shared" ref="EQ670" si="1628">EP670*(1+EQ675)</f>
      </c>
      <c r="ER670" s="2060">
        <f t="shared" ref="ER670" si="1629">EQ670*(1+ER675)</f>
      </c>
      <c r="ES670" s="2060">
        <f t="shared" ref="ES670" si="1630">ER670*(1+ES675)</f>
      </c>
      <c r="ET670" s="445"/>
      <c r="EU670" s="445"/>
      <c r="EV670" s="445"/>
      <c r="EW670" s="445"/>
      <c r="EX670" s="445"/>
    </row>
    <row r="671" spans="1:154">
      <c r="A671" s="3275" t="str">
        <f>+A672&amp;" - OUS"</f>
      </c>
      <c r="B671" s="3342" t="s">
        <v>412</v>
      </c>
      <c r="C671" s="1995">
        <v>46478</v>
      </c>
      <c r="D671" s="28"/>
      <c r="E671" s="28"/>
      <c r="F671" s="28"/>
      <c r="G671" s="28"/>
      <c r="H671" s="28"/>
      <c r="I671" s="28"/>
      <c r="J671" s="28"/>
      <c r="K671" s="28"/>
      <c r="L671" s="28"/>
      <c r="M671" s="28"/>
      <c r="N671" s="28"/>
      <c r="O671" s="28"/>
      <c r="P671" s="28"/>
      <c r="Q671" s="28"/>
      <c r="R671" s="28"/>
      <c r="S671" s="28"/>
      <c r="T671" s="28"/>
      <c r="U671" s="28"/>
      <c r="V671" s="28"/>
      <c r="W671" s="28"/>
      <c r="X671" s="312"/>
      <c r="Y671" s="28"/>
      <c r="Z671" s="28"/>
      <c r="AA671" s="28"/>
      <c r="AB671" s="28"/>
      <c r="AC671" s="312"/>
      <c r="AD671" s="28"/>
      <c r="AE671" s="28"/>
      <c r="AF671" s="28"/>
      <c r="AG671" s="28"/>
      <c r="AH671" s="312"/>
      <c r="AI671" s="28"/>
      <c r="AJ671" s="28"/>
      <c r="AK671" s="28"/>
      <c r="AL671" s="28"/>
      <c r="AM671" s="312"/>
      <c r="AN671" s="28"/>
      <c r="AO671" s="28"/>
      <c r="AP671" s="28"/>
      <c r="AQ671" s="28"/>
      <c r="AR671" s="312"/>
      <c r="AS671" s="28"/>
      <c r="AT671" s="28"/>
      <c r="AU671" s="28"/>
      <c r="AV671" s="28"/>
      <c r="AW671" s="312"/>
      <c r="AX671" s="40"/>
      <c r="AY671" s="40"/>
      <c r="AZ671" s="40"/>
      <c r="BA671" s="40"/>
      <c r="BB671" s="312"/>
      <c r="BC671" s="28"/>
      <c r="BD671" s="28"/>
      <c r="BE671" s="28"/>
      <c r="BF671" s="28"/>
      <c r="BG671" s="322"/>
      <c r="BH671" s="277"/>
      <c r="BI671" s="277"/>
      <c r="BJ671" s="28"/>
      <c r="BK671" s="28"/>
      <c r="BL671" s="312"/>
      <c r="BM671" s="28"/>
      <c r="BN671" s="28"/>
      <c r="BO671" s="28"/>
      <c r="BP671" s="28"/>
      <c r="BQ671" s="312"/>
      <c r="BR671" s="28"/>
      <c r="BS671" s="28"/>
      <c r="BT671" s="28"/>
      <c r="BU671" s="28"/>
      <c r="BV671" s="312"/>
      <c r="BW671" s="28"/>
      <c r="BX671" s="28"/>
      <c r="BY671" s="28"/>
      <c r="BZ671" s="28"/>
      <c r="CA671" s="312"/>
      <c r="CB671" s="28"/>
      <c r="CC671" s="28"/>
      <c r="CD671" s="28"/>
      <c r="CE671" s="28"/>
      <c r="CF671" s="312"/>
      <c r="CG671" s="28"/>
      <c r="CH671" s="28"/>
      <c r="CI671" s="28"/>
      <c r="CJ671" s="28"/>
      <c r="CK671" s="312"/>
      <c r="CL671" s="28"/>
      <c r="CM671" s="28"/>
      <c r="CN671" s="28"/>
      <c r="CO671" s="28"/>
      <c r="CP671" s="312"/>
      <c r="CQ671" s="933"/>
      <c r="CR671" s="352">
        <v>1</v>
      </c>
      <c r="CS671" s="352">
        <v>11</v>
      </c>
      <c r="CT671" s="352">
        <v>13</v>
      </c>
      <c r="CU671" s="1061">
        <f>+SUM(CQ671:CT671)</f>
      </c>
      <c r="CV671" s="352">
        <v>16</v>
      </c>
      <c r="CW671" s="352">
        <v>16</v>
      </c>
      <c r="CX671" s="352">
        <v>17</v>
      </c>
      <c r="CY671" s="352">
        <v>16</v>
      </c>
      <c r="CZ671" s="1061">
        <f>+SUM(CV671:CY671)</f>
      </c>
      <c r="DA671" s="352">
        <v>22</v>
      </c>
      <c r="DB671" s="352">
        <v>28</v>
      </c>
      <c r="DC671" s="352">
        <v>25</v>
      </c>
      <c r="DD671" s="1205">
        <v>30</v>
      </c>
      <c r="DE671" s="573">
        <f>SUM(DA671:DD671)</f>
      </c>
      <c r="DF671" s="710">
        <v>38</v>
      </c>
      <c r="DG671" s="710">
        <v>28</v>
      </c>
      <c r="DH671" s="710">
        <v>34</v>
      </c>
      <c r="DI671" s="1839">
        <v>38</v>
      </c>
      <c r="DJ671" s="573">
        <f>SUM(DF671:DI671)</f>
      </c>
      <c r="DK671" s="710">
        <v>46</v>
      </c>
      <c r="DL671" s="710">
        <v>45</v>
      </c>
      <c r="DM671" s="710">
        <v>44</v>
      </c>
      <c r="DN671" s="1552">
        <v>46</v>
      </c>
      <c r="DO671" s="573">
        <f>SUM(DK671:DN671)</f>
      </c>
      <c r="DP671" s="710">
        <v>56</v>
      </c>
      <c r="DQ671" s="710">
        <v>56</v>
      </c>
      <c r="DR671" s="710">
        <v>50</v>
      </c>
      <c r="DS671" s="1839">
        <v>56</v>
      </c>
      <c r="DT671" s="573">
        <f>SUM(DP671:DS671)</f>
      </c>
      <c r="DU671" s="710">
        <v>58</v>
      </c>
      <c r="DV671" s="710">
        <v>61</v>
      </c>
      <c r="DW671" s="710">
        <v>66</v>
      </c>
      <c r="DX671" s="1839">
        <v>69.8</v>
      </c>
      <c r="DY671" s="573">
        <f>SUM(DU671:DX671)</f>
      </c>
      <c r="DZ671" s="710">
        <v>76</v>
      </c>
      <c r="EA671" s="710">
        <v>76.400000000000006</v>
      </c>
      <c r="EB671" s="710">
        <v>79.5</v>
      </c>
      <c r="EC671" s="1839">
        <v>75</v>
      </c>
      <c r="ED671" s="573">
        <f>SUM(DZ671:EC671)</f>
      </c>
      <c r="EE671" s="710">
        <v>86</v>
      </c>
      <c r="EF671" s="710">
        <v>94</v>
      </c>
      <c r="EG671" s="710">
        <v>92</v>
      </c>
      <c r="EH671" s="1284">
        <f t="shared" si="1620"/>
      </c>
      <c r="EI671" s="2060">
        <f t="shared" ref="EI671:EI672" si="1631">SUM(EE671:EH671)</f>
      </c>
      <c r="EJ671" s="2060">
        <f t="shared" ref="EJ671" si="1632">EI671*(1+EJ677)</f>
      </c>
      <c r="EK671" s="2060">
        <f t="shared" ref="EK671" si="1633">EJ671*(1+EK677)</f>
      </c>
      <c r="EL671" s="2060">
        <f t="shared" ref="EL671" si="1634">EK671*(1+EL677)</f>
      </c>
      <c r="EM671" s="2060">
        <f t="shared" ref="EM671" si="1635">EL671*(1+EM677)</f>
      </c>
      <c r="EN671" s="2060">
        <f t="shared" ref="EN671" si="1636">EM671*(1+EN677)</f>
      </c>
      <c r="EO671" s="2060">
        <f t="shared" ref="EO671" si="1637">EN671*(1+EO677)</f>
      </c>
      <c r="EP671" s="2060">
        <f t="shared" ref="EP671" si="1638">EO671*(1+EP677)</f>
      </c>
      <c r="EQ671" s="2060">
        <f t="shared" ref="EQ671" si="1639">EP671*(1+EQ677)</f>
      </c>
      <c r="ER671" s="2060">
        <f t="shared" ref="ER671" si="1640">EQ671*(1+ER677)</f>
      </c>
      <c r="ES671" s="2060">
        <f t="shared" ref="ES671" si="1641">ER671*(1+ES677)</f>
      </c>
      <c r="ET671" s="445"/>
      <c r="EU671" s="445"/>
      <c r="EV671" s="445"/>
      <c r="EW671" s="445"/>
      <c r="EX671" s="445"/>
    </row>
    <row r="672" spans="1:154">
      <c r="A672" s="3275" t="s">
        <v>627</v>
      </c>
      <c r="B672" s="3342" t="s">
        <v>611</v>
      </c>
      <c r="C672" s="1989"/>
      <c r="D672" s="28"/>
      <c r="E672" s="28"/>
      <c r="F672" s="28"/>
      <c r="G672" s="28"/>
      <c r="H672" s="28"/>
      <c r="I672" s="28"/>
      <c r="J672" s="28"/>
      <c r="K672" s="28"/>
      <c r="L672" s="28"/>
      <c r="M672" s="28"/>
      <c r="N672" s="28"/>
      <c r="O672" s="28"/>
      <c r="P672" s="28"/>
      <c r="Q672" s="28"/>
      <c r="R672" s="28"/>
      <c r="S672" s="28"/>
      <c r="T672" s="28"/>
      <c r="U672" s="28"/>
      <c r="V672" s="28"/>
      <c r="W672" s="28"/>
      <c r="X672" s="312"/>
      <c r="Y672" s="28"/>
      <c r="Z672" s="28"/>
      <c r="AA672" s="28"/>
      <c r="AB672" s="28"/>
      <c r="AC672" s="312"/>
      <c r="AD672" s="28"/>
      <c r="AE672" s="28"/>
      <c r="AF672" s="28"/>
      <c r="AG672" s="28"/>
      <c r="AH672" s="312"/>
      <c r="AI672" s="28"/>
      <c r="AJ672" s="28"/>
      <c r="AK672" s="28"/>
      <c r="AL672" s="28"/>
      <c r="AM672" s="312"/>
      <c r="AN672" s="28"/>
      <c r="AO672" s="28"/>
      <c r="AP672" s="28"/>
      <c r="AQ672" s="28"/>
      <c r="AR672" s="312"/>
      <c r="AS672" s="28"/>
      <c r="AT672" s="28"/>
      <c r="AU672" s="28"/>
      <c r="AV672" s="28"/>
      <c r="AW672" s="312"/>
      <c r="AX672" s="40"/>
      <c r="AY672" s="40"/>
      <c r="AZ672" s="40"/>
      <c r="BA672" s="40"/>
      <c r="BB672" s="312"/>
      <c r="BC672" s="28"/>
      <c r="BD672" s="28"/>
      <c r="BE672" s="28"/>
      <c r="BF672" s="28"/>
      <c r="BG672" s="322"/>
      <c r="BH672" s="277"/>
      <c r="BI672" s="277"/>
      <c r="BJ672" s="28"/>
      <c r="BK672" s="28"/>
      <c r="BL672" s="312"/>
      <c r="BM672" s="28"/>
      <c r="BN672" s="28"/>
      <c r="BO672" s="28"/>
      <c r="BP672" s="28"/>
      <c r="BQ672" s="312"/>
      <c r="BR672" s="28"/>
      <c r="BS672" s="28"/>
      <c r="BT672" s="28"/>
      <c r="BU672" s="28"/>
      <c r="BV672" s="312"/>
      <c r="BW672" s="28"/>
      <c r="BX672" s="28"/>
      <c r="BY672" s="28"/>
      <c r="BZ672" s="28"/>
      <c r="CA672" s="312"/>
      <c r="CB672" s="28"/>
      <c r="CC672" s="28"/>
      <c r="CD672" s="28"/>
      <c r="CE672" s="28"/>
      <c r="CF672" s="312"/>
      <c r="CG672" s="28"/>
      <c r="CH672" s="28"/>
      <c r="CI672" s="28"/>
      <c r="CJ672" s="28"/>
      <c r="CK672" s="312"/>
      <c r="CL672" s="28"/>
      <c r="CM672" s="28"/>
      <c r="CN672" s="28"/>
      <c r="CO672" s="28"/>
      <c r="CP672" s="312"/>
      <c r="CQ672" s="933"/>
      <c r="CR672" s="933">
        <f>SUM(CR670:CR671)</f>
      </c>
      <c r="CS672" s="28">
        <f>SUM(CS670:CS671)</f>
      </c>
      <c r="CT672" s="28">
        <f>SUM(CT670:CT671)</f>
      </c>
      <c r="CU672" s="1061">
        <f>+SUM(CQ672:CT672)</f>
      </c>
      <c r="CV672" s="933">
        <f>SUM(CV670:CV671)</f>
      </c>
      <c r="CW672" s="28">
        <f>SUM(CW670:CW671)</f>
      </c>
      <c r="CX672" s="28">
        <f>SUM(CX670:CX671)</f>
      </c>
      <c r="CY672" s="28">
        <f>SUM(CY670:CY671)</f>
      </c>
      <c r="CZ672" s="1061">
        <f>+SUM(CV672:CY672)</f>
      </c>
      <c r="DA672" s="933">
        <f>SUM(DA670:DA671)</f>
      </c>
      <c r="DB672" s="933">
        <f>SUM(DB670:DB671)</f>
      </c>
      <c r="DC672" s="31">
        <f>SUM(DC670:DC671)</f>
      </c>
      <c r="DD672" s="984">
        <f>+DD670+DD671</f>
      </c>
      <c r="DE672" s="573">
        <f>SUM(DA672:DD672)</f>
      </c>
      <c r="DF672" s="1542">
        <f>SUM(DF670:DF671)</f>
      </c>
      <c r="DG672" s="1542">
        <f>SUM(DG670:DG671)</f>
      </c>
      <c r="DH672" s="1542">
        <f>SUM(DH670:DH671)</f>
      </c>
      <c r="DI672" s="1556">
        <f>+DI670+DI671</f>
      </c>
      <c r="DJ672" s="573">
        <f>SUM(DF672:DI672)</f>
      </c>
      <c r="DK672" s="1542">
        <f>SUM(DK670:DK671)</f>
      </c>
      <c r="DL672" s="1542">
        <f>SUM(DL670:DL671)</f>
      </c>
      <c r="DM672" s="1542">
        <f>SUM(DM670:DM671)</f>
      </c>
      <c r="DN672" s="1556">
        <f>+DN670+DN671</f>
      </c>
      <c r="DO672" s="1841">
        <f t="shared" ref="DO672:DZ672" si="1642">SUM(DO670:DO671)</f>
      </c>
      <c r="DP672" s="1542">
        <f t="shared" si="1642"/>
      </c>
      <c r="DQ672" s="1542">
        <f t="shared" si="1642"/>
      </c>
      <c r="DR672" s="1542">
        <f t="shared" si="1642"/>
      </c>
      <c r="DS672" s="1556">
        <f>+DS670+DS671</f>
      </c>
      <c r="DT672" s="573">
        <f t="shared" si="1642"/>
      </c>
      <c r="DU672" s="1542">
        <f>SUM(DU670:DU671)</f>
      </c>
      <c r="DV672" s="1542">
        <f>SUM(DV670:DV671)</f>
      </c>
      <c r="DW672" s="1542">
        <f>SUM(DW670:DW671)</f>
      </c>
      <c r="DX672" s="1556">
        <f>+DX670+DX671</f>
      </c>
      <c r="DY672" s="573">
        <f>SUM(DY670:DY671)</f>
      </c>
      <c r="DZ672" s="1542">
        <f t="shared" si="1642"/>
      </c>
      <c r="EA672" s="1542">
        <f>SUM(EA670:EA671)</f>
      </c>
      <c r="EB672" s="1542">
        <f>SUM(EB670:EB671)</f>
      </c>
      <c r="EC672" s="1556">
        <f>+EC670+EC671</f>
      </c>
      <c r="ED672" s="573">
        <f>SUM(ED670:ED671)</f>
      </c>
      <c r="EE672" s="1542">
        <f t="shared" ref="EE672" si="1643">SUM(EE670:EE671)</f>
      </c>
      <c r="EF672" s="1542">
        <f>SUM(EF670:EF671)</f>
      </c>
      <c r="EG672" s="1542">
        <f>SUM(EG670:EG671)</f>
      </c>
      <c r="EH672" s="1284">
        <f t="shared" ref="EH672" si="1644">SUM(EH670:EH671)</f>
      </c>
      <c r="EI672" s="2060">
        <f t="shared" si="1631"/>
      </c>
      <c r="EJ672" s="573">
        <f t="shared" ref="EJ672:ES672" si="1645">+EJ671+EJ670</f>
      </c>
      <c r="EK672" s="573">
        <f t="shared" si="1645"/>
      </c>
      <c r="EL672" s="573">
        <f t="shared" si="1645"/>
      </c>
      <c r="EM672" s="573">
        <f t="shared" si="1645"/>
      </c>
      <c r="EN672" s="573">
        <f t="shared" si="1645"/>
      </c>
      <c r="EO672" s="573">
        <f t="shared" si="1645"/>
      </c>
      <c r="EP672" s="573">
        <f t="shared" si="1645"/>
      </c>
      <c r="EQ672" s="573">
        <f t="shared" si="1645"/>
      </c>
      <c r="ER672" s="573">
        <f t="shared" si="1645"/>
      </c>
      <c r="ES672" s="573">
        <f t="shared" si="1645"/>
      </c>
      <c r="ET672" s="445"/>
      <c r="EU672" s="445"/>
      <c r="EV672" s="445"/>
      <c r="EW672" s="445"/>
      <c r="EX672" s="445"/>
    </row>
    <row r="673" spans="1:154">
      <c r="B673" s="1171"/>
      <c r="C673" s="1989"/>
      <c r="D673" s="28"/>
      <c r="E673" s="28"/>
      <c r="F673" s="28"/>
      <c r="G673" s="28"/>
      <c r="H673" s="28"/>
      <c r="I673" s="28"/>
      <c r="J673" s="28"/>
      <c r="K673" s="28"/>
      <c r="L673" s="28"/>
      <c r="M673" s="28"/>
      <c r="N673" s="28"/>
      <c r="O673" s="28"/>
      <c r="P673" s="28"/>
      <c r="Q673" s="28"/>
      <c r="R673" s="28"/>
      <c r="S673" s="28"/>
      <c r="T673" s="28"/>
      <c r="U673" s="28"/>
      <c r="V673" s="28"/>
      <c r="W673" s="28"/>
      <c r="X673" s="312"/>
      <c r="Y673" s="28"/>
      <c r="Z673" s="28"/>
      <c r="AA673" s="28"/>
      <c r="AB673" s="28"/>
      <c r="AC673" s="312"/>
      <c r="AD673" s="28"/>
      <c r="AE673" s="28"/>
      <c r="AF673" s="28"/>
      <c r="AG673" s="28"/>
      <c r="AH673" s="312"/>
      <c r="AI673" s="28"/>
      <c r="AJ673" s="28"/>
      <c r="AK673" s="28"/>
      <c r="AL673" s="28"/>
      <c r="AM673" s="312"/>
      <c r="AN673" s="28"/>
      <c r="AO673" s="28"/>
      <c r="AP673" s="28"/>
      <c r="AQ673" s="28"/>
      <c r="AR673" s="312"/>
      <c r="AS673" s="28"/>
      <c r="AT673" s="28"/>
      <c r="AU673" s="28"/>
      <c r="AV673" s="28"/>
      <c r="AW673" s="312"/>
      <c r="AX673" s="40"/>
      <c r="AY673" s="40"/>
      <c r="AZ673" s="40"/>
      <c r="BA673" s="40"/>
      <c r="BB673" s="312"/>
      <c r="BC673" s="28"/>
      <c r="BD673" s="28"/>
      <c r="BE673" s="28"/>
      <c r="BF673" s="28"/>
      <c r="BG673" s="322"/>
      <c r="BH673" s="277"/>
      <c r="BI673" s="277"/>
      <c r="BJ673" s="28"/>
      <c r="BK673" s="28"/>
      <c r="BL673" s="312"/>
      <c r="BM673" s="28"/>
      <c r="BN673" s="28"/>
      <c r="BO673" s="28"/>
      <c r="BP673" s="28"/>
      <c r="BQ673" s="312"/>
      <c r="BR673" s="28"/>
      <c r="BS673" s="28"/>
      <c r="BT673" s="28"/>
      <c r="BU673" s="28"/>
      <c r="BV673" s="312"/>
      <c r="BW673" s="28"/>
      <c r="BX673" s="28"/>
      <c r="BY673" s="28"/>
      <c r="BZ673" s="28"/>
      <c r="CA673" s="312"/>
      <c r="CB673" s="28"/>
      <c r="CC673" s="28"/>
      <c r="CD673" s="28"/>
      <c r="CE673" s="28"/>
      <c r="CF673" s="312"/>
      <c r="CG673" s="28"/>
      <c r="CH673" s="28"/>
      <c r="CI673" s="28"/>
      <c r="CJ673" s="28"/>
      <c r="CK673" s="312"/>
      <c r="CL673" s="28"/>
      <c r="CM673" s="28"/>
      <c r="CN673" s="28"/>
      <c r="CO673" s="28"/>
      <c r="CP673" s="312"/>
      <c r="CQ673" s="933"/>
      <c r="CR673" s="933"/>
      <c r="CS673" s="933"/>
      <c r="CT673" s="933"/>
      <c r="CU673" s="312"/>
      <c r="CV673" s="933"/>
      <c r="CW673" s="933"/>
      <c r="CX673" s="933"/>
      <c r="CY673" s="933"/>
      <c r="CZ673" s="312"/>
      <c r="DA673" s="933"/>
      <c r="DB673" s="31"/>
      <c r="DC673" s="31"/>
      <c r="DD673" s="955"/>
      <c r="DE673" s="445"/>
      <c r="DF673" s="982"/>
      <c r="DG673" s="603"/>
      <c r="DH673" s="603"/>
      <c r="DI673" s="1798"/>
      <c r="DJ673" s="445"/>
      <c r="DK673" s="1800"/>
      <c r="DL673" s="444"/>
      <c r="DM673" s="444"/>
      <c r="DN673" s="1788"/>
      <c r="DO673" s="1788"/>
      <c r="DP673" s="444"/>
      <c r="DQ673" s="444"/>
      <c r="DR673" s="444"/>
      <c r="DS673" s="1788"/>
      <c r="DT673" s="445"/>
      <c r="DU673" s="982"/>
      <c r="DV673" s="982"/>
      <c r="DW673" s="982"/>
      <c r="DX673" s="1788"/>
      <c r="DY673" s="445"/>
      <c r="DZ673" s="982"/>
      <c r="EA673" s="982"/>
      <c r="EB673" s="982"/>
      <c r="EC673" s="1875"/>
      <c r="ED673" s="1866"/>
      <c r="EE673" s="982"/>
      <c r="EF673" s="982"/>
      <c r="EG673" s="982"/>
      <c r="EH673" s="982"/>
      <c r="EI673" s="445"/>
      <c r="EJ673" s="445"/>
      <c r="EK673" s="445"/>
      <c r="EL673" s="445"/>
      <c r="EM673" s="445"/>
      <c r="EN673" s="445"/>
      <c r="EO673" s="445"/>
      <c r="EP673" s="445"/>
      <c r="EQ673" s="445"/>
      <c r="ER673" s="445"/>
      <c r="ES673" s="445"/>
      <c r="ET673" s="445"/>
      <c r="EU673" s="445"/>
      <c r="EV673" s="445"/>
      <c r="EW673" s="445"/>
      <c r="EX673" s="445"/>
    </row>
    <row r="674" spans="1:154">
      <c r="B674" s="3344" t="s">
        <v>937</v>
      </c>
      <c r="C674" s="1989"/>
      <c r="D674" s="28"/>
      <c r="E674" s="28"/>
      <c r="F674" s="28"/>
      <c r="G674" s="28"/>
      <c r="H674" s="28"/>
      <c r="I674" s="28"/>
      <c r="J674" s="28"/>
      <c r="K674" s="28"/>
      <c r="L674" s="28"/>
      <c r="M674" s="28"/>
      <c r="N674" s="28"/>
      <c r="O674" s="28"/>
      <c r="P674" s="28"/>
      <c r="Q674" s="28"/>
      <c r="R674" s="28"/>
      <c r="S674" s="28"/>
      <c r="T674" s="28"/>
      <c r="U674" s="28"/>
      <c r="V674" s="28"/>
      <c r="W674" s="28"/>
      <c r="X674" s="312"/>
      <c r="Y674" s="28"/>
      <c r="Z674" s="28"/>
      <c r="AA674" s="28"/>
      <c r="AB674" s="28"/>
      <c r="AC674" s="312"/>
      <c r="AD674" s="28"/>
      <c r="AE674" s="28"/>
      <c r="AF674" s="28"/>
      <c r="AG674" s="28"/>
      <c r="AH674" s="312"/>
      <c r="AI674" s="28"/>
      <c r="AJ674" s="28"/>
      <c r="AK674" s="28"/>
      <c r="AL674" s="28"/>
      <c r="AM674" s="312"/>
      <c r="AN674" s="28"/>
      <c r="AO674" s="28"/>
      <c r="AP674" s="28"/>
      <c r="AQ674" s="28"/>
      <c r="AR674" s="312"/>
      <c r="AS674" s="28"/>
      <c r="AT674" s="28"/>
      <c r="AU674" s="28"/>
      <c r="AV674" s="28"/>
      <c r="AW674" s="312"/>
      <c r="AX674" s="40"/>
      <c r="AY674" s="40"/>
      <c r="AZ674" s="40"/>
      <c r="BA674" s="40"/>
      <c r="BB674" s="312"/>
      <c r="BC674" s="28"/>
      <c r="BD674" s="28"/>
      <c r="BE674" s="28"/>
      <c r="BF674" s="28"/>
      <c r="BG674" s="322"/>
      <c r="BH674" s="277"/>
      <c r="BI674" s="277"/>
      <c r="BJ674" s="28"/>
      <c r="BK674" s="28"/>
      <c r="BL674" s="312"/>
      <c r="BM674" s="28"/>
      <c r="BN674" s="28"/>
      <c r="BO674" s="28"/>
      <c r="BP674" s="28"/>
      <c r="BQ674" s="312"/>
      <c r="BR674" s="28"/>
      <c r="BS674" s="28"/>
      <c r="BT674" s="28"/>
      <c r="BU674" s="28"/>
      <c r="BV674" s="312"/>
      <c r="BW674" s="28"/>
      <c r="BX674" s="28"/>
      <c r="BY674" s="28"/>
      <c r="BZ674" s="28"/>
      <c r="CA674" s="312"/>
      <c r="CB674" s="28"/>
      <c r="CC674" s="28"/>
      <c r="CD674" s="28"/>
      <c r="CE674" s="28"/>
      <c r="CF674" s="312"/>
      <c r="CG674" s="28"/>
      <c r="CH674" s="28"/>
      <c r="CI674" s="28"/>
      <c r="CJ674" s="28"/>
      <c r="CK674" s="312"/>
      <c r="CL674" s="28"/>
      <c r="CM674" s="28"/>
      <c r="CN674" s="28"/>
      <c r="CO674" s="28"/>
      <c r="CP674" s="312"/>
      <c r="CQ674" s="933"/>
      <c r="CR674" s="933"/>
      <c r="CS674" s="933"/>
      <c r="CT674" s="933"/>
      <c r="CU674" s="312"/>
      <c r="CV674" s="933"/>
      <c r="CW674" s="933"/>
      <c r="CX674" s="933"/>
      <c r="CY674" s="933"/>
      <c r="CZ674" s="312"/>
      <c r="DA674" s="933"/>
      <c r="DB674" s="31"/>
      <c r="DC674" s="31"/>
      <c r="DD674" s="955"/>
      <c r="DE674" s="445"/>
      <c r="DF674" s="982"/>
      <c r="DG674" s="603"/>
      <c r="DH674" s="603"/>
      <c r="DI674" s="1798"/>
      <c r="DJ674" s="445"/>
      <c r="DK674" s="1800"/>
      <c r="DL674" s="444"/>
      <c r="DM674" s="444"/>
      <c r="DN674" s="1788"/>
      <c r="DO674" s="1788"/>
      <c r="DP674" s="444"/>
      <c r="DQ674" s="444"/>
      <c r="DR674" s="444"/>
      <c r="DS674" s="1788"/>
      <c r="DT674" s="445"/>
      <c r="DU674" s="982"/>
      <c r="DV674" s="982"/>
      <c r="DW674" s="982"/>
      <c r="DX674" s="1788"/>
      <c r="DY674" s="445"/>
      <c r="DZ674" s="982"/>
      <c r="EA674" s="982"/>
      <c r="EB674" s="982"/>
      <c r="EC674" s="1875"/>
      <c r="ED674" s="1866"/>
      <c r="EE674" s="982"/>
      <c r="EF674" s="982"/>
      <c r="EG674" s="982"/>
      <c r="EH674" s="982"/>
      <c r="EI674" s="445"/>
      <c r="EJ674" s="445"/>
      <c r="EK674" s="445"/>
      <c r="EL674" s="445"/>
      <c r="EM674" s="445"/>
      <c r="EN674" s="445"/>
      <c r="EO674" s="445"/>
      <c r="EP674" s="445"/>
      <c r="EQ674" s="445"/>
      <c r="ER674" s="445"/>
      <c r="ES674" s="445"/>
      <c r="ET674" s="445"/>
      <c r="EU674" s="445"/>
      <c r="EV674" s="445"/>
      <c r="EW674" s="445"/>
      <c r="EX674" s="445"/>
    </row>
    <row r="675" spans="1:154">
      <c r="B675" s="1390" t="s">
        <v>925</v>
      </c>
      <c r="C675" s="1989"/>
      <c r="D675" s="28"/>
      <c r="E675" s="28"/>
      <c r="F675" s="28"/>
      <c r="G675" s="28"/>
      <c r="H675" s="28"/>
      <c r="I675" s="28"/>
      <c r="J675" s="28"/>
      <c r="K675" s="28"/>
      <c r="L675" s="28"/>
      <c r="M675" s="28"/>
      <c r="N675" s="28"/>
      <c r="O675" s="28"/>
      <c r="P675" s="28"/>
      <c r="Q675" s="28"/>
      <c r="R675" s="28"/>
      <c r="S675" s="28"/>
      <c r="T675" s="28"/>
      <c r="U675" s="28"/>
      <c r="V675" s="28"/>
      <c r="W675" s="28"/>
      <c r="X675" s="312"/>
      <c r="Y675" s="28"/>
      <c r="Z675" s="28"/>
      <c r="AA675" s="28"/>
      <c r="AB675" s="28"/>
      <c r="AC675" s="312"/>
      <c r="AD675" s="28"/>
      <c r="AE675" s="28"/>
      <c r="AF675" s="28"/>
      <c r="AG675" s="28"/>
      <c r="AH675" s="312"/>
      <c r="AI675" s="28"/>
      <c r="AJ675" s="28"/>
      <c r="AK675" s="28"/>
      <c r="AL675" s="28"/>
      <c r="AM675" s="312"/>
      <c r="AN675" s="28"/>
      <c r="AO675" s="28"/>
      <c r="AP675" s="28"/>
      <c r="AQ675" s="28"/>
      <c r="AR675" s="312"/>
      <c r="AS675" s="28"/>
      <c r="AT675" s="28"/>
      <c r="AU675" s="28"/>
      <c r="AV675" s="28"/>
      <c r="AW675" s="312"/>
      <c r="AX675" s="40"/>
      <c r="AY675" s="40"/>
      <c r="AZ675" s="40"/>
      <c r="BA675" s="40"/>
      <c r="BB675" s="312"/>
      <c r="BC675" s="28"/>
      <c r="BD675" s="28"/>
      <c r="BE675" s="28"/>
      <c r="BF675" s="28"/>
      <c r="BG675" s="322"/>
      <c r="BH675" s="277"/>
      <c r="BI675" s="277"/>
      <c r="BJ675" s="28"/>
      <c r="BK675" s="28"/>
      <c r="BL675" s="312"/>
      <c r="BM675" s="28"/>
      <c r="BN675" s="28"/>
      <c r="BO675" s="28"/>
      <c r="BP675" s="28"/>
      <c r="BQ675" s="312"/>
      <c r="BR675" s="28"/>
      <c r="BS675" s="28"/>
      <c r="BT675" s="28"/>
      <c r="BU675" s="28"/>
      <c r="BV675" s="312"/>
      <c r="BW675" s="28"/>
      <c r="BX675" s="28"/>
      <c r="BY675" s="28"/>
      <c r="BZ675" s="28"/>
      <c r="CA675" s="312"/>
      <c r="CB675" s="28"/>
      <c r="CC675" s="28"/>
      <c r="CD675" s="28"/>
      <c r="CE675" s="28"/>
      <c r="CF675" s="312"/>
      <c r="CG675" s="28"/>
      <c r="CH675" s="28"/>
      <c r="CI675" s="28"/>
      <c r="CJ675" s="28"/>
      <c r="CK675" s="312"/>
      <c r="CL675" s="28"/>
      <c r="CM675" s="28"/>
      <c r="CN675" s="28"/>
      <c r="CO675" s="28"/>
      <c r="CP675" s="312"/>
      <c r="CQ675" s="933"/>
      <c r="CR675" s="933"/>
      <c r="CS675" s="933"/>
      <c r="CT675" s="933"/>
      <c r="CU675" s="312"/>
      <c r="CV675" s="933"/>
      <c r="CW675" s="933"/>
      <c r="CX675" s="926">
        <f t="shared" ref="CX675:DM676" si="1646">IF(CS670=0, "NA", CX670/CS670-1)</f>
      </c>
      <c r="CY675" s="926">
        <f t="shared" si="1646"/>
      </c>
      <c r="CZ675" s="308">
        <f>IF(CU670=0, "NA", CZ670/CU670-1)</f>
      </c>
      <c r="DA675" s="926">
        <f t="shared" si="1646"/>
      </c>
      <c r="DB675" s="926">
        <f t="shared" si="1646"/>
      </c>
      <c r="DC675" s="926">
        <f t="shared" si="1646"/>
      </c>
      <c r="DD675" s="926">
        <f t="shared" si="1646"/>
      </c>
      <c r="DE675" s="308">
        <f>IF(CZ670=0, "NA", DE670/CZ670-1)</f>
      </c>
      <c r="DF675" s="926">
        <f t="shared" si="1646"/>
      </c>
      <c r="DG675" s="926">
        <f t="shared" si="1646"/>
      </c>
      <c r="DH675" s="926">
        <f>IF(DC670=0, "NA", DH670/DC670-1)</f>
      </c>
      <c r="DI675" s="926">
        <f t="shared" si="1646"/>
      </c>
      <c r="DJ675" s="308">
        <f>IF(DE670=0, "NA", DJ670/DE670-1)</f>
      </c>
      <c r="DK675" s="926">
        <f t="shared" si="1646"/>
      </c>
      <c r="DL675" s="926">
        <f t="shared" si="1646"/>
      </c>
      <c r="DM675" s="926">
        <f t="shared" si="1646"/>
      </c>
      <c r="DN675" s="928">
        <f>IF(DN670=0,"NM",+DN670/DI670-1)</f>
      </c>
      <c r="DO675" s="308">
        <f>IF(DJ670=0, "NA", DO670/DJ670-1)</f>
      </c>
      <c r="DP675" s="926">
        <f t="shared" ref="DP675:DW676" si="1647">IF(DK670=0, "NA", DP670/DK670-1)</f>
      </c>
      <c r="DQ675" s="926">
        <f t="shared" si="1647"/>
      </c>
      <c r="DR675" s="926">
        <f t="shared" si="1647"/>
      </c>
      <c r="DS675" s="926">
        <f t="shared" si="1647"/>
      </c>
      <c r="DT675" s="308">
        <f>IF(DO670=0, "NA", DT670/DO670-1)</f>
      </c>
      <c r="DU675" s="926">
        <f t="shared" si="1647"/>
      </c>
      <c r="DV675" s="926">
        <f t="shared" si="1647"/>
      </c>
      <c r="DW675" s="926">
        <f t="shared" si="1647"/>
      </c>
      <c r="DX675" s="926">
        <f>IF(DS670=0, "NA", DX670/DS670-1)</f>
      </c>
      <c r="DY675" s="308">
        <f>IF(DT670=0, "NA", DY670/DT670-1)</f>
      </c>
      <c r="DZ675" s="1703">
        <f>+DZ670/DU670-1</f>
      </c>
      <c r="EA675" s="1703">
        <f>+EA670/DV670-1</f>
      </c>
      <c r="EB675" s="1703">
        <f>+EB670/DW670-1</f>
      </c>
      <c r="EC675" s="1703">
        <f>+EC670/DX670-1</f>
      </c>
      <c r="ED675" s="308">
        <f>IF(DY670=0, "NA", ED670/DY670-1)</f>
      </c>
      <c r="EE675" s="1703">
        <f>+EE670/DZ670-1</f>
      </c>
      <c r="EF675" s="1703">
        <f>+EF670/EA670-1</f>
      </c>
      <c r="EG675" s="1703">
        <f>+EG670/EB670-1</f>
      </c>
      <c r="EH675" s="3549">
        <v>0.02</v>
      </c>
      <c r="EI675" s="308">
        <f>IF(ED670=0, "NA", EI670/ED670-1)</f>
      </c>
      <c r="EJ675" s="2221">
        <v>-0.05</v>
      </c>
      <c r="EK675" s="2221">
        <v>-0.3</v>
      </c>
      <c r="EL675" s="2221">
        <v>-0.3</v>
      </c>
      <c r="EM675" s="2221">
        <v>-0.2</v>
      </c>
      <c r="EN675" s="2221">
        <v>-0.35</v>
      </c>
      <c r="EO675" s="2221">
        <v>-0.45</v>
      </c>
      <c r="EP675" s="2221">
        <v>-0.2</v>
      </c>
      <c r="EQ675" s="2221">
        <v>-0.1</v>
      </c>
      <c r="ER675" s="2221">
        <v>-0.6</v>
      </c>
      <c r="ES675" s="2221">
        <v>-0.02</v>
      </c>
      <c r="ET675" s="597"/>
      <c r="EU675" s="597"/>
      <c r="EV675" s="597"/>
      <c r="EW675" s="597"/>
      <c r="EX675" s="597"/>
    </row>
    <row r="676" spans="1:154">
      <c r="B676" s="1390" t="s">
        <v>412</v>
      </c>
      <c r="C676" s="1989"/>
      <c r="D676" s="28"/>
      <c r="E676" s="28"/>
      <c r="F676" s="28"/>
      <c r="G676" s="28"/>
      <c r="H676" s="28"/>
      <c r="I676" s="28"/>
      <c r="J676" s="28"/>
      <c r="K676" s="28"/>
      <c r="L676" s="28"/>
      <c r="M676" s="28"/>
      <c r="N676" s="28"/>
      <c r="O676" s="28"/>
      <c r="P676" s="28"/>
      <c r="Q676" s="28"/>
      <c r="R676" s="28"/>
      <c r="S676" s="28"/>
      <c r="T676" s="28"/>
      <c r="U676" s="28"/>
      <c r="V676" s="28"/>
      <c r="W676" s="28"/>
      <c r="X676" s="312"/>
      <c r="Y676" s="28"/>
      <c r="Z676" s="28"/>
      <c r="AA676" s="28"/>
      <c r="AB676" s="28"/>
      <c r="AC676" s="312"/>
      <c r="AD676" s="28"/>
      <c r="AE676" s="28"/>
      <c r="AF676" s="28"/>
      <c r="AG676" s="28"/>
      <c r="AH676" s="312"/>
      <c r="AI676" s="28"/>
      <c r="AJ676" s="28"/>
      <c r="AK676" s="28"/>
      <c r="AL676" s="28"/>
      <c r="AM676" s="312"/>
      <c r="AN676" s="28"/>
      <c r="AO676" s="28"/>
      <c r="AP676" s="28"/>
      <c r="AQ676" s="28"/>
      <c r="AR676" s="312"/>
      <c r="AS676" s="28"/>
      <c r="AT676" s="28"/>
      <c r="AU676" s="28"/>
      <c r="AV676" s="28"/>
      <c r="AW676" s="312"/>
      <c r="AX676" s="40"/>
      <c r="AY676" s="40"/>
      <c r="AZ676" s="40"/>
      <c r="BA676" s="40"/>
      <c r="BB676" s="312"/>
      <c r="BC676" s="28"/>
      <c r="BD676" s="28"/>
      <c r="BE676" s="28"/>
      <c r="BF676" s="28"/>
      <c r="BG676" s="322"/>
      <c r="BH676" s="277"/>
      <c r="BI676" s="277"/>
      <c r="BJ676" s="28"/>
      <c r="BK676" s="28"/>
      <c r="BL676" s="312"/>
      <c r="BM676" s="28"/>
      <c r="BN676" s="28"/>
      <c r="BO676" s="28"/>
      <c r="BP676" s="28"/>
      <c r="BQ676" s="312"/>
      <c r="BR676" s="28"/>
      <c r="BS676" s="28"/>
      <c r="BT676" s="28"/>
      <c r="BU676" s="28"/>
      <c r="BV676" s="312"/>
      <c r="BW676" s="28"/>
      <c r="BX676" s="28"/>
      <c r="BY676" s="28"/>
      <c r="BZ676" s="28"/>
      <c r="CA676" s="312"/>
      <c r="CB676" s="28"/>
      <c r="CC676" s="28"/>
      <c r="CD676" s="28"/>
      <c r="CE676" s="28"/>
      <c r="CF676" s="312"/>
      <c r="CG676" s="28"/>
      <c r="CH676" s="28"/>
      <c r="CI676" s="28"/>
      <c r="CJ676" s="28"/>
      <c r="CK676" s="312"/>
      <c r="CL676" s="28"/>
      <c r="CM676" s="28"/>
      <c r="CN676" s="28"/>
      <c r="CO676" s="28"/>
      <c r="CP676" s="312"/>
      <c r="CQ676" s="933"/>
      <c r="CR676" s="933"/>
      <c r="CS676" s="933"/>
      <c r="CT676" s="933"/>
      <c r="CU676" s="312"/>
      <c r="CV676" s="933"/>
      <c r="CW676" s="933"/>
      <c r="CX676" s="926">
        <f t="shared" si="1646"/>
      </c>
      <c r="CY676" s="926">
        <f t="shared" si="1646"/>
      </c>
      <c r="CZ676" s="308">
        <f>IF(CU671=0, "NA", CZ671/CU671-1)</f>
      </c>
      <c r="DA676" s="926">
        <f t="shared" si="1646"/>
      </c>
      <c r="DB676" s="926">
        <f t="shared" si="1646"/>
      </c>
      <c r="DC676" s="926">
        <f t="shared" si="1646"/>
      </c>
      <c r="DD676" s="926">
        <f t="shared" si="1646"/>
      </c>
      <c r="DE676" s="308">
        <f>IF(CZ671=0, "NA", DE671/CZ671-1)</f>
      </c>
      <c r="DF676" s="926">
        <f t="shared" si="1646"/>
      </c>
      <c r="DG676" s="926">
        <f t="shared" si="1646"/>
      </c>
      <c r="DH676" s="926">
        <f>IF(DC671=0, "NA", DH671/DC671-1)</f>
      </c>
      <c r="DI676" s="926">
        <f t="shared" si="1646"/>
      </c>
      <c r="DJ676" s="308">
        <f>IF(DE671=0, "NA", DJ671/DE671-1)</f>
      </c>
      <c r="DK676" s="926">
        <f t="shared" si="1646"/>
      </c>
      <c r="DL676" s="926">
        <f t="shared" si="1646"/>
      </c>
      <c r="DM676" s="926">
        <f t="shared" si="1646"/>
      </c>
      <c r="DN676" s="928">
        <f>IF(DN671=0, "NM", DN671/DI671-1)</f>
      </c>
      <c r="DO676" s="308">
        <f>IF(DJ671=0, "NA", DO671/DJ671-1)</f>
      </c>
      <c r="DP676" s="926">
        <f t="shared" si="1647"/>
      </c>
      <c r="DQ676" s="926">
        <f t="shared" si="1647"/>
      </c>
      <c r="DR676" s="926">
        <f t="shared" si="1647"/>
      </c>
      <c r="DS676" s="926">
        <f t="shared" si="1647"/>
      </c>
      <c r="DT676" s="308">
        <f>IF(DO671=0, "NA", DT671/DO671-1)</f>
      </c>
      <c r="DU676" s="926">
        <f>IF(DP671=0, "NA", DU671/DP671-1)</f>
      </c>
      <c r="DV676" s="926">
        <f>IF(DQ671=0, "NA", DV671/DQ671-1)</f>
      </c>
      <c r="DW676" s="926">
        <f>IF(DR671=0, "NA", DW671/DR671-1)</f>
      </c>
      <c r="DX676" s="926">
        <f>IF(DS671=0, "NA", DX671/DS671-1)</f>
      </c>
      <c r="DY676" s="308">
        <f>IF(DT671=0, "NA", DY671/DT671-1)</f>
      </c>
      <c r="DZ676" s="926">
        <f>IF(DU671=0, "NA", DZ671/DU671-1)</f>
      </c>
      <c r="EA676" s="926">
        <f>IF(DV671=0, "NA", EA671/DV671-1)</f>
      </c>
      <c r="EB676" s="926">
        <f>IF(DW671=0, "NA", EB671/DW671-1)</f>
      </c>
      <c r="EC676" s="926">
        <f>IF(DX671=0, "NA", EC671/DX671-1)</f>
      </c>
      <c r="ED676" s="308">
        <f>IF(DY671=0, "NA", ED671/DY671-1)</f>
      </c>
      <c r="EE676" s="926">
        <f>IF(DZ671=0, "NA", EE671/DZ671-1)</f>
      </c>
      <c r="EF676" s="926">
        <f>IF(EA671=0, "NA", EF671/EA671-1)</f>
      </c>
      <c r="EG676" s="926">
        <f>IF(EB671=0, "NA", EG671/EB671-1)</f>
      </c>
      <c r="EH676" s="926">
        <f t="shared" ref="EH676" si="1648">EH677+EH$21</f>
      </c>
      <c r="EI676" s="308">
        <f>IF(ED671=0, "NA", EI671/ED671-1)</f>
      </c>
      <c r="EJ676" s="308">
        <f t="shared" ref="EJ676:ES676" si="1649">EJ677+EJ$21</f>
      </c>
      <c r="EK676" s="308">
        <f t="shared" si="1649"/>
      </c>
      <c r="EL676" s="308">
        <f t="shared" si="1649"/>
      </c>
      <c r="EM676" s="308">
        <f t="shared" si="1649"/>
      </c>
      <c r="EN676" s="308">
        <f t="shared" si="1649"/>
      </c>
      <c r="EO676" s="308">
        <f t="shared" si="1649"/>
      </c>
      <c r="EP676" s="308">
        <f t="shared" si="1649"/>
      </c>
      <c r="EQ676" s="308">
        <f t="shared" si="1649"/>
      </c>
      <c r="ER676" s="308">
        <f t="shared" si="1649"/>
      </c>
      <c r="ES676" s="308">
        <f t="shared" si="1649"/>
      </c>
      <c r="ET676" s="409"/>
      <c r="EU676" s="409"/>
      <c r="EV676" s="409"/>
      <c r="EW676" s="409"/>
      <c r="EX676" s="409"/>
    </row>
    <row r="677" spans="1:154">
      <c r="B677" s="1390" t="s">
        <v>256</v>
      </c>
      <c r="C677" s="1989"/>
      <c r="D677" s="28"/>
      <c r="E677" s="28"/>
      <c r="F677" s="28"/>
      <c r="G677" s="28"/>
      <c r="H677" s="28"/>
      <c r="I677" s="28"/>
      <c r="J677" s="28"/>
      <c r="K677" s="28"/>
      <c r="L677" s="28"/>
      <c r="M677" s="28"/>
      <c r="N677" s="28"/>
      <c r="O677" s="28"/>
      <c r="P677" s="28"/>
      <c r="Q677" s="28"/>
      <c r="R677" s="28"/>
      <c r="S677" s="28"/>
      <c r="T677" s="28"/>
      <c r="U677" s="28"/>
      <c r="V677" s="28"/>
      <c r="W677" s="28"/>
      <c r="X677" s="312"/>
      <c r="Y677" s="28"/>
      <c r="Z677" s="28"/>
      <c r="AA677" s="28"/>
      <c r="AB677" s="28"/>
      <c r="AC677" s="312"/>
      <c r="AD677" s="28"/>
      <c r="AE677" s="28"/>
      <c r="AF677" s="28"/>
      <c r="AG677" s="28"/>
      <c r="AH677" s="312"/>
      <c r="AI677" s="28"/>
      <c r="AJ677" s="28"/>
      <c r="AK677" s="28"/>
      <c r="AL677" s="28"/>
      <c r="AM677" s="312"/>
      <c r="AN677" s="28"/>
      <c r="AO677" s="28"/>
      <c r="AP677" s="28"/>
      <c r="AQ677" s="28"/>
      <c r="AR677" s="312"/>
      <c r="AS677" s="28"/>
      <c r="AT677" s="28"/>
      <c r="AU677" s="28"/>
      <c r="AV677" s="28"/>
      <c r="AW677" s="312"/>
      <c r="AX677" s="40"/>
      <c r="AY677" s="40"/>
      <c r="AZ677" s="40"/>
      <c r="BA677" s="40"/>
      <c r="BB677" s="312"/>
      <c r="BC677" s="28"/>
      <c r="BD677" s="28"/>
      <c r="BE677" s="28"/>
      <c r="BF677" s="28"/>
      <c r="BG677" s="322"/>
      <c r="BH677" s="277"/>
      <c r="BI677" s="277"/>
      <c r="BJ677" s="28"/>
      <c r="BK677" s="28"/>
      <c r="BL677" s="312"/>
      <c r="BM677" s="28"/>
      <c r="BN677" s="28"/>
      <c r="BO677" s="28"/>
      <c r="BP677" s="28"/>
      <c r="BQ677" s="312"/>
      <c r="BR677" s="28"/>
      <c r="BS677" s="28"/>
      <c r="BT677" s="28"/>
      <c r="BU677" s="28"/>
      <c r="BV677" s="312"/>
      <c r="BW677" s="28"/>
      <c r="BX677" s="28"/>
      <c r="BY677" s="28"/>
      <c r="BZ677" s="28"/>
      <c r="CA677" s="312"/>
      <c r="CB677" s="28"/>
      <c r="CC677" s="28"/>
      <c r="CD677" s="28"/>
      <c r="CE677" s="28"/>
      <c r="CF677" s="312"/>
      <c r="CG677" s="28"/>
      <c r="CH677" s="28"/>
      <c r="CI677" s="28"/>
      <c r="CJ677" s="28"/>
      <c r="CK677" s="312"/>
      <c r="CL677" s="28"/>
      <c r="CM677" s="28"/>
      <c r="CN677" s="28"/>
      <c r="CO677" s="28"/>
      <c r="CP677" s="312"/>
      <c r="CQ677" s="933"/>
      <c r="CR677" s="933"/>
      <c r="CS677" s="933"/>
      <c r="CT677" s="933"/>
      <c r="CU677" s="312"/>
      <c r="CV677" s="933"/>
      <c r="CW677" s="933"/>
      <c r="CX677" s="649">
        <v>0.57299999999999995</v>
      </c>
      <c r="CY677" s="649">
        <v>0.27300000000000002</v>
      </c>
      <c r="CZ677" s="308">
        <f>CZ676-CZ$21</f>
      </c>
      <c r="DA677" s="649">
        <v>0.53600000000000003</v>
      </c>
      <c r="DB677" s="361">
        <v>0.71599999999999997</v>
      </c>
      <c r="DC677" s="1109">
        <v>0.58699999999999997</v>
      </c>
      <c r="DD677" s="927">
        <v>0.995</v>
      </c>
      <c r="DE677" s="308">
        <f>DE676-DE$21</f>
      </c>
      <c r="DF677" s="649">
        <v>0.5</v>
      </c>
      <c r="DG677" s="29">
        <v>0</v>
      </c>
      <c r="DH677" s="29">
        <v>0</v>
      </c>
      <c r="DI677" s="928">
        <f>IF(DI671=0, "NM",DI676-DI$21)</f>
      </c>
      <c r="DJ677" s="308">
        <f>DJ676-DJ$21</f>
      </c>
      <c r="DK677" s="1271">
        <v>0.05</v>
      </c>
      <c r="DL677" s="29">
        <v>0.71599999999999997</v>
      </c>
      <c r="DM677" s="29">
        <v>0.4</v>
      </c>
      <c r="DN677" s="928">
        <f>IF(DN671=0, "NM",DN676-DN$21)</f>
      </c>
      <c r="DO677" s="308">
        <f t="shared" ref="DO677:DT677" si="1650">DO676-DO$21</f>
      </c>
      <c r="DP677" s="926">
        <f t="shared" si="1650"/>
      </c>
      <c r="DQ677" s="410">
        <f t="shared" si="1650"/>
      </c>
      <c r="DR677" s="410">
        <f t="shared" si="1650"/>
      </c>
      <c r="DS677" s="410">
        <f t="shared" si="1650"/>
      </c>
      <c r="DT677" s="308">
        <f t="shared" si="1650"/>
      </c>
      <c r="DU677" s="958">
        <f>DU676-(-6.1%)</f>
      </c>
      <c r="DV677" s="926">
        <f>DV676-(-4.1%)</f>
      </c>
      <c r="DW677" s="926">
        <f>DW676-(-2.9%)</f>
      </c>
      <c r="DX677" s="410">
        <f>DX676-DX$21</f>
      </c>
      <c r="DY677" s="308">
        <f>DY676-DY$21</f>
      </c>
      <c r="DZ677" s="1703">
        <f>DZ676-(-7.9%)</f>
      </c>
      <c r="EA677" s="1703">
        <f>EA676-(-9.8%)</f>
      </c>
      <c r="EB677" s="1703">
        <f>EB676-(-6.4%)</f>
      </c>
      <c r="EC677" s="1703">
        <f>EC676-(-5.5%)</f>
      </c>
      <c r="ED677" s="308">
        <f>ED676-ED$21</f>
      </c>
      <c r="EE677" s="1703">
        <f>EE676-(-7.9%)</f>
      </c>
      <c r="EF677" s="1703">
        <f>EF676-(-9.8%)</f>
      </c>
      <c r="EG677" s="1703">
        <f>EG676-(-6.4%)</f>
      </c>
      <c r="EH677" s="3549">
        <v>0.22</v>
      </c>
      <c r="EI677" s="308">
        <f>EI676-EI$21</f>
      </c>
      <c r="EJ677" s="2221">
        <v>0.08</v>
      </c>
      <c r="EK677" s="2221">
        <v>-0.18</v>
      </c>
      <c r="EL677" s="2221">
        <v>-0.3</v>
      </c>
      <c r="EM677" s="2221">
        <v>-0.2</v>
      </c>
      <c r="EN677" s="2221">
        <v>-0.3</v>
      </c>
      <c r="EO677" s="2221">
        <v>-0.2</v>
      </c>
      <c r="EP677" s="2221">
        <v>-0.15</v>
      </c>
      <c r="EQ677" s="2221">
        <v>-0.05</v>
      </c>
      <c r="ER677" s="2221">
        <v>-0.05</v>
      </c>
      <c r="ES677" s="2221">
        <v>-0.02</v>
      </c>
      <c r="ET677" s="1444"/>
      <c r="EU677" s="1444"/>
      <c r="EV677" s="1444"/>
      <c r="EW677" s="1444"/>
      <c r="EX677" s="1444"/>
    </row>
    <row r="678" spans="1:154">
      <c r="B678" s="1390" t="s">
        <v>611</v>
      </c>
      <c r="C678" s="1989"/>
      <c r="D678" s="28"/>
      <c r="E678" s="28"/>
      <c r="F678" s="28"/>
      <c r="G678" s="28"/>
      <c r="H678" s="28"/>
      <c r="I678" s="28"/>
      <c r="J678" s="28"/>
      <c r="K678" s="28"/>
      <c r="L678" s="28"/>
      <c r="M678" s="28"/>
      <c r="N678" s="28"/>
      <c r="O678" s="28"/>
      <c r="P678" s="28"/>
      <c r="Q678" s="28"/>
      <c r="R678" s="28"/>
      <c r="S678" s="28"/>
      <c r="T678" s="28"/>
      <c r="U678" s="28"/>
      <c r="V678" s="28"/>
      <c r="W678" s="28"/>
      <c r="X678" s="312"/>
      <c r="Y678" s="28"/>
      <c r="Z678" s="28"/>
      <c r="AA678" s="28"/>
      <c r="AB678" s="28"/>
      <c r="AC678" s="312"/>
      <c r="AD678" s="28"/>
      <c r="AE678" s="28"/>
      <c r="AF678" s="28"/>
      <c r="AG678" s="28"/>
      <c r="AH678" s="312"/>
      <c r="AI678" s="28"/>
      <c r="AJ678" s="28"/>
      <c r="AK678" s="28"/>
      <c r="AL678" s="28"/>
      <c r="AM678" s="312"/>
      <c r="AN678" s="28"/>
      <c r="AO678" s="28"/>
      <c r="AP678" s="28"/>
      <c r="AQ678" s="28"/>
      <c r="AR678" s="312"/>
      <c r="AS678" s="28"/>
      <c r="AT678" s="28"/>
      <c r="AU678" s="28"/>
      <c r="AV678" s="28"/>
      <c r="AW678" s="312"/>
      <c r="AX678" s="40"/>
      <c r="AY678" s="40"/>
      <c r="AZ678" s="40"/>
      <c r="BA678" s="40"/>
      <c r="BB678" s="312"/>
      <c r="BC678" s="28"/>
      <c r="BD678" s="28"/>
      <c r="BE678" s="28"/>
      <c r="BF678" s="28"/>
      <c r="BG678" s="322"/>
      <c r="BH678" s="277"/>
      <c r="BI678" s="277"/>
      <c r="BJ678" s="28"/>
      <c r="BK678" s="28"/>
      <c r="BL678" s="312"/>
      <c r="BM678" s="28"/>
      <c r="BN678" s="28"/>
      <c r="BO678" s="28"/>
      <c r="BP678" s="28"/>
      <c r="BQ678" s="312"/>
      <c r="BR678" s="28"/>
      <c r="BS678" s="28"/>
      <c r="BT678" s="28"/>
      <c r="BU678" s="28"/>
      <c r="BV678" s="312"/>
      <c r="BW678" s="28"/>
      <c r="BX678" s="28"/>
      <c r="BY678" s="28"/>
      <c r="BZ678" s="28"/>
      <c r="CA678" s="312"/>
      <c r="CB678" s="28"/>
      <c r="CC678" s="28"/>
      <c r="CD678" s="28"/>
      <c r="CE678" s="28"/>
      <c r="CF678" s="312"/>
      <c r="CG678" s="28"/>
      <c r="CH678" s="28"/>
      <c r="CI678" s="28"/>
      <c r="CJ678" s="28"/>
      <c r="CK678" s="312"/>
      <c r="CL678" s="28"/>
      <c r="CM678" s="28"/>
      <c r="CN678" s="28"/>
      <c r="CO678" s="28"/>
      <c r="CP678" s="312"/>
      <c r="CQ678" s="933"/>
      <c r="CR678" s="933"/>
      <c r="CS678" s="933"/>
      <c r="CT678" s="933"/>
      <c r="CU678" s="312"/>
      <c r="CV678" s="933"/>
      <c r="CW678" s="933"/>
      <c r="CX678" s="926">
        <f t="shared" ref="CX678:DC678" si="1651">IF(CS672=0, "NA", CX672/CS672-1)</f>
      </c>
      <c r="CY678" s="926">
        <f t="shared" si="1651"/>
      </c>
      <c r="CZ678" s="308">
        <f t="shared" si="1651"/>
      </c>
      <c r="DA678" s="926">
        <f t="shared" si="1651"/>
      </c>
      <c r="DB678" s="926">
        <f t="shared" si="1651"/>
      </c>
      <c r="DC678" s="926">
        <f t="shared" si="1651"/>
      </c>
      <c r="DD678" s="928">
        <f>IF(CY672=0, "NM", DD672/CY672-1)</f>
      </c>
      <c r="DE678" s="308">
        <f>IF(CZ672=0, "NA", DE672/CZ672-1)</f>
      </c>
      <c r="DF678" s="926">
        <f>IF(DA672=0, "NA", DF672/DA672-1)</f>
      </c>
      <c r="DG678" s="926">
        <f>IF(DB672=0, "NA", DG672/DB672-1)</f>
      </c>
      <c r="DH678" s="926">
        <f>IF(DC672=0, "NA", DH672/DC672-1)</f>
      </c>
      <c r="DI678" s="928">
        <f>IF(DD672=0, "NM", DI672/DD672-1)</f>
      </c>
      <c r="DJ678" s="308">
        <f>IF(DE672=0, "NA", DJ672/DE672-1)</f>
      </c>
      <c r="DK678" s="926">
        <f>IF(DF672=0, "NA", DK672/DF672-1)</f>
      </c>
      <c r="DL678" s="926">
        <f>IF(DG672=0, "NA", DL672/DG672-1)</f>
      </c>
      <c r="DM678" s="926">
        <f>IF(DH672=0, "NA", DM672/DH672-1)</f>
      </c>
      <c r="DN678" s="928">
        <f>IF(DI672=0, "NM", DN672/DI672-1)</f>
      </c>
      <c r="DO678" s="830">
        <f>DO672/DJ672-1</f>
      </c>
      <c r="DP678" s="958">
        <f>IF(DK672=0, "NA", DP672/DK672-1)</f>
      </c>
      <c r="DQ678" s="926">
        <f>IF(DL672=0, "NA", DQ672/DL672-1)</f>
      </c>
      <c r="DR678" s="926">
        <f>IF(DM672=0, "NA", DR672/DM672-1)</f>
      </c>
      <c r="DS678" s="928">
        <f>IF(DN672=0, "NM", DS672/DN672-1)</f>
      </c>
      <c r="DT678" s="308">
        <f>DT672/DO672-1</f>
      </c>
      <c r="DU678" s="958">
        <f>IF(DP672=0, "NA", DU672/DP672-1)</f>
      </c>
      <c r="DV678" s="926">
        <f>IF(DQ672=0, "NA", DV672/DQ672-1)</f>
      </c>
      <c r="DW678" s="926">
        <f>IF(DR672=0, "NA", DW672/DR672-1)</f>
      </c>
      <c r="DX678" s="928">
        <f>IF(DS672=0, "NM", DX672/DS672-1)</f>
      </c>
      <c r="DY678" s="308">
        <f>DY672/DT672-1</f>
      </c>
      <c r="DZ678" s="926">
        <f>IF(DU672=0, "NA", DZ672/DU672-1)</f>
      </c>
      <c r="EA678" s="926">
        <f>IF(DV672=0, "NA", EA672/DV672-1)</f>
      </c>
      <c r="EB678" s="926">
        <f>IF(DW672=0, "NA", EB672/DW672-1)</f>
      </c>
      <c r="EC678" s="926">
        <f>IF(DX672=0, "NA", EC672/DX672-1)</f>
      </c>
      <c r="ED678" s="308">
        <f>ED672/DY672-1</f>
      </c>
      <c r="EE678" s="926">
        <f>IF(DZ672=0, "NA", EE672/DZ672-1)</f>
      </c>
      <c r="EF678" s="926">
        <f>IF(EA672=0, "NA", EF672/EA672-1)</f>
      </c>
      <c r="EG678" s="926">
        <f>IF(EB672=0, "NA", EG672/EB672-1)</f>
      </c>
      <c r="EH678" s="926">
        <f t="shared" ref="EH678" si="1652">IF(EC672=0, "NA", EH672/EC672-1)</f>
      </c>
      <c r="EI678" s="308">
        <f>EI672/ED672-1</f>
      </c>
      <c r="EJ678" s="308">
        <f t="shared" ref="EJ678:EO678" si="1653">EJ672/EI672-1</f>
      </c>
      <c r="EK678" s="308">
        <f t="shared" si="1653"/>
      </c>
      <c r="EL678" s="308">
        <f t="shared" si="1653"/>
      </c>
      <c r="EM678" s="308">
        <f t="shared" si="1653"/>
      </c>
      <c r="EN678" s="308">
        <f t="shared" si="1653"/>
      </c>
      <c r="EO678" s="308">
        <f t="shared" si="1653"/>
      </c>
      <c r="EP678" s="308">
        <f t="shared" ref="EP678" si="1654">EP672/EO672-1</f>
      </c>
      <c r="EQ678" s="308">
        <f t="shared" ref="EQ678" si="1655">EQ672/EP672-1</f>
      </c>
      <c r="ER678" s="308">
        <f t="shared" ref="ER678" si="1656">ER672/EQ672-1</f>
      </c>
      <c r="ES678" s="308">
        <f t="shared" ref="ES678" si="1657">ES672/ER672-1</f>
      </c>
      <c r="ET678" s="409"/>
      <c r="EU678" s="409"/>
      <c r="EV678" s="409"/>
      <c r="EW678" s="409"/>
      <c r="EX678" s="409"/>
    </row>
    <row r="679" spans="1:154">
      <c r="B679" s="1390"/>
      <c r="C679" s="1989"/>
      <c r="D679" s="28"/>
      <c r="E679" s="28"/>
      <c r="F679" s="28"/>
      <c r="G679" s="28"/>
      <c r="H679" s="28"/>
      <c r="I679" s="28"/>
      <c r="J679" s="28"/>
      <c r="K679" s="28"/>
      <c r="L679" s="28"/>
      <c r="M679" s="28"/>
      <c r="N679" s="28"/>
      <c r="O679" s="28"/>
      <c r="P679" s="28"/>
      <c r="Q679" s="28"/>
      <c r="R679" s="28"/>
      <c r="S679" s="28"/>
      <c r="T679" s="28"/>
      <c r="U679" s="28"/>
      <c r="V679" s="28"/>
      <c r="W679" s="28"/>
      <c r="X679" s="312"/>
      <c r="Y679" s="28"/>
      <c r="Z679" s="28"/>
      <c r="AA679" s="28"/>
      <c r="AB679" s="28"/>
      <c r="AC679" s="312"/>
      <c r="AD679" s="28"/>
      <c r="AE679" s="28"/>
      <c r="AF679" s="28"/>
      <c r="AG679" s="28"/>
      <c r="AH679" s="312"/>
      <c r="AI679" s="28"/>
      <c r="AJ679" s="28"/>
      <c r="AK679" s="28"/>
      <c r="AL679" s="28"/>
      <c r="AM679" s="312"/>
      <c r="AN679" s="28"/>
      <c r="AO679" s="28"/>
      <c r="AP679" s="28"/>
      <c r="AQ679" s="28"/>
      <c r="AR679" s="312"/>
      <c r="AS679" s="28"/>
      <c r="AT679" s="28"/>
      <c r="AU679" s="28"/>
      <c r="AV679" s="28"/>
      <c r="AW679" s="312"/>
      <c r="AX679" s="40"/>
      <c r="AY679" s="40"/>
      <c r="AZ679" s="40"/>
      <c r="BA679" s="40"/>
      <c r="BB679" s="312"/>
      <c r="BC679" s="28"/>
      <c r="BD679" s="28"/>
      <c r="BE679" s="28"/>
      <c r="BF679" s="28"/>
      <c r="BG679" s="322"/>
      <c r="BH679" s="277"/>
      <c r="BI679" s="277"/>
      <c r="BJ679" s="28"/>
      <c r="BK679" s="28"/>
      <c r="BL679" s="312"/>
      <c r="BM679" s="28"/>
      <c r="BN679" s="28"/>
      <c r="BO679" s="28"/>
      <c r="BP679" s="28"/>
      <c r="BQ679" s="312"/>
      <c r="BR679" s="28"/>
      <c r="BS679" s="28"/>
      <c r="BT679" s="28"/>
      <c r="BU679" s="28"/>
      <c r="BV679" s="312"/>
      <c r="BW679" s="28"/>
      <c r="BX679" s="28"/>
      <c r="BY679" s="28"/>
      <c r="BZ679" s="28"/>
      <c r="CA679" s="312"/>
      <c r="CB679" s="28"/>
      <c r="CC679" s="28"/>
      <c r="CD679" s="28"/>
      <c r="CE679" s="28"/>
      <c r="CF679" s="312"/>
      <c r="CG679" s="28"/>
      <c r="CH679" s="28"/>
      <c r="CI679" s="28"/>
      <c r="CJ679" s="28"/>
      <c r="CK679" s="312"/>
      <c r="CL679" s="28"/>
      <c r="CM679" s="28"/>
      <c r="CN679" s="28"/>
      <c r="CO679" s="28"/>
      <c r="CP679" s="312"/>
      <c r="CQ679" s="933"/>
      <c r="CR679" s="933"/>
      <c r="CS679" s="933"/>
      <c r="CT679" s="933"/>
      <c r="CU679" s="312"/>
      <c r="CV679" s="933"/>
      <c r="CW679" s="933"/>
      <c r="CX679" s="933"/>
      <c r="CY679" s="933"/>
      <c r="CZ679" s="312"/>
      <c r="DA679" s="933"/>
      <c r="DB679" s="933"/>
      <c r="DC679" s="933"/>
      <c r="DD679" s="933"/>
      <c r="DE679" s="445"/>
      <c r="DF679" s="982"/>
      <c r="DG679" s="982"/>
      <c r="DH679" s="982"/>
      <c r="DI679" s="982"/>
      <c r="DJ679" s="445"/>
      <c r="DK679" s="1800"/>
      <c r="DL679" s="444"/>
      <c r="DM679" s="444"/>
      <c r="DN679" s="1788"/>
      <c r="DO679" s="1788"/>
      <c r="DP679" s="444"/>
      <c r="DQ679" s="444"/>
      <c r="DR679" s="444"/>
      <c r="DS679" s="1788"/>
      <c r="DT679" s="445"/>
      <c r="DU679" s="981"/>
      <c r="DV679" s="982"/>
      <c r="DW679" s="982"/>
      <c r="DX679" s="1875"/>
      <c r="DY679" s="445"/>
      <c r="DZ679" s="982"/>
      <c r="EA679" s="982"/>
      <c r="EB679" s="982"/>
      <c r="EC679" s="1875"/>
      <c r="ED679" s="1866"/>
      <c r="EE679" s="982"/>
      <c r="EF679" s="982"/>
      <c r="EG679" s="982"/>
      <c r="EH679" s="1875"/>
      <c r="EI679" s="445"/>
      <c r="EJ679" s="445"/>
      <c r="EK679" s="445"/>
      <c r="EL679" s="445"/>
      <c r="EM679" s="445"/>
      <c r="EN679" s="445"/>
      <c r="EO679" s="445"/>
      <c r="EP679" s="445"/>
      <c r="EQ679" s="445"/>
      <c r="ER679" s="445"/>
      <c r="ES679" s="445"/>
      <c r="ET679" s="445"/>
      <c r="EU679" s="445"/>
      <c r="EV679" s="445"/>
      <c r="EW679" s="445"/>
      <c r="EX679" s="445"/>
    </row>
    <row r="680" spans="1:154">
      <c r="B680" s="1389" t="s">
        <v>20</v>
      </c>
      <c r="C680" s="1989"/>
      <c r="D680" s="28"/>
      <c r="E680" s="28"/>
      <c r="F680" s="28"/>
      <c r="G680" s="28"/>
      <c r="H680" s="28"/>
      <c r="I680" s="28"/>
      <c r="J680" s="28"/>
      <c r="K680" s="28"/>
      <c r="L680" s="28"/>
      <c r="M680" s="28"/>
      <c r="N680" s="28"/>
      <c r="O680" s="28"/>
      <c r="P680" s="28"/>
      <c r="Q680" s="28"/>
      <c r="R680" s="28"/>
      <c r="S680" s="28"/>
      <c r="T680" s="28"/>
      <c r="U680" s="28"/>
      <c r="V680" s="28"/>
      <c r="W680" s="28"/>
      <c r="X680" s="312"/>
      <c r="Y680" s="28"/>
      <c r="Z680" s="28"/>
      <c r="AA680" s="28"/>
      <c r="AB680" s="28"/>
      <c r="AC680" s="312"/>
      <c r="AD680" s="28"/>
      <c r="AE680" s="28"/>
      <c r="AF680" s="28"/>
      <c r="AG680" s="28"/>
      <c r="AH680" s="312"/>
      <c r="AI680" s="28"/>
      <c r="AJ680" s="28"/>
      <c r="AK680" s="28"/>
      <c r="AL680" s="28"/>
      <c r="AM680" s="312"/>
      <c r="AN680" s="28"/>
      <c r="AO680" s="28"/>
      <c r="AP680" s="28"/>
      <c r="AQ680" s="28"/>
      <c r="AR680" s="312"/>
      <c r="AS680" s="28"/>
      <c r="AT680" s="28"/>
      <c r="AU680" s="28"/>
      <c r="AV680" s="28"/>
      <c r="AW680" s="312"/>
      <c r="AX680" s="40"/>
      <c r="AY680" s="40"/>
      <c r="AZ680" s="40"/>
      <c r="BA680" s="40"/>
      <c r="BB680" s="312"/>
      <c r="BC680" s="28"/>
      <c r="BD680" s="28"/>
      <c r="BE680" s="28"/>
      <c r="BF680" s="28"/>
      <c r="BG680" s="322"/>
      <c r="BH680" s="277"/>
      <c r="BI680" s="277"/>
      <c r="BJ680" s="28"/>
      <c r="BK680" s="28"/>
      <c r="BL680" s="312"/>
      <c r="BM680" s="28"/>
      <c r="BN680" s="28"/>
      <c r="BO680" s="28"/>
      <c r="BP680" s="28"/>
      <c r="BQ680" s="312"/>
      <c r="BR680" s="28"/>
      <c r="BS680" s="28"/>
      <c r="BT680" s="28"/>
      <c r="BU680" s="28"/>
      <c r="BV680" s="312"/>
      <c r="BW680" s="28"/>
      <c r="BX680" s="28"/>
      <c r="BY680" s="28"/>
      <c r="BZ680" s="28"/>
      <c r="CA680" s="312"/>
      <c r="CB680" s="28"/>
      <c r="CC680" s="28"/>
      <c r="CD680" s="28"/>
      <c r="CE680" s="28"/>
      <c r="CF680" s="312"/>
      <c r="CG680" s="28"/>
      <c r="CH680" s="28"/>
      <c r="CI680" s="28"/>
      <c r="CJ680" s="28"/>
      <c r="CK680" s="312"/>
      <c r="CL680" s="28"/>
      <c r="CM680" s="28"/>
      <c r="CN680" s="28"/>
      <c r="CO680" s="28"/>
      <c r="CP680" s="312"/>
      <c r="CQ680" s="933"/>
      <c r="CS680" s="933"/>
      <c r="CT680" s="933"/>
      <c r="CU680" s="312"/>
      <c r="CW680" s="933"/>
      <c r="CX680" s="933"/>
      <c r="CY680" s="933"/>
      <c r="CZ680" s="312"/>
      <c r="DB680" s="933"/>
      <c r="DC680" s="933"/>
      <c r="DD680" s="933"/>
      <c r="DE680" s="445"/>
      <c r="DG680" s="982"/>
      <c r="DH680" s="982"/>
      <c r="DI680" s="982"/>
      <c r="DJ680" s="445"/>
      <c r="DK680" s="1800"/>
      <c r="DL680" s="444"/>
      <c r="DM680" s="444"/>
      <c r="DN680" s="1788"/>
      <c r="DO680" s="1788"/>
      <c r="DP680" s="444"/>
      <c r="DQ680" s="444"/>
      <c r="DR680" s="444"/>
      <c r="DS680" s="1788"/>
      <c r="DT680" s="445"/>
      <c r="DU680" s="981"/>
      <c r="DV680" s="982"/>
      <c r="DW680" s="982"/>
      <c r="DX680" s="1875"/>
      <c r="DY680" s="445"/>
      <c r="DZ680" s="982"/>
      <c r="EA680" s="982"/>
      <c r="EB680" s="982"/>
      <c r="EC680" s="1875"/>
      <c r="ED680" s="1866"/>
      <c r="EE680" s="982"/>
      <c r="EF680" s="982"/>
      <c r="EG680" s="982"/>
      <c r="EH680" s="1875"/>
      <c r="EI680" s="445"/>
      <c r="EJ680" s="445"/>
      <c r="EK680" s="445"/>
      <c r="EL680" s="445"/>
      <c r="EM680" s="445"/>
      <c r="EN680" s="445"/>
      <c r="EO680" s="445"/>
      <c r="EP680" s="445"/>
      <c r="EQ680" s="445"/>
      <c r="ER680" s="445"/>
      <c r="ES680" s="445"/>
      <c r="ET680" s="445"/>
      <c r="EU680" s="445"/>
      <c r="EV680" s="445"/>
      <c r="EW680" s="445"/>
      <c r="EX680" s="445"/>
    </row>
    <row r="681" spans="1:154">
      <c r="B681" s="3342" t="s">
        <v>925</v>
      </c>
      <c r="C681" s="1989"/>
      <c r="D681" s="28"/>
      <c r="E681" s="28"/>
      <c r="F681" s="28"/>
      <c r="G681" s="28"/>
      <c r="H681" s="28"/>
      <c r="I681" s="28"/>
      <c r="J681" s="28"/>
      <c r="K681" s="28"/>
      <c r="L681" s="28"/>
      <c r="M681" s="28"/>
      <c r="N681" s="28"/>
      <c r="O681" s="28"/>
      <c r="P681" s="28"/>
      <c r="Q681" s="28"/>
      <c r="R681" s="28"/>
      <c r="S681" s="28"/>
      <c r="T681" s="28"/>
      <c r="U681" s="28"/>
      <c r="V681" s="28"/>
      <c r="W681" s="28"/>
      <c r="X681" s="312"/>
      <c r="Y681" s="28"/>
      <c r="Z681" s="28"/>
      <c r="AA681" s="28"/>
      <c r="AB681" s="28"/>
      <c r="AC681" s="312"/>
      <c r="AD681" s="28"/>
      <c r="AE681" s="28"/>
      <c r="AF681" s="28"/>
      <c r="AG681" s="28"/>
      <c r="AH681" s="312"/>
      <c r="AI681" s="28"/>
      <c r="AJ681" s="28"/>
      <c r="AK681" s="28"/>
      <c r="AL681" s="28"/>
      <c r="AM681" s="312"/>
      <c r="AN681" s="28"/>
      <c r="AO681" s="28"/>
      <c r="AP681" s="28"/>
      <c r="AQ681" s="28"/>
      <c r="AR681" s="312"/>
      <c r="AS681" s="28"/>
      <c r="AT681" s="28"/>
      <c r="AU681" s="28"/>
      <c r="AV681" s="28"/>
      <c r="AW681" s="312"/>
      <c r="AX681" s="40"/>
      <c r="AY681" s="40"/>
      <c r="AZ681" s="40"/>
      <c r="BA681" s="40"/>
      <c r="BB681" s="312"/>
      <c r="BC681" s="28"/>
      <c r="BD681" s="28"/>
      <c r="BE681" s="28"/>
      <c r="BF681" s="28"/>
      <c r="BG681" s="322"/>
      <c r="BH681" s="277"/>
      <c r="BI681" s="277"/>
      <c r="BJ681" s="28"/>
      <c r="BK681" s="28"/>
      <c r="BL681" s="312"/>
      <c r="BM681" s="28"/>
      <c r="BN681" s="28"/>
      <c r="BO681" s="28"/>
      <c r="BP681" s="28"/>
      <c r="BQ681" s="312"/>
      <c r="BR681" s="28"/>
      <c r="BS681" s="28"/>
      <c r="BT681" s="28"/>
      <c r="BU681" s="28"/>
      <c r="BV681" s="312"/>
      <c r="BW681" s="28"/>
      <c r="BX681" s="28"/>
      <c r="BY681" s="28"/>
      <c r="BZ681" s="28"/>
      <c r="CA681" s="312"/>
      <c r="CB681" s="28"/>
      <c r="CC681" s="28"/>
      <c r="CD681" s="28"/>
      <c r="CE681" s="28"/>
      <c r="CF681" s="312"/>
      <c r="CG681" s="28"/>
      <c r="CH681" s="28"/>
      <c r="CI681" s="28"/>
      <c r="CJ681" s="28"/>
      <c r="CK681" s="312"/>
      <c r="CL681" s="28"/>
      <c r="CM681" s="28"/>
      <c r="CN681" s="28"/>
      <c r="CO681" s="28"/>
      <c r="CP681" s="312"/>
      <c r="CQ681" s="933"/>
      <c r="CR681" s="352">
        <v>6</v>
      </c>
      <c r="CS681" s="352">
        <v>41</v>
      </c>
      <c r="CT681" s="352">
        <v>26</v>
      </c>
      <c r="CU681" s="312">
        <f>CU637-CU648-CU659-CU670</f>
      </c>
      <c r="CV681" s="352">
        <v>20</v>
      </c>
      <c r="CW681" s="352">
        <v>23</v>
      </c>
      <c r="CX681" s="352">
        <v>20</v>
      </c>
      <c r="CY681" s="352">
        <v>22</v>
      </c>
      <c r="CZ681" s="312">
        <f>CZ637-CZ648-CZ659-CZ670</f>
      </c>
      <c r="DA681" s="352">
        <v>21</v>
      </c>
      <c r="DB681" s="352">
        <v>20</v>
      </c>
      <c r="DC681" s="352">
        <v>17</v>
      </c>
      <c r="DD681" s="1205">
        <v>16</v>
      </c>
      <c r="DE681" s="573">
        <f>SUM(DA681:DD681)</f>
      </c>
      <c r="DF681" s="710">
        <v>14</v>
      </c>
      <c r="DG681" s="1975">
        <f t="shared" ref="DG681:DI682" si="1658">DG637-DG648-DG659-DG670</f>
      </c>
      <c r="DH681" s="1975">
        <f t="shared" si="1658"/>
      </c>
      <c r="DI681" s="1975">
        <f t="shared" si="1658"/>
      </c>
      <c r="DJ681" s="573">
        <f>SUM(DF681:DI681)</f>
      </c>
      <c r="DK681" s="710">
        <v>42</v>
      </c>
      <c r="DL681" s="1542">
        <f t="shared" ref="DL681:DN682" si="1659">DL637-DL648-DL659-DL670</f>
      </c>
      <c r="DM681" s="1542">
        <f t="shared" si="1659"/>
      </c>
      <c r="DN681" s="1975">
        <f t="shared" si="1659"/>
      </c>
      <c r="DO681" s="573">
        <f>SUM(DK681:DN681)</f>
      </c>
      <c r="DP681" s="1877">
        <f t="shared" ref="DP681:DS682" si="1660">DP637-DP648-DP659-DP670</f>
      </c>
      <c r="DQ681" s="1542">
        <f t="shared" si="1660"/>
      </c>
      <c r="DR681" s="1542">
        <f t="shared" si="1660"/>
      </c>
      <c r="DS681" s="1542">
        <f t="shared" si="1660"/>
      </c>
      <c r="DT681" s="573">
        <f>SUM(DP681:DS681)</f>
      </c>
      <c r="DU681" s="1877">
        <v>23</v>
      </c>
      <c r="DV681" s="1542">
        <v>17.5</v>
      </c>
      <c r="DW681" s="1542">
        <v>20.5</v>
      </c>
      <c r="DX681" s="1542">
        <v>17.5</v>
      </c>
      <c r="DY681" s="573">
        <f>SUM(DU681:DX681)</f>
      </c>
      <c r="DZ681" s="710">
        <v>17.5</v>
      </c>
      <c r="EA681" s="710">
        <v>20.399999999999999</v>
      </c>
      <c r="EB681" s="710">
        <v>32</v>
      </c>
      <c r="EC681" s="1839">
        <v>42</v>
      </c>
      <c r="ED681" s="573">
        <f>SUM(DZ681:EC681)</f>
      </c>
      <c r="EE681" s="710">
        <v>15</v>
      </c>
      <c r="EF681" s="710">
        <v>16</v>
      </c>
      <c r="EG681" s="710">
        <v>13</v>
      </c>
      <c r="EH681" s="1284">
        <f t="shared" ref="EH681:EH682" si="1661">+(1+EH686)*EC681</f>
      </c>
      <c r="EI681" s="573">
        <f>SUM(EE681:EH681)</f>
      </c>
      <c r="EJ681" s="573">
        <f t="shared" ref="EJ681:EN682" si="1662">EI681*(1+EJ686)</f>
      </c>
      <c r="EK681" s="1841">
        <f t="shared" si="1662"/>
      </c>
      <c r="EL681" s="573">
        <f t="shared" si="1662"/>
      </c>
      <c r="EM681" s="573">
        <f t="shared" si="1662"/>
      </c>
      <c r="EN681" s="573">
        <f t="shared" si="1662"/>
      </c>
      <c r="EO681" s="573">
        <f t="shared" ref="EO681:EO682" si="1663">EN681*(1+EO686)</f>
      </c>
      <c r="EP681" s="573">
        <f t="shared" ref="EP681:EP682" si="1664">EO681*(1+EP686)</f>
      </c>
      <c r="EQ681" s="573">
        <f t="shared" ref="EQ681:EQ682" si="1665">EP681*(1+EQ686)</f>
      </c>
      <c r="ER681" s="573">
        <f t="shared" ref="ER681:ER682" si="1666">EQ681*(1+ER686)</f>
      </c>
      <c r="ES681" s="573">
        <f t="shared" ref="ES681:ES682" si="1667">ER681*(1+ES686)</f>
      </c>
      <c r="ET681" s="1788"/>
      <c r="EU681" s="1788"/>
      <c r="EV681" s="1788"/>
      <c r="EW681" s="1788"/>
      <c r="EX681" s="1788"/>
    </row>
    <row r="682" spans="1:154">
      <c r="B682" s="3342" t="s">
        <v>412</v>
      </c>
      <c r="C682" s="1989"/>
      <c r="D682" s="28"/>
      <c r="E682" s="28"/>
      <c r="F682" s="28"/>
      <c r="G682" s="28"/>
      <c r="H682" s="28"/>
      <c r="I682" s="28"/>
      <c r="J682" s="28"/>
      <c r="K682" s="28"/>
      <c r="L682" s="28"/>
      <c r="M682" s="28"/>
      <c r="N682" s="28"/>
      <c r="O682" s="28"/>
      <c r="P682" s="28"/>
      <c r="Q682" s="28"/>
      <c r="R682" s="28"/>
      <c r="S682" s="28"/>
      <c r="T682" s="28"/>
      <c r="U682" s="28"/>
      <c r="V682" s="28"/>
      <c r="W682" s="28"/>
      <c r="X682" s="312"/>
      <c r="Y682" s="28"/>
      <c r="Z682" s="28"/>
      <c r="AA682" s="28"/>
      <c r="AB682" s="28"/>
      <c r="AC682" s="312"/>
      <c r="AD682" s="28"/>
      <c r="AE682" s="28"/>
      <c r="AF682" s="28"/>
      <c r="AG682" s="28"/>
      <c r="AH682" s="312"/>
      <c r="AI682" s="28"/>
      <c r="AJ682" s="28"/>
      <c r="AK682" s="28"/>
      <c r="AL682" s="28"/>
      <c r="AM682" s="312"/>
      <c r="AN682" s="28"/>
      <c r="AO682" s="28"/>
      <c r="AP682" s="28"/>
      <c r="AQ682" s="28"/>
      <c r="AR682" s="312"/>
      <c r="AS682" s="28"/>
      <c r="AT682" s="28"/>
      <c r="AU682" s="28"/>
      <c r="AV682" s="28"/>
      <c r="AW682" s="312"/>
      <c r="AX682" s="40"/>
      <c r="AY682" s="40"/>
      <c r="AZ682" s="40"/>
      <c r="BA682" s="40"/>
      <c r="BB682" s="312"/>
      <c r="BC682" s="28"/>
      <c r="BD682" s="28"/>
      <c r="BE682" s="28"/>
      <c r="BF682" s="28"/>
      <c r="BG682" s="322"/>
      <c r="BH682" s="277"/>
      <c r="BI682" s="277"/>
      <c r="BJ682" s="28"/>
      <c r="BK682" s="28"/>
      <c r="BL682" s="312"/>
      <c r="BM682" s="28"/>
      <c r="BN682" s="28"/>
      <c r="BO682" s="28"/>
      <c r="BP682" s="28"/>
      <c r="BQ682" s="312"/>
      <c r="BR682" s="28"/>
      <c r="BS682" s="28"/>
      <c r="BT682" s="28"/>
      <c r="BU682" s="28"/>
      <c r="BV682" s="312"/>
      <c r="BW682" s="28"/>
      <c r="BX682" s="28"/>
      <c r="BY682" s="28"/>
      <c r="BZ682" s="28"/>
      <c r="CA682" s="312"/>
      <c r="CB682" s="28"/>
      <c r="CC682" s="28"/>
      <c r="CD682" s="28"/>
      <c r="CE682" s="28"/>
      <c r="CF682" s="312"/>
      <c r="CG682" s="28"/>
      <c r="CH682" s="28"/>
      <c r="CI682" s="28"/>
      <c r="CJ682" s="28"/>
      <c r="CK682" s="312"/>
      <c r="CL682" s="28"/>
      <c r="CM682" s="28"/>
      <c r="CN682" s="28"/>
      <c r="CO682" s="28"/>
      <c r="CP682" s="312"/>
      <c r="CQ682" s="933"/>
      <c r="CR682" s="352">
        <v>5</v>
      </c>
      <c r="CS682" s="352">
        <v>36</v>
      </c>
      <c r="CT682" s="352">
        <v>18</v>
      </c>
      <c r="CU682" s="312">
        <f>CU638-CU649-CU660-CU671</f>
      </c>
      <c r="CV682" s="352">
        <v>14</v>
      </c>
      <c r="CW682" s="352">
        <v>17</v>
      </c>
      <c r="CX682" s="352">
        <v>16</v>
      </c>
      <c r="CY682" s="352">
        <v>17</v>
      </c>
      <c r="CZ682" s="312">
        <f>CZ638-CZ649-CZ660-CZ671</f>
      </c>
      <c r="DA682" s="352">
        <v>15</v>
      </c>
      <c r="DB682" s="352">
        <v>16</v>
      </c>
      <c r="DC682" s="352">
        <v>15</v>
      </c>
      <c r="DD682" s="1205">
        <v>16</v>
      </c>
      <c r="DE682" s="573">
        <f>SUM(DA682:DD682)</f>
      </c>
      <c r="DF682" s="710">
        <v>17</v>
      </c>
      <c r="DG682" s="1975">
        <f t="shared" si="1658"/>
      </c>
      <c r="DH682" s="1975">
        <f t="shared" si="1658"/>
      </c>
      <c r="DI682" s="1975">
        <f t="shared" si="1658"/>
      </c>
      <c r="DJ682" s="573">
        <f>SUM(DF682:DI682)</f>
      </c>
      <c r="DK682" s="710">
        <v>63</v>
      </c>
      <c r="DL682" s="1542">
        <f t="shared" si="1659"/>
      </c>
      <c r="DM682" s="1542">
        <f t="shared" si="1659"/>
      </c>
      <c r="DN682" s="1975">
        <f t="shared" si="1659"/>
      </c>
      <c r="DO682" s="573">
        <f>SUM(DK682:DN682)</f>
      </c>
      <c r="DP682" s="1877">
        <f t="shared" si="1660"/>
      </c>
      <c r="DQ682" s="1542">
        <f t="shared" si="1660"/>
      </c>
      <c r="DR682" s="1542">
        <f t="shared" si="1660"/>
      </c>
      <c r="DS682" s="1542">
        <f t="shared" si="1660"/>
      </c>
      <c r="DT682" s="573">
        <f>SUM(DP682:DS682)</f>
      </c>
      <c r="DU682" s="1877">
        <v>47</v>
      </c>
      <c r="DV682" s="1542">
        <v>48.5</v>
      </c>
      <c r="DW682" s="1542">
        <v>42</v>
      </c>
      <c r="DX682" s="1542">
        <v>44.5</v>
      </c>
      <c r="DY682" s="573">
        <f>SUM(DU682:DX682)</f>
      </c>
      <c r="DZ682" s="710">
        <v>38.5</v>
      </c>
      <c r="EA682" s="710">
        <v>50.4</v>
      </c>
      <c r="EB682" s="710">
        <v>40</v>
      </c>
      <c r="EC682" s="1839">
        <v>40</v>
      </c>
      <c r="ED682" s="573">
        <f>SUM(DZ682:EC682)</f>
      </c>
      <c r="EE682" s="710">
        <v>37</v>
      </c>
      <c r="EF682" s="710">
        <v>40</v>
      </c>
      <c r="EG682" s="710">
        <v>39</v>
      </c>
      <c r="EH682" s="1284">
        <f t="shared" si="1661"/>
      </c>
      <c r="EI682" s="573">
        <f t="shared" ref="EI682:EI683" si="1668">SUM(EE682:EH682)</f>
      </c>
      <c r="EJ682" s="573">
        <f t="shared" si="1662"/>
      </c>
      <c r="EK682" s="1841">
        <f t="shared" si="1662"/>
      </c>
      <c r="EL682" s="573">
        <f t="shared" si="1662"/>
      </c>
      <c r="EM682" s="573">
        <f t="shared" si="1662"/>
      </c>
      <c r="EN682" s="573">
        <f t="shared" si="1662"/>
      </c>
      <c r="EO682" s="573">
        <f t="shared" si="1663"/>
      </c>
      <c r="EP682" s="573">
        <f t="shared" si="1664"/>
      </c>
      <c r="EQ682" s="573">
        <f t="shared" si="1665"/>
      </c>
      <c r="ER682" s="573">
        <f t="shared" si="1666"/>
      </c>
      <c r="ES682" s="573">
        <f t="shared" si="1667"/>
      </c>
      <c r="ET682" s="1788"/>
      <c r="EU682" s="1788"/>
      <c r="EV682" s="1788"/>
      <c r="EW682" s="1788"/>
      <c r="EX682" s="1788"/>
    </row>
    <row r="683" spans="1:154">
      <c r="A683" s="3275" t="s">
        <v>20</v>
      </c>
      <c r="B683" s="3342" t="s">
        <v>611</v>
      </c>
      <c r="C683" s="1989"/>
      <c r="D683" s="28"/>
      <c r="E683" s="28"/>
      <c r="F683" s="28"/>
      <c r="G683" s="28"/>
      <c r="H683" s="28"/>
      <c r="I683" s="28"/>
      <c r="J683" s="28"/>
      <c r="K683" s="28"/>
      <c r="L683" s="28"/>
      <c r="M683" s="28"/>
      <c r="N683" s="28"/>
      <c r="O683" s="28"/>
      <c r="P683" s="28"/>
      <c r="Q683" s="28"/>
      <c r="R683" s="28"/>
      <c r="S683" s="28"/>
      <c r="T683" s="28"/>
      <c r="U683" s="28"/>
      <c r="V683" s="28"/>
      <c r="W683" s="28"/>
      <c r="X683" s="312"/>
      <c r="Y683" s="28"/>
      <c r="Z683" s="28"/>
      <c r="AA683" s="28"/>
      <c r="AB683" s="28"/>
      <c r="AC683" s="312"/>
      <c r="AD683" s="28"/>
      <c r="AE683" s="28"/>
      <c r="AF683" s="28"/>
      <c r="AG683" s="28"/>
      <c r="AH683" s="312"/>
      <c r="AI683" s="28"/>
      <c r="AJ683" s="28"/>
      <c r="AK683" s="28"/>
      <c r="AL683" s="28"/>
      <c r="AM683" s="312"/>
      <c r="AN683" s="28"/>
      <c r="AO683" s="28"/>
      <c r="AP683" s="28"/>
      <c r="AQ683" s="28"/>
      <c r="AR683" s="312"/>
      <c r="AS683" s="28"/>
      <c r="AT683" s="28"/>
      <c r="AU683" s="28"/>
      <c r="AV683" s="28"/>
      <c r="AW683" s="312"/>
      <c r="AX683" s="40"/>
      <c r="AY683" s="40"/>
      <c r="AZ683" s="40"/>
      <c r="BA683" s="40"/>
      <c r="BB683" s="312"/>
      <c r="BC683" s="28"/>
      <c r="BD683" s="28"/>
      <c r="BE683" s="28"/>
      <c r="BF683" s="28"/>
      <c r="BG683" s="322"/>
      <c r="BH683" s="277"/>
      <c r="BI683" s="277"/>
      <c r="BJ683" s="28"/>
      <c r="BK683" s="28"/>
      <c r="BL683" s="312"/>
      <c r="BM683" s="28"/>
      <c r="BN683" s="28"/>
      <c r="BO683" s="28"/>
      <c r="BP683" s="28"/>
      <c r="BQ683" s="312"/>
      <c r="BR683" s="28"/>
      <c r="BS683" s="28"/>
      <c r="BT683" s="28"/>
      <c r="BU683" s="28"/>
      <c r="BV683" s="312"/>
      <c r="BW683" s="28"/>
      <c r="BX683" s="28"/>
      <c r="BY683" s="28"/>
      <c r="BZ683" s="28"/>
      <c r="CA683" s="312"/>
      <c r="CB683" s="28"/>
      <c r="CC683" s="28"/>
      <c r="CD683" s="28"/>
      <c r="CE683" s="28"/>
      <c r="CF683" s="312"/>
      <c r="CG683" s="28"/>
      <c r="CH683" s="28"/>
      <c r="CI683" s="28"/>
      <c r="CJ683" s="28"/>
      <c r="CK683" s="312"/>
      <c r="CL683" s="28"/>
      <c r="CM683" s="28"/>
      <c r="CN683" s="28"/>
      <c r="CO683" s="28"/>
      <c r="CP683" s="312"/>
      <c r="CQ683" s="933"/>
      <c r="CR683" s="933">
        <f>SUM(CR681:CR682)</f>
      </c>
      <c r="CS683" s="933">
        <f>SUM(CS681:CS682)</f>
      </c>
      <c r="CT683" s="933">
        <f>SUM(CT681:CT682)</f>
      </c>
      <c r="CU683" s="312">
        <f>CU639-CU650-CU661-CU672</f>
      </c>
      <c r="CV683" s="933">
        <f>SUM(CV681:CV682)</f>
      </c>
      <c r="CW683" s="933">
        <f>SUM(CW681:CW682)</f>
      </c>
      <c r="CX683" s="933">
        <f>SUM(CX681:CX682)</f>
      </c>
      <c r="CY683" s="933">
        <f>SUM(CY681:CY682)</f>
      </c>
      <c r="CZ683" s="312">
        <f>CZ639-CZ650-CZ661-CZ672</f>
      </c>
      <c r="DA683" s="933">
        <f>SUM(DA681:DA682)</f>
      </c>
      <c r="DB683" s="933">
        <f>SUM(DB681:DB682)</f>
      </c>
      <c r="DC683" s="31">
        <f>SUM(DC681:DC682)</f>
      </c>
      <c r="DD683" s="984">
        <f>+DD681+DD682</f>
      </c>
      <c r="DE683" s="573">
        <f>SUM(DA683:DD683)</f>
      </c>
      <c r="DF683" s="1542">
        <f>SUM(DF681:DF682)</f>
      </c>
      <c r="DG683" s="1542">
        <f>SUM(DG681:DG682)</f>
      </c>
      <c r="DH683" s="1542">
        <f>SUM(DH681:DH682)</f>
      </c>
      <c r="DI683" s="1542">
        <f>SUM(DI681:DI682)</f>
      </c>
      <c r="DJ683" s="573">
        <f>SUM(DF683:DI683)</f>
      </c>
      <c r="DK683" s="1542">
        <f>SUM(DK681:DK682)</f>
      </c>
      <c r="DL683" s="1542">
        <f>SUM(DL681:DL682)</f>
      </c>
      <c r="DM683" s="1542">
        <f>SUM(DM681:DM682)</f>
      </c>
      <c r="DN683" s="1556">
        <f>+DN681+DN682</f>
      </c>
      <c r="DO683" s="2494">
        <f>SUM(DO681:DO682)</f>
      </c>
      <c r="DP683" s="1877">
        <f>SUM(DP681:DP682)</f>
      </c>
      <c r="DQ683" s="1542">
        <f>SUM(DQ681:DQ682)</f>
      </c>
      <c r="DR683" s="1542">
        <f>SUM(DR681:DR682)</f>
      </c>
      <c r="DS683" s="1556">
        <f>+DS681+DS682</f>
      </c>
      <c r="DT683" s="573">
        <f t="shared" ref="DT683:EN683" si="1669">SUM(DT681:DT682)</f>
      </c>
      <c r="DU683" s="1877">
        <f>SUM(DU681:DU682)</f>
      </c>
      <c r="DV683" s="1542">
        <f>SUM(DV681:DV682)</f>
      </c>
      <c r="DW683" s="1542">
        <f>SUM(DW681:DW682)</f>
      </c>
      <c r="DX683" s="1556">
        <f>+DX681+DX682</f>
      </c>
      <c r="DY683" s="573">
        <f>SUM(DY681:DY682)</f>
      </c>
      <c r="DZ683" s="1542">
        <f>SUM(DZ681:DZ682)</f>
      </c>
      <c r="EA683" s="1542">
        <f>SUM(EA681:EA682)</f>
      </c>
      <c r="EB683" s="1542">
        <f>SUM(EB681:EB682)</f>
      </c>
      <c r="EC683" s="1556">
        <f>+EC681+EC682</f>
      </c>
      <c r="ED683" s="573">
        <f>SUM(ED681:ED682)</f>
      </c>
      <c r="EE683" s="1542">
        <f>SUM(EE681:EE682)</f>
      </c>
      <c r="EF683" s="1542">
        <f>SUM(EF681:EF682)</f>
      </c>
      <c r="EG683" s="1542">
        <f>SUM(EG681:EG682)</f>
      </c>
      <c r="EH683" s="1284">
        <f t="shared" ref="EH683" si="1670">SUM(EH681:EH682)</f>
      </c>
      <c r="EI683" s="573">
        <f t="shared" si="1668"/>
      </c>
      <c r="EJ683" s="573">
        <f t="shared" si="1669"/>
      </c>
      <c r="EK683" s="1841">
        <f t="shared" si="1669"/>
      </c>
      <c r="EL683" s="573">
        <f t="shared" si="1669"/>
      </c>
      <c r="EM683" s="573">
        <f t="shared" si="1669"/>
      </c>
      <c r="EN683" s="573">
        <f t="shared" si="1669"/>
      </c>
      <c r="EO683" s="573">
        <f t="shared" ref="EO683:ES683" si="1671">SUM(EO681:EO682)</f>
      </c>
      <c r="EP683" s="573">
        <f t="shared" si="1671"/>
      </c>
      <c r="EQ683" s="573">
        <f t="shared" si="1671"/>
      </c>
      <c r="ER683" s="573">
        <f t="shared" si="1671"/>
      </c>
      <c r="ES683" s="573">
        <f t="shared" si="1671"/>
      </c>
      <c r="ET683" s="1788"/>
      <c r="EU683" s="1788"/>
      <c r="EV683" s="1788"/>
      <c r="EW683" s="1788"/>
      <c r="EX683" s="1788"/>
    </row>
    <row r="684" spans="1:154">
      <c r="B684" s="1171"/>
      <c r="C684" s="1989"/>
      <c r="D684" s="28"/>
      <c r="E684" s="28"/>
      <c r="F684" s="28"/>
      <c r="G684" s="28"/>
      <c r="H684" s="28"/>
      <c r="I684" s="28"/>
      <c r="J684" s="28"/>
      <c r="K684" s="28"/>
      <c r="L684" s="28"/>
      <c r="M684" s="28"/>
      <c r="N684" s="28"/>
      <c r="O684" s="28"/>
      <c r="P684" s="28"/>
      <c r="Q684" s="28"/>
      <c r="R684" s="28"/>
      <c r="S684" s="28"/>
      <c r="T684" s="28"/>
      <c r="U684" s="28"/>
      <c r="V684" s="28"/>
      <c r="W684" s="28"/>
      <c r="X684" s="312"/>
      <c r="Y684" s="28"/>
      <c r="Z684" s="28"/>
      <c r="AA684" s="28"/>
      <c r="AB684" s="28"/>
      <c r="AC684" s="312"/>
      <c r="AD684" s="28"/>
      <c r="AE684" s="28"/>
      <c r="AF684" s="28"/>
      <c r="AG684" s="28"/>
      <c r="AH684" s="312"/>
      <c r="AI684" s="28"/>
      <c r="AJ684" s="28"/>
      <c r="AK684" s="28"/>
      <c r="AL684" s="28"/>
      <c r="AM684" s="312"/>
      <c r="AN684" s="28"/>
      <c r="AO684" s="28"/>
      <c r="AP684" s="28"/>
      <c r="AQ684" s="28"/>
      <c r="AR684" s="312"/>
      <c r="AS684" s="28"/>
      <c r="AT684" s="28"/>
      <c r="AU684" s="28"/>
      <c r="AV684" s="28"/>
      <c r="AW684" s="312"/>
      <c r="AX684" s="40"/>
      <c r="AY684" s="40"/>
      <c r="AZ684" s="40"/>
      <c r="BA684" s="40"/>
      <c r="BB684" s="312"/>
      <c r="BC684" s="28"/>
      <c r="BD684" s="28"/>
      <c r="BE684" s="28"/>
      <c r="BF684" s="28"/>
      <c r="BG684" s="322"/>
      <c r="BH684" s="277"/>
      <c r="BI684" s="277"/>
      <c r="BJ684" s="28"/>
      <c r="BK684" s="28"/>
      <c r="BL684" s="312"/>
      <c r="BM684" s="28"/>
      <c r="BN684" s="28"/>
      <c r="BO684" s="28"/>
      <c r="BP684" s="28"/>
      <c r="BQ684" s="312"/>
      <c r="BR684" s="28"/>
      <c r="BS684" s="28"/>
      <c r="BT684" s="28"/>
      <c r="BU684" s="28"/>
      <c r="BV684" s="312"/>
      <c r="BW684" s="28"/>
      <c r="BX684" s="28"/>
      <c r="BY684" s="28"/>
      <c r="BZ684" s="28"/>
      <c r="CA684" s="312"/>
      <c r="CB684" s="28"/>
      <c r="CC684" s="28"/>
      <c r="CD684" s="28"/>
      <c r="CE684" s="28"/>
      <c r="CF684" s="312"/>
      <c r="CG684" s="28"/>
      <c r="CH684" s="28"/>
      <c r="CI684" s="28"/>
      <c r="CJ684" s="28"/>
      <c r="CK684" s="312"/>
      <c r="CL684" s="28"/>
      <c r="CM684" s="28"/>
      <c r="CN684" s="28"/>
      <c r="CO684" s="28"/>
      <c r="CP684" s="312"/>
      <c r="CQ684" s="933"/>
      <c r="CR684" s="933"/>
      <c r="CS684" s="933"/>
      <c r="CT684" s="933"/>
      <c r="CU684" s="312"/>
      <c r="CV684" s="933"/>
      <c r="CW684" s="933"/>
      <c r="CX684" s="933"/>
      <c r="CY684" s="933"/>
      <c r="CZ684" s="312"/>
      <c r="DA684" s="933"/>
      <c r="DB684" s="31"/>
      <c r="DC684" s="31"/>
      <c r="DD684" s="955"/>
      <c r="DE684" s="445"/>
      <c r="DF684" s="982"/>
      <c r="DG684" s="603"/>
      <c r="DH684" s="603"/>
      <c r="DI684" s="1798"/>
      <c r="DJ684" s="445"/>
      <c r="DK684" s="1800"/>
      <c r="DL684" s="444"/>
      <c r="DM684" s="444"/>
      <c r="DN684" s="1788"/>
      <c r="DO684" s="1788"/>
      <c r="DP684" s="444"/>
      <c r="DQ684" s="444"/>
      <c r="DR684" s="444"/>
      <c r="DS684" s="1788"/>
      <c r="DT684" s="445"/>
      <c r="DU684" s="982"/>
      <c r="DV684" s="982"/>
      <c r="DW684" s="982"/>
      <c r="DX684" s="1788"/>
      <c r="DY684" s="445"/>
      <c r="DZ684" s="982"/>
      <c r="EA684" s="982"/>
      <c r="EB684" s="982"/>
      <c r="EC684" s="1875"/>
      <c r="ED684" s="1866"/>
      <c r="EE684" s="982"/>
      <c r="EF684" s="982"/>
      <c r="EG684" s="982"/>
      <c r="EH684" s="982"/>
      <c r="EI684" s="445"/>
      <c r="EJ684" s="445"/>
      <c r="EK684" s="1788"/>
      <c r="EL684" s="445"/>
      <c r="EM684" s="445"/>
      <c r="EN684" s="445"/>
      <c r="EO684" s="445"/>
      <c r="EP684" s="445"/>
      <c r="EQ684" s="445"/>
      <c r="ER684" s="445"/>
      <c r="ES684" s="445"/>
      <c r="ET684" s="1788"/>
      <c r="EU684" s="1788"/>
      <c r="EV684" s="1788"/>
      <c r="EW684" s="1788"/>
      <c r="EX684" s="1788"/>
    </row>
    <row r="685" spans="1:154">
      <c r="B685" s="3344" t="s">
        <v>897</v>
      </c>
      <c r="C685" s="1989"/>
      <c r="D685" s="28"/>
      <c r="E685" s="28"/>
      <c r="F685" s="28"/>
      <c r="G685" s="28"/>
      <c r="H685" s="28"/>
      <c r="I685" s="28"/>
      <c r="J685" s="28"/>
      <c r="K685" s="28"/>
      <c r="L685" s="28"/>
      <c r="M685" s="28"/>
      <c r="N685" s="28"/>
      <c r="O685" s="28"/>
      <c r="P685" s="28"/>
      <c r="Q685" s="28"/>
      <c r="R685" s="28"/>
      <c r="S685" s="28"/>
      <c r="T685" s="28"/>
      <c r="U685" s="28"/>
      <c r="V685" s="28"/>
      <c r="W685" s="28"/>
      <c r="X685" s="312"/>
      <c r="Y685" s="28"/>
      <c r="Z685" s="28"/>
      <c r="AA685" s="28"/>
      <c r="AB685" s="28"/>
      <c r="AC685" s="312"/>
      <c r="AD685" s="28"/>
      <c r="AE685" s="28"/>
      <c r="AF685" s="28"/>
      <c r="AG685" s="28"/>
      <c r="AH685" s="312"/>
      <c r="AI685" s="28"/>
      <c r="AJ685" s="28"/>
      <c r="AK685" s="28"/>
      <c r="AL685" s="28"/>
      <c r="AM685" s="312"/>
      <c r="AN685" s="28"/>
      <c r="AO685" s="28"/>
      <c r="AP685" s="28"/>
      <c r="AQ685" s="28"/>
      <c r="AR685" s="312"/>
      <c r="AS685" s="28"/>
      <c r="AT685" s="28"/>
      <c r="AU685" s="28"/>
      <c r="AV685" s="28"/>
      <c r="AW685" s="312"/>
      <c r="AX685" s="40"/>
      <c r="AY685" s="40"/>
      <c r="AZ685" s="40"/>
      <c r="BA685" s="40"/>
      <c r="BB685" s="312"/>
      <c r="BC685" s="28"/>
      <c r="BD685" s="28"/>
      <c r="BE685" s="28"/>
      <c r="BF685" s="28"/>
      <c r="BG685" s="322"/>
      <c r="BH685" s="277"/>
      <c r="BI685" s="277"/>
      <c r="BJ685" s="28"/>
      <c r="BK685" s="28"/>
      <c r="BL685" s="312"/>
      <c r="BM685" s="28"/>
      <c r="BN685" s="28"/>
      <c r="BO685" s="28"/>
      <c r="BP685" s="28"/>
      <c r="BQ685" s="312"/>
      <c r="BR685" s="28"/>
      <c r="BS685" s="28"/>
      <c r="BT685" s="28"/>
      <c r="BU685" s="28"/>
      <c r="BV685" s="312"/>
      <c r="BW685" s="28"/>
      <c r="BX685" s="28"/>
      <c r="BY685" s="28"/>
      <c r="BZ685" s="28"/>
      <c r="CA685" s="312"/>
      <c r="CB685" s="28"/>
      <c r="CC685" s="28"/>
      <c r="CD685" s="28"/>
      <c r="CE685" s="28"/>
      <c r="CF685" s="312"/>
      <c r="CG685" s="28"/>
      <c r="CH685" s="28"/>
      <c r="CI685" s="28"/>
      <c r="CJ685" s="28"/>
      <c r="CK685" s="312"/>
      <c r="CL685" s="28"/>
      <c r="CM685" s="28"/>
      <c r="CN685" s="28"/>
      <c r="CO685" s="28"/>
      <c r="CP685" s="312"/>
      <c r="CQ685" s="933"/>
      <c r="CR685" s="933"/>
      <c r="CS685" s="933"/>
      <c r="CT685" s="933"/>
      <c r="CU685" s="312"/>
      <c r="CV685" s="933"/>
      <c r="CW685" s="933"/>
      <c r="CX685" s="933"/>
      <c r="CY685" s="933"/>
      <c r="CZ685" s="312"/>
      <c r="DA685" s="933"/>
      <c r="DB685" s="31"/>
      <c r="DC685" s="31"/>
      <c r="DD685" s="955"/>
      <c r="DE685" s="445"/>
      <c r="DF685" s="982"/>
      <c r="DG685" s="603"/>
      <c r="DH685" s="603"/>
      <c r="DI685" s="1798"/>
      <c r="DJ685" s="445"/>
      <c r="DK685" s="1800"/>
      <c r="DL685" s="444"/>
      <c r="DM685" s="444"/>
      <c r="DN685" s="1788"/>
      <c r="DO685" s="1788"/>
      <c r="DP685" s="444"/>
      <c r="DQ685" s="444"/>
      <c r="DR685" s="444"/>
      <c r="DS685" s="1788"/>
      <c r="DT685" s="445"/>
      <c r="DU685" s="982"/>
      <c r="DV685" s="982"/>
      <c r="DW685" s="982"/>
      <c r="DX685" s="1788"/>
      <c r="DY685" s="445"/>
      <c r="DZ685" s="982"/>
      <c r="EA685" s="982"/>
      <c r="EB685" s="982"/>
      <c r="EC685" s="1875"/>
      <c r="ED685" s="1866"/>
      <c r="EE685" s="982"/>
      <c r="EF685" s="982"/>
      <c r="EG685" s="982"/>
      <c r="EH685" s="982"/>
      <c r="EI685" s="445"/>
      <c r="EJ685" s="445"/>
      <c r="EK685" s="1788"/>
      <c r="EL685" s="445"/>
      <c r="EM685" s="445"/>
      <c r="EN685" s="445"/>
      <c r="EO685" s="445"/>
      <c r="EP685" s="445"/>
      <c r="EQ685" s="445"/>
      <c r="ER685" s="445"/>
      <c r="ES685" s="445"/>
      <c r="ET685" s="1788"/>
      <c r="EU685" s="1788"/>
      <c r="EV685" s="1788"/>
      <c r="EW685" s="1788"/>
      <c r="EX685" s="1788"/>
    </row>
    <row r="686" spans="1:154">
      <c r="B686" s="1390" t="s">
        <v>925</v>
      </c>
      <c r="C686" s="1989"/>
      <c r="D686" s="28"/>
      <c r="E686" s="28"/>
      <c r="F686" s="28"/>
      <c r="G686" s="28"/>
      <c r="H686" s="28"/>
      <c r="I686" s="28"/>
      <c r="J686" s="28"/>
      <c r="K686" s="28"/>
      <c r="L686" s="28"/>
      <c r="M686" s="28"/>
      <c r="N686" s="28"/>
      <c r="O686" s="28"/>
      <c r="P686" s="28"/>
      <c r="Q686" s="28"/>
      <c r="R686" s="28"/>
      <c r="S686" s="28"/>
      <c r="T686" s="28"/>
      <c r="U686" s="28"/>
      <c r="V686" s="28"/>
      <c r="W686" s="28"/>
      <c r="X686" s="312"/>
      <c r="Y686" s="28"/>
      <c r="Z686" s="28"/>
      <c r="AA686" s="28"/>
      <c r="AB686" s="28"/>
      <c r="AC686" s="312"/>
      <c r="AD686" s="28"/>
      <c r="AE686" s="28"/>
      <c r="AF686" s="28"/>
      <c r="AG686" s="28"/>
      <c r="AH686" s="312"/>
      <c r="AI686" s="28"/>
      <c r="AJ686" s="28"/>
      <c r="AK686" s="28"/>
      <c r="AL686" s="28"/>
      <c r="AM686" s="312"/>
      <c r="AN686" s="28"/>
      <c r="AO686" s="28"/>
      <c r="AP686" s="28"/>
      <c r="AQ686" s="28"/>
      <c r="AR686" s="312"/>
      <c r="AS686" s="28"/>
      <c r="AT686" s="28"/>
      <c r="AU686" s="28"/>
      <c r="AV686" s="28"/>
      <c r="AW686" s="312"/>
      <c r="AX686" s="40"/>
      <c r="AY686" s="40"/>
      <c r="AZ686" s="40"/>
      <c r="BA686" s="40"/>
      <c r="BB686" s="312"/>
      <c r="BC686" s="28"/>
      <c r="BD686" s="28"/>
      <c r="BE686" s="28"/>
      <c r="BF686" s="28"/>
      <c r="BG686" s="322"/>
      <c r="BH686" s="277"/>
      <c r="BI686" s="277"/>
      <c r="BJ686" s="28"/>
      <c r="BK686" s="28"/>
      <c r="BL686" s="312"/>
      <c r="BM686" s="28"/>
      <c r="BN686" s="28"/>
      <c r="BO686" s="28"/>
      <c r="BP686" s="28"/>
      <c r="BQ686" s="312"/>
      <c r="BR686" s="28"/>
      <c r="BS686" s="28"/>
      <c r="BT686" s="28"/>
      <c r="BU686" s="28"/>
      <c r="BV686" s="312"/>
      <c r="BW686" s="28"/>
      <c r="BX686" s="28"/>
      <c r="BY686" s="28"/>
      <c r="BZ686" s="28"/>
      <c r="CA686" s="312"/>
      <c r="CB686" s="28"/>
      <c r="CC686" s="28"/>
      <c r="CD686" s="28"/>
      <c r="CE686" s="28"/>
      <c r="CF686" s="312"/>
      <c r="CG686" s="28"/>
      <c r="CH686" s="28"/>
      <c r="CI686" s="28"/>
      <c r="CJ686" s="28"/>
      <c r="CK686" s="312"/>
      <c r="CL686" s="28"/>
      <c r="CM686" s="28"/>
      <c r="CN686" s="28"/>
      <c r="CO686" s="28"/>
      <c r="CP686" s="312"/>
      <c r="CQ686" s="933"/>
      <c r="CR686" s="933"/>
      <c r="CS686" s="933"/>
      <c r="CT686" s="933"/>
      <c r="CU686" s="312"/>
      <c r="CV686" s="933"/>
      <c r="CW686" s="933"/>
      <c r="CX686" s="926"/>
      <c r="CY686" s="928">
        <f t="shared" ref="CY686:DD687" si="1672">IF(CT681=0, "NA", CY681/CT681-1)</f>
      </c>
      <c r="CZ686" s="308">
        <f t="shared" ref="CZ686:DE686" si="1673">IF(CU681=0, "NA", CZ681/CU681-1)</f>
      </c>
      <c r="DA686" s="958">
        <f t="shared" si="1673"/>
      </c>
      <c r="DB686" s="926">
        <f t="shared" si="1673"/>
      </c>
      <c r="DC686" s="926">
        <f t="shared" si="1673"/>
      </c>
      <c r="DD686" s="926">
        <f t="shared" si="1673"/>
      </c>
      <c r="DE686" s="309">
        <f t="shared" si="1673"/>
      </c>
      <c r="DF686" s="968">
        <v>-0.05</v>
      </c>
      <c r="DG686" s="925">
        <f t="shared" ref="DG686:DJ687" si="1674">IF(DB681=0, "NA", DG681/DB681-1)</f>
      </c>
      <c r="DH686" s="925">
        <f t="shared" si="1674"/>
      </c>
      <c r="DI686" s="925">
        <f t="shared" si="1674"/>
      </c>
      <c r="DJ686" s="309">
        <f t="shared" si="1674"/>
      </c>
      <c r="DK686" s="968">
        <v>-0.05</v>
      </c>
      <c r="DL686" s="925">
        <f>IF(DG681=0, "NA", DL681/DG681-1)</f>
      </c>
      <c r="DM686" s="925">
        <f>IF(DH681=0, "NA", DM681/DH681-1)</f>
      </c>
      <c r="DN686" s="927">
        <f>IF(DN681=0,"NM",+DN681/DI681-1)</f>
      </c>
      <c r="DO686" s="309">
        <f>IF(DJ681=0, "NA", DO681/DJ681-1)</f>
      </c>
      <c r="DP686" s="958">
        <v>-0.05</v>
      </c>
      <c r="DQ686" s="926">
        <f t="shared" ref="DQ686:DW687" si="1675">IF(DL681=0, "NA", DQ681/DL681-1)</f>
      </c>
      <c r="DR686" s="926">
        <f t="shared" si="1675"/>
      </c>
      <c r="DS686" s="926">
        <f t="shared" si="1675"/>
      </c>
      <c r="DT686" s="308">
        <f>IF(DO681=0, "NA", DT681/DO681-1)</f>
      </c>
      <c r="DU686" s="926">
        <f t="shared" si="1675"/>
      </c>
      <c r="DV686" s="926">
        <f t="shared" si="1675"/>
      </c>
      <c r="DW686" s="926">
        <f t="shared" si="1675"/>
      </c>
      <c r="DX686" s="926">
        <f t="shared" ref="DX686:EG687" si="1676">IF(DS681=0, "NA", DX681/DS681-1)</f>
      </c>
      <c r="DY686" s="308">
        <f t="shared" si="1676"/>
      </c>
      <c r="DZ686" s="1703">
        <f t="shared" si="1676"/>
      </c>
      <c r="EA686" s="1703">
        <f t="shared" si="1676"/>
      </c>
      <c r="EB686" s="1703">
        <f t="shared" si="1676"/>
      </c>
      <c r="EC686" s="1703">
        <f t="shared" si="1676"/>
      </c>
      <c r="ED686" s="308">
        <f t="shared" si="1676"/>
      </c>
      <c r="EE686" s="1703">
        <f t="shared" si="1676"/>
      </c>
      <c r="EF686" s="1703">
        <f t="shared" si="1676"/>
      </c>
      <c r="EG686" s="1703">
        <f t="shared" si="1676"/>
      </c>
      <c r="EH686" s="659">
        <v>-0.65</v>
      </c>
      <c r="EI686" s="308">
        <f t="shared" ref="EI686:EI687" si="1677">IF(ED681=0, "NA", EI681/ED681-1)</f>
      </c>
      <c r="EJ686" s="660">
        <v>0.1</v>
      </c>
      <c r="EK686" s="660">
        <v>0.08</v>
      </c>
      <c r="EL686" s="660">
        <v>0.05</v>
      </c>
      <c r="EM686" s="660">
        <v>0.02</v>
      </c>
      <c r="EN686" s="660">
        <v>0.01</v>
      </c>
      <c r="EO686" s="660">
        <v>-0.02</v>
      </c>
      <c r="EP686" s="660">
        <v>-0.02</v>
      </c>
      <c r="EQ686" s="660">
        <v>-0.02</v>
      </c>
      <c r="ER686" s="660">
        <v>-0.02</v>
      </c>
      <c r="ES686" s="660">
        <v>-0.02</v>
      </c>
      <c r="ET686" s="657"/>
      <c r="EU686" s="657"/>
      <c r="EV686" s="657"/>
      <c r="EW686" s="657"/>
      <c r="EX686" s="657"/>
    </row>
    <row r="687" spans="1:154">
      <c r="B687" s="1390" t="s">
        <v>412</v>
      </c>
      <c r="C687" s="1989"/>
      <c r="D687" s="28"/>
      <c r="E687" s="28"/>
      <c r="F687" s="28"/>
      <c r="G687" s="28"/>
      <c r="H687" s="28"/>
      <c r="I687" s="28"/>
      <c r="J687" s="28"/>
      <c r="K687" s="28"/>
      <c r="L687" s="28"/>
      <c r="M687" s="28"/>
      <c r="N687" s="28"/>
      <c r="O687" s="28"/>
      <c r="P687" s="28"/>
      <c r="Q687" s="28"/>
      <c r="R687" s="28"/>
      <c r="S687" s="28"/>
      <c r="T687" s="28"/>
      <c r="U687" s="28"/>
      <c r="V687" s="28"/>
      <c r="W687" s="28"/>
      <c r="X687" s="312"/>
      <c r="Y687" s="28"/>
      <c r="Z687" s="28"/>
      <c r="AA687" s="28"/>
      <c r="AB687" s="28"/>
      <c r="AC687" s="312"/>
      <c r="AD687" s="28"/>
      <c r="AE687" s="28"/>
      <c r="AF687" s="28"/>
      <c r="AG687" s="28"/>
      <c r="AH687" s="312"/>
      <c r="AI687" s="28"/>
      <c r="AJ687" s="28"/>
      <c r="AK687" s="28"/>
      <c r="AL687" s="28"/>
      <c r="AM687" s="312"/>
      <c r="AN687" s="28"/>
      <c r="AO687" s="28"/>
      <c r="AP687" s="28"/>
      <c r="AQ687" s="28"/>
      <c r="AR687" s="312"/>
      <c r="AS687" s="28"/>
      <c r="AT687" s="28"/>
      <c r="AU687" s="28"/>
      <c r="AV687" s="28"/>
      <c r="AW687" s="312"/>
      <c r="AX687" s="40"/>
      <c r="AY687" s="40"/>
      <c r="AZ687" s="40"/>
      <c r="BA687" s="40"/>
      <c r="BB687" s="312"/>
      <c r="BC687" s="28"/>
      <c r="BD687" s="28"/>
      <c r="BE687" s="28"/>
      <c r="BF687" s="28"/>
      <c r="BG687" s="322"/>
      <c r="BH687" s="277"/>
      <c r="BI687" s="277"/>
      <c r="BJ687" s="28"/>
      <c r="BK687" s="28"/>
      <c r="BL687" s="312"/>
      <c r="BM687" s="28"/>
      <c r="BN687" s="28"/>
      <c r="BO687" s="28"/>
      <c r="BP687" s="28"/>
      <c r="BQ687" s="312"/>
      <c r="BR687" s="28"/>
      <c r="BS687" s="28"/>
      <c r="BT687" s="28"/>
      <c r="BU687" s="28"/>
      <c r="BV687" s="312"/>
      <c r="BW687" s="28"/>
      <c r="BX687" s="28"/>
      <c r="BY687" s="28"/>
      <c r="BZ687" s="28"/>
      <c r="CA687" s="312"/>
      <c r="CB687" s="28"/>
      <c r="CC687" s="28"/>
      <c r="CD687" s="28"/>
      <c r="CE687" s="28"/>
      <c r="CF687" s="312"/>
      <c r="CG687" s="28"/>
      <c r="CH687" s="28"/>
      <c r="CI687" s="28"/>
      <c r="CJ687" s="28"/>
      <c r="CK687" s="312"/>
      <c r="CL687" s="28"/>
      <c r="CM687" s="28"/>
      <c r="CN687" s="28"/>
      <c r="CO687" s="28"/>
      <c r="CP687" s="312"/>
      <c r="CQ687" s="933"/>
      <c r="CR687" s="933"/>
      <c r="CS687" s="933"/>
      <c r="CT687" s="933"/>
      <c r="CU687" s="312"/>
      <c r="CV687" s="933"/>
      <c r="CW687" s="933"/>
      <c r="CX687" s="926"/>
      <c r="CY687" s="928">
        <f t="shared" si="1672"/>
      </c>
      <c r="CZ687" s="308">
        <f>IF(CU682=0, "NA", CZ682/CU682-1)</f>
      </c>
      <c r="DA687" s="958">
        <f t="shared" si="1672"/>
      </c>
      <c r="DB687" s="926">
        <f t="shared" si="1672"/>
      </c>
      <c r="DC687" s="926">
        <f t="shared" si="1672"/>
      </c>
      <c r="DD687" s="926">
        <f t="shared" si="1672"/>
      </c>
      <c r="DE687" s="309">
        <f>IF(CZ682=0, "NA", DE682/CZ682-1)</f>
      </c>
      <c r="DF687" s="925">
        <f>DF688+DF$21</f>
      </c>
      <c r="DG687" s="925">
        <f t="shared" si="1674"/>
      </c>
      <c r="DH687" s="925">
        <f t="shared" si="1674"/>
      </c>
      <c r="DI687" s="925">
        <f t="shared" si="1674"/>
      </c>
      <c r="DJ687" s="309">
        <f t="shared" si="1674"/>
      </c>
      <c r="DK687" s="925">
        <f>DK688+DK$21</f>
      </c>
      <c r="DL687" s="925">
        <f>IF(DG682=0, "NA", DL682/DG682-1)</f>
      </c>
      <c r="DM687" s="925">
        <f>IF(DH682=0, "NA", DM682/DH682-1)</f>
      </c>
      <c r="DN687" s="927">
        <f>IF(DN682=0, "NM", DN682/DI682-1)</f>
      </c>
      <c r="DO687" s="309">
        <f>IF(DJ682=0, "NA", DO682/DJ682-1)</f>
      </c>
      <c r="DP687" s="926">
        <f>DP688+DP$21</f>
      </c>
      <c r="DQ687" s="926">
        <f t="shared" si="1675"/>
      </c>
      <c r="DR687" s="926">
        <f t="shared" si="1675"/>
      </c>
      <c r="DS687" s="926">
        <f t="shared" si="1675"/>
      </c>
      <c r="DT687" s="308">
        <f>IF(DO682=0, "NA", DT682/DO682-1)</f>
      </c>
      <c r="DU687" s="926">
        <f t="shared" si="1675"/>
      </c>
      <c r="DV687" s="926">
        <f t="shared" si="1675"/>
      </c>
      <c r="DW687" s="926">
        <f t="shared" si="1675"/>
      </c>
      <c r="DX687" s="926">
        <f t="shared" si="1676"/>
      </c>
      <c r="DY687" s="308">
        <f t="shared" si="1676"/>
      </c>
      <c r="DZ687" s="926">
        <f t="shared" si="1676"/>
      </c>
      <c r="EA687" s="926">
        <f t="shared" si="1676"/>
      </c>
      <c r="EB687" s="926">
        <f t="shared" si="1676"/>
      </c>
      <c r="EC687" s="926">
        <f t="shared" si="1676"/>
      </c>
      <c r="ED687" s="308">
        <f t="shared" si="1676"/>
      </c>
      <c r="EE687" s="926">
        <f t="shared" si="1676"/>
      </c>
      <c r="EF687" s="926">
        <f t="shared" si="1676"/>
      </c>
      <c r="EG687" s="926">
        <f t="shared" si="1676"/>
      </c>
      <c r="EH687" s="926">
        <f t="shared" ref="EH687" si="1678">EH688+EH$21</f>
      </c>
      <c r="EI687" s="308">
        <f t="shared" si="1677"/>
      </c>
      <c r="EJ687" s="308">
        <f t="shared" ref="EJ687:ES687" si="1679">EJ688+EJ$21</f>
      </c>
      <c r="EK687" s="308">
        <f t="shared" si="1679"/>
      </c>
      <c r="EL687" s="308">
        <f t="shared" si="1679"/>
      </c>
      <c r="EM687" s="308">
        <f t="shared" si="1679"/>
      </c>
      <c r="EN687" s="308">
        <f t="shared" si="1679"/>
      </c>
      <c r="EO687" s="308">
        <f t="shared" si="1679"/>
      </c>
      <c r="EP687" s="308">
        <f t="shared" si="1679"/>
      </c>
      <c r="EQ687" s="308">
        <f t="shared" si="1679"/>
      </c>
      <c r="ER687" s="308">
        <f t="shared" si="1679"/>
      </c>
      <c r="ES687" s="308">
        <f t="shared" si="1679"/>
      </c>
      <c r="ET687" s="409"/>
      <c r="EU687" s="409"/>
      <c r="EV687" s="409"/>
      <c r="EW687" s="409"/>
      <c r="EX687" s="409"/>
    </row>
    <row r="688" spans="1:154">
      <c r="B688" s="1390" t="s">
        <v>256</v>
      </c>
      <c r="C688" s="1989"/>
      <c r="D688" s="28"/>
      <c r="E688" s="28"/>
      <c r="F688" s="28"/>
      <c r="G688" s="28"/>
      <c r="H688" s="28"/>
      <c r="I688" s="28"/>
      <c r="J688" s="28"/>
      <c r="K688" s="28"/>
      <c r="L688" s="28"/>
      <c r="M688" s="28"/>
      <c r="N688" s="28"/>
      <c r="O688" s="28"/>
      <c r="P688" s="28"/>
      <c r="Q688" s="28"/>
      <c r="R688" s="28"/>
      <c r="S688" s="28"/>
      <c r="T688" s="28"/>
      <c r="U688" s="28"/>
      <c r="V688" s="28"/>
      <c r="W688" s="28"/>
      <c r="X688" s="312"/>
      <c r="Y688" s="28"/>
      <c r="Z688" s="28"/>
      <c r="AA688" s="28"/>
      <c r="AB688" s="28"/>
      <c r="AC688" s="312"/>
      <c r="AD688" s="28"/>
      <c r="AE688" s="28"/>
      <c r="AF688" s="28"/>
      <c r="AG688" s="28"/>
      <c r="AH688" s="312"/>
      <c r="AI688" s="28"/>
      <c r="AJ688" s="28"/>
      <c r="AK688" s="28"/>
      <c r="AL688" s="28"/>
      <c r="AM688" s="312"/>
      <c r="AN688" s="28"/>
      <c r="AO688" s="28"/>
      <c r="AP688" s="28"/>
      <c r="AQ688" s="28"/>
      <c r="AR688" s="312"/>
      <c r="AS688" s="28"/>
      <c r="AT688" s="28"/>
      <c r="AU688" s="28"/>
      <c r="AV688" s="28"/>
      <c r="AW688" s="312"/>
      <c r="AX688" s="40"/>
      <c r="AY688" s="40"/>
      <c r="AZ688" s="40"/>
      <c r="BA688" s="40"/>
      <c r="BB688" s="312"/>
      <c r="BC688" s="28"/>
      <c r="BD688" s="28"/>
      <c r="BE688" s="28"/>
      <c r="BF688" s="28"/>
      <c r="BG688" s="322"/>
      <c r="BH688" s="277"/>
      <c r="BI688" s="277"/>
      <c r="BJ688" s="28"/>
      <c r="BK688" s="28"/>
      <c r="BL688" s="312"/>
      <c r="BM688" s="28"/>
      <c r="BN688" s="28"/>
      <c r="BO688" s="28"/>
      <c r="BP688" s="28"/>
      <c r="BQ688" s="312"/>
      <c r="BR688" s="28"/>
      <c r="BS688" s="28"/>
      <c r="BT688" s="28"/>
      <c r="BU688" s="28"/>
      <c r="BV688" s="312"/>
      <c r="BW688" s="28"/>
      <c r="BX688" s="28"/>
      <c r="BY688" s="28"/>
      <c r="BZ688" s="28"/>
      <c r="CA688" s="312"/>
      <c r="CB688" s="28"/>
      <c r="CC688" s="28"/>
      <c r="CD688" s="28"/>
      <c r="CE688" s="28"/>
      <c r="CF688" s="312"/>
      <c r="CG688" s="28"/>
      <c r="CH688" s="28"/>
      <c r="CI688" s="28"/>
      <c r="CJ688" s="28"/>
      <c r="CK688" s="312"/>
      <c r="CL688" s="28"/>
      <c r="CM688" s="28"/>
      <c r="CN688" s="28"/>
      <c r="CO688" s="28"/>
      <c r="CP688" s="312"/>
      <c r="CQ688" s="933"/>
      <c r="CR688" s="933"/>
      <c r="CS688" s="933"/>
      <c r="CT688" s="933"/>
      <c r="CU688" s="312"/>
      <c r="CV688" s="933"/>
      <c r="CW688" s="933"/>
      <c r="CX688" s="649"/>
      <c r="CY688" s="928">
        <f t="shared" ref="CY688:DE688" si="1680">CY687-CY$21</f>
      </c>
      <c r="CZ688" s="308">
        <f t="shared" si="1680"/>
      </c>
      <c r="DA688" s="958">
        <f t="shared" si="1680"/>
      </c>
      <c r="DB688" s="926">
        <f t="shared" si="1680"/>
      </c>
      <c r="DC688" s="926">
        <f t="shared" si="1680"/>
      </c>
      <c r="DD688" s="926">
        <f t="shared" si="1680"/>
      </c>
      <c r="DE688" s="309">
        <f t="shared" si="1680"/>
      </c>
      <c r="DF688" s="968">
        <v>-0.05</v>
      </c>
      <c r="DG688" s="925">
        <f>DG687-DG$21</f>
      </c>
      <c r="DH688" s="925">
        <f>DH687-DH$21</f>
      </c>
      <c r="DI688" s="925">
        <f>DI687-DI$21</f>
      </c>
      <c r="DJ688" s="309">
        <f>DJ687-DJ$21</f>
      </c>
      <c r="DK688" s="968">
        <v>-0.05</v>
      </c>
      <c r="DL688" s="925">
        <f>DL687-DL$21</f>
      </c>
      <c r="DM688" s="925">
        <f>DM687-DM$21</f>
      </c>
      <c r="DN688" s="927">
        <f>IF(DN682=0, "NM",DN687-DN$21)</f>
      </c>
      <c r="DO688" s="309">
        <f>DO687-DO$21</f>
      </c>
      <c r="DP688" s="2220">
        <v>-0.4</v>
      </c>
      <c r="DQ688" s="926">
        <f>DQ687-DQ$21</f>
      </c>
      <c r="DR688" s="926">
        <f>DR687-DR$21</f>
      </c>
      <c r="DS688" s="926">
        <f>DS687-DS$21</f>
      </c>
      <c r="DT688" s="308">
        <f>DT687-DT$21</f>
      </c>
      <c r="DU688" s="926">
        <f>DU687-(-10.8%)</f>
      </c>
      <c r="DV688" s="926">
        <f>DV687-(-7.2%)</f>
      </c>
      <c r="DW688" s="926">
        <f>DW687-(-5.4%)</f>
      </c>
      <c r="DX688" s="926">
        <f>DX687-DX$21</f>
      </c>
      <c r="DY688" s="308">
        <f>DY687-DY$21</f>
      </c>
      <c r="DZ688" s="1703">
        <f>DZ687-(-0.2%)</f>
      </c>
      <c r="EA688" s="1703">
        <f>EA687-(-17.9%)</f>
      </c>
      <c r="EB688" s="1703">
        <f>EB687-(-16.3%)</f>
      </c>
      <c r="EC688" s="1703">
        <f>EC687-(-9.6%)</f>
      </c>
      <c r="ED688" s="308">
        <f>ED687-ED$21</f>
      </c>
      <c r="EE688" s="1703">
        <f>EE687-(-0.2%)</f>
      </c>
      <c r="EF688" s="1703">
        <f>EF687-(-17.9%)</f>
      </c>
      <c r="EG688" s="1703">
        <f>EG687-(-16.3%)</f>
      </c>
      <c r="EH688" s="659">
        <v>-0.05</v>
      </c>
      <c r="EI688" s="308">
        <f>EI687-EI$21</f>
      </c>
      <c r="EJ688" s="660">
        <v>-0.02</v>
      </c>
      <c r="EK688" s="660">
        <v>-0.02</v>
      </c>
      <c r="EL688" s="660">
        <v>-0.02</v>
      </c>
      <c r="EM688" s="660">
        <v>-0.02</v>
      </c>
      <c r="EN688" s="660">
        <v>-0.02</v>
      </c>
      <c r="EO688" s="660">
        <v>-0.02</v>
      </c>
      <c r="EP688" s="660">
        <v>-0.02</v>
      </c>
      <c r="EQ688" s="660">
        <v>-0.02</v>
      </c>
      <c r="ER688" s="660">
        <v>-0.02</v>
      </c>
      <c r="ES688" s="660">
        <v>-0.02</v>
      </c>
      <c r="ET688" s="657"/>
      <c r="EU688" s="657"/>
      <c r="EV688" s="657"/>
      <c r="EW688" s="657"/>
      <c r="EX688" s="657"/>
    </row>
    <row r="689" spans="1:154">
      <c r="B689" s="1390" t="s">
        <v>611</v>
      </c>
      <c r="C689" s="1989"/>
      <c r="D689" s="28"/>
      <c r="E689" s="28"/>
      <c r="F689" s="28"/>
      <c r="G689" s="28"/>
      <c r="H689" s="28"/>
      <c r="I689" s="28"/>
      <c r="J689" s="28"/>
      <c r="K689" s="28"/>
      <c r="L689" s="28"/>
      <c r="M689" s="28"/>
      <c r="N689" s="28"/>
      <c r="O689" s="28"/>
      <c r="P689" s="28"/>
      <c r="Q689" s="28"/>
      <c r="R689" s="28"/>
      <c r="S689" s="28"/>
      <c r="T689" s="28"/>
      <c r="U689" s="28"/>
      <c r="V689" s="28"/>
      <c r="W689" s="28"/>
      <c r="X689" s="312"/>
      <c r="Y689" s="28"/>
      <c r="Z689" s="28"/>
      <c r="AA689" s="28"/>
      <c r="AB689" s="28"/>
      <c r="AC689" s="312"/>
      <c r="AD689" s="28"/>
      <c r="AE689" s="28"/>
      <c r="AF689" s="28"/>
      <c r="AG689" s="28"/>
      <c r="AH689" s="312"/>
      <c r="AI689" s="28"/>
      <c r="AJ689" s="28"/>
      <c r="AK689" s="28"/>
      <c r="AL689" s="28"/>
      <c r="AM689" s="312"/>
      <c r="AN689" s="28"/>
      <c r="AO689" s="28"/>
      <c r="AP689" s="28"/>
      <c r="AQ689" s="28"/>
      <c r="AR689" s="312"/>
      <c r="AS689" s="28"/>
      <c r="AT689" s="28"/>
      <c r="AU689" s="28"/>
      <c r="AV689" s="28"/>
      <c r="AW689" s="312"/>
      <c r="AX689" s="40"/>
      <c r="AY689" s="40"/>
      <c r="AZ689" s="40"/>
      <c r="BA689" s="40"/>
      <c r="BB689" s="312"/>
      <c r="BC689" s="28"/>
      <c r="BD689" s="28"/>
      <c r="BE689" s="28"/>
      <c r="BF689" s="28"/>
      <c r="BG689" s="322"/>
      <c r="BH689" s="277"/>
      <c r="BI689" s="277"/>
      <c r="BJ689" s="28"/>
      <c r="BK689" s="28"/>
      <c r="BL689" s="312"/>
      <c r="BM689" s="28"/>
      <c r="BN689" s="28"/>
      <c r="BO689" s="28"/>
      <c r="BP689" s="28"/>
      <c r="BQ689" s="312"/>
      <c r="BR689" s="28"/>
      <c r="BS689" s="28"/>
      <c r="BT689" s="28"/>
      <c r="BU689" s="28"/>
      <c r="BV689" s="312"/>
      <c r="BW689" s="28"/>
      <c r="BX689" s="28"/>
      <c r="BY689" s="28"/>
      <c r="BZ689" s="28"/>
      <c r="CA689" s="312"/>
      <c r="CB689" s="28"/>
      <c r="CC689" s="28"/>
      <c r="CD689" s="28"/>
      <c r="CE689" s="28"/>
      <c r="CF689" s="312"/>
      <c r="CG689" s="28"/>
      <c r="CH689" s="28"/>
      <c r="CI689" s="28"/>
      <c r="CJ689" s="28"/>
      <c r="CK689" s="312"/>
      <c r="CL689" s="28"/>
      <c r="CM689" s="28"/>
      <c r="CN689" s="28"/>
      <c r="CO689" s="28"/>
      <c r="CP689" s="312"/>
      <c r="CQ689" s="933"/>
      <c r="CR689" s="933"/>
      <c r="CS689" s="933"/>
      <c r="CT689" s="933"/>
      <c r="CU689" s="312"/>
      <c r="CV689" s="933"/>
      <c r="CW689" s="933"/>
      <c r="CX689" s="926"/>
      <c r="CY689" s="928">
        <f t="shared" ref="CY689:DM689" si="1681">IF(CT683=0, "NA", CY683/CT683-1)</f>
      </c>
      <c r="CZ689" s="308">
        <f t="shared" si="1681"/>
      </c>
      <c r="DA689" s="958">
        <f t="shared" si="1681"/>
      </c>
      <c r="DB689" s="926">
        <f t="shared" si="1681"/>
      </c>
      <c r="DC689" s="926">
        <f t="shared" si="1681"/>
      </c>
      <c r="DD689" s="926">
        <f t="shared" si="1681"/>
      </c>
      <c r="DE689" s="309">
        <f t="shared" si="1681"/>
      </c>
      <c r="DF689" s="925">
        <f t="shared" si="1681"/>
      </c>
      <c r="DG689" s="925">
        <f t="shared" si="1681"/>
      </c>
      <c r="DH689" s="925">
        <f t="shared" si="1681"/>
      </c>
      <c r="DI689" s="925">
        <f t="shared" si="1681"/>
      </c>
      <c r="DJ689" s="309">
        <f t="shared" si="1681"/>
      </c>
      <c r="DK689" s="925">
        <f t="shared" si="1681"/>
      </c>
      <c r="DL689" s="925">
        <f t="shared" si="1681"/>
      </c>
      <c r="DM689" s="925">
        <f t="shared" si="1681"/>
      </c>
      <c r="DN689" s="927">
        <f>IF(DI683=0, "NM", DN683/DI683-1)</f>
      </c>
      <c r="DO689" s="829">
        <f>DO683/DJ683-1</f>
      </c>
      <c r="DP689" s="958">
        <f>IF(DK683=0, "NA", DP683/DK683-1)</f>
      </c>
      <c r="DQ689" s="926">
        <f>IF(DL683=0, "NA", DQ683/DL683-1)</f>
      </c>
      <c r="DR689" s="926">
        <f>IF(DM683=0, "NA", DR683/DM683-1)</f>
      </c>
      <c r="DS689" s="928">
        <f>IF(DN683=0, "NM", DS683/DN683-1)</f>
      </c>
      <c r="DT689" s="308">
        <f>DT683/DO683-1</f>
      </c>
      <c r="DU689" s="926">
        <f>IF(DP683=0, "NA", DU683/DP683-1)</f>
      </c>
      <c r="DV689" s="926">
        <f>IF(DQ683=0, "NA", DV683/DQ683-1)</f>
      </c>
      <c r="DW689" s="926">
        <f>IF(DR683=0, "NA", DW683/DR683-1)</f>
      </c>
      <c r="DX689" s="928">
        <f>IF(DS683=0, "NM", DX683/DS683-1)</f>
      </c>
      <c r="DY689" s="308">
        <f>DY683/DT683-1</f>
      </c>
      <c r="DZ689" s="926">
        <f>IF(DU683=0, "NM", DZ683/DU683-1)</f>
      </c>
      <c r="EA689" s="926">
        <f>IF(DV683=0, "NA", EA683/DV683-1)</f>
      </c>
      <c r="EB689" s="926">
        <f>IF(DW683=0, "NA", EB683/DW683-1)</f>
      </c>
      <c r="EC689" s="926">
        <f>IF(DX683=0, "NA", EC683/DX683-1)</f>
      </c>
      <c r="ED689" s="308">
        <f>ED683/DY683-1</f>
      </c>
      <c r="EE689" s="926">
        <f>IF(DZ683=0, "NM", EE683/DZ683-1)</f>
      </c>
      <c r="EF689" s="926">
        <f>IF(EA683=0, "NA", EF683/EA683-1)</f>
      </c>
      <c r="EG689" s="926">
        <f>IF(EB683=0, "NA", EG683/EB683-1)</f>
      </c>
      <c r="EH689" s="926">
        <f t="shared" ref="EH689" si="1682">IF(EC683=0, "NA", EH683/EC683-1)</f>
      </c>
      <c r="EI689" s="308">
        <f>EI683/ED683-1</f>
      </c>
      <c r="EJ689" s="308">
        <f t="shared" ref="EJ689:EN689" si="1683">EJ683/EI683-1</f>
      </c>
      <c r="EK689" s="308">
        <f t="shared" si="1683"/>
      </c>
      <c r="EL689" s="308">
        <f t="shared" si="1683"/>
      </c>
      <c r="EM689" s="308">
        <f t="shared" si="1683"/>
      </c>
      <c r="EN689" s="308">
        <f t="shared" si="1683"/>
      </c>
      <c r="EO689" s="308">
        <f t="shared" ref="EO689" si="1684">EO683/EN683-1</f>
      </c>
      <c r="EP689" s="308">
        <f t="shared" ref="EP689" si="1685">EP683/EO683-1</f>
      </c>
      <c r="EQ689" s="308">
        <f t="shared" ref="EQ689" si="1686">EQ683/EP683-1</f>
      </c>
      <c r="ER689" s="308">
        <f t="shared" ref="ER689" si="1687">ER683/EQ683-1</f>
      </c>
      <c r="ES689" s="308">
        <f t="shared" ref="ES689" si="1688">ES683/ER683-1</f>
      </c>
      <c r="ET689" s="409"/>
      <c r="EU689" s="409"/>
      <c r="EV689" s="409"/>
      <c r="EW689" s="409"/>
      <c r="EX689" s="409"/>
    </row>
    <row r="690" spans="1:154">
      <c r="B690" s="1129"/>
      <c r="C690" s="1989"/>
      <c r="D690" s="28"/>
      <c r="E690" s="28"/>
      <c r="F690" s="28"/>
      <c r="G690" s="28"/>
      <c r="H690" s="28"/>
      <c r="I690" s="28"/>
      <c r="J690" s="28"/>
      <c r="K690" s="28"/>
      <c r="L690" s="28"/>
      <c r="M690" s="28"/>
      <c r="N690" s="28"/>
      <c r="O690" s="28"/>
      <c r="P690" s="28"/>
      <c r="Q690" s="28"/>
      <c r="R690" s="28"/>
      <c r="S690" s="28"/>
      <c r="T690" s="28"/>
      <c r="U690" s="28"/>
      <c r="V690" s="28"/>
      <c r="W690" s="28"/>
      <c r="X690" s="312"/>
      <c r="Y690" s="28"/>
      <c r="Z690" s="28"/>
      <c r="AA690" s="28"/>
      <c r="AB690" s="28"/>
      <c r="AC690" s="312"/>
      <c r="AD690" s="28"/>
      <c r="AE690" s="28"/>
      <c r="AF690" s="28"/>
      <c r="AG690" s="28"/>
      <c r="AH690" s="312"/>
      <c r="AI690" s="28"/>
      <c r="AJ690" s="28"/>
      <c r="AK690" s="28"/>
      <c r="AL690" s="28"/>
      <c r="AM690" s="312"/>
      <c r="AN690" s="28"/>
      <c r="AO690" s="28"/>
      <c r="AP690" s="28"/>
      <c r="AQ690" s="28"/>
      <c r="AR690" s="312"/>
      <c r="AS690" s="28"/>
      <c r="AT690" s="28"/>
      <c r="AU690" s="28"/>
      <c r="AV690" s="28"/>
      <c r="AW690" s="312"/>
      <c r="AX690" s="40"/>
      <c r="AY690" s="40"/>
      <c r="AZ690" s="40"/>
      <c r="BA690" s="40"/>
      <c r="BB690" s="312"/>
      <c r="BC690" s="28"/>
      <c r="BD690" s="28"/>
      <c r="BE690" s="28"/>
      <c r="BF690" s="28"/>
      <c r="BG690" s="322"/>
      <c r="BH690" s="277"/>
      <c r="BI690" s="277"/>
      <c r="BJ690" s="28"/>
      <c r="BK690" s="28"/>
      <c r="BL690" s="312"/>
      <c r="BM690" s="28"/>
      <c r="BN690" s="28"/>
      <c r="BO690" s="28"/>
      <c r="BP690" s="28"/>
      <c r="BQ690" s="312"/>
      <c r="BR690" s="28"/>
      <c r="BS690" s="28"/>
      <c r="BT690" s="28"/>
      <c r="BU690" s="28"/>
      <c r="BV690" s="312"/>
      <c r="BW690" s="28"/>
      <c r="BX690" s="28"/>
      <c r="BY690" s="28"/>
      <c r="BZ690" s="28"/>
      <c r="CA690" s="312"/>
      <c r="CB690" s="28"/>
      <c r="CC690" s="28"/>
      <c r="CD690" s="28"/>
      <c r="CE690" s="28"/>
      <c r="CF690" s="312"/>
      <c r="CG690" s="28"/>
      <c r="CH690" s="28"/>
      <c r="CI690" s="28"/>
      <c r="CJ690" s="28"/>
      <c r="CK690" s="312"/>
      <c r="CL690" s="28"/>
      <c r="CM690" s="28"/>
      <c r="CN690" s="28"/>
      <c r="CO690" s="28"/>
      <c r="CP690" s="312"/>
      <c r="CQ690" s="933"/>
      <c r="CR690" s="933"/>
      <c r="CS690" s="933"/>
      <c r="CT690" s="962"/>
      <c r="CU690" s="876"/>
      <c r="CV690" s="933"/>
      <c r="CW690" s="933"/>
      <c r="CX690" s="933"/>
      <c r="CY690" s="962"/>
      <c r="CZ690" s="312"/>
      <c r="DA690" s="933"/>
      <c r="DB690" s="28"/>
      <c r="DC690" s="28"/>
      <c r="DD690" s="876"/>
      <c r="DE690" s="445"/>
      <c r="DF690" s="982"/>
      <c r="DG690" s="444"/>
      <c r="DH690" s="444"/>
      <c r="DI690" s="1788"/>
      <c r="DJ690" s="445"/>
      <c r="DK690" s="1882"/>
      <c r="DL690" s="1883"/>
      <c r="DM690" s="1883"/>
      <c r="DN690" s="1884"/>
      <c r="DO690" s="1788"/>
      <c r="DP690" s="1883"/>
      <c r="DQ690" s="1883"/>
      <c r="DR690" s="1883"/>
      <c r="DS690" s="1884"/>
      <c r="DT690" s="445"/>
      <c r="DU690" s="2119"/>
      <c r="DV690" s="2119"/>
      <c r="DW690" s="2119"/>
      <c r="DX690" s="2120"/>
      <c r="DY690" s="445"/>
      <c r="DZ690" s="2119"/>
      <c r="EA690" s="3514"/>
      <c r="EB690" s="3514"/>
      <c r="EC690" s="3515"/>
      <c r="ED690" s="1866"/>
      <c r="EE690" s="2119"/>
      <c r="EF690" s="3514"/>
      <c r="EG690" s="3514"/>
      <c r="EH690" s="3515"/>
      <c r="EI690" s="445"/>
      <c r="EJ690" s="445"/>
      <c r="EK690" s="445"/>
      <c r="EL690" s="445"/>
      <c r="EM690" s="445"/>
      <c r="EN690" s="445"/>
      <c r="EO690" s="445"/>
      <c r="EP690" s="445"/>
      <c r="EQ690" s="445"/>
      <c r="ER690" s="1788"/>
      <c r="ES690" s="1788"/>
      <c r="ET690" s="1788"/>
      <c r="EU690" s="1788"/>
      <c r="EV690" s="1788"/>
      <c r="EW690" s="1788"/>
      <c r="EX690" s="1788"/>
    </row>
    <row r="691" spans="1:154">
      <c r="B691" s="452" t="s">
        <v>989</v>
      </c>
      <c r="C691" s="1992"/>
      <c r="D691" s="1980"/>
      <c r="E691" s="449"/>
      <c r="F691" s="449"/>
      <c r="G691" s="449"/>
      <c r="H691" s="449"/>
      <c r="I691" s="450"/>
      <c r="J691" s="449"/>
      <c r="K691" s="449"/>
      <c r="L691" s="449"/>
      <c r="M691" s="449"/>
      <c r="N691" s="450"/>
      <c r="O691" s="450"/>
      <c r="P691" s="450"/>
      <c r="Q691" s="450"/>
      <c r="R691" s="450"/>
      <c r="S691" s="450"/>
      <c r="T691" s="450"/>
      <c r="U691" s="450"/>
      <c r="V691" s="450"/>
      <c r="W691" s="450"/>
      <c r="X691" s="451"/>
      <c r="Y691" s="450"/>
      <c r="Z691" s="450"/>
      <c r="AA691" s="450"/>
      <c r="AB691" s="450"/>
      <c r="AC691" s="451"/>
      <c r="AD691" s="450"/>
      <c r="AE691" s="450"/>
      <c r="AF691" s="450"/>
      <c r="AG691" s="450"/>
      <c r="AH691" s="451"/>
      <c r="AI691" s="449"/>
      <c r="AJ691" s="449"/>
      <c r="AK691" s="449"/>
      <c r="AL691" s="450"/>
      <c r="AM691" s="451"/>
      <c r="AN691" s="449"/>
      <c r="AO691" s="449"/>
      <c r="AP691" s="449"/>
      <c r="AQ691" s="450"/>
      <c r="AR691" s="451"/>
      <c r="AS691" s="449"/>
      <c r="AT691" s="449"/>
      <c r="AU691" s="449"/>
      <c r="AV691" s="450"/>
      <c r="AW691" s="451"/>
      <c r="AX691" s="449"/>
      <c r="AY691" s="449"/>
      <c r="AZ691" s="449"/>
      <c r="BA691" s="449"/>
      <c r="BB691" s="451"/>
      <c r="BC691" s="449"/>
      <c r="BD691" s="449"/>
      <c r="BE691" s="449"/>
      <c r="BF691" s="449"/>
      <c r="BG691" s="451"/>
      <c r="BH691" s="449"/>
      <c r="BI691" s="449"/>
      <c r="BJ691" s="449"/>
      <c r="BK691" s="449"/>
      <c r="BL691" s="451"/>
      <c r="BM691" s="449"/>
      <c r="BN691" s="449"/>
      <c r="BO691" s="449"/>
      <c r="BP691" s="449"/>
      <c r="BQ691" s="451"/>
      <c r="BR691" s="449"/>
      <c r="BS691" s="449"/>
      <c r="BT691" s="449"/>
      <c r="BU691" s="449"/>
      <c r="BV691" s="451"/>
      <c r="BW691" s="449"/>
      <c r="BX691" s="449"/>
      <c r="BY691" s="449"/>
      <c r="BZ691" s="449"/>
      <c r="CA691" s="451"/>
      <c r="CB691" s="449"/>
      <c r="CC691" s="449"/>
      <c r="CD691" s="449"/>
      <c r="CE691" s="449"/>
      <c r="CF691" s="451"/>
      <c r="CG691" s="449"/>
      <c r="CH691" s="449"/>
      <c r="CI691" s="449"/>
      <c r="CJ691" s="449"/>
      <c r="CK691" s="451"/>
      <c r="CL691" s="449"/>
      <c r="CM691" s="449"/>
      <c r="CN691" s="449"/>
      <c r="CO691" s="1395"/>
      <c r="CP691" s="451"/>
      <c r="CQ691" s="449"/>
      <c r="CR691" s="449"/>
      <c r="CS691" s="449"/>
      <c r="CT691" s="1141"/>
      <c r="CU691" s="451"/>
      <c r="CV691" s="449"/>
      <c r="CW691" s="449"/>
      <c r="CX691" s="449"/>
      <c r="CY691" s="1141"/>
      <c r="CZ691" s="451"/>
      <c r="DA691" s="449"/>
      <c r="DB691" s="1367"/>
      <c r="DC691" s="1367"/>
      <c r="DD691" s="1196"/>
      <c r="DE691" s="1824"/>
      <c r="DF691" s="1825"/>
      <c r="DG691" s="1826"/>
      <c r="DH691" s="1826"/>
      <c r="DI691" s="1827"/>
      <c r="DJ691" s="1824"/>
      <c r="DK691" s="1825"/>
      <c r="DL691" s="1826"/>
      <c r="DM691" s="1826"/>
      <c r="DN691" s="1827"/>
      <c r="DO691" s="1824"/>
      <c r="DP691" s="1826"/>
      <c r="DQ691" s="1826"/>
      <c r="DR691" s="1826"/>
      <c r="DS691" s="1827"/>
      <c r="DT691" s="1824"/>
      <c r="DU691" s="2113">
        <f>SUM(DU749,DU760,DU1653)</f>
      </c>
      <c r="DV691" s="2113">
        <f>SUM(DV749,DV760,DV1653)</f>
      </c>
      <c r="DW691" s="2113">
        <f>SUM(DW749,DW760,DW1653)</f>
      </c>
      <c r="DX691" s="2114"/>
      <c r="DY691" s="1824"/>
      <c r="DZ691" s="2113"/>
      <c r="EA691" s="3476"/>
      <c r="EB691" s="3476"/>
      <c r="EC691" s="2114"/>
      <c r="ED691" s="1828"/>
      <c r="EE691" s="2113"/>
      <c r="EF691" s="3476"/>
      <c r="EG691" s="3476"/>
      <c r="EH691" s="2114"/>
      <c r="EI691" s="1824"/>
      <c r="EJ691" s="1824"/>
      <c r="EK691" s="1824"/>
      <c r="EL691" s="1824"/>
      <c r="EM691" s="1824"/>
      <c r="EN691" s="1824"/>
      <c r="EO691" s="1828"/>
      <c r="EP691" s="1828"/>
      <c r="EQ691" s="1828"/>
      <c r="ER691" s="1828"/>
      <c r="ES691" s="1828"/>
      <c r="ET691" s="1828"/>
      <c r="EU691" s="1828"/>
      <c r="EV691" s="1828"/>
      <c r="EW691" s="1828"/>
      <c r="EX691" s="1828"/>
    </row>
    <row r="692" spans="1:154" s="331" customFormat="1">
      <c r="A692" s="3275"/>
      <c r="B692" s="514" t="s">
        <v>921</v>
      </c>
      <c r="C692" s="1990"/>
      <c r="D692" s="531"/>
      <c r="E692" s="531"/>
      <c r="F692" s="531"/>
      <c r="G692" s="531"/>
      <c r="H692" s="531"/>
      <c r="I692" s="27"/>
      <c r="J692" s="531"/>
      <c r="K692" s="531"/>
      <c r="L692" s="531"/>
      <c r="M692" s="531"/>
      <c r="N692" s="27"/>
      <c r="O692" s="531"/>
      <c r="P692" s="531"/>
      <c r="Q692" s="531"/>
      <c r="R692" s="531"/>
      <c r="S692" s="27"/>
      <c r="T692" s="531"/>
      <c r="U692" s="531"/>
      <c r="V692" s="531"/>
      <c r="W692" s="531"/>
      <c r="X692" s="323"/>
      <c r="Y692" s="531"/>
      <c r="Z692" s="531"/>
      <c r="AA692" s="531"/>
      <c r="AB692" s="531"/>
      <c r="AC692" s="323"/>
      <c r="AD692" s="531"/>
      <c r="AE692" s="531"/>
      <c r="AF692" s="531"/>
      <c r="AG692" s="531"/>
      <c r="AH692" s="323"/>
      <c r="AI692" s="531"/>
      <c r="AJ692" s="531"/>
      <c r="AK692" s="531"/>
      <c r="AL692" s="531"/>
      <c r="AM692" s="323"/>
      <c r="AN692" s="531"/>
      <c r="AO692" s="531"/>
      <c r="AP692" s="531"/>
      <c r="AQ692" s="531"/>
      <c r="AR692" s="323"/>
      <c r="AS692" s="26"/>
      <c r="AT692" s="26"/>
      <c r="AU692" s="26"/>
      <c r="AV692" s="26"/>
      <c r="AW692" s="323"/>
      <c r="AX692" s="26"/>
      <c r="AY692" s="26"/>
      <c r="AZ692" s="26"/>
      <c r="BA692" s="26"/>
      <c r="BB692" s="323"/>
      <c r="BC692" s="26"/>
      <c r="BD692" s="26"/>
      <c r="BE692" s="26"/>
      <c r="BF692" s="26"/>
      <c r="BG692" s="323"/>
      <c r="BH692" s="26"/>
      <c r="BI692" s="26"/>
      <c r="BJ692" s="26"/>
      <c r="BK692" s="26"/>
      <c r="BL692" s="323"/>
      <c r="BM692" s="522">
        <v>579</v>
      </c>
      <c r="BN692" s="522">
        <v>587</v>
      </c>
      <c r="BO692" s="522">
        <v>550</v>
      </c>
      <c r="BP692" s="522">
        <v>570</v>
      </c>
      <c r="BQ692" s="307">
        <f>SUM(BM692:BP692)</f>
      </c>
      <c r="BR692" s="522">
        <v>550</v>
      </c>
      <c r="BS692" s="522">
        <v>609</v>
      </c>
      <c r="BT692" s="522">
        <v>606</v>
      </c>
      <c r="BU692" s="522">
        <v>593</v>
      </c>
      <c r="BV692" s="307">
        <f>SUM(BR692:BU692)</f>
      </c>
      <c r="BW692" s="522">
        <v>649</v>
      </c>
      <c r="BX692" s="522">
        <v>708</v>
      </c>
      <c r="BY692" s="522">
        <v>795</v>
      </c>
      <c r="BZ692" s="522">
        <v>696</v>
      </c>
      <c r="CA692" s="323">
        <f>SUM(BW692:BZ692)</f>
      </c>
      <c r="CB692" s="522">
        <v>791</v>
      </c>
      <c r="CC692" s="522">
        <v>862</v>
      </c>
      <c r="CD692" s="522">
        <v>950</v>
      </c>
      <c r="CE692" s="522">
        <v>997</v>
      </c>
      <c r="CF692" s="323">
        <f>SUM(CB692:CE692)</f>
      </c>
      <c r="CG692" s="522">
        <v>1120</v>
      </c>
      <c r="CH692" s="522">
        <v>1231</v>
      </c>
      <c r="CI692" s="522">
        <v>1171</v>
      </c>
      <c r="CJ692" s="522">
        <v>1237</v>
      </c>
      <c r="CK692" s="323">
        <f>SUM(CG692:CJ692)</f>
      </c>
      <c r="CL692" s="522">
        <v>1179</v>
      </c>
      <c r="CM692" s="522">
        <v>1294</v>
      </c>
      <c r="CN692" s="522">
        <v>1117</v>
      </c>
      <c r="CO692" s="522">
        <v>1265</v>
      </c>
      <c r="CP692" s="323">
        <f>CP703+CP714+CP725+CP747+CP758+CP769+CP736</f>
      </c>
      <c r="CQ692" s="1216">
        <v>1095</v>
      </c>
      <c r="CR692" s="1216">
        <v>1211</v>
      </c>
      <c r="CS692" s="1216">
        <v>1163</v>
      </c>
      <c r="CT692" s="1216">
        <v>1256</v>
      </c>
      <c r="CU692" s="323">
        <f>+SUM(CQ692:CT692)</f>
      </c>
      <c r="CV692" s="1216">
        <v>1103</v>
      </c>
      <c r="CW692" s="1216">
        <v>1101</v>
      </c>
      <c r="CX692" s="1216">
        <v>1026</v>
      </c>
      <c r="CY692" s="1216">
        <v>1049</v>
      </c>
      <c r="CZ692" s="323">
        <f>+SUM(CV692:CY692)</f>
      </c>
      <c r="DA692" s="1216">
        <v>947</v>
      </c>
      <c r="DB692" s="1216">
        <v>902</v>
      </c>
      <c r="DC692" s="1216">
        <v>955</v>
      </c>
      <c r="DD692" s="1481">
        <v>930</v>
      </c>
      <c r="DE692" s="1851">
        <f>+SUM(DA692:DD692)</f>
      </c>
      <c r="DF692" s="1852">
        <v>806</v>
      </c>
      <c r="DG692" s="1852">
        <v>837</v>
      </c>
      <c r="DH692" s="1852">
        <v>931</v>
      </c>
      <c r="DI692" s="2411">
        <v>935</v>
      </c>
      <c r="DJ692" s="1854">
        <f>+SUM(DF692:DI692)</f>
      </c>
      <c r="DK692" s="1852">
        <f>798.8+100</f>
      </c>
      <c r="DL692" s="1852">
        <f>780+51</f>
      </c>
      <c r="DM692" s="1968">
        <f>800+270</f>
      </c>
      <c r="DN692" s="2411">
        <f>813+213</f>
      </c>
      <c r="DO692" s="1854">
        <f>+SUM(DK692:DN692)</f>
      </c>
      <c r="DP692" s="1852">
        <f>672+75+1</f>
      </c>
      <c r="DQ692" s="1852">
        <f>757+45-1</f>
      </c>
      <c r="DR692" s="1852">
        <v>837</v>
      </c>
      <c r="DS692" s="2495">
        <f>776</f>
      </c>
      <c r="DT692" s="2354">
        <f>SUM(DP692:DS692)</f>
      </c>
      <c r="DU692" s="1852">
        <v>715</v>
      </c>
      <c r="DV692" s="1852">
        <v>776</v>
      </c>
      <c r="DW692" s="1852">
        <v>763</v>
      </c>
      <c r="DX692" s="2495">
        <v>652.5</v>
      </c>
      <c r="DY692" s="2354">
        <f>SUM(DU692:DX692)</f>
      </c>
      <c r="DZ692" s="2666">
        <v>631.4</v>
      </c>
      <c r="EA692" s="3112">
        <v>716.5</v>
      </c>
      <c r="EB692" s="3112">
        <v>713.4</v>
      </c>
      <c r="EC692" s="3477">
        <v>805</v>
      </c>
      <c r="ED692" s="2354">
        <f>ED747+ED758</f>
      </c>
      <c r="EE692" s="1777">
        <f t="shared" ref="EE692:ES692" si="1689">EE703+EE714+EE725+EE747+EE758+EE769+EE1651</f>
      </c>
      <c r="EF692" s="1777">
        <f t="shared" ref="EF692:EG692" si="1690">EF703+EF714+EF725+EF747+EF758+EF769+EF1651</f>
      </c>
      <c r="EG692" s="1777">
        <f t="shared" si="1690"/>
      </c>
      <c r="EH692" s="3477">
        <f t="shared" si="1689"/>
      </c>
      <c r="EI692" s="2354">
        <f t="shared" si="1689"/>
      </c>
      <c r="EJ692" s="2354">
        <f t="shared" si="1689"/>
      </c>
      <c r="EK692" s="2354">
        <f t="shared" si="1689"/>
      </c>
      <c r="EL692" s="2354">
        <f t="shared" si="1689"/>
      </c>
      <c r="EM692" s="2354">
        <f t="shared" si="1689"/>
      </c>
      <c r="EN692" s="2354">
        <f t="shared" si="1689"/>
      </c>
      <c r="EO692" s="2354">
        <f t="shared" si="1689"/>
      </c>
      <c r="EP692" s="2354">
        <f t="shared" si="1689"/>
      </c>
      <c r="EQ692" s="2354">
        <f t="shared" si="1689"/>
      </c>
      <c r="ER692" s="2354">
        <f t="shared" si="1689"/>
      </c>
      <c r="ES692" s="2354">
        <f t="shared" si="1689"/>
      </c>
      <c r="ET692" s="1885"/>
      <c r="EU692" s="1885"/>
      <c r="EV692" s="1885"/>
      <c r="EW692" s="1885"/>
      <c r="EX692" s="1885"/>
    </row>
    <row r="693" spans="1:154" s="331" customFormat="1">
      <c r="A693" s="3275"/>
      <c r="B693" s="514" t="s">
        <v>412</v>
      </c>
      <c r="C693" s="1990"/>
      <c r="D693" s="531"/>
      <c r="E693" s="531"/>
      <c r="F693" s="531"/>
      <c r="G693" s="531"/>
      <c r="H693" s="531"/>
      <c r="I693" s="27"/>
      <c r="J693" s="531"/>
      <c r="K693" s="531"/>
      <c r="L693" s="531"/>
      <c r="M693" s="531"/>
      <c r="N693" s="27"/>
      <c r="O693" s="531"/>
      <c r="P693" s="531"/>
      <c r="Q693" s="531"/>
      <c r="R693" s="531"/>
      <c r="S693" s="27"/>
      <c r="T693" s="531"/>
      <c r="U693" s="531"/>
      <c r="V693" s="531"/>
      <c r="W693" s="531"/>
      <c r="X693" s="323"/>
      <c r="Y693" s="531"/>
      <c r="Z693" s="531"/>
      <c r="AA693" s="531"/>
      <c r="AB693" s="531"/>
      <c r="AC693" s="323"/>
      <c r="AD693" s="531"/>
      <c r="AE693" s="531"/>
      <c r="AF693" s="531"/>
      <c r="AG693" s="531"/>
      <c r="AH693" s="323"/>
      <c r="AI693" s="531"/>
      <c r="AJ693" s="531"/>
      <c r="AK693" s="531"/>
      <c r="AL693" s="531"/>
      <c r="AM693" s="323"/>
      <c r="AN693" s="531"/>
      <c r="AO693" s="531"/>
      <c r="AP693" s="531"/>
      <c r="AQ693" s="531"/>
      <c r="AR693" s="323"/>
      <c r="AS693" s="26"/>
      <c r="AT693" s="26"/>
      <c r="AU693" s="26"/>
      <c r="AV693" s="26"/>
      <c r="AW693" s="323"/>
      <c r="AX693" s="26"/>
      <c r="AY693" s="26"/>
      <c r="AZ693" s="26"/>
      <c r="BA693" s="26"/>
      <c r="BB693" s="323"/>
      <c r="BC693" s="26"/>
      <c r="BD693" s="26"/>
      <c r="BE693" s="26"/>
      <c r="BF693" s="26"/>
      <c r="BG693" s="323"/>
      <c r="BH693" s="26"/>
      <c r="BI693" s="26"/>
      <c r="BJ693" s="26"/>
      <c r="BK693" s="26"/>
      <c r="BL693" s="323"/>
      <c r="BM693" s="522">
        <v>785</v>
      </c>
      <c r="BN693" s="522">
        <v>831</v>
      </c>
      <c r="BO693" s="522">
        <v>773</v>
      </c>
      <c r="BP693" s="522">
        <v>710</v>
      </c>
      <c r="BQ693" s="307">
        <f>SUM(BM693:BP693)</f>
      </c>
      <c r="BR693" s="522">
        <v>690</v>
      </c>
      <c r="BS693" s="522">
        <v>675</v>
      </c>
      <c r="BT693" s="522">
        <v>621</v>
      </c>
      <c r="BU693" s="522">
        <v>592</v>
      </c>
      <c r="BV693" s="307">
        <f>SUM(BR693:BU693)</f>
      </c>
      <c r="BW693" s="522">
        <v>562</v>
      </c>
      <c r="BX693" s="522">
        <v>541</v>
      </c>
      <c r="BY693" s="522">
        <v>504</v>
      </c>
      <c r="BZ693" s="522">
        <v>490</v>
      </c>
      <c r="CA693" s="323">
        <f>SUM(BW693:BZ693)</f>
      </c>
      <c r="CB693" s="522">
        <v>504</v>
      </c>
      <c r="CC693" s="522">
        <v>516</v>
      </c>
      <c r="CD693" s="522">
        <v>472</v>
      </c>
      <c r="CE693" s="522">
        <v>485</v>
      </c>
      <c r="CF693" s="323">
        <f>SUM(CB693:CE693)</f>
      </c>
      <c r="CG693" s="522">
        <v>442</v>
      </c>
      <c r="CH693" s="522">
        <v>421</v>
      </c>
      <c r="CI693" s="522">
        <v>415</v>
      </c>
      <c r="CJ693" s="522">
        <v>381</v>
      </c>
      <c r="CK693" s="323">
        <f>SUM(CG693:CJ693)</f>
      </c>
      <c r="CL693" s="522">
        <v>410</v>
      </c>
      <c r="CM693" s="522">
        <v>417</v>
      </c>
      <c r="CN693" s="522">
        <v>376</v>
      </c>
      <c r="CO693" s="522">
        <v>338</v>
      </c>
      <c r="CP693" s="323">
        <f>CP704+CP715+CP726+CP748+CP759+CP770+CP737</f>
      </c>
      <c r="CQ693" s="522">
        <v>380</v>
      </c>
      <c r="CR693" s="522">
        <v>388</v>
      </c>
      <c r="CS693" s="522">
        <v>384</v>
      </c>
      <c r="CT693" s="522">
        <v>366</v>
      </c>
      <c r="CU693" s="323">
        <f>+SUM(CQ693:CT693)</f>
      </c>
      <c r="CV693" s="522">
        <v>414</v>
      </c>
      <c r="CW693" s="522">
        <v>417</v>
      </c>
      <c r="CX693" s="522">
        <v>365</v>
      </c>
      <c r="CY693" s="522">
        <v>341</v>
      </c>
      <c r="CZ693" s="323">
        <f>+SUM(CV693:CY693)</f>
      </c>
      <c r="DA693" s="522">
        <v>398</v>
      </c>
      <c r="DB693" s="522">
        <v>373</v>
      </c>
      <c r="DC693" s="522">
        <v>360</v>
      </c>
      <c r="DD693" s="522">
        <v>327</v>
      </c>
      <c r="DE693" s="1851">
        <f>+SUM(DA693:DD693)</f>
      </c>
      <c r="DF693" s="1856">
        <v>354</v>
      </c>
      <c r="DG693" s="1856">
        <v>347.4</v>
      </c>
      <c r="DH693" s="1856">
        <v>351</v>
      </c>
      <c r="DI693" s="1856">
        <v>317.39999999999998</v>
      </c>
      <c r="DJ693" s="1854">
        <f>+SUM(DF693:DI693)</f>
      </c>
      <c r="DK693" s="2497">
        <v>328</v>
      </c>
      <c r="DL693" s="1856">
        <f>345+113</f>
      </c>
      <c r="DM693" s="1856">
        <f>333+233</f>
      </c>
      <c r="DN693" s="2398">
        <f>261+1405-1</f>
      </c>
      <c r="DO693" s="1854">
        <f>+SUM(DK693:DN693)</f>
      </c>
      <c r="DP693" s="1856">
        <f>238+382</f>
      </c>
      <c r="DQ693" s="1856">
        <f>215+499</f>
      </c>
      <c r="DR693" s="1856">
        <f>198+489+1</f>
      </c>
      <c r="DS693" s="2398">
        <f>194+689</f>
      </c>
      <c r="DT693" s="2354">
        <f>SUM(DP693:DS693)</f>
      </c>
      <c r="DU693" s="1856">
        <f>212+747</f>
      </c>
      <c r="DV693" s="1856">
        <f>174+285.5</f>
      </c>
      <c r="DW693" s="1856">
        <f>194+41.2</f>
      </c>
      <c r="DX693" s="2398">
        <f>185+44</f>
      </c>
      <c r="DY693" s="2354">
        <f>SUM(DU693:DX693)</f>
      </c>
      <c r="DZ693" s="1858">
        <f t="shared" ref="DZ693:EC693" si="1691">DZ748+DZ759</f>
      </c>
      <c r="EA693" s="1777">
        <f t="shared" si="1691"/>
      </c>
      <c r="EB693" s="1777">
        <f t="shared" si="1691"/>
      </c>
      <c r="EC693" s="2354">
        <f t="shared" si="1691"/>
      </c>
      <c r="ED693" s="2354">
        <f t="shared" ref="ED693" si="1692">ED748+ED759</f>
      </c>
      <c r="EE693" s="1777">
        <f t="shared" ref="EE693:ES693" si="1693">EE704+EE715+EE726+EE748+EE759+EE770+EE1652</f>
      </c>
      <c r="EF693" s="1777">
        <f t="shared" ref="EF693" si="1694">EF704+EF715+EF726+EF748+EF759+EF770+EF1652</f>
      </c>
      <c r="EG693" s="1777">
        <f t="shared" ref="EG693" si="1695">EG748+EG759</f>
      </c>
      <c r="EH693" s="2354">
        <f t="shared" si="1693"/>
      </c>
      <c r="EI693" s="2354">
        <f t="shared" si="1693"/>
      </c>
      <c r="EJ693" s="2354">
        <f t="shared" si="1693"/>
      </c>
      <c r="EK693" s="2354">
        <f t="shared" si="1693"/>
      </c>
      <c r="EL693" s="2354">
        <f t="shared" si="1693"/>
      </c>
      <c r="EM693" s="2354">
        <f t="shared" si="1693"/>
      </c>
      <c r="EN693" s="2354">
        <f t="shared" si="1693"/>
      </c>
      <c r="EO693" s="2354">
        <f t="shared" si="1693"/>
      </c>
      <c r="EP693" s="2354">
        <f t="shared" si="1693"/>
      </c>
      <c r="EQ693" s="2354">
        <f t="shared" si="1693"/>
      </c>
      <c r="ER693" s="2354">
        <f t="shared" si="1693"/>
      </c>
      <c r="ES693" s="2354">
        <f t="shared" si="1693"/>
      </c>
      <c r="ET693" s="1815"/>
      <c r="EU693" s="1815"/>
      <c r="EV693" s="1815"/>
      <c r="EW693" s="1815"/>
      <c r="EX693" s="1815"/>
    </row>
    <row r="694" spans="1:154" s="331" customFormat="1">
      <c r="A694" s="3275" t="str">
        <f>+B691</f>
      </c>
      <c r="B694" s="514" t="s">
        <v>413</v>
      </c>
      <c r="C694" s="1990"/>
      <c r="D694" s="531"/>
      <c r="E694" s="531"/>
      <c r="F694" s="531"/>
      <c r="G694" s="531"/>
      <c r="H694" s="531"/>
      <c r="I694" s="27"/>
      <c r="J694" s="531"/>
      <c r="K694" s="531"/>
      <c r="L694" s="531"/>
      <c r="M694" s="531"/>
      <c r="N694" s="27"/>
      <c r="O694" s="531"/>
      <c r="P694" s="531"/>
      <c r="Q694" s="531"/>
      <c r="R694" s="531"/>
      <c r="S694" s="27"/>
      <c r="T694" s="531"/>
      <c r="U694" s="531"/>
      <c r="V694" s="531"/>
      <c r="W694" s="531"/>
      <c r="X694" s="323"/>
      <c r="Y694" s="531"/>
      <c r="Z694" s="531"/>
      <c r="AA694" s="531"/>
      <c r="AB694" s="531"/>
      <c r="AC694" s="323"/>
      <c r="AD694" s="531"/>
      <c r="AE694" s="531"/>
      <c r="AF694" s="531"/>
      <c r="AG694" s="531"/>
      <c r="AH694" s="323"/>
      <c r="AI694" s="531"/>
      <c r="AJ694" s="531"/>
      <c r="AK694" s="531"/>
      <c r="AL694" s="531"/>
      <c r="AM694" s="323"/>
      <c r="AN694" s="531"/>
      <c r="AO694" s="531"/>
      <c r="AP694" s="531"/>
      <c r="AQ694" s="531"/>
      <c r="AR694" s="323"/>
      <c r="AS694" s="26"/>
      <c r="AT694" s="26"/>
      <c r="AU694" s="26"/>
      <c r="AV694" s="26"/>
      <c r="AW694" s="323"/>
      <c r="AX694" s="26"/>
      <c r="AY694" s="26"/>
      <c r="AZ694" s="26"/>
      <c r="BA694" s="26"/>
      <c r="BB694" s="323"/>
      <c r="BC694" s="26"/>
      <c r="BD694" s="26"/>
      <c r="BE694" s="26"/>
      <c r="BF694" s="26"/>
      <c r="BG694" s="323"/>
      <c r="BH694" s="26"/>
      <c r="BI694" s="26"/>
      <c r="BJ694" s="26"/>
      <c r="BK694" s="26"/>
      <c r="BL694" s="323"/>
      <c r="BM694" s="26">
        <f>+BM692+BM693</f>
      </c>
      <c r="BN694" s="26">
        <f>+BN692+BN693</f>
      </c>
      <c r="BO694" s="26">
        <f>+BO692+BO693</f>
      </c>
      <c r="BP694" s="26">
        <f>+BP692+BP693</f>
      </c>
      <c r="BQ694" s="307">
        <f>SUM(BM694:BP694)</f>
      </c>
      <c r="BR694" s="26">
        <f>+BR692+BR693</f>
      </c>
      <c r="BS694" s="26">
        <f>+BS692+BS693</f>
      </c>
      <c r="BT694" s="26">
        <f>+BT692+BT693</f>
      </c>
      <c r="BU694" s="26">
        <f>+BU692+BU693</f>
      </c>
      <c r="BV694" s="307">
        <f>SUM(BR694:BU694)</f>
      </c>
      <c r="BW694" s="26">
        <f>+BW692+BW693</f>
      </c>
      <c r="BX694" s="26">
        <f>+BX692+BX693</f>
      </c>
      <c r="BY694" s="26">
        <f>+BY692+BY693</f>
      </c>
      <c r="BZ694" s="26">
        <f>+BZ692+BZ693</f>
      </c>
      <c r="CA694" s="323">
        <f>SUM(BW694:BZ694)</f>
      </c>
      <c r="CB694" s="26">
        <f>+CB692+CB693</f>
      </c>
      <c r="CC694" s="26">
        <f>+CC692+CC693</f>
      </c>
      <c r="CD694" s="26">
        <f>+CD692+CD693</f>
      </c>
      <c r="CE694" s="26">
        <f>+CE692+CE693</f>
      </c>
      <c r="CF694" s="323">
        <f>SUM(CB694:CE694)</f>
      </c>
      <c r="CG694" s="26">
        <f>+CG692+CG693</f>
      </c>
      <c r="CH694" s="26">
        <f>+CH692+CH693</f>
      </c>
      <c r="CI694" s="26">
        <f>+CI692+CI693</f>
      </c>
      <c r="CJ694" s="26">
        <f>+CJ692+CJ693</f>
      </c>
      <c r="CK694" s="323">
        <f>SUM(CG694:CJ694)</f>
      </c>
      <c r="CL694" s="26">
        <f t="shared" ref="CL694:CS694" si="1696">+CL692+CL693</f>
      </c>
      <c r="CM694" s="26">
        <f t="shared" si="1696"/>
      </c>
      <c r="CN694" s="26">
        <f t="shared" si="1696"/>
      </c>
      <c r="CO694" s="26">
        <f t="shared" si="1696"/>
      </c>
      <c r="CP694" s="323">
        <f t="shared" si="1696"/>
      </c>
      <c r="CQ694" s="26">
        <f t="shared" si="1696"/>
      </c>
      <c r="CR694" s="26">
        <f t="shared" si="1696"/>
      </c>
      <c r="CS694" s="26">
        <f t="shared" si="1696"/>
      </c>
      <c r="CT694" s="26">
        <f>+CT692+CT693</f>
      </c>
      <c r="CU694" s="323">
        <f>+SUM(CQ694:CT694)</f>
      </c>
      <c r="CV694" s="26">
        <f>+CV692+CV693</f>
      </c>
      <c r="CW694" s="26">
        <f>+CW692+CW693</f>
      </c>
      <c r="CX694" s="26">
        <f>+CX692+CX693</f>
      </c>
      <c r="CY694" s="26">
        <f>+CY692+CY693</f>
      </c>
      <c r="CZ694" s="323">
        <f>+SUM(CV694:CY694)</f>
      </c>
      <c r="DA694" s="26">
        <f>+DA692+DA693</f>
      </c>
      <c r="DB694" s="26">
        <f>+DB692+DB693</f>
      </c>
      <c r="DC694" s="26">
        <f>+DC692+DC693</f>
      </c>
      <c r="DD694" s="26">
        <f>+DD692+DD693</f>
      </c>
      <c r="DE694" s="1851">
        <f>+SUM(DA694:DD694)</f>
      </c>
      <c r="DF694" s="1777">
        <f>+DF692+DF693</f>
      </c>
      <c r="DG694" s="1777">
        <f>+DG692+DG693</f>
      </c>
      <c r="DH694" s="1777">
        <f>+DH692+DH693</f>
      </c>
      <c r="DI694" s="1777">
        <f>+DI692+DI693</f>
      </c>
      <c r="DJ694" s="1854">
        <f>+SUM(DF694:DI694)</f>
      </c>
      <c r="DK694" s="1941">
        <f t="shared" ref="DK694:DU694" si="1697">+DK692+DK693</f>
      </c>
      <c r="DL694" s="1777">
        <f t="shared" si="1697"/>
      </c>
      <c r="DM694" s="1777">
        <f t="shared" si="1697"/>
      </c>
      <c r="DN694" s="2354">
        <f t="shared" si="1697"/>
      </c>
      <c r="DO694" s="2354">
        <f t="shared" si="1697"/>
      </c>
      <c r="DP694" s="1777">
        <f t="shared" si="1697"/>
      </c>
      <c r="DQ694" s="1777">
        <f t="shared" si="1697"/>
      </c>
      <c r="DR694" s="1777">
        <f t="shared" si="1697"/>
      </c>
      <c r="DS694" s="2354">
        <f t="shared" si="1697"/>
      </c>
      <c r="DT694" s="2354">
        <f>SUM(DP694:DS694)</f>
      </c>
      <c r="DU694" s="1777">
        <f t="shared" si="1697"/>
      </c>
      <c r="DV694" s="1777">
        <f>+DV692+DV693</f>
      </c>
      <c r="DW694" s="1777">
        <f>+DW692+DW693</f>
      </c>
      <c r="DX694" s="2354">
        <f>+DX692+DX693</f>
      </c>
      <c r="DY694" s="2354">
        <f>SUM(DU694:DX694)</f>
      </c>
      <c r="DZ694" s="1777">
        <f>+DZ692+DZ693</f>
      </c>
      <c r="EA694" s="1777">
        <f>+EA692+EA693</f>
      </c>
      <c r="EB694" s="1777">
        <f>+EB692+EB693</f>
      </c>
      <c r="EC694" s="2354">
        <f>+EC692+EC693</f>
      </c>
      <c r="ED694" s="2354">
        <f>SUM(DZ694:EC694)</f>
      </c>
      <c r="EE694" s="1777">
        <f>+EE692+EE693</f>
      </c>
      <c r="EF694" s="1777">
        <f t="shared" ref="EF694" si="1698">+EF692+EF693</f>
      </c>
      <c r="EG694" s="1777">
        <f>+EG692+EG693</f>
      </c>
      <c r="EH694" s="2354">
        <f t="shared" ref="EH694:ES694" si="1699">+EH692+EH693</f>
      </c>
      <c r="EI694" s="1851">
        <f t="shared" si="1699"/>
      </c>
      <c r="EJ694" s="1851">
        <f t="shared" si="1699"/>
      </c>
      <c r="EK694" s="1851">
        <f t="shared" si="1699"/>
      </c>
      <c r="EL694" s="1851">
        <f t="shared" si="1699"/>
      </c>
      <c r="EM694" s="1851">
        <f t="shared" si="1699"/>
      </c>
      <c r="EN694" s="1851">
        <f t="shared" si="1699"/>
      </c>
      <c r="EO694" s="1851">
        <f t="shared" si="1699"/>
      </c>
      <c r="EP694" s="1851">
        <f t="shared" si="1699"/>
      </c>
      <c r="EQ694" s="1851">
        <f t="shared" si="1699"/>
      </c>
      <c r="ER694" s="1851">
        <f t="shared" si="1699"/>
      </c>
      <c r="ES694" s="1851">
        <f t="shared" si="1699"/>
      </c>
      <c r="ET694" s="1815"/>
      <c r="EU694" s="1815"/>
      <c r="EV694" s="1815"/>
      <c r="EW694" s="1815"/>
      <c r="EX694" s="1815"/>
    </row>
    <row r="695" spans="1:154">
      <c r="B695" s="334"/>
      <c r="C695" s="1989"/>
      <c r="D695" s="33"/>
      <c r="E695" s="33"/>
      <c r="F695" s="33"/>
      <c r="G695" s="33"/>
      <c r="H695" s="33"/>
      <c r="I695" s="31"/>
      <c r="J695" s="33"/>
      <c r="K695" s="33"/>
      <c r="L695" s="33"/>
      <c r="M695" s="33"/>
      <c r="N695" s="31"/>
      <c r="O695" s="33"/>
      <c r="P695" s="33"/>
      <c r="Q695" s="33"/>
      <c r="R695" s="33"/>
      <c r="S695" s="31"/>
      <c r="T695" s="33"/>
      <c r="U695" s="33"/>
      <c r="V695" s="33"/>
      <c r="W695" s="33"/>
      <c r="X695" s="312"/>
      <c r="Y695" s="33"/>
      <c r="Z695" s="33"/>
      <c r="AA695" s="33"/>
      <c r="AB695" s="33"/>
      <c r="AC695" s="312"/>
      <c r="AD695" s="33"/>
      <c r="AE695" s="33"/>
      <c r="AF695" s="33"/>
      <c r="AG695" s="33"/>
      <c r="AH695" s="312"/>
      <c r="AI695" s="33"/>
      <c r="AJ695" s="33"/>
      <c r="AK695" s="33"/>
      <c r="AL695" s="33"/>
      <c r="AM695" s="312"/>
      <c r="AN695" s="33"/>
      <c r="AO695" s="33"/>
      <c r="AP695" s="33"/>
      <c r="AQ695" s="33"/>
      <c r="AR695" s="312"/>
      <c r="AS695" s="28"/>
      <c r="AT695" s="28"/>
      <c r="AU695" s="28"/>
      <c r="AV695" s="28"/>
      <c r="AW695" s="312"/>
      <c r="AX695" s="28"/>
      <c r="AY695" s="28"/>
      <c r="AZ695" s="28"/>
      <c r="BA695" s="28"/>
      <c r="BB695" s="312"/>
      <c r="BC695" s="28"/>
      <c r="BD695" s="28"/>
      <c r="BE695" s="28"/>
      <c r="BF695" s="28"/>
      <c r="BG695" s="312"/>
      <c r="BH695" s="28"/>
      <c r="BI695" s="28"/>
      <c r="BJ695" s="28"/>
      <c r="BK695" s="28"/>
      <c r="BL695" s="312"/>
      <c r="BM695" s="28"/>
      <c r="BN695" s="28"/>
      <c r="BO695" s="28"/>
      <c r="BP695" s="28"/>
      <c r="BQ695" s="312"/>
      <c r="BR695" s="28"/>
      <c r="BS695" s="28"/>
      <c r="BT695" s="28"/>
      <c r="BU695" s="28"/>
      <c r="BV695" s="312"/>
      <c r="BW695" s="28"/>
      <c r="BX695" s="28"/>
      <c r="BY695" s="28"/>
      <c r="BZ695" s="28"/>
      <c r="CA695" s="312"/>
      <c r="CB695" s="28"/>
      <c r="CC695" s="28"/>
      <c r="CD695" s="28"/>
      <c r="CE695" s="28"/>
      <c r="CF695" s="312"/>
      <c r="CG695" s="28"/>
      <c r="CH695" s="28"/>
      <c r="CI695" s="28"/>
      <c r="CJ695" s="28"/>
      <c r="CK695" s="312"/>
      <c r="CL695" s="961"/>
      <c r="CM695" s="28"/>
      <c r="CN695" s="28"/>
      <c r="CO695" s="28"/>
      <c r="CP695" s="312"/>
      <c r="CQ695" s="933"/>
      <c r="CR695" s="933"/>
      <c r="CS695" s="933"/>
      <c r="CT695" s="933"/>
      <c r="CU695" s="312"/>
      <c r="CV695" s="933"/>
      <c r="CW695" s="933"/>
      <c r="CX695" s="933"/>
      <c r="CY695" s="933"/>
      <c r="CZ695" s="312"/>
      <c r="DA695" s="933"/>
      <c r="DB695" s="933"/>
      <c r="DC695" s="933"/>
      <c r="DD695" s="933"/>
      <c r="DE695" s="445"/>
      <c r="DF695" s="982"/>
      <c r="DG695" s="982"/>
      <c r="DH695" s="982"/>
      <c r="DI695" s="982"/>
      <c r="DJ695" s="1831"/>
      <c r="DK695" s="981"/>
      <c r="DL695" s="982"/>
      <c r="DM695" s="982"/>
      <c r="DN695" s="1875"/>
      <c r="DO695" s="1788"/>
      <c r="DP695" s="982"/>
      <c r="DQ695" s="982"/>
      <c r="DR695" s="982"/>
      <c r="DS695" s="1875"/>
      <c r="DT695" s="445"/>
      <c r="DU695" s="982">
        <f>DU694-DU691</f>
      </c>
      <c r="DV695" s="982">
        <f>DV694-DV691</f>
      </c>
      <c r="DW695" s="982">
        <f>DW694-DW691</f>
      </c>
      <c r="DX695" s="1875"/>
      <c r="DY695" s="445"/>
      <c r="DZ695" s="982"/>
      <c r="EA695" s="982"/>
      <c r="EB695" s="982"/>
      <c r="EC695" s="1875"/>
      <c r="ED695" s="2060"/>
      <c r="EE695" s="982"/>
      <c r="EF695" s="982"/>
      <c r="EG695" s="982"/>
      <c r="EH695" s="1875">
        <f>SUM(EE693:EH693)</f>
      </c>
      <c r="EI695" s="445"/>
      <c r="EJ695" s="445"/>
      <c r="EK695" s="445"/>
      <c r="EL695" s="445"/>
      <c r="EM695" s="445"/>
      <c r="EN695" s="445"/>
      <c r="EO695" s="445"/>
      <c r="EP695" s="445"/>
      <c r="EQ695" s="445"/>
      <c r="ER695" s="445"/>
      <c r="ES695" s="445"/>
      <c r="ET695" s="445"/>
      <c r="EU695" s="445"/>
      <c r="EV695" s="445"/>
      <c r="EW695" s="445"/>
      <c r="EX695" s="445"/>
    </row>
    <row r="696" spans="1:154">
      <c r="B696" s="453" t="s">
        <v>938</v>
      </c>
      <c r="C696" s="1989"/>
      <c r="D696" s="33"/>
      <c r="E696" s="33"/>
      <c r="F696" s="33"/>
      <c r="G696" s="33"/>
      <c r="H696" s="33"/>
      <c r="I696" s="31"/>
      <c r="J696" s="33"/>
      <c r="K696" s="33"/>
      <c r="L696" s="33"/>
      <c r="M696" s="33"/>
      <c r="N696" s="31"/>
      <c r="O696" s="33"/>
      <c r="P696" s="33"/>
      <c r="Q696" s="33"/>
      <c r="R696" s="33"/>
      <c r="S696" s="31"/>
      <c r="T696" s="33"/>
      <c r="U696" s="33"/>
      <c r="V696" s="33"/>
      <c r="W696" s="33"/>
      <c r="X696" s="312"/>
      <c r="Y696" s="33"/>
      <c r="Z696" s="33"/>
      <c r="AA696" s="33"/>
      <c r="AB696" s="33"/>
      <c r="AC696" s="312"/>
      <c r="AD696" s="33"/>
      <c r="AE696" s="33"/>
      <c r="AF696" s="33"/>
      <c r="AG696" s="33"/>
      <c r="AH696" s="312"/>
      <c r="AI696" s="33"/>
      <c r="AJ696" s="33"/>
      <c r="AK696" s="33"/>
      <c r="AL696" s="33"/>
      <c r="AM696" s="312"/>
      <c r="AN696" s="33"/>
      <c r="AO696" s="33"/>
      <c r="AP696" s="33"/>
      <c r="AQ696" s="33"/>
      <c r="AR696" s="312"/>
      <c r="AS696" s="28"/>
      <c r="AT696" s="28"/>
      <c r="AU696" s="28"/>
      <c r="AV696" s="28"/>
      <c r="AW696" s="312"/>
      <c r="AX696" s="28"/>
      <c r="AY696" s="28"/>
      <c r="AZ696" s="28"/>
      <c r="BA696" s="28"/>
      <c r="BB696" s="312"/>
      <c r="BC696" s="28"/>
      <c r="BD696" s="28"/>
      <c r="BE696" s="28"/>
      <c r="BF696" s="28"/>
      <c r="BG696" s="312"/>
      <c r="BH696" s="28"/>
      <c r="BI696" s="28"/>
      <c r="BJ696" s="28"/>
      <c r="BK696" s="28"/>
      <c r="BL696" s="312"/>
      <c r="BM696" s="28"/>
      <c r="BN696" s="28"/>
      <c r="BO696" s="28"/>
      <c r="BP696" s="28"/>
      <c r="BQ696" s="312"/>
      <c r="BR696" s="28"/>
      <c r="BS696" s="28"/>
      <c r="BT696" s="28"/>
      <c r="BU696" s="28"/>
      <c r="BV696" s="312"/>
      <c r="BW696" s="28"/>
      <c r="BX696" s="28"/>
      <c r="BY696" s="28"/>
      <c r="BZ696" s="28"/>
      <c r="CA696" s="312"/>
      <c r="CB696" s="28"/>
      <c r="CC696" s="28"/>
      <c r="CD696" s="28"/>
      <c r="CE696" s="28"/>
      <c r="CF696" s="312"/>
      <c r="CG696" s="28"/>
      <c r="CH696" s="28"/>
      <c r="CI696" s="28"/>
      <c r="CJ696" s="28"/>
      <c r="CK696" s="312"/>
      <c r="CL696" s="961"/>
      <c r="CM696" s="28"/>
      <c r="CN696" s="28"/>
      <c r="CO696" s="28"/>
      <c r="CP696" s="312"/>
      <c r="CQ696" s="933"/>
      <c r="CR696" s="933"/>
      <c r="CS696" s="933"/>
      <c r="CT696" s="933"/>
      <c r="CU696" s="312"/>
      <c r="CV696" s="933"/>
      <c r="CW696" s="933"/>
      <c r="CX696" s="933"/>
      <c r="CY696" s="933"/>
      <c r="CZ696" s="312"/>
      <c r="DA696" s="933"/>
      <c r="DB696" s="933"/>
      <c r="DC696" s="933"/>
      <c r="DD696" s="933"/>
      <c r="DE696" s="445"/>
      <c r="DF696" s="982"/>
      <c r="DG696" s="982"/>
      <c r="DH696" s="982"/>
      <c r="DI696" s="982"/>
      <c r="DJ696" s="1800"/>
      <c r="DK696" s="981"/>
      <c r="DL696" s="982"/>
      <c r="DM696" s="982"/>
      <c r="DN696" s="1875"/>
      <c r="DO696" s="1788"/>
      <c r="DP696" s="982"/>
      <c r="DQ696" s="982"/>
      <c r="DR696" s="982"/>
      <c r="DS696" s="1875"/>
      <c r="DT696" s="445"/>
      <c r="DU696" s="982"/>
      <c r="DV696" s="982"/>
      <c r="DW696" s="982"/>
      <c r="DX696" s="1875"/>
      <c r="DY696" s="445"/>
      <c r="DZ696" s="982"/>
      <c r="EA696" s="982"/>
      <c r="EB696" s="982"/>
      <c r="EC696" s="1875"/>
      <c r="ED696" s="2060"/>
      <c r="EE696" s="982"/>
      <c r="EF696" s="982"/>
      <c r="EG696" s="982"/>
      <c r="EH696" s="1875"/>
      <c r="EI696" s="445"/>
      <c r="EJ696" s="445"/>
      <c r="EK696" s="445"/>
      <c r="EL696" s="445"/>
      <c r="EM696" s="445"/>
      <c r="EN696" s="445"/>
      <c r="EO696" s="445"/>
      <c r="EP696" s="445"/>
      <c r="EQ696" s="445"/>
      <c r="ER696" s="445"/>
      <c r="ES696" s="445"/>
      <c r="ET696" s="445"/>
      <c r="EU696" s="445"/>
      <c r="EV696" s="445"/>
      <c r="EW696" s="445"/>
      <c r="EX696" s="445"/>
    </row>
    <row r="697" spans="1:154">
      <c r="B697" s="454" t="s">
        <v>925</v>
      </c>
      <c r="C697" s="1989"/>
      <c r="D697" s="33"/>
      <c r="E697" s="33"/>
      <c r="F697" s="33"/>
      <c r="G697" s="33"/>
      <c r="H697" s="33"/>
      <c r="I697" s="31"/>
      <c r="J697" s="33"/>
      <c r="K697" s="33"/>
      <c r="L697" s="33"/>
      <c r="M697" s="33"/>
      <c r="N697" s="31"/>
      <c r="O697" s="33"/>
      <c r="P697" s="33"/>
      <c r="Q697" s="33"/>
      <c r="R697" s="33"/>
      <c r="S697" s="31"/>
      <c r="T697" s="33"/>
      <c r="U697" s="33"/>
      <c r="V697" s="33"/>
      <c r="W697" s="33"/>
      <c r="X697" s="312"/>
      <c r="Y697" s="33"/>
      <c r="Z697" s="33"/>
      <c r="AA697" s="33"/>
      <c r="AB697" s="33"/>
      <c r="AC697" s="312"/>
      <c r="AD697" s="33"/>
      <c r="AE697" s="33"/>
      <c r="AF697" s="33"/>
      <c r="AG697" s="33"/>
      <c r="AH697" s="312"/>
      <c r="AI697" s="33"/>
      <c r="AJ697" s="33"/>
      <c r="AK697" s="33"/>
      <c r="AL697" s="33"/>
      <c r="AM697" s="312"/>
      <c r="AN697" s="33"/>
      <c r="AO697" s="33"/>
      <c r="AP697" s="33"/>
      <c r="AQ697" s="33"/>
      <c r="AR697" s="312"/>
      <c r="AS697" s="28"/>
      <c r="AT697" s="28"/>
      <c r="AU697" s="28"/>
      <c r="AV697" s="28"/>
      <c r="AW697" s="312"/>
      <c r="AX697" s="28"/>
      <c r="AY697" s="28"/>
      <c r="AZ697" s="28"/>
      <c r="BA697" s="28"/>
      <c r="BB697" s="312"/>
      <c r="BC697" s="28"/>
      <c r="BD697" s="28"/>
      <c r="BE697" s="28"/>
      <c r="BF697" s="28"/>
      <c r="BG697" s="312"/>
      <c r="BH697" s="28"/>
      <c r="BI697" s="28"/>
      <c r="BJ697" s="28"/>
      <c r="BK697" s="28"/>
      <c r="BL697" s="312"/>
      <c r="BM697" s="30"/>
      <c r="BN697" s="30"/>
      <c r="BO697" s="30"/>
      <c r="BP697" s="30"/>
      <c r="BQ697" s="308"/>
      <c r="BR697" s="30">
        <f t="shared" ref="BR697:CA698" si="1700">IF(BM692="NM","NM",IF(BR692="NM","NM",IF(BM692&lt;=0,"NM",IF(BR692=0,"NM",IF(ABS(BR692/BM692-1)&gt;2.5,"NM",IF((ABS(BR692-BM692)=ABS(ABS(BR692)-ABS(BM692))),(BR692/BM692-1),"NM"))))))</f>
      </c>
      <c r="BS697" s="30">
        <f t="shared" si="1700"/>
      </c>
      <c r="BT697" s="30">
        <f t="shared" si="1700"/>
      </c>
      <c r="BU697" s="30">
        <f t="shared" si="1700"/>
      </c>
      <c r="BV697" s="308">
        <f t="shared" si="1700"/>
      </c>
      <c r="BW697" s="30">
        <f t="shared" si="1700"/>
      </c>
      <c r="BX697" s="30">
        <f t="shared" si="1700"/>
      </c>
      <c r="BY697" s="30">
        <f t="shared" si="1700"/>
      </c>
      <c r="BZ697" s="30">
        <f t="shared" si="1700"/>
      </c>
      <c r="CA697" s="308">
        <f t="shared" si="1700"/>
      </c>
      <c r="CB697" s="30">
        <f>IF(BW692="NM","NM",IF(CB692="NM","NM",IF(BW692&lt;=0,"NM",IF(CB692=0,"NM",IF(ABS(CB692/BW692-1)&gt;2.5,"NM",IF((ABS(CB692-BW692)=ABS(ABS(CB692)-ABS(BW692))),(CB692/BW692-1),"NM"))))))</f>
      </c>
      <c r="CC697" s="30">
        <f>IF(BX692=0, "NA", CC692/BX692-1)</f>
      </c>
      <c r="CD697" s="30">
        <f t="shared" ref="CD697:CF698" si="1701">IF(BY692="NM","NM",IF(CD692="NM","NM",IF(BY692&lt;=0,"NM",IF(CD692=0,"NM",IF(ABS(CD692/BY692-1)&gt;2.5,"NM",IF((ABS(CD692-BY692)=ABS(ABS(CD692)-ABS(BY692))),(CD692/BY692-1),"NM"))))))</f>
      </c>
      <c r="CE697" s="30">
        <f t="shared" si="1701"/>
      </c>
      <c r="CF697" s="308">
        <f t="shared" si="1701"/>
      </c>
      <c r="CG697" s="30">
        <f t="shared" ref="CG697:CK698" si="1702">IF(CB692=0, "NA", CG692/CB692-1)</f>
      </c>
      <c r="CH697" s="30">
        <f t="shared" si="1702"/>
      </c>
      <c r="CI697" s="30">
        <f t="shared" si="1702"/>
      </c>
      <c r="CJ697" s="30">
        <f t="shared" si="1702"/>
      </c>
      <c r="CK697" s="308">
        <f t="shared" si="1702"/>
      </c>
      <c r="CL697" s="30">
        <f t="shared" ref="CL697:CO698" si="1703">IF(CG692=0, "NA", CL692/CG692-1)</f>
      </c>
      <c r="CM697" s="30">
        <f t="shared" si="1703"/>
      </c>
      <c r="CN697" s="30">
        <f t="shared" si="1703"/>
      </c>
      <c r="CO697" s="30">
        <f t="shared" si="1703"/>
      </c>
      <c r="CP697" s="308">
        <f t="shared" ref="CP697:CR698" si="1704">IF(CK692=0, "NA", CP692/CK692-1)</f>
      </c>
      <c r="CQ697" s="926">
        <f t="shared" si="1704"/>
      </c>
      <c r="CR697" s="926">
        <f t="shared" si="1704"/>
      </c>
      <c r="CS697" s="926">
        <f t="shared" ref="CS697:CX698" si="1705">IF(CN692=0, "NA", CS692/CN692-1)</f>
      </c>
      <c r="CT697" s="926">
        <f t="shared" si="1705"/>
      </c>
      <c r="CU697" s="308">
        <f t="shared" si="1705"/>
      </c>
      <c r="CV697" s="926">
        <f t="shared" si="1705"/>
      </c>
      <c r="CW697" s="926">
        <f t="shared" si="1705"/>
      </c>
      <c r="CX697" s="926">
        <f t="shared" si="1705"/>
      </c>
      <c r="CY697" s="926">
        <f t="shared" ref="CY697:DH698" si="1706">IF(CT692=0, "NA", CY692/CT692-1)</f>
      </c>
      <c r="CZ697" s="308">
        <f t="shared" si="1706"/>
      </c>
      <c r="DA697" s="926">
        <f t="shared" si="1706"/>
      </c>
      <c r="DB697" s="926">
        <f t="shared" si="1706"/>
      </c>
      <c r="DC697" s="926">
        <f t="shared" si="1706"/>
      </c>
      <c r="DD697" s="926">
        <f t="shared" si="1706"/>
      </c>
      <c r="DE697" s="308">
        <f t="shared" si="1706"/>
      </c>
      <c r="DF697" s="926">
        <f t="shared" si="1706"/>
      </c>
      <c r="DG697" s="926">
        <f t="shared" si="1706"/>
      </c>
      <c r="DH697" s="926">
        <f t="shared" si="1706"/>
      </c>
      <c r="DI697" s="926">
        <f t="shared" ref="DI697:DR698" si="1707">IF(DD692=0, "NA", DI692/DD692-1)</f>
      </c>
      <c r="DJ697" s="830">
        <f t="shared" si="1707"/>
      </c>
      <c r="DK697" s="958">
        <f t="shared" si="1707"/>
      </c>
      <c r="DL697" s="926">
        <f t="shared" si="1707"/>
      </c>
      <c r="DM697" s="926">
        <f t="shared" si="1707"/>
      </c>
      <c r="DN697" s="928">
        <f t="shared" si="1707"/>
      </c>
      <c r="DO697" s="409">
        <f t="shared" si="1707"/>
      </c>
      <c r="DP697" s="926">
        <f t="shared" si="1707"/>
      </c>
      <c r="DQ697" s="926">
        <f t="shared" si="1707"/>
      </c>
      <c r="DR697" s="926">
        <f t="shared" si="1707"/>
      </c>
      <c r="DS697" s="928">
        <f t="shared" ref="DS697:DW698" si="1708">IF(DN692=0, "NA", DS692/DN692-1)</f>
      </c>
      <c r="DT697" s="308">
        <f t="shared" si="1708"/>
      </c>
      <c r="DU697" s="926">
        <f t="shared" si="1708"/>
      </c>
      <c r="DV697" s="926">
        <f t="shared" si="1708"/>
      </c>
      <c r="DW697" s="926">
        <f t="shared" si="1708"/>
      </c>
      <c r="DX697" s="928">
        <f>IF(DS692=0, "NA", DX692/DS692-1)</f>
      </c>
      <c r="DY697" s="308">
        <f>IF(DT692=0, "NA", DY692/DT692-1)</f>
      </c>
      <c r="DZ697" s="926">
        <f t="shared" ref="DZ697:EH698" si="1709">IF(DU692=0, "NA", DZ692/DU692-1)</f>
      </c>
      <c r="EA697" s="926">
        <f t="shared" si="1709"/>
      </c>
      <c r="EB697" s="926">
        <f t="shared" si="1709"/>
      </c>
      <c r="EC697" s="928">
        <f t="shared" si="1709"/>
      </c>
      <c r="ED697" s="308">
        <f>IF(DY692=0, "NA", ED692/DY692-1)</f>
      </c>
      <c r="EE697" s="926">
        <f t="shared" si="1709"/>
      </c>
      <c r="EF697" s="926">
        <f t="shared" si="1709"/>
      </c>
      <c r="EG697" s="926">
        <f t="shared" si="1709"/>
      </c>
      <c r="EH697" s="928">
        <f t="shared" si="1709"/>
      </c>
      <c r="EI697" s="308">
        <f>IF(ED692=0, "NA", EI692/ED692-1)</f>
      </c>
      <c r="EJ697" s="308">
        <f t="shared" ref="EJ697:EN698" si="1710">IF(EI692=0, "NA", EJ692/EI692-1)</f>
      </c>
      <c r="EK697" s="308">
        <f t="shared" si="1710"/>
      </c>
      <c r="EL697" s="308">
        <f t="shared" si="1710"/>
      </c>
      <c r="EM697" s="308">
        <f t="shared" si="1710"/>
      </c>
      <c r="EN697" s="308">
        <f t="shared" si="1710"/>
      </c>
      <c r="EO697" s="308">
        <f t="shared" ref="EO697:EO698" si="1711">IF(EN692=0, "NA", EO692/EN692-1)</f>
      </c>
      <c r="EP697" s="308">
        <f t="shared" ref="EP697:EP698" si="1712">IF(EO692=0, "NA", EP692/EO692-1)</f>
      </c>
      <c r="EQ697" s="308">
        <f t="shared" ref="EQ697:EQ698" si="1713">IF(EP692=0, "NA", EQ692/EP692-1)</f>
      </c>
      <c r="ER697" s="308">
        <f t="shared" ref="ER697:ER698" si="1714">IF(EQ692=0, "NA", ER692/EQ692-1)</f>
      </c>
      <c r="ES697" s="308">
        <f t="shared" ref="ES697:ES698" si="1715">IF(ER692=0, "NA", ES692/ER692-1)</f>
      </c>
      <c r="ET697" s="308"/>
      <c r="EU697" s="308"/>
      <c r="EV697" s="308"/>
      <c r="EW697" s="308"/>
      <c r="EX697" s="308"/>
    </row>
    <row r="698" spans="1:154">
      <c r="B698" s="454" t="s">
        <v>412</v>
      </c>
      <c r="C698" s="1989"/>
      <c r="D698" s="33"/>
      <c r="E698" s="33"/>
      <c r="F698" s="33"/>
      <c r="G698" s="33"/>
      <c r="H698" s="33"/>
      <c r="I698" s="31"/>
      <c r="J698" s="33"/>
      <c r="K698" s="33"/>
      <c r="L698" s="33"/>
      <c r="M698" s="33"/>
      <c r="N698" s="31"/>
      <c r="O698" s="33"/>
      <c r="P698" s="33"/>
      <c r="Q698" s="33"/>
      <c r="R698" s="33"/>
      <c r="S698" s="31"/>
      <c r="T698" s="33"/>
      <c r="U698" s="33"/>
      <c r="V698" s="33"/>
      <c r="W698" s="33"/>
      <c r="X698" s="312"/>
      <c r="Y698" s="33"/>
      <c r="Z698" s="33"/>
      <c r="AA698" s="33"/>
      <c r="AB698" s="33"/>
      <c r="AC698" s="312"/>
      <c r="AD698" s="33"/>
      <c r="AE698" s="33"/>
      <c r="AF698" s="33"/>
      <c r="AG698" s="33"/>
      <c r="AH698" s="312"/>
      <c r="AI698" s="33"/>
      <c r="AJ698" s="33"/>
      <c r="AK698" s="33"/>
      <c r="AL698" s="33"/>
      <c r="AM698" s="312"/>
      <c r="AN698" s="33"/>
      <c r="AO698" s="33"/>
      <c r="AP698" s="33"/>
      <c r="AQ698" s="33"/>
      <c r="AR698" s="312"/>
      <c r="AS698" s="28"/>
      <c r="AT698" s="28"/>
      <c r="AU698" s="28"/>
      <c r="AV698" s="28"/>
      <c r="AW698" s="312"/>
      <c r="AX698" s="28"/>
      <c r="AY698" s="28"/>
      <c r="AZ698" s="28"/>
      <c r="BA698" s="28"/>
      <c r="BB698" s="312"/>
      <c r="BC698" s="28"/>
      <c r="BD698" s="28"/>
      <c r="BE698" s="28"/>
      <c r="BF698" s="28"/>
      <c r="BG698" s="312"/>
      <c r="BH698" s="28"/>
      <c r="BI698" s="28"/>
      <c r="BJ698" s="28"/>
      <c r="BK698" s="28"/>
      <c r="BL698" s="312"/>
      <c r="BM698" s="30"/>
      <c r="BN698" s="30"/>
      <c r="BO698" s="30"/>
      <c r="BP698" s="30"/>
      <c r="BQ698" s="308"/>
      <c r="BR698" s="30">
        <f t="shared" si="1700"/>
      </c>
      <c r="BS698" s="30">
        <f t="shared" si="1700"/>
      </c>
      <c r="BT698" s="30">
        <f t="shared" si="1700"/>
      </c>
      <c r="BU698" s="30">
        <f t="shared" si="1700"/>
      </c>
      <c r="BV698" s="308">
        <f t="shared" si="1700"/>
      </c>
      <c r="BW698" s="30">
        <f t="shared" si="1700"/>
      </c>
      <c r="BX698" s="30">
        <f t="shared" si="1700"/>
      </c>
      <c r="BY698" s="30">
        <f t="shared" si="1700"/>
      </c>
      <c r="BZ698" s="30">
        <f t="shared" si="1700"/>
      </c>
      <c r="CA698" s="308">
        <f t="shared" si="1700"/>
      </c>
      <c r="CB698" s="30">
        <f>IF(BW693="NM","NM",IF(CB693="NM","NM",IF(BW693&lt;=0,"NM",IF(CB693=0,"NM",IF(ABS(CB693/BW693-1)&gt;2.5,"NM",IF((ABS(CB693-BW693)=ABS(ABS(CB693)-ABS(BW693))),(CB693/BW693-1),"NM"))))))</f>
      </c>
      <c r="CC698" s="30">
        <f>IF(BX693=0, "NA", CC693/BX693-1)</f>
      </c>
      <c r="CD698" s="30">
        <f t="shared" si="1701"/>
      </c>
      <c r="CE698" s="30">
        <f t="shared" si="1701"/>
      </c>
      <c r="CF698" s="308">
        <f t="shared" si="1701"/>
      </c>
      <c r="CG698" s="30">
        <f t="shared" si="1702"/>
      </c>
      <c r="CH698" s="30">
        <f t="shared" si="1702"/>
      </c>
      <c r="CI698" s="30">
        <f t="shared" si="1702"/>
      </c>
      <c r="CJ698" s="30">
        <f t="shared" si="1702"/>
      </c>
      <c r="CK698" s="308">
        <f t="shared" si="1702"/>
      </c>
      <c r="CL698" s="30">
        <f t="shared" si="1703"/>
      </c>
      <c r="CM698" s="30">
        <f t="shared" si="1703"/>
      </c>
      <c r="CN698" s="30">
        <f t="shared" si="1703"/>
      </c>
      <c r="CO698" s="30">
        <f t="shared" si="1703"/>
      </c>
      <c r="CP698" s="308">
        <f t="shared" si="1704"/>
      </c>
      <c r="CQ698" s="926">
        <f t="shared" si="1704"/>
      </c>
      <c r="CR698" s="926">
        <f t="shared" si="1704"/>
      </c>
      <c r="CS698" s="926">
        <f t="shared" si="1705"/>
      </c>
      <c r="CT698" s="926">
        <f t="shared" si="1705"/>
      </c>
      <c r="CU698" s="308">
        <f t="shared" si="1705"/>
      </c>
      <c r="CV698" s="926">
        <f t="shared" si="1705"/>
      </c>
      <c r="CW698" s="926">
        <f t="shared" si="1705"/>
      </c>
      <c r="CX698" s="926">
        <f t="shared" si="1705"/>
      </c>
      <c r="CY698" s="926">
        <f t="shared" si="1706"/>
      </c>
      <c r="CZ698" s="308">
        <f t="shared" si="1706"/>
      </c>
      <c r="DA698" s="926">
        <f t="shared" si="1706"/>
      </c>
      <c r="DB698" s="926">
        <f t="shared" si="1706"/>
      </c>
      <c r="DC698" s="926">
        <f t="shared" si="1706"/>
      </c>
      <c r="DD698" s="926">
        <f t="shared" si="1706"/>
      </c>
      <c r="DE698" s="308">
        <f t="shared" si="1706"/>
      </c>
      <c r="DF698" s="926">
        <f t="shared" si="1706"/>
      </c>
      <c r="DG698" s="926">
        <f t="shared" si="1706"/>
      </c>
      <c r="DH698" s="926">
        <f t="shared" si="1706"/>
      </c>
      <c r="DI698" s="926">
        <f t="shared" si="1707"/>
      </c>
      <c r="DJ698" s="830">
        <f t="shared" si="1707"/>
      </c>
      <c r="DK698" s="958">
        <f t="shared" si="1707"/>
      </c>
      <c r="DL698" s="926">
        <f t="shared" si="1707"/>
      </c>
      <c r="DM698" s="926">
        <f t="shared" si="1707"/>
      </c>
      <c r="DN698" s="928">
        <f t="shared" si="1707"/>
      </c>
      <c r="DO698" s="409">
        <f t="shared" si="1707"/>
      </c>
      <c r="DP698" s="926">
        <f t="shared" si="1707"/>
      </c>
      <c r="DQ698" s="926">
        <f t="shared" si="1707"/>
      </c>
      <c r="DR698" s="926">
        <f t="shared" si="1707"/>
      </c>
      <c r="DS698" s="928">
        <f t="shared" si="1708"/>
      </c>
      <c r="DT698" s="308">
        <f t="shared" si="1708"/>
      </c>
      <c r="DU698" s="926">
        <f t="shared" si="1708"/>
      </c>
      <c r="DV698" s="926">
        <f t="shared" si="1708"/>
      </c>
      <c r="DW698" s="926">
        <f t="shared" si="1708"/>
      </c>
      <c r="DX698" s="928">
        <f>IF(DS693=0, "NA", DX693/DS693-1)</f>
      </c>
      <c r="DY698" s="308">
        <f>IF(DT693=0, "NA", DY693/DT693-1)</f>
      </c>
      <c r="DZ698" s="926">
        <f t="shared" si="1709"/>
      </c>
      <c r="EA698" s="926">
        <f t="shared" si="1709"/>
      </c>
      <c r="EB698" s="926">
        <f t="shared" si="1709"/>
      </c>
      <c r="EC698" s="928">
        <f t="shared" si="1709"/>
      </c>
      <c r="ED698" s="308">
        <f>IF(DY693=0, "NA", ED693/DY693-1)</f>
      </c>
      <c r="EE698" s="926">
        <f t="shared" si="1709"/>
      </c>
      <c r="EF698" s="926">
        <f t="shared" si="1709"/>
      </c>
      <c r="EG698" s="926">
        <f t="shared" si="1709"/>
      </c>
      <c r="EH698" s="928">
        <f t="shared" si="1709"/>
      </c>
      <c r="EI698" s="308">
        <f>IF(ED693=0, "NA", EI693/ED693-1)</f>
      </c>
      <c r="EJ698" s="308">
        <f t="shared" si="1710"/>
      </c>
      <c r="EK698" s="308">
        <f t="shared" si="1710"/>
      </c>
      <c r="EL698" s="308">
        <f t="shared" si="1710"/>
      </c>
      <c r="EM698" s="308">
        <f t="shared" si="1710"/>
      </c>
      <c r="EN698" s="308">
        <f t="shared" si="1710"/>
      </c>
      <c r="EO698" s="308">
        <f t="shared" si="1711"/>
      </c>
      <c r="EP698" s="308">
        <f t="shared" si="1712"/>
      </c>
      <c r="EQ698" s="308">
        <f t="shared" si="1713"/>
      </c>
      <c r="ER698" s="308">
        <f t="shared" si="1714"/>
      </c>
      <c r="ES698" s="308">
        <f t="shared" si="1715"/>
      </c>
      <c r="ET698" s="308"/>
      <c r="EU698" s="308"/>
      <c r="EV698" s="308"/>
      <c r="EW698" s="308"/>
      <c r="EX698" s="308"/>
    </row>
    <row r="699" spans="1:154">
      <c r="B699" s="454" t="s">
        <v>256</v>
      </c>
      <c r="C699" s="1989"/>
      <c r="D699" s="33"/>
      <c r="E699" s="33"/>
      <c r="F699" s="33"/>
      <c r="G699" s="33"/>
      <c r="H699" s="33"/>
      <c r="I699" s="31"/>
      <c r="J699" s="33"/>
      <c r="K699" s="33"/>
      <c r="L699" s="33"/>
      <c r="M699" s="33"/>
      <c r="N699" s="31"/>
      <c r="O699" s="33"/>
      <c r="P699" s="33"/>
      <c r="Q699" s="33"/>
      <c r="R699" s="33"/>
      <c r="S699" s="31"/>
      <c r="T699" s="33"/>
      <c r="U699" s="33"/>
      <c r="V699" s="33"/>
      <c r="W699" s="33"/>
      <c r="X699" s="312"/>
      <c r="Y699" s="33"/>
      <c r="Z699" s="33"/>
      <c r="AA699" s="33"/>
      <c r="AB699" s="33"/>
      <c r="AC699" s="312"/>
      <c r="AD699" s="33"/>
      <c r="AE699" s="33"/>
      <c r="AF699" s="33"/>
      <c r="AG699" s="33"/>
      <c r="AH699" s="312"/>
      <c r="AI699" s="33"/>
      <c r="AJ699" s="33"/>
      <c r="AK699" s="33"/>
      <c r="AL699" s="33"/>
      <c r="AM699" s="312"/>
      <c r="AN699" s="33"/>
      <c r="AO699" s="33"/>
      <c r="AP699" s="33"/>
      <c r="AQ699" s="33"/>
      <c r="AR699" s="312"/>
      <c r="AS699" s="28"/>
      <c r="AT699" s="28"/>
      <c r="AU699" s="28"/>
      <c r="AV699" s="28"/>
      <c r="AW699" s="312"/>
      <c r="AX699" s="28"/>
      <c r="AY699" s="28"/>
      <c r="AZ699" s="28"/>
      <c r="BA699" s="28"/>
      <c r="BB699" s="312"/>
      <c r="BC699" s="28"/>
      <c r="BD699" s="28"/>
      <c r="BE699" s="28"/>
      <c r="BF699" s="28"/>
      <c r="BG699" s="312"/>
      <c r="BH699" s="28"/>
      <c r="BI699" s="28"/>
      <c r="BJ699" s="28"/>
      <c r="BK699" s="28"/>
      <c r="BL699" s="312"/>
      <c r="BM699" s="41"/>
      <c r="BN699" s="41"/>
      <c r="BO699" s="41"/>
      <c r="BP699" s="30"/>
      <c r="BQ699" s="308"/>
      <c r="BR699" s="30">
        <f t="shared" ref="BR699:CB699" si="1716">IF(ISNUMBER(BR698),(1+BR698)/(1+BR$21)-1,"NM")</f>
      </c>
      <c r="BS699" s="30">
        <f t="shared" si="1716"/>
      </c>
      <c r="BT699" s="30">
        <f t="shared" si="1716"/>
      </c>
      <c r="BU699" s="30">
        <f t="shared" si="1716"/>
      </c>
      <c r="BV699" s="315">
        <f t="shared" si="1716"/>
      </c>
      <c r="BW699" s="30">
        <f t="shared" si="1716"/>
      </c>
      <c r="BX699" s="30">
        <f t="shared" si="1716"/>
      </c>
      <c r="BY699" s="30">
        <f t="shared" si="1716"/>
      </c>
      <c r="BZ699" s="30">
        <f t="shared" si="1716"/>
      </c>
      <c r="CA699" s="315">
        <f t="shared" si="1716"/>
      </c>
      <c r="CB699" s="30">
        <f t="shared" si="1716"/>
      </c>
      <c r="CC699" s="30">
        <f>CC698-CC$21</f>
      </c>
      <c r="CD699" s="30">
        <f>IF(ISNUMBER(CD698),(1+CD698)/(1+CD$21)-1,"NM")</f>
      </c>
      <c r="CE699" s="30">
        <f>IF(ISNUMBER(CE698),(1+CE698)/(1+CE$21)-1,"NM")</f>
      </c>
      <c r="CF699" s="315">
        <f>IF(ISNUMBER(CF698),(1+CF698)/(1+CF$21)-1,"NM")</f>
      </c>
      <c r="CG699" s="30">
        <f t="shared" ref="CG699:CN699" si="1717">CG698-CG$21</f>
      </c>
      <c r="CH699" s="30">
        <f t="shared" si="1717"/>
      </c>
      <c r="CI699" s="30">
        <f t="shared" si="1717"/>
      </c>
      <c r="CJ699" s="30">
        <f t="shared" si="1717"/>
      </c>
      <c r="CK699" s="315">
        <f t="shared" si="1717"/>
      </c>
      <c r="CL699" s="30">
        <f t="shared" si="1717"/>
      </c>
      <c r="CM699" s="30">
        <f t="shared" si="1717"/>
      </c>
      <c r="CN699" s="30">
        <f t="shared" si="1717"/>
      </c>
      <c r="CO699" s="30">
        <f>CO698-CO$21</f>
      </c>
      <c r="CP699" s="315">
        <f t="shared" ref="CP699:CU699" si="1718">CP698-CP$21</f>
      </c>
      <c r="CQ699" s="926">
        <f t="shared" si="1718"/>
      </c>
      <c r="CR699" s="926">
        <f t="shared" si="1718"/>
      </c>
      <c r="CS699" s="926">
        <f t="shared" si="1718"/>
      </c>
      <c r="CT699" s="926">
        <f>CT698-CT$21</f>
      </c>
      <c r="CU699" s="315">
        <f t="shared" si="1718"/>
      </c>
      <c r="CV699" s="926">
        <f t="shared" ref="CV699:EI699" si="1719">CV698-CV$21</f>
      </c>
      <c r="CW699" s="926">
        <f t="shared" si="1719"/>
      </c>
      <c r="CX699" s="926">
        <f t="shared" si="1719"/>
      </c>
      <c r="CY699" s="926">
        <f t="shared" si="1719"/>
      </c>
      <c r="CZ699" s="315">
        <f t="shared" si="1719"/>
      </c>
      <c r="DA699" s="926">
        <f t="shared" si="1719"/>
      </c>
      <c r="DB699" s="926">
        <f t="shared" si="1719"/>
      </c>
      <c r="DC699" s="926">
        <f t="shared" si="1719"/>
      </c>
      <c r="DD699" s="926">
        <f t="shared" si="1719"/>
      </c>
      <c r="DE699" s="308">
        <f t="shared" si="1719"/>
      </c>
      <c r="DF699" s="926">
        <f t="shared" si="1719"/>
      </c>
      <c r="DG699" s="926">
        <f t="shared" si="1719"/>
      </c>
      <c r="DH699" s="926">
        <f t="shared" si="1719"/>
      </c>
      <c r="DI699" s="926">
        <f t="shared" si="1719"/>
      </c>
      <c r="DJ699" s="830">
        <f t="shared" si="1719"/>
      </c>
      <c r="DK699" s="958">
        <f t="shared" si="1719"/>
      </c>
      <c r="DL699" s="926">
        <f t="shared" si="1719"/>
      </c>
      <c r="DM699" s="926">
        <f t="shared" si="1719"/>
      </c>
      <c r="DN699" s="928">
        <f t="shared" si="1719"/>
      </c>
      <c r="DO699" s="409">
        <f t="shared" si="1719"/>
      </c>
      <c r="DP699" s="926">
        <f t="shared" si="1719"/>
      </c>
      <c r="DQ699" s="926">
        <f t="shared" si="1719"/>
      </c>
      <c r="DR699" s="926">
        <f t="shared" si="1719"/>
      </c>
      <c r="DS699" s="928">
        <f t="shared" si="1719"/>
      </c>
      <c r="DT699" s="308">
        <f t="shared" si="1719"/>
      </c>
      <c r="DU699" s="926">
        <f>DU698-(-4.5%)</f>
      </c>
      <c r="DV699" s="926">
        <f t="shared" si="1719"/>
      </c>
      <c r="DW699" s="926">
        <f>DW698-DW$21</f>
      </c>
      <c r="DX699" s="928">
        <f>DX698-DX$21</f>
      </c>
      <c r="DY699" s="308">
        <f>DY698-DY$21</f>
      </c>
      <c r="DZ699" s="926">
        <f>DZ698-(-0.2%)</f>
      </c>
      <c r="EA699" s="926">
        <f>EA698-(-3.4%)</f>
      </c>
      <c r="EB699" s="926">
        <f>EB698-(-1.9%)</f>
      </c>
      <c r="EC699" s="926">
        <f>EC698-(-2.5%)</f>
      </c>
      <c r="ED699" s="308">
        <f>ED698-ED$21</f>
      </c>
      <c r="EE699" s="926">
        <f>EE698-(-0.2%)</f>
      </c>
      <c r="EF699" s="926">
        <f>EF698-(-3.4%)</f>
      </c>
      <c r="EG699" s="926">
        <f>EG698-(-1.9%)</f>
      </c>
      <c r="EH699" s="928">
        <f>EH698-EH$21</f>
      </c>
      <c r="EI699" s="308">
        <f t="shared" si="1719"/>
      </c>
      <c r="EJ699" s="308">
        <f>EJ698-EJ$21</f>
      </c>
      <c r="EK699" s="308">
        <f>EK698-EK$21</f>
      </c>
      <c r="EL699" s="308">
        <f>EL698-EL$21</f>
      </c>
      <c r="EM699" s="308">
        <f>EM698-EM$21</f>
      </c>
      <c r="EN699" s="308">
        <f>EN698-EN$21</f>
      </c>
      <c r="EO699" s="308">
        <f t="shared" ref="EO699:ES699" si="1720">EO698-EO$21</f>
      </c>
      <c r="EP699" s="308">
        <f t="shared" si="1720"/>
      </c>
      <c r="EQ699" s="308">
        <f t="shared" si="1720"/>
      </c>
      <c r="ER699" s="308">
        <f t="shared" si="1720"/>
      </c>
      <c r="ES699" s="308">
        <f t="shared" si="1720"/>
      </c>
      <c r="ET699" s="308"/>
      <c r="EU699" s="308"/>
      <c r="EV699" s="308"/>
      <c r="EW699" s="308"/>
      <c r="EX699" s="308"/>
    </row>
    <row r="700" spans="1:154">
      <c r="B700" s="454" t="s">
        <v>413</v>
      </c>
      <c r="C700" s="1989"/>
      <c r="D700" s="33"/>
      <c r="E700" s="33"/>
      <c r="F700" s="33"/>
      <c r="G700" s="33"/>
      <c r="H700" s="33"/>
      <c r="I700" s="31"/>
      <c r="J700" s="33"/>
      <c r="K700" s="33"/>
      <c r="L700" s="33"/>
      <c r="M700" s="33"/>
      <c r="N700" s="31"/>
      <c r="O700" s="33"/>
      <c r="P700" s="33"/>
      <c r="Q700" s="33"/>
      <c r="R700" s="33"/>
      <c r="S700" s="31"/>
      <c r="T700" s="33"/>
      <c r="U700" s="33"/>
      <c r="V700" s="33"/>
      <c r="W700" s="33"/>
      <c r="X700" s="312"/>
      <c r="Y700" s="33"/>
      <c r="Z700" s="33"/>
      <c r="AA700" s="33"/>
      <c r="AB700" s="33"/>
      <c r="AC700" s="312"/>
      <c r="AD700" s="33"/>
      <c r="AE700" s="33"/>
      <c r="AF700" s="33"/>
      <c r="AG700" s="33"/>
      <c r="AH700" s="312"/>
      <c r="AI700" s="33"/>
      <c r="AJ700" s="33"/>
      <c r="AK700" s="33"/>
      <c r="AL700" s="33"/>
      <c r="AM700" s="312"/>
      <c r="AN700" s="33"/>
      <c r="AO700" s="33"/>
      <c r="AP700" s="33"/>
      <c r="AQ700" s="33"/>
      <c r="AR700" s="312"/>
      <c r="AS700" s="28"/>
      <c r="AT700" s="28"/>
      <c r="AU700" s="28"/>
      <c r="AV700" s="28"/>
      <c r="AW700" s="312"/>
      <c r="AX700" s="28"/>
      <c r="AY700" s="28"/>
      <c r="AZ700" s="28"/>
      <c r="BA700" s="28"/>
      <c r="BB700" s="312"/>
      <c r="BC700" s="28"/>
      <c r="BD700" s="28"/>
      <c r="BE700" s="28"/>
      <c r="BF700" s="28"/>
      <c r="BG700" s="312"/>
      <c r="BH700" s="28"/>
      <c r="BI700" s="28"/>
      <c r="BJ700" s="28"/>
      <c r="BK700" s="28"/>
      <c r="BL700" s="312"/>
      <c r="BM700" s="30"/>
      <c r="BN700" s="30"/>
      <c r="BO700" s="30"/>
      <c r="BP700" s="30"/>
      <c r="BQ700" s="308"/>
      <c r="BR700" s="30">
        <f t="shared" ref="BR700:CB700" si="1721">IF(BM694="NM","NM",IF(BR694="NM","NM",IF(BM694&lt;=0,"NM",IF(BR694=0,"NM",IF(ABS(BR694/BM694-1)&gt;2.5,"NM",IF((ABS(BR694-BM694)=ABS(ABS(BR694)-ABS(BM694))),(BR694/BM694-1),"NM"))))))</f>
      </c>
      <c r="BS700" s="30">
        <f t="shared" si="1721"/>
      </c>
      <c r="BT700" s="30">
        <f t="shared" si="1721"/>
      </c>
      <c r="BU700" s="30">
        <f t="shared" si="1721"/>
      </c>
      <c r="BV700" s="308">
        <f t="shared" si="1721"/>
      </c>
      <c r="BW700" s="30">
        <f t="shared" si="1721"/>
      </c>
      <c r="BX700" s="30">
        <f t="shared" si="1721"/>
      </c>
      <c r="BY700" s="30">
        <f t="shared" si="1721"/>
      </c>
      <c r="BZ700" s="30">
        <f t="shared" si="1721"/>
      </c>
      <c r="CA700" s="308">
        <f t="shared" si="1721"/>
      </c>
      <c r="CB700" s="30">
        <f t="shared" si="1721"/>
      </c>
      <c r="CC700" s="30">
        <f>IF(BX694=0, "NA", CC694/BX694-1)</f>
      </c>
      <c r="CD700" s="30">
        <f>IF(BY694="NM","NM",IF(CD694="NM","NM",IF(BY694&lt;=0,"NM",IF(CD694=0,"NM",IF(ABS(CD694/BY694-1)&gt;2.5,"NM",IF((ABS(CD694-BY694)=ABS(ABS(CD694)-ABS(BY694))),(CD694/BY694-1),"NM"))))))</f>
      </c>
      <c r="CE700" s="30">
        <f>IF(BZ694="NM","NM",IF(CE694="NM","NM",IF(BZ694&lt;=0,"NM",IF(CE694=0,"NM",IF(ABS(CE694/BZ694-1)&gt;2.5,"NM",IF((ABS(CE694-BZ694)=ABS(ABS(CE694)-ABS(BZ694))),(CE694/BZ694-1),"NM"))))))</f>
      </c>
      <c r="CF700" s="308">
        <f>IF(CA694="NM","NM",IF(CF694="NM","NM",IF(CA694&lt;=0,"NM",IF(CF694=0,"NM",IF(ABS(CF694/CA694-1)&gt;2.5,"NM",IF((ABS(CF694-CA694)=ABS(ABS(CF694)-ABS(CA694))),(CF694/CA694-1),"NM"))))))</f>
      </c>
      <c r="CG700" s="30">
        <f t="shared" ref="CG700:CX700" si="1722">IF(CB694=0, "NA", CG694/CB694-1)</f>
      </c>
      <c r="CH700" s="30">
        <f t="shared" si="1722"/>
      </c>
      <c r="CI700" s="30">
        <f t="shared" si="1722"/>
      </c>
      <c r="CJ700" s="30">
        <f t="shared" si="1722"/>
      </c>
      <c r="CK700" s="308">
        <f t="shared" si="1722"/>
      </c>
      <c r="CL700" s="30">
        <f t="shared" si="1722"/>
      </c>
      <c r="CM700" s="30">
        <f t="shared" si="1722"/>
      </c>
      <c r="CN700" s="30">
        <f t="shared" si="1722"/>
      </c>
      <c r="CO700" s="30">
        <f t="shared" si="1722"/>
      </c>
      <c r="CP700" s="308">
        <f t="shared" si="1722"/>
      </c>
      <c r="CQ700" s="926">
        <f t="shared" si="1722"/>
      </c>
      <c r="CR700" s="926">
        <f t="shared" si="1722"/>
      </c>
      <c r="CS700" s="926">
        <f t="shared" si="1722"/>
      </c>
      <c r="CT700" s="926">
        <f t="shared" si="1722"/>
      </c>
      <c r="CU700" s="308">
        <f t="shared" si="1722"/>
      </c>
      <c r="CV700" s="926">
        <f t="shared" si="1722"/>
      </c>
      <c r="CW700" s="926">
        <f t="shared" si="1722"/>
      </c>
      <c r="CX700" s="926">
        <f t="shared" si="1722"/>
      </c>
      <c r="CY700" s="926">
        <f t="shared" ref="CY700:DW700" si="1723">IF(CT694=0, "NA", CY694/CT694-1)</f>
      </c>
      <c r="CZ700" s="308">
        <f t="shared" si="1723"/>
      </c>
      <c r="DA700" s="926">
        <f t="shared" si="1723"/>
      </c>
      <c r="DB700" s="926">
        <f t="shared" si="1723"/>
      </c>
      <c r="DC700" s="926">
        <f t="shared" si="1723"/>
      </c>
      <c r="DD700" s="926">
        <f t="shared" si="1723"/>
      </c>
      <c r="DE700" s="308">
        <f t="shared" si="1723"/>
      </c>
      <c r="DF700" s="926">
        <f t="shared" si="1723"/>
      </c>
      <c r="DG700" s="926">
        <f t="shared" si="1723"/>
      </c>
      <c r="DH700" s="926">
        <f t="shared" si="1723"/>
      </c>
      <c r="DI700" s="926">
        <f t="shared" si="1723"/>
      </c>
      <c r="DJ700" s="830">
        <f t="shared" si="1723"/>
      </c>
      <c r="DK700" s="958">
        <f t="shared" si="1723"/>
      </c>
      <c r="DL700" s="926">
        <f t="shared" si="1723"/>
      </c>
      <c r="DM700" s="926">
        <f t="shared" si="1723"/>
      </c>
      <c r="DN700" s="928">
        <f t="shared" si="1723"/>
      </c>
      <c r="DO700" s="409">
        <f t="shared" si="1723"/>
      </c>
      <c r="DP700" s="926">
        <f t="shared" si="1723"/>
      </c>
      <c r="DQ700" s="926">
        <f t="shared" si="1723"/>
      </c>
      <c r="DR700" s="926">
        <f t="shared" si="1723"/>
      </c>
      <c r="DS700" s="928">
        <f t="shared" si="1723"/>
      </c>
      <c r="DT700" s="308">
        <f t="shared" si="1723"/>
      </c>
      <c r="DU700" s="926">
        <f t="shared" si="1723"/>
      </c>
      <c r="DV700" s="926">
        <f t="shared" si="1723"/>
      </c>
      <c r="DW700" s="926">
        <f t="shared" si="1723"/>
      </c>
      <c r="DX700" s="928">
        <f t="shared" ref="DX700:EH700" si="1724">IF(DS694=0, "NA", DX694/DS694-1)</f>
      </c>
      <c r="DY700" s="308">
        <f t="shared" si="1724"/>
      </c>
      <c r="DZ700" s="926">
        <f t="shared" si="1724"/>
      </c>
      <c r="EA700" s="926">
        <f t="shared" si="1724"/>
      </c>
      <c r="EB700" s="926">
        <f t="shared" si="1724"/>
      </c>
      <c r="EC700" s="928">
        <f t="shared" si="1724"/>
      </c>
      <c r="ED700" s="308">
        <f t="shared" si="1724"/>
      </c>
      <c r="EE700" s="926">
        <f t="shared" si="1724"/>
      </c>
      <c r="EF700" s="926">
        <f t="shared" si="1724"/>
      </c>
      <c r="EG700" s="926">
        <f t="shared" si="1724"/>
      </c>
      <c r="EH700" s="928">
        <f t="shared" si="1724"/>
      </c>
      <c r="EI700" s="308">
        <f>IF(ED694=0, "NA", EI694/ED694-1)</f>
      </c>
      <c r="EJ700" s="308">
        <f t="shared" ref="EJ700:EN700" si="1725">IF(EI694=0, "NA", EJ694/EI694-1)</f>
      </c>
      <c r="EK700" s="308">
        <f t="shared" si="1725"/>
      </c>
      <c r="EL700" s="308">
        <f t="shared" si="1725"/>
      </c>
      <c r="EM700" s="308">
        <f t="shared" si="1725"/>
      </c>
      <c r="EN700" s="308">
        <f t="shared" si="1725"/>
      </c>
      <c r="EO700" s="308">
        <f t="shared" ref="EO700" si="1726">IF(EN694=0, "NA", EO694/EN694-1)</f>
      </c>
      <c r="EP700" s="308">
        <f t="shared" ref="EP700" si="1727">IF(EO694=0, "NA", EP694/EO694-1)</f>
      </c>
      <c r="EQ700" s="308">
        <f t="shared" ref="EQ700" si="1728">IF(EP694=0, "NA", EQ694/EP694-1)</f>
      </c>
      <c r="ER700" s="308">
        <f t="shared" ref="ER700" si="1729">IF(EQ694=0, "NA", ER694/EQ694-1)</f>
      </c>
      <c r="ES700" s="308">
        <f t="shared" ref="ES700" si="1730">IF(ER694=0, "NA", ES694/ER694-1)</f>
      </c>
      <c r="ET700" s="308"/>
      <c r="EU700" s="308"/>
      <c r="EV700" s="308"/>
      <c r="EW700" s="308"/>
      <c r="EX700" s="308"/>
    </row>
    <row r="701" spans="1:154" ht="12.75" customHeight="1" outlineLevel="1">
      <c r="B701" s="341"/>
      <c r="C701" s="1989"/>
      <c r="D701" s="28"/>
      <c r="E701" s="28"/>
      <c r="F701" s="28"/>
      <c r="G701" s="28"/>
      <c r="H701" s="28"/>
      <c r="I701" s="31"/>
      <c r="J701" s="28"/>
      <c r="K701" s="28"/>
      <c r="L701" s="28"/>
      <c r="M701" s="28"/>
      <c r="N701" s="31"/>
      <c r="O701" s="31"/>
      <c r="P701" s="31"/>
      <c r="Q701" s="31"/>
      <c r="R701" s="31"/>
      <c r="S701" s="31"/>
      <c r="T701" s="31"/>
      <c r="U701" s="31"/>
      <c r="V701" s="31"/>
      <c r="W701" s="31"/>
      <c r="X701" s="313"/>
      <c r="Y701" s="31"/>
      <c r="Z701" s="31"/>
      <c r="AA701" s="31"/>
      <c r="AB701" s="31"/>
      <c r="AC701" s="313"/>
      <c r="AD701" s="31"/>
      <c r="AE701" s="31"/>
      <c r="AF701" s="31"/>
      <c r="AG701" s="33"/>
      <c r="AH701" s="313"/>
      <c r="AI701" s="33"/>
      <c r="AJ701" s="33"/>
      <c r="AK701" s="33"/>
      <c r="AL701" s="33"/>
      <c r="AM701" s="313"/>
      <c r="AN701" s="33"/>
      <c r="AO701" s="33"/>
      <c r="AP701" s="33"/>
      <c r="AQ701" s="33"/>
      <c r="AR701" s="313"/>
      <c r="AS701" s="28"/>
      <c r="AT701" s="28"/>
      <c r="AU701" s="28"/>
      <c r="AV701" s="31"/>
      <c r="AW701" s="313"/>
      <c r="AX701" s="28"/>
      <c r="AY701" s="28"/>
      <c r="AZ701" s="28"/>
      <c r="BA701" s="28"/>
      <c r="BB701" s="313"/>
      <c r="BC701" s="28"/>
      <c r="BD701" s="28"/>
      <c r="BE701" s="28"/>
      <c r="BF701" s="28"/>
      <c r="BG701" s="313"/>
      <c r="BH701" s="28"/>
      <c r="BI701" s="28"/>
      <c r="BJ701" s="28"/>
      <c r="BK701" s="28"/>
      <c r="BL701" s="313"/>
      <c r="BM701" s="28"/>
      <c r="BN701" s="28"/>
      <c r="BO701" s="28"/>
      <c r="BP701" s="28"/>
      <c r="BQ701" s="308"/>
      <c r="BR701" s="28"/>
      <c r="BS701" s="28"/>
      <c r="BT701" s="28"/>
      <c r="BU701" s="28"/>
      <c r="BV701" s="308"/>
      <c r="BW701" s="28"/>
      <c r="BX701" s="28"/>
      <c r="BY701" s="28"/>
      <c r="BZ701" s="28"/>
      <c r="CA701" s="308"/>
      <c r="CB701" s="28"/>
      <c r="CC701" s="28"/>
      <c r="CD701" s="28"/>
      <c r="CE701" s="28"/>
      <c r="CF701" s="308"/>
      <c r="CG701" s="28"/>
      <c r="CH701" s="28"/>
      <c r="CI701" s="28"/>
      <c r="CJ701" s="28"/>
      <c r="CK701" s="308"/>
      <c r="CL701" s="961"/>
      <c r="CM701" s="933"/>
      <c r="CN701" s="28"/>
      <c r="CO701" s="28"/>
      <c r="CP701" s="308"/>
      <c r="CQ701" s="933"/>
      <c r="CR701" s="933"/>
      <c r="CS701" s="933"/>
      <c r="CT701" s="933"/>
      <c r="CU701" s="308"/>
      <c r="CV701" s="933"/>
      <c r="CW701" s="933"/>
      <c r="CX701" s="933"/>
      <c r="CY701" s="933"/>
      <c r="CZ701" s="308"/>
      <c r="DA701" s="933"/>
      <c r="DB701" s="30"/>
      <c r="DC701" s="30"/>
      <c r="DD701" s="409"/>
      <c r="DE701" s="308"/>
      <c r="DF701" s="982"/>
      <c r="DG701" s="30"/>
      <c r="DH701" s="30"/>
      <c r="DI701" s="409"/>
      <c r="DJ701" s="830"/>
      <c r="DK701" s="830"/>
      <c r="DL701" s="30"/>
      <c r="DM701" s="30"/>
      <c r="DN701" s="409"/>
      <c r="DO701" s="409"/>
      <c r="DP701" s="30"/>
      <c r="DQ701" s="30"/>
      <c r="DR701" s="30"/>
      <c r="DS701" s="409"/>
      <c r="DT701" s="308"/>
      <c r="DU701" s="926"/>
      <c r="DV701" s="926"/>
      <c r="DW701" s="926"/>
      <c r="DX701" s="928"/>
      <c r="DY701" s="308"/>
      <c r="DZ701" s="926"/>
      <c r="EA701" s="926"/>
      <c r="EB701" s="926"/>
      <c r="EC701" s="928"/>
      <c r="ED701" s="1060"/>
      <c r="EE701" s="926"/>
      <c r="EF701" s="926"/>
      <c r="EG701" s="926"/>
      <c r="EH701" s="928"/>
      <c r="EI701" s="308"/>
      <c r="EJ701" s="308"/>
      <c r="EK701" s="308"/>
      <c r="EL701" s="308"/>
      <c r="EM701" s="308"/>
      <c r="EN701" s="308"/>
      <c r="EO701" s="308"/>
      <c r="EP701" s="308"/>
      <c r="EQ701" s="308"/>
      <c r="ER701" s="308"/>
      <c r="ES701" s="308"/>
      <c r="ET701" s="308"/>
      <c r="EU701" s="308"/>
      <c r="EV701" s="308"/>
      <c r="EW701" s="308"/>
      <c r="EX701" s="308"/>
    </row>
    <row r="702" spans="1:154" ht="12.75" hidden="1" customHeight="1" outlineLevel="2">
      <c r="B702" s="456" t="s">
        <v>537</v>
      </c>
      <c r="C702" s="1989" t="s">
        <v>322</v>
      </c>
      <c r="D702" s="28"/>
      <c r="E702" s="28"/>
      <c r="F702" s="28"/>
      <c r="G702" s="28"/>
      <c r="H702" s="28"/>
      <c r="I702" s="31"/>
      <c r="J702" s="28"/>
      <c r="K702" s="28"/>
      <c r="L702" s="28"/>
      <c r="M702" s="28"/>
      <c r="N702" s="31"/>
      <c r="O702" s="31"/>
      <c r="P702" s="31"/>
      <c r="Q702" s="31"/>
      <c r="R702" s="31"/>
      <c r="S702" s="31"/>
      <c r="T702" s="31"/>
      <c r="U702" s="31"/>
      <c r="V702" s="31"/>
      <c r="W702" s="31"/>
      <c r="X702" s="313"/>
      <c r="Y702" s="31"/>
      <c r="Z702" s="31"/>
      <c r="AA702" s="31"/>
      <c r="AB702" s="31"/>
      <c r="AC702" s="313"/>
      <c r="AD702" s="31"/>
      <c r="AE702" s="31"/>
      <c r="AF702" s="31"/>
      <c r="AG702" s="31"/>
      <c r="AH702" s="313"/>
      <c r="AI702" s="28"/>
      <c r="AJ702" s="28"/>
      <c r="AK702" s="28"/>
      <c r="AL702" s="31"/>
      <c r="AM702" s="313"/>
      <c r="AN702" s="28"/>
      <c r="AO702" s="28"/>
      <c r="AP702" s="28"/>
      <c r="AQ702" s="31"/>
      <c r="AR702" s="313"/>
      <c r="AS702" s="28"/>
      <c r="AT702" s="28"/>
      <c r="AU702" s="28"/>
      <c r="AV702" s="31"/>
      <c r="AW702" s="313"/>
      <c r="AX702" s="28"/>
      <c r="AY702" s="28"/>
      <c r="AZ702" s="28"/>
      <c r="BA702" s="28"/>
      <c r="BB702" s="313"/>
      <c r="BC702" s="28"/>
      <c r="BD702" s="28"/>
      <c r="BE702" s="28"/>
      <c r="BF702" s="28"/>
      <c r="BG702" s="313"/>
      <c r="BH702" s="28"/>
      <c r="BI702" s="28"/>
      <c r="BJ702" s="28"/>
      <c r="BK702" s="28"/>
      <c r="BL702" s="313"/>
      <c r="BM702" s="28"/>
      <c r="BN702" s="33"/>
      <c r="BO702" s="28"/>
      <c r="BP702" s="28"/>
      <c r="BQ702" s="313"/>
      <c r="BR702" s="28"/>
      <c r="BS702" s="28"/>
      <c r="BT702" s="28"/>
      <c r="BU702" s="28"/>
      <c r="BV702" s="313"/>
      <c r="BW702" s="28"/>
      <c r="BX702" s="28"/>
      <c r="BY702" s="28"/>
      <c r="BZ702" s="28"/>
      <c r="CA702" s="313"/>
      <c r="CB702" s="28"/>
      <c r="CC702" s="28"/>
      <c r="CD702" s="28"/>
      <c r="CE702" s="28"/>
      <c r="CF702" s="313"/>
      <c r="CG702" s="28"/>
      <c r="CH702" s="28"/>
      <c r="CI702" s="28"/>
      <c r="CJ702" s="28"/>
      <c r="CK702" s="313"/>
      <c r="CL702" s="961"/>
      <c r="CM702" s="933"/>
      <c r="CN702" s="28"/>
      <c r="CO702" s="28"/>
      <c r="CP702" s="313"/>
      <c r="CQ702" s="933"/>
      <c r="CR702" s="933"/>
      <c r="CS702" s="933"/>
      <c r="CT702" s="933"/>
      <c r="CU702" s="313"/>
      <c r="CV702" s="933"/>
      <c r="CW702" s="933"/>
      <c r="CX702" s="933"/>
      <c r="CY702" s="933"/>
      <c r="CZ702" s="313"/>
      <c r="DA702" s="933"/>
      <c r="DB702" s="31"/>
      <c r="DC702" s="31"/>
      <c r="DD702" s="955"/>
      <c r="DE702" s="477"/>
      <c r="DF702" s="982"/>
      <c r="DG702" s="603"/>
      <c r="DH702" s="603"/>
      <c r="DI702" s="1798"/>
      <c r="DJ702" s="1799"/>
      <c r="DK702" s="1799"/>
      <c r="DL702" s="603"/>
      <c r="DM702" s="603"/>
      <c r="DN702" s="1798"/>
      <c r="DO702" s="1798"/>
      <c r="DP702" s="603"/>
      <c r="DQ702" s="603"/>
      <c r="DR702" s="603"/>
      <c r="DS702" s="1798"/>
      <c r="DT702" s="477"/>
      <c r="DU702" s="603"/>
      <c r="DV702" s="603"/>
      <c r="DW702" s="603"/>
      <c r="DX702" s="1798"/>
      <c r="DY702" s="477"/>
      <c r="DZ702" s="603"/>
      <c r="EA702" s="603"/>
      <c r="EB702" s="603"/>
      <c r="EC702" s="1798"/>
      <c r="ED702" s="477"/>
      <c r="EE702" s="603"/>
      <c r="EF702" s="603"/>
      <c r="EG702" s="603"/>
      <c r="EH702" s="1798"/>
      <c r="EI702" s="477"/>
      <c r="EJ702" s="477"/>
      <c r="EK702" s="477"/>
      <c r="EL702" s="477"/>
      <c r="EM702" s="477"/>
      <c r="EN702" s="477"/>
      <c r="EO702" s="477"/>
      <c r="EP702" s="477"/>
      <c r="EQ702" s="477"/>
      <c r="ER702" s="477"/>
      <c r="ES702" s="477"/>
      <c r="ET702" s="477"/>
      <c r="EU702" s="477"/>
      <c r="EV702" s="477"/>
      <c r="EW702" s="477"/>
      <c r="EX702" s="477"/>
    </row>
    <row r="703" spans="1:154" ht="12.75" hidden="1" customHeight="1" outlineLevel="2">
      <c r="B703" s="438" t="s">
        <v>187</v>
      </c>
      <c r="C703" s="1997">
        <v>41402</v>
      </c>
      <c r="D703" s="31"/>
      <c r="E703" s="33"/>
      <c r="F703" s="33"/>
      <c r="G703" s="33"/>
      <c r="H703" s="33"/>
      <c r="I703" s="31"/>
      <c r="J703" s="33">
        <v>0</v>
      </c>
      <c r="K703" s="33">
        <v>0</v>
      </c>
      <c r="L703" s="33">
        <v>124</v>
      </c>
      <c r="M703" s="33">
        <v>54</v>
      </c>
      <c r="N703" s="31">
        <f>+SUM(J703:M703)</f>
      </c>
      <c r="O703" s="33">
        <v>83</v>
      </c>
      <c r="P703" s="33">
        <v>76</v>
      </c>
      <c r="Q703" s="33">
        <v>127</v>
      </c>
      <c r="R703" s="33">
        <v>94</v>
      </c>
      <c r="S703" s="31">
        <f>SUM(O703:R703)</f>
      </c>
      <c r="T703" s="33">
        <v>104</v>
      </c>
      <c r="U703" s="33">
        <v>105</v>
      </c>
      <c r="V703" s="33">
        <v>124</v>
      </c>
      <c r="W703" s="33">
        <v>109</v>
      </c>
      <c r="X703" s="313">
        <f>SUM(T703:W703)</f>
      </c>
      <c r="Y703" s="33">
        <v>139</v>
      </c>
      <c r="Z703" s="33">
        <v>127</v>
      </c>
      <c r="AA703" s="33">
        <v>152</v>
      </c>
      <c r="AB703" s="33">
        <v>151</v>
      </c>
      <c r="AC703" s="313">
        <f>SUM(Y703:AB703)</f>
      </c>
      <c r="AD703" s="33">
        <v>122.6</v>
      </c>
      <c r="AE703" s="33">
        <v>131</v>
      </c>
      <c r="AF703" s="33">
        <v>147.80000000000001</v>
      </c>
      <c r="AG703" s="33">
        <v>179</v>
      </c>
      <c r="AH703" s="313">
        <f>SUM(AD703:AG703)</f>
      </c>
      <c r="AI703" s="33">
        <v>126.3</v>
      </c>
      <c r="AJ703" s="33">
        <v>128</v>
      </c>
      <c r="AK703" s="33">
        <v>154</v>
      </c>
      <c r="AL703" s="33">
        <v>150</v>
      </c>
      <c r="AM703" s="313">
        <f>+SUM(AI703:AL703)</f>
      </c>
      <c r="AN703" s="33">
        <v>146</v>
      </c>
      <c r="AO703" s="33">
        <v>145</v>
      </c>
      <c r="AP703" s="33">
        <v>146</v>
      </c>
      <c r="AQ703" s="33">
        <v>157</v>
      </c>
      <c r="AR703" s="313">
        <f>+SUM(AN703:AQ703)</f>
      </c>
      <c r="AS703" s="33">
        <v>159</v>
      </c>
      <c r="AT703" s="33">
        <v>161</v>
      </c>
      <c r="AU703" s="33">
        <v>159</v>
      </c>
      <c r="AV703" s="33">
        <v>166</v>
      </c>
      <c r="AW703" s="313">
        <f>SUM(AS703:AV703)</f>
      </c>
      <c r="AX703" s="33">
        <v>116</v>
      </c>
      <c r="AY703" s="33">
        <v>153</v>
      </c>
      <c r="AZ703" s="33">
        <v>130</v>
      </c>
      <c r="BA703" s="33">
        <v>140</v>
      </c>
      <c r="BB703" s="313">
        <f>SUM(AX703:BA703)</f>
      </c>
      <c r="BC703" s="33">
        <v>138</v>
      </c>
      <c r="BD703" s="33">
        <v>128</v>
      </c>
      <c r="BE703" s="33">
        <v>131</v>
      </c>
      <c r="BF703" s="33">
        <v>158</v>
      </c>
      <c r="BG703" s="313">
        <f>SUM(BC703:BF703)</f>
      </c>
      <c r="BH703" s="33">
        <v>119</v>
      </c>
      <c r="BI703" s="33">
        <v>121</v>
      </c>
      <c r="BJ703" s="33">
        <v>116</v>
      </c>
      <c r="BK703" s="33">
        <v>119</v>
      </c>
      <c r="BL703" s="313">
        <f>SUM(BH703:BK703)</f>
      </c>
      <c r="BM703" s="33">
        <v>109</v>
      </c>
      <c r="BN703" s="33">
        <v>101</v>
      </c>
      <c r="BO703" s="33">
        <v>94</v>
      </c>
      <c r="BP703" s="33">
        <v>110</v>
      </c>
      <c r="BQ703" s="313">
        <f>SUM(BM703:BP703)</f>
      </c>
      <c r="BR703" s="33">
        <v>96</v>
      </c>
      <c r="BS703" s="352">
        <v>95</v>
      </c>
      <c r="BT703" s="352">
        <v>80</v>
      </c>
      <c r="BU703" s="352">
        <v>92</v>
      </c>
      <c r="BV703" s="313">
        <f>SUM(BR703:BU703)</f>
      </c>
      <c r="BW703" s="352">
        <v>103</v>
      </c>
      <c r="BX703" s="352">
        <v>97</v>
      </c>
      <c r="BY703" s="352">
        <v>59</v>
      </c>
      <c r="BZ703" s="761">
        <v>6</v>
      </c>
      <c r="CA703" s="313">
        <f>SUM(BW703:BZ703)</f>
      </c>
      <c r="CB703" s="761">
        <v>20</v>
      </c>
      <c r="CC703" s="761">
        <v>19</v>
      </c>
      <c r="CD703" s="761">
        <v>11.8</v>
      </c>
      <c r="CE703" s="761">
        <v>1</v>
      </c>
      <c r="CF703" s="313">
        <f>SUM(CB703:CE703)</f>
      </c>
      <c r="CG703" s="761">
        <v>14</v>
      </c>
      <c r="CH703" s="761">
        <v>13.3</v>
      </c>
      <c r="CI703" s="761">
        <v>8</v>
      </c>
      <c r="CJ703" s="761">
        <v>7</v>
      </c>
      <c r="CK703" s="313">
        <f>SUM(CG703:CJ703)</f>
      </c>
      <c r="CL703" s="761">
        <v>7</v>
      </c>
      <c r="CM703" s="761">
        <v>6</v>
      </c>
      <c r="CN703" s="761">
        <v>7</v>
      </c>
      <c r="CO703" s="761">
        <v>7</v>
      </c>
      <c r="CP703" s="313">
        <f>SUM(CL703:CO703)</f>
      </c>
      <c r="CQ703" s="352"/>
      <c r="CR703" s="352"/>
      <c r="CS703" s="933"/>
      <c r="CT703" s="933"/>
      <c r="CU703" s="313"/>
      <c r="CV703" s="352"/>
      <c r="CW703" s="352"/>
      <c r="CX703" s="352"/>
      <c r="CY703" s="933"/>
      <c r="CZ703" s="313"/>
      <c r="DA703" s="352"/>
      <c r="DB703" s="896"/>
      <c r="DC703" s="896"/>
      <c r="DD703" s="1344"/>
      <c r="DE703" s="477"/>
      <c r="DF703" s="1801"/>
      <c r="DG703" s="896"/>
      <c r="DH703" s="896"/>
      <c r="DI703" s="1344"/>
      <c r="DJ703" s="1799"/>
      <c r="DK703" s="1799"/>
      <c r="DL703" s="603"/>
      <c r="DM703" s="603"/>
      <c r="DN703" s="1798"/>
      <c r="DO703" s="1798"/>
      <c r="DP703" s="603"/>
      <c r="DQ703" s="603"/>
      <c r="DR703" s="603"/>
      <c r="DS703" s="1798"/>
      <c r="DT703" s="477"/>
      <c r="DU703" s="603"/>
      <c r="DV703" s="603"/>
      <c r="DW703" s="603"/>
      <c r="DX703" s="1798"/>
      <c r="DY703" s="477"/>
      <c r="DZ703" s="603"/>
      <c r="EA703" s="603"/>
      <c r="EB703" s="603"/>
      <c r="EC703" s="1798"/>
      <c r="ED703" s="477"/>
      <c r="EE703" s="603"/>
      <c r="EF703" s="603"/>
      <c r="EG703" s="603"/>
      <c r="EH703" s="1798"/>
      <c r="EI703" s="477"/>
      <c r="EJ703" s="477"/>
      <c r="EK703" s="477"/>
      <c r="EL703" s="477"/>
      <c r="EM703" s="477"/>
      <c r="EN703" s="477"/>
      <c r="EO703" s="477"/>
      <c r="EP703" s="477"/>
      <c r="EQ703" s="477"/>
      <c r="ER703" s="477"/>
      <c r="ES703" s="477"/>
      <c r="ET703" s="477"/>
      <c r="EU703" s="477"/>
      <c r="EV703" s="477"/>
      <c r="EW703" s="477"/>
      <c r="EX703" s="477"/>
    </row>
    <row r="704" spans="1:154" ht="12.75" hidden="1" customHeight="1" outlineLevel="2">
      <c r="B704" s="438" t="s">
        <v>412</v>
      </c>
      <c r="C704" s="1989" t="s">
        <v>467</v>
      </c>
      <c r="D704" s="31"/>
      <c r="E704" s="33"/>
      <c r="F704" s="33"/>
      <c r="G704" s="33"/>
      <c r="H704" s="33"/>
      <c r="I704" s="31"/>
      <c r="J704" s="33">
        <v>0</v>
      </c>
      <c r="K704" s="33">
        <v>0</v>
      </c>
      <c r="L704" s="33">
        <v>62</v>
      </c>
      <c r="M704" s="33">
        <v>35</v>
      </c>
      <c r="N704" s="31">
        <f>+SUM(J704:M704)</f>
      </c>
      <c r="O704" s="33">
        <v>40</v>
      </c>
      <c r="P704" s="33">
        <v>43</v>
      </c>
      <c r="Q704" s="33">
        <v>42</v>
      </c>
      <c r="R704" s="33">
        <v>51</v>
      </c>
      <c r="S704" s="31">
        <f>SUM(O704:R704)</f>
      </c>
      <c r="T704" s="33">
        <v>56</v>
      </c>
      <c r="U704" s="33">
        <v>62</v>
      </c>
      <c r="V704" s="33">
        <v>63</v>
      </c>
      <c r="W704" s="33">
        <v>74</v>
      </c>
      <c r="X704" s="313">
        <f>SUM(T704:W704)</f>
      </c>
      <c r="Y704" s="33">
        <v>83</v>
      </c>
      <c r="Z704" s="33">
        <v>97</v>
      </c>
      <c r="AA704" s="33">
        <v>98</v>
      </c>
      <c r="AB704" s="33">
        <v>119</v>
      </c>
      <c r="AC704" s="313">
        <f>SUM(Y704:AB704)</f>
      </c>
      <c r="AD704" s="33">
        <v>124.6</v>
      </c>
      <c r="AE704" s="33">
        <v>132</v>
      </c>
      <c r="AF704" s="33">
        <v>128.5</v>
      </c>
      <c r="AG704" s="33">
        <v>151</v>
      </c>
      <c r="AH704" s="313">
        <f>SUM(AD704:AG704)</f>
      </c>
      <c r="AI704" s="33">
        <v>152.4</v>
      </c>
      <c r="AJ704" s="33">
        <v>153</v>
      </c>
      <c r="AK704" s="33">
        <v>146</v>
      </c>
      <c r="AL704" s="33">
        <v>159</v>
      </c>
      <c r="AM704" s="313">
        <f>+SUM(AI704:AL704)</f>
      </c>
      <c r="AN704" s="33">
        <v>160</v>
      </c>
      <c r="AO704" s="33">
        <v>163</v>
      </c>
      <c r="AP704" s="33">
        <v>161</v>
      </c>
      <c r="AQ704" s="33">
        <v>161</v>
      </c>
      <c r="AR704" s="313">
        <f>+SUM(AN704:AQ704)</f>
      </c>
      <c r="AS704" s="33">
        <v>177</v>
      </c>
      <c r="AT704" s="33">
        <v>175</v>
      </c>
      <c r="AU704" s="33">
        <v>179</v>
      </c>
      <c r="AV704" s="33">
        <v>181</v>
      </c>
      <c r="AW704" s="313">
        <f>SUM(AS704:AV704)</f>
      </c>
      <c r="AX704" s="33">
        <v>161</v>
      </c>
      <c r="AY704" s="33">
        <v>172</v>
      </c>
      <c r="AZ704" s="33">
        <v>152</v>
      </c>
      <c r="BA704" s="33">
        <v>134</v>
      </c>
      <c r="BB704" s="313">
        <f>SUM(AX704:BA704)</f>
      </c>
      <c r="BC704" s="33">
        <v>125</v>
      </c>
      <c r="BD704" s="33">
        <v>132</v>
      </c>
      <c r="BE704" s="33">
        <v>130</v>
      </c>
      <c r="BF704" s="33">
        <v>154</v>
      </c>
      <c r="BG704" s="313">
        <f>SUM(BC704:BF704)</f>
      </c>
      <c r="BH704" s="33">
        <v>141</v>
      </c>
      <c r="BI704" s="33">
        <v>133</v>
      </c>
      <c r="BJ704" s="33">
        <v>124</v>
      </c>
      <c r="BK704" s="33">
        <v>133</v>
      </c>
      <c r="BL704" s="313">
        <f>SUM(BH704:BK704)</f>
      </c>
      <c r="BM704" s="33">
        <v>130</v>
      </c>
      <c r="BN704" s="33">
        <v>146</v>
      </c>
      <c r="BO704" s="33">
        <v>141</v>
      </c>
      <c r="BP704" s="33">
        <v>144</v>
      </c>
      <c r="BQ704" s="313">
        <f>SUM(BM704:BP704)</f>
      </c>
      <c r="BR704" s="33">
        <v>126</v>
      </c>
      <c r="BS704" s="352">
        <v>128</v>
      </c>
      <c r="BT704" s="352">
        <v>115</v>
      </c>
      <c r="BU704" s="352">
        <v>94</v>
      </c>
      <c r="BV704" s="313">
        <f>SUM(BR704:BU704)</f>
      </c>
      <c r="BW704" s="352">
        <v>49</v>
      </c>
      <c r="BX704" s="352">
        <v>59</v>
      </c>
      <c r="BY704" s="352">
        <v>44</v>
      </c>
      <c r="BZ704" s="761">
        <v>53</v>
      </c>
      <c r="CA704" s="313">
        <f>SUM(BW704:BZ704)</f>
      </c>
      <c r="CB704" s="761">
        <v>32</v>
      </c>
      <c r="CC704" s="761">
        <v>32</v>
      </c>
      <c r="CD704" s="761">
        <v>28.9</v>
      </c>
      <c r="CE704" s="761">
        <v>32</v>
      </c>
      <c r="CF704" s="313">
        <f>SUM(CB704:CE704)</f>
      </c>
      <c r="CG704" s="761">
        <v>20.2</v>
      </c>
      <c r="CH704" s="761">
        <v>19.2</v>
      </c>
      <c r="CI704" s="761">
        <v>17</v>
      </c>
      <c r="CJ704" s="761">
        <v>15</v>
      </c>
      <c r="CK704" s="313">
        <f>SUM(CG704:CJ704)</f>
      </c>
      <c r="CL704" s="761">
        <v>20.2</v>
      </c>
      <c r="CM704" s="761">
        <v>15</v>
      </c>
      <c r="CN704" s="761">
        <v>15</v>
      </c>
      <c r="CO704" s="761">
        <v>15</v>
      </c>
      <c r="CP704" s="313">
        <f>SUM(CL704:CO704)</f>
      </c>
      <c r="CQ704" s="352"/>
      <c r="CR704" s="352"/>
      <c r="CS704" s="933"/>
      <c r="CT704" s="933"/>
      <c r="CU704" s="313"/>
      <c r="CV704" s="352"/>
      <c r="CW704" s="352"/>
      <c r="CX704" s="352"/>
      <c r="CY704" s="933"/>
      <c r="CZ704" s="313"/>
      <c r="DA704" s="352"/>
      <c r="DB704" s="896"/>
      <c r="DC704" s="896"/>
      <c r="DD704" s="1344"/>
      <c r="DE704" s="477"/>
      <c r="DF704" s="1801"/>
      <c r="DG704" s="896"/>
      <c r="DH704" s="896"/>
      <c r="DI704" s="1344"/>
      <c r="DJ704" s="1799"/>
      <c r="DK704" s="1799"/>
      <c r="DL704" s="603"/>
      <c r="DM704" s="603"/>
      <c r="DN704" s="1798"/>
      <c r="DO704" s="1798"/>
      <c r="DP704" s="603"/>
      <c r="DQ704" s="603"/>
      <c r="DR704" s="603"/>
      <c r="DS704" s="1798"/>
      <c r="DT704" s="477"/>
      <c r="DU704" s="603"/>
      <c r="DV704" s="603"/>
      <c r="DW704" s="603"/>
      <c r="DX704" s="1798"/>
      <c r="DY704" s="477"/>
      <c r="DZ704" s="603"/>
      <c r="EA704" s="603"/>
      <c r="EB704" s="603"/>
      <c r="EC704" s="1798"/>
      <c r="ED704" s="477"/>
      <c r="EE704" s="603"/>
      <c r="EF704" s="603"/>
      <c r="EG704" s="603"/>
      <c r="EH704" s="1798"/>
      <c r="EI704" s="477"/>
      <c r="EJ704" s="477"/>
      <c r="EK704" s="477"/>
      <c r="EL704" s="477"/>
      <c r="EM704" s="477"/>
      <c r="EN704" s="477"/>
      <c r="EO704" s="477"/>
      <c r="EP704" s="477"/>
      <c r="EQ704" s="477"/>
      <c r="ER704" s="477"/>
      <c r="ES704" s="477"/>
      <c r="ET704" s="477"/>
      <c r="EU704" s="477"/>
      <c r="EV704" s="477"/>
      <c r="EW704" s="477"/>
      <c r="EX704" s="477"/>
    </row>
    <row r="705" spans="1:154" ht="12.75" hidden="1" customHeight="1" outlineLevel="2">
      <c r="B705" s="438" t="s">
        <v>413</v>
      </c>
      <c r="C705" s="1989"/>
      <c r="D705" s="28"/>
      <c r="E705" s="28">
        <f>+E703+E704</f>
      </c>
      <c r="F705" s="28">
        <f>+F703+F704</f>
      </c>
      <c r="G705" s="28">
        <f>+G703+G704</f>
      </c>
      <c r="H705" s="28">
        <f>+H703+H704</f>
      </c>
      <c r="I705" s="31"/>
      <c r="J705" s="28">
        <f t="shared" ref="J705:AV705" si="1731">+J703+J704</f>
      </c>
      <c r="K705" s="28">
        <f t="shared" si="1731"/>
      </c>
      <c r="L705" s="28">
        <f t="shared" si="1731"/>
      </c>
      <c r="M705" s="28">
        <f t="shared" si="1731"/>
      </c>
      <c r="N705" s="31">
        <f t="shared" si="1731"/>
      </c>
      <c r="O705" s="31">
        <f t="shared" si="1731"/>
      </c>
      <c r="P705" s="31">
        <f t="shared" si="1731"/>
      </c>
      <c r="Q705" s="31">
        <f t="shared" si="1731"/>
      </c>
      <c r="R705" s="31">
        <f t="shared" si="1731"/>
      </c>
      <c r="S705" s="31">
        <f t="shared" si="1731"/>
      </c>
      <c r="T705" s="31">
        <f t="shared" si="1731"/>
      </c>
      <c r="U705" s="31">
        <f t="shared" si="1731"/>
      </c>
      <c r="V705" s="31">
        <f t="shared" si="1731"/>
      </c>
      <c r="W705" s="31">
        <f t="shared" si="1731"/>
      </c>
      <c r="X705" s="313">
        <f t="shared" si="1731"/>
      </c>
      <c r="Y705" s="31">
        <f t="shared" si="1731"/>
      </c>
      <c r="Z705" s="31">
        <f t="shared" si="1731"/>
      </c>
      <c r="AA705" s="31">
        <f t="shared" si="1731"/>
      </c>
      <c r="AB705" s="31">
        <f t="shared" si="1731"/>
      </c>
      <c r="AC705" s="313">
        <f t="shared" si="1731"/>
      </c>
      <c r="AD705" s="31">
        <f t="shared" si="1731"/>
      </c>
      <c r="AE705" s="31">
        <f t="shared" si="1731"/>
      </c>
      <c r="AF705" s="31">
        <f t="shared" si="1731"/>
      </c>
      <c r="AG705" s="31">
        <f t="shared" si="1731"/>
      </c>
      <c r="AH705" s="313">
        <f t="shared" si="1731"/>
      </c>
      <c r="AI705" s="28">
        <f t="shared" si="1731"/>
      </c>
      <c r="AJ705" s="28">
        <f t="shared" si="1731"/>
      </c>
      <c r="AK705" s="28">
        <f t="shared" si="1731"/>
      </c>
      <c r="AL705" s="31">
        <f t="shared" si="1731"/>
      </c>
      <c r="AM705" s="313">
        <f t="shared" si="1731"/>
      </c>
      <c r="AN705" s="28">
        <f t="shared" si="1731"/>
      </c>
      <c r="AO705" s="28">
        <f t="shared" si="1731"/>
      </c>
      <c r="AP705" s="28">
        <f t="shared" si="1731"/>
      </c>
      <c r="AQ705" s="31">
        <f t="shared" si="1731"/>
      </c>
      <c r="AR705" s="313">
        <f t="shared" si="1731"/>
      </c>
      <c r="AS705" s="28">
        <f t="shared" si="1731"/>
      </c>
      <c r="AT705" s="28">
        <f t="shared" si="1731"/>
      </c>
      <c r="AU705" s="28">
        <f t="shared" si="1731"/>
      </c>
      <c r="AV705" s="31">
        <f t="shared" si="1731"/>
      </c>
      <c r="AW705" s="313">
        <f t="shared" ref="AW705:BK705" si="1732">+AW703+AW704</f>
      </c>
      <c r="AX705" s="28">
        <f t="shared" si="1732"/>
      </c>
      <c r="AY705" s="28">
        <f t="shared" si="1732"/>
      </c>
      <c r="AZ705" s="28">
        <f t="shared" si="1732"/>
      </c>
      <c r="BA705" s="28">
        <f t="shared" si="1732"/>
      </c>
      <c r="BB705" s="313">
        <f t="shared" si="1732"/>
      </c>
      <c r="BC705" s="28">
        <f t="shared" si="1732"/>
      </c>
      <c r="BD705" s="28">
        <f t="shared" si="1732"/>
      </c>
      <c r="BE705" s="28">
        <f t="shared" si="1732"/>
      </c>
      <c r="BF705" s="28">
        <f t="shared" si="1732"/>
      </c>
      <c r="BG705" s="313">
        <f t="shared" si="1732"/>
      </c>
      <c r="BH705" s="28">
        <f t="shared" si="1732"/>
      </c>
      <c r="BI705" s="28">
        <f t="shared" si="1732"/>
      </c>
      <c r="BJ705" s="28">
        <f t="shared" si="1732"/>
      </c>
      <c r="BK705" s="28">
        <f t="shared" si="1732"/>
      </c>
      <c r="BL705" s="313">
        <f>SUM(BH705:BK705)</f>
      </c>
      <c r="BM705" s="28">
        <f>+BM703+BM704</f>
      </c>
      <c r="BN705" s="28">
        <f>+BN703+BN704</f>
      </c>
      <c r="BO705" s="28">
        <f>+BO703+BO704</f>
      </c>
      <c r="BP705" s="28">
        <f>+BP703+BP704</f>
      </c>
      <c r="BQ705" s="313">
        <f>SUM(BM705:BP705)</f>
      </c>
      <c r="BR705" s="28">
        <f>+BR703+BR704</f>
      </c>
      <c r="BS705" s="28">
        <f>+BS703+BS704</f>
      </c>
      <c r="BT705" s="28">
        <f>+BT703+BT704</f>
      </c>
      <c r="BU705" s="28">
        <f>+BU703+BU704</f>
      </c>
      <c r="BV705" s="313">
        <f>SUM(BR705:BU705)</f>
      </c>
      <c r="BW705" s="28">
        <f>+BW703+BW704</f>
      </c>
      <c r="BX705" s="28">
        <f>+BX703+BX704</f>
      </c>
      <c r="BY705" s="28">
        <f>+BY703+BY704</f>
      </c>
      <c r="BZ705" s="28">
        <f>+BZ703+BZ704</f>
      </c>
      <c r="CA705" s="313">
        <f>SUM(BW705:BZ705)</f>
      </c>
      <c r="CB705" s="28">
        <f>+CB703+CB704</f>
      </c>
      <c r="CC705" s="28">
        <f>+CC703+CC704</f>
      </c>
      <c r="CD705" s="28">
        <f>+CD703+CD704</f>
      </c>
      <c r="CE705" s="28">
        <f>+CE703+CE704</f>
      </c>
      <c r="CF705" s="313">
        <f>SUM(CB705:CE705)</f>
      </c>
      <c r="CG705" s="28">
        <f>+CG703+CG704</f>
      </c>
      <c r="CH705" s="28">
        <f>+CH703+CH704</f>
      </c>
      <c r="CI705" s="28">
        <f>+CI703+CI704</f>
      </c>
      <c r="CJ705" s="28">
        <f>+CJ703+CJ704</f>
      </c>
      <c r="CK705" s="313">
        <f>SUM(CG705:CJ705)</f>
      </c>
      <c r="CL705" s="28">
        <f>+CL703+CL704</f>
      </c>
      <c r="CM705" s="28">
        <f>+CM703+CM704</f>
      </c>
      <c r="CN705" s="28">
        <f>+CN703+CN704</f>
      </c>
      <c r="CO705" s="28">
        <f>+CO703+CO704</f>
      </c>
      <c r="CP705" s="313">
        <f>SUM(CL705:CO705)</f>
      </c>
      <c r="CQ705" s="933"/>
      <c r="CR705" s="933"/>
      <c r="CS705" s="933"/>
      <c r="CT705" s="933"/>
      <c r="CU705" s="313"/>
      <c r="CV705" s="933"/>
      <c r="CW705" s="933"/>
      <c r="CX705" s="933"/>
      <c r="CY705" s="933"/>
      <c r="CZ705" s="313"/>
      <c r="DA705" s="933"/>
      <c r="DB705" s="31"/>
      <c r="DC705" s="31"/>
      <c r="DD705" s="955"/>
      <c r="DE705" s="477"/>
      <c r="DF705" s="982"/>
      <c r="DG705" s="603"/>
      <c r="DH705" s="603"/>
      <c r="DI705" s="1798"/>
      <c r="DJ705" s="1799"/>
      <c r="DK705" s="1799"/>
      <c r="DL705" s="603"/>
      <c r="DM705" s="603"/>
      <c r="DN705" s="1798"/>
      <c r="DO705" s="1798"/>
      <c r="DP705" s="603"/>
      <c r="DQ705" s="603"/>
      <c r="DR705" s="603"/>
      <c r="DS705" s="1798"/>
      <c r="DT705" s="477"/>
      <c r="DU705" s="603"/>
      <c r="DV705" s="603"/>
      <c r="DW705" s="603"/>
      <c r="DX705" s="1798"/>
      <c r="DY705" s="477"/>
      <c r="DZ705" s="603"/>
      <c r="EA705" s="603"/>
      <c r="EB705" s="603"/>
      <c r="EC705" s="1798"/>
      <c r="ED705" s="477"/>
      <c r="EE705" s="603"/>
      <c r="EF705" s="603"/>
      <c r="EG705" s="603"/>
      <c r="EH705" s="1798"/>
      <c r="EI705" s="477"/>
      <c r="EJ705" s="477"/>
      <c r="EK705" s="477"/>
      <c r="EL705" s="477"/>
      <c r="EM705" s="477"/>
      <c r="EN705" s="477"/>
      <c r="EO705" s="477"/>
      <c r="EP705" s="477"/>
      <c r="EQ705" s="477"/>
      <c r="ER705" s="477"/>
      <c r="ES705" s="477"/>
      <c r="ET705" s="477"/>
      <c r="EU705" s="477"/>
      <c r="EV705" s="477"/>
      <c r="EW705" s="477"/>
      <c r="EX705" s="477"/>
    </row>
    <row r="706" spans="1:154" ht="12.75" hidden="1" customHeight="1" outlineLevel="2">
      <c r="B706" s="438"/>
      <c r="C706" s="1989"/>
      <c r="D706" s="28"/>
      <c r="E706" s="28"/>
      <c r="F706" s="28"/>
      <c r="G706" s="28"/>
      <c r="H706" s="28"/>
      <c r="I706" s="31"/>
      <c r="J706" s="28"/>
      <c r="K706" s="28"/>
      <c r="L706" s="28"/>
      <c r="M706" s="28"/>
      <c r="N706" s="31"/>
      <c r="O706" s="31"/>
      <c r="P706" s="31"/>
      <c r="Q706" s="31"/>
      <c r="R706" s="31"/>
      <c r="S706" s="31"/>
      <c r="T706" s="31"/>
      <c r="U706" s="31"/>
      <c r="V706" s="31"/>
      <c r="W706" s="31"/>
      <c r="X706" s="313"/>
      <c r="Y706" s="31"/>
      <c r="Z706" s="31"/>
      <c r="AA706" s="31"/>
      <c r="AB706" s="31"/>
      <c r="AC706" s="313"/>
      <c r="AD706" s="31"/>
      <c r="AE706" s="31"/>
      <c r="AF706" s="31"/>
      <c r="AG706" s="31"/>
      <c r="AH706" s="313"/>
      <c r="AI706" s="28"/>
      <c r="AJ706" s="28"/>
      <c r="AK706" s="28"/>
      <c r="AL706" s="31"/>
      <c r="AM706" s="313"/>
      <c r="AN706" s="28"/>
      <c r="AO706" s="28"/>
      <c r="AP706" s="28"/>
      <c r="AQ706" s="31"/>
      <c r="AR706" s="313"/>
      <c r="AS706" s="28"/>
      <c r="AT706" s="28"/>
      <c r="AU706" s="28"/>
      <c r="AV706" s="31"/>
      <c r="AW706" s="313"/>
      <c r="AX706" s="28"/>
      <c r="AY706" s="28"/>
      <c r="AZ706" s="28"/>
      <c r="BA706" s="28"/>
      <c r="BB706" s="313"/>
      <c r="BC706" s="28"/>
      <c r="BD706" s="28"/>
      <c r="BE706" s="28"/>
      <c r="BF706" s="28"/>
      <c r="BG706" s="313"/>
      <c r="BH706" s="28"/>
      <c r="BI706" s="28"/>
      <c r="BJ706" s="28"/>
      <c r="BK706" s="28"/>
      <c r="BL706" s="313"/>
      <c r="BM706" s="28"/>
      <c r="BN706" s="28"/>
      <c r="BO706" s="28"/>
      <c r="BP706" s="28"/>
      <c r="BQ706" s="313"/>
      <c r="BR706" s="28"/>
      <c r="BS706" s="28"/>
      <c r="BT706" s="28"/>
      <c r="BU706" s="28"/>
      <c r="BV706" s="313"/>
      <c r="BW706" s="28"/>
      <c r="BX706" s="28"/>
      <c r="BY706" s="28"/>
      <c r="BZ706" s="28"/>
      <c r="CA706" s="313"/>
      <c r="CB706" s="28"/>
      <c r="CC706" s="28"/>
      <c r="CD706" s="28"/>
      <c r="CE706" s="28"/>
      <c r="CF706" s="313"/>
      <c r="CG706" s="28"/>
      <c r="CH706" s="28"/>
      <c r="CI706" s="28"/>
      <c r="CJ706" s="28"/>
      <c r="CK706" s="313"/>
      <c r="CL706" s="961"/>
      <c r="CM706" s="933"/>
      <c r="CN706" s="28"/>
      <c r="CO706" s="28"/>
      <c r="CP706" s="957"/>
      <c r="CQ706" s="961"/>
      <c r="CR706" s="933"/>
      <c r="CS706" s="933"/>
      <c r="CT706" s="933"/>
      <c r="CU706" s="313"/>
      <c r="CV706" s="961"/>
      <c r="CW706" s="933"/>
      <c r="CX706" s="933"/>
      <c r="CY706" s="933"/>
      <c r="CZ706" s="313"/>
      <c r="DA706" s="961"/>
      <c r="DB706" s="28"/>
      <c r="DC706" s="28"/>
      <c r="DD706" s="876"/>
      <c r="DE706" s="477"/>
      <c r="DF706" s="981"/>
      <c r="DG706" s="444"/>
      <c r="DH706" s="444"/>
      <c r="DI706" s="1788"/>
      <c r="DJ706" s="1799"/>
      <c r="DK706" s="1799"/>
      <c r="DL706" s="603"/>
      <c r="DM706" s="603"/>
      <c r="DN706" s="1798"/>
      <c r="DO706" s="1798"/>
      <c r="DP706" s="603"/>
      <c r="DQ706" s="603"/>
      <c r="DR706" s="603"/>
      <c r="DS706" s="1798"/>
      <c r="DT706" s="477"/>
      <c r="DU706" s="603"/>
      <c r="DV706" s="603"/>
      <c r="DW706" s="603"/>
      <c r="DX706" s="1798"/>
      <c r="DY706" s="477"/>
      <c r="DZ706" s="603"/>
      <c r="EA706" s="603"/>
      <c r="EB706" s="603"/>
      <c r="EC706" s="1798"/>
      <c r="ED706" s="477"/>
      <c r="EE706" s="603"/>
      <c r="EF706" s="603"/>
      <c r="EG706" s="603"/>
      <c r="EH706" s="1798"/>
      <c r="EI706" s="477"/>
      <c r="EJ706" s="477"/>
      <c r="EK706" s="477"/>
      <c r="EL706" s="477"/>
      <c r="EM706" s="477"/>
      <c r="EN706" s="477"/>
      <c r="EO706" s="477"/>
      <c r="EP706" s="477"/>
      <c r="EQ706" s="477"/>
      <c r="ER706" s="477"/>
      <c r="ES706" s="477"/>
      <c r="ET706" s="477"/>
      <c r="EU706" s="477"/>
      <c r="EV706" s="477"/>
      <c r="EW706" s="477"/>
      <c r="EX706" s="477"/>
    </row>
    <row r="707" spans="1:154" ht="12.75" hidden="1" customHeight="1" outlineLevel="2">
      <c r="B707" s="455" t="s">
        <v>257</v>
      </c>
      <c r="C707" s="1989"/>
      <c r="D707" s="28"/>
      <c r="E707" s="28"/>
      <c r="F707" s="28"/>
      <c r="G707" s="28"/>
      <c r="H707" s="28"/>
      <c r="I707" s="31"/>
      <c r="J707" s="28"/>
      <c r="K707" s="28"/>
      <c r="L707" s="28"/>
      <c r="M707" s="28"/>
      <c r="N707" s="31"/>
      <c r="O707" s="31"/>
      <c r="P707" s="31"/>
      <c r="Q707" s="31"/>
      <c r="R707" s="31"/>
      <c r="S707" s="31"/>
      <c r="T707" s="31"/>
      <c r="U707" s="31"/>
      <c r="V707" s="31"/>
      <c r="W707" s="31"/>
      <c r="X707" s="313"/>
      <c r="Y707" s="31"/>
      <c r="Z707" s="31"/>
      <c r="AA707" s="31"/>
      <c r="AB707" s="31"/>
      <c r="AC707" s="313"/>
      <c r="AD707" s="31"/>
      <c r="AE707" s="31"/>
      <c r="AF707" s="31"/>
      <c r="AG707" s="31"/>
      <c r="AH707" s="313"/>
      <c r="AI707" s="28"/>
      <c r="AJ707" s="28"/>
      <c r="AK707" s="28"/>
      <c r="AL707" s="31"/>
      <c r="AM707" s="313"/>
      <c r="AN707" s="28"/>
      <c r="AO707" s="28"/>
      <c r="AP707" s="28"/>
      <c r="AQ707" s="31"/>
      <c r="AR707" s="313"/>
      <c r="AS707" s="28"/>
      <c r="AT707" s="28"/>
      <c r="AU707" s="28"/>
      <c r="AV707" s="31"/>
      <c r="AW707" s="313"/>
      <c r="AX707" s="28"/>
      <c r="AY707" s="28"/>
      <c r="AZ707" s="28"/>
      <c r="BA707" s="28"/>
      <c r="BB707" s="313"/>
      <c r="BC707" s="28"/>
      <c r="BD707" s="28"/>
      <c r="BE707" s="28"/>
      <c r="BF707" s="28" t="s">
        <v>29</v>
      </c>
      <c r="BG707" s="313"/>
      <c r="BH707" s="28"/>
      <c r="BI707" s="28"/>
      <c r="BJ707" s="28"/>
      <c r="BK707" s="28"/>
      <c r="BL707" s="313"/>
      <c r="BM707" s="28"/>
      <c r="BN707" s="28"/>
      <c r="BO707" s="28"/>
      <c r="BP707" s="28"/>
      <c r="BQ707" s="313"/>
      <c r="BR707" s="28"/>
      <c r="BS707" s="28"/>
      <c r="BT707" s="28"/>
      <c r="BU707" s="28"/>
      <c r="BV707" s="313"/>
      <c r="BW707" s="28"/>
      <c r="BX707" s="28"/>
      <c r="BY707" s="28"/>
      <c r="BZ707" s="28"/>
      <c r="CA707" s="313"/>
      <c r="CB707" s="28"/>
      <c r="CC707" s="28"/>
      <c r="CD707" s="28"/>
      <c r="CE707" s="28"/>
      <c r="CF707" s="313"/>
      <c r="CG707" s="28"/>
      <c r="CH707" s="28"/>
      <c r="CI707" s="28"/>
      <c r="CJ707" s="28"/>
      <c r="CK707" s="313"/>
      <c r="CL707" s="961"/>
      <c r="CM707" s="933"/>
      <c r="CN707" s="28"/>
      <c r="CO707" s="28"/>
      <c r="CP707" s="313"/>
      <c r="CQ707" s="933"/>
      <c r="CR707" s="933"/>
      <c r="CS707" s="933"/>
      <c r="CT707" s="933"/>
      <c r="CU707" s="313"/>
      <c r="CV707" s="933"/>
      <c r="CW707" s="933"/>
      <c r="CX707" s="933"/>
      <c r="CY707" s="933"/>
      <c r="CZ707" s="313"/>
      <c r="DA707" s="933"/>
      <c r="DB707" s="28"/>
      <c r="DC707" s="28"/>
      <c r="DD707" s="876"/>
      <c r="DE707" s="477"/>
      <c r="DF707" s="982"/>
      <c r="DG707" s="444"/>
      <c r="DH707" s="444"/>
      <c r="DI707" s="1788"/>
      <c r="DJ707" s="1799"/>
      <c r="DK707" s="1799"/>
      <c r="DL707" s="603"/>
      <c r="DM707" s="603"/>
      <c r="DN707" s="1798"/>
      <c r="DO707" s="1798"/>
      <c r="DP707" s="603"/>
      <c r="DQ707" s="603"/>
      <c r="DR707" s="603"/>
      <c r="DS707" s="1798"/>
      <c r="DT707" s="477"/>
      <c r="DU707" s="603"/>
      <c r="DV707" s="603"/>
      <c r="DW707" s="603"/>
      <c r="DX707" s="1798"/>
      <c r="DY707" s="477"/>
      <c r="DZ707" s="603"/>
      <c r="EA707" s="603"/>
      <c r="EB707" s="603"/>
      <c r="EC707" s="1798"/>
      <c r="ED707" s="477"/>
      <c r="EE707" s="603"/>
      <c r="EF707" s="603"/>
      <c r="EG707" s="603"/>
      <c r="EH707" s="1798"/>
      <c r="EI707" s="477"/>
      <c r="EJ707" s="477"/>
      <c r="EK707" s="477"/>
      <c r="EL707" s="477"/>
      <c r="EM707" s="477"/>
      <c r="EN707" s="477"/>
      <c r="EO707" s="477"/>
      <c r="EP707" s="477"/>
      <c r="EQ707" s="477"/>
      <c r="ER707" s="477"/>
      <c r="ES707" s="477"/>
      <c r="ET707" s="477"/>
      <c r="EU707" s="477"/>
      <c r="EV707" s="477"/>
      <c r="EW707" s="477"/>
      <c r="EX707" s="477"/>
    </row>
    <row r="708" spans="1:154" ht="12.75" hidden="1" customHeight="1" outlineLevel="2">
      <c r="B708" s="441" t="s">
        <v>187</v>
      </c>
      <c r="C708" s="1989"/>
      <c r="D708" s="28"/>
      <c r="E708" s="28"/>
      <c r="F708" s="28"/>
      <c r="G708" s="28"/>
      <c r="H708" s="28"/>
      <c r="I708" s="30" t="str">
        <f t="shared" ref="I708:R709" si="1733">IF(D703="NM","NM",IF(I703="NM","NM",IF(D703&lt;=0,"NM",IF(I703=0,"NM",IF(ABS(I703/D703-1)&gt;2.5,"NM",IF((ABS(I703-D703)=ABS(ABS(I703)-ABS(D703))),(I703/D703-1),"NM"))))))</f>
      </c>
      <c r="J708" s="30" t="str">
        <f t="shared" si="1733"/>
      </c>
      <c r="K708" s="30" t="str">
        <f t="shared" si="1733"/>
      </c>
      <c r="L708" s="30" t="str">
        <f t="shared" si="1733"/>
      </c>
      <c r="M708" s="30" t="str">
        <f t="shared" si="1733"/>
      </c>
      <c r="N708" s="30" t="str">
        <f t="shared" si="1733"/>
      </c>
      <c r="O708" s="30" t="str">
        <f t="shared" si="1733"/>
      </c>
      <c r="P708" s="30" t="str">
        <f t="shared" si="1733"/>
      </c>
      <c r="Q708" s="30">
        <f t="shared" si="1733"/>
      </c>
      <c r="R708" s="30">
        <f t="shared" si="1733"/>
      </c>
      <c r="S708" s="30">
        <f t="shared" ref="S708:AB709" si="1734">IF(N703="NM","NM",IF(S703="NM","NM",IF(N703&lt;=0,"NM",IF(S703=0,"NM",IF(ABS(S703/N703-1)&gt;2.5,"NM",IF((ABS(S703-N703)=ABS(ABS(S703)-ABS(N703))),(S703/N703-1),"NM"))))))</f>
      </c>
      <c r="T708" s="30">
        <f t="shared" si="1734"/>
      </c>
      <c r="U708" s="30">
        <f t="shared" si="1734"/>
      </c>
      <c r="V708" s="30">
        <f t="shared" si="1734"/>
      </c>
      <c r="W708" s="30">
        <f t="shared" si="1734"/>
      </c>
      <c r="X708" s="308">
        <f t="shared" si="1734"/>
      </c>
      <c r="Y708" s="30">
        <f t="shared" si="1734"/>
      </c>
      <c r="Z708" s="30">
        <f t="shared" si="1734"/>
      </c>
      <c r="AA708" s="30">
        <f t="shared" si="1734"/>
      </c>
      <c r="AB708" s="30">
        <f t="shared" si="1734"/>
      </c>
      <c r="AC708" s="308">
        <f t="shared" ref="AC708:AL709" si="1735">IF(X703="NM","NM",IF(AC703="NM","NM",IF(X703&lt;=0,"NM",IF(AC703=0,"NM",IF(ABS(AC703/X703-1)&gt;2.5,"NM",IF((ABS(AC703-X703)=ABS(ABS(AC703)-ABS(X703))),(AC703/X703-1),"NM"))))))</f>
      </c>
      <c r="AD708" s="30">
        <f t="shared" si="1735"/>
      </c>
      <c r="AE708" s="30">
        <f t="shared" si="1735"/>
      </c>
      <c r="AF708" s="30">
        <f t="shared" si="1735"/>
      </c>
      <c r="AG708" s="30">
        <f t="shared" si="1735"/>
      </c>
      <c r="AH708" s="308">
        <f t="shared" si="1735"/>
      </c>
      <c r="AI708" s="30">
        <f t="shared" si="1735"/>
      </c>
      <c r="AJ708" s="30">
        <f t="shared" si="1735"/>
      </c>
      <c r="AK708" s="30">
        <f t="shared" si="1735"/>
      </c>
      <c r="AL708" s="30">
        <f t="shared" si="1735"/>
      </c>
      <c r="AM708" s="308">
        <f t="shared" ref="AM708:AV709" si="1736">IF(AH703="NM","NM",IF(AM703="NM","NM",IF(AH703&lt;=0,"NM",IF(AM703=0,"NM",IF(ABS(AM703/AH703-1)&gt;2.5,"NM",IF((ABS(AM703-AH703)=ABS(ABS(AM703)-ABS(AH703))),(AM703/AH703-1),"NM"))))))</f>
      </c>
      <c r="AN708" s="30">
        <f t="shared" si="1736"/>
      </c>
      <c r="AO708" s="30">
        <f t="shared" si="1736"/>
      </c>
      <c r="AP708" s="30">
        <f t="shared" si="1736"/>
      </c>
      <c r="AQ708" s="30">
        <f t="shared" si="1736"/>
      </c>
      <c r="AR708" s="308">
        <f t="shared" si="1736"/>
      </c>
      <c r="AS708" s="30">
        <f t="shared" si="1736"/>
      </c>
      <c r="AT708" s="30">
        <f t="shared" si="1736"/>
      </c>
      <c r="AU708" s="30">
        <f t="shared" si="1736"/>
      </c>
      <c r="AV708" s="30">
        <f t="shared" si="1736"/>
      </c>
      <c r="AW708" s="308">
        <f t="shared" ref="AW708:BO709" si="1737">IF(AR703="NM","NM",IF(AW703="NM","NM",IF(AR703&lt;=0,"NM",IF(AW703=0,"NM",IF(ABS(AW703/AR703-1)&gt;2.5,"NM",IF((ABS(AW703-AR703)=ABS(ABS(AW703)-ABS(AR703))),(AW703/AR703-1),"NM"))))))</f>
      </c>
      <c r="AX708" s="30">
        <f t="shared" si="1737"/>
      </c>
      <c r="AY708" s="30">
        <f t="shared" si="1737"/>
      </c>
      <c r="AZ708" s="30">
        <f t="shared" si="1737"/>
      </c>
      <c r="BA708" s="30">
        <f t="shared" si="1737"/>
      </c>
      <c r="BB708" s="308">
        <f t="shared" si="1737"/>
      </c>
      <c r="BC708" s="30">
        <f t="shared" si="1737"/>
      </c>
      <c r="BD708" s="30">
        <f t="shared" si="1737"/>
      </c>
      <c r="BE708" s="30">
        <f t="shared" si="1737"/>
      </c>
      <c r="BF708" s="30">
        <f t="shared" si="1737"/>
      </c>
      <c r="BG708" s="315">
        <f>IF(BB703="NM","NM",IF(BG703="NM","NM",IF(BB703&lt;=0,"NM",IF(BG703=0,"NM",IF(ABS(BG703/BB703-1)&gt;2.5,"NM",IF((ABS(BG703-BB703)=ABS(ABS(BG703)-ABS(BB703))),(BG703/BB703-1),"NM"))))))</f>
      </c>
      <c r="BH708" s="30">
        <f t="shared" si="1737"/>
      </c>
      <c r="BI708" s="30">
        <f t="shared" si="1737"/>
      </c>
      <c r="BJ708" s="30">
        <f t="shared" si="1737"/>
      </c>
      <c r="BK708" s="30">
        <f t="shared" si="1737"/>
      </c>
      <c r="BL708" s="315">
        <f>IF(BG703="NM","NM",IF(BL703="NM","NM",IF(BG703&lt;=0,"NM",IF(BL703=0,"NM",IF(ABS(BL703/BG703-1)&gt;2.5,"NM",IF((ABS(BL703-BG703)=ABS(ABS(BL703)-ABS(BG703))),(BL703/BG703-1),"NM"))))))</f>
      </c>
      <c r="BM708" s="30">
        <f t="shared" si="1737"/>
      </c>
      <c r="BN708" s="30">
        <f t="shared" si="1737"/>
      </c>
      <c r="BO708" s="30">
        <f t="shared" si="1737"/>
      </c>
      <c r="BP708" s="30">
        <f t="shared" ref="BP708:BT709" si="1738">IF(BK703="NM","NM",IF(BP703="NM","NM",IF(BK703&lt;=0,"NM",IF(BP703=0,"NM",IF(ABS(BP703/BK703-1)&gt;2.5,"NM",IF((ABS(BP703-BK703)=ABS(ABS(BP703)-ABS(BK703))),(BP703/BK703-1),"NM"))))))</f>
      </c>
      <c r="BQ708" s="315">
        <f t="shared" si="1738"/>
      </c>
      <c r="BR708" s="30">
        <f t="shared" si="1738"/>
      </c>
      <c r="BS708" s="30">
        <f>IF(BN703="NM","NM",IF(BS703="NM","NM",IF(BN703&lt;=0,"NM",IF(BS703=0,"NM",IF(ABS(BS703/BN703-1)&gt;2.5,"NM",IF((ABS(BS703-BN703)=ABS(ABS(BS703)-ABS(BN703))),(BS703/BN703-1),"NM"))))))</f>
      </c>
      <c r="BT708" s="30">
        <f>IF(BO703="NM","NM",IF(BT703="NM","NM",IF(BO703&lt;=0,"NM",IF(BT703=0,"NM",IF(ABS(BT703/BO703-1)&gt;2.5,"NM",IF((ABS(BT703-BO703)=ABS(ABS(BT703)-ABS(BO703))),(BT703/BO703-1),"NM"))))))</f>
      </c>
      <c r="BU708" s="30">
        <f>IF(BP703="NM","NM",IF(BU703="NM","NM",IF(BP703&lt;=0,"NM",IF(BU703=0,"NM",IF(ABS(BU703/BP703-1)&gt;2.5,"NM",IF((ABS(BU703-BP703)=ABS(ABS(BU703)-ABS(BP703))),(BU703/BP703-1),"NM"))))))</f>
      </c>
      <c r="BV708" s="315">
        <f>IF(BQ703="NM","NM",IF(BV703="NM","NM",IF(BQ703&lt;=0,"NM",IF(BV703=0,"NM",IF(ABS(BV703/BQ703-1)&gt;2.5,"NM",IF((ABS(BV703-BQ703)=ABS(ABS(BV703)-ABS(BQ703))),(BV703/BQ703-1),"NM"))))))</f>
      </c>
      <c r="BW708" s="30">
        <f t="shared" ref="BW708:BY709" si="1739">IF(BR703="NM","NM",IF(BW703="NM","NM",IF(BR703&lt;=0,"NM",IF(BW703=0,"NM",IF(ABS(BW703/BR703-1)&gt;2.5,"NM",IF((ABS(BW703-BR703)=ABS(ABS(BW703)-ABS(BR703))),(BW703/BR703-1),"NM"))))))</f>
      </c>
      <c r="BX708" s="30">
        <f t="shared" si="1739"/>
      </c>
      <c r="BY708" s="30">
        <f t="shared" si="1739"/>
      </c>
      <c r="BZ708" s="30">
        <f>IF(BU703="NM","NM",IF(BZ703="NM","NM",IF(BU703&lt;=0,"NM",IF(BZ703=0,"NM",IF(ABS(BZ703/BU703-1)&gt;2.5,"NM",IF((ABS(BZ703-BU703)=ABS(ABS(BZ703)-ABS(BU703))),(BZ703/BU703-1),"NM"))))))</f>
      </c>
      <c r="CA708" s="315">
        <f>IF(BV703="NM","NM",IF(CA703="NM","NM",IF(BV703&lt;=0,"NM",IF(CA703=0,"NM",IF(ABS(CA703/BV703-1)&gt;2.5,"NM",IF((ABS(CA703-BV703)=ABS(ABS(CA703)-ABS(BV703))),(CA703/BV703-1),"NM"))))))</f>
      </c>
      <c r="CB708" s="30">
        <f t="shared" ref="CB708:CD709" si="1740">IF(BW703="NM","NM",IF(CB703="NM","NM",IF(BW703&lt;=0,"NM",IF(CB703=0,"NM",IF(ABS(CB703/BW703-1)&gt;2.5,"NM",IF((ABS(CB703-BW703)=ABS(ABS(CB703)-ABS(BW703))),(CB703/BW703-1),"NM"))))))</f>
      </c>
      <c r="CC708" s="30">
        <f t="shared" si="1740"/>
      </c>
      <c r="CD708" s="30">
        <f t="shared" si="1740"/>
      </c>
      <c r="CE708" s="30">
        <f>IF(BZ703="NM","NM",IF(CE703="NM","NM",IF(BZ703&lt;=0,"NM",IF(CE703=0,"NM",IF(ABS(CE703/BZ703-1)&gt;2.5,"NM",IF((ABS(CE703-BZ703)=ABS(ABS(CE703)-ABS(BZ703))),(CE703/BZ703-1),"NM"))))))</f>
      </c>
      <c r="CF708" s="315">
        <f>IF(CA703="NM","NM",IF(CF703="NM","NM",IF(CA703&lt;=0,"NM",IF(CF703=0,"NM",IF(ABS(CF703/CA703-1)&gt;2.5,"NM",IF((ABS(CF703-CA703)=ABS(ABS(CF703)-ABS(CA703))),(CF703/CA703-1),"NM"))))))</f>
      </c>
      <c r="CG708" s="30">
        <f t="shared" ref="CG708:CI709" si="1741">IF(CB703="NM","NM",IF(CG703="NM","NM",IF(CB703&lt;=0,"NM",IF(CG703=0,"NM",IF(ABS(CG703/CB703-1)&gt;2.5,"NM",IF((ABS(CG703-CB703)=ABS(ABS(CG703)-ABS(CB703))),(CG703/CB703-1),"NM"))))))</f>
      </c>
      <c r="CH708" s="30">
        <f t="shared" si="1741"/>
      </c>
      <c r="CI708" s="30">
        <f t="shared" si="1741"/>
      </c>
      <c r="CJ708" s="30" t="str">
        <f>IF(CE703="NM","NM",IF(CJ703="NM","NM",IF(CE703&lt;=0,"NM",IF(CJ703=0,"NM",IF(ABS(CJ703/CE703-1)&gt;2.5,"NM",IF((ABS(CJ703-CE703)=ABS(ABS(CJ703)-ABS(CE703))),(CJ703/CE703-1),"NM"))))))</f>
      </c>
      <c r="CK708" s="308">
        <f>IF(CF703=0, 0, CK703/CF703-1)</f>
      </c>
      <c r="CL708" s="30">
        <f t="shared" ref="CL708:CN709" si="1742">IF(CG703="NM","NM",IF(CL703="NM","NM",IF(CG703&lt;=0,"NM",IF(CL703=0,"NM",IF(ABS(CL703/CG703-1)&gt;2.5,"NM",IF((ABS(CL703-CG703)=ABS(ABS(CL703)-ABS(CG703))),(CL703/CG703-1),"NM"))))))</f>
      </c>
      <c r="CM708" s="30">
        <f t="shared" si="1742"/>
      </c>
      <c r="CN708" s="30">
        <f t="shared" si="1742"/>
      </c>
      <c r="CO708" s="30">
        <f>IF(CJ703="NM","NM",IF(CO703="NM","NM",IF(CJ703&lt;=0,"NM",IF(CO703=0,"NM",IF(ABS(CO703/CJ703-1)&gt;2.5,"NM",IF((ABS(CO703-CJ703)=ABS(ABS(CO703)-ABS(CJ703))),(CO703/CJ703-1),"NM"))))))</f>
      </c>
      <c r="CP708" s="308">
        <f>IF(CK703=0, 0, CP703/CK703-1)</f>
      </c>
      <c r="CQ708" s="30"/>
      <c r="CR708" s="30"/>
      <c r="CS708" s="29"/>
      <c r="CT708" s="29"/>
      <c r="CU708" s="308"/>
      <c r="CV708" s="30"/>
      <c r="CW708" s="30"/>
      <c r="CX708" s="30"/>
      <c r="CY708" s="29"/>
      <c r="CZ708" s="308"/>
      <c r="DA708" s="30"/>
      <c r="DB708" s="361"/>
      <c r="DC708" s="361"/>
      <c r="DD708" s="835"/>
      <c r="DE708" s="317"/>
      <c r="DF708" s="30"/>
      <c r="DG708" s="361"/>
      <c r="DH708" s="361"/>
      <c r="DI708" s="835"/>
      <c r="DJ708" s="29"/>
      <c r="DK708" s="400"/>
      <c r="DL708" s="29"/>
      <c r="DM708" s="29"/>
      <c r="DN708" s="836"/>
      <c r="DO708" s="836"/>
      <c r="DP708" s="29"/>
      <c r="DQ708" s="29"/>
      <c r="DR708" s="29"/>
      <c r="DS708" s="836"/>
      <c r="DT708" s="836"/>
      <c r="DU708" s="29"/>
      <c r="DV708" s="29"/>
      <c r="DW708" s="29"/>
      <c r="DX708" s="836"/>
      <c r="DY708" s="836"/>
      <c r="DZ708" s="29"/>
      <c r="EA708" s="29"/>
      <c r="EB708" s="29"/>
      <c r="EC708" s="836"/>
      <c r="ED708" s="836"/>
      <c r="EE708" s="29"/>
      <c r="EF708" s="29"/>
      <c r="EG708" s="29"/>
      <c r="EH708" s="836"/>
      <c r="EI708" s="836"/>
      <c r="EJ708" s="317"/>
      <c r="EK708" s="317"/>
      <c r="EL708" s="317"/>
      <c r="EM708" s="317"/>
      <c r="EN708" s="317"/>
      <c r="EO708" s="317"/>
      <c r="EP708" s="317"/>
      <c r="EQ708" s="317"/>
      <c r="ER708" s="317"/>
      <c r="ES708" s="317"/>
      <c r="ET708" s="317"/>
      <c r="EU708" s="317"/>
      <c r="EV708" s="317"/>
      <c r="EW708" s="317"/>
      <c r="EX708" s="317"/>
    </row>
    <row r="709" spans="1:154" ht="12.75" hidden="1" customHeight="1" outlineLevel="2">
      <c r="B709" s="441" t="s">
        <v>412</v>
      </c>
      <c r="C709" s="1989"/>
      <c r="D709" s="28"/>
      <c r="E709" s="28"/>
      <c r="F709" s="28"/>
      <c r="G709" s="28"/>
      <c r="H709" s="28"/>
      <c r="I709" s="30" t="str">
        <f t="shared" si="1733"/>
      </c>
      <c r="J709" s="30" t="str">
        <f t="shared" si="1733"/>
      </c>
      <c r="K709" s="30" t="str">
        <f t="shared" si="1733"/>
      </c>
      <c r="L709" s="30" t="str">
        <f t="shared" si="1733"/>
      </c>
      <c r="M709" s="30" t="str">
        <f t="shared" si="1733"/>
      </c>
      <c r="N709" s="30" t="str">
        <f t="shared" si="1733"/>
      </c>
      <c r="O709" s="30" t="str">
        <f t="shared" si="1733"/>
      </c>
      <c r="P709" s="30" t="str">
        <f t="shared" si="1733"/>
      </c>
      <c r="Q709" s="30">
        <f t="shared" si="1733"/>
      </c>
      <c r="R709" s="30">
        <f t="shared" si="1733"/>
      </c>
      <c r="S709" s="30">
        <f t="shared" si="1734"/>
      </c>
      <c r="T709" s="30">
        <f t="shared" si="1734"/>
      </c>
      <c r="U709" s="30">
        <f t="shared" si="1734"/>
      </c>
      <c r="V709" s="30">
        <f t="shared" si="1734"/>
      </c>
      <c r="W709" s="30">
        <f t="shared" si="1734"/>
      </c>
      <c r="X709" s="308">
        <f t="shared" si="1734"/>
      </c>
      <c r="Y709" s="30">
        <f t="shared" si="1734"/>
      </c>
      <c r="Z709" s="30">
        <f t="shared" si="1734"/>
      </c>
      <c r="AA709" s="30">
        <f t="shared" si="1734"/>
      </c>
      <c r="AB709" s="30">
        <f t="shared" si="1734"/>
      </c>
      <c r="AC709" s="308">
        <f t="shared" si="1735"/>
      </c>
      <c r="AD709" s="30">
        <f t="shared" si="1735"/>
      </c>
      <c r="AE709" s="30">
        <f t="shared" si="1735"/>
      </c>
      <c r="AF709" s="30">
        <f t="shared" si="1735"/>
      </c>
      <c r="AG709" s="30">
        <f t="shared" si="1735"/>
      </c>
      <c r="AH709" s="308">
        <f t="shared" si="1735"/>
      </c>
      <c r="AI709" s="30">
        <f t="shared" si="1735"/>
      </c>
      <c r="AJ709" s="30">
        <f t="shared" si="1735"/>
      </c>
      <c r="AK709" s="30">
        <f t="shared" si="1735"/>
      </c>
      <c r="AL709" s="30">
        <f t="shared" si="1735"/>
      </c>
      <c r="AM709" s="308">
        <f t="shared" si="1736"/>
      </c>
      <c r="AN709" s="30">
        <f t="shared" si="1736"/>
      </c>
      <c r="AO709" s="30">
        <f t="shared" si="1736"/>
      </c>
      <c r="AP709" s="30">
        <f t="shared" si="1736"/>
      </c>
      <c r="AQ709" s="30">
        <f t="shared" si="1736"/>
      </c>
      <c r="AR709" s="308">
        <f t="shared" si="1736"/>
      </c>
      <c r="AS709" s="30">
        <f t="shared" si="1736"/>
      </c>
      <c r="AT709" s="30">
        <f t="shared" si="1736"/>
      </c>
      <c r="AU709" s="30">
        <f t="shared" si="1736"/>
      </c>
      <c r="AV709" s="30">
        <f t="shared" si="1736"/>
      </c>
      <c r="AW709" s="308">
        <f t="shared" si="1737"/>
      </c>
      <c r="AX709" s="30">
        <f t="shared" si="1737"/>
      </c>
      <c r="AY709" s="30">
        <f t="shared" si="1737"/>
      </c>
      <c r="AZ709" s="30">
        <f t="shared" si="1737"/>
      </c>
      <c r="BA709" s="30">
        <f t="shared" si="1737"/>
      </c>
      <c r="BB709" s="308">
        <f t="shared" si="1737"/>
      </c>
      <c r="BC709" s="30">
        <f t="shared" si="1737"/>
      </c>
      <c r="BD709" s="30">
        <f t="shared" si="1737"/>
      </c>
      <c r="BE709" s="30">
        <f t="shared" si="1737"/>
      </c>
      <c r="BF709" s="30">
        <f t="shared" si="1737"/>
      </c>
      <c r="BG709" s="315">
        <f>IF(BB704="NM","NM",IF(BG704="NM","NM",IF(BB704&lt;=0,"NM",IF(BG704=0,"NM",IF(ABS(BG704/BB704-1)&gt;2.5,"NM",IF((ABS(BG704-BB704)=ABS(ABS(BG704)-ABS(BB704))),(BG704/BB704-1),"NM"))))))</f>
      </c>
      <c r="BH709" s="30">
        <f t="shared" si="1737"/>
      </c>
      <c r="BI709" s="30">
        <f t="shared" si="1737"/>
      </c>
      <c r="BJ709" s="30">
        <f t="shared" si="1737"/>
      </c>
      <c r="BK709" s="30">
        <f t="shared" si="1737"/>
      </c>
      <c r="BL709" s="315">
        <f>IF(BG704="NM","NM",IF(BL704="NM","NM",IF(BG704&lt;=0,"NM",IF(BL704=0,"NM",IF(ABS(BL704/BG704-1)&gt;2.5,"NM",IF((ABS(BL704-BG704)=ABS(ABS(BL704)-ABS(BG704))),(BL704/BG704-1),"NM"))))))</f>
      </c>
      <c r="BM709" s="30">
        <f t="shared" si="1737"/>
      </c>
      <c r="BN709" s="30">
        <f t="shared" si="1737"/>
      </c>
      <c r="BO709" s="30">
        <f t="shared" si="1737"/>
      </c>
      <c r="BP709" s="30">
        <f t="shared" si="1738"/>
      </c>
      <c r="BQ709" s="315">
        <f t="shared" si="1738"/>
      </c>
      <c r="BR709" s="30">
        <f t="shared" si="1738"/>
      </c>
      <c r="BS709" s="30">
        <f t="shared" si="1738"/>
      </c>
      <c r="BT709" s="30">
        <f t="shared" si="1738"/>
      </c>
      <c r="BU709" s="30">
        <f>IF(BP704="NM","NM",IF(BU704="NM","NM",IF(BP704&lt;=0,"NM",IF(BU704=0,"NM",IF(ABS(BU704/BP704-1)&gt;2.5,"NM",IF((ABS(BU704-BP704)=ABS(ABS(BU704)-ABS(BP704))),(BU704/BP704-1),"NM"))))))</f>
      </c>
      <c r="BV709" s="315">
        <f>IF(BQ704="NM","NM",IF(BV704="NM","NM",IF(BQ704&lt;=0,"NM",IF(BV704=0,"NM",IF(ABS(BV704/BQ704-1)&gt;2.5,"NM",IF((ABS(BV704-BQ704)=ABS(ABS(BV704)-ABS(BQ704))),(BV704/BQ704-1),"NM"))))))</f>
      </c>
      <c r="BW709" s="30">
        <f t="shared" si="1739"/>
      </c>
      <c r="BX709" s="30">
        <f t="shared" si="1739"/>
      </c>
      <c r="BY709" s="30">
        <f t="shared" si="1739"/>
      </c>
      <c r="BZ709" s="30">
        <f>IF(BU704="NM","NM",IF(BZ704="NM","NM",IF(BU704&lt;=0,"NM",IF(BZ704=0,"NM",IF(ABS(BZ704/BU704-1)&gt;2.5,"NM",IF((ABS(BZ704-BU704)=ABS(ABS(BZ704)-ABS(BU704))),(BZ704/BU704-1),"NM"))))))</f>
      </c>
      <c r="CA709" s="315">
        <f>IF(BV704="NM","NM",IF(CA704="NM","NM",IF(BV704&lt;=0,"NM",IF(CA704=0,"NM",IF(ABS(CA704/BV704-1)&gt;2.5,"NM",IF((ABS(CA704-BV704)=ABS(ABS(CA704)-ABS(BV704))),(CA704/BV704-1),"NM"))))))</f>
      </c>
      <c r="CB709" s="30">
        <f t="shared" si="1740"/>
      </c>
      <c r="CC709" s="30">
        <f t="shared" si="1740"/>
      </c>
      <c r="CD709" s="30">
        <f t="shared" si="1740"/>
      </c>
      <c r="CE709" s="30">
        <f>IF(BZ704="NM","NM",IF(CE704="NM","NM",IF(BZ704&lt;=0,"NM",IF(CE704=0,"NM",IF(ABS(CE704/BZ704-1)&gt;2.5,"NM",IF((ABS(CE704-BZ704)=ABS(ABS(CE704)-ABS(BZ704))),(CE704/BZ704-1),"NM"))))))</f>
      </c>
      <c r="CF709" s="315">
        <f>IF(CA704="NM","NM",IF(CF704="NM","NM",IF(CA704&lt;=0,"NM",IF(CF704=0,"NM",IF(ABS(CF704/CA704-1)&gt;2.5,"NM",IF((ABS(CF704-CA704)=ABS(ABS(CF704)-ABS(CA704))),(CF704/CA704-1),"NM"))))))</f>
      </c>
      <c r="CG709" s="30">
        <f t="shared" si="1741"/>
      </c>
      <c r="CH709" s="30">
        <f t="shared" si="1741"/>
      </c>
      <c r="CI709" s="30">
        <f t="shared" si="1741"/>
      </c>
      <c r="CJ709" s="30">
        <f>IF(CE704="NM","NM",IF(CJ704="NM","NM",IF(CE704&lt;=0,"NM",IF(CJ704=0,"NM",IF(ABS(CJ704/CE704-1)&gt;2.5,"NM",IF((ABS(CJ704-CE704)=ABS(ABS(CJ704)-ABS(CE704))),(CJ704/CE704-1),"NM"))))))</f>
      </c>
      <c r="CK709" s="308">
        <f>IF(CF704=0, "NA", CK704/CF704-1)</f>
      </c>
      <c r="CL709" s="30">
        <f t="shared" si="1742"/>
      </c>
      <c r="CM709" s="30">
        <f t="shared" si="1742"/>
      </c>
      <c r="CN709" s="30">
        <f t="shared" si="1742"/>
      </c>
      <c r="CO709" s="30">
        <f>IF(CJ704="NM","NM",IF(CO704="NM","NM",IF(CJ704&lt;=0,"NM",IF(CO704=0,"NM",IF(ABS(CO704/CJ704-1)&gt;2.5,"NM",IF((ABS(CO704-CJ704)=ABS(ABS(CO704)-ABS(CJ704))),(CO704/CJ704-1),"NM"))))))</f>
      </c>
      <c r="CP709" s="308">
        <f>IF(CK704=0, "NA", CP704/CK704-1)</f>
      </c>
      <c r="CQ709" s="30"/>
      <c r="CR709" s="30"/>
      <c r="CS709" s="926"/>
      <c r="CT709" s="926"/>
      <c r="CU709" s="308"/>
      <c r="CV709" s="30"/>
      <c r="CW709" s="30"/>
      <c r="CX709" s="30"/>
      <c r="CY709" s="926"/>
      <c r="CZ709" s="308"/>
      <c r="DA709" s="30"/>
      <c r="DB709" s="959"/>
      <c r="DC709" s="959"/>
      <c r="DD709" s="960"/>
      <c r="DE709" s="308"/>
      <c r="DF709" s="30"/>
      <c r="DG709" s="926"/>
      <c r="DH709" s="926"/>
      <c r="DI709" s="928"/>
      <c r="DJ709" s="830"/>
      <c r="DK709" s="830"/>
      <c r="DL709" s="30"/>
      <c r="DM709" s="30"/>
      <c r="DN709" s="409"/>
      <c r="DO709" s="409"/>
      <c r="DP709" s="30"/>
      <c r="DQ709" s="30"/>
      <c r="DR709" s="30"/>
      <c r="DS709" s="409"/>
      <c r="DT709" s="308"/>
      <c r="DU709" s="926"/>
      <c r="DV709" s="926"/>
      <c r="DW709" s="926"/>
      <c r="DX709" s="928"/>
      <c r="DY709" s="308"/>
      <c r="DZ709" s="926"/>
      <c r="EA709" s="926"/>
      <c r="EB709" s="926"/>
      <c r="EC709" s="928"/>
      <c r="ED709" s="1060"/>
      <c r="EE709" s="926"/>
      <c r="EF709" s="926"/>
      <c r="EG709" s="926"/>
      <c r="EH709" s="928"/>
      <c r="EI709" s="308"/>
      <c r="EJ709" s="308"/>
      <c r="EK709" s="308"/>
      <c r="EL709" s="308"/>
      <c r="EM709" s="308"/>
      <c r="EN709" s="308"/>
      <c r="EO709" s="308"/>
      <c r="EP709" s="308"/>
      <c r="EQ709" s="308"/>
      <c r="ER709" s="308"/>
      <c r="ES709" s="308"/>
      <c r="ET709" s="308"/>
      <c r="EU709" s="308"/>
      <c r="EV709" s="308"/>
      <c r="EW709" s="308"/>
      <c r="EX709" s="308"/>
    </row>
    <row r="710" spans="1:154" ht="12.75" hidden="1" customHeight="1" outlineLevel="2">
      <c r="B710" s="441" t="s">
        <v>256</v>
      </c>
      <c r="C710" s="1989"/>
      <c r="D710" s="28"/>
      <c r="E710" s="28"/>
      <c r="F710" s="28"/>
      <c r="G710" s="28"/>
      <c r="H710" s="28"/>
      <c r="I710" s="24"/>
      <c r="J710" s="1"/>
      <c r="K710" s="1"/>
      <c r="L710" s="1"/>
      <c r="M710" s="1"/>
      <c r="N710" s="24"/>
      <c r="O710" s="24"/>
      <c r="P710" s="24"/>
      <c r="Q710" s="24"/>
      <c r="R710" s="24"/>
      <c r="S710" s="1"/>
      <c r="T710" s="24"/>
      <c r="U710" s="24"/>
      <c r="V710" s="24"/>
      <c r="W710" s="24"/>
      <c r="X710" s="309"/>
      <c r="Y710" s="24"/>
      <c r="Z710" s="24"/>
      <c r="AA710" s="24"/>
      <c r="AB710" s="24"/>
      <c r="AC710" s="309"/>
      <c r="AD710" s="24"/>
      <c r="AE710" s="24"/>
      <c r="AF710" s="24"/>
      <c r="AG710" s="24"/>
      <c r="AH710" s="309"/>
      <c r="AI710" s="41">
        <f t="shared" ref="AI710:BK710" si="1743">IF(ISNUMBER(AI709),(1+AI709)/(1+AI$21)-1,"NM")</f>
      </c>
      <c r="AJ710" s="41">
        <f t="shared" si="1743"/>
      </c>
      <c r="AK710" s="41">
        <f t="shared" si="1743"/>
      </c>
      <c r="AL710" s="41">
        <f t="shared" si="1743"/>
      </c>
      <c r="AM710" s="309">
        <f t="shared" si="1743"/>
      </c>
      <c r="AN710" s="41">
        <f t="shared" si="1743"/>
      </c>
      <c r="AO710" s="41">
        <f t="shared" si="1743"/>
      </c>
      <c r="AP710" s="41">
        <f t="shared" si="1743"/>
      </c>
      <c r="AQ710" s="41">
        <f t="shared" si="1743"/>
      </c>
      <c r="AR710" s="309">
        <f t="shared" si="1743"/>
      </c>
      <c r="AS710" s="41">
        <f t="shared" si="1743"/>
      </c>
      <c r="AT710" s="41">
        <f t="shared" si="1743"/>
      </c>
      <c r="AU710" s="41">
        <f t="shared" si="1743"/>
      </c>
      <c r="AV710" s="41">
        <f t="shared" si="1743"/>
      </c>
      <c r="AW710" s="309">
        <f t="shared" si="1743"/>
      </c>
      <c r="AX710" s="41">
        <f t="shared" si="1743"/>
      </c>
      <c r="AY710" s="41">
        <f t="shared" si="1743"/>
      </c>
      <c r="AZ710" s="41">
        <f t="shared" si="1743"/>
      </c>
      <c r="BA710" s="41">
        <f t="shared" si="1743"/>
      </c>
      <c r="BB710" s="309">
        <f t="shared" si="1743"/>
      </c>
      <c r="BC710" s="41">
        <f t="shared" si="1743"/>
      </c>
      <c r="BD710" s="41">
        <f t="shared" si="1743"/>
      </c>
      <c r="BE710" s="30">
        <f t="shared" si="1743"/>
      </c>
      <c r="BF710" s="30">
        <f t="shared" si="1743"/>
      </c>
      <c r="BG710" s="309">
        <f t="shared" si="1743"/>
      </c>
      <c r="BH710" s="30">
        <f t="shared" si="1743"/>
      </c>
      <c r="BI710" s="30">
        <f t="shared" si="1743"/>
      </c>
      <c r="BJ710" s="30">
        <f t="shared" si="1743"/>
      </c>
      <c r="BK710" s="30">
        <f t="shared" si="1743"/>
      </c>
      <c r="BL710" s="315">
        <f>BL709-$BL$21</f>
      </c>
      <c r="BM710" s="649">
        <f>IF(ISNUMBER(BM709),(1+BM709)/(1+BM$21)-1,"NM")</f>
      </c>
      <c r="BN710" s="649">
        <v>-2.7E-2</v>
      </c>
      <c r="BO710" s="649">
        <v>3.9E-2</v>
      </c>
      <c r="BP710" s="649">
        <v>8.6999999999999994E-2</v>
      </c>
      <c r="BQ710" s="406">
        <v>0</v>
      </c>
      <c r="BR710" s="649">
        <v>-2.7E-2</v>
      </c>
      <c r="BS710" s="649">
        <v>-2.8000000000000001E-2</v>
      </c>
      <c r="BT710" s="649">
        <v>-9.1999999999999998E-2</v>
      </c>
      <c r="BU710" s="649">
        <v>-0.33900000000000002</v>
      </c>
      <c r="BV710" s="406">
        <v>-0.11799999999999999</v>
      </c>
      <c r="BW710" s="649">
        <v>-0.60499999999999998</v>
      </c>
      <c r="BX710" s="649">
        <v>-0.54</v>
      </c>
      <c r="BY710" s="29">
        <v>-0.62</v>
      </c>
      <c r="BZ710" s="836">
        <v>-0.43099999999999999</v>
      </c>
      <c r="CA710" s="448">
        <v>-0.55500000000000005</v>
      </c>
      <c r="CB710" s="30">
        <f>IF(ISNUMBER(CB709),(1+CB709)/(1+CB$21)-1,"NM")</f>
      </c>
      <c r="CC710" s="30">
        <f>IF(ISNUMBER(CC709),(1+CC709)/(1+CC$21)-1,"NM")</f>
      </c>
      <c r="CD710" s="30">
        <f>IF(ISNUMBER(CD709),(1+CD709)/(1+CD$21)-1,"NM")</f>
      </c>
      <c r="CE710" s="928">
        <f>IF(ISNUMBER(CE709),(1+CE709)/(1+CE$21)-1,"NM")</f>
      </c>
      <c r="CF710" s="448">
        <f>CF709-CF$21</f>
      </c>
      <c r="CG710" s="30">
        <f>IF(ISNUMBER(CG709),(1+CG709)/(1+CG$21)-1,"NM")</f>
      </c>
      <c r="CH710" s="30">
        <f>IF(ISNUMBER(CH709),(1+CH709)/(1+CH$21)-1,"NM")</f>
      </c>
      <c r="CI710" s="30">
        <f>IF(ISNUMBER(CI709),(1+CI709)/(1+CI$21)-1,"NM")</f>
      </c>
      <c r="CJ710" s="30">
        <f>IF(ISNUMBER(CJ709),(1+CJ709)/(1+CJ$21)-1,"NM")</f>
      </c>
      <c r="CK710" s="315">
        <f>CK709-CK$21</f>
      </c>
      <c r="CL710" s="30">
        <f>IF(ISNUMBER(CL709),(1+CL709)/(1+CL$21)-1,"NM")</f>
      </c>
      <c r="CM710" s="30">
        <f>IF(ISNUMBER(CM709),(1+CM709)/(1+CM$21)-1,"NM")</f>
      </c>
      <c r="CN710" s="30">
        <f>IF(ISNUMBER(CN709),(1+CN709)/(1+CN$21)-1,"NM")</f>
      </c>
      <c r="CO710" s="30">
        <f>IF(ISNUMBER(CO709),(1+CO709)/(1+CO$21)-1,"NM")</f>
      </c>
      <c r="CP710" s="315">
        <f>CP709-CP$21</f>
      </c>
      <c r="CQ710" s="30"/>
      <c r="CR710" s="30"/>
      <c r="CS710" s="29"/>
      <c r="CT710" s="29"/>
      <c r="CU710" s="315"/>
      <c r="CV710" s="30"/>
      <c r="CW710" s="30"/>
      <c r="CX710" s="30"/>
      <c r="CY710" s="29"/>
      <c r="CZ710" s="315"/>
      <c r="DA710" s="30"/>
      <c r="DB710" s="361"/>
      <c r="DC710" s="361"/>
      <c r="DD710" s="835"/>
      <c r="DE710" s="317"/>
      <c r="DF710" s="30"/>
      <c r="DG710" s="361"/>
      <c r="DH710" s="361"/>
      <c r="DI710" s="835"/>
      <c r="DJ710" s="29"/>
      <c r="DK710" s="400"/>
      <c r="DL710" s="29"/>
      <c r="DM710" s="29"/>
      <c r="DN710" s="836"/>
      <c r="DO710" s="836"/>
      <c r="DP710" s="29"/>
      <c r="DQ710" s="29"/>
      <c r="DR710" s="29"/>
      <c r="DS710" s="836"/>
      <c r="DT710" s="836"/>
      <c r="DU710" s="29"/>
      <c r="DV710" s="29"/>
      <c r="DW710" s="29"/>
      <c r="DX710" s="836"/>
      <c r="DY710" s="836"/>
      <c r="DZ710" s="29"/>
      <c r="EA710" s="29"/>
      <c r="EB710" s="29"/>
      <c r="EC710" s="836"/>
      <c r="ED710" s="836"/>
      <c r="EE710" s="29"/>
      <c r="EF710" s="29"/>
      <c r="EG710" s="29"/>
      <c r="EH710" s="836"/>
      <c r="EI710" s="836"/>
      <c r="EJ710" s="317"/>
      <c r="EK710" s="317"/>
      <c r="EL710" s="317"/>
      <c r="EM710" s="317"/>
      <c r="EN710" s="317"/>
      <c r="EO710" s="317"/>
      <c r="EP710" s="317"/>
      <c r="EQ710" s="317"/>
      <c r="ER710" s="317"/>
      <c r="ES710" s="317"/>
      <c r="ET710" s="317"/>
      <c r="EU710" s="317"/>
      <c r="EV710" s="317"/>
      <c r="EW710" s="317"/>
      <c r="EX710" s="317"/>
    </row>
    <row r="711" spans="1:154" ht="12.75" hidden="1" customHeight="1" outlineLevel="2">
      <c r="A711" s="3277"/>
      <c r="B711" s="441" t="s">
        <v>413</v>
      </c>
      <c r="C711" s="1989"/>
      <c r="D711" s="28"/>
      <c r="E711" s="28"/>
      <c r="F711" s="28"/>
      <c r="G711" s="28"/>
      <c r="H711" s="28"/>
      <c r="I711" s="30" t="str">
        <f t="shared" ref="I711:AN711" si="1744">IF(D705="NM","NM",IF(I705="NM","NM",IF(D705&lt;=0,"NM",IF(I705=0,"NM",IF(ABS(I705/D705-1)&gt;2.5,"NM",IF((ABS(I705-D705)=ABS(ABS(I705)-ABS(D705))),(I705/D705-1),"NM"))))))</f>
      </c>
      <c r="J711" s="30" t="str">
        <f t="shared" si="1744"/>
      </c>
      <c r="K711" s="30" t="str">
        <f t="shared" si="1744"/>
      </c>
      <c r="L711" s="30" t="str">
        <f t="shared" si="1744"/>
      </c>
      <c r="M711" s="30" t="str">
        <f t="shared" si="1744"/>
      </c>
      <c r="N711" s="30" t="str">
        <f t="shared" si="1744"/>
      </c>
      <c r="O711" s="30" t="str">
        <f t="shared" si="1744"/>
      </c>
      <c r="P711" s="30" t="str">
        <f t="shared" si="1744"/>
      </c>
      <c r="Q711" s="30">
        <f t="shared" si="1744"/>
      </c>
      <c r="R711" s="30">
        <f t="shared" si="1744"/>
      </c>
      <c r="S711" s="30">
        <f t="shared" si="1744"/>
      </c>
      <c r="T711" s="30">
        <f t="shared" si="1744"/>
      </c>
      <c r="U711" s="30">
        <f t="shared" si="1744"/>
      </c>
      <c r="V711" s="30">
        <f t="shared" si="1744"/>
      </c>
      <c r="W711" s="30">
        <f t="shared" si="1744"/>
      </c>
      <c r="X711" s="308">
        <f t="shared" si="1744"/>
      </c>
      <c r="Y711" s="30">
        <f t="shared" si="1744"/>
      </c>
      <c r="Z711" s="30">
        <f t="shared" si="1744"/>
      </c>
      <c r="AA711" s="30">
        <f t="shared" si="1744"/>
      </c>
      <c r="AB711" s="30">
        <f t="shared" si="1744"/>
      </c>
      <c r="AC711" s="308">
        <f t="shared" si="1744"/>
      </c>
      <c r="AD711" s="30">
        <f t="shared" si="1744"/>
      </c>
      <c r="AE711" s="30">
        <f t="shared" si="1744"/>
      </c>
      <c r="AF711" s="30">
        <f t="shared" si="1744"/>
      </c>
      <c r="AG711" s="30">
        <f t="shared" si="1744"/>
      </c>
      <c r="AH711" s="308">
        <f t="shared" si="1744"/>
      </c>
      <c r="AI711" s="30">
        <f t="shared" si="1744"/>
      </c>
      <c r="AJ711" s="30">
        <f t="shared" si="1744"/>
      </c>
      <c r="AK711" s="30">
        <f t="shared" si="1744"/>
      </c>
      <c r="AL711" s="30">
        <f t="shared" si="1744"/>
      </c>
      <c r="AM711" s="308">
        <f t="shared" si="1744"/>
      </c>
      <c r="AN711" s="30">
        <f t="shared" si="1744"/>
      </c>
      <c r="AO711" s="30">
        <f t="shared" ref="AO711:BO711" si="1745">IF(AJ705="NM","NM",IF(AO705="NM","NM",IF(AJ705&lt;=0,"NM",IF(AO705=0,"NM",IF(ABS(AO705/AJ705-1)&gt;2.5,"NM",IF((ABS(AO705-AJ705)=ABS(ABS(AO705)-ABS(AJ705))),(AO705/AJ705-1),"NM"))))))</f>
      </c>
      <c r="AP711" s="30">
        <f t="shared" si="1745"/>
      </c>
      <c r="AQ711" s="30">
        <f t="shared" si="1745"/>
      </c>
      <c r="AR711" s="308">
        <f t="shared" si="1745"/>
      </c>
      <c r="AS711" s="30">
        <f t="shared" si="1745"/>
      </c>
      <c r="AT711" s="30">
        <f t="shared" si="1745"/>
      </c>
      <c r="AU711" s="30">
        <f t="shared" si="1745"/>
      </c>
      <c r="AV711" s="30">
        <f t="shared" si="1745"/>
      </c>
      <c r="AW711" s="308">
        <f t="shared" si="1745"/>
      </c>
      <c r="AX711" s="30">
        <f t="shared" si="1745"/>
      </c>
      <c r="AY711" s="30">
        <f t="shared" si="1745"/>
      </c>
      <c r="AZ711" s="30">
        <f t="shared" si="1745"/>
      </c>
      <c r="BA711" s="30">
        <f t="shared" si="1745"/>
      </c>
      <c r="BB711" s="308">
        <f t="shared" si="1745"/>
      </c>
      <c r="BC711" s="30">
        <f t="shared" si="1745"/>
      </c>
      <c r="BD711" s="30">
        <f t="shared" si="1745"/>
      </c>
      <c r="BE711" s="30">
        <f t="shared" si="1745"/>
      </c>
      <c r="BF711" s="30">
        <f t="shared" si="1745"/>
      </c>
      <c r="BG711" s="308">
        <f t="shared" si="1745"/>
      </c>
      <c r="BH711" s="30">
        <f t="shared" si="1745"/>
      </c>
      <c r="BI711" s="30">
        <f t="shared" si="1745"/>
      </c>
      <c r="BJ711" s="30">
        <f t="shared" si="1745"/>
      </c>
      <c r="BK711" s="30">
        <f t="shared" si="1745"/>
      </c>
      <c r="BL711" s="315">
        <f t="shared" ref="BL711:BS711" si="1746">IF(BG705="NM","NM",IF(BL705="NM","NM",IF(BG705&lt;=0,"NM",IF(BL705=0,"NM",IF(ABS(BL705/BG705-1)&gt;2.5,"NM",IF((ABS(BL705-BG705)=ABS(ABS(BL705)-ABS(BG705))),(BL705/BG705-1),"NM"))))))</f>
      </c>
      <c r="BM711" s="30">
        <f t="shared" si="1745"/>
      </c>
      <c r="BN711" s="30">
        <f t="shared" si="1745"/>
      </c>
      <c r="BO711" s="30">
        <f t="shared" si="1745"/>
      </c>
      <c r="BP711" s="30">
        <f t="shared" si="1746"/>
      </c>
      <c r="BQ711" s="315">
        <f t="shared" si="1746"/>
      </c>
      <c r="BR711" s="30">
        <f>IF(BM705="NM","NM",IF(BR705="NM","NM",IF(BM705&lt;=0,"NM",IF(BR705=0,"NM",IF(ABS(BR705/BM705-1)&gt;2.5,"NM",IF((ABS(BR705-BM705)=ABS(ABS(BR705)-ABS(BM705))),(BR705/BM705-1),"NM"))))))</f>
      </c>
      <c r="BS711" s="30">
        <f t="shared" si="1746"/>
      </c>
      <c r="BT711" s="30">
        <f t="shared" ref="BT711:CJ711" si="1747">IF(BO705="NM","NM",IF(BT705="NM","NM",IF(BO705&lt;=0,"NM",IF(BT705=0,"NM",IF(ABS(BT705/BO705-1)&gt;2.5,"NM",IF((ABS(BT705-BO705)=ABS(ABS(BT705)-ABS(BO705))),(BT705/BO705-1),"NM"))))))</f>
      </c>
      <c r="BU711" s="30">
        <f t="shared" si="1747"/>
      </c>
      <c r="BV711" s="315">
        <f t="shared" si="1747"/>
      </c>
      <c r="BW711" s="30">
        <f t="shared" si="1747"/>
      </c>
      <c r="BX711" s="30">
        <f t="shared" si="1747"/>
      </c>
      <c r="BY711" s="30">
        <f t="shared" si="1747"/>
      </c>
      <c r="BZ711" s="30">
        <f t="shared" si="1747"/>
      </c>
      <c r="CA711" s="308">
        <f t="shared" si="1747"/>
      </c>
      <c r="CB711" s="30">
        <f t="shared" si="1747"/>
      </c>
      <c r="CC711" s="30">
        <f t="shared" si="1747"/>
      </c>
      <c r="CD711" s="30">
        <f t="shared" si="1747"/>
      </c>
      <c r="CE711" s="30">
        <f t="shared" si="1747"/>
      </c>
      <c r="CF711" s="308">
        <f t="shared" si="1747"/>
      </c>
      <c r="CG711" s="30">
        <f t="shared" si="1747"/>
      </c>
      <c r="CH711" s="30">
        <f t="shared" si="1747"/>
      </c>
      <c r="CI711" s="30">
        <f t="shared" si="1747"/>
      </c>
      <c r="CJ711" s="30">
        <f t="shared" si="1747"/>
      </c>
      <c r="CK711" s="308">
        <f>IF(CF705=0, "NA", CK705/CF705-1)</f>
      </c>
      <c r="CL711" s="30">
        <f>IF(CG705="NM","NM",IF(CL705="NM","NM",IF(CG705&lt;=0,"NM",IF(CL705=0,"NM",IF(ABS(CL705/CG705-1)&gt;2.5,"NM",IF((ABS(CL705-CG705)=ABS(ABS(CL705)-ABS(CG705))),(CL705/CG705-1),"NM"))))))</f>
      </c>
      <c r="CM711" s="30">
        <f>IF(CH705="NM","NM",IF(CM705="NM","NM",IF(CH705&lt;=0,"NM",IF(CM705=0,"NM",IF(ABS(CM705/CH705-1)&gt;2.5,"NM",IF((ABS(CM705-CH705)=ABS(ABS(CM705)-ABS(CH705))),(CM705/CH705-1),"NM"))))))</f>
      </c>
      <c r="CN711" s="30">
        <f>IF(CI705="NM","NM",IF(CN705="NM","NM",IF(CI705&lt;=0,"NM",IF(CN705=0,"NM",IF(ABS(CN705/CI705-1)&gt;2.5,"NM",IF((ABS(CN705-CI705)=ABS(ABS(CN705)-ABS(CI705))),(CN705/CI705-1),"NM"))))))</f>
      </c>
      <c r="CO711" s="30">
        <f>IF(CJ705="NM","NM",IF(CO705="NM","NM",IF(CJ705&lt;=0,"NM",IF(CO705=0,"NM",IF(ABS(CO705/CJ705-1)&gt;2.5,"NM",IF((ABS(CO705-CJ705)=ABS(ABS(CO705)-ABS(CJ705))),(CO705/CJ705-1),"NM"))))))</f>
      </c>
      <c r="CP711" s="308">
        <f>IF(CK705=0, "NA", CP705/CK705-1)</f>
      </c>
      <c r="CQ711" s="30"/>
      <c r="CR711" s="30"/>
      <c r="CS711" s="926"/>
      <c r="CT711" s="926"/>
      <c r="CU711" s="308"/>
      <c r="CV711" s="30"/>
      <c r="CW711" s="30"/>
      <c r="CX711" s="30"/>
      <c r="CY711" s="926"/>
      <c r="CZ711" s="308"/>
      <c r="DA711" s="30"/>
      <c r="DB711" s="926"/>
      <c r="DC711" s="926"/>
      <c r="DD711" s="928"/>
      <c r="DE711" s="308"/>
      <c r="DF711" s="30"/>
      <c r="DG711" s="926"/>
      <c r="DH711" s="926"/>
      <c r="DI711" s="928"/>
      <c r="DJ711" s="830"/>
      <c r="DK711" s="830"/>
      <c r="DL711" s="30"/>
      <c r="DM711" s="30"/>
      <c r="DN711" s="409"/>
      <c r="DO711" s="409"/>
      <c r="DP711" s="30"/>
      <c r="DQ711" s="30"/>
      <c r="DR711" s="30"/>
      <c r="DS711" s="409"/>
      <c r="DT711" s="308"/>
      <c r="DU711" s="926"/>
      <c r="DV711" s="926"/>
      <c r="DW711" s="926"/>
      <c r="DX711" s="928"/>
      <c r="DY711" s="308"/>
      <c r="DZ711" s="926"/>
      <c r="EA711" s="926"/>
      <c r="EB711" s="926"/>
      <c r="EC711" s="928"/>
      <c r="ED711" s="1060"/>
      <c r="EE711" s="926"/>
      <c r="EF711" s="926"/>
      <c r="EG711" s="926"/>
      <c r="EH711" s="928"/>
      <c r="EI711" s="308"/>
      <c r="EJ711" s="308"/>
      <c r="EK711" s="308"/>
      <c r="EL711" s="308"/>
      <c r="EM711" s="308"/>
      <c r="EN711" s="308"/>
      <c r="EO711" s="308"/>
      <c r="EP711" s="308"/>
      <c r="EQ711" s="308"/>
      <c r="ER711" s="308"/>
      <c r="ES711" s="308"/>
      <c r="ET711" s="308"/>
      <c r="EU711" s="308"/>
      <c r="EV711" s="308"/>
      <c r="EW711" s="308"/>
      <c r="EX711" s="308"/>
    </row>
    <row r="712" spans="1:154" ht="12.75" customHeight="1" outlineLevel="1" collapsed="1">
      <c r="A712" s="3277"/>
      <c r="B712" s="441"/>
      <c r="C712" s="1989"/>
      <c r="D712" s="28"/>
      <c r="E712" s="28"/>
      <c r="F712" s="28"/>
      <c r="G712" s="28"/>
      <c r="H712" s="28"/>
      <c r="I712" s="31"/>
      <c r="J712" s="28"/>
      <c r="K712" s="28"/>
      <c r="L712" s="28"/>
      <c r="M712" s="28"/>
      <c r="N712" s="31"/>
      <c r="O712" s="31"/>
      <c r="P712" s="31"/>
      <c r="Q712" s="31"/>
      <c r="R712" s="31"/>
      <c r="S712" s="31"/>
      <c r="T712" s="31"/>
      <c r="U712" s="31"/>
      <c r="V712" s="31"/>
      <c r="W712" s="31"/>
      <c r="X712" s="313"/>
      <c r="Y712" s="31"/>
      <c r="Z712" s="31"/>
      <c r="AA712" s="31"/>
      <c r="AB712" s="31"/>
      <c r="AC712" s="313"/>
      <c r="AD712" s="31"/>
      <c r="AE712" s="31"/>
      <c r="AF712" s="31"/>
      <c r="AG712" s="31"/>
      <c r="AH712" s="313"/>
      <c r="AI712" s="28"/>
      <c r="AJ712" s="28"/>
      <c r="AK712" s="28"/>
      <c r="AL712" s="31"/>
      <c r="AM712" s="313"/>
      <c r="AN712" s="28"/>
      <c r="AO712" s="28"/>
      <c r="AP712" s="28"/>
      <c r="AQ712" s="31"/>
      <c r="AR712" s="313"/>
      <c r="AS712" s="28"/>
      <c r="AT712" s="28"/>
      <c r="AU712" s="28"/>
      <c r="AV712" s="31"/>
      <c r="AW712" s="313"/>
      <c r="AX712" s="28"/>
      <c r="AY712" s="28"/>
      <c r="AZ712" s="28"/>
      <c r="BA712" s="28"/>
      <c r="BB712" s="313"/>
      <c r="BC712" s="28"/>
      <c r="BD712" s="28"/>
      <c r="BE712" s="28"/>
      <c r="BF712" s="28"/>
      <c r="BG712" s="313"/>
      <c r="BH712" s="28"/>
      <c r="BI712" s="28"/>
      <c r="BJ712" s="28"/>
      <c r="BK712" s="28"/>
      <c r="BL712" s="313"/>
      <c r="BM712" s="28"/>
      <c r="BN712" s="28"/>
      <c r="BO712" s="28"/>
      <c r="BP712" s="28"/>
      <c r="BQ712" s="313"/>
      <c r="BR712" s="28"/>
      <c r="BS712" s="28"/>
      <c r="BT712" s="28"/>
      <c r="BU712" s="28"/>
      <c r="BV712" s="313"/>
      <c r="BW712" s="28"/>
      <c r="BX712" s="28"/>
      <c r="BY712" s="28"/>
      <c r="BZ712" s="28"/>
      <c r="CA712" s="313"/>
      <c r="CB712" s="28"/>
      <c r="CC712" s="28"/>
      <c r="CD712" s="28"/>
      <c r="CE712" s="28"/>
      <c r="CF712" s="313"/>
      <c r="CG712" s="28"/>
      <c r="CH712" s="28"/>
      <c r="CI712" s="28"/>
      <c r="CJ712" s="28"/>
      <c r="CK712" s="313"/>
      <c r="CL712" s="28"/>
      <c r="CM712" s="28"/>
      <c r="CN712" s="933"/>
      <c r="CO712" s="28"/>
      <c r="CP712" s="313"/>
      <c r="CQ712" s="933"/>
      <c r="CR712" s="933"/>
      <c r="CS712" s="933"/>
      <c r="CT712" s="933"/>
      <c r="CU712" s="313"/>
      <c r="CV712" s="933"/>
      <c r="CW712" s="933"/>
      <c r="CX712" s="933"/>
      <c r="CY712" s="933"/>
      <c r="CZ712" s="313"/>
      <c r="DA712" s="933"/>
      <c r="DB712" s="31"/>
      <c r="DC712" s="31"/>
      <c r="DD712" s="955"/>
      <c r="DE712" s="477"/>
      <c r="DF712" s="982"/>
      <c r="DG712" s="603"/>
      <c r="DH712" s="603"/>
      <c r="DI712" s="1798"/>
      <c r="DJ712" s="1799"/>
      <c r="DK712" s="1799"/>
      <c r="DL712" s="603"/>
      <c r="DM712" s="603"/>
      <c r="DN712" s="1798"/>
      <c r="DO712" s="1798"/>
      <c r="DP712" s="603"/>
      <c r="DQ712" s="603"/>
      <c r="DR712" s="603"/>
      <c r="DS712" s="1798"/>
      <c r="DT712" s="477"/>
      <c r="DU712" s="603"/>
      <c r="DV712" s="603"/>
      <c r="DW712" s="603"/>
      <c r="DX712" s="1798"/>
      <c r="DY712" s="1798"/>
      <c r="DZ712" s="603"/>
      <c r="EA712" s="603"/>
      <c r="EB712" s="603"/>
      <c r="EC712" s="1798"/>
      <c r="ED712" s="1798"/>
      <c r="EE712" s="603"/>
      <c r="EF712" s="603"/>
      <c r="EG712" s="603"/>
      <c r="EH712" s="1798"/>
      <c r="EI712" s="1798"/>
      <c r="EJ712" s="1798"/>
      <c r="EK712" s="1798"/>
      <c r="EL712" s="1798"/>
      <c r="EM712" s="1798"/>
      <c r="EN712" s="1798"/>
      <c r="EO712" s="477"/>
      <c r="EP712" s="477"/>
      <c r="EQ712" s="477"/>
      <c r="ER712" s="477"/>
      <c r="ES712" s="477"/>
      <c r="ET712" s="477"/>
      <c r="EU712" s="477"/>
      <c r="EV712" s="477"/>
      <c r="EW712" s="477"/>
      <c r="EX712" s="477"/>
    </row>
    <row r="713" spans="1:154" ht="12.75" customHeight="1" outlineLevel="1">
      <c r="A713" s="3277"/>
      <c r="B713" s="1164" t="s">
        <v>538</v>
      </c>
      <c r="C713" s="1989"/>
      <c r="D713" s="28"/>
      <c r="E713" s="28"/>
      <c r="F713" s="28"/>
      <c r="G713" s="28"/>
      <c r="H713" s="28"/>
      <c r="I713" s="31"/>
      <c r="J713" s="28"/>
      <c r="K713" s="28"/>
      <c r="L713" s="28"/>
      <c r="M713" s="28"/>
      <c r="N713" s="31"/>
      <c r="O713" s="31"/>
      <c r="P713" s="31"/>
      <c r="Q713" s="31"/>
      <c r="R713" s="31"/>
      <c r="S713" s="31"/>
      <c r="T713" s="31"/>
      <c r="U713" s="31"/>
      <c r="V713" s="31"/>
      <c r="W713" s="31"/>
      <c r="X713" s="313"/>
      <c r="Y713" s="31"/>
      <c r="Z713" s="31"/>
      <c r="AA713" s="31"/>
      <c r="AB713" s="31"/>
      <c r="AC713" s="313"/>
      <c r="AD713" s="31"/>
      <c r="AE713" s="31"/>
      <c r="AF713" s="31"/>
      <c r="AG713" s="31"/>
      <c r="AH713" s="313"/>
      <c r="AI713" s="28"/>
      <c r="AJ713" s="32"/>
      <c r="AK713" s="28"/>
      <c r="AL713" s="31"/>
      <c r="AM713" s="313"/>
      <c r="AN713" s="28"/>
      <c r="AO713" s="28"/>
      <c r="AP713" s="28"/>
      <c r="AQ713" s="31"/>
      <c r="AR713" s="313"/>
      <c r="AS713" s="28"/>
      <c r="AT713" s="28"/>
      <c r="AU713" s="28"/>
      <c r="AV713" s="28"/>
      <c r="AW713" s="313"/>
      <c r="AX713" s="28"/>
      <c r="AY713" s="28"/>
      <c r="AZ713" s="28"/>
      <c r="BA713" s="28"/>
      <c r="BB713" s="313"/>
      <c r="BC713" s="28"/>
      <c r="BD713" s="28"/>
      <c r="BE713" s="28"/>
      <c r="BF713" s="28"/>
      <c r="BG713" s="313"/>
      <c r="BH713" s="28"/>
      <c r="BI713" s="28"/>
      <c r="BJ713" s="28"/>
      <c r="BK713" s="28"/>
      <c r="BL713" s="313"/>
      <c r="BM713" s="28"/>
      <c r="BN713" s="28"/>
      <c r="BO713" s="28"/>
      <c r="BP713" s="28"/>
      <c r="BQ713" s="313"/>
      <c r="BR713" s="28"/>
      <c r="BS713" s="28"/>
      <c r="BT713" s="28"/>
      <c r="BU713" s="28"/>
      <c r="BV713" s="313"/>
      <c r="BW713" s="28"/>
      <c r="BX713" s="28"/>
      <c r="BY713" s="28"/>
      <c r="BZ713" s="28"/>
      <c r="CA713" s="313"/>
      <c r="CB713" s="28"/>
      <c r="CC713" s="28"/>
      <c r="CD713" s="28"/>
      <c r="CE713" s="28"/>
      <c r="CF713" s="313"/>
      <c r="CG713" s="28"/>
      <c r="CH713" s="28"/>
      <c r="CI713" s="28"/>
      <c r="CJ713" s="28"/>
      <c r="CK713" s="313"/>
      <c r="CL713" s="28"/>
      <c r="CM713" s="28"/>
      <c r="CN713" s="933"/>
      <c r="CO713" s="28"/>
      <c r="CP713" s="313"/>
      <c r="CQ713" s="933"/>
      <c r="CR713" s="933"/>
      <c r="CS713" s="933"/>
      <c r="CT713" s="933"/>
      <c r="CU713" s="313"/>
      <c r="CV713" s="933"/>
      <c r="CW713" s="933"/>
      <c r="CX713" s="933"/>
      <c r="CY713" s="933"/>
      <c r="CZ713" s="313"/>
      <c r="DA713" s="933"/>
      <c r="DB713" s="31"/>
      <c r="DC713" s="31"/>
      <c r="DD713" s="955"/>
      <c r="DE713" s="477"/>
      <c r="DF713" s="982"/>
      <c r="DG713" s="603"/>
      <c r="DH713" s="603"/>
      <c r="DI713" s="1798"/>
      <c r="DJ713" s="1799"/>
      <c r="DK713" s="1799"/>
      <c r="DL713" s="1822"/>
      <c r="DM713" s="603"/>
      <c r="DN713" s="1798"/>
      <c r="DO713" s="1798"/>
      <c r="DP713" s="1822"/>
      <c r="DQ713" s="1822"/>
      <c r="DR713" s="1822"/>
      <c r="DS713" s="1837"/>
      <c r="DT713" s="477"/>
      <c r="DU713" s="1822"/>
      <c r="DV713" s="1822"/>
      <c r="DW713" s="1822"/>
      <c r="DX713" s="1837"/>
      <c r="DY713" s="1837"/>
      <c r="DZ713" s="1822"/>
      <c r="EA713" s="1822"/>
      <c r="EB713" s="1822"/>
      <c r="EC713" s="1837"/>
      <c r="ED713" s="1837"/>
      <c r="EE713" s="1822"/>
      <c r="EF713" s="1822"/>
      <c r="EG713" s="1822"/>
      <c r="EH713" s="1837"/>
      <c r="EI713" s="1837"/>
      <c r="EJ713" s="1837"/>
      <c r="EK713" s="1837"/>
      <c r="EL713" s="1837"/>
      <c r="EM713" s="1837"/>
      <c r="EN713" s="1837"/>
      <c r="EO713" s="477"/>
      <c r="EP713" s="477"/>
      <c r="EQ713" s="477"/>
      <c r="ER713" s="477"/>
      <c r="ES713" s="477"/>
      <c r="ET713" s="477"/>
      <c r="EU713" s="477"/>
      <c r="EV713" s="477"/>
      <c r="EW713" s="477"/>
      <c r="EX713" s="477"/>
    </row>
    <row r="714" spans="1:154" ht="12.75" customHeight="1" outlineLevel="1">
      <c r="A714" s="3277" t="str">
        <f>+A716&amp;" - US"</f>
      </c>
      <c r="B714" s="1168" t="s">
        <v>187</v>
      </c>
      <c r="C714" s="1995">
        <v>41487</v>
      </c>
      <c r="D714" s="31">
        <f>+I714/(1+I719)</f>
      </c>
      <c r="E714" s="33">
        <v>255</v>
      </c>
      <c r="F714" s="33">
        <v>311.36363636363637</v>
      </c>
      <c r="G714" s="33">
        <v>315</v>
      </c>
      <c r="H714" s="33">
        <v>359</v>
      </c>
      <c r="I714" s="31">
        <f>+SUM(E714:H714)</f>
      </c>
      <c r="J714" s="33">
        <v>387</v>
      </c>
      <c r="K714" s="33">
        <v>411</v>
      </c>
      <c r="L714" s="33">
        <v>458</v>
      </c>
      <c r="M714" s="33">
        <v>554</v>
      </c>
      <c r="N714" s="31">
        <f>+SUM(J714:M714)</f>
      </c>
      <c r="O714" s="33">
        <v>514</v>
      </c>
      <c r="P714" s="33">
        <v>554</v>
      </c>
      <c r="Q714" s="33">
        <v>742</v>
      </c>
      <c r="R714" s="33">
        <v>525</v>
      </c>
      <c r="S714" s="31">
        <f>SUM(O714:R714)</f>
      </c>
      <c r="T714" s="33">
        <v>691</v>
      </c>
      <c r="U714" s="33">
        <v>764</v>
      </c>
      <c r="V714" s="33">
        <v>776</v>
      </c>
      <c r="W714" s="33">
        <v>803</v>
      </c>
      <c r="X714" s="313">
        <f>SUM(T714:W714)</f>
      </c>
      <c r="Y714" s="33">
        <v>723</v>
      </c>
      <c r="Z714" s="33">
        <v>707</v>
      </c>
      <c r="AA714" s="33">
        <v>703</v>
      </c>
      <c r="AB714" s="33">
        <v>671</v>
      </c>
      <c r="AC714" s="313">
        <f>SUM(Y714:AB714)</f>
      </c>
      <c r="AD714" s="33">
        <v>688</v>
      </c>
      <c r="AE714" s="33">
        <v>582</v>
      </c>
      <c r="AF714" s="33">
        <v>613</v>
      </c>
      <c r="AG714" s="33">
        <v>578</v>
      </c>
      <c r="AH714" s="313">
        <f>SUM(AD714:AG714)</f>
      </c>
      <c r="AI714" s="33">
        <v>565</v>
      </c>
      <c r="AJ714" s="33">
        <v>566</v>
      </c>
      <c r="AK714" s="33">
        <v>575</v>
      </c>
      <c r="AL714" s="33">
        <v>540</v>
      </c>
      <c r="AM714" s="313">
        <f>+SUM(AI714:AL714)</f>
      </c>
      <c r="AN714" s="33">
        <v>527</v>
      </c>
      <c r="AO714" s="33">
        <v>524</v>
      </c>
      <c r="AP714" s="33">
        <v>522</v>
      </c>
      <c r="AQ714" s="33">
        <v>491</v>
      </c>
      <c r="AR714" s="313">
        <f>+SUM(AN714:AQ714)</f>
      </c>
      <c r="AS714" s="33">
        <v>530</v>
      </c>
      <c r="AT714" s="33">
        <v>449</v>
      </c>
      <c r="AU714" s="33">
        <v>380</v>
      </c>
      <c r="AV714" s="33">
        <v>331</v>
      </c>
      <c r="AW714" s="313">
        <f>SUM(AS714:AV714)</f>
      </c>
      <c r="AX714" s="33">
        <v>334</v>
      </c>
      <c r="AY714" s="33">
        <v>346</v>
      </c>
      <c r="AZ714" s="33">
        <v>334</v>
      </c>
      <c r="BA714" s="33">
        <v>318</v>
      </c>
      <c r="BB714" s="313">
        <f>SUM(AX714:BA714)</f>
      </c>
      <c r="BC714" s="33">
        <v>321</v>
      </c>
      <c r="BD714" s="33">
        <v>330</v>
      </c>
      <c r="BE714" s="33">
        <v>299</v>
      </c>
      <c r="BF714" s="33">
        <v>308</v>
      </c>
      <c r="BG714" s="313">
        <f>SUM(BC714:BF714)</f>
      </c>
      <c r="BH714" s="33">
        <v>290</v>
      </c>
      <c r="BI714" s="33">
        <v>306</v>
      </c>
      <c r="BJ714" s="33">
        <v>204</v>
      </c>
      <c r="BK714" s="33">
        <v>270</v>
      </c>
      <c r="BL714" s="313">
        <f>SUM(BH714:BK714)</f>
      </c>
      <c r="BM714" s="33">
        <v>190</v>
      </c>
      <c r="BN714" s="33">
        <v>257</v>
      </c>
      <c r="BO714" s="33">
        <v>176</v>
      </c>
      <c r="BP714" s="33">
        <v>191</v>
      </c>
      <c r="BQ714" s="313">
        <f>SUM(BM714:BP714)</f>
      </c>
      <c r="BR714" s="33">
        <v>204</v>
      </c>
      <c r="BS714" s="352">
        <v>232</v>
      </c>
      <c r="BT714" s="352">
        <v>198</v>
      </c>
      <c r="BU714" s="352">
        <v>171</v>
      </c>
      <c r="BV714" s="313">
        <f>SUM(BR714:BU714)</f>
      </c>
      <c r="BW714" s="352">
        <v>233</v>
      </c>
      <c r="BX714" s="352">
        <v>190</v>
      </c>
      <c r="BY714" s="352">
        <v>204</v>
      </c>
      <c r="BZ714" s="352">
        <v>168</v>
      </c>
      <c r="CA714" s="313">
        <f>SUM(BW714:BZ714)</f>
      </c>
      <c r="CB714" s="352">
        <v>176</v>
      </c>
      <c r="CC714" s="352">
        <v>178</v>
      </c>
      <c r="CD714" s="352">
        <v>184</v>
      </c>
      <c r="CE714" s="352">
        <v>177</v>
      </c>
      <c r="CF714" s="313">
        <f>SUM(CB714:CE714)</f>
      </c>
      <c r="CG714" s="352">
        <v>163</v>
      </c>
      <c r="CH714" s="352">
        <v>179</v>
      </c>
      <c r="CI714" s="352">
        <v>177</v>
      </c>
      <c r="CJ714" s="352">
        <v>173</v>
      </c>
      <c r="CK714" s="313">
        <f>SUM(CG714:CJ714)</f>
      </c>
      <c r="CL714" s="352">
        <v>183</v>
      </c>
      <c r="CM714" s="352">
        <v>230</v>
      </c>
      <c r="CN714" s="352">
        <v>168</v>
      </c>
      <c r="CO714" s="352">
        <v>186</v>
      </c>
      <c r="CP714" s="313">
        <f>SUM(CL714:CO714)</f>
      </c>
      <c r="CQ714" s="352">
        <v>169</v>
      </c>
      <c r="CR714" s="352">
        <v>174</v>
      </c>
      <c r="CS714" s="352">
        <v>168</v>
      </c>
      <c r="CT714" s="352">
        <v>164</v>
      </c>
      <c r="CU714" s="313">
        <f>SUM(CQ714:CT714)</f>
      </c>
      <c r="CV714" s="352">
        <v>189</v>
      </c>
      <c r="CW714" s="352">
        <v>156</v>
      </c>
      <c r="CX714" s="352">
        <v>178</v>
      </c>
      <c r="CY714" s="352">
        <v>151</v>
      </c>
      <c r="CZ714" s="313">
        <f>SUM(CV714:CY714)</f>
      </c>
      <c r="DA714" s="352">
        <v>148</v>
      </c>
      <c r="DB714" s="352">
        <v>113</v>
      </c>
      <c r="DC714" s="352">
        <v>126</v>
      </c>
      <c r="DD714" s="956">
        <v>118</v>
      </c>
      <c r="DE714" s="477">
        <f>SUM(DA714:DD714)</f>
      </c>
      <c r="DF714" s="710">
        <v>76</v>
      </c>
      <c r="DG714" s="710">
        <v>70</v>
      </c>
      <c r="DH714" s="710">
        <v>69</v>
      </c>
      <c r="DI714" s="1839">
        <v>62</v>
      </c>
      <c r="DJ714" s="477">
        <f>SUM(DF714:DI714)</f>
      </c>
      <c r="DK714" s="710">
        <v>62</v>
      </c>
      <c r="DL714" s="1544">
        <v>59</v>
      </c>
      <c r="DM714" s="710">
        <v>47</v>
      </c>
      <c r="DN714" s="1839">
        <v>55</v>
      </c>
      <c r="DO714" s="477">
        <f>SUM(DK714:DN714)</f>
      </c>
      <c r="DP714" s="1840">
        <v>0</v>
      </c>
      <c r="DQ714" s="1840">
        <v>0</v>
      </c>
      <c r="DR714" s="1840">
        <v>0</v>
      </c>
      <c r="DS714" s="1553">
        <v>0</v>
      </c>
      <c r="DT714" s="1835">
        <v>0</v>
      </c>
      <c r="DU714" s="1840">
        <f>+(1+DU719)*DP714</f>
      </c>
      <c r="DV714" s="1840"/>
      <c r="DW714" s="1840"/>
      <c r="DX714" s="1553"/>
      <c r="DY714" s="1835"/>
      <c r="DZ714" s="1840"/>
      <c r="EA714" s="1840"/>
      <c r="EB714" s="1840"/>
      <c r="EC714" s="1553"/>
      <c r="ED714" s="1835"/>
      <c r="EE714" s="1840"/>
      <c r="EF714" s="1840"/>
      <c r="EG714" s="1840"/>
      <c r="EH714" s="1553"/>
      <c r="EI714" s="1835"/>
      <c r="EJ714" s="1835"/>
      <c r="EK714" s="1835"/>
      <c r="EL714" s="1835"/>
      <c r="EM714" s="1835"/>
      <c r="EN714" s="1835"/>
      <c r="EO714" s="1835"/>
      <c r="EP714" s="1835"/>
      <c r="EQ714" s="1835"/>
      <c r="ER714" s="1835"/>
      <c r="ES714" s="1835"/>
      <c r="ET714" s="1835"/>
      <c r="EU714" s="1835"/>
      <c r="EV714" s="1835"/>
      <c r="EW714" s="1835"/>
      <c r="EX714" s="1835"/>
    </row>
    <row r="715" spans="1:154" ht="12.75" customHeight="1" outlineLevel="1">
      <c r="A715" s="3277" t="str">
        <f>+A716&amp;" - OUS"</f>
      </c>
      <c r="B715" s="1168" t="s">
        <v>412</v>
      </c>
      <c r="C715" s="1995">
        <v>37987</v>
      </c>
      <c r="D715" s="31">
        <f>+I715/(1+I720)</f>
      </c>
      <c r="E715" s="33">
        <v>207</v>
      </c>
      <c r="F715" s="33">
        <v>221.15384615384616</v>
      </c>
      <c r="G715" s="33">
        <v>214</v>
      </c>
      <c r="H715" s="33">
        <v>212</v>
      </c>
      <c r="I715" s="31">
        <f>+SUM(E715:H715)</f>
      </c>
      <c r="J715" s="33">
        <v>215</v>
      </c>
      <c r="K715" s="33">
        <v>230</v>
      </c>
      <c r="L715" s="33">
        <v>233</v>
      </c>
      <c r="M715" s="33">
        <v>221</v>
      </c>
      <c r="N715" s="31">
        <f>+SUM(J715:M715)</f>
      </c>
      <c r="O715" s="33">
        <v>254</v>
      </c>
      <c r="P715" s="33">
        <v>276</v>
      </c>
      <c r="Q715" s="33">
        <v>286</v>
      </c>
      <c r="R715" s="33">
        <v>278</v>
      </c>
      <c r="S715" s="31">
        <f>SUM(O715:R715)</f>
      </c>
      <c r="T715" s="33">
        <v>300</v>
      </c>
      <c r="U715" s="33">
        <v>322</v>
      </c>
      <c r="V715" s="33">
        <v>320</v>
      </c>
      <c r="W715" s="33">
        <v>293</v>
      </c>
      <c r="X715" s="313">
        <f>SUM(T715:W715)</f>
      </c>
      <c r="Y715" s="33">
        <v>274</v>
      </c>
      <c r="Z715" s="33">
        <v>308</v>
      </c>
      <c r="AA715" s="33">
        <v>302</v>
      </c>
      <c r="AB715" s="33">
        <v>296</v>
      </c>
      <c r="AC715" s="313">
        <f>SUM(Y715:AB715)</f>
      </c>
      <c r="AD715" s="33">
        <v>289</v>
      </c>
      <c r="AE715" s="33">
        <v>293</v>
      </c>
      <c r="AF715" s="33">
        <v>274</v>
      </c>
      <c r="AG715" s="33">
        <v>272</v>
      </c>
      <c r="AH715" s="313">
        <f>SUM(AD715:AG715)</f>
      </c>
      <c r="AI715" s="33">
        <v>271</v>
      </c>
      <c r="AJ715" s="33">
        <v>280</v>
      </c>
      <c r="AK715" s="33">
        <v>269</v>
      </c>
      <c r="AL715" s="33">
        <v>258</v>
      </c>
      <c r="AM715" s="313">
        <f>+SUM(AI715:AL715)</f>
      </c>
      <c r="AN715" s="33">
        <v>259</v>
      </c>
      <c r="AO715" s="33">
        <v>284</v>
      </c>
      <c r="AP715" s="33">
        <v>276</v>
      </c>
      <c r="AQ715" s="33">
        <v>297</v>
      </c>
      <c r="AR715" s="313">
        <f>+SUM(AN715:AQ715)</f>
      </c>
      <c r="AS715" s="33">
        <v>287</v>
      </c>
      <c r="AT715" s="33">
        <v>309</v>
      </c>
      <c r="AU715" s="33">
        <v>302</v>
      </c>
      <c r="AV715" s="33">
        <v>297</v>
      </c>
      <c r="AW715" s="313">
        <f>SUM(AS715:AV715)</f>
      </c>
      <c r="AX715" s="33">
        <v>295</v>
      </c>
      <c r="AY715" s="33">
        <v>306</v>
      </c>
      <c r="AZ715" s="33">
        <v>285</v>
      </c>
      <c r="BA715" s="33">
        <v>242</v>
      </c>
      <c r="BB715" s="313">
        <f>SUM(AX715:BA715)</f>
      </c>
      <c r="BC715" s="33">
        <v>229</v>
      </c>
      <c r="BD715" s="33">
        <v>247</v>
      </c>
      <c r="BE715" s="33">
        <v>243</v>
      </c>
      <c r="BF715" s="33">
        <v>268</v>
      </c>
      <c r="BG715" s="313">
        <f>SUM(BC715:BF715)</f>
      </c>
      <c r="BH715" s="33">
        <v>233</v>
      </c>
      <c r="BI715" s="33">
        <v>220</v>
      </c>
      <c r="BJ715" s="33">
        <v>202</v>
      </c>
      <c r="BK715" s="33">
        <v>209</v>
      </c>
      <c r="BL715" s="313">
        <f>SUM(BH715:BK715)</f>
      </c>
      <c r="BM715" s="33">
        <v>207</v>
      </c>
      <c r="BN715" s="33">
        <v>218</v>
      </c>
      <c r="BO715" s="33">
        <v>207</v>
      </c>
      <c r="BP715" s="33">
        <v>177</v>
      </c>
      <c r="BQ715" s="313">
        <f>SUM(BM715:BP715)</f>
      </c>
      <c r="BR715" s="33">
        <v>172</v>
      </c>
      <c r="BS715" s="352">
        <v>169</v>
      </c>
      <c r="BT715" s="352">
        <v>161</v>
      </c>
      <c r="BU715" s="352">
        <v>155</v>
      </c>
      <c r="BV715" s="313">
        <f>SUM(BR715:BU715)</f>
      </c>
      <c r="BW715" s="352">
        <v>145</v>
      </c>
      <c r="BX715" s="352">
        <v>145</v>
      </c>
      <c r="BY715" s="352">
        <v>140</v>
      </c>
      <c r="BZ715" s="352">
        <v>139</v>
      </c>
      <c r="CA715" s="313">
        <f>SUM(BW715:BZ715)</f>
      </c>
      <c r="CB715" s="352">
        <v>134</v>
      </c>
      <c r="CC715" s="352">
        <v>141</v>
      </c>
      <c r="CD715" s="352">
        <v>123</v>
      </c>
      <c r="CE715" s="352">
        <v>125</v>
      </c>
      <c r="CF715" s="313">
        <f>SUM(CB715:CE715)</f>
      </c>
      <c r="CG715" s="352">
        <v>106</v>
      </c>
      <c r="CH715" s="352">
        <v>97</v>
      </c>
      <c r="CI715" s="352">
        <v>86</v>
      </c>
      <c r="CJ715" s="352">
        <v>87</v>
      </c>
      <c r="CK715" s="313">
        <f>SUM(CG715:CJ715)</f>
      </c>
      <c r="CL715" s="352">
        <v>91</v>
      </c>
      <c r="CM715" s="352">
        <v>92</v>
      </c>
      <c r="CN715" s="352">
        <v>82</v>
      </c>
      <c r="CO715" s="352">
        <v>73</v>
      </c>
      <c r="CP715" s="313">
        <f>SUM(CL715:CO715)</f>
      </c>
      <c r="CQ715" s="352">
        <v>78</v>
      </c>
      <c r="CR715" s="352">
        <v>81</v>
      </c>
      <c r="CS715" s="352">
        <v>70</v>
      </c>
      <c r="CT715" s="352">
        <v>68</v>
      </c>
      <c r="CU715" s="313">
        <f>SUM(CQ715:CT715)</f>
      </c>
      <c r="CV715" s="352">
        <v>87</v>
      </c>
      <c r="CW715" s="352">
        <v>80</v>
      </c>
      <c r="CX715" s="352">
        <v>77</v>
      </c>
      <c r="CY715" s="352">
        <v>70</v>
      </c>
      <c r="CZ715" s="313">
        <f>SUM(CV715:CY715)</f>
      </c>
      <c r="DA715" s="352">
        <v>78</v>
      </c>
      <c r="DB715" s="352">
        <v>70</v>
      </c>
      <c r="DC715" s="352">
        <v>72</v>
      </c>
      <c r="DD715" s="956">
        <v>65</v>
      </c>
      <c r="DE715" s="477">
        <f>SUM(DA715:DD715)</f>
      </c>
      <c r="DF715" s="710">
        <v>79</v>
      </c>
      <c r="DG715" s="710">
        <v>66</v>
      </c>
      <c r="DH715" s="710">
        <v>63</v>
      </c>
      <c r="DI715" s="1839">
        <v>66</v>
      </c>
      <c r="DJ715" s="477">
        <f>SUM(DF715:DI715)</f>
      </c>
      <c r="DK715" s="710">
        <v>64</v>
      </c>
      <c r="DL715" s="1544">
        <v>69</v>
      </c>
      <c r="DM715" s="710">
        <v>65</v>
      </c>
      <c r="DN715" s="1839">
        <v>58</v>
      </c>
      <c r="DO715" s="477">
        <f>SUM(DK715:DN715)</f>
      </c>
      <c r="DP715" s="1840">
        <v>0</v>
      </c>
      <c r="DQ715" s="1840">
        <v>0</v>
      </c>
      <c r="DR715" s="1840">
        <v>0</v>
      </c>
      <c r="DS715" s="1553">
        <v>0</v>
      </c>
      <c r="DT715" s="1835">
        <v>0</v>
      </c>
      <c r="DU715" s="1840">
        <f>+(1+DU720)*DP715</f>
      </c>
      <c r="DV715" s="1840"/>
      <c r="DW715" s="1840"/>
      <c r="DX715" s="1553"/>
      <c r="DY715" s="1835"/>
      <c r="DZ715" s="1840"/>
      <c r="EA715" s="1840"/>
      <c r="EB715" s="1840"/>
      <c r="EC715" s="1553"/>
      <c r="ED715" s="1835"/>
      <c r="EE715" s="1840"/>
      <c r="EF715" s="1840"/>
      <c r="EG715" s="1840"/>
      <c r="EH715" s="1553"/>
      <c r="EI715" s="1835"/>
      <c r="EJ715" s="1835"/>
      <c r="EK715" s="1835"/>
      <c r="EL715" s="1835"/>
      <c r="EM715" s="1835"/>
      <c r="EN715" s="1835"/>
      <c r="EO715" s="1835"/>
      <c r="EP715" s="1835"/>
      <c r="EQ715" s="1835"/>
      <c r="ER715" s="1835"/>
      <c r="ES715" s="1835"/>
      <c r="ET715" s="1835"/>
      <c r="EU715" s="1835"/>
      <c r="EV715" s="1835"/>
      <c r="EW715" s="1835"/>
      <c r="EX715" s="1835"/>
    </row>
    <row r="716" spans="1:154" ht="12.75" customHeight="1" outlineLevel="1">
      <c r="A716" s="3277" t="s">
        <v>616</v>
      </c>
      <c r="B716" s="1168" t="s">
        <v>413</v>
      </c>
      <c r="C716" s="1989"/>
      <c r="D716" s="28">
        <f t="shared" ref="D716:AV716" si="1748">+D714+D715</f>
      </c>
      <c r="E716" s="28">
        <f t="shared" si="1748"/>
      </c>
      <c r="F716" s="28">
        <f t="shared" si="1748"/>
      </c>
      <c r="G716" s="28">
        <f t="shared" si="1748"/>
      </c>
      <c r="H716" s="28">
        <f t="shared" si="1748"/>
      </c>
      <c r="I716" s="31">
        <f t="shared" si="1748"/>
      </c>
      <c r="J716" s="28">
        <f t="shared" si="1748"/>
      </c>
      <c r="K716" s="28">
        <f t="shared" si="1748"/>
      </c>
      <c r="L716" s="28">
        <f t="shared" si="1748"/>
      </c>
      <c r="M716" s="28">
        <f t="shared" si="1748"/>
      </c>
      <c r="N716" s="31">
        <f t="shared" si="1748"/>
      </c>
      <c r="O716" s="31">
        <f t="shared" si="1748"/>
      </c>
      <c r="P716" s="31">
        <f t="shared" si="1748"/>
      </c>
      <c r="Q716" s="31">
        <f t="shared" si="1748"/>
      </c>
      <c r="R716" s="31">
        <f t="shared" si="1748"/>
      </c>
      <c r="S716" s="31">
        <f t="shared" si="1748"/>
      </c>
      <c r="T716" s="31">
        <f t="shared" si="1748"/>
      </c>
      <c r="U716" s="31">
        <f t="shared" si="1748"/>
      </c>
      <c r="V716" s="31">
        <f t="shared" si="1748"/>
      </c>
      <c r="W716" s="31">
        <f t="shared" si="1748"/>
      </c>
      <c r="X716" s="313">
        <f t="shared" si="1748"/>
      </c>
      <c r="Y716" s="31">
        <f t="shared" si="1748"/>
      </c>
      <c r="Z716" s="31">
        <f t="shared" si="1748"/>
      </c>
      <c r="AA716" s="31">
        <f t="shared" si="1748"/>
      </c>
      <c r="AB716" s="31">
        <f t="shared" si="1748"/>
      </c>
      <c r="AC716" s="313">
        <f t="shared" si="1748"/>
      </c>
      <c r="AD716" s="31">
        <f t="shared" si="1748"/>
      </c>
      <c r="AE716" s="31">
        <f t="shared" si="1748"/>
      </c>
      <c r="AF716" s="31">
        <f t="shared" si="1748"/>
      </c>
      <c r="AG716" s="31">
        <f t="shared" si="1748"/>
      </c>
      <c r="AH716" s="313">
        <f t="shared" si="1748"/>
      </c>
      <c r="AI716" s="28">
        <f t="shared" si="1748"/>
      </c>
      <c r="AJ716" s="28">
        <f t="shared" si="1748"/>
      </c>
      <c r="AK716" s="28">
        <f t="shared" si="1748"/>
      </c>
      <c r="AL716" s="31">
        <f t="shared" si="1748"/>
      </c>
      <c r="AM716" s="313">
        <f t="shared" si="1748"/>
      </c>
      <c r="AN716" s="28">
        <f t="shared" si="1748"/>
      </c>
      <c r="AO716" s="28">
        <f t="shared" si="1748"/>
      </c>
      <c r="AP716" s="28">
        <f t="shared" si="1748"/>
      </c>
      <c r="AQ716" s="31">
        <f t="shared" si="1748"/>
      </c>
      <c r="AR716" s="313">
        <f t="shared" si="1748"/>
      </c>
      <c r="AS716" s="28">
        <f t="shared" si="1748"/>
      </c>
      <c r="AT716" s="28">
        <f t="shared" si="1748"/>
      </c>
      <c r="AU716" s="28">
        <f t="shared" si="1748"/>
      </c>
      <c r="AV716" s="31">
        <f t="shared" si="1748"/>
      </c>
      <c r="AW716" s="313">
        <f>+AW714+AW715</f>
      </c>
      <c r="AX716" s="28">
        <f t="shared" ref="AX716:BF716" si="1749">+AX714+AX715</f>
      </c>
      <c r="AY716" s="28">
        <f t="shared" si="1749"/>
      </c>
      <c r="AZ716" s="28">
        <f t="shared" si="1749"/>
      </c>
      <c r="BA716" s="28">
        <f t="shared" si="1749"/>
      </c>
      <c r="BB716" s="313">
        <f t="shared" si="1749"/>
      </c>
      <c r="BC716" s="28">
        <f t="shared" si="1749"/>
      </c>
      <c r="BD716" s="28">
        <f t="shared" si="1749"/>
      </c>
      <c r="BE716" s="28">
        <f t="shared" si="1749"/>
      </c>
      <c r="BF716" s="28">
        <f t="shared" si="1749"/>
      </c>
      <c r="BG716" s="313">
        <f t="shared" ref="BG716:BT716" si="1750">+BG714+BG715</f>
      </c>
      <c r="BH716" s="28">
        <f t="shared" si="1750"/>
      </c>
      <c r="BI716" s="28">
        <f t="shared" si="1750"/>
      </c>
      <c r="BJ716" s="28">
        <f t="shared" si="1750"/>
      </c>
      <c r="BK716" s="28">
        <f t="shared" si="1750"/>
      </c>
      <c r="BL716" s="313">
        <f>SUM(BH716:BK716)</f>
      </c>
      <c r="BM716" s="28">
        <f>+BM714+BM715</f>
      </c>
      <c r="BN716" s="28">
        <f>+BN714+BN715</f>
      </c>
      <c r="BO716" s="28">
        <f>+BO714+BO715</f>
      </c>
      <c r="BP716" s="28">
        <f>+BP714+BP715</f>
      </c>
      <c r="BQ716" s="313">
        <f>SUM(BM716:BP716)</f>
      </c>
      <c r="BR716" s="28">
        <f t="shared" si="1750"/>
      </c>
      <c r="BS716" s="28">
        <f t="shared" si="1750"/>
      </c>
      <c r="BT716" s="28">
        <f t="shared" si="1750"/>
      </c>
      <c r="BU716" s="28">
        <f>+BU714+BU715</f>
      </c>
      <c r="BV716" s="313">
        <f>SUM(BR716:BU716)</f>
      </c>
      <c r="BW716" s="28">
        <f>+BW714+BW715</f>
      </c>
      <c r="BX716" s="28">
        <f>+BX714+BX715</f>
      </c>
      <c r="BY716" s="28">
        <f>+BY714+BY715</f>
      </c>
      <c r="BZ716" s="28">
        <f>+BZ714+BZ715</f>
      </c>
      <c r="CA716" s="313">
        <f>SUM(BW716:BZ716)</f>
      </c>
      <c r="CB716" s="28">
        <f>+CB714+CB715</f>
      </c>
      <c r="CC716" s="28">
        <f>+CC714+CC715</f>
      </c>
      <c r="CD716" s="28">
        <f>+CD714+CD715</f>
      </c>
      <c r="CE716" s="28">
        <f>+CE714+CE715</f>
      </c>
      <c r="CF716" s="313">
        <f>SUM(CB716:CE716)</f>
      </c>
      <c r="CG716" s="28">
        <f>+CG714+CG715</f>
      </c>
      <c r="CH716" s="28">
        <f>+CH714+CH715</f>
      </c>
      <c r="CI716" s="28">
        <f>+CI714+CI715</f>
      </c>
      <c r="CJ716" s="28">
        <f>+CJ714+CJ715</f>
      </c>
      <c r="CK716" s="313">
        <f>SUM(CG716:CJ716)</f>
      </c>
      <c r="CL716" s="28">
        <f>+CL714+CL715</f>
      </c>
      <c r="CM716" s="28">
        <f>+CM714+CM715</f>
      </c>
      <c r="CN716" s="28">
        <f>+CN714+CN715</f>
      </c>
      <c r="CO716" s="28">
        <f>+CO714+CO715</f>
      </c>
      <c r="CP716" s="313">
        <f>SUM(CL716:CO716)</f>
      </c>
      <c r="CQ716" s="933">
        <f>+CQ714+CQ715</f>
      </c>
      <c r="CR716" s="933">
        <f>+CR714+CR715</f>
      </c>
      <c r="CS716" s="933">
        <f>+CS714+CS715</f>
      </c>
      <c r="CT716" s="933">
        <f>+CT714+CT715</f>
      </c>
      <c r="CU716" s="313">
        <f>SUM(CQ716:CT716)</f>
      </c>
      <c r="CV716" s="933">
        <f>+CV714+CV715</f>
      </c>
      <c r="CW716" s="933">
        <f>+CW714+CW715</f>
      </c>
      <c r="CX716" s="933">
        <f>+CX714+CX715</f>
      </c>
      <c r="CY716" s="933">
        <f>+CY714+CY715</f>
      </c>
      <c r="CZ716" s="313">
        <f>SUM(CV716:CY716)</f>
      </c>
      <c r="DA716" s="933">
        <f>SUM(DA714:DA715)</f>
      </c>
      <c r="DB716" s="933">
        <f>SUM(DB714:DB715)</f>
      </c>
      <c r="DC716" s="31">
        <f>SUM(DC714:DC715)</f>
      </c>
      <c r="DD716" s="955">
        <f>+DD714+DD715</f>
      </c>
      <c r="DE716" s="477">
        <f>SUM(DA716:DD716)</f>
      </c>
      <c r="DF716" s="1542">
        <f>SUM(DF714:DF715)</f>
      </c>
      <c r="DG716" s="1542">
        <f>SUM(DG714:DG715)</f>
      </c>
      <c r="DH716" s="1542">
        <f>SUM(DH714:DH715)</f>
      </c>
      <c r="DI716" s="1556">
        <f>+DI714+DI715</f>
      </c>
      <c r="DJ716" s="477">
        <f>SUM(DF716:DI716)</f>
      </c>
      <c r="DK716" s="1542">
        <f>SUM(DK714:DK715)</f>
      </c>
      <c r="DL716" s="1840">
        <f>SUM(DL714:DL715)</f>
      </c>
      <c r="DM716" s="1542">
        <f>SUM(DM714:DM715)</f>
      </c>
      <c r="DN716" s="1556">
        <f>+DN714+DN715</f>
      </c>
      <c r="DO716" s="1788">
        <f>+DO714+DO715</f>
      </c>
      <c r="DP716" s="1840">
        <f>SUM(DP714:DP715)</f>
      </c>
      <c r="DQ716" s="1840">
        <f>SUM(DQ714:DQ715)</f>
      </c>
      <c r="DR716" s="1840">
        <f>SUM(DR714:DR715)</f>
      </c>
      <c r="DS716" s="1553">
        <f>+DS714+DS715</f>
      </c>
      <c r="DT716" s="573">
        <v>0</v>
      </c>
      <c r="DU716" s="1840">
        <f>SUM(DU714:DU715)</f>
      </c>
      <c r="DV716" s="1840"/>
      <c r="DW716" s="1840"/>
      <c r="DX716" s="1553"/>
      <c r="DY716" s="573"/>
      <c r="DZ716" s="1840"/>
      <c r="EA716" s="1840"/>
      <c r="EB716" s="1840"/>
      <c r="EC716" s="1553"/>
      <c r="ED716" s="2060"/>
      <c r="EE716" s="1840"/>
      <c r="EF716" s="1840"/>
      <c r="EG716" s="1840"/>
      <c r="EH716" s="1553"/>
      <c r="EI716" s="1835"/>
      <c r="EJ716" s="1835"/>
      <c r="EK716" s="1835"/>
      <c r="EL716" s="1835"/>
      <c r="EM716" s="1835"/>
      <c r="EN716" s="1835"/>
      <c r="EO716" s="477"/>
      <c r="EP716" s="477"/>
      <c r="EQ716" s="477"/>
      <c r="ER716" s="477"/>
      <c r="ES716" s="477"/>
      <c r="ET716" s="477"/>
      <c r="EU716" s="477"/>
      <c r="EV716" s="477"/>
      <c r="EW716" s="477"/>
      <c r="EX716" s="477"/>
    </row>
    <row r="717" spans="1:154" ht="12.75" customHeight="1" outlineLevel="1">
      <c r="B717" s="1168"/>
      <c r="C717" s="1989"/>
      <c r="D717" s="28"/>
      <c r="E717" s="28"/>
      <c r="F717" s="28"/>
      <c r="G717" s="28"/>
      <c r="H717" s="28"/>
      <c r="I717" s="31"/>
      <c r="J717" s="28"/>
      <c r="K717" s="28"/>
      <c r="L717" s="28"/>
      <c r="M717" s="28"/>
      <c r="N717" s="31"/>
      <c r="O717" s="31"/>
      <c r="P717" s="31"/>
      <c r="Q717" s="31"/>
      <c r="R717" s="31"/>
      <c r="S717" s="31"/>
      <c r="T717" s="31"/>
      <c r="U717" s="31"/>
      <c r="V717" s="31"/>
      <c r="W717" s="31"/>
      <c r="X717" s="313"/>
      <c r="Y717" s="31"/>
      <c r="Z717" s="31"/>
      <c r="AA717" s="31"/>
      <c r="AB717" s="31"/>
      <c r="AC717" s="313"/>
      <c r="AD717" s="31"/>
      <c r="AE717" s="31"/>
      <c r="AF717" s="31"/>
      <c r="AG717" s="31"/>
      <c r="AH717" s="313"/>
      <c r="AI717" s="28"/>
      <c r="AJ717" s="28"/>
      <c r="AK717" s="28"/>
      <c r="AL717" s="31"/>
      <c r="AM717" s="313"/>
      <c r="AN717" s="28"/>
      <c r="AO717" s="28"/>
      <c r="AP717" s="28"/>
      <c r="AQ717" s="31"/>
      <c r="AR717" s="313"/>
      <c r="AS717" s="28"/>
      <c r="AT717" s="28"/>
      <c r="AU717" s="28"/>
      <c r="AV717" s="31"/>
      <c r="AW717" s="313"/>
      <c r="AX717" s="28"/>
      <c r="AY717" s="28"/>
      <c r="AZ717" s="28"/>
      <c r="BA717" s="28"/>
      <c r="BB717" s="313"/>
      <c r="BC717" s="28"/>
      <c r="BD717" s="28"/>
      <c r="BE717" s="28"/>
      <c r="BF717" s="28"/>
      <c r="BG717" s="313"/>
      <c r="BH717" s="28"/>
      <c r="BI717" s="28"/>
      <c r="BJ717" s="28"/>
      <c r="BK717" s="28"/>
      <c r="BL717" s="313"/>
      <c r="BM717" s="28"/>
      <c r="BN717" s="28"/>
      <c r="BO717" s="28"/>
      <c r="BP717" s="28"/>
      <c r="BQ717" s="313"/>
      <c r="BR717" s="28"/>
      <c r="BS717" s="28"/>
      <c r="BT717" s="28"/>
      <c r="BU717" s="28"/>
      <c r="BV717" s="313"/>
      <c r="BW717" s="28"/>
      <c r="BX717" s="28"/>
      <c r="BY717" s="28"/>
      <c r="BZ717" s="28"/>
      <c r="CA717" s="313"/>
      <c r="CB717" s="28"/>
      <c r="CC717" s="28"/>
      <c r="CD717" s="28"/>
      <c r="CE717" s="28"/>
      <c r="CF717" s="313"/>
      <c r="CG717" s="28"/>
      <c r="CH717" s="28"/>
      <c r="CI717" s="28"/>
      <c r="CJ717" s="28"/>
      <c r="CK717" s="313"/>
      <c r="CL717" s="28"/>
      <c r="CM717" s="933"/>
      <c r="CN717" s="28"/>
      <c r="CO717" s="28"/>
      <c r="CP717" s="313"/>
      <c r="CQ717" s="933"/>
      <c r="CR717" s="933"/>
      <c r="CS717" s="933"/>
      <c r="CT717" s="933"/>
      <c r="CU717" s="313"/>
      <c r="CV717" s="933"/>
      <c r="CW717" s="933"/>
      <c r="CX717" s="933"/>
      <c r="CY717" s="933"/>
      <c r="CZ717" s="313"/>
      <c r="DA717" s="933"/>
      <c r="DB717" s="31"/>
      <c r="DC717" s="31"/>
      <c r="DD717" s="955"/>
      <c r="DE717" s="477"/>
      <c r="DF717" s="982"/>
      <c r="DG717" s="603"/>
      <c r="DH717" s="603"/>
      <c r="DI717" s="1798"/>
      <c r="DJ717" s="1799"/>
      <c r="DK717" s="1799"/>
      <c r="DL717" s="603"/>
      <c r="DM717" s="603"/>
      <c r="DN717" s="1798"/>
      <c r="DO717" s="1798"/>
      <c r="DP717" s="603"/>
      <c r="DQ717" s="603"/>
      <c r="DR717" s="603"/>
      <c r="DS717" s="1798"/>
      <c r="DT717" s="477"/>
      <c r="DU717" s="603"/>
      <c r="DV717" s="603"/>
      <c r="DW717" s="603"/>
      <c r="DX717" s="1798"/>
      <c r="DY717" s="477"/>
      <c r="DZ717" s="603"/>
      <c r="EA717" s="603"/>
      <c r="EB717" s="603"/>
      <c r="EC717" s="1798"/>
      <c r="ED717" s="477"/>
      <c r="EE717" s="603"/>
      <c r="EF717" s="603"/>
      <c r="EG717" s="603"/>
      <c r="EH717" s="1798"/>
      <c r="EI717" s="477"/>
      <c r="EJ717" s="477"/>
      <c r="EK717" s="477"/>
      <c r="EL717" s="477"/>
      <c r="EM717" s="477"/>
      <c r="EN717" s="477"/>
      <c r="EO717" s="477"/>
      <c r="EP717" s="477"/>
      <c r="EQ717" s="477"/>
      <c r="ER717" s="477"/>
      <c r="ES717" s="477"/>
      <c r="ET717" s="477"/>
      <c r="EU717" s="477"/>
      <c r="EV717" s="477"/>
      <c r="EW717" s="477"/>
      <c r="EX717" s="477"/>
    </row>
    <row r="718" spans="1:154" ht="12.75" customHeight="1" outlineLevel="1">
      <c r="B718" s="1162" t="s">
        <v>258</v>
      </c>
      <c r="C718" s="1989"/>
      <c r="D718" s="28"/>
      <c r="E718" s="28"/>
      <c r="F718" s="28"/>
      <c r="G718" s="28"/>
      <c r="H718" s="28"/>
      <c r="I718" s="31"/>
      <c r="J718" s="28"/>
      <c r="K718" s="28"/>
      <c r="L718" s="28"/>
      <c r="M718" s="28"/>
      <c r="N718" s="31"/>
      <c r="O718" s="31"/>
      <c r="P718" s="31"/>
      <c r="Q718" s="31"/>
      <c r="R718" s="31"/>
      <c r="S718" s="31"/>
      <c r="T718" s="31"/>
      <c r="U718" s="31"/>
      <c r="V718" s="31"/>
      <c r="W718" s="31"/>
      <c r="X718" s="313"/>
      <c r="Y718" s="31"/>
      <c r="Z718" s="31"/>
      <c r="AA718" s="31"/>
      <c r="AB718" s="31"/>
      <c r="AC718" s="313"/>
      <c r="AD718" s="31"/>
      <c r="AE718" s="31"/>
      <c r="AF718" s="31"/>
      <c r="AG718" s="31"/>
      <c r="AH718" s="313"/>
      <c r="AI718" s="28"/>
      <c r="AJ718" s="28"/>
      <c r="AK718" s="28"/>
      <c r="AL718" s="31"/>
      <c r="AM718" s="313"/>
      <c r="AN718" s="28"/>
      <c r="AO718" s="28"/>
      <c r="AP718" s="28"/>
      <c r="AQ718" s="31"/>
      <c r="AR718" s="313"/>
      <c r="AS718" s="28"/>
      <c r="AT718" s="28"/>
      <c r="AU718" s="28"/>
      <c r="AV718" s="31"/>
      <c r="AW718" s="313"/>
      <c r="AX718" s="28"/>
      <c r="AY718" s="28"/>
      <c r="AZ718" s="28"/>
      <c r="BA718" s="28"/>
      <c r="BB718" s="313"/>
      <c r="BC718" s="28"/>
      <c r="BD718" s="28"/>
      <c r="BE718" s="28"/>
      <c r="BF718" s="28" t="s">
        <v>29</v>
      </c>
      <c r="BG718" s="313"/>
      <c r="BH718" s="28"/>
      <c r="BI718" s="29"/>
      <c r="BJ718" s="28"/>
      <c r="BK718" s="28"/>
      <c r="BL718" s="313"/>
      <c r="BM718" s="28"/>
      <c r="BN718" s="28"/>
      <c r="BO718" s="28"/>
      <c r="BP718" s="28"/>
      <c r="BQ718" s="313"/>
      <c r="BR718" s="28"/>
      <c r="BS718" s="28"/>
      <c r="BT718" s="28"/>
      <c r="BU718" s="28"/>
      <c r="BV718" s="313"/>
      <c r="BW718" s="28"/>
      <c r="BX718" s="28"/>
      <c r="BY718" s="28"/>
      <c r="BZ718" s="28"/>
      <c r="CA718" s="313"/>
      <c r="CB718" s="28"/>
      <c r="CC718" s="28"/>
      <c r="CD718" s="28"/>
      <c r="CE718" s="28"/>
      <c r="CF718" s="313"/>
      <c r="CG718" s="28"/>
      <c r="CH718" s="28"/>
      <c r="CI718" s="28"/>
      <c r="CJ718" s="28"/>
      <c r="CK718" s="313"/>
      <c r="CL718" s="28"/>
      <c r="CM718" s="933"/>
      <c r="CN718" s="28"/>
      <c r="CO718" s="28"/>
      <c r="CP718" s="313"/>
      <c r="CQ718" s="933"/>
      <c r="CR718" s="1175"/>
      <c r="CS718" s="1175"/>
      <c r="CT718" s="1175"/>
      <c r="CU718" s="313"/>
      <c r="CV718" s="933"/>
      <c r="CW718" s="933"/>
      <c r="CX718" s="933"/>
      <c r="CY718" s="1175"/>
      <c r="CZ718" s="313"/>
      <c r="DA718" s="933"/>
      <c r="DB718" s="31"/>
      <c r="DC718" s="31"/>
      <c r="DD718" s="955"/>
      <c r="DE718" s="477"/>
      <c r="DF718" s="982"/>
      <c r="DG718" s="603"/>
      <c r="DH718" s="603"/>
      <c r="DI718" s="1798"/>
      <c r="DJ718" s="1799"/>
      <c r="DK718" s="1799"/>
      <c r="DL718" s="603"/>
      <c r="DM718" s="603"/>
      <c r="DN718" s="1798"/>
      <c r="DO718" s="1798"/>
      <c r="DP718" s="603"/>
      <c r="DQ718" s="603"/>
      <c r="DR718" s="603"/>
      <c r="DS718" s="1798"/>
      <c r="DT718" s="477"/>
      <c r="DU718" s="603"/>
      <c r="DV718" s="603"/>
      <c r="DW718" s="603"/>
      <c r="DX718" s="1798"/>
      <c r="DY718" s="477"/>
      <c r="DZ718" s="603"/>
      <c r="EA718" s="603"/>
      <c r="EB718" s="603"/>
      <c r="EC718" s="1798"/>
      <c r="ED718" s="477"/>
      <c r="EE718" s="603"/>
      <c r="EF718" s="603"/>
      <c r="EG718" s="603"/>
      <c r="EH718" s="1798"/>
      <c r="EI718" s="477"/>
      <c r="EJ718" s="477"/>
      <c r="EK718" s="477"/>
      <c r="EL718" s="477"/>
      <c r="EM718" s="477"/>
      <c r="EN718" s="477"/>
      <c r="EO718" s="477"/>
      <c r="EP718" s="477"/>
      <c r="EQ718" s="477"/>
      <c r="ER718" s="477"/>
      <c r="ES718" s="477"/>
      <c r="ET718" s="477"/>
      <c r="EU718" s="477"/>
      <c r="EV718" s="477"/>
      <c r="EW718" s="477"/>
      <c r="EX718" s="477"/>
    </row>
    <row r="719" spans="1:154" ht="12.75" customHeight="1" outlineLevel="1">
      <c r="B719" s="1169" t="s">
        <v>187</v>
      </c>
      <c r="C719" s="1989"/>
      <c r="D719" s="28"/>
      <c r="E719" s="28"/>
      <c r="F719" s="28"/>
      <c r="G719" s="28"/>
      <c r="H719" s="28"/>
      <c r="I719" s="29">
        <v>0.65</v>
      </c>
      <c r="J719" s="30">
        <f t="shared" ref="J719:S720" si="1751">IF(E714="NM","NM",IF(J714="NM","NM",IF(E714&lt;=0,"NM",IF(J714=0,"NM",IF(ABS(J714/E714-1)&gt;2.5,"NM",IF((ABS(J714-E714)=ABS(ABS(J714)-ABS(E714))),(J714/E714-1),"NM"))))))</f>
      </c>
      <c r="K719" s="30">
        <f t="shared" si="1751"/>
      </c>
      <c r="L719" s="30">
        <f t="shared" si="1751"/>
      </c>
      <c r="M719" s="30">
        <f t="shared" si="1751"/>
      </c>
      <c r="N719" s="30">
        <f t="shared" si="1751"/>
      </c>
      <c r="O719" s="30">
        <f t="shared" si="1751"/>
      </c>
      <c r="P719" s="30">
        <f t="shared" si="1751"/>
      </c>
      <c r="Q719" s="30">
        <f t="shared" si="1751"/>
      </c>
      <c r="R719" s="30">
        <f t="shared" si="1751"/>
      </c>
      <c r="S719" s="30">
        <f t="shared" si="1751"/>
      </c>
      <c r="T719" s="30">
        <f t="shared" ref="T719:AC720" si="1752">IF(O714="NM","NM",IF(T714="NM","NM",IF(O714&lt;=0,"NM",IF(T714=0,"NM",IF(ABS(T714/O714-1)&gt;2.5,"NM",IF((ABS(T714-O714)=ABS(ABS(T714)-ABS(O714))),(T714/O714-1),"NM"))))))</f>
      </c>
      <c r="U719" s="30">
        <f t="shared" si="1752"/>
      </c>
      <c r="V719" s="30">
        <f t="shared" si="1752"/>
      </c>
      <c r="W719" s="30">
        <f t="shared" si="1752"/>
      </c>
      <c r="X719" s="308">
        <f t="shared" si="1752"/>
      </c>
      <c r="Y719" s="30">
        <f t="shared" si="1752"/>
      </c>
      <c r="Z719" s="30">
        <f t="shared" si="1752"/>
      </c>
      <c r="AA719" s="30">
        <f t="shared" si="1752"/>
      </c>
      <c r="AB719" s="30">
        <f t="shared" si="1752"/>
      </c>
      <c r="AC719" s="308">
        <f t="shared" si="1752"/>
      </c>
      <c r="AD719" s="30">
        <f t="shared" ref="AD719:AM720" si="1753">IF(Y714="NM","NM",IF(AD714="NM","NM",IF(Y714&lt;=0,"NM",IF(AD714=0,"NM",IF(ABS(AD714/Y714-1)&gt;2.5,"NM",IF((ABS(AD714-Y714)=ABS(ABS(AD714)-ABS(Y714))),(AD714/Y714-1),"NM"))))))</f>
      </c>
      <c r="AE719" s="30">
        <f t="shared" si="1753"/>
      </c>
      <c r="AF719" s="30">
        <f t="shared" si="1753"/>
      </c>
      <c r="AG719" s="30">
        <f t="shared" si="1753"/>
      </c>
      <c r="AH719" s="308">
        <f t="shared" si="1753"/>
      </c>
      <c r="AI719" s="30">
        <f t="shared" si="1753"/>
      </c>
      <c r="AJ719" s="30">
        <f t="shared" si="1753"/>
      </c>
      <c r="AK719" s="30">
        <f t="shared" si="1753"/>
      </c>
      <c r="AL719" s="30">
        <f t="shared" si="1753"/>
      </c>
      <c r="AM719" s="308">
        <f t="shared" si="1753"/>
      </c>
      <c r="AN719" s="30">
        <f t="shared" ref="AN719:AW720" si="1754">IF(AI714="NM","NM",IF(AN714="NM","NM",IF(AI714&lt;=0,"NM",IF(AN714=0,"NM",IF(ABS(AN714/AI714-1)&gt;2.5,"NM",IF((ABS(AN714-AI714)=ABS(ABS(AN714)-ABS(AI714))),(AN714/AI714-1),"NM"))))))</f>
      </c>
      <c r="AO719" s="30">
        <f t="shared" si="1754"/>
      </c>
      <c r="AP719" s="30">
        <f t="shared" si="1754"/>
      </c>
      <c r="AQ719" s="30">
        <f t="shared" si="1754"/>
      </c>
      <c r="AR719" s="308">
        <f t="shared" si="1754"/>
      </c>
      <c r="AS719" s="30">
        <f t="shared" si="1754"/>
      </c>
      <c r="AT719" s="30">
        <f t="shared" si="1754"/>
      </c>
      <c r="AU719" s="30">
        <f t="shared" si="1754"/>
      </c>
      <c r="AV719" s="30">
        <f t="shared" si="1754"/>
      </c>
      <c r="AW719" s="308">
        <f t="shared" si="1754"/>
      </c>
      <c r="AX719" s="30">
        <f t="shared" ref="AX719:BO720" si="1755">IF(AS714="NM","NM",IF(AX714="NM","NM",IF(AS714&lt;=0,"NM",IF(AX714=0,"NM",IF(ABS(AX714/AS714-1)&gt;2.5,"NM",IF((ABS(AX714-AS714)=ABS(ABS(AX714)-ABS(AS714))),(AX714/AS714-1),"NM"))))))</f>
      </c>
      <c r="AY719" s="30">
        <f t="shared" si="1755"/>
      </c>
      <c r="AZ719" s="30">
        <f t="shared" si="1755"/>
      </c>
      <c r="BA719" s="30">
        <f t="shared" si="1755"/>
      </c>
      <c r="BB719" s="308">
        <f t="shared" si="1755"/>
      </c>
      <c r="BC719" s="30">
        <f t="shared" si="1755"/>
      </c>
      <c r="BD719" s="30">
        <f t="shared" si="1755"/>
      </c>
      <c r="BE719" s="30">
        <f t="shared" si="1755"/>
      </c>
      <c r="BF719" s="30">
        <f t="shared" si="1755"/>
      </c>
      <c r="BG719" s="308">
        <f>IF(BB714="NM","NM",IF(BG714="NM","NM",IF(BB714&lt;=0,"NM",IF(BG714=0,"NM",IF(ABS(BG714/BB714-1)&gt;2.5,"NM",IF((ABS(BG714-BB714)=ABS(ABS(BG714)-ABS(BB714))),(BG714/BB714-1),"NM"))))))</f>
      </c>
      <c r="BH719" s="30">
        <f t="shared" si="1755"/>
      </c>
      <c r="BI719" s="30">
        <f t="shared" si="1755"/>
      </c>
      <c r="BJ719" s="30">
        <f t="shared" si="1755"/>
      </c>
      <c r="BK719" s="30">
        <f t="shared" si="1755"/>
      </c>
      <c r="BL719" s="315">
        <f>IF(BG714="NM","NM",IF(BL714="NM","NM",IF(BG714&lt;=0,"NM",IF(BL714=0,"NM",IF(ABS(BL714/BG714-1)&gt;2.5,"NM",IF((ABS(BL714-BG714)=ABS(ABS(BL714)-ABS(BG714))),(BL714/BG714-1),"NM"))))))</f>
      </c>
      <c r="BM719" s="30">
        <f t="shared" si="1755"/>
      </c>
      <c r="BN719" s="30">
        <f t="shared" si="1755"/>
      </c>
      <c r="BO719" s="30">
        <f t="shared" si="1755"/>
      </c>
      <c r="BP719" s="30">
        <f t="shared" ref="BP719:BT720" si="1756">IF(BK714="NM","NM",IF(BP714="NM","NM",IF(BK714&lt;=0,"NM",IF(BP714=0,"NM",IF(ABS(BP714/BK714-1)&gt;2.5,"NM",IF((ABS(BP714-BK714)=ABS(ABS(BP714)-ABS(BK714))),(BP714/BK714-1),"NM"))))))</f>
      </c>
      <c r="BQ719" s="315">
        <f t="shared" si="1756"/>
      </c>
      <c r="BR719" s="30">
        <f t="shared" si="1756"/>
      </c>
      <c r="BS719" s="30">
        <f t="shared" si="1756"/>
      </c>
      <c r="BT719" s="30">
        <f t="shared" si="1756"/>
      </c>
      <c r="BU719" s="30">
        <f>IF(BP714="NM","NM",IF(BU714="NM","NM",IF(BP714&lt;=0,"NM",IF(BU714=0,"NM",IF(ABS(BU714/BP714-1)&gt;2.5,"NM",IF((ABS(BU714-BP714)=ABS(ABS(BU714)-ABS(BP714))),(BU714/BP714-1),"NM"))))))</f>
      </c>
      <c r="BV719" s="315">
        <f t="shared" ref="BV719:CI719" si="1757">IF(BQ714="NM","NM",IF(BV714="NM","NM",IF(BQ714&lt;=0,"NM",IF(BV714=0,"NM",IF(ABS(BV714/BQ714-1)&gt;2.5,"NM",IF((ABS(BV714-BQ714)=ABS(ABS(BV714)-ABS(BQ714))),(BV714/BQ714-1),"NM"))))))</f>
      </c>
      <c r="BW719" s="30">
        <f t="shared" si="1757"/>
      </c>
      <c r="BX719" s="30">
        <f t="shared" si="1757"/>
      </c>
      <c r="BY719" s="30">
        <f t="shared" si="1757"/>
      </c>
      <c r="BZ719" s="30">
        <f t="shared" si="1757"/>
      </c>
      <c r="CA719" s="315">
        <f>IF(BV714="NM","NM",IF(CA714="NM","NM",IF(BV714&lt;=0,"NM",IF(CA714=0,"NM",IF(ABS(CA714/BV714-1)&gt;2.5,"NM",IF((ABS(CA714-BV714)=ABS(ABS(CA714)-ABS(BV714))),(CA714/BV714-1),"NM"))))))</f>
      </c>
      <c r="CB719" s="30">
        <f t="shared" si="1757"/>
      </c>
      <c r="CC719" s="30">
        <f t="shared" si="1757"/>
      </c>
      <c r="CD719" s="30">
        <f t="shared" si="1757"/>
      </c>
      <c r="CE719" s="30">
        <f t="shared" si="1757"/>
      </c>
      <c r="CF719" s="315">
        <f>IF(CA714="NM","NM",IF(CF714="NM","NM",IF(CA714&lt;=0,"NM",IF(CF714=0,"NM",IF(ABS(CF714/CA714-1)&gt;2.5,"NM",IF((ABS(CF714-CA714)=ABS(ABS(CF714)-ABS(CA714))),(CF714/CA714-1),"NM"))))))</f>
      </c>
      <c r="CG719" s="30">
        <f t="shared" si="1757"/>
      </c>
      <c r="CH719" s="30">
        <f t="shared" si="1757"/>
      </c>
      <c r="CI719" s="30">
        <f t="shared" si="1757"/>
      </c>
      <c r="CJ719" s="30">
        <f>IF(CE714="NM","NM",IF(CJ714="NM","NM",IF(CE714&lt;=0,"NM",IF(CJ714=0,"NM",IF(ABS(CJ714/CE714-1)&gt;2.5,"NM",IF((ABS(CJ714-CE714)=ABS(ABS(CJ714)-ABS(CE714))),(CJ714/CE714-1),"NM"))))))</f>
      </c>
      <c r="CK719" s="308">
        <f>IF(CF714=0, 0, CK714/CF714-1)</f>
      </c>
      <c r="CL719" s="30">
        <f t="shared" ref="CL719:CN720" si="1758">IF(CG714="NM","NM",IF(CL714="NM","NM",IF(CG714&lt;=0,"NM",IF(CL714=0,"NM",IF(ABS(CL714/CG714-1)&gt;2.5,"NM",IF((ABS(CL714-CG714)=ABS(ABS(CL714)-ABS(CG714))),(CL714/CG714-1),"NM"))))))</f>
      </c>
      <c r="CM719" s="30">
        <f t="shared" si="1758"/>
      </c>
      <c r="CN719" s="30">
        <f t="shared" si="1758"/>
      </c>
      <c r="CO719" s="30">
        <f>IF(CJ714="NM","NM",IF(CO714="NM","NM",IF(CJ714&lt;=0,"NM",IF(CO714=0,"NM",IF(ABS(CO714/CJ714-1)&gt;2.5,"NM",IF((ABS(CO714-CJ714)=ABS(ABS(CO714)-ABS(CJ714))),(CO714/CJ714-1),"NM"))))))</f>
      </c>
      <c r="CP719" s="308">
        <f>IF(CK714=0, 0, CP714/CK714-1)</f>
      </c>
      <c r="CQ719" s="30">
        <f t="shared" ref="CQ719:CX720" si="1759">IF(CL714="NM","NM",IF(CQ714="NM","NM",IF(CL714&lt;=0,"NM",IF(CQ714=0,"NM",IF(ABS(CQ714/CL714-1)&gt;2.5,"NM",IF((ABS(CQ714-CL714)=ABS(ABS(CQ714)-ABS(CL714))),(CQ714/CL714-1),"NM"))))))</f>
      </c>
      <c r="CR719" s="30">
        <f t="shared" si="1759"/>
      </c>
      <c r="CS719" s="30">
        <f t="shared" si="1759"/>
      </c>
      <c r="CT719" s="30">
        <f t="shared" si="1759"/>
      </c>
      <c r="CU719" s="308">
        <f>IF(CP714=0, 0, CU714/CP714-1)</f>
      </c>
      <c r="CV719" s="30">
        <f t="shared" si="1759"/>
      </c>
      <c r="CW719" s="30">
        <f t="shared" si="1759"/>
      </c>
      <c r="CX719" s="30">
        <f t="shared" si="1759"/>
      </c>
      <c r="CY719" s="30">
        <f>IF(CT714="NM","NM",IF(CY714="NM","NM",IF(CT714&lt;=0,"NM",IF(CY714=0,"NM",IF(ABS(CY714/CT714-1)&gt;2.5,"NM",IF((ABS(CY714-CT714)=ABS(ABS(CY714)-ABS(CT714))),(CY714/CT714-1),"NM"))))))</f>
      </c>
      <c r="CZ719" s="308">
        <f>IF(CU714=0, 0, CZ714/CU714-1)</f>
      </c>
      <c r="DA719" s="30">
        <f t="shared" ref="DA719:DC720" si="1760">IF(CV714="NM","NM",IF(DA714="NM","NM",IF(CV714&lt;=0,"NM",IF(DA714=0,"NM",IF(ABS(DA714/CV714-1)&gt;2.5,"NM",IF((ABS(DA714-CV714)=ABS(ABS(DA714)-ABS(CV714))),(DA714/CV714-1),"NM"))))))</f>
      </c>
      <c r="DB719" s="30">
        <f t="shared" si="1760"/>
      </c>
      <c r="DC719" s="30">
        <f t="shared" si="1760"/>
      </c>
      <c r="DD719" s="927">
        <f>IF(DD714=0,"NM",+DD714/CY714-1)</f>
      </c>
      <c r="DE719" s="308">
        <f>IF(CZ714=0, 0, DE714/CZ714-1)</f>
      </c>
      <c r="DF719" s="30">
        <f t="shared" ref="DF719:DH720" si="1761">IF(DA714="NM","NM",IF(DF714="NM","NM",IF(DA714&lt;=0,"NM",IF(DF714=0,"NM",IF(ABS(DF714/DA714-1)&gt;2.5,"NM",IF((ABS(DF714-DA714)=ABS(ABS(DF714)-ABS(DA714))),(DF714/DA714-1),"NM"))))))</f>
      </c>
      <c r="DG719" s="30">
        <f t="shared" si="1761"/>
      </c>
      <c r="DH719" s="30">
        <f t="shared" si="1761"/>
      </c>
      <c r="DI719" s="927">
        <f>IF(DI714=0,"NM",+DI714/DD714-1)</f>
      </c>
      <c r="DJ719" s="308">
        <f>IF(DE714=0, 0, DJ714/DE714-1)</f>
      </c>
      <c r="DK719" s="30">
        <f t="shared" ref="DK719:DM720" si="1762">IF(DF714="NM","NM",IF(DK714="NM","NM",IF(DF714&lt;=0,"NM",IF(DK714=0,"NM",IF(ABS(DK714/DF714-1)&gt;2.5,"NM",IF((ABS(DK714-DF714)=ABS(ABS(DK714)-ABS(DF714))),(DK714/DF714-1),"NM"))))))</f>
      </c>
      <c r="DL719" s="30">
        <f t="shared" si="1762"/>
      </c>
      <c r="DM719" s="30">
        <f t="shared" si="1762"/>
      </c>
      <c r="DN719" s="927">
        <f>IF(DN714=0,"NM",+DN714/DI714-1)</f>
      </c>
      <c r="DO719" s="308">
        <f>IF(DJ714=0, 0, DO714/DJ714-1)</f>
      </c>
      <c r="DP719" s="30" t="str">
        <f>IF(DK714="NM","NM",IF(DP714="NM","NM",IF(DK714&lt;=0,"NM",IF(DP714=0,"NM",IF(ABS(DP714/DK714-1)&gt;2.5,"NM",IF((ABS(DP714-DK714)=ABS(ABS(DP714)-ABS(DK714))),(DP714/DK714-1),"NM"))))))</f>
      </c>
      <c r="DQ719" s="1823">
        <f>$DT719</f>
      </c>
      <c r="DR719" s="1823">
        <f>$DT719</f>
      </c>
      <c r="DS719" s="1562" t="str">
        <f>IF(DS714=0,"NM",+DS714/DN714-1)</f>
      </c>
      <c r="DT719" s="660">
        <v>-0.4</v>
      </c>
      <c r="DU719" s="2111">
        <f>$DT719</f>
      </c>
      <c r="DV719" s="2112"/>
      <c r="DW719" s="2112"/>
      <c r="DX719" s="1063"/>
      <c r="DY719" s="660"/>
      <c r="DZ719" s="2112"/>
      <c r="EA719" s="2112"/>
      <c r="EB719" s="2112"/>
      <c r="EC719" s="1063"/>
      <c r="ED719" s="660"/>
      <c r="EE719" s="2112"/>
      <c r="EF719" s="2112"/>
      <c r="EG719" s="2112"/>
      <c r="EH719" s="1063"/>
      <c r="EI719" s="660"/>
      <c r="EJ719" s="660"/>
      <c r="EK719" s="660"/>
      <c r="EL719" s="660"/>
      <c r="EM719" s="660"/>
      <c r="EN719" s="660"/>
      <c r="EO719" s="673"/>
      <c r="EP719" s="673"/>
      <c r="EQ719" s="673"/>
      <c r="ER719" s="673"/>
      <c r="ES719" s="673"/>
      <c r="ET719" s="673"/>
      <c r="EU719" s="673"/>
      <c r="EV719" s="673"/>
      <c r="EW719" s="673"/>
      <c r="EX719" s="673"/>
    </row>
    <row r="720" spans="1:154" ht="12.75" customHeight="1" outlineLevel="1">
      <c r="B720" s="1169" t="s">
        <v>412</v>
      </c>
      <c r="C720" s="1989"/>
      <c r="D720" s="28"/>
      <c r="E720" s="28"/>
      <c r="F720" s="28"/>
      <c r="G720" s="28"/>
      <c r="H720" s="28"/>
      <c r="I720" s="29">
        <v>0.15</v>
      </c>
      <c r="J720" s="30">
        <f t="shared" si="1751"/>
      </c>
      <c r="K720" s="30">
        <f t="shared" si="1751"/>
      </c>
      <c r="L720" s="30">
        <f t="shared" si="1751"/>
      </c>
      <c r="M720" s="30">
        <f t="shared" si="1751"/>
      </c>
      <c r="N720" s="30">
        <f t="shared" si="1751"/>
      </c>
      <c r="O720" s="30">
        <f t="shared" si="1751"/>
      </c>
      <c r="P720" s="30">
        <f t="shared" si="1751"/>
      </c>
      <c r="Q720" s="30">
        <f t="shared" si="1751"/>
      </c>
      <c r="R720" s="30">
        <f t="shared" si="1751"/>
      </c>
      <c r="S720" s="30">
        <f t="shared" si="1751"/>
      </c>
      <c r="T720" s="30">
        <f t="shared" si="1752"/>
      </c>
      <c r="U720" s="30">
        <f t="shared" si="1752"/>
      </c>
      <c r="V720" s="30">
        <f t="shared" si="1752"/>
      </c>
      <c r="W720" s="30">
        <f t="shared" si="1752"/>
      </c>
      <c r="X720" s="308">
        <f t="shared" si="1752"/>
      </c>
      <c r="Y720" s="30">
        <f t="shared" si="1752"/>
      </c>
      <c r="Z720" s="30">
        <f t="shared" si="1752"/>
      </c>
      <c r="AA720" s="30">
        <f t="shared" si="1752"/>
      </c>
      <c r="AB720" s="30">
        <f t="shared" si="1752"/>
      </c>
      <c r="AC720" s="308">
        <f t="shared" si="1752"/>
      </c>
      <c r="AD720" s="30">
        <f t="shared" si="1753"/>
      </c>
      <c r="AE720" s="30">
        <f t="shared" si="1753"/>
      </c>
      <c r="AF720" s="30">
        <f t="shared" si="1753"/>
      </c>
      <c r="AG720" s="30">
        <f t="shared" si="1753"/>
      </c>
      <c r="AH720" s="308">
        <f t="shared" si="1753"/>
      </c>
      <c r="AI720" s="30">
        <f t="shared" si="1753"/>
      </c>
      <c r="AJ720" s="30">
        <f t="shared" si="1753"/>
      </c>
      <c r="AK720" s="30">
        <f t="shared" si="1753"/>
      </c>
      <c r="AL720" s="30">
        <f t="shared" si="1753"/>
      </c>
      <c r="AM720" s="308">
        <f t="shared" si="1753"/>
      </c>
      <c r="AN720" s="30">
        <f t="shared" si="1754"/>
      </c>
      <c r="AO720" s="30">
        <f t="shared" si="1754"/>
      </c>
      <c r="AP720" s="30">
        <f t="shared" si="1754"/>
      </c>
      <c r="AQ720" s="30">
        <f t="shared" si="1754"/>
      </c>
      <c r="AR720" s="308">
        <f t="shared" si="1754"/>
      </c>
      <c r="AS720" s="30">
        <f t="shared" si="1754"/>
      </c>
      <c r="AT720" s="30">
        <f t="shared" si="1754"/>
      </c>
      <c r="AU720" s="30">
        <f t="shared" si="1754"/>
      </c>
      <c r="AV720" s="30">
        <f t="shared" si="1754"/>
      </c>
      <c r="AW720" s="308">
        <f t="shared" si="1754"/>
      </c>
      <c r="AX720" s="30">
        <f t="shared" si="1755"/>
      </c>
      <c r="AY720" s="30">
        <f t="shared" si="1755"/>
      </c>
      <c r="AZ720" s="30">
        <f t="shared" si="1755"/>
      </c>
      <c r="BA720" s="30">
        <f t="shared" si="1755"/>
      </c>
      <c r="BB720" s="308">
        <f t="shared" si="1755"/>
      </c>
      <c r="BC720" s="30">
        <f t="shared" si="1755"/>
      </c>
      <c r="BD720" s="30">
        <f t="shared" si="1755"/>
      </c>
      <c r="BE720" s="30">
        <f t="shared" si="1755"/>
      </c>
      <c r="BF720" s="30">
        <f t="shared" si="1755"/>
      </c>
      <c r="BG720" s="308">
        <f>IF(BB715="NM","NM",IF(BG715="NM","NM",IF(BB715&lt;=0,"NM",IF(BG715=0,"NM",IF(ABS(BG715/BB715-1)&gt;2.5,"NM",IF((ABS(BG715-BB715)=ABS(ABS(BG715)-ABS(BB715))),(BG715/BB715-1),"NM"))))))</f>
      </c>
      <c r="BH720" s="30">
        <f t="shared" si="1755"/>
      </c>
      <c r="BI720" s="30">
        <f t="shared" si="1755"/>
      </c>
      <c r="BJ720" s="30">
        <f t="shared" si="1755"/>
      </c>
      <c r="BK720" s="30">
        <f t="shared" si="1755"/>
      </c>
      <c r="BL720" s="315">
        <f>IF(BG715="NM","NM",IF(BL715="NM","NM",IF(BG715&lt;=0,"NM",IF(BL715=0,"NM",IF(ABS(BL715/BG715-1)&gt;2.5,"NM",IF((ABS(BL715-BG715)=ABS(ABS(BL715)-ABS(BG715))),(BL715/BG715-1),"NM"))))))</f>
      </c>
      <c r="BM720" s="30">
        <f t="shared" si="1755"/>
      </c>
      <c r="BN720" s="30">
        <f t="shared" si="1755"/>
      </c>
      <c r="BO720" s="30">
        <f t="shared" si="1755"/>
      </c>
      <c r="BP720" s="30">
        <f t="shared" si="1756"/>
      </c>
      <c r="BQ720" s="315">
        <f t="shared" si="1756"/>
      </c>
      <c r="BR720" s="30">
        <f t="shared" si="1756"/>
      </c>
      <c r="BS720" s="30">
        <f t="shared" si="1756"/>
      </c>
      <c r="BT720" s="30">
        <f t="shared" si="1756"/>
      </c>
      <c r="BU720" s="30">
        <f>IF(BP715="NM","NM",IF(BU715="NM","NM",IF(BP715&lt;=0,"NM",IF(BU715=0,"NM",IF(ABS(BU715/BP715-1)&gt;2.5,"NM",IF((ABS(BU715-BP715)=ABS(ABS(BU715)-ABS(BP715))),(BU715/BP715-1),"NM"))))))</f>
      </c>
      <c r="BV720" s="315">
        <f>IF(BQ715="NM","NM",IF(BV715="NM","NM",IF(BQ715&lt;=0,"NM",IF(BV715=0,"NM",IF(ABS(BV715/BQ715-1)&gt;2.5,"NM",IF((ABS(BV715-BQ715)=ABS(ABS(BV715)-ABS(BQ715))),(BV715/BQ715-1),"NM"))))))</f>
      </c>
      <c r="BW720" s="30">
        <f t="shared" ref="BW720:CI720" si="1763">IF(BR715="NM","NM",IF(BW715="NM","NM",IF(BR715&lt;=0,"NM",IF(BW715=0,"NM",IF(ABS(BW715/BR715-1)&gt;2.5,"NM",IF((ABS(BW715-BR715)=ABS(ABS(BW715)-ABS(BR715))),(BW715/BR715-1),"NM"))))))</f>
      </c>
      <c r="BX720" s="30">
        <f t="shared" si="1763"/>
      </c>
      <c r="BY720" s="30">
        <f t="shared" si="1763"/>
      </c>
      <c r="BZ720" s="30">
        <f t="shared" si="1763"/>
      </c>
      <c r="CA720" s="308">
        <f>IF(BV715="NM","NM",IF(CA715="NM","NM",IF(BV715&lt;=0,"NM",IF(CA715=0,"NM",IF(ABS(CA715/BV715-1)&gt;2.5,"NM",IF((ABS(CA715-BV715)=ABS(ABS(CA715)-ABS(BV715))),(CA715/BV715-1),"NM"))))))</f>
      </c>
      <c r="CB720" s="30">
        <f t="shared" si="1763"/>
      </c>
      <c r="CC720" s="30">
        <f t="shared" si="1763"/>
      </c>
      <c r="CD720" s="30">
        <f t="shared" si="1763"/>
      </c>
      <c r="CE720" s="30">
        <f t="shared" si="1763"/>
      </c>
      <c r="CF720" s="308">
        <f>IF(CA715="NM","NM",IF(CF715="NM","NM",IF(CA715&lt;=0,"NM",IF(CF715=0,"NM",IF(ABS(CF715/CA715-1)&gt;2.5,"NM",IF((ABS(CF715-CA715)=ABS(ABS(CF715)-ABS(CA715))),(CF715/CA715-1),"NM"))))))</f>
      </c>
      <c r="CG720" s="30">
        <f t="shared" si="1763"/>
      </c>
      <c r="CH720" s="30">
        <f t="shared" si="1763"/>
      </c>
      <c r="CI720" s="30">
        <f t="shared" si="1763"/>
      </c>
      <c r="CJ720" s="30">
        <f>IF(CE715="NM","NM",IF(CJ715="NM","NM",IF(CE715&lt;=0,"NM",IF(CJ715=0,"NM",IF(ABS(CJ715/CE715-1)&gt;2.5,"NM",IF((ABS(CJ715-CE715)=ABS(ABS(CJ715)-ABS(CE715))),(CJ715/CE715-1),"NM"))))))</f>
      </c>
      <c r="CK720" s="308">
        <f>IF(CF715=0, "NA", CK715/CF715-1)</f>
      </c>
      <c r="CL720" s="30">
        <f t="shared" si="1758"/>
      </c>
      <c r="CM720" s="30">
        <f t="shared" si="1758"/>
      </c>
      <c r="CN720" s="30">
        <f t="shared" si="1758"/>
      </c>
      <c r="CO720" s="30">
        <f>IF(CJ715="NM","NM",IF(CO715="NM","NM",IF(CJ715&lt;=0,"NM",IF(CO715=0,"NM",IF(ABS(CO715/CJ715-1)&gt;2.5,"NM",IF((ABS(CO715-CJ715)=ABS(ABS(CO715)-ABS(CJ715))),(CO715/CJ715-1),"NM"))))))</f>
      </c>
      <c r="CP720" s="308">
        <f>IF(CK715=0, "NA", CP715/CK715-1)</f>
      </c>
      <c r="CQ720" s="30">
        <f t="shared" si="1759"/>
      </c>
      <c r="CR720" s="30">
        <f t="shared" si="1759"/>
      </c>
      <c r="CS720" s="30">
        <f t="shared" si="1759"/>
      </c>
      <c r="CT720" s="30">
        <f t="shared" si="1759"/>
      </c>
      <c r="CU720" s="308">
        <f>IF(CP715=0, "NA", CU715/CP715-1)</f>
      </c>
      <c r="CV720" s="30">
        <f t="shared" si="1759"/>
      </c>
      <c r="CW720" s="30">
        <f t="shared" si="1759"/>
      </c>
      <c r="CX720" s="30">
        <f t="shared" si="1759"/>
      </c>
      <c r="CY720" s="30">
        <f>IF(CT715="NM","NM",IF(CY715="NM","NM",IF(CT715&lt;=0,"NM",IF(CY715=0,"NM",IF(ABS(CY715/CT715-1)&gt;2.5,"NM",IF((ABS(CY715-CT715)=ABS(ABS(CY715)-ABS(CT715))),(CY715/CT715-1),"NM"))))))</f>
      </c>
      <c r="CZ720" s="308">
        <f>IF(CU715=0, "NA", CZ715/CU715-1)</f>
      </c>
      <c r="DA720" s="30">
        <f t="shared" si="1760"/>
      </c>
      <c r="DB720" s="30">
        <f t="shared" si="1760"/>
      </c>
      <c r="DC720" s="1361">
        <f t="shared" si="1760"/>
      </c>
      <c r="DD720" s="1534">
        <f>IF(DD715=0, "NM", DD715/CY715-1)</f>
      </c>
      <c r="DE720" s="308">
        <f>IF(CZ715=0, "NA", DE715/CZ715-1)</f>
      </c>
      <c r="DF720" s="30">
        <f t="shared" si="1761"/>
      </c>
      <c r="DG720" s="30">
        <f t="shared" si="1761"/>
      </c>
      <c r="DH720" s="30">
        <f t="shared" si="1761"/>
      </c>
      <c r="DI720" s="1235">
        <f>IF(DI715=0, "NM", DI715/DD715-1)</f>
      </c>
      <c r="DJ720" s="308">
        <f>IF(DE715=0, "NA", DJ715/DE715-1)</f>
      </c>
      <c r="DK720" s="30">
        <f t="shared" si="1762"/>
      </c>
      <c r="DL720" s="30">
        <f t="shared" si="1762"/>
      </c>
      <c r="DM720" s="30">
        <f t="shared" si="1762"/>
      </c>
      <c r="DN720" s="928">
        <f>IF(DN715=0, "NM", DN715/DI715-1)</f>
      </c>
      <c r="DO720" s="308">
        <f>IF(DJ715=0, "NA", DO715/DJ715-1)</f>
      </c>
      <c r="DP720" s="30" t="str">
        <f>IF(DK715="NM","NM",IF(DP715="NM","NM",IF(DK715&lt;=0,"NM",IF(DP715=0,"NM",IF(ABS(DP715/DK715-1)&gt;2.5,"NM",IF((ABS(DP715-DK715)=ABS(ABS(DP715)-ABS(DK715))),(DP715/DK715-1),"NM"))))))</f>
      </c>
      <c r="DQ720" s="925">
        <f>DQ721+DQ$21</f>
      </c>
      <c r="DR720" s="925">
        <f>DR721+DR$21</f>
      </c>
      <c r="DS720" s="837" t="str">
        <f>IF(DS715=0, "NM", DS715/DN715-1)</f>
      </c>
      <c r="DT720" s="308">
        <f>DT721+DT$21</f>
      </c>
      <c r="DU720" s="968">
        <f>DU721+DU$21</f>
      </c>
      <c r="DV720" s="925"/>
      <c r="DW720" s="925"/>
      <c r="DX720" s="927"/>
      <c r="DY720" s="308"/>
      <c r="DZ720" s="925"/>
      <c r="EA720" s="925"/>
      <c r="EB720" s="925"/>
      <c r="EC720" s="927"/>
      <c r="ED720" s="1060"/>
      <c r="EE720" s="925"/>
      <c r="EF720" s="925"/>
      <c r="EG720" s="925"/>
      <c r="EH720" s="927"/>
      <c r="EI720" s="308"/>
      <c r="EJ720" s="308"/>
      <c r="EK720" s="308"/>
      <c r="EL720" s="308"/>
      <c r="EM720" s="308"/>
      <c r="EN720" s="308"/>
      <c r="EO720" s="308"/>
      <c r="EP720" s="308"/>
      <c r="EQ720" s="308"/>
      <c r="ER720" s="308"/>
      <c r="ES720" s="308"/>
      <c r="ET720" s="308"/>
      <c r="EU720" s="308"/>
      <c r="EV720" s="308"/>
      <c r="EW720" s="308"/>
      <c r="EX720" s="308"/>
    </row>
    <row r="721" spans="1:154" ht="12.75" customHeight="1" outlineLevel="1">
      <c r="B721" s="1169" t="s">
        <v>256</v>
      </c>
      <c r="C721" s="1989"/>
      <c r="D721" s="28"/>
      <c r="E721" s="28"/>
      <c r="F721" s="28"/>
      <c r="G721" s="28"/>
      <c r="H721" s="28"/>
      <c r="I721" s="24"/>
      <c r="J721" s="1"/>
      <c r="K721" s="1"/>
      <c r="L721" s="1"/>
      <c r="M721" s="1"/>
      <c r="N721" s="24"/>
      <c r="O721" s="24"/>
      <c r="P721" s="24"/>
      <c r="Q721" s="24"/>
      <c r="R721" s="24"/>
      <c r="S721" s="1"/>
      <c r="T721" s="24"/>
      <c r="U721" s="24"/>
      <c r="V721" s="24"/>
      <c r="W721" s="24"/>
      <c r="X721" s="309"/>
      <c r="Y721" s="24"/>
      <c r="Z721" s="24"/>
      <c r="AA721" s="24"/>
      <c r="AB721" s="24"/>
      <c r="AC721" s="309"/>
      <c r="AD721" s="24"/>
      <c r="AE721" s="24"/>
      <c r="AF721" s="24"/>
      <c r="AG721" s="24"/>
      <c r="AH721" s="309"/>
      <c r="AI721" s="41">
        <f t="shared" ref="AI721:BK721" si="1764">IF(ISNUMBER(AI720),(1+AI720)/(1+AI$21)-1,"NM")</f>
      </c>
      <c r="AJ721" s="41">
        <f t="shared" si="1764"/>
      </c>
      <c r="AK721" s="41">
        <f t="shared" si="1764"/>
      </c>
      <c r="AL721" s="41">
        <f t="shared" si="1764"/>
      </c>
      <c r="AM721" s="309">
        <f t="shared" si="1764"/>
      </c>
      <c r="AN721" s="41">
        <f t="shared" si="1764"/>
      </c>
      <c r="AO721" s="41">
        <f t="shared" si="1764"/>
      </c>
      <c r="AP721" s="41">
        <f t="shared" si="1764"/>
      </c>
      <c r="AQ721" s="41">
        <f t="shared" si="1764"/>
      </c>
      <c r="AR721" s="309">
        <f t="shared" si="1764"/>
      </c>
      <c r="AS721" s="41">
        <f t="shared" si="1764"/>
      </c>
      <c r="AT721" s="41">
        <f t="shared" si="1764"/>
      </c>
      <c r="AU721" s="41">
        <f t="shared" si="1764"/>
      </c>
      <c r="AV721" s="41">
        <f t="shared" si="1764"/>
      </c>
      <c r="AW721" s="309">
        <f t="shared" si="1764"/>
      </c>
      <c r="AX721" s="41">
        <f t="shared" si="1764"/>
      </c>
      <c r="AY721" s="41">
        <f t="shared" si="1764"/>
      </c>
      <c r="AZ721" s="41">
        <f t="shared" si="1764"/>
      </c>
      <c r="BA721" s="41">
        <f t="shared" si="1764"/>
      </c>
      <c r="BB721" s="309">
        <f t="shared" si="1764"/>
      </c>
      <c r="BC721" s="41">
        <f t="shared" si="1764"/>
      </c>
      <c r="BD721" s="41">
        <f t="shared" si="1764"/>
      </c>
      <c r="BE721" s="41">
        <f t="shared" si="1764"/>
      </c>
      <c r="BF721" s="41">
        <f t="shared" si="1764"/>
      </c>
      <c r="BG721" s="309">
        <f t="shared" si="1764"/>
      </c>
      <c r="BH721" s="41">
        <f t="shared" si="1764"/>
      </c>
      <c r="BI721" s="41">
        <f t="shared" si="1764"/>
      </c>
      <c r="BJ721" s="41">
        <f t="shared" si="1764"/>
      </c>
      <c r="BK721" s="41">
        <f t="shared" si="1764"/>
      </c>
      <c r="BL721" s="315">
        <f>BL720-$BL$21</f>
      </c>
      <c r="BM721" s="650">
        <f>IF(ISNUMBER(BM720),(1+BM720)/(1+BM$21)-1,"NM")</f>
      </c>
      <c r="BN721" s="650">
        <v>-0.112</v>
      </c>
      <c r="BO721" s="650">
        <v>-5.3999999999999999E-2</v>
      </c>
      <c r="BP721" s="649">
        <v>-0.13700000000000001</v>
      </c>
      <c r="BQ721" s="406">
        <v>-0.108</v>
      </c>
      <c r="BR721" s="650">
        <v>-0.112</v>
      </c>
      <c r="BS721" s="650">
        <v>-0.14899999999999999</v>
      </c>
      <c r="BT721" s="650">
        <v>-0.14599999999999999</v>
      </c>
      <c r="BU721" s="649">
        <v>-0.11</v>
      </c>
      <c r="BV721" s="406">
        <v>-0.13700000000000001</v>
      </c>
      <c r="BW721" s="649">
        <v>-0.158</v>
      </c>
      <c r="BX721" s="649">
        <v>-0.14599999999999999</v>
      </c>
      <c r="BY721" s="649">
        <v>-0.14399999999999999</v>
      </c>
      <c r="BZ721" s="836">
        <v>-0.107</v>
      </c>
      <c r="CA721" s="448">
        <v>-0.14000000000000001</v>
      </c>
      <c r="CB721" s="29">
        <v>-6.6000000000000003E-2</v>
      </c>
      <c r="CC721" s="649">
        <v>-3.4000000000000002E-2</v>
      </c>
      <c r="CD721" s="649">
        <v>-0.114</v>
      </c>
      <c r="CE721" s="836">
        <v>-3.2000000000000001E-2</v>
      </c>
      <c r="CF721" s="448">
        <v>-6.2E-2</v>
      </c>
      <c r="CG721" s="29">
        <v>-7.4999999999999997E-2</v>
      </c>
      <c r="CH721" s="29">
        <v>-0.187</v>
      </c>
      <c r="CI721" s="29">
        <v>-0.17100000000000001</v>
      </c>
      <c r="CJ721" s="29">
        <v>-0.2</v>
      </c>
      <c r="CK721" s="315">
        <f>CK720-CK$21</f>
      </c>
      <c r="CL721" s="29">
        <v>-8.6999999999999994E-2</v>
      </c>
      <c r="CM721" s="29">
        <v>-2.9000000000000001E-2</v>
      </c>
      <c r="CN721" s="29">
        <v>-4.7E-2</v>
      </c>
      <c r="CO721" s="29">
        <v>-0.14499999999999999</v>
      </c>
      <c r="CP721" s="315">
        <f>CP720-CP$21</f>
      </c>
      <c r="CQ721" s="29">
        <v>-0.13100000000000001</v>
      </c>
      <c r="CR721" s="29">
        <v>-9.7000000000000003E-2</v>
      </c>
      <c r="CS721" s="29">
        <v>-0.17599999999999999</v>
      </c>
      <c r="CT721" s="29">
        <v>-0.121</v>
      </c>
      <c r="CU721" s="315">
        <f>CU720-CU$21</f>
      </c>
      <c r="CV721" s="29">
        <v>2.8000000000000001E-2</v>
      </c>
      <c r="CW721" s="29">
        <v>-5.8999999999999997E-2</v>
      </c>
      <c r="CX721" s="29">
        <v>0.128</v>
      </c>
      <c r="CY721" s="29">
        <v>6.7000000000000004E-2</v>
      </c>
      <c r="CZ721" s="315">
        <f>CZ720-CZ$21</f>
      </c>
      <c r="DA721" s="29">
        <v>-5.1999999999999998E-2</v>
      </c>
      <c r="DB721" s="361">
        <v>-9.6000000000000002E-2</v>
      </c>
      <c r="DC721" s="1109">
        <v>-4.3999999999999997E-2</v>
      </c>
      <c r="DD721" s="1525">
        <v>-7.0000000000000007E-2</v>
      </c>
      <c r="DE721" s="308">
        <f>DE720-DE$21</f>
      </c>
      <c r="DF721" s="29">
        <v>-0.2</v>
      </c>
      <c r="DG721" s="29">
        <v>-0.4</v>
      </c>
      <c r="DH721" s="29">
        <v>-0.32</v>
      </c>
      <c r="DI721" s="927">
        <f>IF(DI715=0, "NM",DI720-DI$21)</f>
      </c>
      <c r="DJ721" s="308">
        <f>DJ720-DJ$21</f>
      </c>
      <c r="DK721" s="29">
        <v>-0.2</v>
      </c>
      <c r="DL721" s="361">
        <v>-9.6000000000000002E-2</v>
      </c>
      <c r="DM721" s="29">
        <v>-0.05</v>
      </c>
      <c r="DN721" s="927">
        <f>IF(DN715=0, "NM",DN720-DN$21)</f>
      </c>
      <c r="DO721" s="308">
        <f>DO720-DO$21</f>
      </c>
      <c r="DP721" s="925"/>
      <c r="DQ721" s="1823">
        <v>-0.35</v>
      </c>
      <c r="DR721" s="1823">
        <f>$DT721</f>
      </c>
      <c r="DS721" s="1564" t="str">
        <f>IF(DS715=0, "NM",DS720-DS$21)</f>
      </c>
      <c r="DT721" s="660">
        <v>-0.25</v>
      </c>
      <c r="DU721" s="2111">
        <v>-0.25</v>
      </c>
      <c r="DV721" s="2112"/>
      <c r="DW721" s="2112"/>
      <c r="DX721" s="1574"/>
      <c r="DY721" s="660"/>
      <c r="DZ721" s="2112"/>
      <c r="EA721" s="2112"/>
      <c r="EB721" s="2112"/>
      <c r="EC721" s="1574"/>
      <c r="ED721" s="660"/>
      <c r="EE721" s="2112"/>
      <c r="EF721" s="2112"/>
      <c r="EG721" s="2112"/>
      <c r="EH721" s="1574"/>
      <c r="EI721" s="660"/>
      <c r="EJ721" s="660"/>
      <c r="EK721" s="660"/>
      <c r="EL721" s="660"/>
      <c r="EM721" s="660"/>
      <c r="EN721" s="660"/>
      <c r="EO721" s="673"/>
      <c r="EP721" s="673"/>
      <c r="EQ721" s="673"/>
      <c r="ER721" s="673"/>
      <c r="ES721" s="673"/>
      <c r="ET721" s="673"/>
      <c r="EU721" s="673"/>
      <c r="EV721" s="673"/>
      <c r="EW721" s="673"/>
      <c r="EX721" s="673"/>
    </row>
    <row r="722" spans="1:154" ht="12.75" customHeight="1" outlineLevel="1">
      <c r="B722" s="1169" t="s">
        <v>413</v>
      </c>
      <c r="C722" s="1989"/>
      <c r="D722" s="28"/>
      <c r="E722" s="28"/>
      <c r="F722" s="28"/>
      <c r="G722" s="28"/>
      <c r="H722" s="28"/>
      <c r="I722" s="29">
        <v>0.4</v>
      </c>
      <c r="J722" s="30">
        <f t="shared" ref="J722:AO722" si="1765">IF(E716="NM","NM",IF(J716="NM","NM",IF(E716&lt;=0,"NM",IF(J716=0,"NM",IF(ABS(J716/E716-1)&gt;2.5,"NM",IF((ABS(J716-E716)=ABS(ABS(J716)-ABS(E716))),(J716/E716-1),"NM"))))))</f>
      </c>
      <c r="K722" s="30">
        <f t="shared" si="1765"/>
      </c>
      <c r="L722" s="30">
        <f t="shared" si="1765"/>
      </c>
      <c r="M722" s="30">
        <f t="shared" si="1765"/>
      </c>
      <c r="N722" s="30">
        <f t="shared" si="1765"/>
      </c>
      <c r="O722" s="30">
        <f t="shared" si="1765"/>
      </c>
      <c r="P722" s="30">
        <f t="shared" si="1765"/>
      </c>
      <c r="Q722" s="30">
        <f t="shared" si="1765"/>
      </c>
      <c r="R722" s="30">
        <f t="shared" si="1765"/>
      </c>
      <c r="S722" s="30">
        <f t="shared" si="1765"/>
      </c>
      <c r="T722" s="30">
        <f t="shared" si="1765"/>
      </c>
      <c r="U722" s="30">
        <f t="shared" si="1765"/>
      </c>
      <c r="V722" s="30">
        <f t="shared" si="1765"/>
      </c>
      <c r="W722" s="30">
        <f t="shared" si="1765"/>
      </c>
      <c r="X722" s="308">
        <f t="shared" si="1765"/>
      </c>
      <c r="Y722" s="30">
        <f t="shared" si="1765"/>
      </c>
      <c r="Z722" s="30">
        <f t="shared" si="1765"/>
      </c>
      <c r="AA722" s="30">
        <f t="shared" si="1765"/>
      </c>
      <c r="AB722" s="30">
        <f t="shared" si="1765"/>
      </c>
      <c r="AC722" s="308">
        <f t="shared" si="1765"/>
      </c>
      <c r="AD722" s="30">
        <f t="shared" si="1765"/>
      </c>
      <c r="AE722" s="30">
        <f t="shared" si="1765"/>
      </c>
      <c r="AF722" s="30">
        <f t="shared" si="1765"/>
      </c>
      <c r="AG722" s="30">
        <f t="shared" si="1765"/>
      </c>
      <c r="AH722" s="308">
        <f t="shared" si="1765"/>
      </c>
      <c r="AI722" s="30">
        <f t="shared" si="1765"/>
      </c>
      <c r="AJ722" s="30">
        <f t="shared" si="1765"/>
      </c>
      <c r="AK722" s="30">
        <f t="shared" si="1765"/>
      </c>
      <c r="AL722" s="30">
        <f t="shared" si="1765"/>
      </c>
      <c r="AM722" s="308">
        <f t="shared" si="1765"/>
      </c>
      <c r="AN722" s="30">
        <f t="shared" si="1765"/>
      </c>
      <c r="AO722" s="30">
        <f t="shared" si="1765"/>
      </c>
      <c r="AP722" s="30">
        <f t="shared" ref="AP722:BH722" si="1766">IF(AK716="NM","NM",IF(AP716="NM","NM",IF(AK716&lt;=0,"NM",IF(AP716=0,"NM",IF(ABS(AP716/AK716-1)&gt;2.5,"NM",IF((ABS(AP716-AK716)=ABS(ABS(AP716)-ABS(AK716))),(AP716/AK716-1),"NM"))))))</f>
      </c>
      <c r="AQ722" s="30">
        <f t="shared" si="1766"/>
      </c>
      <c r="AR722" s="308">
        <f t="shared" si="1766"/>
      </c>
      <c r="AS722" s="30">
        <f t="shared" si="1766"/>
      </c>
      <c r="AT722" s="30">
        <f t="shared" si="1766"/>
      </c>
      <c r="AU722" s="30">
        <f t="shared" si="1766"/>
      </c>
      <c r="AV722" s="30">
        <f t="shared" si="1766"/>
      </c>
      <c r="AW722" s="308">
        <f t="shared" si="1766"/>
      </c>
      <c r="AX722" s="30">
        <f t="shared" si="1766"/>
      </c>
      <c r="AY722" s="30">
        <f t="shared" si="1766"/>
      </c>
      <c r="AZ722" s="30">
        <f t="shared" si="1766"/>
      </c>
      <c r="BA722" s="30">
        <f t="shared" si="1766"/>
      </c>
      <c r="BB722" s="308">
        <f t="shared" si="1766"/>
      </c>
      <c r="BC722" s="30">
        <f t="shared" si="1766"/>
      </c>
      <c r="BD722" s="30">
        <f t="shared" si="1766"/>
      </c>
      <c r="BE722" s="30">
        <f t="shared" si="1766"/>
      </c>
      <c r="BF722" s="30">
        <f t="shared" si="1766"/>
      </c>
      <c r="BG722" s="308">
        <f t="shared" si="1766"/>
      </c>
      <c r="BH722" s="30">
        <f t="shared" si="1766"/>
      </c>
      <c r="BI722" s="30">
        <f t="shared" ref="BI722:BS722" si="1767">IF(BD716="NM","NM",IF(BI716="NM","NM",IF(BD716&lt;=0,"NM",IF(BI716=0,"NM",IF(ABS(BI716/BD716-1)&gt;2.5,"NM",IF((ABS(BI716-BD716)=ABS(ABS(BI716)-ABS(BD716))),(BI716/BD716-1),"NM"))))))</f>
      </c>
      <c r="BJ722" s="30">
        <f t="shared" si="1767"/>
      </c>
      <c r="BK722" s="30">
        <f t="shared" si="1767"/>
      </c>
      <c r="BL722" s="315">
        <f t="shared" si="1767"/>
      </c>
      <c r="BM722" s="30">
        <f t="shared" si="1767"/>
      </c>
      <c r="BN722" s="30">
        <f t="shared" si="1767"/>
      </c>
      <c r="BO722" s="30">
        <f t="shared" si="1767"/>
      </c>
      <c r="BP722" s="30">
        <f t="shared" si="1767"/>
      </c>
      <c r="BQ722" s="315">
        <f t="shared" si="1767"/>
      </c>
      <c r="BR722" s="30">
        <f t="shared" si="1767"/>
      </c>
      <c r="BS722" s="30">
        <f t="shared" si="1767"/>
      </c>
      <c r="BT722" s="30">
        <f t="shared" ref="BT722:CX722" si="1768">IF(BO716="NM","NM",IF(BT716="NM","NM",IF(BO716&lt;=0,"NM",IF(BT716=0,"NM",IF(ABS(BT716/BO716-1)&gt;2.5,"NM",IF((ABS(BT716-BO716)=ABS(ABS(BT716)-ABS(BO716))),(BT716/BO716-1),"NM"))))))</f>
      </c>
      <c r="BU722" s="30">
        <f>IF(BP716="NM","NM",IF(BU716="NM","NM",IF(BP716&lt;=0,"NM",IF(BU716=0,"NM",IF(ABS(BU716/BP716-1)&gt;2.5,"NM",IF((ABS(BU716-BP716)=ABS(ABS(BU716)-ABS(BP716))),(BU716/BP716-1),"NM"))))))</f>
      </c>
      <c r="BV722" s="315">
        <f>IF(BQ716="NM","NM",IF(BV716="NM","NM",IF(BQ716&lt;=0,"NM",IF(BV716=0,"NM",IF(ABS(BV716/BQ716-1)&gt;2.5,"NM",IF((ABS(BV716-BQ716)=ABS(ABS(BV716)-ABS(BQ716))),(BV716/BQ716-1),"NM"))))))</f>
      </c>
      <c r="BW722" s="30">
        <f t="shared" si="1768"/>
      </c>
      <c r="BX722" s="30">
        <f t="shared" si="1768"/>
      </c>
      <c r="BY722" s="30">
        <f>IF(BT716="NM","NM",IF(BY716="NM","NM",IF(BT716&lt;=0,"NM",IF(BY716=0,"NM",IF(ABS(BY716/BT716-1)&gt;2.5,"NM",IF((ABS(BY716-BT716)=ABS(ABS(BY716)-ABS(BT716))),(BY716/BT716-1),"NM"))))))</f>
      </c>
      <c r="BZ722" s="30">
        <f>IF(BU716="NM","NM",IF(BZ716="NM","NM",IF(BU716&lt;=0,"NM",IF(BZ716=0,"NM",IF(ABS(BZ716/BU716-1)&gt;2.5,"NM",IF((ABS(BZ716-BU716)=ABS(ABS(BZ716)-ABS(BU716))),(BZ716/BU716-1),"NM"))))))</f>
      </c>
      <c r="CA722" s="308">
        <f>IF(BV716="NM","NM",IF(CA716="NM","NM",IF(BV716&lt;=0,"NM",IF(CA716=0,"NM",IF(ABS(CA716/BV716-1)&gt;2.5,"NM",IF((ABS(CA716-BV716)=ABS(ABS(CA716)-ABS(BV716))),(CA716/BV716-1),"NM"))))))</f>
      </c>
      <c r="CB722" s="30">
        <f t="shared" si="1768"/>
      </c>
      <c r="CC722" s="30">
        <f t="shared" si="1768"/>
      </c>
      <c r="CD722" s="30">
        <f>IF(BY716="NM","NM",IF(CD716="NM","NM",IF(BY716&lt;=0,"NM",IF(CD716=0,"NM",IF(ABS(CD716/BY716-1)&gt;2.5,"NM",IF((ABS(CD716-BY716)=ABS(ABS(CD716)-ABS(BY716))),(CD716/BY716-1),"NM"))))))</f>
      </c>
      <c r="CE722" s="30">
        <f>IF(BZ716="NM","NM",IF(CE716="NM","NM",IF(BZ716&lt;=0,"NM",IF(CE716=0,"NM",IF(ABS(CE716/BZ716-1)&gt;2.5,"NM",IF((ABS(CE716-BZ716)=ABS(ABS(CE716)-ABS(BZ716))),(CE716/BZ716-1),"NM"))))))</f>
      </c>
      <c r="CF722" s="308">
        <f>IF(CA716="NM","NM",IF(CF716="NM","NM",IF(CA716&lt;=0,"NM",IF(CF716=0,"NM",IF(ABS(CF716/CA716-1)&gt;2.5,"NM",IF((ABS(CF716-CA716)=ABS(ABS(CF716)-ABS(CA716))),(CF716/CA716-1),"NM"))))))</f>
      </c>
      <c r="CG722" s="30">
        <f t="shared" si="1768"/>
      </c>
      <c r="CH722" s="30">
        <f t="shared" si="1768"/>
      </c>
      <c r="CI722" s="30">
        <f>IF(CD716="NM","NM",IF(CI716="NM","NM",IF(CD716&lt;=0,"NM",IF(CI716=0,"NM",IF(ABS(CI716/CD716-1)&gt;2.5,"NM",IF((ABS(CI716-CD716)=ABS(ABS(CI716)-ABS(CD716))),(CI716/CD716-1),"NM"))))))</f>
      </c>
      <c r="CJ722" s="30">
        <f>IF(CE716="NM","NM",IF(CJ716="NM","NM",IF(CE716&lt;=0,"NM",IF(CJ716=0,"NM",IF(ABS(CJ716/CE716-1)&gt;2.5,"NM",IF((ABS(CJ716-CE716)=ABS(ABS(CJ716)-ABS(CE716))),(CJ716/CE716-1),"NM"))))))</f>
      </c>
      <c r="CK722" s="308">
        <f>IF(CF716=0, "NA", CK716/CF716-1)</f>
      </c>
      <c r="CL722" s="30">
        <f t="shared" si="1768"/>
      </c>
      <c r="CM722" s="30">
        <f t="shared" si="1768"/>
      </c>
      <c r="CN722" s="30">
        <f>IF(CI716="NM","NM",IF(CN716="NM","NM",IF(CI716&lt;=0,"NM",IF(CN716=0,"NM",IF(ABS(CN716/CI716-1)&gt;2.5,"NM",IF((ABS(CN716-CI716)=ABS(ABS(CN716)-ABS(CI716))),(CN716/CI716-1),"NM"))))))</f>
      </c>
      <c r="CO722" s="30">
        <f>IF(CJ716="NM","NM",IF(CO716="NM","NM",IF(CJ716&lt;=0,"NM",IF(CO716=0,"NM",IF(ABS(CO716/CJ716-1)&gt;2.5,"NM",IF((ABS(CO716-CJ716)=ABS(ABS(CO716)-ABS(CJ716))),(CO716/CJ716-1),"NM"))))))</f>
      </c>
      <c r="CP722" s="308">
        <f>IF(CK716=0, "NA", CP716/CK716-1)</f>
      </c>
      <c r="CQ722" s="30">
        <f t="shared" si="1768"/>
      </c>
      <c r="CR722" s="30">
        <f t="shared" si="1768"/>
      </c>
      <c r="CS722" s="30">
        <f t="shared" si="1768"/>
      </c>
      <c r="CT722" s="30">
        <f t="shared" si="1768"/>
      </c>
      <c r="CU722" s="308">
        <f>IF(CP716=0, "NA", CU716/CP716-1)</f>
      </c>
      <c r="CV722" s="30">
        <f t="shared" si="1768"/>
      </c>
      <c r="CW722" s="30">
        <f t="shared" si="1768"/>
      </c>
      <c r="CX722" s="30">
        <f t="shared" si="1768"/>
      </c>
      <c r="CY722" s="30">
        <f>IF(CT716="NM","NM",IF(CY716="NM","NM",IF(CT716&lt;=0,"NM",IF(CY716=0,"NM",IF(ABS(CY716/CT716-1)&gt;2.5,"NM",IF((ABS(CY716-CT716)=ABS(ABS(CY716)-ABS(CT716))),(CY716/CT716-1),"NM"))))))</f>
      </c>
      <c r="CZ722" s="308">
        <f>IF(CU716=0, "NA", CZ716/CU716-1)</f>
      </c>
      <c r="DA722" s="30">
        <f>IF(CV716="NM","NM",IF(DA716="NM","NM",IF(CV716&lt;=0,"NM",IF(DA716=0,"NM",IF(ABS(DA716/CV716-1)&gt;2.5,"NM",IF((ABS(DA716-CV716)=ABS(ABS(DA716)-ABS(CV716))),(DA716/CV716-1),"NM"))))))</f>
      </c>
      <c r="DB722" s="926">
        <f>IF(CW716=0, "NA", DB716/CW716-1)</f>
      </c>
      <c r="DC722" s="1219">
        <f>IF(CX716=0, "NA", DC716/CX716-1)</f>
      </c>
      <c r="DD722" s="1235">
        <f>IF(CY716=0, "NM", DD716/CY716-1)</f>
      </c>
      <c r="DE722" s="308">
        <f>IF(CZ716=0, "NA", DE716/CZ716-1)</f>
      </c>
      <c r="DF722" s="926">
        <f>IF(DA716=0, "NA", DF716/DA716-1)</f>
      </c>
      <c r="DG722" s="926">
        <f>IF(DB716=0, "NA", DG716/DB716-1)</f>
      </c>
      <c r="DH722" s="926">
        <f>IF(DC716=0, "NA", DH716/DC716-1)</f>
      </c>
      <c r="DI722" s="1235">
        <f>IF(DD716=0, "NM", DI716/DD716-1)</f>
      </c>
      <c r="DJ722" s="308">
        <f>IF(DE716=0, "NA", DJ716/DE716-1)</f>
      </c>
      <c r="DK722" s="926">
        <f>IF(DF716=0, "NA", DK716/DF716-1)</f>
      </c>
      <c r="DL722" s="926">
        <f>IF(DG716=0, "NA", DL716/DG716-1)</f>
      </c>
      <c r="DM722" s="926">
        <f>IF(DH716=0, "NM", DM716/DH716-1)</f>
      </c>
      <c r="DN722" s="928">
        <f>IF(DI716=0, "NM", DN716/DI716-1)</f>
      </c>
      <c r="DO722" s="409">
        <f>IF(DJ716=0, "NA", DO716/DJ716-1)</f>
      </c>
      <c r="DP722" s="968">
        <f>IF(DK716=0, "NA", DP716/DK716-1)</f>
      </c>
      <c r="DQ722" s="925">
        <f>IF(DL716=0, "NA", DQ716/DL716-1)</f>
      </c>
      <c r="DR722" s="925">
        <f>IF(DM716=0, "NA", DR716/DM716-1)</f>
      </c>
      <c r="DS722" s="927">
        <f>IF(DN716=0, "NM", DS716/DN716-1)</f>
      </c>
      <c r="DT722" s="308">
        <f>IF(DO716=0, "NA", DT716/DO716-1)</f>
      </c>
      <c r="DU722" s="968" t="str">
        <f>IF(DP716=0, "NA", DU716/DP716-1)</f>
      </c>
      <c r="DV722" s="925"/>
      <c r="DW722" s="925"/>
      <c r="DX722" s="927"/>
      <c r="DY722" s="308"/>
      <c r="DZ722" s="925"/>
      <c r="EA722" s="925"/>
      <c r="EB722" s="925"/>
      <c r="EC722" s="927"/>
      <c r="ED722" s="1060"/>
      <c r="EE722" s="925"/>
      <c r="EF722" s="925"/>
      <c r="EG722" s="925"/>
      <c r="EH722" s="927"/>
      <c r="EI722" s="308"/>
      <c r="EJ722" s="308"/>
      <c r="EK722" s="308"/>
      <c r="EL722" s="308"/>
      <c r="EM722" s="409"/>
      <c r="EN722" s="409"/>
      <c r="EO722" s="308"/>
      <c r="EP722" s="308"/>
      <c r="EQ722" s="308"/>
      <c r="ER722" s="308"/>
      <c r="ES722" s="308"/>
      <c r="ET722" s="308"/>
      <c r="EU722" s="308"/>
      <c r="EV722" s="308"/>
      <c r="EW722" s="308"/>
      <c r="EX722" s="308"/>
    </row>
    <row r="723" spans="1:154" ht="12.75" customHeight="1" outlineLevel="1">
      <c r="B723" s="441"/>
      <c r="C723" s="1989"/>
      <c r="D723" s="28"/>
      <c r="E723" s="28"/>
      <c r="F723" s="28"/>
      <c r="G723" s="28"/>
      <c r="H723" s="28"/>
      <c r="I723" s="29"/>
      <c r="J723" s="30"/>
      <c r="K723" s="30"/>
      <c r="L723" s="30"/>
      <c r="M723" s="30"/>
      <c r="N723" s="30"/>
      <c r="O723" s="30"/>
      <c r="P723" s="30"/>
      <c r="Q723" s="30"/>
      <c r="R723" s="30"/>
      <c r="S723" s="30"/>
      <c r="T723" s="30"/>
      <c r="U723" s="30"/>
      <c r="V723" s="30"/>
      <c r="W723" s="30"/>
      <c r="X723" s="308"/>
      <c r="Y723" s="30"/>
      <c r="Z723" s="30"/>
      <c r="AA723" s="30"/>
      <c r="AB723" s="30"/>
      <c r="AC723" s="308"/>
      <c r="AD723" s="30"/>
      <c r="AE723" s="30"/>
      <c r="AF723" s="30"/>
      <c r="AG723" s="30"/>
      <c r="AH723" s="308"/>
      <c r="AI723" s="30"/>
      <c r="AJ723" s="30"/>
      <c r="AK723" s="30"/>
      <c r="AL723" s="30"/>
      <c r="AM723" s="308"/>
      <c r="AN723" s="30"/>
      <c r="AO723" s="30"/>
      <c r="AP723" s="30"/>
      <c r="AQ723" s="30"/>
      <c r="AR723" s="308"/>
      <c r="AS723" s="30"/>
      <c r="AT723" s="30"/>
      <c r="AU723" s="30"/>
      <c r="AV723" s="30"/>
      <c r="AW723" s="308"/>
      <c r="AX723" s="33"/>
      <c r="AY723" s="33"/>
      <c r="AZ723" s="33"/>
      <c r="BA723" s="33"/>
      <c r="BB723" s="308"/>
      <c r="BC723" s="30"/>
      <c r="BD723" s="30"/>
      <c r="BE723" s="30"/>
      <c r="BF723" s="30"/>
      <c r="BG723" s="308"/>
      <c r="BH723" s="30"/>
      <c r="BI723" s="30"/>
      <c r="BJ723" s="30"/>
      <c r="BK723" s="30"/>
      <c r="BL723" s="308"/>
      <c r="BM723" s="30"/>
      <c r="BN723" s="30"/>
      <c r="BO723" s="30"/>
      <c r="BP723" s="30"/>
      <c r="BQ723" s="308"/>
      <c r="BR723" s="30"/>
      <c r="BS723" s="30"/>
      <c r="BT723" s="30"/>
      <c r="BU723" s="30"/>
      <c r="BV723" s="308"/>
      <c r="BW723" s="30"/>
      <c r="BX723" s="30"/>
      <c r="BY723" s="30"/>
      <c r="BZ723" s="30"/>
      <c r="CA723" s="308"/>
      <c r="CB723" s="30"/>
      <c r="CC723" s="30"/>
      <c r="CD723" s="30"/>
      <c r="CE723" s="30"/>
      <c r="CF723" s="308"/>
      <c r="CG723" s="30"/>
      <c r="CH723" s="30"/>
      <c r="CI723" s="30"/>
      <c r="CJ723" s="30"/>
      <c r="CK723" s="308"/>
      <c r="CL723" s="958"/>
      <c r="CM723" s="30"/>
      <c r="CN723" s="926"/>
      <c r="CO723" s="30"/>
      <c r="CP723" s="308"/>
      <c r="CQ723" s="926"/>
      <c r="CR723" s="926"/>
      <c r="CS723" s="926"/>
      <c r="CT723" s="926"/>
      <c r="CU723" s="308"/>
      <c r="CV723" s="926"/>
      <c r="CW723" s="926"/>
      <c r="CX723" s="926"/>
      <c r="CY723" s="926"/>
      <c r="CZ723" s="308"/>
      <c r="DA723" s="926"/>
      <c r="DB723" s="30"/>
      <c r="DC723" s="1361"/>
      <c r="DD723" s="1351"/>
      <c r="DE723" s="308"/>
      <c r="DF723" s="926"/>
      <c r="DG723" s="30"/>
      <c r="DH723" s="30"/>
      <c r="DI723" s="409"/>
      <c r="DJ723" s="830"/>
      <c r="DK723" s="830"/>
      <c r="DL723" s="30"/>
      <c r="DM723" s="30"/>
      <c r="DN723" s="409"/>
      <c r="DO723" s="409"/>
      <c r="DP723" s="30"/>
      <c r="DQ723" s="30"/>
      <c r="DR723" s="30"/>
      <c r="DS723" s="409"/>
      <c r="DT723" s="308"/>
      <c r="DU723" s="926"/>
      <c r="DV723" s="926"/>
      <c r="DW723" s="926"/>
      <c r="DX723" s="928"/>
      <c r="DY723" s="308"/>
      <c r="DZ723" s="926"/>
      <c r="EA723" s="926"/>
      <c r="EB723" s="926"/>
      <c r="EC723" s="928"/>
      <c r="ED723" s="1060"/>
      <c r="EE723" s="926"/>
      <c r="EF723" s="926"/>
      <c r="EG723" s="926"/>
      <c r="EH723" s="928"/>
      <c r="EI723" s="308"/>
      <c r="EJ723" s="308"/>
      <c r="EK723" s="308"/>
      <c r="EL723" s="308"/>
      <c r="EM723" s="308"/>
      <c r="EN723" s="308"/>
      <c r="EO723" s="308"/>
      <c r="EP723" s="308"/>
      <c r="EQ723" s="308"/>
      <c r="ER723" s="308"/>
      <c r="ES723" s="308"/>
      <c r="ET723" s="308"/>
      <c r="EU723" s="308"/>
      <c r="EV723" s="308"/>
      <c r="EW723" s="308"/>
      <c r="EX723" s="308"/>
    </row>
    <row r="724" spans="1:154" ht="12.75" customHeight="1" outlineLevel="2">
      <c r="B724" s="456" t="s">
        <v>539</v>
      </c>
      <c r="C724" s="1989"/>
      <c r="D724" s="28"/>
      <c r="E724" s="28"/>
      <c r="F724" s="28"/>
      <c r="G724" s="28"/>
      <c r="H724" s="28"/>
      <c r="I724" s="31"/>
      <c r="J724" s="28"/>
      <c r="K724" s="28"/>
      <c r="L724" s="28"/>
      <c r="M724" s="28"/>
      <c r="N724" s="31"/>
      <c r="O724" s="31"/>
      <c r="P724" s="31"/>
      <c r="Q724" s="31"/>
      <c r="R724" s="31"/>
      <c r="S724" s="31"/>
      <c r="T724" s="31"/>
      <c r="U724" s="31"/>
      <c r="V724" s="31"/>
      <c r="W724" s="31"/>
      <c r="X724" s="313"/>
      <c r="Y724" s="31"/>
      <c r="Z724" s="31"/>
      <c r="AA724" s="31"/>
      <c r="AB724" s="31"/>
      <c r="AC724" s="313"/>
      <c r="AD724" s="31"/>
      <c r="AE724" s="31"/>
      <c r="AF724" s="31"/>
      <c r="AG724" s="31"/>
      <c r="AH724" s="313"/>
      <c r="AI724" s="28"/>
      <c r="AJ724" s="32"/>
      <c r="AK724" s="28"/>
      <c r="AL724" s="31"/>
      <c r="AM724" s="313"/>
      <c r="AN724" s="28"/>
      <c r="AO724" s="28"/>
      <c r="AP724" s="28"/>
      <c r="AQ724" s="31"/>
      <c r="AR724" s="313"/>
      <c r="AS724" s="28"/>
      <c r="AT724" s="28"/>
      <c r="AU724" s="28"/>
      <c r="AV724" s="28"/>
      <c r="AW724" s="313"/>
      <c r="AX724" s="28"/>
      <c r="AY724" s="28"/>
      <c r="AZ724" s="28"/>
      <c r="BA724" s="28"/>
      <c r="BB724" s="313"/>
      <c r="BC724" s="28"/>
      <c r="BD724" s="28"/>
      <c r="BE724" s="28"/>
      <c r="BF724" s="28"/>
      <c r="BG724" s="313"/>
      <c r="BH724" s="28"/>
      <c r="BI724" s="28"/>
      <c r="BJ724" s="28"/>
      <c r="BK724" s="28"/>
      <c r="BL724" s="313"/>
      <c r="BM724" s="28"/>
      <c r="BN724" s="28"/>
      <c r="BO724" s="28"/>
      <c r="BP724" s="28"/>
      <c r="BQ724" s="313"/>
      <c r="BR724" s="28"/>
      <c r="BS724" s="28"/>
      <c r="BT724" s="28"/>
      <c r="BU724" s="28"/>
      <c r="BV724" s="313"/>
      <c r="BW724" s="28"/>
      <c r="BX724" s="28"/>
      <c r="BY724" s="28"/>
      <c r="BZ724" s="28"/>
      <c r="CA724" s="313"/>
      <c r="CB724" s="28"/>
      <c r="CC724" s="28"/>
      <c r="CD724" s="28"/>
      <c r="CE724" s="28"/>
      <c r="CF724" s="313"/>
      <c r="CG724" s="28"/>
      <c r="CH724" s="28"/>
      <c r="CI724" s="28"/>
      <c r="CJ724" s="28"/>
      <c r="CK724" s="313"/>
      <c r="CL724" s="961"/>
      <c r="CM724" s="28"/>
      <c r="CN724" s="933"/>
      <c r="CO724" s="28"/>
      <c r="CP724" s="313"/>
      <c r="CQ724" s="933"/>
      <c r="CR724" s="933"/>
      <c r="CS724" s="933"/>
      <c r="CT724" s="933"/>
      <c r="CU724" s="313"/>
      <c r="CV724" s="933"/>
      <c r="CW724" s="933"/>
      <c r="CX724" s="933"/>
      <c r="CY724" s="933"/>
      <c r="CZ724" s="313"/>
      <c r="DA724" s="933"/>
      <c r="DB724" s="31"/>
      <c r="DC724" s="31"/>
      <c r="DD724" s="955"/>
      <c r="DE724" s="477"/>
      <c r="DF724" s="982"/>
      <c r="DG724" s="603"/>
      <c r="DH724" s="603"/>
      <c r="DI724" s="1798"/>
      <c r="DJ724" s="1799"/>
      <c r="DK724" s="1799"/>
      <c r="DL724" s="603"/>
      <c r="DM724" s="603"/>
      <c r="DN724" s="1798"/>
      <c r="DO724" s="1798"/>
      <c r="DP724" s="603"/>
      <c r="DQ724" s="603"/>
      <c r="DR724" s="603"/>
      <c r="DS724" s="1798"/>
      <c r="DT724" s="477"/>
      <c r="DU724" s="603"/>
      <c r="DV724" s="603"/>
      <c r="DW724" s="603"/>
      <c r="DX724" s="1798"/>
      <c r="DY724" s="477"/>
      <c r="DZ724" s="603"/>
      <c r="EA724" s="603"/>
      <c r="EB724" s="603"/>
      <c r="EC724" s="1798"/>
      <c r="ED724" s="477"/>
      <c r="EE724" s="603"/>
      <c r="EF724" s="603"/>
      <c r="EG724" s="603"/>
      <c r="EH724" s="1798"/>
      <c r="EI724" s="477"/>
      <c r="EJ724" s="477"/>
      <c r="EK724" s="477"/>
      <c r="EL724" s="477"/>
      <c r="EM724" s="477"/>
      <c r="EN724" s="477"/>
      <c r="EO724" s="1798"/>
      <c r="EP724" s="1798"/>
      <c r="EQ724" s="1798"/>
      <c r="ER724" s="1798"/>
      <c r="ES724" s="1798"/>
      <c r="ET724" s="1798"/>
      <c r="EU724" s="1798"/>
      <c r="EV724" s="1798"/>
      <c r="EW724" s="1798"/>
      <c r="EX724" s="1798"/>
    </row>
    <row r="725" spans="1:154" ht="12.75" customHeight="1" outlineLevel="2">
      <c r="B725" s="438" t="s">
        <v>187</v>
      </c>
      <c r="C725" s="1997">
        <v>43800</v>
      </c>
      <c r="D725" s="31">
        <v>635.98310291858672</v>
      </c>
      <c r="E725" s="33">
        <v>202</v>
      </c>
      <c r="F725" s="33">
        <v>197.61904761904762</v>
      </c>
      <c r="G725" s="33">
        <v>216</v>
      </c>
      <c r="H725" s="33">
        <v>173</v>
      </c>
      <c r="I725" s="31">
        <f>+SUM(E725:H725)</f>
      </c>
      <c r="J725" s="33">
        <v>222</v>
      </c>
      <c r="K725" s="33">
        <v>249</v>
      </c>
      <c r="L725" s="33">
        <v>213</v>
      </c>
      <c r="M725" s="33">
        <v>158</v>
      </c>
      <c r="N725" s="31">
        <f>+SUM(J725:M725)</f>
      </c>
      <c r="O725" s="33">
        <v>231</v>
      </c>
      <c r="P725" s="33">
        <v>260</v>
      </c>
      <c r="Q725" s="33">
        <v>168</v>
      </c>
      <c r="R725" s="33">
        <v>233</v>
      </c>
      <c r="S725" s="31">
        <f>SUM(O725:R725)</f>
      </c>
      <c r="T725" s="33">
        <v>224</v>
      </c>
      <c r="U725" s="33">
        <v>221</v>
      </c>
      <c r="V725" s="33">
        <v>237</v>
      </c>
      <c r="W725" s="33">
        <v>211</v>
      </c>
      <c r="X725" s="313">
        <f>SUM(T725:W725)</f>
      </c>
      <c r="Y725" s="33">
        <v>239</v>
      </c>
      <c r="Z725" s="33">
        <v>254</v>
      </c>
      <c r="AA725" s="33">
        <v>259</v>
      </c>
      <c r="AB725" s="33">
        <v>291</v>
      </c>
      <c r="AC725" s="313">
        <f>SUM(Y725:AB725)</f>
      </c>
      <c r="AD725" s="33">
        <v>263</v>
      </c>
      <c r="AE725" s="33">
        <v>323.2</v>
      </c>
      <c r="AF725" s="33">
        <v>256</v>
      </c>
      <c r="AG725" s="33">
        <v>253</v>
      </c>
      <c r="AH725" s="313">
        <f>SUM(AD725:AG725)</f>
      </c>
      <c r="AI725" s="33">
        <v>245</v>
      </c>
      <c r="AJ725" s="33">
        <v>242</v>
      </c>
      <c r="AK725" s="33">
        <v>227</v>
      </c>
      <c r="AL725" s="33">
        <v>206</v>
      </c>
      <c r="AM725" s="313">
        <f>+SUM(AI725:AL725)</f>
      </c>
      <c r="AN725" s="33">
        <v>198</v>
      </c>
      <c r="AO725" s="33">
        <v>188</v>
      </c>
      <c r="AP725" s="33">
        <v>210</v>
      </c>
      <c r="AQ725" s="33">
        <v>184</v>
      </c>
      <c r="AR725" s="313">
        <f>+SUM(AN725:AQ725)</f>
      </c>
      <c r="AS725" s="33">
        <v>174</v>
      </c>
      <c r="AT725" s="33">
        <v>175</v>
      </c>
      <c r="AU725" s="33">
        <v>166</v>
      </c>
      <c r="AV725" s="33">
        <v>146</v>
      </c>
      <c r="AW725" s="313">
        <f>SUM(AS725:AV725)</f>
      </c>
      <c r="AX725" s="33">
        <v>142.68</v>
      </c>
      <c r="AY725" s="33">
        <v>122.5</v>
      </c>
      <c r="AZ725" s="33">
        <v>152.72</v>
      </c>
      <c r="BA725" s="33">
        <v>121.18</v>
      </c>
      <c r="BB725" s="313">
        <f>SUM(AX725:BA725)</f>
      </c>
      <c r="BC725" s="33">
        <v>125.55840000000001</v>
      </c>
      <c r="BD725" s="33">
        <v>144.55000000000001</v>
      </c>
      <c r="BE725" s="33">
        <v>129.81199999999998</v>
      </c>
      <c r="BF725" s="33">
        <v>112.6974</v>
      </c>
      <c r="BG725" s="313">
        <f>SUM(BC725:BF725)</f>
      </c>
      <c r="BH725" s="33">
        <v>124.30281600000001</v>
      </c>
      <c r="BI725" s="33">
        <v>134.4315</v>
      </c>
      <c r="BJ725" s="33">
        <v>127.21575999999997</v>
      </c>
      <c r="BK725" s="33">
        <v>111.28918999999996</v>
      </c>
      <c r="BL725" s="313">
        <f>SUM(BH725:BK725)</f>
      </c>
      <c r="BM725" s="33">
        <v>122.43827376</v>
      </c>
      <c r="BN725" s="33">
        <v>130.39855499999999</v>
      </c>
      <c r="BO725" s="33">
        <v>123.39928719999997</v>
      </c>
      <c r="BP725" s="352">
        <v>108.07492912399999</v>
      </c>
      <c r="BQ725" s="313">
        <f>SUM(BM725:BP725)</f>
      </c>
      <c r="BR725" s="761">
        <v>118.88756382096</v>
      </c>
      <c r="BS725" s="761">
        <v>126.6</v>
      </c>
      <c r="BT725" s="761">
        <v>119.8</v>
      </c>
      <c r="BU725" s="761">
        <v>104.97846095560402</v>
      </c>
      <c r="BV725" s="313">
        <f>SUM(BR725:BU725)</f>
      </c>
      <c r="BW725" s="761">
        <v>100</v>
      </c>
      <c r="BX725" s="761">
        <v>123</v>
      </c>
      <c r="BY725" s="761">
        <v>116</v>
      </c>
      <c r="BZ725" s="761">
        <v>101.8</v>
      </c>
      <c r="CA725" s="313">
        <f>SUM(BW725:BZ725)</f>
      </c>
      <c r="CB725" s="761">
        <v>95</v>
      </c>
      <c r="CC725" s="761">
        <v>100</v>
      </c>
      <c r="CD725" s="761">
        <v>110.2</v>
      </c>
      <c r="CE725" s="761">
        <v>96</v>
      </c>
      <c r="CF725" s="313">
        <f>SUM(CB725:CE725)</f>
      </c>
      <c r="CG725" s="761">
        <v>77.900000000000006</v>
      </c>
      <c r="CH725" s="761">
        <v>82</v>
      </c>
      <c r="CI725" s="761">
        <v>90</v>
      </c>
      <c r="CJ725" s="761">
        <v>78.72</v>
      </c>
      <c r="CK725" s="313">
        <f>SUM(CG725:CJ725)</f>
      </c>
      <c r="CL725" s="761">
        <v>60</v>
      </c>
      <c r="CM725" s="761">
        <v>62</v>
      </c>
      <c r="CN725" s="761">
        <v>58</v>
      </c>
      <c r="CO725" s="761">
        <v>65</v>
      </c>
      <c r="CP725" s="313">
        <f>SUM(CL725:CO725)</f>
      </c>
      <c r="CQ725" s="352"/>
      <c r="CR725" s="352"/>
      <c r="CS725" s="933"/>
      <c r="CT725" s="933"/>
      <c r="CU725" s="313"/>
      <c r="CV725" s="352"/>
      <c r="CW725" s="933"/>
      <c r="CX725" s="933"/>
      <c r="CY725" s="933"/>
      <c r="CZ725" s="313"/>
      <c r="DA725" s="352"/>
      <c r="DB725" s="895"/>
      <c r="DC725" s="895"/>
      <c r="DD725" s="915"/>
      <c r="DE725" s="477"/>
      <c r="DF725" s="1801"/>
      <c r="DG725" s="895"/>
      <c r="DH725" s="895"/>
      <c r="DI725" s="915"/>
      <c r="DJ725" s="1799"/>
      <c r="DK725" s="1799"/>
      <c r="DL725" s="603"/>
      <c r="DM725" s="603"/>
      <c r="DN725" s="1798"/>
      <c r="DO725" s="1798"/>
      <c r="DP725" s="603"/>
      <c r="DQ725" s="603"/>
      <c r="DR725" s="603"/>
      <c r="DS725" s="1798"/>
      <c r="DT725" s="477"/>
      <c r="DU725" s="603"/>
      <c r="DV725" s="603"/>
      <c r="DW725" s="603"/>
      <c r="DX725" s="1798"/>
      <c r="DY725" s="477"/>
      <c r="DZ725" s="603"/>
      <c r="EA725" s="603"/>
      <c r="EB725" s="603"/>
      <c r="EC725" s="1798"/>
      <c r="ED725" s="477"/>
      <c r="EE725" s="603"/>
      <c r="EF725" s="603"/>
      <c r="EG725" s="603"/>
      <c r="EH725" s="1798"/>
      <c r="EI725" s="477"/>
      <c r="EJ725" s="477"/>
      <c r="EK725" s="477"/>
      <c r="EL725" s="477"/>
      <c r="EM725" s="477"/>
      <c r="EN725" s="477"/>
      <c r="EO725" s="1798"/>
      <c r="EP725" s="1798"/>
      <c r="EQ725" s="1798"/>
      <c r="ER725" s="1798"/>
      <c r="ES725" s="1798"/>
      <c r="ET725" s="1798"/>
      <c r="EU725" s="1798"/>
      <c r="EV725" s="1798"/>
      <c r="EW725" s="1798"/>
      <c r="EX725" s="1798"/>
    </row>
    <row r="726" spans="1:154" ht="12.75" customHeight="1" outlineLevel="2">
      <c r="B726" s="438" t="s">
        <v>412</v>
      </c>
      <c r="C726" s="1989"/>
      <c r="D726" s="31">
        <v>120.3926282051282</v>
      </c>
      <c r="E726" s="33">
        <v>31</v>
      </c>
      <c r="F726" s="33">
        <v>30.208333333333336</v>
      </c>
      <c r="G726" s="33">
        <v>34</v>
      </c>
      <c r="H726" s="33">
        <v>30</v>
      </c>
      <c r="I726" s="31">
        <f>+SUM(E726:H726)</f>
      </c>
      <c r="J726" s="33">
        <v>29</v>
      </c>
      <c r="K726" s="33">
        <v>29</v>
      </c>
      <c r="L726" s="33">
        <v>29</v>
      </c>
      <c r="M726" s="33">
        <v>28</v>
      </c>
      <c r="N726" s="31">
        <f>+SUM(J726:M726)</f>
      </c>
      <c r="O726" s="33">
        <v>26</v>
      </c>
      <c r="P726" s="33">
        <v>27</v>
      </c>
      <c r="Q726" s="33">
        <v>29</v>
      </c>
      <c r="R726" s="33">
        <v>29</v>
      </c>
      <c r="S726" s="31">
        <f>SUM(O726:R726)</f>
      </c>
      <c r="T726" s="33">
        <v>24</v>
      </c>
      <c r="U726" s="33">
        <v>28</v>
      </c>
      <c r="V726" s="33">
        <v>30</v>
      </c>
      <c r="W726" s="33">
        <v>28</v>
      </c>
      <c r="X726" s="313">
        <f>SUM(T726:W726)</f>
      </c>
      <c r="Y726" s="33">
        <v>29.2</v>
      </c>
      <c r="Z726" s="33">
        <v>33</v>
      </c>
      <c r="AA726" s="33">
        <v>33</v>
      </c>
      <c r="AB726" s="33">
        <v>37</v>
      </c>
      <c r="AC726" s="313">
        <f>SUM(Y726:AB726)</f>
      </c>
      <c r="AD726" s="33">
        <v>41.5</v>
      </c>
      <c r="AE726" s="33">
        <v>42.7</v>
      </c>
      <c r="AF726" s="33">
        <v>48.5</v>
      </c>
      <c r="AG726" s="33">
        <v>50</v>
      </c>
      <c r="AH726" s="313">
        <f>SUM(AD726:AG726)</f>
      </c>
      <c r="AI726" s="33">
        <v>56.6</v>
      </c>
      <c r="AJ726" s="33">
        <v>54</v>
      </c>
      <c r="AK726" s="33">
        <v>54</v>
      </c>
      <c r="AL726" s="33">
        <v>51</v>
      </c>
      <c r="AM726" s="313">
        <f>+SUM(AI726:AL726)</f>
      </c>
      <c r="AN726" s="33">
        <v>56</v>
      </c>
      <c r="AO726" s="33">
        <v>59</v>
      </c>
      <c r="AP726" s="33">
        <v>60</v>
      </c>
      <c r="AQ726" s="33">
        <v>60</v>
      </c>
      <c r="AR726" s="313">
        <f>+SUM(AN726:AQ726)</f>
      </c>
      <c r="AS726" s="33">
        <v>63</v>
      </c>
      <c r="AT726" s="33">
        <v>65</v>
      </c>
      <c r="AU726" s="33">
        <v>67</v>
      </c>
      <c r="AV726" s="33">
        <v>69</v>
      </c>
      <c r="AW726" s="313">
        <f>SUM(AS726:AV726)</f>
      </c>
      <c r="AX726" s="33">
        <v>73.08</v>
      </c>
      <c r="AY726" s="33">
        <v>72.150000000000006</v>
      </c>
      <c r="AZ726" s="33">
        <v>71.69</v>
      </c>
      <c r="BA726" s="33">
        <v>59.34</v>
      </c>
      <c r="BB726" s="313">
        <f>SUM(AX726:BA726)</f>
      </c>
      <c r="BC726" s="33">
        <v>55.540799999999997</v>
      </c>
      <c r="BD726" s="33">
        <v>58.441500000000012</v>
      </c>
      <c r="BE726" s="33">
        <v>64.700224999999989</v>
      </c>
      <c r="BF726" s="33">
        <v>63.137760000000007</v>
      </c>
      <c r="BG726" s="313">
        <f>SUM(BC726:BF726)</f>
      </c>
      <c r="BH726" s="33">
        <v>57.584701439999996</v>
      </c>
      <c r="BI726" s="33">
        <v>57.559033350000007</v>
      </c>
      <c r="BJ726" s="33">
        <v>59.601847269999986</v>
      </c>
      <c r="BK726" s="33">
        <v>53.261120203200008</v>
      </c>
      <c r="BL726" s="313">
        <f>SUM(BH726:BK726)</f>
      </c>
      <c r="BM726" s="33">
        <v>55.212211740671997</v>
      </c>
      <c r="BN726" s="33">
        <v>59.516040483900007</v>
      </c>
      <c r="BO726" s="33">
        <v>59.864095397987981</v>
      </c>
      <c r="BP726" s="352">
        <v>48.014297910339081</v>
      </c>
      <c r="BQ726" s="313">
        <f>SUM(BM726:BP726)</f>
      </c>
      <c r="BR726" s="761">
        <v>51.402569130565624</v>
      </c>
      <c r="BS726" s="761">
        <v>52.2</v>
      </c>
      <c r="BT726" s="761">
        <v>52.6</v>
      </c>
      <c r="BU726" s="761">
        <v>44.790204877591663</v>
      </c>
      <c r="BV726" s="313">
        <f>SUM(BR726:BU726)</f>
      </c>
      <c r="BW726" s="761">
        <v>45</v>
      </c>
      <c r="BX726" s="761">
        <v>48</v>
      </c>
      <c r="BY726" s="761">
        <v>48</v>
      </c>
      <c r="BZ726" s="761">
        <v>41.2</v>
      </c>
      <c r="CA726" s="313">
        <f>SUM(BW726:BZ726)</f>
      </c>
      <c r="CB726" s="761">
        <v>42</v>
      </c>
      <c r="CC726" s="761">
        <v>45</v>
      </c>
      <c r="CD726" s="761">
        <v>45</v>
      </c>
      <c r="CE726" s="761">
        <v>36</v>
      </c>
      <c r="CF726" s="313">
        <f>SUM(CB726:CE726)</f>
      </c>
      <c r="CG726" s="761">
        <v>34.9</v>
      </c>
      <c r="CH726" s="761">
        <v>36</v>
      </c>
      <c r="CI726" s="761">
        <v>36</v>
      </c>
      <c r="CJ726" s="761">
        <v>28</v>
      </c>
      <c r="CK726" s="313">
        <f>SUM(CG726:CJ726)</f>
      </c>
      <c r="CL726" s="761">
        <v>28</v>
      </c>
      <c r="CM726" s="761">
        <v>34</v>
      </c>
      <c r="CN726" s="761">
        <v>29</v>
      </c>
      <c r="CO726" s="761">
        <v>28</v>
      </c>
      <c r="CP726" s="313">
        <f>SUM(CL726:CO726)</f>
      </c>
      <c r="CQ726" s="352"/>
      <c r="CR726" s="352"/>
      <c r="CS726" s="933"/>
      <c r="CT726" s="933"/>
      <c r="CU726" s="313"/>
      <c r="CV726" s="352"/>
      <c r="CW726" s="933"/>
      <c r="CX726" s="933"/>
      <c r="CY726" s="933"/>
      <c r="CZ726" s="313"/>
      <c r="DA726" s="352"/>
      <c r="DB726" s="895"/>
      <c r="DC726" s="895"/>
      <c r="DD726" s="915"/>
      <c r="DE726" s="477"/>
      <c r="DF726" s="1801"/>
      <c r="DG726" s="895"/>
      <c r="DH726" s="895"/>
      <c r="DI726" s="915"/>
      <c r="DJ726" s="1799"/>
      <c r="DK726" s="1799"/>
      <c r="DL726" s="603"/>
      <c r="DM726" s="603"/>
      <c r="DN726" s="1798"/>
      <c r="DO726" s="1798"/>
      <c r="DP726" s="603"/>
      <c r="DQ726" s="603"/>
      <c r="DR726" s="603"/>
      <c r="DS726" s="1798"/>
      <c r="DT726" s="477"/>
      <c r="DU726" s="603"/>
      <c r="DV726" s="603"/>
      <c r="DW726" s="603"/>
      <c r="DX726" s="1798"/>
      <c r="DY726" s="477"/>
      <c r="DZ726" s="603"/>
      <c r="EA726" s="603"/>
      <c r="EB726" s="603"/>
      <c r="EC726" s="1798"/>
      <c r="ED726" s="477"/>
      <c r="EE726" s="603"/>
      <c r="EF726" s="603"/>
      <c r="EG726" s="603"/>
      <c r="EH726" s="1798"/>
      <c r="EI726" s="477"/>
      <c r="EJ726" s="477"/>
      <c r="EK726" s="477"/>
      <c r="EL726" s="477"/>
      <c r="EM726" s="477"/>
      <c r="EN726" s="477"/>
      <c r="EO726" s="1798"/>
      <c r="EP726" s="1798"/>
      <c r="EQ726" s="1798"/>
      <c r="ER726" s="1798"/>
      <c r="ES726" s="1798"/>
      <c r="ET726" s="1798"/>
      <c r="EU726" s="1798"/>
      <c r="EV726" s="1798"/>
      <c r="EW726" s="1798"/>
      <c r="EX726" s="1798"/>
    </row>
    <row r="727" spans="1:154" ht="12.75" customHeight="1" outlineLevel="2">
      <c r="B727" s="438" t="s">
        <v>413</v>
      </c>
      <c r="C727" s="1989"/>
      <c r="D727" s="28">
        <f t="shared" ref="D727:AI727" si="1769">+D725+D726</f>
      </c>
      <c r="E727" s="28">
        <f t="shared" si="1769"/>
      </c>
      <c r="F727" s="28">
        <f t="shared" si="1769"/>
      </c>
      <c r="G727" s="28">
        <f t="shared" si="1769"/>
      </c>
      <c r="H727" s="28">
        <f t="shared" si="1769"/>
      </c>
      <c r="I727" s="31">
        <f t="shared" si="1769"/>
      </c>
      <c r="J727" s="28">
        <f t="shared" si="1769"/>
      </c>
      <c r="K727" s="28">
        <f t="shared" si="1769"/>
      </c>
      <c r="L727" s="28">
        <f t="shared" si="1769"/>
      </c>
      <c r="M727" s="28">
        <f t="shared" si="1769"/>
      </c>
      <c r="N727" s="31">
        <f t="shared" si="1769"/>
      </c>
      <c r="O727" s="31">
        <f t="shared" si="1769"/>
      </c>
      <c r="P727" s="31">
        <f t="shared" si="1769"/>
      </c>
      <c r="Q727" s="31">
        <f t="shared" si="1769"/>
      </c>
      <c r="R727" s="31">
        <f t="shared" si="1769"/>
      </c>
      <c r="S727" s="31">
        <f t="shared" si="1769"/>
      </c>
      <c r="T727" s="31">
        <f t="shared" si="1769"/>
      </c>
      <c r="U727" s="31">
        <f t="shared" si="1769"/>
      </c>
      <c r="V727" s="31">
        <f t="shared" si="1769"/>
      </c>
      <c r="W727" s="31">
        <f t="shared" si="1769"/>
      </c>
      <c r="X727" s="313">
        <f t="shared" si="1769"/>
      </c>
      <c r="Y727" s="31">
        <f t="shared" si="1769"/>
      </c>
      <c r="Z727" s="31">
        <f t="shared" si="1769"/>
      </c>
      <c r="AA727" s="31">
        <f t="shared" si="1769"/>
      </c>
      <c r="AB727" s="31">
        <f t="shared" si="1769"/>
      </c>
      <c r="AC727" s="313">
        <f t="shared" si="1769"/>
      </c>
      <c r="AD727" s="31">
        <f t="shared" si="1769"/>
      </c>
      <c r="AE727" s="31">
        <f t="shared" si="1769"/>
      </c>
      <c r="AF727" s="31">
        <f t="shared" si="1769"/>
      </c>
      <c r="AG727" s="31">
        <f t="shared" si="1769"/>
      </c>
      <c r="AH727" s="313">
        <f t="shared" si="1769"/>
      </c>
      <c r="AI727" s="28">
        <f t="shared" si="1769"/>
      </c>
      <c r="AJ727" s="28">
        <f t="shared" ref="AJ727:BT727" si="1770">+AJ725+AJ726</f>
      </c>
      <c r="AK727" s="28">
        <f t="shared" si="1770"/>
      </c>
      <c r="AL727" s="31">
        <f t="shared" si="1770"/>
      </c>
      <c r="AM727" s="313">
        <f t="shared" si="1770"/>
      </c>
      <c r="AN727" s="28">
        <f t="shared" si="1770"/>
      </c>
      <c r="AO727" s="28">
        <f t="shared" si="1770"/>
      </c>
      <c r="AP727" s="28">
        <f t="shared" si="1770"/>
      </c>
      <c r="AQ727" s="31">
        <f t="shared" si="1770"/>
      </c>
      <c r="AR727" s="313">
        <f t="shared" si="1770"/>
      </c>
      <c r="AS727" s="28">
        <f t="shared" si="1770"/>
      </c>
      <c r="AT727" s="28">
        <f t="shared" si="1770"/>
      </c>
      <c r="AU727" s="28">
        <f t="shared" si="1770"/>
      </c>
      <c r="AV727" s="31">
        <f t="shared" si="1770"/>
      </c>
      <c r="AW727" s="313">
        <f t="shared" si="1770"/>
      </c>
      <c r="AX727" s="28">
        <f t="shared" si="1770"/>
      </c>
      <c r="AY727" s="28">
        <f t="shared" si="1770"/>
      </c>
      <c r="AZ727" s="28">
        <f t="shared" si="1770"/>
      </c>
      <c r="BA727" s="28">
        <f t="shared" si="1770"/>
      </c>
      <c r="BB727" s="313">
        <f t="shared" si="1770"/>
      </c>
      <c r="BC727" s="28">
        <f t="shared" si="1770"/>
      </c>
      <c r="BD727" s="28">
        <f t="shared" si="1770"/>
      </c>
      <c r="BE727" s="28">
        <f t="shared" si="1770"/>
      </c>
      <c r="BF727" s="28">
        <f t="shared" si="1770"/>
      </c>
      <c r="BG727" s="313">
        <f t="shared" si="1770"/>
      </c>
      <c r="BH727" s="28">
        <f>+BH725+BH726</f>
      </c>
      <c r="BI727" s="28">
        <f>+BI725+BI726</f>
      </c>
      <c r="BJ727" s="28">
        <f>+BJ725+BJ726</f>
      </c>
      <c r="BK727" s="28">
        <f>+BK725+BK726</f>
      </c>
      <c r="BL727" s="313">
        <f>SUM(BH727:BK727)</f>
      </c>
      <c r="BM727" s="28">
        <f>+BM725+BM726</f>
      </c>
      <c r="BN727" s="28">
        <f>+BN725+BN726</f>
      </c>
      <c r="BO727" s="28">
        <f>+BO725+BO726</f>
      </c>
      <c r="BP727" s="28">
        <f>+BP725+BP726</f>
      </c>
      <c r="BQ727" s="313">
        <f>SUM(BM727:BP727)</f>
      </c>
      <c r="BR727" s="28">
        <f t="shared" si="1770"/>
      </c>
      <c r="BS727" s="28">
        <f t="shared" si="1770"/>
      </c>
      <c r="BT727" s="28">
        <f t="shared" si="1770"/>
      </c>
      <c r="BU727" s="28">
        <f>+BU725+BU726</f>
      </c>
      <c r="BV727" s="313">
        <f>SUM(BR727:BU727)</f>
      </c>
      <c r="BW727" s="28">
        <f>+BW725+BW726</f>
      </c>
      <c r="BX727" s="28">
        <f>+BX725+BX726</f>
      </c>
      <c r="BY727" s="28">
        <f>+BY725+BY726</f>
      </c>
      <c r="BZ727" s="28">
        <f>+BZ725+BZ726</f>
      </c>
      <c r="CA727" s="313">
        <f>SUM(BW727:BZ727)</f>
      </c>
      <c r="CB727" s="28">
        <f>+CB725+CB726</f>
      </c>
      <c r="CC727" s="28">
        <f>+CC725+CC726</f>
      </c>
      <c r="CD727" s="28">
        <f>+CD725+CD726</f>
      </c>
      <c r="CE727" s="28">
        <f>+CE725+CE726</f>
      </c>
      <c r="CF727" s="313">
        <f>SUM(CB727:CE727)</f>
      </c>
      <c r="CG727" s="28">
        <f>+CG725+CG726</f>
      </c>
      <c r="CH727" s="28">
        <f>+CH725+CH726</f>
      </c>
      <c r="CI727" s="28">
        <f>+CI725+CI726</f>
      </c>
      <c r="CJ727" s="28">
        <f>+CJ725+CJ726</f>
      </c>
      <c r="CK727" s="313">
        <f>SUM(CG727:CJ727)</f>
      </c>
      <c r="CL727" s="28">
        <f>+CL725+CL726</f>
      </c>
      <c r="CM727" s="28">
        <f>+CM725+CM726</f>
      </c>
      <c r="CN727" s="28">
        <f>+CN725+CN726</f>
      </c>
      <c r="CO727" s="28">
        <f>+CO725+CO726</f>
      </c>
      <c r="CP727" s="313">
        <f>SUM(CL727:CO727)</f>
      </c>
      <c r="CQ727" s="933"/>
      <c r="CR727" s="933"/>
      <c r="CS727" s="933"/>
      <c r="CT727" s="933"/>
      <c r="CU727" s="313"/>
      <c r="CV727" s="933"/>
      <c r="CW727" s="933"/>
      <c r="CX727" s="933"/>
      <c r="CY727" s="933"/>
      <c r="CZ727" s="313"/>
      <c r="DA727" s="933"/>
      <c r="DB727" s="31"/>
      <c r="DC727" s="31"/>
      <c r="DD727" s="955"/>
      <c r="DE727" s="477"/>
      <c r="DF727" s="982"/>
      <c r="DG727" s="603"/>
      <c r="DH727" s="603"/>
      <c r="DI727" s="1798"/>
      <c r="DJ727" s="1799"/>
      <c r="DK727" s="1799"/>
      <c r="DL727" s="603"/>
      <c r="DM727" s="603"/>
      <c r="DN727" s="1798"/>
      <c r="DO727" s="1798"/>
      <c r="DP727" s="603"/>
      <c r="DQ727" s="603"/>
      <c r="DR727" s="603"/>
      <c r="DS727" s="1798"/>
      <c r="DT727" s="477"/>
      <c r="DU727" s="603"/>
      <c r="DV727" s="603"/>
      <c r="DW727" s="603"/>
      <c r="DX727" s="1798"/>
      <c r="DY727" s="477"/>
      <c r="DZ727" s="603"/>
      <c r="EA727" s="603"/>
      <c r="EB727" s="603"/>
      <c r="EC727" s="1798"/>
      <c r="ED727" s="477"/>
      <c r="EE727" s="603"/>
      <c r="EF727" s="603"/>
      <c r="EG727" s="603"/>
      <c r="EH727" s="1798"/>
      <c r="EI727" s="477"/>
      <c r="EJ727" s="477"/>
      <c r="EK727" s="477"/>
      <c r="EL727" s="477"/>
      <c r="EM727" s="477"/>
      <c r="EN727" s="477"/>
      <c r="EO727" s="1798"/>
      <c r="EP727" s="1798"/>
      <c r="EQ727" s="1798"/>
      <c r="ER727" s="1798"/>
      <c r="ES727" s="1798"/>
      <c r="ET727" s="1798"/>
      <c r="EU727" s="1798"/>
      <c r="EV727" s="1798"/>
      <c r="EW727" s="1798"/>
      <c r="EX727" s="1798"/>
    </row>
    <row r="728" spans="1:154" ht="12.75" customHeight="1" outlineLevel="2">
      <c r="B728" s="438"/>
      <c r="C728" s="1989"/>
      <c r="D728" s="28"/>
      <c r="E728" s="28"/>
      <c r="F728" s="28"/>
      <c r="G728" s="28"/>
      <c r="H728" s="28"/>
      <c r="I728" s="31"/>
      <c r="J728" s="28"/>
      <c r="K728" s="28"/>
      <c r="L728" s="28"/>
      <c r="M728" s="28"/>
      <c r="N728" s="31"/>
      <c r="O728" s="31"/>
      <c r="P728" s="31"/>
      <c r="Q728" s="31"/>
      <c r="R728" s="31"/>
      <c r="S728" s="31"/>
      <c r="T728" s="31"/>
      <c r="U728" s="31"/>
      <c r="V728" s="31"/>
      <c r="W728" s="31"/>
      <c r="X728" s="313"/>
      <c r="Y728" s="31"/>
      <c r="Z728" s="31"/>
      <c r="AA728" s="31"/>
      <c r="AB728" s="31"/>
      <c r="AC728" s="313"/>
      <c r="AD728" s="31"/>
      <c r="AE728" s="31"/>
      <c r="AF728" s="31"/>
      <c r="AG728" s="31"/>
      <c r="AH728" s="313"/>
      <c r="AI728" s="28"/>
      <c r="AJ728" s="28"/>
      <c r="AK728" s="28"/>
      <c r="AL728" s="31"/>
      <c r="AM728" s="313"/>
      <c r="AN728" s="28"/>
      <c r="AO728" s="28"/>
      <c r="AP728" s="28"/>
      <c r="AQ728" s="31"/>
      <c r="AR728" s="313"/>
      <c r="AS728" s="28"/>
      <c r="AT728" s="28"/>
      <c r="AU728" s="28"/>
      <c r="AV728" s="31"/>
      <c r="AW728" s="313"/>
      <c r="AX728" s="28"/>
      <c r="AY728" s="28"/>
      <c r="AZ728" s="28"/>
      <c r="BA728" s="28"/>
      <c r="BB728" s="313"/>
      <c r="BC728" s="28"/>
      <c r="BD728" s="28"/>
      <c r="BE728" s="28"/>
      <c r="BF728" s="28"/>
      <c r="BG728" s="313"/>
      <c r="BH728" s="28"/>
      <c r="BI728" s="28"/>
      <c r="BJ728" s="28"/>
      <c r="BK728" s="28"/>
      <c r="BL728" s="313"/>
      <c r="BM728" s="28"/>
      <c r="BN728" s="28"/>
      <c r="BO728" s="28"/>
      <c r="BP728" s="28"/>
      <c r="BQ728" s="313"/>
      <c r="BR728" s="28"/>
      <c r="BS728" s="28"/>
      <c r="BT728" s="28"/>
      <c r="BU728" s="28"/>
      <c r="BV728" s="313"/>
      <c r="BW728" s="28"/>
      <c r="BX728" s="28"/>
      <c r="BY728" s="28"/>
      <c r="BZ728" s="28"/>
      <c r="CA728" s="313"/>
      <c r="CB728" s="28"/>
      <c r="CC728" s="28"/>
      <c r="CD728" s="28"/>
      <c r="CE728" s="28"/>
      <c r="CF728" s="313"/>
      <c r="CG728" s="28"/>
      <c r="CH728" s="28"/>
      <c r="CI728" s="28"/>
      <c r="CJ728" s="28"/>
      <c r="CK728" s="313"/>
      <c r="CL728" s="961"/>
      <c r="CM728" s="28"/>
      <c r="CN728" s="933"/>
      <c r="CO728" s="28"/>
      <c r="CP728" s="313"/>
      <c r="CQ728" s="933"/>
      <c r="CR728" s="933"/>
      <c r="CS728" s="933"/>
      <c r="CT728" s="933"/>
      <c r="CU728" s="313"/>
      <c r="CV728" s="933"/>
      <c r="CW728" s="933"/>
      <c r="CX728" s="933"/>
      <c r="CY728" s="933"/>
      <c r="CZ728" s="313"/>
      <c r="DA728" s="933"/>
      <c r="DB728" s="28"/>
      <c r="DC728" s="28"/>
      <c r="DD728" s="876"/>
      <c r="DE728" s="477"/>
      <c r="DF728" s="982"/>
      <c r="DG728" s="444"/>
      <c r="DH728" s="444"/>
      <c r="DI728" s="1788"/>
      <c r="DJ728" s="1799"/>
      <c r="DK728" s="1799"/>
      <c r="DL728" s="603"/>
      <c r="DM728" s="603"/>
      <c r="DN728" s="1798"/>
      <c r="DO728" s="1798"/>
      <c r="DP728" s="603"/>
      <c r="DQ728" s="603"/>
      <c r="DR728" s="603"/>
      <c r="DS728" s="1798"/>
      <c r="DT728" s="477"/>
      <c r="DU728" s="603"/>
      <c r="DV728" s="603"/>
      <c r="DW728" s="603"/>
      <c r="DX728" s="1798"/>
      <c r="DY728" s="477"/>
      <c r="DZ728" s="603"/>
      <c r="EA728" s="603"/>
      <c r="EB728" s="603"/>
      <c r="EC728" s="1798"/>
      <c r="ED728" s="477"/>
      <c r="EE728" s="603"/>
      <c r="EF728" s="603"/>
      <c r="EG728" s="603"/>
      <c r="EH728" s="1798"/>
      <c r="EI728" s="477"/>
      <c r="EJ728" s="477"/>
      <c r="EK728" s="477"/>
      <c r="EL728" s="477"/>
      <c r="EM728" s="477"/>
      <c r="EN728" s="477"/>
      <c r="EO728" s="1798"/>
      <c r="EP728" s="1798"/>
      <c r="EQ728" s="1798"/>
      <c r="ER728" s="1798"/>
      <c r="ES728" s="1798"/>
      <c r="ET728" s="1798"/>
      <c r="EU728" s="1798"/>
      <c r="EV728" s="1798"/>
      <c r="EW728" s="1798"/>
      <c r="EX728" s="1798"/>
    </row>
    <row r="729" spans="1:154" ht="12.75" customHeight="1" outlineLevel="2">
      <c r="B729" s="455" t="s">
        <v>541</v>
      </c>
      <c r="C729" s="1989"/>
      <c r="D729" s="28"/>
      <c r="E729" s="28"/>
      <c r="F729" s="28"/>
      <c r="G729" s="28"/>
      <c r="H729" s="28"/>
      <c r="I729" s="31"/>
      <c r="J729" s="28"/>
      <c r="K729" s="28"/>
      <c r="L729" s="28"/>
      <c r="M729" s="28"/>
      <c r="N729" s="31"/>
      <c r="O729" s="31"/>
      <c r="P729" s="31"/>
      <c r="Q729" s="31"/>
      <c r="R729" s="31"/>
      <c r="S729" s="31"/>
      <c r="T729" s="31"/>
      <c r="U729" s="31"/>
      <c r="V729" s="31"/>
      <c r="W729" s="31"/>
      <c r="X729" s="313"/>
      <c r="Y729" s="31"/>
      <c r="Z729" s="31"/>
      <c r="AA729" s="31"/>
      <c r="AB729" s="31"/>
      <c r="AC729" s="313"/>
      <c r="AD729" s="31"/>
      <c r="AE729" s="31"/>
      <c r="AF729" s="31"/>
      <c r="AG729" s="31"/>
      <c r="AH729" s="313"/>
      <c r="AI729" s="28"/>
      <c r="AJ729" s="28"/>
      <c r="AK729" s="28"/>
      <c r="AL729" s="31"/>
      <c r="AM729" s="313"/>
      <c r="AN729" s="28"/>
      <c r="AO729" s="28"/>
      <c r="AP729" s="28"/>
      <c r="AQ729" s="31"/>
      <c r="AR729" s="313"/>
      <c r="AS729" s="28"/>
      <c r="AT729" s="28"/>
      <c r="AU729" s="28"/>
      <c r="AV729" s="31"/>
      <c r="AW729" s="313"/>
      <c r="AX729" s="28"/>
      <c r="AY729" s="28"/>
      <c r="AZ729" s="28"/>
      <c r="BA729" s="28"/>
      <c r="BB729" s="313"/>
      <c r="BC729" s="28"/>
      <c r="BD729" s="28"/>
      <c r="BE729" s="28"/>
      <c r="BF729" s="28"/>
      <c r="BG729" s="313"/>
      <c r="BH729" s="28"/>
      <c r="BI729" s="28"/>
      <c r="BJ729" s="28"/>
      <c r="BK729" s="28"/>
      <c r="BL729" s="313"/>
      <c r="BM729" s="28"/>
      <c r="BN729" s="28"/>
      <c r="BO729" s="28"/>
      <c r="BP729" s="28"/>
      <c r="BQ729" s="313"/>
      <c r="BR729" s="28"/>
      <c r="BS729" s="28"/>
      <c r="BT729" s="28"/>
      <c r="BU729" s="28"/>
      <c r="BV729" s="313"/>
      <c r="BW729" s="28"/>
      <c r="BX729" s="28"/>
      <c r="BY729" s="28"/>
      <c r="BZ729" s="28"/>
      <c r="CA729" s="313"/>
      <c r="CB729" s="28"/>
      <c r="CC729" s="28"/>
      <c r="CD729" s="28"/>
      <c r="CE729" s="28"/>
      <c r="CF729" s="313"/>
      <c r="CG729" s="28"/>
      <c r="CH729" s="28"/>
      <c r="CI729" s="28"/>
      <c r="CJ729" s="28"/>
      <c r="CK729" s="313"/>
      <c r="CL729" s="961"/>
      <c r="CM729" s="28"/>
      <c r="CN729" s="933"/>
      <c r="CO729" s="28"/>
      <c r="CP729" s="313"/>
      <c r="CQ729" s="933"/>
      <c r="CR729" s="933"/>
      <c r="CS729" s="933"/>
      <c r="CT729" s="933"/>
      <c r="CU729" s="313"/>
      <c r="CV729" s="933"/>
      <c r="CW729" s="933"/>
      <c r="CX729" s="933"/>
      <c r="CY729" s="933"/>
      <c r="CZ729" s="313"/>
      <c r="DA729" s="933"/>
      <c r="DB729" s="28"/>
      <c r="DC729" s="28"/>
      <c r="DD729" s="876"/>
      <c r="DE729" s="477"/>
      <c r="DF729" s="982"/>
      <c r="DG729" s="444"/>
      <c r="DH729" s="444"/>
      <c r="DI729" s="1788"/>
      <c r="DJ729" s="1799"/>
      <c r="DK729" s="1799"/>
      <c r="DL729" s="603"/>
      <c r="DM729" s="603"/>
      <c r="DN729" s="1798"/>
      <c r="DO729" s="1798"/>
      <c r="DP729" s="603"/>
      <c r="DQ729" s="603"/>
      <c r="DR729" s="603"/>
      <c r="DS729" s="1798"/>
      <c r="DT729" s="477"/>
      <c r="DU729" s="603"/>
      <c r="DV729" s="603"/>
      <c r="DW729" s="603"/>
      <c r="DX729" s="1798"/>
      <c r="DY729" s="477"/>
      <c r="DZ729" s="603"/>
      <c r="EA729" s="603"/>
      <c r="EB729" s="603"/>
      <c r="EC729" s="1798"/>
      <c r="ED729" s="477"/>
      <c r="EE729" s="603"/>
      <c r="EF729" s="603"/>
      <c r="EG729" s="603"/>
      <c r="EH729" s="1798"/>
      <c r="EI729" s="477"/>
      <c r="EJ729" s="477"/>
      <c r="EK729" s="477"/>
      <c r="EL729" s="477"/>
      <c r="EM729" s="477"/>
      <c r="EN729" s="477"/>
      <c r="EO729" s="1798"/>
      <c r="EP729" s="1798"/>
      <c r="EQ729" s="1798"/>
      <c r="ER729" s="1798"/>
      <c r="ES729" s="1798"/>
      <c r="ET729" s="1798"/>
      <c r="EU729" s="1798"/>
      <c r="EV729" s="1798"/>
      <c r="EW729" s="1798"/>
      <c r="EX729" s="1798"/>
    </row>
    <row r="730" spans="1:154" ht="12.75" customHeight="1" outlineLevel="2">
      <c r="B730" s="441" t="s">
        <v>187</v>
      </c>
      <c r="C730" s="1989"/>
      <c r="D730" s="28"/>
      <c r="E730" s="28"/>
      <c r="F730" s="28"/>
      <c r="G730" s="28"/>
      <c r="H730" s="28"/>
      <c r="I730" s="29">
        <f t="shared" ref="I730:R731" si="1771">IF(D725="NM","NM",IF(I725="NM","NM",IF(D725&lt;=0,"NM",IF(I725=0,"NM",IF(ABS(I725/D725-1)&gt;2.5,"NM",IF((ABS(I725-D725)=ABS(ABS(I725)-ABS(D725))),(I725/D725-1),"NM"))))))</f>
      </c>
      <c r="J730" s="30">
        <f t="shared" si="1771"/>
      </c>
      <c r="K730" s="30">
        <f t="shared" si="1771"/>
      </c>
      <c r="L730" s="30">
        <f t="shared" si="1771"/>
      </c>
      <c r="M730" s="30">
        <f t="shared" si="1771"/>
      </c>
      <c r="N730" s="30">
        <f t="shared" si="1771"/>
      </c>
      <c r="O730" s="30">
        <f t="shared" si="1771"/>
      </c>
      <c r="P730" s="30">
        <f t="shared" si="1771"/>
      </c>
      <c r="Q730" s="30">
        <f t="shared" si="1771"/>
      </c>
      <c r="R730" s="30">
        <f t="shared" si="1771"/>
      </c>
      <c r="S730" s="30">
        <f t="shared" ref="S730:AB731" si="1772">IF(N725="NM","NM",IF(S725="NM","NM",IF(N725&lt;=0,"NM",IF(S725=0,"NM",IF(ABS(S725/N725-1)&gt;2.5,"NM",IF((ABS(S725-N725)=ABS(ABS(S725)-ABS(N725))),(S725/N725-1),"NM"))))))</f>
      </c>
      <c r="T730" s="30">
        <f t="shared" si="1772"/>
      </c>
      <c r="U730" s="30">
        <f t="shared" si="1772"/>
      </c>
      <c r="V730" s="30">
        <f t="shared" si="1772"/>
      </c>
      <c r="W730" s="30">
        <f t="shared" si="1772"/>
      </c>
      <c r="X730" s="308">
        <f t="shared" si="1772"/>
      </c>
      <c r="Y730" s="30">
        <f t="shared" si="1772"/>
      </c>
      <c r="Z730" s="30">
        <f t="shared" si="1772"/>
      </c>
      <c r="AA730" s="30">
        <f t="shared" si="1772"/>
      </c>
      <c r="AB730" s="30">
        <f t="shared" si="1772"/>
      </c>
      <c r="AC730" s="308">
        <f t="shared" ref="AC730:AL731" si="1773">IF(X725="NM","NM",IF(AC725="NM","NM",IF(X725&lt;=0,"NM",IF(AC725=0,"NM",IF(ABS(AC725/X725-1)&gt;2.5,"NM",IF((ABS(AC725-X725)=ABS(ABS(AC725)-ABS(X725))),(AC725/X725-1),"NM"))))))</f>
      </c>
      <c r="AD730" s="30">
        <f t="shared" si="1773"/>
      </c>
      <c r="AE730" s="30">
        <f t="shared" si="1773"/>
      </c>
      <c r="AF730" s="30">
        <f t="shared" si="1773"/>
      </c>
      <c r="AG730" s="30">
        <f t="shared" si="1773"/>
      </c>
      <c r="AH730" s="308">
        <f t="shared" si="1773"/>
      </c>
      <c r="AI730" s="30">
        <f t="shared" si="1773"/>
      </c>
      <c r="AJ730" s="30">
        <f t="shared" si="1773"/>
      </c>
      <c r="AK730" s="30">
        <f t="shared" si="1773"/>
      </c>
      <c r="AL730" s="30">
        <f t="shared" si="1773"/>
      </c>
      <c r="AM730" s="308">
        <f t="shared" ref="AM730:AV731" si="1774">IF(AH725="NM","NM",IF(AM725="NM","NM",IF(AH725&lt;=0,"NM",IF(AM725=0,"NM",IF(ABS(AM725/AH725-1)&gt;2.5,"NM",IF((ABS(AM725-AH725)=ABS(ABS(AM725)-ABS(AH725))),(AM725/AH725-1),"NM"))))))</f>
      </c>
      <c r="AN730" s="30">
        <f t="shared" si="1774"/>
      </c>
      <c r="AO730" s="30">
        <f t="shared" si="1774"/>
      </c>
      <c r="AP730" s="30">
        <f t="shared" si="1774"/>
      </c>
      <c r="AQ730" s="30">
        <f t="shared" si="1774"/>
      </c>
      <c r="AR730" s="308">
        <f t="shared" si="1774"/>
      </c>
      <c r="AS730" s="30">
        <f t="shared" si="1774"/>
      </c>
      <c r="AT730" s="30">
        <f t="shared" si="1774"/>
      </c>
      <c r="AU730" s="30">
        <f t="shared" si="1774"/>
      </c>
      <c r="AV730" s="30">
        <f t="shared" si="1774"/>
      </c>
      <c r="AW730" s="308">
        <f t="shared" ref="AW730:BO731" si="1775">IF(AR725="NM","NM",IF(AW725="NM","NM",IF(AR725&lt;=0,"NM",IF(AW725=0,"NM",IF(ABS(AW725/AR725-1)&gt;2.5,"NM",IF((ABS(AW725-AR725)=ABS(ABS(AW725)-ABS(AR725))),(AW725/AR725-1),"NM"))))))</f>
      </c>
      <c r="AX730" s="30">
        <f t="shared" si="1775"/>
      </c>
      <c r="AY730" s="30">
        <f t="shared" si="1775"/>
      </c>
      <c r="AZ730" s="30">
        <f t="shared" si="1775"/>
      </c>
      <c r="BA730" s="30">
        <f t="shared" si="1775"/>
      </c>
      <c r="BB730" s="308">
        <f t="shared" si="1775"/>
      </c>
      <c r="BC730" s="30">
        <f t="shared" si="1775"/>
      </c>
      <c r="BD730" s="30">
        <v>0.18</v>
      </c>
      <c r="BE730" s="30">
        <f t="shared" si="1775"/>
      </c>
      <c r="BF730" s="30">
        <f t="shared" si="1775"/>
      </c>
      <c r="BG730" s="308">
        <f>IF(BB725="NM","NM",IF(BG725="NM","NM",IF(BB725&lt;=0,"NM",IF(BG725=0,"NM",IF(ABS(BG725/BB725-1)&gt;2.5,"NM",IF((ABS(BG725-BB725)=ABS(ABS(BG725)-ABS(BB725))),(BG725/BB725-1),"NM"))))))</f>
      </c>
      <c r="BH730" s="30">
        <f t="shared" si="1775"/>
      </c>
      <c r="BI730" s="30">
        <f t="shared" si="1775"/>
      </c>
      <c r="BJ730" s="30">
        <f t="shared" si="1775"/>
      </c>
      <c r="BK730" s="30">
        <f t="shared" si="1775"/>
      </c>
      <c r="BL730" s="315">
        <f>IF(BG725="NM","NM",IF(BL725="NM","NM",IF(BG725&lt;=0,"NM",IF(BL725=0,"NM",IF(ABS(BL725/BG725-1)&gt;2.5,"NM",IF((ABS(BL725-BG725)=ABS(ABS(BL725)-ABS(BG725))),(BL725/BG725-1),"NM"))))))</f>
      </c>
      <c r="BM730" s="30">
        <f t="shared" si="1775"/>
      </c>
      <c r="BN730" s="30">
        <f t="shared" si="1775"/>
      </c>
      <c r="BO730" s="30">
        <f t="shared" si="1775"/>
      </c>
      <c r="BP730" s="30">
        <f t="shared" ref="BP730:BV731" si="1776">IF(BK725="NM","NM",IF(BP725="NM","NM",IF(BK725&lt;=0,"NM",IF(BP725=0,"NM",IF(ABS(BP725/BK725-1)&gt;2.5,"NM",IF((ABS(BP725-BK725)=ABS(ABS(BP725)-ABS(BK725))),(BP725/BK725-1),"NM"))))))</f>
      </c>
      <c r="BQ730" s="315">
        <f t="shared" si="1776"/>
      </c>
      <c r="BR730" s="30">
        <f t="shared" si="1776"/>
      </c>
      <c r="BS730" s="30">
        <f>IF(BN725="NM","NM",IF(BS725="NM","NM",IF(BN725&lt;=0,"NM",IF(BS725=0,"NM",IF(ABS(BS725/BN725-1)&gt;2.5,"NM",IF((ABS(BS725-BN725)=ABS(ABS(BS725)-ABS(BN725))),(BS725/BN725-1),"NM"))))))</f>
      </c>
      <c r="BT730" s="30">
        <f>IF(BO725="NM","NM",IF(BT725="NM","NM",IF(BO725&lt;=0,"NM",IF(BT725=0,"NM",IF(ABS(BT725/BO725-1)&gt;2.5,"NM",IF((ABS(BT725-BO725)=ABS(ABS(BT725)-ABS(BO725))),(BT725/BO725-1),"NM"))))))</f>
      </c>
      <c r="BU730" s="30">
        <f>IF(BP725="NM","NM",IF(BU725="NM","NM",IF(BP725&lt;=0,"NM",IF(BU725=0,"NM",IF(ABS(BU725/BP725-1)&gt;2.5,"NM",IF((ABS(BU725-BP725)=ABS(ABS(BU725)-ABS(BP725))),(BU725/BP725-1),"NM"))))))</f>
      </c>
      <c r="BV730" s="315">
        <f t="shared" si="1776"/>
      </c>
      <c r="BW730" s="30">
        <f t="shared" ref="BW730:BY731" si="1777">IF(BR725="NM","NM",IF(BW725="NM","NM",IF(BR725&lt;=0,"NM",IF(BW725=0,"NM",IF(ABS(BW725/BR725-1)&gt;2.5,"NM",IF((ABS(BW725-BR725)=ABS(ABS(BW725)-ABS(BR725))),(BW725/BR725-1),"NM"))))))</f>
      </c>
      <c r="BX730" s="30">
        <f t="shared" si="1777"/>
      </c>
      <c r="BY730" s="30">
        <f t="shared" si="1777"/>
      </c>
      <c r="BZ730" s="30">
        <f>IF(BU725="NM","NM",IF(BZ725="NM","NM",IF(BU725&lt;=0,"NM",IF(BZ725=0,"NM",IF(ABS(BZ725/BU725-1)&gt;2.5,"NM",IF((ABS(BZ725-BU725)=ABS(ABS(BZ725)-ABS(BU725))),(BZ725/BU725-1),"NM"))))))</f>
      </c>
      <c r="CA730" s="315">
        <f>IF(BV725="NM","NM",IF(CA725="NM","NM",IF(BV725&lt;=0,"NM",IF(CA725=0,"NM",IF(ABS(CA725/BV725-1)&gt;2.5,"NM",IF((ABS(CA725-BV725)=ABS(ABS(CA725)-ABS(BV725))),(CA725/BV725-1),"NM"))))))</f>
      </c>
      <c r="CB730" s="30">
        <f t="shared" ref="CB730:CD731" si="1778">IF(BW725="NM","NM",IF(CB725="NM","NM",IF(BW725&lt;=0,"NM",IF(CB725=0,"NM",IF(ABS(CB725/BW725-1)&gt;2.5,"NM",IF((ABS(CB725-BW725)=ABS(ABS(CB725)-ABS(BW725))),(CB725/BW725-1),"NM"))))))</f>
      </c>
      <c r="CC730" s="30">
        <f t="shared" si="1778"/>
      </c>
      <c r="CD730" s="30">
        <f t="shared" si="1778"/>
      </c>
      <c r="CE730" s="30">
        <f>IF(BZ725="NM","NM",IF(CE725="NM","NM",IF(BZ725&lt;=0,"NM",IF(CE725=0,"NM",IF(ABS(CE725/BZ725-1)&gt;2.5,"NM",IF((ABS(CE725-BZ725)=ABS(ABS(CE725)-ABS(BZ725))),(CE725/BZ725-1),"NM"))))))</f>
      </c>
      <c r="CF730" s="315">
        <f>IF(CA725="NM","NM",IF(CF725="NM","NM",IF(CA725&lt;=0,"NM",IF(CF725=0,"NM",IF(ABS(CF725/CA725-1)&gt;2.5,"NM",IF((ABS(CF725-CA725)=ABS(ABS(CF725)-ABS(CA725))),(CF725/CA725-1),"NM"))))))</f>
      </c>
      <c r="CG730" s="30">
        <f t="shared" ref="CG730:CI731" si="1779">IF(CB725="NM","NM",IF(CG725="NM","NM",IF(CB725&lt;=0,"NM",IF(CG725=0,"NM",IF(ABS(CG725/CB725-1)&gt;2.5,"NM",IF((ABS(CG725-CB725)=ABS(ABS(CG725)-ABS(CB725))),(CG725/CB725-1),"NM"))))))</f>
      </c>
      <c r="CH730" s="30">
        <f t="shared" si="1779"/>
      </c>
      <c r="CI730" s="30">
        <f t="shared" si="1779"/>
      </c>
      <c r="CJ730" s="30">
        <f>IF(CE725="NM","NM",IF(CJ725="NM","NM",IF(CE725&lt;=0,"NM",IF(CJ725=0,"NM",IF(ABS(CJ725/CE725-1)&gt;2.5,"NM",IF((ABS(CJ725-CE725)=ABS(ABS(CJ725)-ABS(CE725))),(CJ725/CE725-1),"NM"))))))</f>
      </c>
      <c r="CK730" s="308">
        <f>IF(CF725=0, 0, CK725/CF725-1)</f>
      </c>
      <c r="CL730" s="30">
        <f t="shared" ref="CL730:CN731" si="1780">IF(CG725="NM","NM",IF(CL725="NM","NM",IF(CG725&lt;=0,"NM",IF(CL725=0,"NM",IF(ABS(CL725/CG725-1)&gt;2.5,"NM",IF((ABS(CL725-CG725)=ABS(ABS(CL725)-ABS(CG725))),(CL725/CG725-1),"NM"))))))</f>
      </c>
      <c r="CM730" s="30">
        <f t="shared" si="1780"/>
      </c>
      <c r="CN730" s="30">
        <f t="shared" si="1780"/>
      </c>
      <c r="CO730" s="30">
        <f>IF(CJ725="NM","NM",IF(CO725="NM","NM",IF(CJ725&lt;=0,"NM",IF(CO725=0,"NM",IF(ABS(CO725/CJ725-1)&gt;2.5,"NM",IF((ABS(CO725-CJ725)=ABS(ABS(CO725)-ABS(CJ725))),(CO725/CJ725-1),"NM"))))))</f>
      </c>
      <c r="CP730" s="308">
        <f>IF(CK725=0, 0, CP725/CK725-1)</f>
      </c>
      <c r="CQ730" s="30"/>
      <c r="CR730" s="30"/>
      <c r="CS730" s="29"/>
      <c r="CT730" s="29"/>
      <c r="CU730" s="308"/>
      <c r="CV730" s="30"/>
      <c r="CW730" s="29"/>
      <c r="CX730" s="29"/>
      <c r="CY730" s="29"/>
      <c r="CZ730" s="308"/>
      <c r="DA730" s="30"/>
      <c r="DB730" s="361"/>
      <c r="DC730" s="361"/>
      <c r="DD730" s="835"/>
      <c r="DE730" s="317"/>
      <c r="DF730" s="30"/>
      <c r="DG730" s="361"/>
      <c r="DH730" s="361"/>
      <c r="DI730" s="835"/>
      <c r="DJ730" s="29"/>
      <c r="DK730" s="400"/>
      <c r="DL730" s="29"/>
      <c r="DM730" s="29"/>
      <c r="DN730" s="836"/>
      <c r="DO730" s="836"/>
      <c r="DP730" s="29"/>
      <c r="DQ730" s="29"/>
      <c r="DR730" s="29"/>
      <c r="DS730" s="836"/>
      <c r="DT730" s="836"/>
      <c r="DU730" s="29"/>
      <c r="DV730" s="29"/>
      <c r="DW730" s="29"/>
      <c r="DX730" s="836"/>
      <c r="DY730" s="836"/>
      <c r="DZ730" s="29"/>
      <c r="EA730" s="29"/>
      <c r="EB730" s="29"/>
      <c r="EC730" s="836"/>
      <c r="ED730" s="836"/>
      <c r="EE730" s="29"/>
      <c r="EF730" s="29"/>
      <c r="EG730" s="29"/>
      <c r="EH730" s="836"/>
      <c r="EI730" s="836"/>
      <c r="EJ730" s="836"/>
      <c r="EK730" s="836"/>
      <c r="EL730" s="836"/>
      <c r="EM730" s="836"/>
      <c r="EN730" s="836"/>
      <c r="EO730" s="836"/>
      <c r="EP730" s="836"/>
      <c r="EQ730" s="836"/>
      <c r="ER730" s="836"/>
      <c r="ES730" s="836"/>
      <c r="ET730" s="836"/>
      <c r="EU730" s="836"/>
      <c r="EV730" s="836"/>
      <c r="EW730" s="836"/>
      <c r="EX730" s="836"/>
    </row>
    <row r="731" spans="1:154" ht="12.75" customHeight="1" outlineLevel="2">
      <c r="B731" s="441" t="s">
        <v>412</v>
      </c>
      <c r="C731" s="1989"/>
      <c r="D731" s="28"/>
      <c r="E731" s="28"/>
      <c r="F731" s="28"/>
      <c r="G731" s="28"/>
      <c r="H731" s="28"/>
      <c r="I731" s="29">
        <f t="shared" si="1771"/>
      </c>
      <c r="J731" s="30">
        <f t="shared" si="1771"/>
      </c>
      <c r="K731" s="30">
        <f t="shared" si="1771"/>
      </c>
      <c r="L731" s="30">
        <f t="shared" si="1771"/>
      </c>
      <c r="M731" s="30">
        <f t="shared" si="1771"/>
      </c>
      <c r="N731" s="30">
        <f t="shared" si="1771"/>
      </c>
      <c r="O731" s="30">
        <f t="shared" si="1771"/>
      </c>
      <c r="P731" s="30">
        <f t="shared" si="1771"/>
      </c>
      <c r="Q731" s="30">
        <f t="shared" si="1771"/>
      </c>
      <c r="R731" s="30">
        <f t="shared" si="1771"/>
      </c>
      <c r="S731" s="30">
        <f t="shared" si="1772"/>
      </c>
      <c r="T731" s="30">
        <f t="shared" si="1772"/>
      </c>
      <c r="U731" s="30">
        <f t="shared" si="1772"/>
      </c>
      <c r="V731" s="30">
        <f t="shared" si="1772"/>
      </c>
      <c r="W731" s="30">
        <f t="shared" si="1772"/>
      </c>
      <c r="X731" s="308">
        <f t="shared" si="1772"/>
      </c>
      <c r="Y731" s="30">
        <f t="shared" si="1772"/>
      </c>
      <c r="Z731" s="30">
        <f t="shared" si="1772"/>
      </c>
      <c r="AA731" s="30">
        <f t="shared" si="1772"/>
      </c>
      <c r="AB731" s="30">
        <f t="shared" si="1772"/>
      </c>
      <c r="AC731" s="308">
        <f t="shared" si="1773"/>
      </c>
      <c r="AD731" s="30">
        <f t="shared" si="1773"/>
      </c>
      <c r="AE731" s="30">
        <f t="shared" si="1773"/>
      </c>
      <c r="AF731" s="30">
        <f t="shared" si="1773"/>
      </c>
      <c r="AG731" s="30">
        <f t="shared" si="1773"/>
      </c>
      <c r="AH731" s="308">
        <f t="shared" si="1773"/>
      </c>
      <c r="AI731" s="30">
        <f t="shared" si="1773"/>
      </c>
      <c r="AJ731" s="30">
        <f t="shared" si="1773"/>
      </c>
      <c r="AK731" s="30">
        <f t="shared" si="1773"/>
      </c>
      <c r="AL731" s="30">
        <f t="shared" si="1773"/>
      </c>
      <c r="AM731" s="308">
        <f t="shared" si="1774"/>
      </c>
      <c r="AN731" s="30">
        <f t="shared" si="1774"/>
      </c>
      <c r="AO731" s="30">
        <f t="shared" si="1774"/>
      </c>
      <c r="AP731" s="30">
        <f t="shared" si="1774"/>
      </c>
      <c r="AQ731" s="30">
        <f t="shared" si="1774"/>
      </c>
      <c r="AR731" s="308">
        <f t="shared" si="1774"/>
      </c>
      <c r="AS731" s="30">
        <f t="shared" si="1774"/>
      </c>
      <c r="AT731" s="30">
        <f t="shared" si="1774"/>
      </c>
      <c r="AU731" s="30">
        <f t="shared" si="1774"/>
      </c>
      <c r="AV731" s="30">
        <f t="shared" si="1774"/>
      </c>
      <c r="AW731" s="308">
        <f t="shared" si="1775"/>
      </c>
      <c r="AX731" s="30">
        <f t="shared" si="1775"/>
      </c>
      <c r="AY731" s="30">
        <f t="shared" si="1775"/>
      </c>
      <c r="AZ731" s="30">
        <f t="shared" si="1775"/>
      </c>
      <c r="BA731" s="30">
        <f t="shared" si="1775"/>
      </c>
      <c r="BB731" s="308">
        <f t="shared" si="1775"/>
      </c>
      <c r="BC731" s="30">
        <f t="shared" si="1775"/>
      </c>
      <c r="BD731" s="30">
        <v>-0.19</v>
      </c>
      <c r="BE731" s="30">
        <f t="shared" si="1775"/>
      </c>
      <c r="BF731" s="30">
        <f t="shared" si="1775"/>
      </c>
      <c r="BG731" s="308">
        <f>IF(BB726="NM","NM",IF(BG726="NM","NM",IF(BB726&lt;=0,"NM",IF(BG726=0,"NM",IF(ABS(BG726/BB726-1)&gt;2.5,"NM",IF((ABS(BG726-BB726)=ABS(ABS(BG726)-ABS(BB726))),(BG726/BB726-1),"NM"))))))</f>
      </c>
      <c r="BH731" s="30">
        <f t="shared" si="1775"/>
      </c>
      <c r="BI731" s="30">
        <f t="shared" si="1775"/>
      </c>
      <c r="BJ731" s="30">
        <f t="shared" si="1775"/>
      </c>
      <c r="BK731" s="30">
        <f t="shared" si="1775"/>
      </c>
      <c r="BL731" s="315">
        <f>IF(BG726="NM","NM",IF(BL726="NM","NM",IF(BG726&lt;=0,"NM",IF(BL726=0,"NM",IF(ABS(BL726/BG726-1)&gt;2.5,"NM",IF((ABS(BL726-BG726)=ABS(ABS(BL726)-ABS(BG726))),(BL726/BG726-1),"NM"))))))</f>
      </c>
      <c r="BM731" s="30">
        <f t="shared" si="1775"/>
      </c>
      <c r="BN731" s="30">
        <f t="shared" si="1775"/>
      </c>
      <c r="BO731" s="30">
        <f t="shared" si="1775"/>
      </c>
      <c r="BP731" s="30">
        <f t="shared" si="1776"/>
      </c>
      <c r="BQ731" s="315">
        <f t="shared" si="1776"/>
      </c>
      <c r="BR731" s="30">
        <f t="shared" si="1776"/>
      </c>
      <c r="BS731" s="30">
        <f t="shared" si="1776"/>
      </c>
      <c r="BT731" s="30">
        <f t="shared" si="1776"/>
      </c>
      <c r="BU731" s="30">
        <f>IF(BP726="NM","NM",IF(BU726="NM","NM",IF(BP726&lt;=0,"NM",IF(BU726=0,"NM",IF(ABS(BU726/BP726-1)&gt;2.5,"NM",IF((ABS(BU726-BP726)=ABS(ABS(BU726)-ABS(BP726))),(BU726/BP726-1),"NM"))))))</f>
      </c>
      <c r="BV731" s="315">
        <f t="shared" si="1776"/>
      </c>
      <c r="BW731" s="30">
        <f t="shared" si="1777"/>
      </c>
      <c r="BX731" s="30">
        <f t="shared" si="1777"/>
      </c>
      <c r="BY731" s="30">
        <f t="shared" si="1777"/>
      </c>
      <c r="BZ731" s="30">
        <f>IF(BU726="NM","NM",IF(BZ726="NM","NM",IF(BU726&lt;=0,"NM",IF(BZ726=0,"NM",IF(ABS(BZ726/BU726-1)&gt;2.5,"NM",IF((ABS(BZ726-BU726)=ABS(ABS(BZ726)-ABS(BU726))),(BZ726/BU726-1),"NM"))))))</f>
      </c>
      <c r="CA731" s="308">
        <f>IF(BV726="NM","NM",IF(CA726="NM","NM",IF(BV726&lt;=0,"NM",IF(CA726=0,"NM",IF(ABS(CA726/BV726-1)&gt;2.5,"NM",IF((ABS(CA726-BV726)=ABS(ABS(CA726)-ABS(BV726))),(CA726/BV726-1),"NM"))))))</f>
      </c>
      <c r="CB731" s="30">
        <f t="shared" si="1778"/>
      </c>
      <c r="CC731" s="30">
        <f t="shared" si="1778"/>
      </c>
      <c r="CD731" s="30">
        <f t="shared" si="1778"/>
      </c>
      <c r="CE731" s="30">
        <f>IF(BZ726="NM","NM",IF(CE726="NM","NM",IF(BZ726&lt;=0,"NM",IF(CE726=0,"NM",IF(ABS(CE726/BZ726-1)&gt;2.5,"NM",IF((ABS(CE726-BZ726)=ABS(ABS(CE726)-ABS(BZ726))),(CE726/BZ726-1),"NM"))))))</f>
      </c>
      <c r="CF731" s="308">
        <f>IF(CA726="NM","NM",IF(CF726="NM","NM",IF(CA726&lt;=0,"NM",IF(CF726=0,"NM",IF(ABS(CF726/CA726-1)&gt;2.5,"NM",IF((ABS(CF726-CA726)=ABS(ABS(CF726)-ABS(CA726))),(CF726/CA726-1),"NM"))))))</f>
      </c>
      <c r="CG731" s="30">
        <f t="shared" si="1779"/>
      </c>
      <c r="CH731" s="30">
        <f t="shared" si="1779"/>
      </c>
      <c r="CI731" s="30">
        <f t="shared" si="1779"/>
      </c>
      <c r="CJ731" s="30">
        <f>IF(CE726="NM","NM",IF(CJ726="NM","NM",IF(CE726&lt;=0,"NM",IF(CJ726=0,"NM",IF(ABS(CJ726/CE726-1)&gt;2.5,"NM",IF((ABS(CJ726-CE726)=ABS(ABS(CJ726)-ABS(CE726))),(CJ726/CE726-1),"NM"))))))</f>
      </c>
      <c r="CK731" s="308">
        <f>IF(CF726=0, "NA", CK726/CF726-1)</f>
      </c>
      <c r="CL731" s="30">
        <f t="shared" si="1780"/>
      </c>
      <c r="CM731" s="30">
        <f t="shared" si="1780"/>
      </c>
      <c r="CN731" s="30">
        <f t="shared" si="1780"/>
      </c>
      <c r="CO731" s="30">
        <f>IF(CJ726="NM","NM",IF(CO726="NM","NM",IF(CJ726&lt;=0,"NM",IF(CO726=0,"NM",IF(ABS(CO726/CJ726-1)&gt;2.5,"NM",IF((ABS(CO726-CJ726)=ABS(ABS(CO726)-ABS(CJ726))),(CO726/CJ726-1),"NM"))))))</f>
      </c>
      <c r="CP731" s="308">
        <f>IF(CK726=0, "NA", CP726/CK726-1)</f>
      </c>
      <c r="CQ731" s="30"/>
      <c r="CR731" s="30"/>
      <c r="CS731" s="926"/>
      <c r="CT731" s="926"/>
      <c r="CU731" s="308"/>
      <c r="CV731" s="30"/>
      <c r="CW731" s="926"/>
      <c r="CX731" s="926"/>
      <c r="CY731" s="926"/>
      <c r="CZ731" s="308"/>
      <c r="DA731" s="30"/>
      <c r="DB731" s="959"/>
      <c r="DC731" s="959"/>
      <c r="DD731" s="960"/>
      <c r="DE731" s="308"/>
      <c r="DF731" s="30"/>
      <c r="DG731" s="926"/>
      <c r="DH731" s="926"/>
      <c r="DI731" s="928"/>
      <c r="DJ731" s="830"/>
      <c r="DK731" s="830"/>
      <c r="DL731" s="30"/>
      <c r="DM731" s="30"/>
      <c r="DN731" s="409"/>
      <c r="DO731" s="409"/>
      <c r="DP731" s="30"/>
      <c r="DQ731" s="30"/>
      <c r="DR731" s="30"/>
      <c r="DS731" s="409"/>
      <c r="DT731" s="308"/>
      <c r="DU731" s="926"/>
      <c r="DV731" s="926"/>
      <c r="DW731" s="926"/>
      <c r="DX731" s="928"/>
      <c r="DY731" s="308"/>
      <c r="DZ731" s="926"/>
      <c r="EA731" s="926"/>
      <c r="EB731" s="926"/>
      <c r="EC731" s="928"/>
      <c r="ED731" s="1060"/>
      <c r="EE731" s="926"/>
      <c r="EF731" s="926"/>
      <c r="EG731" s="926"/>
      <c r="EH731" s="928"/>
      <c r="EI731" s="308"/>
      <c r="EJ731" s="308"/>
      <c r="EK731" s="308"/>
      <c r="EL731" s="308"/>
      <c r="EM731" s="308"/>
      <c r="EN731" s="308"/>
      <c r="EO731" s="409"/>
      <c r="EP731" s="409"/>
      <c r="EQ731" s="409"/>
      <c r="ER731" s="409"/>
      <c r="ES731" s="409"/>
      <c r="ET731" s="409"/>
      <c r="EU731" s="409"/>
      <c r="EV731" s="409"/>
      <c r="EW731" s="409"/>
      <c r="EX731" s="409"/>
    </row>
    <row r="732" spans="1:154" ht="12.75" customHeight="1" outlineLevel="2">
      <c r="B732" s="441" t="s">
        <v>256</v>
      </c>
      <c r="C732" s="1989"/>
      <c r="D732" s="28"/>
      <c r="E732" s="28"/>
      <c r="F732" s="28"/>
      <c r="G732" s="28"/>
      <c r="H732" s="28"/>
      <c r="I732" s="24"/>
      <c r="J732" s="1"/>
      <c r="K732" s="1"/>
      <c r="L732" s="1"/>
      <c r="M732" s="1"/>
      <c r="N732" s="24"/>
      <c r="O732" s="24"/>
      <c r="P732" s="24"/>
      <c r="Q732" s="24"/>
      <c r="R732" s="24"/>
      <c r="S732" s="1"/>
      <c r="T732" s="24"/>
      <c r="U732" s="24"/>
      <c r="V732" s="24"/>
      <c r="W732" s="24"/>
      <c r="X732" s="309"/>
      <c r="Y732" s="24"/>
      <c r="Z732" s="24"/>
      <c r="AA732" s="24"/>
      <c r="AB732" s="24"/>
      <c r="AC732" s="309"/>
      <c r="AD732" s="24"/>
      <c r="AE732" s="24"/>
      <c r="AF732" s="24"/>
      <c r="AG732" s="24"/>
      <c r="AH732" s="309"/>
      <c r="AI732" s="41">
        <f t="shared" ref="AI732:BK732" si="1781">IF(ISNUMBER(AI731),(1+AI731)/(1+AI$21)-1,"NM")</f>
      </c>
      <c r="AJ732" s="41">
        <f t="shared" si="1781"/>
      </c>
      <c r="AK732" s="41">
        <f t="shared" si="1781"/>
      </c>
      <c r="AL732" s="41">
        <f t="shared" si="1781"/>
      </c>
      <c r="AM732" s="309">
        <f t="shared" si="1781"/>
      </c>
      <c r="AN732" s="41">
        <f t="shared" si="1781"/>
      </c>
      <c r="AO732" s="41">
        <f t="shared" si="1781"/>
      </c>
      <c r="AP732" s="41">
        <f t="shared" si="1781"/>
      </c>
      <c r="AQ732" s="41">
        <f t="shared" si="1781"/>
      </c>
      <c r="AR732" s="309">
        <f t="shared" si="1781"/>
      </c>
      <c r="AS732" s="41">
        <f t="shared" si="1781"/>
      </c>
      <c r="AT732" s="41">
        <f t="shared" si="1781"/>
      </c>
      <c r="AU732" s="41">
        <f t="shared" si="1781"/>
      </c>
      <c r="AV732" s="41">
        <f t="shared" si="1781"/>
      </c>
      <c r="AW732" s="309">
        <f t="shared" si="1781"/>
      </c>
      <c r="AX732" s="41">
        <f t="shared" si="1781"/>
      </c>
      <c r="AY732" s="41">
        <f t="shared" si="1781"/>
      </c>
      <c r="AZ732" s="41">
        <f t="shared" si="1781"/>
      </c>
      <c r="BA732" s="41">
        <f t="shared" si="1781"/>
      </c>
      <c r="BB732" s="309">
        <f t="shared" si="1781"/>
      </c>
      <c r="BC732" s="41">
        <f t="shared" si="1781"/>
      </c>
      <c r="BD732" s="41">
        <f t="shared" si="1781"/>
      </c>
      <c r="BE732" s="41">
        <f t="shared" si="1781"/>
      </c>
      <c r="BF732" s="41">
        <f t="shared" si="1781"/>
      </c>
      <c r="BG732" s="309">
        <f t="shared" si="1781"/>
      </c>
      <c r="BH732" s="41">
        <f t="shared" si="1781"/>
      </c>
      <c r="BI732" s="41">
        <f t="shared" si="1781"/>
      </c>
      <c r="BJ732" s="41">
        <f t="shared" si="1781"/>
      </c>
      <c r="BK732" s="41">
        <f t="shared" si="1781"/>
      </c>
      <c r="BL732" s="315">
        <f>BL731-$BL$21</f>
      </c>
      <c r="BM732" s="41">
        <f>IF(ISNUMBER(BM731),(1+BM731)/(1+BM$21)-1,"NM")</f>
      </c>
      <c r="BN732" s="41">
        <f>IF(ISNUMBER(BN731),(1+BN731)/(1+BN$21)-1,"NM")</f>
      </c>
      <c r="BO732" s="41">
        <f>IF(ISNUMBER(BO731),(1+BO731)/(1+BO$21)-1,"NM")</f>
      </c>
      <c r="BP732" s="30">
        <f>IF(ISNUMBER(BP731),(1+BP731)/(1+BP$21)-1,"NM")</f>
      </c>
      <c r="BQ732" s="315">
        <f>BQ731-$BQ$21</f>
      </c>
      <c r="BR732" s="30">
        <f>IF(ISNUMBER(BR731),(1+BR731)/(1+BR$21)-1,"NM")</f>
      </c>
      <c r="BS732" s="30">
        <f>IF(ISNUMBER(BS731),(1+BS731)/(1+BS$21)-1,"NM")</f>
      </c>
      <c r="BT732" s="30">
        <v>-0.05</v>
      </c>
      <c r="BU732" s="30">
        <f>IF(ISNUMBER(BU731),(1+BU731)/(1+BU$21)-1,"NM")</f>
      </c>
      <c r="BV732" s="315">
        <f>BV731-$BQ$21</f>
      </c>
      <c r="BW732" s="30">
        <f t="shared" ref="BW732:CJ732" si="1782">IF(ISNUMBER(BW731),(1+BW731)/(1+BW$21)-1,"NM")</f>
      </c>
      <c r="BX732" s="30">
        <f t="shared" si="1782"/>
      </c>
      <c r="BY732" s="30">
        <f t="shared" si="1782"/>
      </c>
      <c r="BZ732" s="30">
        <f t="shared" si="1782"/>
      </c>
      <c r="CA732" s="308">
        <f t="shared" si="1782"/>
      </c>
      <c r="CB732" s="30">
        <f t="shared" si="1782"/>
      </c>
      <c r="CC732" s="30">
        <f t="shared" si="1782"/>
      </c>
      <c r="CD732" s="30">
        <f t="shared" si="1782"/>
      </c>
      <c r="CE732" s="30">
        <f t="shared" si="1782"/>
      </c>
      <c r="CF732" s="308">
        <f t="shared" si="1782"/>
      </c>
      <c r="CG732" s="30">
        <f t="shared" si="1782"/>
      </c>
      <c r="CH732" s="30">
        <f t="shared" si="1782"/>
      </c>
      <c r="CI732" s="30">
        <f t="shared" si="1782"/>
      </c>
      <c r="CJ732" s="30">
        <f t="shared" si="1782"/>
      </c>
      <c r="CK732" s="315">
        <f>CK731-CK$21</f>
      </c>
      <c r="CL732" s="30">
        <f>IF(ISNUMBER(CL731),(1+CL731)/(1+CL$21)-1,"NM")</f>
      </c>
      <c r="CM732" s="30">
        <f>IF(ISNUMBER(CM731),(1+CM731)/(1+CM$21)-1,"NM")</f>
      </c>
      <c r="CN732" s="30">
        <f>IF(ISNUMBER(CN731),(1+CN731)/(1+CN$21)-1,"NM")</f>
      </c>
      <c r="CO732" s="30">
        <f>IF(ISNUMBER(CO731),(1+CO731)/(1+CO$21)-1,"NM")</f>
      </c>
      <c r="CP732" s="315">
        <f>CP731-CP$21</f>
      </c>
      <c r="CQ732" s="30"/>
      <c r="CR732" s="30"/>
      <c r="CS732" s="29"/>
      <c r="CT732" s="29"/>
      <c r="CU732" s="315"/>
      <c r="CV732" s="30"/>
      <c r="CW732" s="29"/>
      <c r="CX732" s="29"/>
      <c r="CY732" s="29"/>
      <c r="CZ732" s="315"/>
      <c r="DA732" s="30"/>
      <c r="DB732" s="361"/>
      <c r="DC732" s="361"/>
      <c r="DD732" s="835"/>
      <c r="DE732" s="317"/>
      <c r="DF732" s="30"/>
      <c r="DG732" s="361"/>
      <c r="DH732" s="361"/>
      <c r="DI732" s="835"/>
      <c r="DJ732" s="29"/>
      <c r="DK732" s="400"/>
      <c r="DL732" s="29"/>
      <c r="DM732" s="29"/>
      <c r="DN732" s="836"/>
      <c r="DO732" s="836"/>
      <c r="DP732" s="29"/>
      <c r="DQ732" s="29"/>
      <c r="DR732" s="29"/>
      <c r="DS732" s="836"/>
      <c r="DT732" s="836"/>
      <c r="DU732" s="29"/>
      <c r="DV732" s="29"/>
      <c r="DW732" s="29"/>
      <c r="DX732" s="836"/>
      <c r="DY732" s="836"/>
      <c r="DZ732" s="29"/>
      <c r="EA732" s="29"/>
      <c r="EB732" s="29"/>
      <c r="EC732" s="836"/>
      <c r="ED732" s="836"/>
      <c r="EE732" s="29"/>
      <c r="EF732" s="29"/>
      <c r="EG732" s="29"/>
      <c r="EH732" s="836"/>
      <c r="EI732" s="836"/>
      <c r="EJ732" s="836"/>
      <c r="EK732" s="836"/>
      <c r="EL732" s="836"/>
      <c r="EM732" s="836"/>
      <c r="EN732" s="836"/>
      <c r="EO732" s="836"/>
      <c r="EP732" s="836"/>
      <c r="EQ732" s="836"/>
      <c r="ER732" s="836"/>
      <c r="ES732" s="836"/>
      <c r="ET732" s="836"/>
      <c r="EU732" s="836"/>
      <c r="EV732" s="836"/>
      <c r="EW732" s="836"/>
      <c r="EX732" s="836"/>
    </row>
    <row r="733" spans="1:154" ht="12.75" customHeight="1" outlineLevel="2">
      <c r="B733" s="441" t="s">
        <v>413</v>
      </c>
      <c r="C733" s="1989"/>
      <c r="D733" s="28"/>
      <c r="E733" s="28"/>
      <c r="F733" s="28"/>
      <c r="G733" s="28"/>
      <c r="H733" s="28"/>
      <c r="I733" s="29">
        <f t="shared" ref="I733:AN733" si="1783">IF(D727="NM","NM",IF(I727="NM","NM",IF(D727&lt;=0,"NM",IF(I727=0,"NM",IF(ABS(I727/D727-1)&gt;2.5,"NM",IF((ABS(I727-D727)=ABS(ABS(I727)-ABS(D727))),(I727/D727-1),"NM"))))))</f>
      </c>
      <c r="J733" s="30">
        <f t="shared" si="1783"/>
      </c>
      <c r="K733" s="30">
        <f t="shared" si="1783"/>
      </c>
      <c r="L733" s="30">
        <f t="shared" si="1783"/>
      </c>
      <c r="M733" s="30">
        <f t="shared" si="1783"/>
      </c>
      <c r="N733" s="30">
        <f t="shared" si="1783"/>
      </c>
      <c r="O733" s="30">
        <f t="shared" si="1783"/>
      </c>
      <c r="P733" s="30">
        <f t="shared" si="1783"/>
      </c>
      <c r="Q733" s="30">
        <f t="shared" si="1783"/>
      </c>
      <c r="R733" s="30">
        <f t="shared" si="1783"/>
      </c>
      <c r="S733" s="30">
        <f t="shared" si="1783"/>
      </c>
      <c r="T733" s="30">
        <f t="shared" si="1783"/>
      </c>
      <c r="U733" s="30">
        <f t="shared" si="1783"/>
      </c>
      <c r="V733" s="30">
        <f t="shared" si="1783"/>
      </c>
      <c r="W733" s="30">
        <f t="shared" si="1783"/>
      </c>
      <c r="X733" s="308">
        <f t="shared" si="1783"/>
      </c>
      <c r="Y733" s="30">
        <f t="shared" si="1783"/>
      </c>
      <c r="Z733" s="30">
        <f t="shared" si="1783"/>
      </c>
      <c r="AA733" s="30">
        <f t="shared" si="1783"/>
      </c>
      <c r="AB733" s="30">
        <f t="shared" si="1783"/>
      </c>
      <c r="AC733" s="308">
        <f t="shared" si="1783"/>
      </c>
      <c r="AD733" s="30">
        <f t="shared" si="1783"/>
      </c>
      <c r="AE733" s="30">
        <f t="shared" si="1783"/>
      </c>
      <c r="AF733" s="30">
        <f t="shared" si="1783"/>
      </c>
      <c r="AG733" s="30">
        <f t="shared" si="1783"/>
      </c>
      <c r="AH733" s="308">
        <f t="shared" si="1783"/>
      </c>
      <c r="AI733" s="30">
        <f t="shared" si="1783"/>
      </c>
      <c r="AJ733" s="30">
        <f t="shared" si="1783"/>
      </c>
      <c r="AK733" s="30">
        <f t="shared" si="1783"/>
      </c>
      <c r="AL733" s="30">
        <f t="shared" si="1783"/>
      </c>
      <c r="AM733" s="308">
        <f t="shared" si="1783"/>
      </c>
      <c r="AN733" s="30">
        <f t="shared" si="1783"/>
      </c>
      <c r="AO733" s="30">
        <f t="shared" ref="AO733:BI733" si="1784">IF(AJ727="NM","NM",IF(AO727="NM","NM",IF(AJ727&lt;=0,"NM",IF(AO727=0,"NM",IF(ABS(AO727/AJ727-1)&gt;2.5,"NM",IF((ABS(AO727-AJ727)=ABS(ABS(AO727)-ABS(AJ727))),(AO727/AJ727-1),"NM"))))))</f>
      </c>
      <c r="AP733" s="30">
        <f t="shared" si="1784"/>
      </c>
      <c r="AQ733" s="30">
        <f t="shared" si="1784"/>
      </c>
      <c r="AR733" s="308">
        <f t="shared" si="1784"/>
      </c>
      <c r="AS733" s="30">
        <f t="shared" si="1784"/>
      </c>
      <c r="AT733" s="30">
        <f t="shared" si="1784"/>
      </c>
      <c r="AU733" s="30">
        <f t="shared" si="1784"/>
      </c>
      <c r="AV733" s="30">
        <f t="shared" si="1784"/>
      </c>
      <c r="AW733" s="308">
        <f t="shared" si="1784"/>
      </c>
      <c r="AX733" s="30">
        <f>IF(AS727="NM","NM",IF(AX727="NM","NM",IF(AS727&lt;=0,"NM",IF(AX727=0,"NM",IF(ABS(AX727/AS727-1)&gt;2.5,"NM",IF((ABS(AX727-AS727)=ABS(ABS(AX727)-ABS(AS727))),(AX727/AS727-1),"NM"))))))</f>
      </c>
      <c r="AY733" s="30">
        <f>IF(AT727="NM","NM",IF(AY727="NM","NM",IF(AT727&lt;=0,"NM",IF(AY727=0,"NM",IF(ABS(AY727/AT727-1)&gt;2.5,"NM",IF((ABS(AY727-AT727)=ABS(ABS(AY727)-ABS(AT727))),(AY727/AT727-1),"NM"))))))</f>
      </c>
      <c r="AZ733" s="30">
        <f>IF(AU727="NM","NM",IF(AZ727="NM","NM",IF(AU727&lt;=0,"NM",IF(AZ727=0,"NM",IF(ABS(AZ727/AU727-1)&gt;2.5,"NM",IF((ABS(AZ727-AU727)=ABS(ABS(AZ727)-ABS(AU727))),(AZ727/AU727-1),"NM"))))))</f>
      </c>
      <c r="BA733" s="30">
        <f>IF(AV727="NM","NM",IF(BA727="NM","NM",IF(AV727&lt;=0,"NM",IF(BA727=0,"NM",IF(ABS(BA727/AV727-1)&gt;2.5,"NM",IF((ABS(BA727-AV727)=ABS(ABS(BA727)-ABS(AV727))),(BA727/AV727-1),"NM"))))))</f>
      </c>
      <c r="BB733" s="308">
        <f t="shared" si="1784"/>
      </c>
      <c r="BC733" s="30">
        <f t="shared" si="1784"/>
      </c>
      <c r="BD733" s="30">
        <f t="shared" si="1784"/>
      </c>
      <c r="BE733" s="30">
        <f t="shared" si="1784"/>
      </c>
      <c r="BF733" s="30">
        <f t="shared" si="1784"/>
      </c>
      <c r="BG733" s="308">
        <f t="shared" si="1784"/>
      </c>
      <c r="BH733" s="30">
        <f t="shared" si="1784"/>
      </c>
      <c r="BI733" s="30">
        <f t="shared" si="1784"/>
      </c>
      <c r="BJ733" s="30">
        <f t="shared" ref="BJ733:BS733" si="1785">IF(BE727="NM","NM",IF(BJ727="NM","NM",IF(BE727&lt;=0,"NM",IF(BJ727=0,"NM",IF(ABS(BJ727/BE727-1)&gt;2.5,"NM",IF((ABS(BJ727-BE727)=ABS(ABS(BJ727)-ABS(BE727))),(BJ727/BE727-1),"NM"))))))</f>
      </c>
      <c r="BK733" s="30">
        <f t="shared" si="1785"/>
      </c>
      <c r="BL733" s="315">
        <f t="shared" si="1785"/>
      </c>
      <c r="BM733" s="30">
        <f t="shared" si="1785"/>
      </c>
      <c r="BN733" s="30">
        <f t="shared" si="1785"/>
      </c>
      <c r="BO733" s="30">
        <f t="shared" si="1785"/>
      </c>
      <c r="BP733" s="30">
        <f t="shared" si="1785"/>
      </c>
      <c r="BQ733" s="315">
        <f t="shared" si="1785"/>
      </c>
      <c r="BR733" s="30">
        <f t="shared" si="1785"/>
      </c>
      <c r="BS733" s="30">
        <f t="shared" si="1785"/>
      </c>
      <c r="BT733" s="30">
        <f>IF(BO727="NM","NM",IF(BT727="NM","NM",IF(BO727&lt;=0,"NM",IF(BT727=0,"NM",IF(ABS(BT727/BO727-1)&gt;2.5,"NM",IF((ABS(BT727-BO727)=ABS(ABS(BT727)-ABS(BO727))),(BT727/BO727-1),"NM"))))))</f>
      </c>
      <c r="BU733" s="30">
        <f>IF(BP727="NM","NM",IF(BU727="NM","NM",IF(BP727&lt;=0,"NM",IF(BU727=0,"NM",IF(ABS(BU727/BP727-1)&gt;2.5,"NM",IF((ABS(BU727-BP727)=ABS(ABS(BU727)-ABS(BP727))),(BU727/BP727-1),"NM"))))))</f>
      </c>
      <c r="BV733" s="315">
        <f>IF(BQ727="NM","NM",IF(BV727="NM","NM",IF(BQ727&lt;=0,"NM",IF(BV727=0,"NM",IF(ABS(BV727/BQ727-1)&gt;2.5,"NM",IF((ABS(BV727-BQ727)=ABS(ABS(BV727)-ABS(BQ727))),(BV727/BQ727-1),"NM"))))))</f>
      </c>
      <c r="BW733" s="30">
        <f t="shared" ref="BW733:CH733" si="1786">IF(BR727="NM","NM",IF(BW727="NM","NM",IF(BR727&lt;=0,"NM",IF(BW727=0,"NM",IF(ABS(BW727/BR727-1)&gt;2.5,"NM",IF((ABS(BW727-BR727)=ABS(ABS(BW727)-ABS(BR727))),(BW727/BR727-1),"NM"))))))</f>
      </c>
      <c r="BX733" s="30">
        <f t="shared" si="1786"/>
      </c>
      <c r="BY733" s="30">
        <f t="shared" si="1786"/>
      </c>
      <c r="BZ733" s="30">
        <f>IF(BU727="NM","NM",IF(BZ727="NM","NM",IF(BU727&lt;=0,"NM",IF(BZ727=0,"NM",IF(ABS(BZ727/BU727-1)&gt;2.5,"NM",IF((ABS(BZ727-BU727)=ABS(ABS(BZ727)-ABS(BU727))),(BZ727/BU727-1),"NM"))))))</f>
      </c>
      <c r="CA733" s="308">
        <f>IF(BV727="NM","NM",IF(CA727="NM","NM",IF(BV727&lt;=0,"NM",IF(CA727=0,"NM",IF(ABS(CA727/BV727-1)&gt;2.5,"NM",IF((ABS(CA727-BV727)=ABS(ABS(CA727)-ABS(BV727))),(CA727/BV727-1),"NM"))))))</f>
      </c>
      <c r="CB733" s="30">
        <f t="shared" si="1786"/>
      </c>
      <c r="CC733" s="30">
        <f t="shared" si="1786"/>
      </c>
      <c r="CD733" s="30">
        <f>IF(BY727="NM","NM",IF(CD727="NM","NM",IF(BY727&lt;=0,"NM",IF(CD727=0,"NM",IF(ABS(CD727/BY727-1)&gt;2.5,"NM",IF((ABS(CD727-BY727)=ABS(ABS(CD727)-ABS(BY727))),(CD727/BY727-1),"NM"))))))</f>
      </c>
      <c r="CE733" s="30">
        <f>IF(BZ727="NM","NM",IF(CE727="NM","NM",IF(BZ727&lt;=0,"NM",IF(CE727=0,"NM",IF(ABS(CE727/BZ727-1)&gt;2.5,"NM",IF((ABS(CE727-BZ727)=ABS(ABS(CE727)-ABS(BZ727))),(CE727/BZ727-1),"NM"))))))</f>
      </c>
      <c r="CF733" s="308">
        <f>IF(CA727="NM","NM",IF(CF727="NM","NM",IF(CA727&lt;=0,"NM",IF(CF727=0,"NM",IF(ABS(CF727/CA727-1)&gt;2.5,"NM",IF((ABS(CF727-CA727)=ABS(ABS(CF727)-ABS(CA727))),(CF727/CA727-1),"NM"))))))</f>
      </c>
      <c r="CG733" s="30">
        <f t="shared" si="1786"/>
      </c>
      <c r="CH733" s="30">
        <f t="shared" si="1786"/>
      </c>
      <c r="CI733" s="30">
        <f>IF(CD727="NM","NM",IF(CI727="NM","NM",IF(CD727&lt;=0,"NM",IF(CI727=0,"NM",IF(ABS(CI727/CD727-1)&gt;2.5,"NM",IF((ABS(CI727-CD727)=ABS(ABS(CI727)-ABS(CD727))),(CI727/CD727-1),"NM"))))))</f>
      </c>
      <c r="CJ733" s="30">
        <f>IF(CE727="NM","NM",IF(CJ727="NM","NM",IF(CE727&lt;=0,"NM",IF(CJ727=0,"NM",IF(ABS(CJ727/CE727-1)&gt;2.5,"NM",IF((ABS(CJ727-CE727)=ABS(ABS(CJ727)-ABS(CE727))),(CJ727/CE727-1),"NM"))))))</f>
      </c>
      <c r="CK733" s="308">
        <f>IF(CF727=0, "NA", CK727/CF727-1)</f>
      </c>
      <c r="CL733" s="30">
        <f>IF(CG727="NM","NM",IF(CL727="NM","NM",IF(CG727&lt;=0,"NM",IF(CL727=0,"NM",IF(ABS(CL727/CG727-1)&gt;2.5,"NM",IF((ABS(CL727-CG727)=ABS(ABS(CL727)-ABS(CG727))),(CL727/CG727-1),"NM"))))))</f>
      </c>
      <c r="CM733" s="30">
        <f>IF(CH727="NM","NM",IF(CM727="NM","NM",IF(CH727&lt;=0,"NM",IF(CM727=0,"NM",IF(ABS(CM727/CH727-1)&gt;2.5,"NM",IF((ABS(CM727-CH727)=ABS(ABS(CM727)-ABS(CH727))),(CM727/CH727-1),"NM"))))))</f>
      </c>
      <c r="CN733" s="30">
        <f>IF(CI727="NM","NM",IF(CN727="NM","NM",IF(CI727&lt;=0,"NM",IF(CN727=0,"NM",IF(ABS(CN727/CI727-1)&gt;2.5,"NM",IF((ABS(CN727-CI727)=ABS(ABS(CN727)-ABS(CI727))),(CN727/CI727-1),"NM"))))))</f>
      </c>
      <c r="CO733" s="30">
        <f>IF(CJ727="NM","NM",IF(CO727="NM","NM",IF(CJ727&lt;=0,"NM",IF(CO727=0,"NM",IF(ABS(CO727/CJ727-1)&gt;2.5,"NM",IF((ABS(CO727-CJ727)=ABS(ABS(CO727)-ABS(CJ727))),(CO727/CJ727-1),"NM"))))))</f>
      </c>
      <c r="CP733" s="308">
        <f>IF(CK727=0, "NA", CP727/CK727-1)</f>
      </c>
      <c r="CQ733" s="30"/>
      <c r="CR733" s="30"/>
      <c r="CS733" s="926"/>
      <c r="CT733" s="926"/>
      <c r="CU733" s="308"/>
      <c r="CV733" s="30"/>
      <c r="CW733" s="926"/>
      <c r="CX733" s="926"/>
      <c r="CY733" s="926"/>
      <c r="CZ733" s="308"/>
      <c r="DA733" s="30"/>
      <c r="DB733" s="926"/>
      <c r="DC733" s="926"/>
      <c r="DD733" s="928"/>
      <c r="DE733" s="308"/>
      <c r="DF733" s="30"/>
      <c r="DG733" s="926"/>
      <c r="DH733" s="926"/>
      <c r="DI733" s="928"/>
      <c r="DJ733" s="830"/>
      <c r="DK733" s="830"/>
      <c r="DL733" s="30"/>
      <c r="DM733" s="30"/>
      <c r="DN733" s="409"/>
      <c r="DO733" s="409"/>
      <c r="DP733" s="30"/>
      <c r="DQ733" s="30"/>
      <c r="DR733" s="30"/>
      <c r="DS733" s="409"/>
      <c r="DT733" s="308"/>
      <c r="DU733" s="926"/>
      <c r="DV733" s="926"/>
      <c r="DW733" s="926"/>
      <c r="DX733" s="928"/>
      <c r="DY733" s="308"/>
      <c r="DZ733" s="926"/>
      <c r="EA733" s="926"/>
      <c r="EB733" s="926"/>
      <c r="EC733" s="928"/>
      <c r="ED733" s="1060"/>
      <c r="EE733" s="926"/>
      <c r="EF733" s="926"/>
      <c r="EG733" s="926"/>
      <c r="EH733" s="928"/>
      <c r="EI733" s="308"/>
      <c r="EJ733" s="308"/>
      <c r="EK733" s="308"/>
      <c r="EL733" s="308"/>
      <c r="EM733" s="308"/>
      <c r="EN733" s="308"/>
      <c r="EO733" s="409"/>
      <c r="EP733" s="409"/>
      <c r="EQ733" s="409"/>
      <c r="ER733" s="409"/>
      <c r="ES733" s="409"/>
      <c r="ET733" s="409"/>
      <c r="EU733" s="409"/>
      <c r="EV733" s="409"/>
      <c r="EW733" s="409"/>
      <c r="EX733" s="409"/>
    </row>
    <row r="734" spans="1:154" ht="12.75" customHeight="1" outlineLevel="2">
      <c r="B734" s="441"/>
      <c r="C734" s="2014"/>
      <c r="D734" s="33"/>
      <c r="E734" s="28"/>
      <c r="F734" s="28"/>
      <c r="G734" s="28"/>
      <c r="H734" s="28"/>
      <c r="I734" s="31"/>
      <c r="J734" s="28"/>
      <c r="K734" s="28"/>
      <c r="L734" s="28"/>
      <c r="M734" s="28"/>
      <c r="N734" s="31"/>
      <c r="O734" s="28"/>
      <c r="P734" s="28"/>
      <c r="Q734" s="28"/>
      <c r="R734" s="28"/>
      <c r="S734" s="31"/>
      <c r="T734" s="28"/>
      <c r="U734" s="28"/>
      <c r="V734" s="28"/>
      <c r="W734" s="28"/>
      <c r="X734" s="313"/>
      <c r="Y734" s="28"/>
      <c r="Z734" s="28"/>
      <c r="AA734" s="28"/>
      <c r="AB734" s="28"/>
      <c r="AC734" s="313"/>
      <c r="AD734" s="28"/>
      <c r="AE734" s="28"/>
      <c r="AF734" s="28"/>
      <c r="AG734" s="28"/>
      <c r="AH734" s="313"/>
      <c r="AI734" s="28"/>
      <c r="AJ734" s="28"/>
      <c r="AK734" s="28"/>
      <c r="AL734" s="28"/>
      <c r="AM734" s="313"/>
      <c r="AN734" s="28"/>
      <c r="AO734" s="28"/>
      <c r="AP734" s="28"/>
      <c r="AQ734" s="28"/>
      <c r="AR734" s="313"/>
      <c r="AS734" s="28"/>
      <c r="AT734" s="28"/>
      <c r="AU734" s="28"/>
      <c r="AV734" s="28"/>
      <c r="AW734" s="313"/>
      <c r="AX734" s="28"/>
      <c r="AY734" s="28"/>
      <c r="AZ734" s="28"/>
      <c r="BA734" s="28"/>
      <c r="BB734" s="313"/>
      <c r="BC734" s="28"/>
      <c r="BD734" s="28"/>
      <c r="BE734" s="28"/>
      <c r="BF734" s="28"/>
      <c r="BG734" s="313"/>
      <c r="BH734" s="28"/>
      <c r="BI734" s="28"/>
      <c r="BJ734" s="28"/>
      <c r="BK734" s="28"/>
      <c r="BL734" s="313"/>
      <c r="BM734" s="28"/>
      <c r="BN734" s="28"/>
      <c r="BO734" s="28"/>
      <c r="BP734" s="28"/>
      <c r="BQ734" s="313"/>
      <c r="BR734" s="28"/>
      <c r="BS734" s="28"/>
      <c r="BT734" s="28"/>
      <c r="BU734" s="28"/>
      <c r="BV734" s="313"/>
      <c r="BW734" s="28"/>
      <c r="BX734" s="28"/>
      <c r="BY734" s="28"/>
      <c r="BZ734" s="28"/>
      <c r="CA734" s="313"/>
      <c r="CB734" s="28"/>
      <c r="CC734" s="28"/>
      <c r="CD734" s="28"/>
      <c r="CE734" s="28"/>
      <c r="CF734" s="313"/>
      <c r="CG734" s="28"/>
      <c r="CH734" s="28"/>
      <c r="CI734" s="28"/>
      <c r="CJ734" s="28"/>
      <c r="CK734" s="313"/>
      <c r="CL734" s="28"/>
      <c r="CM734" s="28"/>
      <c r="CN734" s="28"/>
      <c r="CO734" s="28"/>
      <c r="CP734" s="313"/>
      <c r="CQ734" s="933"/>
      <c r="CR734" s="933"/>
      <c r="CS734" s="933"/>
      <c r="CT734" s="933"/>
      <c r="CU734" s="313"/>
      <c r="CV734" s="933"/>
      <c r="CW734" s="933"/>
      <c r="CX734" s="933"/>
      <c r="CY734" s="933"/>
      <c r="CZ734" s="313"/>
      <c r="DA734" s="933"/>
      <c r="DB734" s="31"/>
      <c r="DC734" s="31"/>
      <c r="DD734" s="955"/>
      <c r="DE734" s="477"/>
      <c r="DF734" s="982"/>
      <c r="DG734" s="603"/>
      <c r="DH734" s="603"/>
      <c r="DI734" s="1798"/>
      <c r="DJ734" s="1799"/>
      <c r="DK734" s="1799"/>
      <c r="DL734" s="603"/>
      <c r="DM734" s="603"/>
      <c r="DN734" s="1798"/>
      <c r="DO734" s="1798"/>
      <c r="DP734" s="603"/>
      <c r="DQ734" s="603"/>
      <c r="DR734" s="603"/>
      <c r="DS734" s="1798"/>
      <c r="DT734" s="477"/>
      <c r="DU734" s="603"/>
      <c r="DV734" s="603"/>
      <c r="DW734" s="603"/>
      <c r="DX734" s="1798"/>
      <c r="DY734" s="477"/>
      <c r="DZ734" s="603"/>
      <c r="EA734" s="603"/>
      <c r="EB734" s="603"/>
      <c r="EC734" s="1798"/>
      <c r="ED734" s="477"/>
      <c r="EE734" s="603"/>
      <c r="EF734" s="603"/>
      <c r="EG734" s="603"/>
      <c r="EH734" s="1798"/>
      <c r="EI734" s="477"/>
      <c r="EJ734" s="477"/>
      <c r="EK734" s="477"/>
      <c r="EL734" s="477"/>
      <c r="EM734" s="477"/>
      <c r="EN734" s="477"/>
      <c r="EO734" s="1798"/>
      <c r="EP734" s="1798"/>
      <c r="EQ734" s="1798"/>
      <c r="ER734" s="1798"/>
      <c r="ES734" s="1798"/>
      <c r="ET734" s="1798"/>
      <c r="EU734" s="1798"/>
      <c r="EV734" s="1798"/>
      <c r="EW734" s="1798"/>
      <c r="EX734" s="1798"/>
    </row>
    <row r="735" spans="1:154" ht="12.75" customHeight="1" outlineLevel="1">
      <c r="B735" s="456" t="s">
        <v>562</v>
      </c>
      <c r="C735" s="2014"/>
      <c r="D735" s="28"/>
      <c r="E735" s="28"/>
      <c r="F735" s="28"/>
      <c r="G735" s="28"/>
      <c r="H735" s="28"/>
      <c r="I735" s="31"/>
      <c r="J735" s="28"/>
      <c r="K735" s="28"/>
      <c r="L735" s="28"/>
      <c r="M735" s="28"/>
      <c r="N735" s="31"/>
      <c r="O735" s="31"/>
      <c r="P735" s="31"/>
      <c r="Q735" s="31"/>
      <c r="R735" s="31"/>
      <c r="S735" s="31"/>
      <c r="T735" s="31"/>
      <c r="U735" s="31"/>
      <c r="V735" s="31"/>
      <c r="W735" s="31"/>
      <c r="X735" s="313"/>
      <c r="Y735" s="31"/>
      <c r="Z735" s="31"/>
      <c r="AA735" s="31"/>
      <c r="AB735" s="31"/>
      <c r="AC735" s="313"/>
      <c r="AD735" s="31"/>
      <c r="AE735" s="31"/>
      <c r="AF735" s="31"/>
      <c r="AG735" s="31"/>
      <c r="AH735" s="313"/>
      <c r="AI735" s="28"/>
      <c r="AJ735" s="32"/>
      <c r="AK735" s="28"/>
      <c r="AL735" s="31"/>
      <c r="AM735" s="313"/>
      <c r="AN735" s="28"/>
      <c r="AO735" s="28"/>
      <c r="AP735" s="28"/>
      <c r="AQ735" s="31"/>
      <c r="AR735" s="313"/>
      <c r="AS735" s="28"/>
      <c r="AT735" s="28"/>
      <c r="AU735" s="28"/>
      <c r="AV735" s="28"/>
      <c r="AW735" s="313"/>
      <c r="AX735" s="28"/>
      <c r="AY735" s="28"/>
      <c r="AZ735" s="28"/>
      <c r="BA735" s="28"/>
      <c r="BB735" s="313"/>
      <c r="BC735" s="28"/>
      <c r="BD735" s="28"/>
      <c r="BE735" s="28"/>
      <c r="BF735" s="28"/>
      <c r="BG735" s="313"/>
      <c r="BH735" s="28"/>
      <c r="BI735" s="28"/>
      <c r="BJ735" s="28"/>
      <c r="BK735" s="28"/>
      <c r="BL735" s="313"/>
      <c r="BM735" s="28"/>
      <c r="BN735" s="28"/>
      <c r="BO735" s="28"/>
      <c r="BP735" s="28"/>
      <c r="BQ735" s="313"/>
      <c r="BR735" s="28"/>
      <c r="BS735" s="28"/>
      <c r="BT735" s="28"/>
      <c r="BU735" s="28"/>
      <c r="BV735" s="313"/>
      <c r="BW735" s="28"/>
      <c r="BX735" s="28"/>
      <c r="BY735" s="28"/>
      <c r="BZ735" s="28"/>
      <c r="CA735" s="313"/>
      <c r="CB735" s="28"/>
      <c r="CC735" s="28"/>
      <c r="CD735" s="28"/>
      <c r="CE735" s="28"/>
      <c r="CF735" s="313"/>
      <c r="CG735" s="28"/>
      <c r="CH735" s="28"/>
      <c r="CI735" s="28"/>
      <c r="CJ735" s="28"/>
      <c r="CK735" s="313"/>
      <c r="CL735" s="28"/>
      <c r="CM735" s="933"/>
      <c r="CN735" s="28"/>
      <c r="CO735" s="28"/>
      <c r="CP735" s="313"/>
      <c r="CQ735" s="933"/>
      <c r="CR735" s="933"/>
      <c r="CS735" s="933"/>
      <c r="CT735" s="933"/>
      <c r="CU735" s="313"/>
      <c r="CV735" s="933"/>
      <c r="CW735" s="933"/>
      <c r="CX735" s="933"/>
      <c r="CY735" s="933"/>
      <c r="CZ735" s="313"/>
      <c r="DA735" s="933"/>
      <c r="DB735" s="31"/>
      <c r="DC735" s="31"/>
      <c r="DD735" s="955"/>
      <c r="DE735" s="477"/>
      <c r="DF735" s="982"/>
      <c r="DG735" s="603"/>
      <c r="DH735" s="603"/>
      <c r="DI735" s="1798"/>
      <c r="DJ735" s="1799"/>
      <c r="DK735" s="1799"/>
      <c r="DL735" s="1822"/>
      <c r="DM735" s="603"/>
      <c r="DN735" s="1798"/>
      <c r="DO735" s="1798"/>
      <c r="DP735" s="603"/>
      <c r="DQ735" s="1822"/>
      <c r="DR735" s="1822"/>
      <c r="DS735" s="1837"/>
      <c r="DT735" s="477"/>
      <c r="DU735" s="1822"/>
      <c r="DV735" s="1822"/>
      <c r="DW735" s="1822"/>
      <c r="DX735" s="1837"/>
      <c r="DY735" s="477"/>
      <c r="DZ735" s="1822"/>
      <c r="EA735" s="1822"/>
      <c r="EB735" s="1822"/>
      <c r="EC735" s="1837"/>
      <c r="ED735" s="477"/>
      <c r="EE735" s="1822"/>
      <c r="EF735" s="1822"/>
      <c r="EG735" s="1822"/>
      <c r="EH735" s="1837"/>
      <c r="EI735" s="477"/>
      <c r="EJ735" s="477"/>
      <c r="EK735" s="477"/>
      <c r="EL735" s="477"/>
      <c r="EM735" s="477"/>
      <c r="EN735" s="477"/>
      <c r="EO735" s="1798"/>
      <c r="EP735" s="1798"/>
      <c r="EQ735" s="1798"/>
      <c r="ER735" s="1798"/>
      <c r="ES735" s="1798"/>
      <c r="ET735" s="1798"/>
      <c r="EU735" s="1798"/>
      <c r="EV735" s="1798"/>
      <c r="EW735" s="1798"/>
      <c r="EX735" s="1798"/>
    </row>
    <row r="736" spans="1:154" ht="12.75" customHeight="1" outlineLevel="1">
      <c r="A736" s="3275" t="str">
        <f>+A738&amp;" - US"</f>
      </c>
      <c r="B736" s="438" t="s">
        <v>187</v>
      </c>
      <c r="C736" s="2015">
        <v>46582</v>
      </c>
      <c r="D736" s="31"/>
      <c r="E736" s="33"/>
      <c r="F736" s="33"/>
      <c r="G736" s="33"/>
      <c r="H736" s="33"/>
      <c r="I736" s="31"/>
      <c r="J736" s="33"/>
      <c r="K736" s="33"/>
      <c r="L736" s="33"/>
      <c r="M736" s="33"/>
      <c r="N736" s="31"/>
      <c r="O736" s="33"/>
      <c r="P736" s="33"/>
      <c r="Q736" s="33"/>
      <c r="R736" s="33"/>
      <c r="S736" s="31"/>
      <c r="T736" s="33"/>
      <c r="U736" s="33"/>
      <c r="V736" s="33"/>
      <c r="W736" s="33"/>
      <c r="X736" s="313"/>
      <c r="Y736" s="33"/>
      <c r="Z736" s="33"/>
      <c r="AA736" s="33"/>
      <c r="AB736" s="33"/>
      <c r="AC736" s="313"/>
      <c r="AD736" s="33"/>
      <c r="AE736" s="33"/>
      <c r="AF736" s="33"/>
      <c r="AG736" s="33"/>
      <c r="AH736" s="313"/>
      <c r="AI736" s="33"/>
      <c r="AJ736" s="33"/>
      <c r="AK736" s="33"/>
      <c r="AL736" s="33"/>
      <c r="AM736" s="313"/>
      <c r="AN736" s="33"/>
      <c r="AO736" s="33"/>
      <c r="AP736" s="33"/>
      <c r="AQ736" s="33"/>
      <c r="AR736" s="313"/>
      <c r="AS736" s="33"/>
      <c r="AT736" s="33"/>
      <c r="AU736" s="33"/>
      <c r="AV736" s="33"/>
      <c r="AW736" s="313"/>
      <c r="AX736" s="33"/>
      <c r="AY736" s="33"/>
      <c r="AZ736" s="33"/>
      <c r="BA736" s="33"/>
      <c r="BB736" s="313"/>
      <c r="BC736" s="33"/>
      <c r="BD736" s="33"/>
      <c r="BE736" s="33"/>
      <c r="BF736" s="33"/>
      <c r="BG736" s="313"/>
      <c r="BH736" s="33"/>
      <c r="BI736" s="33"/>
      <c r="BJ736" s="33"/>
      <c r="BK736" s="33"/>
      <c r="BL736" s="313"/>
      <c r="BM736" s="33"/>
      <c r="BN736" s="352"/>
      <c r="BO736" s="352"/>
      <c r="BP736" s="352"/>
      <c r="BQ736" s="313"/>
      <c r="BR736" s="352"/>
      <c r="BS736" s="352"/>
      <c r="BT736" s="352"/>
      <c r="BU736" s="352"/>
      <c r="BV736" s="313"/>
      <c r="BW736" s="28"/>
      <c r="BX736" s="767">
        <v>35</v>
      </c>
      <c r="BY736" s="767">
        <v>65</v>
      </c>
      <c r="BZ736" s="881">
        <v>80</v>
      </c>
      <c r="CA736" s="676">
        <v>180</v>
      </c>
      <c r="CB736" s="937">
        <v>93</v>
      </c>
      <c r="CC736" s="882">
        <v>118</v>
      </c>
      <c r="CD736" s="882">
        <v>137</v>
      </c>
      <c r="CE736" s="932">
        <v>190</v>
      </c>
      <c r="CF736" s="313">
        <f>SUM(CB736:CE736)</f>
      </c>
      <c r="CG736" s="352">
        <v>266</v>
      </c>
      <c r="CH736" s="352">
        <v>302</v>
      </c>
      <c r="CI736" s="352">
        <v>322</v>
      </c>
      <c r="CJ736" s="352">
        <v>348</v>
      </c>
      <c r="CK736" s="313">
        <f>SUM(CG736:CJ736)</f>
      </c>
      <c r="CL736" s="352">
        <v>297</v>
      </c>
      <c r="CM736" s="352">
        <v>348</v>
      </c>
      <c r="CN736" s="352">
        <v>294</v>
      </c>
      <c r="CO736" s="352">
        <v>334</v>
      </c>
      <c r="CP736" s="313">
        <f>SUM(CL736:CO736)</f>
      </c>
      <c r="CQ736" s="352">
        <v>247</v>
      </c>
      <c r="CR736" s="352">
        <v>256</v>
      </c>
      <c r="CS736" s="352">
        <v>220</v>
      </c>
      <c r="CT736" s="352">
        <v>221</v>
      </c>
      <c r="CU736" s="313">
        <f>SUM(CQ736:CT736)</f>
      </c>
      <c r="CV736" s="352">
        <v>204</v>
      </c>
      <c r="CW736" s="352">
        <v>169</v>
      </c>
      <c r="CX736" s="352">
        <v>150</v>
      </c>
      <c r="CY736" s="352">
        <v>188</v>
      </c>
      <c r="CZ736" s="313">
        <f>SUM(CV736:CY736)</f>
      </c>
      <c r="DA736" s="352">
        <v>154</v>
      </c>
      <c r="DB736" s="352">
        <v>132</v>
      </c>
      <c r="DC736" s="352">
        <v>125</v>
      </c>
      <c r="DD736" s="1205">
        <v>125</v>
      </c>
      <c r="DE736" s="1835">
        <f>SUM(DA736:DD736)</f>
      </c>
      <c r="DF736" s="710">
        <v>117</v>
      </c>
      <c r="DG736" s="710">
        <v>132</v>
      </c>
      <c r="DH736" s="710">
        <v>156</v>
      </c>
      <c r="DI736" s="1839">
        <v>159</v>
      </c>
      <c r="DJ736" s="1835">
        <f>SUM(DF736:DI736)</f>
      </c>
      <c r="DK736" s="710">
        <v>87</v>
      </c>
      <c r="DL736" s="1544">
        <v>96</v>
      </c>
      <c r="DM736" s="710">
        <v>66</v>
      </c>
      <c r="DN736" s="1839">
        <v>59</v>
      </c>
      <c r="DO736" s="1835">
        <f>SUM(DK736:DN736)</f>
      </c>
      <c r="DP736" s="710">
        <v>60</v>
      </c>
      <c r="DQ736" s="1544">
        <v>55</v>
      </c>
      <c r="DR736" s="1544">
        <v>49</v>
      </c>
      <c r="DS736" s="1552">
        <v>29</v>
      </c>
      <c r="DT736" s="1835">
        <f>SUM(DP736:DS736)</f>
      </c>
      <c r="DU736" s="1840">
        <f t="shared" ref="DU736:DW737" si="1787">+(1+DU741)*DP736</f>
      </c>
      <c r="DV736" s="1840">
        <f t="shared" si="1787"/>
      </c>
      <c r="DW736" s="1840">
        <f t="shared" si="1787"/>
      </c>
      <c r="DX736" s="1553">
        <f>+DY736-SUM(DU736:DW736)</f>
      </c>
      <c r="DY736" s="1835">
        <f>+DT736*(1+DY741)</f>
      </c>
      <c r="DZ736" s="1840">
        <f t="shared" ref="DZ736:EB737" si="1788">+(1+DZ741)*DU736</f>
      </c>
      <c r="EA736" s="1840">
        <f t="shared" si="1788"/>
      </c>
      <c r="EB736" s="1840">
        <f t="shared" si="1788"/>
      </c>
      <c r="EC736" s="1553">
        <f>+ED736-SUM(DZ736:EB736)</f>
      </c>
      <c r="ED736" s="1835">
        <f>+DY736*(1+ED741)</f>
      </c>
      <c r="EE736" s="1840">
        <f t="shared" ref="EE736:EG737" si="1789">+(1+EE741)*DZ736</f>
      </c>
      <c r="EF736" s="1840">
        <f t="shared" si="1789"/>
      </c>
      <c r="EG736" s="1840">
        <f t="shared" si="1789"/>
      </c>
      <c r="EH736" s="1553">
        <f>+EI736-SUM(EE736:EG736)</f>
      </c>
      <c r="EI736" s="1835">
        <f>+ED736*(1+EI741)</f>
      </c>
      <c r="EJ736" s="1835">
        <f>+EI736*(1+EJ741)</f>
      </c>
      <c r="EK736" s="1835">
        <f t="shared" ref="EK736:EM737" si="1790">+EJ736*(1+EK741)</f>
      </c>
      <c r="EL736" s="1556">
        <f t="shared" si="1790"/>
      </c>
      <c r="EM736" s="1556">
        <f t="shared" si="1790"/>
      </c>
      <c r="EN736" s="1556"/>
      <c r="EO736" s="1556"/>
      <c r="EP736" s="1556"/>
      <c r="EQ736" s="1556"/>
      <c r="ER736" s="1556"/>
      <c r="ES736" s="1556"/>
      <c r="ET736" s="1556"/>
      <c r="EU736" s="1556"/>
      <c r="EV736" s="1556"/>
      <c r="EW736" s="1556"/>
      <c r="EX736" s="1556"/>
    </row>
    <row r="737" spans="1:154" ht="12.75" customHeight="1" outlineLevel="1">
      <c r="A737" s="3275" t="str">
        <f>+A738&amp;" - OUS"</f>
      </c>
      <c r="B737" s="438" t="s">
        <v>412</v>
      </c>
      <c r="C737" s="2015">
        <v>45474</v>
      </c>
      <c r="D737" s="31"/>
      <c r="E737" s="33"/>
      <c r="F737" s="33"/>
      <c r="G737" s="33"/>
      <c r="H737" s="33"/>
      <c r="I737" s="31"/>
      <c r="J737" s="33"/>
      <c r="K737" s="33"/>
      <c r="L737" s="33"/>
      <c r="M737" s="33"/>
      <c r="N737" s="31"/>
      <c r="O737" s="33"/>
      <c r="P737" s="33"/>
      <c r="Q737" s="33"/>
      <c r="R737" s="33"/>
      <c r="S737" s="31"/>
      <c r="T737" s="33"/>
      <c r="U737" s="33"/>
      <c r="V737" s="33"/>
      <c r="W737" s="33"/>
      <c r="X737" s="313"/>
      <c r="Y737" s="33"/>
      <c r="Z737" s="33"/>
      <c r="AA737" s="33"/>
      <c r="AB737" s="33"/>
      <c r="AC737" s="313"/>
      <c r="AD737" s="33"/>
      <c r="AE737" s="33"/>
      <c r="AF737" s="33"/>
      <c r="AG737" s="33"/>
      <c r="AH737" s="313"/>
      <c r="AI737" s="33"/>
      <c r="AJ737" s="33"/>
      <c r="AK737" s="33"/>
      <c r="AL737" s="33"/>
      <c r="AM737" s="313"/>
      <c r="AN737" s="33"/>
      <c r="AO737" s="33"/>
      <c r="AP737" s="33"/>
      <c r="AQ737" s="33"/>
      <c r="AR737" s="313"/>
      <c r="AS737" s="33"/>
      <c r="AT737" s="33"/>
      <c r="AU737" s="33"/>
      <c r="AV737" s="33"/>
      <c r="AW737" s="313"/>
      <c r="AX737" s="33"/>
      <c r="AY737" s="33"/>
      <c r="AZ737" s="33"/>
      <c r="BA737" s="33"/>
      <c r="BB737" s="313"/>
      <c r="BC737" s="33"/>
      <c r="BD737" s="33"/>
      <c r="BE737" s="33"/>
      <c r="BF737" s="33"/>
      <c r="BG737" s="313"/>
      <c r="BH737" s="33"/>
      <c r="BI737" s="33"/>
      <c r="BJ737" s="33"/>
      <c r="BK737" s="33"/>
      <c r="BL737" s="313"/>
      <c r="BM737" s="33"/>
      <c r="BN737" s="352"/>
      <c r="BO737" s="352"/>
      <c r="BP737" s="352"/>
      <c r="BQ737" s="313"/>
      <c r="BR737" s="352"/>
      <c r="BS737" s="352"/>
      <c r="BT737" s="352"/>
      <c r="BU737" s="352"/>
      <c r="BV737" s="313"/>
      <c r="BW737" s="352"/>
      <c r="BX737" s="768">
        <v>5</v>
      </c>
      <c r="BY737" s="768">
        <v>15</v>
      </c>
      <c r="BZ737" s="881">
        <v>20</v>
      </c>
      <c r="CA737" s="676">
        <v>40</v>
      </c>
      <c r="CB737" s="932">
        <v>1</v>
      </c>
      <c r="CC737" s="883">
        <v>7</v>
      </c>
      <c r="CD737" s="883">
        <v>8</v>
      </c>
      <c r="CE737" s="932">
        <v>10</v>
      </c>
      <c r="CF737" s="313">
        <f>SUM(CB737:CE737)</f>
      </c>
      <c r="CG737" s="352">
        <v>12</v>
      </c>
      <c r="CH737" s="352">
        <v>16</v>
      </c>
      <c r="CI737" s="352">
        <v>18</v>
      </c>
      <c r="CJ737" s="352">
        <v>24</v>
      </c>
      <c r="CK737" s="313">
        <f>SUM(CG737:CJ737)</f>
      </c>
      <c r="CL737" s="352">
        <v>28</v>
      </c>
      <c r="CM737" s="352">
        <v>35</v>
      </c>
      <c r="CN737" s="352">
        <v>34</v>
      </c>
      <c r="CO737" s="352">
        <v>37</v>
      </c>
      <c r="CP737" s="313">
        <f>SUM(CL737:CO737)</f>
      </c>
      <c r="CQ737" s="352">
        <v>37</v>
      </c>
      <c r="CR737" s="352">
        <v>39</v>
      </c>
      <c r="CS737" s="352">
        <v>45</v>
      </c>
      <c r="CT737" s="352">
        <v>46</v>
      </c>
      <c r="CU737" s="313">
        <f>SUM(CQ737:CT737)</f>
      </c>
      <c r="CV737" s="352">
        <v>44</v>
      </c>
      <c r="CW737" s="352">
        <v>46</v>
      </c>
      <c r="CX737" s="352">
        <v>40</v>
      </c>
      <c r="CY737" s="352">
        <v>40</v>
      </c>
      <c r="CZ737" s="313">
        <f>SUM(CV737:CY737)</f>
      </c>
      <c r="DA737" s="352">
        <v>49</v>
      </c>
      <c r="DB737" s="352">
        <v>43</v>
      </c>
      <c r="DC737" s="352">
        <v>55</v>
      </c>
      <c r="DD737" s="1205">
        <v>52</v>
      </c>
      <c r="DE737" s="1835">
        <f>SUM(DA737:DD737)</f>
      </c>
      <c r="DF737" s="710">
        <v>58</v>
      </c>
      <c r="DG737" s="710">
        <v>47</v>
      </c>
      <c r="DH737" s="710">
        <v>68</v>
      </c>
      <c r="DI737" s="1839">
        <v>58</v>
      </c>
      <c r="DJ737" s="1835">
        <f>SUM(DF737:DI737)</f>
      </c>
      <c r="DK737" s="710">
        <v>63</v>
      </c>
      <c r="DL737" s="1544">
        <v>64</v>
      </c>
      <c r="DM737" s="710">
        <v>67</v>
      </c>
      <c r="DN737" s="1839">
        <v>60</v>
      </c>
      <c r="DO737" s="1835">
        <f>SUM(DK737:DN737)</f>
      </c>
      <c r="DP737" s="710">
        <v>68</v>
      </c>
      <c r="DQ737" s="1544">
        <v>65</v>
      </c>
      <c r="DR737" s="1544">
        <v>60</v>
      </c>
      <c r="DS737" s="1552">
        <v>62</v>
      </c>
      <c r="DT737" s="1835">
        <f>SUM(DP737:DS737)</f>
      </c>
      <c r="DU737" s="1840">
        <f t="shared" si="1787"/>
      </c>
      <c r="DV737" s="1840">
        <f t="shared" si="1787"/>
      </c>
      <c r="DW737" s="1840">
        <f t="shared" si="1787"/>
      </c>
      <c r="DX737" s="1553">
        <f>+DY737-SUM(DU737:DW737)</f>
      </c>
      <c r="DY737" s="1835">
        <f>+DT737*(1+DY742)</f>
      </c>
      <c r="DZ737" s="1840">
        <f t="shared" si="1788"/>
      </c>
      <c r="EA737" s="1840">
        <f t="shared" si="1788"/>
      </c>
      <c r="EB737" s="1840">
        <f t="shared" si="1788"/>
      </c>
      <c r="EC737" s="1553">
        <f>+ED737-SUM(DZ737:EB737)</f>
      </c>
      <c r="ED737" s="1835">
        <f>+DY737*(1+ED742)</f>
      </c>
      <c r="EE737" s="1840">
        <f t="shared" si="1789"/>
      </c>
      <c r="EF737" s="1840">
        <f t="shared" si="1789"/>
      </c>
      <c r="EG737" s="1840">
        <f t="shared" si="1789"/>
      </c>
      <c r="EH737" s="1553">
        <f>+EI737-SUM(EE737:EG737)</f>
      </c>
      <c r="EI737" s="1835">
        <f>+ED737*(1+EI742)</f>
      </c>
      <c r="EJ737" s="1835">
        <f>+EI737*(1+EJ742)</f>
      </c>
      <c r="EK737" s="1835">
        <f t="shared" si="1790"/>
      </c>
      <c r="EL737" s="1556">
        <f t="shared" si="1790"/>
      </c>
      <c r="EM737" s="1556">
        <f t="shared" si="1790"/>
      </c>
      <c r="EN737" s="1556"/>
      <c r="EO737" s="1556"/>
      <c r="EP737" s="1556"/>
      <c r="EQ737" s="1556"/>
      <c r="ER737" s="1556"/>
      <c r="ES737" s="1556"/>
      <c r="ET737" s="1556"/>
      <c r="EU737" s="1556"/>
      <c r="EV737" s="1556"/>
      <c r="EW737" s="1556"/>
      <c r="EX737" s="1556"/>
    </row>
    <row r="738" spans="1:154" ht="12.75" customHeight="1" outlineLevel="1">
      <c r="A738" s="3275" t="s">
        <v>615</v>
      </c>
      <c r="B738" s="438" t="s">
        <v>413</v>
      </c>
      <c r="C738" s="2014"/>
      <c r="D738" s="28"/>
      <c r="E738" s="28"/>
      <c r="F738" s="28"/>
      <c r="G738" s="28"/>
      <c r="H738" s="28"/>
      <c r="I738" s="31"/>
      <c r="J738" s="28"/>
      <c r="K738" s="28"/>
      <c r="L738" s="28"/>
      <c r="M738" s="28"/>
      <c r="N738" s="31"/>
      <c r="O738" s="31"/>
      <c r="P738" s="31"/>
      <c r="Q738" s="31"/>
      <c r="R738" s="31"/>
      <c r="S738" s="31"/>
      <c r="T738" s="31"/>
      <c r="U738" s="31"/>
      <c r="V738" s="31"/>
      <c r="W738" s="31"/>
      <c r="X738" s="313"/>
      <c r="Y738" s="31"/>
      <c r="Z738" s="31"/>
      <c r="AA738" s="31"/>
      <c r="AB738" s="31"/>
      <c r="AC738" s="313"/>
      <c r="AD738" s="31"/>
      <c r="AE738" s="31"/>
      <c r="AF738" s="31"/>
      <c r="AG738" s="31"/>
      <c r="AH738" s="313"/>
      <c r="AI738" s="28"/>
      <c r="AJ738" s="28"/>
      <c r="AK738" s="28"/>
      <c r="AL738" s="31"/>
      <c r="AM738" s="313"/>
      <c r="AN738" s="28"/>
      <c r="AO738" s="28"/>
      <c r="AP738" s="28"/>
      <c r="AQ738" s="31"/>
      <c r="AR738" s="313"/>
      <c r="AS738" s="28"/>
      <c r="AT738" s="28"/>
      <c r="AU738" s="28"/>
      <c r="AV738" s="31"/>
      <c r="AW738" s="313"/>
      <c r="AX738" s="28"/>
      <c r="AY738" s="28"/>
      <c r="AZ738" s="28"/>
      <c r="BA738" s="28"/>
      <c r="BB738" s="313"/>
      <c r="BC738" s="28"/>
      <c r="BD738" s="28"/>
      <c r="BE738" s="28"/>
      <c r="BF738" s="28"/>
      <c r="BG738" s="313"/>
      <c r="BH738" s="28"/>
      <c r="BI738" s="28"/>
      <c r="BJ738" s="28"/>
      <c r="BK738" s="28"/>
      <c r="BL738" s="313"/>
      <c r="BM738" s="28"/>
      <c r="BN738" s="28"/>
      <c r="BO738" s="28"/>
      <c r="BP738" s="28"/>
      <c r="BQ738" s="313"/>
      <c r="BR738" s="28"/>
      <c r="BS738" s="28"/>
      <c r="BT738" s="28"/>
      <c r="BU738" s="28"/>
      <c r="BV738" s="313"/>
      <c r="BW738" s="28"/>
      <c r="BX738" s="10">
        <f t="shared" ref="BX738:CC738" si="1791">SUM(BX736:BX737)</f>
      </c>
      <c r="BY738" s="10">
        <f t="shared" si="1791"/>
      </c>
      <c r="BZ738" s="10">
        <f t="shared" si="1791"/>
      </c>
      <c r="CA738" s="324">
        <f t="shared" si="1791"/>
      </c>
      <c r="CB738" s="28">
        <f>SUM(CB736:CB737)</f>
      </c>
      <c r="CC738" s="28">
        <f t="shared" si="1791"/>
      </c>
      <c r="CD738" s="28">
        <f>SUM(CD736:CD737)</f>
      </c>
      <c r="CE738" s="28">
        <f>SUM(CE736:CE737)</f>
      </c>
      <c r="CF738" s="313">
        <f>SUM(CB738:CE738)</f>
      </c>
      <c r="CG738" s="28">
        <f>+CG736+CG737</f>
      </c>
      <c r="CH738" s="28">
        <f>+CH736+CH737</f>
      </c>
      <c r="CI738" s="28">
        <f>+CI736+CI737</f>
      </c>
      <c r="CJ738" s="28">
        <f>+CJ736+CJ737</f>
      </c>
      <c r="CK738" s="313">
        <f>SUM(CG738:CJ738)</f>
      </c>
      <c r="CL738" s="28">
        <f>+CL736+CL737</f>
      </c>
      <c r="CM738" s="28">
        <f>+CM736+CM737</f>
      </c>
      <c r="CN738" s="28">
        <f>+CN736+CN737</f>
      </c>
      <c r="CO738" s="28">
        <f>+CO736+CO737</f>
      </c>
      <c r="CP738" s="313">
        <f>SUM(CL738:CO738)</f>
      </c>
      <c r="CQ738" s="933">
        <f>+CQ736+CQ737</f>
      </c>
      <c r="CR738" s="933">
        <f>+CR736+CR737</f>
      </c>
      <c r="CS738" s="933">
        <f>+CS736+CS737</f>
      </c>
      <c r="CT738" s="933">
        <f>+CT736+CT737</f>
      </c>
      <c r="CU738" s="313">
        <f>SUM(CQ738:CT738)</f>
      </c>
      <c r="CV738" s="933">
        <f>+CV736+CV737</f>
      </c>
      <c r="CW738" s="933">
        <f>+CW736+CW737</f>
      </c>
      <c r="CX738" s="933">
        <f>+CX736+CX737</f>
      </c>
      <c r="CY738" s="933">
        <f>+CY736+CY737</f>
      </c>
      <c r="CZ738" s="313">
        <f>SUM(CV738:CY738)</f>
      </c>
      <c r="DA738" s="933">
        <f>SUM(DA736:DA737)</f>
      </c>
      <c r="DB738" s="933">
        <f>SUM(DB736:DB737)</f>
      </c>
      <c r="DC738" s="31">
        <f>SUM(DC736:DC737)</f>
      </c>
      <c r="DD738" s="984">
        <f>+DD736+DD737</f>
      </c>
      <c r="DE738" s="1835">
        <f>SUM(DA738:DD738)</f>
      </c>
      <c r="DF738" s="1542">
        <f>SUM(DF736:DF737)</f>
      </c>
      <c r="DG738" s="1542">
        <f>SUM(DG736:DG737)</f>
      </c>
      <c r="DH738" s="1542">
        <f>SUM(DH736:DH737)</f>
      </c>
      <c r="DI738" s="1556">
        <f>+DI736+DI737</f>
      </c>
      <c r="DJ738" s="1835">
        <f>SUM(DF738:DI738)</f>
      </c>
      <c r="DK738" s="1542">
        <f>SUM(DK736:DK737)</f>
      </c>
      <c r="DL738" s="1542">
        <f>SUM(DL736:DL737)</f>
      </c>
      <c r="DM738" s="1542">
        <f>SUM(DM736:DM737)</f>
      </c>
      <c r="DN738" s="1556">
        <f>+DN736+DN737</f>
      </c>
      <c r="DO738" s="573">
        <f>SUM(DO736:DO737)</f>
      </c>
      <c r="DP738" s="1542">
        <f>SUM(DP736:DP737)</f>
      </c>
      <c r="DQ738" s="1542">
        <f>SUM(DQ736:DQ737)</f>
      </c>
      <c r="DR738" s="1542">
        <f>SUM(DR736:DR737)</f>
      </c>
      <c r="DS738" s="1556">
        <f>+DS736+DS737</f>
      </c>
      <c r="DT738" s="573">
        <f t="shared" ref="DT738:EM738" si="1792">SUM(DT736:DT737)</f>
      </c>
      <c r="DU738" s="1840">
        <f>SUM(DU736:DU737)</f>
      </c>
      <c r="DV738" s="1542">
        <f>SUM(DV736:DV737)</f>
      </c>
      <c r="DW738" s="1542">
        <f>SUM(DW736:DW737)</f>
      </c>
      <c r="DX738" s="1556">
        <f>+DX736+DX737</f>
      </c>
      <c r="DY738" s="573">
        <f t="shared" si="1792"/>
      </c>
      <c r="DZ738" s="1542">
        <f>SUM(DZ736:DZ737)</f>
      </c>
      <c r="EA738" s="1542">
        <f>SUM(EA736:EA737)</f>
      </c>
      <c r="EB738" s="1542">
        <f>SUM(EB736:EB737)</f>
      </c>
      <c r="EC738" s="1556">
        <f>+EC736+EC737</f>
      </c>
      <c r="ED738" s="2060">
        <f t="shared" ref="ED738" si="1793">SUM(ED736:ED737)</f>
      </c>
      <c r="EE738" s="1542">
        <f>SUM(EE736:EE737)</f>
      </c>
      <c r="EF738" s="1542">
        <f>SUM(EF736:EF737)</f>
      </c>
      <c r="EG738" s="1542">
        <f>SUM(EG736:EG737)</f>
      </c>
      <c r="EH738" s="1556">
        <f>+EH736+EH737</f>
      </c>
      <c r="EI738" s="573">
        <f t="shared" si="1792"/>
      </c>
      <c r="EJ738" s="573">
        <f t="shared" si="1792"/>
      </c>
      <c r="EK738" s="573">
        <f t="shared" si="1792"/>
      </c>
      <c r="EL738" s="1841">
        <f t="shared" si="1792"/>
      </c>
      <c r="EM738" s="1841">
        <f t="shared" si="1792"/>
      </c>
      <c r="EN738" s="1788"/>
      <c r="EO738" s="1788"/>
      <c r="EP738" s="1788"/>
      <c r="EQ738" s="1788"/>
      <c r="ER738" s="1788"/>
      <c r="ES738" s="1788"/>
      <c r="ET738" s="1788"/>
      <c r="EU738" s="1788"/>
      <c r="EV738" s="1788"/>
      <c r="EW738" s="1788"/>
      <c r="EX738" s="1788"/>
    </row>
    <row r="739" spans="1:154" ht="12.75" customHeight="1" outlineLevel="1">
      <c r="B739" s="438"/>
      <c r="C739" s="2014"/>
      <c r="D739" s="28"/>
      <c r="E739" s="28"/>
      <c r="F739" s="28"/>
      <c r="G739" s="28"/>
      <c r="H739" s="28"/>
      <c r="I739" s="31"/>
      <c r="J739" s="28"/>
      <c r="K739" s="28"/>
      <c r="L739" s="28"/>
      <c r="M739" s="28"/>
      <c r="N739" s="31"/>
      <c r="O739" s="31"/>
      <c r="P739" s="31"/>
      <c r="Q739" s="31"/>
      <c r="R739" s="31"/>
      <c r="S739" s="31"/>
      <c r="T739" s="31"/>
      <c r="U739" s="31"/>
      <c r="V739" s="31"/>
      <c r="W739" s="31"/>
      <c r="X739" s="313"/>
      <c r="Y739" s="31"/>
      <c r="Z739" s="31"/>
      <c r="AA739" s="31"/>
      <c r="AB739" s="31"/>
      <c r="AC739" s="313"/>
      <c r="AD739" s="31"/>
      <c r="AE739" s="31"/>
      <c r="AF739" s="31"/>
      <c r="AG739" s="31"/>
      <c r="AH739" s="313"/>
      <c r="AI739" s="28"/>
      <c r="AJ739" s="28"/>
      <c r="AK739" s="28"/>
      <c r="AL739" s="31"/>
      <c r="AM739" s="313"/>
      <c r="AN739" s="28"/>
      <c r="AO739" s="28"/>
      <c r="AP739" s="28"/>
      <c r="AQ739" s="31"/>
      <c r="AR739" s="313"/>
      <c r="AS739" s="28"/>
      <c r="AT739" s="28"/>
      <c r="AU739" s="28"/>
      <c r="AV739" s="31"/>
      <c r="AW739" s="313"/>
      <c r="AX739" s="28"/>
      <c r="AY739" s="28"/>
      <c r="AZ739" s="28"/>
      <c r="BA739" s="28"/>
      <c r="BB739" s="313"/>
      <c r="BC739" s="28"/>
      <c r="BD739" s="28"/>
      <c r="BE739" s="28"/>
      <c r="BF739" s="28"/>
      <c r="BG739" s="313"/>
      <c r="BH739" s="28"/>
      <c r="BI739" s="28"/>
      <c r="BJ739" s="28"/>
      <c r="BK739" s="28"/>
      <c r="BL739" s="313"/>
      <c r="BM739" s="28"/>
      <c r="BN739" s="28"/>
      <c r="BO739" s="28"/>
      <c r="BP739" s="28"/>
      <c r="BQ739" s="313"/>
      <c r="BR739" s="28"/>
      <c r="BS739" s="28"/>
      <c r="BT739" s="28"/>
      <c r="BU739" s="28"/>
      <c r="BV739" s="313"/>
      <c r="BW739" s="28"/>
      <c r="BX739" s="28"/>
      <c r="BY739" s="28"/>
      <c r="BZ739" s="28"/>
      <c r="CA739" s="313"/>
      <c r="CD739" s="28"/>
      <c r="CF739" s="313"/>
      <c r="CG739" s="28"/>
      <c r="CH739" s="28"/>
      <c r="CI739" s="28"/>
      <c r="CJ739" s="28"/>
      <c r="CK739" s="313"/>
      <c r="CL739" s="961"/>
      <c r="CM739" s="28"/>
      <c r="CN739" s="933"/>
      <c r="CO739" s="28"/>
      <c r="CP739" s="313"/>
      <c r="CQ739" s="933"/>
      <c r="CR739" s="933"/>
      <c r="CS739" s="933"/>
      <c r="CT739" s="933"/>
      <c r="CU739" s="313"/>
      <c r="CV739" s="933"/>
      <c r="CW739" s="933"/>
      <c r="CX739" s="933"/>
      <c r="CY739" s="933"/>
      <c r="CZ739" s="313"/>
      <c r="DA739" s="933"/>
      <c r="DB739" s="31"/>
      <c r="DC739" s="31"/>
      <c r="DD739" s="955"/>
      <c r="DE739" s="477"/>
      <c r="DF739" s="982"/>
      <c r="DG739" s="603"/>
      <c r="DH739" s="603"/>
      <c r="DI739" s="1798"/>
      <c r="DJ739" s="1799"/>
      <c r="DK739" s="1799"/>
      <c r="DL739" s="603"/>
      <c r="DM739" s="603"/>
      <c r="DN739" s="1798"/>
      <c r="DO739" s="477"/>
      <c r="DP739" s="603"/>
      <c r="DQ739" s="603"/>
      <c r="DR739" s="603"/>
      <c r="DS739" s="1798"/>
      <c r="DT739" s="477"/>
      <c r="DU739" s="603"/>
      <c r="DV739" s="603"/>
      <c r="DW739" s="603"/>
      <c r="DX739" s="1798"/>
      <c r="DY739" s="477"/>
      <c r="DZ739" s="603"/>
      <c r="EA739" s="603"/>
      <c r="EB739" s="603"/>
      <c r="EC739" s="1798"/>
      <c r="ED739" s="477"/>
      <c r="EE739" s="603"/>
      <c r="EF739" s="603"/>
      <c r="EG739" s="603"/>
      <c r="EH739" s="1798"/>
      <c r="EI739" s="477"/>
      <c r="EJ739" s="477"/>
      <c r="EK739" s="477"/>
      <c r="EL739" s="1798"/>
      <c r="EM739" s="1798"/>
      <c r="EN739" s="1798"/>
      <c r="EO739" s="1798"/>
      <c r="EP739" s="1798"/>
      <c r="EQ739" s="1798"/>
      <c r="ER739" s="1798"/>
      <c r="ES739" s="1798"/>
      <c r="ET739" s="1798"/>
      <c r="EU739" s="1798"/>
      <c r="EV739" s="1798"/>
      <c r="EW739" s="1798"/>
      <c r="EX739" s="1798"/>
    </row>
    <row r="740" spans="1:154" ht="12.75" customHeight="1" outlineLevel="1">
      <c r="B740" s="455" t="s">
        <v>564</v>
      </c>
      <c r="C740" s="2014"/>
      <c r="D740" s="28"/>
      <c r="E740" s="28"/>
      <c r="F740" s="28"/>
      <c r="G740" s="28"/>
      <c r="H740" s="28"/>
      <c r="I740" s="31"/>
      <c r="J740" s="28"/>
      <c r="K740" s="28"/>
      <c r="L740" s="28"/>
      <c r="M740" s="28"/>
      <c r="N740" s="31"/>
      <c r="O740" s="31"/>
      <c r="P740" s="31"/>
      <c r="Q740" s="31"/>
      <c r="R740" s="31"/>
      <c r="S740" s="31"/>
      <c r="T740" s="31"/>
      <c r="U740" s="31"/>
      <c r="V740" s="31"/>
      <c r="W740" s="31"/>
      <c r="X740" s="313"/>
      <c r="Y740" s="31"/>
      <c r="Z740" s="31"/>
      <c r="AA740" s="31"/>
      <c r="AB740" s="31"/>
      <c r="AC740" s="313"/>
      <c r="AD740" s="31"/>
      <c r="AE740" s="31"/>
      <c r="AF740" s="31"/>
      <c r="AG740" s="31"/>
      <c r="AH740" s="313"/>
      <c r="AI740" s="28"/>
      <c r="AJ740" s="28"/>
      <c r="AK740" s="28"/>
      <c r="AL740" s="31"/>
      <c r="AM740" s="313"/>
      <c r="AN740" s="28"/>
      <c r="AO740" s="28"/>
      <c r="AP740" s="28"/>
      <c r="AQ740" s="31"/>
      <c r="AR740" s="313"/>
      <c r="AS740" s="28"/>
      <c r="AT740" s="28"/>
      <c r="AU740" s="28"/>
      <c r="AV740" s="28"/>
      <c r="AW740" s="313"/>
      <c r="AX740" s="28"/>
      <c r="AY740" s="28"/>
      <c r="AZ740" s="28"/>
      <c r="BA740" s="28"/>
      <c r="BB740" s="313"/>
      <c r="BC740" s="28"/>
      <c r="BD740" s="28"/>
      <c r="BE740" s="28"/>
      <c r="BF740" s="28"/>
      <c r="BG740" s="313"/>
      <c r="BH740" s="28"/>
      <c r="BI740" s="28"/>
      <c r="BJ740" s="28"/>
      <c r="BK740" s="28"/>
      <c r="BL740" s="313"/>
      <c r="BM740" s="28"/>
      <c r="BN740" s="28"/>
      <c r="BO740" s="28"/>
      <c r="BP740" s="28"/>
      <c r="BQ740" s="313"/>
      <c r="BR740" s="28"/>
      <c r="BS740" s="28"/>
      <c r="BT740" s="28"/>
      <c r="BU740" s="28"/>
      <c r="BV740" s="313"/>
      <c r="BW740" s="28"/>
      <c r="BX740" s="28"/>
      <c r="BY740" s="28"/>
      <c r="BZ740" s="28"/>
      <c r="CA740" s="313"/>
      <c r="CB740" s="28"/>
      <c r="CC740" s="28"/>
      <c r="CD740" s="28"/>
      <c r="CE740" s="28"/>
      <c r="CF740" s="313"/>
      <c r="CG740" s="28"/>
      <c r="CH740" s="28"/>
      <c r="CI740" s="28"/>
      <c r="CJ740" s="28"/>
      <c r="CK740" s="313"/>
      <c r="CL740" s="961"/>
      <c r="CM740" s="933"/>
      <c r="CN740" s="933"/>
      <c r="CO740" s="28"/>
      <c r="CP740" s="313"/>
      <c r="CQ740" s="933"/>
      <c r="CR740" s="933"/>
      <c r="CS740" s="933"/>
      <c r="CT740" s="933"/>
      <c r="CU740" s="313"/>
      <c r="CV740" s="933"/>
      <c r="CW740" s="933"/>
      <c r="CX740" s="933"/>
      <c r="CY740" s="933"/>
      <c r="CZ740" s="313"/>
      <c r="DA740" s="933"/>
      <c r="DB740" s="31"/>
      <c r="DC740" s="31"/>
      <c r="DD740" s="955"/>
      <c r="DE740" s="477"/>
      <c r="DF740" s="982"/>
      <c r="DG740" s="603"/>
      <c r="DH740" s="603"/>
      <c r="DI740" s="1798"/>
      <c r="DJ740" s="1799"/>
      <c r="DK740" s="1799"/>
      <c r="DL740" s="603"/>
      <c r="DM740" s="603"/>
      <c r="DN740" s="1798"/>
      <c r="DO740" s="477"/>
      <c r="DP740" s="603"/>
      <c r="DQ740" s="603"/>
      <c r="DR740" s="603"/>
      <c r="DS740" s="1798"/>
      <c r="DT740" s="477"/>
      <c r="DU740" s="603"/>
      <c r="DV740" s="603"/>
      <c r="DW740" s="603"/>
      <c r="DX740" s="1798"/>
      <c r="DY740" s="477"/>
      <c r="DZ740" s="603"/>
      <c r="EA740" s="603"/>
      <c r="EB740" s="603"/>
      <c r="EC740" s="1798"/>
      <c r="ED740" s="477"/>
      <c r="EE740" s="603"/>
      <c r="EF740" s="603"/>
      <c r="EG740" s="603"/>
      <c r="EH740" s="1798"/>
      <c r="EI740" s="477"/>
      <c r="EJ740" s="477"/>
      <c r="EK740" s="477"/>
      <c r="EL740" s="1798"/>
      <c r="EM740" s="1798"/>
      <c r="EN740" s="1798"/>
      <c r="EO740" s="1798"/>
      <c r="EP740" s="1798"/>
      <c r="EQ740" s="1798"/>
      <c r="ER740" s="1798"/>
      <c r="ES740" s="1798"/>
      <c r="ET740" s="1798"/>
      <c r="EU740" s="1798"/>
      <c r="EV740" s="1798"/>
      <c r="EW740" s="1798"/>
      <c r="EX740" s="1798"/>
    </row>
    <row r="741" spans="1:154" ht="12.75" customHeight="1" outlineLevel="1">
      <c r="B741" s="441" t="s">
        <v>187</v>
      </c>
      <c r="C741" s="1989"/>
      <c r="D741" s="28"/>
      <c r="E741" s="28"/>
      <c r="F741" s="28"/>
      <c r="G741" s="28"/>
      <c r="H741" s="28"/>
      <c r="I741" s="31"/>
      <c r="J741" s="28"/>
      <c r="K741" s="28"/>
      <c r="L741" s="28"/>
      <c r="M741" s="28"/>
      <c r="N741" s="31"/>
      <c r="O741" s="31"/>
      <c r="P741" s="31"/>
      <c r="Q741" s="31"/>
      <c r="R741" s="31"/>
      <c r="S741" s="31"/>
      <c r="T741" s="31"/>
      <c r="U741" s="31"/>
      <c r="V741" s="31"/>
      <c r="W741" s="31"/>
      <c r="X741" s="308"/>
      <c r="Y741" s="30"/>
      <c r="Z741" s="30"/>
      <c r="AA741" s="30"/>
      <c r="AB741" s="30"/>
      <c r="AC741" s="308"/>
      <c r="AD741" s="30"/>
      <c r="AE741" s="30"/>
      <c r="AF741" s="30"/>
      <c r="AG741" s="30"/>
      <c r="AH741" s="308"/>
      <c r="AI741" s="30"/>
      <c r="AJ741" s="30"/>
      <c r="AK741" s="30"/>
      <c r="AL741" s="30"/>
      <c r="AM741" s="308"/>
      <c r="AN741" s="30"/>
      <c r="AO741" s="30"/>
      <c r="AP741" s="30"/>
      <c r="AQ741" s="30"/>
      <c r="AR741" s="308"/>
      <c r="AS741" s="30"/>
      <c r="AT741" s="30"/>
      <c r="AU741" s="30"/>
      <c r="AV741" s="30"/>
      <c r="AW741" s="308"/>
      <c r="AX741" s="30"/>
      <c r="AY741" s="30"/>
      <c r="AZ741" s="30"/>
      <c r="BA741" s="30"/>
      <c r="BB741" s="308"/>
      <c r="BC741" s="29"/>
      <c r="BD741" s="30"/>
      <c r="BE741" s="30"/>
      <c r="BF741" s="30"/>
      <c r="BG741" s="308"/>
      <c r="BH741" s="30"/>
      <c r="BI741" s="30"/>
      <c r="BJ741" s="30"/>
      <c r="BK741" s="30"/>
      <c r="BL741" s="308"/>
      <c r="BM741" s="30"/>
      <c r="BN741" s="30"/>
      <c r="BO741" s="30"/>
      <c r="BP741" s="30"/>
      <c r="BQ741" s="308"/>
      <c r="BR741" s="30"/>
      <c r="BS741" s="30"/>
      <c r="BT741" s="30"/>
      <c r="BU741" s="30"/>
      <c r="BV741" s="308"/>
      <c r="BW741" s="30"/>
      <c r="BX741" s="30"/>
      <c r="BY741" s="30"/>
      <c r="BZ741" s="30"/>
      <c r="CA741" s="308"/>
      <c r="CB741" s="29"/>
      <c r="CC741" s="30">
        <f>IF(BX736="NM","NM",IF(CC736="NM","NM",IF(BX736&lt;=0,"NM",IF(CC736=0,"NM",IF(ABS(CC736/BX736-1)&gt;2.5,"NM",IF((ABS(CC736-BX736)=ABS(ABS(CC736)-ABS(BX736))),(CC736/BX736-1),"NM"))))))</f>
      </c>
      <c r="CD741" s="30">
        <f>IF(BY736="NM","NM",IF(CD736="NM","NM",IF(BY736&lt;=0,"NM",IF(CD736=0,"NM",IF(ABS(CD736/BY736-1)&gt;2.5,"NM",IF((ABS(CD736-BY736)=ABS(ABS(CD736)-ABS(BY736))),(CD736/BY736-1),"NM"))))))</f>
      </c>
      <c r="CE741" s="926">
        <f>CE736/BZ736-1</f>
      </c>
      <c r="CF741" s="308">
        <f>IF(CA736=0, 0, CF736/CA736-1)</f>
      </c>
      <c r="CG741" s="30">
        <f t="shared" ref="CG741:CI742" si="1794">IF(CB736="NM","NM",IF(CG736="NM","NM",IF(CB736&lt;=0,"NM",IF(CG736=0,"NM",IF(ABS(CG736/CB736-1)&gt;2.5,"NM",IF((ABS(CG736-CB736)=ABS(ABS(CG736)-ABS(CB736))),(CG736/CB736-1),"NM"))))))</f>
      </c>
      <c r="CH741" s="30">
        <f t="shared" si="1794"/>
      </c>
      <c r="CI741" s="30">
        <f t="shared" si="1794"/>
      </c>
      <c r="CJ741" s="30">
        <f>IF(CE736="NM","NM",IF(CJ736="NM","NM",IF(CE736&lt;=0,"NM",IF(CJ736=0,"NM",IF(ABS(CJ736/CE736-1)&gt;2.5,"NM",IF((ABS(CJ736-CE736)=ABS(ABS(CJ736)-ABS(CE736))),(CJ736/CE736-1),"NM"))))))</f>
      </c>
      <c r="CK741" s="308">
        <f>IF(CF736=0, 0, CK736/CF736-1)</f>
      </c>
      <c r="CL741" s="30">
        <f t="shared" ref="CL741:CN742" si="1795">IF(CG736="NM","NM",IF(CL736="NM","NM",IF(CG736&lt;=0,"NM",IF(CL736=0,"NM",IF(ABS(CL736/CG736-1)&gt;2.5,"NM",IF((ABS(CL736-CG736)=ABS(ABS(CL736)-ABS(CG736))),(CL736/CG736-1),"NM"))))))</f>
      </c>
      <c r="CM741" s="30">
        <f t="shared" si="1795"/>
      </c>
      <c r="CN741" s="30">
        <f t="shared" si="1795"/>
      </c>
      <c r="CO741" s="30">
        <f>IF(CJ736="NM","NM",IF(CO736="NM","NM",IF(CJ736&lt;=0,"NM",IF(CO736=0,"NM",IF(ABS(CO736/CJ736-1)&gt;2.5,"NM",IF((ABS(CO736-CJ736)=ABS(ABS(CO736)-ABS(CJ736))),(CO736/CJ736-1),"NM"))))))</f>
      </c>
      <c r="CP741" s="308">
        <f>IF(CK736=0, 0, CP736/CK736-1)</f>
      </c>
      <c r="CQ741" s="30">
        <f t="shared" ref="CQ741:CX742" si="1796">IF(CL736="NM","NM",IF(CQ736="NM","NM",IF(CL736&lt;=0,"NM",IF(CQ736=0,"NM",IF(ABS(CQ736/CL736-1)&gt;2.5,"NM",IF((ABS(CQ736-CL736)=ABS(ABS(CQ736)-ABS(CL736))),(CQ736/CL736-1),"NM"))))))</f>
      </c>
      <c r="CR741" s="30">
        <f t="shared" si="1796"/>
      </c>
      <c r="CS741" s="30">
        <f t="shared" si="1796"/>
      </c>
      <c r="CT741" s="30">
        <f t="shared" si="1796"/>
      </c>
      <c r="CU741" s="308">
        <f>IF(CP736=0, 0, CU736/CP736-1)</f>
      </c>
      <c r="CV741" s="30">
        <f t="shared" si="1796"/>
      </c>
      <c r="CW741" s="30">
        <f t="shared" si="1796"/>
      </c>
      <c r="CX741" s="30">
        <f t="shared" si="1796"/>
      </c>
      <c r="CY741" s="30">
        <f>IF(CT736="NM","NM",IF(CY736="NM","NM",IF(CT736&lt;=0,"NM",IF(CY736=0,"NM",IF(ABS(CY736/CT736-1)&gt;2.5,"NM",IF((ABS(CY736-CT736)=ABS(ABS(CY736)-ABS(CT736))),(CY736/CT736-1),"NM"))))))</f>
      </c>
      <c r="CZ741" s="308">
        <f>IF(CU736=0, 0, CZ736/CU736-1)</f>
      </c>
      <c r="DA741" s="30">
        <f t="shared" ref="DA741:DD742" si="1797">IF(CV736="NM","NM",IF(DA736="NM","NM",IF(CV736&lt;=0,"NM",IF(DA736=0,"NM",IF(ABS(DA736/CV736-1)&gt;2.5,"NM",IF((ABS(DA736-CV736)=ABS(ABS(DA736)-ABS(CV736))),(DA736/CV736-1),"NM"))))))</f>
      </c>
      <c r="DB741" s="30">
        <f t="shared" si="1797"/>
      </c>
      <c r="DC741" s="30">
        <f t="shared" si="1797"/>
      </c>
      <c r="DD741" s="30">
        <f t="shared" si="1797"/>
      </c>
      <c r="DE741" s="308">
        <f>IF(CZ736=0, 0, DE736/CZ736-1)</f>
      </c>
      <c r="DF741" s="30">
        <v>-0.15</v>
      </c>
      <c r="DG741" s="30">
        <f t="shared" ref="DG741:DI742" si="1798">IF(DB736="NM","NM",IF(DG736="NM","NM",IF(DB736&lt;=0,"NM",IF(DG736=0,"NM",IF(ABS(DG736/DB736-1)&gt;2.5,"NM",IF((ABS(DG736-DB736)=ABS(ABS(DG736)-ABS(DB736))),(DG736/DB736-1),"NM"))))))</f>
      </c>
      <c r="DH741" s="30">
        <f t="shared" si="1798"/>
      </c>
      <c r="DI741" s="30">
        <f t="shared" si="1798"/>
      </c>
      <c r="DJ741" s="308">
        <f>IF(DE736=0, 0, DJ736/DE736-1)</f>
      </c>
      <c r="DK741" s="30">
        <v>-0.15</v>
      </c>
      <c r="DL741" s="30">
        <f>IF(DG736="NM","NM",IF(DL736="NM","NM",IF(DG736&lt;=0,"NM",IF(DL736=0,"NM",IF(ABS(DL736/DG736-1)&gt;2.5,"NM",IF((ABS(DL736-DG736)=ABS(ABS(DL736)-ABS(DG736))),(DL736/DG736-1),"NM"))))))</f>
      </c>
      <c r="DM741" s="30">
        <f>IF(DH736="NM","NM",IF(DM736="NM","NM",IF(DH736&lt;=0,"NM",IF(DM736=0,"NM",IF(ABS(DM736/DH736-1)&gt;2.5,"NM",IF((ABS(DM736-DH736)=ABS(ABS(DM736)-ABS(DH736))),(DM736/DH736-1),"NM"))))))</f>
      </c>
      <c r="DN741" s="928">
        <f>IF(DN736=0,"NM",+DN736/DI736-1)</f>
      </c>
      <c r="DO741" s="308">
        <f>IF(DJ736=0, 0, DO736/DJ736-1)</f>
      </c>
      <c r="DP741" s="30">
        <v>-0.15</v>
      </c>
      <c r="DQ741" s="30">
        <f t="shared" ref="DQ741:DS742" si="1799">IF(DL736="NM","NM",IF(DQ736="NM","NM",IF(DL736&lt;=0,"NM",IF(DQ736=0,"NM",IF(ABS(DQ736/DL736-1)&gt;2.5,"NM",IF((ABS(DQ736-DL736)=ABS(ABS(DQ736)-ABS(DL736))),(DQ736/DL736-1),"NM"))))))</f>
      </c>
      <c r="DR741" s="30">
        <f t="shared" si="1799"/>
      </c>
      <c r="DS741" s="30">
        <f t="shared" si="1799"/>
      </c>
      <c r="DT741" s="308">
        <f>IF(DO736=0, 0, DT736/DO736-1)</f>
      </c>
      <c r="DU741" s="2215">
        <v>-0.3</v>
      </c>
      <c r="DV741" s="2216">
        <f>$DT741</f>
      </c>
      <c r="DW741" s="2216">
        <f>$DT741</f>
      </c>
      <c r="DX741" s="1063">
        <f>IF(DX736=0,"NM",+DX736/DS736-1)</f>
      </c>
      <c r="DY741" s="660">
        <v>-0.3</v>
      </c>
      <c r="DZ741" s="1741">
        <v>-0.1</v>
      </c>
      <c r="EA741" s="1741">
        <v>-0.1</v>
      </c>
      <c r="EB741" s="1741">
        <v>-0.1</v>
      </c>
      <c r="EC741" s="1741">
        <v>-0.1</v>
      </c>
      <c r="ED741" s="660">
        <v>-0.1</v>
      </c>
      <c r="EE741" s="1741">
        <v>-0.1</v>
      </c>
      <c r="EF741" s="1741">
        <v>-0.1</v>
      </c>
      <c r="EG741" s="1741">
        <v>-0.1</v>
      </c>
      <c r="EH741" s="1063">
        <f>IF(EH736=0,"NM",+EH736/EC736-1)</f>
      </c>
      <c r="EI741" s="660">
        <v>-0.1</v>
      </c>
      <c r="EJ741" s="673">
        <v>-0.1</v>
      </c>
      <c r="EK741" s="673">
        <v>-0.25</v>
      </c>
      <c r="EL741" s="660">
        <v>-0.5</v>
      </c>
      <c r="EM741" s="660">
        <v>-1</v>
      </c>
      <c r="EN741" s="660"/>
      <c r="EO741" s="660"/>
      <c r="EP741" s="660"/>
      <c r="EQ741" s="660"/>
      <c r="ER741" s="660"/>
      <c r="ES741" s="660"/>
      <c r="ET741" s="660"/>
      <c r="EU741" s="660"/>
      <c r="EV741" s="660"/>
      <c r="EW741" s="660"/>
      <c r="EX741" s="660"/>
    </row>
    <row r="742" spans="1:154" ht="12.75" customHeight="1" outlineLevel="1">
      <c r="B742" s="441" t="s">
        <v>412</v>
      </c>
      <c r="C742" s="1989"/>
      <c r="D742" s="28"/>
      <c r="E742" s="28"/>
      <c r="F742" s="28"/>
      <c r="G742" s="28"/>
      <c r="H742" s="28"/>
      <c r="I742" s="31"/>
      <c r="J742" s="28"/>
      <c r="K742" s="28"/>
      <c r="L742" s="28"/>
      <c r="M742" s="28"/>
      <c r="N742" s="31"/>
      <c r="O742" s="31"/>
      <c r="P742" s="31"/>
      <c r="Q742" s="31"/>
      <c r="R742" s="31"/>
      <c r="S742" s="31"/>
      <c r="T742" s="31"/>
      <c r="U742" s="31"/>
      <c r="V742" s="31"/>
      <c r="W742" s="31"/>
      <c r="X742" s="308"/>
      <c r="Y742" s="30"/>
      <c r="Z742" s="30"/>
      <c r="AA742" s="30"/>
      <c r="AB742" s="30"/>
      <c r="AC742" s="308"/>
      <c r="AD742" s="30"/>
      <c r="AE742" s="30"/>
      <c r="AF742" s="30"/>
      <c r="AG742" s="30"/>
      <c r="AH742" s="308"/>
      <c r="AI742" s="30"/>
      <c r="AJ742" s="30"/>
      <c r="AK742" s="30"/>
      <c r="AL742" s="30"/>
      <c r="AM742" s="308"/>
      <c r="AN742" s="30"/>
      <c r="AO742" s="30"/>
      <c r="AP742" s="30"/>
      <c r="AQ742" s="30"/>
      <c r="AR742" s="308"/>
      <c r="AS742" s="30"/>
      <c r="AT742" s="30"/>
      <c r="AU742" s="30"/>
      <c r="AV742" s="30"/>
      <c r="AW742" s="308"/>
      <c r="AX742" s="30"/>
      <c r="AY742" s="30"/>
      <c r="AZ742" s="30"/>
      <c r="BA742" s="30"/>
      <c r="BB742" s="308"/>
      <c r="BC742" s="29"/>
      <c r="BD742" s="30"/>
      <c r="BE742" s="30"/>
      <c r="BF742" s="30"/>
      <c r="BG742" s="308"/>
      <c r="BH742" s="30"/>
      <c r="BI742" s="30"/>
      <c r="BJ742" s="30"/>
      <c r="BK742" s="30"/>
      <c r="BL742" s="308"/>
      <c r="BM742" s="30"/>
      <c r="BN742" s="30"/>
      <c r="BO742" s="30"/>
      <c r="BP742" s="30"/>
      <c r="BQ742" s="308"/>
      <c r="BR742" s="30"/>
      <c r="BS742" s="30"/>
      <c r="BT742" s="30"/>
      <c r="BU742" s="30"/>
      <c r="BV742" s="308"/>
      <c r="BW742" s="30"/>
      <c r="BX742" s="30"/>
      <c r="BY742" s="30"/>
      <c r="BZ742" s="30"/>
      <c r="CA742" s="308"/>
      <c r="CB742" s="30"/>
      <c r="CC742" s="30">
        <f>IF(BX737="NM","NM",IF(CC737="NM","NM",IF(BX737&lt;=0,"NM",IF(CC737=0,"NM",IF(ABS(CC737/BX737-1)&gt;2.5,"NM",IF((ABS(CC737-BX737)=ABS(ABS(CC737)-ABS(BX737))),(CC737/BX737-1),"NM"))))))</f>
      </c>
      <c r="CD742" s="30">
        <f>IF(BY737="NM","NM",IF(CD737="NM","NM",IF(BY737&lt;=0,"NM",IF(CD737=0,"NM",IF(ABS(CD737/BY737-1)&gt;2.5,"NM",IF((ABS(CD737-BY737)=ABS(ABS(CD737)-ABS(BY737))),(CD737/BY737-1),"NM"))))))</f>
      </c>
      <c r="CE742" s="926">
        <f>CE743+CE$21</f>
      </c>
      <c r="CF742" s="308">
        <f>IF(CA737=0, "NA", CF737/CA737-1)</f>
      </c>
      <c r="CG742" s="30" t="str">
        <f t="shared" si="1794"/>
      </c>
      <c r="CH742" s="30">
        <f t="shared" si="1794"/>
      </c>
      <c r="CI742" s="30">
        <f t="shared" si="1794"/>
      </c>
      <c r="CJ742" s="30">
        <f>IF(CE737="NM","NM",IF(CJ737="NM","NM",IF(CE737&lt;=0,"NM",IF(CJ737=0,"NM",IF(ABS(CJ737/CE737-1)&gt;2.5,"NM",IF((ABS(CJ737-CE737)=ABS(ABS(CJ737)-ABS(CE737))),(CJ737/CE737-1),"NM"))))))</f>
      </c>
      <c r="CK742" s="308">
        <f>IF(CF737=0, "NA", CK737/CF737-1)</f>
      </c>
      <c r="CL742" s="30">
        <f t="shared" si="1795"/>
      </c>
      <c r="CM742" s="30">
        <f t="shared" si="1795"/>
      </c>
      <c r="CN742" s="30">
        <f t="shared" si="1795"/>
      </c>
      <c r="CO742" s="30">
        <f>IF(CJ737="NM","NM",IF(CO737="NM","NM",IF(CJ737&lt;=0,"NM",IF(CO737=0,"NM",IF(ABS(CO737/CJ737-1)&gt;2.5,"NM",IF((ABS(CO737-CJ737)=ABS(ABS(CO737)-ABS(CJ737))),(CO737/CJ737-1),"NM"))))))</f>
      </c>
      <c r="CP742" s="308">
        <f>IF(CK737=0, "NA", CP737/CK737-1)</f>
      </c>
      <c r="CQ742" s="30">
        <f t="shared" si="1796"/>
      </c>
      <c r="CR742" s="30">
        <f>IF(CM737="NM","NM",IF(CR737="NM","NM",IF(CM737&lt;=0,"NM",IF(CR737=0,"NM",IF(ABS(CR737/CM737-1)&gt;2.5,"NM",IF((ABS(CR737-CM737)=ABS(ABS(CR737)-ABS(CM737))),(CR737/CM737-1),"NM"))))))</f>
      </c>
      <c r="CS742" s="30">
        <f>IF(CN737="NM","NM",IF(CS737="NM","NM",IF(CN737&lt;=0,"NM",IF(CS737=0,"NM",IF(ABS(CS737/CN737-1)&gt;2.5,"NM",IF((ABS(CS737-CN737)=ABS(ABS(CS737)-ABS(CN737))),(CS737/CN737-1),"NM"))))))</f>
      </c>
      <c r="CT742" s="30">
        <f>IF(CO737="NM","NM",IF(CT737="NM","NM",IF(CO737&lt;=0,"NM",IF(CT737=0,"NM",IF(ABS(CT737/CO737-1)&gt;2.5,"NM",IF((ABS(CT737-CO737)=ABS(ABS(CT737)-ABS(CO737))),(CT737/CO737-1),"NM"))))))</f>
      </c>
      <c r="CU742" s="308">
        <f>IF(CP737=0, "NA", CU737/CP737-1)</f>
      </c>
      <c r="CV742" s="30">
        <f t="shared" si="1796"/>
      </c>
      <c r="CW742" s="30">
        <f t="shared" si="1796"/>
      </c>
      <c r="CX742" s="30">
        <f t="shared" si="1796"/>
      </c>
      <c r="CY742" s="30">
        <f>IF(CT737="NM","NM",IF(CY737="NM","NM",IF(CT737&lt;=0,"NM",IF(CY737=0,"NM",IF(ABS(CY737/CT737-1)&gt;2.5,"NM",IF((ABS(CY737-CT737)=ABS(ABS(CY737)-ABS(CT737))),(CY737/CT737-1),"NM"))))))</f>
      </c>
      <c r="CZ742" s="308">
        <f>IF(CU737=0, "NA", CZ737/CU737-1)</f>
      </c>
      <c r="DA742" s="30">
        <f t="shared" si="1797"/>
      </c>
      <c r="DB742" s="1361">
        <f t="shared" si="1797"/>
      </c>
      <c r="DC742" s="1361">
        <f t="shared" si="1797"/>
      </c>
      <c r="DD742" s="1361">
        <f t="shared" si="1797"/>
      </c>
      <c r="DE742" s="1233">
        <f>IF(CZ737=0, "NA", DE737/CZ737-1)</f>
      </c>
      <c r="DF742" s="1219">
        <f>DF743+DF$21</f>
      </c>
      <c r="DG742" s="1361">
        <f t="shared" si="1798"/>
      </c>
      <c r="DH742" s="1361">
        <f t="shared" si="1798"/>
      </c>
      <c r="DI742" s="1361">
        <f t="shared" si="1798"/>
      </c>
      <c r="DJ742" s="1233">
        <f>IF(DE737=0, "NA", DJ737/DE737-1)</f>
      </c>
      <c r="DK742" s="1219">
        <f>DK743+DK$21</f>
      </c>
      <c r="DL742" s="1361">
        <f>IF(DG737="NM","NM",IF(DL737="NM","NM",IF(DG737&lt;=0,"NM",IF(DL737=0,"NM",IF(ABS(DL737/DG737-1)&gt;2.5,"NM",IF((ABS(DL737-DG737)=ABS(ABS(DL737)-ABS(DG737))),(DL737/DG737-1),"NM"))))))</f>
      </c>
      <c r="DM742" s="30">
        <f>IF(DH737="NM","NM",IF(DM737="NM","NM",IF(DH737&lt;=0,"NM",IF(DM737=0,"NM",IF(ABS(DM737/DH737-1)&gt;2.5,"NM",IF((ABS(DM737-DH737)=ABS(ABS(DM737)-ABS(DH737))),(DM737/DH737-1),"NM"))))))</f>
      </c>
      <c r="DN742" s="928">
        <f>IF(DN737=0, "NM", DN737/DI737-1)</f>
      </c>
      <c r="DO742" s="1233">
        <f>IF(DJ737=0, "NA", DO737/DJ737-1)</f>
      </c>
      <c r="DP742" s="926">
        <f>DP737/DK737-1</f>
      </c>
      <c r="DQ742" s="1361">
        <f t="shared" si="1799"/>
      </c>
      <c r="DR742" s="1361">
        <f t="shared" si="1799"/>
      </c>
      <c r="DS742" s="1361">
        <f t="shared" si="1799"/>
      </c>
      <c r="DT742" s="1233">
        <f>IF(DO737=0, "NA", DT737/DO737-1)</f>
      </c>
      <c r="DU742" s="958">
        <f>DU743+DU$21</f>
      </c>
      <c r="DV742" s="926">
        <f>DV743+DV$21</f>
      </c>
      <c r="DW742" s="926">
        <f>DW743+DW$21</f>
      </c>
      <c r="DX742" s="928">
        <f>IF(DX737=0, "NM", DX737/DS737-1)</f>
      </c>
      <c r="DY742" s="308">
        <f t="shared" ref="DY742:EM742" si="1800">DY743+DY$21</f>
      </c>
      <c r="DZ742" s="926">
        <f>DZ743+DZ$21</f>
      </c>
      <c r="EA742" s="926">
        <f>EA743+EA$21</f>
      </c>
      <c r="EB742" s="926">
        <f>EB743+EB$21</f>
      </c>
      <c r="EC742" s="928">
        <f>IF(EC737=0, "NM", EC737/DX737-1)</f>
      </c>
      <c r="ED742" s="1060">
        <f t="shared" ref="ED742" si="1801">ED743+ED$21</f>
      </c>
      <c r="EE742" s="926">
        <f>EE743+EE$21</f>
      </c>
      <c r="EF742" s="926">
        <f>EF743+EF$21</f>
      </c>
      <c r="EG742" s="926">
        <f>EG743+EG$21</f>
      </c>
      <c r="EH742" s="928">
        <f>IF(EH737=0, "NM", EH737/EC737-1)</f>
      </c>
      <c r="EI742" s="308">
        <f t="shared" si="1800"/>
      </c>
      <c r="EJ742" s="308">
        <f t="shared" si="1800"/>
      </c>
      <c r="EK742" s="308">
        <f t="shared" si="1800"/>
      </c>
      <c r="EL742" s="409">
        <f t="shared" si="1800"/>
      </c>
      <c r="EM742" s="409">
        <f t="shared" si="1800"/>
      </c>
      <c r="EN742" s="409"/>
      <c r="EO742" s="837"/>
      <c r="EP742" s="837"/>
      <c r="EQ742" s="837"/>
      <c r="ER742" s="837"/>
      <c r="ES742" s="837"/>
      <c r="ET742" s="837"/>
      <c r="EU742" s="837"/>
      <c r="EV742" s="837"/>
      <c r="EW742" s="837"/>
      <c r="EX742" s="837"/>
    </row>
    <row r="743" spans="1:154" ht="12.75" customHeight="1" outlineLevel="1">
      <c r="B743" s="441" t="s">
        <v>256</v>
      </c>
      <c r="C743" s="1989"/>
      <c r="D743" s="28"/>
      <c r="E743" s="28"/>
      <c r="F743" s="28"/>
      <c r="G743" s="28"/>
      <c r="H743" s="28"/>
      <c r="I743" s="31"/>
      <c r="J743" s="28"/>
      <c r="K743" s="28"/>
      <c r="L743" s="28"/>
      <c r="M743" s="28"/>
      <c r="N743" s="31"/>
      <c r="O743" s="31"/>
      <c r="P743" s="31"/>
      <c r="Q743" s="31"/>
      <c r="R743" s="31"/>
      <c r="S743" s="31"/>
      <c r="T743" s="31"/>
      <c r="U743" s="31"/>
      <c r="V743" s="31"/>
      <c r="W743" s="31"/>
      <c r="X743" s="214"/>
      <c r="Y743" s="24"/>
      <c r="Z743" s="24"/>
      <c r="AA743" s="24"/>
      <c r="AB743" s="24"/>
      <c r="AC743" s="214"/>
      <c r="AD743" s="24"/>
      <c r="AE743" s="24"/>
      <c r="AF743" s="24"/>
      <c r="AG743" s="24"/>
      <c r="AH743" s="214"/>
      <c r="AI743" s="1"/>
      <c r="AJ743" s="1"/>
      <c r="AK743" s="1"/>
      <c r="AL743" s="24"/>
      <c r="AM743" s="214"/>
      <c r="AN743" s="1"/>
      <c r="AO743" s="1"/>
      <c r="AP743" s="1"/>
      <c r="AQ743" s="24"/>
      <c r="AR743" s="214"/>
      <c r="AS743" s="1"/>
      <c r="AT743" s="1"/>
      <c r="AU743" s="1"/>
      <c r="AV743" s="24"/>
      <c r="AW743" s="214"/>
      <c r="AX743" s="1"/>
      <c r="AY743" s="1"/>
      <c r="AZ743" s="1"/>
      <c r="BA743" s="1"/>
      <c r="BB743" s="214"/>
      <c r="BC743" s="1"/>
      <c r="BD743" s="1"/>
      <c r="BE743" s="1"/>
      <c r="BF743" s="1"/>
      <c r="BG743" s="309"/>
      <c r="BH743" s="1"/>
      <c r="BI743" s="1"/>
      <c r="BJ743" s="1"/>
      <c r="BK743" s="1"/>
      <c r="BL743" s="308"/>
      <c r="BM743" s="41"/>
      <c r="BN743" s="41"/>
      <c r="BO743" s="41"/>
      <c r="BP743" s="30"/>
      <c r="BQ743" s="308"/>
      <c r="BR743" s="41"/>
      <c r="BS743" s="41"/>
      <c r="BT743" s="41"/>
      <c r="BU743" s="30"/>
      <c r="BV743" s="308"/>
      <c r="BW743" s="30"/>
      <c r="BX743" s="30"/>
      <c r="BY743" s="30"/>
      <c r="BZ743" s="30"/>
      <c r="CA743" s="308"/>
      <c r="CB743" s="29"/>
      <c r="CC743" s="30">
        <f>IF(ISNUMBER(CC742),(1+CC742)/(1+CC$21)-1,"NM")</f>
      </c>
      <c r="CD743" s="30">
        <f>IF(ISNUMBER(CD742),(1+CD742)/(1+CD$21)-1,"NM")</f>
      </c>
      <c r="CE743" s="926">
        <f>CE737/BZ737-1</f>
      </c>
      <c r="CF743" s="315">
        <f>CF742-CF$21</f>
      </c>
      <c r="CG743" s="30" t="str">
        <f>IF(ISNUMBER(CG742),(1+CG742)/(1+CG$21)-1,"NM")</f>
      </c>
      <c r="CH743" s="30">
        <f>IF(ISNUMBER(CH742),(1+CH742)/(1+CH$21)-1,"NM")</f>
      </c>
      <c r="CI743" s="30">
        <f>IF(ISNUMBER(CI742),(1+CI742)/(1+CI$21)-1,"NM")</f>
      </c>
      <c r="CJ743" s="30">
        <f>IF(ISNUMBER(CJ742),(1+CJ742)/(1+CJ$21)-1,"NM")</f>
      </c>
      <c r="CK743" s="315">
        <f>CK742-CK$21</f>
      </c>
      <c r="CL743" s="30">
        <f>IF(ISNUMBER(CL742),(1+CL742)/(1+CL$21)-1,"NM")</f>
      </c>
      <c r="CM743" s="30">
        <f>IF(ISNUMBER(CM742),(1+CM742)/(1+CM$21)-1,"NM")</f>
      </c>
      <c r="CN743" s="30">
        <f>IF(ISNUMBER(CN742),(1+CN742)/(1+CN$21)-1,"NM")</f>
      </c>
      <c r="CO743" s="30">
        <f>IF(ISNUMBER(CO742),(1+CO742)/(1+CO$21)-1,"NM")</f>
      </c>
      <c r="CP743" s="315">
        <f>CP742-CP$21</f>
      </c>
      <c r="CQ743" s="649">
        <v>0.32800000000000001</v>
      </c>
      <c r="CR743" s="649">
        <v>0.16800000000000001</v>
      </c>
      <c r="CS743" s="649">
        <v>0.316</v>
      </c>
      <c r="CT743" s="649">
        <v>0.16400000000000001</v>
      </c>
      <c r="CU743" s="315">
        <f>CU742-CU$21</f>
      </c>
      <c r="CV743" s="649">
        <v>0.10299999999999999</v>
      </c>
      <c r="CW743" s="649">
        <v>0.13</v>
      </c>
      <c r="CX743" s="649">
        <v>-6.7000000000000004E-2</v>
      </c>
      <c r="CY743" s="649">
        <v>-7.9000000000000001E-2</v>
      </c>
      <c r="CZ743" s="315">
        <f>CZ742-CZ$21</f>
      </c>
      <c r="DA743" s="649">
        <v>0.2</v>
      </c>
      <c r="DB743" s="1109">
        <v>-1.4999999999999999E-2</v>
      </c>
      <c r="DC743" s="1109">
        <v>0.378</v>
      </c>
      <c r="DD743" s="1527">
        <v>0.36</v>
      </c>
      <c r="DE743" s="1233">
        <f>DE742-DE$21</f>
      </c>
      <c r="DF743" s="1220">
        <v>-0.05</v>
      </c>
      <c r="DG743" s="1208">
        <v>-0.05</v>
      </c>
      <c r="DH743" s="1208">
        <v>-0.2</v>
      </c>
      <c r="DI743" s="928">
        <f>IF(DI737=0, "NM",DI742-DI$21)</f>
      </c>
      <c r="DJ743" s="1233">
        <f>DJ742-DJ$21</f>
      </c>
      <c r="DK743" s="1220">
        <v>-0.05</v>
      </c>
      <c r="DL743" s="1208">
        <v>-1.4999999999999999E-2</v>
      </c>
      <c r="DM743" s="29">
        <v>-0.22</v>
      </c>
      <c r="DN743" s="928">
        <f>IF(DN737=0, "NM",DN742-DN$21)</f>
      </c>
      <c r="DO743" s="1233">
        <f t="shared" ref="DO743:DT743" si="1802">DO742-DO$21</f>
      </c>
      <c r="DP743" s="926">
        <f t="shared" si="1802"/>
      </c>
      <c r="DQ743" s="2185">
        <f t="shared" si="1802"/>
      </c>
      <c r="DR743" s="2185">
        <f t="shared" si="1802"/>
      </c>
      <c r="DS743" s="2185">
        <f t="shared" si="1802"/>
      </c>
      <c r="DT743" s="1233">
        <f t="shared" si="1802"/>
      </c>
      <c r="DU743" s="2215">
        <v>-0.28000000000000003</v>
      </c>
      <c r="DV743" s="2216">
        <v>-0.2</v>
      </c>
      <c r="DW743" s="2216">
        <f>$DT743</f>
      </c>
      <c r="DX743" s="1063">
        <f>IF(DX737=0, "NM",DX742-DX$21)</f>
      </c>
      <c r="DY743" s="660">
        <v>-0.05</v>
      </c>
      <c r="DZ743" s="1741">
        <v>-0.35</v>
      </c>
      <c r="EA743" s="1741">
        <v>-0.35</v>
      </c>
      <c r="EB743" s="1741">
        <v>-0.35</v>
      </c>
      <c r="EC743" s="1741">
        <v>-0.35</v>
      </c>
      <c r="ED743" s="660">
        <v>-0.35</v>
      </c>
      <c r="EE743" s="1741">
        <v>-0.35</v>
      </c>
      <c r="EF743" s="1741">
        <v>-0.35</v>
      </c>
      <c r="EG743" s="1741">
        <v>-0.35</v>
      </c>
      <c r="EH743" s="1063">
        <f>IF(EH737=0, "NM",EH742-EH$21)</f>
      </c>
      <c r="EI743" s="660">
        <v>-0.35</v>
      </c>
      <c r="EJ743" s="673">
        <v>-0.65</v>
      </c>
      <c r="EK743" s="673">
        <v>-0.65</v>
      </c>
      <c r="EL743" s="660">
        <v>-0.65</v>
      </c>
      <c r="EM743" s="660">
        <v>-0.65</v>
      </c>
      <c r="EN743" s="660"/>
      <c r="EO743" s="660"/>
      <c r="EP743" s="660"/>
      <c r="EQ743" s="660"/>
      <c r="ER743" s="660"/>
      <c r="ES743" s="660"/>
      <c r="ET743" s="660"/>
      <c r="EU743" s="660"/>
      <c r="EV743" s="660"/>
      <c r="EW743" s="660"/>
      <c r="EX743" s="660"/>
    </row>
    <row r="744" spans="1:154" ht="12.75" customHeight="1" outlineLevel="1">
      <c r="B744" s="441" t="s">
        <v>413</v>
      </c>
      <c r="C744" s="1989"/>
      <c r="D744" s="28"/>
      <c r="E744" s="28"/>
      <c r="F744" s="28"/>
      <c r="G744" s="28"/>
      <c r="H744" s="28"/>
      <c r="I744" s="31"/>
      <c r="J744" s="28"/>
      <c r="K744" s="28"/>
      <c r="L744" s="28"/>
      <c r="M744" s="28"/>
      <c r="N744" s="31"/>
      <c r="O744" s="31"/>
      <c r="P744" s="31"/>
      <c r="Q744" s="31"/>
      <c r="R744" s="31"/>
      <c r="S744" s="31"/>
      <c r="T744" s="31"/>
      <c r="U744" s="31"/>
      <c r="V744" s="31"/>
      <c r="W744" s="31"/>
      <c r="X744" s="308"/>
      <c r="Y744" s="30"/>
      <c r="Z744" s="30"/>
      <c r="AA744" s="30"/>
      <c r="AB744" s="30"/>
      <c r="AC744" s="308"/>
      <c r="AD744" s="30"/>
      <c r="AE744" s="30"/>
      <c r="AF744" s="30"/>
      <c r="AG744" s="30"/>
      <c r="AH744" s="308"/>
      <c r="AI744" s="30"/>
      <c r="AJ744" s="30"/>
      <c r="AK744" s="30"/>
      <c r="AL744" s="30"/>
      <c r="AM744" s="308"/>
      <c r="AN744" s="30"/>
      <c r="AO744" s="30"/>
      <c r="AP744" s="30"/>
      <c r="AQ744" s="30"/>
      <c r="AR744" s="308"/>
      <c r="AS744" s="30"/>
      <c r="AT744" s="30"/>
      <c r="AU744" s="30"/>
      <c r="AV744" s="30"/>
      <c r="AW744" s="308"/>
      <c r="AX744" s="30"/>
      <c r="AY744" s="30"/>
      <c r="AZ744" s="30"/>
      <c r="BA744" s="30"/>
      <c r="BB744" s="308"/>
      <c r="BC744" s="29"/>
      <c r="BD744" s="30"/>
      <c r="BE744" s="30"/>
      <c r="BF744" s="30"/>
      <c r="BG744" s="308"/>
      <c r="BH744" s="30"/>
      <c r="BI744" s="30"/>
      <c r="BJ744" s="30"/>
      <c r="BK744" s="30"/>
      <c r="BL744" s="308"/>
      <c r="BM744" s="30"/>
      <c r="BN744" s="30"/>
      <c r="BO744" s="30"/>
      <c r="BP744" s="30"/>
      <c r="BQ744" s="308"/>
      <c r="BR744" s="30"/>
      <c r="BS744" s="30"/>
      <c r="BT744" s="30"/>
      <c r="BU744" s="30"/>
      <c r="BV744" s="308"/>
      <c r="BW744" s="30"/>
      <c r="BX744" s="30"/>
      <c r="BY744" s="30"/>
      <c r="BZ744" s="30"/>
      <c r="CA744" s="308"/>
      <c r="CB744" s="30"/>
      <c r="CC744" s="30">
        <f>IF(BX738="NM","NM",IF(CC738="NM","NM",IF(BX738&lt;=0,"NM",IF(CC738=0,"NM",IF(ABS(CC738/BX738-1)&gt;2.5,"NM",IF((ABS(CC738-BX738)=ABS(ABS(CC738)-ABS(BX738))),(CC738/BX738-1),"NM"))))))</f>
      </c>
      <c r="CD744" s="30">
        <f>IF(BY738="NM","NM",IF(CD738="NM","NM",IF(BY738&lt;=0,"NM",IF(CD738=0,"NM",IF(ABS(CD738/BY738-1)&gt;2.5,"NM",IF((ABS(CD738-BY738)=ABS(ABS(CD738)-ABS(BY738))),(CD738/BY738-1),"NM"))))))</f>
      </c>
      <c r="CE744" s="926">
        <f>IF(CE738&lt;=0,0,(CE738/BZ738-1))</f>
      </c>
      <c r="CF744" s="308">
        <f>IF(CA738=0, "NA", CF738/CA738-1)</f>
      </c>
      <c r="CG744" s="30">
        <f>IF(CB738="NM","NM",IF(CG738="NM","NM",IF(CB738&lt;=0,"NM",IF(CG738=0,"NM",IF(ABS(CG738/CB738-1)&gt;2.5,"NM",IF((ABS(CG738-CB738)=ABS(ABS(CG738)-ABS(CB738))),(CG738/CB738-1),"NM"))))))</f>
      </c>
      <c r="CH744" s="30">
        <f>IF(CC738="NM","NM",IF(CH738="NM","NM",IF(CC738&lt;=0,"NM",IF(CH738=0,"NM",IF(ABS(CH738/CC738-1)&gt;2.5,"NM",IF((ABS(CH738-CC738)=ABS(ABS(CH738)-ABS(CC738))),(CH738/CC738-1),"NM"))))))</f>
      </c>
      <c r="CI744" s="30">
        <f>IF(CD738="NM","NM",IF(CI738="NM","NM",IF(CD738&lt;=0,"NM",IF(CI738=0,"NM",IF(ABS(CI738/CD738-1)&gt;2.5,"NM",IF((ABS(CI738-CD738)=ABS(ABS(CI738)-ABS(CD738))),(CI738/CD738-1),"NM"))))))</f>
      </c>
      <c r="CJ744" s="30">
        <f>IF(CE738="NM","NM",IF(CJ738="NM","NM",IF(CE738&lt;=0,"NM",IF(CJ738=0,"NM",IF(ABS(CJ738/CE738-1)&gt;2.5,"NM",IF((ABS(CJ738-CE738)=ABS(ABS(CJ738)-ABS(CE738))),(CJ738/CE738-1),"NM"))))))</f>
      </c>
      <c r="CK744" s="308">
        <f>IF(CF738=0, "NA", CK738/CF738-1)</f>
      </c>
      <c r="CL744" s="30">
        <f>IF(CG738="NM","NM",IF(CL738="NM","NM",IF(CG738&lt;=0,"NM",IF(CL738=0,"NM",IF(ABS(CL738/CG738-1)&gt;2.5,"NM",IF((ABS(CL738-CG738)=ABS(ABS(CL738)-ABS(CG738))),(CL738/CG738-1),"NM"))))))</f>
      </c>
      <c r="CM744" s="30">
        <f>IF(CH738="NM","NM",IF(CM738="NM","NM",IF(CH738&lt;=0,"NM",IF(CM738=0,"NM",IF(ABS(CM738/CH738-1)&gt;2.5,"NM",IF((ABS(CM738-CH738)=ABS(ABS(CM738)-ABS(CH738))),(CM738/CH738-1),"NM"))))))</f>
      </c>
      <c r="CN744" s="926">
        <f>IF(CN738&lt;=0,0,(CN738/CI738-1))</f>
      </c>
      <c r="CO744" s="30">
        <f>IF(CJ738="NM","NM",IF(CO738="NM","NM",IF(CJ738&lt;=0,"NM",IF(CO738=0,"NM",IF(ABS(CO738/CJ738-1)&gt;2.5,"NM",IF((ABS(CO738-CJ738)=ABS(ABS(CO738)-ABS(CJ738))),(CO738/CJ738-1),"NM"))))))</f>
      </c>
      <c r="CP744" s="308">
        <f>IF(CK738=0, "NA", CP738/CK738-1)</f>
      </c>
      <c r="CQ744" s="926">
        <f>IF(CQ738&lt;=0,0,(CQ738/CL738-1))</f>
      </c>
      <c r="CR744" s="926">
        <f>IF(CR738&lt;=0,0,(CR738/CM738-1))</f>
      </c>
      <c r="CS744" s="926">
        <f>IF(CS738&lt;=0,0,(CS738/CN738-1))</f>
      </c>
      <c r="CT744" s="926">
        <f>IF(CT738&lt;=0,0,(CT738/CO738-1))</f>
      </c>
      <c r="CU744" s="308">
        <f>IF(CP738=0, "NA", CU738/CP738-1)</f>
      </c>
      <c r="CV744" s="926">
        <f>IF(CV738&lt;=0,0,(CV738/CQ738-1))</f>
      </c>
      <c r="CW744" s="926">
        <f>IF(CW738&lt;=0,0,(CW738/CR738-1))</f>
      </c>
      <c r="CX744" s="926">
        <f>IF(CX738&lt;=0,0,(CX738/CS738-1))</f>
      </c>
      <c r="CY744" s="926">
        <f>IF(CY738&lt;=0,0,(CY738/CT738-1))</f>
      </c>
      <c r="CZ744" s="308">
        <f>IF(CU738=0, "NA", CZ738/CU738-1)</f>
      </c>
      <c r="DA744" s="926">
        <f>IF(DA738&lt;=0,0,(DA738/CV738-1))</f>
      </c>
      <c r="DB744" s="1219">
        <f>IF(CW738=0, "NA", DB738/CW738-1)</f>
      </c>
      <c r="DC744" s="1219">
        <f>IF(CX738=0, "NA", DC738/CX738-1)</f>
      </c>
      <c r="DD744" s="1235">
        <f>IF(CY738=0, "NM", DD738/CY738-1)</f>
      </c>
      <c r="DE744" s="1233">
        <f>IF(CZ738=0, "NA", DE738/CZ738-1)</f>
      </c>
      <c r="DF744" s="1219">
        <f>IF(DA738=0, "NA", DF738/DA738-1)</f>
      </c>
      <c r="DG744" s="1219">
        <f>IF(DB738=0, "NA", DG738/DB738-1)</f>
      </c>
      <c r="DH744" s="1219">
        <f>IF(DC738=0, "NA", DH738/DC738-1)</f>
      </c>
      <c r="DI744" s="1235">
        <f>IF(DD738=0, "NM", DI738/DD738-1)</f>
      </c>
      <c r="DJ744" s="1233">
        <f>IF(DE738=0, "NA", DJ738/DE738-1)</f>
      </c>
      <c r="DK744" s="1219">
        <f>IF(DF738=0, "NA", DK738/DF738-1)</f>
      </c>
      <c r="DL744" s="1219">
        <f>IF(DG738=0, "NA", DL738/DG738-1)</f>
      </c>
      <c r="DM744" s="926">
        <f>IF(DH738=0, "NA", DM738/DH738-1)</f>
      </c>
      <c r="DN744" s="928">
        <f>IF(DI738=0, "NM", DN738/DI738-1)</f>
      </c>
      <c r="DO744" s="308">
        <f>IF(DJ738=0, "NA", DO738/DJ738-1)</f>
      </c>
      <c r="DP744" s="958">
        <f>IF(DK738=0, "NA", DP738/DK738-1)</f>
      </c>
      <c r="DQ744" s="1219">
        <f>IF(DL738=0, "NA", DQ738/DL738-1)</f>
      </c>
      <c r="DR744" s="1219">
        <f>IF(DM738=0, "NA", DR738/DM738-1)</f>
      </c>
      <c r="DS744" s="928">
        <f>IF(DN738=0, "NM", DS738/DN738-1)</f>
      </c>
      <c r="DT744" s="308">
        <f>IF(DO738=0, "NA", DT738/DO738-1)</f>
      </c>
      <c r="DU744" s="958">
        <f>IF(DP738=0, "NA", DU738/DP738-1)</f>
      </c>
      <c r="DV744" s="926">
        <f>IF(DQ738=0, "NA", DV738/DQ738-1)</f>
      </c>
      <c r="DW744" s="926">
        <f>IF(DR738=0, "NA", DW738/DR738-1)</f>
      </c>
      <c r="DX744" s="928">
        <f>IF(DS738=0, "NM", DX738/DS738-1)</f>
      </c>
      <c r="DY744" s="308">
        <f>IF(DT738=0, "NA", DY738/DT738-1)</f>
      </c>
      <c r="DZ744" s="926">
        <f>IF(DU738=0, "NA", DZ738/DU738-1)</f>
      </c>
      <c r="EA744" s="926">
        <f>IF(DV738=0, "NA", EA738/DV738-1)</f>
      </c>
      <c r="EB744" s="926">
        <f>IF(DW738=0, "NA", EB738/DW738-1)</f>
      </c>
      <c r="EC744" s="928">
        <f>IF(DX738=0, "NM", EC738/DX738-1)</f>
      </c>
      <c r="ED744" s="1060">
        <f>IF(DY738=0, "NA", ED738/DY738-1)</f>
      </c>
      <c r="EE744" s="926">
        <f>IF(DZ738=0, "NA", EE738/DZ738-1)</f>
      </c>
      <c r="EF744" s="926">
        <f>IF(EA738=0, "NA", EF738/EA738-1)</f>
      </c>
      <c r="EG744" s="926">
        <f>IF(EB738=0, "NA", EG738/EB738-1)</f>
      </c>
      <c r="EH744" s="928">
        <f>IF(EC738=0, "NM", EH738/EC738-1)</f>
      </c>
      <c r="EI744" s="308">
        <f>IF(ED738=0, "NA", EI738/ED738-1)</f>
      </c>
      <c r="EJ744" s="308">
        <f>IF(EI738=0, "NA", EJ738/EI738-1)</f>
      </c>
      <c r="EK744" s="308">
        <f>IF(EJ738=0, "NA", EK738/EJ738-1)</f>
      </c>
      <c r="EL744" s="409">
        <f>IF(EK738=0, "NA", EL738/EK738-1)</f>
      </c>
      <c r="EM744" s="409">
        <f>IF(EL738=0, "NA", EM738/EL738-1)</f>
      </c>
      <c r="EN744" s="409"/>
      <c r="EO744" s="409"/>
      <c r="EP744" s="409"/>
      <c r="EQ744" s="409"/>
      <c r="ER744" s="409"/>
      <c r="ES744" s="409"/>
      <c r="ET744" s="409"/>
      <c r="EU744" s="409"/>
      <c r="EV744" s="409"/>
      <c r="EW744" s="409"/>
      <c r="EX744" s="409"/>
    </row>
    <row r="745" spans="1:154" ht="12.75" customHeight="1">
      <c r="A745" s="3277"/>
      <c r="B745" s="441"/>
      <c r="C745" s="1989"/>
      <c r="D745" s="33"/>
      <c r="E745" s="28"/>
      <c r="F745" s="28"/>
      <c r="G745" s="28"/>
      <c r="H745" s="28"/>
      <c r="I745" s="31"/>
      <c r="J745" s="28"/>
      <c r="K745" s="28"/>
      <c r="L745" s="28"/>
      <c r="M745" s="28"/>
      <c r="N745" s="31"/>
      <c r="O745" s="28"/>
      <c r="P745" s="28"/>
      <c r="Q745" s="28"/>
      <c r="R745" s="28"/>
      <c r="S745" s="31"/>
      <c r="T745" s="28"/>
      <c r="U745" s="28"/>
      <c r="V745" s="28"/>
      <c r="W745" s="28"/>
      <c r="X745" s="313"/>
      <c r="Y745" s="28"/>
      <c r="Z745" s="28"/>
      <c r="AA745" s="28"/>
      <c r="AB745" s="28"/>
      <c r="AC745" s="313"/>
      <c r="AD745" s="28"/>
      <c r="AE745" s="28"/>
      <c r="AF745" s="28"/>
      <c r="AG745" s="28"/>
      <c r="AH745" s="313"/>
      <c r="AI745" s="28"/>
      <c r="AJ745" s="28"/>
      <c r="AK745" s="28"/>
      <c r="AL745" s="28"/>
      <c r="AM745" s="313"/>
      <c r="AN745" s="28"/>
      <c r="AO745" s="28"/>
      <c r="AP745" s="28"/>
      <c r="AQ745" s="28"/>
      <c r="AR745" s="313"/>
      <c r="AS745" s="28"/>
      <c r="AT745" s="28"/>
      <c r="AU745" s="28"/>
      <c r="AV745" s="28"/>
      <c r="AW745" s="313"/>
      <c r="AX745" s="28"/>
      <c r="AY745" s="28"/>
      <c r="AZ745" s="28"/>
      <c r="BA745" s="28"/>
      <c r="BB745" s="313"/>
      <c r="BC745" s="28"/>
      <c r="BD745" s="28"/>
      <c r="BE745" s="28"/>
      <c r="BF745" s="28"/>
      <c r="BG745" s="313"/>
      <c r="BH745" s="28"/>
      <c r="BI745" s="28"/>
      <c r="BJ745" s="28"/>
      <c r="BK745" s="28"/>
      <c r="BL745" s="313"/>
      <c r="BM745" s="28"/>
      <c r="BN745" s="28"/>
      <c r="BO745" s="28"/>
      <c r="BP745" s="28"/>
      <c r="BQ745" s="313"/>
      <c r="BR745" s="28"/>
      <c r="BS745" s="28"/>
      <c r="BT745" s="28"/>
      <c r="BU745" s="28"/>
      <c r="BV745" s="313"/>
      <c r="BW745" s="28"/>
      <c r="BX745" s="28"/>
      <c r="BY745" s="28"/>
      <c r="BZ745" s="28"/>
      <c r="CA745" s="313"/>
      <c r="CB745" s="28"/>
      <c r="CC745" s="28"/>
      <c r="CD745" s="28"/>
      <c r="CE745" s="28"/>
      <c r="CF745" s="313"/>
      <c r="CG745" s="28"/>
      <c r="CH745" s="28"/>
      <c r="CI745" s="28"/>
      <c r="CJ745" s="28"/>
      <c r="CK745" s="313"/>
      <c r="CL745" s="28"/>
      <c r="CM745" s="28"/>
      <c r="CN745" s="933"/>
      <c r="CO745" s="28"/>
      <c r="CP745" s="313"/>
      <c r="CQ745" s="933"/>
      <c r="CR745" s="933"/>
      <c r="CS745" s="933"/>
      <c r="CT745" s="933"/>
      <c r="CU745" s="313"/>
      <c r="CV745" s="933"/>
      <c r="CW745" s="933"/>
      <c r="CX745" s="933"/>
      <c r="CY745" s="933"/>
      <c r="CZ745" s="313"/>
      <c r="DA745" s="933"/>
      <c r="DB745" s="1357"/>
      <c r="DC745" s="1357"/>
      <c r="DD745" s="1345"/>
      <c r="DE745" s="1811"/>
      <c r="DF745" s="1842"/>
      <c r="DG745" s="1886"/>
      <c r="DH745" s="1822"/>
      <c r="DI745" s="1798"/>
      <c r="DJ745" s="1799"/>
      <c r="DK745" s="1799"/>
      <c r="DL745" s="603"/>
      <c r="DM745" s="603"/>
      <c r="DN745" s="1798"/>
      <c r="DO745" s="477"/>
      <c r="DP745" s="603"/>
      <c r="DQ745" s="603"/>
      <c r="DR745" s="603"/>
      <c r="DS745" s="1798"/>
      <c r="DT745" s="477"/>
      <c r="DU745" s="603"/>
      <c r="DV745" s="603"/>
      <c r="DW745" s="603"/>
      <c r="DX745" s="1798"/>
      <c r="DY745" s="477"/>
      <c r="DZ745" s="603"/>
      <c r="EA745" s="603"/>
      <c r="EB745" s="603"/>
      <c r="EC745" s="1798"/>
      <c r="ED745" s="477"/>
      <c r="EE745" s="603"/>
      <c r="EF745" s="603"/>
      <c r="EG745" s="603"/>
      <c r="EH745" s="1798"/>
      <c r="EI745" s="477"/>
      <c r="EJ745" s="477"/>
      <c r="EK745" s="477"/>
      <c r="EL745" s="1798"/>
      <c r="EM745" s="1798"/>
      <c r="EN745" s="1798"/>
      <c r="EO745" s="1798"/>
      <c r="EP745" s="1798"/>
      <c r="EQ745" s="1798"/>
      <c r="ER745" s="1798"/>
      <c r="ES745" s="1798"/>
      <c r="ET745" s="1798"/>
      <c r="EU745" s="1798"/>
      <c r="EV745" s="1798"/>
      <c r="EW745" s="1798"/>
      <c r="EX745" s="1798"/>
    </row>
    <row r="746" spans="1:154" ht="12.75" customHeight="1">
      <c r="A746" s="3277"/>
      <c r="B746" s="1164" t="s">
        <v>410</v>
      </c>
      <c r="C746" s="1207"/>
      <c r="D746" s="28"/>
      <c r="E746" s="28"/>
      <c r="F746" s="28"/>
      <c r="G746" s="28"/>
      <c r="H746" s="28"/>
      <c r="I746" s="31"/>
      <c r="J746" s="28"/>
      <c r="K746" s="28"/>
      <c r="L746" s="28"/>
      <c r="M746" s="28"/>
      <c r="N746" s="31"/>
      <c r="O746" s="31"/>
      <c r="P746" s="31"/>
      <c r="Q746" s="31"/>
      <c r="R746" s="31"/>
      <c r="S746" s="31"/>
      <c r="T746" s="31"/>
      <c r="U746" s="31"/>
      <c r="V746" s="31"/>
      <c r="W746" s="31"/>
      <c r="X746" s="313"/>
      <c r="Y746" s="31"/>
      <c r="Z746" s="31"/>
      <c r="AA746" s="31"/>
      <c r="AB746" s="31"/>
      <c r="AC746" s="313"/>
      <c r="AD746" s="31"/>
      <c r="AE746" s="31"/>
      <c r="AF746" s="31"/>
      <c r="AG746" s="31"/>
      <c r="AH746" s="313"/>
      <c r="AI746" s="28"/>
      <c r="AJ746" s="32"/>
      <c r="AK746" s="28"/>
      <c r="AL746" s="31"/>
      <c r="AM746" s="313"/>
      <c r="AN746" s="28"/>
      <c r="AO746" s="28"/>
      <c r="AP746" s="28"/>
      <c r="AQ746" s="31"/>
      <c r="AR746" s="313"/>
      <c r="AS746" s="28"/>
      <c r="AT746" s="28"/>
      <c r="AU746" s="28"/>
      <c r="AV746" s="28"/>
      <c r="AW746" s="313"/>
      <c r="AX746" s="28"/>
      <c r="AY746" s="28"/>
      <c r="AZ746" s="28"/>
      <c r="BA746" s="28"/>
      <c r="BB746" s="313"/>
      <c r="BC746" s="28"/>
      <c r="BD746" s="28"/>
      <c r="BE746" s="28"/>
      <c r="BF746" s="28"/>
      <c r="BG746" s="313"/>
      <c r="BH746" s="28"/>
      <c r="BI746" s="28"/>
      <c r="BJ746" s="28"/>
      <c r="BK746" s="28"/>
      <c r="BL746" s="313"/>
      <c r="BM746" s="28"/>
      <c r="BN746" s="28"/>
      <c r="BO746" s="28"/>
      <c r="BP746" s="28"/>
      <c r="BQ746" s="313"/>
      <c r="BR746" s="28"/>
      <c r="BS746" s="28"/>
      <c r="BT746" s="28"/>
      <c r="BU746" s="28"/>
      <c r="BV746" s="313"/>
      <c r="BW746" s="28"/>
      <c r="BX746" s="28"/>
      <c r="BY746" s="28"/>
      <c r="BZ746" s="28"/>
      <c r="CA746" s="313"/>
      <c r="CB746" s="28"/>
      <c r="CC746" s="28"/>
      <c r="CD746" s="28"/>
      <c r="CE746" s="28"/>
      <c r="CF746" s="313"/>
      <c r="CG746" s="28"/>
      <c r="CH746" s="28"/>
      <c r="CI746" s="28"/>
      <c r="CJ746" s="28"/>
      <c r="CK746" s="313"/>
      <c r="CL746" s="961"/>
      <c r="CM746" s="933"/>
      <c r="CN746" s="933"/>
      <c r="CO746" s="28"/>
      <c r="CP746" s="313"/>
      <c r="CQ746" s="933"/>
      <c r="CR746" s="933"/>
      <c r="CS746" s="933"/>
      <c r="CT746" s="933"/>
      <c r="CU746" s="313"/>
      <c r="CV746" s="935"/>
      <c r="CW746" s="933"/>
      <c r="CX746" s="933"/>
      <c r="CY746" s="933"/>
      <c r="CZ746" s="313"/>
      <c r="DA746" s="935"/>
      <c r="DB746" s="1357"/>
      <c r="DC746" s="1357"/>
      <c r="DD746" s="1345"/>
      <c r="DE746" s="1811"/>
      <c r="DF746" s="1543"/>
      <c r="DG746" s="1822"/>
      <c r="DH746" s="1822"/>
      <c r="DI746" s="1798"/>
      <c r="DJ746" s="1799"/>
      <c r="DK746" s="1931">
        <f>DK747/$DO$747</f>
      </c>
      <c r="DL746" s="1921">
        <f>DL747/$DO$747</f>
      </c>
      <c r="DM746" s="1921">
        <f>DM747/$DO$747</f>
      </c>
      <c r="DN746" s="1921">
        <f>DN747/$DO$747</f>
      </c>
      <c r="DO746" s="477"/>
      <c r="DP746" s="603"/>
      <c r="DQ746" s="603"/>
      <c r="DR746" s="603"/>
      <c r="DS746" s="1798"/>
      <c r="DT746" s="477"/>
      <c r="DU746" s="603"/>
      <c r="DV746" s="603"/>
      <c r="DW746" s="603"/>
      <c r="DX746" s="1798"/>
      <c r="DY746" s="477"/>
      <c r="DZ746" s="603"/>
      <c r="EA746" s="603"/>
      <c r="EB746" s="603"/>
      <c r="EC746" s="1798"/>
      <c r="ED746" s="477"/>
      <c r="EE746" s="603"/>
      <c r="EF746" s="603"/>
      <c r="EG746" s="603"/>
      <c r="EH746" s="1798"/>
      <c r="EI746" s="477"/>
      <c r="EJ746" s="477"/>
      <c r="EK746" s="477"/>
      <c r="EL746" s="1798"/>
      <c r="EM746" s="1798"/>
      <c r="EN746" s="1798"/>
      <c r="EO746" s="1798"/>
      <c r="EP746" s="1798"/>
      <c r="EQ746" s="1798"/>
      <c r="ER746" s="1798"/>
      <c r="ES746" s="1798"/>
      <c r="ET746" s="1798"/>
      <c r="EU746" s="1798"/>
      <c r="EV746" s="1798"/>
      <c r="EW746" s="1798"/>
      <c r="EX746" s="1798"/>
    </row>
    <row r="747" spans="1:154" ht="12.75" customHeight="1">
      <c r="A747" s="3277" t="str">
        <f>+A749&amp;" - US"</f>
      </c>
      <c r="B747" s="1168" t="s">
        <v>925</v>
      </c>
      <c r="C747" s="2002">
        <v>45532</v>
      </c>
      <c r="D747" s="31"/>
      <c r="E747" s="33"/>
      <c r="F747" s="33"/>
      <c r="G747" s="33"/>
      <c r="H747" s="33"/>
      <c r="I747" s="31"/>
      <c r="J747" s="33"/>
      <c r="K747" s="33"/>
      <c r="L747" s="33"/>
      <c r="M747" s="33"/>
      <c r="N747" s="31"/>
      <c r="O747" s="33"/>
      <c r="P747" s="33"/>
      <c r="Q747" s="33"/>
      <c r="R747" s="33"/>
      <c r="S747" s="31"/>
      <c r="T747" s="33"/>
      <c r="U747" s="33"/>
      <c r="V747" s="33"/>
      <c r="W747" s="33"/>
      <c r="X747" s="313"/>
      <c r="Y747" s="33"/>
      <c r="Z747" s="33"/>
      <c r="AA747" s="33"/>
      <c r="AB747" s="33"/>
      <c r="AC747" s="313"/>
      <c r="AD747" s="33"/>
      <c r="AE747" s="33"/>
      <c r="AF747" s="33"/>
      <c r="AG747" s="33"/>
      <c r="AH747" s="313"/>
      <c r="AI747" s="33"/>
      <c r="AJ747" s="33"/>
      <c r="AK747" s="33"/>
      <c r="AL747" s="33"/>
      <c r="AM747" s="313"/>
      <c r="AN747" s="33"/>
      <c r="AO747" s="33"/>
      <c r="AP747" s="33"/>
      <c r="AQ747" s="33"/>
      <c r="AR747" s="313"/>
      <c r="AS747" s="33"/>
      <c r="AT747" s="33"/>
      <c r="AU747" s="33"/>
      <c r="AV747" s="33"/>
      <c r="AW747" s="313"/>
      <c r="AX747" s="33"/>
      <c r="AY747" s="33"/>
      <c r="AZ747" s="33"/>
      <c r="BA747" s="33"/>
      <c r="BB747" s="313"/>
      <c r="BC747" s="33">
        <v>0</v>
      </c>
      <c r="BD747" s="33">
        <v>0</v>
      </c>
      <c r="BE747" s="33">
        <v>0</v>
      </c>
      <c r="BF747" s="33">
        <v>0</v>
      </c>
      <c r="BG747" s="313">
        <f>SUM(BC747:BF747)</f>
      </c>
      <c r="BH747" s="33">
        <v>0</v>
      </c>
      <c r="BI747" s="33">
        <v>0</v>
      </c>
      <c r="BJ747" s="33">
        <v>0</v>
      </c>
      <c r="BK747" s="33">
        <v>0</v>
      </c>
      <c r="BL747" s="313">
        <f>SUM(BH747:BK747)</f>
      </c>
      <c r="BM747" s="33">
        <v>0</v>
      </c>
      <c r="BN747" s="352">
        <v>0</v>
      </c>
      <c r="BO747" s="352">
        <v>0</v>
      </c>
      <c r="BP747" s="352">
        <v>50</v>
      </c>
      <c r="BQ747" s="313">
        <f>SUM(BM747:BP747)</f>
      </c>
      <c r="BR747" s="352">
        <v>27</v>
      </c>
      <c r="BS747" s="352">
        <v>49</v>
      </c>
      <c r="BT747" s="352">
        <v>68</v>
      </c>
      <c r="BU747" s="352">
        <v>95</v>
      </c>
      <c r="BV747" s="313">
        <f>SUM(BR747:BU747)</f>
      </c>
      <c r="BW747" s="352">
        <v>158</v>
      </c>
      <c r="BX747" s="352">
        <v>189</v>
      </c>
      <c r="BY747" s="352">
        <v>246</v>
      </c>
      <c r="BZ747" s="352">
        <v>271</v>
      </c>
      <c r="CA747" s="313">
        <f>SUM(BW747:BZ747)</f>
      </c>
      <c r="CB747" s="352">
        <v>319</v>
      </c>
      <c r="CC747" s="352">
        <v>361</v>
      </c>
      <c r="CD747" s="352">
        <v>414</v>
      </c>
      <c r="CE747" s="352">
        <v>428</v>
      </c>
      <c r="CF747" s="313">
        <f>SUM(CB747:CE747)</f>
      </c>
      <c r="CG747" s="352">
        <v>441</v>
      </c>
      <c r="CH747" s="352">
        <v>472</v>
      </c>
      <c r="CI747" s="352">
        <v>461</v>
      </c>
      <c r="CJ747" s="352">
        <v>494</v>
      </c>
      <c r="CK747" s="313">
        <f>SUM(CG747:CJ747)</f>
      </c>
      <c r="CL747" s="352">
        <v>567</v>
      </c>
      <c r="CM747" s="352">
        <v>594</v>
      </c>
      <c r="CN747" s="352">
        <v>529</v>
      </c>
      <c r="CO747" s="352">
        <v>598</v>
      </c>
      <c r="CP747" s="313">
        <f>SUM(CL747:CO747)</f>
      </c>
      <c r="CQ747" s="352">
        <v>513</v>
      </c>
      <c r="CR747" s="352">
        <v>642</v>
      </c>
      <c r="CS747" s="352">
        <v>635</v>
      </c>
      <c r="CT747" s="352">
        <v>710</v>
      </c>
      <c r="CU747" s="313">
        <f>SUM(CQ747:CT747)</f>
      </c>
      <c r="CV747" s="352">
        <v>578</v>
      </c>
      <c r="CW747" s="352">
        <v>679</v>
      </c>
      <c r="CX747" s="352">
        <v>612</v>
      </c>
      <c r="CY747" s="352">
        <v>608</v>
      </c>
      <c r="CZ747" s="313">
        <f>SUM(CV747:CY747)</f>
      </c>
      <c r="DA747" s="352">
        <v>542</v>
      </c>
      <c r="DB747" s="1217">
        <v>549</v>
      </c>
      <c r="DC747" s="1524">
        <v>613</v>
      </c>
      <c r="DD747" s="1529">
        <v>609</v>
      </c>
      <c r="DE747" s="2064">
        <f>SUM(DA747:DD747)</f>
      </c>
      <c r="DF747" s="1544">
        <v>527</v>
      </c>
      <c r="DG747" s="1544">
        <v>559</v>
      </c>
      <c r="DH747" s="1544">
        <v>630</v>
      </c>
      <c r="DI747" s="1552">
        <v>629</v>
      </c>
      <c r="DJ747" s="2064">
        <f>SUM(DF747:DI747)</f>
      </c>
      <c r="DK747" s="1544">
        <v>589</v>
      </c>
      <c r="DL747" s="710">
        <v>569</v>
      </c>
      <c r="DM747" s="710">
        <v>636</v>
      </c>
      <c r="DN747" s="1552">
        <v>644</v>
      </c>
      <c r="DO747" s="2064">
        <f>SUM(DK747:DN747)</f>
      </c>
      <c r="DP747" s="1544">
        <v>508</v>
      </c>
      <c r="DQ747" s="710">
        <v>609</v>
      </c>
      <c r="DR747" s="710">
        <v>689</v>
      </c>
      <c r="DS747" s="1839">
        <v>667</v>
      </c>
      <c r="DT747" s="2064">
        <f>SUM(DP747:DS747)</f>
      </c>
      <c r="DU747" s="1544">
        <v>578</v>
      </c>
      <c r="DV747" s="1544">
        <v>637</v>
      </c>
      <c r="DW747" s="1544">
        <v>625</v>
      </c>
      <c r="DX747" s="1839">
        <v>525</v>
      </c>
      <c r="DY747" s="2064">
        <f>SUM(DU747:DX747)</f>
      </c>
      <c r="DZ747" s="710">
        <v>518</v>
      </c>
      <c r="EA747" s="710">
        <v>587</v>
      </c>
      <c r="EB747" s="710">
        <v>592</v>
      </c>
      <c r="EC747" s="1839">
        <v>676</v>
      </c>
      <c r="ED747" s="2064">
        <f>SUM(DZ747:EC747)</f>
      </c>
      <c r="EE747" s="710">
        <v>690</v>
      </c>
      <c r="EF747" s="710">
        <v>621</v>
      </c>
      <c r="EG747" s="710">
        <v>635</v>
      </c>
      <c r="EH747" s="1556">
        <f>+EI747-SUM(EE747:EG747)</f>
      </c>
      <c r="EI747" s="573">
        <f>ED747*(1+EI752)</f>
      </c>
      <c r="EJ747" s="573">
        <f t="shared" ref="EJ747:EJ748" si="1803">EI747*(1+EJ752)</f>
      </c>
      <c r="EK747" s="1841">
        <f t="shared" ref="EK747:EK748" si="1804">EJ747*(1+EK752)</f>
      </c>
      <c r="EL747" s="573">
        <f t="shared" ref="EL747:EL748" si="1805">EK747*(1+EL752)</f>
      </c>
      <c r="EM747" s="573">
        <f t="shared" ref="EM747:EM748" si="1806">EL747*(1+EM752)</f>
      </c>
      <c r="EN747" s="573">
        <f t="shared" ref="EN747:EN748" si="1807">EM747*(1+EN752)</f>
      </c>
      <c r="EO747" s="573">
        <f t="shared" ref="EO747:EO748" si="1808">EN747*(1+EO752)</f>
      </c>
      <c r="EP747" s="573">
        <f t="shared" ref="EP747:EP748" si="1809">EO747*(1+EP752)</f>
      </c>
      <c r="EQ747" s="573">
        <f t="shared" ref="EQ747:EQ748" si="1810">EP747*(1+EQ752)</f>
      </c>
      <c r="ER747" s="573">
        <f t="shared" ref="ER747:ER748" si="1811">EQ747*(1+ER752)</f>
      </c>
      <c r="ES747" s="573">
        <f t="shared" ref="ES747:ES748" si="1812">ER747*(1+ES752)</f>
      </c>
      <c r="ET747" s="1798"/>
      <c r="EU747" s="1798"/>
      <c r="EV747" s="1798"/>
      <c r="EW747" s="1798"/>
      <c r="EX747" s="1798"/>
    </row>
    <row r="748" spans="1:154" ht="12.75" customHeight="1">
      <c r="A748" s="3277" t="str">
        <f>+A749&amp;" - OUS"</f>
      </c>
      <c r="B748" s="1168" t="s">
        <v>412</v>
      </c>
      <c r="C748" s="1577"/>
      <c r="D748" s="31"/>
      <c r="E748" s="33"/>
      <c r="F748" s="33"/>
      <c r="G748" s="33"/>
      <c r="H748" s="33"/>
      <c r="I748" s="31"/>
      <c r="J748" s="33"/>
      <c r="K748" s="33"/>
      <c r="L748" s="33"/>
      <c r="M748" s="33"/>
      <c r="N748" s="31"/>
      <c r="O748" s="33"/>
      <c r="P748" s="33"/>
      <c r="Q748" s="33"/>
      <c r="R748" s="33"/>
      <c r="S748" s="31"/>
      <c r="T748" s="33"/>
      <c r="U748" s="33"/>
      <c r="V748" s="33"/>
      <c r="W748" s="33"/>
      <c r="X748" s="313"/>
      <c r="Y748" s="33"/>
      <c r="Z748" s="33"/>
      <c r="AA748" s="33"/>
      <c r="AB748" s="33"/>
      <c r="AC748" s="313"/>
      <c r="AD748" s="33"/>
      <c r="AE748" s="33"/>
      <c r="AF748" s="33"/>
      <c r="AG748" s="33"/>
      <c r="AH748" s="313"/>
      <c r="AI748" s="33"/>
      <c r="AJ748" s="33"/>
      <c r="AK748" s="33"/>
      <c r="AL748" s="33"/>
      <c r="AM748" s="313"/>
      <c r="AN748" s="33"/>
      <c r="AO748" s="33"/>
      <c r="AP748" s="33"/>
      <c r="AQ748" s="33"/>
      <c r="AR748" s="313"/>
      <c r="AS748" s="33"/>
      <c r="AT748" s="33"/>
      <c r="AU748" s="33"/>
      <c r="AV748" s="33"/>
      <c r="AW748" s="313"/>
      <c r="AX748" s="33"/>
      <c r="AY748" s="33"/>
      <c r="AZ748" s="33"/>
      <c r="BA748" s="33"/>
      <c r="BB748" s="313"/>
      <c r="BC748" s="33">
        <v>0</v>
      </c>
      <c r="BD748" s="33">
        <v>0</v>
      </c>
      <c r="BE748" s="33">
        <v>0</v>
      </c>
      <c r="BF748" s="33">
        <v>0</v>
      </c>
      <c r="BG748" s="313">
        <f>SUM(BC748:BF748)</f>
      </c>
      <c r="BH748" s="33">
        <v>0</v>
      </c>
      <c r="BI748" s="33">
        <v>0</v>
      </c>
      <c r="BJ748" s="33">
        <v>0</v>
      </c>
      <c r="BK748" s="33">
        <v>0</v>
      </c>
      <c r="BL748" s="313">
        <f>SUM(BH748:BK748)</f>
      </c>
      <c r="BM748" s="33"/>
      <c r="BN748" s="352"/>
      <c r="BO748" s="352"/>
      <c r="BP748" s="352"/>
      <c r="BQ748" s="313"/>
      <c r="BR748" s="352"/>
      <c r="BS748" s="352"/>
      <c r="BT748" s="352"/>
      <c r="BU748" s="352"/>
      <c r="BV748" s="313"/>
      <c r="BW748" s="352"/>
      <c r="BX748" s="352"/>
      <c r="BY748" s="352"/>
      <c r="BZ748" s="352"/>
      <c r="CA748" s="313">
        <f>SUM(BW748:BZ748)</f>
      </c>
      <c r="CB748" s="352"/>
      <c r="CC748" s="352"/>
      <c r="CD748" s="352"/>
      <c r="CE748" s="352"/>
      <c r="CF748" s="313">
        <f>SUM(CB748:CE748)</f>
      </c>
      <c r="CG748" s="352">
        <v>0</v>
      </c>
      <c r="CH748" s="352">
        <v>0</v>
      </c>
      <c r="CI748" s="352">
        <v>0</v>
      </c>
      <c r="CJ748" s="352">
        <v>0</v>
      </c>
      <c r="CK748" s="313">
        <f>SUM(CG748:CJ748)</f>
      </c>
      <c r="CL748" s="352">
        <v>0</v>
      </c>
      <c r="CM748" s="352">
        <v>0</v>
      </c>
      <c r="CN748" s="352">
        <v>0</v>
      </c>
      <c r="CO748" s="352">
        <v>0</v>
      </c>
      <c r="CP748" s="313">
        <f>SUM(CL748:CO748)</f>
      </c>
      <c r="CQ748" s="352">
        <v>0</v>
      </c>
      <c r="CR748" s="352">
        <v>0</v>
      </c>
      <c r="CS748" s="352">
        <v>0</v>
      </c>
      <c r="CT748" s="352">
        <v>0</v>
      </c>
      <c r="CU748" s="313">
        <f>SUM(CQ748:CT748)</f>
      </c>
      <c r="CV748" s="352">
        <v>0</v>
      </c>
      <c r="CW748" s="352">
        <v>0</v>
      </c>
      <c r="CX748" s="352">
        <v>0</v>
      </c>
      <c r="CY748" s="352">
        <v>0</v>
      </c>
      <c r="CZ748" s="313">
        <f>SUM(CV748:CY748)</f>
      </c>
      <c r="DA748" s="352">
        <v>0</v>
      </c>
      <c r="DB748" s="1217">
        <v>0</v>
      </c>
      <c r="DC748" s="1524">
        <f>+(1+DC753)*CX748</f>
      </c>
      <c r="DD748" s="1530">
        <f>+DE748-SUM(DA748:DC748)</f>
      </c>
      <c r="DE748" s="2063">
        <v>0</v>
      </c>
      <c r="DF748" s="1544">
        <v>0</v>
      </c>
      <c r="DG748" s="1544">
        <v>0</v>
      </c>
      <c r="DH748" s="1544">
        <v>0</v>
      </c>
      <c r="DI748" s="1553">
        <v>0</v>
      </c>
      <c r="DJ748" s="2063">
        <v>0</v>
      </c>
      <c r="DK748" s="1544">
        <v>0</v>
      </c>
      <c r="DL748" s="710">
        <v>0</v>
      </c>
      <c r="DM748" s="710">
        <v>0</v>
      </c>
      <c r="DN748" s="1839">
        <v>0</v>
      </c>
      <c r="DO748" s="1977">
        <v>0</v>
      </c>
      <c r="DP748" s="1544">
        <v>0</v>
      </c>
      <c r="DQ748" s="710">
        <v>0</v>
      </c>
      <c r="DR748" s="710">
        <v>0</v>
      </c>
      <c r="DS748" s="1839">
        <v>0</v>
      </c>
      <c r="DT748" s="2060">
        <v>0</v>
      </c>
      <c r="DU748" s="2121"/>
      <c r="DV748" s="2121"/>
      <c r="DW748" s="2121"/>
      <c r="DX748" s="1839">
        <v>0</v>
      </c>
      <c r="DY748" s="2060">
        <v>0</v>
      </c>
      <c r="DZ748" s="2222"/>
      <c r="EA748" s="2222"/>
      <c r="EB748" s="2222"/>
      <c r="EC748" s="2062"/>
      <c r="ED748" s="2060">
        <v>0</v>
      </c>
      <c r="EE748" s="2222"/>
      <c r="EF748" s="2222"/>
      <c r="EG748" s="2222"/>
      <c r="EH748" s="1556">
        <f>+EI748-SUM(EE748:EG748)</f>
      </c>
      <c r="EI748" s="573">
        <f>ED748*(1+EI753)</f>
      </c>
      <c r="EJ748" s="573">
        <f t="shared" si="1803"/>
      </c>
      <c r="EK748" s="1841">
        <f t="shared" si="1804"/>
      </c>
      <c r="EL748" s="573">
        <f t="shared" si="1805"/>
      </c>
      <c r="EM748" s="573">
        <f t="shared" si="1806"/>
      </c>
      <c r="EN748" s="573">
        <f t="shared" si="1807"/>
      </c>
      <c r="EO748" s="573">
        <f t="shared" si="1808"/>
      </c>
      <c r="EP748" s="573">
        <f t="shared" si="1809"/>
      </c>
      <c r="EQ748" s="573">
        <f t="shared" si="1810"/>
      </c>
      <c r="ER748" s="573">
        <f t="shared" si="1811"/>
      </c>
      <c r="ES748" s="573">
        <f t="shared" si="1812"/>
      </c>
      <c r="ET748" s="1557"/>
      <c r="EU748" s="1557"/>
      <c r="EV748" s="1557"/>
      <c r="EW748" s="1557"/>
      <c r="EX748" s="1557"/>
    </row>
    <row r="749" spans="1:154" ht="12.75" customHeight="1">
      <c r="A749" s="3277" t="s">
        <v>410</v>
      </c>
      <c r="B749" s="1168" t="s">
        <v>413</v>
      </c>
      <c r="C749" s="1989"/>
      <c r="D749" s="28"/>
      <c r="E749" s="28"/>
      <c r="F749" s="28"/>
      <c r="G749" s="28"/>
      <c r="H749" s="28"/>
      <c r="I749" s="31"/>
      <c r="J749" s="28"/>
      <c r="K749" s="28"/>
      <c r="L749" s="28"/>
      <c r="M749" s="28"/>
      <c r="N749" s="31"/>
      <c r="O749" s="31"/>
      <c r="P749" s="31"/>
      <c r="Q749" s="31"/>
      <c r="R749" s="31"/>
      <c r="S749" s="31"/>
      <c r="T749" s="31"/>
      <c r="U749" s="31"/>
      <c r="V749" s="31"/>
      <c r="W749" s="31"/>
      <c r="X749" s="313"/>
      <c r="Y749" s="31"/>
      <c r="Z749" s="31"/>
      <c r="AA749" s="31"/>
      <c r="AB749" s="31"/>
      <c r="AC749" s="313"/>
      <c r="AD749" s="31"/>
      <c r="AE749" s="31"/>
      <c r="AF749" s="31"/>
      <c r="AG749" s="31"/>
      <c r="AH749" s="313"/>
      <c r="AI749" s="28"/>
      <c r="AJ749" s="28"/>
      <c r="AK749" s="28"/>
      <c r="AL749" s="31"/>
      <c r="AM749" s="313"/>
      <c r="AN749" s="28"/>
      <c r="AO749" s="28"/>
      <c r="AP749" s="28"/>
      <c r="AQ749" s="31"/>
      <c r="AR749" s="313"/>
      <c r="AS749" s="28"/>
      <c r="AT749" s="28"/>
      <c r="AU749" s="28"/>
      <c r="AV749" s="31"/>
      <c r="AW749" s="313"/>
      <c r="AX749" s="28"/>
      <c r="AY749" s="28"/>
      <c r="AZ749" s="28"/>
      <c r="BA749" s="28"/>
      <c r="BB749" s="313"/>
      <c r="BC749" s="28"/>
      <c r="BD749" s="28">
        <f>SUM(BD747:BD748)</f>
      </c>
      <c r="BE749" s="28">
        <f>SUM(BE747:BE748)</f>
      </c>
      <c r="BF749" s="28">
        <f>SUM(BF747:BF748)</f>
      </c>
      <c r="BG749" s="313">
        <f t="shared" ref="BG749:CC749" si="1813">SUM(BG747:BG748)</f>
      </c>
      <c r="BH749" s="28">
        <f t="shared" si="1813"/>
      </c>
      <c r="BI749" s="28">
        <f t="shared" si="1813"/>
      </c>
      <c r="BJ749" s="28">
        <f t="shared" si="1813"/>
      </c>
      <c r="BK749" s="28">
        <f t="shared" si="1813"/>
      </c>
      <c r="BL749" s="313">
        <f t="shared" si="1813"/>
      </c>
      <c r="BM749" s="28">
        <f>SUM(BM747:BM748)</f>
      </c>
      <c r="BN749" s="28">
        <f>SUM(BN747:BN748)</f>
      </c>
      <c r="BO749" s="28">
        <f>SUM(BO747:BO748)</f>
      </c>
      <c r="BP749" s="28">
        <f>SUM(BP747:BP748)</f>
      </c>
      <c r="BQ749" s="313">
        <f t="shared" si="1813"/>
      </c>
      <c r="BR749" s="28">
        <f t="shared" si="1813"/>
      </c>
      <c r="BS749" s="28">
        <f t="shared" si="1813"/>
      </c>
      <c r="BT749" s="28">
        <f t="shared" si="1813"/>
      </c>
      <c r="BU749" s="28">
        <f>SUM(BU747:BU748)</f>
      </c>
      <c r="BV749" s="313">
        <f t="shared" si="1813"/>
      </c>
      <c r="BW749" s="28">
        <f>SUM(BW747:BW748)</f>
      </c>
      <c r="BX749" s="28">
        <f>SUM(BX747:BX748)</f>
      </c>
      <c r="BY749" s="28">
        <f>SUM(BY747:BY748)</f>
      </c>
      <c r="BZ749" s="28">
        <f>SUM(BZ747:BZ748)</f>
      </c>
      <c r="CA749" s="313">
        <f t="shared" si="1813"/>
      </c>
      <c r="CB749" s="28">
        <f t="shared" si="1813"/>
      </c>
      <c r="CC749" s="28">
        <f t="shared" si="1813"/>
      </c>
      <c r="CD749" s="28">
        <f>SUM(CD747:CD748)</f>
      </c>
      <c r="CE749" s="28">
        <f>SUM(CE747:CE748)</f>
      </c>
      <c r="CF749" s="313">
        <f>SUM(CB749:CE749)</f>
      </c>
      <c r="CG749" s="28">
        <f>SUM(CG747:CG748)</f>
      </c>
      <c r="CH749" s="28">
        <f>SUM(CH747:CH748)</f>
      </c>
      <c r="CI749" s="28">
        <f>SUM(CI747:CI748)</f>
      </c>
      <c r="CJ749" s="28">
        <f>SUM(CJ747:CJ748)</f>
      </c>
      <c r="CK749" s="313">
        <f>SUM(CG749:CJ749)</f>
      </c>
      <c r="CL749" s="28">
        <f>SUM(CL747:CL748)</f>
      </c>
      <c r="CM749" s="28">
        <f>SUM(CM747:CM748)</f>
      </c>
      <c r="CN749" s="28">
        <f>SUM(CN747:CN748)</f>
      </c>
      <c r="CO749" s="28">
        <f>SUM(CO747:CO748)</f>
      </c>
      <c r="CP749" s="313">
        <f>SUM(CL749:CO749)</f>
      </c>
      <c r="CQ749" s="933">
        <f>SUM(CQ747:CQ748)</f>
      </c>
      <c r="CR749" s="933">
        <f>SUM(CR747:CR748)</f>
      </c>
      <c r="CS749" s="933">
        <f>SUM(CS747:CS748)</f>
      </c>
      <c r="CT749" s="933">
        <f>SUM(CT747:CT748)</f>
      </c>
      <c r="CU749" s="313">
        <f>SUM(CQ749:CT749)</f>
      </c>
      <c r="CV749" s="933">
        <f>SUM(CV747:CV748)</f>
      </c>
      <c r="CW749" s="933">
        <f>SUM(CW747:CW748)</f>
      </c>
      <c r="CX749" s="933">
        <f>SUM(CX747:CX748)</f>
      </c>
      <c r="CY749" s="933">
        <f>SUM(CY747:CY748)</f>
      </c>
      <c r="CZ749" s="313">
        <f>SUM(CV749:CY749)</f>
      </c>
      <c r="DA749" s="933">
        <f>SUM(DA747:DA748)</f>
      </c>
      <c r="DB749" s="1227">
        <f>SUM(DB747:DB748)</f>
      </c>
      <c r="DC749" s="1531">
        <f>SUM(DC747:DC748)</f>
      </c>
      <c r="DD749" s="1530">
        <f>+DD747+DD748</f>
      </c>
      <c r="DE749" s="2065">
        <f>SUM(DE747:DE748)</f>
      </c>
      <c r="DF749" s="1840">
        <f>SUM(DF747:DF748)</f>
      </c>
      <c r="DG749" s="1544">
        <f>SUM(DG747:DG748)</f>
      </c>
      <c r="DH749" s="1840">
        <f>SUM(DH747:DH748)</f>
      </c>
      <c r="DI749" s="1556">
        <f>+DI747+DI748</f>
      </c>
      <c r="DJ749" s="2065">
        <f>SUM(DJ747:DJ748)</f>
      </c>
      <c r="DK749" s="1840">
        <f>SUM(DK747:DK748)</f>
      </c>
      <c r="DL749" s="1542">
        <f>SUM(DL747:DL748)</f>
      </c>
      <c r="DM749" s="1542">
        <f>SUM(DM747:DM748)</f>
      </c>
      <c r="DN749" s="1556">
        <f>+DN747+DN748</f>
      </c>
      <c r="DO749" s="573">
        <f>SUM(DO747:DO748)</f>
      </c>
      <c r="DP749" s="1840">
        <f>SUM(DP747:DP748)</f>
      </c>
      <c r="DQ749" s="1542">
        <f>SUM(DQ747:DQ748)</f>
      </c>
      <c r="DR749" s="1542">
        <f>SUM(DR747:DR748)</f>
      </c>
      <c r="DS749" s="1556">
        <f>+DS747+DS748</f>
      </c>
      <c r="DT749" s="573">
        <f>SUM(DT747:DT748)</f>
      </c>
      <c r="DU749" s="1840">
        <f>SUM(DU747:DU748)</f>
      </c>
      <c r="DV749" s="1840">
        <f>SUM(DV747:DV748)</f>
      </c>
      <c r="DW749" s="1840">
        <f>SUM(DW747:DW748)</f>
      </c>
      <c r="DX749" s="1556">
        <f>+DX747+DX748</f>
      </c>
      <c r="DY749" s="573">
        <f>SUM(DY747:DY748)</f>
      </c>
      <c r="DZ749" s="1542">
        <f>SUM(DZ747:DZ748)</f>
      </c>
      <c r="EA749" s="1542">
        <f>SUM(EA747:EA748)</f>
      </c>
      <c r="EB749" s="1542">
        <f>SUM(EB747:EB748)</f>
      </c>
      <c r="EC749" s="1556">
        <f>+EC747+EC748</f>
      </c>
      <c r="ED749" s="573">
        <f>SUM(ED747:ED748)</f>
      </c>
      <c r="EE749" s="1542">
        <f>SUM(EE747:EE748)</f>
      </c>
      <c r="EF749" s="1542">
        <f>SUM(EF747:EF748)</f>
      </c>
      <c r="EG749" s="1542">
        <f>SUM(EG747:EG748)</f>
      </c>
      <c r="EH749" s="1556">
        <f>+EH747+EH748</f>
      </c>
      <c r="EI749" s="573">
        <f t="shared" ref="EI749:ES749" si="1814">SUM(EI747:EI748)</f>
      </c>
      <c r="EJ749" s="573">
        <f t="shared" si="1814"/>
      </c>
      <c r="EK749" s="573">
        <f t="shared" si="1814"/>
      </c>
      <c r="EL749" s="1841">
        <f t="shared" si="1814"/>
      </c>
      <c r="EM749" s="1841">
        <f t="shared" si="1814"/>
      </c>
      <c r="EN749" s="1841">
        <f t="shared" si="1814"/>
      </c>
      <c r="EO749" s="1841">
        <f t="shared" si="1814"/>
      </c>
      <c r="EP749" s="1841">
        <f t="shared" si="1814"/>
      </c>
      <c r="EQ749" s="1841">
        <f t="shared" si="1814"/>
      </c>
      <c r="ER749" s="1841">
        <f t="shared" si="1814"/>
      </c>
      <c r="ES749" s="1841">
        <f t="shared" si="1814"/>
      </c>
      <c r="ET749" s="1788"/>
      <c r="EU749" s="1788"/>
      <c r="EV749" s="1788"/>
      <c r="EW749" s="1788"/>
      <c r="EX749" s="1788"/>
    </row>
    <row r="750" spans="1:154" ht="12.75" customHeight="1">
      <c r="A750" s="3277"/>
      <c r="B750" s="438"/>
      <c r="C750" s="1989"/>
      <c r="D750" s="28"/>
      <c r="E750" s="28"/>
      <c r="F750" s="28"/>
      <c r="G750" s="28"/>
      <c r="H750" s="28"/>
      <c r="I750" s="31"/>
      <c r="J750" s="28"/>
      <c r="K750" s="28"/>
      <c r="L750" s="28"/>
      <c r="M750" s="28"/>
      <c r="N750" s="31"/>
      <c r="O750" s="31"/>
      <c r="P750" s="31"/>
      <c r="Q750" s="31"/>
      <c r="R750" s="31"/>
      <c r="S750" s="31"/>
      <c r="T750" s="31"/>
      <c r="U750" s="31"/>
      <c r="V750" s="31"/>
      <c r="W750" s="31"/>
      <c r="X750" s="313"/>
      <c r="Y750" s="31"/>
      <c r="Z750" s="31"/>
      <c r="AA750" s="31"/>
      <c r="AB750" s="31"/>
      <c r="AC750" s="313"/>
      <c r="AD750" s="31"/>
      <c r="AE750" s="31"/>
      <c r="AF750" s="31"/>
      <c r="AG750" s="31"/>
      <c r="AH750" s="313"/>
      <c r="AI750" s="28"/>
      <c r="AJ750" s="28"/>
      <c r="AK750" s="28"/>
      <c r="AL750" s="31"/>
      <c r="AM750" s="313"/>
      <c r="AN750" s="28"/>
      <c r="AO750" s="28"/>
      <c r="AP750" s="28"/>
      <c r="AQ750" s="31"/>
      <c r="AR750" s="313"/>
      <c r="AS750" s="28"/>
      <c r="AT750" s="28"/>
      <c r="AU750" s="28"/>
      <c r="AV750" s="31"/>
      <c r="AW750" s="313"/>
      <c r="AX750" s="28"/>
      <c r="AY750" s="28"/>
      <c r="AZ750" s="28"/>
      <c r="BA750" s="28"/>
      <c r="BB750" s="313"/>
      <c r="BC750" s="28"/>
      <c r="BD750" s="28"/>
      <c r="BE750" s="28"/>
      <c r="BF750" s="28"/>
      <c r="BG750" s="313"/>
      <c r="BH750" s="28"/>
      <c r="BI750" s="28"/>
      <c r="BJ750" s="28"/>
      <c r="BK750" s="28"/>
      <c r="BL750" s="313"/>
      <c r="BM750" s="28"/>
      <c r="BN750" s="28"/>
      <c r="BO750" s="28"/>
      <c r="BP750" s="28"/>
      <c r="BQ750" s="313"/>
      <c r="BR750" s="28"/>
      <c r="BS750" s="28"/>
      <c r="BT750" s="28"/>
      <c r="BU750" s="28"/>
      <c r="BV750" s="313"/>
      <c r="BW750" s="28"/>
      <c r="BX750" s="28"/>
      <c r="BY750" s="28"/>
      <c r="BZ750" s="28"/>
      <c r="CA750" s="313"/>
      <c r="CB750" s="28"/>
      <c r="CC750" s="28"/>
      <c r="CD750" s="28"/>
      <c r="CE750" s="28"/>
      <c r="CF750" s="313"/>
      <c r="CG750" s="28"/>
      <c r="CH750" s="28"/>
      <c r="CI750" s="28"/>
      <c r="CJ750" s="28"/>
      <c r="CK750" s="313"/>
      <c r="CL750" s="28"/>
      <c r="CM750" s="28"/>
      <c r="CN750" s="933"/>
      <c r="CO750" s="28"/>
      <c r="CP750" s="313"/>
      <c r="CQ750" s="933"/>
      <c r="CR750" s="935"/>
      <c r="CS750" s="935"/>
      <c r="CT750" s="935"/>
      <c r="CU750" s="313"/>
      <c r="CV750" s="933"/>
      <c r="CW750" s="933"/>
      <c r="CX750" s="933"/>
      <c r="CY750" s="935"/>
      <c r="CZ750" s="313"/>
      <c r="DA750" s="933"/>
      <c r="DB750" s="1357"/>
      <c r="DC750" s="1357"/>
      <c r="DD750" s="1345"/>
      <c r="DE750" s="1811"/>
      <c r="DF750" s="1842"/>
      <c r="DG750" s="1822"/>
      <c r="DH750" s="1822"/>
      <c r="DI750" s="1798"/>
      <c r="DJ750" s="1799"/>
      <c r="DK750" s="1799"/>
      <c r="DL750" s="603"/>
      <c r="DM750" s="603"/>
      <c r="DN750" s="1798"/>
      <c r="DO750" s="477"/>
      <c r="DP750" s="603"/>
      <c r="DQ750" s="603"/>
      <c r="DR750" s="603"/>
      <c r="DS750" s="1798"/>
      <c r="DT750" s="477"/>
      <c r="DU750" s="603"/>
      <c r="DV750" s="603"/>
      <c r="DW750" s="603"/>
      <c r="DX750" s="1798"/>
      <c r="DY750" s="477"/>
      <c r="DZ750" s="603"/>
      <c r="EA750" s="603"/>
      <c r="EB750" s="603"/>
      <c r="EC750" s="1798"/>
      <c r="ED750" s="477"/>
      <c r="EE750" s="603"/>
      <c r="EF750" s="603"/>
      <c r="EG750" s="603"/>
      <c r="EH750" s="1798"/>
      <c r="EI750" s="477"/>
      <c r="EJ750" s="477"/>
      <c r="EK750" s="477"/>
      <c r="EL750" s="1798"/>
      <c r="EM750" s="1798"/>
      <c r="EN750" s="1798"/>
      <c r="EO750" s="1798"/>
      <c r="EP750" s="1798"/>
      <c r="EQ750" s="1798"/>
      <c r="ER750" s="1798"/>
      <c r="ES750" s="1798"/>
      <c r="ET750" s="1798"/>
      <c r="EU750" s="1798"/>
      <c r="EV750" s="1798"/>
      <c r="EW750" s="1798"/>
      <c r="EX750" s="1798"/>
    </row>
    <row r="751" spans="1:154" ht="12.75" customHeight="1">
      <c r="A751" s="3277"/>
      <c r="B751" s="1162" t="s">
        <v>939</v>
      </c>
      <c r="C751" s="1989"/>
      <c r="D751" s="28"/>
      <c r="E751" s="28"/>
      <c r="F751" s="28"/>
      <c r="G751" s="28"/>
      <c r="H751" s="28"/>
      <c r="I751" s="31"/>
      <c r="J751" s="28"/>
      <c r="K751" s="28"/>
      <c r="L751" s="28"/>
      <c r="M751" s="28"/>
      <c r="N751" s="31"/>
      <c r="O751" s="31"/>
      <c r="P751" s="31"/>
      <c r="Q751" s="31"/>
      <c r="R751" s="31"/>
      <c r="S751" s="31"/>
      <c r="T751" s="31"/>
      <c r="U751" s="31"/>
      <c r="V751" s="31"/>
      <c r="W751" s="31"/>
      <c r="X751" s="313"/>
      <c r="Y751" s="31"/>
      <c r="Z751" s="31"/>
      <c r="AA751" s="31"/>
      <c r="AB751" s="31"/>
      <c r="AC751" s="313"/>
      <c r="AD751" s="31"/>
      <c r="AE751" s="31"/>
      <c r="AF751" s="31"/>
      <c r="AG751" s="31"/>
      <c r="AH751" s="313"/>
      <c r="AI751" s="28"/>
      <c r="AJ751" s="28"/>
      <c r="AK751" s="28"/>
      <c r="AL751" s="31"/>
      <c r="AM751" s="313"/>
      <c r="AN751" s="28"/>
      <c r="AO751" s="28"/>
      <c r="AP751" s="28"/>
      <c r="AQ751" s="31"/>
      <c r="AR751" s="313"/>
      <c r="AS751" s="28"/>
      <c r="AT751" s="28"/>
      <c r="AU751" s="28"/>
      <c r="AV751" s="28"/>
      <c r="AW751" s="313"/>
      <c r="AX751" s="28"/>
      <c r="AY751" s="28"/>
      <c r="AZ751" s="28"/>
      <c r="BA751" s="28"/>
      <c r="BB751" s="313"/>
      <c r="BC751" s="28"/>
      <c r="BD751" s="28"/>
      <c r="BE751" s="28"/>
      <c r="BF751" s="28"/>
      <c r="BG751" s="313"/>
      <c r="BH751" s="28"/>
      <c r="BI751" s="28"/>
      <c r="BJ751" s="28"/>
      <c r="BK751" s="28"/>
      <c r="BL751" s="313"/>
      <c r="BM751" s="28"/>
      <c r="BN751" s="28"/>
      <c r="BO751" s="28"/>
      <c r="BP751" s="28"/>
      <c r="BQ751" s="313"/>
      <c r="BR751" s="28"/>
      <c r="BS751" s="28"/>
      <c r="BT751" s="28"/>
      <c r="BU751" s="28"/>
      <c r="BV751" s="313"/>
      <c r="BW751" s="28"/>
      <c r="BX751" s="28"/>
      <c r="BY751" s="28"/>
      <c r="BZ751" s="28"/>
      <c r="CA751" s="313"/>
      <c r="CB751" s="28"/>
      <c r="CC751" s="28"/>
      <c r="CD751" s="28"/>
      <c r="CE751" s="28"/>
      <c r="CF751" s="313"/>
      <c r="CG751" s="28"/>
      <c r="CH751" s="28"/>
      <c r="CI751" s="28"/>
      <c r="CJ751" s="28"/>
      <c r="CK751" s="313"/>
      <c r="CL751" s="961"/>
      <c r="CM751" s="28"/>
      <c r="CN751" s="933"/>
      <c r="CO751" s="28"/>
      <c r="CP751" s="313"/>
      <c r="CQ751" s="1175"/>
      <c r="CR751" s="1175"/>
      <c r="CS751" s="1175"/>
      <c r="CT751" s="1175"/>
      <c r="CU751" s="313"/>
      <c r="CV751" s="1175"/>
      <c r="CW751" s="1175"/>
      <c r="CX751" s="1175"/>
      <c r="CY751" s="1175"/>
      <c r="CZ751" s="313"/>
      <c r="DA751" s="1175"/>
      <c r="DB751" s="1357"/>
      <c r="DC751" s="1357"/>
      <c r="DD751" s="1345"/>
      <c r="DE751" s="1811"/>
      <c r="DF751" s="1843"/>
      <c r="DG751" s="1822"/>
      <c r="DH751" s="1822"/>
      <c r="DI751" s="1798"/>
      <c r="DJ751" s="1799"/>
      <c r="DK751" s="1799"/>
      <c r="DL751" s="603"/>
      <c r="DM751" s="603"/>
      <c r="DN751" s="1798"/>
      <c r="DO751" s="477"/>
      <c r="DP751" s="603"/>
      <c r="DQ751" s="603"/>
      <c r="DR751" s="603"/>
      <c r="DS751" s="1798"/>
      <c r="DT751" s="477"/>
      <c r="DU751" s="603"/>
      <c r="DV751" s="603"/>
      <c r="DW751" s="603"/>
      <c r="DX751" s="1798"/>
      <c r="DY751" s="477"/>
      <c r="DZ751" s="603"/>
      <c r="EA751" s="603"/>
      <c r="EB751" s="603"/>
      <c r="EC751" s="1798"/>
      <c r="ED751" s="477"/>
      <c r="EE751" s="603"/>
      <c r="EF751" s="603"/>
      <c r="EG751" s="603"/>
      <c r="EH751" s="1798"/>
      <c r="EI751" s="477"/>
      <c r="EJ751" s="477"/>
      <c r="EK751" s="477"/>
      <c r="EL751" s="1798"/>
      <c r="EM751" s="1798"/>
      <c r="EN751" s="1798"/>
      <c r="EO751" s="1798"/>
      <c r="EP751" s="1798"/>
      <c r="EQ751" s="1798"/>
      <c r="ER751" s="1798"/>
      <c r="ES751" s="1798"/>
      <c r="ET751" s="1798"/>
      <c r="EU751" s="1798"/>
      <c r="EV751" s="1798"/>
      <c r="EW751" s="1798"/>
      <c r="EX751" s="1798"/>
    </row>
    <row r="752" spans="1:154" ht="12.75" customHeight="1">
      <c r="A752" s="3277"/>
      <c r="B752" s="1169" t="s">
        <v>921</v>
      </c>
      <c r="C752" s="1989"/>
      <c r="D752" s="28"/>
      <c r="E752" s="28"/>
      <c r="F752" s="28"/>
      <c r="G752" s="28"/>
      <c r="H752" s="28"/>
      <c r="I752" s="31"/>
      <c r="J752" s="28"/>
      <c r="K752" s="28"/>
      <c r="L752" s="28"/>
      <c r="M752" s="28"/>
      <c r="N752" s="31"/>
      <c r="O752" s="31"/>
      <c r="P752" s="31"/>
      <c r="Q752" s="31"/>
      <c r="R752" s="31"/>
      <c r="S752" s="31"/>
      <c r="T752" s="31"/>
      <c r="U752" s="31"/>
      <c r="V752" s="31"/>
      <c r="W752" s="31"/>
      <c r="X752" s="308"/>
      <c r="Y752" s="30"/>
      <c r="Z752" s="30"/>
      <c r="AA752" s="30"/>
      <c r="AB752" s="30"/>
      <c r="AC752" s="308"/>
      <c r="AD752" s="30"/>
      <c r="AE752" s="30"/>
      <c r="AF752" s="30"/>
      <c r="AG752" s="30"/>
      <c r="AH752" s="308"/>
      <c r="AI752" s="30"/>
      <c r="AJ752" s="30"/>
      <c r="AK752" s="30"/>
      <c r="AL752" s="30"/>
      <c r="AM752" s="308"/>
      <c r="AN752" s="30"/>
      <c r="AO752" s="30"/>
      <c r="AP752" s="30"/>
      <c r="AQ752" s="30"/>
      <c r="AR752" s="308"/>
      <c r="AS752" s="30"/>
      <c r="AT752" s="30"/>
      <c r="AU752" s="30"/>
      <c r="AV752" s="30"/>
      <c r="AW752" s="308"/>
      <c r="AX752" s="30"/>
      <c r="AY752" s="30"/>
      <c r="AZ752" s="30"/>
      <c r="BA752" s="30"/>
      <c r="BB752" s="308"/>
      <c r="BC752" s="29"/>
      <c r="BD752" s="30"/>
      <c r="BE752" s="30"/>
      <c r="BF752" s="30"/>
      <c r="BG752" s="308"/>
      <c r="BH752" s="30"/>
      <c r="BI752" s="30"/>
      <c r="BJ752" s="30"/>
      <c r="BK752" s="30"/>
      <c r="BL752" s="308" t="str">
        <f t="shared" ref="BL752:BV752" si="1815">IF(BG747="NM","NM",IF(BL747="NM","NM",IF(BG747&lt;=0,"NM",IF(BL747=0,"NM",IF(ABS(BL747/BG747-1)&gt;2.5,"NM",IF((ABS(BL747-BG747)=ABS(ABS(BL747)-ABS(BG747))),(BL747/BG747-1),"NM"))))))</f>
      </c>
      <c r="BM752" s="30" t="str">
        <f t="shared" si="1815"/>
      </c>
      <c r="BN752" s="30" t="str">
        <f t="shared" si="1815"/>
      </c>
      <c r="BO752" s="30" t="str">
        <f t="shared" si="1815"/>
      </c>
      <c r="BP752" s="30" t="str">
        <f t="shared" si="1815"/>
      </c>
      <c r="BQ752" s="308" t="str">
        <f t="shared" si="1815"/>
      </c>
      <c r="BR752" s="30" t="str">
        <f t="shared" si="1815"/>
      </c>
      <c r="BS752" s="30" t="str">
        <f t="shared" si="1815"/>
      </c>
      <c r="BT752" s="30" t="str">
        <f t="shared" si="1815"/>
      </c>
      <c r="BU752" s="30">
        <f t="shared" si="1815"/>
      </c>
      <c r="BV752" s="308" t="str">
        <f t="shared" si="1815"/>
      </c>
      <c r="BW752" s="41">
        <f>IF(BR747="NM","NM",IF(BW747="NM","NM",IF(BR747&lt;=0,"NM",IF(BW747=0,"NM",IF(ABS(BW747/BR747-1)&gt;5,"NM",IF((ABS(BW747-BR747)=ABS(ABS(BW747)-ABS(BR747))),(BW747/BR747-1),"NM"))))))</f>
      </c>
      <c r="BX752" s="41">
        <f>IF(BS747="NM","NM",IF(BX747="NM","NM",IF(BS747&lt;=0,"NM",IF(BX747=0,"NM",IF(ABS(BX747/BS747-1)&gt;5,"NM",IF((ABS(BX747-BS747)=ABS(ABS(BX747)-ABS(BS747))),(BX747/BS747-1),"NM"))))))</f>
      </c>
      <c r="BY752" s="41">
        <f>IF(BT747="NM","NM",IF(BY747="NM","NM",IF(BT747&lt;=0,"NM",IF(BY747=0,"NM",IF(ABS(BY747/BT747-1)&gt;5,"NM",IF((ABS(BY747-BT747)=ABS(ABS(BY747)-ABS(BT747))),(BY747/BT747-1),"NM"))))))</f>
      </c>
      <c r="BZ752" s="30">
        <f>IF(BU747="NM","NM",IF(BZ747="NM","NM",IF(BU747&lt;=0,"NM",IF(BZ747=0,"NM",IF(ABS(BZ747/BU747-1)&gt;2.5,"NM",IF((ABS(BZ747-BU747)=ABS(ABS(BZ747)-ABS(BU747))),(BZ747/BU747-1),"NM"))))))</f>
      </c>
      <c r="CA752" s="308" t="str">
        <f>IF(BV747="NM","NM",IF(CA747="NM","NM",IF(BV747&lt;=0,"NM",IF(CA747=0,"NM",IF(ABS(CA747/BV747-1)&gt;2.5,"NM",IF((ABS(CA747-BV747)=ABS(ABS(CA747)-ABS(BV747))),(CA747/BV747-1),"NM"))))))</f>
      </c>
      <c r="CB752" s="41">
        <f>IF(BW747="NM","NM",IF(CB747="NM","NM",IF(BW747&lt;=0,"NM",IF(CB747=0,"NM",IF(ABS(CB747/BW747-1)&gt;5,"NM",IF((ABS(CB747-BW747)=ABS(ABS(CB747)-ABS(BW747))),(CB747/BW747-1),"NM"))))))</f>
      </c>
      <c r="CC752" s="41">
        <f>IF(BX747="NM","NM",IF(CC747="NM","NM",IF(BX747&lt;=0,"NM",IF(CC747=0,"NM",IF(ABS(CC747/BX747-1)&gt;5,"NM",IF((ABS(CC747-BX747)=ABS(ABS(CC747)-ABS(BX747))),(CC747/BX747-1),"NM"))))))</f>
      </c>
      <c r="CD752" s="41">
        <f>IF(BY747="NM","NM",IF(CD747="NM","NM",IF(BY747&lt;=0,"NM",IF(CD747=0,"NM",IF(ABS(CD747/BY747-1)&gt;5,"NM",IF((ABS(CD747-BY747)=ABS(ABS(CD747)-ABS(BY747))),(CD747/BY747-1),"NM"))))))</f>
      </c>
      <c r="CE752" s="30">
        <f>IF(BZ747="NM","NM",IF(CE747="NM","NM",IF(BZ747&lt;=0,"NM",IF(CE747=0,"NM",IF(ABS(CE747/BZ747-1)&gt;2.5,"NM",IF((ABS(CE747-BZ747)=ABS(ABS(CE747)-ABS(BZ747))),(CE747/BZ747-1),"NM"))))))</f>
      </c>
      <c r="CF752" s="308">
        <f>IF(CA747="NM","NM",IF(CF747="NM","NM",IF(CA747&lt;=0,"NM",IF(CF747=0,"NM",IF(ABS(CF747/CA747-1)&gt;2.5,"NM",IF((ABS(CF747-CA747)=ABS(ABS(CF747)-ABS(CA747))),(CF747/CA747-1),"NM"))))))</f>
      </c>
      <c r="CG752" s="41">
        <f>IF(CB747="NM","NM",IF(CG747="NM","NM",IF(CB747&lt;=0,"NM",IF(CG747=0,"NM",IF(ABS(CG747/CB747-1)&gt;5,"NM",IF((ABS(CG747-CB747)=ABS(ABS(CG747)-ABS(CB747))),(CG747/CB747-1),"NM"))))))</f>
      </c>
      <c r="CH752" s="41">
        <f>IF(CC747="NM","NM",IF(CH747="NM","NM",IF(CC747&lt;=0,"NM",IF(CH747=0,"NM",IF(ABS(CH747/CC747-1)&gt;5,"NM",IF((ABS(CH747-CC747)=ABS(ABS(CH747)-ABS(CC747))),(CH747/CC747-1),"NM"))))))</f>
      </c>
      <c r="CI752" s="41">
        <f>IF(CD747="NM","NM",IF(CI747="NM","NM",IF(CD747&lt;=0,"NM",IF(CI747=0,"NM",IF(ABS(CI747/CD747-1)&gt;5,"NM",IF((ABS(CI747-CD747)=ABS(ABS(CI747)-ABS(CD747))),(CI747/CD747-1),"NM"))))))</f>
      </c>
      <c r="CJ752" s="41">
        <f>IF(CE747="NM","NM",IF(CJ747="NM","NM",IF(CE747&lt;=0,"NM",IF(CJ747=0,"NM",IF(ABS(CJ747/CE747-1)&gt;5,"NM",IF((ABS(CJ747-CE747)=ABS(ABS(CJ747)-ABS(CE747))),(CJ747/CE747-1),"NM"))))))</f>
      </c>
      <c r="CK752" s="308">
        <f>IF(CF747=0, 0, CK747/CF747-1)</f>
      </c>
      <c r="CL752" s="41">
        <f>IF(CG747="NM","NM",IF(CL747="NM","NM",IF(CG747&lt;=0,"NM",IF(CL747=0,"NM",IF(ABS(CL747/CG747-1)&gt;5,"NM",IF((ABS(CL747-CG747)=ABS(ABS(CL747)-ABS(CG747))),(CL747/CG747-1),"NM"))))))</f>
      </c>
      <c r="CM752" s="41">
        <f>IF(CH747="NM","NM",IF(CM747="NM","NM",IF(CH747&lt;=0,"NM",IF(CM747=0,"NM",IF(ABS(CM747/CH747-1)&gt;5,"NM",IF((ABS(CM747-CH747)=ABS(ABS(CM747)-ABS(CH747))),(CM747/CH747-1),"NM"))))))</f>
      </c>
      <c r="CN752" s="41">
        <f>IF(CI747="NM","NM",IF(CN747="NM","NM",IF(CI747&lt;=0,"NM",IF(CN747=0,"NM",IF(ABS(CN747/CI747-1)&gt;5,"NM",IF((ABS(CN747-CI747)=ABS(ABS(CN747)-ABS(CI747))),(CN747/CI747-1),"NM"))))))</f>
      </c>
      <c r="CO752" s="41">
        <f>IF(CJ747="NM","NM",IF(CO747="NM","NM",IF(CJ747&lt;=0,"NM",IF(CO747=0,"NM",IF(ABS(CO747/CJ747-1)&gt;5,"NM",IF((ABS(CO747-CJ747)=ABS(ABS(CO747)-ABS(CJ747))),(CO747/CJ747-1),"NM"))))))</f>
      </c>
      <c r="CP752" s="308">
        <f>IF(CK747=0, 0, CP747/CK747-1)</f>
      </c>
      <c r="CQ752" s="1230">
        <f>IF(CL747="NM","NM",IF(CQ747="NM","NM",IF(CL747&lt;=0,"NM",IF(CQ747=0,"NM",IF(ABS(CQ747/CL747-1)&gt;5,"NM",IF((ABS(CQ747-CL747)=ABS(ABS(CQ747)-ABS(CL747))),(CQ747/CL747-1),"NM"))))))</f>
      </c>
      <c r="CR752" s="1219">
        <f>IF(CM747="NM","NM",IF(CR747="NM","NM",IF(CM747&lt;=0,"NM",IF(CR747=0,"NM",IF(ABS(CR747/CM747-1)&gt;5,"NM",IF((ABS(CR747-CM747)=ABS(ABS(CR747)-ABS(CM747))),(CR747/CM747-1),"NM"))))))</f>
      </c>
      <c r="CS752" s="1219">
        <f>IF(CN747="NM","NM",IF(CS747="NM","NM",IF(CN747&lt;=0,"NM",IF(CS747=0,"NM",IF(ABS(CS747/CN747-1)&gt;5,"NM",IF((ABS(CS747-CN747)=ABS(ABS(CS747)-ABS(CN747))),(CS747/CN747-1),"NM"))))))</f>
      </c>
      <c r="CT752" s="1219">
        <f>IF(CO747="NM","NM",IF(CT747="NM","NM",IF(CO747&lt;=0,"NM",IF(CT747=0,"NM",IF(ABS(CT747/CO747-1)&gt;5,"NM",IF((ABS(CT747-CO747)=ABS(ABS(CT747)-ABS(CO747))),(CT747/CO747-1),"NM"))))))</f>
      </c>
      <c r="CU752" s="308">
        <f>IF(CP747=0, 0, CU747/CP747-1)</f>
      </c>
      <c r="CV752" s="1230">
        <f>IF(CQ747="NM","NM",IF(CV747="NM","NM",IF(CQ747&lt;=0,"NM",IF(CV747=0,"NM",IF(ABS(CV747/CQ747-1)&gt;5,"NM",IF((ABS(CV747-CQ747)=ABS(ABS(CV747)-ABS(CQ747))),(CV747/CQ747-1),"NM"))))))</f>
      </c>
      <c r="CW752" s="1230">
        <f>IF(CR747="NM","NM",IF(CW747="NM","NM",IF(CR747&lt;=0,"NM",IF(CW747=0,"NM",IF(ABS(CW747/CR747-1)&gt;5,"NM",IF((ABS(CW747-CR747)=ABS(ABS(CW747)-ABS(CR747))),(CW747/CR747-1),"NM"))))))</f>
      </c>
      <c r="CX752" s="1230">
        <f>IF(CS747="NM","NM",IF(CX747="NM","NM",IF(CS747&lt;=0,"NM",IF(CX747=0,"NM",IF(ABS(CX747/CS747-1)&gt;5,"NM",IF((ABS(CX747-CS747)=ABS(ABS(CX747)-ABS(CS747))),(CX747/CS747-1),"NM"))))))</f>
      </c>
      <c r="CY752" s="1219">
        <f>IF(CT747="NM","NM",IF(CY747="NM","NM",IF(CT747&lt;=0,"NM",IF(CY747=0,"NM",IF(ABS(CY747/CT747-1)&gt;5,"NM",IF((ABS(CY747-CT747)=ABS(ABS(CY747)-ABS(CT747))),(CY747/CT747-1),"NM"))))))</f>
      </c>
      <c r="CZ752" s="308">
        <f>IF(CU747=0, 0, CZ747/CU747-1)</f>
      </c>
      <c r="DA752" s="1230">
        <f>IF(CV747="NM","NM",IF(DA747="NM","NM",IF(CV747&lt;=0,"NM",IF(DA747=0,"NM",IF(ABS(DA747/CV747-1)&gt;5,"NM",IF((ABS(DA747-CV747)=ABS(ABS(DA747)-ABS(CV747))),(DA747/CV747-1),"NM"))))))</f>
      </c>
      <c r="DB752" s="1230">
        <f>IF(CW747="NM","NM",IF(DB747="NM","NM",IF(CW747&lt;=0,"NM",IF(DB747=0,"NM",IF(ABS(DB747/CW747-1)&gt;5,"NM",IF((ABS(DB747-CW747)=ABS(ABS(DB747)-ABS(CW747))),(DB747/CW747-1),"NM"))))))</f>
      </c>
      <c r="DC752" s="1230">
        <f>IF(CX747="NM","NM",IF(DC747="NM","NM",IF(CX747&lt;=0,"NM",IF(DC747=0,"NM",IF(ABS(DC747/CX747-1)&gt;5,"NM",IF((ABS(DC747-CX747)=ABS(ABS(DC747)-ABS(CX747))),(DC747/CX747-1),"NM"))))))</f>
      </c>
      <c r="DD752" s="1525">
        <f>IF(DD747=0,"NM",+DD747/CY747-1)</f>
      </c>
      <c r="DE752" s="1233">
        <f>IF(CZ747=0, 0, DE747/CZ747-1)</f>
      </c>
      <c r="DF752" s="1219">
        <f>DF747/DA747-1</f>
      </c>
      <c r="DG752" s="1219">
        <f>IF(DB747="NM","NM",IF(DG747="NM","NM",IF(DB747&lt;=0,"NM",IF(DG747=0,"NM",IF(ABS(DG747/DB747-1)&gt;5,"NM",IF((ABS(DG747-DB747)=ABS(ABS(DG747)-ABS(DB747))),(DG747/DB747-1),"NM"))))))</f>
      </c>
      <c r="DH752" s="1219">
        <f>IF(DC747="NM","NM",IF(DH747="NM","NM",IF(DC747&lt;=0,"NM",IF(DH747=0,"NM",IF(ABS(DH747/DC747-1)&gt;5,"NM",IF((ABS(DH747-DC747)=ABS(ABS(DH747)-ABS(DC747))),(DH747/DC747-1),"NM"))))))</f>
      </c>
      <c r="DI752" s="1235">
        <f>IF(DI747=0,"NM",+DI747/DD747-1)</f>
      </c>
      <c r="DJ752" s="1233">
        <f>IF(DE747=0, 0, DJ747/DE747-1)</f>
      </c>
      <c r="DK752" s="1219">
        <f>DK747/DF747-1</f>
      </c>
      <c r="DL752" s="1219">
        <f>IF(DG747="NM","NM",IF(DL747="NM","NM",IF(DG747&lt;=0,"NM",IF(DL747=0,"NM",IF(ABS(DL747/DG747-1)&gt;5,"NM",IF((ABS(DL747-DG747)=ABS(ABS(DL747)-ABS(DG747))),(DL747/DG747-1),"NM"))))))</f>
      </c>
      <c r="DM752" s="1219">
        <f>IF(DH747="NM","NM",IF(DM747="NM","NM",IF(DH747&lt;=0,"NM",IF(DM747=0,"NM",IF(ABS(DM747/DH747-1)&gt;5,"NM",IF((ABS(DM747-DH747)=ABS(ABS(DM747)-ABS(DH747))),(DM747/DH747-1),"NM"))))))</f>
      </c>
      <c r="DN752" s="928">
        <f>IF(DN747=0,"NM",+DN747/DI747-1)</f>
      </c>
      <c r="DO752" s="1233">
        <f>IF(DJ747=0, 0, DO747/DJ747-1)</f>
      </c>
      <c r="DP752" s="1219">
        <f>DP747/DK747-1</f>
      </c>
      <c r="DQ752" s="1219">
        <f>IF(DL747="NM","NM",IF(DQ747="NM","NM",IF(DL747&lt;=0,"NM",IF(DQ747=0,"NM",IF(ABS(DQ747/DL747-1)&gt;5,"NM",IF((ABS(DQ747-DL747)=ABS(ABS(DQ747)-ABS(DL747))),(DQ747/DL747-1),"NM"))))))</f>
      </c>
      <c r="DR752" s="1219">
        <f>IF(DM747="NM","NM",IF(DR747="NM","NM",IF(DM747&lt;=0,"NM",IF(DR747=0,"NM",IF(ABS(DR747/DM747-1)&gt;5,"NM",IF((ABS(DR747-DM747)=ABS(ABS(DR747)-ABS(DM747))),(DR747/DM747-1),"NM"))))))</f>
      </c>
      <c r="DS752" s="1235">
        <f>IF(DN747="NM","NM",IF(DS747="NM","NM",IF(DN747&lt;=0,"NM",IF(DS747=0,"NM",IF(ABS(DS747/DN747-1)&gt;5,"NM",IF((ABS(DS747-DN747)=ABS(ABS(DS747)-ABS(DN747))),(DS747/DN747-1),"NM"))))))</f>
      </c>
      <c r="DT752" s="1233">
        <f>IF(DO747=0, 0, DT747/DO747-1)</f>
      </c>
      <c r="DU752" s="1219">
        <f>DU747/DP747-1</f>
      </c>
      <c r="DV752" s="1219">
        <f>DV747/DQ747-1</f>
      </c>
      <c r="DW752" s="1219">
        <f>DW747/DR747-1</f>
      </c>
      <c r="DX752" s="1235">
        <f>IF(DS747="NM","NM",IF(DX747="NM","NM",IF(DS747&lt;=0,"NM",IF(DX747=0,"NM",IF(ABS(DX747/DS747-1)&gt;5,"NM",IF((ABS(DX747-DS747)=ABS(ABS(DX747)-ABS(DS747))),(DX747/DS747-1),"NM"))))))</f>
      </c>
      <c r="DY752" s="1233">
        <f>IF(DT747=0, 0, DY747/DT747-1)</f>
      </c>
      <c r="DZ752" s="1219">
        <f>DZ747/DU747-1</f>
      </c>
      <c r="EA752" s="1219">
        <f>EA747/DV747-1</f>
      </c>
      <c r="EB752" s="1219">
        <f>EB747/DW747-1</f>
      </c>
      <c r="EC752" s="1235">
        <f>IF(DX747="NM","NM",IF(EC747="NM","NM",IF(DX747&lt;=0,"NM",IF(EC747=0,"NM",IF(ABS(EC747/DX747-1)&gt;5,"NM",IF((ABS(EC747-DX747)=ABS(ABS(EC747)-ABS(DX747))),(EC747/DX747-1),"NM"))))))</f>
      </c>
      <c r="ED752" s="1233">
        <f>IF(DY747=0, 0, ED747/DY747-1)</f>
      </c>
      <c r="EE752" s="1219">
        <f>EE747/DZ747-1</f>
      </c>
      <c r="EF752" s="1219">
        <f>EF747/EA747-1</f>
      </c>
      <c r="EG752" s="1219">
        <f>EG747/EB747-1</f>
      </c>
      <c r="EH752" s="1063">
        <f>IF(EH747=0,"NM",+EH747/EC747-1)</f>
      </c>
      <c r="EI752" s="660">
        <v>8.5000000000000006E-2</v>
      </c>
      <c r="EJ752" s="673">
        <v>-0.06</v>
      </c>
      <c r="EK752" s="673">
        <v>-0.4</v>
      </c>
      <c r="EL752" s="673">
        <v>-0.3</v>
      </c>
      <c r="EM752" s="673">
        <v>-0.15</v>
      </c>
      <c r="EN752" s="673">
        <v>-0.45</v>
      </c>
      <c r="EO752" s="673">
        <v>-0.6</v>
      </c>
      <c r="EP752" s="673">
        <v>-0.25</v>
      </c>
      <c r="EQ752" s="673">
        <v>-0.15</v>
      </c>
      <c r="ER752" s="673">
        <v>-0.5</v>
      </c>
      <c r="ES752" s="673">
        <v>-0.05</v>
      </c>
      <c r="ET752" s="660"/>
      <c r="EU752" s="660"/>
      <c r="EV752" s="660"/>
      <c r="EW752" s="660"/>
      <c r="EX752" s="660"/>
    </row>
    <row r="753" spans="2:154" ht="12.75" hidden="1" customHeight="1" outlineLevel="1">
      <c r="B753" s="1169" t="s">
        <v>412</v>
      </c>
      <c r="C753" s="1989"/>
      <c r="D753" s="28"/>
      <c r="E753" s="28"/>
      <c r="F753" s="28"/>
      <c r="G753" s="28"/>
      <c r="H753" s="28"/>
      <c r="I753" s="31"/>
      <c r="J753" s="28"/>
      <c r="K753" s="28"/>
      <c r="L753" s="28"/>
      <c r="M753" s="28"/>
      <c r="N753" s="31"/>
      <c r="O753" s="31"/>
      <c r="P753" s="31"/>
      <c r="Q753" s="31"/>
      <c r="R753" s="31"/>
      <c r="S753" s="31"/>
      <c r="T753" s="31"/>
      <c r="U753" s="31"/>
      <c r="V753" s="31"/>
      <c r="W753" s="31"/>
      <c r="X753" s="308"/>
      <c r="Y753" s="30"/>
      <c r="Z753" s="30"/>
      <c r="AA753" s="30"/>
      <c r="AB753" s="30"/>
      <c r="AC753" s="308"/>
      <c r="AD753" s="30"/>
      <c r="AE753" s="30"/>
      <c r="AF753" s="30"/>
      <c r="AG753" s="30"/>
      <c r="AH753" s="308"/>
      <c r="AI753" s="30"/>
      <c r="AJ753" s="30"/>
      <c r="AK753" s="30"/>
      <c r="AL753" s="30"/>
      <c r="AM753" s="308"/>
      <c r="AN753" s="30"/>
      <c r="AO753" s="30"/>
      <c r="AP753" s="30"/>
      <c r="AQ753" s="30"/>
      <c r="AR753" s="308"/>
      <c r="AS753" s="30"/>
      <c r="AT753" s="30"/>
      <c r="AU753" s="30"/>
      <c r="AV753" s="30"/>
      <c r="AW753" s="308"/>
      <c r="AX753" s="30"/>
      <c r="AY753" s="30"/>
      <c r="AZ753" s="30"/>
      <c r="BA753" s="30"/>
      <c r="BB753" s="308"/>
      <c r="BC753" s="29"/>
      <c r="BD753" s="30"/>
      <c r="BE753" s="30"/>
      <c r="BF753" s="30"/>
      <c r="BG753" s="308"/>
      <c r="BH753" s="30"/>
      <c r="BI753" s="30"/>
      <c r="BJ753" s="30"/>
      <c r="BK753" s="30"/>
      <c r="BL753" s="308"/>
      <c r="BM753" s="30"/>
      <c r="BN753" s="30"/>
      <c r="BO753" s="30"/>
      <c r="BP753" s="30"/>
      <c r="BQ753" s="308"/>
      <c r="BR753" s="30"/>
      <c r="BS753" s="30"/>
      <c r="BT753" s="30"/>
      <c r="BU753" s="30"/>
      <c r="BV753" s="308"/>
      <c r="BW753" s="30"/>
      <c r="BX753" s="30"/>
      <c r="BY753" s="30"/>
      <c r="BZ753" s="30"/>
      <c r="CA753" s="308"/>
      <c r="CB753" s="30"/>
      <c r="CC753" s="30"/>
      <c r="CD753" s="30"/>
      <c r="CE753" s="30"/>
      <c r="CF753" s="308"/>
      <c r="CG753" s="30"/>
      <c r="CH753" s="30"/>
      <c r="CI753" s="30"/>
      <c r="CJ753" s="30"/>
      <c r="CK753" s="308">
        <f>IF(CF748=0, 0, CK748/CF748-1)</f>
      </c>
      <c r="CL753" s="30"/>
      <c r="CM753" s="30"/>
      <c r="CN753" s="30"/>
      <c r="CO753" s="30"/>
      <c r="CP753" s="308">
        <f>IF(CK748=0, 0, CP748/CK748-1)</f>
      </c>
      <c r="CQ753" s="1219"/>
      <c r="CR753" s="1219"/>
      <c r="CS753" s="1219"/>
      <c r="CT753" s="1219"/>
      <c r="CU753" s="308">
        <f>IF(CP748=0, 0, CU748/CP748-1)</f>
      </c>
      <c r="CV753" s="1219"/>
      <c r="CW753" s="1219"/>
      <c r="CX753" s="1219"/>
      <c r="CY753" s="1219"/>
      <c r="CZ753" s="308">
        <f>IF(CU748=0, 0, CZ748/CU748-1)</f>
      </c>
      <c r="DA753" s="1219"/>
      <c r="DB753" s="1219"/>
      <c r="DC753" s="1526"/>
      <c r="DD753" s="1235" t="str">
        <f>IF(DD748=0, "NM", DD748/CY748-1)</f>
      </c>
      <c r="DE753" s="1233">
        <f>IF(CZ748=0, 0, DE748/CZ748-1)</f>
      </c>
      <c r="DF753" s="1219">
        <f>DF754+DF$21</f>
      </c>
      <c r="DG753" s="1219"/>
      <c r="DH753" s="1219">
        <f>DH754+DH$21</f>
      </c>
      <c r="DI753" s="1235" t="str">
        <f>IF(DI748=0, "NM", DI748/DD748-1)</f>
      </c>
      <c r="DJ753" s="1233">
        <f>IF(DE748=0, 0, DJ748/DE748-1)</f>
      </c>
      <c r="DK753" s="1219">
        <f>DK754+DK$21</f>
      </c>
      <c r="DL753" s="1219"/>
      <c r="DM753" s="30"/>
      <c r="DN753" s="928" t="str">
        <f>IF(DN748=0, "NM", DN748/DI748-1)</f>
      </c>
      <c r="DO753" s="1233">
        <f>IF(DJ748=0, 0, DO748/DJ748-1)</f>
      </c>
      <c r="DP753" s="926"/>
      <c r="DQ753" s="1219"/>
      <c r="DR753" s="1219"/>
      <c r="DS753" s="1235"/>
      <c r="DT753" s="1233">
        <f>IF(DO748=0, 0, DT748/DO748-1)</f>
      </c>
      <c r="DU753" s="926"/>
      <c r="DV753" s="926"/>
      <c r="DW753" s="926"/>
      <c r="DX753" s="1235"/>
      <c r="DY753" s="1233">
        <f>IF(DT748=0, 0, DY748/DT748-1)</f>
      </c>
      <c r="DZ753" s="926"/>
      <c r="EA753" s="926"/>
      <c r="EB753" s="926"/>
      <c r="EC753" s="928"/>
      <c r="ED753" s="1233">
        <f>IF(DY748=0, 0, ED748/DY748-1)</f>
      </c>
      <c r="EE753" s="926"/>
      <c r="EF753" s="926"/>
      <c r="EG753" s="926"/>
      <c r="EH753" s="928"/>
      <c r="EI753" s="308"/>
      <c r="EJ753" s="308"/>
      <c r="EK753" s="308"/>
      <c r="EL753" s="409"/>
      <c r="EM753" s="409"/>
      <c r="EN753" s="409"/>
      <c r="EO753" s="409"/>
      <c r="EP753" s="409"/>
      <c r="EQ753" s="409"/>
      <c r="ER753" s="409"/>
      <c r="ES753" s="409"/>
      <c r="ET753" s="409"/>
      <c r="EU753" s="409"/>
      <c r="EV753" s="409"/>
      <c r="EW753" s="409"/>
      <c r="EX753" s="409"/>
    </row>
    <row r="754" spans="2:154" ht="12.75" hidden="1" customHeight="1" outlineLevel="1">
      <c r="B754" s="1169" t="s">
        <v>256</v>
      </c>
      <c r="C754" s="1989"/>
      <c r="D754" s="28"/>
      <c r="E754" s="28"/>
      <c r="F754" s="28"/>
      <c r="G754" s="28"/>
      <c r="H754" s="28"/>
      <c r="I754" s="31"/>
      <c r="J754" s="28"/>
      <c r="K754" s="28"/>
      <c r="L754" s="28"/>
      <c r="M754" s="28"/>
      <c r="N754" s="31"/>
      <c r="O754" s="31"/>
      <c r="P754" s="31"/>
      <c r="Q754" s="31"/>
      <c r="R754" s="31"/>
      <c r="S754" s="31"/>
      <c r="T754" s="31"/>
      <c r="U754" s="31"/>
      <c r="V754" s="31"/>
      <c r="W754" s="31"/>
      <c r="X754" s="214"/>
      <c r="Y754" s="24"/>
      <c r="Z754" s="24"/>
      <c r="AA754" s="24"/>
      <c r="AB754" s="24"/>
      <c r="AC754" s="214"/>
      <c r="AD754" s="24"/>
      <c r="AE754" s="24"/>
      <c r="AF754" s="24"/>
      <c r="AG754" s="24"/>
      <c r="AH754" s="214"/>
      <c r="AI754" s="1"/>
      <c r="AJ754" s="1"/>
      <c r="AK754" s="1"/>
      <c r="AL754" s="24"/>
      <c r="AM754" s="214"/>
      <c r="AN754" s="1"/>
      <c r="AO754" s="1"/>
      <c r="AP754" s="1"/>
      <c r="AQ754" s="24"/>
      <c r="AR754" s="214"/>
      <c r="AS754" s="1"/>
      <c r="AT754" s="1"/>
      <c r="AU754" s="1"/>
      <c r="AV754" s="24"/>
      <c r="AW754" s="214"/>
      <c r="AX754" s="1"/>
      <c r="AY754" s="1"/>
      <c r="AZ754" s="1"/>
      <c r="BA754" s="1"/>
      <c r="BB754" s="214"/>
      <c r="BC754" s="1"/>
      <c r="BD754" s="1"/>
      <c r="BE754" s="1"/>
      <c r="BF754" s="1"/>
      <c r="BG754" s="309"/>
      <c r="BH754" s="1"/>
      <c r="BI754" s="1"/>
      <c r="BJ754" s="1"/>
      <c r="BK754" s="1"/>
      <c r="BL754" s="308"/>
      <c r="BM754" s="41"/>
      <c r="BN754" s="41"/>
      <c r="BO754" s="41"/>
      <c r="BP754" s="30"/>
      <c r="BQ754" s="308"/>
      <c r="BR754" s="41"/>
      <c r="BS754" s="41"/>
      <c r="BT754" s="41"/>
      <c r="BU754" s="30"/>
      <c r="BV754" s="308"/>
      <c r="BW754" s="41"/>
      <c r="BX754" s="41"/>
      <c r="BY754" s="41"/>
      <c r="BZ754" s="41"/>
      <c r="CA754" s="308"/>
      <c r="CB754" s="29"/>
      <c r="CC754" s="41"/>
      <c r="CD754" s="41"/>
      <c r="CE754" s="41"/>
      <c r="CF754" s="308"/>
      <c r="CG754" s="29"/>
      <c r="CH754" s="29"/>
      <c r="CI754" s="29"/>
      <c r="CJ754" s="29"/>
      <c r="CK754" s="315">
        <f>CK753-CK$21</f>
      </c>
      <c r="CL754" s="29"/>
      <c r="CM754" s="29"/>
      <c r="CN754" s="29"/>
      <c r="CO754" s="29"/>
      <c r="CP754" s="315">
        <f>CP753-CP$21</f>
      </c>
      <c r="CQ754" s="1219"/>
      <c r="CR754" s="1219"/>
      <c r="CS754" s="1219"/>
      <c r="CT754" s="1219"/>
      <c r="CU754" s="315">
        <f>CU753-CU$21</f>
      </c>
      <c r="CV754" s="1219"/>
      <c r="CW754" s="1219"/>
      <c r="CX754" s="1219"/>
      <c r="CY754" s="1219"/>
      <c r="CZ754" s="315">
        <f>CZ753-CZ$21</f>
      </c>
      <c r="DA754" s="1219"/>
      <c r="DB754" s="1219"/>
      <c r="DC754" s="1109"/>
      <c r="DD754" s="1525" t="str">
        <f>IF(DD748=0, "NM",DD753-DD$21)</f>
      </c>
      <c r="DE754" s="1233">
        <f>DE753-DE$21</f>
      </c>
      <c r="DF754" s="1219">
        <v>0</v>
      </c>
      <c r="DG754" s="1219"/>
      <c r="DH754" s="1208">
        <v>0</v>
      </c>
      <c r="DI754" s="1235" t="str">
        <f>IF(DI748=0, "NM",DI753-DI$21)</f>
      </c>
      <c r="DJ754" s="1233">
        <f>DJ753-DJ$21</f>
      </c>
      <c r="DK754" s="1219">
        <v>0</v>
      </c>
      <c r="DL754" s="1219"/>
      <c r="DM754" s="29"/>
      <c r="DN754" s="928" t="str">
        <f>IF(DN748=0, "NM",DN753-DN$21)</f>
      </c>
      <c r="DO754" s="1233">
        <f>DO753-DO$21</f>
      </c>
      <c r="DP754" s="926"/>
      <c r="DQ754" s="1219"/>
      <c r="DR754" s="1219"/>
      <c r="DS754" s="1235"/>
      <c r="DT754" s="1233">
        <f>DT753-DT$21</f>
      </c>
      <c r="DU754" s="926"/>
      <c r="DV754" s="926"/>
      <c r="DW754" s="926"/>
      <c r="DX754" s="1235"/>
      <c r="DY754" s="1233">
        <f>DY753-DY$21</f>
      </c>
      <c r="DZ754" s="2216"/>
      <c r="EA754" s="2216"/>
      <c r="EB754" s="2216"/>
      <c r="EC754" s="1063"/>
      <c r="ED754" s="1233">
        <f>ED753-ED$21</f>
      </c>
      <c r="EE754" s="2216"/>
      <c r="EF754" s="2216"/>
      <c r="EG754" s="2216"/>
      <c r="EH754" s="1063"/>
      <c r="EI754" s="660"/>
      <c r="EJ754" s="673"/>
      <c r="EK754" s="673"/>
      <c r="EL754" s="660"/>
      <c r="EM754" s="660"/>
      <c r="EN754" s="660"/>
      <c r="EO754" s="660"/>
      <c r="EP754" s="660"/>
      <c r="EQ754" s="660"/>
      <c r="ER754" s="660"/>
      <c r="ES754" s="660"/>
      <c r="ET754" s="660"/>
      <c r="EU754" s="660"/>
      <c r="EV754" s="660"/>
      <c r="EW754" s="660"/>
      <c r="EX754" s="660"/>
    </row>
    <row r="755" spans="2:154" ht="12.75" customHeight="1" collapsed="1">
      <c r="B755" s="1169" t="s">
        <v>413</v>
      </c>
      <c r="C755" s="1989"/>
      <c r="D755" s="28"/>
      <c r="E755" s="28"/>
      <c r="F755" s="28"/>
      <c r="G755" s="28"/>
      <c r="H755" s="28"/>
      <c r="I755" s="31"/>
      <c r="J755" s="28"/>
      <c r="K755" s="28"/>
      <c r="L755" s="28"/>
      <c r="M755" s="28"/>
      <c r="N755" s="31"/>
      <c r="O755" s="31"/>
      <c r="P755" s="31"/>
      <c r="Q755" s="31"/>
      <c r="R755" s="31"/>
      <c r="S755" s="31"/>
      <c r="T755" s="31"/>
      <c r="U755" s="31"/>
      <c r="V755" s="31"/>
      <c r="W755" s="31"/>
      <c r="X755" s="308"/>
      <c r="Y755" s="30"/>
      <c r="Z755" s="30"/>
      <c r="AA755" s="30"/>
      <c r="AB755" s="30"/>
      <c r="AC755" s="308"/>
      <c r="AD755" s="30"/>
      <c r="AE755" s="30"/>
      <c r="AF755" s="30"/>
      <c r="AG755" s="30"/>
      <c r="AH755" s="308"/>
      <c r="AI755" s="30"/>
      <c r="AJ755" s="30"/>
      <c r="AK755" s="30"/>
      <c r="AL755" s="30"/>
      <c r="AM755" s="308"/>
      <c r="AN755" s="30"/>
      <c r="AO755" s="30"/>
      <c r="AP755" s="30"/>
      <c r="AQ755" s="30"/>
      <c r="AR755" s="308"/>
      <c r="AS755" s="30"/>
      <c r="AT755" s="30"/>
      <c r="AU755" s="30"/>
      <c r="AV755" s="30"/>
      <c r="AW755" s="308"/>
      <c r="AX755" s="30"/>
      <c r="AY755" s="30"/>
      <c r="AZ755" s="30"/>
      <c r="BA755" s="30"/>
      <c r="BB755" s="308"/>
      <c r="BC755" s="29"/>
      <c r="BD755" s="30"/>
      <c r="BE755" s="30"/>
      <c r="BF755" s="30"/>
      <c r="BG755" s="308"/>
      <c r="BH755" s="30"/>
      <c r="BI755" s="30"/>
      <c r="BJ755" s="30"/>
      <c r="BK755" s="30"/>
      <c r="BL755" s="308" t="str">
        <f t="shared" ref="BL755:BV755" si="1816">IF(BG749="NM","NM",IF(BL749="NM","NM",IF(BG749&lt;=0,"NM",IF(BL749=0,"NM",IF(ABS(BL749/BG749-1)&gt;2.5,"NM",IF((ABS(BL749-BG749)=ABS(ABS(BL749)-ABS(BG749))),(BL749/BG749-1),"NM"))))))</f>
      </c>
      <c r="BM755" s="30" t="str">
        <f t="shared" si="1816"/>
      </c>
      <c r="BN755" s="30" t="str">
        <f t="shared" si="1816"/>
      </c>
      <c r="BO755" s="30" t="str">
        <f t="shared" si="1816"/>
      </c>
      <c r="BP755" s="30" t="str">
        <f t="shared" si="1816"/>
      </c>
      <c r="BQ755" s="308" t="str">
        <f t="shared" si="1816"/>
      </c>
      <c r="BR755" s="30" t="str">
        <f t="shared" si="1816"/>
      </c>
      <c r="BS755" s="30" t="str">
        <f t="shared" si="1816"/>
      </c>
      <c r="BT755" s="30" t="str">
        <f t="shared" si="1816"/>
      </c>
      <c r="BU755" s="30">
        <f t="shared" si="1816"/>
      </c>
      <c r="BV755" s="308" t="str">
        <f t="shared" si="1816"/>
      </c>
      <c r="BW755" s="30" t="str">
        <f t="shared" ref="BW755:CH755" si="1817">IF(BR749="NM","NM",IF(BW749="NM","NM",IF(BR749&lt;=0,"NM",IF(BW749=0,"NM",IF(ABS(BW749/BR749-1)&gt;2.5,"NM",IF((ABS(BW749-BR749)=ABS(ABS(BW749)-ABS(BR749))),(BW749/BR749-1),"NM"))))))</f>
      </c>
      <c r="BX755" s="30" t="str">
        <f t="shared" si="1817"/>
      </c>
      <c r="BY755" s="30" t="str">
        <f t="shared" si="1817"/>
      </c>
      <c r="BZ755" s="30">
        <f t="shared" si="1817"/>
      </c>
      <c r="CA755" s="308" t="str">
        <f t="shared" si="1817"/>
      </c>
      <c r="CB755" s="30">
        <f t="shared" si="1817"/>
      </c>
      <c r="CC755" s="30">
        <f t="shared" si="1817"/>
      </c>
      <c r="CD755" s="30">
        <f t="shared" si="1817"/>
      </c>
      <c r="CE755" s="30">
        <f t="shared" si="1817"/>
      </c>
      <c r="CF755" s="308">
        <f t="shared" si="1817"/>
      </c>
      <c r="CG755" s="30">
        <f t="shared" si="1817"/>
      </c>
      <c r="CH755" s="30">
        <f t="shared" si="1817"/>
      </c>
      <c r="CI755" s="30">
        <f>IF(CI749&lt;=0,0,(CI749/CD749-1))</f>
      </c>
      <c r="CJ755" s="30">
        <f>IF(CJ749&lt;=0,0,(CJ749/CE749-1))</f>
      </c>
      <c r="CK755" s="308">
        <f>IF(CF749=0, "NA", CK749/CF749-1)</f>
      </c>
      <c r="CL755" s="30">
        <f>IF(CG749="NM","NM",IF(CL749="NM","NM",IF(CG749&lt;=0,"NM",IF(CL749=0,"NM",IF(ABS(CL749/CG749-1)&gt;2.5,"NM",IF((ABS(CL749-CG749)=ABS(ABS(CL749)-ABS(CG749))),(CL749/CG749-1),"NM"))))))</f>
      </c>
      <c r="CM755" s="30">
        <f>IF(CH749="NM","NM",IF(CM749="NM","NM",IF(CH749&lt;=0,"NM",IF(CM749=0,"NM",IF(ABS(CM749/CH749-1)&gt;2.5,"NM",IF((ABS(CM749-CH749)=ABS(ABS(CM749)-ABS(CH749))),(CM749/CH749-1),"NM"))))))</f>
      </c>
      <c r="CN755" s="30">
        <f>IF(CN749&lt;=0,0,(CN749/CI749-1))</f>
      </c>
      <c r="CO755" s="30">
        <f>IF(CO749&lt;=0,0,(CO749/CJ749-1))</f>
      </c>
      <c r="CP755" s="308">
        <f>IF(CK749=0, "NA", CP749/CK749-1)</f>
      </c>
      <c r="CQ755" s="1219">
        <f>IF(CQ749&lt;=0,0,(CQ749/CL749-1))</f>
      </c>
      <c r="CR755" s="1219">
        <f>IF(CR749&lt;=0,0,(CR749/CM749-1))</f>
      </c>
      <c r="CS755" s="1219">
        <f>IF(CS749&lt;=0,0,(CS749/CN749-1))</f>
      </c>
      <c r="CT755" s="1219">
        <f>IF(CT749&lt;=0,0,(CT749/CO749-1))</f>
      </c>
      <c r="CU755" s="308">
        <f>IF(CP749=0, "NA", CU749/CP749-1)</f>
      </c>
      <c r="CV755" s="1219">
        <f>IF(CV749&lt;=0,0,(CV749/CQ749-1))</f>
      </c>
      <c r="CW755" s="1219">
        <f>IF(CW749&lt;=0,0,(CW749/CR749-1))</f>
      </c>
      <c r="CX755" s="1219">
        <f>IF(CX749&lt;=0,0,(CX749/CS749-1))</f>
      </c>
      <c r="CY755" s="1219">
        <f>IF(CY749&lt;=0,0,(CY749/CT749-1))</f>
      </c>
      <c r="CZ755" s="308">
        <f>IF(CU749=0, "NA", CZ749/CU749-1)</f>
      </c>
      <c r="DA755" s="1219">
        <f>IF(DA749&lt;=0,0,(DA749/CV749-1))</f>
      </c>
      <c r="DB755" s="1219">
        <f>IF(DB749&lt;=0,0,(DB749/CW749-1))</f>
      </c>
      <c r="DC755" s="1219">
        <f>IF(CX749=0, "NA", DC749/CX749-1)</f>
      </c>
      <c r="DD755" s="1235">
        <f>IF(CY749=0, "NM", DD749/CY749-1)</f>
      </c>
      <c r="DE755" s="1233">
        <f>IF(CZ749=0, "NA", DE749/CZ749-1)</f>
      </c>
      <c r="DF755" s="1219">
        <f>IF(DA749=0, "NA", DF749/DA749-1)</f>
      </c>
      <c r="DG755" s="1219">
        <f>IF(DG749&lt;=0,0,(DG749/DB749-1))</f>
      </c>
      <c r="DH755" s="1219">
        <f>IF(DC749=0, "NA", DH749/DC749-1)</f>
      </c>
      <c r="DI755" s="1235">
        <f>IF(DD749=0, "NM", DI749/DD749-1)</f>
      </c>
      <c r="DJ755" s="1233">
        <f>IF(DE749=0, "NA", DJ749/DE749-1)</f>
      </c>
      <c r="DK755" s="1219">
        <f>IF(DF749=0, "NA", DK749/DF749-1)</f>
      </c>
      <c r="DL755" s="1219">
        <f>IF(DL749&lt;=0,0,(DL749/DG749-1))</f>
      </c>
      <c r="DM755" s="926">
        <f>IF(DH749=0, "NA", DM749/DH749-1)</f>
      </c>
      <c r="DN755" s="928">
        <f>IF(DI749=0, "NM", DN749/DI749-1)</f>
      </c>
      <c r="DO755" s="308">
        <f>IF(DJ749=0, "NA", DO749/DJ749-1)</f>
      </c>
      <c r="DP755" s="958">
        <f>IF(DK749=0, "NA", DP749/DK749-1)</f>
      </c>
      <c r="DQ755" s="1219">
        <f>IF(DQ749&lt;=0,0,(DQ749/DL749-1))</f>
      </c>
      <c r="DR755" s="1219">
        <f>IF(DR749&lt;=0,0,(DR749/DM749-1))</f>
      </c>
      <c r="DS755" s="1219">
        <f>IF(DS749&lt;=0,0,(DS749/DN749-1))</f>
      </c>
      <c r="DT755" s="308">
        <f>IF(DO749=0, "NA", DT749/DO749-1)</f>
      </c>
      <c r="DU755" s="958">
        <f>IF(DP749=0, "NA", DU749/DP749-1)</f>
      </c>
      <c r="DV755" s="926">
        <f>IF(DQ749=0, "NA", DV749/DQ749-1)</f>
      </c>
      <c r="DW755" s="926">
        <f>IF(DR749=0, "NA", DW749/DR749-1)</f>
      </c>
      <c r="DX755" s="928">
        <f>IF(DS749=0, "NM", DX749/DS749-1)</f>
      </c>
      <c r="DY755" s="308">
        <f>IF(DT749=0, "NA", DY749/DT749-1)</f>
      </c>
      <c r="DZ755" s="958">
        <f>IF(DU749=0, "NA", DZ749/DU749-1)</f>
      </c>
      <c r="EA755" s="926">
        <f>IF(DV749=0, "NA", EA749/DV749-1)</f>
      </c>
      <c r="EB755" s="926">
        <f>IF(DW749=0, "NA", EB749/DW749-1)</f>
      </c>
      <c r="EC755" s="928">
        <f>IF(DX749=0, "NM", EC749/DX749-1)</f>
      </c>
      <c r="ED755" s="308">
        <f>IF(DY749=0, "NA", ED749/DY749-1)</f>
      </c>
      <c r="EE755" s="958">
        <f>IF(DZ749=0, "NA", EE749/DZ749-1)</f>
      </c>
      <c r="EF755" s="926">
        <f>IF(EA749=0, "NA", EF749/EA749-1)</f>
      </c>
      <c r="EG755" s="926">
        <f>IF(EB749=0, "NA", EG749/EB749-1)</f>
      </c>
      <c r="EH755" s="928">
        <f>IF(EC749=0, "NM", EH749/EC749-1)</f>
      </c>
      <c r="EI755" s="308">
        <f>IF(ED749=0, "NA", EI749/ED749-1)</f>
      </c>
      <c r="EJ755" s="308">
        <f t="shared" ref="EJ755:EN755" si="1818">IF(EI749=0, "NA", EJ749/EI749-1)</f>
      </c>
      <c r="EK755" s="308">
        <f t="shared" si="1818"/>
      </c>
      <c r="EL755" s="308">
        <f t="shared" si="1818"/>
      </c>
      <c r="EM755" s="308">
        <f t="shared" si="1818"/>
      </c>
      <c r="EN755" s="308">
        <f t="shared" si="1818"/>
      </c>
      <c r="EO755" s="308">
        <f t="shared" ref="EO755" si="1819">IF(EN749=0, "NA", EO749/EN749-1)</f>
      </c>
      <c r="EP755" s="308">
        <f t="shared" ref="EP755" si="1820">IF(EO749=0, "NA", EP749/EO749-1)</f>
      </c>
      <c r="EQ755" s="308">
        <f t="shared" ref="EQ755" si="1821">IF(EP749=0, "NA", EQ749/EP749-1)</f>
      </c>
      <c r="ER755" s="308">
        <f t="shared" ref="ER755" si="1822">IF(EQ749=0, "NA", ER749/EQ749-1)</f>
      </c>
      <c r="ES755" s="308">
        <f t="shared" ref="ES755" si="1823">IF(ER749=0, "NA", ES749/ER749-1)</f>
      </c>
      <c r="ET755" s="409"/>
      <c r="EU755" s="409"/>
      <c r="EV755" s="409"/>
      <c r="EW755" s="409"/>
      <c r="EX755" s="409"/>
    </row>
    <row r="756" spans="2:154" ht="12.75" customHeight="1">
      <c r="B756" s="1169"/>
      <c r="C756" s="1989"/>
      <c r="D756" s="28"/>
      <c r="E756" s="28"/>
      <c r="F756" s="28"/>
      <c r="G756" s="28"/>
      <c r="H756" s="28"/>
      <c r="I756" s="31"/>
      <c r="J756" s="28"/>
      <c r="K756" s="28"/>
      <c r="L756" s="28"/>
      <c r="M756" s="28"/>
      <c r="N756" s="31"/>
      <c r="O756" s="31"/>
      <c r="P756" s="31"/>
      <c r="Q756" s="31"/>
      <c r="R756" s="31"/>
      <c r="S756" s="31"/>
      <c r="T756" s="31"/>
      <c r="U756" s="31"/>
      <c r="V756" s="31"/>
      <c r="W756" s="31"/>
      <c r="X756" s="308"/>
      <c r="Y756" s="30"/>
      <c r="Z756" s="30"/>
      <c r="AA756" s="30"/>
      <c r="AB756" s="30"/>
      <c r="AC756" s="308"/>
      <c r="AD756" s="30"/>
      <c r="AE756" s="30"/>
      <c r="AF756" s="30"/>
      <c r="AG756" s="30"/>
      <c r="AH756" s="308"/>
      <c r="AI756" s="30"/>
      <c r="AJ756" s="30"/>
      <c r="AK756" s="30"/>
      <c r="AL756" s="30"/>
      <c r="AM756" s="308"/>
      <c r="AN756" s="30"/>
      <c r="AO756" s="30"/>
      <c r="AP756" s="30"/>
      <c r="AQ756" s="30"/>
      <c r="AR756" s="308"/>
      <c r="AS756" s="30"/>
      <c r="AT756" s="30"/>
      <c r="AU756" s="30"/>
      <c r="AV756" s="30"/>
      <c r="AW756" s="308"/>
      <c r="AX756" s="30"/>
      <c r="AY756" s="30"/>
      <c r="AZ756" s="30"/>
      <c r="BA756" s="30"/>
      <c r="BB756" s="308"/>
      <c r="BC756" s="29"/>
      <c r="BD756" s="30"/>
      <c r="BE756" s="30"/>
      <c r="BF756" s="30"/>
      <c r="BG756" s="308"/>
      <c r="BH756" s="30"/>
      <c r="BI756" s="30"/>
      <c r="BJ756" s="30"/>
      <c r="BK756" s="30"/>
      <c r="BL756" s="308"/>
      <c r="BM756" s="30"/>
      <c r="BN756" s="30"/>
      <c r="BO756" s="30"/>
      <c r="BP756" s="30"/>
      <c r="BQ756" s="308"/>
      <c r="BR756" s="30"/>
      <c r="BS756" s="30"/>
      <c r="BT756" s="30"/>
      <c r="BU756" s="30"/>
      <c r="BV756" s="308"/>
      <c r="BW756" s="30"/>
      <c r="BX756" s="30"/>
      <c r="BY756" s="30"/>
      <c r="BZ756" s="30"/>
      <c r="CA756" s="308"/>
      <c r="CB756" s="30"/>
      <c r="CC756" s="30"/>
      <c r="CD756" s="30"/>
      <c r="CE756" s="30"/>
      <c r="CF756" s="308"/>
      <c r="CG756" s="30"/>
      <c r="CH756" s="30"/>
      <c r="CI756" s="30"/>
      <c r="CJ756" s="30"/>
      <c r="CK756" s="308"/>
      <c r="CL756" s="30"/>
      <c r="CM756" s="926"/>
      <c r="CN756" s="30"/>
      <c r="CO756" s="30"/>
      <c r="CP756" s="308"/>
      <c r="CQ756" s="926"/>
      <c r="CR756" s="926"/>
      <c r="CS756" s="926"/>
      <c r="CT756" s="926"/>
      <c r="CU756" s="308"/>
      <c r="CV756" s="926"/>
      <c r="CW756" s="926"/>
      <c r="CX756" s="926"/>
      <c r="CY756" s="926"/>
      <c r="CZ756" s="308"/>
      <c r="DA756" s="926"/>
      <c r="DB756" s="1361"/>
      <c r="DC756" s="1361"/>
      <c r="DD756" s="1351"/>
      <c r="DE756" s="1233"/>
      <c r="DF756" s="1219"/>
      <c r="DG756" s="1361"/>
      <c r="DH756" s="1361"/>
      <c r="DI756" s="409"/>
      <c r="DJ756" s="1484"/>
      <c r="DK756" s="1484"/>
      <c r="DL756" s="170"/>
      <c r="DM756" s="170"/>
      <c r="DN756" s="1191"/>
      <c r="DO756" s="308"/>
      <c r="DP756" s="2469"/>
      <c r="DQ756" s="2469"/>
      <c r="DR756" s="2469"/>
      <c r="DS756" s="2470"/>
      <c r="DT756" s="2474"/>
      <c r="DU756" s="944"/>
      <c r="DV756" s="944"/>
      <c r="DW756" s="944"/>
      <c r="DX756" s="2107"/>
      <c r="DY756" s="2476"/>
      <c r="DZ756" s="944"/>
      <c r="EA756" s="944"/>
      <c r="EB756" s="944"/>
      <c r="EC756" s="2107"/>
      <c r="ED756" s="1060"/>
      <c r="EE756" s="944"/>
      <c r="EF756" s="944"/>
      <c r="EG756" s="944"/>
      <c r="EH756" s="2107"/>
      <c r="EI756" s="308"/>
      <c r="EJ756" s="308"/>
      <c r="EK756" s="308"/>
      <c r="EL756" s="409"/>
      <c r="EM756" s="409"/>
      <c r="EN756" s="409"/>
      <c r="EO756" s="409"/>
      <c r="EP756" s="409"/>
      <c r="EQ756" s="409"/>
      <c r="ER756" s="409"/>
      <c r="ES756" s="409"/>
      <c r="ET756" s="409"/>
      <c r="EU756" s="409"/>
      <c r="EV756" s="409"/>
      <c r="EW756" s="409"/>
      <c r="EX756" s="409"/>
    </row>
    <row r="757" spans="2:154" ht="12.75" customHeight="1">
      <c r="B757" s="1164" t="s">
        <v>540</v>
      </c>
      <c r="C757" s="1990"/>
      <c r="D757" s="26"/>
      <c r="E757" s="26"/>
      <c r="F757" s="26"/>
      <c r="G757" s="26"/>
      <c r="H757" s="26"/>
      <c r="I757" s="27"/>
      <c r="J757" s="26"/>
      <c r="K757" s="26"/>
      <c r="L757" s="26"/>
      <c r="M757" s="26"/>
      <c r="N757" s="27"/>
      <c r="O757" s="27"/>
      <c r="P757" s="27"/>
      <c r="Q757" s="27"/>
      <c r="R757" s="27"/>
      <c r="S757" s="27"/>
      <c r="T757" s="27"/>
      <c r="U757" s="27"/>
      <c r="V757" s="27"/>
      <c r="W757" s="27"/>
      <c r="X757" s="312"/>
      <c r="Y757" s="27"/>
      <c r="Z757" s="27"/>
      <c r="AA757" s="27"/>
      <c r="AB757" s="27"/>
      <c r="AC757" s="312"/>
      <c r="AD757" s="27"/>
      <c r="AE757" s="27"/>
      <c r="AF757" s="27"/>
      <c r="AG757" s="27"/>
      <c r="AH757" s="312"/>
      <c r="AI757" s="26"/>
      <c r="AJ757" s="26"/>
      <c r="AK757" s="26"/>
      <c r="AL757" s="27"/>
      <c r="AM757" s="312"/>
      <c r="AN757" s="26"/>
      <c r="AO757" s="26"/>
      <c r="AP757" s="26"/>
      <c r="AQ757" s="27"/>
      <c r="AR757" s="312"/>
      <c r="AS757" s="26"/>
      <c r="AT757" s="26"/>
      <c r="AU757" s="26"/>
      <c r="AV757" s="27"/>
      <c r="AW757" s="312"/>
      <c r="AX757" s="28"/>
      <c r="AY757" s="28"/>
      <c r="AZ757" s="28"/>
      <c r="BA757" s="28"/>
      <c r="BB757" s="312"/>
      <c r="BC757" s="28"/>
      <c r="BD757" s="28"/>
      <c r="BE757" s="28"/>
      <c r="BF757" s="28"/>
      <c r="BG757" s="312"/>
      <c r="BH757" s="28"/>
      <c r="BI757" s="26"/>
      <c r="BJ757" s="26"/>
      <c r="BK757" s="26"/>
      <c r="BL757" s="307"/>
      <c r="BM757" s="26"/>
      <c r="BN757" s="26"/>
      <c r="BO757" s="28"/>
      <c r="BP757" s="26"/>
      <c r="BQ757" s="307"/>
      <c r="BR757" s="26"/>
      <c r="BS757" s="26"/>
      <c r="BT757" s="26"/>
      <c r="BU757" s="26"/>
      <c r="BV757" s="307"/>
      <c r="BW757" s="26"/>
      <c r="BX757" s="26"/>
      <c r="BY757" s="26"/>
      <c r="BZ757" s="26"/>
      <c r="CA757" s="307"/>
      <c r="CB757" s="26"/>
      <c r="CC757" s="26"/>
      <c r="CD757" s="26"/>
      <c r="CE757" s="26"/>
      <c r="CF757" s="307"/>
      <c r="CG757" s="26"/>
      <c r="CH757" s="26"/>
      <c r="CI757" s="26"/>
      <c r="CJ757" s="26"/>
      <c r="CK757" s="307"/>
      <c r="CL757" s="970"/>
      <c r="CM757" s="26"/>
      <c r="CN757" s="26"/>
      <c r="CO757" s="26"/>
      <c r="CP757" s="307"/>
      <c r="CQ757" s="26"/>
      <c r="CR757" s="26"/>
      <c r="CS757" s="1260"/>
      <c r="CT757" s="26"/>
      <c r="CU757" s="307"/>
      <c r="CV757" s="26"/>
      <c r="CW757" s="26"/>
      <c r="CX757" s="26"/>
      <c r="CY757" s="26"/>
      <c r="CZ757" s="307"/>
      <c r="DA757" s="26"/>
      <c r="DB757" s="1532"/>
      <c r="DC757" s="1532"/>
      <c r="DD757" s="1533"/>
      <c r="DE757" s="1887"/>
      <c r="DF757" s="1829"/>
      <c r="DG757" s="1888"/>
      <c r="DH757" s="1888"/>
      <c r="DI757" s="1784"/>
      <c r="DJ757" s="1797"/>
      <c r="DK757" s="1797"/>
      <c r="DL757" s="1767"/>
      <c r="DM757" s="1767"/>
      <c r="DN757" s="1784"/>
      <c r="DO757" s="1766"/>
      <c r="DP757" s="2471">
        <f>+DP759+DP737</f>
      </c>
      <c r="DQ757" s="2471">
        <f>+DQ759+DQ737</f>
      </c>
      <c r="DR757" s="2471">
        <f>+DR759+DR737</f>
      </c>
      <c r="DS757" s="2472">
        <f>+DS759+DS737</f>
      </c>
      <c r="DT757" s="2473">
        <f>SUM(DP757:DS757)</f>
      </c>
      <c r="DU757" s="1767"/>
      <c r="DV757" s="1767"/>
      <c r="DW757" s="1767"/>
      <c r="DX757" s="1784"/>
      <c r="DY757" s="2476">
        <f>+(DY759/DT757)-1</f>
      </c>
      <c r="DZ757" s="1767"/>
      <c r="EA757" s="1767"/>
      <c r="EB757" s="1767"/>
      <c r="EC757" s="1784"/>
      <c r="ED757" s="1766"/>
      <c r="EE757" s="1767"/>
      <c r="EF757" s="1767"/>
      <c r="EG757" s="1767"/>
      <c r="EH757" s="1784"/>
      <c r="EI757" s="1766"/>
      <c r="EJ757" s="1766"/>
      <c r="EK757" s="1766"/>
      <c r="EL757" s="1784"/>
      <c r="EM757" s="1784"/>
      <c r="EN757" s="1784"/>
      <c r="EO757" s="1784"/>
      <c r="EP757" s="1784"/>
      <c r="EQ757" s="1784"/>
      <c r="ER757" s="1784"/>
      <c r="ES757" s="1784"/>
      <c r="ET757" s="1784"/>
      <c r="EU757" s="1784"/>
      <c r="EV757" s="1784"/>
      <c r="EW757" s="1784"/>
      <c r="EX757" s="1784"/>
    </row>
    <row r="758" spans="2:154" ht="12.75" customHeight="1">
      <c r="B758" s="1168" t="s">
        <v>925</v>
      </c>
      <c r="C758" s="1989"/>
      <c r="D758" s="33">
        <f>1115.51083975885-34-16.2-200</f>
      </c>
      <c r="E758" s="33">
        <v>235</v>
      </c>
      <c r="F758" s="33">
        <v>285</v>
      </c>
      <c r="G758" s="33">
        <v>280</v>
      </c>
      <c r="H758" s="33">
        <v>210</v>
      </c>
      <c r="I758" s="31">
        <f>+SUM(E758:H758)</f>
      </c>
      <c r="J758" s="33">
        <f>307</f>
      </c>
      <c r="K758" s="33">
        <f>417-68</f>
      </c>
      <c r="L758" s="33">
        <f>372-54-L703</f>
      </c>
      <c r="M758" s="33">
        <v>230</v>
      </c>
      <c r="N758" s="31">
        <f>+SUM(J758:M758)</f>
      </c>
      <c r="O758" s="33">
        <v>241</v>
      </c>
      <c r="P758" s="33">
        <f>651-251-P703</f>
      </c>
      <c r="Q758" s="33">
        <v>169</v>
      </c>
      <c r="R758" s="33">
        <v>239</v>
      </c>
      <c r="S758" s="31">
        <f>SUM(O758:R758)</f>
      </c>
      <c r="T758" s="33">
        <v>252</v>
      </c>
      <c r="U758" s="33">
        <v>203</v>
      </c>
      <c r="V758" s="33">
        <v>163</v>
      </c>
      <c r="W758" s="33">
        <v>149</v>
      </c>
      <c r="X758" s="313">
        <f>SUM(T758:W758)</f>
      </c>
      <c r="Y758" s="33">
        <v>240.7</v>
      </c>
      <c r="Z758" s="33">
        <v>218</v>
      </c>
      <c r="AA758" s="33">
        <v>125</v>
      </c>
      <c r="AB758" s="33">
        <v>469</v>
      </c>
      <c r="AC758" s="313">
        <f>SUM(Y758:AB758)</f>
      </c>
      <c r="AD758" s="33">
        <v>488</v>
      </c>
      <c r="AE758" s="33">
        <v>499.9</v>
      </c>
      <c r="AF758" s="33">
        <v>523.79999999999995</v>
      </c>
      <c r="AG758" s="33">
        <v>583</v>
      </c>
      <c r="AH758" s="313">
        <f>SUM(AD758:AG758)</f>
      </c>
      <c r="AI758" s="33">
        <v>528.4</v>
      </c>
      <c r="AJ758" s="33">
        <v>557</v>
      </c>
      <c r="AK758" s="33">
        <v>501.5</v>
      </c>
      <c r="AL758" s="33">
        <v>559</v>
      </c>
      <c r="AM758" s="313">
        <f>+SUM(AI758:AL758)</f>
      </c>
      <c r="AN758" s="33">
        <v>527.1</v>
      </c>
      <c r="AO758" s="33">
        <v>561.5</v>
      </c>
      <c r="AP758" s="33">
        <v>540.79999999999995</v>
      </c>
      <c r="AQ758" s="33">
        <v>503</v>
      </c>
      <c r="AR758" s="313">
        <f>+SUM(AN758:AQ758)</f>
      </c>
      <c r="AS758" s="33">
        <v>496.2</v>
      </c>
      <c r="AT758" s="33">
        <v>549.54499999999996</v>
      </c>
      <c r="AU758" s="33">
        <v>483.40000000000208</v>
      </c>
      <c r="AV758" s="33">
        <v>528.39700000000039</v>
      </c>
      <c r="AW758" s="313">
        <f>+SUM(AS758:AV758)</f>
      </c>
      <c r="AX758" s="33">
        <v>579.86</v>
      </c>
      <c r="AY758" s="33">
        <v>458.02600000000098</v>
      </c>
      <c r="AZ758" s="33">
        <v>459.91999999999916</v>
      </c>
      <c r="BA758" s="33">
        <v>420.43664210526299</v>
      </c>
      <c r="BB758" s="313">
        <f>SUM(AX758:BA758)</f>
      </c>
      <c r="BC758" s="33">
        <v>631.96159999999782</v>
      </c>
      <c r="BD758" s="33">
        <v>668.14239999999995</v>
      </c>
      <c r="BE758" s="33">
        <v>412.69999999999965</v>
      </c>
      <c r="BF758" s="33">
        <v>598.59999999999991</v>
      </c>
      <c r="BG758" s="313">
        <f>SUM(BC758:BF758)</f>
      </c>
      <c r="BH758" s="352">
        <v>585.71718400000009</v>
      </c>
      <c r="BI758" s="352">
        <v>550.70973599999797</v>
      </c>
      <c r="BJ758" s="352">
        <v>513.92673999999988</v>
      </c>
      <c r="BK758" s="352">
        <v>563.64031400000022</v>
      </c>
      <c r="BL758" s="313">
        <f>SUM(BH758:BK758)</f>
      </c>
      <c r="BM758" s="670">
        <f t="shared" ref="BM758:BS758" si="1824">BM692-BM703-BM714-BM725-BM747-BM769</f>
      </c>
      <c r="BN758" s="670">
        <f t="shared" si="1824"/>
      </c>
      <c r="BO758" s="670">
        <f t="shared" si="1824"/>
      </c>
      <c r="BP758" s="670">
        <f t="shared" si="1824"/>
      </c>
      <c r="BQ758" s="599">
        <f t="shared" si="1824"/>
      </c>
      <c r="BR758" s="670">
        <f t="shared" si="1824"/>
      </c>
      <c r="BS758" s="670">
        <f t="shared" si="1824"/>
      </c>
      <c r="BT758" s="670">
        <f t="shared" ref="BT758:BW759" si="1825">BT692-BT703-BT714-BT725-BT747-BT769</f>
      </c>
      <c r="BU758" s="670">
        <f t="shared" si="1825"/>
      </c>
      <c r="BV758" s="599">
        <f t="shared" si="1825"/>
      </c>
      <c r="BW758" s="670">
        <f t="shared" si="1825"/>
      </c>
      <c r="BX758" s="670">
        <f t="shared" ref="BX758:BZ759" si="1826">BX692-BX703-BX714-BX725-BX747-BX769-BX736</f>
      </c>
      <c r="BY758" s="670">
        <f t="shared" si="1826"/>
      </c>
      <c r="BZ758" s="670">
        <f t="shared" si="1826"/>
      </c>
      <c r="CA758" s="313">
        <f>SUM(BW758:BZ758)</f>
      </c>
      <c r="CB758" s="670">
        <f>CB692-CB703-CB714-CB725-CB747-CB769-CB736</f>
      </c>
      <c r="CC758" s="670">
        <f>CC692-CC703-CC714-CC725-CC747-CC736</f>
      </c>
      <c r="CD758" s="670">
        <f>CD692-CD703-CD714-CD725-CD747-CD769-CD736</f>
      </c>
      <c r="CE758" s="28">
        <f>CE692-CE703-CE714-CE725-CE747-CE769-CE736</f>
      </c>
      <c r="CF758" s="313">
        <f>SUM(CB758:CE758)</f>
      </c>
      <c r="CG758" s="670">
        <f t="shared" ref="CG758:CI759" si="1827">CG692-CG703-CG714-CG725-CG747-CG769-CG736</f>
      </c>
      <c r="CH758" s="670">
        <f t="shared" si="1827"/>
      </c>
      <c r="CI758" s="670">
        <f t="shared" si="1827"/>
      </c>
      <c r="CJ758" s="670">
        <f>CJ692-CJ703-CJ714-CJ725-CJ747-CJ769-CJ736</f>
      </c>
      <c r="CK758" s="313">
        <f>SUM(CG758:CJ758)</f>
      </c>
      <c r="CL758" s="670">
        <f t="shared" ref="CL758:CN759" si="1828">CL692-CL703-CL714-CL725-CL747-CL769-CL736</f>
      </c>
      <c r="CM758" s="670">
        <f t="shared" si="1828"/>
      </c>
      <c r="CN758" s="670">
        <f t="shared" si="1828"/>
      </c>
      <c r="CO758" s="670">
        <f>CO692-CO703-CO714-CO725-CO747-CO769-CO736</f>
      </c>
      <c r="CP758" s="313">
        <f>SUM(CL758:CO758)</f>
      </c>
      <c r="CQ758" s="670">
        <f>CQ692-CQ703-CQ714-CQ725-CQ747-CQ769-CQ736</f>
      </c>
      <c r="CR758" s="670">
        <f>CR692-CR703-CR714-CR725-CR747-CR769-CR736</f>
      </c>
      <c r="CS758" s="1261">
        <f>+CS692-CS714-CS736-CS747</f>
      </c>
      <c r="CT758" s="1261">
        <f>+CT692-CT714-CT736-CT747</f>
      </c>
      <c r="CU758" s="313">
        <f>SUM(CQ758:CT758)</f>
      </c>
      <c r="CV758" s="670">
        <f t="shared" ref="CV758:CX759" si="1829">CV692-CV703-CV714-CV725-CV747-CV769-CV736</f>
      </c>
      <c r="CW758" s="670">
        <f t="shared" si="1829"/>
      </c>
      <c r="CX758" s="670">
        <f t="shared" si="1829"/>
      </c>
      <c r="CY758" s="1261">
        <f>+CY692-CY714-CY736-CY747</f>
      </c>
      <c r="CZ758" s="313">
        <f>SUM(CV758:CY758)</f>
      </c>
      <c r="DA758" s="670">
        <f t="shared" ref="DA758:DD759" si="1830">DA692-DA703-DA714-DA725-DA747-DA769-DA736</f>
      </c>
      <c r="DB758" s="670">
        <f t="shared" si="1830"/>
      </c>
      <c r="DC758" s="670">
        <f t="shared" si="1830"/>
      </c>
      <c r="DD758" s="670">
        <f t="shared" si="1830"/>
      </c>
      <c r="DE758" s="1835">
        <f>SUM(DA758:DD758)</f>
      </c>
      <c r="DF758" s="1975">
        <f t="shared" ref="DF758:DI759" si="1831">DF692-DF703-DF714-DF725-DF747-DF769-DF736</f>
      </c>
      <c r="DG758" s="1975">
        <f t="shared" si="1831"/>
      </c>
      <c r="DH758" s="2223">
        <f t="shared" si="1831"/>
      </c>
      <c r="DI758" s="2223">
        <f t="shared" si="1831"/>
      </c>
      <c r="DJ758" s="1835">
        <f>SUM(DF758:DI758)</f>
      </c>
      <c r="DK758" s="1975">
        <f t="shared" ref="DK758:DN759" si="1832">DK692-DK703-DK714-DK725-DK747-DK769-DK736</f>
      </c>
      <c r="DL758" s="1975">
        <f t="shared" si="1832"/>
      </c>
      <c r="DM758" s="1975">
        <f t="shared" si="1832"/>
      </c>
      <c r="DN758" s="2223">
        <f t="shared" si="1832"/>
      </c>
      <c r="DO758" s="1835">
        <f>SUM(DK758:DN758)</f>
      </c>
      <c r="DP758" s="710">
        <v>104</v>
      </c>
      <c r="DQ758" s="710">
        <v>93</v>
      </c>
      <c r="DR758" s="710">
        <v>98</v>
      </c>
      <c r="DS758" s="710">
        <v>81</v>
      </c>
      <c r="DT758" s="1835">
        <f>SUM(DP758:DS758)</f>
      </c>
      <c r="DU758" s="710">
        <f>+DY758*0.28</f>
      </c>
      <c r="DV758" s="710">
        <f>+DY758*0.25</f>
      </c>
      <c r="DW758" s="710">
        <f>+DY758*0.23</f>
      </c>
      <c r="DX758" s="710">
        <f>+DY758-SUM(DU758:DW758)</f>
      </c>
      <c r="DY758" s="1977">
        <v>541.4</v>
      </c>
      <c r="DZ758" s="710">
        <v>114</v>
      </c>
      <c r="EA758" s="710">
        <v>129</v>
      </c>
      <c r="EB758" s="710">
        <v>121.4</v>
      </c>
      <c r="EC758" s="710">
        <v>130</v>
      </c>
      <c r="ED758" s="1977">
        <v>494</v>
      </c>
      <c r="EE758" s="710">
        <v>165</v>
      </c>
      <c r="EF758" s="710">
        <v>155</v>
      </c>
      <c r="EG758" s="710">
        <v>115</v>
      </c>
      <c r="EH758" s="1284">
        <f>EI758-SUM(EE758:EG758)</f>
      </c>
      <c r="EI758" s="2060">
        <f>+ED758*(1+EI763)</f>
      </c>
      <c r="EJ758" s="2060">
        <f t="shared" ref="EJ758:EN759" si="1833">+(EI758)*(1+EJ763)</f>
      </c>
      <c r="EK758" s="2060">
        <f t="shared" si="1833"/>
      </c>
      <c r="EL758" s="2060">
        <f t="shared" si="1833"/>
      </c>
      <c r="EM758" s="2060">
        <f t="shared" si="1833"/>
      </c>
      <c r="EN758" s="2060">
        <f t="shared" si="1833"/>
      </c>
      <c r="EO758" s="2060">
        <f t="shared" ref="EO758:EO759" si="1834">+(EN758)*(1+EO763)</f>
      </c>
      <c r="EP758" s="2060">
        <f t="shared" ref="EP758:EP759" si="1835">+(EO758)*(1+EP763)</f>
      </c>
      <c r="EQ758" s="2060">
        <f t="shared" ref="EQ758:EQ759" si="1836">+(EP758)*(1+EQ763)</f>
      </c>
      <c r="ER758" s="2060">
        <f t="shared" ref="ER758:ER759" si="1837">+(EQ758)*(1+ER763)</f>
      </c>
      <c r="ES758" s="2060">
        <f t="shared" ref="ES758:ES759" si="1838">+(ER758)*(1+ES763)</f>
      </c>
      <c r="ET758" s="1977"/>
      <c r="EU758" s="1977"/>
      <c r="EV758" s="1977"/>
      <c r="EW758" s="1977"/>
      <c r="EX758" s="1977"/>
    </row>
    <row r="759" spans="2:154" ht="12.75" customHeight="1">
      <c r="B759" s="1168" t="s">
        <v>412</v>
      </c>
      <c r="C759" s="1989"/>
      <c r="D759" s="33">
        <f>1754.90961325219-20.4-3.8-203.08</f>
      </c>
      <c r="E759" s="33">
        <v>400</v>
      </c>
      <c r="F759" s="33">
        <v>380</v>
      </c>
      <c r="G759" s="33">
        <v>250</v>
      </c>
      <c r="H759" s="33">
        <v>224</v>
      </c>
      <c r="I759" s="31">
        <f>+SUM(E759:H759)</f>
      </c>
      <c r="J759" s="33">
        <f>434</f>
      </c>
      <c r="K759" s="33">
        <f>421-21</f>
      </c>
      <c r="L759" s="33">
        <f>400-21-L704</f>
      </c>
      <c r="M759" s="33">
        <f>386-24-M704</f>
      </c>
      <c r="N759" s="31">
        <f>+SUM(J759:M759)</f>
      </c>
      <c r="O759" s="33">
        <v>413</v>
      </c>
      <c r="P759" s="33">
        <f>437-P704</f>
      </c>
      <c r="Q759" s="33">
        <f>417-Q704</f>
      </c>
      <c r="R759" s="33">
        <v>376</v>
      </c>
      <c r="S759" s="31">
        <f>SUM(O759:R759)</f>
      </c>
      <c r="T759" s="33">
        <v>399</v>
      </c>
      <c r="U759" s="33">
        <v>402</v>
      </c>
      <c r="V759" s="33">
        <v>374</v>
      </c>
      <c r="W759" s="33">
        <v>382</v>
      </c>
      <c r="X759" s="313">
        <f>SUM(T759:W759)</f>
      </c>
      <c r="Y759" s="33">
        <v>398.8</v>
      </c>
      <c r="Z759" s="33">
        <v>434</v>
      </c>
      <c r="AA759" s="33">
        <v>393</v>
      </c>
      <c r="AB759" s="33">
        <v>407</v>
      </c>
      <c r="AC759" s="313">
        <f>SUM(Y759:AB759)</f>
      </c>
      <c r="AD759" s="33">
        <v>452.9</v>
      </c>
      <c r="AE759" s="33">
        <v>384.8</v>
      </c>
      <c r="AF759" s="33">
        <v>356.5</v>
      </c>
      <c r="AG759" s="33">
        <v>367</v>
      </c>
      <c r="AH759" s="313">
        <f>SUM(AD759:AG759)</f>
      </c>
      <c r="AI759" s="33">
        <v>416</v>
      </c>
      <c r="AJ759" s="33">
        <v>334</v>
      </c>
      <c r="AK759" s="33">
        <v>352</v>
      </c>
      <c r="AL759" s="33">
        <v>278</v>
      </c>
      <c r="AM759" s="313">
        <f>+SUM(AI759:AL759)</f>
      </c>
      <c r="AN759" s="33">
        <v>357.5</v>
      </c>
      <c r="AO759" s="33">
        <v>385</v>
      </c>
      <c r="AP759" s="33">
        <v>337.75</v>
      </c>
      <c r="AQ759" s="33">
        <v>341</v>
      </c>
      <c r="AR759" s="313">
        <f>+SUM(AN759:AQ759)</f>
      </c>
      <c r="AS759" s="33">
        <v>405</v>
      </c>
      <c r="AT759" s="33">
        <v>332.32</v>
      </c>
      <c r="AU759" s="33">
        <v>386.65</v>
      </c>
      <c r="AV759" s="33">
        <v>394.87</v>
      </c>
      <c r="AW759" s="313">
        <f>+SUM(AS759:AV759)</f>
      </c>
      <c r="AX759" s="33">
        <v>259.51</v>
      </c>
      <c r="AY759" s="33">
        <v>421.89600000000002</v>
      </c>
      <c r="AZ759" s="33">
        <v>387.09</v>
      </c>
      <c r="BA759" s="33">
        <v>293.47850000000199</v>
      </c>
      <c r="BB759" s="313">
        <f>SUM(AX759:BA759)</f>
      </c>
      <c r="BC759" s="33">
        <v>281.62100000000083</v>
      </c>
      <c r="BD759" s="33">
        <v>297.35450000000014</v>
      </c>
      <c r="BE759" s="33">
        <v>482.35</v>
      </c>
      <c r="BF759" s="33">
        <f>346.48+8</f>
      </c>
      <c r="BG759" s="313">
        <f>SUM(BC759:BF759)</f>
      </c>
      <c r="BH759" s="352">
        <f>222.67193744+8.8</f>
      </c>
      <c r="BI759" s="352">
        <f>302.535805089998+9.2</f>
      </c>
      <c r="BJ759" s="352">
        <f>299.780722949999+10.4</f>
      </c>
      <c r="BK759" s="352">
        <f>271.227064277969+11.6</f>
      </c>
      <c r="BL759" s="313">
        <f>SUM(BH759:BK759)</f>
      </c>
      <c r="BM759" s="670">
        <f>BM693-BM704-BM715-BM726-BM748</f>
      </c>
      <c r="BN759" s="670">
        <f>BN693-BN704-BN715-BN726-BN748</f>
      </c>
      <c r="BO759" s="670">
        <f>BO693-BO704-BO715-BO726-BO748</f>
      </c>
      <c r="BP759" s="670">
        <f>BP693-BP704-BP715-BP726-BP748</f>
      </c>
      <c r="BQ759" s="599">
        <f>BQ693-BQ704-BQ715-BQ726-BQ748-BQ770</f>
      </c>
      <c r="BR759" s="670">
        <f>BR693-BR704-BR715-BR726-BR748-BR770</f>
      </c>
      <c r="BS759" s="670">
        <f>BS693-BS704-BS715-BS726-BS748-BS770</f>
      </c>
      <c r="BT759" s="670">
        <f t="shared" si="1825"/>
      </c>
      <c r="BU759" s="670">
        <f t="shared" si="1825"/>
      </c>
      <c r="BV759" s="599">
        <f t="shared" si="1825"/>
      </c>
      <c r="BW759" s="670">
        <f t="shared" si="1825"/>
      </c>
      <c r="BX759" s="670">
        <f>BX693-BX704-BX715-BX726-BX748-BX770-BX737</f>
      </c>
      <c r="BY759" s="670">
        <f t="shared" si="1826"/>
      </c>
      <c r="BZ759" s="670">
        <f t="shared" si="1826"/>
      </c>
      <c r="CA759" s="313">
        <f>SUM(BW759:BZ759)</f>
      </c>
      <c r="CB759" s="670">
        <f>CB693-CB704-CB715-CB726-CB748-CB770-CB737</f>
      </c>
      <c r="CC759" s="670">
        <f>CC693-CC704-CC715-CC726-CC748-CC737</f>
      </c>
      <c r="CD759" s="670">
        <f>CD693-CD704-CD715-CD726-CD748-CD770-CD737</f>
      </c>
      <c r="CE759" s="28">
        <f>CE693-CE704-CE715-CE726-CE748-CE770-CE737</f>
      </c>
      <c r="CF759" s="313">
        <f>SUM(CB759:CE759)</f>
      </c>
      <c r="CG759" s="670">
        <f t="shared" si="1827"/>
      </c>
      <c r="CH759" s="670">
        <f t="shared" si="1827"/>
      </c>
      <c r="CI759" s="670">
        <f t="shared" si="1827"/>
      </c>
      <c r="CJ759" s="670">
        <f>CJ693-CJ704-CJ715-CJ726-CJ748-CJ770-CJ737</f>
      </c>
      <c r="CK759" s="313">
        <f>SUM(CG759:CJ759)</f>
      </c>
      <c r="CL759" s="670">
        <f t="shared" si="1828"/>
      </c>
      <c r="CM759" s="670">
        <f t="shared" si="1828"/>
      </c>
      <c r="CN759" s="670">
        <f t="shared" si="1828"/>
      </c>
      <c r="CO759" s="670">
        <f>CO693-CO704-CO715-CO726-CO748-CO770-CO737</f>
      </c>
      <c r="CP759" s="313">
        <f>SUM(CL759:CO759)</f>
      </c>
      <c r="CQ759" s="670">
        <f>CQ693-CQ704-CQ715-CQ726-CQ748-CQ770-CQ737</f>
      </c>
      <c r="CR759" s="670">
        <f>CR693-CR704-CR715-CR726-CR748-CR770-CR737</f>
      </c>
      <c r="CS759" s="1261">
        <f>+CS693-CS715-CS737-CS748</f>
      </c>
      <c r="CT759" s="1261">
        <f>+CT693-CT715-CT737-CT748</f>
      </c>
      <c r="CU759" s="313">
        <f>SUM(CQ759:CT759)</f>
      </c>
      <c r="CV759" s="670">
        <f t="shared" si="1829"/>
      </c>
      <c r="CW759" s="670">
        <f t="shared" si="1829"/>
      </c>
      <c r="CX759" s="670">
        <f t="shared" si="1829"/>
      </c>
      <c r="CY759" s="1261">
        <f>+CY693-CY715-CY737-CY748</f>
      </c>
      <c r="CZ759" s="313">
        <f>SUM(CV759:CY759)</f>
      </c>
      <c r="DA759" s="670">
        <f t="shared" si="1830"/>
      </c>
      <c r="DB759" s="670">
        <f t="shared" si="1830"/>
      </c>
      <c r="DC759" s="670">
        <f t="shared" si="1830"/>
      </c>
      <c r="DD759" s="670">
        <f t="shared" si="1830"/>
      </c>
      <c r="DE759" s="1835">
        <f>SUM(DA759:DD759)</f>
      </c>
      <c r="DF759" s="1975">
        <f t="shared" si="1831"/>
      </c>
      <c r="DG759" s="1975">
        <f t="shared" si="1831"/>
      </c>
      <c r="DH759" s="1975">
        <f t="shared" si="1831"/>
      </c>
      <c r="DI759" s="1975">
        <f t="shared" si="1831"/>
      </c>
      <c r="DJ759" s="1835">
        <f>SUM(DF759:DI759)</f>
      </c>
      <c r="DK759" s="1975">
        <f t="shared" si="1832"/>
      </c>
      <c r="DL759" s="1975">
        <f t="shared" si="1832"/>
      </c>
      <c r="DM759" s="1975">
        <f t="shared" si="1832"/>
      </c>
      <c r="DN759" s="1975">
        <f t="shared" si="1832"/>
      </c>
      <c r="DO759" s="1835">
        <f>SUM(DK759:DN759)</f>
      </c>
      <c r="DP759" s="710">
        <v>170</v>
      </c>
      <c r="DQ759" s="710">
        <v>150</v>
      </c>
      <c r="DR759" s="710">
        <v>138</v>
      </c>
      <c r="DS759" s="710">
        <v>132</v>
      </c>
      <c r="DT759" s="1835">
        <f>SUM(DP759:DS759)</f>
      </c>
      <c r="DU759" s="710">
        <f>+DY759*0.28</f>
      </c>
      <c r="DV759" s="710">
        <f>+DY759*0.25</f>
      </c>
      <c r="DW759" s="710">
        <f>+DY759*0.23</f>
      </c>
      <c r="DX759" s="710">
        <f>+DY759-SUM(DU759:DW759)</f>
      </c>
      <c r="DY759" s="1977">
        <v>765</v>
      </c>
      <c r="DZ759" s="710">
        <v>197</v>
      </c>
      <c r="EA759" s="710">
        <v>176</v>
      </c>
      <c r="EB759" s="710">
        <v>170.4</v>
      </c>
      <c r="EC759" s="1839">
        <v>153</v>
      </c>
      <c r="ED759" s="1977">
        <v>696</v>
      </c>
      <c r="EE759" s="710">
        <v>158</v>
      </c>
      <c r="EF759" s="710">
        <v>154</v>
      </c>
      <c r="EG759" s="710">
        <v>149</v>
      </c>
      <c r="EH759" s="1313">
        <f>EI759-SUM(EE759:EG759)</f>
      </c>
      <c r="EI759" s="2060">
        <f>+ED759*(1+EI764)</f>
      </c>
      <c r="EJ759" s="2060">
        <f t="shared" si="1833"/>
      </c>
      <c r="EK759" s="2060">
        <f t="shared" si="1833"/>
      </c>
      <c r="EL759" s="2060">
        <f t="shared" si="1833"/>
      </c>
      <c r="EM759" s="2060">
        <f t="shared" si="1833"/>
      </c>
      <c r="EN759" s="2060">
        <f t="shared" si="1833"/>
      </c>
      <c r="EO759" s="2060">
        <f t="shared" si="1834"/>
      </c>
      <c r="EP759" s="2060">
        <f t="shared" si="1835"/>
      </c>
      <c r="EQ759" s="2060">
        <f t="shared" si="1836"/>
      </c>
      <c r="ER759" s="2060">
        <f t="shared" si="1837"/>
      </c>
      <c r="ES759" s="2060">
        <f t="shared" si="1838"/>
      </c>
      <c r="ET759" s="1977"/>
      <c r="EU759" s="1977"/>
      <c r="EV759" s="1977"/>
      <c r="EW759" s="1977"/>
      <c r="EX759" s="1977"/>
    </row>
    <row r="760" spans="2:154" ht="12.75" customHeight="1">
      <c r="B760" s="1168" t="s">
        <v>413</v>
      </c>
      <c r="C760" s="1989"/>
      <c r="D760" s="28">
        <f t="shared" ref="D760:AV760" si="1839">+D758+D759</f>
      </c>
      <c r="E760" s="28">
        <f t="shared" si="1839"/>
      </c>
      <c r="F760" s="28">
        <f t="shared" si="1839"/>
      </c>
      <c r="G760" s="28">
        <f t="shared" si="1839"/>
      </c>
      <c r="H760" s="28">
        <f t="shared" si="1839"/>
      </c>
      <c r="I760" s="31">
        <f t="shared" si="1839"/>
      </c>
      <c r="J760" s="28">
        <f t="shared" si="1839"/>
      </c>
      <c r="K760" s="28">
        <f t="shared" si="1839"/>
      </c>
      <c r="L760" s="28">
        <f t="shared" si="1839"/>
      </c>
      <c r="M760" s="28">
        <f t="shared" si="1839"/>
      </c>
      <c r="N760" s="31">
        <f t="shared" si="1839"/>
      </c>
      <c r="O760" s="31">
        <f t="shared" si="1839"/>
      </c>
      <c r="P760" s="31">
        <f t="shared" si="1839"/>
      </c>
      <c r="Q760" s="31">
        <f t="shared" si="1839"/>
      </c>
      <c r="R760" s="31">
        <f t="shared" si="1839"/>
      </c>
      <c r="S760" s="31">
        <f t="shared" si="1839"/>
      </c>
      <c r="T760" s="31">
        <f t="shared" si="1839"/>
      </c>
      <c r="U760" s="31">
        <f t="shared" si="1839"/>
      </c>
      <c r="V760" s="31">
        <f t="shared" si="1839"/>
      </c>
      <c r="W760" s="31">
        <f t="shared" si="1839"/>
      </c>
      <c r="X760" s="313">
        <f t="shared" si="1839"/>
      </c>
      <c r="Y760" s="31">
        <f t="shared" si="1839"/>
      </c>
      <c r="Z760" s="31">
        <f t="shared" si="1839"/>
      </c>
      <c r="AA760" s="31">
        <f t="shared" si="1839"/>
      </c>
      <c r="AB760" s="31">
        <f t="shared" si="1839"/>
      </c>
      <c r="AC760" s="313">
        <f t="shared" si="1839"/>
      </c>
      <c r="AD760" s="31">
        <f t="shared" si="1839"/>
      </c>
      <c r="AE760" s="31">
        <f t="shared" si="1839"/>
      </c>
      <c r="AF760" s="31">
        <f t="shared" si="1839"/>
      </c>
      <c r="AG760" s="31">
        <f t="shared" si="1839"/>
      </c>
      <c r="AH760" s="313">
        <f t="shared" si="1839"/>
      </c>
      <c r="AI760" s="28">
        <f t="shared" si="1839"/>
      </c>
      <c r="AJ760" s="28">
        <f t="shared" si="1839"/>
      </c>
      <c r="AK760" s="28">
        <f t="shared" si="1839"/>
      </c>
      <c r="AL760" s="31">
        <f t="shared" si="1839"/>
      </c>
      <c r="AM760" s="313">
        <f t="shared" si="1839"/>
      </c>
      <c r="AN760" s="28">
        <f t="shared" si="1839"/>
      </c>
      <c r="AO760" s="28">
        <f t="shared" si="1839"/>
      </c>
      <c r="AP760" s="28">
        <f t="shared" si="1839"/>
      </c>
      <c r="AQ760" s="31">
        <f t="shared" si="1839"/>
      </c>
      <c r="AR760" s="313">
        <f t="shared" si="1839"/>
      </c>
      <c r="AS760" s="28">
        <f t="shared" si="1839"/>
      </c>
      <c r="AT760" s="28">
        <f t="shared" si="1839"/>
      </c>
      <c r="AU760" s="28">
        <f t="shared" si="1839"/>
      </c>
      <c r="AV760" s="28">
        <f t="shared" si="1839"/>
      </c>
      <c r="AW760" s="313">
        <f>+AW758+AW759</f>
      </c>
      <c r="AX760" s="28">
        <f t="shared" ref="AX760:BF760" si="1840">+AX758+AX759</f>
      </c>
      <c r="AY760" s="28">
        <f t="shared" si="1840"/>
      </c>
      <c r="AZ760" s="28">
        <f t="shared" si="1840"/>
      </c>
      <c r="BA760" s="28">
        <f t="shared" si="1840"/>
      </c>
      <c r="BB760" s="313">
        <f t="shared" si="1840"/>
      </c>
      <c r="BC760" s="28">
        <f t="shared" si="1840"/>
      </c>
      <c r="BD760" s="28">
        <f t="shared" si="1840"/>
      </c>
      <c r="BE760" s="28">
        <f t="shared" si="1840"/>
      </c>
      <c r="BF760" s="28">
        <f t="shared" si="1840"/>
      </c>
      <c r="BG760" s="313">
        <f>+BG758+BG759</f>
      </c>
      <c r="BH760" s="28">
        <f>+BH758+BH759</f>
      </c>
      <c r="BI760" s="28">
        <f>+BI758+BI759</f>
      </c>
      <c r="BJ760" s="28">
        <f>+BJ758+BJ759</f>
      </c>
      <c r="BK760" s="28">
        <f>+BK758+BK759</f>
      </c>
      <c r="BL760" s="313">
        <f>SUM(BH760:BK760)</f>
      </c>
      <c r="BM760" s="28">
        <f>+BM758+BM759</f>
      </c>
      <c r="BN760" s="28">
        <f>+BN758+BN759</f>
      </c>
      <c r="BO760" s="28">
        <f>+BO758+BO759</f>
      </c>
      <c r="BP760" s="28">
        <f>+BP758+BP759</f>
      </c>
      <c r="BQ760" s="313">
        <f>SUM(BM760:BP760)</f>
      </c>
      <c r="BR760" s="28">
        <f>+BR758+BR759</f>
      </c>
      <c r="BS760" s="28">
        <f>+BS758+BS759</f>
      </c>
      <c r="BT760" s="28">
        <f>+BT758+BT759</f>
      </c>
      <c r="BU760" s="28">
        <f>+BU758+BU759</f>
      </c>
      <c r="BV760" s="313">
        <f>SUM(BR760:BU760)</f>
      </c>
      <c r="BW760" s="28">
        <f>+BW758+BW759</f>
      </c>
      <c r="BX760" s="28">
        <f>+BX758+BX759</f>
      </c>
      <c r="BY760" s="28">
        <f>+BY758+BY759</f>
      </c>
      <c r="BZ760" s="28">
        <f>+BZ758+BZ759</f>
      </c>
      <c r="CA760" s="313">
        <f>SUM(BW760:BZ760)</f>
      </c>
      <c r="CB760" s="28">
        <f>+CB758+CB759</f>
      </c>
      <c r="CC760" s="28">
        <f>+CC758+CC759</f>
      </c>
      <c r="CD760" s="28">
        <f>+CD758+CD759</f>
      </c>
      <c r="CE760" s="28">
        <f>+CE758+CE759</f>
      </c>
      <c r="CF760" s="313">
        <f>SUM(CB760:CE760)</f>
      </c>
      <c r="CG760" s="28">
        <f>+CG758+CG759</f>
      </c>
      <c r="CH760" s="28">
        <f>+CH758+CH759</f>
      </c>
      <c r="CI760" s="28">
        <f>+CI758+CI759</f>
      </c>
      <c r="CJ760" s="28">
        <f>+CJ758+CJ759</f>
      </c>
      <c r="CK760" s="313">
        <f>SUM(CG760:CJ760)</f>
      </c>
      <c r="CL760" s="28">
        <f>+CL758+CL759</f>
      </c>
      <c r="CM760" s="28">
        <f>+CM758+CM759</f>
      </c>
      <c r="CN760" s="28">
        <f>+CN758+CN759</f>
      </c>
      <c r="CO760" s="28">
        <f>+CO758+CO759</f>
      </c>
      <c r="CP760" s="313">
        <f>SUM(CL760:CO760)</f>
      </c>
      <c r="CQ760" s="28">
        <f>+CQ758+CQ759</f>
      </c>
      <c r="CR760" s="933">
        <f>+CR758+CR759</f>
      </c>
      <c r="CS760" s="1227">
        <f>+CS758+CS759</f>
      </c>
      <c r="CT760" s="1227">
        <f>+CT758+CT759</f>
      </c>
      <c r="CU760" s="313">
        <f>SUM(CQ760:CT760)</f>
      </c>
      <c r="CV760" s="28">
        <f>+CV758+CV759</f>
      </c>
      <c r="CW760" s="28">
        <f>+CW758+CW759</f>
      </c>
      <c r="CX760" s="28">
        <f>+CX758+CX759</f>
      </c>
      <c r="CY760" s="1227">
        <f>+CY758+CY759</f>
      </c>
      <c r="CZ760" s="313">
        <f>SUM(CV760:CY760)</f>
      </c>
      <c r="DA760" s="28">
        <f>+DA758+DA759</f>
      </c>
      <c r="DB760" s="28">
        <f>+DB758+DB759</f>
      </c>
      <c r="DC760" s="28">
        <f>+DC758+DC759</f>
      </c>
      <c r="DD760" s="984">
        <f>+DD758+DD759</f>
      </c>
      <c r="DE760" s="1835">
        <f>SUM(DA760:DD760)</f>
      </c>
      <c r="DF760" s="1542">
        <f>+DF758+DF759</f>
      </c>
      <c r="DG760" s="1542">
        <f>SUM(DG758:DG759)</f>
      </c>
      <c r="DH760" s="1542">
        <f>SUM(DH758:DH759)</f>
      </c>
      <c r="DI760" s="1542">
        <f>SUM(DI758:DI759)</f>
      </c>
      <c r="DJ760" s="1835">
        <f>SUM(DF760:DI760)</f>
      </c>
      <c r="DK760" s="1542">
        <f>+DK758+DK759</f>
      </c>
      <c r="DL760" s="107">
        <f>+DL758+DL759</f>
      </c>
      <c r="DM760" s="1542">
        <f>SUM(DM758:DM759)</f>
      </c>
      <c r="DN760" s="1556">
        <f>+DN758+DN759</f>
      </c>
      <c r="DO760" s="1835">
        <f>SUM(DK760:DN760)</f>
      </c>
      <c r="DP760" s="1542">
        <f>+DP758+DP759</f>
      </c>
      <c r="DQ760" s="107">
        <f>+DQ758+DQ759</f>
      </c>
      <c r="DR760" s="1542">
        <f>+DR758+DR759</f>
      </c>
      <c r="DS760" s="1556">
        <f>+DS758+DS759</f>
      </c>
      <c r="DT760" s="1835">
        <f>SUM(DP760:DS760)</f>
      </c>
      <c r="DU760" s="1542">
        <f>+DU758+DU759</f>
      </c>
      <c r="DV760" s="1542">
        <f>+DV758+DV759</f>
      </c>
      <c r="DW760" s="1542">
        <f>SUM(DW758:DW759)</f>
      </c>
      <c r="DX760" s="1556">
        <f>+DX758+DX759</f>
      </c>
      <c r="DY760" s="1835">
        <f>SUM(DY758:DY759)</f>
      </c>
      <c r="DZ760" s="1542">
        <f>+DZ758+DZ759</f>
      </c>
      <c r="EA760" s="1542">
        <f>+EA758+EA759</f>
      </c>
      <c r="EB760" s="1542">
        <f>SUM(EB758:EB759)</f>
      </c>
      <c r="EC760" s="1556">
        <f>+EC758+EC759</f>
      </c>
      <c r="ED760" s="2060">
        <f t="shared" ref="ED760" si="1841">SUM(ED758:ED759)</f>
      </c>
      <c r="EE760" s="1542">
        <f>+EE758+EE759</f>
      </c>
      <c r="EF760" s="1542">
        <f>+EF758+EF759</f>
      </c>
      <c r="EG760" s="1542">
        <f>SUM(EG758:EG759)</f>
      </c>
      <c r="EH760" s="1556">
        <f>+EH758+EH759</f>
      </c>
      <c r="EI760" s="1835">
        <f t="shared" ref="EI760:EN760" si="1842">SUM(EI758:EI759)</f>
      </c>
      <c r="EJ760" s="1835">
        <f t="shared" si="1842"/>
      </c>
      <c r="EK760" s="1835">
        <f t="shared" si="1842"/>
      </c>
      <c r="EL760" s="1835">
        <f t="shared" si="1842"/>
      </c>
      <c r="EM760" s="1835">
        <f t="shared" si="1842"/>
      </c>
      <c r="EN760" s="1835">
        <f t="shared" si="1842"/>
      </c>
      <c r="EO760" s="1835">
        <f t="shared" ref="EO760:ES760" si="1843">SUM(EO758:EO759)</f>
      </c>
      <c r="EP760" s="1835">
        <f t="shared" si="1843"/>
      </c>
      <c r="EQ760" s="1835">
        <f t="shared" si="1843"/>
      </c>
      <c r="ER760" s="1835">
        <f t="shared" si="1843"/>
      </c>
      <c r="ES760" s="1835">
        <f t="shared" si="1843"/>
      </c>
      <c r="ET760" s="1835"/>
      <c r="EU760" s="1835"/>
      <c r="EV760" s="1835"/>
      <c r="EW760" s="1835"/>
      <c r="EX760" s="1835"/>
    </row>
    <row r="761" spans="2:154" ht="12.75" customHeight="1">
      <c r="B761" s="1168"/>
      <c r="C761" s="1989"/>
      <c r="D761" s="28"/>
      <c r="E761" s="28"/>
      <c r="F761" s="28"/>
      <c r="G761" s="28"/>
      <c r="H761" s="28"/>
      <c r="I761" s="31"/>
      <c r="J761" s="28"/>
      <c r="K761" s="28"/>
      <c r="L761" s="28"/>
      <c r="M761" s="28"/>
      <c r="N761" s="31"/>
      <c r="O761" s="31"/>
      <c r="P761" s="31"/>
      <c r="Q761" s="31"/>
      <c r="R761" s="31"/>
      <c r="S761" s="31"/>
      <c r="T761" s="31"/>
      <c r="U761" s="31"/>
      <c r="V761" s="31"/>
      <c r="W761" s="31"/>
      <c r="X761" s="313"/>
      <c r="Y761" s="31"/>
      <c r="Z761" s="31"/>
      <c r="AA761" s="31"/>
      <c r="AB761" s="31"/>
      <c r="AC761" s="313"/>
      <c r="AD761" s="31"/>
      <c r="AE761" s="31"/>
      <c r="AF761" s="31"/>
      <c r="AG761" s="31"/>
      <c r="AH761" s="313"/>
      <c r="AI761" s="28"/>
      <c r="AJ761" s="28"/>
      <c r="AK761" s="28"/>
      <c r="AL761" s="31"/>
      <c r="AM761" s="313"/>
      <c r="AN761" s="28"/>
      <c r="AO761" s="28"/>
      <c r="AP761" s="28"/>
      <c r="AQ761" s="31"/>
      <c r="AR761" s="313"/>
      <c r="AS761" s="28"/>
      <c r="AT761" s="28"/>
      <c r="AU761" s="28"/>
      <c r="AV761" s="28"/>
      <c r="AW761" s="313"/>
      <c r="AX761" s="28"/>
      <c r="AY761" s="28"/>
      <c r="AZ761" s="28"/>
      <c r="BA761" s="28"/>
      <c r="BB761" s="313"/>
      <c r="BC761" s="28"/>
      <c r="BD761" s="28"/>
      <c r="BE761" s="28"/>
      <c r="BF761" s="28"/>
      <c r="BG761" s="313"/>
      <c r="BH761" s="28"/>
      <c r="BI761" s="28"/>
      <c r="BJ761" s="28"/>
      <c r="BK761" s="28"/>
      <c r="BL761" s="313"/>
      <c r="BM761" s="28"/>
      <c r="BN761" s="28"/>
      <c r="BO761" s="28"/>
      <c r="BP761" s="28"/>
      <c r="BQ761" s="313"/>
      <c r="BR761" s="28"/>
      <c r="BS761" s="28"/>
      <c r="BT761" s="28"/>
      <c r="BU761" s="28"/>
      <c r="BV761" s="313"/>
      <c r="BW761" s="28"/>
      <c r="BX761" s="28"/>
      <c r="BY761" s="28"/>
      <c r="BZ761" s="28"/>
      <c r="CA761" s="313"/>
      <c r="CB761" s="28"/>
      <c r="CC761" s="28"/>
      <c r="CD761" s="28"/>
      <c r="CE761" s="28"/>
      <c r="CF761" s="313"/>
      <c r="CG761" s="28"/>
      <c r="CH761" s="28"/>
      <c r="CI761" s="28"/>
      <c r="CJ761" s="28"/>
      <c r="CK761" s="313"/>
      <c r="CL761" s="28"/>
      <c r="CM761" s="28"/>
      <c r="CN761" s="28"/>
      <c r="CO761" s="28"/>
      <c r="CP761" s="313"/>
      <c r="CQ761" s="28"/>
      <c r="CR761" s="933"/>
      <c r="CS761" s="933"/>
      <c r="CT761" s="933"/>
      <c r="CU761" s="313"/>
      <c r="CV761" s="28"/>
      <c r="CW761" s="28"/>
      <c r="CX761" s="28"/>
      <c r="CY761" s="933"/>
      <c r="CZ761" s="313"/>
      <c r="DA761" s="28"/>
      <c r="DB761" s="31"/>
      <c r="DC761" s="31"/>
      <c r="DD761" s="955"/>
      <c r="DE761" s="477"/>
      <c r="DF761" s="444"/>
      <c r="DG761" s="603"/>
      <c r="DH761" s="603"/>
      <c r="DI761" s="1798"/>
      <c r="DJ761" s="1799"/>
      <c r="DK761" s="1799"/>
      <c r="DL761" s="603"/>
      <c r="DM761" s="603"/>
      <c r="DN761" s="1798"/>
      <c r="DO761" s="477"/>
      <c r="DP761" s="603"/>
      <c r="DQ761" s="603"/>
      <c r="DR761" s="603"/>
      <c r="DS761" s="1798"/>
      <c r="DT761" s="477"/>
      <c r="DU761" s="603"/>
      <c r="DV761" s="603"/>
      <c r="DW761" s="603"/>
      <c r="DX761" s="1798"/>
      <c r="DY761" s="477"/>
      <c r="DZ761" s="603"/>
      <c r="EA761" s="603"/>
      <c r="EB761" s="603"/>
      <c r="EC761" s="1798"/>
      <c r="ED761" s="477"/>
      <c r="EE761" s="603"/>
      <c r="EF761" s="603"/>
      <c r="EG761" s="603"/>
      <c r="EH761" s="1798"/>
      <c r="EI761" s="477"/>
      <c r="EJ761" s="477"/>
      <c r="EK761" s="477"/>
      <c r="EL761" s="477"/>
      <c r="EM761" s="477"/>
      <c r="EN761" s="1798"/>
      <c r="EO761" s="1798"/>
      <c r="EP761" s="1798"/>
      <c r="EQ761" s="1798"/>
      <c r="ER761" s="1798"/>
      <c r="ES761" s="1798"/>
      <c r="ET761" s="1798"/>
      <c r="EU761" s="1798"/>
      <c r="EV761" s="1798"/>
      <c r="EW761" s="1798"/>
      <c r="EX761" s="1798"/>
    </row>
    <row r="762" spans="2:154" ht="12.75" customHeight="1">
      <c r="B762" s="1162" t="s">
        <v>940</v>
      </c>
      <c r="C762" s="1989"/>
      <c r="D762" s="28"/>
      <c r="E762" s="28"/>
      <c r="F762" s="28"/>
      <c r="G762" s="28"/>
      <c r="H762" s="28"/>
      <c r="I762" s="31"/>
      <c r="J762" s="28"/>
      <c r="K762" s="28"/>
      <c r="L762" s="28"/>
      <c r="M762" s="28"/>
      <c r="N762" s="31"/>
      <c r="O762" s="31"/>
      <c r="P762" s="31"/>
      <c r="Q762" s="31"/>
      <c r="R762" s="31"/>
      <c r="S762" s="31"/>
      <c r="T762" s="31"/>
      <c r="U762" s="31"/>
      <c r="V762" s="31"/>
      <c r="W762" s="31"/>
      <c r="X762" s="313"/>
      <c r="Y762" s="31"/>
      <c r="Z762" s="31"/>
      <c r="AA762" s="31"/>
      <c r="AB762" s="31"/>
      <c r="AC762" s="313"/>
      <c r="AD762" s="31"/>
      <c r="AE762" s="31"/>
      <c r="AF762" s="31"/>
      <c r="AG762" s="31"/>
      <c r="AH762" s="313"/>
      <c r="AI762" s="28"/>
      <c r="AJ762" s="28"/>
      <c r="AK762" s="28"/>
      <c r="AL762" s="31"/>
      <c r="AM762" s="313"/>
      <c r="AN762" s="28"/>
      <c r="AO762" s="28"/>
      <c r="AP762" s="28"/>
      <c r="AQ762" s="31"/>
      <c r="AR762" s="313"/>
      <c r="AS762" s="28"/>
      <c r="AT762" s="28"/>
      <c r="AU762" s="28"/>
      <c r="AV762" s="28"/>
      <c r="AW762" s="313"/>
      <c r="AX762" s="28"/>
      <c r="AY762" s="28"/>
      <c r="AZ762" s="28"/>
      <c r="BA762" s="28"/>
      <c r="BB762" s="313"/>
      <c r="BC762" s="28"/>
      <c r="BD762" s="28"/>
      <c r="BE762" s="28"/>
      <c r="BF762" s="28"/>
      <c r="BG762" s="313"/>
      <c r="BH762" s="28"/>
      <c r="BI762" s="28"/>
      <c r="BJ762" s="28"/>
      <c r="BK762" s="28"/>
      <c r="BL762" s="313"/>
      <c r="BM762" s="28"/>
      <c r="BN762" s="28"/>
      <c r="BO762" s="28"/>
      <c r="BP762" s="28"/>
      <c r="BQ762" s="313"/>
      <c r="BR762" s="28"/>
      <c r="BS762" s="28"/>
      <c r="BT762" s="28"/>
      <c r="BU762" s="28"/>
      <c r="BV762" s="313"/>
      <c r="BW762" s="28"/>
      <c r="BX762" s="28"/>
      <c r="BY762" s="28"/>
      <c r="BZ762" s="28"/>
      <c r="CA762" s="313"/>
      <c r="CB762" s="28"/>
      <c r="CC762" s="28"/>
      <c r="CD762" s="28"/>
      <c r="CE762" s="28"/>
      <c r="CF762" s="313"/>
      <c r="CG762" s="28"/>
      <c r="CH762" s="28"/>
      <c r="CI762" s="28"/>
      <c r="CJ762" s="28"/>
      <c r="CK762" s="313"/>
      <c r="CL762" s="961"/>
      <c r="CM762" s="28"/>
      <c r="CN762" s="28"/>
      <c r="CO762" s="28"/>
      <c r="CP762" s="313"/>
      <c r="CQ762" s="28"/>
      <c r="CR762" s="933"/>
      <c r="CS762" s="933"/>
      <c r="CT762" s="933"/>
      <c r="CU762" s="313"/>
      <c r="CV762" s="28"/>
      <c r="CW762" s="28"/>
      <c r="CX762" s="28"/>
      <c r="CY762" s="933"/>
      <c r="CZ762" s="313"/>
      <c r="DA762" s="28"/>
      <c r="DB762" s="31"/>
      <c r="DC762" s="31"/>
      <c r="DD762" s="955"/>
      <c r="DE762" s="477"/>
      <c r="DF762" s="444"/>
      <c r="DG762" s="603"/>
      <c r="DH762" s="603"/>
      <c r="DI762" s="1798"/>
      <c r="DJ762" s="1799"/>
      <c r="DK762" s="1799"/>
      <c r="DL762" s="603"/>
      <c r="DM762" s="603"/>
      <c r="DN762" s="1798"/>
      <c r="DO762" s="477"/>
      <c r="DP762" s="603"/>
      <c r="DQ762" s="603"/>
      <c r="DR762" s="603"/>
      <c r="DS762" s="1798"/>
      <c r="DT762" s="477"/>
      <c r="DU762" s="603"/>
      <c r="DV762" s="603"/>
      <c r="DW762" s="603"/>
      <c r="DX762" s="1798"/>
      <c r="DY762" s="477"/>
      <c r="DZ762" s="603"/>
      <c r="EA762" s="603"/>
      <c r="EB762" s="603"/>
      <c r="EC762" s="1798"/>
      <c r="ED762" s="477"/>
      <c r="EE762" s="603"/>
      <c r="EF762" s="603"/>
      <c r="EG762" s="603"/>
      <c r="EH762" s="1798"/>
      <c r="EI762" s="477"/>
      <c r="EJ762" s="477"/>
      <c r="EK762" s="477"/>
      <c r="EL762" s="477"/>
      <c r="EM762" s="477"/>
      <c r="EN762" s="1798"/>
      <c r="EO762" s="1798"/>
      <c r="EP762" s="1798"/>
      <c r="EQ762" s="1798"/>
      <c r="ER762" s="1798"/>
      <c r="ES762" s="1798"/>
      <c r="ET762" s="1798"/>
      <c r="EU762" s="1798"/>
      <c r="EV762" s="1798"/>
      <c r="EW762" s="1798"/>
      <c r="EX762" s="1798"/>
    </row>
    <row r="763" spans="2:154" ht="12.75" customHeight="1">
      <c r="B763" s="1169" t="s">
        <v>921</v>
      </c>
      <c r="C763" s="1989"/>
      <c r="D763" s="28"/>
      <c r="E763" s="28"/>
      <c r="F763" s="28"/>
      <c r="G763" s="28"/>
      <c r="H763" s="28"/>
      <c r="I763" s="29">
        <f t="shared" ref="I763:R764" si="1844">IF(D758="NM","NM",IF(I758="NM","NM",IF(D758&lt;=0,"NM",IF(I758=0,"NM",IF(ABS(I758/D758-1)&gt;2.5,"NM",IF((ABS(I758-D758)=ABS(ABS(I758)-ABS(D758))),(I758/D758-1),"NM"))))))</f>
      </c>
      <c r="J763" s="30">
        <f t="shared" si="1844"/>
      </c>
      <c r="K763" s="30">
        <f t="shared" si="1844"/>
      </c>
      <c r="L763" s="30">
        <f t="shared" si="1844"/>
      </c>
      <c r="M763" s="30">
        <f t="shared" si="1844"/>
      </c>
      <c r="N763" s="30">
        <f t="shared" si="1844"/>
      </c>
      <c r="O763" s="30">
        <f t="shared" si="1844"/>
      </c>
      <c r="P763" s="30">
        <f t="shared" si="1844"/>
      </c>
      <c r="Q763" s="30">
        <f t="shared" si="1844"/>
      </c>
      <c r="R763" s="30">
        <f t="shared" si="1844"/>
      </c>
      <c r="S763" s="30">
        <f t="shared" ref="S763:AB764" si="1845">IF(N758="NM","NM",IF(S758="NM","NM",IF(N758&lt;=0,"NM",IF(S758=0,"NM",IF(ABS(S758/N758-1)&gt;2.5,"NM",IF((ABS(S758-N758)=ABS(ABS(S758)-ABS(N758))),(S758/N758-1),"NM"))))))</f>
      </c>
      <c r="T763" s="30">
        <f t="shared" si="1845"/>
      </c>
      <c r="U763" s="30">
        <f t="shared" si="1845"/>
      </c>
      <c r="V763" s="30">
        <f t="shared" si="1845"/>
      </c>
      <c r="W763" s="30">
        <f t="shared" si="1845"/>
      </c>
      <c r="X763" s="308">
        <f t="shared" si="1845"/>
      </c>
      <c r="Y763" s="30">
        <f t="shared" si="1845"/>
      </c>
      <c r="Z763" s="30">
        <f t="shared" si="1845"/>
      </c>
      <c r="AA763" s="30">
        <f t="shared" si="1845"/>
      </c>
      <c r="AB763" s="30">
        <f t="shared" si="1845"/>
      </c>
      <c r="AC763" s="308">
        <f t="shared" ref="AC763:AL764" si="1846">IF(X758="NM","NM",IF(AC758="NM","NM",IF(X758&lt;=0,"NM",IF(AC758=0,"NM",IF(ABS(AC758/X758-1)&gt;2.5,"NM",IF((ABS(AC758-X758)=ABS(ABS(AC758)-ABS(X758))),(AC758/X758-1),"NM"))))))</f>
      </c>
      <c r="AD763" s="30">
        <f t="shared" si="1846"/>
      </c>
      <c r="AE763" s="30">
        <f t="shared" si="1846"/>
      </c>
      <c r="AF763" s="30" t="str">
        <f t="shared" si="1846"/>
      </c>
      <c r="AG763" s="30">
        <f t="shared" si="1846"/>
      </c>
      <c r="AH763" s="308">
        <f t="shared" si="1846"/>
      </c>
      <c r="AI763" s="30">
        <f t="shared" si="1846"/>
      </c>
      <c r="AJ763" s="30">
        <f t="shared" si="1846"/>
      </c>
      <c r="AK763" s="30">
        <f t="shared" si="1846"/>
      </c>
      <c r="AL763" s="30">
        <f t="shared" si="1846"/>
      </c>
      <c r="AM763" s="308">
        <f t="shared" ref="AM763:AV764" si="1847">IF(AH758="NM","NM",IF(AM758="NM","NM",IF(AH758&lt;=0,"NM",IF(AM758=0,"NM",IF(ABS(AM758/AH758-1)&gt;2.5,"NM",IF((ABS(AM758-AH758)=ABS(ABS(AM758)-ABS(AH758))),(AM758/AH758-1),"NM"))))))</f>
      </c>
      <c r="AN763" s="30">
        <f t="shared" si="1847"/>
      </c>
      <c r="AO763" s="30">
        <f t="shared" si="1847"/>
      </c>
      <c r="AP763" s="30">
        <f t="shared" si="1847"/>
      </c>
      <c r="AQ763" s="30">
        <f t="shared" si="1847"/>
      </c>
      <c r="AR763" s="308">
        <f t="shared" si="1847"/>
      </c>
      <c r="AS763" s="30">
        <f t="shared" si="1847"/>
      </c>
      <c r="AT763" s="30">
        <f t="shared" si="1847"/>
      </c>
      <c r="AU763" s="30">
        <f t="shared" si="1847"/>
      </c>
      <c r="AV763" s="30">
        <f t="shared" si="1847"/>
      </c>
      <c r="AW763" s="308">
        <f t="shared" ref="AW763:BK764" si="1848">IF(AR758="NM","NM",IF(AW758="NM","NM",IF(AR758&lt;=0,"NM",IF(AW758=0,"NM",IF(ABS(AW758/AR758-1)&gt;2.5,"NM",IF((ABS(AW758-AR758)=ABS(ABS(AW758)-ABS(AR758))),(AW758/AR758-1),"NM"))))))</f>
      </c>
      <c r="AX763" s="30">
        <f t="shared" si="1848"/>
      </c>
      <c r="AY763" s="30">
        <f t="shared" si="1848"/>
      </c>
      <c r="AZ763" s="30">
        <f t="shared" si="1848"/>
      </c>
      <c r="BA763" s="30">
        <f t="shared" si="1848"/>
      </c>
      <c r="BB763" s="308">
        <f t="shared" si="1848"/>
      </c>
      <c r="BC763" s="30">
        <f t="shared" si="1848"/>
      </c>
      <c r="BD763" s="30">
        <f t="shared" si="1848"/>
      </c>
      <c r="BE763" s="30">
        <f t="shared" si="1848"/>
      </c>
      <c r="BF763" s="30">
        <f t="shared" si="1848"/>
      </c>
      <c r="BG763" s="308">
        <f>IF(BB758="NM","NM",IF(BG758="NM","NM",IF(BB758&lt;=0,"NM",IF(BG758=0,"NM",IF(ABS(BG758/BB758-1)&gt;2.5,"NM",IF((ABS(BG758-BB758)=ABS(ABS(BG758)-ABS(BB758))),(BG758/BB758-1),"NM"))))))</f>
      </c>
      <c r="BH763" s="30">
        <f t="shared" si="1848"/>
      </c>
      <c r="BI763" s="30">
        <f t="shared" si="1848"/>
      </c>
      <c r="BJ763" s="30">
        <f t="shared" si="1848"/>
      </c>
      <c r="BK763" s="30">
        <f t="shared" si="1848"/>
      </c>
      <c r="BL763" s="308">
        <f t="shared" ref="BL763:BU764" si="1849">IF(BG758="NM","NM",IF(BL758="NM","NM",IF(BG758&lt;=0,"NM",IF(BL758=0,"NM",IF(ABS(BL758/BG758-1)&gt;2.5,"NM",IF((ABS(BL758-BG758)=ABS(ABS(BL758)-ABS(BG758))),(BL758/BG758-1),"NM"))))))</f>
      </c>
      <c r="BM763" s="30">
        <f t="shared" si="1849"/>
      </c>
      <c r="BN763" s="30">
        <f t="shared" si="1849"/>
      </c>
      <c r="BO763" s="30">
        <f t="shared" si="1849"/>
      </c>
      <c r="BP763" s="30">
        <f t="shared" si="1849"/>
      </c>
      <c r="BQ763" s="308">
        <f t="shared" si="1849"/>
      </c>
      <c r="BR763" s="30">
        <f t="shared" si="1849"/>
      </c>
      <c r="BS763" s="30">
        <f t="shared" si="1849"/>
      </c>
      <c r="BT763" s="30">
        <f t="shared" si="1849"/>
      </c>
      <c r="BU763" s="30">
        <f t="shared" si="1849"/>
      </c>
      <c r="BV763" s="308">
        <f t="shared" ref="BV763:CE764" si="1850">IF(BQ758="NM","NM",IF(BV758="NM","NM",IF(BQ758&lt;=0,"NM",IF(BV758=0,"NM",IF(ABS(BV758/BQ758-1)&gt;2.5,"NM",IF((ABS(BV758-BQ758)=ABS(ABS(BV758)-ABS(BQ758))),(BV758/BQ758-1),"NM"))))))</f>
      </c>
      <c r="BW763" s="30">
        <f t="shared" si="1850"/>
      </c>
      <c r="BX763" s="30">
        <f t="shared" si="1850"/>
      </c>
      <c r="BY763" s="30">
        <f t="shared" si="1850"/>
      </c>
      <c r="BZ763" s="30">
        <f t="shared" si="1850"/>
      </c>
      <c r="CA763" s="315">
        <f t="shared" si="1850"/>
      </c>
      <c r="CB763" s="30">
        <f t="shared" si="1850"/>
      </c>
      <c r="CC763" s="30">
        <f t="shared" si="1850"/>
      </c>
      <c r="CD763" s="30">
        <f t="shared" si="1850"/>
      </c>
      <c r="CE763" s="30">
        <f t="shared" si="1850"/>
      </c>
      <c r="CF763" s="315">
        <f t="shared" ref="CF763:CJ764" si="1851">IF(CA758="NM","NM",IF(CF758="NM","NM",IF(CA758&lt;=0,"NM",IF(CF758=0,"NM",IF(ABS(CF758/CA758-1)&gt;2.5,"NM",IF((ABS(CF758-CA758)=ABS(ABS(CF758)-ABS(CA758))),(CF758/CA758-1),"NM"))))))</f>
      </c>
      <c r="CG763" s="30">
        <f t="shared" si="1851"/>
      </c>
      <c r="CH763" s="30">
        <f t="shared" si="1851"/>
      </c>
      <c r="CI763" s="30">
        <f t="shared" si="1851"/>
      </c>
      <c r="CJ763" s="30">
        <f t="shared" si="1851"/>
      </c>
      <c r="CK763" s="308">
        <f>IF(CF758=0, 0, CK758/CF758-1)</f>
      </c>
      <c r="CL763" s="30">
        <f t="shared" ref="CL763:CN764" si="1852">IF(CG758="NM","NM",IF(CL758="NM","NM",IF(CG758&lt;=0,"NM",IF(CL758=0,"NM",IF(ABS(CL758/CG758-1)&gt;2.5,"NM",IF((ABS(CL758-CG758)=ABS(ABS(CL758)-ABS(CG758))),(CL758/CG758-1),"NM"))))))</f>
      </c>
      <c r="CM763" s="30">
        <f t="shared" si="1852"/>
      </c>
      <c r="CN763" s="30">
        <f t="shared" si="1852"/>
      </c>
      <c r="CO763" s="30">
        <f>IF(CJ758="NM","NM",IF(CO758="NM","NM",IF(CJ758&lt;=0,"NM",IF(CO758=0,"NM",IF(ABS(CO758/CJ758-1)&gt;2.5,"NM",IF((ABS(CO758-CJ758)=ABS(ABS(CO758)-ABS(CJ758))),(CO758/CJ758-1),"NM"))))))</f>
      </c>
      <c r="CP763" s="308">
        <f>IF(CK758=0, 0, CP758/CK758-1)</f>
      </c>
      <c r="CQ763" s="30">
        <f t="shared" ref="CQ763:CX764" si="1853">IF(CL758="NM","NM",IF(CQ758="NM","NM",IF(CL758&lt;=0,"NM",IF(CQ758=0,"NM",IF(ABS(CQ758/CL758-1)&gt;2.5,"NM",IF((ABS(CQ758-CL758)=ABS(ABS(CQ758)-ABS(CL758))),(CQ758/CL758-1),"NM"))))))</f>
      </c>
      <c r="CR763" s="30">
        <f t="shared" si="1853"/>
      </c>
      <c r="CS763" s="30">
        <f t="shared" si="1853"/>
      </c>
      <c r="CT763" s="30">
        <f t="shared" si="1853"/>
      </c>
      <c r="CU763" s="308">
        <f>IF(CP758=0, 0, CU758/CP758-1)</f>
      </c>
      <c r="CV763" s="30">
        <f t="shared" si="1853"/>
      </c>
      <c r="CW763" s="30">
        <f t="shared" si="1853"/>
      </c>
      <c r="CX763" s="30">
        <f t="shared" si="1853"/>
      </c>
      <c r="CY763" s="30">
        <f>IF(CT758="NM","NM",IF(CY758="NM","NM",IF(CT758&lt;=0,"NM",IF(CY758=0,"NM",IF(ABS(CY758/CT758-1)&gt;2.5,"NM",IF((ABS(CY758-CT758)=ABS(ABS(CY758)-ABS(CT758))),(CY758/CT758-1),"NM"))))))</f>
      </c>
      <c r="CZ763" s="308">
        <f>IF(CU758=0, 0, CZ758/CU758-1)</f>
      </c>
      <c r="DA763" s="30">
        <f t="shared" ref="DA763:DC764" si="1854">IF(CV758="NM","NM",IF(DA758="NM","NM",IF(CV758&lt;=0,"NM",IF(DA758=0,"NM",IF(ABS(DA758/CV758-1)&gt;2.5,"NM",IF((ABS(DA758-CV758)=ABS(ABS(DA758)-ABS(CV758))),(DA758/CV758-1),"NM"))))))</f>
      </c>
      <c r="DB763" s="30">
        <f t="shared" si="1854"/>
      </c>
      <c r="DC763" s="30">
        <f t="shared" si="1854"/>
      </c>
      <c r="DD763" s="927">
        <f>IF(DD758=0,"NM",+DD758/CY758-1)</f>
      </c>
      <c r="DE763" s="309">
        <f>IF(CZ758=0, 0, DE758/CZ758-1)</f>
      </c>
      <c r="DF763" s="41">
        <v>-0.05</v>
      </c>
      <c r="DG763" s="41">
        <f>IF(DB758="NM","NM",IF(DG758="NM","NM",IF(DB758&lt;=0,"NM",IF(DG758=0,"NM",IF(ABS(DG758/DB758-1)&gt;2.5,"NM",IF((ABS(DG758-DB758)=ABS(ABS(DG758)-ABS(DB758))),(DG758/DB758-1),"NM"))))))</f>
      </c>
      <c r="DH763" s="41">
        <f>IF(DC758="NM","NM",IF(DH758="NM","NM",IF(DC758&lt;=0,"NM",IF(DH758=0,"NM",IF(ABS(DH758/DC758-1)&gt;2.5,"NM",IF((ABS(DH758-DC758)=ABS(ABS(DH758)-ABS(DC758))),(DH758/DC758-1),"NM"))))))</f>
      </c>
      <c r="DI763" s="927">
        <f>IF(DI758=0,"NM",+DI758/DD758-1)</f>
      </c>
      <c r="DJ763" s="309">
        <f>IF(DE758=0, 0, DJ758/DE758-1)</f>
      </c>
      <c r="DK763" s="41">
        <v>-0.05</v>
      </c>
      <c r="DL763" s="41">
        <f>IF(DG758="NM","NM",IF(DL758="NM","NM",IF(DG758&lt;=0,"NM",IF(DL758=0,"NM",IF(ABS(DL758/DG758-1)&gt;2.5,"NM",IF((ABS(DL758-DG758)=ABS(ABS(DL758)-ABS(DG758))),(DL758/DG758-1),"NM"))))))</f>
      </c>
      <c r="DM763" s="361">
        <v>-0.05</v>
      </c>
      <c r="DN763" s="927">
        <f>IF(DN758=0,"NM",+DN758/DI758-1)</f>
      </c>
      <c r="DO763" s="309">
        <f>IF(DJ758=0, 0, DO758/DJ758-1)</f>
      </c>
      <c r="DP763" s="30">
        <v>-0.05</v>
      </c>
      <c r="DQ763" s="30">
        <f t="shared" ref="DQ763:DS764" si="1855">IF(DL758="NM","NM",IF(DQ758="NM","NM",IF(DL758&lt;=0,"NM",IF(DQ758=0,"NM",IF(ABS(DQ758/DL758-1)&gt;2.5,"NM",IF((ABS(DQ758-DL758)=ABS(ABS(DQ758)-ABS(DL758))),(DQ758/DL758-1),"NM"))))))</f>
      </c>
      <c r="DR763" s="30">
        <f t="shared" si="1855"/>
      </c>
      <c r="DS763" s="30">
        <f t="shared" si="1855"/>
      </c>
      <c r="DT763" s="308">
        <f>IF(DO758=0, 0, DT758/DO758-1)</f>
      </c>
      <c r="DU763" s="30">
        <f t="shared" ref="DU763:DW765" si="1856">IF(DP758="NM","NM",IF(DU758="NM","NM",IF(DP758&lt;=0,"NM",IF(DU758=0,"NM",IF(ABS(DU758/DP758-1)&gt;2.5,"NM",IF((ABS(DU758-DP758)=ABS(ABS(DU758)-ABS(DP758))),(DU758/DP758-1),"NM"))))))</f>
      </c>
      <c r="DV763" s="30">
        <f t="shared" si="1856"/>
      </c>
      <c r="DW763" s="30">
        <f t="shared" si="1856"/>
      </c>
      <c r="DX763" s="30">
        <f>IF(DS758="NM","NM",IF(DX758="NM","NM",IF(DS758&lt;=0,"NM",IF(DX758=0,"NM",IF(ABS(DX758/DS758-1)&gt;2.5,"NM",IF((ABS(DX758-DS758)=ABS(ABS(DX758)-ABS(DS758))),(DX758/DS758-1),"NM"))))))</f>
      </c>
      <c r="DY763" s="308">
        <f>IF(DT758=0, 0, DY758/DT758-1)</f>
      </c>
      <c r="DZ763" s="30">
        <f t="shared" ref="DZ763:EG764" si="1857">IF(DU758="NM","NM",IF(DZ758="NM","NM",IF(DU758&lt;=0,"NM",IF(DZ758=0,"NM",IF(ABS(DZ758/DU758-1)&gt;2.5,"NM",IF((ABS(DZ758-DU758)=ABS(ABS(DZ758)-ABS(DU758))),(DZ758/DU758-1),"NM"))))))</f>
      </c>
      <c r="EA763" s="926">
        <f t="shared" si="1857"/>
      </c>
      <c r="EB763" s="926">
        <f t="shared" si="1857"/>
      </c>
      <c r="EC763" s="928">
        <f t="shared" si="1857"/>
      </c>
      <c r="ED763" s="308">
        <f>IF(DY758=0, 0, ED758/DY758-1)</f>
      </c>
      <c r="EE763" s="30">
        <f t="shared" si="1857"/>
      </c>
      <c r="EF763" s="926">
        <f t="shared" si="1857"/>
      </c>
      <c r="EG763" s="926">
        <f t="shared" si="1857"/>
      </c>
      <c r="EH763" s="928">
        <f t="shared" ref="EH763:EH765" si="1858">IF(EC758="NM","NM",IF(EH758="NM","NM",IF(EC758&lt;=0,"NM",IF(EH758=0,"NM",IF(ABS(EH758/EC758-1)&gt;2.5,"NM",IF((ABS(EH758-EC758)=ABS(ABS(EH758)-ABS(EC758))),(EH758/EC758-1),"NM"))))))</f>
      </c>
      <c r="EI763" s="673">
        <v>0.1</v>
      </c>
      <c r="EJ763" s="673">
        <v>0.01</v>
      </c>
      <c r="EK763" s="673">
        <v>0.01</v>
      </c>
      <c r="EL763" s="673">
        <v>0.01</v>
      </c>
      <c r="EM763" s="673">
        <v>0.01</v>
      </c>
      <c r="EN763" s="673">
        <v>0.01</v>
      </c>
      <c r="EO763" s="673">
        <v>0.01</v>
      </c>
      <c r="EP763" s="673">
        <v>0.01</v>
      </c>
      <c r="EQ763" s="673">
        <v>0.01</v>
      </c>
      <c r="ER763" s="673">
        <v>0.01</v>
      </c>
      <c r="ES763" s="673">
        <v>0.01</v>
      </c>
      <c r="ET763" s="657"/>
      <c r="EU763" s="657"/>
      <c r="EV763" s="657"/>
      <c r="EW763" s="657"/>
      <c r="EX763" s="657"/>
    </row>
    <row r="764" spans="2:154" ht="12.75" customHeight="1">
      <c r="B764" s="1169" t="s">
        <v>412</v>
      </c>
      <c r="C764" s="1989"/>
      <c r="D764" s="28"/>
      <c r="E764" s="28"/>
      <c r="F764" s="28"/>
      <c r="G764" s="28"/>
      <c r="H764" s="28"/>
      <c r="I764" s="29">
        <f t="shared" si="1844"/>
      </c>
      <c r="J764" s="30">
        <f t="shared" si="1844"/>
      </c>
      <c r="K764" s="30">
        <f t="shared" si="1844"/>
      </c>
      <c r="L764" s="30">
        <f t="shared" si="1844"/>
      </c>
      <c r="M764" s="30">
        <f t="shared" si="1844"/>
      </c>
      <c r="N764" s="30">
        <f t="shared" si="1844"/>
      </c>
      <c r="O764" s="30">
        <f t="shared" si="1844"/>
      </c>
      <c r="P764" s="30">
        <f t="shared" si="1844"/>
      </c>
      <c r="Q764" s="30">
        <f t="shared" si="1844"/>
      </c>
      <c r="R764" s="30">
        <f t="shared" si="1844"/>
      </c>
      <c r="S764" s="30">
        <f t="shared" si="1845"/>
      </c>
      <c r="T764" s="30">
        <f t="shared" si="1845"/>
      </c>
      <c r="U764" s="30">
        <f t="shared" si="1845"/>
      </c>
      <c r="V764" s="30">
        <f t="shared" si="1845"/>
      </c>
      <c r="W764" s="30">
        <f t="shared" si="1845"/>
      </c>
      <c r="X764" s="308">
        <f t="shared" si="1845"/>
      </c>
      <c r="Y764" s="30">
        <f t="shared" si="1845"/>
      </c>
      <c r="Z764" s="30">
        <f t="shared" si="1845"/>
      </c>
      <c r="AA764" s="30">
        <f t="shared" si="1845"/>
      </c>
      <c r="AB764" s="30">
        <f t="shared" si="1845"/>
      </c>
      <c r="AC764" s="308">
        <f t="shared" si="1846"/>
      </c>
      <c r="AD764" s="30">
        <f t="shared" si="1846"/>
      </c>
      <c r="AE764" s="30">
        <f t="shared" si="1846"/>
      </c>
      <c r="AF764" s="30">
        <f t="shared" si="1846"/>
      </c>
      <c r="AG764" s="30">
        <f t="shared" si="1846"/>
      </c>
      <c r="AH764" s="308">
        <f t="shared" si="1846"/>
      </c>
      <c r="AI764" s="30">
        <f t="shared" si="1846"/>
      </c>
      <c r="AJ764" s="30">
        <f t="shared" si="1846"/>
      </c>
      <c r="AK764" s="30">
        <f t="shared" si="1846"/>
      </c>
      <c r="AL764" s="30">
        <f t="shared" si="1846"/>
      </c>
      <c r="AM764" s="308">
        <f t="shared" si="1847"/>
      </c>
      <c r="AN764" s="30">
        <f t="shared" si="1847"/>
      </c>
      <c r="AO764" s="30">
        <f t="shared" si="1847"/>
      </c>
      <c r="AP764" s="30">
        <f t="shared" si="1847"/>
      </c>
      <c r="AQ764" s="30">
        <f t="shared" si="1847"/>
      </c>
      <c r="AR764" s="308">
        <f t="shared" si="1847"/>
      </c>
      <c r="AS764" s="30">
        <f t="shared" si="1847"/>
      </c>
      <c r="AT764" s="30">
        <f t="shared" si="1847"/>
      </c>
      <c r="AU764" s="30">
        <f t="shared" si="1847"/>
      </c>
      <c r="AV764" s="30">
        <f t="shared" si="1847"/>
      </c>
      <c r="AW764" s="308">
        <f t="shared" si="1848"/>
      </c>
      <c r="AX764" s="30">
        <f t="shared" si="1848"/>
      </c>
      <c r="AY764" s="30">
        <f t="shared" si="1848"/>
      </c>
      <c r="AZ764" s="30">
        <f t="shared" si="1848"/>
      </c>
      <c r="BA764" s="30">
        <f t="shared" si="1848"/>
      </c>
      <c r="BB764" s="308">
        <f t="shared" si="1848"/>
      </c>
      <c r="BC764" s="30">
        <f t="shared" si="1848"/>
      </c>
      <c r="BD764" s="30">
        <f t="shared" si="1848"/>
      </c>
      <c r="BE764" s="30">
        <f t="shared" si="1848"/>
      </c>
      <c r="BF764" s="30">
        <f t="shared" si="1848"/>
      </c>
      <c r="BG764" s="308">
        <f>IF(BB759="NM","NM",IF(BG759="NM","NM",IF(BB759&lt;=0,"NM",IF(BG759=0,"NM",IF(ABS(BG759/BB759-1)&gt;2.5,"NM",IF((ABS(BG759-BB759)=ABS(ABS(BG759)-ABS(BB759))),(BG759/BB759-1),"NM"))))))</f>
      </c>
      <c r="BH764" s="30">
        <f t="shared" si="1848"/>
      </c>
      <c r="BI764" s="30">
        <f t="shared" si="1848"/>
      </c>
      <c r="BJ764" s="30">
        <f t="shared" si="1848"/>
      </c>
      <c r="BK764" s="30">
        <f t="shared" si="1848"/>
      </c>
      <c r="BL764" s="308">
        <f t="shared" si="1849"/>
      </c>
      <c r="BM764" s="30">
        <f t="shared" si="1849"/>
      </c>
      <c r="BN764" s="30">
        <f t="shared" si="1849"/>
      </c>
      <c r="BO764" s="30">
        <f t="shared" si="1849"/>
      </c>
      <c r="BP764" s="30">
        <f t="shared" si="1849"/>
      </c>
      <c r="BQ764" s="308">
        <f t="shared" si="1849"/>
      </c>
      <c r="BR764" s="30">
        <f t="shared" si="1849"/>
      </c>
      <c r="BS764" s="30">
        <f t="shared" si="1849"/>
      </c>
      <c r="BT764" s="30">
        <f t="shared" si="1849"/>
      </c>
      <c r="BU764" s="30">
        <f t="shared" si="1849"/>
      </c>
      <c r="BV764" s="308">
        <f t="shared" si="1850"/>
      </c>
      <c r="BW764" s="30">
        <f t="shared" si="1850"/>
      </c>
      <c r="BX764" s="30">
        <f t="shared" si="1850"/>
      </c>
      <c r="BY764" s="30">
        <f t="shared" si="1850"/>
      </c>
      <c r="BZ764" s="30">
        <f t="shared" si="1850"/>
      </c>
      <c r="CA764" s="308">
        <f t="shared" si="1850"/>
      </c>
      <c r="CB764" s="30">
        <f t="shared" si="1850"/>
      </c>
      <c r="CC764" s="30">
        <f t="shared" si="1850"/>
      </c>
      <c r="CD764" s="30">
        <f t="shared" si="1850"/>
      </c>
      <c r="CE764" s="30">
        <f t="shared" si="1850"/>
      </c>
      <c r="CF764" s="308">
        <f t="shared" si="1851"/>
      </c>
      <c r="CG764" s="30">
        <f t="shared" si="1851"/>
      </c>
      <c r="CH764" s="30">
        <f t="shared" si="1851"/>
      </c>
      <c r="CI764" s="30">
        <f t="shared" si="1851"/>
      </c>
      <c r="CJ764" s="30">
        <f t="shared" si="1851"/>
      </c>
      <c r="CK764" s="308">
        <f>IF(CF759=0, "NA", CK759/CF759-1)</f>
      </c>
      <c r="CL764" s="30">
        <f t="shared" si="1852"/>
      </c>
      <c r="CM764" s="30">
        <f t="shared" si="1852"/>
      </c>
      <c r="CN764" s="30">
        <f t="shared" si="1852"/>
      </c>
      <c r="CO764" s="30">
        <f>IF(CJ759="NM","NM",IF(CO759="NM","NM",IF(CJ759&lt;=0,"NM",IF(CO759=0,"NM",IF(ABS(CO759/CJ759-1)&gt;2.5,"NM",IF((ABS(CO759-CJ759)=ABS(ABS(CO759)-ABS(CJ759))),(CO759/CJ759-1),"NM"))))))</f>
      </c>
      <c r="CP764" s="308">
        <f>IF(CK759=0, "NA", CP759/CK759-1)</f>
      </c>
      <c r="CQ764" s="30">
        <f t="shared" si="1853"/>
      </c>
      <c r="CR764" s="30">
        <f t="shared" si="1853"/>
      </c>
      <c r="CS764" s="30">
        <f t="shared" si="1853"/>
      </c>
      <c r="CT764" s="30">
        <f t="shared" si="1853"/>
      </c>
      <c r="CU764" s="308">
        <f>IF(CP759=0, "NA", CU759/CP759-1)</f>
      </c>
      <c r="CV764" s="30">
        <f t="shared" si="1853"/>
      </c>
      <c r="CW764" s="30">
        <f t="shared" si="1853"/>
      </c>
      <c r="CX764" s="30">
        <f t="shared" si="1853"/>
      </c>
      <c r="CY764" s="30">
        <f>IF(CT759="NM","NM",IF(CY759="NM","NM",IF(CT759&lt;=0,"NM",IF(CY759=0,"NM",IF(ABS(CY759/CT759-1)&gt;2.5,"NM",IF((ABS(CY759-CT759)=ABS(ABS(CY759)-ABS(CT759))),(CY759/CT759-1),"NM"))))))</f>
      </c>
      <c r="CZ764" s="308">
        <f>IF(CU759=0, "NA", CZ759/CU759-1)</f>
      </c>
      <c r="DA764" s="30">
        <f t="shared" si="1854"/>
      </c>
      <c r="DB764" s="30">
        <f t="shared" si="1854"/>
      </c>
      <c r="DC764" s="30">
        <f t="shared" si="1854"/>
      </c>
      <c r="DD764" s="960">
        <f>IF(DD759=0, "NM", DD759/CY759-1)</f>
      </c>
      <c r="DE764" s="309">
        <f>IF(CZ759=0, "NA", DE759/CZ759-1)</f>
      </c>
      <c r="DF764" s="925">
        <f>DF765+DF$21</f>
      </c>
      <c r="DG764" s="41">
        <f>IF(DB759="NM","NM",IF(DG759="NM","NM",IF(DB759&lt;=0,"NM",IF(DG759=0,"NM",IF(ABS(DG759/DB759-1)&gt;2.5,"NM",IF((ABS(DG759-DB759)=ABS(ABS(DG759)-ABS(DB759))),(DG759/DB759-1),"NM"))))))</f>
      </c>
      <c r="DH764" s="41">
        <f>IF(DC759="NM","NM",IF(DH759="NM","NM",IF(DC759&lt;=0,"NM",IF(DH759=0,"NM",IF(ABS(DH759/DC759-1)&gt;2.5,"NM",IF((ABS(DH759-DC759)=ABS(ABS(DH759)-ABS(DC759))),(DH759/DC759-1),"NM"))))))</f>
      </c>
      <c r="DI764" s="927">
        <f>IF(DI759=0, "NM", DI759/DD759-1)</f>
      </c>
      <c r="DJ764" s="309">
        <f>IF(DE759=0, "NA", DJ759/DE759-1)</f>
      </c>
      <c r="DK764" s="925">
        <f>DK765+DK$21</f>
      </c>
      <c r="DL764" s="41">
        <f>IF(DG759="NM","NM",IF(DL759="NM","NM",IF(DG759&lt;=0,"NM",IF(DL759=0,"NM",IF(ABS(DL759/DG759-1)&gt;2.5,"NM",IF((ABS(DL759-DG759)=ABS(ABS(DL759)-ABS(DG759))),(DL759/DG759-1),"NM"))))))</f>
      </c>
      <c r="DM764" s="925">
        <f>DM765+DM$21</f>
      </c>
      <c r="DN764" s="927">
        <f>IF(DN759=0, "NM", DN759/DI759-1)</f>
      </c>
      <c r="DO764" s="309">
        <f>IF(DJ759=0, "NA", DO759/DJ759-1)</f>
      </c>
      <c r="DP764" s="926">
        <f>DP759/DK759-1</f>
      </c>
      <c r="DQ764" s="30">
        <f t="shared" si="1855"/>
      </c>
      <c r="DR764" s="30">
        <f t="shared" si="1855"/>
      </c>
      <c r="DS764" s="30">
        <f t="shared" si="1855"/>
      </c>
      <c r="DT764" s="308">
        <f>IF(DO759=0, "NA", DT759/DO759-1)</f>
      </c>
      <c r="DU764" s="926">
        <f t="shared" si="1856"/>
      </c>
      <c r="DV764" s="926">
        <f t="shared" si="1856"/>
      </c>
      <c r="DW764" s="926">
        <f t="shared" si="1856"/>
      </c>
      <c r="DX764" s="30">
        <f>IF(DS759="NM","NM",IF(DX759="NM","NM",IF(DS759&lt;=0,"NM",IF(DX759=0,"NM",IF(ABS(DX759/DS759-1)&gt;2.5,"NM",IF((ABS(DX759-DS759)=ABS(ABS(DX759)-ABS(DS759))),(DX759/DS759-1),"NM"))))))</f>
      </c>
      <c r="DY764" s="308">
        <f>IF(DT759=0, "NA", DY759/DT759-1)</f>
      </c>
      <c r="DZ764" s="926">
        <f t="shared" si="1857"/>
      </c>
      <c r="EA764" s="926">
        <f t="shared" si="1857"/>
      </c>
      <c r="EB764" s="926">
        <f t="shared" si="1857"/>
      </c>
      <c r="EC764" s="928">
        <f t="shared" si="1857"/>
      </c>
      <c r="ED764" s="308">
        <f>IF(DY759=0, "NA", ED759/DY759-1)</f>
      </c>
      <c r="EE764" s="926">
        <f t="shared" si="1857"/>
      </c>
      <c r="EF764" s="926">
        <f t="shared" si="1857"/>
      </c>
      <c r="EG764" s="926">
        <f t="shared" si="1857"/>
      </c>
      <c r="EH764" s="928">
        <f t="shared" si="1858"/>
      </c>
      <c r="EI764" s="308">
        <f t="shared" ref="EI764:ES764" si="1859">EI765+EI$21</f>
      </c>
      <c r="EJ764" s="308">
        <f t="shared" si="1859"/>
      </c>
      <c r="EK764" s="308">
        <f t="shared" si="1859"/>
      </c>
      <c r="EL764" s="308">
        <f t="shared" si="1859"/>
      </c>
      <c r="EM764" s="308">
        <f t="shared" si="1859"/>
      </c>
      <c r="EN764" s="308">
        <f t="shared" si="1859"/>
      </c>
      <c r="EO764" s="308">
        <f t="shared" si="1859"/>
      </c>
      <c r="EP764" s="308">
        <f t="shared" si="1859"/>
      </c>
      <c r="EQ764" s="308">
        <f t="shared" si="1859"/>
      </c>
      <c r="ER764" s="308">
        <f t="shared" si="1859"/>
      </c>
      <c r="ES764" s="308">
        <f t="shared" si="1859"/>
      </c>
      <c r="ET764" s="409"/>
      <c r="EU764" s="409"/>
      <c r="EV764" s="409"/>
      <c r="EW764" s="409"/>
      <c r="EX764" s="409"/>
    </row>
    <row r="765" spans="2:154" ht="12.75" customHeight="1">
      <c r="B765" s="1169" t="s">
        <v>256</v>
      </c>
      <c r="C765" s="1989"/>
      <c r="D765" s="28"/>
      <c r="E765" s="28"/>
      <c r="F765" s="28"/>
      <c r="G765" s="28"/>
      <c r="H765" s="28"/>
      <c r="I765" s="24"/>
      <c r="J765" s="1"/>
      <c r="K765" s="1"/>
      <c r="L765" s="1"/>
      <c r="M765" s="1"/>
      <c r="N765" s="24"/>
      <c r="O765" s="24"/>
      <c r="P765" s="24"/>
      <c r="Q765" s="24"/>
      <c r="R765" s="24"/>
      <c r="S765" s="1"/>
      <c r="T765" s="24"/>
      <c r="U765" s="24"/>
      <c r="V765" s="24"/>
      <c r="W765" s="24"/>
      <c r="X765" s="315"/>
      <c r="Y765" s="24"/>
      <c r="Z765" s="24"/>
      <c r="AA765" s="24"/>
      <c r="AB765" s="24"/>
      <c r="AC765" s="315"/>
      <c r="AD765" s="24"/>
      <c r="AE765" s="24"/>
      <c r="AF765" s="24"/>
      <c r="AG765" s="24"/>
      <c r="AH765" s="315"/>
      <c r="AI765" s="8">
        <f t="shared" ref="AI765:BN765" si="1860">IF(ISNUMBER(AI764),(1+AI764)/(1+AI$21)-1,"NM")</f>
      </c>
      <c r="AJ765" s="8">
        <f t="shared" si="1860"/>
      </c>
      <c r="AK765" s="8">
        <f t="shared" si="1860"/>
      </c>
      <c r="AL765" s="8">
        <f t="shared" si="1860"/>
      </c>
      <c r="AM765" s="315">
        <f t="shared" si="1860"/>
      </c>
      <c r="AN765" s="8">
        <f t="shared" si="1860"/>
      </c>
      <c r="AO765" s="8">
        <f t="shared" si="1860"/>
      </c>
      <c r="AP765" s="8">
        <f t="shared" si="1860"/>
      </c>
      <c r="AQ765" s="8">
        <f t="shared" si="1860"/>
      </c>
      <c r="AR765" s="315">
        <f t="shared" si="1860"/>
      </c>
      <c r="AS765" s="8">
        <f t="shared" si="1860"/>
      </c>
      <c r="AT765" s="8">
        <f t="shared" si="1860"/>
      </c>
      <c r="AU765" s="8">
        <f t="shared" si="1860"/>
      </c>
      <c r="AV765" s="8">
        <f t="shared" si="1860"/>
      </c>
      <c r="AW765" s="315">
        <f t="shared" si="1860"/>
      </c>
      <c r="AX765" s="8">
        <f t="shared" si="1860"/>
      </c>
      <c r="AY765" s="8">
        <f t="shared" si="1860"/>
      </c>
      <c r="AZ765" s="8">
        <f t="shared" si="1860"/>
      </c>
      <c r="BA765" s="8">
        <f t="shared" si="1860"/>
      </c>
      <c r="BB765" s="315">
        <f t="shared" si="1860"/>
      </c>
      <c r="BC765" s="8">
        <f t="shared" si="1860"/>
      </c>
      <c r="BD765" s="8">
        <f t="shared" si="1860"/>
      </c>
      <c r="BE765" s="8">
        <f t="shared" si="1860"/>
      </c>
      <c r="BF765" s="8">
        <f t="shared" si="1860"/>
      </c>
      <c r="BG765" s="309">
        <f t="shared" si="1860"/>
      </c>
      <c r="BH765" s="8">
        <f t="shared" si="1860"/>
      </c>
      <c r="BI765" s="8">
        <f t="shared" si="1860"/>
      </c>
      <c r="BJ765" s="8">
        <f t="shared" si="1860"/>
      </c>
      <c r="BK765" s="8">
        <f t="shared" si="1860"/>
      </c>
      <c r="BL765" s="315">
        <f t="shared" si="1860"/>
      </c>
      <c r="BM765" s="8">
        <f t="shared" si="1860"/>
      </c>
      <c r="BN765" s="8">
        <f t="shared" si="1860"/>
      </c>
      <c r="BO765" s="8">
        <f t="shared" ref="BO765:CJ765" si="1861">IF(ISNUMBER(BO764),(1+BO764)/(1+BO$21)-1,"NM")</f>
      </c>
      <c r="BP765" s="30">
        <f t="shared" si="1861"/>
      </c>
      <c r="BQ765" s="315">
        <f t="shared" si="1861"/>
      </c>
      <c r="BR765" s="8">
        <f t="shared" si="1861"/>
      </c>
      <c r="BS765" s="8">
        <f t="shared" si="1861"/>
      </c>
      <c r="BT765" s="8">
        <f t="shared" si="1861"/>
      </c>
      <c r="BU765" s="30">
        <f t="shared" si="1861"/>
      </c>
      <c r="BV765" s="315">
        <f t="shared" si="1861"/>
      </c>
      <c r="BW765" s="30">
        <f t="shared" si="1861"/>
      </c>
      <c r="BX765" s="30">
        <f t="shared" si="1861"/>
      </c>
      <c r="BY765" s="30">
        <f t="shared" si="1861"/>
      </c>
      <c r="BZ765" s="30">
        <f t="shared" si="1861"/>
      </c>
      <c r="CA765" s="308">
        <f t="shared" si="1861"/>
      </c>
      <c r="CB765" s="30">
        <f t="shared" si="1861"/>
      </c>
      <c r="CC765" s="30">
        <f t="shared" si="1861"/>
      </c>
      <c r="CD765" s="30">
        <f t="shared" si="1861"/>
      </c>
      <c r="CE765" s="30">
        <f t="shared" si="1861"/>
      </c>
      <c r="CF765" s="308">
        <f t="shared" si="1861"/>
      </c>
      <c r="CG765" s="30">
        <f t="shared" si="1861"/>
      </c>
      <c r="CH765" s="30">
        <f t="shared" si="1861"/>
      </c>
      <c r="CI765" s="30">
        <f t="shared" si="1861"/>
      </c>
      <c r="CJ765" s="30">
        <f t="shared" si="1861"/>
      </c>
      <c r="CK765" s="315">
        <f>CK764-CK$21</f>
      </c>
      <c r="CL765" s="30">
        <f>IF(ISNUMBER(CL764),(1+CL764)/(1+CL$21)-1,"NM")</f>
      </c>
      <c r="CM765" s="30">
        <f>IF(ISNUMBER(CM764),(1+CM764)/(1+CM$21)-1,"NM")</f>
      </c>
      <c r="CN765" s="30">
        <f>IF(ISNUMBER(CN764),(1+CN764)/(1+CN$21)-1,"NM")</f>
      </c>
      <c r="CO765" s="30">
        <f>IF(ISNUMBER(CO764),(1+CO764)/(1+CO$21)-1,"NM")</f>
      </c>
      <c r="CP765" s="315">
        <f>CP764-CP$21</f>
      </c>
      <c r="CQ765" s="30">
        <f>IF(ISNUMBER(CQ764),(1+CQ764)/(1+CQ$21)-1,"NM")</f>
      </c>
      <c r="CR765" s="30">
        <f>IF(ISNUMBER(CR764),(1+CR764)/(1+CR$21)-1,"NM")</f>
      </c>
      <c r="CS765" s="30">
        <f>IF(ISNUMBER(CS764),(1+CS764)/(1+CS$21)-1,"NM")</f>
      </c>
      <c r="CT765" s="30">
        <f>IF(ISNUMBER(CT764),(1+CT764)/(1+CT$21)-1,"NM")</f>
      </c>
      <c r="CU765" s="315">
        <f>CU764-CU$21</f>
      </c>
      <c r="CV765" s="30">
        <f>IF(ISNUMBER(CV764),(1+CV764)/(1+CV$21)-1,"NM")</f>
      </c>
      <c r="CW765" s="30">
        <f>IF(ISNUMBER(CW764),(1+CW764)/(1+CW$21)-1,"NM")</f>
      </c>
      <c r="CX765" s="30">
        <f>IF(ISNUMBER(CX764),(1+CX764)/(1+CX$21)-1,"NM")</f>
      </c>
      <c r="CY765" s="30">
        <f>IF(ISNUMBER(CY764),(1+CY764)/(1+CY$21)-1,"NM")</f>
      </c>
      <c r="CZ765" s="315">
        <f>CZ764-CZ$21</f>
      </c>
      <c r="DA765" s="30">
        <f>IF(ISNUMBER(DA764),(1+DA764)/(1+DA$21)-1,"NM")</f>
      </c>
      <c r="DB765" s="30">
        <f>IF(ISNUMBER(DB764),(1+DB764)/(1+DB$21)-1,"NM")</f>
      </c>
      <c r="DC765" s="30">
        <f>IF(ISNUMBER(DC764),(1+DC764)/(1+DC$21)-1,"NM")</f>
      </c>
      <c r="DD765" s="30">
        <f>IF(ISNUMBER(DD764),(1+DD764)/(1+DD$21)-1,"NM")</f>
      </c>
      <c r="DE765" s="309">
        <f>DE764-DE$21</f>
      </c>
      <c r="DF765" s="41">
        <v>-0.14000000000000001</v>
      </c>
      <c r="DG765" s="41">
        <f>IF(ISNUMBER(DG764),(1+DG764)/(1+DG$21)-1,"NM")</f>
      </c>
      <c r="DH765" s="41">
        <f>IF(ISNUMBER(DH764),(1+DH764)/(1+DH$21)-1,"NM")</f>
      </c>
      <c r="DI765" s="927">
        <f>IF(DI759=0, "NM",DI764-DI$21)</f>
      </c>
      <c r="DJ765" s="309">
        <f>DJ764-DJ$21</f>
      </c>
      <c r="DK765" s="41">
        <v>-0.14000000000000001</v>
      </c>
      <c r="DL765" s="41">
        <f>IF(ISNUMBER(DL764),(1+DL764)/(1+DL$21)-1,"NM")</f>
      </c>
      <c r="DM765" s="361">
        <v>-0.01</v>
      </c>
      <c r="DN765" s="927">
        <f>IF(DN759=0, "NM",DN764-DN$21)</f>
      </c>
      <c r="DO765" s="309">
        <f>DO764-DO$21</f>
      </c>
      <c r="DP765" s="926">
        <f>DP764-DP$21</f>
      </c>
      <c r="DQ765" s="30">
        <f>IF(ISNUMBER(DQ764),(1+DQ764)/(1+DQ$21)-1,"NM")</f>
      </c>
      <c r="DR765" s="30">
        <f>IF(ISNUMBER(DR764),(1+DR764)/(1+DR$21)-1,"NM")</f>
      </c>
      <c r="DS765" s="30">
        <f>IF(ISNUMBER(DS764),(1+DS764)/(1+DS$21)-1,"NM")</f>
      </c>
      <c r="DT765" s="308">
        <f>DT764-DT$21</f>
      </c>
      <c r="DU765" s="926">
        <f t="shared" si="1856"/>
      </c>
      <c r="DV765" s="926">
        <f t="shared" si="1856"/>
      </c>
      <c r="DW765" s="926">
        <f t="shared" si="1856"/>
      </c>
      <c r="DX765" s="30">
        <f>IF(ISNUMBER(DX764),(1+DX764)/(1+DX$21)-1,"NM")</f>
      </c>
      <c r="DY765" s="308">
        <f>DY764-DY$21</f>
      </c>
      <c r="DZ765" s="926">
        <f>DZ764-(-0.2%)</f>
      </c>
      <c r="EA765" s="926">
        <f>EA764-(-3.4%)</f>
      </c>
      <c r="EB765" s="926">
        <f>EB764-(-1.9%)</f>
      </c>
      <c r="EC765" s="926">
        <f>EC764-(-2.5%)</f>
      </c>
      <c r="ED765" s="308">
        <f>ED764-ED$21</f>
      </c>
      <c r="EE765" s="926">
        <f>EE764-(-0.2%)</f>
      </c>
      <c r="EF765" s="926">
        <f>EF764-(-3.4%)</f>
      </c>
      <c r="EG765" s="926">
        <f>EG764-(-1.9%)</f>
      </c>
      <c r="EH765" s="928">
        <f t="shared" si="1858"/>
      </c>
      <c r="EI765" s="673">
        <v>-0.12</v>
      </c>
      <c r="EJ765" s="673">
        <v>0.01</v>
      </c>
      <c r="EK765" s="673">
        <v>0.01</v>
      </c>
      <c r="EL765" s="673">
        <v>0.01</v>
      </c>
      <c r="EM765" s="673">
        <v>0.01</v>
      </c>
      <c r="EN765" s="673">
        <v>0.01</v>
      </c>
      <c r="EO765" s="673">
        <v>0.01</v>
      </c>
      <c r="EP765" s="673">
        <v>0.01</v>
      </c>
      <c r="EQ765" s="673">
        <v>0.01</v>
      </c>
      <c r="ER765" s="673">
        <v>0.01</v>
      </c>
      <c r="ES765" s="673">
        <v>0.01</v>
      </c>
      <c r="ET765" s="657"/>
      <c r="EU765" s="657"/>
      <c r="EV765" s="657"/>
      <c r="EW765" s="657"/>
      <c r="EX765" s="657"/>
    </row>
    <row r="766" spans="2:154" ht="12.75" customHeight="1">
      <c r="B766" s="1169" t="s">
        <v>413</v>
      </c>
      <c r="C766" s="1989"/>
      <c r="D766" s="28"/>
      <c r="E766" s="28"/>
      <c r="F766" s="28"/>
      <c r="G766" s="28"/>
      <c r="H766" s="28"/>
      <c r="I766" s="29">
        <f t="shared" ref="I766:AN766" si="1862">IF(D760="NM","NM",IF(I760="NM","NM",IF(D760&lt;=0,"NM",IF(I760=0,"NM",IF(ABS(I760/D760-1)&gt;2.5,"NM",IF((ABS(I760-D760)=ABS(ABS(I760)-ABS(D760))),(I760/D760-1),"NM"))))))</f>
      </c>
      <c r="J766" s="30">
        <f t="shared" si="1862"/>
      </c>
      <c r="K766" s="30">
        <f t="shared" si="1862"/>
      </c>
      <c r="L766" s="30">
        <f t="shared" si="1862"/>
      </c>
      <c r="M766" s="30">
        <f t="shared" si="1862"/>
      </c>
      <c r="N766" s="30">
        <f t="shared" si="1862"/>
      </c>
      <c r="O766" s="30">
        <f t="shared" si="1862"/>
      </c>
      <c r="P766" s="30">
        <f t="shared" si="1862"/>
      </c>
      <c r="Q766" s="30">
        <f t="shared" si="1862"/>
      </c>
      <c r="R766" s="30">
        <f t="shared" si="1862"/>
      </c>
      <c r="S766" s="30">
        <f t="shared" si="1862"/>
      </c>
      <c r="T766" s="30">
        <f t="shared" si="1862"/>
      </c>
      <c r="U766" s="30">
        <f t="shared" si="1862"/>
      </c>
      <c r="V766" s="30">
        <f t="shared" si="1862"/>
      </c>
      <c r="W766" s="30">
        <f t="shared" si="1862"/>
      </c>
      <c r="X766" s="308">
        <f t="shared" si="1862"/>
      </c>
      <c r="Y766" s="30">
        <f t="shared" si="1862"/>
      </c>
      <c r="Z766" s="30">
        <f t="shared" si="1862"/>
      </c>
      <c r="AA766" s="30">
        <f t="shared" si="1862"/>
      </c>
      <c r="AB766" s="30">
        <f t="shared" si="1862"/>
      </c>
      <c r="AC766" s="308">
        <f t="shared" si="1862"/>
      </c>
      <c r="AD766" s="30">
        <f t="shared" si="1862"/>
      </c>
      <c r="AE766" s="30">
        <f t="shared" si="1862"/>
      </c>
      <c r="AF766" s="30">
        <f t="shared" si="1862"/>
      </c>
      <c r="AG766" s="30">
        <f t="shared" si="1862"/>
      </c>
      <c r="AH766" s="308">
        <f t="shared" si="1862"/>
      </c>
      <c r="AI766" s="30">
        <f t="shared" si="1862"/>
      </c>
      <c r="AJ766" s="30">
        <f t="shared" si="1862"/>
      </c>
      <c r="AK766" s="30">
        <f t="shared" si="1862"/>
      </c>
      <c r="AL766" s="30">
        <f t="shared" si="1862"/>
      </c>
      <c r="AM766" s="308">
        <f t="shared" si="1862"/>
      </c>
      <c r="AN766" s="30">
        <f t="shared" si="1862"/>
      </c>
      <c r="AO766" s="30">
        <f t="shared" ref="AO766:BK766" si="1863">IF(AJ760="NM","NM",IF(AO760="NM","NM",IF(AJ760&lt;=0,"NM",IF(AO760=0,"NM",IF(ABS(AO760/AJ760-1)&gt;2.5,"NM",IF((ABS(AO760-AJ760)=ABS(ABS(AO760)-ABS(AJ760))),(AO760/AJ760-1),"NM"))))))</f>
      </c>
      <c r="AP766" s="30">
        <f t="shared" si="1863"/>
      </c>
      <c r="AQ766" s="30">
        <f t="shared" si="1863"/>
      </c>
      <c r="AR766" s="308">
        <f t="shared" si="1863"/>
      </c>
      <c r="AS766" s="30">
        <f t="shared" si="1863"/>
      </c>
      <c r="AT766" s="30">
        <f t="shared" si="1863"/>
      </c>
      <c r="AU766" s="30">
        <f t="shared" si="1863"/>
      </c>
      <c r="AV766" s="30">
        <f t="shared" si="1863"/>
      </c>
      <c r="AW766" s="308">
        <f t="shared" si="1863"/>
      </c>
      <c r="AX766" s="30">
        <f t="shared" si="1863"/>
      </c>
      <c r="AY766" s="30">
        <f t="shared" si="1863"/>
      </c>
      <c r="AZ766" s="30">
        <f t="shared" si="1863"/>
      </c>
      <c r="BA766" s="30">
        <f t="shared" si="1863"/>
      </c>
      <c r="BB766" s="308">
        <f t="shared" si="1863"/>
      </c>
      <c r="BC766" s="30">
        <f t="shared" si="1863"/>
      </c>
      <c r="BD766" s="30">
        <f t="shared" si="1863"/>
      </c>
      <c r="BE766" s="30">
        <f t="shared" si="1863"/>
      </c>
      <c r="BF766" s="30">
        <f t="shared" si="1863"/>
      </c>
      <c r="BG766" s="308">
        <f t="shared" si="1863"/>
      </c>
      <c r="BH766" s="30">
        <f t="shared" si="1863"/>
      </c>
      <c r="BI766" s="30">
        <f t="shared" si="1863"/>
      </c>
      <c r="BJ766" s="30">
        <f t="shared" si="1863"/>
      </c>
      <c r="BK766" s="30">
        <f t="shared" si="1863"/>
      </c>
      <c r="BL766" s="308">
        <f>IF(BG760="NM","NM",IF(BL760="NM","NM",IF(BG760&lt;=0,"NM",IF(BL760=0,"NM",IF(ABS(BL760/BG760-1)&gt;2.5,"NM",IF((ABS(BL760-BG760)=ABS(ABS(BL760)-ABS(BG760))),(BL760/BG760-1),"NM"))))))</f>
      </c>
      <c r="BM766" s="30">
        <f t="shared" ref="BM766:CF766" si="1864">IF(BH760="NM","NM",IF(BM760="NM","NM",IF(BH760&lt;=0,"NM",IF(BM760=0,"NM",IF(ABS(BM760/BH760-1)&gt;2.5,"NM",IF((ABS(BM760-BH760)=ABS(ABS(BM760)-ABS(BH760))),(BM760/BH760-1),"NM"))))))</f>
      </c>
      <c r="BN766" s="30">
        <f t="shared" si="1864"/>
      </c>
      <c r="BO766" s="30">
        <f t="shared" si="1864"/>
      </c>
      <c r="BP766" s="30">
        <f t="shared" si="1864"/>
      </c>
      <c r="BQ766" s="308">
        <f t="shared" si="1864"/>
      </c>
      <c r="BR766" s="30">
        <f t="shared" si="1864"/>
      </c>
      <c r="BS766" s="30">
        <f t="shared" si="1864"/>
      </c>
      <c r="BT766" s="30">
        <f t="shared" si="1864"/>
      </c>
      <c r="BU766" s="30">
        <f t="shared" si="1864"/>
      </c>
      <c r="BV766" s="308">
        <f t="shared" si="1864"/>
      </c>
      <c r="BW766" s="30">
        <f t="shared" si="1864"/>
      </c>
      <c r="BX766" s="30">
        <f t="shared" si="1864"/>
      </c>
      <c r="BY766" s="30">
        <f t="shared" si="1864"/>
      </c>
      <c r="BZ766" s="30">
        <f t="shared" si="1864"/>
      </c>
      <c r="CA766" s="308">
        <f t="shared" si="1864"/>
      </c>
      <c r="CB766" s="30">
        <f t="shared" si="1864"/>
      </c>
      <c r="CC766" s="30">
        <f t="shared" si="1864"/>
      </c>
      <c r="CD766" s="30">
        <f t="shared" si="1864"/>
      </c>
      <c r="CE766" s="30">
        <f t="shared" si="1864"/>
      </c>
      <c r="CF766" s="308">
        <f t="shared" si="1864"/>
      </c>
      <c r="CG766" s="30">
        <f>IF(CG760&lt;=0,0,(CG760/CB760-1))</f>
      </c>
      <c r="CH766" s="30">
        <f>IF(CH760&lt;=0,0,(CH760/CC760-1))</f>
      </c>
      <c r="CI766" s="30">
        <f>IF(CI760&lt;=0,0,(CI760/CD760-1))</f>
      </c>
      <c r="CJ766" s="30">
        <f>IF(CJ760&lt;=0,0,(CJ760/CE760-1))</f>
      </c>
      <c r="CK766" s="308">
        <f>IF(CF760=0, "NA", CK760/CF760-1)</f>
      </c>
      <c r="CL766" s="30">
        <f>IF(CL760&lt;=0,0,(CL760/CG760-1))</f>
      </c>
      <c r="CM766" s="30">
        <f>IF(CM760&lt;=0,0,(CM760/CH760-1))</f>
      </c>
      <c r="CN766" s="30">
        <f>IF(CN760&lt;=0,0,(CN760/CI760-1))</f>
      </c>
      <c r="CO766" s="30">
        <f>IF(CO760&lt;=0,0,(CO760/CJ760-1))</f>
      </c>
      <c r="CP766" s="308">
        <f>IF(CK760=0, "NA", CP760/CK760-1)</f>
      </c>
      <c r="CQ766" s="30">
        <f>IF(CQ760&lt;=0,0,(CQ760/CL760-1))</f>
      </c>
      <c r="CR766" s="30">
        <f>IF(CR760&lt;=0,0,(CR760/CM760-1))</f>
      </c>
      <c r="CS766" s="30">
        <f>IF(CS760&lt;=0,0,(CS760/CN760-1))</f>
      </c>
      <c r="CT766" s="30">
        <f>IF(CT760&lt;=0,0,(CT760/CO760-1))</f>
      </c>
      <c r="CU766" s="308">
        <f>IF(CP760=0, "NA", CU760/CP760-1)</f>
      </c>
      <c r="CV766" s="30">
        <f>IF(CV760&lt;=0,0,(CV760/CQ760-1))</f>
      </c>
      <c r="CW766" s="30">
        <f>IF(CW760&lt;=0,0,(CW760/CR760-1))</f>
      </c>
      <c r="CX766" s="30">
        <f>IF(CX760&lt;=0,0,(CX760/CS760-1))</f>
      </c>
      <c r="CY766" s="30">
        <f>IF(CY760&lt;=0,0,(CY760/CT760-1))</f>
      </c>
      <c r="CZ766" s="308">
        <f>IF(CU760=0, "NA", CZ760/CU760-1)</f>
      </c>
      <c r="DA766" s="30">
        <f>IF(DA760&lt;=0,0,(DA760/CV760-1))</f>
      </c>
      <c r="DB766" s="30">
        <f>IF(DB760&lt;=0,0,(DB760/CW760-1))</f>
      </c>
      <c r="DC766" s="30">
        <f>IF(DC760&lt;=0,0,(DC760/CX760-1))</f>
      </c>
      <c r="DD766" s="928">
        <f>IF(CY760=0, "NM", DD760/CY760-1)</f>
      </c>
      <c r="DE766" s="309">
        <f>IF(CZ760=0, "NA", DE760/CZ760-1)</f>
      </c>
      <c r="DF766" s="925">
        <f>IF(DA760=0, "NA", DF760/DA760-1)</f>
      </c>
      <c r="DG766" s="41">
        <f>IF(DG760&lt;=0,0,(DG760/DB760-1))</f>
      </c>
      <c r="DH766" s="41">
        <f>IF(DH760&lt;=0,0,(DH760/DC760-1))</f>
      </c>
      <c r="DI766" s="927">
        <f>IF(DD760=0, "NM", DI760/DD760-1)</f>
      </c>
      <c r="DJ766" s="309">
        <f>IF(DE760=0, "NA", DJ760/DE760-1)</f>
      </c>
      <c r="DK766" s="925">
        <f>IF(DF760=0, "NA", DK760/DF760-1)</f>
      </c>
      <c r="DL766" s="41">
        <f>IF(DL760&lt;=0,0,(DL760/DG760-1))</f>
      </c>
      <c r="DM766" s="925">
        <f>IF(DH760=0, "NA", DM760/DH760-1)</f>
      </c>
      <c r="DN766" s="927">
        <f>IF(DI760=0, "NM", DN760/DI760-1)</f>
      </c>
      <c r="DO766" s="837">
        <f>IF(DJ760=0, "NA", DO760/DJ760-1)</f>
      </c>
      <c r="DP766" s="958">
        <f>IF(DK760=0, "NA", DP760/DK760-1)</f>
      </c>
      <c r="DQ766" s="30">
        <f>IF(DQ760&lt;=0,0,(DQ760/DL760-1))</f>
      </c>
      <c r="DR766" s="926">
        <f>IF(DM760=0, "NA", DR760/DM760-1)</f>
      </c>
      <c r="DS766" s="928">
        <f>IF(DN760=0, "NM", DS760/DN760-1)</f>
      </c>
      <c r="DT766" s="308">
        <f t="shared" ref="DT766:EG766" si="1865">IF(DO760=0, "NA", DT760/DO760-1)</f>
      </c>
      <c r="DU766" s="2662">
        <f t="shared" si="1865"/>
      </c>
      <c r="DV766" s="2122">
        <f t="shared" si="1865"/>
      </c>
      <c r="DW766" s="926">
        <f t="shared" si="1865"/>
      </c>
      <c r="DX766" s="928">
        <f>IF(DS760=0, "NM", DX760/DS760-1)</f>
      </c>
      <c r="DY766" s="308">
        <f>IF(DT760=0, "NA", DY760/DT760-1)</f>
      </c>
      <c r="DZ766" s="2662">
        <f t="shared" si="1865"/>
      </c>
      <c r="EA766" s="1691">
        <f t="shared" si="1865"/>
      </c>
      <c r="EB766" s="1691">
        <f t="shared" si="1865"/>
      </c>
      <c r="EC766" s="928">
        <f t="shared" si="1865"/>
      </c>
      <c r="ED766" s="308">
        <f>IF(DY760=0, "NA", ED760/DY760-1)</f>
      </c>
      <c r="EE766" s="2662">
        <f t="shared" si="1865"/>
      </c>
      <c r="EF766" s="1691">
        <f t="shared" si="1865"/>
      </c>
      <c r="EG766" s="1691">
        <f t="shared" si="1865"/>
      </c>
      <c r="EH766" s="928">
        <f t="shared" ref="EH766" si="1866">IF(EC760=0, "NA", EH760/EC760-1)</f>
      </c>
      <c r="EI766" s="308">
        <f>IF(ED760=0, "NA", EI760/ED760-1)</f>
      </c>
      <c r="EJ766" s="308">
        <f t="shared" ref="EJ766:EN766" si="1867">IF(EI760=0, "NA", EJ760/EI760-1)</f>
      </c>
      <c r="EK766" s="308">
        <f t="shared" si="1867"/>
      </c>
      <c r="EL766" s="308">
        <f t="shared" si="1867"/>
      </c>
      <c r="EM766" s="308">
        <f t="shared" si="1867"/>
      </c>
      <c r="EN766" s="308">
        <f t="shared" si="1867"/>
      </c>
      <c r="EO766" s="308">
        <f t="shared" ref="EO766" si="1868">IF(EN760=0, "NA", EO760/EN760-1)</f>
      </c>
      <c r="EP766" s="308">
        <f t="shared" ref="EP766" si="1869">IF(EO760=0, "NA", EP760/EO760-1)</f>
      </c>
      <c r="EQ766" s="308">
        <f t="shared" ref="EQ766" si="1870">IF(EP760=0, "NA", EQ760/EP760-1)</f>
      </c>
      <c r="ER766" s="308">
        <f t="shared" ref="ER766" si="1871">IF(EQ760=0, "NA", ER760/EQ760-1)</f>
      </c>
      <c r="ES766" s="308">
        <f t="shared" ref="ES766" si="1872">IF(ER760=0, "NA", ES760/ER760-1)</f>
      </c>
      <c r="ET766" s="409"/>
      <c r="EU766" s="409"/>
      <c r="EV766" s="409"/>
      <c r="EW766" s="409"/>
      <c r="EX766" s="409"/>
    </row>
    <row r="767" spans="2:154" ht="12.75" customHeight="1">
      <c r="B767" s="452" t="s">
        <v>841</v>
      </c>
      <c r="C767" s="1992"/>
      <c r="D767" s="1980"/>
      <c r="E767" s="449"/>
      <c r="F767" s="449"/>
      <c r="G767" s="449"/>
      <c r="H767" s="449"/>
      <c r="I767" s="450"/>
      <c r="J767" s="449"/>
      <c r="K767" s="449"/>
      <c r="L767" s="449"/>
      <c r="M767" s="449"/>
      <c r="N767" s="450"/>
      <c r="O767" s="450"/>
      <c r="P767" s="450"/>
      <c r="Q767" s="450"/>
      <c r="R767" s="450"/>
      <c r="S767" s="450"/>
      <c r="T767" s="450"/>
      <c r="U767" s="450"/>
      <c r="V767" s="450"/>
      <c r="W767" s="450"/>
      <c r="X767" s="451"/>
      <c r="Y767" s="450"/>
      <c r="Z767" s="450"/>
      <c r="AA767" s="450"/>
      <c r="AB767" s="450"/>
      <c r="AC767" s="451"/>
      <c r="AD767" s="450"/>
      <c r="AE767" s="450"/>
      <c r="AF767" s="450"/>
      <c r="AG767" s="450"/>
      <c r="AH767" s="451"/>
      <c r="AI767" s="449"/>
      <c r="AJ767" s="449"/>
      <c r="AK767" s="449"/>
      <c r="AL767" s="450"/>
      <c r="AM767" s="451"/>
      <c r="AN767" s="449"/>
      <c r="AO767" s="449"/>
      <c r="AP767" s="449"/>
      <c r="AQ767" s="450"/>
      <c r="AR767" s="451"/>
      <c r="AS767" s="449"/>
      <c r="AT767" s="449"/>
      <c r="AU767" s="449"/>
      <c r="AV767" s="450"/>
      <c r="AW767" s="451"/>
      <c r="AX767" s="449"/>
      <c r="AY767" s="449"/>
      <c r="AZ767" s="449"/>
      <c r="BA767" s="449"/>
      <c r="BB767" s="451"/>
      <c r="BC767" s="449"/>
      <c r="BD767" s="449"/>
      <c r="BE767" s="449"/>
      <c r="BF767" s="449"/>
      <c r="BG767" s="451"/>
      <c r="BH767" s="449"/>
      <c r="BI767" s="449"/>
      <c r="BJ767" s="449"/>
      <c r="BK767" s="449"/>
      <c r="BL767" s="451"/>
      <c r="BM767" s="449"/>
      <c r="BN767" s="449"/>
      <c r="BO767" s="449"/>
      <c r="BP767" s="449"/>
      <c r="BQ767" s="451"/>
      <c r="BR767" s="449"/>
      <c r="BS767" s="449"/>
      <c r="BT767" s="449"/>
      <c r="BU767" s="449"/>
      <c r="BV767" s="451"/>
      <c r="BW767" s="449"/>
      <c r="BX767" s="449"/>
      <c r="BY767" s="449"/>
      <c r="BZ767" s="449"/>
      <c r="CA767" s="451"/>
      <c r="CB767" s="449"/>
      <c r="CC767" s="449"/>
      <c r="CD767" s="449"/>
      <c r="CE767" s="449"/>
      <c r="CF767" s="451"/>
      <c r="CG767" s="449"/>
      <c r="CH767" s="449"/>
      <c r="CI767" s="449"/>
      <c r="CJ767" s="449"/>
      <c r="CK767" s="451"/>
      <c r="CL767" s="449"/>
      <c r="CM767" s="449"/>
      <c r="CN767" s="449"/>
      <c r="CO767" s="1395"/>
      <c r="CP767" s="451"/>
      <c r="CQ767" s="449"/>
      <c r="CR767" s="449"/>
      <c r="CS767" s="449"/>
      <c r="CT767" s="1141"/>
      <c r="CU767" s="451"/>
      <c r="CV767" s="449"/>
      <c r="CW767" s="449"/>
      <c r="CX767" s="449"/>
      <c r="CY767" s="1141"/>
      <c r="CZ767" s="451"/>
      <c r="DA767" s="449"/>
      <c r="DB767" s="1367"/>
      <c r="DC767" s="1367"/>
      <c r="DD767" s="1196"/>
      <c r="DE767" s="1824"/>
      <c r="DF767" s="1825"/>
      <c r="DG767" s="1826"/>
      <c r="DH767" s="1826"/>
      <c r="DI767" s="1827"/>
      <c r="DJ767" s="1824"/>
      <c r="DK767" s="1825"/>
      <c r="DL767" s="1826"/>
      <c r="DM767" s="1826"/>
      <c r="DN767" s="1827"/>
      <c r="DO767" s="1824"/>
      <c r="DP767" s="1826"/>
      <c r="DQ767" s="1826"/>
      <c r="DR767" s="1826"/>
      <c r="DS767" s="1827"/>
      <c r="DT767" s="1824"/>
      <c r="DU767" s="2113"/>
      <c r="DV767" s="2113"/>
      <c r="DW767" s="2113"/>
      <c r="DX767" s="2114"/>
      <c r="DY767" s="1824"/>
      <c r="DZ767" s="2113"/>
      <c r="EA767" s="3476"/>
      <c r="EB767" s="3476"/>
      <c r="EC767" s="2114"/>
      <c r="ED767" s="1828"/>
      <c r="EE767" s="3476"/>
      <c r="EF767" s="3476"/>
      <c r="EG767" s="3476"/>
      <c r="EH767" s="2114"/>
      <c r="EI767" s="1824"/>
      <c r="EJ767" s="1824"/>
      <c r="EK767" s="1824"/>
      <c r="EL767" s="1824"/>
      <c r="EM767" s="1824"/>
      <c r="EN767" s="1824"/>
      <c r="EO767" s="1828"/>
      <c r="EP767" s="1828"/>
      <c r="EQ767" s="1828"/>
      <c r="ER767" s="1828"/>
      <c r="ES767" s="1828"/>
      <c r="ET767" s="1828"/>
      <c r="EU767" s="1828"/>
      <c r="EV767" s="1828"/>
      <c r="EW767" s="1828"/>
      <c r="EX767" s="1828"/>
    </row>
    <row r="768" spans="2:154" ht="12.75" customHeight="1">
      <c r="B768" s="336" t="s">
        <v>1028</v>
      </c>
      <c r="C768" s="1989"/>
      <c r="D768" s="28"/>
      <c r="E768" s="28"/>
      <c r="F768" s="28"/>
      <c r="G768" s="28"/>
      <c r="H768" s="28"/>
      <c r="I768" s="31"/>
      <c r="J768" s="28"/>
      <c r="K768" s="28"/>
      <c r="L768" s="28"/>
      <c r="M768" s="28"/>
      <c r="N768" s="31"/>
      <c r="O768" s="31"/>
      <c r="P768" s="31"/>
      <c r="Q768" s="31"/>
      <c r="R768" s="31"/>
      <c r="S768" s="31"/>
      <c r="T768" s="31"/>
      <c r="U768" s="31"/>
      <c r="V768" s="31"/>
      <c r="W768" s="31"/>
      <c r="X768" s="313"/>
      <c r="Y768" s="31"/>
      <c r="Z768" s="31"/>
      <c r="AA768" s="31"/>
      <c r="AB768" s="31"/>
      <c r="AC768" s="313"/>
      <c r="AD768" s="31"/>
      <c r="AE768" s="31"/>
      <c r="AF768" s="31"/>
      <c r="AG768" s="31"/>
      <c r="AH768" s="313"/>
      <c r="AI768" s="28"/>
      <c r="AJ768" s="28"/>
      <c r="AK768" s="28"/>
      <c r="AL768" s="31"/>
      <c r="AM768" s="313"/>
      <c r="AN768" s="28"/>
      <c r="AO768" s="28"/>
      <c r="AP768" s="28"/>
      <c r="AQ768" s="31"/>
      <c r="AR768" s="313"/>
      <c r="AS768" s="28"/>
      <c r="AT768" s="28"/>
      <c r="AU768" s="28"/>
      <c r="AV768" s="31"/>
      <c r="AW768" s="313"/>
      <c r="AX768" s="28"/>
      <c r="AY768" s="28"/>
      <c r="AZ768" s="28"/>
      <c r="BA768" s="28"/>
      <c r="BB768" s="313"/>
      <c r="BC768" s="28"/>
      <c r="BD768" s="28"/>
      <c r="BE768" s="28"/>
      <c r="BF768" s="28"/>
      <c r="BG768" s="313"/>
      <c r="BH768" s="28"/>
      <c r="BI768" s="28"/>
      <c r="BJ768" s="28"/>
      <c r="BK768" s="28"/>
      <c r="BL768" s="313"/>
      <c r="BM768" s="28"/>
      <c r="BN768" s="28"/>
      <c r="BO768" s="28"/>
      <c r="BP768" s="28"/>
      <c r="BQ768" s="313"/>
      <c r="BR768" s="28"/>
      <c r="BS768" s="28"/>
      <c r="BT768" s="28"/>
      <c r="BU768" s="28"/>
      <c r="BV768" s="313"/>
      <c r="BW768" s="28"/>
      <c r="BX768" s="28"/>
      <c r="BY768" s="28"/>
      <c r="BZ768" s="28"/>
      <c r="CA768" s="313"/>
      <c r="CB768" s="28"/>
      <c r="CC768" s="28"/>
      <c r="CD768" s="28"/>
      <c r="CE768" s="28"/>
      <c r="CF768" s="313"/>
      <c r="CG768" s="28"/>
      <c r="CH768" s="28"/>
      <c r="CI768" s="28"/>
      <c r="CJ768" s="28"/>
      <c r="CK768" s="313"/>
      <c r="CL768" s="961"/>
      <c r="CM768" s="28"/>
      <c r="CN768" s="28"/>
      <c r="CO768" s="28"/>
      <c r="CP768" s="313"/>
      <c r="CQ768" s="933"/>
      <c r="CR768" s="933"/>
      <c r="CS768" s="933"/>
      <c r="CT768" s="933"/>
      <c r="CU768" s="313"/>
      <c r="CV768" s="933"/>
      <c r="CW768" s="933"/>
      <c r="CX768" s="933"/>
      <c r="CY768" s="933"/>
      <c r="CZ768" s="313"/>
      <c r="DA768" s="933"/>
      <c r="DB768" s="31"/>
      <c r="DC768" s="31"/>
      <c r="DD768" s="955"/>
      <c r="DE768" s="477"/>
      <c r="DF768" s="982"/>
      <c r="DG768" s="603"/>
      <c r="DH768" s="603"/>
      <c r="DI768" s="1837"/>
      <c r="DJ768" s="1836"/>
      <c r="DK768" s="1799"/>
      <c r="DL768" s="603"/>
      <c r="DM768" s="603"/>
      <c r="DN768" s="1798"/>
      <c r="DO768" s="477"/>
      <c r="DP768" s="603"/>
      <c r="DQ768" s="603"/>
      <c r="DR768" s="603"/>
      <c r="DS768" s="1798"/>
      <c r="DT768" s="477"/>
      <c r="DU768" s="603"/>
      <c r="DV768" s="603"/>
      <c r="DW768" s="603"/>
      <c r="DX768" s="1798"/>
      <c r="DY768" s="477"/>
      <c r="DZ768" s="603"/>
      <c r="EA768" s="603"/>
      <c r="EB768" s="603"/>
      <c r="EC768" s="1798"/>
      <c r="ED768" s="477"/>
      <c r="EE768" s="1799"/>
      <c r="EF768" s="603"/>
      <c r="EG768" s="603"/>
      <c r="EH768" s="1798"/>
      <c r="EI768" s="477"/>
      <c r="EJ768" s="477"/>
      <c r="EK768" s="477"/>
      <c r="EL768" s="477"/>
      <c r="EM768" s="477"/>
      <c r="EN768" s="477"/>
      <c r="EO768" s="477"/>
      <c r="EP768" s="477"/>
      <c r="EQ768" s="477"/>
      <c r="ER768" s="477"/>
      <c r="ES768" s="477"/>
      <c r="ET768" s="477"/>
      <c r="EU768" s="477"/>
      <c r="EV768" s="477"/>
      <c r="EW768" s="477"/>
      <c r="EX768" s="477"/>
    </row>
    <row r="769" spans="2:154" ht="12.75" customHeight="1">
      <c r="B769" s="340" t="s">
        <v>921</v>
      </c>
      <c r="C769" s="1989"/>
      <c r="D769" s="28"/>
      <c r="E769" s="28"/>
      <c r="F769" s="28"/>
      <c r="G769" s="28"/>
      <c r="H769" s="28"/>
      <c r="I769" s="31"/>
      <c r="J769" s="28"/>
      <c r="K769" s="28"/>
      <c r="L769" s="28"/>
      <c r="M769" s="28"/>
      <c r="N769" s="31"/>
      <c r="O769" s="31"/>
      <c r="P769" s="31"/>
      <c r="Q769" s="31"/>
      <c r="R769" s="31"/>
      <c r="S769" s="31"/>
      <c r="T769" s="31"/>
      <c r="U769" s="31"/>
      <c r="V769" s="31"/>
      <c r="W769" s="31"/>
      <c r="X769" s="313"/>
      <c r="Y769" s="31"/>
      <c r="Z769" s="31"/>
      <c r="AA769" s="31"/>
      <c r="AB769" s="31"/>
      <c r="AC769" s="313"/>
      <c r="AD769" s="31"/>
      <c r="AE769" s="31"/>
      <c r="AF769" s="31"/>
      <c r="AG769" s="31"/>
      <c r="AH769" s="313"/>
      <c r="AI769" s="28"/>
      <c r="AJ769" s="28"/>
      <c r="AK769" s="28"/>
      <c r="AL769" s="31"/>
      <c r="AM769" s="313"/>
      <c r="AN769" s="28"/>
      <c r="AO769" s="28"/>
      <c r="AP769" s="28"/>
      <c r="AQ769" s="31"/>
      <c r="AR769" s="313"/>
      <c r="AS769" s="28"/>
      <c r="AT769" s="28"/>
      <c r="AU769" s="28"/>
      <c r="AV769" s="28"/>
      <c r="AW769" s="313"/>
      <c r="AX769" s="28"/>
      <c r="AY769" s="28"/>
      <c r="AZ769" s="28"/>
      <c r="BA769" s="28"/>
      <c r="BB769" s="313"/>
      <c r="BC769" s="31"/>
      <c r="BD769" s="31"/>
      <c r="BE769" s="31"/>
      <c r="BF769" s="31"/>
      <c r="BG769" s="313"/>
      <c r="BH769" s="31"/>
      <c r="BI769" s="31"/>
      <c r="BJ769" s="31"/>
      <c r="BK769" s="31"/>
      <c r="BL769" s="313"/>
      <c r="BM769" s="31"/>
      <c r="BN769" s="31"/>
      <c r="BO769" s="31"/>
      <c r="BP769" s="31"/>
      <c r="BQ769" s="313"/>
      <c r="BR769" s="31"/>
      <c r="BS769" s="31"/>
      <c r="BT769" s="31"/>
      <c r="BU769" s="31"/>
      <c r="BV769" s="313"/>
      <c r="BW769" s="31"/>
      <c r="BX769" s="31"/>
      <c r="BY769" s="31"/>
      <c r="BZ769" s="31"/>
      <c r="CA769" s="313"/>
      <c r="CD769" s="31"/>
      <c r="CE769" s="31"/>
      <c r="CF769" s="313"/>
      <c r="CG769" s="31"/>
      <c r="CH769" s="31"/>
      <c r="CI769" s="31"/>
      <c r="CJ769" s="31"/>
      <c r="CK769" s="313"/>
      <c r="CL769" s="31"/>
      <c r="CM769" s="31"/>
      <c r="CN769" s="31"/>
      <c r="CO769" s="31"/>
      <c r="CP769" s="313"/>
      <c r="CQ769" s="31">
        <f t="shared" ref="CQ769:CT771" si="1873">CQ1682</f>
      </c>
      <c r="CR769" s="31">
        <f t="shared" si="1873"/>
      </c>
      <c r="CS769" s="31">
        <f t="shared" si="1873"/>
      </c>
      <c r="CT769" s="31">
        <f>CT1682</f>
      </c>
      <c r="CU769" s="313">
        <f>SUM(CQ769:CT769)</f>
      </c>
      <c r="CV769" s="31">
        <f t="shared" ref="CV769:CY771" si="1874">CV1682</f>
      </c>
      <c r="CW769" s="31">
        <f t="shared" si="1874"/>
      </c>
      <c r="CX769" s="31">
        <f t="shared" si="1874"/>
      </c>
      <c r="CY769" s="31">
        <f t="shared" si="1874"/>
      </c>
      <c r="CZ769" s="313">
        <f>SUM(CV769:CY769)</f>
      </c>
      <c r="DA769" s="31">
        <f t="shared" ref="DA769:DI769" si="1875">DA1682</f>
      </c>
      <c r="DB769" s="31">
        <f t="shared" si="1875"/>
      </c>
      <c r="DC769" s="31">
        <f t="shared" ref="DC769:DD771" si="1876">DC1682</f>
      </c>
      <c r="DD769" s="31">
        <f t="shared" si="1876"/>
      </c>
      <c r="DE769" s="477">
        <f>SUM(DA769:DD769)</f>
      </c>
      <c r="DF769" s="603">
        <f>DF1682</f>
      </c>
      <c r="DG769" s="603">
        <f t="shared" si="1875"/>
      </c>
      <c r="DH769" s="1822">
        <f>DH1682</f>
      </c>
      <c r="DI769" s="1822">
        <f t="shared" si="1875"/>
      </c>
      <c r="DJ769" s="1836"/>
      <c r="DK769" s="1799"/>
      <c r="DL769" s="603"/>
      <c r="DM769" s="603"/>
      <c r="DN769" s="603"/>
      <c r="DO769" s="1835"/>
      <c r="DP769" s="1542"/>
      <c r="DQ769" s="1542"/>
      <c r="DR769" s="1542"/>
      <c r="DS769" s="1542"/>
      <c r="DT769" s="1835"/>
      <c r="DU769" s="1542"/>
      <c r="DV769" s="1542"/>
      <c r="DW769" s="1542"/>
      <c r="DX769" s="1542"/>
      <c r="DY769" s="1835"/>
      <c r="DZ769" s="1542"/>
      <c r="EA769" s="1542"/>
      <c r="EB769" s="1542"/>
      <c r="EC769" s="1542"/>
      <c r="ED769" s="1835"/>
      <c r="EE769" s="1877">
        <f>EE1682</f>
      </c>
      <c r="EF769" s="1542"/>
      <c r="EG769" s="1542"/>
      <c r="EH769" s="1542">
        <f t="shared" ref="EH769:EW769" si="1877">EH1682</f>
      </c>
      <c r="EI769" s="1835">
        <f t="shared" si="1877"/>
      </c>
      <c r="EJ769" s="1835">
        <f t="shared" si="1877"/>
      </c>
      <c r="EK769" s="1835">
        <f t="shared" si="1877"/>
      </c>
      <c r="EL769" s="1835">
        <f t="shared" si="1877"/>
      </c>
      <c r="EM769" s="1835">
        <f t="shared" si="1877"/>
      </c>
      <c r="EN769" s="1835">
        <f t="shared" si="1877"/>
      </c>
      <c r="EO769" s="1835">
        <f t="shared" si="1877"/>
      </c>
      <c r="EP769" s="1835">
        <f t="shared" si="1877"/>
      </c>
      <c r="EQ769" s="1835">
        <f t="shared" si="1877"/>
      </c>
      <c r="ER769" s="1835">
        <f t="shared" si="1877"/>
      </c>
      <c r="ES769" s="477">
        <f t="shared" si="1877"/>
      </c>
      <c r="ET769" s="477">
        <f t="shared" si="1877"/>
      </c>
      <c r="EU769" s="477">
        <f t="shared" si="1877"/>
      </c>
      <c r="EV769" s="477">
        <f t="shared" si="1877"/>
      </c>
      <c r="EW769" s="477">
        <f t="shared" si="1877"/>
      </c>
      <c r="EX769" s="477"/>
    </row>
    <row r="770" spans="2:154" ht="12.75" customHeight="1">
      <c r="B770" s="340" t="s">
        <v>412</v>
      </c>
      <c r="C770" s="1989"/>
      <c r="D770" s="28"/>
      <c r="E770" s="28"/>
      <c r="F770" s="28"/>
      <c r="G770" s="28"/>
      <c r="H770" s="28"/>
      <c r="I770" s="31"/>
      <c r="J770" s="28"/>
      <c r="K770" s="28"/>
      <c r="L770" s="28"/>
      <c r="M770" s="28"/>
      <c r="N770" s="31"/>
      <c r="O770" s="31"/>
      <c r="P770" s="31"/>
      <c r="Q770" s="31"/>
      <c r="R770" s="31"/>
      <c r="S770" s="31"/>
      <c r="T770" s="31"/>
      <c r="U770" s="31"/>
      <c r="V770" s="31"/>
      <c r="W770" s="31"/>
      <c r="X770" s="313"/>
      <c r="Y770" s="31"/>
      <c r="Z770" s="31"/>
      <c r="AA770" s="31"/>
      <c r="AB770" s="31"/>
      <c r="AC770" s="313"/>
      <c r="AD770" s="31"/>
      <c r="AE770" s="31"/>
      <c r="AF770" s="31"/>
      <c r="AG770" s="31"/>
      <c r="AH770" s="313"/>
      <c r="AI770" s="28"/>
      <c r="AJ770" s="28"/>
      <c r="AK770" s="28"/>
      <c r="AL770" s="31"/>
      <c r="AM770" s="313"/>
      <c r="AN770" s="28"/>
      <c r="AO770" s="28"/>
      <c r="AP770" s="28"/>
      <c r="AQ770" s="31"/>
      <c r="AR770" s="313"/>
      <c r="AS770" s="28"/>
      <c r="AT770" s="28"/>
      <c r="AU770" s="28"/>
      <c r="AV770" s="28"/>
      <c r="AW770" s="313"/>
      <c r="AX770" s="28"/>
      <c r="AY770" s="28"/>
      <c r="AZ770" s="28"/>
      <c r="BA770" s="28"/>
      <c r="BB770" s="313"/>
      <c r="BC770" s="31"/>
      <c r="BD770" s="31"/>
      <c r="BE770" s="31"/>
      <c r="BF770" s="31"/>
      <c r="BG770" s="313"/>
      <c r="BH770" s="674"/>
      <c r="BI770" s="674"/>
      <c r="BJ770" s="674"/>
      <c r="BK770" s="674"/>
      <c r="BL770" s="675"/>
      <c r="BM770" s="674"/>
      <c r="BN770" s="674"/>
      <c r="BO770" s="674"/>
      <c r="BP770" s="674"/>
      <c r="BQ770" s="675"/>
      <c r="BR770" s="674"/>
      <c r="BS770" s="674"/>
      <c r="BT770" s="31"/>
      <c r="BU770" s="31"/>
      <c r="BV770" s="313"/>
      <c r="BW770" s="31"/>
      <c r="BX770" s="31"/>
      <c r="BY770" s="31"/>
      <c r="BZ770" s="31"/>
      <c r="CA770" s="313"/>
      <c r="CD770" s="31"/>
      <c r="CE770" s="31"/>
      <c r="CF770" s="313"/>
      <c r="CG770" s="31"/>
      <c r="CH770" s="31"/>
      <c r="CI770" s="31"/>
      <c r="CJ770" s="31"/>
      <c r="CK770" s="313"/>
      <c r="CL770" s="31"/>
      <c r="CM770" s="31"/>
      <c r="CN770" s="31"/>
      <c r="CO770" s="31"/>
      <c r="CP770" s="313"/>
      <c r="CQ770" s="31">
        <f t="shared" si="1873"/>
      </c>
      <c r="CR770" s="31">
        <f t="shared" si="1873"/>
      </c>
      <c r="CS770" s="31">
        <f t="shared" si="1873"/>
      </c>
      <c r="CT770" s="31">
        <f t="shared" si="1873"/>
      </c>
      <c r="CU770" s="313">
        <f>SUM(CQ770:CT770)</f>
      </c>
      <c r="CV770" s="31">
        <f t="shared" si="1874"/>
      </c>
      <c r="CW770" s="31">
        <f t="shared" si="1874"/>
      </c>
      <c r="CX770" s="31">
        <f t="shared" si="1874"/>
      </c>
      <c r="CY770" s="31">
        <f t="shared" si="1874"/>
      </c>
      <c r="CZ770" s="313">
        <f>SUM(CV770:CY770)</f>
      </c>
      <c r="DA770" s="31">
        <f>DA1683</f>
      </c>
      <c r="DB770" s="31">
        <f>DB1683</f>
      </c>
      <c r="DC770" s="31">
        <f t="shared" si="1876"/>
      </c>
      <c r="DD770" s="31">
        <f t="shared" si="1876"/>
      </c>
      <c r="DE770" s="477">
        <f>SUM(DA770:DD770)</f>
      </c>
      <c r="DF770" s="603">
        <f>DF1683</f>
      </c>
      <c r="DG770" s="603">
        <f>DG1683</f>
      </c>
      <c r="DH770" s="603">
        <f>DH1683</f>
      </c>
      <c r="DI770" s="1822">
        <f>DI1683</f>
      </c>
      <c r="DJ770" s="1836"/>
      <c r="DK770" s="1799"/>
      <c r="DL770" s="603"/>
      <c r="DM770" s="603"/>
      <c r="DN770" s="603"/>
      <c r="DO770" s="1835"/>
      <c r="DP770" s="1542"/>
      <c r="DQ770" s="1542"/>
      <c r="DR770" s="1542"/>
      <c r="DS770" s="1542"/>
      <c r="DT770" s="1835"/>
      <c r="DU770" s="1542"/>
      <c r="DV770" s="1542"/>
      <c r="DW770" s="1542"/>
      <c r="DX770" s="1542"/>
      <c r="DY770" s="1835"/>
      <c r="DZ770" s="1542"/>
      <c r="EA770" s="1542"/>
      <c r="EB770" s="1542"/>
      <c r="EC770" s="1542"/>
      <c r="ED770" s="1835"/>
      <c r="EE770" s="1877">
        <f t="shared" ref="EE770:EW770" si="1878">EE1683</f>
      </c>
      <c r="EF770" s="1542"/>
      <c r="EG770" s="1542"/>
      <c r="EH770" s="1542">
        <f t="shared" si="1878"/>
      </c>
      <c r="EI770" s="1835">
        <f t="shared" si="1878"/>
      </c>
      <c r="EJ770" s="1835">
        <f t="shared" si="1878"/>
      </c>
      <c r="EK770" s="1835">
        <f t="shared" si="1878"/>
      </c>
      <c r="EL770" s="1835">
        <f t="shared" si="1878"/>
      </c>
      <c r="EM770" s="1835">
        <f t="shared" si="1878"/>
      </c>
      <c r="EN770" s="1835">
        <f t="shared" si="1878"/>
      </c>
      <c r="EO770" s="1835">
        <f t="shared" si="1878"/>
      </c>
      <c r="EP770" s="1835">
        <f t="shared" si="1878"/>
      </c>
      <c r="EQ770" s="1835">
        <f t="shared" si="1878"/>
      </c>
      <c r="ER770" s="1835">
        <f t="shared" si="1878"/>
      </c>
      <c r="ES770" s="477">
        <f t="shared" si="1878"/>
      </c>
      <c r="ET770" s="477">
        <f t="shared" si="1878"/>
      </c>
      <c r="EU770" s="477">
        <f t="shared" si="1878"/>
      </c>
      <c r="EV770" s="477">
        <f t="shared" si="1878"/>
      </c>
      <c r="EW770" s="477">
        <f t="shared" si="1878"/>
      </c>
      <c r="EX770" s="477"/>
    </row>
    <row r="771" spans="2:154" ht="12.75" customHeight="1">
      <c r="B771" s="340" t="s">
        <v>413</v>
      </c>
      <c r="C771" s="1989"/>
      <c r="D771" s="28"/>
      <c r="E771" s="28"/>
      <c r="F771" s="28"/>
      <c r="G771" s="28"/>
      <c r="H771" s="28"/>
      <c r="I771" s="31"/>
      <c r="J771" s="28"/>
      <c r="K771" s="28"/>
      <c r="L771" s="28"/>
      <c r="M771" s="28"/>
      <c r="N771" s="31"/>
      <c r="O771" s="31"/>
      <c r="P771" s="31"/>
      <c r="Q771" s="31"/>
      <c r="R771" s="31"/>
      <c r="S771" s="31"/>
      <c r="T771" s="31"/>
      <c r="U771" s="31"/>
      <c r="V771" s="31"/>
      <c r="W771" s="31"/>
      <c r="X771" s="313"/>
      <c r="Y771" s="31"/>
      <c r="Z771" s="31"/>
      <c r="AA771" s="31"/>
      <c r="AB771" s="31"/>
      <c r="AC771" s="313"/>
      <c r="AD771" s="31"/>
      <c r="AE771" s="31"/>
      <c r="AF771" s="31"/>
      <c r="AG771" s="31"/>
      <c r="AH771" s="313"/>
      <c r="AI771" s="28"/>
      <c r="AJ771" s="28"/>
      <c r="AK771" s="28"/>
      <c r="AL771" s="31"/>
      <c r="AM771" s="313"/>
      <c r="AN771" s="28"/>
      <c r="AO771" s="28"/>
      <c r="AP771" s="28"/>
      <c r="AQ771" s="31"/>
      <c r="AR771" s="313"/>
      <c r="AS771" s="28"/>
      <c r="AT771" s="28"/>
      <c r="AU771" s="28"/>
      <c r="AV771" s="28"/>
      <c r="AW771" s="313"/>
      <c r="AX771" s="28"/>
      <c r="AY771" s="28"/>
      <c r="AZ771" s="28"/>
      <c r="BA771" s="28"/>
      <c r="BB771" s="313"/>
      <c r="BC771" s="31"/>
      <c r="BD771" s="31"/>
      <c r="BE771" s="31"/>
      <c r="BF771" s="31"/>
      <c r="BG771" s="313"/>
      <c r="BH771" s="31"/>
      <c r="BI771" s="31"/>
      <c r="BJ771" s="31"/>
      <c r="BK771" s="31"/>
      <c r="BL771" s="313"/>
      <c r="BM771" s="31"/>
      <c r="BN771" s="31"/>
      <c r="BO771" s="31"/>
      <c r="BP771" s="31"/>
      <c r="BQ771" s="313"/>
      <c r="BR771" s="31"/>
      <c r="BS771" s="31"/>
      <c r="BT771" s="31"/>
      <c r="BU771" s="31"/>
      <c r="BV771" s="313"/>
      <c r="BW771" s="31"/>
      <c r="BX771" s="31"/>
      <c r="BY771" s="31"/>
      <c r="BZ771" s="31"/>
      <c r="CA771" s="313"/>
      <c r="CD771" s="31"/>
      <c r="CE771" s="31"/>
      <c r="CF771" s="313"/>
      <c r="CG771" s="31"/>
      <c r="CH771" s="31"/>
      <c r="CI771" s="31"/>
      <c r="CJ771" s="31"/>
      <c r="CK771" s="313"/>
      <c r="CL771" s="31"/>
      <c r="CM771" s="31"/>
      <c r="CN771" s="31"/>
      <c r="CO771" s="31"/>
      <c r="CP771" s="313"/>
      <c r="CQ771" s="31">
        <f t="shared" si="1873"/>
      </c>
      <c r="CR771" s="31">
        <f t="shared" si="1873"/>
      </c>
      <c r="CS771" s="31">
        <f t="shared" si="1873"/>
      </c>
      <c r="CT771" s="31">
        <f t="shared" si="1873"/>
      </c>
      <c r="CU771" s="313">
        <f>SUM(CQ771:CT771)</f>
      </c>
      <c r="CV771" s="31">
        <f t="shared" si="1874"/>
      </c>
      <c r="CW771" s="31">
        <f t="shared" si="1874"/>
      </c>
      <c r="CX771" s="31">
        <f t="shared" si="1874"/>
      </c>
      <c r="CY771" s="31">
        <f t="shared" si="1874"/>
      </c>
      <c r="CZ771" s="313">
        <f>SUM(CV771:CY771)</f>
      </c>
      <c r="DA771" s="31">
        <f>DA1684</f>
      </c>
      <c r="DB771" s="31">
        <f>DB1684</f>
      </c>
      <c r="DC771" s="31">
        <f t="shared" si="1876"/>
      </c>
      <c r="DD771" s="31">
        <f t="shared" si="1876"/>
      </c>
      <c r="DE771" s="477">
        <f>SUM(DA771:DD771)</f>
      </c>
      <c r="DF771" s="603">
        <f>DF1684</f>
      </c>
      <c r="DG771" s="603">
        <f>DG1684</f>
      </c>
      <c r="DH771" s="603">
        <f>DH1684</f>
      </c>
      <c r="DI771" s="1822">
        <f>DI1684</f>
      </c>
      <c r="DJ771" s="1836"/>
      <c r="DK771" s="1799"/>
      <c r="DL771" s="603"/>
      <c r="DM771" s="603"/>
      <c r="DN771" s="603"/>
      <c r="DO771" s="1835"/>
      <c r="DP771" s="1542"/>
      <c r="DQ771" s="1542"/>
      <c r="DR771" s="1542"/>
      <c r="DS771" s="1542"/>
      <c r="DT771" s="1835"/>
      <c r="DU771" s="1542"/>
      <c r="DV771" s="1542"/>
      <c r="DW771" s="1542"/>
      <c r="DX771" s="1542"/>
      <c r="DY771" s="1835"/>
      <c r="DZ771" s="1542"/>
      <c r="EA771" s="1542"/>
      <c r="EB771" s="1542"/>
      <c r="EC771" s="1542"/>
      <c r="ED771" s="1835"/>
      <c r="EE771" s="1877">
        <f t="shared" ref="EE771:EW771" si="1879">EE1684</f>
      </c>
      <c r="EF771" s="1542"/>
      <c r="EG771" s="1542"/>
      <c r="EH771" s="1542">
        <f t="shared" si="1879"/>
      </c>
      <c r="EI771" s="1835">
        <f t="shared" si="1879"/>
      </c>
      <c r="EJ771" s="1835">
        <f t="shared" si="1879"/>
      </c>
      <c r="EK771" s="1835">
        <f t="shared" si="1879"/>
      </c>
      <c r="EL771" s="1835">
        <f t="shared" si="1879"/>
      </c>
      <c r="EM771" s="1835">
        <f t="shared" si="1879"/>
      </c>
      <c r="EN771" s="1835">
        <f t="shared" si="1879"/>
      </c>
      <c r="EO771" s="1835">
        <f t="shared" si="1879"/>
      </c>
      <c r="EP771" s="1835">
        <f t="shared" si="1879"/>
      </c>
      <c r="EQ771" s="1835">
        <f t="shared" si="1879"/>
      </c>
      <c r="ER771" s="1835">
        <f t="shared" si="1879"/>
      </c>
      <c r="ES771" s="477">
        <f t="shared" si="1879"/>
      </c>
      <c r="ET771" s="477">
        <f t="shared" si="1879"/>
      </c>
      <c r="EU771" s="477">
        <f t="shared" si="1879"/>
      </c>
      <c r="EV771" s="477">
        <f t="shared" si="1879"/>
      </c>
      <c r="EW771" s="477">
        <f t="shared" si="1879"/>
      </c>
      <c r="EX771" s="477"/>
    </row>
    <row r="772" spans="2:154" ht="12.75" customHeight="1">
      <c r="B772" s="340"/>
      <c r="C772" s="1989"/>
      <c r="D772" s="28"/>
      <c r="E772" s="28"/>
      <c r="F772" s="28"/>
      <c r="G772" s="28"/>
      <c r="H772" s="28"/>
      <c r="I772" s="31"/>
      <c r="J772" s="28"/>
      <c r="K772" s="28"/>
      <c r="L772" s="28"/>
      <c r="M772" s="28"/>
      <c r="N772" s="31"/>
      <c r="O772" s="31"/>
      <c r="P772" s="31"/>
      <c r="Q772" s="31"/>
      <c r="R772" s="31"/>
      <c r="S772" s="31"/>
      <c r="T772" s="31"/>
      <c r="U772" s="31"/>
      <c r="V772" s="31"/>
      <c r="W772" s="31"/>
      <c r="X772" s="313"/>
      <c r="Y772" s="31"/>
      <c r="Z772" s="31"/>
      <c r="AA772" s="31"/>
      <c r="AB772" s="31"/>
      <c r="AC772" s="313"/>
      <c r="AD772" s="31"/>
      <c r="AE772" s="31"/>
      <c r="AF772" s="31"/>
      <c r="AG772" s="31"/>
      <c r="AH772" s="313"/>
      <c r="AI772" s="28"/>
      <c r="AJ772" s="28"/>
      <c r="AK772" s="28"/>
      <c r="AL772" s="31"/>
      <c r="AM772" s="313"/>
      <c r="AN772" s="28"/>
      <c r="AO772" s="28"/>
      <c r="AP772" s="28"/>
      <c r="AQ772" s="31"/>
      <c r="AR772" s="313"/>
      <c r="AS772" s="28"/>
      <c r="AT772" s="28"/>
      <c r="AU772" s="28"/>
      <c r="AV772" s="28"/>
      <c r="AW772" s="313"/>
      <c r="AX772" s="28"/>
      <c r="AY772" s="28"/>
      <c r="AZ772" s="28"/>
      <c r="BA772" s="28"/>
      <c r="BB772" s="313"/>
      <c r="BC772" s="28"/>
      <c r="BD772" s="28"/>
      <c r="BE772" s="28"/>
      <c r="BF772" s="28"/>
      <c r="BG772" s="313"/>
      <c r="BH772" s="28"/>
      <c r="BI772" s="28"/>
      <c r="BJ772" s="28"/>
      <c r="BK772" s="28"/>
      <c r="BL772" s="313"/>
      <c r="BM772" s="28"/>
      <c r="BN772" s="28"/>
      <c r="BO772" s="28"/>
      <c r="BP772" s="28"/>
      <c r="BQ772" s="313"/>
      <c r="BR772" s="28"/>
      <c r="BS772" s="28"/>
      <c r="BT772" s="28"/>
      <c r="BU772" s="28"/>
      <c r="BV772" s="313"/>
      <c r="BW772" s="28"/>
      <c r="BX772" s="28"/>
      <c r="BY772" s="28"/>
      <c r="BZ772" s="28"/>
      <c r="CA772" s="313"/>
      <c r="CB772" s="28"/>
      <c r="CC772" s="28"/>
      <c r="CD772" s="28"/>
      <c r="CE772" s="28"/>
      <c r="CF772" s="313"/>
      <c r="CG772" s="28"/>
      <c r="CH772" s="28"/>
      <c r="CI772" s="28"/>
      <c r="CJ772" s="28"/>
      <c r="CK772" s="313"/>
      <c r="CL772" s="961"/>
      <c r="CM772" s="28"/>
      <c r="CN772" s="28"/>
      <c r="CO772" s="28"/>
      <c r="CP772" s="313"/>
      <c r="CQ772" s="933"/>
      <c r="CR772" s="933"/>
      <c r="CS772" s="933"/>
      <c r="CT772" s="933"/>
      <c r="CU772" s="313"/>
      <c r="CV772" s="933"/>
      <c r="CW772" s="933"/>
      <c r="CX772" s="933"/>
      <c r="CY772" s="933"/>
      <c r="CZ772" s="313"/>
      <c r="DA772" s="933"/>
      <c r="DB772" s="31"/>
      <c r="DC772" s="31"/>
      <c r="DD772" s="955"/>
      <c r="DE772" s="477"/>
      <c r="DF772" s="982"/>
      <c r="DG772" s="603"/>
      <c r="DH772" s="603"/>
      <c r="DI772" s="1837"/>
      <c r="DJ772" s="1836"/>
      <c r="DK772" s="1799"/>
      <c r="DL772" s="603"/>
      <c r="DM772" s="603"/>
      <c r="DN772" s="1798"/>
      <c r="DO772" s="477"/>
      <c r="DP772" s="603"/>
      <c r="DQ772" s="603"/>
      <c r="DR772" s="603"/>
      <c r="DS772" s="1798"/>
      <c r="DT772" s="477"/>
      <c r="DU772" s="603"/>
      <c r="DV772" s="603"/>
      <c r="DW772" s="603"/>
      <c r="DX772" s="1798"/>
      <c r="DY772" s="477"/>
      <c r="DZ772" s="603"/>
      <c r="EA772" s="603"/>
      <c r="EB772" s="603"/>
      <c r="EC772" s="1798"/>
      <c r="ED772" s="477"/>
      <c r="EE772" s="1799"/>
      <c r="EF772" s="603"/>
      <c r="EG772" s="603"/>
      <c r="EH772" s="1798"/>
      <c r="EI772" s="477"/>
      <c r="EJ772" s="477"/>
      <c r="EK772" s="477"/>
      <c r="EL772" s="477"/>
      <c r="EM772" s="477"/>
      <c r="EN772" s="477"/>
      <c r="EO772" s="477"/>
      <c r="EP772" s="477"/>
      <c r="EQ772" s="477"/>
      <c r="ER772" s="477"/>
      <c r="ES772" s="477"/>
      <c r="ET772" s="477"/>
      <c r="EU772" s="477"/>
      <c r="EV772" s="477"/>
      <c r="EW772" s="477"/>
      <c r="EX772" s="477"/>
    </row>
    <row r="773" spans="2:154" ht="12.75" customHeight="1">
      <c r="B773" s="336" t="s">
        <v>1028</v>
      </c>
      <c r="C773" s="1989"/>
      <c r="D773" s="28"/>
      <c r="E773" s="28"/>
      <c r="F773" s="28"/>
      <c r="G773" s="28"/>
      <c r="H773" s="28"/>
      <c r="I773" s="31"/>
      <c r="J773" s="28"/>
      <c r="K773" s="28"/>
      <c r="L773" s="28"/>
      <c r="M773" s="28"/>
      <c r="N773" s="31"/>
      <c r="O773" s="31"/>
      <c r="P773" s="31"/>
      <c r="Q773" s="31"/>
      <c r="R773" s="31"/>
      <c r="S773" s="31"/>
      <c r="T773" s="31"/>
      <c r="U773" s="31"/>
      <c r="V773" s="31"/>
      <c r="W773" s="31"/>
      <c r="X773" s="313"/>
      <c r="Y773" s="31"/>
      <c r="Z773" s="31"/>
      <c r="AA773" s="31"/>
      <c r="AB773" s="31"/>
      <c r="AC773" s="313"/>
      <c r="AD773" s="31"/>
      <c r="AE773" s="31"/>
      <c r="AF773" s="31"/>
      <c r="AG773" s="31"/>
      <c r="AH773" s="313"/>
      <c r="AI773" s="28"/>
      <c r="AJ773" s="28"/>
      <c r="AK773" s="28"/>
      <c r="AL773" s="31"/>
      <c r="AM773" s="313"/>
      <c r="AN773" s="28"/>
      <c r="AO773" s="28"/>
      <c r="AP773" s="28"/>
      <c r="AQ773" s="31"/>
      <c r="AR773" s="313"/>
      <c r="AS773" s="28"/>
      <c r="AT773" s="28"/>
      <c r="AU773" s="28"/>
      <c r="AV773" s="28"/>
      <c r="AW773" s="313"/>
      <c r="AX773" s="28"/>
      <c r="AY773" s="28"/>
      <c r="AZ773" s="28"/>
      <c r="BA773" s="28"/>
      <c r="BB773" s="313"/>
      <c r="BC773" s="28"/>
      <c r="BD773" s="28"/>
      <c r="BE773" s="28"/>
      <c r="BF773" s="28"/>
      <c r="BG773" s="313"/>
      <c r="BH773" s="28"/>
      <c r="BI773" s="28"/>
      <c r="BJ773" s="28"/>
      <c r="BK773" s="28"/>
      <c r="BL773" s="313"/>
      <c r="BM773" s="28"/>
      <c r="BN773" s="28"/>
      <c r="BO773" s="28"/>
      <c r="BP773" s="28"/>
      <c r="BQ773" s="313"/>
      <c r="BR773" s="28"/>
      <c r="BS773" s="28"/>
      <c r="BT773" s="28"/>
      <c r="BU773" s="28"/>
      <c r="BV773" s="313"/>
      <c r="BW773" s="28"/>
      <c r="BX773" s="28"/>
      <c r="BY773" s="28"/>
      <c r="BZ773" s="28"/>
      <c r="CA773" s="313"/>
      <c r="CB773" s="28"/>
      <c r="CC773" s="28"/>
      <c r="CD773" s="28"/>
      <c r="CE773" s="28"/>
      <c r="CF773" s="313"/>
      <c r="CG773" s="28"/>
      <c r="CH773" s="28"/>
      <c r="CI773" s="28"/>
      <c r="CJ773" s="28"/>
      <c r="CK773" s="313"/>
      <c r="CL773" s="961"/>
      <c r="CM773" s="28"/>
      <c r="CN773" s="28"/>
      <c r="CO773" s="28"/>
      <c r="CP773" s="313"/>
      <c r="CQ773" s="933"/>
      <c r="CR773" s="933"/>
      <c r="CS773" s="933"/>
      <c r="CT773" s="933"/>
      <c r="CU773" s="313"/>
      <c r="CV773" s="933"/>
      <c r="CW773" s="933"/>
      <c r="CX773" s="933"/>
      <c r="CY773" s="933"/>
      <c r="CZ773" s="313"/>
      <c r="DA773" s="933"/>
      <c r="DB773" s="31"/>
      <c r="DC773" s="31"/>
      <c r="DD773" s="955"/>
      <c r="DE773" s="477"/>
      <c r="DF773" s="982"/>
      <c r="DG773" s="603"/>
      <c r="DH773" s="603"/>
      <c r="DI773" s="1837"/>
      <c r="DJ773" s="1836"/>
      <c r="DK773" s="1799"/>
      <c r="DL773" s="603"/>
      <c r="DM773" s="603"/>
      <c r="DN773" s="1798"/>
      <c r="DO773" s="477"/>
      <c r="DP773" s="603"/>
      <c r="DQ773" s="603"/>
      <c r="DR773" s="603"/>
      <c r="DS773" s="1798"/>
      <c r="DT773" s="477"/>
      <c r="DU773" s="603"/>
      <c r="DV773" s="603"/>
      <c r="DW773" s="603"/>
      <c r="DX773" s="1798"/>
      <c r="DY773" s="477"/>
      <c r="DZ773" s="603"/>
      <c r="EA773" s="603"/>
      <c r="EB773" s="603"/>
      <c r="EC773" s="1798"/>
      <c r="ED773" s="477"/>
      <c r="EE773" s="1799"/>
      <c r="EF773" s="603"/>
      <c r="EG773" s="603"/>
      <c r="EH773" s="1798"/>
      <c r="EI773" s="477"/>
      <c r="EJ773" s="477"/>
      <c r="EK773" s="477"/>
      <c r="EL773" s="477"/>
      <c r="EM773" s="477"/>
      <c r="EN773" s="477"/>
      <c r="EO773" s="477"/>
      <c r="EP773" s="477"/>
      <c r="EQ773" s="477"/>
      <c r="ER773" s="477"/>
      <c r="ES773" s="477"/>
      <c r="ET773" s="477"/>
      <c r="EU773" s="477"/>
      <c r="EV773" s="477"/>
      <c r="EW773" s="477"/>
      <c r="EX773" s="477"/>
    </row>
    <row r="774" spans="2:154" ht="12.75" customHeight="1">
      <c r="B774" s="340" t="s">
        <v>921</v>
      </c>
      <c r="C774" s="1989"/>
      <c r="D774" s="28"/>
      <c r="E774" s="28"/>
      <c r="F774" s="28"/>
      <c r="G774" s="28"/>
      <c r="H774" s="28"/>
      <c r="I774" s="31"/>
      <c r="J774" s="28"/>
      <c r="K774" s="28"/>
      <c r="L774" s="28"/>
      <c r="M774" s="28"/>
      <c r="N774" s="31"/>
      <c r="O774" s="31"/>
      <c r="P774" s="31"/>
      <c r="Q774" s="31"/>
      <c r="R774" s="31"/>
      <c r="S774" s="31"/>
      <c r="T774" s="31"/>
      <c r="U774" s="31"/>
      <c r="V774" s="31"/>
      <c r="W774" s="31"/>
      <c r="X774" s="313"/>
      <c r="Y774" s="31"/>
      <c r="Z774" s="31"/>
      <c r="AA774" s="31"/>
      <c r="AB774" s="31"/>
      <c r="AC774" s="313"/>
      <c r="AD774" s="31"/>
      <c r="AE774" s="31"/>
      <c r="AF774" s="31"/>
      <c r="AG774" s="31"/>
      <c r="AH774" s="313"/>
      <c r="AI774" s="28"/>
      <c r="AJ774" s="28"/>
      <c r="AK774" s="28"/>
      <c r="AL774" s="31"/>
      <c r="AM774" s="313"/>
      <c r="AN774" s="28"/>
      <c r="AO774" s="28"/>
      <c r="AP774" s="28"/>
      <c r="AQ774" s="31"/>
      <c r="AR774" s="313"/>
      <c r="AS774" s="28"/>
      <c r="AT774" s="28"/>
      <c r="AU774" s="28"/>
      <c r="AV774" s="28"/>
      <c r="AW774" s="313"/>
      <c r="AX774" s="28"/>
      <c r="AY774" s="28"/>
      <c r="AZ774" s="28"/>
      <c r="BA774" s="28"/>
      <c r="BB774" s="313"/>
      <c r="BC774" s="28"/>
      <c r="BD774" s="28"/>
      <c r="BE774" s="28"/>
      <c r="BF774" s="28"/>
      <c r="BG774" s="308"/>
      <c r="BH774" s="28"/>
      <c r="BI774" s="28"/>
      <c r="BJ774" s="28"/>
      <c r="BK774" s="28"/>
      <c r="BL774" s="308"/>
      <c r="BM774" s="28"/>
      <c r="BN774" s="28"/>
      <c r="BO774" s="28"/>
      <c r="BP774" s="28"/>
      <c r="BQ774" s="308"/>
      <c r="BR774" s="28"/>
      <c r="BS774" s="28"/>
      <c r="BT774" s="28"/>
      <c r="BU774" s="28"/>
      <c r="BV774" s="308"/>
      <c r="BW774" s="28"/>
      <c r="BX774" s="28"/>
      <c r="BY774" s="28"/>
      <c r="BZ774" s="28"/>
      <c r="CA774" s="308"/>
      <c r="CB774" s="29"/>
      <c r="CC774" s="29"/>
      <c r="CD774" s="29"/>
      <c r="CE774" s="29"/>
      <c r="CF774" s="308"/>
      <c r="CG774" s="29"/>
      <c r="CH774" s="29"/>
      <c r="CI774" s="29"/>
      <c r="CJ774" s="29"/>
      <c r="CK774" s="308"/>
      <c r="CL774" s="400"/>
      <c r="CM774" s="29"/>
      <c r="CN774" s="29"/>
      <c r="CO774" s="29"/>
      <c r="CP774" s="308"/>
      <c r="CQ774" s="29"/>
      <c r="CR774" s="29"/>
      <c r="CS774" s="29"/>
      <c r="CT774" s="29"/>
      <c r="CU774" s="308"/>
      <c r="CV774" s="29"/>
      <c r="CW774" s="29"/>
      <c r="CX774" s="29"/>
      <c r="CY774" s="29"/>
      <c r="CZ774" s="308"/>
      <c r="DA774" s="29"/>
      <c r="DB774" s="30"/>
      <c r="DC774" s="30"/>
      <c r="DD774" s="927"/>
      <c r="DE774" s="308"/>
      <c r="DF774" s="29"/>
      <c r="DG774" s="30"/>
      <c r="DH774" s="30"/>
      <c r="DI774" s="927"/>
      <c r="DJ774" s="830"/>
      <c r="DK774" s="830"/>
      <c r="DL774" s="30"/>
      <c r="DM774" s="30"/>
      <c r="DN774" s="409"/>
      <c r="DO774" s="308"/>
      <c r="DP774" s="30"/>
      <c r="DQ774" s="30"/>
      <c r="DR774" s="30"/>
      <c r="DS774" s="409"/>
      <c r="DT774" s="308"/>
      <c r="DU774" s="926"/>
      <c r="DV774" s="926"/>
      <c r="DW774" s="926"/>
      <c r="DX774" s="928"/>
      <c r="DY774" s="308"/>
      <c r="DZ774" s="926"/>
      <c r="EA774" s="926"/>
      <c r="EB774" s="926"/>
      <c r="EC774" s="928"/>
      <c r="ED774" s="1060"/>
      <c r="EE774" s="958"/>
      <c r="EF774" s="926"/>
      <c r="EG774" s="926"/>
      <c r="EH774" s="928"/>
      <c r="EI774" s="308"/>
      <c r="EJ774" s="308">
        <f t="shared" ref="EJ774:ER774" si="1880">IF(EI769=0, "NA", EJ769/EI769-1)</f>
      </c>
      <c r="EK774" s="308">
        <f t="shared" si="1880"/>
      </c>
      <c r="EL774" s="308">
        <f t="shared" si="1880"/>
      </c>
      <c r="EM774" s="308">
        <f t="shared" si="1880"/>
      </c>
      <c r="EN774" s="308">
        <f t="shared" si="1880"/>
      </c>
      <c r="EO774" s="308">
        <f t="shared" si="1880"/>
      </c>
      <c r="EP774" s="308">
        <f t="shared" si="1880"/>
      </c>
      <c r="EQ774" s="308">
        <f t="shared" si="1880"/>
      </c>
      <c r="ER774" s="308">
        <f t="shared" si="1880"/>
      </c>
      <c r="ES774" s="308">
        <f t="shared" ref="ES774:ES776" si="1881">IF(ER769=0, "NA", ES769/ER769-1)</f>
      </c>
      <c r="ET774" s="308">
        <f t="shared" ref="ET774:ET776" si="1882">IF(ES769=0, "NA", ET769/ES769-1)</f>
      </c>
      <c r="EU774" s="308">
        <f t="shared" ref="EU774:EU776" si="1883">IF(ET769=0, "NA", EU769/ET769-1)</f>
      </c>
      <c r="EV774" s="308">
        <f t="shared" ref="EV774:EV776" si="1884">IF(EU769=0, "NA", EV769/EU769-1)</f>
      </c>
      <c r="EW774" s="308">
        <f t="shared" ref="EW774:EW776" si="1885">IF(EV769=0, "NA", EW769/EV769-1)</f>
      </c>
      <c r="EX774" s="308"/>
    </row>
    <row r="775" spans="2:154" ht="12.75" customHeight="1">
      <c r="B775" s="340" t="s">
        <v>412</v>
      </c>
      <c r="C775" s="1989"/>
      <c r="D775" s="28"/>
      <c r="E775" s="28"/>
      <c r="F775" s="28"/>
      <c r="G775" s="28"/>
      <c r="H775" s="28"/>
      <c r="I775" s="31"/>
      <c r="J775" s="28"/>
      <c r="K775" s="28"/>
      <c r="L775" s="28"/>
      <c r="M775" s="28"/>
      <c r="N775" s="31"/>
      <c r="O775" s="31"/>
      <c r="P775" s="31"/>
      <c r="Q775" s="31"/>
      <c r="R775" s="31"/>
      <c r="S775" s="31"/>
      <c r="T775" s="31"/>
      <c r="U775" s="31"/>
      <c r="V775" s="31"/>
      <c r="W775" s="31"/>
      <c r="X775" s="313"/>
      <c r="Y775" s="31"/>
      <c r="Z775" s="31"/>
      <c r="AA775" s="31"/>
      <c r="AB775" s="31"/>
      <c r="AC775" s="313"/>
      <c r="AD775" s="31"/>
      <c r="AE775" s="31"/>
      <c r="AF775" s="31"/>
      <c r="AG775" s="31"/>
      <c r="AH775" s="313"/>
      <c r="AI775" s="28"/>
      <c r="AJ775" s="28"/>
      <c r="AK775" s="28"/>
      <c r="AL775" s="31"/>
      <c r="AM775" s="313"/>
      <c r="AN775" s="28"/>
      <c r="AO775" s="28"/>
      <c r="AP775" s="28"/>
      <c r="AQ775" s="31"/>
      <c r="AR775" s="313"/>
      <c r="AS775" s="28"/>
      <c r="AT775" s="28"/>
      <c r="AU775" s="28"/>
      <c r="AV775" s="28"/>
      <c r="AW775" s="313"/>
      <c r="AX775" s="28"/>
      <c r="AY775" s="28"/>
      <c r="AZ775" s="28"/>
      <c r="BA775" s="28"/>
      <c r="BB775" s="313"/>
      <c r="BC775" s="28"/>
      <c r="BD775" s="28"/>
      <c r="BE775" s="28"/>
      <c r="BF775" s="28"/>
      <c r="BG775" s="214"/>
      <c r="BH775" s="28"/>
      <c r="BI775" s="28"/>
      <c r="BJ775" s="28"/>
      <c r="BK775" s="28"/>
      <c r="BL775" s="308"/>
      <c r="BM775" s="28"/>
      <c r="BN775" s="28"/>
      <c r="BO775" s="28"/>
      <c r="BP775" s="28"/>
      <c r="BQ775" s="315"/>
      <c r="BR775" s="28"/>
      <c r="BS775" s="28"/>
      <c r="BT775" s="28"/>
      <c r="BU775" s="28"/>
      <c r="BV775" s="308"/>
      <c r="BW775" s="28"/>
      <c r="BX775" s="28"/>
      <c r="BY775" s="28"/>
      <c r="BZ775" s="28"/>
      <c r="CA775" s="308"/>
      <c r="CB775" s="29"/>
      <c r="CC775" s="29"/>
      <c r="CD775" s="29"/>
      <c r="CE775" s="29"/>
      <c r="CF775" s="315"/>
      <c r="CG775" s="29"/>
      <c r="CH775" s="29"/>
      <c r="CI775" s="29"/>
      <c r="CJ775" s="29"/>
      <c r="CK775" s="315"/>
      <c r="CL775" s="400"/>
      <c r="CM775" s="29"/>
      <c r="CN775" s="29"/>
      <c r="CO775" s="29"/>
      <c r="CP775" s="317"/>
      <c r="CQ775" s="29"/>
      <c r="CR775" s="29"/>
      <c r="CS775" s="29"/>
      <c r="CT775" s="29"/>
      <c r="CU775" s="317"/>
      <c r="CV775" s="29"/>
      <c r="CW775" s="29"/>
      <c r="CX775" s="29"/>
      <c r="CY775" s="29"/>
      <c r="CZ775" s="308"/>
      <c r="DA775" s="29"/>
      <c r="DB775" s="925"/>
      <c r="DC775" s="925"/>
      <c r="DD775" s="927"/>
      <c r="DE775" s="1066"/>
      <c r="DF775" s="29"/>
      <c r="DG775" s="925"/>
      <c r="DH775" s="925"/>
      <c r="DI775" s="927"/>
      <c r="DJ775" s="830"/>
      <c r="DK775" s="830"/>
      <c r="DL775" s="30"/>
      <c r="DM775" s="30"/>
      <c r="DN775" s="409"/>
      <c r="DO775" s="308"/>
      <c r="DP775" s="30"/>
      <c r="DQ775" s="30"/>
      <c r="DR775" s="30"/>
      <c r="DS775" s="409"/>
      <c r="DT775" s="308"/>
      <c r="DU775" s="926"/>
      <c r="DV775" s="926"/>
      <c r="DW775" s="926"/>
      <c r="DX775" s="928"/>
      <c r="DY775" s="308"/>
      <c r="DZ775" s="926"/>
      <c r="EA775" s="926"/>
      <c r="EB775" s="926"/>
      <c r="EC775" s="928"/>
      <c r="ED775" s="1060"/>
      <c r="EE775" s="958"/>
      <c r="EF775" s="926"/>
      <c r="EG775" s="926"/>
      <c r="EH775" s="928"/>
      <c r="EI775" s="308"/>
      <c r="EJ775" s="308" t="str">
        <f t="shared" ref="EJ775:ER775" si="1886">IF(EI770=0, "NA", EJ770/EI770-1)</f>
      </c>
      <c r="EK775" s="308" t="str">
        <f t="shared" si="1886"/>
      </c>
      <c r="EL775" s="308">
        <f t="shared" si="1886"/>
      </c>
      <c r="EM775" s="308">
        <f t="shared" si="1886"/>
      </c>
      <c r="EN775" s="308">
        <f t="shared" si="1886"/>
      </c>
      <c r="EO775" s="308">
        <f t="shared" si="1886"/>
      </c>
      <c r="EP775" s="308">
        <f t="shared" si="1886"/>
      </c>
      <c r="EQ775" s="308">
        <f t="shared" si="1886"/>
      </c>
      <c r="ER775" s="308">
        <f t="shared" si="1886"/>
      </c>
      <c r="ES775" s="308">
        <f t="shared" si="1881"/>
      </c>
      <c r="ET775" s="308">
        <f t="shared" si="1882"/>
      </c>
      <c r="EU775" s="308">
        <f t="shared" si="1883"/>
      </c>
      <c r="EV775" s="308">
        <f t="shared" si="1884"/>
      </c>
      <c r="EW775" s="308">
        <f t="shared" si="1885"/>
      </c>
      <c r="EX775" s="308"/>
    </row>
    <row r="776" spans="2:154" ht="12.75" customHeight="1">
      <c r="B776" s="340" t="s">
        <v>413</v>
      </c>
      <c r="C776" s="1989"/>
      <c r="D776" s="28"/>
      <c r="E776" s="28"/>
      <c r="F776" s="28"/>
      <c r="G776" s="28"/>
      <c r="H776" s="28"/>
      <c r="I776" s="31"/>
      <c r="J776" s="28"/>
      <c r="K776" s="28"/>
      <c r="L776" s="28"/>
      <c r="M776" s="28"/>
      <c r="N776" s="31"/>
      <c r="O776" s="31"/>
      <c r="P776" s="31"/>
      <c r="Q776" s="31"/>
      <c r="R776" s="31"/>
      <c r="S776" s="31"/>
      <c r="T776" s="31"/>
      <c r="U776" s="31"/>
      <c r="V776" s="31"/>
      <c r="W776" s="31"/>
      <c r="X776" s="313"/>
      <c r="Y776" s="31"/>
      <c r="Z776" s="31"/>
      <c r="AA776" s="31"/>
      <c r="AB776" s="31"/>
      <c r="AC776" s="313"/>
      <c r="AD776" s="31"/>
      <c r="AE776" s="31"/>
      <c r="AF776" s="31"/>
      <c r="AG776" s="31"/>
      <c r="AH776" s="313"/>
      <c r="AI776" s="28"/>
      <c r="AJ776" s="28"/>
      <c r="AK776" s="28"/>
      <c r="AL776" s="31"/>
      <c r="AM776" s="313"/>
      <c r="AN776" s="28"/>
      <c r="AO776" s="28"/>
      <c r="AP776" s="28"/>
      <c r="AQ776" s="31"/>
      <c r="AR776" s="313"/>
      <c r="AS776" s="28"/>
      <c r="AT776" s="28"/>
      <c r="AU776" s="28"/>
      <c r="AV776" s="28"/>
      <c r="AW776" s="313"/>
      <c r="AX776" s="28"/>
      <c r="AY776" s="28"/>
      <c r="AZ776" s="28"/>
      <c r="BA776" s="28"/>
      <c r="BB776" s="313"/>
      <c r="BC776" s="28"/>
      <c r="BD776" s="28"/>
      <c r="BE776" s="28"/>
      <c r="BF776" s="28"/>
      <c r="BG776" s="308"/>
      <c r="BH776" s="28"/>
      <c r="BI776" s="28"/>
      <c r="BJ776" s="28"/>
      <c r="BK776" s="28"/>
      <c r="BL776" s="308"/>
      <c r="BM776" s="28"/>
      <c r="BN776" s="28"/>
      <c r="BO776" s="28"/>
      <c r="BP776" s="28"/>
      <c r="BQ776" s="308"/>
      <c r="BR776" s="28"/>
      <c r="BS776" s="28"/>
      <c r="BT776" s="28"/>
      <c r="BU776" s="28"/>
      <c r="BV776" s="308"/>
      <c r="BW776" s="28"/>
      <c r="BX776" s="28"/>
      <c r="BY776" s="28"/>
      <c r="BZ776" s="28"/>
      <c r="CA776" s="308"/>
      <c r="CB776" s="30"/>
      <c r="CC776" s="30"/>
      <c r="CD776" s="30"/>
      <c r="CE776" s="30"/>
      <c r="CF776" s="308"/>
      <c r="CG776" s="30"/>
      <c r="CH776" s="30"/>
      <c r="CI776" s="30"/>
      <c r="CJ776" s="30"/>
      <c r="CK776" s="308"/>
      <c r="CL776" s="958"/>
      <c r="CM776" s="926"/>
      <c r="CN776" s="926"/>
      <c r="CO776" s="30"/>
      <c r="CP776" s="308"/>
      <c r="CQ776" s="926"/>
      <c r="CR776" s="926"/>
      <c r="CS776" s="926"/>
      <c r="CT776" s="926"/>
      <c r="CU776" s="308"/>
      <c r="CV776" s="926"/>
      <c r="CW776" s="926"/>
      <c r="CX776" s="926"/>
      <c r="CY776" s="926"/>
      <c r="CZ776" s="308"/>
      <c r="DA776" s="926"/>
      <c r="DB776" s="30"/>
      <c r="DC776" s="30"/>
      <c r="DD776" s="928"/>
      <c r="DE776" s="308"/>
      <c r="DF776" s="926"/>
      <c r="DG776" s="30"/>
      <c r="DH776" s="30"/>
      <c r="DI776" s="928"/>
      <c r="DJ776" s="830"/>
      <c r="DK776" s="830"/>
      <c r="DL776" s="30"/>
      <c r="DM776" s="30"/>
      <c r="DN776" s="409"/>
      <c r="DO776" s="308"/>
      <c r="DP776" s="30"/>
      <c r="DQ776" s="30"/>
      <c r="DR776" s="30"/>
      <c r="DS776" s="409"/>
      <c r="DT776" s="308"/>
      <c r="DU776" s="926"/>
      <c r="DV776" s="926"/>
      <c r="DW776" s="926"/>
      <c r="DX776" s="928"/>
      <c r="DY776" s="308"/>
      <c r="DZ776" s="926"/>
      <c r="EA776" s="926"/>
      <c r="EB776" s="926"/>
      <c r="EC776" s="928"/>
      <c r="ED776" s="1060"/>
      <c r="EE776" s="958"/>
      <c r="EF776" s="926"/>
      <c r="EG776" s="926"/>
      <c r="EH776" s="928"/>
      <c r="EI776" s="308"/>
      <c r="EJ776" s="308">
        <f t="shared" ref="EJ776:ER776" si="1887">IF(EI771=0, "NA", EJ771/EI771-1)</f>
      </c>
      <c r="EK776" s="308">
        <f t="shared" si="1887"/>
      </c>
      <c r="EL776" s="308">
        <f t="shared" si="1887"/>
      </c>
      <c r="EM776" s="308">
        <f t="shared" si="1887"/>
      </c>
      <c r="EN776" s="308">
        <f t="shared" si="1887"/>
      </c>
      <c r="EO776" s="308">
        <f t="shared" si="1887"/>
      </c>
      <c r="EP776" s="308">
        <f t="shared" si="1887"/>
      </c>
      <c r="EQ776" s="308">
        <f t="shared" si="1887"/>
      </c>
      <c r="ER776" s="308">
        <f t="shared" si="1887"/>
      </c>
      <c r="ES776" s="308">
        <f t="shared" si="1881"/>
      </c>
      <c r="ET776" s="308">
        <f t="shared" si="1882"/>
      </c>
      <c r="EU776" s="308">
        <f t="shared" si="1883"/>
      </c>
      <c r="EV776" s="308">
        <f t="shared" si="1884"/>
      </c>
      <c r="EW776" s="308">
        <f t="shared" si="1885"/>
      </c>
      <c r="EX776" s="308"/>
    </row>
    <row r="777" spans="2:154" ht="12.75" customHeight="1">
      <c r="B777" s="341"/>
      <c r="C777" s="1989"/>
      <c r="D777" s="28"/>
      <c r="E777" s="28"/>
      <c r="F777" s="28"/>
      <c r="G777" s="28"/>
      <c r="H777" s="28"/>
      <c r="I777" s="31"/>
      <c r="J777" s="28"/>
      <c r="K777" s="28"/>
      <c r="L777" s="28"/>
      <c r="M777" s="28"/>
      <c r="N777" s="31"/>
      <c r="O777" s="31"/>
      <c r="P777" s="31"/>
      <c r="Q777" s="31"/>
      <c r="R777" s="31"/>
      <c r="S777" s="31"/>
      <c r="T777" s="31"/>
      <c r="U777" s="31"/>
      <c r="V777" s="31"/>
      <c r="W777" s="31"/>
      <c r="X777" s="313"/>
      <c r="Y777" s="31"/>
      <c r="Z777" s="31"/>
      <c r="AA777" s="31"/>
      <c r="AB777" s="31"/>
      <c r="AC777" s="313"/>
      <c r="AD777" s="31"/>
      <c r="AE777" s="31"/>
      <c r="AF777" s="31"/>
      <c r="AG777" s="31"/>
      <c r="AH777" s="313"/>
      <c r="AI777" s="28"/>
      <c r="AJ777" s="28"/>
      <c r="AK777" s="28"/>
      <c r="AL777" s="31"/>
      <c r="AM777" s="313"/>
      <c r="AN777" s="28"/>
      <c r="AO777" s="28"/>
      <c r="AP777" s="28"/>
      <c r="AQ777" s="31"/>
      <c r="AR777" s="313"/>
      <c r="AS777" s="28"/>
      <c r="AT777" s="28"/>
      <c r="AU777" s="28"/>
      <c r="AV777" s="28"/>
      <c r="AW777" s="313"/>
      <c r="AX777" s="28"/>
      <c r="AY777" s="28"/>
      <c r="AZ777" s="28"/>
      <c r="BA777" s="28"/>
      <c r="BB777" s="313"/>
      <c r="BC777" s="28"/>
      <c r="BD777" s="28"/>
      <c r="BE777" s="28"/>
      <c r="BF777" s="28"/>
      <c r="BG777" s="308"/>
      <c r="BH777" s="28"/>
      <c r="BI777" s="28"/>
      <c r="BJ777" s="28"/>
      <c r="BK777" s="28"/>
      <c r="BL777" s="308"/>
      <c r="BM777" s="28"/>
      <c r="BN777" s="28"/>
      <c r="BO777" s="28"/>
      <c r="BP777" s="28"/>
      <c r="BQ777" s="308"/>
      <c r="BR777" s="28"/>
      <c r="BS777" s="28"/>
      <c r="BT777" s="28"/>
      <c r="BU777" s="28"/>
      <c r="BV777" s="308"/>
      <c r="BW777" s="28"/>
      <c r="BX777" s="28"/>
      <c r="BY777" s="28"/>
      <c r="BZ777" s="28"/>
      <c r="CA777" s="308"/>
      <c r="CB777" s="30"/>
      <c r="CC777" s="30"/>
      <c r="CD777" s="30"/>
      <c r="CE777" s="30"/>
      <c r="CF777" s="308"/>
      <c r="CG777" s="30"/>
      <c r="CH777" s="30"/>
      <c r="CI777" s="30"/>
      <c r="CJ777" s="30"/>
      <c r="CK777" s="308"/>
      <c r="CL777" s="958"/>
      <c r="CM777" s="926"/>
      <c r="CN777" s="926"/>
      <c r="CO777" s="30"/>
      <c r="CP777" s="308"/>
      <c r="CQ777" s="926"/>
      <c r="CR777" s="926"/>
      <c r="CS777" s="926"/>
      <c r="CT777" s="926"/>
      <c r="CU777" s="308"/>
      <c r="CV777" s="926"/>
      <c r="CW777" s="926"/>
      <c r="CX777" s="926"/>
      <c r="CY777" s="926"/>
      <c r="CZ777" s="308"/>
      <c r="DA777" s="926"/>
      <c r="DB777" s="30"/>
      <c r="DC777" s="30"/>
      <c r="DD777" s="928"/>
      <c r="DE777" s="308"/>
      <c r="DF777" s="926"/>
      <c r="DG777" s="30"/>
      <c r="DH777" s="30"/>
      <c r="DI777" s="928"/>
      <c r="DJ777" s="830"/>
      <c r="DK777" s="830"/>
      <c r="DL777" s="30"/>
      <c r="DM777" s="30"/>
      <c r="DN777" s="409"/>
      <c r="DO777" s="308"/>
      <c r="DP777" s="30"/>
      <c r="DQ777" s="30"/>
      <c r="DR777" s="30"/>
      <c r="DS777" s="409"/>
      <c r="DT777" s="308"/>
      <c r="DU777" s="926"/>
      <c r="DV777" s="926"/>
      <c r="DW777" s="926"/>
      <c r="DX777" s="928"/>
      <c r="DY777" s="308"/>
      <c r="DZ777" s="926"/>
      <c r="EA777" s="926"/>
      <c r="EB777" s="926"/>
      <c r="EC777" s="928"/>
      <c r="ED777" s="1060"/>
      <c r="EE777" s="958"/>
      <c r="EF777" s="926"/>
      <c r="EG777" s="926"/>
      <c r="EH777" s="928"/>
      <c r="EI777" s="308"/>
      <c r="EJ777" s="308"/>
      <c r="EK777" s="308"/>
      <c r="EL777" s="308"/>
      <c r="EM777" s="308"/>
      <c r="EN777" s="308"/>
      <c r="EO777" s="308"/>
      <c r="EP777" s="308"/>
      <c r="EQ777" s="308"/>
      <c r="ER777" s="308"/>
      <c r="ES777" s="308"/>
      <c r="ET777" s="308"/>
      <c r="EU777" s="308"/>
      <c r="EV777" s="308"/>
      <c r="EW777" s="308"/>
      <c r="EX777" s="308"/>
    </row>
    <row r="778" spans="2:154" ht="12.75" customHeight="1">
      <c r="B778" s="336" t="s">
        <v>1029</v>
      </c>
      <c r="C778" s="1989"/>
      <c r="D778" s="28"/>
      <c r="E778" s="28"/>
      <c r="F778" s="28"/>
      <c r="G778" s="28"/>
      <c r="H778" s="28"/>
      <c r="I778" s="31"/>
      <c r="J778" s="28"/>
      <c r="K778" s="28"/>
      <c r="L778" s="28"/>
      <c r="M778" s="28"/>
      <c r="N778" s="31"/>
      <c r="O778" s="31"/>
      <c r="P778" s="31"/>
      <c r="Q778" s="31"/>
      <c r="R778" s="31"/>
      <c r="S778" s="31"/>
      <c r="T778" s="31"/>
      <c r="U778" s="31"/>
      <c r="V778" s="31"/>
      <c r="W778" s="31"/>
      <c r="X778" s="313"/>
      <c r="Y778" s="31"/>
      <c r="Z778" s="31"/>
      <c r="AA778" s="31"/>
      <c r="AB778" s="31"/>
      <c r="AC778" s="313"/>
      <c r="AD778" s="31"/>
      <c r="AE778" s="31"/>
      <c r="AF778" s="31"/>
      <c r="AG778" s="31"/>
      <c r="AH778" s="313"/>
      <c r="AI778" s="28"/>
      <c r="AJ778" s="28"/>
      <c r="AK778" s="28"/>
      <c r="AL778" s="31"/>
      <c r="AM778" s="313"/>
      <c r="AN778" s="28"/>
      <c r="AO778" s="28"/>
      <c r="AP778" s="28"/>
      <c r="AQ778" s="31"/>
      <c r="AR778" s="313"/>
      <c r="AS778" s="28"/>
      <c r="AT778" s="28"/>
      <c r="AU778" s="28"/>
      <c r="AV778" s="28"/>
      <c r="AW778" s="313"/>
      <c r="AX778" s="28"/>
      <c r="AY778" s="28"/>
      <c r="AZ778" s="28"/>
      <c r="BA778" s="28"/>
      <c r="BB778" s="313"/>
      <c r="BC778" s="28"/>
      <c r="BD778" s="28"/>
      <c r="BE778" s="28"/>
      <c r="BF778" s="28"/>
      <c r="BG778" s="308"/>
      <c r="BH778" s="28"/>
      <c r="BI778" s="28"/>
      <c r="BJ778" s="28"/>
      <c r="BK778" s="28"/>
      <c r="BL778" s="308"/>
      <c r="BM778" s="28"/>
      <c r="BN778" s="28"/>
      <c r="BO778" s="28"/>
      <c r="BP778" s="28"/>
      <c r="BQ778" s="308"/>
      <c r="BR778" s="28"/>
      <c r="BS778" s="28"/>
      <c r="BT778" s="28"/>
      <c r="BU778" s="28"/>
      <c r="BV778" s="308"/>
      <c r="BW778" s="28"/>
      <c r="BX778" s="28"/>
      <c r="BY778" s="28"/>
      <c r="BZ778" s="28"/>
      <c r="CA778" s="308"/>
      <c r="CB778" s="30"/>
      <c r="CC778" s="30"/>
      <c r="CD778" s="30"/>
      <c r="CE778" s="30"/>
      <c r="CF778" s="308"/>
      <c r="CG778" s="30"/>
      <c r="CH778" s="30"/>
      <c r="CI778" s="30"/>
      <c r="CJ778" s="30"/>
      <c r="CK778" s="308"/>
      <c r="CL778" s="958"/>
      <c r="CM778" s="926"/>
      <c r="CN778" s="926"/>
      <c r="CO778" s="30"/>
      <c r="CP778" s="308"/>
      <c r="CQ778" s="926"/>
      <c r="CR778" s="926"/>
      <c r="CS778" s="926"/>
      <c r="CT778" s="926"/>
      <c r="CU778" s="308"/>
      <c r="CV778" s="926"/>
      <c r="CW778" s="926"/>
      <c r="CX778" s="926"/>
      <c r="CY778" s="926"/>
      <c r="CZ778" s="308"/>
      <c r="DA778" s="926"/>
      <c r="DB778" s="30"/>
      <c r="DC778" s="30"/>
      <c r="DD778" s="928"/>
      <c r="DE778" s="308"/>
      <c r="DF778" s="926"/>
      <c r="DG778" s="30"/>
      <c r="DH778" s="30"/>
      <c r="DI778" s="928"/>
      <c r="DJ778" s="830"/>
      <c r="DK778" s="830"/>
      <c r="DL778" s="30"/>
      <c r="DM778" s="30"/>
      <c r="DN778" s="409"/>
      <c r="DO778" s="308"/>
      <c r="DP778" s="30"/>
      <c r="DQ778" s="30"/>
      <c r="DR778" s="30"/>
      <c r="DS778" s="409"/>
      <c r="DT778" s="308"/>
      <c r="DU778" s="926"/>
      <c r="DV778" s="926"/>
      <c r="DW778" s="926"/>
      <c r="DX778" s="928"/>
      <c r="DY778" s="308"/>
      <c r="DZ778" s="926"/>
      <c r="EA778" s="926"/>
      <c r="EB778" s="926"/>
      <c r="EC778" s="928"/>
      <c r="ED778" s="1060"/>
      <c r="EE778" s="958"/>
      <c r="EF778" s="926"/>
      <c r="EG778" s="926"/>
      <c r="EH778" s="928"/>
      <c r="EI778" s="308"/>
      <c r="EJ778" s="308"/>
      <c r="EK778" s="308"/>
      <c r="EL778" s="308"/>
      <c r="EM778" s="308"/>
      <c r="EN778" s="308"/>
      <c r="EO778" s="308"/>
      <c r="EP778" s="308"/>
      <c r="EQ778" s="308"/>
      <c r="ER778" s="308"/>
      <c r="ES778" s="308"/>
      <c r="ET778" s="308"/>
      <c r="EU778" s="308"/>
      <c r="EV778" s="308"/>
      <c r="EW778" s="308"/>
      <c r="EX778" s="308"/>
    </row>
    <row r="779" spans="2:154" ht="12.75" customHeight="1">
      <c r="B779" s="342" t="s">
        <v>153</v>
      </c>
      <c r="C779" s="1989"/>
      <c r="D779" s="28"/>
      <c r="E779" s="28"/>
      <c r="F779" s="28"/>
      <c r="G779" s="28"/>
      <c r="H779" s="28"/>
      <c r="I779" s="31"/>
      <c r="J779" s="28"/>
      <c r="K779" s="28"/>
      <c r="L779" s="28"/>
      <c r="M779" s="28"/>
      <c r="N779" s="31"/>
      <c r="O779" s="31"/>
      <c r="P779" s="31"/>
      <c r="Q779" s="31"/>
      <c r="R779" s="31"/>
      <c r="S779" s="31"/>
      <c r="T779" s="31"/>
      <c r="U779" s="31"/>
      <c r="V779" s="31"/>
      <c r="W779" s="31"/>
      <c r="X779" s="313"/>
      <c r="Y779" s="31"/>
      <c r="Z779" s="31"/>
      <c r="AA779" s="31"/>
      <c r="AB779" s="31"/>
      <c r="AC779" s="313"/>
      <c r="AD779" s="31"/>
      <c r="AE779" s="31"/>
      <c r="AF779" s="31"/>
      <c r="AG779" s="31"/>
      <c r="AH779" s="313"/>
      <c r="AI779" s="28"/>
      <c r="AJ779" s="28"/>
      <c r="AK779" s="28"/>
      <c r="AL779" s="31"/>
      <c r="AM779" s="313"/>
      <c r="AN779" s="28"/>
      <c r="AO779" s="28"/>
      <c r="AP779" s="28"/>
      <c r="AQ779" s="31"/>
      <c r="AR779" s="313"/>
      <c r="AS779" s="28"/>
      <c r="AT779" s="28"/>
      <c r="AU779" s="28"/>
      <c r="AV779" s="28"/>
      <c r="AW779" s="313"/>
      <c r="AX779" s="28"/>
      <c r="AY779" s="28"/>
      <c r="AZ779" s="28"/>
      <c r="BA779" s="28"/>
      <c r="BB779" s="313"/>
      <c r="BC779" s="28"/>
      <c r="BD779" s="28"/>
      <c r="BE779" s="28"/>
      <c r="BF779" s="28"/>
      <c r="BG779" s="308"/>
      <c r="BH779" s="28"/>
      <c r="BI779" s="28"/>
      <c r="BJ779" s="28"/>
      <c r="BK779" s="28"/>
      <c r="BL779" s="308"/>
      <c r="BM779" s="28"/>
      <c r="BN779" s="28"/>
      <c r="BO779" s="28"/>
      <c r="BP779" s="28"/>
      <c r="BQ779" s="308"/>
      <c r="BR779" s="28"/>
      <c r="BS779" s="28"/>
      <c r="BT779" s="28"/>
      <c r="BU779" s="28"/>
      <c r="BV779" s="308"/>
      <c r="BW779" s="28"/>
      <c r="BX779" s="28"/>
      <c r="BY779" s="28"/>
      <c r="BZ779" s="28"/>
      <c r="CA779" s="308"/>
      <c r="CB779" s="30"/>
      <c r="CC779" s="30"/>
      <c r="CD779" s="30"/>
      <c r="CE779" s="30"/>
      <c r="CF779" s="308"/>
      <c r="CG779" s="30"/>
      <c r="CH779" s="30"/>
      <c r="CI779" s="30"/>
      <c r="CJ779" s="30"/>
      <c r="CK779" s="308"/>
      <c r="CL779" s="958"/>
      <c r="CM779" s="926"/>
      <c r="CN779" s="926"/>
      <c r="CO779" s="30"/>
      <c r="CP779" s="308"/>
      <c r="CQ779" s="926"/>
      <c r="CR779" s="926"/>
      <c r="CS779" s="926"/>
      <c r="CT779" s="926"/>
      <c r="CU779" s="308"/>
      <c r="CV779" s="926"/>
      <c r="CW779" s="926"/>
      <c r="CX779" s="926"/>
      <c r="CY779" s="926"/>
      <c r="CZ779" s="308"/>
      <c r="DA779" s="926"/>
      <c r="DB779" s="30"/>
      <c r="DC779" s="30"/>
      <c r="DD779" s="928"/>
      <c r="DE779" s="308"/>
      <c r="DF779" s="926"/>
      <c r="DG779" s="30"/>
      <c r="DH779" s="30"/>
      <c r="DI779" s="928"/>
      <c r="DJ779" s="830"/>
      <c r="DK779" s="830"/>
      <c r="DL779" s="30"/>
      <c r="DM779" s="30"/>
      <c r="DN779" s="409"/>
      <c r="DO779" s="308"/>
      <c r="DP779" s="30"/>
      <c r="DQ779" s="30"/>
      <c r="DR779" s="30"/>
      <c r="DS779" s="409"/>
      <c r="DT779" s="308"/>
      <c r="DU779" s="926"/>
      <c r="DV779" s="926"/>
      <c r="DW779" s="926"/>
      <c r="DX779" s="928"/>
      <c r="DY779" s="308"/>
      <c r="DZ779" s="926"/>
      <c r="EA779" s="926"/>
      <c r="EB779" s="926"/>
      <c r="EC779" s="928"/>
      <c r="ED779" s="1060"/>
      <c r="EE779" s="1877">
        <f>EE1700</f>
      </c>
      <c r="EF779" s="926"/>
      <c r="EG779" s="926"/>
      <c r="EH779" s="1542">
        <f t="shared" ref="EH779:EW779" si="1888">EH1700</f>
      </c>
      <c r="EI779" s="1835">
        <f t="shared" si="1888"/>
      </c>
      <c r="EJ779" s="1835">
        <f t="shared" si="1888"/>
      </c>
      <c r="EK779" s="1835">
        <f t="shared" si="1888"/>
      </c>
      <c r="EL779" s="1835">
        <f t="shared" si="1888"/>
      </c>
      <c r="EM779" s="1835">
        <f t="shared" si="1888"/>
      </c>
      <c r="EN779" s="1835">
        <f t="shared" si="1888"/>
      </c>
      <c r="EO779" s="1835">
        <f t="shared" si="1888"/>
      </c>
      <c r="EP779" s="1835">
        <f t="shared" si="1888"/>
      </c>
      <c r="EQ779" s="1835">
        <f t="shared" si="1888"/>
      </c>
      <c r="ER779" s="1835">
        <f t="shared" si="1888"/>
      </c>
      <c r="ES779" s="477">
        <f t="shared" si="1888"/>
      </c>
      <c r="ET779" s="477">
        <f t="shared" si="1888"/>
      </c>
      <c r="EU779" s="477">
        <f t="shared" si="1888"/>
      </c>
      <c r="EV779" s="477">
        <f t="shared" si="1888"/>
      </c>
      <c r="EW779" s="477">
        <f t="shared" si="1888"/>
      </c>
      <c r="EX779" s="308"/>
    </row>
    <row r="780" spans="2:154" ht="12.75" customHeight="1">
      <c r="B780" s="342" t="s">
        <v>235</v>
      </c>
      <c r="C780" s="1989"/>
      <c r="D780" s="28"/>
      <c r="E780" s="28"/>
      <c r="F780" s="28"/>
      <c r="G780" s="28"/>
      <c r="H780" s="28"/>
      <c r="I780" s="31"/>
      <c r="J780" s="28"/>
      <c r="K780" s="28"/>
      <c r="L780" s="28"/>
      <c r="M780" s="28"/>
      <c r="N780" s="31"/>
      <c r="O780" s="31"/>
      <c r="P780" s="31"/>
      <c r="Q780" s="31"/>
      <c r="R780" s="31"/>
      <c r="S780" s="31"/>
      <c r="T780" s="31"/>
      <c r="U780" s="31"/>
      <c r="V780" s="31"/>
      <c r="W780" s="31"/>
      <c r="X780" s="313"/>
      <c r="Y780" s="31"/>
      <c r="Z780" s="31"/>
      <c r="AA780" s="31"/>
      <c r="AB780" s="31"/>
      <c r="AC780" s="313"/>
      <c r="AD780" s="31"/>
      <c r="AE780" s="31"/>
      <c r="AF780" s="31"/>
      <c r="AG780" s="31"/>
      <c r="AH780" s="313"/>
      <c r="AI780" s="28"/>
      <c r="AJ780" s="28"/>
      <c r="AK780" s="28"/>
      <c r="AL780" s="31"/>
      <c r="AM780" s="313"/>
      <c r="AN780" s="28"/>
      <c r="AO780" s="28"/>
      <c r="AP780" s="28"/>
      <c r="AQ780" s="31"/>
      <c r="AR780" s="313"/>
      <c r="AS780" s="28"/>
      <c r="AT780" s="28"/>
      <c r="AU780" s="28"/>
      <c r="AV780" s="28"/>
      <c r="AW780" s="313"/>
      <c r="AX780" s="28"/>
      <c r="AY780" s="28"/>
      <c r="AZ780" s="28"/>
      <c r="BA780" s="28"/>
      <c r="BB780" s="313"/>
      <c r="BC780" s="28"/>
      <c r="BD780" s="28"/>
      <c r="BE780" s="28"/>
      <c r="BF780" s="28"/>
      <c r="BG780" s="308"/>
      <c r="BH780" s="28"/>
      <c r="BI780" s="28"/>
      <c r="BJ780" s="28"/>
      <c r="BK780" s="28"/>
      <c r="BL780" s="308"/>
      <c r="BM780" s="28"/>
      <c r="BN780" s="28"/>
      <c r="BO780" s="28"/>
      <c r="BP780" s="28"/>
      <c r="BQ780" s="308"/>
      <c r="BR780" s="28"/>
      <c r="BS780" s="28"/>
      <c r="BT780" s="28"/>
      <c r="BU780" s="28"/>
      <c r="BV780" s="308"/>
      <c r="BW780" s="28"/>
      <c r="BX780" s="28"/>
      <c r="BY780" s="28"/>
      <c r="BZ780" s="28"/>
      <c r="CA780" s="308"/>
      <c r="CB780" s="30"/>
      <c r="CC780" s="30"/>
      <c r="CD780" s="30"/>
      <c r="CE780" s="30"/>
      <c r="CF780" s="308"/>
      <c r="CG780" s="30"/>
      <c r="CH780" s="30"/>
      <c r="CI780" s="30"/>
      <c r="CJ780" s="30"/>
      <c r="CK780" s="308"/>
      <c r="CL780" s="958"/>
      <c r="CM780" s="926"/>
      <c r="CN780" s="926"/>
      <c r="CO780" s="30"/>
      <c r="CP780" s="308"/>
      <c r="CQ780" s="926"/>
      <c r="CR780" s="926"/>
      <c r="CS780" s="926"/>
      <c r="CT780" s="926"/>
      <c r="CU780" s="308"/>
      <c r="CV780" s="926"/>
      <c r="CW780" s="926"/>
      <c r="CX780" s="926"/>
      <c r="CY780" s="926"/>
      <c r="CZ780" s="308"/>
      <c r="DA780" s="926"/>
      <c r="DB780" s="30"/>
      <c r="DC780" s="30"/>
      <c r="DD780" s="928"/>
      <c r="DE780" s="308"/>
      <c r="DF780" s="926"/>
      <c r="DG780" s="30"/>
      <c r="DH780" s="30"/>
      <c r="DI780" s="928"/>
      <c r="DJ780" s="830"/>
      <c r="DK780" s="830"/>
      <c r="DL780" s="30"/>
      <c r="DM780" s="30"/>
      <c r="DN780" s="409"/>
      <c r="DO780" s="308"/>
      <c r="DP780" s="30"/>
      <c r="DQ780" s="30"/>
      <c r="DR780" s="30"/>
      <c r="DS780" s="409"/>
      <c r="DT780" s="308"/>
      <c r="DU780" s="926"/>
      <c r="DV780" s="926"/>
      <c r="DW780" s="926"/>
      <c r="DX780" s="928"/>
      <c r="DY780" s="308"/>
      <c r="DZ780" s="926"/>
      <c r="EA780" s="926"/>
      <c r="EB780" s="926"/>
      <c r="EC780" s="928"/>
      <c r="ED780" s="1060"/>
      <c r="EE780" s="1877">
        <f t="shared" ref="EE780:EW780" si="1889">EE1701</f>
      </c>
      <c r="EF780" s="926"/>
      <c r="EG780" s="926"/>
      <c r="EH780" s="1542">
        <f t="shared" si="1889"/>
      </c>
      <c r="EI780" s="1835">
        <f t="shared" si="1889"/>
      </c>
      <c r="EJ780" s="1835">
        <f t="shared" si="1889"/>
      </c>
      <c r="EK780" s="1835">
        <f t="shared" si="1889"/>
      </c>
      <c r="EL780" s="1835">
        <f t="shared" si="1889"/>
      </c>
      <c r="EM780" s="1835">
        <f t="shared" si="1889"/>
      </c>
      <c r="EN780" s="1835">
        <f t="shared" si="1889"/>
      </c>
      <c r="EO780" s="1835">
        <f t="shared" si="1889"/>
      </c>
      <c r="EP780" s="1835">
        <f t="shared" si="1889"/>
      </c>
      <c r="EQ780" s="1835">
        <f t="shared" si="1889"/>
      </c>
      <c r="ER780" s="1835">
        <f t="shared" si="1889"/>
      </c>
      <c r="ES780" s="477">
        <f t="shared" si="1889"/>
      </c>
      <c r="ET780" s="477">
        <f t="shared" si="1889"/>
      </c>
      <c r="EU780" s="477">
        <f t="shared" si="1889"/>
      </c>
      <c r="EV780" s="477">
        <f t="shared" si="1889"/>
      </c>
      <c r="EW780" s="477">
        <f t="shared" si="1889"/>
      </c>
      <c r="EX780" s="308"/>
    </row>
    <row r="781" spans="2:154" ht="12.75" customHeight="1">
      <c r="B781" s="342" t="s">
        <v>19</v>
      </c>
      <c r="C781" s="1989"/>
      <c r="D781" s="28"/>
      <c r="E781" s="28"/>
      <c r="F781" s="28"/>
      <c r="G781" s="28"/>
      <c r="H781" s="28"/>
      <c r="I781" s="31"/>
      <c r="J781" s="28"/>
      <c r="K781" s="28"/>
      <c r="L781" s="28"/>
      <c r="M781" s="28"/>
      <c r="N781" s="31"/>
      <c r="O781" s="31"/>
      <c r="P781" s="31"/>
      <c r="Q781" s="31"/>
      <c r="R781" s="31"/>
      <c r="S781" s="31"/>
      <c r="T781" s="31"/>
      <c r="U781" s="31"/>
      <c r="V781" s="31"/>
      <c r="W781" s="31"/>
      <c r="X781" s="313"/>
      <c r="Y781" s="31"/>
      <c r="Z781" s="31"/>
      <c r="AA781" s="31"/>
      <c r="AB781" s="31"/>
      <c r="AC781" s="313"/>
      <c r="AD781" s="31"/>
      <c r="AE781" s="31"/>
      <c r="AF781" s="31"/>
      <c r="AG781" s="31"/>
      <c r="AH781" s="313"/>
      <c r="AI781" s="28"/>
      <c r="AJ781" s="28"/>
      <c r="AK781" s="28"/>
      <c r="AL781" s="31"/>
      <c r="AM781" s="313"/>
      <c r="AN781" s="28"/>
      <c r="AO781" s="28"/>
      <c r="AP781" s="28"/>
      <c r="AQ781" s="31"/>
      <c r="AR781" s="313"/>
      <c r="AS781" s="28"/>
      <c r="AT781" s="28"/>
      <c r="AU781" s="28"/>
      <c r="AV781" s="28"/>
      <c r="AW781" s="313"/>
      <c r="AX781" s="28"/>
      <c r="AY781" s="28"/>
      <c r="AZ781" s="28"/>
      <c r="BA781" s="28"/>
      <c r="BB781" s="313"/>
      <c r="BC781" s="28"/>
      <c r="BD781" s="28"/>
      <c r="BE781" s="28"/>
      <c r="BF781" s="28"/>
      <c r="BG781" s="308"/>
      <c r="BH781" s="28"/>
      <c r="BI781" s="28"/>
      <c r="BJ781" s="28"/>
      <c r="BK781" s="28"/>
      <c r="BL781" s="308"/>
      <c r="BM781" s="28"/>
      <c r="BN781" s="28"/>
      <c r="BO781" s="28"/>
      <c r="BP781" s="28"/>
      <c r="BQ781" s="308"/>
      <c r="BR781" s="28"/>
      <c r="BS781" s="28"/>
      <c r="BT781" s="28"/>
      <c r="BU781" s="28"/>
      <c r="BV781" s="308"/>
      <c r="BW781" s="28"/>
      <c r="BX781" s="28"/>
      <c r="BY781" s="28"/>
      <c r="BZ781" s="28"/>
      <c r="CA781" s="308"/>
      <c r="CB781" s="30"/>
      <c r="CC781" s="30"/>
      <c r="CD781" s="30"/>
      <c r="CE781" s="30"/>
      <c r="CF781" s="308"/>
      <c r="CG781" s="30"/>
      <c r="CH781" s="30"/>
      <c r="CI781" s="30"/>
      <c r="CJ781" s="30"/>
      <c r="CK781" s="308"/>
      <c r="CL781" s="958"/>
      <c r="CM781" s="926"/>
      <c r="CN781" s="926"/>
      <c r="CO781" s="30"/>
      <c r="CP781" s="308"/>
      <c r="CQ781" s="926"/>
      <c r="CR781" s="926"/>
      <c r="CS781" s="926"/>
      <c r="CT781" s="926"/>
      <c r="CU781" s="308"/>
      <c r="CV781" s="926"/>
      <c r="CW781" s="926"/>
      <c r="CX781" s="926"/>
      <c r="CY781" s="926"/>
      <c r="CZ781" s="308"/>
      <c r="DA781" s="926"/>
      <c r="DB781" s="30"/>
      <c r="DC781" s="30"/>
      <c r="DD781" s="928"/>
      <c r="DE781" s="308"/>
      <c r="DF781" s="926"/>
      <c r="DG781" s="30"/>
      <c r="DH781" s="30"/>
      <c r="DI781" s="928"/>
      <c r="DJ781" s="830"/>
      <c r="DK781" s="830"/>
      <c r="DL781" s="30"/>
      <c r="DM781" s="30"/>
      <c r="DN781" s="409"/>
      <c r="DO781" s="308"/>
      <c r="DP781" s="30"/>
      <c r="DQ781" s="30"/>
      <c r="DR781" s="30"/>
      <c r="DS781" s="409"/>
      <c r="DT781" s="308"/>
      <c r="DU781" s="926"/>
      <c r="DV781" s="926"/>
      <c r="DW781" s="926"/>
      <c r="DX781" s="928"/>
      <c r="DY781" s="308"/>
      <c r="DZ781" s="926"/>
      <c r="EA781" s="926"/>
      <c r="EB781" s="926"/>
      <c r="EC781" s="928"/>
      <c r="ED781" s="1060"/>
      <c r="EE781" s="1877">
        <f t="shared" ref="EE781:EW781" si="1890">EE1702</f>
      </c>
      <c r="EF781" s="926"/>
      <c r="EG781" s="926"/>
      <c r="EH781" s="1542">
        <f t="shared" si="1890"/>
      </c>
      <c r="EI781" s="1835">
        <f t="shared" si="1890"/>
      </c>
      <c r="EJ781" s="1835">
        <f t="shared" si="1890"/>
      </c>
      <c r="EK781" s="1835">
        <f t="shared" si="1890"/>
      </c>
      <c r="EL781" s="1835">
        <f t="shared" si="1890"/>
      </c>
      <c r="EM781" s="1835">
        <f t="shared" si="1890"/>
      </c>
      <c r="EN781" s="1835">
        <f t="shared" si="1890"/>
      </c>
      <c r="EO781" s="1835">
        <f t="shared" si="1890"/>
      </c>
      <c r="EP781" s="1835">
        <f t="shared" si="1890"/>
      </c>
      <c r="EQ781" s="1835">
        <f t="shared" si="1890"/>
      </c>
      <c r="ER781" s="1835">
        <f t="shared" si="1890"/>
      </c>
      <c r="ES781" s="477">
        <f t="shared" si="1890"/>
      </c>
      <c r="ET781" s="477">
        <f t="shared" si="1890"/>
      </c>
      <c r="EU781" s="477">
        <f t="shared" si="1890"/>
      </c>
      <c r="EV781" s="477">
        <f t="shared" si="1890"/>
      </c>
      <c r="EW781" s="477">
        <f t="shared" si="1890"/>
      </c>
      <c r="EX781" s="308"/>
    </row>
    <row r="782" spans="2:154" ht="12.75" customHeight="1">
      <c r="B782" s="341"/>
      <c r="C782" s="1989"/>
      <c r="D782" s="28"/>
      <c r="E782" s="28"/>
      <c r="F782" s="28"/>
      <c r="G782" s="28"/>
      <c r="H782" s="28"/>
      <c r="I782" s="31"/>
      <c r="J782" s="28"/>
      <c r="K782" s="28"/>
      <c r="L782" s="28"/>
      <c r="M782" s="28"/>
      <c r="N782" s="31"/>
      <c r="O782" s="31"/>
      <c r="P782" s="31"/>
      <c r="Q782" s="31"/>
      <c r="R782" s="31"/>
      <c r="S782" s="31"/>
      <c r="T782" s="31"/>
      <c r="U782" s="31"/>
      <c r="V782" s="31"/>
      <c r="W782" s="31"/>
      <c r="X782" s="313"/>
      <c r="Y782" s="31"/>
      <c r="Z782" s="31"/>
      <c r="AA782" s="31"/>
      <c r="AB782" s="31"/>
      <c r="AC782" s="313"/>
      <c r="AD782" s="31"/>
      <c r="AE782" s="31"/>
      <c r="AF782" s="31"/>
      <c r="AG782" s="31"/>
      <c r="AH782" s="313"/>
      <c r="AI782" s="28"/>
      <c r="AJ782" s="28"/>
      <c r="AK782" s="28"/>
      <c r="AL782" s="31"/>
      <c r="AM782" s="313"/>
      <c r="AN782" s="28"/>
      <c r="AO782" s="28"/>
      <c r="AP782" s="28"/>
      <c r="AQ782" s="31"/>
      <c r="AR782" s="313"/>
      <c r="AS782" s="28"/>
      <c r="AT782" s="28"/>
      <c r="AU782" s="28"/>
      <c r="AV782" s="28"/>
      <c r="AW782" s="313"/>
      <c r="AX782" s="28"/>
      <c r="AY782" s="28"/>
      <c r="AZ782" s="28"/>
      <c r="BA782" s="28"/>
      <c r="BB782" s="313"/>
      <c r="BC782" s="28"/>
      <c r="BD782" s="28"/>
      <c r="BE782" s="28"/>
      <c r="BF782" s="28"/>
      <c r="BG782" s="308"/>
      <c r="BH782" s="28"/>
      <c r="BI782" s="28"/>
      <c r="BJ782" s="28"/>
      <c r="BK782" s="28"/>
      <c r="BL782" s="308"/>
      <c r="BM782" s="28"/>
      <c r="BN782" s="28"/>
      <c r="BO782" s="28"/>
      <c r="BP782" s="28"/>
      <c r="BQ782" s="308"/>
      <c r="BR782" s="28"/>
      <c r="BS782" s="28"/>
      <c r="BT782" s="28"/>
      <c r="BU782" s="28"/>
      <c r="BV782" s="308"/>
      <c r="BW782" s="28"/>
      <c r="BX782" s="28"/>
      <c r="BY782" s="28"/>
      <c r="BZ782" s="28"/>
      <c r="CA782" s="308"/>
      <c r="CB782" s="30"/>
      <c r="CC782" s="30"/>
      <c r="CD782" s="30"/>
      <c r="CE782" s="30"/>
      <c r="CF782" s="308"/>
      <c r="CG782" s="30"/>
      <c r="CH782" s="30"/>
      <c r="CI782" s="30"/>
      <c r="CJ782" s="30"/>
      <c r="CK782" s="308"/>
      <c r="CL782" s="958"/>
      <c r="CM782" s="926"/>
      <c r="CN782" s="926"/>
      <c r="CO782" s="30"/>
      <c r="CP782" s="308"/>
      <c r="CQ782" s="926"/>
      <c r="CR782" s="926"/>
      <c r="CS782" s="926"/>
      <c r="CT782" s="926"/>
      <c r="CU782" s="308"/>
      <c r="CV782" s="926"/>
      <c r="CW782" s="926"/>
      <c r="CX782" s="926"/>
      <c r="CY782" s="926"/>
      <c r="CZ782" s="308"/>
      <c r="DA782" s="926"/>
      <c r="DB782" s="30"/>
      <c r="DC782" s="30"/>
      <c r="DD782" s="928"/>
      <c r="DE782" s="308"/>
      <c r="DF782" s="926"/>
      <c r="DG782" s="30"/>
      <c r="DH782" s="30"/>
      <c r="DI782" s="928"/>
      <c r="DJ782" s="830"/>
      <c r="DK782" s="830"/>
      <c r="DL782" s="30"/>
      <c r="DM782" s="30"/>
      <c r="DN782" s="409"/>
      <c r="DO782" s="308"/>
      <c r="DP782" s="30"/>
      <c r="DQ782" s="30"/>
      <c r="DR782" s="30"/>
      <c r="DS782" s="409"/>
      <c r="DT782" s="308"/>
      <c r="DU782" s="926"/>
      <c r="DV782" s="926"/>
      <c r="DW782" s="926"/>
      <c r="DX782" s="928"/>
      <c r="DY782" s="308"/>
      <c r="DZ782" s="926"/>
      <c r="EA782" s="926"/>
      <c r="EB782" s="926"/>
      <c r="EC782" s="928"/>
      <c r="ED782" s="1060"/>
      <c r="EE782" s="958"/>
      <c r="EF782" s="926"/>
      <c r="EG782" s="926"/>
      <c r="EH782" s="928"/>
      <c r="EI782" s="308"/>
      <c r="EJ782" s="308"/>
      <c r="EK782" s="308"/>
      <c r="EL782" s="308"/>
      <c r="EM782" s="308"/>
      <c r="EN782" s="308"/>
      <c r="EO782" s="308"/>
      <c r="EP782" s="308"/>
      <c r="EQ782" s="308"/>
      <c r="ER782" s="308"/>
      <c r="ES782" s="308"/>
      <c r="ET782" s="308"/>
      <c r="EU782" s="308"/>
      <c r="EV782" s="308"/>
      <c r="EW782" s="308"/>
      <c r="EX782" s="308"/>
    </row>
    <row r="783" spans="2:154" ht="12.75" customHeight="1">
      <c r="B783" s="341"/>
      <c r="C783" s="1989"/>
      <c r="D783" s="28"/>
      <c r="E783" s="28"/>
      <c r="F783" s="28"/>
      <c r="G783" s="28"/>
      <c r="H783" s="28"/>
      <c r="I783" s="31"/>
      <c r="J783" s="28"/>
      <c r="K783" s="28"/>
      <c r="L783" s="28"/>
      <c r="M783" s="28"/>
      <c r="N783" s="31"/>
      <c r="O783" s="31"/>
      <c r="P783" s="31"/>
      <c r="Q783" s="31"/>
      <c r="R783" s="31"/>
      <c r="S783" s="31"/>
      <c r="T783" s="31"/>
      <c r="U783" s="31"/>
      <c r="V783" s="31"/>
      <c r="W783" s="31"/>
      <c r="X783" s="313"/>
      <c r="Y783" s="31"/>
      <c r="Z783" s="31"/>
      <c r="AA783" s="31"/>
      <c r="AB783" s="31"/>
      <c r="AC783" s="313"/>
      <c r="AD783" s="31"/>
      <c r="AE783" s="31"/>
      <c r="AF783" s="31"/>
      <c r="AG783" s="31"/>
      <c r="AH783" s="313"/>
      <c r="AI783" s="28"/>
      <c r="AJ783" s="28"/>
      <c r="AK783" s="28"/>
      <c r="AL783" s="31"/>
      <c r="AM783" s="313"/>
      <c r="AN783" s="28"/>
      <c r="AO783" s="28"/>
      <c r="AP783" s="28"/>
      <c r="AQ783" s="31"/>
      <c r="AR783" s="313"/>
      <c r="AS783" s="28"/>
      <c r="AT783" s="28"/>
      <c r="AU783" s="28"/>
      <c r="AV783" s="28"/>
      <c r="AW783" s="313"/>
      <c r="AX783" s="28"/>
      <c r="AY783" s="28"/>
      <c r="AZ783" s="28"/>
      <c r="BA783" s="28"/>
      <c r="BB783" s="313"/>
      <c r="BC783" s="28"/>
      <c r="BD783" s="28"/>
      <c r="BE783" s="28"/>
      <c r="BF783" s="28"/>
      <c r="BG783" s="308"/>
      <c r="BH783" s="28"/>
      <c r="BI783" s="28"/>
      <c r="BJ783" s="28"/>
      <c r="BK783" s="28"/>
      <c r="BL783" s="308"/>
      <c r="BM783" s="28"/>
      <c r="BN783" s="28"/>
      <c r="BO783" s="28"/>
      <c r="BP783" s="28"/>
      <c r="BQ783" s="308"/>
      <c r="BR783" s="28"/>
      <c r="BS783" s="28"/>
      <c r="BT783" s="28"/>
      <c r="BU783" s="28"/>
      <c r="BV783" s="308"/>
      <c r="BW783" s="28"/>
      <c r="BX783" s="28"/>
      <c r="BY783" s="28"/>
      <c r="BZ783" s="28"/>
      <c r="CA783" s="308"/>
      <c r="CB783" s="30"/>
      <c r="CC783" s="30"/>
      <c r="CD783" s="30"/>
      <c r="CE783" s="30"/>
      <c r="CF783" s="308"/>
      <c r="CG783" s="30"/>
      <c r="CH783" s="30"/>
      <c r="CI783" s="30"/>
      <c r="CJ783" s="30"/>
      <c r="CK783" s="308"/>
      <c r="CL783" s="958"/>
      <c r="CM783" s="926"/>
      <c r="CN783" s="926"/>
      <c r="CO783" s="30"/>
      <c r="CP783" s="308"/>
      <c r="CQ783" s="926"/>
      <c r="CR783" s="926"/>
      <c r="CS783" s="926"/>
      <c r="CT783" s="926"/>
      <c r="CU783" s="308"/>
      <c r="CV783" s="926"/>
      <c r="CW783" s="926"/>
      <c r="CX783" s="926"/>
      <c r="CY783" s="926"/>
      <c r="CZ783" s="308"/>
      <c r="DA783" s="926"/>
      <c r="DB783" s="30"/>
      <c r="DC783" s="30"/>
      <c r="DD783" s="928"/>
      <c r="DE783" s="308"/>
      <c r="DF783" s="926"/>
      <c r="DG783" s="30"/>
      <c r="DH783" s="30"/>
      <c r="DI783" s="928"/>
      <c r="DJ783" s="830"/>
      <c r="DK783" s="830"/>
      <c r="DL783" s="30"/>
      <c r="DM783" s="30"/>
      <c r="DN783" s="409"/>
      <c r="DO783" s="308"/>
      <c r="DP783" s="30"/>
      <c r="DQ783" s="30"/>
      <c r="DR783" s="30"/>
      <c r="DS783" s="409"/>
      <c r="DT783" s="308"/>
      <c r="DU783" s="926"/>
      <c r="DV783" s="926"/>
      <c r="DW783" s="926"/>
      <c r="DX783" s="928"/>
      <c r="DY783" s="308"/>
      <c r="DZ783" s="926"/>
      <c r="EA783" s="926"/>
      <c r="EB783" s="926"/>
      <c r="EC783" s="928"/>
      <c r="ED783" s="1060"/>
      <c r="EE783" s="958"/>
      <c r="EF783" s="926"/>
      <c r="EG783" s="926"/>
      <c r="EH783" s="928"/>
      <c r="EI783" s="308"/>
      <c r="EJ783" s="308"/>
      <c r="EK783" s="308"/>
      <c r="EL783" s="308"/>
      <c r="EM783" s="308"/>
      <c r="EN783" s="308"/>
      <c r="EO783" s="308"/>
      <c r="EP783" s="308"/>
      <c r="EQ783" s="308"/>
      <c r="ER783" s="308"/>
      <c r="ES783" s="308"/>
      <c r="ET783" s="308"/>
      <c r="EU783" s="308"/>
      <c r="EV783" s="308"/>
      <c r="EW783" s="308"/>
      <c r="EX783" s="308"/>
    </row>
    <row r="784" spans="2:154" ht="12.75" customHeight="1">
      <c r="B784" s="341"/>
      <c r="C784" s="1989"/>
      <c r="D784" s="28"/>
      <c r="E784" s="28"/>
      <c r="F784" s="28"/>
      <c r="G784" s="28"/>
      <c r="H784" s="28"/>
      <c r="I784" s="31"/>
      <c r="J784" s="28"/>
      <c r="K784" s="28"/>
      <c r="L784" s="28"/>
      <c r="M784" s="28"/>
      <c r="N784" s="31"/>
      <c r="O784" s="31"/>
      <c r="P784" s="31"/>
      <c r="Q784" s="31"/>
      <c r="R784" s="31"/>
      <c r="S784" s="31"/>
      <c r="T784" s="31"/>
      <c r="U784" s="31"/>
      <c r="V784" s="31"/>
      <c r="W784" s="31"/>
      <c r="X784" s="313"/>
      <c r="Y784" s="31"/>
      <c r="Z784" s="31"/>
      <c r="AA784" s="31"/>
      <c r="AB784" s="31"/>
      <c r="AC784" s="313"/>
      <c r="AD784" s="31"/>
      <c r="AE784" s="31"/>
      <c r="AF784" s="31"/>
      <c r="AG784" s="31"/>
      <c r="AH784" s="313"/>
      <c r="AI784" s="28"/>
      <c r="AJ784" s="28"/>
      <c r="AK784" s="28"/>
      <c r="AL784" s="31"/>
      <c r="AM784" s="313"/>
      <c r="AN784" s="28"/>
      <c r="AO784" s="28"/>
      <c r="AP784" s="28"/>
      <c r="AQ784" s="31"/>
      <c r="AR784" s="313"/>
      <c r="AS784" s="28"/>
      <c r="AT784" s="28"/>
      <c r="AU784" s="28"/>
      <c r="AV784" s="28"/>
      <c r="AW784" s="313"/>
      <c r="AX784" s="28"/>
      <c r="AY784" s="28"/>
      <c r="AZ784" s="28"/>
      <c r="BA784" s="28"/>
      <c r="BB784" s="313"/>
      <c r="BC784" s="28"/>
      <c r="BD784" s="28"/>
      <c r="BE784" s="28"/>
      <c r="BF784" s="28"/>
      <c r="BG784" s="308"/>
      <c r="BH784" s="28"/>
      <c r="BI784" s="28"/>
      <c r="BJ784" s="28"/>
      <c r="BK784" s="28"/>
      <c r="BL784" s="308"/>
      <c r="BM784" s="28"/>
      <c r="BN784" s="28"/>
      <c r="BO784" s="28"/>
      <c r="BP784" s="28"/>
      <c r="BQ784" s="308"/>
      <c r="BR784" s="28"/>
      <c r="BS784" s="28"/>
      <c r="BT784" s="28"/>
      <c r="BU784" s="28"/>
      <c r="BV784" s="308"/>
      <c r="BW784" s="28"/>
      <c r="BX784" s="28"/>
      <c r="BY784" s="28"/>
      <c r="BZ784" s="28"/>
      <c r="CA784" s="308"/>
      <c r="CB784" s="30"/>
      <c r="CC784" s="30"/>
      <c r="CD784" s="30"/>
      <c r="CE784" s="30"/>
      <c r="CF784" s="308"/>
      <c r="CG784" s="30"/>
      <c r="CH784" s="30"/>
      <c r="CI784" s="30"/>
      <c r="CJ784" s="30"/>
      <c r="CK784" s="308"/>
      <c r="CL784" s="958"/>
      <c r="CM784" s="926"/>
      <c r="CN784" s="926"/>
      <c r="CO784" s="30"/>
      <c r="CP784" s="308"/>
      <c r="CQ784" s="926"/>
      <c r="CR784" s="926"/>
      <c r="CS784" s="926"/>
      <c r="CT784" s="926"/>
      <c r="CU784" s="308"/>
      <c r="CV784" s="926"/>
      <c r="CW784" s="926"/>
      <c r="CX784" s="926"/>
      <c r="CY784" s="926"/>
      <c r="CZ784" s="308"/>
      <c r="DA784" s="926"/>
      <c r="DB784" s="30"/>
      <c r="DC784" s="30"/>
      <c r="DD784" s="928"/>
      <c r="DE784" s="308"/>
      <c r="DF784" s="926"/>
      <c r="DG784" s="30"/>
      <c r="DH784" s="30"/>
      <c r="DI784" s="928"/>
      <c r="DJ784" s="830"/>
      <c r="DK784" s="830"/>
      <c r="DL784" s="30"/>
      <c r="DM784" s="30"/>
      <c r="DN784" s="409"/>
      <c r="DO784" s="308"/>
      <c r="DP784" s="30"/>
      <c r="DQ784" s="30"/>
      <c r="DR784" s="30"/>
      <c r="DS784" s="409"/>
      <c r="DT784" s="308"/>
      <c r="DU784" s="926"/>
      <c r="DV784" s="926"/>
      <c r="DW784" s="926"/>
      <c r="DX784" s="928"/>
      <c r="DY784" s="308"/>
      <c r="DZ784" s="926"/>
      <c r="EA784" s="926"/>
      <c r="EB784" s="926"/>
      <c r="EC784" s="928"/>
      <c r="ED784" s="1060"/>
      <c r="EE784" s="958"/>
      <c r="EF784" s="926"/>
      <c r="EG784" s="926"/>
      <c r="EH784" s="928"/>
      <c r="EI784" s="308"/>
      <c r="EJ784" s="308"/>
      <c r="EK784" s="308"/>
      <c r="EL784" s="308"/>
      <c r="EM784" s="308"/>
      <c r="EN784" s="308"/>
      <c r="EO784" s="308"/>
      <c r="EP784" s="308"/>
      <c r="EQ784" s="308"/>
      <c r="ER784" s="308"/>
      <c r="ES784" s="308"/>
      <c r="ET784" s="308"/>
      <c r="EU784" s="308"/>
      <c r="EV784" s="308"/>
      <c r="EW784" s="308"/>
      <c r="EX784" s="308"/>
    </row>
    <row r="785" spans="2:154" ht="12.75" customHeight="1">
      <c r="B785" s="341"/>
      <c r="C785" s="1989"/>
      <c r="D785" s="28"/>
      <c r="E785" s="28"/>
      <c r="F785" s="28"/>
      <c r="G785" s="28"/>
      <c r="H785" s="28"/>
      <c r="I785" s="31"/>
      <c r="J785" s="28"/>
      <c r="K785" s="28"/>
      <c r="L785" s="28"/>
      <c r="M785" s="28"/>
      <c r="N785" s="31"/>
      <c r="O785" s="31"/>
      <c r="P785" s="31"/>
      <c r="Q785" s="31"/>
      <c r="R785" s="31"/>
      <c r="S785" s="31"/>
      <c r="T785" s="31"/>
      <c r="U785" s="31"/>
      <c r="V785" s="31"/>
      <c r="W785" s="31"/>
      <c r="X785" s="313"/>
      <c r="Y785" s="31"/>
      <c r="Z785" s="31"/>
      <c r="AA785" s="31"/>
      <c r="AB785" s="31"/>
      <c r="AC785" s="313"/>
      <c r="AD785" s="31"/>
      <c r="AE785" s="31"/>
      <c r="AF785" s="31"/>
      <c r="AG785" s="31"/>
      <c r="AH785" s="313"/>
      <c r="AI785" s="28"/>
      <c r="AJ785" s="28"/>
      <c r="AK785" s="28"/>
      <c r="AL785" s="31"/>
      <c r="AM785" s="313"/>
      <c r="AN785" s="28"/>
      <c r="AO785" s="28"/>
      <c r="AP785" s="28"/>
      <c r="AQ785" s="31"/>
      <c r="AR785" s="313"/>
      <c r="AS785" s="28"/>
      <c r="AT785" s="28"/>
      <c r="AU785" s="28"/>
      <c r="AV785" s="28"/>
      <c r="AW785" s="313"/>
      <c r="AX785" s="28"/>
      <c r="AY785" s="28"/>
      <c r="AZ785" s="28"/>
      <c r="BA785" s="28"/>
      <c r="BB785" s="313"/>
      <c r="BC785" s="28"/>
      <c r="BD785" s="28"/>
      <c r="BE785" s="28"/>
      <c r="BF785" s="28"/>
      <c r="BG785" s="308"/>
      <c r="BH785" s="28"/>
      <c r="BI785" s="28"/>
      <c r="BJ785" s="28"/>
      <c r="BK785" s="28"/>
      <c r="BL785" s="308"/>
      <c r="BM785" s="28"/>
      <c r="BN785" s="28"/>
      <c r="BO785" s="28"/>
      <c r="BP785" s="28"/>
      <c r="BQ785" s="308"/>
      <c r="BR785" s="28"/>
      <c r="BS785" s="28"/>
      <c r="BT785" s="28"/>
      <c r="BU785" s="28"/>
      <c r="BV785" s="308"/>
      <c r="BW785" s="28"/>
      <c r="BX785" s="28"/>
      <c r="BY785" s="28"/>
      <c r="BZ785" s="28"/>
      <c r="CA785" s="308"/>
      <c r="CB785" s="30"/>
      <c r="CC785" s="30"/>
      <c r="CD785" s="30"/>
      <c r="CE785" s="30"/>
      <c r="CF785" s="308"/>
      <c r="CG785" s="30"/>
      <c r="CH785" s="30"/>
      <c r="CI785" s="30"/>
      <c r="CJ785" s="30"/>
      <c r="CK785" s="308"/>
      <c r="CL785" s="958"/>
      <c r="CM785" s="926"/>
      <c r="CN785" s="926"/>
      <c r="CO785" s="30"/>
      <c r="CP785" s="308"/>
      <c r="CQ785" s="926"/>
      <c r="CR785" s="926"/>
      <c r="CS785" s="926"/>
      <c r="CT785" s="926"/>
      <c r="CU785" s="308"/>
      <c r="CV785" s="926"/>
      <c r="CW785" s="926"/>
      <c r="CX785" s="926"/>
      <c r="CY785" s="926"/>
      <c r="CZ785" s="308"/>
      <c r="DA785" s="926"/>
      <c r="DB785" s="30"/>
      <c r="DC785" s="30"/>
      <c r="DD785" s="928"/>
      <c r="DE785" s="308"/>
      <c r="DF785" s="926"/>
      <c r="DG785" s="30"/>
      <c r="DH785" s="30"/>
      <c r="DI785" s="928"/>
      <c r="DJ785" s="830"/>
      <c r="DK785" s="830"/>
      <c r="DL785" s="30"/>
      <c r="DM785" s="30"/>
      <c r="DN785" s="409"/>
      <c r="DO785" s="308"/>
      <c r="DP785" s="30"/>
      <c r="DQ785" s="30"/>
      <c r="DR785" s="30"/>
      <c r="DS785" s="409"/>
      <c r="DT785" s="308"/>
      <c r="DU785" s="926"/>
      <c r="DV785" s="926"/>
      <c r="DW785" s="926"/>
      <c r="DX785" s="928"/>
      <c r="DY785" s="308"/>
      <c r="DZ785" s="926"/>
      <c r="EA785" s="926"/>
      <c r="EB785" s="926"/>
      <c r="EC785" s="928"/>
      <c r="ED785" s="1060"/>
      <c r="EE785" s="958"/>
      <c r="EF785" s="926"/>
      <c r="EG785" s="926"/>
      <c r="EH785" s="928"/>
      <c r="EI785" s="308"/>
      <c r="EJ785" s="308"/>
      <c r="EK785" s="308"/>
      <c r="EL785" s="308"/>
      <c r="EM785" s="308"/>
      <c r="EN785" s="308"/>
      <c r="EO785" s="308"/>
      <c r="EP785" s="308"/>
      <c r="EQ785" s="308"/>
      <c r="ER785" s="308"/>
      <c r="ES785" s="308"/>
      <c r="ET785" s="308"/>
      <c r="EU785" s="308"/>
      <c r="EV785" s="308"/>
      <c r="EW785" s="308"/>
      <c r="EX785" s="308"/>
    </row>
    <row r="786" spans="2:154" ht="12.75" customHeight="1">
      <c r="B786" s="341"/>
      <c r="C786" s="1989"/>
      <c r="D786" s="28"/>
      <c r="E786" s="28"/>
      <c r="F786" s="28"/>
      <c r="G786" s="28"/>
      <c r="H786" s="28"/>
      <c r="I786" s="31"/>
      <c r="J786" s="28"/>
      <c r="K786" s="28"/>
      <c r="L786" s="28"/>
      <c r="M786" s="28"/>
      <c r="N786" s="31"/>
      <c r="O786" s="31"/>
      <c r="P786" s="31"/>
      <c r="Q786" s="31"/>
      <c r="R786" s="31"/>
      <c r="S786" s="31"/>
      <c r="T786" s="31"/>
      <c r="U786" s="31"/>
      <c r="V786" s="31"/>
      <c r="W786" s="31"/>
      <c r="X786" s="313"/>
      <c r="Y786" s="31"/>
      <c r="Z786" s="31"/>
      <c r="AA786" s="31"/>
      <c r="AB786" s="31"/>
      <c r="AC786" s="313"/>
      <c r="AD786" s="31"/>
      <c r="AE786" s="31"/>
      <c r="AF786" s="31"/>
      <c r="AG786" s="31"/>
      <c r="AH786" s="313"/>
      <c r="AI786" s="28"/>
      <c r="AJ786" s="28"/>
      <c r="AK786" s="28"/>
      <c r="AL786" s="31"/>
      <c r="AM786" s="313"/>
      <c r="AN786" s="28"/>
      <c r="AO786" s="28"/>
      <c r="AP786" s="28"/>
      <c r="AQ786" s="31"/>
      <c r="AR786" s="313"/>
      <c r="AS786" s="28"/>
      <c r="AT786" s="28"/>
      <c r="AU786" s="28"/>
      <c r="AV786" s="28"/>
      <c r="AW786" s="313"/>
      <c r="AX786" s="28"/>
      <c r="AY786" s="28"/>
      <c r="AZ786" s="28"/>
      <c r="BA786" s="28"/>
      <c r="BB786" s="313"/>
      <c r="BC786" s="28"/>
      <c r="BD786" s="28"/>
      <c r="BE786" s="28"/>
      <c r="BF786" s="28"/>
      <c r="BG786" s="308"/>
      <c r="BH786" s="28"/>
      <c r="BI786" s="28"/>
      <c r="BJ786" s="28"/>
      <c r="BK786" s="28"/>
      <c r="BL786" s="308"/>
      <c r="BM786" s="28"/>
      <c r="BN786" s="28"/>
      <c r="BO786" s="28"/>
      <c r="BP786" s="28"/>
      <c r="BQ786" s="308"/>
      <c r="BR786" s="28"/>
      <c r="BS786" s="28"/>
      <c r="BT786" s="28"/>
      <c r="BU786" s="28"/>
      <c r="BV786" s="308"/>
      <c r="BW786" s="28"/>
      <c r="BX786" s="28"/>
      <c r="BY786" s="28"/>
      <c r="BZ786" s="28"/>
      <c r="CA786" s="308"/>
      <c r="CB786" s="30"/>
      <c r="CC786" s="30"/>
      <c r="CD786" s="30"/>
      <c r="CE786" s="30"/>
      <c r="CF786" s="308"/>
      <c r="CG786" s="30"/>
      <c r="CH786" s="30"/>
      <c r="CI786" s="30"/>
      <c r="CJ786" s="30"/>
      <c r="CK786" s="308"/>
      <c r="CL786" s="958"/>
      <c r="CM786" s="926"/>
      <c r="CN786" s="926"/>
      <c r="CO786" s="30"/>
      <c r="CP786" s="308"/>
      <c r="CQ786" s="926"/>
      <c r="CR786" s="926"/>
      <c r="CS786" s="926"/>
      <c r="CT786" s="926"/>
      <c r="CU786" s="308"/>
      <c r="CV786" s="926"/>
      <c r="CW786" s="926"/>
      <c r="CX786" s="926"/>
      <c r="CY786" s="926"/>
      <c r="CZ786" s="308"/>
      <c r="DA786" s="926"/>
      <c r="DB786" s="30"/>
      <c r="DC786" s="30"/>
      <c r="DD786" s="928"/>
      <c r="DE786" s="308"/>
      <c r="DF786" s="926"/>
      <c r="DG786" s="30"/>
      <c r="DH786" s="30"/>
      <c r="DI786" s="928"/>
      <c r="DJ786" s="830"/>
      <c r="DK786" s="830"/>
      <c r="DL786" s="30"/>
      <c r="DM786" s="30"/>
      <c r="DN786" s="409"/>
      <c r="DO786" s="308"/>
      <c r="DP786" s="30"/>
      <c r="DQ786" s="30"/>
      <c r="DR786" s="30"/>
      <c r="DS786" s="409"/>
      <c r="DT786" s="308"/>
      <c r="DU786" s="926"/>
      <c r="DV786" s="926"/>
      <c r="DW786" s="926"/>
      <c r="DX786" s="928"/>
      <c r="DY786" s="308"/>
      <c r="DZ786" s="926"/>
      <c r="EA786" s="926"/>
      <c r="EB786" s="926"/>
      <c r="EC786" s="928"/>
      <c r="ED786" s="1060"/>
      <c r="EE786" s="958"/>
      <c r="EF786" s="926"/>
      <c r="EG786" s="926"/>
      <c r="EH786" s="928"/>
      <c r="EI786" s="308"/>
      <c r="EJ786" s="308"/>
      <c r="EK786" s="308"/>
      <c r="EL786" s="308"/>
      <c r="EM786" s="308"/>
      <c r="EN786" s="308"/>
      <c r="EO786" s="308"/>
      <c r="EP786" s="308"/>
      <c r="EQ786" s="308"/>
      <c r="ER786" s="308"/>
      <c r="ES786" s="308"/>
      <c r="ET786" s="308"/>
      <c r="EU786" s="308"/>
      <c r="EV786" s="308"/>
      <c r="EW786" s="308"/>
      <c r="EX786" s="308"/>
    </row>
    <row r="787" spans="2:154" ht="12.75" customHeight="1">
      <c r="B787" s="341"/>
      <c r="C787" s="1989"/>
      <c r="D787" s="28"/>
      <c r="E787" s="28"/>
      <c r="F787" s="28"/>
      <c r="G787" s="28"/>
      <c r="H787" s="28"/>
      <c r="I787" s="31"/>
      <c r="J787" s="28"/>
      <c r="K787" s="28"/>
      <c r="L787" s="28"/>
      <c r="M787" s="28"/>
      <c r="N787" s="31"/>
      <c r="O787" s="31"/>
      <c r="P787" s="31"/>
      <c r="Q787" s="31"/>
      <c r="R787" s="31"/>
      <c r="S787" s="31"/>
      <c r="T787" s="31"/>
      <c r="U787" s="31"/>
      <c r="V787" s="31"/>
      <c r="W787" s="31"/>
      <c r="X787" s="313"/>
      <c r="Y787" s="31"/>
      <c r="Z787" s="31"/>
      <c r="AA787" s="31"/>
      <c r="AB787" s="31"/>
      <c r="AC787" s="313"/>
      <c r="AD787" s="31"/>
      <c r="AE787" s="31"/>
      <c r="AF787" s="31"/>
      <c r="AG787" s="31"/>
      <c r="AH787" s="313"/>
      <c r="AI787" s="28"/>
      <c r="AJ787" s="28"/>
      <c r="AK787" s="28"/>
      <c r="AL787" s="31"/>
      <c r="AM787" s="313"/>
      <c r="AN787" s="28"/>
      <c r="AO787" s="28"/>
      <c r="AP787" s="28"/>
      <c r="AQ787" s="31"/>
      <c r="AR787" s="313"/>
      <c r="AS787" s="28"/>
      <c r="AT787" s="28"/>
      <c r="AU787" s="28"/>
      <c r="AV787" s="28"/>
      <c r="AW787" s="313"/>
      <c r="AX787" s="28"/>
      <c r="AY787" s="28"/>
      <c r="AZ787" s="28"/>
      <c r="BA787" s="28"/>
      <c r="BB787" s="313"/>
      <c r="BC787" s="28"/>
      <c r="BD787" s="28"/>
      <c r="BE787" s="28"/>
      <c r="BF787" s="28"/>
      <c r="BG787" s="308"/>
      <c r="BH787" s="28"/>
      <c r="BI787" s="28"/>
      <c r="BJ787" s="28"/>
      <c r="BK787" s="28"/>
      <c r="BL787" s="308"/>
      <c r="BM787" s="28"/>
      <c r="BN787" s="28"/>
      <c r="BO787" s="28"/>
      <c r="BP787" s="28"/>
      <c r="BQ787" s="308"/>
      <c r="BR787" s="28"/>
      <c r="BS787" s="28"/>
      <c r="BT787" s="28"/>
      <c r="BU787" s="28"/>
      <c r="BV787" s="308"/>
      <c r="BW787" s="28"/>
      <c r="BX787" s="28"/>
      <c r="BY787" s="28"/>
      <c r="BZ787" s="28"/>
      <c r="CA787" s="308"/>
      <c r="CB787" s="30"/>
      <c r="CC787" s="30"/>
      <c r="CD787" s="30"/>
      <c r="CE787" s="30"/>
      <c r="CF787" s="308"/>
      <c r="CG787" s="30"/>
      <c r="CH787" s="30"/>
      <c r="CI787" s="30"/>
      <c r="CJ787" s="30"/>
      <c r="CK787" s="308"/>
      <c r="CL787" s="958"/>
      <c r="CM787" s="926"/>
      <c r="CN787" s="926"/>
      <c r="CO787" s="30"/>
      <c r="CP787" s="308"/>
      <c r="CQ787" s="926"/>
      <c r="CR787" s="926"/>
      <c r="CS787" s="926"/>
      <c r="CT787" s="926"/>
      <c r="CU787" s="308"/>
      <c r="CV787" s="926"/>
      <c r="CW787" s="926"/>
      <c r="CX787" s="926"/>
      <c r="CY787" s="926"/>
      <c r="CZ787" s="308"/>
      <c r="DA787" s="926"/>
      <c r="DB787" s="30"/>
      <c r="DC787" s="30"/>
      <c r="DD787" s="928"/>
      <c r="DE787" s="308"/>
      <c r="DF787" s="926"/>
      <c r="DG787" s="30"/>
      <c r="DH787" s="30"/>
      <c r="DI787" s="928"/>
      <c r="DJ787" s="830"/>
      <c r="DK787" s="830"/>
      <c r="DL787" s="30"/>
      <c r="DM787" s="30"/>
      <c r="DN787" s="409"/>
      <c r="DO787" s="308"/>
      <c r="DP787" s="30"/>
      <c r="DQ787" s="30"/>
      <c r="DR787" s="30"/>
      <c r="DS787" s="409"/>
      <c r="DT787" s="308"/>
      <c r="DU787" s="926"/>
      <c r="DV787" s="926"/>
      <c r="DW787" s="926"/>
      <c r="DX787" s="928"/>
      <c r="DY787" s="308"/>
      <c r="DZ787" s="926"/>
      <c r="EA787" s="926"/>
      <c r="EB787" s="926"/>
      <c r="EC787" s="928"/>
      <c r="ED787" s="1060"/>
      <c r="EE787" s="958"/>
      <c r="EF787" s="926"/>
      <c r="EG787" s="926"/>
      <c r="EH787" s="928"/>
      <c r="EI787" s="308"/>
      <c r="EJ787" s="308"/>
      <c r="EK787" s="308"/>
      <c r="EL787" s="308"/>
      <c r="EM787" s="308"/>
      <c r="EN787" s="308"/>
      <c r="EO787" s="308"/>
      <c r="EP787" s="308"/>
      <c r="EQ787" s="308"/>
      <c r="ER787" s="308"/>
      <c r="ES787" s="308"/>
      <c r="ET787" s="308"/>
      <c r="EU787" s="308"/>
      <c r="EV787" s="308"/>
      <c r="EW787" s="308"/>
      <c r="EX787" s="308"/>
    </row>
    <row r="788" spans="2:154" ht="12.75" customHeight="1">
      <c r="B788" s="341"/>
      <c r="C788" s="1989"/>
      <c r="D788" s="28"/>
      <c r="E788" s="28"/>
      <c r="F788" s="28"/>
      <c r="G788" s="28"/>
      <c r="H788" s="28"/>
      <c r="I788" s="31"/>
      <c r="J788" s="28"/>
      <c r="K788" s="28"/>
      <c r="L788" s="28"/>
      <c r="M788" s="28"/>
      <c r="N788" s="31"/>
      <c r="O788" s="31"/>
      <c r="P788" s="31"/>
      <c r="Q788" s="31"/>
      <c r="R788" s="31"/>
      <c r="S788" s="31"/>
      <c r="T788" s="31"/>
      <c r="U788" s="31"/>
      <c r="V788" s="31"/>
      <c r="W788" s="31"/>
      <c r="X788" s="313"/>
      <c r="Y788" s="31"/>
      <c r="Z788" s="31"/>
      <c r="AA788" s="31"/>
      <c r="AB788" s="31"/>
      <c r="AC788" s="313"/>
      <c r="AD788" s="31"/>
      <c r="AE788" s="31"/>
      <c r="AF788" s="31"/>
      <c r="AG788" s="31"/>
      <c r="AH788" s="313"/>
      <c r="AI788" s="28"/>
      <c r="AJ788" s="28"/>
      <c r="AK788" s="28"/>
      <c r="AL788" s="31"/>
      <c r="AM788" s="313"/>
      <c r="AN788" s="28"/>
      <c r="AO788" s="28"/>
      <c r="AP788" s="28"/>
      <c r="AQ788" s="31"/>
      <c r="AR788" s="313"/>
      <c r="AS788" s="28"/>
      <c r="AT788" s="28"/>
      <c r="AU788" s="28"/>
      <c r="AV788" s="28"/>
      <c r="AW788" s="313"/>
      <c r="AX788" s="28"/>
      <c r="AY788" s="28"/>
      <c r="AZ788" s="28"/>
      <c r="BA788" s="28"/>
      <c r="BB788" s="313"/>
      <c r="BC788" s="28"/>
      <c r="BD788" s="28"/>
      <c r="BE788" s="28"/>
      <c r="BF788" s="28"/>
      <c r="BG788" s="308"/>
      <c r="BH788" s="28"/>
      <c r="BI788" s="28"/>
      <c r="BJ788" s="28"/>
      <c r="BK788" s="28"/>
      <c r="BL788" s="308"/>
      <c r="BM788" s="28"/>
      <c r="BN788" s="28"/>
      <c r="BO788" s="28"/>
      <c r="BP788" s="28"/>
      <c r="BQ788" s="308"/>
      <c r="BR788" s="28"/>
      <c r="BS788" s="28"/>
      <c r="BT788" s="28"/>
      <c r="BU788" s="28"/>
      <c r="BV788" s="308"/>
      <c r="BW788" s="28"/>
      <c r="BX788" s="28"/>
      <c r="BY788" s="28"/>
      <c r="BZ788" s="28"/>
      <c r="CA788" s="308"/>
      <c r="CB788" s="30"/>
      <c r="CC788" s="30"/>
      <c r="CD788" s="30"/>
      <c r="CE788" s="30"/>
      <c r="CF788" s="308"/>
      <c r="CG788" s="30"/>
      <c r="CH788" s="30"/>
      <c r="CI788" s="30"/>
      <c r="CJ788" s="30"/>
      <c r="CK788" s="308"/>
      <c r="CL788" s="958"/>
      <c r="CM788" s="926"/>
      <c r="CN788" s="926"/>
      <c r="CO788" s="30"/>
      <c r="CP788" s="308"/>
      <c r="CQ788" s="926"/>
      <c r="CR788" s="926"/>
      <c r="CS788" s="926"/>
      <c r="CT788" s="926"/>
      <c r="CU788" s="308"/>
      <c r="CV788" s="926"/>
      <c r="CW788" s="926"/>
      <c r="CX788" s="926"/>
      <c r="CY788" s="926"/>
      <c r="CZ788" s="308"/>
      <c r="DA788" s="926"/>
      <c r="DB788" s="30"/>
      <c r="DC788" s="30"/>
      <c r="DD788" s="928"/>
      <c r="DE788" s="308"/>
      <c r="DF788" s="926"/>
      <c r="DG788" s="30"/>
      <c r="DH788" s="30"/>
      <c r="DI788" s="928"/>
      <c r="DJ788" s="830"/>
      <c r="DK788" s="830"/>
      <c r="DL788" s="30"/>
      <c r="DM788" s="30"/>
      <c r="DN788" s="409"/>
      <c r="DO788" s="308"/>
      <c r="DP788" s="30"/>
      <c r="DQ788" s="30"/>
      <c r="DR788" s="30"/>
      <c r="DS788" s="409"/>
      <c r="DT788" s="308"/>
      <c r="DU788" s="926"/>
      <c r="DV788" s="926"/>
      <c r="DW788" s="926"/>
      <c r="DX788" s="928"/>
      <c r="DY788" s="308"/>
      <c r="DZ788" s="926"/>
      <c r="EA788" s="926"/>
      <c r="EB788" s="926"/>
      <c r="EC788" s="928"/>
      <c r="ED788" s="1060"/>
      <c r="EE788" s="958"/>
      <c r="EF788" s="926"/>
      <c r="EG788" s="926"/>
      <c r="EH788" s="928"/>
      <c r="EI788" s="308"/>
      <c r="EJ788" s="308"/>
      <c r="EK788" s="308"/>
      <c r="EL788" s="308"/>
      <c r="EM788" s="308"/>
      <c r="EN788" s="308"/>
      <c r="EO788" s="308"/>
      <c r="EP788" s="308"/>
      <c r="EQ788" s="308"/>
      <c r="ER788" s="308"/>
      <c r="ES788" s="308"/>
      <c r="ET788" s="308"/>
      <c r="EU788" s="308"/>
      <c r="EV788" s="308"/>
      <c r="EW788" s="308"/>
      <c r="EX788" s="308"/>
    </row>
    <row r="789" spans="2:154">
      <c r="B789" s="341"/>
      <c r="C789" s="1989"/>
      <c r="D789" s="28"/>
      <c r="E789" s="28"/>
      <c r="F789" s="28"/>
      <c r="G789" s="28"/>
      <c r="H789" s="28"/>
      <c r="I789" s="31"/>
      <c r="J789" s="28"/>
      <c r="K789" s="28"/>
      <c r="L789" s="28"/>
      <c r="M789" s="28"/>
      <c r="N789" s="31"/>
      <c r="O789" s="31"/>
      <c r="P789" s="31"/>
      <c r="Q789" s="31"/>
      <c r="R789" s="31"/>
      <c r="S789" s="31"/>
      <c r="T789" s="31"/>
      <c r="U789" s="31"/>
      <c r="V789" s="31"/>
      <c r="W789" s="31"/>
      <c r="X789" s="313"/>
      <c r="Y789" s="31"/>
      <c r="Z789" s="31"/>
      <c r="AA789" s="31"/>
      <c r="AB789" s="31"/>
      <c r="AC789" s="313"/>
      <c r="AD789" s="31"/>
      <c r="AE789" s="31"/>
      <c r="AF789" s="31"/>
      <c r="AG789" s="31"/>
      <c r="AH789" s="313"/>
      <c r="AI789" s="28"/>
      <c r="AJ789" s="28"/>
      <c r="AK789" s="28"/>
      <c r="AL789" s="31"/>
      <c r="AM789" s="313"/>
      <c r="AN789" s="28"/>
      <c r="AO789" s="28"/>
      <c r="AP789" s="28"/>
      <c r="AQ789" s="31"/>
      <c r="AR789" s="313"/>
      <c r="AS789" s="28"/>
      <c r="AT789" s="28"/>
      <c r="AU789" s="28"/>
      <c r="AV789" s="28"/>
      <c r="AW789" s="313"/>
      <c r="AX789" s="28"/>
      <c r="AY789" s="28"/>
      <c r="AZ789" s="28"/>
      <c r="BA789" s="28"/>
      <c r="BB789" s="313"/>
      <c r="BC789" s="28"/>
      <c r="BD789" s="28"/>
      <c r="BE789" s="28"/>
      <c r="BF789" s="28"/>
      <c r="BG789" s="308"/>
      <c r="BH789" s="28"/>
      <c r="BI789" s="28"/>
      <c r="BJ789" s="28"/>
      <c r="BK789" s="28"/>
      <c r="BL789" s="308"/>
      <c r="BM789" s="28"/>
      <c r="BN789" s="247"/>
      <c r="BO789" s="28"/>
      <c r="BP789" s="28"/>
      <c r="BQ789" s="308"/>
      <c r="BR789" s="28"/>
      <c r="BS789" s="28"/>
      <c r="BT789" s="28"/>
      <c r="BU789" s="28"/>
      <c r="BV789" s="308"/>
      <c r="BW789" s="28"/>
      <c r="BX789" s="28"/>
      <c r="BY789" s="28"/>
      <c r="BZ789" s="28"/>
      <c r="CA789" s="308"/>
      <c r="CB789" s="28"/>
      <c r="CC789" s="28"/>
      <c r="CD789" s="28"/>
      <c r="CE789" s="28"/>
      <c r="CF789" s="308"/>
      <c r="CG789" s="28"/>
      <c r="CH789" s="28"/>
      <c r="CI789" s="28"/>
      <c r="CJ789" s="28"/>
      <c r="CK789" s="308"/>
      <c r="CL789" s="961"/>
      <c r="CM789" s="933"/>
      <c r="CN789" s="933"/>
      <c r="CO789" s="28"/>
      <c r="CP789" s="308"/>
      <c r="CQ789" s="933"/>
      <c r="CR789" s="933"/>
      <c r="CS789" s="933"/>
      <c r="CT789" s="933"/>
      <c r="CU789" s="308"/>
      <c r="CV789" s="933"/>
      <c r="CW789" s="933"/>
      <c r="CX789" s="933"/>
      <c r="CY789" s="933"/>
      <c r="CZ789" s="308"/>
      <c r="DA789" s="933"/>
      <c r="DB789" s="30"/>
      <c r="DC789" s="30"/>
      <c r="DD789" s="409"/>
      <c r="DE789" s="308"/>
      <c r="DF789" s="982"/>
      <c r="DG789" s="30"/>
      <c r="DH789" s="30"/>
      <c r="DI789" s="409"/>
      <c r="DJ789" s="830"/>
      <c r="DK789" s="1492"/>
      <c r="DL789" s="1493"/>
      <c r="DM789" s="1493"/>
      <c r="DN789" s="1494"/>
      <c r="DO789" s="308"/>
      <c r="DP789" s="1493"/>
      <c r="DQ789" s="1493"/>
      <c r="DR789" s="1493"/>
      <c r="DS789" s="1494"/>
      <c r="DT789" s="308"/>
      <c r="DU789" s="2122"/>
      <c r="DV789" s="2122"/>
      <c r="DW789" s="2122"/>
      <c r="DX789" s="2123"/>
      <c r="DY789" s="308"/>
      <c r="DZ789" s="2122"/>
      <c r="EA789" s="1691"/>
      <c r="EB789" s="1691"/>
      <c r="EC789" s="3301"/>
      <c r="ED789" s="1060"/>
      <c r="EE789" s="958"/>
      <c r="EF789" s="1691"/>
      <c r="EG789" s="1691"/>
      <c r="EH789" s="3301"/>
      <c r="EI789" s="308"/>
      <c r="EJ789" s="308"/>
      <c r="EK789" s="308"/>
      <c r="EL789" s="308"/>
      <c r="EM789" s="308"/>
      <c r="EN789" s="308"/>
      <c r="EO789" s="308"/>
      <c r="EP789" s="308"/>
      <c r="EQ789" s="308"/>
      <c r="ER789" s="308"/>
      <c r="ES789" s="308"/>
      <c r="ET789" s="308"/>
      <c r="EU789" s="308"/>
      <c r="EV789" s="308"/>
      <c r="EW789" s="308"/>
      <c r="EX789" s="308"/>
    </row>
    <row r="790" spans="2:154" outlineLevel="1">
      <c r="B790" s="848" t="s">
        <v>411</v>
      </c>
      <c r="C790" s="990"/>
      <c r="D790" s="849"/>
      <c r="E790" s="849"/>
      <c r="F790" s="849"/>
      <c r="G790" s="849"/>
      <c r="H790" s="849"/>
      <c r="I790" s="849"/>
      <c r="J790" s="849"/>
      <c r="K790" s="849"/>
      <c r="L790" s="849"/>
      <c r="M790" s="849"/>
      <c r="N790" s="849"/>
      <c r="O790" s="849"/>
      <c r="P790" s="849"/>
      <c r="Q790" s="849"/>
      <c r="R790" s="849"/>
      <c r="S790" s="849"/>
      <c r="T790" s="849"/>
      <c r="U790" s="849"/>
      <c r="V790" s="849"/>
      <c r="W790" s="849"/>
      <c r="X790" s="850"/>
      <c r="Y790" s="849"/>
      <c r="Z790" s="849"/>
      <c r="AA790" s="849"/>
      <c r="AB790" s="849"/>
      <c r="AC790" s="850"/>
      <c r="AD790" s="849"/>
      <c r="AE790" s="849"/>
      <c r="AF790" s="849"/>
      <c r="AG790" s="849"/>
      <c r="AH790" s="850"/>
      <c r="AI790" s="849"/>
      <c r="AJ790" s="849"/>
      <c r="AK790" s="849"/>
      <c r="AL790" s="849"/>
      <c r="AM790" s="850"/>
      <c r="AN790" s="849"/>
      <c r="AO790" s="849"/>
      <c r="AP790" s="849"/>
      <c r="AQ790" s="849"/>
      <c r="AR790" s="850"/>
      <c r="AS790" s="849"/>
      <c r="AT790" s="849"/>
      <c r="AU790" s="849"/>
      <c r="AV790" s="849"/>
      <c r="AW790" s="850"/>
      <c r="AX790" s="851"/>
      <c r="AY790" s="849"/>
      <c r="AZ790" s="849"/>
      <c r="BA790" s="849"/>
      <c r="BB790" s="850"/>
      <c r="BC790" s="849"/>
      <c r="BD790" s="849"/>
      <c r="BE790" s="849"/>
      <c r="BF790" s="849"/>
      <c r="BG790" s="850"/>
      <c r="BH790" s="849"/>
      <c r="BI790" s="849"/>
      <c r="BJ790" s="849"/>
      <c r="BK790" s="849"/>
      <c r="BL790" s="850"/>
      <c r="BM790" s="849"/>
      <c r="BN790" s="849"/>
      <c r="BO790" s="849"/>
      <c r="BP790" s="849"/>
      <c r="BQ790" s="850"/>
      <c r="BR790" s="849"/>
      <c r="BS790" s="849"/>
      <c r="BT790" s="849"/>
      <c r="BU790" s="849"/>
      <c r="BV790" s="850"/>
      <c r="BW790" s="849"/>
      <c r="BX790" s="849"/>
      <c r="BY790" s="849"/>
      <c r="BZ790" s="849"/>
      <c r="CA790" s="850"/>
      <c r="CB790" s="849"/>
      <c r="CC790" s="849"/>
      <c r="CD790" s="849"/>
      <c r="CE790" s="849"/>
      <c r="CF790" s="850"/>
      <c r="CG790" s="849"/>
      <c r="CH790" s="849"/>
      <c r="CI790" s="849"/>
      <c r="CJ790" s="849"/>
      <c r="CK790" s="850"/>
      <c r="CL790" s="993"/>
      <c r="CM790" s="849"/>
      <c r="CN790" s="849"/>
      <c r="CO790" s="849"/>
      <c r="CP790" s="850"/>
      <c r="CQ790" s="849"/>
      <c r="CR790" s="849"/>
      <c r="CS790" s="849"/>
      <c r="CT790" s="849"/>
      <c r="CU790" s="850"/>
      <c r="CV790" s="849"/>
      <c r="CW790" s="849"/>
      <c r="CX790" s="849"/>
      <c r="CY790" s="849"/>
      <c r="CZ790" s="850"/>
      <c r="DA790" s="849"/>
      <c r="DB790" s="849"/>
      <c r="DC790" s="849"/>
      <c r="DD790" s="985"/>
      <c r="DE790" s="1889"/>
      <c r="DF790" s="1890"/>
      <c r="DG790" s="1890"/>
      <c r="DH790" s="1890"/>
      <c r="DI790" s="1891"/>
      <c r="DJ790" s="1889"/>
      <c r="DK790" s="1889"/>
      <c r="DL790" s="1889"/>
      <c r="DM790" s="1889"/>
      <c r="DN790" s="1889"/>
      <c r="DO790" s="1889"/>
      <c r="DP790" s="1889"/>
      <c r="DQ790" s="1889"/>
      <c r="DR790" s="1889"/>
      <c r="DS790" s="1889"/>
      <c r="DT790" s="1889"/>
      <c r="DU790" s="1889"/>
      <c r="DV790" s="1889"/>
      <c r="DW790" s="1889"/>
      <c r="DX790" s="1889"/>
      <c r="DY790" s="1889"/>
      <c r="DZ790" s="1889"/>
      <c r="EA790" s="1889"/>
      <c r="EB790" s="1889"/>
      <c r="EC790" s="1889"/>
      <c r="ED790" s="1889"/>
      <c r="EE790" s="3550"/>
      <c r="EF790" s="1889"/>
      <c r="EG790" s="1889"/>
      <c r="EH790" s="1889"/>
      <c r="EI790" s="1889"/>
      <c r="EJ790" s="1890"/>
      <c r="EK790" s="1890"/>
      <c r="EL790" s="1890"/>
      <c r="EM790" s="1890"/>
      <c r="EN790" s="1890"/>
      <c r="EO790" s="1890"/>
      <c r="EP790" s="1890"/>
      <c r="EQ790" s="1890"/>
      <c r="ER790" s="1890"/>
      <c r="ES790" s="1890"/>
      <c r="ET790" s="1891"/>
      <c r="EU790" s="1890"/>
      <c r="EV790" s="1890"/>
      <c r="EW790" s="1890"/>
      <c r="EX790" s="1890"/>
    </row>
    <row r="791" spans="2:154" outlineLevel="1">
      <c r="B791" s="852" t="s">
        <v>187</v>
      </c>
      <c r="C791" s="990"/>
      <c r="D791" s="849">
        <f>+I791/(1+I796)</f>
      </c>
      <c r="E791" s="849">
        <v>115</v>
      </c>
      <c r="F791" s="849">
        <v>144</v>
      </c>
      <c r="G791" s="849">
        <v>123</v>
      </c>
      <c r="H791" s="849">
        <v>73</v>
      </c>
      <c r="I791" s="849">
        <f>+SUM(E791:H791)</f>
      </c>
      <c r="J791" s="849">
        <v>48</v>
      </c>
      <c r="K791" s="849">
        <v>20</v>
      </c>
      <c r="L791" s="849">
        <v>-6</v>
      </c>
      <c r="M791" s="849">
        <v>-19</v>
      </c>
      <c r="N791" s="849">
        <f>+SUM(J791:M791)</f>
      </c>
      <c r="O791" s="849">
        <v>0</v>
      </c>
      <c r="P791" s="849">
        <v>0</v>
      </c>
      <c r="Q791" s="849">
        <v>0</v>
      </c>
      <c r="R791" s="849">
        <v>-3</v>
      </c>
      <c r="S791" s="849">
        <f>SUM(O791:R791)</f>
      </c>
      <c r="T791" s="849">
        <v>0</v>
      </c>
      <c r="U791" s="849">
        <v>0</v>
      </c>
      <c r="V791" s="849">
        <v>0</v>
      </c>
      <c r="W791" s="849">
        <v>0</v>
      </c>
      <c r="X791" s="850">
        <f>SUM(T791:W791)</f>
      </c>
      <c r="Y791" s="849">
        <v>0</v>
      </c>
      <c r="Z791" s="849">
        <v>0</v>
      </c>
      <c r="AA791" s="849">
        <v>0</v>
      </c>
      <c r="AB791" s="849">
        <v>0</v>
      </c>
      <c r="AC791" s="850">
        <f>SUM(Y791:AB791)</f>
      </c>
      <c r="AD791" s="849">
        <v>0</v>
      </c>
      <c r="AE791" s="849">
        <v>0</v>
      </c>
      <c r="AF791" s="849">
        <v>0</v>
      </c>
      <c r="AG791" s="849">
        <v>0</v>
      </c>
      <c r="AH791" s="850">
        <f>SUM(AD791:AG791)</f>
      </c>
      <c r="AI791" s="849">
        <v>0</v>
      </c>
      <c r="AJ791" s="849">
        <v>0</v>
      </c>
      <c r="AK791" s="849">
        <v>0</v>
      </c>
      <c r="AL791" s="849">
        <v>0</v>
      </c>
      <c r="AM791" s="850">
        <f>+SUM(AI791:AL791)</f>
      </c>
      <c r="AN791" s="849">
        <v>0</v>
      </c>
      <c r="AO791" s="849">
        <v>0</v>
      </c>
      <c r="AP791" s="849">
        <v>0</v>
      </c>
      <c r="AQ791" s="849">
        <v>0</v>
      </c>
      <c r="AR791" s="850">
        <f>+SUM(AN791:AQ791)</f>
      </c>
      <c r="AS791" s="849">
        <v>0</v>
      </c>
      <c r="AT791" s="849">
        <v>0</v>
      </c>
      <c r="AU791" s="849">
        <v>0</v>
      </c>
      <c r="AV791" s="849">
        <v>0</v>
      </c>
      <c r="AW791" s="850">
        <f>SUM(AS791:AV791)</f>
      </c>
      <c r="AX791" s="849"/>
      <c r="AY791" s="849"/>
      <c r="AZ791" s="849"/>
      <c r="BA791" s="849"/>
      <c r="BB791" s="850"/>
      <c r="BC791" s="849"/>
      <c r="BD791" s="849"/>
      <c r="BE791" s="849"/>
      <c r="BF791" s="849"/>
      <c r="BG791" s="850"/>
      <c r="BH791" s="849"/>
      <c r="BI791" s="849"/>
      <c r="BJ791" s="849"/>
      <c r="BK791" s="849"/>
      <c r="BL791" s="850"/>
      <c r="BM791" s="849"/>
      <c r="BN791" s="849"/>
      <c r="BO791" s="849"/>
      <c r="BP791" s="849"/>
      <c r="BQ791" s="850"/>
      <c r="BR791" s="849"/>
      <c r="BS791" s="849"/>
      <c r="BT791" s="849"/>
      <c r="BU791" s="849"/>
      <c r="BV791" s="850"/>
      <c r="BW791" s="849"/>
      <c r="BX791" s="849"/>
      <c r="BY791" s="849"/>
      <c r="BZ791" s="849"/>
      <c r="CA791" s="850"/>
      <c r="CB791" s="849"/>
      <c r="CC791" s="849"/>
      <c r="CD791" s="849"/>
      <c r="CE791" s="849"/>
      <c r="CF791" s="850"/>
      <c r="CG791" s="849"/>
      <c r="CH791" s="849"/>
      <c r="CI791" s="849"/>
      <c r="CJ791" s="849"/>
      <c r="CK791" s="850"/>
      <c r="CL791" s="993"/>
      <c r="CM791" s="849"/>
      <c r="CN791" s="849"/>
      <c r="CO791" s="849"/>
      <c r="CP791" s="850"/>
      <c r="CQ791" s="849"/>
      <c r="CR791" s="849"/>
      <c r="CS791" s="849"/>
      <c r="CT791" s="849"/>
      <c r="CU791" s="850"/>
      <c r="CV791" s="849"/>
      <c r="CW791" s="849"/>
      <c r="CX791" s="849"/>
      <c r="CY791" s="849"/>
      <c r="CZ791" s="850"/>
      <c r="DA791" s="849"/>
      <c r="DB791" s="849"/>
      <c r="DC791" s="849"/>
      <c r="DD791" s="985"/>
      <c r="DE791" s="1889"/>
      <c r="DF791" s="1890"/>
      <c r="DG791" s="1890"/>
      <c r="DH791" s="1890"/>
      <c r="DI791" s="1891"/>
      <c r="DJ791" s="1889"/>
      <c r="DK791" s="1889"/>
      <c r="DL791" s="1889"/>
      <c r="DM791" s="1889"/>
      <c r="DN791" s="1889"/>
      <c r="DO791" s="1889"/>
      <c r="DP791" s="1889"/>
      <c r="DQ791" s="1889"/>
      <c r="DR791" s="1889"/>
      <c r="DS791" s="1889"/>
      <c r="DT791" s="1889"/>
      <c r="DU791" s="1889"/>
      <c r="DV791" s="1889"/>
      <c r="DW791" s="1889"/>
      <c r="DX791" s="1889"/>
      <c r="DY791" s="1889"/>
      <c r="DZ791" s="1889"/>
      <c r="EA791" s="1889"/>
      <c r="EB791" s="1889"/>
      <c r="EC791" s="1889"/>
      <c r="ED791" s="1889"/>
      <c r="EE791" s="3550"/>
      <c r="EF791" s="1889"/>
      <c r="EG791" s="1889"/>
      <c r="EH791" s="1889"/>
      <c r="EI791" s="1889"/>
      <c r="EJ791" s="1890"/>
      <c r="EK791" s="1890"/>
      <c r="EL791" s="1890"/>
      <c r="EM791" s="1890"/>
      <c r="EN791" s="1890"/>
      <c r="EO791" s="1890"/>
      <c r="EP791" s="1890"/>
      <c r="EQ791" s="1890"/>
      <c r="ER791" s="1890"/>
      <c r="ES791" s="1890"/>
      <c r="ET791" s="1891"/>
      <c r="EU791" s="1890"/>
      <c r="EV791" s="1890"/>
      <c r="EW791" s="1890"/>
      <c r="EX791" s="1890"/>
    </row>
    <row r="792" spans="2:154" outlineLevel="1">
      <c r="B792" s="852" t="s">
        <v>412</v>
      </c>
      <c r="C792" s="990"/>
      <c r="D792" s="849">
        <f>+I792/(1+I797)</f>
      </c>
      <c r="E792" s="849">
        <v>127</v>
      </c>
      <c r="F792" s="849">
        <v>142.37288135593218</v>
      </c>
      <c r="G792" s="849">
        <v>118</v>
      </c>
      <c r="H792" s="849">
        <v>116</v>
      </c>
      <c r="I792" s="849">
        <f>+SUM(E792:H792)</f>
      </c>
      <c r="J792" s="849">
        <v>113</v>
      </c>
      <c r="K792" s="849">
        <v>84</v>
      </c>
      <c r="L792" s="849">
        <v>54</v>
      </c>
      <c r="M792" s="849">
        <v>2</v>
      </c>
      <c r="N792" s="849">
        <f>+SUM(J792:M792)</f>
      </c>
      <c r="O792" s="849">
        <v>18</v>
      </c>
      <c r="P792" s="849">
        <v>11</v>
      </c>
      <c r="Q792" s="849">
        <v>16</v>
      </c>
      <c r="R792" s="849">
        <v>13</v>
      </c>
      <c r="S792" s="849">
        <f>SUM(O792:R792)</f>
      </c>
      <c r="T792" s="849">
        <v>12</v>
      </c>
      <c r="U792" s="849">
        <v>0</v>
      </c>
      <c r="V792" s="849">
        <v>0</v>
      </c>
      <c r="W792" s="849">
        <v>0</v>
      </c>
      <c r="X792" s="850">
        <f>SUM(T792:W792)</f>
      </c>
      <c r="Y792" s="849">
        <v>0</v>
      </c>
      <c r="Z792" s="849">
        <v>0</v>
      </c>
      <c r="AA792" s="849">
        <v>0</v>
      </c>
      <c r="AB792" s="849">
        <v>0</v>
      </c>
      <c r="AC792" s="850">
        <f>SUM(Y792:AB792)</f>
      </c>
      <c r="AD792" s="849">
        <v>0</v>
      </c>
      <c r="AE792" s="849">
        <v>0</v>
      </c>
      <c r="AF792" s="849">
        <v>0</v>
      </c>
      <c r="AG792" s="849">
        <v>0</v>
      </c>
      <c r="AH792" s="850">
        <f>SUM(AD792:AG792)</f>
      </c>
      <c r="AI792" s="849">
        <v>0</v>
      </c>
      <c r="AJ792" s="849">
        <v>0</v>
      </c>
      <c r="AK792" s="849">
        <v>0</v>
      </c>
      <c r="AL792" s="849">
        <v>0</v>
      </c>
      <c r="AM792" s="850">
        <f>+SUM(AI792:AL792)</f>
      </c>
      <c r="AN792" s="849">
        <v>0</v>
      </c>
      <c r="AO792" s="849">
        <v>0</v>
      </c>
      <c r="AP792" s="849">
        <v>0</v>
      </c>
      <c r="AQ792" s="849">
        <v>0</v>
      </c>
      <c r="AR792" s="850">
        <f>+SUM(AN792:AQ792)</f>
      </c>
      <c r="AS792" s="849">
        <v>0</v>
      </c>
      <c r="AT792" s="849">
        <v>0</v>
      </c>
      <c r="AU792" s="849">
        <v>0</v>
      </c>
      <c r="AV792" s="849">
        <v>0</v>
      </c>
      <c r="AW792" s="850">
        <f>SUM(AS792:AV792)</f>
      </c>
      <c r="AX792" s="849"/>
      <c r="AY792" s="849"/>
      <c r="AZ792" s="849"/>
      <c r="BA792" s="849"/>
      <c r="BB792" s="850"/>
      <c r="BC792" s="849"/>
      <c r="BD792" s="849"/>
      <c r="BE792" s="849"/>
      <c r="BF792" s="849"/>
      <c r="BG792" s="850"/>
      <c r="BH792" s="849"/>
      <c r="BI792" s="849"/>
      <c r="BJ792" s="849"/>
      <c r="BK792" s="849"/>
      <c r="BL792" s="850"/>
      <c r="BM792" s="849"/>
      <c r="BN792" s="849"/>
      <c r="BO792" s="849"/>
      <c r="BP792" s="849"/>
      <c r="BQ792" s="850"/>
      <c r="BR792" s="849"/>
      <c r="BS792" s="849"/>
      <c r="BT792" s="849"/>
      <c r="BU792" s="849"/>
      <c r="BV792" s="850"/>
      <c r="BW792" s="849"/>
      <c r="BX792" s="849"/>
      <c r="BY792" s="849"/>
      <c r="BZ792" s="849"/>
      <c r="CA792" s="850"/>
      <c r="CB792" s="849"/>
      <c r="CC792" s="849"/>
      <c r="CD792" s="849"/>
      <c r="CE792" s="849"/>
      <c r="CF792" s="850"/>
      <c r="CG792" s="849"/>
      <c r="CH792" s="849"/>
      <c r="CI792" s="849"/>
      <c r="CJ792" s="849"/>
      <c r="CK792" s="850"/>
      <c r="CL792" s="993"/>
      <c r="CM792" s="849"/>
      <c r="CN792" s="849"/>
      <c r="CO792" s="849"/>
      <c r="CP792" s="850"/>
      <c r="CQ792" s="849"/>
      <c r="CR792" s="849"/>
      <c r="CS792" s="849"/>
      <c r="CT792" s="849"/>
      <c r="CU792" s="850"/>
      <c r="CV792" s="849"/>
      <c r="CW792" s="849"/>
      <c r="CX792" s="849"/>
      <c r="CY792" s="849"/>
      <c r="CZ792" s="850"/>
      <c r="DA792" s="849"/>
      <c r="DB792" s="849"/>
      <c r="DC792" s="849"/>
      <c r="DD792" s="985"/>
      <c r="DE792" s="1889"/>
      <c r="DF792" s="1890"/>
      <c r="DG792" s="1890"/>
      <c r="DH792" s="1890"/>
      <c r="DI792" s="1891"/>
      <c r="DJ792" s="1889"/>
      <c r="DK792" s="1889"/>
      <c r="DL792" s="1889"/>
      <c r="DM792" s="1889"/>
      <c r="DN792" s="1889"/>
      <c r="DO792" s="1889"/>
      <c r="DP792" s="1889"/>
      <c r="DQ792" s="1889"/>
      <c r="DR792" s="1889"/>
      <c r="DS792" s="1889"/>
      <c r="DT792" s="1889"/>
      <c r="DU792" s="1889"/>
      <c r="DV792" s="1889"/>
      <c r="DW792" s="1889"/>
      <c r="DX792" s="1889"/>
      <c r="DY792" s="1889"/>
      <c r="DZ792" s="1889"/>
      <c r="EA792" s="1889"/>
      <c r="EB792" s="1889"/>
      <c r="EC792" s="1889"/>
      <c r="ED792" s="1889"/>
      <c r="EE792" s="3550"/>
      <c r="EF792" s="1889"/>
      <c r="EG792" s="1889"/>
      <c r="EH792" s="1889"/>
      <c r="EI792" s="1889"/>
      <c r="EJ792" s="1890"/>
      <c r="EK792" s="1890"/>
      <c r="EL792" s="1890"/>
      <c r="EM792" s="1890"/>
      <c r="EN792" s="1890"/>
      <c r="EO792" s="1890"/>
      <c r="EP792" s="1890"/>
      <c r="EQ792" s="1890"/>
      <c r="ER792" s="1890"/>
      <c r="ES792" s="1890"/>
      <c r="ET792" s="1891"/>
      <c r="EU792" s="1890"/>
      <c r="EV792" s="1890"/>
      <c r="EW792" s="1890"/>
      <c r="EX792" s="1890"/>
    </row>
    <row r="793" spans="2:154" outlineLevel="1">
      <c r="B793" s="852" t="s">
        <v>413</v>
      </c>
      <c r="C793" s="990"/>
      <c r="D793" s="849">
        <f t="shared" ref="D793:AV793" si="1891">+D791+D792</f>
      </c>
      <c r="E793" s="849">
        <f t="shared" si="1891"/>
      </c>
      <c r="F793" s="849">
        <f t="shared" si="1891"/>
      </c>
      <c r="G793" s="849">
        <f t="shared" si="1891"/>
      </c>
      <c r="H793" s="849">
        <f t="shared" si="1891"/>
      </c>
      <c r="I793" s="849">
        <f t="shared" si="1891"/>
      </c>
      <c r="J793" s="849">
        <f t="shared" si="1891"/>
      </c>
      <c r="K793" s="849">
        <f t="shared" si="1891"/>
      </c>
      <c r="L793" s="849">
        <f t="shared" si="1891"/>
      </c>
      <c r="M793" s="849">
        <f t="shared" si="1891"/>
      </c>
      <c r="N793" s="849">
        <f t="shared" si="1891"/>
      </c>
      <c r="O793" s="849">
        <f t="shared" si="1891"/>
      </c>
      <c r="P793" s="849">
        <f t="shared" si="1891"/>
      </c>
      <c r="Q793" s="849">
        <f t="shared" si="1891"/>
      </c>
      <c r="R793" s="849">
        <f t="shared" si="1891"/>
      </c>
      <c r="S793" s="849">
        <f t="shared" si="1891"/>
      </c>
      <c r="T793" s="849">
        <f t="shared" si="1891"/>
      </c>
      <c r="U793" s="849">
        <f t="shared" si="1891"/>
      </c>
      <c r="V793" s="849">
        <f t="shared" si="1891"/>
      </c>
      <c r="W793" s="849">
        <f t="shared" si="1891"/>
      </c>
      <c r="X793" s="850">
        <f t="shared" si="1891"/>
      </c>
      <c r="Y793" s="849">
        <f t="shared" si="1891"/>
      </c>
      <c r="Z793" s="849">
        <f t="shared" si="1891"/>
      </c>
      <c r="AA793" s="849">
        <f t="shared" si="1891"/>
      </c>
      <c r="AB793" s="849">
        <f t="shared" si="1891"/>
      </c>
      <c r="AC793" s="850">
        <f t="shared" si="1891"/>
      </c>
      <c r="AD793" s="849">
        <f t="shared" si="1891"/>
      </c>
      <c r="AE793" s="849">
        <f t="shared" si="1891"/>
      </c>
      <c r="AF793" s="849">
        <f t="shared" si="1891"/>
      </c>
      <c r="AG793" s="849">
        <f t="shared" si="1891"/>
      </c>
      <c r="AH793" s="850">
        <f t="shared" si="1891"/>
      </c>
      <c r="AI793" s="849">
        <f t="shared" si="1891"/>
      </c>
      <c r="AJ793" s="849">
        <f t="shared" si="1891"/>
      </c>
      <c r="AK793" s="849">
        <f t="shared" si="1891"/>
      </c>
      <c r="AL793" s="849">
        <f t="shared" si="1891"/>
      </c>
      <c r="AM793" s="850">
        <f t="shared" si="1891"/>
      </c>
      <c r="AN793" s="849">
        <f t="shared" si="1891"/>
      </c>
      <c r="AO793" s="849">
        <f t="shared" si="1891"/>
      </c>
      <c r="AP793" s="849">
        <f t="shared" si="1891"/>
      </c>
      <c r="AQ793" s="849">
        <f t="shared" si="1891"/>
      </c>
      <c r="AR793" s="850">
        <f t="shared" si="1891"/>
      </c>
      <c r="AS793" s="849">
        <f t="shared" si="1891"/>
      </c>
      <c r="AT793" s="849">
        <f t="shared" si="1891"/>
      </c>
      <c r="AU793" s="849">
        <f t="shared" si="1891"/>
      </c>
      <c r="AV793" s="849">
        <f t="shared" si="1891"/>
      </c>
      <c r="AW793" s="850">
        <f>+AW791+AW792</f>
      </c>
      <c r="AX793" s="849"/>
      <c r="AY793" s="849"/>
      <c r="AZ793" s="849"/>
      <c r="BA793" s="849"/>
      <c r="BB793" s="850"/>
      <c r="BC793" s="849"/>
      <c r="BD793" s="849"/>
      <c r="BE793" s="849"/>
      <c r="BF793" s="849"/>
      <c r="BG793" s="850"/>
      <c r="BH793" s="849"/>
      <c r="BI793" s="849"/>
      <c r="BJ793" s="849"/>
      <c r="BK793" s="849"/>
      <c r="BL793" s="850"/>
      <c r="BM793" s="849"/>
      <c r="BN793" s="849"/>
      <c r="BO793" s="849"/>
      <c r="BP793" s="849"/>
      <c r="BQ793" s="850"/>
      <c r="BR793" s="849"/>
      <c r="BS793" s="849"/>
      <c r="BT793" s="849"/>
      <c r="BU793" s="849"/>
      <c r="BV793" s="850"/>
      <c r="BW793" s="849"/>
      <c r="BX793" s="849"/>
      <c r="BY793" s="849"/>
      <c r="BZ793" s="849"/>
      <c r="CA793" s="850"/>
      <c r="CB793" s="849"/>
      <c r="CC793" s="849"/>
      <c r="CD793" s="849"/>
      <c r="CE793" s="849"/>
      <c r="CF793" s="850"/>
      <c r="CG793" s="849"/>
      <c r="CH793" s="849"/>
      <c r="CI793" s="849"/>
      <c r="CJ793" s="849"/>
      <c r="CK793" s="850"/>
      <c r="CL793" s="993"/>
      <c r="CM793" s="849"/>
      <c r="CN793" s="849"/>
      <c r="CO793" s="849"/>
      <c r="CP793" s="850"/>
      <c r="CQ793" s="849"/>
      <c r="CR793" s="849"/>
      <c r="CS793" s="849"/>
      <c r="CT793" s="849"/>
      <c r="CU793" s="850"/>
      <c r="CV793" s="849"/>
      <c r="CW793" s="849"/>
      <c r="CX793" s="849"/>
      <c r="CY793" s="849"/>
      <c r="CZ793" s="850"/>
      <c r="DA793" s="849"/>
      <c r="DB793" s="849"/>
      <c r="DC793" s="849"/>
      <c r="DD793" s="985"/>
      <c r="DE793" s="1889"/>
      <c r="DF793" s="1890"/>
      <c r="DG793" s="1890"/>
      <c r="DH793" s="1890"/>
      <c r="DI793" s="1891"/>
      <c r="DJ793" s="1889"/>
      <c r="DK793" s="1889"/>
      <c r="DL793" s="1889"/>
      <c r="DM793" s="1889"/>
      <c r="DN793" s="1889"/>
      <c r="DO793" s="1889"/>
      <c r="DP793" s="1889"/>
      <c r="DQ793" s="1889"/>
      <c r="DR793" s="1889"/>
      <c r="DS793" s="1889"/>
      <c r="DT793" s="1889"/>
      <c r="DU793" s="1889"/>
      <c r="DV793" s="1889"/>
      <c r="DW793" s="1889"/>
      <c r="DX793" s="1889"/>
      <c r="DY793" s="1889"/>
      <c r="DZ793" s="1889"/>
      <c r="EA793" s="1889"/>
      <c r="EB793" s="1889"/>
      <c r="EC793" s="1889"/>
      <c r="ED793" s="1889"/>
      <c r="EE793" s="3550"/>
      <c r="EF793" s="1889"/>
      <c r="EG793" s="1889"/>
      <c r="EH793" s="1889"/>
      <c r="EI793" s="1889"/>
      <c r="EJ793" s="1890"/>
      <c r="EK793" s="1890"/>
      <c r="EL793" s="1890"/>
      <c r="EM793" s="1890"/>
      <c r="EN793" s="1890"/>
      <c r="EO793" s="1890"/>
      <c r="EP793" s="1890"/>
      <c r="EQ793" s="1890"/>
      <c r="ER793" s="1890"/>
      <c r="ES793" s="1890"/>
      <c r="ET793" s="1891"/>
      <c r="EU793" s="1890"/>
      <c r="EV793" s="1890"/>
      <c r="EW793" s="1890"/>
      <c r="EX793" s="1890"/>
    </row>
    <row r="794" spans="2:154" outlineLevel="1">
      <c r="B794" s="853"/>
      <c r="C794" s="990"/>
      <c r="D794" s="849"/>
      <c r="E794" s="849"/>
      <c r="F794" s="849"/>
      <c r="G794" s="849"/>
      <c r="H794" s="849"/>
      <c r="I794" s="849"/>
      <c r="J794" s="849"/>
      <c r="K794" s="849"/>
      <c r="L794" s="849"/>
      <c r="M794" s="849"/>
      <c r="N794" s="849"/>
      <c r="O794" s="849"/>
      <c r="P794" s="849"/>
      <c r="Q794" s="849"/>
      <c r="R794" s="849"/>
      <c r="S794" s="849"/>
      <c r="T794" s="849"/>
      <c r="U794" s="849"/>
      <c r="V794" s="849"/>
      <c r="W794" s="849"/>
      <c r="X794" s="850"/>
      <c r="Y794" s="849"/>
      <c r="Z794" s="849"/>
      <c r="AA794" s="849"/>
      <c r="AB794" s="849"/>
      <c r="AC794" s="850"/>
      <c r="AD794" s="849"/>
      <c r="AE794" s="849"/>
      <c r="AF794" s="849"/>
      <c r="AG794" s="849"/>
      <c r="AH794" s="850"/>
      <c r="AI794" s="849"/>
      <c r="AJ794" s="849"/>
      <c r="AK794" s="849"/>
      <c r="AL794" s="849"/>
      <c r="AM794" s="850"/>
      <c r="AN794" s="849"/>
      <c r="AO794" s="849"/>
      <c r="AP794" s="849"/>
      <c r="AQ794" s="849"/>
      <c r="AR794" s="850"/>
      <c r="AS794" s="849"/>
      <c r="AT794" s="849"/>
      <c r="AU794" s="849"/>
      <c r="AV794" s="849"/>
      <c r="AW794" s="850"/>
      <c r="AX794" s="849"/>
      <c r="AY794" s="849"/>
      <c r="AZ794" s="849"/>
      <c r="BA794" s="849"/>
      <c r="BB794" s="850"/>
      <c r="BC794" s="849"/>
      <c r="BD794" s="849"/>
      <c r="BE794" s="849"/>
      <c r="BF794" s="849"/>
      <c r="BG794" s="850"/>
      <c r="BH794" s="849"/>
      <c r="BI794" s="849"/>
      <c r="BJ794" s="849"/>
      <c r="BK794" s="849"/>
      <c r="BL794" s="850"/>
      <c r="BM794" s="849"/>
      <c r="BN794" s="849"/>
      <c r="BO794" s="849"/>
      <c r="BP794" s="849"/>
      <c r="BQ794" s="850"/>
      <c r="BR794" s="849"/>
      <c r="BS794" s="849"/>
      <c r="BT794" s="849"/>
      <c r="BU794" s="849"/>
      <c r="BV794" s="850"/>
      <c r="BW794" s="849"/>
      <c r="BX794" s="849"/>
      <c r="BY794" s="849"/>
      <c r="BZ794" s="849"/>
      <c r="CA794" s="850"/>
      <c r="CB794" s="849"/>
      <c r="CC794" s="849"/>
      <c r="CD794" s="849"/>
      <c r="CE794" s="849"/>
      <c r="CF794" s="850"/>
      <c r="CG794" s="849"/>
      <c r="CH794" s="849"/>
      <c r="CI794" s="849"/>
      <c r="CJ794" s="849"/>
      <c r="CK794" s="850"/>
      <c r="CL794" s="993"/>
      <c r="CM794" s="849"/>
      <c r="CN794" s="849"/>
      <c r="CO794" s="849"/>
      <c r="CP794" s="850"/>
      <c r="CQ794" s="849"/>
      <c r="CR794" s="849"/>
      <c r="CS794" s="849"/>
      <c r="CT794" s="849"/>
      <c r="CU794" s="850"/>
      <c r="CV794" s="849"/>
      <c r="CW794" s="849"/>
      <c r="CX794" s="849"/>
      <c r="CY794" s="849"/>
      <c r="CZ794" s="850"/>
      <c r="DA794" s="849"/>
      <c r="DB794" s="849"/>
      <c r="DC794" s="849"/>
      <c r="DD794" s="985"/>
      <c r="DE794" s="1889"/>
      <c r="DF794" s="1890"/>
      <c r="DG794" s="1890"/>
      <c r="DH794" s="1890"/>
      <c r="DI794" s="1891"/>
      <c r="DJ794" s="1889"/>
      <c r="DK794" s="1889"/>
      <c r="DL794" s="1889"/>
      <c r="DM794" s="1889"/>
      <c r="DN794" s="1889"/>
      <c r="DO794" s="1889"/>
      <c r="DP794" s="1889"/>
      <c r="DQ794" s="1889"/>
      <c r="DR794" s="1889"/>
      <c r="DS794" s="1889"/>
      <c r="DT794" s="1889"/>
      <c r="DU794" s="1889"/>
      <c r="DV794" s="1889"/>
      <c r="DW794" s="1889"/>
      <c r="DX794" s="1889"/>
      <c r="DY794" s="1889"/>
      <c r="DZ794" s="1889"/>
      <c r="EA794" s="1889"/>
      <c r="EB794" s="1889"/>
      <c r="EC794" s="1889"/>
      <c r="ED794" s="1889"/>
      <c r="EE794" s="3550"/>
      <c r="EF794" s="1889"/>
      <c r="EG794" s="1889"/>
      <c r="EH794" s="1889"/>
      <c r="EI794" s="1889"/>
      <c r="EJ794" s="1890"/>
      <c r="EK794" s="1890"/>
      <c r="EL794" s="1890"/>
      <c r="EM794" s="1890"/>
      <c r="EN794" s="1890"/>
      <c r="EO794" s="1890"/>
      <c r="EP794" s="1890"/>
      <c r="EQ794" s="1890"/>
      <c r="ER794" s="1890"/>
      <c r="ES794" s="1890"/>
      <c r="ET794" s="1891"/>
      <c r="EU794" s="1890"/>
      <c r="EV794" s="1890"/>
      <c r="EW794" s="1890"/>
      <c r="EX794" s="1890"/>
    </row>
    <row r="795" spans="2:154" outlineLevel="1">
      <c r="B795" s="854" t="s">
        <v>260</v>
      </c>
      <c r="C795" s="990"/>
      <c r="D795" s="849"/>
      <c r="E795" s="849"/>
      <c r="F795" s="849"/>
      <c r="G795" s="849"/>
      <c r="H795" s="849"/>
      <c r="I795" s="849"/>
      <c r="J795" s="849"/>
      <c r="K795" s="849"/>
      <c r="L795" s="849"/>
      <c r="M795" s="849"/>
      <c r="N795" s="849"/>
      <c r="O795" s="849"/>
      <c r="P795" s="849"/>
      <c r="Q795" s="849"/>
      <c r="R795" s="849"/>
      <c r="S795" s="849"/>
      <c r="T795" s="849"/>
      <c r="U795" s="849"/>
      <c r="V795" s="849"/>
      <c r="W795" s="849"/>
      <c r="X795" s="850"/>
      <c r="Y795" s="849"/>
      <c r="Z795" s="849"/>
      <c r="AA795" s="849"/>
      <c r="AB795" s="849"/>
      <c r="AC795" s="850"/>
      <c r="AD795" s="849"/>
      <c r="AE795" s="849"/>
      <c r="AF795" s="849"/>
      <c r="AG795" s="849"/>
      <c r="AH795" s="850"/>
      <c r="AI795" s="849"/>
      <c r="AJ795" s="849"/>
      <c r="AK795" s="849"/>
      <c r="AL795" s="849"/>
      <c r="AM795" s="850"/>
      <c r="AN795" s="849"/>
      <c r="AO795" s="849"/>
      <c r="AP795" s="849"/>
      <c r="AQ795" s="849"/>
      <c r="AR795" s="850"/>
      <c r="AS795" s="849"/>
      <c r="AT795" s="849"/>
      <c r="AU795" s="849"/>
      <c r="AV795" s="849"/>
      <c r="AW795" s="850"/>
      <c r="AX795" s="849"/>
      <c r="AY795" s="849"/>
      <c r="AZ795" s="849"/>
      <c r="BA795" s="849"/>
      <c r="BB795" s="850"/>
      <c r="BC795" s="849"/>
      <c r="BD795" s="849"/>
      <c r="BE795" s="849"/>
      <c r="BF795" s="849"/>
      <c r="BG795" s="850"/>
      <c r="BH795" s="849"/>
      <c r="BI795" s="849"/>
      <c r="BJ795" s="849"/>
      <c r="BK795" s="849"/>
      <c r="BL795" s="850"/>
      <c r="BM795" s="849"/>
      <c r="BN795" s="849"/>
      <c r="BO795" s="849"/>
      <c r="BP795" s="849"/>
      <c r="BQ795" s="850"/>
      <c r="BR795" s="849"/>
      <c r="BS795" s="849"/>
      <c r="BT795" s="849"/>
      <c r="BU795" s="849"/>
      <c r="BV795" s="850"/>
      <c r="BW795" s="849"/>
      <c r="BX795" s="849"/>
      <c r="BY795" s="849"/>
      <c r="BZ795" s="849"/>
      <c r="CA795" s="850"/>
      <c r="CB795" s="849"/>
      <c r="CC795" s="849"/>
      <c r="CD795" s="849"/>
      <c r="CE795" s="849"/>
      <c r="CF795" s="850"/>
      <c r="CG795" s="849"/>
      <c r="CH795" s="849"/>
      <c r="CI795" s="849"/>
      <c r="CJ795" s="849"/>
      <c r="CK795" s="850"/>
      <c r="CL795" s="993"/>
      <c r="CM795" s="849"/>
      <c r="CN795" s="849"/>
      <c r="CO795" s="849"/>
      <c r="CP795" s="850"/>
      <c r="CQ795" s="849"/>
      <c r="CR795" s="849"/>
      <c r="CS795" s="849"/>
      <c r="CT795" s="849"/>
      <c r="CU795" s="850"/>
      <c r="CV795" s="849"/>
      <c r="CW795" s="849"/>
      <c r="CX795" s="849"/>
      <c r="CY795" s="849"/>
      <c r="CZ795" s="850"/>
      <c r="DA795" s="849"/>
      <c r="DB795" s="849"/>
      <c r="DC795" s="849"/>
      <c r="DD795" s="985"/>
      <c r="DE795" s="1889"/>
      <c r="DF795" s="1890"/>
      <c r="DG795" s="1890"/>
      <c r="DH795" s="1890"/>
      <c r="DI795" s="1891"/>
      <c r="DJ795" s="1889"/>
      <c r="DK795" s="1889"/>
      <c r="DL795" s="1889"/>
      <c r="DM795" s="1889"/>
      <c r="DN795" s="1889"/>
      <c r="DO795" s="1889"/>
      <c r="DP795" s="1889"/>
      <c r="DQ795" s="1889"/>
      <c r="DR795" s="1889"/>
      <c r="DS795" s="1889"/>
      <c r="DT795" s="1889"/>
      <c r="DU795" s="1889"/>
      <c r="DV795" s="1889"/>
      <c r="DW795" s="1889"/>
      <c r="DX795" s="1889"/>
      <c r="DY795" s="1889"/>
      <c r="DZ795" s="1889"/>
      <c r="EA795" s="1889"/>
      <c r="EB795" s="1889"/>
      <c r="EC795" s="1889"/>
      <c r="ED795" s="1889"/>
      <c r="EE795" s="3550"/>
      <c r="EF795" s="1889"/>
      <c r="EG795" s="1889"/>
      <c r="EH795" s="1889"/>
      <c r="EI795" s="1889"/>
      <c r="EJ795" s="1890"/>
      <c r="EK795" s="1890"/>
      <c r="EL795" s="1890"/>
      <c r="EM795" s="1890"/>
      <c r="EN795" s="1890"/>
      <c r="EO795" s="1890"/>
      <c r="EP795" s="1890"/>
      <c r="EQ795" s="1890"/>
      <c r="ER795" s="1890"/>
      <c r="ES795" s="1890"/>
      <c r="ET795" s="1891"/>
      <c r="EU795" s="1890"/>
      <c r="EV795" s="1890"/>
      <c r="EW795" s="1890"/>
      <c r="EX795" s="1890"/>
    </row>
    <row r="796" spans="2:154" outlineLevel="1">
      <c r="B796" s="855" t="s">
        <v>187</v>
      </c>
      <c r="C796" s="990"/>
      <c r="D796" s="849"/>
      <c r="E796" s="849"/>
      <c r="F796" s="849"/>
      <c r="G796" s="849"/>
      <c r="H796" s="849"/>
      <c r="I796" s="856">
        <v>-0.08</v>
      </c>
      <c r="J796" s="856">
        <f t="shared" ref="J796:S797" si="1892">IF(E791="NM","NM",IF(J791="NM","NM",IF(E791&lt;=0,"NM",IF(J791=0,"NM",IF(ABS(J791/E791-1)&gt;2.5,"NM",IF((ABS(J791-E791)=ABS(ABS(J791)-ABS(E791))),(J791/E791-1),"NM"))))))</f>
      </c>
      <c r="K796" s="856">
        <f t="shared" si="1892"/>
      </c>
      <c r="L796" s="856" t="str">
        <f t="shared" si="1892"/>
      </c>
      <c r="M796" s="856" t="str">
        <f t="shared" si="1892"/>
      </c>
      <c r="N796" s="856">
        <f t="shared" si="1892"/>
      </c>
      <c r="O796" s="856" t="str">
        <f t="shared" si="1892"/>
      </c>
      <c r="P796" s="856" t="str">
        <f t="shared" si="1892"/>
      </c>
      <c r="Q796" s="856" t="str">
        <f t="shared" si="1892"/>
      </c>
      <c r="R796" s="856" t="str">
        <f t="shared" si="1892"/>
      </c>
      <c r="S796" s="856" t="str">
        <f t="shared" si="1892"/>
      </c>
      <c r="T796" s="856" t="str">
        <f t="shared" ref="T796:AC797" si="1893">IF(O791="NM","NM",IF(T791="NM","NM",IF(O791&lt;=0,"NM",IF(T791=0,"NM",IF(ABS(T791/O791-1)&gt;2.5,"NM",IF((ABS(T791-O791)=ABS(ABS(T791)-ABS(O791))),(T791/O791-1),"NM"))))))</f>
      </c>
      <c r="U796" s="856" t="str">
        <f t="shared" si="1893"/>
      </c>
      <c r="V796" s="856" t="str">
        <f t="shared" si="1893"/>
      </c>
      <c r="W796" s="856" t="str">
        <f t="shared" si="1893"/>
      </c>
      <c r="X796" s="857" t="str">
        <f t="shared" si="1893"/>
      </c>
      <c r="Y796" s="856" t="str">
        <f t="shared" si="1893"/>
      </c>
      <c r="Z796" s="856" t="str">
        <f t="shared" si="1893"/>
      </c>
      <c r="AA796" s="856" t="str">
        <f t="shared" si="1893"/>
      </c>
      <c r="AB796" s="856" t="str">
        <f t="shared" si="1893"/>
      </c>
      <c r="AC796" s="857" t="str">
        <f t="shared" si="1893"/>
      </c>
      <c r="AD796" s="856" t="str">
        <f t="shared" ref="AD796:AM797" si="1894">IF(Y791="NM","NM",IF(AD791="NM","NM",IF(Y791&lt;=0,"NM",IF(AD791=0,"NM",IF(ABS(AD791/Y791-1)&gt;2.5,"NM",IF((ABS(AD791-Y791)=ABS(ABS(AD791)-ABS(Y791))),(AD791/Y791-1),"NM"))))))</f>
      </c>
      <c r="AE796" s="856" t="str">
        <f t="shared" si="1894"/>
      </c>
      <c r="AF796" s="856" t="str">
        <f t="shared" si="1894"/>
      </c>
      <c r="AG796" s="856" t="str">
        <f t="shared" si="1894"/>
      </c>
      <c r="AH796" s="857" t="str">
        <f t="shared" si="1894"/>
      </c>
      <c r="AI796" s="856" t="str">
        <f t="shared" si="1894"/>
      </c>
      <c r="AJ796" s="856" t="str">
        <f t="shared" si="1894"/>
      </c>
      <c r="AK796" s="856" t="str">
        <f t="shared" si="1894"/>
      </c>
      <c r="AL796" s="856" t="str">
        <f t="shared" si="1894"/>
      </c>
      <c r="AM796" s="857" t="str">
        <f t="shared" si="1894"/>
      </c>
      <c r="AN796" s="856" t="str">
        <f t="shared" ref="AN796:AW797" si="1895">IF(AI791="NM","NM",IF(AN791="NM","NM",IF(AI791&lt;=0,"NM",IF(AN791=0,"NM",IF(ABS(AN791/AI791-1)&gt;2.5,"NM",IF((ABS(AN791-AI791)=ABS(ABS(AN791)-ABS(AI791))),(AN791/AI791-1),"NM"))))))</f>
      </c>
      <c r="AO796" s="856" t="str">
        <f t="shared" si="1895"/>
      </c>
      <c r="AP796" s="856" t="str">
        <f t="shared" si="1895"/>
      </c>
      <c r="AQ796" s="856" t="str">
        <f t="shared" si="1895"/>
      </c>
      <c r="AR796" s="857" t="str">
        <f t="shared" si="1895"/>
      </c>
      <c r="AS796" s="856" t="str">
        <f t="shared" si="1895"/>
      </c>
      <c r="AT796" s="856" t="str">
        <f t="shared" si="1895"/>
      </c>
      <c r="AU796" s="856" t="str">
        <f t="shared" si="1895"/>
      </c>
      <c r="AV796" s="856" t="str">
        <f t="shared" si="1895"/>
      </c>
      <c r="AW796" s="857" t="str">
        <f t="shared" si="1895"/>
      </c>
      <c r="AX796" s="856"/>
      <c r="AY796" s="856"/>
      <c r="AZ796" s="856"/>
      <c r="BA796" s="856"/>
      <c r="BB796" s="857"/>
      <c r="BC796" s="856"/>
      <c r="BD796" s="856"/>
      <c r="BE796" s="856"/>
      <c r="BF796" s="858"/>
      <c r="BG796" s="859"/>
      <c r="BH796" s="856"/>
      <c r="BI796" s="856"/>
      <c r="BJ796" s="856"/>
      <c r="BK796" s="858"/>
      <c r="BL796" s="859"/>
      <c r="BM796" s="856"/>
      <c r="BN796" s="856"/>
      <c r="BO796" s="856"/>
      <c r="BP796" s="858"/>
      <c r="BQ796" s="859"/>
      <c r="BR796" s="856"/>
      <c r="BS796" s="856"/>
      <c r="BT796" s="856"/>
      <c r="BU796" s="858"/>
      <c r="BV796" s="859"/>
      <c r="BW796" s="856"/>
      <c r="BX796" s="856"/>
      <c r="BY796" s="856"/>
      <c r="BZ796" s="856"/>
      <c r="CA796" s="859"/>
      <c r="CB796" s="856"/>
      <c r="CC796" s="856"/>
      <c r="CD796" s="856"/>
      <c r="CE796" s="856"/>
      <c r="CF796" s="859"/>
      <c r="CG796" s="856"/>
      <c r="CH796" s="856"/>
      <c r="CI796" s="856"/>
      <c r="CJ796" s="856"/>
      <c r="CK796" s="859"/>
      <c r="CL796" s="994"/>
      <c r="CM796" s="856"/>
      <c r="CN796" s="856"/>
      <c r="CO796" s="856"/>
      <c r="CP796" s="859"/>
      <c r="CQ796" s="856"/>
      <c r="CR796" s="856"/>
      <c r="CS796" s="856"/>
      <c r="CT796" s="856"/>
      <c r="CU796" s="859"/>
      <c r="CV796" s="856"/>
      <c r="CW796" s="856"/>
      <c r="CX796" s="856"/>
      <c r="CY796" s="856"/>
      <c r="CZ796" s="859"/>
      <c r="DA796" s="856"/>
      <c r="DB796" s="858"/>
      <c r="DC796" s="858"/>
      <c r="DD796" s="986"/>
      <c r="DE796" s="857"/>
      <c r="DF796" s="856"/>
      <c r="DG796" s="856"/>
      <c r="DH796" s="856"/>
      <c r="DI796" s="988"/>
      <c r="DJ796" s="857"/>
      <c r="DK796" s="857"/>
      <c r="DL796" s="857"/>
      <c r="DM796" s="857"/>
      <c r="DN796" s="857"/>
      <c r="DO796" s="857"/>
      <c r="DP796" s="857"/>
      <c r="DQ796" s="857"/>
      <c r="DR796" s="857"/>
      <c r="DS796" s="857"/>
      <c r="DT796" s="857"/>
      <c r="DU796" s="857"/>
      <c r="DV796" s="857"/>
      <c r="DW796" s="857"/>
      <c r="DX796" s="857"/>
      <c r="DY796" s="857"/>
      <c r="DZ796" s="857"/>
      <c r="EA796" s="857"/>
      <c r="EB796" s="857"/>
      <c r="EC796" s="857"/>
      <c r="ED796" s="857"/>
      <c r="EE796" s="994"/>
      <c r="EF796" s="857"/>
      <c r="EG796" s="857"/>
      <c r="EH796" s="857"/>
      <c r="EI796" s="857"/>
      <c r="EJ796" s="856"/>
      <c r="EK796" s="856"/>
      <c r="EL796" s="856"/>
      <c r="EM796" s="856"/>
      <c r="EN796" s="856"/>
      <c r="EO796" s="856"/>
      <c r="EP796" s="856"/>
      <c r="EQ796" s="856"/>
      <c r="ER796" s="856"/>
      <c r="ES796" s="856"/>
      <c r="ET796" s="988"/>
      <c r="EU796" s="856"/>
      <c r="EV796" s="856"/>
      <c r="EW796" s="856"/>
      <c r="EX796" s="856"/>
    </row>
    <row r="797" spans="2:154" outlineLevel="1">
      <c r="B797" s="855" t="s">
        <v>412</v>
      </c>
      <c r="C797" s="990"/>
      <c r="D797" s="849"/>
      <c r="E797" s="849"/>
      <c r="F797" s="849"/>
      <c r="G797" s="849"/>
      <c r="H797" s="849"/>
      <c r="I797" s="856">
        <v>-0.01</v>
      </c>
      <c r="J797" s="856">
        <f t="shared" si="1892"/>
      </c>
      <c r="K797" s="856">
        <f t="shared" si="1892"/>
      </c>
      <c r="L797" s="856">
        <f t="shared" si="1892"/>
      </c>
      <c r="M797" s="856">
        <f t="shared" si="1892"/>
      </c>
      <c r="N797" s="856">
        <f t="shared" si="1892"/>
      </c>
      <c r="O797" s="856">
        <f t="shared" si="1892"/>
      </c>
      <c r="P797" s="856">
        <f t="shared" si="1892"/>
      </c>
      <c r="Q797" s="856">
        <f t="shared" si="1892"/>
      </c>
      <c r="R797" s="856" t="str">
        <f t="shared" si="1892"/>
      </c>
      <c r="S797" s="856">
        <f t="shared" si="1892"/>
      </c>
      <c r="T797" s="856">
        <f t="shared" si="1893"/>
      </c>
      <c r="U797" s="856" t="str">
        <f t="shared" si="1893"/>
      </c>
      <c r="V797" s="856" t="str">
        <f t="shared" si="1893"/>
      </c>
      <c r="W797" s="856" t="str">
        <f t="shared" si="1893"/>
      </c>
      <c r="X797" s="857">
        <f t="shared" si="1893"/>
      </c>
      <c r="Y797" s="856" t="str">
        <f t="shared" si="1893"/>
      </c>
      <c r="Z797" s="856" t="str">
        <f t="shared" si="1893"/>
      </c>
      <c r="AA797" s="856" t="str">
        <f t="shared" si="1893"/>
      </c>
      <c r="AB797" s="856" t="str">
        <f t="shared" si="1893"/>
      </c>
      <c r="AC797" s="857" t="str">
        <f t="shared" si="1893"/>
      </c>
      <c r="AD797" s="856" t="str">
        <f t="shared" si="1894"/>
      </c>
      <c r="AE797" s="856" t="str">
        <f t="shared" si="1894"/>
      </c>
      <c r="AF797" s="856" t="str">
        <f t="shared" si="1894"/>
      </c>
      <c r="AG797" s="856" t="str">
        <f t="shared" si="1894"/>
      </c>
      <c r="AH797" s="857" t="str">
        <f t="shared" si="1894"/>
      </c>
      <c r="AI797" s="856" t="str">
        <f t="shared" si="1894"/>
      </c>
      <c r="AJ797" s="856" t="str">
        <f t="shared" si="1894"/>
      </c>
      <c r="AK797" s="856" t="str">
        <f t="shared" si="1894"/>
      </c>
      <c r="AL797" s="856" t="str">
        <f t="shared" si="1894"/>
      </c>
      <c r="AM797" s="857" t="str">
        <f t="shared" si="1894"/>
      </c>
      <c r="AN797" s="856" t="str">
        <f t="shared" si="1895"/>
      </c>
      <c r="AO797" s="856" t="str">
        <f t="shared" si="1895"/>
      </c>
      <c r="AP797" s="856" t="str">
        <f t="shared" si="1895"/>
      </c>
      <c r="AQ797" s="856" t="str">
        <f t="shared" si="1895"/>
      </c>
      <c r="AR797" s="857" t="str">
        <f t="shared" si="1895"/>
      </c>
      <c r="AS797" s="856" t="str">
        <f t="shared" si="1895"/>
      </c>
      <c r="AT797" s="856" t="str">
        <f t="shared" si="1895"/>
      </c>
      <c r="AU797" s="856" t="str">
        <f t="shared" si="1895"/>
      </c>
      <c r="AV797" s="856" t="str">
        <f t="shared" si="1895"/>
      </c>
      <c r="AW797" s="857" t="str">
        <f t="shared" si="1895"/>
      </c>
      <c r="AX797" s="856"/>
      <c r="AY797" s="856"/>
      <c r="AZ797" s="856"/>
      <c r="BA797" s="856"/>
      <c r="BB797" s="857"/>
      <c r="BC797" s="856"/>
      <c r="BD797" s="856"/>
      <c r="BE797" s="856"/>
      <c r="BF797" s="858"/>
      <c r="BG797" s="859"/>
      <c r="BH797" s="856"/>
      <c r="BI797" s="856"/>
      <c r="BJ797" s="856"/>
      <c r="BK797" s="858"/>
      <c r="BL797" s="859"/>
      <c r="BM797" s="856"/>
      <c r="BN797" s="856"/>
      <c r="BO797" s="856"/>
      <c r="BP797" s="858"/>
      <c r="BQ797" s="859"/>
      <c r="BR797" s="856"/>
      <c r="BS797" s="856"/>
      <c r="BT797" s="856"/>
      <c r="BU797" s="858"/>
      <c r="BV797" s="859"/>
      <c r="BW797" s="856"/>
      <c r="BX797" s="856"/>
      <c r="BY797" s="856"/>
      <c r="BZ797" s="856"/>
      <c r="CA797" s="859"/>
      <c r="CB797" s="856"/>
      <c r="CC797" s="856"/>
      <c r="CD797" s="856"/>
      <c r="CE797" s="856"/>
      <c r="CF797" s="859"/>
      <c r="CG797" s="856"/>
      <c r="CH797" s="856"/>
      <c r="CI797" s="856"/>
      <c r="CJ797" s="856"/>
      <c r="CK797" s="859"/>
      <c r="CL797" s="994"/>
      <c r="CM797" s="856"/>
      <c r="CN797" s="856"/>
      <c r="CO797" s="856"/>
      <c r="CP797" s="859"/>
      <c r="CQ797" s="856"/>
      <c r="CR797" s="856"/>
      <c r="CS797" s="856"/>
      <c r="CT797" s="856"/>
      <c r="CU797" s="859"/>
      <c r="CV797" s="856"/>
      <c r="CW797" s="856"/>
      <c r="CX797" s="856"/>
      <c r="CY797" s="856"/>
      <c r="CZ797" s="859"/>
      <c r="DA797" s="856"/>
      <c r="DB797" s="858"/>
      <c r="DC797" s="858"/>
      <c r="DD797" s="986"/>
      <c r="DE797" s="857"/>
      <c r="DF797" s="856"/>
      <c r="DG797" s="856"/>
      <c r="DH797" s="856"/>
      <c r="DI797" s="988"/>
      <c r="DJ797" s="857"/>
      <c r="DK797" s="857"/>
      <c r="DL797" s="857"/>
      <c r="DM797" s="857"/>
      <c r="DN797" s="857"/>
      <c r="DO797" s="857"/>
      <c r="DP797" s="857"/>
      <c r="DQ797" s="857"/>
      <c r="DR797" s="857"/>
      <c r="DS797" s="857"/>
      <c r="DT797" s="857"/>
      <c r="DU797" s="857"/>
      <c r="DV797" s="857"/>
      <c r="DW797" s="857"/>
      <c r="DX797" s="857"/>
      <c r="DY797" s="857"/>
      <c r="DZ797" s="857"/>
      <c r="EA797" s="857"/>
      <c r="EB797" s="857"/>
      <c r="EC797" s="857"/>
      <c r="ED797" s="857"/>
      <c r="EE797" s="994"/>
      <c r="EF797" s="857"/>
      <c r="EG797" s="857"/>
      <c r="EH797" s="857"/>
      <c r="EI797" s="857"/>
      <c r="EJ797" s="856"/>
      <c r="EK797" s="856"/>
      <c r="EL797" s="856"/>
      <c r="EM797" s="856"/>
      <c r="EN797" s="856"/>
      <c r="EO797" s="856"/>
      <c r="EP797" s="856"/>
      <c r="EQ797" s="856"/>
      <c r="ER797" s="856"/>
      <c r="ES797" s="856"/>
      <c r="ET797" s="988"/>
      <c r="EU797" s="856"/>
      <c r="EV797" s="856"/>
      <c r="EW797" s="856"/>
      <c r="EX797" s="856"/>
    </row>
    <row r="798" spans="2:154" outlineLevel="1">
      <c r="B798" s="855" t="s">
        <v>256</v>
      </c>
      <c r="C798" s="990"/>
      <c r="D798" s="849"/>
      <c r="E798" s="849"/>
      <c r="F798" s="849"/>
      <c r="G798" s="849"/>
      <c r="H798" s="849"/>
      <c r="I798" s="860"/>
      <c r="J798" s="860"/>
      <c r="K798" s="860"/>
      <c r="L798" s="860"/>
      <c r="M798" s="860"/>
      <c r="N798" s="860"/>
      <c r="O798" s="860"/>
      <c r="P798" s="860"/>
      <c r="Q798" s="860"/>
      <c r="R798" s="860"/>
      <c r="S798" s="860"/>
      <c r="T798" s="860"/>
      <c r="U798" s="860"/>
      <c r="V798" s="860"/>
      <c r="W798" s="860"/>
      <c r="X798" s="853"/>
      <c r="Y798" s="860"/>
      <c r="Z798" s="860"/>
      <c r="AA798" s="860"/>
      <c r="AB798" s="860"/>
      <c r="AC798" s="853"/>
      <c r="AD798" s="860"/>
      <c r="AE798" s="860"/>
      <c r="AF798" s="860"/>
      <c r="AG798" s="860"/>
      <c r="AH798" s="853"/>
      <c r="AI798" s="860"/>
      <c r="AJ798" s="860"/>
      <c r="AK798" s="860"/>
      <c r="AL798" s="860"/>
      <c r="AM798" s="853"/>
      <c r="AN798" s="860"/>
      <c r="AO798" s="860"/>
      <c r="AP798" s="860"/>
      <c r="AQ798" s="860"/>
      <c r="AR798" s="853"/>
      <c r="AS798" s="860"/>
      <c r="AT798" s="860"/>
      <c r="AU798" s="860"/>
      <c r="AV798" s="860"/>
      <c r="AW798" s="853"/>
      <c r="AX798" s="860"/>
      <c r="AY798" s="860"/>
      <c r="AZ798" s="860"/>
      <c r="BA798" s="860"/>
      <c r="BB798" s="853"/>
      <c r="BC798" s="860"/>
      <c r="BD798" s="860"/>
      <c r="BE798" s="860"/>
      <c r="BF798" s="860"/>
      <c r="BG798" s="853"/>
      <c r="BH798" s="860"/>
      <c r="BI798" s="860"/>
      <c r="BJ798" s="860"/>
      <c r="BK798" s="860"/>
      <c r="BL798" s="853"/>
      <c r="BM798" s="860"/>
      <c r="BN798" s="860"/>
      <c r="BO798" s="860"/>
      <c r="BP798" s="860"/>
      <c r="BQ798" s="853"/>
      <c r="BR798" s="860"/>
      <c r="BS798" s="860"/>
      <c r="BT798" s="860"/>
      <c r="BU798" s="860"/>
      <c r="BV798" s="853"/>
      <c r="BW798" s="860"/>
      <c r="BX798" s="860"/>
      <c r="BY798" s="860"/>
      <c r="BZ798" s="860"/>
      <c r="CA798" s="853"/>
      <c r="CB798" s="860"/>
      <c r="CC798" s="860"/>
      <c r="CD798" s="860"/>
      <c r="CE798" s="860"/>
      <c r="CF798" s="853"/>
      <c r="CG798" s="860"/>
      <c r="CH798" s="860"/>
      <c r="CI798" s="860"/>
      <c r="CJ798" s="860"/>
      <c r="CK798" s="853"/>
      <c r="CL798" s="995"/>
      <c r="CM798" s="860"/>
      <c r="CN798" s="860"/>
      <c r="CO798" s="860"/>
      <c r="CP798" s="853"/>
      <c r="CQ798" s="860"/>
      <c r="CR798" s="860"/>
      <c r="CS798" s="860"/>
      <c r="CT798" s="860"/>
      <c r="CU798" s="853"/>
      <c r="CV798" s="860"/>
      <c r="CW798" s="860"/>
      <c r="CX798" s="860"/>
      <c r="CY798" s="860"/>
      <c r="CZ798" s="853"/>
      <c r="DA798" s="860"/>
      <c r="DB798" s="860"/>
      <c r="DC798" s="860"/>
      <c r="DD798" s="987"/>
      <c r="DE798" s="1892"/>
      <c r="DF798" s="1893"/>
      <c r="DG798" s="1893"/>
      <c r="DH798" s="1893"/>
      <c r="DI798" s="1894"/>
      <c r="DJ798" s="1892"/>
      <c r="DK798" s="1892"/>
      <c r="DL798" s="1892"/>
      <c r="DM798" s="1892"/>
      <c r="DN798" s="1892"/>
      <c r="DO798" s="1892"/>
      <c r="DP798" s="1892"/>
      <c r="DQ798" s="1892"/>
      <c r="DR798" s="1892"/>
      <c r="DS798" s="1892"/>
      <c r="DT798" s="1892"/>
      <c r="DU798" s="1892"/>
      <c r="DV798" s="1892"/>
      <c r="DW798" s="1892"/>
      <c r="DX798" s="1892"/>
      <c r="DY798" s="1892"/>
      <c r="DZ798" s="1892"/>
      <c r="EA798" s="1892"/>
      <c r="EB798" s="1892"/>
      <c r="EC798" s="1892"/>
      <c r="ED798" s="1892"/>
      <c r="EE798" s="3551"/>
      <c r="EF798" s="1892"/>
      <c r="EG798" s="1892"/>
      <c r="EH798" s="1892"/>
      <c r="EI798" s="1892"/>
      <c r="EJ798" s="1893"/>
      <c r="EK798" s="1893"/>
      <c r="EL798" s="1893"/>
      <c r="EM798" s="1893"/>
      <c r="EN798" s="1893"/>
      <c r="EO798" s="1893"/>
      <c r="EP798" s="1893"/>
      <c r="EQ798" s="1893"/>
      <c r="ER798" s="1893"/>
      <c r="ES798" s="1893"/>
      <c r="ET798" s="1894"/>
      <c r="EU798" s="1893"/>
      <c r="EV798" s="1893"/>
      <c r="EW798" s="1893"/>
      <c r="EX798" s="1893"/>
    </row>
    <row r="799" spans="2:154" outlineLevel="1">
      <c r="B799" s="855" t="s">
        <v>413</v>
      </c>
      <c r="C799" s="990"/>
      <c r="D799" s="849"/>
      <c r="E799" s="849"/>
      <c r="F799" s="849"/>
      <c r="G799" s="849"/>
      <c r="H799" s="849"/>
      <c r="I799" s="856">
        <v>-0.04</v>
      </c>
      <c r="J799" s="856">
        <f t="shared" ref="J799:AO799" si="1896">IF(E793="NM","NM",IF(J793="NM","NM",IF(E793&lt;=0,"NM",IF(J793=0,"NM",IF(ABS(J793/E793-1)&gt;2.5,"NM",IF((ABS(J793-E793)=ABS(ABS(J793)-ABS(E793))),(J793/E793-1),"NM"))))))</f>
      </c>
      <c r="K799" s="856">
        <f t="shared" si="1896"/>
      </c>
      <c r="L799" s="856">
        <f t="shared" si="1896"/>
      </c>
      <c r="M799" s="856" t="str">
        <f t="shared" si="1896"/>
      </c>
      <c r="N799" s="856">
        <f t="shared" si="1896"/>
      </c>
      <c r="O799" s="856">
        <f t="shared" si="1896"/>
      </c>
      <c r="P799" s="856">
        <f t="shared" si="1896"/>
      </c>
      <c r="Q799" s="856">
        <f t="shared" si="1896"/>
      </c>
      <c r="R799" s="856" t="str">
        <f t="shared" si="1896"/>
      </c>
      <c r="S799" s="856">
        <f t="shared" si="1896"/>
      </c>
      <c r="T799" s="856">
        <f t="shared" si="1896"/>
      </c>
      <c r="U799" s="856" t="str">
        <f t="shared" si="1896"/>
      </c>
      <c r="V799" s="856" t="str">
        <f t="shared" si="1896"/>
      </c>
      <c r="W799" s="856" t="str">
        <f t="shared" si="1896"/>
      </c>
      <c r="X799" s="857">
        <f t="shared" si="1896"/>
      </c>
      <c r="Y799" s="856" t="str">
        <f t="shared" si="1896"/>
      </c>
      <c r="Z799" s="856" t="str">
        <f t="shared" si="1896"/>
      </c>
      <c r="AA799" s="856" t="str">
        <f t="shared" si="1896"/>
      </c>
      <c r="AB799" s="856" t="str">
        <f t="shared" si="1896"/>
      </c>
      <c r="AC799" s="857" t="str">
        <f t="shared" si="1896"/>
      </c>
      <c r="AD799" s="856" t="str">
        <f t="shared" si="1896"/>
      </c>
      <c r="AE799" s="856" t="str">
        <f t="shared" si="1896"/>
      </c>
      <c r="AF799" s="856" t="str">
        <f t="shared" si="1896"/>
      </c>
      <c r="AG799" s="856" t="str">
        <f t="shared" si="1896"/>
      </c>
      <c r="AH799" s="857" t="str">
        <f t="shared" si="1896"/>
      </c>
      <c r="AI799" s="856" t="str">
        <f t="shared" si="1896"/>
      </c>
      <c r="AJ799" s="856" t="str">
        <f t="shared" si="1896"/>
      </c>
      <c r="AK799" s="856" t="str">
        <f t="shared" si="1896"/>
      </c>
      <c r="AL799" s="856" t="str">
        <f t="shared" si="1896"/>
      </c>
      <c r="AM799" s="857" t="str">
        <f t="shared" si="1896"/>
      </c>
      <c r="AN799" s="856" t="str">
        <f t="shared" si="1896"/>
      </c>
      <c r="AO799" s="856" t="str">
        <f t="shared" si="1896"/>
      </c>
      <c r="AP799" s="856" t="str">
        <f t="shared" ref="AP799:AW799" si="1897">IF(AK793="NM","NM",IF(AP793="NM","NM",IF(AK793&lt;=0,"NM",IF(AP793=0,"NM",IF(ABS(AP793/AK793-1)&gt;2.5,"NM",IF((ABS(AP793-AK793)=ABS(ABS(AP793)-ABS(AK793))),(AP793/AK793-1),"NM"))))))</f>
      </c>
      <c r="AQ799" s="856" t="str">
        <f t="shared" si="1897"/>
      </c>
      <c r="AR799" s="857" t="str">
        <f t="shared" si="1897"/>
      </c>
      <c r="AS799" s="856" t="str">
        <f t="shared" si="1897"/>
      </c>
      <c r="AT799" s="856" t="str">
        <f t="shared" si="1897"/>
      </c>
      <c r="AU799" s="856" t="str">
        <f t="shared" si="1897"/>
      </c>
      <c r="AV799" s="856" t="str">
        <f t="shared" si="1897"/>
      </c>
      <c r="AW799" s="857" t="str">
        <f t="shared" si="1897"/>
      </c>
      <c r="AX799" s="856"/>
      <c r="AY799" s="856"/>
      <c r="AZ799" s="856"/>
      <c r="BA799" s="856"/>
      <c r="BB799" s="857"/>
      <c r="BC799" s="856"/>
      <c r="BD799" s="856"/>
      <c r="BE799" s="856"/>
      <c r="BF799" s="856"/>
      <c r="BG799" s="857"/>
      <c r="BH799" s="856"/>
      <c r="BI799" s="856"/>
      <c r="BJ799" s="856"/>
      <c r="BK799" s="856"/>
      <c r="BL799" s="857"/>
      <c r="BM799" s="856"/>
      <c r="BN799" s="856"/>
      <c r="BO799" s="856"/>
      <c r="BP799" s="856"/>
      <c r="BQ799" s="857"/>
      <c r="BR799" s="856"/>
      <c r="BS799" s="856"/>
      <c r="BT799" s="856"/>
      <c r="BU799" s="856"/>
      <c r="BV799" s="857"/>
      <c r="BW799" s="856"/>
      <c r="BX799" s="856"/>
      <c r="BY799" s="856"/>
      <c r="BZ799" s="856"/>
      <c r="CA799" s="857"/>
      <c r="CB799" s="856"/>
      <c r="CC799" s="856"/>
      <c r="CD799" s="856"/>
      <c r="CE799" s="856"/>
      <c r="CF799" s="857"/>
      <c r="CG799" s="856"/>
      <c r="CH799" s="856"/>
      <c r="CI799" s="856"/>
      <c r="CJ799" s="856"/>
      <c r="CK799" s="857"/>
      <c r="CL799" s="994"/>
      <c r="CM799" s="856"/>
      <c r="CN799" s="856"/>
      <c r="CO799" s="856"/>
      <c r="CP799" s="857"/>
      <c r="CQ799" s="856"/>
      <c r="CR799" s="856"/>
      <c r="CS799" s="856"/>
      <c r="CT799" s="856"/>
      <c r="CU799" s="857"/>
      <c r="CV799" s="856"/>
      <c r="CW799" s="856"/>
      <c r="CX799" s="856"/>
      <c r="CY799" s="856"/>
      <c r="CZ799" s="857"/>
      <c r="DA799" s="856"/>
      <c r="DB799" s="856"/>
      <c r="DC799" s="856"/>
      <c r="DD799" s="988"/>
      <c r="DE799" s="857"/>
      <c r="DF799" s="856"/>
      <c r="DG799" s="856"/>
      <c r="DH799" s="856"/>
      <c r="DI799" s="988"/>
      <c r="DJ799" s="857"/>
      <c r="DK799" s="857"/>
      <c r="DL799" s="857"/>
      <c r="DM799" s="857"/>
      <c r="DN799" s="857"/>
      <c r="DO799" s="857"/>
      <c r="DP799" s="857"/>
      <c r="DQ799" s="857"/>
      <c r="DR799" s="857"/>
      <c r="DS799" s="857"/>
      <c r="DT799" s="857"/>
      <c r="DU799" s="857"/>
      <c r="DV799" s="857"/>
      <c r="DW799" s="857"/>
      <c r="DX799" s="857"/>
      <c r="DY799" s="857"/>
      <c r="DZ799" s="857"/>
      <c r="EA799" s="857"/>
      <c r="EB799" s="857"/>
      <c r="EC799" s="857"/>
      <c r="ED799" s="857"/>
      <c r="EE799" s="994"/>
      <c r="EF799" s="857"/>
      <c r="EG799" s="857"/>
      <c r="EH799" s="857"/>
      <c r="EI799" s="857"/>
      <c r="EJ799" s="856"/>
      <c r="EK799" s="856"/>
      <c r="EL799" s="856"/>
      <c r="EM799" s="856"/>
      <c r="EN799" s="856"/>
      <c r="EO799" s="856"/>
      <c r="EP799" s="856"/>
      <c r="EQ799" s="856"/>
      <c r="ER799" s="856"/>
      <c r="ES799" s="856"/>
      <c r="ET799" s="988"/>
      <c r="EU799" s="856"/>
      <c r="EV799" s="856"/>
      <c r="EW799" s="856"/>
      <c r="EX799" s="856"/>
    </row>
    <row r="800" spans="2:154" outlineLevel="1">
      <c r="B800" s="852"/>
      <c r="C800" s="990"/>
      <c r="D800" s="849"/>
      <c r="E800" s="849"/>
      <c r="F800" s="849"/>
      <c r="G800" s="849"/>
      <c r="H800" s="849"/>
      <c r="I800" s="849"/>
      <c r="J800" s="849"/>
      <c r="K800" s="849"/>
      <c r="L800" s="849"/>
      <c r="M800" s="849"/>
      <c r="N800" s="849"/>
      <c r="O800" s="849"/>
      <c r="P800" s="849"/>
      <c r="Q800" s="849"/>
      <c r="R800" s="849"/>
      <c r="S800" s="849"/>
      <c r="T800" s="849"/>
      <c r="U800" s="849"/>
      <c r="V800" s="849"/>
      <c r="W800" s="849"/>
      <c r="X800" s="850"/>
      <c r="Y800" s="849"/>
      <c r="Z800" s="849"/>
      <c r="AA800" s="849"/>
      <c r="AB800" s="849"/>
      <c r="AC800" s="850"/>
      <c r="AD800" s="849"/>
      <c r="AE800" s="849"/>
      <c r="AF800" s="849"/>
      <c r="AG800" s="849"/>
      <c r="AH800" s="850"/>
      <c r="AI800" s="849"/>
      <c r="AJ800" s="849"/>
      <c r="AK800" s="849"/>
      <c r="AL800" s="849"/>
      <c r="AM800" s="850"/>
      <c r="AN800" s="849"/>
      <c r="AO800" s="849"/>
      <c r="AP800" s="849"/>
      <c r="AQ800" s="849"/>
      <c r="AR800" s="850"/>
      <c r="AS800" s="849"/>
      <c r="AT800" s="849"/>
      <c r="AU800" s="849"/>
      <c r="AV800" s="849"/>
      <c r="AW800" s="850"/>
      <c r="AX800" s="849"/>
      <c r="AY800" s="849"/>
      <c r="AZ800" s="849"/>
      <c r="BA800" s="849"/>
      <c r="BB800" s="850"/>
      <c r="BC800" s="849"/>
      <c r="BD800" s="849"/>
      <c r="BE800" s="849"/>
      <c r="BF800" s="849"/>
      <c r="BG800" s="850"/>
      <c r="BH800" s="849"/>
      <c r="BI800" s="849"/>
      <c r="BJ800" s="849"/>
      <c r="BK800" s="849"/>
      <c r="BL800" s="850"/>
      <c r="BM800" s="849"/>
      <c r="BN800" s="849"/>
      <c r="BO800" s="849"/>
      <c r="BP800" s="849"/>
      <c r="BQ800" s="850"/>
      <c r="BR800" s="849"/>
      <c r="BS800" s="849"/>
      <c r="BT800" s="849"/>
      <c r="BU800" s="849"/>
      <c r="BV800" s="850"/>
      <c r="BW800" s="849"/>
      <c r="BX800" s="849"/>
      <c r="BY800" s="849"/>
      <c r="BZ800" s="849"/>
      <c r="CA800" s="850"/>
      <c r="CB800" s="849"/>
      <c r="CC800" s="849"/>
      <c r="CD800" s="849"/>
      <c r="CE800" s="849"/>
      <c r="CF800" s="850"/>
      <c r="CG800" s="849"/>
      <c r="CH800" s="849"/>
      <c r="CI800" s="849"/>
      <c r="CJ800" s="849"/>
      <c r="CK800" s="850"/>
      <c r="CL800" s="993"/>
      <c r="CM800" s="849"/>
      <c r="CN800" s="849"/>
      <c r="CO800" s="849"/>
      <c r="CP800" s="850"/>
      <c r="CQ800" s="849"/>
      <c r="CR800" s="849"/>
      <c r="CS800" s="849"/>
      <c r="CT800" s="849"/>
      <c r="CU800" s="850"/>
      <c r="CV800" s="849"/>
      <c r="CW800" s="849"/>
      <c r="CX800" s="849"/>
      <c r="CY800" s="849"/>
      <c r="CZ800" s="850"/>
      <c r="DA800" s="849"/>
      <c r="DB800" s="849"/>
      <c r="DC800" s="849"/>
      <c r="DD800" s="985"/>
      <c r="DE800" s="1889"/>
      <c r="DF800" s="1890"/>
      <c r="DG800" s="1890"/>
      <c r="DH800" s="1890"/>
      <c r="DI800" s="1891"/>
      <c r="DJ800" s="1889"/>
      <c r="DK800" s="1889"/>
      <c r="DL800" s="1889"/>
      <c r="DM800" s="1889"/>
      <c r="DN800" s="1889"/>
      <c r="DO800" s="1889"/>
      <c r="DP800" s="1889"/>
      <c r="DQ800" s="1889"/>
      <c r="DR800" s="1889"/>
      <c r="DS800" s="1889"/>
      <c r="DT800" s="1889"/>
      <c r="DU800" s="1889"/>
      <c r="DV800" s="1889"/>
      <c r="DW800" s="1889"/>
      <c r="DX800" s="1889"/>
      <c r="DY800" s="1889"/>
      <c r="DZ800" s="1889"/>
      <c r="EA800" s="1889"/>
      <c r="EB800" s="1889"/>
      <c r="EC800" s="1889"/>
      <c r="ED800" s="1889"/>
      <c r="EE800" s="3550"/>
      <c r="EF800" s="1889"/>
      <c r="EG800" s="1889"/>
      <c r="EH800" s="1889"/>
      <c r="EI800" s="1889"/>
      <c r="EJ800" s="1890"/>
      <c r="EK800" s="1890"/>
      <c r="EL800" s="1890"/>
      <c r="EM800" s="1890"/>
      <c r="EN800" s="1890"/>
      <c r="EO800" s="1890"/>
      <c r="EP800" s="1890"/>
      <c r="EQ800" s="1890"/>
      <c r="ER800" s="1890"/>
      <c r="ES800" s="1890"/>
      <c r="ET800" s="1891"/>
      <c r="EU800" s="1890"/>
      <c r="EV800" s="1890"/>
      <c r="EW800" s="1890"/>
      <c r="EX800" s="1890"/>
    </row>
    <row r="801" spans="2:154" outlineLevel="1">
      <c r="B801" s="852"/>
      <c r="C801" s="990"/>
      <c r="D801" s="849"/>
      <c r="E801" s="849"/>
      <c r="F801" s="849"/>
      <c r="G801" s="849"/>
      <c r="H801" s="849"/>
      <c r="I801" s="849"/>
      <c r="J801" s="849"/>
      <c r="K801" s="849"/>
      <c r="L801" s="849"/>
      <c r="M801" s="849"/>
      <c r="N801" s="849"/>
      <c r="O801" s="849"/>
      <c r="P801" s="849"/>
      <c r="Q801" s="849"/>
      <c r="R801" s="849"/>
      <c r="S801" s="849"/>
      <c r="T801" s="849"/>
      <c r="U801" s="849"/>
      <c r="V801" s="849"/>
      <c r="W801" s="849"/>
      <c r="X801" s="850"/>
      <c r="Y801" s="849"/>
      <c r="Z801" s="849"/>
      <c r="AA801" s="849"/>
      <c r="AB801" s="849"/>
      <c r="AC801" s="850"/>
      <c r="AD801" s="849"/>
      <c r="AE801" s="849"/>
      <c r="AF801" s="849"/>
      <c r="AG801" s="849"/>
      <c r="AH801" s="850"/>
      <c r="AI801" s="849"/>
      <c r="AJ801" s="849"/>
      <c r="AK801" s="849"/>
      <c r="AL801" s="849"/>
      <c r="AM801" s="850"/>
      <c r="AN801" s="849"/>
      <c r="AO801" s="849"/>
      <c r="AP801" s="849"/>
      <c r="AQ801" s="849"/>
      <c r="AR801" s="850"/>
      <c r="AS801" s="849"/>
      <c r="AT801" s="849"/>
      <c r="AU801" s="849"/>
      <c r="AV801" s="849"/>
      <c r="AW801" s="850"/>
      <c r="AX801" s="849"/>
      <c r="AY801" s="849"/>
      <c r="AZ801" s="849"/>
      <c r="BA801" s="849"/>
      <c r="BB801" s="850"/>
      <c r="BC801" s="849"/>
      <c r="BD801" s="849"/>
      <c r="BE801" s="849"/>
      <c r="BF801" s="849"/>
      <c r="BG801" s="850"/>
      <c r="BH801" s="849"/>
      <c r="BI801" s="849"/>
      <c r="BJ801" s="849"/>
      <c r="BK801" s="849"/>
      <c r="BL801" s="850"/>
      <c r="BM801" s="849"/>
      <c r="BN801" s="849"/>
      <c r="BO801" s="849"/>
      <c r="BP801" s="849"/>
      <c r="BQ801" s="850"/>
      <c r="BR801" s="849"/>
      <c r="BS801" s="849"/>
      <c r="BT801" s="849"/>
      <c r="BU801" s="849"/>
      <c r="BV801" s="850"/>
      <c r="BW801" s="849"/>
      <c r="BX801" s="849"/>
      <c r="BY801" s="849"/>
      <c r="BZ801" s="849"/>
      <c r="CA801" s="850"/>
      <c r="CB801" s="849"/>
      <c r="CC801" s="849"/>
      <c r="CD801" s="849"/>
      <c r="CE801" s="849"/>
      <c r="CF801" s="850"/>
      <c r="CG801" s="849"/>
      <c r="CH801" s="849"/>
      <c r="CI801" s="849"/>
      <c r="CJ801" s="849"/>
      <c r="CK801" s="850"/>
      <c r="CL801" s="993"/>
      <c r="CM801" s="849"/>
      <c r="CN801" s="849"/>
      <c r="CO801" s="849"/>
      <c r="CP801" s="850"/>
      <c r="CQ801" s="849"/>
      <c r="CR801" s="849"/>
      <c r="CS801" s="849"/>
      <c r="CT801" s="849"/>
      <c r="CU801" s="850"/>
      <c r="CV801" s="849"/>
      <c r="CW801" s="849"/>
      <c r="CX801" s="849"/>
      <c r="CY801" s="849"/>
      <c r="CZ801" s="850"/>
      <c r="DA801" s="849"/>
      <c r="DB801" s="849"/>
      <c r="DC801" s="849"/>
      <c r="DD801" s="985"/>
      <c r="DE801" s="1889"/>
      <c r="DF801" s="1890"/>
      <c r="DG801" s="1890"/>
      <c r="DH801" s="1890"/>
      <c r="DI801" s="1891"/>
      <c r="DJ801" s="1889"/>
      <c r="DK801" s="1889"/>
      <c r="DL801" s="1889"/>
      <c r="DM801" s="1889"/>
      <c r="DN801" s="1889"/>
      <c r="DO801" s="1889"/>
      <c r="DP801" s="1889"/>
      <c r="DQ801" s="1889"/>
      <c r="DR801" s="1889"/>
      <c r="DS801" s="1889"/>
      <c r="DT801" s="1889"/>
      <c r="DU801" s="1889"/>
      <c r="DV801" s="1889"/>
      <c r="DW801" s="1889"/>
      <c r="DX801" s="1889"/>
      <c r="DY801" s="1889"/>
      <c r="DZ801" s="1889"/>
      <c r="EA801" s="1889"/>
      <c r="EB801" s="1889"/>
      <c r="EC801" s="1889"/>
      <c r="ED801" s="1889"/>
      <c r="EE801" s="3550"/>
      <c r="EF801" s="1889"/>
      <c r="EG801" s="1889"/>
      <c r="EH801" s="1889"/>
      <c r="EI801" s="1889"/>
      <c r="EJ801" s="1890"/>
      <c r="EK801" s="1890"/>
      <c r="EL801" s="1890"/>
      <c r="EM801" s="1890"/>
      <c r="EN801" s="1890"/>
      <c r="EO801" s="1890"/>
      <c r="EP801" s="1890"/>
      <c r="EQ801" s="1890"/>
      <c r="ER801" s="1890"/>
      <c r="ES801" s="1890"/>
      <c r="ET801" s="1891"/>
      <c r="EU801" s="1890"/>
      <c r="EV801" s="1890"/>
      <c r="EW801" s="1890"/>
      <c r="EX801" s="1890"/>
    </row>
    <row r="802" spans="2:154" outlineLevel="1">
      <c r="B802" s="848" t="s">
        <v>266</v>
      </c>
      <c r="C802" s="990"/>
      <c r="D802" s="849"/>
      <c r="E802" s="849"/>
      <c r="F802" s="849"/>
      <c r="G802" s="849"/>
      <c r="H802" s="849"/>
      <c r="I802" s="849"/>
      <c r="J802" s="849"/>
      <c r="K802" s="849"/>
      <c r="L802" s="849"/>
      <c r="M802" s="849"/>
      <c r="N802" s="849"/>
      <c r="O802" s="849"/>
      <c r="P802" s="849"/>
      <c r="Q802" s="849"/>
      <c r="R802" s="849"/>
      <c r="S802" s="849"/>
      <c r="T802" s="849"/>
      <c r="U802" s="849"/>
      <c r="V802" s="849"/>
      <c r="W802" s="849"/>
      <c r="X802" s="850"/>
      <c r="Y802" s="849"/>
      <c r="Z802" s="849"/>
      <c r="AA802" s="849"/>
      <c r="AB802" s="849"/>
      <c r="AC802" s="850"/>
      <c r="AD802" s="849"/>
      <c r="AE802" s="849"/>
      <c r="AF802" s="849"/>
      <c r="AG802" s="849"/>
      <c r="AH802" s="850"/>
      <c r="AI802" s="849"/>
      <c r="AJ802" s="849"/>
      <c r="AK802" s="849"/>
      <c r="AL802" s="849"/>
      <c r="AM802" s="850"/>
      <c r="AN802" s="849"/>
      <c r="AO802" s="849"/>
      <c r="AP802" s="849"/>
      <c r="AQ802" s="849"/>
      <c r="AR802" s="850"/>
      <c r="AS802" s="849"/>
      <c r="AT802" s="849"/>
      <c r="AU802" s="849"/>
      <c r="AV802" s="849"/>
      <c r="AW802" s="850"/>
      <c r="AX802" s="851"/>
      <c r="AY802" s="849"/>
      <c r="AZ802" s="849"/>
      <c r="BA802" s="849"/>
      <c r="BB802" s="850"/>
      <c r="BC802" s="849"/>
      <c r="BD802" s="849"/>
      <c r="BE802" s="849"/>
      <c r="BF802" s="849"/>
      <c r="BG802" s="850"/>
      <c r="BH802" s="849"/>
      <c r="BI802" s="849"/>
      <c r="BJ802" s="849"/>
      <c r="BK802" s="849"/>
      <c r="BL802" s="850"/>
      <c r="BM802" s="849"/>
      <c r="BN802" s="849"/>
      <c r="BO802" s="849"/>
      <c r="BP802" s="849"/>
      <c r="BQ802" s="850"/>
      <c r="BR802" s="849"/>
      <c r="BS802" s="849"/>
      <c r="BT802" s="849"/>
      <c r="BU802" s="849"/>
      <c r="BV802" s="850"/>
      <c r="BW802" s="849"/>
      <c r="BX802" s="849"/>
      <c r="BY802" s="849"/>
      <c r="BZ802" s="849"/>
      <c r="CA802" s="850"/>
      <c r="CB802" s="849"/>
      <c r="CC802" s="849"/>
      <c r="CD802" s="849"/>
      <c r="CE802" s="849"/>
      <c r="CF802" s="850"/>
      <c r="CG802" s="849"/>
      <c r="CH802" s="849"/>
      <c r="CI802" s="849"/>
      <c r="CJ802" s="849"/>
      <c r="CK802" s="850"/>
      <c r="CL802" s="993"/>
      <c r="CM802" s="849"/>
      <c r="CN802" s="849"/>
      <c r="CO802" s="849"/>
      <c r="CP802" s="850"/>
      <c r="CQ802" s="849"/>
      <c r="CR802" s="849"/>
      <c r="CS802" s="849"/>
      <c r="CT802" s="849"/>
      <c r="CU802" s="850"/>
      <c r="CV802" s="849"/>
      <c r="CW802" s="849"/>
      <c r="CX802" s="849"/>
      <c r="CY802" s="849"/>
      <c r="CZ802" s="850"/>
      <c r="DA802" s="849"/>
      <c r="DB802" s="849"/>
      <c r="DC802" s="849"/>
      <c r="DD802" s="985"/>
      <c r="DE802" s="1889"/>
      <c r="DF802" s="1890"/>
      <c r="DG802" s="1890"/>
      <c r="DH802" s="1890"/>
      <c r="DI802" s="1891"/>
      <c r="DJ802" s="1889"/>
      <c r="DK802" s="1889"/>
      <c r="DL802" s="1889"/>
      <c r="DM802" s="1889"/>
      <c r="DN802" s="1889"/>
      <c r="DO802" s="1889"/>
      <c r="DP802" s="1889"/>
      <c r="DQ802" s="1889"/>
      <c r="DR802" s="1889"/>
      <c r="DS802" s="1889"/>
      <c r="DT802" s="1889"/>
      <c r="DU802" s="1889"/>
      <c r="DV802" s="1889"/>
      <c r="DW802" s="1889"/>
      <c r="DX802" s="1889"/>
      <c r="DY802" s="1889"/>
      <c r="DZ802" s="1889"/>
      <c r="EA802" s="1889"/>
      <c r="EB802" s="1889"/>
      <c r="EC802" s="1889"/>
      <c r="ED802" s="1889"/>
      <c r="EE802" s="3550"/>
      <c r="EF802" s="1889"/>
      <c r="EG802" s="1889"/>
      <c r="EH802" s="1889"/>
      <c r="EI802" s="1889"/>
      <c r="EJ802" s="1890"/>
      <c r="EK802" s="1890"/>
      <c r="EL802" s="1890"/>
      <c r="EM802" s="1890"/>
      <c r="EN802" s="1890"/>
      <c r="EO802" s="1890"/>
      <c r="EP802" s="1890"/>
      <c r="EQ802" s="1890"/>
      <c r="ER802" s="1890"/>
      <c r="ES802" s="1890"/>
      <c r="ET802" s="1891"/>
      <c r="EU802" s="1890"/>
      <c r="EV802" s="1890"/>
      <c r="EW802" s="1890"/>
      <c r="EX802" s="1890"/>
    </row>
    <row r="803" spans="2:154" outlineLevel="1">
      <c r="B803" s="852" t="s">
        <v>187</v>
      </c>
      <c r="C803" s="2016">
        <v>43800</v>
      </c>
      <c r="D803" s="849">
        <v>635.98310291858672</v>
      </c>
      <c r="E803" s="849">
        <v>202</v>
      </c>
      <c r="F803" s="849">
        <v>197.61904761904762</v>
      </c>
      <c r="G803" s="849">
        <v>216</v>
      </c>
      <c r="H803" s="849">
        <v>173</v>
      </c>
      <c r="I803" s="849">
        <f>+SUM(E803:H803)</f>
      </c>
      <c r="J803" s="849">
        <v>222</v>
      </c>
      <c r="K803" s="849">
        <v>249</v>
      </c>
      <c r="L803" s="849">
        <v>213</v>
      </c>
      <c r="M803" s="849">
        <v>158</v>
      </c>
      <c r="N803" s="849">
        <f>+SUM(J803:M803)</f>
      </c>
      <c r="O803" s="849">
        <v>231</v>
      </c>
      <c r="P803" s="849">
        <v>260</v>
      </c>
      <c r="Q803" s="849">
        <v>168</v>
      </c>
      <c r="R803" s="849">
        <v>233</v>
      </c>
      <c r="S803" s="849">
        <f>SUM(O803:R803)</f>
      </c>
      <c r="T803" s="849">
        <v>224</v>
      </c>
      <c r="U803" s="849">
        <v>221</v>
      </c>
      <c r="V803" s="849">
        <v>237</v>
      </c>
      <c r="W803" s="849">
        <v>211</v>
      </c>
      <c r="X803" s="850">
        <f>SUM(T803:W803)</f>
      </c>
      <c r="Y803" s="849">
        <v>239</v>
      </c>
      <c r="Z803" s="849">
        <v>254</v>
      </c>
      <c r="AA803" s="849">
        <v>259</v>
      </c>
      <c r="AB803" s="849">
        <v>291</v>
      </c>
      <c r="AC803" s="850">
        <f>SUM(Y803:AB803)</f>
      </c>
      <c r="AD803" s="849">
        <v>263</v>
      </c>
      <c r="AE803" s="849">
        <v>323.2</v>
      </c>
      <c r="AF803" s="849">
        <v>256</v>
      </c>
      <c r="AG803" s="849">
        <v>253</v>
      </c>
      <c r="AH803" s="850">
        <f>SUM(AD803:AG803)</f>
      </c>
      <c r="AI803" s="849">
        <v>245</v>
      </c>
      <c r="AJ803" s="849">
        <v>242</v>
      </c>
      <c r="AK803" s="849">
        <v>227</v>
      </c>
      <c r="AL803" s="849">
        <v>206</v>
      </c>
      <c r="AM803" s="850">
        <f>+SUM(AI803:AL803)</f>
      </c>
      <c r="AN803" s="849">
        <v>198</v>
      </c>
      <c r="AO803" s="849">
        <v>188</v>
      </c>
      <c r="AP803" s="849">
        <v>210</v>
      </c>
      <c r="AQ803" s="849">
        <v>184</v>
      </c>
      <c r="AR803" s="850">
        <f>+SUM(AN803:AQ803)</f>
      </c>
      <c r="AS803" s="849">
        <v>174</v>
      </c>
      <c r="AT803" s="849">
        <v>175</v>
      </c>
      <c r="AU803" s="849">
        <v>166</v>
      </c>
      <c r="AV803" s="849">
        <v>146</v>
      </c>
      <c r="AW803" s="850">
        <f>SUM(AS803:AV803)</f>
      </c>
      <c r="AX803" s="849">
        <v>143</v>
      </c>
      <c r="AY803" s="849">
        <v>141.75</v>
      </c>
      <c r="AZ803" s="849">
        <v>141.1</v>
      </c>
      <c r="BA803" s="849">
        <v>122.78</v>
      </c>
      <c r="BB803" s="850">
        <f>SUM(AX803:BA803)</f>
      </c>
      <c r="BC803" s="849"/>
      <c r="BD803" s="849"/>
      <c r="BE803" s="849"/>
      <c r="BF803" s="849"/>
      <c r="BG803" s="850"/>
      <c r="BH803" s="849"/>
      <c r="BI803" s="849"/>
      <c r="BJ803" s="849"/>
      <c r="BK803" s="849"/>
      <c r="BL803" s="850"/>
      <c r="BM803" s="849"/>
      <c r="BN803" s="849"/>
      <c r="BO803" s="849"/>
      <c r="BP803" s="849"/>
      <c r="BQ803" s="850"/>
      <c r="BR803" s="849"/>
      <c r="BS803" s="849"/>
      <c r="BT803" s="849"/>
      <c r="BU803" s="849"/>
      <c r="BV803" s="850"/>
      <c r="BW803" s="849"/>
      <c r="BX803" s="849"/>
      <c r="BY803" s="849"/>
      <c r="BZ803" s="849"/>
      <c r="CA803" s="850"/>
      <c r="CB803" s="849"/>
      <c r="CC803" s="849"/>
      <c r="CD803" s="849"/>
      <c r="CE803" s="849"/>
      <c r="CF803" s="850"/>
      <c r="CG803" s="849"/>
      <c r="CH803" s="849"/>
      <c r="CI803" s="849"/>
      <c r="CJ803" s="849"/>
      <c r="CK803" s="850"/>
      <c r="CL803" s="993"/>
      <c r="CM803" s="849"/>
      <c r="CN803" s="849"/>
      <c r="CO803" s="849"/>
      <c r="CP803" s="850"/>
      <c r="CQ803" s="849"/>
      <c r="CR803" s="849"/>
      <c r="CS803" s="849"/>
      <c r="CT803" s="849"/>
      <c r="CU803" s="850"/>
      <c r="CV803" s="849"/>
      <c r="CW803" s="849"/>
      <c r="CX803" s="849"/>
      <c r="CY803" s="849"/>
      <c r="CZ803" s="850"/>
      <c r="DA803" s="849"/>
      <c r="DB803" s="849"/>
      <c r="DC803" s="849"/>
      <c r="DD803" s="985"/>
      <c r="DE803" s="1889"/>
      <c r="DF803" s="1890"/>
      <c r="DG803" s="1890"/>
      <c r="DH803" s="1890"/>
      <c r="DI803" s="1891"/>
      <c r="DJ803" s="1889"/>
      <c r="DK803" s="1889"/>
      <c r="DL803" s="1889"/>
      <c r="DM803" s="1889"/>
      <c r="DN803" s="1889"/>
      <c r="DO803" s="1889"/>
      <c r="DP803" s="1889"/>
      <c r="DQ803" s="1889"/>
      <c r="DR803" s="1889"/>
      <c r="DS803" s="1889"/>
      <c r="DT803" s="1889"/>
      <c r="DU803" s="1889"/>
      <c r="DV803" s="1889"/>
      <c r="DW803" s="1889"/>
      <c r="DX803" s="1889"/>
      <c r="DY803" s="1889"/>
      <c r="DZ803" s="1889"/>
      <c r="EA803" s="1889"/>
      <c r="EB803" s="1889"/>
      <c r="EC803" s="1889"/>
      <c r="ED803" s="1889"/>
      <c r="EE803" s="3550"/>
      <c r="EF803" s="1889"/>
      <c r="EG803" s="1889"/>
      <c r="EH803" s="1889"/>
      <c r="EI803" s="1889"/>
      <c r="EJ803" s="1890"/>
      <c r="EK803" s="1890"/>
      <c r="EL803" s="1890"/>
      <c r="EM803" s="1890"/>
      <c r="EN803" s="1890"/>
      <c r="EO803" s="1890"/>
      <c r="EP803" s="1890"/>
      <c r="EQ803" s="1890"/>
      <c r="ER803" s="1890"/>
      <c r="ES803" s="1890"/>
      <c r="ET803" s="1891"/>
      <c r="EU803" s="1890"/>
      <c r="EV803" s="1890"/>
      <c r="EW803" s="1890"/>
      <c r="EX803" s="1890"/>
    </row>
    <row r="804" spans="2:154" outlineLevel="1">
      <c r="B804" s="852" t="s">
        <v>412</v>
      </c>
      <c r="C804" s="990"/>
      <c r="D804" s="849">
        <v>120.3926282051282</v>
      </c>
      <c r="E804" s="849">
        <v>31</v>
      </c>
      <c r="F804" s="849">
        <v>30.208333333333336</v>
      </c>
      <c r="G804" s="849">
        <v>34</v>
      </c>
      <c r="H804" s="849">
        <v>30</v>
      </c>
      <c r="I804" s="849">
        <f>+SUM(E804:H804)</f>
      </c>
      <c r="J804" s="849">
        <v>29</v>
      </c>
      <c r="K804" s="849">
        <v>29</v>
      </c>
      <c r="L804" s="849">
        <v>29</v>
      </c>
      <c r="M804" s="849">
        <v>28</v>
      </c>
      <c r="N804" s="849">
        <f>+SUM(J804:M804)</f>
      </c>
      <c r="O804" s="849">
        <v>26</v>
      </c>
      <c r="P804" s="849">
        <v>27</v>
      </c>
      <c r="Q804" s="849">
        <v>29</v>
      </c>
      <c r="R804" s="849">
        <v>29</v>
      </c>
      <c r="S804" s="849">
        <f>SUM(O804:R804)</f>
      </c>
      <c r="T804" s="849">
        <v>24</v>
      </c>
      <c r="U804" s="849">
        <v>28</v>
      </c>
      <c r="V804" s="849">
        <v>30</v>
      </c>
      <c r="W804" s="849">
        <v>28</v>
      </c>
      <c r="X804" s="850">
        <f>SUM(T804:W804)</f>
      </c>
      <c r="Y804" s="849">
        <v>29.2</v>
      </c>
      <c r="Z804" s="849">
        <v>33</v>
      </c>
      <c r="AA804" s="849">
        <v>33</v>
      </c>
      <c r="AB804" s="849">
        <v>37</v>
      </c>
      <c r="AC804" s="850">
        <f>SUM(Y804:AB804)</f>
      </c>
      <c r="AD804" s="849">
        <v>41.5</v>
      </c>
      <c r="AE804" s="849">
        <v>42.7</v>
      </c>
      <c r="AF804" s="849">
        <v>48.5</v>
      </c>
      <c r="AG804" s="849">
        <v>50</v>
      </c>
      <c r="AH804" s="850">
        <f>SUM(AD804:AG804)</f>
      </c>
      <c r="AI804" s="849">
        <v>56.6</v>
      </c>
      <c r="AJ804" s="849">
        <v>54</v>
      </c>
      <c r="AK804" s="849">
        <v>54</v>
      </c>
      <c r="AL804" s="849">
        <v>51</v>
      </c>
      <c r="AM804" s="850">
        <f>+SUM(AI804:AL804)</f>
      </c>
      <c r="AN804" s="849">
        <v>56</v>
      </c>
      <c r="AO804" s="849">
        <v>59</v>
      </c>
      <c r="AP804" s="849">
        <v>60</v>
      </c>
      <c r="AQ804" s="849">
        <v>60</v>
      </c>
      <c r="AR804" s="850">
        <f>+SUM(AN804:AQ804)</f>
      </c>
      <c r="AS804" s="849">
        <v>63</v>
      </c>
      <c r="AT804" s="849">
        <v>65</v>
      </c>
      <c r="AU804" s="849">
        <v>67</v>
      </c>
      <c r="AV804" s="849">
        <v>69</v>
      </c>
      <c r="AW804" s="850">
        <f>SUM(AS804:AV804)</f>
      </c>
      <c r="AX804" s="849">
        <v>73</v>
      </c>
      <c r="AY804" s="849">
        <v>75.400000000000006</v>
      </c>
      <c r="AZ804" s="849">
        <v>77.05</v>
      </c>
      <c r="BA804" s="849">
        <v>78.150000000000006</v>
      </c>
      <c r="BB804" s="850">
        <f>SUM(AX804:BA804)</f>
      </c>
      <c r="BC804" s="849"/>
      <c r="BD804" s="849"/>
      <c r="BE804" s="849"/>
      <c r="BF804" s="849"/>
      <c r="BG804" s="850"/>
      <c r="BH804" s="849"/>
      <c r="BI804" s="849"/>
      <c r="BJ804" s="849"/>
      <c r="BK804" s="849"/>
      <c r="BL804" s="850"/>
      <c r="BM804" s="849"/>
      <c r="BN804" s="849"/>
      <c r="BO804" s="849"/>
      <c r="BP804" s="849"/>
      <c r="BQ804" s="850"/>
      <c r="BR804" s="849"/>
      <c r="BS804" s="849"/>
      <c r="BT804" s="849"/>
      <c r="BU804" s="849"/>
      <c r="BV804" s="850"/>
      <c r="BW804" s="849"/>
      <c r="BX804" s="849"/>
      <c r="BY804" s="849"/>
      <c r="BZ804" s="849"/>
      <c r="CA804" s="850"/>
      <c r="CB804" s="849"/>
      <c r="CC804" s="849"/>
      <c r="CD804" s="849"/>
      <c r="CE804" s="849"/>
      <c r="CF804" s="850"/>
      <c r="CG804" s="849"/>
      <c r="CH804" s="849"/>
      <c r="CI804" s="849"/>
      <c r="CJ804" s="849"/>
      <c r="CK804" s="850"/>
      <c r="CL804" s="993"/>
      <c r="CM804" s="849"/>
      <c r="CN804" s="849"/>
      <c r="CO804" s="849"/>
      <c r="CP804" s="850"/>
      <c r="CQ804" s="849"/>
      <c r="CR804" s="849"/>
      <c r="CS804" s="849"/>
      <c r="CT804" s="849"/>
      <c r="CU804" s="850"/>
      <c r="CV804" s="849"/>
      <c r="CW804" s="849"/>
      <c r="CX804" s="849"/>
      <c r="CY804" s="849"/>
      <c r="CZ804" s="850"/>
      <c r="DA804" s="849"/>
      <c r="DB804" s="849"/>
      <c r="DC804" s="849"/>
      <c r="DD804" s="985"/>
      <c r="DE804" s="1889"/>
      <c r="DF804" s="1890"/>
      <c r="DG804" s="1890"/>
      <c r="DH804" s="1890"/>
      <c r="DI804" s="1891"/>
      <c r="DJ804" s="1889"/>
      <c r="DK804" s="1889"/>
      <c r="DL804" s="1889"/>
      <c r="DM804" s="1889"/>
      <c r="DN804" s="1889"/>
      <c r="DO804" s="1889"/>
      <c r="DP804" s="1889"/>
      <c r="DQ804" s="1889"/>
      <c r="DR804" s="1889"/>
      <c r="DS804" s="1889"/>
      <c r="DT804" s="1889"/>
      <c r="DU804" s="1889"/>
      <c r="DV804" s="1889"/>
      <c r="DW804" s="1889"/>
      <c r="DX804" s="1889"/>
      <c r="DY804" s="1889"/>
      <c r="DZ804" s="1889"/>
      <c r="EA804" s="1889"/>
      <c r="EB804" s="1889"/>
      <c r="EC804" s="1889"/>
      <c r="ED804" s="1889"/>
      <c r="EE804" s="3550"/>
      <c r="EF804" s="1889"/>
      <c r="EG804" s="1889"/>
      <c r="EH804" s="1889"/>
      <c r="EI804" s="1889"/>
      <c r="EJ804" s="1890"/>
      <c r="EK804" s="1890"/>
      <c r="EL804" s="1890"/>
      <c r="EM804" s="1890"/>
      <c r="EN804" s="1890"/>
      <c r="EO804" s="1890"/>
      <c r="EP804" s="1890"/>
      <c r="EQ804" s="1890"/>
      <c r="ER804" s="1890"/>
      <c r="ES804" s="1890"/>
      <c r="ET804" s="1891"/>
      <c r="EU804" s="1890"/>
      <c r="EV804" s="1890"/>
      <c r="EW804" s="1890"/>
      <c r="EX804" s="1890"/>
    </row>
    <row r="805" spans="2:154" outlineLevel="1">
      <c r="B805" s="852" t="s">
        <v>413</v>
      </c>
      <c r="C805" s="990"/>
      <c r="D805" s="849">
        <f t="shared" ref="D805:AV805" si="1898">+D803+D804</f>
      </c>
      <c r="E805" s="849">
        <f t="shared" si="1898"/>
      </c>
      <c r="F805" s="849">
        <f t="shared" si="1898"/>
      </c>
      <c r="G805" s="849">
        <f t="shared" si="1898"/>
      </c>
      <c r="H805" s="849">
        <f t="shared" si="1898"/>
      </c>
      <c r="I805" s="849">
        <f t="shared" si="1898"/>
      </c>
      <c r="J805" s="849">
        <f t="shared" si="1898"/>
      </c>
      <c r="K805" s="849">
        <f t="shared" si="1898"/>
      </c>
      <c r="L805" s="849">
        <f t="shared" si="1898"/>
      </c>
      <c r="M805" s="849">
        <f t="shared" si="1898"/>
      </c>
      <c r="N805" s="849">
        <f t="shared" si="1898"/>
      </c>
      <c r="O805" s="849">
        <f t="shared" si="1898"/>
      </c>
      <c r="P805" s="849">
        <f t="shared" si="1898"/>
      </c>
      <c r="Q805" s="849">
        <f t="shared" si="1898"/>
      </c>
      <c r="R805" s="849">
        <f t="shared" si="1898"/>
      </c>
      <c r="S805" s="849">
        <f t="shared" si="1898"/>
      </c>
      <c r="T805" s="849">
        <f t="shared" si="1898"/>
      </c>
      <c r="U805" s="849">
        <f t="shared" si="1898"/>
      </c>
      <c r="V805" s="849">
        <f t="shared" si="1898"/>
      </c>
      <c r="W805" s="849">
        <f t="shared" si="1898"/>
      </c>
      <c r="X805" s="850">
        <f t="shared" si="1898"/>
      </c>
      <c r="Y805" s="849">
        <f t="shared" si="1898"/>
      </c>
      <c r="Z805" s="849">
        <f t="shared" si="1898"/>
      </c>
      <c r="AA805" s="849">
        <f t="shared" si="1898"/>
      </c>
      <c r="AB805" s="849">
        <f t="shared" si="1898"/>
      </c>
      <c r="AC805" s="850">
        <f t="shared" si="1898"/>
      </c>
      <c r="AD805" s="849">
        <f t="shared" si="1898"/>
      </c>
      <c r="AE805" s="849">
        <f t="shared" si="1898"/>
      </c>
      <c r="AF805" s="849">
        <f t="shared" si="1898"/>
      </c>
      <c r="AG805" s="849">
        <f t="shared" si="1898"/>
      </c>
      <c r="AH805" s="850">
        <f t="shared" si="1898"/>
      </c>
      <c r="AI805" s="849">
        <f t="shared" si="1898"/>
      </c>
      <c r="AJ805" s="849">
        <f t="shared" si="1898"/>
      </c>
      <c r="AK805" s="849">
        <f t="shared" si="1898"/>
      </c>
      <c r="AL805" s="849">
        <f t="shared" si="1898"/>
      </c>
      <c r="AM805" s="850">
        <f t="shared" si="1898"/>
      </c>
      <c r="AN805" s="849">
        <f t="shared" si="1898"/>
      </c>
      <c r="AO805" s="849">
        <f t="shared" si="1898"/>
      </c>
      <c r="AP805" s="849">
        <f t="shared" si="1898"/>
      </c>
      <c r="AQ805" s="849">
        <f t="shared" si="1898"/>
      </c>
      <c r="AR805" s="850">
        <f t="shared" si="1898"/>
      </c>
      <c r="AS805" s="849">
        <f t="shared" si="1898"/>
      </c>
      <c r="AT805" s="849">
        <f t="shared" si="1898"/>
      </c>
      <c r="AU805" s="849">
        <f t="shared" si="1898"/>
      </c>
      <c r="AV805" s="849">
        <f t="shared" si="1898"/>
      </c>
      <c r="AW805" s="850">
        <f t="shared" ref="AW805:BB805" si="1899">+AW803+AW804</f>
      </c>
      <c r="AX805" s="849">
        <f t="shared" si="1899"/>
      </c>
      <c r="AY805" s="849">
        <f t="shared" si="1899"/>
      </c>
      <c r="AZ805" s="849">
        <f t="shared" si="1899"/>
      </c>
      <c r="BA805" s="849">
        <f t="shared" si="1899"/>
      </c>
      <c r="BB805" s="850">
        <f t="shared" si="1899"/>
      </c>
      <c r="BC805" s="849"/>
      <c r="BD805" s="849">
        <v>215</v>
      </c>
      <c r="BE805" s="849"/>
      <c r="BF805" s="849"/>
      <c r="BG805" s="850"/>
      <c r="BH805" s="849"/>
      <c r="BI805" s="849">
        <v>215</v>
      </c>
      <c r="BJ805" s="849"/>
      <c r="BK805" s="849"/>
      <c r="BL805" s="850"/>
      <c r="BM805" s="849"/>
      <c r="BN805" s="849"/>
      <c r="BO805" s="849"/>
      <c r="BP805" s="849"/>
      <c r="BQ805" s="850"/>
      <c r="BR805" s="849"/>
      <c r="BS805" s="849"/>
      <c r="BT805" s="849"/>
      <c r="BU805" s="849"/>
      <c r="BV805" s="850"/>
      <c r="BW805" s="849"/>
      <c r="BX805" s="849"/>
      <c r="BY805" s="849"/>
      <c r="BZ805" s="849"/>
      <c r="CA805" s="850"/>
      <c r="CB805" s="849"/>
      <c r="CC805" s="849"/>
      <c r="CD805" s="849"/>
      <c r="CE805" s="849"/>
      <c r="CF805" s="850"/>
      <c r="CG805" s="849"/>
      <c r="CH805" s="849"/>
      <c r="CI805" s="849"/>
      <c r="CJ805" s="849"/>
      <c r="CK805" s="850"/>
      <c r="CL805" s="993"/>
      <c r="CM805" s="849"/>
      <c r="CN805" s="849"/>
      <c r="CO805" s="849"/>
      <c r="CP805" s="850"/>
      <c r="CQ805" s="849"/>
      <c r="CR805" s="849"/>
      <c r="CS805" s="849"/>
      <c r="CT805" s="849"/>
      <c r="CU805" s="850"/>
      <c r="CV805" s="849"/>
      <c r="CW805" s="849"/>
      <c r="CX805" s="849"/>
      <c r="CY805" s="849"/>
      <c r="CZ805" s="850"/>
      <c r="DA805" s="849"/>
      <c r="DB805" s="849"/>
      <c r="DC805" s="849"/>
      <c r="DD805" s="985"/>
      <c r="DE805" s="1889"/>
      <c r="DF805" s="1890"/>
      <c r="DG805" s="1890"/>
      <c r="DH805" s="1890"/>
      <c r="DI805" s="1891"/>
      <c r="DJ805" s="1889"/>
      <c r="DK805" s="1889"/>
      <c r="DL805" s="1889"/>
      <c r="DM805" s="1889"/>
      <c r="DN805" s="1889"/>
      <c r="DO805" s="1889"/>
      <c r="DP805" s="1889"/>
      <c r="DQ805" s="1889"/>
      <c r="DR805" s="1889"/>
      <c r="DS805" s="1889"/>
      <c r="DT805" s="1889"/>
      <c r="DU805" s="1889"/>
      <c r="DV805" s="1889"/>
      <c r="DW805" s="1889"/>
      <c r="DX805" s="1889"/>
      <c r="DY805" s="1889"/>
      <c r="DZ805" s="1889"/>
      <c r="EA805" s="1889"/>
      <c r="EB805" s="1889"/>
      <c r="EC805" s="1889"/>
      <c r="ED805" s="1889"/>
      <c r="EE805" s="3550"/>
      <c r="EF805" s="1889"/>
      <c r="EG805" s="1889"/>
      <c r="EH805" s="1889"/>
      <c r="EI805" s="1889"/>
      <c r="EJ805" s="1890"/>
      <c r="EK805" s="1890"/>
      <c r="EL805" s="1890"/>
      <c r="EM805" s="1890"/>
      <c r="EN805" s="1890"/>
      <c r="EO805" s="1890"/>
      <c r="EP805" s="1890"/>
      <c r="EQ805" s="1890"/>
      <c r="ER805" s="1890"/>
      <c r="ES805" s="1890"/>
      <c r="ET805" s="1891"/>
      <c r="EU805" s="1890"/>
      <c r="EV805" s="1890"/>
      <c r="EW805" s="1890"/>
      <c r="EX805" s="1890"/>
    </row>
    <row r="806" spans="2:154" outlineLevel="1">
      <c r="B806" s="852"/>
      <c r="C806" s="990"/>
      <c r="D806" s="849"/>
      <c r="E806" s="849"/>
      <c r="F806" s="849"/>
      <c r="G806" s="849"/>
      <c r="H806" s="849"/>
      <c r="I806" s="849"/>
      <c r="J806" s="849"/>
      <c r="K806" s="849"/>
      <c r="L806" s="849"/>
      <c r="M806" s="849"/>
      <c r="N806" s="849"/>
      <c r="O806" s="849"/>
      <c r="P806" s="849"/>
      <c r="Q806" s="849"/>
      <c r="R806" s="849"/>
      <c r="S806" s="849"/>
      <c r="T806" s="849"/>
      <c r="U806" s="849"/>
      <c r="V806" s="849"/>
      <c r="W806" s="849"/>
      <c r="X806" s="850"/>
      <c r="Y806" s="849"/>
      <c r="Z806" s="849"/>
      <c r="AA806" s="849"/>
      <c r="AB806" s="849"/>
      <c r="AC806" s="850"/>
      <c r="AD806" s="849"/>
      <c r="AE806" s="849"/>
      <c r="AF806" s="849"/>
      <c r="AG806" s="849"/>
      <c r="AH806" s="850"/>
      <c r="AI806" s="849"/>
      <c r="AJ806" s="849"/>
      <c r="AK806" s="849"/>
      <c r="AL806" s="849"/>
      <c r="AM806" s="850"/>
      <c r="AN806" s="849"/>
      <c r="AO806" s="849"/>
      <c r="AP806" s="849"/>
      <c r="AQ806" s="849"/>
      <c r="AR806" s="850"/>
      <c r="AS806" s="849"/>
      <c r="AT806" s="849"/>
      <c r="AU806" s="849"/>
      <c r="AV806" s="849"/>
      <c r="AW806" s="850"/>
      <c r="AX806" s="849"/>
      <c r="AY806" s="849"/>
      <c r="AZ806" s="849"/>
      <c r="BA806" s="849"/>
      <c r="BB806" s="850"/>
      <c r="BC806" s="849"/>
      <c r="BD806" s="849"/>
      <c r="BE806" s="849"/>
      <c r="BF806" s="849"/>
      <c r="BG806" s="850"/>
      <c r="BH806" s="849"/>
      <c r="BI806" s="849"/>
      <c r="BJ806" s="849"/>
      <c r="BK806" s="849"/>
      <c r="BL806" s="850"/>
      <c r="BM806" s="849"/>
      <c r="BN806" s="849"/>
      <c r="BO806" s="849"/>
      <c r="BP806" s="849"/>
      <c r="BQ806" s="850"/>
      <c r="BR806" s="849"/>
      <c r="BS806" s="849"/>
      <c r="BT806" s="849"/>
      <c r="BU806" s="849"/>
      <c r="BV806" s="850"/>
      <c r="BW806" s="849"/>
      <c r="BX806" s="849"/>
      <c r="BY806" s="849"/>
      <c r="BZ806" s="849"/>
      <c r="CA806" s="850"/>
      <c r="CB806" s="849"/>
      <c r="CC806" s="849"/>
      <c r="CD806" s="849"/>
      <c r="CE806" s="849"/>
      <c r="CF806" s="850"/>
      <c r="CG806" s="849"/>
      <c r="CH806" s="849"/>
      <c r="CI806" s="849"/>
      <c r="CJ806" s="849"/>
      <c r="CK806" s="850"/>
      <c r="CL806" s="993"/>
      <c r="CM806" s="849"/>
      <c r="CN806" s="849"/>
      <c r="CO806" s="849"/>
      <c r="CP806" s="850"/>
      <c r="CQ806" s="849"/>
      <c r="CR806" s="849"/>
      <c r="CS806" s="849"/>
      <c r="CT806" s="849"/>
      <c r="CU806" s="850"/>
      <c r="CV806" s="849"/>
      <c r="CW806" s="849"/>
      <c r="CX806" s="849"/>
      <c r="CY806" s="849"/>
      <c r="CZ806" s="850"/>
      <c r="DA806" s="849"/>
      <c r="DB806" s="849"/>
      <c r="DC806" s="849"/>
      <c r="DD806" s="985"/>
      <c r="DE806" s="1889"/>
      <c r="DF806" s="1890"/>
      <c r="DG806" s="1890"/>
      <c r="DH806" s="1890"/>
      <c r="DI806" s="1891"/>
      <c r="DJ806" s="1889"/>
      <c r="DK806" s="1889"/>
      <c r="DL806" s="1889"/>
      <c r="DM806" s="1889"/>
      <c r="DN806" s="1889"/>
      <c r="DO806" s="1889"/>
      <c r="DP806" s="1889"/>
      <c r="DQ806" s="1889"/>
      <c r="DR806" s="1889"/>
      <c r="DS806" s="1889"/>
      <c r="DT806" s="1889"/>
      <c r="DU806" s="1889"/>
      <c r="DV806" s="1889"/>
      <c r="DW806" s="1889"/>
      <c r="DX806" s="1889"/>
      <c r="DY806" s="1889"/>
      <c r="DZ806" s="1889"/>
      <c r="EA806" s="1889"/>
      <c r="EB806" s="1889"/>
      <c r="EC806" s="1889"/>
      <c r="ED806" s="1889"/>
      <c r="EE806" s="3550"/>
      <c r="EF806" s="1889"/>
      <c r="EG806" s="1889"/>
      <c r="EH806" s="1889"/>
      <c r="EI806" s="1889"/>
      <c r="EJ806" s="1890"/>
      <c r="EK806" s="1890"/>
      <c r="EL806" s="1890"/>
      <c r="EM806" s="1890"/>
      <c r="EN806" s="1890"/>
      <c r="EO806" s="1890"/>
      <c r="EP806" s="1890"/>
      <c r="EQ806" s="1890"/>
      <c r="ER806" s="1890"/>
      <c r="ES806" s="1890"/>
      <c r="ET806" s="1891"/>
      <c r="EU806" s="1890"/>
      <c r="EV806" s="1890"/>
      <c r="EW806" s="1890"/>
      <c r="EX806" s="1890"/>
    </row>
    <row r="807" spans="2:154" outlineLevel="1">
      <c r="B807" s="854" t="s">
        <v>259</v>
      </c>
      <c r="C807" s="990"/>
      <c r="D807" s="849"/>
      <c r="E807" s="849"/>
      <c r="F807" s="849"/>
      <c r="G807" s="849"/>
      <c r="H807" s="849"/>
      <c r="I807" s="849"/>
      <c r="J807" s="849"/>
      <c r="K807" s="849"/>
      <c r="L807" s="849"/>
      <c r="M807" s="849"/>
      <c r="N807" s="849"/>
      <c r="O807" s="849"/>
      <c r="P807" s="849"/>
      <c r="Q807" s="849"/>
      <c r="R807" s="849"/>
      <c r="S807" s="849"/>
      <c r="T807" s="849"/>
      <c r="U807" s="849"/>
      <c r="V807" s="849"/>
      <c r="W807" s="849"/>
      <c r="X807" s="850"/>
      <c r="Y807" s="849"/>
      <c r="Z807" s="849"/>
      <c r="AA807" s="849"/>
      <c r="AB807" s="849"/>
      <c r="AC807" s="850"/>
      <c r="AD807" s="849"/>
      <c r="AE807" s="849"/>
      <c r="AF807" s="849"/>
      <c r="AG807" s="849"/>
      <c r="AH807" s="850"/>
      <c r="AI807" s="849"/>
      <c r="AJ807" s="849"/>
      <c r="AK807" s="849"/>
      <c r="AL807" s="849"/>
      <c r="AM807" s="850"/>
      <c r="AN807" s="849"/>
      <c r="AO807" s="849"/>
      <c r="AP807" s="849"/>
      <c r="AQ807" s="849"/>
      <c r="AR807" s="850"/>
      <c r="AS807" s="849"/>
      <c r="AT807" s="849"/>
      <c r="AU807" s="849"/>
      <c r="AV807" s="849"/>
      <c r="AW807" s="850"/>
      <c r="AX807" s="849"/>
      <c r="AY807" s="849"/>
      <c r="AZ807" s="849"/>
      <c r="BA807" s="849"/>
      <c r="BB807" s="850"/>
      <c r="BC807" s="849"/>
      <c r="BD807" s="849"/>
      <c r="BE807" s="849"/>
      <c r="BF807" s="849"/>
      <c r="BG807" s="850"/>
      <c r="BH807" s="849"/>
      <c r="BI807" s="849"/>
      <c r="BJ807" s="849"/>
      <c r="BK807" s="849"/>
      <c r="BL807" s="850"/>
      <c r="BM807" s="849"/>
      <c r="BN807" s="849"/>
      <c r="BO807" s="849"/>
      <c r="BP807" s="849"/>
      <c r="BQ807" s="850"/>
      <c r="BR807" s="849"/>
      <c r="BS807" s="849"/>
      <c r="BT807" s="849"/>
      <c r="BU807" s="849"/>
      <c r="BV807" s="850"/>
      <c r="BW807" s="849"/>
      <c r="BX807" s="849"/>
      <c r="BY807" s="849"/>
      <c r="BZ807" s="849"/>
      <c r="CA807" s="850"/>
      <c r="CB807" s="849"/>
      <c r="CC807" s="849"/>
      <c r="CD807" s="849"/>
      <c r="CE807" s="849"/>
      <c r="CF807" s="850"/>
      <c r="CG807" s="849"/>
      <c r="CH807" s="849"/>
      <c r="CI807" s="849"/>
      <c r="CJ807" s="849"/>
      <c r="CK807" s="850"/>
      <c r="CL807" s="993"/>
      <c r="CM807" s="849"/>
      <c r="CN807" s="849"/>
      <c r="CO807" s="849"/>
      <c r="CP807" s="850"/>
      <c r="CQ807" s="849"/>
      <c r="CR807" s="849"/>
      <c r="CS807" s="849"/>
      <c r="CT807" s="985"/>
      <c r="CU807" s="985"/>
      <c r="CV807" s="849"/>
      <c r="CW807" s="849"/>
      <c r="CX807" s="849"/>
      <c r="CY807" s="985"/>
      <c r="CZ807" s="850"/>
      <c r="DA807" s="849"/>
      <c r="DB807" s="849"/>
      <c r="DC807" s="849"/>
      <c r="DD807" s="985"/>
      <c r="DE807" s="1889"/>
      <c r="DF807" s="1890"/>
      <c r="DG807" s="1890"/>
      <c r="DH807" s="1890"/>
      <c r="DI807" s="1891"/>
      <c r="DJ807" s="1889"/>
      <c r="DK807" s="1889"/>
      <c r="DL807" s="1889"/>
      <c r="DM807" s="1889"/>
      <c r="DN807" s="1889"/>
      <c r="DO807" s="1889"/>
      <c r="DP807" s="1889"/>
      <c r="DQ807" s="1889"/>
      <c r="DR807" s="1889"/>
      <c r="DS807" s="1889"/>
      <c r="DT807" s="1889"/>
      <c r="DU807" s="1889"/>
      <c r="DV807" s="1889"/>
      <c r="DW807" s="1889"/>
      <c r="DX807" s="1889"/>
      <c r="DY807" s="1889"/>
      <c r="DZ807" s="1889"/>
      <c r="EA807" s="1889"/>
      <c r="EB807" s="1889"/>
      <c r="EC807" s="1889"/>
      <c r="ED807" s="1889"/>
      <c r="EE807" s="3550"/>
      <c r="EF807" s="1889"/>
      <c r="EG807" s="1889"/>
      <c r="EH807" s="1889"/>
      <c r="EI807" s="1889"/>
      <c r="EJ807" s="1890"/>
      <c r="EK807" s="1890"/>
      <c r="EL807" s="1890"/>
      <c r="EM807" s="1890"/>
      <c r="EN807" s="1890"/>
      <c r="EO807" s="1890"/>
      <c r="EP807" s="1890"/>
      <c r="EQ807" s="1890"/>
      <c r="ER807" s="1890"/>
      <c r="ES807" s="1890"/>
      <c r="ET807" s="1891"/>
      <c r="EU807" s="1890"/>
      <c r="EV807" s="1890"/>
      <c r="EW807" s="1890"/>
      <c r="EX807" s="1890"/>
    </row>
    <row r="808" spans="2:154" outlineLevel="1">
      <c r="B808" s="855" t="s">
        <v>187</v>
      </c>
      <c r="C808" s="990"/>
      <c r="D808" s="860"/>
      <c r="E808" s="860"/>
      <c r="F808" s="860"/>
      <c r="G808" s="860"/>
      <c r="H808" s="860"/>
      <c r="I808" s="856">
        <f t="shared" ref="I808:R809" si="1900">IF(D803="NM","NM",IF(I803="NM","NM",IF(D803&lt;=0,"NM",IF(I803=0,"NM",IF(ABS(I803/D803-1)&gt;2.5,"NM",IF((ABS(I803-D803)=ABS(ABS(I803)-ABS(D803))),(I803/D803-1),"NM"))))))</f>
      </c>
      <c r="J808" s="856">
        <f t="shared" si="1900"/>
      </c>
      <c r="K808" s="856">
        <f t="shared" si="1900"/>
      </c>
      <c r="L808" s="856">
        <f t="shared" si="1900"/>
      </c>
      <c r="M808" s="856">
        <f t="shared" si="1900"/>
      </c>
      <c r="N808" s="856">
        <f t="shared" si="1900"/>
      </c>
      <c r="O808" s="856">
        <f t="shared" si="1900"/>
      </c>
      <c r="P808" s="856">
        <f t="shared" si="1900"/>
      </c>
      <c r="Q808" s="856">
        <f t="shared" si="1900"/>
      </c>
      <c r="R808" s="856">
        <f t="shared" si="1900"/>
      </c>
      <c r="S808" s="856">
        <f t="shared" ref="S808:AB809" si="1901">IF(N803="NM","NM",IF(S803="NM","NM",IF(N803&lt;=0,"NM",IF(S803=0,"NM",IF(ABS(S803/N803-1)&gt;2.5,"NM",IF((ABS(S803-N803)=ABS(ABS(S803)-ABS(N803))),(S803/N803-1),"NM"))))))</f>
      </c>
      <c r="T808" s="856">
        <f t="shared" si="1901"/>
      </c>
      <c r="U808" s="856">
        <f t="shared" si="1901"/>
      </c>
      <c r="V808" s="856">
        <f t="shared" si="1901"/>
      </c>
      <c r="W808" s="856">
        <f t="shared" si="1901"/>
      </c>
      <c r="X808" s="857">
        <f t="shared" si="1901"/>
      </c>
      <c r="Y808" s="856">
        <f t="shared" si="1901"/>
      </c>
      <c r="Z808" s="856">
        <f t="shared" si="1901"/>
      </c>
      <c r="AA808" s="856">
        <f t="shared" si="1901"/>
      </c>
      <c r="AB808" s="856">
        <f t="shared" si="1901"/>
      </c>
      <c r="AC808" s="857">
        <f t="shared" ref="AC808:AL809" si="1902">IF(X803="NM","NM",IF(AC803="NM","NM",IF(X803&lt;=0,"NM",IF(AC803=0,"NM",IF(ABS(AC803/X803-1)&gt;2.5,"NM",IF((ABS(AC803-X803)=ABS(ABS(AC803)-ABS(X803))),(AC803/X803-1),"NM"))))))</f>
      </c>
      <c r="AD808" s="856">
        <f t="shared" si="1902"/>
      </c>
      <c r="AE808" s="856">
        <f t="shared" si="1902"/>
      </c>
      <c r="AF808" s="856">
        <f t="shared" si="1902"/>
      </c>
      <c r="AG808" s="856">
        <f t="shared" si="1902"/>
      </c>
      <c r="AH808" s="857">
        <f t="shared" si="1902"/>
      </c>
      <c r="AI808" s="856">
        <f t="shared" si="1902"/>
      </c>
      <c r="AJ808" s="856">
        <f t="shared" si="1902"/>
      </c>
      <c r="AK808" s="856">
        <f t="shared" si="1902"/>
      </c>
      <c r="AL808" s="856">
        <f t="shared" si="1902"/>
      </c>
      <c r="AM808" s="857">
        <f t="shared" ref="AM808:AV809" si="1903">IF(AH803="NM","NM",IF(AM803="NM","NM",IF(AH803&lt;=0,"NM",IF(AM803=0,"NM",IF(ABS(AM803/AH803-1)&gt;2.5,"NM",IF((ABS(AM803-AH803)=ABS(ABS(AM803)-ABS(AH803))),(AM803/AH803-1),"NM"))))))</f>
      </c>
      <c r="AN808" s="856">
        <f t="shared" si="1903"/>
      </c>
      <c r="AO808" s="856">
        <f t="shared" si="1903"/>
      </c>
      <c r="AP808" s="856">
        <f t="shared" si="1903"/>
      </c>
      <c r="AQ808" s="856">
        <f t="shared" si="1903"/>
      </c>
      <c r="AR808" s="857">
        <f t="shared" si="1903"/>
      </c>
      <c r="AS808" s="856">
        <f t="shared" si="1903"/>
      </c>
      <c r="AT808" s="856">
        <f t="shared" si="1903"/>
      </c>
      <c r="AU808" s="856">
        <f t="shared" si="1903"/>
      </c>
      <c r="AV808" s="856">
        <f t="shared" si="1903"/>
      </c>
      <c r="AW808" s="857">
        <f t="shared" ref="AW808:BB809" si="1904">IF(AR803="NM","NM",IF(AW803="NM","NM",IF(AR803&lt;=0,"NM",IF(AW803=0,"NM",IF(ABS(AW803/AR803-1)&gt;2.5,"NM",IF((ABS(AW803-AR803)=ABS(ABS(AW803)-ABS(AR803))),(AW803/AR803-1),"NM"))))))</f>
      </c>
      <c r="AX808" s="856">
        <f t="shared" si="1904"/>
      </c>
      <c r="AY808" s="856">
        <f t="shared" si="1904"/>
      </c>
      <c r="AZ808" s="856">
        <f t="shared" si="1904"/>
      </c>
      <c r="BA808" s="856">
        <f t="shared" si="1904"/>
      </c>
      <c r="BB808" s="857">
        <f t="shared" si="1904"/>
      </c>
      <c r="BC808" s="856">
        <v>-0.17</v>
      </c>
      <c r="BD808" s="856">
        <v>-0.17</v>
      </c>
      <c r="BE808" s="856"/>
      <c r="BF808" s="856"/>
      <c r="BG808" s="857"/>
      <c r="BH808" s="856">
        <v>-0.17</v>
      </c>
      <c r="BI808" s="856">
        <v>-0.17</v>
      </c>
      <c r="BJ808" s="856"/>
      <c r="BK808" s="856"/>
      <c r="BL808" s="859"/>
      <c r="BM808" s="856"/>
      <c r="BN808" s="856"/>
      <c r="BO808" s="856"/>
      <c r="BP808" s="856"/>
      <c r="BQ808" s="859"/>
      <c r="BR808" s="856"/>
      <c r="BS808" s="856"/>
      <c r="BT808" s="856"/>
      <c r="BU808" s="856"/>
      <c r="BV808" s="859"/>
      <c r="BW808" s="856"/>
      <c r="BX808" s="856"/>
      <c r="BY808" s="856"/>
      <c r="BZ808" s="856"/>
      <c r="CA808" s="859"/>
      <c r="CB808" s="856"/>
      <c r="CC808" s="856"/>
      <c r="CD808" s="856"/>
      <c r="CE808" s="856"/>
      <c r="CF808" s="859"/>
      <c r="CG808" s="856"/>
      <c r="CH808" s="856"/>
      <c r="CI808" s="856"/>
      <c r="CJ808" s="856"/>
      <c r="CK808" s="859"/>
      <c r="CL808" s="994"/>
      <c r="CM808" s="856"/>
      <c r="CN808" s="856"/>
      <c r="CO808" s="856"/>
      <c r="CP808" s="859"/>
      <c r="CQ808" s="856"/>
      <c r="CR808" s="856"/>
      <c r="CS808" s="856"/>
      <c r="CT808" s="988"/>
      <c r="CU808" s="986"/>
      <c r="CV808" s="856"/>
      <c r="CW808" s="856"/>
      <c r="CX808" s="856"/>
      <c r="CY808" s="988"/>
      <c r="CZ808" s="859"/>
      <c r="DA808" s="856"/>
      <c r="DB808" s="858"/>
      <c r="DC808" s="858"/>
      <c r="DD808" s="986"/>
      <c r="DE808" s="857"/>
      <c r="DF808" s="856"/>
      <c r="DG808" s="856"/>
      <c r="DH808" s="856"/>
      <c r="DI808" s="988"/>
      <c r="DJ808" s="857"/>
      <c r="DK808" s="857"/>
      <c r="DL808" s="857"/>
      <c r="DM808" s="857"/>
      <c r="DN808" s="857"/>
      <c r="DO808" s="857"/>
      <c r="DP808" s="857"/>
      <c r="DQ808" s="857"/>
      <c r="DR808" s="857"/>
      <c r="DS808" s="857"/>
      <c r="DT808" s="857"/>
      <c r="DU808" s="857"/>
      <c r="DV808" s="857"/>
      <c r="DW808" s="857"/>
      <c r="DX808" s="857"/>
      <c r="DY808" s="857"/>
      <c r="DZ808" s="857"/>
      <c r="EA808" s="857"/>
      <c r="EB808" s="857"/>
      <c r="EC808" s="857"/>
      <c r="ED808" s="857"/>
      <c r="EE808" s="994"/>
      <c r="EF808" s="857"/>
      <c r="EG808" s="857"/>
      <c r="EH808" s="857"/>
      <c r="EI808" s="857"/>
      <c r="EJ808" s="856"/>
      <c r="EK808" s="856"/>
      <c r="EL808" s="856"/>
      <c r="EM808" s="856"/>
      <c r="EN808" s="856"/>
      <c r="EO808" s="856"/>
      <c r="EP808" s="856"/>
      <c r="EQ808" s="856"/>
      <c r="ER808" s="856"/>
      <c r="ES808" s="856"/>
      <c r="ET808" s="988"/>
      <c r="EU808" s="856"/>
      <c r="EV808" s="856"/>
      <c r="EW808" s="856"/>
      <c r="EX808" s="856"/>
    </row>
    <row r="809" spans="2:154" outlineLevel="1">
      <c r="B809" s="855" t="s">
        <v>412</v>
      </c>
      <c r="C809" s="990"/>
      <c r="D809" s="860"/>
      <c r="E809" s="860"/>
      <c r="F809" s="860"/>
      <c r="G809" s="860"/>
      <c r="H809" s="860"/>
      <c r="I809" s="856">
        <f t="shared" si="1900"/>
      </c>
      <c r="J809" s="856">
        <f t="shared" si="1900"/>
      </c>
      <c r="K809" s="856">
        <f t="shared" si="1900"/>
      </c>
      <c r="L809" s="856">
        <f t="shared" si="1900"/>
      </c>
      <c r="M809" s="856">
        <f t="shared" si="1900"/>
      </c>
      <c r="N809" s="856">
        <f t="shared" si="1900"/>
      </c>
      <c r="O809" s="856">
        <f t="shared" si="1900"/>
      </c>
      <c r="P809" s="856">
        <f t="shared" si="1900"/>
      </c>
      <c r="Q809" s="856">
        <f t="shared" si="1900"/>
      </c>
      <c r="R809" s="856">
        <f t="shared" si="1900"/>
      </c>
      <c r="S809" s="856">
        <f t="shared" si="1901"/>
      </c>
      <c r="T809" s="856">
        <f t="shared" si="1901"/>
      </c>
      <c r="U809" s="856">
        <f t="shared" si="1901"/>
      </c>
      <c r="V809" s="856">
        <f t="shared" si="1901"/>
      </c>
      <c r="W809" s="856">
        <f t="shared" si="1901"/>
      </c>
      <c r="X809" s="857">
        <f t="shared" si="1901"/>
      </c>
      <c r="Y809" s="856">
        <f t="shared" si="1901"/>
      </c>
      <c r="Z809" s="856">
        <f t="shared" si="1901"/>
      </c>
      <c r="AA809" s="856">
        <f t="shared" si="1901"/>
      </c>
      <c r="AB809" s="856">
        <f t="shared" si="1901"/>
      </c>
      <c r="AC809" s="857">
        <f t="shared" si="1902"/>
      </c>
      <c r="AD809" s="856">
        <f t="shared" si="1902"/>
      </c>
      <c r="AE809" s="856">
        <f t="shared" si="1902"/>
      </c>
      <c r="AF809" s="856">
        <f t="shared" si="1902"/>
      </c>
      <c r="AG809" s="856">
        <f t="shared" si="1902"/>
      </c>
      <c r="AH809" s="857">
        <f t="shared" si="1902"/>
      </c>
      <c r="AI809" s="856">
        <f t="shared" si="1902"/>
      </c>
      <c r="AJ809" s="856">
        <f t="shared" si="1902"/>
      </c>
      <c r="AK809" s="856">
        <f t="shared" si="1902"/>
      </c>
      <c r="AL809" s="856">
        <f t="shared" si="1902"/>
      </c>
      <c r="AM809" s="857">
        <f t="shared" si="1903"/>
      </c>
      <c r="AN809" s="856">
        <f t="shared" si="1903"/>
      </c>
      <c r="AO809" s="856">
        <f t="shared" si="1903"/>
      </c>
      <c r="AP809" s="856">
        <f t="shared" si="1903"/>
      </c>
      <c r="AQ809" s="856">
        <f t="shared" si="1903"/>
      </c>
      <c r="AR809" s="857">
        <f t="shared" si="1903"/>
      </c>
      <c r="AS809" s="856">
        <f t="shared" si="1903"/>
      </c>
      <c r="AT809" s="856">
        <f t="shared" si="1903"/>
      </c>
      <c r="AU809" s="856">
        <f t="shared" si="1903"/>
      </c>
      <c r="AV809" s="856">
        <f t="shared" si="1903"/>
      </c>
      <c r="AW809" s="857">
        <f t="shared" si="1904"/>
      </c>
      <c r="AX809" s="856">
        <f t="shared" si="1904"/>
      </c>
      <c r="AY809" s="856">
        <f t="shared" si="1904"/>
      </c>
      <c r="AZ809" s="856">
        <f t="shared" si="1904"/>
      </c>
      <c r="BA809" s="856">
        <f t="shared" si="1904"/>
      </c>
      <c r="BB809" s="857">
        <f t="shared" si="1904"/>
      </c>
      <c r="BC809" s="856">
        <v>0.15</v>
      </c>
      <c r="BD809" s="856">
        <v>0.15</v>
      </c>
      <c r="BE809" s="856"/>
      <c r="BF809" s="856"/>
      <c r="BG809" s="857"/>
      <c r="BH809" s="856">
        <v>0.15</v>
      </c>
      <c r="BI809" s="856">
        <v>0.15</v>
      </c>
      <c r="BJ809" s="856"/>
      <c r="BK809" s="856"/>
      <c r="BL809" s="857"/>
      <c r="BM809" s="856"/>
      <c r="BN809" s="856"/>
      <c r="BO809" s="856"/>
      <c r="BP809" s="856"/>
      <c r="BQ809" s="857"/>
      <c r="BR809" s="856"/>
      <c r="BS809" s="856"/>
      <c r="BT809" s="856"/>
      <c r="BU809" s="856"/>
      <c r="BV809" s="857"/>
      <c r="BW809" s="856"/>
      <c r="BX809" s="856"/>
      <c r="BY809" s="856"/>
      <c r="BZ809" s="856"/>
      <c r="CA809" s="857"/>
      <c r="CB809" s="856"/>
      <c r="CC809" s="856"/>
      <c r="CD809" s="856"/>
      <c r="CE809" s="856"/>
      <c r="CF809" s="857"/>
      <c r="CG809" s="856"/>
      <c r="CH809" s="856"/>
      <c r="CI809" s="856"/>
      <c r="CJ809" s="856"/>
      <c r="CK809" s="857"/>
      <c r="CL809" s="994"/>
      <c r="CM809" s="856"/>
      <c r="CN809" s="856"/>
      <c r="CO809" s="856"/>
      <c r="CP809" s="857"/>
      <c r="CQ809" s="856"/>
      <c r="CR809" s="856"/>
      <c r="CS809" s="856"/>
      <c r="CT809" s="988"/>
      <c r="CU809" s="988"/>
      <c r="CV809" s="856"/>
      <c r="CW809" s="856"/>
      <c r="CX809" s="856"/>
      <c r="CY809" s="988"/>
      <c r="CZ809" s="857"/>
      <c r="DA809" s="856"/>
      <c r="DB809" s="856"/>
      <c r="DC809" s="856"/>
      <c r="DD809" s="988"/>
      <c r="DE809" s="857"/>
      <c r="DF809" s="856"/>
      <c r="DG809" s="856"/>
      <c r="DH809" s="856"/>
      <c r="DI809" s="988"/>
      <c r="DJ809" s="857"/>
      <c r="DK809" s="857"/>
      <c r="DL809" s="857"/>
      <c r="DM809" s="857"/>
      <c r="DN809" s="857"/>
      <c r="DO809" s="857"/>
      <c r="DP809" s="857"/>
      <c r="DQ809" s="857"/>
      <c r="DR809" s="857"/>
      <c r="DS809" s="857"/>
      <c r="DT809" s="857"/>
      <c r="DU809" s="857"/>
      <c r="DV809" s="857"/>
      <c r="DW809" s="857"/>
      <c r="DX809" s="857"/>
      <c r="DY809" s="857"/>
      <c r="DZ809" s="857"/>
      <c r="EA809" s="857"/>
      <c r="EB809" s="857"/>
      <c r="EC809" s="857"/>
      <c r="ED809" s="857"/>
      <c r="EE809" s="994"/>
      <c r="EF809" s="857"/>
      <c r="EG809" s="857"/>
      <c r="EH809" s="857"/>
      <c r="EI809" s="857"/>
      <c r="EJ809" s="856"/>
      <c r="EK809" s="856"/>
      <c r="EL809" s="856"/>
      <c r="EM809" s="856"/>
      <c r="EN809" s="856"/>
      <c r="EO809" s="856"/>
      <c r="EP809" s="856"/>
      <c r="EQ809" s="856"/>
      <c r="ER809" s="856"/>
      <c r="ES809" s="856"/>
      <c r="ET809" s="988"/>
      <c r="EU809" s="856"/>
      <c r="EV809" s="856"/>
      <c r="EW809" s="856"/>
      <c r="EX809" s="856"/>
    </row>
    <row r="810" spans="2:154" outlineLevel="1">
      <c r="B810" s="855" t="s">
        <v>256</v>
      </c>
      <c r="C810" s="990"/>
      <c r="D810" s="860"/>
      <c r="E810" s="860"/>
      <c r="F810" s="860"/>
      <c r="G810" s="860"/>
      <c r="H810" s="860"/>
      <c r="I810" s="860"/>
      <c r="J810" s="860"/>
      <c r="K810" s="860"/>
      <c r="L810" s="860"/>
      <c r="M810" s="860"/>
      <c r="N810" s="860"/>
      <c r="O810" s="860"/>
      <c r="P810" s="860"/>
      <c r="Q810" s="860"/>
      <c r="R810" s="860"/>
      <c r="S810" s="860"/>
      <c r="T810" s="860"/>
      <c r="U810" s="860"/>
      <c r="V810" s="860"/>
      <c r="W810" s="860"/>
      <c r="X810" s="862"/>
      <c r="Y810" s="860"/>
      <c r="Z810" s="860"/>
      <c r="AA810" s="860"/>
      <c r="AB810" s="860"/>
      <c r="AC810" s="862"/>
      <c r="AD810" s="860"/>
      <c r="AE810" s="860"/>
      <c r="AF810" s="860"/>
      <c r="AG810" s="860"/>
      <c r="AH810" s="862"/>
      <c r="AI810" s="863">
        <f t="shared" ref="AI810:BB810" si="1905">IF(ISNUMBER(AI809),(1+AI809)/(1+AI$21)-1,"NM")</f>
      </c>
      <c r="AJ810" s="863">
        <f t="shared" si="1905"/>
      </c>
      <c r="AK810" s="863">
        <f t="shared" si="1905"/>
      </c>
      <c r="AL810" s="863">
        <f t="shared" si="1905"/>
      </c>
      <c r="AM810" s="862">
        <f t="shared" si="1905"/>
      </c>
      <c r="AN810" s="863">
        <f t="shared" si="1905"/>
      </c>
      <c r="AO810" s="863">
        <f t="shared" si="1905"/>
      </c>
      <c r="AP810" s="863">
        <f t="shared" si="1905"/>
      </c>
      <c r="AQ810" s="863">
        <f t="shared" si="1905"/>
      </c>
      <c r="AR810" s="862">
        <f t="shared" si="1905"/>
      </c>
      <c r="AS810" s="863">
        <f t="shared" si="1905"/>
      </c>
      <c r="AT810" s="863">
        <f t="shared" si="1905"/>
      </c>
      <c r="AU810" s="863">
        <f t="shared" si="1905"/>
      </c>
      <c r="AV810" s="863">
        <f t="shared" si="1905"/>
      </c>
      <c r="AW810" s="862">
        <f t="shared" si="1905"/>
      </c>
      <c r="AX810" s="863">
        <f t="shared" si="1905"/>
      </c>
      <c r="AY810" s="863">
        <f t="shared" si="1905"/>
      </c>
      <c r="AZ810" s="863">
        <f t="shared" si="1905"/>
      </c>
      <c r="BA810" s="863">
        <f t="shared" si="1905"/>
      </c>
      <c r="BB810" s="862">
        <f t="shared" si="1905"/>
      </c>
      <c r="BC810" s="863">
        <v>9.4599051955592595E-2</v>
      </c>
      <c r="BD810" s="863">
        <v>9.4599051955592595E-2</v>
      </c>
      <c r="BE810" s="863"/>
      <c r="BF810" s="863"/>
      <c r="BG810" s="862"/>
      <c r="BH810" s="863">
        <v>9.4599051955592595E-2</v>
      </c>
      <c r="BI810" s="863">
        <v>9.4599051955592595E-2</v>
      </c>
      <c r="BJ810" s="863"/>
      <c r="BK810" s="863"/>
      <c r="BL810" s="862"/>
      <c r="BM810" s="863"/>
      <c r="BN810" s="863"/>
      <c r="BO810" s="863"/>
      <c r="BP810" s="863"/>
      <c r="BQ810" s="862"/>
      <c r="BR810" s="863"/>
      <c r="BS810" s="863"/>
      <c r="BT810" s="863"/>
      <c r="BU810" s="863"/>
      <c r="BV810" s="862"/>
      <c r="BW810" s="863"/>
      <c r="BX810" s="863"/>
      <c r="BY810" s="863"/>
      <c r="BZ810" s="863"/>
      <c r="CA810" s="862"/>
      <c r="CB810" s="863"/>
      <c r="CC810" s="863"/>
      <c r="CD810" s="863"/>
      <c r="CE810" s="863"/>
      <c r="CF810" s="862"/>
      <c r="CG810" s="863"/>
      <c r="CH810" s="863"/>
      <c r="CI810" s="863"/>
      <c r="CJ810" s="863"/>
      <c r="CK810" s="862"/>
      <c r="CL810" s="996"/>
      <c r="CM810" s="863"/>
      <c r="CN810" s="863"/>
      <c r="CO810" s="863"/>
      <c r="CP810" s="862"/>
      <c r="CQ810" s="863"/>
      <c r="CR810" s="863"/>
      <c r="CS810" s="863"/>
      <c r="CT810" s="989"/>
      <c r="CU810" s="989"/>
      <c r="CV810" s="863"/>
      <c r="CW810" s="863"/>
      <c r="CX810" s="863"/>
      <c r="CY810" s="989"/>
      <c r="CZ810" s="862"/>
      <c r="DA810" s="863"/>
      <c r="DB810" s="863"/>
      <c r="DC810" s="863"/>
      <c r="DD810" s="989"/>
      <c r="DE810" s="862"/>
      <c r="DF810" s="863"/>
      <c r="DG810" s="863"/>
      <c r="DH810" s="863"/>
      <c r="DI810" s="989"/>
      <c r="DJ810" s="862"/>
      <c r="DK810" s="862"/>
      <c r="DL810" s="862"/>
      <c r="DM810" s="862"/>
      <c r="DN810" s="862"/>
      <c r="DO810" s="862"/>
      <c r="DP810" s="862"/>
      <c r="DQ810" s="862"/>
      <c r="DR810" s="862"/>
      <c r="DS810" s="862"/>
      <c r="DT810" s="862"/>
      <c r="DU810" s="862"/>
      <c r="DV810" s="862"/>
      <c r="DW810" s="862"/>
      <c r="DX810" s="862"/>
      <c r="DY810" s="862"/>
      <c r="DZ810" s="862"/>
      <c r="EA810" s="862"/>
      <c r="EB810" s="862"/>
      <c r="EC810" s="862"/>
      <c r="ED810" s="862"/>
      <c r="EE810" s="996"/>
      <c r="EF810" s="862"/>
      <c r="EG810" s="862"/>
      <c r="EH810" s="862"/>
      <c r="EI810" s="862"/>
      <c r="EJ810" s="863"/>
      <c r="EK810" s="863"/>
      <c r="EL810" s="863"/>
      <c r="EM810" s="863"/>
      <c r="EN810" s="863"/>
      <c r="EO810" s="863"/>
      <c r="EP810" s="863"/>
      <c r="EQ810" s="863"/>
      <c r="ER810" s="863"/>
      <c r="ES810" s="863"/>
      <c r="ET810" s="989"/>
      <c r="EU810" s="863"/>
      <c r="EV810" s="863"/>
      <c r="EW810" s="863"/>
      <c r="EX810" s="863"/>
    </row>
    <row r="811" spans="2:154" outlineLevel="1">
      <c r="B811" s="855" t="s">
        <v>413</v>
      </c>
      <c r="C811" s="990"/>
      <c r="D811" s="860"/>
      <c r="E811" s="860"/>
      <c r="F811" s="860"/>
      <c r="G811" s="860"/>
      <c r="H811" s="860"/>
      <c r="I811" s="856">
        <f t="shared" ref="I811:AN811" si="1906">IF(D805="NM","NM",IF(I805="NM","NM",IF(D805&lt;=0,"NM",IF(I805=0,"NM",IF(ABS(I805/D805-1)&gt;2.5,"NM",IF((ABS(I805-D805)=ABS(ABS(I805)-ABS(D805))),(I805/D805-1),"NM"))))))</f>
      </c>
      <c r="J811" s="856">
        <f t="shared" si="1906"/>
      </c>
      <c r="K811" s="856">
        <f t="shared" si="1906"/>
      </c>
      <c r="L811" s="856">
        <f t="shared" si="1906"/>
      </c>
      <c r="M811" s="856">
        <f t="shared" si="1906"/>
      </c>
      <c r="N811" s="856">
        <f t="shared" si="1906"/>
      </c>
      <c r="O811" s="856">
        <f t="shared" si="1906"/>
      </c>
      <c r="P811" s="856">
        <f t="shared" si="1906"/>
      </c>
      <c r="Q811" s="856">
        <f t="shared" si="1906"/>
      </c>
      <c r="R811" s="856">
        <f t="shared" si="1906"/>
      </c>
      <c r="S811" s="856">
        <f t="shared" si="1906"/>
      </c>
      <c r="T811" s="856">
        <f t="shared" si="1906"/>
      </c>
      <c r="U811" s="856">
        <f t="shared" si="1906"/>
      </c>
      <c r="V811" s="856">
        <f t="shared" si="1906"/>
      </c>
      <c r="W811" s="856">
        <f t="shared" si="1906"/>
      </c>
      <c r="X811" s="857">
        <f t="shared" si="1906"/>
      </c>
      <c r="Y811" s="856">
        <f t="shared" si="1906"/>
      </c>
      <c r="Z811" s="856">
        <f t="shared" si="1906"/>
      </c>
      <c r="AA811" s="856">
        <f t="shared" si="1906"/>
      </c>
      <c r="AB811" s="856">
        <f t="shared" si="1906"/>
      </c>
      <c r="AC811" s="857">
        <f t="shared" si="1906"/>
      </c>
      <c r="AD811" s="856">
        <f t="shared" si="1906"/>
      </c>
      <c r="AE811" s="856">
        <f t="shared" si="1906"/>
      </c>
      <c r="AF811" s="856">
        <f t="shared" si="1906"/>
      </c>
      <c r="AG811" s="856">
        <f t="shared" si="1906"/>
      </c>
      <c r="AH811" s="857">
        <f t="shared" si="1906"/>
      </c>
      <c r="AI811" s="856">
        <f t="shared" si="1906"/>
      </c>
      <c r="AJ811" s="856">
        <f t="shared" si="1906"/>
      </c>
      <c r="AK811" s="856">
        <f t="shared" si="1906"/>
      </c>
      <c r="AL811" s="856">
        <f t="shared" si="1906"/>
      </c>
      <c r="AM811" s="857">
        <f t="shared" si="1906"/>
      </c>
      <c r="AN811" s="856">
        <f t="shared" si="1906"/>
      </c>
      <c r="AO811" s="856">
        <f t="shared" ref="AO811:BB811" si="1907">IF(AJ805="NM","NM",IF(AO805="NM","NM",IF(AJ805&lt;=0,"NM",IF(AO805=0,"NM",IF(ABS(AO805/AJ805-1)&gt;2.5,"NM",IF((ABS(AO805-AJ805)=ABS(ABS(AO805)-ABS(AJ805))),(AO805/AJ805-1),"NM"))))))</f>
      </c>
      <c r="AP811" s="856">
        <f t="shared" si="1907"/>
      </c>
      <c r="AQ811" s="856">
        <f t="shared" si="1907"/>
      </c>
      <c r="AR811" s="857">
        <f t="shared" si="1907"/>
      </c>
      <c r="AS811" s="856">
        <f t="shared" si="1907"/>
      </c>
      <c r="AT811" s="856">
        <f t="shared" si="1907"/>
      </c>
      <c r="AU811" s="856">
        <f t="shared" si="1907"/>
      </c>
      <c r="AV811" s="856">
        <f t="shared" si="1907"/>
      </c>
      <c r="AW811" s="857">
        <f t="shared" si="1907"/>
      </c>
      <c r="AX811" s="856">
        <f t="shared" si="1907"/>
      </c>
      <c r="AY811" s="856">
        <f t="shared" si="1907"/>
      </c>
      <c r="AZ811" s="856">
        <f t="shared" si="1907"/>
      </c>
      <c r="BA811" s="856">
        <f t="shared" si="1907"/>
      </c>
      <c r="BB811" s="857">
        <f t="shared" si="1907"/>
      </c>
      <c r="BC811" s="856">
        <v>-7.8670270270270293E-2</v>
      </c>
      <c r="BD811" s="856">
        <v>-7.8670270270270293E-2</v>
      </c>
      <c r="BE811" s="856"/>
      <c r="BF811" s="856"/>
      <c r="BG811" s="857"/>
      <c r="BH811" s="856">
        <v>-7.8670270270270293E-2</v>
      </c>
      <c r="BI811" s="856">
        <v>-7.8670270270270293E-2</v>
      </c>
      <c r="BJ811" s="856"/>
      <c r="BK811" s="856"/>
      <c r="BL811" s="857"/>
      <c r="BM811" s="856"/>
      <c r="BN811" s="856"/>
      <c r="BO811" s="856"/>
      <c r="BP811" s="856"/>
      <c r="BQ811" s="857"/>
      <c r="BR811" s="856"/>
      <c r="BS811" s="856"/>
      <c r="BT811" s="856"/>
      <c r="BU811" s="856"/>
      <c r="BV811" s="857"/>
      <c r="BW811" s="856"/>
      <c r="BX811" s="856"/>
      <c r="BY811" s="856"/>
      <c r="BZ811" s="856"/>
      <c r="CA811" s="857"/>
      <c r="CB811" s="856"/>
      <c r="CC811" s="856"/>
      <c r="CD811" s="856"/>
      <c r="CE811" s="856"/>
      <c r="CF811" s="857"/>
      <c r="CG811" s="856"/>
      <c r="CH811" s="856"/>
      <c r="CI811" s="856"/>
      <c r="CJ811" s="856"/>
      <c r="CK811" s="857"/>
      <c r="CL811" s="994"/>
      <c r="CM811" s="856"/>
      <c r="CN811" s="856"/>
      <c r="CO811" s="856"/>
      <c r="CP811" s="857"/>
      <c r="CQ811" s="856"/>
      <c r="CR811" s="856"/>
      <c r="CS811" s="856"/>
      <c r="CT811" s="988"/>
      <c r="CU811" s="988"/>
      <c r="CV811" s="856"/>
      <c r="CW811" s="856"/>
      <c r="CX811" s="856"/>
      <c r="CY811" s="988"/>
      <c r="CZ811" s="857"/>
      <c r="DA811" s="856"/>
      <c r="DB811" s="856"/>
      <c r="DC811" s="856"/>
      <c r="DD811" s="988"/>
      <c r="DE811" s="857"/>
      <c r="DF811" s="856"/>
      <c r="DG811" s="856"/>
      <c r="DH811" s="856"/>
      <c r="DI811" s="988"/>
      <c r="DJ811" s="857"/>
      <c r="DK811" s="857"/>
      <c r="DL811" s="857"/>
      <c r="DM811" s="857"/>
      <c r="DN811" s="857"/>
      <c r="DO811" s="857"/>
      <c r="DP811" s="857"/>
      <c r="DQ811" s="857"/>
      <c r="DR811" s="857"/>
      <c r="DS811" s="857"/>
      <c r="DT811" s="857"/>
      <c r="DU811" s="857"/>
      <c r="DV811" s="857"/>
      <c r="DW811" s="857"/>
      <c r="DX811" s="857"/>
      <c r="DY811" s="857"/>
      <c r="DZ811" s="857"/>
      <c r="EA811" s="857"/>
      <c r="EB811" s="857"/>
      <c r="EC811" s="857"/>
      <c r="ED811" s="857"/>
      <c r="EE811" s="994"/>
      <c r="EF811" s="857"/>
      <c r="EG811" s="857"/>
      <c r="EH811" s="857"/>
      <c r="EI811" s="857"/>
      <c r="EJ811" s="856"/>
      <c r="EK811" s="856"/>
      <c r="EL811" s="856"/>
      <c r="EM811" s="856"/>
      <c r="EN811" s="856"/>
      <c r="EO811" s="856"/>
      <c r="EP811" s="856"/>
      <c r="EQ811" s="856"/>
      <c r="ER811" s="856"/>
      <c r="ES811" s="856"/>
      <c r="ET811" s="988"/>
      <c r="EU811" s="856"/>
      <c r="EV811" s="856"/>
      <c r="EW811" s="856"/>
      <c r="EX811" s="856"/>
    </row>
    <row r="812" spans="2:154" outlineLevel="1">
      <c r="B812" s="852"/>
      <c r="C812" s="990"/>
      <c r="D812" s="849"/>
      <c r="E812" s="849"/>
      <c r="F812" s="849"/>
      <c r="G812" s="849"/>
      <c r="H812" s="849"/>
      <c r="I812" s="849"/>
      <c r="J812" s="849"/>
      <c r="K812" s="849"/>
      <c r="L812" s="849"/>
      <c r="M812" s="849"/>
      <c r="N812" s="849"/>
      <c r="O812" s="849"/>
      <c r="P812" s="849"/>
      <c r="Q812" s="849"/>
      <c r="R812" s="849"/>
      <c r="S812" s="849"/>
      <c r="T812" s="849"/>
      <c r="U812" s="849"/>
      <c r="V812" s="849"/>
      <c r="W812" s="849"/>
      <c r="X812" s="850"/>
      <c r="Y812" s="849"/>
      <c r="Z812" s="849"/>
      <c r="AA812" s="849"/>
      <c r="AB812" s="849"/>
      <c r="AC812" s="850"/>
      <c r="AD812" s="849"/>
      <c r="AE812" s="849"/>
      <c r="AF812" s="849"/>
      <c r="AG812" s="849"/>
      <c r="AH812" s="850"/>
      <c r="AI812" s="849"/>
      <c r="AJ812" s="849"/>
      <c r="AK812" s="849"/>
      <c r="AL812" s="849"/>
      <c r="AM812" s="850"/>
      <c r="AN812" s="849"/>
      <c r="AO812" s="849"/>
      <c r="AP812" s="849"/>
      <c r="AQ812" s="849"/>
      <c r="AR812" s="850"/>
      <c r="AS812" s="849"/>
      <c r="AT812" s="849"/>
      <c r="AU812" s="849"/>
      <c r="AV812" s="849"/>
      <c r="AW812" s="850"/>
      <c r="AX812" s="849"/>
      <c r="AY812" s="849"/>
      <c r="AZ812" s="849"/>
      <c r="BA812" s="849"/>
      <c r="BB812" s="850"/>
      <c r="BC812" s="849"/>
      <c r="BD812" s="849"/>
      <c r="BE812" s="849"/>
      <c r="BF812" s="849"/>
      <c r="BG812" s="850"/>
      <c r="BH812" s="849"/>
      <c r="BI812" s="849"/>
      <c r="BJ812" s="849"/>
      <c r="BK812" s="849"/>
      <c r="BL812" s="850"/>
      <c r="BM812" s="849"/>
      <c r="BN812" s="849"/>
      <c r="BO812" s="849"/>
      <c r="BP812" s="849"/>
      <c r="BQ812" s="850"/>
      <c r="BR812" s="849"/>
      <c r="BS812" s="849"/>
      <c r="BT812" s="849"/>
      <c r="BU812" s="849"/>
      <c r="BV812" s="850"/>
      <c r="BW812" s="849"/>
      <c r="BX812" s="849"/>
      <c r="BY812" s="849"/>
      <c r="BZ812" s="849"/>
      <c r="CA812" s="850"/>
      <c r="CB812" s="849"/>
      <c r="CC812" s="849"/>
      <c r="CD812" s="849"/>
      <c r="CE812" s="849"/>
      <c r="CF812" s="850"/>
      <c r="CG812" s="849"/>
      <c r="CH812" s="849"/>
      <c r="CI812" s="849"/>
      <c r="CJ812" s="849"/>
      <c r="CK812" s="850"/>
      <c r="CL812" s="993"/>
      <c r="CM812" s="849"/>
      <c r="CN812" s="849"/>
      <c r="CO812" s="849"/>
      <c r="CP812" s="850"/>
      <c r="CQ812" s="849"/>
      <c r="CR812" s="849"/>
      <c r="CS812" s="849"/>
      <c r="CT812" s="985"/>
      <c r="CU812" s="985"/>
      <c r="CV812" s="849"/>
      <c r="CW812" s="849"/>
      <c r="CX812" s="849"/>
      <c r="CY812" s="985"/>
      <c r="CZ812" s="850"/>
      <c r="DA812" s="849"/>
      <c r="DB812" s="849"/>
      <c r="DC812" s="849"/>
      <c r="DD812" s="985"/>
      <c r="DE812" s="1889"/>
      <c r="DF812" s="1890"/>
      <c r="DG812" s="1890"/>
      <c r="DH812" s="1890"/>
      <c r="DI812" s="1891"/>
      <c r="DJ812" s="1889"/>
      <c r="DK812" s="1889"/>
      <c r="DL812" s="1889"/>
      <c r="DM812" s="1889"/>
      <c r="DN812" s="1889"/>
      <c r="DO812" s="1889"/>
      <c r="DP812" s="1889"/>
      <c r="DQ812" s="1889"/>
      <c r="DR812" s="1889"/>
      <c r="DS812" s="1889"/>
      <c r="DT812" s="1889"/>
      <c r="DU812" s="1889"/>
      <c r="DV812" s="1889"/>
      <c r="DW812" s="1889"/>
      <c r="DX812" s="1889"/>
      <c r="DY812" s="1889"/>
      <c r="DZ812" s="1889"/>
      <c r="EA812" s="1889"/>
      <c r="EB812" s="1889"/>
      <c r="EC812" s="1889"/>
      <c r="ED812" s="1889"/>
      <c r="EE812" s="3550"/>
      <c r="EF812" s="1889"/>
      <c r="EG812" s="1889"/>
      <c r="EH812" s="1889"/>
      <c r="EI812" s="1889"/>
      <c r="EJ812" s="1890"/>
      <c r="EK812" s="1890"/>
      <c r="EL812" s="1890"/>
      <c r="EM812" s="1890"/>
      <c r="EN812" s="1890"/>
      <c r="EO812" s="1890"/>
      <c r="EP812" s="1890"/>
      <c r="EQ812" s="1890"/>
      <c r="ER812" s="1890"/>
      <c r="ES812" s="1890"/>
      <c r="ET812" s="1891"/>
      <c r="EU812" s="1890"/>
      <c r="EV812" s="1890"/>
      <c r="EW812" s="1890"/>
      <c r="EX812" s="1890"/>
    </row>
    <row r="813" spans="2:154" outlineLevel="1">
      <c r="B813" s="848" t="s">
        <v>17</v>
      </c>
      <c r="C813" s="990"/>
      <c r="D813" s="849"/>
      <c r="E813" s="849"/>
      <c r="F813" s="849"/>
      <c r="G813" s="849"/>
      <c r="H813" s="849"/>
      <c r="I813" s="849"/>
      <c r="J813" s="849"/>
      <c r="K813" s="849"/>
      <c r="L813" s="849"/>
      <c r="M813" s="849"/>
      <c r="N813" s="849"/>
      <c r="O813" s="849"/>
      <c r="P813" s="849"/>
      <c r="Q813" s="849"/>
      <c r="R813" s="849"/>
      <c r="S813" s="849"/>
      <c r="T813" s="849"/>
      <c r="U813" s="849"/>
      <c r="V813" s="849"/>
      <c r="W813" s="849"/>
      <c r="X813" s="850"/>
      <c r="Y813" s="849"/>
      <c r="Z813" s="849"/>
      <c r="AA813" s="849"/>
      <c r="AB813" s="849"/>
      <c r="AC813" s="850"/>
      <c r="AD813" s="849"/>
      <c r="AE813" s="864"/>
      <c r="AF813" s="849"/>
      <c r="AG813" s="849"/>
      <c r="AH813" s="850"/>
      <c r="AI813" s="849"/>
      <c r="AJ813" s="849"/>
      <c r="AK813" s="849"/>
      <c r="AL813" s="849"/>
      <c r="AM813" s="850"/>
      <c r="AN813" s="849"/>
      <c r="AO813" s="849"/>
      <c r="AP813" s="849"/>
      <c r="AQ813" s="849"/>
      <c r="AR813" s="850"/>
      <c r="AS813" s="849"/>
      <c r="AT813" s="849"/>
      <c r="AU813" s="849"/>
      <c r="AV813" s="849"/>
      <c r="AW813" s="850"/>
      <c r="AX813" s="849"/>
      <c r="AY813" s="849"/>
      <c r="AZ813" s="849"/>
      <c r="BA813" s="849"/>
      <c r="BB813" s="850"/>
      <c r="BC813" s="849"/>
      <c r="BD813" s="849"/>
      <c r="BE813" s="849"/>
      <c r="BF813" s="849"/>
      <c r="BG813" s="850"/>
      <c r="BH813" s="849"/>
      <c r="BI813" s="849"/>
      <c r="BJ813" s="849"/>
      <c r="BK813" s="849"/>
      <c r="BL813" s="850"/>
      <c r="BM813" s="849"/>
      <c r="BN813" s="849"/>
      <c r="BO813" s="849"/>
      <c r="BP813" s="849"/>
      <c r="BQ813" s="850"/>
      <c r="BR813" s="849"/>
      <c r="BS813" s="849"/>
      <c r="BT813" s="849"/>
      <c r="BU813" s="849"/>
      <c r="BV813" s="850"/>
      <c r="BW813" s="849"/>
      <c r="BX813" s="849"/>
      <c r="BY813" s="849"/>
      <c r="BZ813" s="849"/>
      <c r="CA813" s="850"/>
      <c r="CB813" s="849"/>
      <c r="CC813" s="849"/>
      <c r="CD813" s="849"/>
      <c r="CE813" s="849"/>
      <c r="CF813" s="850"/>
      <c r="CG813" s="849"/>
      <c r="CH813" s="849"/>
      <c r="CI813" s="849"/>
      <c r="CJ813" s="849"/>
      <c r="CK813" s="850"/>
      <c r="CL813" s="993"/>
      <c r="CM813" s="849"/>
      <c r="CN813" s="849"/>
      <c r="CO813" s="849"/>
      <c r="CP813" s="850"/>
      <c r="CQ813" s="849"/>
      <c r="CR813" s="849"/>
      <c r="CS813" s="849"/>
      <c r="CT813" s="985"/>
      <c r="CU813" s="985"/>
      <c r="CV813" s="849"/>
      <c r="CW813" s="849"/>
      <c r="CX813" s="849"/>
      <c r="CY813" s="985"/>
      <c r="CZ813" s="850"/>
      <c r="DA813" s="849"/>
      <c r="DB813" s="849"/>
      <c r="DC813" s="849"/>
      <c r="DD813" s="985"/>
      <c r="DE813" s="1889"/>
      <c r="DF813" s="1890"/>
      <c r="DG813" s="1890"/>
      <c r="DH813" s="1890"/>
      <c r="DI813" s="1891"/>
      <c r="DJ813" s="1889"/>
      <c r="DK813" s="1889"/>
      <c r="DL813" s="1889"/>
      <c r="DM813" s="1889"/>
      <c r="DN813" s="1889"/>
      <c r="DO813" s="1889"/>
      <c r="DP813" s="1889"/>
      <c r="DQ813" s="1889"/>
      <c r="DR813" s="1889"/>
      <c r="DS813" s="1889"/>
      <c r="DT813" s="1889"/>
      <c r="DU813" s="1889"/>
      <c r="DV813" s="1889"/>
      <c r="DW813" s="1889"/>
      <c r="DX813" s="1889"/>
      <c r="DY813" s="1889"/>
      <c r="DZ813" s="1889"/>
      <c r="EA813" s="1889"/>
      <c r="EB813" s="1889"/>
      <c r="EC813" s="1889"/>
      <c r="ED813" s="1889"/>
      <c r="EE813" s="3550"/>
      <c r="EF813" s="1889"/>
      <c r="EG813" s="1889"/>
      <c r="EH813" s="1889"/>
      <c r="EI813" s="1889"/>
      <c r="EJ813" s="1890"/>
      <c r="EK813" s="1890"/>
      <c r="EL813" s="1890"/>
      <c r="EM813" s="1890"/>
      <c r="EN813" s="1890"/>
      <c r="EO813" s="1890"/>
      <c r="EP813" s="1890"/>
      <c r="EQ813" s="1890"/>
      <c r="ER813" s="1890"/>
      <c r="ES813" s="1890"/>
      <c r="ET813" s="1891"/>
      <c r="EU813" s="1890"/>
      <c r="EV813" s="1890"/>
      <c r="EW813" s="1890"/>
      <c r="EX813" s="1890"/>
    </row>
    <row r="814" spans="2:154" outlineLevel="1">
      <c r="B814" s="852" t="s">
        <v>187</v>
      </c>
      <c r="C814" s="2016">
        <v>41730</v>
      </c>
      <c r="D814" s="849"/>
      <c r="E814" s="849">
        <v>0</v>
      </c>
      <c r="F814" s="849">
        <v>0</v>
      </c>
      <c r="G814" s="849">
        <v>0</v>
      </c>
      <c r="H814" s="849">
        <v>0</v>
      </c>
      <c r="I814" s="849">
        <f>+SUM(E814:H814)</f>
      </c>
      <c r="J814" s="849">
        <v>0</v>
      </c>
      <c r="K814" s="849">
        <v>0</v>
      </c>
      <c r="L814" s="849">
        <v>0</v>
      </c>
      <c r="M814" s="849">
        <v>0</v>
      </c>
      <c r="N814" s="849">
        <f>+SUM(J814:M814)</f>
      </c>
      <c r="O814" s="849">
        <v>0</v>
      </c>
      <c r="P814" s="849">
        <v>0</v>
      </c>
      <c r="Q814" s="849">
        <v>0</v>
      </c>
      <c r="R814" s="849">
        <v>0</v>
      </c>
      <c r="S814" s="849">
        <f>SUM(O814:R814)</f>
      </c>
      <c r="T814" s="849">
        <v>0</v>
      </c>
      <c r="U814" s="849">
        <v>0</v>
      </c>
      <c r="V814" s="849">
        <v>0</v>
      </c>
      <c r="W814" s="849">
        <v>0</v>
      </c>
      <c r="X814" s="850">
        <f>SUM(T814:W814)</f>
      </c>
      <c r="Y814" s="849">
        <v>0</v>
      </c>
      <c r="Z814" s="849">
        <v>25</v>
      </c>
      <c r="AA814" s="849">
        <v>48</v>
      </c>
      <c r="AB814" s="849">
        <v>72</v>
      </c>
      <c r="AC814" s="850">
        <f>SUM(Y814:AB814)</f>
      </c>
      <c r="AD814" s="849">
        <v>75</v>
      </c>
      <c r="AE814" s="849">
        <v>87.5</v>
      </c>
      <c r="AF814" s="849">
        <v>98.4</v>
      </c>
      <c r="AG814" s="849">
        <v>106</v>
      </c>
      <c r="AH814" s="850">
        <f>SUM(AD814:AG814)</f>
      </c>
      <c r="AI814" s="849">
        <v>110</v>
      </c>
      <c r="AJ814" s="849">
        <v>70</v>
      </c>
      <c r="AK814" s="849">
        <v>40</v>
      </c>
      <c r="AL814" s="849">
        <v>27</v>
      </c>
      <c r="AM814" s="850">
        <f>+SUM(AI814:AL814)</f>
      </c>
      <c r="AN814" s="849">
        <v>24</v>
      </c>
      <c r="AO814" s="849">
        <v>21</v>
      </c>
      <c r="AP814" s="849">
        <v>20</v>
      </c>
      <c r="AQ814" s="849">
        <v>20</v>
      </c>
      <c r="AR814" s="850">
        <f>+SUM(AN814:AQ814)</f>
      </c>
      <c r="AS814" s="849">
        <v>22.8</v>
      </c>
      <c r="AT814" s="849">
        <v>19.53</v>
      </c>
      <c r="AU814" s="849">
        <v>17.600000000000001</v>
      </c>
      <c r="AV814" s="849">
        <v>16.57</v>
      </c>
      <c r="AW814" s="850">
        <f>SUM(AS814:AV814)</f>
      </c>
      <c r="AX814" s="849">
        <v>15.96</v>
      </c>
      <c r="AY814" s="849">
        <v>15.624000000000002</v>
      </c>
      <c r="AZ814" s="849">
        <v>14.96</v>
      </c>
      <c r="BA814" s="849">
        <v>13.125999999999998</v>
      </c>
      <c r="BB814" s="850">
        <f>SUM(AX814:BA814)</f>
      </c>
      <c r="BC814" s="849"/>
      <c r="BD814" s="849"/>
      <c r="BE814" s="849"/>
      <c r="BF814" s="849"/>
      <c r="BG814" s="850"/>
      <c r="BH814" s="849"/>
      <c r="BI814" s="849"/>
      <c r="BJ814" s="849"/>
      <c r="BK814" s="849"/>
      <c r="BL814" s="850"/>
      <c r="BM814" s="849"/>
      <c r="BN814" s="849"/>
      <c r="BO814" s="849"/>
      <c r="BP814" s="849"/>
      <c r="BQ814" s="850"/>
      <c r="BR814" s="849"/>
      <c r="BS814" s="849"/>
      <c r="BT814" s="849"/>
      <c r="BU814" s="849"/>
      <c r="BV814" s="850"/>
      <c r="BW814" s="849"/>
      <c r="BX814" s="849"/>
      <c r="BY814" s="849"/>
      <c r="BZ814" s="849"/>
      <c r="CA814" s="850"/>
      <c r="CB814" s="849"/>
      <c r="CC814" s="849"/>
      <c r="CD814" s="849"/>
      <c r="CE814" s="849"/>
      <c r="CF814" s="850"/>
      <c r="CG814" s="849"/>
      <c r="CH814" s="849"/>
      <c r="CI814" s="849"/>
      <c r="CJ814" s="849"/>
      <c r="CK814" s="850"/>
      <c r="CL814" s="993"/>
      <c r="CM814" s="849"/>
      <c r="CN814" s="849"/>
      <c r="CO814" s="849"/>
      <c r="CP814" s="850"/>
      <c r="CQ814" s="849"/>
      <c r="CR814" s="849"/>
      <c r="CS814" s="849"/>
      <c r="CT814" s="985"/>
      <c r="CU814" s="985"/>
      <c r="CV814" s="849"/>
      <c r="CW814" s="849"/>
      <c r="CX814" s="849"/>
      <c r="CY814" s="985"/>
      <c r="CZ814" s="850"/>
      <c r="DA814" s="849"/>
      <c r="DB814" s="849"/>
      <c r="DC814" s="849"/>
      <c r="DD814" s="985"/>
      <c r="DE814" s="1889"/>
      <c r="DF814" s="1890"/>
      <c r="DG814" s="1890"/>
      <c r="DH814" s="1890"/>
      <c r="DI814" s="1891"/>
      <c r="DJ814" s="1889"/>
      <c r="DK814" s="1889"/>
      <c r="DL814" s="1889"/>
      <c r="DM814" s="1889"/>
      <c r="DN814" s="1889"/>
      <c r="DO814" s="1889"/>
      <c r="DP814" s="1889"/>
      <c r="DQ814" s="1889"/>
      <c r="DR814" s="1889"/>
      <c r="DS814" s="1889"/>
      <c r="DT814" s="1889"/>
      <c r="DU814" s="1889"/>
      <c r="DV814" s="1889"/>
      <c r="DW814" s="1889"/>
      <c r="DX814" s="1889"/>
      <c r="DY814" s="1889"/>
      <c r="DZ814" s="1889"/>
      <c r="EA814" s="1889"/>
      <c r="EB814" s="1889"/>
      <c r="EC814" s="1889"/>
      <c r="ED814" s="1889"/>
      <c r="EE814" s="3550"/>
      <c r="EF814" s="1889"/>
      <c r="EG814" s="1889"/>
      <c r="EH814" s="1889"/>
      <c r="EI814" s="1889"/>
      <c r="EJ814" s="1890"/>
      <c r="EK814" s="1890"/>
      <c r="EL814" s="1890"/>
      <c r="EM814" s="1890"/>
      <c r="EN814" s="1890"/>
      <c r="EO814" s="1890"/>
      <c r="EP814" s="1890"/>
      <c r="EQ814" s="1890"/>
      <c r="ER814" s="1890"/>
      <c r="ES814" s="1890"/>
      <c r="ET814" s="1891"/>
      <c r="EU814" s="1890"/>
      <c r="EV814" s="1890"/>
      <c r="EW814" s="1890"/>
      <c r="EX814" s="1890"/>
    </row>
    <row r="815" spans="2:154" outlineLevel="1">
      <c r="B815" s="852" t="s">
        <v>412</v>
      </c>
      <c r="C815" s="990"/>
      <c r="D815" s="849"/>
      <c r="E815" s="849">
        <v>0</v>
      </c>
      <c r="F815" s="849">
        <v>0</v>
      </c>
      <c r="G815" s="849">
        <v>0</v>
      </c>
      <c r="H815" s="849">
        <v>0</v>
      </c>
      <c r="I815" s="849">
        <f>+SUM(E815:H815)</f>
      </c>
      <c r="J815" s="849">
        <v>0</v>
      </c>
      <c r="K815" s="849">
        <v>0</v>
      </c>
      <c r="L815" s="849">
        <v>0</v>
      </c>
      <c r="M815" s="849">
        <v>0</v>
      </c>
      <c r="N815" s="849">
        <f>+SUM(J815:M815)</f>
      </c>
      <c r="O815" s="849">
        <v>0</v>
      </c>
      <c r="P815" s="849">
        <v>0</v>
      </c>
      <c r="Q815" s="849">
        <v>0</v>
      </c>
      <c r="R815" s="849">
        <v>0</v>
      </c>
      <c r="S815" s="849">
        <f>SUM(O815:R815)</f>
      </c>
      <c r="T815" s="849">
        <v>0</v>
      </c>
      <c r="U815" s="849">
        <v>0</v>
      </c>
      <c r="V815" s="849">
        <v>0</v>
      </c>
      <c r="W815" s="849">
        <v>0</v>
      </c>
      <c r="X815" s="850">
        <f>SUM(T815:W815)</f>
      </c>
      <c r="Y815" s="849">
        <v>0</v>
      </c>
      <c r="Z815" s="849">
        <v>0</v>
      </c>
      <c r="AA815" s="849">
        <v>0</v>
      </c>
      <c r="AB815" s="849">
        <v>0</v>
      </c>
      <c r="AC815" s="850">
        <f>SUM(Y815:AB815)</f>
      </c>
      <c r="AD815" s="849">
        <v>0</v>
      </c>
      <c r="AE815" s="849">
        <v>0</v>
      </c>
      <c r="AF815" s="849">
        <v>0</v>
      </c>
      <c r="AG815" s="849">
        <v>0</v>
      </c>
      <c r="AH815" s="850">
        <f>SUM(AD815:AG815)</f>
      </c>
      <c r="AI815" s="849">
        <v>0</v>
      </c>
      <c r="AJ815" s="849">
        <v>0</v>
      </c>
      <c r="AK815" s="849">
        <v>0</v>
      </c>
      <c r="AL815" s="849">
        <v>0</v>
      </c>
      <c r="AM815" s="850">
        <f>+SUM(AI815:AL815)</f>
      </c>
      <c r="AN815" s="849">
        <v>0</v>
      </c>
      <c r="AO815" s="849">
        <v>0</v>
      </c>
      <c r="AP815" s="849">
        <v>0</v>
      </c>
      <c r="AQ815" s="849">
        <v>0</v>
      </c>
      <c r="AR815" s="850">
        <f>+SUM(AN815:AQ815)</f>
      </c>
      <c r="AS815" s="849">
        <v>0</v>
      </c>
      <c r="AT815" s="849">
        <v>0</v>
      </c>
      <c r="AU815" s="849">
        <v>0</v>
      </c>
      <c r="AV815" s="849">
        <v>0</v>
      </c>
      <c r="AW815" s="850">
        <f>SUM(AS815:AV815)</f>
      </c>
      <c r="AX815" s="849">
        <v>0</v>
      </c>
      <c r="AY815" s="849">
        <v>0</v>
      </c>
      <c r="AZ815" s="849">
        <v>0</v>
      </c>
      <c r="BA815" s="849">
        <v>0</v>
      </c>
      <c r="BB815" s="850">
        <f>SUM(AX815:BA815)</f>
      </c>
      <c r="BC815" s="849"/>
      <c r="BD815" s="849"/>
      <c r="BE815" s="849"/>
      <c r="BF815" s="849"/>
      <c r="BG815" s="850"/>
      <c r="BH815" s="849"/>
      <c r="BI815" s="849"/>
      <c r="BJ815" s="849"/>
      <c r="BK815" s="849"/>
      <c r="BL815" s="850"/>
      <c r="BM815" s="849"/>
      <c r="BN815" s="849"/>
      <c r="BO815" s="849"/>
      <c r="BP815" s="849"/>
      <c r="BQ815" s="850"/>
      <c r="BR815" s="849"/>
      <c r="BS815" s="849"/>
      <c r="BT815" s="849"/>
      <c r="BU815" s="849"/>
      <c r="BV815" s="850"/>
      <c r="BW815" s="849"/>
      <c r="BX815" s="849"/>
      <c r="BY815" s="849"/>
      <c r="BZ815" s="849"/>
      <c r="CA815" s="850"/>
      <c r="CB815" s="849"/>
      <c r="CC815" s="849"/>
      <c r="CD815" s="849"/>
      <c r="CE815" s="849"/>
      <c r="CF815" s="850"/>
      <c r="CG815" s="849"/>
      <c r="CH815" s="849"/>
      <c r="CI815" s="849"/>
      <c r="CJ815" s="849"/>
      <c r="CK815" s="850"/>
      <c r="CL815" s="993"/>
      <c r="CM815" s="849"/>
      <c r="CN815" s="849"/>
      <c r="CO815" s="849"/>
      <c r="CP815" s="850"/>
      <c r="CQ815" s="849"/>
      <c r="CR815" s="849"/>
      <c r="CS815" s="849"/>
      <c r="CT815" s="985"/>
      <c r="CU815" s="985"/>
      <c r="CV815" s="849"/>
      <c r="CW815" s="849"/>
      <c r="CX815" s="849"/>
      <c r="CY815" s="985"/>
      <c r="CZ815" s="850"/>
      <c r="DA815" s="849"/>
      <c r="DB815" s="849"/>
      <c r="DC815" s="849"/>
      <c r="DD815" s="985"/>
      <c r="DE815" s="1889"/>
      <c r="DF815" s="1890"/>
      <c r="DG815" s="1890"/>
      <c r="DH815" s="1890"/>
      <c r="DI815" s="1891"/>
      <c r="DJ815" s="1889"/>
      <c r="DK815" s="1889"/>
      <c r="DL815" s="1889"/>
      <c r="DM815" s="1889"/>
      <c r="DN815" s="1889"/>
      <c r="DO815" s="1889"/>
      <c r="DP815" s="1889"/>
      <c r="DQ815" s="1889"/>
      <c r="DR815" s="1889"/>
      <c r="DS815" s="1889"/>
      <c r="DT815" s="1889"/>
      <c r="DU815" s="1889"/>
      <c r="DV815" s="1889"/>
      <c r="DW815" s="1889"/>
      <c r="DX815" s="1889"/>
      <c r="DY815" s="1889"/>
      <c r="DZ815" s="1889"/>
      <c r="EA815" s="1889"/>
      <c r="EB815" s="1889"/>
      <c r="EC815" s="1889"/>
      <c r="ED815" s="1889"/>
      <c r="EE815" s="3550"/>
      <c r="EF815" s="1889"/>
      <c r="EG815" s="1889"/>
      <c r="EH815" s="1889"/>
      <c r="EI815" s="1889"/>
      <c r="EJ815" s="1890"/>
      <c r="EK815" s="1890"/>
      <c r="EL815" s="1890"/>
      <c r="EM815" s="1890"/>
      <c r="EN815" s="1890"/>
      <c r="EO815" s="1890"/>
      <c r="EP815" s="1890"/>
      <c r="EQ815" s="1890"/>
      <c r="ER815" s="1890"/>
      <c r="ES815" s="1890"/>
      <c r="ET815" s="1891"/>
      <c r="EU815" s="1890"/>
      <c r="EV815" s="1890"/>
      <c r="EW815" s="1890"/>
      <c r="EX815" s="1890"/>
    </row>
    <row r="816" spans="2:154" outlineLevel="1">
      <c r="B816" s="852" t="s">
        <v>413</v>
      </c>
      <c r="C816" s="990"/>
      <c r="D816" s="849">
        <f t="shared" ref="D816:AI816" si="1908">+D814+D815</f>
      </c>
      <c r="E816" s="849">
        <f t="shared" si="1908"/>
      </c>
      <c r="F816" s="849">
        <f t="shared" si="1908"/>
      </c>
      <c r="G816" s="849">
        <f t="shared" si="1908"/>
      </c>
      <c r="H816" s="849">
        <f t="shared" si="1908"/>
      </c>
      <c r="I816" s="849">
        <f t="shared" si="1908"/>
      </c>
      <c r="J816" s="849">
        <f t="shared" si="1908"/>
      </c>
      <c r="K816" s="849">
        <f t="shared" si="1908"/>
      </c>
      <c r="L816" s="849">
        <f t="shared" si="1908"/>
      </c>
      <c r="M816" s="849">
        <f t="shared" si="1908"/>
      </c>
      <c r="N816" s="849">
        <f t="shared" si="1908"/>
      </c>
      <c r="O816" s="849">
        <f t="shared" si="1908"/>
      </c>
      <c r="P816" s="849">
        <f t="shared" si="1908"/>
      </c>
      <c r="Q816" s="849">
        <f t="shared" si="1908"/>
      </c>
      <c r="R816" s="849">
        <f t="shared" si="1908"/>
      </c>
      <c r="S816" s="849">
        <f t="shared" si="1908"/>
      </c>
      <c r="T816" s="849">
        <f t="shared" si="1908"/>
      </c>
      <c r="U816" s="849">
        <f t="shared" si="1908"/>
      </c>
      <c r="V816" s="849">
        <f t="shared" si="1908"/>
      </c>
      <c r="W816" s="849">
        <f t="shared" si="1908"/>
      </c>
      <c r="X816" s="850">
        <f t="shared" si="1908"/>
      </c>
      <c r="Y816" s="849">
        <f t="shared" si="1908"/>
      </c>
      <c r="Z816" s="849">
        <f t="shared" si="1908"/>
      </c>
      <c r="AA816" s="849">
        <f t="shared" si="1908"/>
      </c>
      <c r="AB816" s="849">
        <f t="shared" si="1908"/>
      </c>
      <c r="AC816" s="850">
        <f t="shared" si="1908"/>
      </c>
      <c r="AD816" s="849">
        <f t="shared" si="1908"/>
      </c>
      <c r="AE816" s="849">
        <f t="shared" si="1908"/>
      </c>
      <c r="AF816" s="849">
        <f t="shared" si="1908"/>
      </c>
      <c r="AG816" s="849">
        <f t="shared" si="1908"/>
      </c>
      <c r="AH816" s="850">
        <f t="shared" si="1908"/>
      </c>
      <c r="AI816" s="849">
        <f t="shared" si="1908"/>
      </c>
      <c r="AJ816" s="849">
        <f t="shared" ref="AJ816:BB816" si="1909">+AJ814+AJ815</f>
      </c>
      <c r="AK816" s="849">
        <f t="shared" si="1909"/>
      </c>
      <c r="AL816" s="849">
        <f t="shared" si="1909"/>
      </c>
      <c r="AM816" s="850">
        <f t="shared" si="1909"/>
      </c>
      <c r="AN816" s="849">
        <f t="shared" si="1909"/>
      </c>
      <c r="AO816" s="849">
        <f t="shared" si="1909"/>
      </c>
      <c r="AP816" s="849">
        <f t="shared" si="1909"/>
      </c>
      <c r="AQ816" s="849">
        <f t="shared" si="1909"/>
      </c>
      <c r="AR816" s="850">
        <f t="shared" si="1909"/>
      </c>
      <c r="AS816" s="849">
        <f t="shared" si="1909"/>
      </c>
      <c r="AT816" s="849">
        <f t="shared" si="1909"/>
      </c>
      <c r="AU816" s="849">
        <f t="shared" si="1909"/>
      </c>
      <c r="AV816" s="849">
        <f t="shared" si="1909"/>
      </c>
      <c r="AW816" s="850">
        <f t="shared" si="1909"/>
      </c>
      <c r="AX816" s="849">
        <f t="shared" si="1909"/>
      </c>
      <c r="AY816" s="849">
        <f t="shared" si="1909"/>
      </c>
      <c r="AZ816" s="849">
        <f t="shared" si="1909"/>
      </c>
      <c r="BA816" s="849">
        <f t="shared" si="1909"/>
      </c>
      <c r="BB816" s="850">
        <f t="shared" si="1909"/>
      </c>
      <c r="BC816" s="849"/>
      <c r="BD816" s="849"/>
      <c r="BE816" s="849"/>
      <c r="BF816" s="849"/>
      <c r="BG816" s="850"/>
      <c r="BH816" s="849"/>
      <c r="BI816" s="849"/>
      <c r="BJ816" s="849"/>
      <c r="BK816" s="849"/>
      <c r="BL816" s="850"/>
      <c r="BM816" s="849"/>
      <c r="BN816" s="849"/>
      <c r="BO816" s="849"/>
      <c r="BP816" s="849"/>
      <c r="BQ816" s="850"/>
      <c r="BR816" s="849"/>
      <c r="BS816" s="849"/>
      <c r="BT816" s="849"/>
      <c r="BU816" s="849"/>
      <c r="BV816" s="850"/>
      <c r="BW816" s="849"/>
      <c r="BX816" s="849"/>
      <c r="BY816" s="849"/>
      <c r="BZ816" s="849"/>
      <c r="CA816" s="850"/>
      <c r="CB816" s="849"/>
      <c r="CC816" s="849"/>
      <c r="CD816" s="849"/>
      <c r="CE816" s="849"/>
      <c r="CF816" s="850"/>
      <c r="CG816" s="849"/>
      <c r="CH816" s="849"/>
      <c r="CI816" s="849"/>
      <c r="CJ816" s="849"/>
      <c r="CK816" s="850"/>
      <c r="CL816" s="993"/>
      <c r="CM816" s="849"/>
      <c r="CN816" s="849"/>
      <c r="CO816" s="849"/>
      <c r="CP816" s="850"/>
      <c r="CQ816" s="849"/>
      <c r="CR816" s="849"/>
      <c r="CS816" s="849"/>
      <c r="CT816" s="985"/>
      <c r="CU816" s="985"/>
      <c r="CV816" s="849"/>
      <c r="CW816" s="849"/>
      <c r="CX816" s="849"/>
      <c r="CY816" s="985"/>
      <c r="CZ816" s="850"/>
      <c r="DA816" s="849"/>
      <c r="DB816" s="849"/>
      <c r="DC816" s="849"/>
      <c r="DD816" s="985"/>
      <c r="DE816" s="1889"/>
      <c r="DF816" s="1890"/>
      <c r="DG816" s="1890"/>
      <c r="DH816" s="1890"/>
      <c r="DI816" s="1891"/>
      <c r="DJ816" s="1889"/>
      <c r="DK816" s="1889"/>
      <c r="DL816" s="1889"/>
      <c r="DM816" s="1889"/>
      <c r="DN816" s="1889"/>
      <c r="DO816" s="1889"/>
      <c r="DP816" s="1889"/>
      <c r="DQ816" s="1889"/>
      <c r="DR816" s="1889"/>
      <c r="DS816" s="1889"/>
      <c r="DT816" s="1889"/>
      <c r="DU816" s="1889"/>
      <c r="DV816" s="1889"/>
      <c r="DW816" s="1889"/>
      <c r="DX816" s="1889"/>
      <c r="DY816" s="1889"/>
      <c r="DZ816" s="1889"/>
      <c r="EA816" s="1889"/>
      <c r="EB816" s="1889"/>
      <c r="EC816" s="1889"/>
      <c r="ED816" s="1889"/>
      <c r="EE816" s="3550"/>
      <c r="EF816" s="1889"/>
      <c r="EG816" s="1889"/>
      <c r="EH816" s="1889"/>
      <c r="EI816" s="1889"/>
      <c r="EJ816" s="1890"/>
      <c r="EK816" s="1890"/>
      <c r="EL816" s="1890"/>
      <c r="EM816" s="1890"/>
      <c r="EN816" s="1890"/>
      <c r="EO816" s="1890"/>
      <c r="EP816" s="1890"/>
      <c r="EQ816" s="1890"/>
      <c r="ER816" s="1890"/>
      <c r="ES816" s="1890"/>
      <c r="ET816" s="1891"/>
      <c r="EU816" s="1890"/>
      <c r="EV816" s="1890"/>
      <c r="EW816" s="1890"/>
      <c r="EX816" s="1890"/>
    </row>
    <row r="817" spans="2:154" outlineLevel="1">
      <c r="B817" s="852"/>
      <c r="C817" s="990"/>
      <c r="D817" s="849"/>
      <c r="E817" s="849"/>
      <c r="F817" s="849"/>
      <c r="G817" s="849"/>
      <c r="H817" s="849"/>
      <c r="I817" s="849"/>
      <c r="J817" s="849"/>
      <c r="K817" s="849"/>
      <c r="L817" s="849"/>
      <c r="M817" s="849"/>
      <c r="N817" s="849"/>
      <c r="O817" s="849"/>
      <c r="P817" s="849"/>
      <c r="Q817" s="849"/>
      <c r="R817" s="849"/>
      <c r="S817" s="849"/>
      <c r="T817" s="849"/>
      <c r="U817" s="849"/>
      <c r="V817" s="849"/>
      <c r="W817" s="849"/>
      <c r="X817" s="850"/>
      <c r="Y817" s="849"/>
      <c r="Z817" s="849"/>
      <c r="AA817" s="849"/>
      <c r="AB817" s="849"/>
      <c r="AC817" s="850"/>
      <c r="AD817" s="849"/>
      <c r="AE817" s="849"/>
      <c r="AF817" s="849"/>
      <c r="AG817" s="849"/>
      <c r="AH817" s="850"/>
      <c r="AI817" s="849"/>
      <c r="AJ817" s="849"/>
      <c r="AK817" s="849"/>
      <c r="AL817" s="849"/>
      <c r="AM817" s="850"/>
      <c r="AN817" s="849"/>
      <c r="AO817" s="849"/>
      <c r="AP817" s="849"/>
      <c r="AQ817" s="849"/>
      <c r="AR817" s="850"/>
      <c r="AS817" s="849"/>
      <c r="AT817" s="849"/>
      <c r="AU817" s="849"/>
      <c r="AV817" s="849"/>
      <c r="AW817" s="850"/>
      <c r="AX817" s="849"/>
      <c r="AY817" s="849"/>
      <c r="AZ817" s="849"/>
      <c r="BA817" s="849"/>
      <c r="BB817" s="850"/>
      <c r="BC817" s="849"/>
      <c r="BD817" s="849"/>
      <c r="BE817" s="849"/>
      <c r="BF817" s="849"/>
      <c r="BG817" s="850"/>
      <c r="BH817" s="849"/>
      <c r="BI817" s="849"/>
      <c r="BJ817" s="849"/>
      <c r="BK817" s="849"/>
      <c r="BL817" s="850"/>
      <c r="BM817" s="849"/>
      <c r="BN817" s="849"/>
      <c r="BO817" s="849"/>
      <c r="BP817" s="849"/>
      <c r="BQ817" s="850"/>
      <c r="BR817" s="849"/>
      <c r="BS817" s="849"/>
      <c r="BT817" s="849"/>
      <c r="BU817" s="849"/>
      <c r="BV817" s="850"/>
      <c r="BW817" s="849"/>
      <c r="BX817" s="849"/>
      <c r="BY817" s="849"/>
      <c r="BZ817" s="849"/>
      <c r="CA817" s="850"/>
      <c r="CB817" s="849"/>
      <c r="CC817" s="849"/>
      <c r="CD817" s="849"/>
      <c r="CE817" s="849"/>
      <c r="CF817" s="850"/>
      <c r="CG817" s="849"/>
      <c r="CH817" s="849"/>
      <c r="CI817" s="849"/>
      <c r="CJ817" s="849"/>
      <c r="CK817" s="850"/>
      <c r="CL817" s="993"/>
      <c r="CM817" s="849"/>
      <c r="CN817" s="849"/>
      <c r="CO817" s="849"/>
      <c r="CP817" s="850"/>
      <c r="CQ817" s="849"/>
      <c r="CR817" s="849"/>
      <c r="CS817" s="849"/>
      <c r="CT817" s="985"/>
      <c r="CU817" s="985"/>
      <c r="CV817" s="849"/>
      <c r="CW817" s="849"/>
      <c r="CX817" s="849"/>
      <c r="CY817" s="985"/>
      <c r="CZ817" s="850"/>
      <c r="DA817" s="849"/>
      <c r="DB817" s="849"/>
      <c r="DC817" s="849"/>
      <c r="DD817" s="985"/>
      <c r="DE817" s="1889"/>
      <c r="DF817" s="1890"/>
      <c r="DG817" s="1890"/>
      <c r="DH817" s="1890"/>
      <c r="DI817" s="1891"/>
      <c r="DJ817" s="1889"/>
      <c r="DK817" s="1889"/>
      <c r="DL817" s="1889"/>
      <c r="DM817" s="1889"/>
      <c r="DN817" s="1889"/>
      <c r="DO817" s="1889"/>
      <c r="DP817" s="1889"/>
      <c r="DQ817" s="1889"/>
      <c r="DR817" s="1889"/>
      <c r="DS817" s="1889"/>
      <c r="DT817" s="1889"/>
      <c r="DU817" s="1889"/>
      <c r="DV817" s="1889"/>
      <c r="DW817" s="1889"/>
      <c r="DX817" s="1889"/>
      <c r="DY817" s="1889"/>
      <c r="DZ817" s="1889"/>
      <c r="EA817" s="1889"/>
      <c r="EB817" s="1889"/>
      <c r="EC817" s="1889"/>
      <c r="ED817" s="1889"/>
      <c r="EE817" s="3550"/>
      <c r="EF817" s="1889"/>
      <c r="EG817" s="1889"/>
      <c r="EH817" s="1889"/>
      <c r="EI817" s="1889"/>
      <c r="EJ817" s="1890"/>
      <c r="EK817" s="1890"/>
      <c r="EL817" s="1890"/>
      <c r="EM817" s="1890"/>
      <c r="EN817" s="1890"/>
      <c r="EO817" s="1890"/>
      <c r="EP817" s="1890"/>
      <c r="EQ817" s="1890"/>
      <c r="ER817" s="1890"/>
      <c r="ES817" s="1890"/>
      <c r="ET817" s="1891"/>
      <c r="EU817" s="1890"/>
      <c r="EV817" s="1890"/>
      <c r="EW817" s="1890"/>
      <c r="EX817" s="1890"/>
    </row>
    <row r="818" spans="2:154" outlineLevel="1">
      <c r="B818" s="854" t="s">
        <v>458</v>
      </c>
      <c r="C818" s="990"/>
      <c r="D818" s="849"/>
      <c r="E818" s="849"/>
      <c r="F818" s="849"/>
      <c r="G818" s="849"/>
      <c r="H818" s="849"/>
      <c r="I818" s="849"/>
      <c r="J818" s="849"/>
      <c r="K818" s="849"/>
      <c r="L818" s="849"/>
      <c r="M818" s="849"/>
      <c r="N818" s="849"/>
      <c r="O818" s="849"/>
      <c r="P818" s="849"/>
      <c r="Q818" s="849"/>
      <c r="R818" s="849"/>
      <c r="S818" s="849"/>
      <c r="T818" s="849"/>
      <c r="U818" s="849"/>
      <c r="V818" s="849"/>
      <c r="W818" s="849"/>
      <c r="X818" s="850"/>
      <c r="Y818" s="849"/>
      <c r="Z818" s="849"/>
      <c r="AA818" s="849"/>
      <c r="AB818" s="849"/>
      <c r="AC818" s="850"/>
      <c r="AD818" s="849"/>
      <c r="AE818" s="849"/>
      <c r="AF818" s="849"/>
      <c r="AG818" s="849"/>
      <c r="AH818" s="850"/>
      <c r="AI818" s="849"/>
      <c r="AJ818" s="849"/>
      <c r="AK818" s="849"/>
      <c r="AL818" s="849"/>
      <c r="AM818" s="850"/>
      <c r="AN818" s="849"/>
      <c r="AO818" s="849"/>
      <c r="AP818" s="849"/>
      <c r="AQ818" s="849"/>
      <c r="AR818" s="850"/>
      <c r="AS818" s="849"/>
      <c r="AT818" s="849"/>
      <c r="AU818" s="849"/>
      <c r="AV818" s="849"/>
      <c r="AW818" s="850"/>
      <c r="AX818" s="849"/>
      <c r="AY818" s="849"/>
      <c r="AZ818" s="849"/>
      <c r="BA818" s="849"/>
      <c r="BB818" s="850"/>
      <c r="BC818" s="849"/>
      <c r="BD818" s="849"/>
      <c r="BE818" s="849"/>
      <c r="BF818" s="849"/>
      <c r="BG818" s="850"/>
      <c r="BH818" s="849"/>
      <c r="BI818" s="849"/>
      <c r="BJ818" s="849"/>
      <c r="BK818" s="849"/>
      <c r="BL818" s="850"/>
      <c r="BM818" s="849"/>
      <c r="BN818" s="849"/>
      <c r="BO818" s="849"/>
      <c r="BP818" s="849"/>
      <c r="BQ818" s="850"/>
      <c r="BR818" s="849"/>
      <c r="BS818" s="849"/>
      <c r="BT818" s="849"/>
      <c r="BU818" s="849"/>
      <c r="BV818" s="850"/>
      <c r="BW818" s="849"/>
      <c r="BX818" s="849"/>
      <c r="BY818" s="849"/>
      <c r="BZ818" s="849"/>
      <c r="CA818" s="850"/>
      <c r="CB818" s="849"/>
      <c r="CC818" s="849"/>
      <c r="CD818" s="849"/>
      <c r="CE818" s="849"/>
      <c r="CF818" s="850"/>
      <c r="CG818" s="849"/>
      <c r="CH818" s="849"/>
      <c r="CI818" s="849"/>
      <c r="CJ818" s="849"/>
      <c r="CK818" s="850"/>
      <c r="CL818" s="993"/>
      <c r="CM818" s="849"/>
      <c r="CN818" s="849"/>
      <c r="CO818" s="849"/>
      <c r="CP818" s="850"/>
      <c r="CQ818" s="849"/>
      <c r="CR818" s="849"/>
      <c r="CS818" s="849"/>
      <c r="CT818" s="985"/>
      <c r="CU818" s="985"/>
      <c r="CV818" s="849"/>
      <c r="CW818" s="849"/>
      <c r="CX818" s="849"/>
      <c r="CY818" s="985"/>
      <c r="CZ818" s="850"/>
      <c r="DA818" s="849"/>
      <c r="DB818" s="849"/>
      <c r="DC818" s="849"/>
      <c r="DD818" s="985"/>
      <c r="DE818" s="1889"/>
      <c r="DF818" s="1890"/>
      <c r="DG818" s="1890"/>
      <c r="DH818" s="1890"/>
      <c r="DI818" s="1891"/>
      <c r="DJ818" s="1889"/>
      <c r="DK818" s="1889"/>
      <c r="DL818" s="1889"/>
      <c r="DM818" s="1889"/>
      <c r="DN818" s="1889"/>
      <c r="DO818" s="1889"/>
      <c r="DP818" s="1889"/>
      <c r="DQ818" s="1889"/>
      <c r="DR818" s="1889"/>
      <c r="DS818" s="1889"/>
      <c r="DT818" s="1889"/>
      <c r="DU818" s="1889"/>
      <c r="DV818" s="1889"/>
      <c r="DW818" s="1889"/>
      <c r="DX818" s="1889"/>
      <c r="DY818" s="1889"/>
      <c r="DZ818" s="1889"/>
      <c r="EA818" s="1889"/>
      <c r="EB818" s="1889"/>
      <c r="EC818" s="1889"/>
      <c r="ED818" s="1889"/>
      <c r="EE818" s="3550"/>
      <c r="EF818" s="1889"/>
      <c r="EG818" s="1889"/>
      <c r="EH818" s="1889"/>
      <c r="EI818" s="1889"/>
      <c r="EJ818" s="1890"/>
      <c r="EK818" s="1890"/>
      <c r="EL818" s="1890"/>
      <c r="EM818" s="1890"/>
      <c r="EN818" s="1890"/>
      <c r="EO818" s="1890"/>
      <c r="EP818" s="1890"/>
      <c r="EQ818" s="1890"/>
      <c r="ER818" s="1890"/>
      <c r="ES818" s="1890"/>
      <c r="ET818" s="1891"/>
      <c r="EU818" s="1890"/>
      <c r="EV818" s="1890"/>
      <c r="EW818" s="1890"/>
      <c r="EX818" s="1890"/>
    </row>
    <row r="819" spans="2:154" outlineLevel="1">
      <c r="B819" s="855" t="s">
        <v>187</v>
      </c>
      <c r="C819" s="990"/>
      <c r="D819" s="849"/>
      <c r="E819" s="849"/>
      <c r="F819" s="849"/>
      <c r="G819" s="849"/>
      <c r="H819" s="849"/>
      <c r="I819" s="856" t="str">
        <f t="shared" ref="I819:BB819" si="1910">IF(D814="NM","NM",IF(I814="NM","NM",IF(D814&lt;=0,"NM",IF(I814=0,"NM",IF(ABS(I814/D814-1)&gt;2.5,"NM",IF((ABS(I814-D814)=ABS(ABS(I814)-ABS(D814))),(I814/D814-1),"NM"))))))</f>
      </c>
      <c r="J819" s="856" t="str">
        <f t="shared" si="1910"/>
      </c>
      <c r="K819" s="856" t="str">
        <f t="shared" si="1910"/>
      </c>
      <c r="L819" s="856" t="str">
        <f t="shared" si="1910"/>
      </c>
      <c r="M819" s="856" t="str">
        <f t="shared" si="1910"/>
      </c>
      <c r="N819" s="856" t="str">
        <f t="shared" si="1910"/>
      </c>
      <c r="O819" s="856" t="str">
        <f t="shared" si="1910"/>
      </c>
      <c r="P819" s="856" t="str">
        <f t="shared" si="1910"/>
      </c>
      <c r="Q819" s="856" t="str">
        <f t="shared" si="1910"/>
      </c>
      <c r="R819" s="856" t="str">
        <f t="shared" si="1910"/>
      </c>
      <c r="S819" s="856" t="str">
        <f t="shared" si="1910"/>
      </c>
      <c r="T819" s="856" t="str">
        <f t="shared" si="1910"/>
      </c>
      <c r="U819" s="856" t="str">
        <f t="shared" si="1910"/>
      </c>
      <c r="V819" s="856" t="str">
        <f t="shared" si="1910"/>
      </c>
      <c r="W819" s="856" t="str">
        <f t="shared" si="1910"/>
      </c>
      <c r="X819" s="857" t="str">
        <f t="shared" si="1910"/>
      </c>
      <c r="Y819" s="856" t="str">
        <f t="shared" si="1910"/>
      </c>
      <c r="Z819" s="856" t="str">
        <f t="shared" si="1910"/>
      </c>
      <c r="AA819" s="856" t="str">
        <f t="shared" si="1910"/>
      </c>
      <c r="AB819" s="856" t="str">
        <f t="shared" si="1910"/>
      </c>
      <c r="AC819" s="857" t="str">
        <f t="shared" si="1910"/>
      </c>
      <c r="AD819" s="856" t="str">
        <f t="shared" si="1910"/>
      </c>
      <c r="AE819" s="856">
        <f t="shared" si="1910"/>
      </c>
      <c r="AF819" s="856">
        <f t="shared" si="1910"/>
      </c>
      <c r="AG819" s="856">
        <f t="shared" si="1910"/>
      </c>
      <c r="AH819" s="857">
        <f t="shared" si="1910"/>
      </c>
      <c r="AI819" s="856">
        <f t="shared" si="1910"/>
      </c>
      <c r="AJ819" s="856">
        <f t="shared" si="1910"/>
      </c>
      <c r="AK819" s="856">
        <f t="shared" si="1910"/>
      </c>
      <c r="AL819" s="856">
        <f t="shared" si="1910"/>
      </c>
      <c r="AM819" s="857">
        <f t="shared" si="1910"/>
      </c>
      <c r="AN819" s="856">
        <f t="shared" si="1910"/>
      </c>
      <c r="AO819" s="856">
        <f t="shared" si="1910"/>
      </c>
      <c r="AP819" s="856">
        <f t="shared" si="1910"/>
      </c>
      <c r="AQ819" s="856">
        <f t="shared" si="1910"/>
      </c>
      <c r="AR819" s="857">
        <f t="shared" si="1910"/>
      </c>
      <c r="AS819" s="856">
        <f t="shared" si="1910"/>
      </c>
      <c r="AT819" s="856">
        <f t="shared" si="1910"/>
      </c>
      <c r="AU819" s="856">
        <f t="shared" si="1910"/>
      </c>
      <c r="AV819" s="856">
        <f t="shared" si="1910"/>
      </c>
      <c r="AW819" s="857">
        <f t="shared" si="1910"/>
      </c>
      <c r="AX819" s="856">
        <f t="shared" si="1910"/>
      </c>
      <c r="AY819" s="856">
        <f t="shared" si="1910"/>
      </c>
      <c r="AZ819" s="856">
        <f t="shared" si="1910"/>
      </c>
      <c r="BA819" s="856">
        <f t="shared" si="1910"/>
      </c>
      <c r="BB819" s="857">
        <f t="shared" si="1910"/>
      </c>
      <c r="BC819" s="856"/>
      <c r="BD819" s="856"/>
      <c r="BE819" s="856"/>
      <c r="BF819" s="856"/>
      <c r="BG819" s="857"/>
      <c r="BH819" s="856"/>
      <c r="BI819" s="856"/>
      <c r="BJ819" s="856"/>
      <c r="BK819" s="856"/>
      <c r="BL819" s="857"/>
      <c r="BM819" s="856"/>
      <c r="BN819" s="856"/>
      <c r="BO819" s="856"/>
      <c r="BP819" s="856"/>
      <c r="BQ819" s="857"/>
      <c r="BR819" s="856"/>
      <c r="BS819" s="856"/>
      <c r="BT819" s="856"/>
      <c r="BU819" s="856"/>
      <c r="BV819" s="857"/>
      <c r="BW819" s="856"/>
      <c r="BX819" s="856"/>
      <c r="BY819" s="856"/>
      <c r="BZ819" s="856"/>
      <c r="CA819" s="857"/>
      <c r="CB819" s="856"/>
      <c r="CC819" s="856"/>
      <c r="CD819" s="856"/>
      <c r="CE819" s="856"/>
      <c r="CF819" s="857"/>
      <c r="CG819" s="856"/>
      <c r="CH819" s="856"/>
      <c r="CI819" s="856"/>
      <c r="CJ819" s="856"/>
      <c r="CK819" s="857"/>
      <c r="CL819" s="994"/>
      <c r="CM819" s="856"/>
      <c r="CN819" s="856"/>
      <c r="CO819" s="856"/>
      <c r="CP819" s="857"/>
      <c r="CQ819" s="856"/>
      <c r="CR819" s="856"/>
      <c r="CS819" s="856"/>
      <c r="CT819" s="988"/>
      <c r="CU819" s="988"/>
      <c r="CV819" s="856"/>
      <c r="CW819" s="856"/>
      <c r="CX819" s="856"/>
      <c r="CY819" s="988"/>
      <c r="CZ819" s="857"/>
      <c r="DA819" s="856"/>
      <c r="DB819" s="856"/>
      <c r="DC819" s="856"/>
      <c r="DD819" s="988"/>
      <c r="DE819" s="857"/>
      <c r="DF819" s="856"/>
      <c r="DG819" s="856"/>
      <c r="DH819" s="856"/>
      <c r="DI819" s="988"/>
      <c r="DJ819" s="857"/>
      <c r="DK819" s="857"/>
      <c r="DL819" s="857"/>
      <c r="DM819" s="857"/>
      <c r="DN819" s="857"/>
      <c r="DO819" s="857"/>
      <c r="DP819" s="857"/>
      <c r="DQ819" s="857"/>
      <c r="DR819" s="857"/>
      <c r="DS819" s="857"/>
      <c r="DT819" s="857"/>
      <c r="DU819" s="857"/>
      <c r="DV819" s="857"/>
      <c r="DW819" s="857"/>
      <c r="DX819" s="857"/>
      <c r="DY819" s="857"/>
      <c r="DZ819" s="857"/>
      <c r="EA819" s="857"/>
      <c r="EB819" s="857"/>
      <c r="EC819" s="857"/>
      <c r="ED819" s="857"/>
      <c r="EE819" s="994"/>
      <c r="EF819" s="857"/>
      <c r="EG819" s="857"/>
      <c r="EH819" s="857"/>
      <c r="EI819" s="857"/>
      <c r="EJ819" s="856"/>
      <c r="EK819" s="856"/>
      <c r="EL819" s="856"/>
      <c r="EM819" s="856"/>
      <c r="EN819" s="856"/>
      <c r="EO819" s="856"/>
      <c r="EP819" s="856"/>
      <c r="EQ819" s="856"/>
      <c r="ER819" s="856"/>
      <c r="ES819" s="856"/>
      <c r="ET819" s="988"/>
      <c r="EU819" s="856"/>
      <c r="EV819" s="856"/>
      <c r="EW819" s="856"/>
      <c r="EX819" s="856"/>
    </row>
    <row r="820" spans="2:154" outlineLevel="1">
      <c r="B820" s="855" t="s">
        <v>412</v>
      </c>
      <c r="C820" s="990"/>
      <c r="D820" s="849"/>
      <c r="E820" s="849"/>
      <c r="F820" s="849"/>
      <c r="G820" s="849"/>
      <c r="H820" s="849"/>
      <c r="I820" s="856"/>
      <c r="J820" s="856"/>
      <c r="K820" s="856"/>
      <c r="L820" s="856"/>
      <c r="M820" s="856"/>
      <c r="N820" s="856"/>
      <c r="O820" s="856"/>
      <c r="P820" s="856"/>
      <c r="Q820" s="856"/>
      <c r="R820" s="856"/>
      <c r="S820" s="856"/>
      <c r="T820" s="856"/>
      <c r="U820" s="856"/>
      <c r="V820" s="856"/>
      <c r="W820" s="856"/>
      <c r="X820" s="857"/>
      <c r="Y820" s="856"/>
      <c r="Z820" s="856"/>
      <c r="AA820" s="856"/>
      <c r="AB820" s="856"/>
      <c r="AC820" s="857"/>
      <c r="AD820" s="856"/>
      <c r="AE820" s="856"/>
      <c r="AF820" s="856"/>
      <c r="AG820" s="856"/>
      <c r="AH820" s="857"/>
      <c r="AI820" s="856"/>
      <c r="AJ820" s="856"/>
      <c r="AK820" s="856"/>
      <c r="AL820" s="856"/>
      <c r="AM820" s="857"/>
      <c r="AN820" s="856"/>
      <c r="AO820" s="856"/>
      <c r="AP820" s="856"/>
      <c r="AQ820" s="856"/>
      <c r="AR820" s="857"/>
      <c r="AS820" s="856"/>
      <c r="AT820" s="856"/>
      <c r="AU820" s="856"/>
      <c r="AV820" s="856"/>
      <c r="AW820" s="857"/>
      <c r="AX820" s="856"/>
      <c r="AY820" s="856"/>
      <c r="AZ820" s="856"/>
      <c r="BA820" s="856"/>
      <c r="BB820" s="857"/>
      <c r="BC820" s="856"/>
      <c r="BD820" s="856"/>
      <c r="BE820" s="856"/>
      <c r="BF820" s="856"/>
      <c r="BG820" s="857"/>
      <c r="BH820" s="856"/>
      <c r="BI820" s="856"/>
      <c r="BJ820" s="856"/>
      <c r="BK820" s="856"/>
      <c r="BL820" s="857"/>
      <c r="BM820" s="856"/>
      <c r="BN820" s="856"/>
      <c r="BO820" s="856"/>
      <c r="BP820" s="856"/>
      <c r="BQ820" s="857"/>
      <c r="BR820" s="856"/>
      <c r="BS820" s="856"/>
      <c r="BT820" s="856"/>
      <c r="BU820" s="856"/>
      <c r="BV820" s="857"/>
      <c r="BW820" s="856"/>
      <c r="BX820" s="856"/>
      <c r="BY820" s="856"/>
      <c r="BZ820" s="856"/>
      <c r="CA820" s="857"/>
      <c r="CB820" s="856"/>
      <c r="CC820" s="856"/>
      <c r="CD820" s="856"/>
      <c r="CE820" s="856"/>
      <c r="CF820" s="857"/>
      <c r="CG820" s="856"/>
      <c r="CH820" s="856"/>
      <c r="CI820" s="856"/>
      <c r="CJ820" s="856"/>
      <c r="CK820" s="857"/>
      <c r="CL820" s="994"/>
      <c r="CM820" s="856"/>
      <c r="CN820" s="856"/>
      <c r="CO820" s="856"/>
      <c r="CP820" s="857"/>
      <c r="CQ820" s="856"/>
      <c r="CR820" s="856"/>
      <c r="CS820" s="856"/>
      <c r="CT820" s="988"/>
      <c r="CU820" s="988"/>
      <c r="CV820" s="856"/>
      <c r="CW820" s="856"/>
      <c r="CX820" s="856"/>
      <c r="CY820" s="988"/>
      <c r="CZ820" s="857"/>
      <c r="DA820" s="856"/>
      <c r="DB820" s="856"/>
      <c r="DC820" s="856"/>
      <c r="DD820" s="988"/>
      <c r="DE820" s="857"/>
      <c r="DF820" s="856"/>
      <c r="DG820" s="856"/>
      <c r="DH820" s="856"/>
      <c r="DI820" s="988"/>
      <c r="DJ820" s="857"/>
      <c r="DK820" s="857"/>
      <c r="DL820" s="857"/>
      <c r="DM820" s="857"/>
      <c r="DN820" s="857"/>
      <c r="DO820" s="857"/>
      <c r="DP820" s="857"/>
      <c r="DQ820" s="857"/>
      <c r="DR820" s="857"/>
      <c r="DS820" s="857"/>
      <c r="DT820" s="857"/>
      <c r="DU820" s="857"/>
      <c r="DV820" s="857"/>
      <c r="DW820" s="857"/>
      <c r="DX820" s="857"/>
      <c r="DY820" s="857"/>
      <c r="DZ820" s="857"/>
      <c r="EA820" s="857"/>
      <c r="EB820" s="857"/>
      <c r="EC820" s="857"/>
      <c r="ED820" s="857"/>
      <c r="EE820" s="994"/>
      <c r="EF820" s="857"/>
      <c r="EG820" s="857"/>
      <c r="EH820" s="857"/>
      <c r="EI820" s="857"/>
      <c r="EJ820" s="856"/>
      <c r="EK820" s="856"/>
      <c r="EL820" s="856"/>
      <c r="EM820" s="856"/>
      <c r="EN820" s="856"/>
      <c r="EO820" s="856"/>
      <c r="EP820" s="856"/>
      <c r="EQ820" s="856"/>
      <c r="ER820" s="856"/>
      <c r="ES820" s="856"/>
      <c r="ET820" s="988"/>
      <c r="EU820" s="856"/>
      <c r="EV820" s="856"/>
      <c r="EW820" s="856"/>
      <c r="EX820" s="856"/>
    </row>
    <row r="821" spans="2:154" outlineLevel="1">
      <c r="B821" s="855" t="s">
        <v>256</v>
      </c>
      <c r="C821" s="990"/>
      <c r="D821" s="849"/>
      <c r="E821" s="849"/>
      <c r="F821" s="849"/>
      <c r="G821" s="849"/>
      <c r="H821" s="849"/>
      <c r="I821" s="856"/>
      <c r="J821" s="856"/>
      <c r="K821" s="856"/>
      <c r="L821" s="856"/>
      <c r="M821" s="856"/>
      <c r="N821" s="856"/>
      <c r="O821" s="856"/>
      <c r="P821" s="856"/>
      <c r="Q821" s="856"/>
      <c r="R821" s="856"/>
      <c r="S821" s="856"/>
      <c r="T821" s="856"/>
      <c r="U821" s="856"/>
      <c r="V821" s="856"/>
      <c r="W821" s="856"/>
      <c r="X821" s="862"/>
      <c r="Y821" s="856"/>
      <c r="Z821" s="856"/>
      <c r="AA821" s="856"/>
      <c r="AB821" s="856"/>
      <c r="AC821" s="862"/>
      <c r="AD821" s="856"/>
      <c r="AE821" s="856"/>
      <c r="AF821" s="856"/>
      <c r="AG821" s="856"/>
      <c r="AH821" s="862"/>
      <c r="AI821" s="863"/>
      <c r="AJ821" s="863"/>
      <c r="AK821" s="863"/>
      <c r="AL821" s="863"/>
      <c r="AM821" s="862"/>
      <c r="AN821" s="863"/>
      <c r="AO821" s="863"/>
      <c r="AP821" s="863"/>
      <c r="AQ821" s="863"/>
      <c r="AR821" s="862"/>
      <c r="AS821" s="863"/>
      <c r="AT821" s="863"/>
      <c r="AU821" s="863"/>
      <c r="AV821" s="863"/>
      <c r="AW821" s="862"/>
      <c r="AX821" s="863"/>
      <c r="AY821" s="863"/>
      <c r="AZ821" s="863"/>
      <c r="BA821" s="863"/>
      <c r="BB821" s="862"/>
      <c r="BC821" s="863"/>
      <c r="BD821" s="863"/>
      <c r="BE821" s="863"/>
      <c r="BF821" s="863"/>
      <c r="BG821" s="862"/>
      <c r="BH821" s="863"/>
      <c r="BI821" s="863"/>
      <c r="BJ821" s="863"/>
      <c r="BK821" s="863"/>
      <c r="BL821" s="862"/>
      <c r="BM821" s="863"/>
      <c r="BN821" s="863"/>
      <c r="BO821" s="863"/>
      <c r="BP821" s="863"/>
      <c r="BQ821" s="862"/>
      <c r="BR821" s="863"/>
      <c r="BS821" s="863"/>
      <c r="BT821" s="863"/>
      <c r="BU821" s="863"/>
      <c r="BV821" s="862"/>
      <c r="BW821" s="863"/>
      <c r="BX821" s="863"/>
      <c r="BY821" s="863"/>
      <c r="BZ821" s="863"/>
      <c r="CA821" s="862"/>
      <c r="CB821" s="863"/>
      <c r="CC821" s="863"/>
      <c r="CD821" s="863"/>
      <c r="CE821" s="863"/>
      <c r="CF821" s="862"/>
      <c r="CG821" s="863"/>
      <c r="CH821" s="863"/>
      <c r="CI821" s="863"/>
      <c r="CJ821" s="863"/>
      <c r="CK821" s="862"/>
      <c r="CL821" s="996"/>
      <c r="CM821" s="863"/>
      <c r="CN821" s="863"/>
      <c r="CO821" s="863"/>
      <c r="CP821" s="862"/>
      <c r="CQ821" s="863"/>
      <c r="CR821" s="863"/>
      <c r="CS821" s="863"/>
      <c r="CT821" s="989"/>
      <c r="CU821" s="989"/>
      <c r="CV821" s="863"/>
      <c r="CW821" s="863"/>
      <c r="CX821" s="863"/>
      <c r="CY821" s="989"/>
      <c r="CZ821" s="862"/>
      <c r="DA821" s="863"/>
      <c r="DB821" s="863"/>
      <c r="DC821" s="863"/>
      <c r="DD821" s="989"/>
      <c r="DE821" s="862"/>
      <c r="DF821" s="863"/>
      <c r="DG821" s="863"/>
      <c r="DH821" s="863"/>
      <c r="DI821" s="989"/>
      <c r="DJ821" s="862"/>
      <c r="DK821" s="862"/>
      <c r="DL821" s="862"/>
      <c r="DM821" s="862"/>
      <c r="DN821" s="862"/>
      <c r="DO821" s="862"/>
      <c r="DP821" s="862"/>
      <c r="DQ821" s="862"/>
      <c r="DR821" s="862"/>
      <c r="DS821" s="862"/>
      <c r="DT821" s="862"/>
      <c r="DU821" s="862"/>
      <c r="DV821" s="862"/>
      <c r="DW821" s="862"/>
      <c r="DX821" s="862"/>
      <c r="DY821" s="862"/>
      <c r="DZ821" s="862"/>
      <c r="EA821" s="862"/>
      <c r="EB821" s="862"/>
      <c r="EC821" s="862"/>
      <c r="ED821" s="862"/>
      <c r="EE821" s="996"/>
      <c r="EF821" s="862"/>
      <c r="EG821" s="862"/>
      <c r="EH821" s="862"/>
      <c r="EI821" s="862"/>
      <c r="EJ821" s="863"/>
      <c r="EK821" s="863"/>
      <c r="EL821" s="863"/>
      <c r="EM821" s="863"/>
      <c r="EN821" s="863"/>
      <c r="EO821" s="863"/>
      <c r="EP821" s="863"/>
      <c r="EQ821" s="863"/>
      <c r="ER821" s="863"/>
      <c r="ES821" s="863"/>
      <c r="ET821" s="989"/>
      <c r="EU821" s="863"/>
      <c r="EV821" s="863"/>
      <c r="EW821" s="863"/>
      <c r="EX821" s="863"/>
    </row>
    <row r="822" spans="2:154" outlineLevel="1">
      <c r="B822" s="855" t="s">
        <v>413</v>
      </c>
      <c r="C822" s="990"/>
      <c r="D822" s="849"/>
      <c r="E822" s="849"/>
      <c r="F822" s="849"/>
      <c r="G822" s="849"/>
      <c r="H822" s="849"/>
      <c r="I822" s="849"/>
      <c r="J822" s="849"/>
      <c r="K822" s="849"/>
      <c r="L822" s="849"/>
      <c r="M822" s="849"/>
      <c r="N822" s="849"/>
      <c r="O822" s="849"/>
      <c r="P822" s="849"/>
      <c r="Q822" s="849"/>
      <c r="R822" s="849"/>
      <c r="S822" s="849"/>
      <c r="T822" s="849"/>
      <c r="U822" s="849"/>
      <c r="V822" s="849"/>
      <c r="W822" s="849"/>
      <c r="X822" s="857"/>
      <c r="Y822" s="849"/>
      <c r="Z822" s="849"/>
      <c r="AA822" s="849"/>
      <c r="AB822" s="849"/>
      <c r="AC822" s="857"/>
      <c r="AD822" s="849"/>
      <c r="AE822" s="849"/>
      <c r="AF822" s="849"/>
      <c r="AG822" s="849"/>
      <c r="AH822" s="857"/>
      <c r="AI822" s="856">
        <f t="shared" ref="AI822:BB822" si="1911">IF(AD816="NM","NM",IF(AI816="NM","NM",IF(AD816&lt;=0,"NM",IF(AI816=0,"NM",IF(ABS(AI816/AD816-1)&gt;2.5,"NM",IF((ABS(AI816-AD816)=ABS(ABS(AI816)-ABS(AD816))),(AI816/AD816-1),"NM"))))))</f>
      </c>
      <c r="AJ822" s="856">
        <f t="shared" si="1911"/>
      </c>
      <c r="AK822" s="856">
        <f t="shared" si="1911"/>
      </c>
      <c r="AL822" s="856">
        <f t="shared" si="1911"/>
      </c>
      <c r="AM822" s="857">
        <f t="shared" si="1911"/>
      </c>
      <c r="AN822" s="856">
        <f t="shared" si="1911"/>
      </c>
      <c r="AO822" s="856">
        <f t="shared" si="1911"/>
      </c>
      <c r="AP822" s="856">
        <f t="shared" si="1911"/>
      </c>
      <c r="AQ822" s="856">
        <f t="shared" si="1911"/>
      </c>
      <c r="AR822" s="857">
        <f t="shared" si="1911"/>
      </c>
      <c r="AS822" s="856">
        <f t="shared" si="1911"/>
      </c>
      <c r="AT822" s="856">
        <f t="shared" si="1911"/>
      </c>
      <c r="AU822" s="856">
        <f t="shared" si="1911"/>
      </c>
      <c r="AV822" s="856">
        <f t="shared" si="1911"/>
      </c>
      <c r="AW822" s="857">
        <f t="shared" si="1911"/>
      </c>
      <c r="AX822" s="856">
        <f t="shared" si="1911"/>
      </c>
      <c r="AY822" s="856">
        <f t="shared" si="1911"/>
      </c>
      <c r="AZ822" s="856">
        <f t="shared" si="1911"/>
      </c>
      <c r="BA822" s="856">
        <f t="shared" si="1911"/>
      </c>
      <c r="BB822" s="857">
        <f t="shared" si="1911"/>
      </c>
      <c r="BC822" s="856"/>
      <c r="BD822" s="856"/>
      <c r="BE822" s="856"/>
      <c r="BF822" s="856"/>
      <c r="BG822" s="857"/>
      <c r="BH822" s="856"/>
      <c r="BI822" s="856"/>
      <c r="BJ822" s="856"/>
      <c r="BK822" s="856"/>
      <c r="BL822" s="857"/>
      <c r="BM822" s="856"/>
      <c r="BN822" s="856"/>
      <c r="BO822" s="856"/>
      <c r="BP822" s="856"/>
      <c r="BQ822" s="857"/>
      <c r="BR822" s="856"/>
      <c r="BS822" s="856"/>
      <c r="BT822" s="856"/>
      <c r="BU822" s="856"/>
      <c r="BV822" s="857"/>
      <c r="BW822" s="856"/>
      <c r="BX822" s="856"/>
      <c r="BY822" s="856"/>
      <c r="BZ822" s="856"/>
      <c r="CA822" s="857"/>
      <c r="CB822" s="856"/>
      <c r="CC822" s="856"/>
      <c r="CD822" s="856"/>
      <c r="CE822" s="856"/>
      <c r="CF822" s="857"/>
      <c r="CG822" s="856"/>
      <c r="CH822" s="856"/>
      <c r="CI822" s="856"/>
      <c r="CJ822" s="856"/>
      <c r="CK822" s="857"/>
      <c r="CL822" s="994"/>
      <c r="CM822" s="856"/>
      <c r="CN822" s="856"/>
      <c r="CO822" s="856"/>
      <c r="CP822" s="857"/>
      <c r="CQ822" s="856"/>
      <c r="CR822" s="856"/>
      <c r="CS822" s="856"/>
      <c r="CT822" s="988"/>
      <c r="CU822" s="988"/>
      <c r="CV822" s="856"/>
      <c r="CW822" s="856"/>
      <c r="CX822" s="856"/>
      <c r="CY822" s="988"/>
      <c r="CZ822" s="857"/>
      <c r="DA822" s="856"/>
      <c r="DB822" s="856"/>
      <c r="DC822" s="856"/>
      <c r="DD822" s="988"/>
      <c r="DE822" s="857"/>
      <c r="DF822" s="856"/>
      <c r="DG822" s="856"/>
      <c r="DH822" s="856"/>
      <c r="DI822" s="988"/>
      <c r="DJ822" s="857"/>
      <c r="DK822" s="857"/>
      <c r="DL822" s="857"/>
      <c r="DM822" s="857"/>
      <c r="DN822" s="857"/>
      <c r="DO822" s="857"/>
      <c r="DP822" s="857"/>
      <c r="DQ822" s="857"/>
      <c r="DR822" s="857"/>
      <c r="DS822" s="857"/>
      <c r="DT822" s="857"/>
      <c r="DU822" s="857"/>
      <c r="DV822" s="857"/>
      <c r="DW822" s="857"/>
      <c r="DX822" s="857"/>
      <c r="DY822" s="857"/>
      <c r="DZ822" s="857"/>
      <c r="EA822" s="857"/>
      <c r="EB822" s="857"/>
      <c r="EC822" s="857"/>
      <c r="ED822" s="857"/>
      <c r="EE822" s="994"/>
      <c r="EF822" s="857"/>
      <c r="EG822" s="857"/>
      <c r="EH822" s="857"/>
      <c r="EI822" s="857"/>
      <c r="EJ822" s="856"/>
      <c r="EK822" s="856"/>
      <c r="EL822" s="856"/>
      <c r="EM822" s="856"/>
      <c r="EN822" s="856"/>
      <c r="EO822" s="856"/>
      <c r="EP822" s="856"/>
      <c r="EQ822" s="856"/>
      <c r="ER822" s="856"/>
      <c r="ES822" s="856"/>
      <c r="ET822" s="988"/>
      <c r="EU822" s="856"/>
      <c r="EV822" s="856"/>
      <c r="EW822" s="856"/>
      <c r="EX822" s="856"/>
    </row>
    <row r="823" spans="2:154" outlineLevel="1">
      <c r="B823" s="852"/>
      <c r="C823" s="990"/>
      <c r="D823" s="849"/>
      <c r="E823" s="849"/>
      <c r="F823" s="849"/>
      <c r="G823" s="849"/>
      <c r="H823" s="849"/>
      <c r="I823" s="849"/>
      <c r="J823" s="849"/>
      <c r="K823" s="849"/>
      <c r="L823" s="849"/>
      <c r="M823" s="849"/>
      <c r="N823" s="849"/>
      <c r="O823" s="849"/>
      <c r="P823" s="849"/>
      <c r="Q823" s="849"/>
      <c r="R823" s="849"/>
      <c r="S823" s="849"/>
      <c r="T823" s="849"/>
      <c r="U823" s="849"/>
      <c r="V823" s="849"/>
      <c r="W823" s="849"/>
      <c r="X823" s="850"/>
      <c r="Y823" s="849"/>
      <c r="Z823" s="849"/>
      <c r="AA823" s="849"/>
      <c r="AB823" s="849"/>
      <c r="AC823" s="850"/>
      <c r="AD823" s="849"/>
      <c r="AE823" s="849"/>
      <c r="AF823" s="849"/>
      <c r="AG823" s="849"/>
      <c r="AH823" s="850"/>
      <c r="AI823" s="849"/>
      <c r="AJ823" s="849"/>
      <c r="AK823" s="849"/>
      <c r="AL823" s="849"/>
      <c r="AM823" s="850"/>
      <c r="AN823" s="849"/>
      <c r="AO823" s="849"/>
      <c r="AP823" s="849"/>
      <c r="AQ823" s="849"/>
      <c r="AR823" s="850"/>
      <c r="AS823" s="849"/>
      <c r="AT823" s="849"/>
      <c r="AU823" s="849"/>
      <c r="AV823" s="849"/>
      <c r="AW823" s="850"/>
      <c r="AX823" s="849"/>
      <c r="AY823" s="849"/>
      <c r="AZ823" s="849"/>
      <c r="BA823" s="849"/>
      <c r="BB823" s="850"/>
      <c r="BC823" s="849"/>
      <c r="BD823" s="849"/>
      <c r="BE823" s="849"/>
      <c r="BF823" s="849"/>
      <c r="BG823" s="850"/>
      <c r="BH823" s="849"/>
      <c r="BI823" s="849"/>
      <c r="BJ823" s="849"/>
      <c r="BK823" s="849"/>
      <c r="BL823" s="850"/>
      <c r="BM823" s="849"/>
      <c r="BN823" s="849"/>
      <c r="BO823" s="849"/>
      <c r="BP823" s="849"/>
      <c r="BQ823" s="850"/>
      <c r="BR823" s="849"/>
      <c r="BS823" s="849"/>
      <c r="BT823" s="849"/>
      <c r="BU823" s="849"/>
      <c r="BV823" s="850"/>
      <c r="BW823" s="849"/>
      <c r="BX823" s="849"/>
      <c r="BY823" s="849"/>
      <c r="BZ823" s="849"/>
      <c r="CA823" s="850"/>
      <c r="CB823" s="849"/>
      <c r="CC823" s="849"/>
      <c r="CD823" s="849"/>
      <c r="CE823" s="849"/>
      <c r="CF823" s="850"/>
      <c r="CG823" s="849"/>
      <c r="CH823" s="849"/>
      <c r="CI823" s="849"/>
      <c r="CJ823" s="849"/>
      <c r="CK823" s="850"/>
      <c r="CL823" s="993"/>
      <c r="CM823" s="849"/>
      <c r="CN823" s="849"/>
      <c r="CO823" s="849"/>
      <c r="CP823" s="850"/>
      <c r="CQ823" s="849"/>
      <c r="CR823" s="849"/>
      <c r="CS823" s="849"/>
      <c r="CT823" s="985"/>
      <c r="CU823" s="985"/>
      <c r="CV823" s="849"/>
      <c r="CW823" s="849"/>
      <c r="CX823" s="849"/>
      <c r="CY823" s="985"/>
      <c r="CZ823" s="850"/>
      <c r="DA823" s="849"/>
      <c r="DB823" s="849"/>
      <c r="DC823" s="849"/>
      <c r="DD823" s="985"/>
      <c r="DE823" s="1889"/>
      <c r="DF823" s="1890"/>
      <c r="DG823" s="1890"/>
      <c r="DH823" s="1890"/>
      <c r="DI823" s="1891"/>
      <c r="DJ823" s="1889"/>
      <c r="DK823" s="1889"/>
      <c r="DL823" s="1889"/>
      <c r="DM823" s="1889"/>
      <c r="DN823" s="1889"/>
      <c r="DO823" s="1889"/>
      <c r="DP823" s="1889"/>
      <c r="DQ823" s="1889"/>
      <c r="DR823" s="1889"/>
      <c r="DS823" s="1889"/>
      <c r="DT823" s="1889"/>
      <c r="DU823" s="1889"/>
      <c r="DV823" s="1889"/>
      <c r="DW823" s="1889"/>
      <c r="DX823" s="1889"/>
      <c r="DY823" s="1889"/>
      <c r="DZ823" s="1889"/>
      <c r="EA823" s="1889"/>
      <c r="EB823" s="1889"/>
      <c r="EC823" s="1889"/>
      <c r="ED823" s="1889"/>
      <c r="EE823" s="3550"/>
      <c r="EF823" s="1889"/>
      <c r="EG823" s="1889"/>
      <c r="EH823" s="1889"/>
      <c r="EI823" s="1889"/>
      <c r="EJ823" s="1890"/>
      <c r="EK823" s="1890"/>
      <c r="EL823" s="1890"/>
      <c r="EM823" s="1890"/>
      <c r="EN823" s="1890"/>
      <c r="EO823" s="1890"/>
      <c r="EP823" s="1890"/>
      <c r="EQ823" s="1890"/>
      <c r="ER823" s="1890"/>
      <c r="ES823" s="1890"/>
      <c r="ET823" s="1891"/>
      <c r="EU823" s="1890"/>
      <c r="EV823" s="1890"/>
      <c r="EW823" s="1890"/>
      <c r="EX823" s="1890"/>
    </row>
    <row r="824" spans="2:154" outlineLevel="1">
      <c r="B824" s="848" t="s">
        <v>389</v>
      </c>
      <c r="C824" s="990"/>
      <c r="D824" s="849"/>
      <c r="E824" s="849"/>
      <c r="F824" s="849"/>
      <c r="G824" s="849"/>
      <c r="H824" s="849"/>
      <c r="I824" s="849"/>
      <c r="J824" s="849"/>
      <c r="K824" s="849"/>
      <c r="L824" s="849"/>
      <c r="M824" s="849"/>
      <c r="N824" s="849"/>
      <c r="O824" s="849"/>
      <c r="P824" s="849"/>
      <c r="Q824" s="849"/>
      <c r="R824" s="849"/>
      <c r="S824" s="849"/>
      <c r="T824" s="849"/>
      <c r="U824" s="849"/>
      <c r="V824" s="849"/>
      <c r="W824" s="849"/>
      <c r="X824" s="850"/>
      <c r="Y824" s="849"/>
      <c r="Z824" s="849"/>
      <c r="AA824" s="849"/>
      <c r="AB824" s="849"/>
      <c r="AC824" s="850"/>
      <c r="AD824" s="849"/>
      <c r="AE824" s="849"/>
      <c r="AF824" s="849"/>
      <c r="AG824" s="849"/>
      <c r="AH824" s="850"/>
      <c r="AI824" s="849"/>
      <c r="AJ824" s="849"/>
      <c r="AK824" s="849"/>
      <c r="AL824" s="849"/>
      <c r="AM824" s="850"/>
      <c r="AN824" s="849"/>
      <c r="AO824" s="849"/>
      <c r="AP824" s="849"/>
      <c r="AQ824" s="849"/>
      <c r="AR824" s="850"/>
      <c r="AS824" s="849"/>
      <c r="AT824" s="849"/>
      <c r="AU824" s="849"/>
      <c r="AV824" s="849"/>
      <c r="AW824" s="850"/>
      <c r="AX824" s="849"/>
      <c r="AY824" s="849"/>
      <c r="AZ824" s="849"/>
      <c r="BA824" s="849"/>
      <c r="BB824" s="850"/>
      <c r="BC824" s="849"/>
      <c r="BD824" s="849"/>
      <c r="BE824" s="849"/>
      <c r="BF824" s="849"/>
      <c r="BG824" s="850"/>
      <c r="BH824" s="849"/>
      <c r="BI824" s="849"/>
      <c r="BJ824" s="849"/>
      <c r="BK824" s="849"/>
      <c r="BL824" s="850"/>
      <c r="BM824" s="849"/>
      <c r="BN824" s="849"/>
      <c r="BO824" s="849"/>
      <c r="BP824" s="849"/>
      <c r="BQ824" s="850"/>
      <c r="BR824" s="849"/>
      <c r="BS824" s="849"/>
      <c r="BT824" s="849"/>
      <c r="BU824" s="849"/>
      <c r="BV824" s="850"/>
      <c r="BW824" s="849"/>
      <c r="BX824" s="849"/>
      <c r="BY824" s="849"/>
      <c r="BZ824" s="849"/>
      <c r="CA824" s="850"/>
      <c r="CB824" s="849"/>
      <c r="CC824" s="849"/>
      <c r="CD824" s="849"/>
      <c r="CE824" s="849"/>
      <c r="CF824" s="850"/>
      <c r="CG824" s="849"/>
      <c r="CH824" s="849"/>
      <c r="CI824" s="849"/>
      <c r="CJ824" s="849"/>
      <c r="CK824" s="850"/>
      <c r="CL824" s="993"/>
      <c r="CM824" s="849"/>
      <c r="CN824" s="849"/>
      <c r="CO824" s="849"/>
      <c r="CP824" s="850"/>
      <c r="CQ824" s="849"/>
      <c r="CR824" s="849"/>
      <c r="CS824" s="849"/>
      <c r="CT824" s="985"/>
      <c r="CU824" s="985"/>
      <c r="CV824" s="849"/>
      <c r="CW824" s="849"/>
      <c r="CX824" s="849"/>
      <c r="CY824" s="985"/>
      <c r="CZ824" s="850"/>
      <c r="DA824" s="849"/>
      <c r="DB824" s="849"/>
      <c r="DC824" s="849"/>
      <c r="DD824" s="985"/>
      <c r="DE824" s="1889"/>
      <c r="DF824" s="1890"/>
      <c r="DG824" s="1890"/>
      <c r="DH824" s="1890"/>
      <c r="DI824" s="1891"/>
      <c r="DJ824" s="1889"/>
      <c r="DK824" s="1889"/>
      <c r="DL824" s="1889"/>
      <c r="DM824" s="1889"/>
      <c r="DN824" s="1889"/>
      <c r="DO824" s="1889"/>
      <c r="DP824" s="1889"/>
      <c r="DQ824" s="1889"/>
      <c r="DR824" s="1889"/>
      <c r="DS824" s="1889"/>
      <c r="DT824" s="1889"/>
      <c r="DU824" s="1889"/>
      <c r="DV824" s="1889"/>
      <c r="DW824" s="1889"/>
      <c r="DX824" s="1889"/>
      <c r="DY824" s="1889"/>
      <c r="DZ824" s="1889"/>
      <c r="EA824" s="1889"/>
      <c r="EB824" s="1889"/>
      <c r="EC824" s="1889"/>
      <c r="ED824" s="1889"/>
      <c r="EE824" s="3550"/>
      <c r="EF824" s="1889"/>
      <c r="EG824" s="1889"/>
      <c r="EH824" s="1889"/>
      <c r="EI824" s="1889"/>
      <c r="EJ824" s="1890"/>
      <c r="EK824" s="1890"/>
      <c r="EL824" s="1890"/>
      <c r="EM824" s="1890"/>
      <c r="EN824" s="1890"/>
      <c r="EO824" s="1890"/>
      <c r="EP824" s="1890"/>
      <c r="EQ824" s="1890"/>
      <c r="ER824" s="1890"/>
      <c r="ES824" s="1890"/>
      <c r="ET824" s="1891"/>
      <c r="EU824" s="1890"/>
      <c r="EV824" s="1890"/>
      <c r="EW824" s="1890"/>
      <c r="EX824" s="1890"/>
    </row>
    <row r="825" spans="2:154" outlineLevel="1">
      <c r="B825" s="852" t="s">
        <v>187</v>
      </c>
      <c r="C825" s="990"/>
      <c r="D825" s="849"/>
      <c r="E825" s="849">
        <v>0</v>
      </c>
      <c r="F825" s="849">
        <v>0</v>
      </c>
      <c r="G825" s="849">
        <v>0</v>
      </c>
      <c r="H825" s="849">
        <v>0</v>
      </c>
      <c r="I825" s="849">
        <f>+SUM(E825:H825)</f>
      </c>
      <c r="J825" s="849">
        <v>0</v>
      </c>
      <c r="K825" s="849">
        <v>0</v>
      </c>
      <c r="L825" s="849">
        <v>0</v>
      </c>
      <c r="M825" s="849">
        <v>0</v>
      </c>
      <c r="N825" s="849">
        <f>+SUM(J825:M825)</f>
      </c>
      <c r="O825" s="849">
        <v>0</v>
      </c>
      <c r="P825" s="849">
        <v>0</v>
      </c>
      <c r="Q825" s="849">
        <v>0</v>
      </c>
      <c r="R825" s="849">
        <v>0</v>
      </c>
      <c r="S825" s="849">
        <f>SUM(O825:R825)</f>
      </c>
      <c r="T825" s="849">
        <v>0</v>
      </c>
      <c r="U825" s="849">
        <v>0</v>
      </c>
      <c r="V825" s="849">
        <v>0</v>
      </c>
      <c r="W825" s="849">
        <v>0</v>
      </c>
      <c r="X825" s="850">
        <f>SUM(T825:W825)</f>
      </c>
      <c r="Y825" s="849">
        <v>0</v>
      </c>
      <c r="Z825" s="849">
        <v>0</v>
      </c>
      <c r="AA825" s="849">
        <v>0</v>
      </c>
      <c r="AB825" s="849">
        <v>0</v>
      </c>
      <c r="AC825" s="850">
        <f>SUM(Y825:AB825)</f>
      </c>
      <c r="AD825" s="849">
        <v>0</v>
      </c>
      <c r="AE825" s="849">
        <v>0</v>
      </c>
      <c r="AF825" s="849">
        <v>0</v>
      </c>
      <c r="AG825" s="849">
        <v>0</v>
      </c>
      <c r="AH825" s="850"/>
      <c r="AI825" s="849"/>
      <c r="AJ825" s="849"/>
      <c r="AK825" s="849"/>
      <c r="AL825" s="849"/>
      <c r="AM825" s="850"/>
      <c r="AN825" s="849"/>
      <c r="AO825" s="849"/>
      <c r="AP825" s="849"/>
      <c r="AQ825" s="849"/>
      <c r="AR825" s="850"/>
      <c r="AS825" s="849"/>
      <c r="AT825" s="849"/>
      <c r="AU825" s="849"/>
      <c r="AV825" s="849"/>
      <c r="AW825" s="850"/>
      <c r="AX825" s="849"/>
      <c r="AY825" s="849"/>
      <c r="AZ825" s="849"/>
      <c r="BA825" s="849"/>
      <c r="BB825" s="850"/>
      <c r="BC825" s="849"/>
      <c r="BD825" s="849"/>
      <c r="BE825" s="849"/>
      <c r="BF825" s="849"/>
      <c r="BG825" s="850"/>
      <c r="BH825" s="849"/>
      <c r="BI825" s="849"/>
      <c r="BJ825" s="849"/>
      <c r="BK825" s="849"/>
      <c r="BL825" s="850"/>
      <c r="BM825" s="849"/>
      <c r="BN825" s="849"/>
      <c r="BO825" s="849"/>
      <c r="BP825" s="849"/>
      <c r="BQ825" s="850"/>
      <c r="BR825" s="849"/>
      <c r="BS825" s="849"/>
      <c r="BT825" s="849"/>
      <c r="BU825" s="849"/>
      <c r="BV825" s="850"/>
      <c r="BW825" s="849"/>
      <c r="BX825" s="849"/>
      <c r="BY825" s="849"/>
      <c r="BZ825" s="849"/>
      <c r="CA825" s="850"/>
      <c r="CB825" s="849"/>
      <c r="CC825" s="849"/>
      <c r="CD825" s="849"/>
      <c r="CE825" s="849"/>
      <c r="CF825" s="850"/>
      <c r="CG825" s="849"/>
      <c r="CH825" s="849"/>
      <c r="CI825" s="849"/>
      <c r="CJ825" s="849"/>
      <c r="CK825" s="850"/>
      <c r="CL825" s="993"/>
      <c r="CM825" s="849"/>
      <c r="CN825" s="849"/>
      <c r="CO825" s="849"/>
      <c r="CP825" s="850"/>
      <c r="CQ825" s="849"/>
      <c r="CR825" s="849"/>
      <c r="CS825" s="849"/>
      <c r="CT825" s="985"/>
      <c r="CU825" s="985"/>
      <c r="CV825" s="849"/>
      <c r="CW825" s="849"/>
      <c r="CX825" s="849"/>
      <c r="CY825" s="985"/>
      <c r="CZ825" s="850"/>
      <c r="DA825" s="849"/>
      <c r="DB825" s="849"/>
      <c r="DC825" s="849"/>
      <c r="DD825" s="985"/>
      <c r="DE825" s="1889"/>
      <c r="DF825" s="1890"/>
      <c r="DG825" s="1890"/>
      <c r="DH825" s="1890"/>
      <c r="DI825" s="1891"/>
      <c r="DJ825" s="1889"/>
      <c r="DK825" s="1889"/>
      <c r="DL825" s="1889"/>
      <c r="DM825" s="1889"/>
      <c r="DN825" s="1889"/>
      <c r="DO825" s="1889"/>
      <c r="DP825" s="1889"/>
      <c r="DQ825" s="1889"/>
      <c r="DR825" s="1889"/>
      <c r="DS825" s="1889"/>
      <c r="DT825" s="1889"/>
      <c r="DU825" s="1889"/>
      <c r="DV825" s="1889"/>
      <c r="DW825" s="1889"/>
      <c r="DX825" s="1889"/>
      <c r="DY825" s="1889"/>
      <c r="DZ825" s="1889"/>
      <c r="EA825" s="1889"/>
      <c r="EB825" s="1889"/>
      <c r="EC825" s="1889"/>
      <c r="ED825" s="1889"/>
      <c r="EE825" s="3550"/>
      <c r="EF825" s="1889"/>
      <c r="EG825" s="1889"/>
      <c r="EH825" s="1889"/>
      <c r="EI825" s="1889"/>
      <c r="EJ825" s="1890"/>
      <c r="EK825" s="1890"/>
      <c r="EL825" s="1890"/>
      <c r="EM825" s="1890"/>
      <c r="EN825" s="1890"/>
      <c r="EO825" s="1890"/>
      <c r="EP825" s="1890"/>
      <c r="EQ825" s="1890"/>
      <c r="ER825" s="1890"/>
      <c r="ES825" s="1890"/>
      <c r="ET825" s="1891"/>
      <c r="EU825" s="1890"/>
      <c r="EV825" s="1890"/>
      <c r="EW825" s="1890"/>
      <c r="EX825" s="1890"/>
    </row>
    <row r="826" spans="2:154" outlineLevel="1">
      <c r="B826" s="852" t="s">
        <v>412</v>
      </c>
      <c r="C826" s="990"/>
      <c r="D826" s="849"/>
      <c r="E826" s="849">
        <v>0</v>
      </c>
      <c r="F826" s="849">
        <v>0</v>
      </c>
      <c r="G826" s="849">
        <v>0</v>
      </c>
      <c r="H826" s="849">
        <v>0</v>
      </c>
      <c r="I826" s="849">
        <f>+SUM(E826:H826)</f>
      </c>
      <c r="J826" s="849">
        <v>0</v>
      </c>
      <c r="K826" s="849">
        <v>0</v>
      </c>
      <c r="L826" s="849">
        <v>0</v>
      </c>
      <c r="M826" s="849">
        <v>0</v>
      </c>
      <c r="N826" s="849">
        <f>+SUM(J826:M826)</f>
      </c>
      <c r="O826" s="849">
        <v>0</v>
      </c>
      <c r="P826" s="849">
        <v>0</v>
      </c>
      <c r="Q826" s="849">
        <v>0</v>
      </c>
      <c r="R826" s="849">
        <v>0</v>
      </c>
      <c r="S826" s="849">
        <f>SUM(O826:R826)</f>
      </c>
      <c r="T826" s="849">
        <v>0</v>
      </c>
      <c r="U826" s="849">
        <v>0</v>
      </c>
      <c r="V826" s="849">
        <v>0</v>
      </c>
      <c r="W826" s="849">
        <v>0</v>
      </c>
      <c r="X826" s="850">
        <f>SUM(T826:W826)</f>
      </c>
      <c r="Y826" s="849">
        <v>0</v>
      </c>
      <c r="Z826" s="849">
        <v>0</v>
      </c>
      <c r="AA826" s="849">
        <v>0</v>
      </c>
      <c r="AB826" s="849">
        <v>0</v>
      </c>
      <c r="AC826" s="850">
        <f>SUM(Y826:AB826)</f>
      </c>
      <c r="AD826" s="849">
        <v>0</v>
      </c>
      <c r="AE826" s="849">
        <v>0</v>
      </c>
      <c r="AF826" s="849">
        <v>0</v>
      </c>
      <c r="AG826" s="849">
        <v>0</v>
      </c>
      <c r="AH826" s="850"/>
      <c r="AI826" s="849"/>
      <c r="AJ826" s="849"/>
      <c r="AK826" s="849"/>
      <c r="AL826" s="849"/>
      <c r="AM826" s="850"/>
      <c r="AN826" s="849"/>
      <c r="AO826" s="849"/>
      <c r="AP826" s="849"/>
      <c r="AQ826" s="849"/>
      <c r="AR826" s="850"/>
      <c r="AS826" s="849"/>
      <c r="AT826" s="849"/>
      <c r="AU826" s="849"/>
      <c r="AV826" s="849"/>
      <c r="AW826" s="850"/>
      <c r="AX826" s="849"/>
      <c r="AY826" s="849"/>
      <c r="AZ826" s="849"/>
      <c r="BA826" s="849"/>
      <c r="BB826" s="850"/>
      <c r="BC826" s="849"/>
      <c r="BD826" s="849"/>
      <c r="BE826" s="849"/>
      <c r="BF826" s="849"/>
      <c r="BG826" s="850"/>
      <c r="BH826" s="849"/>
      <c r="BI826" s="849"/>
      <c r="BJ826" s="849"/>
      <c r="BK826" s="849"/>
      <c r="BL826" s="850"/>
      <c r="BM826" s="849"/>
      <c r="BN826" s="849"/>
      <c r="BO826" s="849"/>
      <c r="BP826" s="849"/>
      <c r="BQ826" s="850"/>
      <c r="BR826" s="849"/>
      <c r="BS826" s="849"/>
      <c r="BT826" s="849"/>
      <c r="BU826" s="849"/>
      <c r="BV826" s="850"/>
      <c r="BW826" s="849"/>
      <c r="BX826" s="849"/>
      <c r="BY826" s="849"/>
      <c r="BZ826" s="849"/>
      <c r="CA826" s="850"/>
      <c r="CB826" s="849"/>
      <c r="CC826" s="849"/>
      <c r="CD826" s="849"/>
      <c r="CE826" s="849"/>
      <c r="CF826" s="850"/>
      <c r="CG826" s="849"/>
      <c r="CH826" s="849"/>
      <c r="CI826" s="849"/>
      <c r="CJ826" s="849"/>
      <c r="CK826" s="850"/>
      <c r="CL826" s="993"/>
      <c r="CM826" s="849"/>
      <c r="CN826" s="849"/>
      <c r="CO826" s="849"/>
      <c r="CP826" s="850"/>
      <c r="CQ826" s="849"/>
      <c r="CR826" s="849"/>
      <c r="CS826" s="849"/>
      <c r="CT826" s="985"/>
      <c r="CU826" s="985"/>
      <c r="CV826" s="849"/>
      <c r="CW826" s="849"/>
      <c r="CX826" s="849"/>
      <c r="CY826" s="985"/>
      <c r="CZ826" s="850"/>
      <c r="DA826" s="849"/>
      <c r="DB826" s="849"/>
      <c r="DC826" s="849"/>
      <c r="DD826" s="985"/>
      <c r="DE826" s="1889"/>
      <c r="DF826" s="1890"/>
      <c r="DG826" s="1890"/>
      <c r="DH826" s="1890"/>
      <c r="DI826" s="1891"/>
      <c r="DJ826" s="1889"/>
      <c r="DK826" s="1889"/>
      <c r="DL826" s="1889"/>
      <c r="DM826" s="1889"/>
      <c r="DN826" s="1889"/>
      <c r="DO826" s="1889"/>
      <c r="DP826" s="1889"/>
      <c r="DQ826" s="1889"/>
      <c r="DR826" s="1889"/>
      <c r="DS826" s="1889"/>
      <c r="DT826" s="1889"/>
      <c r="DU826" s="1889"/>
      <c r="DV826" s="1889"/>
      <c r="DW826" s="1889"/>
      <c r="DX826" s="1889"/>
      <c r="DY826" s="1889"/>
      <c r="DZ826" s="1889"/>
      <c r="EA826" s="1889"/>
      <c r="EB826" s="1889"/>
      <c r="EC826" s="1889"/>
      <c r="ED826" s="1889"/>
      <c r="EE826" s="3550"/>
      <c r="EF826" s="1889"/>
      <c r="EG826" s="1889"/>
      <c r="EH826" s="1889"/>
      <c r="EI826" s="1889"/>
      <c r="EJ826" s="1890"/>
      <c r="EK826" s="1890"/>
      <c r="EL826" s="1890"/>
      <c r="EM826" s="1890"/>
      <c r="EN826" s="1890"/>
      <c r="EO826" s="1890"/>
      <c r="EP826" s="1890"/>
      <c r="EQ826" s="1890"/>
      <c r="ER826" s="1890"/>
      <c r="ES826" s="1890"/>
      <c r="ET826" s="1891"/>
      <c r="EU826" s="1890"/>
      <c r="EV826" s="1890"/>
      <c r="EW826" s="1890"/>
      <c r="EX826" s="1890"/>
    </row>
    <row r="827" spans="2:154" outlineLevel="1">
      <c r="B827" s="852" t="s">
        <v>413</v>
      </c>
      <c r="C827" s="990"/>
      <c r="D827" s="849">
        <f t="shared" ref="D827:AF827" si="1912">+D825+D826</f>
      </c>
      <c r="E827" s="849">
        <f t="shared" si="1912"/>
      </c>
      <c r="F827" s="849">
        <f t="shared" si="1912"/>
      </c>
      <c r="G827" s="849">
        <f t="shared" si="1912"/>
      </c>
      <c r="H827" s="849">
        <f t="shared" si="1912"/>
      </c>
      <c r="I827" s="849">
        <f t="shared" si="1912"/>
      </c>
      <c r="J827" s="849">
        <f t="shared" si="1912"/>
      </c>
      <c r="K827" s="849">
        <f t="shared" si="1912"/>
      </c>
      <c r="L827" s="849">
        <f t="shared" si="1912"/>
      </c>
      <c r="M827" s="849">
        <f t="shared" si="1912"/>
      </c>
      <c r="N827" s="849">
        <f t="shared" si="1912"/>
      </c>
      <c r="O827" s="849">
        <f t="shared" si="1912"/>
      </c>
      <c r="P827" s="849">
        <f t="shared" si="1912"/>
      </c>
      <c r="Q827" s="849">
        <f t="shared" si="1912"/>
      </c>
      <c r="R827" s="849">
        <f t="shared" si="1912"/>
      </c>
      <c r="S827" s="849">
        <f t="shared" si="1912"/>
      </c>
      <c r="T827" s="849">
        <f t="shared" si="1912"/>
      </c>
      <c r="U827" s="849">
        <f t="shared" si="1912"/>
      </c>
      <c r="V827" s="849">
        <f t="shared" si="1912"/>
      </c>
      <c r="W827" s="849">
        <f t="shared" si="1912"/>
      </c>
      <c r="X827" s="850">
        <f t="shared" si="1912"/>
      </c>
      <c r="Y827" s="849">
        <f t="shared" si="1912"/>
      </c>
      <c r="Z827" s="849">
        <f t="shared" si="1912"/>
      </c>
      <c r="AA827" s="849">
        <f t="shared" si="1912"/>
      </c>
      <c r="AB827" s="849">
        <f t="shared" si="1912"/>
      </c>
      <c r="AC827" s="850">
        <f t="shared" si="1912"/>
      </c>
      <c r="AD827" s="849">
        <f t="shared" si="1912"/>
      </c>
      <c r="AE827" s="849">
        <f t="shared" si="1912"/>
      </c>
      <c r="AF827" s="849">
        <f t="shared" si="1912"/>
      </c>
      <c r="AG827" s="849">
        <v>0</v>
      </c>
      <c r="AH827" s="850"/>
      <c r="AI827" s="849"/>
      <c r="AJ827" s="849"/>
      <c r="AK827" s="849"/>
      <c r="AL827" s="849"/>
      <c r="AM827" s="850"/>
      <c r="AN827" s="849"/>
      <c r="AO827" s="849"/>
      <c r="AP827" s="849"/>
      <c r="AQ827" s="849"/>
      <c r="AR827" s="850"/>
      <c r="AS827" s="849"/>
      <c r="AT827" s="849"/>
      <c r="AU827" s="849"/>
      <c r="AV827" s="849"/>
      <c r="AW827" s="850"/>
      <c r="AX827" s="849"/>
      <c r="AY827" s="849"/>
      <c r="AZ827" s="849"/>
      <c r="BA827" s="849"/>
      <c r="BB827" s="850"/>
      <c r="BC827" s="849"/>
      <c r="BD827" s="849"/>
      <c r="BE827" s="849"/>
      <c r="BF827" s="849"/>
      <c r="BG827" s="850"/>
      <c r="BH827" s="849"/>
      <c r="BI827" s="849"/>
      <c r="BJ827" s="849"/>
      <c r="BK827" s="849"/>
      <c r="BL827" s="850"/>
      <c r="BM827" s="849"/>
      <c r="BN827" s="849"/>
      <c r="BO827" s="849"/>
      <c r="BP827" s="849"/>
      <c r="BQ827" s="850"/>
      <c r="BR827" s="849"/>
      <c r="BS827" s="849"/>
      <c r="BT827" s="849"/>
      <c r="BU827" s="849"/>
      <c r="BV827" s="850"/>
      <c r="BW827" s="849"/>
      <c r="BX827" s="849"/>
      <c r="BY827" s="849"/>
      <c r="BZ827" s="849"/>
      <c r="CA827" s="850"/>
      <c r="CB827" s="849"/>
      <c r="CC827" s="849"/>
      <c r="CD827" s="849"/>
      <c r="CE827" s="849"/>
      <c r="CF827" s="850"/>
      <c r="CG827" s="849"/>
      <c r="CH827" s="849"/>
      <c r="CI827" s="849"/>
      <c r="CJ827" s="849"/>
      <c r="CK827" s="850"/>
      <c r="CL827" s="993"/>
      <c r="CM827" s="849"/>
      <c r="CN827" s="849"/>
      <c r="CO827" s="849"/>
      <c r="CP827" s="850"/>
      <c r="CQ827" s="849"/>
      <c r="CR827" s="849"/>
      <c r="CS827" s="849"/>
      <c r="CT827" s="985"/>
      <c r="CU827" s="985"/>
      <c r="CV827" s="849"/>
      <c r="CW827" s="849"/>
      <c r="CX827" s="849"/>
      <c r="CY827" s="985"/>
      <c r="CZ827" s="850"/>
      <c r="DA827" s="849"/>
      <c r="DB827" s="849"/>
      <c r="DC827" s="849"/>
      <c r="DD827" s="985"/>
      <c r="DE827" s="1889"/>
      <c r="DF827" s="1890"/>
      <c r="DG827" s="1890"/>
      <c r="DH827" s="1890"/>
      <c r="DI827" s="1891"/>
      <c r="DJ827" s="1889"/>
      <c r="DK827" s="1889"/>
      <c r="DL827" s="1889"/>
      <c r="DM827" s="1889"/>
      <c r="DN827" s="1889"/>
      <c r="DO827" s="1889"/>
      <c r="DP827" s="1889"/>
      <c r="DQ827" s="1889"/>
      <c r="DR827" s="1889"/>
      <c r="DS827" s="1889"/>
      <c r="DT827" s="1889"/>
      <c r="DU827" s="1889"/>
      <c r="DV827" s="1889"/>
      <c r="DW827" s="1889"/>
      <c r="DX827" s="1889"/>
      <c r="DY827" s="1889"/>
      <c r="DZ827" s="1889"/>
      <c r="EA827" s="1889"/>
      <c r="EB827" s="1889"/>
      <c r="EC827" s="1889"/>
      <c r="ED827" s="1889"/>
      <c r="EE827" s="3550"/>
      <c r="EF827" s="1889"/>
      <c r="EG827" s="1889"/>
      <c r="EH827" s="1889"/>
      <c r="EI827" s="1889"/>
      <c r="EJ827" s="1890"/>
      <c r="EK827" s="1890"/>
      <c r="EL827" s="1890"/>
      <c r="EM827" s="1890"/>
      <c r="EN827" s="1890"/>
      <c r="EO827" s="1890"/>
      <c r="EP827" s="1890"/>
      <c r="EQ827" s="1890"/>
      <c r="ER827" s="1890"/>
      <c r="ES827" s="1890"/>
      <c r="ET827" s="1891"/>
      <c r="EU827" s="1890"/>
      <c r="EV827" s="1890"/>
      <c r="EW827" s="1890"/>
      <c r="EX827" s="1890"/>
    </row>
    <row r="828" spans="2:154" outlineLevel="1">
      <c r="B828" s="848" t="s">
        <v>390</v>
      </c>
      <c r="C828" s="990"/>
      <c r="D828" s="849"/>
      <c r="E828" s="849"/>
      <c r="F828" s="849"/>
      <c r="G828" s="849"/>
      <c r="H828" s="849"/>
      <c r="I828" s="849"/>
      <c r="J828" s="849"/>
      <c r="K828" s="849"/>
      <c r="L828" s="849"/>
      <c r="M828" s="849"/>
      <c r="N828" s="849"/>
      <c r="O828" s="849"/>
      <c r="P828" s="849"/>
      <c r="Q828" s="849"/>
      <c r="R828" s="849"/>
      <c r="S828" s="849"/>
      <c r="T828" s="849"/>
      <c r="U828" s="849"/>
      <c r="V828" s="849"/>
      <c r="W828" s="849"/>
      <c r="X828" s="850"/>
      <c r="Y828" s="849"/>
      <c r="Z828" s="849"/>
      <c r="AA828" s="849"/>
      <c r="AB828" s="849"/>
      <c r="AC828" s="850"/>
      <c r="AD828" s="849"/>
      <c r="AE828" s="849"/>
      <c r="AF828" s="849"/>
      <c r="AG828" s="849"/>
      <c r="AH828" s="850"/>
      <c r="AI828" s="849"/>
      <c r="AJ828" s="849"/>
      <c r="AK828" s="849"/>
      <c r="AL828" s="849"/>
      <c r="AM828" s="850"/>
      <c r="AN828" s="849"/>
      <c r="AO828" s="849"/>
      <c r="AP828" s="849"/>
      <c r="AQ828" s="849"/>
      <c r="AR828" s="850"/>
      <c r="AS828" s="849"/>
      <c r="AT828" s="849"/>
      <c r="AU828" s="849"/>
      <c r="AV828" s="849"/>
      <c r="AW828" s="850"/>
      <c r="AX828" s="849"/>
      <c r="AY828" s="849"/>
      <c r="AZ828" s="849"/>
      <c r="BA828" s="849"/>
      <c r="BB828" s="850"/>
      <c r="BC828" s="849"/>
      <c r="BD828" s="849"/>
      <c r="BE828" s="849"/>
      <c r="BF828" s="849"/>
      <c r="BG828" s="850"/>
      <c r="BH828" s="849"/>
      <c r="BI828" s="849"/>
      <c r="BJ828" s="849"/>
      <c r="BK828" s="849"/>
      <c r="BL828" s="850"/>
      <c r="BM828" s="849"/>
      <c r="BN828" s="849"/>
      <c r="BO828" s="849"/>
      <c r="BP828" s="849"/>
      <c r="BQ828" s="850"/>
      <c r="BR828" s="849"/>
      <c r="BS828" s="849"/>
      <c r="BT828" s="849"/>
      <c r="BU828" s="849"/>
      <c r="BV828" s="850"/>
      <c r="BW828" s="849"/>
      <c r="BX828" s="849"/>
      <c r="BY828" s="849"/>
      <c r="BZ828" s="849"/>
      <c r="CA828" s="850"/>
      <c r="CB828" s="849"/>
      <c r="CC828" s="849"/>
      <c r="CD828" s="849"/>
      <c r="CE828" s="849"/>
      <c r="CF828" s="850"/>
      <c r="CG828" s="849"/>
      <c r="CH828" s="849"/>
      <c r="CI828" s="849"/>
      <c r="CJ828" s="849"/>
      <c r="CK828" s="850"/>
      <c r="CL828" s="993"/>
      <c r="CM828" s="849"/>
      <c r="CN828" s="849"/>
      <c r="CO828" s="849"/>
      <c r="CP828" s="850"/>
      <c r="CQ828" s="849"/>
      <c r="CR828" s="849"/>
      <c r="CS828" s="849"/>
      <c r="CT828" s="985"/>
      <c r="CU828" s="985"/>
      <c r="CV828" s="849"/>
      <c r="CW828" s="849"/>
      <c r="CX828" s="849"/>
      <c r="CY828" s="985"/>
      <c r="CZ828" s="850"/>
      <c r="DA828" s="849"/>
      <c r="DB828" s="849"/>
      <c r="DC828" s="849"/>
      <c r="DD828" s="985"/>
      <c r="DE828" s="1889"/>
      <c r="DF828" s="1890"/>
      <c r="DG828" s="1890"/>
      <c r="DH828" s="1890"/>
      <c r="DI828" s="1891"/>
      <c r="DJ828" s="1889"/>
      <c r="DK828" s="1889"/>
      <c r="DL828" s="1889"/>
      <c r="DM828" s="1889"/>
      <c r="DN828" s="1889"/>
      <c r="DO828" s="1889"/>
      <c r="DP828" s="1889"/>
      <c r="DQ828" s="1889"/>
      <c r="DR828" s="1889"/>
      <c r="DS828" s="1889"/>
      <c r="DT828" s="1889"/>
      <c r="DU828" s="1889"/>
      <c r="DV828" s="1889"/>
      <c r="DW828" s="1889"/>
      <c r="DX828" s="1889"/>
      <c r="DY828" s="1889"/>
      <c r="DZ828" s="1889"/>
      <c r="EA828" s="1889"/>
      <c r="EB828" s="1889"/>
      <c r="EC828" s="1889"/>
      <c r="ED828" s="1889"/>
      <c r="EE828" s="3550"/>
      <c r="EF828" s="1889"/>
      <c r="EG828" s="1889"/>
      <c r="EH828" s="1889"/>
      <c r="EI828" s="1889"/>
      <c r="EJ828" s="1890"/>
      <c r="EK828" s="1890"/>
      <c r="EL828" s="1890"/>
      <c r="EM828" s="1890"/>
      <c r="EN828" s="1890"/>
      <c r="EO828" s="1890"/>
      <c r="EP828" s="1890"/>
      <c r="EQ828" s="1890"/>
      <c r="ER828" s="1890"/>
      <c r="ES828" s="1890"/>
      <c r="ET828" s="1891"/>
      <c r="EU828" s="1890"/>
      <c r="EV828" s="1890"/>
      <c r="EW828" s="1890"/>
      <c r="EX828" s="1890"/>
    </row>
    <row r="829" spans="2:154" outlineLevel="1">
      <c r="B829" s="852" t="s">
        <v>187</v>
      </c>
      <c r="C829" s="990"/>
      <c r="D829" s="849"/>
      <c r="E829" s="849"/>
      <c r="F829" s="849"/>
      <c r="G829" s="849"/>
      <c r="H829" s="849"/>
      <c r="I829" s="849"/>
      <c r="J829" s="849"/>
      <c r="K829" s="849"/>
      <c r="L829" s="849"/>
      <c r="M829" s="849"/>
      <c r="N829" s="849"/>
      <c r="O829" s="849"/>
      <c r="P829" s="849"/>
      <c r="Q829" s="849"/>
      <c r="R829" s="849"/>
      <c r="S829" s="849">
        <v>0</v>
      </c>
      <c r="T829" s="849"/>
      <c r="U829" s="849"/>
      <c r="V829" s="849"/>
      <c r="W829" s="849"/>
      <c r="X829" s="850">
        <v>0</v>
      </c>
      <c r="Y829" s="849"/>
      <c r="Z829" s="849"/>
      <c r="AA829" s="849"/>
      <c r="AB829" s="849"/>
      <c r="AC829" s="850">
        <v>0</v>
      </c>
      <c r="AD829" s="849">
        <v>0</v>
      </c>
      <c r="AE829" s="849">
        <v>0</v>
      </c>
      <c r="AF829" s="849"/>
      <c r="AG829" s="849"/>
      <c r="AH829" s="850"/>
      <c r="AI829" s="849"/>
      <c r="AJ829" s="849"/>
      <c r="AK829" s="849"/>
      <c r="AL829" s="849"/>
      <c r="AM829" s="850"/>
      <c r="AN829" s="849"/>
      <c r="AO829" s="849"/>
      <c r="AP829" s="849"/>
      <c r="AQ829" s="849"/>
      <c r="AR829" s="850"/>
      <c r="AS829" s="849"/>
      <c r="AT829" s="849"/>
      <c r="AU829" s="849"/>
      <c r="AV829" s="849"/>
      <c r="AW829" s="850"/>
      <c r="AX829" s="849">
        <v>0</v>
      </c>
      <c r="AY829" s="849">
        <v>0</v>
      </c>
      <c r="AZ829" s="849">
        <v>0</v>
      </c>
      <c r="BA829" s="849">
        <v>0</v>
      </c>
      <c r="BB829" s="850">
        <f>SUM(AX829:BA829)</f>
      </c>
      <c r="BC829" s="849"/>
      <c r="BD829" s="849"/>
      <c r="BE829" s="849"/>
      <c r="BF829" s="849"/>
      <c r="BG829" s="850"/>
      <c r="BH829" s="849"/>
      <c r="BI829" s="849"/>
      <c r="BJ829" s="849"/>
      <c r="BK829" s="849"/>
      <c r="BL829" s="850"/>
      <c r="BM829" s="849"/>
      <c r="BN829" s="849"/>
      <c r="BO829" s="849"/>
      <c r="BP829" s="849"/>
      <c r="BQ829" s="850"/>
      <c r="BR829" s="849"/>
      <c r="BS829" s="849"/>
      <c r="BT829" s="849"/>
      <c r="BU829" s="849"/>
      <c r="BV829" s="850"/>
      <c r="BW829" s="849"/>
      <c r="BX829" s="849"/>
      <c r="BY829" s="849"/>
      <c r="BZ829" s="849"/>
      <c r="CA829" s="850"/>
      <c r="CB829" s="849"/>
      <c r="CC829" s="849"/>
      <c r="CD829" s="849"/>
      <c r="CE829" s="849"/>
      <c r="CF829" s="850"/>
      <c r="CG829" s="849"/>
      <c r="CH829" s="849"/>
      <c r="CI829" s="849"/>
      <c r="CJ829" s="849"/>
      <c r="CK829" s="850"/>
      <c r="CL829" s="993"/>
      <c r="CM829" s="849"/>
      <c r="CN829" s="849"/>
      <c r="CO829" s="849"/>
      <c r="CP829" s="850"/>
      <c r="CQ829" s="849"/>
      <c r="CR829" s="849"/>
      <c r="CS829" s="849"/>
      <c r="CT829" s="985"/>
      <c r="CU829" s="985"/>
      <c r="CV829" s="849"/>
      <c r="CW829" s="849"/>
      <c r="CX829" s="849"/>
      <c r="CY829" s="985"/>
      <c r="CZ829" s="850"/>
      <c r="DA829" s="849"/>
      <c r="DB829" s="849"/>
      <c r="DC829" s="849"/>
      <c r="DD829" s="985"/>
      <c r="DE829" s="1889"/>
      <c r="DF829" s="1890"/>
      <c r="DG829" s="1890"/>
      <c r="DH829" s="1890"/>
      <c r="DI829" s="1891"/>
      <c r="DJ829" s="1889"/>
      <c r="DK829" s="1889"/>
      <c r="DL829" s="1889"/>
      <c r="DM829" s="1889"/>
      <c r="DN829" s="1889"/>
      <c r="DO829" s="1889"/>
      <c r="DP829" s="1889"/>
      <c r="DQ829" s="1889"/>
      <c r="DR829" s="1889"/>
      <c r="DS829" s="1889"/>
      <c r="DT829" s="1889"/>
      <c r="DU829" s="1889"/>
      <c r="DV829" s="1889"/>
      <c r="DW829" s="1889"/>
      <c r="DX829" s="1889"/>
      <c r="DY829" s="1889"/>
      <c r="DZ829" s="1889"/>
      <c r="EA829" s="1889"/>
      <c r="EB829" s="1889"/>
      <c r="EC829" s="1889"/>
      <c r="ED829" s="1889"/>
      <c r="EE829" s="3550"/>
      <c r="EF829" s="1889"/>
      <c r="EG829" s="1889"/>
      <c r="EH829" s="1889"/>
      <c r="EI829" s="1889"/>
      <c r="EJ829" s="1890"/>
      <c r="EK829" s="1890"/>
      <c r="EL829" s="1890"/>
      <c r="EM829" s="1890"/>
      <c r="EN829" s="1890"/>
      <c r="EO829" s="1890"/>
      <c r="EP829" s="1890"/>
      <c r="EQ829" s="1890"/>
      <c r="ER829" s="1890"/>
      <c r="ES829" s="1890"/>
      <c r="ET829" s="1891"/>
      <c r="EU829" s="1890"/>
      <c r="EV829" s="1890"/>
      <c r="EW829" s="1890"/>
      <c r="EX829" s="1890"/>
    </row>
    <row r="830" spans="2:154" outlineLevel="1">
      <c r="B830" s="852" t="s">
        <v>412</v>
      </c>
      <c r="C830" s="990"/>
      <c r="D830" s="849"/>
      <c r="E830" s="849"/>
      <c r="F830" s="849"/>
      <c r="G830" s="849"/>
      <c r="H830" s="849"/>
      <c r="I830" s="849"/>
      <c r="J830" s="849"/>
      <c r="K830" s="849"/>
      <c r="L830" s="849"/>
      <c r="M830" s="849"/>
      <c r="N830" s="849"/>
      <c r="O830" s="849"/>
      <c r="P830" s="849"/>
      <c r="Q830" s="849"/>
      <c r="R830" s="849"/>
      <c r="S830" s="849">
        <v>0</v>
      </c>
      <c r="T830" s="849"/>
      <c r="U830" s="849"/>
      <c r="V830" s="849"/>
      <c r="W830" s="849"/>
      <c r="X830" s="850">
        <v>0</v>
      </c>
      <c r="Y830" s="849"/>
      <c r="Z830" s="849"/>
      <c r="AA830" s="849"/>
      <c r="AB830" s="849"/>
      <c r="AC830" s="850">
        <v>0</v>
      </c>
      <c r="AD830" s="849">
        <v>0</v>
      </c>
      <c r="AE830" s="849">
        <v>0</v>
      </c>
      <c r="AF830" s="849"/>
      <c r="AG830" s="849"/>
      <c r="AH830" s="850"/>
      <c r="AI830" s="849"/>
      <c r="AJ830" s="849"/>
      <c r="AK830" s="849"/>
      <c r="AL830" s="849"/>
      <c r="AM830" s="850"/>
      <c r="AN830" s="849"/>
      <c r="AO830" s="849"/>
      <c r="AP830" s="849"/>
      <c r="AQ830" s="849"/>
      <c r="AR830" s="850"/>
      <c r="AS830" s="849"/>
      <c r="AT830" s="849"/>
      <c r="AU830" s="849"/>
      <c r="AV830" s="849"/>
      <c r="AW830" s="850"/>
      <c r="AX830" s="849">
        <v>0</v>
      </c>
      <c r="AY830" s="849">
        <v>0</v>
      </c>
      <c r="AZ830" s="849">
        <v>0</v>
      </c>
      <c r="BA830" s="849">
        <v>0</v>
      </c>
      <c r="BB830" s="850">
        <f>SUM(AX830:BA830)</f>
      </c>
      <c r="BC830" s="849"/>
      <c r="BD830" s="849"/>
      <c r="BE830" s="849"/>
      <c r="BF830" s="849"/>
      <c r="BG830" s="850"/>
      <c r="BH830" s="849"/>
      <c r="BI830" s="849"/>
      <c r="BJ830" s="849"/>
      <c r="BK830" s="849"/>
      <c r="BL830" s="850"/>
      <c r="BM830" s="849"/>
      <c r="BN830" s="849"/>
      <c r="BO830" s="849"/>
      <c r="BP830" s="849"/>
      <c r="BQ830" s="850"/>
      <c r="BR830" s="849"/>
      <c r="BS830" s="849"/>
      <c r="BT830" s="849"/>
      <c r="BU830" s="849"/>
      <c r="BV830" s="850"/>
      <c r="BW830" s="849"/>
      <c r="BX830" s="849"/>
      <c r="BY830" s="849"/>
      <c r="BZ830" s="849"/>
      <c r="CA830" s="850"/>
      <c r="CB830" s="849"/>
      <c r="CC830" s="849"/>
      <c r="CD830" s="849"/>
      <c r="CE830" s="849"/>
      <c r="CF830" s="850"/>
      <c r="CG830" s="849"/>
      <c r="CH830" s="849"/>
      <c r="CI830" s="849"/>
      <c r="CJ830" s="849"/>
      <c r="CK830" s="850"/>
      <c r="CL830" s="993"/>
      <c r="CM830" s="849"/>
      <c r="CN830" s="849"/>
      <c r="CO830" s="849"/>
      <c r="CP830" s="850"/>
      <c r="CQ830" s="849"/>
      <c r="CR830" s="849"/>
      <c r="CS830" s="849"/>
      <c r="CT830" s="985"/>
      <c r="CU830" s="985"/>
      <c r="CV830" s="849"/>
      <c r="CW830" s="849"/>
      <c r="CX830" s="849"/>
      <c r="CY830" s="985"/>
      <c r="CZ830" s="850"/>
      <c r="DA830" s="849"/>
      <c r="DB830" s="849"/>
      <c r="DC830" s="849"/>
      <c r="DD830" s="985"/>
      <c r="DE830" s="1889"/>
      <c r="DF830" s="1890"/>
      <c r="DG830" s="1890"/>
      <c r="DH830" s="1890"/>
      <c r="DI830" s="1891"/>
      <c r="DJ830" s="1889"/>
      <c r="DK830" s="1889"/>
      <c r="DL830" s="1889"/>
      <c r="DM830" s="1889"/>
      <c r="DN830" s="1889"/>
      <c r="DO830" s="1889"/>
      <c r="DP830" s="1889"/>
      <c r="DQ830" s="1889"/>
      <c r="DR830" s="1889"/>
      <c r="DS830" s="1889"/>
      <c r="DT830" s="1889"/>
      <c r="DU830" s="1889"/>
      <c r="DV830" s="1889"/>
      <c r="DW830" s="1889"/>
      <c r="DX830" s="1889"/>
      <c r="DY830" s="1889"/>
      <c r="DZ830" s="1889"/>
      <c r="EA830" s="1889"/>
      <c r="EB830" s="1889"/>
      <c r="EC830" s="1889"/>
      <c r="ED830" s="1889"/>
      <c r="EE830" s="3550"/>
      <c r="EF830" s="1889"/>
      <c r="EG830" s="1889"/>
      <c r="EH830" s="1889"/>
      <c r="EI830" s="1889"/>
      <c r="EJ830" s="1890"/>
      <c r="EK830" s="1890"/>
      <c r="EL830" s="1890"/>
      <c r="EM830" s="1890"/>
      <c r="EN830" s="1890"/>
      <c r="EO830" s="1890"/>
      <c r="EP830" s="1890"/>
      <c r="EQ830" s="1890"/>
      <c r="ER830" s="1890"/>
      <c r="ES830" s="1890"/>
      <c r="ET830" s="1891"/>
      <c r="EU830" s="1890"/>
      <c r="EV830" s="1890"/>
      <c r="EW830" s="1890"/>
      <c r="EX830" s="1890"/>
    </row>
    <row r="831" spans="2:154" outlineLevel="1">
      <c r="B831" s="852" t="s">
        <v>413</v>
      </c>
      <c r="C831" s="990"/>
      <c r="D831" s="849"/>
      <c r="E831" s="849"/>
      <c r="F831" s="849"/>
      <c r="G831" s="849"/>
      <c r="H831" s="849"/>
      <c r="I831" s="849"/>
      <c r="J831" s="849"/>
      <c r="K831" s="849"/>
      <c r="L831" s="849"/>
      <c r="M831" s="849"/>
      <c r="N831" s="849"/>
      <c r="O831" s="849"/>
      <c r="P831" s="849"/>
      <c r="Q831" s="849"/>
      <c r="R831" s="849"/>
      <c r="S831" s="849">
        <f>S829+S830</f>
      </c>
      <c r="T831" s="849"/>
      <c r="U831" s="849"/>
      <c r="V831" s="849"/>
      <c r="W831" s="849"/>
      <c r="X831" s="850">
        <f>X829+X830</f>
      </c>
      <c r="Y831" s="849"/>
      <c r="Z831" s="849"/>
      <c r="AA831" s="849"/>
      <c r="AB831" s="849"/>
      <c r="AC831" s="850">
        <f>AC829+AC830</f>
      </c>
      <c r="AD831" s="849">
        <f>AD829+AD830</f>
      </c>
      <c r="AE831" s="849">
        <f>AE829+AE830</f>
      </c>
      <c r="AF831" s="849">
        <f>AF829+AF830</f>
      </c>
      <c r="AG831" s="849">
        <f>AG829+AG830</f>
      </c>
      <c r="AH831" s="850"/>
      <c r="AI831" s="849"/>
      <c r="AJ831" s="849"/>
      <c r="AK831" s="849"/>
      <c r="AL831" s="849"/>
      <c r="AM831" s="850"/>
      <c r="AN831" s="849"/>
      <c r="AO831" s="849"/>
      <c r="AP831" s="849"/>
      <c r="AQ831" s="849"/>
      <c r="AR831" s="850"/>
      <c r="AS831" s="849"/>
      <c r="AT831" s="849"/>
      <c r="AU831" s="849"/>
      <c r="AV831" s="849"/>
      <c r="AW831" s="850"/>
      <c r="AX831" s="849">
        <f>AX829+AX830</f>
      </c>
      <c r="AY831" s="849">
        <f>AY829+AY830</f>
      </c>
      <c r="AZ831" s="849">
        <f>AZ829+AZ830</f>
      </c>
      <c r="BA831" s="849">
        <f>BA829+BA830</f>
      </c>
      <c r="BB831" s="850">
        <f>BB829+BB830</f>
      </c>
      <c r="BC831" s="849"/>
      <c r="BD831" s="849"/>
      <c r="BE831" s="849"/>
      <c r="BF831" s="849"/>
      <c r="BG831" s="850"/>
      <c r="BH831" s="849"/>
      <c r="BI831" s="849"/>
      <c r="BJ831" s="849"/>
      <c r="BK831" s="849"/>
      <c r="BL831" s="850"/>
      <c r="BM831" s="849"/>
      <c r="BN831" s="849"/>
      <c r="BO831" s="849"/>
      <c r="BP831" s="849"/>
      <c r="BQ831" s="850"/>
      <c r="BR831" s="849"/>
      <c r="BS831" s="849"/>
      <c r="BT831" s="849"/>
      <c r="BU831" s="849"/>
      <c r="BV831" s="850"/>
      <c r="BW831" s="849"/>
      <c r="BX831" s="849"/>
      <c r="BY831" s="849"/>
      <c r="BZ831" s="849"/>
      <c r="CA831" s="850"/>
      <c r="CB831" s="849"/>
      <c r="CC831" s="849"/>
      <c r="CD831" s="849"/>
      <c r="CE831" s="849"/>
      <c r="CF831" s="850"/>
      <c r="CG831" s="849"/>
      <c r="CH831" s="849"/>
      <c r="CI831" s="849"/>
      <c r="CJ831" s="849"/>
      <c r="CK831" s="850"/>
      <c r="CL831" s="993"/>
      <c r="CM831" s="849"/>
      <c r="CN831" s="849"/>
      <c r="CO831" s="849"/>
      <c r="CP831" s="850"/>
      <c r="CQ831" s="849"/>
      <c r="CR831" s="849"/>
      <c r="CS831" s="849"/>
      <c r="CT831" s="985"/>
      <c r="CU831" s="985"/>
      <c r="CV831" s="849"/>
      <c r="CW831" s="849"/>
      <c r="CX831" s="849"/>
      <c r="CY831" s="985"/>
      <c r="CZ831" s="850"/>
      <c r="DA831" s="849"/>
      <c r="DB831" s="849"/>
      <c r="DC831" s="849"/>
      <c r="DD831" s="985"/>
      <c r="DE831" s="1889"/>
      <c r="DF831" s="1890"/>
      <c r="DG831" s="1890"/>
      <c r="DH831" s="1890"/>
      <c r="DI831" s="1891"/>
      <c r="DJ831" s="1889"/>
      <c r="DK831" s="1889"/>
      <c r="DL831" s="1889"/>
      <c r="DM831" s="1889"/>
      <c r="DN831" s="1889"/>
      <c r="DO831" s="1889"/>
      <c r="DP831" s="1889"/>
      <c r="DQ831" s="1889"/>
      <c r="DR831" s="1889"/>
      <c r="DS831" s="1889"/>
      <c r="DT831" s="1889"/>
      <c r="DU831" s="1889"/>
      <c r="DV831" s="1889"/>
      <c r="DW831" s="1889"/>
      <c r="DX831" s="1889"/>
      <c r="DY831" s="1889"/>
      <c r="DZ831" s="1889"/>
      <c r="EA831" s="1889"/>
      <c r="EB831" s="1889"/>
      <c r="EC831" s="1889"/>
      <c r="ED831" s="1889"/>
      <c r="EE831" s="3550"/>
      <c r="EF831" s="1889"/>
      <c r="EG831" s="1889"/>
      <c r="EH831" s="1889"/>
      <c r="EI831" s="1889"/>
      <c r="EJ831" s="1890"/>
      <c r="EK831" s="1890"/>
      <c r="EL831" s="1890"/>
      <c r="EM831" s="1890"/>
      <c r="EN831" s="1890"/>
      <c r="EO831" s="1890"/>
      <c r="EP831" s="1890"/>
      <c r="EQ831" s="1890"/>
      <c r="ER831" s="1890"/>
      <c r="ES831" s="1890"/>
      <c r="ET831" s="1891"/>
      <c r="EU831" s="1890"/>
      <c r="EV831" s="1890"/>
      <c r="EW831" s="1890"/>
      <c r="EX831" s="1890"/>
    </row>
    <row r="832" spans="2:154" outlineLevel="1">
      <c r="B832" s="848" t="s">
        <v>10</v>
      </c>
      <c r="C832" s="990"/>
      <c r="D832" s="849"/>
      <c r="E832" s="849"/>
      <c r="F832" s="849"/>
      <c r="G832" s="849"/>
      <c r="H832" s="849"/>
      <c r="I832" s="849"/>
      <c r="J832" s="849"/>
      <c r="K832" s="849"/>
      <c r="L832" s="849"/>
      <c r="M832" s="849"/>
      <c r="N832" s="849"/>
      <c r="O832" s="849"/>
      <c r="P832" s="849"/>
      <c r="Q832" s="849"/>
      <c r="R832" s="849"/>
      <c r="S832" s="849"/>
      <c r="T832" s="849"/>
      <c r="U832" s="849"/>
      <c r="V832" s="849"/>
      <c r="W832" s="849"/>
      <c r="X832" s="850"/>
      <c r="Y832" s="849"/>
      <c r="Z832" s="849"/>
      <c r="AA832" s="849"/>
      <c r="AB832" s="849"/>
      <c r="AC832" s="850"/>
      <c r="AD832" s="849"/>
      <c r="AE832" s="849"/>
      <c r="AF832" s="849"/>
      <c r="AG832" s="849"/>
      <c r="AH832" s="850"/>
      <c r="AI832" s="849"/>
      <c r="AJ832" s="849"/>
      <c r="AK832" s="849"/>
      <c r="AL832" s="849"/>
      <c r="AM832" s="850"/>
      <c r="AN832" s="849"/>
      <c r="AO832" s="849"/>
      <c r="AP832" s="849"/>
      <c r="AQ832" s="849"/>
      <c r="AR832" s="850"/>
      <c r="AS832" s="849"/>
      <c r="AT832" s="849"/>
      <c r="AU832" s="849"/>
      <c r="AV832" s="849"/>
      <c r="AW832" s="850"/>
      <c r="AX832" s="849"/>
      <c r="AY832" s="849"/>
      <c r="AZ832" s="849"/>
      <c r="BA832" s="849"/>
      <c r="BB832" s="850"/>
      <c r="BC832" s="849"/>
      <c r="BD832" s="849"/>
      <c r="BE832" s="849"/>
      <c r="BF832" s="849"/>
      <c r="BG832" s="850"/>
      <c r="BH832" s="849"/>
      <c r="BI832" s="849"/>
      <c r="BJ832" s="849"/>
      <c r="BK832" s="849"/>
      <c r="BL832" s="850"/>
      <c r="BM832" s="849"/>
      <c r="BN832" s="849"/>
      <c r="BO832" s="849"/>
      <c r="BP832" s="849"/>
      <c r="BQ832" s="850"/>
      <c r="BR832" s="849"/>
      <c r="BS832" s="849"/>
      <c r="BT832" s="849"/>
      <c r="BU832" s="849"/>
      <c r="BV832" s="850"/>
      <c r="BW832" s="849"/>
      <c r="BX832" s="849"/>
      <c r="BY832" s="849"/>
      <c r="BZ832" s="849"/>
      <c r="CA832" s="850"/>
      <c r="CB832" s="849"/>
      <c r="CC832" s="849"/>
      <c r="CD832" s="849"/>
      <c r="CE832" s="849"/>
      <c r="CF832" s="850"/>
      <c r="CG832" s="849"/>
      <c r="CH832" s="849"/>
      <c r="CI832" s="849"/>
      <c r="CJ832" s="849"/>
      <c r="CK832" s="850"/>
      <c r="CL832" s="993"/>
      <c r="CM832" s="849"/>
      <c r="CN832" s="849"/>
      <c r="CO832" s="849"/>
      <c r="CP832" s="850"/>
      <c r="CQ832" s="849"/>
      <c r="CR832" s="849"/>
      <c r="CS832" s="849"/>
      <c r="CT832" s="985"/>
      <c r="CU832" s="985"/>
      <c r="CV832" s="849"/>
      <c r="CW832" s="849"/>
      <c r="CX832" s="849"/>
      <c r="CY832" s="985"/>
      <c r="CZ832" s="850"/>
      <c r="DA832" s="849"/>
      <c r="DB832" s="849"/>
      <c r="DC832" s="849"/>
      <c r="DD832" s="985"/>
      <c r="DE832" s="1889"/>
      <c r="DF832" s="1890"/>
      <c r="DG832" s="1890"/>
      <c r="DH832" s="1890"/>
      <c r="DI832" s="1891"/>
      <c r="DJ832" s="1889"/>
      <c r="DK832" s="1889"/>
      <c r="DL832" s="1889"/>
      <c r="DM832" s="1889"/>
      <c r="DN832" s="1889"/>
      <c r="DO832" s="1889"/>
      <c r="DP832" s="1889"/>
      <c r="DQ832" s="1889"/>
      <c r="DR832" s="1889"/>
      <c r="DS832" s="1889"/>
      <c r="DT832" s="1889"/>
      <c r="DU832" s="1889"/>
      <c r="DV832" s="1889"/>
      <c r="DW832" s="1889"/>
      <c r="DX832" s="1889"/>
      <c r="DY832" s="1889"/>
      <c r="DZ832" s="1889"/>
      <c r="EA832" s="1889"/>
      <c r="EB832" s="1889"/>
      <c r="EC832" s="1889"/>
      <c r="ED832" s="1889"/>
      <c r="EE832" s="3550"/>
      <c r="EF832" s="1889"/>
      <c r="EG832" s="1889"/>
      <c r="EH832" s="1889"/>
      <c r="EI832" s="1889"/>
      <c r="EJ832" s="1890"/>
      <c r="EK832" s="1890"/>
      <c r="EL832" s="1890"/>
      <c r="EM832" s="1890"/>
      <c r="EN832" s="1890"/>
      <c r="EO832" s="1890"/>
      <c r="EP832" s="1890"/>
      <c r="EQ832" s="1890"/>
      <c r="ER832" s="1890"/>
      <c r="ES832" s="1890"/>
      <c r="ET832" s="1891"/>
      <c r="EU832" s="1890"/>
      <c r="EV832" s="1890"/>
      <c r="EW832" s="1890"/>
      <c r="EX832" s="1890"/>
    </row>
    <row r="833" spans="2:154" outlineLevel="1">
      <c r="B833" s="852" t="s">
        <v>187</v>
      </c>
      <c r="C833" s="990"/>
      <c r="D833" s="849"/>
      <c r="E833" s="849"/>
      <c r="F833" s="849"/>
      <c r="G833" s="849"/>
      <c r="H833" s="849"/>
      <c r="I833" s="849">
        <v>0</v>
      </c>
      <c r="J833" s="849"/>
      <c r="K833" s="849"/>
      <c r="L833" s="849"/>
      <c r="M833" s="849"/>
      <c r="N833" s="849">
        <v>0</v>
      </c>
      <c r="O833" s="849"/>
      <c r="P833" s="849"/>
      <c r="Q833" s="849"/>
      <c r="R833" s="849"/>
      <c r="S833" s="849">
        <v>0</v>
      </c>
      <c r="T833" s="849"/>
      <c r="U833" s="849"/>
      <c r="V833" s="849"/>
      <c r="W833" s="849"/>
      <c r="X833" s="850">
        <v>0</v>
      </c>
      <c r="Y833" s="849"/>
      <c r="Z833" s="849"/>
      <c r="AA833" s="849"/>
      <c r="AB833" s="849"/>
      <c r="AC833" s="850">
        <v>0</v>
      </c>
      <c r="AD833" s="849"/>
      <c r="AE833" s="849"/>
      <c r="AF833" s="849"/>
      <c r="AG833" s="849"/>
      <c r="AH833" s="850">
        <v>0</v>
      </c>
      <c r="AI833" s="849"/>
      <c r="AJ833" s="849"/>
      <c r="AK833" s="849"/>
      <c r="AL833" s="849"/>
      <c r="AM833" s="850">
        <v>0</v>
      </c>
      <c r="AN833" s="849">
        <v>0</v>
      </c>
      <c r="AO833" s="849">
        <v>0</v>
      </c>
      <c r="AP833" s="849">
        <v>0</v>
      </c>
      <c r="AQ833" s="849">
        <v>0</v>
      </c>
      <c r="AR833" s="850">
        <v>0</v>
      </c>
      <c r="AS833" s="849">
        <v>0</v>
      </c>
      <c r="AT833" s="849">
        <v>0</v>
      </c>
      <c r="AU833" s="849">
        <v>0</v>
      </c>
      <c r="AV833" s="849">
        <v>0</v>
      </c>
      <c r="AW833" s="850">
        <v>0</v>
      </c>
      <c r="AX833" s="849">
        <v>0</v>
      </c>
      <c r="AY833" s="849">
        <v>0</v>
      </c>
      <c r="AZ833" s="849">
        <v>0</v>
      </c>
      <c r="BA833" s="849">
        <v>0</v>
      </c>
      <c r="BB833" s="850">
        <v>0</v>
      </c>
      <c r="BC833" s="849"/>
      <c r="BD833" s="849"/>
      <c r="BE833" s="849"/>
      <c r="BF833" s="849"/>
      <c r="BG833" s="850"/>
      <c r="BH833" s="849"/>
      <c r="BI833" s="849"/>
      <c r="BJ833" s="849"/>
      <c r="BK833" s="849"/>
      <c r="BL833" s="850"/>
      <c r="BM833" s="849"/>
      <c r="BN833" s="849"/>
      <c r="BO833" s="849"/>
      <c r="BP833" s="849"/>
      <c r="BQ833" s="850"/>
      <c r="BR833" s="849"/>
      <c r="BS833" s="849"/>
      <c r="BT833" s="849"/>
      <c r="BU833" s="849"/>
      <c r="BV833" s="850"/>
      <c r="BW833" s="849"/>
      <c r="BX833" s="849"/>
      <c r="BY833" s="849"/>
      <c r="BZ833" s="849"/>
      <c r="CA833" s="850"/>
      <c r="CB833" s="849"/>
      <c r="CC833" s="849"/>
      <c r="CD833" s="849"/>
      <c r="CE833" s="849"/>
      <c r="CF833" s="850"/>
      <c r="CG833" s="849"/>
      <c r="CH833" s="849"/>
      <c r="CI833" s="849"/>
      <c r="CJ833" s="849"/>
      <c r="CK833" s="850"/>
      <c r="CL833" s="993"/>
      <c r="CM833" s="849"/>
      <c r="CN833" s="849"/>
      <c r="CO833" s="849"/>
      <c r="CP833" s="850"/>
      <c r="CQ833" s="849"/>
      <c r="CR833" s="849"/>
      <c r="CS833" s="849"/>
      <c r="CT833" s="985"/>
      <c r="CU833" s="985"/>
      <c r="CV833" s="849"/>
      <c r="CW833" s="849"/>
      <c r="CX833" s="849"/>
      <c r="CY833" s="985"/>
      <c r="CZ833" s="850"/>
      <c r="DA833" s="849"/>
      <c r="DB833" s="849"/>
      <c r="DC833" s="849"/>
      <c r="DD833" s="985"/>
      <c r="DE833" s="1889"/>
      <c r="DF833" s="1890"/>
      <c r="DG833" s="1890"/>
      <c r="DH833" s="1890"/>
      <c r="DI833" s="1891"/>
      <c r="DJ833" s="1889"/>
      <c r="DK833" s="1889"/>
      <c r="DL833" s="1889"/>
      <c r="DM833" s="1889"/>
      <c r="DN833" s="1889"/>
      <c r="DO833" s="1889"/>
      <c r="DP833" s="1889"/>
      <c r="DQ833" s="1889"/>
      <c r="DR833" s="1889"/>
      <c r="DS833" s="1889"/>
      <c r="DT833" s="1889"/>
      <c r="DU833" s="1889"/>
      <c r="DV833" s="1889"/>
      <c r="DW833" s="1889"/>
      <c r="DX833" s="1889"/>
      <c r="DY833" s="1889"/>
      <c r="DZ833" s="1889"/>
      <c r="EA833" s="1889"/>
      <c r="EB833" s="1889"/>
      <c r="EC833" s="1889"/>
      <c r="ED833" s="1889"/>
      <c r="EE833" s="3550"/>
      <c r="EF833" s="1889"/>
      <c r="EG833" s="1889"/>
      <c r="EH833" s="1889"/>
      <c r="EI833" s="1889"/>
      <c r="EJ833" s="1890"/>
      <c r="EK833" s="1890"/>
      <c r="EL833" s="1890"/>
      <c r="EM833" s="1890"/>
      <c r="EN833" s="1890"/>
      <c r="EO833" s="1890"/>
      <c r="EP833" s="1890"/>
      <c r="EQ833" s="1890"/>
      <c r="ER833" s="1890"/>
      <c r="ES833" s="1890"/>
      <c r="ET833" s="1891"/>
      <c r="EU833" s="1890"/>
      <c r="EV833" s="1890"/>
      <c r="EW833" s="1890"/>
      <c r="EX833" s="1890"/>
    </row>
    <row r="834" spans="2:154" outlineLevel="1">
      <c r="B834" s="852" t="s">
        <v>412</v>
      </c>
      <c r="C834" s="990"/>
      <c r="D834" s="849"/>
      <c r="E834" s="849"/>
      <c r="F834" s="849"/>
      <c r="G834" s="849"/>
      <c r="H834" s="849"/>
      <c r="I834" s="849">
        <v>0</v>
      </c>
      <c r="J834" s="849"/>
      <c r="K834" s="849"/>
      <c r="L834" s="849"/>
      <c r="M834" s="849"/>
      <c r="N834" s="849">
        <v>0</v>
      </c>
      <c r="O834" s="849"/>
      <c r="P834" s="849"/>
      <c r="Q834" s="849"/>
      <c r="R834" s="849"/>
      <c r="S834" s="849">
        <v>0</v>
      </c>
      <c r="T834" s="849"/>
      <c r="U834" s="849"/>
      <c r="V834" s="849"/>
      <c r="W834" s="849"/>
      <c r="X834" s="850">
        <v>0</v>
      </c>
      <c r="Y834" s="849"/>
      <c r="Z834" s="849"/>
      <c r="AA834" s="849"/>
      <c r="AB834" s="849"/>
      <c r="AC834" s="850">
        <v>0</v>
      </c>
      <c r="AD834" s="849"/>
      <c r="AE834" s="849"/>
      <c r="AF834" s="849"/>
      <c r="AG834" s="849"/>
      <c r="AH834" s="850">
        <v>0</v>
      </c>
      <c r="AI834" s="849"/>
      <c r="AJ834" s="849"/>
      <c r="AK834" s="849"/>
      <c r="AL834" s="849"/>
      <c r="AM834" s="850">
        <v>0</v>
      </c>
      <c r="AN834" s="849">
        <v>0</v>
      </c>
      <c r="AO834" s="849">
        <v>0</v>
      </c>
      <c r="AP834" s="849">
        <v>0</v>
      </c>
      <c r="AQ834" s="849">
        <v>0</v>
      </c>
      <c r="AR834" s="850">
        <v>0</v>
      </c>
      <c r="AS834" s="849">
        <v>0</v>
      </c>
      <c r="AT834" s="849">
        <v>0</v>
      </c>
      <c r="AU834" s="849">
        <v>0</v>
      </c>
      <c r="AV834" s="849">
        <v>0</v>
      </c>
      <c r="AW834" s="850">
        <v>0</v>
      </c>
      <c r="AX834" s="849">
        <v>0</v>
      </c>
      <c r="AY834" s="849">
        <v>0</v>
      </c>
      <c r="AZ834" s="849">
        <v>0</v>
      </c>
      <c r="BA834" s="849">
        <v>0</v>
      </c>
      <c r="BB834" s="850">
        <v>0</v>
      </c>
      <c r="BC834" s="849"/>
      <c r="BD834" s="849"/>
      <c r="BE834" s="849"/>
      <c r="BF834" s="849"/>
      <c r="BG834" s="850"/>
      <c r="BH834" s="849"/>
      <c r="BI834" s="849"/>
      <c r="BJ834" s="849"/>
      <c r="BK834" s="849"/>
      <c r="BL834" s="850"/>
      <c r="BM834" s="849"/>
      <c r="BN834" s="849"/>
      <c r="BO834" s="849"/>
      <c r="BP834" s="849"/>
      <c r="BQ834" s="850"/>
      <c r="BR834" s="849"/>
      <c r="BS834" s="849"/>
      <c r="BT834" s="849"/>
      <c r="BU834" s="849"/>
      <c r="BV834" s="850"/>
      <c r="BW834" s="849"/>
      <c r="BX834" s="849"/>
      <c r="BY834" s="849"/>
      <c r="BZ834" s="849"/>
      <c r="CA834" s="850"/>
      <c r="CB834" s="849"/>
      <c r="CC834" s="849"/>
      <c r="CD834" s="849"/>
      <c r="CE834" s="849"/>
      <c r="CF834" s="850"/>
      <c r="CG834" s="849"/>
      <c r="CH834" s="849"/>
      <c r="CI834" s="849"/>
      <c r="CJ834" s="849"/>
      <c r="CK834" s="850"/>
      <c r="CL834" s="993"/>
      <c r="CM834" s="849"/>
      <c r="CN834" s="849"/>
      <c r="CO834" s="849"/>
      <c r="CP834" s="850"/>
      <c r="CQ834" s="849"/>
      <c r="CR834" s="849"/>
      <c r="CS834" s="849"/>
      <c r="CT834" s="985"/>
      <c r="CU834" s="985"/>
      <c r="CV834" s="849"/>
      <c r="CW834" s="849"/>
      <c r="CX834" s="849"/>
      <c r="CY834" s="985"/>
      <c r="CZ834" s="850"/>
      <c r="DA834" s="849"/>
      <c r="DB834" s="849"/>
      <c r="DC834" s="849"/>
      <c r="DD834" s="985"/>
      <c r="DE834" s="1889"/>
      <c r="DF834" s="1890"/>
      <c r="DG834" s="1890"/>
      <c r="DH834" s="1890"/>
      <c r="DI834" s="1891"/>
      <c r="DJ834" s="1889"/>
      <c r="DK834" s="1889"/>
      <c r="DL834" s="1889"/>
      <c r="DM834" s="1889"/>
      <c r="DN834" s="1889"/>
      <c r="DO834" s="1889"/>
      <c r="DP834" s="1889"/>
      <c r="DQ834" s="1889"/>
      <c r="DR834" s="1889"/>
      <c r="DS834" s="1889"/>
      <c r="DT834" s="1889"/>
      <c r="DU834" s="1889"/>
      <c r="DV834" s="1889"/>
      <c r="DW834" s="1889"/>
      <c r="DX834" s="1889"/>
      <c r="DY834" s="1889"/>
      <c r="DZ834" s="1889"/>
      <c r="EA834" s="1889"/>
      <c r="EB834" s="1889"/>
      <c r="EC834" s="1889"/>
      <c r="ED834" s="1889"/>
      <c r="EE834" s="3550"/>
      <c r="EF834" s="1889"/>
      <c r="EG834" s="1889"/>
      <c r="EH834" s="1889"/>
      <c r="EI834" s="1889"/>
      <c r="EJ834" s="1890"/>
      <c r="EK834" s="1890"/>
      <c r="EL834" s="1890"/>
      <c r="EM834" s="1890"/>
      <c r="EN834" s="1890"/>
      <c r="EO834" s="1890"/>
      <c r="EP834" s="1890"/>
      <c r="EQ834" s="1890"/>
      <c r="ER834" s="1890"/>
      <c r="ES834" s="1890"/>
      <c r="ET834" s="1891"/>
      <c r="EU834" s="1890"/>
      <c r="EV834" s="1890"/>
      <c r="EW834" s="1890"/>
      <c r="EX834" s="1890"/>
    </row>
    <row r="835" spans="2:154" outlineLevel="1">
      <c r="B835" s="852" t="s">
        <v>413</v>
      </c>
      <c r="C835" s="990"/>
      <c r="D835" s="849">
        <f t="shared" ref="D835:Q835" si="1913">+D833+D834</f>
      </c>
      <c r="E835" s="849">
        <f t="shared" si="1913"/>
      </c>
      <c r="F835" s="849">
        <f t="shared" si="1913"/>
      </c>
      <c r="G835" s="849">
        <f t="shared" si="1913"/>
      </c>
      <c r="H835" s="849">
        <f t="shared" si="1913"/>
      </c>
      <c r="I835" s="849">
        <f t="shared" si="1913"/>
      </c>
      <c r="J835" s="849">
        <f t="shared" si="1913"/>
      </c>
      <c r="K835" s="849">
        <f t="shared" si="1913"/>
      </c>
      <c r="L835" s="849">
        <f t="shared" si="1913"/>
      </c>
      <c r="M835" s="849">
        <f t="shared" si="1913"/>
      </c>
      <c r="N835" s="849">
        <f t="shared" si="1913"/>
      </c>
      <c r="O835" s="849">
        <f t="shared" si="1913"/>
      </c>
      <c r="P835" s="849">
        <f t="shared" si="1913"/>
      </c>
      <c r="Q835" s="849">
        <f t="shared" si="1913"/>
      </c>
      <c r="R835" s="849">
        <f>+S835-SUM(O835:Q835)</f>
      </c>
      <c r="S835" s="849">
        <f>+S833+S834</f>
      </c>
      <c r="T835" s="849">
        <f>+T833+T834</f>
      </c>
      <c r="U835" s="849">
        <f>+U833+U834</f>
      </c>
      <c r="V835" s="849">
        <f>+V833+V834</f>
      </c>
      <c r="W835" s="849" t="e">
        <f>+#REF!-SUM(T835:V835)</f>
      </c>
      <c r="X835" s="850">
        <f>+X833+X834</f>
      </c>
      <c r="Y835" s="849">
        <f>+Y833+Y834</f>
      </c>
      <c r="Z835" s="849">
        <f>+Z833+Z834</f>
      </c>
      <c r="AA835" s="849">
        <f>+AA833+AA834</f>
      </c>
      <c r="AB835" s="849" t="e">
        <f>+#REF!-SUM(Y835:AA835)</f>
      </c>
      <c r="AC835" s="850">
        <f>+AC833+AC834</f>
      </c>
      <c r="AD835" s="849">
        <f>+AD833+AD834</f>
      </c>
      <c r="AE835" s="849">
        <f>+AE833+AE834</f>
      </c>
      <c r="AF835" s="849">
        <f>+AF833+AF834</f>
      </c>
      <c r="AG835" s="849" t="e">
        <f>+#REF!-SUM(AD835:AF835)</f>
      </c>
      <c r="AH835" s="850">
        <f>+AH833+AH834</f>
      </c>
      <c r="AI835" s="849">
        <f>+AI833+AI834</f>
      </c>
      <c r="AJ835" s="849">
        <f>+AJ833+AJ834</f>
      </c>
      <c r="AK835" s="849">
        <f>+AK833+AK834</f>
      </c>
      <c r="AL835" s="849" t="e">
        <f>+#REF!-SUM(AI835:AK835)</f>
      </c>
      <c r="AM835" s="850">
        <f>+AM833+AM834</f>
      </c>
      <c r="AN835" s="849">
        <f>+AN833+AN834</f>
      </c>
      <c r="AO835" s="849">
        <f>+AO833+AO834</f>
      </c>
      <c r="AP835" s="849">
        <f>+AP833+AP834</f>
      </c>
      <c r="AQ835" s="849" t="e">
        <f>+#REF!-SUM(AN835:AP835)</f>
      </c>
      <c r="AR835" s="850">
        <f t="shared" ref="AR835:BB835" si="1914">+AR833+AR834</f>
      </c>
      <c r="AS835" s="849">
        <f t="shared" si="1914"/>
      </c>
      <c r="AT835" s="849">
        <f t="shared" si="1914"/>
      </c>
      <c r="AU835" s="849">
        <f t="shared" si="1914"/>
      </c>
      <c r="AV835" s="849">
        <f t="shared" si="1914"/>
      </c>
      <c r="AW835" s="850">
        <f t="shared" si="1914"/>
      </c>
      <c r="AX835" s="849">
        <f t="shared" si="1914"/>
      </c>
      <c r="AY835" s="849">
        <f t="shared" si="1914"/>
      </c>
      <c r="AZ835" s="849">
        <f t="shared" si="1914"/>
      </c>
      <c r="BA835" s="849">
        <f t="shared" si="1914"/>
      </c>
      <c r="BB835" s="850">
        <f t="shared" si="1914"/>
      </c>
      <c r="BC835" s="849"/>
      <c r="BD835" s="849"/>
      <c r="BE835" s="849"/>
      <c r="BF835" s="849"/>
      <c r="BG835" s="850"/>
      <c r="BH835" s="849"/>
      <c r="BI835" s="849"/>
      <c r="BJ835" s="849"/>
      <c r="BK835" s="849"/>
      <c r="BL835" s="850"/>
      <c r="BM835" s="849"/>
      <c r="BN835" s="849"/>
      <c r="BO835" s="849"/>
      <c r="BP835" s="849"/>
      <c r="BQ835" s="850"/>
      <c r="BR835" s="849"/>
      <c r="BS835" s="849"/>
      <c r="BT835" s="849"/>
      <c r="BU835" s="849"/>
      <c r="BV835" s="850"/>
      <c r="BW835" s="849"/>
      <c r="BX835" s="849"/>
      <c r="BY835" s="849"/>
      <c r="BZ835" s="849"/>
      <c r="CA835" s="850"/>
      <c r="CB835" s="849"/>
      <c r="CC835" s="849"/>
      <c r="CD835" s="849"/>
      <c r="CE835" s="849"/>
      <c r="CF835" s="850"/>
      <c r="CG835" s="849"/>
      <c r="CH835" s="849"/>
      <c r="CI835" s="849"/>
      <c r="CJ835" s="849"/>
      <c r="CK835" s="850"/>
      <c r="CL835" s="993"/>
      <c r="CM835" s="849"/>
      <c r="CN835" s="849"/>
      <c r="CO835" s="849"/>
      <c r="CP835" s="850"/>
      <c r="CQ835" s="849"/>
      <c r="CR835" s="849"/>
      <c r="CS835" s="849"/>
      <c r="CT835" s="985"/>
      <c r="CU835" s="985"/>
      <c r="CV835" s="849"/>
      <c r="CW835" s="849"/>
      <c r="CX835" s="849"/>
      <c r="CY835" s="985"/>
      <c r="CZ835" s="850"/>
      <c r="DA835" s="849"/>
      <c r="DB835" s="849"/>
      <c r="DC835" s="849"/>
      <c r="DD835" s="985"/>
      <c r="DE835" s="1889"/>
      <c r="DF835" s="1890"/>
      <c r="DG835" s="1890"/>
      <c r="DH835" s="1890"/>
      <c r="DI835" s="1891"/>
      <c r="DJ835" s="1889"/>
      <c r="DK835" s="1889"/>
      <c r="DL835" s="1889"/>
      <c r="DM835" s="1889"/>
      <c r="DN835" s="1889"/>
      <c r="DO835" s="1889"/>
      <c r="DP835" s="1889"/>
      <c r="DQ835" s="1889"/>
      <c r="DR835" s="1889"/>
      <c r="DS835" s="1889"/>
      <c r="DT835" s="1889"/>
      <c r="DU835" s="1889"/>
      <c r="DV835" s="1889"/>
      <c r="DW835" s="1889"/>
      <c r="DX835" s="1889"/>
      <c r="DY835" s="1889"/>
      <c r="DZ835" s="1889"/>
      <c r="EA835" s="1889"/>
      <c r="EB835" s="1889"/>
      <c r="EC835" s="1889"/>
      <c r="ED835" s="1889"/>
      <c r="EE835" s="3550"/>
      <c r="EF835" s="1889"/>
      <c r="EG835" s="1889"/>
      <c r="EH835" s="1889"/>
      <c r="EI835" s="1889"/>
      <c r="EJ835" s="1890"/>
      <c r="EK835" s="1890"/>
      <c r="EL835" s="1890"/>
      <c r="EM835" s="1890"/>
      <c r="EN835" s="1890"/>
      <c r="EO835" s="1890"/>
      <c r="EP835" s="1890"/>
      <c r="EQ835" s="1890"/>
      <c r="ER835" s="1890"/>
      <c r="ES835" s="1890"/>
      <c r="ET835" s="1891"/>
      <c r="EU835" s="1890"/>
      <c r="EV835" s="1890"/>
      <c r="EW835" s="1890"/>
      <c r="EX835" s="1890"/>
    </row>
    <row r="836" spans="2:154" outlineLevel="1">
      <c r="B836" s="865"/>
      <c r="C836" s="990"/>
      <c r="D836" s="849"/>
      <c r="E836" s="849"/>
      <c r="F836" s="849"/>
      <c r="G836" s="849"/>
      <c r="H836" s="849"/>
      <c r="I836" s="849"/>
      <c r="J836" s="849"/>
      <c r="K836" s="849"/>
      <c r="L836" s="849"/>
      <c r="M836" s="849"/>
      <c r="N836" s="849"/>
      <c r="O836" s="849"/>
      <c r="P836" s="849"/>
      <c r="Q836" s="849"/>
      <c r="R836" s="849"/>
      <c r="S836" s="849"/>
      <c r="T836" s="849"/>
      <c r="U836" s="849"/>
      <c r="V836" s="849"/>
      <c r="W836" s="849"/>
      <c r="X836" s="850"/>
      <c r="Y836" s="849"/>
      <c r="Z836" s="849"/>
      <c r="AA836" s="849"/>
      <c r="AB836" s="849"/>
      <c r="AC836" s="850"/>
      <c r="AD836" s="849"/>
      <c r="AE836" s="849"/>
      <c r="AF836" s="849"/>
      <c r="AG836" s="849"/>
      <c r="AH836" s="850"/>
      <c r="AI836" s="849"/>
      <c r="AJ836" s="849"/>
      <c r="AK836" s="849"/>
      <c r="AL836" s="849"/>
      <c r="AM836" s="850"/>
      <c r="AN836" s="849"/>
      <c r="AO836" s="849"/>
      <c r="AP836" s="849"/>
      <c r="AQ836" s="849"/>
      <c r="AR836" s="850"/>
      <c r="AS836" s="849"/>
      <c r="AT836" s="849"/>
      <c r="AU836" s="849"/>
      <c r="AV836" s="849"/>
      <c r="AW836" s="850"/>
      <c r="AX836" s="849"/>
      <c r="AY836" s="849"/>
      <c r="AZ836" s="849"/>
      <c r="BA836" s="849"/>
      <c r="BB836" s="850"/>
      <c r="BC836" s="849"/>
      <c r="BD836" s="849"/>
      <c r="BE836" s="849"/>
      <c r="BF836" s="849"/>
      <c r="BG836" s="850"/>
      <c r="BH836" s="849"/>
      <c r="BI836" s="849"/>
      <c r="BJ836" s="849"/>
      <c r="BK836" s="849"/>
      <c r="BL836" s="850"/>
      <c r="BM836" s="849"/>
      <c r="BN836" s="849"/>
      <c r="BO836" s="849"/>
      <c r="BP836" s="849"/>
      <c r="BQ836" s="850"/>
      <c r="BR836" s="849"/>
      <c r="BS836" s="849"/>
      <c r="BT836" s="849"/>
      <c r="BU836" s="849"/>
      <c r="BV836" s="850"/>
      <c r="BW836" s="849"/>
      <c r="BX836" s="849"/>
      <c r="BY836" s="849"/>
      <c r="BZ836" s="849"/>
      <c r="CA836" s="850"/>
      <c r="CB836" s="849"/>
      <c r="CC836" s="849"/>
      <c r="CD836" s="849"/>
      <c r="CE836" s="849"/>
      <c r="CF836" s="850"/>
      <c r="CG836" s="849"/>
      <c r="CH836" s="849"/>
      <c r="CI836" s="849"/>
      <c r="CJ836" s="849"/>
      <c r="CK836" s="850"/>
      <c r="CL836" s="993"/>
      <c r="CM836" s="849"/>
      <c r="CN836" s="849"/>
      <c r="CO836" s="849"/>
      <c r="CP836" s="850"/>
      <c r="CQ836" s="849"/>
      <c r="CR836" s="849"/>
      <c r="CS836" s="849"/>
      <c r="CT836" s="985"/>
      <c r="CU836" s="985"/>
      <c r="CV836" s="849"/>
      <c r="CW836" s="849"/>
      <c r="CX836" s="849"/>
      <c r="CY836" s="985"/>
      <c r="CZ836" s="850"/>
      <c r="DA836" s="849"/>
      <c r="DB836" s="849"/>
      <c r="DC836" s="849"/>
      <c r="DD836" s="985"/>
      <c r="DE836" s="1889"/>
      <c r="DF836" s="1890"/>
      <c r="DG836" s="1890"/>
      <c r="DH836" s="1890"/>
      <c r="DI836" s="1891"/>
      <c r="DJ836" s="1889"/>
      <c r="DK836" s="1889"/>
      <c r="DL836" s="1889"/>
      <c r="DM836" s="1889"/>
      <c r="DN836" s="1889"/>
      <c r="DO836" s="1889"/>
      <c r="DP836" s="1889"/>
      <c r="DQ836" s="1889"/>
      <c r="DR836" s="1889"/>
      <c r="DS836" s="1889"/>
      <c r="DT836" s="1889"/>
      <c r="DU836" s="1889"/>
      <c r="DV836" s="1889"/>
      <c r="DW836" s="1889"/>
      <c r="DX836" s="1889"/>
      <c r="DY836" s="1889"/>
      <c r="DZ836" s="1889"/>
      <c r="EA836" s="1889"/>
      <c r="EB836" s="1889"/>
      <c r="EC836" s="1889"/>
      <c r="ED836" s="1889"/>
      <c r="EE836" s="3550"/>
      <c r="EF836" s="1889"/>
      <c r="EG836" s="1889"/>
      <c r="EH836" s="1889"/>
      <c r="EI836" s="1889"/>
      <c r="EJ836" s="1890"/>
      <c r="EK836" s="1890"/>
      <c r="EL836" s="1890"/>
      <c r="EM836" s="1890"/>
      <c r="EN836" s="1890"/>
      <c r="EO836" s="1890"/>
      <c r="EP836" s="1890"/>
      <c r="EQ836" s="1890"/>
      <c r="ER836" s="1890"/>
      <c r="ES836" s="1890"/>
      <c r="ET836" s="1891"/>
      <c r="EU836" s="1890"/>
      <c r="EV836" s="1890"/>
      <c r="EW836" s="1890"/>
      <c r="EX836" s="1890"/>
    </row>
    <row r="837" spans="2:154" outlineLevel="1">
      <c r="B837" s="866" t="s">
        <v>34</v>
      </c>
      <c r="C837" s="990"/>
      <c r="D837" s="849"/>
      <c r="E837" s="849"/>
      <c r="F837" s="849"/>
      <c r="G837" s="849"/>
      <c r="H837" s="849"/>
      <c r="I837" s="849"/>
      <c r="J837" s="849"/>
      <c r="K837" s="849"/>
      <c r="L837" s="849"/>
      <c r="M837" s="849"/>
      <c r="N837" s="849"/>
      <c r="O837" s="849"/>
      <c r="P837" s="849"/>
      <c r="Q837" s="849"/>
      <c r="R837" s="849"/>
      <c r="S837" s="849"/>
      <c r="T837" s="849"/>
      <c r="U837" s="849"/>
      <c r="V837" s="849"/>
      <c r="W837" s="849"/>
      <c r="X837" s="850"/>
      <c r="Y837" s="849"/>
      <c r="Z837" s="849"/>
      <c r="AA837" s="849"/>
      <c r="AB837" s="849"/>
      <c r="AC837" s="850"/>
      <c r="AD837" s="849"/>
      <c r="AE837" s="849"/>
      <c r="AF837" s="849"/>
      <c r="AG837" s="849"/>
      <c r="AH837" s="850"/>
      <c r="AI837" s="849"/>
      <c r="AJ837" s="849"/>
      <c r="AK837" s="849"/>
      <c r="AL837" s="849"/>
      <c r="AM837" s="850"/>
      <c r="AN837" s="849"/>
      <c r="AO837" s="849"/>
      <c r="AP837" s="849"/>
      <c r="AQ837" s="849"/>
      <c r="AR837" s="850"/>
      <c r="AS837" s="849"/>
      <c r="AT837" s="849"/>
      <c r="AU837" s="849"/>
      <c r="AV837" s="849"/>
      <c r="AW837" s="850"/>
      <c r="AX837" s="849"/>
      <c r="AY837" s="849"/>
      <c r="AZ837" s="849"/>
      <c r="BA837" s="849"/>
      <c r="BB837" s="850"/>
      <c r="BC837" s="849"/>
      <c r="BD837" s="849"/>
      <c r="BE837" s="849"/>
      <c r="BF837" s="849"/>
      <c r="BG837" s="850"/>
      <c r="BH837" s="849"/>
      <c r="BI837" s="849"/>
      <c r="BJ837" s="849"/>
      <c r="BK837" s="849"/>
      <c r="BL837" s="850"/>
      <c r="BM837" s="849"/>
      <c r="BN837" s="849"/>
      <c r="BO837" s="849"/>
      <c r="BP837" s="849"/>
      <c r="BQ837" s="850"/>
      <c r="BR837" s="849"/>
      <c r="BS837" s="849"/>
      <c r="BT837" s="849"/>
      <c r="BU837" s="849"/>
      <c r="BV837" s="850"/>
      <c r="BW837" s="849"/>
      <c r="BX837" s="849"/>
      <c r="BY837" s="849"/>
      <c r="BZ837" s="849"/>
      <c r="CA837" s="850"/>
      <c r="CB837" s="849"/>
      <c r="CC837" s="849"/>
      <c r="CD837" s="849"/>
      <c r="CE837" s="849"/>
      <c r="CF837" s="850"/>
      <c r="CG837" s="849"/>
      <c r="CH837" s="849"/>
      <c r="CI837" s="849"/>
      <c r="CJ837" s="849"/>
      <c r="CK837" s="850"/>
      <c r="CL837" s="993"/>
      <c r="CM837" s="849"/>
      <c r="CN837" s="849"/>
      <c r="CO837" s="849"/>
      <c r="CP837" s="850"/>
      <c r="CQ837" s="849"/>
      <c r="CR837" s="849"/>
      <c r="CS837" s="849"/>
      <c r="CT837" s="985"/>
      <c r="CU837" s="985"/>
      <c r="CV837" s="849"/>
      <c r="CW837" s="849"/>
      <c r="CX837" s="849"/>
      <c r="CY837" s="985"/>
      <c r="CZ837" s="850"/>
      <c r="DA837" s="849"/>
      <c r="DB837" s="849"/>
      <c r="DC837" s="849"/>
      <c r="DD837" s="985"/>
      <c r="DE837" s="1889"/>
      <c r="DF837" s="1890"/>
      <c r="DG837" s="1890"/>
      <c r="DH837" s="1890"/>
      <c r="DI837" s="1891"/>
      <c r="DJ837" s="1889"/>
      <c r="DK837" s="1889"/>
      <c r="DL837" s="1889"/>
      <c r="DM837" s="1889"/>
      <c r="DN837" s="1889"/>
      <c r="DO837" s="1889"/>
      <c r="DP837" s="1889"/>
      <c r="DQ837" s="1889"/>
      <c r="DR837" s="1889"/>
      <c r="DS837" s="1889"/>
      <c r="DT837" s="1889"/>
      <c r="DU837" s="1889"/>
      <c r="DV837" s="1889"/>
      <c r="DW837" s="1889"/>
      <c r="DX837" s="1889"/>
      <c r="DY837" s="1889"/>
      <c r="DZ837" s="1889"/>
      <c r="EA837" s="1889"/>
      <c r="EB837" s="1889"/>
      <c r="EC837" s="1889"/>
      <c r="ED837" s="1889"/>
      <c r="EE837" s="3550"/>
      <c r="EF837" s="1889"/>
      <c r="EG837" s="1889"/>
      <c r="EH837" s="1889"/>
      <c r="EI837" s="1889"/>
      <c r="EJ837" s="1890"/>
      <c r="EK837" s="1890"/>
      <c r="EL837" s="1890"/>
      <c r="EM837" s="1890"/>
      <c r="EN837" s="1890"/>
      <c r="EO837" s="1890"/>
      <c r="EP837" s="1890"/>
      <c r="EQ837" s="1890"/>
      <c r="ER837" s="1890"/>
      <c r="ES837" s="1890"/>
      <c r="ET837" s="1891"/>
      <c r="EU837" s="1890"/>
      <c r="EV837" s="1890"/>
      <c r="EW837" s="1890"/>
      <c r="EX837" s="1890"/>
    </row>
    <row r="838" spans="2:154" outlineLevel="1">
      <c r="B838" s="865" t="s">
        <v>187</v>
      </c>
      <c r="C838" s="2017">
        <v>42156</v>
      </c>
      <c r="D838" s="849"/>
      <c r="E838" s="849"/>
      <c r="F838" s="849"/>
      <c r="G838" s="849"/>
      <c r="H838" s="849"/>
      <c r="I838" s="849"/>
      <c r="J838" s="849"/>
      <c r="K838" s="849"/>
      <c r="L838" s="849"/>
      <c r="M838" s="849"/>
      <c r="N838" s="849"/>
      <c r="O838" s="849"/>
      <c r="P838" s="849"/>
      <c r="Q838" s="849"/>
      <c r="R838" s="849"/>
      <c r="S838" s="849"/>
      <c r="T838" s="849"/>
      <c r="U838" s="849"/>
      <c r="V838" s="849"/>
      <c r="W838" s="849"/>
      <c r="X838" s="850"/>
      <c r="Y838" s="849"/>
      <c r="Z838" s="849"/>
      <c r="AA838" s="849"/>
      <c r="AB838" s="849"/>
      <c r="AC838" s="850"/>
      <c r="AD838" s="849"/>
      <c r="AE838" s="849"/>
      <c r="AF838" s="849"/>
      <c r="AG838" s="849"/>
      <c r="AH838" s="850"/>
      <c r="AI838" s="849"/>
      <c r="AJ838" s="849"/>
      <c r="AK838" s="849"/>
      <c r="AL838" s="849"/>
      <c r="AM838" s="850"/>
      <c r="AN838" s="849"/>
      <c r="AO838" s="849"/>
      <c r="AP838" s="849"/>
      <c r="AQ838" s="849"/>
      <c r="AR838" s="850"/>
      <c r="AS838" s="849">
        <v>0</v>
      </c>
      <c r="AT838" s="849">
        <v>0</v>
      </c>
      <c r="AU838" s="849">
        <v>0</v>
      </c>
      <c r="AV838" s="849">
        <v>10</v>
      </c>
      <c r="AW838" s="850">
        <f>+SUM(AS838:AV838)</f>
      </c>
      <c r="AX838" s="849">
        <v>15</v>
      </c>
      <c r="AY838" s="849">
        <v>20</v>
      </c>
      <c r="AZ838" s="849">
        <v>25</v>
      </c>
      <c r="BA838" s="849">
        <v>30</v>
      </c>
      <c r="BB838" s="850">
        <f>SUM(AX838:BA838)</f>
      </c>
      <c r="BC838" s="849"/>
      <c r="BD838" s="849"/>
      <c r="BE838" s="849"/>
      <c r="BF838" s="849"/>
      <c r="BG838" s="850"/>
      <c r="BH838" s="849"/>
      <c r="BI838" s="849"/>
      <c r="BJ838" s="849"/>
      <c r="BK838" s="849"/>
      <c r="BL838" s="850"/>
      <c r="BM838" s="849"/>
      <c r="BN838" s="849"/>
      <c r="BO838" s="849"/>
      <c r="BP838" s="849"/>
      <c r="BQ838" s="850"/>
      <c r="BR838" s="849"/>
      <c r="BS838" s="849"/>
      <c r="BT838" s="849"/>
      <c r="BU838" s="849"/>
      <c r="BV838" s="850"/>
      <c r="BW838" s="849"/>
      <c r="BX838" s="849"/>
      <c r="BY838" s="849"/>
      <c r="BZ838" s="849"/>
      <c r="CA838" s="850"/>
      <c r="CB838" s="849"/>
      <c r="CC838" s="849"/>
      <c r="CD838" s="849"/>
      <c r="CE838" s="849"/>
      <c r="CF838" s="850"/>
      <c r="CG838" s="849"/>
      <c r="CH838" s="849"/>
      <c r="CI838" s="849"/>
      <c r="CJ838" s="849"/>
      <c r="CK838" s="850"/>
      <c r="CL838" s="993"/>
      <c r="CM838" s="849"/>
      <c r="CN838" s="849"/>
      <c r="CO838" s="849"/>
      <c r="CP838" s="850"/>
      <c r="CQ838" s="849"/>
      <c r="CR838" s="849"/>
      <c r="CS838" s="849"/>
      <c r="CT838" s="985"/>
      <c r="CU838" s="985"/>
      <c r="CV838" s="849"/>
      <c r="CW838" s="849"/>
      <c r="CX838" s="849"/>
      <c r="CY838" s="985"/>
      <c r="CZ838" s="850"/>
      <c r="DA838" s="849"/>
      <c r="DB838" s="849"/>
      <c r="DC838" s="849"/>
      <c r="DD838" s="985"/>
      <c r="DE838" s="1889"/>
      <c r="DF838" s="1890"/>
      <c r="DG838" s="1890"/>
      <c r="DH838" s="1890"/>
      <c r="DI838" s="1891"/>
      <c r="DJ838" s="1889"/>
      <c r="DK838" s="1889"/>
      <c r="DL838" s="1889"/>
      <c r="DM838" s="1889"/>
      <c r="DN838" s="1889"/>
      <c r="DO838" s="1889"/>
      <c r="DP838" s="1889"/>
      <c r="DQ838" s="1889"/>
      <c r="DR838" s="1889"/>
      <c r="DS838" s="1889"/>
      <c r="DT838" s="1889"/>
      <c r="DU838" s="1889"/>
      <c r="DV838" s="1889"/>
      <c r="DW838" s="1889"/>
      <c r="DX838" s="1889"/>
      <c r="DY838" s="1889"/>
      <c r="DZ838" s="1889"/>
      <c r="EA838" s="1889"/>
      <c r="EB838" s="1889"/>
      <c r="EC838" s="1889"/>
      <c r="ED838" s="1889"/>
      <c r="EE838" s="3550"/>
      <c r="EF838" s="1889"/>
      <c r="EG838" s="1889"/>
      <c r="EH838" s="1889"/>
      <c r="EI838" s="1889"/>
      <c r="EJ838" s="1890"/>
      <c r="EK838" s="1890"/>
      <c r="EL838" s="1890"/>
      <c r="EM838" s="1890"/>
      <c r="EN838" s="1890"/>
      <c r="EO838" s="1890"/>
      <c r="EP838" s="1890"/>
      <c r="EQ838" s="1890"/>
      <c r="ER838" s="1890"/>
      <c r="ES838" s="1890"/>
      <c r="ET838" s="1891"/>
      <c r="EU838" s="1890"/>
      <c r="EV838" s="1890"/>
      <c r="EW838" s="1890"/>
      <c r="EX838" s="1890"/>
    </row>
    <row r="839" spans="2:154" outlineLevel="1">
      <c r="B839" s="865" t="s">
        <v>412</v>
      </c>
      <c r="C839" s="2016">
        <v>42948</v>
      </c>
      <c r="D839" s="849"/>
      <c r="E839" s="849"/>
      <c r="F839" s="849"/>
      <c r="G839" s="849"/>
      <c r="H839" s="849"/>
      <c r="I839" s="849"/>
      <c r="J839" s="849"/>
      <c r="K839" s="849"/>
      <c r="L839" s="849"/>
      <c r="M839" s="849"/>
      <c r="N839" s="849"/>
      <c r="O839" s="849"/>
      <c r="P839" s="849"/>
      <c r="Q839" s="849"/>
      <c r="R839" s="849"/>
      <c r="S839" s="849"/>
      <c r="T839" s="849"/>
      <c r="U839" s="849"/>
      <c r="V839" s="849"/>
      <c r="W839" s="849"/>
      <c r="X839" s="850"/>
      <c r="Y839" s="849"/>
      <c r="Z839" s="849"/>
      <c r="AA839" s="849"/>
      <c r="AB839" s="849"/>
      <c r="AC839" s="850"/>
      <c r="AD839" s="849"/>
      <c r="AE839" s="849"/>
      <c r="AF839" s="849"/>
      <c r="AG839" s="849"/>
      <c r="AH839" s="850"/>
      <c r="AI839" s="849"/>
      <c r="AJ839" s="849"/>
      <c r="AK839" s="849"/>
      <c r="AL839" s="849"/>
      <c r="AM839" s="850"/>
      <c r="AN839" s="849"/>
      <c r="AO839" s="849"/>
      <c r="AP839" s="849"/>
      <c r="AQ839" s="849"/>
      <c r="AR839" s="850"/>
      <c r="AS839" s="849">
        <v>0</v>
      </c>
      <c r="AT839" s="849">
        <v>0</v>
      </c>
      <c r="AU839" s="849">
        <v>0</v>
      </c>
      <c r="AV839" s="849">
        <v>0</v>
      </c>
      <c r="AW839" s="850">
        <f>+SUM(AS839:AV839)</f>
      </c>
      <c r="AX839" s="849">
        <v>0</v>
      </c>
      <c r="AY839" s="849">
        <v>0</v>
      </c>
      <c r="AZ839" s="849">
        <v>0</v>
      </c>
      <c r="BA839" s="849">
        <v>0</v>
      </c>
      <c r="BB839" s="850">
        <f>SUM(AX839:BA839)</f>
      </c>
      <c r="BC839" s="849"/>
      <c r="BD839" s="849"/>
      <c r="BE839" s="849"/>
      <c r="BF839" s="849"/>
      <c r="BG839" s="850"/>
      <c r="BH839" s="849"/>
      <c r="BI839" s="849"/>
      <c r="BJ839" s="849"/>
      <c r="BK839" s="849"/>
      <c r="BL839" s="850"/>
      <c r="BM839" s="849"/>
      <c r="BN839" s="849"/>
      <c r="BO839" s="849"/>
      <c r="BP839" s="849"/>
      <c r="BQ839" s="850"/>
      <c r="BR839" s="849"/>
      <c r="BS839" s="849"/>
      <c r="BT839" s="849"/>
      <c r="BU839" s="849"/>
      <c r="BV839" s="850"/>
      <c r="BW839" s="849"/>
      <c r="BX839" s="849"/>
      <c r="BY839" s="849"/>
      <c r="BZ839" s="849"/>
      <c r="CA839" s="850"/>
      <c r="CB839" s="849"/>
      <c r="CC839" s="849"/>
      <c r="CD839" s="849"/>
      <c r="CE839" s="849"/>
      <c r="CF839" s="850"/>
      <c r="CG839" s="849"/>
      <c r="CH839" s="849"/>
      <c r="CI839" s="849"/>
      <c r="CJ839" s="849"/>
      <c r="CK839" s="850"/>
      <c r="CL839" s="993"/>
      <c r="CM839" s="849"/>
      <c r="CN839" s="849"/>
      <c r="CO839" s="849"/>
      <c r="CP839" s="850"/>
      <c r="CQ839" s="849"/>
      <c r="CR839" s="849"/>
      <c r="CS839" s="849"/>
      <c r="CT839" s="985"/>
      <c r="CU839" s="985"/>
      <c r="CV839" s="849"/>
      <c r="CW839" s="849"/>
      <c r="CX839" s="849"/>
      <c r="CY839" s="985"/>
      <c r="CZ839" s="850"/>
      <c r="DA839" s="849"/>
      <c r="DB839" s="849"/>
      <c r="DC839" s="849"/>
      <c r="DD839" s="985"/>
      <c r="DE839" s="1889"/>
      <c r="DF839" s="1890"/>
      <c r="DG839" s="1890"/>
      <c r="DH839" s="1890"/>
      <c r="DI839" s="1891"/>
      <c r="DJ839" s="1889"/>
      <c r="DK839" s="1889"/>
      <c r="DL839" s="1889"/>
      <c r="DM839" s="1889"/>
      <c r="DN839" s="1889"/>
      <c r="DO839" s="1889"/>
      <c r="DP839" s="1889"/>
      <c r="DQ839" s="1889"/>
      <c r="DR839" s="1889"/>
      <c r="DS839" s="1889"/>
      <c r="DT839" s="1889"/>
      <c r="DU839" s="1889"/>
      <c r="DV839" s="1889"/>
      <c r="DW839" s="1889"/>
      <c r="DX839" s="1889"/>
      <c r="DY839" s="1889"/>
      <c r="DZ839" s="1889"/>
      <c r="EA839" s="1889"/>
      <c r="EB839" s="1889"/>
      <c r="EC839" s="1889"/>
      <c r="ED839" s="1889"/>
      <c r="EE839" s="3550"/>
      <c r="EF839" s="1889"/>
      <c r="EG839" s="1889"/>
      <c r="EH839" s="1889"/>
      <c r="EI839" s="1889"/>
      <c r="EJ839" s="1890"/>
      <c r="EK839" s="1890"/>
      <c r="EL839" s="1890"/>
      <c r="EM839" s="1890"/>
      <c r="EN839" s="1890"/>
      <c r="EO839" s="1890"/>
      <c r="EP839" s="1890"/>
      <c r="EQ839" s="1890"/>
      <c r="ER839" s="1890"/>
      <c r="ES839" s="1890"/>
      <c r="ET839" s="1891"/>
      <c r="EU839" s="1890"/>
      <c r="EV839" s="1890"/>
      <c r="EW839" s="1890"/>
      <c r="EX839" s="1890"/>
    </row>
    <row r="840" spans="2:154" outlineLevel="1">
      <c r="B840" s="865" t="s">
        <v>413</v>
      </c>
      <c r="C840" s="990"/>
      <c r="D840" s="849"/>
      <c r="E840" s="849"/>
      <c r="F840" s="849"/>
      <c r="G840" s="849"/>
      <c r="H840" s="849"/>
      <c r="I840" s="849"/>
      <c r="J840" s="849"/>
      <c r="K840" s="849"/>
      <c r="L840" s="849"/>
      <c r="M840" s="849"/>
      <c r="N840" s="849"/>
      <c r="O840" s="849"/>
      <c r="P840" s="849"/>
      <c r="Q840" s="849"/>
      <c r="R840" s="849"/>
      <c r="S840" s="849"/>
      <c r="T840" s="849"/>
      <c r="U840" s="849"/>
      <c r="V840" s="849"/>
      <c r="W840" s="849"/>
      <c r="X840" s="850"/>
      <c r="Y840" s="849"/>
      <c r="Z840" s="849"/>
      <c r="AA840" s="849"/>
      <c r="AB840" s="849"/>
      <c r="AC840" s="850"/>
      <c r="AD840" s="849"/>
      <c r="AE840" s="849"/>
      <c r="AF840" s="849"/>
      <c r="AG840" s="849"/>
      <c r="AH840" s="850"/>
      <c r="AI840" s="849"/>
      <c r="AJ840" s="849"/>
      <c r="AK840" s="849"/>
      <c r="AL840" s="849"/>
      <c r="AM840" s="850"/>
      <c r="AN840" s="849"/>
      <c r="AO840" s="849"/>
      <c r="AP840" s="849"/>
      <c r="AQ840" s="849"/>
      <c r="AR840" s="850"/>
      <c r="AS840" s="849">
        <f t="shared" ref="AS840:BA840" si="1915">SUM(AS838:AS839)</f>
      </c>
      <c r="AT840" s="849">
        <f t="shared" si="1915"/>
      </c>
      <c r="AU840" s="849">
        <f t="shared" si="1915"/>
      </c>
      <c r="AV840" s="849">
        <f t="shared" si="1915"/>
      </c>
      <c r="AW840" s="850">
        <f t="shared" si="1915"/>
      </c>
      <c r="AX840" s="849">
        <f t="shared" si="1915"/>
      </c>
      <c r="AY840" s="849">
        <f t="shared" si="1915"/>
      </c>
      <c r="AZ840" s="849">
        <f t="shared" si="1915"/>
      </c>
      <c r="BA840" s="849">
        <f t="shared" si="1915"/>
      </c>
      <c r="BB840" s="850">
        <f>+BB838+BB839</f>
      </c>
      <c r="BC840" s="849"/>
      <c r="BD840" s="849"/>
      <c r="BE840" s="849"/>
      <c r="BF840" s="849"/>
      <c r="BG840" s="850"/>
      <c r="BH840" s="849"/>
      <c r="BI840" s="849"/>
      <c r="BJ840" s="849"/>
      <c r="BK840" s="849"/>
      <c r="BL840" s="850"/>
      <c r="BM840" s="849"/>
      <c r="BN840" s="849"/>
      <c r="BO840" s="849"/>
      <c r="BP840" s="849"/>
      <c r="BQ840" s="850"/>
      <c r="BR840" s="849"/>
      <c r="BS840" s="849"/>
      <c r="BT840" s="849"/>
      <c r="BU840" s="849"/>
      <c r="BV840" s="850"/>
      <c r="BW840" s="849"/>
      <c r="BX840" s="849"/>
      <c r="BY840" s="849"/>
      <c r="BZ840" s="849"/>
      <c r="CA840" s="850"/>
      <c r="CB840" s="849"/>
      <c r="CC840" s="849"/>
      <c r="CD840" s="849"/>
      <c r="CE840" s="849"/>
      <c r="CF840" s="850"/>
      <c r="CG840" s="849"/>
      <c r="CH840" s="849"/>
      <c r="CI840" s="849"/>
      <c r="CJ840" s="849"/>
      <c r="CK840" s="850"/>
      <c r="CL840" s="993"/>
      <c r="CM840" s="849"/>
      <c r="CN840" s="849"/>
      <c r="CO840" s="849"/>
      <c r="CP840" s="850"/>
      <c r="CQ840" s="849"/>
      <c r="CR840" s="849"/>
      <c r="CS840" s="849"/>
      <c r="CT840" s="985"/>
      <c r="CU840" s="985"/>
      <c r="CV840" s="849"/>
      <c r="CW840" s="849"/>
      <c r="CX840" s="849"/>
      <c r="CY840" s="985"/>
      <c r="CZ840" s="850"/>
      <c r="DA840" s="849"/>
      <c r="DB840" s="849"/>
      <c r="DC840" s="849"/>
      <c r="DD840" s="985"/>
      <c r="DE840" s="1889"/>
      <c r="DF840" s="1890"/>
      <c r="DG840" s="1890"/>
      <c r="DH840" s="1890"/>
      <c r="DI840" s="1891"/>
      <c r="DJ840" s="1889"/>
      <c r="DK840" s="1889"/>
      <c r="DL840" s="1889"/>
      <c r="DM840" s="1889"/>
      <c r="DN840" s="1889"/>
      <c r="DO840" s="1889"/>
      <c r="DP840" s="1889"/>
      <c r="DQ840" s="1889"/>
      <c r="DR840" s="1889"/>
      <c r="DS840" s="1889"/>
      <c r="DT840" s="1889"/>
      <c r="DU840" s="1889"/>
      <c r="DV840" s="1889"/>
      <c r="DW840" s="1889"/>
      <c r="DX840" s="1889"/>
      <c r="DY840" s="1889"/>
      <c r="DZ840" s="1889"/>
      <c r="EA840" s="1889"/>
      <c r="EB840" s="1889"/>
      <c r="EC840" s="1889"/>
      <c r="ED840" s="1889"/>
      <c r="EE840" s="3550"/>
      <c r="EF840" s="1889"/>
      <c r="EG840" s="1889"/>
      <c r="EH840" s="1889"/>
      <c r="EI840" s="1889"/>
      <c r="EJ840" s="1890"/>
      <c r="EK840" s="1890"/>
      <c r="EL840" s="1890"/>
      <c r="EM840" s="1890"/>
      <c r="EN840" s="1890"/>
      <c r="EO840" s="1890"/>
      <c r="EP840" s="1890"/>
      <c r="EQ840" s="1890"/>
      <c r="ER840" s="1890"/>
      <c r="ES840" s="1890"/>
      <c r="ET840" s="1891"/>
      <c r="EU840" s="1890"/>
      <c r="EV840" s="1890"/>
      <c r="EW840" s="1890"/>
      <c r="EX840" s="1890"/>
    </row>
    <row r="841" spans="2:154" outlineLevel="1">
      <c r="B841" s="865"/>
      <c r="C841" s="990"/>
      <c r="D841" s="849"/>
      <c r="E841" s="849"/>
      <c r="F841" s="849"/>
      <c r="G841" s="849"/>
      <c r="H841" s="849"/>
      <c r="I841" s="849"/>
      <c r="J841" s="849"/>
      <c r="K841" s="849"/>
      <c r="L841" s="849"/>
      <c r="M841" s="849"/>
      <c r="N841" s="849"/>
      <c r="O841" s="849"/>
      <c r="P841" s="849"/>
      <c r="Q841" s="849"/>
      <c r="R841" s="849"/>
      <c r="S841" s="849"/>
      <c r="T841" s="849"/>
      <c r="U841" s="849"/>
      <c r="V841" s="849"/>
      <c r="W841" s="849"/>
      <c r="X841" s="850"/>
      <c r="Y841" s="849"/>
      <c r="Z841" s="849"/>
      <c r="AA841" s="849"/>
      <c r="AB841" s="849"/>
      <c r="AC841" s="850"/>
      <c r="AD841" s="849"/>
      <c r="AE841" s="849"/>
      <c r="AF841" s="849"/>
      <c r="AG841" s="849"/>
      <c r="AH841" s="850"/>
      <c r="AI841" s="849"/>
      <c r="AJ841" s="849"/>
      <c r="AK841" s="849"/>
      <c r="AL841" s="849"/>
      <c r="AM841" s="850"/>
      <c r="AN841" s="849"/>
      <c r="AO841" s="849"/>
      <c r="AP841" s="849"/>
      <c r="AQ841" s="849"/>
      <c r="AR841" s="850"/>
      <c r="AS841" s="849"/>
      <c r="AT841" s="849"/>
      <c r="AU841" s="849"/>
      <c r="AV841" s="849"/>
      <c r="AW841" s="850"/>
      <c r="AX841" s="849"/>
      <c r="AY841" s="849"/>
      <c r="AZ841" s="849"/>
      <c r="BA841" s="849"/>
      <c r="BB841" s="850"/>
      <c r="BC841" s="849"/>
      <c r="BD841" s="849"/>
      <c r="BE841" s="849"/>
      <c r="BF841" s="849"/>
      <c r="BG841" s="850"/>
      <c r="BH841" s="849"/>
      <c r="BI841" s="849"/>
      <c r="BJ841" s="849"/>
      <c r="BK841" s="849"/>
      <c r="BL841" s="850"/>
      <c r="BM841" s="849"/>
      <c r="BN841" s="849"/>
      <c r="BO841" s="849"/>
      <c r="BP841" s="849"/>
      <c r="BQ841" s="850"/>
      <c r="BR841" s="849"/>
      <c r="BS841" s="849"/>
      <c r="BT841" s="849"/>
      <c r="BU841" s="849"/>
      <c r="BV841" s="850"/>
      <c r="BW841" s="849"/>
      <c r="BX841" s="849"/>
      <c r="BY841" s="849"/>
      <c r="BZ841" s="849"/>
      <c r="CA841" s="850"/>
      <c r="CB841" s="849"/>
      <c r="CC841" s="849"/>
      <c r="CD841" s="849"/>
      <c r="CE841" s="849"/>
      <c r="CF841" s="850"/>
      <c r="CG841" s="849"/>
      <c r="CH841" s="849"/>
      <c r="CI841" s="849"/>
      <c r="CJ841" s="849"/>
      <c r="CK841" s="850"/>
      <c r="CL841" s="993"/>
      <c r="CM841" s="849"/>
      <c r="CN841" s="849"/>
      <c r="CO841" s="849"/>
      <c r="CP841" s="850"/>
      <c r="CQ841" s="849"/>
      <c r="CR841" s="849"/>
      <c r="CS841" s="849"/>
      <c r="CT841" s="985"/>
      <c r="CU841" s="985"/>
      <c r="CV841" s="849"/>
      <c r="CW841" s="849"/>
      <c r="CX841" s="849"/>
      <c r="CY841" s="985"/>
      <c r="CZ841" s="850"/>
      <c r="DA841" s="849"/>
      <c r="DB841" s="849"/>
      <c r="DC841" s="849"/>
      <c r="DD841" s="985"/>
      <c r="DE841" s="1889"/>
      <c r="DF841" s="1890"/>
      <c r="DG841" s="1890"/>
      <c r="DH841" s="1890"/>
      <c r="DI841" s="1891"/>
      <c r="DJ841" s="1889"/>
      <c r="DK841" s="1889"/>
      <c r="DL841" s="1889"/>
      <c r="DM841" s="1889"/>
      <c r="DN841" s="1889"/>
      <c r="DO841" s="1889"/>
      <c r="DP841" s="1889"/>
      <c r="DQ841" s="1889"/>
      <c r="DR841" s="1889"/>
      <c r="DS841" s="1889"/>
      <c r="DT841" s="1889"/>
      <c r="DU841" s="1889"/>
      <c r="DV841" s="1889"/>
      <c r="DW841" s="1889"/>
      <c r="DX841" s="1889"/>
      <c r="DY841" s="1889"/>
      <c r="DZ841" s="1889"/>
      <c r="EA841" s="1889"/>
      <c r="EB841" s="1889"/>
      <c r="EC841" s="1889"/>
      <c r="ED841" s="1889"/>
      <c r="EE841" s="3550"/>
      <c r="EF841" s="1889"/>
      <c r="EG841" s="1889"/>
      <c r="EH841" s="1889"/>
      <c r="EI841" s="1889"/>
      <c r="EJ841" s="1890"/>
      <c r="EK841" s="1890"/>
      <c r="EL841" s="1890"/>
      <c r="EM841" s="1890"/>
      <c r="EN841" s="1890"/>
      <c r="EO841" s="1890"/>
      <c r="EP841" s="1890"/>
      <c r="EQ841" s="1890"/>
      <c r="ER841" s="1890"/>
      <c r="ES841" s="1890"/>
      <c r="ET841" s="1891"/>
      <c r="EU841" s="1890"/>
      <c r="EV841" s="1890"/>
      <c r="EW841" s="1890"/>
      <c r="EX841" s="1890"/>
    </row>
    <row r="842" spans="2:154" outlineLevel="1">
      <c r="B842" s="867" t="s">
        <v>210</v>
      </c>
      <c r="C842" s="990"/>
      <c r="D842" s="849"/>
      <c r="E842" s="849"/>
      <c r="F842" s="849"/>
      <c r="G842" s="849"/>
      <c r="H842" s="849"/>
      <c r="I842" s="849"/>
      <c r="J842" s="849"/>
      <c r="K842" s="849"/>
      <c r="L842" s="849"/>
      <c r="M842" s="849"/>
      <c r="N842" s="849"/>
      <c r="O842" s="849"/>
      <c r="P842" s="849"/>
      <c r="Q842" s="849"/>
      <c r="R842" s="849"/>
      <c r="S842" s="849"/>
      <c r="T842" s="849"/>
      <c r="U842" s="849"/>
      <c r="V842" s="849"/>
      <c r="W842" s="849"/>
      <c r="X842" s="850"/>
      <c r="Y842" s="849"/>
      <c r="Z842" s="849"/>
      <c r="AA842" s="849"/>
      <c r="AB842" s="849"/>
      <c r="AC842" s="850"/>
      <c r="AD842" s="849"/>
      <c r="AE842" s="849"/>
      <c r="AF842" s="849"/>
      <c r="AG842" s="849"/>
      <c r="AH842" s="850"/>
      <c r="AI842" s="849"/>
      <c r="AJ842" s="849"/>
      <c r="AK842" s="849"/>
      <c r="AL842" s="849"/>
      <c r="AM842" s="850"/>
      <c r="AN842" s="849"/>
      <c r="AO842" s="849"/>
      <c r="AP842" s="849"/>
      <c r="AQ842" s="849"/>
      <c r="AR842" s="850"/>
      <c r="AS842" s="849"/>
      <c r="AT842" s="849"/>
      <c r="AU842" s="849"/>
      <c r="AV842" s="849"/>
      <c r="AW842" s="850"/>
      <c r="AX842" s="849"/>
      <c r="AY842" s="849"/>
      <c r="AZ842" s="849"/>
      <c r="BA842" s="849"/>
      <c r="BB842" s="850"/>
      <c r="BC842" s="849"/>
      <c r="BD842" s="849"/>
      <c r="BE842" s="849"/>
      <c r="BF842" s="849"/>
      <c r="BG842" s="850"/>
      <c r="BH842" s="849"/>
      <c r="BI842" s="849"/>
      <c r="BJ842" s="849"/>
      <c r="BK842" s="849"/>
      <c r="BL842" s="850"/>
      <c r="BM842" s="849"/>
      <c r="BN842" s="849"/>
      <c r="BO842" s="849"/>
      <c r="BP842" s="849"/>
      <c r="BQ842" s="850"/>
      <c r="BR842" s="849"/>
      <c r="BS842" s="849"/>
      <c r="BT842" s="849"/>
      <c r="BU842" s="849"/>
      <c r="BV842" s="850"/>
      <c r="BW842" s="849"/>
      <c r="BX842" s="849"/>
      <c r="BY842" s="849"/>
      <c r="BZ842" s="849"/>
      <c r="CA842" s="850"/>
      <c r="CB842" s="849"/>
      <c r="CC842" s="849"/>
      <c r="CD842" s="849"/>
      <c r="CE842" s="849"/>
      <c r="CF842" s="850"/>
      <c r="CG842" s="849"/>
      <c r="CH842" s="849"/>
      <c r="CI842" s="849"/>
      <c r="CJ842" s="849"/>
      <c r="CK842" s="850"/>
      <c r="CL842" s="993"/>
      <c r="CM842" s="849"/>
      <c r="CN842" s="849"/>
      <c r="CO842" s="849"/>
      <c r="CP842" s="850"/>
      <c r="CQ842" s="849"/>
      <c r="CR842" s="849"/>
      <c r="CS842" s="849"/>
      <c r="CT842" s="985"/>
      <c r="CU842" s="985"/>
      <c r="CV842" s="849"/>
      <c r="CW842" s="849"/>
      <c r="CX842" s="849"/>
      <c r="CY842" s="985"/>
      <c r="CZ842" s="850"/>
      <c r="DA842" s="849"/>
      <c r="DB842" s="849"/>
      <c r="DC842" s="849"/>
      <c r="DD842" s="985"/>
      <c r="DE842" s="1889"/>
      <c r="DF842" s="1890"/>
      <c r="DG842" s="1890"/>
      <c r="DH842" s="1890"/>
      <c r="DI842" s="1891"/>
      <c r="DJ842" s="1889"/>
      <c r="DK842" s="1889"/>
      <c r="DL842" s="1889"/>
      <c r="DM842" s="1889"/>
      <c r="DN842" s="1889"/>
      <c r="DO842" s="1889"/>
      <c r="DP842" s="1889"/>
      <c r="DQ842" s="1889"/>
      <c r="DR842" s="1889"/>
      <c r="DS842" s="1889"/>
      <c r="DT842" s="1889"/>
      <c r="DU842" s="1889"/>
      <c r="DV842" s="1889"/>
      <c r="DW842" s="1889"/>
      <c r="DX842" s="1889"/>
      <c r="DY842" s="1889"/>
      <c r="DZ842" s="1889"/>
      <c r="EA842" s="1889"/>
      <c r="EB842" s="1889"/>
      <c r="EC842" s="1889"/>
      <c r="ED842" s="1889"/>
      <c r="EE842" s="3550"/>
      <c r="EF842" s="1889"/>
      <c r="EG842" s="1889"/>
      <c r="EH842" s="1889"/>
      <c r="EI842" s="1889"/>
      <c r="EJ842" s="1890"/>
      <c r="EK842" s="1890"/>
      <c r="EL842" s="1890"/>
      <c r="EM842" s="1890"/>
      <c r="EN842" s="1890"/>
      <c r="EO842" s="1890"/>
      <c r="EP842" s="1890"/>
      <c r="EQ842" s="1890"/>
      <c r="ER842" s="1890"/>
      <c r="ES842" s="1890"/>
      <c r="ET842" s="1891"/>
      <c r="EU842" s="1890"/>
      <c r="EV842" s="1890"/>
      <c r="EW842" s="1890"/>
      <c r="EX842" s="1890"/>
    </row>
    <row r="843" spans="2:154" outlineLevel="1">
      <c r="B843" s="868" t="s">
        <v>187</v>
      </c>
      <c r="C843" s="990"/>
      <c r="D843" s="849"/>
      <c r="E843" s="849"/>
      <c r="F843" s="849"/>
      <c r="G843" s="849"/>
      <c r="H843" s="849"/>
      <c r="I843" s="849"/>
      <c r="J843" s="849"/>
      <c r="K843" s="849"/>
      <c r="L843" s="849"/>
      <c r="M843" s="849"/>
      <c r="N843" s="849"/>
      <c r="O843" s="849"/>
      <c r="P843" s="849"/>
      <c r="Q843" s="849"/>
      <c r="R843" s="849"/>
      <c r="S843" s="849"/>
      <c r="T843" s="849"/>
      <c r="U843" s="849"/>
      <c r="V843" s="849"/>
      <c r="W843" s="849"/>
      <c r="X843" s="857"/>
      <c r="Y843" s="856" t="str">
        <f t="shared" ref="Y843:AB844" si="1916">IF(T838="NM","NM",IF(Y838="NM","NM",IF(T838&lt;=0,"NM",IF(Y838=0,"NM",IF(ABS(Y838/T838-1)&gt;2.5,"NM",IF((ABS(Y838-T838)=ABS(ABS(Y838)-ABS(T838))),(Y838/T838-1),"NM"))))))</f>
      </c>
      <c r="Z843" s="856" t="str">
        <f t="shared" si="1916"/>
      </c>
      <c r="AA843" s="856" t="str">
        <f t="shared" si="1916"/>
      </c>
      <c r="AB843" s="856" t="str">
        <f t="shared" si="1916"/>
      </c>
      <c r="AC843" s="857"/>
      <c r="AD843" s="856" t="str">
        <f t="shared" ref="AD843:AG844" si="1917">IF(Y838="NM","NM",IF(AD838="NM","NM",IF(Y838&lt;=0,"NM",IF(AD838=0,"NM",IF(ABS(AD838/Y838-1)&gt;2.5,"NM",IF((ABS(AD838-Y838)=ABS(ABS(AD838)-ABS(Y838))),(AD838/Y838-1),"NM"))))))</f>
      </c>
      <c r="AE843" s="856" t="str">
        <f t="shared" si="1917"/>
      </c>
      <c r="AF843" s="856" t="str">
        <f t="shared" si="1917"/>
      </c>
      <c r="AG843" s="856" t="str">
        <f t="shared" si="1917"/>
      </c>
      <c r="AH843" s="857"/>
      <c r="AI843" s="856"/>
      <c r="AJ843" s="856"/>
      <c r="AK843" s="856"/>
      <c r="AL843" s="856"/>
      <c r="AM843" s="857"/>
      <c r="AN843" s="856"/>
      <c r="AO843" s="856"/>
      <c r="AP843" s="856"/>
      <c r="AQ843" s="856"/>
      <c r="AR843" s="857"/>
      <c r="AS843" s="856"/>
      <c r="AT843" s="856"/>
      <c r="AU843" s="856"/>
      <c r="AV843" s="856"/>
      <c r="AW843" s="857"/>
      <c r="AX843" s="856"/>
      <c r="AY843" s="856"/>
      <c r="AZ843" s="856"/>
      <c r="BA843" s="856">
        <f>IF(AV838="NM","NM",IF(BA838="NM","NM",IF(AV838&lt;=0,"NM",IF(BA838=0,"NM",IF(ABS(BA838/AV838-1)&gt;2.5,"NM",IF((ABS(BA838-AV838)=ABS(ABS(BA838)-ABS(AV838))),(BA838/AV838-1),"NM"))))))</f>
      </c>
      <c r="BB843" s="857" t="str">
        <f>IF(AW838="NM","NM",IF(BB838="NM","NM",IF(AW838&lt;=0,"NM",IF(BB838=0,"NM",IF(ABS(BB838/AW838-1)&gt;2.5,"NM",IF((ABS(BB838-AW838)=ABS(ABS(BB838)-ABS(AW838))),(BB838/AW838-1),"NM"))))))</f>
      </c>
      <c r="BC843" s="856"/>
      <c r="BD843" s="856"/>
      <c r="BE843" s="856"/>
      <c r="BF843" s="856"/>
      <c r="BG843" s="857"/>
      <c r="BH843" s="856"/>
      <c r="BI843" s="856"/>
      <c r="BJ843" s="856"/>
      <c r="BK843" s="856"/>
      <c r="BL843" s="857"/>
      <c r="BM843" s="856"/>
      <c r="BN843" s="856"/>
      <c r="BO843" s="856"/>
      <c r="BP843" s="856"/>
      <c r="BQ843" s="857"/>
      <c r="BR843" s="856"/>
      <c r="BS843" s="856"/>
      <c r="BT843" s="856"/>
      <c r="BU843" s="856"/>
      <c r="BV843" s="857"/>
      <c r="BW843" s="856"/>
      <c r="BX843" s="856"/>
      <c r="BY843" s="856"/>
      <c r="BZ843" s="856"/>
      <c r="CA843" s="857"/>
      <c r="CB843" s="856"/>
      <c r="CC843" s="856"/>
      <c r="CD843" s="856"/>
      <c r="CE843" s="856"/>
      <c r="CF843" s="857"/>
      <c r="CG843" s="856"/>
      <c r="CH843" s="856"/>
      <c r="CI843" s="856"/>
      <c r="CJ843" s="856"/>
      <c r="CK843" s="857"/>
      <c r="CL843" s="994"/>
      <c r="CM843" s="856"/>
      <c r="CN843" s="856"/>
      <c r="CO843" s="856"/>
      <c r="CP843" s="857"/>
      <c r="CQ843" s="856"/>
      <c r="CR843" s="856"/>
      <c r="CS843" s="856"/>
      <c r="CT843" s="988"/>
      <c r="CU843" s="988"/>
      <c r="CV843" s="856"/>
      <c r="CW843" s="856"/>
      <c r="CX843" s="856"/>
      <c r="CY843" s="988"/>
      <c r="CZ843" s="857"/>
      <c r="DA843" s="856"/>
      <c r="DB843" s="856"/>
      <c r="DC843" s="856"/>
      <c r="DD843" s="988"/>
      <c r="DE843" s="857"/>
      <c r="DF843" s="856"/>
      <c r="DG843" s="856"/>
      <c r="DH843" s="856"/>
      <c r="DI843" s="988"/>
      <c r="DJ843" s="857"/>
      <c r="DK843" s="857"/>
      <c r="DL843" s="857"/>
      <c r="DM843" s="857"/>
      <c r="DN843" s="857"/>
      <c r="DO843" s="857"/>
      <c r="DP843" s="857"/>
      <c r="DQ843" s="857"/>
      <c r="DR843" s="857"/>
      <c r="DS843" s="857"/>
      <c r="DT843" s="857"/>
      <c r="DU843" s="857"/>
      <c r="DV843" s="857"/>
      <c r="DW843" s="857"/>
      <c r="DX843" s="857"/>
      <c r="DY843" s="857"/>
      <c r="DZ843" s="857"/>
      <c r="EA843" s="857"/>
      <c r="EB843" s="857"/>
      <c r="EC843" s="857"/>
      <c r="ED843" s="857"/>
      <c r="EE843" s="994"/>
      <c r="EF843" s="857"/>
      <c r="EG843" s="857"/>
      <c r="EH843" s="857"/>
      <c r="EI843" s="857"/>
      <c r="EJ843" s="856"/>
      <c r="EK843" s="856"/>
      <c r="EL843" s="856"/>
      <c r="EM843" s="856"/>
      <c r="EN843" s="856"/>
      <c r="EO843" s="856"/>
      <c r="EP843" s="856"/>
      <c r="EQ843" s="856"/>
      <c r="ER843" s="856"/>
      <c r="ES843" s="856"/>
      <c r="ET843" s="988"/>
      <c r="EU843" s="856"/>
      <c r="EV843" s="856"/>
      <c r="EW843" s="856"/>
      <c r="EX843" s="856"/>
    </row>
    <row r="844" spans="2:154" outlineLevel="1">
      <c r="B844" s="868" t="s">
        <v>412</v>
      </c>
      <c r="C844" s="990"/>
      <c r="D844" s="849"/>
      <c r="E844" s="849"/>
      <c r="F844" s="849"/>
      <c r="G844" s="849"/>
      <c r="H844" s="849"/>
      <c r="I844" s="849"/>
      <c r="J844" s="849"/>
      <c r="K844" s="849"/>
      <c r="L844" s="849"/>
      <c r="M844" s="849"/>
      <c r="N844" s="849"/>
      <c r="O844" s="849"/>
      <c r="P844" s="849"/>
      <c r="Q844" s="849"/>
      <c r="R844" s="849"/>
      <c r="S844" s="849"/>
      <c r="T844" s="849"/>
      <c r="U844" s="849"/>
      <c r="V844" s="849"/>
      <c r="W844" s="849"/>
      <c r="X844" s="857"/>
      <c r="Y844" s="856" t="str">
        <f t="shared" si="1916"/>
      </c>
      <c r="Z844" s="856" t="str">
        <f t="shared" si="1916"/>
      </c>
      <c r="AA844" s="856" t="str">
        <f t="shared" si="1916"/>
      </c>
      <c r="AB844" s="856" t="str">
        <f t="shared" si="1916"/>
      </c>
      <c r="AC844" s="857"/>
      <c r="AD844" s="856" t="str">
        <f t="shared" si="1917"/>
      </c>
      <c r="AE844" s="856" t="str">
        <f t="shared" si="1917"/>
      </c>
      <c r="AF844" s="856" t="str">
        <f t="shared" si="1917"/>
      </c>
      <c r="AG844" s="856" t="str">
        <f t="shared" si="1917"/>
      </c>
      <c r="AH844" s="857"/>
      <c r="AI844" s="856"/>
      <c r="AJ844" s="856"/>
      <c r="AK844" s="856"/>
      <c r="AL844" s="856"/>
      <c r="AM844" s="857"/>
      <c r="AN844" s="856"/>
      <c r="AO844" s="856"/>
      <c r="AP844" s="856"/>
      <c r="AQ844" s="856"/>
      <c r="AR844" s="857"/>
      <c r="AS844" s="856"/>
      <c r="AT844" s="856"/>
      <c r="AU844" s="856"/>
      <c r="AV844" s="856"/>
      <c r="AW844" s="857"/>
      <c r="AX844" s="856"/>
      <c r="AY844" s="856"/>
      <c r="AZ844" s="856"/>
      <c r="BA844" s="856"/>
      <c r="BB844" s="857"/>
      <c r="BC844" s="856"/>
      <c r="BD844" s="856"/>
      <c r="BE844" s="856"/>
      <c r="BF844" s="856"/>
      <c r="BG844" s="857"/>
      <c r="BH844" s="856"/>
      <c r="BI844" s="856"/>
      <c r="BJ844" s="856"/>
      <c r="BK844" s="856"/>
      <c r="BL844" s="857"/>
      <c r="BM844" s="856"/>
      <c r="BN844" s="856"/>
      <c r="BO844" s="856"/>
      <c r="BP844" s="856"/>
      <c r="BQ844" s="857"/>
      <c r="BR844" s="856"/>
      <c r="BS844" s="856"/>
      <c r="BT844" s="856"/>
      <c r="BU844" s="856"/>
      <c r="BV844" s="857"/>
      <c r="BW844" s="856"/>
      <c r="BX844" s="856"/>
      <c r="BY844" s="856"/>
      <c r="BZ844" s="856"/>
      <c r="CA844" s="857"/>
      <c r="CB844" s="856"/>
      <c r="CC844" s="856"/>
      <c r="CD844" s="856"/>
      <c r="CE844" s="856"/>
      <c r="CF844" s="857"/>
      <c r="CG844" s="856"/>
      <c r="CH844" s="856"/>
      <c r="CI844" s="856"/>
      <c r="CJ844" s="856"/>
      <c r="CK844" s="857"/>
      <c r="CL844" s="994"/>
      <c r="CM844" s="856"/>
      <c r="CN844" s="856"/>
      <c r="CO844" s="856"/>
      <c r="CP844" s="857"/>
      <c r="CQ844" s="856"/>
      <c r="CR844" s="856"/>
      <c r="CS844" s="856"/>
      <c r="CT844" s="988"/>
      <c r="CU844" s="988"/>
      <c r="CV844" s="856"/>
      <c r="CW844" s="856"/>
      <c r="CX844" s="856"/>
      <c r="CY844" s="988"/>
      <c r="CZ844" s="857"/>
      <c r="DA844" s="856"/>
      <c r="DB844" s="856"/>
      <c r="DC844" s="856"/>
      <c r="DD844" s="988"/>
      <c r="DE844" s="857"/>
      <c r="DF844" s="856"/>
      <c r="DG844" s="856"/>
      <c r="DH844" s="856"/>
      <c r="DI844" s="988"/>
      <c r="DJ844" s="857"/>
      <c r="DK844" s="857"/>
      <c r="DL844" s="857"/>
      <c r="DM844" s="857"/>
      <c r="DN844" s="857"/>
      <c r="DO844" s="857"/>
      <c r="DP844" s="857"/>
      <c r="DQ844" s="857"/>
      <c r="DR844" s="857"/>
      <c r="DS844" s="857"/>
      <c r="DT844" s="857"/>
      <c r="DU844" s="857"/>
      <c r="DV844" s="857"/>
      <c r="DW844" s="857"/>
      <c r="DX844" s="857"/>
      <c r="DY844" s="857"/>
      <c r="DZ844" s="857"/>
      <c r="EA844" s="857"/>
      <c r="EB844" s="857"/>
      <c r="EC844" s="857"/>
      <c r="ED844" s="857"/>
      <c r="EE844" s="994"/>
      <c r="EF844" s="857"/>
      <c r="EG844" s="857"/>
      <c r="EH844" s="857"/>
      <c r="EI844" s="857"/>
      <c r="EJ844" s="856"/>
      <c r="EK844" s="856"/>
      <c r="EL844" s="856"/>
      <c r="EM844" s="856"/>
      <c r="EN844" s="856"/>
      <c r="EO844" s="856"/>
      <c r="EP844" s="856"/>
      <c r="EQ844" s="856"/>
      <c r="ER844" s="856"/>
      <c r="ES844" s="856"/>
      <c r="ET844" s="988"/>
      <c r="EU844" s="856"/>
      <c r="EV844" s="856"/>
      <c r="EW844" s="856"/>
      <c r="EX844" s="856"/>
    </row>
    <row r="845" spans="2:154" outlineLevel="1">
      <c r="B845" s="868" t="s">
        <v>256</v>
      </c>
      <c r="C845" s="990"/>
      <c r="D845" s="849"/>
      <c r="E845" s="849"/>
      <c r="F845" s="849"/>
      <c r="G845" s="849"/>
      <c r="H845" s="849"/>
      <c r="I845" s="849"/>
      <c r="J845" s="849"/>
      <c r="K845" s="849"/>
      <c r="L845" s="849"/>
      <c r="M845" s="849"/>
      <c r="N845" s="849"/>
      <c r="O845" s="849"/>
      <c r="P845" s="849"/>
      <c r="Q845" s="849"/>
      <c r="R845" s="849"/>
      <c r="S845" s="849"/>
      <c r="T845" s="849"/>
      <c r="U845" s="849"/>
      <c r="V845" s="849"/>
      <c r="W845" s="849"/>
      <c r="X845" s="862"/>
      <c r="Y845" s="860"/>
      <c r="Z845" s="860"/>
      <c r="AA845" s="860"/>
      <c r="AB845" s="860"/>
      <c r="AC845" s="862"/>
      <c r="AD845" s="860"/>
      <c r="AE845" s="860"/>
      <c r="AF845" s="860"/>
      <c r="AG845" s="860"/>
      <c r="AH845" s="862"/>
      <c r="AI845" s="863"/>
      <c r="AJ845" s="863"/>
      <c r="AK845" s="863"/>
      <c r="AL845" s="863"/>
      <c r="AM845" s="862"/>
      <c r="AN845" s="863"/>
      <c r="AO845" s="863"/>
      <c r="AP845" s="863"/>
      <c r="AQ845" s="863"/>
      <c r="AR845" s="862"/>
      <c r="AS845" s="863"/>
      <c r="AT845" s="863"/>
      <c r="AU845" s="863"/>
      <c r="AV845" s="863"/>
      <c r="AW845" s="862"/>
      <c r="AX845" s="863"/>
      <c r="AY845" s="863"/>
      <c r="AZ845" s="863"/>
      <c r="BA845" s="863"/>
      <c r="BB845" s="862"/>
      <c r="BC845" s="863"/>
      <c r="BD845" s="863"/>
      <c r="BE845" s="863"/>
      <c r="BF845" s="863"/>
      <c r="BG845" s="862"/>
      <c r="BH845" s="863"/>
      <c r="BI845" s="863"/>
      <c r="BJ845" s="863"/>
      <c r="BK845" s="863"/>
      <c r="BL845" s="862"/>
      <c r="BM845" s="863"/>
      <c r="BN845" s="863"/>
      <c r="BO845" s="863"/>
      <c r="BP845" s="863"/>
      <c r="BQ845" s="862"/>
      <c r="BR845" s="863"/>
      <c r="BS845" s="863"/>
      <c r="BT845" s="863"/>
      <c r="BU845" s="863"/>
      <c r="BV845" s="862"/>
      <c r="BW845" s="863"/>
      <c r="BX845" s="863"/>
      <c r="BY845" s="863"/>
      <c r="BZ845" s="863"/>
      <c r="CA845" s="862"/>
      <c r="CB845" s="863"/>
      <c r="CC845" s="863"/>
      <c r="CD845" s="863"/>
      <c r="CE845" s="863"/>
      <c r="CF845" s="862"/>
      <c r="CG845" s="863"/>
      <c r="CH845" s="863"/>
      <c r="CI845" s="863"/>
      <c r="CJ845" s="863"/>
      <c r="CK845" s="862"/>
      <c r="CL845" s="996"/>
      <c r="CM845" s="863"/>
      <c r="CN845" s="863"/>
      <c r="CO845" s="863"/>
      <c r="CP845" s="862"/>
      <c r="CQ845" s="863"/>
      <c r="CR845" s="863"/>
      <c r="CS845" s="863"/>
      <c r="CT845" s="989"/>
      <c r="CU845" s="989"/>
      <c r="CV845" s="863"/>
      <c r="CW845" s="863"/>
      <c r="CX845" s="863"/>
      <c r="CY845" s="989"/>
      <c r="CZ845" s="862"/>
      <c r="DA845" s="863"/>
      <c r="DB845" s="863"/>
      <c r="DC845" s="863"/>
      <c r="DD845" s="989"/>
      <c r="DE845" s="862"/>
      <c r="DF845" s="863"/>
      <c r="DG845" s="863"/>
      <c r="DH845" s="863"/>
      <c r="DI845" s="989"/>
      <c r="DJ845" s="862"/>
      <c r="DK845" s="862"/>
      <c r="DL845" s="862"/>
      <c r="DM845" s="862"/>
      <c r="DN845" s="862"/>
      <c r="DO845" s="862"/>
      <c r="DP845" s="862"/>
      <c r="DQ845" s="862"/>
      <c r="DR845" s="862"/>
      <c r="DS845" s="862"/>
      <c r="DT845" s="862"/>
      <c r="DU845" s="862"/>
      <c r="DV845" s="862"/>
      <c r="DW845" s="862"/>
      <c r="DX845" s="862"/>
      <c r="DY845" s="862"/>
      <c r="DZ845" s="862"/>
      <c r="EA845" s="862"/>
      <c r="EB845" s="862"/>
      <c r="EC845" s="862"/>
      <c r="ED845" s="862"/>
      <c r="EE845" s="996"/>
      <c r="EF845" s="862"/>
      <c r="EG845" s="862"/>
      <c r="EH845" s="862"/>
      <c r="EI845" s="862"/>
      <c r="EJ845" s="863"/>
      <c r="EK845" s="863"/>
      <c r="EL845" s="863"/>
      <c r="EM845" s="863"/>
      <c r="EN845" s="863"/>
      <c r="EO845" s="863"/>
      <c r="EP845" s="863"/>
      <c r="EQ845" s="863"/>
      <c r="ER845" s="863"/>
      <c r="ES845" s="863"/>
      <c r="ET845" s="989"/>
      <c r="EU845" s="863"/>
      <c r="EV845" s="863"/>
      <c r="EW845" s="863"/>
      <c r="EX845" s="863"/>
    </row>
    <row r="846" spans="2:154" outlineLevel="1">
      <c r="B846" s="868" t="s">
        <v>413</v>
      </c>
      <c r="C846" s="990"/>
      <c r="D846" s="849"/>
      <c r="E846" s="849"/>
      <c r="F846" s="849"/>
      <c r="G846" s="849"/>
      <c r="H846" s="849"/>
      <c r="I846" s="849"/>
      <c r="J846" s="849"/>
      <c r="K846" s="849"/>
      <c r="L846" s="849"/>
      <c r="M846" s="849"/>
      <c r="N846" s="849"/>
      <c r="O846" s="849"/>
      <c r="P846" s="849"/>
      <c r="Q846" s="849"/>
      <c r="R846" s="849"/>
      <c r="S846" s="849"/>
      <c r="T846" s="849"/>
      <c r="U846" s="849"/>
      <c r="V846" s="849"/>
      <c r="W846" s="849"/>
      <c r="X846" s="857"/>
      <c r="Y846" s="856" t="str">
        <f>IF(T840="NM","NM",IF(Y840="NM","NM",IF(T840&lt;=0,"NM",IF(Y840=0,"NM",IF(ABS(Y840/T840-1)&gt;2.5,"NM",IF((ABS(Y840-T840)=ABS(ABS(Y840)-ABS(T840))),(Y840/T840-1),"NM"))))))</f>
      </c>
      <c r="Z846" s="856" t="str">
        <f>IF(U840="NM","NM",IF(Z840="NM","NM",IF(U840&lt;=0,"NM",IF(Z840=0,"NM",IF(ABS(Z840/U840-1)&gt;2.5,"NM",IF((ABS(Z840-U840)=ABS(ABS(Z840)-ABS(U840))),(Z840/U840-1),"NM"))))))</f>
      </c>
      <c r="AA846" s="856" t="str">
        <f>IF(V840="NM","NM",IF(AA840="NM","NM",IF(V840&lt;=0,"NM",IF(AA840=0,"NM",IF(ABS(AA840/V840-1)&gt;2.5,"NM",IF((ABS(AA840-V840)=ABS(ABS(AA840)-ABS(V840))),(AA840/V840-1),"NM"))))))</f>
      </c>
      <c r="AB846" s="856" t="str">
        <f>IF(W840="NM","NM",IF(AB840="NM","NM",IF(W840&lt;=0,"NM",IF(AB840=0,"NM",IF(ABS(AB840/W840-1)&gt;2.5,"NM",IF((ABS(AB840-W840)=ABS(ABS(AB840)-ABS(W840))),(AB840/W840-1),"NM"))))))</f>
      </c>
      <c r="AC846" s="857"/>
      <c r="AD846" s="856" t="str">
        <f>IF(Y840="NM","NM",IF(AD840="NM","NM",IF(Y840&lt;=0,"NM",IF(AD840=0,"NM",IF(ABS(AD840/Y840-1)&gt;2.5,"NM",IF((ABS(AD840-Y840)=ABS(ABS(AD840)-ABS(Y840))),(AD840/Y840-1),"NM"))))))</f>
      </c>
      <c r="AE846" s="856" t="str">
        <f>IF(Z840="NM","NM",IF(AE840="NM","NM",IF(Z840&lt;=0,"NM",IF(AE840=0,"NM",IF(ABS(AE840/Z840-1)&gt;2.5,"NM",IF((ABS(AE840-Z840)=ABS(ABS(AE840)-ABS(Z840))),(AE840/Z840-1),"NM"))))))</f>
      </c>
      <c r="AF846" s="856" t="str">
        <f>IF(AA840="NM","NM",IF(AF840="NM","NM",IF(AA840&lt;=0,"NM",IF(AF840=0,"NM",IF(ABS(AF840/AA840-1)&gt;2.5,"NM",IF((ABS(AF840-AA840)=ABS(ABS(AF840)-ABS(AA840))),(AF840/AA840-1),"NM"))))))</f>
      </c>
      <c r="AG846" s="856" t="str">
        <f>IF(AB840="NM","NM",IF(AG840="NM","NM",IF(AB840&lt;=0,"NM",IF(AG840=0,"NM",IF(ABS(AG840/AB840-1)&gt;2.5,"NM",IF((ABS(AG840-AB840)=ABS(ABS(AG840)-ABS(AB840))),(AG840/AB840-1),"NM"))))))</f>
      </c>
      <c r="AH846" s="857"/>
      <c r="AI846" s="856"/>
      <c r="AJ846" s="856"/>
      <c r="AK846" s="856"/>
      <c r="AL846" s="856"/>
      <c r="AM846" s="857"/>
      <c r="AN846" s="856"/>
      <c r="AO846" s="856"/>
      <c r="AP846" s="856"/>
      <c r="AQ846" s="856"/>
      <c r="AR846" s="857"/>
      <c r="AS846" s="856"/>
      <c r="AT846" s="856"/>
      <c r="AU846" s="856"/>
      <c r="AV846" s="856"/>
      <c r="AW846" s="857"/>
      <c r="AX846" s="856"/>
      <c r="AY846" s="856"/>
      <c r="AZ846" s="856"/>
      <c r="BA846" s="856">
        <f>IF(AV840="NM","NM",IF(BA840="NM","NM",IF(AV840&lt;=0,"NM",IF(BA840=0,"NM",IF(ABS(BA840/AV840-1)&gt;2.5,"NM",IF((ABS(BA840-AV840)=ABS(ABS(BA840)-ABS(AV840))),(BA840/AV840-1),"NM"))))))</f>
      </c>
      <c r="BB846" s="857" t="str">
        <f>IF(AW840="NM","NM",IF(BB840="NM","NM",IF(AW840&lt;=0,"NM",IF(BB840=0,"NM",IF(ABS(BB840/AW840-1)&gt;2.5,"NM",IF((ABS(BB840-AW840)=ABS(ABS(BB840)-ABS(AW840))),(BB840/AW840-1),"NM"))))))</f>
      </c>
      <c r="BC846" s="856"/>
      <c r="BD846" s="856"/>
      <c r="BE846" s="856"/>
      <c r="BF846" s="856"/>
      <c r="BG846" s="857"/>
      <c r="BH846" s="856"/>
      <c r="BI846" s="856"/>
      <c r="BJ846" s="856"/>
      <c r="BK846" s="856"/>
      <c r="BL846" s="857"/>
      <c r="BM846" s="856"/>
      <c r="BN846" s="856"/>
      <c r="BO846" s="856"/>
      <c r="BP846" s="856"/>
      <c r="BQ846" s="857"/>
      <c r="BR846" s="856"/>
      <c r="BS846" s="856"/>
      <c r="BT846" s="856"/>
      <c r="BU846" s="856"/>
      <c r="BV846" s="857"/>
      <c r="BW846" s="856"/>
      <c r="BX846" s="856"/>
      <c r="BY846" s="856"/>
      <c r="BZ846" s="856"/>
      <c r="CA846" s="857"/>
      <c r="CB846" s="856"/>
      <c r="CC846" s="856"/>
      <c r="CD846" s="856"/>
      <c r="CE846" s="856"/>
      <c r="CF846" s="857"/>
      <c r="CG846" s="856"/>
      <c r="CH846" s="856"/>
      <c r="CI846" s="856"/>
      <c r="CJ846" s="856"/>
      <c r="CK846" s="857"/>
      <c r="CL846" s="994"/>
      <c r="CM846" s="856"/>
      <c r="CN846" s="856"/>
      <c r="CO846" s="856"/>
      <c r="CP846" s="857"/>
      <c r="CQ846" s="856"/>
      <c r="CR846" s="856"/>
      <c r="CS846" s="856"/>
      <c r="CT846" s="988"/>
      <c r="CU846" s="988"/>
      <c r="CV846" s="856"/>
      <c r="CW846" s="856"/>
      <c r="CX846" s="856"/>
      <c r="CY846" s="988"/>
      <c r="CZ846" s="857"/>
      <c r="DA846" s="856"/>
      <c r="DB846" s="856"/>
      <c r="DC846" s="856"/>
      <c r="DD846" s="988"/>
      <c r="DE846" s="857"/>
      <c r="DF846" s="856"/>
      <c r="DG846" s="856"/>
      <c r="DH846" s="856"/>
      <c r="DI846" s="988"/>
      <c r="DJ846" s="857"/>
      <c r="DK846" s="857"/>
      <c r="DL846" s="857"/>
      <c r="DM846" s="857"/>
      <c r="DN846" s="857"/>
      <c r="DO846" s="857"/>
      <c r="DP846" s="857"/>
      <c r="DQ846" s="857"/>
      <c r="DR846" s="857"/>
      <c r="DS846" s="857"/>
      <c r="DT846" s="857"/>
      <c r="DU846" s="857"/>
      <c r="DV846" s="857"/>
      <c r="DW846" s="857"/>
      <c r="DX846" s="857"/>
      <c r="DY846" s="857"/>
      <c r="DZ846" s="857"/>
      <c r="EA846" s="857"/>
      <c r="EB846" s="857"/>
      <c r="EC846" s="857"/>
      <c r="ED846" s="857"/>
      <c r="EE846" s="994"/>
      <c r="EF846" s="857"/>
      <c r="EG846" s="857"/>
      <c r="EH846" s="857"/>
      <c r="EI846" s="857"/>
      <c r="EJ846" s="856"/>
      <c r="EK846" s="856"/>
      <c r="EL846" s="856"/>
      <c r="EM846" s="856"/>
      <c r="EN846" s="856"/>
      <c r="EO846" s="856"/>
      <c r="EP846" s="856"/>
      <c r="EQ846" s="856"/>
      <c r="ER846" s="856"/>
      <c r="ES846" s="856"/>
      <c r="ET846" s="988"/>
      <c r="EU846" s="856"/>
      <c r="EV846" s="856"/>
      <c r="EW846" s="856"/>
      <c r="EX846" s="856"/>
    </row>
    <row r="847" spans="2:154" outlineLevel="1">
      <c r="B847" s="868"/>
      <c r="C847" s="990"/>
      <c r="D847" s="849"/>
      <c r="E847" s="849"/>
      <c r="F847" s="849"/>
      <c r="G847" s="849"/>
      <c r="H847" s="849"/>
      <c r="I847" s="849"/>
      <c r="J847" s="849"/>
      <c r="K847" s="849"/>
      <c r="L847" s="849"/>
      <c r="M847" s="849"/>
      <c r="N847" s="849"/>
      <c r="O847" s="849"/>
      <c r="P847" s="849"/>
      <c r="Q847" s="849"/>
      <c r="R847" s="849"/>
      <c r="S847" s="849"/>
      <c r="T847" s="849"/>
      <c r="U847" s="849"/>
      <c r="V847" s="849"/>
      <c r="W847" s="849"/>
      <c r="X847" s="857"/>
      <c r="Y847" s="856"/>
      <c r="Z847" s="856"/>
      <c r="AA847" s="856"/>
      <c r="AB847" s="856"/>
      <c r="AC847" s="857"/>
      <c r="AD847" s="856"/>
      <c r="AE847" s="856"/>
      <c r="AF847" s="856"/>
      <c r="AG847" s="856"/>
      <c r="AH847" s="857"/>
      <c r="AI847" s="856"/>
      <c r="AJ847" s="856"/>
      <c r="AK847" s="856"/>
      <c r="AL847" s="856"/>
      <c r="AM847" s="857"/>
      <c r="AN847" s="856"/>
      <c r="AO847" s="856"/>
      <c r="AP847" s="856"/>
      <c r="AQ847" s="856"/>
      <c r="AR847" s="857"/>
      <c r="AS847" s="856"/>
      <c r="AT847" s="856"/>
      <c r="AU847" s="856"/>
      <c r="AV847" s="856"/>
      <c r="AW847" s="857"/>
      <c r="AX847" s="856"/>
      <c r="AY847" s="856"/>
      <c r="AZ847" s="856"/>
      <c r="BA847" s="856"/>
      <c r="BB847" s="857"/>
      <c r="BC847" s="856"/>
      <c r="BD847" s="856"/>
      <c r="BE847" s="856"/>
      <c r="BF847" s="856"/>
      <c r="BG847" s="857"/>
      <c r="BH847" s="856"/>
      <c r="BI847" s="856"/>
      <c r="BJ847" s="856"/>
      <c r="BK847" s="856"/>
      <c r="BL847" s="857"/>
      <c r="BM847" s="856"/>
      <c r="BN847" s="856"/>
      <c r="BO847" s="856"/>
      <c r="BP847" s="856"/>
      <c r="BQ847" s="857"/>
      <c r="BR847" s="856"/>
      <c r="BS847" s="856"/>
      <c r="BT847" s="856"/>
      <c r="BU847" s="856"/>
      <c r="BV847" s="857"/>
      <c r="BW847" s="856"/>
      <c r="BX847" s="856"/>
      <c r="BY847" s="856"/>
      <c r="BZ847" s="856"/>
      <c r="CA847" s="857"/>
      <c r="CB847" s="856"/>
      <c r="CC847" s="856"/>
      <c r="CD847" s="856"/>
      <c r="CE847" s="856"/>
      <c r="CF847" s="857"/>
      <c r="CG847" s="856"/>
      <c r="CH847" s="856"/>
      <c r="CI847" s="856"/>
      <c r="CJ847" s="856"/>
      <c r="CK847" s="857"/>
      <c r="CL847" s="994"/>
      <c r="CM847" s="856"/>
      <c r="CN847" s="856"/>
      <c r="CO847" s="856"/>
      <c r="CP847" s="857"/>
      <c r="CQ847" s="856"/>
      <c r="CR847" s="856"/>
      <c r="CS847" s="856"/>
      <c r="CT847" s="988"/>
      <c r="CU847" s="988"/>
      <c r="CV847" s="856"/>
      <c r="CW847" s="856"/>
      <c r="CX847" s="856"/>
      <c r="CY847" s="988"/>
      <c r="CZ847" s="857"/>
      <c r="DA847" s="856"/>
      <c r="DB847" s="856"/>
      <c r="DC847" s="856"/>
      <c r="DD847" s="988"/>
      <c r="DE847" s="857"/>
      <c r="DF847" s="856"/>
      <c r="DG847" s="856"/>
      <c r="DH847" s="856"/>
      <c r="DI847" s="988"/>
      <c r="DJ847" s="857"/>
      <c r="DK847" s="857"/>
      <c r="DL847" s="857"/>
      <c r="DM847" s="857"/>
      <c r="DN847" s="857"/>
      <c r="DO847" s="857"/>
      <c r="DP847" s="857"/>
      <c r="DQ847" s="857"/>
      <c r="DR847" s="857"/>
      <c r="DS847" s="857"/>
      <c r="DT847" s="857"/>
      <c r="DU847" s="857"/>
      <c r="DV847" s="857"/>
      <c r="DW847" s="857"/>
      <c r="DX847" s="857"/>
      <c r="DY847" s="857"/>
      <c r="DZ847" s="857"/>
      <c r="EA847" s="857"/>
      <c r="EB847" s="857"/>
      <c r="EC847" s="857"/>
      <c r="ED847" s="857"/>
      <c r="EE847" s="994"/>
      <c r="EF847" s="857"/>
      <c r="EG847" s="857"/>
      <c r="EH847" s="857"/>
      <c r="EI847" s="857"/>
      <c r="EJ847" s="856"/>
      <c r="EK847" s="856"/>
      <c r="EL847" s="856"/>
      <c r="EM847" s="856"/>
      <c r="EN847" s="856"/>
      <c r="EO847" s="856"/>
      <c r="EP847" s="856"/>
      <c r="EQ847" s="856"/>
      <c r="ER847" s="856"/>
      <c r="ES847" s="856"/>
      <c r="ET847" s="988"/>
      <c r="EU847" s="856"/>
      <c r="EV847" s="856"/>
      <c r="EW847" s="856"/>
      <c r="EX847" s="856"/>
    </row>
    <row r="848" spans="2:154" outlineLevel="1">
      <c r="B848" s="866" t="s">
        <v>415</v>
      </c>
      <c r="C848" s="990"/>
      <c r="D848" s="849"/>
      <c r="E848" s="849"/>
      <c r="F848" s="849"/>
      <c r="G848" s="849"/>
      <c r="H848" s="849"/>
      <c r="I848" s="849"/>
      <c r="J848" s="849"/>
      <c r="K848" s="849"/>
      <c r="L848" s="849"/>
      <c r="M848" s="849"/>
      <c r="N848" s="849"/>
      <c r="O848" s="849"/>
      <c r="P848" s="849"/>
      <c r="Q848" s="849"/>
      <c r="R848" s="849"/>
      <c r="S848" s="849"/>
      <c r="T848" s="849"/>
      <c r="U848" s="849"/>
      <c r="V848" s="849"/>
      <c r="W848" s="849"/>
      <c r="X848" s="850"/>
      <c r="Y848" s="849"/>
      <c r="Z848" s="849"/>
      <c r="AA848" s="849"/>
      <c r="AB848" s="849"/>
      <c r="AC848" s="850"/>
      <c r="AD848" s="849"/>
      <c r="AE848" s="849"/>
      <c r="AF848" s="849"/>
      <c r="AG848" s="849"/>
      <c r="AH848" s="850"/>
      <c r="AI848" s="849"/>
      <c r="AJ848" s="849"/>
      <c r="AK848" s="869"/>
      <c r="AL848" s="849"/>
      <c r="AM848" s="850"/>
      <c r="AN848" s="849"/>
      <c r="AO848" s="849"/>
      <c r="AP848" s="849"/>
      <c r="AQ848" s="849"/>
      <c r="AR848" s="850"/>
      <c r="AS848" s="849"/>
      <c r="AT848" s="849"/>
      <c r="AU848" s="849"/>
      <c r="AV848" s="849"/>
      <c r="AW848" s="850"/>
      <c r="AX848" s="849"/>
      <c r="AY848" s="849"/>
      <c r="AZ848" s="849"/>
      <c r="BA848" s="849"/>
      <c r="BB848" s="850"/>
      <c r="BC848" s="849"/>
      <c r="BD848" s="849"/>
      <c r="BE848" s="849"/>
      <c r="BF848" s="849"/>
      <c r="BG848" s="850"/>
      <c r="BH848" s="849"/>
      <c r="BI848" s="849"/>
      <c r="BJ848" s="849"/>
      <c r="BK848" s="849"/>
      <c r="BL848" s="850"/>
      <c r="BM848" s="849"/>
      <c r="BN848" s="849"/>
      <c r="BO848" s="849"/>
      <c r="BP848" s="849"/>
      <c r="BQ848" s="850"/>
      <c r="BR848" s="849"/>
      <c r="BS848" s="849"/>
      <c r="BT848" s="849"/>
      <c r="BU848" s="849"/>
      <c r="BV848" s="850"/>
      <c r="BW848" s="849"/>
      <c r="BX848" s="849"/>
      <c r="BY848" s="849"/>
      <c r="BZ848" s="849"/>
      <c r="CA848" s="850"/>
      <c r="CB848" s="849"/>
      <c r="CC848" s="849"/>
      <c r="CD848" s="849"/>
      <c r="CE848" s="849"/>
      <c r="CF848" s="850"/>
      <c r="CG848" s="849"/>
      <c r="CH848" s="849"/>
      <c r="CI848" s="849"/>
      <c r="CJ848" s="849"/>
      <c r="CK848" s="850"/>
      <c r="CL848" s="993"/>
      <c r="CM848" s="849"/>
      <c r="CN848" s="849"/>
      <c r="CO848" s="849"/>
      <c r="CP848" s="850"/>
      <c r="CQ848" s="849"/>
      <c r="CR848" s="849"/>
      <c r="CS848" s="849"/>
      <c r="CT848" s="985"/>
      <c r="CU848" s="985"/>
      <c r="CV848" s="849"/>
      <c r="CW848" s="849"/>
      <c r="CX848" s="849"/>
      <c r="CY848" s="985"/>
      <c r="CZ848" s="850"/>
      <c r="DA848" s="849"/>
      <c r="DB848" s="849"/>
      <c r="DC848" s="849"/>
      <c r="DD848" s="985"/>
      <c r="DE848" s="1889"/>
      <c r="DF848" s="1890"/>
      <c r="DG848" s="1890"/>
      <c r="DH848" s="1890"/>
      <c r="DI848" s="1891"/>
      <c r="DJ848" s="1889"/>
      <c r="DK848" s="1889"/>
      <c r="DL848" s="1889"/>
      <c r="DM848" s="1889"/>
      <c r="DN848" s="1889"/>
      <c r="DO848" s="1889"/>
      <c r="DP848" s="1889"/>
      <c r="DQ848" s="1889"/>
      <c r="DR848" s="1889"/>
      <c r="DS848" s="1889"/>
      <c r="DT848" s="1889"/>
      <c r="DU848" s="1889"/>
      <c r="DV848" s="1889"/>
      <c r="DW848" s="1889"/>
      <c r="DX848" s="1889"/>
      <c r="DY848" s="1889"/>
      <c r="DZ848" s="1889"/>
      <c r="EA848" s="1889"/>
      <c r="EB848" s="1889"/>
      <c r="EC848" s="1889"/>
      <c r="ED848" s="1889"/>
      <c r="EE848" s="3550"/>
      <c r="EF848" s="1889"/>
      <c r="EG848" s="1889"/>
      <c r="EH848" s="1889"/>
      <c r="EI848" s="1889"/>
      <c r="EJ848" s="1890"/>
      <c r="EK848" s="1890"/>
      <c r="EL848" s="1890"/>
      <c r="EM848" s="1890"/>
      <c r="EN848" s="1890"/>
      <c r="EO848" s="1890"/>
      <c r="EP848" s="1890"/>
      <c r="EQ848" s="1890"/>
      <c r="ER848" s="1890"/>
      <c r="ES848" s="1890"/>
      <c r="ET848" s="1891"/>
      <c r="EU848" s="1890"/>
      <c r="EV848" s="1890"/>
      <c r="EW848" s="1890"/>
      <c r="EX848" s="1890"/>
    </row>
    <row r="849" spans="2:154" outlineLevel="1">
      <c r="B849" s="865" t="s">
        <v>187</v>
      </c>
      <c r="C849" s="2017">
        <v>41786</v>
      </c>
      <c r="D849" s="849">
        <f>+I849/(1+I854)</f>
      </c>
      <c r="E849" s="849">
        <v>58</v>
      </c>
      <c r="F849" s="849">
        <v>75</v>
      </c>
      <c r="G849" s="849">
        <v>67</v>
      </c>
      <c r="H849" s="849">
        <v>37</v>
      </c>
      <c r="I849" s="849">
        <f>+SUM(E849:H849)</f>
      </c>
      <c r="J849" s="849">
        <v>49</v>
      </c>
      <c r="K849" s="849">
        <v>65</v>
      </c>
      <c r="L849" s="849">
        <v>54</v>
      </c>
      <c r="M849" s="849">
        <v>31</v>
      </c>
      <c r="N849" s="849">
        <f>+SUM(J849:M849)</f>
      </c>
      <c r="O849" s="849">
        <v>43</v>
      </c>
      <c r="P849" s="849">
        <v>55</v>
      </c>
      <c r="Q849" s="849">
        <v>34</v>
      </c>
      <c r="R849" s="849">
        <v>36</v>
      </c>
      <c r="S849" s="849">
        <f>SUM(O849:R849)</f>
      </c>
      <c r="T849" s="849">
        <v>38</v>
      </c>
      <c r="U849" s="849">
        <v>36</v>
      </c>
      <c r="V849" s="849">
        <v>31</v>
      </c>
      <c r="W849" s="849">
        <v>28</v>
      </c>
      <c r="X849" s="850">
        <f>SUM(T849:W849)</f>
      </c>
      <c r="Y849" s="849">
        <v>30.3</v>
      </c>
      <c r="Z849" s="849">
        <v>34</v>
      </c>
      <c r="AA849" s="849">
        <v>35</v>
      </c>
      <c r="AB849" s="849">
        <v>31</v>
      </c>
      <c r="AC849" s="850">
        <f>SUM(Y849:AB849)</f>
      </c>
      <c r="AD849" s="849">
        <v>27.5</v>
      </c>
      <c r="AE849" s="849">
        <v>32.4</v>
      </c>
      <c r="AF849" s="849">
        <v>29</v>
      </c>
      <c r="AG849" s="849">
        <v>28</v>
      </c>
      <c r="AH849" s="850">
        <f>SUM(AD849:AG849)</f>
      </c>
      <c r="AI849" s="849">
        <v>20</v>
      </c>
      <c r="AJ849" s="849">
        <v>9</v>
      </c>
      <c r="AK849" s="849">
        <v>3</v>
      </c>
      <c r="AL849" s="849">
        <v>4</v>
      </c>
      <c r="AM849" s="850">
        <f>+SUM(AI849:AL849)</f>
      </c>
      <c r="AN849" s="849">
        <v>6</v>
      </c>
      <c r="AO849" s="849">
        <v>4</v>
      </c>
      <c r="AP849" s="849">
        <v>1.2</v>
      </c>
      <c r="AQ849" s="849">
        <v>15</v>
      </c>
      <c r="AR849" s="850">
        <f>+SUM(AN849:AQ849)</f>
      </c>
      <c r="AS849" s="849">
        <v>14</v>
      </c>
      <c r="AT849" s="849">
        <v>14</v>
      </c>
      <c r="AU849" s="849">
        <v>17</v>
      </c>
      <c r="AV849" s="849">
        <v>19.190000000000001</v>
      </c>
      <c r="AW849" s="850">
        <f>SUM(AS849:AV849)</f>
      </c>
      <c r="AX849" s="849">
        <v>17.5</v>
      </c>
      <c r="AY849" s="849">
        <v>18.2</v>
      </c>
      <c r="AZ849" s="849">
        <v>19.55</v>
      </c>
      <c r="BA849" s="849">
        <v>20.494199999999992</v>
      </c>
      <c r="BB849" s="850">
        <f>SUM(AX849:BA849)</f>
      </c>
      <c r="BC849" s="849"/>
      <c r="BD849" s="849"/>
      <c r="BE849" s="849"/>
      <c r="BF849" s="849"/>
      <c r="BG849" s="850"/>
      <c r="BH849" s="849"/>
      <c r="BI849" s="849"/>
      <c r="BJ849" s="849"/>
      <c r="BK849" s="849"/>
      <c r="BL849" s="850"/>
      <c r="BM849" s="849"/>
      <c r="BN849" s="849"/>
      <c r="BO849" s="849"/>
      <c r="BP849" s="849"/>
      <c r="BQ849" s="850"/>
      <c r="BR849" s="849"/>
      <c r="BS849" s="849"/>
      <c r="BT849" s="849"/>
      <c r="BU849" s="849"/>
      <c r="BV849" s="850"/>
      <c r="BW849" s="849"/>
      <c r="BX849" s="849"/>
      <c r="BY849" s="849"/>
      <c r="BZ849" s="849"/>
      <c r="CA849" s="850"/>
      <c r="CB849" s="849"/>
      <c r="CC849" s="849"/>
      <c r="CD849" s="849"/>
      <c r="CE849" s="849"/>
      <c r="CF849" s="850"/>
      <c r="CG849" s="849"/>
      <c r="CH849" s="849"/>
      <c r="CI849" s="849"/>
      <c r="CJ849" s="849"/>
      <c r="CK849" s="850"/>
      <c r="CL849" s="993"/>
      <c r="CM849" s="849"/>
      <c r="CN849" s="849"/>
      <c r="CO849" s="849"/>
      <c r="CP849" s="850"/>
      <c r="CQ849" s="849"/>
      <c r="CR849" s="849"/>
      <c r="CS849" s="849"/>
      <c r="CT849" s="985"/>
      <c r="CU849" s="985"/>
      <c r="CV849" s="849"/>
      <c r="CW849" s="849"/>
      <c r="CX849" s="849"/>
      <c r="CY849" s="985"/>
      <c r="CZ849" s="850"/>
      <c r="DA849" s="849"/>
      <c r="DB849" s="849"/>
      <c r="DC849" s="849"/>
      <c r="DD849" s="985"/>
      <c r="DE849" s="1889"/>
      <c r="DF849" s="1890"/>
      <c r="DG849" s="1890"/>
      <c r="DH849" s="1890"/>
      <c r="DI849" s="1891"/>
      <c r="DJ849" s="1889"/>
      <c r="DK849" s="1889"/>
      <c r="DL849" s="1889"/>
      <c r="DM849" s="1889"/>
      <c r="DN849" s="1889"/>
      <c r="DO849" s="1889"/>
      <c r="DP849" s="1889"/>
      <c r="DQ849" s="1889"/>
      <c r="DR849" s="1889"/>
      <c r="DS849" s="1889"/>
      <c r="DT849" s="1889"/>
      <c r="DU849" s="1889"/>
      <c r="DV849" s="1889"/>
      <c r="DW849" s="1889"/>
      <c r="DX849" s="1889"/>
      <c r="DY849" s="1889"/>
      <c r="DZ849" s="1889"/>
      <c r="EA849" s="1889"/>
      <c r="EB849" s="1889"/>
      <c r="EC849" s="1889"/>
      <c r="ED849" s="1889"/>
      <c r="EE849" s="3550"/>
      <c r="EF849" s="1889"/>
      <c r="EG849" s="1889"/>
      <c r="EH849" s="1889"/>
      <c r="EI849" s="1889"/>
      <c r="EJ849" s="1890"/>
      <c r="EK849" s="1890"/>
      <c r="EL849" s="1890"/>
      <c r="EM849" s="1890"/>
      <c r="EN849" s="1890"/>
      <c r="EO849" s="1890"/>
      <c r="EP849" s="1890"/>
      <c r="EQ849" s="1890"/>
      <c r="ER849" s="1890"/>
      <c r="ES849" s="1890"/>
      <c r="ET849" s="1891"/>
      <c r="EU849" s="1890"/>
      <c r="EV849" s="1890"/>
      <c r="EW849" s="1890"/>
      <c r="EX849" s="1890"/>
    </row>
    <row r="850" spans="2:154" outlineLevel="1">
      <c r="B850" s="865" t="s">
        <v>412</v>
      </c>
      <c r="C850" s="990">
        <v>2009</v>
      </c>
      <c r="D850" s="849">
        <f>+I850/(1+I855)</f>
      </c>
      <c r="E850" s="849">
        <v>73</v>
      </c>
      <c r="F850" s="849">
        <v>99.152542372881356</v>
      </c>
      <c r="G850" s="849">
        <v>96</v>
      </c>
      <c r="H850" s="849">
        <v>89</v>
      </c>
      <c r="I850" s="849">
        <f>+SUM(E850:H850)</f>
      </c>
      <c r="J850" s="849">
        <v>88</v>
      </c>
      <c r="K850" s="849">
        <v>117</v>
      </c>
      <c r="L850" s="849">
        <v>106</v>
      </c>
      <c r="M850" s="849">
        <v>95</v>
      </c>
      <c r="N850" s="849">
        <f>+SUM(J850:M850)</f>
      </c>
      <c r="O850" s="849">
        <v>110</v>
      </c>
      <c r="P850" s="849">
        <v>105</v>
      </c>
      <c r="Q850" s="849">
        <v>123</v>
      </c>
      <c r="R850" s="849">
        <v>97</v>
      </c>
      <c r="S850" s="849">
        <f>SUM(O850:R850)</f>
      </c>
      <c r="T850" s="849">
        <v>103</v>
      </c>
      <c r="U850" s="849">
        <v>123</v>
      </c>
      <c r="V850" s="849">
        <v>114</v>
      </c>
      <c r="W850" s="849">
        <v>95</v>
      </c>
      <c r="X850" s="850">
        <f>SUM(T850:W850)</f>
      </c>
      <c r="Y850" s="849">
        <v>85</v>
      </c>
      <c r="Z850" s="849">
        <v>126</v>
      </c>
      <c r="AA850" s="849">
        <v>116</v>
      </c>
      <c r="AB850" s="849">
        <v>110</v>
      </c>
      <c r="AC850" s="850">
        <f>SUM(Y850:AB850)</f>
      </c>
      <c r="AD850" s="849">
        <v>101</v>
      </c>
      <c r="AE850" s="849">
        <v>138</v>
      </c>
      <c r="AF850" s="849">
        <v>188</v>
      </c>
      <c r="AG850" s="849">
        <v>110</v>
      </c>
      <c r="AH850" s="850">
        <f>SUM(AD850:AG850)</f>
      </c>
      <c r="AI850" s="849">
        <v>118</v>
      </c>
      <c r="AJ850" s="849">
        <v>158</v>
      </c>
      <c r="AK850" s="849">
        <v>101</v>
      </c>
      <c r="AL850" s="849">
        <v>94</v>
      </c>
      <c r="AM850" s="850">
        <f>+SUM(AI850:AL850)</f>
      </c>
      <c r="AN850" s="849">
        <v>45</v>
      </c>
      <c r="AO850" s="849">
        <v>79</v>
      </c>
      <c r="AP850" s="849">
        <v>84</v>
      </c>
      <c r="AQ850" s="849">
        <v>75</v>
      </c>
      <c r="AR850" s="850">
        <f>+SUM(AN850:AQ850)</f>
      </c>
      <c r="AS850" s="849">
        <v>74</v>
      </c>
      <c r="AT850" s="849">
        <v>72.680000000000007</v>
      </c>
      <c r="AU850" s="849">
        <v>80</v>
      </c>
      <c r="AV850" s="849">
        <v>76.13</v>
      </c>
      <c r="AW850" s="850">
        <f>SUM(AS850:AV850)</f>
      </c>
      <c r="AX850" s="849">
        <v>77.7</v>
      </c>
      <c r="AY850" s="849">
        <v>76.314000000000007</v>
      </c>
      <c r="AZ850" s="849">
        <v>84</v>
      </c>
      <c r="BA850" s="849">
        <v>79.936500000000024</v>
      </c>
      <c r="BB850" s="850">
        <f>SUM(AX850:BA850)</f>
      </c>
      <c r="BC850" s="849"/>
      <c r="BD850" s="849"/>
      <c r="BE850" s="849"/>
      <c r="BF850" s="849"/>
      <c r="BG850" s="850"/>
      <c r="BH850" s="849"/>
      <c r="BI850" s="849"/>
      <c r="BJ850" s="849"/>
      <c r="BK850" s="849"/>
      <c r="BL850" s="850"/>
      <c r="BM850" s="849"/>
      <c r="BN850" s="849"/>
      <c r="BO850" s="849"/>
      <c r="BP850" s="849"/>
      <c r="BQ850" s="850"/>
      <c r="BR850" s="849"/>
      <c r="BS850" s="849"/>
      <c r="BT850" s="849"/>
      <c r="BU850" s="849"/>
      <c r="BV850" s="850"/>
      <c r="BW850" s="849"/>
      <c r="BX850" s="849"/>
      <c r="BY850" s="849"/>
      <c r="BZ850" s="849"/>
      <c r="CA850" s="850"/>
      <c r="CB850" s="849"/>
      <c r="CC850" s="849"/>
      <c r="CD850" s="849"/>
      <c r="CE850" s="849"/>
      <c r="CF850" s="850"/>
      <c r="CG850" s="849"/>
      <c r="CH850" s="849"/>
      <c r="CI850" s="849"/>
      <c r="CJ850" s="849"/>
      <c r="CK850" s="850"/>
      <c r="CL850" s="993"/>
      <c r="CM850" s="849"/>
      <c r="CN850" s="849"/>
      <c r="CO850" s="849"/>
      <c r="CP850" s="850"/>
      <c r="CQ850" s="849"/>
      <c r="CR850" s="849"/>
      <c r="CS850" s="849"/>
      <c r="CT850" s="985"/>
      <c r="CU850" s="985"/>
      <c r="CV850" s="849"/>
      <c r="CW850" s="849"/>
      <c r="CX850" s="849"/>
      <c r="CY850" s="985"/>
      <c r="CZ850" s="850"/>
      <c r="DA850" s="849"/>
      <c r="DB850" s="849"/>
      <c r="DC850" s="849"/>
      <c r="DD850" s="985"/>
      <c r="DE850" s="1889"/>
      <c r="DF850" s="1890"/>
      <c r="DG850" s="1890"/>
      <c r="DH850" s="1890"/>
      <c r="DI850" s="1891"/>
      <c r="DJ850" s="1889"/>
      <c r="DK850" s="1889"/>
      <c r="DL850" s="1889"/>
      <c r="DM850" s="1889"/>
      <c r="DN850" s="1889"/>
      <c r="DO850" s="1889"/>
      <c r="DP850" s="1889"/>
      <c r="DQ850" s="1889"/>
      <c r="DR850" s="1889"/>
      <c r="DS850" s="1889"/>
      <c r="DT850" s="1889"/>
      <c r="DU850" s="1889"/>
      <c r="DV850" s="1889"/>
      <c r="DW850" s="1889"/>
      <c r="DX850" s="1889"/>
      <c r="DY850" s="1889"/>
      <c r="DZ850" s="1889"/>
      <c r="EA850" s="1889"/>
      <c r="EB850" s="1889"/>
      <c r="EC850" s="1889"/>
      <c r="ED850" s="1889"/>
      <c r="EE850" s="3550"/>
      <c r="EF850" s="1889"/>
      <c r="EG850" s="1889"/>
      <c r="EH850" s="1889"/>
      <c r="EI850" s="1889"/>
      <c r="EJ850" s="1890"/>
      <c r="EK850" s="1890"/>
      <c r="EL850" s="1890"/>
      <c r="EM850" s="1890"/>
      <c r="EN850" s="1890"/>
      <c r="EO850" s="1890"/>
      <c r="EP850" s="1890"/>
      <c r="EQ850" s="1890"/>
      <c r="ER850" s="1890"/>
      <c r="ES850" s="1890"/>
      <c r="ET850" s="1891"/>
      <c r="EU850" s="1890"/>
      <c r="EV850" s="1890"/>
      <c r="EW850" s="1890"/>
      <c r="EX850" s="1890"/>
    </row>
    <row r="851" spans="2:154" outlineLevel="1">
      <c r="B851" s="865" t="s">
        <v>413</v>
      </c>
      <c r="C851" s="990"/>
      <c r="D851" s="849">
        <f t="shared" ref="D851:AV851" si="1918">+D849+D850</f>
      </c>
      <c r="E851" s="849">
        <f t="shared" si="1918"/>
      </c>
      <c r="F851" s="849">
        <f t="shared" si="1918"/>
      </c>
      <c r="G851" s="849">
        <f t="shared" si="1918"/>
      </c>
      <c r="H851" s="849">
        <f t="shared" si="1918"/>
      </c>
      <c r="I851" s="849">
        <f t="shared" si="1918"/>
      </c>
      <c r="J851" s="849">
        <f t="shared" si="1918"/>
      </c>
      <c r="K851" s="849">
        <f t="shared" si="1918"/>
      </c>
      <c r="L851" s="849">
        <f t="shared" si="1918"/>
      </c>
      <c r="M851" s="849">
        <f t="shared" si="1918"/>
      </c>
      <c r="N851" s="849">
        <f t="shared" si="1918"/>
      </c>
      <c r="O851" s="849">
        <f t="shared" si="1918"/>
      </c>
      <c r="P851" s="849">
        <f t="shared" si="1918"/>
      </c>
      <c r="Q851" s="849">
        <f t="shared" si="1918"/>
      </c>
      <c r="R851" s="849">
        <f t="shared" si="1918"/>
      </c>
      <c r="S851" s="849">
        <f t="shared" si="1918"/>
      </c>
      <c r="T851" s="849">
        <f t="shared" si="1918"/>
      </c>
      <c r="U851" s="849">
        <f t="shared" si="1918"/>
      </c>
      <c r="V851" s="849">
        <f t="shared" si="1918"/>
      </c>
      <c r="W851" s="849">
        <f t="shared" si="1918"/>
      </c>
      <c r="X851" s="850">
        <f t="shared" si="1918"/>
      </c>
      <c r="Y851" s="849">
        <f t="shared" si="1918"/>
      </c>
      <c r="Z851" s="849">
        <f t="shared" si="1918"/>
      </c>
      <c r="AA851" s="849">
        <f t="shared" si="1918"/>
      </c>
      <c r="AB851" s="849">
        <f t="shared" si="1918"/>
      </c>
      <c r="AC851" s="850">
        <f t="shared" si="1918"/>
      </c>
      <c r="AD851" s="849">
        <f t="shared" si="1918"/>
      </c>
      <c r="AE851" s="849">
        <f t="shared" si="1918"/>
      </c>
      <c r="AF851" s="849">
        <f t="shared" si="1918"/>
      </c>
      <c r="AG851" s="849">
        <f t="shared" si="1918"/>
      </c>
      <c r="AH851" s="850">
        <f t="shared" si="1918"/>
      </c>
      <c r="AI851" s="849">
        <f t="shared" si="1918"/>
      </c>
      <c r="AJ851" s="849">
        <f t="shared" si="1918"/>
      </c>
      <c r="AK851" s="849">
        <f t="shared" si="1918"/>
      </c>
      <c r="AL851" s="849">
        <f t="shared" si="1918"/>
      </c>
      <c r="AM851" s="850">
        <f t="shared" si="1918"/>
      </c>
      <c r="AN851" s="849">
        <f t="shared" si="1918"/>
      </c>
      <c r="AO851" s="849">
        <f t="shared" si="1918"/>
      </c>
      <c r="AP851" s="849">
        <f t="shared" si="1918"/>
      </c>
      <c r="AQ851" s="849">
        <f t="shared" si="1918"/>
      </c>
      <c r="AR851" s="850">
        <f t="shared" si="1918"/>
      </c>
      <c r="AS851" s="849">
        <f t="shared" si="1918"/>
      </c>
      <c r="AT851" s="849">
        <f t="shared" si="1918"/>
      </c>
      <c r="AU851" s="849">
        <f t="shared" si="1918"/>
      </c>
      <c r="AV851" s="849">
        <f t="shared" si="1918"/>
      </c>
      <c r="AW851" s="850">
        <f t="shared" ref="AW851:BB851" si="1919">+AW849+AW850</f>
      </c>
      <c r="AX851" s="849">
        <f t="shared" si="1919"/>
      </c>
      <c r="AY851" s="849">
        <f t="shared" si="1919"/>
      </c>
      <c r="AZ851" s="849">
        <f t="shared" si="1919"/>
      </c>
      <c r="BA851" s="849">
        <f t="shared" si="1919"/>
      </c>
      <c r="BB851" s="850">
        <f t="shared" si="1919"/>
      </c>
      <c r="BC851" s="849"/>
      <c r="BD851" s="849"/>
      <c r="BE851" s="849"/>
      <c r="BF851" s="849"/>
      <c r="BG851" s="850"/>
      <c r="BH851" s="849"/>
      <c r="BI851" s="849"/>
      <c r="BJ851" s="849"/>
      <c r="BK851" s="849"/>
      <c r="BL851" s="850"/>
      <c r="BM851" s="849"/>
      <c r="BN851" s="849"/>
      <c r="BO851" s="849"/>
      <c r="BP851" s="849"/>
      <c r="BQ851" s="850"/>
      <c r="BR851" s="849"/>
      <c r="BS851" s="849"/>
      <c r="BT851" s="849"/>
      <c r="BU851" s="849"/>
      <c r="BV851" s="850"/>
      <c r="BW851" s="849"/>
      <c r="BX851" s="849"/>
      <c r="BY851" s="849"/>
      <c r="BZ851" s="849"/>
      <c r="CA851" s="850"/>
      <c r="CB851" s="849"/>
      <c r="CC851" s="849"/>
      <c r="CD851" s="849"/>
      <c r="CE851" s="849"/>
      <c r="CF851" s="850"/>
      <c r="CG851" s="849"/>
      <c r="CH851" s="849"/>
      <c r="CI851" s="849"/>
      <c r="CJ851" s="849"/>
      <c r="CK851" s="850"/>
      <c r="CL851" s="993"/>
      <c r="CM851" s="849"/>
      <c r="CN851" s="849"/>
      <c r="CO851" s="849"/>
      <c r="CP851" s="850"/>
      <c r="CQ851" s="849"/>
      <c r="CR851" s="849"/>
      <c r="CS851" s="849"/>
      <c r="CT851" s="985"/>
      <c r="CU851" s="985"/>
      <c r="CV851" s="849"/>
      <c r="CW851" s="849"/>
      <c r="CX851" s="849"/>
      <c r="CY851" s="985"/>
      <c r="CZ851" s="850"/>
      <c r="DA851" s="849"/>
      <c r="DB851" s="849"/>
      <c r="DC851" s="849"/>
      <c r="DD851" s="985"/>
      <c r="DE851" s="1889"/>
      <c r="DF851" s="1890"/>
      <c r="DG851" s="1890"/>
      <c r="DH851" s="1890"/>
      <c r="DI851" s="1891"/>
      <c r="DJ851" s="1889"/>
      <c r="DK851" s="1889"/>
      <c r="DL851" s="1889"/>
      <c r="DM851" s="1889"/>
      <c r="DN851" s="1889"/>
      <c r="DO851" s="1889"/>
      <c r="DP851" s="1889"/>
      <c r="DQ851" s="1889"/>
      <c r="DR851" s="1889"/>
      <c r="DS851" s="1889"/>
      <c r="DT851" s="1889"/>
      <c r="DU851" s="1889"/>
      <c r="DV851" s="1889"/>
      <c r="DW851" s="1889"/>
      <c r="DX851" s="1889"/>
      <c r="DY851" s="1889"/>
      <c r="DZ851" s="1889"/>
      <c r="EA851" s="1889"/>
      <c r="EB851" s="1889"/>
      <c r="EC851" s="1889"/>
      <c r="ED851" s="1889"/>
      <c r="EE851" s="3550"/>
      <c r="EF851" s="1889"/>
      <c r="EG851" s="1889"/>
      <c r="EH851" s="1889"/>
      <c r="EI851" s="1889"/>
      <c r="EJ851" s="1890"/>
      <c r="EK851" s="1890"/>
      <c r="EL851" s="1890"/>
      <c r="EM851" s="1890"/>
      <c r="EN851" s="1890"/>
      <c r="EO851" s="1890"/>
      <c r="EP851" s="1890"/>
      <c r="EQ851" s="1890"/>
      <c r="ER851" s="1890"/>
      <c r="ES851" s="1890"/>
      <c r="ET851" s="1891"/>
      <c r="EU851" s="1890"/>
      <c r="EV851" s="1890"/>
      <c r="EW851" s="1890"/>
      <c r="EX851" s="1890"/>
    </row>
    <row r="852" spans="2:154" outlineLevel="1">
      <c r="B852" s="865"/>
      <c r="C852" s="990"/>
      <c r="D852" s="849"/>
      <c r="E852" s="849"/>
      <c r="F852" s="849"/>
      <c r="G852" s="849"/>
      <c r="H852" s="849"/>
      <c r="I852" s="849"/>
      <c r="J852" s="849"/>
      <c r="K852" s="849"/>
      <c r="L852" s="849"/>
      <c r="M852" s="849"/>
      <c r="N852" s="849"/>
      <c r="O852" s="849"/>
      <c r="P852" s="849"/>
      <c r="Q852" s="849"/>
      <c r="R852" s="849"/>
      <c r="S852" s="849"/>
      <c r="T852" s="849"/>
      <c r="U852" s="849"/>
      <c r="V852" s="849"/>
      <c r="W852" s="849"/>
      <c r="X852" s="850"/>
      <c r="Y852" s="849"/>
      <c r="Z852" s="849"/>
      <c r="AA852" s="849"/>
      <c r="AB852" s="849"/>
      <c r="AC852" s="850"/>
      <c r="AD852" s="849"/>
      <c r="AE852" s="849"/>
      <c r="AF852" s="849"/>
      <c r="AG852" s="849"/>
      <c r="AH852" s="850"/>
      <c r="AI852" s="849"/>
      <c r="AJ852" s="849"/>
      <c r="AK852" s="849"/>
      <c r="AL852" s="849"/>
      <c r="AM852" s="850"/>
      <c r="AN852" s="849"/>
      <c r="AO852" s="849"/>
      <c r="AP852" s="849"/>
      <c r="AQ852" s="849"/>
      <c r="AR852" s="850"/>
      <c r="AS852" s="849"/>
      <c r="AT852" s="849"/>
      <c r="AU852" s="849"/>
      <c r="AV852" s="849"/>
      <c r="AW852" s="850"/>
      <c r="AX852" s="849"/>
      <c r="AY852" s="849"/>
      <c r="AZ852" s="849"/>
      <c r="BA852" s="849"/>
      <c r="BB852" s="850"/>
      <c r="BC852" s="849"/>
      <c r="BD852" s="849"/>
      <c r="BE852" s="849"/>
      <c r="BF852" s="849"/>
      <c r="BG852" s="850"/>
      <c r="BH852" s="849"/>
      <c r="BI852" s="849"/>
      <c r="BJ852" s="849"/>
      <c r="BK852" s="849"/>
      <c r="BL852" s="850"/>
      <c r="BM852" s="849"/>
      <c r="BN852" s="849"/>
      <c r="BO852" s="849"/>
      <c r="BP852" s="849"/>
      <c r="BQ852" s="850"/>
      <c r="BR852" s="849"/>
      <c r="BS852" s="849"/>
      <c r="BT852" s="849"/>
      <c r="BU852" s="849"/>
      <c r="BV852" s="850"/>
      <c r="BW852" s="849"/>
      <c r="BX852" s="849"/>
      <c r="BY852" s="849"/>
      <c r="BZ852" s="849"/>
      <c r="CA852" s="850"/>
      <c r="CB852" s="849"/>
      <c r="CC852" s="849"/>
      <c r="CD852" s="849"/>
      <c r="CE852" s="849"/>
      <c r="CF852" s="850"/>
      <c r="CG852" s="849"/>
      <c r="CH852" s="849"/>
      <c r="CI852" s="849"/>
      <c r="CJ852" s="849"/>
      <c r="CK852" s="850"/>
      <c r="CL852" s="993"/>
      <c r="CM852" s="849"/>
      <c r="CN852" s="849"/>
      <c r="CO852" s="849"/>
      <c r="CP852" s="850"/>
      <c r="CQ852" s="849"/>
      <c r="CR852" s="849"/>
      <c r="CS852" s="849"/>
      <c r="CT852" s="985"/>
      <c r="CU852" s="985"/>
      <c r="CV852" s="849"/>
      <c r="CW852" s="849"/>
      <c r="CX852" s="849"/>
      <c r="CY852" s="985"/>
      <c r="CZ852" s="850"/>
      <c r="DA852" s="849"/>
      <c r="DB852" s="849"/>
      <c r="DC852" s="849"/>
      <c r="DD852" s="985"/>
      <c r="DE852" s="1889"/>
      <c r="DF852" s="1890"/>
      <c r="DG852" s="1890"/>
      <c r="DH852" s="1890"/>
      <c r="DI852" s="1891"/>
      <c r="DJ852" s="1889"/>
      <c r="DK852" s="1889"/>
      <c r="DL852" s="1889"/>
      <c r="DM852" s="1889"/>
      <c r="DN852" s="1889"/>
      <c r="DO852" s="1889"/>
      <c r="DP852" s="1889"/>
      <c r="DQ852" s="1889"/>
      <c r="DR852" s="1889"/>
      <c r="DS852" s="1889"/>
      <c r="DT852" s="1889"/>
      <c r="DU852" s="1889"/>
      <c r="DV852" s="1889"/>
      <c r="DW852" s="1889"/>
      <c r="DX852" s="1889"/>
      <c r="DY852" s="1889"/>
      <c r="DZ852" s="1889"/>
      <c r="EA852" s="1889"/>
      <c r="EB852" s="1889"/>
      <c r="EC852" s="1889"/>
      <c r="ED852" s="1889"/>
      <c r="EE852" s="3550"/>
      <c r="EF852" s="1889"/>
      <c r="EG852" s="1889"/>
      <c r="EH852" s="1889"/>
      <c r="EI852" s="1889"/>
      <c r="EJ852" s="1890"/>
      <c r="EK852" s="1890"/>
      <c r="EL852" s="1890"/>
      <c r="EM852" s="1890"/>
      <c r="EN852" s="1890"/>
      <c r="EO852" s="1890"/>
      <c r="EP852" s="1890"/>
      <c r="EQ852" s="1890"/>
      <c r="ER852" s="1890"/>
      <c r="ES852" s="1890"/>
      <c r="ET852" s="1891"/>
      <c r="EU852" s="1890"/>
      <c r="EV852" s="1890"/>
      <c r="EW852" s="1890"/>
      <c r="EX852" s="1890"/>
    </row>
    <row r="853" spans="2:154" outlineLevel="1">
      <c r="B853" s="867" t="s">
        <v>216</v>
      </c>
      <c r="C853" s="990"/>
      <c r="D853" s="849"/>
      <c r="E853" s="849"/>
      <c r="F853" s="849"/>
      <c r="G853" s="849"/>
      <c r="H853" s="849"/>
      <c r="I853" s="849"/>
      <c r="J853" s="849"/>
      <c r="K853" s="849"/>
      <c r="L853" s="849"/>
      <c r="M853" s="849"/>
      <c r="N853" s="849"/>
      <c r="O853" s="849"/>
      <c r="P853" s="849"/>
      <c r="Q853" s="849"/>
      <c r="R853" s="849"/>
      <c r="S853" s="849"/>
      <c r="T853" s="849"/>
      <c r="U853" s="849"/>
      <c r="V853" s="849"/>
      <c r="W853" s="849"/>
      <c r="X853" s="850"/>
      <c r="Y853" s="849"/>
      <c r="Z853" s="849"/>
      <c r="AA853" s="849"/>
      <c r="AB853" s="849"/>
      <c r="AC853" s="850"/>
      <c r="AD853" s="849"/>
      <c r="AE853" s="849"/>
      <c r="AF853" s="849"/>
      <c r="AG853" s="849"/>
      <c r="AH853" s="850"/>
      <c r="AI853" s="849"/>
      <c r="AJ853" s="849"/>
      <c r="AK853" s="849"/>
      <c r="AL853" s="849"/>
      <c r="AM853" s="850"/>
      <c r="AN853" s="849"/>
      <c r="AO853" s="849"/>
      <c r="AP853" s="849"/>
      <c r="AQ853" s="849"/>
      <c r="AR853" s="850"/>
      <c r="AS853" s="849"/>
      <c r="AT853" s="849"/>
      <c r="AU853" s="849"/>
      <c r="AV853" s="849"/>
      <c r="AW853" s="850"/>
      <c r="AX853" s="849"/>
      <c r="AY853" s="849"/>
      <c r="AZ853" s="849"/>
      <c r="BA853" s="849"/>
      <c r="BB853" s="850"/>
      <c r="BC853" s="849"/>
      <c r="BD853" s="849"/>
      <c r="BE853" s="849"/>
      <c r="BF853" s="849"/>
      <c r="BG853" s="853"/>
      <c r="BH853" s="849"/>
      <c r="BI853" s="849"/>
      <c r="BJ853" s="849"/>
      <c r="BK853" s="849"/>
      <c r="BL853" s="850"/>
      <c r="BM853" s="849"/>
      <c r="BN853" s="849"/>
      <c r="BO853" s="849"/>
      <c r="BP853" s="849"/>
      <c r="BQ853" s="850"/>
      <c r="BR853" s="849"/>
      <c r="BS853" s="849"/>
      <c r="BT853" s="849"/>
      <c r="BU853" s="849"/>
      <c r="BV853" s="850"/>
      <c r="BW853" s="849"/>
      <c r="BX853" s="849"/>
      <c r="BY853" s="849"/>
      <c r="BZ853" s="849"/>
      <c r="CA853" s="850"/>
      <c r="CB853" s="849"/>
      <c r="CC853" s="849"/>
      <c r="CD853" s="849"/>
      <c r="CE853" s="849"/>
      <c r="CF853" s="850"/>
      <c r="CG853" s="849"/>
      <c r="CH853" s="849"/>
      <c r="CI853" s="849"/>
      <c r="CJ853" s="849"/>
      <c r="CK853" s="850"/>
      <c r="CL853" s="993"/>
      <c r="CM853" s="849"/>
      <c r="CN853" s="849"/>
      <c r="CO853" s="849"/>
      <c r="CP853" s="850"/>
      <c r="CQ853" s="849"/>
      <c r="CR853" s="849"/>
      <c r="CS853" s="849"/>
      <c r="CT853" s="985"/>
      <c r="CU853" s="985"/>
      <c r="CV853" s="849"/>
      <c r="CW853" s="849"/>
      <c r="CX853" s="849"/>
      <c r="CY853" s="985"/>
      <c r="CZ853" s="850"/>
      <c r="DA853" s="849"/>
      <c r="DB853" s="849"/>
      <c r="DC853" s="849"/>
      <c r="DD853" s="985"/>
      <c r="DE853" s="1889"/>
      <c r="DF853" s="1890"/>
      <c r="DG853" s="1890"/>
      <c r="DH853" s="1890"/>
      <c r="DI853" s="1891"/>
      <c r="DJ853" s="1889"/>
      <c r="DK853" s="1889"/>
      <c r="DL853" s="1889"/>
      <c r="DM853" s="1889"/>
      <c r="DN853" s="1889"/>
      <c r="DO853" s="1889"/>
      <c r="DP853" s="1889"/>
      <c r="DQ853" s="1889"/>
      <c r="DR853" s="1889"/>
      <c r="DS853" s="1889"/>
      <c r="DT853" s="1889"/>
      <c r="DU853" s="1889"/>
      <c r="DV853" s="1889"/>
      <c r="DW853" s="1889"/>
      <c r="DX853" s="1889"/>
      <c r="DY853" s="1889"/>
      <c r="DZ853" s="1889"/>
      <c r="EA853" s="1889"/>
      <c r="EB853" s="1889"/>
      <c r="EC853" s="1889"/>
      <c r="ED853" s="1889"/>
      <c r="EE853" s="3550"/>
      <c r="EF853" s="1889"/>
      <c r="EG853" s="1889"/>
      <c r="EH853" s="1889"/>
      <c r="EI853" s="1889"/>
      <c r="EJ853" s="1890"/>
      <c r="EK853" s="1890"/>
      <c r="EL853" s="1890"/>
      <c r="EM853" s="1890"/>
      <c r="EN853" s="1890"/>
      <c r="EO853" s="1890"/>
      <c r="EP853" s="1890"/>
      <c r="EQ853" s="1890"/>
      <c r="ER853" s="1890"/>
      <c r="ES853" s="1890"/>
      <c r="ET853" s="1891"/>
      <c r="EU853" s="1890"/>
      <c r="EV853" s="1890"/>
      <c r="EW853" s="1890"/>
      <c r="EX853" s="1890"/>
    </row>
    <row r="854" spans="2:154" outlineLevel="1">
      <c r="B854" s="868" t="s">
        <v>187</v>
      </c>
      <c r="C854" s="990"/>
      <c r="D854" s="849"/>
      <c r="E854" s="849"/>
      <c r="F854" s="849"/>
      <c r="G854" s="849"/>
      <c r="H854" s="849"/>
      <c r="I854" s="856">
        <v>0.01</v>
      </c>
      <c r="J854" s="856">
        <f t="shared" ref="J854:S855" si="1920">IF(E849="NM","NM",IF(J849="NM","NM",IF(E849&lt;=0,"NM",IF(J849=0,"NM",IF(ABS(J849/E849-1)&gt;2.5,"NM",IF((ABS(J849-E849)=ABS(ABS(J849)-ABS(E849))),(J849/E849-1),"NM"))))))</f>
      </c>
      <c r="K854" s="856">
        <f t="shared" si="1920"/>
      </c>
      <c r="L854" s="856">
        <f t="shared" si="1920"/>
      </c>
      <c r="M854" s="856">
        <f t="shared" si="1920"/>
      </c>
      <c r="N854" s="856">
        <f t="shared" si="1920"/>
      </c>
      <c r="O854" s="856">
        <f t="shared" si="1920"/>
      </c>
      <c r="P854" s="856">
        <f t="shared" si="1920"/>
      </c>
      <c r="Q854" s="856">
        <f t="shared" si="1920"/>
      </c>
      <c r="R854" s="856">
        <f t="shared" si="1920"/>
      </c>
      <c r="S854" s="856">
        <f t="shared" si="1920"/>
      </c>
      <c r="T854" s="856">
        <f t="shared" ref="T854:AC855" si="1921">IF(O849="NM","NM",IF(T849="NM","NM",IF(O849&lt;=0,"NM",IF(T849=0,"NM",IF(ABS(T849/O849-1)&gt;2.5,"NM",IF((ABS(T849-O849)=ABS(ABS(T849)-ABS(O849))),(T849/O849-1),"NM"))))))</f>
      </c>
      <c r="U854" s="856">
        <f t="shared" si="1921"/>
      </c>
      <c r="V854" s="856">
        <f t="shared" si="1921"/>
      </c>
      <c r="W854" s="856">
        <f t="shared" si="1921"/>
      </c>
      <c r="X854" s="857">
        <f t="shared" si="1921"/>
      </c>
      <c r="Y854" s="856">
        <f t="shared" si="1921"/>
      </c>
      <c r="Z854" s="856">
        <f t="shared" si="1921"/>
      </c>
      <c r="AA854" s="856">
        <f t="shared" si="1921"/>
      </c>
      <c r="AB854" s="856">
        <f t="shared" si="1921"/>
      </c>
      <c r="AC854" s="857">
        <f t="shared" si="1921"/>
      </c>
      <c r="AD854" s="856">
        <f t="shared" ref="AD854:AM855" si="1922">IF(Y849="NM","NM",IF(AD849="NM","NM",IF(Y849&lt;=0,"NM",IF(AD849=0,"NM",IF(ABS(AD849/Y849-1)&gt;2.5,"NM",IF((ABS(AD849-Y849)=ABS(ABS(AD849)-ABS(Y849))),(AD849/Y849-1),"NM"))))))</f>
      </c>
      <c r="AE854" s="856">
        <f t="shared" si="1922"/>
      </c>
      <c r="AF854" s="856">
        <f t="shared" si="1922"/>
      </c>
      <c r="AG854" s="856">
        <f t="shared" si="1922"/>
      </c>
      <c r="AH854" s="857">
        <f t="shared" si="1922"/>
      </c>
      <c r="AI854" s="856">
        <f t="shared" si="1922"/>
      </c>
      <c r="AJ854" s="856">
        <f t="shared" si="1922"/>
      </c>
      <c r="AK854" s="856">
        <f t="shared" si="1922"/>
      </c>
      <c r="AL854" s="856">
        <f t="shared" si="1922"/>
      </c>
      <c r="AM854" s="857">
        <f t="shared" si="1922"/>
      </c>
      <c r="AN854" s="856">
        <f t="shared" ref="AN854:AW855" si="1923">IF(AI849="NM","NM",IF(AN849="NM","NM",IF(AI849&lt;=0,"NM",IF(AN849=0,"NM",IF(ABS(AN849/AI849-1)&gt;2.5,"NM",IF((ABS(AN849-AI849)=ABS(ABS(AN849)-ABS(AI849))),(AN849/AI849-1),"NM"))))))</f>
      </c>
      <c r="AO854" s="856">
        <f t="shared" si="1923"/>
      </c>
      <c r="AP854" s="856">
        <f t="shared" si="1923"/>
      </c>
      <c r="AQ854" s="856" t="str">
        <f t="shared" si="1923"/>
      </c>
      <c r="AR854" s="857">
        <f t="shared" si="1923"/>
      </c>
      <c r="AS854" s="856">
        <f t="shared" si="1923"/>
      </c>
      <c r="AT854" s="856">
        <f t="shared" si="1923"/>
      </c>
      <c r="AU854" s="856" t="str">
        <f t="shared" si="1923"/>
      </c>
      <c r="AV854" s="856">
        <f t="shared" si="1923"/>
      </c>
      <c r="AW854" s="857">
        <f t="shared" si="1923"/>
      </c>
      <c r="AX854" s="856">
        <f t="shared" ref="AX854:BB855" si="1924">IF(AS849="NM","NM",IF(AX849="NM","NM",IF(AS849&lt;=0,"NM",IF(AX849=0,"NM",IF(ABS(AX849/AS849-1)&gt;2.5,"NM",IF((ABS(AX849-AS849)=ABS(ABS(AX849)-ABS(AS849))),(AX849/AS849-1),"NM"))))))</f>
      </c>
      <c r="AY854" s="856">
        <f t="shared" si="1924"/>
      </c>
      <c r="AZ854" s="856">
        <f t="shared" si="1924"/>
      </c>
      <c r="BA854" s="856">
        <f t="shared" si="1924"/>
      </c>
      <c r="BB854" s="857">
        <f t="shared" si="1924"/>
      </c>
      <c r="BC854" s="856"/>
      <c r="BD854" s="856"/>
      <c r="BE854" s="856"/>
      <c r="BF854" s="856"/>
      <c r="BG854" s="857"/>
      <c r="BH854" s="856"/>
      <c r="BI854" s="856"/>
      <c r="BJ854" s="856"/>
      <c r="BK854" s="856"/>
      <c r="BL854" s="859"/>
      <c r="BM854" s="856"/>
      <c r="BN854" s="856"/>
      <c r="BO854" s="856"/>
      <c r="BP854" s="856"/>
      <c r="BQ854" s="859"/>
      <c r="BR854" s="856"/>
      <c r="BS854" s="856"/>
      <c r="BT854" s="856"/>
      <c r="BU854" s="856"/>
      <c r="BV854" s="859"/>
      <c r="BW854" s="856"/>
      <c r="BX854" s="856"/>
      <c r="BY854" s="856"/>
      <c r="BZ854" s="856"/>
      <c r="CA854" s="859"/>
      <c r="CB854" s="856"/>
      <c r="CC854" s="856"/>
      <c r="CD854" s="856"/>
      <c r="CE854" s="856"/>
      <c r="CF854" s="859"/>
      <c r="CG854" s="856"/>
      <c r="CH854" s="856"/>
      <c r="CI854" s="856"/>
      <c r="CJ854" s="856"/>
      <c r="CK854" s="859"/>
      <c r="CL854" s="994"/>
      <c r="CM854" s="856"/>
      <c r="CN854" s="856"/>
      <c r="CO854" s="856"/>
      <c r="CP854" s="859"/>
      <c r="CQ854" s="856"/>
      <c r="CR854" s="856"/>
      <c r="CS854" s="856"/>
      <c r="CT854" s="988"/>
      <c r="CU854" s="986"/>
      <c r="CV854" s="856"/>
      <c r="CW854" s="856"/>
      <c r="CX854" s="856"/>
      <c r="CY854" s="988"/>
      <c r="CZ854" s="859"/>
      <c r="DA854" s="856"/>
      <c r="DB854" s="858"/>
      <c r="DC854" s="858"/>
      <c r="DD854" s="986"/>
      <c r="DE854" s="857"/>
      <c r="DF854" s="856"/>
      <c r="DG854" s="856"/>
      <c r="DH854" s="856"/>
      <c r="DI854" s="988"/>
      <c r="DJ854" s="857"/>
      <c r="DK854" s="857"/>
      <c r="DL854" s="857"/>
      <c r="DM854" s="857"/>
      <c r="DN854" s="857"/>
      <c r="DO854" s="857"/>
      <c r="DP854" s="857"/>
      <c r="DQ854" s="857"/>
      <c r="DR854" s="857"/>
      <c r="DS854" s="857"/>
      <c r="DT854" s="857"/>
      <c r="DU854" s="857"/>
      <c r="DV854" s="857"/>
      <c r="DW854" s="857"/>
      <c r="DX854" s="857"/>
      <c r="DY854" s="857"/>
      <c r="DZ854" s="857"/>
      <c r="EA854" s="857"/>
      <c r="EB854" s="857"/>
      <c r="EC854" s="857"/>
      <c r="ED854" s="857"/>
      <c r="EE854" s="994"/>
      <c r="EF854" s="857"/>
      <c r="EG854" s="857"/>
      <c r="EH854" s="857"/>
      <c r="EI854" s="857"/>
      <c r="EJ854" s="856"/>
      <c r="EK854" s="856"/>
      <c r="EL854" s="856"/>
      <c r="EM854" s="856"/>
      <c r="EN854" s="856"/>
      <c r="EO854" s="856"/>
      <c r="EP854" s="856"/>
      <c r="EQ854" s="856"/>
      <c r="ER854" s="856"/>
      <c r="ES854" s="856"/>
      <c r="ET854" s="988"/>
      <c r="EU854" s="856"/>
      <c r="EV854" s="856"/>
      <c r="EW854" s="856"/>
      <c r="EX854" s="856"/>
    </row>
    <row r="855" spans="2:154" outlineLevel="1">
      <c r="B855" s="868" t="s">
        <v>412</v>
      </c>
      <c r="C855" s="990"/>
      <c r="D855" s="849"/>
      <c r="E855" s="849"/>
      <c r="F855" s="849"/>
      <c r="G855" s="849"/>
      <c r="H855" s="849"/>
      <c r="I855" s="856">
        <v>0.14000000000000001</v>
      </c>
      <c r="J855" s="856">
        <f t="shared" si="1920"/>
      </c>
      <c r="K855" s="856">
        <f t="shared" si="1920"/>
      </c>
      <c r="L855" s="856">
        <f t="shared" si="1920"/>
      </c>
      <c r="M855" s="856">
        <f t="shared" si="1920"/>
      </c>
      <c r="N855" s="856">
        <f t="shared" si="1920"/>
      </c>
      <c r="O855" s="856">
        <f t="shared" si="1920"/>
      </c>
      <c r="P855" s="856">
        <f t="shared" si="1920"/>
      </c>
      <c r="Q855" s="856">
        <f t="shared" si="1920"/>
      </c>
      <c r="R855" s="856">
        <f t="shared" si="1920"/>
      </c>
      <c r="S855" s="856">
        <f t="shared" si="1920"/>
      </c>
      <c r="T855" s="856">
        <f t="shared" si="1921"/>
      </c>
      <c r="U855" s="856">
        <f t="shared" si="1921"/>
      </c>
      <c r="V855" s="856">
        <f t="shared" si="1921"/>
      </c>
      <c r="W855" s="856">
        <f t="shared" si="1921"/>
      </c>
      <c r="X855" s="857">
        <f t="shared" si="1921"/>
      </c>
      <c r="Y855" s="856">
        <f t="shared" si="1921"/>
      </c>
      <c r="Z855" s="856">
        <f t="shared" si="1921"/>
      </c>
      <c r="AA855" s="856">
        <f t="shared" si="1921"/>
      </c>
      <c r="AB855" s="856">
        <f t="shared" si="1921"/>
      </c>
      <c r="AC855" s="857">
        <f t="shared" si="1921"/>
      </c>
      <c r="AD855" s="856">
        <f t="shared" si="1922"/>
      </c>
      <c r="AE855" s="856">
        <f t="shared" si="1922"/>
      </c>
      <c r="AF855" s="856">
        <f t="shared" si="1922"/>
      </c>
      <c r="AG855" s="856">
        <f t="shared" si="1922"/>
      </c>
      <c r="AH855" s="857">
        <f t="shared" si="1922"/>
      </c>
      <c r="AI855" s="856">
        <f t="shared" si="1922"/>
      </c>
      <c r="AJ855" s="856">
        <f t="shared" si="1922"/>
      </c>
      <c r="AK855" s="856">
        <f t="shared" si="1922"/>
      </c>
      <c r="AL855" s="856">
        <f t="shared" si="1922"/>
      </c>
      <c r="AM855" s="857">
        <f t="shared" si="1922"/>
      </c>
      <c r="AN855" s="856">
        <f t="shared" si="1923"/>
      </c>
      <c r="AO855" s="856">
        <f t="shared" si="1923"/>
      </c>
      <c r="AP855" s="856">
        <f t="shared" si="1923"/>
      </c>
      <c r="AQ855" s="856">
        <f t="shared" si="1923"/>
      </c>
      <c r="AR855" s="857">
        <f t="shared" si="1923"/>
      </c>
      <c r="AS855" s="856">
        <f t="shared" si="1923"/>
      </c>
      <c r="AT855" s="856">
        <f t="shared" si="1923"/>
      </c>
      <c r="AU855" s="856">
        <f t="shared" si="1923"/>
      </c>
      <c r="AV855" s="856">
        <f t="shared" si="1923"/>
      </c>
      <c r="AW855" s="857">
        <f t="shared" si="1923"/>
      </c>
      <c r="AX855" s="856">
        <f t="shared" si="1924"/>
      </c>
      <c r="AY855" s="856">
        <f t="shared" si="1924"/>
      </c>
      <c r="AZ855" s="856">
        <f t="shared" si="1924"/>
      </c>
      <c r="BA855" s="856">
        <f t="shared" si="1924"/>
      </c>
      <c r="BB855" s="857">
        <f t="shared" si="1924"/>
      </c>
      <c r="BC855" s="856"/>
      <c r="BD855" s="856"/>
      <c r="BE855" s="856"/>
      <c r="BF855" s="856"/>
      <c r="BG855" s="857"/>
      <c r="BH855" s="856"/>
      <c r="BI855" s="856"/>
      <c r="BJ855" s="856"/>
      <c r="BK855" s="856"/>
      <c r="BL855" s="857"/>
      <c r="BM855" s="856"/>
      <c r="BN855" s="856"/>
      <c r="BO855" s="856"/>
      <c r="BP855" s="856"/>
      <c r="BQ855" s="857"/>
      <c r="BR855" s="856"/>
      <c r="BS855" s="856"/>
      <c r="BT855" s="856"/>
      <c r="BU855" s="856"/>
      <c r="BV855" s="857"/>
      <c r="BW855" s="856"/>
      <c r="BX855" s="856"/>
      <c r="BY855" s="856"/>
      <c r="BZ855" s="856"/>
      <c r="CA855" s="857"/>
      <c r="CB855" s="856"/>
      <c r="CC855" s="856"/>
      <c r="CD855" s="856"/>
      <c r="CE855" s="856"/>
      <c r="CF855" s="857"/>
      <c r="CG855" s="856"/>
      <c r="CH855" s="856"/>
      <c r="CI855" s="856"/>
      <c r="CJ855" s="856"/>
      <c r="CK855" s="857"/>
      <c r="CL855" s="994"/>
      <c r="CM855" s="856"/>
      <c r="CN855" s="856"/>
      <c r="CO855" s="856"/>
      <c r="CP855" s="857"/>
      <c r="CQ855" s="856"/>
      <c r="CR855" s="856"/>
      <c r="CS855" s="856"/>
      <c r="CT855" s="988"/>
      <c r="CU855" s="988"/>
      <c r="CV855" s="856"/>
      <c r="CW855" s="856"/>
      <c r="CX855" s="856"/>
      <c r="CY855" s="988"/>
      <c r="CZ855" s="857"/>
      <c r="DA855" s="856"/>
      <c r="DB855" s="856"/>
      <c r="DC855" s="856"/>
      <c r="DD855" s="988"/>
      <c r="DE855" s="857"/>
      <c r="DF855" s="856"/>
      <c r="DG855" s="856"/>
      <c r="DH855" s="856"/>
      <c r="DI855" s="988"/>
      <c r="DJ855" s="857"/>
      <c r="DK855" s="857"/>
      <c r="DL855" s="857"/>
      <c r="DM855" s="857"/>
      <c r="DN855" s="857"/>
      <c r="DO855" s="857"/>
      <c r="DP855" s="857"/>
      <c r="DQ855" s="857"/>
      <c r="DR855" s="857"/>
      <c r="DS855" s="857"/>
      <c r="DT855" s="857"/>
      <c r="DU855" s="857"/>
      <c r="DV855" s="857"/>
      <c r="DW855" s="857"/>
      <c r="DX855" s="857"/>
      <c r="DY855" s="857"/>
      <c r="DZ855" s="857"/>
      <c r="EA855" s="857"/>
      <c r="EB855" s="857"/>
      <c r="EC855" s="857"/>
      <c r="ED855" s="857"/>
      <c r="EE855" s="994"/>
      <c r="EF855" s="857"/>
      <c r="EG855" s="857"/>
      <c r="EH855" s="857"/>
      <c r="EI855" s="857"/>
      <c r="EJ855" s="856"/>
      <c r="EK855" s="856"/>
      <c r="EL855" s="856"/>
      <c r="EM855" s="856"/>
      <c r="EN855" s="856"/>
      <c r="EO855" s="856"/>
      <c r="EP855" s="856"/>
      <c r="EQ855" s="856"/>
      <c r="ER855" s="856"/>
      <c r="ES855" s="856"/>
      <c r="ET855" s="988"/>
      <c r="EU855" s="856"/>
      <c r="EV855" s="856"/>
      <c r="EW855" s="856"/>
      <c r="EX855" s="856"/>
    </row>
    <row r="856" spans="2:154" outlineLevel="1">
      <c r="B856" s="868" t="s">
        <v>256</v>
      </c>
      <c r="C856" s="990"/>
      <c r="D856" s="849"/>
      <c r="E856" s="849"/>
      <c r="F856" s="849"/>
      <c r="G856" s="849"/>
      <c r="H856" s="849"/>
      <c r="I856" s="860"/>
      <c r="J856" s="860"/>
      <c r="K856" s="860"/>
      <c r="L856" s="860"/>
      <c r="M856" s="860"/>
      <c r="N856" s="860"/>
      <c r="O856" s="860"/>
      <c r="P856" s="860"/>
      <c r="Q856" s="860"/>
      <c r="R856" s="860"/>
      <c r="S856" s="860"/>
      <c r="T856" s="860"/>
      <c r="U856" s="860"/>
      <c r="V856" s="860"/>
      <c r="W856" s="860"/>
      <c r="X856" s="862"/>
      <c r="Y856" s="860"/>
      <c r="Z856" s="860"/>
      <c r="AA856" s="860"/>
      <c r="AB856" s="860"/>
      <c r="AC856" s="862"/>
      <c r="AD856" s="860"/>
      <c r="AE856" s="860"/>
      <c r="AF856" s="860"/>
      <c r="AG856" s="860"/>
      <c r="AH856" s="862"/>
      <c r="AI856" s="863">
        <f t="shared" ref="AI856:BB856" si="1925">IF(ISNUMBER(AI855),(1+AI855)/(1+AI$21)-1,"NM")</f>
      </c>
      <c r="AJ856" s="863">
        <f t="shared" si="1925"/>
      </c>
      <c r="AK856" s="863">
        <f t="shared" si="1925"/>
      </c>
      <c r="AL856" s="863">
        <f t="shared" si="1925"/>
      </c>
      <c r="AM856" s="862">
        <f t="shared" si="1925"/>
      </c>
      <c r="AN856" s="863">
        <f t="shared" si="1925"/>
      </c>
      <c r="AO856" s="863">
        <f t="shared" si="1925"/>
      </c>
      <c r="AP856" s="863">
        <f t="shared" si="1925"/>
      </c>
      <c r="AQ856" s="863">
        <f t="shared" si="1925"/>
      </c>
      <c r="AR856" s="862">
        <f t="shared" si="1925"/>
      </c>
      <c r="AS856" s="863">
        <f t="shared" si="1925"/>
      </c>
      <c r="AT856" s="863">
        <f t="shared" si="1925"/>
      </c>
      <c r="AU856" s="863">
        <f t="shared" si="1925"/>
      </c>
      <c r="AV856" s="863">
        <f t="shared" si="1925"/>
      </c>
      <c r="AW856" s="862">
        <f t="shared" si="1925"/>
      </c>
      <c r="AX856" s="863">
        <f t="shared" si="1925"/>
      </c>
      <c r="AY856" s="863">
        <f t="shared" si="1925"/>
      </c>
      <c r="AZ856" s="863">
        <f t="shared" si="1925"/>
      </c>
      <c r="BA856" s="863">
        <f t="shared" si="1925"/>
      </c>
      <c r="BB856" s="862">
        <f t="shared" si="1925"/>
      </c>
      <c r="BC856" s="863"/>
      <c r="BD856" s="863"/>
      <c r="BE856" s="863"/>
      <c r="BF856" s="863"/>
      <c r="BG856" s="862"/>
      <c r="BH856" s="863"/>
      <c r="BI856" s="863"/>
      <c r="BJ856" s="863"/>
      <c r="BK856" s="863"/>
      <c r="BL856" s="862"/>
      <c r="BM856" s="863"/>
      <c r="BN856" s="863"/>
      <c r="BO856" s="863"/>
      <c r="BP856" s="863"/>
      <c r="BQ856" s="862"/>
      <c r="BR856" s="863"/>
      <c r="BS856" s="863"/>
      <c r="BT856" s="863"/>
      <c r="BU856" s="863"/>
      <c r="BV856" s="862"/>
      <c r="BW856" s="863"/>
      <c r="BX856" s="863"/>
      <c r="BY856" s="863"/>
      <c r="BZ856" s="863"/>
      <c r="CA856" s="862"/>
      <c r="CB856" s="863"/>
      <c r="CC856" s="863"/>
      <c r="CD856" s="863"/>
      <c r="CE856" s="863"/>
      <c r="CF856" s="862"/>
      <c r="CG856" s="863"/>
      <c r="CH856" s="863"/>
      <c r="CI856" s="863"/>
      <c r="CJ856" s="863"/>
      <c r="CK856" s="862"/>
      <c r="CL856" s="996"/>
      <c r="CM856" s="863"/>
      <c r="CN856" s="863"/>
      <c r="CO856" s="863"/>
      <c r="CP856" s="862"/>
      <c r="CQ856" s="863"/>
      <c r="CR856" s="863"/>
      <c r="CS856" s="863"/>
      <c r="CT856" s="989"/>
      <c r="CU856" s="989"/>
      <c r="CV856" s="863"/>
      <c r="CW856" s="863"/>
      <c r="CX856" s="863"/>
      <c r="CY856" s="989"/>
      <c r="CZ856" s="862"/>
      <c r="DA856" s="863"/>
      <c r="DB856" s="863"/>
      <c r="DC856" s="863"/>
      <c r="DD856" s="989"/>
      <c r="DE856" s="862"/>
      <c r="DF856" s="863"/>
      <c r="DG856" s="863"/>
      <c r="DH856" s="863"/>
      <c r="DI856" s="989"/>
      <c r="DJ856" s="862"/>
      <c r="DK856" s="862"/>
      <c r="DL856" s="862"/>
      <c r="DM856" s="862"/>
      <c r="DN856" s="862"/>
      <c r="DO856" s="862"/>
      <c r="DP856" s="862"/>
      <c r="DQ856" s="862"/>
      <c r="DR856" s="862"/>
      <c r="DS856" s="862"/>
      <c r="DT856" s="862"/>
      <c r="DU856" s="862"/>
      <c r="DV856" s="862"/>
      <c r="DW856" s="862"/>
      <c r="DX856" s="862"/>
      <c r="DY856" s="862"/>
      <c r="DZ856" s="862"/>
      <c r="EA856" s="862"/>
      <c r="EB856" s="862"/>
      <c r="EC856" s="862"/>
      <c r="ED856" s="862"/>
      <c r="EE856" s="996"/>
      <c r="EF856" s="862"/>
      <c r="EG856" s="862"/>
      <c r="EH856" s="862"/>
      <c r="EI856" s="862"/>
      <c r="EJ856" s="863"/>
      <c r="EK856" s="863"/>
      <c r="EL856" s="863"/>
      <c r="EM856" s="863"/>
      <c r="EN856" s="863"/>
      <c r="EO856" s="863"/>
      <c r="EP856" s="863"/>
      <c r="EQ856" s="863"/>
      <c r="ER856" s="863"/>
      <c r="ES856" s="863"/>
      <c r="ET856" s="989"/>
      <c r="EU856" s="863"/>
      <c r="EV856" s="863"/>
      <c r="EW856" s="863"/>
      <c r="EX856" s="863"/>
    </row>
    <row r="857" spans="2:154" outlineLevel="1">
      <c r="B857" s="868" t="s">
        <v>413</v>
      </c>
      <c r="C857" s="990"/>
      <c r="D857" s="849"/>
      <c r="E857" s="849"/>
      <c r="F857" s="849"/>
      <c r="G857" s="849"/>
      <c r="H857" s="849"/>
      <c r="I857" s="856">
        <v>0.08</v>
      </c>
      <c r="J857" s="856">
        <f t="shared" ref="J857:AO857" si="1926">IF(E851="NM","NM",IF(J851="NM","NM",IF(E851&lt;=0,"NM",IF(J851=0,"NM",IF(ABS(J851/E851-1)&gt;2.5,"NM",IF((ABS(J851-E851)=ABS(ABS(J851)-ABS(E851))),(J851/E851-1),"NM"))))))</f>
      </c>
      <c r="K857" s="856">
        <f t="shared" si="1926"/>
      </c>
      <c r="L857" s="856">
        <f t="shared" si="1926"/>
      </c>
      <c r="M857" s="856">
        <f t="shared" si="1926"/>
      </c>
      <c r="N857" s="856">
        <f t="shared" si="1926"/>
      </c>
      <c r="O857" s="856">
        <f t="shared" si="1926"/>
      </c>
      <c r="P857" s="856">
        <f t="shared" si="1926"/>
      </c>
      <c r="Q857" s="856">
        <f t="shared" si="1926"/>
      </c>
      <c r="R857" s="856">
        <f t="shared" si="1926"/>
      </c>
      <c r="S857" s="856">
        <f t="shared" si="1926"/>
      </c>
      <c r="T857" s="856">
        <f t="shared" si="1926"/>
      </c>
      <c r="U857" s="856">
        <f t="shared" si="1926"/>
      </c>
      <c r="V857" s="856">
        <f t="shared" si="1926"/>
      </c>
      <c r="W857" s="856">
        <f t="shared" si="1926"/>
      </c>
      <c r="X857" s="857">
        <f t="shared" si="1926"/>
      </c>
      <c r="Y857" s="856">
        <f t="shared" si="1926"/>
      </c>
      <c r="Z857" s="856">
        <f t="shared" si="1926"/>
      </c>
      <c r="AA857" s="856">
        <f t="shared" si="1926"/>
      </c>
      <c r="AB857" s="856">
        <f t="shared" si="1926"/>
      </c>
      <c r="AC857" s="857">
        <f t="shared" si="1926"/>
      </c>
      <c r="AD857" s="856">
        <f t="shared" si="1926"/>
      </c>
      <c r="AE857" s="856">
        <f t="shared" si="1926"/>
      </c>
      <c r="AF857" s="856">
        <f t="shared" si="1926"/>
      </c>
      <c r="AG857" s="856">
        <f t="shared" si="1926"/>
      </c>
      <c r="AH857" s="857">
        <f t="shared" si="1926"/>
      </c>
      <c r="AI857" s="856">
        <f t="shared" si="1926"/>
      </c>
      <c r="AJ857" s="856">
        <f t="shared" si="1926"/>
      </c>
      <c r="AK857" s="856">
        <f t="shared" si="1926"/>
      </c>
      <c r="AL857" s="856">
        <f t="shared" si="1926"/>
      </c>
      <c r="AM857" s="857">
        <f t="shared" si="1926"/>
      </c>
      <c r="AN857" s="856">
        <f t="shared" si="1926"/>
      </c>
      <c r="AO857" s="856">
        <f t="shared" si="1926"/>
      </c>
      <c r="AP857" s="856">
        <f t="shared" ref="AP857:BB857" si="1927">IF(AK851="NM","NM",IF(AP851="NM","NM",IF(AK851&lt;=0,"NM",IF(AP851=0,"NM",IF(ABS(AP851/AK851-1)&gt;2.5,"NM",IF((ABS(AP851-AK851)=ABS(ABS(AP851)-ABS(AK851))),(AP851/AK851-1),"NM"))))))</f>
      </c>
      <c r="AQ857" s="856">
        <f t="shared" si="1927"/>
      </c>
      <c r="AR857" s="857">
        <f t="shared" si="1927"/>
      </c>
      <c r="AS857" s="856">
        <f t="shared" si="1927"/>
      </c>
      <c r="AT857" s="856">
        <f t="shared" si="1927"/>
      </c>
      <c r="AU857" s="856">
        <f t="shared" si="1927"/>
      </c>
      <c r="AV857" s="856">
        <f t="shared" si="1927"/>
      </c>
      <c r="AW857" s="857">
        <f t="shared" si="1927"/>
      </c>
      <c r="AX857" s="856">
        <f t="shared" si="1927"/>
      </c>
      <c r="AY857" s="856">
        <f t="shared" si="1927"/>
      </c>
      <c r="AZ857" s="856">
        <f t="shared" si="1927"/>
      </c>
      <c r="BA857" s="856">
        <f t="shared" si="1927"/>
      </c>
      <c r="BB857" s="857">
        <f t="shared" si="1927"/>
      </c>
      <c r="BC857" s="856"/>
      <c r="BD857" s="856"/>
      <c r="BE857" s="856"/>
      <c r="BF857" s="856"/>
      <c r="BG857" s="857"/>
      <c r="BH857" s="856"/>
      <c r="BI857" s="856"/>
      <c r="BJ857" s="856"/>
      <c r="BK857" s="856"/>
      <c r="BL857" s="857"/>
      <c r="BM857" s="856"/>
      <c r="BN857" s="856"/>
      <c r="BO857" s="856"/>
      <c r="BP857" s="856"/>
      <c r="BQ857" s="857"/>
      <c r="BR857" s="856"/>
      <c r="BS857" s="856"/>
      <c r="BT857" s="856"/>
      <c r="BU857" s="856"/>
      <c r="BV857" s="857"/>
      <c r="BW857" s="856"/>
      <c r="BX857" s="856"/>
      <c r="BY857" s="856"/>
      <c r="BZ857" s="856"/>
      <c r="CA857" s="857"/>
      <c r="CB857" s="856"/>
      <c r="CC857" s="856"/>
      <c r="CD857" s="856"/>
      <c r="CE857" s="856"/>
      <c r="CF857" s="857"/>
      <c r="CG857" s="856"/>
      <c r="CH857" s="856"/>
      <c r="CI857" s="856"/>
      <c r="CJ857" s="856"/>
      <c r="CK857" s="857"/>
      <c r="CL857" s="994"/>
      <c r="CM857" s="856"/>
      <c r="CN857" s="856"/>
      <c r="CO857" s="856"/>
      <c r="CP857" s="857"/>
      <c r="CQ857" s="856"/>
      <c r="CR857" s="856"/>
      <c r="CS857" s="856"/>
      <c r="CT857" s="988"/>
      <c r="CU857" s="988"/>
      <c r="CV857" s="856"/>
      <c r="CW857" s="856"/>
      <c r="CX857" s="856"/>
      <c r="CY857" s="988"/>
      <c r="CZ857" s="857"/>
      <c r="DA857" s="856"/>
      <c r="DB857" s="856"/>
      <c r="DC857" s="856"/>
      <c r="DD857" s="988"/>
      <c r="DE857" s="857"/>
      <c r="DF857" s="856"/>
      <c r="DG857" s="856"/>
      <c r="DH857" s="856"/>
      <c r="DI857" s="988"/>
      <c r="DJ857" s="857"/>
      <c r="DK857" s="857"/>
      <c r="DL857" s="857"/>
      <c r="DM857" s="857"/>
      <c r="DN857" s="857"/>
      <c r="DO857" s="857"/>
      <c r="DP857" s="857"/>
      <c r="DQ857" s="857"/>
      <c r="DR857" s="857"/>
      <c r="DS857" s="857"/>
      <c r="DT857" s="857"/>
      <c r="DU857" s="857"/>
      <c r="DV857" s="857"/>
      <c r="DW857" s="857"/>
      <c r="DX857" s="857"/>
      <c r="DY857" s="857"/>
      <c r="DZ857" s="857"/>
      <c r="EA857" s="857"/>
      <c r="EB857" s="857"/>
      <c r="EC857" s="857"/>
      <c r="ED857" s="857"/>
      <c r="EE857" s="994"/>
      <c r="EF857" s="857"/>
      <c r="EG857" s="857"/>
      <c r="EH857" s="857"/>
      <c r="EI857" s="857"/>
      <c r="EJ857" s="856"/>
      <c r="EK857" s="856"/>
      <c r="EL857" s="856"/>
      <c r="EM857" s="856"/>
      <c r="EN857" s="856"/>
      <c r="EO857" s="856"/>
      <c r="EP857" s="856"/>
      <c r="EQ857" s="856"/>
      <c r="ER857" s="856"/>
      <c r="ES857" s="856"/>
      <c r="ET857" s="988"/>
      <c r="EU857" s="856"/>
      <c r="EV857" s="856"/>
      <c r="EW857" s="856"/>
      <c r="EX857" s="856"/>
    </row>
    <row r="858" spans="2:154" outlineLevel="1">
      <c r="B858" s="865"/>
      <c r="C858" s="990"/>
      <c r="D858" s="849"/>
      <c r="E858" s="849"/>
      <c r="F858" s="849"/>
      <c r="G858" s="849"/>
      <c r="H858" s="849"/>
      <c r="I858" s="849"/>
      <c r="J858" s="849"/>
      <c r="K858" s="849"/>
      <c r="L858" s="849"/>
      <c r="M858" s="849"/>
      <c r="N858" s="849"/>
      <c r="O858" s="849"/>
      <c r="P858" s="849"/>
      <c r="Q858" s="849"/>
      <c r="R858" s="849"/>
      <c r="S858" s="849"/>
      <c r="T858" s="849"/>
      <c r="U858" s="849"/>
      <c r="V858" s="849"/>
      <c r="W858" s="849"/>
      <c r="X858" s="850"/>
      <c r="Y858" s="849"/>
      <c r="Z858" s="849"/>
      <c r="AA858" s="849"/>
      <c r="AB858" s="849"/>
      <c r="AC858" s="850"/>
      <c r="AD858" s="849"/>
      <c r="AE858" s="849"/>
      <c r="AF858" s="849"/>
      <c r="AG858" s="849"/>
      <c r="AH858" s="850"/>
      <c r="AI858" s="849"/>
      <c r="AJ858" s="849"/>
      <c r="AK858" s="849"/>
      <c r="AL858" s="849"/>
      <c r="AM858" s="850"/>
      <c r="AN858" s="849"/>
      <c r="AO858" s="849"/>
      <c r="AP858" s="849"/>
      <c r="AQ858" s="849"/>
      <c r="AR858" s="850"/>
      <c r="AS858" s="849"/>
      <c r="AT858" s="849"/>
      <c r="AU858" s="849"/>
      <c r="AV858" s="849"/>
      <c r="AW858" s="850"/>
      <c r="AX858" s="849"/>
      <c r="AY858" s="849"/>
      <c r="AZ858" s="849"/>
      <c r="BA858" s="849"/>
      <c r="BB858" s="850"/>
      <c r="BC858" s="849"/>
      <c r="BD858" s="849"/>
      <c r="BE858" s="849"/>
      <c r="BF858" s="849"/>
      <c r="BG858" s="850"/>
      <c r="BH858" s="849"/>
      <c r="BI858" s="849"/>
      <c r="BJ858" s="849"/>
      <c r="BK858" s="849"/>
      <c r="BL858" s="850"/>
      <c r="BM858" s="849"/>
      <c r="BN858" s="849"/>
      <c r="BO858" s="849"/>
      <c r="BP858" s="849"/>
      <c r="BQ858" s="850"/>
      <c r="BR858" s="849"/>
      <c r="BS858" s="849"/>
      <c r="BT858" s="849"/>
      <c r="BU858" s="849"/>
      <c r="BV858" s="850"/>
      <c r="BW858" s="849"/>
      <c r="BX858" s="849"/>
      <c r="BY858" s="849"/>
      <c r="BZ858" s="849"/>
      <c r="CA858" s="850"/>
      <c r="CB858" s="849"/>
      <c r="CC858" s="849"/>
      <c r="CD858" s="849"/>
      <c r="CE858" s="849"/>
      <c r="CF858" s="850"/>
      <c r="CG858" s="849"/>
      <c r="CH858" s="849"/>
      <c r="CI858" s="849"/>
      <c r="CJ858" s="849"/>
      <c r="CK858" s="850"/>
      <c r="CL858" s="993"/>
      <c r="CM858" s="849"/>
      <c r="CN858" s="849"/>
      <c r="CO858" s="849"/>
      <c r="CP858" s="850"/>
      <c r="CQ858" s="849"/>
      <c r="CR858" s="849"/>
      <c r="CS858" s="849"/>
      <c r="CT858" s="985"/>
      <c r="CU858" s="985"/>
      <c r="CV858" s="849"/>
      <c r="CW858" s="849"/>
      <c r="CX858" s="849"/>
      <c r="CY858" s="985"/>
      <c r="CZ858" s="850"/>
      <c r="DA858" s="849"/>
      <c r="DB858" s="849"/>
      <c r="DC858" s="849"/>
      <c r="DD858" s="985"/>
      <c r="DE858" s="1889"/>
      <c r="DF858" s="1890"/>
      <c r="DG858" s="1890"/>
      <c r="DH858" s="1890"/>
      <c r="DI858" s="1891"/>
      <c r="DJ858" s="1889"/>
      <c r="DK858" s="1889"/>
      <c r="DL858" s="1889"/>
      <c r="DM858" s="1889"/>
      <c r="DN858" s="1889"/>
      <c r="DO858" s="1889"/>
      <c r="DP858" s="1889"/>
      <c r="DQ858" s="1889"/>
      <c r="DR858" s="1889"/>
      <c r="DS858" s="1889"/>
      <c r="DT858" s="1889"/>
      <c r="DU858" s="1889"/>
      <c r="DV858" s="1889"/>
      <c r="DW858" s="1889"/>
      <c r="DX858" s="1889"/>
      <c r="DY858" s="1889"/>
      <c r="DZ858" s="1889"/>
      <c r="EA858" s="1889"/>
      <c r="EB858" s="1889"/>
      <c r="EC858" s="1889"/>
      <c r="ED858" s="1889"/>
      <c r="EE858" s="3550"/>
      <c r="EF858" s="1889"/>
      <c r="EG858" s="1889"/>
      <c r="EH858" s="1889"/>
      <c r="EI858" s="1889"/>
      <c r="EJ858" s="1890"/>
      <c r="EK858" s="1890"/>
      <c r="EL858" s="1890"/>
      <c r="EM858" s="1890"/>
      <c r="EN858" s="1890"/>
      <c r="EO858" s="1890"/>
      <c r="EP858" s="1890"/>
      <c r="EQ858" s="1890"/>
      <c r="ER858" s="1890"/>
      <c r="ES858" s="1890"/>
      <c r="ET858" s="1891"/>
      <c r="EU858" s="1890"/>
      <c r="EV858" s="1890"/>
      <c r="EW858" s="1890"/>
      <c r="EX858" s="1890"/>
    </row>
    <row r="859" spans="2:154" outlineLevel="1">
      <c r="B859" s="866" t="s">
        <v>342</v>
      </c>
      <c r="C859" s="990"/>
      <c r="D859" s="849"/>
      <c r="E859" s="849"/>
      <c r="F859" s="849"/>
      <c r="G859" s="849"/>
      <c r="H859" s="849"/>
      <c r="I859" s="849"/>
      <c r="J859" s="849"/>
      <c r="K859" s="849"/>
      <c r="L859" s="849"/>
      <c r="M859" s="849"/>
      <c r="N859" s="849"/>
      <c r="O859" s="849"/>
      <c r="P859" s="849"/>
      <c r="Q859" s="849"/>
      <c r="R859" s="849"/>
      <c r="S859" s="849"/>
      <c r="T859" s="849"/>
      <c r="U859" s="849"/>
      <c r="V859" s="849"/>
      <c r="W859" s="849"/>
      <c r="X859" s="850"/>
      <c r="Y859" s="849"/>
      <c r="Z859" s="849"/>
      <c r="AA859" s="849"/>
      <c r="AB859" s="849"/>
      <c r="AC859" s="850"/>
      <c r="AD859" s="849"/>
      <c r="AE859" s="849"/>
      <c r="AF859" s="849"/>
      <c r="AG859" s="849"/>
      <c r="AH859" s="850"/>
      <c r="AI859" s="849"/>
      <c r="AJ859" s="849"/>
      <c r="AK859" s="849"/>
      <c r="AL859" s="849"/>
      <c r="AM859" s="850"/>
      <c r="AN859" s="849"/>
      <c r="AO859" s="849"/>
      <c r="AP859" s="849"/>
      <c r="AQ859" s="849"/>
      <c r="AR859" s="850"/>
      <c r="AS859" s="849"/>
      <c r="AT859" s="849"/>
      <c r="AU859" s="849"/>
      <c r="AV859" s="849"/>
      <c r="AW859" s="850"/>
      <c r="AX859" s="849"/>
      <c r="AY859" s="849"/>
      <c r="AZ859" s="849"/>
      <c r="BA859" s="849"/>
      <c r="BB859" s="850"/>
      <c r="BC859" s="849"/>
      <c r="BD859" s="849"/>
      <c r="BE859" s="849"/>
      <c r="BF859" s="849"/>
      <c r="BG859" s="850"/>
      <c r="BH859" s="849"/>
      <c r="BI859" s="849"/>
      <c r="BJ859" s="849"/>
      <c r="BK859" s="849"/>
      <c r="BL859" s="850"/>
      <c r="BM859" s="849"/>
      <c r="BN859" s="849"/>
      <c r="BO859" s="849"/>
      <c r="BP859" s="849"/>
      <c r="BQ859" s="850"/>
      <c r="BR859" s="849"/>
      <c r="BS859" s="849"/>
      <c r="BT859" s="849"/>
      <c r="BU859" s="849"/>
      <c r="BV859" s="850"/>
      <c r="BW859" s="849"/>
      <c r="BX859" s="849"/>
      <c r="BY859" s="849"/>
      <c r="BZ859" s="849"/>
      <c r="CA859" s="850"/>
      <c r="CB859" s="849"/>
      <c r="CC859" s="849"/>
      <c r="CD859" s="849"/>
      <c r="CE859" s="849"/>
      <c r="CF859" s="850"/>
      <c r="CG859" s="849"/>
      <c r="CH859" s="849"/>
      <c r="CI859" s="849"/>
      <c r="CJ859" s="849"/>
      <c r="CK859" s="850"/>
      <c r="CL859" s="993"/>
      <c r="CM859" s="849"/>
      <c r="CN859" s="849"/>
      <c r="CO859" s="849"/>
      <c r="CP859" s="850"/>
      <c r="CQ859" s="849"/>
      <c r="CR859" s="849"/>
      <c r="CS859" s="849"/>
      <c r="CT859" s="985"/>
      <c r="CU859" s="985"/>
      <c r="CV859" s="849"/>
      <c r="CW859" s="849"/>
      <c r="CX859" s="849"/>
      <c r="CY859" s="985"/>
      <c r="CZ859" s="850"/>
      <c r="DA859" s="849"/>
      <c r="DB859" s="849"/>
      <c r="DC859" s="849"/>
      <c r="DD859" s="985"/>
      <c r="DE859" s="1889"/>
      <c r="DF859" s="1890"/>
      <c r="DG859" s="1890"/>
      <c r="DH859" s="1890"/>
      <c r="DI859" s="1891"/>
      <c r="DJ859" s="1889"/>
      <c r="DK859" s="1889"/>
      <c r="DL859" s="1889"/>
      <c r="DM859" s="1889"/>
      <c r="DN859" s="1889"/>
      <c r="DO859" s="1889"/>
      <c r="DP859" s="1889"/>
      <c r="DQ859" s="1889"/>
      <c r="DR859" s="1889"/>
      <c r="DS859" s="1889"/>
      <c r="DT859" s="1889"/>
      <c r="DU859" s="1889"/>
      <c r="DV859" s="1889"/>
      <c r="DW859" s="1889"/>
      <c r="DX859" s="1889"/>
      <c r="DY859" s="1889"/>
      <c r="DZ859" s="1889"/>
      <c r="EA859" s="1889"/>
      <c r="EB859" s="1889"/>
      <c r="EC859" s="1889"/>
      <c r="ED859" s="1889"/>
      <c r="EE859" s="3550"/>
      <c r="EF859" s="1889"/>
      <c r="EG859" s="1889"/>
      <c r="EH859" s="1889"/>
      <c r="EI859" s="1889"/>
      <c r="EJ859" s="1890"/>
      <c r="EK859" s="1890"/>
      <c r="EL859" s="1890"/>
      <c r="EM859" s="1890"/>
      <c r="EN859" s="1890"/>
      <c r="EO859" s="1890"/>
      <c r="EP859" s="1890"/>
      <c r="EQ859" s="1890"/>
      <c r="ER859" s="1890"/>
      <c r="ES859" s="1890"/>
      <c r="ET859" s="1891"/>
      <c r="EU859" s="1890"/>
      <c r="EV859" s="1890"/>
      <c r="EW859" s="1890"/>
      <c r="EX859" s="1890"/>
    </row>
    <row r="860" spans="2:154" outlineLevel="1">
      <c r="B860" s="865" t="s">
        <v>187</v>
      </c>
      <c r="C860" s="2017">
        <v>44144</v>
      </c>
      <c r="D860" s="849"/>
      <c r="E860" s="849"/>
      <c r="F860" s="849"/>
      <c r="G860" s="849"/>
      <c r="H860" s="849"/>
      <c r="I860" s="849"/>
      <c r="J860" s="849"/>
      <c r="K860" s="849"/>
      <c r="L860" s="849"/>
      <c r="M860" s="849"/>
      <c r="N860" s="849"/>
      <c r="O860" s="849"/>
      <c r="P860" s="849"/>
      <c r="Q860" s="849"/>
      <c r="R860" s="849"/>
      <c r="S860" s="849"/>
      <c r="T860" s="849"/>
      <c r="U860" s="849"/>
      <c r="V860" s="849"/>
      <c r="W860" s="849"/>
      <c r="X860" s="850"/>
      <c r="Y860" s="849"/>
      <c r="Z860" s="849"/>
      <c r="AA860" s="849"/>
      <c r="AB860" s="849"/>
      <c r="AC860" s="850"/>
      <c r="AD860" s="849"/>
      <c r="AE860" s="849"/>
      <c r="AF860" s="849"/>
      <c r="AG860" s="849"/>
      <c r="AH860" s="850"/>
      <c r="AI860" s="849"/>
      <c r="AJ860" s="849"/>
      <c r="AK860" s="849"/>
      <c r="AL860" s="849"/>
      <c r="AM860" s="850"/>
      <c r="AN860" s="849">
        <v>0</v>
      </c>
      <c r="AO860" s="849">
        <v>0</v>
      </c>
      <c r="AP860" s="849">
        <v>0</v>
      </c>
      <c r="AQ860" s="849">
        <v>0</v>
      </c>
      <c r="AR860" s="850">
        <f>+SUM(AN860:AQ860)</f>
      </c>
      <c r="AS860" s="849">
        <v>0</v>
      </c>
      <c r="AT860" s="849">
        <v>0</v>
      </c>
      <c r="AU860" s="849">
        <v>0</v>
      </c>
      <c r="AV860" s="849">
        <v>0</v>
      </c>
      <c r="AW860" s="850">
        <f>+SUM(AS860:AV860)</f>
      </c>
      <c r="AX860" s="849">
        <v>0</v>
      </c>
      <c r="AY860" s="849">
        <v>0</v>
      </c>
      <c r="AZ860" s="849">
        <v>0</v>
      </c>
      <c r="BA860" s="849">
        <v>0</v>
      </c>
      <c r="BB860" s="850">
        <f>SUM(AX860:BA860)</f>
      </c>
      <c r="BC860" s="849"/>
      <c r="BD860" s="849"/>
      <c r="BE860" s="849"/>
      <c r="BF860" s="849"/>
      <c r="BG860" s="850"/>
      <c r="BH860" s="849"/>
      <c r="BI860" s="849"/>
      <c r="BJ860" s="849"/>
      <c r="BK860" s="849"/>
      <c r="BL860" s="850"/>
      <c r="BM860" s="849"/>
      <c r="BN860" s="849"/>
      <c r="BO860" s="849"/>
      <c r="BP860" s="849"/>
      <c r="BQ860" s="850"/>
      <c r="BR860" s="849"/>
      <c r="BS860" s="849"/>
      <c r="BT860" s="849"/>
      <c r="BU860" s="849"/>
      <c r="BV860" s="850"/>
      <c r="BW860" s="849"/>
      <c r="BX860" s="849"/>
      <c r="BY860" s="849"/>
      <c r="BZ860" s="849"/>
      <c r="CA860" s="850"/>
      <c r="CB860" s="849"/>
      <c r="CC860" s="849"/>
      <c r="CD860" s="849"/>
      <c r="CE860" s="849"/>
      <c r="CF860" s="850"/>
      <c r="CG860" s="849"/>
      <c r="CH860" s="849"/>
      <c r="CI860" s="849"/>
      <c r="CJ860" s="849"/>
      <c r="CK860" s="850"/>
      <c r="CL860" s="993"/>
      <c r="CM860" s="849"/>
      <c r="CN860" s="849"/>
      <c r="CO860" s="849"/>
      <c r="CP860" s="850"/>
      <c r="CQ860" s="849"/>
      <c r="CR860" s="849"/>
      <c r="CS860" s="849"/>
      <c r="CT860" s="985"/>
      <c r="CU860" s="985"/>
      <c r="CV860" s="849"/>
      <c r="CW860" s="849"/>
      <c r="CX860" s="849"/>
      <c r="CY860" s="985"/>
      <c r="CZ860" s="850"/>
      <c r="DA860" s="849"/>
      <c r="DB860" s="849"/>
      <c r="DC860" s="849"/>
      <c r="DD860" s="985"/>
      <c r="DE860" s="1889"/>
      <c r="DF860" s="1890"/>
      <c r="DG860" s="1890"/>
      <c r="DH860" s="1890"/>
      <c r="DI860" s="1891"/>
      <c r="DJ860" s="1889"/>
      <c r="DK860" s="1889"/>
      <c r="DL860" s="1889"/>
      <c r="DM860" s="1889"/>
      <c r="DN860" s="1889"/>
      <c r="DO860" s="1889"/>
      <c r="DP860" s="1889"/>
      <c r="DQ860" s="1889"/>
      <c r="DR860" s="1889"/>
      <c r="DS860" s="1889"/>
      <c r="DT860" s="1889"/>
      <c r="DU860" s="1889"/>
      <c r="DV860" s="1889"/>
      <c r="DW860" s="1889"/>
      <c r="DX860" s="1889"/>
      <c r="DY860" s="1889"/>
      <c r="DZ860" s="1889"/>
      <c r="EA860" s="1889"/>
      <c r="EB860" s="1889"/>
      <c r="EC860" s="1889"/>
      <c r="ED860" s="1889"/>
      <c r="EE860" s="3550"/>
      <c r="EF860" s="1889"/>
      <c r="EG860" s="1889"/>
      <c r="EH860" s="1889"/>
      <c r="EI860" s="1889"/>
      <c r="EJ860" s="1890"/>
      <c r="EK860" s="1890"/>
      <c r="EL860" s="1890"/>
      <c r="EM860" s="1890"/>
      <c r="EN860" s="1890"/>
      <c r="EO860" s="1890"/>
      <c r="EP860" s="1890"/>
      <c r="EQ860" s="1890"/>
      <c r="ER860" s="1890"/>
      <c r="ES860" s="1890"/>
      <c r="ET860" s="1891"/>
      <c r="EU860" s="1890"/>
      <c r="EV860" s="1890"/>
      <c r="EW860" s="1890"/>
      <c r="EX860" s="1890"/>
    </row>
    <row r="861" spans="2:154" outlineLevel="1">
      <c r="B861" s="865" t="s">
        <v>412</v>
      </c>
      <c r="C861" s="990">
        <v>2020</v>
      </c>
      <c r="D861" s="849"/>
      <c r="E861" s="849"/>
      <c r="F861" s="849"/>
      <c r="G861" s="849"/>
      <c r="H861" s="849"/>
      <c r="I861" s="849"/>
      <c r="J861" s="849"/>
      <c r="K861" s="849"/>
      <c r="L861" s="849"/>
      <c r="M861" s="849"/>
      <c r="N861" s="849"/>
      <c r="O861" s="849"/>
      <c r="P861" s="849"/>
      <c r="Q861" s="849"/>
      <c r="R861" s="849"/>
      <c r="S861" s="849"/>
      <c r="T861" s="849"/>
      <c r="U861" s="849"/>
      <c r="V861" s="849"/>
      <c r="W861" s="849"/>
      <c r="X861" s="850"/>
      <c r="Y861" s="849"/>
      <c r="Z861" s="849"/>
      <c r="AA861" s="849"/>
      <c r="AB861" s="849"/>
      <c r="AC861" s="850"/>
      <c r="AD861" s="849"/>
      <c r="AE861" s="849"/>
      <c r="AF861" s="849"/>
      <c r="AG861" s="849"/>
      <c r="AH861" s="850"/>
      <c r="AI861" s="849"/>
      <c r="AJ861" s="849"/>
      <c r="AK861" s="849"/>
      <c r="AL861" s="849"/>
      <c r="AM861" s="850"/>
      <c r="AN861" s="849">
        <v>0</v>
      </c>
      <c r="AO861" s="849">
        <v>0</v>
      </c>
      <c r="AP861" s="849">
        <v>0</v>
      </c>
      <c r="AQ861" s="849">
        <v>4</v>
      </c>
      <c r="AR861" s="850">
        <f>+SUM(AN861:AQ861)</f>
      </c>
      <c r="AS861" s="849">
        <v>7</v>
      </c>
      <c r="AT861" s="849">
        <v>9</v>
      </c>
      <c r="AU861" s="849">
        <v>12</v>
      </c>
      <c r="AV861" s="849">
        <v>14</v>
      </c>
      <c r="AW861" s="850">
        <f>+SUM(AS861:AV861)</f>
      </c>
      <c r="AX861" s="849">
        <v>14.7</v>
      </c>
      <c r="AY861" s="849">
        <v>15</v>
      </c>
      <c r="AZ861" s="849">
        <v>19.2</v>
      </c>
      <c r="BA861" s="849">
        <v>21.1</v>
      </c>
      <c r="BB861" s="850">
        <f>SUM(AX861:BA861)</f>
      </c>
      <c r="BC861" s="849"/>
      <c r="BD861" s="849"/>
      <c r="BE861" s="849"/>
      <c r="BF861" s="849"/>
      <c r="BG861" s="850"/>
      <c r="BH861" s="849"/>
      <c r="BI861" s="849"/>
      <c r="BJ861" s="849"/>
      <c r="BK861" s="849"/>
      <c r="BL861" s="850"/>
      <c r="BM861" s="849"/>
      <c r="BN861" s="849"/>
      <c r="BO861" s="849"/>
      <c r="BP861" s="849"/>
      <c r="BQ861" s="850"/>
      <c r="BR861" s="849"/>
      <c r="BS861" s="849"/>
      <c r="BT861" s="849"/>
      <c r="BU861" s="849"/>
      <c r="BV861" s="850"/>
      <c r="BW861" s="849"/>
      <c r="BX861" s="849"/>
      <c r="BY861" s="849"/>
      <c r="BZ861" s="849"/>
      <c r="CA861" s="850"/>
      <c r="CB861" s="849"/>
      <c r="CC861" s="849"/>
      <c r="CD861" s="849"/>
      <c r="CE861" s="849"/>
      <c r="CF861" s="850"/>
      <c r="CG861" s="849"/>
      <c r="CH861" s="849"/>
      <c r="CI861" s="849"/>
      <c r="CJ861" s="849"/>
      <c r="CK861" s="850"/>
      <c r="CL861" s="993"/>
      <c r="CM861" s="849"/>
      <c r="CN861" s="849"/>
      <c r="CO861" s="849"/>
      <c r="CP861" s="850"/>
      <c r="CQ861" s="849"/>
      <c r="CR861" s="849"/>
      <c r="CS861" s="849"/>
      <c r="CT861" s="985"/>
      <c r="CU861" s="985"/>
      <c r="CV861" s="849"/>
      <c r="CW861" s="849"/>
      <c r="CX861" s="849"/>
      <c r="CY861" s="985"/>
      <c r="CZ861" s="850"/>
      <c r="DA861" s="849"/>
      <c r="DB861" s="849"/>
      <c r="DC861" s="849"/>
      <c r="DD861" s="985"/>
      <c r="DE861" s="1889"/>
      <c r="DF861" s="1890"/>
      <c r="DG861" s="1890"/>
      <c r="DH861" s="1890"/>
      <c r="DI861" s="1891"/>
      <c r="DJ861" s="1889"/>
      <c r="DK861" s="1889"/>
      <c r="DL861" s="1889"/>
      <c r="DM861" s="1889"/>
      <c r="DN861" s="1889"/>
      <c r="DO861" s="1889"/>
      <c r="DP861" s="1889"/>
      <c r="DQ861" s="1889"/>
      <c r="DR861" s="1889"/>
      <c r="DS861" s="1889"/>
      <c r="DT861" s="1889"/>
      <c r="DU861" s="1889"/>
      <c r="DV861" s="1889"/>
      <c r="DW861" s="1889"/>
      <c r="DX861" s="1889"/>
      <c r="DY861" s="1889"/>
      <c r="DZ861" s="1889"/>
      <c r="EA861" s="1889"/>
      <c r="EB861" s="1889"/>
      <c r="EC861" s="1889"/>
      <c r="ED861" s="1889"/>
      <c r="EE861" s="3550"/>
      <c r="EF861" s="1889"/>
      <c r="EG861" s="1889"/>
      <c r="EH861" s="1889"/>
      <c r="EI861" s="1889"/>
      <c r="EJ861" s="1890"/>
      <c r="EK861" s="1890"/>
      <c r="EL861" s="1890"/>
      <c r="EM861" s="1890"/>
      <c r="EN861" s="1890"/>
      <c r="EO861" s="1890"/>
      <c r="EP861" s="1890"/>
      <c r="EQ861" s="1890"/>
      <c r="ER861" s="1890"/>
      <c r="ES861" s="1890"/>
      <c r="ET861" s="1891"/>
      <c r="EU861" s="1890"/>
      <c r="EV861" s="1890"/>
      <c r="EW861" s="1890"/>
      <c r="EX861" s="1890"/>
    </row>
    <row r="862" spans="2:154" outlineLevel="1">
      <c r="B862" s="865" t="s">
        <v>413</v>
      </c>
      <c r="C862" s="990"/>
      <c r="D862" s="849"/>
      <c r="E862" s="849"/>
      <c r="F862" s="849"/>
      <c r="G862" s="849"/>
      <c r="H862" s="849"/>
      <c r="I862" s="849"/>
      <c r="J862" s="849"/>
      <c r="K862" s="849"/>
      <c r="L862" s="849"/>
      <c r="M862" s="849"/>
      <c r="N862" s="849"/>
      <c r="O862" s="849"/>
      <c r="P862" s="849"/>
      <c r="Q862" s="849"/>
      <c r="R862" s="849"/>
      <c r="S862" s="849"/>
      <c r="T862" s="849"/>
      <c r="U862" s="849"/>
      <c r="V862" s="849"/>
      <c r="W862" s="849"/>
      <c r="X862" s="850"/>
      <c r="Y862" s="849"/>
      <c r="Z862" s="849"/>
      <c r="AA862" s="849"/>
      <c r="AB862" s="849"/>
      <c r="AC862" s="850"/>
      <c r="AD862" s="849"/>
      <c r="AE862" s="849"/>
      <c r="AF862" s="849"/>
      <c r="AG862" s="849"/>
      <c r="AH862" s="850"/>
      <c r="AI862" s="849"/>
      <c r="AJ862" s="849"/>
      <c r="AK862" s="849"/>
      <c r="AL862" s="849"/>
      <c r="AM862" s="850"/>
      <c r="AN862" s="849">
        <f>SUM(AN860:AN861)</f>
      </c>
      <c r="AO862" s="849">
        <f>SUM(AO860:AO861)</f>
      </c>
      <c r="AP862" s="849">
        <f>SUM(AP860:AP861)</f>
      </c>
      <c r="AQ862" s="849">
        <f>SUM(AQ860:AQ861)</f>
      </c>
      <c r="AR862" s="850">
        <f>AR860+AR861</f>
      </c>
      <c r="AS862" s="849">
        <f>SUM(AS860:AS861)</f>
      </c>
      <c r="AT862" s="849">
        <f>SUM(AT860:AT861)</f>
      </c>
      <c r="AU862" s="849">
        <f>SUM(AU860:AU861)</f>
      </c>
      <c r="AV862" s="849">
        <f>SUM(AV860:AV861)</f>
      </c>
      <c r="AW862" s="850">
        <f>AW860+AW861</f>
      </c>
      <c r="AX862" s="849">
        <f>SUM(AX860:AX861)</f>
      </c>
      <c r="AY862" s="849">
        <f>SUM(AY860:AY861)</f>
      </c>
      <c r="AZ862" s="849">
        <f>SUM(AZ860:AZ861)</f>
      </c>
      <c r="BA862" s="849">
        <f>SUM(BA860:BA861)</f>
      </c>
      <c r="BB862" s="850">
        <f>+BB860+BB861</f>
      </c>
      <c r="BC862" s="849"/>
      <c r="BD862" s="849"/>
      <c r="BE862" s="849"/>
      <c r="BF862" s="849"/>
      <c r="BG862" s="850"/>
      <c r="BH862" s="849"/>
      <c r="BI862" s="849"/>
      <c r="BJ862" s="849"/>
      <c r="BK862" s="849"/>
      <c r="BL862" s="850"/>
      <c r="BM862" s="849"/>
      <c r="BN862" s="849"/>
      <c r="BO862" s="849"/>
      <c r="BP862" s="849"/>
      <c r="BQ862" s="850"/>
      <c r="BR862" s="849"/>
      <c r="BS862" s="849"/>
      <c r="BT862" s="849"/>
      <c r="BU862" s="849"/>
      <c r="BV862" s="850"/>
      <c r="BW862" s="849"/>
      <c r="BX862" s="849"/>
      <c r="BY862" s="849"/>
      <c r="BZ862" s="849"/>
      <c r="CA862" s="850"/>
      <c r="CB862" s="849"/>
      <c r="CC862" s="849"/>
      <c r="CD862" s="849"/>
      <c r="CE862" s="849"/>
      <c r="CF862" s="850"/>
      <c r="CG862" s="849"/>
      <c r="CH862" s="849"/>
      <c r="CI862" s="849"/>
      <c r="CJ862" s="849"/>
      <c r="CK862" s="850"/>
      <c r="CL862" s="993"/>
      <c r="CM862" s="849"/>
      <c r="CN862" s="849"/>
      <c r="CO862" s="849"/>
      <c r="CP862" s="850"/>
      <c r="CQ862" s="849"/>
      <c r="CR862" s="849"/>
      <c r="CS862" s="849"/>
      <c r="CT862" s="985"/>
      <c r="CU862" s="985"/>
      <c r="CV862" s="849"/>
      <c r="CW862" s="849"/>
      <c r="CX862" s="849"/>
      <c r="CY862" s="985"/>
      <c r="CZ862" s="850"/>
      <c r="DA862" s="849"/>
      <c r="DB862" s="849"/>
      <c r="DC862" s="849"/>
      <c r="DD862" s="985"/>
      <c r="DE862" s="1889"/>
      <c r="DF862" s="1890"/>
      <c r="DG862" s="1890"/>
      <c r="DH862" s="1890"/>
      <c r="DI862" s="1891"/>
      <c r="DJ862" s="1889"/>
      <c r="DK862" s="1889"/>
      <c r="DL862" s="1889"/>
      <c r="DM862" s="1889"/>
      <c r="DN862" s="1889"/>
      <c r="DO862" s="1889"/>
      <c r="DP862" s="1889"/>
      <c r="DQ862" s="1889"/>
      <c r="DR862" s="1889"/>
      <c r="DS862" s="1889"/>
      <c r="DT862" s="1889"/>
      <c r="DU862" s="1889"/>
      <c r="DV862" s="1889"/>
      <c r="DW862" s="1889"/>
      <c r="DX862" s="1889"/>
      <c r="DY862" s="1889"/>
      <c r="DZ862" s="1889"/>
      <c r="EA862" s="1889"/>
      <c r="EB862" s="1889"/>
      <c r="EC862" s="1889"/>
      <c r="ED862" s="1889"/>
      <c r="EE862" s="3550"/>
      <c r="EF862" s="1889"/>
      <c r="EG862" s="1889"/>
      <c r="EH862" s="1889"/>
      <c r="EI862" s="1889"/>
      <c r="EJ862" s="1890"/>
      <c r="EK862" s="1890"/>
      <c r="EL862" s="1890"/>
      <c r="EM862" s="1890"/>
      <c r="EN862" s="1890"/>
      <c r="EO862" s="1890"/>
      <c r="EP862" s="1890"/>
      <c r="EQ862" s="1890"/>
      <c r="ER862" s="1890"/>
      <c r="ES862" s="1890"/>
      <c r="ET862" s="1891"/>
      <c r="EU862" s="1890"/>
      <c r="EV862" s="1890"/>
      <c r="EW862" s="1890"/>
      <c r="EX862" s="1890"/>
    </row>
    <row r="863" spans="2:154" outlineLevel="1">
      <c r="B863" s="865"/>
      <c r="C863" s="990"/>
      <c r="D863" s="849"/>
      <c r="E863" s="849"/>
      <c r="F863" s="849"/>
      <c r="G863" s="849"/>
      <c r="H863" s="849"/>
      <c r="I863" s="849"/>
      <c r="J863" s="849"/>
      <c r="K863" s="849"/>
      <c r="L863" s="849"/>
      <c r="M863" s="849"/>
      <c r="N863" s="849"/>
      <c r="O863" s="849"/>
      <c r="P863" s="849"/>
      <c r="Q863" s="849"/>
      <c r="R863" s="849"/>
      <c r="S863" s="849"/>
      <c r="T863" s="849"/>
      <c r="U863" s="849"/>
      <c r="V863" s="849"/>
      <c r="W863" s="849"/>
      <c r="X863" s="850"/>
      <c r="Y863" s="849"/>
      <c r="Z863" s="849"/>
      <c r="AA863" s="849"/>
      <c r="AB863" s="849"/>
      <c r="AC863" s="850"/>
      <c r="AD863" s="849"/>
      <c r="AE863" s="849"/>
      <c r="AF863" s="849"/>
      <c r="AG863" s="849"/>
      <c r="AH863" s="850"/>
      <c r="AI863" s="849"/>
      <c r="AJ863" s="849"/>
      <c r="AK863" s="849"/>
      <c r="AL863" s="849"/>
      <c r="AM863" s="850"/>
      <c r="AN863" s="849"/>
      <c r="AO863" s="849"/>
      <c r="AP863" s="849"/>
      <c r="AQ863" s="849"/>
      <c r="AR863" s="850"/>
      <c r="AS863" s="849"/>
      <c r="AT863" s="849"/>
      <c r="AU863" s="849"/>
      <c r="AV863" s="849"/>
      <c r="AW863" s="850"/>
      <c r="AX863" s="849"/>
      <c r="AY863" s="849"/>
      <c r="AZ863" s="849"/>
      <c r="BA863" s="849"/>
      <c r="BB863" s="850"/>
      <c r="BC863" s="849"/>
      <c r="BD863" s="849"/>
      <c r="BE863" s="849"/>
      <c r="BF863" s="849"/>
      <c r="BG863" s="850"/>
      <c r="BH863" s="849"/>
      <c r="BI863" s="849"/>
      <c r="BJ863" s="849"/>
      <c r="BK863" s="849"/>
      <c r="BL863" s="850"/>
      <c r="BM863" s="849"/>
      <c r="BN863" s="849"/>
      <c r="BO863" s="849"/>
      <c r="BP863" s="849"/>
      <c r="BQ863" s="850"/>
      <c r="BR863" s="849"/>
      <c r="BS863" s="849"/>
      <c r="BT863" s="849"/>
      <c r="BU863" s="849"/>
      <c r="BV863" s="850"/>
      <c r="BW863" s="849"/>
      <c r="BX863" s="849"/>
      <c r="BY863" s="849"/>
      <c r="BZ863" s="849"/>
      <c r="CA863" s="850"/>
      <c r="CB863" s="849"/>
      <c r="CC863" s="849"/>
      <c r="CD863" s="849"/>
      <c r="CE863" s="849"/>
      <c r="CF863" s="850"/>
      <c r="CG863" s="849"/>
      <c r="CH863" s="849"/>
      <c r="CI863" s="849"/>
      <c r="CJ863" s="849"/>
      <c r="CK863" s="850"/>
      <c r="CL863" s="993"/>
      <c r="CM863" s="849"/>
      <c r="CN863" s="849"/>
      <c r="CO863" s="849"/>
      <c r="CP863" s="850"/>
      <c r="CQ863" s="849"/>
      <c r="CR863" s="849"/>
      <c r="CS863" s="849"/>
      <c r="CT863" s="985"/>
      <c r="CU863" s="985"/>
      <c r="CV863" s="849"/>
      <c r="CW863" s="849"/>
      <c r="CX863" s="849"/>
      <c r="CY863" s="985"/>
      <c r="CZ863" s="850"/>
      <c r="DA863" s="849"/>
      <c r="DB863" s="849"/>
      <c r="DC863" s="849"/>
      <c r="DD863" s="985"/>
      <c r="DE863" s="1889"/>
      <c r="DF863" s="1890"/>
      <c r="DG863" s="1890"/>
      <c r="DH863" s="1890"/>
      <c r="DI863" s="1891"/>
      <c r="DJ863" s="1889"/>
      <c r="DK863" s="1889"/>
      <c r="DL863" s="1889"/>
      <c r="DM863" s="1889"/>
      <c r="DN863" s="1889"/>
      <c r="DO863" s="1889"/>
      <c r="DP863" s="1889"/>
      <c r="DQ863" s="1889"/>
      <c r="DR863" s="1889"/>
      <c r="DS863" s="1889"/>
      <c r="DT863" s="1889"/>
      <c r="DU863" s="1889"/>
      <c r="DV863" s="1889"/>
      <c r="DW863" s="1889"/>
      <c r="DX863" s="1889"/>
      <c r="DY863" s="1889"/>
      <c r="DZ863" s="1889"/>
      <c r="EA863" s="1889"/>
      <c r="EB863" s="1889"/>
      <c r="EC863" s="1889"/>
      <c r="ED863" s="1889"/>
      <c r="EE863" s="3550"/>
      <c r="EF863" s="1889"/>
      <c r="EG863" s="1889"/>
      <c r="EH863" s="1889"/>
      <c r="EI863" s="1889"/>
      <c r="EJ863" s="1890"/>
      <c r="EK863" s="1890"/>
      <c r="EL863" s="1890"/>
      <c r="EM863" s="1890"/>
      <c r="EN863" s="1890"/>
      <c r="EO863" s="1890"/>
      <c r="EP863" s="1890"/>
      <c r="EQ863" s="1890"/>
      <c r="ER863" s="1890"/>
      <c r="ES863" s="1890"/>
      <c r="ET863" s="1891"/>
      <c r="EU863" s="1890"/>
      <c r="EV863" s="1890"/>
      <c r="EW863" s="1890"/>
      <c r="EX863" s="1890"/>
    </row>
    <row r="864" spans="2:154" outlineLevel="1">
      <c r="B864" s="867" t="s">
        <v>127</v>
      </c>
      <c r="C864" s="990"/>
      <c r="D864" s="849"/>
      <c r="E864" s="849"/>
      <c r="F864" s="849"/>
      <c r="G864" s="849"/>
      <c r="H864" s="849"/>
      <c r="I864" s="849"/>
      <c r="J864" s="849"/>
      <c r="K864" s="849"/>
      <c r="L864" s="849"/>
      <c r="M864" s="849"/>
      <c r="N864" s="849"/>
      <c r="O864" s="849"/>
      <c r="P864" s="849"/>
      <c r="Q864" s="849"/>
      <c r="R864" s="849"/>
      <c r="S864" s="849"/>
      <c r="T864" s="849"/>
      <c r="U864" s="849"/>
      <c r="V864" s="849"/>
      <c r="W864" s="849"/>
      <c r="X864" s="850"/>
      <c r="Y864" s="849"/>
      <c r="Z864" s="849"/>
      <c r="AA864" s="849"/>
      <c r="AB864" s="849"/>
      <c r="AC864" s="850"/>
      <c r="AD864" s="849"/>
      <c r="AE864" s="849"/>
      <c r="AF864" s="849"/>
      <c r="AG864" s="849"/>
      <c r="AH864" s="850"/>
      <c r="AI864" s="849"/>
      <c r="AJ864" s="849"/>
      <c r="AK864" s="849"/>
      <c r="AL864" s="849"/>
      <c r="AM864" s="850"/>
      <c r="AN864" s="849"/>
      <c r="AO864" s="849"/>
      <c r="AP864" s="849"/>
      <c r="AQ864" s="849"/>
      <c r="AR864" s="850"/>
      <c r="AS864" s="849"/>
      <c r="AT864" s="849"/>
      <c r="AU864" s="849"/>
      <c r="AV864" s="849"/>
      <c r="AW864" s="850"/>
      <c r="AX864" s="849"/>
      <c r="AY864" s="849"/>
      <c r="AZ864" s="849"/>
      <c r="BA864" s="849"/>
      <c r="BB864" s="850"/>
      <c r="BC864" s="849"/>
      <c r="BD864" s="849"/>
      <c r="BE864" s="849"/>
      <c r="BF864" s="849"/>
      <c r="BG864" s="850"/>
      <c r="BH864" s="849"/>
      <c r="BI864" s="849"/>
      <c r="BJ864" s="849"/>
      <c r="BK864" s="849"/>
      <c r="BL864" s="850"/>
      <c r="BM864" s="849"/>
      <c r="BN864" s="849"/>
      <c r="BO864" s="849"/>
      <c r="BP864" s="849"/>
      <c r="BQ864" s="850"/>
      <c r="BR864" s="849"/>
      <c r="BS864" s="849"/>
      <c r="BT864" s="849"/>
      <c r="BU864" s="849"/>
      <c r="BV864" s="850"/>
      <c r="BW864" s="849"/>
      <c r="BX864" s="849"/>
      <c r="BY864" s="849"/>
      <c r="BZ864" s="849"/>
      <c r="CA864" s="850"/>
      <c r="CB864" s="849"/>
      <c r="CC864" s="849"/>
      <c r="CD864" s="849"/>
      <c r="CE864" s="849"/>
      <c r="CF864" s="850"/>
      <c r="CG864" s="849"/>
      <c r="CH864" s="849"/>
      <c r="CI864" s="849"/>
      <c r="CJ864" s="849"/>
      <c r="CK864" s="850"/>
      <c r="CL864" s="993"/>
      <c r="CM864" s="849"/>
      <c r="CN864" s="849"/>
      <c r="CO864" s="849"/>
      <c r="CP864" s="850"/>
      <c r="CQ864" s="849"/>
      <c r="CR864" s="849"/>
      <c r="CS864" s="849"/>
      <c r="CT864" s="985"/>
      <c r="CU864" s="985"/>
      <c r="CV864" s="849"/>
      <c r="CW864" s="849"/>
      <c r="CX864" s="849"/>
      <c r="CY864" s="985"/>
      <c r="CZ864" s="850"/>
      <c r="DA864" s="849"/>
      <c r="DB864" s="849"/>
      <c r="DC864" s="849"/>
      <c r="DD864" s="985"/>
      <c r="DE864" s="1889"/>
      <c r="DF864" s="1890"/>
      <c r="DG864" s="1890"/>
      <c r="DH864" s="1890"/>
      <c r="DI864" s="1891"/>
      <c r="DJ864" s="1889"/>
      <c r="DK864" s="1889"/>
      <c r="DL864" s="1889"/>
      <c r="DM864" s="1889"/>
      <c r="DN864" s="1889"/>
      <c r="DO864" s="1889"/>
      <c r="DP864" s="1889"/>
      <c r="DQ864" s="1889"/>
      <c r="DR864" s="1889"/>
      <c r="DS864" s="1889"/>
      <c r="DT864" s="1889"/>
      <c r="DU864" s="1889"/>
      <c r="DV864" s="1889"/>
      <c r="DW864" s="1889"/>
      <c r="DX864" s="1889"/>
      <c r="DY864" s="1889"/>
      <c r="DZ864" s="1889"/>
      <c r="EA864" s="1889"/>
      <c r="EB864" s="1889"/>
      <c r="EC864" s="1889"/>
      <c r="ED864" s="1889"/>
      <c r="EE864" s="3550"/>
      <c r="EF864" s="1889"/>
      <c r="EG864" s="1889"/>
      <c r="EH864" s="1889"/>
      <c r="EI864" s="1889"/>
      <c r="EJ864" s="1890"/>
      <c r="EK864" s="1890"/>
      <c r="EL864" s="1890"/>
      <c r="EM864" s="1890"/>
      <c r="EN864" s="1890"/>
      <c r="EO864" s="1890"/>
      <c r="EP864" s="1890"/>
      <c r="EQ864" s="1890"/>
      <c r="ER864" s="1890"/>
      <c r="ES864" s="1890"/>
      <c r="ET864" s="1891"/>
      <c r="EU864" s="1890"/>
      <c r="EV864" s="1890"/>
      <c r="EW864" s="1890"/>
      <c r="EX864" s="1890"/>
    </row>
    <row r="865" spans="1:154" outlineLevel="1">
      <c r="B865" s="868" t="s">
        <v>187</v>
      </c>
      <c r="C865" s="990"/>
      <c r="D865" s="849"/>
      <c r="E865" s="849"/>
      <c r="F865" s="849"/>
      <c r="G865" s="849"/>
      <c r="H865" s="849"/>
      <c r="I865" s="849"/>
      <c r="J865" s="849"/>
      <c r="K865" s="849"/>
      <c r="L865" s="849"/>
      <c r="M865" s="849"/>
      <c r="N865" s="849"/>
      <c r="O865" s="849"/>
      <c r="P865" s="849"/>
      <c r="Q865" s="849"/>
      <c r="R865" s="849"/>
      <c r="S865" s="849"/>
      <c r="T865" s="849"/>
      <c r="U865" s="849"/>
      <c r="V865" s="849"/>
      <c r="W865" s="849"/>
      <c r="X865" s="857"/>
      <c r="Y865" s="856"/>
      <c r="Z865" s="856"/>
      <c r="AA865" s="856"/>
      <c r="AB865" s="856"/>
      <c r="AC865" s="857"/>
      <c r="AD865" s="856"/>
      <c r="AE865" s="856"/>
      <c r="AF865" s="856"/>
      <c r="AG865" s="856"/>
      <c r="AH865" s="857"/>
      <c r="AI865" s="856"/>
      <c r="AJ865" s="856"/>
      <c r="AK865" s="856"/>
      <c r="AL865" s="856"/>
      <c r="AM865" s="857"/>
      <c r="AN865" s="856" t="str">
        <f t="shared" ref="AN865:AW866" si="1928">IF(AI860="NM","NM",IF(AN860="NM","NM",IF(AI860&lt;=0,"NM",IF(AN860=0,"NM",IF(ABS(AN860/AI860-1)&gt;2.5,"NM",IF((ABS(AN860-AI860)=ABS(ABS(AN860)-ABS(AI860))),(AN860/AI860-1),"NM"))))))</f>
      </c>
      <c r="AO865" s="856" t="str">
        <f t="shared" si="1928"/>
      </c>
      <c r="AP865" s="856" t="str">
        <f t="shared" si="1928"/>
      </c>
      <c r="AQ865" s="856" t="str">
        <f t="shared" si="1928"/>
      </c>
      <c r="AR865" s="857" t="str">
        <f t="shared" si="1928"/>
      </c>
      <c r="AS865" s="856" t="str">
        <f t="shared" si="1928"/>
      </c>
      <c r="AT865" s="856" t="str">
        <f t="shared" si="1928"/>
      </c>
      <c r="AU865" s="856" t="str">
        <f t="shared" si="1928"/>
      </c>
      <c r="AV865" s="856" t="str">
        <f t="shared" si="1928"/>
      </c>
      <c r="AW865" s="857" t="str">
        <f t="shared" si="1928"/>
      </c>
      <c r="AX865" s="856" t="str">
        <f t="shared" ref="AX865:BB866" si="1929">IF(AS860="NM","NM",IF(AX860="NM","NM",IF(AS860&lt;=0,"NM",IF(AX860=0,"NM",IF(ABS(AX860/AS860-1)&gt;2.5,"NM",IF((ABS(AX860-AS860)=ABS(ABS(AX860)-ABS(AS860))),(AX860/AS860-1),"NM"))))))</f>
      </c>
      <c r="AY865" s="856" t="str">
        <f t="shared" si="1929"/>
      </c>
      <c r="AZ865" s="856" t="str">
        <f t="shared" si="1929"/>
      </c>
      <c r="BA865" s="856" t="str">
        <f t="shared" si="1929"/>
      </c>
      <c r="BB865" s="857" t="str">
        <f t="shared" si="1929"/>
      </c>
      <c r="BC865" s="856"/>
      <c r="BD865" s="856"/>
      <c r="BE865" s="856"/>
      <c r="BF865" s="856"/>
      <c r="BG865" s="857"/>
      <c r="BH865" s="856"/>
      <c r="BI865" s="856"/>
      <c r="BJ865" s="856"/>
      <c r="BK865" s="856"/>
      <c r="BL865" s="857"/>
      <c r="BM865" s="856"/>
      <c r="BN865" s="856"/>
      <c r="BO865" s="856"/>
      <c r="BP865" s="856"/>
      <c r="BQ865" s="857"/>
      <c r="BR865" s="856"/>
      <c r="BS865" s="856"/>
      <c r="BT865" s="856"/>
      <c r="BU865" s="856"/>
      <c r="BV865" s="857"/>
      <c r="BW865" s="856"/>
      <c r="BX865" s="856"/>
      <c r="BY865" s="856"/>
      <c r="BZ865" s="856"/>
      <c r="CA865" s="857"/>
      <c r="CB865" s="856"/>
      <c r="CC865" s="856"/>
      <c r="CD865" s="856"/>
      <c r="CE865" s="856"/>
      <c r="CF865" s="857"/>
      <c r="CG865" s="856"/>
      <c r="CH865" s="856"/>
      <c r="CI865" s="856"/>
      <c r="CJ865" s="856"/>
      <c r="CK865" s="857"/>
      <c r="CL865" s="994"/>
      <c r="CM865" s="856"/>
      <c r="CN865" s="856"/>
      <c r="CO865" s="856"/>
      <c r="CP865" s="857"/>
      <c r="CQ865" s="856"/>
      <c r="CR865" s="856"/>
      <c r="CS865" s="856"/>
      <c r="CT865" s="988"/>
      <c r="CU865" s="988"/>
      <c r="CV865" s="856"/>
      <c r="CW865" s="856"/>
      <c r="CX865" s="856"/>
      <c r="CY865" s="988"/>
      <c r="CZ865" s="857"/>
      <c r="DA865" s="856"/>
      <c r="DB865" s="856"/>
      <c r="DC865" s="856"/>
      <c r="DD865" s="988"/>
      <c r="DE865" s="857"/>
      <c r="DF865" s="856"/>
      <c r="DG865" s="856"/>
      <c r="DH865" s="856"/>
      <c r="DI865" s="988"/>
      <c r="DJ865" s="857"/>
      <c r="DK865" s="857"/>
      <c r="DL865" s="857"/>
      <c r="DM865" s="857"/>
      <c r="DN865" s="857"/>
      <c r="DO865" s="857"/>
      <c r="DP865" s="857"/>
      <c r="DQ865" s="857"/>
      <c r="DR865" s="857"/>
      <c r="DS865" s="857"/>
      <c r="DT865" s="857"/>
      <c r="DU865" s="857"/>
      <c r="DV865" s="857"/>
      <c r="DW865" s="857"/>
      <c r="DX865" s="857"/>
      <c r="DY865" s="857"/>
      <c r="DZ865" s="857"/>
      <c r="EA865" s="857"/>
      <c r="EB865" s="857"/>
      <c r="EC865" s="857"/>
      <c r="ED865" s="857"/>
      <c r="EE865" s="994"/>
      <c r="EF865" s="857"/>
      <c r="EG865" s="857"/>
      <c r="EH865" s="857"/>
      <c r="EI865" s="857"/>
      <c r="EJ865" s="856"/>
      <c r="EK865" s="856"/>
      <c r="EL865" s="856"/>
      <c r="EM865" s="856"/>
      <c r="EN865" s="856"/>
      <c r="EO865" s="856"/>
      <c r="EP865" s="856"/>
      <c r="EQ865" s="856"/>
      <c r="ER865" s="856"/>
      <c r="ES865" s="856"/>
      <c r="ET865" s="988"/>
      <c r="EU865" s="856"/>
      <c r="EV865" s="856"/>
      <c r="EW865" s="856"/>
      <c r="EX865" s="856"/>
    </row>
    <row r="866" spans="1:154" outlineLevel="1">
      <c r="B866" s="868" t="s">
        <v>412</v>
      </c>
      <c r="C866" s="990"/>
      <c r="D866" s="849"/>
      <c r="E866" s="849"/>
      <c r="F866" s="849"/>
      <c r="G866" s="849"/>
      <c r="H866" s="849"/>
      <c r="I866" s="849"/>
      <c r="J866" s="849"/>
      <c r="K866" s="849"/>
      <c r="L866" s="849"/>
      <c r="M866" s="849"/>
      <c r="N866" s="849"/>
      <c r="O866" s="849"/>
      <c r="P866" s="849"/>
      <c r="Q866" s="849"/>
      <c r="R866" s="849"/>
      <c r="S866" s="849"/>
      <c r="T866" s="849"/>
      <c r="U866" s="849"/>
      <c r="V866" s="849"/>
      <c r="W866" s="849"/>
      <c r="X866" s="857"/>
      <c r="Y866" s="856"/>
      <c r="Z866" s="856"/>
      <c r="AA866" s="856"/>
      <c r="AB866" s="856"/>
      <c r="AC866" s="857"/>
      <c r="AD866" s="856"/>
      <c r="AE866" s="856"/>
      <c r="AF866" s="856"/>
      <c r="AG866" s="856"/>
      <c r="AH866" s="857"/>
      <c r="AI866" s="856"/>
      <c r="AJ866" s="856"/>
      <c r="AK866" s="856"/>
      <c r="AL866" s="856"/>
      <c r="AM866" s="857"/>
      <c r="AN866" s="856" t="str">
        <f t="shared" si="1928"/>
      </c>
      <c r="AO866" s="856" t="str">
        <f t="shared" si="1928"/>
      </c>
      <c r="AP866" s="856" t="str">
        <f t="shared" si="1928"/>
      </c>
      <c r="AQ866" s="856" t="str">
        <f t="shared" si="1928"/>
      </c>
      <c r="AR866" s="857" t="str">
        <f t="shared" si="1928"/>
      </c>
      <c r="AS866" s="856" t="str">
        <f t="shared" si="1928"/>
      </c>
      <c r="AT866" s="856" t="str">
        <f t="shared" si="1928"/>
      </c>
      <c r="AU866" s="856" t="str">
        <f t="shared" si="1928"/>
      </c>
      <c r="AV866" s="856">
        <f t="shared" si="1928"/>
      </c>
      <c r="AW866" s="857" t="str">
        <f t="shared" si="1928"/>
      </c>
      <c r="AX866" s="856">
        <f t="shared" si="1929"/>
      </c>
      <c r="AY866" s="856">
        <f t="shared" si="1929"/>
      </c>
      <c r="AZ866" s="856">
        <f t="shared" si="1929"/>
      </c>
      <c r="BA866" s="856">
        <f t="shared" si="1929"/>
      </c>
      <c r="BB866" s="857">
        <f t="shared" si="1929"/>
      </c>
      <c r="BC866" s="856"/>
      <c r="BD866" s="856"/>
      <c r="BE866" s="856"/>
      <c r="BF866" s="856"/>
      <c r="BG866" s="857"/>
      <c r="BH866" s="856"/>
      <c r="BI866" s="856"/>
      <c r="BJ866" s="856"/>
      <c r="BK866" s="856"/>
      <c r="BL866" s="859"/>
      <c r="BM866" s="856"/>
      <c r="BN866" s="856"/>
      <c r="BO866" s="856"/>
      <c r="BP866" s="856"/>
      <c r="BQ866" s="859"/>
      <c r="BR866" s="856"/>
      <c r="BS866" s="856"/>
      <c r="BT866" s="856"/>
      <c r="BU866" s="856"/>
      <c r="BV866" s="859"/>
      <c r="BW866" s="856"/>
      <c r="BX866" s="856"/>
      <c r="BY866" s="856"/>
      <c r="BZ866" s="856"/>
      <c r="CA866" s="859"/>
      <c r="CB866" s="856"/>
      <c r="CC866" s="856"/>
      <c r="CD866" s="856"/>
      <c r="CE866" s="856"/>
      <c r="CF866" s="859"/>
      <c r="CG866" s="856"/>
      <c r="CH866" s="856"/>
      <c r="CI866" s="856"/>
      <c r="CJ866" s="856"/>
      <c r="CK866" s="859"/>
      <c r="CL866" s="994"/>
      <c r="CM866" s="856"/>
      <c r="CN866" s="856"/>
      <c r="CO866" s="856"/>
      <c r="CP866" s="859"/>
      <c r="CQ866" s="856"/>
      <c r="CR866" s="856"/>
      <c r="CS866" s="856"/>
      <c r="CT866" s="988"/>
      <c r="CU866" s="986"/>
      <c r="CV866" s="856"/>
      <c r="CW866" s="856"/>
      <c r="CX866" s="856"/>
      <c r="CY866" s="988"/>
      <c r="CZ866" s="859"/>
      <c r="DA866" s="856"/>
      <c r="DB866" s="858"/>
      <c r="DC866" s="858"/>
      <c r="DD866" s="986"/>
      <c r="DE866" s="857"/>
      <c r="DF866" s="856"/>
      <c r="DG866" s="856"/>
      <c r="DH866" s="856"/>
      <c r="DI866" s="988"/>
      <c r="DJ866" s="857"/>
      <c r="DK866" s="857"/>
      <c r="DL866" s="857"/>
      <c r="DM866" s="857"/>
      <c r="DN866" s="857"/>
      <c r="DO866" s="857"/>
      <c r="DP866" s="857"/>
      <c r="DQ866" s="857"/>
      <c r="DR866" s="857"/>
      <c r="DS866" s="857"/>
      <c r="DT866" s="857"/>
      <c r="DU866" s="857"/>
      <c r="DV866" s="857"/>
      <c r="DW866" s="857"/>
      <c r="DX866" s="857"/>
      <c r="DY866" s="857"/>
      <c r="DZ866" s="857"/>
      <c r="EA866" s="857"/>
      <c r="EB866" s="857"/>
      <c r="EC866" s="857"/>
      <c r="ED866" s="857"/>
      <c r="EE866" s="994"/>
      <c r="EF866" s="857"/>
      <c r="EG866" s="857"/>
      <c r="EH866" s="857"/>
      <c r="EI866" s="857"/>
      <c r="EJ866" s="856"/>
      <c r="EK866" s="856"/>
      <c r="EL866" s="856"/>
      <c r="EM866" s="856"/>
      <c r="EN866" s="856"/>
      <c r="EO866" s="856"/>
      <c r="EP866" s="856"/>
      <c r="EQ866" s="856"/>
      <c r="ER866" s="856"/>
      <c r="ES866" s="856"/>
      <c r="ET866" s="988"/>
      <c r="EU866" s="856"/>
      <c r="EV866" s="856"/>
      <c r="EW866" s="856"/>
      <c r="EX866" s="856"/>
    </row>
    <row r="867" spans="1:154" outlineLevel="1">
      <c r="B867" s="868" t="s">
        <v>256</v>
      </c>
      <c r="C867" s="990"/>
      <c r="D867" s="849"/>
      <c r="E867" s="849"/>
      <c r="F867" s="849"/>
      <c r="G867" s="849"/>
      <c r="H867" s="849"/>
      <c r="I867" s="849"/>
      <c r="J867" s="849"/>
      <c r="K867" s="849"/>
      <c r="L867" s="849"/>
      <c r="M867" s="849"/>
      <c r="N867" s="849"/>
      <c r="O867" s="849"/>
      <c r="P867" s="849"/>
      <c r="Q867" s="849"/>
      <c r="R867" s="849"/>
      <c r="S867" s="849"/>
      <c r="T867" s="849"/>
      <c r="U867" s="849"/>
      <c r="V867" s="849"/>
      <c r="W867" s="849"/>
      <c r="X867" s="859"/>
      <c r="Y867" s="860"/>
      <c r="Z867" s="860"/>
      <c r="AA867" s="860"/>
      <c r="AB867" s="860"/>
      <c r="AC867" s="859"/>
      <c r="AD867" s="860"/>
      <c r="AE867" s="860"/>
      <c r="AF867" s="860"/>
      <c r="AG867" s="860"/>
      <c r="AH867" s="859"/>
      <c r="AI867" s="860"/>
      <c r="AJ867" s="860"/>
      <c r="AK867" s="860"/>
      <c r="AL867" s="860"/>
      <c r="AM867" s="859"/>
      <c r="AN867" s="858" t="str">
        <f t="shared" ref="AN867:BB867" si="1930">IF(ISNUMBER(AN866),(1+AN866)/(1+AN$21)-1,"NM")</f>
      </c>
      <c r="AO867" s="858" t="str">
        <f t="shared" si="1930"/>
      </c>
      <c r="AP867" s="858" t="str">
        <f t="shared" si="1930"/>
      </c>
      <c r="AQ867" s="858" t="str">
        <f t="shared" si="1930"/>
      </c>
      <c r="AR867" s="859" t="str">
        <f t="shared" si="1930"/>
      </c>
      <c r="AS867" s="858" t="str">
        <f t="shared" si="1930"/>
      </c>
      <c r="AT867" s="858" t="str">
        <f t="shared" si="1930"/>
      </c>
      <c r="AU867" s="858" t="str">
        <f t="shared" si="1930"/>
      </c>
      <c r="AV867" s="858">
        <f t="shared" si="1930"/>
      </c>
      <c r="AW867" s="859" t="str">
        <f t="shared" si="1930"/>
      </c>
      <c r="AX867" s="858">
        <f t="shared" si="1930"/>
      </c>
      <c r="AY867" s="858">
        <f t="shared" si="1930"/>
      </c>
      <c r="AZ867" s="858">
        <f t="shared" si="1930"/>
      </c>
      <c r="BA867" s="858">
        <f t="shared" si="1930"/>
      </c>
      <c r="BB867" s="859">
        <f t="shared" si="1930"/>
      </c>
      <c r="BC867" s="863"/>
      <c r="BD867" s="863"/>
      <c r="BE867" s="863"/>
      <c r="BF867" s="863"/>
      <c r="BG867" s="862"/>
      <c r="BH867" s="863"/>
      <c r="BI867" s="863"/>
      <c r="BJ867" s="863"/>
      <c r="BK867" s="863"/>
      <c r="BL867" s="862"/>
      <c r="BM867" s="863"/>
      <c r="BN867" s="863"/>
      <c r="BO867" s="863"/>
      <c r="BP867" s="863"/>
      <c r="BQ867" s="862"/>
      <c r="BR867" s="863"/>
      <c r="BS867" s="863"/>
      <c r="BT867" s="863"/>
      <c r="BU867" s="863"/>
      <c r="BV867" s="862"/>
      <c r="BW867" s="863"/>
      <c r="BX867" s="863"/>
      <c r="BY867" s="863"/>
      <c r="BZ867" s="863"/>
      <c r="CA867" s="862"/>
      <c r="CB867" s="863"/>
      <c r="CC867" s="863"/>
      <c r="CD867" s="863"/>
      <c r="CE867" s="863"/>
      <c r="CF867" s="862"/>
      <c r="CG867" s="863"/>
      <c r="CH867" s="863"/>
      <c r="CI867" s="863"/>
      <c r="CJ867" s="863"/>
      <c r="CK867" s="862"/>
      <c r="CL867" s="996"/>
      <c r="CM867" s="863"/>
      <c r="CN867" s="863"/>
      <c r="CO867" s="863"/>
      <c r="CP867" s="862"/>
      <c r="CQ867" s="863"/>
      <c r="CR867" s="863"/>
      <c r="CS867" s="863"/>
      <c r="CT867" s="989"/>
      <c r="CU867" s="989"/>
      <c r="CV867" s="863"/>
      <c r="CW867" s="863"/>
      <c r="CX867" s="863"/>
      <c r="CY867" s="989"/>
      <c r="CZ867" s="862"/>
      <c r="DA867" s="863"/>
      <c r="DB867" s="863"/>
      <c r="DC867" s="863"/>
      <c r="DD867" s="989"/>
      <c r="DE867" s="862"/>
      <c r="DF867" s="863"/>
      <c r="DG867" s="863"/>
      <c r="DH867" s="863"/>
      <c r="DI867" s="989"/>
      <c r="DJ867" s="862"/>
      <c r="DK867" s="862"/>
      <c r="DL867" s="862"/>
      <c r="DM867" s="862"/>
      <c r="DN867" s="862"/>
      <c r="DO867" s="862"/>
      <c r="DP867" s="862"/>
      <c r="DQ867" s="862"/>
      <c r="DR867" s="862"/>
      <c r="DS867" s="862"/>
      <c r="DT867" s="862"/>
      <c r="DU867" s="862"/>
      <c r="DV867" s="862"/>
      <c r="DW867" s="862"/>
      <c r="DX867" s="862"/>
      <c r="DY867" s="862"/>
      <c r="DZ867" s="862"/>
      <c r="EA867" s="862"/>
      <c r="EB867" s="862"/>
      <c r="EC867" s="862"/>
      <c r="ED867" s="862"/>
      <c r="EE867" s="996"/>
      <c r="EF867" s="862"/>
      <c r="EG867" s="862"/>
      <c r="EH867" s="862"/>
      <c r="EI867" s="862"/>
      <c r="EJ867" s="863"/>
      <c r="EK867" s="863"/>
      <c r="EL867" s="863"/>
      <c r="EM867" s="863"/>
      <c r="EN867" s="863"/>
      <c r="EO867" s="863"/>
      <c r="EP867" s="863"/>
      <c r="EQ867" s="863"/>
      <c r="ER867" s="863"/>
      <c r="ES867" s="863"/>
      <c r="ET867" s="989"/>
      <c r="EU867" s="863"/>
      <c r="EV867" s="863"/>
      <c r="EW867" s="863"/>
      <c r="EX867" s="863"/>
    </row>
    <row r="868" spans="1:154" outlineLevel="1">
      <c r="B868" s="868" t="s">
        <v>413</v>
      </c>
      <c r="C868" s="990"/>
      <c r="D868" s="849"/>
      <c r="E868" s="849"/>
      <c r="F868" s="849"/>
      <c r="G868" s="849"/>
      <c r="H868" s="849"/>
      <c r="I868" s="849"/>
      <c r="J868" s="849"/>
      <c r="K868" s="849"/>
      <c r="L868" s="849"/>
      <c r="M868" s="849"/>
      <c r="N868" s="849"/>
      <c r="O868" s="849"/>
      <c r="P868" s="849"/>
      <c r="Q868" s="849"/>
      <c r="R868" s="849"/>
      <c r="S868" s="849"/>
      <c r="T868" s="849"/>
      <c r="U868" s="849"/>
      <c r="V868" s="849"/>
      <c r="W868" s="849"/>
      <c r="X868" s="857"/>
      <c r="Y868" s="856"/>
      <c r="Z868" s="856"/>
      <c r="AA868" s="856"/>
      <c r="AB868" s="856"/>
      <c r="AC868" s="857"/>
      <c r="AD868" s="856"/>
      <c r="AE868" s="856"/>
      <c r="AF868" s="856"/>
      <c r="AG868" s="856"/>
      <c r="AH868" s="857"/>
      <c r="AI868" s="856"/>
      <c r="AJ868" s="856"/>
      <c r="AK868" s="856"/>
      <c r="AL868" s="856"/>
      <c r="AM868" s="857"/>
      <c r="AN868" s="856" t="str">
        <f t="shared" ref="AN868:BB868" si="1931">IF(AI862="NM","NM",IF(AN862="NM","NM",IF(AI862&lt;=0,"NM",IF(AN862=0,"NM",IF(ABS(AN862/AI862-1)&gt;2.5,"NM",IF((ABS(AN862-AI862)=ABS(ABS(AN862)-ABS(AI862))),(AN862/AI862-1),"NM"))))))</f>
      </c>
      <c r="AO868" s="856" t="str">
        <f t="shared" si="1931"/>
      </c>
      <c r="AP868" s="856" t="str">
        <f t="shared" si="1931"/>
      </c>
      <c r="AQ868" s="856" t="str">
        <f t="shared" si="1931"/>
      </c>
      <c r="AR868" s="857" t="str">
        <f t="shared" si="1931"/>
      </c>
      <c r="AS868" s="856" t="str">
        <f t="shared" si="1931"/>
      </c>
      <c r="AT868" s="856" t="str">
        <f t="shared" si="1931"/>
      </c>
      <c r="AU868" s="856" t="str">
        <f t="shared" si="1931"/>
      </c>
      <c r="AV868" s="856">
        <f t="shared" si="1931"/>
      </c>
      <c r="AW868" s="857" t="str">
        <f t="shared" si="1931"/>
      </c>
      <c r="AX868" s="856">
        <f t="shared" si="1931"/>
      </c>
      <c r="AY868" s="856">
        <f t="shared" si="1931"/>
      </c>
      <c r="AZ868" s="856">
        <f t="shared" si="1931"/>
      </c>
      <c r="BA868" s="856">
        <f t="shared" si="1931"/>
      </c>
      <c r="BB868" s="857">
        <f t="shared" si="1931"/>
      </c>
      <c r="BC868" s="856"/>
      <c r="BD868" s="856"/>
      <c r="BE868" s="856"/>
      <c r="BF868" s="856"/>
      <c r="BG868" s="857"/>
      <c r="BH868" s="856"/>
      <c r="BI868" s="856"/>
      <c r="BJ868" s="856"/>
      <c r="BK868" s="856"/>
      <c r="BL868" s="857"/>
      <c r="BM868" s="856"/>
      <c r="BN868" s="856"/>
      <c r="BO868" s="856"/>
      <c r="BP868" s="856"/>
      <c r="BQ868" s="857"/>
      <c r="BR868" s="856"/>
      <c r="BS868" s="856"/>
      <c r="BT868" s="856"/>
      <c r="BU868" s="856"/>
      <c r="BV868" s="857"/>
      <c r="BW868" s="856"/>
      <c r="BX868" s="856"/>
      <c r="BY868" s="856"/>
      <c r="BZ868" s="856"/>
      <c r="CA868" s="857"/>
      <c r="CB868" s="856"/>
      <c r="CC868" s="856"/>
      <c r="CD868" s="856"/>
      <c r="CE868" s="856"/>
      <c r="CF868" s="857"/>
      <c r="CG868" s="856"/>
      <c r="CH868" s="856"/>
      <c r="CI868" s="856"/>
      <c r="CJ868" s="856"/>
      <c r="CK868" s="857"/>
      <c r="CL868" s="994"/>
      <c r="CM868" s="856"/>
      <c r="CN868" s="856"/>
      <c r="CO868" s="856"/>
      <c r="CP868" s="857"/>
      <c r="CQ868" s="856"/>
      <c r="CR868" s="856"/>
      <c r="CS868" s="856"/>
      <c r="CT868" s="988"/>
      <c r="CU868" s="988"/>
      <c r="CV868" s="856"/>
      <c r="CW868" s="856"/>
      <c r="CX868" s="856"/>
      <c r="CY868" s="988"/>
      <c r="CZ868" s="857"/>
      <c r="DA868" s="856"/>
      <c r="DB868" s="856"/>
      <c r="DC868" s="856"/>
      <c r="DD868" s="988"/>
      <c r="DE868" s="857"/>
      <c r="DF868" s="856"/>
      <c r="DG868" s="856"/>
      <c r="DH868" s="856"/>
      <c r="DI868" s="988"/>
      <c r="DJ868" s="857"/>
      <c r="DK868" s="857"/>
      <c r="DL868" s="857"/>
      <c r="DM868" s="857"/>
      <c r="DN868" s="857"/>
      <c r="DO868" s="857"/>
      <c r="DP868" s="857"/>
      <c r="DQ868" s="857"/>
      <c r="DR868" s="857"/>
      <c r="DS868" s="857"/>
      <c r="DT868" s="857"/>
      <c r="DU868" s="857"/>
      <c r="DV868" s="857"/>
      <c r="DW868" s="857"/>
      <c r="DX868" s="857"/>
      <c r="DY868" s="857"/>
      <c r="DZ868" s="857"/>
      <c r="EA868" s="857"/>
      <c r="EB868" s="857"/>
      <c r="EC868" s="857"/>
      <c r="ED868" s="857"/>
      <c r="EE868" s="994"/>
      <c r="EF868" s="857"/>
      <c r="EG868" s="857"/>
      <c r="EH868" s="857"/>
      <c r="EI868" s="857"/>
      <c r="EJ868" s="856"/>
      <c r="EK868" s="856"/>
      <c r="EL868" s="856"/>
      <c r="EM868" s="856"/>
      <c r="EN868" s="856"/>
      <c r="EO868" s="856"/>
      <c r="EP868" s="856"/>
      <c r="EQ868" s="856"/>
      <c r="ER868" s="856"/>
      <c r="ES868" s="856"/>
      <c r="ET868" s="988"/>
      <c r="EU868" s="856"/>
      <c r="EV868" s="856"/>
      <c r="EW868" s="856"/>
      <c r="EX868" s="856"/>
    </row>
    <row r="869" spans="1:154" outlineLevel="1">
      <c r="B869" s="866" t="s">
        <v>391</v>
      </c>
      <c r="C869" s="990"/>
      <c r="D869" s="849"/>
      <c r="E869" s="849"/>
      <c r="F869" s="849"/>
      <c r="G869" s="849"/>
      <c r="H869" s="849"/>
      <c r="I869" s="849"/>
      <c r="J869" s="849"/>
      <c r="K869" s="849"/>
      <c r="L869" s="849"/>
      <c r="M869" s="849"/>
      <c r="N869" s="849"/>
      <c r="O869" s="849"/>
      <c r="P869" s="849"/>
      <c r="Q869" s="849"/>
      <c r="R869" s="849"/>
      <c r="S869" s="849"/>
      <c r="T869" s="849"/>
      <c r="U869" s="849"/>
      <c r="V869" s="849"/>
      <c r="W869" s="849"/>
      <c r="X869" s="850"/>
      <c r="Y869" s="849"/>
      <c r="Z869" s="849"/>
      <c r="AA869" s="849"/>
      <c r="AB869" s="849"/>
      <c r="AC869" s="850"/>
      <c r="AD869" s="849"/>
      <c r="AE869" s="849"/>
      <c r="AF869" s="849"/>
      <c r="AG869" s="849"/>
      <c r="AH869" s="850"/>
      <c r="AI869" s="849"/>
      <c r="AJ869" s="849"/>
      <c r="AK869" s="849"/>
      <c r="AL869" s="849"/>
      <c r="AM869" s="850"/>
      <c r="AN869" s="849"/>
      <c r="AO869" s="849"/>
      <c r="AP869" s="849"/>
      <c r="AQ869" s="849"/>
      <c r="AR869" s="850"/>
      <c r="AS869" s="849"/>
      <c r="AT869" s="849"/>
      <c r="AU869" s="849"/>
      <c r="AV869" s="849"/>
      <c r="AW869" s="850"/>
      <c r="AX869" s="849"/>
      <c r="AY869" s="849"/>
      <c r="AZ869" s="849"/>
      <c r="BA869" s="849"/>
      <c r="BB869" s="850"/>
      <c r="BC869" s="849"/>
      <c r="BD869" s="849"/>
      <c r="BE869" s="849"/>
      <c r="BF869" s="849"/>
      <c r="BG869" s="850"/>
      <c r="BH869" s="849"/>
      <c r="BI869" s="849"/>
      <c r="BJ869" s="849"/>
      <c r="BK869" s="849"/>
      <c r="BL869" s="850"/>
      <c r="BM869" s="849"/>
      <c r="BN869" s="849"/>
      <c r="BO869" s="849"/>
      <c r="BP869" s="849"/>
      <c r="BQ869" s="850"/>
      <c r="BR869" s="849"/>
      <c r="BS869" s="849"/>
      <c r="BT869" s="849"/>
      <c r="BU869" s="849"/>
      <c r="BV869" s="850"/>
      <c r="BW869" s="849"/>
      <c r="BX869" s="849"/>
      <c r="BY869" s="849"/>
      <c r="BZ869" s="849"/>
      <c r="CA869" s="850"/>
      <c r="CB869" s="849"/>
      <c r="CC869" s="849"/>
      <c r="CD869" s="849"/>
      <c r="CE869" s="849"/>
      <c r="CF869" s="850"/>
      <c r="CG869" s="849"/>
      <c r="CH869" s="849"/>
      <c r="CI869" s="849"/>
      <c r="CJ869" s="849"/>
      <c r="CK869" s="850"/>
      <c r="CL869" s="993"/>
      <c r="CM869" s="849"/>
      <c r="CN869" s="849"/>
      <c r="CO869" s="849"/>
      <c r="CP869" s="850"/>
      <c r="CQ869" s="849"/>
      <c r="CR869" s="849"/>
      <c r="CS869" s="849"/>
      <c r="CT869" s="985"/>
      <c r="CU869" s="985"/>
      <c r="CV869" s="849"/>
      <c r="CW869" s="849"/>
      <c r="CX869" s="849"/>
      <c r="CY869" s="985"/>
      <c r="CZ869" s="850"/>
      <c r="DA869" s="849"/>
      <c r="DB869" s="849"/>
      <c r="DC869" s="849"/>
      <c r="DD869" s="985"/>
      <c r="DE869" s="1889"/>
      <c r="DF869" s="1890"/>
      <c r="DG869" s="1890"/>
      <c r="DH869" s="1890"/>
      <c r="DI869" s="1891"/>
      <c r="DJ869" s="1889"/>
      <c r="DK869" s="1889"/>
      <c r="DL869" s="1889"/>
      <c r="DM869" s="1889"/>
      <c r="DN869" s="1889"/>
      <c r="DO869" s="1889"/>
      <c r="DP869" s="1889"/>
      <c r="DQ869" s="1889"/>
      <c r="DR869" s="1889"/>
      <c r="DS869" s="1889"/>
      <c r="DT869" s="1889"/>
      <c r="DU869" s="1889"/>
      <c r="DV869" s="1889"/>
      <c r="DW869" s="1889"/>
      <c r="DX869" s="1889"/>
      <c r="DY869" s="1889"/>
      <c r="DZ869" s="1889"/>
      <c r="EA869" s="1889"/>
      <c r="EB869" s="1889"/>
      <c r="EC869" s="1889"/>
      <c r="ED869" s="1889"/>
      <c r="EE869" s="3550"/>
      <c r="EF869" s="1889"/>
      <c r="EG869" s="1889"/>
      <c r="EH869" s="1889"/>
      <c r="EI869" s="1889"/>
      <c r="EJ869" s="1890"/>
      <c r="EK869" s="1890"/>
      <c r="EL869" s="1890"/>
      <c r="EM869" s="1890"/>
      <c r="EN869" s="1890"/>
      <c r="EO869" s="1890"/>
      <c r="EP869" s="1890"/>
      <c r="EQ869" s="1890"/>
      <c r="ER869" s="1890"/>
      <c r="ES869" s="1890"/>
      <c r="ET869" s="1891"/>
      <c r="EU869" s="1890"/>
      <c r="EV869" s="1890"/>
      <c r="EW869" s="1890"/>
      <c r="EX869" s="1890"/>
    </row>
    <row r="870" spans="1:154" outlineLevel="1">
      <c r="B870" s="865" t="s">
        <v>187</v>
      </c>
      <c r="C870" s="990"/>
      <c r="D870" s="849"/>
      <c r="E870" s="849"/>
      <c r="F870" s="849"/>
      <c r="G870" s="849"/>
      <c r="H870" s="849"/>
      <c r="I870" s="849"/>
      <c r="J870" s="849"/>
      <c r="K870" s="849"/>
      <c r="L870" s="849"/>
      <c r="M870" s="849"/>
      <c r="N870" s="849"/>
      <c r="O870" s="849"/>
      <c r="P870" s="849"/>
      <c r="Q870" s="849"/>
      <c r="R870" s="849"/>
      <c r="S870" s="849">
        <v>0</v>
      </c>
      <c r="T870" s="849"/>
      <c r="U870" s="849"/>
      <c r="V870" s="849"/>
      <c r="W870" s="849"/>
      <c r="X870" s="850">
        <v>0</v>
      </c>
      <c r="Y870" s="849"/>
      <c r="Z870" s="849"/>
      <c r="AA870" s="849"/>
      <c r="AB870" s="849"/>
      <c r="AC870" s="850">
        <v>0</v>
      </c>
      <c r="AD870" s="849">
        <v>0</v>
      </c>
      <c r="AE870" s="849">
        <v>0</v>
      </c>
      <c r="AF870" s="849">
        <v>0</v>
      </c>
      <c r="AG870" s="849">
        <v>0</v>
      </c>
      <c r="AH870" s="850"/>
      <c r="AI870" s="849"/>
      <c r="AJ870" s="849"/>
      <c r="AK870" s="849"/>
      <c r="AL870" s="849"/>
      <c r="AM870" s="850"/>
      <c r="AN870" s="849"/>
      <c r="AO870" s="849"/>
      <c r="AP870" s="849"/>
      <c r="AQ870" s="849"/>
      <c r="AR870" s="850"/>
      <c r="AS870" s="849"/>
      <c r="AT870" s="849"/>
      <c r="AU870" s="849"/>
      <c r="AV870" s="849"/>
      <c r="AW870" s="850"/>
      <c r="AX870" s="849">
        <v>0</v>
      </c>
      <c r="AY870" s="849">
        <v>0</v>
      </c>
      <c r="AZ870" s="849"/>
      <c r="BA870" s="849">
        <f>+BB870-SUM(AX870:AZ870)</f>
      </c>
      <c r="BB870" s="850">
        <v>0</v>
      </c>
      <c r="BC870" s="849"/>
      <c r="BD870" s="849"/>
      <c r="BE870" s="849"/>
      <c r="BF870" s="849"/>
      <c r="BG870" s="850"/>
      <c r="BH870" s="849"/>
      <c r="BI870" s="849"/>
      <c r="BJ870" s="849"/>
      <c r="BK870" s="849"/>
      <c r="BL870" s="850"/>
      <c r="BM870" s="849"/>
      <c r="BN870" s="849"/>
      <c r="BO870" s="849"/>
      <c r="BP870" s="849"/>
      <c r="BQ870" s="850"/>
      <c r="BR870" s="849"/>
      <c r="BS870" s="849"/>
      <c r="BT870" s="849"/>
      <c r="BU870" s="849"/>
      <c r="BV870" s="850"/>
      <c r="BW870" s="849"/>
      <c r="BX870" s="849"/>
      <c r="BY870" s="849"/>
      <c r="BZ870" s="849"/>
      <c r="CA870" s="850"/>
      <c r="CB870" s="849"/>
      <c r="CC870" s="849"/>
      <c r="CD870" s="849"/>
      <c r="CE870" s="849"/>
      <c r="CF870" s="850"/>
      <c r="CG870" s="849"/>
      <c r="CH870" s="849"/>
      <c r="CI870" s="849"/>
      <c r="CJ870" s="849"/>
      <c r="CK870" s="850"/>
      <c r="CL870" s="993"/>
      <c r="CM870" s="849"/>
      <c r="CN870" s="849"/>
      <c r="CO870" s="849"/>
      <c r="CP870" s="850"/>
      <c r="CQ870" s="849"/>
      <c r="CR870" s="849"/>
      <c r="CS870" s="849"/>
      <c r="CT870" s="985"/>
      <c r="CU870" s="985"/>
      <c r="CV870" s="849"/>
      <c r="CW870" s="849"/>
      <c r="CX870" s="849"/>
      <c r="CY870" s="985"/>
      <c r="CZ870" s="850"/>
      <c r="DA870" s="849"/>
      <c r="DB870" s="849"/>
      <c r="DC870" s="849"/>
      <c r="DD870" s="985"/>
      <c r="DE870" s="1889"/>
      <c r="DF870" s="1890"/>
      <c r="DG870" s="1890"/>
      <c r="DH870" s="1890"/>
      <c r="DI870" s="1891"/>
      <c r="DJ870" s="1889"/>
      <c r="DK870" s="1889"/>
      <c r="DL870" s="1889"/>
      <c r="DM870" s="1889"/>
      <c r="DN870" s="1889"/>
      <c r="DO870" s="1889"/>
      <c r="DP870" s="1889"/>
      <c r="DQ870" s="1889"/>
      <c r="DR870" s="1889"/>
      <c r="DS870" s="1889"/>
      <c r="DT870" s="1889"/>
      <c r="DU870" s="1889"/>
      <c r="DV870" s="1889"/>
      <c r="DW870" s="1889"/>
      <c r="DX870" s="1889"/>
      <c r="DY870" s="1889"/>
      <c r="DZ870" s="1889"/>
      <c r="EA870" s="1889"/>
      <c r="EB870" s="1889"/>
      <c r="EC870" s="1889"/>
      <c r="ED870" s="1889"/>
      <c r="EE870" s="3550"/>
      <c r="EF870" s="1889"/>
      <c r="EG870" s="1889"/>
      <c r="EH870" s="1889"/>
      <c r="EI870" s="1889"/>
      <c r="EJ870" s="1890"/>
      <c r="EK870" s="1890"/>
      <c r="EL870" s="1890"/>
      <c r="EM870" s="1890"/>
      <c r="EN870" s="1890"/>
      <c r="EO870" s="1890"/>
      <c r="EP870" s="1890"/>
      <c r="EQ870" s="1890"/>
      <c r="ER870" s="1890"/>
      <c r="ES870" s="1890"/>
      <c r="ET870" s="1891"/>
      <c r="EU870" s="1890"/>
      <c r="EV870" s="1890"/>
      <c r="EW870" s="1890"/>
      <c r="EX870" s="1890"/>
    </row>
    <row r="871" spans="1:154" outlineLevel="1">
      <c r="B871" s="865" t="s">
        <v>412</v>
      </c>
      <c r="C871" s="990"/>
      <c r="D871" s="849"/>
      <c r="E871" s="849"/>
      <c r="F871" s="849"/>
      <c r="G871" s="849"/>
      <c r="H871" s="849"/>
      <c r="I871" s="849"/>
      <c r="J871" s="849"/>
      <c r="K871" s="849"/>
      <c r="L871" s="849"/>
      <c r="M871" s="849"/>
      <c r="N871" s="849"/>
      <c r="O871" s="849"/>
      <c r="P871" s="849"/>
      <c r="Q871" s="849"/>
      <c r="R871" s="849"/>
      <c r="S871" s="849">
        <v>0</v>
      </c>
      <c r="T871" s="849"/>
      <c r="U871" s="849"/>
      <c r="V871" s="849"/>
      <c r="W871" s="849"/>
      <c r="X871" s="850">
        <v>0</v>
      </c>
      <c r="Y871" s="849"/>
      <c r="Z871" s="849"/>
      <c r="AA871" s="849"/>
      <c r="AB871" s="849"/>
      <c r="AC871" s="850">
        <v>0</v>
      </c>
      <c r="AD871" s="849">
        <v>0</v>
      </c>
      <c r="AE871" s="849">
        <v>0</v>
      </c>
      <c r="AF871" s="849">
        <v>0</v>
      </c>
      <c r="AG871" s="849">
        <v>0</v>
      </c>
      <c r="AH871" s="850"/>
      <c r="AI871" s="849"/>
      <c r="AJ871" s="849"/>
      <c r="AK871" s="849"/>
      <c r="AL871" s="849"/>
      <c r="AM871" s="850"/>
      <c r="AN871" s="849"/>
      <c r="AO871" s="849"/>
      <c r="AP871" s="849"/>
      <c r="AQ871" s="849"/>
      <c r="AR871" s="850"/>
      <c r="AS871" s="849"/>
      <c r="AT871" s="849"/>
      <c r="AU871" s="849"/>
      <c r="AV871" s="849"/>
      <c r="AW871" s="850"/>
      <c r="AX871" s="849">
        <v>2</v>
      </c>
      <c r="AY871" s="849">
        <v>5</v>
      </c>
      <c r="AZ871" s="849">
        <v>3</v>
      </c>
      <c r="BA871" s="849">
        <f>+BB871-SUM(AX871:AZ871)</f>
      </c>
      <c r="BB871" s="850">
        <v>10</v>
      </c>
      <c r="BC871" s="849"/>
      <c r="BD871" s="849"/>
      <c r="BE871" s="849"/>
      <c r="BF871" s="849"/>
      <c r="BG871" s="850"/>
      <c r="BH871" s="849"/>
      <c r="BI871" s="849"/>
      <c r="BJ871" s="849"/>
      <c r="BK871" s="849"/>
      <c r="BL871" s="850"/>
      <c r="BM871" s="849"/>
      <c r="BN871" s="849"/>
      <c r="BO871" s="849"/>
      <c r="BP871" s="849"/>
      <c r="BQ871" s="850"/>
      <c r="BR871" s="849"/>
      <c r="BS871" s="849"/>
      <c r="BT871" s="849"/>
      <c r="BU871" s="849"/>
      <c r="BV871" s="850"/>
      <c r="BW871" s="849"/>
      <c r="BX871" s="849"/>
      <c r="BY871" s="849"/>
      <c r="BZ871" s="849"/>
      <c r="CA871" s="850"/>
      <c r="CB871" s="849"/>
      <c r="CC871" s="849"/>
      <c r="CD871" s="849"/>
      <c r="CE871" s="849"/>
      <c r="CF871" s="850"/>
      <c r="CG871" s="849"/>
      <c r="CH871" s="849"/>
      <c r="CI871" s="849"/>
      <c r="CJ871" s="849"/>
      <c r="CK871" s="850"/>
      <c r="CL871" s="993"/>
      <c r="CM871" s="849"/>
      <c r="CN871" s="849"/>
      <c r="CO871" s="849"/>
      <c r="CP871" s="850"/>
      <c r="CQ871" s="849"/>
      <c r="CR871" s="849"/>
      <c r="CS871" s="849"/>
      <c r="CT871" s="985"/>
      <c r="CU871" s="985"/>
      <c r="CV871" s="849"/>
      <c r="CW871" s="849"/>
      <c r="CX871" s="849"/>
      <c r="CY871" s="985"/>
      <c r="CZ871" s="850"/>
      <c r="DA871" s="849"/>
      <c r="DB871" s="849"/>
      <c r="DC871" s="849"/>
      <c r="DD871" s="985"/>
      <c r="DE871" s="1889"/>
      <c r="DF871" s="1890"/>
      <c r="DG871" s="1890"/>
      <c r="DH871" s="1890"/>
      <c r="DI871" s="1891"/>
      <c r="DJ871" s="1889"/>
      <c r="DK871" s="1889"/>
      <c r="DL871" s="1889"/>
      <c r="DM871" s="1889"/>
      <c r="DN871" s="1889"/>
      <c r="DO871" s="1889"/>
      <c r="DP871" s="1889"/>
      <c r="DQ871" s="1889"/>
      <c r="DR871" s="1889"/>
      <c r="DS871" s="1889"/>
      <c r="DT871" s="1889"/>
      <c r="DU871" s="1889"/>
      <c r="DV871" s="1889"/>
      <c r="DW871" s="1889"/>
      <c r="DX871" s="1889"/>
      <c r="DY871" s="1889"/>
      <c r="DZ871" s="1889"/>
      <c r="EA871" s="1889"/>
      <c r="EB871" s="1889"/>
      <c r="EC871" s="1889"/>
      <c r="ED871" s="1889"/>
      <c r="EE871" s="3550"/>
      <c r="EF871" s="1889"/>
      <c r="EG871" s="1889"/>
      <c r="EH871" s="1889"/>
      <c r="EI871" s="1889"/>
      <c r="EJ871" s="1890"/>
      <c r="EK871" s="1890"/>
      <c r="EL871" s="1890"/>
      <c r="EM871" s="1890"/>
      <c r="EN871" s="1890"/>
      <c r="EO871" s="1890"/>
      <c r="EP871" s="1890"/>
      <c r="EQ871" s="1890"/>
      <c r="ER871" s="1890"/>
      <c r="ES871" s="1890"/>
      <c r="ET871" s="1891"/>
      <c r="EU871" s="1890"/>
      <c r="EV871" s="1890"/>
      <c r="EW871" s="1890"/>
      <c r="EX871" s="1890"/>
    </row>
    <row r="872" spans="1:154" outlineLevel="1">
      <c r="B872" s="865" t="s">
        <v>413</v>
      </c>
      <c r="C872" s="990"/>
      <c r="D872" s="849"/>
      <c r="E872" s="849"/>
      <c r="F872" s="849"/>
      <c r="G872" s="849"/>
      <c r="H872" s="849"/>
      <c r="I872" s="849"/>
      <c r="J872" s="849"/>
      <c r="K872" s="849"/>
      <c r="L872" s="849"/>
      <c r="M872" s="849"/>
      <c r="N872" s="849"/>
      <c r="O872" s="849"/>
      <c r="P872" s="849"/>
      <c r="Q872" s="849"/>
      <c r="R872" s="849"/>
      <c r="S872" s="849">
        <f>SUM(S870:S871)</f>
      </c>
      <c r="T872" s="849"/>
      <c r="U872" s="849"/>
      <c r="V872" s="849"/>
      <c r="W872" s="849"/>
      <c r="X872" s="850">
        <f>SUM(X870:X871)</f>
      </c>
      <c r="Y872" s="849"/>
      <c r="Z872" s="849"/>
      <c r="AA872" s="849"/>
      <c r="AB872" s="849"/>
      <c r="AC872" s="850">
        <f>SUM(AC870:AC871)</f>
      </c>
      <c r="AD872" s="849">
        <f>SUM(AD870:AD871)</f>
      </c>
      <c r="AE872" s="849">
        <f>SUM(AE870:AE871)</f>
      </c>
      <c r="AF872" s="849">
        <f>SUM(AF870:AF871)</f>
      </c>
      <c r="AG872" s="849">
        <f>SUM(AG870:AG871)</f>
      </c>
      <c r="AH872" s="850"/>
      <c r="AI872" s="849"/>
      <c r="AJ872" s="849"/>
      <c r="AK872" s="849"/>
      <c r="AL872" s="849"/>
      <c r="AM872" s="850"/>
      <c r="AN872" s="849"/>
      <c r="AO872" s="849"/>
      <c r="AP872" s="849"/>
      <c r="AQ872" s="849"/>
      <c r="AR872" s="850"/>
      <c r="AS872" s="849"/>
      <c r="AT872" s="849"/>
      <c r="AU872" s="849"/>
      <c r="AV872" s="849"/>
      <c r="AW872" s="850"/>
      <c r="AX872" s="849">
        <f>SUM(AX870:AX871)</f>
      </c>
      <c r="AY872" s="849">
        <f>SUM(AY870:AY871)</f>
      </c>
      <c r="AZ872" s="849">
        <f>SUM(AZ870:AZ871)</f>
      </c>
      <c r="BA872" s="849">
        <f>SUM(BA870:BA871)</f>
      </c>
      <c r="BB872" s="850">
        <f>SUM(BB870:BB871)</f>
      </c>
      <c r="BC872" s="849"/>
      <c r="BD872" s="849"/>
      <c r="BE872" s="849"/>
      <c r="BF872" s="849"/>
      <c r="BG872" s="850"/>
      <c r="BH872" s="849"/>
      <c r="BI872" s="849"/>
      <c r="BJ872" s="849"/>
      <c r="BK872" s="849"/>
      <c r="BL872" s="850"/>
      <c r="BM872" s="849"/>
      <c r="BN872" s="849"/>
      <c r="BO872" s="849"/>
      <c r="BP872" s="849"/>
      <c r="BQ872" s="850"/>
      <c r="BR872" s="849"/>
      <c r="BS872" s="849"/>
      <c r="BT872" s="849"/>
      <c r="BU872" s="849"/>
      <c r="BV872" s="850"/>
      <c r="BW872" s="849"/>
      <c r="BX872" s="849"/>
      <c r="BY872" s="849"/>
      <c r="BZ872" s="849"/>
      <c r="CA872" s="850"/>
      <c r="CB872" s="849"/>
      <c r="CC872" s="849"/>
      <c r="CD872" s="849"/>
      <c r="CE872" s="849"/>
      <c r="CF872" s="850"/>
      <c r="CG872" s="849"/>
      <c r="CH872" s="849"/>
      <c r="CI872" s="849"/>
      <c r="CJ872" s="849"/>
      <c r="CK872" s="850"/>
      <c r="CL872" s="993"/>
      <c r="CM872" s="849"/>
      <c r="CN872" s="849"/>
      <c r="CO872" s="849"/>
      <c r="CP872" s="850"/>
      <c r="CQ872" s="849"/>
      <c r="CR872" s="849"/>
      <c r="CS872" s="849"/>
      <c r="CT872" s="985"/>
      <c r="CU872" s="985"/>
      <c r="CV872" s="849"/>
      <c r="CW872" s="849"/>
      <c r="CX872" s="849"/>
      <c r="CY872" s="985"/>
      <c r="CZ872" s="850"/>
      <c r="DA872" s="849"/>
      <c r="DB872" s="849"/>
      <c r="DC872" s="849"/>
      <c r="DD872" s="985"/>
      <c r="DE872" s="1889"/>
      <c r="DF872" s="1890"/>
      <c r="DG872" s="1890"/>
      <c r="DH872" s="1890"/>
      <c r="DI872" s="1891"/>
      <c r="DJ872" s="1889"/>
      <c r="DK872" s="1889"/>
      <c r="DL872" s="1889"/>
      <c r="DM872" s="1889"/>
      <c r="DN872" s="1889"/>
      <c r="DO872" s="1889"/>
      <c r="DP872" s="1889"/>
      <c r="DQ872" s="1889"/>
      <c r="DR872" s="1889"/>
      <c r="DS872" s="1889"/>
      <c r="DT872" s="1889"/>
      <c r="DU872" s="1889"/>
      <c r="DV872" s="1889"/>
      <c r="DW872" s="1889"/>
      <c r="DX872" s="1889"/>
      <c r="DY872" s="1889"/>
      <c r="DZ872" s="1889"/>
      <c r="EA872" s="1889"/>
      <c r="EB872" s="1889"/>
      <c r="EC872" s="1889"/>
      <c r="ED872" s="1889"/>
      <c r="EE872" s="3550"/>
      <c r="EF872" s="1889"/>
      <c r="EG872" s="1889"/>
      <c r="EH872" s="1889"/>
      <c r="EI872" s="1889"/>
      <c r="EJ872" s="1890"/>
      <c r="EK872" s="1890"/>
      <c r="EL872" s="1890"/>
      <c r="EM872" s="1890"/>
      <c r="EN872" s="1890"/>
      <c r="EO872" s="1890"/>
      <c r="EP872" s="1890"/>
      <c r="EQ872" s="1890"/>
      <c r="ER872" s="1890"/>
      <c r="ES872" s="1890"/>
      <c r="ET872" s="1891"/>
      <c r="EU872" s="1890"/>
      <c r="EV872" s="1890"/>
      <c r="EW872" s="1890"/>
      <c r="EX872" s="1890"/>
    </row>
    <row r="873" spans="1:154" s="278" customFormat="1" outlineLevel="1">
      <c r="A873" s="3275"/>
      <c r="B873" s="866" t="s">
        <v>461</v>
      </c>
      <c r="C873" s="990"/>
      <c r="D873" s="849"/>
      <c r="E873" s="849"/>
      <c r="F873" s="849"/>
      <c r="G873" s="849"/>
      <c r="H873" s="849"/>
      <c r="I873" s="849"/>
      <c r="J873" s="849"/>
      <c r="K873" s="849"/>
      <c r="L873" s="849"/>
      <c r="M873" s="849"/>
      <c r="N873" s="849"/>
      <c r="O873" s="849"/>
      <c r="P873" s="849"/>
      <c r="Q873" s="849"/>
      <c r="R873" s="849"/>
      <c r="S873" s="849"/>
      <c r="T873" s="849"/>
      <c r="U873" s="849"/>
      <c r="V873" s="849"/>
      <c r="W873" s="849"/>
      <c r="X873" s="850"/>
      <c r="Y873" s="849"/>
      <c r="Z873" s="849"/>
      <c r="AA873" s="849"/>
      <c r="AB873" s="849"/>
      <c r="AC873" s="850"/>
      <c r="AD873" s="849"/>
      <c r="AE873" s="849"/>
      <c r="AF873" s="849"/>
      <c r="AG873" s="849"/>
      <c r="AH873" s="850"/>
      <c r="AI873" s="849"/>
      <c r="AJ873" s="849"/>
      <c r="AK873" s="849"/>
      <c r="AL873" s="849"/>
      <c r="AM873" s="850"/>
      <c r="AN873" s="849"/>
      <c r="AO873" s="849"/>
      <c r="AP873" s="849"/>
      <c r="AQ873" s="849"/>
      <c r="AR873" s="850"/>
      <c r="AS873" s="849"/>
      <c r="AT873" s="849"/>
      <c r="AU873" s="849"/>
      <c r="AV873" s="849"/>
      <c r="AW873" s="850"/>
      <c r="AX873" s="849"/>
      <c r="AY873" s="849"/>
      <c r="AZ873" s="849"/>
      <c r="BA873" s="849"/>
      <c r="BB873" s="850"/>
      <c r="BC873" s="849"/>
      <c r="BD873" s="849"/>
      <c r="BE873" s="849"/>
      <c r="BF873" s="849"/>
      <c r="BG873" s="850"/>
      <c r="BH873" s="849"/>
      <c r="BI873" s="849"/>
      <c r="BJ873" s="849"/>
      <c r="BK873" s="849"/>
      <c r="BL873" s="850"/>
      <c r="BM873" s="849"/>
      <c r="BN873" s="849"/>
      <c r="BO873" s="849"/>
      <c r="BP873" s="849"/>
      <c r="BQ873" s="850"/>
      <c r="BR873" s="849"/>
      <c r="BS873" s="849"/>
      <c r="BT873" s="849"/>
      <c r="BU873" s="849"/>
      <c r="BV873" s="850"/>
      <c r="BW873" s="849"/>
      <c r="BX873" s="849"/>
      <c r="BY873" s="849"/>
      <c r="BZ873" s="849"/>
      <c r="CA873" s="850"/>
      <c r="CB873" s="849"/>
      <c r="CC873" s="849"/>
      <c r="CD873" s="849"/>
      <c r="CE873" s="849"/>
      <c r="CF873" s="850"/>
      <c r="CG873" s="849"/>
      <c r="CH873" s="849"/>
      <c r="CI873" s="849"/>
      <c r="CJ873" s="849"/>
      <c r="CK873" s="850"/>
      <c r="CL873" s="993"/>
      <c r="CM873" s="849"/>
      <c r="CN873" s="849"/>
      <c r="CO873" s="849"/>
      <c r="CP873" s="850"/>
      <c r="CQ873" s="849"/>
      <c r="CR873" s="849"/>
      <c r="CS873" s="849"/>
      <c r="CT873" s="985"/>
      <c r="CU873" s="985"/>
      <c r="CV873" s="849"/>
      <c r="CW873" s="849"/>
      <c r="CX873" s="849"/>
      <c r="CY873" s="985"/>
      <c r="CZ873" s="850"/>
      <c r="DA873" s="849"/>
      <c r="DB873" s="849"/>
      <c r="DC873" s="849"/>
      <c r="DD873" s="985"/>
      <c r="DE873" s="1889"/>
      <c r="DF873" s="1890"/>
      <c r="DG873" s="1890"/>
      <c r="DH873" s="1890"/>
      <c r="DI873" s="1891"/>
      <c r="DJ873" s="1889"/>
      <c r="DK873" s="1889"/>
      <c r="DL873" s="1889"/>
      <c r="DM873" s="1889"/>
      <c r="DN873" s="1889"/>
      <c r="DO873" s="1889"/>
      <c r="DP873" s="1889"/>
      <c r="DQ873" s="1889"/>
      <c r="DR873" s="1889"/>
      <c r="DS873" s="1889"/>
      <c r="DT873" s="1889"/>
      <c r="DU873" s="1889"/>
      <c r="DV873" s="1889"/>
      <c r="DW873" s="1889"/>
      <c r="DX873" s="1889"/>
      <c r="DY873" s="1889"/>
      <c r="DZ873" s="1889"/>
      <c r="EA873" s="1889"/>
      <c r="EB873" s="1889"/>
      <c r="EC873" s="1889"/>
      <c r="ED873" s="1889"/>
      <c r="EE873" s="3550"/>
      <c r="EF873" s="1889"/>
      <c r="EG873" s="1889"/>
      <c r="EH873" s="1889"/>
      <c r="EI873" s="1889"/>
      <c r="EJ873" s="1890"/>
      <c r="EK873" s="1890"/>
      <c r="EL873" s="1890"/>
      <c r="EM873" s="1890"/>
      <c r="EN873" s="1890"/>
      <c r="EO873" s="1890"/>
      <c r="EP873" s="1890"/>
      <c r="EQ873" s="1890"/>
      <c r="ER873" s="1890"/>
      <c r="ES873" s="1890"/>
      <c r="ET873" s="1891"/>
      <c r="EU873" s="1890"/>
      <c r="EV873" s="1890"/>
      <c r="EW873" s="1890"/>
      <c r="EX873" s="1890"/>
    </row>
    <row r="874" spans="1:154" s="278" customFormat="1" outlineLevel="1">
      <c r="A874" s="3275"/>
      <c r="B874" s="865" t="s">
        <v>187</v>
      </c>
      <c r="C874" s="990">
        <v>2017</v>
      </c>
      <c r="D874" s="849"/>
      <c r="E874" s="849"/>
      <c r="F874" s="849"/>
      <c r="G874" s="849"/>
      <c r="H874" s="849"/>
      <c r="I874" s="849"/>
      <c r="J874" s="849"/>
      <c r="K874" s="849"/>
      <c r="L874" s="849"/>
      <c r="M874" s="849"/>
      <c r="N874" s="849"/>
      <c r="O874" s="849"/>
      <c r="P874" s="849"/>
      <c r="Q874" s="849"/>
      <c r="R874" s="849"/>
      <c r="S874" s="849"/>
      <c r="T874" s="849"/>
      <c r="U874" s="849"/>
      <c r="V874" s="849"/>
      <c r="W874" s="849"/>
      <c r="X874" s="850"/>
      <c r="Y874" s="849"/>
      <c r="Z874" s="849"/>
      <c r="AA874" s="849"/>
      <c r="AB874" s="849"/>
      <c r="AC874" s="850"/>
      <c r="AD874" s="849"/>
      <c r="AE874" s="849"/>
      <c r="AF874" s="849"/>
      <c r="AG874" s="849"/>
      <c r="AH874" s="850"/>
      <c r="AI874" s="849"/>
      <c r="AJ874" s="849"/>
      <c r="AK874" s="849"/>
      <c r="AL874" s="849"/>
      <c r="AM874" s="850"/>
      <c r="AN874" s="849"/>
      <c r="AO874" s="849"/>
      <c r="AP874" s="849"/>
      <c r="AQ874" s="849"/>
      <c r="AR874" s="850"/>
      <c r="AS874" s="849"/>
      <c r="AT874" s="849"/>
      <c r="AU874" s="849"/>
      <c r="AV874" s="849"/>
      <c r="AW874" s="850"/>
      <c r="AX874" s="849"/>
      <c r="AY874" s="849"/>
      <c r="AZ874" s="849"/>
      <c r="BA874" s="849"/>
      <c r="BB874" s="850"/>
      <c r="BC874" s="861">
        <v>0</v>
      </c>
      <c r="BD874" s="861">
        <v>0</v>
      </c>
      <c r="BE874" s="861">
        <v>0</v>
      </c>
      <c r="BF874" s="861">
        <v>0</v>
      </c>
      <c r="BG874" s="870">
        <v>0</v>
      </c>
      <c r="BH874" s="861">
        <v>0</v>
      </c>
      <c r="BI874" s="861">
        <v>0</v>
      </c>
      <c r="BJ874" s="861">
        <v>0</v>
      </c>
      <c r="BK874" s="861">
        <v>0</v>
      </c>
      <c r="BL874" s="870">
        <v>0</v>
      </c>
      <c r="BM874" s="861">
        <v>0</v>
      </c>
      <c r="BN874" s="861">
        <v>0</v>
      </c>
      <c r="BO874" s="861">
        <v>0</v>
      </c>
      <c r="BP874" s="861">
        <v>0</v>
      </c>
      <c r="BQ874" s="870">
        <v>0</v>
      </c>
      <c r="BR874" s="861">
        <v>0</v>
      </c>
      <c r="BS874" s="861">
        <v>0</v>
      </c>
      <c r="BT874" s="861">
        <v>0</v>
      </c>
      <c r="BU874" s="861">
        <v>0</v>
      </c>
      <c r="BV874" s="870">
        <v>0</v>
      </c>
      <c r="BW874" s="861">
        <v>0</v>
      </c>
      <c r="BX874" s="861">
        <v>0</v>
      </c>
      <c r="BY874" s="861">
        <v>0</v>
      </c>
      <c r="BZ874" s="861">
        <v>0</v>
      </c>
      <c r="CA874" s="870">
        <v>0</v>
      </c>
      <c r="CB874" s="861">
        <v>0</v>
      </c>
      <c r="CC874" s="861">
        <v>0</v>
      </c>
      <c r="CD874" s="861">
        <v>0</v>
      </c>
      <c r="CE874" s="861">
        <v>0</v>
      </c>
      <c r="CF874" s="870">
        <v>0</v>
      </c>
      <c r="CG874" s="861">
        <v>0</v>
      </c>
      <c r="CH874" s="861">
        <v>0</v>
      </c>
      <c r="CI874" s="861">
        <v>0</v>
      </c>
      <c r="CJ874" s="861">
        <v>0</v>
      </c>
      <c r="CK874" s="870">
        <v>0</v>
      </c>
      <c r="CL874" s="997">
        <v>0</v>
      </c>
      <c r="CM874" s="861">
        <v>0</v>
      </c>
      <c r="CN874" s="861">
        <v>0</v>
      </c>
      <c r="CO874" s="861">
        <v>0</v>
      </c>
      <c r="CP874" s="870">
        <v>0</v>
      </c>
      <c r="CQ874" s="861"/>
      <c r="CR874" s="861"/>
      <c r="CS874" s="861"/>
      <c r="CT874" s="990"/>
      <c r="CU874" s="990"/>
      <c r="CV874" s="861"/>
      <c r="CW874" s="861"/>
      <c r="CX874" s="861"/>
      <c r="CY874" s="990"/>
      <c r="CZ874" s="870"/>
      <c r="DA874" s="861"/>
      <c r="DB874" s="861"/>
      <c r="DC874" s="861"/>
      <c r="DD874" s="990"/>
      <c r="DE874" s="1892"/>
      <c r="DF874" s="1893"/>
      <c r="DG874" s="1893"/>
      <c r="DH874" s="1893"/>
      <c r="DI874" s="1894"/>
      <c r="DJ874" s="1892"/>
      <c r="DK874" s="1892"/>
      <c r="DL874" s="1892"/>
      <c r="DM874" s="1892"/>
      <c r="DN874" s="1892"/>
      <c r="DO874" s="1892"/>
      <c r="DP874" s="1892"/>
      <c r="DQ874" s="1892"/>
      <c r="DR874" s="1892"/>
      <c r="DS874" s="1892"/>
      <c r="DT874" s="1892"/>
      <c r="DU874" s="1892"/>
      <c r="DV874" s="1892"/>
      <c r="DW874" s="1892"/>
      <c r="DX874" s="1892"/>
      <c r="DY874" s="1892"/>
      <c r="DZ874" s="1892"/>
      <c r="EA874" s="1892"/>
      <c r="EB874" s="1892"/>
      <c r="EC874" s="1892"/>
      <c r="ED874" s="1892"/>
      <c r="EE874" s="3551"/>
      <c r="EF874" s="1892"/>
      <c r="EG874" s="1892"/>
      <c r="EH874" s="1892"/>
      <c r="EI874" s="1892"/>
      <c r="EJ874" s="1893"/>
      <c r="EK874" s="1893"/>
      <c r="EL874" s="1893"/>
      <c r="EM874" s="1893"/>
      <c r="EN874" s="1893"/>
      <c r="EO874" s="1893"/>
      <c r="EP874" s="1893"/>
      <c r="EQ874" s="1893"/>
      <c r="ER874" s="1893"/>
      <c r="ES874" s="1893"/>
      <c r="ET874" s="1894"/>
      <c r="EU874" s="1893"/>
      <c r="EV874" s="1893"/>
      <c r="EW874" s="1893"/>
      <c r="EX874" s="1893"/>
    </row>
    <row r="875" spans="1:154" s="278" customFormat="1" outlineLevel="1">
      <c r="A875" s="3275"/>
      <c r="B875" s="865" t="s">
        <v>412</v>
      </c>
      <c r="C875" s="990" t="s">
        <v>109</v>
      </c>
      <c r="D875" s="849"/>
      <c r="E875" s="849"/>
      <c r="F875" s="849"/>
      <c r="G875" s="849"/>
      <c r="H875" s="849"/>
      <c r="I875" s="849"/>
      <c r="J875" s="849"/>
      <c r="K875" s="849"/>
      <c r="L875" s="849"/>
      <c r="M875" s="849"/>
      <c r="N875" s="849"/>
      <c r="O875" s="849"/>
      <c r="P875" s="849"/>
      <c r="Q875" s="849"/>
      <c r="R875" s="849"/>
      <c r="S875" s="849"/>
      <c r="T875" s="849"/>
      <c r="U875" s="849"/>
      <c r="V875" s="849"/>
      <c r="W875" s="849"/>
      <c r="X875" s="850"/>
      <c r="Y875" s="849"/>
      <c r="Z875" s="849"/>
      <c r="AA875" s="849"/>
      <c r="AB875" s="849"/>
      <c r="AC875" s="850"/>
      <c r="AD875" s="849"/>
      <c r="AE875" s="849"/>
      <c r="AF875" s="849"/>
      <c r="AG875" s="849"/>
      <c r="AH875" s="850"/>
      <c r="AI875" s="849"/>
      <c r="AJ875" s="849"/>
      <c r="AK875" s="849"/>
      <c r="AL875" s="849"/>
      <c r="AM875" s="850"/>
      <c r="AN875" s="849"/>
      <c r="AO875" s="849"/>
      <c r="AP875" s="849"/>
      <c r="AQ875" s="849"/>
      <c r="AR875" s="850"/>
      <c r="AS875" s="849"/>
      <c r="AT875" s="849"/>
      <c r="AU875" s="849"/>
      <c r="AV875" s="849"/>
      <c r="AW875" s="850"/>
      <c r="AX875" s="849"/>
      <c r="AY875" s="849"/>
      <c r="AZ875" s="849"/>
      <c r="BA875" s="849"/>
      <c r="BB875" s="850"/>
      <c r="BC875" s="861">
        <v>0</v>
      </c>
      <c r="BD875" s="861">
        <v>0</v>
      </c>
      <c r="BE875" s="861">
        <v>0</v>
      </c>
      <c r="BF875" s="861">
        <v>0</v>
      </c>
      <c r="BG875" s="870">
        <v>0</v>
      </c>
      <c r="BH875" s="861">
        <v>0</v>
      </c>
      <c r="BI875" s="861">
        <v>0</v>
      </c>
      <c r="BJ875" s="861">
        <v>0</v>
      </c>
      <c r="BK875" s="861">
        <v>0</v>
      </c>
      <c r="BL875" s="870">
        <v>0</v>
      </c>
      <c r="BM875" s="861">
        <v>0</v>
      </c>
      <c r="BN875" s="861">
        <v>0</v>
      </c>
      <c r="BO875" s="861">
        <v>0</v>
      </c>
      <c r="BP875" s="861">
        <v>0</v>
      </c>
      <c r="BQ875" s="870">
        <v>0</v>
      </c>
      <c r="BR875" s="861">
        <v>0</v>
      </c>
      <c r="BS875" s="861">
        <v>0</v>
      </c>
      <c r="BT875" s="861">
        <v>0</v>
      </c>
      <c r="BU875" s="861">
        <v>0</v>
      </c>
      <c r="BV875" s="870">
        <v>0</v>
      </c>
      <c r="BW875" s="861">
        <v>0</v>
      </c>
      <c r="BX875" s="861">
        <v>0</v>
      </c>
      <c r="BY875" s="861">
        <v>0</v>
      </c>
      <c r="BZ875" s="861">
        <v>0</v>
      </c>
      <c r="CA875" s="870">
        <v>0</v>
      </c>
      <c r="CB875" s="861">
        <v>0</v>
      </c>
      <c r="CC875" s="861">
        <v>0</v>
      </c>
      <c r="CD875" s="861">
        <v>0</v>
      </c>
      <c r="CE875" s="861">
        <v>0</v>
      </c>
      <c r="CF875" s="870">
        <v>0</v>
      </c>
      <c r="CG875" s="861">
        <v>0</v>
      </c>
      <c r="CH875" s="861">
        <v>0</v>
      </c>
      <c r="CI875" s="861">
        <v>0</v>
      </c>
      <c r="CJ875" s="861">
        <v>0</v>
      </c>
      <c r="CK875" s="870">
        <v>0</v>
      </c>
      <c r="CL875" s="997">
        <v>0</v>
      </c>
      <c r="CM875" s="861">
        <v>0</v>
      </c>
      <c r="CN875" s="861">
        <v>0</v>
      </c>
      <c r="CO875" s="861">
        <v>0</v>
      </c>
      <c r="CP875" s="870">
        <v>0</v>
      </c>
      <c r="CQ875" s="861"/>
      <c r="CR875" s="861"/>
      <c r="CS875" s="861"/>
      <c r="CT875" s="990"/>
      <c r="CU875" s="990"/>
      <c r="CV875" s="861"/>
      <c r="CW875" s="861"/>
      <c r="CX875" s="861"/>
      <c r="CY875" s="990"/>
      <c r="CZ875" s="870"/>
      <c r="DA875" s="861"/>
      <c r="DB875" s="861"/>
      <c r="DC875" s="861"/>
      <c r="DD875" s="990"/>
      <c r="DE875" s="1892"/>
      <c r="DF875" s="1893"/>
      <c r="DG875" s="1893"/>
      <c r="DH875" s="1893"/>
      <c r="DI875" s="1894"/>
      <c r="DJ875" s="1892"/>
      <c r="DK875" s="1892"/>
      <c r="DL875" s="1892"/>
      <c r="DM875" s="1892"/>
      <c r="DN875" s="1892"/>
      <c r="DO875" s="1892"/>
      <c r="DP875" s="1892"/>
      <c r="DQ875" s="1892"/>
      <c r="DR875" s="1892"/>
      <c r="DS875" s="1892"/>
      <c r="DT875" s="1892"/>
      <c r="DU875" s="1892"/>
      <c r="DV875" s="1892"/>
      <c r="DW875" s="1892"/>
      <c r="DX875" s="1892"/>
      <c r="DY875" s="1892"/>
      <c r="DZ875" s="1892"/>
      <c r="EA875" s="1892"/>
      <c r="EB875" s="1892"/>
      <c r="EC875" s="1892"/>
      <c r="ED875" s="1892"/>
      <c r="EE875" s="3551"/>
      <c r="EF875" s="1892"/>
      <c r="EG875" s="1892"/>
      <c r="EH875" s="1892"/>
      <c r="EI875" s="1892"/>
      <c r="EJ875" s="1893"/>
      <c r="EK875" s="1893"/>
      <c r="EL875" s="1893"/>
      <c r="EM875" s="1893"/>
      <c r="EN875" s="1893"/>
      <c r="EO875" s="1893"/>
      <c r="EP875" s="1893"/>
      <c r="EQ875" s="1893"/>
      <c r="ER875" s="1893"/>
      <c r="ES875" s="1893"/>
      <c r="ET875" s="1894"/>
      <c r="EU875" s="1893"/>
      <c r="EV875" s="1893"/>
      <c r="EW875" s="1893"/>
      <c r="EX875" s="1893"/>
    </row>
    <row r="876" spans="1:154" s="278" customFormat="1" outlineLevel="1">
      <c r="A876" s="3275"/>
      <c r="B876" s="865" t="s">
        <v>413</v>
      </c>
      <c r="C876" s="990"/>
      <c r="D876" s="849"/>
      <c r="E876" s="849"/>
      <c r="F876" s="849"/>
      <c r="G876" s="849"/>
      <c r="H876" s="849"/>
      <c r="I876" s="849"/>
      <c r="J876" s="849"/>
      <c r="K876" s="849"/>
      <c r="L876" s="849"/>
      <c r="M876" s="849"/>
      <c r="N876" s="849"/>
      <c r="O876" s="849"/>
      <c r="P876" s="849"/>
      <c r="Q876" s="849"/>
      <c r="R876" s="849"/>
      <c r="S876" s="849"/>
      <c r="T876" s="849"/>
      <c r="U876" s="849"/>
      <c r="V876" s="849"/>
      <c r="W876" s="849"/>
      <c r="X876" s="850"/>
      <c r="Y876" s="849"/>
      <c r="Z876" s="849"/>
      <c r="AA876" s="849"/>
      <c r="AB876" s="849"/>
      <c r="AC876" s="850"/>
      <c r="AD876" s="849"/>
      <c r="AE876" s="849"/>
      <c r="AF876" s="849"/>
      <c r="AG876" s="849"/>
      <c r="AH876" s="850"/>
      <c r="AI876" s="849"/>
      <c r="AJ876" s="849"/>
      <c r="AK876" s="849"/>
      <c r="AL876" s="849"/>
      <c r="AM876" s="850"/>
      <c r="AN876" s="849"/>
      <c r="AO876" s="849"/>
      <c r="AP876" s="849"/>
      <c r="AQ876" s="849"/>
      <c r="AR876" s="850"/>
      <c r="AS876" s="849"/>
      <c r="AT876" s="849"/>
      <c r="AU876" s="849"/>
      <c r="AV876" s="849"/>
      <c r="AW876" s="850"/>
      <c r="AX876" s="849"/>
      <c r="AY876" s="849"/>
      <c r="AZ876" s="849"/>
      <c r="BA876" s="849"/>
      <c r="BB876" s="850"/>
      <c r="BC876" s="861">
        <v>0</v>
      </c>
      <c r="BD876" s="861">
        <v>0</v>
      </c>
      <c r="BE876" s="861">
        <v>0</v>
      </c>
      <c r="BF876" s="861">
        <v>0</v>
      </c>
      <c r="BG876" s="870">
        <v>0</v>
      </c>
      <c r="BH876" s="861">
        <f>BH874+BH875</f>
      </c>
      <c r="BI876" s="861">
        <f t="shared" ref="BI876:CF876" si="1932">BI874+BI875</f>
      </c>
      <c r="BJ876" s="861">
        <f t="shared" si="1932"/>
      </c>
      <c r="BK876" s="861">
        <f t="shared" si="1932"/>
      </c>
      <c r="BL876" s="870">
        <f t="shared" si="1932"/>
      </c>
      <c r="BM876" s="861">
        <f>BM874+BM875</f>
      </c>
      <c r="BN876" s="861">
        <f>BN874+BN875</f>
      </c>
      <c r="BO876" s="861">
        <f>BO874+BO875</f>
      </c>
      <c r="BP876" s="861">
        <f>BP874+BP875</f>
      </c>
      <c r="BQ876" s="870">
        <f t="shared" si="1932"/>
      </c>
      <c r="BR876" s="861">
        <f t="shared" si="1932"/>
      </c>
      <c r="BS876" s="861">
        <f t="shared" si="1932"/>
      </c>
      <c r="BT876" s="861">
        <f t="shared" si="1932"/>
      </c>
      <c r="BU876" s="861">
        <f>BU874+BU875</f>
      </c>
      <c r="BV876" s="870">
        <f t="shared" si="1932"/>
      </c>
      <c r="BW876" s="861">
        <f>BW874+BW875</f>
      </c>
      <c r="BX876" s="861">
        <f>BX874+BX875</f>
      </c>
      <c r="BY876" s="861">
        <f>BY874+BY875</f>
      </c>
      <c r="BZ876" s="861">
        <f>BZ874+BZ875</f>
      </c>
      <c r="CA876" s="870">
        <f t="shared" si="1932"/>
      </c>
      <c r="CB876" s="861">
        <f t="shared" si="1932"/>
      </c>
      <c r="CC876" s="861">
        <f t="shared" si="1932"/>
      </c>
      <c r="CD876" s="861">
        <f>CD874+CD875</f>
      </c>
      <c r="CE876" s="861">
        <f>CE874+CE875</f>
      </c>
      <c r="CF876" s="870">
        <f t="shared" si="1932"/>
      </c>
      <c r="CG876" s="861">
        <f t="shared" ref="CG876:CP876" si="1933">CG874+CG875</f>
      </c>
      <c r="CH876" s="861">
        <f t="shared" si="1933"/>
      </c>
      <c r="CI876" s="861">
        <f t="shared" si="1933"/>
      </c>
      <c r="CJ876" s="861">
        <f t="shared" si="1933"/>
      </c>
      <c r="CK876" s="870">
        <f t="shared" si="1933"/>
      </c>
      <c r="CL876" s="997">
        <f t="shared" si="1933"/>
      </c>
      <c r="CM876" s="861">
        <f t="shared" si="1933"/>
      </c>
      <c r="CN876" s="861">
        <f t="shared" si="1933"/>
      </c>
      <c r="CO876" s="861">
        <f>CO874+CO875</f>
      </c>
      <c r="CP876" s="870">
        <f t="shared" si="1933"/>
      </c>
      <c r="CQ876" s="861"/>
      <c r="CR876" s="861"/>
      <c r="CS876" s="861"/>
      <c r="CT876" s="990"/>
      <c r="CU876" s="990"/>
      <c r="CV876" s="861"/>
      <c r="CW876" s="861"/>
      <c r="CX876" s="861"/>
      <c r="CY876" s="990"/>
      <c r="CZ876" s="870"/>
      <c r="DA876" s="861"/>
      <c r="DB876" s="861"/>
      <c r="DC876" s="861"/>
      <c r="DD876" s="990"/>
      <c r="DE876" s="1892"/>
      <c r="DF876" s="1893"/>
      <c r="DG876" s="1893"/>
      <c r="DH876" s="1893"/>
      <c r="DI876" s="1894"/>
      <c r="DJ876" s="1892"/>
      <c r="DK876" s="1892"/>
      <c r="DL876" s="1892"/>
      <c r="DM876" s="1892"/>
      <c r="DN876" s="1892"/>
      <c r="DO876" s="1892"/>
      <c r="DP876" s="1892"/>
      <c r="DQ876" s="1892"/>
      <c r="DR876" s="1892"/>
      <c r="DS876" s="1892"/>
      <c r="DT876" s="1892"/>
      <c r="DU876" s="1892"/>
      <c r="DV876" s="1892"/>
      <c r="DW876" s="1892"/>
      <c r="DX876" s="1892"/>
      <c r="DY876" s="1892"/>
      <c r="DZ876" s="1892"/>
      <c r="EA876" s="1892"/>
      <c r="EB876" s="1892"/>
      <c r="EC876" s="1892"/>
      <c r="ED876" s="1892"/>
      <c r="EE876" s="3551"/>
      <c r="EF876" s="1892"/>
      <c r="EG876" s="1892"/>
      <c r="EH876" s="1892"/>
      <c r="EI876" s="1892"/>
      <c r="EJ876" s="1893"/>
      <c r="EK876" s="1893"/>
      <c r="EL876" s="1893"/>
      <c r="EM876" s="1893"/>
      <c r="EN876" s="1893"/>
      <c r="EO876" s="1893"/>
      <c r="EP876" s="1893"/>
      <c r="EQ876" s="1893"/>
      <c r="ER876" s="1893"/>
      <c r="ES876" s="1893"/>
      <c r="ET876" s="1894"/>
      <c r="EU876" s="1893"/>
      <c r="EV876" s="1893"/>
      <c r="EW876" s="1893"/>
      <c r="EX876" s="1893"/>
    </row>
    <row r="877" spans="1:154" s="278" customFormat="1" outlineLevel="1">
      <c r="A877" s="3275"/>
      <c r="B877" s="865"/>
      <c r="C877" s="990"/>
      <c r="D877" s="849"/>
      <c r="E877" s="849"/>
      <c r="F877" s="849"/>
      <c r="G877" s="849"/>
      <c r="H877" s="849"/>
      <c r="I877" s="849"/>
      <c r="J877" s="849"/>
      <c r="K877" s="849"/>
      <c r="L877" s="849"/>
      <c r="M877" s="849"/>
      <c r="N877" s="849"/>
      <c r="O877" s="849"/>
      <c r="P877" s="849"/>
      <c r="Q877" s="849"/>
      <c r="R877" s="849"/>
      <c r="S877" s="849"/>
      <c r="T877" s="849"/>
      <c r="U877" s="849"/>
      <c r="V877" s="849"/>
      <c r="W877" s="849"/>
      <c r="X877" s="850"/>
      <c r="Y877" s="849"/>
      <c r="Z877" s="849"/>
      <c r="AA877" s="849"/>
      <c r="AB877" s="849"/>
      <c r="AC877" s="850"/>
      <c r="AD877" s="849"/>
      <c r="AE877" s="849"/>
      <c r="AF877" s="849"/>
      <c r="AG877" s="849"/>
      <c r="AH877" s="850"/>
      <c r="AI877" s="849"/>
      <c r="AJ877" s="849"/>
      <c r="AK877" s="849"/>
      <c r="AL877" s="849"/>
      <c r="AM877" s="850"/>
      <c r="AN877" s="849"/>
      <c r="AO877" s="849"/>
      <c r="AP877" s="849"/>
      <c r="AQ877" s="849"/>
      <c r="AR877" s="850"/>
      <c r="AS877" s="849"/>
      <c r="AT877" s="849"/>
      <c r="AU877" s="849"/>
      <c r="AV877" s="849"/>
      <c r="AW877" s="850"/>
      <c r="AX877" s="849"/>
      <c r="AY877" s="849"/>
      <c r="AZ877" s="849"/>
      <c r="BA877" s="849"/>
      <c r="BB877" s="850"/>
      <c r="BC877" s="849"/>
      <c r="BD877" s="849"/>
      <c r="BE877" s="849"/>
      <c r="BF877" s="849"/>
      <c r="BG877" s="850"/>
      <c r="BH877" s="849"/>
      <c r="BI877" s="849"/>
      <c r="BJ877" s="849"/>
      <c r="BK877" s="849"/>
      <c r="BL877" s="850"/>
      <c r="BM877" s="849"/>
      <c r="BN877" s="849"/>
      <c r="BO877" s="849"/>
      <c r="BP877" s="849"/>
      <c r="BQ877" s="850"/>
      <c r="BR877" s="849"/>
      <c r="BS877" s="849"/>
      <c r="BT877" s="849"/>
      <c r="BU877" s="849"/>
      <c r="BV877" s="850"/>
      <c r="BW877" s="849"/>
      <c r="BX877" s="849"/>
      <c r="BY877" s="849"/>
      <c r="BZ877" s="849"/>
      <c r="CA877" s="850"/>
      <c r="CB877" s="849"/>
      <c r="CC877" s="849"/>
      <c r="CD877" s="849"/>
      <c r="CE877" s="849"/>
      <c r="CF877" s="850"/>
      <c r="CG877" s="849"/>
      <c r="CH877" s="849"/>
      <c r="CI877" s="849"/>
      <c r="CJ877" s="849"/>
      <c r="CK877" s="850"/>
      <c r="CL877" s="993"/>
      <c r="CM877" s="849"/>
      <c r="CN877" s="849"/>
      <c r="CO877" s="849"/>
      <c r="CP877" s="850"/>
      <c r="CQ877" s="849"/>
      <c r="CR877" s="849"/>
      <c r="CS877" s="849"/>
      <c r="CT877" s="985"/>
      <c r="CU877" s="985"/>
      <c r="CV877" s="849"/>
      <c r="CW877" s="849"/>
      <c r="CX877" s="849"/>
      <c r="CY877" s="985"/>
      <c r="CZ877" s="850"/>
      <c r="DA877" s="849"/>
      <c r="DB877" s="849"/>
      <c r="DC877" s="849"/>
      <c r="DD877" s="985"/>
      <c r="DE877" s="1889"/>
      <c r="DF877" s="1890"/>
      <c r="DG877" s="1890"/>
      <c r="DH877" s="1890"/>
      <c r="DI877" s="1891"/>
      <c r="DJ877" s="1889"/>
      <c r="DK877" s="1889"/>
      <c r="DL877" s="1889"/>
      <c r="DM877" s="1889"/>
      <c r="DN877" s="1889"/>
      <c r="DO877" s="1889"/>
      <c r="DP877" s="1889"/>
      <c r="DQ877" s="1889"/>
      <c r="DR877" s="1889"/>
      <c r="DS877" s="1889"/>
      <c r="DT877" s="1889"/>
      <c r="DU877" s="1889"/>
      <c r="DV877" s="1889"/>
      <c r="DW877" s="1889"/>
      <c r="DX877" s="1889"/>
      <c r="DY877" s="1889"/>
      <c r="DZ877" s="1889"/>
      <c r="EA877" s="1889"/>
      <c r="EB877" s="1889"/>
      <c r="EC877" s="1889"/>
      <c r="ED877" s="1889"/>
      <c r="EE877" s="3550"/>
      <c r="EF877" s="1889"/>
      <c r="EG877" s="1889"/>
      <c r="EH877" s="1889"/>
      <c r="EI877" s="1889"/>
      <c r="EJ877" s="1890"/>
      <c r="EK877" s="1890"/>
      <c r="EL877" s="1890"/>
      <c r="EM877" s="1890"/>
      <c r="EN877" s="1890"/>
      <c r="EO877" s="1890"/>
      <c r="EP877" s="1890"/>
      <c r="EQ877" s="1890"/>
      <c r="ER877" s="1890"/>
      <c r="ES877" s="1890"/>
      <c r="ET877" s="1891"/>
      <c r="EU877" s="1890"/>
      <c r="EV877" s="1890"/>
      <c r="EW877" s="1890"/>
      <c r="EX877" s="1890"/>
    </row>
    <row r="878" spans="1:154" s="278" customFormat="1" outlineLevel="1">
      <c r="A878" s="3275"/>
      <c r="B878" s="867" t="s">
        <v>457</v>
      </c>
      <c r="C878" s="990"/>
      <c r="D878" s="849"/>
      <c r="E878" s="849"/>
      <c r="F878" s="849"/>
      <c r="G878" s="849"/>
      <c r="H878" s="849"/>
      <c r="I878" s="849"/>
      <c r="J878" s="849"/>
      <c r="K878" s="849"/>
      <c r="L878" s="849"/>
      <c r="M878" s="849"/>
      <c r="N878" s="849"/>
      <c r="O878" s="849"/>
      <c r="P878" s="849"/>
      <c r="Q878" s="849"/>
      <c r="R878" s="849"/>
      <c r="S878" s="849"/>
      <c r="T878" s="849"/>
      <c r="U878" s="849"/>
      <c r="V878" s="849"/>
      <c r="W878" s="849"/>
      <c r="X878" s="850"/>
      <c r="Y878" s="849"/>
      <c r="Z878" s="849"/>
      <c r="AA878" s="849"/>
      <c r="AB878" s="849"/>
      <c r="AC878" s="850"/>
      <c r="AD878" s="849"/>
      <c r="AE878" s="849"/>
      <c r="AF878" s="849"/>
      <c r="AG878" s="849"/>
      <c r="AH878" s="850"/>
      <c r="AI878" s="849"/>
      <c r="AJ878" s="849"/>
      <c r="AK878" s="849"/>
      <c r="AL878" s="849"/>
      <c r="AM878" s="850"/>
      <c r="AN878" s="849"/>
      <c r="AO878" s="849"/>
      <c r="AP878" s="849"/>
      <c r="AQ878" s="849"/>
      <c r="AR878" s="850"/>
      <c r="AS878" s="849"/>
      <c r="AT878" s="849"/>
      <c r="AU878" s="849"/>
      <c r="AV878" s="849"/>
      <c r="AW878" s="850"/>
      <c r="AX878" s="849"/>
      <c r="AY878" s="849"/>
      <c r="AZ878" s="849"/>
      <c r="BA878" s="849"/>
      <c r="BB878" s="850"/>
      <c r="BC878" s="849"/>
      <c r="BD878" s="849"/>
      <c r="BE878" s="849"/>
      <c r="BF878" s="849"/>
      <c r="BG878" s="850"/>
      <c r="BH878" s="849"/>
      <c r="BI878" s="849"/>
      <c r="BJ878" s="849"/>
      <c r="BK878" s="849"/>
      <c r="BL878" s="850"/>
      <c r="BM878" s="849"/>
      <c r="BN878" s="849"/>
      <c r="BO878" s="849"/>
      <c r="BP878" s="849"/>
      <c r="BQ878" s="850"/>
      <c r="BR878" s="849"/>
      <c r="BS878" s="849"/>
      <c r="BT878" s="849"/>
      <c r="BU878" s="849"/>
      <c r="BV878" s="850"/>
      <c r="BW878" s="849"/>
      <c r="BX878" s="849"/>
      <c r="BY878" s="849"/>
      <c r="BZ878" s="849"/>
      <c r="CA878" s="850"/>
      <c r="CB878" s="849"/>
      <c r="CC878" s="849"/>
      <c r="CD878" s="849"/>
      <c r="CE878" s="849"/>
      <c r="CF878" s="850"/>
      <c r="CG878" s="849"/>
      <c r="CH878" s="849"/>
      <c r="CI878" s="849"/>
      <c r="CJ878" s="849"/>
      <c r="CK878" s="850"/>
      <c r="CL878" s="993"/>
      <c r="CM878" s="849"/>
      <c r="CN878" s="849"/>
      <c r="CO878" s="849"/>
      <c r="CP878" s="850"/>
      <c r="CQ878" s="849"/>
      <c r="CR878" s="849"/>
      <c r="CS878" s="849"/>
      <c r="CT878" s="985"/>
      <c r="CU878" s="985"/>
      <c r="CV878" s="849"/>
      <c r="CW878" s="849"/>
      <c r="CX878" s="849"/>
      <c r="CY878" s="985"/>
      <c r="CZ878" s="850"/>
      <c r="DA878" s="849"/>
      <c r="DB878" s="849"/>
      <c r="DC878" s="849"/>
      <c r="DD878" s="985"/>
      <c r="DE878" s="1889"/>
      <c r="DF878" s="1890"/>
      <c r="DG878" s="1890"/>
      <c r="DH878" s="1890"/>
      <c r="DI878" s="1891"/>
      <c r="DJ878" s="1889"/>
      <c r="DK878" s="1889"/>
      <c r="DL878" s="1889"/>
      <c r="DM878" s="1889"/>
      <c r="DN878" s="1889"/>
      <c r="DO878" s="1889"/>
      <c r="DP878" s="1889"/>
      <c r="DQ878" s="1889"/>
      <c r="DR878" s="1889"/>
      <c r="DS878" s="1889"/>
      <c r="DT878" s="1889"/>
      <c r="DU878" s="1889"/>
      <c r="DV878" s="1889"/>
      <c r="DW878" s="1889"/>
      <c r="DX878" s="1889"/>
      <c r="DY878" s="1889"/>
      <c r="DZ878" s="1889"/>
      <c r="EA878" s="1889"/>
      <c r="EB878" s="1889"/>
      <c r="EC878" s="1889"/>
      <c r="ED878" s="1889"/>
      <c r="EE878" s="3550"/>
      <c r="EF878" s="1889"/>
      <c r="EG878" s="1889"/>
      <c r="EH878" s="1889"/>
      <c r="EI878" s="1889"/>
      <c r="EJ878" s="1890"/>
      <c r="EK878" s="1890"/>
      <c r="EL878" s="1890"/>
      <c r="EM878" s="1890"/>
      <c r="EN878" s="1890"/>
      <c r="EO878" s="1890"/>
      <c r="EP878" s="1890"/>
      <c r="EQ878" s="1890"/>
      <c r="ER878" s="1890"/>
      <c r="ES878" s="1890"/>
      <c r="ET878" s="1891"/>
      <c r="EU878" s="1890"/>
      <c r="EV878" s="1890"/>
      <c r="EW878" s="1890"/>
      <c r="EX878" s="1890"/>
    </row>
    <row r="879" spans="1:154" s="278" customFormat="1" outlineLevel="1">
      <c r="A879" s="3275"/>
      <c r="B879" s="868" t="s">
        <v>187</v>
      </c>
      <c r="C879" s="990"/>
      <c r="D879" s="849"/>
      <c r="E879" s="849"/>
      <c r="F879" s="849"/>
      <c r="G879" s="849"/>
      <c r="H879" s="849"/>
      <c r="I879" s="849"/>
      <c r="J879" s="849"/>
      <c r="K879" s="849"/>
      <c r="L879" s="849"/>
      <c r="M879" s="849"/>
      <c r="N879" s="849"/>
      <c r="O879" s="849"/>
      <c r="P879" s="849"/>
      <c r="Q879" s="849"/>
      <c r="R879" s="849"/>
      <c r="S879" s="849"/>
      <c r="T879" s="849"/>
      <c r="U879" s="849"/>
      <c r="V879" s="849"/>
      <c r="W879" s="849"/>
      <c r="X879" s="850"/>
      <c r="Y879" s="849"/>
      <c r="Z879" s="849"/>
      <c r="AA879" s="849"/>
      <c r="AB879" s="849"/>
      <c r="AC879" s="850"/>
      <c r="AD879" s="849"/>
      <c r="AE879" s="849"/>
      <c r="AF879" s="849"/>
      <c r="AG879" s="849"/>
      <c r="AH879" s="850"/>
      <c r="AI879" s="849"/>
      <c r="AJ879" s="849"/>
      <c r="AK879" s="849"/>
      <c r="AL879" s="849"/>
      <c r="AM879" s="850"/>
      <c r="AN879" s="849"/>
      <c r="AO879" s="849"/>
      <c r="AP879" s="849"/>
      <c r="AQ879" s="849"/>
      <c r="AR879" s="850"/>
      <c r="AS879" s="849"/>
      <c r="AT879" s="849"/>
      <c r="AU879" s="849"/>
      <c r="AV879" s="849"/>
      <c r="AW879" s="850"/>
      <c r="AX879" s="849"/>
      <c r="AY879" s="849"/>
      <c r="AZ879" s="849"/>
      <c r="BA879" s="849"/>
      <c r="BB879" s="850"/>
      <c r="BC879" s="849"/>
      <c r="BD879" s="849"/>
      <c r="BE879" s="849"/>
      <c r="BF879" s="849"/>
      <c r="BG879" s="857"/>
      <c r="BH879" s="871"/>
      <c r="BI879" s="871"/>
      <c r="BJ879" s="871"/>
      <c r="BK879" s="871"/>
      <c r="BL879" s="857" t="str">
        <f>IF(BG874="NM","NM",IF(BL874="NM","NM",IF(BG874&lt;=0,"NM",IF(BL874=0,"NM",IF(ABS(BL874/BG874-1)&gt;2.5,"NM",IF((ABS(BL874-BG874)=ABS(ABS(BL874)-ABS(BG874))),(BL874/BG874-1),"NM"))))))</f>
      </c>
      <c r="BM879" s="849"/>
      <c r="BN879" s="849"/>
      <c r="BO879" s="849"/>
      <c r="BP879" s="849"/>
      <c r="BQ879" s="857" t="str">
        <f>IF(BL874="NM","NM",IF(BQ874="NM","NM",IF(BL874&lt;=0,"NM",IF(BQ874=0,"NM",IF(ABS(BQ874/BL874-1)&gt;2.5,"NM",IF((ABS(BQ874-BL874)=ABS(ABS(BQ874)-ABS(BL874))),(BQ874/BL874-1),"NM"))))))</f>
      </c>
      <c r="BR879" s="849"/>
      <c r="BS879" s="849"/>
      <c r="BT879" s="849"/>
      <c r="BU879" s="849"/>
      <c r="BV879" s="857" t="str">
        <f>IF(BQ874="NM","NM",IF(BV874="NM","NM",IF(BQ874&lt;=0,"NM",IF(BV874=0,"NM",IF(ABS(BV874/BQ874-1)&gt;2.5,"NM",IF((ABS(BV874-BQ874)=ABS(ABS(BV874)-ABS(BQ874))),(BV874/BQ874-1),"NM"))))))</f>
      </c>
      <c r="BW879" s="849"/>
      <c r="BX879" s="849"/>
      <c r="BY879" s="849"/>
      <c r="BZ879" s="849"/>
      <c r="CA879" s="857" t="str">
        <f>IF(BV874="NM","NM",IF(CA874="NM","NM",IF(BV874&lt;=0,"NM",IF(CA874=0,"NM",IF(ABS(CA874/BV874-1)&gt;2.5,"NM",IF((ABS(CA874-BV874)=ABS(ABS(CA874)-ABS(BV874))),(CA874/BV874-1),"NM"))))))</f>
      </c>
      <c r="CB879" s="849"/>
      <c r="CC879" s="849"/>
      <c r="CD879" s="849"/>
      <c r="CE879" s="849"/>
      <c r="CF879" s="857" t="str">
        <f>IF(CA874="NM","NM",IF(CF874="NM","NM",IF(CA874&lt;=0,"NM",IF(CF874=0,"NM",IF(ABS(CF874/CA874-1)&gt;2.5,"NM",IF((ABS(CF874-CA874)=ABS(ABS(CF874)-ABS(CA874))),(CF874/CA874-1),"NM"))))))</f>
      </c>
      <c r="CG879" s="849"/>
      <c r="CH879" s="849"/>
      <c r="CI879" s="849"/>
      <c r="CJ879" s="849"/>
      <c r="CK879" s="857" t="str">
        <f>IF(CF874="NM","NM",IF(CK874="NM","NM",IF(CF874&lt;=0,"NM",IF(CK874=0,"NM",IF(ABS(CK874/CF874-1)&gt;2.5,"NM",IF((ABS(CK874-CF874)=ABS(ABS(CK874)-ABS(CF874))),(CK874/CF874-1),"NM"))))))</f>
      </c>
      <c r="CL879" s="993"/>
      <c r="CM879" s="849"/>
      <c r="CN879" s="849"/>
      <c r="CO879" s="849"/>
      <c r="CP879" s="857" t="str">
        <f>IF(CK874="NM","NM",IF(CP874="NM","NM",IF(CK874&lt;=0,"NM",IF(CP874=0,"NM",IF(ABS(CP874/CK874-1)&gt;2.5,"NM",IF((ABS(CP874-CK874)=ABS(ABS(CP874)-ABS(CK874))),(CP874/CK874-1),"NM"))))))</f>
      </c>
      <c r="CQ879" s="849"/>
      <c r="CR879" s="849"/>
      <c r="CS879" s="849"/>
      <c r="CT879" s="985"/>
      <c r="CU879" s="988"/>
      <c r="CV879" s="849"/>
      <c r="CW879" s="849"/>
      <c r="CX879" s="849"/>
      <c r="CY879" s="985"/>
      <c r="CZ879" s="857"/>
      <c r="DA879" s="849"/>
      <c r="DB879" s="856"/>
      <c r="DC879" s="856"/>
      <c r="DD879" s="988"/>
      <c r="DE879" s="857"/>
      <c r="DF879" s="1890"/>
      <c r="DG879" s="856"/>
      <c r="DH879" s="856"/>
      <c r="DI879" s="988"/>
      <c r="DJ879" s="857"/>
      <c r="DK879" s="857"/>
      <c r="DL879" s="857"/>
      <c r="DM879" s="857"/>
      <c r="DN879" s="857"/>
      <c r="DO879" s="857"/>
      <c r="DP879" s="857"/>
      <c r="DQ879" s="857"/>
      <c r="DR879" s="857"/>
      <c r="DS879" s="857"/>
      <c r="DT879" s="857"/>
      <c r="DU879" s="857"/>
      <c r="DV879" s="857"/>
      <c r="DW879" s="857"/>
      <c r="DX879" s="857"/>
      <c r="DY879" s="857"/>
      <c r="DZ879" s="857"/>
      <c r="EA879" s="857"/>
      <c r="EB879" s="857"/>
      <c r="EC879" s="857"/>
      <c r="ED879" s="857"/>
      <c r="EE879" s="994"/>
      <c r="EF879" s="857"/>
      <c r="EG879" s="857"/>
      <c r="EH879" s="857"/>
      <c r="EI879" s="857"/>
      <c r="EJ879" s="856"/>
      <c r="EK879" s="856"/>
      <c r="EL879" s="856"/>
      <c r="EM879" s="856"/>
      <c r="EN879" s="856"/>
      <c r="EO879" s="856"/>
      <c r="EP879" s="856"/>
      <c r="EQ879" s="856"/>
      <c r="ER879" s="856"/>
      <c r="ES879" s="856"/>
      <c r="ET879" s="988"/>
      <c r="EU879" s="856"/>
      <c r="EV879" s="856"/>
      <c r="EW879" s="856"/>
      <c r="EX879" s="856"/>
    </row>
    <row r="880" spans="1:154" s="278" customFormat="1" outlineLevel="1">
      <c r="A880" s="3275"/>
      <c r="B880" s="868" t="s">
        <v>412</v>
      </c>
      <c r="C880" s="990"/>
      <c r="D880" s="849"/>
      <c r="E880" s="849"/>
      <c r="F880" s="849"/>
      <c r="G880" s="849"/>
      <c r="H880" s="849"/>
      <c r="I880" s="849"/>
      <c r="J880" s="849"/>
      <c r="K880" s="849"/>
      <c r="L880" s="849"/>
      <c r="M880" s="849"/>
      <c r="N880" s="849"/>
      <c r="O880" s="849"/>
      <c r="P880" s="849"/>
      <c r="Q880" s="849"/>
      <c r="R880" s="849"/>
      <c r="S880" s="849"/>
      <c r="T880" s="849"/>
      <c r="U880" s="849"/>
      <c r="V880" s="849"/>
      <c r="W880" s="849"/>
      <c r="X880" s="850"/>
      <c r="Y880" s="849"/>
      <c r="Z880" s="849"/>
      <c r="AA880" s="849"/>
      <c r="AB880" s="849"/>
      <c r="AC880" s="850"/>
      <c r="AD880" s="849"/>
      <c r="AE880" s="849"/>
      <c r="AF880" s="849"/>
      <c r="AG880" s="849"/>
      <c r="AH880" s="850"/>
      <c r="AI880" s="849"/>
      <c r="AJ880" s="849"/>
      <c r="AK880" s="849"/>
      <c r="AL880" s="849"/>
      <c r="AM880" s="850"/>
      <c r="AN880" s="849"/>
      <c r="AO880" s="849"/>
      <c r="AP880" s="849"/>
      <c r="AQ880" s="849"/>
      <c r="AR880" s="850"/>
      <c r="AS880" s="849"/>
      <c r="AT880" s="849"/>
      <c r="AU880" s="849"/>
      <c r="AV880" s="849"/>
      <c r="AW880" s="850"/>
      <c r="AX880" s="849"/>
      <c r="AY880" s="849"/>
      <c r="AZ880" s="849"/>
      <c r="BA880" s="849"/>
      <c r="BB880" s="850"/>
      <c r="BC880" s="849"/>
      <c r="BD880" s="849"/>
      <c r="BE880" s="849"/>
      <c r="BF880" s="849"/>
      <c r="BG880" s="857"/>
      <c r="BH880" s="871"/>
      <c r="BI880" s="871"/>
      <c r="BJ880" s="871"/>
      <c r="BK880" s="871"/>
      <c r="BL880" s="857" t="str">
        <f>IF(BG875="NM","NM",IF(BL875="NM","NM",IF(BG875&lt;=0,"NM",IF(BL875=0,"NM",IF(ABS(BL875/BG875-1)&gt;2.5,"NM",IF((ABS(BL875-BG875)=ABS(ABS(BL875)-ABS(BG875))),(BL875/BG875-1),"NM"))))))</f>
      </c>
      <c r="BM880" s="849"/>
      <c r="BN880" s="849"/>
      <c r="BO880" s="849"/>
      <c r="BP880" s="849"/>
      <c r="BQ880" s="857" t="str">
        <f>IF(BL875="NM","NM",IF(BQ875="NM","NM",IF(BL875&lt;=0,"NM",IF(BQ875=0,"NM",IF(ABS(BQ875/BL875-1)&gt;2.5,"NM",IF((ABS(BQ875-BL875)=ABS(ABS(BQ875)-ABS(BL875))),(BQ875/BL875-1),"NM"))))))</f>
      </c>
      <c r="BR880" s="849"/>
      <c r="BS880" s="849"/>
      <c r="BT880" s="849"/>
      <c r="BU880" s="849"/>
      <c r="BV880" s="857" t="str">
        <f>IF(BQ875="NM","NM",IF(BV875="NM","NM",IF(BQ875&lt;=0,"NM",IF(BV875=0,"NM",IF(ABS(BV875/BQ875-1)&gt;2.5,"NM",IF((ABS(BV875-BQ875)=ABS(ABS(BV875)-ABS(BQ875))),(BV875/BQ875-1),"NM"))))))</f>
      </c>
      <c r="BW880" s="849"/>
      <c r="BX880" s="849"/>
      <c r="BY880" s="849"/>
      <c r="BZ880" s="849"/>
      <c r="CA880" s="857" t="str">
        <f>IF(BV875="NM","NM",IF(CA875="NM","NM",IF(BV875&lt;=0,"NM",IF(CA875=0,"NM",IF(ABS(CA875/BV875-1)&gt;2.5,"NM",IF((ABS(CA875-BV875)=ABS(ABS(CA875)-ABS(BV875))),(CA875/BV875-1),"NM"))))))</f>
      </c>
      <c r="CB880" s="849"/>
      <c r="CC880" s="849"/>
      <c r="CD880" s="849"/>
      <c r="CE880" s="849"/>
      <c r="CF880" s="857" t="str">
        <f>IF(CA875="NM","NM",IF(CF875="NM","NM",IF(CA875&lt;=0,"NM",IF(CF875=0,"NM",IF(ABS(CF875/CA875-1)&gt;2.5,"NM",IF((ABS(CF875-CA875)=ABS(ABS(CF875)-ABS(CA875))),(CF875/CA875-1),"NM"))))))</f>
      </c>
      <c r="CG880" s="849"/>
      <c r="CH880" s="849"/>
      <c r="CI880" s="849"/>
      <c r="CJ880" s="849"/>
      <c r="CK880" s="857" t="str">
        <f>IF(CF875="NM","NM",IF(CK875="NM","NM",IF(CF875&lt;=0,"NM",IF(CK875=0,"NM",IF(ABS(CK875/CF875-1)&gt;2.5,"NM",IF((ABS(CK875-CF875)=ABS(ABS(CK875)-ABS(CF875))),(CK875/CF875-1),"NM"))))))</f>
      </c>
      <c r="CL880" s="993"/>
      <c r="CM880" s="849"/>
      <c r="CN880" s="849"/>
      <c r="CO880" s="849"/>
      <c r="CP880" s="857" t="str">
        <f>IF(CK875="NM","NM",IF(CP875="NM","NM",IF(CK875&lt;=0,"NM",IF(CP875=0,"NM",IF(ABS(CP875/CK875-1)&gt;2.5,"NM",IF((ABS(CP875-CK875)=ABS(ABS(CP875)-ABS(CK875))),(CP875/CK875-1),"NM"))))))</f>
      </c>
      <c r="CQ880" s="849"/>
      <c r="CR880" s="849"/>
      <c r="CS880" s="849"/>
      <c r="CT880" s="985"/>
      <c r="CU880" s="988"/>
      <c r="CV880" s="849"/>
      <c r="CW880" s="849"/>
      <c r="CX880" s="849"/>
      <c r="CY880" s="985"/>
      <c r="CZ880" s="857"/>
      <c r="DA880" s="849"/>
      <c r="DB880" s="856"/>
      <c r="DC880" s="856"/>
      <c r="DD880" s="988"/>
      <c r="DE880" s="857"/>
      <c r="DF880" s="1890"/>
      <c r="DG880" s="856"/>
      <c r="DH880" s="856"/>
      <c r="DI880" s="988"/>
      <c r="DJ880" s="857"/>
      <c r="DK880" s="857"/>
      <c r="DL880" s="857"/>
      <c r="DM880" s="857"/>
      <c r="DN880" s="857"/>
      <c r="DO880" s="857"/>
      <c r="DP880" s="857"/>
      <c r="DQ880" s="857"/>
      <c r="DR880" s="857"/>
      <c r="DS880" s="857"/>
      <c r="DT880" s="857"/>
      <c r="DU880" s="857"/>
      <c r="DV880" s="857"/>
      <c r="DW880" s="857"/>
      <c r="DX880" s="857"/>
      <c r="DY880" s="857"/>
      <c r="DZ880" s="857"/>
      <c r="EA880" s="857"/>
      <c r="EB880" s="857"/>
      <c r="EC880" s="857"/>
      <c r="ED880" s="857"/>
      <c r="EE880" s="994"/>
      <c r="EF880" s="857"/>
      <c r="EG880" s="857"/>
      <c r="EH880" s="857"/>
      <c r="EI880" s="857"/>
      <c r="EJ880" s="856"/>
      <c r="EK880" s="856"/>
      <c r="EL880" s="856"/>
      <c r="EM880" s="856"/>
      <c r="EN880" s="856"/>
      <c r="EO880" s="856"/>
      <c r="EP880" s="856"/>
      <c r="EQ880" s="856"/>
      <c r="ER880" s="856"/>
      <c r="ES880" s="856"/>
      <c r="ET880" s="988"/>
      <c r="EU880" s="856"/>
      <c r="EV880" s="856"/>
      <c r="EW880" s="856"/>
      <c r="EX880" s="856"/>
    </row>
    <row r="881" spans="1:154" s="278" customFormat="1" outlineLevel="1">
      <c r="A881" s="3275"/>
      <c r="B881" s="868" t="s">
        <v>256</v>
      </c>
      <c r="C881" s="990"/>
      <c r="D881" s="849"/>
      <c r="E881" s="849"/>
      <c r="F881" s="849"/>
      <c r="G881" s="849"/>
      <c r="H881" s="849"/>
      <c r="I881" s="849"/>
      <c r="J881" s="849"/>
      <c r="K881" s="849"/>
      <c r="L881" s="849"/>
      <c r="M881" s="849"/>
      <c r="N881" s="849"/>
      <c r="O881" s="849"/>
      <c r="P881" s="849"/>
      <c r="Q881" s="849"/>
      <c r="R881" s="849"/>
      <c r="S881" s="849"/>
      <c r="T881" s="849"/>
      <c r="U881" s="849"/>
      <c r="V881" s="849"/>
      <c r="W881" s="849"/>
      <c r="X881" s="850"/>
      <c r="Y881" s="849"/>
      <c r="Z881" s="849"/>
      <c r="AA881" s="849"/>
      <c r="AB881" s="849"/>
      <c r="AC881" s="850"/>
      <c r="AD881" s="849"/>
      <c r="AE881" s="849"/>
      <c r="AF881" s="849"/>
      <c r="AG881" s="849"/>
      <c r="AH881" s="850"/>
      <c r="AI881" s="849"/>
      <c r="AJ881" s="849"/>
      <c r="AK881" s="849"/>
      <c r="AL881" s="849"/>
      <c r="AM881" s="850"/>
      <c r="AN881" s="849"/>
      <c r="AO881" s="849"/>
      <c r="AP881" s="849"/>
      <c r="AQ881" s="849"/>
      <c r="AR881" s="850"/>
      <c r="AS881" s="849"/>
      <c r="AT881" s="849"/>
      <c r="AU881" s="849"/>
      <c r="AV881" s="849"/>
      <c r="AW881" s="850"/>
      <c r="AX881" s="849"/>
      <c r="AY881" s="849"/>
      <c r="AZ881" s="849"/>
      <c r="BA881" s="849"/>
      <c r="BB881" s="850"/>
      <c r="BC881" s="849"/>
      <c r="BD881" s="863"/>
      <c r="BE881" s="863"/>
      <c r="BF881" s="863"/>
      <c r="BG881" s="862"/>
      <c r="BH881" s="871"/>
      <c r="BI881" s="871"/>
      <c r="BJ881" s="871"/>
      <c r="BK881" s="871"/>
      <c r="BL881" s="857" t="str">
        <f>IF(ISNUMBER(BL880),(1+BL880)/(1+BL$21)-1,"NM")</f>
      </c>
      <c r="BM881" s="863"/>
      <c r="BN881" s="863"/>
      <c r="BO881" s="863"/>
      <c r="BP881" s="863"/>
      <c r="BQ881" s="857" t="str">
        <f>IF(ISNUMBER(BQ880),(1+BQ880)/(1+BQ$21)-1,"NM")</f>
      </c>
      <c r="BR881" s="863"/>
      <c r="BS881" s="863"/>
      <c r="BT881" s="863"/>
      <c r="BU881" s="863"/>
      <c r="BV881" s="857" t="str">
        <f>IF(ISNUMBER(BV880),(1+BV880)/(1+BV$21)-1,"NM")</f>
      </c>
      <c r="BW881" s="863"/>
      <c r="BX881" s="863"/>
      <c r="BY881" s="863"/>
      <c r="BZ881" s="863"/>
      <c r="CA881" s="857" t="str">
        <f>IF(ISNUMBER(CA880),(1+CA880)/(1+CA$21)-1,"NM")</f>
      </c>
      <c r="CB881" s="863"/>
      <c r="CC881" s="863"/>
      <c r="CD881" s="863"/>
      <c r="CE881" s="863"/>
      <c r="CF881" s="857" t="str">
        <f>IF(ISNUMBER(CF880),(1+CF880)/(1+CF$21)-1,"NM")</f>
      </c>
      <c r="CG881" s="863"/>
      <c r="CH881" s="863"/>
      <c r="CI881" s="863"/>
      <c r="CJ881" s="863"/>
      <c r="CK881" s="857" t="str">
        <f>IF(ISNUMBER(CK880),(1+CK880)/(1+CK$21)-1,"NM")</f>
      </c>
      <c r="CL881" s="996"/>
      <c r="CM881" s="863"/>
      <c r="CN881" s="863"/>
      <c r="CO881" s="863"/>
      <c r="CP881" s="857" t="str">
        <f>IF(ISNUMBER(CP880),(1+CP880)/(1+CP$21)-1,"NM")</f>
      </c>
      <c r="CQ881" s="863"/>
      <c r="CR881" s="863"/>
      <c r="CS881" s="863"/>
      <c r="CT881" s="989"/>
      <c r="CU881" s="988"/>
      <c r="CV881" s="863"/>
      <c r="CW881" s="863"/>
      <c r="CX881" s="863"/>
      <c r="CY881" s="989"/>
      <c r="CZ881" s="857"/>
      <c r="DA881" s="863"/>
      <c r="DB881" s="856"/>
      <c r="DC881" s="856"/>
      <c r="DD881" s="988"/>
      <c r="DE881" s="857"/>
      <c r="DF881" s="863"/>
      <c r="DG881" s="856"/>
      <c r="DH881" s="856"/>
      <c r="DI881" s="988"/>
      <c r="DJ881" s="857"/>
      <c r="DK881" s="857"/>
      <c r="DL881" s="857"/>
      <c r="DM881" s="857"/>
      <c r="DN881" s="857"/>
      <c r="DO881" s="857"/>
      <c r="DP881" s="857"/>
      <c r="DQ881" s="857"/>
      <c r="DR881" s="857"/>
      <c r="DS881" s="857"/>
      <c r="DT881" s="857"/>
      <c r="DU881" s="857"/>
      <c r="DV881" s="857"/>
      <c r="DW881" s="857"/>
      <c r="DX881" s="857"/>
      <c r="DY881" s="857"/>
      <c r="DZ881" s="857"/>
      <c r="EA881" s="857"/>
      <c r="EB881" s="857"/>
      <c r="EC881" s="857"/>
      <c r="ED881" s="857"/>
      <c r="EE881" s="994"/>
      <c r="EF881" s="857"/>
      <c r="EG881" s="857"/>
      <c r="EH881" s="857"/>
      <c r="EI881" s="857"/>
      <c r="EJ881" s="856"/>
      <c r="EK881" s="856"/>
      <c r="EL881" s="856"/>
      <c r="EM881" s="856"/>
      <c r="EN881" s="856"/>
      <c r="EO881" s="856"/>
      <c r="EP881" s="856"/>
      <c r="EQ881" s="856"/>
      <c r="ER881" s="856"/>
      <c r="ES881" s="856"/>
      <c r="ET881" s="988"/>
      <c r="EU881" s="856"/>
      <c r="EV881" s="856"/>
      <c r="EW881" s="856"/>
      <c r="EX881" s="856"/>
    </row>
    <row r="882" spans="1:154" s="278" customFormat="1" outlineLevel="1">
      <c r="A882" s="3275"/>
      <c r="B882" s="868" t="s">
        <v>413</v>
      </c>
      <c r="C882" s="990"/>
      <c r="D882" s="849"/>
      <c r="E882" s="849"/>
      <c r="F882" s="849"/>
      <c r="G882" s="849"/>
      <c r="H882" s="849"/>
      <c r="I882" s="849"/>
      <c r="J882" s="849"/>
      <c r="K882" s="849"/>
      <c r="L882" s="849"/>
      <c r="M882" s="849"/>
      <c r="N882" s="849"/>
      <c r="O882" s="849"/>
      <c r="P882" s="849"/>
      <c r="Q882" s="849"/>
      <c r="R882" s="849"/>
      <c r="S882" s="849"/>
      <c r="T882" s="849"/>
      <c r="U882" s="849"/>
      <c r="V882" s="849"/>
      <c r="W882" s="849"/>
      <c r="X882" s="850"/>
      <c r="Y882" s="849"/>
      <c r="Z882" s="849"/>
      <c r="AA882" s="849"/>
      <c r="AB882" s="849"/>
      <c r="AC882" s="850"/>
      <c r="AD882" s="849"/>
      <c r="AE882" s="849"/>
      <c r="AF882" s="849"/>
      <c r="AG882" s="849"/>
      <c r="AH882" s="850"/>
      <c r="AI882" s="849"/>
      <c r="AJ882" s="849"/>
      <c r="AK882" s="849"/>
      <c r="AL882" s="849"/>
      <c r="AM882" s="850"/>
      <c r="AN882" s="849"/>
      <c r="AO882" s="849"/>
      <c r="AP882" s="849"/>
      <c r="AQ882" s="849"/>
      <c r="AR882" s="850"/>
      <c r="AS882" s="849"/>
      <c r="AT882" s="849"/>
      <c r="AU882" s="849"/>
      <c r="AV882" s="849"/>
      <c r="AW882" s="850"/>
      <c r="AX882" s="849"/>
      <c r="AY882" s="849"/>
      <c r="AZ882" s="849"/>
      <c r="BA882" s="849"/>
      <c r="BB882" s="850"/>
      <c r="BC882" s="849"/>
      <c r="BD882" s="856"/>
      <c r="BE882" s="856"/>
      <c r="BF882" s="856"/>
      <c r="BG882" s="857"/>
      <c r="BH882" s="856"/>
      <c r="BI882" s="856"/>
      <c r="BJ882" s="856"/>
      <c r="BK882" s="856"/>
      <c r="BL882" s="857" t="str">
        <f>IF(BG876="NM","NM",IF(BL876="NM","NM",IF(BG876&lt;=0,"NM",IF(BL876=0,"NM",IF(ABS(BL876/BG876-1)&gt;2.5,"NM",IF((ABS(BL876-BG876)=ABS(ABS(BL876)-ABS(BG876))),(BL876/BG876-1),"NM"))))))</f>
      </c>
      <c r="BM882" s="856"/>
      <c r="BN882" s="856"/>
      <c r="BO882" s="856"/>
      <c r="BP882" s="856"/>
      <c r="BQ882" s="857" t="str">
        <f>IF(BL876="NM","NM",IF(BQ876="NM","NM",IF(BL876&lt;=0,"NM",IF(BQ876=0,"NM",IF(ABS(BQ876/BL876-1)&gt;2.5,"NM",IF((ABS(BQ876-BL876)=ABS(ABS(BQ876)-ABS(BL876))),(BQ876/BL876-1),"NM"))))))</f>
      </c>
      <c r="BR882" s="856"/>
      <c r="BS882" s="856"/>
      <c r="BT882" s="856"/>
      <c r="BU882" s="856"/>
      <c r="BV882" s="857" t="str">
        <f>IF(BQ876="NM","NM",IF(BV876="NM","NM",IF(BQ876&lt;=0,"NM",IF(BV876=0,"NM",IF(ABS(BV876/BQ876-1)&gt;2.5,"NM",IF((ABS(BV876-BQ876)=ABS(ABS(BV876)-ABS(BQ876))),(BV876/BQ876-1),"NM"))))))</f>
      </c>
      <c r="BW882" s="856"/>
      <c r="BX882" s="856"/>
      <c r="BY882" s="856"/>
      <c r="BZ882" s="856"/>
      <c r="CA882" s="857" t="str">
        <f>IF(BV876="NM","NM",IF(CA876="NM","NM",IF(BV876&lt;=0,"NM",IF(CA876=0,"NM",IF(ABS(CA876/BV876-1)&gt;2.5,"NM",IF((ABS(CA876-BV876)=ABS(ABS(CA876)-ABS(BV876))),(CA876/BV876-1),"NM"))))))</f>
      </c>
      <c r="CB882" s="856"/>
      <c r="CC882" s="856"/>
      <c r="CD882" s="856"/>
      <c r="CE882" s="856"/>
      <c r="CF882" s="857" t="str">
        <f>IF(CA876="NM","NM",IF(CF876="NM","NM",IF(CA876&lt;=0,"NM",IF(CF876=0,"NM",IF(ABS(CF876/CA876-1)&gt;2.5,"NM",IF((ABS(CF876-CA876)=ABS(ABS(CF876)-ABS(CA876))),(CF876/CA876-1),"NM"))))))</f>
      </c>
      <c r="CG882" s="856"/>
      <c r="CH882" s="856"/>
      <c r="CI882" s="856"/>
      <c r="CJ882" s="856"/>
      <c r="CK882" s="857" t="str">
        <f>IF(CF876="NM","NM",IF(CK876="NM","NM",IF(CF876&lt;=0,"NM",IF(CK876=0,"NM",IF(ABS(CK876/CF876-1)&gt;2.5,"NM",IF((ABS(CK876-CF876)=ABS(ABS(CK876)-ABS(CF876))),(CK876/CF876-1),"NM"))))))</f>
      </c>
      <c r="CL882" s="994"/>
      <c r="CM882" s="856"/>
      <c r="CN882" s="856"/>
      <c r="CO882" s="856"/>
      <c r="CP882" s="857" t="str">
        <f>IF(CK876="NM","NM",IF(CP876="NM","NM",IF(CK876&lt;=0,"NM",IF(CP876=0,"NM",IF(ABS(CP876/CK876-1)&gt;2.5,"NM",IF((ABS(CP876-CK876)=ABS(ABS(CP876)-ABS(CK876))),(CP876/CK876-1),"NM"))))))</f>
      </c>
      <c r="CQ882" s="856"/>
      <c r="CR882" s="856"/>
      <c r="CS882" s="856"/>
      <c r="CT882" s="988"/>
      <c r="CU882" s="988"/>
      <c r="CV882" s="856"/>
      <c r="CW882" s="856"/>
      <c r="CX882" s="856"/>
      <c r="CY882" s="988"/>
      <c r="CZ882" s="857"/>
      <c r="DA882" s="856"/>
      <c r="DB882" s="856"/>
      <c r="DC882" s="856"/>
      <c r="DD882" s="988"/>
      <c r="DE882" s="857"/>
      <c r="DF882" s="856"/>
      <c r="DG882" s="856"/>
      <c r="DH882" s="856"/>
      <c r="DI882" s="988"/>
      <c r="DJ882" s="857"/>
      <c r="DK882" s="857"/>
      <c r="DL882" s="857"/>
      <c r="DM882" s="857"/>
      <c r="DN882" s="857"/>
      <c r="DO882" s="857"/>
      <c r="DP882" s="857"/>
      <c r="DQ882" s="857"/>
      <c r="DR882" s="857"/>
      <c r="DS882" s="857"/>
      <c r="DT882" s="857"/>
      <c r="DU882" s="857"/>
      <c r="DV882" s="857"/>
      <c r="DW882" s="857"/>
      <c r="DX882" s="857"/>
      <c r="DY882" s="857"/>
      <c r="DZ882" s="857"/>
      <c r="EA882" s="857"/>
      <c r="EB882" s="857"/>
      <c r="EC882" s="857"/>
      <c r="ED882" s="857"/>
      <c r="EE882" s="994"/>
      <c r="EF882" s="857"/>
      <c r="EG882" s="857"/>
      <c r="EH882" s="857"/>
      <c r="EI882" s="857"/>
      <c r="EJ882" s="856"/>
      <c r="EK882" s="856"/>
      <c r="EL882" s="856"/>
      <c r="EM882" s="856"/>
      <c r="EN882" s="856"/>
      <c r="EO882" s="856"/>
      <c r="EP882" s="856"/>
      <c r="EQ882" s="856"/>
      <c r="ER882" s="856"/>
      <c r="ES882" s="856"/>
      <c r="ET882" s="988"/>
      <c r="EU882" s="856"/>
      <c r="EV882" s="856"/>
      <c r="EW882" s="856"/>
      <c r="EX882" s="856"/>
    </row>
    <row r="883" spans="1:154" outlineLevel="1">
      <c r="B883" s="342"/>
      <c r="C883" s="1989"/>
      <c r="D883" s="28"/>
      <c r="E883" s="28"/>
      <c r="F883" s="28"/>
      <c r="G883" s="28"/>
      <c r="H883" s="28"/>
      <c r="I883" s="31"/>
      <c r="J883" s="28"/>
      <c r="K883" s="28"/>
      <c r="L883" s="28"/>
      <c r="M883" s="28"/>
      <c r="N883" s="31"/>
      <c r="O883" s="31"/>
      <c r="P883" s="31"/>
      <c r="Q883" s="31"/>
      <c r="R883" s="31"/>
      <c r="S883" s="31"/>
      <c r="T883" s="31"/>
      <c r="U883" s="31"/>
      <c r="V883" s="31"/>
      <c r="W883" s="31"/>
      <c r="X883" s="313"/>
      <c r="Y883" s="31"/>
      <c r="Z883" s="31"/>
      <c r="AA883" s="31"/>
      <c r="AB883" s="31"/>
      <c r="AC883" s="313"/>
      <c r="AD883" s="31"/>
      <c r="AE883" s="31"/>
      <c r="AF883" s="31"/>
      <c r="AG883" s="31"/>
      <c r="AH883" s="313"/>
      <c r="AI883" s="28"/>
      <c r="AJ883" s="28"/>
      <c r="AK883" s="28"/>
      <c r="AL883" s="31"/>
      <c r="AM883" s="313"/>
      <c r="AN883" s="28"/>
      <c r="AO883" s="28"/>
      <c r="AP883" s="28"/>
      <c r="AQ883" s="31"/>
      <c r="AR883" s="313"/>
      <c r="AS883" s="28"/>
      <c r="AT883" s="28"/>
      <c r="AU883" s="28"/>
      <c r="AV883" s="31"/>
      <c r="AW883" s="313"/>
      <c r="AX883" s="28"/>
      <c r="AY883" s="28"/>
      <c r="AZ883" s="28"/>
      <c r="BA883" s="28"/>
      <c r="BB883" s="313"/>
      <c r="BC883" s="28"/>
      <c r="BD883" s="28"/>
      <c r="BE883" s="28"/>
      <c r="BF883" s="28"/>
      <c r="BG883" s="313"/>
      <c r="BH883" s="28"/>
      <c r="BI883" s="28"/>
      <c r="BJ883" s="28"/>
      <c r="BK883" s="28"/>
      <c r="BL883" s="313"/>
      <c r="BM883" s="28"/>
      <c r="BN883" s="28"/>
      <c r="BO883" s="28"/>
      <c r="BP883" s="28"/>
      <c r="BQ883" s="313"/>
      <c r="BR883" s="28"/>
      <c r="BS883" s="28"/>
      <c r="BT883" s="28"/>
      <c r="BU883" s="28"/>
      <c r="BV883" s="313"/>
      <c r="BW883" s="28"/>
      <c r="BX883" s="28"/>
      <c r="BY883" s="28"/>
      <c r="BZ883" s="28"/>
      <c r="CA883" s="313"/>
      <c r="CB883" s="28"/>
      <c r="CC883" s="28"/>
      <c r="CD883" s="28"/>
      <c r="CE883" s="28"/>
      <c r="CF883" s="313"/>
      <c r="CG883" s="28"/>
      <c r="CH883" s="28"/>
      <c r="CI883" s="28"/>
      <c r="CJ883" s="28"/>
      <c r="CK883" s="313"/>
      <c r="CL883" s="961"/>
      <c r="CM883" s="933"/>
      <c r="CN883" s="933"/>
      <c r="CO883" s="28"/>
      <c r="CP883" s="313"/>
      <c r="CQ883" s="933"/>
      <c r="CR883" s="933"/>
      <c r="CS883" s="933"/>
      <c r="CT883" s="962"/>
      <c r="CU883" s="955"/>
      <c r="CV883" s="933"/>
      <c r="CW883" s="933"/>
      <c r="CX883" s="933"/>
      <c r="CY883" s="962"/>
      <c r="CZ883" s="313"/>
      <c r="DA883" s="933"/>
      <c r="DB883" s="31"/>
      <c r="DC883" s="31"/>
      <c r="DD883" s="955"/>
      <c r="DE883" s="477"/>
      <c r="DF883" s="982"/>
      <c r="DG883" s="603"/>
      <c r="DH883" s="603"/>
      <c r="DI883" s="1798"/>
      <c r="DJ883" s="477"/>
      <c r="DK883" s="477"/>
      <c r="DL883" s="477"/>
      <c r="DM883" s="477"/>
      <c r="DN883" s="477"/>
      <c r="DO883" s="477"/>
      <c r="DP883" s="477"/>
      <c r="DQ883" s="477"/>
      <c r="DR883" s="477"/>
      <c r="DS883" s="477"/>
      <c r="DT883" s="477"/>
      <c r="DU883" s="477"/>
      <c r="DV883" s="477"/>
      <c r="DW883" s="477"/>
      <c r="DX883" s="477"/>
      <c r="DY883" s="477"/>
      <c r="DZ883" s="477"/>
      <c r="EA883" s="477"/>
      <c r="EB883" s="477"/>
      <c r="EC883" s="477"/>
      <c r="ED883" s="477"/>
      <c r="EE883" s="1799"/>
      <c r="EF883" s="477"/>
      <c r="EG883" s="477"/>
      <c r="EH883" s="477"/>
      <c r="EI883" s="477"/>
      <c r="EJ883" s="603"/>
      <c r="EK883" s="603"/>
      <c r="EL883" s="603"/>
      <c r="EM883" s="603"/>
      <c r="EN883" s="603"/>
      <c r="EO883" s="603"/>
      <c r="EP883" s="603"/>
      <c r="EQ883" s="603"/>
      <c r="ER883" s="603"/>
      <c r="ES883" s="603"/>
      <c r="ET883" s="1798"/>
      <c r="EU883" s="603"/>
      <c r="EV883" s="603"/>
      <c r="EW883" s="603"/>
      <c r="EX883" s="603"/>
    </row>
    <row r="884" spans="1:154">
      <c r="B884" s="485" t="s">
        <v>994</v>
      </c>
      <c r="C884" s="2018"/>
      <c r="D884" s="1983"/>
      <c r="E884" s="482"/>
      <c r="F884" s="482"/>
      <c r="G884" s="482"/>
      <c r="H884" s="482"/>
      <c r="I884" s="483"/>
      <c r="J884" s="482"/>
      <c r="K884" s="482"/>
      <c r="L884" s="482"/>
      <c r="M884" s="482"/>
      <c r="N884" s="483"/>
      <c r="O884" s="483"/>
      <c r="P884" s="483"/>
      <c r="Q884" s="483"/>
      <c r="R884" s="483"/>
      <c r="S884" s="483"/>
      <c r="T884" s="483"/>
      <c r="U884" s="483"/>
      <c r="V884" s="483"/>
      <c r="W884" s="483"/>
      <c r="X884" s="484"/>
      <c r="Y884" s="483"/>
      <c r="Z884" s="483"/>
      <c r="AA884" s="483"/>
      <c r="AB884" s="483"/>
      <c r="AC884" s="484"/>
      <c r="AD884" s="483"/>
      <c r="AE884" s="483"/>
      <c r="AF884" s="483"/>
      <c r="AG884" s="483"/>
      <c r="AH884" s="484"/>
      <c r="AI884" s="482"/>
      <c r="AJ884" s="482"/>
      <c r="AK884" s="482"/>
      <c r="AL884" s="483"/>
      <c r="AM884" s="484"/>
      <c r="AN884" s="482"/>
      <c r="AO884" s="482"/>
      <c r="AP884" s="482"/>
      <c r="AQ884" s="483"/>
      <c r="AR884" s="484"/>
      <c r="AS884" s="482"/>
      <c r="AT884" s="482"/>
      <c r="AU884" s="482"/>
      <c r="AV884" s="483"/>
      <c r="AW884" s="484"/>
      <c r="AX884" s="482"/>
      <c r="AY884" s="482"/>
      <c r="AZ884" s="482"/>
      <c r="BA884" s="482"/>
      <c r="BB884" s="484"/>
      <c r="BC884" s="482"/>
      <c r="BD884" s="482"/>
      <c r="BE884" s="482"/>
      <c r="BF884" s="482"/>
      <c r="BG884" s="484"/>
      <c r="BH884" s="482"/>
      <c r="BI884" s="482"/>
      <c r="BJ884" s="482"/>
      <c r="BK884" s="482"/>
      <c r="BL884" s="484"/>
      <c r="BM884" s="482"/>
      <c r="BN884" s="482"/>
      <c r="BO884" s="482"/>
      <c r="BP884" s="482"/>
      <c r="BQ884" s="484"/>
      <c r="BR884" s="482"/>
      <c r="BS884" s="482"/>
      <c r="BT884" s="482"/>
      <c r="BU884" s="482"/>
      <c r="BV884" s="484"/>
      <c r="BW884" s="482"/>
      <c r="BX884" s="482"/>
      <c r="BY884" s="482"/>
      <c r="BZ884" s="482"/>
      <c r="CA884" s="484"/>
      <c r="CB884" s="482"/>
      <c r="CC884" s="482"/>
      <c r="CD884" s="482"/>
      <c r="CE884" s="482"/>
      <c r="CF884" s="484"/>
      <c r="CG884" s="482"/>
      <c r="CH884" s="482"/>
      <c r="CI884" s="482"/>
      <c r="CJ884" s="482"/>
      <c r="CK884" s="484"/>
      <c r="CL884" s="998"/>
      <c r="CM884" s="951"/>
      <c r="CN884" s="951"/>
      <c r="CO884" s="1402"/>
      <c r="CP884" s="484"/>
      <c r="CQ884" s="951"/>
      <c r="CR884" s="951"/>
      <c r="CS884" s="951"/>
      <c r="CT884" s="999"/>
      <c r="CU884" s="991"/>
      <c r="CV884" s="951"/>
      <c r="CW884" s="951"/>
      <c r="CX884" s="951"/>
      <c r="CY884" s="999"/>
      <c r="CZ884" s="484"/>
      <c r="DA884" s="951"/>
      <c r="DB884" s="1370"/>
      <c r="DC884" s="1370"/>
      <c r="DD884" s="1198"/>
      <c r="DE884" s="1895"/>
      <c r="DF884" s="1896"/>
      <c r="DG884" s="1897"/>
      <c r="DH884" s="1897"/>
      <c r="DI884" s="1898"/>
      <c r="DJ884" s="1895"/>
      <c r="DK884" s="1896"/>
      <c r="DL884" s="1897"/>
      <c r="DM884" s="1897"/>
      <c r="DN884" s="1898"/>
      <c r="DO884" s="1895"/>
      <c r="DP884" s="1897"/>
      <c r="DQ884" s="1897"/>
      <c r="DR884" s="1897"/>
      <c r="DS884" s="1898"/>
      <c r="DT884" s="1895"/>
      <c r="DU884" s="2124"/>
      <c r="DV884" s="2124"/>
      <c r="DW884" s="2124"/>
      <c r="DX884" s="2125"/>
      <c r="DY884" s="1895"/>
      <c r="DZ884" s="2124"/>
      <c r="EA884" s="3516"/>
      <c r="EB884" s="3516"/>
      <c r="EC884" s="2125"/>
      <c r="ED884" s="3534"/>
      <c r="EE884" s="3552"/>
      <c r="EF884" s="3516"/>
      <c r="EG884" s="3516"/>
      <c r="EH884" s="2125"/>
      <c r="EI884" s="1895"/>
      <c r="EJ884" s="1899"/>
      <c r="EK884" s="1899"/>
      <c r="EL884" s="1899"/>
      <c r="EM884" s="1899"/>
      <c r="EN884" s="1899"/>
      <c r="EO884" s="1899"/>
      <c r="EP884" s="1899"/>
      <c r="EQ884" s="1899"/>
      <c r="ER884" s="1899"/>
      <c r="ES884" s="1899"/>
      <c r="ET884" s="1900"/>
      <c r="EU884" s="1899"/>
      <c r="EV884" s="1899"/>
      <c r="EW884" s="1899"/>
      <c r="EX884" s="1899"/>
    </row>
    <row r="885" spans="1:154">
      <c r="B885" s="337" t="s">
        <v>941</v>
      </c>
      <c r="C885" s="1972"/>
      <c r="D885" s="26">
        <f>+D714+D791+D306+D849+D398+D409+D103+D803+D442+D202+D833+D758+D376+D274+D703+D814+D825</f>
      </c>
      <c r="E885" s="26">
        <f>+E714+E791+E306+E849+E398+E409+E103+E803+E442+E202+E833+E758+E376+E274+E814+E825</f>
      </c>
      <c r="F885" s="26">
        <f>+F714+F791+F306+F849+F398+F409+F103+F803+F442+F202+F833+F758+F376+F274+F814+F825</f>
      </c>
      <c r="G885" s="26">
        <f>+G714+G791+G306+G849+G398+G409+G103+G803+G442+G202+G833+G758+G376+G274+G814+G825</f>
      </c>
      <c r="H885" s="26">
        <f>+H714+H791+H306+H849+H398+H409+H103+H803+H442+H202+H833+H758+H376+H274+H814+H825</f>
      </c>
      <c r="I885" s="26">
        <f t="shared" ref="I885:R885" si="1934">+I714+I791+I306+I849+I398+I409+I103+I803+I442+I202+I833+I758+I376+I274+I703+I814+I825</f>
      </c>
      <c r="J885" s="26">
        <f t="shared" si="1934"/>
      </c>
      <c r="K885" s="26">
        <f t="shared" si="1934"/>
      </c>
      <c r="L885" s="26">
        <f t="shared" si="1934"/>
      </c>
      <c r="M885" s="26">
        <f t="shared" si="1934"/>
      </c>
      <c r="N885" s="26">
        <f t="shared" si="1934"/>
      </c>
      <c r="O885" s="26">
        <f t="shared" si="1934"/>
      </c>
      <c r="P885" s="26">
        <f t="shared" si="1934"/>
      </c>
      <c r="Q885" s="26">
        <f t="shared" si="1934"/>
      </c>
      <c r="R885" s="26">
        <f t="shared" si="1934"/>
      </c>
      <c r="S885" s="26">
        <f>+S714+S791+S306+S849+S398+S409+S103+S803+S442+S202+S833+S758+S376+S274+S703+S814+S825+S870+S829+S431</f>
      </c>
      <c r="T885" s="26">
        <f>+T714+T791+T306+T849+T398+T409+T103+T803+T442+T202+T833+T758+T376+T274+T703+T814+T825</f>
      </c>
      <c r="U885" s="26">
        <f>+U714+U791+U306+U849+U398+U409+U103+U803+U442+U202+U833+U758+U376+U274+U703+U814+U825</f>
      </c>
      <c r="V885" s="26">
        <f>+V714+V791+V306+V849+V398+V409+V103+V803+V442+V202+V833+V758+V376+V274+V703+V814+V825</f>
      </c>
      <c r="W885" s="26">
        <f>+W714+W791+W306+W849+W398+W409+W103+W803+W442+W202+W833+W758+W376+W274+W703+W814+W825</f>
      </c>
      <c r="X885" s="323">
        <f>+X714+X791+X306+X849+X398+X409+X103+X803+X442+X202+X833+X758+X376+X274+X703+X814+X825+X870+X829+X431</f>
      </c>
      <c r="Y885" s="26">
        <f>+Y714+Y791+Y306+Y849+Y398+Y409+Y103+Y803+Y442+Y202+Y833+Y758+Y376+Y274+Y703+Y814+Y825</f>
      </c>
      <c r="Z885" s="26">
        <f>+Z714+Z791+Z306+Z849+Z398+Z409+Z103+Z803+Z442+Z202+Z833+Z758+Z376+Z274+Z703+Z814+Z825</f>
      </c>
      <c r="AA885" s="26">
        <f>+AA714+AA791+AA306+AA849+AA398+AA409+AA103+AA803+AA442+AA202+AA833+AA758+AA376+AA274+AA703+AA814+AA825</f>
      </c>
      <c r="AB885" s="26">
        <f>+AB714+AB791+AB306+AB849+AB398+AB409+AB103+AB803+AB442+AB202+AB833+AB758+AB376+AB274+AB703+AB814+AB825</f>
      </c>
      <c r="AC885" s="323">
        <f t="shared" ref="AC885:AL885" si="1935">+AC714+AC791+AC306+AC849+AC398+AC409+AC103+AC803+AC442+AC202+AC833+AC758+AC376+AC274+AC703+AC814+AC825+AC870+AC829+AC431</f>
      </c>
      <c r="AD885" s="26">
        <f t="shared" si="1935"/>
      </c>
      <c r="AE885" s="26">
        <f t="shared" si="1935"/>
      </c>
      <c r="AF885" s="26">
        <f t="shared" si="1935"/>
      </c>
      <c r="AG885" s="26">
        <f t="shared" si="1935"/>
      </c>
      <c r="AH885" s="323">
        <f t="shared" si="1935"/>
      </c>
      <c r="AI885" s="26">
        <f t="shared" si="1935"/>
      </c>
      <c r="AJ885" s="26">
        <f t="shared" si="1935"/>
      </c>
      <c r="AK885" s="26">
        <f t="shared" si="1935"/>
      </c>
      <c r="AL885" s="26">
        <f t="shared" si="1935"/>
      </c>
      <c r="AM885" s="323">
        <f t="shared" ref="AM885:AR885" si="1936">+AM714+AM791+AM306+AM849+AM398+AM409+AM103+AM803+AM442+AM202+AM833+AM758+AM376+AM274+AM703+AM814+AM825+AM870+AM829+AM431+AM874+AM860+AM328+AM230+AM219+AM838+AM136+AM125</f>
      </c>
      <c r="AN885" s="26">
        <f t="shared" si="1936"/>
      </c>
      <c r="AO885" s="26">
        <f t="shared" si="1936"/>
      </c>
      <c r="AP885" s="26">
        <f t="shared" si="1936"/>
      </c>
      <c r="AQ885" s="26">
        <f t="shared" si="1936"/>
      </c>
      <c r="AR885" s="323">
        <f t="shared" si="1936"/>
      </c>
      <c r="AS885" s="26">
        <f t="shared" ref="AS885:AW886" si="1937">+AS714+AS791+AS306+AS849+AS398+AS409+AS103+AS803+AS442+AS202+AS833+AS758+AS376+AS274+AS703+AS814+AS825+AS870+AS829+AS431+AS874+AS860+AS328+AS230+AS219+AS838+AS136+AS125+AS476+AS317</f>
      </c>
      <c r="AT885" s="26">
        <f t="shared" si="1937"/>
      </c>
      <c r="AU885" s="26">
        <f t="shared" si="1937"/>
      </c>
      <c r="AV885" s="26">
        <f t="shared" si="1937"/>
      </c>
      <c r="AW885" s="323">
        <f t="shared" si="1937"/>
      </c>
      <c r="AX885" s="26">
        <f>+AX714+AX791+AX306+AX849+AX398+AX409+AX103+AX725+AX442+AX202+AX833+AX758+AX376+AX274+AX703+AX814+AX825+AX870+AX829+AX431+AX874+AX860+AX328+AX230+AX219+AX838+AX136+AX125+AX476+AX317</f>
      </c>
      <c r="AY885" s="26">
        <f>+AY714+AY791+AY306+AY849+AY398+AY409+AY103+AY725+AY442+AY202+AY833+AY758+AY376+AY274+AY703+AY814+AY825+AY870+AY829+AY431+AY874+AY860+AY328+AY230+AY219+AY838+AY136+AY125+AY476+AY317</f>
      </c>
      <c r="AZ885" s="26">
        <f>+AZ714+AZ791+AZ306+AZ849+AZ398+AZ409+AZ103+AZ725+AZ442+AZ202+AZ833+AZ758+AZ376+AZ274+AZ703+AZ814+AZ825+AZ870+AZ829+AZ431+AZ874+AZ860+AZ328+AZ230+AZ219+AZ838+AZ136+AZ125+AZ476+AZ317</f>
      </c>
      <c r="BA885" s="26">
        <f>+BA714+BA791+BA306+BA849+BA398+BA409+BA103+BA725+BA442+BA202+BA833+BA758+BA376+BA274+BA703+BA814+BA825+BA870+BA829+BA431+BA874+BA860+BA328+BA230+BA219+BA838+BA136+BA125+BA476+BA317</f>
      </c>
      <c r="BB885" s="323">
        <f>+BB714+BB791+BB306+BB849+BB398+BB409+BB103+BB725+BB442+BB202+BB833+BB758+BB376+BB274+BB703+BB814+BB825+BB870+BB829+BB431+BB874+BB860+BB328+BB230+BB219+BB838+BB136+BB125+BB476+BB317</f>
      </c>
      <c r="BC885" s="26">
        <f t="shared" ref="BC885:BL885" si="1938">+BC769+BC758+BC465+BC114+BC387+BC365+BC295+BC191+BC81+BC747+BC442+BC714+BC431+BC274+BC703+BC725</f>
      </c>
      <c r="BD885" s="26">
        <f t="shared" si="1938"/>
      </c>
      <c r="BE885" s="26">
        <f t="shared" si="1938"/>
      </c>
      <c r="BF885" s="26">
        <f t="shared" si="1938"/>
      </c>
      <c r="BG885" s="323">
        <f t="shared" si="1938"/>
      </c>
      <c r="BH885" s="26">
        <f t="shared" si="1938"/>
      </c>
      <c r="BI885" s="26">
        <f t="shared" si="1938"/>
      </c>
      <c r="BJ885" s="26">
        <f t="shared" si="1938"/>
      </c>
      <c r="BK885" s="26">
        <f t="shared" si="1938"/>
      </c>
      <c r="BL885" s="323">
        <f t="shared" si="1938"/>
      </c>
      <c r="BM885" s="26">
        <f t="shared" ref="BM885:CQ885" si="1939">BM70+BM191+BM263+BM465+BM692</f>
      </c>
      <c r="BN885" s="26">
        <f t="shared" si="1939"/>
      </c>
      <c r="BO885" s="26">
        <f t="shared" si="1939"/>
      </c>
      <c r="BP885" s="26">
        <f t="shared" si="1939"/>
      </c>
      <c r="BQ885" s="323">
        <f t="shared" si="1939"/>
      </c>
      <c r="BR885" s="26">
        <f t="shared" si="1939"/>
      </c>
      <c r="BS885" s="26">
        <f t="shared" si="1939"/>
      </c>
      <c r="BT885" s="26">
        <f t="shared" si="1939"/>
      </c>
      <c r="BU885" s="26">
        <f t="shared" si="1939"/>
      </c>
      <c r="BV885" s="323">
        <f t="shared" si="1939"/>
      </c>
      <c r="BW885" s="26">
        <f t="shared" si="1939"/>
      </c>
      <c r="BX885" s="26">
        <f t="shared" si="1939"/>
      </c>
      <c r="BY885" s="26">
        <f t="shared" si="1939"/>
      </c>
      <c r="BZ885" s="26">
        <f t="shared" si="1939"/>
      </c>
      <c r="CA885" s="323">
        <f t="shared" si="1939"/>
      </c>
      <c r="CB885" s="26">
        <f t="shared" si="1939"/>
      </c>
      <c r="CC885" s="26">
        <f t="shared" si="1939"/>
      </c>
      <c r="CD885" s="26">
        <f t="shared" si="1939"/>
      </c>
      <c r="CE885" s="26">
        <f t="shared" si="1939"/>
      </c>
      <c r="CF885" s="323">
        <f t="shared" si="1939"/>
      </c>
      <c r="CG885" s="26">
        <f t="shared" si="1939"/>
      </c>
      <c r="CH885" s="26">
        <f t="shared" si="1939"/>
      </c>
      <c r="CI885" s="26">
        <f t="shared" si="1939"/>
      </c>
      <c r="CJ885" s="26">
        <f t="shared" si="1939"/>
      </c>
      <c r="CK885" s="323">
        <f t="shared" si="1939"/>
      </c>
      <c r="CL885" s="970">
        <f t="shared" si="1939"/>
      </c>
      <c r="CM885" s="26">
        <f t="shared" si="1939"/>
      </c>
      <c r="CN885" s="26">
        <f t="shared" si="1939"/>
      </c>
      <c r="CO885" s="26">
        <f t="shared" si="1939"/>
      </c>
      <c r="CP885" s="323">
        <f t="shared" si="1939"/>
      </c>
      <c r="CQ885" s="26">
        <f t="shared" si="1939"/>
      </c>
      <c r="CR885" s="26">
        <f t="shared" ref="CR885:ED885" si="1940">CR70+CR191+CR263+CR465+CR692+CR637</f>
      </c>
      <c r="CS885" s="26">
        <f t="shared" si="1940"/>
      </c>
      <c r="CT885" s="1206">
        <f t="shared" si="1940"/>
      </c>
      <c r="CU885" s="877">
        <f t="shared" si="1940"/>
      </c>
      <c r="CV885" s="26">
        <f t="shared" si="1940"/>
      </c>
      <c r="CW885" s="26">
        <f t="shared" si="1940"/>
      </c>
      <c r="CX885" s="26">
        <f t="shared" si="1940"/>
      </c>
      <c r="CY885" s="1206">
        <f t="shared" si="1940"/>
      </c>
      <c r="CZ885" s="877">
        <f t="shared" si="1940"/>
      </c>
      <c r="DA885" s="26">
        <f t="shared" si="1940"/>
      </c>
      <c r="DB885" s="26">
        <f t="shared" si="1940"/>
      </c>
      <c r="DC885" s="26">
        <f t="shared" si="1940"/>
      </c>
      <c r="DD885" s="1206">
        <f t="shared" si="1940"/>
      </c>
      <c r="DE885" s="1817">
        <f t="shared" si="1940"/>
      </c>
      <c r="DF885" s="1783">
        <f t="shared" si="1940"/>
      </c>
      <c r="DG885" s="1783">
        <f t="shared" si="1940"/>
      </c>
      <c r="DH885" s="1783">
        <f t="shared" si="1940"/>
      </c>
      <c r="DI885" s="1901">
        <f t="shared" si="1940"/>
      </c>
      <c r="DJ885" s="1902">
        <f t="shared" si="1940"/>
      </c>
      <c r="DK885" s="1783">
        <f t="shared" si="1940"/>
      </c>
      <c r="DL885" s="1783">
        <f t="shared" si="1940"/>
      </c>
      <c r="DM885" s="1783">
        <f t="shared" si="1940"/>
      </c>
      <c r="DN885" s="1901">
        <f t="shared" si="1940"/>
      </c>
      <c r="DO885" s="1817">
        <f t="shared" si="1940"/>
      </c>
      <c r="DP885" s="1777">
        <f t="shared" si="1940"/>
      </c>
      <c r="DQ885" s="1777">
        <f t="shared" si="1940"/>
      </c>
      <c r="DR885" s="1777">
        <f t="shared" si="1940"/>
      </c>
      <c r="DS885" s="3345">
        <f t="shared" si="1940"/>
      </c>
      <c r="DT885" s="2354">
        <f t="shared" si="1940"/>
      </c>
      <c r="DU885" s="1777">
        <f t="shared" si="1940"/>
      </c>
      <c r="DV885" s="1777">
        <f t="shared" si="1940"/>
      </c>
      <c r="DW885" s="1777">
        <f t="shared" si="1940"/>
      </c>
      <c r="DX885" s="2496">
        <f t="shared" si="1940"/>
      </c>
      <c r="DY885" s="2354">
        <f t="shared" si="1940"/>
      </c>
      <c r="DZ885" s="1777">
        <f t="shared" si="1940"/>
      </c>
      <c r="EA885" s="1777">
        <f t="shared" si="1940"/>
      </c>
      <c r="EB885" s="1777">
        <f t="shared" si="1940"/>
      </c>
      <c r="EC885" s="3477">
        <f t="shared" si="1940"/>
      </c>
      <c r="ED885" s="2354">
        <f t="shared" si="1940"/>
      </c>
      <c r="EE885" s="1733">
        <f t="shared" ref="EE885:ES885" si="1941">EE70+EE191+EE263+EE465+EE692+EE637+EE769+EE779</f>
      </c>
      <c r="EF885" s="1777">
        <f t="shared" ref="EF885" si="1942">EF70+EF191+EF263+EF465+EF692+EF637+EF769+EF779</f>
      </c>
      <c r="EG885" s="1777">
        <f t="shared" ref="EG885" si="1943">EG70+EG191+EG263+EG465+EG692+EG637</f>
      </c>
      <c r="EH885" s="3477">
        <f t="shared" si="1941"/>
      </c>
      <c r="EI885" s="2354">
        <f t="shared" si="1941"/>
      </c>
      <c r="EJ885" s="2354">
        <f t="shared" si="1941"/>
      </c>
      <c r="EK885" s="2354">
        <f t="shared" si="1941"/>
      </c>
      <c r="EL885" s="2354">
        <f t="shared" si="1941"/>
      </c>
      <c r="EM885" s="2354">
        <f t="shared" si="1941"/>
      </c>
      <c r="EN885" s="2354">
        <f t="shared" si="1941"/>
      </c>
      <c r="EO885" s="1817">
        <f t="shared" si="1941"/>
      </c>
      <c r="EP885" s="1817">
        <f t="shared" si="1941"/>
      </c>
      <c r="EQ885" s="1817">
        <f t="shared" si="1941"/>
      </c>
      <c r="ER885" s="1817">
        <f t="shared" si="1941"/>
      </c>
      <c r="ES885" s="1817">
        <f t="shared" si="1941"/>
      </c>
      <c r="ET885" s="1817"/>
      <c r="EU885" s="1817"/>
      <c r="EV885" s="1817"/>
      <c r="EW885" s="1817"/>
      <c r="EX885" s="1817"/>
    </row>
    <row r="886" spans="1:154">
      <c r="B886" s="337" t="s">
        <v>417</v>
      </c>
      <c r="C886" s="1973"/>
      <c r="D886" s="26">
        <f t="shared" ref="D886:R886" si="1944">+D715+D792+D307+D850+D399+D410+D104+D804+D443+D203+D834+D759+D377+D275+D704+D815+D477+D826</f>
      </c>
      <c r="E886" s="26">
        <f t="shared" si="1944"/>
      </c>
      <c r="F886" s="26">
        <f t="shared" si="1944"/>
      </c>
      <c r="G886" s="26">
        <f t="shared" si="1944"/>
      </c>
      <c r="H886" s="26">
        <f t="shared" si="1944"/>
      </c>
      <c r="I886" s="26">
        <f t="shared" si="1944"/>
      </c>
      <c r="J886" s="26">
        <f t="shared" si="1944"/>
      </c>
      <c r="K886" s="26">
        <f t="shared" si="1944"/>
      </c>
      <c r="L886" s="26">
        <f t="shared" si="1944"/>
      </c>
      <c r="M886" s="26">
        <f t="shared" si="1944"/>
      </c>
      <c r="N886" s="26">
        <f t="shared" si="1944"/>
      </c>
      <c r="O886" s="26">
        <f t="shared" si="1944"/>
      </c>
      <c r="P886" s="26">
        <f t="shared" si="1944"/>
      </c>
      <c r="Q886" s="26">
        <f t="shared" si="1944"/>
      </c>
      <c r="R886" s="26">
        <f t="shared" si="1944"/>
      </c>
      <c r="S886" s="26">
        <f>+S715+S792+S307+S850+S399+S410+S104+S804+S443+S203+S834+S759+S377+S275+S704+S815+S477+S826+S432+S830+S871</f>
      </c>
      <c r="T886" s="26">
        <f>+T715+T792+T307+T850+T399+T410+T104+T804+T443+T203+T834+T759+T377+T275+T704+T815+T477+T826</f>
      </c>
      <c r="U886" s="26">
        <f>+U715+U792+U307+U850+U399+U410+U104+U804+U443+U203+U834+U759+U377+U275+U704+U815+U477+U826</f>
      </c>
      <c r="V886" s="26">
        <f>+V715+V792+V307+V850+V399+V410+V104+V804+V443+V203+V834+V759+V377+V275+V704+V815+V477+V826</f>
      </c>
      <c r="W886" s="26">
        <f>+W715+W792+W307+W850+W399+W410+W104+W804+W443+W203+W834+W759+W377+W275+W704+W815+W477+W826</f>
      </c>
      <c r="X886" s="323">
        <f>+X715+X792+X307+X850+X399+X410+X104+X804+X443+X203+X834+X759+X377+X275+X704+X815+X477+X826+X432+X830+X871</f>
      </c>
      <c r="Y886" s="26">
        <f>+Y715+Y792+Y307+Y850+Y399+Y410+Y104+Y804+Y443+Y203+Y834+Y759+Y377+Y275+Y704+Y815+Y477+Y826</f>
      </c>
      <c r="Z886" s="26">
        <f>+Z715+Z792+Z307+Z850+Z399+Z410+Z104+Z804+Z443+Z203+Z834+Z759+Z377+Z275+Z704+Z815+Z477+Z826</f>
      </c>
      <c r="AA886" s="26">
        <f>+AA715+AA792+AA307+AA850+AA399+AA410+AA104+AA804+AA443+AA203+AA834+AA759+AA377+AA275+AA704+AA815+AA477+AA826</f>
      </c>
      <c r="AB886" s="26">
        <f>+AB715+AB792+AB307+AB850+AB399+AB410+AB104+AB804+AB443+AB203+AB834+AB759+AB377+AB275+AB704+AB815+AB477+AB826</f>
      </c>
      <c r="AC886" s="323">
        <f t="shared" ref="AC886:AL886" si="1945">+AC715+AC792+AC307+AC850+AC399+AC410+AC104+AC804+AC443+AC203+AC834+AC759+AC377+AC275+AC704+AC815+AC477+AC826+AC432+AC830+AC871</f>
      </c>
      <c r="AD886" s="26">
        <f t="shared" si="1945"/>
      </c>
      <c r="AE886" s="26">
        <f t="shared" si="1945"/>
      </c>
      <c r="AF886" s="26">
        <f t="shared" si="1945"/>
      </c>
      <c r="AG886" s="26">
        <f t="shared" si="1945"/>
      </c>
      <c r="AH886" s="323">
        <f t="shared" si="1945"/>
      </c>
      <c r="AI886" s="26">
        <f t="shared" si="1945"/>
      </c>
      <c r="AJ886" s="26">
        <f t="shared" si="1945"/>
      </c>
      <c r="AK886" s="26">
        <f t="shared" si="1945"/>
      </c>
      <c r="AL886" s="26">
        <f t="shared" si="1945"/>
      </c>
      <c r="AM886" s="323">
        <f t="shared" ref="AM886:AR886" si="1946">+AM715+AM792+AM307+AM850+AM399+AM410+AM104+AM804+AM443+AM203+AM834+AM759+AM377+AM275+AM704+AM815+AM477+AM826+AM432+AM830+AM871+AM861+AM329+AM875+AM231+AM220+AM839+AM126+AM137</f>
      </c>
      <c r="AN886" s="26">
        <f t="shared" si="1946"/>
      </c>
      <c r="AO886" s="26">
        <f t="shared" si="1946"/>
      </c>
      <c r="AP886" s="26">
        <f t="shared" si="1946"/>
      </c>
      <c r="AQ886" s="26">
        <f t="shared" si="1946"/>
      </c>
      <c r="AR886" s="323">
        <f t="shared" si="1946"/>
      </c>
      <c r="AS886" s="26">
        <f t="shared" si="1937"/>
      </c>
      <c r="AT886" s="26">
        <f t="shared" si="1937"/>
      </c>
      <c r="AU886" s="26">
        <f t="shared" si="1937"/>
      </c>
      <c r="AV886" s="26">
        <f t="shared" si="1937"/>
      </c>
      <c r="AW886" s="323">
        <f t="shared" si="1937"/>
      </c>
      <c r="AX886" s="26">
        <f>+AX715+AX792+AX307+AX850+AX399+AX410+AX104+AX726+AX443+AX203+AX834+AX759+AX377+AX275+AX704+AX815+AX826+AX871+AX830+AX432+AX875+AX861+AX329+AX231+AX220+AX839+AX137+AX126+AX477+AX318+AX204</f>
      </c>
      <c r="AY886" s="26">
        <f>+AY715+AY792+AY307+AY850+AY399+AY410+AY104+AY726+AY443+AY203+AY834+AY759+AY377+AY275+AY704+AY815+AY826+AY871+AY830+AY432+AY875+AY861+AY329+AY231+AY220+AY839+AY137+AY126+AY477+AY318+AY204</f>
      </c>
      <c r="AZ886" s="26">
        <f>+AZ715+AZ792+AZ307+AZ850+AZ399+AZ410+AZ104+AZ726+AZ443+AZ203+AZ834+AZ759+AZ377+AZ275+AZ704+AZ815+AZ826+AZ871+AZ830+AZ432+AZ875+AZ861+AZ329+AZ231+AZ220+AZ839+AZ137+AZ126+AZ477+AZ318+AZ204</f>
      </c>
      <c r="BA886" s="26">
        <f>+BA715+BA792+BA307+BA850+BA399+BA410+BA104+BA726+BA443+BA203+BA834+BA759+BA377+BA275+BA704+BA815+BA826+BA871+BA830+BA432+BA875+BA861+BA329+BA231+BA220+BA839+BA137+BA126+BA477+BA318+BA204</f>
      </c>
      <c r="BB886" s="323">
        <f>+BB715+BB792+BB307+BB850+BB399+BB410+BB104+BB726+BB443+BB203+BB834+BB759+BB377+BB275+BB704+BB815+BB826+BB871+BB830+BB432+BB875+BB861+BB329+BB231+BB220+BB839+BB137+BB126+BB477+BB318+BB204</f>
      </c>
      <c r="BC886" s="26">
        <f t="shared" ref="BC886:BL886" si="1947">+BC770+BC759+BC466+BC115+BC388+BC366+BC296+BC192+BC82+BC748+BC443+BC715+BC432+BC275+BC704+BC726</f>
      </c>
      <c r="BD886" s="26">
        <f t="shared" si="1947"/>
      </c>
      <c r="BE886" s="26">
        <f t="shared" si="1947"/>
      </c>
      <c r="BF886" s="26">
        <f t="shared" si="1947"/>
      </c>
      <c r="BG886" s="323">
        <f t="shared" si="1947"/>
      </c>
      <c r="BH886" s="26">
        <f t="shared" si="1947"/>
      </c>
      <c r="BI886" s="26">
        <f t="shared" si="1947"/>
      </c>
      <c r="BJ886" s="26">
        <f t="shared" si="1947"/>
      </c>
      <c r="BK886" s="26">
        <f t="shared" si="1947"/>
      </c>
      <c r="BL886" s="323">
        <f t="shared" si="1947"/>
      </c>
      <c r="BM886" s="26">
        <f t="shared" ref="BM886:CQ886" si="1948">BM71+BM192+BM264+BM466+BM693</f>
      </c>
      <c r="BN886" s="26">
        <f t="shared" si="1948"/>
      </c>
      <c r="BO886" s="26">
        <f t="shared" si="1948"/>
      </c>
      <c r="BP886" s="26">
        <f t="shared" si="1948"/>
      </c>
      <c r="BQ886" s="323">
        <f t="shared" si="1948"/>
      </c>
      <c r="BR886" s="26">
        <f t="shared" si="1948"/>
      </c>
      <c r="BS886" s="26">
        <f t="shared" si="1948"/>
      </c>
      <c r="BT886" s="26">
        <f t="shared" si="1948"/>
      </c>
      <c r="BU886" s="26">
        <f t="shared" si="1948"/>
      </c>
      <c r="BV886" s="323">
        <f t="shared" si="1948"/>
      </c>
      <c r="BW886" s="26">
        <f t="shared" si="1948"/>
      </c>
      <c r="BX886" s="26">
        <f t="shared" si="1948"/>
      </c>
      <c r="BY886" s="26">
        <f t="shared" si="1948"/>
      </c>
      <c r="BZ886" s="26">
        <f t="shared" si="1948"/>
      </c>
      <c r="CA886" s="323">
        <f t="shared" si="1948"/>
      </c>
      <c r="CB886" s="26">
        <f t="shared" si="1948"/>
      </c>
      <c r="CC886" s="26">
        <f t="shared" si="1948"/>
      </c>
      <c r="CD886" s="26">
        <f t="shared" si="1948"/>
      </c>
      <c r="CE886" s="26">
        <f t="shared" si="1948"/>
      </c>
      <c r="CF886" s="323">
        <f t="shared" si="1948"/>
      </c>
      <c r="CG886" s="26">
        <f t="shared" si="1948"/>
      </c>
      <c r="CH886" s="26">
        <f t="shared" si="1948"/>
      </c>
      <c r="CI886" s="26">
        <f t="shared" si="1948"/>
      </c>
      <c r="CJ886" s="26">
        <f t="shared" si="1948"/>
      </c>
      <c r="CK886" s="323">
        <f t="shared" si="1948"/>
      </c>
      <c r="CL886" s="970">
        <f t="shared" si="1948"/>
      </c>
      <c r="CM886" s="26">
        <f t="shared" si="1948"/>
      </c>
      <c r="CN886" s="26">
        <f t="shared" si="1948"/>
      </c>
      <c r="CO886" s="26">
        <f t="shared" si="1948"/>
      </c>
      <c r="CP886" s="323">
        <f t="shared" si="1948"/>
      </c>
      <c r="CQ886" s="26">
        <f t="shared" si="1948"/>
      </c>
      <c r="CR886" s="26">
        <f t="shared" ref="CR886:ED886" si="1949">CR71+CR192+CR264+CR466+CR693+CR638</f>
      </c>
      <c r="CS886" s="26">
        <f t="shared" si="1949"/>
      </c>
      <c r="CT886" s="877">
        <f t="shared" si="1949"/>
      </c>
      <c r="CU886" s="877">
        <f t="shared" si="1949"/>
      </c>
      <c r="CV886" s="26">
        <f t="shared" si="1949"/>
      </c>
      <c r="CW886" s="26">
        <f t="shared" si="1949"/>
      </c>
      <c r="CX886" s="26">
        <f t="shared" si="1949"/>
      </c>
      <c r="CY886" s="877">
        <f t="shared" si="1949"/>
      </c>
      <c r="CZ886" s="877">
        <f t="shared" si="1949"/>
      </c>
      <c r="DA886" s="26">
        <f t="shared" si="1949"/>
      </c>
      <c r="DB886" s="26">
        <f t="shared" si="1949"/>
      </c>
      <c r="DC886" s="26">
        <f t="shared" si="1949"/>
      </c>
      <c r="DD886" s="877">
        <f t="shared" si="1949"/>
      </c>
      <c r="DE886" s="1817">
        <f t="shared" si="1949"/>
      </c>
      <c r="DF886" s="1783">
        <f t="shared" si="1949"/>
      </c>
      <c r="DG886" s="1783">
        <f t="shared" si="1949"/>
      </c>
      <c r="DH886" s="1783">
        <f t="shared" si="1949"/>
      </c>
      <c r="DI886" s="1817">
        <f t="shared" si="1949"/>
      </c>
      <c r="DJ886" s="1902">
        <f t="shared" si="1949"/>
      </c>
      <c r="DK886" s="1783">
        <f t="shared" si="1949"/>
      </c>
      <c r="DL886" s="1783">
        <f t="shared" si="1949"/>
      </c>
      <c r="DM886" s="1783">
        <f t="shared" si="1949"/>
      </c>
      <c r="DN886" s="1817">
        <f t="shared" si="1949"/>
      </c>
      <c r="DO886" s="1817">
        <f t="shared" si="1949"/>
      </c>
      <c r="DP886" s="1777">
        <f t="shared" si="1949"/>
      </c>
      <c r="DQ886" s="1777">
        <f t="shared" si="1949"/>
      </c>
      <c r="DR886" s="1777">
        <f t="shared" si="1949"/>
      </c>
      <c r="DS886" s="2354">
        <f t="shared" si="1949"/>
      </c>
      <c r="DT886" s="2354">
        <f t="shared" si="1949"/>
      </c>
      <c r="DU886" s="1777">
        <f t="shared" si="1949"/>
      </c>
      <c r="DV886" s="1777">
        <f t="shared" si="1949"/>
      </c>
      <c r="DW886" s="1777">
        <f t="shared" si="1949"/>
      </c>
      <c r="DX886" s="2354">
        <f t="shared" si="1949"/>
      </c>
      <c r="DY886" s="2354">
        <f t="shared" si="1949"/>
      </c>
      <c r="DZ886" s="1777">
        <f t="shared" si="1949"/>
      </c>
      <c r="EA886" s="1777">
        <f t="shared" si="1949"/>
      </c>
      <c r="EB886" s="1777">
        <f t="shared" si="1949"/>
      </c>
      <c r="EC886" s="2354">
        <f t="shared" si="1949"/>
      </c>
      <c r="ED886" s="2354">
        <f t="shared" si="1949"/>
      </c>
      <c r="EE886" s="1777">
        <f t="shared" ref="EE886:ES886" si="1950">EE71+EE192+EE264+EE466+EE693+EE638+EE770+EE780</f>
      </c>
      <c r="EF886" s="1777">
        <f t="shared" ref="EF886" si="1951">EF71+EF192+EF264+EF466+EF693+EF638+EF770+EF780</f>
      </c>
      <c r="EG886" s="1777">
        <f t="shared" ref="EG886" si="1952">EG71+EG192+EG264+EG466+EG693+EG638</f>
      </c>
      <c r="EH886" s="2354">
        <f t="shared" si="1950"/>
      </c>
      <c r="EI886" s="2354">
        <f t="shared" si="1950"/>
      </c>
      <c r="EJ886" s="2354">
        <f t="shared" si="1950"/>
      </c>
      <c r="EK886" s="2354">
        <f t="shared" si="1950"/>
      </c>
      <c r="EL886" s="2354">
        <f t="shared" si="1950"/>
      </c>
      <c r="EM886" s="2354">
        <f t="shared" si="1950"/>
      </c>
      <c r="EN886" s="2354">
        <f t="shared" si="1950"/>
      </c>
      <c r="EO886" s="1817">
        <f t="shared" si="1950"/>
      </c>
      <c r="EP886" s="1817">
        <f t="shared" si="1950"/>
      </c>
      <c r="EQ886" s="1817">
        <f t="shared" si="1950"/>
      </c>
      <c r="ER886" s="1817">
        <f t="shared" si="1950"/>
      </c>
      <c r="ES886" s="1817">
        <f t="shared" si="1950"/>
      </c>
      <c r="ET886" s="1817"/>
      <c r="EU886" s="1817"/>
      <c r="EV886" s="1817"/>
      <c r="EW886" s="1817"/>
      <c r="EX886" s="1817"/>
    </row>
    <row r="887" spans="1:154">
      <c r="A887" s="3275" t="s">
        <v>323</v>
      </c>
      <c r="B887" s="337" t="s">
        <v>418</v>
      </c>
      <c r="C887" s="1973"/>
      <c r="D887" s="26">
        <f>+D886+D885</f>
      </c>
      <c r="E887" s="26">
        <f t="shared" ref="E887:AI887" si="1953">+E886+E885</f>
      </c>
      <c r="F887" s="26">
        <f t="shared" si="1953"/>
      </c>
      <c r="G887" s="26">
        <f t="shared" si="1953"/>
      </c>
      <c r="H887" s="26">
        <f t="shared" si="1953"/>
      </c>
      <c r="I887" s="27">
        <f>+I886+I885</f>
      </c>
      <c r="J887" s="26">
        <f t="shared" si="1953"/>
      </c>
      <c r="K887" s="26">
        <f t="shared" si="1953"/>
      </c>
      <c r="L887" s="26">
        <f t="shared" si="1953"/>
      </c>
      <c r="M887" s="26">
        <f t="shared" si="1953"/>
      </c>
      <c r="N887" s="27">
        <f>+N886+N885</f>
      </c>
      <c r="O887" s="26">
        <f t="shared" si="1953"/>
      </c>
      <c r="P887" s="27">
        <f t="shared" si="1953"/>
      </c>
      <c r="Q887" s="27">
        <f t="shared" si="1953"/>
      </c>
      <c r="R887" s="26">
        <f t="shared" si="1953"/>
      </c>
      <c r="S887" s="27">
        <f>+S886+S885</f>
      </c>
      <c r="T887" s="26">
        <f t="shared" si="1953"/>
      </c>
      <c r="U887" s="26">
        <f t="shared" si="1953"/>
      </c>
      <c r="V887" s="27">
        <f t="shared" si="1953"/>
      </c>
      <c r="W887" s="27">
        <f t="shared" si="1953"/>
      </c>
      <c r="X887" s="307">
        <f>+X886+X885</f>
      </c>
      <c r="Y887" s="26">
        <f t="shared" si="1953"/>
      </c>
      <c r="Z887" s="26">
        <f t="shared" si="1953"/>
      </c>
      <c r="AA887" s="27">
        <f t="shared" si="1953"/>
      </c>
      <c r="AB887" s="27">
        <f t="shared" si="1953"/>
      </c>
      <c r="AC887" s="307">
        <f>+AC886+AC885</f>
      </c>
      <c r="AD887" s="26">
        <f t="shared" si="1953"/>
      </c>
      <c r="AE887" s="26">
        <f t="shared" si="1953"/>
      </c>
      <c r="AF887" s="27">
        <f t="shared" si="1953"/>
      </c>
      <c r="AG887" s="27">
        <f t="shared" si="1953"/>
      </c>
      <c r="AH887" s="307">
        <f>+AH886+AH885</f>
      </c>
      <c r="AI887" s="26">
        <f t="shared" si="1953"/>
      </c>
      <c r="AJ887" s="26">
        <f t="shared" ref="AJ887:AU887" si="1954">+AJ886+AJ885</f>
      </c>
      <c r="AK887" s="26">
        <f t="shared" si="1954"/>
      </c>
      <c r="AL887" s="27">
        <f t="shared" si="1954"/>
      </c>
      <c r="AM887" s="307">
        <f>+AM886+AM885</f>
      </c>
      <c r="AN887" s="27">
        <f t="shared" si="1954"/>
      </c>
      <c r="AO887" s="27">
        <f t="shared" si="1954"/>
      </c>
      <c r="AP887" s="27">
        <f t="shared" si="1954"/>
      </c>
      <c r="AQ887" s="27">
        <f t="shared" si="1954"/>
      </c>
      <c r="AR887" s="307">
        <f>+AR886+AR885</f>
      </c>
      <c r="AS887" s="27">
        <f t="shared" si="1954"/>
      </c>
      <c r="AT887" s="27">
        <f t="shared" si="1954"/>
      </c>
      <c r="AU887" s="27">
        <f t="shared" si="1954"/>
      </c>
      <c r="AV887" s="27">
        <f t="shared" ref="AV887:CN887" si="1955">+AV886+AV885</f>
      </c>
      <c r="AW887" s="307">
        <f t="shared" si="1955"/>
      </c>
      <c r="AX887" s="27">
        <f t="shared" si="1955"/>
      </c>
      <c r="AY887" s="27">
        <f t="shared" si="1955"/>
      </c>
      <c r="AZ887" s="27">
        <f t="shared" si="1955"/>
      </c>
      <c r="BA887" s="27">
        <f t="shared" si="1955"/>
      </c>
      <c r="BB887" s="307">
        <f t="shared" si="1955"/>
      </c>
      <c r="BC887" s="27">
        <f t="shared" si="1955"/>
      </c>
      <c r="BD887" s="27">
        <f t="shared" si="1955"/>
      </c>
      <c r="BE887" s="27">
        <f t="shared" si="1955"/>
      </c>
      <c r="BF887" s="27">
        <f t="shared" si="1955"/>
      </c>
      <c r="BG887" s="307">
        <f t="shared" si="1955"/>
      </c>
      <c r="BH887" s="27">
        <f t="shared" si="1955"/>
      </c>
      <c r="BI887" s="27">
        <f t="shared" si="1955"/>
      </c>
      <c r="BJ887" s="27">
        <f t="shared" si="1955"/>
      </c>
      <c r="BK887" s="27">
        <f t="shared" si="1955"/>
      </c>
      <c r="BL887" s="307">
        <f t="shared" si="1955"/>
      </c>
      <c r="BM887" s="27">
        <f t="shared" si="1955"/>
      </c>
      <c r="BN887" s="27">
        <f t="shared" si="1955"/>
      </c>
      <c r="BO887" s="27">
        <f t="shared" si="1955"/>
      </c>
      <c r="BP887" s="27">
        <f t="shared" si="1955"/>
      </c>
      <c r="BQ887" s="307">
        <f t="shared" si="1955"/>
      </c>
      <c r="BR887" s="27">
        <f t="shared" si="1955"/>
      </c>
      <c r="BS887" s="27">
        <f t="shared" si="1955"/>
      </c>
      <c r="BT887" s="27">
        <f t="shared" si="1955"/>
      </c>
      <c r="BU887" s="27">
        <f t="shared" si="1955"/>
      </c>
      <c r="BV887" s="307">
        <f t="shared" si="1955"/>
      </c>
      <c r="BW887" s="27">
        <f t="shared" si="1955"/>
      </c>
      <c r="BX887" s="27">
        <f t="shared" si="1955"/>
      </c>
      <c r="BY887" s="27">
        <f t="shared" si="1955"/>
      </c>
      <c r="BZ887" s="27">
        <f t="shared" si="1955"/>
      </c>
      <c r="CA887" s="307">
        <f t="shared" si="1955"/>
      </c>
      <c r="CB887" s="27">
        <f t="shared" si="1955"/>
      </c>
      <c r="CC887" s="27">
        <f t="shared" si="1955"/>
      </c>
      <c r="CD887" s="27">
        <f t="shared" si="1955"/>
      </c>
      <c r="CE887" s="27">
        <f t="shared" si="1955"/>
      </c>
      <c r="CF887" s="307">
        <f t="shared" si="1955"/>
      </c>
      <c r="CG887" s="27">
        <f t="shared" si="1955"/>
      </c>
      <c r="CH887" s="27">
        <f t="shared" si="1955"/>
      </c>
      <c r="CI887" s="27">
        <f t="shared" si="1955"/>
      </c>
      <c r="CJ887" s="27">
        <f t="shared" si="1955"/>
      </c>
      <c r="CK887" s="307">
        <f t="shared" si="1955"/>
      </c>
      <c r="CL887" s="1000">
        <f t="shared" si="1955"/>
      </c>
      <c r="CM887" s="27">
        <f t="shared" si="1955"/>
      </c>
      <c r="CN887" s="27">
        <f t="shared" si="1955"/>
      </c>
      <c r="CO887" s="27">
        <f t="shared" ref="CO887:DZ887" si="1956">+CO886+CO885</f>
      </c>
      <c r="CP887" s="307">
        <f t="shared" si="1956"/>
      </c>
      <c r="CQ887" s="27">
        <f t="shared" si="1956"/>
      </c>
      <c r="CR887" s="27">
        <f t="shared" si="1956"/>
      </c>
      <c r="CS887" s="27">
        <f t="shared" si="1956"/>
      </c>
      <c r="CT887" s="964">
        <f t="shared" si="1956"/>
      </c>
      <c r="CU887" s="964">
        <f t="shared" si="1956"/>
      </c>
      <c r="CV887" s="27">
        <f t="shared" si="1956"/>
      </c>
      <c r="CW887" s="27">
        <f t="shared" si="1956"/>
      </c>
      <c r="CX887" s="27">
        <f t="shared" si="1956"/>
      </c>
      <c r="CY887" s="964">
        <f t="shared" si="1956"/>
      </c>
      <c r="CZ887" s="964">
        <f t="shared" si="1956"/>
      </c>
      <c r="DA887" s="27">
        <f t="shared" si="1956"/>
      </c>
      <c r="DB887" s="27">
        <f t="shared" si="1956"/>
      </c>
      <c r="DC887" s="27">
        <f t="shared" si="1956"/>
      </c>
      <c r="DD887" s="964">
        <f t="shared" si="1956"/>
      </c>
      <c r="DE887" s="1784">
        <f t="shared" si="1956"/>
      </c>
      <c r="DF887" s="1767">
        <f t="shared" si="1956"/>
      </c>
      <c r="DG887" s="1767">
        <f t="shared" si="1956"/>
      </c>
      <c r="DH887" s="1767">
        <f t="shared" si="1956"/>
      </c>
      <c r="DI887" s="1784">
        <f t="shared" si="1956"/>
      </c>
      <c r="DJ887" s="1903">
        <f t="shared" si="1956"/>
      </c>
      <c r="DK887" s="1767">
        <f t="shared" si="1956"/>
      </c>
      <c r="DL887" s="1767">
        <f t="shared" si="1956"/>
      </c>
      <c r="DM887" s="1767">
        <f t="shared" si="1956"/>
      </c>
      <c r="DN887" s="1784">
        <f t="shared" si="1956"/>
      </c>
      <c r="DO887" s="1784">
        <f t="shared" si="1956"/>
      </c>
      <c r="DP887" s="1353">
        <f t="shared" si="1956"/>
      </c>
      <c r="DQ887" s="1353">
        <f t="shared" si="1956"/>
      </c>
      <c r="DR887" s="1353">
        <f t="shared" si="1956"/>
      </c>
      <c r="DS887" s="1343">
        <f t="shared" si="1956"/>
      </c>
      <c r="DT887" s="1343">
        <f t="shared" si="1956"/>
      </c>
      <c r="DU887" s="1353">
        <f t="shared" si="1956"/>
      </c>
      <c r="DV887" s="1353">
        <f t="shared" si="1956"/>
      </c>
      <c r="DW887" s="1353">
        <f t="shared" si="1956"/>
      </c>
      <c r="DX887" s="1343">
        <f t="shared" si="1956"/>
      </c>
      <c r="DY887" s="1343">
        <f t="shared" si="1956"/>
      </c>
      <c r="DZ887" s="1353">
        <f t="shared" si="1956"/>
      </c>
      <c r="EA887" s="1353">
        <f t="shared" ref="EA887:EF887" si="1957">+EA886+EA885</f>
      </c>
      <c r="EB887" s="1353">
        <f t="shared" si="1957"/>
      </c>
      <c r="EC887" s="1343">
        <f t="shared" si="1957"/>
      </c>
      <c r="ED887" s="1343">
        <f t="shared" si="1957"/>
      </c>
      <c r="EE887" s="1353">
        <f t="shared" si="1957"/>
      </c>
      <c r="EF887" s="1353">
        <f t="shared" si="1957"/>
      </c>
      <c r="EG887" s="1353">
        <f t="shared" ref="EG887" si="1958">+EG886+EG885</f>
      </c>
      <c r="EH887" s="1343">
        <f t="shared" ref="EH887:ES887" si="1959">+EH886+EH885</f>
      </c>
      <c r="EI887" s="1343">
        <f t="shared" si="1959"/>
      </c>
      <c r="EJ887" s="1343">
        <f t="shared" si="1959"/>
      </c>
      <c r="EK887" s="1343">
        <f t="shared" si="1959"/>
      </c>
      <c r="EL887" s="1343">
        <f t="shared" si="1959"/>
      </c>
      <c r="EM887" s="1343">
        <f t="shared" si="1959"/>
      </c>
      <c r="EN887" s="1343">
        <f t="shared" si="1959"/>
      </c>
      <c r="EO887" s="1784">
        <f t="shared" si="1959"/>
      </c>
      <c r="EP887" s="1784">
        <f t="shared" si="1959"/>
      </c>
      <c r="EQ887" s="1784">
        <f t="shared" si="1959"/>
      </c>
      <c r="ER887" s="1784">
        <f t="shared" si="1959"/>
      </c>
      <c r="ES887" s="1784">
        <f t="shared" si="1959"/>
      </c>
      <c r="ET887" s="1784"/>
      <c r="EU887" s="1784"/>
      <c r="EV887" s="1784"/>
      <c r="EW887" s="1784"/>
      <c r="EX887" s="1784"/>
    </row>
    <row r="888" spans="1:154">
      <c r="B888" s="337"/>
      <c r="C888" s="1971"/>
      <c r="D888" s="28"/>
      <c r="E888" s="28"/>
      <c r="F888" s="28"/>
      <c r="G888" s="28"/>
      <c r="H888" s="28"/>
      <c r="I888" s="31"/>
      <c r="J888" s="28"/>
      <c r="K888" s="28"/>
      <c r="L888" s="28"/>
      <c r="M888" s="28"/>
      <c r="N888" s="31"/>
      <c r="O888" s="31"/>
      <c r="P888" s="31"/>
      <c r="Q888" s="31"/>
      <c r="R888" s="31"/>
      <c r="S888" s="36"/>
      <c r="T888" s="31"/>
      <c r="U888" s="31"/>
      <c r="V888" s="31"/>
      <c r="W888" s="31"/>
      <c r="X888" s="324"/>
      <c r="Y888" s="31"/>
      <c r="Z888" s="31"/>
      <c r="AA888" s="31"/>
      <c r="AB888" s="37"/>
      <c r="AC888" s="324"/>
      <c r="AD888" s="37"/>
      <c r="AE888" s="37"/>
      <c r="AF888" s="37"/>
      <c r="AG888" s="37"/>
      <c r="AH888" s="324"/>
      <c r="AI888" s="38"/>
      <c r="AJ888" s="38"/>
      <c r="AK888" s="38"/>
      <c r="AL888" s="37"/>
      <c r="AM888" s="324"/>
      <c r="AN888" s="38"/>
      <c r="AO888" s="38"/>
      <c r="AP888" s="38"/>
      <c r="AQ888" s="37"/>
      <c r="AR888" s="324"/>
      <c r="AS888" s="28"/>
      <c r="AT888" s="38"/>
      <c r="AU888" s="28"/>
      <c r="AV888" s="39"/>
      <c r="AW888" s="324"/>
      <c r="AX888" s="28"/>
      <c r="AY888" s="38"/>
      <c r="AZ888" s="28"/>
      <c r="BA888" s="22"/>
      <c r="BB888" s="324"/>
      <c r="BC888" s="38"/>
      <c r="BD888" s="38"/>
      <c r="BE888" s="28"/>
      <c r="BF888" s="22"/>
      <c r="BG888" s="324"/>
      <c r="BH888" s="28"/>
      <c r="BI888" s="28"/>
      <c r="BJ888" s="28"/>
      <c r="BK888" s="22"/>
      <c r="BL888" s="324"/>
      <c r="BM888" s="28"/>
      <c r="BN888" s="28"/>
      <c r="BO888" s="28"/>
      <c r="BP888" s="22"/>
      <c r="BQ888" s="324"/>
      <c r="BR888" s="28"/>
      <c r="BS888" s="28"/>
      <c r="BT888" s="28"/>
      <c r="BU888" s="22"/>
      <c r="BV888" s="324"/>
      <c r="BW888" s="28"/>
      <c r="BX888" s="28"/>
      <c r="BY888" s="28"/>
      <c r="BZ888" s="28"/>
      <c r="CA888" s="324"/>
      <c r="CD888" s="28"/>
      <c r="CE888" s="28"/>
      <c r="CF888" s="324"/>
      <c r="CG888" s="28"/>
      <c r="CH888" s="28"/>
      <c r="CI888" s="28"/>
      <c r="CJ888" s="28"/>
      <c r="CK888" s="324"/>
      <c r="CL888" s="961"/>
      <c r="CM888" s="933"/>
      <c r="CN888" s="933"/>
      <c r="CO888" s="28"/>
      <c r="CP888" s="324"/>
      <c r="CQ888" s="933"/>
      <c r="CR888" s="933"/>
      <c r="CS888" s="933"/>
      <c r="CT888" s="962"/>
      <c r="CU888" s="984"/>
      <c r="CV888" s="933"/>
      <c r="CW888" s="933"/>
      <c r="CX888" s="933"/>
      <c r="CY888" s="962"/>
      <c r="CZ888" s="984"/>
      <c r="DA888" s="933"/>
      <c r="DB888" s="933"/>
      <c r="DC888" s="933"/>
      <c r="DD888" s="962"/>
      <c r="DE888" s="1556"/>
      <c r="DF888" s="982"/>
      <c r="DG888" s="982"/>
      <c r="DH888" s="982"/>
      <c r="DI888" s="1875"/>
      <c r="DJ888" s="1553"/>
      <c r="DK888" s="982"/>
      <c r="DL888" s="982"/>
      <c r="DM888" s="982"/>
      <c r="DN888" s="1875"/>
      <c r="DO888" s="1556"/>
      <c r="DP888" s="982"/>
      <c r="DQ888" s="982"/>
      <c r="DR888" s="982"/>
      <c r="DS888" s="1875"/>
      <c r="DT888" s="1556"/>
      <c r="DU888" s="982"/>
      <c r="DV888" s="982"/>
      <c r="DW888" s="982"/>
      <c r="DX888" s="1875"/>
      <c r="DY888" s="1556"/>
      <c r="DZ888" s="982"/>
      <c r="EA888" s="982"/>
      <c r="EB888" s="982"/>
      <c r="EC888" s="1875"/>
      <c r="ED888" s="1556"/>
      <c r="EE888" s="1542"/>
      <c r="EF888" s="982"/>
      <c r="EG888" s="982"/>
      <c r="EH888" s="1313"/>
      <c r="EI888" s="1904"/>
      <c r="EJ888" s="1848"/>
      <c r="EK888" s="1848"/>
      <c r="EL888" s="1848"/>
      <c r="EM888" s="1848"/>
      <c r="EN888" s="1848"/>
      <c r="EO888" s="1848"/>
      <c r="EP888" s="1848"/>
      <c r="EQ888" s="1848"/>
      <c r="ER888" s="1848"/>
      <c r="ES888" s="1848"/>
      <c r="ET888" s="1848"/>
      <c r="EU888" s="1904"/>
      <c r="EV888" s="1848"/>
      <c r="EW888" s="1848"/>
      <c r="EX888" s="1848"/>
    </row>
    <row r="889" spans="1:154" ht="12.75" customHeight="1">
      <c r="B889" s="338" t="s">
        <v>954</v>
      </c>
      <c r="C889" s="1971"/>
      <c r="D889" s="28"/>
      <c r="E889" s="28"/>
      <c r="F889" s="28"/>
      <c r="G889" s="28"/>
      <c r="H889" s="28"/>
      <c r="I889" s="31"/>
      <c r="J889" s="28"/>
      <c r="K889" s="28"/>
      <c r="L889" s="28"/>
      <c r="M889" s="28"/>
      <c r="N889" s="31"/>
      <c r="O889" s="31"/>
      <c r="P889" s="31"/>
      <c r="Q889" s="31"/>
      <c r="R889" s="31"/>
      <c r="S889" s="36"/>
      <c r="T889" s="31"/>
      <c r="U889" s="31"/>
      <c r="V889" s="31"/>
      <c r="W889" s="31"/>
      <c r="X889" s="324"/>
      <c r="Y889" s="31"/>
      <c r="Z889" s="31"/>
      <c r="AA889" s="31"/>
      <c r="AB889" s="37"/>
      <c r="AC889" s="324"/>
      <c r="AD889" s="37"/>
      <c r="AE889" s="37"/>
      <c r="AF889" s="37"/>
      <c r="AG889" s="37"/>
      <c r="AH889" s="324"/>
      <c r="AI889" s="38"/>
      <c r="AJ889" s="38"/>
      <c r="AK889" s="38"/>
      <c r="AL889" s="37"/>
      <c r="AM889" s="324"/>
      <c r="AN889" s="38"/>
      <c r="AO889" s="38"/>
      <c r="AP889" s="38"/>
      <c r="AQ889" s="37"/>
      <c r="AR889" s="324"/>
      <c r="AS889" s="28"/>
      <c r="AT889" s="38"/>
      <c r="AU889" s="28"/>
      <c r="AV889" s="39"/>
      <c r="AW889" s="324"/>
      <c r="AX889" s="28"/>
      <c r="AY889" s="38"/>
      <c r="AZ889" s="28"/>
      <c r="BA889" s="22"/>
      <c r="BB889" s="324"/>
      <c r="BC889" s="38"/>
      <c r="BD889" s="38"/>
      <c r="BE889" s="28"/>
      <c r="BF889" s="22"/>
      <c r="BG889" s="324"/>
      <c r="BH889" s="28"/>
      <c r="BI889" s="28"/>
      <c r="BJ889" s="28"/>
      <c r="BK889" s="22"/>
      <c r="BL889" s="324"/>
      <c r="BM889" s="28"/>
      <c r="BN889" s="28"/>
      <c r="BO889" s="28"/>
      <c r="BP889" s="22"/>
      <c r="BQ889" s="324"/>
      <c r="BR889" s="28"/>
      <c r="BS889" s="28"/>
      <c r="BT889" s="28"/>
      <c r="BU889" s="22"/>
      <c r="BV889" s="324"/>
      <c r="BW889" s="28"/>
      <c r="BX889" s="28"/>
      <c r="BY889" s="28"/>
      <c r="BZ889" s="28"/>
      <c r="CA889" s="324"/>
      <c r="CB889" s="28"/>
      <c r="CC889" s="28"/>
      <c r="CD889" s="28"/>
      <c r="CE889" s="28"/>
      <c r="CF889" s="324"/>
      <c r="CG889" s="28"/>
      <c r="CH889" s="28"/>
      <c r="CI889" s="28"/>
      <c r="CJ889" s="28"/>
      <c r="CK889" s="324"/>
      <c r="CL889" s="961"/>
      <c r="CM889" s="933"/>
      <c r="CN889" s="933"/>
      <c r="CO889" s="28"/>
      <c r="CP889" s="324"/>
      <c r="CQ889" s="933"/>
      <c r="CR889" s="933"/>
      <c r="CS889" s="933"/>
      <c r="CT889" s="962"/>
      <c r="CU889" s="984"/>
      <c r="CV889" s="933"/>
      <c r="CW889" s="933"/>
      <c r="CX889" s="933"/>
      <c r="CY889" s="962"/>
      <c r="CZ889" s="324"/>
      <c r="DA889" s="933"/>
      <c r="DB889" s="933"/>
      <c r="DC889" s="933"/>
      <c r="DD889" s="962"/>
      <c r="DE889" s="1835"/>
      <c r="DF889" s="982"/>
      <c r="DG889" s="982"/>
      <c r="DH889" s="982"/>
      <c r="DI889" s="1875"/>
      <c r="DJ889" s="1835"/>
      <c r="DK889" s="982"/>
      <c r="DL889" s="982"/>
      <c r="DM889" s="982"/>
      <c r="DN889" s="1875"/>
      <c r="DO889" s="1835"/>
      <c r="DP889" s="982"/>
      <c r="DQ889" s="982"/>
      <c r="DR889" s="982"/>
      <c r="DS889" s="1875"/>
      <c r="DT889" s="1835"/>
      <c r="DU889" s="982"/>
      <c r="DV889" s="982"/>
      <c r="DW889" s="982"/>
      <c r="DX889" s="1875"/>
      <c r="DY889" s="1835"/>
      <c r="DZ889" s="982"/>
      <c r="EA889" s="982"/>
      <c r="EB889" s="982"/>
      <c r="EC889" s="1875"/>
      <c r="ED889" s="1556"/>
      <c r="EE889" s="1542"/>
      <c r="EF889" s="982"/>
      <c r="EG889" s="982"/>
      <c r="EH889" s="1875"/>
      <c r="EI889" s="1835"/>
      <c r="EJ889" s="1835"/>
      <c r="EK889" s="1835"/>
      <c r="EL889" s="1835"/>
      <c r="EM889" s="1835"/>
      <c r="EN889" s="1835"/>
      <c r="EO889" s="1835"/>
      <c r="EP889" s="1835"/>
      <c r="EQ889" s="1835"/>
      <c r="ER889" s="1835"/>
      <c r="ES889" s="1835"/>
      <c r="ET889" s="1835"/>
      <c r="EU889" s="1556"/>
      <c r="EV889" s="1835"/>
      <c r="EW889" s="1835"/>
      <c r="EX889" s="1835"/>
    </row>
    <row r="890" spans="1:154">
      <c r="B890" s="341" t="s">
        <v>921</v>
      </c>
      <c r="C890" s="1990"/>
      <c r="D890" s="25"/>
      <c r="E890" s="25"/>
      <c r="F890" s="25"/>
      <c r="G890" s="25"/>
      <c r="H890" s="25"/>
      <c r="I890" s="261">
        <f t="shared" ref="I890:R891" si="1960">IF(D885="NM","NM",IF(I885="NM","NM",IF(D885&lt;=0,"NM",IF(I885=0,"NM",IF(ABS(I885/D885-1)&gt;2.5,"NM",IF((ABS(I885-D885)=ABS(ABS(I885)-ABS(D885))),(I885/D885-1),"NM"))))))</f>
      </c>
      <c r="J890" s="261">
        <f t="shared" si="1960"/>
      </c>
      <c r="K890" s="261">
        <f t="shared" si="1960"/>
      </c>
      <c r="L890" s="261">
        <f t="shared" si="1960"/>
      </c>
      <c r="M890" s="261">
        <f t="shared" si="1960"/>
      </c>
      <c r="N890" s="261">
        <f t="shared" si="1960"/>
      </c>
      <c r="O890" s="261">
        <f t="shared" si="1960"/>
      </c>
      <c r="P890" s="261">
        <f t="shared" si="1960"/>
      </c>
      <c r="Q890" s="261">
        <f t="shared" si="1960"/>
      </c>
      <c r="R890" s="261">
        <f t="shared" si="1960"/>
      </c>
      <c r="S890" s="261">
        <f t="shared" ref="S890:AB891" si="1961">IF(N885="NM","NM",IF(S885="NM","NM",IF(N885&lt;=0,"NM",IF(S885=0,"NM",IF(ABS(S885/N885-1)&gt;2.5,"NM",IF((ABS(S885-N885)=ABS(ABS(S885)-ABS(N885))),(S885/N885-1),"NM"))))))</f>
      </c>
      <c r="T890" s="261">
        <f t="shared" si="1961"/>
      </c>
      <c r="U890" s="261">
        <f t="shared" si="1961"/>
      </c>
      <c r="V890" s="261">
        <f t="shared" si="1961"/>
      </c>
      <c r="W890" s="261">
        <f t="shared" si="1961"/>
      </c>
      <c r="X890" s="325">
        <f t="shared" si="1961"/>
      </c>
      <c r="Y890" s="261">
        <f t="shared" si="1961"/>
      </c>
      <c r="Z890" s="261">
        <f t="shared" si="1961"/>
      </c>
      <c r="AA890" s="261">
        <f t="shared" si="1961"/>
      </c>
      <c r="AB890" s="261">
        <f t="shared" si="1961"/>
      </c>
      <c r="AC890" s="325">
        <f t="shared" ref="AC890:AL891" si="1962">IF(X885="NM","NM",IF(AC885="NM","NM",IF(X885&lt;=0,"NM",IF(AC885=0,"NM",IF(ABS(AC885/X885-1)&gt;2.5,"NM",IF((ABS(AC885-X885)=ABS(ABS(AC885)-ABS(X885))),(AC885/X885-1),"NM"))))))</f>
      </c>
      <c r="AD890" s="261">
        <f t="shared" si="1962"/>
      </c>
      <c r="AE890" s="261">
        <f t="shared" si="1962"/>
      </c>
      <c r="AF890" s="261">
        <f t="shared" si="1962"/>
      </c>
      <c r="AG890" s="261">
        <f t="shared" si="1962"/>
      </c>
      <c r="AH890" s="325">
        <f t="shared" si="1962"/>
      </c>
      <c r="AI890" s="261">
        <f t="shared" si="1962"/>
      </c>
      <c r="AJ890" s="261">
        <f t="shared" si="1962"/>
      </c>
      <c r="AK890" s="261">
        <f t="shared" si="1962"/>
      </c>
      <c r="AL890" s="261">
        <f t="shared" si="1962"/>
      </c>
      <c r="AM890" s="325">
        <f t="shared" ref="AM890:AV891" si="1963">IF(AH885="NM","NM",IF(AM885="NM","NM",IF(AH885&lt;=0,"NM",IF(AM885=0,"NM",IF(ABS(AM885/AH885-1)&gt;2.5,"NM",IF((ABS(AM885-AH885)=ABS(ABS(AM885)-ABS(AH885))),(AM885/AH885-1),"NM"))))))</f>
      </c>
      <c r="AN890" s="261">
        <f t="shared" si="1963"/>
      </c>
      <c r="AO890" s="261">
        <f t="shared" si="1963"/>
      </c>
      <c r="AP890" s="261">
        <f t="shared" si="1963"/>
      </c>
      <c r="AQ890" s="261">
        <f t="shared" si="1963"/>
      </c>
      <c r="AR890" s="325">
        <f t="shared" si="1963"/>
      </c>
      <c r="AS890" s="261">
        <f t="shared" si="1963"/>
      </c>
      <c r="AT890" s="261">
        <f t="shared" si="1963"/>
      </c>
      <c r="AU890" s="261">
        <f t="shared" si="1963"/>
      </c>
      <c r="AV890" s="261">
        <f t="shared" si="1963"/>
      </c>
      <c r="AW890" s="325">
        <f t="shared" ref="AW890:BF891" si="1964">IF(AR885="NM","NM",IF(AW885="NM","NM",IF(AR885&lt;=0,"NM",IF(AW885=0,"NM",IF(ABS(AW885/AR885-1)&gt;2.5,"NM",IF((ABS(AW885-AR885)=ABS(ABS(AW885)-ABS(AR885))),(AW885/AR885-1),"NM"))))))</f>
      </c>
      <c r="AX890" s="261">
        <f t="shared" si="1964"/>
      </c>
      <c r="AY890" s="261">
        <f t="shared" si="1964"/>
      </c>
      <c r="AZ890" s="261">
        <f t="shared" si="1964"/>
      </c>
      <c r="BA890" s="261">
        <f t="shared" si="1964"/>
      </c>
      <c r="BB890" s="325">
        <f t="shared" si="1964"/>
      </c>
      <c r="BC890" s="261">
        <f t="shared" si="1964"/>
      </c>
      <c r="BD890" s="261">
        <f t="shared" si="1964"/>
      </c>
      <c r="BE890" s="261">
        <f t="shared" si="1964"/>
      </c>
      <c r="BF890" s="261">
        <f t="shared" si="1964"/>
      </c>
      <c r="BG890" s="325">
        <f t="shared" ref="BG890:BP891" si="1965">IF(BB885="NM","NM",IF(BG885="NM","NM",IF(BB885&lt;=0,"NM",IF(BG885=0,"NM",IF(ABS(BG885/BB885-1)&gt;2.5,"NM",IF((ABS(BG885-BB885)=ABS(ABS(BG885)-ABS(BB885))),(BG885/BB885-1),"NM"))))))</f>
      </c>
      <c r="BH890" s="261">
        <f t="shared" si="1965"/>
      </c>
      <c r="BI890" s="261">
        <f t="shared" si="1965"/>
      </c>
      <c r="BJ890" s="261">
        <f t="shared" si="1965"/>
      </c>
      <c r="BK890" s="261">
        <f t="shared" si="1965"/>
      </c>
      <c r="BL890" s="325">
        <f t="shared" si="1965"/>
      </c>
      <c r="BM890" s="261">
        <f t="shared" si="1965"/>
      </c>
      <c r="BN890" s="261">
        <f t="shared" si="1965"/>
      </c>
      <c r="BO890" s="261">
        <f t="shared" si="1965"/>
      </c>
      <c r="BP890" s="261">
        <f t="shared" si="1965"/>
      </c>
      <c r="BQ890" s="325">
        <f t="shared" ref="BQ890:BZ891" si="1966">IF(BL885="NM","NM",IF(BQ885="NM","NM",IF(BL885&lt;=0,"NM",IF(BQ885=0,"NM",IF(ABS(BQ885/BL885-1)&gt;2.5,"NM",IF((ABS(BQ885-BL885)=ABS(ABS(BQ885)-ABS(BL885))),(BQ885/BL885-1),"NM"))))))</f>
      </c>
      <c r="BR890" s="261">
        <f t="shared" si="1966"/>
      </c>
      <c r="BS890" s="261">
        <f t="shared" si="1966"/>
      </c>
      <c r="BT890" s="261">
        <f t="shared" si="1966"/>
      </c>
      <c r="BU890" s="261">
        <f t="shared" si="1966"/>
      </c>
      <c r="BV890" s="325">
        <f t="shared" si="1966"/>
      </c>
      <c r="BW890" s="261">
        <f t="shared" si="1966"/>
      </c>
      <c r="BX890" s="261">
        <f t="shared" si="1966"/>
      </c>
      <c r="BY890" s="261">
        <f t="shared" si="1966"/>
      </c>
      <c r="BZ890" s="261">
        <f t="shared" si="1966"/>
      </c>
      <c r="CA890" s="325">
        <f t="shared" ref="CA890:CF891" si="1967">IF(BV885="NM","NM",IF(CA885="NM","NM",IF(BV885&lt;=0,"NM",IF(CA885=0,"NM",IF(ABS(CA885/BV885-1)&gt;2.5,"NM",IF((ABS(CA885-BV885)=ABS(ABS(CA885)-ABS(BV885))),(CA885/BV885-1),"NM"))))))</f>
      </c>
      <c r="CB890" s="261">
        <f t="shared" si="1967"/>
      </c>
      <c r="CC890" s="261">
        <f t="shared" si="1967"/>
      </c>
      <c r="CD890" s="261">
        <f t="shared" si="1967"/>
      </c>
      <c r="CE890" s="261">
        <f t="shared" si="1967"/>
      </c>
      <c r="CF890" s="325">
        <f t="shared" si="1967"/>
      </c>
      <c r="CG890" s="261">
        <f t="shared" ref="CG890:CP891" si="1968">IF(CB885=0, "NA", CG885/CB885-1)</f>
      </c>
      <c r="CH890" s="261">
        <f t="shared" si="1968"/>
      </c>
      <c r="CI890" s="261">
        <f t="shared" si="1968"/>
      </c>
      <c r="CJ890" s="261">
        <f t="shared" si="1968"/>
      </c>
      <c r="CK890" s="325">
        <f t="shared" si="1968"/>
      </c>
      <c r="CL890" s="1001">
        <f t="shared" si="1968"/>
      </c>
      <c r="CM890" s="261">
        <f t="shared" si="1968"/>
      </c>
      <c r="CN890" s="261">
        <f t="shared" si="1968"/>
      </c>
      <c r="CO890" s="261">
        <f t="shared" si="1968"/>
      </c>
      <c r="CP890" s="325">
        <f t="shared" si="1968"/>
      </c>
      <c r="CQ890" s="261">
        <f t="shared" ref="CQ890:CZ891" si="1969">IF(CL885=0, "NA", CQ885/CL885-1)</f>
      </c>
      <c r="CR890" s="261">
        <f t="shared" si="1969"/>
      </c>
      <c r="CS890" s="261">
        <f t="shared" si="1969"/>
      </c>
      <c r="CT890" s="992">
        <f t="shared" si="1969"/>
      </c>
      <c r="CU890" s="992">
        <f t="shared" si="1969"/>
      </c>
      <c r="CV890" s="261">
        <f t="shared" si="1969"/>
      </c>
      <c r="CW890" s="261">
        <f t="shared" si="1969"/>
      </c>
      <c r="CX890" s="261">
        <f t="shared" si="1969"/>
      </c>
      <c r="CY890" s="992">
        <f t="shared" si="1969"/>
      </c>
      <c r="CZ890" s="325">
        <f t="shared" si="1969"/>
      </c>
      <c r="DA890" s="261">
        <f t="shared" ref="DA890:DJ891" si="1970">IF(CV885=0, "NA", DA885/CV885-1)</f>
      </c>
      <c r="DB890" s="261">
        <f t="shared" si="1970"/>
      </c>
      <c r="DC890" s="261">
        <f t="shared" si="1970"/>
      </c>
      <c r="DD890" s="992">
        <f t="shared" si="1970"/>
      </c>
      <c r="DE890" s="325">
        <f t="shared" si="1970"/>
      </c>
      <c r="DF890" s="261">
        <f t="shared" si="1970"/>
      </c>
      <c r="DG890" s="261">
        <f t="shared" si="1970"/>
      </c>
      <c r="DH890" s="261">
        <f t="shared" si="1970"/>
      </c>
      <c r="DI890" s="992">
        <f t="shared" si="1970"/>
      </c>
      <c r="DJ890" s="325">
        <f t="shared" si="1970"/>
      </c>
      <c r="DK890" s="261">
        <f t="shared" ref="DK890:DT891" si="1971">IF(DF885=0, "NA", DK885/DF885-1)</f>
      </c>
      <c r="DL890" s="261">
        <f t="shared" si="1971"/>
      </c>
      <c r="DM890" s="261">
        <f t="shared" si="1971"/>
      </c>
      <c r="DN890" s="992">
        <f t="shared" si="1971"/>
      </c>
      <c r="DO890" s="325">
        <f t="shared" si="1971"/>
      </c>
      <c r="DP890" s="261">
        <f t="shared" si="1971"/>
      </c>
      <c r="DQ890" s="261">
        <f t="shared" si="1971"/>
      </c>
      <c r="DR890" s="261">
        <f t="shared" si="1971"/>
      </c>
      <c r="DS890" s="992">
        <f t="shared" si="1971"/>
      </c>
      <c r="DT890" s="325">
        <f t="shared" si="1971"/>
      </c>
      <c r="DU890" s="261">
        <f t="shared" ref="DU890:EH891" si="1972">IF(DP885=0, "NA", DU885/DP885-1)</f>
      </c>
      <c r="DV890" s="261">
        <f t="shared" si="1972"/>
      </c>
      <c r="DW890" s="261">
        <f t="shared" si="1972"/>
      </c>
      <c r="DX890" s="992">
        <f t="shared" si="1972"/>
      </c>
      <c r="DY890" s="325">
        <f t="shared" si="1972"/>
      </c>
      <c r="DZ890" s="261">
        <f t="shared" si="1972"/>
      </c>
      <c r="EA890" s="261">
        <f t="shared" si="1972"/>
      </c>
      <c r="EB890" s="261">
        <f t="shared" si="1972"/>
      </c>
      <c r="EC890" s="992">
        <f t="shared" si="1972"/>
      </c>
      <c r="ED890" s="325">
        <f t="shared" si="1972"/>
      </c>
      <c r="EE890" s="1001">
        <f t="shared" si="1972"/>
      </c>
      <c r="EF890" s="261">
        <f t="shared" si="1972"/>
      </c>
      <c r="EG890" s="261">
        <f t="shared" si="1972"/>
      </c>
      <c r="EH890" s="992">
        <f t="shared" si="1972"/>
      </c>
      <c r="EI890" s="325">
        <f>IF(ED885=0, "NA", EI885/ED885-1)</f>
      </c>
      <c r="EJ890" s="325">
        <f t="shared" ref="EJ890:EO891" si="1973">IF(EI885=0, "NA", EJ885/EI885-1)</f>
      </c>
      <c r="EK890" s="325">
        <f t="shared" si="1973"/>
      </c>
      <c r="EL890" s="325">
        <f t="shared" si="1973"/>
      </c>
      <c r="EM890" s="325">
        <f t="shared" si="1973"/>
      </c>
      <c r="EN890" s="325">
        <f t="shared" si="1973"/>
      </c>
      <c r="EO890" s="325">
        <f t="shared" si="1973"/>
      </c>
      <c r="EP890" s="325">
        <f t="shared" ref="EP890:EP891" si="1974">IF(EO885=0, "NA", EP885/EO885-1)</f>
      </c>
      <c r="EQ890" s="325">
        <f t="shared" ref="EQ890:EQ891" si="1975">IF(EP885=0, "NA", EQ885/EP885-1)</f>
      </c>
      <c r="ER890" s="325">
        <f t="shared" ref="ER890:ER891" si="1976">IF(EQ885=0, "NA", ER885/EQ885-1)</f>
      </c>
      <c r="ES890" s="325">
        <f t="shared" ref="ES890:ES891" si="1977">IF(ER885=0, "NA", ES885/ER885-1)</f>
      </c>
      <c r="ET890" s="325"/>
      <c r="EU890" s="325"/>
      <c r="EV890" s="325"/>
      <c r="EW890" s="325"/>
      <c r="EX890" s="325"/>
    </row>
    <row r="891" spans="1:154">
      <c r="B891" s="341" t="s">
        <v>412</v>
      </c>
      <c r="C891" s="1990"/>
      <c r="D891" s="25"/>
      <c r="E891" s="25"/>
      <c r="F891" s="25"/>
      <c r="G891" s="25"/>
      <c r="H891" s="25"/>
      <c r="I891" s="261">
        <f t="shared" si="1960"/>
      </c>
      <c r="J891" s="261">
        <f t="shared" si="1960"/>
      </c>
      <c r="K891" s="261">
        <f t="shared" si="1960"/>
      </c>
      <c r="L891" s="261">
        <f t="shared" si="1960"/>
      </c>
      <c r="M891" s="261">
        <f t="shared" si="1960"/>
      </c>
      <c r="N891" s="261">
        <f t="shared" si="1960"/>
      </c>
      <c r="O891" s="261">
        <f t="shared" si="1960"/>
      </c>
      <c r="P891" s="261">
        <f t="shared" si="1960"/>
      </c>
      <c r="Q891" s="261">
        <f t="shared" si="1960"/>
      </c>
      <c r="R891" s="261">
        <f t="shared" si="1960"/>
      </c>
      <c r="S891" s="261">
        <f t="shared" si="1961"/>
      </c>
      <c r="T891" s="261">
        <f t="shared" si="1961"/>
      </c>
      <c r="U891" s="261">
        <f t="shared" si="1961"/>
      </c>
      <c r="V891" s="261">
        <f t="shared" si="1961"/>
      </c>
      <c r="W891" s="261">
        <f t="shared" si="1961"/>
      </c>
      <c r="X891" s="325">
        <f t="shared" si="1961"/>
      </c>
      <c r="Y891" s="261">
        <f t="shared" si="1961"/>
      </c>
      <c r="Z891" s="261">
        <f t="shared" si="1961"/>
      </c>
      <c r="AA891" s="261">
        <f t="shared" si="1961"/>
      </c>
      <c r="AB891" s="261">
        <f t="shared" si="1961"/>
      </c>
      <c r="AC891" s="325">
        <f t="shared" si="1962"/>
      </c>
      <c r="AD891" s="261">
        <f t="shared" si="1962"/>
      </c>
      <c r="AE891" s="261">
        <f t="shared" si="1962"/>
      </c>
      <c r="AF891" s="261">
        <f t="shared" si="1962"/>
      </c>
      <c r="AG891" s="261">
        <f t="shared" si="1962"/>
      </c>
      <c r="AH891" s="325">
        <f t="shared" si="1962"/>
      </c>
      <c r="AI891" s="261">
        <f t="shared" si="1962"/>
      </c>
      <c r="AJ891" s="261">
        <f t="shared" si="1962"/>
      </c>
      <c r="AK891" s="261">
        <f t="shared" si="1962"/>
      </c>
      <c r="AL891" s="261">
        <f t="shared" si="1962"/>
      </c>
      <c r="AM891" s="325">
        <f t="shared" si="1963"/>
      </c>
      <c r="AN891" s="261">
        <f t="shared" si="1963"/>
      </c>
      <c r="AO891" s="261">
        <f t="shared" si="1963"/>
      </c>
      <c r="AP891" s="261">
        <f t="shared" si="1963"/>
      </c>
      <c r="AQ891" s="261">
        <f t="shared" si="1963"/>
      </c>
      <c r="AR891" s="325">
        <f t="shared" si="1963"/>
      </c>
      <c r="AS891" s="261">
        <f t="shared" si="1963"/>
      </c>
      <c r="AT891" s="261">
        <f t="shared" si="1963"/>
      </c>
      <c r="AU891" s="261">
        <f t="shared" si="1963"/>
      </c>
      <c r="AV891" s="261">
        <f t="shared" si="1963"/>
      </c>
      <c r="AW891" s="325">
        <f t="shared" si="1964"/>
      </c>
      <c r="AX891" s="261">
        <f t="shared" si="1964"/>
      </c>
      <c r="AY891" s="261">
        <f t="shared" si="1964"/>
      </c>
      <c r="AZ891" s="261">
        <f t="shared" si="1964"/>
      </c>
      <c r="BA891" s="261">
        <f t="shared" si="1964"/>
      </c>
      <c r="BB891" s="325">
        <f t="shared" si="1964"/>
      </c>
      <c r="BC891" s="261">
        <f t="shared" si="1964"/>
      </c>
      <c r="BD891" s="261">
        <f t="shared" si="1964"/>
      </c>
      <c r="BE891" s="261">
        <f t="shared" si="1964"/>
      </c>
      <c r="BF891" s="261">
        <f t="shared" si="1964"/>
      </c>
      <c r="BG891" s="325">
        <f t="shared" si="1965"/>
      </c>
      <c r="BH891" s="261">
        <f t="shared" si="1965"/>
      </c>
      <c r="BI891" s="261">
        <f t="shared" si="1965"/>
      </c>
      <c r="BJ891" s="261">
        <f t="shared" si="1965"/>
      </c>
      <c r="BK891" s="261">
        <f t="shared" si="1965"/>
      </c>
      <c r="BL891" s="325">
        <f t="shared" si="1965"/>
      </c>
      <c r="BM891" s="261">
        <f t="shared" si="1965"/>
      </c>
      <c r="BN891" s="261">
        <f t="shared" si="1965"/>
      </c>
      <c r="BO891" s="261">
        <f t="shared" si="1965"/>
      </c>
      <c r="BP891" s="261">
        <f t="shared" si="1965"/>
      </c>
      <c r="BQ891" s="325">
        <f t="shared" si="1966"/>
      </c>
      <c r="BR891" s="261">
        <f t="shared" si="1966"/>
      </c>
      <c r="BS891" s="261">
        <f t="shared" si="1966"/>
      </c>
      <c r="BT891" s="261">
        <f t="shared" si="1966"/>
      </c>
      <c r="BU891" s="261">
        <f t="shared" si="1966"/>
      </c>
      <c r="BV891" s="325">
        <f t="shared" si="1966"/>
      </c>
      <c r="BW891" s="261">
        <f t="shared" si="1966"/>
      </c>
      <c r="BX891" s="261">
        <f t="shared" si="1966"/>
      </c>
      <c r="BY891" s="261">
        <f t="shared" si="1966"/>
      </c>
      <c r="BZ891" s="261">
        <f t="shared" si="1966"/>
      </c>
      <c r="CA891" s="325">
        <f t="shared" si="1967"/>
      </c>
      <c r="CB891" s="261">
        <f t="shared" si="1967"/>
      </c>
      <c r="CC891" s="261">
        <f t="shared" si="1967"/>
      </c>
      <c r="CD891" s="261">
        <f t="shared" si="1967"/>
      </c>
      <c r="CE891" s="261">
        <f t="shared" si="1967"/>
      </c>
      <c r="CF891" s="325">
        <f t="shared" si="1967"/>
      </c>
      <c r="CG891" s="261">
        <f t="shared" si="1968"/>
      </c>
      <c r="CH891" s="261">
        <f t="shared" si="1968"/>
      </c>
      <c r="CI891" s="261">
        <f t="shared" si="1968"/>
      </c>
      <c r="CJ891" s="261">
        <f t="shared" si="1968"/>
      </c>
      <c r="CK891" s="325">
        <f t="shared" si="1968"/>
      </c>
      <c r="CL891" s="1001">
        <f t="shared" si="1968"/>
      </c>
      <c r="CM891" s="261">
        <f t="shared" si="1968"/>
      </c>
      <c r="CN891" s="261">
        <f t="shared" si="1968"/>
      </c>
      <c r="CO891" s="261">
        <f t="shared" si="1968"/>
      </c>
      <c r="CP891" s="325">
        <f t="shared" si="1968"/>
      </c>
      <c r="CQ891" s="261">
        <f t="shared" si="1969"/>
      </c>
      <c r="CR891" s="261">
        <f t="shared" si="1969"/>
      </c>
      <c r="CS891" s="261">
        <f t="shared" si="1969"/>
      </c>
      <c r="CT891" s="992">
        <f t="shared" si="1969"/>
      </c>
      <c r="CU891" s="992">
        <f t="shared" si="1969"/>
      </c>
      <c r="CV891" s="261">
        <f t="shared" si="1969"/>
      </c>
      <c r="CW891" s="261">
        <f t="shared" si="1969"/>
      </c>
      <c r="CX891" s="261">
        <f t="shared" si="1969"/>
      </c>
      <c r="CY891" s="992">
        <f t="shared" si="1969"/>
      </c>
      <c r="CZ891" s="325">
        <f t="shared" si="1969"/>
      </c>
      <c r="DA891" s="261">
        <f t="shared" si="1970"/>
      </c>
      <c r="DB891" s="261">
        <f t="shared" si="1970"/>
      </c>
      <c r="DC891" s="261">
        <f t="shared" si="1970"/>
      </c>
      <c r="DD891" s="992">
        <f t="shared" si="1970"/>
      </c>
      <c r="DE891" s="325">
        <f t="shared" si="1970"/>
      </c>
      <c r="DF891" s="261">
        <f t="shared" si="1970"/>
      </c>
      <c r="DG891" s="261">
        <f t="shared" si="1970"/>
      </c>
      <c r="DH891" s="261">
        <f t="shared" si="1970"/>
      </c>
      <c r="DI891" s="992">
        <f t="shared" si="1970"/>
      </c>
      <c r="DJ891" s="325">
        <f t="shared" si="1970"/>
      </c>
      <c r="DK891" s="261">
        <f t="shared" si="1971"/>
      </c>
      <c r="DL891" s="261">
        <f t="shared" si="1971"/>
      </c>
      <c r="DM891" s="261">
        <f t="shared" si="1971"/>
      </c>
      <c r="DN891" s="992">
        <f t="shared" si="1971"/>
      </c>
      <c r="DO891" s="325">
        <f t="shared" si="1971"/>
      </c>
      <c r="DP891" s="261">
        <f t="shared" si="1971"/>
      </c>
      <c r="DQ891" s="261">
        <f t="shared" si="1971"/>
      </c>
      <c r="DR891" s="261">
        <f t="shared" si="1971"/>
      </c>
      <c r="DS891" s="992">
        <f t="shared" si="1971"/>
      </c>
      <c r="DT891" s="325">
        <f t="shared" si="1971"/>
      </c>
      <c r="DU891" s="261">
        <f t="shared" si="1972"/>
      </c>
      <c r="DV891" s="261">
        <f t="shared" si="1972"/>
      </c>
      <c r="DW891" s="261">
        <f t="shared" si="1972"/>
      </c>
      <c r="DX891" s="992">
        <f t="shared" si="1972"/>
      </c>
      <c r="DY891" s="325">
        <f t="shared" si="1972"/>
      </c>
      <c r="DZ891" s="261">
        <f t="shared" si="1972"/>
      </c>
      <c r="EA891" s="261">
        <f t="shared" si="1972"/>
      </c>
      <c r="EB891" s="261">
        <f t="shared" si="1972"/>
      </c>
      <c r="EC891" s="992">
        <f t="shared" si="1972"/>
      </c>
      <c r="ED891" s="325">
        <f t="shared" si="1972"/>
      </c>
      <c r="EE891" s="1001">
        <f t="shared" si="1972"/>
      </c>
      <c r="EF891" s="261">
        <f t="shared" si="1972"/>
      </c>
      <c r="EG891" s="261">
        <f t="shared" si="1972"/>
      </c>
      <c r="EH891" s="992">
        <f t="shared" si="1972"/>
      </c>
      <c r="EI891" s="325">
        <f>IF(ED886=0, "NA", EI886/ED886-1)</f>
      </c>
      <c r="EJ891" s="325">
        <f t="shared" si="1973"/>
      </c>
      <c r="EK891" s="325">
        <f t="shared" si="1973"/>
      </c>
      <c r="EL891" s="325">
        <f t="shared" si="1973"/>
      </c>
      <c r="EM891" s="325">
        <f t="shared" si="1973"/>
      </c>
      <c r="EN891" s="325">
        <f t="shared" si="1973"/>
      </c>
      <c r="EO891" s="325">
        <f t="shared" si="1973"/>
      </c>
      <c r="EP891" s="325">
        <f t="shared" si="1974"/>
      </c>
      <c r="EQ891" s="325">
        <f t="shared" si="1975"/>
      </c>
      <c r="ER891" s="325">
        <f t="shared" si="1976"/>
      </c>
      <c r="ES891" s="325">
        <f t="shared" si="1977"/>
      </c>
      <c r="ET891" s="325"/>
      <c r="EU891" s="325"/>
      <c r="EV891" s="325"/>
      <c r="EW891" s="325"/>
      <c r="EX891" s="325"/>
    </row>
    <row r="892" spans="1:154">
      <c r="B892" s="341" t="s">
        <v>256</v>
      </c>
      <c r="C892" s="1990"/>
      <c r="D892" s="25"/>
      <c r="E892" s="25"/>
      <c r="F892" s="25"/>
      <c r="G892" s="25"/>
      <c r="H892" s="25"/>
      <c r="I892" s="261"/>
      <c r="J892" s="261"/>
      <c r="K892" s="261"/>
      <c r="L892" s="261"/>
      <c r="M892" s="261"/>
      <c r="N892" s="261"/>
      <c r="O892" s="261"/>
      <c r="P892" s="261"/>
      <c r="Q892" s="261"/>
      <c r="R892" s="261"/>
      <c r="S892" s="261"/>
      <c r="T892" s="261"/>
      <c r="U892" s="261"/>
      <c r="V892" s="261"/>
      <c r="W892" s="261"/>
      <c r="X892" s="325"/>
      <c r="Y892" s="261"/>
      <c r="Z892" s="261"/>
      <c r="AA892" s="261"/>
      <c r="AB892" s="261"/>
      <c r="AC892" s="325"/>
      <c r="AD892" s="261"/>
      <c r="AE892" s="261"/>
      <c r="AF892" s="261"/>
      <c r="AG892" s="261"/>
      <c r="AH892" s="325"/>
      <c r="AI892" s="261">
        <f t="shared" ref="AI892:BN892" si="1978">IF(ISNUMBER(AI891),(1+AI891)/(1+AI$21)-1,"NM")</f>
      </c>
      <c r="AJ892" s="261">
        <f t="shared" si="1978"/>
      </c>
      <c r="AK892" s="261">
        <f t="shared" si="1978"/>
      </c>
      <c r="AL892" s="261">
        <f t="shared" si="1978"/>
      </c>
      <c r="AM892" s="325">
        <f t="shared" si="1978"/>
      </c>
      <c r="AN892" s="261">
        <f t="shared" si="1978"/>
      </c>
      <c r="AO892" s="261">
        <f t="shared" si="1978"/>
      </c>
      <c r="AP892" s="261">
        <f t="shared" si="1978"/>
      </c>
      <c r="AQ892" s="261">
        <f t="shared" si="1978"/>
      </c>
      <c r="AR892" s="325">
        <f t="shared" si="1978"/>
      </c>
      <c r="AS892" s="261">
        <f t="shared" si="1978"/>
      </c>
      <c r="AT892" s="261">
        <f t="shared" si="1978"/>
      </c>
      <c r="AU892" s="261">
        <f t="shared" si="1978"/>
      </c>
      <c r="AV892" s="261">
        <f t="shared" si="1978"/>
      </c>
      <c r="AW892" s="325">
        <f t="shared" si="1978"/>
      </c>
      <c r="AX892" s="261">
        <f t="shared" si="1978"/>
      </c>
      <c r="AY892" s="261">
        <f t="shared" si="1978"/>
      </c>
      <c r="AZ892" s="261">
        <f t="shared" si="1978"/>
      </c>
      <c r="BA892" s="261">
        <f t="shared" si="1978"/>
      </c>
      <c r="BB892" s="325">
        <f t="shared" si="1978"/>
      </c>
      <c r="BC892" s="261">
        <f t="shared" si="1978"/>
      </c>
      <c r="BD892" s="261">
        <f t="shared" si="1978"/>
      </c>
      <c r="BE892" s="261">
        <f t="shared" si="1978"/>
      </c>
      <c r="BF892" s="261">
        <f t="shared" si="1978"/>
      </c>
      <c r="BG892" s="325">
        <f t="shared" si="1978"/>
      </c>
      <c r="BH892" s="261">
        <f t="shared" si="1978"/>
      </c>
      <c r="BI892" s="261">
        <f t="shared" si="1978"/>
      </c>
      <c r="BJ892" s="261">
        <f t="shared" si="1978"/>
      </c>
      <c r="BK892" s="261">
        <f t="shared" si="1978"/>
      </c>
      <c r="BL892" s="325">
        <f t="shared" si="1978"/>
      </c>
      <c r="BM892" s="261">
        <f t="shared" si="1978"/>
      </c>
      <c r="BN892" s="261">
        <f t="shared" si="1978"/>
      </c>
      <c r="BO892" s="261">
        <f t="shared" ref="BO892:CF892" si="1979">IF(ISNUMBER(BO891),(1+BO891)/(1+BO$21)-1,"NM")</f>
      </c>
      <c r="BP892" s="261">
        <f t="shared" si="1979"/>
      </c>
      <c r="BQ892" s="325">
        <f t="shared" si="1979"/>
      </c>
      <c r="BR892" s="261">
        <f t="shared" si="1979"/>
      </c>
      <c r="BS892" s="261">
        <f t="shared" si="1979"/>
      </c>
      <c r="BT892" s="261">
        <f t="shared" si="1979"/>
      </c>
      <c r="BU892" s="261">
        <f t="shared" si="1979"/>
      </c>
      <c r="BV892" s="325">
        <f t="shared" si="1979"/>
      </c>
      <c r="BW892" s="261">
        <f t="shared" si="1979"/>
      </c>
      <c r="BX892" s="261">
        <f t="shared" si="1979"/>
      </c>
      <c r="BY892" s="261">
        <f t="shared" si="1979"/>
      </c>
      <c r="BZ892" s="261">
        <f t="shared" si="1979"/>
      </c>
      <c r="CA892" s="325">
        <f t="shared" si="1979"/>
      </c>
      <c r="CB892" s="261">
        <f t="shared" si="1979"/>
      </c>
      <c r="CC892" s="261">
        <f t="shared" si="1979"/>
      </c>
      <c r="CD892" s="261">
        <f t="shared" si="1979"/>
      </c>
      <c r="CE892" s="261">
        <f t="shared" si="1979"/>
      </c>
      <c r="CF892" s="325">
        <f t="shared" si="1979"/>
      </c>
      <c r="CG892" s="261">
        <f t="shared" ref="CG892:EI892" si="1980">CG891-CG$21</f>
      </c>
      <c r="CH892" s="261">
        <f t="shared" si="1980"/>
      </c>
      <c r="CI892" s="261">
        <f t="shared" si="1980"/>
      </c>
      <c r="CJ892" s="261">
        <f t="shared" si="1980"/>
      </c>
      <c r="CK892" s="325">
        <f t="shared" si="1980"/>
      </c>
      <c r="CL892" s="1001">
        <f t="shared" si="1980"/>
      </c>
      <c r="CM892" s="261">
        <f t="shared" si="1980"/>
      </c>
      <c r="CN892" s="261">
        <f t="shared" si="1980"/>
      </c>
      <c r="CO892" s="261">
        <f t="shared" si="1980"/>
      </c>
      <c r="CP892" s="325">
        <f t="shared" si="1980"/>
      </c>
      <c r="CQ892" s="261">
        <f t="shared" si="1980"/>
      </c>
      <c r="CR892" s="261">
        <f t="shared" si="1980"/>
      </c>
      <c r="CS892" s="261">
        <f t="shared" si="1980"/>
      </c>
      <c r="CT892" s="992">
        <f t="shared" si="1980"/>
      </c>
      <c r="CU892" s="992">
        <f t="shared" si="1980"/>
      </c>
      <c r="CV892" s="261">
        <f>CV891-CV$21</f>
      </c>
      <c r="CW892" s="261">
        <f t="shared" si="1980"/>
      </c>
      <c r="CX892" s="261">
        <f t="shared" si="1980"/>
      </c>
      <c r="CY892" s="992">
        <f t="shared" si="1980"/>
      </c>
      <c r="CZ892" s="325">
        <f t="shared" si="1980"/>
      </c>
      <c r="DA892" s="261">
        <f t="shared" si="1980"/>
      </c>
      <c r="DB892" s="261">
        <f t="shared" ref="DB892:DI892" si="1981">DB891-DB$21</f>
      </c>
      <c r="DC892" s="261">
        <f t="shared" si="1981"/>
      </c>
      <c r="DD892" s="992">
        <f t="shared" si="1981"/>
      </c>
      <c r="DE892" s="325">
        <f t="shared" si="1981"/>
      </c>
      <c r="DF892" s="261">
        <f t="shared" si="1981"/>
      </c>
      <c r="DG892" s="261">
        <f t="shared" si="1981"/>
      </c>
      <c r="DH892" s="261">
        <f t="shared" si="1981"/>
      </c>
      <c r="DI892" s="992">
        <f t="shared" si="1981"/>
      </c>
      <c r="DJ892" s="325">
        <f t="shared" si="1980"/>
      </c>
      <c r="DK892" s="261">
        <f t="shared" si="1980"/>
      </c>
      <c r="DL892" s="261">
        <f t="shared" si="1980"/>
      </c>
      <c r="DM892" s="261">
        <f t="shared" si="1980"/>
      </c>
      <c r="DN892" s="992">
        <f t="shared" si="1980"/>
      </c>
      <c r="DO892" s="325">
        <f>DO891-DO$21</f>
      </c>
      <c r="DP892" s="261">
        <f>DP891-DP$21</f>
      </c>
      <c r="DQ892" s="261">
        <f>DQ891-DQ$21</f>
      </c>
      <c r="DR892" s="261">
        <f>DR891-DR$21</f>
      </c>
      <c r="DS892" s="992">
        <f>DS891-DS$21</f>
      </c>
      <c r="DT892" s="325">
        <f t="shared" si="1980"/>
      </c>
      <c r="DU892" s="261">
        <f>DU891-DU$21</f>
      </c>
      <c r="DV892" s="261">
        <f>DV891-DV$21</f>
      </c>
      <c r="DW892" s="261">
        <f>DW891-DW$21</f>
      </c>
      <c r="DX892" s="992">
        <f>DX891-DX$21</f>
      </c>
      <c r="DY892" s="325">
        <f t="shared" si="1980"/>
      </c>
      <c r="DZ892" s="261">
        <f>DZ891-DZ$21</f>
      </c>
      <c r="EA892" s="261">
        <f>EA891-EA$21</f>
      </c>
      <c r="EB892" s="261">
        <f>EB891-EB$21</f>
      </c>
      <c r="EC892" s="992">
        <f>EC891-EC$21</f>
      </c>
      <c r="ED892" s="325">
        <f t="shared" ref="ED892" si="1982">ED891-ED$21</f>
      </c>
      <c r="EE892" s="1001">
        <f>EE891-EE$21</f>
      </c>
      <c r="EF892" s="261">
        <f>EF891-EF$21</f>
      </c>
      <c r="EG892" s="261">
        <f>EG891-EG$21</f>
      </c>
      <c r="EH892" s="992">
        <f>EH891-EH$21</f>
      </c>
      <c r="EI892" s="325">
        <f t="shared" si="1980"/>
      </c>
      <c r="EJ892" s="325">
        <f t="shared" ref="EJ892:EO892" si="1983">EJ891-EJ$21</f>
      </c>
      <c r="EK892" s="325">
        <f t="shared" si="1983"/>
      </c>
      <c r="EL892" s="325">
        <f t="shared" si="1983"/>
      </c>
      <c r="EM892" s="325">
        <f t="shared" si="1983"/>
      </c>
      <c r="EN892" s="325">
        <f t="shared" si="1983"/>
      </c>
      <c r="EO892" s="325">
        <f t="shared" si="1983"/>
      </c>
      <c r="EP892" s="325">
        <f t="shared" ref="EP892:ES892" si="1984">EP891-EP$21</f>
      </c>
      <c r="EQ892" s="325">
        <f t="shared" si="1984"/>
      </c>
      <c r="ER892" s="325">
        <f t="shared" si="1984"/>
      </c>
      <c r="ES892" s="325">
        <f t="shared" si="1984"/>
      </c>
      <c r="ET892" s="325"/>
      <c r="EU892" s="325"/>
      <c r="EV892" s="325"/>
      <c r="EW892" s="325"/>
      <c r="EX892" s="325"/>
    </row>
    <row r="893" spans="1:154">
      <c r="B893" s="3400" t="s">
        <v>413</v>
      </c>
      <c r="C893" s="2024"/>
      <c r="D893" s="2660"/>
      <c r="E893" s="2660"/>
      <c r="F893" s="2660"/>
      <c r="G893" s="2660"/>
      <c r="H893" s="2660"/>
      <c r="I893" s="831">
        <f t="shared" ref="I893:AN893" si="1985">IF(D887="NM","NM",IF(I887="NM","NM",IF(D887&lt;=0,"NM",IF(I887=0,"NM",IF(ABS(I887/D887-1)&gt;2.5,"NM",IF((ABS(I887-D887)=ABS(ABS(I887)-ABS(D887))),(I887/D887-1),"NM"))))))</f>
      </c>
      <c r="J893" s="831">
        <f t="shared" si="1985"/>
      </c>
      <c r="K893" s="831">
        <f t="shared" si="1985"/>
      </c>
      <c r="L893" s="831">
        <f t="shared" si="1985"/>
      </c>
      <c r="M893" s="831">
        <f t="shared" si="1985"/>
      </c>
      <c r="N893" s="831">
        <f t="shared" si="1985"/>
      </c>
      <c r="O893" s="831">
        <f t="shared" si="1985"/>
      </c>
      <c r="P893" s="831">
        <f t="shared" si="1985"/>
      </c>
      <c r="Q893" s="831">
        <f t="shared" si="1985"/>
      </c>
      <c r="R893" s="831">
        <f t="shared" si="1985"/>
      </c>
      <c r="S893" s="831">
        <f t="shared" si="1985"/>
      </c>
      <c r="T893" s="831">
        <f t="shared" si="1985"/>
      </c>
      <c r="U893" s="831">
        <f t="shared" si="1985"/>
      </c>
      <c r="V893" s="831">
        <f t="shared" si="1985"/>
      </c>
      <c r="W893" s="831">
        <f t="shared" si="1985"/>
      </c>
      <c r="X893" s="2224">
        <f t="shared" si="1985"/>
      </c>
      <c r="Y893" s="831">
        <f t="shared" si="1985"/>
      </c>
      <c r="Z893" s="831">
        <f t="shared" si="1985"/>
      </c>
      <c r="AA893" s="831">
        <f t="shared" si="1985"/>
      </c>
      <c r="AB893" s="831">
        <f t="shared" si="1985"/>
      </c>
      <c r="AC893" s="2224">
        <f t="shared" si="1985"/>
      </c>
      <c r="AD893" s="831">
        <f t="shared" si="1985"/>
      </c>
      <c r="AE893" s="831">
        <f t="shared" si="1985"/>
      </c>
      <c r="AF893" s="831">
        <f t="shared" si="1985"/>
      </c>
      <c r="AG893" s="831">
        <f t="shared" si="1985"/>
      </c>
      <c r="AH893" s="2224">
        <f t="shared" si="1985"/>
      </c>
      <c r="AI893" s="831">
        <f t="shared" si="1985"/>
      </c>
      <c r="AJ893" s="831">
        <f t="shared" si="1985"/>
      </c>
      <c r="AK893" s="831">
        <f t="shared" si="1985"/>
      </c>
      <c r="AL893" s="831">
        <f t="shared" si="1985"/>
      </c>
      <c r="AM893" s="2224">
        <f t="shared" si="1985"/>
      </c>
      <c r="AN893" s="831">
        <f t="shared" si="1985"/>
      </c>
      <c r="AO893" s="831">
        <f t="shared" ref="AO893:BT893" si="1986">IF(AJ887="NM","NM",IF(AO887="NM","NM",IF(AJ887&lt;=0,"NM",IF(AO887=0,"NM",IF(ABS(AO887/AJ887-1)&gt;2.5,"NM",IF((ABS(AO887-AJ887)=ABS(ABS(AO887)-ABS(AJ887))),(AO887/AJ887-1),"NM"))))))</f>
      </c>
      <c r="AP893" s="831">
        <f t="shared" si="1986"/>
      </c>
      <c r="AQ893" s="831">
        <f t="shared" si="1986"/>
      </c>
      <c r="AR893" s="2224">
        <f t="shared" si="1986"/>
      </c>
      <c r="AS893" s="831">
        <f t="shared" si="1986"/>
      </c>
      <c r="AT893" s="831">
        <f t="shared" si="1986"/>
      </c>
      <c r="AU893" s="831">
        <f t="shared" si="1986"/>
      </c>
      <c r="AV893" s="831">
        <f t="shared" si="1986"/>
      </c>
      <c r="AW893" s="2224">
        <f t="shared" si="1986"/>
      </c>
      <c r="AX893" s="831">
        <f t="shared" si="1986"/>
      </c>
      <c r="AY893" s="831">
        <f t="shared" si="1986"/>
      </c>
      <c r="AZ893" s="831">
        <f t="shared" si="1986"/>
      </c>
      <c r="BA893" s="831">
        <f t="shared" si="1986"/>
      </c>
      <c r="BB893" s="2224">
        <f t="shared" si="1986"/>
      </c>
      <c r="BC893" s="831">
        <f t="shared" si="1986"/>
      </c>
      <c r="BD893" s="831">
        <f t="shared" si="1986"/>
      </c>
      <c r="BE893" s="831">
        <f t="shared" si="1986"/>
      </c>
      <c r="BF893" s="831">
        <f t="shared" si="1986"/>
      </c>
      <c r="BG893" s="2224">
        <f t="shared" si="1986"/>
      </c>
      <c r="BH893" s="831">
        <f t="shared" si="1986"/>
      </c>
      <c r="BI893" s="831">
        <f t="shared" si="1986"/>
      </c>
      <c r="BJ893" s="831">
        <f t="shared" si="1986"/>
      </c>
      <c r="BK893" s="831">
        <f t="shared" si="1986"/>
      </c>
      <c r="BL893" s="2224">
        <f t="shared" si="1986"/>
      </c>
      <c r="BM893" s="831">
        <f t="shared" si="1986"/>
      </c>
      <c r="BN893" s="831">
        <f t="shared" si="1986"/>
      </c>
      <c r="BO893" s="831">
        <f t="shared" si="1986"/>
      </c>
      <c r="BP893" s="831">
        <f t="shared" si="1986"/>
      </c>
      <c r="BQ893" s="2224">
        <f t="shared" si="1986"/>
      </c>
      <c r="BR893" s="831">
        <f t="shared" si="1986"/>
      </c>
      <c r="BS893" s="831">
        <f t="shared" si="1986"/>
      </c>
      <c r="BT893" s="831">
        <f t="shared" si="1986"/>
      </c>
      <c r="BU893" s="831">
        <f t="shared" ref="BU893:CF893" si="1987">IF(BP887="NM","NM",IF(BU887="NM","NM",IF(BP887&lt;=0,"NM",IF(BU887=0,"NM",IF(ABS(BU887/BP887-1)&gt;2.5,"NM",IF((ABS(BU887-BP887)=ABS(ABS(BU887)-ABS(BP887))),(BU887/BP887-1),"NM"))))))</f>
      </c>
      <c r="BV893" s="2224">
        <f t="shared" si="1987"/>
      </c>
      <c r="BW893" s="831">
        <f t="shared" si="1987"/>
      </c>
      <c r="BX893" s="831">
        <f t="shared" si="1987"/>
      </c>
      <c r="BY893" s="831">
        <f t="shared" si="1987"/>
      </c>
      <c r="BZ893" s="831">
        <f t="shared" si="1987"/>
      </c>
      <c r="CA893" s="2224">
        <f t="shared" si="1987"/>
      </c>
      <c r="CB893" s="831">
        <f t="shared" si="1987"/>
      </c>
      <c r="CC893" s="831">
        <f t="shared" si="1987"/>
      </c>
      <c r="CD893" s="831">
        <f t="shared" si="1987"/>
      </c>
      <c r="CE893" s="831">
        <f t="shared" si="1987"/>
      </c>
      <c r="CF893" s="2224">
        <f t="shared" si="1987"/>
      </c>
      <c r="CG893" s="831">
        <f t="shared" ref="CG893:DL893" si="1988">IF(CB887=0, "NA", CG887/CB887-1)</f>
      </c>
      <c r="CH893" s="831">
        <f t="shared" si="1988"/>
      </c>
      <c r="CI893" s="831">
        <f t="shared" si="1988"/>
      </c>
      <c r="CJ893" s="831">
        <f t="shared" si="1988"/>
      </c>
      <c r="CK893" s="2224">
        <f t="shared" si="1988"/>
      </c>
      <c r="CL893" s="2787">
        <f t="shared" si="1988"/>
      </c>
      <c r="CM893" s="831">
        <f t="shared" si="1988"/>
      </c>
      <c r="CN893" s="831">
        <f t="shared" si="1988"/>
      </c>
      <c r="CO893" s="831">
        <f t="shared" si="1988"/>
      </c>
      <c r="CP893" s="2224">
        <f t="shared" si="1988"/>
      </c>
      <c r="CQ893" s="831">
        <f t="shared" si="1988"/>
      </c>
      <c r="CR893" s="831">
        <f t="shared" si="1988"/>
      </c>
      <c r="CS893" s="831">
        <f t="shared" si="1988"/>
      </c>
      <c r="CT893" s="2788">
        <f t="shared" si="1988"/>
      </c>
      <c r="CU893" s="2788">
        <f t="shared" si="1988"/>
      </c>
      <c r="CV893" s="831">
        <f t="shared" si="1988"/>
      </c>
      <c r="CW893" s="831">
        <f t="shared" si="1988"/>
      </c>
      <c r="CX893" s="831">
        <f t="shared" si="1988"/>
      </c>
      <c r="CY893" s="2788">
        <f t="shared" si="1988"/>
      </c>
      <c r="CZ893" s="2224">
        <f t="shared" si="1988"/>
      </c>
      <c r="DA893" s="831">
        <f t="shared" si="1988"/>
      </c>
      <c r="DB893" s="831">
        <f t="shared" si="1988"/>
      </c>
      <c r="DC893" s="831">
        <f t="shared" si="1988"/>
      </c>
      <c r="DD893" s="2788">
        <f t="shared" si="1988"/>
      </c>
      <c r="DE893" s="2224">
        <f t="shared" si="1988"/>
      </c>
      <c r="DF893" s="831">
        <f t="shared" si="1988"/>
      </c>
      <c r="DG893" s="831">
        <f t="shared" si="1988"/>
      </c>
      <c r="DH893" s="831">
        <f t="shared" si="1988"/>
      </c>
      <c r="DI893" s="2788">
        <f t="shared" si="1988"/>
      </c>
      <c r="DJ893" s="2224">
        <f t="shared" si="1988"/>
      </c>
      <c r="DK893" s="831">
        <f t="shared" si="1988"/>
      </c>
      <c r="DL893" s="831">
        <f t="shared" si="1988"/>
      </c>
      <c r="DM893" s="831">
        <f t="shared" ref="DM893:EH893" si="1989">IF(DH887=0, "NA", DM887/DH887-1)</f>
      </c>
      <c r="DN893" s="2788">
        <f t="shared" si="1989"/>
      </c>
      <c r="DO893" s="2224">
        <f t="shared" si="1989"/>
      </c>
      <c r="DP893" s="831">
        <f t="shared" si="1989"/>
      </c>
      <c r="DQ893" s="831">
        <f t="shared" si="1989"/>
      </c>
      <c r="DR893" s="831">
        <f t="shared" si="1989"/>
      </c>
      <c r="DS893" s="2788">
        <f t="shared" si="1989"/>
      </c>
      <c r="DT893" s="2224">
        <f t="shared" si="1989"/>
      </c>
      <c r="DU893" s="831">
        <f t="shared" si="1989"/>
      </c>
      <c r="DV893" s="831">
        <f t="shared" si="1989"/>
      </c>
      <c r="DW893" s="831">
        <f t="shared" si="1989"/>
      </c>
      <c r="DX893" s="2788">
        <f t="shared" si="1989"/>
      </c>
      <c r="DY893" s="2224">
        <f t="shared" si="1989"/>
      </c>
      <c r="DZ893" s="831">
        <f t="shared" si="1989"/>
      </c>
      <c r="EA893" s="333">
        <f t="shared" si="1989"/>
      </c>
      <c r="EB893" s="333">
        <f t="shared" si="1989"/>
      </c>
      <c r="EC893" s="3517">
        <f t="shared" si="1989"/>
      </c>
      <c r="ED893" s="2224">
        <f t="shared" si="1989"/>
      </c>
      <c r="EE893" s="333">
        <f t="shared" si="1989"/>
      </c>
      <c r="EF893" s="333">
        <f t="shared" si="1989"/>
      </c>
      <c r="EG893" s="333">
        <f t="shared" si="1989"/>
      </c>
      <c r="EH893" s="3517">
        <f t="shared" si="1989"/>
      </c>
      <c r="EI893" s="2224">
        <f>IF(ED887=0, "NA", EI887/ED887-1)</f>
      </c>
      <c r="EJ893" s="2224">
        <f t="shared" ref="EJ893:EO893" si="1990">IF(EI887=0, "NA", EJ887/EI887-1)</f>
      </c>
      <c r="EK893" s="2224">
        <f t="shared" si="1990"/>
      </c>
      <c r="EL893" s="2224">
        <f t="shared" si="1990"/>
      </c>
      <c r="EM893" s="2224">
        <f t="shared" si="1990"/>
      </c>
      <c r="EN893" s="2224">
        <f t="shared" si="1990"/>
      </c>
      <c r="EO893" s="2224">
        <f t="shared" si="1990"/>
      </c>
      <c r="EP893" s="2224">
        <f t="shared" ref="EP893" si="1991">IF(EO887=0, "NA", EP887/EO887-1)</f>
      </c>
      <c r="EQ893" s="2224">
        <f t="shared" ref="EQ893" si="1992">IF(EP887=0, "NA", EQ887/EP887-1)</f>
      </c>
      <c r="ER893" s="2224">
        <f t="shared" ref="ER893" si="1993">IF(EQ887=0, "NA", ER887/EQ887-1)</f>
      </c>
      <c r="ES893" s="2224">
        <f t="shared" ref="ES893" si="1994">IF(ER887=0, "NA", ES887/ER887-1)</f>
      </c>
      <c r="ET893" s="2224"/>
      <c r="EU893" s="2224"/>
      <c r="EV893" s="2224"/>
      <c r="EW893" s="2224"/>
      <c r="EX893" s="2224"/>
    </row>
    <row r="894" spans="1:154">
      <c r="B894" s="178"/>
      <c r="C894" s="5"/>
      <c r="D894" s="28"/>
      <c r="E894" s="28"/>
      <c r="F894" s="28"/>
      <c r="G894" s="28"/>
      <c r="H894" s="28"/>
      <c r="I894" s="31"/>
      <c r="J894" s="28"/>
      <c r="K894" s="28"/>
      <c r="L894" s="28"/>
      <c r="M894" s="28"/>
      <c r="N894" s="31"/>
      <c r="O894" s="31"/>
      <c r="P894" s="31"/>
      <c r="Q894" s="31"/>
      <c r="R894" s="31"/>
      <c r="S894" s="36"/>
      <c r="T894" s="31"/>
      <c r="U894" s="31"/>
      <c r="V894" s="31"/>
      <c r="W894" s="31"/>
      <c r="X894" s="36"/>
      <c r="Y894" s="31"/>
      <c r="Z894" s="31"/>
      <c r="AA894" s="31"/>
      <c r="AB894" s="37"/>
      <c r="AC894" s="36"/>
      <c r="AD894" s="37"/>
      <c r="AE894" s="37"/>
      <c r="AF894" s="37"/>
      <c r="AG894" s="37"/>
      <c r="AH894" s="36"/>
      <c r="AI894" s="38"/>
      <c r="AJ894" s="38"/>
      <c r="AK894" s="38"/>
      <c r="AL894" s="37"/>
      <c r="AM894" s="36"/>
      <c r="AN894" s="38"/>
      <c r="AO894" s="38"/>
      <c r="AP894" s="38"/>
      <c r="AQ894" s="37"/>
      <c r="AR894" s="36"/>
      <c r="AS894" s="28"/>
      <c r="AT894" s="38"/>
      <c r="AU894" s="28"/>
      <c r="AV894" s="39"/>
      <c r="AW894" s="36"/>
      <c r="AX894" s="28"/>
      <c r="AY894" s="38"/>
      <c r="AZ894" s="28"/>
      <c r="BA894" s="22"/>
      <c r="BB894" s="36"/>
      <c r="BC894" s="36"/>
      <c r="BD894" s="36"/>
      <c r="BE894" s="36"/>
      <c r="BF894" s="36"/>
      <c r="BG894" s="36"/>
      <c r="BH894" s="36"/>
      <c r="BI894" s="36"/>
      <c r="BJ894" s="36"/>
      <c r="BK894" s="36"/>
      <c r="BL894" s="36"/>
      <c r="BM894" s="36"/>
      <c r="BN894" s="36"/>
      <c r="BO894" s="36"/>
      <c r="BP894" s="36"/>
      <c r="BQ894" s="36"/>
      <c r="BR894" s="36"/>
      <c r="BS894" s="36"/>
      <c r="BT894" s="36"/>
      <c r="BU894" s="36"/>
      <c r="BV894" s="36"/>
      <c r="BW894" s="36"/>
      <c r="BX894" s="36"/>
      <c r="BY894" s="36"/>
      <c r="BZ894" s="36"/>
      <c r="CA894" s="36"/>
      <c r="CB894" s="36"/>
      <c r="CC894" s="36"/>
      <c r="CD894" s="36"/>
      <c r="CE894" s="36"/>
      <c r="CF894" s="36"/>
      <c r="CG894" s="36"/>
      <c r="CH894" s="36"/>
      <c r="CI894" s="36"/>
      <c r="CJ894" s="36"/>
      <c r="CK894" s="36"/>
      <c r="CL894" s="36"/>
      <c r="CM894" s="36"/>
      <c r="CN894" s="36"/>
      <c r="CO894" s="36"/>
      <c r="CP894" s="36"/>
      <c r="CQ894" s="36"/>
      <c r="CR894" s="36"/>
      <c r="CS894" s="36"/>
      <c r="CT894" s="36"/>
      <c r="CU894" s="36"/>
      <c r="CV894" s="36"/>
      <c r="CW894" s="36"/>
      <c r="CX894" s="36"/>
      <c r="CY894" s="36"/>
      <c r="CZ894" s="36"/>
      <c r="DA894" s="36"/>
      <c r="DB894" s="36"/>
      <c r="DC894" s="36"/>
      <c r="DD894" s="36"/>
      <c r="DE894" s="1542"/>
      <c r="DF894" s="1542"/>
      <c r="DG894" s="1542"/>
      <c r="DH894" s="1542"/>
      <c r="DI894" s="1542"/>
      <c r="DJ894" s="1542"/>
      <c r="DK894" s="1542"/>
      <c r="DL894" s="1542"/>
      <c r="DM894" s="1542"/>
      <c r="DN894" s="1542"/>
      <c r="DO894" s="1542"/>
      <c r="DP894" s="1542"/>
      <c r="DQ894" s="1542"/>
      <c r="DR894" s="1542"/>
      <c r="DS894" s="1542"/>
      <c r="DT894" s="1542"/>
      <c r="DU894" s="1542"/>
      <c r="DV894" s="1542"/>
      <c r="DW894" s="1542"/>
      <c r="DX894" s="1542"/>
      <c r="DY894" s="1542"/>
      <c r="DZ894" s="1542"/>
      <c r="EA894" s="1542"/>
      <c r="EB894" s="1542"/>
      <c r="EC894" s="1542"/>
      <c r="ED894" s="1542"/>
      <c r="EE894" s="1542"/>
      <c r="EF894" s="1542"/>
      <c r="EG894" s="1542"/>
      <c r="EH894" s="1542"/>
      <c r="EI894" s="1542"/>
      <c r="EJ894" s="1542"/>
      <c r="EK894" s="1542"/>
      <c r="EL894" s="1542"/>
      <c r="EM894" s="1542"/>
      <c r="EN894" s="1542"/>
      <c r="EO894" s="1542"/>
      <c r="EP894" s="1542"/>
      <c r="EQ894" s="1542"/>
      <c r="ER894" s="1542"/>
      <c r="ES894" s="1542"/>
      <c r="ET894" s="1542"/>
      <c r="EU894" s="1542"/>
      <c r="EV894" s="1542"/>
      <c r="EW894" s="1542"/>
      <c r="EX894" s="1542"/>
    </row>
    <row r="895" spans="1:154">
      <c r="B895" s="3273" t="s">
        <v>905</v>
      </c>
      <c r="C895" s="3169"/>
      <c r="D895" s="2969"/>
      <c r="E895" s="2970"/>
      <c r="F895" s="2970"/>
      <c r="G895" s="2970"/>
      <c r="H895" s="2970"/>
      <c r="I895" s="2969"/>
      <c r="J895" s="2969"/>
      <c r="K895" s="2969"/>
      <c r="L895" s="2970"/>
      <c r="M895" s="2970"/>
      <c r="N895" s="2969"/>
      <c r="O895" s="2970"/>
      <c r="P895" s="2970"/>
      <c r="Q895" s="2970"/>
      <c r="R895" s="2970"/>
      <c r="S895" s="2971"/>
      <c r="T895" s="2970"/>
      <c r="U895" s="2970"/>
      <c r="V895" s="2970"/>
      <c r="W895" s="2970"/>
      <c r="X895" s="2971"/>
      <c r="Y895" s="2970"/>
      <c r="Z895" s="2970"/>
      <c r="AA895" s="2970"/>
      <c r="AB895" s="2972"/>
      <c r="AC895" s="2971"/>
      <c r="AD895" s="2972"/>
      <c r="AE895" s="2972"/>
      <c r="AF895" s="2972"/>
      <c r="AG895" s="2972"/>
      <c r="AH895" s="2971"/>
      <c r="AI895" s="2972"/>
      <c r="AJ895" s="2972"/>
      <c r="AK895" s="2972"/>
      <c r="AL895" s="2972"/>
      <c r="AM895" s="2971"/>
      <c r="AN895" s="2972"/>
      <c r="AO895" s="2972"/>
      <c r="AP895" s="2972"/>
      <c r="AQ895" s="2972"/>
      <c r="AR895" s="2971"/>
      <c r="AS895" s="2970"/>
      <c r="AT895" s="2972"/>
      <c r="AU895" s="2970"/>
      <c r="AV895" s="2973"/>
      <c r="AW895" s="2971"/>
      <c r="AX895" s="2970"/>
      <c r="AY895" s="2972"/>
      <c r="AZ895" s="2970"/>
      <c r="BA895" s="2973"/>
      <c r="BB895" s="2971"/>
      <c r="BC895" s="2971"/>
      <c r="BD895" s="2971"/>
      <c r="BE895" s="2971"/>
      <c r="BF895" s="2971"/>
      <c r="BG895" s="2971"/>
      <c r="BH895" s="2971"/>
      <c r="BI895" s="2971"/>
      <c r="BJ895" s="2971"/>
      <c r="BK895" s="2971"/>
      <c r="BL895" s="2971"/>
      <c r="BM895" s="2971"/>
      <c r="BN895" s="2971"/>
      <c r="BO895" s="2971"/>
      <c r="BP895" s="2971"/>
      <c r="BQ895" s="2971"/>
      <c r="BR895" s="2971"/>
      <c r="BS895" s="2971"/>
      <c r="BT895" s="2971"/>
      <c r="BU895" s="2971"/>
      <c r="BV895" s="2971"/>
      <c r="BW895" s="2971"/>
      <c r="BX895" s="2971"/>
      <c r="BY895" s="2971"/>
      <c r="BZ895" s="2971"/>
      <c r="CA895" s="2971"/>
      <c r="CB895" s="2971"/>
      <c r="CC895" s="2971"/>
      <c r="CD895" s="2971"/>
      <c r="CE895" s="2971"/>
      <c r="CF895" s="2971"/>
      <c r="CG895" s="2971"/>
      <c r="CH895" s="2971"/>
      <c r="CI895" s="2971"/>
      <c r="CJ895" s="2971"/>
      <c r="CK895" s="2971"/>
      <c r="CL895" s="2971"/>
      <c r="CM895" s="2971"/>
      <c r="CN895" s="2971"/>
      <c r="CO895" s="2971"/>
      <c r="CP895" s="2971"/>
      <c r="CQ895" s="2971"/>
      <c r="CR895" s="2971"/>
      <c r="CS895" s="2971"/>
      <c r="CT895" s="2971"/>
      <c r="CU895" s="2971"/>
      <c r="CV895" s="2971"/>
      <c r="CW895" s="2971"/>
      <c r="CX895" s="2971"/>
      <c r="CY895" s="2971"/>
      <c r="CZ895" s="2971"/>
      <c r="DA895" s="2971"/>
      <c r="DB895" s="3170"/>
      <c r="DC895" s="3170"/>
      <c r="DD895" s="2971"/>
      <c r="DE895" s="2974"/>
      <c r="DF895" s="2974"/>
      <c r="DG895" s="2974"/>
      <c r="DH895" s="2974"/>
      <c r="DI895" s="2974"/>
      <c r="DJ895" s="2974"/>
      <c r="DK895" s="2974"/>
      <c r="DL895" s="2974"/>
      <c r="DM895" s="2974"/>
      <c r="DN895" s="2974"/>
      <c r="DO895" s="2974"/>
      <c r="DP895" s="2974"/>
      <c r="DQ895" s="2974"/>
      <c r="DR895" s="2974"/>
      <c r="DS895" s="2974"/>
      <c r="DT895" s="2974"/>
      <c r="DU895" s="2974"/>
      <c r="DV895" s="2974"/>
      <c r="DW895" s="2974"/>
      <c r="DX895" s="2974"/>
      <c r="DY895" s="2974"/>
      <c r="DZ895" s="2974"/>
      <c r="EA895" s="2974"/>
      <c r="EB895" s="2974"/>
      <c r="EC895" s="2974"/>
      <c r="ED895" s="2974"/>
      <c r="EE895" s="2974"/>
      <c r="EF895" s="2974"/>
      <c r="EG895" s="2974"/>
      <c r="EH895" s="2974"/>
      <c r="EI895" s="2974"/>
      <c r="EJ895" s="2974"/>
      <c r="EK895" s="1906"/>
      <c r="EL895" s="1906"/>
      <c r="EM895" s="1907"/>
      <c r="EN895" s="1907"/>
      <c r="EO895" s="1907"/>
      <c r="EP895" s="1907"/>
      <c r="EQ895" s="1907"/>
      <c r="ER895" s="1907"/>
      <c r="ES895" s="1907"/>
      <c r="ET895" s="1907"/>
      <c r="EU895" s="1906"/>
      <c r="EV895" s="1907"/>
      <c r="EW895" s="1907"/>
      <c r="EX895" s="1907"/>
    </row>
    <row r="896" spans="1:154" ht="5.25" customHeight="1">
      <c r="B896" s="335"/>
      <c r="C896" s="1990"/>
      <c r="D896" s="3"/>
      <c r="E896" s="26"/>
      <c r="F896" s="26"/>
      <c r="G896" s="26"/>
      <c r="H896" s="26"/>
      <c r="I896" s="178"/>
      <c r="J896" s="3"/>
      <c r="K896" s="3"/>
      <c r="L896" s="26"/>
      <c r="M896" s="26"/>
      <c r="N896" s="178"/>
      <c r="O896" s="27"/>
      <c r="P896" s="27"/>
      <c r="Q896" s="27"/>
      <c r="R896" s="27"/>
      <c r="S896" s="179"/>
      <c r="T896" s="27"/>
      <c r="U896" s="27"/>
      <c r="V896" s="27"/>
      <c r="W896" s="27"/>
      <c r="X896" s="326"/>
      <c r="Y896" s="27"/>
      <c r="Z896" s="27"/>
      <c r="AA896" s="27"/>
      <c r="AB896" s="2232"/>
      <c r="AC896" s="326"/>
      <c r="AD896" s="2232"/>
      <c r="AE896" s="2232"/>
      <c r="AF896" s="2232"/>
      <c r="AG896" s="2232"/>
      <c r="AH896" s="326"/>
      <c r="AI896" s="2233"/>
      <c r="AJ896" s="2233"/>
      <c r="AK896" s="2233"/>
      <c r="AL896" s="2232"/>
      <c r="AM896" s="326"/>
      <c r="AN896" s="2233"/>
      <c r="AO896" s="2233"/>
      <c r="AP896" s="2233"/>
      <c r="AQ896" s="2232"/>
      <c r="AR896" s="326"/>
      <c r="AS896" s="26"/>
      <c r="AT896" s="2233"/>
      <c r="AU896" s="26"/>
      <c r="AV896" s="2234"/>
      <c r="AW896" s="326"/>
      <c r="AX896" s="26"/>
      <c r="AY896" s="2233"/>
      <c r="AZ896" s="26"/>
      <c r="BA896" s="2235"/>
      <c r="BB896" s="326"/>
      <c r="BC896" s="179"/>
      <c r="BD896" s="179"/>
      <c r="BE896" s="179"/>
      <c r="BF896" s="179"/>
      <c r="BG896" s="326"/>
      <c r="BH896" s="179"/>
      <c r="BI896" s="179"/>
      <c r="BJ896" s="179"/>
      <c r="BK896" s="179"/>
      <c r="BL896" s="326"/>
      <c r="BM896" s="179"/>
      <c r="BN896" s="179"/>
      <c r="BO896" s="179"/>
      <c r="BP896" s="179"/>
      <c r="BQ896" s="326"/>
      <c r="BR896" s="179"/>
      <c r="BS896" s="179"/>
      <c r="BT896" s="179"/>
      <c r="BU896" s="179"/>
      <c r="BV896" s="326"/>
      <c r="BW896" s="179"/>
      <c r="BX896" s="179"/>
      <c r="BY896" s="179"/>
      <c r="BZ896" s="179"/>
      <c r="CA896" s="326"/>
      <c r="CB896" s="179"/>
      <c r="CC896" s="179"/>
      <c r="CD896" s="179"/>
      <c r="CE896" s="179"/>
      <c r="CF896" s="326"/>
      <c r="CG896" s="179"/>
      <c r="CH896" s="179"/>
      <c r="CI896" s="179"/>
      <c r="CJ896" s="179"/>
      <c r="CK896" s="326"/>
      <c r="CL896" s="2236"/>
      <c r="CM896" s="179"/>
      <c r="CN896" s="179"/>
      <c r="CO896" s="179"/>
      <c r="CP896" s="326"/>
      <c r="CQ896" s="179"/>
      <c r="CR896" s="179"/>
      <c r="CS896" s="179"/>
      <c r="CT896" s="2237"/>
      <c r="CU896" s="2237"/>
      <c r="CV896" s="179"/>
      <c r="CW896" s="179"/>
      <c r="CX896" s="179"/>
      <c r="CY896" s="2237"/>
      <c r="CZ896" s="326"/>
      <c r="DA896" s="2236"/>
      <c r="DB896" s="179"/>
      <c r="DC896" s="179"/>
      <c r="DD896" s="2237"/>
      <c r="DE896" s="1187"/>
      <c r="DF896" s="2238"/>
      <c r="DG896" s="1353"/>
      <c r="DH896" s="1353"/>
      <c r="DI896" s="1343"/>
      <c r="DJ896" s="1187"/>
      <c r="DK896" s="2238"/>
      <c r="DL896" s="1353"/>
      <c r="DM896" s="1353"/>
      <c r="DN896" s="1343"/>
      <c r="DO896" s="1187"/>
      <c r="DP896" s="1353"/>
      <c r="DQ896" s="1353"/>
      <c r="DR896" s="1353"/>
      <c r="DS896" s="1343"/>
      <c r="DT896" s="1187"/>
      <c r="DU896" s="1353"/>
      <c r="DV896" s="1353"/>
      <c r="DW896" s="1353"/>
      <c r="DX896" s="1343"/>
      <c r="DY896" s="1187"/>
      <c r="DZ896" s="1353"/>
      <c r="EA896" s="1353"/>
      <c r="EB896" s="1353"/>
      <c r="EC896" s="1343"/>
      <c r="ED896" s="1187"/>
      <c r="EE896" s="1353"/>
      <c r="EF896" s="1353"/>
      <c r="EG896" s="1353"/>
      <c r="EH896" s="1343"/>
      <c r="EI896" s="2238"/>
      <c r="EJ896" s="2975"/>
      <c r="EK896" s="3173"/>
      <c r="EL896" s="3171"/>
      <c r="EM896" s="2975"/>
      <c r="EN896" s="2975"/>
      <c r="EO896" s="1353"/>
      <c r="EP896" s="1353"/>
      <c r="EQ896" s="1353"/>
      <c r="ER896" s="1353"/>
      <c r="ES896" s="1353"/>
      <c r="ET896" s="1353"/>
      <c r="EU896" s="1353"/>
      <c r="EV896" s="1353"/>
      <c r="EW896" s="1353"/>
      <c r="EX896" s="1353"/>
    </row>
    <row r="897" spans="1:154" hidden="1" outlineLevel="1">
      <c r="B897" s="2239" t="s">
        <v>456</v>
      </c>
      <c r="C897" s="2019"/>
      <c r="D897" s="2976"/>
      <c r="E897" s="2976"/>
      <c r="F897" s="2976"/>
      <c r="G897" s="2976"/>
      <c r="H897" s="2976"/>
      <c r="I897" s="2977"/>
      <c r="J897" s="2976"/>
      <c r="K897" s="2976"/>
      <c r="L897" s="2976"/>
      <c r="M897" s="2976"/>
      <c r="N897" s="2977"/>
      <c r="O897" s="2977"/>
      <c r="P897" s="2977"/>
      <c r="Q897" s="2977"/>
      <c r="R897" s="2977"/>
      <c r="S897" s="2978"/>
      <c r="T897" s="2977"/>
      <c r="U897" s="2977"/>
      <c r="V897" s="2977"/>
      <c r="W897" s="2977"/>
      <c r="X897" s="2240"/>
      <c r="Y897" s="2977"/>
      <c r="Z897" s="2977"/>
      <c r="AA897" s="2977"/>
      <c r="AB897" s="2977"/>
      <c r="AC897" s="2240"/>
      <c r="AD897" s="2977"/>
      <c r="AE897" s="2977"/>
      <c r="AF897" s="2977"/>
      <c r="AG897" s="2977"/>
      <c r="AH897" s="2240"/>
      <c r="AI897" s="2976"/>
      <c r="AJ897" s="2976"/>
      <c r="AK897" s="2976"/>
      <c r="AL897" s="2977"/>
      <c r="AM897" s="2240"/>
      <c r="AN897" s="2976"/>
      <c r="AO897" s="2976"/>
      <c r="AP897" s="2976"/>
      <c r="AQ897" s="2977"/>
      <c r="AR897" s="2240"/>
      <c r="AS897" s="2976"/>
      <c r="AT897" s="2976"/>
      <c r="AU897" s="2976"/>
      <c r="AV897" s="2977"/>
      <c r="AW897" s="2240"/>
      <c r="AX897" s="2976"/>
      <c r="AY897" s="2976"/>
      <c r="AZ897" s="2976"/>
      <c r="BA897" s="2976"/>
      <c r="BB897" s="2240"/>
      <c r="BC897" s="2976"/>
      <c r="BD897" s="2976"/>
      <c r="BE897" s="2976"/>
      <c r="BF897" s="2976"/>
      <c r="BG897" s="2240"/>
      <c r="BH897" s="2976"/>
      <c r="BI897" s="2976"/>
      <c r="BJ897" s="2976"/>
      <c r="BK897" s="2976"/>
      <c r="BL897" s="2240"/>
      <c r="BM897" s="2976"/>
      <c r="BN897" s="2976"/>
      <c r="BO897" s="2976"/>
      <c r="BP897" s="2976"/>
      <c r="BQ897" s="2240"/>
      <c r="BR897" s="2976"/>
      <c r="BS897" s="2976"/>
      <c r="BT897" s="2976"/>
      <c r="BU897" s="2976"/>
      <c r="BV897" s="2240"/>
      <c r="BW897" s="2976"/>
      <c r="BX897" s="2976"/>
      <c r="BY897" s="2976"/>
      <c r="BZ897" s="2976"/>
      <c r="CA897" s="2240"/>
      <c r="CB897" s="2976"/>
      <c r="CC897" s="2976"/>
      <c r="CD897" s="2976"/>
      <c r="CE897" s="2976"/>
      <c r="CF897" s="2241"/>
      <c r="CG897" s="2979"/>
      <c r="CH897" s="2979"/>
      <c r="CI897" s="2979"/>
      <c r="CJ897" s="2979"/>
      <c r="CK897" s="2241"/>
      <c r="CL897" s="2242"/>
      <c r="CM897" s="2976"/>
      <c r="CN897" s="2976"/>
      <c r="CO897" s="2979"/>
      <c r="CP897" s="2241"/>
      <c r="CQ897" s="2976"/>
      <c r="CR897" s="2976"/>
      <c r="CS897" s="2976"/>
      <c r="CT897" s="2243"/>
      <c r="CU897" s="2244"/>
      <c r="CV897" s="2976"/>
      <c r="CW897" s="2976"/>
      <c r="CX897" s="2976"/>
      <c r="CY897" s="2243"/>
      <c r="CZ897" s="2241"/>
      <c r="DA897" s="2245"/>
      <c r="DB897" s="2979"/>
      <c r="DC897" s="2979"/>
      <c r="DD897" s="2979"/>
      <c r="DE897" s="2246"/>
      <c r="DF897" s="2193"/>
      <c r="DG897" s="2980"/>
      <c r="DH897" s="2980"/>
      <c r="DI897" s="2980"/>
      <c r="DJ897" s="2246"/>
      <c r="DK897" s="2193"/>
      <c r="DL897" s="2980"/>
      <c r="DM897" s="2980"/>
      <c r="DN897" s="2980"/>
      <c r="DO897" s="2246"/>
      <c r="DP897" s="2980"/>
      <c r="DQ897" s="2980"/>
      <c r="DR897" s="2980"/>
      <c r="DS897" s="2980"/>
      <c r="DT897" s="2246"/>
      <c r="DU897" s="2980"/>
      <c r="DV897" s="2980"/>
      <c r="DW897" s="2980"/>
      <c r="DX897" s="2980"/>
      <c r="DY897" s="2246"/>
      <c r="DZ897" s="2980"/>
      <c r="EA897" s="2980"/>
      <c r="EB897" s="2980"/>
      <c r="EC897" s="2980"/>
      <c r="ED897" s="2246"/>
      <c r="EE897" s="2980"/>
      <c r="EF897" s="2980"/>
      <c r="EG897" s="2980"/>
      <c r="EH897" s="2980"/>
      <c r="EI897" s="2193"/>
      <c r="EJ897" s="2199"/>
      <c r="EK897" s="2199"/>
      <c r="EL897" s="3172"/>
      <c r="EM897" s="2199"/>
      <c r="EN897" s="2199"/>
      <c r="EO897" s="2247"/>
      <c r="EP897" s="2247"/>
      <c r="EQ897" s="2247"/>
      <c r="ER897" s="2247"/>
      <c r="ES897" s="2247"/>
      <c r="ET897" s="2247"/>
      <c r="EU897" s="2247"/>
      <c r="EV897" s="2247"/>
      <c r="EW897" s="2247"/>
      <c r="EX897" s="2247"/>
    </row>
    <row r="898" spans="1:154" hidden="1" outlineLevel="1">
      <c r="B898" s="334" t="s">
        <v>187</v>
      </c>
      <c r="C898" s="1577"/>
      <c r="D898" s="33">
        <v>706.51672433679346</v>
      </c>
      <c r="E898" s="33">
        <v>184</v>
      </c>
      <c r="F898" s="33">
        <v>167.64705882352942</v>
      </c>
      <c r="G898" s="33">
        <v>192</v>
      </c>
      <c r="H898" s="33">
        <v>177</v>
      </c>
      <c r="I898" s="31">
        <f>+SUM(E898:H898)</f>
      </c>
      <c r="J898" s="33">
        <v>155</v>
      </c>
      <c r="K898" s="33">
        <v>171</v>
      </c>
      <c r="L898" s="33">
        <v>172</v>
      </c>
      <c r="M898" s="33">
        <v>164</v>
      </c>
      <c r="N898" s="31">
        <f>+SUM(J898:M898)</f>
      </c>
      <c r="O898" s="33">
        <v>171</v>
      </c>
      <c r="P898" s="33">
        <v>180</v>
      </c>
      <c r="Q898" s="33">
        <v>199</v>
      </c>
      <c r="R898" s="33">
        <v>184</v>
      </c>
      <c r="S898" s="31">
        <f>SUM(O898:R898)</f>
      </c>
      <c r="T898" s="33">
        <v>215</v>
      </c>
      <c r="U898" s="33">
        <v>236</v>
      </c>
      <c r="V898" s="33">
        <v>213</v>
      </c>
      <c r="W898" s="33">
        <v>213</v>
      </c>
      <c r="X898" s="313">
        <f>SUM(T898:W898)</f>
      </c>
      <c r="Y898" s="33">
        <v>213</v>
      </c>
      <c r="Z898" s="33">
        <v>173</v>
      </c>
      <c r="AA898" s="33">
        <v>214</v>
      </c>
      <c r="AB898" s="33">
        <v>215</v>
      </c>
      <c r="AC898" s="313">
        <f>SUM(Y898:AB898)</f>
      </c>
      <c r="AD898" s="33">
        <v>219</v>
      </c>
      <c r="AE898" s="33">
        <v>236.2</v>
      </c>
      <c r="AF898" s="33">
        <v>225</v>
      </c>
      <c r="AG898" s="33">
        <v>240</v>
      </c>
      <c r="AH898" s="313">
        <f>SUM(AD898:AG898)</f>
      </c>
      <c r="AI898" s="33">
        <v>272</v>
      </c>
      <c r="AJ898" s="33">
        <v>255</v>
      </c>
      <c r="AK898" s="33">
        <v>255</v>
      </c>
      <c r="AL898" s="33">
        <v>258</v>
      </c>
      <c r="AM898" s="313">
        <f>+SUM(AI898:AL898)</f>
      </c>
      <c r="AN898" s="33">
        <v>288</v>
      </c>
      <c r="AO898" s="33">
        <v>290</v>
      </c>
      <c r="AP898" s="33">
        <v>278</v>
      </c>
      <c r="AQ898" s="33">
        <v>289</v>
      </c>
      <c r="AR898" s="313">
        <f>+SUM(AN898:AQ898)</f>
      </c>
      <c r="AS898" s="33">
        <v>292</v>
      </c>
      <c r="AT898" s="33">
        <v>310</v>
      </c>
      <c r="AU898" s="33">
        <v>321</v>
      </c>
      <c r="AV898" s="33">
        <v>337</v>
      </c>
      <c r="AW898" s="313">
        <f>+SUM(AS898:AV898)</f>
      </c>
      <c r="AX898" s="33">
        <v>303</v>
      </c>
      <c r="AY898" s="33">
        <v>338</v>
      </c>
      <c r="AZ898" s="33">
        <v>349</v>
      </c>
      <c r="BA898" s="33">
        <v>275</v>
      </c>
      <c r="BB898" s="313">
        <f>SUM(AX898:BA898)</f>
      </c>
      <c r="BC898" s="33">
        <v>270</v>
      </c>
      <c r="BD898" s="33">
        <v>306</v>
      </c>
      <c r="BE898" s="33">
        <v>332</v>
      </c>
      <c r="BF898" s="33">
        <v>313</v>
      </c>
      <c r="BG898" s="313">
        <f>SUM(BC898:BF898)</f>
      </c>
      <c r="BH898" s="33">
        <v>290</v>
      </c>
      <c r="BI898" s="33">
        <v>312.7</v>
      </c>
      <c r="BJ898" s="33">
        <v>338</v>
      </c>
      <c r="BK898" s="33">
        <v>318</v>
      </c>
      <c r="BL898" s="313">
        <f>SUM(BH898:BK898)</f>
      </c>
      <c r="BM898" s="33">
        <v>311</v>
      </c>
      <c r="BN898" s="352">
        <v>333</v>
      </c>
      <c r="BO898" s="352">
        <v>338</v>
      </c>
      <c r="BP898" s="33">
        <v>330</v>
      </c>
      <c r="BQ898" s="313">
        <f>SUM(BM898:BP898)</f>
      </c>
      <c r="BR898" s="33">
        <v>352</v>
      </c>
      <c r="BS898" s="352">
        <v>337</v>
      </c>
      <c r="BT898" s="352">
        <v>328</v>
      </c>
      <c r="BU898" s="352">
        <v>295</v>
      </c>
      <c r="BV898" s="313">
        <f>SUM(BR898:BU898)</f>
      </c>
      <c r="BW898" s="352">
        <v>283</v>
      </c>
      <c r="BX898" s="352">
        <v>259</v>
      </c>
      <c r="BY898" s="352">
        <v>237</v>
      </c>
      <c r="BZ898" s="352">
        <v>219</v>
      </c>
      <c r="CA898" s="313">
        <f>SUM(BW898:BZ898)</f>
      </c>
      <c r="CB898" s="352">
        <v>192</v>
      </c>
      <c r="CC898" s="352">
        <v>222</v>
      </c>
      <c r="CD898" s="352">
        <v>244</v>
      </c>
      <c r="CE898" s="352">
        <v>206</v>
      </c>
      <c r="CF898" s="313">
        <f>SUM(CB898:CE898)</f>
      </c>
      <c r="CG898" s="352">
        <v>212</v>
      </c>
      <c r="CH898" s="352">
        <v>214</v>
      </c>
      <c r="CI898" s="352">
        <v>205</v>
      </c>
      <c r="CJ898" s="352">
        <v>202</v>
      </c>
      <c r="CK898" s="313">
        <f>SUM(CG898:CJ898)</f>
      </c>
      <c r="CL898" s="352">
        <v>180</v>
      </c>
      <c r="CM898" s="352">
        <v>177</v>
      </c>
      <c r="CN898" s="352">
        <v>191</v>
      </c>
      <c r="CO898" s="352">
        <v>191</v>
      </c>
      <c r="CP898" s="313">
        <f>SUM(CL898:CO898)</f>
      </c>
      <c r="CQ898" s="352">
        <v>154</v>
      </c>
      <c r="CR898" s="352">
        <v>160</v>
      </c>
      <c r="CS898" s="352">
        <v>168</v>
      </c>
      <c r="CT898" s="352">
        <v>130</v>
      </c>
      <c r="CU898" s="313">
        <f>SUM(CQ898:CT898)</f>
      </c>
      <c r="CV898" s="352">
        <v>117</v>
      </c>
      <c r="CW898" s="352">
        <v>129</v>
      </c>
      <c r="CX898" s="352">
        <v>125</v>
      </c>
      <c r="CY898" s="352">
        <v>0</v>
      </c>
      <c r="CZ898" s="313">
        <f>SUM(CV898:CY898)</f>
      </c>
      <c r="DA898" s="2981"/>
      <c r="DB898" s="2981"/>
      <c r="DC898" s="2982"/>
      <c r="DD898" s="2983"/>
      <c r="DE898" s="2984"/>
      <c r="DF898" s="2985"/>
      <c r="DG898" s="2986"/>
      <c r="DH898" s="2986"/>
      <c r="DI898" s="2987"/>
      <c r="DJ898" s="2984"/>
      <c r="DK898" s="2985"/>
      <c r="DL898" s="2986"/>
      <c r="DM898" s="2986"/>
      <c r="DN898" s="2987"/>
      <c r="DO898" s="2984"/>
      <c r="DP898" s="2986"/>
      <c r="DQ898" s="2986"/>
      <c r="DR898" s="2986"/>
      <c r="DS898" s="2987"/>
      <c r="DT898" s="2984"/>
      <c r="DU898" s="2986"/>
      <c r="DV898" s="2986"/>
      <c r="DW898" s="2986"/>
      <c r="DX898" s="2987"/>
      <c r="DY898" s="2984"/>
      <c r="DZ898" s="2986"/>
      <c r="EA898" s="2986"/>
      <c r="EB898" s="2986"/>
      <c r="EC898" s="2987"/>
      <c r="ED898" s="2984"/>
      <c r="EE898" s="2986"/>
      <c r="EF898" s="2986"/>
      <c r="EG898" s="2986"/>
      <c r="EH898" s="2987"/>
      <c r="EI898" s="2988"/>
      <c r="EJ898" s="477"/>
      <c r="EK898" s="477"/>
      <c r="EL898" s="1798"/>
      <c r="EM898" s="477"/>
      <c r="EN898" s="477"/>
      <c r="EO898" s="603"/>
      <c r="EP898" s="603"/>
      <c r="EQ898" s="603"/>
      <c r="ER898" s="603"/>
      <c r="ES898" s="603"/>
      <c r="ET898" s="603"/>
      <c r="EU898" s="603"/>
      <c r="EV898" s="603"/>
      <c r="EW898" s="603"/>
      <c r="EX898" s="603"/>
    </row>
    <row r="899" spans="1:154" hidden="1" outlineLevel="1">
      <c r="B899" s="334" t="s">
        <v>412</v>
      </c>
      <c r="C899" s="1577"/>
      <c r="D899" s="33">
        <v>293.30979699911734</v>
      </c>
      <c r="E899" s="33">
        <v>76</v>
      </c>
      <c r="F899" s="33">
        <v>78.640776699029118</v>
      </c>
      <c r="G899" s="33">
        <v>71</v>
      </c>
      <c r="H899" s="33">
        <v>97</v>
      </c>
      <c r="I899" s="31">
        <f>+SUM(E899:H899)</f>
      </c>
      <c r="J899" s="33">
        <v>78</v>
      </c>
      <c r="K899" s="33">
        <v>81</v>
      </c>
      <c r="L899" s="33">
        <v>82</v>
      </c>
      <c r="M899" s="33">
        <v>84</v>
      </c>
      <c r="N899" s="31">
        <f>+SUM(J899:M899)</f>
      </c>
      <c r="O899" s="33">
        <v>87</v>
      </c>
      <c r="P899" s="33">
        <v>84</v>
      </c>
      <c r="Q899" s="33">
        <v>89</v>
      </c>
      <c r="R899" s="33">
        <v>101</v>
      </c>
      <c r="S899" s="31">
        <f>SUM(O899:R899)</f>
      </c>
      <c r="T899" s="33">
        <v>103</v>
      </c>
      <c r="U899" s="33">
        <v>117</v>
      </c>
      <c r="V899" s="33">
        <v>111</v>
      </c>
      <c r="W899" s="33">
        <v>134</v>
      </c>
      <c r="X899" s="313">
        <f>SUM(T899:W899)</f>
      </c>
      <c r="Y899" s="33">
        <v>134.80000000000001</v>
      </c>
      <c r="Z899" s="33">
        <v>157</v>
      </c>
      <c r="AA899" s="33">
        <v>148</v>
      </c>
      <c r="AB899" s="33">
        <v>172</v>
      </c>
      <c r="AC899" s="313">
        <f>SUM(Y899:AB899)</f>
      </c>
      <c r="AD899" s="33">
        <v>181.4</v>
      </c>
      <c r="AE899" s="33">
        <v>183</v>
      </c>
      <c r="AF899" s="33">
        <v>195</v>
      </c>
      <c r="AG899" s="33">
        <v>221</v>
      </c>
      <c r="AH899" s="313">
        <f>SUM(AD899:AG899)</f>
      </c>
      <c r="AI899" s="33">
        <v>229</v>
      </c>
      <c r="AJ899" s="33">
        <v>219</v>
      </c>
      <c r="AK899" s="33">
        <v>207</v>
      </c>
      <c r="AL899" s="33">
        <v>215</v>
      </c>
      <c r="AM899" s="313">
        <f>+SUM(AI899:AL899)</f>
      </c>
      <c r="AN899" s="33">
        <v>216</v>
      </c>
      <c r="AO899" s="33">
        <v>232</v>
      </c>
      <c r="AP899" s="33">
        <v>227</v>
      </c>
      <c r="AQ899" s="33">
        <v>253</v>
      </c>
      <c r="AR899" s="313">
        <f>+SUM(AN899:AQ899)</f>
      </c>
      <c r="AS899" s="33">
        <v>257</v>
      </c>
      <c r="AT899" s="33">
        <v>286</v>
      </c>
      <c r="AU899" s="33">
        <v>264</v>
      </c>
      <c r="AV899" s="33">
        <v>306</v>
      </c>
      <c r="AW899" s="313">
        <f>+SUM(AS899:AV899)</f>
      </c>
      <c r="AX899" s="33">
        <v>312</v>
      </c>
      <c r="AY899" s="33">
        <v>336</v>
      </c>
      <c r="AZ899" s="33">
        <v>318</v>
      </c>
      <c r="BA899" s="33">
        <v>304</v>
      </c>
      <c r="BB899" s="313">
        <f>SUM(AX899:BA899)</f>
      </c>
      <c r="BC899" s="33">
        <v>271</v>
      </c>
      <c r="BD899" s="33">
        <v>304</v>
      </c>
      <c r="BE899" s="33">
        <v>302</v>
      </c>
      <c r="BF899" s="33">
        <v>342</v>
      </c>
      <c r="BG899" s="313">
        <f>SUM(BC899:BF899)</f>
      </c>
      <c r="BH899" s="33">
        <v>307</v>
      </c>
      <c r="BI899" s="33">
        <v>303.3</v>
      </c>
      <c r="BJ899" s="33">
        <v>275</v>
      </c>
      <c r="BK899" s="33">
        <v>326</v>
      </c>
      <c r="BL899" s="313">
        <f>SUM(BH899:BK899)</f>
      </c>
      <c r="BM899" s="33">
        <v>326</v>
      </c>
      <c r="BN899" s="352">
        <v>348</v>
      </c>
      <c r="BO899" s="352">
        <v>326</v>
      </c>
      <c r="BP899" s="33">
        <v>340</v>
      </c>
      <c r="BQ899" s="313">
        <f>SUM(BM899:BP899)</f>
      </c>
      <c r="BR899" s="33">
        <v>318</v>
      </c>
      <c r="BS899" s="352">
        <v>336</v>
      </c>
      <c r="BT899" s="352">
        <v>301</v>
      </c>
      <c r="BU899" s="352">
        <v>349</v>
      </c>
      <c r="BV899" s="313">
        <f>SUM(BR899:BU899)</f>
      </c>
      <c r="BW899" s="352">
        <v>317</v>
      </c>
      <c r="BX899" s="352">
        <v>330</v>
      </c>
      <c r="BY899" s="352">
        <v>320</v>
      </c>
      <c r="BZ899" s="352">
        <v>344</v>
      </c>
      <c r="CA899" s="313">
        <f>SUM(BW899:BZ899)</f>
      </c>
      <c r="CB899" s="352">
        <v>320</v>
      </c>
      <c r="CC899" s="352">
        <v>336</v>
      </c>
      <c r="CD899" s="352">
        <v>314</v>
      </c>
      <c r="CE899" s="352">
        <v>308</v>
      </c>
      <c r="CF899" s="313">
        <f>SUM(CB899:CE899)</f>
      </c>
      <c r="CG899" s="352">
        <v>272</v>
      </c>
      <c r="CH899" s="352">
        <v>280</v>
      </c>
      <c r="CI899" s="352">
        <v>265</v>
      </c>
      <c r="CJ899" s="352">
        <v>278</v>
      </c>
      <c r="CK899" s="313">
        <f>SUM(CG899:CJ899)</f>
      </c>
      <c r="CL899" s="352">
        <v>249</v>
      </c>
      <c r="CM899" s="352">
        <v>294</v>
      </c>
      <c r="CN899" s="352">
        <v>236</v>
      </c>
      <c r="CO899" s="352">
        <v>271</v>
      </c>
      <c r="CP899" s="313">
        <f>SUM(CL899:CO899)</f>
      </c>
      <c r="CQ899" s="352">
        <v>245</v>
      </c>
      <c r="CR899" s="352">
        <v>261</v>
      </c>
      <c r="CS899" s="352">
        <v>237</v>
      </c>
      <c r="CT899" s="352">
        <v>260</v>
      </c>
      <c r="CU899" s="313">
        <f>SUM(CQ899:CT899)</f>
      </c>
      <c r="CV899" s="352">
        <v>222</v>
      </c>
      <c r="CW899" s="352">
        <v>226</v>
      </c>
      <c r="CX899" s="352">
        <v>190</v>
      </c>
      <c r="CY899" s="352">
        <v>0</v>
      </c>
      <c r="CZ899" s="313">
        <f>SUM(CV899:CY899)</f>
      </c>
      <c r="DA899" s="2981"/>
      <c r="DB899" s="2981"/>
      <c r="DC899" s="2982"/>
      <c r="DD899" s="2983"/>
      <c r="DE899" s="2984"/>
      <c r="DF899" s="2985"/>
      <c r="DG899" s="2986"/>
      <c r="DH899" s="2986"/>
      <c r="DI899" s="2987"/>
      <c r="DJ899" s="2984"/>
      <c r="DK899" s="2985"/>
      <c r="DL899" s="2986"/>
      <c r="DM899" s="2986"/>
      <c r="DN899" s="2987"/>
      <c r="DO899" s="2984"/>
      <c r="DP899" s="2986"/>
      <c r="DQ899" s="2986"/>
      <c r="DR899" s="2986"/>
      <c r="DS899" s="2987"/>
      <c r="DT899" s="2984"/>
      <c r="DU899" s="2986"/>
      <c r="DV899" s="2986"/>
      <c r="DW899" s="2986"/>
      <c r="DX899" s="2987"/>
      <c r="DY899" s="2984"/>
      <c r="DZ899" s="2986"/>
      <c r="EA899" s="2986"/>
      <c r="EB899" s="2986"/>
      <c r="EC899" s="2987"/>
      <c r="ED899" s="2984"/>
      <c r="EE899" s="2986"/>
      <c r="EF899" s="2986"/>
      <c r="EG899" s="2986"/>
      <c r="EH899" s="2987"/>
      <c r="EI899" s="2988"/>
      <c r="EJ899" s="477"/>
      <c r="EK899" s="477"/>
      <c r="EL899" s="1798"/>
      <c r="EM899" s="477"/>
      <c r="EN899" s="477"/>
      <c r="EO899" s="603"/>
      <c r="EP899" s="603"/>
      <c r="EQ899" s="603"/>
      <c r="ER899" s="603"/>
      <c r="ES899" s="603"/>
      <c r="ET899" s="603"/>
      <c r="EU899" s="603"/>
      <c r="EV899" s="603"/>
      <c r="EW899" s="603"/>
      <c r="EX899" s="603"/>
    </row>
    <row r="900" spans="1:154" hidden="1" outlineLevel="1">
      <c r="B900" s="334" t="s">
        <v>413</v>
      </c>
      <c r="C900" s="1577"/>
      <c r="D900" s="933">
        <f t="shared" ref="D900:AV900" si="1995">+D898+D899</f>
      </c>
      <c r="E900" s="933">
        <f t="shared" si="1995"/>
      </c>
      <c r="F900" s="933">
        <f t="shared" si="1995"/>
      </c>
      <c r="G900" s="933">
        <f t="shared" si="1995"/>
      </c>
      <c r="H900" s="933">
        <f t="shared" si="1995"/>
      </c>
      <c r="I900" s="31">
        <f t="shared" si="1995"/>
      </c>
      <c r="J900" s="933">
        <f t="shared" si="1995"/>
      </c>
      <c r="K900" s="933">
        <f t="shared" si="1995"/>
      </c>
      <c r="L900" s="933">
        <f t="shared" si="1995"/>
      </c>
      <c r="M900" s="933">
        <f t="shared" si="1995"/>
      </c>
      <c r="N900" s="31">
        <f t="shared" si="1995"/>
      </c>
      <c r="O900" s="31">
        <f t="shared" si="1995"/>
      </c>
      <c r="P900" s="31">
        <f t="shared" si="1995"/>
      </c>
      <c r="Q900" s="31">
        <f t="shared" si="1995"/>
      </c>
      <c r="R900" s="31">
        <f t="shared" si="1995"/>
      </c>
      <c r="S900" s="31">
        <f t="shared" si="1995"/>
      </c>
      <c r="T900" s="31">
        <f t="shared" si="1995"/>
      </c>
      <c r="U900" s="31">
        <f t="shared" si="1995"/>
      </c>
      <c r="V900" s="31">
        <f t="shared" si="1995"/>
      </c>
      <c r="W900" s="31">
        <f t="shared" si="1995"/>
      </c>
      <c r="X900" s="313">
        <f t="shared" si="1995"/>
      </c>
      <c r="Y900" s="31">
        <f t="shared" si="1995"/>
      </c>
      <c r="Z900" s="31">
        <f t="shared" si="1995"/>
      </c>
      <c r="AA900" s="31">
        <f t="shared" si="1995"/>
      </c>
      <c r="AB900" s="31">
        <f t="shared" si="1995"/>
      </c>
      <c r="AC900" s="313">
        <f t="shared" si="1995"/>
      </c>
      <c r="AD900" s="31">
        <f t="shared" si="1995"/>
      </c>
      <c r="AE900" s="31">
        <f t="shared" si="1995"/>
      </c>
      <c r="AF900" s="31">
        <f t="shared" si="1995"/>
      </c>
      <c r="AG900" s="31">
        <f t="shared" si="1995"/>
      </c>
      <c r="AH900" s="313">
        <f t="shared" si="1995"/>
      </c>
      <c r="AI900" s="933">
        <f t="shared" si="1995"/>
      </c>
      <c r="AJ900" s="933">
        <f t="shared" si="1995"/>
      </c>
      <c r="AK900" s="933">
        <f t="shared" si="1995"/>
      </c>
      <c r="AL900" s="31">
        <f t="shared" si="1995"/>
      </c>
      <c r="AM900" s="313">
        <f t="shared" si="1995"/>
      </c>
      <c r="AN900" s="933">
        <f t="shared" si="1995"/>
      </c>
      <c r="AO900" s="933">
        <f t="shared" si="1995"/>
      </c>
      <c r="AP900" s="933">
        <f t="shared" si="1995"/>
      </c>
      <c r="AQ900" s="933">
        <f t="shared" si="1995"/>
      </c>
      <c r="AR900" s="313">
        <f t="shared" si="1995"/>
      </c>
      <c r="AS900" s="933">
        <f t="shared" si="1995"/>
      </c>
      <c r="AT900" s="933">
        <f t="shared" si="1995"/>
      </c>
      <c r="AU900" s="933">
        <f t="shared" si="1995"/>
      </c>
      <c r="AV900" s="933">
        <f t="shared" si="1995"/>
      </c>
      <c r="AW900" s="313">
        <f>+AW898+AW899</f>
      </c>
      <c r="AX900" s="933">
        <f t="shared" ref="AX900:BT900" si="1996">+AX898+AX899</f>
      </c>
      <c r="AY900" s="933">
        <f t="shared" si="1996"/>
      </c>
      <c r="AZ900" s="933">
        <f t="shared" si="1996"/>
      </c>
      <c r="BA900" s="933">
        <f t="shared" si="1996"/>
      </c>
      <c r="BB900" s="313">
        <f t="shared" si="1996"/>
      </c>
      <c r="BC900" s="933">
        <f t="shared" si="1996"/>
      </c>
      <c r="BD900" s="933">
        <f t="shared" si="1996"/>
      </c>
      <c r="BE900" s="933">
        <f t="shared" si="1996"/>
      </c>
      <c r="BF900" s="933">
        <f t="shared" si="1996"/>
      </c>
      <c r="BG900" s="313">
        <f t="shared" si="1996"/>
      </c>
      <c r="BH900" s="933">
        <f t="shared" si="1996"/>
      </c>
      <c r="BI900" s="933">
        <f t="shared" si="1996"/>
      </c>
      <c r="BJ900" s="933">
        <f t="shared" si="1996"/>
      </c>
      <c r="BK900" s="933">
        <f t="shared" si="1996"/>
      </c>
      <c r="BL900" s="313">
        <f>SUM(BH900:BK900)</f>
      </c>
      <c r="BM900" s="933">
        <f>+BM898+BM899</f>
      </c>
      <c r="BN900" s="933">
        <f>+BN898+BN899</f>
      </c>
      <c r="BO900" s="933">
        <f>+BO898+BO899</f>
      </c>
      <c r="BP900" s="933">
        <f>+BP898+BP899</f>
      </c>
      <c r="BQ900" s="313">
        <f>SUM(BM900:BP900)</f>
      </c>
      <c r="BR900" s="933">
        <f t="shared" si="1996"/>
      </c>
      <c r="BS900" s="933">
        <f t="shared" si="1996"/>
      </c>
      <c r="BT900" s="933">
        <f t="shared" si="1996"/>
      </c>
      <c r="BU900" s="933">
        <f>+BU898+BU899</f>
      </c>
      <c r="BV900" s="313">
        <f>SUM(BR900:BU900)</f>
      </c>
      <c r="BW900" s="933">
        <f>+BW898+BW899</f>
      </c>
      <c r="BX900" s="933">
        <f>+BX898+BX899</f>
      </c>
      <c r="BY900" s="933">
        <f>+BY898+BY899</f>
      </c>
      <c r="BZ900" s="933">
        <f>+BZ898+BZ899</f>
      </c>
      <c r="CA900" s="313">
        <f>SUM(BW900:BZ900)</f>
      </c>
      <c r="CB900" s="933">
        <f>+CB898+CB899</f>
      </c>
      <c r="CC900" s="933">
        <f>+CC898+CC899</f>
      </c>
      <c r="CD900" s="933">
        <f>+CD898+CD899</f>
      </c>
      <c r="CE900" s="933">
        <f>+CE898+CE899</f>
      </c>
      <c r="CF900" s="313">
        <f>SUM(CB900:CE900)</f>
      </c>
      <c r="CG900" s="933">
        <f>+CG898+CG899</f>
      </c>
      <c r="CH900" s="933">
        <f>+CH898+CH899</f>
      </c>
      <c r="CI900" s="933">
        <f>+CI898+CI899</f>
      </c>
      <c r="CJ900" s="933">
        <f>+CJ898+CJ899</f>
      </c>
      <c r="CK900" s="313">
        <f>SUM(CG900:CJ900)</f>
      </c>
      <c r="CL900" s="933">
        <f>+CL898+CL899</f>
      </c>
      <c r="CM900" s="933">
        <f>+CM898+CM899</f>
      </c>
      <c r="CN900" s="933">
        <f>+CN898+CN899</f>
      </c>
      <c r="CO900" s="933">
        <f>+CO898+CO899</f>
      </c>
      <c r="CP900" s="313">
        <f>SUM(CL900:CO900)</f>
      </c>
      <c r="CQ900" s="933">
        <f>+CQ898+CQ899</f>
      </c>
      <c r="CR900" s="933">
        <f>+CR898+CR899</f>
      </c>
      <c r="CS900" s="933">
        <f>+CS898+CS899</f>
      </c>
      <c r="CT900" s="933">
        <f>+CT898+CT899</f>
      </c>
      <c r="CU900" s="313">
        <f>SUM(CQ900:CT900)</f>
      </c>
      <c r="CV900" s="933">
        <f>+CV898+CV899</f>
      </c>
      <c r="CW900" s="933">
        <f>+CW898+CW899</f>
      </c>
      <c r="CX900" s="933">
        <f>+CX898+CX899</f>
      </c>
      <c r="CY900" s="933">
        <f>+CY898+CY899</f>
      </c>
      <c r="CZ900" s="313">
        <f>SUM(CV900:CY900)</f>
      </c>
      <c r="DA900" s="2989"/>
      <c r="DB900" s="2989"/>
      <c r="DC900" s="2982"/>
      <c r="DD900" s="2983"/>
      <c r="DE900" s="2984"/>
      <c r="DF900" s="2990"/>
      <c r="DG900" s="2986"/>
      <c r="DH900" s="2986"/>
      <c r="DI900" s="2987"/>
      <c r="DJ900" s="2984"/>
      <c r="DK900" s="2990"/>
      <c r="DL900" s="2986"/>
      <c r="DM900" s="2986"/>
      <c r="DN900" s="2987"/>
      <c r="DO900" s="2984"/>
      <c r="DP900" s="2986"/>
      <c r="DQ900" s="2986"/>
      <c r="DR900" s="2986"/>
      <c r="DS900" s="2987"/>
      <c r="DT900" s="2984"/>
      <c r="DU900" s="2986"/>
      <c r="DV900" s="2986"/>
      <c r="DW900" s="2986"/>
      <c r="DX900" s="2987"/>
      <c r="DY900" s="2984"/>
      <c r="DZ900" s="2986"/>
      <c r="EA900" s="2986"/>
      <c r="EB900" s="2986"/>
      <c r="EC900" s="2987"/>
      <c r="ED900" s="2984"/>
      <c r="EE900" s="2986"/>
      <c r="EF900" s="2986"/>
      <c r="EG900" s="2986"/>
      <c r="EH900" s="2987"/>
      <c r="EI900" s="2988"/>
      <c r="EJ900" s="477"/>
      <c r="EK900" s="477"/>
      <c r="EL900" s="1798"/>
      <c r="EM900" s="477"/>
      <c r="EN900" s="477"/>
      <c r="EO900" s="603"/>
      <c r="EP900" s="603"/>
      <c r="EQ900" s="603"/>
      <c r="ER900" s="603"/>
      <c r="ES900" s="603"/>
      <c r="ET900" s="603"/>
      <c r="EU900" s="603"/>
      <c r="EV900" s="603"/>
      <c r="EW900" s="603"/>
      <c r="EX900" s="603"/>
    </row>
    <row r="901" spans="1:154" hidden="1" outlineLevel="1">
      <c r="B901" s="334"/>
      <c r="C901" s="1577"/>
      <c r="D901" s="933"/>
      <c r="E901" s="933"/>
      <c r="F901" s="933"/>
      <c r="G901" s="933"/>
      <c r="H901" s="933"/>
      <c r="I901" s="31"/>
      <c r="J901" s="933"/>
      <c r="K901" s="933"/>
      <c r="L901" s="933"/>
      <c r="M901" s="933"/>
      <c r="N901" s="31"/>
      <c r="O901" s="31"/>
      <c r="P901" s="31"/>
      <c r="Q901" s="31"/>
      <c r="R901" s="31"/>
      <c r="S901" s="31"/>
      <c r="T901" s="31"/>
      <c r="U901" s="31"/>
      <c r="V901" s="31"/>
      <c r="W901" s="31"/>
      <c r="X901" s="313"/>
      <c r="Y901" s="31"/>
      <c r="Z901" s="31"/>
      <c r="AA901" s="31"/>
      <c r="AB901" s="31"/>
      <c r="AC901" s="313"/>
      <c r="AD901" s="31"/>
      <c r="AE901" s="31"/>
      <c r="AF901" s="31"/>
      <c r="AG901" s="31"/>
      <c r="AH901" s="313"/>
      <c r="AI901" s="933"/>
      <c r="AJ901" s="933"/>
      <c r="AK901" s="933"/>
      <c r="AL901" s="31"/>
      <c r="AM901" s="313"/>
      <c r="AN901" s="933"/>
      <c r="AO901" s="933"/>
      <c r="AP901" s="933"/>
      <c r="AQ901" s="933"/>
      <c r="AR901" s="313"/>
      <c r="AS901" s="933"/>
      <c r="AT901" s="933"/>
      <c r="AU901" s="933"/>
      <c r="AV901" s="933"/>
      <c r="AW901" s="313"/>
      <c r="AX901" s="933"/>
      <c r="AY901" s="933"/>
      <c r="AZ901" s="933"/>
      <c r="BA901" s="933"/>
      <c r="BB901" s="313"/>
      <c r="BC901" s="933"/>
      <c r="BD901" s="933"/>
      <c r="BE901" s="933"/>
      <c r="BF901" s="933"/>
      <c r="BG901" s="313"/>
      <c r="BH901" s="933"/>
      <c r="BI901" s="933"/>
      <c r="BJ901" s="933"/>
      <c r="BK901" s="933"/>
      <c r="BL901" s="313"/>
      <c r="BM901" s="933"/>
      <c r="BN901" s="933"/>
      <c r="BO901" s="933"/>
      <c r="BP901" s="933"/>
      <c r="BQ901" s="313"/>
      <c r="BR901" s="933"/>
      <c r="BS901" s="933"/>
      <c r="BT901" s="933"/>
      <c r="BU901" s="933"/>
      <c r="BV901" s="313"/>
      <c r="BW901" s="933"/>
      <c r="BX901" s="933"/>
      <c r="BY901" s="933"/>
      <c r="BZ901" s="933"/>
      <c r="CA901" s="313"/>
      <c r="CB901" s="933"/>
      <c r="CC901" s="933"/>
      <c r="CD901" s="933"/>
      <c r="CE901" s="933"/>
      <c r="CF901" s="313"/>
      <c r="CG901" s="933"/>
      <c r="CH901" s="933"/>
      <c r="CI901" s="933"/>
      <c r="CJ901" s="933"/>
      <c r="CK901" s="313"/>
      <c r="CL901" s="933"/>
      <c r="CM901" s="933"/>
      <c r="CN901" s="933"/>
      <c r="CO901" s="933"/>
      <c r="CP901" s="313"/>
      <c r="CQ901" s="933"/>
      <c r="CR901" s="933"/>
      <c r="CS901" s="933"/>
      <c r="CT901" s="933"/>
      <c r="CU901" s="313"/>
      <c r="CV901" s="933"/>
      <c r="CW901" s="933"/>
      <c r="CX901" s="933"/>
      <c r="CY901" s="933"/>
      <c r="CZ901" s="313"/>
      <c r="DA901" s="2991"/>
      <c r="DB901" s="2982"/>
      <c r="DC901" s="2982"/>
      <c r="DD901" s="2983"/>
      <c r="DE901" s="2984"/>
      <c r="DF901" s="2988"/>
      <c r="DG901" s="2986"/>
      <c r="DH901" s="2986"/>
      <c r="DI901" s="2987"/>
      <c r="DJ901" s="2984"/>
      <c r="DK901" s="2988"/>
      <c r="DL901" s="2986"/>
      <c r="DM901" s="2986"/>
      <c r="DN901" s="2987"/>
      <c r="DO901" s="2984"/>
      <c r="DP901" s="2986"/>
      <c r="DQ901" s="2986"/>
      <c r="DR901" s="2986"/>
      <c r="DS901" s="2987"/>
      <c r="DT901" s="2984"/>
      <c r="DU901" s="2986"/>
      <c r="DV901" s="2986"/>
      <c r="DW901" s="2986"/>
      <c r="DX901" s="2987"/>
      <c r="DY901" s="2984"/>
      <c r="DZ901" s="2986"/>
      <c r="EA901" s="2986"/>
      <c r="EB901" s="2986"/>
      <c r="EC901" s="2987"/>
      <c r="ED901" s="2984"/>
      <c r="EE901" s="2986"/>
      <c r="EF901" s="2986"/>
      <c r="EG901" s="2986"/>
      <c r="EH901" s="2987"/>
      <c r="EI901" s="2988"/>
      <c r="EJ901" s="477"/>
      <c r="EK901" s="477"/>
      <c r="EL901" s="1798"/>
      <c r="EM901" s="477"/>
      <c r="EN901" s="477"/>
      <c r="EO901" s="603"/>
      <c r="EP901" s="603"/>
      <c r="EQ901" s="603"/>
      <c r="ER901" s="603"/>
      <c r="ES901" s="603"/>
      <c r="ET901" s="603"/>
      <c r="EU901" s="603"/>
      <c r="EV901" s="603"/>
      <c r="EW901" s="603"/>
      <c r="EX901" s="603"/>
    </row>
    <row r="902" spans="1:154" hidden="1" outlineLevel="1">
      <c r="B902" s="453" t="s">
        <v>131</v>
      </c>
      <c r="C902" s="1577"/>
      <c r="D902" s="933"/>
      <c r="E902" s="933"/>
      <c r="F902" s="933"/>
      <c r="G902" s="933"/>
      <c r="H902" s="933"/>
      <c r="I902" s="31"/>
      <c r="J902" s="933"/>
      <c r="K902" s="933"/>
      <c r="L902" s="933"/>
      <c r="M902" s="933"/>
      <c r="N902" s="31"/>
      <c r="O902" s="31"/>
      <c r="P902" s="31"/>
      <c r="Q902" s="31"/>
      <c r="R902" s="31"/>
      <c r="S902" s="31"/>
      <c r="T902" s="31"/>
      <c r="U902" s="31"/>
      <c r="V902" s="31"/>
      <c r="W902" s="31"/>
      <c r="X902" s="313"/>
      <c r="Y902" s="31"/>
      <c r="Z902" s="31"/>
      <c r="AA902" s="31"/>
      <c r="AB902" s="31"/>
      <c r="AC902" s="313"/>
      <c r="AD902" s="31"/>
      <c r="AE902" s="31"/>
      <c r="AF902" s="31"/>
      <c r="AG902" s="31"/>
      <c r="AH902" s="313"/>
      <c r="AI902" s="933"/>
      <c r="AJ902" s="933"/>
      <c r="AK902" s="933"/>
      <c r="AL902" s="31"/>
      <c r="AM902" s="313"/>
      <c r="AN902" s="933"/>
      <c r="AO902" s="933"/>
      <c r="AP902" s="933"/>
      <c r="AQ902" s="933"/>
      <c r="AR902" s="313"/>
      <c r="AS902" s="933"/>
      <c r="AT902" s="933"/>
      <c r="AU902" s="933"/>
      <c r="AV902" s="933"/>
      <c r="AW902" s="313"/>
      <c r="AX902" s="933"/>
      <c r="AY902" s="933"/>
      <c r="AZ902" s="933"/>
      <c r="BA902" s="933"/>
      <c r="BB902" s="313"/>
      <c r="BC902" s="933"/>
      <c r="BD902" s="933"/>
      <c r="BE902" s="933"/>
      <c r="BF902" s="933"/>
      <c r="BG902" s="313"/>
      <c r="BH902" s="933"/>
      <c r="BI902" s="933"/>
      <c r="BJ902" s="933"/>
      <c r="BK902" s="933"/>
      <c r="BL902" s="313"/>
      <c r="BM902" s="933"/>
      <c r="BN902" s="933"/>
      <c r="BO902" s="933"/>
      <c r="BP902" s="933"/>
      <c r="BQ902" s="313"/>
      <c r="BR902" s="933"/>
      <c r="BS902" s="933"/>
      <c r="BT902" s="933"/>
      <c r="BU902" s="933"/>
      <c r="BV902" s="313"/>
      <c r="BW902" s="933"/>
      <c r="BX902" s="933"/>
      <c r="BY902" s="933"/>
      <c r="BZ902" s="933"/>
      <c r="CA902" s="313"/>
      <c r="CB902" s="933"/>
      <c r="CC902" s="933"/>
      <c r="CD902" s="933"/>
      <c r="CE902" s="933"/>
      <c r="CF902" s="313"/>
      <c r="CG902" s="933"/>
      <c r="CH902" s="933"/>
      <c r="CI902" s="933"/>
      <c r="CJ902" s="933"/>
      <c r="CK902" s="313"/>
      <c r="CL902" s="933"/>
      <c r="CM902" s="933"/>
      <c r="CN902" s="933"/>
      <c r="CO902" s="933"/>
      <c r="CP902" s="313"/>
      <c r="CQ902" s="933"/>
      <c r="CR902" s="933"/>
      <c r="CS902" s="933"/>
      <c r="CT902" s="933"/>
      <c r="CU902" s="313"/>
      <c r="CV902" s="933"/>
      <c r="CW902" s="933"/>
      <c r="CX902" s="933"/>
      <c r="CY902" s="933"/>
      <c r="CZ902" s="313"/>
      <c r="DA902" s="2991"/>
      <c r="DB902" s="2982"/>
      <c r="DC902" s="2982"/>
      <c r="DD902" s="2983"/>
      <c r="DE902" s="2984"/>
      <c r="DF902" s="2988"/>
      <c r="DG902" s="2986"/>
      <c r="DH902" s="2986"/>
      <c r="DI902" s="2987"/>
      <c r="DJ902" s="2984"/>
      <c r="DK902" s="2988"/>
      <c r="DL902" s="2986"/>
      <c r="DM902" s="2986"/>
      <c r="DN902" s="2987"/>
      <c r="DO902" s="2984"/>
      <c r="DP902" s="2986"/>
      <c r="DQ902" s="2986"/>
      <c r="DR902" s="2986"/>
      <c r="DS902" s="2987"/>
      <c r="DT902" s="2984"/>
      <c r="DU902" s="2986"/>
      <c r="DV902" s="2986"/>
      <c r="DW902" s="2986"/>
      <c r="DX902" s="2987"/>
      <c r="DY902" s="2984"/>
      <c r="DZ902" s="2986"/>
      <c r="EA902" s="2986"/>
      <c r="EB902" s="2986"/>
      <c r="EC902" s="2987"/>
      <c r="ED902" s="2984"/>
      <c r="EE902" s="2986"/>
      <c r="EF902" s="2986"/>
      <c r="EG902" s="2986"/>
      <c r="EH902" s="2987"/>
      <c r="EI902" s="2988"/>
      <c r="EJ902" s="477"/>
      <c r="EK902" s="477"/>
      <c r="EL902" s="1798"/>
      <c r="EM902" s="477"/>
      <c r="EN902" s="477"/>
      <c r="EO902" s="603"/>
      <c r="EP902" s="603"/>
      <c r="EQ902" s="603"/>
      <c r="ER902" s="603"/>
      <c r="ES902" s="603"/>
      <c r="ET902" s="603"/>
      <c r="EU902" s="603"/>
      <c r="EV902" s="603"/>
      <c r="EW902" s="603"/>
      <c r="EX902" s="603"/>
    </row>
    <row r="903" spans="1:154" hidden="1" outlineLevel="1">
      <c r="B903" s="454" t="s">
        <v>187</v>
      </c>
      <c r="C903" s="1577"/>
      <c r="D903" s="933"/>
      <c r="E903" s="933"/>
      <c r="F903" s="933"/>
      <c r="G903" s="933"/>
      <c r="H903" s="933"/>
      <c r="I903" s="926">
        <f t="shared" ref="I903:BT904" si="1997">IF(D898="NM","NM",IF(I898="NM","NM",IF(D898&lt;=0,"NM",IF(I898=0,"NM",IF(ABS(I898/D898-1)&gt;2.5,"NM",IF((ABS(I898-D898)=ABS(ABS(I898)-ABS(D898))),(I898/D898-1),"NM"))))))</f>
      </c>
      <c r="J903" s="926">
        <f t="shared" si="1997"/>
      </c>
      <c r="K903" s="926">
        <f t="shared" si="1997"/>
      </c>
      <c r="L903" s="926">
        <f t="shared" si="1997"/>
      </c>
      <c r="M903" s="926">
        <f t="shared" si="1997"/>
      </c>
      <c r="N903" s="926">
        <f t="shared" si="1997"/>
      </c>
      <c r="O903" s="926">
        <f t="shared" si="1997"/>
      </c>
      <c r="P903" s="926">
        <f t="shared" si="1997"/>
      </c>
      <c r="Q903" s="926">
        <f t="shared" si="1997"/>
      </c>
      <c r="R903" s="926">
        <f t="shared" si="1997"/>
      </c>
      <c r="S903" s="926">
        <f t="shared" si="1997"/>
      </c>
      <c r="T903" s="926">
        <f t="shared" si="1997"/>
      </c>
      <c r="U903" s="926">
        <f t="shared" si="1997"/>
      </c>
      <c r="V903" s="926">
        <f t="shared" si="1997"/>
      </c>
      <c r="W903" s="926">
        <f t="shared" si="1997"/>
      </c>
      <c r="X903" s="1060">
        <f t="shared" si="1997"/>
      </c>
      <c r="Y903" s="926">
        <f t="shared" si="1997"/>
      </c>
      <c r="Z903" s="926">
        <f t="shared" si="1997"/>
      </c>
      <c r="AA903" s="926">
        <f t="shared" si="1997"/>
      </c>
      <c r="AB903" s="926">
        <f t="shared" si="1997"/>
      </c>
      <c r="AC903" s="1060">
        <f t="shared" si="1997"/>
      </c>
      <c r="AD903" s="926">
        <f t="shared" si="1997"/>
      </c>
      <c r="AE903" s="926">
        <f t="shared" si="1997"/>
      </c>
      <c r="AF903" s="926">
        <f t="shared" si="1997"/>
      </c>
      <c r="AG903" s="926">
        <f t="shared" si="1997"/>
      </c>
      <c r="AH903" s="1060">
        <f t="shared" si="1997"/>
      </c>
      <c r="AI903" s="926">
        <f t="shared" si="1997"/>
      </c>
      <c r="AJ903" s="926">
        <f t="shared" si="1997"/>
      </c>
      <c r="AK903" s="926">
        <f t="shared" si="1997"/>
      </c>
      <c r="AL903" s="926">
        <f t="shared" si="1997"/>
      </c>
      <c r="AM903" s="1060">
        <f t="shared" si="1997"/>
      </c>
      <c r="AN903" s="926">
        <f t="shared" si="1997"/>
      </c>
      <c r="AO903" s="926">
        <f t="shared" si="1997"/>
      </c>
      <c r="AP903" s="926">
        <f t="shared" si="1997"/>
      </c>
      <c r="AQ903" s="926">
        <f t="shared" si="1997"/>
      </c>
      <c r="AR903" s="1060">
        <f t="shared" si="1997"/>
      </c>
      <c r="AS903" s="926">
        <f t="shared" si="1997"/>
      </c>
      <c r="AT903" s="926">
        <f t="shared" si="1997"/>
      </c>
      <c r="AU903" s="926">
        <f t="shared" si="1997"/>
      </c>
      <c r="AV903" s="926">
        <f t="shared" si="1997"/>
      </c>
      <c r="AW903" s="1060">
        <f t="shared" si="1997"/>
      </c>
      <c r="AX903" s="926">
        <f t="shared" si="1997"/>
      </c>
      <c r="AY903" s="926">
        <f t="shared" si="1997"/>
      </c>
      <c r="AZ903" s="926">
        <f t="shared" si="1997"/>
      </c>
      <c r="BA903" s="926">
        <f t="shared" si="1997"/>
      </c>
      <c r="BB903" s="1060">
        <f t="shared" si="1997"/>
      </c>
      <c r="BC903" s="926">
        <f t="shared" si="1997"/>
      </c>
      <c r="BD903" s="926">
        <f t="shared" si="1997"/>
      </c>
      <c r="BE903" s="926">
        <f t="shared" si="1997"/>
      </c>
      <c r="BF903" s="926">
        <f t="shared" si="1997"/>
      </c>
      <c r="BG903" s="1060">
        <f>IF(BB898="NM","NM",IF(BG898="NM","NM",IF(BB898&lt;=0,"NM",IF(BG898=0,"NM",IF(ABS(BG898/BB898-1)&gt;2.5,"NM",IF((ABS(BG898-BB898)=ABS(ABS(BG898)-ABS(BB898))),(BG898/BB898-1),"NM"))))))</f>
      </c>
      <c r="BH903" s="926">
        <f t="shared" si="1997"/>
      </c>
      <c r="BI903" s="926">
        <f t="shared" si="1997"/>
      </c>
      <c r="BJ903" s="926">
        <f t="shared" si="1997"/>
      </c>
      <c r="BK903" s="926">
        <f t="shared" si="1997"/>
      </c>
      <c r="BL903" s="1060">
        <f>IF(BG898="NM","NM",IF(BL898="NM","NM",IF(BG898&lt;=0,"NM",IF(BL898=0,"NM",IF(ABS(BL898/BG898-1)&gt;2.5,"NM",IF((ABS(BL898-BG898)=ABS(ABS(BL898)-ABS(BG898))),(BL898/BG898-1),"NM"))))))</f>
      </c>
      <c r="BM903" s="926">
        <f t="shared" si="1997"/>
      </c>
      <c r="BN903" s="926">
        <f t="shared" si="1997"/>
      </c>
      <c r="BO903" s="926">
        <f t="shared" si="1997"/>
      </c>
      <c r="BP903" s="926">
        <f t="shared" si="1997"/>
      </c>
      <c r="BQ903" s="1060">
        <f t="shared" si="1997"/>
      </c>
      <c r="BR903" s="926">
        <f t="shared" si="1997"/>
      </c>
      <c r="BS903" s="926">
        <f t="shared" si="1997"/>
      </c>
      <c r="BT903" s="926">
        <f t="shared" si="1997"/>
      </c>
      <c r="BU903" s="926">
        <f>IF(BP898="NM","NM",IF(BU898="NM","NM",IF(BP898&lt;=0,"NM",IF(BU898=0,"NM",IF(ABS(BU898/BP898-1)&gt;2.5,"NM",IF((ABS(BU898-BP898)=ABS(ABS(BU898)-ABS(BP898))),(BU898/BP898-1),"NM"))))))</f>
      </c>
      <c r="BV903" s="1060">
        <f t="shared" ref="BP903:BY904" si="1998">IF(BQ898="NM","NM",IF(BV898="NM","NM",IF(BQ898&lt;=0,"NM",IF(BV898=0,"NM",IF(ABS(BV898/BQ898-1)&gt;2.5,"NM",IF((ABS(BV898-BQ898)=ABS(ABS(BV898)-ABS(BQ898))),(BV898/BQ898-1),"NM"))))))</f>
      </c>
      <c r="BW903" s="926">
        <f t="shared" si="1998"/>
      </c>
      <c r="BX903" s="926">
        <f t="shared" si="1998"/>
      </c>
      <c r="BY903" s="926">
        <f t="shared" si="1998"/>
      </c>
      <c r="BZ903" s="926">
        <f>IF(BU898="NM","NM",IF(BZ898="NM","NM",IF(BU898&lt;=0,"NM",IF(BZ898=0,"NM",IF(ABS(BZ898/BU898-1)&gt;2.5,"NM",IF((ABS(BZ898-BU898)=ABS(ABS(BZ898)-ABS(BU898))),(BZ898/BU898-1),"NM"))))))</f>
      </c>
      <c r="CA903" s="2248">
        <f>IF(BV898="NM","NM",IF(CA898="NM","NM",IF(BV898&lt;=0,"NM",IF(CA898=0,"NM",IF(ABS(CA898/BV898-1)&gt;2.5,"NM",IF((ABS(CA898-BV898)=ABS(ABS(CA898)-ABS(BV898))),(CA898/BV898-1),"NM"))))))</f>
      </c>
      <c r="CB903" s="926">
        <f t="shared" ref="CB903:CD904" si="1999">IF(BW898="NM","NM",IF(CB898="NM","NM",IF(BW898&lt;=0,"NM",IF(CB898=0,"NM",IF(ABS(CB898/BW898-1)&gt;2.5,"NM",IF((ABS(CB898-BW898)=ABS(ABS(CB898)-ABS(BW898))),(CB898/BW898-1),"NM"))))))</f>
      </c>
      <c r="CC903" s="926">
        <f t="shared" si="1999"/>
      </c>
      <c r="CD903" s="926">
        <f t="shared" si="1999"/>
      </c>
      <c r="CE903" s="926">
        <f>IF(BZ898="NM","NM",IF(CE898="NM","NM",IF(BZ898&lt;=0,"NM",IF(CE898=0,"NM",IF(ABS(CE898/BZ898-1)&gt;2.5,"NM",IF((ABS(CE898-BZ898)=ABS(ABS(CE898)-ABS(BZ898))),(CE898/BZ898-1),"NM"))))))</f>
      </c>
      <c r="CF903" s="2248">
        <f>IF(CA898="NM","NM",IF(CF898="NM","NM",IF(CA898&lt;=0,"NM",IF(CF898=0,"NM",IF(ABS(CF898/CA898-1)&gt;2.5,"NM",IF((ABS(CF898-CA898)=ABS(ABS(CF898)-ABS(CA898))),(CF898/CA898-1),"NM"))))))</f>
      </c>
      <c r="CG903" s="926">
        <f t="shared" ref="CG903:CI904" si="2000">IF(CB898="NM","NM",IF(CG898="NM","NM",IF(CB898&lt;=0,"NM",IF(CG898=0,"NM",IF(ABS(CG898/CB898-1)&gt;2.5,"NM",IF((ABS(CG898-CB898)=ABS(ABS(CG898)-ABS(CB898))),(CG898/CB898-1),"NM"))))))</f>
      </c>
      <c r="CH903" s="926">
        <f t="shared" si="2000"/>
      </c>
      <c r="CI903" s="926">
        <f t="shared" si="2000"/>
      </c>
      <c r="CJ903" s="926">
        <f>IF(CE898="NM","NM",IF(CJ898="NM","NM",IF(CE898&lt;=0,"NM",IF(CJ898=0,"NM",IF(ABS(CJ898/CE898-1)&gt;2.5,"NM",IF((ABS(CJ898-CE898)=ABS(ABS(CJ898)-ABS(CE898))),(CJ898/CE898-1),"NM"))))))</f>
      </c>
      <c r="CK903" s="1060">
        <f>IF(CF898=0, 0, CK898/CF898-1)</f>
      </c>
      <c r="CL903" s="926">
        <f t="shared" ref="CL903:CN904" si="2001">IF(CG898="NM","NM",IF(CL898="NM","NM",IF(CG898&lt;=0,"NM",IF(CL898=0,"NM",IF(ABS(CL898/CG898-1)&gt;2.5,"NM",IF((ABS(CL898-CG898)=ABS(ABS(CL898)-ABS(CG898))),(CL898/CG898-1),"NM"))))))</f>
      </c>
      <c r="CM903" s="926">
        <f t="shared" si="2001"/>
      </c>
      <c r="CN903" s="926">
        <f t="shared" si="2001"/>
      </c>
      <c r="CO903" s="926">
        <f>IF(CJ898="NM","NM",IF(CO898="NM","NM",IF(CJ898&lt;=0,"NM",IF(CO898=0,"NM",IF(ABS(CO898/CJ898-1)&gt;2.5,"NM",IF((ABS(CO898-CJ898)=ABS(ABS(CO898)-ABS(CJ898))),(CO898/CJ898-1),"NM"))))))</f>
      </c>
      <c r="CP903" s="1060">
        <f>IF(CK898=0, 0, CP898/CK898-1)</f>
      </c>
      <c r="CQ903" s="926">
        <f t="shared" ref="CQ903:CX904" si="2002">IF(CL898="NM","NM",IF(CQ898="NM","NM",IF(CL898&lt;=0,"NM",IF(CQ898=0,"NM",IF(ABS(CQ898/CL898-1)&gt;2.5,"NM",IF((ABS(CQ898-CL898)=ABS(ABS(CQ898)-ABS(CL898))),(CQ898/CL898-1),"NM"))))))</f>
      </c>
      <c r="CR903" s="926">
        <f t="shared" si="2002"/>
      </c>
      <c r="CS903" s="926">
        <f t="shared" si="2002"/>
      </c>
      <c r="CT903" s="926">
        <f t="shared" si="2002"/>
      </c>
      <c r="CU903" s="1060">
        <f>IF(CP898=0, 0, CU898/CP898-1)</f>
      </c>
      <c r="CV903" s="926">
        <f t="shared" si="2002"/>
      </c>
      <c r="CW903" s="926">
        <f t="shared" si="2002"/>
      </c>
      <c r="CX903" s="926">
        <f t="shared" si="2002"/>
      </c>
      <c r="CY903" s="926" t="str">
        <f>IF(CT898="NM","NM",IF(CY898="NM","NM",IF(CT898&lt;=0,"NM",IF(CY898=0,"NM",IF(ABS(CY898/CT898-1)&gt;2.5,"NM",IF((ABS(CY898-CT898)=ABS(ABS(CY898)-ABS(CT898))),(CY898/CT898-1),"NM"))))))</f>
      </c>
      <c r="CZ903" s="1060">
        <f>IF(CU898=0, 0, CZ898/CU898-1)</f>
      </c>
      <c r="DA903" s="2990"/>
      <c r="DB903" s="2990"/>
      <c r="DC903" s="2992"/>
      <c r="DD903" s="2993"/>
      <c r="DE903" s="2994"/>
      <c r="DF903" s="2990"/>
      <c r="DG903" s="2992"/>
      <c r="DH903" s="2992"/>
      <c r="DI903" s="2993"/>
      <c r="DJ903" s="2994"/>
      <c r="DK903" s="2990"/>
      <c r="DL903" s="2992"/>
      <c r="DM903" s="2992"/>
      <c r="DN903" s="2993"/>
      <c r="DO903" s="2994"/>
      <c r="DP903" s="2992"/>
      <c r="DQ903" s="2992"/>
      <c r="DR903" s="2992"/>
      <c r="DS903" s="2993"/>
      <c r="DT903" s="2994"/>
      <c r="DU903" s="2992"/>
      <c r="DV903" s="2992"/>
      <c r="DW903" s="2992"/>
      <c r="DX903" s="2993"/>
      <c r="DY903" s="2994"/>
      <c r="DZ903" s="2992"/>
      <c r="EA903" s="2992"/>
      <c r="EB903" s="2992"/>
      <c r="EC903" s="2993"/>
      <c r="ED903" s="2994"/>
      <c r="EE903" s="2992"/>
      <c r="EF903" s="2992"/>
      <c r="EG903" s="2992"/>
      <c r="EH903" s="2993"/>
      <c r="EI903" s="2995"/>
      <c r="EJ903" s="673"/>
      <c r="EK903" s="673"/>
      <c r="EL903" s="660"/>
      <c r="EM903" s="673"/>
      <c r="EN903" s="673"/>
      <c r="EO903" s="659"/>
      <c r="EP903" s="659"/>
      <c r="EQ903" s="659"/>
      <c r="ER903" s="659"/>
      <c r="ES903" s="659"/>
      <c r="ET903" s="659"/>
      <c r="EU903" s="659"/>
      <c r="EV903" s="659"/>
      <c r="EW903" s="659"/>
      <c r="EX903" s="659"/>
    </row>
    <row r="904" spans="1:154" hidden="1" outlineLevel="1">
      <c r="B904" s="454" t="s">
        <v>412</v>
      </c>
      <c r="C904" s="1577"/>
      <c r="D904" s="933"/>
      <c r="E904" s="933"/>
      <c r="F904" s="933"/>
      <c r="G904" s="933"/>
      <c r="H904" s="933"/>
      <c r="I904" s="926">
        <f t="shared" si="1997"/>
      </c>
      <c r="J904" s="926">
        <f t="shared" si="1997"/>
      </c>
      <c r="K904" s="926">
        <f t="shared" si="1997"/>
      </c>
      <c r="L904" s="926">
        <f t="shared" si="1997"/>
      </c>
      <c r="M904" s="926">
        <f t="shared" si="1997"/>
      </c>
      <c r="N904" s="926">
        <f t="shared" si="1997"/>
      </c>
      <c r="O904" s="926">
        <f t="shared" si="1997"/>
      </c>
      <c r="P904" s="926">
        <f t="shared" si="1997"/>
      </c>
      <c r="Q904" s="926">
        <f t="shared" si="1997"/>
      </c>
      <c r="R904" s="926">
        <f t="shared" si="1997"/>
      </c>
      <c r="S904" s="926">
        <f t="shared" si="1997"/>
      </c>
      <c r="T904" s="926">
        <f t="shared" si="1997"/>
      </c>
      <c r="U904" s="926">
        <f t="shared" si="1997"/>
      </c>
      <c r="V904" s="926">
        <f t="shared" si="1997"/>
      </c>
      <c r="W904" s="926">
        <f t="shared" si="1997"/>
      </c>
      <c r="X904" s="1060">
        <f t="shared" si="1997"/>
      </c>
      <c r="Y904" s="926">
        <f t="shared" si="1997"/>
      </c>
      <c r="Z904" s="926">
        <f t="shared" si="1997"/>
      </c>
      <c r="AA904" s="926">
        <f t="shared" si="1997"/>
      </c>
      <c r="AB904" s="926">
        <f t="shared" si="1997"/>
      </c>
      <c r="AC904" s="1060">
        <f t="shared" si="1997"/>
      </c>
      <c r="AD904" s="926">
        <f t="shared" si="1997"/>
      </c>
      <c r="AE904" s="926">
        <f t="shared" si="1997"/>
      </c>
      <c r="AF904" s="926">
        <f t="shared" si="1997"/>
      </c>
      <c r="AG904" s="926">
        <f t="shared" si="1997"/>
      </c>
      <c r="AH904" s="1060">
        <f t="shared" si="1997"/>
      </c>
      <c r="AI904" s="926">
        <f t="shared" si="1997"/>
      </c>
      <c r="AJ904" s="926">
        <f t="shared" si="1997"/>
      </c>
      <c r="AK904" s="926">
        <f t="shared" si="1997"/>
      </c>
      <c r="AL904" s="926">
        <f t="shared" si="1997"/>
      </c>
      <c r="AM904" s="1060">
        <f t="shared" si="1997"/>
      </c>
      <c r="AN904" s="926">
        <f t="shared" si="1997"/>
      </c>
      <c r="AO904" s="926">
        <f t="shared" si="1997"/>
      </c>
      <c r="AP904" s="926">
        <f t="shared" si="1997"/>
      </c>
      <c r="AQ904" s="926">
        <f t="shared" si="1997"/>
      </c>
      <c r="AR904" s="1060">
        <f t="shared" si="1997"/>
      </c>
      <c r="AS904" s="926">
        <f t="shared" si="1997"/>
      </c>
      <c r="AT904" s="926">
        <f t="shared" si="1997"/>
      </c>
      <c r="AU904" s="926">
        <f t="shared" si="1997"/>
      </c>
      <c r="AV904" s="926">
        <f t="shared" si="1997"/>
      </c>
      <c r="AW904" s="1060">
        <f t="shared" si="1997"/>
      </c>
      <c r="AX904" s="926">
        <f t="shared" si="1997"/>
      </c>
      <c r="AY904" s="926">
        <f t="shared" si="1997"/>
      </c>
      <c r="AZ904" s="926">
        <f t="shared" si="1997"/>
      </c>
      <c r="BA904" s="926">
        <f t="shared" si="1997"/>
      </c>
      <c r="BB904" s="1060">
        <f t="shared" si="1997"/>
      </c>
      <c r="BC904" s="926">
        <f t="shared" si="1997"/>
      </c>
      <c r="BD904" s="926">
        <f t="shared" si="1997"/>
      </c>
      <c r="BE904" s="926">
        <f t="shared" si="1997"/>
      </c>
      <c r="BF904" s="926">
        <f t="shared" si="1997"/>
      </c>
      <c r="BG904" s="1060">
        <f>IF(BB899="NM","NM",IF(BG899="NM","NM",IF(BB899&lt;=0,"NM",IF(BG899=0,"NM",IF(ABS(BG899/BB899-1)&gt;2.5,"NM",IF((ABS(BG899-BB899)=ABS(ABS(BG899)-ABS(BB899))),(BG899/BB899-1),"NM"))))))</f>
      </c>
      <c r="BH904" s="926">
        <f t="shared" si="1997"/>
      </c>
      <c r="BI904" s="926">
        <f t="shared" si="1997"/>
      </c>
      <c r="BJ904" s="926">
        <f t="shared" si="1997"/>
      </c>
      <c r="BK904" s="926">
        <f t="shared" si="1997"/>
      </c>
      <c r="BL904" s="1060">
        <f>IF(BG899="NM","NM",IF(BL899="NM","NM",IF(BG899&lt;=0,"NM",IF(BL899=0,"NM",IF(ABS(BL899/BG899-1)&gt;2.5,"NM",IF((ABS(BL899-BG899)=ABS(ABS(BL899)-ABS(BG899))),(BL899/BG899-1),"NM"))))))</f>
      </c>
      <c r="BM904" s="926">
        <f t="shared" si="1997"/>
      </c>
      <c r="BN904" s="926">
        <f t="shared" si="1997"/>
      </c>
      <c r="BO904" s="926">
        <f t="shared" si="1997"/>
      </c>
      <c r="BP904" s="926">
        <f t="shared" si="1998"/>
      </c>
      <c r="BQ904" s="1060">
        <f t="shared" si="1998"/>
      </c>
      <c r="BR904" s="926">
        <f t="shared" si="1998"/>
      </c>
      <c r="BS904" s="926">
        <f t="shared" si="1998"/>
      </c>
      <c r="BT904" s="926">
        <f t="shared" si="1998"/>
      </c>
      <c r="BU904" s="926">
        <f>IF(BP899="NM","NM",IF(BU899="NM","NM",IF(BP899&lt;=0,"NM",IF(BU899=0,"NM",IF(ABS(BU899/BP899-1)&gt;2.5,"NM",IF((ABS(BU899-BP899)=ABS(ABS(BU899)-ABS(BP899))),(BU899/BP899-1),"NM"))))))</f>
      </c>
      <c r="BV904" s="1060">
        <f t="shared" si="1998"/>
      </c>
      <c r="BW904" s="926">
        <f t="shared" si="1998"/>
      </c>
      <c r="BX904" s="926">
        <f t="shared" si="1998"/>
      </c>
      <c r="BY904" s="926">
        <f t="shared" si="1998"/>
      </c>
      <c r="BZ904" s="926">
        <f>IF(BU899="NM","NM",IF(BZ899="NM","NM",IF(BU899&lt;=0,"NM",IF(BZ899=0,"NM",IF(ABS(BZ899/BU899-1)&gt;2.5,"NM",IF((ABS(BZ899-BU899)=ABS(ABS(BZ899)-ABS(BU899))),(BZ899/BU899-1),"NM"))))))</f>
      </c>
      <c r="CA904" s="1060">
        <f>IF(BV899="NM","NM",IF(CA899="NM","NM",IF(BV899&lt;=0,"NM",IF(CA899=0,"NM",IF(ABS(CA899/BV899-1)&gt;2.5,"NM",IF((ABS(CA899-BV899)=ABS(ABS(CA899)-ABS(BV899))),(CA899/BV899-1),"NM"))))))</f>
      </c>
      <c r="CB904" s="926">
        <f t="shared" si="1999"/>
      </c>
      <c r="CC904" s="926">
        <f t="shared" si="1999"/>
      </c>
      <c r="CD904" s="926">
        <f t="shared" si="1999"/>
      </c>
      <c r="CE904" s="926">
        <f>IF(BZ899="NM","NM",IF(CE899="NM","NM",IF(BZ899&lt;=0,"NM",IF(CE899=0,"NM",IF(ABS(CE899/BZ899-1)&gt;2.5,"NM",IF((ABS(CE899-BZ899)=ABS(ABS(CE899)-ABS(BZ899))),(CE899/BZ899-1),"NM"))))))</f>
      </c>
      <c r="CF904" s="1060">
        <f>IF(CA899="NM","NM",IF(CF899="NM","NM",IF(CA899&lt;=0,"NM",IF(CF899=0,"NM",IF(ABS(CF899/CA899-1)&gt;2.5,"NM",IF((ABS(CF899-CA899)=ABS(ABS(CF899)-ABS(CA899))),(CF899/CA899-1),"NM"))))))</f>
      </c>
      <c r="CG904" s="926">
        <f t="shared" si="2000"/>
      </c>
      <c r="CH904" s="926">
        <f t="shared" si="2000"/>
      </c>
      <c r="CI904" s="926">
        <f t="shared" si="2000"/>
      </c>
      <c r="CJ904" s="926">
        <f>IF(CE899="NM","NM",IF(CJ899="NM","NM",IF(CE899&lt;=0,"NM",IF(CJ899=0,"NM",IF(ABS(CJ899/CE899-1)&gt;2.5,"NM",IF((ABS(CJ899-CE899)=ABS(ABS(CJ899)-ABS(CE899))),(CJ899/CE899-1),"NM"))))))</f>
      </c>
      <c r="CK904" s="1060">
        <f>IF(CF899=0, "NA", CK899/CF899-1)</f>
      </c>
      <c r="CL904" s="926">
        <f t="shared" si="2001"/>
      </c>
      <c r="CM904" s="926">
        <f t="shared" si="2001"/>
      </c>
      <c r="CN904" s="926">
        <f t="shared" si="2001"/>
      </c>
      <c r="CO904" s="926">
        <f>IF(CJ899="NM","NM",IF(CO899="NM","NM",IF(CJ899&lt;=0,"NM",IF(CO899=0,"NM",IF(ABS(CO899/CJ899-1)&gt;2.5,"NM",IF((ABS(CO899-CJ899)=ABS(ABS(CO899)-ABS(CJ899))),(CO899/CJ899-1),"NM"))))))</f>
      </c>
      <c r="CP904" s="1060">
        <f>IF(CK899=0, "NA", CP899/CK899-1)</f>
      </c>
      <c r="CQ904" s="926">
        <f t="shared" si="2002"/>
      </c>
      <c r="CR904" s="926">
        <f t="shared" si="2002"/>
      </c>
      <c r="CS904" s="926">
        <f t="shared" si="2002"/>
      </c>
      <c r="CT904" s="926">
        <f t="shared" si="2002"/>
      </c>
      <c r="CU904" s="1060">
        <f>IF(CP899=0, "NA", CU899/CP899-1)</f>
      </c>
      <c r="CV904" s="926">
        <f t="shared" si="2002"/>
      </c>
      <c r="CW904" s="926">
        <f t="shared" si="2002"/>
      </c>
      <c r="CX904" s="926">
        <f t="shared" si="2002"/>
      </c>
      <c r="CY904" s="926" t="str">
        <f>IF(CT899="NM","NM",IF(CY899="NM","NM",IF(CT899&lt;=0,"NM",IF(CY899=0,"NM",IF(ABS(CY899/CT899-1)&gt;2.5,"NM",IF((ABS(CY899-CT899)=ABS(ABS(CY899)-ABS(CT899))),(CY899/CT899-1),"NM"))))))</f>
      </c>
      <c r="CZ904" s="1060">
        <f>IF(CU899=0, "NA", CZ899/CU899-1)</f>
      </c>
      <c r="DA904" s="2990"/>
      <c r="DB904" s="2990"/>
      <c r="DC904" s="2989"/>
      <c r="DD904" s="2996"/>
      <c r="DE904" s="2968"/>
      <c r="DF904" s="2990"/>
      <c r="DG904" s="2990"/>
      <c r="DH904" s="2990"/>
      <c r="DI904" s="2993"/>
      <c r="DJ904" s="2968"/>
      <c r="DK904" s="2990"/>
      <c r="DL904" s="2990"/>
      <c r="DM904" s="2990"/>
      <c r="DN904" s="2993"/>
      <c r="DO904" s="2968"/>
      <c r="DP904" s="2990"/>
      <c r="DQ904" s="2990"/>
      <c r="DR904" s="2990"/>
      <c r="DS904" s="2993"/>
      <c r="DT904" s="2968"/>
      <c r="DU904" s="2990"/>
      <c r="DV904" s="2990"/>
      <c r="DW904" s="2990"/>
      <c r="DX904" s="2993"/>
      <c r="DY904" s="2968"/>
      <c r="DZ904" s="2990"/>
      <c r="EA904" s="2990"/>
      <c r="EB904" s="2990"/>
      <c r="EC904" s="2993"/>
      <c r="ED904" s="2968"/>
      <c r="EE904" s="2990"/>
      <c r="EF904" s="2990"/>
      <c r="EG904" s="2990"/>
      <c r="EH904" s="2993"/>
      <c r="EI904" s="2997"/>
      <c r="EJ904" s="1060"/>
      <c r="EK904" s="1060"/>
      <c r="EL904" s="928"/>
      <c r="EM904" s="1060"/>
      <c r="EN904" s="1060"/>
      <c r="EO904" s="926"/>
      <c r="EP904" s="926"/>
      <c r="EQ904" s="926"/>
      <c r="ER904" s="926"/>
      <c r="ES904" s="926"/>
      <c r="ET904" s="926"/>
      <c r="EU904" s="926"/>
      <c r="EV904" s="926"/>
      <c r="EW904" s="926"/>
      <c r="EX904" s="926"/>
    </row>
    <row r="905" spans="1:154" s="221" customFormat="1" hidden="1" outlineLevel="1">
      <c r="A905" s="3280"/>
      <c r="B905" s="496" t="s">
        <v>256</v>
      </c>
      <c r="C905" s="2187"/>
      <c r="D905" s="959"/>
      <c r="E905" s="959"/>
      <c r="F905" s="959"/>
      <c r="G905" s="959"/>
      <c r="H905" s="959"/>
      <c r="I905" s="43"/>
      <c r="J905" s="959"/>
      <c r="K905" s="959"/>
      <c r="L905" s="959"/>
      <c r="M905" s="959"/>
      <c r="N905" s="43"/>
      <c r="O905" s="43"/>
      <c r="P905" s="43"/>
      <c r="Q905" s="43"/>
      <c r="R905" s="43"/>
      <c r="S905" s="959"/>
      <c r="T905" s="43"/>
      <c r="U905" s="43"/>
      <c r="V905" s="43"/>
      <c r="W905" s="43"/>
      <c r="X905" s="2248"/>
      <c r="Y905" s="43"/>
      <c r="Z905" s="43"/>
      <c r="AA905" s="43"/>
      <c r="AB905" s="43"/>
      <c r="AC905" s="2248"/>
      <c r="AD905" s="43"/>
      <c r="AE905" s="43"/>
      <c r="AF905" s="43"/>
      <c r="AG905" s="43"/>
      <c r="AH905" s="2248"/>
      <c r="AI905" s="959">
        <f t="shared" ref="AI905:BM905" si="2003">IF(ISNUMBER(AI904),(1+AI904)/(1+AI$21)-1,"NM")</f>
      </c>
      <c r="AJ905" s="959">
        <f t="shared" si="2003"/>
      </c>
      <c r="AK905" s="959">
        <f t="shared" si="2003"/>
      </c>
      <c r="AL905" s="959">
        <f t="shared" si="2003"/>
      </c>
      <c r="AM905" s="2248">
        <f t="shared" si="2003"/>
      </c>
      <c r="AN905" s="959">
        <f t="shared" si="2003"/>
      </c>
      <c r="AO905" s="959">
        <f t="shared" si="2003"/>
      </c>
      <c r="AP905" s="959">
        <f t="shared" si="2003"/>
      </c>
      <c r="AQ905" s="959">
        <f t="shared" si="2003"/>
      </c>
      <c r="AR905" s="2248">
        <f t="shared" si="2003"/>
      </c>
      <c r="AS905" s="959">
        <f t="shared" si="2003"/>
      </c>
      <c r="AT905" s="959">
        <f t="shared" si="2003"/>
      </c>
      <c r="AU905" s="959">
        <f t="shared" si="2003"/>
      </c>
      <c r="AV905" s="959">
        <f t="shared" si="2003"/>
      </c>
      <c r="AW905" s="2248">
        <f t="shared" si="2003"/>
      </c>
      <c r="AX905" s="959">
        <f t="shared" si="2003"/>
      </c>
      <c r="AY905" s="959">
        <f t="shared" si="2003"/>
      </c>
      <c r="AZ905" s="959">
        <f t="shared" si="2003"/>
      </c>
      <c r="BA905" s="959">
        <f t="shared" si="2003"/>
      </c>
      <c r="BB905" s="2248">
        <f t="shared" si="2003"/>
      </c>
      <c r="BC905" s="959">
        <f t="shared" si="2003"/>
      </c>
      <c r="BD905" s="959">
        <f t="shared" si="2003"/>
      </c>
      <c r="BE905" s="959">
        <f t="shared" si="2003"/>
      </c>
      <c r="BF905" s="959">
        <f t="shared" si="2003"/>
      </c>
      <c r="BG905" s="1060">
        <f t="shared" si="2003"/>
      </c>
      <c r="BH905" s="959">
        <f t="shared" si="2003"/>
      </c>
      <c r="BI905" s="959">
        <f t="shared" si="2003"/>
      </c>
      <c r="BJ905" s="959">
        <f t="shared" si="2003"/>
      </c>
      <c r="BK905" s="959">
        <f t="shared" si="2003"/>
      </c>
      <c r="BL905" s="2248">
        <f t="shared" si="2003"/>
      </c>
      <c r="BM905" s="407">
        <f t="shared" si="2003"/>
      </c>
      <c r="BN905" s="407">
        <v>4.1000000000000002E-2</v>
      </c>
      <c r="BO905" s="407">
        <v>9.8000000000000004E-2</v>
      </c>
      <c r="BP905" s="649">
        <v>4.3999999999999997E-2</v>
      </c>
      <c r="BQ905" s="406">
        <v>5.7000000000000002E-2</v>
      </c>
      <c r="BR905" s="407">
        <v>4.1000000000000002E-2</v>
      </c>
      <c r="BS905" s="407">
        <v>4.5999999999999999E-2</v>
      </c>
      <c r="BT905" s="407">
        <v>8.0000000000000002E-3</v>
      </c>
      <c r="BU905" s="649">
        <v>-6.6000000000000003E-2</v>
      </c>
      <c r="BV905" s="406">
        <v>2.8000000000000001E-2</v>
      </c>
      <c r="BW905" s="649">
        <v>8.9999999999999993E-3</v>
      </c>
      <c r="BX905" s="649">
        <v>-5.0000000000000001E-3</v>
      </c>
      <c r="BY905" s="649">
        <v>6.5000000000000002E-2</v>
      </c>
      <c r="BZ905" s="836">
        <v>2E-3</v>
      </c>
      <c r="CA905" s="448">
        <v>1.6E-2</v>
      </c>
      <c r="CB905" s="29">
        <v>2.9000000000000001E-2</v>
      </c>
      <c r="CC905" s="649">
        <v>1.7999999999999999E-2</v>
      </c>
      <c r="CD905" s="649">
        <v>-1E-3</v>
      </c>
      <c r="CE905" s="836">
        <v>-1.4999999999999999E-2</v>
      </c>
      <c r="CF905" s="448">
        <v>8.0000000000000004E-4</v>
      </c>
      <c r="CG905" s="29">
        <v>6.0000000000000001E-3</v>
      </c>
      <c r="CH905" s="29">
        <v>-1.2E-2</v>
      </c>
      <c r="CI905" s="29">
        <v>1.0999999999999999E-2</v>
      </c>
      <c r="CJ905" s="29">
        <v>0.05</v>
      </c>
      <c r="CK905" s="2248">
        <f>CK904-CK$21</f>
      </c>
      <c r="CL905" s="29">
        <v>-2.8000000000000001E-2</v>
      </c>
      <c r="CM905" s="29">
        <v>7.0000000000000007E-2</v>
      </c>
      <c r="CN905" s="29">
        <v>-0.112</v>
      </c>
      <c r="CO905" s="29">
        <v>-1.0999999999999999E-2</v>
      </c>
      <c r="CP905" s="2248">
        <f>CP904-CP$21</f>
      </c>
      <c r="CQ905" s="29">
        <v>-8.0000000000000002E-3</v>
      </c>
      <c r="CR905" s="29">
        <v>-9.5000000000000001E-2</v>
      </c>
      <c r="CS905" s="29">
        <v>-2.5999999999999999E-2</v>
      </c>
      <c r="CT905" s="29">
        <v>-9.2999999999999999E-2</v>
      </c>
      <c r="CU905" s="2248">
        <f>CU904-CU$21</f>
      </c>
      <c r="CV905" s="29">
        <v>-0.16700000000000001</v>
      </c>
      <c r="CW905" s="29">
        <v>-0.16300000000000001</v>
      </c>
      <c r="CX905" s="29">
        <v>-0.16</v>
      </c>
      <c r="CY905" s="926" t="str">
        <f>IF(CT900="NM","NM",IF(CY900="NM","NM",IF(CT900&lt;=0,"NM",IF(CY900=0,"NM",IF(ABS(CY900/CT900-1)&gt;2.5,"NM",IF((ABS(CY900-CT900)=ABS(ABS(CY900)-ABS(CT900))),(CY900/CT900-1),"NM"))))))</f>
      </c>
      <c r="CZ905" s="2248">
        <f>CZ904-CZ$21</f>
      </c>
      <c r="DA905" s="2992"/>
      <c r="DB905" s="2992"/>
      <c r="DC905" s="2992"/>
      <c r="DD905" s="2993"/>
      <c r="DE905" s="2994"/>
      <c r="DF905" s="2992"/>
      <c r="DG905" s="2992"/>
      <c r="DH905" s="2992"/>
      <c r="DI905" s="2993"/>
      <c r="DJ905" s="2998"/>
      <c r="DK905" s="2992"/>
      <c r="DL905" s="2992"/>
      <c r="DM905" s="2992"/>
      <c r="DN905" s="2993"/>
      <c r="DO905" s="2998"/>
      <c r="DP905" s="2992"/>
      <c r="DQ905" s="2992"/>
      <c r="DR905" s="2992"/>
      <c r="DS905" s="2993"/>
      <c r="DT905" s="2998"/>
      <c r="DU905" s="2992"/>
      <c r="DV905" s="2992"/>
      <c r="DW905" s="2992"/>
      <c r="DX905" s="2993"/>
      <c r="DY905" s="2998"/>
      <c r="DZ905" s="2992"/>
      <c r="EA905" s="2992"/>
      <c r="EB905" s="2992"/>
      <c r="EC905" s="2993"/>
      <c r="ED905" s="2998"/>
      <c r="EE905" s="2992"/>
      <c r="EF905" s="2992"/>
      <c r="EG905" s="2992"/>
      <c r="EH905" s="2993"/>
      <c r="EI905" s="2992"/>
      <c r="EJ905" s="673"/>
      <c r="EK905" s="673"/>
      <c r="EL905" s="660"/>
      <c r="EM905" s="673"/>
      <c r="EN905" s="673"/>
      <c r="EO905" s="659"/>
      <c r="EP905" s="659"/>
      <c r="EQ905" s="659"/>
      <c r="ER905" s="659"/>
      <c r="ES905" s="659"/>
      <c r="ET905" s="659"/>
      <c r="EU905" s="659"/>
      <c r="EV905" s="659"/>
      <c r="EW905" s="659"/>
      <c r="EX905" s="659"/>
    </row>
    <row r="906" spans="1:154" hidden="1" outlineLevel="1">
      <c r="B906" s="454" t="s">
        <v>413</v>
      </c>
      <c r="C906" s="1577"/>
      <c r="D906" s="933"/>
      <c r="E906" s="933"/>
      <c r="F906" s="933"/>
      <c r="G906" s="933"/>
      <c r="H906" s="933"/>
      <c r="I906" s="926">
        <f t="shared" ref="I906:BT906" si="2004">IF(D900="NM","NM",IF(I900="NM","NM",IF(D900&lt;=0,"NM",IF(I900=0,"NM",IF(ABS(I900/D900-1)&gt;2.5,"NM",IF((ABS(I900-D900)=ABS(ABS(I900)-ABS(D900))),(I900/D900-1),"NM"))))))</f>
      </c>
      <c r="J906" s="926">
        <f t="shared" si="2004"/>
      </c>
      <c r="K906" s="926">
        <f t="shared" si="2004"/>
      </c>
      <c r="L906" s="926">
        <f t="shared" si="2004"/>
      </c>
      <c r="M906" s="926">
        <f t="shared" si="2004"/>
      </c>
      <c r="N906" s="926">
        <f t="shared" si="2004"/>
      </c>
      <c r="O906" s="926">
        <f t="shared" si="2004"/>
      </c>
      <c r="P906" s="926">
        <f t="shared" si="2004"/>
      </c>
      <c r="Q906" s="926">
        <f t="shared" si="2004"/>
      </c>
      <c r="R906" s="926">
        <f t="shared" si="2004"/>
      </c>
      <c r="S906" s="926">
        <f t="shared" si="2004"/>
      </c>
      <c r="T906" s="926">
        <f t="shared" si="2004"/>
      </c>
      <c r="U906" s="926">
        <f t="shared" si="2004"/>
      </c>
      <c r="V906" s="926">
        <f t="shared" si="2004"/>
      </c>
      <c r="W906" s="926">
        <f t="shared" si="2004"/>
      </c>
      <c r="X906" s="1060">
        <f t="shared" si="2004"/>
      </c>
      <c r="Y906" s="926">
        <f t="shared" si="2004"/>
      </c>
      <c r="Z906" s="926">
        <f t="shared" si="2004"/>
      </c>
      <c r="AA906" s="926">
        <f t="shared" si="2004"/>
      </c>
      <c r="AB906" s="926">
        <f t="shared" si="2004"/>
      </c>
      <c r="AC906" s="1060">
        <f t="shared" si="2004"/>
      </c>
      <c r="AD906" s="926">
        <f t="shared" si="2004"/>
      </c>
      <c r="AE906" s="926">
        <f t="shared" si="2004"/>
      </c>
      <c r="AF906" s="926">
        <f t="shared" si="2004"/>
      </c>
      <c r="AG906" s="926">
        <f t="shared" si="2004"/>
      </c>
      <c r="AH906" s="1060">
        <f t="shared" si="2004"/>
      </c>
      <c r="AI906" s="926">
        <f t="shared" si="2004"/>
      </c>
      <c r="AJ906" s="926">
        <f t="shared" si="2004"/>
      </c>
      <c r="AK906" s="926">
        <f t="shared" si="2004"/>
      </c>
      <c r="AL906" s="926">
        <f t="shared" si="2004"/>
      </c>
      <c r="AM906" s="1060">
        <f t="shared" si="2004"/>
      </c>
      <c r="AN906" s="926">
        <f t="shared" si="2004"/>
      </c>
      <c r="AO906" s="926">
        <f t="shared" si="2004"/>
      </c>
      <c r="AP906" s="926">
        <f t="shared" si="2004"/>
      </c>
      <c r="AQ906" s="926">
        <f t="shared" si="2004"/>
      </c>
      <c r="AR906" s="1060">
        <f t="shared" si="2004"/>
      </c>
      <c r="AS906" s="926">
        <f t="shared" si="2004"/>
      </c>
      <c r="AT906" s="926">
        <f t="shared" si="2004"/>
      </c>
      <c r="AU906" s="926">
        <f t="shared" si="2004"/>
      </c>
      <c r="AV906" s="926">
        <f t="shared" si="2004"/>
      </c>
      <c r="AW906" s="1060">
        <f t="shared" si="2004"/>
      </c>
      <c r="AX906" s="926">
        <f t="shared" si="2004"/>
      </c>
      <c r="AY906" s="926">
        <f t="shared" si="2004"/>
      </c>
      <c r="AZ906" s="926">
        <f t="shared" si="2004"/>
      </c>
      <c r="BA906" s="926">
        <f t="shared" si="2004"/>
      </c>
      <c r="BB906" s="1060">
        <f t="shared" si="2004"/>
      </c>
      <c r="BC906" s="926">
        <f t="shared" si="2004"/>
      </c>
      <c r="BD906" s="926">
        <f t="shared" si="2004"/>
      </c>
      <c r="BE906" s="926">
        <f t="shared" si="2004"/>
      </c>
      <c r="BF906" s="926">
        <f t="shared" si="2004"/>
      </c>
      <c r="BG906" s="1060">
        <f t="shared" si="2004"/>
      </c>
      <c r="BH906" s="926">
        <f t="shared" si="2004"/>
      </c>
      <c r="BI906" s="926">
        <f t="shared" si="2004"/>
      </c>
      <c r="BJ906" s="926">
        <f t="shared" si="2004"/>
      </c>
      <c r="BK906" s="926">
        <f t="shared" si="2004"/>
      </c>
      <c r="BL906" s="1060">
        <f t="shared" si="2004"/>
      </c>
      <c r="BM906" s="926">
        <f t="shared" si="2004"/>
      </c>
      <c r="BN906" s="926">
        <f t="shared" si="2004"/>
      </c>
      <c r="BO906" s="926">
        <f t="shared" si="2004"/>
      </c>
      <c r="BP906" s="926">
        <f t="shared" si="2004"/>
      </c>
      <c r="BQ906" s="1060">
        <f t="shared" si="2004"/>
      </c>
      <c r="BR906" s="926">
        <f t="shared" si="2004"/>
      </c>
      <c r="BS906" s="926">
        <f t="shared" si="2004"/>
      </c>
      <c r="BT906" s="926">
        <f t="shared" si="2004"/>
      </c>
      <c r="BU906" s="926">
        <f>IF(BP900="NM","NM",IF(BU900="NM","NM",IF(BP900&lt;=0,"NM",IF(BU900=0,"NM",IF(ABS(BU900/BP900-1)&gt;2.5,"NM",IF((ABS(BU900-BP900)=ABS(ABS(BU900)-ABS(BP900))),(BU900/BP900-1),"NM"))))))</f>
      </c>
      <c r="BV906" s="1060">
        <f>IF(BQ900="NM","NM",IF(BV900="NM","NM",IF(BQ900&lt;=0,"NM",IF(BV900=0,"NM",IF(ABS(BV900/BQ900-1)&gt;2.5,"NM",IF((ABS(BV900-BQ900)=ABS(ABS(BV900)-ABS(BQ900))),(BV900/BQ900-1),"NM"))))))</f>
      </c>
      <c r="BW906" s="926">
        <f t="shared" ref="BW906:CI906" si="2005">IF(BR900="NM","NM",IF(BW900="NM","NM",IF(BR900&lt;=0,"NM",IF(BW900=0,"NM",IF(ABS(BW900/BR900-1)&gt;2.5,"NM",IF((ABS(BW900-BR900)=ABS(ABS(BW900)-ABS(BR900))),(BW900/BR900-1),"NM"))))))</f>
      </c>
      <c r="BX906" s="926">
        <f t="shared" si="2005"/>
      </c>
      <c r="BY906" s="926">
        <f t="shared" si="2005"/>
      </c>
      <c r="BZ906" s="926">
        <f>IF(BU900="NM","NM",IF(BZ900="NM","NM",IF(BU900&lt;=0,"NM",IF(BZ900=0,"NM",IF(ABS(BZ900/BU900-1)&gt;2.5,"NM",IF((ABS(BZ900-BU900)=ABS(ABS(BZ900)-ABS(BU900))),(BZ900/BU900-1),"NM"))))))</f>
      </c>
      <c r="CA906" s="1060">
        <f>IF(BV900="NM","NM",IF(CA900="NM","NM",IF(BV900&lt;=0,"NM",IF(CA900=0,"NM",IF(ABS(CA900/BV900-1)&gt;2.5,"NM",IF((ABS(CA900-BV900)=ABS(ABS(CA900)-ABS(BV900))),(CA900/BV900-1),"NM"))))))</f>
      </c>
      <c r="CB906" s="926">
        <f t="shared" si="2005"/>
      </c>
      <c r="CC906" s="926">
        <f t="shared" si="2005"/>
      </c>
      <c r="CD906" s="926">
        <f t="shared" si="2005"/>
      </c>
      <c r="CE906" s="926">
        <f>IF(BZ900="NM","NM",IF(CE900="NM","NM",IF(BZ900&lt;=0,"NM",IF(CE900=0,"NM",IF(ABS(CE900/BZ900-1)&gt;2.5,"NM",IF((ABS(CE900-BZ900)=ABS(ABS(CE900)-ABS(BZ900))),(CE900/BZ900-1),"NM"))))))</f>
      </c>
      <c r="CF906" s="1060">
        <f>IF(CA900="NM","NM",IF(CF900="NM","NM",IF(CA900&lt;=0,"NM",IF(CF900=0,"NM",IF(ABS(CF900/CA900-1)&gt;2.5,"NM",IF((ABS(CF900-CA900)=ABS(ABS(CF900)-ABS(CA900))),(CF900/CA900-1),"NM"))))))</f>
      </c>
      <c r="CG906" s="926">
        <f>IF(CB900="NM","NM",IF(CG900="NM","NM",IF(CB900&lt;=0,"NM",IF(CG900=0,"NM",IF(ABS(CG900/CB900-1)&gt;2.5,"NM",IF((ABS(CG900-CB900)=ABS(ABS(CG900)-ABS(CB900))),(CG900/CB900-1),"NM"))))))</f>
      </c>
      <c r="CH906" s="926">
        <f t="shared" si="2005"/>
      </c>
      <c r="CI906" s="926">
        <f t="shared" si="2005"/>
      </c>
      <c r="CJ906" s="926">
        <f>IF(CJ900&lt;=0,0,(CJ900/CE900-1))</f>
      </c>
      <c r="CK906" s="1060">
        <f>IF(CF900=0, "NA", CK900/CF900-1)</f>
      </c>
      <c r="CL906" s="926">
        <f>IF(CG900="NM","NM",IF(CL900="NM","NM",IF(CG900&lt;=0,"NM",IF(CL900=0,"NM",IF(ABS(CL900/CG900-1)&gt;2.5,"NM",IF((ABS(CL900-CG900)=ABS(ABS(CL900)-ABS(CG900))),(CL900/CG900-1),"NM"))))))</f>
      </c>
      <c r="CM906" s="926">
        <f>IF(CH900="NM","NM",IF(CM900="NM","NM",IF(CH900&lt;=0,"NM",IF(CM900=0,"NM",IF(ABS(CM900/CH900-1)&gt;2.5,"NM",IF((ABS(CM900-CH900)=ABS(ABS(CM900)-ABS(CH900))),(CM900/CH900-1),"NM"))))))</f>
      </c>
      <c r="CN906" s="926">
        <f>IF(CI900="NM","NM",IF(CN900="NM","NM",IF(CI900&lt;=0,"NM",IF(CN900=0,"NM",IF(ABS(CN900/CI900-1)&gt;2.5,"NM",IF((ABS(CN900-CI900)=ABS(ABS(CN900)-ABS(CI900))),(CN900/CI900-1),"NM"))))))</f>
      </c>
      <c r="CO906" s="926">
        <f>IF(CO900&lt;=0,0,(CO900/CJ900-1))</f>
      </c>
      <c r="CP906" s="1060">
        <f>IF(CK900=0, "NA", CP900/CK900-1)</f>
      </c>
      <c r="CQ906" s="926">
        <f>IF(CL900="NM","NM",IF(CQ900="NM","NM",IF(CL900&lt;=0,"NM",IF(CQ900=0,"NM",IF(ABS(CQ900/CL900-1)&gt;2.5,"NM",IF((ABS(CQ900-CL900)=ABS(ABS(CQ900)-ABS(CL900))),(CQ900/CL900-1),"NM"))))))</f>
      </c>
      <c r="CR906" s="926">
        <f>IF(CM900="NM","NM",IF(CR900="NM","NM",IF(CM900&lt;=0,"NM",IF(CR900=0,"NM",IF(ABS(CR900/CM900-1)&gt;2.5,"NM",IF((ABS(CR900-CM900)=ABS(ABS(CR900)-ABS(CM900))),(CR900/CM900-1),"NM"))))))</f>
      </c>
      <c r="CS906" s="926">
        <f>IF(CN900="NM","NM",IF(CS900="NM","NM",IF(CN900&lt;=0,"NM",IF(CS900=0,"NM",IF(ABS(CS900/CN900-1)&gt;2.5,"NM",IF((ABS(CS900-CN900)=ABS(ABS(CS900)-ABS(CN900))),(CS900/CN900-1),"NM"))))))</f>
      </c>
      <c r="CT906" s="926">
        <f>IF(CO900="NM","NM",IF(CT900="NM","NM",IF(CO900&lt;=0,"NM",IF(CT900=0,"NM",IF(ABS(CT900/CO900-1)&gt;2.5,"NM",IF((ABS(CT900-CO900)=ABS(ABS(CT900)-ABS(CO900))),(CT900/CO900-1),"NM"))))))</f>
      </c>
      <c r="CU906" s="1060">
        <f>IF(CP900=0, "NA", CU900/CP900-1)</f>
      </c>
      <c r="CV906" s="926">
        <f>IF(CQ900="NM","NM",IF(CV900="NM","NM",IF(CQ900&lt;=0,"NM",IF(CV900=0,"NM",IF(ABS(CV900/CQ900-1)&gt;2.5,"NM",IF((ABS(CV900-CQ900)=ABS(ABS(CV900)-ABS(CQ900))),(CV900/CQ900-1),"NM"))))))</f>
      </c>
      <c r="CW906" s="926">
        <f>IF(CR900="NM","NM",IF(CW900="NM","NM",IF(CR900&lt;=0,"NM",IF(CW900=0,"NM",IF(ABS(CW900/CR900-1)&gt;2.5,"NM",IF((ABS(CW900-CR900)=ABS(ABS(CW900)-ABS(CR900))),(CW900/CR900-1),"NM"))))))</f>
      </c>
      <c r="CX906" s="926">
        <f>IF(CS900="NM","NM",IF(CX900="NM","NM",IF(CS900&lt;=0,"NM",IF(CX900=0,"NM",IF(ABS(CX900/CS900-1)&gt;2.5,"NM",IF((ABS(CX900-CS900)=ABS(ABS(CX900)-ABS(CS900))),(CX900/CS900-1),"NM"))))))</f>
      </c>
      <c r="CY906" s="926" t="str">
        <f>IF(CT900="NM","NM",IF(CY900="NM","NM",IF(CT900&lt;=0,"NM",IF(CY900=0,"NM",IF(ABS(CY900/CT900-1)&gt;2.5,"NM",IF((ABS(CY900-CT900)=ABS(ABS(CY900)-ABS(CT900))),(CY900/CT900-1),"NM"))))))</f>
      </c>
      <c r="CZ906" s="1060">
        <f>IF(CU900=0, "NA", CZ900/CU900-1)</f>
      </c>
      <c r="DA906" s="2990"/>
      <c r="DB906" s="2990"/>
      <c r="DC906" s="2990"/>
      <c r="DD906" s="2993"/>
      <c r="DE906" s="2968"/>
      <c r="DF906" s="2990"/>
      <c r="DG906" s="2990"/>
      <c r="DH906" s="2990"/>
      <c r="DI906" s="2993"/>
      <c r="DJ906" s="2968"/>
      <c r="DK906" s="2990"/>
      <c r="DL906" s="2990"/>
      <c r="DM906" s="2990"/>
      <c r="DN906" s="2993"/>
      <c r="DO906" s="2968"/>
      <c r="DP906" s="2990"/>
      <c r="DQ906" s="2990"/>
      <c r="DR906" s="2990"/>
      <c r="DS906" s="2993"/>
      <c r="DT906" s="2968"/>
      <c r="DU906" s="2990"/>
      <c r="DV906" s="2990"/>
      <c r="DW906" s="2990"/>
      <c r="DX906" s="2993"/>
      <c r="DY906" s="2968"/>
      <c r="DZ906" s="2990"/>
      <c r="EA906" s="2990"/>
      <c r="EB906" s="2990"/>
      <c r="EC906" s="2993"/>
      <c r="ED906" s="2968"/>
      <c r="EE906" s="2990"/>
      <c r="EF906" s="2990"/>
      <c r="EG906" s="2990"/>
      <c r="EH906" s="2993"/>
      <c r="EI906" s="2997"/>
      <c r="EJ906" s="1060"/>
      <c r="EK906" s="1060"/>
      <c r="EL906" s="928"/>
      <c r="EM906" s="1060"/>
      <c r="EN906" s="1060"/>
      <c r="EO906" s="926"/>
      <c r="EP906" s="926"/>
      <c r="EQ906" s="926"/>
      <c r="ER906" s="926"/>
      <c r="ES906" s="926"/>
      <c r="ET906" s="926"/>
      <c r="EU906" s="926"/>
      <c r="EV906" s="926"/>
      <c r="EW906" s="926"/>
      <c r="EX906" s="926"/>
    </row>
    <row r="907" spans="1:154" hidden="1" outlineLevel="1">
      <c r="B907" s="340"/>
      <c r="C907" s="1577"/>
      <c r="D907" s="933"/>
      <c r="E907" s="933"/>
      <c r="F907" s="933"/>
      <c r="G907" s="933"/>
      <c r="H907" s="933"/>
      <c r="I907" s="31"/>
      <c r="J907" s="933"/>
      <c r="K907" s="933"/>
      <c r="L907" s="933"/>
      <c r="M907" s="933"/>
      <c r="N907" s="31"/>
      <c r="O907" s="31"/>
      <c r="P907" s="31"/>
      <c r="Q907" s="31"/>
      <c r="R907" s="31"/>
      <c r="S907" s="31"/>
      <c r="T907" s="31"/>
      <c r="U907" s="31"/>
      <c r="V907" s="31"/>
      <c r="W907" s="31"/>
      <c r="X907" s="313"/>
      <c r="Y907" s="31"/>
      <c r="Z907" s="31"/>
      <c r="AA907" s="31"/>
      <c r="AB907" s="31"/>
      <c r="AC907" s="313"/>
      <c r="AD907" s="31"/>
      <c r="AE907" s="31"/>
      <c r="AF907" s="31"/>
      <c r="AG907" s="31"/>
      <c r="AH907" s="313"/>
      <c r="AI907" s="933"/>
      <c r="AJ907" s="933"/>
      <c r="AK907" s="933"/>
      <c r="AL907" s="31"/>
      <c r="AM907" s="313"/>
      <c r="AN907" s="933"/>
      <c r="AO907" s="933"/>
      <c r="AP907" s="933"/>
      <c r="AQ907" s="933"/>
      <c r="AR907" s="313"/>
      <c r="AS907" s="933"/>
      <c r="AT907" s="933"/>
      <c r="AU907" s="933"/>
      <c r="AV907" s="933"/>
      <c r="AW907" s="313"/>
      <c r="AX907" s="933"/>
      <c r="AY907" s="933"/>
      <c r="AZ907" s="933"/>
      <c r="BA907" s="933"/>
      <c r="BB907" s="313"/>
      <c r="BC907" s="933"/>
      <c r="BD907" s="933"/>
      <c r="BE907" s="933"/>
      <c r="BF907" s="933"/>
      <c r="BG907" s="313"/>
      <c r="BH907" s="933"/>
      <c r="BI907" s="933"/>
      <c r="BJ907" s="933"/>
      <c r="BK907" s="933"/>
      <c r="BL907" s="313"/>
      <c r="BM907" s="933"/>
      <c r="BN907" s="933"/>
      <c r="BO907" s="933"/>
      <c r="BP907" s="933"/>
      <c r="BQ907" s="313"/>
      <c r="BR907" s="933"/>
      <c r="BS907" s="933"/>
      <c r="BT907" s="933"/>
      <c r="BU907" s="933"/>
      <c r="BV907" s="313"/>
      <c r="BW907" s="933"/>
      <c r="BX907" s="933"/>
      <c r="BY907" s="933"/>
      <c r="BZ907" s="933"/>
      <c r="CA907" s="313"/>
      <c r="CB907" s="933"/>
      <c r="CC907" s="933"/>
      <c r="CD907" s="933"/>
      <c r="CE907" s="933"/>
      <c r="CF907" s="313"/>
      <c r="CG907" s="933"/>
      <c r="CH907" s="933"/>
      <c r="CI907" s="933"/>
      <c r="CJ907" s="933"/>
      <c r="CK907" s="313"/>
      <c r="CL907" s="961"/>
      <c r="CM907" s="933"/>
      <c r="CN907" s="933"/>
      <c r="CO907" s="933"/>
      <c r="CP907" s="313"/>
      <c r="CQ907" s="933"/>
      <c r="CR907" s="933"/>
      <c r="CS907" s="933"/>
      <c r="CT907" s="962"/>
      <c r="CU907" s="955"/>
      <c r="CV907" s="933"/>
      <c r="CW907" s="933"/>
      <c r="CX907" s="933"/>
      <c r="CY907" s="962"/>
      <c r="CZ907" s="955"/>
      <c r="DA907" s="31"/>
      <c r="DB907" s="31"/>
      <c r="DC907" s="31"/>
      <c r="DD907" s="955"/>
      <c r="DE907" s="477"/>
      <c r="DF907" s="603"/>
      <c r="DG907" s="603"/>
      <c r="DH907" s="603"/>
      <c r="DI907" s="1798"/>
      <c r="DJ907" s="477"/>
      <c r="DK907" s="603"/>
      <c r="DL907" s="603"/>
      <c r="DM907" s="603"/>
      <c r="DN907" s="1798"/>
      <c r="DO907" s="477"/>
      <c r="DP907" s="603"/>
      <c r="DQ907" s="603"/>
      <c r="DR907" s="603"/>
      <c r="DS907" s="1798"/>
      <c r="DT907" s="477"/>
      <c r="DU907" s="603"/>
      <c r="DV907" s="603"/>
      <c r="DW907" s="603"/>
      <c r="DX907" s="1798"/>
      <c r="DY907" s="477"/>
      <c r="DZ907" s="603"/>
      <c r="EA907" s="603"/>
      <c r="EB907" s="603"/>
      <c r="EC907" s="1798"/>
      <c r="ED907" s="477"/>
      <c r="EE907" s="603"/>
      <c r="EF907" s="603"/>
      <c r="EG907" s="603"/>
      <c r="EH907" s="1798"/>
      <c r="EI907" s="1799"/>
      <c r="EJ907" s="477"/>
      <c r="EK907" s="477"/>
      <c r="EL907" s="1798"/>
      <c r="EM907" s="477"/>
      <c r="EN907" s="477"/>
      <c r="EO907" s="603"/>
      <c r="EP907" s="603"/>
      <c r="EQ907" s="603"/>
      <c r="ER907" s="603"/>
      <c r="ES907" s="603"/>
      <c r="ET907" s="603"/>
      <c r="EU907" s="603"/>
      <c r="EV907" s="603"/>
      <c r="EW907" s="603"/>
      <c r="EX907" s="603"/>
    </row>
    <row r="908" spans="1:154" hidden="1" outlineLevel="2">
      <c r="B908" s="2239" t="s">
        <v>353</v>
      </c>
      <c r="C908" s="2019" t="s">
        <v>494</v>
      </c>
      <c r="D908" s="2976"/>
      <c r="E908" s="2976"/>
      <c r="F908" s="2976"/>
      <c r="G908" s="2976"/>
      <c r="H908" s="2976"/>
      <c r="I908" s="2977"/>
      <c r="J908" s="2976"/>
      <c r="K908" s="2976"/>
      <c r="L908" s="2976"/>
      <c r="M908" s="2976"/>
      <c r="N908" s="2977"/>
      <c r="O908" s="2977"/>
      <c r="P908" s="2977"/>
      <c r="Q908" s="2977"/>
      <c r="R908" s="2977"/>
      <c r="S908" s="2978"/>
      <c r="T908" s="2977"/>
      <c r="U908" s="2977"/>
      <c r="V908" s="2977"/>
      <c r="W908" s="2977"/>
      <c r="X908" s="2240"/>
      <c r="Y908" s="2977"/>
      <c r="Z908" s="2977"/>
      <c r="AA908" s="2977"/>
      <c r="AB908" s="2977"/>
      <c r="AC908" s="2240"/>
      <c r="AD908" s="2977"/>
      <c r="AE908" s="2977"/>
      <c r="AF908" s="2977"/>
      <c r="AG908" s="2977"/>
      <c r="AH908" s="2240"/>
      <c r="AI908" s="2976"/>
      <c r="AJ908" s="2976"/>
      <c r="AK908" s="2976"/>
      <c r="AL908" s="2977"/>
      <c r="AM908" s="2240"/>
      <c r="AN908" s="2976"/>
      <c r="AO908" s="2976"/>
      <c r="AP908" s="2976"/>
      <c r="AQ908" s="2977"/>
      <c r="AR908" s="2240"/>
      <c r="AS908" s="2976"/>
      <c r="AT908" s="2976"/>
      <c r="AU908" s="2976"/>
      <c r="AV908" s="2977"/>
      <c r="AW908" s="2240"/>
      <c r="AX908" s="2976"/>
      <c r="AY908" s="2976"/>
      <c r="AZ908" s="2976"/>
      <c r="BA908" s="2976"/>
      <c r="BB908" s="2240"/>
      <c r="BC908" s="2976"/>
      <c r="BD908" s="2976"/>
      <c r="BE908" s="2976"/>
      <c r="BF908" s="2976"/>
      <c r="BG908" s="2240"/>
      <c r="BH908" s="2976"/>
      <c r="BI908" s="2976"/>
      <c r="BJ908" s="2976"/>
      <c r="BK908" s="2976"/>
      <c r="BL908" s="2240"/>
      <c r="BM908" s="2976"/>
      <c r="BN908" s="2976"/>
      <c r="BO908" s="2976"/>
      <c r="BP908" s="2999"/>
      <c r="BQ908" s="2240"/>
      <c r="BR908" s="2976"/>
      <c r="BS908" s="2976"/>
      <c r="BT908" s="2976"/>
      <c r="BU908" s="2999"/>
      <c r="BV908" s="2240"/>
      <c r="BW908" s="2976"/>
      <c r="BX908" s="2976"/>
      <c r="BY908" s="2976"/>
      <c r="BZ908" s="2976"/>
      <c r="CA908" s="2240"/>
      <c r="CB908" s="2976"/>
      <c r="CC908" s="2976"/>
      <c r="CD908" s="2976"/>
      <c r="CE908" s="2976"/>
      <c r="CF908" s="2240"/>
      <c r="CG908" s="2976"/>
      <c r="CH908" s="2976"/>
      <c r="CI908" s="2976"/>
      <c r="CJ908" s="2976"/>
      <c r="CK908" s="2240"/>
      <c r="CL908" s="2242"/>
      <c r="CM908" s="2976"/>
      <c r="CN908" s="2976"/>
      <c r="CO908" s="2976"/>
      <c r="CP908" s="2240"/>
      <c r="CQ908" s="2976"/>
      <c r="CR908" s="2976"/>
      <c r="CS908" s="2976"/>
      <c r="CT908" s="2243"/>
      <c r="CU908" s="2249"/>
      <c r="CV908" s="2976"/>
      <c r="CW908" s="2976"/>
      <c r="CX908" s="2976"/>
      <c r="CY908" s="2243"/>
      <c r="CZ908" s="2249"/>
      <c r="DA908" s="2978"/>
      <c r="DB908" s="2978"/>
      <c r="DC908" s="2978"/>
      <c r="DD908" s="2249"/>
      <c r="DE908" s="2205"/>
      <c r="DF908" s="2961"/>
      <c r="DG908" s="2961"/>
      <c r="DH908" s="2961"/>
      <c r="DI908" s="2127"/>
      <c r="DJ908" s="2205"/>
      <c r="DK908" s="2961"/>
      <c r="DL908" s="2961"/>
      <c r="DM908" s="2961"/>
      <c r="DN908" s="2127"/>
      <c r="DO908" s="2205"/>
      <c r="DP908" s="2961"/>
      <c r="DQ908" s="2961"/>
      <c r="DR908" s="2961"/>
      <c r="DS908" s="2127"/>
      <c r="DT908" s="2205"/>
      <c r="DU908" s="2961"/>
      <c r="DV908" s="2961"/>
      <c r="DW908" s="2961"/>
      <c r="DX908" s="2127"/>
      <c r="DY908" s="2205"/>
      <c r="DZ908" s="2961"/>
      <c r="EA908" s="2961"/>
      <c r="EB908" s="2961"/>
      <c r="EC908" s="2127"/>
      <c r="ED908" s="2205"/>
      <c r="EE908" s="2961"/>
      <c r="EF908" s="2961"/>
      <c r="EG908" s="2961"/>
      <c r="EH908" s="2127"/>
      <c r="EI908" s="2133"/>
      <c r="EJ908" s="2200"/>
      <c r="EK908" s="2200"/>
      <c r="EL908" s="3132"/>
      <c r="EM908" s="2200"/>
      <c r="EN908" s="2200"/>
      <c r="EO908" s="2250"/>
      <c r="EP908" s="2250"/>
      <c r="EQ908" s="2250"/>
      <c r="ER908" s="2250"/>
      <c r="ES908" s="2250"/>
      <c r="ET908" s="2250"/>
      <c r="EU908" s="2250"/>
      <c r="EV908" s="2250"/>
      <c r="EW908" s="2250"/>
      <c r="EX908" s="2250"/>
    </row>
    <row r="909" spans="1:154" hidden="1" outlineLevel="2">
      <c r="B909" s="334" t="s">
        <v>187</v>
      </c>
      <c r="C909" s="1577"/>
      <c r="D909" s="33">
        <v>486.55236521379885</v>
      </c>
      <c r="E909" s="33">
        <v>114</v>
      </c>
      <c r="F909" s="33">
        <v>121.35922330097087</v>
      </c>
      <c r="G909" s="33">
        <v>108</v>
      </c>
      <c r="H909" s="33">
        <v>114</v>
      </c>
      <c r="I909" s="31">
        <f>+SUM(E909:H909)</f>
      </c>
      <c r="J909" s="33">
        <v>126</v>
      </c>
      <c r="K909" s="33">
        <v>125</v>
      </c>
      <c r="L909" s="33">
        <v>120</v>
      </c>
      <c r="M909" s="33">
        <v>126</v>
      </c>
      <c r="N909" s="31">
        <f>+SUM(J909:M909)</f>
      </c>
      <c r="O909" s="33">
        <v>140</v>
      </c>
      <c r="P909" s="33">
        <v>132</v>
      </c>
      <c r="Q909" s="33">
        <v>134</v>
      </c>
      <c r="R909" s="33">
        <v>137</v>
      </c>
      <c r="S909" s="31">
        <f>SUM(O909:R909)</f>
      </c>
      <c r="T909" s="33">
        <v>146</v>
      </c>
      <c r="U909" s="33">
        <v>138</v>
      </c>
      <c r="V909" s="33">
        <v>145</v>
      </c>
      <c r="W909" s="33">
        <v>144</v>
      </c>
      <c r="X909" s="313">
        <f>SUM(T909:W909)</f>
      </c>
      <c r="Y909" s="33">
        <v>150</v>
      </c>
      <c r="Z909" s="33">
        <v>146</v>
      </c>
      <c r="AA909" s="33">
        <v>146</v>
      </c>
      <c r="AB909" s="33">
        <v>147</v>
      </c>
      <c r="AC909" s="313">
        <f>SUM(Y909:AB909)</f>
      </c>
      <c r="AD909" s="33">
        <v>147.19999999999999</v>
      </c>
      <c r="AE909" s="33">
        <v>153.4</v>
      </c>
      <c r="AF909" s="33">
        <v>156</v>
      </c>
      <c r="AG909" s="33">
        <v>159</v>
      </c>
      <c r="AH909" s="313">
        <f>SUM(AD909:AG909)</f>
      </c>
      <c r="AI909" s="33">
        <v>178.6</v>
      </c>
      <c r="AJ909" s="33">
        <v>187</v>
      </c>
      <c r="AK909" s="33">
        <v>178</v>
      </c>
      <c r="AL909" s="33">
        <v>169</v>
      </c>
      <c r="AM909" s="313">
        <f>+SUM(AI909:AL909)</f>
      </c>
      <c r="AN909" s="33">
        <v>199</v>
      </c>
      <c r="AO909" s="33">
        <v>185</v>
      </c>
      <c r="AP909" s="33">
        <v>184</v>
      </c>
      <c r="AQ909" s="33">
        <v>197</v>
      </c>
      <c r="AR909" s="313">
        <f>+SUM(AN909:AQ909)</f>
      </c>
      <c r="AS909" s="33">
        <v>233</v>
      </c>
      <c r="AT909" s="33">
        <v>231</v>
      </c>
      <c r="AU909" s="33">
        <v>235</v>
      </c>
      <c r="AV909" s="33">
        <v>228</v>
      </c>
      <c r="AW909" s="313">
        <f>+SUM(AS909:AV909)</f>
      </c>
      <c r="AX909" s="33">
        <v>238</v>
      </c>
      <c r="AY909" s="33">
        <v>250</v>
      </c>
      <c r="AZ909" s="33">
        <v>261</v>
      </c>
      <c r="BA909" s="33">
        <v>248</v>
      </c>
      <c r="BB909" s="313">
        <f>SUM(AX909:BA909)</f>
      </c>
      <c r="BC909" s="33">
        <v>277</v>
      </c>
      <c r="BD909" s="33">
        <v>284</v>
      </c>
      <c r="BE909" s="33">
        <v>285</v>
      </c>
      <c r="BF909" s="33">
        <v>258</v>
      </c>
      <c r="BG909" s="313">
        <f>SUM(BC909:BF909)</f>
      </c>
      <c r="BH909" s="33">
        <v>288</v>
      </c>
      <c r="BI909" s="33">
        <v>263.7</v>
      </c>
      <c r="BJ909" s="33">
        <v>263</v>
      </c>
      <c r="BK909" s="33">
        <v>276</v>
      </c>
      <c r="BL909" s="313">
        <f>SUM(BH909:BK909)</f>
      </c>
      <c r="BM909" s="33">
        <v>265</v>
      </c>
      <c r="BN909" s="352">
        <v>281</v>
      </c>
      <c r="BO909" s="352">
        <v>265</v>
      </c>
      <c r="BP909" s="33">
        <v>280</v>
      </c>
      <c r="BQ909" s="313">
        <f>SUM(BM909:BP909)</f>
      </c>
      <c r="BR909" s="352">
        <v>253</v>
      </c>
      <c r="BS909" s="352">
        <v>258</v>
      </c>
      <c r="BT909" s="352">
        <v>256</v>
      </c>
      <c r="BU909" s="352">
        <v>258</v>
      </c>
      <c r="BV909" s="313">
        <f>SUM(BR909:BU909)</f>
      </c>
      <c r="BW909" s="352">
        <v>248</v>
      </c>
      <c r="BX909" s="352">
        <v>241</v>
      </c>
      <c r="BY909" s="352">
        <v>222</v>
      </c>
      <c r="BZ909" s="352">
        <v>215</v>
      </c>
      <c r="CA909" s="313">
        <f>SUM(BW909:BZ909)</f>
      </c>
      <c r="CB909" s="352">
        <v>224</v>
      </c>
      <c r="CC909" s="352">
        <v>232</v>
      </c>
      <c r="CD909" s="933">
        <v>0</v>
      </c>
      <c r="CE909" s="933">
        <v>0</v>
      </c>
      <c r="CF909" s="313">
        <f>SUM(CB909:CE909)</f>
      </c>
      <c r="CG909" s="352">
        <v>0</v>
      </c>
      <c r="CH909" s="352">
        <v>0</v>
      </c>
      <c r="CI909" s="352">
        <v>0</v>
      </c>
      <c r="CJ909" s="352">
        <v>0</v>
      </c>
      <c r="CK909" s="313">
        <f>SUM(CG909:CJ909)</f>
      </c>
      <c r="CL909" s="1110">
        <v>0</v>
      </c>
      <c r="CM909" s="352">
        <v>0</v>
      </c>
      <c r="CN909" s="352">
        <v>0</v>
      </c>
      <c r="CO909" s="352">
        <v>0</v>
      </c>
      <c r="CP909" s="313">
        <f>SUM(CL909:CO909)</f>
      </c>
      <c r="CQ909" s="352">
        <v>0</v>
      </c>
      <c r="CR909" s="352">
        <v>0</v>
      </c>
      <c r="CS909" s="352">
        <v>0</v>
      </c>
      <c r="CT909" s="352">
        <v>0</v>
      </c>
      <c r="CU909" s="313">
        <f>SUM(CQ909:CT909)</f>
      </c>
      <c r="CV909" s="3000">
        <v>0</v>
      </c>
      <c r="CW909" s="3000">
        <v>0</v>
      </c>
      <c r="CX909" s="3000">
        <v>0</v>
      </c>
      <c r="CY909" s="3000">
        <v>0</v>
      </c>
      <c r="CZ909" s="313">
        <f>SUM(CV909:CY909)</f>
      </c>
      <c r="DA909" s="2991"/>
      <c r="DB909" s="2982"/>
      <c r="DC909" s="2982"/>
      <c r="DD909" s="2983"/>
      <c r="DE909" s="3001"/>
      <c r="DF909" s="3002"/>
      <c r="DG909" s="3003"/>
      <c r="DH909" s="3003"/>
      <c r="DI909" s="3004"/>
      <c r="DJ909" s="3001"/>
      <c r="DK909" s="3002"/>
      <c r="DL909" s="3003"/>
      <c r="DM909" s="3003"/>
      <c r="DN909" s="3004"/>
      <c r="DO909" s="3001"/>
      <c r="DP909" s="3003"/>
      <c r="DQ909" s="3003"/>
      <c r="DR909" s="3003"/>
      <c r="DS909" s="3004"/>
      <c r="DT909" s="3001"/>
      <c r="DU909" s="1542"/>
      <c r="DV909" s="1542"/>
      <c r="DW909" s="1542"/>
      <c r="DX909" s="1556"/>
      <c r="DY909" s="477"/>
      <c r="DZ909" s="1542"/>
      <c r="EA909" s="1542"/>
      <c r="EB909" s="1542"/>
      <c r="EC909" s="1556"/>
      <c r="ED909" s="477"/>
      <c r="EE909" s="1542"/>
      <c r="EF909" s="1542"/>
      <c r="EG909" s="1542"/>
      <c r="EH909" s="1556"/>
      <c r="EI909" s="1799"/>
      <c r="EJ909" s="477"/>
      <c r="EK909" s="477"/>
      <c r="EL909" s="1798"/>
      <c r="EM909" s="477"/>
      <c r="EN909" s="477"/>
      <c r="EO909" s="603"/>
      <c r="EP909" s="603"/>
      <c r="EQ909" s="603"/>
      <c r="ER909" s="603"/>
      <c r="ES909" s="603"/>
      <c r="ET909" s="603"/>
      <c r="EU909" s="603"/>
      <c r="EV909" s="603"/>
      <c r="EW909" s="603"/>
      <c r="EX909" s="603"/>
    </row>
    <row r="910" spans="1:154" hidden="1" outlineLevel="2">
      <c r="B910" s="334" t="s">
        <v>412</v>
      </c>
      <c r="C910" s="1577"/>
      <c r="D910" s="33">
        <v>503.125</v>
      </c>
      <c r="E910" s="33">
        <v>120</v>
      </c>
      <c r="F910" s="33">
        <v>118</v>
      </c>
      <c r="G910" s="33">
        <v>118</v>
      </c>
      <c r="H910" s="33">
        <v>127</v>
      </c>
      <c r="I910" s="31">
        <f>+SUM(E910:H910)</f>
      </c>
      <c r="J910" s="33">
        <v>123</v>
      </c>
      <c r="K910" s="33">
        <v>126</v>
      </c>
      <c r="L910" s="33">
        <v>117</v>
      </c>
      <c r="M910" s="33">
        <v>115</v>
      </c>
      <c r="N910" s="31">
        <f>+SUM(J910:M910)</f>
      </c>
      <c r="O910" s="33">
        <v>123</v>
      </c>
      <c r="P910" s="33">
        <v>122</v>
      </c>
      <c r="Q910" s="33">
        <v>120</v>
      </c>
      <c r="R910" s="33">
        <v>115</v>
      </c>
      <c r="S910" s="31">
        <f>SUM(O910:R910)</f>
      </c>
      <c r="T910" s="33">
        <v>123</v>
      </c>
      <c r="U910" s="33">
        <v>131</v>
      </c>
      <c r="V910" s="33">
        <v>129</v>
      </c>
      <c r="W910" s="33">
        <v>138</v>
      </c>
      <c r="X910" s="313">
        <f>SUM(T910:W910)</f>
      </c>
      <c r="Y910" s="33">
        <v>137</v>
      </c>
      <c r="Z910" s="33">
        <v>149</v>
      </c>
      <c r="AA910" s="33">
        <v>141</v>
      </c>
      <c r="AB910" s="33">
        <v>162</v>
      </c>
      <c r="AC910" s="313">
        <f>SUM(Y910:AB910)</f>
      </c>
      <c r="AD910" s="33">
        <v>155.4</v>
      </c>
      <c r="AE910" s="33">
        <v>163.4</v>
      </c>
      <c r="AF910" s="33">
        <v>153</v>
      </c>
      <c r="AG910" s="33">
        <v>185</v>
      </c>
      <c r="AH910" s="313">
        <f>SUM(AD910:AG910)</f>
      </c>
      <c r="AI910" s="33">
        <v>176</v>
      </c>
      <c r="AJ910" s="33">
        <v>179</v>
      </c>
      <c r="AK910" s="33">
        <v>164</v>
      </c>
      <c r="AL910" s="33">
        <v>175</v>
      </c>
      <c r="AM910" s="313">
        <f>+SUM(AI910:AL910)</f>
      </c>
      <c r="AN910" s="33">
        <v>171</v>
      </c>
      <c r="AO910" s="33">
        <v>183</v>
      </c>
      <c r="AP910" s="33">
        <v>176</v>
      </c>
      <c r="AQ910" s="33">
        <v>193</v>
      </c>
      <c r="AR910" s="313">
        <f>+SUM(AN910:AQ910)</f>
      </c>
      <c r="AS910" s="33">
        <v>175</v>
      </c>
      <c r="AT910" s="33">
        <v>190</v>
      </c>
      <c r="AU910" s="33">
        <v>185</v>
      </c>
      <c r="AV910" s="33">
        <v>211</v>
      </c>
      <c r="AW910" s="313">
        <f>+SUM(AS910:AV910)</f>
      </c>
      <c r="AX910" s="33">
        <v>205</v>
      </c>
      <c r="AY910" s="33">
        <v>226</v>
      </c>
      <c r="AZ910" s="33">
        <v>209</v>
      </c>
      <c r="BA910" s="33">
        <v>204</v>
      </c>
      <c r="BB910" s="313">
        <f>SUM(AX910:BA910)</f>
      </c>
      <c r="BC910" s="33">
        <v>190</v>
      </c>
      <c r="BD910" s="33">
        <v>210</v>
      </c>
      <c r="BE910" s="33">
        <v>216</v>
      </c>
      <c r="BF910" s="33">
        <v>243</v>
      </c>
      <c r="BG910" s="313">
        <f>SUM(BC910:BF910)</f>
      </c>
      <c r="BH910" s="33">
        <v>237</v>
      </c>
      <c r="BI910" s="33">
        <v>230.3</v>
      </c>
      <c r="BJ910" s="33">
        <v>235</v>
      </c>
      <c r="BK910" s="33">
        <v>260</v>
      </c>
      <c r="BL910" s="313">
        <f>SUM(BH910:BK910)</f>
      </c>
      <c r="BM910" s="33">
        <v>256</v>
      </c>
      <c r="BN910" s="352">
        <v>269</v>
      </c>
      <c r="BO910" s="352">
        <v>274</v>
      </c>
      <c r="BP910" s="33">
        <v>274</v>
      </c>
      <c r="BQ910" s="313">
        <f>SUM(BM910:BP910)</f>
      </c>
      <c r="BR910" s="352">
        <v>259</v>
      </c>
      <c r="BS910" s="352">
        <v>256</v>
      </c>
      <c r="BT910" s="352">
        <v>257</v>
      </c>
      <c r="BU910" s="352">
        <v>272</v>
      </c>
      <c r="BV910" s="313">
        <f>SUM(BR910:BU910)</f>
      </c>
      <c r="BW910" s="352">
        <v>229</v>
      </c>
      <c r="BX910" s="352">
        <v>242</v>
      </c>
      <c r="BY910" s="352">
        <v>237</v>
      </c>
      <c r="BZ910" s="352">
        <v>251</v>
      </c>
      <c r="CA910" s="313">
        <f>SUM(BW910:BZ910)</f>
      </c>
      <c r="CB910" s="352">
        <v>219</v>
      </c>
      <c r="CC910" s="352">
        <v>229</v>
      </c>
      <c r="CD910" s="352">
        <v>44</v>
      </c>
      <c r="CE910" s="352">
        <v>14</v>
      </c>
      <c r="CF910" s="313">
        <f>SUM(CB910:CE910)</f>
      </c>
      <c r="CG910" s="352">
        <v>30</v>
      </c>
      <c r="CH910" s="352">
        <v>16</v>
      </c>
      <c r="CI910" s="352">
        <v>16</v>
      </c>
      <c r="CJ910" s="352">
        <v>24</v>
      </c>
      <c r="CK910" s="313">
        <f>SUM(CG910:CJ910)</f>
      </c>
      <c r="CL910" s="1110">
        <v>28</v>
      </c>
      <c r="CM910" s="352">
        <v>31</v>
      </c>
      <c r="CN910" s="352">
        <v>7</v>
      </c>
      <c r="CO910" s="352">
        <v>0</v>
      </c>
      <c r="CP910" s="313">
        <f>SUM(CL910:CO910)</f>
      </c>
      <c r="CQ910" s="352">
        <v>1</v>
      </c>
      <c r="CR910" s="352">
        <v>0</v>
      </c>
      <c r="CS910" s="352">
        <v>0</v>
      </c>
      <c r="CT910" s="352">
        <v>0</v>
      </c>
      <c r="CU910" s="313">
        <f>SUM(CQ910:CT910)</f>
      </c>
      <c r="CV910" s="3000">
        <v>0</v>
      </c>
      <c r="CW910" s="3000">
        <v>0</v>
      </c>
      <c r="CX910" s="3000">
        <v>0</v>
      </c>
      <c r="CY910" s="3000">
        <v>0</v>
      </c>
      <c r="CZ910" s="313">
        <f>SUM(CV910:CY910)</f>
      </c>
      <c r="DA910" s="2991"/>
      <c r="DB910" s="2982"/>
      <c r="DC910" s="2982"/>
      <c r="DD910" s="2983"/>
      <c r="DE910" s="3001"/>
      <c r="DF910" s="3002"/>
      <c r="DG910" s="3003"/>
      <c r="DH910" s="3003"/>
      <c r="DI910" s="3004"/>
      <c r="DJ910" s="3001"/>
      <c r="DK910" s="3002"/>
      <c r="DL910" s="3003"/>
      <c r="DM910" s="3003"/>
      <c r="DN910" s="3004"/>
      <c r="DO910" s="3001"/>
      <c r="DP910" s="3003"/>
      <c r="DQ910" s="3003"/>
      <c r="DR910" s="3003"/>
      <c r="DS910" s="3004"/>
      <c r="DT910" s="3001"/>
      <c r="DU910" s="1542"/>
      <c r="DV910" s="1542"/>
      <c r="DW910" s="1542"/>
      <c r="DX910" s="1556"/>
      <c r="DY910" s="477"/>
      <c r="DZ910" s="1542"/>
      <c r="EA910" s="1542"/>
      <c r="EB910" s="1542"/>
      <c r="EC910" s="1556"/>
      <c r="ED910" s="477"/>
      <c r="EE910" s="1542"/>
      <c r="EF910" s="1542"/>
      <c r="EG910" s="1542"/>
      <c r="EH910" s="1556"/>
      <c r="EI910" s="1799"/>
      <c r="EJ910" s="477"/>
      <c r="EK910" s="477"/>
      <c r="EL910" s="1798"/>
      <c r="EM910" s="477"/>
      <c r="EN910" s="477"/>
      <c r="EO910" s="603"/>
      <c r="EP910" s="603"/>
      <c r="EQ910" s="603"/>
      <c r="ER910" s="603"/>
      <c r="ES910" s="603"/>
      <c r="ET910" s="603"/>
      <c r="EU910" s="603"/>
      <c r="EV910" s="603"/>
      <c r="EW910" s="603"/>
      <c r="EX910" s="603"/>
    </row>
    <row r="911" spans="1:154" hidden="1" outlineLevel="2">
      <c r="B911" s="334" t="s">
        <v>413</v>
      </c>
      <c r="C911" s="1577"/>
      <c r="D911" s="933">
        <f t="shared" ref="D911:AV911" si="2006">+D909+D910</f>
      </c>
      <c r="E911" s="933">
        <f t="shared" si="2006"/>
      </c>
      <c r="F911" s="933">
        <f t="shared" si="2006"/>
      </c>
      <c r="G911" s="933">
        <f t="shared" si="2006"/>
      </c>
      <c r="H911" s="933">
        <f t="shared" si="2006"/>
      </c>
      <c r="I911" s="31">
        <f t="shared" si="2006"/>
      </c>
      <c r="J911" s="933">
        <f t="shared" si="2006"/>
      </c>
      <c r="K911" s="933">
        <f t="shared" si="2006"/>
      </c>
      <c r="L911" s="933">
        <f t="shared" si="2006"/>
      </c>
      <c r="M911" s="933">
        <f t="shared" si="2006"/>
      </c>
      <c r="N911" s="31">
        <f t="shared" si="2006"/>
      </c>
      <c r="O911" s="31">
        <f t="shared" si="2006"/>
      </c>
      <c r="P911" s="31">
        <f t="shared" si="2006"/>
      </c>
      <c r="Q911" s="31">
        <f t="shared" si="2006"/>
      </c>
      <c r="R911" s="31">
        <f t="shared" si="2006"/>
      </c>
      <c r="S911" s="31">
        <f t="shared" si="2006"/>
      </c>
      <c r="T911" s="31">
        <f t="shared" si="2006"/>
      </c>
      <c r="U911" s="31">
        <f t="shared" si="2006"/>
      </c>
      <c r="V911" s="31">
        <f t="shared" si="2006"/>
      </c>
      <c r="W911" s="31">
        <f t="shared" si="2006"/>
      </c>
      <c r="X911" s="313">
        <f t="shared" si="2006"/>
      </c>
      <c r="Y911" s="31">
        <f t="shared" si="2006"/>
      </c>
      <c r="Z911" s="31">
        <f t="shared" si="2006"/>
      </c>
      <c r="AA911" s="31">
        <f t="shared" si="2006"/>
      </c>
      <c r="AB911" s="31">
        <f t="shared" si="2006"/>
      </c>
      <c r="AC911" s="313">
        <f t="shared" si="2006"/>
      </c>
      <c r="AD911" s="31">
        <f t="shared" si="2006"/>
      </c>
      <c r="AE911" s="31">
        <f t="shared" si="2006"/>
      </c>
      <c r="AF911" s="31">
        <f t="shared" si="2006"/>
      </c>
      <c r="AG911" s="31">
        <f t="shared" si="2006"/>
      </c>
      <c r="AH911" s="313">
        <f t="shared" si="2006"/>
      </c>
      <c r="AI911" s="933">
        <f t="shared" si="2006"/>
      </c>
      <c r="AJ911" s="933">
        <f t="shared" si="2006"/>
      </c>
      <c r="AK911" s="933">
        <f t="shared" si="2006"/>
      </c>
      <c r="AL911" s="31">
        <f t="shared" si="2006"/>
      </c>
      <c r="AM911" s="313">
        <f t="shared" si="2006"/>
      </c>
      <c r="AN911" s="933">
        <f t="shared" si="2006"/>
      </c>
      <c r="AO911" s="933">
        <f t="shared" si="2006"/>
      </c>
      <c r="AP911" s="933">
        <f t="shared" si="2006"/>
      </c>
      <c r="AQ911" s="933">
        <f t="shared" si="2006"/>
      </c>
      <c r="AR911" s="313">
        <f t="shared" si="2006"/>
      </c>
      <c r="AS911" s="933">
        <f t="shared" si="2006"/>
      </c>
      <c r="AT911" s="933">
        <f t="shared" si="2006"/>
      </c>
      <c r="AU911" s="933">
        <f t="shared" si="2006"/>
      </c>
      <c r="AV911" s="933">
        <f t="shared" si="2006"/>
      </c>
      <c r="AW911" s="313">
        <f>+AW909+AW910</f>
      </c>
      <c r="AX911" s="933">
        <f t="shared" ref="AX911:BT911" si="2007">+AX909+AX910</f>
      </c>
      <c r="AY911" s="933">
        <f t="shared" si="2007"/>
      </c>
      <c r="AZ911" s="933">
        <f t="shared" si="2007"/>
      </c>
      <c r="BA911" s="933">
        <f t="shared" si="2007"/>
      </c>
      <c r="BB911" s="313">
        <f t="shared" si="2007"/>
      </c>
      <c r="BC911" s="933">
        <f t="shared" si="2007"/>
      </c>
      <c r="BD911" s="933">
        <f t="shared" si="2007"/>
      </c>
      <c r="BE911" s="933">
        <f t="shared" si="2007"/>
      </c>
      <c r="BF911" s="933">
        <f t="shared" si="2007"/>
      </c>
      <c r="BG911" s="313">
        <f t="shared" si="2007"/>
      </c>
      <c r="BH911" s="933">
        <f t="shared" si="2007"/>
      </c>
      <c r="BI911" s="933">
        <f t="shared" si="2007"/>
      </c>
      <c r="BJ911" s="933">
        <f t="shared" si="2007"/>
      </c>
      <c r="BK911" s="933">
        <f t="shared" si="2007"/>
      </c>
      <c r="BL911" s="313">
        <f>SUM(BH911:BK911)</f>
      </c>
      <c r="BM911" s="933">
        <f>+BM909+BM910</f>
      </c>
      <c r="BN911" s="933">
        <f>+BN909+BN910</f>
      </c>
      <c r="BO911" s="933">
        <f>+BO909+BO910</f>
      </c>
      <c r="BP911" s="933">
        <f>+BP909+BP910</f>
      </c>
      <c r="BQ911" s="313">
        <f>SUM(BM911:BP911)</f>
      </c>
      <c r="BR911" s="933">
        <f t="shared" si="2007"/>
      </c>
      <c r="BS911" s="933">
        <f t="shared" si="2007"/>
      </c>
      <c r="BT911" s="933">
        <f t="shared" si="2007"/>
      </c>
      <c r="BU911" s="933">
        <f>+BU909+BU910</f>
      </c>
      <c r="BV911" s="313">
        <f>SUM(BR911:BU911)</f>
      </c>
      <c r="BW911" s="933">
        <f>+BW909+BW910</f>
      </c>
      <c r="BX911" s="933">
        <f>+BX909+BX910</f>
      </c>
      <c r="BY911" s="933">
        <f>+BY909+BY910</f>
      </c>
      <c r="BZ911" s="933">
        <f>+BZ909+BZ910</f>
      </c>
      <c r="CA911" s="313">
        <f>SUM(BW911:BZ911)</f>
      </c>
      <c r="CB911" s="933">
        <f>+CB909+CB910</f>
      </c>
      <c r="CC911" s="933">
        <f>+CC909+CC910</f>
      </c>
      <c r="CD911" s="933">
        <f>+CD909+CD910</f>
      </c>
      <c r="CE911" s="933">
        <f>+CE909+CE910</f>
      </c>
      <c r="CF911" s="313">
        <f>SUM(CB911:CE911)</f>
      </c>
      <c r="CG911" s="933">
        <f>+CG909+CG910</f>
      </c>
      <c r="CH911" s="933">
        <f>+CH909+CH910</f>
      </c>
      <c r="CI911" s="933">
        <f>+CI909+CI910</f>
      </c>
      <c r="CJ911" s="933">
        <f>+CJ909+CJ910</f>
      </c>
      <c r="CK911" s="313">
        <f>SUM(CG911:CJ911)</f>
      </c>
      <c r="CL911" s="961">
        <f>+CL909+CL910</f>
      </c>
      <c r="CM911" s="933">
        <f>+CM909+CM910</f>
      </c>
      <c r="CN911" s="933">
        <f>+CN909+CN910</f>
      </c>
      <c r="CO911" s="933">
        <f>+CO909+CO910</f>
      </c>
      <c r="CP911" s="313">
        <f>SUM(CL911:CO911)</f>
      </c>
      <c r="CQ911" s="933">
        <f>+CQ909+CQ910</f>
      </c>
      <c r="CR911" s="933">
        <f>+CR909+CR910</f>
      </c>
      <c r="CS911" s="933">
        <f>+CS909+CS910</f>
      </c>
      <c r="CT911" s="933">
        <f>+CT909+CT910</f>
      </c>
      <c r="CU911" s="313">
        <f>SUM(CQ911:CT911)</f>
      </c>
      <c r="CV911" s="2372">
        <f>+CV909+CV910</f>
      </c>
      <c r="CW911" s="2372">
        <f>+CW909+CW910</f>
      </c>
      <c r="CX911" s="2372">
        <f>+CX909+CX910</f>
      </c>
      <c r="CY911" s="2372">
        <f>+CY909+CY910</f>
      </c>
      <c r="CZ911" s="313">
        <f>SUM(CV911:CY911)</f>
      </c>
      <c r="DA911" s="2991"/>
      <c r="DB911" s="2982"/>
      <c r="DC911" s="2982"/>
      <c r="DD911" s="2983"/>
      <c r="DE911" s="3001"/>
      <c r="DF911" s="3002"/>
      <c r="DG911" s="3003"/>
      <c r="DH911" s="3003"/>
      <c r="DI911" s="3004"/>
      <c r="DJ911" s="3001"/>
      <c r="DK911" s="3002"/>
      <c r="DL911" s="3003"/>
      <c r="DM911" s="3003"/>
      <c r="DN911" s="3004"/>
      <c r="DO911" s="3001"/>
      <c r="DP911" s="3003"/>
      <c r="DQ911" s="3003"/>
      <c r="DR911" s="3003"/>
      <c r="DS911" s="3004"/>
      <c r="DT911" s="3001"/>
      <c r="DU911" s="1542"/>
      <c r="DV911" s="1542"/>
      <c r="DW911" s="1542"/>
      <c r="DX911" s="1556"/>
      <c r="DY911" s="477"/>
      <c r="DZ911" s="1542"/>
      <c r="EA911" s="1542"/>
      <c r="EB911" s="1542"/>
      <c r="EC911" s="1556"/>
      <c r="ED911" s="477"/>
      <c r="EE911" s="1542"/>
      <c r="EF911" s="1542"/>
      <c r="EG911" s="1542"/>
      <c r="EH911" s="1556"/>
      <c r="EI911" s="1799"/>
      <c r="EJ911" s="477"/>
      <c r="EK911" s="477"/>
      <c r="EL911" s="1798"/>
      <c r="EM911" s="477"/>
      <c r="EN911" s="477"/>
      <c r="EO911" s="603"/>
      <c r="EP911" s="603"/>
      <c r="EQ911" s="603"/>
      <c r="ER911" s="603"/>
      <c r="ES911" s="603"/>
      <c r="ET911" s="603"/>
      <c r="EU911" s="603"/>
      <c r="EV911" s="603"/>
      <c r="EW911" s="603"/>
      <c r="EX911" s="603"/>
    </row>
    <row r="912" spans="1:154" hidden="1" outlineLevel="2">
      <c r="B912" s="334"/>
      <c r="C912" s="1577"/>
      <c r="D912" s="933"/>
      <c r="E912" s="933"/>
      <c r="F912" s="933"/>
      <c r="G912" s="933"/>
      <c r="H912" s="933"/>
      <c r="I912" s="31"/>
      <c r="J912" s="933"/>
      <c r="K912" s="933"/>
      <c r="L912" s="933"/>
      <c r="M912" s="933"/>
      <c r="N912" s="31"/>
      <c r="O912" s="31"/>
      <c r="P912" s="31"/>
      <c r="Q912" s="31"/>
      <c r="R912" s="31"/>
      <c r="S912" s="31"/>
      <c r="T912" s="31"/>
      <c r="U912" s="31"/>
      <c r="V912" s="31"/>
      <c r="W912" s="31"/>
      <c r="X912" s="313"/>
      <c r="Y912" s="31"/>
      <c r="Z912" s="31"/>
      <c r="AA912" s="31"/>
      <c r="AB912" s="31"/>
      <c r="AC912" s="313"/>
      <c r="AD912" s="31"/>
      <c r="AE912" s="31"/>
      <c r="AF912" s="31"/>
      <c r="AG912" s="31"/>
      <c r="AH912" s="313"/>
      <c r="AI912" s="933"/>
      <c r="AJ912" s="933"/>
      <c r="AK912" s="933"/>
      <c r="AL912" s="31"/>
      <c r="AM912" s="313"/>
      <c r="AN912" s="933"/>
      <c r="AO912" s="933"/>
      <c r="AP912" s="933"/>
      <c r="AQ912" s="933"/>
      <c r="AR912" s="313"/>
      <c r="AS912" s="933"/>
      <c r="AT912" s="933"/>
      <c r="AU912" s="933"/>
      <c r="AV912" s="933"/>
      <c r="AW912" s="313"/>
      <c r="AX912" s="933"/>
      <c r="AY912" s="933"/>
      <c r="AZ912" s="933"/>
      <c r="BA912" s="933"/>
      <c r="BB912" s="313"/>
      <c r="BC912" s="933"/>
      <c r="BD912" s="933"/>
      <c r="BE912" s="933"/>
      <c r="BF912" s="933"/>
      <c r="BG912" s="313"/>
      <c r="BH912" s="933"/>
      <c r="BI912" s="933"/>
      <c r="BJ912" s="933"/>
      <c r="BK912" s="933"/>
      <c r="BL912" s="313"/>
      <c r="BM912" s="933"/>
      <c r="BN912" s="933"/>
      <c r="BO912" s="933"/>
      <c r="BP912" s="933"/>
      <c r="BQ912" s="313"/>
      <c r="BR912" s="933"/>
      <c r="BS912" s="933"/>
      <c r="BT912" s="933"/>
      <c r="BU912" s="933"/>
      <c r="BV912" s="313"/>
      <c r="BW912" s="933"/>
      <c r="BX912" s="933"/>
      <c r="BY912" s="933"/>
      <c r="BZ912" s="933"/>
      <c r="CA912" s="313"/>
      <c r="CB912" s="933"/>
      <c r="CC912" s="933"/>
      <c r="CD912" s="933"/>
      <c r="CE912" s="933"/>
      <c r="CF912" s="313"/>
      <c r="CG912" s="933"/>
      <c r="CH912" s="933"/>
      <c r="CI912" s="933"/>
      <c r="CJ912" s="933"/>
      <c r="CK912" s="313"/>
      <c r="CL912" s="961"/>
      <c r="CM912" s="933"/>
      <c r="CN912" s="933"/>
      <c r="CO912" s="933"/>
      <c r="CP912" s="313"/>
      <c r="CQ912" s="933"/>
      <c r="CR912" s="933"/>
      <c r="CS912" s="933"/>
      <c r="CT912" s="933"/>
      <c r="CU912" s="313"/>
      <c r="CV912" s="933"/>
      <c r="CW912" s="933"/>
      <c r="CX912" s="933"/>
      <c r="CY912" s="933"/>
      <c r="CZ912" s="313"/>
      <c r="DA912" s="957"/>
      <c r="DB912" s="31"/>
      <c r="DC912" s="31"/>
      <c r="DD912" s="955"/>
      <c r="DE912" s="477"/>
      <c r="DF912" s="1799"/>
      <c r="DG912" s="603"/>
      <c r="DH912" s="603"/>
      <c r="DI912" s="1798"/>
      <c r="DJ912" s="477"/>
      <c r="DK912" s="1799"/>
      <c r="DL912" s="603"/>
      <c r="DM912" s="603"/>
      <c r="DN912" s="1798"/>
      <c r="DO912" s="477"/>
      <c r="DP912" s="603"/>
      <c r="DQ912" s="603"/>
      <c r="DR912" s="603"/>
      <c r="DS912" s="1798"/>
      <c r="DT912" s="477"/>
      <c r="DU912" s="603"/>
      <c r="DV912" s="603"/>
      <c r="DW912" s="603"/>
      <c r="DX912" s="1798"/>
      <c r="DY912" s="477"/>
      <c r="DZ912" s="603"/>
      <c r="EA912" s="603"/>
      <c r="EB912" s="603"/>
      <c r="EC912" s="1798"/>
      <c r="ED912" s="477"/>
      <c r="EE912" s="603"/>
      <c r="EF912" s="603"/>
      <c r="EG912" s="603"/>
      <c r="EH912" s="1798"/>
      <c r="EI912" s="1799"/>
      <c r="EJ912" s="477"/>
      <c r="EK912" s="477"/>
      <c r="EL912" s="1798"/>
      <c r="EM912" s="477"/>
      <c r="EN912" s="477"/>
      <c r="EO912" s="603"/>
      <c r="EP912" s="603"/>
      <c r="EQ912" s="603"/>
      <c r="ER912" s="603"/>
      <c r="ES912" s="603"/>
      <c r="ET912" s="603"/>
      <c r="EU912" s="603"/>
      <c r="EV912" s="603"/>
      <c r="EW912" s="603"/>
      <c r="EX912" s="603"/>
    </row>
    <row r="913" spans="1:154" hidden="1" outlineLevel="2">
      <c r="B913" s="453" t="s">
        <v>492</v>
      </c>
      <c r="C913" s="1577"/>
      <c r="D913" s="933"/>
      <c r="E913" s="933"/>
      <c r="F913" s="933"/>
      <c r="G913" s="933"/>
      <c r="H913" s="933"/>
      <c r="I913" s="31"/>
      <c r="J913" s="933"/>
      <c r="K913" s="933"/>
      <c r="L913" s="933"/>
      <c r="M913" s="933"/>
      <c r="N913" s="31"/>
      <c r="O913" s="31"/>
      <c r="P913" s="31"/>
      <c r="Q913" s="31"/>
      <c r="R913" s="31"/>
      <c r="S913" s="31"/>
      <c r="T913" s="31"/>
      <c r="U913" s="31"/>
      <c r="V913" s="31"/>
      <c r="W913" s="31"/>
      <c r="X913" s="313"/>
      <c r="Y913" s="31"/>
      <c r="Z913" s="31"/>
      <c r="AA913" s="31"/>
      <c r="AB913" s="31"/>
      <c r="AC913" s="313"/>
      <c r="AD913" s="31"/>
      <c r="AE913" s="31"/>
      <c r="AF913" s="31"/>
      <c r="AG913" s="31"/>
      <c r="AH913" s="313"/>
      <c r="AI913" s="933"/>
      <c r="AJ913" s="933"/>
      <c r="AK913" s="933"/>
      <c r="AL913" s="31"/>
      <c r="AM913" s="313"/>
      <c r="AN913" s="933"/>
      <c r="AO913" s="933"/>
      <c r="AP913" s="933"/>
      <c r="AQ913" s="933"/>
      <c r="AR913" s="313"/>
      <c r="AS913" s="933"/>
      <c r="AT913" s="933"/>
      <c r="AU913" s="933"/>
      <c r="AV913" s="933"/>
      <c r="AW913" s="313"/>
      <c r="AX913" s="933"/>
      <c r="AY913" s="933"/>
      <c r="AZ913" s="933"/>
      <c r="BA913" s="933"/>
      <c r="BB913" s="313"/>
      <c r="BC913" s="933"/>
      <c r="BD913" s="933"/>
      <c r="BE913" s="933"/>
      <c r="BF913" s="933"/>
      <c r="BG913" s="313"/>
      <c r="BH913" s="933"/>
      <c r="BI913" s="933"/>
      <c r="BJ913" s="933"/>
      <c r="BK913" s="933"/>
      <c r="BL913" s="364"/>
      <c r="BM913" s="933"/>
      <c r="BN913" s="933"/>
      <c r="BO913" s="933"/>
      <c r="BP913" s="933"/>
      <c r="BQ913" s="313"/>
      <c r="BR913" s="933"/>
      <c r="BS913" s="933"/>
      <c r="BT913" s="933"/>
      <c r="BU913" s="933"/>
      <c r="BV913" s="313"/>
      <c r="BW913" s="933"/>
      <c r="BX913" s="933"/>
      <c r="BY913" s="933"/>
      <c r="BZ913" s="933"/>
      <c r="CA913" s="313"/>
      <c r="CB913" s="933"/>
      <c r="CC913" s="933"/>
      <c r="CD913" s="933"/>
      <c r="CE913" s="933"/>
      <c r="CF913" s="313"/>
      <c r="CG913" s="933"/>
      <c r="CH913" s="933"/>
      <c r="CI913" s="933"/>
      <c r="CJ913" s="933"/>
      <c r="CK913" s="313"/>
      <c r="CL913" s="961"/>
      <c r="CM913" s="933"/>
      <c r="CN913" s="933"/>
      <c r="CO913" s="933"/>
      <c r="CP913" s="313"/>
      <c r="CQ913" s="933"/>
      <c r="CR913" s="933"/>
      <c r="CS913" s="933"/>
      <c r="CT913" s="933"/>
      <c r="CU913" s="313"/>
      <c r="CV913" s="933"/>
      <c r="CW913" s="933"/>
      <c r="CX913" s="933"/>
      <c r="CY913" s="933"/>
      <c r="CZ913" s="313"/>
      <c r="DA913" s="957"/>
      <c r="DB913" s="31"/>
      <c r="DC913" s="31"/>
      <c r="DD913" s="955"/>
      <c r="DE913" s="477"/>
      <c r="DF913" s="1799"/>
      <c r="DG913" s="603"/>
      <c r="DH913" s="603"/>
      <c r="DI913" s="1798"/>
      <c r="DJ913" s="477"/>
      <c r="DK913" s="1799"/>
      <c r="DL913" s="603"/>
      <c r="DM913" s="603"/>
      <c r="DN913" s="1798"/>
      <c r="DO913" s="477"/>
      <c r="DP913" s="603"/>
      <c r="DQ913" s="603"/>
      <c r="DR913" s="603"/>
      <c r="DS913" s="1798"/>
      <c r="DT913" s="477"/>
      <c r="DU913" s="603"/>
      <c r="DV913" s="603"/>
      <c r="DW913" s="603"/>
      <c r="DX913" s="1798"/>
      <c r="DY913" s="477"/>
      <c r="DZ913" s="603"/>
      <c r="EA913" s="603"/>
      <c r="EB913" s="603"/>
      <c r="EC913" s="1798"/>
      <c r="ED913" s="477"/>
      <c r="EE913" s="603"/>
      <c r="EF913" s="603"/>
      <c r="EG913" s="603"/>
      <c r="EH913" s="1798"/>
      <c r="EI913" s="1799"/>
      <c r="EJ913" s="477"/>
      <c r="EK913" s="477"/>
      <c r="EL913" s="1798"/>
      <c r="EM913" s="477"/>
      <c r="EN913" s="477"/>
      <c r="EO913" s="603"/>
      <c r="EP913" s="603"/>
      <c r="EQ913" s="603"/>
      <c r="ER913" s="603"/>
      <c r="ES913" s="603"/>
      <c r="ET913" s="603"/>
      <c r="EU913" s="603"/>
      <c r="EV913" s="603"/>
      <c r="EW913" s="603"/>
      <c r="EX913" s="603"/>
    </row>
    <row r="914" spans="1:154" hidden="1" outlineLevel="2">
      <c r="B914" s="454" t="s">
        <v>187</v>
      </c>
      <c r="C914" s="1577"/>
      <c r="D914" s="933"/>
      <c r="E914" s="933"/>
      <c r="F914" s="933"/>
      <c r="G914" s="933"/>
      <c r="H914" s="933"/>
      <c r="I914" s="926">
        <f t="shared" ref="I914:BT915" si="2008">IF(D909="NM","NM",IF(I909="NM","NM",IF(D909&lt;=0,"NM",IF(I909=0,"NM",IF(ABS(I909/D909-1)&gt;2.5,"NM",IF((ABS(I909-D909)=ABS(ABS(I909)-ABS(D909))),(I909/D909-1),"NM"))))))</f>
      </c>
      <c r="J914" s="926">
        <f t="shared" si="2008"/>
      </c>
      <c r="K914" s="926">
        <f t="shared" si="2008"/>
      </c>
      <c r="L914" s="926">
        <f t="shared" si="2008"/>
      </c>
      <c r="M914" s="926">
        <f t="shared" si="2008"/>
      </c>
      <c r="N914" s="926">
        <f t="shared" si="2008"/>
      </c>
      <c r="O914" s="926">
        <f t="shared" si="2008"/>
      </c>
      <c r="P914" s="926">
        <f t="shared" si="2008"/>
      </c>
      <c r="Q914" s="926">
        <f t="shared" si="2008"/>
      </c>
      <c r="R914" s="926">
        <f t="shared" si="2008"/>
      </c>
      <c r="S914" s="926">
        <f t="shared" si="2008"/>
      </c>
      <c r="T914" s="926">
        <f t="shared" si="2008"/>
      </c>
      <c r="U914" s="926">
        <f t="shared" si="2008"/>
      </c>
      <c r="V914" s="926">
        <f t="shared" si="2008"/>
      </c>
      <c r="W914" s="926">
        <f t="shared" si="2008"/>
      </c>
      <c r="X914" s="1060">
        <f t="shared" si="2008"/>
      </c>
      <c r="Y914" s="926">
        <f t="shared" si="2008"/>
      </c>
      <c r="Z914" s="926">
        <f t="shared" si="2008"/>
      </c>
      <c r="AA914" s="926">
        <f t="shared" si="2008"/>
      </c>
      <c r="AB914" s="926">
        <f t="shared" si="2008"/>
      </c>
      <c r="AC914" s="1060">
        <f t="shared" si="2008"/>
      </c>
      <c r="AD914" s="926">
        <f t="shared" si="2008"/>
      </c>
      <c r="AE914" s="926">
        <f t="shared" si="2008"/>
      </c>
      <c r="AF914" s="926">
        <f t="shared" si="2008"/>
      </c>
      <c r="AG914" s="926">
        <f t="shared" si="2008"/>
      </c>
      <c r="AH914" s="1060">
        <f t="shared" si="2008"/>
      </c>
      <c r="AI914" s="926">
        <f t="shared" si="2008"/>
      </c>
      <c r="AJ914" s="926">
        <f t="shared" si="2008"/>
      </c>
      <c r="AK914" s="926">
        <f t="shared" si="2008"/>
      </c>
      <c r="AL914" s="926">
        <f t="shared" si="2008"/>
      </c>
      <c r="AM914" s="1060">
        <f t="shared" si="2008"/>
      </c>
      <c r="AN914" s="926">
        <f t="shared" si="2008"/>
      </c>
      <c r="AO914" s="926">
        <f t="shared" si="2008"/>
      </c>
      <c r="AP914" s="926">
        <f t="shared" si="2008"/>
      </c>
      <c r="AQ914" s="926">
        <f t="shared" si="2008"/>
      </c>
      <c r="AR914" s="1060">
        <f t="shared" si="2008"/>
      </c>
      <c r="AS914" s="926">
        <f t="shared" si="2008"/>
      </c>
      <c r="AT914" s="926">
        <f t="shared" si="2008"/>
      </c>
      <c r="AU914" s="926">
        <f t="shared" si="2008"/>
      </c>
      <c r="AV914" s="926">
        <f t="shared" si="2008"/>
      </c>
      <c r="AW914" s="1060">
        <f t="shared" si="2008"/>
      </c>
      <c r="AX914" s="926">
        <f t="shared" si="2008"/>
      </c>
      <c r="AY914" s="926">
        <f t="shared" si="2008"/>
      </c>
      <c r="AZ914" s="926">
        <f t="shared" si="2008"/>
      </c>
      <c r="BA914" s="926">
        <f t="shared" si="2008"/>
      </c>
      <c r="BB914" s="1060">
        <f t="shared" si="2008"/>
      </c>
      <c r="BC914" s="926">
        <f t="shared" si="2008"/>
      </c>
      <c r="BD914" s="926">
        <f t="shared" si="2008"/>
      </c>
      <c r="BE914" s="926">
        <f t="shared" si="2008"/>
      </c>
      <c r="BF914" s="926">
        <f t="shared" si="2008"/>
      </c>
      <c r="BG914" s="1060">
        <f>IF(BB909="NM","NM",IF(BG909="NM","NM",IF(BB909&lt;=0,"NM",IF(BG909=0,"NM",IF(ABS(BG909/BB909-1)&gt;2.5,"NM",IF((ABS(BG909-BB909)=ABS(ABS(BG909)-ABS(BB909))),(BG909/BB909-1),"NM"))))))</f>
      </c>
      <c r="BH914" s="926">
        <f t="shared" si="2008"/>
      </c>
      <c r="BI914" s="926">
        <f t="shared" si="2008"/>
      </c>
      <c r="BJ914" s="926">
        <f t="shared" si="2008"/>
      </c>
      <c r="BK914" s="926">
        <f t="shared" si="2008"/>
      </c>
      <c r="BL914" s="1060">
        <f>IF(BG909="NM","NM",IF(BL909="NM","NM",IF(BG909&lt;=0,"NM",IF(BL909=0,"NM",IF(ABS(BL909/BG909-1)&gt;2.5,"NM",IF((ABS(BL909-BG909)=ABS(ABS(BL909)-ABS(BG909))),(BL909/BG909-1),"NM"))))))</f>
      </c>
      <c r="BM914" s="926">
        <f t="shared" si="2008"/>
      </c>
      <c r="BN914" s="926">
        <f>IF(BI909="NM","NM",IF(BN909="NM","NM",IF(BI909&lt;=0,"NM",IF(BN909=0,"NM",IF(ABS(BN909/BI909-1)&gt;2.5,"NM",IF((ABS(BN909-BI909)=ABS(ABS(BN909)-ABS(BI909))),(BN909/BI909-1),"NM"))))))</f>
      </c>
      <c r="BO914" s="926">
        <f t="shared" si="2008"/>
      </c>
      <c r="BP914" s="926">
        <f t="shared" si="2008"/>
      </c>
      <c r="BQ914" s="1060">
        <f t="shared" si="2008"/>
      </c>
      <c r="BR914" s="926">
        <f t="shared" si="2008"/>
      </c>
      <c r="BS914" s="926">
        <f t="shared" si="2008"/>
      </c>
      <c r="BT914" s="926">
        <f t="shared" si="2008"/>
      </c>
      <c r="BU914" s="926">
        <f>IF(BP909="NM","NM",IF(BU909="NM","NM",IF(BP909&lt;=0,"NM",IF(BU909=0,"NM",IF(ABS(BU909/BP909-1)&gt;2.5,"NM",IF((ABS(BU909-BP909)=ABS(ABS(BU909)-ABS(BP909))),(BU909/BP909-1),"NM"))))))</f>
      </c>
      <c r="BV914" s="1060">
        <f t="shared" ref="BP914:BY915" si="2009">IF(BQ909="NM","NM",IF(BV909="NM","NM",IF(BQ909&lt;=0,"NM",IF(BV909=0,"NM",IF(ABS(BV909/BQ909-1)&gt;2.5,"NM",IF((ABS(BV909-BQ909)=ABS(ABS(BV909)-ABS(BQ909))),(BV909/BQ909-1),"NM"))))))</f>
      </c>
      <c r="BW914" s="926">
        <f t="shared" si="2009"/>
      </c>
      <c r="BX914" s="926">
        <f t="shared" si="2009"/>
      </c>
      <c r="BY914" s="926">
        <f t="shared" si="2009"/>
      </c>
      <c r="BZ914" s="926">
        <f>IF(BU909="NM","NM",IF(BZ909="NM","NM",IF(BU909&lt;=0,"NM",IF(BZ909=0,"NM",IF(ABS(BZ909/BU909-1)&gt;2.5,"NM",IF((ABS(BZ909-BU909)=ABS(ABS(BZ909)-ABS(BU909))),(BZ909/BU909-1),"NM"))))))</f>
      </c>
      <c r="CA914" s="2248">
        <f>IF(BV909="NM","NM",IF(CA909="NM","NM",IF(BV909&lt;=0,"NM",IF(CA909=0,"NM",IF(ABS(CA909/BV909-1)&gt;2.5,"NM",IF((ABS(CA909-BV909)=ABS(ABS(CA909)-ABS(BV909))),(CA909/BV909-1),"NM"))))))</f>
      </c>
      <c r="CB914" s="926">
        <f t="shared" ref="CB914:CD915" si="2010">IF(BW909="NM","NM",IF(CB909="NM","NM",IF(BW909&lt;=0,"NM",IF(CB909=0,"NM",IF(ABS(CB909/BW909-1)&gt;2.5,"NM",IF((ABS(CB909-BW909)=ABS(ABS(CB909)-ABS(BW909))),(CB909/BW909-1),"NM"))))))</f>
      </c>
      <c r="CC914" s="926">
        <f t="shared" si="2010"/>
      </c>
      <c r="CD914" s="926" t="str">
        <f t="shared" si="2010"/>
      </c>
      <c r="CE914" s="926" t="str">
        <f>IF(BZ909="NM","NM",IF(CE909="NM","NM",IF(BZ909&lt;=0,"NM",IF(CE909=0,"NM",IF(ABS(CE909/BZ909-1)&gt;2.5,"NM",IF((ABS(CE909-BZ909)=ABS(ABS(CE909)-ABS(BZ909))),(CE909/BZ909-1),"NM"))))))</f>
      </c>
      <c r="CF914" s="2248">
        <f>IF(CA909="NM","NM",IF(CF909="NM","NM",IF(CA909&lt;=0,"NM",IF(CF909=0,"NM",IF(ABS(CF909/CA909-1)&gt;2.5,"NM",IF((ABS(CF909-CA909)=ABS(ABS(CF909)-ABS(CA909))),(CF909/CA909-1),"NM"))))))</f>
      </c>
      <c r="CG914" s="926" t="str">
        <f t="shared" ref="CG914:CI915" si="2011">IF(CB909="NM","NM",IF(CG909="NM","NM",IF(CB909&lt;=0,"NM",IF(CG909=0,"NM",IF(ABS(CG909/CB909-1)&gt;2.5,"NM",IF((ABS(CG909-CB909)=ABS(ABS(CG909)-ABS(CB909))),(CG909/CB909-1),"NM"))))))</f>
      </c>
      <c r="CH914" s="926" t="str">
        <f t="shared" si="2011"/>
      </c>
      <c r="CI914" s="926" t="str">
        <f t="shared" si="2011"/>
      </c>
      <c r="CJ914" s="926" t="str">
        <f>IF(CE909="NM","NM",IF(CJ909="NM","NM",IF(CE909&lt;=0,"NM",IF(CJ909=0,"NM",IF(ABS(CJ909/CE909-1)&gt;2.5,"NM",IF((ABS(CJ909-CE909)=ABS(ABS(CJ909)-ABS(CE909))),(CJ909/CE909-1),"NM"))))))</f>
      </c>
      <c r="CK914" s="1060">
        <f>IF(CF909=0, 0, CK909/CF909-1)</f>
      </c>
      <c r="CL914" s="926" t="str">
        <f t="shared" ref="CL914:CN915" si="2012">IF(CG909="NM","NM",IF(CL909="NM","NM",IF(CG909&lt;=0,"NM",IF(CL909=0,"NM",IF(ABS(CL909/CG909-1)&gt;2.5,"NM",IF((ABS(CL909-CG909)=ABS(ABS(CL909)-ABS(CG909))),(CL909/CG909-1),"NM"))))))</f>
      </c>
      <c r="CM914" s="926" t="str">
        <f t="shared" si="2012"/>
      </c>
      <c r="CN914" s="926" t="str">
        <f t="shared" si="2012"/>
      </c>
      <c r="CO914" s="926" t="str">
        <f>IF(CJ909="NM","NM",IF(CO909="NM","NM",IF(CJ909&lt;=0,"NM",IF(CO909=0,"NM",IF(ABS(CO909/CJ909-1)&gt;2.5,"NM",IF((ABS(CO909-CJ909)=ABS(ABS(CO909)-ABS(CJ909))),(CO909/CJ909-1),"NM"))))))</f>
      </c>
      <c r="CP914" s="1060">
        <f>IF(CK909=0, 0, CP909/CK909-1)</f>
      </c>
      <c r="CQ914" s="926" t="str">
        <f t="shared" ref="CQ914:CX915" si="2013">IF(CL909="NM","NM",IF(CQ909="NM","NM",IF(CL909&lt;=0,"NM",IF(CQ909=0,"NM",IF(ABS(CQ909/CL909-1)&gt;2.5,"NM",IF((ABS(CQ909-CL909)=ABS(ABS(CQ909)-ABS(CL909))),(CQ909/CL909-1),"NM"))))))</f>
      </c>
      <c r="CR914" s="926" t="str">
        <f t="shared" si="2013"/>
      </c>
      <c r="CS914" s="926" t="str">
        <f t="shared" si="2013"/>
      </c>
      <c r="CT914" s="926" t="str">
        <f t="shared" si="2013"/>
      </c>
      <c r="CU914" s="1060">
        <f>IF(CP909=0, 0, CU909/CP909-1)</f>
      </c>
      <c r="CV914" s="926" t="str">
        <f t="shared" si="2013"/>
      </c>
      <c r="CW914" s="926" t="str">
        <f t="shared" si="2013"/>
      </c>
      <c r="CX914" s="926" t="str">
        <f t="shared" si="2013"/>
      </c>
      <c r="CY914" s="926" t="str">
        <f>IF(CT909="NM","NM",IF(CY909="NM","NM",IF(CT909&lt;=0,"NM",IF(CY909=0,"NM",IF(ABS(CY909/CT909-1)&gt;2.5,"NM",IF((ABS(CY909-CT909)=ABS(ABS(CY909)-ABS(CT909))),(CY909/CT909-1),"NM"))))))</f>
      </c>
      <c r="CZ914" s="1060">
        <f>IF(CU909=0, 0, CZ909/CU909-1)</f>
      </c>
      <c r="DA914" s="828"/>
      <c r="DB914" s="361"/>
      <c r="DC914" s="361"/>
      <c r="DD914" s="927"/>
      <c r="DE914" s="317"/>
      <c r="DF914" s="828"/>
      <c r="DG914" s="361"/>
      <c r="DH914" s="361"/>
      <c r="DI914" s="927"/>
      <c r="DJ914" s="836"/>
      <c r="DK914" s="828"/>
      <c r="DL914" s="361"/>
      <c r="DM914" s="361"/>
      <c r="DN914" s="927"/>
      <c r="DO914" s="836"/>
      <c r="DP914" s="361"/>
      <c r="DQ914" s="361"/>
      <c r="DR914" s="361"/>
      <c r="DS914" s="927"/>
      <c r="DT914" s="836"/>
      <c r="DU914" s="361"/>
      <c r="DV914" s="361"/>
      <c r="DW914" s="361"/>
      <c r="DX914" s="927"/>
      <c r="DY914" s="836"/>
      <c r="DZ914" s="361"/>
      <c r="EA914" s="361"/>
      <c r="EB914" s="361"/>
      <c r="EC914" s="927"/>
      <c r="ED914" s="836"/>
      <c r="EE914" s="361"/>
      <c r="EF914" s="361"/>
      <c r="EG914" s="361"/>
      <c r="EH914" s="927"/>
      <c r="EI914" s="29"/>
      <c r="EJ914" s="673"/>
      <c r="EK914" s="673"/>
      <c r="EL914" s="660"/>
      <c r="EM914" s="673"/>
      <c r="EN914" s="673"/>
      <c r="EO914" s="659"/>
      <c r="EP914" s="659"/>
      <c r="EQ914" s="659"/>
      <c r="ER914" s="659"/>
      <c r="ES914" s="659"/>
      <c r="ET914" s="659"/>
      <c r="EU914" s="659"/>
      <c r="EV914" s="659"/>
      <c r="EW914" s="659"/>
      <c r="EX914" s="659"/>
    </row>
    <row r="915" spans="1:154" hidden="1" outlineLevel="2">
      <c r="B915" s="454" t="s">
        <v>412</v>
      </c>
      <c r="C915" s="1577"/>
      <c r="D915" s="933"/>
      <c r="E915" s="933"/>
      <c r="F915" s="933"/>
      <c r="G915" s="933"/>
      <c r="H915" s="933"/>
      <c r="I915" s="926">
        <f t="shared" si="2008"/>
      </c>
      <c r="J915" s="926">
        <f t="shared" si="2008"/>
      </c>
      <c r="K915" s="926">
        <f t="shared" si="2008"/>
      </c>
      <c r="L915" s="926">
        <f t="shared" si="2008"/>
      </c>
      <c r="M915" s="926">
        <f t="shared" si="2008"/>
      </c>
      <c r="N915" s="926">
        <f t="shared" si="2008"/>
      </c>
      <c r="O915" s="926">
        <f t="shared" si="2008"/>
      </c>
      <c r="P915" s="926">
        <f t="shared" si="2008"/>
      </c>
      <c r="Q915" s="926">
        <f t="shared" si="2008"/>
      </c>
      <c r="R915" s="926">
        <f t="shared" si="2008"/>
      </c>
      <c r="S915" s="926">
        <f t="shared" si="2008"/>
      </c>
      <c r="T915" s="926">
        <f t="shared" si="2008"/>
      </c>
      <c r="U915" s="926">
        <f t="shared" si="2008"/>
      </c>
      <c r="V915" s="926">
        <f t="shared" si="2008"/>
      </c>
      <c r="W915" s="926">
        <f t="shared" si="2008"/>
      </c>
      <c r="X915" s="1060">
        <f t="shared" si="2008"/>
      </c>
      <c r="Y915" s="926">
        <f t="shared" si="2008"/>
      </c>
      <c r="Z915" s="926">
        <f t="shared" si="2008"/>
      </c>
      <c r="AA915" s="926">
        <f t="shared" si="2008"/>
      </c>
      <c r="AB915" s="926">
        <f t="shared" si="2008"/>
      </c>
      <c r="AC915" s="1060">
        <f t="shared" si="2008"/>
      </c>
      <c r="AD915" s="926">
        <f t="shared" si="2008"/>
      </c>
      <c r="AE915" s="926">
        <f t="shared" si="2008"/>
      </c>
      <c r="AF915" s="926">
        <f t="shared" si="2008"/>
      </c>
      <c r="AG915" s="926">
        <f t="shared" si="2008"/>
      </c>
      <c r="AH915" s="1060">
        <f t="shared" si="2008"/>
      </c>
      <c r="AI915" s="926">
        <f t="shared" si="2008"/>
      </c>
      <c r="AJ915" s="926">
        <f t="shared" si="2008"/>
      </c>
      <c r="AK915" s="926">
        <f t="shared" si="2008"/>
      </c>
      <c r="AL915" s="926">
        <f t="shared" si="2008"/>
      </c>
      <c r="AM915" s="1060">
        <f t="shared" si="2008"/>
      </c>
      <c r="AN915" s="926">
        <f t="shared" si="2008"/>
      </c>
      <c r="AO915" s="926">
        <f t="shared" si="2008"/>
      </c>
      <c r="AP915" s="926">
        <f t="shared" si="2008"/>
      </c>
      <c r="AQ915" s="926">
        <f t="shared" si="2008"/>
      </c>
      <c r="AR915" s="1060">
        <f t="shared" si="2008"/>
      </c>
      <c r="AS915" s="926">
        <f t="shared" si="2008"/>
      </c>
      <c r="AT915" s="926">
        <f t="shared" si="2008"/>
      </c>
      <c r="AU915" s="926">
        <f t="shared" si="2008"/>
      </c>
      <c r="AV915" s="926">
        <f t="shared" si="2008"/>
      </c>
      <c r="AW915" s="1060">
        <f t="shared" si="2008"/>
      </c>
      <c r="AX915" s="926">
        <f t="shared" si="2008"/>
      </c>
      <c r="AY915" s="926">
        <f t="shared" si="2008"/>
      </c>
      <c r="AZ915" s="926">
        <f t="shared" si="2008"/>
      </c>
      <c r="BA915" s="926">
        <f t="shared" si="2008"/>
      </c>
      <c r="BB915" s="1060">
        <f t="shared" si="2008"/>
      </c>
      <c r="BC915" s="926">
        <f t="shared" si="2008"/>
      </c>
      <c r="BD915" s="926">
        <f t="shared" si="2008"/>
      </c>
      <c r="BE915" s="926">
        <f t="shared" si="2008"/>
      </c>
      <c r="BF915" s="926">
        <f t="shared" si="2008"/>
      </c>
      <c r="BG915" s="1060">
        <f>IF(BB910="NM","NM",IF(BG910="NM","NM",IF(BB910&lt;=0,"NM",IF(BG910=0,"NM",IF(ABS(BG910/BB910-1)&gt;2.5,"NM",IF((ABS(BG910-BB910)=ABS(ABS(BG910)-ABS(BB910))),(BG910/BB910-1),"NM"))))))</f>
      </c>
      <c r="BH915" s="926">
        <f t="shared" si="2008"/>
      </c>
      <c r="BI915" s="926">
        <f t="shared" si="2008"/>
      </c>
      <c r="BJ915" s="926">
        <f t="shared" si="2008"/>
      </c>
      <c r="BK915" s="926">
        <f t="shared" si="2008"/>
      </c>
      <c r="BL915" s="1060">
        <f>IF(BG910="NM","NM",IF(BL910="NM","NM",IF(BG910&lt;=0,"NM",IF(BL910=0,"NM",IF(ABS(BL910/BG910-1)&gt;2.5,"NM",IF((ABS(BL910-BG910)=ABS(ABS(BL910)-ABS(BG910))),(BL910/BG910-1),"NM"))))))</f>
      </c>
      <c r="BM915" s="926">
        <f t="shared" si="2008"/>
      </c>
      <c r="BN915" s="926">
        <f t="shared" si="2008"/>
      </c>
      <c r="BO915" s="926">
        <f t="shared" si="2008"/>
      </c>
      <c r="BP915" s="926">
        <f t="shared" si="2009"/>
      </c>
      <c r="BQ915" s="1060">
        <f t="shared" si="2009"/>
      </c>
      <c r="BR915" s="926">
        <f t="shared" si="2009"/>
      </c>
      <c r="BS915" s="926">
        <f t="shared" si="2009"/>
      </c>
      <c r="BT915" s="926">
        <f t="shared" si="2009"/>
      </c>
      <c r="BU915" s="926">
        <f>IF(BP910="NM","NM",IF(BU910="NM","NM",IF(BP910&lt;=0,"NM",IF(BU910=0,"NM",IF(ABS(BU910/BP910-1)&gt;2.5,"NM",IF((ABS(BU910-BP910)=ABS(ABS(BU910)-ABS(BP910))),(BU910/BP910-1),"NM"))))))</f>
      </c>
      <c r="BV915" s="1060">
        <f t="shared" si="2009"/>
      </c>
      <c r="BW915" s="926">
        <f t="shared" si="2009"/>
      </c>
      <c r="BX915" s="926">
        <f t="shared" si="2009"/>
      </c>
      <c r="BY915" s="926">
        <f t="shared" si="2009"/>
      </c>
      <c r="BZ915" s="926">
        <f>IF(BU910="NM","NM",IF(BZ910="NM","NM",IF(BU910&lt;=0,"NM",IF(BZ910=0,"NM",IF(ABS(BZ910/BU910-1)&gt;2.5,"NM",IF((ABS(BZ910-BU910)=ABS(ABS(BZ910)-ABS(BU910))),(BZ910/BU910-1),"NM"))))))</f>
      </c>
      <c r="CA915" s="1060">
        <f>IF(BV910="NM","NM",IF(CA910="NM","NM",IF(BV910&lt;=0,"NM",IF(CA910=0,"NM",IF(ABS(CA910/BV910-1)&gt;2.5,"NM",IF((ABS(CA910-BV910)=ABS(ABS(CA910)-ABS(BV910))),(CA910/BV910-1),"NM"))))))</f>
      </c>
      <c r="CB915" s="926">
        <f t="shared" si="2010"/>
      </c>
      <c r="CC915" s="926">
        <f t="shared" si="2010"/>
      </c>
      <c r="CD915" s="926">
        <f t="shared" si="2010"/>
      </c>
      <c r="CE915" s="926">
        <f>IF(BZ910="NM","NM",IF(CE910="NM","NM",IF(BZ910&lt;=0,"NM",IF(CE910=0,"NM",IF(ABS(CE910/BZ910-1)&gt;2.5,"NM",IF((ABS(CE910-BZ910)=ABS(ABS(CE910)-ABS(BZ910))),(CE910/BZ910-1),"NM"))))))</f>
      </c>
      <c r="CF915" s="1060">
        <f>IF(CA910="NM","NM",IF(CF910="NM","NM",IF(CA910&lt;=0,"NM",IF(CF910=0,"NM",IF(ABS(CF910/CA910-1)&gt;2.5,"NM",IF((ABS(CF910-CA910)=ABS(ABS(CF910)-ABS(CA910))),(CF910/CA910-1),"NM"))))))</f>
      </c>
      <c r="CG915" s="926">
        <f t="shared" si="2011"/>
      </c>
      <c r="CH915" s="926">
        <f t="shared" si="2011"/>
      </c>
      <c r="CI915" s="926">
        <f t="shared" si="2011"/>
      </c>
      <c r="CJ915" s="926">
        <f>IF(CE910="NM","NM",IF(CJ910="NM","NM",IF(CE910&lt;=0,"NM",IF(CJ910=0,"NM",IF(ABS(CJ910/CE910-1)&gt;2.5,"NM",IF((ABS(CJ910-CE910)=ABS(ABS(CJ910)-ABS(CE910))),(CJ910/CE910-1),"NM"))))))</f>
      </c>
      <c r="CK915" s="1060">
        <f>IF(CF910=0, "NA", CK910/CF910-1)</f>
      </c>
      <c r="CL915" s="926">
        <f t="shared" si="2012"/>
      </c>
      <c r="CM915" s="926">
        <f t="shared" si="2012"/>
      </c>
      <c r="CN915" s="926">
        <f t="shared" si="2012"/>
      </c>
      <c r="CO915" s="926" t="str">
        <f>IF(CJ910="NM","NM",IF(CO910="NM","NM",IF(CJ910&lt;=0,"NM",IF(CO910=0,"NM",IF(ABS(CO910/CJ910-1)&gt;2.5,"NM",IF((ABS(CO910-CJ910)=ABS(ABS(CO910)-ABS(CJ910))),(CO910/CJ910-1),"NM"))))))</f>
      </c>
      <c r="CP915" s="1060">
        <f>IF(CK910=0, "NA", CP910/CK910-1)</f>
      </c>
      <c r="CQ915" s="926">
        <f t="shared" si="2013"/>
      </c>
      <c r="CR915" s="926" t="str">
        <f t="shared" si="2013"/>
      </c>
      <c r="CS915" s="926" t="str">
        <f t="shared" si="2013"/>
      </c>
      <c r="CT915" s="926" t="str">
        <f t="shared" si="2013"/>
      </c>
      <c r="CU915" s="1060">
        <f>IF(CP910=0, "NA", CU910/CP910-1)</f>
      </c>
      <c r="CV915" s="926" t="str">
        <f t="shared" si="2013"/>
      </c>
      <c r="CW915" s="926" t="str">
        <f t="shared" si="2013"/>
      </c>
      <c r="CX915" s="926" t="str">
        <f t="shared" si="2013"/>
      </c>
      <c r="CY915" s="926" t="str">
        <f>IF(CT910="NM","NM",IF(CY910="NM","NM",IF(CT910&lt;=0,"NM",IF(CY910=0,"NM",IF(ABS(CY910/CT910-1)&gt;2.5,"NM",IF((ABS(CY910-CT910)=ABS(ABS(CY910)-ABS(CT910))),(CY910/CT910-1),"NM"))))))</f>
      </c>
      <c r="CZ915" s="1060">
        <f>IF(CU910=0, "NA", CZ910/CU910-1)</f>
      </c>
      <c r="DA915" s="2251"/>
      <c r="DB915" s="959"/>
      <c r="DC915" s="959"/>
      <c r="DD915" s="960"/>
      <c r="DE915" s="1060"/>
      <c r="DF915" s="926"/>
      <c r="DG915" s="926"/>
      <c r="DH915" s="926"/>
      <c r="DI915" s="928"/>
      <c r="DJ915" s="1060"/>
      <c r="DK915" s="926"/>
      <c r="DL915" s="926"/>
      <c r="DM915" s="926"/>
      <c r="DN915" s="928"/>
      <c r="DO915" s="1060"/>
      <c r="DP915" s="926"/>
      <c r="DQ915" s="926"/>
      <c r="DR915" s="926"/>
      <c r="DS915" s="928"/>
      <c r="DT915" s="1060"/>
      <c r="DU915" s="926"/>
      <c r="DV915" s="926"/>
      <c r="DW915" s="926"/>
      <c r="DX915" s="928"/>
      <c r="DY915" s="1060"/>
      <c r="DZ915" s="926"/>
      <c r="EA915" s="926"/>
      <c r="EB915" s="926"/>
      <c r="EC915" s="928"/>
      <c r="ED915" s="1060"/>
      <c r="EE915" s="926"/>
      <c r="EF915" s="926"/>
      <c r="EG915" s="926"/>
      <c r="EH915" s="928"/>
      <c r="EI915" s="958"/>
      <c r="EJ915" s="1060"/>
      <c r="EK915" s="1060"/>
      <c r="EL915" s="928"/>
      <c r="EM915" s="1060"/>
      <c r="EN915" s="1060"/>
      <c r="EO915" s="926"/>
      <c r="EP915" s="926"/>
      <c r="EQ915" s="926"/>
      <c r="ER915" s="926"/>
      <c r="ES915" s="926"/>
      <c r="ET915" s="926"/>
      <c r="EU915" s="926"/>
      <c r="EV915" s="926"/>
      <c r="EW915" s="926"/>
      <c r="EX915" s="926"/>
    </row>
    <row r="916" spans="1:154" hidden="1" outlineLevel="2">
      <c r="B916" s="454" t="s">
        <v>256</v>
      </c>
      <c r="C916" s="1577"/>
      <c r="D916" s="933"/>
      <c r="E916" s="933"/>
      <c r="F916" s="933"/>
      <c r="G916" s="933"/>
      <c r="H916" s="933"/>
      <c r="I916" s="946"/>
      <c r="J916" s="946"/>
      <c r="K916" s="946"/>
      <c r="L916" s="946"/>
      <c r="M916" s="946"/>
      <c r="N916" s="24"/>
      <c r="O916" s="24"/>
      <c r="P916" s="24"/>
      <c r="Q916" s="24"/>
      <c r="R916" s="24"/>
      <c r="S916" s="946"/>
      <c r="T916" s="24"/>
      <c r="U916" s="24"/>
      <c r="V916" s="24"/>
      <c r="W916" s="24"/>
      <c r="X916" s="2248"/>
      <c r="Y916" s="24"/>
      <c r="Z916" s="24"/>
      <c r="AA916" s="24"/>
      <c r="AB916" s="24"/>
      <c r="AC916" s="2248"/>
      <c r="AD916" s="24"/>
      <c r="AE916" s="24"/>
      <c r="AF916" s="24"/>
      <c r="AG916" s="24"/>
      <c r="AH916" s="2248"/>
      <c r="AI916" s="959">
        <f t="shared" ref="AI916:BM916" si="2014">IF(ISNUMBER(AI915),(1+AI915)/(1+AI$21)-1,"NM")</f>
      </c>
      <c r="AJ916" s="959">
        <f t="shared" si="2014"/>
      </c>
      <c r="AK916" s="959">
        <f t="shared" si="2014"/>
      </c>
      <c r="AL916" s="959">
        <f t="shared" si="2014"/>
      </c>
      <c r="AM916" s="2248">
        <f t="shared" si="2014"/>
      </c>
      <c r="AN916" s="959">
        <f t="shared" si="2014"/>
      </c>
      <c r="AO916" s="959">
        <f t="shared" si="2014"/>
      </c>
      <c r="AP916" s="959">
        <f t="shared" si="2014"/>
      </c>
      <c r="AQ916" s="959">
        <f t="shared" si="2014"/>
      </c>
      <c r="AR916" s="2248">
        <f t="shared" si="2014"/>
      </c>
      <c r="AS916" s="959">
        <f t="shared" si="2014"/>
      </c>
      <c r="AT916" s="959">
        <f t="shared" si="2014"/>
      </c>
      <c r="AU916" s="959">
        <f t="shared" si="2014"/>
      </c>
      <c r="AV916" s="959">
        <f t="shared" si="2014"/>
      </c>
      <c r="AW916" s="2248">
        <f t="shared" si="2014"/>
      </c>
      <c r="AX916" s="959">
        <f t="shared" si="2014"/>
      </c>
      <c r="AY916" s="959">
        <f t="shared" si="2014"/>
      </c>
      <c r="AZ916" s="959">
        <f t="shared" si="2014"/>
      </c>
      <c r="BA916" s="959">
        <f t="shared" si="2014"/>
      </c>
      <c r="BB916" s="2248">
        <f t="shared" si="2014"/>
      </c>
      <c r="BC916" s="959">
        <f t="shared" si="2014"/>
      </c>
      <c r="BD916" s="959">
        <f t="shared" si="2014"/>
      </c>
      <c r="BE916" s="959">
        <f t="shared" si="2014"/>
      </c>
      <c r="BF916" s="959">
        <f t="shared" si="2014"/>
      </c>
      <c r="BG916" s="1066">
        <f t="shared" si="2014"/>
      </c>
      <c r="BH916" s="959">
        <f t="shared" si="2014"/>
      </c>
      <c r="BI916" s="959">
        <f t="shared" si="2014"/>
      </c>
      <c r="BJ916" s="959">
        <f t="shared" si="2014"/>
      </c>
      <c r="BK916" s="959">
        <f t="shared" si="2014"/>
      </c>
      <c r="BL916" s="2248">
        <f t="shared" si="2014"/>
      </c>
      <c r="BM916" s="407">
        <f t="shared" si="2014"/>
      </c>
      <c r="BN916" s="407">
        <v>6.4000000000000001E-2</v>
      </c>
      <c r="BO916" s="407">
        <v>8.6999999999999994E-2</v>
      </c>
      <c r="BP916" s="649">
        <v>4.8000000000000001E-2</v>
      </c>
      <c r="BQ916" s="406">
        <v>5.8999999999999997E-2</v>
      </c>
      <c r="BR916" s="407">
        <v>6.4000000000000001E-2</v>
      </c>
      <c r="BS916" s="407">
        <v>8.0000000000000002E-3</v>
      </c>
      <c r="BT916" s="407">
        <v>-5.0000000000000001E-3</v>
      </c>
      <c r="BU916" s="649">
        <v>1.2999999999999999E-2</v>
      </c>
      <c r="BV916" s="406">
        <v>0.01</v>
      </c>
      <c r="BW916" s="649">
        <v>-7.9000000000000001E-2</v>
      </c>
      <c r="BX916" s="649">
        <v>-1.4999999999999999E-2</v>
      </c>
      <c r="BY916" s="649">
        <v>-2.8000000000000001E-2</v>
      </c>
      <c r="BZ916" s="836">
        <v>-2.5000000000000001E-2</v>
      </c>
      <c r="CA916" s="448">
        <v>-3.5999999999999997E-2</v>
      </c>
      <c r="CB916" s="29">
        <v>-8.9999999999999993E-3</v>
      </c>
      <c r="CC916" s="649">
        <v>-4.2999999999999997E-2</v>
      </c>
      <c r="CD916" s="649">
        <v>-0.80900000000000005</v>
      </c>
      <c r="CE916" s="836">
        <v>-0.90500000000000003</v>
      </c>
      <c r="CF916" s="448">
        <v>-0.44900000000000001</v>
      </c>
      <c r="CG916" s="29">
        <v>-0.83499999999999996</v>
      </c>
      <c r="CH916" s="29">
        <v>-0.90100000000000002</v>
      </c>
      <c r="CI916" s="29">
        <v>-0.39800000000000002</v>
      </c>
      <c r="CJ916" s="29" t="s">
        <v>463</v>
      </c>
      <c r="CK916" s="2248">
        <f>CK915-CK$21</f>
      </c>
      <c r="CL916" s="29" t="s">
        <v>463</v>
      </c>
      <c r="CM916" s="29" t="s">
        <v>463</v>
      </c>
      <c r="CN916" s="29">
        <v>-0.55800000000000005</v>
      </c>
      <c r="CO916" s="29" t="s">
        <v>463</v>
      </c>
      <c r="CP916" s="2248">
        <f>CP915-CP$21</f>
      </c>
      <c r="CQ916" s="29" t="s">
        <v>463</v>
      </c>
      <c r="CR916" s="29" t="s">
        <v>463</v>
      </c>
      <c r="CS916" s="29" t="s">
        <v>463</v>
      </c>
      <c r="CT916" s="29" t="s">
        <v>463</v>
      </c>
      <c r="CU916" s="2248">
        <f>CU915-CU$21</f>
      </c>
      <c r="CV916" s="29" t="s">
        <v>463</v>
      </c>
      <c r="CW916" s="29" t="s">
        <v>463</v>
      </c>
      <c r="CX916" s="29" t="s">
        <v>463</v>
      </c>
      <c r="CY916" s="29" t="s">
        <v>463</v>
      </c>
      <c r="CZ916" s="2248">
        <f>CZ915-CZ$21</f>
      </c>
      <c r="DA916" s="828"/>
      <c r="DB916" s="361"/>
      <c r="DC916" s="361"/>
      <c r="DD916" s="927"/>
      <c r="DE916" s="317"/>
      <c r="DF916" s="828"/>
      <c r="DG916" s="361"/>
      <c r="DH916" s="361"/>
      <c r="DI916" s="927"/>
      <c r="DJ916" s="836"/>
      <c r="DK916" s="828"/>
      <c r="DL916" s="361"/>
      <c r="DM916" s="361"/>
      <c r="DN916" s="927"/>
      <c r="DO916" s="836"/>
      <c r="DP916" s="361"/>
      <c r="DQ916" s="361"/>
      <c r="DR916" s="361"/>
      <c r="DS916" s="927"/>
      <c r="DT916" s="836"/>
      <c r="DU916" s="361"/>
      <c r="DV916" s="361"/>
      <c r="DW916" s="361"/>
      <c r="DX916" s="927"/>
      <c r="DY916" s="836"/>
      <c r="DZ916" s="361"/>
      <c r="EA916" s="361"/>
      <c r="EB916" s="361"/>
      <c r="EC916" s="927"/>
      <c r="ED916" s="836"/>
      <c r="EE916" s="361"/>
      <c r="EF916" s="361"/>
      <c r="EG916" s="361"/>
      <c r="EH916" s="927"/>
      <c r="EI916" s="29"/>
      <c r="EJ916" s="673"/>
      <c r="EK916" s="673"/>
      <c r="EL916" s="660"/>
      <c r="EM916" s="673"/>
      <c r="EN916" s="673"/>
      <c r="EO916" s="659"/>
      <c r="EP916" s="659"/>
      <c r="EQ916" s="659"/>
      <c r="ER916" s="659"/>
      <c r="ES916" s="659"/>
      <c r="ET916" s="659"/>
      <c r="EU916" s="659"/>
      <c r="EV916" s="659"/>
      <c r="EW916" s="659"/>
      <c r="EX916" s="659"/>
    </row>
    <row r="917" spans="1:154" hidden="1" outlineLevel="2">
      <c r="B917" s="454" t="s">
        <v>413</v>
      </c>
      <c r="C917" s="1577"/>
      <c r="D917" s="933"/>
      <c r="E917" s="933"/>
      <c r="F917" s="933"/>
      <c r="G917" s="933"/>
      <c r="H917" s="933"/>
      <c r="I917" s="926">
        <f t="shared" ref="I917:BT917" si="2015">IF(D911="NM","NM",IF(I911="NM","NM",IF(D911&lt;=0,"NM",IF(I911=0,"NM",IF(ABS(I911/D911-1)&gt;2.5,"NM",IF((ABS(I911-D911)=ABS(ABS(I911)-ABS(D911))),(I911/D911-1),"NM"))))))</f>
      </c>
      <c r="J917" s="926">
        <f t="shared" si="2015"/>
      </c>
      <c r="K917" s="926">
        <f t="shared" si="2015"/>
      </c>
      <c r="L917" s="926">
        <f t="shared" si="2015"/>
      </c>
      <c r="M917" s="926">
        <f t="shared" si="2015"/>
      </c>
      <c r="N917" s="926">
        <f t="shared" si="2015"/>
      </c>
      <c r="O917" s="926">
        <f t="shared" si="2015"/>
      </c>
      <c r="P917" s="926">
        <f t="shared" si="2015"/>
      </c>
      <c r="Q917" s="926">
        <f t="shared" si="2015"/>
      </c>
      <c r="R917" s="926">
        <f t="shared" si="2015"/>
      </c>
      <c r="S917" s="926">
        <f t="shared" si="2015"/>
      </c>
      <c r="T917" s="926">
        <f t="shared" si="2015"/>
      </c>
      <c r="U917" s="926">
        <f t="shared" si="2015"/>
      </c>
      <c r="V917" s="926">
        <f t="shared" si="2015"/>
      </c>
      <c r="W917" s="926">
        <f t="shared" si="2015"/>
      </c>
      <c r="X917" s="1060">
        <f t="shared" si="2015"/>
      </c>
      <c r="Y917" s="926">
        <f t="shared" si="2015"/>
      </c>
      <c r="Z917" s="926">
        <f t="shared" si="2015"/>
      </c>
      <c r="AA917" s="926">
        <f t="shared" si="2015"/>
      </c>
      <c r="AB917" s="926">
        <f t="shared" si="2015"/>
      </c>
      <c r="AC917" s="1060">
        <f t="shared" si="2015"/>
      </c>
      <c r="AD917" s="926">
        <f t="shared" si="2015"/>
      </c>
      <c r="AE917" s="926">
        <f t="shared" si="2015"/>
      </c>
      <c r="AF917" s="926">
        <f t="shared" si="2015"/>
      </c>
      <c r="AG917" s="926">
        <f t="shared" si="2015"/>
      </c>
      <c r="AH917" s="1060">
        <f t="shared" si="2015"/>
      </c>
      <c r="AI917" s="926">
        <f t="shared" si="2015"/>
      </c>
      <c r="AJ917" s="926">
        <f t="shared" si="2015"/>
      </c>
      <c r="AK917" s="926">
        <f t="shared" si="2015"/>
      </c>
      <c r="AL917" s="926">
        <f t="shared" si="2015"/>
      </c>
      <c r="AM917" s="1060">
        <f t="shared" si="2015"/>
      </c>
      <c r="AN917" s="926">
        <f t="shared" si="2015"/>
      </c>
      <c r="AO917" s="926">
        <f t="shared" si="2015"/>
      </c>
      <c r="AP917" s="926">
        <f t="shared" si="2015"/>
      </c>
      <c r="AQ917" s="926">
        <f t="shared" si="2015"/>
      </c>
      <c r="AR917" s="1060">
        <f t="shared" si="2015"/>
      </c>
      <c r="AS917" s="926">
        <f t="shared" si="2015"/>
      </c>
      <c r="AT917" s="926">
        <f t="shared" si="2015"/>
      </c>
      <c r="AU917" s="926">
        <f t="shared" si="2015"/>
      </c>
      <c r="AV917" s="926">
        <f t="shared" si="2015"/>
      </c>
      <c r="AW917" s="1060">
        <f t="shared" si="2015"/>
      </c>
      <c r="AX917" s="926">
        <f t="shared" si="2015"/>
      </c>
      <c r="AY917" s="926">
        <f t="shared" si="2015"/>
      </c>
      <c r="AZ917" s="926">
        <f t="shared" si="2015"/>
      </c>
      <c r="BA917" s="926">
        <f t="shared" si="2015"/>
      </c>
      <c r="BB917" s="1060">
        <f t="shared" si="2015"/>
      </c>
      <c r="BC917" s="926">
        <f t="shared" si="2015"/>
      </c>
      <c r="BD917" s="926">
        <f t="shared" si="2015"/>
      </c>
      <c r="BE917" s="926">
        <f t="shared" si="2015"/>
      </c>
      <c r="BF917" s="926">
        <f t="shared" si="2015"/>
      </c>
      <c r="BG917" s="1060">
        <f t="shared" si="2015"/>
      </c>
      <c r="BH917" s="926">
        <f t="shared" si="2015"/>
      </c>
      <c r="BI917" s="926">
        <f t="shared" si="2015"/>
      </c>
      <c r="BJ917" s="926">
        <f t="shared" si="2015"/>
      </c>
      <c r="BK917" s="926">
        <f t="shared" si="2015"/>
      </c>
      <c r="BL917" s="1060">
        <f t="shared" si="2015"/>
      </c>
      <c r="BM917" s="926">
        <f t="shared" si="2015"/>
      </c>
      <c r="BN917" s="926">
        <f t="shared" si="2015"/>
      </c>
      <c r="BO917" s="926">
        <f t="shared" si="2015"/>
      </c>
      <c r="BP917" s="926">
        <f t="shared" si="2015"/>
      </c>
      <c r="BQ917" s="1060">
        <f t="shared" si="2015"/>
      </c>
      <c r="BR917" s="926">
        <f t="shared" si="2015"/>
      </c>
      <c r="BS917" s="926">
        <f t="shared" si="2015"/>
      </c>
      <c r="BT917" s="926">
        <f t="shared" si="2015"/>
      </c>
      <c r="BU917" s="926">
        <f>IF(BP911="NM","NM",IF(BU911="NM","NM",IF(BP911&lt;=0,"NM",IF(BU911=0,"NM",IF(ABS(BU911/BP911-1)&gt;2.5,"NM",IF((ABS(BU911-BP911)=ABS(ABS(BU911)-ABS(BP911))),(BU911/BP911-1),"NM"))))))</f>
      </c>
      <c r="BV917" s="1060">
        <f>IF(BQ911="NM","NM",IF(BV911="NM","NM",IF(BQ911&lt;=0,"NM",IF(BV911=0,"NM",IF(ABS(BV911/BQ911-1)&gt;2.5,"NM",IF((ABS(BV911-BQ911)=ABS(ABS(BV911)-ABS(BQ911))),(BV911/BQ911-1),"NM"))))))</f>
      </c>
      <c r="BW917" s="926">
        <f t="shared" ref="BW917:CI917" si="2016">IF(BR911="NM","NM",IF(BW911="NM","NM",IF(BR911&lt;=0,"NM",IF(BW911=0,"NM",IF(ABS(BW911/BR911-1)&gt;2.5,"NM",IF((ABS(BW911-BR911)=ABS(ABS(BW911)-ABS(BR911))),(BW911/BR911-1),"NM"))))))</f>
      </c>
      <c r="BX917" s="926">
        <f t="shared" si="2016"/>
      </c>
      <c r="BY917" s="926">
        <f t="shared" si="2016"/>
      </c>
      <c r="BZ917" s="926">
        <f>IF(BU911="NM","NM",IF(BZ911="NM","NM",IF(BU911&lt;=0,"NM",IF(BZ911=0,"NM",IF(ABS(BZ911/BU911-1)&gt;2.5,"NM",IF((ABS(BZ911-BU911)=ABS(ABS(BZ911)-ABS(BU911))),(BZ911/BU911-1),"NM"))))))</f>
      </c>
      <c r="CA917" s="1060">
        <f>IF(BV911="NM","NM",IF(CA911="NM","NM",IF(BV911&lt;=0,"NM",IF(CA911=0,"NM",IF(ABS(CA911/BV911-1)&gt;2.5,"NM",IF((ABS(CA911-BV911)=ABS(ABS(CA911)-ABS(BV911))),(CA911/BV911-1),"NM"))))))</f>
      </c>
      <c r="CB917" s="926">
        <f t="shared" si="2016"/>
      </c>
      <c r="CC917" s="926">
        <f t="shared" si="2016"/>
      </c>
      <c r="CD917" s="926">
        <f t="shared" si="2016"/>
      </c>
      <c r="CE917" s="926">
        <f>IF(BZ911="NM","NM",IF(CE911="NM","NM",IF(BZ911&lt;=0,"NM",IF(CE911=0,"NM",IF(ABS(CE911/BZ911-1)&gt;2.5,"NM",IF((ABS(CE911-BZ911)=ABS(ABS(CE911)-ABS(BZ911))),(CE911/BZ911-1),"NM"))))))</f>
      </c>
      <c r="CF917" s="1060">
        <f>IF(CA911="NM","NM",IF(CF911="NM","NM",IF(CA911&lt;=0,"NM",IF(CF911=0,"NM",IF(ABS(CF911/CA911-1)&gt;2.5,"NM",IF((ABS(CF911-CA911)=ABS(ABS(CF911)-ABS(CA911))),(CF911/CA911-1),"NM"))))))</f>
      </c>
      <c r="CG917" s="926">
        <f t="shared" si="2016"/>
      </c>
      <c r="CH917" s="926">
        <f t="shared" si="2016"/>
      </c>
      <c r="CI917" s="926">
        <f t="shared" si="2016"/>
      </c>
      <c r="CJ917" s="926">
        <f>IF(CJ911&lt;=0,0,(CJ911/CE911-1))</f>
      </c>
      <c r="CK917" s="1060">
        <f>IF(CF911=0, "NA", CK911/CF911-1)</f>
      </c>
      <c r="CL917" s="926">
        <f>IF(CG911="NM","NM",IF(CL911="NM","NM",IF(CG911&lt;=0,"NM",IF(CL911=0,"NM",IF(ABS(CL911/CG911-1)&gt;2.5,"NM",IF((ABS(CL911-CG911)=ABS(ABS(CL911)-ABS(CG911))),(CL911/CG911-1),"NM"))))))</f>
      </c>
      <c r="CM917" s="926">
        <f>IF(CH911="NM","NM",IF(CM911="NM","NM",IF(CH911&lt;=0,"NM",IF(CM911=0,"NM",IF(ABS(CM911/CH911-1)&gt;2.5,"NM",IF((ABS(CM911-CH911)=ABS(ABS(CM911)-ABS(CH911))),(CM911/CH911-1),"NM"))))))</f>
      </c>
      <c r="CN917" s="926">
        <f>IF(CI911="NM","NM",IF(CN911="NM","NM",IF(CI911&lt;=0,"NM",IF(CN911=0,"NM",IF(ABS(CN911/CI911-1)&gt;2.5,"NM",IF((ABS(CN911-CI911)=ABS(ABS(CN911)-ABS(CI911))),(CN911/CI911-1),"NM"))))))</f>
      </c>
      <c r="CO917" s="926">
        <f>IF(CO911&lt;=0,0,(CO911/CJ911-1))</f>
      </c>
      <c r="CP917" s="1060">
        <f>IF(CK911=0, "NA", CP911/CK911-1)</f>
      </c>
      <c r="CQ917" s="926">
        <f>IF(CL911="NM","NM",IF(CQ911="NM","NM",IF(CL911&lt;=0,"NM",IF(CQ911=0,"NM",IF(ABS(CQ911/CL911-1)&gt;2.5,"NM",IF((ABS(CQ911-CL911)=ABS(ABS(CQ911)-ABS(CL911))),(CQ911/CL911-1),"NM"))))))</f>
      </c>
      <c r="CR917" s="926" t="str">
        <f>IF(CM911="NM","NM",IF(CR911="NM","NM",IF(CM911&lt;=0,"NM",IF(CR911=0,"NM",IF(ABS(CR911/CM911-1)&gt;2.5,"NM",IF((ABS(CR911-CM911)=ABS(ABS(CR911)-ABS(CM911))),(CR911/CM911-1),"NM"))))))</f>
      </c>
      <c r="CS917" s="926" t="str">
        <f>IF(CN911="NM","NM",IF(CS911="NM","NM",IF(CN911&lt;=0,"NM",IF(CS911=0,"NM",IF(ABS(CS911/CN911-1)&gt;2.5,"NM",IF((ABS(CS911-CN911)=ABS(ABS(CS911)-ABS(CN911))),(CS911/CN911-1),"NM"))))))</f>
      </c>
      <c r="CT917" s="926" t="str">
        <f>IF(CO911="NM","NM",IF(CT911="NM","NM",IF(CO911&lt;=0,"NM",IF(CT911=0,"NM",IF(ABS(CT911/CO911-1)&gt;2.5,"NM",IF((ABS(CT911-CO911)=ABS(ABS(CT911)-ABS(CO911))),(CT911/CO911-1),"NM"))))))</f>
      </c>
      <c r="CU917" s="1060">
        <f>IF(CP911=0, "NA", CU911/CP911-1)</f>
      </c>
      <c r="CV917" s="926" t="str">
        <f>IF(CQ911="NM","NM",IF(CV911="NM","NM",IF(CQ911&lt;=0,"NM",IF(CV911=0,"NM",IF(ABS(CV911/CQ911-1)&gt;2.5,"NM",IF((ABS(CV911-CQ911)=ABS(ABS(CV911)-ABS(CQ911))),(CV911/CQ911-1),"NM"))))))</f>
      </c>
      <c r="CW917" s="926" t="str">
        <f>IF(CR911="NM","NM",IF(CW911="NM","NM",IF(CR911&lt;=0,"NM",IF(CW911=0,"NM",IF(ABS(CW911/CR911-1)&gt;2.5,"NM",IF((ABS(CW911-CR911)=ABS(ABS(CW911)-ABS(CR911))),(CW911/CR911-1),"NM"))))))</f>
      </c>
      <c r="CX917" s="926" t="str">
        <f>IF(CS911="NM","NM",IF(CX911="NM","NM",IF(CS911&lt;=0,"NM",IF(CX911=0,"NM",IF(ABS(CX911/CS911-1)&gt;2.5,"NM",IF((ABS(CX911-CS911)=ABS(ABS(CX911)-ABS(CS911))),(CX911/CS911-1),"NM"))))))</f>
      </c>
      <c r="CY917" s="926" t="str">
        <f>IF(CT911="NM","NM",IF(CY911="NM","NM",IF(CT911&lt;=0,"NM",IF(CY911=0,"NM",IF(ABS(CY911/CT911-1)&gt;2.5,"NM",IF((ABS(CY911-CT911)=ABS(ABS(CY911)-ABS(CT911))),(CY911/CT911-1),"NM"))))))</f>
      </c>
      <c r="CZ917" s="1060">
        <f>IF(CU911=0, "NA", CZ911/CU911-1)</f>
      </c>
      <c r="DA917" s="958"/>
      <c r="DB917" s="926"/>
      <c r="DC917" s="926"/>
      <c r="DD917" s="928"/>
      <c r="DE917" s="1060"/>
      <c r="DF917" s="926"/>
      <c r="DG917" s="926"/>
      <c r="DH917" s="926"/>
      <c r="DI917" s="928"/>
      <c r="DJ917" s="1060"/>
      <c r="DK917" s="926"/>
      <c r="DL917" s="926"/>
      <c r="DM917" s="926"/>
      <c r="DN917" s="928"/>
      <c r="DO917" s="1060"/>
      <c r="DP917" s="926"/>
      <c r="DQ917" s="926"/>
      <c r="DR917" s="926"/>
      <c r="DS917" s="928"/>
      <c r="DT917" s="1060"/>
      <c r="DU917" s="926"/>
      <c r="DV917" s="926"/>
      <c r="DW917" s="926"/>
      <c r="DX917" s="928"/>
      <c r="DY917" s="3005"/>
      <c r="DZ917" s="926"/>
      <c r="EA917" s="926"/>
      <c r="EB917" s="926"/>
      <c r="EC917" s="928"/>
      <c r="ED917" s="1060"/>
      <c r="EE917" s="926"/>
      <c r="EF917" s="926"/>
      <c r="EG917" s="926"/>
      <c r="EH917" s="928"/>
      <c r="EI917" s="958"/>
      <c r="EJ917" s="1060"/>
      <c r="EK917" s="1060"/>
      <c r="EL917" s="928"/>
      <c r="EM917" s="1060"/>
      <c r="EN917" s="1060"/>
      <c r="EO917" s="926"/>
      <c r="EP917" s="926"/>
      <c r="EQ917" s="926"/>
      <c r="ER917" s="926"/>
      <c r="ES917" s="926"/>
      <c r="ET917" s="926"/>
      <c r="EU917" s="926"/>
      <c r="EV917" s="926"/>
      <c r="EW917" s="926"/>
      <c r="EX917" s="926"/>
    </row>
    <row r="918" spans="1:154" hidden="1" outlineLevel="1">
      <c r="B918" s="334"/>
      <c r="C918" s="1577"/>
      <c r="D918" s="933"/>
      <c r="E918" s="933"/>
      <c r="F918" s="933"/>
      <c r="G918" s="933"/>
      <c r="H918" s="933"/>
      <c r="I918" s="31"/>
      <c r="J918" s="933"/>
      <c r="K918" s="933"/>
      <c r="L918" s="933"/>
      <c r="M918" s="933"/>
      <c r="N918" s="31"/>
      <c r="O918" s="31"/>
      <c r="P918" s="31"/>
      <c r="Q918" s="31"/>
      <c r="R918" s="31"/>
      <c r="S918" s="31"/>
      <c r="T918" s="31"/>
      <c r="U918" s="31"/>
      <c r="V918" s="31"/>
      <c r="W918" s="31"/>
      <c r="X918" s="313"/>
      <c r="Y918" s="31"/>
      <c r="Z918" s="31"/>
      <c r="AA918" s="31"/>
      <c r="AB918" s="31"/>
      <c r="AC918" s="313"/>
      <c r="AD918" s="31"/>
      <c r="AE918" s="31"/>
      <c r="AF918" s="31"/>
      <c r="AG918" s="31"/>
      <c r="AH918" s="313"/>
      <c r="AI918" s="933"/>
      <c r="AJ918" s="933"/>
      <c r="AK918" s="933"/>
      <c r="AL918" s="31"/>
      <c r="AM918" s="313"/>
      <c r="AN918" s="933"/>
      <c r="AO918" s="933"/>
      <c r="AP918" s="933"/>
      <c r="AQ918" s="933"/>
      <c r="AR918" s="313"/>
      <c r="AS918" s="933"/>
      <c r="AT918" s="933"/>
      <c r="AU918" s="933"/>
      <c r="AV918" s="933"/>
      <c r="AW918" s="313"/>
      <c r="AX918" s="933"/>
      <c r="AY918" s="933"/>
      <c r="AZ918" s="933"/>
      <c r="BA918" s="933"/>
      <c r="BB918" s="313"/>
      <c r="BC918" s="933"/>
      <c r="BD918" s="933"/>
      <c r="BE918" s="933"/>
      <c r="BF918" s="933"/>
      <c r="BG918" s="313"/>
      <c r="BH918" s="933"/>
      <c r="BI918" s="933"/>
      <c r="BJ918" s="933"/>
      <c r="BK918" s="933"/>
      <c r="BL918" s="313"/>
      <c r="BM918" s="933"/>
      <c r="BN918" s="933"/>
      <c r="BO918" s="933"/>
      <c r="BP918" s="933"/>
      <c r="BQ918" s="313"/>
      <c r="BR918" s="933"/>
      <c r="BS918" s="933"/>
      <c r="BT918" s="933"/>
      <c r="BU918" s="933"/>
      <c r="BV918" s="313"/>
      <c r="BW918" s="933"/>
      <c r="BX918" s="933"/>
      <c r="BY918" s="933"/>
      <c r="BZ918" s="933"/>
      <c r="CA918" s="313"/>
      <c r="CB918" s="933"/>
      <c r="CC918" s="933"/>
      <c r="CD918" s="933"/>
      <c r="CE918" s="933"/>
      <c r="CF918" s="313"/>
      <c r="CG918" s="933"/>
      <c r="CH918" s="933"/>
      <c r="CI918" s="933"/>
      <c r="CJ918" s="933"/>
      <c r="CK918" s="313"/>
      <c r="CL918" s="961"/>
      <c r="CM918" s="933"/>
      <c r="CN918" s="933"/>
      <c r="CO918" s="933"/>
      <c r="CP918" s="313"/>
      <c r="CQ918" s="933"/>
      <c r="CR918" s="933"/>
      <c r="CS918" s="933"/>
      <c r="CT918" s="933"/>
      <c r="CU918" s="313"/>
      <c r="CV918" s="933"/>
      <c r="CW918" s="933"/>
      <c r="CX918" s="933"/>
      <c r="CY918" s="933"/>
      <c r="CZ918" s="313"/>
      <c r="DA918" s="957"/>
      <c r="DB918" s="31"/>
      <c r="DC918" s="31"/>
      <c r="DD918" s="955"/>
      <c r="DE918" s="477"/>
      <c r="DF918" s="1799"/>
      <c r="DG918" s="603"/>
      <c r="DH918" s="603"/>
      <c r="DI918" s="1798"/>
      <c r="DJ918" s="477"/>
      <c r="DK918" s="1799"/>
      <c r="DL918" s="603"/>
      <c r="DM918" s="603"/>
      <c r="DN918" s="1798"/>
      <c r="DO918" s="477"/>
      <c r="DP918" s="603"/>
      <c r="DQ918" s="603"/>
      <c r="DR918" s="603"/>
      <c r="DS918" s="1798"/>
      <c r="DT918" s="477"/>
      <c r="DU918" s="603"/>
      <c r="DV918" s="603"/>
      <c r="DW918" s="603"/>
      <c r="DX918" s="1798"/>
      <c r="DY918" s="3005"/>
      <c r="DZ918" s="603"/>
      <c r="EA918" s="603"/>
      <c r="EB918" s="603"/>
      <c r="EC918" s="1798"/>
      <c r="ED918" s="477"/>
      <c r="EE918" s="603"/>
      <c r="EF918" s="603"/>
      <c r="EG918" s="603"/>
      <c r="EH918" s="1798"/>
      <c r="EI918" s="1799"/>
      <c r="EJ918" s="477"/>
      <c r="EK918" s="477"/>
      <c r="EL918" s="1798"/>
      <c r="EM918" s="477"/>
      <c r="EN918" s="477"/>
      <c r="EO918" s="603"/>
      <c r="EP918" s="603"/>
      <c r="EQ918" s="603"/>
      <c r="ER918" s="603"/>
      <c r="ES918" s="603"/>
      <c r="ET918" s="603"/>
      <c r="EU918" s="603"/>
      <c r="EV918" s="603"/>
      <c r="EW918" s="603"/>
      <c r="EX918" s="603"/>
    </row>
    <row r="919" spans="1:154" collapsed="1">
      <c r="B919" s="452" t="s">
        <v>600</v>
      </c>
      <c r="C919" s="1992"/>
      <c r="D919" s="1980"/>
      <c r="E919" s="449"/>
      <c r="F919" s="449"/>
      <c r="G919" s="449"/>
      <c r="H919" s="449"/>
      <c r="I919" s="450"/>
      <c r="J919" s="449"/>
      <c r="K919" s="449"/>
      <c r="L919" s="449"/>
      <c r="M919" s="449"/>
      <c r="N919" s="450"/>
      <c r="O919" s="450"/>
      <c r="P919" s="450"/>
      <c r="Q919" s="450"/>
      <c r="R919" s="450"/>
      <c r="S919" s="450"/>
      <c r="T919" s="450"/>
      <c r="U919" s="450"/>
      <c r="V919" s="450"/>
      <c r="W919" s="450"/>
      <c r="X919" s="451"/>
      <c r="Y919" s="450"/>
      <c r="Z919" s="450"/>
      <c r="AA919" s="450"/>
      <c r="AB919" s="450"/>
      <c r="AC919" s="451"/>
      <c r="AD919" s="450"/>
      <c r="AE919" s="450"/>
      <c r="AF919" s="450"/>
      <c r="AG919" s="450"/>
      <c r="AH919" s="451"/>
      <c r="AI919" s="449"/>
      <c r="AJ919" s="449"/>
      <c r="AK919" s="449"/>
      <c r="AL919" s="450"/>
      <c r="AM919" s="451"/>
      <c r="AN919" s="449"/>
      <c r="AO919" s="449"/>
      <c r="AP919" s="449"/>
      <c r="AQ919" s="450"/>
      <c r="AR919" s="451"/>
      <c r="AS919" s="449"/>
      <c r="AT919" s="449"/>
      <c r="AU919" s="449"/>
      <c r="AV919" s="450"/>
      <c r="AW919" s="451"/>
      <c r="AX919" s="449"/>
      <c r="AY919" s="449"/>
      <c r="AZ919" s="449"/>
      <c r="BA919" s="449"/>
      <c r="BB919" s="451"/>
      <c r="BC919" s="449"/>
      <c r="BD919" s="449"/>
      <c r="BE919" s="449"/>
      <c r="BF919" s="449"/>
      <c r="BG919" s="451"/>
      <c r="BH919" s="449"/>
      <c r="BI919" s="449"/>
      <c r="BJ919" s="449"/>
      <c r="BK919" s="449"/>
      <c r="BL919" s="451"/>
      <c r="BM919" s="449"/>
      <c r="BN919" s="449"/>
      <c r="BO919" s="449"/>
      <c r="BP919" s="449"/>
      <c r="BQ919" s="451"/>
      <c r="BR919" s="449"/>
      <c r="BS919" s="449"/>
      <c r="BT919" s="449"/>
      <c r="BU919" s="449"/>
      <c r="BV919" s="451"/>
      <c r="BW919" s="449"/>
      <c r="BX919" s="449"/>
      <c r="BY919" s="449"/>
      <c r="BZ919" s="449"/>
      <c r="CA919" s="451"/>
      <c r="CB919" s="449"/>
      <c r="CC919" s="449"/>
      <c r="CD919" s="449"/>
      <c r="CE919" s="449"/>
      <c r="CF919" s="451"/>
      <c r="CG919" s="449"/>
      <c r="CH919" s="449"/>
      <c r="CI919" s="449"/>
      <c r="CJ919" s="449"/>
      <c r="CK919" s="451"/>
      <c r="CL919" s="449"/>
      <c r="CM919" s="449"/>
      <c r="CN919" s="449"/>
      <c r="CO919" s="1395"/>
      <c r="CP919" s="451"/>
      <c r="CQ919" s="449"/>
      <c r="CR919" s="449"/>
      <c r="CS919" s="449"/>
      <c r="CT919" s="1141"/>
      <c r="CU919" s="451"/>
      <c r="CV919" s="449"/>
      <c r="CW919" s="449"/>
      <c r="CX919" s="449"/>
      <c r="CY919" s="1141"/>
      <c r="CZ919" s="451"/>
      <c r="DA919" s="449"/>
      <c r="DB919" s="1367"/>
      <c r="DC919" s="1367"/>
      <c r="DD919" s="1196"/>
      <c r="DE919" s="1824"/>
      <c r="DF919" s="1825"/>
      <c r="DG919" s="1826"/>
      <c r="DH919" s="1826"/>
      <c r="DI919" s="1827"/>
      <c r="DJ919" s="1824"/>
      <c r="DK919" s="1825"/>
      <c r="DL919" s="1826"/>
      <c r="DM919" s="1826"/>
      <c r="DN919" s="1827"/>
      <c r="DO919" s="1824"/>
      <c r="DP919" s="1826"/>
      <c r="DQ919" s="1826"/>
      <c r="DR919" s="1826"/>
      <c r="DS919" s="1827"/>
      <c r="DT919" s="1824"/>
      <c r="DU919" s="2113"/>
      <c r="DV919" s="2113"/>
      <c r="DW919" s="2113"/>
      <c r="DX919" s="2114"/>
      <c r="DY919" s="1824"/>
      <c r="DZ919" s="2113"/>
      <c r="EA919" s="3476"/>
      <c r="EB919" s="3476"/>
      <c r="EC919" s="2114"/>
      <c r="ED919" s="1824"/>
      <c r="EE919" s="2113"/>
      <c r="EF919" s="3476"/>
      <c r="EG919" s="3476"/>
      <c r="EH919" s="3476"/>
      <c r="EI919" s="1828"/>
      <c r="EJ919" s="1824"/>
      <c r="EK919" s="1824"/>
      <c r="EL919" s="2957"/>
      <c r="EM919" s="2194"/>
      <c r="EN919" s="2208"/>
      <c r="EO919" s="2208"/>
      <c r="EP919" s="2208"/>
      <c r="EQ919" s="2208"/>
      <c r="ER919" s="2208"/>
      <c r="ES919" s="2208"/>
      <c r="ET919" s="2208"/>
      <c r="EU919" s="2208"/>
      <c r="EV919" s="2208"/>
      <c r="EW919" s="2208"/>
      <c r="EX919" s="2208"/>
    </row>
    <row r="920" spans="1:154">
      <c r="B920" s="334" t="s">
        <v>921</v>
      </c>
      <c r="C920" s="1577"/>
      <c r="D920" s="933"/>
      <c r="E920" s="933"/>
      <c r="F920" s="933"/>
      <c r="G920" s="933"/>
      <c r="H920" s="933"/>
      <c r="I920" s="31"/>
      <c r="J920" s="933"/>
      <c r="K920" s="933"/>
      <c r="L920" s="933"/>
      <c r="M920" s="933"/>
      <c r="N920" s="31"/>
      <c r="O920" s="31"/>
      <c r="P920" s="31"/>
      <c r="Q920" s="31"/>
      <c r="R920" s="31"/>
      <c r="S920" s="31"/>
      <c r="T920" s="31"/>
      <c r="U920" s="31"/>
      <c r="V920" s="31"/>
      <c r="W920" s="31"/>
      <c r="X920" s="313"/>
      <c r="Y920" s="31"/>
      <c r="Z920" s="31"/>
      <c r="AA920" s="31"/>
      <c r="AB920" s="31"/>
      <c r="AC920" s="313"/>
      <c r="AD920" s="31"/>
      <c r="AE920" s="31"/>
      <c r="AF920" s="31"/>
      <c r="AG920" s="31"/>
      <c r="AH920" s="313"/>
      <c r="AI920" s="933"/>
      <c r="AJ920" s="933"/>
      <c r="AK920" s="933"/>
      <c r="AL920" s="31"/>
      <c r="AM920" s="313"/>
      <c r="AN920" s="933"/>
      <c r="AO920" s="933"/>
      <c r="AP920" s="933"/>
      <c r="AQ920" s="933"/>
      <c r="AR920" s="313"/>
      <c r="AS920" s="933"/>
      <c r="AT920" s="933"/>
      <c r="AU920" s="933"/>
      <c r="AV920" s="933"/>
      <c r="AW920" s="313"/>
      <c r="AX920" s="933"/>
      <c r="AY920" s="933"/>
      <c r="AZ920" s="933"/>
      <c r="BA920" s="933"/>
      <c r="BB920" s="313"/>
      <c r="BC920" s="933"/>
      <c r="BD920" s="933"/>
      <c r="BE920" s="933"/>
      <c r="BF920" s="933"/>
      <c r="BG920" s="313"/>
      <c r="BH920" s="933"/>
      <c r="BI920" s="933"/>
      <c r="BJ920" s="933"/>
      <c r="BK920" s="933"/>
      <c r="BL920" s="313"/>
      <c r="BM920" s="352">
        <v>596</v>
      </c>
      <c r="BN920" s="352">
        <v>621</v>
      </c>
      <c r="BO920" s="352">
        <v>609</v>
      </c>
      <c r="BP920" s="352">
        <v>639</v>
      </c>
      <c r="BQ920" s="313"/>
      <c r="BR920" s="352"/>
      <c r="BS920" s="352"/>
      <c r="BT920" s="352"/>
      <c r="BU920" s="352"/>
      <c r="BV920" s="313"/>
      <c r="BW920" s="352"/>
      <c r="BX920" s="352"/>
      <c r="BY920" s="352"/>
      <c r="BZ920" s="352"/>
      <c r="CA920" s="313"/>
      <c r="CB920" s="933">
        <f t="shared" ref="CB920:CE921" si="2017">CB932+CB944+CB956</f>
      </c>
      <c r="CC920" s="933">
        <f t="shared" si="2017"/>
      </c>
      <c r="CD920" s="933">
        <f t="shared" si="2017"/>
      </c>
      <c r="CE920" s="933">
        <f t="shared" si="2017"/>
      </c>
      <c r="CF920" s="1061">
        <f>SUM(CB920:CE920)</f>
      </c>
      <c r="CG920" s="933">
        <f t="shared" ref="CG920:CJ921" si="2018">CG932+CG944+CG956</f>
      </c>
      <c r="CH920" s="933">
        <f t="shared" si="2018"/>
      </c>
      <c r="CI920" s="933">
        <f t="shared" si="2018"/>
      </c>
      <c r="CJ920" s="933">
        <f t="shared" si="2018"/>
      </c>
      <c r="CK920" s="1061">
        <f>SUM(CG920:CJ920)</f>
      </c>
      <c r="CL920" s="3008">
        <f t="shared" ref="CL920:CO921" si="2019">CL932+CL944+CL956</f>
      </c>
      <c r="CM920" s="3008">
        <f t="shared" si="2019"/>
      </c>
      <c r="CN920" s="3008">
        <f t="shared" si="2019"/>
      </c>
      <c r="CO920" s="3008">
        <f t="shared" si="2019"/>
      </c>
      <c r="CP920" s="3009">
        <f>SUM(CL920:CO920)</f>
      </c>
      <c r="CQ920" s="933">
        <f t="shared" ref="CQ920:CT921" si="2020">CQ932+CQ944+CQ956</f>
      </c>
      <c r="CR920" s="933">
        <f t="shared" si="2020"/>
      </c>
      <c r="CS920" s="933">
        <f t="shared" si="2020"/>
      </c>
      <c r="CT920" s="933">
        <f t="shared" si="2020"/>
      </c>
      <c r="CU920" s="1061">
        <f>SUM(CQ920:CT920)</f>
      </c>
      <c r="CV920" s="933">
        <f t="shared" ref="CV920:CY921" si="2021">CV932+CV944+CV956</f>
      </c>
      <c r="CW920" s="933">
        <f t="shared" si="2021"/>
      </c>
      <c r="CX920" s="933">
        <f t="shared" si="2021"/>
      </c>
      <c r="CY920" s="933">
        <f t="shared" si="2021"/>
      </c>
      <c r="CZ920" s="1061">
        <f>SUM(CV920:CY920)</f>
      </c>
      <c r="DA920" s="933">
        <f t="shared" ref="DA920:DE921" si="2022">DA932+DA944+DA956</f>
      </c>
      <c r="DB920" s="933">
        <f t="shared" si="2022"/>
      </c>
      <c r="DC920" s="933">
        <f t="shared" si="2022"/>
      </c>
      <c r="DD920" s="933">
        <f t="shared" si="2022"/>
      </c>
      <c r="DE920" s="1835">
        <f t="shared" si="2022"/>
      </c>
      <c r="DF920" s="1284">
        <f t="shared" ref="DF920:DU921" si="2023">DF932+DF944</f>
      </c>
      <c r="DG920" s="1284">
        <f t="shared" si="2023"/>
      </c>
      <c r="DH920" s="1284">
        <f t="shared" si="2023"/>
      </c>
      <c r="DI920" s="1284">
        <f t="shared" si="2023"/>
      </c>
      <c r="DJ920" s="1835">
        <f t="shared" si="2023"/>
      </c>
      <c r="DK920" s="1284">
        <f t="shared" si="2023"/>
      </c>
      <c r="DL920" s="1284">
        <f t="shared" si="2023"/>
      </c>
      <c r="DM920" s="1284">
        <f t="shared" si="2023"/>
      </c>
      <c r="DN920" s="1284">
        <f t="shared" si="2023"/>
      </c>
      <c r="DO920" s="1835">
        <f t="shared" si="2023"/>
      </c>
      <c r="DP920" s="1284">
        <f t="shared" si="2023"/>
      </c>
      <c r="DQ920" s="1284">
        <f t="shared" si="2023"/>
      </c>
      <c r="DR920" s="1284">
        <f t="shared" si="2023"/>
      </c>
      <c r="DS920" s="1284">
        <f t="shared" si="2023"/>
      </c>
      <c r="DT920" s="3113">
        <f t="shared" si="2023"/>
      </c>
      <c r="DU920" s="1284">
        <f t="shared" si="2023"/>
      </c>
      <c r="DV920" s="1284">
        <f t="shared" ref="DV920:DX921" si="2024">DV932+DV944</f>
      </c>
      <c r="DW920" s="1284">
        <f t="shared" si="2024"/>
      </c>
      <c r="DX920" s="3302">
        <f t="shared" si="2024"/>
      </c>
      <c r="DY920" s="3113">
        <f>DY932+DY944</f>
      </c>
      <c r="DZ920" s="1284">
        <f t="shared" ref="DZ920:EH921" si="2025">DZ932+DZ944</f>
      </c>
      <c r="EA920" s="3109">
        <f t="shared" si="2025"/>
      </c>
      <c r="EB920" s="1284">
        <f t="shared" si="2025"/>
      </c>
      <c r="EC920" s="3302">
        <f t="shared" si="2025"/>
      </c>
      <c r="ED920" s="3113">
        <f>ED932+ED944</f>
      </c>
      <c r="EE920" s="1284">
        <f t="shared" ref="EE920:EF920" si="2026">EE932+EE944</f>
      </c>
      <c r="EF920" s="3109">
        <f t="shared" si="2026"/>
      </c>
      <c r="EG920" s="1542">
        <f t="shared" si="2025"/>
      </c>
      <c r="EH920" s="2479">
        <f t="shared" si="2025"/>
      </c>
      <c r="EI920" s="1877">
        <f t="shared" ref="EI920:EL921" si="2027">EI932+EI944</f>
      </c>
      <c r="EJ920" s="1877">
        <f t="shared" si="2027"/>
      </c>
      <c r="EK920" s="1835">
        <f t="shared" si="2027"/>
      </c>
      <c r="EL920" s="1835">
        <f t="shared" si="2027"/>
      </c>
      <c r="EM920" s="1835">
        <f>EM932+EM944</f>
      </c>
      <c r="EN920" s="1835">
        <f>EN932+EN944</f>
      </c>
      <c r="EO920" s="477"/>
      <c r="EP920" s="477"/>
      <c r="EQ920" s="477"/>
      <c r="ER920" s="477"/>
      <c r="ES920" s="477"/>
      <c r="ET920" s="477"/>
      <c r="EU920" s="477"/>
      <c r="EV920" s="477"/>
      <c r="EW920" s="477"/>
      <c r="EX920" s="477"/>
    </row>
    <row r="921" spans="1:154">
      <c r="B921" s="334" t="s">
        <v>412</v>
      </c>
      <c r="C921" s="1577"/>
      <c r="D921" s="933"/>
      <c r="E921" s="933"/>
      <c r="F921" s="933"/>
      <c r="G921" s="933"/>
      <c r="H921" s="933"/>
      <c r="I921" s="31"/>
      <c r="J921" s="933"/>
      <c r="K921" s="933"/>
      <c r="L921" s="933"/>
      <c r="M921" s="933"/>
      <c r="N921" s="31"/>
      <c r="O921" s="31"/>
      <c r="P921" s="31"/>
      <c r="Q921" s="31"/>
      <c r="R921" s="31"/>
      <c r="S921" s="31"/>
      <c r="T921" s="31"/>
      <c r="U921" s="31"/>
      <c r="V921" s="31"/>
      <c r="W921" s="31"/>
      <c r="X921" s="313"/>
      <c r="Y921" s="31"/>
      <c r="Z921" s="31"/>
      <c r="AA921" s="31"/>
      <c r="AB921" s="31"/>
      <c r="AC921" s="313"/>
      <c r="AD921" s="31"/>
      <c r="AE921" s="31"/>
      <c r="AF921" s="31"/>
      <c r="AG921" s="31"/>
      <c r="AH921" s="313"/>
      <c r="AI921" s="933"/>
      <c r="AJ921" s="933"/>
      <c r="AK921" s="933"/>
      <c r="AL921" s="31"/>
      <c r="AM921" s="313"/>
      <c r="AN921" s="933"/>
      <c r="AO921" s="933"/>
      <c r="AP921" s="933"/>
      <c r="AQ921" s="933"/>
      <c r="AR921" s="313"/>
      <c r="AS921" s="933"/>
      <c r="AT921" s="933"/>
      <c r="AU921" s="933"/>
      <c r="AV921" s="933"/>
      <c r="AW921" s="313"/>
      <c r="AX921" s="933"/>
      <c r="AY921" s="933"/>
      <c r="AZ921" s="933"/>
      <c r="BA921" s="933"/>
      <c r="BB921" s="313"/>
      <c r="BC921" s="933"/>
      <c r="BD921" s="933"/>
      <c r="BE921" s="933"/>
      <c r="BF921" s="933"/>
      <c r="BG921" s="313"/>
      <c r="BH921" s="933"/>
      <c r="BI921" s="933"/>
      <c r="BJ921" s="933"/>
      <c r="BK921" s="933"/>
      <c r="BL921" s="313"/>
      <c r="BM921" s="352">
        <v>1025</v>
      </c>
      <c r="BN921" s="352">
        <v>1079</v>
      </c>
      <c r="BO921" s="352">
        <v>1013</v>
      </c>
      <c r="BP921" s="352">
        <v>1055</v>
      </c>
      <c r="BQ921" s="313"/>
      <c r="BR921" s="352"/>
      <c r="BS921" s="352"/>
      <c r="BT921" s="352"/>
      <c r="BU921" s="352"/>
      <c r="BV921" s="313"/>
      <c r="BW921" s="352"/>
      <c r="BX921" s="352"/>
      <c r="BY921" s="352"/>
      <c r="BZ921" s="352"/>
      <c r="CA921" s="313"/>
      <c r="CB921" s="933">
        <f t="shared" si="2017"/>
      </c>
      <c r="CC921" s="933">
        <f t="shared" si="2017"/>
      </c>
      <c r="CD921" s="933">
        <f t="shared" si="2017"/>
      </c>
      <c r="CE921" s="933">
        <f t="shared" si="2017"/>
      </c>
      <c r="CF921" s="1061">
        <f>SUM(CB921:CE921)</f>
      </c>
      <c r="CG921" s="933">
        <f t="shared" si="2018"/>
      </c>
      <c r="CH921" s="933">
        <f t="shared" si="2018"/>
      </c>
      <c r="CI921" s="933">
        <f t="shared" si="2018"/>
      </c>
      <c r="CJ921" s="933">
        <f t="shared" si="2018"/>
      </c>
      <c r="CK921" s="1061">
        <f>SUM(CG921:CJ921)</f>
      </c>
      <c r="CL921" s="3008">
        <f t="shared" si="2019"/>
      </c>
      <c r="CM921" s="3008">
        <f t="shared" si="2019"/>
      </c>
      <c r="CN921" s="3008">
        <f t="shared" si="2019"/>
      </c>
      <c r="CO921" s="3008">
        <f t="shared" si="2019"/>
      </c>
      <c r="CP921" s="3009">
        <f>SUM(CL921:CO921)</f>
      </c>
      <c r="CQ921" s="933">
        <f t="shared" si="2020"/>
      </c>
      <c r="CR921" s="933">
        <f t="shared" si="2020"/>
      </c>
      <c r="CS921" s="933">
        <f t="shared" si="2020"/>
      </c>
      <c r="CT921" s="933">
        <f t="shared" si="2020"/>
      </c>
      <c r="CU921" s="1061">
        <f>SUM(CQ921:CT921)</f>
      </c>
      <c r="CV921" s="933">
        <f t="shared" si="2021"/>
      </c>
      <c r="CW921" s="933">
        <f t="shared" si="2021"/>
      </c>
      <c r="CX921" s="933">
        <f t="shared" si="2021"/>
      </c>
      <c r="CY921" s="933">
        <f t="shared" si="2021"/>
      </c>
      <c r="CZ921" s="1061">
        <f>SUM(CV921:CY921)</f>
      </c>
      <c r="DA921" s="933">
        <f t="shared" si="2022"/>
      </c>
      <c r="DB921" s="933">
        <f t="shared" si="2022"/>
      </c>
      <c r="DC921" s="933">
        <f t="shared" si="2022"/>
      </c>
      <c r="DD921" s="933">
        <f t="shared" si="2022"/>
      </c>
      <c r="DE921" s="1835">
        <f t="shared" si="2022"/>
      </c>
      <c r="DF921" s="1284">
        <f t="shared" si="2023"/>
      </c>
      <c r="DG921" s="1284">
        <f t="shared" si="2023"/>
      </c>
      <c r="DH921" s="1284">
        <f t="shared" si="2023"/>
      </c>
      <c r="DI921" s="1284">
        <f t="shared" si="2023"/>
      </c>
      <c r="DJ921" s="1835">
        <f t="shared" si="2023"/>
      </c>
      <c r="DK921" s="1284">
        <f t="shared" si="2023"/>
      </c>
      <c r="DL921" s="1284">
        <f t="shared" si="2023"/>
      </c>
      <c r="DM921" s="1284">
        <f t="shared" si="2023"/>
      </c>
      <c r="DN921" s="1284">
        <f t="shared" si="2023"/>
      </c>
      <c r="DO921" s="1835">
        <f t="shared" si="2023"/>
      </c>
      <c r="DP921" s="1284">
        <f t="shared" si="2023"/>
      </c>
      <c r="DQ921" s="1284">
        <f t="shared" si="2023"/>
      </c>
      <c r="DR921" s="1284">
        <f t="shared" si="2023"/>
      </c>
      <c r="DS921" s="1284">
        <f t="shared" si="2023"/>
      </c>
      <c r="DT921" s="1835">
        <f t="shared" si="2023"/>
      </c>
      <c r="DU921" s="1284">
        <f t="shared" si="2023"/>
      </c>
      <c r="DV921" s="1284">
        <f t="shared" si="2024"/>
      </c>
      <c r="DW921" s="1284">
        <f t="shared" si="2024"/>
      </c>
      <c r="DX921" s="1313">
        <f t="shared" si="2024"/>
      </c>
      <c r="DY921" s="1835">
        <f>DY933+DY945</f>
      </c>
      <c r="DZ921" s="1284">
        <f t="shared" si="2025"/>
      </c>
      <c r="EA921" s="1284">
        <f t="shared" si="2025"/>
      </c>
      <c r="EB921" s="1284">
        <f t="shared" si="2025"/>
      </c>
      <c r="EC921" s="1313">
        <f t="shared" si="2025"/>
      </c>
      <c r="ED921" s="1835">
        <f>ED933+ED945</f>
      </c>
      <c r="EE921" s="1284">
        <f t="shared" ref="EE921:EF921" si="2028">EE933+EE945</f>
      </c>
      <c r="EF921" s="1284">
        <f t="shared" si="2028"/>
      </c>
      <c r="EG921" s="1542">
        <f t="shared" si="2025"/>
      </c>
      <c r="EH921" s="1284">
        <f t="shared" si="2025"/>
      </c>
      <c r="EI921" s="1877">
        <f t="shared" si="2027"/>
      </c>
      <c r="EJ921" s="1877">
        <f t="shared" si="2027"/>
      </c>
      <c r="EK921" s="1835">
        <f t="shared" si="2027"/>
      </c>
      <c r="EL921" s="1835">
        <f t="shared" si="2027"/>
      </c>
      <c r="EM921" s="1835">
        <f>EM933+EM945</f>
      </c>
      <c r="EN921" s="1835">
        <f>EN933+EN945</f>
      </c>
      <c r="EO921" s="477"/>
      <c r="EP921" s="477"/>
      <c r="EQ921" s="477"/>
      <c r="ER921" s="477"/>
      <c r="ES921" s="477"/>
      <c r="ET921" s="477"/>
      <c r="EU921" s="477"/>
      <c r="EV921" s="477"/>
      <c r="EW921" s="477"/>
      <c r="EX921" s="477"/>
    </row>
    <row r="922" spans="1:154">
      <c r="A922" s="3275" t="s">
        <v>600</v>
      </c>
      <c r="B922" s="334" t="s">
        <v>413</v>
      </c>
      <c r="C922" s="1577"/>
      <c r="D922" s="933"/>
      <c r="E922" s="933"/>
      <c r="F922" s="933"/>
      <c r="G922" s="933"/>
      <c r="H922" s="933"/>
      <c r="I922" s="31"/>
      <c r="J922" s="933"/>
      <c r="K922" s="933"/>
      <c r="L922" s="933"/>
      <c r="M922" s="933"/>
      <c r="N922" s="31"/>
      <c r="O922" s="31"/>
      <c r="P922" s="31"/>
      <c r="Q922" s="31"/>
      <c r="R922" s="31"/>
      <c r="S922" s="31"/>
      <c r="T922" s="31"/>
      <c r="U922" s="31"/>
      <c r="V922" s="31"/>
      <c r="W922" s="31"/>
      <c r="X922" s="313"/>
      <c r="Y922" s="31"/>
      <c r="Z922" s="31"/>
      <c r="AA922" s="31"/>
      <c r="AB922" s="31"/>
      <c r="AC922" s="313"/>
      <c r="AD922" s="31"/>
      <c r="AE922" s="31"/>
      <c r="AF922" s="31"/>
      <c r="AG922" s="31"/>
      <c r="AH922" s="313"/>
      <c r="AI922" s="933"/>
      <c r="AJ922" s="933"/>
      <c r="AK922" s="933"/>
      <c r="AL922" s="31"/>
      <c r="AM922" s="313"/>
      <c r="AN922" s="933"/>
      <c r="AO922" s="933"/>
      <c r="AP922" s="933"/>
      <c r="AQ922" s="933"/>
      <c r="AR922" s="313"/>
      <c r="AS922" s="933"/>
      <c r="AT922" s="933"/>
      <c r="AU922" s="933"/>
      <c r="AV922" s="933"/>
      <c r="AW922" s="313"/>
      <c r="AX922" s="933"/>
      <c r="AY922" s="933"/>
      <c r="AZ922" s="933"/>
      <c r="BA922" s="933"/>
      <c r="BB922" s="313"/>
      <c r="BC922" s="933"/>
      <c r="BD922" s="933"/>
      <c r="BE922" s="933"/>
      <c r="BF922" s="933"/>
      <c r="BG922" s="313"/>
      <c r="BH922" s="933"/>
      <c r="BI922" s="933"/>
      <c r="BJ922" s="933"/>
      <c r="BK922" s="933"/>
      <c r="BL922" s="313"/>
      <c r="BM922" s="933">
        <f>+BM920+BM921</f>
      </c>
      <c r="BN922" s="933">
        <f>+BN920+BN921</f>
      </c>
      <c r="BO922" s="933">
        <f>+BO920+BO921</f>
      </c>
      <c r="BP922" s="933">
        <f>+BP920+BP921</f>
      </c>
      <c r="BQ922" s="313"/>
      <c r="BR922" s="933"/>
      <c r="BS922" s="933"/>
      <c r="BT922" s="933"/>
      <c r="BU922" s="933"/>
      <c r="BV922" s="313"/>
      <c r="BW922" s="933"/>
      <c r="BX922" s="933"/>
      <c r="BY922" s="933"/>
      <c r="BZ922" s="933"/>
      <c r="CA922" s="313"/>
      <c r="CB922" s="933">
        <f>SUM(CB920:CB921)</f>
      </c>
      <c r="CC922" s="933">
        <f>SUM(CC920:CC921)</f>
      </c>
      <c r="CD922" s="933">
        <f>SUM(CD920:CD921)</f>
      </c>
      <c r="CE922" s="933">
        <f>SUM(CE920:CE921)</f>
      </c>
      <c r="CF922" s="313">
        <f>SUM(CB922:CE922)</f>
      </c>
      <c r="CG922" s="933">
        <f>SUM(CG920:CG921)</f>
      </c>
      <c r="CH922" s="933">
        <f>SUM(CH920:CH921)</f>
      </c>
      <c r="CI922" s="933">
        <f>SUM(CI920:CI921)</f>
      </c>
      <c r="CJ922" s="933">
        <f>SUM(CJ920:CJ921)</f>
      </c>
      <c r="CK922" s="313">
        <f>SUM(CG922:CJ922)</f>
      </c>
      <c r="CL922" s="3008">
        <f>SUM(CL920:CL921)</f>
      </c>
      <c r="CM922" s="3008">
        <f>SUM(CM920:CM921)</f>
      </c>
      <c r="CN922" s="3008">
        <f>SUM(CN920:CN921)</f>
      </c>
      <c r="CO922" s="3008">
        <f>SUM(CO920:CO921)</f>
      </c>
      <c r="CP922" s="3010">
        <f>SUM(CL922:CO922)</f>
      </c>
      <c r="CQ922" s="933">
        <f>SUM(CQ920:CQ921)</f>
      </c>
      <c r="CR922" s="933">
        <f>SUM(CR920:CR921)</f>
      </c>
      <c r="CS922" s="933">
        <f>SUM(CS920:CS921)</f>
      </c>
      <c r="CT922" s="933">
        <f>SUM(CT920:CT921)</f>
      </c>
      <c r="CU922" s="313">
        <f>SUM(CQ922:CT922)</f>
      </c>
      <c r="CV922" s="933">
        <f>SUM(CV920:CV921)</f>
      </c>
      <c r="CW922" s="933">
        <f>SUM(CW920:CW921)</f>
      </c>
      <c r="CX922" s="933">
        <f>SUM(CX920:CX921)</f>
      </c>
      <c r="CY922" s="933">
        <f>SUM(CY920:CY921)</f>
      </c>
      <c r="CZ922" s="313">
        <f>SUM(CV922:CY922)</f>
      </c>
      <c r="DA922" s="933">
        <f t="shared" ref="DA922:EH922" si="2029">SUM(DA920:DA921)</f>
      </c>
      <c r="DB922" s="933">
        <f t="shared" si="2029"/>
      </c>
      <c r="DC922" s="933">
        <f t="shared" si="2029"/>
      </c>
      <c r="DD922" s="933">
        <f t="shared" si="2029"/>
      </c>
      <c r="DE922" s="1835">
        <f t="shared" si="2029"/>
      </c>
      <c r="DF922" s="1284">
        <f t="shared" si="2029"/>
      </c>
      <c r="DG922" s="1284">
        <f t="shared" si="2029"/>
      </c>
      <c r="DH922" s="1284">
        <f t="shared" si="2029"/>
      </c>
      <c r="DI922" s="1284">
        <f t="shared" si="2029"/>
      </c>
      <c r="DJ922" s="1835">
        <f t="shared" si="2029"/>
      </c>
      <c r="DK922" s="1284">
        <f t="shared" si="2029"/>
      </c>
      <c r="DL922" s="1284">
        <f t="shared" si="2029"/>
      </c>
      <c r="DM922" s="1284">
        <f t="shared" si="2029"/>
      </c>
      <c r="DN922" s="1284">
        <f t="shared" si="2029"/>
      </c>
      <c r="DO922" s="1835">
        <f t="shared" si="2029"/>
      </c>
      <c r="DP922" s="1284">
        <f t="shared" si="2029"/>
      </c>
      <c r="DQ922" s="1284">
        <f t="shared" si="2029"/>
      </c>
      <c r="DR922" s="1284">
        <f t="shared" si="2029"/>
      </c>
      <c r="DS922" s="1284">
        <f t="shared" si="2029"/>
      </c>
      <c r="DT922" s="1835">
        <f t="shared" si="2029"/>
      </c>
      <c r="DU922" s="1284">
        <f t="shared" si="2029"/>
      </c>
      <c r="DV922" s="1284">
        <f>SUM(DV920:DV921)</f>
      </c>
      <c r="DW922" s="1284">
        <f>SUM(DW920:DW921)</f>
      </c>
      <c r="DX922" s="1313">
        <f>SUM(DX920:DX921)</f>
      </c>
      <c r="DY922" s="1835">
        <f>SUM(DY920:DY921)</f>
      </c>
      <c r="DZ922" s="1284">
        <f t="shared" si="2029"/>
      </c>
      <c r="EA922" s="1284">
        <f t="shared" si="2029"/>
      </c>
      <c r="EB922" s="1284">
        <f t="shared" si="2029"/>
      </c>
      <c r="EC922" s="1313">
        <f>SUM(EC920:EC921)</f>
      </c>
      <c r="ED922" s="1835">
        <f>SUM(ED920:ED921)</f>
      </c>
      <c r="EE922" s="1284">
        <f>SUM(EE920:EE921)</f>
      </c>
      <c r="EF922" s="1284">
        <f>SUM(EF920:EF921)</f>
      </c>
      <c r="EG922" s="1542">
        <f t="shared" si="2029"/>
      </c>
      <c r="EH922" s="1284">
        <f t="shared" si="2029"/>
      </c>
      <c r="EI922" s="1877">
        <f t="shared" ref="EI922:EL922" si="2030">SUM(EI920:EI921)</f>
      </c>
      <c r="EJ922" s="1877">
        <f t="shared" si="2030"/>
      </c>
      <c r="EK922" s="1835">
        <f t="shared" si="2030"/>
      </c>
      <c r="EL922" s="1835">
        <f t="shared" si="2030"/>
      </c>
      <c r="EM922" s="1835">
        <f>SUM(EM920:EM921)</f>
      </c>
      <c r="EN922" s="1835">
        <f>SUM(EN920:EN921)</f>
      </c>
      <c r="EO922" s="477"/>
      <c r="EP922" s="477"/>
      <c r="EQ922" s="477"/>
      <c r="ER922" s="477"/>
      <c r="ES922" s="477"/>
      <c r="ET922" s="477"/>
      <c r="EU922" s="477"/>
      <c r="EV922" s="477"/>
      <c r="EW922" s="477"/>
      <c r="EX922" s="477"/>
    </row>
    <row r="923" spans="1:154">
      <c r="B923" s="334"/>
      <c r="C923" s="1577"/>
      <c r="D923" s="933"/>
      <c r="E923" s="933"/>
      <c r="F923" s="933"/>
      <c r="G923" s="933"/>
      <c r="H923" s="933"/>
      <c r="I923" s="31"/>
      <c r="J923" s="933"/>
      <c r="K923" s="933"/>
      <c r="L923" s="933"/>
      <c r="M923" s="933"/>
      <c r="N923" s="31"/>
      <c r="O923" s="31"/>
      <c r="P923" s="31"/>
      <c r="Q923" s="31"/>
      <c r="R923" s="31"/>
      <c r="S923" s="31"/>
      <c r="T923" s="31"/>
      <c r="U923" s="31"/>
      <c r="V923" s="31"/>
      <c r="W923" s="31"/>
      <c r="X923" s="313"/>
      <c r="Y923" s="31"/>
      <c r="Z923" s="31"/>
      <c r="AA923" s="31"/>
      <c r="AB923" s="31"/>
      <c r="AC923" s="313"/>
      <c r="AD923" s="31"/>
      <c r="AE923" s="31"/>
      <c r="AF923" s="31"/>
      <c r="AG923" s="31"/>
      <c r="AH923" s="313"/>
      <c r="AI923" s="933"/>
      <c r="AJ923" s="933"/>
      <c r="AK923" s="933"/>
      <c r="AL923" s="31"/>
      <c r="AM923" s="313"/>
      <c r="AN923" s="933"/>
      <c r="AO923" s="933"/>
      <c r="AP923" s="933"/>
      <c r="AQ923" s="933"/>
      <c r="AR923" s="313"/>
      <c r="AS923" s="933"/>
      <c r="AT923" s="933"/>
      <c r="AU923" s="933"/>
      <c r="AV923" s="933"/>
      <c r="AW923" s="313"/>
      <c r="AX923" s="933"/>
      <c r="AY923" s="933"/>
      <c r="AZ923" s="933"/>
      <c r="BA923" s="933"/>
      <c r="BB923" s="313"/>
      <c r="BC923" s="933"/>
      <c r="BD923" s="933"/>
      <c r="BE923" s="933"/>
      <c r="BF923" s="933"/>
      <c r="BG923" s="313"/>
      <c r="BH923" s="933"/>
      <c r="BI923" s="933"/>
      <c r="BJ923" s="933"/>
      <c r="BK923" s="933"/>
      <c r="BL923" s="313"/>
      <c r="BM923" s="933"/>
      <c r="BN923" s="933"/>
      <c r="BO923" s="933"/>
      <c r="BP923" s="933"/>
      <c r="BQ923" s="313"/>
      <c r="BR923" s="933"/>
      <c r="BS923" s="933"/>
      <c r="BT923" s="933"/>
      <c r="BU923" s="933"/>
      <c r="BV923" s="313"/>
      <c r="BW923" s="933"/>
      <c r="BX923" s="933"/>
      <c r="BY923" s="933"/>
      <c r="BZ923" s="933"/>
      <c r="CA923" s="313"/>
      <c r="CB923" s="933"/>
      <c r="CC923" s="933"/>
      <c r="CD923" s="933"/>
      <c r="CE923" s="933"/>
      <c r="CF923" s="313"/>
      <c r="CG923" s="933"/>
      <c r="CH923" s="933"/>
      <c r="CI923" s="933"/>
      <c r="CJ923" s="933"/>
      <c r="CK923" s="313"/>
      <c r="CL923" s="933"/>
      <c r="CM923" s="933"/>
      <c r="CN923" s="933"/>
      <c r="CO923" s="933"/>
      <c r="CP923" s="313"/>
      <c r="CQ923" s="933"/>
      <c r="CR923" s="933"/>
      <c r="CS923" s="933"/>
      <c r="CT923" s="933"/>
      <c r="CU923" s="313"/>
      <c r="CV923" s="933"/>
      <c r="CW923" s="933"/>
      <c r="CX923" s="933"/>
      <c r="CY923" s="933"/>
      <c r="CZ923" s="313"/>
      <c r="DA923" s="933"/>
      <c r="DB923" s="933"/>
      <c r="DC923" s="933"/>
      <c r="DD923" s="933"/>
      <c r="DE923" s="477"/>
      <c r="DF923" s="982"/>
      <c r="DG923" s="982"/>
      <c r="DH923" s="982"/>
      <c r="DI923" s="982"/>
      <c r="DJ923" s="477"/>
      <c r="DK923" s="982"/>
      <c r="DL923" s="1915"/>
      <c r="DM923" s="2257"/>
      <c r="DN923" s="982"/>
      <c r="DO923" s="1916"/>
      <c r="DP923" s="1915"/>
      <c r="DQ923" s="1915"/>
      <c r="DR923" s="2257"/>
      <c r="DS923" s="982"/>
      <c r="DT923" s="477"/>
      <c r="DU923" s="982"/>
      <c r="DV923" s="1915"/>
      <c r="DW923" s="1915"/>
      <c r="DX923" s="1946"/>
      <c r="DY923" s="3403"/>
      <c r="DZ923" s="1915"/>
      <c r="EA923" s="1915"/>
      <c r="EB923" s="2257"/>
      <c r="EC923" s="1946"/>
      <c r="ED923" s="3403"/>
      <c r="EE923" s="1915"/>
      <c r="EF923" s="1915"/>
      <c r="EG923" s="1880"/>
      <c r="EH923" s="982"/>
      <c r="EI923" s="2498"/>
      <c r="EJ923" s="603"/>
      <c r="EK923" s="477"/>
      <c r="EL923" s="477"/>
      <c r="EM923" s="477"/>
      <c r="EN923" s="477"/>
      <c r="EO923" s="477"/>
      <c r="EP923" s="477"/>
      <c r="EQ923" s="477"/>
      <c r="ER923" s="477"/>
      <c r="ES923" s="477"/>
      <c r="ET923" s="477"/>
      <c r="EU923" s="477"/>
      <c r="EV923" s="477"/>
      <c r="EW923" s="477"/>
      <c r="EX923" s="477"/>
    </row>
    <row r="924" spans="1:154">
      <c r="B924" s="453" t="s">
        <v>955</v>
      </c>
      <c r="C924" s="1577"/>
      <c r="D924" s="933"/>
      <c r="E924" s="933"/>
      <c r="F924" s="933"/>
      <c r="G924" s="933"/>
      <c r="H924" s="933"/>
      <c r="I924" s="31"/>
      <c r="J924" s="933"/>
      <c r="K924" s="933"/>
      <c r="L924" s="933"/>
      <c r="M924" s="933"/>
      <c r="N924" s="31"/>
      <c r="O924" s="31"/>
      <c r="P924" s="31"/>
      <c r="Q924" s="31"/>
      <c r="R924" s="31"/>
      <c r="S924" s="31"/>
      <c r="T924" s="31"/>
      <c r="U924" s="31"/>
      <c r="V924" s="31"/>
      <c r="W924" s="31"/>
      <c r="X924" s="313"/>
      <c r="Y924" s="31"/>
      <c r="Z924" s="31"/>
      <c r="AA924" s="31"/>
      <c r="AB924" s="31"/>
      <c r="AC924" s="313"/>
      <c r="AD924" s="31"/>
      <c r="AE924" s="31"/>
      <c r="AF924" s="31"/>
      <c r="AG924" s="31"/>
      <c r="AH924" s="313"/>
      <c r="AI924" s="933"/>
      <c r="AJ924" s="933"/>
      <c r="AK924" s="933"/>
      <c r="AL924" s="31"/>
      <c r="AM924" s="313"/>
      <c r="AN924" s="933"/>
      <c r="AO924" s="933"/>
      <c r="AP924" s="933"/>
      <c r="AQ924" s="933"/>
      <c r="AR924" s="313"/>
      <c r="AS924" s="933"/>
      <c r="AT924" s="933"/>
      <c r="AU924" s="933"/>
      <c r="AV924" s="933"/>
      <c r="AW924" s="313"/>
      <c r="AX924" s="933"/>
      <c r="AY924" s="933"/>
      <c r="AZ924" s="933"/>
      <c r="BA924" s="933"/>
      <c r="BB924" s="313"/>
      <c r="BC924" s="933"/>
      <c r="BD924" s="933"/>
      <c r="BE924" s="933"/>
      <c r="BF924" s="933"/>
      <c r="BG924" s="313"/>
      <c r="BH924" s="933"/>
      <c r="BI924" s="933"/>
      <c r="BJ924" s="933"/>
      <c r="BK924" s="933"/>
      <c r="BL924" s="313"/>
      <c r="BM924" s="933"/>
      <c r="BN924" s="933"/>
      <c r="BO924" s="933"/>
      <c r="BP924" s="933"/>
      <c r="BQ924" s="313"/>
      <c r="BR924" s="933"/>
      <c r="BS924" s="933"/>
      <c r="BT924" s="933"/>
      <c r="BU924" s="933"/>
      <c r="BV924" s="313"/>
      <c r="BW924" s="933"/>
      <c r="BX924" s="933"/>
      <c r="BY924" s="933"/>
      <c r="BZ924" s="933"/>
      <c r="CA924" s="313"/>
      <c r="CB924" s="933"/>
      <c r="CC924" s="933"/>
      <c r="CD924" s="933"/>
      <c r="CE924" s="933"/>
      <c r="CF924" s="313"/>
      <c r="CG924" s="933"/>
      <c r="CH924" s="933"/>
      <c r="CI924" s="933"/>
      <c r="CJ924" s="933"/>
      <c r="CK924" s="313"/>
      <c r="CL924" s="933"/>
      <c r="CM924" s="933"/>
      <c r="CN924" s="933"/>
      <c r="CO924" s="933"/>
      <c r="CP924" s="313"/>
      <c r="CQ924" s="933"/>
      <c r="CR924" s="933"/>
      <c r="CS924" s="933"/>
      <c r="CT924" s="933"/>
      <c r="CU924" s="313"/>
      <c r="CV924" s="933"/>
      <c r="CW924" s="933"/>
      <c r="CX924" s="933"/>
      <c r="CY924" s="933"/>
      <c r="CZ924" s="313"/>
      <c r="DA924" s="933"/>
      <c r="DB924" s="933"/>
      <c r="DC924" s="933"/>
      <c r="DD924" s="933"/>
      <c r="DE924" s="477"/>
      <c r="DF924" s="982"/>
      <c r="DG924" s="982"/>
      <c r="DH924" s="982"/>
      <c r="DI924" s="982"/>
      <c r="DJ924" s="477"/>
      <c r="DK924" s="982"/>
      <c r="DL924" s="1915"/>
      <c r="DM924" s="2257"/>
      <c r="DN924" s="982"/>
      <c r="DO924" s="1916"/>
      <c r="DP924" s="1915"/>
      <c r="DQ924" s="1915"/>
      <c r="DR924" s="2257"/>
      <c r="DS924" s="982"/>
      <c r="DT924" s="477"/>
      <c r="DU924" s="982"/>
      <c r="DV924" s="1915"/>
      <c r="DW924" s="1915"/>
      <c r="DX924" s="1946"/>
      <c r="DY924" s="3403"/>
      <c r="DZ924" s="1915"/>
      <c r="EA924" s="1915"/>
      <c r="EB924" s="2257"/>
      <c r="EC924" s="1946"/>
      <c r="ED924" s="3403"/>
      <c r="EE924" s="1915"/>
      <c r="EF924" s="1915"/>
      <c r="EG924" s="1880"/>
      <c r="EH924" s="982"/>
      <c r="EI924" s="2498"/>
      <c r="EJ924" s="477"/>
      <c r="EK924" s="477"/>
      <c r="EL924" s="477"/>
      <c r="EM924" s="477"/>
      <c r="EN924" s="477"/>
      <c r="EO924" s="477"/>
      <c r="EP924" s="477"/>
      <c r="EQ924" s="477"/>
      <c r="ER924" s="477"/>
      <c r="ES924" s="477"/>
      <c r="ET924" s="477"/>
      <c r="EU924" s="477"/>
      <c r="EV924" s="477"/>
      <c r="EW924" s="477"/>
      <c r="EX924" s="477"/>
    </row>
    <row r="925" spans="1:154">
      <c r="B925" s="454" t="s">
        <v>187</v>
      </c>
      <c r="C925" s="1577"/>
      <c r="D925" s="933"/>
      <c r="E925" s="933"/>
      <c r="F925" s="933"/>
      <c r="G925" s="933"/>
      <c r="H925" s="933"/>
      <c r="I925" s="31"/>
      <c r="J925" s="933"/>
      <c r="K925" s="933"/>
      <c r="L925" s="933"/>
      <c r="M925" s="933"/>
      <c r="N925" s="31"/>
      <c r="O925" s="31"/>
      <c r="P925" s="31"/>
      <c r="Q925" s="31"/>
      <c r="R925" s="31"/>
      <c r="S925" s="31"/>
      <c r="T925" s="31"/>
      <c r="U925" s="31"/>
      <c r="V925" s="31"/>
      <c r="W925" s="31"/>
      <c r="X925" s="313"/>
      <c r="Y925" s="31"/>
      <c r="Z925" s="31"/>
      <c r="AA925" s="31"/>
      <c r="AB925" s="31"/>
      <c r="AC925" s="313"/>
      <c r="AD925" s="31"/>
      <c r="AE925" s="31"/>
      <c r="AF925" s="31"/>
      <c r="AG925" s="31"/>
      <c r="AH925" s="313"/>
      <c r="AI925" s="933"/>
      <c r="AJ925" s="933"/>
      <c r="AK925" s="933"/>
      <c r="AL925" s="31"/>
      <c r="AM925" s="313"/>
      <c r="AN925" s="933"/>
      <c r="AO925" s="933"/>
      <c r="AP925" s="933"/>
      <c r="AQ925" s="933"/>
      <c r="AR925" s="313"/>
      <c r="AS925" s="933"/>
      <c r="AT925" s="933"/>
      <c r="AU925" s="933"/>
      <c r="AV925" s="933"/>
      <c r="AW925" s="313"/>
      <c r="AX925" s="933"/>
      <c r="AY925" s="933"/>
      <c r="AZ925" s="933"/>
      <c r="BA925" s="933"/>
      <c r="BB925" s="313"/>
      <c r="BC925" s="933"/>
      <c r="BD925" s="933"/>
      <c r="BE925" s="933"/>
      <c r="BF925" s="933"/>
      <c r="BG925" s="313"/>
      <c r="BH925" s="933"/>
      <c r="BI925" s="933"/>
      <c r="BJ925" s="933"/>
      <c r="BK925" s="933"/>
      <c r="BL925" s="313"/>
      <c r="BM925" s="926" t="str">
        <f t="shared" ref="BM925:BP926" si="2031">IF(BH920="NM","NM",IF(BM920="NM","NM",IF(BH920&lt;=0,"NM",IF(BM920=0,"NM",IF(ABS(BM920/BH920-1)&gt;2.5,"NM",IF((ABS(BM920-BH920)=ABS(ABS(BM920)-ABS(BH920))),(BM920/BH920-1),"NM"))))))</f>
      </c>
      <c r="BN925" s="926" t="str">
        <f t="shared" si="2031"/>
      </c>
      <c r="BO925" s="926" t="str">
        <f t="shared" si="2031"/>
      </c>
      <c r="BP925" s="926" t="str">
        <f t="shared" si="2031"/>
      </c>
      <c r="BQ925" s="1060"/>
      <c r="BR925" s="926"/>
      <c r="BS925" s="926"/>
      <c r="BT925" s="926"/>
      <c r="BU925" s="926"/>
      <c r="BV925" s="1060"/>
      <c r="BW925" s="926"/>
      <c r="BX925" s="926"/>
      <c r="BY925" s="926"/>
      <c r="BZ925" s="926"/>
      <c r="CA925" s="2248"/>
      <c r="CB925" s="926"/>
      <c r="CC925" s="926"/>
      <c r="CD925" s="926"/>
      <c r="CE925" s="926"/>
      <c r="CF925" s="2248"/>
      <c r="CG925" s="926">
        <f t="shared" ref="CG925:DD926" si="2032">IF(CB920="NM","NM",IF(CG920="NM","NM",IF(CB920&lt;=0,"NM",IF(CG920=0,"NM",IF(ABS(CG920/CB920-1)&gt;2.5,"NM",IF((ABS(CG920-CB920)=ABS(ABS(CG920)-ABS(CB920))),(CG920/CB920-1),"NM"))))))</f>
      </c>
      <c r="CH925" s="926">
        <f t="shared" si="2032"/>
      </c>
      <c r="CI925" s="926">
        <f t="shared" si="2032"/>
      </c>
      <c r="CJ925" s="926">
        <f t="shared" si="2032"/>
      </c>
      <c r="CK925" s="1060">
        <f t="shared" si="2032"/>
      </c>
      <c r="CL925" s="926">
        <f t="shared" si="2032"/>
      </c>
      <c r="CM925" s="926">
        <f t="shared" si="2032"/>
      </c>
      <c r="CN925" s="926">
        <f t="shared" si="2032"/>
      </c>
      <c r="CO925" s="926">
        <f t="shared" si="2032"/>
      </c>
      <c r="CP925" s="1060">
        <f t="shared" si="2032"/>
      </c>
      <c r="CQ925" s="926">
        <f t="shared" si="2032"/>
      </c>
      <c r="CR925" s="926">
        <f t="shared" si="2032"/>
      </c>
      <c r="CS925" s="926">
        <f t="shared" si="2032"/>
      </c>
      <c r="CT925" s="926">
        <f t="shared" si="2032"/>
      </c>
      <c r="CU925" s="1060">
        <f t="shared" si="2032"/>
      </c>
      <c r="CV925" s="926">
        <f t="shared" si="2032"/>
      </c>
      <c r="CW925" s="926">
        <f t="shared" si="2032"/>
      </c>
      <c r="CX925" s="926">
        <f t="shared" si="2032"/>
      </c>
      <c r="CY925" s="926">
        <f t="shared" si="2032"/>
      </c>
      <c r="CZ925" s="1060">
        <f t="shared" si="2032"/>
      </c>
      <c r="DA925" s="926">
        <f t="shared" si="2032"/>
      </c>
      <c r="DB925" s="926">
        <f t="shared" si="2032"/>
      </c>
      <c r="DC925" s="926">
        <f t="shared" si="2032"/>
      </c>
      <c r="DD925" s="926">
        <f t="shared" si="2032"/>
      </c>
      <c r="DE925" s="1060">
        <f>IF(CZ920=0, "NA", DE920/CZ920-1)</f>
      </c>
      <c r="DF925" s="926">
        <f t="shared" ref="DF925:DI926" si="2033">IF(DA920="NM","NM",IF(DF920="NM","NM",IF(DA920&lt;=0,"NM",IF(DF920=0,"NM",IF(ABS(DF920/DA920-1)&gt;2.5,"NM",IF((ABS(DF920-DA920)=ABS(ABS(DF920)-ABS(DA920))),(DF920/DA920-1),"NM"))))))</f>
      </c>
      <c r="DG925" s="926">
        <f t="shared" si="2033"/>
      </c>
      <c r="DH925" s="926">
        <f t="shared" si="2033"/>
      </c>
      <c r="DI925" s="926">
        <f t="shared" si="2033"/>
      </c>
      <c r="DJ925" s="1060">
        <f>IF(DE920=0, "NA", DJ920/DE920-1)</f>
      </c>
      <c r="DK925" s="926">
        <f t="shared" ref="DK925:DN926" si="2034">IF(DF920="NM","NM",IF(DK920="NM","NM",IF(DF920&lt;=0,"NM",IF(DK920=0,"NM",IF(ABS(DK920/DF920-1)&gt;2.5,"NM",IF((ABS(DK920-DF920)=ABS(ABS(DK920)-ABS(DF920))),(DK920/DF920-1),"NM"))))))</f>
      </c>
      <c r="DL925" s="926">
        <f t="shared" si="2034"/>
      </c>
      <c r="DM925" s="926">
        <f t="shared" si="2034"/>
      </c>
      <c r="DN925" s="928">
        <f t="shared" si="2034"/>
      </c>
      <c r="DO925" s="928">
        <f>IF(DJ920=0, "NA", DO920/DJ920-1)</f>
      </c>
      <c r="DP925" s="926">
        <f t="shared" ref="DP925:DS926" si="2035">IF(DK920="NM","NM",IF(DP920="NM","NM",IF(DK920&lt;=0,"NM",IF(DP920=0,"NM",IF(ABS(DP920/DK920-1)&gt;2.5,"NM",IF((ABS(DP920-DK920)=ABS(ABS(DP920)-ABS(DK920))),(DP920/DK920-1),"NM"))))))</f>
      </c>
      <c r="DQ925" s="926">
        <f t="shared" si="2035"/>
      </c>
      <c r="DR925" s="926">
        <f t="shared" si="2035"/>
      </c>
      <c r="DS925" s="926">
        <f t="shared" si="2035"/>
      </c>
      <c r="DT925" s="1060">
        <f>IF(DO920=0, "NA", DT920/DO920-1)</f>
      </c>
      <c r="DU925" s="926">
        <f t="shared" ref="DU925:DX926" si="2036">IF(DP920="NM","NM",IF(DU920="NM","NM",IF(DP920&lt;=0,"NM",IF(DU920=0,"NM",IF(ABS(DU920/DP920-1)&gt;2.5,"NM",IF((ABS(DU920-DP920)=ABS(ABS(DU920)-ABS(DP920))),(DU920/DP920-1),"NM"))))))</f>
      </c>
      <c r="DV925" s="926">
        <f t="shared" si="2036"/>
      </c>
      <c r="DW925" s="926">
        <f t="shared" si="2036"/>
      </c>
      <c r="DX925" s="928">
        <f t="shared" si="2036"/>
      </c>
      <c r="DY925" s="1060">
        <f>IF(DT920=0, "NA", DY920/DT920-1)</f>
      </c>
      <c r="DZ925" s="926">
        <f t="shared" ref="DZ925" si="2037">IF(DU920=0, 0, DZ920/DU920-1)</f>
      </c>
      <c r="EA925" s="926">
        <f t="shared" ref="EA925:EA926" si="2038">IF(DV920=0, 0, EA920/DV920-1)</f>
      </c>
      <c r="EB925" s="926">
        <f t="shared" ref="EB925:EB926" si="2039">IF(DW920=0, 0, EB920/DW920-1)</f>
      </c>
      <c r="EC925" s="928">
        <f t="shared" ref="EC925:EF926" si="2040">IF(DX920="NM","NM",IF(EC920="NM","NM",IF(DX920&lt;=0,"NM",IF(EC920=0,"NM",IF(ABS(EC920/DX920-1)&gt;2.5,"NM",IF((ABS(EC920-DX920)=ABS(ABS(EC920)-ABS(DX920))),(EC920/DX920-1),"NM"))))))</f>
      </c>
      <c r="ED925" s="1536">
        <f>IF(DY920=0, "NA", ED920/DY920-1)</f>
      </c>
      <c r="EE925" s="926">
        <f t="shared" si="2040"/>
      </c>
      <c r="EF925" s="926">
        <f t="shared" si="2040"/>
      </c>
      <c r="EG925" s="926">
        <f t="shared" ref="EG925:EG926" si="2041">IF(EB920=0, 0, EG920/EB920-1)</f>
      </c>
      <c r="EH925" s="926">
        <f t="shared" ref="EH925:EH926" si="2042">IF(EC920=0, 0, EH920/EC920-1)</f>
      </c>
      <c r="EI925" s="1060">
        <f t="shared" ref="EI925:EI926" si="2043">IF(ED920=0, 0, EI920/ED920-1)</f>
      </c>
      <c r="EJ925" s="1060">
        <f t="shared" ref="EJ925:EN926" si="2044">IF(EI920=0, "NA", EJ920/EI920-1)</f>
      </c>
      <c r="EK925" s="1060">
        <f t="shared" si="2044"/>
      </c>
      <c r="EL925" s="1060">
        <f t="shared" si="2044"/>
      </c>
      <c r="EM925" s="1060">
        <f t="shared" si="2044"/>
      </c>
      <c r="EN925" s="1060">
        <f t="shared" si="2044"/>
      </c>
      <c r="EO925" s="2258"/>
      <c r="EP925" s="2258"/>
      <c r="EQ925" s="2258"/>
      <c r="ER925" s="2258"/>
      <c r="ES925" s="2258"/>
      <c r="ET925" s="2258"/>
      <c r="EU925" s="2258"/>
      <c r="EV925" s="2258"/>
      <c r="EW925" s="2258"/>
      <c r="EX925" s="2258"/>
    </row>
    <row r="926" spans="1:154">
      <c r="B926" s="454" t="s">
        <v>412</v>
      </c>
      <c r="C926" s="1577"/>
      <c r="D926" s="933"/>
      <c r="E926" s="933"/>
      <c r="F926" s="933"/>
      <c r="G926" s="933"/>
      <c r="H926" s="933"/>
      <c r="I926" s="31"/>
      <c r="J926" s="933"/>
      <c r="K926" s="933"/>
      <c r="L926" s="933"/>
      <c r="M926" s="933"/>
      <c r="N926" s="31"/>
      <c r="O926" s="31"/>
      <c r="P926" s="31"/>
      <c r="Q926" s="31"/>
      <c r="R926" s="31"/>
      <c r="S926" s="31"/>
      <c r="T926" s="31"/>
      <c r="U926" s="31"/>
      <c r="V926" s="31"/>
      <c r="W926" s="31"/>
      <c r="X926" s="313"/>
      <c r="Y926" s="31"/>
      <c r="Z926" s="31"/>
      <c r="AA926" s="31"/>
      <c r="AB926" s="31"/>
      <c r="AC926" s="313"/>
      <c r="AD926" s="31"/>
      <c r="AE926" s="31"/>
      <c r="AF926" s="31"/>
      <c r="AG926" s="31"/>
      <c r="AH926" s="313"/>
      <c r="AI926" s="933"/>
      <c r="AJ926" s="933"/>
      <c r="AK926" s="933"/>
      <c r="AL926" s="31"/>
      <c r="AM926" s="313"/>
      <c r="AN926" s="933"/>
      <c r="AO926" s="933"/>
      <c r="AP926" s="933"/>
      <c r="AQ926" s="933"/>
      <c r="AR926" s="313"/>
      <c r="AS926" s="933"/>
      <c r="AT926" s="933"/>
      <c r="AU926" s="933"/>
      <c r="AV926" s="933"/>
      <c r="AW926" s="313"/>
      <c r="AX926" s="933"/>
      <c r="AY926" s="933"/>
      <c r="AZ926" s="933"/>
      <c r="BA926" s="933"/>
      <c r="BB926" s="313"/>
      <c r="BC926" s="933"/>
      <c r="BD926" s="933"/>
      <c r="BE926" s="933"/>
      <c r="BF926" s="933"/>
      <c r="BG926" s="313"/>
      <c r="BH926" s="933"/>
      <c r="BI926" s="933"/>
      <c r="BJ926" s="933"/>
      <c r="BK926" s="933"/>
      <c r="BL926" s="313"/>
      <c r="BM926" s="926" t="str">
        <f t="shared" si="2031"/>
      </c>
      <c r="BN926" s="926" t="str">
        <f t="shared" si="2031"/>
      </c>
      <c r="BO926" s="926" t="str">
        <f t="shared" si="2031"/>
      </c>
      <c r="BP926" s="926" t="str">
        <f t="shared" si="2031"/>
      </c>
      <c r="BQ926" s="1060"/>
      <c r="BR926" s="926"/>
      <c r="BS926" s="926"/>
      <c r="BT926" s="926"/>
      <c r="BU926" s="926"/>
      <c r="BV926" s="1060"/>
      <c r="BW926" s="926"/>
      <c r="BX926" s="926"/>
      <c r="BY926" s="926"/>
      <c r="BZ926" s="926"/>
      <c r="CA926" s="1060"/>
      <c r="CB926" s="926"/>
      <c r="CC926" s="926"/>
      <c r="CD926" s="926"/>
      <c r="CE926" s="926"/>
      <c r="CF926" s="1060"/>
      <c r="CG926" s="926">
        <f t="shared" si="2032"/>
      </c>
      <c r="CH926" s="926">
        <f t="shared" si="2032"/>
      </c>
      <c r="CI926" s="926">
        <f t="shared" si="2032"/>
      </c>
      <c r="CJ926" s="926">
        <f>IF(CE921="NM","NM",IF(CJ921="NM","NM",IF(CE921&lt;=0,"NM",IF(CJ921=0,"NM",IF(ABS(CJ921/CE921-1)&gt;2.5,"NM",IF((ABS(CJ921-CE921)=ABS(ABS(CJ921)-ABS(CE921))),(CJ921/CE921-1),"NM"))))))</f>
      </c>
      <c r="CK926" s="1060">
        <f>IF(CF921="NM","NM",IF(CK921="NM","NM",IF(CF921&lt;=0,"NM",IF(CK921=0,"NM",IF(ABS(CK921/CF921-1)&gt;2.5,"NM",IF((ABS(CK921-CF921)=ABS(ABS(CK921)-ABS(CF921))),(CK921/CF921-1),"NM"))))))</f>
      </c>
      <c r="CL926" s="926">
        <f t="shared" si="2032"/>
      </c>
      <c r="CM926" s="926">
        <f t="shared" si="2032"/>
      </c>
      <c r="CN926" s="926">
        <f t="shared" si="2032"/>
      </c>
      <c r="CO926" s="926">
        <f t="shared" si="2032"/>
      </c>
      <c r="CP926" s="1060">
        <f>IF(CK921="NM","NM",IF(CP921="NM","NM",IF(CK921&lt;=0,"NM",IF(CP921=0,"NM",IF(ABS(CP921/CK921-1)&gt;2.5,"NM",IF((ABS(CP921-CK921)=ABS(ABS(CP921)-ABS(CK921))),(CP921/CK921-1),"NM"))))))</f>
      </c>
      <c r="CQ926" s="926">
        <f t="shared" si="2032"/>
      </c>
      <c r="CR926" s="926">
        <f t="shared" si="2032"/>
      </c>
      <c r="CS926" s="926">
        <f t="shared" si="2032"/>
      </c>
      <c r="CT926" s="926">
        <f t="shared" si="2032"/>
      </c>
      <c r="CU926" s="1060">
        <f>IF(CP921="NM","NM",IF(CU921="NM","NM",IF(CP921&lt;=0,"NM",IF(CU921=0,"NM",IF(ABS(CU921/CP921-1)&gt;2.5,"NM",IF((ABS(CU921-CP921)=ABS(ABS(CU921)-ABS(CP921))),(CU921/CP921-1),"NM"))))))</f>
      </c>
      <c r="CV926" s="926">
        <f t="shared" si="2032"/>
      </c>
      <c r="CW926" s="926">
        <f t="shared" si="2032"/>
      </c>
      <c r="CX926" s="926">
        <f t="shared" si="2032"/>
      </c>
      <c r="CY926" s="926">
        <f t="shared" si="2032"/>
      </c>
      <c r="CZ926" s="1060">
        <f t="shared" si="2032"/>
      </c>
      <c r="DA926" s="926">
        <f t="shared" si="2032"/>
      </c>
      <c r="DB926" s="926">
        <f t="shared" si="2032"/>
      </c>
      <c r="DC926" s="926">
        <f t="shared" si="2032"/>
      </c>
      <c r="DD926" s="926">
        <f t="shared" si="2032"/>
      </c>
      <c r="DE926" s="1060">
        <f>IF(CZ921=0, "NA", DE921/CZ921-1)</f>
      </c>
      <c r="DF926" s="926">
        <f t="shared" si="2033"/>
      </c>
      <c r="DG926" s="926">
        <f t="shared" si="2033"/>
      </c>
      <c r="DH926" s="926">
        <f t="shared" si="2033"/>
      </c>
      <c r="DI926" s="926">
        <f t="shared" si="2033"/>
      </c>
      <c r="DJ926" s="1060">
        <f>IF(DE921=0, "NA", DJ921/DE921-1)</f>
      </c>
      <c r="DK926" s="926">
        <f t="shared" si="2034"/>
      </c>
      <c r="DL926" s="926">
        <f t="shared" si="2034"/>
      </c>
      <c r="DM926" s="926">
        <f t="shared" si="2034"/>
      </c>
      <c r="DN926" s="926">
        <f t="shared" si="2034"/>
      </c>
      <c r="DO926" s="1060">
        <f>IF(DJ921=0, "NA", DO921/DJ921-1)</f>
      </c>
      <c r="DP926" s="926">
        <f t="shared" si="2035"/>
      </c>
      <c r="DQ926" s="926">
        <f t="shared" si="2035"/>
      </c>
      <c r="DR926" s="926">
        <f t="shared" si="2035"/>
      </c>
      <c r="DS926" s="926">
        <f t="shared" si="2035"/>
      </c>
      <c r="DT926" s="1060">
        <f>IF(DO921=0, "NA", DT921/DO921-1)</f>
      </c>
      <c r="DU926" s="926">
        <f t="shared" si="2036"/>
      </c>
      <c r="DV926" s="926">
        <f t="shared" si="2036"/>
      </c>
      <c r="DW926" s="926">
        <f t="shared" si="2036"/>
      </c>
      <c r="DX926" s="928">
        <f t="shared" si="2036"/>
      </c>
      <c r="DY926" s="1060">
        <f>IF(DT921=0, "NA", DY921/DT921-1)</f>
      </c>
      <c r="DZ926" s="926">
        <f t="shared" ref="DZ926" si="2045">IF(DU921=0, 0, DZ921/DU921-1)</f>
      </c>
      <c r="EA926" s="926">
        <f t="shared" si="2038"/>
      </c>
      <c r="EB926" s="926">
        <f t="shared" si="2039"/>
      </c>
      <c r="EC926" s="928">
        <f t="shared" si="2040"/>
      </c>
      <c r="ED926" s="1536">
        <f>IF(DY921=0, "NA", ED921/DY921-1)</f>
      </c>
      <c r="EE926" s="926">
        <f t="shared" si="2040"/>
      </c>
      <c r="EF926" s="926">
        <f t="shared" si="2040"/>
      </c>
      <c r="EG926" s="926">
        <f t="shared" si="2041"/>
      </c>
      <c r="EH926" s="926">
        <f t="shared" si="2042"/>
      </c>
      <c r="EI926" s="1060">
        <f t="shared" si="2043"/>
      </c>
      <c r="EJ926" s="1060">
        <f t="shared" si="2044"/>
      </c>
      <c r="EK926" s="1060">
        <f t="shared" si="2044"/>
      </c>
      <c r="EL926" s="1060">
        <f t="shared" si="2044"/>
      </c>
      <c r="EM926" s="1060">
        <f t="shared" si="2044"/>
      </c>
      <c r="EN926" s="1060">
        <f t="shared" si="2044"/>
      </c>
      <c r="EO926" s="1060"/>
      <c r="EP926" s="1060"/>
      <c r="EQ926" s="1060"/>
      <c r="ER926" s="1060"/>
      <c r="ES926" s="1060"/>
      <c r="ET926" s="1060"/>
      <c r="EU926" s="1060"/>
      <c r="EV926" s="1060"/>
      <c r="EW926" s="1060"/>
      <c r="EX926" s="1060"/>
    </row>
    <row r="927" spans="1:154">
      <c r="B927" s="454" t="s">
        <v>256</v>
      </c>
      <c r="C927" s="1577"/>
      <c r="D927" s="933"/>
      <c r="E927" s="933"/>
      <c r="F927" s="933"/>
      <c r="G927" s="933"/>
      <c r="H927" s="933"/>
      <c r="I927" s="31"/>
      <c r="J927" s="933"/>
      <c r="K927" s="933"/>
      <c r="L927" s="933"/>
      <c r="M927" s="933"/>
      <c r="N927" s="31"/>
      <c r="O927" s="31"/>
      <c r="P927" s="31"/>
      <c r="Q927" s="31"/>
      <c r="R927" s="31"/>
      <c r="S927" s="31"/>
      <c r="T927" s="31"/>
      <c r="U927" s="31"/>
      <c r="V927" s="31"/>
      <c r="W927" s="31"/>
      <c r="X927" s="313"/>
      <c r="Y927" s="31"/>
      <c r="Z927" s="31"/>
      <c r="AA927" s="31"/>
      <c r="AB927" s="31"/>
      <c r="AC927" s="313"/>
      <c r="AD927" s="31"/>
      <c r="AE927" s="31"/>
      <c r="AF927" s="31"/>
      <c r="AG927" s="31"/>
      <c r="AH927" s="313"/>
      <c r="AI927" s="933"/>
      <c r="AJ927" s="933"/>
      <c r="AK927" s="933"/>
      <c r="AL927" s="31"/>
      <c r="AM927" s="313"/>
      <c r="AN927" s="933"/>
      <c r="AO927" s="933"/>
      <c r="AP927" s="933"/>
      <c r="AQ927" s="933"/>
      <c r="AR927" s="313"/>
      <c r="AS927" s="933"/>
      <c r="AT927" s="933"/>
      <c r="AU927" s="933"/>
      <c r="AV927" s="933"/>
      <c r="AW927" s="313"/>
      <c r="AX927" s="933"/>
      <c r="AY927" s="933"/>
      <c r="AZ927" s="933"/>
      <c r="BA927" s="933"/>
      <c r="BB927" s="313"/>
      <c r="BC927" s="933"/>
      <c r="BD927" s="933"/>
      <c r="BE927" s="933"/>
      <c r="BF927" s="933"/>
      <c r="BG927" s="313"/>
      <c r="BH927" s="933"/>
      <c r="BI927" s="933"/>
      <c r="BJ927" s="933"/>
      <c r="BK927" s="933"/>
      <c r="BL927" s="313"/>
      <c r="BM927" s="926" t="str">
        <f>IF(ISNUMBER(BM926),(1+BM926)/(1+BM$21)-1,"NM")</f>
      </c>
      <c r="BN927" s="926" t="str">
        <f>IF(ISNUMBER(BN926),(1+BN926)/(1+BN$21)-1,"NM")</f>
      </c>
      <c r="BO927" s="926" t="str">
        <f>IF(ISNUMBER(BO926),(1+BO926)/(1+BO$21)-1,"NM")</f>
      </c>
      <c r="BP927" s="925" t="str">
        <f>IF(ISNUMBER(BP926),(1+BP926)/(1+BP$21)-1,"NM")</f>
      </c>
      <c r="BQ927" s="1060"/>
      <c r="BR927" s="649"/>
      <c r="BS927" s="649"/>
      <c r="BT927" s="649"/>
      <c r="BU927" s="649"/>
      <c r="BV927" s="448"/>
      <c r="BW927" s="649"/>
      <c r="BX927" s="649"/>
      <c r="BY927" s="649"/>
      <c r="BZ927" s="836"/>
      <c r="CA927" s="448"/>
      <c r="CB927" s="29"/>
      <c r="CC927" s="649"/>
      <c r="CD927" s="649"/>
      <c r="CE927" s="836"/>
      <c r="CF927" s="448"/>
      <c r="CG927" s="926">
        <f t="shared" ref="CG927:CN927" si="2046">IF(ISNUMBER(CG926),(1+CG926)/(1+CG$21)-1,"NM")</f>
      </c>
      <c r="CH927" s="926">
        <f t="shared" si="2046"/>
      </c>
      <c r="CI927" s="926">
        <f t="shared" si="2046"/>
      </c>
      <c r="CJ927" s="926">
        <f t="shared" si="2046"/>
      </c>
      <c r="CK927" s="2248">
        <f t="shared" si="2046"/>
      </c>
      <c r="CL927" s="926">
        <f t="shared" si="2046"/>
      </c>
      <c r="CM927" s="926">
        <f t="shared" si="2046"/>
      </c>
      <c r="CN927" s="926">
        <f t="shared" si="2046"/>
      </c>
      <c r="CO927" s="926">
        <f>IF(ISNUMBER(CO926),(1+CO926)/(1+CO$21)-1,"NM")</f>
      </c>
      <c r="CP927" s="2248">
        <f>IF(ISNUMBER(CP926),(1+CP926)/(1+CP$21)-1,"NM")</f>
      </c>
      <c r="CQ927" s="649">
        <v>3.3000000000000002E-2</v>
      </c>
      <c r="CR927" s="649">
        <v>1.6E-2</v>
      </c>
      <c r="CS927" s="649">
        <v>3.6999999999999998E-2</v>
      </c>
      <c r="CT927" s="649">
        <v>5.3999999999999999E-2</v>
      </c>
      <c r="CU927" s="406">
        <v>3.5000000000000003E-2</v>
      </c>
      <c r="CV927" s="649">
        <v>3.9E-2</v>
      </c>
      <c r="CW927" s="649">
        <v>5.3999999999999999E-2</v>
      </c>
      <c r="CX927" s="649">
        <v>5.6000000000000001E-2</v>
      </c>
      <c r="CY927" s="649">
        <v>5.3999999999999999E-2</v>
      </c>
      <c r="CZ927" s="406">
        <v>5.0999999999999997E-2</v>
      </c>
      <c r="DA927" s="649">
        <v>4.7E-2</v>
      </c>
      <c r="DB927" s="649">
        <f>IF(ISNUMBER(DB926),(1+DB926)/(1+DB$21)-1,"NM")</f>
      </c>
      <c r="DC927" s="649">
        <v>3.5000000000000003E-2</v>
      </c>
      <c r="DD927" s="649">
        <v>1.2E-2</v>
      </c>
      <c r="DE927" s="448">
        <v>2.7E-2</v>
      </c>
      <c r="DF927" s="649">
        <v>-6.7000000000000004E-2</v>
      </c>
      <c r="DG927" s="649">
        <v>-0.22600000000000001</v>
      </c>
      <c r="DH927" s="649">
        <v>-9.5000000000000001E-2</v>
      </c>
      <c r="DI927" s="649">
        <v>-5.8999999999999997E-2</v>
      </c>
      <c r="DJ927" s="448">
        <v>-0.112</v>
      </c>
      <c r="DK927" s="649">
        <v>0.11700000000000001</v>
      </c>
      <c r="DL927" s="649">
        <v>0.30599999999999999</v>
      </c>
      <c r="DM927" s="649">
        <v>0.14799999999999999</v>
      </c>
      <c r="DN927" s="649">
        <v>8.6999999999999994E-2</v>
      </c>
      <c r="DO927" s="1482">
        <v>0.156</v>
      </c>
      <c r="DP927" s="649">
        <v>6.6000000000000003E-2</v>
      </c>
      <c r="DQ927" s="649">
        <v>5.8999999999999997E-2</v>
      </c>
      <c r="DR927" s="649">
        <v>9.2999999999999999E-2</v>
      </c>
      <c r="DS927" s="649">
        <v>1.4E-2</v>
      </c>
      <c r="DT927" s="448">
        <v>5.7000000000000002E-2</v>
      </c>
      <c r="DU927" s="649">
        <v>3.1E-2</v>
      </c>
      <c r="DV927" s="649">
        <v>0.126</v>
      </c>
      <c r="DW927" s="649">
        <v>4.5999999999999999E-2</v>
      </c>
      <c r="DX927" s="1482">
        <v>7.8E-2</v>
      </c>
      <c r="DY927" s="448">
        <v>7.0000000000000007E-2</v>
      </c>
      <c r="DZ927" s="649">
        <v>2.3E-2</v>
      </c>
      <c r="EA927" s="649">
        <v>-7.0000000000000001E-3</v>
      </c>
      <c r="EB927" s="649">
        <v>-3.0000000000000001E-3</v>
      </c>
      <c r="EC927" s="3610">
        <v>1.4E-2</v>
      </c>
      <c r="ED927" s="3623">
        <v>6.0000000000000001E-3</v>
      </c>
      <c r="EE927" s="649">
        <v>8.0000000000000002E-3</v>
      </c>
      <c r="EF927" s="649">
        <v>-2E-3</v>
      </c>
      <c r="EG927" s="926">
        <f t="shared" ref="EG927:EN927" si="2047">EG926-EG$1370</f>
      </c>
      <c r="EH927" s="926">
        <f t="shared" si="2047"/>
      </c>
      <c r="EI927" s="1060">
        <f t="shared" si="2047"/>
      </c>
      <c r="EJ927" s="1060">
        <f t="shared" si="2047"/>
      </c>
      <c r="EK927" s="1060">
        <f t="shared" si="2047"/>
      </c>
      <c r="EL927" s="1060">
        <f t="shared" si="2047"/>
      </c>
      <c r="EM927" s="1060">
        <f t="shared" si="2047"/>
      </c>
      <c r="EN927" s="1060">
        <f t="shared" si="2047"/>
      </c>
      <c r="EO927" s="2258"/>
      <c r="EP927" s="2258"/>
      <c r="EQ927" s="2258"/>
      <c r="ER927" s="2258"/>
      <c r="ES927" s="2258"/>
      <c r="ET927" s="2258"/>
      <c r="EU927" s="2258"/>
      <c r="EV927" s="2258"/>
      <c r="EW927" s="2258"/>
      <c r="EX927" s="2258"/>
    </row>
    <row r="928" spans="1:154">
      <c r="B928" s="454" t="s">
        <v>413</v>
      </c>
      <c r="C928" s="1577"/>
      <c r="D928" s="933"/>
      <c r="E928" s="933"/>
      <c r="F928" s="933"/>
      <c r="G928" s="933"/>
      <c r="H928" s="933"/>
      <c r="I928" s="31"/>
      <c r="J928" s="933"/>
      <c r="K928" s="933"/>
      <c r="L928" s="933"/>
      <c r="M928" s="933"/>
      <c r="N928" s="31"/>
      <c r="O928" s="31"/>
      <c r="P928" s="31"/>
      <c r="Q928" s="31"/>
      <c r="R928" s="31"/>
      <c r="S928" s="31"/>
      <c r="T928" s="31"/>
      <c r="U928" s="31"/>
      <c r="V928" s="31"/>
      <c r="W928" s="31"/>
      <c r="X928" s="313"/>
      <c r="Y928" s="31"/>
      <c r="Z928" s="31"/>
      <c r="AA928" s="31"/>
      <c r="AB928" s="31"/>
      <c r="AC928" s="313"/>
      <c r="AD928" s="31"/>
      <c r="AE928" s="31"/>
      <c r="AF928" s="31"/>
      <c r="AG928" s="31"/>
      <c r="AH928" s="313"/>
      <c r="AI928" s="933"/>
      <c r="AJ928" s="933"/>
      <c r="AK928" s="933"/>
      <c r="AL928" s="31"/>
      <c r="AM928" s="313"/>
      <c r="AN928" s="933"/>
      <c r="AO928" s="933"/>
      <c r="AP928" s="933"/>
      <c r="AQ928" s="933"/>
      <c r="AR928" s="313"/>
      <c r="AS928" s="933"/>
      <c r="AT928" s="933"/>
      <c r="AU928" s="933"/>
      <c r="AV928" s="933"/>
      <c r="AW928" s="313"/>
      <c r="AX928" s="933"/>
      <c r="AY928" s="933"/>
      <c r="AZ928" s="933"/>
      <c r="BA928" s="933"/>
      <c r="BB928" s="313"/>
      <c r="BC928" s="933"/>
      <c r="BD928" s="933"/>
      <c r="BE928" s="933"/>
      <c r="BF928" s="933"/>
      <c r="BG928" s="313"/>
      <c r="BH928" s="933"/>
      <c r="BI928" s="933"/>
      <c r="BJ928" s="933"/>
      <c r="BK928" s="933"/>
      <c r="BL928" s="313"/>
      <c r="BM928" s="926" t="str">
        <f>IF(BH922="NM","NM",IF(BM922="NM","NM",IF(BH922&lt;=0,"NM",IF(BM922=0,"NM",IF(ABS(BM922/BH922-1)&gt;2.5,"NM",IF((ABS(BM922-BH922)=ABS(ABS(BM922)-ABS(BH922))),(BM922/BH922-1),"NM"))))))</f>
      </c>
      <c r="BN928" s="926" t="str">
        <f>IF(BI922="NM","NM",IF(BN922="NM","NM",IF(BI922&lt;=0,"NM",IF(BN922=0,"NM",IF(ABS(BN922/BI922-1)&gt;2.5,"NM",IF((ABS(BN922-BI922)=ABS(ABS(BN922)-ABS(BI922))),(BN922/BI922-1),"NM"))))))</f>
      </c>
      <c r="BO928" s="926" t="str">
        <f>IF(BJ922="NM","NM",IF(BO922="NM","NM",IF(BJ922&lt;=0,"NM",IF(BO922=0,"NM",IF(ABS(BO922/BJ922-1)&gt;2.5,"NM",IF((ABS(BO922-BJ922)=ABS(ABS(BO922)-ABS(BJ922))),(BO922/BJ922-1),"NM"))))))</f>
      </c>
      <c r="BP928" s="926" t="str">
        <f>IF(BK922="NM","NM",IF(BP922="NM","NM",IF(BK922&lt;=0,"NM",IF(BP922=0,"NM",IF(ABS(BP922/BK922-1)&gt;2.5,"NM",IF((ABS(BP922-BK922)=ABS(ABS(BP922)-ABS(BK922))),(BP922/BK922-1),"NM"))))))</f>
      </c>
      <c r="BQ928" s="1060"/>
      <c r="BR928" s="926"/>
      <c r="BS928" s="926"/>
      <c r="BT928" s="926"/>
      <c r="BU928" s="926"/>
      <c r="BV928" s="1060"/>
      <c r="BW928" s="926"/>
      <c r="BX928" s="926"/>
      <c r="BY928" s="926"/>
      <c r="BZ928" s="926"/>
      <c r="CA928" s="1060"/>
      <c r="CB928" s="926"/>
      <c r="CC928" s="926"/>
      <c r="CD928" s="926"/>
      <c r="CE928" s="926"/>
      <c r="CF928" s="1060"/>
      <c r="CG928" s="926">
        <f t="shared" ref="CG928:DD928" si="2048">IF(CB922="NM","NM",IF(CG922="NM","NM",IF(CB922&lt;=0,"NM",IF(CG922=0,"NM",IF(ABS(CG922/CB922-1)&gt;2.5,"NM",IF((ABS(CG922-CB922)=ABS(ABS(CG922)-ABS(CB922))),(CG922/CB922-1),"NM"))))))</f>
      </c>
      <c r="CH928" s="926">
        <f t="shared" si="2048"/>
      </c>
      <c r="CI928" s="926">
        <f t="shared" si="2048"/>
      </c>
      <c r="CJ928" s="926">
        <f>IF(CE922="NM","NM",IF(CJ922="NM","NM",IF(CE922&lt;=0,"NM",IF(CJ922=0,"NM",IF(ABS(CJ922/CE922-1)&gt;2.5,"NM",IF((ABS(CJ922-CE922)=ABS(ABS(CJ922)-ABS(CE922))),(CJ922/CE922-1),"NM"))))))</f>
      </c>
      <c r="CK928" s="1060">
        <f>IF(CF922="NM","NM",IF(CK922="NM","NM",IF(CF922&lt;=0,"NM",IF(CK922=0,"NM",IF(ABS(CK922/CF922-1)&gt;2.5,"NM",IF((ABS(CK922-CF922)=ABS(ABS(CK922)-ABS(CF922))),(CK922/CF922-1),"NM"))))))</f>
      </c>
      <c r="CL928" s="926">
        <f t="shared" si="2048"/>
      </c>
      <c r="CM928" s="926">
        <f t="shared" si="2048"/>
      </c>
      <c r="CN928" s="926">
        <f t="shared" si="2048"/>
      </c>
      <c r="CO928" s="926">
        <f t="shared" si="2048"/>
      </c>
      <c r="CP928" s="1060">
        <f t="shared" si="2048"/>
      </c>
      <c r="CQ928" s="926">
        <f t="shared" si="2048"/>
      </c>
      <c r="CR928" s="926">
        <f t="shared" si="2048"/>
      </c>
      <c r="CS928" s="926">
        <f t="shared" si="2048"/>
      </c>
      <c r="CT928" s="926">
        <f t="shared" si="2048"/>
      </c>
      <c r="CU928" s="1060">
        <f t="shared" si="2048"/>
      </c>
      <c r="CV928" s="926">
        <f t="shared" si="2048"/>
      </c>
      <c r="CW928" s="926">
        <f t="shared" si="2048"/>
      </c>
      <c r="CX928" s="926">
        <f t="shared" si="2048"/>
      </c>
      <c r="CY928" s="926">
        <f t="shared" si="2048"/>
      </c>
      <c r="CZ928" s="1060">
        <f t="shared" si="2048"/>
      </c>
      <c r="DA928" s="926">
        <f t="shared" si="2048"/>
      </c>
      <c r="DB928" s="926">
        <f t="shared" si="2048"/>
      </c>
      <c r="DC928" s="926">
        <f t="shared" si="2048"/>
      </c>
      <c r="DD928" s="926">
        <f t="shared" si="2048"/>
      </c>
      <c r="DE928" s="1060">
        <f>IF(CZ922=0, "NA", DE922/CZ922-1)</f>
      </c>
      <c r="DF928" s="926">
        <f>IF(DA922="NM","NM",IF(DF922="NM","NM",IF(DA922&lt;=0,"NM",IF(DF922=0,"NM",IF(ABS(DF922/DA922-1)&gt;2.5,"NM",IF((ABS(DF922-DA922)=ABS(ABS(DF922)-ABS(DA922))),(DF922/DA922-1),"NM"))))))</f>
      </c>
      <c r="DG928" s="926">
        <f>IF(DB922="NM","NM",IF(DG922="NM","NM",IF(DB922&lt;=0,"NM",IF(DG922=0,"NM",IF(ABS(DG922/DB922-1)&gt;2.5,"NM",IF((ABS(DG922-DB922)=ABS(ABS(DG922)-ABS(DB922))),(DG922/DB922-1),"NM"))))))</f>
      </c>
      <c r="DH928" s="926">
        <f>IF(DC922="NM","NM",IF(DH922="NM","NM",IF(DC922&lt;=0,"NM",IF(DH922=0,"NM",IF(ABS(DH922/DC922-1)&gt;2.5,"NM",IF((ABS(DH922-DC922)=ABS(ABS(DH922)-ABS(DC922))),(DH922/DC922-1),"NM"))))))</f>
      </c>
      <c r="DI928" s="926">
        <f>IF(DD922="NM","NM",IF(DI922="NM","NM",IF(DD922&lt;=0,"NM",IF(DI922=0,"NM",IF(ABS(DI922/DD922-1)&gt;2.5,"NM",IF((ABS(DI922-DD922)=ABS(ABS(DI922)-ABS(DD922))),(DI922/DD922-1),"NM"))))))</f>
      </c>
      <c r="DJ928" s="1060">
        <f>IF(DE922=0, "NA", DJ922/DE922-1)</f>
      </c>
      <c r="DK928" s="926">
        <f>IF(DF922="NM","NM",IF(DK922="NM","NM",IF(DF922&lt;=0,"NM",IF(DK922=0,"NM",IF(ABS(DK922/DF922-1)&gt;2.5,"NM",IF((ABS(DK922-DF922)=ABS(ABS(DK922)-ABS(DF922))),(DK922/DF922-1),"NM"))))))</f>
      </c>
      <c r="DL928" s="926">
        <f>IF(DG922="NM","NM",IF(DL922="NM","NM",IF(DG922&lt;=0,"NM",IF(DL922=0,"NM",IF(ABS(DL922/DG922-1)&gt;2.5,"NM",IF((ABS(DL922-DG922)=ABS(ABS(DL922)-ABS(DG922))),(DL922/DG922-1),"NM"))))))</f>
      </c>
      <c r="DM928" s="926">
        <f>IF(DH922="NM","NM",IF(DM922="NM","NM",IF(DH922&lt;=0,"NM",IF(DM922=0,"NM",IF(ABS(DM922/DH922-1)&gt;2.5,"NM",IF((ABS(DM922-DH922)=ABS(ABS(DM922)-ABS(DH922))),(DM922/DH922-1),"NM"))))))</f>
      </c>
      <c r="DN928" s="926">
        <f>IF(DI922="NM","NM",IF(DN922="NM","NM",IF(DI922&lt;=0,"NM",IF(DN922=0,"NM",IF(ABS(DN922/DI922-1)&gt;2.5,"NM",IF((ABS(DN922-DI922)=ABS(ABS(DN922)-ABS(DI922))),(DN922/DI922-1),"NM"))))))</f>
      </c>
      <c r="DO928" s="1060">
        <f>IF(DJ922=0, "NA", DO922/DJ922-1)</f>
      </c>
      <c r="DP928" s="926">
        <f>IF(DK922="NM","NM",IF(DP922="NM","NM",IF(DK922&lt;=0,"NM",IF(DP922=0,"NM",IF(ABS(DP922/DK922-1)&gt;2.5,"NM",IF((ABS(DP922-DK922)=ABS(ABS(DP922)-ABS(DK922))),(DP922/DK922-1),"NM"))))))</f>
      </c>
      <c r="DQ928" s="926">
        <f>IF(DL922="NM","NM",IF(DQ922="NM","NM",IF(DL922&lt;=0,"NM",IF(DQ922=0,"NM",IF(ABS(DQ922/DL922-1)&gt;2.5,"NM",IF((ABS(DQ922-DL922)=ABS(ABS(DQ922)-ABS(DL922))),(DQ922/DL922-1),"NM"))))))</f>
      </c>
      <c r="DR928" s="926">
        <f>IF(DM922="NM","NM",IF(DR922="NM","NM",IF(DM922&lt;=0,"NM",IF(DR922=0,"NM",IF(ABS(DR922/DM922-1)&gt;2.5,"NM",IF((ABS(DR922-DM922)=ABS(ABS(DR922)-ABS(DM922))),(DR922/DM922-1),"NM"))))))</f>
      </c>
      <c r="DS928" s="926">
        <f>IF(DN922="NM","NM",IF(DS922="NM","NM",IF(DN922&lt;=0,"NM",IF(DS922=0,"NM",IF(ABS(DS922/DN922-1)&gt;2.5,"NM",IF((ABS(DS922-DN922)=ABS(ABS(DS922)-ABS(DN922))),(DS922/DN922-1),"NM"))))))</f>
      </c>
      <c r="DT928" s="1060">
        <f>IF(DO922=0, "NA", DT922/DO922-1)</f>
      </c>
      <c r="DU928" s="926">
        <f>IF(DP922="NM","NM",IF(DU922="NM","NM",IF(DP922&lt;=0,"NM",IF(DU922=0,"NM",IF(ABS(DU922/DP922-1)&gt;2.5,"NM",IF((ABS(DU922-DP922)=ABS(ABS(DU922)-ABS(DP922))),(DU922/DP922-1),"NM"))))))</f>
      </c>
      <c r="DV928" s="926">
        <f>IF(DQ922="NM","NM",IF(DV922="NM","NM",IF(DQ922&lt;=0,"NM",IF(DV922=0,"NM",IF(ABS(DV922/DQ922-1)&gt;2.5,"NM",IF((ABS(DV922-DQ922)=ABS(ABS(DV922)-ABS(DQ922))),(DV922/DQ922-1),"NM"))))))</f>
      </c>
      <c r="DW928" s="926">
        <f>IF(DR922="NM","NM",IF(DW922="NM","NM",IF(DR922&lt;=0,"NM",IF(DW922=0,"NM",IF(ABS(DW922/DR922-1)&gt;2.5,"NM",IF((ABS(DW922-DR922)=ABS(ABS(DW922)-ABS(DR922))),(DW922/DR922-1),"NM"))))))</f>
      </c>
      <c r="DX928" s="928">
        <f>IF(DS922="NM","NM",IF(DX922="NM","NM",IF(DS922&lt;=0,"NM",IF(DX922=0,"NM",IF(ABS(DX922/DS922-1)&gt;2.5,"NM",IF((ABS(DX922-DS922)=ABS(ABS(DX922)-ABS(DS922))),(DX922/DS922-1),"NM"))))))</f>
      </c>
      <c r="DY928" s="1060">
        <f>IF(DT922=0, "NA", DY922/DT922-1)</f>
      </c>
      <c r="DZ928" s="926">
        <f>IF(DU922=0, 0, DZ922/DU922-1)</f>
      </c>
      <c r="EA928" s="926">
        <f t="shared" ref="EA928:EI928" si="2049">IF(DV922=0, 0, EA922/DV922-1)</f>
      </c>
      <c r="EB928" s="926">
        <f t="shared" si="2049"/>
      </c>
      <c r="EC928" s="1235">
        <f>IF(DX922="NM","NM",IF(EC922="NM","NM",IF(DX922&lt;=0,"NM",IF(EC922=0,"NM",IF(ABS(EC922/DX922-1)&gt;2.5,"NM",IF((ABS(EC922-DX922)=ABS(ABS(EC922)-ABS(DX922))),(EC922/DX922-1),"NM"))))))</f>
      </c>
      <c r="ED928" s="1536">
        <f>IF(DY922=0, "NA", ED922/DY922-1)</f>
      </c>
      <c r="EE928" s="926">
        <f>IF(DZ922="NM","NM",IF(EE922="NM","NM",IF(DZ922&lt;=0,"NM",IF(EE922=0,"NM",IF(ABS(EE922/DZ922-1)&gt;2.5,"NM",IF((ABS(EE922-DZ922)=ABS(ABS(EE922)-ABS(DZ922))),(EE922/DZ922-1),"NM"))))))</f>
      </c>
      <c r="EF928" s="926">
        <f>IF(EA922="NM","NM",IF(EF922="NM","NM",IF(EA922&lt;=0,"NM",IF(EF922=0,"NM",IF(ABS(EF922/EA922-1)&gt;2.5,"NM",IF((ABS(EF922-EA922)=ABS(ABS(EF922)-ABS(EA922))),(EF922/EA922-1),"NM"))))))</f>
      </c>
      <c r="EG928" s="926">
        <f t="shared" si="2049"/>
      </c>
      <c r="EH928" s="926">
        <f t="shared" si="2049"/>
      </c>
      <c r="EI928" s="1060">
        <f t="shared" si="2049"/>
      </c>
      <c r="EJ928" s="1060">
        <f t="shared" ref="EJ928:EN928" si="2050">IF(EI922=0, "NA", EJ922/EI922-1)</f>
      </c>
      <c r="EK928" s="1060">
        <f t="shared" si="2050"/>
      </c>
      <c r="EL928" s="1060">
        <f t="shared" si="2050"/>
      </c>
      <c r="EM928" s="1060">
        <f t="shared" si="2050"/>
      </c>
      <c r="EN928" s="1060">
        <f t="shared" si="2050"/>
      </c>
      <c r="EO928" s="1060"/>
      <c r="EP928" s="1060"/>
      <c r="EQ928" s="1060"/>
      <c r="ER928" s="1060"/>
      <c r="ES928" s="1060"/>
      <c r="ET928" s="1060"/>
      <c r="EU928" s="1060"/>
      <c r="EV928" s="1060"/>
      <c r="EW928" s="1060"/>
      <c r="EX928" s="1060"/>
    </row>
    <row r="929" spans="2:154">
      <c r="B929" s="454" t="s">
        <v>848</v>
      </c>
      <c r="C929" s="1577"/>
      <c r="D929" s="933"/>
      <c r="E929" s="933"/>
      <c r="F929" s="933"/>
      <c r="G929" s="933"/>
      <c r="H929" s="933"/>
      <c r="I929" s="31"/>
      <c r="J929" s="933"/>
      <c r="K929" s="933"/>
      <c r="L929" s="933"/>
      <c r="M929" s="933"/>
      <c r="N929" s="31"/>
      <c r="O929" s="31"/>
      <c r="P929" s="31"/>
      <c r="Q929" s="31"/>
      <c r="R929" s="31"/>
      <c r="S929" s="31"/>
      <c r="T929" s="31"/>
      <c r="U929" s="31"/>
      <c r="V929" s="31"/>
      <c r="W929" s="31"/>
      <c r="X929" s="313"/>
      <c r="Y929" s="31"/>
      <c r="Z929" s="31"/>
      <c r="AA929" s="31"/>
      <c r="AB929" s="31"/>
      <c r="AC929" s="313"/>
      <c r="AD929" s="31"/>
      <c r="AE929" s="31"/>
      <c r="AF929" s="31"/>
      <c r="AG929" s="31"/>
      <c r="AH929" s="313"/>
      <c r="AI929" s="933"/>
      <c r="AJ929" s="933"/>
      <c r="AK929" s="933"/>
      <c r="AL929" s="31"/>
      <c r="AM929" s="313"/>
      <c r="AN929" s="933"/>
      <c r="AO929" s="933"/>
      <c r="AP929" s="933"/>
      <c r="AQ929" s="933"/>
      <c r="AR929" s="313"/>
      <c r="AS929" s="933"/>
      <c r="AT929" s="933"/>
      <c r="AU929" s="933"/>
      <c r="AV929" s="933"/>
      <c r="AW929" s="313"/>
      <c r="AX929" s="933"/>
      <c r="AY929" s="933"/>
      <c r="AZ929" s="933"/>
      <c r="BA929" s="933"/>
      <c r="BB929" s="313"/>
      <c r="BC929" s="933"/>
      <c r="BD929" s="933"/>
      <c r="BE929" s="933"/>
      <c r="BF929" s="933"/>
      <c r="BG929" s="313"/>
      <c r="BH929" s="933"/>
      <c r="BI929" s="933"/>
      <c r="BJ929" s="933"/>
      <c r="BK929" s="933"/>
      <c r="BL929" s="313"/>
      <c r="BM929" s="926"/>
      <c r="BN929" s="926"/>
      <c r="BO929" s="926"/>
      <c r="BP929" s="926"/>
      <c r="BQ929" s="1060"/>
      <c r="BR929" s="926"/>
      <c r="BS929" s="926"/>
      <c r="BT929" s="926"/>
      <c r="BU929" s="926"/>
      <c r="BV929" s="1060"/>
      <c r="BW929" s="926"/>
      <c r="BX929" s="926"/>
      <c r="BY929" s="926"/>
      <c r="BZ929" s="926"/>
      <c r="CA929" s="1060"/>
      <c r="CB929" s="926"/>
      <c r="CC929" s="926"/>
      <c r="CD929" s="926"/>
      <c r="CE929" s="926"/>
      <c r="CF929" s="1060"/>
      <c r="CG929" s="926"/>
      <c r="CH929" s="926"/>
      <c r="CI929" s="926"/>
      <c r="CJ929" s="926"/>
      <c r="CK929" s="1060"/>
      <c r="CL929" s="926"/>
      <c r="CM929" s="926"/>
      <c r="CN929" s="926"/>
      <c r="CO929" s="926"/>
      <c r="CP929" s="1060"/>
      <c r="CQ929" s="649">
        <v>2.5000000000000001E-2</v>
      </c>
      <c r="CR929" s="649">
        <v>6.0000000000000001E-3</v>
      </c>
      <c r="CS929" s="649">
        <v>2.1000000000000001E-2</v>
      </c>
      <c r="CT929" s="649">
        <v>5.2999999999999999E-2</v>
      </c>
      <c r="CU929" s="448">
        <v>2.5999999999999999E-2</v>
      </c>
      <c r="CV929" s="649">
        <v>2.1000000000000001E-2</v>
      </c>
      <c r="CW929" s="649">
        <v>3.5000000000000003E-2</v>
      </c>
      <c r="CX929" s="649">
        <v>3.7999999999999999E-2</v>
      </c>
      <c r="CY929" s="649">
        <v>3.7999999999999999E-2</v>
      </c>
      <c r="CZ929" s="448">
        <v>3.4000000000000002E-2</v>
      </c>
      <c r="DA929" s="649">
        <v>3.1E-2</v>
      </c>
      <c r="DB929" s="649">
        <v>-0.03</v>
      </c>
      <c r="DC929" s="649">
        <v>-1.2E-2</v>
      </c>
      <c r="DD929" s="649">
        <v>-4.3999999999999997E-2</v>
      </c>
      <c r="DE929" s="448">
        <v>-1.4E-2</v>
      </c>
      <c r="DF929" s="649">
        <v>-0.105</v>
      </c>
      <c r="DG929" s="649">
        <v>-0.32200000000000001</v>
      </c>
      <c r="DH929" s="649">
        <v>-6.9000000000000006E-2</v>
      </c>
      <c r="DI929" s="649">
        <v>-1.9E-2</v>
      </c>
      <c r="DJ929" s="448">
        <v>-0.128</v>
      </c>
      <c r="DK929" s="649">
        <v>9.6000000000000002E-2</v>
      </c>
      <c r="DL929" s="649">
        <v>0.56000000000000005</v>
      </c>
      <c r="DM929" s="649">
        <v>0.10199999999999999</v>
      </c>
      <c r="DN929" s="649">
        <v>4.3999999999999997E-2</v>
      </c>
      <c r="DO929" s="448">
        <v>0.17</v>
      </c>
      <c r="DP929" s="649">
        <v>0.05</v>
      </c>
      <c r="DQ929" s="649">
        <v>1.7999999999999999E-2</v>
      </c>
      <c r="DR929" s="649">
        <v>7.0999999999999994E-2</v>
      </c>
      <c r="DS929" s="649">
        <v>1.4E-2</v>
      </c>
      <c r="DT929" s="448">
        <v>3.7999999999999999E-2</v>
      </c>
      <c r="DU929" s="649">
        <v>4.1000000000000002E-2</v>
      </c>
      <c r="DV929" s="649">
        <v>8.4000000000000005E-2</v>
      </c>
      <c r="DW929" s="649">
        <v>3.2000000000000001E-2</v>
      </c>
      <c r="DX929" s="1482">
        <v>6.4000000000000001E-2</v>
      </c>
      <c r="DY929" s="448">
        <v>5.5E-2</v>
      </c>
      <c r="DZ929" s="649">
        <v>1.9E-2</v>
      </c>
      <c r="EA929" s="649">
        <v>-1.2E-2</v>
      </c>
      <c r="EB929" s="649">
        <v>-7.0000000000000001E-3</v>
      </c>
      <c r="EC929" s="3610">
        <v>4.0000000000000001E-3</v>
      </c>
      <c r="ED929" s="3623">
        <v>1E-3</v>
      </c>
      <c r="EE929" s="649">
        <v>1.0999999999999999E-2</v>
      </c>
      <c r="EF929" s="649">
        <v>1.7999999999999999E-2</v>
      </c>
      <c r="EG929" s="926">
        <f t="shared" ref="EG929:EH929" si="2051">(EB921*EG927+EB920*EG925)/(EB922)</f>
      </c>
      <c r="EH929" s="926">
        <f t="shared" si="2051"/>
      </c>
      <c r="EI929" s="1060">
        <f>(ED921*EI927+ED920*EI925)/(ED922)</f>
      </c>
      <c r="EJ929" s="1060">
        <f t="shared" ref="EJ929:EN929" si="2052">(EI921*EJ927+EI920*EJ925)/(EI922)</f>
      </c>
      <c r="EK929" s="1060">
        <f t="shared" si="2052"/>
      </c>
      <c r="EL929" s="1060">
        <f t="shared" si="2052"/>
      </c>
      <c r="EM929" s="1060">
        <f t="shared" si="2052"/>
      </c>
      <c r="EN929" s="1060">
        <f t="shared" si="2052"/>
      </c>
      <c r="EO929" s="1060"/>
      <c r="EP929" s="1060"/>
      <c r="EQ929" s="1060"/>
      <c r="ER929" s="1060"/>
      <c r="ES929" s="1060"/>
      <c r="ET929" s="1060"/>
      <c r="EU929" s="1060"/>
      <c r="EV929" s="1060"/>
      <c r="EW929" s="1060"/>
      <c r="EX929" s="1060"/>
    </row>
    <row r="930" spans="2:154">
      <c r="B930" s="454"/>
      <c r="C930" s="1577"/>
      <c r="D930" s="933"/>
      <c r="E930" s="933"/>
      <c r="F930" s="933"/>
      <c r="G930" s="933"/>
      <c r="H930" s="933"/>
      <c r="I930" s="31"/>
      <c r="J930" s="933"/>
      <c r="K930" s="933"/>
      <c r="L930" s="933"/>
      <c r="M930" s="933"/>
      <c r="N930" s="31"/>
      <c r="O930" s="31"/>
      <c r="P930" s="31"/>
      <c r="Q930" s="31"/>
      <c r="R930" s="31"/>
      <c r="S930" s="31"/>
      <c r="T930" s="31"/>
      <c r="U930" s="31"/>
      <c r="V930" s="31"/>
      <c r="W930" s="31"/>
      <c r="X930" s="313"/>
      <c r="Y930" s="31"/>
      <c r="Z930" s="31"/>
      <c r="AA930" s="31"/>
      <c r="AB930" s="31"/>
      <c r="AC930" s="313"/>
      <c r="AD930" s="31"/>
      <c r="AE930" s="31"/>
      <c r="AF930" s="31"/>
      <c r="AG930" s="31"/>
      <c r="AH930" s="313"/>
      <c r="AI930" s="933"/>
      <c r="AJ930" s="933"/>
      <c r="AK930" s="933"/>
      <c r="AL930" s="31"/>
      <c r="AM930" s="313"/>
      <c r="AN930" s="933"/>
      <c r="AO930" s="933"/>
      <c r="AP930" s="933"/>
      <c r="AQ930" s="933"/>
      <c r="AR930" s="313"/>
      <c r="AS930" s="933"/>
      <c r="AT930" s="933"/>
      <c r="AU930" s="933"/>
      <c r="AV930" s="933"/>
      <c r="AW930" s="313"/>
      <c r="AX930" s="933"/>
      <c r="AY930" s="933"/>
      <c r="AZ930" s="933"/>
      <c r="BA930" s="933"/>
      <c r="BB930" s="313"/>
      <c r="BC930" s="933"/>
      <c r="BD930" s="933"/>
      <c r="BE930" s="933"/>
      <c r="BF930" s="933"/>
      <c r="BG930" s="313"/>
      <c r="BH930" s="933"/>
      <c r="BI930" s="933"/>
      <c r="BJ930" s="933"/>
      <c r="BK930" s="933"/>
      <c r="BL930" s="313"/>
      <c r="BM930" s="926"/>
      <c r="BN930" s="926"/>
      <c r="BO930" s="926"/>
      <c r="BP930" s="926"/>
      <c r="BQ930" s="1060"/>
      <c r="BR930" s="933"/>
      <c r="BS930" s="933"/>
      <c r="BT930" s="933"/>
      <c r="BU930" s="933"/>
      <c r="BV930" s="1060"/>
      <c r="BW930" s="933"/>
      <c r="BX930" s="933"/>
      <c r="BY930" s="933"/>
      <c r="BZ930" s="933"/>
      <c r="CA930" s="1060"/>
      <c r="CB930" s="933"/>
      <c r="CC930" s="933"/>
      <c r="CD930" s="933"/>
      <c r="CE930" s="933"/>
      <c r="CF930" s="1060"/>
      <c r="CG930" s="933"/>
      <c r="CH930" s="933"/>
      <c r="CI930" s="933"/>
      <c r="CJ930" s="933"/>
      <c r="CK930" s="1060"/>
      <c r="CL930" s="961"/>
      <c r="CM930" s="933"/>
      <c r="CN930" s="933"/>
      <c r="CO930" s="933"/>
      <c r="CP930" s="1060"/>
      <c r="CQ930" s="933"/>
      <c r="CR930" s="933"/>
      <c r="CS930" s="933"/>
      <c r="CT930" s="933"/>
      <c r="CU930" s="1060"/>
      <c r="CV930" s="933"/>
      <c r="CW930" s="933"/>
      <c r="CX930" s="933"/>
      <c r="CY930" s="933"/>
      <c r="CZ930" s="1060"/>
      <c r="DA930" s="958"/>
      <c r="DB930" s="926"/>
      <c r="DC930" s="926"/>
      <c r="DD930" s="928"/>
      <c r="DE930" s="1060"/>
      <c r="DF930" s="958"/>
      <c r="DG930" s="926"/>
      <c r="DH930" s="926"/>
      <c r="DI930" s="928"/>
      <c r="DJ930" s="1060"/>
      <c r="DK930" s="958"/>
      <c r="DL930" s="926"/>
      <c r="DM930" s="926"/>
      <c r="DN930" s="928"/>
      <c r="DO930" s="1060"/>
      <c r="DP930" s="926"/>
      <c r="DQ930" s="926"/>
      <c r="DR930" s="926"/>
      <c r="DS930" s="926"/>
      <c r="DT930" s="1060"/>
      <c r="DU930" s="926"/>
      <c r="DV930" s="926"/>
      <c r="DW930" s="926"/>
      <c r="DX930" s="928"/>
      <c r="DY930" s="1060"/>
      <c r="DZ930" s="926"/>
      <c r="EA930" s="926"/>
      <c r="EB930" s="926"/>
      <c r="EC930" s="1235"/>
      <c r="ED930" s="1536"/>
      <c r="EE930" s="926"/>
      <c r="EF930" s="926"/>
      <c r="EG930" s="926"/>
      <c r="EH930" s="926"/>
      <c r="EI930" s="958"/>
      <c r="EJ930" s="958"/>
      <c r="EK930" s="2653"/>
      <c r="EL930" s="2653"/>
      <c r="EM930" s="2653"/>
      <c r="EN930" s="2653"/>
      <c r="EO930" s="1060"/>
      <c r="EP930" s="1060"/>
      <c r="EQ930" s="1060"/>
      <c r="ER930" s="1060"/>
      <c r="ES930" s="1060"/>
      <c r="ET930" s="1060"/>
      <c r="EU930" s="1060"/>
      <c r="EV930" s="1060"/>
      <c r="EW930" s="1060"/>
      <c r="EX930" s="1060"/>
    </row>
    <row r="931" spans="2:154">
      <c r="B931" s="2239" t="s">
        <v>601</v>
      </c>
      <c r="C931" s="2252"/>
      <c r="D931" s="3006"/>
      <c r="E931" s="3006"/>
      <c r="F931" s="3006"/>
      <c r="G931" s="3006"/>
      <c r="H931" s="3006"/>
      <c r="I931" s="3007"/>
      <c r="J931" s="3006"/>
      <c r="K931" s="3006"/>
      <c r="L931" s="3006"/>
      <c r="M931" s="3006"/>
      <c r="N931" s="3007"/>
      <c r="O931" s="3007"/>
      <c r="P931" s="3007"/>
      <c r="Q931" s="3007"/>
      <c r="R931" s="3007"/>
      <c r="S931" s="3007"/>
      <c r="T931" s="3007"/>
      <c r="U931" s="3007"/>
      <c r="V931" s="3007"/>
      <c r="W931" s="3007"/>
      <c r="X931" s="2253"/>
      <c r="Y931" s="3007"/>
      <c r="Z931" s="3007"/>
      <c r="AA931" s="3007"/>
      <c r="AB931" s="3007"/>
      <c r="AC931" s="2253"/>
      <c r="AD931" s="3007"/>
      <c r="AE931" s="3007"/>
      <c r="AF931" s="3007"/>
      <c r="AG931" s="3007"/>
      <c r="AH931" s="2253"/>
      <c r="AI931" s="3006"/>
      <c r="AJ931" s="3006"/>
      <c r="AK931" s="3006"/>
      <c r="AL931" s="3007"/>
      <c r="AM931" s="2253"/>
      <c r="AN931" s="3006"/>
      <c r="AO931" s="3006"/>
      <c r="AP931" s="3006"/>
      <c r="AQ931" s="3006"/>
      <c r="AR931" s="2253"/>
      <c r="AS931" s="3006"/>
      <c r="AT931" s="3006"/>
      <c r="AU931" s="3006"/>
      <c r="AV931" s="3006"/>
      <c r="AW931" s="2253"/>
      <c r="AX931" s="3006"/>
      <c r="AY931" s="3006"/>
      <c r="AZ931" s="3006"/>
      <c r="BA931" s="3006"/>
      <c r="BB931" s="2253"/>
      <c r="BC931" s="3006"/>
      <c r="BD931" s="3006"/>
      <c r="BE931" s="3006"/>
      <c r="BF931" s="3006"/>
      <c r="BG931" s="2253"/>
      <c r="BH931" s="3006"/>
      <c r="BI931" s="3006"/>
      <c r="BJ931" s="3006"/>
      <c r="BK931" s="3006"/>
      <c r="BL931" s="2253"/>
      <c r="BM931" s="3006"/>
      <c r="BN931" s="3006"/>
      <c r="BO931" s="3006"/>
      <c r="BP931" s="3006"/>
      <c r="BQ931" s="2253"/>
      <c r="BR931" s="3006"/>
      <c r="BS931" s="3006"/>
      <c r="BT931" s="3006"/>
      <c r="BU931" s="3006"/>
      <c r="BV931" s="2253"/>
      <c r="BW931" s="3006"/>
      <c r="BX931" s="3006"/>
      <c r="BY931" s="3006"/>
      <c r="BZ931" s="3006"/>
      <c r="CA931" s="2253"/>
      <c r="CB931" s="3006"/>
      <c r="CC931" s="3006"/>
      <c r="CD931" s="3006"/>
      <c r="CE931" s="3006"/>
      <c r="CF931" s="2253"/>
      <c r="CG931" s="3006"/>
      <c r="CH931" s="3006"/>
      <c r="CI931" s="3006"/>
      <c r="CJ931" s="3006"/>
      <c r="CK931" s="2253"/>
      <c r="CL931" s="2254"/>
      <c r="CM931" s="3006"/>
      <c r="CN931" s="3006"/>
      <c r="CO931" s="3006"/>
      <c r="CP931" s="2253"/>
      <c r="CQ931" s="3006"/>
      <c r="CR931" s="3006"/>
      <c r="CS931" s="3006"/>
      <c r="CT931" s="3006"/>
      <c r="CU931" s="2253"/>
      <c r="CV931" s="3006"/>
      <c r="CW931" s="3006"/>
      <c r="CX931" s="3006"/>
      <c r="CY931" s="3006"/>
      <c r="CZ931" s="2253"/>
      <c r="DA931" s="2255"/>
      <c r="DB931" s="3007"/>
      <c r="DC931" s="3007"/>
      <c r="DD931" s="2256"/>
      <c r="DE931" s="2208"/>
      <c r="DF931" s="2194"/>
      <c r="DG931" s="2957"/>
      <c r="DH931" s="2957"/>
      <c r="DI931" s="2128"/>
      <c r="DJ931" s="2208"/>
      <c r="DK931" s="2194"/>
      <c r="DL931" s="2957"/>
      <c r="DM931" s="2957"/>
      <c r="DN931" s="2128"/>
      <c r="DO931" s="2208"/>
      <c r="DP931" s="2957"/>
      <c r="DQ931" s="2957"/>
      <c r="DR931" s="2957"/>
      <c r="DS931" s="2957"/>
      <c r="DT931" s="2208"/>
      <c r="DU931" s="2957"/>
      <c r="DV931" s="2957"/>
      <c r="DW931" s="2957"/>
      <c r="DX931" s="2128"/>
      <c r="DY931" s="2208"/>
      <c r="DZ931" s="2957"/>
      <c r="EA931" s="2957"/>
      <c r="EB931" s="2957"/>
      <c r="EC931" s="2957"/>
      <c r="ED931" s="2208"/>
      <c r="EE931" s="2957"/>
      <c r="EF931" s="2957"/>
      <c r="EG931" s="2957"/>
      <c r="EH931" s="2957"/>
      <c r="EI931" s="2194"/>
      <c r="EJ931" s="2194"/>
      <c r="EK931" s="3174"/>
      <c r="EL931" s="3174"/>
      <c r="EM931" s="3174"/>
      <c r="EN931" s="3174"/>
      <c r="EO931" s="2208"/>
      <c r="EP931" s="2208"/>
      <c r="EQ931" s="2208"/>
      <c r="ER931" s="2208"/>
      <c r="ES931" s="2208"/>
      <c r="ET931" s="2208"/>
      <c r="EU931" s="2208"/>
      <c r="EV931" s="2208"/>
      <c r="EW931" s="2208"/>
      <c r="EX931" s="2208"/>
    </row>
    <row r="932" spans="2:154">
      <c r="B932" s="334" t="s">
        <v>187</v>
      </c>
      <c r="C932" s="1577"/>
      <c r="D932" s="933"/>
      <c r="E932" s="933"/>
      <c r="F932" s="933"/>
      <c r="G932" s="933"/>
      <c r="H932" s="933"/>
      <c r="I932" s="31"/>
      <c r="J932" s="933"/>
      <c r="K932" s="933"/>
      <c r="L932" s="933"/>
      <c r="M932" s="933"/>
      <c r="N932" s="31"/>
      <c r="O932" s="31"/>
      <c r="P932" s="31"/>
      <c r="Q932" s="31"/>
      <c r="R932" s="31"/>
      <c r="S932" s="31"/>
      <c r="T932" s="31"/>
      <c r="U932" s="31"/>
      <c r="V932" s="31"/>
      <c r="W932" s="31"/>
      <c r="X932" s="313"/>
      <c r="Y932" s="31"/>
      <c r="Z932" s="31"/>
      <c r="AA932" s="31"/>
      <c r="AB932" s="31"/>
      <c r="AC932" s="313"/>
      <c r="AD932" s="31"/>
      <c r="AE932" s="31"/>
      <c r="AF932" s="31"/>
      <c r="AG932" s="31"/>
      <c r="AH932" s="313"/>
      <c r="AI932" s="933"/>
      <c r="AJ932" s="933"/>
      <c r="AK932" s="933"/>
      <c r="AL932" s="31"/>
      <c r="AM932" s="313"/>
      <c r="AN932" s="933"/>
      <c r="AO932" s="933"/>
      <c r="AP932" s="933"/>
      <c r="AQ932" s="933"/>
      <c r="AR932" s="313"/>
      <c r="AS932" s="933"/>
      <c r="AT932" s="933"/>
      <c r="AU932" s="933"/>
      <c r="AV932" s="933"/>
      <c r="AW932" s="313"/>
      <c r="AX932" s="933"/>
      <c r="AY932" s="933"/>
      <c r="AZ932" s="933"/>
      <c r="BA932" s="933"/>
      <c r="BB932" s="313"/>
      <c r="BC932" s="933"/>
      <c r="BD932" s="933"/>
      <c r="BE932" s="933"/>
      <c r="BF932" s="933"/>
      <c r="BG932" s="313"/>
      <c r="BH932" s="933"/>
      <c r="BI932" s="933"/>
      <c r="BJ932" s="933"/>
      <c r="BK932" s="933"/>
      <c r="BL932" s="313"/>
      <c r="BM932" s="352">
        <v>596</v>
      </c>
      <c r="BN932" s="352">
        <v>621</v>
      </c>
      <c r="BO932" s="352">
        <v>609</v>
      </c>
      <c r="BP932" s="352">
        <v>639</v>
      </c>
      <c r="BQ932" s="313"/>
      <c r="BR932" s="352"/>
      <c r="BS932" s="352"/>
      <c r="BT932" s="352"/>
      <c r="BU932" s="352"/>
      <c r="BV932" s="313"/>
      <c r="BW932" s="352"/>
      <c r="BX932" s="352"/>
      <c r="BY932" s="352"/>
      <c r="BZ932" s="352"/>
      <c r="CA932" s="313"/>
      <c r="CB932" s="352">
        <v>316</v>
      </c>
      <c r="CC932" s="352">
        <v>333</v>
      </c>
      <c r="CD932" s="352">
        <v>341</v>
      </c>
      <c r="CE932" s="352">
        <v>352</v>
      </c>
      <c r="CF932" s="313">
        <f>SUM(CB932:CE932)</f>
      </c>
      <c r="CG932" s="352">
        <v>329</v>
      </c>
      <c r="CH932" s="352">
        <v>360</v>
      </c>
      <c r="CI932" s="352">
        <v>357</v>
      </c>
      <c r="CJ932" s="352">
        <v>384</v>
      </c>
      <c r="CK932" s="313">
        <f>SUM(CG932:CJ932)</f>
      </c>
      <c r="CL932" s="3011">
        <v>352</v>
      </c>
      <c r="CM932" s="352">
        <v>389</v>
      </c>
      <c r="CN932" s="3011">
        <v>390</v>
      </c>
      <c r="CO932" s="3011">
        <v>393</v>
      </c>
      <c r="CP932" s="3010">
        <f>SUM(CL932:CO932)</f>
      </c>
      <c r="CQ932" s="352">
        <v>392</v>
      </c>
      <c r="CR932" s="352">
        <v>400</v>
      </c>
      <c r="CS932" s="352">
        <v>398</v>
      </c>
      <c r="CT932" s="352">
        <v>430</v>
      </c>
      <c r="CU932" s="313">
        <f>SUM(CQ932:CT932)</f>
      </c>
      <c r="CV932" s="352">
        <v>393</v>
      </c>
      <c r="CW932" s="352">
        <v>402</v>
      </c>
      <c r="CX932" s="352">
        <v>421</v>
      </c>
      <c r="CY932" s="352">
        <v>441</v>
      </c>
      <c r="CZ932" s="313">
        <f>SUM(CV932:CY932)</f>
      </c>
      <c r="DA932" s="352">
        <v>404</v>
      </c>
      <c r="DB932" s="352">
        <v>396</v>
      </c>
      <c r="DC932" s="577">
        <v>409</v>
      </c>
      <c r="DD932" s="1205">
        <v>428</v>
      </c>
      <c r="DE932" s="1835">
        <f>SUM(DA932:DD932)</f>
      </c>
      <c r="DF932" s="710">
        <v>381</v>
      </c>
      <c r="DG932" s="710">
        <v>277</v>
      </c>
      <c r="DH932" s="710">
        <v>421</v>
      </c>
      <c r="DI932" s="1839">
        <v>456</v>
      </c>
      <c r="DJ932" s="1835">
        <f>SUM(DF932:DI932)</f>
      </c>
      <c r="DK932" s="710">
        <v>405</v>
      </c>
      <c r="DL932" s="710">
        <v>459</v>
      </c>
      <c r="DM932" s="710">
        <v>440</v>
      </c>
      <c r="DN932" s="710">
        <v>457</v>
      </c>
      <c r="DO932" s="1835">
        <f>SUM(DK932:DN932)</f>
      </c>
      <c r="DP932" s="710">
        <v>417</v>
      </c>
      <c r="DQ932" s="710">
        <v>454</v>
      </c>
      <c r="DR932" s="710">
        <v>457</v>
      </c>
      <c r="DS932" s="710">
        <v>456</v>
      </c>
      <c r="DT932" s="1835">
        <f>SUM(DP932:DS932)</f>
      </c>
      <c r="DU932" s="710">
        <v>444.4</v>
      </c>
      <c r="DV932" s="710">
        <v>466</v>
      </c>
      <c r="DW932" s="710">
        <v>455</v>
      </c>
      <c r="DX932" s="1839">
        <v>468</v>
      </c>
      <c r="DY932" s="1835">
        <f>SUM(DU932:DX932)</f>
      </c>
      <c r="DZ932" s="710">
        <v>446</v>
      </c>
      <c r="EA932" s="710">
        <v>466</v>
      </c>
      <c r="EB932" s="710">
        <v>448</v>
      </c>
      <c r="EC932" s="1552">
        <v>478</v>
      </c>
      <c r="ED932" s="1835">
        <f>SUM(DZ932:EC932)</f>
      </c>
      <c r="EE932" s="710">
        <v>457</v>
      </c>
      <c r="EF932" s="710">
        <v>477</v>
      </c>
      <c r="EG932" s="1542">
        <v>477</v>
      </c>
      <c r="EH932" s="1542">
        <f>EI932-SUM(EE932:EG932)</f>
      </c>
      <c r="EI932" s="3113">
        <f>+ED932*(1+EI937)</f>
      </c>
      <c r="EJ932" s="1556">
        <f t="shared" ref="EJ932:EN933" si="2053">+EI932*(1+EJ937)</f>
      </c>
      <c r="EK932" s="1835">
        <f t="shared" si="2053"/>
      </c>
      <c r="EL932" s="1835">
        <f t="shared" si="2053"/>
      </c>
      <c r="EM932" s="1835">
        <f t="shared" si="2053"/>
      </c>
      <c r="EN932" s="1835">
        <f t="shared" si="2053"/>
      </c>
      <c r="EO932" s="477"/>
      <c r="EP932" s="477"/>
      <c r="EQ932" s="477"/>
      <c r="ER932" s="477"/>
      <c r="ES932" s="477"/>
      <c r="ET932" s="477"/>
      <c r="EU932" s="477"/>
      <c r="EV932" s="477"/>
      <c r="EW932" s="477"/>
      <c r="EX932" s="477"/>
    </row>
    <row r="933" spans="2:154">
      <c r="B933" s="334" t="s">
        <v>412</v>
      </c>
      <c r="C933" s="1577"/>
      <c r="D933" s="933"/>
      <c r="E933" s="933"/>
      <c r="F933" s="933"/>
      <c r="G933" s="933"/>
      <c r="H933" s="933"/>
      <c r="I933" s="31"/>
      <c r="J933" s="933"/>
      <c r="K933" s="933"/>
      <c r="L933" s="933"/>
      <c r="M933" s="933"/>
      <c r="N933" s="31"/>
      <c r="O933" s="31"/>
      <c r="P933" s="31"/>
      <c r="Q933" s="31"/>
      <c r="R933" s="31"/>
      <c r="S933" s="31"/>
      <c r="T933" s="31"/>
      <c r="U933" s="31"/>
      <c r="V933" s="31"/>
      <c r="W933" s="31"/>
      <c r="X933" s="313"/>
      <c r="Y933" s="31"/>
      <c r="Z933" s="31"/>
      <c r="AA933" s="31"/>
      <c r="AB933" s="31"/>
      <c r="AC933" s="313"/>
      <c r="AD933" s="31"/>
      <c r="AE933" s="31"/>
      <c r="AF933" s="31"/>
      <c r="AG933" s="31"/>
      <c r="AH933" s="313"/>
      <c r="AI933" s="933"/>
      <c r="AJ933" s="933"/>
      <c r="AK933" s="933"/>
      <c r="AL933" s="31"/>
      <c r="AM933" s="313"/>
      <c r="AN933" s="933"/>
      <c r="AO933" s="933"/>
      <c r="AP933" s="933"/>
      <c r="AQ933" s="933"/>
      <c r="AR933" s="313"/>
      <c r="AS933" s="933"/>
      <c r="AT933" s="933"/>
      <c r="AU933" s="933"/>
      <c r="AV933" s="933"/>
      <c r="AW933" s="313"/>
      <c r="AX933" s="933"/>
      <c r="AY933" s="933"/>
      <c r="AZ933" s="933"/>
      <c r="BA933" s="933"/>
      <c r="BB933" s="313"/>
      <c r="BC933" s="933"/>
      <c r="BD933" s="933"/>
      <c r="BE933" s="933"/>
      <c r="BF933" s="933"/>
      <c r="BG933" s="313"/>
      <c r="BH933" s="933"/>
      <c r="BI933" s="933"/>
      <c r="BJ933" s="933"/>
      <c r="BK933" s="933"/>
      <c r="BL933" s="313"/>
      <c r="BM933" s="352">
        <v>1025</v>
      </c>
      <c r="BN933" s="352">
        <v>1079</v>
      </c>
      <c r="BO933" s="352">
        <v>1013</v>
      </c>
      <c r="BP933" s="352">
        <v>1055</v>
      </c>
      <c r="BQ933" s="313"/>
      <c r="BR933" s="352"/>
      <c r="BS933" s="352"/>
      <c r="BT933" s="352"/>
      <c r="BU933" s="352"/>
      <c r="BV933" s="313"/>
      <c r="BW933" s="352"/>
      <c r="BX933" s="352"/>
      <c r="BY933" s="352"/>
      <c r="BZ933" s="352"/>
      <c r="CA933" s="313"/>
      <c r="CB933" s="352">
        <v>451</v>
      </c>
      <c r="CC933" s="352">
        <v>491</v>
      </c>
      <c r="CD933" s="352">
        <v>456</v>
      </c>
      <c r="CE933" s="352">
        <v>497</v>
      </c>
      <c r="CF933" s="313">
        <f>SUM(CB933:CE933)</f>
      </c>
      <c r="CG933" s="352">
        <v>441</v>
      </c>
      <c r="CH933" s="352">
        <v>480</v>
      </c>
      <c r="CI933" s="352">
        <v>438</v>
      </c>
      <c r="CJ933" s="352">
        <v>486</v>
      </c>
      <c r="CK933" s="313">
        <f>SUM(CG933:CJ933)</f>
      </c>
      <c r="CL933" s="3011">
        <v>464</v>
      </c>
      <c r="CM933" s="352">
        <v>520</v>
      </c>
      <c r="CN933" s="3011">
        <v>494</v>
      </c>
      <c r="CO933" s="3011">
        <v>515</v>
      </c>
      <c r="CP933" s="3010">
        <f>SUM(CL933:CO933)</f>
      </c>
      <c r="CQ933" s="352">
        <v>485</v>
      </c>
      <c r="CR933" s="352">
        <v>533</v>
      </c>
      <c r="CS933" s="352">
        <v>525</v>
      </c>
      <c r="CT933" s="352">
        <v>593</v>
      </c>
      <c r="CU933" s="313">
        <f>SUM(CQ933:CT933)</f>
      </c>
      <c r="CV933" s="352">
        <v>573</v>
      </c>
      <c r="CW933" s="352">
        <v>603</v>
      </c>
      <c r="CX933" s="352">
        <v>555</v>
      </c>
      <c r="CY933" s="352">
        <v>614</v>
      </c>
      <c r="CZ933" s="313">
        <f>SUM(CV933:CY933)</f>
      </c>
      <c r="DA933" s="352">
        <v>576</v>
      </c>
      <c r="DB933" s="352">
        <v>633</v>
      </c>
      <c r="DC933" s="577">
        <v>602</v>
      </c>
      <c r="DD933" s="1205">
        <v>647</v>
      </c>
      <c r="DE933" s="1835">
        <f>SUM(DA933:DD933)</f>
      </c>
      <c r="DF933" s="710">
        <v>567</v>
      </c>
      <c r="DG933" s="710">
        <v>498.4</v>
      </c>
      <c r="DH933" s="710">
        <v>579</v>
      </c>
      <c r="DI933" s="1839">
        <v>660</v>
      </c>
      <c r="DJ933" s="1835">
        <f>SUM(DF933:DI933)</f>
      </c>
      <c r="DK933" s="710">
        <v>713</v>
      </c>
      <c r="DL933" s="710">
        <v>708</v>
      </c>
      <c r="DM933" s="710">
        <v>705</v>
      </c>
      <c r="DN933" s="710">
        <v>735</v>
      </c>
      <c r="DO933" s="1835">
        <f>SUM(DK933:DN933)</f>
      </c>
      <c r="DP933" s="710">
        <v>729</v>
      </c>
      <c r="DQ933" s="710">
        <v>702</v>
      </c>
      <c r="DR933" s="710">
        <v>701</v>
      </c>
      <c r="DS933" s="710">
        <v>653</v>
      </c>
      <c r="DT933" s="1835">
        <f>SUM(DP933:DS933)</f>
      </c>
      <c r="DU933" s="710">
        <v>673.4</v>
      </c>
      <c r="DV933" s="710">
        <v>757</v>
      </c>
      <c r="DW933" s="710">
        <v>709</v>
      </c>
      <c r="DX933" s="1839">
        <v>698</v>
      </c>
      <c r="DY933" s="1835">
        <f>SUM(DU933:DX933)</f>
      </c>
      <c r="DZ933" s="710">
        <v>641</v>
      </c>
      <c r="EA933" s="710">
        <v>675</v>
      </c>
      <c r="EB933" s="710">
        <v>660.5</v>
      </c>
      <c r="EC933" s="1552">
        <v>673</v>
      </c>
      <c r="ED933" s="1835">
        <f>SUM(DZ933:EC933)</f>
      </c>
      <c r="EE933" s="710">
        <v>616</v>
      </c>
      <c r="EF933" s="710">
        <v>687</v>
      </c>
      <c r="EG933" s="1542">
        <v>688</v>
      </c>
      <c r="EH933" s="1542">
        <f>EI933-SUM(EE933:EG933)</f>
      </c>
      <c r="EI933" s="1835">
        <f>+ED933*(1+EI938)</f>
      </c>
      <c r="EJ933" s="1556">
        <f t="shared" si="2053"/>
      </c>
      <c r="EK933" s="1835">
        <f t="shared" si="2053"/>
      </c>
      <c r="EL933" s="1835">
        <f t="shared" si="2053"/>
      </c>
      <c r="EM933" s="1835">
        <f t="shared" si="2053"/>
      </c>
      <c r="EN933" s="1835">
        <f t="shared" si="2053"/>
      </c>
      <c r="EO933" s="477"/>
      <c r="EP933" s="477"/>
      <c r="EQ933" s="477"/>
      <c r="ER933" s="477"/>
      <c r="ES933" s="477"/>
      <c r="ET933" s="477"/>
      <c r="EU933" s="477"/>
      <c r="EV933" s="477"/>
      <c r="EW933" s="477"/>
      <c r="EX933" s="477"/>
    </row>
    <row r="934" spans="2:154">
      <c r="B934" s="334" t="s">
        <v>413</v>
      </c>
      <c r="C934" s="1577"/>
      <c r="D934" s="933"/>
      <c r="E934" s="933"/>
      <c r="F934" s="933"/>
      <c r="G934" s="933"/>
      <c r="H934" s="933"/>
      <c r="I934" s="31"/>
      <c r="J934" s="933"/>
      <c r="K934" s="933"/>
      <c r="L934" s="933"/>
      <c r="M934" s="933"/>
      <c r="N934" s="31"/>
      <c r="O934" s="31"/>
      <c r="P934" s="31"/>
      <c r="Q934" s="31"/>
      <c r="R934" s="31"/>
      <c r="S934" s="31"/>
      <c r="T934" s="31"/>
      <c r="U934" s="31"/>
      <c r="V934" s="31"/>
      <c r="W934" s="31"/>
      <c r="X934" s="313"/>
      <c r="Y934" s="31"/>
      <c r="Z934" s="31"/>
      <c r="AA934" s="31"/>
      <c r="AB934" s="31"/>
      <c r="AC934" s="313"/>
      <c r="AD934" s="31"/>
      <c r="AE934" s="31"/>
      <c r="AF934" s="31"/>
      <c r="AG934" s="31"/>
      <c r="AH934" s="313"/>
      <c r="AI934" s="933"/>
      <c r="AJ934" s="933"/>
      <c r="AK934" s="933"/>
      <c r="AL934" s="31"/>
      <c r="AM934" s="313"/>
      <c r="AN934" s="933"/>
      <c r="AO934" s="933"/>
      <c r="AP934" s="933"/>
      <c r="AQ934" s="933"/>
      <c r="AR934" s="313"/>
      <c r="AS934" s="933"/>
      <c r="AT934" s="933"/>
      <c r="AU934" s="933"/>
      <c r="AV934" s="933"/>
      <c r="AW934" s="313"/>
      <c r="AX934" s="933"/>
      <c r="AY934" s="933"/>
      <c r="AZ934" s="933"/>
      <c r="BA934" s="933"/>
      <c r="BB934" s="313"/>
      <c r="BC934" s="933"/>
      <c r="BD934" s="933"/>
      <c r="BE934" s="933"/>
      <c r="BF934" s="933"/>
      <c r="BG934" s="313"/>
      <c r="BH934" s="933"/>
      <c r="BI934" s="933"/>
      <c r="BJ934" s="933"/>
      <c r="BK934" s="933"/>
      <c r="BL934" s="313"/>
      <c r="BM934" s="933">
        <f>+BM932+BM933</f>
      </c>
      <c r="BN934" s="933">
        <f>+BN932+BN933</f>
      </c>
      <c r="BO934" s="933">
        <f>+BO932+BO933</f>
      </c>
      <c r="BP934" s="933">
        <f>+BP932+BP933</f>
      </c>
      <c r="BQ934" s="313"/>
      <c r="BR934" s="933"/>
      <c r="BS934" s="933"/>
      <c r="BT934" s="933"/>
      <c r="BU934" s="933"/>
      <c r="BV934" s="313"/>
      <c r="BW934" s="933"/>
      <c r="BX934" s="933"/>
      <c r="BY934" s="933"/>
      <c r="BZ934" s="933"/>
      <c r="CA934" s="313"/>
      <c r="CB934" s="933">
        <f>SUM(CB932:CB933)</f>
      </c>
      <c r="CC934" s="933">
        <f>SUM(CC932:CC933)</f>
      </c>
      <c r="CD934" s="933">
        <f>SUM(CD932:CD933)</f>
      </c>
      <c r="CE934" s="933">
        <f>SUM(CE932:CE933)</f>
      </c>
      <c r="CF934" s="313">
        <f>SUM(CB934:CE934)</f>
      </c>
      <c r="CG934" s="933">
        <f>SUM(CG932:CG933)</f>
      </c>
      <c r="CH934" s="933">
        <f>SUM(CH932:CH933)</f>
      </c>
      <c r="CI934" s="933">
        <f>SUM(CI932:CI933)</f>
      </c>
      <c r="CJ934" s="933">
        <f>SUM(CJ932:CJ933)</f>
      </c>
      <c r="CK934" s="313">
        <f>SUM(CG934:CJ934)</f>
      </c>
      <c r="CL934" s="3008">
        <f>SUM(CL932:CL933)</f>
      </c>
      <c r="CM934" s="933">
        <f>SUM(CM932:CM933)</f>
      </c>
      <c r="CN934" s="933">
        <f>SUM(CN932:CN933)</f>
      </c>
      <c r="CO934" s="3008">
        <f>SUM(CO932:CO933)</f>
      </c>
      <c r="CP934" s="3010">
        <f>SUM(CL934:CO934)</f>
      </c>
      <c r="CQ934" s="933">
        <f>+CQ932+CQ933</f>
      </c>
      <c r="CR934" s="933">
        <f>+CR932+CR933</f>
      </c>
      <c r="CS934" s="933">
        <f>+CS932+CS933</f>
      </c>
      <c r="CT934" s="933">
        <f>+CT932+CT933</f>
      </c>
      <c r="CU934" s="313">
        <f>SUM(CQ934:CT934)</f>
      </c>
      <c r="CV934" s="933">
        <f>+CV932+CV933</f>
      </c>
      <c r="CW934" s="933">
        <f>+CW932+CW933</f>
      </c>
      <c r="CX934" s="933">
        <f>+CX932+CX933</f>
      </c>
      <c r="CY934" s="933">
        <f>+CY932+CY933</f>
      </c>
      <c r="CZ934" s="313">
        <f>SUM(CV934:CY934)</f>
      </c>
      <c r="DA934" s="933">
        <f>+DA932+DA933</f>
      </c>
      <c r="DB934" s="933">
        <f>SUM(DB932:DB933)</f>
      </c>
      <c r="DC934" s="36">
        <f>SUM(DC932:DC933)</f>
      </c>
      <c r="DD934" s="984">
        <f>+DD932+DD933</f>
      </c>
      <c r="DE934" s="1835">
        <f>SUM(DA934:DD934)</f>
      </c>
      <c r="DF934" s="1542">
        <f>SUM(DF932:DF933)</f>
      </c>
      <c r="DG934" s="1542">
        <f>SUM(DG932:DG933)</f>
      </c>
      <c r="DH934" s="1542">
        <f>SUM(DH932:DH933)</f>
      </c>
      <c r="DI934" s="1556">
        <f>+DI932+DI933</f>
      </c>
      <c r="DJ934" s="1835">
        <f>SUM(DF934:DI934)</f>
      </c>
      <c r="DK934" s="1542">
        <f>SUM(DK932:DK933)</f>
      </c>
      <c r="DL934" s="1542">
        <f>SUM(DL932:DL933)</f>
      </c>
      <c r="DM934" s="1542">
        <f>SUM(DM932:DM933)</f>
      </c>
      <c r="DN934" s="1542">
        <f>SUM(DN932:DN933)</f>
      </c>
      <c r="DO934" s="1835">
        <f>SUM(DK934:DN934)</f>
      </c>
      <c r="DP934" s="1542">
        <f>SUM(DP932:DP933)</f>
      </c>
      <c r="DQ934" s="1542">
        <f>SUM(DQ932:DQ933)</f>
      </c>
      <c r="DR934" s="1542">
        <f>SUM(DR932:DR933)</f>
      </c>
      <c r="DS934" s="1542">
        <f>SUM(DS932:DS933)</f>
      </c>
      <c r="DT934" s="1835">
        <f>SUM(DP934:DS934)</f>
      </c>
      <c r="DU934" s="1542">
        <f>SUM(DU932:DU933)</f>
      </c>
      <c r="DV934" s="1542">
        <f>SUM(DV932:DV933)</f>
      </c>
      <c r="DW934" s="1542">
        <f>SUM(DW932:DW933)</f>
      </c>
      <c r="DX934" s="1556">
        <f>SUM(DX932:DX933)</f>
      </c>
      <c r="DY934" s="1835">
        <f>SUM(DU934:DX934)</f>
      </c>
      <c r="DZ934" s="1542">
        <f>SUM(DZ932:DZ933)</f>
      </c>
      <c r="EA934" s="1542">
        <f>SUM(EA932:EA933)</f>
      </c>
      <c r="EB934" s="1542">
        <f>SUM(EB932:EB933)</f>
      </c>
      <c r="EC934" s="1553">
        <f>SUM(EC932:EC933)</f>
      </c>
      <c r="ED934" s="1835">
        <f>SUM(DZ934:EC934)</f>
      </c>
      <c r="EE934" s="1542">
        <f>SUM(EE932:EE933)</f>
      </c>
      <c r="EF934" s="1542">
        <f>SUM(EF932:EF933)</f>
      </c>
      <c r="EG934" s="1542">
        <f>SUM(EG932:EG933)</f>
      </c>
      <c r="EH934" s="1542">
        <f>SUM(EH932:EH933)</f>
      </c>
      <c r="EI934" s="1835">
        <f t="shared" ref="EI934:EM934" si="2054">+EI932+EI933</f>
      </c>
      <c r="EJ934" s="1556">
        <f t="shared" si="2054"/>
      </c>
      <c r="EK934" s="1835">
        <f t="shared" si="2054"/>
      </c>
      <c r="EL934" s="1835">
        <f t="shared" si="2054"/>
      </c>
      <c r="EM934" s="1835">
        <f t="shared" si="2054"/>
      </c>
      <c r="EN934" s="1835">
        <f>+EN932+EN933</f>
      </c>
      <c r="EO934" s="477"/>
      <c r="EP934" s="477"/>
      <c r="EQ934" s="477"/>
      <c r="ER934" s="477"/>
      <c r="ES934" s="477"/>
      <c r="ET934" s="477"/>
      <c r="EU934" s="477"/>
      <c r="EV934" s="477"/>
      <c r="EW934" s="477"/>
      <c r="EX934" s="477"/>
    </row>
    <row r="935" spans="2:154">
      <c r="B935" s="334"/>
      <c r="C935" s="1577"/>
      <c r="D935" s="933"/>
      <c r="E935" s="933"/>
      <c r="F935" s="933"/>
      <c r="G935" s="933"/>
      <c r="H935" s="933"/>
      <c r="I935" s="31"/>
      <c r="J935" s="933"/>
      <c r="K935" s="933"/>
      <c r="L935" s="933"/>
      <c r="M935" s="933"/>
      <c r="N935" s="31"/>
      <c r="O935" s="31"/>
      <c r="P935" s="31"/>
      <c r="Q935" s="31"/>
      <c r="R935" s="31"/>
      <c r="S935" s="31"/>
      <c r="T935" s="31"/>
      <c r="U935" s="31"/>
      <c r="V935" s="31"/>
      <c r="W935" s="31"/>
      <c r="X935" s="313"/>
      <c r="Y935" s="31"/>
      <c r="Z935" s="31"/>
      <c r="AA935" s="31"/>
      <c r="AB935" s="31"/>
      <c r="AC935" s="313"/>
      <c r="AD935" s="31"/>
      <c r="AE935" s="31"/>
      <c r="AF935" s="31"/>
      <c r="AG935" s="31"/>
      <c r="AH935" s="313"/>
      <c r="AI935" s="933"/>
      <c r="AJ935" s="933"/>
      <c r="AK935" s="933"/>
      <c r="AL935" s="31"/>
      <c r="AM935" s="313"/>
      <c r="AN935" s="933"/>
      <c r="AO935" s="933"/>
      <c r="AP935" s="933"/>
      <c r="AQ935" s="933"/>
      <c r="AR935" s="313"/>
      <c r="AS935" s="933"/>
      <c r="AT935" s="933"/>
      <c r="AU935" s="933"/>
      <c r="AV935" s="933"/>
      <c r="AW935" s="313"/>
      <c r="AX935" s="933"/>
      <c r="AY935" s="933"/>
      <c r="AZ935" s="933"/>
      <c r="BA935" s="933"/>
      <c r="BB935" s="313"/>
      <c r="BC935" s="933"/>
      <c r="BD935" s="933"/>
      <c r="BE935" s="933"/>
      <c r="BF935" s="933"/>
      <c r="BG935" s="313"/>
      <c r="BH935" s="933"/>
      <c r="BI935" s="933"/>
      <c r="BJ935" s="933"/>
      <c r="BK935" s="933"/>
      <c r="BL935" s="313"/>
      <c r="BM935" s="933"/>
      <c r="BN935" s="933"/>
      <c r="BO935" s="933"/>
      <c r="BP935" s="933"/>
      <c r="BQ935" s="313"/>
      <c r="BR935" s="933"/>
      <c r="BS935" s="933"/>
      <c r="BT935" s="933"/>
      <c r="BU935" s="933"/>
      <c r="BV935" s="313"/>
      <c r="BW935" s="933"/>
      <c r="BX935" s="933"/>
      <c r="BY935" s="933"/>
      <c r="BZ935" s="933"/>
      <c r="CA935" s="313"/>
      <c r="CB935" s="933"/>
      <c r="CC935" s="933"/>
      <c r="CD935" s="933"/>
      <c r="CE935" s="933"/>
      <c r="CF935" s="313"/>
      <c r="CG935" s="933"/>
      <c r="CH935" s="933"/>
      <c r="CI935" s="933"/>
      <c r="CJ935" s="933"/>
      <c r="CK935" s="313"/>
      <c r="CL935" s="933"/>
      <c r="CO935" s="933"/>
      <c r="CP935" s="313"/>
      <c r="CU935" s="313"/>
      <c r="CZ935" s="313"/>
      <c r="DA935" s="1581"/>
      <c r="DB935" s="1581"/>
      <c r="DC935" s="1581"/>
      <c r="DD935" s="1581"/>
      <c r="DE935" s="477"/>
      <c r="DG935" s="603"/>
      <c r="DH935" s="603"/>
      <c r="DI935" s="1798"/>
      <c r="DJ935" s="477"/>
      <c r="DO935" s="477"/>
      <c r="DT935" s="477"/>
      <c r="DX935" s="1809"/>
      <c r="DY935" s="477"/>
      <c r="DZ935" s="1915"/>
      <c r="EA935" s="1915"/>
      <c r="EB935" s="1915"/>
      <c r="EC935" s="1809"/>
      <c r="ED935" s="477"/>
      <c r="EE935" s="1915"/>
      <c r="EF935" s="1915"/>
      <c r="EG935" s="603"/>
      <c r="EH935" s="373"/>
      <c r="EI935" s="477"/>
      <c r="EJ935" s="1798"/>
      <c r="EK935" s="477"/>
      <c r="EL935" s="477"/>
      <c r="EM935" s="477"/>
      <c r="EN935" s="477"/>
      <c r="EO935" s="477"/>
      <c r="EP935" s="477"/>
      <c r="EQ935" s="477"/>
      <c r="ER935" s="477"/>
      <c r="ES935" s="477"/>
      <c r="ET935" s="477"/>
      <c r="EU935" s="477"/>
      <c r="EV935" s="477"/>
      <c r="EW935" s="477"/>
      <c r="EX935" s="477"/>
    </row>
    <row r="936" spans="2:154">
      <c r="B936" s="453" t="s">
        <v>942</v>
      </c>
      <c r="C936" s="1577"/>
      <c r="D936" s="933"/>
      <c r="E936" s="933"/>
      <c r="F936" s="933"/>
      <c r="G936" s="933"/>
      <c r="H936" s="933"/>
      <c r="I936" s="31"/>
      <c r="J936" s="933"/>
      <c r="K936" s="933"/>
      <c r="L936" s="933"/>
      <c r="M936" s="933"/>
      <c r="N936" s="31"/>
      <c r="O936" s="31"/>
      <c r="P936" s="31"/>
      <c r="Q936" s="31"/>
      <c r="R936" s="31"/>
      <c r="S936" s="31"/>
      <c r="T936" s="31"/>
      <c r="U936" s="31"/>
      <c r="V936" s="31"/>
      <c r="W936" s="31"/>
      <c r="X936" s="313"/>
      <c r="Y936" s="31"/>
      <c r="Z936" s="31"/>
      <c r="AA936" s="31"/>
      <c r="AB936" s="31"/>
      <c r="AC936" s="313"/>
      <c r="AD936" s="31"/>
      <c r="AE936" s="31"/>
      <c r="AF936" s="31"/>
      <c r="AG936" s="31"/>
      <c r="AH936" s="313"/>
      <c r="AI936" s="933"/>
      <c r="AJ936" s="933"/>
      <c r="AK936" s="933"/>
      <c r="AL936" s="31"/>
      <c r="AM936" s="313"/>
      <c r="AN936" s="933"/>
      <c r="AO936" s="933"/>
      <c r="AP936" s="933"/>
      <c r="AQ936" s="933"/>
      <c r="AR936" s="313"/>
      <c r="AS936" s="933"/>
      <c r="AT936" s="933"/>
      <c r="AU936" s="933"/>
      <c r="AV936" s="933"/>
      <c r="AW936" s="313"/>
      <c r="AX936" s="933"/>
      <c r="AY936" s="933"/>
      <c r="AZ936" s="933"/>
      <c r="BA936" s="933"/>
      <c r="BB936" s="313"/>
      <c r="BC936" s="933"/>
      <c r="BD936" s="933"/>
      <c r="BE936" s="933"/>
      <c r="BF936" s="933"/>
      <c r="BG936" s="313"/>
      <c r="BH936" s="933"/>
      <c r="BI936" s="933"/>
      <c r="BJ936" s="933"/>
      <c r="BK936" s="933"/>
      <c r="BL936" s="313"/>
      <c r="BM936" s="933"/>
      <c r="BN936" s="933"/>
      <c r="BO936" s="933"/>
      <c r="BP936" s="933"/>
      <c r="BQ936" s="313"/>
      <c r="BR936" s="933"/>
      <c r="BS936" s="933"/>
      <c r="BT936" s="933"/>
      <c r="BU936" s="933"/>
      <c r="BV936" s="313"/>
      <c r="BW936" s="933"/>
      <c r="BX936" s="933"/>
      <c r="BY936" s="933"/>
      <c r="BZ936" s="933"/>
      <c r="CA936" s="313"/>
      <c r="CB936" s="933"/>
      <c r="CC936" s="933"/>
      <c r="CD936" s="933"/>
      <c r="CE936" s="933"/>
      <c r="CF936" s="313"/>
      <c r="CG936" s="933"/>
      <c r="CH936" s="933"/>
      <c r="CI936" s="933"/>
      <c r="CJ936" s="933"/>
      <c r="CK936" s="313"/>
      <c r="CL936" s="933"/>
      <c r="CM936" s="933"/>
      <c r="CN936" s="933"/>
      <c r="CO936" s="933"/>
      <c r="CP936" s="313"/>
      <c r="CQ936" s="933"/>
      <c r="CR936" s="933"/>
      <c r="CS936" s="933"/>
      <c r="CT936" s="933"/>
      <c r="CU936" s="313"/>
      <c r="CV936" s="933"/>
      <c r="CW936" s="933"/>
      <c r="CX936" s="933"/>
      <c r="CY936" s="933"/>
      <c r="CZ936" s="313"/>
      <c r="DA936" s="933"/>
      <c r="DB936" s="31"/>
      <c r="DC936" s="31"/>
      <c r="DD936" s="955"/>
      <c r="DE936" s="477"/>
      <c r="DF936" s="982"/>
      <c r="DG936" s="603"/>
      <c r="DH936" s="603"/>
      <c r="DI936" s="1798"/>
      <c r="DJ936" s="477"/>
      <c r="DK936" s="982"/>
      <c r="DL936" s="1915"/>
      <c r="DM936" s="603"/>
      <c r="DN936" s="1915"/>
      <c r="DO936" s="477"/>
      <c r="DP936" s="1915"/>
      <c r="DQ936" s="1915"/>
      <c r="DR936" s="1915"/>
      <c r="DS936" s="2257"/>
      <c r="DT936" s="477"/>
      <c r="DU936" s="2257"/>
      <c r="DV936" s="1915"/>
      <c r="DW936" s="1915"/>
      <c r="DX936" s="1946"/>
      <c r="DY936" s="477"/>
      <c r="DZ936" s="1915"/>
      <c r="EA936" s="1915"/>
      <c r="EB936" s="1915"/>
      <c r="EC936" s="1946"/>
      <c r="ED936" s="1811"/>
      <c r="EE936" s="1915"/>
      <c r="EF936" s="1915"/>
      <c r="EG936" s="603"/>
      <c r="EH936" s="2257"/>
      <c r="EI936" s="477"/>
      <c r="EJ936" s="1798"/>
      <c r="EK936" s="477"/>
      <c r="EL936" s="477"/>
      <c r="EM936" s="477"/>
      <c r="EN936" s="477"/>
      <c r="EO936" s="477"/>
      <c r="EP936" s="477"/>
      <c r="EQ936" s="477"/>
      <c r="ER936" s="477"/>
      <c r="ES936" s="477"/>
      <c r="ET936" s="477"/>
      <c r="EU936" s="477"/>
      <c r="EV936" s="477"/>
      <c r="EW936" s="477"/>
      <c r="EX936" s="477"/>
    </row>
    <row r="937" spans="2:154">
      <c r="B937" s="454" t="s">
        <v>187</v>
      </c>
      <c r="C937" s="1577"/>
      <c r="D937" s="933"/>
      <c r="E937" s="933"/>
      <c r="F937" s="933"/>
      <c r="G937" s="933"/>
      <c r="H937" s="933"/>
      <c r="I937" s="31"/>
      <c r="J937" s="933"/>
      <c r="K937" s="933"/>
      <c r="L937" s="933"/>
      <c r="M937" s="933"/>
      <c r="N937" s="31"/>
      <c r="O937" s="31"/>
      <c r="P937" s="31"/>
      <c r="Q937" s="31"/>
      <c r="R937" s="31"/>
      <c r="S937" s="31"/>
      <c r="T937" s="31"/>
      <c r="U937" s="31"/>
      <c r="V937" s="31"/>
      <c r="W937" s="31"/>
      <c r="X937" s="313"/>
      <c r="Y937" s="31"/>
      <c r="Z937" s="31"/>
      <c r="AA937" s="31"/>
      <c r="AB937" s="31"/>
      <c r="AC937" s="313"/>
      <c r="AD937" s="31"/>
      <c r="AE937" s="31"/>
      <c r="AF937" s="31"/>
      <c r="AG937" s="31"/>
      <c r="AH937" s="313"/>
      <c r="AI937" s="933"/>
      <c r="AJ937" s="933"/>
      <c r="AK937" s="933"/>
      <c r="AL937" s="31"/>
      <c r="AM937" s="313"/>
      <c r="AN937" s="933"/>
      <c r="AO937" s="933"/>
      <c r="AP937" s="933"/>
      <c r="AQ937" s="933"/>
      <c r="AR937" s="313"/>
      <c r="AS937" s="933"/>
      <c r="AT937" s="933"/>
      <c r="AU937" s="933"/>
      <c r="AV937" s="933"/>
      <c r="AW937" s="313"/>
      <c r="AX937" s="933"/>
      <c r="AY937" s="933"/>
      <c r="AZ937" s="933"/>
      <c r="BA937" s="933"/>
      <c r="BB937" s="313"/>
      <c r="BC937" s="933"/>
      <c r="BD937" s="933"/>
      <c r="BE937" s="933"/>
      <c r="BF937" s="933"/>
      <c r="BG937" s="313"/>
      <c r="BH937" s="933"/>
      <c r="BI937" s="933"/>
      <c r="BJ937" s="933"/>
      <c r="BK937" s="933"/>
      <c r="BL937" s="313"/>
      <c r="BM937" s="926" t="str">
        <f t="shared" ref="BM937:BP938" si="2055">IF(BH932="NM","NM",IF(BM932="NM","NM",IF(BH932&lt;=0,"NM",IF(BM932=0,"NM",IF(ABS(BM932/BH932-1)&gt;2.5,"NM",IF((ABS(BM932-BH932)=ABS(ABS(BM932)-ABS(BH932))),(BM932/BH932-1),"NM"))))))</f>
      </c>
      <c r="BN937" s="926" t="str">
        <f t="shared" si="2055"/>
      </c>
      <c r="BO937" s="926" t="str">
        <f t="shared" si="2055"/>
      </c>
      <c r="BP937" s="926" t="str">
        <f t="shared" si="2055"/>
      </c>
      <c r="BQ937" s="1060"/>
      <c r="BR937" s="926"/>
      <c r="BS937" s="926"/>
      <c r="BT937" s="926"/>
      <c r="BU937" s="926"/>
      <c r="BV937" s="1060"/>
      <c r="BW937" s="926"/>
      <c r="BX937" s="926"/>
      <c r="BY937" s="926"/>
      <c r="BZ937" s="926"/>
      <c r="CA937" s="2248"/>
      <c r="CB937" s="926"/>
      <c r="CC937" s="926"/>
      <c r="CD937" s="926"/>
      <c r="CE937" s="926"/>
      <c r="CF937" s="2248"/>
      <c r="CG937" s="926">
        <f t="shared" ref="CG937:CX938" si="2056">IF(CB932="NM","NM",IF(CG932="NM","NM",IF(CB932&lt;=0,"NM",IF(CG932=0,"NM",IF(ABS(CG932/CB932-1)&gt;2.5,"NM",IF((ABS(CG932-CB932)=ABS(ABS(CG932)-ABS(CB932))),(CG932/CB932-1),"NM"))))))</f>
      </c>
      <c r="CH937" s="926">
        <f t="shared" si="2056"/>
      </c>
      <c r="CI937" s="926">
        <f t="shared" si="2056"/>
      </c>
      <c r="CJ937" s="926">
        <f t="shared" si="2056"/>
      </c>
      <c r="CK937" s="1060">
        <f t="shared" si="2056"/>
      </c>
      <c r="CL937" s="926">
        <f t="shared" si="2056"/>
      </c>
      <c r="CM937" s="926">
        <f t="shared" si="2056"/>
      </c>
      <c r="CN937" s="926">
        <f t="shared" si="2056"/>
      </c>
      <c r="CO937" s="926">
        <f t="shared" si="2056"/>
      </c>
      <c r="CP937" s="1060">
        <f>IF(CK932=0, 0, CP932/CK932-1)</f>
      </c>
      <c r="CQ937" s="926">
        <f t="shared" si="2056"/>
      </c>
      <c r="CR937" s="926">
        <f t="shared" si="2056"/>
      </c>
      <c r="CS937" s="926">
        <f t="shared" si="2056"/>
      </c>
      <c r="CT937" s="926">
        <f t="shared" si="2056"/>
      </c>
      <c r="CU937" s="1060">
        <f>IF(CP932=0, 0, CU932/CP932-1)</f>
      </c>
      <c r="CV937" s="926">
        <f t="shared" si="2056"/>
      </c>
      <c r="CW937" s="926">
        <f t="shared" si="2056"/>
      </c>
      <c r="CX937" s="926">
        <f t="shared" si="2056"/>
      </c>
      <c r="CY937" s="926">
        <f>IF(CT932="NM","NM",IF(CY932="NM","NM",IF(CT932&lt;=0,"NM",IF(CY932=0,"NM",IF(ABS(CY932/CT932-1)&gt;2.5,"NM",IF((ABS(CY932-CT932)=ABS(ABS(CY932)-ABS(CT932))),(CY932/CT932-1),"NM"))))))</f>
      </c>
      <c r="CZ937" s="1060">
        <f>IF(CU932=0, 0, CZ932/CU932-1)</f>
      </c>
      <c r="DA937" s="926">
        <f t="shared" ref="DA937:DI938" si="2057">IF(CV932="NM","NM",IF(DA932="NM","NM",IF(CV932&lt;=0,"NM",IF(DA932=0,"NM",IF(ABS(DA932/CV932-1)&gt;2.5,"NM",IF((ABS(DA932-CV932)=ABS(ABS(DA932)-ABS(CV932))),(DA932/CV932-1),"NM"))))))</f>
      </c>
      <c r="DB937" s="926">
        <f t="shared" si="2057"/>
      </c>
      <c r="DC937" s="926">
        <f t="shared" si="2057"/>
      </c>
      <c r="DD937" s="926">
        <f t="shared" si="2057"/>
      </c>
      <c r="DE937" s="1060">
        <f>IF(CZ932=0, 0, DE932/CZ932-1)</f>
      </c>
      <c r="DF937" s="926">
        <f t="shared" si="2057"/>
      </c>
      <c r="DG937" s="926">
        <f t="shared" si="2057"/>
      </c>
      <c r="DH937" s="926">
        <f>IF(DC932="NM","NM",IF(DH932="NM","NM",IF(DC932&lt;=0,"NM",IF(DH932=0,"NM",IF(ABS(DH932/DC932-1)&gt;2.5,"NM",IF((ABS(DH932-DC932)=ABS(ABS(DH932)-ABS(DC932))),(DH932/DC932-1),"NM"))))))</f>
      </c>
      <c r="DI937" s="926">
        <f t="shared" si="2057"/>
      </c>
      <c r="DJ937" s="1060">
        <f>IF(DE932=0, 0, DJ932/DE932-1)</f>
      </c>
      <c r="DK937" s="926">
        <f t="shared" ref="DK937:DR938" si="2058">IF(DF932="NM","NM",IF(DK932="NM","NM",IF(DF932&lt;=0,"NM",IF(DK932=0,"NM",IF(ABS(DK932/DF932-1)&gt;2.5,"NM",IF((ABS(DK932-DF932)=ABS(ABS(DK932)-ABS(DF932))),(DK932/DF932-1),"NM"))))))</f>
      </c>
      <c r="DL937" s="926">
        <f t="shared" si="2058"/>
      </c>
      <c r="DM937" s="926">
        <f t="shared" si="2058"/>
      </c>
      <c r="DN937" s="926">
        <f t="shared" si="2058"/>
      </c>
      <c r="DO937" s="1060">
        <f>IF(DJ932=0, 0, DO932/DJ932-1)</f>
      </c>
      <c r="DP937" s="926">
        <f t="shared" si="2058"/>
      </c>
      <c r="DQ937" s="926">
        <f t="shared" si="2058"/>
      </c>
      <c r="DR937" s="926">
        <f t="shared" si="2058"/>
      </c>
      <c r="DS937" s="926">
        <f>IF(DN932=0, 0, DS932/DN932-1)</f>
      </c>
      <c r="DT937" s="1060">
        <f>IF(DO932=0, 0, DT932/DO932-1)</f>
      </c>
      <c r="DU937" s="926">
        <f>IF(DP932=0, 0, DU932/DP932-1)</f>
      </c>
      <c r="DV937" s="926">
        <f>IF(DQ932=0, 0, DV932/DQ932-1)</f>
      </c>
      <c r="DW937" s="926">
        <f>IF(DR932="NM","NM",IF(DW932="NM","NM",IF(DR932&lt;=0,"NM",IF(DW932=0,"NM",IF(ABS(DW932/DR932-1)&gt;2.5,"NM",IF((ABS(DW932-DR932)=ABS(ABS(DW932)-ABS(DR932))),(DW932/DR932-1),"NM"))))))</f>
      </c>
      <c r="DX937" s="928">
        <f>IF(DS932="NM","NM",IF(DX932="NM","NM",IF(DS932&lt;=0,"NM",IF(DX932=0,"NM",IF(ABS(DX932/DS932-1)&gt;2.5,"NM",IF((ABS(DX932-DS932)=ABS(ABS(DX932)-ABS(DS932))),(DX932/DS932-1),"NM"))))))</f>
      </c>
      <c r="DY937" s="1060">
        <f>IF(DT932=0, 0, DY932/DT932-1)</f>
      </c>
      <c r="DZ937" s="958">
        <f>IF(DU932=0, 0, DZ932/DU932-1)</f>
      </c>
      <c r="EA937" s="926">
        <f>IF(DV932=0, 0, EA932/DV932-1)</f>
      </c>
      <c r="EB937" s="926">
        <f>IF(DW932=0, 0, EB932/DW932-1)</f>
      </c>
      <c r="EC937" s="1235">
        <f>IF(DX932="NM","NM",IF(EC932="NM","NM",IF(DX932&lt;=0,"NM",IF(EC932=0,"NM",IF(ABS(EC932/DX932-1)&gt;2.5,"NM",IF((ABS(EC932-DX932)=ABS(ABS(EC932)-ABS(DX932))),(EC932/DX932-1),"NM"))))))</f>
      </c>
      <c r="ED937" s="1536">
        <f>IF(DY932=0, 0, ED932/DY932-1)</f>
      </c>
      <c r="EE937" s="958">
        <f t="shared" ref="EE937:EG938" si="2059">IF(DZ932="NM","NM",IF(EE932="NM","NM",IF(DZ932&lt;=0,"NM",IF(EE932=0,"NM",IF(ABS(EE932/DZ932-1)&gt;2.5,"NM",IF((ABS(EE932-DZ932)=ABS(ABS(EE932)-ABS(DZ932))),(EE932/DZ932-1),"NM"))))))</f>
      </c>
      <c r="EF937" s="926">
        <f t="shared" si="2059"/>
      </c>
      <c r="EG937" s="926">
        <f t="shared" si="2059"/>
      </c>
      <c r="EH937" s="1703">
        <f>+EH932/EC932-1</f>
      </c>
      <c r="EI937" s="317">
        <v>0.04</v>
      </c>
      <c r="EJ937" s="317">
        <v>2.5000000000000001E-2</v>
      </c>
      <c r="EK937" s="317">
        <f>+EJ937-0.25%</f>
      </c>
      <c r="EL937" s="317">
        <f>+EK937-0.25%</f>
      </c>
      <c r="EM937" s="317">
        <f>+EL937-0.25%</f>
      </c>
      <c r="EN937" s="317">
        <f>+EM937-0.25%</f>
      </c>
      <c r="EO937" s="673"/>
      <c r="EP937" s="673"/>
      <c r="EQ937" s="673"/>
      <c r="ER937" s="673"/>
      <c r="ES937" s="673"/>
      <c r="ET937" s="673"/>
      <c r="EU937" s="673"/>
      <c r="EV937" s="673"/>
      <c r="EW937" s="673"/>
      <c r="EX937" s="673"/>
    </row>
    <row r="938" spans="2:154">
      <c r="B938" s="454" t="s">
        <v>412</v>
      </c>
      <c r="C938" s="1577"/>
      <c r="D938" s="933"/>
      <c r="E938" s="933"/>
      <c r="F938" s="933"/>
      <c r="G938" s="933"/>
      <c r="H938" s="933"/>
      <c r="I938" s="31"/>
      <c r="J938" s="933"/>
      <c r="K938" s="933"/>
      <c r="L938" s="933"/>
      <c r="M938" s="933"/>
      <c r="N938" s="31"/>
      <c r="O938" s="31"/>
      <c r="P938" s="31"/>
      <c r="Q938" s="31"/>
      <c r="R938" s="31"/>
      <c r="S938" s="31"/>
      <c r="T938" s="31"/>
      <c r="U938" s="31"/>
      <c r="V938" s="31"/>
      <c r="W938" s="31"/>
      <c r="X938" s="313"/>
      <c r="Y938" s="31"/>
      <c r="Z938" s="31"/>
      <c r="AA938" s="31"/>
      <c r="AB938" s="31"/>
      <c r="AC938" s="313"/>
      <c r="AD938" s="31"/>
      <c r="AE938" s="31"/>
      <c r="AF938" s="31"/>
      <c r="AG938" s="31"/>
      <c r="AH938" s="313"/>
      <c r="AI938" s="933"/>
      <c r="AJ938" s="933"/>
      <c r="AK938" s="933"/>
      <c r="AL938" s="31"/>
      <c r="AM938" s="313"/>
      <c r="AN938" s="933"/>
      <c r="AO938" s="933"/>
      <c r="AP938" s="933"/>
      <c r="AQ938" s="933"/>
      <c r="AR938" s="313"/>
      <c r="AS938" s="933"/>
      <c r="AT938" s="933"/>
      <c r="AU938" s="933"/>
      <c r="AV938" s="933"/>
      <c r="AW938" s="313"/>
      <c r="AX938" s="933"/>
      <c r="AY938" s="933"/>
      <c r="AZ938" s="933"/>
      <c r="BA938" s="933"/>
      <c r="BB938" s="313"/>
      <c r="BC938" s="933"/>
      <c r="BD938" s="933"/>
      <c r="BE938" s="933"/>
      <c r="BF938" s="933"/>
      <c r="BG938" s="313"/>
      <c r="BH938" s="933"/>
      <c r="BI938" s="933"/>
      <c r="BJ938" s="933"/>
      <c r="BK938" s="933"/>
      <c r="BL938" s="313"/>
      <c r="BM938" s="926" t="str">
        <f t="shared" si="2055"/>
      </c>
      <c r="BN938" s="926" t="str">
        <f t="shared" si="2055"/>
      </c>
      <c r="BO938" s="926" t="str">
        <f t="shared" si="2055"/>
      </c>
      <c r="BP938" s="926" t="str">
        <f t="shared" si="2055"/>
      </c>
      <c r="BQ938" s="1060"/>
      <c r="BR938" s="926"/>
      <c r="BS938" s="926"/>
      <c r="BT938" s="926"/>
      <c r="BU938" s="926"/>
      <c r="BV938" s="1060"/>
      <c r="BW938" s="926"/>
      <c r="BX938" s="926"/>
      <c r="BY938" s="926"/>
      <c r="BZ938" s="926"/>
      <c r="CA938" s="1060"/>
      <c r="CB938" s="926"/>
      <c r="CC938" s="926"/>
      <c r="CD938" s="926"/>
      <c r="CE938" s="926"/>
      <c r="CF938" s="1060"/>
      <c r="CG938" s="926">
        <f t="shared" si="2056"/>
      </c>
      <c r="CH938" s="926">
        <f t="shared" si="2056"/>
      </c>
      <c r="CI938" s="926">
        <f t="shared" si="2056"/>
      </c>
      <c r="CJ938" s="926">
        <f t="shared" si="2056"/>
      </c>
      <c r="CK938" s="1060">
        <f t="shared" si="2056"/>
      </c>
      <c r="CL938" s="926">
        <f t="shared" si="2056"/>
      </c>
      <c r="CM938" s="926">
        <f t="shared" si="2056"/>
      </c>
      <c r="CN938" s="926">
        <f t="shared" si="2056"/>
      </c>
      <c r="CO938" s="926">
        <f t="shared" si="2056"/>
      </c>
      <c r="CP938" s="1060">
        <f>IF(CK933=0, "NA", CP933/CK933-1)</f>
      </c>
      <c r="CQ938" s="926">
        <f t="shared" si="2056"/>
      </c>
      <c r="CR938" s="926">
        <f t="shared" si="2056"/>
      </c>
      <c r="CS938" s="926">
        <f t="shared" si="2056"/>
      </c>
      <c r="CT938" s="926">
        <f t="shared" si="2056"/>
      </c>
      <c r="CU938" s="1060">
        <f>IF(CP933=0, "NA", CU933/CP933-1)</f>
      </c>
      <c r="CV938" s="926">
        <f t="shared" si="2056"/>
      </c>
      <c r="CW938" s="926">
        <f t="shared" si="2056"/>
      </c>
      <c r="CX938" s="926">
        <f t="shared" si="2056"/>
      </c>
      <c r="CY938" s="926">
        <f>IF(CT933="NM","NM",IF(CY933="NM","NM",IF(CT933&lt;=0,"NM",IF(CY933=0,"NM",IF(ABS(CY933/CT933-1)&gt;2.5,"NM",IF((ABS(CY933-CT933)=ABS(ABS(CY933)-ABS(CT933))),(CY933/CT933-1),"NM"))))))</f>
      </c>
      <c r="CZ938" s="1060">
        <f>IF(CU933=0, "NA", CZ933/CU933-1)</f>
      </c>
      <c r="DA938" s="926">
        <f t="shared" si="2057"/>
      </c>
      <c r="DB938" s="926">
        <f t="shared" si="2057"/>
      </c>
      <c r="DC938" s="926">
        <f t="shared" si="2057"/>
      </c>
      <c r="DD938" s="926">
        <f t="shared" si="2057"/>
      </c>
      <c r="DE938" s="1060">
        <f>IF(CZ933=0, "NA", DE933/CZ933-1)</f>
      </c>
      <c r="DF938" s="926">
        <f t="shared" si="2057"/>
      </c>
      <c r="DG938" s="926">
        <f t="shared" si="2057"/>
      </c>
      <c r="DH938" s="926">
        <f>IF(DC933="NM","NM",IF(DH933="NM","NM",IF(DC933&lt;=0,"NM",IF(DH933=0,"NM",IF(ABS(DH933/DC933-1)&gt;2.5,"NM",IF((ABS(DH933-DC933)=ABS(ABS(DH933)-ABS(DC933))),(DH933/DC933-1),"NM"))))))</f>
      </c>
      <c r="DI938" s="926">
        <f t="shared" si="2057"/>
      </c>
      <c r="DJ938" s="1060">
        <f>IF(DE933=0, "NA", DJ933/DE933-1)</f>
      </c>
      <c r="DK938" s="926">
        <f t="shared" si="2058"/>
      </c>
      <c r="DL938" s="926">
        <f t="shared" si="2058"/>
      </c>
      <c r="DM938" s="926">
        <f t="shared" si="2058"/>
      </c>
      <c r="DN938" s="926">
        <f t="shared" si="2058"/>
      </c>
      <c r="DO938" s="1060">
        <f>IF(DJ933=0, "NA", DO933/DJ933-1)</f>
      </c>
      <c r="DP938" s="926">
        <f t="shared" si="2058"/>
      </c>
      <c r="DQ938" s="926">
        <f>IF(DL933="NM","NM",IF(DQ933="NM","NM",IF(DL933&lt;=0,"NM",IF(DQ933=0,"NM",IF(ABS(DQ933/DL933-1)&gt;2.5,"NM",IF((ABS(DQ933-DL933)=ABS(ABS(DQ933)-ABS(DL933))),(DQ933/DL933-1),"NM"))))))</f>
      </c>
      <c r="DR938" s="926">
        <f>IF(DM933="NM","NM",IF(DR933="NM","NM",IF(DM933&lt;=0,"NM",IF(DR933=0,"NM",IF(ABS(DR933/DM933-1)&gt;2.5,"NM",IF((ABS(DR933-DM933)=ABS(ABS(DR933)-ABS(DM933))),(DR933/DM933-1),"NM"))))))</f>
      </c>
      <c r="DS938" s="926">
        <f>IF(DN933="NM","NM",IF(DS933="NM","NM",IF(DN933&lt;=0,"NM",IF(DS933=0,"NM",IF(ABS(DS933/DN933-1)&gt;2.5,"NM",IF((ABS(DS933-DN933)=ABS(ABS(DS933)-ABS(DN933))),(DS933/DN933-1),"NM"))))))</f>
      </c>
      <c r="DT938" s="1060">
        <f>IF(DO933="NM","NM",IF(DT933="NM","NM",IF(DO933&lt;=0,"NM",IF(DT933=0,"NM",IF(ABS(DT933/DO933-1)&gt;2.5,"NM",IF((ABS(DT933-DO933)=ABS(ABS(DT933)-ABS(DO933))),(DT933/DO933-1),"NM"))))))</f>
      </c>
      <c r="DU938" s="926">
        <f>IF(DP933=0, "NA", DU933/DP933-1)</f>
      </c>
      <c r="DV938" s="926">
        <f>IF(DQ933=0, "NA", DV933/DQ933-1)</f>
      </c>
      <c r="DW938" s="926">
        <f>IF(DR933="NM","NM",IF(DW933="NM","NM",IF(DR933&lt;=0,"NM",IF(DW933=0,"NM",IF(ABS(DW933/DR933-1)&gt;2.5,"NM",IF((ABS(DW933-DR933)=ABS(ABS(DW933)-ABS(DR933))),(DW933/DR933-1),"NM"))))))</f>
      </c>
      <c r="DX938" s="928">
        <f>IF(DS933="NM","NM",IF(DX933="NM","NM",IF(DS933&lt;=0,"NM",IF(DX933=0,"NM",IF(ABS(DX933/DS933-1)&gt;2.5,"NM",IF((ABS(DX933-DS933)=ABS(ABS(DX933)-ABS(DS933))),(DX933/DS933-1),"NM"))))))</f>
      </c>
      <c r="DY938" s="1060">
        <f>IF(DT933="NM","NM",IF(DY933="NM","NM",IF(DT933&lt;=0,"NM",IF(DY933=0,"NM",IF(ABS(DY933/DT933-1)&gt;2.5,"NM",IF((ABS(DY933-DT933)=ABS(ABS(DY933)-ABS(DT933))),(DY933/DT933-1),"NM"))))))</f>
      </c>
      <c r="DZ938" s="958">
        <f>IF(DU933=0, "NA", DZ933/DU933-1)</f>
      </c>
      <c r="EA938" s="926">
        <f>IF(DV933=0, "NA", EA933/DV933-1)</f>
      </c>
      <c r="EB938" s="926">
        <f>IF(DW933=0, "NA", EB933/DW933-1)</f>
      </c>
      <c r="EC938" s="1235">
        <f>IF(DX933="NM","NM",IF(EC933="NM","NM",IF(DX933&lt;=0,"NM",IF(EC933=0,"NM",IF(ABS(EC933/DX933-1)&gt;2.5,"NM",IF((ABS(EC933-DX933)=ABS(ABS(EC933)-ABS(DX933))),(EC933/DX933-1),"NM"))))))</f>
      </c>
      <c r="ED938" s="1536">
        <f>IF(DY933="NM","NM",IF(ED933="NM","NM",IF(DY933&lt;=0,"NM",IF(ED933=0,"NM",IF(ABS(ED933/DY933-1)&gt;2.5,"NM",IF((ABS(ED933-DY933)=ABS(ABS(ED933)-ABS(DY933))),(ED933/DY933-1),"NM"))))))</f>
      </c>
      <c r="EE938" s="958">
        <f t="shared" si="2059"/>
      </c>
      <c r="EF938" s="926">
        <f t="shared" si="2059"/>
      </c>
      <c r="EG938" s="926">
        <f t="shared" si="2059"/>
      </c>
      <c r="EH938" s="926">
        <f>+EH933/EC933-1</f>
      </c>
      <c r="EI938" s="2635">
        <f t="shared" ref="EI938:EN938" si="2060">EI939+EI$1370</f>
      </c>
      <c r="EJ938" s="2635">
        <f t="shared" si="2060"/>
      </c>
      <c r="EK938" s="2844">
        <f t="shared" si="2060"/>
      </c>
      <c r="EL938" s="2844">
        <f t="shared" si="2060"/>
      </c>
      <c r="EM938" s="2844">
        <f t="shared" si="2060"/>
      </c>
      <c r="EN938" s="2844">
        <f t="shared" si="2060"/>
      </c>
      <c r="EO938" s="1060"/>
      <c r="EP938" s="1060"/>
      <c r="EQ938" s="1060"/>
      <c r="ER938" s="1060"/>
      <c r="ES938" s="1060"/>
      <c r="ET938" s="1060"/>
      <c r="EU938" s="1060"/>
      <c r="EV938" s="1060"/>
      <c r="EW938" s="1060"/>
      <c r="EX938" s="1060"/>
    </row>
    <row r="939" spans="2:154">
      <c r="B939" s="454" t="s">
        <v>256</v>
      </c>
      <c r="C939" s="1577"/>
      <c r="D939" s="933"/>
      <c r="E939" s="933"/>
      <c r="F939" s="933"/>
      <c r="G939" s="933"/>
      <c r="H939" s="933"/>
      <c r="I939" s="31"/>
      <c r="J939" s="933"/>
      <c r="K939" s="933"/>
      <c r="L939" s="933"/>
      <c r="M939" s="933"/>
      <c r="N939" s="31"/>
      <c r="O939" s="31"/>
      <c r="P939" s="31"/>
      <c r="Q939" s="31"/>
      <c r="R939" s="31"/>
      <c r="S939" s="31"/>
      <c r="T939" s="31"/>
      <c r="U939" s="31"/>
      <c r="V939" s="31"/>
      <c r="W939" s="31"/>
      <c r="X939" s="313"/>
      <c r="Y939" s="31"/>
      <c r="Z939" s="31"/>
      <c r="AA939" s="31"/>
      <c r="AB939" s="31"/>
      <c r="AC939" s="313"/>
      <c r="AD939" s="31"/>
      <c r="AE939" s="31"/>
      <c r="AF939" s="31"/>
      <c r="AG939" s="31"/>
      <c r="AH939" s="313"/>
      <c r="AI939" s="933"/>
      <c r="AJ939" s="933"/>
      <c r="AK939" s="933"/>
      <c r="AL939" s="31"/>
      <c r="AM939" s="313"/>
      <c r="AN939" s="933"/>
      <c r="AO939" s="933"/>
      <c r="AP939" s="933"/>
      <c r="AQ939" s="933"/>
      <c r="AR939" s="313"/>
      <c r="AS939" s="933"/>
      <c r="AT939" s="933"/>
      <c r="AU939" s="933"/>
      <c r="AV939" s="933"/>
      <c r="AW939" s="313"/>
      <c r="AX939" s="933"/>
      <c r="AY939" s="933"/>
      <c r="AZ939" s="933"/>
      <c r="BA939" s="933"/>
      <c r="BB939" s="313"/>
      <c r="BC939" s="933"/>
      <c r="BD939" s="933"/>
      <c r="BE939" s="933"/>
      <c r="BF939" s="933"/>
      <c r="BG939" s="313"/>
      <c r="BH939" s="933"/>
      <c r="BI939" s="933"/>
      <c r="BJ939" s="933"/>
      <c r="BK939" s="933"/>
      <c r="BL939" s="313"/>
      <c r="BM939" s="926" t="str">
        <f>IF(ISNUMBER(BM938),(1+BM938)/(1+BM$21)-1,"NM")</f>
      </c>
      <c r="BN939" s="926" t="str">
        <f>IF(ISNUMBER(BN938),(1+BN938)/(1+BN$21)-1,"NM")</f>
      </c>
      <c r="BO939" s="926" t="str">
        <f>IF(ISNUMBER(BO938),(1+BO938)/(1+BO$21)-1,"NM")</f>
      </c>
      <c r="BP939" s="925" t="str">
        <f>IF(ISNUMBER(BP938),(1+BP938)/(1+BP$21)-1,"NM")</f>
      </c>
      <c r="BQ939" s="1060"/>
      <c r="BR939" s="649"/>
      <c r="BS939" s="649"/>
      <c r="BT939" s="649"/>
      <c r="BU939" s="649"/>
      <c r="BV939" s="448"/>
      <c r="BW939" s="649"/>
      <c r="BX939" s="649"/>
      <c r="BY939" s="649"/>
      <c r="BZ939" s="836"/>
      <c r="CA939" s="448"/>
      <c r="CB939" s="29"/>
      <c r="CC939" s="649"/>
      <c r="CD939" s="649"/>
      <c r="CE939" s="836"/>
      <c r="CF939" s="448"/>
      <c r="CG939" s="926">
        <f>IF(ISNUMBER(CG938),(1+CG938)/(1+CG$21)-1,"NM")</f>
      </c>
      <c r="CH939" s="926">
        <f>IF(ISNUMBER(CH938),(1+CH938)/(1+CH$21)-1,"NM")</f>
      </c>
      <c r="CI939" s="926">
        <f>IF(ISNUMBER(CI938),(1+CI938)/(1+CI$21)-1,"NM")</f>
      </c>
      <c r="CJ939" s="649">
        <v>0.10100000000000001</v>
      </c>
      <c r="CK939" s="1060">
        <f>IF(ISNUMBER(CK938),(1+CK938)/(1+CK$21)-1,"NM")</f>
      </c>
      <c r="CL939" s="926">
        <f>IF(ISNUMBER(CL938),(1+CL938)/(1+CL$21)-1,"NM")</f>
      </c>
      <c r="CM939" s="926">
        <f>IF(ISNUMBER(CM938),(1+CM938)/(1+CM$21)-1,"NM")</f>
      </c>
      <c r="CN939" s="926">
        <f>IF(ISNUMBER(CN938),(1+CN938)/(1+CN$21)-1,"NM")</f>
      </c>
      <c r="CO939" s="649">
        <v>7.3999999999999996E-2</v>
      </c>
      <c r="CP939" s="2248">
        <f>CP938-CP$21</f>
      </c>
      <c r="CQ939" s="649">
        <v>5.8999999999999997E-2</v>
      </c>
      <c r="CR939" s="649">
        <v>4.9000000000000002E-2</v>
      </c>
      <c r="CS939" s="407">
        <v>5.2999999999999999E-2</v>
      </c>
      <c r="CT939" s="407">
        <v>0.11700000000000001</v>
      </c>
      <c r="CU939" s="2248">
        <v>7.0000000000000007E-2</v>
      </c>
      <c r="CV939" s="649">
        <v>9.4E-2</v>
      </c>
      <c r="CW939" s="649">
        <v>9.0999999999999998E-2</v>
      </c>
      <c r="CX939" s="649">
        <v>0.1</v>
      </c>
      <c r="CY939" s="407">
        <v>0.08</v>
      </c>
      <c r="CZ939" s="406">
        <v>9.0999999999999998E-2</v>
      </c>
      <c r="DA939" s="649">
        <v>7.6999999999999999E-2</v>
      </c>
      <c r="DB939" s="649">
        <v>0.112</v>
      </c>
      <c r="DC939" s="29">
        <v>0.112</v>
      </c>
      <c r="DD939" s="1482">
        <v>7.5999999999999998E-2</v>
      </c>
      <c r="DE939" s="448">
        <v>9.4E-2</v>
      </c>
      <c r="DF939" s="649">
        <v>1.6E-2</v>
      </c>
      <c r="DG939" s="649">
        <v>-0.184</v>
      </c>
      <c r="DH939" s="649">
        <v>-4.1000000000000002E-2</v>
      </c>
      <c r="DI939" s="1482">
        <v>-8.9999999999999993E-3</v>
      </c>
      <c r="DJ939" s="448">
        <v>-5.6000000000000001E-2</v>
      </c>
      <c r="DK939" s="29">
        <v>0.19500000000000001</v>
      </c>
      <c r="DL939" s="29">
        <v>0.32500000000000001</v>
      </c>
      <c r="DM939" s="649">
        <v>0.184</v>
      </c>
      <c r="DN939" s="1479">
        <v>0.126</v>
      </c>
      <c r="DO939" s="448">
        <v>0.2</v>
      </c>
      <c r="DP939" s="649">
        <v>5.3999999999999999E-2</v>
      </c>
      <c r="DQ939" s="1741">
        <v>6.6000000000000003E-2</v>
      </c>
      <c r="DR939" s="1741">
        <v>9.8000000000000004E-2</v>
      </c>
      <c r="DS939" s="1741">
        <v>-4.0000000000000001E-3</v>
      </c>
      <c r="DT939" s="448">
        <v>5.2999999999999999E-2</v>
      </c>
      <c r="DU939" s="1741">
        <v>-1.0999999999999999E-2</v>
      </c>
      <c r="DV939" s="1741">
        <v>0.121</v>
      </c>
      <c r="DW939" s="1741">
        <v>2.7E-2</v>
      </c>
      <c r="DX939" s="2870">
        <v>7.1999999999999995E-2</v>
      </c>
      <c r="DY939" s="448">
        <v>5.0999999999999997E-2</v>
      </c>
      <c r="DZ939" s="2686">
        <v>-7.0000000000000001E-3</v>
      </c>
      <c r="EA939" s="1741">
        <v>-6.4000000000000001E-2</v>
      </c>
      <c r="EB939" s="1741">
        <v>-5.0999999999999997E-2</v>
      </c>
      <c r="EC939" s="3611">
        <v>-1.6E-2</v>
      </c>
      <c r="ED939" s="3623">
        <v>-3.5000000000000003E-2</v>
      </c>
      <c r="EE939" s="2686">
        <v>-0.01</v>
      </c>
      <c r="EF939" s="1741">
        <v>2E-3</v>
      </c>
      <c r="EG939" s="1741">
        <v>2.1000000000000001E-2</v>
      </c>
      <c r="EH939" s="926">
        <f>EH938-EH$1370</f>
      </c>
      <c r="EI939" s="317">
        <v>-7.0000000000000001E-3</v>
      </c>
      <c r="EJ939" s="317">
        <v>0.01</v>
      </c>
      <c r="EK939" s="317">
        <v>0.01</v>
      </c>
      <c r="EL939" s="317">
        <v>0.01</v>
      </c>
      <c r="EM939" s="317">
        <v>0.01</v>
      </c>
      <c r="EN939" s="317">
        <v>0.01</v>
      </c>
      <c r="EO939" s="673"/>
      <c r="EP939" s="673"/>
      <c r="EQ939" s="673"/>
      <c r="ER939" s="673"/>
      <c r="ES939" s="673"/>
      <c r="ET939" s="673"/>
      <c r="EU939" s="673"/>
      <c r="EV939" s="673"/>
      <c r="EW939" s="673"/>
      <c r="EX939" s="673"/>
    </row>
    <row r="940" spans="2:154">
      <c r="B940" s="454" t="s">
        <v>413</v>
      </c>
      <c r="C940" s="1577"/>
      <c r="D940" s="933"/>
      <c r="E940" s="933"/>
      <c r="F940" s="933"/>
      <c r="G940" s="933"/>
      <c r="H940" s="933"/>
      <c r="I940" s="31"/>
      <c r="J940" s="933"/>
      <c r="K940" s="933"/>
      <c r="L940" s="933"/>
      <c r="M940" s="933"/>
      <c r="N940" s="31"/>
      <c r="O940" s="31"/>
      <c r="P940" s="31"/>
      <c r="Q940" s="31"/>
      <c r="R940" s="31"/>
      <c r="S940" s="31"/>
      <c r="T940" s="31"/>
      <c r="U940" s="31"/>
      <c r="V940" s="31"/>
      <c r="W940" s="31"/>
      <c r="X940" s="313"/>
      <c r="Y940" s="31"/>
      <c r="Z940" s="31"/>
      <c r="AA940" s="31"/>
      <c r="AB940" s="31"/>
      <c r="AC940" s="313"/>
      <c r="AD940" s="31"/>
      <c r="AE940" s="31"/>
      <c r="AF940" s="31"/>
      <c r="AG940" s="31"/>
      <c r="AH940" s="313"/>
      <c r="AI940" s="933"/>
      <c r="AJ940" s="933"/>
      <c r="AK940" s="933"/>
      <c r="AL940" s="31"/>
      <c r="AM940" s="313"/>
      <c r="AN940" s="933"/>
      <c r="AO940" s="933"/>
      <c r="AP940" s="933"/>
      <c r="AQ940" s="933"/>
      <c r="AR940" s="313"/>
      <c r="AS940" s="933"/>
      <c r="AT940" s="933"/>
      <c r="AU940" s="933"/>
      <c r="AV940" s="933"/>
      <c r="AW940" s="313"/>
      <c r="AX940" s="933"/>
      <c r="AY940" s="933"/>
      <c r="AZ940" s="933"/>
      <c r="BA940" s="933"/>
      <c r="BB940" s="313"/>
      <c r="BC940" s="933"/>
      <c r="BD940" s="933"/>
      <c r="BE940" s="933"/>
      <c r="BF940" s="933"/>
      <c r="BG940" s="313"/>
      <c r="BH940" s="933"/>
      <c r="BI940" s="933"/>
      <c r="BJ940" s="933"/>
      <c r="BK940" s="933"/>
      <c r="BL940" s="313"/>
      <c r="BM940" s="926" t="str">
        <f>IF(BH934="NM","NM",IF(BM934="NM","NM",IF(BH934&lt;=0,"NM",IF(BM934=0,"NM",IF(ABS(BM934/BH934-1)&gt;2.5,"NM",IF((ABS(BM934-BH934)=ABS(ABS(BM934)-ABS(BH934))),(BM934/BH934-1),"NM"))))))</f>
      </c>
      <c r="BN940" s="926" t="str">
        <f>IF(BI934="NM","NM",IF(BN934="NM","NM",IF(BI934&lt;=0,"NM",IF(BN934=0,"NM",IF(ABS(BN934/BI934-1)&gt;2.5,"NM",IF((ABS(BN934-BI934)=ABS(ABS(BN934)-ABS(BI934))),(BN934/BI934-1),"NM"))))))</f>
      </c>
      <c r="BO940" s="926" t="str">
        <f>IF(BJ934="NM","NM",IF(BO934="NM","NM",IF(BJ934&lt;=0,"NM",IF(BO934=0,"NM",IF(ABS(BO934/BJ934-1)&gt;2.5,"NM",IF((ABS(BO934-BJ934)=ABS(ABS(BO934)-ABS(BJ934))),(BO934/BJ934-1),"NM"))))))</f>
      </c>
      <c r="BP940" s="926" t="str">
        <f>IF(BK934="NM","NM",IF(BP934="NM","NM",IF(BK934&lt;=0,"NM",IF(BP934=0,"NM",IF(ABS(BP934/BK934-1)&gt;2.5,"NM",IF((ABS(BP934-BK934)=ABS(ABS(BP934)-ABS(BK934))),(BP934/BK934-1),"NM"))))))</f>
      </c>
      <c r="BQ940" s="1060"/>
      <c r="BR940" s="926"/>
      <c r="BS940" s="926"/>
      <c r="BT940" s="926"/>
      <c r="BU940" s="926"/>
      <c r="BV940" s="1060"/>
      <c r="BW940" s="926"/>
      <c r="BX940" s="926"/>
      <c r="BY940" s="926"/>
      <c r="BZ940" s="926"/>
      <c r="CA940" s="1060"/>
      <c r="CB940" s="926"/>
      <c r="CC940" s="926"/>
      <c r="CD940" s="926"/>
      <c r="CE940" s="926"/>
      <c r="CF940" s="1060"/>
      <c r="CG940" s="926">
        <f t="shared" ref="CG940:CX940" si="2061">IF(CB934="NM","NM",IF(CG934="NM","NM",IF(CB934&lt;=0,"NM",IF(CG934=0,"NM",IF(ABS(CG934/CB934-1)&gt;2.5,"NM",IF((ABS(CG934-CB934)=ABS(ABS(CG934)-ABS(CB934))),(CG934/CB934-1),"NM"))))))</f>
      </c>
      <c r="CH940" s="926">
        <f t="shared" si="2061"/>
      </c>
      <c r="CI940" s="926">
        <f t="shared" si="2061"/>
      </c>
      <c r="CJ940" s="926">
        <f t="shared" si="2061"/>
      </c>
      <c r="CK940" s="1060">
        <f t="shared" si="2061"/>
      </c>
      <c r="CL940" s="926">
        <f t="shared" si="2061"/>
      </c>
      <c r="CM940" s="926">
        <f t="shared" si="2061"/>
      </c>
      <c r="CN940" s="926">
        <f t="shared" si="2061"/>
      </c>
      <c r="CO940" s="926">
        <f t="shared" si="2061"/>
      </c>
      <c r="CP940" s="1060">
        <f>IF(CK934=0, "NA", CP934/CK934-1)</f>
      </c>
      <c r="CQ940" s="926">
        <f t="shared" si="2061"/>
      </c>
      <c r="CR940" s="926">
        <f t="shared" si="2061"/>
      </c>
      <c r="CS940" s="926">
        <f t="shared" si="2061"/>
      </c>
      <c r="CT940" s="926">
        <f t="shared" si="2061"/>
      </c>
      <c r="CU940" s="1060">
        <f>IF(CP934=0, "NA", CU934/CP934-1)</f>
      </c>
      <c r="CV940" s="926">
        <f t="shared" si="2061"/>
      </c>
      <c r="CW940" s="926">
        <f t="shared" si="2061"/>
      </c>
      <c r="CX940" s="926">
        <f t="shared" si="2061"/>
      </c>
      <c r="CY940" s="926">
        <f>IF(CT934="NM","NM",IF(CY934="NM","NM",IF(CT934&lt;=0,"NM",IF(CY934=0,"NM",IF(ABS(CY934/CT934-1)&gt;2.5,"NM",IF((ABS(CY934-CT934)=ABS(ABS(CY934)-ABS(CT934))),(CY934/CT934-1),"NM"))))))</f>
      </c>
      <c r="CZ940" s="1060">
        <f>IF(CU934=0, "NA", CZ934/CU934-1)</f>
      </c>
      <c r="DA940" s="926">
        <f>IF(CV934="NM","NM",IF(DA934="NM","NM",IF(CV934&lt;=0,"NM",IF(DA934=0,"NM",IF(ABS(DA934/CV934-1)&gt;2.5,"NM",IF((ABS(DA934-CV934)=ABS(ABS(DA934)-ABS(CV934))),(DA934/CV934-1),"NM"))))))</f>
      </c>
      <c r="DB940" s="926">
        <f>IF(CW934="NM","NM",IF(DB934="NM","NM",IF(CW934&lt;=0,"NM",IF(DB934=0,"NM",IF(ABS(DB934/CW934-1)&gt;2.5,"NM",IF((ABS(DB934-CW934)=ABS(ABS(DB934)-ABS(CW934))),(DB934/CW934-1),"NM"))))))</f>
      </c>
      <c r="DC940" s="926">
        <f>IF(CX934="NM","NM",IF(DC934="NM","NM",IF(CX934&lt;=0,"NM",IF(DC934=0,"NM",IF(ABS(DC934/CX934-1)&gt;2.5,"NM",IF((ABS(DC934-CX934)=ABS(ABS(DC934)-ABS(CX934))),(DC934/CX934-1),"NM"))))))</f>
      </c>
      <c r="DD940" s="928">
        <f>IF(CY934=0, "NM", DD934/CY934-1)</f>
      </c>
      <c r="DE940" s="1060">
        <f>IF(CZ934=0, "NA", DE934/CZ934-1)</f>
      </c>
      <c r="DF940" s="926">
        <f>IF(DA934=0, "NA", DF934/DA934-1)</f>
      </c>
      <c r="DG940" s="926">
        <f>IF(DB934=0, "NA", DG934/DB934-1)</f>
      </c>
      <c r="DH940" s="926">
        <f>IF(DC934=0, "NA", DH934/DC934-1)</f>
      </c>
      <c r="DI940" s="928">
        <f>IF(DD934=0, "NM", DI934/DD934-1)</f>
      </c>
      <c r="DJ940" s="1060">
        <f t="shared" ref="DJ940:EF940" si="2062">IF(DE934=0, "NA", DJ934/DE934-1)</f>
      </c>
      <c r="DK940" s="926">
        <f t="shared" si="2062"/>
      </c>
      <c r="DL940" s="926">
        <f t="shared" si="2062"/>
      </c>
      <c r="DM940" s="926">
        <f t="shared" si="2062"/>
      </c>
      <c r="DN940" s="926">
        <f t="shared" si="2062"/>
      </c>
      <c r="DO940" s="1060">
        <f t="shared" si="2062"/>
      </c>
      <c r="DP940" s="926">
        <f t="shared" si="2062"/>
      </c>
      <c r="DQ940" s="926">
        <f t="shared" si="2062"/>
      </c>
      <c r="DR940" s="926">
        <f t="shared" si="2062"/>
      </c>
      <c r="DS940" s="926">
        <f t="shared" si="2062"/>
      </c>
      <c r="DT940" s="1060">
        <f t="shared" si="2062"/>
      </c>
      <c r="DU940" s="926">
        <f t="shared" si="2062"/>
      </c>
      <c r="DV940" s="926">
        <f t="shared" si="2062"/>
      </c>
      <c r="DW940" s="926">
        <f t="shared" si="2062"/>
      </c>
      <c r="DX940" s="928">
        <f t="shared" si="2062"/>
      </c>
      <c r="DY940" s="1060">
        <f t="shared" si="2062"/>
      </c>
      <c r="DZ940" s="958">
        <f t="shared" si="2062"/>
      </c>
      <c r="EA940" s="926">
        <f t="shared" si="2062"/>
      </c>
      <c r="EB940" s="926">
        <f t="shared" si="2062"/>
      </c>
      <c r="EC940" s="1235">
        <f t="shared" si="2062"/>
      </c>
      <c r="ED940" s="1536">
        <f t="shared" si="2062"/>
      </c>
      <c r="EE940" s="958">
        <f t="shared" si="2062"/>
      </c>
      <c r="EF940" s="926">
        <f t="shared" si="2062"/>
      </c>
      <c r="EG940" s="926">
        <f t="shared" ref="EG940:EH940" si="2063">IF(EB934=0, "NA", EG934/EB934-1)</f>
      </c>
      <c r="EH940" s="926">
        <f t="shared" si="2063"/>
      </c>
      <c r="EI940" s="1060">
        <f>EI934/ED934-1</f>
      </c>
      <c r="EJ940" s="1060">
        <f t="shared" ref="EJ940:EN940" si="2064">EJ934/EI934-1</f>
      </c>
      <c r="EK940" s="928">
        <f t="shared" si="2064"/>
      </c>
      <c r="EL940" s="928">
        <f t="shared" si="2064"/>
      </c>
      <c r="EM940" s="928">
        <f t="shared" si="2064"/>
      </c>
      <c r="EN940" s="928">
        <f t="shared" si="2064"/>
      </c>
      <c r="EO940" s="1060"/>
      <c r="EP940" s="1060"/>
      <c r="EQ940" s="1060"/>
      <c r="ER940" s="1060"/>
      <c r="ES940" s="1060"/>
      <c r="ET940" s="1060"/>
      <c r="EU940" s="1060"/>
      <c r="EV940" s="1060"/>
      <c r="EW940" s="1060"/>
      <c r="EX940" s="1060"/>
    </row>
    <row r="941" spans="2:154">
      <c r="B941" s="454" t="s">
        <v>848</v>
      </c>
      <c r="C941" s="1577"/>
      <c r="D941" s="933"/>
      <c r="E941" s="933"/>
      <c r="F941" s="933"/>
      <c r="G941" s="933"/>
      <c r="H941" s="933"/>
      <c r="I941" s="31"/>
      <c r="J941" s="933"/>
      <c r="K941" s="933"/>
      <c r="L941" s="933"/>
      <c r="M941" s="933"/>
      <c r="N941" s="31"/>
      <c r="O941" s="31"/>
      <c r="P941" s="31"/>
      <c r="Q941" s="31"/>
      <c r="R941" s="31"/>
      <c r="S941" s="31"/>
      <c r="T941" s="31"/>
      <c r="U941" s="31"/>
      <c r="V941" s="31"/>
      <c r="W941" s="31"/>
      <c r="X941" s="313"/>
      <c r="Y941" s="31"/>
      <c r="Z941" s="31"/>
      <c r="AA941" s="31"/>
      <c r="AB941" s="31"/>
      <c r="AC941" s="313"/>
      <c r="AD941" s="31"/>
      <c r="AE941" s="31"/>
      <c r="AF941" s="31"/>
      <c r="AG941" s="31"/>
      <c r="AH941" s="313"/>
      <c r="AI941" s="933"/>
      <c r="AJ941" s="933"/>
      <c r="AK941" s="933"/>
      <c r="AL941" s="31"/>
      <c r="AM941" s="313"/>
      <c r="AN941" s="933"/>
      <c r="AO941" s="933"/>
      <c r="AP941" s="933"/>
      <c r="AQ941" s="933"/>
      <c r="AR941" s="313"/>
      <c r="AS941" s="933"/>
      <c r="AT941" s="933"/>
      <c r="AU941" s="933"/>
      <c r="AV941" s="933"/>
      <c r="AW941" s="313"/>
      <c r="AX941" s="933"/>
      <c r="AY941" s="933"/>
      <c r="AZ941" s="933"/>
      <c r="BA941" s="933"/>
      <c r="BB941" s="313"/>
      <c r="BC941" s="933"/>
      <c r="BD941" s="933"/>
      <c r="BE941" s="933"/>
      <c r="BF941" s="933"/>
      <c r="BG941" s="313"/>
      <c r="BH941" s="933"/>
      <c r="BI941" s="933"/>
      <c r="BJ941" s="933"/>
      <c r="BK941" s="933"/>
      <c r="BL941" s="313"/>
      <c r="BM941" s="926"/>
      <c r="BN941" s="926"/>
      <c r="BO941" s="926"/>
      <c r="BP941" s="926"/>
      <c r="BQ941" s="1060"/>
      <c r="BR941" s="926"/>
      <c r="BS941" s="926"/>
      <c r="BT941" s="926"/>
      <c r="BU941" s="926"/>
      <c r="BV941" s="1060"/>
      <c r="BW941" s="926"/>
      <c r="BX941" s="926"/>
      <c r="BY941" s="926"/>
      <c r="BZ941" s="926"/>
      <c r="CA941" s="1060"/>
      <c r="CB941" s="926"/>
      <c r="CC941" s="926"/>
      <c r="CD941" s="926"/>
      <c r="CE941" s="926"/>
      <c r="CF941" s="1060"/>
      <c r="CG941" s="926"/>
      <c r="CH941" s="926"/>
      <c r="CI941" s="926"/>
      <c r="CJ941" s="926"/>
      <c r="CK941" s="1060"/>
      <c r="CL941" s="926"/>
      <c r="CM941" s="926"/>
      <c r="CN941" s="926"/>
      <c r="CO941" s="926"/>
      <c r="CP941" s="1060"/>
      <c r="CQ941" s="649">
        <v>8.3000000000000004E-2</v>
      </c>
      <c r="CR941" s="649">
        <v>0.04</v>
      </c>
      <c r="CS941" s="649">
        <v>3.9E-2</v>
      </c>
      <c r="CT941" s="649">
        <v>0.108</v>
      </c>
      <c r="CU941" s="448">
        <v>6.7000000000000004E-2</v>
      </c>
      <c r="CV941" s="649">
        <v>5.2999999999999999E-2</v>
      </c>
      <c r="CW941" s="649">
        <v>5.3999999999999999E-2</v>
      </c>
      <c r="CX941" s="649">
        <v>8.1000000000000003E-2</v>
      </c>
      <c r="CY941" s="649">
        <v>5.7000000000000002E-2</v>
      </c>
      <c r="CZ941" s="448">
        <v>6.0999999999999999E-2</v>
      </c>
      <c r="DA941" s="649">
        <v>5.8000000000000003E-2</v>
      </c>
      <c r="DB941" s="649">
        <v>6.0999999999999999E-2</v>
      </c>
      <c r="DC941" s="649">
        <v>5.1999999999999998E-2</v>
      </c>
      <c r="DD941" s="1482">
        <v>3.2000000000000001E-2</v>
      </c>
      <c r="DE941" s="448">
        <v>0.05</v>
      </c>
      <c r="DF941" s="649">
        <v>-1.4E-2</v>
      </c>
      <c r="DG941" s="649">
        <v>-0.22900000000000001</v>
      </c>
      <c r="DH941" s="649">
        <v>-1.2E-2</v>
      </c>
      <c r="DI941" s="1482">
        <v>0.02</v>
      </c>
      <c r="DJ941" s="448">
        <v>-5.8000000000000003E-2</v>
      </c>
      <c r="DK941" s="649">
        <v>0.14299999999999999</v>
      </c>
      <c r="DL941" s="649">
        <v>0.443</v>
      </c>
      <c r="DM941" s="649">
        <v>0.126</v>
      </c>
      <c r="DN941" s="649">
        <v>7.5999999999999998E-2</v>
      </c>
      <c r="DO941" s="448">
        <v>0.18</v>
      </c>
      <c r="DP941" s="649">
        <v>4.4999999999999998E-2</v>
      </c>
      <c r="DQ941" s="649">
        <v>3.5999999999999997E-2</v>
      </c>
      <c r="DR941" s="649">
        <v>7.4999999999999997E-2</v>
      </c>
      <c r="DS941" s="649">
        <v>-3.0000000000000001E-3</v>
      </c>
      <c r="DT941" s="448">
        <v>3.7999999999999999E-2</v>
      </c>
      <c r="DU941" s="649">
        <v>1.6E-2</v>
      </c>
      <c r="DV941" s="2632">
        <v>8.4000000000000005E-2</v>
      </c>
      <c r="DW941" s="2632">
        <v>1.4999999999999999E-2</v>
      </c>
      <c r="DX941" s="3303">
        <v>5.1999999999999998E-2</v>
      </c>
      <c r="DY941" s="448">
        <v>4.2000000000000003E-2</v>
      </c>
      <c r="DZ941" s="3429">
        <v>-3.0000000000000001E-3</v>
      </c>
      <c r="EA941" s="2632">
        <v>-3.9E-2</v>
      </c>
      <c r="EB941" s="2632">
        <v>-3.5999999999999997E-2</v>
      </c>
      <c r="EC941" s="3612">
        <v>-1E-3</v>
      </c>
      <c r="ED941" s="3623">
        <v>-0.02</v>
      </c>
      <c r="EE941" s="3429">
        <v>5.0000000000000001E-3</v>
      </c>
      <c r="EF941" s="2632">
        <v>0.01</v>
      </c>
      <c r="EG941" s="2632">
        <v>3.7999999999999999E-2</v>
      </c>
      <c r="EH941" s="926">
        <f t="shared" ref="EH941" si="2065">(EC933*EH939+EC932*EH937)/(EC934)</f>
      </c>
      <c r="EI941" s="1060">
        <f>(ED933*EI939+ED932*EI937)/(ED934)</f>
      </c>
      <c r="EJ941" s="1060">
        <f t="shared" ref="EJ941:EN941" si="2066">(EI933*EJ939+EI932*EJ937)/(EI934)</f>
      </c>
      <c r="EK941" s="928">
        <f t="shared" si="2066"/>
      </c>
      <c r="EL941" s="928">
        <f t="shared" si="2066"/>
      </c>
      <c r="EM941" s="928">
        <f t="shared" si="2066"/>
      </c>
      <c r="EN941" s="928">
        <f t="shared" si="2066"/>
      </c>
      <c r="EO941" s="1060"/>
      <c r="EP941" s="1060"/>
      <c r="EQ941" s="1060"/>
      <c r="ER941" s="1060"/>
      <c r="ES941" s="1060"/>
      <c r="ET941" s="1060"/>
      <c r="EU941" s="1060"/>
      <c r="EV941" s="1060"/>
      <c r="EW941" s="1060"/>
      <c r="EX941" s="1060"/>
    </row>
    <row r="942" spans="2:154">
      <c r="B942" s="454"/>
      <c r="C942" s="1577"/>
      <c r="D942" s="933"/>
      <c r="E942" s="933"/>
      <c r="F942" s="933"/>
      <c r="G942" s="933"/>
      <c r="H942" s="933"/>
      <c r="I942" s="31"/>
      <c r="J942" s="933"/>
      <c r="K942" s="933"/>
      <c r="L942" s="933"/>
      <c r="M942" s="933"/>
      <c r="N942" s="31"/>
      <c r="O942" s="31"/>
      <c r="P942" s="31"/>
      <c r="Q942" s="31"/>
      <c r="R942" s="31"/>
      <c r="S942" s="31"/>
      <c r="T942" s="31"/>
      <c r="U942" s="31"/>
      <c r="V942" s="31"/>
      <c r="W942" s="31"/>
      <c r="X942" s="313"/>
      <c r="Y942" s="31"/>
      <c r="Z942" s="31"/>
      <c r="AA942" s="31"/>
      <c r="AB942" s="31"/>
      <c r="AC942" s="313"/>
      <c r="AD942" s="31"/>
      <c r="AE942" s="31"/>
      <c r="AF942" s="31"/>
      <c r="AG942" s="31"/>
      <c r="AH942" s="313"/>
      <c r="AI942" s="933"/>
      <c r="AJ942" s="933"/>
      <c r="AK942" s="933"/>
      <c r="AL942" s="31"/>
      <c r="AM942" s="313"/>
      <c r="AN942" s="933"/>
      <c r="AO942" s="933"/>
      <c r="AP942" s="933"/>
      <c r="AQ942" s="933"/>
      <c r="AR942" s="313"/>
      <c r="AS942" s="933"/>
      <c r="AT942" s="933"/>
      <c r="AU942" s="933"/>
      <c r="AV942" s="933"/>
      <c r="AW942" s="313"/>
      <c r="AX942" s="933"/>
      <c r="AY942" s="933"/>
      <c r="AZ942" s="933"/>
      <c r="BA942" s="933"/>
      <c r="BB942" s="313"/>
      <c r="BC942" s="933"/>
      <c r="BD942" s="933"/>
      <c r="BE942" s="933"/>
      <c r="BF942" s="933"/>
      <c r="BG942" s="313"/>
      <c r="BH942" s="933"/>
      <c r="BI942" s="933"/>
      <c r="BJ942" s="933"/>
      <c r="BK942" s="933"/>
      <c r="BL942" s="313"/>
      <c r="BM942" s="926"/>
      <c r="BN942" s="926"/>
      <c r="BO942" s="926"/>
      <c r="BP942" s="926"/>
      <c r="BQ942" s="1060"/>
      <c r="BR942" s="933"/>
      <c r="BS942" s="933"/>
      <c r="BT942" s="933"/>
      <c r="BU942" s="933"/>
      <c r="BV942" s="1060"/>
      <c r="BW942" s="933"/>
      <c r="BX942" s="933"/>
      <c r="BY942" s="933"/>
      <c r="BZ942" s="933"/>
      <c r="CA942" s="1060"/>
      <c r="CB942" s="933"/>
      <c r="CC942" s="933"/>
      <c r="CD942" s="933"/>
      <c r="CE942" s="933"/>
      <c r="CF942" s="1060"/>
      <c r="CG942" s="933"/>
      <c r="CH942" s="933"/>
      <c r="CI942" s="933"/>
      <c r="CJ942" s="933"/>
      <c r="CK942" s="1060"/>
      <c r="CL942" s="961"/>
      <c r="CM942" s="933"/>
      <c r="CN942" s="933"/>
      <c r="CO942" s="933"/>
      <c r="CP942" s="1060"/>
      <c r="CQ942" s="933"/>
      <c r="CR942" s="933"/>
      <c r="CS942" s="933"/>
      <c r="CT942" s="933"/>
      <c r="CU942" s="1060"/>
      <c r="CV942" s="933"/>
      <c r="CW942" s="933"/>
      <c r="CX942" s="933"/>
      <c r="CY942" s="933"/>
      <c r="CZ942" s="1060"/>
      <c r="DA942" s="958"/>
      <c r="DB942" s="926"/>
      <c r="DC942" s="926"/>
      <c r="DD942" s="928"/>
      <c r="DE942" s="2260"/>
      <c r="DF942" s="958"/>
      <c r="DG942" s="926"/>
      <c r="DH942" s="926"/>
      <c r="DI942" s="928"/>
      <c r="DJ942" s="1060"/>
      <c r="DK942" s="958"/>
      <c r="DL942" s="926"/>
      <c r="DM942" s="926"/>
      <c r="DN942" s="928"/>
      <c r="DO942" s="1060"/>
      <c r="DP942" s="926"/>
      <c r="DQ942" s="926"/>
      <c r="DR942" s="926"/>
      <c r="DS942" s="926"/>
      <c r="DT942" s="1060"/>
      <c r="DU942" s="926"/>
      <c r="DV942" s="926"/>
      <c r="DW942" s="926"/>
      <c r="DX942" s="928"/>
      <c r="DY942" s="1060"/>
      <c r="DZ942" s="926"/>
      <c r="EA942" s="926"/>
      <c r="EB942" s="926"/>
      <c r="EC942" s="1235"/>
      <c r="ED942" s="1060"/>
      <c r="EE942" s="926"/>
      <c r="EF942" s="926"/>
      <c r="EG942" s="926"/>
      <c r="EH942" s="926"/>
      <c r="EI942" s="2653"/>
      <c r="EJ942" s="928"/>
      <c r="EK942" s="1060"/>
      <c r="EL942" s="1060"/>
      <c r="EM942" s="1060"/>
      <c r="EN942" s="1060"/>
      <c r="EO942" s="1060"/>
      <c r="EP942" s="1060"/>
      <c r="EQ942" s="1060"/>
      <c r="ER942" s="1060"/>
      <c r="ES942" s="1060"/>
      <c r="ET942" s="1060"/>
      <c r="EU942" s="1060"/>
      <c r="EV942" s="1060"/>
      <c r="EW942" s="1060"/>
      <c r="EX942" s="1060"/>
    </row>
    <row r="943" spans="2:154">
      <c r="B943" s="2239" t="s">
        <v>602</v>
      </c>
      <c r="C943" s="2252"/>
      <c r="D943" s="3006"/>
      <c r="E943" s="3006"/>
      <c r="F943" s="3006"/>
      <c r="G943" s="3006"/>
      <c r="H943" s="3006"/>
      <c r="I943" s="3007"/>
      <c r="J943" s="3006"/>
      <c r="K943" s="3006"/>
      <c r="L943" s="3006"/>
      <c r="M943" s="3006"/>
      <c r="N943" s="3007"/>
      <c r="O943" s="3007"/>
      <c r="P943" s="3007"/>
      <c r="Q943" s="3007"/>
      <c r="R943" s="3007"/>
      <c r="S943" s="3007"/>
      <c r="T943" s="3007"/>
      <c r="U943" s="3007"/>
      <c r="V943" s="3007"/>
      <c r="W943" s="3007"/>
      <c r="X943" s="2253"/>
      <c r="Y943" s="3007"/>
      <c r="Z943" s="3007"/>
      <c r="AA943" s="3007"/>
      <c r="AB943" s="3007"/>
      <c r="AC943" s="2253"/>
      <c r="AD943" s="3007"/>
      <c r="AE943" s="3007"/>
      <c r="AF943" s="3007"/>
      <c r="AG943" s="3007"/>
      <c r="AH943" s="2253"/>
      <c r="AI943" s="3006"/>
      <c r="AJ943" s="3006"/>
      <c r="AK943" s="3006"/>
      <c r="AL943" s="3007"/>
      <c r="AM943" s="2253"/>
      <c r="AN943" s="3006"/>
      <c r="AO943" s="3006"/>
      <c r="AP943" s="3006"/>
      <c r="AQ943" s="3006"/>
      <c r="AR943" s="2253"/>
      <c r="AS943" s="3006"/>
      <c r="AT943" s="3006"/>
      <c r="AU943" s="3006"/>
      <c r="AV943" s="3006"/>
      <c r="AW943" s="2253"/>
      <c r="AX943" s="3006"/>
      <c r="AY943" s="3006"/>
      <c r="AZ943" s="3006"/>
      <c r="BA943" s="3006"/>
      <c r="BB943" s="2253"/>
      <c r="BC943" s="3006"/>
      <c r="BD943" s="3006"/>
      <c r="BE943" s="3006"/>
      <c r="BF943" s="3006"/>
      <c r="BG943" s="2253"/>
      <c r="BH943" s="3006"/>
      <c r="BI943" s="3006"/>
      <c r="BJ943" s="3006"/>
      <c r="BK943" s="3006"/>
      <c r="BL943" s="2253"/>
      <c r="BM943" s="3006"/>
      <c r="BN943" s="3006"/>
      <c r="BO943" s="3006"/>
      <c r="BP943" s="3006"/>
      <c r="BQ943" s="2253"/>
      <c r="BR943" s="3006"/>
      <c r="BS943" s="3006"/>
      <c r="BT943" s="3006"/>
      <c r="BU943" s="3006"/>
      <c r="BV943" s="2253"/>
      <c r="BW943" s="3006"/>
      <c r="BX943" s="3006"/>
      <c r="BY943" s="3006"/>
      <c r="BZ943" s="3006"/>
      <c r="CA943" s="2253"/>
      <c r="CB943" s="3006"/>
      <c r="CC943" s="3006"/>
      <c r="CD943" s="3006"/>
      <c r="CE943" s="3006"/>
      <c r="CF943" s="2253"/>
      <c r="CG943" s="3006"/>
      <c r="CH943" s="3006"/>
      <c r="CI943" s="3006"/>
      <c r="CJ943" s="3006"/>
      <c r="CK943" s="2253"/>
      <c r="CL943" s="2254"/>
      <c r="CM943" s="3006"/>
      <c r="CN943" s="3006"/>
      <c r="CO943" s="3006"/>
      <c r="CP943" s="2253"/>
      <c r="CQ943" s="3006"/>
      <c r="CR943" s="3006"/>
      <c r="CS943" s="3006"/>
      <c r="CT943" s="3006"/>
      <c r="CU943" s="2253"/>
      <c r="CV943" s="3006"/>
      <c r="CW943" s="3006"/>
      <c r="CX943" s="3006"/>
      <c r="CY943" s="3006"/>
      <c r="CZ943" s="2253"/>
      <c r="DA943" s="2255"/>
      <c r="DB943" s="3007"/>
      <c r="DC943" s="3007"/>
      <c r="DD943" s="2256"/>
      <c r="DE943" s="2208"/>
      <c r="DF943" s="2194"/>
      <c r="DG943" s="2957"/>
      <c r="DH943" s="2957"/>
      <c r="DI943" s="2128"/>
      <c r="DJ943" s="2208"/>
      <c r="DK943" s="2194"/>
      <c r="DL943" s="2957"/>
      <c r="DM943" s="2957"/>
      <c r="DN943" s="2128"/>
      <c r="DO943" s="2208"/>
      <c r="DP943" s="2957"/>
      <c r="DQ943" s="2957"/>
      <c r="DR943" s="2957"/>
      <c r="DS943" s="2957"/>
      <c r="DT943" s="2208"/>
      <c r="DU943" s="2957"/>
      <c r="DV943" s="2957"/>
      <c r="DW943" s="2957"/>
      <c r="DX943" s="2128"/>
      <c r="DY943" s="2208"/>
      <c r="DZ943" s="2957"/>
      <c r="EA943" s="2957"/>
      <c r="EB943" s="2957"/>
      <c r="EC943" s="2957"/>
      <c r="ED943" s="2208"/>
      <c r="EE943" s="2957"/>
      <c r="EF943" s="2957"/>
      <c r="EG943" s="2957"/>
      <c r="EH943" s="2957"/>
      <c r="EI943" s="2208"/>
      <c r="EJ943" s="2208"/>
      <c r="EK943" s="2208"/>
      <c r="EL943" s="2208"/>
      <c r="EM943" s="2208"/>
      <c r="EN943" s="2208"/>
      <c r="EO943" s="2208"/>
      <c r="EP943" s="2208"/>
      <c r="EQ943" s="2208"/>
      <c r="ER943" s="2208"/>
      <c r="ES943" s="2208"/>
      <c r="ET943" s="2208"/>
      <c r="EU943" s="2208"/>
      <c r="EV943" s="2208"/>
      <c r="EW943" s="2208"/>
      <c r="EX943" s="2208"/>
    </row>
    <row r="944" spans="2:154">
      <c r="B944" s="334" t="s">
        <v>187</v>
      </c>
      <c r="C944" s="1577"/>
      <c r="D944" s="933"/>
      <c r="E944" s="933"/>
      <c r="F944" s="933"/>
      <c r="G944" s="933"/>
      <c r="H944" s="933"/>
      <c r="I944" s="31"/>
      <c r="J944" s="933"/>
      <c r="K944" s="933"/>
      <c r="L944" s="933"/>
      <c r="M944" s="933"/>
      <c r="N944" s="31"/>
      <c r="O944" s="31"/>
      <c r="P944" s="31"/>
      <c r="Q944" s="31"/>
      <c r="R944" s="31"/>
      <c r="S944" s="31"/>
      <c r="T944" s="31"/>
      <c r="U944" s="31"/>
      <c r="V944" s="31"/>
      <c r="W944" s="31"/>
      <c r="X944" s="313"/>
      <c r="Y944" s="31"/>
      <c r="Z944" s="31"/>
      <c r="AA944" s="31"/>
      <c r="AB944" s="31"/>
      <c r="AC944" s="313"/>
      <c r="AD944" s="31"/>
      <c r="AE944" s="31"/>
      <c r="AF944" s="31"/>
      <c r="AG944" s="31"/>
      <c r="AH944" s="313"/>
      <c r="AI944" s="933"/>
      <c r="AJ944" s="933"/>
      <c r="AK944" s="933"/>
      <c r="AL944" s="31"/>
      <c r="AM944" s="313"/>
      <c r="AN944" s="933"/>
      <c r="AO944" s="933"/>
      <c r="AP944" s="933"/>
      <c r="AQ944" s="933"/>
      <c r="AR944" s="313"/>
      <c r="AS944" s="933"/>
      <c r="AT944" s="933"/>
      <c r="AU944" s="933"/>
      <c r="AV944" s="933"/>
      <c r="AW944" s="313"/>
      <c r="AX944" s="933"/>
      <c r="AY944" s="933"/>
      <c r="AZ944" s="933"/>
      <c r="BA944" s="933"/>
      <c r="BB944" s="313"/>
      <c r="BC944" s="933"/>
      <c r="BD944" s="933"/>
      <c r="BE944" s="933"/>
      <c r="BF944" s="933"/>
      <c r="BG944" s="313"/>
      <c r="BH944" s="933"/>
      <c r="BI944" s="933"/>
      <c r="BJ944" s="933"/>
      <c r="BK944" s="933"/>
      <c r="BL944" s="313"/>
      <c r="BM944" s="352">
        <v>596</v>
      </c>
      <c r="BN944" s="352">
        <v>621</v>
      </c>
      <c r="BO944" s="352">
        <v>609</v>
      </c>
      <c r="BP944" s="352">
        <v>639</v>
      </c>
      <c r="BQ944" s="313"/>
      <c r="BR944" s="352"/>
      <c r="BS944" s="352"/>
      <c r="BT944" s="352"/>
      <c r="BU944" s="352"/>
      <c r="BV944" s="313"/>
      <c r="BW944" s="352"/>
      <c r="BX944" s="352"/>
      <c r="BY944" s="352"/>
      <c r="BZ944" s="352"/>
      <c r="CA944" s="313"/>
      <c r="CB944" s="352">
        <v>426</v>
      </c>
      <c r="CC944" s="352">
        <v>423</v>
      </c>
      <c r="CD944" s="352">
        <v>436</v>
      </c>
      <c r="CE944" s="352">
        <v>432</v>
      </c>
      <c r="CF944" s="313">
        <f>SUM(CB944:CE944)</f>
      </c>
      <c r="CG944" s="352">
        <v>422</v>
      </c>
      <c r="CH944" s="352">
        <v>423</v>
      </c>
      <c r="CI944" s="352">
        <v>427</v>
      </c>
      <c r="CJ944" s="352">
        <v>430</v>
      </c>
      <c r="CK944" s="313">
        <f>SUM(CG944:CJ944)</f>
      </c>
      <c r="CL944" s="3011">
        <v>419</v>
      </c>
      <c r="CM944" s="3011">
        <v>421</v>
      </c>
      <c r="CN944" s="3011">
        <v>414</v>
      </c>
      <c r="CO944" s="3011">
        <v>415</v>
      </c>
      <c r="CP944" s="3010">
        <f>SUM(CL944:CO944)</f>
      </c>
      <c r="CQ944" s="352">
        <v>423</v>
      </c>
      <c r="CR944" s="352">
        <v>423</v>
      </c>
      <c r="CS944" s="352">
        <v>430</v>
      </c>
      <c r="CT944" s="352">
        <v>452</v>
      </c>
      <c r="CU944" s="3012">
        <f>SUM(CQ944:CT944)</f>
      </c>
      <c r="CV944" s="352">
        <v>423</v>
      </c>
      <c r="CW944" s="352">
        <v>436</v>
      </c>
      <c r="CX944" s="352">
        <v>423</v>
      </c>
      <c r="CY944" s="352">
        <v>469</v>
      </c>
      <c r="CZ944" s="3012">
        <f>SUM(CV944:CY944)</f>
      </c>
      <c r="DA944" s="352">
        <v>425</v>
      </c>
      <c r="DB944" s="352">
        <v>443</v>
      </c>
      <c r="DC944" s="577">
        <v>443</v>
      </c>
      <c r="DD944" s="1205">
        <v>451</v>
      </c>
      <c r="DE944" s="1835">
        <f>SUM(DA944:DD944)</f>
      </c>
      <c r="DF944" s="710">
        <v>463</v>
      </c>
      <c r="DG944" s="710">
        <v>213</v>
      </c>
      <c r="DH944" s="710">
        <v>492</v>
      </c>
      <c r="DI944" s="1839">
        <v>546</v>
      </c>
      <c r="DJ944" s="1835">
        <f>SUM(DF944:DI944)</f>
      </c>
      <c r="DK944" s="710">
        <v>493</v>
      </c>
      <c r="DL944" s="710">
        <v>576</v>
      </c>
      <c r="DM944" s="710">
        <v>508</v>
      </c>
      <c r="DN944" s="710">
        <v>528</v>
      </c>
      <c r="DO944" s="1835">
        <f>SUM(DK944:DN944)</f>
      </c>
      <c r="DP944" s="710">
        <v>504</v>
      </c>
      <c r="DQ944" s="710">
        <v>538</v>
      </c>
      <c r="DR944" s="710">
        <v>527</v>
      </c>
      <c r="DS944" s="710">
        <v>544</v>
      </c>
      <c r="DT944" s="1835">
        <f>SUM(DP944:DS944)</f>
      </c>
      <c r="DU944" s="710">
        <v>531</v>
      </c>
      <c r="DV944" s="710">
        <v>548</v>
      </c>
      <c r="DW944" s="710">
        <v>540</v>
      </c>
      <c r="DX944" s="1839">
        <v>579</v>
      </c>
      <c r="DY944" s="1835">
        <f>SUM(DU944:DX944)</f>
      </c>
      <c r="DZ944" s="710">
        <v>542</v>
      </c>
      <c r="EA944" s="710">
        <v>528</v>
      </c>
      <c r="EB944" s="710">
        <v>535</v>
      </c>
      <c r="EC944" s="1552">
        <v>560</v>
      </c>
      <c r="ED944" s="1835">
        <f>SUM(DZ944:EC944)</f>
      </c>
      <c r="EE944" s="710">
        <v>544</v>
      </c>
      <c r="EF944" s="710">
        <v>567</v>
      </c>
      <c r="EG944" s="710">
        <v>555</v>
      </c>
      <c r="EH944" s="1542">
        <f>EI944-SUM(EE944:EG944)</f>
      </c>
      <c r="EI944" s="1835">
        <f>+ED944*(1+EI949)</f>
      </c>
      <c r="EJ944" s="1835">
        <f t="shared" ref="EJ944:EN945" si="2067">+EI944*(1+EJ949)</f>
      </c>
      <c r="EK944" s="1835">
        <f t="shared" si="2067"/>
      </c>
      <c r="EL944" s="1835">
        <f t="shared" si="2067"/>
      </c>
      <c r="EM944" s="1835">
        <f t="shared" si="2067"/>
      </c>
      <c r="EN944" s="1835">
        <f t="shared" si="2067"/>
      </c>
      <c r="EO944" s="477"/>
      <c r="EP944" s="477"/>
      <c r="EQ944" s="477"/>
      <c r="ER944" s="477"/>
      <c r="ES944" s="477"/>
      <c r="ET944" s="477"/>
      <c r="EU944" s="477"/>
      <c r="EV944" s="477"/>
      <c r="EW944" s="477"/>
      <c r="EX944" s="477"/>
    </row>
    <row r="945" spans="2:154">
      <c r="B945" s="334" t="s">
        <v>412</v>
      </c>
      <c r="C945" s="1577"/>
      <c r="D945" s="933"/>
      <c r="E945" s="933"/>
      <c r="F945" s="933"/>
      <c r="G945" s="933"/>
      <c r="H945" s="933"/>
      <c r="I945" s="31"/>
      <c r="J945" s="933"/>
      <c r="K945" s="933"/>
      <c r="L945" s="933"/>
      <c r="M945" s="933"/>
      <c r="N945" s="31"/>
      <c r="O945" s="31"/>
      <c r="P945" s="31"/>
      <c r="Q945" s="31"/>
      <c r="R945" s="31"/>
      <c r="S945" s="31"/>
      <c r="T945" s="31"/>
      <c r="U945" s="31"/>
      <c r="V945" s="31"/>
      <c r="W945" s="31"/>
      <c r="X945" s="313"/>
      <c r="Y945" s="31"/>
      <c r="Z945" s="31"/>
      <c r="AA945" s="31"/>
      <c r="AB945" s="31"/>
      <c r="AC945" s="313"/>
      <c r="AD945" s="31"/>
      <c r="AE945" s="31"/>
      <c r="AF945" s="31"/>
      <c r="AG945" s="31"/>
      <c r="AH945" s="313"/>
      <c r="AI945" s="933"/>
      <c r="AJ945" s="933"/>
      <c r="AK945" s="933"/>
      <c r="AL945" s="31"/>
      <c r="AM945" s="313"/>
      <c r="AN945" s="933"/>
      <c r="AO945" s="933"/>
      <c r="AP945" s="933"/>
      <c r="AQ945" s="933"/>
      <c r="AR945" s="313"/>
      <c r="AS945" s="933"/>
      <c r="AT945" s="933"/>
      <c r="AU945" s="933"/>
      <c r="AV945" s="933"/>
      <c r="AW945" s="313"/>
      <c r="AX945" s="933"/>
      <c r="AY945" s="933"/>
      <c r="AZ945" s="933"/>
      <c r="BA945" s="933"/>
      <c r="BB945" s="313"/>
      <c r="BC945" s="933"/>
      <c r="BD945" s="933"/>
      <c r="BE945" s="933"/>
      <c r="BF945" s="933"/>
      <c r="BG945" s="313"/>
      <c r="BH945" s="933"/>
      <c r="BI945" s="933"/>
      <c r="BJ945" s="933"/>
      <c r="BK945" s="933"/>
      <c r="BL945" s="313"/>
      <c r="BM945" s="352">
        <v>1025</v>
      </c>
      <c r="BN945" s="352">
        <v>1079</v>
      </c>
      <c r="BO945" s="352">
        <v>1013</v>
      </c>
      <c r="BP945" s="352">
        <v>1055</v>
      </c>
      <c r="BQ945" s="313"/>
      <c r="BR945" s="352"/>
      <c r="BS945" s="352"/>
      <c r="BT945" s="352"/>
      <c r="BU945" s="352"/>
      <c r="BV945" s="313"/>
      <c r="BW945" s="352"/>
      <c r="BX945" s="352"/>
      <c r="BY945" s="352"/>
      <c r="BZ945" s="352"/>
      <c r="CA945" s="313"/>
      <c r="CB945" s="352">
        <v>806</v>
      </c>
      <c r="CC945" s="352">
        <v>843</v>
      </c>
      <c r="CD945" s="352">
        <v>783</v>
      </c>
      <c r="CE945" s="352">
        <v>821</v>
      </c>
      <c r="CF945" s="313">
        <f>SUM(CB945:CE945)</f>
      </c>
      <c r="CG945" s="352">
        <v>711</v>
      </c>
      <c r="CH945" s="352">
        <v>696</v>
      </c>
      <c r="CI945" s="352">
        <v>656</v>
      </c>
      <c r="CJ945" s="352">
        <v>717</v>
      </c>
      <c r="CK945" s="313">
        <f>SUM(CG945:CJ945)</f>
      </c>
      <c r="CL945" s="3011">
        <v>651</v>
      </c>
      <c r="CM945" s="3011">
        <v>706</v>
      </c>
      <c r="CN945" s="3011">
        <v>649</v>
      </c>
      <c r="CO945" s="3011">
        <v>687</v>
      </c>
      <c r="CP945" s="3010">
        <f>SUM(CL945:CO945)</f>
      </c>
      <c r="CQ945" s="352">
        <v>651</v>
      </c>
      <c r="CR945" s="352">
        <v>691</v>
      </c>
      <c r="CS945" s="352">
        <v>675</v>
      </c>
      <c r="CT945" s="352">
        <v>718</v>
      </c>
      <c r="CU945" s="313">
        <f>SUM(CQ945:CT945)</f>
      </c>
      <c r="CV945" s="352">
        <v>704</v>
      </c>
      <c r="CW945" s="352">
        <v>733</v>
      </c>
      <c r="CX945" s="352">
        <v>657</v>
      </c>
      <c r="CY945" s="352">
        <v>712</v>
      </c>
      <c r="CZ945" s="313">
        <f>SUM(CV945:CY945)</f>
      </c>
      <c r="DA945" s="352">
        <v>665</v>
      </c>
      <c r="DB945" s="352">
        <v>674</v>
      </c>
      <c r="DC945" s="577">
        <v>659</v>
      </c>
      <c r="DD945" s="1205">
        <v>720</v>
      </c>
      <c r="DE945" s="1835">
        <f>SUM(DA945:DD945)</f>
      </c>
      <c r="DF945" s="710">
        <v>690</v>
      </c>
      <c r="DG945" s="710">
        <v>562.4</v>
      </c>
      <c r="DH945" s="710">
        <v>660</v>
      </c>
      <c r="DI945" s="710">
        <v>767</v>
      </c>
      <c r="DJ945" s="1835">
        <f>SUM(DF945:DI945)</f>
      </c>
      <c r="DK945" s="710">
        <v>761</v>
      </c>
      <c r="DL945" s="710">
        <v>779</v>
      </c>
      <c r="DM945" s="710">
        <v>752</v>
      </c>
      <c r="DN945" s="710">
        <v>793</v>
      </c>
      <c r="DO945" s="1835">
        <f>SUM(DK945:DN945)</f>
      </c>
      <c r="DP945" s="710">
        <v>784</v>
      </c>
      <c r="DQ945" s="710">
        <v>756</v>
      </c>
      <c r="DR945" s="710">
        <v>737</v>
      </c>
      <c r="DS945" s="710">
        <v>731</v>
      </c>
      <c r="DT945" s="1835">
        <f>SUM(DP945:DS945)</f>
      </c>
      <c r="DU945" s="710">
        <v>785</v>
      </c>
      <c r="DV945" s="710">
        <v>824</v>
      </c>
      <c r="DW945" s="710">
        <v>775</v>
      </c>
      <c r="DX945" s="1839">
        <v>785</v>
      </c>
      <c r="DY945" s="1835">
        <f>SUM(DU945:DX945)</f>
      </c>
      <c r="DZ945" s="710">
        <v>788</v>
      </c>
      <c r="EA945" s="710">
        <v>818</v>
      </c>
      <c r="EB945" s="710">
        <v>790.5</v>
      </c>
      <c r="EC945" s="1552">
        <v>795</v>
      </c>
      <c r="ED945" s="1835">
        <f>SUM(DZ945:EC945)</f>
      </c>
      <c r="EE945" s="710">
        <v>778</v>
      </c>
      <c r="EF945" s="710">
        <v>825</v>
      </c>
      <c r="EG945" s="710">
        <v>823</v>
      </c>
      <c r="EH945" s="1542">
        <f>EI945-SUM(EE945:EG945)</f>
      </c>
      <c r="EI945" s="1835">
        <f>+ED945*(1+EI950)</f>
      </c>
      <c r="EJ945" s="1835">
        <f t="shared" si="2067"/>
      </c>
      <c r="EK945" s="1835">
        <f t="shared" si="2067"/>
      </c>
      <c r="EL945" s="1835">
        <f t="shared" si="2067"/>
      </c>
      <c r="EM945" s="1835">
        <f t="shared" si="2067"/>
      </c>
      <c r="EN945" s="1835">
        <f t="shared" si="2067"/>
      </c>
      <c r="EO945" s="477"/>
      <c r="EP945" s="477"/>
      <c r="EQ945" s="477"/>
      <c r="ER945" s="477"/>
      <c r="ES945" s="477"/>
      <c r="ET945" s="477"/>
      <c r="EU945" s="477"/>
      <c r="EV945" s="477"/>
      <c r="EW945" s="477"/>
      <c r="EX945" s="477"/>
    </row>
    <row r="946" spans="2:154">
      <c r="B946" s="334" t="s">
        <v>413</v>
      </c>
      <c r="C946" s="1577"/>
      <c r="D946" s="933"/>
      <c r="E946" s="933"/>
      <c r="F946" s="933"/>
      <c r="G946" s="933"/>
      <c r="H946" s="933"/>
      <c r="I946" s="31"/>
      <c r="J946" s="933"/>
      <c r="K946" s="933"/>
      <c r="L946" s="933"/>
      <c r="M946" s="933"/>
      <c r="N946" s="31"/>
      <c r="O946" s="31"/>
      <c r="P946" s="31"/>
      <c r="Q946" s="31"/>
      <c r="R946" s="31"/>
      <c r="S946" s="31"/>
      <c r="T946" s="31"/>
      <c r="U946" s="31"/>
      <c r="V946" s="31"/>
      <c r="W946" s="31"/>
      <c r="X946" s="313"/>
      <c r="Y946" s="31"/>
      <c r="Z946" s="31"/>
      <c r="AA946" s="31"/>
      <c r="AB946" s="31"/>
      <c r="AC946" s="313"/>
      <c r="AD946" s="31"/>
      <c r="AE946" s="31"/>
      <c r="AF946" s="31"/>
      <c r="AG946" s="31"/>
      <c r="AH946" s="313"/>
      <c r="AI946" s="933"/>
      <c r="AJ946" s="933"/>
      <c r="AK946" s="933"/>
      <c r="AL946" s="31"/>
      <c r="AM946" s="313"/>
      <c r="AN946" s="933"/>
      <c r="AO946" s="933"/>
      <c r="AP946" s="933"/>
      <c r="AQ946" s="933"/>
      <c r="AR946" s="313"/>
      <c r="AS946" s="933"/>
      <c r="AT946" s="933"/>
      <c r="AU946" s="933"/>
      <c r="AV946" s="933"/>
      <c r="AW946" s="313"/>
      <c r="AX946" s="933"/>
      <c r="AY946" s="933"/>
      <c r="AZ946" s="933"/>
      <c r="BA946" s="933"/>
      <c r="BB946" s="313"/>
      <c r="BC946" s="933"/>
      <c r="BD946" s="933"/>
      <c r="BE946" s="933"/>
      <c r="BF946" s="933"/>
      <c r="BG946" s="313"/>
      <c r="BH946" s="933"/>
      <c r="BI946" s="933"/>
      <c r="BJ946" s="933"/>
      <c r="BK946" s="933"/>
      <c r="BL946" s="313"/>
      <c r="BM946" s="933">
        <f>+BM944+BM945</f>
      </c>
      <c r="BN946" s="933">
        <f>+BN944+BN945</f>
      </c>
      <c r="BO946" s="933">
        <f>+BO944+BO945</f>
      </c>
      <c r="BP946" s="933">
        <f>+BP944+BP945</f>
      </c>
      <c r="BQ946" s="313"/>
      <c r="BR946" s="933"/>
      <c r="BS946" s="933"/>
      <c r="BT946" s="933"/>
      <c r="BU946" s="933"/>
      <c r="BV946" s="313"/>
      <c r="BW946" s="933"/>
      <c r="BX946" s="933"/>
      <c r="BY946" s="933"/>
      <c r="BZ946" s="933"/>
      <c r="CA946" s="313"/>
      <c r="CB946" s="933">
        <f>SUM(CB944:CB945)</f>
      </c>
      <c r="CC946" s="933">
        <f>SUM(CC944:CC945)</f>
      </c>
      <c r="CD946" s="933">
        <f>SUM(CD944:CD945)</f>
      </c>
      <c r="CE946" s="933">
        <f>SUM(CE944:CE945)</f>
      </c>
      <c r="CF946" s="313">
        <f>SUM(CB946:CE946)</f>
      </c>
      <c r="CG946" s="933">
        <f>SUM(CG944:CG945)</f>
      </c>
      <c r="CH946" s="933">
        <f>SUM(CH944:CH945)</f>
      </c>
      <c r="CI946" s="933">
        <f>SUM(CI944:CI945)</f>
      </c>
      <c r="CJ946" s="933">
        <f>SUM(CJ944:CJ945)</f>
      </c>
      <c r="CK946" s="313">
        <f>SUM(CG946:CJ946)</f>
      </c>
      <c r="CL946" s="3008">
        <f>SUM(CL944:CL945)</f>
      </c>
      <c r="CM946" s="3008">
        <f>SUM(CM944:CM945)</f>
      </c>
      <c r="CN946" s="3008">
        <f>SUM(CN944:CN945)</f>
      </c>
      <c r="CO946" s="3008">
        <f>SUM(CO944:CO945)</f>
      </c>
      <c r="CP946" s="3010">
        <f>SUM(CL946:CO946)</f>
      </c>
      <c r="CQ946" s="933">
        <f>+CQ944+CQ945</f>
      </c>
      <c r="CR946" s="933">
        <f>+CR944+CR945</f>
      </c>
      <c r="CS946" s="933">
        <f>+CS944+CS945</f>
      </c>
      <c r="CT946" s="933">
        <f>+CT944+CT945</f>
      </c>
      <c r="CU946" s="313">
        <f>SUM(CQ946:CT946)</f>
      </c>
      <c r="CV946" s="933">
        <f>+CV944+CV945</f>
      </c>
      <c r="CW946" s="933">
        <f>+CW944+CW945</f>
      </c>
      <c r="CX946" s="933">
        <f>+CX944+CX945</f>
      </c>
      <c r="CY946" s="933">
        <f>+CY944+CY945</f>
      </c>
      <c r="CZ946" s="313">
        <f>SUM(CV946:CY946)</f>
      </c>
      <c r="DA946" s="933">
        <f>+DA944+DA945</f>
      </c>
      <c r="DB946" s="933">
        <f>SUM(DB944:DB945)</f>
      </c>
      <c r="DC946" s="36">
        <f>SUM(DC944:DC945)</f>
      </c>
      <c r="DD946" s="984">
        <f>+DD944+DD945</f>
      </c>
      <c r="DE946" s="1835">
        <f>SUM(DA946:DD946)</f>
      </c>
      <c r="DF946" s="1542">
        <f>SUM(DF944:DF945)</f>
      </c>
      <c r="DG946" s="1542">
        <f>SUM(DG944:DG945)</f>
      </c>
      <c r="DH946" s="1542">
        <f>SUM(DH944:DH945)</f>
      </c>
      <c r="DI946" s="1542">
        <f>+DI944+DI945</f>
      </c>
      <c r="DJ946" s="1835">
        <f>SUM(DF946:DI946)</f>
      </c>
      <c r="DK946" s="1542">
        <f>SUM(DK944:DK945)</f>
      </c>
      <c r="DL946" s="1542">
        <f>SUM(DL944:DL945)</f>
      </c>
      <c r="DM946" s="1542">
        <f>SUM(DM944:DM945)</f>
      </c>
      <c r="DN946" s="1542">
        <f>SUM(DN944:DN945)</f>
      </c>
      <c r="DO946" s="1835">
        <f>SUM(DK946:DN946)</f>
      </c>
      <c r="DP946" s="1542">
        <f>SUM(DP944:DP945)</f>
      </c>
      <c r="DQ946" s="1542">
        <f>SUM(DQ944:DQ945)</f>
      </c>
      <c r="DR946" s="1542">
        <f>SUM(DR944:DR945)</f>
      </c>
      <c r="DS946" s="1542">
        <f>SUM(DS944:DS945)</f>
      </c>
      <c r="DT946" s="1835">
        <f>SUM(DP946:DS946)</f>
      </c>
      <c r="DU946" s="1542">
        <f>SUM(DU944:DU945)</f>
      </c>
      <c r="DV946" s="1542">
        <f>SUM(DV944:DV945)</f>
      </c>
      <c r="DW946" s="1542">
        <f>SUM(DW944:DW945)</f>
      </c>
      <c r="DX946" s="1556">
        <f>SUM(DX944:DX945)</f>
      </c>
      <c r="DY946" s="1835">
        <f>SUM(DU946:DX946)</f>
      </c>
      <c r="DZ946" s="1542">
        <f>SUM(DZ944:DZ945)</f>
      </c>
      <c r="EA946" s="1542">
        <f>SUM(EA944:EA945)</f>
      </c>
      <c r="EB946" s="1542">
        <f>SUM(EB944:EB945)</f>
      </c>
      <c r="EC946" s="1553">
        <f>SUM(EC944:EC945)</f>
      </c>
      <c r="ED946" s="1835">
        <f>SUM(DZ946:EC946)</f>
      </c>
      <c r="EE946" s="1542">
        <f>SUM(EE944:EE945)</f>
      </c>
      <c r="EF946" s="1542">
        <f>SUM(EF944:EF945)</f>
      </c>
      <c r="EG946" s="1542">
        <f>SUM(EG944:EG945)</f>
      </c>
      <c r="EH946" s="1542">
        <f>SUM(EH944:EH945)</f>
      </c>
      <c r="EI946" s="1835">
        <f t="shared" ref="EI946:EM946" si="2068">+EI944+EI945</f>
      </c>
      <c r="EJ946" s="1835">
        <f>+EJ944+EJ945</f>
      </c>
      <c r="EK946" s="1835">
        <f t="shared" si="2068"/>
      </c>
      <c r="EL946" s="1835">
        <f t="shared" si="2068"/>
      </c>
      <c r="EM946" s="1835">
        <f t="shared" si="2068"/>
      </c>
      <c r="EN946" s="1835">
        <f>+EN944+EN945</f>
      </c>
      <c r="EO946" s="477"/>
      <c r="EP946" s="477"/>
      <c r="EQ946" s="477"/>
      <c r="ER946" s="477"/>
      <c r="ES946" s="477"/>
      <c r="ET946" s="477"/>
      <c r="EU946" s="477"/>
      <c r="EV946" s="477"/>
      <c r="EW946" s="477"/>
      <c r="EX946" s="477"/>
    </row>
    <row r="947" spans="2:154">
      <c r="B947" s="334"/>
      <c r="C947" s="1577"/>
      <c r="D947" s="933"/>
      <c r="E947" s="933"/>
      <c r="F947" s="933"/>
      <c r="G947" s="933"/>
      <c r="H947" s="933"/>
      <c r="I947" s="31"/>
      <c r="J947" s="933"/>
      <c r="K947" s="933"/>
      <c r="L947" s="933"/>
      <c r="M947" s="933"/>
      <c r="N947" s="31"/>
      <c r="O947" s="31"/>
      <c r="P947" s="31"/>
      <c r="Q947" s="31"/>
      <c r="R947" s="31"/>
      <c r="S947" s="31"/>
      <c r="T947" s="31"/>
      <c r="U947" s="31"/>
      <c r="V947" s="31"/>
      <c r="W947" s="31"/>
      <c r="X947" s="313"/>
      <c r="Y947" s="31"/>
      <c r="Z947" s="31"/>
      <c r="AA947" s="31"/>
      <c r="AB947" s="31"/>
      <c r="AC947" s="313"/>
      <c r="AD947" s="31"/>
      <c r="AE947" s="31"/>
      <c r="AF947" s="31"/>
      <c r="AG947" s="31"/>
      <c r="AH947" s="313"/>
      <c r="AI947" s="933"/>
      <c r="AJ947" s="933"/>
      <c r="AK947" s="933"/>
      <c r="AL947" s="31"/>
      <c r="AM947" s="313"/>
      <c r="AN947" s="933"/>
      <c r="AO947" s="933"/>
      <c r="AP947" s="933"/>
      <c r="AQ947" s="933"/>
      <c r="AR947" s="313"/>
      <c r="AS947" s="933"/>
      <c r="AT947" s="933"/>
      <c r="AU947" s="933"/>
      <c r="AV947" s="933"/>
      <c r="AW947" s="313"/>
      <c r="AX947" s="933"/>
      <c r="AY947" s="933"/>
      <c r="AZ947" s="933"/>
      <c r="BA947" s="933"/>
      <c r="BB947" s="313"/>
      <c r="BC947" s="933"/>
      <c r="BD947" s="933"/>
      <c r="BE947" s="933"/>
      <c r="BF947" s="933"/>
      <c r="BG947" s="313"/>
      <c r="BH947" s="933"/>
      <c r="BI947" s="933"/>
      <c r="BJ947" s="933"/>
      <c r="BK947" s="933"/>
      <c r="BL947" s="313"/>
      <c r="BM947" s="933"/>
      <c r="BN947" s="933"/>
      <c r="BO947" s="933"/>
      <c r="BP947" s="933"/>
      <c r="BQ947" s="313"/>
      <c r="BR947" s="933"/>
      <c r="BS947" s="933"/>
      <c r="BT947" s="933"/>
      <c r="BU947" s="933"/>
      <c r="BV947" s="313"/>
      <c r="BW947" s="933"/>
      <c r="BX947" s="933"/>
      <c r="BY947" s="933"/>
      <c r="BZ947" s="933"/>
      <c r="CA947" s="313"/>
      <c r="CB947" s="933"/>
      <c r="CC947" s="933"/>
      <c r="CD947" s="933"/>
      <c r="CE947" s="933"/>
      <c r="CF947" s="313"/>
      <c r="CG947" s="933"/>
      <c r="CH947" s="933"/>
      <c r="CI947" s="933"/>
      <c r="CJ947" s="933"/>
      <c r="CK947" s="313"/>
      <c r="CL947" s="933"/>
      <c r="CM947" s="933"/>
      <c r="CN947" s="933"/>
      <c r="CO947" s="933"/>
      <c r="CP947" s="313"/>
      <c r="CQ947" s="933"/>
      <c r="CR947" s="933"/>
      <c r="CS947" s="933"/>
      <c r="CT947" s="933"/>
      <c r="CU947" s="313"/>
      <c r="CV947" s="933"/>
      <c r="CW947" s="933"/>
      <c r="CX947" s="933"/>
      <c r="CY947" s="933"/>
      <c r="CZ947" s="313"/>
      <c r="DA947" s="933"/>
      <c r="DB947" s="31"/>
      <c r="DC947" s="31"/>
      <c r="DD947" s="955"/>
      <c r="DE947" s="477"/>
      <c r="DF947" s="982"/>
      <c r="DG947" s="603"/>
      <c r="DH947" s="603"/>
      <c r="DI947" s="603"/>
      <c r="DJ947" s="477"/>
      <c r="DK947" s="982"/>
      <c r="DL947" s="1915"/>
      <c r="DM947" s="603"/>
      <c r="DN947" s="1915"/>
      <c r="DO947" s="477"/>
      <c r="DP947" s="1915"/>
      <c r="DQ947" s="1915"/>
      <c r="DR947" s="1915"/>
      <c r="DS947" s="2257"/>
      <c r="DT947" s="477"/>
      <c r="DU947" s="2257"/>
      <c r="DV947" s="1915"/>
      <c r="DW947" s="1915"/>
      <c r="DX947" s="1946"/>
      <c r="DY947" s="477"/>
      <c r="DZ947" s="1915"/>
      <c r="EA947" s="1915"/>
      <c r="EB947" s="1915"/>
      <c r="EC947" s="3613"/>
      <c r="ED947" s="477"/>
      <c r="EE947" s="1915"/>
      <c r="EF947" s="1915"/>
      <c r="EG947" s="1915"/>
      <c r="EH947" s="2370"/>
      <c r="EI947" s="477"/>
      <c r="EJ947" s="477"/>
      <c r="EK947" s="477"/>
      <c r="EL947" s="477"/>
      <c r="EM947" s="477"/>
      <c r="EN947" s="477"/>
      <c r="EO947" s="477"/>
      <c r="EP947" s="477"/>
      <c r="EQ947" s="477"/>
      <c r="ER947" s="477"/>
      <c r="ES947" s="477"/>
      <c r="ET947" s="477"/>
      <c r="EU947" s="477"/>
      <c r="EV947" s="477"/>
      <c r="EW947" s="477"/>
      <c r="EX947" s="477"/>
    </row>
    <row r="948" spans="2:154">
      <c r="B948" s="453" t="s">
        <v>943</v>
      </c>
      <c r="C948" s="1577"/>
      <c r="D948" s="933"/>
      <c r="E948" s="933"/>
      <c r="F948" s="933"/>
      <c r="G948" s="933"/>
      <c r="H948" s="933"/>
      <c r="I948" s="31"/>
      <c r="J948" s="933"/>
      <c r="K948" s="933"/>
      <c r="L948" s="933"/>
      <c r="M948" s="933"/>
      <c r="N948" s="31"/>
      <c r="O948" s="31"/>
      <c r="P948" s="31"/>
      <c r="Q948" s="31"/>
      <c r="R948" s="31"/>
      <c r="S948" s="31"/>
      <c r="T948" s="31"/>
      <c r="U948" s="31"/>
      <c r="V948" s="31"/>
      <c r="W948" s="31"/>
      <c r="X948" s="313"/>
      <c r="Y948" s="31"/>
      <c r="Z948" s="31"/>
      <c r="AA948" s="31"/>
      <c r="AB948" s="31"/>
      <c r="AC948" s="313"/>
      <c r="AD948" s="31"/>
      <c r="AE948" s="31"/>
      <c r="AF948" s="31"/>
      <c r="AG948" s="31"/>
      <c r="AH948" s="313"/>
      <c r="AI948" s="933"/>
      <c r="AJ948" s="933"/>
      <c r="AK948" s="933"/>
      <c r="AL948" s="31"/>
      <c r="AM948" s="313"/>
      <c r="AN948" s="933"/>
      <c r="AO948" s="933"/>
      <c r="AP948" s="933"/>
      <c r="AQ948" s="933"/>
      <c r="AR948" s="313"/>
      <c r="AS948" s="933"/>
      <c r="AT948" s="933"/>
      <c r="AU948" s="933"/>
      <c r="AV948" s="933"/>
      <c r="AW948" s="313"/>
      <c r="AX948" s="933"/>
      <c r="AY948" s="933"/>
      <c r="AZ948" s="933"/>
      <c r="BA948" s="933"/>
      <c r="BB948" s="313"/>
      <c r="BC948" s="933"/>
      <c r="BD948" s="933"/>
      <c r="BE948" s="933"/>
      <c r="BF948" s="933"/>
      <c r="BG948" s="313"/>
      <c r="BH948" s="933"/>
      <c r="BI948" s="933"/>
      <c r="BJ948" s="933"/>
      <c r="BK948" s="933"/>
      <c r="BL948" s="313"/>
      <c r="BM948" s="933"/>
      <c r="BN948" s="933"/>
      <c r="BO948" s="933"/>
      <c r="BP948" s="933"/>
      <c r="BQ948" s="313"/>
      <c r="BR948" s="933"/>
      <c r="BS948" s="933"/>
      <c r="BT948" s="933"/>
      <c r="BU948" s="933"/>
      <c r="BV948" s="313"/>
      <c r="BW948" s="933"/>
      <c r="BX948" s="933"/>
      <c r="BY948" s="933"/>
      <c r="BZ948" s="933"/>
      <c r="CA948" s="313"/>
      <c r="CB948" s="933"/>
      <c r="CC948" s="933"/>
      <c r="CD948" s="933"/>
      <c r="CE948" s="933"/>
      <c r="CF948" s="313"/>
      <c r="CG948" s="933"/>
      <c r="CH948" s="933"/>
      <c r="CI948" s="933"/>
      <c r="CJ948" s="933"/>
      <c r="CK948" s="313"/>
      <c r="CL948" s="933"/>
      <c r="CM948" s="933"/>
      <c r="CN948" s="933"/>
      <c r="CO948" s="933"/>
      <c r="CP948" s="313"/>
      <c r="CQ948" s="933"/>
      <c r="CR948" s="933"/>
      <c r="CS948" s="933"/>
      <c r="CT948" s="933"/>
      <c r="CU948" s="313"/>
      <c r="CV948" s="933"/>
      <c r="CW948" s="933"/>
      <c r="CX948" s="933"/>
      <c r="CY948" s="933"/>
      <c r="CZ948" s="313"/>
      <c r="DA948" s="933"/>
      <c r="DB948" s="31"/>
      <c r="DC948" s="31"/>
      <c r="DD948" s="955"/>
      <c r="DE948" s="477"/>
      <c r="DF948" s="982"/>
      <c r="DG948" s="603"/>
      <c r="DH948" s="603"/>
      <c r="DI948" s="603"/>
      <c r="DJ948" s="477"/>
      <c r="DK948" s="982"/>
      <c r="DL948" s="1915"/>
      <c r="DM948" s="603"/>
      <c r="DN948" s="1915"/>
      <c r="DO948" s="477"/>
      <c r="DP948" s="1915"/>
      <c r="DQ948" s="1915"/>
      <c r="DR948" s="1915"/>
      <c r="DS948" s="2257"/>
      <c r="DT948" s="477"/>
      <c r="DU948" s="2257"/>
      <c r="DV948" s="1915"/>
      <c r="DW948" s="1915"/>
      <c r="DX948" s="1946"/>
      <c r="DY948" s="477"/>
      <c r="DZ948" s="1915"/>
      <c r="EA948" s="1915"/>
      <c r="EB948" s="1915"/>
      <c r="EC948" s="3613"/>
      <c r="ED948" s="1811"/>
      <c r="EE948" s="1915"/>
      <c r="EF948" s="1915"/>
      <c r="EG948" s="1915"/>
      <c r="EH948" s="2370"/>
      <c r="EI948" s="477"/>
      <c r="EJ948" s="477"/>
      <c r="EK948" s="1798"/>
      <c r="EL948" s="1798"/>
      <c r="EM948" s="1798"/>
      <c r="EN948" s="1798"/>
      <c r="EO948" s="477"/>
      <c r="EP948" s="477"/>
      <c r="EQ948" s="477"/>
      <c r="ER948" s="477"/>
      <c r="ES948" s="477"/>
      <c r="ET948" s="477"/>
      <c r="EU948" s="477"/>
      <c r="EV948" s="477"/>
      <c r="EW948" s="477"/>
      <c r="EX948" s="477"/>
    </row>
    <row r="949" spans="2:154">
      <c r="B949" s="454" t="s">
        <v>187</v>
      </c>
      <c r="C949" s="1577"/>
      <c r="D949" s="933"/>
      <c r="E949" s="933"/>
      <c r="F949" s="933"/>
      <c r="G949" s="933"/>
      <c r="H949" s="933"/>
      <c r="I949" s="31"/>
      <c r="J949" s="933"/>
      <c r="K949" s="933"/>
      <c r="L949" s="933"/>
      <c r="M949" s="933"/>
      <c r="N949" s="31"/>
      <c r="O949" s="31"/>
      <c r="P949" s="31"/>
      <c r="Q949" s="31"/>
      <c r="R949" s="31"/>
      <c r="S949" s="31"/>
      <c r="T949" s="31"/>
      <c r="U949" s="31"/>
      <c r="V949" s="31"/>
      <c r="W949" s="31"/>
      <c r="X949" s="313"/>
      <c r="Y949" s="31"/>
      <c r="Z949" s="31"/>
      <c r="AA949" s="31"/>
      <c r="AB949" s="31"/>
      <c r="AC949" s="313"/>
      <c r="AD949" s="31"/>
      <c r="AE949" s="31"/>
      <c r="AF949" s="31"/>
      <c r="AG949" s="31"/>
      <c r="AH949" s="313"/>
      <c r="AI949" s="933"/>
      <c r="AJ949" s="933"/>
      <c r="AK949" s="933"/>
      <c r="AL949" s="31"/>
      <c r="AM949" s="313"/>
      <c r="AN949" s="933"/>
      <c r="AO949" s="933"/>
      <c r="AP949" s="933"/>
      <c r="AQ949" s="933"/>
      <c r="AR949" s="313"/>
      <c r="AS949" s="933"/>
      <c r="AT949" s="933"/>
      <c r="AU949" s="933"/>
      <c r="AV949" s="933"/>
      <c r="AW949" s="313"/>
      <c r="AX949" s="933"/>
      <c r="AY949" s="933"/>
      <c r="AZ949" s="933"/>
      <c r="BA949" s="933"/>
      <c r="BB949" s="313"/>
      <c r="BC949" s="933"/>
      <c r="BD949" s="933"/>
      <c r="BE949" s="933"/>
      <c r="BF949" s="933"/>
      <c r="BG949" s="313"/>
      <c r="BH949" s="933"/>
      <c r="BI949" s="933"/>
      <c r="BJ949" s="933"/>
      <c r="BK949" s="933"/>
      <c r="BL949" s="313"/>
      <c r="BM949" s="926" t="str">
        <f t="shared" ref="BM949:BP950" si="2069">IF(BH944="NM","NM",IF(BM944="NM","NM",IF(BH944&lt;=0,"NM",IF(BM944=0,"NM",IF(ABS(BM944/BH944-1)&gt;2.5,"NM",IF((ABS(BM944-BH944)=ABS(ABS(BM944)-ABS(BH944))),(BM944/BH944-1),"NM"))))))</f>
      </c>
      <c r="BN949" s="926" t="str">
        <f t="shared" si="2069"/>
      </c>
      <c r="BO949" s="926" t="str">
        <f t="shared" si="2069"/>
      </c>
      <c r="BP949" s="926" t="str">
        <f t="shared" si="2069"/>
      </c>
      <c r="BQ949" s="1060"/>
      <c r="BR949" s="926"/>
      <c r="BS949" s="926"/>
      <c r="BT949" s="926"/>
      <c r="BU949" s="926"/>
      <c r="BV949" s="1060"/>
      <c r="BW949" s="926"/>
      <c r="BX949" s="926"/>
      <c r="BY949" s="926"/>
      <c r="BZ949" s="926"/>
      <c r="CA949" s="2248"/>
      <c r="CB949" s="926"/>
      <c r="CC949" s="926"/>
      <c r="CD949" s="926"/>
      <c r="CE949" s="926"/>
      <c r="CF949" s="2248"/>
      <c r="CG949" s="926">
        <f t="shared" ref="CG949:CX950" si="2070">IF(CB944="NM","NM",IF(CG944="NM","NM",IF(CB944&lt;=0,"NM",IF(CG944=0,"NM",IF(ABS(CG944/CB944-1)&gt;2.5,"NM",IF((ABS(CG944-CB944)=ABS(ABS(CG944)-ABS(CB944))),(CG944/CB944-1),"NM"))))))</f>
      </c>
      <c r="CH949" s="926">
        <f t="shared" si="2070"/>
      </c>
      <c r="CI949" s="926">
        <f t="shared" si="2070"/>
      </c>
      <c r="CJ949" s="926">
        <f t="shared" si="2070"/>
      </c>
      <c r="CK949" s="1060">
        <f t="shared" si="2070"/>
      </c>
      <c r="CL949" s="926">
        <f t="shared" si="2070"/>
      </c>
      <c r="CM949" s="926">
        <f t="shared" si="2070"/>
      </c>
      <c r="CN949" s="926">
        <f t="shared" si="2070"/>
      </c>
      <c r="CO949" s="926">
        <f t="shared" si="2070"/>
      </c>
      <c r="CP949" s="1060">
        <f>IF(CK944=0, 0, CP944/CK944-1)</f>
      </c>
      <c r="CQ949" s="926">
        <f t="shared" si="2070"/>
      </c>
      <c r="CR949" s="926">
        <f t="shared" si="2070"/>
      </c>
      <c r="CS949" s="926">
        <f t="shared" si="2070"/>
      </c>
      <c r="CT949" s="926">
        <f t="shared" si="2070"/>
      </c>
      <c r="CU949" s="1060">
        <f>IF(CP944=0, 0, CU944/CP944-1)</f>
      </c>
      <c r="CV949" s="926">
        <f t="shared" si="2070"/>
      </c>
      <c r="CW949" s="926">
        <f t="shared" si="2070"/>
      </c>
      <c r="CX949" s="926">
        <f t="shared" si="2070"/>
      </c>
      <c r="CY949" s="926">
        <f>IF(CT944="NM","NM",IF(CY944="NM","NM",IF(CT944&lt;=0,"NM",IF(CY944=0,"NM",IF(ABS(CY944/CT944-1)&gt;2.5,"NM",IF((ABS(CY944-CT944)=ABS(ABS(CY944)-ABS(CT944))),(CY944/CT944-1),"NM"))))))</f>
      </c>
      <c r="CZ949" s="1060">
        <f>IF(CU944=0, 0, CZ944/CU944-1)</f>
      </c>
      <c r="DA949" s="926">
        <f t="shared" ref="DA949:DC950" si="2071">IF(CV944="NM","NM",IF(DA944="NM","NM",IF(CV944&lt;=0,"NM",IF(DA944=0,"NM",IF(ABS(DA944/CV944-1)&gt;2.5,"NM",IF((ABS(DA944-CV944)=ABS(ABS(DA944)-ABS(CV944))),(DA944/CV944-1),"NM"))))))</f>
      </c>
      <c r="DB949" s="926">
        <f t="shared" si="2071"/>
      </c>
      <c r="DC949" s="926">
        <f t="shared" si="2071"/>
      </c>
      <c r="DD949" s="928">
        <f>IF(DD944=0,"NM",+DD944/CY944-1)</f>
      </c>
      <c r="DE949" s="1060">
        <f>IF(CZ944=0, 0, DE944/CZ944-1)</f>
      </c>
      <c r="DF949" s="926">
        <f t="shared" ref="DF949:DJ950" si="2072">DF944/(DA944+DA956)-1</f>
      </c>
      <c r="DG949" s="926">
        <f t="shared" si="2072"/>
      </c>
      <c r="DH949" s="926">
        <f t="shared" si="2072"/>
      </c>
      <c r="DI949" s="926">
        <f t="shared" si="2072"/>
      </c>
      <c r="DJ949" s="1060">
        <f t="shared" si="2072"/>
      </c>
      <c r="DK949" s="926">
        <f t="shared" ref="DK949:DM950" si="2073">IF(DF944="NM","NM",IF(DK944="NM","NM",IF(DF944&lt;=0,"NM",IF(DK944=0,"NM",IF(ABS(DK944/DF944-1)&gt;2.5,"NM",IF((ABS(DK944-DF944)=ABS(ABS(DK944)-ABS(DF944))),(DK944/DF944-1),"NM"))))))</f>
      </c>
      <c r="DL949" s="926">
        <f t="shared" si="2073"/>
      </c>
      <c r="DM949" s="926">
        <f t="shared" si="2073"/>
      </c>
      <c r="DN949" s="928">
        <f>IF(DN944=0,"NM",+DN944/DI944-1)</f>
      </c>
      <c r="DO949" s="1060">
        <f>IF(DJ944=0, 0, DO944/DJ944-1)</f>
      </c>
      <c r="DP949" s="926">
        <f t="shared" ref="DP949:DR950" si="2074">IF(DK944="NM","NM",IF(DP944="NM","NM",IF(DK944&lt;=0,"NM",IF(DP944=0,"NM",IF(ABS(DP944/DK944-1)&gt;2.5,"NM",IF((ABS(DP944-DK944)=ABS(ABS(DP944)-ABS(DK944))),(DP944/DK944-1),"NM"))))))</f>
      </c>
      <c r="DQ949" s="926">
        <f t="shared" si="2074"/>
      </c>
      <c r="DR949" s="926">
        <f t="shared" si="2074"/>
      </c>
      <c r="DS949" s="926">
        <f>IF(DN944=0, 0, DS944/DN944-1)</f>
      </c>
      <c r="DT949" s="1060">
        <f>IF(DO944=0, 0, DT944/DO944-1)</f>
      </c>
      <c r="DU949" s="926">
        <f>IF(DP944=0, 0, DU944/DP944-1)</f>
      </c>
      <c r="DV949" s="926">
        <f>IF(DQ944=0, 0, DV944/DQ944-1)</f>
      </c>
      <c r="DW949" s="926">
        <f>IF(DR944="NM","NM",IF(DW944="NM","NM",IF(DR944&lt;=0,"NM",IF(DW944=0,"NM",IF(ABS(DW944/DR944-1)&gt;2.5,"NM",IF((ABS(DW944-DR944)=ABS(ABS(DW944)-ABS(DR944))),(DW944/DR944-1),"NM"))))))</f>
      </c>
      <c r="DX949" s="928">
        <f>IF(DS944="NM","NM",IF(DX944="NM","NM",IF(DS944&lt;=0,"NM",IF(DX944=0,"NM",IF(ABS(DX944/DS944-1)&gt;2.5,"NM",IF((ABS(DX944-DS944)=ABS(ABS(DX944)-ABS(DS944))),(DX944/DS944-1),"NM"))))))</f>
      </c>
      <c r="DY949" s="1060">
        <f>IF(DT944=0, 0, DY944/DT944-1)</f>
      </c>
      <c r="DZ949" s="926">
        <f t="shared" ref="DZ949:EB950" si="2075">IF(DU944="NM","NM",IF(DZ944="NM","NM",IF(DU944&lt;=0,"NM",IF(DZ944=0,"NM",IF(ABS(DZ944/DU944-1)&gt;2.5,"NM",IF((ABS(DZ944-DU944)=ABS(ABS(DZ944)-ABS(DU944))),(DZ944/DU944-1),"NM"))))))</f>
      </c>
      <c r="EA949" s="926">
        <f t="shared" si="2075"/>
      </c>
      <c r="EB949" s="926">
        <f t="shared" si="2075"/>
      </c>
      <c r="EC949" s="1235">
        <f>IF(DX944="NM","NM",IF(EC944="NM","NM",IF(DX944&lt;=0,"NM",IF(EC944=0,"NM",IF(ABS(EC944/DX944-1)&gt;2.5,"NM",IF((ABS(EC944-DX944)=ABS(ABS(EC944)-ABS(DX944))),(EC944/DX944-1),"NM"))))))</f>
      </c>
      <c r="ED949" s="1536">
        <f>IF(DY944=0, 0, ED944/DY944-1)</f>
      </c>
      <c r="EE949" s="926">
        <f t="shared" ref="EE949:EG950" si="2076">IF(DZ944="NM","NM",IF(EE944="NM","NM",IF(DZ944&lt;=0,"NM",IF(EE944=0,"NM",IF(ABS(EE944/DZ944-1)&gt;2.5,"NM",IF((ABS(EE944-DZ944)=ABS(ABS(EE944)-ABS(DZ944))),(EE944/DZ944-1),"NM"))))))</f>
      </c>
      <c r="EF949" s="926">
        <f t="shared" si="2076"/>
      </c>
      <c r="EG949" s="926">
        <f t="shared" si="2076"/>
      </c>
      <c r="EH949" s="926">
        <f>+EH944/EC944-1</f>
      </c>
      <c r="EI949" s="317">
        <v>0.03</v>
      </c>
      <c r="EJ949" s="317">
        <v>0.02</v>
      </c>
      <c r="EK949" s="836">
        <v>0.01</v>
      </c>
      <c r="EL949" s="836">
        <v>0.01</v>
      </c>
      <c r="EM949" s="836">
        <v>0.01</v>
      </c>
      <c r="EN949" s="836">
        <v>0.01</v>
      </c>
      <c r="EO949" s="673"/>
      <c r="EP949" s="673"/>
      <c r="EQ949" s="673"/>
      <c r="ER949" s="673"/>
      <c r="ES949" s="673"/>
      <c r="ET949" s="673"/>
      <c r="EU949" s="673"/>
      <c r="EV949" s="673"/>
      <c r="EW949" s="673"/>
      <c r="EX949" s="673"/>
    </row>
    <row r="950" spans="2:154">
      <c r="B950" s="454" t="s">
        <v>412</v>
      </c>
      <c r="C950" s="1577"/>
      <c r="D950" s="933"/>
      <c r="E950" s="933"/>
      <c r="F950" s="933"/>
      <c r="G950" s="933"/>
      <c r="H950" s="933"/>
      <c r="I950" s="31"/>
      <c r="J950" s="933"/>
      <c r="K950" s="933"/>
      <c r="L950" s="933"/>
      <c r="M950" s="933"/>
      <c r="N950" s="31"/>
      <c r="O950" s="31"/>
      <c r="P950" s="31"/>
      <c r="Q950" s="31"/>
      <c r="R950" s="31"/>
      <c r="S950" s="31"/>
      <c r="T950" s="31"/>
      <c r="U950" s="31"/>
      <c r="V950" s="31"/>
      <c r="W950" s="31"/>
      <c r="X950" s="313"/>
      <c r="Y950" s="31"/>
      <c r="Z950" s="31"/>
      <c r="AA950" s="31"/>
      <c r="AB950" s="31"/>
      <c r="AC950" s="313"/>
      <c r="AD950" s="31"/>
      <c r="AE950" s="31"/>
      <c r="AF950" s="31"/>
      <c r="AG950" s="31"/>
      <c r="AH950" s="313"/>
      <c r="AI950" s="933"/>
      <c r="AJ950" s="933"/>
      <c r="AK950" s="933"/>
      <c r="AL950" s="31"/>
      <c r="AM950" s="313"/>
      <c r="AN950" s="933"/>
      <c r="AO950" s="933"/>
      <c r="AP950" s="933"/>
      <c r="AQ950" s="933"/>
      <c r="AR950" s="313"/>
      <c r="AS950" s="933"/>
      <c r="AT950" s="933"/>
      <c r="AU950" s="933"/>
      <c r="AV950" s="933"/>
      <c r="AW950" s="313"/>
      <c r="AX950" s="933"/>
      <c r="AY950" s="933"/>
      <c r="AZ950" s="933"/>
      <c r="BA950" s="933"/>
      <c r="BB950" s="313"/>
      <c r="BC950" s="933"/>
      <c r="BD950" s="933"/>
      <c r="BE950" s="933"/>
      <c r="BF950" s="933"/>
      <c r="BG950" s="313"/>
      <c r="BH950" s="933"/>
      <c r="BI950" s="933"/>
      <c r="BJ950" s="933"/>
      <c r="BK950" s="933"/>
      <c r="BL950" s="313"/>
      <c r="BM950" s="926" t="str">
        <f t="shared" si="2069"/>
      </c>
      <c r="BN950" s="926" t="str">
        <f t="shared" si="2069"/>
      </c>
      <c r="BO950" s="926" t="str">
        <f t="shared" si="2069"/>
      </c>
      <c r="BP950" s="926" t="str">
        <f t="shared" si="2069"/>
      </c>
      <c r="BQ950" s="1060"/>
      <c r="BR950" s="926"/>
      <c r="BS950" s="926"/>
      <c r="BT950" s="926"/>
      <c r="BU950" s="926"/>
      <c r="BV950" s="1060"/>
      <c r="BW950" s="926"/>
      <c r="BX950" s="926"/>
      <c r="BY950" s="926"/>
      <c r="BZ950" s="926"/>
      <c r="CA950" s="1060"/>
      <c r="CB950" s="926"/>
      <c r="CC950" s="926"/>
      <c r="CD950" s="926"/>
      <c r="CE950" s="926"/>
      <c r="CF950" s="1060"/>
      <c r="CG950" s="926">
        <f t="shared" si="2070"/>
      </c>
      <c r="CH950" s="926">
        <f t="shared" si="2070"/>
      </c>
      <c r="CI950" s="926">
        <f t="shared" si="2070"/>
      </c>
      <c r="CJ950" s="926">
        <f t="shared" si="2070"/>
      </c>
      <c r="CK950" s="1060">
        <f t="shared" si="2070"/>
      </c>
      <c r="CL950" s="926">
        <f t="shared" si="2070"/>
      </c>
      <c r="CM950" s="926">
        <f t="shared" si="2070"/>
      </c>
      <c r="CN950" s="926">
        <f t="shared" si="2070"/>
      </c>
      <c r="CO950" s="926">
        <f t="shared" si="2070"/>
      </c>
      <c r="CP950" s="1060">
        <f>IF(CK945=0, "NA", CP945/CK945-1)</f>
      </c>
      <c r="CQ950" s="926">
        <f t="shared" si="2070"/>
      </c>
      <c r="CR950" s="926">
        <f t="shared" si="2070"/>
      </c>
      <c r="CS950" s="926">
        <f t="shared" si="2070"/>
      </c>
      <c r="CT950" s="926">
        <f t="shared" si="2070"/>
      </c>
      <c r="CU950" s="1060">
        <f>IF(CP945=0, "NA", CU945/CP945-1)</f>
      </c>
      <c r="CV950" s="926">
        <f t="shared" si="2070"/>
      </c>
      <c r="CW950" s="926">
        <f t="shared" si="2070"/>
      </c>
      <c r="CX950" s="926">
        <f t="shared" si="2070"/>
      </c>
      <c r="CY950" s="926">
        <f>IF(CT945="NM","NM",IF(CY945="NM","NM",IF(CT945&lt;=0,"NM",IF(CY945=0,"NM",IF(ABS(CY945/CT945-1)&gt;2.5,"NM",IF((ABS(CY945-CT945)=ABS(ABS(CY945)-ABS(CT945))),(CY945/CT945-1),"NM"))))))</f>
      </c>
      <c r="CZ950" s="1060">
        <f>IF(CU945=0, "NA", CZ945/CU945-1)</f>
      </c>
      <c r="DA950" s="926">
        <f t="shared" si="2071"/>
      </c>
      <c r="DB950" s="926">
        <f t="shared" si="2071"/>
      </c>
      <c r="DC950" s="926">
        <f t="shared" si="2071"/>
      </c>
      <c r="DD950" s="960">
        <f>IF(DD945=0, "NM", DD945/CY945-1)</f>
      </c>
      <c r="DE950" s="1060">
        <f>IF(CZ945=0, "NA", DE945/CZ945-1)</f>
      </c>
      <c r="DF950" s="926">
        <f t="shared" si="2072"/>
      </c>
      <c r="DG950" s="926">
        <f t="shared" si="2072"/>
      </c>
      <c r="DH950" s="926">
        <f t="shared" si="2072"/>
      </c>
      <c r="DI950" s="926">
        <f t="shared" si="2072"/>
      </c>
      <c r="DJ950" s="1060">
        <f t="shared" si="2072"/>
      </c>
      <c r="DK950" s="926">
        <f t="shared" si="2073"/>
      </c>
      <c r="DL950" s="926">
        <f t="shared" si="2073"/>
      </c>
      <c r="DM950" s="926">
        <f t="shared" si="2073"/>
      </c>
      <c r="DN950" s="928">
        <f>IF(DN945=0, "NM", DN945/DI945-1)</f>
      </c>
      <c r="DO950" s="1060">
        <f>IF(DJ945=0, "NA", DO945/DJ945-1)</f>
      </c>
      <c r="DP950" s="926">
        <f t="shared" si="2074"/>
      </c>
      <c r="DQ950" s="926">
        <f t="shared" si="2074"/>
      </c>
      <c r="DR950" s="926">
        <f t="shared" si="2074"/>
      </c>
      <c r="DS950" s="926">
        <f>IF(DN945=0, "NA", DS945/DN945-1)</f>
      </c>
      <c r="DT950" s="1060">
        <f>IF(DO945=0, "NA", DT945/DO945-1)</f>
      </c>
      <c r="DU950" s="926">
        <f>IF(DP945=0, "NA", DU945/DP945-1)</f>
      </c>
      <c r="DV950" s="926">
        <f>IF(DQ945=0, "NA", DV945/DQ945-1)</f>
      </c>
      <c r="DW950" s="926">
        <f>IF(DR945="NM","NM",IF(DW945="NM","NM",IF(DR945&lt;=0,"NM",IF(DW945=0,"NM",IF(ABS(DW945/DR945-1)&gt;2.5,"NM",IF((ABS(DW945-DR945)=ABS(ABS(DW945)-ABS(DR945))),(DW945/DR945-1),"NM"))))))</f>
      </c>
      <c r="DX950" s="928">
        <f>IF(DS945="NM","NM",IF(DX945="NM","NM",IF(DS945&lt;=0,"NM",IF(DX945=0,"NM",IF(ABS(DX945/DS945-1)&gt;2.5,"NM",IF((ABS(DX945-DS945)=ABS(ABS(DX945)-ABS(DS945))),(DX945/DS945-1),"NM"))))))</f>
      </c>
      <c r="DY950" s="1060">
        <f>IF(DT945=0, "NA", DY945/DT945-1)</f>
      </c>
      <c r="DZ950" s="926">
        <f t="shared" si="2075"/>
      </c>
      <c r="EA950" s="926">
        <f t="shared" si="2075"/>
      </c>
      <c r="EB950" s="926">
        <f t="shared" si="2075"/>
      </c>
      <c r="EC950" s="1235">
        <f>IF(DX945="NM","NM",IF(EC945="NM","NM",IF(DX945&lt;=0,"NM",IF(EC945=0,"NM",IF(ABS(EC945/DX945-1)&gt;2.5,"NM",IF((ABS(EC945-DX945)=ABS(ABS(EC945)-ABS(DX945))),(EC945/DX945-1),"NM"))))))</f>
      </c>
      <c r="ED950" s="1536">
        <f>IF(DY945=0, "NA", ED945/DY945-1)</f>
      </c>
      <c r="EE950" s="926">
        <f t="shared" si="2076"/>
      </c>
      <c r="EF950" s="926">
        <f t="shared" si="2076"/>
      </c>
      <c r="EG950" s="926">
        <f t="shared" si="2076"/>
      </c>
      <c r="EH950" s="926">
        <f>+EH945/EC945-1</f>
      </c>
      <c r="EI950" s="2635">
        <f t="shared" ref="EI950:EN950" si="2077">EI951+EI$1370</f>
      </c>
      <c r="EJ950" s="2635">
        <f t="shared" si="2077"/>
      </c>
      <c r="EK950" s="2844">
        <f t="shared" si="2077"/>
      </c>
      <c r="EL950" s="2844">
        <f t="shared" si="2077"/>
      </c>
      <c r="EM950" s="2844">
        <f t="shared" si="2077"/>
      </c>
      <c r="EN950" s="2844">
        <f t="shared" si="2077"/>
      </c>
      <c r="EO950" s="1060"/>
      <c r="EP950" s="1060"/>
      <c r="EQ950" s="1060"/>
      <c r="ER950" s="1060"/>
      <c r="ES950" s="1060"/>
      <c r="ET950" s="1060"/>
      <c r="EU950" s="1060"/>
      <c r="EV950" s="1060"/>
      <c r="EW950" s="1060"/>
      <c r="EX950" s="1060"/>
    </row>
    <row r="951" spans="2:154">
      <c r="B951" s="454" t="s">
        <v>256</v>
      </c>
      <c r="C951" s="1577"/>
      <c r="D951" s="933"/>
      <c r="E951" s="933"/>
      <c r="F951" s="933"/>
      <c r="G951" s="933"/>
      <c r="H951" s="933"/>
      <c r="I951" s="31"/>
      <c r="J951" s="933"/>
      <c r="K951" s="933"/>
      <c r="L951" s="933"/>
      <c r="M951" s="933"/>
      <c r="N951" s="31"/>
      <c r="O951" s="31"/>
      <c r="P951" s="31"/>
      <c r="Q951" s="31"/>
      <c r="R951" s="31"/>
      <c r="S951" s="31"/>
      <c r="T951" s="31"/>
      <c r="U951" s="31"/>
      <c r="V951" s="31"/>
      <c r="W951" s="31"/>
      <c r="X951" s="313"/>
      <c r="Y951" s="31"/>
      <c r="Z951" s="31"/>
      <c r="AA951" s="31"/>
      <c r="AB951" s="31"/>
      <c r="AC951" s="313"/>
      <c r="AD951" s="31"/>
      <c r="AE951" s="31"/>
      <c r="AF951" s="31"/>
      <c r="AG951" s="31"/>
      <c r="AH951" s="313"/>
      <c r="AI951" s="933"/>
      <c r="AJ951" s="933"/>
      <c r="AK951" s="933"/>
      <c r="AL951" s="31"/>
      <c r="AM951" s="313"/>
      <c r="AN951" s="933"/>
      <c r="AO951" s="933"/>
      <c r="AP951" s="933"/>
      <c r="AQ951" s="933"/>
      <c r="AR951" s="313"/>
      <c r="AS951" s="933"/>
      <c r="AT951" s="933"/>
      <c r="AU951" s="933"/>
      <c r="AV951" s="933"/>
      <c r="AW951" s="313"/>
      <c r="AX951" s="933"/>
      <c r="AY951" s="933"/>
      <c r="AZ951" s="933"/>
      <c r="BA951" s="933"/>
      <c r="BB951" s="313"/>
      <c r="BC951" s="933"/>
      <c r="BD951" s="933"/>
      <c r="BE951" s="933"/>
      <c r="BF951" s="933"/>
      <c r="BG951" s="313"/>
      <c r="BH951" s="933"/>
      <c r="BI951" s="933"/>
      <c r="BJ951" s="933"/>
      <c r="BK951" s="933"/>
      <c r="BL951" s="313"/>
      <c r="BM951" s="926" t="str">
        <f>IF(ISNUMBER(BM950),(1+BM950)/(1+BM$21)-1,"NM")</f>
      </c>
      <c r="BN951" s="926" t="str">
        <f>IF(ISNUMBER(BN950),(1+BN950)/(1+BN$21)-1,"NM")</f>
      </c>
      <c r="BO951" s="926" t="str">
        <f>IF(ISNUMBER(BO950),(1+BO950)/(1+BO$21)-1,"NM")</f>
      </c>
      <c r="BP951" s="925" t="str">
        <f>IF(ISNUMBER(BP950),(1+BP950)/(1+BP$21)-1,"NM")</f>
      </c>
      <c r="BQ951" s="1060"/>
      <c r="BR951" s="649"/>
      <c r="BS951" s="649"/>
      <c r="BT951" s="649"/>
      <c r="BU951" s="649"/>
      <c r="BV951" s="448"/>
      <c r="BW951" s="649"/>
      <c r="BX951" s="649"/>
      <c r="BY951" s="649"/>
      <c r="BZ951" s="836"/>
      <c r="CA951" s="448"/>
      <c r="CB951" s="29"/>
      <c r="CC951" s="649"/>
      <c r="CD951" s="649"/>
      <c r="CE951" s="836"/>
      <c r="CF951" s="448"/>
      <c r="CG951" s="926">
        <f>IF(ISNUMBER(CG950),(1+CG950)/(1+CG$21)-1,"NM")</f>
      </c>
      <c r="CH951" s="926">
        <f>IF(ISNUMBER(CH950),(1+CH950)/(1+CH$21)-1,"NM")</f>
      </c>
      <c r="CI951" s="926">
        <f>IF(ISNUMBER(CI950),(1+CI950)/(1+CI$21)-1,"NM")</f>
      </c>
      <c r="CJ951" s="29">
        <v>-1.2999999999999999E-2</v>
      </c>
      <c r="CK951" s="2248">
        <f>IF(ISNUMBER(CK950),(1+CK950)/(1+CK$21)-1,"NM")</f>
      </c>
      <c r="CL951" s="926">
        <f>IF(ISNUMBER(CL950),(1+CL950)/(1+CL$21)-1,"NM")</f>
      </c>
      <c r="CM951" s="926">
        <f>IF(ISNUMBER(CM950),(1+CM950)/(1+CM$21)-1,"NM")</f>
      </c>
      <c r="CN951" s="29">
        <v>-1.0999999999999999E-2</v>
      </c>
      <c r="CO951" s="29">
        <v>-2.9000000000000001E-2</v>
      </c>
      <c r="CP951" s="2248">
        <f>CP950-CP$21</f>
      </c>
      <c r="CQ951" s="29">
        <v>1.2E-2</v>
      </c>
      <c r="CR951" s="29">
        <v>-2E-3</v>
      </c>
      <c r="CS951" s="407">
        <v>2.8000000000000001E-2</v>
      </c>
      <c r="CT951" s="407">
        <v>0.01</v>
      </c>
      <c r="CU951" s="406">
        <v>1.2E-2</v>
      </c>
      <c r="CV951" s="29">
        <v>0</v>
      </c>
      <c r="CW951" s="29">
        <v>2.9000000000000001E-2</v>
      </c>
      <c r="CX951" s="29">
        <v>1.6E-2</v>
      </c>
      <c r="CY951" s="407">
        <v>3.9E-2</v>
      </c>
      <c r="CZ951" s="406">
        <v>2.1999999999999999E-2</v>
      </c>
      <c r="DA951" s="29">
        <v>1.6E-2</v>
      </c>
      <c r="DB951" s="29">
        <v>-2.4E-2</v>
      </c>
      <c r="DC951" s="29">
        <v>2.9000000000000001E-2</v>
      </c>
      <c r="DD951" s="1482">
        <v>3.3000000000000002E-2</v>
      </c>
      <c r="DE951" s="1060">
        <v>1.2999999999999999E-2</v>
      </c>
      <c r="DF951" s="29">
        <v>-0.126</v>
      </c>
      <c r="DG951" s="29">
        <v>-0.26</v>
      </c>
      <c r="DH951" s="29">
        <v>-0.13800000000000001</v>
      </c>
      <c r="DI951" s="649">
        <v>-9.8000000000000004E-2</v>
      </c>
      <c r="DJ951" s="1060">
        <v>-0.155</v>
      </c>
      <c r="DK951" s="29">
        <v>5.2999999999999999E-2</v>
      </c>
      <c r="DL951" s="29">
        <v>0.28899999999999998</v>
      </c>
      <c r="DM951" s="29">
        <v>0.11700000000000001</v>
      </c>
      <c r="DN951" s="1482">
        <v>5.2999999999999999E-2</v>
      </c>
      <c r="DO951" s="448">
        <v>0.11799999999999999</v>
      </c>
      <c r="DP951" s="649">
        <v>7.6999999999999999E-2</v>
      </c>
      <c r="DQ951" s="1741">
        <v>5.2999999999999999E-2</v>
      </c>
      <c r="DR951" s="1741">
        <v>8.7999999999999995E-2</v>
      </c>
      <c r="DS951" s="1741">
        <v>0.03</v>
      </c>
      <c r="DT951" s="448">
        <v>6.2E-2</v>
      </c>
      <c r="DU951" s="1741">
        <v>7.0000000000000007E-2</v>
      </c>
      <c r="DV951" s="1741">
        <v>0.13100000000000001</v>
      </c>
      <c r="DW951" s="1741">
        <v>6.5000000000000002E-2</v>
      </c>
      <c r="DX951" s="2870">
        <v>8.3000000000000004E-2</v>
      </c>
      <c r="DY951" s="448">
        <v>8.6999999999999994E-2</v>
      </c>
      <c r="DZ951" s="1741">
        <v>4.8000000000000001E-2</v>
      </c>
      <c r="EA951" s="1741">
        <v>4.4999999999999998E-2</v>
      </c>
      <c r="EB951" s="1741">
        <v>0.04</v>
      </c>
      <c r="EC951" s="3611">
        <v>0.04</v>
      </c>
      <c r="ED951" s="3623">
        <v>4.2999999999999997E-2</v>
      </c>
      <c r="EE951" s="1741">
        <v>2.3E-2</v>
      </c>
      <c r="EF951" s="1741">
        <v>-6.0000000000000001E-3</v>
      </c>
      <c r="EG951" s="1741">
        <v>2.1999999999999999E-2</v>
      </c>
      <c r="EH951" s="926">
        <f>EH950-EH$1370</f>
      </c>
      <c r="EI951" s="317">
        <v>0.01</v>
      </c>
      <c r="EJ951" s="317">
        <v>0.03</v>
      </c>
      <c r="EK951" s="317">
        <v>0.03</v>
      </c>
      <c r="EL951" s="317">
        <v>0.03</v>
      </c>
      <c r="EM951" s="317">
        <v>0.03</v>
      </c>
      <c r="EN951" s="836">
        <v>0.03</v>
      </c>
      <c r="EO951" s="673"/>
      <c r="EP951" s="673"/>
      <c r="EQ951" s="673"/>
      <c r="ER951" s="673"/>
      <c r="ES951" s="673"/>
      <c r="ET951" s="673"/>
      <c r="EU951" s="673"/>
      <c r="EV951" s="673"/>
      <c r="EW951" s="673"/>
      <c r="EX951" s="673"/>
    </row>
    <row r="952" spans="2:154">
      <c r="B952" s="454" t="s">
        <v>413</v>
      </c>
      <c r="C952" s="1577"/>
      <c r="D952" s="933"/>
      <c r="E952" s="933"/>
      <c r="F952" s="933"/>
      <c r="G952" s="933"/>
      <c r="H952" s="933"/>
      <c r="I952" s="31"/>
      <c r="J952" s="933"/>
      <c r="K952" s="933"/>
      <c r="L952" s="933"/>
      <c r="M952" s="933"/>
      <c r="N952" s="31"/>
      <c r="O952" s="31"/>
      <c r="P952" s="31"/>
      <c r="Q952" s="31"/>
      <c r="R952" s="31"/>
      <c r="S952" s="31"/>
      <c r="T952" s="31"/>
      <c r="U952" s="31"/>
      <c r="V952" s="31"/>
      <c r="W952" s="31"/>
      <c r="X952" s="313"/>
      <c r="Y952" s="31"/>
      <c r="Z952" s="31"/>
      <c r="AA952" s="31"/>
      <c r="AB952" s="31"/>
      <c r="AC952" s="313"/>
      <c r="AD952" s="31"/>
      <c r="AE952" s="31"/>
      <c r="AF952" s="31"/>
      <c r="AG952" s="31"/>
      <c r="AH952" s="313"/>
      <c r="AI952" s="933"/>
      <c r="AJ952" s="933"/>
      <c r="AK952" s="933"/>
      <c r="AL952" s="31"/>
      <c r="AM952" s="313"/>
      <c r="AN952" s="933"/>
      <c r="AO952" s="933"/>
      <c r="AP952" s="933"/>
      <c r="AQ952" s="933"/>
      <c r="AR952" s="313"/>
      <c r="AS952" s="933"/>
      <c r="AT952" s="933"/>
      <c r="AU952" s="933"/>
      <c r="AV952" s="933"/>
      <c r="AW952" s="313"/>
      <c r="AX952" s="933"/>
      <c r="AY952" s="933"/>
      <c r="AZ952" s="933"/>
      <c r="BA952" s="933"/>
      <c r="BB952" s="313"/>
      <c r="BC952" s="933"/>
      <c r="BD952" s="933"/>
      <c r="BE952" s="933"/>
      <c r="BF952" s="933"/>
      <c r="BG952" s="313"/>
      <c r="BH952" s="933"/>
      <c r="BI952" s="933"/>
      <c r="BJ952" s="933"/>
      <c r="BK952" s="933"/>
      <c r="BL952" s="313"/>
      <c r="BM952" s="926" t="str">
        <f>IF(BH946="NM","NM",IF(BM946="NM","NM",IF(BH946&lt;=0,"NM",IF(BM946=0,"NM",IF(ABS(BM946/BH946-1)&gt;2.5,"NM",IF((ABS(BM946-BH946)=ABS(ABS(BM946)-ABS(BH946))),(BM946/BH946-1),"NM"))))))</f>
      </c>
      <c r="BN952" s="926" t="str">
        <f>IF(BI946="NM","NM",IF(BN946="NM","NM",IF(BI946&lt;=0,"NM",IF(BN946=0,"NM",IF(ABS(BN946/BI946-1)&gt;2.5,"NM",IF((ABS(BN946-BI946)=ABS(ABS(BN946)-ABS(BI946))),(BN946/BI946-1),"NM"))))))</f>
      </c>
      <c r="BO952" s="926" t="str">
        <f>IF(BJ946="NM","NM",IF(BO946="NM","NM",IF(BJ946&lt;=0,"NM",IF(BO946=0,"NM",IF(ABS(BO946/BJ946-1)&gt;2.5,"NM",IF((ABS(BO946-BJ946)=ABS(ABS(BO946)-ABS(BJ946))),(BO946/BJ946-1),"NM"))))))</f>
      </c>
      <c r="BP952" s="926" t="str">
        <f>IF(BK946="NM","NM",IF(BP946="NM","NM",IF(BK946&lt;=0,"NM",IF(BP946=0,"NM",IF(ABS(BP946/BK946-1)&gt;2.5,"NM",IF((ABS(BP946-BK946)=ABS(ABS(BP946)-ABS(BK946))),(BP946/BK946-1),"NM"))))))</f>
      </c>
      <c r="BQ952" s="1060"/>
      <c r="BR952" s="926"/>
      <c r="BS952" s="926"/>
      <c r="BT952" s="926"/>
      <c r="BU952" s="926"/>
      <c r="BV952" s="1060"/>
      <c r="BW952" s="926"/>
      <c r="BX952" s="926"/>
      <c r="BY952" s="926"/>
      <c r="BZ952" s="926"/>
      <c r="CA952" s="1060"/>
      <c r="CB952" s="926"/>
      <c r="CC952" s="926"/>
      <c r="CD952" s="926"/>
      <c r="CE952" s="926"/>
      <c r="CF952" s="1060"/>
      <c r="CG952" s="926">
        <f t="shared" ref="CG952:CX952" si="2078">IF(CB946="NM","NM",IF(CG946="NM","NM",IF(CB946&lt;=0,"NM",IF(CG946=0,"NM",IF(ABS(CG946/CB946-1)&gt;2.5,"NM",IF((ABS(CG946-CB946)=ABS(ABS(CG946)-ABS(CB946))),(CG946/CB946-1),"NM"))))))</f>
      </c>
      <c r="CH952" s="926">
        <f t="shared" si="2078"/>
      </c>
      <c r="CI952" s="926">
        <f t="shared" si="2078"/>
      </c>
      <c r="CJ952" s="926">
        <f t="shared" si="2078"/>
      </c>
      <c r="CK952" s="1060">
        <f t="shared" si="2078"/>
      </c>
      <c r="CL952" s="926">
        <f t="shared" si="2078"/>
      </c>
      <c r="CM952" s="926">
        <f t="shared" si="2078"/>
      </c>
      <c r="CN952" s="926">
        <f t="shared" si="2078"/>
      </c>
      <c r="CO952" s="926">
        <f t="shared" si="2078"/>
      </c>
      <c r="CP952" s="1060">
        <f>IF(CK946=0, "NA", CP946/CK946-1)</f>
      </c>
      <c r="CQ952" s="926">
        <f t="shared" si="2078"/>
      </c>
      <c r="CR952" s="926">
        <f t="shared" si="2078"/>
      </c>
      <c r="CS952" s="926">
        <f t="shared" si="2078"/>
      </c>
      <c r="CT952" s="926">
        <f t="shared" si="2078"/>
      </c>
      <c r="CU952" s="1060">
        <f>IF(CP946=0, "NA", CU946/CP946-1)</f>
      </c>
      <c r="CV952" s="926">
        <f t="shared" si="2078"/>
      </c>
      <c r="CW952" s="926">
        <f t="shared" si="2078"/>
      </c>
      <c r="CX952" s="926">
        <f t="shared" si="2078"/>
      </c>
      <c r="CY952" s="926">
        <f>IF(CT946="NM","NM",IF(CY946="NM","NM",IF(CT946&lt;=0,"NM",IF(CY946=0,"NM",IF(ABS(CY946/CT946-1)&gt;2.5,"NM",IF((ABS(CY946-CT946)=ABS(ABS(CY946)-ABS(CT946))),(CY946/CT946-1),"NM"))))))</f>
      </c>
      <c r="CZ952" s="1060">
        <f>IF(CU946=0, "NA", CZ946/CU946-1)</f>
      </c>
      <c r="DA952" s="926">
        <f>IF(CV946="NM","NM",IF(DA946="NM","NM",IF(CV946&lt;=0,"NM",IF(DA946=0,"NM",IF(ABS(DA946/CV946-1)&gt;2.5,"NM",IF((ABS(DA946-CV946)=ABS(ABS(DA946)-ABS(CV946))),(DA946/CV946-1),"NM"))))))</f>
      </c>
      <c r="DB952" s="926">
        <f>IF(CW946="NM","NM",IF(DB946="NM","NM",IF(CW946&lt;=0,"NM",IF(DB946=0,"NM",IF(ABS(DB946/CW946-1)&gt;2.5,"NM",IF((ABS(DB946-CW946)=ABS(ABS(DB946)-ABS(CW946))),(DB946/CW946-1),"NM"))))))</f>
      </c>
      <c r="DC952" s="926">
        <f>IF(CX946=0, "NA", DC946/CX946-1)</f>
      </c>
      <c r="DD952" s="928">
        <f>IF(CY946=0, "NM", DD946/CY946-1)</f>
      </c>
      <c r="DE952" s="1060">
        <f>IF(CZ946=0, "NA", DE946/CZ946-1)</f>
      </c>
      <c r="DF952" s="926">
        <f>DF946/(DA946+DA958)-1</f>
      </c>
      <c r="DG952" s="926">
        <f>DG946/(DB946+DB958)-1</f>
      </c>
      <c r="DH952" s="926">
        <f>DH946/(DC946+DC958)-1</f>
      </c>
      <c r="DI952" s="926">
        <f>DI946/(DD946+DD958)-1</f>
      </c>
      <c r="DJ952" s="1060">
        <f>DJ946/(DE946+DE958)-1</f>
      </c>
      <c r="DK952" s="926">
        <f t="shared" ref="DK952:DY952" si="2079">IF(DF946=0, "NA", DK946/DF946-1)</f>
      </c>
      <c r="DL952" s="926">
        <f t="shared" si="2079"/>
      </c>
      <c r="DM952" s="926">
        <f t="shared" si="2079"/>
      </c>
      <c r="DN952" s="926">
        <f t="shared" si="2079"/>
      </c>
      <c r="DO952" s="1060">
        <f t="shared" si="2079"/>
      </c>
      <c r="DP952" s="926">
        <f t="shared" si="2079"/>
      </c>
      <c r="DQ952" s="926">
        <f t="shared" si="2079"/>
      </c>
      <c r="DR952" s="926">
        <f t="shared" si="2079"/>
      </c>
      <c r="DS952" s="926">
        <f t="shared" si="2079"/>
      </c>
      <c r="DT952" s="1060">
        <f t="shared" si="2079"/>
      </c>
      <c r="DU952" s="926">
        <f t="shared" si="2079"/>
      </c>
      <c r="DV952" s="926">
        <f t="shared" si="2079"/>
      </c>
      <c r="DW952" s="926">
        <f t="shared" si="2079"/>
      </c>
      <c r="DX952" s="928">
        <f t="shared" si="2079"/>
      </c>
      <c r="DY952" s="1060">
        <f t="shared" si="2079"/>
      </c>
      <c r="DZ952" s="926">
        <f>IF(DU946=0, "NA", DZ946/DU946-1)</f>
      </c>
      <c r="EA952" s="926">
        <f>IF(DV946=0, "NA", EA946/DV946-1)</f>
      </c>
      <c r="EB952" s="926">
        <f>IF(DW946=0, "NA", EB946/DW946-1)</f>
      </c>
      <c r="EC952" s="1235">
        <f t="shared" ref="EC952:EF952" si="2080">IF(DX946=0, "NA", EC946/DX946-1)</f>
      </c>
      <c r="ED952" s="1536">
        <f t="shared" si="2080"/>
      </c>
      <c r="EE952" s="926">
        <f t="shared" si="2080"/>
      </c>
      <c r="EF952" s="926">
        <f t="shared" si="2080"/>
      </c>
      <c r="EG952" s="926">
        <f>IF(EB946=0, "NA", EG946/EB946-1)</f>
      </c>
      <c r="EH952" s="926">
        <f>IF(EC946=0, "NA", EH946/EC946-1)</f>
      </c>
      <c r="EI952" s="1060">
        <f>EI946/ED946-1</f>
      </c>
      <c r="EJ952" s="1060">
        <f t="shared" ref="EJ952:EN952" si="2081">EJ946/EI946-1</f>
      </c>
      <c r="EK952" s="928">
        <f t="shared" si="2081"/>
      </c>
      <c r="EL952" s="928">
        <f t="shared" si="2081"/>
      </c>
      <c r="EM952" s="928">
        <f t="shared" si="2081"/>
      </c>
      <c r="EN952" s="928">
        <f t="shared" si="2081"/>
      </c>
      <c r="EO952" s="1060"/>
      <c r="EP952" s="1060"/>
      <c r="EQ952" s="1060"/>
      <c r="ER952" s="1060"/>
      <c r="ES952" s="1060"/>
      <c r="ET952" s="1060"/>
      <c r="EU952" s="1060"/>
      <c r="EV952" s="1060"/>
      <c r="EW952" s="1060"/>
      <c r="EX952" s="1060"/>
    </row>
    <row r="953" spans="2:154">
      <c r="B953" s="454" t="s">
        <v>848</v>
      </c>
      <c r="C953" s="1577"/>
      <c r="D953" s="933"/>
      <c r="E953" s="933"/>
      <c r="F953" s="933"/>
      <c r="G953" s="933"/>
      <c r="H953" s="933"/>
      <c r="I953" s="31"/>
      <c r="J953" s="933"/>
      <c r="K953" s="933"/>
      <c r="L953" s="933"/>
      <c r="M953" s="933"/>
      <c r="N953" s="31"/>
      <c r="O953" s="31"/>
      <c r="P953" s="31"/>
      <c r="Q953" s="31"/>
      <c r="R953" s="31"/>
      <c r="S953" s="31"/>
      <c r="T953" s="31"/>
      <c r="U953" s="31"/>
      <c r="V953" s="31"/>
      <c r="W953" s="31"/>
      <c r="X953" s="313"/>
      <c r="Y953" s="31"/>
      <c r="Z953" s="31"/>
      <c r="AA953" s="31"/>
      <c r="AB953" s="31"/>
      <c r="AC953" s="313"/>
      <c r="AD953" s="31"/>
      <c r="AE953" s="31"/>
      <c r="AF953" s="31"/>
      <c r="AG953" s="31"/>
      <c r="AH953" s="313"/>
      <c r="AI953" s="933"/>
      <c r="AJ953" s="933"/>
      <c r="AK953" s="933"/>
      <c r="AL953" s="31"/>
      <c r="AM953" s="313"/>
      <c r="AN953" s="933"/>
      <c r="AO953" s="933"/>
      <c r="AP953" s="933"/>
      <c r="AQ953" s="933"/>
      <c r="AR953" s="313"/>
      <c r="AS953" s="933"/>
      <c r="AT953" s="933"/>
      <c r="AU953" s="933"/>
      <c r="AV953" s="933"/>
      <c r="AW953" s="313"/>
      <c r="AX953" s="933"/>
      <c r="AY953" s="933"/>
      <c r="AZ953" s="933"/>
      <c r="BA953" s="933"/>
      <c r="BB953" s="313"/>
      <c r="BC953" s="933"/>
      <c r="BD953" s="933"/>
      <c r="BE953" s="933"/>
      <c r="BF953" s="933"/>
      <c r="BG953" s="313"/>
      <c r="BH953" s="933"/>
      <c r="BI953" s="933"/>
      <c r="BJ953" s="933"/>
      <c r="BK953" s="933"/>
      <c r="BL953" s="313"/>
      <c r="BM953" s="926"/>
      <c r="BN953" s="926"/>
      <c r="BO953" s="926"/>
      <c r="BP953" s="926"/>
      <c r="BQ953" s="1060"/>
      <c r="BR953" s="926"/>
      <c r="BS953" s="926"/>
      <c r="BT953" s="926"/>
      <c r="BU953" s="926"/>
      <c r="BV953" s="1060"/>
      <c r="BW953" s="926"/>
      <c r="BX953" s="926"/>
      <c r="BY953" s="926"/>
      <c r="BZ953" s="926"/>
      <c r="CA953" s="1060"/>
      <c r="CB953" s="926"/>
      <c r="CC953" s="926"/>
      <c r="CD953" s="926"/>
      <c r="CE953" s="926"/>
      <c r="CF953" s="1060"/>
      <c r="CG953" s="926"/>
      <c r="CH953" s="926"/>
      <c r="CI953" s="926"/>
      <c r="CJ953" s="926"/>
      <c r="CK953" s="1060"/>
      <c r="CL953" s="926"/>
      <c r="CM953" s="926"/>
      <c r="CN953" s="926"/>
      <c r="CO953" s="926"/>
      <c r="CP953" s="1060"/>
      <c r="CQ953" s="649">
        <v>1.0999999999999999E-2</v>
      </c>
      <c r="CR953" s="649">
        <v>0</v>
      </c>
      <c r="CS953" s="649">
        <v>3.2000000000000001E-2</v>
      </c>
      <c r="CT953" s="649">
        <v>0.04</v>
      </c>
      <c r="CU953" s="448">
        <v>0.02</v>
      </c>
      <c r="CV953" s="649">
        <v>0</v>
      </c>
      <c r="CW953" s="649">
        <v>2.9000000000000001E-2</v>
      </c>
      <c r="CX953" s="649">
        <v>3.0000000000000001E-3</v>
      </c>
      <c r="CY953" s="649">
        <v>3.7999999999999999E-2</v>
      </c>
      <c r="CZ953" s="448">
        <v>1.7999999999999999E-2</v>
      </c>
      <c r="DA953" s="649">
        <v>1.0999999999999999E-2</v>
      </c>
      <c r="DB953" s="649">
        <v>-8.9999999999999993E-3</v>
      </c>
      <c r="DC953" s="649">
        <v>3.5999999999999997E-2</v>
      </c>
      <c r="DD953" s="1482">
        <v>4.0000000000000001E-3</v>
      </c>
      <c r="DE953" s="448">
        <v>0.01</v>
      </c>
      <c r="DF953" s="649">
        <v>-0.16800000000000001</v>
      </c>
      <c r="DG953" s="649">
        <v>-0.39500000000000002</v>
      </c>
      <c r="DH953" s="649">
        <v>-0.113</v>
      </c>
      <c r="DI953" s="649">
        <v>-0.05</v>
      </c>
      <c r="DJ953" s="448">
        <v>-0.18</v>
      </c>
      <c r="DK953" s="649">
        <v>5.8000000000000003E-2</v>
      </c>
      <c r="DL953" s="649">
        <v>0.67800000000000005</v>
      </c>
      <c r="DM953" s="649">
        <v>8.1000000000000003E-2</v>
      </c>
      <c r="DN953" s="1482">
        <v>1.7000000000000001E-2</v>
      </c>
      <c r="DO953" s="448">
        <v>0.161</v>
      </c>
      <c r="DP953" s="649">
        <v>5.5E-2</v>
      </c>
      <c r="DQ953" s="649">
        <v>3.0000000000000001E-3</v>
      </c>
      <c r="DR953" s="649">
        <v>6.7000000000000004E-2</v>
      </c>
      <c r="DS953" s="649">
        <v>0.03</v>
      </c>
      <c r="DT953" s="448">
        <v>3.7999999999999999E-2</v>
      </c>
      <c r="DU953" s="649">
        <v>6.4000000000000001E-2</v>
      </c>
      <c r="DV953" s="649">
        <v>8.4000000000000005E-2</v>
      </c>
      <c r="DW953" s="649">
        <v>4.8000000000000001E-2</v>
      </c>
      <c r="DX953" s="1482">
        <v>7.4999999999999997E-2</v>
      </c>
      <c r="DY953" s="448">
        <v>6.8000000000000005E-2</v>
      </c>
      <c r="DZ953" s="649">
        <v>3.6999999999999998E-2</v>
      </c>
      <c r="EA953" s="649">
        <v>1.2E-2</v>
      </c>
      <c r="EB953" s="649">
        <v>0.02</v>
      </c>
      <c r="EC953" s="3610">
        <v>0.01</v>
      </c>
      <c r="ED953" s="3623">
        <v>0.02</v>
      </c>
      <c r="EE953" s="649">
        <v>1.6E-2</v>
      </c>
      <c r="EF953" s="649">
        <v>2.5000000000000001E-2</v>
      </c>
      <c r="EG953" s="649">
        <v>2.9000000000000001E-2</v>
      </c>
      <c r="EH953" s="926">
        <f t="shared" ref="EH953" si="2082">(EC945*EH951+EC944*EH949)/(EC946)</f>
      </c>
      <c r="EI953" s="1060">
        <f>(ED945*EI951+ED944*EI949)/(ED946)</f>
      </c>
      <c r="EJ953" s="1060">
        <f t="shared" ref="EJ953:EN953" si="2083">(EI945*EJ951+EI944*EJ949)/(EI946)</f>
      </c>
      <c r="EK953" s="928">
        <f t="shared" si="2083"/>
      </c>
      <c r="EL953" s="928">
        <f t="shared" si="2083"/>
      </c>
      <c r="EM953" s="928">
        <f t="shared" si="2083"/>
      </c>
      <c r="EN953" s="928">
        <f t="shared" si="2083"/>
      </c>
      <c r="EO953" s="1060"/>
      <c r="EP953" s="1060"/>
      <c r="EQ953" s="1060"/>
      <c r="ER953" s="1060"/>
      <c r="ES953" s="1060"/>
      <c r="ET953" s="1060"/>
      <c r="EU953" s="1060"/>
      <c r="EV953" s="1060"/>
      <c r="EW953" s="1060"/>
      <c r="EX953" s="1060"/>
    </row>
    <row r="954" spans="2:154">
      <c r="B954" s="454"/>
      <c r="C954" s="1577"/>
      <c r="D954" s="933"/>
      <c r="E954" s="933"/>
      <c r="F954" s="933"/>
      <c r="G954" s="933"/>
      <c r="H954" s="933"/>
      <c r="I954" s="31"/>
      <c r="J954" s="933"/>
      <c r="K954" s="933"/>
      <c r="L954" s="933"/>
      <c r="M954" s="933"/>
      <c r="N954" s="31"/>
      <c r="O954" s="31"/>
      <c r="P954" s="31"/>
      <c r="Q954" s="31"/>
      <c r="R954" s="31"/>
      <c r="S954" s="31"/>
      <c r="T954" s="31"/>
      <c r="U954" s="31"/>
      <c r="V954" s="31"/>
      <c r="W954" s="31"/>
      <c r="X954" s="313"/>
      <c r="Y954" s="31"/>
      <c r="Z954" s="31"/>
      <c r="AA954" s="31"/>
      <c r="AB954" s="31"/>
      <c r="AC954" s="313"/>
      <c r="AD954" s="31"/>
      <c r="AE954" s="31"/>
      <c r="AF954" s="31"/>
      <c r="AG954" s="31"/>
      <c r="AH954" s="313"/>
      <c r="AI954" s="933"/>
      <c r="AJ954" s="933"/>
      <c r="AK954" s="933"/>
      <c r="AL954" s="31"/>
      <c r="AM954" s="313"/>
      <c r="AN954" s="933"/>
      <c r="AO954" s="933"/>
      <c r="AP954" s="933"/>
      <c r="AQ954" s="933"/>
      <c r="AR954" s="313"/>
      <c r="AS954" s="933"/>
      <c r="AT954" s="933"/>
      <c r="AU954" s="933"/>
      <c r="AV954" s="933"/>
      <c r="AW954" s="313"/>
      <c r="AX954" s="933"/>
      <c r="AY954" s="933"/>
      <c r="AZ954" s="933"/>
      <c r="BA954" s="933"/>
      <c r="BB954" s="313"/>
      <c r="BC954" s="933"/>
      <c r="BD954" s="933"/>
      <c r="BE954" s="933"/>
      <c r="BF954" s="933"/>
      <c r="BG954" s="313"/>
      <c r="BH954" s="933"/>
      <c r="BI954" s="933"/>
      <c r="BJ954" s="933"/>
      <c r="BK954" s="933"/>
      <c r="BL954" s="313"/>
      <c r="BM954" s="926"/>
      <c r="BN954" s="926"/>
      <c r="BO954" s="926"/>
      <c r="BP954" s="926"/>
      <c r="BQ954" s="1060"/>
      <c r="BR954" s="933"/>
      <c r="BS954" s="933"/>
      <c r="BT954" s="933"/>
      <c r="BU954" s="933"/>
      <c r="BV954" s="1060"/>
      <c r="BW954" s="933"/>
      <c r="BX954" s="933"/>
      <c r="BY954" s="933"/>
      <c r="BZ954" s="933"/>
      <c r="CA954" s="1060"/>
      <c r="CB954" s="933"/>
      <c r="CC954" s="933"/>
      <c r="CD954" s="933"/>
      <c r="CE954" s="933"/>
      <c r="CF954" s="1060"/>
      <c r="CG954" s="933"/>
      <c r="CH954" s="933"/>
      <c r="CI954" s="933"/>
      <c r="CJ954" s="933"/>
      <c r="CK954" s="1060"/>
      <c r="CL954" s="961"/>
      <c r="CM954" s="933"/>
      <c r="CN954" s="933"/>
      <c r="CO954" s="933"/>
      <c r="CP954" s="1060"/>
      <c r="CQ954" s="933"/>
      <c r="CR954" s="933"/>
      <c r="CS954" s="933"/>
      <c r="CT954" s="933"/>
      <c r="CU954" s="1060"/>
      <c r="CV954" s="933"/>
      <c r="CW954" s="933"/>
      <c r="CX954" s="933"/>
      <c r="CY954" s="933"/>
      <c r="CZ954" s="1060"/>
      <c r="DA954" s="926"/>
      <c r="DB954" s="926"/>
      <c r="DC954" s="926"/>
      <c r="DD954" s="928"/>
      <c r="DE954" s="1060"/>
      <c r="DF954" s="926"/>
      <c r="DG954" s="926"/>
      <c r="DH954" s="926"/>
      <c r="DI954" s="928"/>
      <c r="DJ954" s="1060"/>
      <c r="DK954" s="926"/>
      <c r="DL954" s="926"/>
      <c r="DM954" s="926"/>
      <c r="DN954" s="928"/>
      <c r="DO954" s="1060"/>
      <c r="DP954" s="944"/>
      <c r="DQ954" s="944"/>
      <c r="DR954" s="944"/>
      <c r="DS954" s="944"/>
      <c r="DT954" s="1060"/>
      <c r="DU954" s="926"/>
      <c r="DV954" s="926"/>
      <c r="DW954" s="944"/>
      <c r="DX954" s="2107"/>
      <c r="DY954" s="1060"/>
      <c r="DZ954" s="926"/>
      <c r="EA954" s="1542"/>
      <c r="EB954" s="1542"/>
      <c r="EC954" s="3614"/>
      <c r="ED954" s="1536"/>
      <c r="EE954" s="926"/>
      <c r="EF954" s="1542"/>
      <c r="EG954" s="926"/>
      <c r="EH954" s="926"/>
      <c r="EI954" s="1060"/>
      <c r="EJ954" s="1060"/>
      <c r="EK954" s="928"/>
      <c r="EL954" s="928"/>
      <c r="EM954" s="928"/>
      <c r="EN954" s="928"/>
      <c r="EO954" s="1060"/>
      <c r="EP954" s="1060"/>
      <c r="EQ954" s="1060"/>
      <c r="ER954" s="1060"/>
      <c r="ES954" s="1060"/>
      <c r="ET954" s="1060"/>
      <c r="EU954" s="1060"/>
      <c r="EV954" s="1060"/>
      <c r="EW954" s="1060"/>
      <c r="EX954" s="1060"/>
    </row>
    <row r="955" spans="2:154" hidden="1" outlineLevel="1">
      <c r="B955" s="2239" t="s">
        <v>473</v>
      </c>
      <c r="C955" s="2252"/>
      <c r="D955" s="3006"/>
      <c r="E955" s="3006"/>
      <c r="F955" s="3006"/>
      <c r="G955" s="3006"/>
      <c r="H955" s="3006"/>
      <c r="I955" s="3007"/>
      <c r="J955" s="3006"/>
      <c r="K955" s="3006"/>
      <c r="L955" s="3006"/>
      <c r="M955" s="3006"/>
      <c r="N955" s="3007"/>
      <c r="O955" s="3007"/>
      <c r="P955" s="3007"/>
      <c r="Q955" s="3007"/>
      <c r="R955" s="3007"/>
      <c r="S955" s="3007"/>
      <c r="T955" s="3007"/>
      <c r="U955" s="3007"/>
      <c r="V955" s="3007"/>
      <c r="W955" s="3007"/>
      <c r="X955" s="2253"/>
      <c r="Y955" s="3007"/>
      <c r="Z955" s="3007"/>
      <c r="AA955" s="3007"/>
      <c r="AB955" s="3007"/>
      <c r="AC955" s="2253"/>
      <c r="AD955" s="3007"/>
      <c r="AE955" s="3007"/>
      <c r="AF955" s="3007"/>
      <c r="AG955" s="3007"/>
      <c r="AH955" s="2253"/>
      <c r="AI955" s="3006"/>
      <c r="AJ955" s="3006"/>
      <c r="AK955" s="3006"/>
      <c r="AL955" s="3007"/>
      <c r="AM955" s="2253"/>
      <c r="AN955" s="3006"/>
      <c r="AO955" s="3006"/>
      <c r="AP955" s="3006"/>
      <c r="AQ955" s="3006"/>
      <c r="AR955" s="2253"/>
      <c r="AS955" s="3006"/>
      <c r="AT955" s="3006"/>
      <c r="AU955" s="3006"/>
      <c r="AV955" s="3006"/>
      <c r="AW955" s="2253"/>
      <c r="AX955" s="3006"/>
      <c r="AY955" s="3006"/>
      <c r="AZ955" s="3006"/>
      <c r="BA955" s="3006"/>
      <c r="BB955" s="2253"/>
      <c r="BC955" s="3006"/>
      <c r="BD955" s="3006"/>
      <c r="BE955" s="3006"/>
      <c r="BF955" s="3006"/>
      <c r="BG955" s="2253"/>
      <c r="BH955" s="3006"/>
      <c r="BI955" s="3006"/>
      <c r="BJ955" s="3006"/>
      <c r="BK955" s="3006"/>
      <c r="BL955" s="2253"/>
      <c r="BM955" s="3006"/>
      <c r="BN955" s="3006"/>
      <c r="BO955" s="3006"/>
      <c r="BP955" s="3006"/>
      <c r="BQ955" s="2253"/>
      <c r="BR955" s="3006"/>
      <c r="BS955" s="3006"/>
      <c r="BT955" s="3006"/>
      <c r="BU955" s="3006"/>
      <c r="BV955" s="2253"/>
      <c r="BW955" s="3006"/>
      <c r="BX955" s="3006"/>
      <c r="BY955" s="3006"/>
      <c r="BZ955" s="3006"/>
      <c r="CA955" s="2253"/>
      <c r="CB955" s="3006"/>
      <c r="CC955" s="3006"/>
      <c r="CD955" s="3006"/>
      <c r="CE955" s="3006"/>
      <c r="CF955" s="2253"/>
      <c r="CG955" s="3006"/>
      <c r="CH955" s="3006"/>
      <c r="CI955" s="3006"/>
      <c r="CJ955" s="3006"/>
      <c r="CK955" s="2253"/>
      <c r="CL955" s="2254"/>
      <c r="CM955" s="3006"/>
      <c r="CN955" s="3006"/>
      <c r="CO955" s="3006"/>
      <c r="CP955" s="2253"/>
      <c r="CQ955" s="3013"/>
      <c r="CR955" s="3013"/>
      <c r="CS955" s="3013"/>
      <c r="CT955" s="3013"/>
      <c r="CU955" s="3014"/>
      <c r="CV955" s="3013"/>
      <c r="CW955" s="3013"/>
      <c r="CX955" s="3013"/>
      <c r="CY955" s="3013"/>
      <c r="CZ955" s="3014"/>
      <c r="DA955" s="3015"/>
      <c r="DB955" s="3015"/>
      <c r="DC955" s="3015"/>
      <c r="DD955" s="3016"/>
      <c r="DE955" s="3017"/>
      <c r="DF955" s="3018"/>
      <c r="DG955" s="3018"/>
      <c r="DH955" s="3018"/>
      <c r="DI955" s="2262"/>
      <c r="DJ955" s="3017"/>
      <c r="DK955" s="3018"/>
      <c r="DL955" s="3018"/>
      <c r="DM955" s="3018"/>
      <c r="DN955" s="2262"/>
      <c r="DO955" s="3017"/>
      <c r="DP955" s="3018"/>
      <c r="DQ955" s="3018"/>
      <c r="DR955" s="3019"/>
      <c r="DS955" s="3019"/>
      <c r="DT955" s="3017"/>
      <c r="DU955" s="3018"/>
      <c r="DV955" s="3018"/>
      <c r="DW955" s="3019"/>
      <c r="DX955" s="3304"/>
      <c r="DY955" s="3017"/>
      <c r="DZ955" s="3018"/>
      <c r="EA955" s="3018"/>
      <c r="EB955" s="3018"/>
      <c r="EC955" s="3304"/>
      <c r="ED955" s="3017"/>
      <c r="EE955" s="3018"/>
      <c r="EF955" s="3018"/>
      <c r="EG955" s="603"/>
      <c r="EH955" s="3018"/>
      <c r="EI955" s="477"/>
      <c r="EJ955" s="3020"/>
      <c r="EK955" s="3017"/>
      <c r="EL955" s="3017"/>
      <c r="EM955" s="3017"/>
      <c r="EN955" s="3017"/>
      <c r="EO955" s="2201"/>
      <c r="EP955" s="2201"/>
      <c r="EQ955" s="2201"/>
      <c r="ER955" s="2201"/>
      <c r="ES955" s="2201"/>
      <c r="ET955" s="2201"/>
      <c r="EU955" s="2201"/>
      <c r="EV955" s="2201"/>
      <c r="EW955" s="2201"/>
      <c r="EX955" s="2201"/>
    </row>
    <row r="956" spans="2:154" hidden="1" outlineLevel="1">
      <c r="B956" s="1565" t="s">
        <v>187</v>
      </c>
      <c r="C956" s="2263"/>
      <c r="D956" s="2264"/>
      <c r="E956" s="2264"/>
      <c r="F956" s="2264"/>
      <c r="G956" s="2264"/>
      <c r="H956" s="2264"/>
      <c r="I956" s="1566"/>
      <c r="J956" s="2264"/>
      <c r="K956" s="2264"/>
      <c r="L956" s="2264"/>
      <c r="M956" s="2264"/>
      <c r="N956" s="1566"/>
      <c r="O956" s="1566"/>
      <c r="P956" s="1566"/>
      <c r="Q956" s="1566"/>
      <c r="R956" s="1566"/>
      <c r="S956" s="1566"/>
      <c r="T956" s="1566"/>
      <c r="U956" s="1566"/>
      <c r="V956" s="1566"/>
      <c r="W956" s="1566"/>
      <c r="X956" s="1567"/>
      <c r="Y956" s="1566"/>
      <c r="Z956" s="1566"/>
      <c r="AA956" s="1566"/>
      <c r="AB956" s="1566"/>
      <c r="AC956" s="1567"/>
      <c r="AD956" s="1566"/>
      <c r="AE956" s="1566"/>
      <c r="AF956" s="1566"/>
      <c r="AG956" s="1566"/>
      <c r="AH956" s="1567"/>
      <c r="AI956" s="2264"/>
      <c r="AJ956" s="2264"/>
      <c r="AK956" s="2264"/>
      <c r="AL956" s="1566"/>
      <c r="AM956" s="1567"/>
      <c r="AN956" s="2264"/>
      <c r="AO956" s="2264"/>
      <c r="AP956" s="2264"/>
      <c r="AQ956" s="2264"/>
      <c r="AR956" s="1567"/>
      <c r="AS956" s="2264"/>
      <c r="AT956" s="2264"/>
      <c r="AU956" s="2264"/>
      <c r="AV956" s="2264"/>
      <c r="AW956" s="1567"/>
      <c r="AX956" s="2264"/>
      <c r="AY956" s="2264"/>
      <c r="AZ956" s="2264"/>
      <c r="BA956" s="2264"/>
      <c r="BB956" s="1567"/>
      <c r="BC956" s="2264"/>
      <c r="BD956" s="2264"/>
      <c r="BE956" s="2264"/>
      <c r="BF956" s="2264"/>
      <c r="BG956" s="1567"/>
      <c r="BH956" s="2264"/>
      <c r="BI956" s="2264"/>
      <c r="BJ956" s="2264"/>
      <c r="BK956" s="2264"/>
      <c r="BL956" s="1567"/>
      <c r="BM956" s="1568">
        <v>596</v>
      </c>
      <c r="BN956" s="1568">
        <v>621</v>
      </c>
      <c r="BO956" s="1568">
        <v>609</v>
      </c>
      <c r="BP956" s="1568">
        <v>639</v>
      </c>
      <c r="BQ956" s="1567"/>
      <c r="BR956" s="1568"/>
      <c r="BS956" s="1568"/>
      <c r="BT956" s="1568"/>
      <c r="BU956" s="1568"/>
      <c r="BV956" s="1567"/>
      <c r="BW956" s="1568"/>
      <c r="BX956" s="1568"/>
      <c r="BY956" s="1568"/>
      <c r="BZ956" s="1568"/>
      <c r="CA956" s="1567"/>
      <c r="CB956" s="1568">
        <v>214</v>
      </c>
      <c r="CC956" s="1568">
        <v>219</v>
      </c>
      <c r="CD956" s="1568">
        <v>200</v>
      </c>
      <c r="CE956" s="1568">
        <v>208</v>
      </c>
      <c r="CF956" s="1567">
        <f>SUM(CB956:CE956)</f>
      </c>
      <c r="CG956" s="1568">
        <v>209</v>
      </c>
      <c r="CH956" s="1568">
        <v>217</v>
      </c>
      <c r="CI956" s="1568">
        <v>203</v>
      </c>
      <c r="CJ956" s="1568">
        <v>230</v>
      </c>
      <c r="CK956" s="1567">
        <f>SUM(CG956:CJ956)</f>
      </c>
      <c r="CL956" s="1568">
        <v>210</v>
      </c>
      <c r="CM956" s="1568">
        <v>210</v>
      </c>
      <c r="CN956" s="1568">
        <v>198</v>
      </c>
      <c r="CO956" s="1568">
        <v>215</v>
      </c>
      <c r="CP956" s="1567">
        <f>SUM(CL956:CO956)</f>
      </c>
      <c r="CQ956" s="352">
        <v>180</v>
      </c>
      <c r="CR956" s="352">
        <v>189</v>
      </c>
      <c r="CS956" s="352">
        <v>174</v>
      </c>
      <c r="CT956" s="352">
        <v>194</v>
      </c>
      <c r="CU956" s="313">
        <f>SUM(CQ956:CT956)</f>
      </c>
      <c r="CV956" s="352">
        <v>177</v>
      </c>
      <c r="CW956" s="352">
        <v>184</v>
      </c>
      <c r="CX956" s="352">
        <v>172</v>
      </c>
      <c r="CY956" s="352">
        <v>184</v>
      </c>
      <c r="CZ956" s="313">
        <f>SUM(CV956:CY956)</f>
      </c>
      <c r="DA956" s="352">
        <v>172</v>
      </c>
      <c r="DB956" s="352">
        <v>87</v>
      </c>
      <c r="DC956" s="352">
        <v>88</v>
      </c>
      <c r="DD956" s="956">
        <v>83</v>
      </c>
      <c r="DE956" s="477">
        <f>SUM(DA956:DD956)</f>
      </c>
      <c r="DF956" s="1542"/>
      <c r="DG956" s="1542"/>
      <c r="DH956" s="1542"/>
      <c r="DI956" s="1556"/>
      <c r="DJ956" s="477"/>
      <c r="DK956" s="1542"/>
      <c r="DL956" s="1542"/>
      <c r="DM956" s="1542"/>
      <c r="DN956" s="1556"/>
      <c r="DO956" s="477"/>
      <c r="DP956" s="1542"/>
      <c r="DQ956" s="1542"/>
      <c r="DR956" s="3021"/>
      <c r="DS956" s="3021"/>
      <c r="DT956" s="477"/>
      <c r="DU956" s="1542"/>
      <c r="DV956" s="1542"/>
      <c r="DW956" s="3021"/>
      <c r="DX956" s="3305"/>
      <c r="DY956" s="477"/>
      <c r="DZ956" s="1542"/>
      <c r="EA956" s="1542"/>
      <c r="EB956" s="1542"/>
      <c r="EC956" s="3305"/>
      <c r="ED956" s="477"/>
      <c r="EE956" s="1542"/>
      <c r="EF956" s="1542"/>
      <c r="EG956" s="603"/>
      <c r="EH956" s="1542"/>
      <c r="EI956" s="477"/>
      <c r="EJ956" s="603"/>
      <c r="EK956" s="477"/>
      <c r="EL956" s="477"/>
      <c r="EM956" s="477"/>
      <c r="EN956" s="477"/>
      <c r="EO956" s="1918"/>
      <c r="EP956" s="1918"/>
      <c r="EQ956" s="1918"/>
      <c r="ER956" s="1918"/>
      <c r="ES956" s="1918"/>
      <c r="ET956" s="1918"/>
      <c r="EU956" s="1918"/>
      <c r="EV956" s="1918"/>
      <c r="EW956" s="1918"/>
      <c r="EX956" s="1918"/>
    </row>
    <row r="957" spans="2:154" hidden="1" outlineLevel="1">
      <c r="B957" s="1565" t="s">
        <v>412</v>
      </c>
      <c r="C957" s="2263"/>
      <c r="D957" s="2264"/>
      <c r="E957" s="2264"/>
      <c r="F957" s="2264"/>
      <c r="G957" s="2264"/>
      <c r="H957" s="2264"/>
      <c r="I957" s="1566"/>
      <c r="J957" s="2264"/>
      <c r="K957" s="2264"/>
      <c r="L957" s="2264"/>
      <c r="M957" s="2264"/>
      <c r="N957" s="1566"/>
      <c r="O957" s="1566"/>
      <c r="P957" s="1566"/>
      <c r="Q957" s="1566"/>
      <c r="R957" s="1566"/>
      <c r="S957" s="1566"/>
      <c r="T957" s="1566"/>
      <c r="U957" s="1566"/>
      <c r="V957" s="1566"/>
      <c r="W957" s="1566"/>
      <c r="X957" s="1567"/>
      <c r="Y957" s="1566"/>
      <c r="Z957" s="1566"/>
      <c r="AA957" s="1566"/>
      <c r="AB957" s="1566"/>
      <c r="AC957" s="1567"/>
      <c r="AD957" s="1566"/>
      <c r="AE957" s="1566"/>
      <c r="AF957" s="1566"/>
      <c r="AG957" s="1566"/>
      <c r="AH957" s="1567"/>
      <c r="AI957" s="2264"/>
      <c r="AJ957" s="2264"/>
      <c r="AK957" s="2264"/>
      <c r="AL957" s="1566"/>
      <c r="AM957" s="1567"/>
      <c r="AN957" s="2264"/>
      <c r="AO957" s="2264"/>
      <c r="AP957" s="2264"/>
      <c r="AQ957" s="2264"/>
      <c r="AR957" s="1567"/>
      <c r="AS957" s="2264"/>
      <c r="AT957" s="2264"/>
      <c r="AU957" s="2264"/>
      <c r="AV957" s="2264"/>
      <c r="AW957" s="1567"/>
      <c r="AX957" s="2264"/>
      <c r="AY957" s="2264"/>
      <c r="AZ957" s="2264"/>
      <c r="BA957" s="2264"/>
      <c r="BB957" s="1567"/>
      <c r="BC957" s="2264"/>
      <c r="BD957" s="2264"/>
      <c r="BE957" s="2264"/>
      <c r="BF957" s="2264"/>
      <c r="BG957" s="1567"/>
      <c r="BH957" s="2264"/>
      <c r="BI957" s="2264"/>
      <c r="BJ957" s="2264"/>
      <c r="BK957" s="2264"/>
      <c r="BL957" s="1567"/>
      <c r="BM957" s="1568">
        <v>1025</v>
      </c>
      <c r="BN957" s="1568">
        <v>1079</v>
      </c>
      <c r="BO957" s="1568">
        <v>1013</v>
      </c>
      <c r="BP957" s="1568">
        <v>1055</v>
      </c>
      <c r="BQ957" s="1567"/>
      <c r="BR957" s="1568"/>
      <c r="BS957" s="1568"/>
      <c r="BT957" s="1568"/>
      <c r="BU957" s="1568"/>
      <c r="BV957" s="1567"/>
      <c r="BW957" s="1568"/>
      <c r="BX957" s="1568"/>
      <c r="BY957" s="1568"/>
      <c r="BZ957" s="1568"/>
      <c r="CA957" s="1567"/>
      <c r="CB957" s="1568">
        <v>169</v>
      </c>
      <c r="CC957" s="1568">
        <v>171</v>
      </c>
      <c r="CD957" s="1568">
        <v>163</v>
      </c>
      <c r="CE957" s="1568">
        <v>166</v>
      </c>
      <c r="CF957" s="1567">
        <f>SUM(CB957:CE957)</f>
      </c>
      <c r="CG957" s="1568">
        <v>144</v>
      </c>
      <c r="CH957" s="1568">
        <v>152</v>
      </c>
      <c r="CI957" s="1568">
        <v>139</v>
      </c>
      <c r="CJ957" s="1568">
        <v>166</v>
      </c>
      <c r="CK957" s="1567">
        <f>SUM(CG957:CJ957)</f>
      </c>
      <c r="CL957" s="1568">
        <v>132</v>
      </c>
      <c r="CM957" s="1568">
        <v>151</v>
      </c>
      <c r="CN957" s="1568">
        <v>139</v>
      </c>
      <c r="CO957" s="1568">
        <v>162</v>
      </c>
      <c r="CP957" s="1567">
        <f>SUM(CL957:CO957)</f>
      </c>
      <c r="CQ957" s="352">
        <v>140</v>
      </c>
      <c r="CR957" s="352">
        <v>148</v>
      </c>
      <c r="CS957" s="352">
        <v>144</v>
      </c>
      <c r="CT957" s="352">
        <v>171</v>
      </c>
      <c r="CU957" s="313">
        <f>SUM(CQ957:CT957)</f>
      </c>
      <c r="CV957" s="352">
        <v>153</v>
      </c>
      <c r="CW957" s="352">
        <v>157</v>
      </c>
      <c r="CX957" s="352">
        <v>148</v>
      </c>
      <c r="CY957" s="352">
        <v>167</v>
      </c>
      <c r="CZ957" s="313">
        <f>SUM(CV957:CY957)</f>
      </c>
      <c r="DA957" s="352">
        <v>153</v>
      </c>
      <c r="DB957" s="352">
        <v>120</v>
      </c>
      <c r="DC957" s="352">
        <v>110</v>
      </c>
      <c r="DD957" s="956">
        <v>114</v>
      </c>
      <c r="DE957" s="477">
        <f>SUM(DA957:DD957)</f>
      </c>
      <c r="DF957" s="1542"/>
      <c r="DG957" s="1542"/>
      <c r="DH957" s="1542"/>
      <c r="DI957" s="1556"/>
      <c r="DJ957" s="477"/>
      <c r="DK957" s="1542"/>
      <c r="DL957" s="1542"/>
      <c r="DM957" s="1542"/>
      <c r="DN957" s="1556"/>
      <c r="DO957" s="477"/>
      <c r="DP957" s="1542"/>
      <c r="DQ957" s="1542"/>
      <c r="DR957" s="3021"/>
      <c r="DS957" s="3021"/>
      <c r="DT957" s="477"/>
      <c r="DU957" s="1542"/>
      <c r="DV957" s="1542"/>
      <c r="DW957" s="3021"/>
      <c r="DX957" s="3305"/>
      <c r="DY957" s="477"/>
      <c r="DZ957" s="1542"/>
      <c r="EA957" s="1542"/>
      <c r="EB957" s="1542"/>
      <c r="EC957" s="3305"/>
      <c r="ED957" s="477"/>
      <c r="EE957" s="1542"/>
      <c r="EF957" s="1542"/>
      <c r="EG957" s="603"/>
      <c r="EH957" s="1542"/>
      <c r="EI957" s="477"/>
      <c r="EJ957" s="603"/>
      <c r="EK957" s="477"/>
      <c r="EL957" s="477"/>
      <c r="EM957" s="477"/>
      <c r="EN957" s="477"/>
      <c r="EO957" s="1918"/>
      <c r="EP957" s="1918"/>
      <c r="EQ957" s="1918"/>
      <c r="ER957" s="1918"/>
      <c r="ES957" s="1918"/>
      <c r="ET957" s="1918"/>
      <c r="EU957" s="1918"/>
      <c r="EV957" s="1918"/>
      <c r="EW957" s="1918"/>
      <c r="EX957" s="1918"/>
    </row>
    <row r="958" spans="2:154" hidden="1" outlineLevel="1">
      <c r="B958" s="1565" t="s">
        <v>413</v>
      </c>
      <c r="C958" s="2263"/>
      <c r="D958" s="2264"/>
      <c r="E958" s="2264"/>
      <c r="F958" s="2264"/>
      <c r="G958" s="2264"/>
      <c r="H958" s="2264"/>
      <c r="I958" s="1566"/>
      <c r="J958" s="2264"/>
      <c r="K958" s="2264"/>
      <c r="L958" s="2264"/>
      <c r="M958" s="2264"/>
      <c r="N958" s="1566"/>
      <c r="O958" s="1566"/>
      <c r="P958" s="1566"/>
      <c r="Q958" s="1566"/>
      <c r="R958" s="1566"/>
      <c r="S958" s="1566"/>
      <c r="T958" s="1566"/>
      <c r="U958" s="1566"/>
      <c r="V958" s="1566"/>
      <c r="W958" s="1566"/>
      <c r="X958" s="1567"/>
      <c r="Y958" s="1566"/>
      <c r="Z958" s="1566"/>
      <c r="AA958" s="1566"/>
      <c r="AB958" s="1566"/>
      <c r="AC958" s="1567"/>
      <c r="AD958" s="1566"/>
      <c r="AE958" s="1566"/>
      <c r="AF958" s="1566"/>
      <c r="AG958" s="1566"/>
      <c r="AH958" s="1567"/>
      <c r="AI958" s="2264"/>
      <c r="AJ958" s="2264"/>
      <c r="AK958" s="2264"/>
      <c r="AL958" s="1566"/>
      <c r="AM958" s="1567"/>
      <c r="AN958" s="2264"/>
      <c r="AO958" s="2264"/>
      <c r="AP958" s="2264"/>
      <c r="AQ958" s="2264"/>
      <c r="AR958" s="1567"/>
      <c r="AS958" s="2264"/>
      <c r="AT958" s="2264"/>
      <c r="AU958" s="2264"/>
      <c r="AV958" s="2264"/>
      <c r="AW958" s="1567"/>
      <c r="AX958" s="2264"/>
      <c r="AY958" s="2264"/>
      <c r="AZ958" s="2264"/>
      <c r="BA958" s="2264"/>
      <c r="BB958" s="1567"/>
      <c r="BC958" s="2264"/>
      <c r="BD958" s="2264"/>
      <c r="BE958" s="2264"/>
      <c r="BF958" s="2264"/>
      <c r="BG958" s="1567"/>
      <c r="BH958" s="2264"/>
      <c r="BI958" s="2264"/>
      <c r="BJ958" s="2264"/>
      <c r="BK958" s="2264"/>
      <c r="BL958" s="1567"/>
      <c r="BM958" s="2264">
        <f>+BM956+BM957</f>
      </c>
      <c r="BN958" s="2264">
        <f>+BN956+BN957</f>
      </c>
      <c r="BO958" s="2264">
        <f>+BO956+BO957</f>
      </c>
      <c r="BP958" s="2264">
        <f>+BP956+BP957</f>
      </c>
      <c r="BQ958" s="1567"/>
      <c r="BR958" s="2264"/>
      <c r="BS958" s="2264"/>
      <c r="BT958" s="2264"/>
      <c r="BU958" s="2264"/>
      <c r="BV958" s="1567"/>
      <c r="BW958" s="2264"/>
      <c r="BX958" s="2264"/>
      <c r="BY958" s="2264"/>
      <c r="BZ958" s="2264"/>
      <c r="CA958" s="1567"/>
      <c r="CB958" s="2264">
        <f>SUM(CB956:CB957)</f>
      </c>
      <c r="CC958" s="2264">
        <f>SUM(CC956:CC957)</f>
      </c>
      <c r="CD958" s="2264">
        <f>SUM(CD956:CD957)</f>
      </c>
      <c r="CE958" s="2264">
        <f>SUM(CE956:CE957)</f>
      </c>
      <c r="CF958" s="1567">
        <f>SUM(CB958:CE958)</f>
      </c>
      <c r="CG958" s="2264">
        <f>SUM(CG956:CG957)</f>
      </c>
      <c r="CH958" s="2264">
        <f>SUM(CH956:CH957)</f>
      </c>
      <c r="CI958" s="2264">
        <f>SUM(CI956:CI957)</f>
      </c>
      <c r="CJ958" s="2264">
        <f>SUM(CJ956:CJ957)</f>
      </c>
      <c r="CK958" s="1567">
        <f>SUM(CG958:CJ958)</f>
      </c>
      <c r="CL958" s="2264">
        <f>SUM(CL956:CL957)</f>
      </c>
      <c r="CM958" s="2264">
        <f>SUM(CM956:CM957)</f>
      </c>
      <c r="CN958" s="2264">
        <f>SUM(CN956:CN957)</f>
      </c>
      <c r="CO958" s="2264">
        <f>SUM(CO956:CO957)</f>
      </c>
      <c r="CP958" s="1567">
        <f>SUM(CL958:CO958)</f>
      </c>
      <c r="CQ958" s="933">
        <f>+CQ956+CQ957</f>
      </c>
      <c r="CR958" s="933">
        <f>+CR956+CR957</f>
      </c>
      <c r="CS958" s="933">
        <f>+CS956+CS957</f>
      </c>
      <c r="CT958" s="933">
        <f>+CT956+CT957</f>
      </c>
      <c r="CU958" s="313">
        <f>SUM(CQ958:CT958)</f>
      </c>
      <c r="CV958" s="933">
        <f>+CV956+CV957</f>
      </c>
      <c r="CW958" s="933">
        <f>+CW956+CW957</f>
      </c>
      <c r="CX958" s="933">
        <f>+CX956+CX957</f>
      </c>
      <c r="CY958" s="933">
        <f>+CY956+CY957</f>
      </c>
      <c r="CZ958" s="313">
        <f>SUM(CV958:CY958)</f>
      </c>
      <c r="DA958" s="933">
        <f>+DA956+DA957</f>
      </c>
      <c r="DB958" s="933">
        <f>SUM(DB956:DB957)</f>
      </c>
      <c r="DC958" s="31">
        <f>SUM(DC956:DC957)</f>
      </c>
      <c r="DD958" s="984">
        <f>+DD956+DD957</f>
      </c>
      <c r="DE958" s="477">
        <f>SUM(DA958:DD958)</f>
      </c>
      <c r="DF958" s="1542"/>
      <c r="DG958" s="1542"/>
      <c r="DH958" s="1542"/>
      <c r="DI958" s="1556"/>
      <c r="DJ958" s="477"/>
      <c r="DK958" s="1542"/>
      <c r="DL958" s="1542"/>
      <c r="DM958" s="1542"/>
      <c r="DN958" s="1556"/>
      <c r="DO958" s="477"/>
      <c r="DP958" s="1542"/>
      <c r="DQ958" s="1542"/>
      <c r="DR958" s="3021"/>
      <c r="DS958" s="3021"/>
      <c r="DT958" s="477"/>
      <c r="DU958" s="1542"/>
      <c r="DV958" s="1542"/>
      <c r="DW958" s="3021"/>
      <c r="DX958" s="3305"/>
      <c r="DY958" s="477"/>
      <c r="DZ958" s="1542"/>
      <c r="EA958" s="1542"/>
      <c r="EB958" s="1542"/>
      <c r="EC958" s="3305"/>
      <c r="ED958" s="477"/>
      <c r="EE958" s="1542"/>
      <c r="EF958" s="1542"/>
      <c r="EG958" s="603"/>
      <c r="EH958" s="1542"/>
      <c r="EI958" s="477"/>
      <c r="EJ958" s="603"/>
      <c r="EK958" s="477"/>
      <c r="EL958" s="477"/>
      <c r="EM958" s="477"/>
      <c r="EN958" s="477"/>
      <c r="EO958" s="1918"/>
      <c r="EP958" s="1918"/>
      <c r="EQ958" s="1918"/>
      <c r="ER958" s="1918"/>
      <c r="ES958" s="1918"/>
      <c r="ET958" s="1918"/>
      <c r="EU958" s="1918"/>
      <c r="EV958" s="1918"/>
      <c r="EW958" s="1918"/>
      <c r="EX958" s="1918"/>
    </row>
    <row r="959" spans="2:154" hidden="1" outlineLevel="1">
      <c r="B959" s="1565"/>
      <c r="C959" s="2263"/>
      <c r="D959" s="2264"/>
      <c r="E959" s="2264"/>
      <c r="F959" s="2264"/>
      <c r="G959" s="2264"/>
      <c r="H959" s="2264"/>
      <c r="I959" s="1566"/>
      <c r="J959" s="2264"/>
      <c r="K959" s="2264"/>
      <c r="L959" s="2264"/>
      <c r="M959" s="2264"/>
      <c r="N959" s="1566"/>
      <c r="O959" s="1566"/>
      <c r="P959" s="1566"/>
      <c r="Q959" s="1566"/>
      <c r="R959" s="1566"/>
      <c r="S959" s="1566"/>
      <c r="T959" s="1566"/>
      <c r="U959" s="1566"/>
      <c r="V959" s="1566"/>
      <c r="W959" s="1566"/>
      <c r="X959" s="1567"/>
      <c r="Y959" s="1566"/>
      <c r="Z959" s="1566"/>
      <c r="AA959" s="1566"/>
      <c r="AB959" s="1566"/>
      <c r="AC959" s="1567"/>
      <c r="AD959" s="1566"/>
      <c r="AE959" s="1566"/>
      <c r="AF959" s="1566"/>
      <c r="AG959" s="1566"/>
      <c r="AH959" s="1567"/>
      <c r="AI959" s="2264"/>
      <c r="AJ959" s="2264"/>
      <c r="AK959" s="2264"/>
      <c r="AL959" s="1566"/>
      <c r="AM959" s="1567"/>
      <c r="AN959" s="2264"/>
      <c r="AO959" s="2264"/>
      <c r="AP959" s="2264"/>
      <c r="AQ959" s="2264"/>
      <c r="AR959" s="1567"/>
      <c r="AS959" s="2264"/>
      <c r="AT959" s="2264"/>
      <c r="AU959" s="2264"/>
      <c r="AV959" s="2264"/>
      <c r="AW959" s="1567"/>
      <c r="AX959" s="2264"/>
      <c r="AY959" s="2264"/>
      <c r="AZ959" s="2264"/>
      <c r="BA959" s="2264"/>
      <c r="BB959" s="1567"/>
      <c r="BC959" s="2264"/>
      <c r="BD959" s="2264"/>
      <c r="BE959" s="2264"/>
      <c r="BF959" s="2264"/>
      <c r="BG959" s="1567"/>
      <c r="BH959" s="2264"/>
      <c r="BI959" s="2264"/>
      <c r="BJ959" s="2264"/>
      <c r="BK959" s="2264"/>
      <c r="BL959" s="1567"/>
      <c r="BM959" s="2264"/>
      <c r="BN959" s="2264"/>
      <c r="BO959" s="2264"/>
      <c r="BP959" s="2264"/>
      <c r="BQ959" s="1567"/>
      <c r="BR959" s="2264"/>
      <c r="BS959" s="2264"/>
      <c r="BT959" s="2264"/>
      <c r="BU959" s="2264"/>
      <c r="BV959" s="1567"/>
      <c r="BW959" s="2264"/>
      <c r="BX959" s="2264"/>
      <c r="BY959" s="2264"/>
      <c r="BZ959" s="2264"/>
      <c r="CA959" s="1567"/>
      <c r="CB959" s="2264"/>
      <c r="CC959" s="2264"/>
      <c r="CD959" s="2264"/>
      <c r="CE959" s="2264"/>
      <c r="CF959" s="1567"/>
      <c r="CG959" s="2264"/>
      <c r="CH959" s="2264"/>
      <c r="CI959" s="2264"/>
      <c r="CJ959" s="2264"/>
      <c r="CK959" s="1567"/>
      <c r="CL959" s="2264"/>
      <c r="CM959" s="2264"/>
      <c r="CN959" s="2264"/>
      <c r="CO959" s="2264"/>
      <c r="CP959" s="1567"/>
      <c r="CQ959" s="933"/>
      <c r="CR959" s="933"/>
      <c r="CS959" s="933"/>
      <c r="CT959" s="933"/>
      <c r="CU959" s="313"/>
      <c r="CV959" s="933"/>
      <c r="CW959" s="933"/>
      <c r="CX959" s="933"/>
      <c r="CY959" s="933"/>
      <c r="CZ959" s="313"/>
      <c r="DA959" s="933"/>
      <c r="DB959" s="31"/>
      <c r="DC959" s="31"/>
      <c r="DD959" s="955"/>
      <c r="DE959" s="477"/>
      <c r="DF959" s="982"/>
      <c r="DG959" s="603"/>
      <c r="DH959" s="603"/>
      <c r="DI959" s="1798"/>
      <c r="DJ959" s="477"/>
      <c r="DK959" s="982"/>
      <c r="DL959" s="603"/>
      <c r="DM959" s="603"/>
      <c r="DN959" s="1798"/>
      <c r="DO959" s="477"/>
      <c r="DP959" s="603"/>
      <c r="DQ959" s="603"/>
      <c r="DR959" s="3021"/>
      <c r="DS959" s="3021"/>
      <c r="DT959" s="477"/>
      <c r="DU959" s="603"/>
      <c r="DV959" s="603"/>
      <c r="DW959" s="3021"/>
      <c r="DX959" s="3305"/>
      <c r="DY959" s="477"/>
      <c r="DZ959" s="603"/>
      <c r="EA959" s="603"/>
      <c r="EB959" s="603"/>
      <c r="EC959" s="3305"/>
      <c r="ED959" s="477"/>
      <c r="EE959" s="603"/>
      <c r="EF959" s="603"/>
      <c r="EG959" s="603"/>
      <c r="EH959" s="603"/>
      <c r="EI959" s="477"/>
      <c r="EJ959" s="603"/>
      <c r="EK959" s="477"/>
      <c r="EL959" s="477"/>
      <c r="EM959" s="477"/>
      <c r="EN959" s="477"/>
      <c r="EO959" s="1918"/>
      <c r="EP959" s="1918"/>
      <c r="EQ959" s="1918"/>
      <c r="ER959" s="1918"/>
      <c r="ES959" s="1918"/>
      <c r="ET959" s="1918"/>
      <c r="EU959" s="1918"/>
      <c r="EV959" s="1918"/>
      <c r="EW959" s="1918"/>
      <c r="EX959" s="1918"/>
    </row>
    <row r="960" spans="2:154" hidden="1" outlineLevel="1">
      <c r="B960" s="1569" t="s">
        <v>603</v>
      </c>
      <c r="C960" s="2263"/>
      <c r="D960" s="2264"/>
      <c r="E960" s="2264"/>
      <c r="F960" s="2264"/>
      <c r="G960" s="2264"/>
      <c r="H960" s="2264"/>
      <c r="I960" s="1566"/>
      <c r="J960" s="2264"/>
      <c r="K960" s="2264"/>
      <c r="L960" s="2264"/>
      <c r="M960" s="2264"/>
      <c r="N960" s="1566"/>
      <c r="O960" s="1566"/>
      <c r="P960" s="1566"/>
      <c r="Q960" s="1566"/>
      <c r="R960" s="1566"/>
      <c r="S960" s="1566"/>
      <c r="T960" s="1566"/>
      <c r="U960" s="1566"/>
      <c r="V960" s="1566"/>
      <c r="W960" s="1566"/>
      <c r="X960" s="1567"/>
      <c r="Y960" s="1566"/>
      <c r="Z960" s="1566"/>
      <c r="AA960" s="1566"/>
      <c r="AB960" s="1566"/>
      <c r="AC960" s="1567"/>
      <c r="AD960" s="1566"/>
      <c r="AE960" s="1566"/>
      <c r="AF960" s="1566"/>
      <c r="AG960" s="1566"/>
      <c r="AH960" s="1567"/>
      <c r="AI960" s="2264"/>
      <c r="AJ960" s="2264"/>
      <c r="AK960" s="2264"/>
      <c r="AL960" s="1566"/>
      <c r="AM960" s="1567"/>
      <c r="AN960" s="2264"/>
      <c r="AO960" s="2264"/>
      <c r="AP960" s="2264"/>
      <c r="AQ960" s="2264"/>
      <c r="AR960" s="1567"/>
      <c r="AS960" s="2264"/>
      <c r="AT960" s="2264"/>
      <c r="AU960" s="2264"/>
      <c r="AV960" s="2264"/>
      <c r="AW960" s="1567"/>
      <c r="AX960" s="2264"/>
      <c r="AY960" s="2264"/>
      <c r="AZ960" s="2264"/>
      <c r="BA960" s="2264"/>
      <c r="BB960" s="1567"/>
      <c r="BC960" s="2264"/>
      <c r="BD960" s="2264"/>
      <c r="BE960" s="2264"/>
      <c r="BF960" s="2264"/>
      <c r="BG960" s="1567"/>
      <c r="BH960" s="2264"/>
      <c r="BI960" s="2264"/>
      <c r="BJ960" s="2264"/>
      <c r="BK960" s="2264"/>
      <c r="BL960" s="1567"/>
      <c r="BM960" s="2264"/>
      <c r="BN960" s="2264"/>
      <c r="BO960" s="2264"/>
      <c r="BP960" s="2264"/>
      <c r="BQ960" s="1567"/>
      <c r="BR960" s="2264"/>
      <c r="BS960" s="2264"/>
      <c r="BT960" s="2264"/>
      <c r="BU960" s="2264"/>
      <c r="BV960" s="1567"/>
      <c r="BW960" s="2264"/>
      <c r="BX960" s="2264"/>
      <c r="BY960" s="2264"/>
      <c r="BZ960" s="2264"/>
      <c r="CA960" s="1567"/>
      <c r="CB960" s="2264"/>
      <c r="CC960" s="2264"/>
      <c r="CD960" s="2264"/>
      <c r="CE960" s="2264"/>
      <c r="CF960" s="1567"/>
      <c r="CG960" s="2264"/>
      <c r="CH960" s="2264"/>
      <c r="CI960" s="2264"/>
      <c r="CJ960" s="2264"/>
      <c r="CK960" s="1567"/>
      <c r="CL960" s="2264"/>
      <c r="CM960" s="2264"/>
      <c r="CN960" s="2264"/>
      <c r="CO960" s="2264"/>
      <c r="CP960" s="1567"/>
      <c r="CQ960" s="933"/>
      <c r="CR960" s="933"/>
      <c r="CS960" s="933"/>
      <c r="CT960" s="933"/>
      <c r="CU960" s="313"/>
      <c r="CV960" s="933"/>
      <c r="CW960" s="933"/>
      <c r="CX960" s="933"/>
      <c r="CY960" s="933"/>
      <c r="CZ960" s="313"/>
      <c r="DA960" s="933"/>
      <c r="DB960" s="31"/>
      <c r="DC960" s="31"/>
      <c r="DD960" s="955"/>
      <c r="DE960" s="477"/>
      <c r="DF960" s="982"/>
      <c r="DG960" s="2265"/>
      <c r="DH960" s="603"/>
      <c r="DI960" s="1798"/>
      <c r="DJ960" s="477"/>
      <c r="DK960" s="982"/>
      <c r="DL960" s="2265"/>
      <c r="DM960" s="603"/>
      <c r="DN960" s="1798"/>
      <c r="DO960" s="477"/>
      <c r="DP960" s="2265"/>
      <c r="DQ960" s="2265"/>
      <c r="DR960" s="3021"/>
      <c r="DS960" s="3021"/>
      <c r="DT960" s="477"/>
      <c r="DU960" s="603"/>
      <c r="DV960" s="2265"/>
      <c r="DW960" s="3021"/>
      <c r="DX960" s="3305"/>
      <c r="DY960" s="477"/>
      <c r="DZ960" s="2265"/>
      <c r="EA960" s="2265"/>
      <c r="EB960" s="603"/>
      <c r="EC960" s="3305"/>
      <c r="ED960" s="477"/>
      <c r="EE960" s="2265"/>
      <c r="EF960" s="2265"/>
      <c r="EG960" s="603"/>
      <c r="EH960" s="603"/>
      <c r="EI960" s="477"/>
      <c r="EJ960" s="603"/>
      <c r="EK960" s="477"/>
      <c r="EL960" s="477"/>
      <c r="EM960" s="477"/>
      <c r="EN960" s="477"/>
      <c r="EO960" s="1918"/>
      <c r="EP960" s="1918"/>
      <c r="EQ960" s="1918"/>
      <c r="ER960" s="1918"/>
      <c r="ES960" s="1918"/>
      <c r="ET960" s="1918"/>
      <c r="EU960" s="1918"/>
      <c r="EV960" s="1918"/>
      <c r="EW960" s="1918"/>
      <c r="EX960" s="1918"/>
    </row>
    <row r="961" spans="1:154" hidden="1" outlineLevel="1">
      <c r="B961" s="1570" t="s">
        <v>187</v>
      </c>
      <c r="C961" s="2263"/>
      <c r="D961" s="2264"/>
      <c r="E961" s="2264"/>
      <c r="F961" s="2264"/>
      <c r="G961" s="2264"/>
      <c r="H961" s="2264"/>
      <c r="I961" s="1566"/>
      <c r="J961" s="2264"/>
      <c r="K961" s="2264"/>
      <c r="L961" s="2264"/>
      <c r="M961" s="2264"/>
      <c r="N961" s="1566"/>
      <c r="O961" s="1566"/>
      <c r="P961" s="1566"/>
      <c r="Q961" s="1566"/>
      <c r="R961" s="1566"/>
      <c r="S961" s="1566"/>
      <c r="T961" s="1566"/>
      <c r="U961" s="1566"/>
      <c r="V961" s="1566"/>
      <c r="W961" s="1566"/>
      <c r="X961" s="1567"/>
      <c r="Y961" s="1566"/>
      <c r="Z961" s="1566"/>
      <c r="AA961" s="1566"/>
      <c r="AB961" s="1566"/>
      <c r="AC961" s="1567"/>
      <c r="AD961" s="1566"/>
      <c r="AE961" s="1566"/>
      <c r="AF961" s="1566"/>
      <c r="AG961" s="1566"/>
      <c r="AH961" s="1567"/>
      <c r="AI961" s="2264"/>
      <c r="AJ961" s="2264"/>
      <c r="AK961" s="2264"/>
      <c r="AL961" s="1566"/>
      <c r="AM961" s="1567"/>
      <c r="AN961" s="2264"/>
      <c r="AO961" s="2264"/>
      <c r="AP961" s="2264"/>
      <c r="AQ961" s="2264"/>
      <c r="AR961" s="1567"/>
      <c r="AS961" s="2264"/>
      <c r="AT961" s="2264"/>
      <c r="AU961" s="2264"/>
      <c r="AV961" s="2264"/>
      <c r="AW961" s="1567"/>
      <c r="AX961" s="2264"/>
      <c r="AY961" s="2264"/>
      <c r="AZ961" s="2264"/>
      <c r="BA961" s="2264"/>
      <c r="BB961" s="1567"/>
      <c r="BC961" s="2264"/>
      <c r="BD961" s="2264"/>
      <c r="BE961" s="2264"/>
      <c r="BF961" s="2264"/>
      <c r="BG961" s="1567"/>
      <c r="BH961" s="2264"/>
      <c r="BI961" s="2264"/>
      <c r="BJ961" s="2264"/>
      <c r="BK961" s="2264"/>
      <c r="BL961" s="1567"/>
      <c r="BM961" s="2266" t="str">
        <f t="shared" ref="BM961:BP962" si="2084">IF(BH956="NM","NM",IF(BM956="NM","NM",IF(BH956&lt;=0,"NM",IF(BM956=0,"NM",IF(ABS(BM956/BH956-1)&gt;2.5,"NM",IF((ABS(BM956-BH956)=ABS(ABS(BM956)-ABS(BH956))),(BM956/BH956-1),"NM"))))))</f>
      </c>
      <c r="BN961" s="2266" t="str">
        <f t="shared" si="2084"/>
      </c>
      <c r="BO961" s="2266" t="str">
        <f t="shared" si="2084"/>
      </c>
      <c r="BP961" s="2266" t="str">
        <f t="shared" si="2084"/>
      </c>
      <c r="BQ961" s="2267"/>
      <c r="BR961" s="2266"/>
      <c r="BS961" s="2266"/>
      <c r="BT961" s="2266"/>
      <c r="BU961" s="2266"/>
      <c r="BV961" s="2267"/>
      <c r="BW961" s="2266"/>
      <c r="BX961" s="2266"/>
      <c r="BY961" s="2266"/>
      <c r="BZ961" s="2266"/>
      <c r="CA961" s="2268"/>
      <c r="CB961" s="2266"/>
      <c r="CC961" s="2266"/>
      <c r="CD961" s="2266"/>
      <c r="CE961" s="2266"/>
      <c r="CF961" s="2268"/>
      <c r="CG961" s="2266">
        <f t="shared" ref="CG961:CX962" si="2085">IF(CB956="NM","NM",IF(CG956="NM","NM",IF(CB956&lt;=0,"NM",IF(CG956=0,"NM",IF(ABS(CG956/CB956-1)&gt;2.5,"NM",IF((ABS(CG956-CB956)=ABS(ABS(CG956)-ABS(CB956))),(CG956/CB956-1),"NM"))))))</f>
      </c>
      <c r="CH961" s="2266">
        <f t="shared" si="2085"/>
      </c>
      <c r="CI961" s="2266">
        <f t="shared" si="2085"/>
      </c>
      <c r="CJ961" s="2266">
        <f t="shared" si="2085"/>
      </c>
      <c r="CK961" s="2267">
        <f t="shared" si="2085"/>
      </c>
      <c r="CL961" s="2266">
        <f t="shared" si="2085"/>
      </c>
      <c r="CM961" s="2266">
        <f t="shared" si="2085"/>
      </c>
      <c r="CN961" s="2266">
        <f t="shared" si="2085"/>
      </c>
      <c r="CO961" s="2266">
        <f t="shared" si="2085"/>
      </c>
      <c r="CP961" s="2267">
        <f>IF(CK956=0, 0, CP956/CK956-1)</f>
      </c>
      <c r="CQ961" s="926">
        <f t="shared" si="2085"/>
      </c>
      <c r="CR961" s="926">
        <f t="shared" si="2085"/>
      </c>
      <c r="CS961" s="926">
        <f t="shared" si="2085"/>
      </c>
      <c r="CT961" s="926">
        <f t="shared" si="2085"/>
      </c>
      <c r="CU961" s="1060">
        <f>IF(CP956=0, 0, CU956/CP956-1)</f>
      </c>
      <c r="CV961" s="926">
        <f t="shared" si="2085"/>
      </c>
      <c r="CW961" s="926">
        <f t="shared" si="2085"/>
      </c>
      <c r="CX961" s="926">
        <f t="shared" si="2085"/>
      </c>
      <c r="CY961" s="926">
        <f>IF(CT956="NM","NM",IF(CY956="NM","NM",IF(CT956&lt;=0,"NM",IF(CY956=0,"NM",IF(ABS(CY956/CT956-1)&gt;2.5,"NM",IF((ABS(CY956-CT956)=ABS(ABS(CY956)-ABS(CT956))),(CY956/CT956-1),"NM"))))))</f>
      </c>
      <c r="CZ961" s="1060">
        <f>IF(CU956=0, 0, CZ956/CU956-1)</f>
      </c>
      <c r="DA961" s="926">
        <f t="shared" ref="DA961:DC962" si="2086">IF(CV956="NM","NM",IF(DA956="NM","NM",IF(CV956&lt;=0,"NM",IF(DA956=0,"NM",IF(ABS(DA956/CV956-1)&gt;2.5,"NM",IF((ABS(DA956-CV956)=ABS(ABS(DA956)-ABS(CV956))),(DA956/CV956-1),"NM"))))))</f>
      </c>
      <c r="DB961" s="926">
        <f t="shared" si="2086"/>
      </c>
      <c r="DC961" s="926">
        <f t="shared" si="2086"/>
      </c>
      <c r="DD961" s="927">
        <f>IF(DD956=0,"NM",+DD956/CY956-1)</f>
      </c>
      <c r="DE961" s="1060">
        <f>IF(CZ956=0, 0, DE956/CZ956-1)</f>
      </c>
      <c r="DF961" s="361"/>
      <c r="DG961" s="361"/>
      <c r="DH961" s="361"/>
      <c r="DI961" s="927"/>
      <c r="DJ961" s="836"/>
      <c r="DK961" s="361"/>
      <c r="DL961" s="361"/>
      <c r="DM961" s="361"/>
      <c r="DN961" s="927"/>
      <c r="DO961" s="836"/>
      <c r="DP961" s="361"/>
      <c r="DQ961" s="361"/>
      <c r="DR961" s="2052"/>
      <c r="DS961" s="2052"/>
      <c r="DT961" s="317"/>
      <c r="DU961" s="925"/>
      <c r="DV961" s="361"/>
      <c r="DW961" s="2052"/>
      <c r="DX961" s="2053"/>
      <c r="DY961" s="317"/>
      <c r="DZ961" s="361"/>
      <c r="EA961" s="361"/>
      <c r="EB961" s="361"/>
      <c r="EC961" s="2053"/>
      <c r="ED961" s="317"/>
      <c r="EE961" s="361"/>
      <c r="EF961" s="361"/>
      <c r="EG961" s="29"/>
      <c r="EH961" s="925"/>
      <c r="EI961" s="317"/>
      <c r="EJ961" s="29"/>
      <c r="EK961" s="836"/>
      <c r="EL961" s="836"/>
      <c r="EM961" s="836"/>
      <c r="EN961" s="836"/>
      <c r="EO961" s="2271"/>
      <c r="EP961" s="2271"/>
      <c r="EQ961" s="2271"/>
      <c r="ER961" s="2271"/>
      <c r="ES961" s="2271"/>
      <c r="ET961" s="2271"/>
      <c r="EU961" s="2271"/>
      <c r="EV961" s="2271"/>
      <c r="EW961" s="2271"/>
      <c r="EX961" s="2271"/>
    </row>
    <row r="962" spans="1:154" hidden="1" outlineLevel="1">
      <c r="B962" s="1570" t="s">
        <v>412</v>
      </c>
      <c r="C962" s="2263"/>
      <c r="D962" s="2264"/>
      <c r="E962" s="2264"/>
      <c r="F962" s="2264"/>
      <c r="G962" s="2264"/>
      <c r="H962" s="2264"/>
      <c r="I962" s="1566"/>
      <c r="J962" s="2264"/>
      <c r="K962" s="2264"/>
      <c r="L962" s="2264"/>
      <c r="M962" s="2264"/>
      <c r="N962" s="1566"/>
      <c r="O962" s="1566"/>
      <c r="P962" s="1566"/>
      <c r="Q962" s="1566"/>
      <c r="R962" s="1566"/>
      <c r="S962" s="1566"/>
      <c r="T962" s="1566"/>
      <c r="U962" s="1566"/>
      <c r="V962" s="1566"/>
      <c r="W962" s="1566"/>
      <c r="X962" s="1567"/>
      <c r="Y962" s="1566"/>
      <c r="Z962" s="1566"/>
      <c r="AA962" s="1566"/>
      <c r="AB962" s="1566"/>
      <c r="AC962" s="1567"/>
      <c r="AD962" s="1566"/>
      <c r="AE962" s="1566"/>
      <c r="AF962" s="1566"/>
      <c r="AG962" s="1566"/>
      <c r="AH962" s="1567"/>
      <c r="AI962" s="2264"/>
      <c r="AJ962" s="2264"/>
      <c r="AK962" s="2264"/>
      <c r="AL962" s="1566"/>
      <c r="AM962" s="1567"/>
      <c r="AN962" s="2264"/>
      <c r="AO962" s="2264"/>
      <c r="AP962" s="2264"/>
      <c r="AQ962" s="2264"/>
      <c r="AR962" s="1567"/>
      <c r="AS962" s="2264"/>
      <c r="AT962" s="2264"/>
      <c r="AU962" s="2264"/>
      <c r="AV962" s="2264"/>
      <c r="AW962" s="1567"/>
      <c r="AX962" s="2264"/>
      <c r="AY962" s="2264"/>
      <c r="AZ962" s="2264"/>
      <c r="BA962" s="2264"/>
      <c r="BB962" s="1567"/>
      <c r="BC962" s="2264"/>
      <c r="BD962" s="2264"/>
      <c r="BE962" s="2264"/>
      <c r="BF962" s="2264"/>
      <c r="BG962" s="1567"/>
      <c r="BH962" s="2264"/>
      <c r="BI962" s="2264"/>
      <c r="BJ962" s="2264"/>
      <c r="BK962" s="2264"/>
      <c r="BL962" s="1567"/>
      <c r="BM962" s="2266" t="str">
        <f t="shared" si="2084"/>
      </c>
      <c r="BN962" s="2266" t="str">
        <f t="shared" si="2084"/>
      </c>
      <c r="BO962" s="2266" t="str">
        <f t="shared" si="2084"/>
      </c>
      <c r="BP962" s="2266" t="str">
        <f t="shared" si="2084"/>
      </c>
      <c r="BQ962" s="2267"/>
      <c r="BR962" s="2266"/>
      <c r="BS962" s="2266"/>
      <c r="BT962" s="2266"/>
      <c r="BU962" s="2266"/>
      <c r="BV962" s="2267"/>
      <c r="BW962" s="2266"/>
      <c r="BX962" s="2266"/>
      <c r="BY962" s="2266"/>
      <c r="BZ962" s="2266"/>
      <c r="CA962" s="2267"/>
      <c r="CB962" s="2266"/>
      <c r="CC962" s="2266"/>
      <c r="CD962" s="2266"/>
      <c r="CE962" s="2266"/>
      <c r="CF962" s="2267"/>
      <c r="CG962" s="2266">
        <f t="shared" si="2085"/>
      </c>
      <c r="CH962" s="2266">
        <f t="shared" si="2085"/>
      </c>
      <c r="CI962" s="2266">
        <f t="shared" si="2085"/>
      </c>
      <c r="CJ962" s="2266">
        <f t="shared" si="2085"/>
      </c>
      <c r="CK962" s="2267">
        <f t="shared" si="2085"/>
      </c>
      <c r="CL962" s="2266">
        <f t="shared" si="2085"/>
      </c>
      <c r="CM962" s="2266">
        <f t="shared" si="2085"/>
      </c>
      <c r="CN962" s="2266">
        <f t="shared" si="2085"/>
      </c>
      <c r="CO962" s="2266">
        <f t="shared" si="2085"/>
      </c>
      <c r="CP962" s="2267">
        <f>IF(CK957=0, "NA", CP957/CK957-1)</f>
      </c>
      <c r="CQ962" s="926">
        <f t="shared" si="2085"/>
      </c>
      <c r="CR962" s="926">
        <f t="shared" si="2085"/>
      </c>
      <c r="CS962" s="926">
        <f t="shared" si="2085"/>
      </c>
      <c r="CT962" s="926">
        <f t="shared" si="2085"/>
      </c>
      <c r="CU962" s="1060">
        <f>IF(CP957=0, "NA", CU957/CP957-1)</f>
      </c>
      <c r="CV962" s="926">
        <f t="shared" si="2085"/>
      </c>
      <c r="CW962" s="926">
        <f t="shared" si="2085"/>
      </c>
      <c r="CX962" s="926">
        <f t="shared" si="2085"/>
      </c>
      <c r="CY962" s="926">
        <f>IF(CT957="NM","NM",IF(CY957="NM","NM",IF(CT957&lt;=0,"NM",IF(CY957=0,"NM",IF(ABS(CY957/CT957-1)&gt;2.5,"NM",IF((ABS(CY957-CT957)=ABS(ABS(CY957)-ABS(CT957))),(CY957/CT957-1),"NM"))))))</f>
      </c>
      <c r="CZ962" s="1060">
        <f>IF(CU957=0, "NA", CZ957/CU957-1)</f>
      </c>
      <c r="DA962" s="926">
        <f t="shared" si="2086"/>
      </c>
      <c r="DB962" s="926">
        <f t="shared" si="2086"/>
      </c>
      <c r="DC962" s="926">
        <f t="shared" si="2086"/>
      </c>
      <c r="DD962" s="960">
        <f>IF(DD957=0, "NM", DD957/CY957-1)</f>
      </c>
      <c r="DE962" s="1060">
        <f>IF(CZ957=0, "NA", DE957/CZ957-1)</f>
      </c>
      <c r="DF962" s="926"/>
      <c r="DG962" s="926"/>
      <c r="DH962" s="926"/>
      <c r="DI962" s="928"/>
      <c r="DJ962" s="1060"/>
      <c r="DK962" s="926"/>
      <c r="DL962" s="926"/>
      <c r="DM962" s="926"/>
      <c r="DN962" s="928"/>
      <c r="DO962" s="1060"/>
      <c r="DP962" s="926"/>
      <c r="DQ962" s="926"/>
      <c r="DR962" s="944"/>
      <c r="DS962" s="944"/>
      <c r="DT962" s="1060"/>
      <c r="DU962" s="926"/>
      <c r="DV962" s="926"/>
      <c r="DW962" s="944"/>
      <c r="DX962" s="2107"/>
      <c r="DY962" s="1060"/>
      <c r="DZ962" s="926"/>
      <c r="EA962" s="926"/>
      <c r="EB962" s="926"/>
      <c r="EC962" s="2107"/>
      <c r="ED962" s="1060"/>
      <c r="EE962" s="926"/>
      <c r="EF962" s="926"/>
      <c r="EG962" s="926"/>
      <c r="EH962" s="926"/>
      <c r="EI962" s="1060"/>
      <c r="EJ962" s="926"/>
      <c r="EK962" s="1060"/>
      <c r="EL962" s="1060"/>
      <c r="EM962" s="1060"/>
      <c r="EN962" s="1060"/>
      <c r="EO962" s="2267"/>
      <c r="EP962" s="2267"/>
      <c r="EQ962" s="2267"/>
      <c r="ER962" s="2267"/>
      <c r="ES962" s="2267"/>
      <c r="ET962" s="2267"/>
      <c r="EU962" s="2267"/>
      <c r="EV962" s="2267"/>
      <c r="EW962" s="2267"/>
      <c r="EX962" s="2267"/>
    </row>
    <row r="963" spans="1:154" hidden="1" outlineLevel="1">
      <c r="B963" s="1570" t="s">
        <v>256</v>
      </c>
      <c r="C963" s="2263"/>
      <c r="D963" s="2264"/>
      <c r="E963" s="2264"/>
      <c r="F963" s="2264"/>
      <c r="G963" s="2264"/>
      <c r="H963" s="2264"/>
      <c r="I963" s="1566"/>
      <c r="J963" s="2264"/>
      <c r="K963" s="2264"/>
      <c r="L963" s="2264"/>
      <c r="M963" s="2264"/>
      <c r="N963" s="1566"/>
      <c r="O963" s="1566"/>
      <c r="P963" s="1566"/>
      <c r="Q963" s="1566"/>
      <c r="R963" s="1566"/>
      <c r="S963" s="1566"/>
      <c r="T963" s="1566"/>
      <c r="U963" s="1566"/>
      <c r="V963" s="1566"/>
      <c r="W963" s="1566"/>
      <c r="X963" s="1567"/>
      <c r="Y963" s="1566"/>
      <c r="Z963" s="1566"/>
      <c r="AA963" s="1566"/>
      <c r="AB963" s="1566"/>
      <c r="AC963" s="1567"/>
      <c r="AD963" s="1566"/>
      <c r="AE963" s="1566"/>
      <c r="AF963" s="1566"/>
      <c r="AG963" s="1566"/>
      <c r="AH963" s="1567"/>
      <c r="AI963" s="2264"/>
      <c r="AJ963" s="2264"/>
      <c r="AK963" s="2264"/>
      <c r="AL963" s="1566"/>
      <c r="AM963" s="1567"/>
      <c r="AN963" s="2264"/>
      <c r="AO963" s="2264"/>
      <c r="AP963" s="2264"/>
      <c r="AQ963" s="2264"/>
      <c r="AR963" s="1567"/>
      <c r="AS963" s="2264"/>
      <c r="AT963" s="2264"/>
      <c r="AU963" s="2264"/>
      <c r="AV963" s="2264"/>
      <c r="AW963" s="1567"/>
      <c r="AX963" s="2264"/>
      <c r="AY963" s="2264"/>
      <c r="AZ963" s="2264"/>
      <c r="BA963" s="2264"/>
      <c r="BB963" s="1567"/>
      <c r="BC963" s="2264"/>
      <c r="BD963" s="2264"/>
      <c r="BE963" s="2264"/>
      <c r="BF963" s="2264"/>
      <c r="BG963" s="1567"/>
      <c r="BH963" s="2264"/>
      <c r="BI963" s="2264"/>
      <c r="BJ963" s="2264"/>
      <c r="BK963" s="2264"/>
      <c r="BL963" s="1567"/>
      <c r="BM963" s="2266" t="str">
        <f>IF(ISNUMBER(BM962),(1+BM962)/(1+BM$21)-1,"NM")</f>
      </c>
      <c r="BN963" s="2266" t="str">
        <f>IF(ISNUMBER(BN962),(1+BN962)/(1+BN$21)-1,"NM")</f>
      </c>
      <c r="BO963" s="2266" t="str">
        <f>IF(ISNUMBER(BO962),(1+BO962)/(1+BO$21)-1,"NM")</f>
      </c>
      <c r="BP963" s="2272" t="str">
        <f>IF(ISNUMBER(BP962),(1+BP962)/(1+BP$21)-1,"NM")</f>
      </c>
      <c r="BQ963" s="2267"/>
      <c r="BR963" s="1571"/>
      <c r="BS963" s="1571"/>
      <c r="BT963" s="1571"/>
      <c r="BU963" s="1571"/>
      <c r="BV963" s="1572"/>
      <c r="BW963" s="1571"/>
      <c r="BX963" s="1571"/>
      <c r="BY963" s="1571"/>
      <c r="BZ963" s="2269"/>
      <c r="CA963" s="1572"/>
      <c r="CB963" s="2270"/>
      <c r="CC963" s="1571"/>
      <c r="CD963" s="1571"/>
      <c r="CE963" s="2269"/>
      <c r="CF963" s="1572"/>
      <c r="CG963" s="2266">
        <f>IF(ISNUMBER(CG962),(1+CG962)/(1+CG$21)-1,"NM")</f>
      </c>
      <c r="CH963" s="2266">
        <f>IF(ISNUMBER(CH962),(1+CH962)/(1+CH$21)-1,"NM")</f>
      </c>
      <c r="CI963" s="2266">
        <f>IF(ISNUMBER(CI962),(1+CI962)/(1+CI$21)-1,"NM")</f>
      </c>
      <c r="CJ963" s="2270">
        <v>0.14599999999999999</v>
      </c>
      <c r="CK963" s="2268">
        <f>IF(ISNUMBER(CK962),(1+CK962)/(1+CK$21)-1,"NM")</f>
      </c>
      <c r="CL963" s="2266">
        <f>IF(ISNUMBER(CL962),(1+CL962)/(1+CL$21)-1,"NM")</f>
      </c>
      <c r="CM963" s="2266">
        <f>IF(ISNUMBER(CM962),(1+CM962)/(1+CM$21)-1,"NM")</f>
      </c>
      <c r="CN963" s="2270">
        <v>-1.2E-2</v>
      </c>
      <c r="CO963" s="2270">
        <v>-2.5000000000000001E-2</v>
      </c>
      <c r="CP963" s="2268">
        <f>CP962-CP$21</f>
      </c>
      <c r="CQ963" s="29">
        <v>4.8000000000000001E-2</v>
      </c>
      <c r="CR963" s="29">
        <v>-0.01</v>
      </c>
      <c r="CS963" s="407">
        <v>2.8000000000000001E-2</v>
      </c>
      <c r="CT963" s="407">
        <v>3.1E-2</v>
      </c>
      <c r="CU963" s="2248">
        <f>CU962-CU$21</f>
      </c>
      <c r="CV963" s="29">
        <v>2.7E-2</v>
      </c>
      <c r="CW963" s="29">
        <v>4.2000000000000003E-2</v>
      </c>
      <c r="CX963" s="29">
        <v>7.9000000000000001E-2</v>
      </c>
      <c r="CY963" s="407">
        <v>2.7E-2</v>
      </c>
      <c r="CZ963" s="2248">
        <f>CZ962-CZ$21</f>
      </c>
      <c r="DA963" s="29">
        <v>7.5999999999999998E-2</v>
      </c>
      <c r="DB963" s="29">
        <v>-0.182</v>
      </c>
      <c r="DC963" s="361">
        <v>-0.23100000000000001</v>
      </c>
      <c r="DD963" s="1479">
        <v>-0.307</v>
      </c>
      <c r="DE963" s="1060">
        <v>-0.184</v>
      </c>
      <c r="DF963" s="29"/>
      <c r="DG963" s="361"/>
      <c r="DH963" s="361"/>
      <c r="DI963" s="927"/>
      <c r="DJ963" s="836"/>
      <c r="DK963" s="29"/>
      <c r="DL963" s="361"/>
      <c r="DM963" s="361"/>
      <c r="DN963" s="927"/>
      <c r="DO963" s="836"/>
      <c r="DP963" s="361"/>
      <c r="DQ963" s="361"/>
      <c r="DR963" s="2052"/>
      <c r="DS963" s="2052"/>
      <c r="DT963" s="317"/>
      <c r="DU963" s="925"/>
      <c r="DV963" s="361"/>
      <c r="DW963" s="2052"/>
      <c r="DX963" s="2053"/>
      <c r="DY963" s="317"/>
      <c r="DZ963" s="361"/>
      <c r="EA963" s="361"/>
      <c r="EB963" s="361"/>
      <c r="EC963" s="2053"/>
      <c r="ED963" s="317"/>
      <c r="EE963" s="361"/>
      <c r="EF963" s="361"/>
      <c r="EG963" s="29"/>
      <c r="EH963" s="925"/>
      <c r="EI963" s="317"/>
      <c r="EJ963" s="29"/>
      <c r="EK963" s="836"/>
      <c r="EL963" s="836"/>
      <c r="EM963" s="836"/>
      <c r="EN963" s="836"/>
      <c r="EO963" s="2271"/>
      <c r="EP963" s="2271"/>
      <c r="EQ963" s="2271"/>
      <c r="ER963" s="2271"/>
      <c r="ES963" s="2271"/>
      <c r="ET963" s="2271"/>
      <c r="EU963" s="2271"/>
      <c r="EV963" s="2271"/>
      <c r="EW963" s="2271"/>
      <c r="EX963" s="2271"/>
    </row>
    <row r="964" spans="1:154" hidden="1" outlineLevel="1">
      <c r="B964" s="1570" t="s">
        <v>413</v>
      </c>
      <c r="C964" s="2263"/>
      <c r="D964" s="2264"/>
      <c r="E964" s="2264"/>
      <c r="F964" s="2264"/>
      <c r="G964" s="2264"/>
      <c r="H964" s="2264"/>
      <c r="I964" s="1566"/>
      <c r="J964" s="2264"/>
      <c r="K964" s="2264"/>
      <c r="L964" s="2264"/>
      <c r="M964" s="2264"/>
      <c r="N964" s="1566"/>
      <c r="O964" s="1566"/>
      <c r="P964" s="1566"/>
      <c r="Q964" s="1566"/>
      <c r="R964" s="1566"/>
      <c r="S964" s="1566"/>
      <c r="T964" s="1566"/>
      <c r="U964" s="1566"/>
      <c r="V964" s="1566"/>
      <c r="W964" s="1566"/>
      <c r="X964" s="1567"/>
      <c r="Y964" s="1566"/>
      <c r="Z964" s="1566"/>
      <c r="AA964" s="1566"/>
      <c r="AB964" s="1566"/>
      <c r="AC964" s="1567"/>
      <c r="AD964" s="1566"/>
      <c r="AE964" s="1566"/>
      <c r="AF964" s="1566"/>
      <c r="AG964" s="1566"/>
      <c r="AH964" s="1567"/>
      <c r="AI964" s="2264"/>
      <c r="AJ964" s="2264"/>
      <c r="AK964" s="2264"/>
      <c r="AL964" s="1566"/>
      <c r="AM964" s="1567"/>
      <c r="AN964" s="2264"/>
      <c r="AO964" s="2264"/>
      <c r="AP964" s="2264"/>
      <c r="AQ964" s="2264"/>
      <c r="AR964" s="1567"/>
      <c r="AS964" s="2264"/>
      <c r="AT964" s="2264"/>
      <c r="AU964" s="2264"/>
      <c r="AV964" s="2264"/>
      <c r="AW964" s="1567"/>
      <c r="AX964" s="2264"/>
      <c r="AY964" s="2264"/>
      <c r="AZ964" s="2264"/>
      <c r="BA964" s="2264"/>
      <c r="BB964" s="1567"/>
      <c r="BC964" s="2264"/>
      <c r="BD964" s="2264"/>
      <c r="BE964" s="2264"/>
      <c r="BF964" s="2264"/>
      <c r="BG964" s="1567"/>
      <c r="BH964" s="2264"/>
      <c r="BI964" s="2264"/>
      <c r="BJ964" s="2264"/>
      <c r="BK964" s="2264"/>
      <c r="BL964" s="1567"/>
      <c r="BM964" s="2266" t="str">
        <f>IF(BH958="NM","NM",IF(BM958="NM","NM",IF(BH958&lt;=0,"NM",IF(BM958=0,"NM",IF(ABS(BM958/BH958-1)&gt;2.5,"NM",IF((ABS(BM958-BH958)=ABS(ABS(BM958)-ABS(BH958))),(BM958/BH958-1),"NM"))))))</f>
      </c>
      <c r="BN964" s="2266" t="str">
        <f>IF(BI958="NM","NM",IF(BN958="NM","NM",IF(BI958&lt;=0,"NM",IF(BN958=0,"NM",IF(ABS(BN958/BI958-1)&gt;2.5,"NM",IF((ABS(BN958-BI958)=ABS(ABS(BN958)-ABS(BI958))),(BN958/BI958-1),"NM"))))))</f>
      </c>
      <c r="BO964" s="2266" t="str">
        <f>IF(BJ958="NM","NM",IF(BO958="NM","NM",IF(BJ958&lt;=0,"NM",IF(BO958=0,"NM",IF(ABS(BO958/BJ958-1)&gt;2.5,"NM",IF((ABS(BO958-BJ958)=ABS(ABS(BO958)-ABS(BJ958))),(BO958/BJ958-1),"NM"))))))</f>
      </c>
      <c r="BP964" s="2266" t="str">
        <f>IF(BK958="NM","NM",IF(BP958="NM","NM",IF(BK958&lt;=0,"NM",IF(BP958=0,"NM",IF(ABS(BP958/BK958-1)&gt;2.5,"NM",IF((ABS(BP958-BK958)=ABS(ABS(BP958)-ABS(BK958))),(BP958/BK958-1),"NM"))))))</f>
      </c>
      <c r="BQ964" s="2267"/>
      <c r="BR964" s="2266"/>
      <c r="BS964" s="2266"/>
      <c r="BT964" s="2266"/>
      <c r="BU964" s="2266"/>
      <c r="BV964" s="2267"/>
      <c r="BW964" s="2266"/>
      <c r="BX964" s="2266"/>
      <c r="BY964" s="2266"/>
      <c r="BZ964" s="2266"/>
      <c r="CA964" s="2267"/>
      <c r="CB964" s="2266"/>
      <c r="CC964" s="2266"/>
      <c r="CD964" s="2266"/>
      <c r="CE964" s="2266"/>
      <c r="CF964" s="2267"/>
      <c r="CG964" s="2266">
        <f t="shared" ref="CG964:CX964" si="2087">IF(CB958="NM","NM",IF(CG958="NM","NM",IF(CB958&lt;=0,"NM",IF(CG958=0,"NM",IF(ABS(CG958/CB958-1)&gt;2.5,"NM",IF((ABS(CG958-CB958)=ABS(ABS(CG958)-ABS(CB958))),(CG958/CB958-1),"NM"))))))</f>
      </c>
      <c r="CH964" s="2266">
        <f t="shared" si="2087"/>
      </c>
      <c r="CI964" s="2266">
        <f t="shared" si="2087"/>
      </c>
      <c r="CJ964" s="2266">
        <f t="shared" si="2087"/>
      </c>
      <c r="CK964" s="2267">
        <f t="shared" si="2087"/>
      </c>
      <c r="CL964" s="2266">
        <f t="shared" si="2087"/>
      </c>
      <c r="CM964" s="2266">
        <f t="shared" si="2087"/>
      </c>
      <c r="CN964" s="2266">
        <f t="shared" si="2087"/>
      </c>
      <c r="CO964" s="2266">
        <f t="shared" si="2087"/>
      </c>
      <c r="CP964" s="2267">
        <f>IF(CK958=0, "NA", CP958/CK958-1)</f>
      </c>
      <c r="CQ964" s="926">
        <f t="shared" si="2087"/>
      </c>
      <c r="CR964" s="926">
        <f t="shared" si="2087"/>
      </c>
      <c r="CS964" s="926">
        <f t="shared" si="2087"/>
      </c>
      <c r="CT964" s="926">
        <f t="shared" si="2087"/>
      </c>
      <c r="CU964" s="1060">
        <f>IF(CP958=0, "NA", CU958/CP958-1)</f>
      </c>
      <c r="CV964" s="926">
        <f t="shared" si="2087"/>
      </c>
      <c r="CW964" s="926">
        <f t="shared" si="2087"/>
      </c>
      <c r="CX964" s="926">
        <f t="shared" si="2087"/>
      </c>
      <c r="CY964" s="926">
        <f>IF(CT958="NM","NM",IF(CY958="NM","NM",IF(CT958&lt;=0,"NM",IF(CY958=0,"NM",IF(ABS(CY958/CT958-1)&gt;2.5,"NM",IF((ABS(CY958-CT958)=ABS(ABS(CY958)-ABS(CT958))),(CY958/CT958-1),"NM"))))))</f>
      </c>
      <c r="CZ964" s="1060">
        <f>IF(CU958=0, "NA", CZ958/CU958-1)</f>
      </c>
      <c r="DA964" s="926">
        <f>IF(CV958="NM","NM",IF(DA958="NM","NM",IF(CV958&lt;=0,"NM",IF(DA958=0,"NM",IF(ABS(DA958/CV958-1)&gt;2.5,"NM",IF((ABS(DA958-CV958)=ABS(ABS(DA958)-ABS(CV958))),(DA958/CV958-1),"NM"))))))</f>
      </c>
      <c r="DB964" s="926">
        <f>IF(CW958="NM","NM",IF(DB958="NM","NM",IF(CW958&lt;=0,"NM",IF(DB958=0,"NM",IF(ABS(DB958/CW958-1)&gt;2.5,"NM",IF((ABS(DB958-CW958)=ABS(ABS(DB958)-ABS(CW958))),(DB958/CW958-1),"NM"))))))</f>
      </c>
      <c r="DC964" s="926">
        <f>IF(CX958=0, "NA", DC958/CX958-1)</f>
      </c>
      <c r="DD964" s="928">
        <f>IF(CY958=0, "NM", DD958/CY958-1)</f>
      </c>
      <c r="DE964" s="1060">
        <f>IF(CZ958=0, "NA", DE958/CZ958-1)</f>
      </c>
      <c r="DF964" s="926"/>
      <c r="DG964" s="926"/>
      <c r="DH964" s="926"/>
      <c r="DI964" s="928"/>
      <c r="DJ964" s="1060"/>
      <c r="DK964" s="926"/>
      <c r="DL964" s="926"/>
      <c r="DM964" s="926"/>
      <c r="DN964" s="928"/>
      <c r="DO964" s="1060"/>
      <c r="DP964" s="926"/>
      <c r="DQ964" s="926"/>
      <c r="DR964" s="944"/>
      <c r="DS964" s="944"/>
      <c r="DT964" s="1060"/>
      <c r="DU964" s="926"/>
      <c r="DV964" s="926"/>
      <c r="DW964" s="944"/>
      <c r="DX964" s="2107"/>
      <c r="DY964" s="1060"/>
      <c r="DZ964" s="926"/>
      <c r="EA964" s="926"/>
      <c r="EB964" s="926"/>
      <c r="EC964" s="2107"/>
      <c r="ED964" s="1060"/>
      <c r="EE964" s="926"/>
      <c r="EF964" s="926"/>
      <c r="EG964" s="926"/>
      <c r="EH964" s="926"/>
      <c r="EI964" s="1060"/>
      <c r="EJ964" s="926"/>
      <c r="EK964" s="1060"/>
      <c r="EL964" s="1060"/>
      <c r="EM964" s="1060"/>
      <c r="EN964" s="1060"/>
      <c r="EO964" s="2267"/>
      <c r="EP964" s="2267"/>
      <c r="EQ964" s="2267"/>
      <c r="ER964" s="2267"/>
      <c r="ES964" s="2267"/>
      <c r="ET964" s="2267"/>
      <c r="EU964" s="2267"/>
      <c r="EV964" s="2267"/>
      <c r="EW964" s="2267"/>
      <c r="EX964" s="2267"/>
    </row>
    <row r="965" spans="1:154" collapsed="1">
      <c r="B965" s="454"/>
      <c r="C965" s="1577"/>
      <c r="D965" s="933"/>
      <c r="E965" s="933"/>
      <c r="F965" s="933"/>
      <c r="G965" s="933"/>
      <c r="H965" s="933"/>
      <c r="I965" s="31"/>
      <c r="J965" s="933"/>
      <c r="K965" s="933"/>
      <c r="L965" s="933"/>
      <c r="M965" s="933"/>
      <c r="N965" s="31"/>
      <c r="O965" s="31"/>
      <c r="P965" s="31"/>
      <c r="Q965" s="31"/>
      <c r="R965" s="31"/>
      <c r="S965" s="31"/>
      <c r="T965" s="31"/>
      <c r="U965" s="31"/>
      <c r="V965" s="31"/>
      <c r="W965" s="31"/>
      <c r="X965" s="313"/>
      <c r="Y965" s="31"/>
      <c r="Z965" s="31"/>
      <c r="AA965" s="31"/>
      <c r="AB965" s="31"/>
      <c r="AC965" s="313"/>
      <c r="AD965" s="31"/>
      <c r="AE965" s="31"/>
      <c r="AF965" s="31"/>
      <c r="AG965" s="31"/>
      <c r="AH965" s="313"/>
      <c r="AI965" s="933"/>
      <c r="AJ965" s="933"/>
      <c r="AK965" s="933"/>
      <c r="AL965" s="31"/>
      <c r="AM965" s="313"/>
      <c r="AN965" s="933"/>
      <c r="AO965" s="933"/>
      <c r="AP965" s="933"/>
      <c r="AQ965" s="933"/>
      <c r="AR965" s="313"/>
      <c r="AS965" s="933"/>
      <c r="AT965" s="933"/>
      <c r="AU965" s="933"/>
      <c r="AV965" s="933"/>
      <c r="AW965" s="313"/>
      <c r="AX965" s="933"/>
      <c r="AY965" s="933"/>
      <c r="AZ965" s="933"/>
      <c r="BA965" s="933"/>
      <c r="BB965" s="313"/>
      <c r="BC965" s="933"/>
      <c r="BD965" s="933"/>
      <c r="BE965" s="933"/>
      <c r="BF965" s="933"/>
      <c r="BG965" s="313"/>
      <c r="BH965" s="933"/>
      <c r="BI965" s="933"/>
      <c r="BJ965" s="933"/>
      <c r="BK965" s="933"/>
      <c r="BL965" s="313"/>
      <c r="BM965" s="926"/>
      <c r="BN965" s="926"/>
      <c r="BO965" s="926"/>
      <c r="BP965" s="926"/>
      <c r="BQ965" s="1060"/>
      <c r="BR965" s="933"/>
      <c r="BS965" s="933"/>
      <c r="BT965" s="933"/>
      <c r="BU965" s="933"/>
      <c r="BV965" s="1060"/>
      <c r="BW965" s="933"/>
      <c r="BX965" s="933"/>
      <c r="BY965" s="933"/>
      <c r="BZ965" s="933"/>
      <c r="CA965" s="1060"/>
      <c r="CB965" s="933"/>
      <c r="CC965" s="933"/>
      <c r="CD965" s="933"/>
      <c r="CE965" s="933"/>
      <c r="CF965" s="1060"/>
      <c r="CG965" s="933"/>
      <c r="CH965" s="933"/>
      <c r="CI965" s="933"/>
      <c r="CJ965" s="933"/>
      <c r="CK965" s="1060"/>
      <c r="CL965" s="961"/>
      <c r="CM965" s="933"/>
      <c r="CN965" s="933"/>
      <c r="CO965" s="933">
        <f>SUM(CL1080:CO1080)</f>
      </c>
      <c r="CP965" s="3022">
        <f>SUM(CL1079:CO1079)</f>
      </c>
      <c r="CQ965" s="933"/>
      <c r="CR965" s="933"/>
      <c r="CS965" s="933"/>
      <c r="CT965" s="962"/>
      <c r="CU965" s="928"/>
      <c r="CV965" s="933"/>
      <c r="CW965" s="933"/>
      <c r="CX965" s="933"/>
      <c r="CY965" s="962"/>
      <c r="CZ965" s="928"/>
      <c r="DA965" s="926"/>
      <c r="DB965" s="926"/>
      <c r="DC965" s="926"/>
      <c r="DD965" s="928"/>
      <c r="DE965" s="1060"/>
      <c r="DF965" s="926"/>
      <c r="DG965" s="926"/>
      <c r="DH965" s="926"/>
      <c r="DI965" s="928"/>
      <c r="DJ965" s="1060"/>
      <c r="DK965" s="926"/>
      <c r="DL965" s="926"/>
      <c r="DM965" s="926"/>
      <c r="DN965" s="928"/>
      <c r="DO965" s="1060"/>
      <c r="DP965" s="944"/>
      <c r="DQ965" s="944"/>
      <c r="DR965" s="944"/>
      <c r="DS965" s="944"/>
      <c r="DT965" s="1060"/>
      <c r="DU965" s="926"/>
      <c r="DV965" s="926"/>
      <c r="DW965" s="944"/>
      <c r="DX965" s="2107"/>
      <c r="DY965" s="1060"/>
      <c r="DZ965" s="926"/>
      <c r="EA965" s="926"/>
      <c r="EB965" s="926"/>
      <c r="EC965" s="2107"/>
      <c r="ED965" s="1060"/>
      <c r="EE965" s="926"/>
      <c r="EF965" s="926"/>
      <c r="EG965" s="926"/>
      <c r="EH965" s="926"/>
      <c r="EI965" s="1060"/>
      <c r="EJ965" s="926"/>
      <c r="EK965" s="1060"/>
      <c r="EL965" s="1060"/>
      <c r="EM965" s="1060"/>
      <c r="EN965" s="1060"/>
      <c r="EO965" s="1060"/>
      <c r="EP965" s="1060"/>
      <c r="EQ965" s="1060"/>
      <c r="ER965" s="1060"/>
      <c r="ES965" s="1060"/>
      <c r="ET965" s="1060"/>
      <c r="EU965" s="1060"/>
      <c r="EV965" s="1060"/>
      <c r="EW965" s="1060"/>
      <c r="EX965" s="1060"/>
    </row>
    <row r="966" spans="1:154" s="414" customFormat="1" hidden="1">
      <c r="A966" s="3275"/>
      <c r="B966" s="411" t="s">
        <v>501</v>
      </c>
      <c r="C966" s="2273"/>
      <c r="D966" s="2274"/>
      <c r="E966" s="2274"/>
      <c r="F966" s="2274"/>
      <c r="G966" s="2274"/>
      <c r="H966" s="2274"/>
      <c r="I966" s="412"/>
      <c r="J966" s="2274"/>
      <c r="K966" s="2274"/>
      <c r="L966" s="2274"/>
      <c r="M966" s="2274"/>
      <c r="N966" s="412"/>
      <c r="O966" s="412"/>
      <c r="P966" s="412"/>
      <c r="Q966" s="412"/>
      <c r="R966" s="412"/>
      <c r="S966" s="412"/>
      <c r="T966" s="412"/>
      <c r="U966" s="412"/>
      <c r="V966" s="412"/>
      <c r="W966" s="412"/>
      <c r="X966" s="413"/>
      <c r="Y966" s="412"/>
      <c r="Z966" s="412"/>
      <c r="AA966" s="412"/>
      <c r="AB966" s="412"/>
      <c r="AC966" s="413"/>
      <c r="AD966" s="412"/>
      <c r="AE966" s="412"/>
      <c r="AF966" s="412"/>
      <c r="AG966" s="412"/>
      <c r="AH966" s="413"/>
      <c r="AI966" s="2274"/>
      <c r="AJ966" s="2274"/>
      <c r="AK966" s="2274"/>
      <c r="AL966" s="412"/>
      <c r="AM966" s="413"/>
      <c r="AN966" s="2274"/>
      <c r="AO966" s="2274"/>
      <c r="AP966" s="2274"/>
      <c r="AQ966" s="2274"/>
      <c r="AR966" s="413"/>
      <c r="AS966" s="2274"/>
      <c r="AT966" s="2274"/>
      <c r="AU966" s="2274"/>
      <c r="AV966" s="2274"/>
      <c r="AW966" s="413"/>
      <c r="AX966" s="2274"/>
      <c r="AY966" s="2274"/>
      <c r="AZ966" s="2274"/>
      <c r="BA966" s="2274"/>
      <c r="BB966" s="413"/>
      <c r="BC966" s="2274"/>
      <c r="BD966" s="2274"/>
      <c r="BE966" s="2274"/>
      <c r="BF966" s="2274"/>
      <c r="BG966" s="413"/>
      <c r="BH966" s="2274"/>
      <c r="BI966" s="2274"/>
      <c r="BJ966" s="2274"/>
      <c r="BK966" s="2274"/>
      <c r="BL966" s="413"/>
      <c r="BM966" s="2275"/>
      <c r="BN966" s="2275"/>
      <c r="BO966" s="2275"/>
      <c r="BP966" s="2275"/>
      <c r="BQ966" s="415"/>
      <c r="BR966" s="2275"/>
      <c r="BS966" s="2275"/>
      <c r="BT966" s="2275"/>
      <c r="BU966" s="2275"/>
      <c r="BV966" s="415"/>
      <c r="BW966" s="2275"/>
      <c r="BX966" s="2275"/>
      <c r="BY966" s="2275"/>
      <c r="BZ966" s="2275"/>
      <c r="CA966" s="415"/>
      <c r="CB966" s="2275"/>
      <c r="CC966" s="2275"/>
      <c r="CD966" s="2275"/>
      <c r="CE966" s="2275"/>
      <c r="CF966" s="415"/>
      <c r="CG966" s="2275"/>
      <c r="CH966" s="2275"/>
      <c r="CI966" s="2275"/>
      <c r="CJ966" s="2275"/>
      <c r="CK966" s="415"/>
      <c r="CL966" s="1006"/>
      <c r="CM966" s="2275"/>
      <c r="CN966" s="2275"/>
      <c r="CO966" s="2275"/>
      <c r="CP966" s="415"/>
      <c r="CQ966" s="2275"/>
      <c r="CR966" s="2275"/>
      <c r="CS966" s="2275"/>
      <c r="CT966" s="1007"/>
      <c r="CU966" s="1002"/>
      <c r="CV966" s="2275"/>
      <c r="CW966" s="2275"/>
      <c r="CX966" s="2275"/>
      <c r="CY966" s="1007"/>
      <c r="CZ966" s="1002"/>
      <c r="DA966" s="2276"/>
      <c r="DB966" s="2276"/>
      <c r="DC966" s="2276"/>
      <c r="DD966" s="1002"/>
      <c r="DE966" s="1919"/>
      <c r="DF966" s="2277"/>
      <c r="DG966" s="2277"/>
      <c r="DH966" s="2277"/>
      <c r="DI966" s="1920"/>
      <c r="DJ966" s="1919"/>
      <c r="DK966" s="1921"/>
      <c r="DL966" s="1921"/>
      <c r="DM966" s="1921"/>
      <c r="DN966" s="2278"/>
      <c r="DO966" s="1919"/>
      <c r="DP966" s="2277"/>
      <c r="DQ966" s="2277"/>
      <c r="DR966" s="2277"/>
      <c r="DS966" s="2277"/>
      <c r="DT966" s="1919"/>
      <c r="DU966" s="2277"/>
      <c r="DV966" s="2277"/>
      <c r="DW966" s="2277"/>
      <c r="DX966" s="1920"/>
      <c r="DY966" s="1919"/>
      <c r="DZ966" s="2277"/>
      <c r="EA966" s="2277"/>
      <c r="EB966" s="2277"/>
      <c r="EC966" s="1920"/>
      <c r="ED966" s="1919"/>
      <c r="EE966" s="2277"/>
      <c r="EF966" s="2277"/>
      <c r="EG966" s="2277"/>
      <c r="EH966" s="2277"/>
      <c r="EI966" s="1930"/>
      <c r="EJ966" s="1930"/>
      <c r="EK966" s="1919"/>
      <c r="EL966" s="1919"/>
      <c r="EM966" s="1919"/>
      <c r="EN966" s="1919"/>
      <c r="EO966" s="1919"/>
      <c r="EP966" s="1919"/>
      <c r="EQ966" s="1919"/>
      <c r="ER966" s="1919"/>
      <c r="ES966" s="1919"/>
      <c r="ET966" s="1919"/>
      <c r="EU966" s="1919"/>
      <c r="EV966" s="1919"/>
      <c r="EW966" s="1919"/>
      <c r="EX966" s="1919"/>
    </row>
    <row r="967" spans="1:154" hidden="1" outlineLevel="2">
      <c r="B967" s="2239" t="s">
        <v>553</v>
      </c>
      <c r="C967" s="2252"/>
      <c r="D967" s="3006"/>
      <c r="E967" s="3006"/>
      <c r="F967" s="3006"/>
      <c r="G967" s="3006"/>
      <c r="H967" s="3006"/>
      <c r="I967" s="3007"/>
      <c r="J967" s="3006"/>
      <c r="K967" s="3006"/>
      <c r="L967" s="3006"/>
      <c r="M967" s="3006"/>
      <c r="N967" s="3007"/>
      <c r="O967" s="3007"/>
      <c r="P967" s="3007"/>
      <c r="Q967" s="3007"/>
      <c r="R967" s="3007"/>
      <c r="S967" s="3007"/>
      <c r="T967" s="3007"/>
      <c r="U967" s="3007"/>
      <c r="V967" s="3007"/>
      <c r="W967" s="3007"/>
      <c r="X967" s="2253"/>
      <c r="Y967" s="3007"/>
      <c r="Z967" s="3007"/>
      <c r="AA967" s="3007"/>
      <c r="AB967" s="3007"/>
      <c r="AC967" s="2253"/>
      <c r="AD967" s="3007"/>
      <c r="AE967" s="3007"/>
      <c r="AF967" s="3007"/>
      <c r="AG967" s="3007"/>
      <c r="AH967" s="2253"/>
      <c r="AI967" s="3006"/>
      <c r="AJ967" s="3006"/>
      <c r="AK967" s="3006"/>
      <c r="AL967" s="3007"/>
      <c r="AM967" s="2253"/>
      <c r="AN967" s="3006"/>
      <c r="AO967" s="3006"/>
      <c r="AP967" s="3006"/>
      <c r="AQ967" s="3006"/>
      <c r="AR967" s="2253"/>
      <c r="AS967" s="3006"/>
      <c r="AT967" s="3006"/>
      <c r="AU967" s="3006"/>
      <c r="AV967" s="3006"/>
      <c r="AW967" s="2253"/>
      <c r="AX967" s="3006"/>
      <c r="AY967" s="3006"/>
      <c r="AZ967" s="3006"/>
      <c r="BA967" s="3006"/>
      <c r="BB967" s="2253"/>
      <c r="BC967" s="3006"/>
      <c r="BD967" s="3006"/>
      <c r="BE967" s="3006"/>
      <c r="BF967" s="3006"/>
      <c r="BG967" s="2253"/>
      <c r="BH967" s="3006"/>
      <c r="BI967" s="3006"/>
      <c r="BJ967" s="3006"/>
      <c r="BK967" s="3006"/>
      <c r="BL967" s="2253"/>
      <c r="BM967" s="3006"/>
      <c r="BN967" s="3006"/>
      <c r="BO967" s="3006"/>
      <c r="BP967" s="3006"/>
      <c r="BQ967" s="2253"/>
      <c r="BR967" s="3006"/>
      <c r="BS967" s="3006"/>
      <c r="BT967" s="3006"/>
      <c r="BU967" s="3006"/>
      <c r="BV967" s="2253"/>
      <c r="BW967" s="3006"/>
      <c r="BX967" s="3006"/>
      <c r="BY967" s="3006"/>
      <c r="BZ967" s="3006"/>
      <c r="CA967" s="2253"/>
      <c r="CB967" s="3006"/>
      <c r="CC967" s="3006"/>
      <c r="CD967" s="3006"/>
      <c r="CE967" s="3006"/>
      <c r="CF967" s="2253"/>
      <c r="CG967" s="3006"/>
      <c r="CH967" s="3006"/>
      <c r="CI967" s="3006"/>
      <c r="CJ967" s="3006"/>
      <c r="CK967" s="2253"/>
      <c r="CL967" s="2254"/>
      <c r="CM967" s="3006"/>
      <c r="CN967" s="3006"/>
      <c r="CO967" s="3006"/>
      <c r="CP967" s="2253"/>
      <c r="CQ967" s="3006"/>
      <c r="CR967" s="3006"/>
      <c r="CS967" s="3006"/>
      <c r="CT967" s="2279"/>
      <c r="CU967" s="2256"/>
      <c r="CV967" s="3006"/>
      <c r="CW967" s="3006"/>
      <c r="CX967" s="3006"/>
      <c r="CY967" s="2279"/>
      <c r="CZ967" s="2256"/>
      <c r="DA967" s="3007"/>
      <c r="DB967" s="3007"/>
      <c r="DC967" s="3007"/>
      <c r="DD967" s="2256"/>
      <c r="DE967" s="2208"/>
      <c r="DF967" s="2957"/>
      <c r="DG967" s="2957"/>
      <c r="DH967" s="2957"/>
      <c r="DI967" s="2128"/>
      <c r="DJ967" s="2208"/>
      <c r="DK967" s="3018"/>
      <c r="DL967" s="3018"/>
      <c r="DM967" s="3018"/>
      <c r="DN967" s="2262"/>
      <c r="DO967" s="2208"/>
      <c r="DP967" s="2957"/>
      <c r="DQ967" s="2957"/>
      <c r="DR967" s="2957"/>
      <c r="DS967" s="2957"/>
      <c r="DT967" s="2208"/>
      <c r="DU967" s="2957"/>
      <c r="DV967" s="2957"/>
      <c r="DW967" s="2957"/>
      <c r="DX967" s="2128"/>
      <c r="DY967" s="2208"/>
      <c r="DZ967" s="2957"/>
      <c r="EA967" s="2957"/>
      <c r="EB967" s="2957"/>
      <c r="EC967" s="2128"/>
      <c r="ED967" s="2208"/>
      <c r="EE967" s="2957"/>
      <c r="EF967" s="2957"/>
      <c r="EG967" s="3554"/>
      <c r="EH967" s="2957"/>
      <c r="EI967" s="2194"/>
      <c r="EJ967" s="2194"/>
      <c r="EK967" s="2208"/>
      <c r="EL967" s="2208"/>
      <c r="EM967" s="2208"/>
      <c r="EN967" s="2208"/>
      <c r="EO967" s="2201"/>
      <c r="EP967" s="2201"/>
      <c r="EQ967" s="2201"/>
      <c r="ER967" s="2201"/>
      <c r="ES967" s="2201"/>
      <c r="ET967" s="2201"/>
      <c r="EU967" s="2201"/>
      <c r="EV967" s="2201"/>
      <c r="EW967" s="2201"/>
      <c r="EX967" s="2201"/>
    </row>
    <row r="968" spans="1:154" hidden="1" outlineLevel="2">
      <c r="B968" s="1068" t="s">
        <v>187</v>
      </c>
      <c r="C968" s="2280"/>
      <c r="D968" s="2281"/>
      <c r="E968" s="2281"/>
      <c r="F968" s="2281"/>
      <c r="G968" s="2281"/>
      <c r="H968" s="2281"/>
      <c r="I968" s="1069"/>
      <c r="J968" s="2281"/>
      <c r="K968" s="2281"/>
      <c r="L968" s="2281"/>
      <c r="M968" s="2281"/>
      <c r="N968" s="1069"/>
      <c r="O968" s="1069"/>
      <c r="P968" s="1069"/>
      <c r="Q968" s="1069"/>
      <c r="R968" s="1069"/>
      <c r="S968" s="1069"/>
      <c r="T968" s="1069"/>
      <c r="U968" s="1069"/>
      <c r="V968" s="1069"/>
      <c r="W968" s="1069"/>
      <c r="X968" s="1070"/>
      <c r="Y968" s="1069"/>
      <c r="Z968" s="1069"/>
      <c r="AA968" s="1069"/>
      <c r="AB968" s="1069"/>
      <c r="AC968" s="1070"/>
      <c r="AD968" s="1069"/>
      <c r="AE968" s="1069"/>
      <c r="AF968" s="1069"/>
      <c r="AG968" s="1069"/>
      <c r="AH968" s="1070"/>
      <c r="AI968" s="2281"/>
      <c r="AJ968" s="2281"/>
      <c r="AK968" s="2281"/>
      <c r="AL968" s="1069"/>
      <c r="AM968" s="1070"/>
      <c r="AN968" s="2281"/>
      <c r="AO968" s="2281"/>
      <c r="AP968" s="2281"/>
      <c r="AQ968" s="2281"/>
      <c r="AR968" s="1070"/>
      <c r="AS968" s="2281"/>
      <c r="AT968" s="2281"/>
      <c r="AU968" s="2281"/>
      <c r="AV968" s="2281"/>
      <c r="AW968" s="1070"/>
      <c r="AX968" s="2281"/>
      <c r="AY968" s="2281"/>
      <c r="AZ968" s="2281"/>
      <c r="BA968" s="2281"/>
      <c r="BB968" s="1070"/>
      <c r="BC968" s="2281"/>
      <c r="BD968" s="2281"/>
      <c r="BE968" s="2281"/>
      <c r="BF968" s="2281"/>
      <c r="BG968" s="1070"/>
      <c r="BH968" s="2281"/>
      <c r="BI968" s="2281"/>
      <c r="BJ968" s="2281"/>
      <c r="BK968" s="2281"/>
      <c r="BL968" s="1070"/>
      <c r="BM968" s="1071">
        <v>596</v>
      </c>
      <c r="BN968" s="1071">
        <v>621</v>
      </c>
      <c r="BO968" s="1071">
        <v>609</v>
      </c>
      <c r="BP968" s="1071">
        <v>639</v>
      </c>
      <c r="BQ968" s="1070">
        <f>SUM(BM968:BP968)</f>
      </c>
      <c r="BR968" s="1071">
        <v>593</v>
      </c>
      <c r="BS968" s="1071">
        <v>602</v>
      </c>
      <c r="BT968" s="1071">
        <v>602</v>
      </c>
      <c r="BU968" s="1071">
        <v>618</v>
      </c>
      <c r="BV968" s="1070">
        <f>SUM(BR968:BU968)</f>
      </c>
      <c r="BW968" s="1071">
        <v>531</v>
      </c>
      <c r="BX968" s="1071">
        <v>577</v>
      </c>
      <c r="BY968" s="1071">
        <v>587</v>
      </c>
      <c r="BZ968" s="1071">
        <v>599</v>
      </c>
      <c r="CA968" s="1070">
        <f>SUM(BW968:BZ968)</f>
      </c>
      <c r="CB968" s="2282">
        <v>539</v>
      </c>
      <c r="CC968" s="2281">
        <v>551</v>
      </c>
      <c r="CD968" s="2281">
        <v>564</v>
      </c>
      <c r="CE968" s="2281">
        <v>567</v>
      </c>
      <c r="CF968" s="1070">
        <f>SUM(CB968:CE968)</f>
      </c>
      <c r="CG968" s="2281">
        <v>543</v>
      </c>
      <c r="CH968" s="2281">
        <v>562</v>
      </c>
      <c r="CI968" s="2281">
        <v>567</v>
      </c>
      <c r="CJ968" s="1073">
        <f>+(1+CJ973)*CE968</f>
      </c>
      <c r="CK968" s="1074">
        <f>SUM(CG968:CJ968)</f>
      </c>
      <c r="CL968" s="2281">
        <v>562</v>
      </c>
      <c r="CM968" s="2281">
        <v>562</v>
      </c>
      <c r="CN968" s="2281">
        <f>+(1+CN973)*CI968</f>
      </c>
      <c r="CO968" s="2281">
        <f>+(1+CO973)*CJ968</f>
      </c>
      <c r="CP968" s="1070">
        <f>SUM(CL968:CO968)</f>
      </c>
      <c r="CQ968" s="2281">
        <f t="shared" ref="CQ968:CT969" si="2088">+(1+CQ973)*CL968</f>
      </c>
      <c r="CR968" s="2281">
        <f t="shared" si="2088"/>
      </c>
      <c r="CS968" s="2281">
        <f t="shared" si="2088"/>
      </c>
      <c r="CT968" s="1073">
        <f t="shared" si="2088"/>
      </c>
      <c r="CU968" s="1074">
        <f>SUM(CQ968:CT968)</f>
      </c>
      <c r="CV968" s="2281">
        <f t="shared" ref="CV968:CY969" si="2089">+(1+CV973)*CQ968</f>
      </c>
      <c r="CW968" s="2281">
        <f t="shared" si="2089"/>
      </c>
      <c r="CX968" s="2281">
        <f t="shared" si="2089"/>
      </c>
      <c r="CY968" s="1073">
        <f t="shared" si="2089"/>
      </c>
      <c r="CZ968" s="1074">
        <f>SUM(CV968:CY968)</f>
      </c>
      <c r="DA968" s="1326">
        <f t="shared" ref="DA968:DC969" si="2090">+(1+DA973)*CV968</f>
      </c>
      <c r="DB968" s="2283">
        <f t="shared" si="2090"/>
      </c>
      <c r="DC968" s="2283">
        <f t="shared" si="2090"/>
      </c>
      <c r="DD968" s="1346">
        <f>+DE968-SUM(DA968:DC968)</f>
      </c>
      <c r="DE968" s="1922">
        <f>+CZ968*(1+DE973)</f>
      </c>
      <c r="DF968" s="1923"/>
      <c r="DG968" s="2284"/>
      <c r="DH968" s="2284"/>
      <c r="DI968" s="1924"/>
      <c r="DJ968" s="1922">
        <f>+DE968*(1+DJ973)</f>
      </c>
      <c r="DK968" s="1799"/>
      <c r="DL968" s="603"/>
      <c r="DM968" s="603"/>
      <c r="DN968" s="1798"/>
      <c r="DO968" s="1922">
        <f>+DJ968*(1+DO973)</f>
      </c>
      <c r="DP968" s="2284"/>
      <c r="DQ968" s="2284"/>
      <c r="DR968" s="2284"/>
      <c r="DS968" s="2284"/>
      <c r="DT968" s="1922">
        <f>+DO968*(1+DT973)</f>
      </c>
      <c r="DU968" s="2284">
        <f>+DP968*(1+DU973)</f>
      </c>
      <c r="DV968" s="2284"/>
      <c r="DW968" s="2284"/>
      <c r="DX968" s="1924"/>
      <c r="DY968" s="1922">
        <f>+DT968*(1+DY973)</f>
      </c>
      <c r="DZ968" s="2284"/>
      <c r="EA968" s="2284"/>
      <c r="EB968" s="2284"/>
      <c r="EC968" s="1924"/>
      <c r="ED968" s="1922">
        <f>+DY968*(1+ED973)</f>
      </c>
      <c r="EE968" s="2284"/>
      <c r="EF968" s="2284"/>
      <c r="EG968" s="2305"/>
      <c r="EH968" s="2284"/>
      <c r="EI968" s="1927">
        <f>+ED968*(1+EI973)</f>
      </c>
      <c r="EJ968" s="1927">
        <f t="shared" ref="EJ968:EN969" si="2091">+EI968*(1+EJ973)</f>
      </c>
      <c r="EK968" s="1922">
        <f t="shared" si="2091"/>
      </c>
      <c r="EL968" s="1922">
        <f t="shared" si="2091"/>
      </c>
      <c r="EM968" s="1922">
        <f t="shared" si="2091"/>
      </c>
      <c r="EN968" s="1922">
        <f t="shared" si="2091"/>
      </c>
      <c r="EO968" s="1922"/>
      <c r="EP968" s="1922"/>
      <c r="EQ968" s="1922"/>
      <c r="ER968" s="1922"/>
      <c r="ES968" s="1922"/>
      <c r="ET968" s="1922"/>
      <c r="EU968" s="1922"/>
      <c r="EV968" s="1922"/>
      <c r="EW968" s="1922"/>
      <c r="EX968" s="1922"/>
    </row>
    <row r="969" spans="1:154" hidden="1" outlineLevel="2">
      <c r="B969" s="1068" t="s">
        <v>412</v>
      </c>
      <c r="C969" s="2280"/>
      <c r="D969" s="2281"/>
      <c r="E969" s="2281"/>
      <c r="F969" s="2281"/>
      <c r="G969" s="2281"/>
      <c r="H969" s="2281"/>
      <c r="I969" s="1069"/>
      <c r="J969" s="2281"/>
      <c r="K969" s="2281"/>
      <c r="L969" s="2281"/>
      <c r="M969" s="2281"/>
      <c r="N969" s="1069"/>
      <c r="O969" s="1069"/>
      <c r="P969" s="1069"/>
      <c r="Q969" s="1069"/>
      <c r="R969" s="1069"/>
      <c r="S969" s="1069"/>
      <c r="T969" s="1069"/>
      <c r="U969" s="1069"/>
      <c r="V969" s="1069"/>
      <c r="W969" s="1069"/>
      <c r="X969" s="1070"/>
      <c r="Y969" s="1069"/>
      <c r="Z969" s="1069"/>
      <c r="AA969" s="1069"/>
      <c r="AB969" s="1069"/>
      <c r="AC969" s="1070"/>
      <c r="AD969" s="1069"/>
      <c r="AE969" s="1069"/>
      <c r="AF969" s="1069"/>
      <c r="AG969" s="1069"/>
      <c r="AH969" s="1070"/>
      <c r="AI969" s="2281"/>
      <c r="AJ969" s="2281"/>
      <c r="AK969" s="2281"/>
      <c r="AL969" s="1069"/>
      <c r="AM969" s="1070"/>
      <c r="AN969" s="2281"/>
      <c r="AO969" s="2281"/>
      <c r="AP969" s="2281"/>
      <c r="AQ969" s="2281"/>
      <c r="AR969" s="1070"/>
      <c r="AS969" s="2281"/>
      <c r="AT969" s="2281"/>
      <c r="AU969" s="2281"/>
      <c r="AV969" s="2281"/>
      <c r="AW969" s="1070"/>
      <c r="AX969" s="2281"/>
      <c r="AY969" s="2281"/>
      <c r="AZ969" s="2281"/>
      <c r="BA969" s="2281"/>
      <c r="BB969" s="1070"/>
      <c r="BC969" s="2281"/>
      <c r="BD969" s="2281"/>
      <c r="BE969" s="2281"/>
      <c r="BF969" s="2281"/>
      <c r="BG969" s="1070"/>
      <c r="BH969" s="2281"/>
      <c r="BI969" s="2281"/>
      <c r="BJ969" s="2281"/>
      <c r="BK969" s="2281"/>
      <c r="BL969" s="1070"/>
      <c r="BM969" s="1071">
        <v>1025</v>
      </c>
      <c r="BN969" s="1071">
        <v>1079</v>
      </c>
      <c r="BO969" s="1071">
        <v>1013</v>
      </c>
      <c r="BP969" s="1071">
        <v>1055</v>
      </c>
      <c r="BQ969" s="1070">
        <f>SUM(BM969:BP969)</f>
      </c>
      <c r="BR969" s="1071">
        <v>1032</v>
      </c>
      <c r="BS969" s="1071">
        <v>1038</v>
      </c>
      <c r="BT969" s="1071">
        <v>949</v>
      </c>
      <c r="BU969" s="1071">
        <v>1049</v>
      </c>
      <c r="BV969" s="1070">
        <f>SUM(BR969:BU969)</f>
      </c>
      <c r="BW969" s="1071">
        <v>977</v>
      </c>
      <c r="BX969" s="1071">
        <v>1011</v>
      </c>
      <c r="BY969" s="1071">
        <v>947</v>
      </c>
      <c r="BZ969" s="1071">
        <v>1040</v>
      </c>
      <c r="CA969" s="1070">
        <f>SUM(BW969:BZ969)</f>
      </c>
      <c r="CB969" s="2282">
        <v>969</v>
      </c>
      <c r="CC969" s="2281">
        <v>1024</v>
      </c>
      <c r="CD969" s="2281">
        <v>957</v>
      </c>
      <c r="CE969" s="2281">
        <v>1005</v>
      </c>
      <c r="CF969" s="1070">
        <f>SUM(CB969:CE969)</f>
      </c>
      <c r="CG969" s="2281">
        <v>880</v>
      </c>
      <c r="CH969" s="2281">
        <v>887</v>
      </c>
      <c r="CI969" s="2281">
        <v>832</v>
      </c>
      <c r="CJ969" s="1073">
        <f>+(1+CJ974)*CE969</f>
      </c>
      <c r="CK969" s="1074">
        <f>SUM(CG969:CJ969)</f>
      </c>
      <c r="CL969" s="2281">
        <v>887</v>
      </c>
      <c r="CM969" s="2281">
        <v>887</v>
      </c>
      <c r="CN969" s="2281">
        <f>+(1+CN974)*CI969</f>
      </c>
      <c r="CO969" s="2281">
        <f>+(1+CO974)*CJ969</f>
      </c>
      <c r="CP969" s="1070">
        <f>SUM(CL969:CO969)</f>
      </c>
      <c r="CQ969" s="2281">
        <f t="shared" si="2088"/>
      </c>
      <c r="CR969" s="2281">
        <f t="shared" si="2088"/>
      </c>
      <c r="CS969" s="2281">
        <f t="shared" si="2088"/>
      </c>
      <c r="CT969" s="1073">
        <f t="shared" si="2088"/>
      </c>
      <c r="CU969" s="1074">
        <f>SUM(CQ969:CT969)</f>
      </c>
      <c r="CV969" s="2281">
        <f t="shared" si="2089"/>
      </c>
      <c r="CW969" s="2281">
        <f t="shared" si="2089"/>
      </c>
      <c r="CX969" s="2281">
        <f t="shared" si="2089"/>
      </c>
      <c r="CY969" s="1073">
        <f t="shared" si="2089"/>
      </c>
      <c r="CZ969" s="1074">
        <f>SUM(CV969:CY969)</f>
      </c>
      <c r="DA969" s="1327">
        <f t="shared" si="2090"/>
      </c>
      <c r="DB969" s="1358">
        <f t="shared" si="2090"/>
      </c>
      <c r="DC969" s="1358">
        <f t="shared" si="2090"/>
      </c>
      <c r="DD969" s="1347">
        <f>+DE969-SUM(DA969:DC969)</f>
      </c>
      <c r="DE969" s="1922">
        <f>+CZ969*(1+DE974)</f>
      </c>
      <c r="DF969" s="1327"/>
      <c r="DG969" s="1358"/>
      <c r="DH969" s="1358"/>
      <c r="DI969" s="1347"/>
      <c r="DJ969" s="1922">
        <f>+DE969*(1+DJ974)</f>
      </c>
      <c r="DK969" s="1015"/>
      <c r="DL969" s="895"/>
      <c r="DM969" s="895"/>
      <c r="DN969" s="915"/>
      <c r="DO969" s="1922">
        <f>+DJ969*(1+DO974)</f>
      </c>
      <c r="DP969" s="1358"/>
      <c r="DQ969" s="1358"/>
      <c r="DR969" s="1358"/>
      <c r="DS969" s="1358"/>
      <c r="DT969" s="1922">
        <f>+DO969*(1+DT974)</f>
      </c>
      <c r="DU969" s="1358">
        <f>+DP969*(1+DU974)</f>
      </c>
      <c r="DV969" s="1358"/>
      <c r="DW969" s="1358"/>
      <c r="DX969" s="1347"/>
      <c r="DY969" s="1922">
        <f>+DT969*(1+DY974)</f>
      </c>
      <c r="DZ969" s="1358"/>
      <c r="EA969" s="1358"/>
      <c r="EB969" s="1358"/>
      <c r="EC969" s="1347"/>
      <c r="ED969" s="1922">
        <f>+DY969*(1+ED974)</f>
      </c>
      <c r="EE969" s="1358"/>
      <c r="EF969" s="1358"/>
      <c r="EG969" s="2305"/>
      <c r="EH969" s="1358"/>
      <c r="EI969" s="1927">
        <f>+ED969*(1+EI974)</f>
      </c>
      <c r="EJ969" s="1927">
        <f t="shared" si="2091"/>
      </c>
      <c r="EK969" s="1922">
        <f t="shared" si="2091"/>
      </c>
      <c r="EL969" s="1922">
        <f t="shared" si="2091"/>
      </c>
      <c r="EM969" s="1922">
        <f t="shared" si="2091"/>
      </c>
      <c r="EN969" s="1922">
        <f t="shared" si="2091"/>
      </c>
      <c r="EO969" s="1922"/>
      <c r="EP969" s="1922"/>
      <c r="EQ969" s="1922"/>
      <c r="ER969" s="1922"/>
      <c r="ES969" s="1922"/>
      <c r="ET969" s="1922"/>
      <c r="EU969" s="1922"/>
      <c r="EV969" s="1922"/>
      <c r="EW969" s="1922"/>
      <c r="EX969" s="1922"/>
    </row>
    <row r="970" spans="1:154" hidden="1" outlineLevel="2">
      <c r="B970" s="1068" t="s">
        <v>413</v>
      </c>
      <c r="C970" s="2280"/>
      <c r="D970" s="2281"/>
      <c r="E970" s="2281"/>
      <c r="F970" s="2281"/>
      <c r="G970" s="2281"/>
      <c r="H970" s="2281"/>
      <c r="I970" s="1069"/>
      <c r="J970" s="2281"/>
      <c r="K970" s="2281"/>
      <c r="L970" s="2281"/>
      <c r="M970" s="2281"/>
      <c r="N970" s="1069"/>
      <c r="O970" s="1069"/>
      <c r="P970" s="1069"/>
      <c r="Q970" s="1069"/>
      <c r="R970" s="1069"/>
      <c r="S970" s="1069"/>
      <c r="T970" s="1069"/>
      <c r="U970" s="1069"/>
      <c r="V970" s="1069"/>
      <c r="W970" s="1069"/>
      <c r="X970" s="1070"/>
      <c r="Y970" s="1069"/>
      <c r="Z970" s="1069"/>
      <c r="AA970" s="1069"/>
      <c r="AB970" s="1069"/>
      <c r="AC970" s="1070"/>
      <c r="AD970" s="1069"/>
      <c r="AE970" s="1069"/>
      <c r="AF970" s="1069"/>
      <c r="AG970" s="1069"/>
      <c r="AH970" s="1070"/>
      <c r="AI970" s="2281"/>
      <c r="AJ970" s="2281"/>
      <c r="AK970" s="2281"/>
      <c r="AL970" s="1069"/>
      <c r="AM970" s="1070"/>
      <c r="AN970" s="2281"/>
      <c r="AO970" s="2281"/>
      <c r="AP970" s="2281"/>
      <c r="AQ970" s="2281"/>
      <c r="AR970" s="1070"/>
      <c r="AS970" s="2281"/>
      <c r="AT970" s="2281"/>
      <c r="AU970" s="2281"/>
      <c r="AV970" s="2281"/>
      <c r="AW970" s="1070"/>
      <c r="AX970" s="2281"/>
      <c r="AY970" s="2281"/>
      <c r="AZ970" s="2281"/>
      <c r="BA970" s="2281"/>
      <c r="BB970" s="1070"/>
      <c r="BC970" s="2281"/>
      <c r="BD970" s="2281"/>
      <c r="BE970" s="2281"/>
      <c r="BF970" s="2281"/>
      <c r="BG970" s="1070"/>
      <c r="BH970" s="2281"/>
      <c r="BI970" s="2281"/>
      <c r="BJ970" s="2281"/>
      <c r="BK970" s="2281"/>
      <c r="BL970" s="1070"/>
      <c r="BM970" s="2281">
        <f>+BM968+BM969</f>
      </c>
      <c r="BN970" s="2281">
        <f>+BN968+BN969</f>
      </c>
      <c r="BO970" s="2281">
        <f>+BO968+BO969</f>
      </c>
      <c r="BP970" s="2281">
        <f>+BP968+BP969</f>
      </c>
      <c r="BQ970" s="1070">
        <f>SUM(BM970:BP970)</f>
      </c>
      <c r="BR970" s="2281">
        <f>+BR968+BR969</f>
      </c>
      <c r="BS970" s="2281">
        <f>+BS968+BS969</f>
      </c>
      <c r="BT970" s="2281">
        <f>+BT968+BT969</f>
      </c>
      <c r="BU970" s="2281">
        <f>+BU968+BU969</f>
      </c>
      <c r="BV970" s="1070">
        <f>SUM(BR970:BU970)</f>
      </c>
      <c r="BW970" s="2281">
        <f>+BW968+BW969</f>
      </c>
      <c r="BX970" s="2281">
        <f>+BX968+BX969</f>
      </c>
      <c r="BY970" s="2281">
        <f>+BY968+BY969</f>
      </c>
      <c r="BZ970" s="2281">
        <f>+BZ968+BZ969</f>
      </c>
      <c r="CA970" s="1070">
        <f>SUM(BW970:BZ970)</f>
      </c>
      <c r="CB970" s="2282">
        <f>+CB968+CB969</f>
      </c>
      <c r="CC970" s="2281">
        <f>+CC968+CC969</f>
      </c>
      <c r="CD970" s="2281">
        <f>+CD968+CD969</f>
      </c>
      <c r="CE970" s="2281">
        <f>+CE968+CE969</f>
      </c>
      <c r="CF970" s="1070">
        <f>SUM(CB970:CE970)</f>
      </c>
      <c r="CG970" s="2281">
        <f>+CG968+CG969</f>
      </c>
      <c r="CH970" s="2281">
        <f>+CH968+CH969</f>
      </c>
      <c r="CI970" s="2281">
        <f>+CI968+CI969</f>
      </c>
      <c r="CJ970" s="1073">
        <f>+CJ968+CJ969</f>
      </c>
      <c r="CK970" s="1074">
        <f>SUM(CG970:CJ970)</f>
      </c>
      <c r="CL970" s="2281">
        <f>+CL968+CL969</f>
      </c>
      <c r="CM970" s="2281">
        <f>+CM968+CM969</f>
      </c>
      <c r="CN970" s="2281">
        <f>+CN968+CN969</f>
      </c>
      <c r="CO970" s="2281">
        <f>+CO968+CO969</f>
      </c>
      <c r="CP970" s="1070">
        <f>SUM(CL970:CO970)</f>
      </c>
      <c r="CQ970" s="2281">
        <f>+CQ968+CQ969</f>
      </c>
      <c r="CR970" s="2281">
        <f>+CR968+CR969</f>
      </c>
      <c r="CS970" s="2281">
        <f>+CS968+CS969</f>
      </c>
      <c r="CT970" s="1073">
        <f>+CT968+CT969</f>
      </c>
      <c r="CU970" s="1074">
        <f>SUM(CQ970:CT970)</f>
      </c>
      <c r="CV970" s="2281">
        <f>+CV968+CV969</f>
      </c>
      <c r="CW970" s="2281">
        <f>+CW968+CW969</f>
      </c>
      <c r="CX970" s="2281">
        <f>+CX968+CX969</f>
      </c>
      <c r="CY970" s="1073">
        <f>+CY968+CY969</f>
      </c>
      <c r="CZ970" s="1074">
        <f>SUM(CV970:CY970)</f>
      </c>
      <c r="DA970" s="1326">
        <f>SUM(DA968:DA969)</f>
      </c>
      <c r="DB970" s="2283">
        <f>SUM(DB968:DB969)</f>
      </c>
      <c r="DC970" s="2283">
        <f>SUM(DC968:DC969)</f>
      </c>
      <c r="DD970" s="1346">
        <f>+DD968+DD969</f>
      </c>
      <c r="DE970" s="1922">
        <f>+DE968+DE969</f>
      </c>
      <c r="DF970" s="1923"/>
      <c r="DG970" s="2284"/>
      <c r="DH970" s="2284"/>
      <c r="DI970" s="1924"/>
      <c r="DJ970" s="1922">
        <f>+DJ968+DJ969</f>
      </c>
      <c r="DK970" s="1799"/>
      <c r="DL970" s="603"/>
      <c r="DM970" s="603"/>
      <c r="DN970" s="1798"/>
      <c r="DO970" s="1922">
        <f>+DO968+DO969</f>
      </c>
      <c r="DP970" s="2284"/>
      <c r="DQ970" s="2284"/>
      <c r="DR970" s="2284"/>
      <c r="DS970" s="2284"/>
      <c r="DT970" s="1922">
        <f>+DT968+DT969</f>
      </c>
      <c r="DU970" s="2284">
        <f>+DU968+DU969</f>
      </c>
      <c r="DV970" s="2284"/>
      <c r="DW970" s="2284"/>
      <c r="DX970" s="1924"/>
      <c r="DY970" s="1922">
        <f>+DY968+DY969</f>
      </c>
      <c r="DZ970" s="2284"/>
      <c r="EA970" s="2284"/>
      <c r="EB970" s="2284"/>
      <c r="EC970" s="1924"/>
      <c r="ED970" s="1922">
        <f>+ED968+ED969</f>
      </c>
      <c r="EE970" s="2284"/>
      <c r="EF970" s="2284"/>
      <c r="EG970" s="2305"/>
      <c r="EH970" s="2284"/>
      <c r="EI970" s="1927">
        <f t="shared" ref="EI970:EM970" si="2092">+EI968+EI969</f>
      </c>
      <c r="EJ970" s="1927">
        <f t="shared" si="2092"/>
      </c>
      <c r="EK970" s="1922">
        <f t="shared" si="2092"/>
      </c>
      <c r="EL970" s="1922">
        <f t="shared" si="2092"/>
      </c>
      <c r="EM970" s="1922">
        <f t="shared" si="2092"/>
      </c>
      <c r="EN970" s="1922">
        <f>+EN968+EN969</f>
      </c>
      <c r="EO970" s="1922"/>
      <c r="EP970" s="1922"/>
      <c r="EQ970" s="1922"/>
      <c r="ER970" s="1922"/>
      <c r="ES970" s="1922"/>
      <c r="ET970" s="1922"/>
      <c r="EU970" s="1922"/>
      <c r="EV970" s="1922"/>
      <c r="EW970" s="1922"/>
      <c r="EX970" s="1922"/>
    </row>
    <row r="971" spans="1:154" hidden="1" outlineLevel="2">
      <c r="B971" s="1068"/>
      <c r="C971" s="2280"/>
      <c r="D971" s="2281"/>
      <c r="E971" s="2281"/>
      <c r="F971" s="2281"/>
      <c r="G971" s="2281"/>
      <c r="H971" s="2281"/>
      <c r="I971" s="1069"/>
      <c r="J971" s="2281"/>
      <c r="K971" s="2281"/>
      <c r="L971" s="2281"/>
      <c r="M971" s="2281"/>
      <c r="N971" s="1069"/>
      <c r="O971" s="1069"/>
      <c r="P971" s="1069"/>
      <c r="Q971" s="1069"/>
      <c r="R971" s="1069"/>
      <c r="S971" s="1069"/>
      <c r="T971" s="1069"/>
      <c r="U971" s="1069"/>
      <c r="V971" s="1069"/>
      <c r="W971" s="1069"/>
      <c r="X971" s="1070"/>
      <c r="Y971" s="1069"/>
      <c r="Z971" s="1069"/>
      <c r="AA971" s="1069"/>
      <c r="AB971" s="1069"/>
      <c r="AC971" s="1070"/>
      <c r="AD971" s="1069"/>
      <c r="AE971" s="1069"/>
      <c r="AF971" s="1069"/>
      <c r="AG971" s="1069"/>
      <c r="AH971" s="1070"/>
      <c r="AI971" s="2281"/>
      <c r="AJ971" s="2281"/>
      <c r="AK971" s="2281"/>
      <c r="AL971" s="1069"/>
      <c r="AM971" s="1070"/>
      <c r="AN971" s="2281"/>
      <c r="AO971" s="2281"/>
      <c r="AP971" s="2281"/>
      <c r="AQ971" s="2281"/>
      <c r="AR971" s="1070"/>
      <c r="AS971" s="2281"/>
      <c r="AT971" s="2281"/>
      <c r="AU971" s="2281"/>
      <c r="AV971" s="2281"/>
      <c r="AW971" s="1070"/>
      <c r="AX971" s="2281"/>
      <c r="AY971" s="2281"/>
      <c r="AZ971" s="2281"/>
      <c r="BA971" s="2281"/>
      <c r="BB971" s="1070"/>
      <c r="BC971" s="2281"/>
      <c r="BD971" s="2281"/>
      <c r="BE971" s="2281"/>
      <c r="BF971" s="2281"/>
      <c r="BG971" s="1070"/>
      <c r="BH971" s="2281"/>
      <c r="BI971" s="2281"/>
      <c r="BJ971" s="2281"/>
      <c r="BK971" s="2281"/>
      <c r="BL971" s="1070"/>
      <c r="BM971" s="2281"/>
      <c r="BN971" s="2281"/>
      <c r="BO971" s="2281"/>
      <c r="BP971" s="2281"/>
      <c r="BQ971" s="1070"/>
      <c r="BR971" s="2281"/>
      <c r="BS971" s="2281"/>
      <c r="BT971" s="2281"/>
      <c r="BU971" s="2281"/>
      <c r="BV971" s="1070"/>
      <c r="BW971" s="2281"/>
      <c r="BX971" s="2281"/>
      <c r="BY971" s="2281"/>
      <c r="BZ971" s="2281"/>
      <c r="CA971" s="1070"/>
      <c r="CB971" s="2281"/>
      <c r="CC971" s="2281"/>
      <c r="CD971" s="2281"/>
      <c r="CE971" s="2281"/>
      <c r="CF971" s="1070"/>
      <c r="CG971" s="2281"/>
      <c r="CH971" s="2281"/>
      <c r="CI971" s="2281"/>
      <c r="CJ971" s="2281"/>
      <c r="CK971" s="1070"/>
      <c r="CL971" s="1072"/>
      <c r="CM971" s="2281"/>
      <c r="CN971" s="2281"/>
      <c r="CO971" s="2281"/>
      <c r="CP971" s="1070"/>
      <c r="CQ971" s="2281"/>
      <c r="CR971" s="2281"/>
      <c r="CS971" s="2281"/>
      <c r="CT971" s="1073"/>
      <c r="CU971" s="1074"/>
      <c r="CV971" s="2281"/>
      <c r="CW971" s="2281"/>
      <c r="CX971" s="2281"/>
      <c r="CY971" s="1073"/>
      <c r="CZ971" s="1074"/>
      <c r="DA971" s="2285"/>
      <c r="DB971" s="2286"/>
      <c r="DC971" s="2286"/>
      <c r="DD971" s="2287"/>
      <c r="DE971" s="1922"/>
      <c r="DF971" s="2288"/>
      <c r="DG971" s="2289"/>
      <c r="DH971" s="2289"/>
      <c r="DI971" s="2129"/>
      <c r="DJ971" s="1922"/>
      <c r="DK971" s="981"/>
      <c r="DL971" s="982"/>
      <c r="DM971" s="982"/>
      <c r="DN971" s="1875"/>
      <c r="DO971" s="1922"/>
      <c r="DP971" s="2289"/>
      <c r="DQ971" s="2289"/>
      <c r="DR971" s="2289"/>
      <c r="DS971" s="2289"/>
      <c r="DT971" s="1922"/>
      <c r="DU971" s="2289"/>
      <c r="DV971" s="2289"/>
      <c r="DW971" s="2289"/>
      <c r="DX971" s="2129"/>
      <c r="DY971" s="1922"/>
      <c r="DZ971" s="2289"/>
      <c r="EA971" s="2289"/>
      <c r="EB971" s="2289"/>
      <c r="EC971" s="2129"/>
      <c r="ED971" s="1922"/>
      <c r="EE971" s="2289"/>
      <c r="EF971" s="2289"/>
      <c r="EG971" s="2305"/>
      <c r="EH971" s="2289"/>
      <c r="EI971" s="1927"/>
      <c r="EJ971" s="1927"/>
      <c r="EK971" s="1922"/>
      <c r="EL971" s="1922"/>
      <c r="EM971" s="1922"/>
      <c r="EN971" s="1922"/>
      <c r="EO971" s="1922"/>
      <c r="EP971" s="1922"/>
      <c r="EQ971" s="1922"/>
      <c r="ER971" s="1922"/>
      <c r="ES971" s="1922"/>
      <c r="ET971" s="1922"/>
      <c r="EU971" s="1922"/>
      <c r="EV971" s="1922"/>
      <c r="EW971" s="1922"/>
      <c r="EX971" s="1922"/>
    </row>
    <row r="972" spans="1:154" hidden="1" outlineLevel="2">
      <c r="B972" s="1075" t="s">
        <v>497</v>
      </c>
      <c r="C972" s="2280"/>
      <c r="D972" s="2281"/>
      <c r="E972" s="2281"/>
      <c r="F972" s="2281"/>
      <c r="G972" s="2281"/>
      <c r="H972" s="2281"/>
      <c r="I972" s="1069"/>
      <c r="J972" s="2281"/>
      <c r="K972" s="2281"/>
      <c r="L972" s="2281"/>
      <c r="M972" s="2281"/>
      <c r="N972" s="1069"/>
      <c r="O972" s="1069"/>
      <c r="P972" s="1069"/>
      <c r="Q972" s="1069"/>
      <c r="R972" s="1069"/>
      <c r="S972" s="1069"/>
      <c r="T972" s="1069"/>
      <c r="U972" s="1069"/>
      <c r="V972" s="1069"/>
      <c r="W972" s="1069"/>
      <c r="X972" s="1070"/>
      <c r="Y972" s="1069"/>
      <c r="Z972" s="1069"/>
      <c r="AA972" s="1069"/>
      <c r="AB972" s="1069"/>
      <c r="AC972" s="1070"/>
      <c r="AD972" s="1069"/>
      <c r="AE972" s="1069"/>
      <c r="AF972" s="1069"/>
      <c r="AG972" s="1069"/>
      <c r="AH972" s="1070"/>
      <c r="AI972" s="2281"/>
      <c r="AJ972" s="2281"/>
      <c r="AK972" s="2281"/>
      <c r="AL972" s="1069"/>
      <c r="AM972" s="1070"/>
      <c r="AN972" s="2281"/>
      <c r="AO972" s="2281"/>
      <c r="AP972" s="2281"/>
      <c r="AQ972" s="2281"/>
      <c r="AR972" s="1070"/>
      <c r="AS972" s="2281"/>
      <c r="AT972" s="2281"/>
      <c r="AU972" s="2281"/>
      <c r="AV972" s="2281"/>
      <c r="AW972" s="1070"/>
      <c r="AX972" s="2281"/>
      <c r="AY972" s="2281"/>
      <c r="AZ972" s="2281"/>
      <c r="BA972" s="2281"/>
      <c r="BB972" s="1070"/>
      <c r="BC972" s="2281"/>
      <c r="BD972" s="2281"/>
      <c r="BE972" s="2281"/>
      <c r="BF972" s="2281"/>
      <c r="BG972" s="1070"/>
      <c r="BH972" s="2281"/>
      <c r="BI972" s="2281"/>
      <c r="BJ972" s="2281"/>
      <c r="BK972" s="2281"/>
      <c r="BL972" s="1070"/>
      <c r="BM972" s="2281"/>
      <c r="BN972" s="2281"/>
      <c r="BO972" s="2281"/>
      <c r="BP972" s="2281"/>
      <c r="BQ972" s="1070"/>
      <c r="BR972" s="2281"/>
      <c r="BS972" s="2281"/>
      <c r="BT972" s="2281"/>
      <c r="BU972" s="2281"/>
      <c r="BV972" s="1070"/>
      <c r="BW972" s="2281"/>
      <c r="BX972" s="2281"/>
      <c r="BY972" s="2281"/>
      <c r="BZ972" s="2281"/>
      <c r="CA972" s="1070"/>
      <c r="CB972" s="2281"/>
      <c r="CC972" s="2281"/>
      <c r="CD972" s="2281"/>
      <c r="CE972" s="2281"/>
      <c r="CF972" s="1070"/>
      <c r="CG972" s="2281"/>
      <c r="CH972" s="2281"/>
      <c r="CI972" s="2281"/>
      <c r="CJ972" s="2281"/>
      <c r="CK972" s="1070"/>
      <c r="CL972" s="1072"/>
      <c r="CM972" s="2281"/>
      <c r="CN972" s="2281"/>
      <c r="CO972" s="2281"/>
      <c r="CP972" s="1070"/>
      <c r="CQ972" s="2281"/>
      <c r="CR972" s="2281"/>
      <c r="CS972" s="2281"/>
      <c r="CT972" s="1073"/>
      <c r="CU972" s="1074"/>
      <c r="CV972" s="2281"/>
      <c r="CW972" s="2281"/>
      <c r="CX972" s="2281"/>
      <c r="CY972" s="1073"/>
      <c r="CZ972" s="1074"/>
      <c r="DA972" s="2285"/>
      <c r="DB972" s="2286"/>
      <c r="DC972" s="2286"/>
      <c r="DD972" s="2287"/>
      <c r="DE972" s="1922"/>
      <c r="DF972" s="2288"/>
      <c r="DG972" s="2289"/>
      <c r="DH972" s="2289"/>
      <c r="DI972" s="2129"/>
      <c r="DJ972" s="1922"/>
      <c r="DK972" s="981"/>
      <c r="DL972" s="982"/>
      <c r="DM972" s="982"/>
      <c r="DN972" s="1875"/>
      <c r="DO972" s="1922"/>
      <c r="DP972" s="2289"/>
      <c r="DQ972" s="2289"/>
      <c r="DR972" s="2289"/>
      <c r="DS972" s="2289"/>
      <c r="DT972" s="1922"/>
      <c r="DU972" s="2289"/>
      <c r="DV972" s="2289"/>
      <c r="DW972" s="2289"/>
      <c r="DX972" s="2129"/>
      <c r="DY972" s="1922"/>
      <c r="DZ972" s="2289"/>
      <c r="EA972" s="2289"/>
      <c r="EB972" s="2289"/>
      <c r="EC972" s="2129"/>
      <c r="ED972" s="1922"/>
      <c r="EE972" s="2289"/>
      <c r="EF972" s="2289"/>
      <c r="EG972" s="2305"/>
      <c r="EH972" s="2289"/>
      <c r="EI972" s="1927"/>
      <c r="EJ972" s="1927"/>
      <c r="EK972" s="1922"/>
      <c r="EL972" s="1922"/>
      <c r="EM972" s="1922"/>
      <c r="EN972" s="1922"/>
      <c r="EO972" s="1922"/>
      <c r="EP972" s="1922"/>
      <c r="EQ972" s="1922"/>
      <c r="ER972" s="1922"/>
      <c r="ES972" s="1922"/>
      <c r="ET972" s="1922"/>
      <c r="EU972" s="1922"/>
      <c r="EV972" s="1922"/>
      <c r="EW972" s="1922"/>
      <c r="EX972" s="1922"/>
    </row>
    <row r="973" spans="1:154" hidden="1" outlineLevel="2">
      <c r="B973" s="1076" t="s">
        <v>187</v>
      </c>
      <c r="C973" s="2280"/>
      <c r="D973" s="2281"/>
      <c r="E973" s="2281"/>
      <c r="F973" s="2281"/>
      <c r="G973" s="2281"/>
      <c r="H973" s="2281"/>
      <c r="I973" s="1069"/>
      <c r="J973" s="2281"/>
      <c r="K973" s="2281"/>
      <c r="L973" s="2281"/>
      <c r="M973" s="2281"/>
      <c r="N973" s="1069"/>
      <c r="O973" s="1069"/>
      <c r="P973" s="1069"/>
      <c r="Q973" s="1069"/>
      <c r="R973" s="1069"/>
      <c r="S973" s="1069"/>
      <c r="T973" s="1069"/>
      <c r="U973" s="1069"/>
      <c r="V973" s="1069"/>
      <c r="W973" s="1069"/>
      <c r="X973" s="1070"/>
      <c r="Y973" s="1069"/>
      <c r="Z973" s="1069"/>
      <c r="AA973" s="1069"/>
      <c r="AB973" s="1069"/>
      <c r="AC973" s="1070"/>
      <c r="AD973" s="1069"/>
      <c r="AE973" s="1069"/>
      <c r="AF973" s="1069"/>
      <c r="AG973" s="1069"/>
      <c r="AH973" s="1070"/>
      <c r="AI973" s="2281"/>
      <c r="AJ973" s="2281"/>
      <c r="AK973" s="2281"/>
      <c r="AL973" s="1069"/>
      <c r="AM973" s="1070"/>
      <c r="AN973" s="2281"/>
      <c r="AO973" s="2281"/>
      <c r="AP973" s="2281"/>
      <c r="AQ973" s="2281"/>
      <c r="AR973" s="1070"/>
      <c r="AS973" s="2281"/>
      <c r="AT973" s="2281"/>
      <c r="AU973" s="2281"/>
      <c r="AV973" s="2281"/>
      <c r="AW973" s="1070"/>
      <c r="AX973" s="2281"/>
      <c r="AY973" s="2281"/>
      <c r="AZ973" s="2281"/>
      <c r="BA973" s="2281"/>
      <c r="BB973" s="1070"/>
      <c r="BC973" s="2281"/>
      <c r="BD973" s="2281"/>
      <c r="BE973" s="2281"/>
      <c r="BF973" s="2281"/>
      <c r="BG973" s="1070"/>
      <c r="BH973" s="2281"/>
      <c r="BI973" s="2281"/>
      <c r="BJ973" s="2281"/>
      <c r="BK973" s="2281"/>
      <c r="BL973" s="1070"/>
      <c r="BM973" s="2282" t="str">
        <f t="shared" ref="BM973:BY974" si="2093">IF(BH968="NM","NM",IF(BM968="NM","NM",IF(BH968&lt;=0,"NM",IF(BM968=0,"NM",IF(ABS(BM968/BH968-1)&gt;2.5,"NM",IF((ABS(BM968-BH968)=ABS(ABS(BM968)-ABS(BH968))),(BM968/BH968-1),"NM"))))))</f>
      </c>
      <c r="BN973" s="2282" t="str">
        <f t="shared" si="2093"/>
      </c>
      <c r="BO973" s="2282" t="str">
        <f t="shared" si="2093"/>
      </c>
      <c r="BP973" s="2282" t="str">
        <f t="shared" si="2093"/>
      </c>
      <c r="BQ973" s="2290" t="str">
        <f t="shared" si="2093"/>
      </c>
      <c r="BR973" s="2282">
        <f t="shared" si="2093"/>
      </c>
      <c r="BS973" s="2282">
        <f t="shared" si="2093"/>
      </c>
      <c r="BT973" s="2282">
        <f t="shared" si="2093"/>
      </c>
      <c r="BU973" s="2282">
        <f>IF(BP968="NM","NM",IF(BU968="NM","NM",IF(BP968&lt;=0,"NM",IF(BU968=0,"NM",IF(ABS(BU968/BP968-1)&gt;2.5,"NM",IF((ABS(BU968-BP968)=ABS(ABS(BU968)-ABS(BP968))),(BU968/BP968-1),"NM"))))))</f>
      </c>
      <c r="BV973" s="2290">
        <f t="shared" si="2093"/>
      </c>
      <c r="BW973" s="2282">
        <f t="shared" si="2093"/>
      </c>
      <c r="BX973" s="2282">
        <f t="shared" si="2093"/>
      </c>
      <c r="BY973" s="2282">
        <f t="shared" si="2093"/>
      </c>
      <c r="BZ973" s="2282">
        <f>IF(BU968="NM","NM",IF(BZ968="NM","NM",IF(BU968&lt;=0,"NM",IF(BZ968=0,"NM",IF(ABS(BZ968/BU968-1)&gt;2.5,"NM",IF((ABS(BZ968-BU968)=ABS(ABS(BZ968)-ABS(BU968))),(BZ968/BU968-1),"NM"))))))</f>
      </c>
      <c r="CA973" s="2291">
        <f>IF(BV968="NM","NM",IF(CA968="NM","NM",IF(BV968&lt;=0,"NM",IF(CA968=0,"NM",IF(ABS(CA968/BV968-1)&gt;2.5,"NM",IF((ABS(CA968-BV968)=ABS(ABS(CA968)-ABS(BV968))),(CA968/BV968-1),"NM"))))))</f>
      </c>
      <c r="CB973" s="2282">
        <f t="shared" ref="CB973:CD974" si="2094">IF(BW968="NM","NM",IF(CB968="NM","NM",IF(BW968&lt;=0,"NM",IF(CB968=0,"NM",IF(ABS(CB968/BW968-1)&gt;2.5,"NM",IF((ABS(CB968-BW968)=ABS(ABS(CB968)-ABS(BW968))),(CB968/BW968-1),"NM"))))))</f>
      </c>
      <c r="CC973" s="2292">
        <f t="shared" si="2094"/>
      </c>
      <c r="CD973" s="2292">
        <f t="shared" si="2094"/>
      </c>
      <c r="CE973" s="2292">
        <f>IF(BZ968="NM","NM",IF(CE968="NM","NM",IF(BZ968&lt;=0,"NM",IF(CE968=0,"NM",IF(ABS(CE968/BZ968-1)&gt;2.5,"NM",IF((ABS(CE968-BZ968)=ABS(ABS(CE968)-ABS(BZ968))),(CE968/BZ968-1),"NM"))))))</f>
      </c>
      <c r="CF973" s="2290">
        <f>IF(CA968="NM","NM",IF(CF968="NM","NM",IF(CA968&lt;=0,"NM",IF(CF968=0,"NM",IF(ABS(CF968/CA968-1)&gt;2.5,"NM",IF((ABS(CF968-CA968)=ABS(ABS(CF968)-ABS(CA968))),(CF968/CA968-1),"NM"))))))</f>
      </c>
      <c r="CG973" s="2282">
        <f t="shared" ref="CG973:CI974" si="2095">IF(CB968="NM","NM",IF(CG968="NM","NM",IF(CB968&lt;=0,"NM",IF(CG968=0,"NM",IF(ABS(CG968/CB968-1)&gt;2.5,"NM",IF((ABS(CG968-CB968)=ABS(ABS(CG968)-ABS(CB968))),(CG968/CB968-1),"NM"))))))</f>
      </c>
      <c r="CH973" s="2292">
        <f t="shared" si="2095"/>
      </c>
      <c r="CI973" s="2292">
        <f t="shared" si="2095"/>
      </c>
      <c r="CJ973" s="2292">
        <v>2.5000000000000001E-2</v>
      </c>
      <c r="CK973" s="2290">
        <f>IF(CF968=0, 0, CK968/CF968-1)</f>
      </c>
      <c r="CL973" s="1092">
        <f>IF(CG968="NM","NM",IF(CL968="NM","NM",IF(CG968&lt;=0,"NM",IF(CL968=0,"NM",IF(ABS(CL968/CG968-1)&gt;2.5,"NM",IF((ABS(CL968-CG968)=ABS(ABS(CL968)-ABS(CG968))),(CL968/CG968-1),"NM"))))))</f>
      </c>
      <c r="CM973" s="2292">
        <f>IF(CH968="NM","NM",IF(CM968="NM","NM",IF(CH968&lt;=0,"NM",IF(CM968=0,"NM",IF(ABS(CM968/CH968-1)&gt;2.5,"NM",IF((ABS(CM968-CH968)=ABS(ABS(CM968)-ABS(CH968))),(CM968/CH968-1),"NM"))))))</f>
      </c>
      <c r="CN973" s="2292">
        <v>1.4999999999999999E-2</v>
      </c>
      <c r="CO973" s="2292">
        <v>2.5000000000000001E-2</v>
      </c>
      <c r="CP973" s="2293">
        <f>IF(CK968=0, 0, CP968/CK968-1)</f>
      </c>
      <c r="CQ973" s="2292">
        <v>2.3E-2</v>
      </c>
      <c r="CR973" s="2292">
        <v>2.3E-2</v>
      </c>
      <c r="CS973" s="2292">
        <v>2.3E-2</v>
      </c>
      <c r="CT973" s="2294">
        <v>2.3E-2</v>
      </c>
      <c r="CU973" s="2295">
        <f>IF(CP968=0, 0, CU968/CP968-1)</f>
      </c>
      <c r="CV973" s="2292">
        <v>2.3E-2</v>
      </c>
      <c r="CW973" s="2292">
        <v>0.01</v>
      </c>
      <c r="CX973" s="2292">
        <v>0.01</v>
      </c>
      <c r="CY973" s="2294">
        <v>2.3E-2</v>
      </c>
      <c r="CZ973" s="2295">
        <f>IF(CU968=0, 0, CZ968/CU968-1)</f>
      </c>
      <c r="DA973" s="2296">
        <v>0.01</v>
      </c>
      <c r="DB973" s="2297">
        <v>0.01</v>
      </c>
      <c r="DC973" s="2297">
        <v>0.01</v>
      </c>
      <c r="DD973" s="2298">
        <f>IF(DD968=0,"NM",+DD968/CY968-1)</f>
      </c>
      <c r="DE973" s="2293">
        <v>0.01</v>
      </c>
      <c r="DF973" s="2296"/>
      <c r="DG973" s="2297"/>
      <c r="DH973" s="2297"/>
      <c r="DI973" s="2298"/>
      <c r="DJ973" s="2294">
        <v>0.01</v>
      </c>
      <c r="DK973" s="828"/>
      <c r="DL973" s="361"/>
      <c r="DM973" s="361"/>
      <c r="DN973" s="927"/>
      <c r="DO973" s="2294">
        <v>0.01</v>
      </c>
      <c r="DP973" s="2297"/>
      <c r="DQ973" s="2297"/>
      <c r="DR973" s="2297"/>
      <c r="DS973" s="3111"/>
      <c r="DT973" s="2293">
        <v>0.01</v>
      </c>
      <c r="DU973" s="3111">
        <v>0.01</v>
      </c>
      <c r="DV973" s="2297"/>
      <c r="DW973" s="2297"/>
      <c r="DX973" s="3306"/>
      <c r="DY973" s="3308"/>
      <c r="DZ973" s="2297"/>
      <c r="EA973" s="2297"/>
      <c r="EB973" s="2297"/>
      <c r="EC973" s="3306"/>
      <c r="ED973" s="3308"/>
      <c r="EE973" s="2297"/>
      <c r="EF973" s="2297"/>
      <c r="EG973" s="2292"/>
      <c r="EH973" s="3111"/>
      <c r="EI973" s="2307">
        <v>0.01</v>
      </c>
      <c r="EJ973" s="2292">
        <v>0.01</v>
      </c>
      <c r="EK973" s="2294">
        <v>0.01</v>
      </c>
      <c r="EL973" s="2294">
        <v>0.01</v>
      </c>
      <c r="EM973" s="2294">
        <v>0.01</v>
      </c>
      <c r="EN973" s="2294">
        <v>0.01</v>
      </c>
      <c r="EO973" s="2293"/>
      <c r="EP973" s="2293"/>
      <c r="EQ973" s="2293"/>
      <c r="ER973" s="2293"/>
      <c r="ES973" s="2293"/>
      <c r="ET973" s="2293"/>
      <c r="EU973" s="2293"/>
      <c r="EV973" s="2293"/>
      <c r="EW973" s="2293"/>
      <c r="EX973" s="2293"/>
    </row>
    <row r="974" spans="1:154" hidden="1" outlineLevel="2">
      <c r="B974" s="1076" t="s">
        <v>412</v>
      </c>
      <c r="C974" s="2280"/>
      <c r="D974" s="2281"/>
      <c r="E974" s="2281"/>
      <c r="F974" s="2281"/>
      <c r="G974" s="2281"/>
      <c r="H974" s="2281"/>
      <c r="I974" s="1069"/>
      <c r="J974" s="2281"/>
      <c r="K974" s="2281"/>
      <c r="L974" s="2281"/>
      <c r="M974" s="2281"/>
      <c r="N974" s="1069"/>
      <c r="O974" s="1069"/>
      <c r="P974" s="1069"/>
      <c r="Q974" s="1069"/>
      <c r="R974" s="1069"/>
      <c r="S974" s="1069"/>
      <c r="T974" s="1069"/>
      <c r="U974" s="1069"/>
      <c r="V974" s="1069"/>
      <c r="W974" s="1069"/>
      <c r="X974" s="1070"/>
      <c r="Y974" s="1069"/>
      <c r="Z974" s="1069"/>
      <c r="AA974" s="1069"/>
      <c r="AB974" s="1069"/>
      <c r="AC974" s="1070"/>
      <c r="AD974" s="1069"/>
      <c r="AE974" s="1069"/>
      <c r="AF974" s="1069"/>
      <c r="AG974" s="1069"/>
      <c r="AH974" s="1070"/>
      <c r="AI974" s="2281"/>
      <c r="AJ974" s="2281"/>
      <c r="AK974" s="2281"/>
      <c r="AL974" s="1069"/>
      <c r="AM974" s="1070"/>
      <c r="AN974" s="2281"/>
      <c r="AO974" s="2281"/>
      <c r="AP974" s="2281"/>
      <c r="AQ974" s="2281"/>
      <c r="AR974" s="1070"/>
      <c r="AS974" s="2281"/>
      <c r="AT974" s="2281"/>
      <c r="AU974" s="2281"/>
      <c r="AV974" s="2281"/>
      <c r="AW974" s="1070"/>
      <c r="AX974" s="2281"/>
      <c r="AY974" s="2281"/>
      <c r="AZ974" s="2281"/>
      <c r="BA974" s="2281"/>
      <c r="BB974" s="1070"/>
      <c r="BC974" s="2281"/>
      <c r="BD974" s="2281"/>
      <c r="BE974" s="2281"/>
      <c r="BF974" s="2281"/>
      <c r="BG974" s="1070"/>
      <c r="BH974" s="2281"/>
      <c r="BI974" s="2281"/>
      <c r="BJ974" s="2281"/>
      <c r="BK974" s="2281"/>
      <c r="BL974" s="1070"/>
      <c r="BM974" s="2282" t="str">
        <f t="shared" si="2093"/>
      </c>
      <c r="BN974" s="2282" t="str">
        <f t="shared" si="2093"/>
      </c>
      <c r="BO974" s="2282" t="str">
        <f t="shared" si="2093"/>
      </c>
      <c r="BP974" s="2282" t="str">
        <f t="shared" si="2093"/>
      </c>
      <c r="BQ974" s="2290" t="str">
        <f t="shared" si="2093"/>
      </c>
      <c r="BR974" s="2282">
        <f t="shared" si="2093"/>
      </c>
      <c r="BS974" s="2282">
        <f t="shared" si="2093"/>
      </c>
      <c r="BT974" s="2282">
        <f t="shared" si="2093"/>
      </c>
      <c r="BU974" s="2282">
        <f>IF(BP969="NM","NM",IF(BU969="NM","NM",IF(BP969&lt;=0,"NM",IF(BU969=0,"NM",IF(ABS(BU969/BP969-1)&gt;2.5,"NM",IF((ABS(BU969-BP969)=ABS(ABS(BU969)-ABS(BP969))),(BU969/BP969-1),"NM"))))))</f>
      </c>
      <c r="BV974" s="2290">
        <f t="shared" si="2093"/>
      </c>
      <c r="BW974" s="2282">
        <f t="shared" si="2093"/>
      </c>
      <c r="BX974" s="2282">
        <f t="shared" si="2093"/>
      </c>
      <c r="BY974" s="2282">
        <f t="shared" si="2093"/>
      </c>
      <c r="BZ974" s="2282">
        <f>IF(BU969="NM","NM",IF(BZ969="NM","NM",IF(BU969&lt;=0,"NM",IF(BZ969=0,"NM",IF(ABS(BZ969/BU969-1)&gt;2.5,"NM",IF((ABS(BZ969-BU969)=ABS(ABS(BZ969)-ABS(BU969))),(BZ969/BU969-1),"NM"))))))</f>
      </c>
      <c r="CA974" s="2290">
        <f>IF(BV969="NM","NM",IF(CA969="NM","NM",IF(BV969&lt;=0,"NM",IF(CA969=0,"NM",IF(ABS(CA969/BV969-1)&gt;2.5,"NM",IF((ABS(CA969-BV969)=ABS(ABS(CA969)-ABS(BV969))),(CA969/BV969-1),"NM"))))))</f>
      </c>
      <c r="CB974" s="2282">
        <f t="shared" si="2094"/>
      </c>
      <c r="CC974" s="2282">
        <f t="shared" si="2094"/>
      </c>
      <c r="CD974" s="2282">
        <f t="shared" si="2094"/>
      </c>
      <c r="CE974" s="2282">
        <f>IF(BZ969="NM","NM",IF(CE969="NM","NM",IF(BZ969&lt;=0,"NM",IF(CE969=0,"NM",IF(ABS(CE969/BZ969-1)&gt;2.5,"NM",IF((ABS(CE969-BZ969)=ABS(ABS(CE969)-ABS(BZ969))),(CE969/BZ969-1),"NM"))))))</f>
      </c>
      <c r="CF974" s="2290">
        <f>IF(CA969="NM","NM",IF(CF969="NM","NM",IF(CA969&lt;=0,"NM",IF(CF969=0,"NM",IF(ABS(CF969/CA969-1)&gt;2.5,"NM",IF((ABS(CF969-CA969)=ABS(ABS(CF969)-ABS(CA969))),(CF969/CA969-1),"NM"))))))</f>
      </c>
      <c r="CG974" s="2282">
        <f t="shared" si="2095"/>
      </c>
      <c r="CH974" s="2282">
        <f t="shared" si="2095"/>
      </c>
      <c r="CI974" s="2282">
        <f t="shared" si="2095"/>
      </c>
      <c r="CJ974" s="2282">
        <f>CJ975+CJ$21</f>
      </c>
      <c r="CK974" s="2290">
        <f>IF(CF969=0, "NA", CK969/CF969-1)</f>
      </c>
      <c r="CL974" s="1092">
        <f>IF(CG969="NM","NM",IF(CL969="NM","NM",IF(CG969&lt;=0,"NM",IF(CL969=0,"NM",IF(ABS(CL969/CG969-1)&gt;2.5,"NM",IF((ABS(CL969-CG969)=ABS(ABS(CL969)-ABS(CG969))),(CL969/CG969-1),"NM"))))))</f>
      </c>
      <c r="CM974" s="2282">
        <f>IF(CH969="NM","NM",IF(CM969="NM","NM",IF(CH969&lt;=0,"NM",IF(CM969=0,"NM",IF(ABS(CM969/CH969-1)&gt;2.5,"NM",IF((ABS(CM969-CH969)=ABS(ABS(CM969)-ABS(CH969))),(CM969/CH969-1),"NM"))))))</f>
      </c>
      <c r="CN974" s="2282">
        <f>CN975+CN$21</f>
      </c>
      <c r="CO974" s="2282">
        <f>CO975+CO$21</f>
      </c>
      <c r="CP974" s="2290">
        <f>IF(CK969=0, "NA", CP969/CK969-1)</f>
      </c>
      <c r="CQ974" s="2282">
        <f>CQ975+CQ$21</f>
      </c>
      <c r="CR974" s="2282">
        <f>CR975+CR$21</f>
      </c>
      <c r="CS974" s="2282">
        <f>CS975+CS$21</f>
      </c>
      <c r="CT974" s="1093">
        <f>CT975+CT$21</f>
      </c>
      <c r="CU974" s="2295">
        <f>IF(CP969=0, "NA", CU969/CP969-1)</f>
      </c>
      <c r="CV974" s="2282">
        <f>CV975+CV$21</f>
      </c>
      <c r="CW974" s="2282">
        <f>CW975+CW$21</f>
      </c>
      <c r="CX974" s="2282">
        <f>CX975+CX$21</f>
      </c>
      <c r="CY974" s="1093">
        <f>CY975+CY$21</f>
      </c>
      <c r="CZ974" s="2295">
        <f>IF(CU969=0, "NA", CZ969/CU969-1)</f>
      </c>
      <c r="DA974" s="1328">
        <f>DA975+DA$21</f>
      </c>
      <c r="DB974" s="2299">
        <f>DB975+DB$21</f>
      </c>
      <c r="DC974" s="2299">
        <f>DC975+DC$21</f>
      </c>
      <c r="DD974" s="1348">
        <f>IF(DD969=0, "NM", DD969/CY969-1)</f>
      </c>
      <c r="DE974" s="2290">
        <f>DE975+DE$21</f>
      </c>
      <c r="DF974" s="1925"/>
      <c r="DG974" s="2300"/>
      <c r="DH974" s="2300"/>
      <c r="DI974" s="1926"/>
      <c r="DJ974" s="2290">
        <f>DJ975+DJ$21</f>
      </c>
      <c r="DK974" s="958"/>
      <c r="DL974" s="926"/>
      <c r="DM974" s="926"/>
      <c r="DN974" s="928"/>
      <c r="DO974" s="2290">
        <f>DO975+DO$21</f>
      </c>
      <c r="DP974" s="2300"/>
      <c r="DQ974" s="2300"/>
      <c r="DR974" s="2300"/>
      <c r="DS974" s="2300"/>
      <c r="DT974" s="2290">
        <f>DT975+DT$21</f>
      </c>
      <c r="DU974" s="2300">
        <f>DU975+DU$21</f>
      </c>
      <c r="DV974" s="2300"/>
      <c r="DW974" s="2300"/>
      <c r="DX974" s="1926"/>
      <c r="DY974" s="2290">
        <f>DY975+DY$21</f>
      </c>
      <c r="DZ974" s="2300"/>
      <c r="EA974" s="2300"/>
      <c r="EB974" s="2300"/>
      <c r="EC974" s="1926"/>
      <c r="ED974" s="2290">
        <f>ED975+ED$21</f>
      </c>
      <c r="EE974" s="2300"/>
      <c r="EF974" s="2300"/>
      <c r="EG974" s="2282"/>
      <c r="EH974" s="2300"/>
      <c r="EI974" s="1092">
        <f t="shared" ref="EI974:EN974" si="2096">EI975+EI$21</f>
      </c>
      <c r="EJ974" s="1092">
        <f t="shared" si="2096"/>
      </c>
      <c r="EK974" s="2290">
        <f t="shared" si="2096"/>
      </c>
      <c r="EL974" s="2290">
        <f t="shared" si="2096"/>
      </c>
      <c r="EM974" s="2290">
        <f t="shared" si="2096"/>
      </c>
      <c r="EN974" s="2290">
        <f t="shared" si="2096"/>
      </c>
      <c r="EO974" s="2290"/>
      <c r="EP974" s="2290"/>
      <c r="EQ974" s="2290"/>
      <c r="ER974" s="2290"/>
      <c r="ES974" s="2290"/>
      <c r="ET974" s="2290"/>
      <c r="EU974" s="2290"/>
      <c r="EV974" s="2290"/>
      <c r="EW974" s="2290"/>
      <c r="EX974" s="2290"/>
    </row>
    <row r="975" spans="1:154" hidden="1" outlineLevel="2">
      <c r="B975" s="1076" t="s">
        <v>256</v>
      </c>
      <c r="C975" s="2280"/>
      <c r="D975" s="2281"/>
      <c r="E975" s="2281"/>
      <c r="F975" s="2281"/>
      <c r="G975" s="2281"/>
      <c r="H975" s="2281"/>
      <c r="I975" s="1069"/>
      <c r="J975" s="2281"/>
      <c r="K975" s="2281"/>
      <c r="L975" s="2281"/>
      <c r="M975" s="2281"/>
      <c r="N975" s="1069"/>
      <c r="O975" s="1069"/>
      <c r="P975" s="1069"/>
      <c r="Q975" s="1069"/>
      <c r="R975" s="1069"/>
      <c r="S975" s="1069"/>
      <c r="T975" s="1069"/>
      <c r="U975" s="1069"/>
      <c r="V975" s="1069"/>
      <c r="W975" s="1069"/>
      <c r="X975" s="1070"/>
      <c r="Y975" s="1069"/>
      <c r="Z975" s="1069"/>
      <c r="AA975" s="1069"/>
      <c r="AB975" s="1069"/>
      <c r="AC975" s="1070"/>
      <c r="AD975" s="1069"/>
      <c r="AE975" s="1069"/>
      <c r="AF975" s="1069"/>
      <c r="AG975" s="1069"/>
      <c r="AH975" s="1070"/>
      <c r="AI975" s="2281"/>
      <c r="AJ975" s="2281"/>
      <c r="AK975" s="2281"/>
      <c r="AL975" s="1069"/>
      <c r="AM975" s="1070"/>
      <c r="AN975" s="2281"/>
      <c r="AO975" s="2281"/>
      <c r="AP975" s="2281"/>
      <c r="AQ975" s="2281"/>
      <c r="AR975" s="1070"/>
      <c r="AS975" s="2281"/>
      <c r="AT975" s="2281"/>
      <c r="AU975" s="2281"/>
      <c r="AV975" s="2281"/>
      <c r="AW975" s="1070"/>
      <c r="AX975" s="2281"/>
      <c r="AY975" s="2281"/>
      <c r="AZ975" s="2281"/>
      <c r="BA975" s="2281"/>
      <c r="BB975" s="1070"/>
      <c r="BC975" s="2281"/>
      <c r="BD975" s="2281"/>
      <c r="BE975" s="2281"/>
      <c r="BF975" s="2281"/>
      <c r="BG975" s="1070"/>
      <c r="BH975" s="2281"/>
      <c r="BI975" s="2281"/>
      <c r="BJ975" s="2281"/>
      <c r="BK975" s="2281"/>
      <c r="BL975" s="1070"/>
      <c r="BM975" s="2282" t="str">
        <f>IF(ISNUMBER(BM974),(1+BM974)/(1+BM$21)-1,"NM")</f>
      </c>
      <c r="BN975" s="2282" t="str">
        <f>IF(ISNUMBER(BN974),(1+BN974)/(1+BN$21)-1,"NM")</f>
      </c>
      <c r="BO975" s="2282" t="str">
        <f>IF(ISNUMBER(BO974),(1+BO974)/(1+BO$21)-1,"NM")</f>
      </c>
      <c r="BP975" s="2301" t="str">
        <f>IF(ISNUMBER(BP974),(1+BP974)/(1+BP$21)-1,"NM")</f>
      </c>
      <c r="BQ975" s="2290" t="str">
        <f>IF(ISNUMBER(BQ974),(1+BQ974)/(1+BQ$21)-1,"NM")</f>
      </c>
      <c r="BR975" s="1077">
        <v>2.5999999999999999E-2</v>
      </c>
      <c r="BS975" s="1077">
        <v>3.1E-2</v>
      </c>
      <c r="BT975" s="1077">
        <v>8.9999999999999993E-3</v>
      </c>
      <c r="BU975" s="1077">
        <v>1.9E-2</v>
      </c>
      <c r="BV975" s="1078">
        <v>2.1000000000000001E-2</v>
      </c>
      <c r="BW975" s="1077">
        <v>-2.4E-2</v>
      </c>
      <c r="BX975" s="1077">
        <v>6.0000000000000001E-3</v>
      </c>
      <c r="BY975" s="1077">
        <v>3.9E-2</v>
      </c>
      <c r="BZ975" s="2294">
        <v>3.4000000000000002E-2</v>
      </c>
      <c r="CA975" s="1078">
        <v>1.2999999999999999E-2</v>
      </c>
      <c r="CB975" s="2282">
        <v>2.1999999999999999E-2</v>
      </c>
      <c r="CC975" s="2292">
        <v>1.9E-2</v>
      </c>
      <c r="CD975" s="2292">
        <v>2.4E-2</v>
      </c>
      <c r="CE975" s="2292">
        <v>0.04</v>
      </c>
      <c r="CF975" s="2291">
        <v>2.5999999999999999E-2</v>
      </c>
      <c r="CG975" s="2282">
        <v>0.03</v>
      </c>
      <c r="CH975" s="2292">
        <v>0</v>
      </c>
      <c r="CI975" s="2292">
        <v>1.0999999999999999E-2</v>
      </c>
      <c r="CJ975" s="2292">
        <v>0.03</v>
      </c>
      <c r="CK975" s="2291">
        <f>CK974-CK$21</f>
      </c>
      <c r="CL975" s="1092">
        <f>IF(ISNUMBER(CL974),(1+CL974)/(1+CL$21)-1,"NM")</f>
      </c>
      <c r="CM975" s="2292">
        <f>IF(ISNUMBER(CM974),(1+CM974)/(1+CM$21)-1,"NM")</f>
      </c>
      <c r="CN975" s="2292">
        <v>3.5000000000000003E-2</v>
      </c>
      <c r="CO975" s="2292">
        <v>0.03</v>
      </c>
      <c r="CP975" s="2293">
        <f>CP974-CP$21</f>
      </c>
      <c r="CQ975" s="2292">
        <v>0.05</v>
      </c>
      <c r="CR975" s="2292">
        <v>0.05</v>
      </c>
      <c r="CS975" s="2292">
        <v>0.05</v>
      </c>
      <c r="CT975" s="2294">
        <v>0.05</v>
      </c>
      <c r="CU975" s="2302">
        <f>CU974-CU$21</f>
      </c>
      <c r="CV975" s="2292">
        <v>0.05</v>
      </c>
      <c r="CW975" s="2292">
        <v>0.05</v>
      </c>
      <c r="CX975" s="2292">
        <v>0.05</v>
      </c>
      <c r="CY975" s="2294">
        <v>0.05</v>
      </c>
      <c r="CZ975" s="2302">
        <f>CZ974-CZ$21</f>
      </c>
      <c r="DA975" s="2296">
        <v>0.04</v>
      </c>
      <c r="DB975" s="2297">
        <v>0.04</v>
      </c>
      <c r="DC975" s="2297">
        <v>0.04</v>
      </c>
      <c r="DD975" s="2298">
        <f>IF(DD969=0, "NM",DD974-DD$21)</f>
      </c>
      <c r="DE975" s="2293">
        <v>0.04</v>
      </c>
      <c r="DF975" s="2296"/>
      <c r="DG975" s="2297"/>
      <c r="DH975" s="2297"/>
      <c r="DI975" s="2298"/>
      <c r="DJ975" s="2294">
        <v>0.04</v>
      </c>
      <c r="DK975" s="828"/>
      <c r="DL975" s="361"/>
      <c r="DM975" s="361"/>
      <c r="DN975" s="927"/>
      <c r="DO975" s="2294">
        <v>0.04</v>
      </c>
      <c r="DP975" s="2297"/>
      <c r="DQ975" s="2297"/>
      <c r="DR975" s="2297"/>
      <c r="DS975" s="3111"/>
      <c r="DT975" s="2293">
        <v>0.04</v>
      </c>
      <c r="DU975" s="3111">
        <v>0.04</v>
      </c>
      <c r="DV975" s="2297"/>
      <c r="DW975" s="2297"/>
      <c r="DX975" s="3306"/>
      <c r="DY975" s="3308"/>
      <c r="DZ975" s="2297"/>
      <c r="EA975" s="2297"/>
      <c r="EB975" s="2297"/>
      <c r="EC975" s="3306"/>
      <c r="ED975" s="3308"/>
      <c r="EE975" s="2297"/>
      <c r="EF975" s="2297"/>
      <c r="EG975" s="2292"/>
      <c r="EH975" s="3111"/>
      <c r="EI975" s="2307">
        <v>0.04</v>
      </c>
      <c r="EJ975" s="2292">
        <v>0.04</v>
      </c>
      <c r="EK975" s="2294">
        <v>0.04</v>
      </c>
      <c r="EL975" s="2294">
        <v>0.04</v>
      </c>
      <c r="EM975" s="2294">
        <v>0.04</v>
      </c>
      <c r="EN975" s="2294">
        <v>0.04</v>
      </c>
      <c r="EO975" s="2293"/>
      <c r="EP975" s="2293"/>
      <c r="EQ975" s="2293"/>
      <c r="ER975" s="2293"/>
      <c r="ES975" s="2293"/>
      <c r="ET975" s="2293"/>
      <c r="EU975" s="2293"/>
      <c r="EV975" s="2293"/>
      <c r="EW975" s="2293"/>
      <c r="EX975" s="2293"/>
    </row>
    <row r="976" spans="1:154" hidden="1" outlineLevel="2">
      <c r="B976" s="1076" t="s">
        <v>413</v>
      </c>
      <c r="C976" s="2280"/>
      <c r="D976" s="2281"/>
      <c r="E976" s="2281"/>
      <c r="F976" s="2281"/>
      <c r="G976" s="2281"/>
      <c r="H976" s="2281"/>
      <c r="I976" s="1069"/>
      <c r="J976" s="2281"/>
      <c r="K976" s="2281"/>
      <c r="L976" s="2281"/>
      <c r="M976" s="2281"/>
      <c r="N976" s="1069"/>
      <c r="O976" s="1069"/>
      <c r="P976" s="1069"/>
      <c r="Q976" s="1069"/>
      <c r="R976" s="1069"/>
      <c r="S976" s="1069"/>
      <c r="T976" s="1069"/>
      <c r="U976" s="1069"/>
      <c r="V976" s="1069"/>
      <c r="W976" s="1069"/>
      <c r="X976" s="1070"/>
      <c r="Y976" s="1069"/>
      <c r="Z976" s="1069"/>
      <c r="AA976" s="1069"/>
      <c r="AB976" s="1069"/>
      <c r="AC976" s="1070"/>
      <c r="AD976" s="1069"/>
      <c r="AE976" s="1069"/>
      <c r="AF976" s="1069"/>
      <c r="AG976" s="1069"/>
      <c r="AH976" s="1070"/>
      <c r="AI976" s="2281"/>
      <c r="AJ976" s="2281"/>
      <c r="AK976" s="2281"/>
      <c r="AL976" s="1069"/>
      <c r="AM976" s="1070"/>
      <c r="AN976" s="2281"/>
      <c r="AO976" s="2281"/>
      <c r="AP976" s="2281"/>
      <c r="AQ976" s="2281"/>
      <c r="AR976" s="1070"/>
      <c r="AS976" s="2281"/>
      <c r="AT976" s="2281"/>
      <c r="AU976" s="2281"/>
      <c r="AV976" s="2281"/>
      <c r="AW976" s="1070"/>
      <c r="AX976" s="2281"/>
      <c r="AY976" s="2281"/>
      <c r="AZ976" s="2281"/>
      <c r="BA976" s="2281"/>
      <c r="BB976" s="1070"/>
      <c r="BC976" s="2281"/>
      <c r="BD976" s="2281"/>
      <c r="BE976" s="2281"/>
      <c r="BF976" s="2281"/>
      <c r="BG976" s="1070"/>
      <c r="BH976" s="2281"/>
      <c r="BI976" s="2281"/>
      <c r="BJ976" s="2281"/>
      <c r="BK976" s="2281"/>
      <c r="BL976" s="1070"/>
      <c r="BM976" s="2282" t="str">
        <f t="shared" ref="BM976:CI976" si="2097">IF(BH970="NM","NM",IF(BM970="NM","NM",IF(BH970&lt;=0,"NM",IF(BM970=0,"NM",IF(ABS(BM970/BH970-1)&gt;2.5,"NM",IF((ABS(BM970-BH970)=ABS(ABS(BM970)-ABS(BH970))),(BM970/BH970-1),"NM"))))))</f>
      </c>
      <c r="BN976" s="2282" t="str">
        <f t="shared" si="2097"/>
      </c>
      <c r="BO976" s="2282" t="str">
        <f t="shared" si="2097"/>
      </c>
      <c r="BP976" s="2282" t="str">
        <f t="shared" si="2097"/>
      </c>
      <c r="BQ976" s="2290" t="str">
        <f t="shared" si="2097"/>
      </c>
      <c r="BR976" s="2282">
        <f t="shared" si="2097"/>
      </c>
      <c r="BS976" s="2282">
        <f t="shared" si="2097"/>
      </c>
      <c r="BT976" s="2282">
        <f t="shared" si="2097"/>
      </c>
      <c r="BU976" s="2282">
        <f>IF(BP970="NM","NM",IF(BU970="NM","NM",IF(BP970&lt;=0,"NM",IF(BU970=0,"NM",IF(ABS(BU970/BP970-1)&gt;2.5,"NM",IF((ABS(BU970-BP970)=ABS(ABS(BU970)-ABS(BP970))),(BU970/BP970-1),"NM"))))))</f>
      </c>
      <c r="BV976" s="2290">
        <f>IF(BQ970="NM","NM",IF(BV970="NM","NM",IF(BQ970&lt;=0,"NM",IF(BV970=0,"NM",IF(ABS(BV970/BQ970-1)&gt;2.5,"NM",IF((ABS(BV970-BQ970)=ABS(ABS(BV970)-ABS(BQ970))),(BV970/BQ970-1),"NM"))))))</f>
      </c>
      <c r="BW976" s="2282">
        <f t="shared" si="2097"/>
      </c>
      <c r="BX976" s="2282">
        <f t="shared" si="2097"/>
      </c>
      <c r="BY976" s="2282">
        <f t="shared" si="2097"/>
      </c>
      <c r="BZ976" s="2282">
        <f>IF(BU970="NM","NM",IF(BZ970="NM","NM",IF(BU970&lt;=0,"NM",IF(BZ970=0,"NM",IF(ABS(BZ970/BU970-1)&gt;2.5,"NM",IF((ABS(BZ970-BU970)=ABS(ABS(BZ970)-ABS(BU970))),(BZ970/BU970-1),"NM"))))))</f>
      </c>
      <c r="CA976" s="2290">
        <f>IF(BV970="NM","NM",IF(CA970="NM","NM",IF(BV970&lt;=0,"NM",IF(CA970=0,"NM",IF(ABS(CA970/BV970-1)&gt;2.5,"NM",IF((ABS(CA970-BV970)=ABS(ABS(CA970)-ABS(BV970))),(CA970/BV970-1),"NM"))))))</f>
      </c>
      <c r="CB976" s="2282">
        <f t="shared" si="2097"/>
      </c>
      <c r="CC976" s="2282">
        <f t="shared" si="2097"/>
      </c>
      <c r="CD976" s="2282">
        <f t="shared" si="2097"/>
      </c>
      <c r="CE976" s="2282">
        <f>IF(BZ970="NM","NM",IF(CE970="NM","NM",IF(BZ970&lt;=0,"NM",IF(CE970=0,"NM",IF(ABS(CE970/BZ970-1)&gt;2.5,"NM",IF((ABS(CE970-BZ970)=ABS(ABS(CE970)-ABS(BZ970))),(CE970/BZ970-1),"NM"))))))</f>
      </c>
      <c r="CF976" s="2290">
        <f>IF(CA970="NM","NM",IF(CF970="NM","NM",IF(CA970&lt;=0,"NM",IF(CF970=0,"NM",IF(ABS(CF970/CA970-1)&gt;2.5,"NM",IF((ABS(CF970-CA970)=ABS(ABS(CF970)-ABS(CA970))),(CF970/CA970-1),"NM"))))))</f>
      </c>
      <c r="CG976" s="2282">
        <f t="shared" si="2097"/>
      </c>
      <c r="CH976" s="2282">
        <f t="shared" si="2097"/>
      </c>
      <c r="CI976" s="2282">
        <f t="shared" si="2097"/>
      </c>
      <c r="CJ976" s="2282">
        <f>IF(CJ970&lt;=0,0,(CJ970/CE970-1))</f>
      </c>
      <c r="CK976" s="2290">
        <f>IF(CF970=0, "NA", CK970/CF970-1)</f>
      </c>
      <c r="CL976" s="1092">
        <f>IF(CG970="NM","NM",IF(CL970="NM","NM",IF(CG970&lt;=0,"NM",IF(CL970=0,"NM",IF(ABS(CL970/CG970-1)&gt;2.5,"NM",IF((ABS(CL970-CG970)=ABS(ABS(CL970)-ABS(CG970))),(CL970/CG970-1),"NM"))))))</f>
      </c>
      <c r="CM976" s="2282">
        <f>IF(CH970="NM","NM",IF(CM970="NM","NM",IF(CH970&lt;=0,"NM",IF(CM970=0,"NM",IF(ABS(CM970/CH970-1)&gt;2.5,"NM",IF((ABS(CM970-CH970)=ABS(ABS(CM970)-ABS(CH970))),(CM970/CH970-1),"NM"))))))</f>
      </c>
      <c r="CN976" s="2282">
        <f>IF(CN970&lt;=0,0,(CN970/CI970-1))</f>
      </c>
      <c r="CO976" s="2282">
        <f>IF(CO970&lt;=0,0,(CO970/CJ970-1))</f>
      </c>
      <c r="CP976" s="2290">
        <f>IF(CK970=0, "NA", CP970/CK970-1)</f>
      </c>
      <c r="CQ976" s="2282">
        <f>IF(CQ970&lt;=0,0,(CQ970/CL970-1))</f>
      </c>
      <c r="CR976" s="2282">
        <f>IF(CR970&lt;=0,0,(CR970/CM970-1))</f>
      </c>
      <c r="CS976" s="2282">
        <f>IF(CS970&lt;=0,0,(CS970/CN970-1))</f>
      </c>
      <c r="CT976" s="1093">
        <f>IF(CT970&lt;=0,0,(CT970/CO970-1))</f>
      </c>
      <c r="CU976" s="2295">
        <f>IF(CP970=0, "NA", CU970/CP970-1)</f>
      </c>
      <c r="CV976" s="2282">
        <f>IF(CV970&lt;=0,0,(CV970/CQ970-1))</f>
      </c>
      <c r="CW976" s="2282">
        <f>IF(CW970&lt;=0,0,(CW970/CR970-1))</f>
      </c>
      <c r="CX976" s="2282">
        <f>IF(CX970&lt;=0,0,(CX970/CS970-1))</f>
      </c>
      <c r="CY976" s="1093">
        <f>IF(CY970&lt;=0,0,(CY970/CT970-1))</f>
      </c>
      <c r="CZ976" s="2295">
        <f>IF(CU970=0, "NA", CZ970/CU970-1)</f>
      </c>
      <c r="DA976" s="1925">
        <f>IF(CV970=0, "NA", DA970/CV970-1)</f>
      </c>
      <c r="DB976" s="2300">
        <f>IF(CW970=0, "NA", DB970/CW970-1)</f>
      </c>
      <c r="DC976" s="2300">
        <f>IF(CX970=0, "NA", DC970/CX970-1)</f>
      </c>
      <c r="DD976" s="1926">
        <f>IF(CY970=0, "NM", DD970/CY970-1)</f>
      </c>
      <c r="DE976" s="2290">
        <f>IF(CZ970=0, "NA", DE970/CZ970-1)</f>
      </c>
      <c r="DF976" s="1925"/>
      <c r="DG976" s="2300"/>
      <c r="DH976" s="2300"/>
      <c r="DI976" s="1926"/>
      <c r="DJ976" s="2290">
        <f>IF(DE970=0, "NA", DJ970/DE970-1)</f>
      </c>
      <c r="DK976" s="958"/>
      <c r="DL976" s="926"/>
      <c r="DM976" s="926"/>
      <c r="DN976" s="928"/>
      <c r="DO976" s="2290">
        <f>IF(DJ970=0, "NA", DO970/DJ970-1)</f>
      </c>
      <c r="DP976" s="2300"/>
      <c r="DQ976" s="2300"/>
      <c r="DR976" s="2300"/>
      <c r="DS976" s="2300"/>
      <c r="DT976" s="2290">
        <f>IF(DO970=0, "NA", DT970/DO970-1)</f>
      </c>
      <c r="DU976" s="2300" t="str">
        <f>IF(DP970=0, "NA", DU970/DP970-1)</f>
      </c>
      <c r="DV976" s="2300"/>
      <c r="DW976" s="2300"/>
      <c r="DX976" s="1926"/>
      <c r="DY976" s="2290">
        <f>IF(DT970=0, "NA", DY970/DT970-1)</f>
      </c>
      <c r="DZ976" s="2300"/>
      <c r="EA976" s="2300"/>
      <c r="EB976" s="2300"/>
      <c r="EC976" s="1926"/>
      <c r="ED976" s="2290">
        <f>IF(DY970=0, "NA", ED970/DY970-1)</f>
      </c>
      <c r="EE976" s="2300"/>
      <c r="EF976" s="2300"/>
      <c r="EG976" s="2282"/>
      <c r="EH976" s="2300"/>
      <c r="EI976" s="1092">
        <f>IF(ED970=0, "NA", EI970/ED970-1)</f>
      </c>
      <c r="EJ976" s="1092">
        <f t="shared" ref="EJ976:EN976" si="2098">IF(EI970=0, "NA", EJ970/EI970-1)</f>
      </c>
      <c r="EK976" s="2290">
        <f t="shared" si="2098"/>
      </c>
      <c r="EL976" s="2290">
        <f t="shared" si="2098"/>
      </c>
      <c r="EM976" s="2290">
        <f t="shared" si="2098"/>
      </c>
      <c r="EN976" s="2290">
        <f t="shared" si="2098"/>
      </c>
      <c r="EO976" s="2290"/>
      <c r="EP976" s="2290"/>
      <c r="EQ976" s="2290"/>
      <c r="ER976" s="2290"/>
      <c r="ES976" s="2290"/>
      <c r="ET976" s="2290"/>
      <c r="EU976" s="2290"/>
      <c r="EV976" s="2290"/>
      <c r="EW976" s="2290"/>
      <c r="EX976" s="2290"/>
    </row>
    <row r="977" spans="2:154" ht="13.5" hidden="1" customHeight="1" outlineLevel="2">
      <c r="B977" s="1079"/>
      <c r="C977" s="2280"/>
      <c r="D977" s="2281"/>
      <c r="E977" s="2281"/>
      <c r="F977" s="2281"/>
      <c r="G977" s="2281"/>
      <c r="H977" s="2281"/>
      <c r="I977" s="1069"/>
      <c r="J977" s="2281"/>
      <c r="K977" s="2281"/>
      <c r="L977" s="2281"/>
      <c r="M977" s="2281"/>
      <c r="N977" s="1069"/>
      <c r="O977" s="1069"/>
      <c r="P977" s="1069"/>
      <c r="Q977" s="1069"/>
      <c r="R977" s="1069"/>
      <c r="S977" s="1069"/>
      <c r="T977" s="1069"/>
      <c r="U977" s="1069"/>
      <c r="V977" s="1069"/>
      <c r="W977" s="1069"/>
      <c r="X977" s="1070"/>
      <c r="Y977" s="1069"/>
      <c r="Z977" s="1069"/>
      <c r="AA977" s="1069"/>
      <c r="AB977" s="1069"/>
      <c r="AC977" s="1070"/>
      <c r="AD977" s="1069"/>
      <c r="AE977" s="1069"/>
      <c r="AF977" s="1069"/>
      <c r="AG977" s="1069"/>
      <c r="AH977" s="1070"/>
      <c r="AI977" s="2281"/>
      <c r="AJ977" s="2281"/>
      <c r="AK977" s="2281"/>
      <c r="AL977" s="1069"/>
      <c r="AM977" s="1070"/>
      <c r="AN977" s="2281"/>
      <c r="AO977" s="2281"/>
      <c r="AP977" s="2281"/>
      <c r="AQ977" s="2281"/>
      <c r="AR977" s="1070"/>
      <c r="AS977" s="2281"/>
      <c r="AT977" s="2281"/>
      <c r="AU977" s="2281"/>
      <c r="AV977" s="2281"/>
      <c r="AW977" s="1070"/>
      <c r="AX977" s="2281"/>
      <c r="AY977" s="2281"/>
      <c r="AZ977" s="2281"/>
      <c r="BA977" s="2281"/>
      <c r="BB977" s="1070"/>
      <c r="BC977" s="2281"/>
      <c r="BD977" s="2281"/>
      <c r="BE977" s="2281"/>
      <c r="BF977" s="2281"/>
      <c r="BG977" s="1070"/>
      <c r="BH977" s="2281"/>
      <c r="BI977" s="2281"/>
      <c r="BJ977" s="2281"/>
      <c r="BK977" s="2281"/>
      <c r="BL977" s="1070"/>
      <c r="BM977" s="2281"/>
      <c r="BN977" s="2281"/>
      <c r="BO977" s="2281"/>
      <c r="BP977" s="2281"/>
      <c r="BQ977" s="1070"/>
      <c r="BR977" s="2281"/>
      <c r="BS977" s="2281"/>
      <c r="BT977" s="2281"/>
      <c r="BU977" s="2281"/>
      <c r="BV977" s="1070"/>
      <c r="BW977" s="2281"/>
      <c r="BX977" s="2281"/>
      <c r="BY977" s="2281"/>
      <c r="BZ977" s="2281"/>
      <c r="CA977" s="1070"/>
      <c r="CB977" s="2281"/>
      <c r="CC977" s="2281"/>
      <c r="CD977" s="2281"/>
      <c r="CE977" s="2281"/>
      <c r="CF977" s="1070"/>
      <c r="CG977" s="2281"/>
      <c r="CH977" s="2281"/>
      <c r="CI977" s="2281"/>
      <c r="CJ977" s="2281"/>
      <c r="CK977" s="1070"/>
      <c r="CL977" s="2303"/>
      <c r="CM977" s="3023"/>
      <c r="CN977" s="3023"/>
      <c r="CO977" s="2281"/>
      <c r="CP977" s="1070"/>
      <c r="CQ977" s="3023"/>
      <c r="CR977" s="3023"/>
      <c r="CS977" s="3023"/>
      <c r="CT977" s="2304"/>
      <c r="CU977" s="1074"/>
      <c r="CV977" s="3023"/>
      <c r="CW977" s="3023"/>
      <c r="CX977" s="3023"/>
      <c r="CY977" s="2304"/>
      <c r="CZ977" s="1074"/>
      <c r="DA977" s="1329"/>
      <c r="DB977" s="1069"/>
      <c r="DC977" s="1069"/>
      <c r="DD977" s="1074"/>
      <c r="DE977" s="1922"/>
      <c r="DF977" s="1927"/>
      <c r="DG977" s="2305"/>
      <c r="DH977" s="2305"/>
      <c r="DI977" s="1928"/>
      <c r="DJ977" s="1922"/>
      <c r="DK977" s="1799"/>
      <c r="DL977" s="603"/>
      <c r="DM977" s="603"/>
      <c r="DN977" s="1798"/>
      <c r="DO977" s="1922"/>
      <c r="DP977" s="2305"/>
      <c r="DQ977" s="2305"/>
      <c r="DR977" s="2305"/>
      <c r="DS977" s="2305"/>
      <c r="DT977" s="1922"/>
      <c r="DU977" s="2305"/>
      <c r="DV977" s="2305"/>
      <c r="DW977" s="2305"/>
      <c r="DX977" s="1928"/>
      <c r="DY977" s="1922"/>
      <c r="DZ977" s="2305"/>
      <c r="EA977" s="2305"/>
      <c r="EB977" s="2305"/>
      <c r="EC977" s="1928"/>
      <c r="ED977" s="1922"/>
      <c r="EE977" s="2305"/>
      <c r="EF977" s="2305"/>
      <c r="EG977" s="2305"/>
      <c r="EH977" s="2305"/>
      <c r="EI977" s="1927"/>
      <c r="EJ977" s="1927"/>
      <c r="EK977" s="1922"/>
      <c r="EL977" s="1922"/>
      <c r="EM977" s="1922"/>
      <c r="EN977" s="1922"/>
      <c r="EO977" s="1922"/>
      <c r="EP977" s="1922"/>
      <c r="EQ977" s="1922"/>
      <c r="ER977" s="1922"/>
      <c r="ES977" s="1922"/>
      <c r="ET977" s="1922"/>
      <c r="EU977" s="1922"/>
      <c r="EV977" s="1922"/>
      <c r="EW977" s="1922"/>
      <c r="EX977" s="1922"/>
    </row>
    <row r="978" spans="2:154" hidden="1" outlineLevel="2">
      <c r="B978" s="2239" t="s">
        <v>499</v>
      </c>
      <c r="C978" s="2252"/>
      <c r="D978" s="3006"/>
      <c r="E978" s="3006"/>
      <c r="F978" s="3006"/>
      <c r="G978" s="3006"/>
      <c r="H978" s="3006"/>
      <c r="I978" s="3007"/>
      <c r="J978" s="3006"/>
      <c r="K978" s="3006"/>
      <c r="L978" s="3006"/>
      <c r="M978" s="3006"/>
      <c r="N978" s="3007"/>
      <c r="O978" s="3007"/>
      <c r="P978" s="3007"/>
      <c r="Q978" s="3007"/>
      <c r="R978" s="3007"/>
      <c r="S978" s="3007"/>
      <c r="T978" s="3007"/>
      <c r="U978" s="3007"/>
      <c r="V978" s="3007"/>
      <c r="W978" s="3007"/>
      <c r="X978" s="2253"/>
      <c r="Y978" s="3007"/>
      <c r="Z978" s="3007"/>
      <c r="AA978" s="3007"/>
      <c r="AB978" s="3007"/>
      <c r="AC978" s="2253"/>
      <c r="AD978" s="3007"/>
      <c r="AE978" s="3007"/>
      <c r="AF978" s="3007"/>
      <c r="AG978" s="3007"/>
      <c r="AH978" s="2253"/>
      <c r="AI978" s="3006"/>
      <c r="AJ978" s="3006"/>
      <c r="AK978" s="3006"/>
      <c r="AL978" s="3007"/>
      <c r="AM978" s="2253"/>
      <c r="AN978" s="3006"/>
      <c r="AO978" s="3006"/>
      <c r="AP978" s="3006"/>
      <c r="AQ978" s="3006"/>
      <c r="AR978" s="2253"/>
      <c r="AS978" s="3006"/>
      <c r="AT978" s="3006"/>
      <c r="AU978" s="3006"/>
      <c r="AV978" s="3006"/>
      <c r="AW978" s="2253"/>
      <c r="AX978" s="3006"/>
      <c r="AY978" s="3006"/>
      <c r="AZ978" s="3006"/>
      <c r="BA978" s="3006"/>
      <c r="BB978" s="2253"/>
      <c r="BC978" s="3006"/>
      <c r="BD978" s="3006"/>
      <c r="BE978" s="3006"/>
      <c r="BF978" s="3006"/>
      <c r="BG978" s="2253"/>
      <c r="BH978" s="3006"/>
      <c r="BI978" s="3006"/>
      <c r="BJ978" s="3006"/>
      <c r="BK978" s="3006"/>
      <c r="BL978" s="2253"/>
      <c r="BM978" s="3006"/>
      <c r="BN978" s="3006"/>
      <c r="BO978" s="3006"/>
      <c r="BP978" s="3006"/>
      <c r="BQ978" s="2253"/>
      <c r="BR978" s="3006"/>
      <c r="BS978" s="3006"/>
      <c r="BT978" s="3006"/>
      <c r="BU978" s="3006"/>
      <c r="BV978" s="2253"/>
      <c r="BW978" s="3006"/>
      <c r="BX978" s="3006"/>
      <c r="BY978" s="3006"/>
      <c r="BZ978" s="3006"/>
      <c r="CA978" s="2253"/>
      <c r="CB978" s="3006"/>
      <c r="CC978" s="3006"/>
      <c r="CD978" s="3006"/>
      <c r="CE978" s="3006"/>
      <c r="CF978" s="2253"/>
      <c r="CG978" s="3006"/>
      <c r="CH978" s="3006"/>
      <c r="CI978" s="3006"/>
      <c r="CJ978" s="3006"/>
      <c r="CK978" s="2253"/>
      <c r="CL978" s="2254"/>
      <c r="CM978" s="3006"/>
      <c r="CN978" s="3006"/>
      <c r="CO978" s="3006"/>
      <c r="CP978" s="2253"/>
      <c r="CQ978" s="3006"/>
      <c r="CR978" s="3006"/>
      <c r="CS978" s="3006"/>
      <c r="CT978" s="2279"/>
      <c r="CU978" s="2256"/>
      <c r="CV978" s="3006"/>
      <c r="CW978" s="3006"/>
      <c r="CX978" s="3006"/>
      <c r="CY978" s="2279"/>
      <c r="CZ978" s="2256"/>
      <c r="DA978" s="2255"/>
      <c r="DB978" s="3007"/>
      <c r="DC978" s="3007"/>
      <c r="DD978" s="2256"/>
      <c r="DE978" s="2208"/>
      <c r="DF978" s="2194"/>
      <c r="DG978" s="2957"/>
      <c r="DH978" s="2957"/>
      <c r="DI978" s="2128"/>
      <c r="DJ978" s="2208"/>
      <c r="DK978" s="2306"/>
      <c r="DL978" s="3018"/>
      <c r="DM978" s="3018"/>
      <c r="DN978" s="2262"/>
      <c r="DO978" s="2208"/>
      <c r="DP978" s="2957"/>
      <c r="DQ978" s="2957"/>
      <c r="DR978" s="2957"/>
      <c r="DS978" s="2957"/>
      <c r="DT978" s="2208"/>
      <c r="DU978" s="2957"/>
      <c r="DV978" s="2957"/>
      <c r="DW978" s="2957"/>
      <c r="DX978" s="2128"/>
      <c r="DY978" s="2208"/>
      <c r="DZ978" s="2957"/>
      <c r="EA978" s="2957"/>
      <c r="EB978" s="2957"/>
      <c r="EC978" s="2128"/>
      <c r="ED978" s="2208"/>
      <c r="EE978" s="2957"/>
      <c r="EF978" s="2957"/>
      <c r="EG978" s="3554"/>
      <c r="EH978" s="2957"/>
      <c r="EI978" s="2194"/>
      <c r="EJ978" s="2194"/>
      <c r="EK978" s="2208"/>
      <c r="EL978" s="2208"/>
      <c r="EM978" s="2208"/>
      <c r="EN978" s="2208"/>
      <c r="EO978" s="2201"/>
      <c r="EP978" s="2201"/>
      <c r="EQ978" s="2201"/>
      <c r="ER978" s="2201"/>
      <c r="ES978" s="2201"/>
      <c r="ET978" s="2201"/>
      <c r="EU978" s="2201"/>
      <c r="EV978" s="2201"/>
      <c r="EW978" s="2201"/>
      <c r="EX978" s="2201"/>
    </row>
    <row r="979" spans="2:154" hidden="1" outlineLevel="2">
      <c r="B979" s="1068" t="s">
        <v>187</v>
      </c>
      <c r="C979" s="2280"/>
      <c r="D979" s="2281"/>
      <c r="E979" s="2281"/>
      <c r="F979" s="2281"/>
      <c r="G979" s="2281"/>
      <c r="H979" s="2281"/>
      <c r="I979" s="1069"/>
      <c r="J979" s="2281"/>
      <c r="K979" s="2281"/>
      <c r="L979" s="2281"/>
      <c r="M979" s="2281"/>
      <c r="N979" s="1069"/>
      <c r="O979" s="1069"/>
      <c r="P979" s="1069"/>
      <c r="Q979" s="1069"/>
      <c r="R979" s="1069"/>
      <c r="S979" s="1069"/>
      <c r="T979" s="1069"/>
      <c r="U979" s="1069"/>
      <c r="V979" s="1069"/>
      <c r="W979" s="1069"/>
      <c r="X979" s="1070"/>
      <c r="Y979" s="1069"/>
      <c r="Z979" s="1069"/>
      <c r="AA979" s="1069"/>
      <c r="AB979" s="1069"/>
      <c r="AC979" s="1070"/>
      <c r="AD979" s="1069"/>
      <c r="AE979" s="1069"/>
      <c r="AF979" s="1069"/>
      <c r="AG979" s="1069"/>
      <c r="AH979" s="1070"/>
      <c r="AI979" s="2281"/>
      <c r="AJ979" s="2281"/>
      <c r="AK979" s="2281"/>
      <c r="AL979" s="1069"/>
      <c r="AM979" s="1070"/>
      <c r="AN979" s="2281"/>
      <c r="AO979" s="2281"/>
      <c r="AP979" s="2281"/>
      <c r="AQ979" s="2281"/>
      <c r="AR979" s="1070"/>
      <c r="AS979" s="2281"/>
      <c r="AT979" s="2281"/>
      <c r="AU979" s="2281"/>
      <c r="AV979" s="2281"/>
      <c r="AW979" s="1070"/>
      <c r="AX979" s="2281"/>
      <c r="AY979" s="2281"/>
      <c r="AZ979" s="2281"/>
      <c r="BA979" s="2281"/>
      <c r="BB979" s="1070"/>
      <c r="BC979" s="2281"/>
      <c r="BD979" s="2281"/>
      <c r="BE979" s="2281"/>
      <c r="BF979" s="2281"/>
      <c r="BG979" s="1070"/>
      <c r="BH979" s="2281"/>
      <c r="BI979" s="2281"/>
      <c r="BJ979" s="2281"/>
      <c r="BK979" s="2281"/>
      <c r="BL979" s="1070"/>
      <c r="BM979" s="1071">
        <v>95</v>
      </c>
      <c r="BN979" s="1071">
        <v>98</v>
      </c>
      <c r="BO979" s="1071">
        <v>90</v>
      </c>
      <c r="BP979" s="1071">
        <v>94</v>
      </c>
      <c r="BQ979" s="1070">
        <f>SUM(BM979:BP979)</f>
      </c>
      <c r="BR979" s="1071">
        <v>116</v>
      </c>
      <c r="BS979" s="1071">
        <v>99</v>
      </c>
      <c r="BT979" s="1071">
        <v>98</v>
      </c>
      <c r="BU979" s="1071">
        <v>86</v>
      </c>
      <c r="BV979" s="1070">
        <f>SUM(BR979:BU979)</f>
      </c>
      <c r="BW979" s="1071">
        <v>85</v>
      </c>
      <c r="BX979" s="1071">
        <v>95</v>
      </c>
      <c r="BY979" s="1071">
        <v>91</v>
      </c>
      <c r="BZ979" s="1071">
        <v>90</v>
      </c>
      <c r="CA979" s="1070">
        <f>SUM(BW979:BZ979)</f>
      </c>
      <c r="CB979" s="2282"/>
      <c r="CC979" s="2281"/>
      <c r="CD979" s="2281"/>
      <c r="CE979" s="2281"/>
      <c r="CF979" s="1070"/>
      <c r="CG979" s="2282"/>
      <c r="CH979" s="2281"/>
      <c r="CI979" s="2281"/>
      <c r="CJ979" s="2281"/>
      <c r="CK979" s="1070"/>
      <c r="CL979" s="1092"/>
      <c r="CM979" s="2281"/>
      <c r="CN979" s="2281"/>
      <c r="CO979" s="2281"/>
      <c r="CP979" s="1070"/>
      <c r="CQ979" s="2281"/>
      <c r="CR979" s="2281"/>
      <c r="CS979" s="2281"/>
      <c r="CT979" s="1073"/>
      <c r="CU979" s="1074"/>
      <c r="CV979" s="2281"/>
      <c r="CW979" s="2281"/>
      <c r="CX979" s="2281"/>
      <c r="CY979" s="1073"/>
      <c r="CZ979" s="1074"/>
      <c r="DA979" s="1329"/>
      <c r="DB979" s="1069"/>
      <c r="DC979" s="1069"/>
      <c r="DD979" s="1074"/>
      <c r="DE979" s="1922"/>
      <c r="DF979" s="1927"/>
      <c r="DG979" s="2305"/>
      <c r="DH979" s="2305"/>
      <c r="DI979" s="1928"/>
      <c r="DJ979" s="1922"/>
      <c r="DK979" s="1799"/>
      <c r="DL979" s="603"/>
      <c r="DM979" s="603"/>
      <c r="DN979" s="1798"/>
      <c r="DO979" s="1922"/>
      <c r="DP979" s="2305"/>
      <c r="DQ979" s="2305"/>
      <c r="DR979" s="2305"/>
      <c r="DS979" s="2305"/>
      <c r="DT979" s="1922"/>
      <c r="DU979" s="2305"/>
      <c r="DV979" s="2305"/>
      <c r="DW979" s="2305"/>
      <c r="DX979" s="1928"/>
      <c r="DY979" s="1922"/>
      <c r="DZ979" s="2305"/>
      <c r="EA979" s="2305"/>
      <c r="EB979" s="2305"/>
      <c r="EC979" s="1928"/>
      <c r="ED979" s="1922"/>
      <c r="EE979" s="2305"/>
      <c r="EF979" s="2305"/>
      <c r="EG979" s="2305"/>
      <c r="EH979" s="2305"/>
      <c r="EI979" s="1927"/>
      <c r="EJ979" s="1927"/>
      <c r="EK979" s="1922"/>
      <c r="EL979" s="1922"/>
      <c r="EM979" s="1922"/>
      <c r="EN979" s="1922"/>
      <c r="EO979" s="1922"/>
      <c r="EP979" s="1922"/>
      <c r="EQ979" s="1922"/>
      <c r="ER979" s="1922"/>
      <c r="ES979" s="1922"/>
      <c r="ET979" s="1922"/>
      <c r="EU979" s="1922"/>
      <c r="EV979" s="1922"/>
      <c r="EW979" s="1922"/>
      <c r="EX979" s="1922"/>
    </row>
    <row r="980" spans="2:154" hidden="1" outlineLevel="2">
      <c r="B980" s="1068" t="s">
        <v>412</v>
      </c>
      <c r="C980" s="2280"/>
      <c r="D980" s="2281"/>
      <c r="E980" s="2281"/>
      <c r="F980" s="2281"/>
      <c r="G980" s="2281"/>
      <c r="H980" s="2281"/>
      <c r="I980" s="1069"/>
      <c r="J980" s="2281"/>
      <c r="K980" s="2281"/>
      <c r="L980" s="2281"/>
      <c r="M980" s="2281"/>
      <c r="N980" s="1069"/>
      <c r="O980" s="1069"/>
      <c r="P980" s="1069"/>
      <c r="Q980" s="1069"/>
      <c r="R980" s="1069"/>
      <c r="S980" s="1069"/>
      <c r="T980" s="1069"/>
      <c r="U980" s="1069"/>
      <c r="V980" s="1069"/>
      <c r="W980" s="1069"/>
      <c r="X980" s="1070"/>
      <c r="Y980" s="1069"/>
      <c r="Z980" s="1069"/>
      <c r="AA980" s="1069"/>
      <c r="AB980" s="1069"/>
      <c r="AC980" s="1070"/>
      <c r="AD980" s="1069"/>
      <c r="AE980" s="1069"/>
      <c r="AF980" s="1069"/>
      <c r="AG980" s="1069"/>
      <c r="AH980" s="1070"/>
      <c r="AI980" s="2281"/>
      <c r="AJ980" s="2281"/>
      <c r="AK980" s="2281"/>
      <c r="AL980" s="1069"/>
      <c r="AM980" s="1070"/>
      <c r="AN980" s="2281"/>
      <c r="AO980" s="2281"/>
      <c r="AP980" s="2281"/>
      <c r="AQ980" s="2281"/>
      <c r="AR980" s="1070"/>
      <c r="AS980" s="2281"/>
      <c r="AT980" s="2281"/>
      <c r="AU980" s="2281"/>
      <c r="AV980" s="2281"/>
      <c r="AW980" s="1070"/>
      <c r="AX980" s="2281"/>
      <c r="AY980" s="2281"/>
      <c r="AZ980" s="2281"/>
      <c r="BA980" s="2281"/>
      <c r="BB980" s="1070"/>
      <c r="BC980" s="2281"/>
      <c r="BD980" s="2281"/>
      <c r="BE980" s="2281"/>
      <c r="BF980" s="2281"/>
      <c r="BG980" s="1070"/>
      <c r="BH980" s="2281"/>
      <c r="BI980" s="2281"/>
      <c r="BJ980" s="2281"/>
      <c r="BK980" s="2281"/>
      <c r="BL980" s="1070"/>
      <c r="BM980" s="1071">
        <v>121</v>
      </c>
      <c r="BN980" s="1071">
        <v>134</v>
      </c>
      <c r="BO980" s="1071">
        <v>130</v>
      </c>
      <c r="BP980" s="1071">
        <v>144</v>
      </c>
      <c r="BQ980" s="1070">
        <f>SUM(BM980:BP980)</f>
      </c>
      <c r="BR980" s="1071">
        <v>128</v>
      </c>
      <c r="BS980" s="1071">
        <v>131</v>
      </c>
      <c r="BT980" s="1071">
        <v>134</v>
      </c>
      <c r="BU980" s="1071">
        <v>160</v>
      </c>
      <c r="BV980" s="1070">
        <f>SUM(BR980:BU980)</f>
      </c>
      <c r="BW980" s="1071">
        <v>127</v>
      </c>
      <c r="BX980" s="1071">
        <v>139</v>
      </c>
      <c r="BY980" s="1071">
        <v>129</v>
      </c>
      <c r="BZ980" s="1071">
        <v>156</v>
      </c>
      <c r="CA980" s="1070">
        <f>SUM(BW980:BZ980)</f>
      </c>
      <c r="CB980" s="2282"/>
      <c r="CC980" s="2281"/>
      <c r="CD980" s="2281"/>
      <c r="CE980" s="2281"/>
      <c r="CF980" s="1070"/>
      <c r="CG980" s="2282"/>
      <c r="CH980" s="2281"/>
      <c r="CI980" s="2281"/>
      <c r="CJ980" s="2281"/>
      <c r="CK980" s="1070"/>
      <c r="CL980" s="1092"/>
      <c r="CM980" s="2281"/>
      <c r="CN980" s="2281"/>
      <c r="CO980" s="2281"/>
      <c r="CP980" s="1070"/>
      <c r="CQ980" s="2281"/>
      <c r="CR980" s="2281"/>
      <c r="CS980" s="2281"/>
      <c r="CT980" s="1073"/>
      <c r="CU980" s="1074"/>
      <c r="CV980" s="2281"/>
      <c r="CW980" s="2281"/>
      <c r="CX980" s="2281"/>
      <c r="CY980" s="1073"/>
      <c r="CZ980" s="1074"/>
      <c r="DA980" s="1329"/>
      <c r="DB980" s="1069"/>
      <c r="DC980" s="1069"/>
      <c r="DD980" s="1074"/>
      <c r="DE980" s="1922"/>
      <c r="DF980" s="1927"/>
      <c r="DG980" s="2305"/>
      <c r="DH980" s="2305"/>
      <c r="DI980" s="1928"/>
      <c r="DJ980" s="1922"/>
      <c r="DK980" s="1799"/>
      <c r="DL980" s="603"/>
      <c r="DM980" s="603"/>
      <c r="DN980" s="1798"/>
      <c r="DO980" s="1922"/>
      <c r="DP980" s="2305"/>
      <c r="DQ980" s="2305"/>
      <c r="DR980" s="2305"/>
      <c r="DS980" s="2305"/>
      <c r="DT980" s="1922"/>
      <c r="DU980" s="2305"/>
      <c r="DV980" s="2305"/>
      <c r="DW980" s="2305"/>
      <c r="DX980" s="1928"/>
      <c r="DY980" s="1922"/>
      <c r="DZ980" s="2305"/>
      <c r="EA980" s="2305"/>
      <c r="EB980" s="2305"/>
      <c r="EC980" s="1928"/>
      <c r="ED980" s="1922"/>
      <c r="EE980" s="2305"/>
      <c r="EF980" s="2305"/>
      <c r="EG980" s="2305"/>
      <c r="EH980" s="2305"/>
      <c r="EI980" s="1927"/>
      <c r="EJ980" s="1927"/>
      <c r="EK980" s="1922"/>
      <c r="EL980" s="1922"/>
      <c r="EM980" s="1922"/>
      <c r="EN980" s="1922"/>
      <c r="EO980" s="1922"/>
      <c r="EP980" s="1922"/>
      <c r="EQ980" s="1922"/>
      <c r="ER980" s="1922"/>
      <c r="ES980" s="1922"/>
      <c r="ET980" s="1922"/>
      <c r="EU980" s="1922"/>
      <c r="EV980" s="1922"/>
      <c r="EW980" s="1922"/>
      <c r="EX980" s="1922"/>
    </row>
    <row r="981" spans="2:154" hidden="1" outlineLevel="2">
      <c r="B981" s="1068" t="s">
        <v>413</v>
      </c>
      <c r="C981" s="2280"/>
      <c r="D981" s="2281"/>
      <c r="E981" s="2281"/>
      <c r="F981" s="2281"/>
      <c r="G981" s="2281"/>
      <c r="H981" s="2281"/>
      <c r="I981" s="1069"/>
      <c r="J981" s="2281"/>
      <c r="K981" s="2281"/>
      <c r="L981" s="2281"/>
      <c r="M981" s="2281"/>
      <c r="N981" s="1069"/>
      <c r="O981" s="1069"/>
      <c r="P981" s="1069"/>
      <c r="Q981" s="1069"/>
      <c r="R981" s="1069"/>
      <c r="S981" s="1069"/>
      <c r="T981" s="1069"/>
      <c r="U981" s="1069"/>
      <c r="V981" s="1069"/>
      <c r="W981" s="1069"/>
      <c r="X981" s="1070"/>
      <c r="Y981" s="1069"/>
      <c r="Z981" s="1069"/>
      <c r="AA981" s="1069"/>
      <c r="AB981" s="1069"/>
      <c r="AC981" s="1070"/>
      <c r="AD981" s="1069"/>
      <c r="AE981" s="1069"/>
      <c r="AF981" s="1069"/>
      <c r="AG981" s="1069"/>
      <c r="AH981" s="1070"/>
      <c r="AI981" s="2281"/>
      <c r="AJ981" s="2281"/>
      <c r="AK981" s="2281"/>
      <c r="AL981" s="1069"/>
      <c r="AM981" s="1070"/>
      <c r="AN981" s="2281"/>
      <c r="AO981" s="2281"/>
      <c r="AP981" s="2281"/>
      <c r="AQ981" s="2281"/>
      <c r="AR981" s="1070"/>
      <c r="AS981" s="2281"/>
      <c r="AT981" s="2281"/>
      <c r="AU981" s="2281"/>
      <c r="AV981" s="2281"/>
      <c r="AW981" s="1070"/>
      <c r="AX981" s="2281"/>
      <c r="AY981" s="2281"/>
      <c r="AZ981" s="2281"/>
      <c r="BA981" s="2281"/>
      <c r="BB981" s="1070"/>
      <c r="BC981" s="2281"/>
      <c r="BD981" s="2281"/>
      <c r="BE981" s="2281"/>
      <c r="BF981" s="2281"/>
      <c r="BG981" s="1070"/>
      <c r="BH981" s="2281"/>
      <c r="BI981" s="2281"/>
      <c r="BJ981" s="2281"/>
      <c r="BK981" s="2281"/>
      <c r="BL981" s="1070"/>
      <c r="BM981" s="2281">
        <f>+BM979+BM980</f>
      </c>
      <c r="BN981" s="2281">
        <f>+BN979+BN980</f>
      </c>
      <c r="BO981" s="2281">
        <f>+BO979+BO980</f>
      </c>
      <c r="BP981" s="2281">
        <f>+BP979+BP980</f>
      </c>
      <c r="BQ981" s="1070">
        <f>SUM(BM981:BP981)</f>
      </c>
      <c r="BR981" s="2281">
        <f>+BR979+BR980</f>
      </c>
      <c r="BS981" s="2281">
        <f>+BS979+BS980</f>
      </c>
      <c r="BT981" s="2281">
        <f>+BT979+BT980</f>
      </c>
      <c r="BU981" s="2281">
        <f>+BU979+BU980</f>
      </c>
      <c r="BV981" s="1070">
        <f>SUM(BR981:BU981)</f>
      </c>
      <c r="BW981" s="2281">
        <f>+BW979+BW980</f>
      </c>
      <c r="BX981" s="2281">
        <f>+BX979+BX980</f>
      </c>
      <c r="BY981" s="2281">
        <f>+BY979+BY980</f>
      </c>
      <c r="BZ981" s="2281">
        <f>+BZ979+BZ980</f>
      </c>
      <c r="CA981" s="1070">
        <f>SUM(BW981:BZ981)</f>
      </c>
      <c r="CB981" s="2282"/>
      <c r="CC981" s="2281"/>
      <c r="CD981" s="2281"/>
      <c r="CE981" s="2281"/>
      <c r="CF981" s="1070"/>
      <c r="CG981" s="2282"/>
      <c r="CH981" s="2281"/>
      <c r="CI981" s="2281"/>
      <c r="CJ981" s="2281"/>
      <c r="CK981" s="1070"/>
      <c r="CL981" s="1092"/>
      <c r="CM981" s="2281"/>
      <c r="CN981" s="2281"/>
      <c r="CO981" s="2281"/>
      <c r="CP981" s="1070"/>
      <c r="CQ981" s="2281"/>
      <c r="CR981" s="2281"/>
      <c r="CS981" s="2281"/>
      <c r="CT981" s="1073"/>
      <c r="CU981" s="1074"/>
      <c r="CV981" s="2281"/>
      <c r="CW981" s="2281"/>
      <c r="CX981" s="2281"/>
      <c r="CY981" s="1073"/>
      <c r="CZ981" s="1074"/>
      <c r="DA981" s="1329"/>
      <c r="DB981" s="1069"/>
      <c r="DC981" s="1069"/>
      <c r="DD981" s="1074"/>
      <c r="DE981" s="1922"/>
      <c r="DF981" s="1927"/>
      <c r="DG981" s="2305"/>
      <c r="DH981" s="2305"/>
      <c r="DI981" s="1928"/>
      <c r="DJ981" s="1922"/>
      <c r="DK981" s="1799"/>
      <c r="DL981" s="603"/>
      <c r="DM981" s="603"/>
      <c r="DN981" s="1798"/>
      <c r="DO981" s="1922"/>
      <c r="DP981" s="2305"/>
      <c r="DQ981" s="2305"/>
      <c r="DR981" s="2305"/>
      <c r="DS981" s="2305"/>
      <c r="DT981" s="1922"/>
      <c r="DU981" s="2305"/>
      <c r="DV981" s="2305"/>
      <c r="DW981" s="2305"/>
      <c r="DX981" s="1928"/>
      <c r="DY981" s="1922"/>
      <c r="DZ981" s="2305"/>
      <c r="EA981" s="2305"/>
      <c r="EB981" s="2305"/>
      <c r="EC981" s="1928"/>
      <c r="ED981" s="1922"/>
      <c r="EE981" s="2305"/>
      <c r="EF981" s="2305"/>
      <c r="EG981" s="2305"/>
      <c r="EH981" s="2305"/>
      <c r="EI981" s="1927"/>
      <c r="EJ981" s="1927"/>
      <c r="EK981" s="1922"/>
      <c r="EL981" s="1922"/>
      <c r="EM981" s="1922"/>
      <c r="EN981" s="1922"/>
      <c r="EO981" s="1922"/>
      <c r="EP981" s="1922"/>
      <c r="EQ981" s="1922"/>
      <c r="ER981" s="1922"/>
      <c r="ES981" s="1922"/>
      <c r="ET981" s="1922"/>
      <c r="EU981" s="1922"/>
      <c r="EV981" s="1922"/>
      <c r="EW981" s="1922"/>
      <c r="EX981" s="1922"/>
    </row>
    <row r="982" spans="2:154" hidden="1" outlineLevel="2">
      <c r="B982" s="1068"/>
      <c r="C982" s="2280"/>
      <c r="D982" s="2281"/>
      <c r="E982" s="2281"/>
      <c r="F982" s="2281"/>
      <c r="G982" s="2281"/>
      <c r="H982" s="2281"/>
      <c r="I982" s="1069"/>
      <c r="J982" s="2281"/>
      <c r="K982" s="2281"/>
      <c r="L982" s="2281"/>
      <c r="M982" s="2281"/>
      <c r="N982" s="1069"/>
      <c r="O982" s="1069"/>
      <c r="P982" s="1069"/>
      <c r="Q982" s="1069"/>
      <c r="R982" s="1069"/>
      <c r="S982" s="1069"/>
      <c r="T982" s="1069"/>
      <c r="U982" s="1069"/>
      <c r="V982" s="1069"/>
      <c r="W982" s="1069"/>
      <c r="X982" s="1070"/>
      <c r="Y982" s="1069"/>
      <c r="Z982" s="1069"/>
      <c r="AA982" s="1069"/>
      <c r="AB982" s="1069"/>
      <c r="AC982" s="1070"/>
      <c r="AD982" s="1069"/>
      <c r="AE982" s="1069"/>
      <c r="AF982" s="1069"/>
      <c r="AG982" s="1069"/>
      <c r="AH982" s="1070"/>
      <c r="AI982" s="2281"/>
      <c r="AJ982" s="2281"/>
      <c r="AK982" s="2281"/>
      <c r="AL982" s="1069"/>
      <c r="AM982" s="1070"/>
      <c r="AN982" s="2281"/>
      <c r="AO982" s="2281"/>
      <c r="AP982" s="2281"/>
      <c r="AQ982" s="2281"/>
      <c r="AR982" s="1070"/>
      <c r="AS982" s="2281"/>
      <c r="AT982" s="2281"/>
      <c r="AU982" s="2281"/>
      <c r="AV982" s="2281"/>
      <c r="AW982" s="1070"/>
      <c r="AX982" s="2281"/>
      <c r="AY982" s="2281"/>
      <c r="AZ982" s="2281"/>
      <c r="BA982" s="2281"/>
      <c r="BB982" s="1070"/>
      <c r="BC982" s="2281"/>
      <c r="BD982" s="2281"/>
      <c r="BE982" s="2281"/>
      <c r="BF982" s="2281"/>
      <c r="BG982" s="1070"/>
      <c r="BH982" s="2281"/>
      <c r="BI982" s="2281"/>
      <c r="BJ982" s="2281"/>
      <c r="BK982" s="2281"/>
      <c r="BL982" s="1070"/>
      <c r="BM982" s="2281"/>
      <c r="BN982" s="2281"/>
      <c r="BO982" s="2281"/>
      <c r="BP982" s="2281"/>
      <c r="BQ982" s="1070"/>
      <c r="BR982" s="2281"/>
      <c r="BS982" s="2281"/>
      <c r="BT982" s="2281"/>
      <c r="BU982" s="2281"/>
      <c r="BV982" s="1070"/>
      <c r="BW982" s="2281"/>
      <c r="BX982" s="2281"/>
      <c r="BY982" s="2281"/>
      <c r="BZ982" s="2281"/>
      <c r="CA982" s="1070"/>
      <c r="CB982" s="2281"/>
      <c r="CC982" s="2281"/>
      <c r="CD982" s="2281"/>
      <c r="CE982" s="2281"/>
      <c r="CF982" s="1070"/>
      <c r="CG982" s="2281"/>
      <c r="CH982" s="2281"/>
      <c r="CI982" s="2281"/>
      <c r="CJ982" s="2281"/>
      <c r="CK982" s="1070"/>
      <c r="CL982" s="1072"/>
      <c r="CM982" s="2281"/>
      <c r="CN982" s="2281"/>
      <c r="CO982" s="2281"/>
      <c r="CP982" s="1070"/>
      <c r="CQ982" s="2281"/>
      <c r="CR982" s="2281"/>
      <c r="CS982" s="2281"/>
      <c r="CT982" s="1073"/>
      <c r="CU982" s="1074"/>
      <c r="CV982" s="2281"/>
      <c r="CW982" s="2281"/>
      <c r="CX982" s="2281"/>
      <c r="CY982" s="1073"/>
      <c r="CZ982" s="1074"/>
      <c r="DA982" s="1329"/>
      <c r="DB982" s="1069"/>
      <c r="DC982" s="1069"/>
      <c r="DD982" s="1074"/>
      <c r="DE982" s="1922"/>
      <c r="DF982" s="1927"/>
      <c r="DG982" s="2305"/>
      <c r="DH982" s="2305"/>
      <c r="DI982" s="1928"/>
      <c r="DJ982" s="1922"/>
      <c r="DK982" s="1799"/>
      <c r="DL982" s="603"/>
      <c r="DM982" s="603"/>
      <c r="DN982" s="1798"/>
      <c r="DO982" s="1922"/>
      <c r="DP982" s="2305"/>
      <c r="DQ982" s="2305"/>
      <c r="DR982" s="2305"/>
      <c r="DS982" s="2305"/>
      <c r="DT982" s="1922"/>
      <c r="DU982" s="2305"/>
      <c r="DV982" s="2305"/>
      <c r="DW982" s="2305"/>
      <c r="DX982" s="1928"/>
      <c r="DY982" s="1922"/>
      <c r="DZ982" s="2305"/>
      <c r="EA982" s="2305"/>
      <c r="EB982" s="2305"/>
      <c r="EC982" s="1928"/>
      <c r="ED982" s="1922"/>
      <c r="EE982" s="2305"/>
      <c r="EF982" s="2305"/>
      <c r="EG982" s="2305"/>
      <c r="EH982" s="2305"/>
      <c r="EI982" s="1927"/>
      <c r="EJ982" s="1927"/>
      <c r="EK982" s="1922"/>
      <c r="EL982" s="1922"/>
      <c r="EM982" s="1922"/>
      <c r="EN982" s="1922"/>
      <c r="EO982" s="1922"/>
      <c r="EP982" s="1922"/>
      <c r="EQ982" s="1922"/>
      <c r="ER982" s="1922"/>
      <c r="ES982" s="1922"/>
      <c r="ET982" s="1922"/>
      <c r="EU982" s="1922"/>
      <c r="EV982" s="1922"/>
      <c r="EW982" s="1922"/>
      <c r="EX982" s="1922"/>
    </row>
    <row r="983" spans="2:154" hidden="1" outlineLevel="2">
      <c r="B983" s="1075" t="s">
        <v>495</v>
      </c>
      <c r="C983" s="2280" t="s">
        <v>502</v>
      </c>
      <c r="D983" s="2281"/>
      <c r="E983" s="2281"/>
      <c r="F983" s="2281"/>
      <c r="G983" s="2281"/>
      <c r="H983" s="2281"/>
      <c r="I983" s="1069"/>
      <c r="J983" s="2281"/>
      <c r="K983" s="2281"/>
      <c r="L983" s="2281"/>
      <c r="M983" s="2281"/>
      <c r="N983" s="1069"/>
      <c r="O983" s="1069"/>
      <c r="P983" s="1069"/>
      <c r="Q983" s="1069"/>
      <c r="R983" s="1069"/>
      <c r="S983" s="1069"/>
      <c r="T983" s="1069"/>
      <c r="U983" s="1069"/>
      <c r="V983" s="1069"/>
      <c r="W983" s="1069"/>
      <c r="X983" s="1070"/>
      <c r="Y983" s="1069"/>
      <c r="Z983" s="1069"/>
      <c r="AA983" s="1069"/>
      <c r="AB983" s="1069"/>
      <c r="AC983" s="1070"/>
      <c r="AD983" s="1069"/>
      <c r="AE983" s="1069"/>
      <c r="AF983" s="1069"/>
      <c r="AG983" s="1069"/>
      <c r="AH983" s="1070"/>
      <c r="AI983" s="2281"/>
      <c r="AJ983" s="2281"/>
      <c r="AK983" s="2281"/>
      <c r="AL983" s="1069"/>
      <c r="AM983" s="1070"/>
      <c r="AN983" s="2281"/>
      <c r="AO983" s="2281"/>
      <c r="AP983" s="2281"/>
      <c r="AQ983" s="2281"/>
      <c r="AR983" s="1070"/>
      <c r="AS983" s="2281"/>
      <c r="AT983" s="2281"/>
      <c r="AU983" s="2281"/>
      <c r="AV983" s="2281"/>
      <c r="AW983" s="1070"/>
      <c r="AX983" s="2281"/>
      <c r="AY983" s="2281"/>
      <c r="AZ983" s="2281"/>
      <c r="BA983" s="2281"/>
      <c r="BB983" s="1070"/>
      <c r="BC983" s="2281"/>
      <c r="BD983" s="2281"/>
      <c r="BE983" s="2281"/>
      <c r="BF983" s="2281"/>
      <c r="BG983" s="1070"/>
      <c r="BH983" s="2281"/>
      <c r="BI983" s="2281"/>
      <c r="BJ983" s="2281"/>
      <c r="BK983" s="2281"/>
      <c r="BL983" s="1070"/>
      <c r="BM983" s="2281"/>
      <c r="BN983" s="2281"/>
      <c r="BO983" s="2281"/>
      <c r="BP983" s="2281"/>
      <c r="BQ983" s="1070"/>
      <c r="BR983" s="2281"/>
      <c r="BS983" s="2281"/>
      <c r="BT983" s="2281"/>
      <c r="BU983" s="2281"/>
      <c r="BV983" s="1070"/>
      <c r="BW983" s="2281"/>
      <c r="BX983" s="2281"/>
      <c r="BY983" s="2281"/>
      <c r="BZ983" s="2281"/>
      <c r="CA983" s="1070"/>
      <c r="CB983" s="2281"/>
      <c r="CC983" s="2281"/>
      <c r="CD983" s="2281"/>
      <c r="CE983" s="2281"/>
      <c r="CF983" s="1070"/>
      <c r="CG983" s="2281"/>
      <c r="CH983" s="2281"/>
      <c r="CI983" s="2281"/>
      <c r="CJ983" s="2281"/>
      <c r="CK983" s="1070"/>
      <c r="CL983" s="1072"/>
      <c r="CM983" s="2281"/>
      <c r="CN983" s="2281"/>
      <c r="CO983" s="2281"/>
      <c r="CP983" s="1070"/>
      <c r="CQ983" s="2281"/>
      <c r="CR983" s="2281"/>
      <c r="CS983" s="2281"/>
      <c r="CT983" s="1073"/>
      <c r="CU983" s="1074"/>
      <c r="CV983" s="2281"/>
      <c r="CW983" s="2281"/>
      <c r="CX983" s="2281"/>
      <c r="CY983" s="1073"/>
      <c r="CZ983" s="1074"/>
      <c r="DA983" s="1329"/>
      <c r="DB983" s="1069"/>
      <c r="DC983" s="1069"/>
      <c r="DD983" s="1074"/>
      <c r="DE983" s="1922"/>
      <c r="DF983" s="1927"/>
      <c r="DG983" s="2305"/>
      <c r="DH983" s="2305"/>
      <c r="DI983" s="1928"/>
      <c r="DJ983" s="1922"/>
      <c r="DK983" s="1799"/>
      <c r="DL983" s="603"/>
      <c r="DM983" s="603"/>
      <c r="DN983" s="1798"/>
      <c r="DO983" s="1922"/>
      <c r="DP983" s="2305"/>
      <c r="DQ983" s="2305"/>
      <c r="DR983" s="2305"/>
      <c r="DS983" s="2305"/>
      <c r="DT983" s="1922"/>
      <c r="DU983" s="2305"/>
      <c r="DV983" s="2305"/>
      <c r="DW983" s="2305"/>
      <c r="DX983" s="1928"/>
      <c r="DY983" s="1922"/>
      <c r="DZ983" s="2305"/>
      <c r="EA983" s="2305"/>
      <c r="EB983" s="2305"/>
      <c r="EC983" s="1928"/>
      <c r="ED983" s="1922"/>
      <c r="EE983" s="2305"/>
      <c r="EF983" s="2305"/>
      <c r="EG983" s="2305"/>
      <c r="EH983" s="2305"/>
      <c r="EI983" s="1927"/>
      <c r="EJ983" s="1927"/>
      <c r="EK983" s="1922"/>
      <c r="EL983" s="1922"/>
      <c r="EM983" s="1922"/>
      <c r="EN983" s="1922"/>
      <c r="EO983" s="1922"/>
      <c r="EP983" s="1922"/>
      <c r="EQ983" s="1922"/>
      <c r="ER983" s="1922"/>
      <c r="ES983" s="1922"/>
      <c r="ET983" s="1922"/>
      <c r="EU983" s="1922"/>
      <c r="EV983" s="1922"/>
      <c r="EW983" s="1922"/>
      <c r="EX983" s="1922"/>
    </row>
    <row r="984" spans="2:154" hidden="1" outlineLevel="2">
      <c r="B984" s="1076" t="s">
        <v>187</v>
      </c>
      <c r="C984" s="2280"/>
      <c r="D984" s="2281"/>
      <c r="E984" s="2281"/>
      <c r="F984" s="2281"/>
      <c r="G984" s="2281"/>
      <c r="H984" s="2281"/>
      <c r="I984" s="1069"/>
      <c r="J984" s="2281"/>
      <c r="K984" s="2281"/>
      <c r="L984" s="2281"/>
      <c r="M984" s="2281"/>
      <c r="N984" s="1069"/>
      <c r="O984" s="1069"/>
      <c r="P984" s="1069"/>
      <c r="Q984" s="1069"/>
      <c r="R984" s="1069"/>
      <c r="S984" s="1069"/>
      <c r="T984" s="1069"/>
      <c r="U984" s="1069"/>
      <c r="V984" s="1069"/>
      <c r="W984" s="1069"/>
      <c r="X984" s="1070"/>
      <c r="Y984" s="1069"/>
      <c r="Z984" s="1069"/>
      <c r="AA984" s="1069"/>
      <c r="AB984" s="1069"/>
      <c r="AC984" s="1070"/>
      <c r="AD984" s="1069"/>
      <c r="AE984" s="1069"/>
      <c r="AF984" s="1069"/>
      <c r="AG984" s="1069"/>
      <c r="AH984" s="1070"/>
      <c r="AI984" s="2281"/>
      <c r="AJ984" s="2281"/>
      <c r="AK984" s="2281"/>
      <c r="AL984" s="1069"/>
      <c r="AM984" s="1070"/>
      <c r="AN984" s="2281"/>
      <c r="AO984" s="2281"/>
      <c r="AP984" s="2281"/>
      <c r="AQ984" s="2281"/>
      <c r="AR984" s="1070"/>
      <c r="AS984" s="2281"/>
      <c r="AT984" s="2281"/>
      <c r="AU984" s="2281"/>
      <c r="AV984" s="2281"/>
      <c r="AW984" s="1070"/>
      <c r="AX984" s="2281"/>
      <c r="AY984" s="2281"/>
      <c r="AZ984" s="2281"/>
      <c r="BA984" s="2281"/>
      <c r="BB984" s="1070"/>
      <c r="BC984" s="2281"/>
      <c r="BD984" s="2281"/>
      <c r="BE984" s="2281"/>
      <c r="BF984" s="2281"/>
      <c r="BG984" s="1070"/>
      <c r="BH984" s="2281"/>
      <c r="BI984" s="2281"/>
      <c r="BJ984" s="2281"/>
      <c r="BK984" s="2281"/>
      <c r="BL984" s="1070"/>
      <c r="BM984" s="2282" t="str">
        <f t="shared" ref="BM984:BY985" si="2099">IF(BH979="NM","NM",IF(BM979="NM","NM",IF(BH979&lt;=0,"NM",IF(BM979=0,"NM",IF(ABS(BM979/BH979-1)&gt;2.5,"NM",IF((ABS(BM979-BH979)=ABS(ABS(BM979)-ABS(BH979))),(BM979/BH979-1),"NM"))))))</f>
      </c>
      <c r="BN984" s="2282" t="str">
        <f t="shared" si="2099"/>
      </c>
      <c r="BO984" s="2282" t="str">
        <f t="shared" si="2099"/>
      </c>
      <c r="BP984" s="2282" t="str">
        <f t="shared" si="2099"/>
      </c>
      <c r="BQ984" s="2290" t="str">
        <f t="shared" si="2099"/>
      </c>
      <c r="BR984" s="2282">
        <f t="shared" si="2099"/>
      </c>
      <c r="BS984" s="2282">
        <f t="shared" si="2099"/>
      </c>
      <c r="BT984" s="2282">
        <f t="shared" si="2099"/>
      </c>
      <c r="BU984" s="2282">
        <f>IF(BP979="NM","NM",IF(BU979="NM","NM",IF(BP979&lt;=0,"NM",IF(BU979=0,"NM",IF(ABS(BU979/BP979-1)&gt;2.5,"NM",IF((ABS(BU979-BP979)=ABS(ABS(BU979)-ABS(BP979))),(BU979/BP979-1),"NM"))))))</f>
      </c>
      <c r="BV984" s="2290">
        <f t="shared" si="2099"/>
      </c>
      <c r="BW984" s="2282">
        <f t="shared" si="2099"/>
      </c>
      <c r="BX984" s="2282">
        <f t="shared" si="2099"/>
      </c>
      <c r="BY984" s="2282">
        <f t="shared" si="2099"/>
      </c>
      <c r="BZ984" s="2282">
        <f>IF(BU979="NM","NM",IF(BZ979="NM","NM",IF(BU979&lt;=0,"NM",IF(BZ979=0,"NM",IF(ABS(BZ979/BU979-1)&gt;2.5,"NM",IF((ABS(BZ979-BU979)=ABS(ABS(BZ979)-ABS(BU979))),(BZ979/BU979-1),"NM"))))))</f>
      </c>
      <c r="CA984" s="2291">
        <f>IF(BV979="NM","NM",IF(CA979="NM","NM",IF(BV979&lt;=0,"NM",IF(CA979=0,"NM",IF(ABS(CA979/BV979-1)&gt;2.5,"NM",IF((ABS(CA979-BV979)=ABS(ABS(CA979)-ABS(BV979))),(CA979/BV979-1),"NM"))))))</f>
      </c>
      <c r="CB984" s="2282"/>
      <c r="CC984" s="2292"/>
      <c r="CD984" s="2292"/>
      <c r="CE984" s="2292"/>
      <c r="CF984" s="2290"/>
      <c r="CG984" s="2282"/>
      <c r="CH984" s="2292"/>
      <c r="CI984" s="2292"/>
      <c r="CJ984" s="2292"/>
      <c r="CK984" s="2290"/>
      <c r="CL984" s="1092"/>
      <c r="CM984" s="2292"/>
      <c r="CN984" s="2292"/>
      <c r="CO984" s="2292"/>
      <c r="CP984" s="2293"/>
      <c r="CQ984" s="2292"/>
      <c r="CR984" s="2292"/>
      <c r="CS984" s="2292"/>
      <c r="CT984" s="2294"/>
      <c r="CU984" s="2294"/>
      <c r="CV984" s="2292"/>
      <c r="CW984" s="2292"/>
      <c r="CX984" s="2292"/>
      <c r="CY984" s="2294"/>
      <c r="CZ984" s="2294"/>
      <c r="DA984" s="2307"/>
      <c r="DB984" s="2292"/>
      <c r="DC984" s="2292"/>
      <c r="DD984" s="2294"/>
      <c r="DE984" s="2293"/>
      <c r="DF984" s="2307"/>
      <c r="DG984" s="2292"/>
      <c r="DH984" s="2292"/>
      <c r="DI984" s="2294"/>
      <c r="DJ984" s="2294"/>
      <c r="DK984" s="400"/>
      <c r="DL984" s="29"/>
      <c r="DM984" s="29"/>
      <c r="DN984" s="836"/>
      <c r="DO984" s="2294"/>
      <c r="DP984" s="2292"/>
      <c r="DQ984" s="2292"/>
      <c r="DR984" s="2292"/>
      <c r="DS984" s="2292"/>
      <c r="DT984" s="2293"/>
      <c r="DU984" s="2292"/>
      <c r="DV984" s="2292"/>
      <c r="DW984" s="2292"/>
      <c r="DX984" s="2294"/>
      <c r="DY984" s="2293"/>
      <c r="DZ984" s="2292"/>
      <c r="EA984" s="2292"/>
      <c r="EB984" s="2292"/>
      <c r="EC984" s="2294"/>
      <c r="ED984" s="2293"/>
      <c r="EE984" s="2292"/>
      <c r="EF984" s="2292"/>
      <c r="EG984" s="2292"/>
      <c r="EH984" s="2292"/>
      <c r="EI984" s="2307"/>
      <c r="EJ984" s="2292"/>
      <c r="EK984" s="2294"/>
      <c r="EL984" s="2294"/>
      <c r="EM984" s="2294"/>
      <c r="EN984" s="2294"/>
      <c r="EO984" s="2293"/>
      <c r="EP984" s="2293"/>
      <c r="EQ984" s="2293"/>
      <c r="ER984" s="2293"/>
      <c r="ES984" s="2293"/>
      <c r="ET984" s="2293"/>
      <c r="EU984" s="2293"/>
      <c r="EV984" s="2293"/>
      <c r="EW984" s="2293"/>
      <c r="EX984" s="2293"/>
    </row>
    <row r="985" spans="2:154" hidden="1" outlineLevel="2">
      <c r="B985" s="1076" t="s">
        <v>412</v>
      </c>
      <c r="C985" s="2280"/>
      <c r="D985" s="2281"/>
      <c r="E985" s="2281"/>
      <c r="F985" s="2281"/>
      <c r="G985" s="2281"/>
      <c r="H985" s="2281"/>
      <c r="I985" s="1069"/>
      <c r="J985" s="2281"/>
      <c r="K985" s="2281"/>
      <c r="L985" s="2281"/>
      <c r="M985" s="2281"/>
      <c r="N985" s="1069"/>
      <c r="O985" s="1069"/>
      <c r="P985" s="1069"/>
      <c r="Q985" s="1069"/>
      <c r="R985" s="1069"/>
      <c r="S985" s="1069"/>
      <c r="T985" s="1069"/>
      <c r="U985" s="1069"/>
      <c r="V985" s="1069"/>
      <c r="W985" s="1069"/>
      <c r="X985" s="1070"/>
      <c r="Y985" s="1069"/>
      <c r="Z985" s="1069"/>
      <c r="AA985" s="1069"/>
      <c r="AB985" s="1069"/>
      <c r="AC985" s="1070"/>
      <c r="AD985" s="1069"/>
      <c r="AE985" s="1069"/>
      <c r="AF985" s="1069"/>
      <c r="AG985" s="1069"/>
      <c r="AH985" s="1070"/>
      <c r="AI985" s="2281"/>
      <c r="AJ985" s="2281"/>
      <c r="AK985" s="2281"/>
      <c r="AL985" s="1069"/>
      <c r="AM985" s="1070"/>
      <c r="AN985" s="2281"/>
      <c r="AO985" s="2281"/>
      <c r="AP985" s="2281"/>
      <c r="AQ985" s="2281"/>
      <c r="AR985" s="1070"/>
      <c r="AS985" s="2281"/>
      <c r="AT985" s="2281"/>
      <c r="AU985" s="2281"/>
      <c r="AV985" s="2281"/>
      <c r="AW985" s="1070"/>
      <c r="AX985" s="2281"/>
      <c r="AY985" s="2281"/>
      <c r="AZ985" s="2281"/>
      <c r="BA985" s="2281"/>
      <c r="BB985" s="1070"/>
      <c r="BC985" s="2281"/>
      <c r="BD985" s="2281"/>
      <c r="BE985" s="2281"/>
      <c r="BF985" s="2281"/>
      <c r="BG985" s="1070"/>
      <c r="BH985" s="2281"/>
      <c r="BI985" s="2281"/>
      <c r="BJ985" s="2281"/>
      <c r="BK985" s="2281"/>
      <c r="BL985" s="1070"/>
      <c r="BM985" s="2282" t="str">
        <f t="shared" si="2099"/>
      </c>
      <c r="BN985" s="2282" t="str">
        <f t="shared" si="2099"/>
      </c>
      <c r="BO985" s="2282" t="str">
        <f t="shared" si="2099"/>
      </c>
      <c r="BP985" s="2282" t="str">
        <f t="shared" si="2099"/>
      </c>
      <c r="BQ985" s="2290" t="str">
        <f t="shared" si="2099"/>
      </c>
      <c r="BR985" s="2282">
        <f t="shared" si="2099"/>
      </c>
      <c r="BS985" s="2282">
        <f t="shared" si="2099"/>
      </c>
      <c r="BT985" s="2282">
        <f t="shared" si="2099"/>
      </c>
      <c r="BU985" s="2282">
        <f>IF(BP980="NM","NM",IF(BU980="NM","NM",IF(BP980&lt;=0,"NM",IF(BU980=0,"NM",IF(ABS(BU980/BP980-1)&gt;2.5,"NM",IF((ABS(BU980-BP980)=ABS(ABS(BU980)-ABS(BP980))),(BU980/BP980-1),"NM"))))))</f>
      </c>
      <c r="BV985" s="2290">
        <f t="shared" si="2099"/>
      </c>
      <c r="BW985" s="2282">
        <f t="shared" si="2099"/>
      </c>
      <c r="BX985" s="2282">
        <f t="shared" si="2099"/>
      </c>
      <c r="BY985" s="2282">
        <f t="shared" si="2099"/>
      </c>
      <c r="BZ985" s="2282">
        <f>IF(BU980="NM","NM",IF(BZ980="NM","NM",IF(BU980&lt;=0,"NM",IF(BZ980=0,"NM",IF(ABS(BZ980/BU980-1)&gt;2.5,"NM",IF((ABS(BZ980-BU980)=ABS(ABS(BZ980)-ABS(BU980))),(BZ980/BU980-1),"NM"))))))</f>
      </c>
      <c r="CA985" s="2290">
        <f>IF(BV980="NM","NM",IF(CA980="NM","NM",IF(BV980&lt;=0,"NM",IF(CA980=0,"NM",IF(ABS(CA980/BV980-1)&gt;2.5,"NM",IF((ABS(CA980-BV980)=ABS(ABS(CA980)-ABS(BV980))),(CA980/BV980-1),"NM"))))))</f>
      </c>
      <c r="CB985" s="2282"/>
      <c r="CC985" s="2282"/>
      <c r="CD985" s="2282"/>
      <c r="CE985" s="2282"/>
      <c r="CF985" s="2290"/>
      <c r="CG985" s="2282"/>
      <c r="CH985" s="2282"/>
      <c r="CI985" s="2282"/>
      <c r="CJ985" s="2282"/>
      <c r="CK985" s="2290"/>
      <c r="CL985" s="1092"/>
      <c r="CM985" s="2282"/>
      <c r="CN985" s="2282"/>
      <c r="CO985" s="2282"/>
      <c r="CP985" s="2290"/>
      <c r="CQ985" s="2282"/>
      <c r="CR985" s="2282"/>
      <c r="CS985" s="2282"/>
      <c r="CT985" s="1093"/>
      <c r="CU985" s="1093"/>
      <c r="CV985" s="2282"/>
      <c r="CW985" s="2282"/>
      <c r="CX985" s="2282"/>
      <c r="CY985" s="1093"/>
      <c r="CZ985" s="1093"/>
      <c r="DA985" s="1092"/>
      <c r="DB985" s="2282"/>
      <c r="DC985" s="2282"/>
      <c r="DD985" s="1093"/>
      <c r="DE985" s="2290"/>
      <c r="DF985" s="1092"/>
      <c r="DG985" s="2282"/>
      <c r="DH985" s="2282"/>
      <c r="DI985" s="1093"/>
      <c r="DJ985" s="2290"/>
      <c r="DK985" s="958"/>
      <c r="DL985" s="926"/>
      <c r="DM985" s="926"/>
      <c r="DN985" s="928"/>
      <c r="DO985" s="2290"/>
      <c r="DP985" s="2282"/>
      <c r="DQ985" s="2282"/>
      <c r="DR985" s="2282"/>
      <c r="DS985" s="2282"/>
      <c r="DT985" s="2290"/>
      <c r="DU985" s="2282"/>
      <c r="DV985" s="2282"/>
      <c r="DW985" s="2282"/>
      <c r="DX985" s="1093"/>
      <c r="DY985" s="2290"/>
      <c r="DZ985" s="2282"/>
      <c r="EA985" s="2282"/>
      <c r="EB985" s="2282"/>
      <c r="EC985" s="1093"/>
      <c r="ED985" s="2290"/>
      <c r="EE985" s="2282"/>
      <c r="EF985" s="2282"/>
      <c r="EG985" s="2282"/>
      <c r="EH985" s="2282"/>
      <c r="EI985" s="1092"/>
      <c r="EJ985" s="1092"/>
      <c r="EK985" s="2290"/>
      <c r="EL985" s="2290"/>
      <c r="EM985" s="2290"/>
      <c r="EN985" s="2290"/>
      <c r="EO985" s="2290"/>
      <c r="EP985" s="2290"/>
      <c r="EQ985" s="2290"/>
      <c r="ER985" s="2290"/>
      <c r="ES985" s="2290"/>
      <c r="ET985" s="2290"/>
      <c r="EU985" s="2290"/>
      <c r="EV985" s="2290"/>
      <c r="EW985" s="2290"/>
      <c r="EX985" s="2290"/>
    </row>
    <row r="986" spans="2:154" hidden="1" outlineLevel="2">
      <c r="B986" s="1076" t="s">
        <v>256</v>
      </c>
      <c r="C986" s="2280"/>
      <c r="D986" s="2281"/>
      <c r="E986" s="2281"/>
      <c r="F986" s="2281"/>
      <c r="G986" s="2281"/>
      <c r="H986" s="2281"/>
      <c r="I986" s="1069"/>
      <c r="J986" s="2281"/>
      <c r="K986" s="2281"/>
      <c r="L986" s="2281"/>
      <c r="M986" s="2281"/>
      <c r="N986" s="1069"/>
      <c r="O986" s="1069"/>
      <c r="P986" s="1069"/>
      <c r="Q986" s="1069"/>
      <c r="R986" s="1069"/>
      <c r="S986" s="1069"/>
      <c r="T986" s="1069"/>
      <c r="U986" s="1069"/>
      <c r="V986" s="1069"/>
      <c r="W986" s="1069"/>
      <c r="X986" s="1070"/>
      <c r="Y986" s="1069"/>
      <c r="Z986" s="1069"/>
      <c r="AA986" s="1069"/>
      <c r="AB986" s="1069"/>
      <c r="AC986" s="1070"/>
      <c r="AD986" s="1069"/>
      <c r="AE986" s="1069"/>
      <c r="AF986" s="1069"/>
      <c r="AG986" s="1069"/>
      <c r="AH986" s="1070"/>
      <c r="AI986" s="2281"/>
      <c r="AJ986" s="2281"/>
      <c r="AK986" s="2281"/>
      <c r="AL986" s="1069"/>
      <c r="AM986" s="1070"/>
      <c r="AN986" s="2281"/>
      <c r="AO986" s="2281"/>
      <c r="AP986" s="2281"/>
      <c r="AQ986" s="2281"/>
      <c r="AR986" s="1070"/>
      <c r="AS986" s="2281"/>
      <c r="AT986" s="2281"/>
      <c r="AU986" s="2281"/>
      <c r="AV986" s="2281"/>
      <c r="AW986" s="1070"/>
      <c r="AX986" s="2281"/>
      <c r="AY986" s="2281"/>
      <c r="AZ986" s="2281"/>
      <c r="BA986" s="2281"/>
      <c r="BB986" s="1070"/>
      <c r="BC986" s="2281"/>
      <c r="BD986" s="2281"/>
      <c r="BE986" s="2281"/>
      <c r="BF986" s="2281"/>
      <c r="BG986" s="1070"/>
      <c r="BH986" s="2281"/>
      <c r="BI986" s="2281"/>
      <c r="BJ986" s="2281"/>
      <c r="BK986" s="2281"/>
      <c r="BL986" s="1070"/>
      <c r="BM986" s="2282" t="str">
        <f>IF(ISNUMBER(BM985),(1+BM985)/(1+BM$21)-1,"NM")</f>
      </c>
      <c r="BN986" s="2282" t="str">
        <f>IF(ISNUMBER(BN985),(1+BN985)/(1+BN$21)-1,"NM")</f>
      </c>
      <c r="BO986" s="2282" t="str">
        <f>IF(ISNUMBER(BO985),(1+BO985)/(1+BO$21)-1,"NM")</f>
      </c>
      <c r="BP986" s="2301" t="str">
        <f>IF(ISNUMBER(BP985),(1+BP985)/(1+BP$21)-1,"NM")</f>
      </c>
      <c r="BQ986" s="2290" t="str">
        <f>IF(ISNUMBER(BQ985),(1+BQ985)/(1+BQ$21)-1,"NM")</f>
      </c>
      <c r="BR986" s="1077">
        <v>6.5000000000000002E-2</v>
      </c>
      <c r="BS986" s="1077">
        <v>3.3000000000000002E-2</v>
      </c>
      <c r="BT986" s="1077">
        <v>0.09</v>
      </c>
      <c r="BU986" s="1077">
        <v>0.13600000000000001</v>
      </c>
      <c r="BV986" s="1078">
        <v>8.2000000000000003E-2</v>
      </c>
      <c r="BW986" s="1077">
        <v>4.1000000000000002E-2</v>
      </c>
      <c r="BX986" s="1077">
        <v>0.123</v>
      </c>
      <c r="BY986" s="1077">
        <v>4.2999999999999997E-2</v>
      </c>
      <c r="BZ986" s="2294">
        <v>5.1999999999999998E-2</v>
      </c>
      <c r="CA986" s="1078">
        <v>6.4000000000000001E-2</v>
      </c>
      <c r="CB986" s="2282"/>
      <c r="CC986" s="2292"/>
      <c r="CD986" s="2292"/>
      <c r="CE986" s="2292"/>
      <c r="CF986" s="2291"/>
      <c r="CG986" s="2282"/>
      <c r="CH986" s="2292"/>
      <c r="CI986" s="2292"/>
      <c r="CJ986" s="2292"/>
      <c r="CK986" s="2291"/>
      <c r="CL986" s="1092"/>
      <c r="CM986" s="2292"/>
      <c r="CN986" s="2292"/>
      <c r="CO986" s="2292"/>
      <c r="CP986" s="2293"/>
      <c r="CQ986" s="2292"/>
      <c r="CR986" s="2292"/>
      <c r="CS986" s="2292"/>
      <c r="CT986" s="2294"/>
      <c r="CU986" s="2294"/>
      <c r="CV986" s="2292"/>
      <c r="CW986" s="2292"/>
      <c r="CX986" s="2292"/>
      <c r="CY986" s="2294"/>
      <c r="CZ986" s="2294"/>
      <c r="DA986" s="2307"/>
      <c r="DB986" s="2292"/>
      <c r="DC986" s="2292"/>
      <c r="DD986" s="2294"/>
      <c r="DE986" s="2293"/>
      <c r="DF986" s="2307"/>
      <c r="DG986" s="2292"/>
      <c r="DH986" s="2292"/>
      <c r="DI986" s="2294"/>
      <c r="DJ986" s="2294"/>
      <c r="DK986" s="400"/>
      <c r="DL986" s="29"/>
      <c r="DM986" s="29"/>
      <c r="DN986" s="836"/>
      <c r="DO986" s="2294"/>
      <c r="DP986" s="2292"/>
      <c r="DQ986" s="2292"/>
      <c r="DR986" s="2292"/>
      <c r="DS986" s="2292"/>
      <c r="DT986" s="2293"/>
      <c r="DU986" s="2292"/>
      <c r="DV986" s="2292"/>
      <c r="DW986" s="2292"/>
      <c r="DX986" s="2294"/>
      <c r="DY986" s="2293"/>
      <c r="DZ986" s="2292"/>
      <c r="EA986" s="2292"/>
      <c r="EB986" s="2292"/>
      <c r="EC986" s="2294"/>
      <c r="ED986" s="2293"/>
      <c r="EE986" s="2292"/>
      <c r="EF986" s="2292"/>
      <c r="EG986" s="2292"/>
      <c r="EH986" s="2292"/>
      <c r="EI986" s="2307"/>
      <c r="EJ986" s="2292"/>
      <c r="EK986" s="2294"/>
      <c r="EL986" s="2294"/>
      <c r="EM986" s="2294"/>
      <c r="EN986" s="2294"/>
      <c r="EO986" s="2293"/>
      <c r="EP986" s="2293"/>
      <c r="EQ986" s="2293"/>
      <c r="ER986" s="2293"/>
      <c r="ES986" s="2293"/>
      <c r="ET986" s="2293"/>
      <c r="EU986" s="2293"/>
      <c r="EV986" s="2293"/>
      <c r="EW986" s="2293"/>
      <c r="EX986" s="2293"/>
    </row>
    <row r="987" spans="2:154" hidden="1" outlineLevel="2">
      <c r="B987" s="1076" t="s">
        <v>413</v>
      </c>
      <c r="C987" s="2280"/>
      <c r="D987" s="2281"/>
      <c r="E987" s="2281"/>
      <c r="F987" s="2281"/>
      <c r="G987" s="2281"/>
      <c r="H987" s="2281"/>
      <c r="I987" s="1069"/>
      <c r="J987" s="2281"/>
      <c r="K987" s="2281"/>
      <c r="L987" s="2281"/>
      <c r="M987" s="2281"/>
      <c r="N987" s="1069"/>
      <c r="O987" s="1069"/>
      <c r="P987" s="1069"/>
      <c r="Q987" s="1069"/>
      <c r="R987" s="1069"/>
      <c r="S987" s="1069"/>
      <c r="T987" s="1069"/>
      <c r="U987" s="1069"/>
      <c r="V987" s="1069"/>
      <c r="W987" s="1069"/>
      <c r="X987" s="1070"/>
      <c r="Y987" s="1069"/>
      <c r="Z987" s="1069"/>
      <c r="AA987" s="1069"/>
      <c r="AB987" s="1069"/>
      <c r="AC987" s="1070"/>
      <c r="AD987" s="1069"/>
      <c r="AE987" s="1069"/>
      <c r="AF987" s="1069"/>
      <c r="AG987" s="1069"/>
      <c r="AH987" s="1070"/>
      <c r="AI987" s="2281"/>
      <c r="AJ987" s="2281"/>
      <c r="AK987" s="2281"/>
      <c r="AL987" s="1069"/>
      <c r="AM987" s="1070"/>
      <c r="AN987" s="2281"/>
      <c r="AO987" s="2281"/>
      <c r="AP987" s="2281"/>
      <c r="AQ987" s="2281"/>
      <c r="AR987" s="1070"/>
      <c r="AS987" s="2281"/>
      <c r="AT987" s="2281"/>
      <c r="AU987" s="2281"/>
      <c r="AV987" s="2281"/>
      <c r="AW987" s="1070"/>
      <c r="AX987" s="2281"/>
      <c r="AY987" s="2281"/>
      <c r="AZ987" s="2281"/>
      <c r="BA987" s="2281"/>
      <c r="BB987" s="1070"/>
      <c r="BC987" s="2281"/>
      <c r="BD987" s="2281"/>
      <c r="BE987" s="2281"/>
      <c r="BF987" s="2281"/>
      <c r="BG987" s="1070"/>
      <c r="BH987" s="2281"/>
      <c r="BI987" s="2281"/>
      <c r="BJ987" s="2281"/>
      <c r="BK987" s="2281"/>
      <c r="BL987" s="1070"/>
      <c r="BM987" s="2282" t="str">
        <f t="shared" ref="BM987:BW987" si="2100">IF(BH981="NM","NM",IF(BM981="NM","NM",IF(BH981&lt;=0,"NM",IF(BM981=0,"NM",IF(ABS(BM981/BH981-1)&gt;2.5,"NM",IF((ABS(BM981-BH981)=ABS(ABS(BM981)-ABS(BH981))),(BM981/BH981-1),"NM"))))))</f>
      </c>
      <c r="BN987" s="2282" t="str">
        <f t="shared" si="2100"/>
      </c>
      <c r="BO987" s="2282" t="str">
        <f t="shared" si="2100"/>
      </c>
      <c r="BP987" s="2282" t="str">
        <f t="shared" si="2100"/>
      </c>
      <c r="BQ987" s="2290" t="str">
        <f t="shared" si="2100"/>
      </c>
      <c r="BR987" s="2282">
        <f t="shared" si="2100"/>
      </c>
      <c r="BS987" s="2282">
        <f t="shared" si="2100"/>
      </c>
      <c r="BT987" s="2282">
        <f t="shared" si="2100"/>
      </c>
      <c r="BU987" s="2282">
        <f>IF(BP981="NM","NM",IF(BU981="NM","NM",IF(BP981&lt;=0,"NM",IF(BU981=0,"NM",IF(ABS(BU981/BP981-1)&gt;2.5,"NM",IF((ABS(BU981-BP981)=ABS(ABS(BU981)-ABS(BP981))),(BU981/BP981-1),"NM"))))))</f>
      </c>
      <c r="BV987" s="2290">
        <f>IF(BQ981="NM","NM",IF(BV981="NM","NM",IF(BQ981&lt;=0,"NM",IF(BV981=0,"NM",IF(ABS(BV981/BQ981-1)&gt;2.5,"NM",IF((ABS(BV981-BQ981)=ABS(ABS(BV981)-ABS(BQ981))),(BV981/BQ981-1),"NM"))))))</f>
      </c>
      <c r="BW987" s="2282">
        <f t="shared" si="2100"/>
      </c>
      <c r="BX987" s="2282">
        <f>IF(BS981="NM","NM",IF(BX981="NM","NM",IF(BS981&lt;=0,"NM",IF(BX981=0,"NM",IF(ABS(BX981/BS981-1)&gt;2.5,"NM",IF((ABS(BX981-BS981)=ABS(ABS(BX981)-ABS(BS981))),(BX981/BS981-1),"NM"))))))</f>
      </c>
      <c r="BY987" s="2282">
        <f>IF(BT981="NM","NM",IF(BY981="NM","NM",IF(BT981&lt;=0,"NM",IF(BY981=0,"NM",IF(ABS(BY981/BT981-1)&gt;2.5,"NM",IF((ABS(BY981-BT981)=ABS(ABS(BY981)-ABS(BT981))),(BY981/BT981-1),"NM"))))))</f>
      </c>
      <c r="BZ987" s="2282">
        <f>IF(BU981="NM","NM",IF(BZ981="NM","NM",IF(BU981&lt;=0,"NM",IF(BZ981=0,"NM",IF(ABS(BZ981/BU981-1)&gt;2.5,"NM",IF((ABS(BZ981-BU981)=ABS(ABS(BZ981)-ABS(BU981))),(BZ981/BU981-1),"NM"))))))</f>
      </c>
      <c r="CA987" s="2290">
        <f>IF(BV981="NM","NM",IF(CA981="NM","NM",IF(BV981&lt;=0,"NM",IF(CA981=0,"NM",IF(ABS(CA981/BV981-1)&gt;2.5,"NM",IF((ABS(CA981-BV981)=ABS(ABS(CA981)-ABS(BV981))),(CA981/BV981-1),"NM"))))))</f>
      </c>
      <c r="CB987" s="2282"/>
      <c r="CC987" s="2282"/>
      <c r="CD987" s="2282"/>
      <c r="CE987" s="2282"/>
      <c r="CF987" s="2290"/>
      <c r="CG987" s="2282"/>
      <c r="CH987" s="2282"/>
      <c r="CI987" s="2282"/>
      <c r="CJ987" s="2282"/>
      <c r="CK987" s="2290"/>
      <c r="CL987" s="1092"/>
      <c r="CM987" s="2282"/>
      <c r="CN987" s="2282"/>
      <c r="CO987" s="2282"/>
      <c r="CP987" s="2290"/>
      <c r="CQ987" s="2282"/>
      <c r="CR987" s="2282"/>
      <c r="CS987" s="2282"/>
      <c r="CT987" s="1093"/>
      <c r="CU987" s="1093"/>
      <c r="CV987" s="2282"/>
      <c r="CW987" s="2282"/>
      <c r="CX987" s="2282"/>
      <c r="CY987" s="1093"/>
      <c r="CZ987" s="1093"/>
      <c r="DA987" s="1092"/>
      <c r="DB987" s="2282"/>
      <c r="DC987" s="2282"/>
      <c r="DD987" s="1093"/>
      <c r="DE987" s="2290"/>
      <c r="DF987" s="1092"/>
      <c r="DG987" s="2282"/>
      <c r="DH987" s="2282"/>
      <c r="DI987" s="1093"/>
      <c r="DJ987" s="2290"/>
      <c r="DK987" s="958"/>
      <c r="DL987" s="926"/>
      <c r="DM987" s="926"/>
      <c r="DN987" s="928"/>
      <c r="DO987" s="2290"/>
      <c r="DP987" s="2282"/>
      <c r="DQ987" s="2282"/>
      <c r="DR987" s="2282"/>
      <c r="DS987" s="2282"/>
      <c r="DT987" s="2290"/>
      <c r="DU987" s="2282"/>
      <c r="DV987" s="2282"/>
      <c r="DW987" s="2282"/>
      <c r="DX987" s="1093"/>
      <c r="DY987" s="2290"/>
      <c r="DZ987" s="2282"/>
      <c r="EA987" s="2282"/>
      <c r="EB987" s="2282"/>
      <c r="EC987" s="1093"/>
      <c r="ED987" s="2290"/>
      <c r="EE987" s="2282"/>
      <c r="EF987" s="2282"/>
      <c r="EG987" s="2282"/>
      <c r="EH987" s="2282"/>
      <c r="EI987" s="1092"/>
      <c r="EJ987" s="1092"/>
      <c r="EK987" s="2290"/>
      <c r="EL987" s="2290"/>
      <c r="EM987" s="2290"/>
      <c r="EN987" s="2290"/>
      <c r="EO987" s="2290"/>
      <c r="EP987" s="2290"/>
      <c r="EQ987" s="2290"/>
      <c r="ER987" s="2290"/>
      <c r="ES987" s="2290"/>
      <c r="ET987" s="2290"/>
      <c r="EU987" s="2290"/>
      <c r="EV987" s="2290"/>
      <c r="EW987" s="2290"/>
      <c r="EX987" s="2290"/>
    </row>
    <row r="988" spans="2:154" ht="13.5" hidden="1" customHeight="1" outlineLevel="2">
      <c r="B988" s="1079"/>
      <c r="C988" s="2280"/>
      <c r="D988" s="2281"/>
      <c r="E988" s="2281"/>
      <c r="F988" s="2281"/>
      <c r="G988" s="2281"/>
      <c r="H988" s="2281"/>
      <c r="I988" s="1069"/>
      <c r="J988" s="2281"/>
      <c r="K988" s="2281"/>
      <c r="L988" s="2281"/>
      <c r="M988" s="2281"/>
      <c r="N988" s="1069"/>
      <c r="O988" s="1069"/>
      <c r="P988" s="1069"/>
      <c r="Q988" s="1069"/>
      <c r="R988" s="1069"/>
      <c r="S988" s="1069"/>
      <c r="T988" s="1069"/>
      <c r="U988" s="1069"/>
      <c r="V988" s="1069"/>
      <c r="W988" s="1069"/>
      <c r="X988" s="1070"/>
      <c r="Y988" s="1069"/>
      <c r="Z988" s="1069"/>
      <c r="AA988" s="1069"/>
      <c r="AB988" s="1069"/>
      <c r="AC988" s="1070"/>
      <c r="AD988" s="1069"/>
      <c r="AE988" s="1069"/>
      <c r="AF988" s="1069"/>
      <c r="AG988" s="1069"/>
      <c r="AH988" s="1070"/>
      <c r="AI988" s="2281"/>
      <c r="AJ988" s="2281"/>
      <c r="AK988" s="2281"/>
      <c r="AL988" s="1069"/>
      <c r="AM988" s="1070"/>
      <c r="AN988" s="2281"/>
      <c r="AO988" s="2281"/>
      <c r="AP988" s="2281"/>
      <c r="AQ988" s="2281"/>
      <c r="AR988" s="1070"/>
      <c r="AS988" s="2281"/>
      <c r="AT988" s="2281"/>
      <c r="AU988" s="2281"/>
      <c r="AV988" s="2281"/>
      <c r="AW988" s="1070"/>
      <c r="AX988" s="2281"/>
      <c r="AY988" s="2281"/>
      <c r="AZ988" s="2281"/>
      <c r="BA988" s="2281"/>
      <c r="BB988" s="1070"/>
      <c r="BC988" s="2281"/>
      <c r="BD988" s="2281"/>
      <c r="BE988" s="2281"/>
      <c r="BF988" s="2281"/>
      <c r="BG988" s="1070"/>
      <c r="BH988" s="2281"/>
      <c r="BI988" s="2281"/>
      <c r="BJ988" s="2281"/>
      <c r="BK988" s="2281"/>
      <c r="BL988" s="1070"/>
      <c r="BM988" s="2281"/>
      <c r="BN988" s="2281"/>
      <c r="BO988" s="2281"/>
      <c r="BP988" s="2281"/>
      <c r="BQ988" s="1070"/>
      <c r="BR988" s="2281"/>
      <c r="BS988" s="2281"/>
      <c r="BT988" s="2281"/>
      <c r="BU988" s="2281"/>
      <c r="BV988" s="1070"/>
      <c r="BW988" s="2281"/>
      <c r="BX988" s="2281"/>
      <c r="BY988" s="2281"/>
      <c r="BZ988" s="2281"/>
      <c r="CA988" s="1070"/>
      <c r="CB988" s="2281"/>
      <c r="CC988" s="2281"/>
      <c r="CD988" s="2281"/>
      <c r="CE988" s="2281"/>
      <c r="CF988" s="1070"/>
      <c r="CG988" s="2281"/>
      <c r="CH988" s="2281"/>
      <c r="CI988" s="2281"/>
      <c r="CJ988" s="2281"/>
      <c r="CK988" s="1070"/>
      <c r="CL988" s="2303"/>
      <c r="CM988" s="3023"/>
      <c r="CN988" s="3023"/>
      <c r="CO988" s="2281"/>
      <c r="CP988" s="1070"/>
      <c r="CQ988" s="3023"/>
      <c r="CR988" s="3023"/>
      <c r="CS988" s="3023"/>
      <c r="CT988" s="2304"/>
      <c r="CU988" s="1074"/>
      <c r="CV988" s="3023"/>
      <c r="CW988" s="3023"/>
      <c r="CX988" s="3023"/>
      <c r="CY988" s="2304"/>
      <c r="CZ988" s="1074"/>
      <c r="DA988" s="1329"/>
      <c r="DB988" s="1069"/>
      <c r="DC988" s="1069"/>
      <c r="DD988" s="1074"/>
      <c r="DE988" s="1922"/>
      <c r="DF988" s="1927"/>
      <c r="DG988" s="2305"/>
      <c r="DH988" s="2305"/>
      <c r="DI988" s="1928"/>
      <c r="DJ988" s="1922"/>
      <c r="DK988" s="1799"/>
      <c r="DL988" s="603"/>
      <c r="DM988" s="603"/>
      <c r="DN988" s="1798"/>
      <c r="DO988" s="1922"/>
      <c r="DP988" s="2305"/>
      <c r="DQ988" s="2305"/>
      <c r="DR988" s="2305"/>
      <c r="DS988" s="2305"/>
      <c r="DT988" s="1922"/>
      <c r="DU988" s="2305"/>
      <c r="DV988" s="2305"/>
      <c r="DW988" s="2305"/>
      <c r="DX988" s="1928"/>
      <c r="DY988" s="1922"/>
      <c r="DZ988" s="2305"/>
      <c r="EA988" s="2305"/>
      <c r="EB988" s="2305"/>
      <c r="EC988" s="1928"/>
      <c r="ED988" s="1922"/>
      <c r="EE988" s="2305"/>
      <c r="EF988" s="2305"/>
      <c r="EG988" s="2305"/>
      <c r="EH988" s="2305"/>
      <c r="EI988" s="1927"/>
      <c r="EJ988" s="1927"/>
      <c r="EK988" s="1922"/>
      <c r="EL988" s="1922"/>
      <c r="EM988" s="1922"/>
      <c r="EN988" s="1922"/>
      <c r="EO988" s="1922"/>
      <c r="EP988" s="1922"/>
      <c r="EQ988" s="1922"/>
      <c r="ER988" s="1922"/>
      <c r="ES988" s="1922"/>
      <c r="ET988" s="1922"/>
      <c r="EU988" s="1922"/>
      <c r="EV988" s="1922"/>
      <c r="EW988" s="1922"/>
      <c r="EX988" s="1922"/>
    </row>
    <row r="989" spans="2:154" hidden="1" outlineLevel="1">
      <c r="B989" s="2239" t="s">
        <v>496</v>
      </c>
      <c r="C989" s="2252"/>
      <c r="D989" s="3006"/>
      <c r="E989" s="3006"/>
      <c r="F989" s="3006"/>
      <c r="G989" s="3006"/>
      <c r="H989" s="3006"/>
      <c r="I989" s="3007"/>
      <c r="J989" s="3006"/>
      <c r="K989" s="3006"/>
      <c r="L989" s="3006"/>
      <c r="M989" s="3006"/>
      <c r="N989" s="3007"/>
      <c r="O989" s="3007"/>
      <c r="P989" s="3007"/>
      <c r="Q989" s="3007"/>
      <c r="R989" s="3007"/>
      <c r="S989" s="3007"/>
      <c r="T989" s="3007"/>
      <c r="U989" s="3007"/>
      <c r="V989" s="3007"/>
      <c r="W989" s="3007"/>
      <c r="X989" s="2253"/>
      <c r="Y989" s="3007"/>
      <c r="Z989" s="3007"/>
      <c r="AA989" s="3007"/>
      <c r="AB989" s="3007"/>
      <c r="AC989" s="2253"/>
      <c r="AD989" s="3007"/>
      <c r="AE989" s="3007"/>
      <c r="AF989" s="3007"/>
      <c r="AG989" s="3007"/>
      <c r="AH989" s="2253"/>
      <c r="AI989" s="3006"/>
      <c r="AJ989" s="3006"/>
      <c r="AK989" s="3006"/>
      <c r="AL989" s="3007"/>
      <c r="AM989" s="2253"/>
      <c r="AN989" s="3006"/>
      <c r="AO989" s="3006"/>
      <c r="AP989" s="3006"/>
      <c r="AQ989" s="3006"/>
      <c r="AR989" s="2253"/>
      <c r="AS989" s="3006"/>
      <c r="AT989" s="3006"/>
      <c r="AU989" s="3006"/>
      <c r="AV989" s="3006"/>
      <c r="AW989" s="2253"/>
      <c r="AX989" s="3006"/>
      <c r="AY989" s="3006"/>
      <c r="AZ989" s="3006"/>
      <c r="BA989" s="3006"/>
      <c r="BB989" s="2253"/>
      <c r="BC989" s="3006"/>
      <c r="BD989" s="3006"/>
      <c r="BE989" s="3006"/>
      <c r="BF989" s="3006"/>
      <c r="BG989" s="2253"/>
      <c r="BH989" s="3006"/>
      <c r="BI989" s="3006"/>
      <c r="BJ989" s="3006"/>
      <c r="BK989" s="3006"/>
      <c r="BL989" s="2253"/>
      <c r="BM989" s="3006"/>
      <c r="BN989" s="3006"/>
      <c r="BO989" s="3006"/>
      <c r="BP989" s="3006"/>
      <c r="BQ989" s="2253"/>
      <c r="BR989" s="3006"/>
      <c r="BS989" s="3006"/>
      <c r="BT989" s="3006"/>
      <c r="BU989" s="3006"/>
      <c r="BV989" s="2253"/>
      <c r="BW989" s="3006"/>
      <c r="BX989" s="3006"/>
      <c r="BY989" s="3006"/>
      <c r="BZ989" s="3006"/>
      <c r="CA989" s="2253"/>
      <c r="CB989" s="3006"/>
      <c r="CC989" s="3006"/>
      <c r="CD989" s="3006"/>
      <c r="CE989" s="3006"/>
      <c r="CF989" s="2253"/>
      <c r="CG989" s="3006"/>
      <c r="CH989" s="3006"/>
      <c r="CI989" s="3006"/>
      <c r="CJ989" s="3006"/>
      <c r="CK989" s="2253"/>
      <c r="CL989" s="3006"/>
      <c r="CM989" s="3006"/>
      <c r="CN989" s="3006"/>
      <c r="CO989" s="3006"/>
      <c r="CP989" s="2253"/>
      <c r="CQ989" s="3006"/>
      <c r="CR989" s="3006"/>
      <c r="CS989" s="3006"/>
      <c r="CT989" s="3006"/>
      <c r="CU989" s="2253"/>
      <c r="CV989" s="3006"/>
      <c r="CW989" s="3006"/>
      <c r="CX989" s="3006"/>
      <c r="CY989" s="3006"/>
      <c r="CZ989" s="2253"/>
      <c r="DA989" s="2255"/>
      <c r="DB989" s="3007"/>
      <c r="DC989" s="3007"/>
      <c r="DD989" s="2256"/>
      <c r="DE989" s="2208"/>
      <c r="DF989" s="2194"/>
      <c r="DG989" s="2957"/>
      <c r="DH989" s="2957"/>
      <c r="DI989" s="2128"/>
      <c r="DJ989" s="2208"/>
      <c r="DK989" s="2306"/>
      <c r="DL989" s="3018"/>
      <c r="DM989" s="3018"/>
      <c r="DN989" s="2262"/>
      <c r="DO989" s="2208"/>
      <c r="DP989" s="2957"/>
      <c r="DQ989" s="2957"/>
      <c r="DR989" s="2957"/>
      <c r="DS989" s="2957"/>
      <c r="DT989" s="2208"/>
      <c r="DU989" s="2957"/>
      <c r="DV989" s="2957"/>
      <c r="DW989" s="2957"/>
      <c r="DX989" s="2128"/>
      <c r="DY989" s="2208"/>
      <c r="DZ989" s="2957"/>
      <c r="EA989" s="2957"/>
      <c r="EB989" s="2957"/>
      <c r="EC989" s="2128"/>
      <c r="ED989" s="2208"/>
      <c r="EE989" s="2957"/>
      <c r="EF989" s="2957"/>
      <c r="EG989" s="3554"/>
      <c r="EH989" s="2957"/>
      <c r="EI989" s="2194"/>
      <c r="EJ989" s="2194"/>
      <c r="EK989" s="2208"/>
      <c r="EL989" s="2208"/>
      <c r="EM989" s="2208"/>
      <c r="EN989" s="2208"/>
      <c r="EO989" s="2201"/>
      <c r="EP989" s="2201"/>
      <c r="EQ989" s="2201"/>
      <c r="ER989" s="2201"/>
      <c r="ES989" s="2201"/>
      <c r="ET989" s="2201"/>
      <c r="EU989" s="2201"/>
      <c r="EV989" s="2201"/>
      <c r="EW989" s="2201"/>
      <c r="EX989" s="2201"/>
    </row>
    <row r="990" spans="2:154" hidden="1" outlineLevel="1">
      <c r="B990" s="1068" t="s">
        <v>187</v>
      </c>
      <c r="C990" s="2280"/>
      <c r="D990" s="2281"/>
      <c r="E990" s="2281"/>
      <c r="F990" s="2281"/>
      <c r="G990" s="2281"/>
      <c r="H990" s="2281"/>
      <c r="I990" s="1069"/>
      <c r="J990" s="2281"/>
      <c r="K990" s="2281"/>
      <c r="L990" s="2281"/>
      <c r="M990" s="2281"/>
      <c r="N990" s="1069"/>
      <c r="O990" s="1069"/>
      <c r="P990" s="1069"/>
      <c r="Q990" s="1069"/>
      <c r="R990" s="1069"/>
      <c r="S990" s="1069"/>
      <c r="T990" s="1069"/>
      <c r="U990" s="1069"/>
      <c r="V990" s="1069"/>
      <c r="W990" s="1069"/>
      <c r="X990" s="1070"/>
      <c r="Y990" s="1069"/>
      <c r="Z990" s="1069"/>
      <c r="AA990" s="1069"/>
      <c r="AB990" s="1069"/>
      <c r="AC990" s="1070"/>
      <c r="AD990" s="1069"/>
      <c r="AE990" s="1069"/>
      <c r="AF990" s="1069"/>
      <c r="AG990" s="1069"/>
      <c r="AH990" s="1070"/>
      <c r="AI990" s="2281"/>
      <c r="AJ990" s="2281"/>
      <c r="AK990" s="2281"/>
      <c r="AL990" s="1069"/>
      <c r="AM990" s="1070"/>
      <c r="AN990" s="2281"/>
      <c r="AO990" s="2281"/>
      <c r="AP990" s="2281"/>
      <c r="AQ990" s="2281"/>
      <c r="AR990" s="1070"/>
      <c r="AS990" s="2281"/>
      <c r="AT990" s="2281"/>
      <c r="AU990" s="2281"/>
      <c r="AV990" s="2281"/>
      <c r="AW990" s="1070"/>
      <c r="AX990" s="2281"/>
      <c r="AY990" s="2281"/>
      <c r="AZ990" s="2281"/>
      <c r="BA990" s="2281"/>
      <c r="BB990" s="1070"/>
      <c r="BC990" s="2281"/>
      <c r="BD990" s="2281"/>
      <c r="BE990" s="2281"/>
      <c r="BF990" s="2281"/>
      <c r="BG990" s="1070"/>
      <c r="BH990" s="2281"/>
      <c r="BI990" s="2281"/>
      <c r="BJ990" s="2281"/>
      <c r="BK990" s="2281"/>
      <c r="BL990" s="1070"/>
      <c r="BM990" s="1071">
        <v>296</v>
      </c>
      <c r="BN990" s="1071">
        <v>311</v>
      </c>
      <c r="BO990" s="1071">
        <v>292</v>
      </c>
      <c r="BP990" s="1071">
        <v>327</v>
      </c>
      <c r="BQ990" s="1070">
        <f>SUM(BM990:BP990)</f>
      </c>
      <c r="BR990" s="1071">
        <v>327</v>
      </c>
      <c r="BS990" s="1071">
        <v>336</v>
      </c>
      <c r="BT990" s="1071">
        <v>308</v>
      </c>
      <c r="BU990" s="1071">
        <v>326</v>
      </c>
      <c r="BV990" s="1070">
        <f>SUM(BR990:BU990)</f>
      </c>
      <c r="BW990" s="1071">
        <v>319</v>
      </c>
      <c r="BX990" s="1071">
        <v>331</v>
      </c>
      <c r="BY990" s="1071">
        <v>321</v>
      </c>
      <c r="BZ990" s="1071">
        <v>332</v>
      </c>
      <c r="CA990" s="1070">
        <f>SUM(BW990:BZ990)</f>
      </c>
      <c r="CB990" s="1071">
        <v>417</v>
      </c>
      <c r="CC990" s="1071">
        <v>424</v>
      </c>
      <c r="CD990" s="1071">
        <v>413</v>
      </c>
      <c r="CE990" s="1071">
        <v>425</v>
      </c>
      <c r="CF990" s="1070">
        <f>SUM(CB990:CE990)</f>
      </c>
      <c r="CG990" s="1071">
        <v>417</v>
      </c>
      <c r="CH990" s="1071">
        <v>438</v>
      </c>
      <c r="CI990" s="1071">
        <v>420</v>
      </c>
      <c r="CJ990" s="2281">
        <f>+(1+CJ995)*CE990</f>
      </c>
      <c r="CK990" s="1070">
        <f>SUM(CG990:CJ990)</f>
      </c>
      <c r="CL990" s="3024">
        <f t="shared" ref="CL990:CN991" si="2101">+(1+CL995)*CG990</f>
      </c>
      <c r="CM990" s="3025">
        <f t="shared" si="2101"/>
      </c>
      <c r="CN990" s="3025">
        <f t="shared" si="2101"/>
      </c>
      <c r="CO990" s="2281">
        <f>+(1+CO995)*CJ990</f>
      </c>
      <c r="CP990" s="1070">
        <f>SUM(CL990:CO990)</f>
      </c>
      <c r="CQ990" s="3025">
        <f t="shared" ref="CQ990:CY991" si="2102">+(1+CQ995)*CL990</f>
      </c>
      <c r="CR990" s="3025">
        <f t="shared" si="2102"/>
      </c>
      <c r="CS990" s="3025">
        <f t="shared" si="2102"/>
      </c>
      <c r="CT990" s="3026">
        <f t="shared" si="2102"/>
      </c>
      <c r="CU990" s="1070">
        <f>SUM(CQ990:CT990)</f>
      </c>
      <c r="CV990" s="3025">
        <f t="shared" si="2102"/>
      </c>
      <c r="CW990" s="3025">
        <f t="shared" si="2102"/>
      </c>
      <c r="CX990" s="3025">
        <f t="shared" si="2102"/>
      </c>
      <c r="CY990" s="3026">
        <f t="shared" si="2102"/>
      </c>
      <c r="CZ990" s="1070">
        <f>SUM(CV990:CY990)</f>
      </c>
      <c r="DA990" s="1326">
        <f t="shared" ref="DA990:DC991" si="2103">+(1+DA995)*CV990</f>
      </c>
      <c r="DB990" s="2283">
        <f t="shared" si="2103"/>
      </c>
      <c r="DC990" s="2283">
        <f t="shared" si="2103"/>
      </c>
      <c r="DD990" s="1346">
        <f>+DE990-SUM(DA990:DC990)</f>
      </c>
      <c r="DE990" s="1922">
        <f>+CZ990*(1+DE995)</f>
      </c>
      <c r="DF990" s="1923"/>
      <c r="DG990" s="2284"/>
      <c r="DH990" s="2284"/>
      <c r="DI990" s="1924"/>
      <c r="DJ990" s="1922">
        <f>+DE990*(1+DJ995)</f>
      </c>
      <c r="DK990" s="1799"/>
      <c r="DL990" s="603"/>
      <c r="DM990" s="603"/>
      <c r="DN990" s="1798"/>
      <c r="DO990" s="1922">
        <f>+DJ990*(1+DO995)</f>
      </c>
      <c r="DP990" s="2284"/>
      <c r="DQ990" s="2284"/>
      <c r="DR990" s="2284"/>
      <c r="DS990" s="2284"/>
      <c r="DT990" s="1922">
        <f>+DO990*(1+DT995)</f>
      </c>
      <c r="DU990" s="2284">
        <f>+DP990*(1+DU995)</f>
      </c>
      <c r="DV990" s="2284"/>
      <c r="DW990" s="2284"/>
      <c r="DX990" s="1924"/>
      <c r="DY990" s="1922">
        <f>+DT990*(1+DY995)</f>
      </c>
      <c r="DZ990" s="2284"/>
      <c r="EA990" s="2284"/>
      <c r="EB990" s="2284"/>
      <c r="EC990" s="1924"/>
      <c r="ED990" s="1922">
        <f>+DY990*(1+ED995)</f>
      </c>
      <c r="EE990" s="2284"/>
      <c r="EF990" s="2284"/>
      <c r="EG990" s="2305"/>
      <c r="EH990" s="2284"/>
      <c r="EI990" s="1927">
        <f>+ED990*(1+EI995)</f>
      </c>
      <c r="EJ990" s="1927">
        <f t="shared" ref="EJ990:EN991" si="2104">+EI990*(1+EJ995)</f>
      </c>
      <c r="EK990" s="1922">
        <f t="shared" si="2104"/>
      </c>
      <c r="EL990" s="1922">
        <f t="shared" si="2104"/>
      </c>
      <c r="EM990" s="1922">
        <f t="shared" si="2104"/>
      </c>
      <c r="EN990" s="1922">
        <f t="shared" si="2104"/>
      </c>
      <c r="EO990" s="1922"/>
      <c r="EP990" s="1922"/>
      <c r="EQ990" s="1922"/>
      <c r="ER990" s="1922"/>
      <c r="ES990" s="1922"/>
      <c r="ET990" s="1922"/>
      <c r="EU990" s="1922"/>
      <c r="EV990" s="1922"/>
      <c r="EW990" s="1922"/>
      <c r="EX990" s="1922"/>
    </row>
    <row r="991" spans="2:154" hidden="1" outlineLevel="1">
      <c r="B991" s="1068" t="s">
        <v>412</v>
      </c>
      <c r="C991" s="2280"/>
      <c r="D991" s="2281"/>
      <c r="E991" s="2281"/>
      <c r="F991" s="2281"/>
      <c r="G991" s="2281"/>
      <c r="H991" s="2281"/>
      <c r="I991" s="1069"/>
      <c r="J991" s="2281"/>
      <c r="K991" s="2281"/>
      <c r="L991" s="2281"/>
      <c r="M991" s="2281"/>
      <c r="N991" s="1069"/>
      <c r="O991" s="1069"/>
      <c r="P991" s="1069"/>
      <c r="Q991" s="1069"/>
      <c r="R991" s="1069"/>
      <c r="S991" s="1069"/>
      <c r="T991" s="1069"/>
      <c r="U991" s="1069"/>
      <c r="V991" s="1069"/>
      <c r="W991" s="1069"/>
      <c r="X991" s="1070"/>
      <c r="Y991" s="1069"/>
      <c r="Z991" s="1069"/>
      <c r="AA991" s="1069"/>
      <c r="AB991" s="1069"/>
      <c r="AC991" s="1070"/>
      <c r="AD991" s="1069"/>
      <c r="AE991" s="1069"/>
      <c r="AF991" s="1069"/>
      <c r="AG991" s="1069"/>
      <c r="AH991" s="1070"/>
      <c r="AI991" s="2281"/>
      <c r="AJ991" s="2281"/>
      <c r="AK991" s="2281"/>
      <c r="AL991" s="1069"/>
      <c r="AM991" s="1070"/>
      <c r="AN991" s="2281"/>
      <c r="AO991" s="2281"/>
      <c r="AP991" s="2281"/>
      <c r="AQ991" s="2281"/>
      <c r="AR991" s="1070"/>
      <c r="AS991" s="2281"/>
      <c r="AT991" s="2281"/>
      <c r="AU991" s="2281"/>
      <c r="AV991" s="2281"/>
      <c r="AW991" s="1070"/>
      <c r="AX991" s="2281"/>
      <c r="AY991" s="2281"/>
      <c r="AZ991" s="2281"/>
      <c r="BA991" s="2281"/>
      <c r="BB991" s="1070"/>
      <c r="BC991" s="2281"/>
      <c r="BD991" s="2281"/>
      <c r="BE991" s="2281"/>
      <c r="BF991" s="2281"/>
      <c r="BG991" s="1070"/>
      <c r="BH991" s="2281"/>
      <c r="BI991" s="2281"/>
      <c r="BJ991" s="2281"/>
      <c r="BK991" s="2281"/>
      <c r="BL991" s="1070"/>
      <c r="BM991" s="1071">
        <v>281</v>
      </c>
      <c r="BN991" s="1071">
        <v>309</v>
      </c>
      <c r="BO991" s="1071">
        <v>284</v>
      </c>
      <c r="BP991" s="1071">
        <v>307</v>
      </c>
      <c r="BQ991" s="1070">
        <f>SUM(BM991:BP991)</f>
      </c>
      <c r="BR991" s="1071">
        <v>301</v>
      </c>
      <c r="BS991" s="1071">
        <v>310</v>
      </c>
      <c r="BT991" s="1071">
        <v>289</v>
      </c>
      <c r="BU991" s="1071">
        <v>329</v>
      </c>
      <c r="BV991" s="1070">
        <f>SUM(BR991:BU991)</f>
      </c>
      <c r="BW991" s="1071">
        <v>308</v>
      </c>
      <c r="BX991" s="1071">
        <v>325</v>
      </c>
      <c r="BY991" s="1071">
        <v>305</v>
      </c>
      <c r="BZ991" s="1071">
        <v>351</v>
      </c>
      <c r="CA991" s="1070">
        <f>SUM(BW991:BZ991)</f>
      </c>
      <c r="CB991" s="1071">
        <v>457</v>
      </c>
      <c r="CC991" s="1071">
        <v>481</v>
      </c>
      <c r="CD991" s="1071">
        <v>445</v>
      </c>
      <c r="CE991" s="1071">
        <v>479</v>
      </c>
      <c r="CF991" s="1070">
        <f>SUM(CB991:CE991)</f>
      </c>
      <c r="CG991" s="1071">
        <v>416</v>
      </c>
      <c r="CH991" s="1071">
        <v>441</v>
      </c>
      <c r="CI991" s="1071">
        <v>401</v>
      </c>
      <c r="CJ991" s="2281">
        <f>+(1+CJ996)*CE991</f>
      </c>
      <c r="CK991" s="1070">
        <f>SUM(CG991:CJ991)</f>
      </c>
      <c r="CL991" s="1072">
        <f t="shared" si="2101"/>
      </c>
      <c r="CM991" s="2281">
        <f t="shared" si="2101"/>
      </c>
      <c r="CN991" s="2281">
        <f>+(1+CN996)*CI991</f>
      </c>
      <c r="CO991" s="2281">
        <f>+(1+CO996)*CJ991</f>
      </c>
      <c r="CP991" s="1070">
        <f>SUM(CL991:CO991)</f>
      </c>
      <c r="CQ991" s="2281">
        <f t="shared" si="2102"/>
      </c>
      <c r="CR991" s="2281">
        <f t="shared" si="2102"/>
      </c>
      <c r="CS991" s="2281">
        <f>+(1+CS996)*CN991</f>
      </c>
      <c r="CT991" s="1073">
        <f>+(1+CT996)*CO991</f>
      </c>
      <c r="CU991" s="1070">
        <f>SUM(CQ991:CT991)</f>
      </c>
      <c r="CV991" s="2281">
        <f t="shared" si="2102"/>
      </c>
      <c r="CW991" s="2281">
        <f t="shared" si="2102"/>
      </c>
      <c r="CX991" s="2281">
        <f t="shared" si="2102"/>
      </c>
      <c r="CY991" s="1073">
        <f t="shared" si="2102"/>
      </c>
      <c r="CZ991" s="1070">
        <f>SUM(CV991:CY991)</f>
      </c>
      <c r="DA991" s="1327">
        <f t="shared" si="2103"/>
      </c>
      <c r="DB991" s="1358">
        <f t="shared" si="2103"/>
      </c>
      <c r="DC991" s="1358">
        <f t="shared" si="2103"/>
      </c>
      <c r="DD991" s="1347">
        <f>+DE991-SUM(DA991:DC991)</f>
      </c>
      <c r="DE991" s="1922">
        <f>+CZ991*(1+DE996)</f>
      </c>
      <c r="DF991" s="1327"/>
      <c r="DG991" s="1358"/>
      <c r="DH991" s="1358"/>
      <c r="DI991" s="1347"/>
      <c r="DJ991" s="1922">
        <f>+DE991*(1+DJ996)</f>
      </c>
      <c r="DK991" s="1015"/>
      <c r="DL991" s="895"/>
      <c r="DM991" s="895"/>
      <c r="DN991" s="915"/>
      <c r="DO991" s="1922">
        <f>+DJ991*(1+DO996)</f>
      </c>
      <c r="DP991" s="1358"/>
      <c r="DQ991" s="1358"/>
      <c r="DR991" s="1358"/>
      <c r="DS991" s="1358"/>
      <c r="DT991" s="1922">
        <f>+DO991*(1+DT996)</f>
      </c>
      <c r="DU991" s="1358">
        <f>+DP991*(1+DU996)</f>
      </c>
      <c r="DV991" s="1358"/>
      <c r="DW991" s="1358"/>
      <c r="DX991" s="1347"/>
      <c r="DY991" s="1922">
        <f>+DT991*(1+DY996)</f>
      </c>
      <c r="DZ991" s="1358"/>
      <c r="EA991" s="1358"/>
      <c r="EB991" s="1358"/>
      <c r="EC991" s="1347"/>
      <c r="ED991" s="1922">
        <f>+DY991*(1+ED996)</f>
      </c>
      <c r="EE991" s="1358"/>
      <c r="EF991" s="1358"/>
      <c r="EG991" s="2305"/>
      <c r="EH991" s="1358"/>
      <c r="EI991" s="1927">
        <f>+ED991*(1+EI996)</f>
      </c>
      <c r="EJ991" s="1927">
        <f t="shared" si="2104"/>
      </c>
      <c r="EK991" s="1922">
        <f t="shared" si="2104"/>
      </c>
      <c r="EL991" s="1922">
        <f t="shared" si="2104"/>
      </c>
      <c r="EM991" s="1922">
        <f t="shared" si="2104"/>
      </c>
      <c r="EN991" s="1922">
        <f t="shared" si="2104"/>
      </c>
      <c r="EO991" s="1922"/>
      <c r="EP991" s="1922"/>
      <c r="EQ991" s="1922"/>
      <c r="ER991" s="1922"/>
      <c r="ES991" s="1922"/>
      <c r="ET991" s="1922"/>
      <c r="EU991" s="1922"/>
      <c r="EV991" s="1922"/>
      <c r="EW991" s="1922"/>
      <c r="EX991" s="1922"/>
    </row>
    <row r="992" spans="2:154" hidden="1" outlineLevel="1">
      <c r="B992" s="1068" t="s">
        <v>413</v>
      </c>
      <c r="C992" s="2280"/>
      <c r="D992" s="2281"/>
      <c r="E992" s="2281"/>
      <c r="F992" s="2281"/>
      <c r="G992" s="2281"/>
      <c r="H992" s="2281"/>
      <c r="I992" s="1069"/>
      <c r="J992" s="2281"/>
      <c r="K992" s="2281"/>
      <c r="L992" s="2281"/>
      <c r="M992" s="2281"/>
      <c r="N992" s="1069"/>
      <c r="O992" s="1069"/>
      <c r="P992" s="1069"/>
      <c r="Q992" s="1069"/>
      <c r="R992" s="1069"/>
      <c r="S992" s="1069"/>
      <c r="T992" s="1069"/>
      <c r="U992" s="1069"/>
      <c r="V992" s="1069"/>
      <c r="W992" s="1069"/>
      <c r="X992" s="1070"/>
      <c r="Y992" s="1069"/>
      <c r="Z992" s="1069"/>
      <c r="AA992" s="1069"/>
      <c r="AB992" s="1069"/>
      <c r="AC992" s="1070"/>
      <c r="AD992" s="1069"/>
      <c r="AE992" s="1069"/>
      <c r="AF992" s="1069"/>
      <c r="AG992" s="1069"/>
      <c r="AH992" s="1070"/>
      <c r="AI992" s="2281"/>
      <c r="AJ992" s="2281"/>
      <c r="AK992" s="2281"/>
      <c r="AL992" s="1069"/>
      <c r="AM992" s="1070"/>
      <c r="AN992" s="2281"/>
      <c r="AO992" s="2281"/>
      <c r="AP992" s="2281"/>
      <c r="AQ992" s="2281"/>
      <c r="AR992" s="1070"/>
      <c r="AS992" s="2281"/>
      <c r="AT992" s="2281"/>
      <c r="AU992" s="2281"/>
      <c r="AV992" s="2281"/>
      <c r="AW992" s="1070"/>
      <c r="AX992" s="2281"/>
      <c r="AY992" s="2281"/>
      <c r="AZ992" s="2281"/>
      <c r="BA992" s="2281"/>
      <c r="BB992" s="1070"/>
      <c r="BC992" s="2281"/>
      <c r="BD992" s="2281"/>
      <c r="BE992" s="2281"/>
      <c r="BF992" s="2281"/>
      <c r="BG992" s="1070"/>
      <c r="BH992" s="2281"/>
      <c r="BI992" s="2281"/>
      <c r="BJ992" s="2281"/>
      <c r="BK992" s="2281"/>
      <c r="BL992" s="1070"/>
      <c r="BM992" s="2281">
        <f>+BM990+BM991</f>
      </c>
      <c r="BN992" s="2281">
        <f>+BN990+BN991</f>
      </c>
      <c r="BO992" s="2281">
        <f>+BO990+BO991</f>
      </c>
      <c r="BP992" s="2281">
        <f>+BP990+BP991</f>
      </c>
      <c r="BQ992" s="1070">
        <f>SUM(BM992:BP992)</f>
      </c>
      <c r="BR992" s="2281">
        <f>+BR990+BR991</f>
      </c>
      <c r="BS992" s="2281">
        <f>+BS990+BS991</f>
      </c>
      <c r="BT992" s="2281">
        <f>+BT990+BT991</f>
      </c>
      <c r="BU992" s="2281">
        <f>+BU990+BU991</f>
      </c>
      <c r="BV992" s="1070">
        <f>SUM(BR992:BU992)</f>
      </c>
      <c r="BW992" s="2281">
        <f>+BW990+BW991</f>
      </c>
      <c r="BX992" s="2281">
        <f>+BX990+BX991</f>
      </c>
      <c r="BY992" s="2281">
        <f>+BY990+BY991</f>
      </c>
      <c r="BZ992" s="2281">
        <f>+BZ990+BZ991</f>
      </c>
      <c r="CA992" s="1070">
        <f>SUM(BW992:BZ992)</f>
      </c>
      <c r="CB992" s="2281">
        <f>+CB990+CB991</f>
      </c>
      <c r="CC992" s="2281">
        <f>+CC990+CC991</f>
      </c>
      <c r="CD992" s="2281">
        <f>+CD990+CD991</f>
      </c>
      <c r="CE992" s="2281">
        <f>+CE990+CE991</f>
      </c>
      <c r="CF992" s="1070">
        <f>SUM(CB992:CE992)</f>
      </c>
      <c r="CG992" s="2281">
        <f>+CG990+CG991</f>
      </c>
      <c r="CH992" s="2281">
        <f>+CH990+CH991</f>
      </c>
      <c r="CI992" s="2281">
        <f>+CI990+CI991</f>
      </c>
      <c r="CJ992" s="2281">
        <f>+CJ990+CJ991</f>
      </c>
      <c r="CK992" s="1070">
        <f>SUM(CG992:CJ992)</f>
      </c>
      <c r="CL992" s="1072">
        <f>+CL990+CL991</f>
      </c>
      <c r="CM992" s="2281">
        <f>+CM990+CM991</f>
      </c>
      <c r="CN992" s="2281">
        <f>+CN990+CN991</f>
      </c>
      <c r="CO992" s="2281">
        <f>+CO990+CO991</f>
      </c>
      <c r="CP992" s="1070">
        <f>SUM(CL992:CO992)</f>
      </c>
      <c r="CQ992" s="2281">
        <f>+CQ990+CQ991</f>
      </c>
      <c r="CR992" s="2281">
        <f>+CR990+CR991</f>
      </c>
      <c r="CS992" s="2281">
        <f>+CS990+CS991</f>
      </c>
      <c r="CT992" s="1073">
        <f>+CT990+CT991</f>
      </c>
      <c r="CU992" s="1070">
        <f>SUM(CQ992:CT992)</f>
      </c>
      <c r="CV992" s="2281">
        <f>+CV990+CV991</f>
      </c>
      <c r="CW992" s="2281">
        <f>+CW990+CW991</f>
      </c>
      <c r="CX992" s="2281">
        <f>+CX990+CX991</f>
      </c>
      <c r="CY992" s="1073">
        <f>+CY990+CY991</f>
      </c>
      <c r="CZ992" s="1070">
        <f>SUM(CV992:CY992)</f>
      </c>
      <c r="DA992" s="1326">
        <f>SUM(DA990:DA991)</f>
      </c>
      <c r="DB992" s="2283">
        <f>SUM(DB990:DB991)</f>
      </c>
      <c r="DC992" s="2283">
        <f>SUM(DC990:DC991)</f>
      </c>
      <c r="DD992" s="1346">
        <f>+DD990+DD991</f>
      </c>
      <c r="DE992" s="1922">
        <f>+DE990+DE991</f>
      </c>
      <c r="DF992" s="1923"/>
      <c r="DG992" s="2284"/>
      <c r="DH992" s="2284"/>
      <c r="DI992" s="1924"/>
      <c r="DJ992" s="1922">
        <f>+DJ990+DJ991</f>
      </c>
      <c r="DK992" s="1799"/>
      <c r="DL992" s="603"/>
      <c r="DM992" s="603"/>
      <c r="DN992" s="1798"/>
      <c r="DO992" s="1922">
        <f>+DO990+DO991</f>
      </c>
      <c r="DP992" s="2284"/>
      <c r="DQ992" s="2284"/>
      <c r="DR992" s="2284"/>
      <c r="DS992" s="2284"/>
      <c r="DT992" s="1922">
        <f>+DT990+DT991</f>
      </c>
      <c r="DU992" s="2284">
        <f>+DU990+DU991</f>
      </c>
      <c r="DV992" s="2284"/>
      <c r="DW992" s="2284"/>
      <c r="DX992" s="1924"/>
      <c r="DY992" s="1922">
        <f>+DY990+DY991</f>
      </c>
      <c r="DZ992" s="2284"/>
      <c r="EA992" s="2284"/>
      <c r="EB992" s="2284"/>
      <c r="EC992" s="1924"/>
      <c r="ED992" s="1922">
        <f>+ED990+ED991</f>
      </c>
      <c r="EE992" s="2284"/>
      <c r="EF992" s="2284"/>
      <c r="EG992" s="2305"/>
      <c r="EH992" s="2284"/>
      <c r="EI992" s="1927">
        <f t="shared" ref="EI992:EM992" si="2105">+EI990+EI991</f>
      </c>
      <c r="EJ992" s="1927">
        <f t="shared" si="2105"/>
      </c>
      <c r="EK992" s="1922">
        <f t="shared" si="2105"/>
      </c>
      <c r="EL992" s="1922">
        <f t="shared" si="2105"/>
      </c>
      <c r="EM992" s="1922">
        <f t="shared" si="2105"/>
      </c>
      <c r="EN992" s="1922">
        <f>+EN990+EN991</f>
      </c>
      <c r="EO992" s="1922"/>
      <c r="EP992" s="1922"/>
      <c r="EQ992" s="1922"/>
      <c r="ER992" s="1922"/>
      <c r="ES992" s="1922"/>
      <c r="ET992" s="1922"/>
      <c r="EU992" s="1922"/>
      <c r="EV992" s="1922"/>
      <c r="EW992" s="1922"/>
      <c r="EX992" s="1922"/>
    </row>
    <row r="993" spans="2:154" hidden="1" outlineLevel="1">
      <c r="B993" s="1068"/>
      <c r="C993" s="2280"/>
      <c r="D993" s="2281"/>
      <c r="E993" s="2281"/>
      <c r="F993" s="2281"/>
      <c r="G993" s="2281"/>
      <c r="H993" s="2281"/>
      <c r="I993" s="1069"/>
      <c r="J993" s="2281"/>
      <c r="K993" s="2281"/>
      <c r="L993" s="2281"/>
      <c r="M993" s="2281"/>
      <c r="N993" s="1069"/>
      <c r="O993" s="1069"/>
      <c r="P993" s="1069"/>
      <c r="Q993" s="1069"/>
      <c r="R993" s="1069"/>
      <c r="S993" s="1069"/>
      <c r="T993" s="1069"/>
      <c r="U993" s="1069"/>
      <c r="V993" s="1069"/>
      <c r="W993" s="1069"/>
      <c r="X993" s="1070"/>
      <c r="Y993" s="1069"/>
      <c r="Z993" s="1069"/>
      <c r="AA993" s="1069"/>
      <c r="AB993" s="1069"/>
      <c r="AC993" s="1070"/>
      <c r="AD993" s="1069"/>
      <c r="AE993" s="1069"/>
      <c r="AF993" s="1069"/>
      <c r="AG993" s="1069"/>
      <c r="AH993" s="1070"/>
      <c r="AI993" s="2281"/>
      <c r="AJ993" s="2281"/>
      <c r="AK993" s="2281"/>
      <c r="AL993" s="1069"/>
      <c r="AM993" s="1070"/>
      <c r="AN993" s="2281"/>
      <c r="AO993" s="2281"/>
      <c r="AP993" s="2281"/>
      <c r="AQ993" s="2281"/>
      <c r="AR993" s="1070"/>
      <c r="AS993" s="2281"/>
      <c r="AT993" s="2281"/>
      <c r="AU993" s="2281"/>
      <c r="AV993" s="2281"/>
      <c r="AW993" s="1070"/>
      <c r="AX993" s="2281"/>
      <c r="AY993" s="2281"/>
      <c r="AZ993" s="2281"/>
      <c r="BA993" s="2281"/>
      <c r="BB993" s="1070"/>
      <c r="BC993" s="2281"/>
      <c r="BD993" s="2281"/>
      <c r="BE993" s="2281"/>
      <c r="BF993" s="2281"/>
      <c r="BG993" s="1070"/>
      <c r="BH993" s="2281"/>
      <c r="BI993" s="2281"/>
      <c r="BJ993" s="2281"/>
      <c r="BK993" s="2281"/>
      <c r="BL993" s="1070"/>
      <c r="BM993" s="2281"/>
      <c r="BN993" s="2281"/>
      <c r="BO993" s="2281"/>
      <c r="BP993" s="2281"/>
      <c r="BQ993" s="1070"/>
      <c r="BR993" s="2281"/>
      <c r="BS993" s="2281"/>
      <c r="BT993" s="2281"/>
      <c r="BU993" s="2281"/>
      <c r="BV993" s="1070"/>
      <c r="BW993" s="2281"/>
      <c r="BX993" s="2281"/>
      <c r="BY993" s="2281"/>
      <c r="BZ993" s="2281"/>
      <c r="CA993" s="1070"/>
      <c r="CB993" s="2281"/>
      <c r="CC993" s="2281"/>
      <c r="CD993" s="2281"/>
      <c r="CE993" s="2281"/>
      <c r="CF993" s="1070"/>
      <c r="CG993" s="2281"/>
      <c r="CH993" s="2281"/>
      <c r="CI993" s="2281"/>
      <c r="CJ993" s="2281"/>
      <c r="CK993" s="1070"/>
      <c r="CL993" s="1072"/>
      <c r="CM993" s="2281"/>
      <c r="CN993" s="2281"/>
      <c r="CO993" s="2281"/>
      <c r="CP993" s="1070"/>
      <c r="CQ993" s="2281"/>
      <c r="CR993" s="2281"/>
      <c r="CS993" s="2281"/>
      <c r="CT993" s="1073"/>
      <c r="CU993" s="1074"/>
      <c r="CV993" s="2281"/>
      <c r="CW993" s="2281"/>
      <c r="CX993" s="2281"/>
      <c r="CY993" s="1073"/>
      <c r="CZ993" s="1074"/>
      <c r="DA993" s="2285"/>
      <c r="DB993" s="2286"/>
      <c r="DC993" s="2286"/>
      <c r="DD993" s="2287"/>
      <c r="DE993" s="1922"/>
      <c r="DF993" s="2288"/>
      <c r="DG993" s="2289"/>
      <c r="DH993" s="2289"/>
      <c r="DI993" s="2129"/>
      <c r="DJ993" s="1922"/>
      <c r="DK993" s="981"/>
      <c r="DL993" s="982"/>
      <c r="DM993" s="982"/>
      <c r="DN993" s="1875"/>
      <c r="DO993" s="1922"/>
      <c r="DP993" s="2289"/>
      <c r="DQ993" s="2289"/>
      <c r="DR993" s="2289"/>
      <c r="DS993" s="2289"/>
      <c r="DT993" s="1922"/>
      <c r="DU993" s="2289"/>
      <c r="DV993" s="2289"/>
      <c r="DW993" s="2289"/>
      <c r="DX993" s="2129"/>
      <c r="DY993" s="1922"/>
      <c r="DZ993" s="2289"/>
      <c r="EA993" s="2289"/>
      <c r="EB993" s="2289"/>
      <c r="EC993" s="2129"/>
      <c r="ED993" s="1922"/>
      <c r="EE993" s="2289"/>
      <c r="EF993" s="2289"/>
      <c r="EG993" s="2305"/>
      <c r="EH993" s="2289"/>
      <c r="EI993" s="1927"/>
      <c r="EJ993" s="1927"/>
      <c r="EK993" s="1922"/>
      <c r="EL993" s="1922"/>
      <c r="EM993" s="1922"/>
      <c r="EN993" s="1922"/>
      <c r="EO993" s="1922"/>
      <c r="EP993" s="1922"/>
      <c r="EQ993" s="1922"/>
      <c r="ER993" s="1922"/>
      <c r="ES993" s="1922"/>
      <c r="ET993" s="1922"/>
      <c r="EU993" s="1922"/>
      <c r="EV993" s="1922"/>
      <c r="EW993" s="1922"/>
      <c r="EX993" s="1922"/>
    </row>
    <row r="994" spans="2:154" hidden="1" outlineLevel="1">
      <c r="B994" s="1075" t="s">
        <v>498</v>
      </c>
      <c r="C994" s="2280"/>
      <c r="D994" s="2281"/>
      <c r="E994" s="2281"/>
      <c r="F994" s="2281"/>
      <c r="G994" s="2281"/>
      <c r="H994" s="2281"/>
      <c r="I994" s="1069"/>
      <c r="J994" s="2281"/>
      <c r="K994" s="2281"/>
      <c r="L994" s="2281"/>
      <c r="M994" s="2281"/>
      <c r="N994" s="1069"/>
      <c r="O994" s="1069"/>
      <c r="P994" s="1069"/>
      <c r="Q994" s="1069"/>
      <c r="R994" s="1069"/>
      <c r="S994" s="1069"/>
      <c r="T994" s="1069"/>
      <c r="U994" s="1069"/>
      <c r="V994" s="1069"/>
      <c r="W994" s="1069"/>
      <c r="X994" s="1070"/>
      <c r="Y994" s="1069"/>
      <c r="Z994" s="1069"/>
      <c r="AA994" s="1069"/>
      <c r="AB994" s="1069"/>
      <c r="AC994" s="1070"/>
      <c r="AD994" s="1069"/>
      <c r="AE994" s="1069"/>
      <c r="AF994" s="1069"/>
      <c r="AG994" s="1069"/>
      <c r="AH994" s="1070"/>
      <c r="AI994" s="2281"/>
      <c r="AJ994" s="2281"/>
      <c r="AK994" s="2281"/>
      <c r="AL994" s="1069"/>
      <c r="AM994" s="1070"/>
      <c r="AN994" s="2281"/>
      <c r="AO994" s="2281"/>
      <c r="AP994" s="2281"/>
      <c r="AQ994" s="2281"/>
      <c r="AR994" s="1070"/>
      <c r="AS994" s="2281"/>
      <c r="AT994" s="2281"/>
      <c r="AU994" s="2281"/>
      <c r="AV994" s="2281"/>
      <c r="AW994" s="1070"/>
      <c r="AX994" s="2281"/>
      <c r="AY994" s="2281"/>
      <c r="AZ994" s="2281"/>
      <c r="BA994" s="2281"/>
      <c r="BB994" s="1070"/>
      <c r="BC994" s="2281"/>
      <c r="BD994" s="2281"/>
      <c r="BE994" s="2281"/>
      <c r="BF994" s="2281"/>
      <c r="BG994" s="1070"/>
      <c r="BH994" s="2281"/>
      <c r="BI994" s="2281"/>
      <c r="BJ994" s="2281"/>
      <c r="BK994" s="2281"/>
      <c r="BL994" s="1070"/>
      <c r="BM994" s="2281"/>
      <c r="BN994" s="2281"/>
      <c r="BO994" s="2281"/>
      <c r="BP994" s="2281"/>
      <c r="BQ994" s="1070"/>
      <c r="BR994" s="2281"/>
      <c r="BS994" s="2281"/>
      <c r="BT994" s="2281"/>
      <c r="BU994" s="2281"/>
      <c r="BV994" s="1070"/>
      <c r="BW994" s="2281"/>
      <c r="BX994" s="2281"/>
      <c r="BY994" s="2281"/>
      <c r="BZ994" s="2281"/>
      <c r="CA994" s="1070"/>
      <c r="CB994" s="2281"/>
      <c r="CC994" s="2281"/>
      <c r="CD994" s="2281"/>
      <c r="CE994" s="2281"/>
      <c r="CF994" s="1070"/>
      <c r="CG994" s="2281"/>
      <c r="CH994" s="2281"/>
      <c r="CI994" s="2281"/>
      <c r="CJ994" s="2281"/>
      <c r="CK994" s="1070"/>
      <c r="CL994" s="1072"/>
      <c r="CM994" s="2281"/>
      <c r="CN994" s="2281"/>
      <c r="CO994" s="2281"/>
      <c r="CP994" s="1070"/>
      <c r="CQ994" s="2281"/>
      <c r="CR994" s="2281"/>
      <c r="CS994" s="2281"/>
      <c r="CT994" s="1073"/>
      <c r="CU994" s="1074"/>
      <c r="CV994" s="2281"/>
      <c r="CW994" s="2281"/>
      <c r="CX994" s="2281"/>
      <c r="CY994" s="1073"/>
      <c r="CZ994" s="1074"/>
      <c r="DA994" s="2285"/>
      <c r="DB994" s="2286"/>
      <c r="DC994" s="2286"/>
      <c r="DD994" s="2287"/>
      <c r="DE994" s="1922"/>
      <c r="DF994" s="2288"/>
      <c r="DG994" s="2289"/>
      <c r="DH994" s="2289"/>
      <c r="DI994" s="2129"/>
      <c r="DJ994" s="1922"/>
      <c r="DK994" s="981"/>
      <c r="DL994" s="982"/>
      <c r="DM994" s="982"/>
      <c r="DN994" s="1875"/>
      <c r="DO994" s="1922"/>
      <c r="DP994" s="2289"/>
      <c r="DQ994" s="2289"/>
      <c r="DR994" s="2289"/>
      <c r="DS994" s="2289"/>
      <c r="DT994" s="1922"/>
      <c r="DU994" s="2289"/>
      <c r="DV994" s="2289"/>
      <c r="DW994" s="2289"/>
      <c r="DX994" s="2129"/>
      <c r="DY994" s="1922"/>
      <c r="DZ994" s="2289"/>
      <c r="EA994" s="2289"/>
      <c r="EB994" s="2289"/>
      <c r="EC994" s="2129"/>
      <c r="ED994" s="1922"/>
      <c r="EE994" s="2289"/>
      <c r="EF994" s="2289"/>
      <c r="EG994" s="2305"/>
      <c r="EH994" s="2289"/>
      <c r="EI994" s="1927"/>
      <c r="EJ994" s="1927"/>
      <c r="EK994" s="1922"/>
      <c r="EL994" s="1922"/>
      <c r="EM994" s="1922"/>
      <c r="EN994" s="1922"/>
      <c r="EO994" s="1922"/>
      <c r="EP994" s="1922"/>
      <c r="EQ994" s="1922"/>
      <c r="ER994" s="1922"/>
      <c r="ES994" s="1922"/>
      <c r="ET994" s="1922"/>
      <c r="EU994" s="1922"/>
      <c r="EV994" s="1922"/>
      <c r="EW994" s="1922"/>
      <c r="EX994" s="1922"/>
    </row>
    <row r="995" spans="2:154" hidden="1" outlineLevel="1">
      <c r="B995" s="1076" t="s">
        <v>187</v>
      </c>
      <c r="C995" s="2280"/>
      <c r="D995" s="2281"/>
      <c r="E995" s="2281"/>
      <c r="F995" s="2281"/>
      <c r="G995" s="2281"/>
      <c r="H995" s="2281"/>
      <c r="I995" s="1069"/>
      <c r="J995" s="2281"/>
      <c r="K995" s="2281"/>
      <c r="L995" s="2281"/>
      <c r="M995" s="2281"/>
      <c r="N995" s="1069"/>
      <c r="O995" s="1069"/>
      <c r="P995" s="1069"/>
      <c r="Q995" s="1069"/>
      <c r="R995" s="1069"/>
      <c r="S995" s="1069"/>
      <c r="T995" s="1069"/>
      <c r="U995" s="1069"/>
      <c r="V995" s="1069"/>
      <c r="W995" s="1069"/>
      <c r="X995" s="1070"/>
      <c r="Y995" s="1069"/>
      <c r="Z995" s="1069"/>
      <c r="AA995" s="1069"/>
      <c r="AB995" s="1069"/>
      <c r="AC995" s="1070"/>
      <c r="AD995" s="1069"/>
      <c r="AE995" s="1069"/>
      <c r="AF995" s="1069"/>
      <c r="AG995" s="1069"/>
      <c r="AH995" s="1070"/>
      <c r="AI995" s="2281"/>
      <c r="AJ995" s="2281"/>
      <c r="AK995" s="2281"/>
      <c r="AL995" s="1069"/>
      <c r="AM995" s="1070"/>
      <c r="AN995" s="2281"/>
      <c r="AO995" s="2281"/>
      <c r="AP995" s="2281"/>
      <c r="AQ995" s="2281"/>
      <c r="AR995" s="1070"/>
      <c r="AS995" s="2281"/>
      <c r="AT995" s="2281"/>
      <c r="AU995" s="2281"/>
      <c r="AV995" s="2281"/>
      <c r="AW995" s="1070"/>
      <c r="AX995" s="2281"/>
      <c r="AY995" s="2281"/>
      <c r="AZ995" s="2281"/>
      <c r="BA995" s="2281"/>
      <c r="BB995" s="1070"/>
      <c r="BC995" s="2281"/>
      <c r="BD995" s="2281"/>
      <c r="BE995" s="2281"/>
      <c r="BF995" s="2281"/>
      <c r="BG995" s="1070"/>
      <c r="BH995" s="2281"/>
      <c r="BI995" s="2281"/>
      <c r="BJ995" s="2281"/>
      <c r="BK995" s="2281"/>
      <c r="BL995" s="1070"/>
      <c r="BM995" s="2282" t="str">
        <f t="shared" ref="BM995:BY996" si="2106">IF(BH990="NM","NM",IF(BM990="NM","NM",IF(BH990&lt;=0,"NM",IF(BM990=0,"NM",IF(ABS(BM990/BH990-1)&gt;2.5,"NM",IF((ABS(BM990-BH990)=ABS(ABS(BM990)-ABS(BH990))),(BM990/BH990-1),"NM"))))))</f>
      </c>
      <c r="BN995" s="2282" t="str">
        <f t="shared" si="2106"/>
      </c>
      <c r="BO995" s="2282" t="str">
        <f t="shared" si="2106"/>
      </c>
      <c r="BP995" s="2282" t="str">
        <f t="shared" si="2106"/>
      </c>
      <c r="BQ995" s="2290" t="str">
        <f t="shared" si="2106"/>
      </c>
      <c r="BR995" s="2282">
        <f t="shared" si="2106"/>
      </c>
      <c r="BS995" s="2282">
        <f t="shared" si="2106"/>
      </c>
      <c r="BT995" s="2282">
        <f t="shared" si="2106"/>
      </c>
      <c r="BU995" s="2282">
        <f>IF(BP990="NM","NM",IF(BU990="NM","NM",IF(BP990&lt;=0,"NM",IF(BU990=0,"NM",IF(ABS(BU990/BP990-1)&gt;2.5,"NM",IF((ABS(BU990-BP990)=ABS(ABS(BU990)-ABS(BP990))),(BU990/BP990-1),"NM"))))))</f>
      </c>
      <c r="BV995" s="2290">
        <f t="shared" si="2106"/>
      </c>
      <c r="BW995" s="2282">
        <f t="shared" si="2106"/>
      </c>
      <c r="BX995" s="2282">
        <f t="shared" si="2106"/>
      </c>
      <c r="BY995" s="2282">
        <f t="shared" si="2106"/>
      </c>
      <c r="BZ995" s="2282">
        <f>IF(BU990="NM","NM",IF(BZ990="NM","NM",IF(BU990&lt;=0,"NM",IF(BZ990=0,"NM",IF(ABS(BZ990/BU990-1)&gt;2.5,"NM",IF((ABS(BZ990-BU990)=ABS(ABS(BZ990)-ABS(BU990))),(BZ990/BU990-1),"NM"))))))</f>
      </c>
      <c r="CA995" s="2291">
        <f>IF(BV990="NM","NM",IF(CA990="NM","NM",IF(BV990&lt;=0,"NM",IF(CA990=0,"NM",IF(ABS(CA990/BV990-1)&gt;2.5,"NM",IF((ABS(CA990-BV990)=ABS(ABS(CA990)-ABS(BV990))),(CA990/BV990-1),"NM"))))))</f>
      </c>
      <c r="CB995" s="2282">
        <f t="shared" ref="CB995:CD996" si="2107">IF(BW990="NM","NM",IF(CB990="NM","NM",IF(BW990&lt;=0,"NM",IF(CB990=0,"NM",IF(ABS(CB990/BW990-1)&gt;2.5,"NM",IF((ABS(CB990-BW990)=ABS(ABS(CB990)-ABS(BW990))),(CB990/BW990-1),"NM"))))))</f>
      </c>
      <c r="CC995" s="2282">
        <f t="shared" si="2107"/>
      </c>
      <c r="CD995" s="2282">
        <f t="shared" si="2107"/>
      </c>
      <c r="CE995" s="2282">
        <f>IF(BZ990="NM","NM",IF(CE990="NM","NM",IF(BZ990&lt;=0,"NM",IF(CE990=0,"NM",IF(ABS(CE990/BZ990-1)&gt;2.5,"NM",IF((ABS(CE990-BZ990)=ABS(ABS(CE990)-ABS(BZ990))),(CE990/BZ990-1),"NM"))))))</f>
      </c>
      <c r="CF995" s="2291">
        <f>IF(CA990="NM","NM",IF(CF990="NM","NM",IF(CA990&lt;=0,"NM",IF(CF990=0,"NM",IF(ABS(CF990/CA990-1)&gt;2.5,"NM",IF((ABS(CF990-CA990)=ABS(ABS(CF990)-ABS(CA990))),(CF990/CA990-1),"NM"))))))</f>
      </c>
      <c r="CG995" s="2282">
        <f t="shared" ref="CG995:CI996" si="2108">IF(CB990="NM","NM",IF(CG990="NM","NM",IF(CB990&lt;=0,"NM",IF(CG990=0,"NM",IF(ABS(CG990/CB990-1)&gt;2.5,"NM",IF((ABS(CG990-CB990)=ABS(ABS(CG990)-ABS(CB990))),(CG990/CB990-1),"NM"))))))</f>
      </c>
      <c r="CH995" s="2282">
        <f t="shared" si="2108"/>
      </c>
      <c r="CI995" s="2282">
        <f t="shared" si="2108"/>
      </c>
      <c r="CJ995" s="2292">
        <v>0.03</v>
      </c>
      <c r="CK995" s="2290">
        <f>IF(CF990=0, 0, CK990/CF990-1)</f>
      </c>
      <c r="CL995" s="2307">
        <v>2.5000000000000001E-2</v>
      </c>
      <c r="CM995" s="2292">
        <v>2.5000000000000001E-2</v>
      </c>
      <c r="CN995" s="2292">
        <v>2.5000000000000001E-2</v>
      </c>
      <c r="CO995" s="2292">
        <v>0.03</v>
      </c>
      <c r="CP995" s="2290">
        <f>IF(CK990=0, 0, CP990/CK990-1)</f>
      </c>
      <c r="CQ995" s="2292">
        <v>2.5000000000000001E-2</v>
      </c>
      <c r="CR995" s="2292">
        <v>2.5000000000000001E-2</v>
      </c>
      <c r="CS995" s="2292">
        <v>2.5000000000000001E-2</v>
      </c>
      <c r="CT995" s="2294">
        <v>2.5000000000000001E-2</v>
      </c>
      <c r="CU995" s="2290">
        <f>IF(CP990=0, 0, CU990/CP990-1)</f>
      </c>
      <c r="CV995" s="2292">
        <v>2.5000000000000001E-2</v>
      </c>
      <c r="CW995" s="2292">
        <v>1.4999999999999999E-2</v>
      </c>
      <c r="CX995" s="2292">
        <v>1.4999999999999999E-2</v>
      </c>
      <c r="CY995" s="2294">
        <v>2.5000000000000001E-2</v>
      </c>
      <c r="CZ995" s="2290">
        <f>IF(CU990=0, 0, CZ990/CU990-1)</f>
      </c>
      <c r="DA995" s="2296">
        <v>0.02</v>
      </c>
      <c r="DB995" s="2297">
        <v>0.02</v>
      </c>
      <c r="DC995" s="2297">
        <v>0.02</v>
      </c>
      <c r="DD995" s="2298">
        <f>IF(DD990=0,"NM",+DD990/CY990-1)</f>
      </c>
      <c r="DE995" s="2293">
        <v>0.02</v>
      </c>
      <c r="DF995" s="2296"/>
      <c r="DG995" s="2297"/>
      <c r="DH995" s="2297"/>
      <c r="DI995" s="2298"/>
      <c r="DJ995" s="2294">
        <v>0.02</v>
      </c>
      <c r="DK995" s="828"/>
      <c r="DL995" s="361"/>
      <c r="DM995" s="361"/>
      <c r="DN995" s="927"/>
      <c r="DO995" s="2294">
        <v>0.02</v>
      </c>
      <c r="DP995" s="2297"/>
      <c r="DQ995" s="2297"/>
      <c r="DR995" s="2297"/>
      <c r="DS995" s="3111"/>
      <c r="DT995" s="2293">
        <v>0.02</v>
      </c>
      <c r="DU995" s="3111">
        <v>0.02</v>
      </c>
      <c r="DV995" s="2297"/>
      <c r="DW995" s="2297"/>
      <c r="DX995" s="3306"/>
      <c r="DY995" s="3308"/>
      <c r="DZ995" s="2297"/>
      <c r="EA995" s="2297"/>
      <c r="EB995" s="2297"/>
      <c r="EC995" s="3306"/>
      <c r="ED995" s="3308"/>
      <c r="EE995" s="2297"/>
      <c r="EF995" s="2297"/>
      <c r="EG995" s="2292"/>
      <c r="EH995" s="3111"/>
      <c r="EI995" s="2307">
        <v>0.02</v>
      </c>
      <c r="EJ995" s="2292">
        <v>0.02</v>
      </c>
      <c r="EK995" s="2294">
        <v>0.02</v>
      </c>
      <c r="EL995" s="2294">
        <v>0.02</v>
      </c>
      <c r="EM995" s="2294">
        <v>0.02</v>
      </c>
      <c r="EN995" s="2294">
        <v>0.02</v>
      </c>
      <c r="EO995" s="2293"/>
      <c r="EP995" s="2293"/>
      <c r="EQ995" s="2293"/>
      <c r="ER995" s="2293"/>
      <c r="ES995" s="2293"/>
      <c r="ET995" s="2293"/>
      <c r="EU995" s="2293"/>
      <c r="EV995" s="2293"/>
      <c r="EW995" s="2293"/>
      <c r="EX995" s="2293"/>
    </row>
    <row r="996" spans="2:154" hidden="1" outlineLevel="1">
      <c r="B996" s="1076" t="s">
        <v>412</v>
      </c>
      <c r="C996" s="2280"/>
      <c r="D996" s="2281"/>
      <c r="E996" s="2281"/>
      <c r="F996" s="2281"/>
      <c r="G996" s="2281"/>
      <c r="H996" s="2281"/>
      <c r="I996" s="1069"/>
      <c r="J996" s="2281"/>
      <c r="K996" s="2281"/>
      <c r="L996" s="2281"/>
      <c r="M996" s="2281"/>
      <c r="N996" s="1069"/>
      <c r="O996" s="1069"/>
      <c r="P996" s="1069"/>
      <c r="Q996" s="1069"/>
      <c r="R996" s="1069"/>
      <c r="S996" s="1069"/>
      <c r="T996" s="1069"/>
      <c r="U996" s="1069"/>
      <c r="V996" s="1069"/>
      <c r="W996" s="1069"/>
      <c r="X996" s="1070"/>
      <c r="Y996" s="1069"/>
      <c r="Z996" s="1069"/>
      <c r="AA996" s="1069"/>
      <c r="AB996" s="1069"/>
      <c r="AC996" s="1070"/>
      <c r="AD996" s="1069"/>
      <c r="AE996" s="1069"/>
      <c r="AF996" s="1069"/>
      <c r="AG996" s="1069"/>
      <c r="AH996" s="1070"/>
      <c r="AI996" s="2281"/>
      <c r="AJ996" s="2281"/>
      <c r="AK996" s="2281"/>
      <c r="AL996" s="1069"/>
      <c r="AM996" s="1070"/>
      <c r="AN996" s="2281"/>
      <c r="AO996" s="2281"/>
      <c r="AP996" s="2281"/>
      <c r="AQ996" s="2281"/>
      <c r="AR996" s="1070"/>
      <c r="AS996" s="2281"/>
      <c r="AT996" s="2281"/>
      <c r="AU996" s="2281"/>
      <c r="AV996" s="2281"/>
      <c r="AW996" s="1070"/>
      <c r="AX996" s="2281"/>
      <c r="AY996" s="2281"/>
      <c r="AZ996" s="2281"/>
      <c r="BA996" s="2281"/>
      <c r="BB996" s="1070"/>
      <c r="BC996" s="2281"/>
      <c r="BD996" s="2281"/>
      <c r="BE996" s="2281"/>
      <c r="BF996" s="2281"/>
      <c r="BG996" s="1070"/>
      <c r="BH996" s="2281"/>
      <c r="BI996" s="2281"/>
      <c r="BJ996" s="2281"/>
      <c r="BK996" s="2281"/>
      <c r="BL996" s="1070"/>
      <c r="BM996" s="2282" t="str">
        <f t="shared" si="2106"/>
      </c>
      <c r="BN996" s="2282" t="str">
        <f t="shared" si="2106"/>
      </c>
      <c r="BO996" s="2282" t="str">
        <f t="shared" si="2106"/>
      </c>
      <c r="BP996" s="2282" t="str">
        <f t="shared" si="2106"/>
      </c>
      <c r="BQ996" s="2290" t="str">
        <f t="shared" si="2106"/>
      </c>
      <c r="BR996" s="2282">
        <f t="shared" si="2106"/>
      </c>
      <c r="BS996" s="2282">
        <f t="shared" si="2106"/>
      </c>
      <c r="BT996" s="2282">
        <f t="shared" si="2106"/>
      </c>
      <c r="BU996" s="2282">
        <f>IF(BP991="NM","NM",IF(BU991="NM","NM",IF(BP991&lt;=0,"NM",IF(BU991=0,"NM",IF(ABS(BU991/BP991-1)&gt;2.5,"NM",IF((ABS(BU991-BP991)=ABS(ABS(BU991)-ABS(BP991))),(BU991/BP991-1),"NM"))))))</f>
      </c>
      <c r="BV996" s="2290">
        <f t="shared" si="2106"/>
      </c>
      <c r="BW996" s="2282">
        <f t="shared" si="2106"/>
      </c>
      <c r="BX996" s="2282">
        <f t="shared" si="2106"/>
      </c>
      <c r="BY996" s="2282">
        <f t="shared" si="2106"/>
      </c>
      <c r="BZ996" s="2282">
        <f>IF(BU991="NM","NM",IF(BZ991="NM","NM",IF(BU991&lt;=0,"NM",IF(BZ991=0,"NM",IF(ABS(BZ991/BU991-1)&gt;2.5,"NM",IF((ABS(BZ991-BU991)=ABS(ABS(BZ991)-ABS(BU991))),(BZ991/BU991-1),"NM"))))))</f>
      </c>
      <c r="CA996" s="2290">
        <f>IF(BV991="NM","NM",IF(CA991="NM","NM",IF(BV991&lt;=0,"NM",IF(CA991=0,"NM",IF(ABS(CA991/BV991-1)&gt;2.5,"NM",IF((ABS(CA991-BV991)=ABS(ABS(CA991)-ABS(BV991))),(CA991/BV991-1),"NM"))))))</f>
      </c>
      <c r="CB996" s="2282">
        <f t="shared" si="2107"/>
      </c>
      <c r="CC996" s="2282">
        <f t="shared" si="2107"/>
      </c>
      <c r="CD996" s="2282">
        <f t="shared" si="2107"/>
      </c>
      <c r="CE996" s="2282">
        <f>IF(BZ991="NM","NM",IF(CE991="NM","NM",IF(BZ991&lt;=0,"NM",IF(CE991=0,"NM",IF(ABS(CE991/BZ991-1)&gt;2.5,"NM",IF((ABS(CE991-BZ991)=ABS(ABS(CE991)-ABS(BZ991))),(CE991/BZ991-1),"NM"))))))</f>
      </c>
      <c r="CF996" s="2290">
        <f>IF(CA991="NM","NM",IF(CF991="NM","NM",IF(CA991&lt;=0,"NM",IF(CF991=0,"NM",IF(ABS(CF991/CA991-1)&gt;2.5,"NM",IF((ABS(CF991-CA991)=ABS(ABS(CF991)-ABS(CA991))),(CF991/CA991-1),"NM"))))))</f>
      </c>
      <c r="CG996" s="2282">
        <f t="shared" si="2108"/>
      </c>
      <c r="CH996" s="2282">
        <f t="shared" si="2108"/>
      </c>
      <c r="CI996" s="2282">
        <f t="shared" si="2108"/>
      </c>
      <c r="CJ996" s="2282">
        <f>CJ997+CJ$21</f>
      </c>
      <c r="CK996" s="2290">
        <f>IF(CF991=0, "NA", CK991/CF991-1)</f>
      </c>
      <c r="CL996" s="1092">
        <f>CL997+CL$21</f>
      </c>
      <c r="CM996" s="2282">
        <f>CM997+CM$21</f>
      </c>
      <c r="CN996" s="2282">
        <f>CN997+CN$21</f>
      </c>
      <c r="CO996" s="2282">
        <f>CO997+CO$21</f>
      </c>
      <c r="CP996" s="2290">
        <f>IF(CK991=0, "NA", CP991/CK991-1)</f>
      </c>
      <c r="CQ996" s="2282">
        <f>CQ997+CQ$21</f>
      </c>
      <c r="CR996" s="2282">
        <f>CR997+CR$21</f>
      </c>
      <c r="CS996" s="2282">
        <f>CS997+CS$21</f>
      </c>
      <c r="CT996" s="1093">
        <f>CT997+CT$21</f>
      </c>
      <c r="CU996" s="2290">
        <f>IF(CP991=0, "NA", CU991/CP991-1)</f>
      </c>
      <c r="CV996" s="2282">
        <f>CV997+CV$21</f>
      </c>
      <c r="CW996" s="2282">
        <f>CW997+CW$21</f>
      </c>
      <c r="CX996" s="2282">
        <f>CX997+CX$21</f>
      </c>
      <c r="CY996" s="1093">
        <f>CY997+CY$21</f>
      </c>
      <c r="CZ996" s="2290">
        <f>IF(CU991=0, "NA", CZ991/CU991-1)</f>
      </c>
      <c r="DA996" s="1328">
        <f>DA997+DA$21</f>
      </c>
      <c r="DB996" s="2299">
        <f>DB997+DB$21</f>
      </c>
      <c r="DC996" s="2299">
        <f>DC997+DC$21</f>
      </c>
      <c r="DD996" s="1348">
        <f>IF(DD991=0, "NM", DD991/CY991-1)</f>
      </c>
      <c r="DE996" s="2290">
        <f>DE997+DE$21</f>
      </c>
      <c r="DF996" s="1925"/>
      <c r="DG996" s="2300"/>
      <c r="DH996" s="2300"/>
      <c r="DI996" s="1926"/>
      <c r="DJ996" s="2290">
        <f>DJ997+DJ$21</f>
      </c>
      <c r="DK996" s="958"/>
      <c r="DL996" s="926"/>
      <c r="DM996" s="926"/>
      <c r="DN996" s="928"/>
      <c r="DO996" s="2290">
        <f>DO997+DO$21</f>
      </c>
      <c r="DP996" s="2300"/>
      <c r="DQ996" s="2300"/>
      <c r="DR996" s="2300"/>
      <c r="DS996" s="2300"/>
      <c r="DT996" s="2290">
        <f>DT997+DT$21</f>
      </c>
      <c r="DU996" s="2300">
        <f>DU997+DU$21</f>
      </c>
      <c r="DV996" s="2300"/>
      <c r="DW996" s="2300"/>
      <c r="DX996" s="1926"/>
      <c r="DY996" s="2290">
        <f>DY997+DY$21</f>
      </c>
      <c r="DZ996" s="2300"/>
      <c r="EA996" s="2300"/>
      <c r="EB996" s="2300"/>
      <c r="EC996" s="1926"/>
      <c r="ED996" s="2290">
        <f>ED997+ED$21</f>
      </c>
      <c r="EE996" s="2300"/>
      <c r="EF996" s="2300"/>
      <c r="EG996" s="2282"/>
      <c r="EH996" s="2300"/>
      <c r="EI996" s="1092">
        <f t="shared" ref="EI996:EN996" si="2109">EI997+EI$21</f>
      </c>
      <c r="EJ996" s="1092">
        <f t="shared" si="2109"/>
      </c>
      <c r="EK996" s="2290">
        <f t="shared" si="2109"/>
      </c>
      <c r="EL996" s="2290">
        <f t="shared" si="2109"/>
      </c>
      <c r="EM996" s="2290">
        <f t="shared" si="2109"/>
      </c>
      <c r="EN996" s="2290">
        <f t="shared" si="2109"/>
      </c>
      <c r="EO996" s="2290"/>
      <c r="EP996" s="2290"/>
      <c r="EQ996" s="2290"/>
      <c r="ER996" s="2290"/>
      <c r="ES996" s="2290"/>
      <c r="ET996" s="2290"/>
      <c r="EU996" s="2290"/>
      <c r="EV996" s="2290"/>
      <c r="EW996" s="2290"/>
      <c r="EX996" s="2290"/>
    </row>
    <row r="997" spans="2:154" hidden="1" outlineLevel="1">
      <c r="B997" s="1076" t="s">
        <v>256</v>
      </c>
      <c r="C997" s="2280"/>
      <c r="D997" s="2281"/>
      <c r="E997" s="2281"/>
      <c r="F997" s="2281"/>
      <c r="G997" s="2281"/>
      <c r="H997" s="2281"/>
      <c r="I997" s="1069"/>
      <c r="J997" s="2281"/>
      <c r="K997" s="2281"/>
      <c r="L997" s="2281"/>
      <c r="M997" s="2281"/>
      <c r="N997" s="1069"/>
      <c r="O997" s="1069"/>
      <c r="P997" s="1069"/>
      <c r="Q997" s="1069"/>
      <c r="R997" s="1069"/>
      <c r="S997" s="1069"/>
      <c r="T997" s="1069"/>
      <c r="U997" s="1069"/>
      <c r="V997" s="1069"/>
      <c r="W997" s="1069"/>
      <c r="X997" s="1070"/>
      <c r="Y997" s="1069"/>
      <c r="Z997" s="1069"/>
      <c r="AA997" s="1069"/>
      <c r="AB997" s="1069"/>
      <c r="AC997" s="1070"/>
      <c r="AD997" s="1069"/>
      <c r="AE997" s="1069"/>
      <c r="AF997" s="1069"/>
      <c r="AG997" s="1069"/>
      <c r="AH997" s="1070"/>
      <c r="AI997" s="2281"/>
      <c r="AJ997" s="2281"/>
      <c r="AK997" s="2281"/>
      <c r="AL997" s="1069"/>
      <c r="AM997" s="1070"/>
      <c r="AN997" s="2281"/>
      <c r="AO997" s="2281"/>
      <c r="AP997" s="2281"/>
      <c r="AQ997" s="2281"/>
      <c r="AR997" s="1070"/>
      <c r="AS997" s="2281"/>
      <c r="AT997" s="2281"/>
      <c r="AU997" s="2281"/>
      <c r="AV997" s="2281"/>
      <c r="AW997" s="1070"/>
      <c r="AX997" s="2281"/>
      <c r="AY997" s="2281"/>
      <c r="AZ997" s="2281"/>
      <c r="BA997" s="2281"/>
      <c r="BB997" s="1070"/>
      <c r="BC997" s="2281"/>
      <c r="BD997" s="2281"/>
      <c r="BE997" s="2281"/>
      <c r="BF997" s="2281"/>
      <c r="BG997" s="1070"/>
      <c r="BH997" s="2281"/>
      <c r="BI997" s="2281"/>
      <c r="BJ997" s="2281"/>
      <c r="BK997" s="2281"/>
      <c r="BL997" s="1070"/>
      <c r="BM997" s="2282" t="str">
        <f>IF(ISNUMBER(BM996),(1+BM996)/(1+BM$21)-1,"NM")</f>
      </c>
      <c r="BN997" s="2282" t="str">
        <f>IF(ISNUMBER(BN996),(1+BN996)/(1+BN$21)-1,"NM")</f>
      </c>
      <c r="BO997" s="2282" t="str">
        <f>IF(ISNUMBER(BO996),(1+BO996)/(1+BO$21)-1,"NM")</f>
      </c>
      <c r="BP997" s="2301" t="str">
        <f>IF(ISNUMBER(BP996),(1+BP996)/(1+BP$21)-1,"NM")</f>
      </c>
      <c r="BQ997" s="2290" t="str">
        <f>IF(ISNUMBER(BQ996),(1+BQ996)/(1+BQ$21)-1,"NM")</f>
      </c>
      <c r="BR997" s="1077">
        <v>9.2999999999999999E-2</v>
      </c>
      <c r="BS997" s="1077">
        <v>7.5999999999999998E-2</v>
      </c>
      <c r="BT997" s="1077">
        <v>9.0999999999999998E-2</v>
      </c>
      <c r="BU997" s="1077">
        <v>9.5000000000000001E-2</v>
      </c>
      <c r="BV997" s="1078">
        <v>8.8999999999999996E-2</v>
      </c>
      <c r="BW997" s="1077">
        <v>4.7E-2</v>
      </c>
      <c r="BX997" s="1077">
        <v>7.4999999999999997E-2</v>
      </c>
      <c r="BY997" s="1077">
        <v>9.1999999999999998E-2</v>
      </c>
      <c r="BZ997" s="2294">
        <v>0.107</v>
      </c>
      <c r="CA997" s="1078">
        <v>8.1000000000000003E-2</v>
      </c>
      <c r="CB997" s="2282">
        <f>IF(ISNUMBER(CB996),(1+CB996)/(1+CB$21)-1,"NM")</f>
      </c>
      <c r="CC997" s="2282">
        <f>IF(ISNUMBER(CC996),(1+CC996)/(1+CC$21)-1,"NM")</f>
      </c>
      <c r="CD997" s="2282">
        <f>IF(ISNUMBER(CD996),(1+CD996)/(1+CD$21)-1,"NM")</f>
      </c>
      <c r="CE997" s="1093">
        <f>IF(ISNUMBER(CE996),(1+CE996)/(1+CE$21)-1,"NM")</f>
      </c>
      <c r="CF997" s="1078">
        <v>4.9000000000000002E-2</v>
      </c>
      <c r="CG997" s="1077">
        <v>3.5000000000000003E-2</v>
      </c>
      <c r="CH997" s="1077">
        <v>5.6000000000000001E-2</v>
      </c>
      <c r="CI997" s="1077">
        <v>5.0999999999999997E-2</v>
      </c>
      <c r="CJ997" s="2292">
        <v>0.03</v>
      </c>
      <c r="CK997" s="2291">
        <f>CK996-CK$21</f>
      </c>
      <c r="CL997" s="2307">
        <v>0.03</v>
      </c>
      <c r="CM997" s="2292">
        <v>0.03</v>
      </c>
      <c r="CN997" s="2292">
        <v>0.03</v>
      </c>
      <c r="CO997" s="2292">
        <v>0.03</v>
      </c>
      <c r="CP997" s="2291">
        <f>CP996-CP$21</f>
      </c>
      <c r="CQ997" s="2292">
        <v>0.03</v>
      </c>
      <c r="CR997" s="2292">
        <v>0.03</v>
      </c>
      <c r="CS997" s="2292">
        <v>0.03</v>
      </c>
      <c r="CT997" s="2294">
        <v>0.03</v>
      </c>
      <c r="CU997" s="2291">
        <f>CU996-CU$21</f>
      </c>
      <c r="CV997" s="2292">
        <v>0.03</v>
      </c>
      <c r="CW997" s="2292">
        <v>0.02</v>
      </c>
      <c r="CX997" s="2292">
        <v>0.02</v>
      </c>
      <c r="CY997" s="2294">
        <v>0.03</v>
      </c>
      <c r="CZ997" s="2291">
        <f>CZ996-CZ$21</f>
      </c>
      <c r="DA997" s="2296">
        <v>2.4E-2</v>
      </c>
      <c r="DB997" s="2297">
        <v>2.4E-2</v>
      </c>
      <c r="DC997" s="2297">
        <v>2.4E-2</v>
      </c>
      <c r="DD997" s="2298">
        <f>IF(DD991=0, "NM",DD996-DD$21)</f>
      </c>
      <c r="DE997" s="2293">
        <v>2.4E-2</v>
      </c>
      <c r="DF997" s="2296"/>
      <c r="DG997" s="2297"/>
      <c r="DH997" s="2297"/>
      <c r="DI997" s="2298"/>
      <c r="DJ997" s="2294">
        <v>2.1999999999999999E-2</v>
      </c>
      <c r="DK997" s="828"/>
      <c r="DL997" s="361"/>
      <c r="DM997" s="361"/>
      <c r="DN997" s="927"/>
      <c r="DO997" s="2294">
        <v>2.1999999999999999E-2</v>
      </c>
      <c r="DP997" s="2297"/>
      <c r="DQ997" s="2297"/>
      <c r="DR997" s="2297"/>
      <c r="DS997" s="3111"/>
      <c r="DT997" s="2293">
        <v>0.02</v>
      </c>
      <c r="DU997" s="3111">
        <v>0.02</v>
      </c>
      <c r="DV997" s="2297"/>
      <c r="DW997" s="2297"/>
      <c r="DX997" s="3306"/>
      <c r="DY997" s="3308"/>
      <c r="DZ997" s="2297"/>
      <c r="EA997" s="2297"/>
      <c r="EB997" s="2297"/>
      <c r="EC997" s="3306"/>
      <c r="ED997" s="3308"/>
      <c r="EE997" s="2297"/>
      <c r="EF997" s="2297"/>
      <c r="EG997" s="2292"/>
      <c r="EH997" s="3111"/>
      <c r="EI997" s="2307">
        <v>0.02</v>
      </c>
      <c r="EJ997" s="2292">
        <v>0.02</v>
      </c>
      <c r="EK997" s="2294">
        <v>0.02</v>
      </c>
      <c r="EL997" s="2294">
        <v>0.02</v>
      </c>
      <c r="EM997" s="2294">
        <v>0.02</v>
      </c>
      <c r="EN997" s="2294">
        <v>0.02</v>
      </c>
      <c r="EO997" s="2293"/>
      <c r="EP997" s="2293"/>
      <c r="EQ997" s="2293"/>
      <c r="ER997" s="2293"/>
      <c r="ES997" s="2293"/>
      <c r="ET997" s="2293"/>
      <c r="EU997" s="2293"/>
      <c r="EV997" s="2293"/>
      <c r="EW997" s="2293"/>
      <c r="EX997" s="2293"/>
    </row>
    <row r="998" spans="2:154" hidden="1" outlineLevel="1">
      <c r="B998" s="1076" t="s">
        <v>413</v>
      </c>
      <c r="C998" s="2280"/>
      <c r="D998" s="2281"/>
      <c r="E998" s="2281"/>
      <c r="F998" s="2281"/>
      <c r="G998" s="2281"/>
      <c r="H998" s="2281"/>
      <c r="I998" s="1069"/>
      <c r="J998" s="2281"/>
      <c r="K998" s="2281"/>
      <c r="L998" s="2281"/>
      <c r="M998" s="2281"/>
      <c r="N998" s="1069"/>
      <c r="O998" s="1069"/>
      <c r="P998" s="1069"/>
      <c r="Q998" s="1069"/>
      <c r="R998" s="1069"/>
      <c r="S998" s="1069"/>
      <c r="T998" s="1069"/>
      <c r="U998" s="1069"/>
      <c r="V998" s="1069"/>
      <c r="W998" s="1069"/>
      <c r="X998" s="1070"/>
      <c r="Y998" s="1069"/>
      <c r="Z998" s="1069"/>
      <c r="AA998" s="1069"/>
      <c r="AB998" s="1069"/>
      <c r="AC998" s="1070"/>
      <c r="AD998" s="1069"/>
      <c r="AE998" s="1069"/>
      <c r="AF998" s="1069"/>
      <c r="AG998" s="1069"/>
      <c r="AH998" s="1070"/>
      <c r="AI998" s="2281"/>
      <c r="AJ998" s="2281"/>
      <c r="AK998" s="2281"/>
      <c r="AL998" s="1069"/>
      <c r="AM998" s="1070"/>
      <c r="AN998" s="2281"/>
      <c r="AO998" s="2281"/>
      <c r="AP998" s="2281"/>
      <c r="AQ998" s="2281"/>
      <c r="AR998" s="1070"/>
      <c r="AS998" s="2281"/>
      <c r="AT998" s="2281"/>
      <c r="AU998" s="2281"/>
      <c r="AV998" s="2281"/>
      <c r="AW998" s="1070"/>
      <c r="AX998" s="2281"/>
      <c r="AY998" s="2281"/>
      <c r="AZ998" s="2281"/>
      <c r="BA998" s="2281"/>
      <c r="BB998" s="1070"/>
      <c r="BC998" s="2281"/>
      <c r="BD998" s="2281"/>
      <c r="BE998" s="2281"/>
      <c r="BF998" s="2281"/>
      <c r="BG998" s="1070"/>
      <c r="BH998" s="2281"/>
      <c r="BI998" s="2281"/>
      <c r="BJ998" s="2281"/>
      <c r="BK998" s="2281"/>
      <c r="BL998" s="1070"/>
      <c r="BM998" s="2282" t="str">
        <f t="shared" ref="BM998:CH998" si="2110">IF(BH992="NM","NM",IF(BM992="NM","NM",IF(BH992&lt;=0,"NM",IF(BM992=0,"NM",IF(ABS(BM992/BH992-1)&gt;2.5,"NM",IF((ABS(BM992-BH992)=ABS(ABS(BM992)-ABS(BH992))),(BM992/BH992-1),"NM"))))))</f>
      </c>
      <c r="BN998" s="2282" t="str">
        <f t="shared" si="2110"/>
      </c>
      <c r="BO998" s="2282" t="str">
        <f t="shared" si="2110"/>
      </c>
      <c r="BP998" s="2282" t="str">
        <f t="shared" si="2110"/>
      </c>
      <c r="BQ998" s="2290" t="str">
        <f t="shared" si="2110"/>
      </c>
      <c r="BR998" s="2282">
        <f t="shared" si="2110"/>
      </c>
      <c r="BS998" s="2282">
        <f t="shared" si="2110"/>
      </c>
      <c r="BT998" s="2282">
        <f t="shared" si="2110"/>
      </c>
      <c r="BU998" s="2282">
        <f>IF(BP992="NM","NM",IF(BU992="NM","NM",IF(BP992&lt;=0,"NM",IF(BU992=0,"NM",IF(ABS(BU992/BP992-1)&gt;2.5,"NM",IF((ABS(BU992-BP992)=ABS(ABS(BU992)-ABS(BP992))),(BU992/BP992-1),"NM"))))))</f>
      </c>
      <c r="BV998" s="2290">
        <f>IF(BQ992="NM","NM",IF(BV992="NM","NM",IF(BQ992&lt;=0,"NM",IF(BV992=0,"NM",IF(ABS(BV992/BQ992-1)&gt;2.5,"NM",IF((ABS(BV992-BQ992)=ABS(ABS(BV992)-ABS(BQ992))),(BV992/BQ992-1),"NM"))))))</f>
      </c>
      <c r="BW998" s="2282">
        <f t="shared" si="2110"/>
      </c>
      <c r="BX998" s="2282">
        <f t="shared" si="2110"/>
      </c>
      <c r="BY998" s="2282">
        <f t="shared" si="2110"/>
      </c>
      <c r="BZ998" s="2282">
        <f>IF(BU992="NM","NM",IF(BZ992="NM","NM",IF(BU992&lt;=0,"NM",IF(BZ992=0,"NM",IF(ABS(BZ992/BU992-1)&gt;2.5,"NM",IF((ABS(BZ992-BU992)=ABS(ABS(BZ992)-ABS(BU992))),(BZ992/BU992-1),"NM"))))))</f>
      </c>
      <c r="CA998" s="2290">
        <f>IF(BV992="NM","NM",IF(CA992="NM","NM",IF(BV992&lt;=0,"NM",IF(CA992=0,"NM",IF(ABS(CA992/BV992-1)&gt;2.5,"NM",IF((ABS(CA992-BV992)=ABS(ABS(CA992)-ABS(BV992))),(CA992/BV992-1),"NM"))))))</f>
      </c>
      <c r="CB998" s="2282">
        <f t="shared" si="2110"/>
      </c>
      <c r="CC998" s="2282">
        <f t="shared" si="2110"/>
      </c>
      <c r="CD998" s="2282">
        <f>IF(BY992="NM","NM",IF(CD992="NM","NM",IF(BY992&lt;=0,"NM",IF(CD992=0,"NM",IF(ABS(CD992/BY992-1)&gt;2.5,"NM",IF((ABS(CD992-BY992)=ABS(ABS(CD992)-ABS(BY992))),(CD992/BY992-1),"NM"))))))</f>
      </c>
      <c r="CE998" s="2282">
        <f>IF(BZ992="NM","NM",IF(CE992="NM","NM",IF(BZ992&lt;=0,"NM",IF(CE992=0,"NM",IF(ABS(CE992/BZ992-1)&gt;2.5,"NM",IF((ABS(CE992-BZ992)=ABS(ABS(CE992)-ABS(BZ992))),(CE992/BZ992-1),"NM"))))))</f>
      </c>
      <c r="CF998" s="2290">
        <f>IF(CA992="NM","NM",IF(CF992="NM","NM",IF(CA992&lt;=0,"NM",IF(CF992=0,"NM",IF(ABS(CF992/CA992-1)&gt;2.5,"NM",IF((ABS(CF992-CA992)=ABS(ABS(CF992)-ABS(CA992))),(CF992/CA992-1),"NM"))))))</f>
      </c>
      <c r="CG998" s="2282">
        <f t="shared" si="2110"/>
      </c>
      <c r="CH998" s="2282">
        <f t="shared" si="2110"/>
      </c>
      <c r="CI998" s="2282">
        <f>IF(CD992="NM","NM",IF(CI992="NM","NM",IF(CD992&lt;=0,"NM",IF(CI992=0,"NM",IF(ABS(CI992/CD992-1)&gt;2.5,"NM",IF((ABS(CI992-CD992)=ABS(ABS(CI992)-ABS(CD992))),(CI992/CD992-1),"NM"))))))</f>
      </c>
      <c r="CJ998" s="2282">
        <f>IF(CJ992&lt;=0,0,(CJ992/CE992-1))</f>
      </c>
      <c r="CK998" s="2290">
        <f>IF(CF992=0, "NA", CK992/CF992-1)</f>
      </c>
      <c r="CL998" s="1092">
        <f>IF(CL992&lt;=0,0,(CL992/CG992-1))</f>
      </c>
      <c r="CM998" s="2282">
        <f>IF(CM992&lt;=0,0,(CM992/CH992-1))</f>
      </c>
      <c r="CN998" s="2282">
        <f>IF(CN992&lt;=0,0,(CN992/CI992-1))</f>
      </c>
      <c r="CO998" s="2282">
        <f>IF(CO992&lt;=0,0,(CO992/CJ992-1))</f>
      </c>
      <c r="CP998" s="2290">
        <f>IF(CK992=0, "NA", CP992/CK992-1)</f>
      </c>
      <c r="CQ998" s="2282">
        <f>IF(CQ992&lt;=0,0,(CQ992/CL992-1))</f>
      </c>
      <c r="CR998" s="2282">
        <f>IF(CR992&lt;=0,0,(CR992/CM992-1))</f>
      </c>
      <c r="CS998" s="2282">
        <f>IF(CS992&lt;=0,0,(CS992/CN992-1))</f>
      </c>
      <c r="CT998" s="1093">
        <f>IF(CT992&lt;=0,0,(CT992/CO992-1))</f>
      </c>
      <c r="CU998" s="2290">
        <f>IF(CP992=0, "NA", CU992/CP992-1)</f>
      </c>
      <c r="CV998" s="2282">
        <f>IF(CV992&lt;=0,0,(CV992/CQ992-1))</f>
      </c>
      <c r="CW998" s="2282">
        <f>IF(CW992&lt;=0,0,(CW992/CR992-1))</f>
      </c>
      <c r="CX998" s="2282">
        <f>IF(CX992&lt;=0,0,(CX992/CS992-1))</f>
      </c>
      <c r="CY998" s="1093">
        <f>IF(CY992&lt;=0,0,(CY992/CT992-1))</f>
      </c>
      <c r="CZ998" s="2290">
        <f>IF(CU992=0, "NA", CZ992/CU992-1)</f>
      </c>
      <c r="DA998" s="1925">
        <f>IF(CV992=0, "NA", DA992/CV992-1)</f>
      </c>
      <c r="DB998" s="2300">
        <f>IF(CW992=0, "NA", DB992/CW992-1)</f>
      </c>
      <c r="DC998" s="2300">
        <f>IF(CX992=0, "NA", DC992/CX992-1)</f>
      </c>
      <c r="DD998" s="1926">
        <f>IF(CY992=0, "NM", DD992/CY992-1)</f>
      </c>
      <c r="DE998" s="2290">
        <f>IF(CZ992=0, "NA", DE992/CZ992-1)</f>
      </c>
      <c r="DF998" s="1925"/>
      <c r="DG998" s="2300"/>
      <c r="DH998" s="2300"/>
      <c r="DI998" s="1926"/>
      <c r="DJ998" s="2290">
        <f>IF(DE992=0, "NA", DJ992/DE992-1)</f>
      </c>
      <c r="DK998" s="958"/>
      <c r="DL998" s="926"/>
      <c r="DM998" s="926"/>
      <c r="DN998" s="928"/>
      <c r="DO998" s="2290">
        <f>IF(DJ992=0, "NA", DO992/DJ992-1)</f>
      </c>
      <c r="DP998" s="2300"/>
      <c r="DQ998" s="2300"/>
      <c r="DR998" s="2300"/>
      <c r="DS998" s="2300"/>
      <c r="DT998" s="2290">
        <f>IF(DO992=0, "NA", DT992/DO992-1)</f>
      </c>
      <c r="DU998" s="2300" t="str">
        <f>IF(DP992=0, "NA", DU992/DP992-1)</f>
      </c>
      <c r="DV998" s="2300"/>
      <c r="DW998" s="2300"/>
      <c r="DX998" s="1926"/>
      <c r="DY998" s="2290">
        <f>IF(DT992=0, "NA", DY992/DT992-1)</f>
      </c>
      <c r="DZ998" s="2300"/>
      <c r="EA998" s="2300"/>
      <c r="EB998" s="2300"/>
      <c r="EC998" s="1926"/>
      <c r="ED998" s="2290">
        <f>IF(DY992=0, "NA", ED992/DY992-1)</f>
      </c>
      <c r="EE998" s="2300"/>
      <c r="EF998" s="2300"/>
      <c r="EG998" s="2282"/>
      <c r="EH998" s="2300"/>
      <c r="EI998" s="1092">
        <f>IF(ED992=0, "NA", EI992/ED992-1)</f>
      </c>
      <c r="EJ998" s="1092">
        <f t="shared" ref="EJ998:EN998" si="2111">IF(EI992=0, "NA", EJ992/EI992-1)</f>
      </c>
      <c r="EK998" s="2290">
        <f t="shared" si="2111"/>
      </c>
      <c r="EL998" s="2290">
        <f t="shared" si="2111"/>
      </c>
      <c r="EM998" s="2290">
        <f t="shared" si="2111"/>
      </c>
      <c r="EN998" s="2290">
        <f t="shared" si="2111"/>
      </c>
      <c r="EO998" s="2290"/>
      <c r="EP998" s="2290"/>
      <c r="EQ998" s="2290"/>
      <c r="ER998" s="2290"/>
      <c r="ES998" s="2290"/>
      <c r="ET998" s="2290"/>
      <c r="EU998" s="2290"/>
      <c r="EV998" s="2290"/>
      <c r="EW998" s="2290"/>
      <c r="EX998" s="2290"/>
    </row>
    <row r="999" spans="2:154" ht="13.5" hidden="1" customHeight="1" outlineLevel="2">
      <c r="B999" s="1079"/>
      <c r="C999" s="2280"/>
      <c r="D999" s="2281"/>
      <c r="E999" s="2281"/>
      <c r="F999" s="2281"/>
      <c r="G999" s="2281"/>
      <c r="H999" s="2281"/>
      <c r="I999" s="1069"/>
      <c r="J999" s="2281"/>
      <c r="K999" s="2281"/>
      <c r="L999" s="2281"/>
      <c r="M999" s="2281"/>
      <c r="N999" s="1069"/>
      <c r="O999" s="1069"/>
      <c r="P999" s="1069"/>
      <c r="Q999" s="1069"/>
      <c r="R999" s="1069"/>
      <c r="S999" s="1069"/>
      <c r="T999" s="1069"/>
      <c r="U999" s="1069"/>
      <c r="V999" s="1069"/>
      <c r="W999" s="1069"/>
      <c r="X999" s="1070"/>
      <c r="Y999" s="1069"/>
      <c r="Z999" s="1069"/>
      <c r="AA999" s="1069"/>
      <c r="AB999" s="1069"/>
      <c r="AC999" s="1070"/>
      <c r="AD999" s="1069"/>
      <c r="AE999" s="1069"/>
      <c r="AF999" s="1069"/>
      <c r="AG999" s="1069"/>
      <c r="AH999" s="1070"/>
      <c r="AI999" s="2281"/>
      <c r="AJ999" s="2281"/>
      <c r="AK999" s="2281"/>
      <c r="AL999" s="1069"/>
      <c r="AM999" s="1070"/>
      <c r="AN999" s="2281"/>
      <c r="AO999" s="2281"/>
      <c r="AP999" s="2281"/>
      <c r="AQ999" s="2281"/>
      <c r="AR999" s="1070"/>
      <c r="AS999" s="2281"/>
      <c r="AT999" s="2281"/>
      <c r="AU999" s="2281"/>
      <c r="AV999" s="2281"/>
      <c r="AW999" s="1070"/>
      <c r="AX999" s="2281"/>
      <c r="AY999" s="2281"/>
      <c r="AZ999" s="2281"/>
      <c r="BA999" s="2281"/>
      <c r="BB999" s="1070"/>
      <c r="BC999" s="2281"/>
      <c r="BD999" s="2281"/>
      <c r="BE999" s="2281"/>
      <c r="BF999" s="2281"/>
      <c r="BG999" s="1070"/>
      <c r="BH999" s="2281"/>
      <c r="BI999" s="2281"/>
      <c r="BJ999" s="2281"/>
      <c r="BK999" s="2281"/>
      <c r="BL999" s="1070"/>
      <c r="BM999" s="2281"/>
      <c r="BN999" s="2281"/>
      <c r="BO999" s="2281"/>
      <c r="BP999" s="2281"/>
      <c r="BQ999" s="1070"/>
      <c r="BR999" s="2281"/>
      <c r="BS999" s="2281"/>
      <c r="BT999" s="2281"/>
      <c r="BU999" s="2281"/>
      <c r="BV999" s="1070"/>
      <c r="BW999" s="2281"/>
      <c r="BX999" s="2281"/>
      <c r="BY999" s="2281"/>
      <c r="BZ999" s="2281"/>
      <c r="CA999" s="1070"/>
      <c r="CB999" s="2281"/>
      <c r="CC999" s="2281"/>
      <c r="CD999" s="2281"/>
      <c r="CE999" s="2281"/>
      <c r="CF999" s="1070"/>
      <c r="CG999" s="2281"/>
      <c r="CH999" s="2281"/>
      <c r="CI999" s="2281"/>
      <c r="CJ999" s="2281"/>
      <c r="CK999" s="1070"/>
      <c r="CL999" s="1072"/>
      <c r="CM999" s="2281"/>
      <c r="CN999" s="2281"/>
      <c r="CO999" s="2281"/>
      <c r="CP999" s="1070"/>
      <c r="CQ999" s="2281"/>
      <c r="CR999" s="2281"/>
      <c r="CS999" s="2281"/>
      <c r="CT999" s="1073"/>
      <c r="CU999" s="1074"/>
      <c r="CV999" s="2281"/>
      <c r="CW999" s="2281"/>
      <c r="CX999" s="2281"/>
      <c r="CY999" s="1073"/>
      <c r="CZ999" s="1074"/>
      <c r="DA999" s="1069"/>
      <c r="DB999" s="1069"/>
      <c r="DC999" s="1069"/>
      <c r="DD999" s="1074"/>
      <c r="DE999" s="1922"/>
      <c r="DF999" s="2305"/>
      <c r="DG999" s="2305"/>
      <c r="DH999" s="2305"/>
      <c r="DI999" s="1928"/>
      <c r="DJ999" s="1922"/>
      <c r="DK999" s="603"/>
      <c r="DL999" s="603"/>
      <c r="DM999" s="603"/>
      <c r="DN999" s="1798"/>
      <c r="DO999" s="1922"/>
      <c r="DP999" s="2305"/>
      <c r="DQ999" s="2305"/>
      <c r="DR999" s="2305"/>
      <c r="DS999" s="2305"/>
      <c r="DT999" s="1922"/>
      <c r="DU999" s="2305"/>
      <c r="DV999" s="2305"/>
      <c r="DW999" s="2305"/>
      <c r="DX999" s="1928"/>
      <c r="DY999" s="1922"/>
      <c r="DZ999" s="2305"/>
      <c r="EA999" s="2305"/>
      <c r="EB999" s="2305"/>
      <c r="EC999" s="1928"/>
      <c r="ED999" s="1922"/>
      <c r="EE999" s="2305"/>
      <c r="EF999" s="2305"/>
      <c r="EG999" s="2305"/>
      <c r="EH999" s="2305"/>
      <c r="EI999" s="1927"/>
      <c r="EJ999" s="1927"/>
      <c r="EK999" s="1922"/>
      <c r="EL999" s="1922"/>
      <c r="EM999" s="1922"/>
      <c r="EN999" s="1922"/>
      <c r="EO999" s="1922"/>
      <c r="EP999" s="1922"/>
      <c r="EQ999" s="1922"/>
      <c r="ER999" s="1922"/>
      <c r="ES999" s="1922"/>
      <c r="ET999" s="1922"/>
      <c r="EU999" s="1922"/>
      <c r="EV999" s="1922"/>
      <c r="EW999" s="1922"/>
      <c r="EX999" s="1922"/>
    </row>
    <row r="1000" spans="2:154" ht="12.75" hidden="1" customHeight="1" outlineLevel="2">
      <c r="B1000" s="1080" t="s">
        <v>518</v>
      </c>
      <c r="C1000" s="2280" t="s">
        <v>473</v>
      </c>
      <c r="D1000" s="2308"/>
      <c r="E1000" s="2308"/>
      <c r="F1000" s="2308"/>
      <c r="G1000" s="2308"/>
      <c r="H1000" s="2308"/>
      <c r="I1000" s="1081"/>
      <c r="J1000" s="2308"/>
      <c r="K1000" s="2308"/>
      <c r="L1000" s="2308"/>
      <c r="M1000" s="2308"/>
      <c r="N1000" s="1081"/>
      <c r="O1000" s="1081"/>
      <c r="P1000" s="1081"/>
      <c r="Q1000" s="1081"/>
      <c r="R1000" s="1081"/>
      <c r="S1000" s="2308"/>
      <c r="T1000" s="1069"/>
      <c r="U1000" s="1069"/>
      <c r="V1000" s="1069"/>
      <c r="W1000" s="1069"/>
      <c r="X1000" s="2309"/>
      <c r="Y1000" s="1069"/>
      <c r="Z1000" s="1069"/>
      <c r="AA1000" s="1069"/>
      <c r="AB1000" s="1069"/>
      <c r="AC1000" s="2309"/>
      <c r="AD1000" s="1069"/>
      <c r="AE1000" s="1069"/>
      <c r="AF1000" s="1069"/>
      <c r="AG1000" s="1069"/>
      <c r="AH1000" s="2309"/>
      <c r="AI1000" s="2281"/>
      <c r="AJ1000" s="2281"/>
      <c r="AK1000" s="2281"/>
      <c r="AL1000" s="1069"/>
      <c r="AM1000" s="2309"/>
      <c r="AN1000" s="2281"/>
      <c r="AO1000" s="2281"/>
      <c r="AP1000" s="2281"/>
      <c r="AQ1000" s="2281"/>
      <c r="AR1000" s="2309"/>
      <c r="AS1000" s="2281"/>
      <c r="AT1000" s="2310"/>
      <c r="AU1000" s="2281"/>
      <c r="AV1000" s="2281"/>
      <c r="AW1000" s="2309"/>
      <c r="AX1000" s="2310"/>
      <c r="AY1000" s="2310"/>
      <c r="AZ1000" s="2281"/>
      <c r="BA1000" s="2281"/>
      <c r="BB1000" s="2309"/>
      <c r="BC1000" s="2310"/>
      <c r="BD1000" s="2310"/>
      <c r="BE1000" s="2281"/>
      <c r="BF1000" s="2281"/>
      <c r="BG1000" s="2309"/>
      <c r="BH1000" s="2281"/>
      <c r="BI1000" s="2281"/>
      <c r="BJ1000" s="2281"/>
      <c r="BK1000" s="2281"/>
      <c r="BL1000" s="2309"/>
      <c r="BM1000" s="2281"/>
      <c r="BN1000" s="2281"/>
      <c r="BO1000" s="2281"/>
      <c r="BP1000" s="2281"/>
      <c r="BQ1000" s="2309"/>
      <c r="BR1000" s="2281"/>
      <c r="BS1000" s="2281"/>
      <c r="BT1000" s="2281"/>
      <c r="BU1000" s="2281"/>
      <c r="BV1000" s="2309"/>
      <c r="BW1000" s="2281"/>
      <c r="BX1000" s="2281"/>
      <c r="BY1000" s="2281"/>
      <c r="BZ1000" s="2281"/>
      <c r="CA1000" s="2309"/>
      <c r="CB1000" s="2281"/>
      <c r="CC1000" s="2281"/>
      <c r="CD1000" s="2281"/>
      <c r="CE1000" s="2281"/>
      <c r="CF1000" s="2309"/>
      <c r="CG1000" s="2281"/>
      <c r="CH1000" s="2281"/>
      <c r="CI1000" s="2281"/>
      <c r="CJ1000" s="2281"/>
      <c r="CK1000" s="2309"/>
      <c r="CL1000" s="1072"/>
      <c r="CM1000" s="2281"/>
      <c r="CN1000" s="2281"/>
      <c r="CO1000" s="2281"/>
      <c r="CP1000" s="2309"/>
      <c r="CQ1000" s="2281"/>
      <c r="CR1000" s="2281"/>
      <c r="CS1000" s="2281"/>
      <c r="CT1000" s="1073"/>
      <c r="CU1000" s="2311"/>
      <c r="CV1000" s="2281"/>
      <c r="CW1000" s="2281"/>
      <c r="CX1000" s="2281"/>
      <c r="CY1000" s="1073"/>
      <c r="CZ1000" s="2311"/>
      <c r="DA1000" s="2308"/>
      <c r="DB1000" s="2308"/>
      <c r="DC1000" s="2308"/>
      <c r="DD1000" s="2311"/>
      <c r="DE1000" s="2312"/>
      <c r="DF1000" s="2313"/>
      <c r="DG1000" s="2313"/>
      <c r="DH1000" s="2313"/>
      <c r="DI1000" s="2130"/>
      <c r="DJ1000" s="2312"/>
      <c r="DK1000" s="1045"/>
      <c r="DL1000" s="1045"/>
      <c r="DM1000" s="1045"/>
      <c r="DN1000" s="2051"/>
      <c r="DO1000" s="2312"/>
      <c r="DP1000" s="2313"/>
      <c r="DQ1000" s="2313"/>
      <c r="DR1000" s="2313"/>
      <c r="DS1000" s="2313"/>
      <c r="DT1000" s="2312"/>
      <c r="DU1000" s="2313"/>
      <c r="DV1000" s="2313"/>
      <c r="DW1000" s="2313"/>
      <c r="DX1000" s="2130"/>
      <c r="DY1000" s="2312"/>
      <c r="DZ1000" s="2313"/>
      <c r="EA1000" s="2313"/>
      <c r="EB1000" s="2313"/>
      <c r="EC1000" s="2130"/>
      <c r="ED1000" s="2312"/>
      <c r="EE1000" s="2313"/>
      <c r="EF1000" s="2313"/>
      <c r="EG1000" s="2313"/>
      <c r="EH1000" s="2313"/>
      <c r="EI1000" s="2314"/>
      <c r="EJ1000" s="2314"/>
      <c r="EK1000" s="2312"/>
      <c r="EL1000" s="2312"/>
      <c r="EM1000" s="2312"/>
      <c r="EN1000" s="2312"/>
      <c r="EO1000" s="2312"/>
      <c r="EP1000" s="2312"/>
      <c r="EQ1000" s="2312"/>
      <c r="ER1000" s="2312"/>
      <c r="ES1000" s="2312"/>
      <c r="ET1000" s="2312"/>
      <c r="EU1000" s="2312"/>
      <c r="EV1000" s="2312"/>
      <c r="EW1000" s="2312"/>
      <c r="EX1000" s="2312"/>
    </row>
    <row r="1001" spans="2:154" ht="12.75" hidden="1" customHeight="1" outlineLevel="2">
      <c r="B1001" s="1082" t="s">
        <v>187</v>
      </c>
      <c r="C1001" s="2280"/>
      <c r="D1001" s="1083"/>
      <c r="E1001" s="1083"/>
      <c r="F1001" s="1083"/>
      <c r="G1001" s="1083"/>
      <c r="H1001" s="1083"/>
      <c r="I1001" s="1069"/>
      <c r="J1001" s="1083"/>
      <c r="K1001" s="1083"/>
      <c r="L1001" s="1083"/>
      <c r="M1001" s="1083"/>
      <c r="N1001" s="1069"/>
      <c r="O1001" s="1083"/>
      <c r="P1001" s="1083"/>
      <c r="Q1001" s="1083"/>
      <c r="R1001" s="1083"/>
      <c r="S1001" s="1069"/>
      <c r="T1001" s="1083"/>
      <c r="U1001" s="1083"/>
      <c r="V1001" s="1083"/>
      <c r="W1001" s="1083"/>
      <c r="X1001" s="1070"/>
      <c r="Y1001" s="1083"/>
      <c r="Z1001" s="1083"/>
      <c r="AA1001" s="1083"/>
      <c r="AB1001" s="1083"/>
      <c r="AC1001" s="1070"/>
      <c r="AD1001" s="1083"/>
      <c r="AE1001" s="1083"/>
      <c r="AF1001" s="1083"/>
      <c r="AG1001" s="1083"/>
      <c r="AH1001" s="1070"/>
      <c r="AI1001" s="1083"/>
      <c r="AJ1001" s="1083"/>
      <c r="AK1001" s="1083"/>
      <c r="AL1001" s="1083"/>
      <c r="AM1001" s="1070"/>
      <c r="AN1001" s="1083">
        <f>+AN1003*0.72</f>
      </c>
      <c r="AO1001" s="1083">
        <f>+AO1003*0.72</f>
      </c>
      <c r="AP1001" s="1083">
        <f>+AP1003*0.72</f>
      </c>
      <c r="AQ1001" s="1083">
        <f>+AQ1003*0.72</f>
      </c>
      <c r="AR1001" s="1070">
        <f>+SUM(AN1001:AQ1001)</f>
      </c>
      <c r="AS1001" s="1083">
        <f>+AS1003*0.7</f>
      </c>
      <c r="AT1001" s="1083">
        <f>+AT1003*0.7</f>
      </c>
      <c r="AU1001" s="1083">
        <f>+AU1003*0.7</f>
      </c>
      <c r="AV1001" s="1083">
        <f>+AV1003*0.7</f>
      </c>
      <c r="AW1001" s="1070">
        <f>+SUM(AS1001:AV1001)</f>
      </c>
      <c r="AX1001" s="1083">
        <f>+AX1003*0.69</f>
      </c>
      <c r="AY1001" s="1083">
        <f>+AY1003*0.69</f>
      </c>
      <c r="AZ1001" s="1083">
        <f>+AZ1003*0.69</f>
      </c>
      <c r="BA1001" s="1083">
        <f>+BA1003*0.69</f>
      </c>
      <c r="BB1001" s="1070">
        <f>SUM(AX1001:BA1001)</f>
      </c>
      <c r="BC1001" s="1083">
        <v>49</v>
      </c>
      <c r="BD1001" s="1083">
        <v>72.819839999999999</v>
      </c>
      <c r="BE1001" s="2281">
        <f>+(1+BE1006)*AZ1001</f>
      </c>
      <c r="BF1001" s="2281">
        <f>+(1+BF1006)*BA1001</f>
      </c>
      <c r="BG1001" s="1070">
        <f>SUM(BC1001:BF1001)</f>
      </c>
      <c r="BH1001" s="2281">
        <v>49</v>
      </c>
      <c r="BI1001" s="2281">
        <v>72.819839999999999</v>
      </c>
      <c r="BJ1001" s="1083">
        <v>64.272133799999992</v>
      </c>
      <c r="BK1001" s="2281">
        <f>+(1+BK1006)*BF1001</f>
      </c>
      <c r="BL1001" s="1070">
        <f>+BG1001*(1+BL1006)</f>
      </c>
      <c r="BM1001" s="2281">
        <f t="shared" ref="BM1001:BO1002" si="2112">+(1+BM1006)*BH1001</f>
      </c>
      <c r="BN1001" s="2281">
        <f t="shared" si="2112"/>
      </c>
      <c r="BO1001" s="2281">
        <f t="shared" si="2112"/>
      </c>
      <c r="BP1001" s="2281">
        <f>+BQ1001-SUM(BM1001:BO1001)</f>
      </c>
      <c r="BQ1001" s="1070">
        <f>+BL1001*(1+BQ1006)</f>
      </c>
      <c r="BR1001" s="2281">
        <f t="shared" ref="BR1001:BU1002" si="2113">+(1+BR1006)*BM1001</f>
      </c>
      <c r="BS1001" s="2281">
        <f t="shared" si="2113"/>
      </c>
      <c r="BT1001" s="2281">
        <f t="shared" si="2113"/>
      </c>
      <c r="BU1001" s="2281">
        <f t="shared" si="2113"/>
      </c>
      <c r="BV1001" s="1070">
        <f>SUM(BR1001:BU1001)</f>
      </c>
      <c r="BW1001" s="2281">
        <f t="shared" ref="BW1001:BZ1002" si="2114">+(1+BW1006)*BR1001</f>
      </c>
      <c r="BX1001" s="2281">
        <f t="shared" si="2114"/>
      </c>
      <c r="BY1001" s="2281">
        <f t="shared" si="2114"/>
      </c>
      <c r="BZ1001" s="2281">
        <f t="shared" si="2114"/>
      </c>
      <c r="CA1001" s="1070">
        <f>SUM(BW1001:BZ1001)</f>
      </c>
      <c r="CB1001" s="2281">
        <f t="shared" ref="CB1001:CE1002" si="2115">+(1+CB1006)*BW1001</f>
      </c>
      <c r="CC1001" s="2281">
        <f t="shared" si="2115"/>
      </c>
      <c r="CD1001" s="2281">
        <f t="shared" si="2115"/>
      </c>
      <c r="CE1001" s="2281">
        <f t="shared" si="2115"/>
      </c>
      <c r="CF1001" s="1070">
        <f>SUM(CB1001:CE1001)</f>
      </c>
      <c r="CG1001" s="2281">
        <f t="shared" ref="CG1001:CJ1002" si="2116">+(1+CG1006)*CB1001</f>
      </c>
      <c r="CH1001" s="2281">
        <f t="shared" si="2116"/>
      </c>
      <c r="CI1001" s="2281">
        <f t="shared" si="2116"/>
      </c>
      <c r="CJ1001" s="2281">
        <f t="shared" si="2116"/>
      </c>
      <c r="CK1001" s="1070">
        <f>SUM(CG1001:CJ1001)</f>
      </c>
      <c r="CL1001" s="1072">
        <f t="shared" ref="CL1001:CO1002" si="2117">+(1+CL1006)*CG1001</f>
      </c>
      <c r="CM1001" s="2281">
        <f t="shared" si="2117"/>
      </c>
      <c r="CN1001" s="2281">
        <f t="shared" si="2117"/>
      </c>
      <c r="CO1001" s="2281">
        <f t="shared" si="2117"/>
      </c>
      <c r="CP1001" s="1070">
        <f>SUM(CL1001:CO1001)</f>
      </c>
      <c r="CQ1001" s="2281">
        <f t="shared" ref="CQ1001:CT1002" si="2118">+(1+CQ1006)*CL1001</f>
      </c>
      <c r="CR1001" s="2281">
        <f t="shared" si="2118"/>
      </c>
      <c r="CS1001" s="2281">
        <f t="shared" si="2118"/>
      </c>
      <c r="CT1001" s="1073">
        <f t="shared" si="2118"/>
      </c>
      <c r="CU1001" s="1070">
        <f>SUM(CQ1001:CT1001)</f>
      </c>
      <c r="CV1001" s="2281">
        <f t="shared" ref="CV1001:CY1002" si="2119">+(1+CV1006)*CQ1001</f>
      </c>
      <c r="CW1001" s="2281">
        <f t="shared" si="2119"/>
      </c>
      <c r="CX1001" s="2281">
        <f t="shared" si="2119"/>
      </c>
      <c r="CY1001" s="1073">
        <f t="shared" si="2119"/>
      </c>
      <c r="CZ1001" s="1070">
        <f>SUM(CV1001:CY1001)</f>
      </c>
      <c r="DA1001" s="1326">
        <f t="shared" ref="DA1001:DC1002" si="2120">+(1+DA1006)*CV1001</f>
      </c>
      <c r="DB1001" s="2283">
        <f t="shared" si="2120"/>
      </c>
      <c r="DC1001" s="2283">
        <f t="shared" si="2120"/>
      </c>
      <c r="DD1001" s="1346">
        <f>+DE1001-SUM(DA1001:DC1001)</f>
      </c>
      <c r="DE1001" s="1922">
        <f>+CZ1001*(1+DE1006)</f>
      </c>
      <c r="DF1001" s="1923"/>
      <c r="DG1001" s="2284"/>
      <c r="DH1001" s="2284"/>
      <c r="DI1001" s="1924"/>
      <c r="DJ1001" s="1922">
        <f>+DE1001*(1+DJ1006)</f>
      </c>
      <c r="DK1001" s="1799"/>
      <c r="DL1001" s="603"/>
      <c r="DM1001" s="603"/>
      <c r="DN1001" s="1798"/>
      <c r="DO1001" s="1922">
        <f>+DJ1001*(1+DO1006)</f>
      </c>
      <c r="DP1001" s="2284"/>
      <c r="DQ1001" s="2284"/>
      <c r="DR1001" s="2284"/>
      <c r="DS1001" s="2284"/>
      <c r="DT1001" s="1922">
        <f>+DO1001*(1+DT1006)</f>
      </c>
      <c r="DU1001" s="2284">
        <f>+DP1001*(1+DU1006)</f>
      </c>
      <c r="DV1001" s="2284"/>
      <c r="DW1001" s="2284"/>
      <c r="DX1001" s="1924"/>
      <c r="DY1001" s="1922">
        <f>+DT1001*(1+DY1006)</f>
      </c>
      <c r="DZ1001" s="2284"/>
      <c r="EA1001" s="2284"/>
      <c r="EB1001" s="2284"/>
      <c r="EC1001" s="1924"/>
      <c r="ED1001" s="1922">
        <f>+DY1001*(1+ED1006)</f>
      </c>
      <c r="EE1001" s="2284"/>
      <c r="EF1001" s="2284"/>
      <c r="EG1001" s="2305"/>
      <c r="EH1001" s="2284"/>
      <c r="EI1001" s="1927">
        <f>+ED1001*(1+EI1006)</f>
      </c>
      <c r="EJ1001" s="1927">
        <f t="shared" ref="EJ1001:EN1002" si="2121">+EI1001*(1+EJ1006)</f>
      </c>
      <c r="EK1001" s="1922">
        <f t="shared" si="2121"/>
      </c>
      <c r="EL1001" s="1922">
        <f t="shared" si="2121"/>
      </c>
      <c r="EM1001" s="1922">
        <f t="shared" si="2121"/>
      </c>
      <c r="EN1001" s="1922">
        <f t="shared" si="2121"/>
      </c>
      <c r="EO1001" s="1922"/>
      <c r="EP1001" s="1922"/>
      <c r="EQ1001" s="1922"/>
      <c r="ER1001" s="1922"/>
      <c r="ES1001" s="1922"/>
      <c r="ET1001" s="1922"/>
      <c r="EU1001" s="1922"/>
      <c r="EV1001" s="1922"/>
      <c r="EW1001" s="1922"/>
      <c r="EX1001" s="1922"/>
    </row>
    <row r="1002" spans="2:154" ht="12.75" hidden="1" customHeight="1" outlineLevel="2">
      <c r="B1002" s="1082" t="s">
        <v>412</v>
      </c>
      <c r="C1002" s="2280"/>
      <c r="D1002" s="1083"/>
      <c r="E1002" s="1083"/>
      <c r="F1002" s="1083"/>
      <c r="G1002" s="1083"/>
      <c r="H1002" s="1083"/>
      <c r="I1002" s="1069"/>
      <c r="J1002" s="1083"/>
      <c r="K1002" s="1083"/>
      <c r="L1002" s="1083"/>
      <c r="M1002" s="1083"/>
      <c r="N1002" s="1069"/>
      <c r="O1002" s="1083"/>
      <c r="P1002" s="1083"/>
      <c r="Q1002" s="1083"/>
      <c r="R1002" s="1083"/>
      <c r="S1002" s="1069"/>
      <c r="T1002" s="1083"/>
      <c r="U1002" s="1083"/>
      <c r="V1002" s="1083"/>
      <c r="W1002" s="1083"/>
      <c r="X1002" s="1070"/>
      <c r="Y1002" s="1083"/>
      <c r="Z1002" s="1083"/>
      <c r="AA1002" s="1083"/>
      <c r="AB1002" s="1083"/>
      <c r="AC1002" s="1070"/>
      <c r="AD1002" s="1083"/>
      <c r="AE1002" s="1083"/>
      <c r="AF1002" s="1083"/>
      <c r="AG1002" s="1083"/>
      <c r="AH1002" s="1070"/>
      <c r="AI1002" s="1083"/>
      <c r="AJ1002" s="1083"/>
      <c r="AK1002" s="1083"/>
      <c r="AL1002" s="1083"/>
      <c r="AM1002" s="1070"/>
      <c r="AN1002" s="1083">
        <f>+AN1003-AN1001</f>
      </c>
      <c r="AO1002" s="1083">
        <f>+AO1003-AO1001</f>
      </c>
      <c r="AP1002" s="1083">
        <f>+AP1003-AP1001</f>
      </c>
      <c r="AQ1002" s="1083">
        <f>+AQ1003-AQ1001</f>
      </c>
      <c r="AR1002" s="1070">
        <f>+SUM(AN1002:AQ1002)</f>
      </c>
      <c r="AS1002" s="1083">
        <f>+AS1003-AS1001</f>
      </c>
      <c r="AT1002" s="1083">
        <f>+AT1003-AT1001</f>
      </c>
      <c r="AU1002" s="1083">
        <f>+AU1003-AU1001</f>
      </c>
      <c r="AV1002" s="1083">
        <f>+AV1003-AV1001</f>
      </c>
      <c r="AW1002" s="1070">
        <f>+SUM(AS1002:AV1002)</f>
      </c>
      <c r="AX1002" s="1083">
        <f>+AX1003-AX1001</f>
      </c>
      <c r="AY1002" s="1083">
        <f>+AY1003-AY1001</f>
      </c>
      <c r="AZ1002" s="1083">
        <f>+AZ1003-AZ1001</f>
      </c>
      <c r="BA1002" s="1083">
        <f>+BA1003-BA1001</f>
      </c>
      <c r="BB1002" s="1070">
        <f>SUM(AX1002:BA1002)</f>
      </c>
      <c r="BC1002" s="1083">
        <v>13</v>
      </c>
      <c r="BD1002" s="1083">
        <v>32.716160000000002</v>
      </c>
      <c r="BE1002" s="2281">
        <f>+(1+BE1007)*AZ1002</f>
      </c>
      <c r="BF1002" s="2281">
        <f>+(1+BF1007)*BA1002</f>
      </c>
      <c r="BG1002" s="1070">
        <f>SUM(BC1002:BF1002)</f>
      </c>
      <c r="BH1002" s="2281">
        <v>13</v>
      </c>
      <c r="BI1002" s="2281">
        <v>32.716160000000002</v>
      </c>
      <c r="BJ1002" s="1083">
        <v>29.535796452624009</v>
      </c>
      <c r="BK1002" s="2281">
        <f>+(1+BK1007)*BF1002</f>
      </c>
      <c r="BL1002" s="1070">
        <f>+BG1002*(1+BL1007)</f>
      </c>
      <c r="BM1002" s="2281">
        <f t="shared" si="2112"/>
      </c>
      <c r="BN1002" s="2281">
        <f t="shared" si="2112"/>
      </c>
      <c r="BO1002" s="2281">
        <f t="shared" si="2112"/>
      </c>
      <c r="BP1002" s="2281">
        <f>+BQ1002-SUM(BM1002:BO1002)</f>
      </c>
      <c r="BQ1002" s="1070">
        <f>+BL1002*(1+BQ1007)</f>
      </c>
      <c r="BR1002" s="2281">
        <f t="shared" si="2113"/>
      </c>
      <c r="BS1002" s="2281">
        <f t="shared" si="2113"/>
      </c>
      <c r="BT1002" s="2281">
        <f t="shared" si="2113"/>
      </c>
      <c r="BU1002" s="2281">
        <f t="shared" si="2113"/>
      </c>
      <c r="BV1002" s="1070">
        <f>SUM(BR1002:BU1002)</f>
      </c>
      <c r="BW1002" s="2281">
        <f t="shared" si="2114"/>
      </c>
      <c r="BX1002" s="2281">
        <f t="shared" si="2114"/>
      </c>
      <c r="BY1002" s="2281">
        <f t="shared" si="2114"/>
      </c>
      <c r="BZ1002" s="2281">
        <f t="shared" si="2114"/>
      </c>
      <c r="CA1002" s="1070">
        <f>SUM(BW1002:BZ1002)</f>
      </c>
      <c r="CB1002" s="2281">
        <f t="shared" si="2115"/>
      </c>
      <c r="CC1002" s="2281">
        <f t="shared" si="2115"/>
      </c>
      <c r="CD1002" s="2281">
        <f t="shared" si="2115"/>
      </c>
      <c r="CE1002" s="2281">
        <f t="shared" si="2115"/>
      </c>
      <c r="CF1002" s="1070">
        <f>SUM(CB1002:CE1002)</f>
      </c>
      <c r="CG1002" s="2281">
        <f t="shared" si="2116"/>
      </c>
      <c r="CH1002" s="2281">
        <f t="shared" si="2116"/>
      </c>
      <c r="CI1002" s="2281">
        <f t="shared" si="2116"/>
      </c>
      <c r="CJ1002" s="2281">
        <f t="shared" si="2116"/>
      </c>
      <c r="CK1002" s="1070">
        <f>SUM(CG1002:CJ1002)</f>
      </c>
      <c r="CL1002" s="1072">
        <f t="shared" si="2117"/>
      </c>
      <c r="CM1002" s="2281">
        <f t="shared" si="2117"/>
      </c>
      <c r="CN1002" s="2281">
        <f t="shared" si="2117"/>
      </c>
      <c r="CO1002" s="2281">
        <f t="shared" si="2117"/>
      </c>
      <c r="CP1002" s="1070">
        <f>SUM(CL1002:CO1002)</f>
      </c>
      <c r="CQ1002" s="2281">
        <f t="shared" si="2118"/>
      </c>
      <c r="CR1002" s="2281">
        <f t="shared" si="2118"/>
      </c>
      <c r="CS1002" s="2281">
        <f t="shared" si="2118"/>
      </c>
      <c r="CT1002" s="1073">
        <f t="shared" si="2118"/>
      </c>
      <c r="CU1002" s="1070">
        <f>SUM(CQ1002:CT1002)</f>
      </c>
      <c r="CV1002" s="2281">
        <f t="shared" si="2119"/>
      </c>
      <c r="CW1002" s="2281">
        <f t="shared" si="2119"/>
      </c>
      <c r="CX1002" s="2281">
        <f t="shared" si="2119"/>
      </c>
      <c r="CY1002" s="1073">
        <f t="shared" si="2119"/>
      </c>
      <c r="CZ1002" s="1070">
        <f>SUM(CV1002:CY1002)</f>
      </c>
      <c r="DA1002" s="1327">
        <f t="shared" si="2120"/>
      </c>
      <c r="DB1002" s="1358">
        <f t="shared" si="2120"/>
      </c>
      <c r="DC1002" s="1358">
        <f t="shared" si="2120"/>
      </c>
      <c r="DD1002" s="1347">
        <f>+DE1002-SUM(DA1002:DC1002)</f>
      </c>
      <c r="DE1002" s="1922">
        <f>+CZ1002*(1+DE1007)</f>
      </c>
      <c r="DF1002" s="1327"/>
      <c r="DG1002" s="1358"/>
      <c r="DH1002" s="1358"/>
      <c r="DI1002" s="1347"/>
      <c r="DJ1002" s="1922">
        <f>+DE1002*(1+DJ1007)</f>
      </c>
      <c r="DK1002" s="1015"/>
      <c r="DL1002" s="895"/>
      <c r="DM1002" s="895"/>
      <c r="DN1002" s="915"/>
      <c r="DO1002" s="1922">
        <f>+DJ1002*(1+DO1007)</f>
      </c>
      <c r="DP1002" s="1358"/>
      <c r="DQ1002" s="1358"/>
      <c r="DR1002" s="1358"/>
      <c r="DS1002" s="1358"/>
      <c r="DT1002" s="1922">
        <f>+DO1002*(1+DT1007)</f>
      </c>
      <c r="DU1002" s="1358">
        <f>+DP1002*(1+DU1007)</f>
      </c>
      <c r="DV1002" s="1358"/>
      <c r="DW1002" s="1358"/>
      <c r="DX1002" s="1347"/>
      <c r="DY1002" s="1922">
        <f>+DT1002*(1+DY1007)</f>
      </c>
      <c r="DZ1002" s="1358"/>
      <c r="EA1002" s="1358"/>
      <c r="EB1002" s="1358"/>
      <c r="EC1002" s="1347"/>
      <c r="ED1002" s="1922">
        <f>+DY1002*(1+ED1007)</f>
      </c>
      <c r="EE1002" s="1358"/>
      <c r="EF1002" s="1358"/>
      <c r="EG1002" s="2305"/>
      <c r="EH1002" s="1358"/>
      <c r="EI1002" s="1927">
        <f>+ED1002*(1+EI1007)</f>
      </c>
      <c r="EJ1002" s="1927">
        <f t="shared" si="2121"/>
      </c>
      <c r="EK1002" s="1922">
        <f t="shared" si="2121"/>
      </c>
      <c r="EL1002" s="1922">
        <f t="shared" si="2121"/>
      </c>
      <c r="EM1002" s="1922">
        <f t="shared" si="2121"/>
      </c>
      <c r="EN1002" s="1922">
        <f t="shared" si="2121"/>
      </c>
      <c r="EO1002" s="1922"/>
      <c r="EP1002" s="1922"/>
      <c r="EQ1002" s="1922"/>
      <c r="ER1002" s="1922"/>
      <c r="ES1002" s="1922"/>
      <c r="ET1002" s="1922"/>
      <c r="EU1002" s="1922"/>
      <c r="EV1002" s="1922"/>
      <c r="EW1002" s="1922"/>
      <c r="EX1002" s="1922"/>
    </row>
    <row r="1003" spans="2:154" ht="12.75" hidden="1" customHeight="1" outlineLevel="2">
      <c r="B1003" s="1082" t="s">
        <v>413</v>
      </c>
      <c r="C1003" s="2280"/>
      <c r="D1003" s="2281"/>
      <c r="E1003" s="2281"/>
      <c r="F1003" s="2281"/>
      <c r="G1003" s="2281"/>
      <c r="H1003" s="2281"/>
      <c r="I1003" s="1069"/>
      <c r="J1003" s="2281"/>
      <c r="K1003" s="2281"/>
      <c r="L1003" s="2281"/>
      <c r="M1003" s="2281"/>
      <c r="N1003" s="1069"/>
      <c r="O1003" s="1069"/>
      <c r="P1003" s="1069"/>
      <c r="Q1003" s="1069"/>
      <c r="R1003" s="1069"/>
      <c r="S1003" s="1069"/>
      <c r="T1003" s="1069"/>
      <c r="U1003" s="1069"/>
      <c r="V1003" s="1069"/>
      <c r="W1003" s="1069"/>
      <c r="X1003" s="1070"/>
      <c r="Y1003" s="1069"/>
      <c r="Z1003" s="1069"/>
      <c r="AA1003" s="1069"/>
      <c r="AB1003" s="1069"/>
      <c r="AC1003" s="1070"/>
      <c r="AD1003" s="1069"/>
      <c r="AE1003" s="1069"/>
      <c r="AF1003" s="1069"/>
      <c r="AG1003" s="1069"/>
      <c r="AH1003" s="1070"/>
      <c r="AI1003" s="2281"/>
      <c r="AJ1003" s="2281"/>
      <c r="AK1003" s="2281"/>
      <c r="AL1003" s="1069"/>
      <c r="AM1003" s="1070"/>
      <c r="AN1003" s="1083">
        <v>72.402000000000001</v>
      </c>
      <c r="AO1003" s="1083">
        <v>79.436999999999998</v>
      </c>
      <c r="AP1003" s="1083">
        <v>66.908000000000001</v>
      </c>
      <c r="AQ1003" s="1083">
        <v>75.308999999999997</v>
      </c>
      <c r="AR1003" s="1070">
        <f>+SUM(AN1003:AQ1003)</f>
      </c>
      <c r="AS1003" s="1083">
        <v>80.319999999999993</v>
      </c>
      <c r="AT1003" s="1083">
        <v>95.563999999999993</v>
      </c>
      <c r="AU1003" s="1083">
        <v>85.39</v>
      </c>
      <c r="AV1003" s="1083">
        <v>92.86</v>
      </c>
      <c r="AW1003" s="1070">
        <f>+SUM(AS1003:AV1003)</f>
      </c>
      <c r="AX1003" s="1083">
        <v>99.394000000000005</v>
      </c>
      <c r="AY1003" s="1083">
        <v>105.536</v>
      </c>
      <c r="AZ1003" s="1083">
        <v>84.488</v>
      </c>
      <c r="BA1003" s="1083">
        <v>86.723346899999996</v>
      </c>
      <c r="BB1003" s="1070">
        <f>+BB1001+BB1002</f>
      </c>
      <c r="BC1003" s="2281">
        <f>+BC1001+BC1002</f>
      </c>
      <c r="BD1003" s="2281">
        <f>+BD1001+BD1002</f>
      </c>
      <c r="BE1003" s="2281">
        <f t="shared" ref="BE1003:BZ1003" si="2122">+BE1001+BE1002</f>
      </c>
      <c r="BF1003" s="2281">
        <f t="shared" si="2122"/>
      </c>
      <c r="BG1003" s="1070">
        <f t="shared" si="2122"/>
      </c>
      <c r="BH1003" s="2281">
        <f t="shared" si="2122"/>
      </c>
      <c r="BI1003" s="2281">
        <f t="shared" si="2122"/>
      </c>
      <c r="BJ1003" s="2281">
        <f t="shared" si="2122"/>
      </c>
      <c r="BK1003" s="2281">
        <f t="shared" si="2122"/>
      </c>
      <c r="BL1003" s="1070">
        <f t="shared" si="2122"/>
      </c>
      <c r="BM1003" s="2281">
        <f t="shared" si="2122"/>
      </c>
      <c r="BN1003" s="2281">
        <f t="shared" si="2122"/>
      </c>
      <c r="BO1003" s="2281">
        <f t="shared" si="2122"/>
      </c>
      <c r="BP1003" s="2281">
        <f t="shared" si="2122"/>
      </c>
      <c r="BQ1003" s="1070">
        <f t="shared" si="2122"/>
      </c>
      <c r="BR1003" s="2281">
        <f t="shared" si="2122"/>
      </c>
      <c r="BS1003" s="2281">
        <f t="shared" si="2122"/>
      </c>
      <c r="BT1003" s="2281">
        <f t="shared" si="2122"/>
      </c>
      <c r="BU1003" s="2281">
        <f t="shared" si="2122"/>
      </c>
      <c r="BV1003" s="1070">
        <f t="shared" si="2122"/>
      </c>
      <c r="BW1003" s="2281">
        <f t="shared" si="2122"/>
      </c>
      <c r="BX1003" s="2281">
        <f t="shared" si="2122"/>
      </c>
      <c r="BY1003" s="2281">
        <f t="shared" si="2122"/>
      </c>
      <c r="BZ1003" s="2281">
        <f t="shared" si="2122"/>
      </c>
      <c r="CA1003" s="1070">
        <f>SUM(BW1003:BZ1003)</f>
      </c>
      <c r="CB1003" s="2281">
        <f>+CB1001+CB1002</f>
      </c>
      <c r="CC1003" s="2281">
        <f>+CC1001+CC1002</f>
      </c>
      <c r="CD1003" s="2281">
        <f>+CD1001+CD1002</f>
      </c>
      <c r="CE1003" s="2281">
        <f>+CE1001+CE1002</f>
      </c>
      <c r="CF1003" s="1070">
        <f>SUM(CB1003:CE1003)</f>
      </c>
      <c r="CG1003" s="2281">
        <f>+CG1001+CG1002</f>
      </c>
      <c r="CH1003" s="2281">
        <f>+CH1001+CH1002</f>
      </c>
      <c r="CI1003" s="2281">
        <f>+CI1001+CI1002</f>
      </c>
      <c r="CJ1003" s="2281">
        <f>+CJ1001+CJ1002</f>
      </c>
      <c r="CK1003" s="1070">
        <f>SUM(CG1003:CJ1003)</f>
      </c>
      <c r="CL1003" s="1072">
        <f>+CL1001+CL1002</f>
      </c>
      <c r="CM1003" s="2281">
        <f>+CM1001+CM1002</f>
      </c>
      <c r="CN1003" s="2281">
        <f>+CN1001+CN1002</f>
      </c>
      <c r="CO1003" s="2281">
        <f>+CO1001+CO1002</f>
      </c>
      <c r="CP1003" s="1070">
        <f>SUM(CL1003:CO1003)</f>
      </c>
      <c r="CQ1003" s="2281">
        <f>+CQ1001+CQ1002</f>
      </c>
      <c r="CR1003" s="2281">
        <f>+CR1001+CR1002</f>
      </c>
      <c r="CS1003" s="2281">
        <f>+CS1001+CS1002</f>
      </c>
      <c r="CT1003" s="1073">
        <f>+CT1001+CT1002</f>
      </c>
      <c r="CU1003" s="1070">
        <f>SUM(CQ1003:CT1003)</f>
      </c>
      <c r="CV1003" s="2281">
        <f>+CV1001+CV1002</f>
      </c>
      <c r="CW1003" s="2281">
        <f>+CW1001+CW1002</f>
      </c>
      <c r="CX1003" s="2281">
        <f>+CX1001+CX1002</f>
      </c>
      <c r="CY1003" s="1073">
        <f>+CY1001+CY1002</f>
      </c>
      <c r="CZ1003" s="1070">
        <f>SUM(CV1003:CY1003)</f>
      </c>
      <c r="DA1003" s="1326">
        <f>SUM(DA1001:DA1002)</f>
      </c>
      <c r="DB1003" s="2283">
        <f>SUM(DB1001:DB1002)</f>
      </c>
      <c r="DC1003" s="2283">
        <f>SUM(DC1001:DC1002)</f>
      </c>
      <c r="DD1003" s="1346">
        <f>+DD1001+DD1002</f>
      </c>
      <c r="DE1003" s="1922">
        <f>+DE1001+DE1002</f>
      </c>
      <c r="DF1003" s="1923"/>
      <c r="DG1003" s="2284"/>
      <c r="DH1003" s="2284"/>
      <c r="DI1003" s="1924"/>
      <c r="DJ1003" s="1922">
        <f>+DJ1001+DJ1002</f>
      </c>
      <c r="DK1003" s="1799"/>
      <c r="DL1003" s="603"/>
      <c r="DM1003" s="603"/>
      <c r="DN1003" s="1798"/>
      <c r="DO1003" s="1922">
        <f>+DO1001+DO1002</f>
      </c>
      <c r="DP1003" s="2284"/>
      <c r="DQ1003" s="2284"/>
      <c r="DR1003" s="2284"/>
      <c r="DS1003" s="2284"/>
      <c r="DT1003" s="1922">
        <f>+DT1001+DT1002</f>
      </c>
      <c r="DU1003" s="2284">
        <f>+DU1001+DU1002</f>
      </c>
      <c r="DV1003" s="2284"/>
      <c r="DW1003" s="2284"/>
      <c r="DX1003" s="1924"/>
      <c r="DY1003" s="1922">
        <f>+DY1001+DY1002</f>
      </c>
      <c r="DZ1003" s="2284"/>
      <c r="EA1003" s="2284"/>
      <c r="EB1003" s="2284"/>
      <c r="EC1003" s="1924"/>
      <c r="ED1003" s="1922">
        <f>+ED1001+ED1002</f>
      </c>
      <c r="EE1003" s="2284"/>
      <c r="EF1003" s="2284"/>
      <c r="EG1003" s="2305"/>
      <c r="EH1003" s="2284"/>
      <c r="EI1003" s="1927">
        <f t="shared" ref="EI1003:EM1003" si="2123">+EI1001+EI1002</f>
      </c>
      <c r="EJ1003" s="1927">
        <f t="shared" si="2123"/>
      </c>
      <c r="EK1003" s="1922">
        <f t="shared" si="2123"/>
      </c>
      <c r="EL1003" s="1922">
        <f t="shared" si="2123"/>
      </c>
      <c r="EM1003" s="1922">
        <f t="shared" si="2123"/>
      </c>
      <c r="EN1003" s="1922">
        <f>+EN1001+EN1002</f>
      </c>
      <c r="EO1003" s="1922"/>
      <c r="EP1003" s="1922"/>
      <c r="EQ1003" s="1922"/>
      <c r="ER1003" s="1922"/>
      <c r="ES1003" s="1922"/>
      <c r="ET1003" s="1922"/>
      <c r="EU1003" s="1922"/>
      <c r="EV1003" s="1922"/>
      <c r="EW1003" s="1922"/>
      <c r="EX1003" s="1922"/>
    </row>
    <row r="1004" spans="2:154" ht="12.75" hidden="1" customHeight="1" outlineLevel="2">
      <c r="B1004" s="1084"/>
      <c r="C1004" s="2280"/>
      <c r="D1004" s="2281"/>
      <c r="E1004" s="2281"/>
      <c r="F1004" s="2281"/>
      <c r="G1004" s="2281"/>
      <c r="H1004" s="2281"/>
      <c r="I1004" s="1069"/>
      <c r="J1004" s="2281"/>
      <c r="K1004" s="2281"/>
      <c r="L1004" s="2281"/>
      <c r="M1004" s="2281"/>
      <c r="N1004" s="1069"/>
      <c r="O1004" s="1069"/>
      <c r="P1004" s="1069"/>
      <c r="Q1004" s="1069"/>
      <c r="R1004" s="1069"/>
      <c r="S1004" s="1069"/>
      <c r="T1004" s="1069"/>
      <c r="U1004" s="1069"/>
      <c r="V1004" s="1069"/>
      <c r="W1004" s="1069"/>
      <c r="X1004" s="1070"/>
      <c r="Y1004" s="1069"/>
      <c r="Z1004" s="1069"/>
      <c r="AA1004" s="1069"/>
      <c r="AB1004" s="1069"/>
      <c r="AC1004" s="1070"/>
      <c r="AD1004" s="1069"/>
      <c r="AE1004" s="1069"/>
      <c r="AF1004" s="1069"/>
      <c r="AG1004" s="1069"/>
      <c r="AH1004" s="1070"/>
      <c r="AI1004" s="2281"/>
      <c r="AJ1004" s="2281"/>
      <c r="AK1004" s="2281"/>
      <c r="AL1004" s="1069"/>
      <c r="AM1004" s="1070"/>
      <c r="AN1004" s="2281"/>
      <c r="AO1004" s="2281"/>
      <c r="AP1004" s="2281"/>
      <c r="AQ1004" s="2281"/>
      <c r="AR1004" s="1070"/>
      <c r="AS1004" s="2281"/>
      <c r="AT1004" s="2281"/>
      <c r="AU1004" s="2281"/>
      <c r="AV1004" s="2281"/>
      <c r="AW1004" s="1070"/>
      <c r="AX1004" s="2281"/>
      <c r="AY1004" s="2281"/>
      <c r="AZ1004" s="2281"/>
      <c r="BA1004" s="2281"/>
      <c r="BB1004" s="1070"/>
      <c r="BC1004" s="2281"/>
      <c r="BD1004" s="2281"/>
      <c r="BE1004" s="2281"/>
      <c r="BF1004" s="2281"/>
      <c r="BG1004" s="1070"/>
      <c r="BH1004" s="2281"/>
      <c r="BI1004" s="2281"/>
      <c r="BJ1004" s="2281"/>
      <c r="BK1004" s="2281"/>
      <c r="BL1004" s="1070"/>
      <c r="BM1004" s="2281"/>
      <c r="BN1004" s="2281"/>
      <c r="BO1004" s="2281"/>
      <c r="BP1004" s="2281"/>
      <c r="BQ1004" s="1070"/>
      <c r="BR1004" s="2281"/>
      <c r="BS1004" s="2281"/>
      <c r="BT1004" s="2281"/>
      <c r="BU1004" s="2281"/>
      <c r="BV1004" s="1070"/>
      <c r="BW1004" s="2281"/>
      <c r="BX1004" s="2281"/>
      <c r="BY1004" s="2281"/>
      <c r="BZ1004" s="2281"/>
      <c r="CA1004" s="1070"/>
      <c r="CB1004" s="2281"/>
      <c r="CC1004" s="2281"/>
      <c r="CD1004" s="2281"/>
      <c r="CE1004" s="2281"/>
      <c r="CF1004" s="1070"/>
      <c r="CG1004" s="2281"/>
      <c r="CH1004" s="2281"/>
      <c r="CI1004" s="2281"/>
      <c r="CJ1004" s="2281"/>
      <c r="CK1004" s="1070"/>
      <c r="CL1004" s="1072"/>
      <c r="CM1004" s="2281"/>
      <c r="CN1004" s="2281"/>
      <c r="CO1004" s="2281"/>
      <c r="CP1004" s="1070"/>
      <c r="CQ1004" s="2281"/>
      <c r="CR1004" s="2281"/>
      <c r="CS1004" s="2281"/>
      <c r="CT1004" s="1073"/>
      <c r="CU1004" s="1070"/>
      <c r="CV1004" s="2281"/>
      <c r="CW1004" s="2281"/>
      <c r="CX1004" s="2281"/>
      <c r="CY1004" s="1073"/>
      <c r="CZ1004" s="1070"/>
      <c r="DA1004" s="2285"/>
      <c r="DB1004" s="2286"/>
      <c r="DC1004" s="2286"/>
      <c r="DD1004" s="2287"/>
      <c r="DE1004" s="1922"/>
      <c r="DF1004" s="2288"/>
      <c r="DG1004" s="2289"/>
      <c r="DH1004" s="2289"/>
      <c r="DI1004" s="2129"/>
      <c r="DJ1004" s="1922"/>
      <c r="DK1004" s="981"/>
      <c r="DL1004" s="982"/>
      <c r="DM1004" s="982"/>
      <c r="DN1004" s="1875"/>
      <c r="DO1004" s="1922"/>
      <c r="DP1004" s="2289"/>
      <c r="DQ1004" s="2289"/>
      <c r="DR1004" s="2289"/>
      <c r="DS1004" s="2289"/>
      <c r="DT1004" s="1922"/>
      <c r="DU1004" s="2289"/>
      <c r="DV1004" s="2289"/>
      <c r="DW1004" s="2289"/>
      <c r="DX1004" s="2129"/>
      <c r="DY1004" s="1922"/>
      <c r="DZ1004" s="2289"/>
      <c r="EA1004" s="2289"/>
      <c r="EB1004" s="2289"/>
      <c r="EC1004" s="2129"/>
      <c r="ED1004" s="1922"/>
      <c r="EE1004" s="2289"/>
      <c r="EF1004" s="2289"/>
      <c r="EG1004" s="2305"/>
      <c r="EH1004" s="2289"/>
      <c r="EI1004" s="1927"/>
      <c r="EJ1004" s="1927"/>
      <c r="EK1004" s="1922"/>
      <c r="EL1004" s="1922"/>
      <c r="EM1004" s="1922"/>
      <c r="EN1004" s="1922"/>
      <c r="EO1004" s="1922"/>
      <c r="EP1004" s="1922"/>
      <c r="EQ1004" s="1922"/>
      <c r="ER1004" s="1922"/>
      <c r="ES1004" s="1922"/>
      <c r="ET1004" s="1922"/>
      <c r="EU1004" s="1922"/>
      <c r="EV1004" s="1922"/>
      <c r="EW1004" s="1922"/>
      <c r="EX1004" s="1922"/>
    </row>
    <row r="1005" spans="2:154" ht="12.75" hidden="1" customHeight="1" outlineLevel="2">
      <c r="B1005" s="1085" t="s">
        <v>36</v>
      </c>
      <c r="C1005" s="2280"/>
      <c r="D1005" s="2281"/>
      <c r="E1005" s="2281"/>
      <c r="F1005" s="2281"/>
      <c r="G1005" s="2281"/>
      <c r="H1005" s="2281"/>
      <c r="I1005" s="1069"/>
      <c r="J1005" s="2281"/>
      <c r="K1005" s="2281"/>
      <c r="L1005" s="2281"/>
      <c r="M1005" s="2281"/>
      <c r="N1005" s="1069"/>
      <c r="O1005" s="1069"/>
      <c r="P1005" s="1069"/>
      <c r="Q1005" s="1069"/>
      <c r="R1005" s="1069"/>
      <c r="S1005" s="1069"/>
      <c r="T1005" s="1069"/>
      <c r="U1005" s="1069"/>
      <c r="V1005" s="1069"/>
      <c r="W1005" s="1069"/>
      <c r="X1005" s="1070"/>
      <c r="Y1005" s="1069"/>
      <c r="Z1005" s="1069"/>
      <c r="AA1005" s="1069"/>
      <c r="AB1005" s="1069"/>
      <c r="AC1005" s="1070"/>
      <c r="AD1005" s="1069"/>
      <c r="AE1005" s="1069"/>
      <c r="AF1005" s="1069"/>
      <c r="AG1005" s="1069"/>
      <c r="AH1005" s="1070"/>
      <c r="AI1005" s="2281"/>
      <c r="AJ1005" s="2281"/>
      <c r="AK1005" s="2281"/>
      <c r="AL1005" s="1069"/>
      <c r="AM1005" s="1070"/>
      <c r="AN1005" s="2281"/>
      <c r="AO1005" s="2281"/>
      <c r="AP1005" s="2281"/>
      <c r="AQ1005" s="2281"/>
      <c r="AR1005" s="1070"/>
      <c r="AS1005" s="2281"/>
      <c r="AT1005" s="2281"/>
      <c r="AU1005" s="2281"/>
      <c r="AV1005" s="2281"/>
      <c r="AW1005" s="1070"/>
      <c r="AX1005" s="2281"/>
      <c r="AY1005" s="2281"/>
      <c r="AZ1005" s="2281"/>
      <c r="BA1005" s="2281"/>
      <c r="BB1005" s="1070"/>
      <c r="BC1005" s="2281"/>
      <c r="BD1005" s="2281"/>
      <c r="BE1005" s="2281"/>
      <c r="BF1005" s="2281"/>
      <c r="BG1005" s="1070"/>
      <c r="BH1005" s="2281"/>
      <c r="BI1005" s="2281"/>
      <c r="BJ1005" s="2281"/>
      <c r="BK1005" s="2281"/>
      <c r="BL1005" s="1070"/>
      <c r="BM1005" s="2281"/>
      <c r="BN1005" s="2281"/>
      <c r="BO1005" s="2281"/>
      <c r="BP1005" s="2281"/>
      <c r="BQ1005" s="1070"/>
      <c r="BR1005" s="2281"/>
      <c r="BS1005" s="2281"/>
      <c r="BT1005" s="2281"/>
      <c r="BU1005" s="2281"/>
      <c r="BV1005" s="1070"/>
      <c r="BW1005" s="2281"/>
      <c r="BX1005" s="2281"/>
      <c r="BY1005" s="2281"/>
      <c r="BZ1005" s="2281"/>
      <c r="CA1005" s="1070"/>
      <c r="CB1005" s="2281"/>
      <c r="CC1005" s="2281"/>
      <c r="CD1005" s="2281"/>
      <c r="CE1005" s="2281"/>
      <c r="CF1005" s="1070"/>
      <c r="CG1005" s="2281"/>
      <c r="CH1005" s="2281"/>
      <c r="CI1005" s="2281"/>
      <c r="CJ1005" s="2281"/>
      <c r="CK1005" s="1070"/>
      <c r="CL1005" s="1072"/>
      <c r="CM1005" s="2281"/>
      <c r="CN1005" s="2281"/>
      <c r="CO1005" s="2281"/>
      <c r="CP1005" s="1070"/>
      <c r="CQ1005" s="2281"/>
      <c r="CR1005" s="2281"/>
      <c r="CS1005" s="2281"/>
      <c r="CT1005" s="1073"/>
      <c r="CU1005" s="1070"/>
      <c r="CV1005" s="2281"/>
      <c r="CW1005" s="2281"/>
      <c r="CX1005" s="2281"/>
      <c r="CY1005" s="1073"/>
      <c r="CZ1005" s="1070"/>
      <c r="DA1005" s="2285"/>
      <c r="DB1005" s="2286"/>
      <c r="DC1005" s="2286"/>
      <c r="DD1005" s="2287"/>
      <c r="DE1005" s="1922"/>
      <c r="DF1005" s="2288"/>
      <c r="DG1005" s="2289"/>
      <c r="DH1005" s="2289"/>
      <c r="DI1005" s="2129"/>
      <c r="DJ1005" s="1922"/>
      <c r="DK1005" s="981"/>
      <c r="DL1005" s="982"/>
      <c r="DM1005" s="982"/>
      <c r="DN1005" s="1875"/>
      <c r="DO1005" s="1922"/>
      <c r="DP1005" s="2289"/>
      <c r="DQ1005" s="2289"/>
      <c r="DR1005" s="2289"/>
      <c r="DS1005" s="2289"/>
      <c r="DT1005" s="1922"/>
      <c r="DU1005" s="2289"/>
      <c r="DV1005" s="2289"/>
      <c r="DW1005" s="2289"/>
      <c r="DX1005" s="2129"/>
      <c r="DY1005" s="1922"/>
      <c r="DZ1005" s="2289"/>
      <c r="EA1005" s="2289"/>
      <c r="EB1005" s="2289"/>
      <c r="EC1005" s="2129"/>
      <c r="ED1005" s="1922"/>
      <c r="EE1005" s="2289"/>
      <c r="EF1005" s="2289"/>
      <c r="EG1005" s="2305"/>
      <c r="EH1005" s="2289"/>
      <c r="EI1005" s="1927"/>
      <c r="EJ1005" s="1927"/>
      <c r="EK1005" s="1922"/>
      <c r="EL1005" s="1922"/>
      <c r="EM1005" s="1922"/>
      <c r="EN1005" s="1922"/>
      <c r="EO1005" s="1922"/>
      <c r="EP1005" s="1922"/>
      <c r="EQ1005" s="1922"/>
      <c r="ER1005" s="1922"/>
      <c r="ES1005" s="1922"/>
      <c r="ET1005" s="1922"/>
      <c r="EU1005" s="1922"/>
      <c r="EV1005" s="1922"/>
      <c r="EW1005" s="1922"/>
      <c r="EX1005" s="1922"/>
    </row>
    <row r="1006" spans="2:154" ht="12.75" hidden="1" customHeight="1" outlineLevel="2">
      <c r="B1006" s="1086" t="s">
        <v>187</v>
      </c>
      <c r="C1006" s="2280"/>
      <c r="D1006" s="2281"/>
      <c r="E1006" s="2281"/>
      <c r="F1006" s="2281"/>
      <c r="G1006" s="2281"/>
      <c r="H1006" s="2281"/>
      <c r="I1006" s="2282"/>
      <c r="J1006" s="2282"/>
      <c r="K1006" s="2282"/>
      <c r="L1006" s="2282"/>
      <c r="M1006" s="2282"/>
      <c r="N1006" s="2282"/>
      <c r="O1006" s="2282"/>
      <c r="P1006" s="2282"/>
      <c r="Q1006" s="2282"/>
      <c r="R1006" s="2282"/>
      <c r="S1006" s="2282"/>
      <c r="T1006" s="2282"/>
      <c r="U1006" s="2282"/>
      <c r="V1006" s="2282"/>
      <c r="W1006" s="2282"/>
      <c r="X1006" s="2290"/>
      <c r="Y1006" s="2282"/>
      <c r="Z1006" s="2282"/>
      <c r="AA1006" s="2282"/>
      <c r="AB1006" s="2282"/>
      <c r="AC1006" s="2290"/>
      <c r="AD1006" s="2282"/>
      <c r="AE1006" s="2282"/>
      <c r="AF1006" s="2282"/>
      <c r="AG1006" s="2282"/>
      <c r="AH1006" s="2290"/>
      <c r="AI1006" s="2282"/>
      <c r="AJ1006" s="2282"/>
      <c r="AK1006" s="2282"/>
      <c r="AL1006" s="2282"/>
      <c r="AM1006" s="2290"/>
      <c r="AN1006" s="2282"/>
      <c r="AO1006" s="2282"/>
      <c r="AP1006" s="2282"/>
      <c r="AQ1006" s="2282"/>
      <c r="AR1006" s="2290"/>
      <c r="AS1006" s="2282">
        <f t="shared" ref="AS1006:BD1007" si="2124">IF(AN1001="NM","NM",IF(AS1001="NM","NM",IF(AN1001&lt;=0,"NM",IF(AS1001=0,"NM",IF(ABS(AS1001/AN1001-1)&gt;2.5,"NM",IF((ABS(AS1001-AN1001)=ABS(ABS(AS1001)-ABS(AN1001))),(AS1001/AN1001-1),"NM"))))))</f>
      </c>
      <c r="AT1006" s="2282">
        <f t="shared" si="2124"/>
      </c>
      <c r="AU1006" s="2282">
        <f t="shared" si="2124"/>
      </c>
      <c r="AV1006" s="2282">
        <f t="shared" si="2124"/>
      </c>
      <c r="AW1006" s="2290">
        <f t="shared" si="2124"/>
      </c>
      <c r="AX1006" s="2282">
        <f t="shared" si="2124"/>
      </c>
      <c r="AY1006" s="2282">
        <f t="shared" si="2124"/>
      </c>
      <c r="AZ1006" s="2282">
        <f t="shared" si="2124"/>
      </c>
      <c r="BA1006" s="2282">
        <f t="shared" si="2124"/>
      </c>
      <c r="BB1006" s="2290">
        <f t="shared" si="2124"/>
      </c>
      <c r="BC1006" s="2282">
        <f t="shared" si="2124"/>
      </c>
      <c r="BD1006" s="2282">
        <f t="shared" si="2124"/>
      </c>
      <c r="BE1006" s="2292">
        <v>0.05</v>
      </c>
      <c r="BF1006" s="2292">
        <v>7.032184105873629E-2</v>
      </c>
      <c r="BG1006" s="2290">
        <f t="shared" ref="BG1006:BJ1007" si="2125">IF(BB1001="NM","NM",IF(BG1001="NM","NM",IF(BB1001&lt;=0,"NM",IF(BG1001=0,"NM",IF(ABS(BG1001/BB1001-1)&gt;2.5,"NM",IF((ABS(BG1001-BB1001)=ABS(ABS(BG1001)-ABS(BB1001))),(BG1001/BB1001-1),"NM"))))))</f>
      </c>
      <c r="BH1006" s="2282">
        <f t="shared" si="2125"/>
      </c>
      <c r="BI1006" s="2282">
        <f t="shared" si="2125"/>
      </c>
      <c r="BJ1006" s="2282">
        <f t="shared" si="2125"/>
      </c>
      <c r="BK1006" s="2292">
        <v>0.05</v>
      </c>
      <c r="BL1006" s="2293">
        <v>7.0000000000000007E-2</v>
      </c>
      <c r="BM1006" s="2292">
        <v>0.05</v>
      </c>
      <c r="BN1006" s="2292">
        <v>0.05</v>
      </c>
      <c r="BO1006" s="2292">
        <v>0.05</v>
      </c>
      <c r="BP1006" s="2282">
        <f>IF(BK1001="NM","NM",IF(BP1001="NM","NM",IF(BK1001&lt;=0,"NM",IF(BP1001=0,"NM",IF(ABS(BP1001/BK1001-1)&gt;2.5,"NM",IF((ABS(BP1001-BK1001)=ABS(ABS(BP1001)-ABS(BK1001))),(BP1001/BK1001-1),"NM"))))))</f>
      </c>
      <c r="BQ1006" s="2293">
        <v>0.05</v>
      </c>
      <c r="BR1006" s="2292">
        <v>0.05</v>
      </c>
      <c r="BS1006" s="2292">
        <v>0.05</v>
      </c>
      <c r="BT1006" s="2292">
        <v>0.04</v>
      </c>
      <c r="BU1006" s="2292">
        <v>5.8210331225809764E-2</v>
      </c>
      <c r="BV1006" s="2290">
        <f>IF(BQ1001="NM","NM",IF(BV1001="NM","NM",IF(BQ1001&lt;=0,"NM",IF(BV1001=0,"NM",IF(ABS(BV1001/BQ1001-1)&gt;2.5,"NM",IF((ABS(BV1001-BQ1001)=ABS(ABS(BV1001)-ABS(BQ1001))),(BV1001/BQ1001-1),"NM"))))))</f>
      </c>
      <c r="BW1006" s="2292">
        <v>0.06</v>
      </c>
      <c r="BX1006" s="2292">
        <v>0.06</v>
      </c>
      <c r="BY1006" s="2292">
        <v>0.06</v>
      </c>
      <c r="BZ1006" s="2294">
        <v>0.06</v>
      </c>
      <c r="CA1006" s="2291">
        <f>IF(BV1001="NM","NM",IF(CA1001="NM","NM",IF(BV1001&lt;=0,"NM",IF(CA1001=0,"NM",IF(ABS(CA1001/BV1001-1)&gt;2.5,"NM",IF((ABS(CA1001-BV1001)=ABS(ABS(CA1001)-ABS(BV1001))),(CA1001/BV1001-1),"NM"))))))</f>
      </c>
      <c r="CB1006" s="2292">
        <v>0.06</v>
      </c>
      <c r="CC1006" s="2292">
        <v>0.06</v>
      </c>
      <c r="CD1006" s="2292">
        <v>0.06</v>
      </c>
      <c r="CE1006" s="2292">
        <v>0.06</v>
      </c>
      <c r="CF1006" s="2291">
        <f>IF(CA1001="NM","NM",IF(CF1001="NM","NM",IF(CA1001&lt;=0,"NM",IF(CF1001=0,"NM",IF(ABS(CF1001/CA1001-1)&gt;2.5,"NM",IF((ABS(CF1001-CA1001)=ABS(ABS(CF1001)-ABS(CA1001))),(CF1001/CA1001-1),"NM"))))))</f>
      </c>
      <c r="CG1006" s="2292">
        <v>0.06</v>
      </c>
      <c r="CH1006" s="2292">
        <v>0.06</v>
      </c>
      <c r="CI1006" s="2292">
        <v>0.06</v>
      </c>
      <c r="CJ1006" s="2292">
        <v>0.06</v>
      </c>
      <c r="CK1006" s="2290">
        <f>IF(CF1001=0, 0, CK1001/CF1001-1)</f>
      </c>
      <c r="CL1006" s="2307">
        <v>0.06</v>
      </c>
      <c r="CM1006" s="2292">
        <v>0.06</v>
      </c>
      <c r="CN1006" s="2292">
        <v>0.06</v>
      </c>
      <c r="CO1006" s="2292">
        <v>0.06</v>
      </c>
      <c r="CP1006" s="2290">
        <f>IF(CK1001=0, 0, CP1001/CK1001-1)</f>
      </c>
      <c r="CQ1006" s="2292">
        <v>0.06</v>
      </c>
      <c r="CR1006" s="2292">
        <v>0.06</v>
      </c>
      <c r="CS1006" s="2292">
        <v>0.06</v>
      </c>
      <c r="CT1006" s="2294">
        <v>0.06</v>
      </c>
      <c r="CU1006" s="2290">
        <f>IF(CP1001=0, 0, CU1001/CP1001-1)</f>
      </c>
      <c r="CV1006" s="2292">
        <v>0.06</v>
      </c>
      <c r="CW1006" s="2292">
        <v>0.06</v>
      </c>
      <c r="CX1006" s="2292">
        <v>0.06</v>
      </c>
      <c r="CY1006" s="2294">
        <v>0.06</v>
      </c>
      <c r="CZ1006" s="2290">
        <f>IF(CU1001=0, 0, CZ1001/CU1001-1)</f>
      </c>
      <c r="DA1006" s="2296">
        <v>0.06</v>
      </c>
      <c r="DB1006" s="2297">
        <v>0.06</v>
      </c>
      <c r="DC1006" s="2297">
        <v>0.06</v>
      </c>
      <c r="DD1006" s="2298">
        <f>IF(DD1001=0,"NM",+DD1001/CY1001-1)</f>
      </c>
      <c r="DE1006" s="2293">
        <v>0.06</v>
      </c>
      <c r="DF1006" s="2296"/>
      <c r="DG1006" s="2297"/>
      <c r="DH1006" s="2297"/>
      <c r="DI1006" s="2298"/>
      <c r="DJ1006" s="2294">
        <v>0.06</v>
      </c>
      <c r="DK1006" s="828"/>
      <c r="DL1006" s="361"/>
      <c r="DM1006" s="361"/>
      <c r="DN1006" s="927"/>
      <c r="DO1006" s="2294">
        <v>0.06</v>
      </c>
      <c r="DP1006" s="2297"/>
      <c r="DQ1006" s="2297"/>
      <c r="DR1006" s="2297"/>
      <c r="DS1006" s="3111"/>
      <c r="DT1006" s="2293">
        <v>0.06</v>
      </c>
      <c r="DU1006" s="3111">
        <v>0.06</v>
      </c>
      <c r="DV1006" s="2297"/>
      <c r="DW1006" s="2297"/>
      <c r="DX1006" s="3306"/>
      <c r="DY1006" s="3308"/>
      <c r="DZ1006" s="2297"/>
      <c r="EA1006" s="2297"/>
      <c r="EB1006" s="2297"/>
      <c r="EC1006" s="3306"/>
      <c r="ED1006" s="3308"/>
      <c r="EE1006" s="2297"/>
      <c r="EF1006" s="2297"/>
      <c r="EG1006" s="2292"/>
      <c r="EH1006" s="3111"/>
      <c r="EI1006" s="2307">
        <v>0.06</v>
      </c>
      <c r="EJ1006" s="2292">
        <v>0.06</v>
      </c>
      <c r="EK1006" s="2294">
        <v>0.06</v>
      </c>
      <c r="EL1006" s="2294">
        <v>0.06</v>
      </c>
      <c r="EM1006" s="2294">
        <v>0.06</v>
      </c>
      <c r="EN1006" s="2294">
        <v>0.06</v>
      </c>
      <c r="EO1006" s="2293"/>
      <c r="EP1006" s="2293"/>
      <c r="EQ1006" s="2293"/>
      <c r="ER1006" s="2293"/>
      <c r="ES1006" s="2293"/>
      <c r="ET1006" s="2293"/>
      <c r="EU1006" s="2293"/>
      <c r="EV1006" s="2293"/>
      <c r="EW1006" s="2293"/>
      <c r="EX1006" s="2293"/>
    </row>
    <row r="1007" spans="2:154" ht="12.75" hidden="1" customHeight="1" outlineLevel="2">
      <c r="B1007" s="1086" t="s">
        <v>412</v>
      </c>
      <c r="C1007" s="2280"/>
      <c r="D1007" s="2281"/>
      <c r="E1007" s="2281"/>
      <c r="F1007" s="2281"/>
      <c r="G1007" s="2281"/>
      <c r="H1007" s="2281"/>
      <c r="I1007" s="2282"/>
      <c r="J1007" s="2282"/>
      <c r="K1007" s="2282"/>
      <c r="L1007" s="2282"/>
      <c r="M1007" s="2282"/>
      <c r="N1007" s="2282"/>
      <c r="O1007" s="2282"/>
      <c r="P1007" s="2282"/>
      <c r="Q1007" s="2282"/>
      <c r="R1007" s="2282"/>
      <c r="S1007" s="2282"/>
      <c r="T1007" s="2282"/>
      <c r="U1007" s="2282"/>
      <c r="V1007" s="2282"/>
      <c r="W1007" s="2282"/>
      <c r="X1007" s="2290"/>
      <c r="Y1007" s="2282"/>
      <c r="Z1007" s="2282"/>
      <c r="AA1007" s="2282"/>
      <c r="AB1007" s="2282"/>
      <c r="AC1007" s="2290"/>
      <c r="AD1007" s="2282"/>
      <c r="AE1007" s="2282"/>
      <c r="AF1007" s="2282"/>
      <c r="AG1007" s="2282"/>
      <c r="AH1007" s="2290"/>
      <c r="AI1007" s="2282"/>
      <c r="AJ1007" s="2282"/>
      <c r="AK1007" s="2282"/>
      <c r="AL1007" s="2282"/>
      <c r="AM1007" s="2290"/>
      <c r="AN1007" s="2282"/>
      <c r="AO1007" s="2282"/>
      <c r="AP1007" s="2282"/>
      <c r="AQ1007" s="2282"/>
      <c r="AR1007" s="2290"/>
      <c r="AS1007" s="2282">
        <f t="shared" si="2124"/>
      </c>
      <c r="AT1007" s="2282">
        <f t="shared" si="2124"/>
      </c>
      <c r="AU1007" s="2282">
        <f t="shared" si="2124"/>
      </c>
      <c r="AV1007" s="2282">
        <f t="shared" si="2124"/>
      </c>
      <c r="AW1007" s="2290">
        <f t="shared" si="2124"/>
      </c>
      <c r="AX1007" s="2282">
        <f t="shared" si="2124"/>
      </c>
      <c r="AY1007" s="2282">
        <f t="shared" si="2124"/>
      </c>
      <c r="AZ1007" s="2282">
        <f>IF(AU1002="NM","NM",IF(AZ1002="NM","NM",IF(AU1002&lt;=0,"NM",IF(AZ1002=0,"NM",IF(ABS(AZ1002/AU1002-1)&gt;2.5,"NM",IF((ABS(AZ1002-AU1002)=ABS(ABS(AZ1002)-ABS(AU1002))),(AZ1002/AU1002-1),"NM"))))))</f>
      </c>
      <c r="BA1007" s="2282">
        <f>IF(AV1002="NM","NM",IF(BA1002="NM","NM",IF(AV1002&lt;=0,"NM",IF(BA1002=0,"NM",IF(ABS(BA1002/AV1002-1)&gt;2.5,"NM",IF((ABS(BA1002-AV1002)=ABS(ABS(BA1002)-ABS(AV1002))),(BA1002/AV1002-1),"NM"))))))</f>
      </c>
      <c r="BB1007" s="2290">
        <f>IF(AW1002="NM","NM",IF(BB1002="NM","NM",IF(AW1002&lt;=0,"NM",IF(BB1002=0,"NM",IF(ABS(BB1002/AW1002-1)&gt;2.5,"NM",IF((ABS(BB1002-AW1002)=ABS(ABS(BB1002)-ABS(AW1002))),(BB1002/AW1002-1),"NM"))))))</f>
      </c>
      <c r="BC1007" s="2282">
        <f t="shared" si="2124"/>
      </c>
      <c r="BD1007" s="2282">
        <f t="shared" si="2124"/>
      </c>
      <c r="BE1007" s="2282">
        <f>IF(ISNUMBER(BE1008),(1+BE1008)*(1+BE$21)-1,"NM")</f>
      </c>
      <c r="BF1007" s="2282">
        <f>IF(ISNUMBER(BF1008),(1+BF1008)*(1+BF$21)-1,"NM")</f>
      </c>
      <c r="BG1007" s="2290">
        <f>IF(BB1002="NM","NM",IF(BG1002="NM","NM",IF(BB1002&lt;=0,"NM",IF(BG1002=0,"NM",IF(ABS(BG1002/BB1002-1)&gt;2.5,"NM",IF((ABS(BG1002-BB1002)=ABS(ABS(BG1002)-ABS(BB1002))),(BG1002/BB1002-1),"NM"))))))</f>
      </c>
      <c r="BH1007" s="2282">
        <f t="shared" si="2125"/>
      </c>
      <c r="BI1007" s="2282">
        <f t="shared" si="2125"/>
      </c>
      <c r="BJ1007" s="2282">
        <f>IF(BE1002="NM","NM",IF(BJ1002="NM","NM",IF(BE1002&lt;=0,"NM",IF(BJ1002=0,"NM",IF(ABS(BJ1002/BE1002-1)&gt;2.5,"NM",IF((ABS(BJ1002-BE1002)=ABS(ABS(BJ1002)-ABS(BE1002))),(BJ1002/BE1002-1),"NM"))))))</f>
      </c>
      <c r="BK1007" s="2282">
        <f>IF(ISNUMBER(BK1008),(1+BK1008)*(1+BK$21)-1,"NM")</f>
      </c>
      <c r="BL1007" s="2290">
        <f>IF(ISNUMBER(BL1008),(1+BL1008)*(1+BL$21)-1,"NM")</f>
      </c>
      <c r="BM1007" s="2282">
        <f>IF(ISNUMBER(BM1008),(1+BM1008)*(1+BM$21)-1,"NM")</f>
      </c>
      <c r="BN1007" s="2282">
        <f>IF(ISNUMBER(BN1008),(1+BN1008)*(1+BN$21)-1,"NM")</f>
      </c>
      <c r="BO1007" s="2282">
        <f>IF(ISNUMBER(BO1008),(1+BO1008)*(1+BO$21)-1,"NM")</f>
      </c>
      <c r="BP1007" s="2282">
        <f>IF(BK1002="NM","NM",IF(BP1002="NM","NM",IF(BK1002&lt;=0,"NM",IF(BP1002=0,"NM",IF(ABS(BP1002/BK1002-1)&gt;2.5,"NM",IF((ABS(BP1002-BK1002)=ABS(ABS(BP1002)-ABS(BK1002))),(BP1002/BK1002-1),"NM"))))))</f>
      </c>
      <c r="BQ1007" s="2290">
        <f>IF(ISNUMBER(BQ1008),(1+BQ1008)*(1+BQ$21)-1,"NM")</f>
      </c>
      <c r="BR1007" s="2282">
        <f>IF(ISNUMBER(BR1008),(1+BR1008)*(1+BR$21)-1,"NM")</f>
      </c>
      <c r="BS1007" s="2282">
        <f>IF(ISNUMBER(BS1008),(1+BS1008)*(1+BS$21)-1,"NM")</f>
      </c>
      <c r="BT1007" s="2282">
        <f>IF(ISNUMBER(BT1008),(1+BT1008)*(1+BT$21)-1,"NM")</f>
      </c>
      <c r="BU1007" s="2282">
        <f>IF(ISNUMBER(BU1008),(1+BU1008)*(1+BU$21)-1,"NM")</f>
      </c>
      <c r="BV1007" s="2290">
        <f>IF(BQ1002="NM","NM",IF(BV1002="NM","NM",IF(BQ1002&lt;=0,"NM",IF(BV1002=0,"NM",IF(ABS(BV1002/BQ1002-1)&gt;2.5,"NM",IF((ABS(BV1002-BQ1002)=ABS(ABS(BV1002)-ABS(BQ1002))),(BV1002/BQ1002-1),"NM"))))))</f>
      </c>
      <c r="BW1007" s="2282">
        <f>IF(ISNUMBER(BW1008),(1+BW1008)*(1+BW$21)-1,"NM")</f>
      </c>
      <c r="BX1007" s="2282">
        <f>IF(ISNUMBER(BX1008),(1+BX1008)*(1+BX$21)-1,"NM")</f>
      </c>
      <c r="BY1007" s="2282">
        <f>IF(ISNUMBER(BY1008),(1+BY1008)*(1+BY$21)-1,"NM")</f>
      </c>
      <c r="BZ1007" s="2282">
        <f>IF(ISNUMBER(BZ1008),(1+BZ1008)*(1+BZ$21)-1,"NM")</f>
      </c>
      <c r="CA1007" s="2290">
        <f>IF(BV1002="NM","NM",IF(CA1002="NM","NM",IF(BV1002&lt;=0,"NM",IF(CA1002=0,"NM",IF(ABS(CA1002/BV1002-1)&gt;2.5,"NM",IF((ABS(CA1002-BV1002)=ABS(ABS(CA1002)-ABS(BV1002))),(CA1002/BV1002-1),"NM"))))))</f>
      </c>
      <c r="CB1007" s="2282">
        <f>IF(ISNUMBER(CB1008),(1+CB1008)*(1+CB$21)-1,"NM")</f>
      </c>
      <c r="CC1007" s="2282">
        <f>IF(ISNUMBER(CC1008),(1+CC1008)*(1+CC$21)-1,"NM")</f>
      </c>
      <c r="CD1007" s="2282">
        <f>IF(ISNUMBER(CD1008),(1+CD1008)*(1+CD$21)-1,"NM")</f>
      </c>
      <c r="CE1007" s="2282">
        <f>CE1008+CE$21</f>
      </c>
      <c r="CF1007" s="2290">
        <f>IF(CA1002="NM","NM",IF(CF1002="NM","NM",IF(CA1002&lt;=0,"NM",IF(CF1002=0,"NM",IF(ABS(CF1002/CA1002-1)&gt;2.5,"NM",IF((ABS(CF1002-CA1002)=ABS(ABS(CF1002)-ABS(CA1002))),(CF1002/CA1002-1),"NM"))))))</f>
      </c>
      <c r="CG1007" s="2282">
        <f>CG1008+CG$21</f>
      </c>
      <c r="CH1007" s="2282">
        <f>CH1008+CH$21</f>
      </c>
      <c r="CI1007" s="2282">
        <f>CI1008+CI$21</f>
      </c>
      <c r="CJ1007" s="2282">
        <f>CJ1008+CJ$21</f>
      </c>
      <c r="CK1007" s="2290">
        <f>IF(CF1002=0, "NA", CK1002/CF1002-1)</f>
      </c>
      <c r="CL1007" s="1092">
        <f>CL1008+CL$21</f>
      </c>
      <c r="CM1007" s="2282">
        <f>CM1008+CM$21</f>
      </c>
      <c r="CN1007" s="2282">
        <f>CN1008+CN$21</f>
      </c>
      <c r="CO1007" s="2282">
        <f>CO1008+CO$21</f>
      </c>
      <c r="CP1007" s="2290">
        <f>IF(CK1002=0, "NA", CP1002/CK1002-1)</f>
      </c>
      <c r="CQ1007" s="2282">
        <f>CQ1008+CQ$21</f>
      </c>
      <c r="CR1007" s="2282">
        <f>CR1008+CR$21</f>
      </c>
      <c r="CS1007" s="2282">
        <f>CS1008+CS$21</f>
      </c>
      <c r="CT1007" s="1093">
        <f>CT1008+CT$21</f>
      </c>
      <c r="CU1007" s="2290">
        <f>IF(CP1002=0, "NA", CU1002/CP1002-1)</f>
      </c>
      <c r="CV1007" s="2282">
        <f>CV1008+CV$21</f>
      </c>
      <c r="CW1007" s="2282">
        <f>CW1008+CW$21</f>
      </c>
      <c r="CX1007" s="2282">
        <f>CX1008+CX$21</f>
      </c>
      <c r="CY1007" s="1093">
        <f>CY1008+CY$21</f>
      </c>
      <c r="CZ1007" s="2290">
        <f>IF(CU1002=0, "NA", CZ1002/CU1002-1)</f>
      </c>
      <c r="DA1007" s="1328">
        <f>DA1008+DA$21</f>
      </c>
      <c r="DB1007" s="2299">
        <f>DB1008+DB$21</f>
      </c>
      <c r="DC1007" s="2299">
        <f>DC1008+DC$21</f>
      </c>
      <c r="DD1007" s="1348">
        <f>IF(DD1002=0, "NM", DD1002/CY1002-1)</f>
      </c>
      <c r="DE1007" s="2290">
        <f>DE1008+DE$21</f>
      </c>
      <c r="DF1007" s="1925"/>
      <c r="DG1007" s="2300"/>
      <c r="DH1007" s="2300"/>
      <c r="DI1007" s="1926"/>
      <c r="DJ1007" s="2290">
        <f>DJ1008+DJ$21</f>
      </c>
      <c r="DK1007" s="958"/>
      <c r="DL1007" s="926"/>
      <c r="DM1007" s="926"/>
      <c r="DN1007" s="928"/>
      <c r="DO1007" s="2290">
        <f>DO1008+DO$21</f>
      </c>
      <c r="DP1007" s="2300"/>
      <c r="DQ1007" s="2300"/>
      <c r="DR1007" s="2300"/>
      <c r="DS1007" s="2300"/>
      <c r="DT1007" s="2290">
        <f>DT1008+DT$21</f>
      </c>
      <c r="DU1007" s="2300">
        <f>DU1008+DU$21</f>
      </c>
      <c r="DV1007" s="2300"/>
      <c r="DW1007" s="2300"/>
      <c r="DX1007" s="1926"/>
      <c r="DY1007" s="2290">
        <f>DY1008+DY$21</f>
      </c>
      <c r="DZ1007" s="2300"/>
      <c r="EA1007" s="2300"/>
      <c r="EB1007" s="2300"/>
      <c r="EC1007" s="1926"/>
      <c r="ED1007" s="2290">
        <f>ED1008+ED$21</f>
      </c>
      <c r="EE1007" s="2300"/>
      <c r="EF1007" s="2300"/>
      <c r="EG1007" s="2282"/>
      <c r="EH1007" s="2300"/>
      <c r="EI1007" s="1092">
        <f t="shared" ref="EI1007:EN1007" si="2126">EI1008+EI$21</f>
      </c>
      <c r="EJ1007" s="1092">
        <f t="shared" si="2126"/>
      </c>
      <c r="EK1007" s="2290">
        <f t="shared" si="2126"/>
      </c>
      <c r="EL1007" s="2290">
        <f t="shared" si="2126"/>
      </c>
      <c r="EM1007" s="2290">
        <f t="shared" si="2126"/>
      </c>
      <c r="EN1007" s="2290">
        <f t="shared" si="2126"/>
      </c>
      <c r="EO1007" s="2290"/>
      <c r="EP1007" s="2290"/>
      <c r="EQ1007" s="2290"/>
      <c r="ER1007" s="2290"/>
      <c r="ES1007" s="2290"/>
      <c r="ET1007" s="2290"/>
      <c r="EU1007" s="2290"/>
      <c r="EV1007" s="2290"/>
      <c r="EW1007" s="2290"/>
      <c r="EX1007" s="2290"/>
    </row>
    <row r="1008" spans="2:154" ht="12.75" hidden="1" customHeight="1" outlineLevel="2">
      <c r="B1008" s="1086" t="s">
        <v>256</v>
      </c>
      <c r="C1008" s="2280"/>
      <c r="D1008" s="2281"/>
      <c r="E1008" s="2281"/>
      <c r="F1008" s="2281"/>
      <c r="G1008" s="2281"/>
      <c r="H1008" s="2281"/>
      <c r="I1008" s="1081"/>
      <c r="J1008" s="2308"/>
      <c r="K1008" s="2308"/>
      <c r="L1008" s="2308"/>
      <c r="M1008" s="2308"/>
      <c r="N1008" s="1081"/>
      <c r="O1008" s="1081"/>
      <c r="P1008" s="1081"/>
      <c r="Q1008" s="1081"/>
      <c r="R1008" s="1081"/>
      <c r="S1008" s="2308"/>
      <c r="T1008" s="1081"/>
      <c r="U1008" s="1081"/>
      <c r="V1008" s="1081"/>
      <c r="W1008" s="1081"/>
      <c r="X1008" s="2291"/>
      <c r="Y1008" s="1081"/>
      <c r="Z1008" s="1081"/>
      <c r="AA1008" s="1081"/>
      <c r="AB1008" s="1081"/>
      <c r="AC1008" s="2291"/>
      <c r="AD1008" s="1081"/>
      <c r="AE1008" s="1081"/>
      <c r="AF1008" s="1081"/>
      <c r="AG1008" s="1081"/>
      <c r="AH1008" s="2291"/>
      <c r="AI1008" s="2315"/>
      <c r="AJ1008" s="2315"/>
      <c r="AK1008" s="2315"/>
      <c r="AL1008" s="2315"/>
      <c r="AM1008" s="2291"/>
      <c r="AN1008" s="2315"/>
      <c r="AO1008" s="2315"/>
      <c r="AP1008" s="2315"/>
      <c r="AQ1008" s="2315"/>
      <c r="AR1008" s="2291"/>
      <c r="AS1008" s="2315">
        <f t="shared" ref="AS1008:BD1008" si="2127">IF(ISNUMBER(AS1007),(1+AS1007)/(1+AS$21)-1,"NM")</f>
      </c>
      <c r="AT1008" s="2315">
        <f t="shared" si="2127"/>
      </c>
      <c r="AU1008" s="2315">
        <f t="shared" si="2127"/>
      </c>
      <c r="AV1008" s="2315">
        <f t="shared" si="2127"/>
      </c>
      <c r="AW1008" s="2291">
        <f t="shared" si="2127"/>
      </c>
      <c r="AX1008" s="2315">
        <f t="shared" si="2127"/>
      </c>
      <c r="AY1008" s="2315">
        <f t="shared" si="2127"/>
      </c>
      <c r="AZ1008" s="2315">
        <f t="shared" si="2127"/>
      </c>
      <c r="BA1008" s="2315">
        <f t="shared" si="2127"/>
      </c>
      <c r="BB1008" s="2291">
        <f t="shared" si="2127"/>
      </c>
      <c r="BC1008" s="2315">
        <f t="shared" si="2127"/>
      </c>
      <c r="BD1008" s="2315">
        <f t="shared" si="2127"/>
      </c>
      <c r="BE1008" s="2316">
        <v>0.1</v>
      </c>
      <c r="BF1008" s="2316">
        <v>0.10804322374955189</v>
      </c>
      <c r="BG1008" s="2317">
        <f>IF(ISNUMBER(BG1007),(1+BG1007)/(1+BG$21)-1,"NM")</f>
      </c>
      <c r="BH1008" s="2315">
        <f>IF(ISNUMBER(BH1007),(1+BH1007)/(1+BH$21)-1,"NM")</f>
      </c>
      <c r="BI1008" s="2315">
        <f>IF(ISNUMBER(BI1007),(1+BI1007)/(1+BI$21)-1,"NM")</f>
      </c>
      <c r="BJ1008" s="2315">
        <f>IF(ISNUMBER(BJ1007),(1+BJ1007)/(1+BJ$21)-1,"NM")</f>
      </c>
      <c r="BK1008" s="2316">
        <v>0.09</v>
      </c>
      <c r="BL1008" s="2318">
        <v>0.1</v>
      </c>
      <c r="BM1008" s="2316">
        <v>0.1</v>
      </c>
      <c r="BN1008" s="2316">
        <v>0.1</v>
      </c>
      <c r="BO1008" s="2316">
        <v>0.1</v>
      </c>
      <c r="BP1008" s="2282">
        <f>IF(ISNUMBER(BP1007),(1+BP1007)/(1+BP$21)-1,"NM")</f>
      </c>
      <c r="BQ1008" s="2318">
        <v>0.09</v>
      </c>
      <c r="BR1008" s="2316">
        <v>0.1</v>
      </c>
      <c r="BS1008" s="2316">
        <v>0.1</v>
      </c>
      <c r="BT1008" s="2316">
        <v>7.0000000000000007E-2</v>
      </c>
      <c r="BU1008" s="2316">
        <v>7.2734163044462896E-2</v>
      </c>
      <c r="BV1008" s="2290">
        <f>IF(ISNUMBER(BV1007),(1+BV1007)/(1+BV$21)-1,"NM")</f>
      </c>
      <c r="BW1008" s="2292">
        <v>0.08</v>
      </c>
      <c r="BX1008" s="2292">
        <v>0.08</v>
      </c>
      <c r="BY1008" s="2292">
        <v>0.08</v>
      </c>
      <c r="BZ1008" s="2294">
        <v>0.08</v>
      </c>
      <c r="CA1008" s="2290">
        <f>IF(ISNUMBER(CA1007),(1+CA1007)/(1+CA$21)-1,"NM")</f>
      </c>
      <c r="CB1008" s="2292">
        <v>0.08</v>
      </c>
      <c r="CC1008" s="2292">
        <v>0.08</v>
      </c>
      <c r="CD1008" s="2292">
        <v>0.08</v>
      </c>
      <c r="CE1008" s="2292">
        <v>0.08</v>
      </c>
      <c r="CF1008" s="2290">
        <f>IF(ISNUMBER(CF1007),(1+CF1007)/(1+CF$21)-1,"NM")</f>
      </c>
      <c r="CG1008" s="2292">
        <v>0.08</v>
      </c>
      <c r="CH1008" s="2292">
        <v>0.08</v>
      </c>
      <c r="CI1008" s="2292">
        <v>0.08</v>
      </c>
      <c r="CJ1008" s="2292">
        <v>0.08</v>
      </c>
      <c r="CK1008" s="2291">
        <f>CK1007-CK$21</f>
      </c>
      <c r="CL1008" s="2307">
        <v>0.08</v>
      </c>
      <c r="CM1008" s="2292">
        <v>0.08</v>
      </c>
      <c r="CN1008" s="2292">
        <v>0.08</v>
      </c>
      <c r="CO1008" s="2292">
        <v>0.08</v>
      </c>
      <c r="CP1008" s="2291">
        <f>CP1007-CP$21</f>
      </c>
      <c r="CQ1008" s="2292">
        <v>0.08</v>
      </c>
      <c r="CR1008" s="2292">
        <v>0.08</v>
      </c>
      <c r="CS1008" s="2292">
        <v>0.08</v>
      </c>
      <c r="CT1008" s="2294">
        <v>0.08</v>
      </c>
      <c r="CU1008" s="2291">
        <f>CU1007-CU$21</f>
      </c>
      <c r="CV1008" s="2292">
        <v>0.08</v>
      </c>
      <c r="CW1008" s="2292">
        <v>0.08</v>
      </c>
      <c r="CX1008" s="2292">
        <v>0.08</v>
      </c>
      <c r="CY1008" s="2294">
        <v>0.08</v>
      </c>
      <c r="CZ1008" s="2291">
        <f>CZ1007-CZ$21</f>
      </c>
      <c r="DA1008" s="2296">
        <v>0.08</v>
      </c>
      <c r="DB1008" s="2297">
        <v>0.08</v>
      </c>
      <c r="DC1008" s="2297">
        <v>0.08</v>
      </c>
      <c r="DD1008" s="2298">
        <f>IF(DD1002=0, "NM",DD1007-DD$21)</f>
      </c>
      <c r="DE1008" s="2293">
        <v>0.08</v>
      </c>
      <c r="DF1008" s="2296"/>
      <c r="DG1008" s="2297"/>
      <c r="DH1008" s="2297"/>
      <c r="DI1008" s="2298"/>
      <c r="DJ1008" s="2294">
        <v>0.08</v>
      </c>
      <c r="DK1008" s="828"/>
      <c r="DL1008" s="361"/>
      <c r="DM1008" s="361"/>
      <c r="DN1008" s="927"/>
      <c r="DO1008" s="2294">
        <v>0.08</v>
      </c>
      <c r="DP1008" s="2297"/>
      <c r="DQ1008" s="2297"/>
      <c r="DR1008" s="2297"/>
      <c r="DS1008" s="3111"/>
      <c r="DT1008" s="2293">
        <v>0.08</v>
      </c>
      <c r="DU1008" s="3111">
        <v>0.08</v>
      </c>
      <c r="DV1008" s="2297"/>
      <c r="DW1008" s="2297"/>
      <c r="DX1008" s="3306"/>
      <c r="DY1008" s="3308"/>
      <c r="DZ1008" s="2297"/>
      <c r="EA1008" s="2297"/>
      <c r="EB1008" s="2297"/>
      <c r="EC1008" s="3306"/>
      <c r="ED1008" s="3308"/>
      <c r="EE1008" s="2297"/>
      <c r="EF1008" s="2297"/>
      <c r="EG1008" s="2292"/>
      <c r="EH1008" s="3111"/>
      <c r="EI1008" s="2307">
        <v>0.08</v>
      </c>
      <c r="EJ1008" s="2292">
        <v>0.08</v>
      </c>
      <c r="EK1008" s="2294">
        <v>0.08</v>
      </c>
      <c r="EL1008" s="2294">
        <v>0.08</v>
      </c>
      <c r="EM1008" s="2294">
        <v>0.08</v>
      </c>
      <c r="EN1008" s="2294">
        <v>0.08</v>
      </c>
      <c r="EO1008" s="2293"/>
      <c r="EP1008" s="2293"/>
      <c r="EQ1008" s="2293"/>
      <c r="ER1008" s="2293"/>
      <c r="ES1008" s="2293"/>
      <c r="ET1008" s="2293"/>
      <c r="EU1008" s="2293"/>
      <c r="EV1008" s="2293"/>
      <c r="EW1008" s="2293"/>
      <c r="EX1008" s="2293"/>
    </row>
    <row r="1009" spans="2:154" ht="12.75" hidden="1" customHeight="1" outlineLevel="2">
      <c r="B1009" s="1086" t="s">
        <v>413</v>
      </c>
      <c r="C1009" s="2280"/>
      <c r="D1009" s="2281"/>
      <c r="E1009" s="2281"/>
      <c r="F1009" s="2281"/>
      <c r="G1009" s="2281"/>
      <c r="H1009" s="2281"/>
      <c r="I1009" s="2282"/>
      <c r="J1009" s="2282"/>
      <c r="K1009" s="2282"/>
      <c r="L1009" s="2282"/>
      <c r="M1009" s="2282"/>
      <c r="N1009" s="2282"/>
      <c r="O1009" s="2282"/>
      <c r="P1009" s="2282"/>
      <c r="Q1009" s="2282"/>
      <c r="R1009" s="2282"/>
      <c r="S1009" s="2282"/>
      <c r="T1009" s="2282"/>
      <c r="U1009" s="2282"/>
      <c r="V1009" s="2282"/>
      <c r="W1009" s="2282"/>
      <c r="X1009" s="2290"/>
      <c r="Y1009" s="2282"/>
      <c r="Z1009" s="2282"/>
      <c r="AA1009" s="2282"/>
      <c r="AB1009" s="2282"/>
      <c r="AC1009" s="2290"/>
      <c r="AD1009" s="2282"/>
      <c r="AE1009" s="2282"/>
      <c r="AF1009" s="2282"/>
      <c r="AG1009" s="2282"/>
      <c r="AH1009" s="2290"/>
      <c r="AI1009" s="2282"/>
      <c r="AJ1009" s="2282"/>
      <c r="AK1009" s="2282"/>
      <c r="AL1009" s="2282"/>
      <c r="AM1009" s="2290"/>
      <c r="AN1009" s="2282"/>
      <c r="AO1009" s="2282"/>
      <c r="AP1009" s="2282"/>
      <c r="AQ1009" s="2282"/>
      <c r="AR1009" s="2290"/>
      <c r="AS1009" s="2282">
        <f>IF(AN1003="NM","NM",IF(AS1003="NM","NM",IF(AN1003&lt;=0,"NM",IF(AS1003=0,"NM",IF(ABS(AS1003/AN1003-1)&gt;2.5,"NM",IF((ABS(AS1003-AN1003)=ABS(ABS(AS1003)-ABS(AN1003))),(AS1003/AN1003-1),"NM"))))))</f>
      </c>
      <c r="AT1009" s="2282">
        <f>IF(AO1003="NM","NM",IF(AT1003="NM","NM",IF(AO1003&lt;=0,"NM",IF(AT1003=0,"NM",IF(ABS(AT1003/AO1003-1)&gt;2.5,"NM",IF((ABS(AT1003-AO1003)=ABS(ABS(AT1003)-ABS(AO1003))),(AT1003/AO1003-1),"NM"))))))</f>
      </c>
      <c r="AU1009" s="2282">
        <f>IF(AP1003="NM","NM",IF(AU1003="NM","NM",IF(AP1003&lt;=0,"NM",IF(AU1003=0,"NM",IF(ABS(AU1003/AP1003-1)&gt;2.5,"NM",IF((ABS(AU1003-AP1003)=ABS(ABS(AU1003)-ABS(AP1003))),(AU1003/AP1003-1),"NM"))))))</f>
      </c>
      <c r="AV1009" s="2282">
        <f>IF(AQ1003="NM","NM",IF(AV1003="NM","NM",IF(AQ1003&lt;=0,"NM",IF(AV1003=0,"NM",IF(ABS(AV1003/AQ1003-1)&gt;2.5,"NM",IF((ABS(AV1003-AQ1003)=ABS(ABS(AV1003)-ABS(AQ1003))),(AV1003/AQ1003-1),"NM"))))))</f>
      </c>
      <c r="AW1009" s="2290">
        <f>IF(AS1003="NM","NM",IF(AX1003="NM","NM",IF(AS1003&lt;=0,"NM",IF(AX1003=0,"NM",IF(ABS(AX1003/AS1003-1)&gt;2.5,"NM",IF((ABS(AX1003-AS1003)=ABS(ABS(AX1003)-ABS(AS1003))),(AX1003/AS1003-1),"NM"))))))</f>
      </c>
      <c r="AX1009" s="2282">
        <f>IF(AS1003="NM","NM",IF(AX1003="NM","NM",IF(AS1003&lt;=0,"NM",IF(AX1003=0,"NM",IF(ABS(AX1003/AS1003-1)&gt;2.5,"NM",IF((ABS(AX1003-AS1003)=ABS(ABS(AX1003)-ABS(AS1003))),(AX1003/AS1003-1),"NM"))))))</f>
      </c>
      <c r="AY1009" s="2282">
        <f>IF(AT1003="NM","NM",IF(AY1003="NM","NM",IF(AT1003&lt;=0,"NM",IF(AY1003=0,"NM",IF(ABS(AY1003/AT1003-1)&gt;2.5,"NM",IF((ABS(AY1003-AT1003)=ABS(ABS(AY1003)-ABS(AT1003))),(AY1003/AT1003-1),"NM"))))))</f>
      </c>
      <c r="AZ1009" s="2282">
        <f>IF(AU1003="NM","NM",IF(AZ1003="NM","NM",IF(AU1003&lt;=0,"NM",IF(AZ1003=0,"NM",IF(ABS(AZ1003/AU1003-1)&gt;2.5,"NM",IF((ABS(AZ1003-AU1003)=ABS(ABS(AZ1003)-ABS(AU1003))),(AZ1003/AU1003-1),"NM"))))))</f>
      </c>
      <c r="BA1009" s="2282">
        <f>IF(AV1003="NM","NM",IF(BA1003="NM","NM",IF(AV1003&lt;=0,"NM",IF(BA1003=0,"NM",IF(ABS(BA1003/AV1003-1)&gt;2.5,"NM",IF((ABS(BA1003-AV1003)=ABS(ABS(BA1003)-ABS(AV1003))),(BA1003/AV1003-1),"NM"))))))</f>
      </c>
      <c r="BB1009" s="2290" t="str">
        <f>IF(AX1003="NM","NM",IF(BB1003="NM","NM",IF(AX1003&lt;=0,"NM",IF(BB1003=0,"NM",IF(ABS(BB1003/AX1003-1)&gt;2.5,"NM",IF((ABS(BB1003-AX1003)=ABS(ABS(BB1003)-ABS(AX1003))),(BB1003/AX1003-1),"NM"))))))</f>
      </c>
      <c r="BC1009" s="2282">
        <f>IF(AX1003="NM","NM",IF(BC1003="NM","NM",IF(AX1003&lt;=0,"NM",IF(BC1003=0,"NM",IF(ABS(BC1003/AX1003-1)&gt;2.5,"NM",IF((ABS(BC1003-AX1003)=ABS(ABS(BC1003)-ABS(AX1003))),(BC1003/AX1003-1),"NM"))))))</f>
      </c>
      <c r="BD1009" s="2282">
        <f>IF(AY1003="NM","NM",IF(BD1003="NM","NM",IF(AY1003&lt;=0,"NM",IF(BD1003=0,"NM",IF(ABS(BD1003/AY1003-1)&gt;2.5,"NM",IF((ABS(BD1003-AY1003)=ABS(ABS(BD1003)-ABS(AY1003))),(BD1003/AY1003-1),"NM"))))))</f>
      </c>
      <c r="BE1009" s="2282">
        <f t="shared" ref="BE1009:CD1009" si="2128">IF(AZ1003="NM","NM",IF(BE1003="NM","NM",IF(AZ1003&lt;=0,"NM",IF(BE1003=0,"NM",IF(ABS(BE1003/AZ1003-1)&gt;2.5,"NM",IF((ABS(BE1003-AZ1003)=ABS(ABS(BE1003)-ABS(AZ1003))),(BE1003/AZ1003-1),"NM"))))))</f>
      </c>
      <c r="BF1009" s="2282">
        <f t="shared" si="2128"/>
      </c>
      <c r="BG1009" s="2290">
        <f t="shared" si="2128"/>
      </c>
      <c r="BH1009" s="2282">
        <f t="shared" si="2128"/>
      </c>
      <c r="BI1009" s="2282">
        <f t="shared" si="2128"/>
      </c>
      <c r="BJ1009" s="2282">
        <f t="shared" si="2128"/>
      </c>
      <c r="BK1009" s="2282">
        <f t="shared" si="2128"/>
      </c>
      <c r="BL1009" s="2290">
        <f t="shared" si="2128"/>
      </c>
      <c r="BM1009" s="2282">
        <f t="shared" si="2128"/>
      </c>
      <c r="BN1009" s="2282">
        <f t="shared" si="2128"/>
      </c>
      <c r="BO1009" s="2282">
        <f t="shared" si="2128"/>
      </c>
      <c r="BP1009" s="2282">
        <f t="shared" si="2128"/>
      </c>
      <c r="BQ1009" s="2290">
        <f t="shared" si="2128"/>
      </c>
      <c r="BR1009" s="2282">
        <f t="shared" si="2128"/>
      </c>
      <c r="BS1009" s="2282">
        <f t="shared" si="2128"/>
      </c>
      <c r="BT1009" s="2282">
        <f t="shared" si="2128"/>
      </c>
      <c r="BU1009" s="2282">
        <f t="shared" si="2128"/>
      </c>
      <c r="BV1009" s="2290">
        <f t="shared" si="2128"/>
      </c>
      <c r="BW1009" s="2282">
        <f t="shared" si="2128"/>
      </c>
      <c r="BX1009" s="2282">
        <f t="shared" si="2128"/>
      </c>
      <c r="BY1009" s="2282">
        <f t="shared" si="2128"/>
      </c>
      <c r="BZ1009" s="2282">
        <f t="shared" si="2128"/>
      </c>
      <c r="CA1009" s="2290">
        <f t="shared" si="2128"/>
      </c>
      <c r="CB1009" s="2282">
        <f t="shared" si="2128"/>
      </c>
      <c r="CC1009" s="2282">
        <f t="shared" si="2128"/>
      </c>
      <c r="CD1009" s="2282">
        <f t="shared" si="2128"/>
      </c>
      <c r="CE1009" s="2282">
        <f>IF(CE1003&lt;=0,0,(CE1003/BZ1003-1))</f>
      </c>
      <c r="CF1009" s="2290">
        <f>IF(CA1003="NM","NM",IF(CF1003="NM","NM",IF(CA1003&lt;=0,"NM",IF(CF1003=0,"NM",IF(ABS(CF1003/CA1003-1)&gt;2.5,"NM",IF((ABS(CF1003-CA1003)=ABS(ABS(CF1003)-ABS(CA1003))),(CF1003/CA1003-1),"NM"))))))</f>
      </c>
      <c r="CG1009" s="2282">
        <f>IF(CG1003&lt;=0,0,(CG1003/CB1003-1))</f>
      </c>
      <c r="CH1009" s="2282">
        <f>IF(CH1003&lt;=0,0,(CH1003/CC1003-1))</f>
      </c>
      <c r="CI1009" s="2282">
        <f>IF(CI1003&lt;=0,0,(CI1003/CD1003-1))</f>
      </c>
      <c r="CJ1009" s="2282">
        <f>IF(CJ1003&lt;=0,0,(CJ1003/CE1003-1))</f>
      </c>
      <c r="CK1009" s="2290">
        <f>IF(CF1003=0, "NA", CK1003/CF1003-1)</f>
      </c>
      <c r="CL1009" s="1092">
        <f>IF(CL1003&lt;=0,0,(CL1003/CG1003-1))</f>
      </c>
      <c r="CM1009" s="2282">
        <f>IF(CM1003&lt;=0,0,(CM1003/CH1003-1))</f>
      </c>
      <c r="CN1009" s="2282">
        <f>IF(CN1003&lt;=0,0,(CN1003/CI1003-1))</f>
      </c>
      <c r="CO1009" s="2282">
        <f>IF(CO1003&lt;=0,0,(CO1003/CJ1003-1))</f>
      </c>
      <c r="CP1009" s="2290">
        <f>IF(CK1003=0, "NA", CP1003/CK1003-1)</f>
      </c>
      <c r="CQ1009" s="2282">
        <f>IF(CQ1003&lt;=0,0,(CQ1003/CL1003-1))</f>
      </c>
      <c r="CR1009" s="2282">
        <f>IF(CR1003&lt;=0,0,(CR1003/CM1003-1))</f>
      </c>
      <c r="CS1009" s="2282">
        <f>IF(CS1003&lt;=0,0,(CS1003/CN1003-1))</f>
      </c>
      <c r="CT1009" s="1093">
        <f>IF(CT1003&lt;=0,0,(CT1003/CO1003-1))</f>
      </c>
      <c r="CU1009" s="2290">
        <f>IF(CP1003=0, "NA", CU1003/CP1003-1)</f>
      </c>
      <c r="CV1009" s="2282">
        <f>IF(CV1003&lt;=0,0,(CV1003/CQ1003-1))</f>
      </c>
      <c r="CW1009" s="2282">
        <f>IF(CW1003&lt;=0,0,(CW1003/CR1003-1))</f>
      </c>
      <c r="CX1009" s="2282">
        <f>IF(CX1003&lt;=0,0,(CX1003/CS1003-1))</f>
      </c>
      <c r="CY1009" s="1093">
        <f>IF(CY1003&lt;=0,0,(CY1003/CT1003-1))</f>
      </c>
      <c r="CZ1009" s="2290">
        <f>IF(CU1003=0, "NA", CZ1003/CU1003-1)</f>
      </c>
      <c r="DA1009" s="1925">
        <f>IF(CV1003=0, "NA", DA1003/CV1003-1)</f>
      </c>
      <c r="DB1009" s="2300">
        <f>IF(CW1003=0, "NA", DB1003/CW1003-1)</f>
      </c>
      <c r="DC1009" s="2300">
        <f>IF(CX1003=0, "NA", DC1003/CX1003-1)</f>
      </c>
      <c r="DD1009" s="1926">
        <f>IF(CY1003=0, "NM", DD1003/CY1003-1)</f>
      </c>
      <c r="DE1009" s="2290">
        <f>IF(CZ1003=0, "NA", DE1003/CZ1003-1)</f>
      </c>
      <c r="DF1009" s="1925"/>
      <c r="DG1009" s="2300"/>
      <c r="DH1009" s="2300"/>
      <c r="DI1009" s="1926"/>
      <c r="DJ1009" s="2290">
        <f>IF(DE1003=0, "NA", DJ1003/DE1003-1)</f>
      </c>
      <c r="DK1009" s="958"/>
      <c r="DL1009" s="926"/>
      <c r="DM1009" s="926"/>
      <c r="DN1009" s="928"/>
      <c r="DO1009" s="2290">
        <f>IF(DJ1003=0, "NA", DO1003/DJ1003-1)</f>
      </c>
      <c r="DP1009" s="2300"/>
      <c r="DQ1009" s="2300"/>
      <c r="DR1009" s="2300"/>
      <c r="DS1009" s="2300"/>
      <c r="DT1009" s="2290">
        <f>IF(DO1003=0, "NA", DT1003/DO1003-1)</f>
      </c>
      <c r="DU1009" s="2300" t="str">
        <f>IF(DP1003=0, "NA", DU1003/DP1003-1)</f>
      </c>
      <c r="DV1009" s="2300"/>
      <c r="DW1009" s="2300"/>
      <c r="DX1009" s="1926"/>
      <c r="DY1009" s="2290">
        <f>IF(DT1003=0, "NA", DY1003/DT1003-1)</f>
      </c>
      <c r="DZ1009" s="2300"/>
      <c r="EA1009" s="2300"/>
      <c r="EB1009" s="2300"/>
      <c r="EC1009" s="1926"/>
      <c r="ED1009" s="2290">
        <f>IF(DY1003=0, "NA", ED1003/DY1003-1)</f>
      </c>
      <c r="EE1009" s="2300"/>
      <c r="EF1009" s="2300"/>
      <c r="EG1009" s="2282"/>
      <c r="EH1009" s="2300"/>
      <c r="EI1009" s="1092">
        <f>IF(ED1003=0, "NA", EI1003/ED1003-1)</f>
      </c>
      <c r="EJ1009" s="1092">
        <f t="shared" ref="EJ1009:EN1009" si="2129">IF(EI1003=0, "NA", EJ1003/EI1003-1)</f>
      </c>
      <c r="EK1009" s="2290">
        <f t="shared" si="2129"/>
      </c>
      <c r="EL1009" s="2290">
        <f t="shared" si="2129"/>
      </c>
      <c r="EM1009" s="2290">
        <f t="shared" si="2129"/>
      </c>
      <c r="EN1009" s="2290">
        <f t="shared" si="2129"/>
      </c>
      <c r="EO1009" s="2290"/>
      <c r="EP1009" s="2290"/>
      <c r="EQ1009" s="2290"/>
      <c r="ER1009" s="2290"/>
      <c r="ES1009" s="2290"/>
      <c r="ET1009" s="2290"/>
      <c r="EU1009" s="2290"/>
      <c r="EV1009" s="2290"/>
      <c r="EW1009" s="2290"/>
      <c r="EX1009" s="2290"/>
    </row>
    <row r="1010" spans="2:154" ht="12.75" hidden="1" customHeight="1" outlineLevel="2">
      <c r="B1010" s="1087"/>
      <c r="C1010" s="2280"/>
      <c r="D1010" s="2281"/>
      <c r="E1010" s="2281"/>
      <c r="F1010" s="2281"/>
      <c r="G1010" s="2281"/>
      <c r="H1010" s="2281"/>
      <c r="I1010" s="2282"/>
      <c r="J1010" s="2282"/>
      <c r="K1010" s="2282"/>
      <c r="L1010" s="2282"/>
      <c r="M1010" s="2282"/>
      <c r="N1010" s="2282"/>
      <c r="O1010" s="2282"/>
      <c r="P1010" s="2282"/>
      <c r="Q1010" s="2282"/>
      <c r="R1010" s="2282"/>
      <c r="S1010" s="2282"/>
      <c r="T1010" s="2282"/>
      <c r="U1010" s="2282"/>
      <c r="V1010" s="2282"/>
      <c r="W1010" s="2282"/>
      <c r="X1010" s="2290"/>
      <c r="Y1010" s="2282"/>
      <c r="Z1010" s="2282"/>
      <c r="AA1010" s="2282"/>
      <c r="AB1010" s="2282"/>
      <c r="AC1010" s="2290"/>
      <c r="AD1010" s="2282"/>
      <c r="AE1010" s="2282"/>
      <c r="AF1010" s="2282"/>
      <c r="AG1010" s="2282"/>
      <c r="AH1010" s="2290"/>
      <c r="AI1010" s="2282"/>
      <c r="AJ1010" s="2282"/>
      <c r="AK1010" s="2282"/>
      <c r="AL1010" s="2282"/>
      <c r="AM1010" s="2290"/>
      <c r="AN1010" s="2282"/>
      <c r="AO1010" s="2282"/>
      <c r="AP1010" s="2282"/>
      <c r="AQ1010" s="2282"/>
      <c r="AR1010" s="2290"/>
      <c r="AS1010" s="2282"/>
      <c r="AT1010" s="2282"/>
      <c r="AU1010" s="2282"/>
      <c r="AV1010" s="2282"/>
      <c r="AW1010" s="2290"/>
      <c r="AX1010" s="2282"/>
      <c r="AY1010" s="2282"/>
      <c r="AZ1010" s="2282"/>
      <c r="BA1010" s="2282"/>
      <c r="BB1010" s="2290"/>
      <c r="BC1010" s="2282"/>
      <c r="BD1010" s="2282"/>
      <c r="BE1010" s="2282"/>
      <c r="BF1010" s="2282"/>
      <c r="BG1010" s="2290"/>
      <c r="BH1010" s="2282"/>
      <c r="BI1010" s="2282"/>
      <c r="BJ1010" s="2282"/>
      <c r="BK1010" s="2282"/>
      <c r="BL1010" s="2290"/>
      <c r="BM1010" s="2282"/>
      <c r="BN1010" s="2282"/>
      <c r="BO1010" s="2282"/>
      <c r="BP1010" s="2282"/>
      <c r="BQ1010" s="2290"/>
      <c r="BR1010" s="2282"/>
      <c r="BS1010" s="2282"/>
      <c r="BT1010" s="2282"/>
      <c r="BU1010" s="2282"/>
      <c r="BV1010" s="2290"/>
      <c r="BW1010" s="2282"/>
      <c r="BX1010" s="2282"/>
      <c r="BY1010" s="2282"/>
      <c r="BZ1010" s="2282"/>
      <c r="CA1010" s="2290"/>
      <c r="CB1010" s="2282"/>
      <c r="CC1010" s="2282"/>
      <c r="CD1010" s="2282"/>
      <c r="CE1010" s="2282"/>
      <c r="CF1010" s="2290"/>
      <c r="CG1010" s="2282"/>
      <c r="CH1010" s="2282"/>
      <c r="CI1010" s="2282"/>
      <c r="CJ1010" s="2282"/>
      <c r="CK1010" s="2290"/>
      <c r="CL1010" s="1092"/>
      <c r="CM1010" s="2282"/>
      <c r="CN1010" s="2282"/>
      <c r="CO1010" s="2282"/>
      <c r="CP1010" s="2290"/>
      <c r="CQ1010" s="2282"/>
      <c r="CR1010" s="2282"/>
      <c r="CS1010" s="2282"/>
      <c r="CT1010" s="1093"/>
      <c r="CU1010" s="1093"/>
      <c r="CV1010" s="2282"/>
      <c r="CW1010" s="2282"/>
      <c r="CX1010" s="2282"/>
      <c r="CY1010" s="1093"/>
      <c r="CZ1010" s="1093"/>
      <c r="DA1010" s="2282"/>
      <c r="DB1010" s="2282"/>
      <c r="DC1010" s="2282"/>
      <c r="DD1010" s="1093"/>
      <c r="DE1010" s="2290"/>
      <c r="DF1010" s="2282"/>
      <c r="DG1010" s="2282"/>
      <c r="DH1010" s="2282"/>
      <c r="DI1010" s="1093"/>
      <c r="DJ1010" s="2290"/>
      <c r="DK1010" s="926"/>
      <c r="DL1010" s="926"/>
      <c r="DM1010" s="926"/>
      <c r="DN1010" s="928"/>
      <c r="DO1010" s="2290"/>
      <c r="DP1010" s="2282"/>
      <c r="DQ1010" s="2282"/>
      <c r="DR1010" s="2282"/>
      <c r="DS1010" s="2282"/>
      <c r="DT1010" s="2290"/>
      <c r="DU1010" s="2282"/>
      <c r="DV1010" s="2282"/>
      <c r="DW1010" s="2282"/>
      <c r="DX1010" s="1093"/>
      <c r="DY1010" s="2290"/>
      <c r="DZ1010" s="2282"/>
      <c r="EA1010" s="2282"/>
      <c r="EB1010" s="2282"/>
      <c r="EC1010" s="1093"/>
      <c r="ED1010" s="2290"/>
      <c r="EE1010" s="2282"/>
      <c r="EF1010" s="2282"/>
      <c r="EG1010" s="2282"/>
      <c r="EH1010" s="2282"/>
      <c r="EI1010" s="1092"/>
      <c r="EJ1010" s="1092"/>
      <c r="EK1010" s="2290"/>
      <c r="EL1010" s="2290"/>
      <c r="EM1010" s="2290"/>
      <c r="EN1010" s="2290"/>
      <c r="EO1010" s="2290"/>
      <c r="EP1010" s="2290"/>
      <c r="EQ1010" s="2290"/>
      <c r="ER1010" s="2290"/>
      <c r="ES1010" s="2290"/>
      <c r="ET1010" s="2290"/>
      <c r="EU1010" s="2290"/>
      <c r="EV1010" s="2290"/>
      <c r="EW1010" s="2290"/>
      <c r="EX1010" s="2290"/>
    </row>
    <row r="1011" spans="2:154" ht="12.75" hidden="1" customHeight="1" outlineLevel="2">
      <c r="B1011" s="1080" t="s">
        <v>519</v>
      </c>
      <c r="C1011" s="2280" t="s">
        <v>555</v>
      </c>
      <c r="D1011" s="2281"/>
      <c r="E1011" s="2281"/>
      <c r="F1011" s="2281"/>
      <c r="G1011" s="2281"/>
      <c r="H1011" s="2281"/>
      <c r="I1011" s="2281"/>
      <c r="J1011" s="2281"/>
      <c r="K1011" s="2281"/>
      <c r="L1011" s="2281"/>
      <c r="M1011" s="2281"/>
      <c r="N1011" s="2281"/>
      <c r="O1011" s="2281"/>
      <c r="P1011" s="2281"/>
      <c r="Q1011" s="2281"/>
      <c r="R1011" s="2281"/>
      <c r="S1011" s="2281"/>
      <c r="T1011" s="2281"/>
      <c r="U1011" s="2281"/>
      <c r="V1011" s="2281"/>
      <c r="W1011" s="2281"/>
      <c r="X1011" s="2319"/>
      <c r="Y1011" s="2281"/>
      <c r="Z1011" s="2281"/>
      <c r="AA1011" s="2281"/>
      <c r="AB1011" s="2281"/>
      <c r="AC1011" s="2319"/>
      <c r="AD1011" s="2281"/>
      <c r="AE1011" s="2281"/>
      <c r="AF1011" s="2281"/>
      <c r="AG1011" s="2281"/>
      <c r="AH1011" s="2319"/>
      <c r="AI1011" s="2281"/>
      <c r="AJ1011" s="2281"/>
      <c r="AK1011" s="2281"/>
      <c r="AL1011" s="2281"/>
      <c r="AM1011" s="2319"/>
      <c r="AN1011" s="2281"/>
      <c r="AO1011" s="2281"/>
      <c r="AP1011" s="2281"/>
      <c r="AQ1011" s="2281"/>
      <c r="AR1011" s="2319"/>
      <c r="AS1011" s="2281"/>
      <c r="AT1011" s="2281"/>
      <c r="AU1011" s="2281"/>
      <c r="AV1011" s="2281"/>
      <c r="AW1011" s="2319"/>
      <c r="AX1011" s="2281"/>
      <c r="AY1011" s="2281"/>
      <c r="AZ1011" s="2281"/>
      <c r="BA1011" s="2281"/>
      <c r="BB1011" s="2319"/>
      <c r="BC1011" s="2281"/>
      <c r="BD1011" s="2281"/>
      <c r="BE1011" s="2281"/>
      <c r="BF1011" s="2281"/>
      <c r="BG1011" s="2319"/>
      <c r="BH1011" s="2281"/>
      <c r="BI1011" s="2281"/>
      <c r="BJ1011" s="2281"/>
      <c r="BK1011" s="2281"/>
      <c r="BL1011" s="2319"/>
      <c r="BM1011" s="2281"/>
      <c r="BN1011" s="2281"/>
      <c r="BO1011" s="2281"/>
      <c r="BP1011" s="2281"/>
      <c r="BQ1011" s="2319"/>
      <c r="BR1011" s="2281"/>
      <c r="BS1011" s="2281"/>
      <c r="BT1011" s="2281"/>
      <c r="BU1011" s="2281"/>
      <c r="BV1011" s="2319"/>
      <c r="BW1011" s="2281"/>
      <c r="BX1011" s="2281"/>
      <c r="BY1011" s="2281"/>
      <c r="BZ1011" s="2281"/>
      <c r="CA1011" s="2319"/>
      <c r="CB1011" s="2281"/>
      <c r="CC1011" s="2281"/>
      <c r="CD1011" s="2281"/>
      <c r="CE1011" s="2281"/>
      <c r="CF1011" s="2319"/>
      <c r="CG1011" s="2281"/>
      <c r="CH1011" s="2281"/>
      <c r="CI1011" s="2281"/>
      <c r="CJ1011" s="2281"/>
      <c r="CK1011" s="2319"/>
      <c r="CL1011" s="1072"/>
      <c r="CM1011" s="2281"/>
      <c r="CN1011" s="2281"/>
      <c r="CO1011" s="2281"/>
      <c r="CP1011" s="2319"/>
      <c r="CQ1011" s="2281"/>
      <c r="CR1011" s="2281"/>
      <c r="CS1011" s="2281"/>
      <c r="CT1011" s="1073"/>
      <c r="CU1011" s="1073"/>
      <c r="CV1011" s="2281"/>
      <c r="CW1011" s="2281"/>
      <c r="CX1011" s="2281"/>
      <c r="CY1011" s="1073"/>
      <c r="CZ1011" s="1073"/>
      <c r="DA1011" s="2281"/>
      <c r="DB1011" s="2281"/>
      <c r="DC1011" s="2281"/>
      <c r="DD1011" s="1073"/>
      <c r="DE1011" s="2320"/>
      <c r="DF1011" s="2321"/>
      <c r="DG1011" s="2321"/>
      <c r="DH1011" s="2321"/>
      <c r="DI1011" s="1929"/>
      <c r="DJ1011" s="2320"/>
      <c r="DK1011" s="982"/>
      <c r="DL1011" s="982"/>
      <c r="DM1011" s="982"/>
      <c r="DN1011" s="1875"/>
      <c r="DO1011" s="2320"/>
      <c r="DP1011" s="2321"/>
      <c r="DQ1011" s="2321"/>
      <c r="DR1011" s="2321"/>
      <c r="DS1011" s="2321"/>
      <c r="DT1011" s="2320"/>
      <c r="DU1011" s="2321"/>
      <c r="DV1011" s="2321"/>
      <c r="DW1011" s="2321"/>
      <c r="DX1011" s="1929"/>
      <c r="DY1011" s="2320"/>
      <c r="DZ1011" s="2321"/>
      <c r="EA1011" s="2321"/>
      <c r="EB1011" s="2321"/>
      <c r="EC1011" s="1929"/>
      <c r="ED1011" s="2320"/>
      <c r="EE1011" s="2321"/>
      <c r="EF1011" s="2321"/>
      <c r="EG1011" s="2321"/>
      <c r="EH1011" s="2321"/>
      <c r="EI1011" s="2322"/>
      <c r="EJ1011" s="2322"/>
      <c r="EK1011" s="2320"/>
      <c r="EL1011" s="2320"/>
      <c r="EM1011" s="2320"/>
      <c r="EN1011" s="2320"/>
      <c r="EO1011" s="2320"/>
      <c r="EP1011" s="2320"/>
      <c r="EQ1011" s="2320"/>
      <c r="ER1011" s="2320"/>
      <c r="ES1011" s="2320"/>
      <c r="ET1011" s="2320"/>
      <c r="EU1011" s="2320"/>
      <c r="EV1011" s="2320"/>
      <c r="EW1011" s="2320"/>
      <c r="EX1011" s="2320"/>
    </row>
    <row r="1012" spans="2:154" ht="12.75" hidden="1" customHeight="1" outlineLevel="2">
      <c r="B1012" s="1082" t="s">
        <v>187</v>
      </c>
      <c r="C1012" s="2280"/>
      <c r="D1012" s="2281"/>
      <c r="E1012" s="2281"/>
      <c r="F1012" s="2281"/>
      <c r="G1012" s="2281"/>
      <c r="H1012" s="2281"/>
      <c r="I1012" s="2281"/>
      <c r="J1012" s="2281"/>
      <c r="K1012" s="2281"/>
      <c r="L1012" s="2281"/>
      <c r="M1012" s="2281"/>
      <c r="N1012" s="2281"/>
      <c r="O1012" s="2281"/>
      <c r="P1012" s="2281"/>
      <c r="Q1012" s="2281"/>
      <c r="R1012" s="2281"/>
      <c r="S1012" s="2281"/>
      <c r="T1012" s="2281"/>
      <c r="U1012" s="2281"/>
      <c r="V1012" s="2281"/>
      <c r="W1012" s="2281"/>
      <c r="X1012" s="2319"/>
      <c r="Y1012" s="2281"/>
      <c r="Z1012" s="2281"/>
      <c r="AA1012" s="2281"/>
      <c r="AB1012" s="2281"/>
      <c r="AC1012" s="2319"/>
      <c r="AD1012" s="2281"/>
      <c r="AE1012" s="2281"/>
      <c r="AF1012" s="2281"/>
      <c r="AG1012" s="2281"/>
      <c r="AH1012" s="2319"/>
      <c r="AI1012" s="2281"/>
      <c r="AJ1012" s="2281"/>
      <c r="AK1012" s="2281"/>
      <c r="AL1012" s="2281"/>
      <c r="AM1012" s="2319"/>
      <c r="AN1012" s="2281"/>
      <c r="AO1012" s="2281"/>
      <c r="AP1012" s="2281"/>
      <c r="AQ1012" s="2281"/>
      <c r="AR1012" s="2319"/>
      <c r="AS1012" s="2281"/>
      <c r="AT1012" s="2281"/>
      <c r="AU1012" s="2281"/>
      <c r="AV1012" s="2281"/>
      <c r="AW1012" s="2319"/>
      <c r="AX1012" s="2281"/>
      <c r="AY1012" s="2281"/>
      <c r="AZ1012" s="2281"/>
      <c r="BA1012" s="2281"/>
      <c r="BB1012" s="2319">
        <f>SUM(AX1012:BA1012)</f>
      </c>
      <c r="BC1012" s="2281">
        <v>0</v>
      </c>
      <c r="BD1012" s="2281">
        <f t="shared" ref="BD1012:BF1013" si="2130">+(1+BD1017)*AY1012</f>
      </c>
      <c r="BE1012" s="2281">
        <f t="shared" si="2130"/>
      </c>
      <c r="BF1012" s="2281">
        <f t="shared" si="2130"/>
      </c>
      <c r="BG1012" s="1070">
        <f>SUM(BC1012:BF1012)</f>
      </c>
      <c r="BH1012" s="2281">
        <v>0</v>
      </c>
      <c r="BI1012" s="2281">
        <f>+(1+BI1017)*BD1012</f>
      </c>
      <c r="BJ1012" s="1083">
        <v>0</v>
      </c>
      <c r="BK1012" s="2281">
        <f>+(1+BK1017)*BF1012</f>
      </c>
      <c r="BL1012" s="1070">
        <f>+BG1012*(1+BL1017)</f>
      </c>
      <c r="BM1012" s="2281">
        <f t="shared" ref="BM1012:BO1013" si="2131">+(1+BM1017)*BH1012</f>
      </c>
      <c r="BN1012" s="2281">
        <f t="shared" si="2131"/>
      </c>
      <c r="BO1012" s="2281">
        <f t="shared" si="2131"/>
      </c>
      <c r="BP1012" s="2281">
        <f>+BQ1012-SUM(BM1012:BO1012)</f>
      </c>
      <c r="BQ1012" s="1070">
        <f>+BL1012*(1+BQ1017)</f>
      </c>
      <c r="BR1012" s="2281">
        <f t="shared" ref="BR1012:BU1013" si="2132">+(1+BR1017)*BM1012</f>
      </c>
      <c r="BS1012" s="2281">
        <f t="shared" si="2132"/>
      </c>
      <c r="BT1012" s="2281">
        <f t="shared" si="2132"/>
      </c>
      <c r="BU1012" s="2281">
        <f t="shared" si="2132"/>
      </c>
      <c r="BV1012" s="1070">
        <f>SUM(BR1012:BU1012)</f>
      </c>
      <c r="BW1012" s="2281">
        <f t="shared" ref="BW1012:BZ1013" si="2133">+(1+BW1017)*BR1012</f>
      </c>
      <c r="BX1012" s="2281">
        <f t="shared" si="2133"/>
      </c>
      <c r="BY1012" s="2281">
        <f t="shared" si="2133"/>
      </c>
      <c r="BZ1012" s="2281">
        <f t="shared" si="2133"/>
      </c>
      <c r="CA1012" s="1070">
        <f>SUM(BW1012:BZ1012)</f>
      </c>
      <c r="CB1012" s="2281">
        <f t="shared" ref="CB1012:CE1013" si="2134">+(1+CB1017)*BW1012</f>
      </c>
      <c r="CC1012" s="2281">
        <f t="shared" si="2134"/>
      </c>
      <c r="CD1012" s="2281">
        <f t="shared" si="2134"/>
      </c>
      <c r="CE1012" s="2281">
        <f t="shared" si="2134"/>
      </c>
      <c r="CF1012" s="1070">
        <f>SUM(CB1012:CE1012)</f>
      </c>
      <c r="CG1012" s="2281">
        <f t="shared" ref="CG1012:CJ1013" si="2135">+(1+CG1017)*CB1012</f>
      </c>
      <c r="CH1012" s="2281">
        <f t="shared" si="2135"/>
      </c>
      <c r="CI1012" s="2281">
        <f t="shared" si="2135"/>
      </c>
      <c r="CJ1012" s="2281">
        <f t="shared" si="2135"/>
      </c>
      <c r="CK1012" s="1070">
        <f>SUM(CG1012:CJ1012)</f>
      </c>
      <c r="CL1012" s="1072">
        <f t="shared" ref="CL1012:CO1013" si="2136">+(1+CL1017)*CG1012</f>
      </c>
      <c r="CM1012" s="2281">
        <f t="shared" si="2136"/>
      </c>
      <c r="CN1012" s="2281">
        <f t="shared" si="2136"/>
      </c>
      <c r="CO1012" s="2281">
        <f t="shared" si="2136"/>
      </c>
      <c r="CP1012" s="1070">
        <f>SUM(CL1012:CO1012)</f>
      </c>
      <c r="CQ1012" s="2281">
        <f t="shared" ref="CQ1012:CY1013" si="2137">+(1+CQ1017)*CL1012</f>
      </c>
      <c r="CR1012" s="2281">
        <f t="shared" si="2137"/>
      </c>
      <c r="CS1012" s="2281">
        <f t="shared" si="2137"/>
      </c>
      <c r="CT1012" s="1073">
        <f t="shared" si="2137"/>
      </c>
      <c r="CU1012" s="1070">
        <f>SUM(CQ1012:CT1012)</f>
      </c>
      <c r="CV1012" s="2281">
        <f t="shared" si="2137"/>
      </c>
      <c r="CW1012" s="2281">
        <f t="shared" si="2137"/>
      </c>
      <c r="CX1012" s="2281">
        <f t="shared" si="2137"/>
      </c>
      <c r="CY1012" s="1073">
        <f t="shared" si="2137"/>
      </c>
      <c r="CZ1012" s="1070">
        <f>SUM(CV1012:CY1012)</f>
      </c>
      <c r="DA1012" s="1326">
        <f t="shared" ref="DA1012:DC1013" si="2138">+(1+DA1017)*CV1012</f>
      </c>
      <c r="DB1012" s="2283">
        <f t="shared" si="2138"/>
      </c>
      <c r="DC1012" s="2283">
        <f t="shared" si="2138"/>
      </c>
      <c r="DD1012" s="1346">
        <f>+DE1012-SUM(DA1012:DC1012)</f>
      </c>
      <c r="DE1012" s="1922">
        <f>+CZ1012*(1+DE1017)</f>
      </c>
      <c r="DF1012" s="1923"/>
      <c r="DG1012" s="2284"/>
      <c r="DH1012" s="2284"/>
      <c r="DI1012" s="1924"/>
      <c r="DJ1012" s="1922">
        <f>+DE1012*(1+DJ1017)</f>
      </c>
      <c r="DK1012" s="1799"/>
      <c r="DL1012" s="603"/>
      <c r="DM1012" s="603"/>
      <c r="DN1012" s="1798"/>
      <c r="DO1012" s="1922">
        <f>+DJ1012*(1+DO1017)</f>
      </c>
      <c r="DP1012" s="2284"/>
      <c r="DQ1012" s="2284"/>
      <c r="DR1012" s="2284"/>
      <c r="DS1012" s="2284"/>
      <c r="DT1012" s="1922">
        <f>+DO1012*(1+DT1017)</f>
      </c>
      <c r="DU1012" s="2284">
        <f>+DP1012*(1+DU1017)</f>
      </c>
      <c r="DV1012" s="2284"/>
      <c r="DW1012" s="2284"/>
      <c r="DX1012" s="1924"/>
      <c r="DY1012" s="1922">
        <f>+DT1012*(1+DY1017)</f>
      </c>
      <c r="DZ1012" s="2284"/>
      <c r="EA1012" s="2284"/>
      <c r="EB1012" s="2284"/>
      <c r="EC1012" s="1924"/>
      <c r="ED1012" s="1922">
        <f>+DY1012*(1+ED1017)</f>
      </c>
      <c r="EE1012" s="2284"/>
      <c r="EF1012" s="2284"/>
      <c r="EG1012" s="2305"/>
      <c r="EH1012" s="2284"/>
      <c r="EI1012" s="1927">
        <f>+ED1012*(1+EI1017)</f>
      </c>
      <c r="EJ1012" s="1927">
        <f t="shared" ref="EJ1012:EN1013" si="2139">+EI1012*(1+EJ1017)</f>
      </c>
      <c r="EK1012" s="1922">
        <f t="shared" si="2139"/>
      </c>
      <c r="EL1012" s="1922">
        <f t="shared" si="2139"/>
      </c>
      <c r="EM1012" s="1922">
        <f t="shared" si="2139"/>
      </c>
      <c r="EN1012" s="1922">
        <f t="shared" si="2139"/>
      </c>
      <c r="EO1012" s="1922"/>
      <c r="EP1012" s="1922"/>
      <c r="EQ1012" s="1922"/>
      <c r="ER1012" s="1922"/>
      <c r="ES1012" s="1922"/>
      <c r="ET1012" s="1922"/>
      <c r="EU1012" s="1922"/>
      <c r="EV1012" s="1922"/>
      <c r="EW1012" s="1922"/>
      <c r="EX1012" s="1922"/>
    </row>
    <row r="1013" spans="2:154" ht="12.75" hidden="1" customHeight="1" outlineLevel="2">
      <c r="B1013" s="1082" t="s">
        <v>412</v>
      </c>
      <c r="C1013" s="2280"/>
      <c r="D1013" s="2281"/>
      <c r="E1013" s="2281"/>
      <c r="F1013" s="2281"/>
      <c r="G1013" s="2281"/>
      <c r="H1013" s="2281"/>
      <c r="I1013" s="2281"/>
      <c r="J1013" s="2281"/>
      <c r="K1013" s="2281"/>
      <c r="L1013" s="2281"/>
      <c r="M1013" s="2281"/>
      <c r="N1013" s="2281"/>
      <c r="O1013" s="2281"/>
      <c r="P1013" s="2281"/>
      <c r="Q1013" s="2281"/>
      <c r="R1013" s="2281"/>
      <c r="S1013" s="2281"/>
      <c r="T1013" s="2281"/>
      <c r="U1013" s="2281"/>
      <c r="V1013" s="2281"/>
      <c r="W1013" s="2281"/>
      <c r="X1013" s="2319"/>
      <c r="Y1013" s="2281"/>
      <c r="Z1013" s="2281"/>
      <c r="AA1013" s="2281"/>
      <c r="AB1013" s="2281"/>
      <c r="AC1013" s="2319"/>
      <c r="AD1013" s="2281"/>
      <c r="AE1013" s="2281"/>
      <c r="AF1013" s="2281"/>
      <c r="AG1013" s="2281"/>
      <c r="AH1013" s="2319"/>
      <c r="AI1013" s="2281"/>
      <c r="AJ1013" s="2281"/>
      <c r="AK1013" s="2281"/>
      <c r="AL1013" s="2281"/>
      <c r="AM1013" s="2319"/>
      <c r="AN1013" s="2281"/>
      <c r="AO1013" s="2281"/>
      <c r="AP1013" s="2281"/>
      <c r="AQ1013" s="2281"/>
      <c r="AR1013" s="2319"/>
      <c r="AS1013" s="2281"/>
      <c r="AT1013" s="2281"/>
      <c r="AU1013" s="2281"/>
      <c r="AV1013" s="2281"/>
      <c r="AW1013" s="2319"/>
      <c r="AX1013" s="2281">
        <v>17.7</v>
      </c>
      <c r="AY1013" s="2281">
        <v>19.2</v>
      </c>
      <c r="AZ1013" s="2281">
        <v>21.3</v>
      </c>
      <c r="BA1013" s="2281">
        <v>23</v>
      </c>
      <c r="BB1013" s="2319">
        <f>SUM(AX1013:BA1013)</f>
      </c>
      <c r="BC1013" s="2281">
        <f>+AX1013*1.2</f>
      </c>
      <c r="BD1013" s="2281">
        <f t="shared" si="2130"/>
      </c>
      <c r="BE1013" s="2281">
        <f t="shared" si="2130"/>
      </c>
      <c r="BF1013" s="2281">
        <f t="shared" si="2130"/>
      </c>
      <c r="BG1013" s="1070">
        <f>SUM(BC1013:BF1013)</f>
      </c>
      <c r="BH1013" s="2281">
        <f>+BC1013*1.2</f>
      </c>
      <c r="BI1013" s="2281">
        <f>+(1+BI1018)*BD1013</f>
      </c>
      <c r="BJ1013" s="1083">
        <v>26.253177614999995</v>
      </c>
      <c r="BK1013" s="2281">
        <f>+(1+BK1018)*BF1013</f>
      </c>
      <c r="BL1013" s="1070">
        <f>+BG1013*(1+BL1018)</f>
      </c>
      <c r="BM1013" s="2281">
        <f t="shared" si="2131"/>
      </c>
      <c r="BN1013" s="2281">
        <f t="shared" si="2131"/>
      </c>
      <c r="BO1013" s="2281">
        <f t="shared" si="2131"/>
      </c>
      <c r="BP1013" s="2281">
        <f>+BQ1013-SUM(BM1013:BO1013)</f>
      </c>
      <c r="BQ1013" s="1070">
        <f>+BL1013*(1+BQ1018)</f>
      </c>
      <c r="BR1013" s="2281">
        <f t="shared" si="2132"/>
      </c>
      <c r="BS1013" s="2281">
        <f t="shared" si="2132"/>
      </c>
      <c r="BT1013" s="2281">
        <f t="shared" si="2132"/>
      </c>
      <c r="BU1013" s="2281">
        <f t="shared" si="2132"/>
      </c>
      <c r="BV1013" s="1070">
        <f>SUM(BR1013:BU1013)</f>
      </c>
      <c r="BW1013" s="2281">
        <f t="shared" si="2133"/>
      </c>
      <c r="BX1013" s="2281">
        <f t="shared" si="2133"/>
      </c>
      <c r="BY1013" s="2281">
        <f t="shared" si="2133"/>
      </c>
      <c r="BZ1013" s="2281">
        <f t="shared" si="2133"/>
      </c>
      <c r="CA1013" s="1070">
        <f>SUM(BW1013:BZ1013)</f>
      </c>
      <c r="CB1013" s="2281">
        <f t="shared" si="2134"/>
      </c>
      <c r="CC1013" s="2281">
        <f t="shared" si="2134"/>
      </c>
      <c r="CD1013" s="2281">
        <f t="shared" si="2134"/>
      </c>
      <c r="CE1013" s="2281">
        <f t="shared" si="2134"/>
      </c>
      <c r="CF1013" s="1070">
        <f>SUM(CB1013:CE1013)</f>
      </c>
      <c r="CG1013" s="2281">
        <f t="shared" si="2135"/>
      </c>
      <c r="CH1013" s="2281">
        <f t="shared" si="2135"/>
      </c>
      <c r="CI1013" s="2281">
        <f t="shared" si="2135"/>
      </c>
      <c r="CJ1013" s="2281">
        <f t="shared" si="2135"/>
      </c>
      <c r="CK1013" s="1070">
        <f>SUM(CG1013:CJ1013)</f>
      </c>
      <c r="CL1013" s="1072">
        <f t="shared" si="2136"/>
      </c>
      <c r="CM1013" s="2281">
        <f t="shared" si="2136"/>
      </c>
      <c r="CN1013" s="2281">
        <f t="shared" si="2136"/>
      </c>
      <c r="CO1013" s="2281">
        <f t="shared" si="2136"/>
      </c>
      <c r="CP1013" s="1070">
        <f>SUM(CL1013:CO1013)</f>
      </c>
      <c r="CQ1013" s="2281">
        <f t="shared" si="2137"/>
      </c>
      <c r="CR1013" s="2281">
        <f t="shared" si="2137"/>
      </c>
      <c r="CS1013" s="2281">
        <f t="shared" si="2137"/>
      </c>
      <c r="CT1013" s="1073">
        <f t="shared" si="2137"/>
      </c>
      <c r="CU1013" s="1070">
        <f>SUM(CQ1013:CT1013)</f>
      </c>
      <c r="CV1013" s="2281">
        <f t="shared" si="2137"/>
      </c>
      <c r="CW1013" s="2281">
        <f t="shared" si="2137"/>
      </c>
      <c r="CX1013" s="2281">
        <f t="shared" si="2137"/>
      </c>
      <c r="CY1013" s="1073">
        <f t="shared" si="2137"/>
      </c>
      <c r="CZ1013" s="1070">
        <f>SUM(CV1013:CY1013)</f>
      </c>
      <c r="DA1013" s="1327">
        <f t="shared" si="2138"/>
      </c>
      <c r="DB1013" s="1358">
        <f t="shared" si="2138"/>
      </c>
      <c r="DC1013" s="1358">
        <f t="shared" si="2138"/>
      </c>
      <c r="DD1013" s="1347">
        <f>+DE1013-SUM(DA1013:DC1013)</f>
      </c>
      <c r="DE1013" s="1922">
        <f>+CZ1013*(1+DE1018)</f>
      </c>
      <c r="DF1013" s="1327"/>
      <c r="DG1013" s="1358"/>
      <c r="DH1013" s="1358"/>
      <c r="DI1013" s="1347"/>
      <c r="DJ1013" s="1922">
        <f>+DE1013*(1+DJ1018)</f>
      </c>
      <c r="DK1013" s="1015"/>
      <c r="DL1013" s="895"/>
      <c r="DM1013" s="895"/>
      <c r="DN1013" s="915"/>
      <c r="DO1013" s="1922">
        <f>+DJ1013*(1+DO1018)</f>
      </c>
      <c r="DP1013" s="1358"/>
      <c r="DQ1013" s="1358"/>
      <c r="DR1013" s="1358"/>
      <c r="DS1013" s="1358"/>
      <c r="DT1013" s="1922">
        <f>+DO1013*(1+DT1018)</f>
      </c>
      <c r="DU1013" s="1358">
        <f>+DP1013*(1+DU1018)</f>
      </c>
      <c r="DV1013" s="1358"/>
      <c r="DW1013" s="1358"/>
      <c r="DX1013" s="1347"/>
      <c r="DY1013" s="1922">
        <f>+DT1013*(1+DY1018)</f>
      </c>
      <c r="DZ1013" s="1358"/>
      <c r="EA1013" s="1358"/>
      <c r="EB1013" s="1358"/>
      <c r="EC1013" s="1347"/>
      <c r="ED1013" s="1922">
        <f>+DY1013*(1+ED1018)</f>
      </c>
      <c r="EE1013" s="1358"/>
      <c r="EF1013" s="1358"/>
      <c r="EG1013" s="2305"/>
      <c r="EH1013" s="1358"/>
      <c r="EI1013" s="1927">
        <f>+ED1013*(1+EI1018)</f>
      </c>
      <c r="EJ1013" s="1927">
        <f t="shared" si="2139"/>
      </c>
      <c r="EK1013" s="1922">
        <f t="shared" si="2139"/>
      </c>
      <c r="EL1013" s="1922">
        <f t="shared" si="2139"/>
      </c>
      <c r="EM1013" s="1922">
        <f t="shared" si="2139"/>
      </c>
      <c r="EN1013" s="1922">
        <f t="shared" si="2139"/>
      </c>
      <c r="EO1013" s="1922"/>
      <c r="EP1013" s="1922"/>
      <c r="EQ1013" s="1922"/>
      <c r="ER1013" s="1922"/>
      <c r="ES1013" s="1922"/>
      <c r="ET1013" s="1922"/>
      <c r="EU1013" s="1922"/>
      <c r="EV1013" s="1922"/>
      <c r="EW1013" s="1922"/>
      <c r="EX1013" s="1922"/>
    </row>
    <row r="1014" spans="2:154" ht="12.75" hidden="1" customHeight="1" outlineLevel="2">
      <c r="B1014" s="1088" t="s">
        <v>19</v>
      </c>
      <c r="C1014" s="2280"/>
      <c r="D1014" s="2281"/>
      <c r="E1014" s="2281"/>
      <c r="F1014" s="2281"/>
      <c r="G1014" s="2281"/>
      <c r="H1014" s="2281"/>
      <c r="I1014" s="2281"/>
      <c r="J1014" s="2281"/>
      <c r="K1014" s="2281"/>
      <c r="L1014" s="2281"/>
      <c r="M1014" s="2281"/>
      <c r="N1014" s="2281"/>
      <c r="O1014" s="2281"/>
      <c r="P1014" s="2281"/>
      <c r="Q1014" s="2281"/>
      <c r="R1014" s="2281"/>
      <c r="S1014" s="2281"/>
      <c r="T1014" s="2281"/>
      <c r="U1014" s="2281"/>
      <c r="V1014" s="2281"/>
      <c r="W1014" s="2281"/>
      <c r="X1014" s="2319"/>
      <c r="Y1014" s="2281"/>
      <c r="Z1014" s="2281"/>
      <c r="AA1014" s="2281"/>
      <c r="AB1014" s="2281"/>
      <c r="AC1014" s="2319"/>
      <c r="AD1014" s="2281"/>
      <c r="AE1014" s="2281"/>
      <c r="AF1014" s="2281"/>
      <c r="AG1014" s="2281"/>
      <c r="AH1014" s="2319"/>
      <c r="AI1014" s="2281"/>
      <c r="AJ1014" s="2281"/>
      <c r="AK1014" s="2281"/>
      <c r="AL1014" s="2281"/>
      <c r="AM1014" s="2319"/>
      <c r="AN1014" s="2281"/>
      <c r="AO1014" s="2281"/>
      <c r="AP1014" s="2281"/>
      <c r="AQ1014" s="2281"/>
      <c r="AR1014" s="2319"/>
      <c r="AS1014" s="2281"/>
      <c r="AT1014" s="2281"/>
      <c r="AU1014" s="2281"/>
      <c r="AV1014" s="2281"/>
      <c r="AW1014" s="2319"/>
      <c r="AX1014" s="2281">
        <f>+AX1013+AX1012</f>
      </c>
      <c r="AY1014" s="2281">
        <f>+AY1013+AY1012</f>
      </c>
      <c r="AZ1014" s="2281">
        <f>+AZ1013+AZ1012</f>
      </c>
      <c r="BA1014" s="2281">
        <f>+BA1013+BA1012</f>
      </c>
      <c r="BB1014" s="2319">
        <f>SUM(AX1014:BA1014)</f>
      </c>
      <c r="BC1014" s="2281">
        <f t="shared" ref="BC1014:BJ1014" si="2140">+BC1013+BC1012</f>
      </c>
      <c r="BD1014" s="2281">
        <f t="shared" si="2140"/>
      </c>
      <c r="BE1014" s="2281">
        <f t="shared" si="2140"/>
      </c>
      <c r="BF1014" s="2281">
        <f t="shared" si="2140"/>
      </c>
      <c r="BG1014" s="1070">
        <f t="shared" si="2140"/>
      </c>
      <c r="BH1014" s="2281">
        <f t="shared" si="2140"/>
      </c>
      <c r="BI1014" s="2281">
        <f t="shared" si="2140"/>
      </c>
      <c r="BJ1014" s="2281">
        <f t="shared" si="2140"/>
      </c>
      <c r="BK1014" s="2281">
        <f>+BK1013+BK1012</f>
      </c>
      <c r="BL1014" s="1070">
        <f>+BL1013+BL1012</f>
      </c>
      <c r="BM1014" s="2281">
        <f>+BM1013+BM1012</f>
      </c>
      <c r="BN1014" s="2281">
        <f>+BN1013+BN1012</f>
      </c>
      <c r="BO1014" s="2281">
        <f>+BO1013+BO1012</f>
      </c>
      <c r="BP1014" s="2281">
        <f>+BP1012+BP1013</f>
      </c>
      <c r="BQ1014" s="1070">
        <f>+BQ1013+BQ1012</f>
      </c>
      <c r="BR1014" s="2281">
        <f>+BR1013+BR1012</f>
      </c>
      <c r="BS1014" s="2281">
        <f>+BS1013+BS1012</f>
      </c>
      <c r="BT1014" s="2281">
        <f>+BT1013+BT1012</f>
      </c>
      <c r="BU1014" s="2281">
        <f>+BU1012+BU1013</f>
      </c>
      <c r="BV1014" s="1070">
        <f>+BV1013+BV1012</f>
      </c>
      <c r="BW1014" s="2281">
        <f>+BW1013+BW1012</f>
      </c>
      <c r="BX1014" s="2281">
        <f>+BX1013+BX1012</f>
      </c>
      <c r="BY1014" s="2281">
        <f>+BY1013+BY1012</f>
      </c>
      <c r="BZ1014" s="2281">
        <f>+BZ1013+BZ1012</f>
      </c>
      <c r="CA1014" s="1070">
        <f>SUM(BW1014:BZ1014)</f>
      </c>
      <c r="CB1014" s="2281">
        <f>+CB1013+CB1012</f>
      </c>
      <c r="CC1014" s="2281">
        <f>+CC1013+CC1012</f>
      </c>
      <c r="CD1014" s="2281">
        <f>+CD1013+CD1012</f>
      </c>
      <c r="CE1014" s="2281">
        <f>+CE1013+CE1012</f>
      </c>
      <c r="CF1014" s="1070">
        <f>SUM(CB1014:CE1014)</f>
      </c>
      <c r="CG1014" s="2281">
        <f>+CG1013+CG1012</f>
      </c>
      <c r="CH1014" s="2281">
        <f>+CH1013+CH1012</f>
      </c>
      <c r="CI1014" s="2281">
        <f>+CI1013+CI1012</f>
      </c>
      <c r="CJ1014" s="2281">
        <f>+CJ1013+CJ1012</f>
      </c>
      <c r="CK1014" s="1070">
        <f>SUM(CG1014:CJ1014)</f>
      </c>
      <c r="CL1014" s="1072">
        <f>+CL1013+CL1012</f>
      </c>
      <c r="CM1014" s="2281">
        <f>+CM1013+CM1012</f>
      </c>
      <c r="CN1014" s="2281">
        <f>+CN1013+CN1012</f>
      </c>
      <c r="CO1014" s="2281">
        <f>+CO1013+CO1012</f>
      </c>
      <c r="CP1014" s="1070">
        <f>SUM(CL1014:CO1014)</f>
      </c>
      <c r="CQ1014" s="2281">
        <f>+CQ1013+CQ1012</f>
      </c>
      <c r="CR1014" s="2281">
        <f>+CR1013+CR1012</f>
      </c>
      <c r="CS1014" s="2281">
        <f>+CS1013+CS1012</f>
      </c>
      <c r="CT1014" s="1073">
        <f>+CT1013+CT1012</f>
      </c>
      <c r="CU1014" s="1070">
        <f>SUM(CQ1014:CT1014)</f>
      </c>
      <c r="CV1014" s="2281">
        <f>+CV1013+CV1012</f>
      </c>
      <c r="CW1014" s="2281">
        <f>+CW1013+CW1012</f>
      </c>
      <c r="CX1014" s="2281">
        <f>+CX1013+CX1012</f>
      </c>
      <c r="CY1014" s="1073">
        <f>+CY1013+CY1012</f>
      </c>
      <c r="CZ1014" s="1070">
        <f>SUM(CV1014:CY1014)</f>
      </c>
      <c r="DA1014" s="1326">
        <f>SUM(DA1012:DA1013)</f>
      </c>
      <c r="DB1014" s="2283">
        <f>SUM(DB1012:DB1013)</f>
      </c>
      <c r="DC1014" s="2283">
        <f>SUM(DC1012:DC1013)</f>
      </c>
      <c r="DD1014" s="1346">
        <f>+DD1012+DD1013</f>
      </c>
      <c r="DE1014" s="1922">
        <f>+DE1013+DE1012</f>
      </c>
      <c r="DF1014" s="1923"/>
      <c r="DG1014" s="2284"/>
      <c r="DH1014" s="2284"/>
      <c r="DI1014" s="1924"/>
      <c r="DJ1014" s="1922">
        <f>+DJ1013+DJ1012</f>
      </c>
      <c r="DK1014" s="1799"/>
      <c r="DL1014" s="603"/>
      <c r="DM1014" s="603"/>
      <c r="DN1014" s="1798"/>
      <c r="DO1014" s="1922">
        <f>+DO1013+DO1012</f>
      </c>
      <c r="DP1014" s="2284"/>
      <c r="DQ1014" s="2284"/>
      <c r="DR1014" s="2284"/>
      <c r="DS1014" s="2284"/>
      <c r="DT1014" s="1922">
        <f>+DT1013+DT1012</f>
      </c>
      <c r="DU1014" s="2284">
        <f>+DU1013+DU1012</f>
      </c>
      <c r="DV1014" s="2284"/>
      <c r="DW1014" s="2284"/>
      <c r="DX1014" s="1924"/>
      <c r="DY1014" s="1922">
        <f>+DY1013+DY1012</f>
      </c>
      <c r="DZ1014" s="2284"/>
      <c r="EA1014" s="2284"/>
      <c r="EB1014" s="2284"/>
      <c r="EC1014" s="1924"/>
      <c r="ED1014" s="1922">
        <f>+ED1013+ED1012</f>
      </c>
      <c r="EE1014" s="2284"/>
      <c r="EF1014" s="2284"/>
      <c r="EG1014" s="2305"/>
      <c r="EH1014" s="2284"/>
      <c r="EI1014" s="1927">
        <f t="shared" ref="EI1014:EM1014" si="2141">+EI1013+EI1012</f>
      </c>
      <c r="EJ1014" s="1927">
        <f t="shared" si="2141"/>
      </c>
      <c r="EK1014" s="1922">
        <f t="shared" si="2141"/>
      </c>
      <c r="EL1014" s="1922">
        <f t="shared" si="2141"/>
      </c>
      <c r="EM1014" s="1922">
        <f t="shared" si="2141"/>
      </c>
      <c r="EN1014" s="1922">
        <f>+EN1013+EN1012</f>
      </c>
      <c r="EO1014" s="1922"/>
      <c r="EP1014" s="1922"/>
      <c r="EQ1014" s="1922"/>
      <c r="ER1014" s="1922"/>
      <c r="ES1014" s="1922"/>
      <c r="ET1014" s="1922"/>
      <c r="EU1014" s="1922"/>
      <c r="EV1014" s="1922"/>
      <c r="EW1014" s="1922"/>
      <c r="EX1014" s="1922"/>
    </row>
    <row r="1015" spans="2:154" ht="12.75" hidden="1" customHeight="1" outlineLevel="2">
      <c r="B1015" s="1088"/>
      <c r="C1015" s="2280"/>
      <c r="D1015" s="2281"/>
      <c r="E1015" s="2281"/>
      <c r="F1015" s="2281"/>
      <c r="G1015" s="2281"/>
      <c r="H1015" s="2281"/>
      <c r="I1015" s="2281"/>
      <c r="J1015" s="2281"/>
      <c r="K1015" s="2281"/>
      <c r="L1015" s="2281"/>
      <c r="M1015" s="2281"/>
      <c r="N1015" s="2281"/>
      <c r="O1015" s="2281"/>
      <c r="P1015" s="2281"/>
      <c r="Q1015" s="2281"/>
      <c r="R1015" s="2281"/>
      <c r="S1015" s="2281"/>
      <c r="T1015" s="2281"/>
      <c r="U1015" s="2281"/>
      <c r="V1015" s="2281"/>
      <c r="W1015" s="2281"/>
      <c r="X1015" s="2320"/>
      <c r="Y1015" s="2281"/>
      <c r="Z1015" s="2281"/>
      <c r="AA1015" s="2281"/>
      <c r="AB1015" s="2281"/>
      <c r="AC1015" s="2320"/>
      <c r="AD1015" s="2281"/>
      <c r="AE1015" s="2281"/>
      <c r="AF1015" s="2281"/>
      <c r="AG1015" s="2281"/>
      <c r="AH1015" s="2320"/>
      <c r="AI1015" s="2281"/>
      <c r="AJ1015" s="2281"/>
      <c r="AK1015" s="2281"/>
      <c r="AL1015" s="2281"/>
      <c r="AM1015" s="2320"/>
      <c r="AN1015" s="2281"/>
      <c r="AO1015" s="2281"/>
      <c r="AP1015" s="2281"/>
      <c r="AQ1015" s="2281"/>
      <c r="AR1015" s="2320"/>
      <c r="AS1015" s="2281"/>
      <c r="AT1015" s="2281"/>
      <c r="AU1015" s="2281"/>
      <c r="AV1015" s="2281"/>
      <c r="AW1015" s="2320"/>
      <c r="AX1015" s="2321"/>
      <c r="AY1015" s="2321"/>
      <c r="AZ1015" s="2321"/>
      <c r="BA1015" s="2321"/>
      <c r="BB1015" s="2320"/>
      <c r="BC1015" s="2321"/>
      <c r="BD1015" s="2281"/>
      <c r="BE1015" s="2281"/>
      <c r="BF1015" s="2281"/>
      <c r="BG1015" s="1070"/>
      <c r="BH1015" s="2281"/>
      <c r="BI1015" s="2281"/>
      <c r="BJ1015" s="2281"/>
      <c r="BK1015" s="2281"/>
      <c r="BL1015" s="1070"/>
      <c r="BM1015" s="2281"/>
      <c r="BN1015" s="2281"/>
      <c r="BO1015" s="2281"/>
      <c r="BP1015" s="2281"/>
      <c r="BQ1015" s="1070"/>
      <c r="BR1015" s="2281"/>
      <c r="BS1015" s="2281"/>
      <c r="BT1015" s="2281"/>
      <c r="BU1015" s="2281"/>
      <c r="BV1015" s="1070"/>
      <c r="BW1015" s="2281"/>
      <c r="BX1015" s="2281"/>
      <c r="BY1015" s="2281"/>
      <c r="BZ1015" s="2281"/>
      <c r="CA1015" s="1070"/>
      <c r="CB1015" s="2281"/>
      <c r="CC1015" s="2281"/>
      <c r="CD1015" s="2281"/>
      <c r="CE1015" s="2281"/>
      <c r="CF1015" s="1070"/>
      <c r="CG1015" s="2281"/>
      <c r="CH1015" s="2281"/>
      <c r="CI1015" s="2281"/>
      <c r="CJ1015" s="2281"/>
      <c r="CK1015" s="1070"/>
      <c r="CL1015" s="1072"/>
      <c r="CM1015" s="2281"/>
      <c r="CN1015" s="2281"/>
      <c r="CO1015" s="2281"/>
      <c r="CP1015" s="1070"/>
      <c r="CQ1015" s="2281"/>
      <c r="CR1015" s="2281"/>
      <c r="CS1015" s="2281"/>
      <c r="CT1015" s="1073"/>
      <c r="CU1015" s="1070"/>
      <c r="CV1015" s="2281"/>
      <c r="CW1015" s="2281"/>
      <c r="CX1015" s="2281"/>
      <c r="CY1015" s="1073"/>
      <c r="CZ1015" s="1070"/>
      <c r="DA1015" s="2285"/>
      <c r="DB1015" s="2286"/>
      <c r="DC1015" s="2286"/>
      <c r="DD1015" s="2287"/>
      <c r="DE1015" s="1922"/>
      <c r="DF1015" s="2288"/>
      <c r="DG1015" s="2289"/>
      <c r="DH1015" s="2289"/>
      <c r="DI1015" s="2129"/>
      <c r="DJ1015" s="1922"/>
      <c r="DK1015" s="981"/>
      <c r="DL1015" s="982"/>
      <c r="DM1015" s="982"/>
      <c r="DN1015" s="1875"/>
      <c r="DO1015" s="1922"/>
      <c r="DP1015" s="2289"/>
      <c r="DQ1015" s="2289"/>
      <c r="DR1015" s="2289"/>
      <c r="DS1015" s="2289"/>
      <c r="DT1015" s="1922"/>
      <c r="DU1015" s="2289"/>
      <c r="DV1015" s="2289"/>
      <c r="DW1015" s="2289"/>
      <c r="DX1015" s="2129"/>
      <c r="DY1015" s="1922"/>
      <c r="DZ1015" s="2289"/>
      <c r="EA1015" s="2289"/>
      <c r="EB1015" s="2289"/>
      <c r="EC1015" s="2129"/>
      <c r="ED1015" s="1922"/>
      <c r="EE1015" s="2289"/>
      <c r="EF1015" s="2289"/>
      <c r="EG1015" s="2305"/>
      <c r="EH1015" s="2289"/>
      <c r="EI1015" s="1927"/>
      <c r="EJ1015" s="1927"/>
      <c r="EK1015" s="1922"/>
      <c r="EL1015" s="1922"/>
      <c r="EM1015" s="1922"/>
      <c r="EN1015" s="1922"/>
      <c r="EO1015" s="1922"/>
      <c r="EP1015" s="1922"/>
      <c r="EQ1015" s="1922"/>
      <c r="ER1015" s="1922"/>
      <c r="ES1015" s="1922"/>
      <c r="ET1015" s="1922"/>
      <c r="EU1015" s="1922"/>
      <c r="EV1015" s="1922"/>
      <c r="EW1015" s="1922"/>
      <c r="EX1015" s="1922"/>
    </row>
    <row r="1016" spans="2:154" ht="12.75" hidden="1" customHeight="1" outlineLevel="2">
      <c r="B1016" s="1085" t="s">
        <v>367</v>
      </c>
      <c r="C1016" s="2280"/>
      <c r="D1016" s="2281"/>
      <c r="E1016" s="2281"/>
      <c r="F1016" s="2281"/>
      <c r="G1016" s="2281"/>
      <c r="H1016" s="2281"/>
      <c r="I1016" s="2281"/>
      <c r="J1016" s="2281"/>
      <c r="K1016" s="2281"/>
      <c r="L1016" s="2281"/>
      <c r="M1016" s="2281"/>
      <c r="N1016" s="2281"/>
      <c r="O1016" s="2281"/>
      <c r="P1016" s="2281"/>
      <c r="Q1016" s="2281"/>
      <c r="R1016" s="2281"/>
      <c r="S1016" s="2281"/>
      <c r="T1016" s="2281"/>
      <c r="U1016" s="2281"/>
      <c r="V1016" s="2281"/>
      <c r="W1016" s="2281"/>
      <c r="X1016" s="2320"/>
      <c r="Y1016" s="2281"/>
      <c r="Z1016" s="2281"/>
      <c r="AA1016" s="2281"/>
      <c r="AB1016" s="2281"/>
      <c r="AC1016" s="2320"/>
      <c r="AD1016" s="2281"/>
      <c r="AE1016" s="2281"/>
      <c r="AF1016" s="2281"/>
      <c r="AG1016" s="2281"/>
      <c r="AH1016" s="2320"/>
      <c r="AI1016" s="2281"/>
      <c r="AJ1016" s="2281"/>
      <c r="AK1016" s="2281"/>
      <c r="AL1016" s="2281"/>
      <c r="AM1016" s="2320"/>
      <c r="AN1016" s="2281"/>
      <c r="AO1016" s="2281"/>
      <c r="AP1016" s="2281"/>
      <c r="AQ1016" s="2281"/>
      <c r="AR1016" s="2320"/>
      <c r="AS1016" s="2281"/>
      <c r="AT1016" s="2281"/>
      <c r="AU1016" s="2281"/>
      <c r="AV1016" s="2281"/>
      <c r="AW1016" s="2320"/>
      <c r="AX1016" s="2321"/>
      <c r="AY1016" s="2321"/>
      <c r="AZ1016" s="2321"/>
      <c r="BA1016" s="2321"/>
      <c r="BB1016" s="2320"/>
      <c r="BC1016" s="2321"/>
      <c r="BD1016" s="2281"/>
      <c r="BE1016" s="2281"/>
      <c r="BF1016" s="2281"/>
      <c r="BG1016" s="1070"/>
      <c r="BH1016" s="2281"/>
      <c r="BI1016" s="2281"/>
      <c r="BJ1016" s="2281"/>
      <c r="BK1016" s="2281"/>
      <c r="BL1016" s="1070"/>
      <c r="BM1016" s="2281"/>
      <c r="BN1016" s="2281"/>
      <c r="BO1016" s="2281"/>
      <c r="BP1016" s="2281"/>
      <c r="BQ1016" s="1070"/>
      <c r="BR1016" s="2281"/>
      <c r="BS1016" s="2281"/>
      <c r="BT1016" s="2281"/>
      <c r="BU1016" s="2281"/>
      <c r="BV1016" s="1070"/>
      <c r="BW1016" s="2281"/>
      <c r="BX1016" s="2281"/>
      <c r="BY1016" s="2281"/>
      <c r="BZ1016" s="2281"/>
      <c r="CA1016" s="1070"/>
      <c r="CB1016" s="2281"/>
      <c r="CC1016" s="2281"/>
      <c r="CD1016" s="2281"/>
      <c r="CE1016" s="2281"/>
      <c r="CF1016" s="1070"/>
      <c r="CG1016" s="2281"/>
      <c r="CH1016" s="2281"/>
      <c r="CI1016" s="2281"/>
      <c r="CJ1016" s="2281"/>
      <c r="CK1016" s="1070"/>
      <c r="CL1016" s="1072"/>
      <c r="CM1016" s="2281"/>
      <c r="CN1016" s="2281"/>
      <c r="CO1016" s="2281"/>
      <c r="CP1016" s="1070"/>
      <c r="CQ1016" s="2281"/>
      <c r="CR1016" s="2281"/>
      <c r="CS1016" s="2281"/>
      <c r="CT1016" s="1073"/>
      <c r="CU1016" s="1070"/>
      <c r="CV1016" s="2281"/>
      <c r="CW1016" s="2281"/>
      <c r="CX1016" s="2281"/>
      <c r="CY1016" s="1073"/>
      <c r="CZ1016" s="1070"/>
      <c r="DA1016" s="2285"/>
      <c r="DB1016" s="2286"/>
      <c r="DC1016" s="2286"/>
      <c r="DD1016" s="2287"/>
      <c r="DE1016" s="1922"/>
      <c r="DF1016" s="2288"/>
      <c r="DG1016" s="2289"/>
      <c r="DH1016" s="2289"/>
      <c r="DI1016" s="2129"/>
      <c r="DJ1016" s="1922"/>
      <c r="DK1016" s="981"/>
      <c r="DL1016" s="982"/>
      <c r="DM1016" s="982"/>
      <c r="DN1016" s="1875"/>
      <c r="DO1016" s="1922"/>
      <c r="DP1016" s="2289"/>
      <c r="DQ1016" s="2289"/>
      <c r="DR1016" s="2289"/>
      <c r="DS1016" s="2289"/>
      <c r="DT1016" s="1922"/>
      <c r="DU1016" s="2289"/>
      <c r="DV1016" s="2289"/>
      <c r="DW1016" s="2289"/>
      <c r="DX1016" s="2129"/>
      <c r="DY1016" s="1922"/>
      <c r="DZ1016" s="2289"/>
      <c r="EA1016" s="2289"/>
      <c r="EB1016" s="2289"/>
      <c r="EC1016" s="2129"/>
      <c r="ED1016" s="1922"/>
      <c r="EE1016" s="2289"/>
      <c r="EF1016" s="2289"/>
      <c r="EG1016" s="2305"/>
      <c r="EH1016" s="2289"/>
      <c r="EI1016" s="1927"/>
      <c r="EJ1016" s="1927"/>
      <c r="EK1016" s="1922"/>
      <c r="EL1016" s="1922"/>
      <c r="EM1016" s="1922"/>
      <c r="EN1016" s="1922"/>
      <c r="EO1016" s="1922"/>
      <c r="EP1016" s="1922"/>
      <c r="EQ1016" s="1922"/>
      <c r="ER1016" s="1922"/>
      <c r="ES1016" s="1922"/>
      <c r="ET1016" s="1922"/>
      <c r="EU1016" s="1922"/>
      <c r="EV1016" s="1922"/>
      <c r="EW1016" s="1922"/>
      <c r="EX1016" s="1922"/>
    </row>
    <row r="1017" spans="2:154" ht="12.75" hidden="1" customHeight="1" outlineLevel="2">
      <c r="B1017" s="1089" t="s">
        <v>156</v>
      </c>
      <c r="C1017" s="2280"/>
      <c r="D1017" s="2281"/>
      <c r="E1017" s="2281"/>
      <c r="F1017" s="2281"/>
      <c r="G1017" s="2281"/>
      <c r="H1017" s="2281"/>
      <c r="I1017" s="2281"/>
      <c r="J1017" s="2281"/>
      <c r="K1017" s="2281"/>
      <c r="L1017" s="2281"/>
      <c r="M1017" s="2281"/>
      <c r="N1017" s="2281"/>
      <c r="O1017" s="2281"/>
      <c r="P1017" s="2281"/>
      <c r="Q1017" s="2281"/>
      <c r="R1017" s="2281"/>
      <c r="S1017" s="2281"/>
      <c r="T1017" s="2281"/>
      <c r="U1017" s="2281"/>
      <c r="V1017" s="2281"/>
      <c r="W1017" s="2281"/>
      <c r="X1017" s="2290"/>
      <c r="Y1017" s="2281"/>
      <c r="Z1017" s="2281"/>
      <c r="AA1017" s="2281"/>
      <c r="AB1017" s="2281"/>
      <c r="AC1017" s="2290"/>
      <c r="AD1017" s="2281"/>
      <c r="AE1017" s="2281"/>
      <c r="AF1017" s="2281"/>
      <c r="AG1017" s="2281"/>
      <c r="AH1017" s="2290"/>
      <c r="AI1017" s="2281"/>
      <c r="AJ1017" s="2281"/>
      <c r="AK1017" s="2281"/>
      <c r="AL1017" s="2281"/>
      <c r="AM1017" s="2290"/>
      <c r="AN1017" s="2281"/>
      <c r="AO1017" s="2281"/>
      <c r="AP1017" s="2281"/>
      <c r="AQ1017" s="2281"/>
      <c r="AR1017" s="2290"/>
      <c r="AS1017" s="2281"/>
      <c r="AT1017" s="2281"/>
      <c r="AU1017" s="2281"/>
      <c r="AV1017" s="2281"/>
      <c r="AW1017" s="2290"/>
      <c r="AX1017" s="2282" t="str">
        <f t="shared" ref="AX1017:BC1018" si="2142">IF(AS1012="NM","NM",IF(AX1012="NM","NM",IF(AS1012&lt;=0,"NM",IF(AX1012=0,"NM",IF(ABS(AX1012/AS1012-1)&gt;2.5,"NM",IF((ABS(AX1012-AS1012)=ABS(ABS(AX1012)-ABS(AS1012))),(AX1012/AS1012-1),"NM"))))))</f>
      </c>
      <c r="AY1017" s="2282" t="str">
        <f t="shared" si="2142"/>
      </c>
      <c r="AZ1017" s="2282" t="str">
        <f t="shared" si="2142"/>
      </c>
      <c r="BA1017" s="2282" t="str">
        <f t="shared" si="2142"/>
      </c>
      <c r="BB1017" s="2290" t="str">
        <f t="shared" si="2142"/>
      </c>
      <c r="BC1017" s="2282" t="str">
        <f t="shared" si="2142"/>
      </c>
      <c r="BD1017" s="2292">
        <v>0</v>
      </c>
      <c r="BE1017" s="2292">
        <v>0</v>
      </c>
      <c r="BF1017" s="2292">
        <v>0</v>
      </c>
      <c r="BG1017" s="2290" t="str">
        <f>IF(BB1012="NM","NM",IF(BG1012="NM","NM",IF(BB1012&lt;=0,"NM",IF(BG1012=0,"NM",IF(ABS(BG1012/BB1012-1)&gt;2.5,"NM",IF((ABS(BG1012-BB1012)=ABS(ABS(BG1012)-ABS(BB1012))),(BG1012/BB1012-1),"NM"))))))</f>
      </c>
      <c r="BH1017" s="2292" t="str">
        <f>IF(BC1012="NM","NM",IF(BH1012="NM","NM",IF(BC1012&lt;=0,"NM",IF(BH1012=0,"NM",IF(ABS(BH1012/BC1012-1)&gt;2.5,"NM",IF((ABS(BH1012-BC1012)=ABS(ABS(BH1012)-ABS(BC1012))),(BH1012/BC1012-1),"NM"))))))</f>
      </c>
      <c r="BI1017" s="2292">
        <v>0</v>
      </c>
      <c r="BJ1017" s="2282" t="str">
        <f>IF(BE1012="NM","NM",IF(BJ1012="NM","NM",IF(BE1012&lt;=0,"NM",IF(BJ1012=0,"NM",IF(ABS(BJ1012/BE1012-1)&gt;2.5,"NM",IF((ABS(BJ1012-BE1012)=ABS(ABS(BJ1012)-ABS(BE1012))),(BJ1012/BE1012-1),"NM"))))))</f>
      </c>
      <c r="BK1017" s="2292">
        <v>0</v>
      </c>
      <c r="BL1017" s="1090">
        <v>0</v>
      </c>
      <c r="BM1017" s="2292">
        <v>0</v>
      </c>
      <c r="BN1017" s="2292">
        <v>0</v>
      </c>
      <c r="BO1017" s="2292">
        <v>0</v>
      </c>
      <c r="BP1017" s="2282" t="str">
        <f>IF(BK1012="NM","NM",IF(BP1012="NM","NM",IF(BK1012&lt;=0,"NM",IF(BP1012=0,"NM",IF(ABS(BP1012/BK1012-1)&gt;2.5,"NM",IF((ABS(BP1012-BK1012)=ABS(ABS(BP1012)-ABS(BK1012))),(BP1012/BK1012-1),"NM"))))))</f>
      </c>
      <c r="BQ1017" s="1090">
        <v>0</v>
      </c>
      <c r="BR1017" s="2292"/>
      <c r="BS1017" s="2292"/>
      <c r="BT1017" s="2292"/>
      <c r="BU1017" s="2292"/>
      <c r="BV1017" s="2290"/>
      <c r="BW1017" s="2292"/>
      <c r="BX1017" s="2292"/>
      <c r="BY1017" s="2292"/>
      <c r="BZ1017" s="2294"/>
      <c r="CA1017" s="2291"/>
      <c r="CB1017" s="2292"/>
      <c r="CC1017" s="2292"/>
      <c r="CD1017" s="2292"/>
      <c r="CE1017" s="2292">
        <v>0</v>
      </c>
      <c r="CF1017" s="2291"/>
      <c r="CG1017" s="2292">
        <v>0</v>
      </c>
      <c r="CH1017" s="2292">
        <v>0</v>
      </c>
      <c r="CI1017" s="2292">
        <v>0</v>
      </c>
      <c r="CJ1017" s="2292">
        <v>0</v>
      </c>
      <c r="CK1017" s="2290">
        <f>IF(CF1012=0, 0, CK1012/CF1012-1)</f>
      </c>
      <c r="CL1017" s="2307">
        <v>0</v>
      </c>
      <c r="CM1017" s="2292">
        <v>0</v>
      </c>
      <c r="CN1017" s="2292">
        <v>0</v>
      </c>
      <c r="CO1017" s="2292">
        <v>0</v>
      </c>
      <c r="CP1017" s="2290">
        <f>IF(CK1012=0, 0, CP1012/CK1012-1)</f>
      </c>
      <c r="CQ1017" s="2292">
        <v>0</v>
      </c>
      <c r="CR1017" s="2292">
        <v>0</v>
      </c>
      <c r="CS1017" s="2292">
        <v>0</v>
      </c>
      <c r="CT1017" s="2294">
        <v>0</v>
      </c>
      <c r="CU1017" s="2290">
        <f>IF(CP1012=0, 0, CU1012/CP1012-1)</f>
      </c>
      <c r="CV1017" s="2292">
        <v>0</v>
      </c>
      <c r="CW1017" s="2292">
        <v>0</v>
      </c>
      <c r="CX1017" s="2292">
        <v>0</v>
      </c>
      <c r="CY1017" s="2294">
        <v>0</v>
      </c>
      <c r="CZ1017" s="2290">
        <f>IF(CU1012=0, 0, CZ1012/CU1012-1)</f>
      </c>
      <c r="DA1017" s="2296">
        <v>0</v>
      </c>
      <c r="DB1017" s="2297">
        <v>0</v>
      </c>
      <c r="DC1017" s="2297">
        <v>0</v>
      </c>
      <c r="DD1017" s="2298" t="str">
        <f>IF(DD1012=0,"NM",+DD1012/CY1012-1)</f>
      </c>
      <c r="DE1017" s="2293">
        <v>0</v>
      </c>
      <c r="DF1017" s="2296"/>
      <c r="DG1017" s="2297"/>
      <c r="DH1017" s="2297"/>
      <c r="DI1017" s="2298"/>
      <c r="DJ1017" s="2294">
        <v>0</v>
      </c>
      <c r="DK1017" s="828"/>
      <c r="DL1017" s="361"/>
      <c r="DM1017" s="361"/>
      <c r="DN1017" s="927"/>
      <c r="DO1017" s="2294">
        <v>0</v>
      </c>
      <c r="DP1017" s="2297"/>
      <c r="DQ1017" s="2297"/>
      <c r="DR1017" s="2297"/>
      <c r="DS1017" s="3111"/>
      <c r="DT1017" s="2293">
        <v>0</v>
      </c>
      <c r="DU1017" s="3111">
        <v>0</v>
      </c>
      <c r="DV1017" s="2297"/>
      <c r="DW1017" s="2297"/>
      <c r="DX1017" s="3306"/>
      <c r="DY1017" s="3308"/>
      <c r="DZ1017" s="2297"/>
      <c r="EA1017" s="2297"/>
      <c r="EB1017" s="2297"/>
      <c r="EC1017" s="3306"/>
      <c r="ED1017" s="3308"/>
      <c r="EE1017" s="2297"/>
      <c r="EF1017" s="2297"/>
      <c r="EG1017" s="2292"/>
      <c r="EH1017" s="3111"/>
      <c r="EI1017" s="2307">
        <v>0</v>
      </c>
      <c r="EJ1017" s="2292">
        <v>0</v>
      </c>
      <c r="EK1017" s="2294">
        <v>0</v>
      </c>
      <c r="EL1017" s="2294">
        <v>0</v>
      </c>
      <c r="EM1017" s="2294">
        <v>0</v>
      </c>
      <c r="EN1017" s="2294">
        <v>0</v>
      </c>
      <c r="EO1017" s="2293"/>
      <c r="EP1017" s="2293"/>
      <c r="EQ1017" s="2293"/>
      <c r="ER1017" s="2293"/>
      <c r="ES1017" s="2293"/>
      <c r="ET1017" s="2293"/>
      <c r="EU1017" s="2293"/>
      <c r="EV1017" s="2293"/>
      <c r="EW1017" s="2293"/>
      <c r="EX1017" s="2293"/>
    </row>
    <row r="1018" spans="2:154" ht="12.75" hidden="1" customHeight="1" outlineLevel="2">
      <c r="B1018" s="1089" t="s">
        <v>235</v>
      </c>
      <c r="C1018" s="2280"/>
      <c r="D1018" s="2281"/>
      <c r="E1018" s="2281"/>
      <c r="F1018" s="2281"/>
      <c r="G1018" s="2281"/>
      <c r="H1018" s="2281"/>
      <c r="I1018" s="2281"/>
      <c r="J1018" s="2281"/>
      <c r="K1018" s="2281"/>
      <c r="L1018" s="2281"/>
      <c r="M1018" s="2281"/>
      <c r="N1018" s="2281"/>
      <c r="O1018" s="2281"/>
      <c r="P1018" s="2281"/>
      <c r="Q1018" s="2281"/>
      <c r="R1018" s="2281"/>
      <c r="S1018" s="2281"/>
      <c r="T1018" s="2281"/>
      <c r="U1018" s="2281"/>
      <c r="V1018" s="2281"/>
      <c r="W1018" s="2281"/>
      <c r="X1018" s="2290"/>
      <c r="Y1018" s="2281"/>
      <c r="Z1018" s="2281"/>
      <c r="AA1018" s="2281"/>
      <c r="AB1018" s="2281"/>
      <c r="AC1018" s="2290"/>
      <c r="AD1018" s="2281"/>
      <c r="AE1018" s="2281"/>
      <c r="AF1018" s="2281"/>
      <c r="AG1018" s="2281"/>
      <c r="AH1018" s="2290"/>
      <c r="AI1018" s="2281"/>
      <c r="AJ1018" s="2281"/>
      <c r="AK1018" s="2281"/>
      <c r="AL1018" s="2281"/>
      <c r="AM1018" s="2290"/>
      <c r="AN1018" s="2281"/>
      <c r="AO1018" s="2281"/>
      <c r="AP1018" s="2281"/>
      <c r="AQ1018" s="2281"/>
      <c r="AR1018" s="2290"/>
      <c r="AS1018" s="2281"/>
      <c r="AT1018" s="2281"/>
      <c r="AU1018" s="2281"/>
      <c r="AV1018" s="2281"/>
      <c r="AW1018" s="2290"/>
      <c r="AX1018" s="2282" t="str">
        <f t="shared" si="2142"/>
      </c>
      <c r="AY1018" s="2282" t="str">
        <f t="shared" si="2142"/>
      </c>
      <c r="AZ1018" s="2282" t="str">
        <f t="shared" si="2142"/>
      </c>
      <c r="BA1018" s="2282" t="str">
        <f t="shared" si="2142"/>
      </c>
      <c r="BB1018" s="2290" t="str">
        <f t="shared" si="2142"/>
      </c>
      <c r="BC1018" s="2282">
        <f t="shared" si="2142"/>
      </c>
      <c r="BD1018" s="2282">
        <f>IF(ISNUMBER(BD1019),(1+BD1019)*(1+BD$21)-1,"NM")</f>
      </c>
      <c r="BE1018" s="2282">
        <f>IF(ISNUMBER(BE1019),(1+BE1019)*(1+BE$21)-1,"NM")</f>
      </c>
      <c r="BF1018" s="2282">
        <f>IF(ISNUMBER(BF1019),(1+BF1019)*(1+BF$21)-1,"NM")</f>
      </c>
      <c r="BG1018" s="2290">
        <f>IF(BB1013="NM","NM",IF(BG1013="NM","NM",IF(BB1013&lt;=0,"NM",IF(BG1013=0,"NM",IF(ABS(BG1013/BB1013-1)&gt;2.5,"NM",IF((ABS(BG1013-BB1013)=ABS(ABS(BG1013)-ABS(BB1013))),(BG1013/BB1013-1),"NM"))))))</f>
      </c>
      <c r="BH1018" s="2282">
        <f>IF(BC1013="NM","NM",IF(BH1013="NM","NM",IF(BC1013&lt;=0,"NM",IF(BH1013=0,"NM",IF(ABS(BH1013/BC1013-1)&gt;2.5,"NM",IF((ABS(BH1013-BC1013)=ABS(ABS(BH1013)-ABS(BC1013))),(BH1013/BC1013-1),"NM"))))))</f>
      </c>
      <c r="BI1018" s="2282">
        <f>IF(ISNUMBER(BI1019),(1+BI1019)*(1+BI$21)-1,"NM")</f>
      </c>
      <c r="BJ1018" s="2282">
        <f>IF(BE1013="NM","NM",IF(BJ1013="NM","NM",IF(BE1013&lt;=0,"NM",IF(BJ1013=0,"NM",IF(ABS(BJ1013/BE1013-1)&gt;2.5,"NM",IF((ABS(BJ1013-BE1013)=ABS(ABS(BJ1013)-ABS(BE1013))),(BJ1013/BE1013-1),"NM"))))))</f>
      </c>
      <c r="BK1018" s="2282">
        <f>IF(ISNUMBER(BK1019),(1+BK1019)*(1+BK$21)-1,"NM")</f>
      </c>
      <c r="BL1018" s="2290">
        <f>IF(ISNUMBER(BL1019),(1+BL1019)*(1+BL$21)-1,"NM")</f>
      </c>
      <c r="BM1018" s="2282">
        <f>IF(ISNUMBER(BM1019),(1+BM1019)*(1+BM$21)-1,"NM")</f>
      </c>
      <c r="BN1018" s="2282">
        <f>IF(ISNUMBER(BN1019),(1+BN1019)*(1+BN$21)-1,"NM")</f>
      </c>
      <c r="BO1018" s="2282">
        <f>IF(ISNUMBER(BO1019),(1+BO1019)*(1+BO$21)-1,"NM")</f>
      </c>
      <c r="BP1018" s="2282">
        <f>IF(BK1013="NM","NM",IF(BP1013="NM","NM",IF(BK1013&lt;=0,"NM",IF(BP1013=0,"NM",IF(ABS(BP1013/BK1013-1)&gt;2.5,"NM",IF((ABS(BP1013-BK1013)=ABS(ABS(BP1013)-ABS(BK1013))),(BP1013/BK1013-1),"NM"))))))</f>
      </c>
      <c r="BQ1018" s="2290">
        <f>IF(ISNUMBER(BQ1019),(1+BQ1019)*(1+BQ$21)-1,"NM")</f>
      </c>
      <c r="BR1018" s="2282">
        <f>IF(ISNUMBER(BR1019),(1+BR1019)*(1+BR$21)-1,"NM")</f>
      </c>
      <c r="BS1018" s="2282">
        <f>IF(ISNUMBER(BS1019),(1+BS1019)*(1+BS$21)-1,"NM")</f>
      </c>
      <c r="BT1018" s="2282">
        <f>IF(ISNUMBER(BT1019),(1+BT1019)*(1+BT$21)-1,"NM")</f>
      </c>
      <c r="BU1018" s="2282">
        <f>IF(ISNUMBER(BU1019),(1+BU1019)*(1+BU$21)-1,"NM")</f>
      </c>
      <c r="BV1018" s="2290">
        <f>IF(BQ1013="NM","NM",IF(BV1013="NM","NM",IF(BQ1013&lt;=0,"NM",IF(BV1013=0,"NM",IF(ABS(BV1013/BQ1013-1)&gt;2.5,"NM",IF((ABS(BV1013-BQ1013)=ABS(ABS(BV1013)-ABS(BQ1013))),(BV1013/BQ1013-1),"NM"))))))</f>
      </c>
      <c r="BW1018" s="2282">
        <f>IF(ISNUMBER(BW1019),(1+BW1019)*(1+BW$21)-1,"NM")</f>
      </c>
      <c r="BX1018" s="2282">
        <f>IF(ISNUMBER(BX1019),(1+BX1019)*(1+BX$21)-1,"NM")</f>
      </c>
      <c r="BY1018" s="2282">
        <f>IF(ISNUMBER(BY1019),(1+BY1019)*(1+BY$21)-1,"NM")</f>
      </c>
      <c r="BZ1018" s="2282">
        <f>IF(ISNUMBER(BZ1019),(1+BZ1019)*(1+BZ$21)-1,"NM")</f>
      </c>
      <c r="CA1018" s="2290">
        <f>IF(BV1013="NM","NM",IF(CA1013="NM","NM",IF(BV1013&lt;=0,"NM",IF(CA1013=0,"NM",IF(ABS(CA1013/BV1013-1)&gt;2.5,"NM",IF((ABS(CA1013-BV1013)=ABS(ABS(CA1013)-ABS(BV1013))),(CA1013/BV1013-1),"NM"))))))</f>
      </c>
      <c r="CB1018" s="2282">
        <f>IF(ISNUMBER(CB1019),(1+CB1019)*(1+CB$21)-1,"NM")</f>
      </c>
      <c r="CC1018" s="2282">
        <f>IF(ISNUMBER(CC1019),(1+CC1019)*(1+CC$21)-1,"NM")</f>
      </c>
      <c r="CD1018" s="2282">
        <f>IF(ISNUMBER(CD1019),(1+CD1019)*(1+CD$21)-1,"NM")</f>
      </c>
      <c r="CE1018" s="2282">
        <f>CE1019+CE$21</f>
      </c>
      <c r="CF1018" s="2290">
        <f>IF(CA1013="NM","NM",IF(CF1013="NM","NM",IF(CA1013&lt;=0,"NM",IF(CF1013=0,"NM",IF(ABS(CF1013/CA1013-1)&gt;2.5,"NM",IF((ABS(CF1013-CA1013)=ABS(ABS(CF1013)-ABS(CA1013))),(CF1013/CA1013-1),"NM"))))))</f>
      </c>
      <c r="CG1018" s="2282">
        <f>CG1019+CG$21</f>
      </c>
      <c r="CH1018" s="2282">
        <f>CH1019+CH$21</f>
      </c>
      <c r="CI1018" s="2282">
        <f>CI1019+CI$21</f>
      </c>
      <c r="CJ1018" s="2282">
        <f>CJ1019+CJ$21</f>
      </c>
      <c r="CK1018" s="2290">
        <f>IF(CF1013=0, "NA", CK1013/CF1013-1)</f>
      </c>
      <c r="CL1018" s="1092">
        <f>CL1019+CL$21</f>
      </c>
      <c r="CM1018" s="2282">
        <f>CM1019+CM$21</f>
      </c>
      <c r="CN1018" s="2282">
        <f>CN1019+CN$21</f>
      </c>
      <c r="CO1018" s="2282">
        <f>CO1019+CO$21</f>
      </c>
      <c r="CP1018" s="2290">
        <f>IF(CK1013=0, "NA", CP1013/CK1013-1)</f>
      </c>
      <c r="CQ1018" s="2282">
        <f>CQ1019+CQ$21</f>
      </c>
      <c r="CR1018" s="2282">
        <f>CR1019+CR$21</f>
      </c>
      <c r="CS1018" s="2282">
        <f>CS1019+CS$21</f>
      </c>
      <c r="CT1018" s="1093">
        <f>CT1019+CT$21</f>
      </c>
      <c r="CU1018" s="2290">
        <f>IF(CP1013=0, "NA", CU1013/CP1013-1)</f>
      </c>
      <c r="CV1018" s="2282">
        <f>CV1019+CV$21</f>
      </c>
      <c r="CW1018" s="2282">
        <f>CW1019+CW$21</f>
      </c>
      <c r="CX1018" s="2282">
        <f>CX1019+CX$21</f>
      </c>
      <c r="CY1018" s="1093">
        <f>CY1019+CY$21</f>
      </c>
      <c r="CZ1018" s="2290">
        <f>IF(CU1013=0, "NA", CZ1013/CU1013-1)</f>
      </c>
      <c r="DA1018" s="1328">
        <f>DA1019+DA$21</f>
      </c>
      <c r="DB1018" s="2299">
        <f>DB1019+DB$21</f>
      </c>
      <c r="DC1018" s="2299">
        <f>DC1019+DC$21</f>
      </c>
      <c r="DD1018" s="1348">
        <f>IF(DD1013=0, "NM", DD1013/CY1013-1)</f>
      </c>
      <c r="DE1018" s="2290">
        <f>DE1019+DE$21</f>
      </c>
      <c r="DF1018" s="1925"/>
      <c r="DG1018" s="2300"/>
      <c r="DH1018" s="2300"/>
      <c r="DI1018" s="1926"/>
      <c r="DJ1018" s="2290">
        <f>DJ1019+DJ$21</f>
      </c>
      <c r="DK1018" s="958"/>
      <c r="DL1018" s="926"/>
      <c r="DM1018" s="926"/>
      <c r="DN1018" s="928"/>
      <c r="DO1018" s="2290">
        <f>DO1019+DO$21</f>
      </c>
      <c r="DP1018" s="2300"/>
      <c r="DQ1018" s="2300"/>
      <c r="DR1018" s="2300"/>
      <c r="DS1018" s="2300"/>
      <c r="DT1018" s="2290">
        <f>DT1019+DT$21</f>
      </c>
      <c r="DU1018" s="2300">
        <f>DU1019+DU$21</f>
      </c>
      <c r="DV1018" s="2300"/>
      <c r="DW1018" s="2300"/>
      <c r="DX1018" s="1926"/>
      <c r="DY1018" s="2290">
        <f>DY1019+DY$21</f>
      </c>
      <c r="DZ1018" s="2300"/>
      <c r="EA1018" s="2300"/>
      <c r="EB1018" s="2300"/>
      <c r="EC1018" s="1926"/>
      <c r="ED1018" s="2290">
        <f>ED1019+ED$21</f>
      </c>
      <c r="EE1018" s="2300"/>
      <c r="EF1018" s="2300"/>
      <c r="EG1018" s="2282"/>
      <c r="EH1018" s="2300"/>
      <c r="EI1018" s="1092">
        <f t="shared" ref="EI1018:EN1018" si="2143">EI1019+EI$21</f>
      </c>
      <c r="EJ1018" s="1092">
        <f t="shared" si="2143"/>
      </c>
      <c r="EK1018" s="2290">
        <f t="shared" si="2143"/>
      </c>
      <c r="EL1018" s="2290">
        <f t="shared" si="2143"/>
      </c>
      <c r="EM1018" s="2290">
        <f t="shared" si="2143"/>
      </c>
      <c r="EN1018" s="2290">
        <f t="shared" si="2143"/>
      </c>
      <c r="EO1018" s="2290"/>
      <c r="EP1018" s="2290"/>
      <c r="EQ1018" s="2290"/>
      <c r="ER1018" s="2290"/>
      <c r="ES1018" s="2290"/>
      <c r="ET1018" s="2290"/>
      <c r="EU1018" s="2290"/>
      <c r="EV1018" s="2290"/>
      <c r="EW1018" s="2290"/>
      <c r="EX1018" s="2290"/>
    </row>
    <row r="1019" spans="2:154" ht="12.75" hidden="1" customHeight="1" outlineLevel="2">
      <c r="B1019" s="1089" t="s">
        <v>157</v>
      </c>
      <c r="C1019" s="2280"/>
      <c r="D1019" s="2281"/>
      <c r="E1019" s="2281"/>
      <c r="F1019" s="2281"/>
      <c r="G1019" s="2281"/>
      <c r="H1019" s="2281"/>
      <c r="I1019" s="2281"/>
      <c r="J1019" s="2281"/>
      <c r="K1019" s="2281"/>
      <c r="L1019" s="2281"/>
      <c r="M1019" s="2281"/>
      <c r="N1019" s="2281"/>
      <c r="O1019" s="2281"/>
      <c r="P1019" s="2281"/>
      <c r="Q1019" s="2281"/>
      <c r="R1019" s="2281"/>
      <c r="S1019" s="2281"/>
      <c r="T1019" s="2281"/>
      <c r="U1019" s="2281"/>
      <c r="V1019" s="2281"/>
      <c r="W1019" s="2281"/>
      <c r="X1019" s="2290"/>
      <c r="Y1019" s="2281"/>
      <c r="Z1019" s="2281"/>
      <c r="AA1019" s="2281"/>
      <c r="AB1019" s="2281"/>
      <c r="AC1019" s="2290"/>
      <c r="AD1019" s="2281"/>
      <c r="AE1019" s="2281"/>
      <c r="AF1019" s="2281"/>
      <c r="AG1019" s="2281"/>
      <c r="AH1019" s="2290"/>
      <c r="AI1019" s="2281"/>
      <c r="AJ1019" s="2281"/>
      <c r="AK1019" s="2281"/>
      <c r="AL1019" s="2281"/>
      <c r="AM1019" s="2290"/>
      <c r="AN1019" s="2281"/>
      <c r="AO1019" s="2281"/>
      <c r="AP1019" s="2281"/>
      <c r="AQ1019" s="2281"/>
      <c r="AR1019" s="2290"/>
      <c r="AS1019" s="2281"/>
      <c r="AT1019" s="2281"/>
      <c r="AU1019" s="2281"/>
      <c r="AV1019" s="2281"/>
      <c r="AW1019" s="2290"/>
      <c r="AX1019" s="2282" t="str">
        <f t="shared" ref="AX1019:BC1019" si="2144">IF(ISNUMBER(AX1018),(1+AX1018)/(1+AX$21)-1,"NM")</f>
      </c>
      <c r="AY1019" s="2282" t="str">
        <f t="shared" si="2144"/>
      </c>
      <c r="AZ1019" s="2282" t="str">
        <f t="shared" si="2144"/>
      </c>
      <c r="BA1019" s="2282" t="str">
        <f t="shared" si="2144"/>
      </c>
      <c r="BB1019" s="2290" t="str">
        <f t="shared" si="2144"/>
      </c>
      <c r="BC1019" s="2282">
        <f t="shared" si="2144"/>
      </c>
      <c r="BD1019" s="2316">
        <v>0.2</v>
      </c>
      <c r="BE1019" s="2316">
        <v>0.15</v>
      </c>
      <c r="BF1019" s="2316">
        <v>0.15</v>
      </c>
      <c r="BG1019" s="2317">
        <f>IF(ISNUMBER(BG1018),(1+BG1018)/(1+BG$21)-1,"NM")</f>
      </c>
      <c r="BH1019" s="2316">
        <f>IF(ISNUMBER(BH1018),(1+BH1018)/(1+BH$21)-1,"NM")</f>
      </c>
      <c r="BI1019" s="2316">
        <v>0.2</v>
      </c>
      <c r="BJ1019" s="2315">
        <f>IF(ISNUMBER(BJ1018),(1+BJ1018)/(1+BJ$21)-1,"NM")</f>
      </c>
      <c r="BK1019" s="2316">
        <v>0.15</v>
      </c>
      <c r="BL1019" s="2318">
        <v>0.15</v>
      </c>
      <c r="BM1019" s="2316">
        <v>0.15</v>
      </c>
      <c r="BN1019" s="2316">
        <v>0.15</v>
      </c>
      <c r="BO1019" s="2316">
        <v>0.15</v>
      </c>
      <c r="BP1019" s="2282">
        <f>IF(ISNUMBER(BP1018),(1+BP1018)/(1+BP$21)-1,"NM")</f>
      </c>
      <c r="BQ1019" s="2318">
        <v>0.14000000000000001</v>
      </c>
      <c r="BR1019" s="2316">
        <v>0.15</v>
      </c>
      <c r="BS1019" s="2316">
        <v>0.15</v>
      </c>
      <c r="BT1019" s="2316">
        <v>0.12</v>
      </c>
      <c r="BU1019" s="2316">
        <v>0.10186756217288062</v>
      </c>
      <c r="BV1019" s="2290">
        <f>IF(ISNUMBER(BV1018),(1+BV1018)/(1+BV$21)-1,"NM")</f>
      </c>
      <c r="BW1019" s="2292">
        <v>0.12</v>
      </c>
      <c r="BX1019" s="2292">
        <v>0.12</v>
      </c>
      <c r="BY1019" s="2292">
        <v>0.12</v>
      </c>
      <c r="BZ1019" s="2294">
        <v>0.12</v>
      </c>
      <c r="CA1019" s="2290">
        <f>IF(ISNUMBER(CA1018),(1+CA1018)/(1+CA$21)-1,"NM")</f>
      </c>
      <c r="CB1019" s="2292">
        <v>0.1</v>
      </c>
      <c r="CC1019" s="2292">
        <v>0.1</v>
      </c>
      <c r="CD1019" s="2292">
        <v>0.1</v>
      </c>
      <c r="CE1019" s="2292">
        <v>0.11</v>
      </c>
      <c r="CF1019" s="2290">
        <f>IF(ISNUMBER(CF1018),(1+CF1018)/(1+CF$21)-1,"NM")</f>
      </c>
      <c r="CG1019" s="2292">
        <v>0.09</v>
      </c>
      <c r="CH1019" s="2292">
        <v>0.09</v>
      </c>
      <c r="CI1019" s="2292">
        <v>0.09</v>
      </c>
      <c r="CJ1019" s="2292">
        <v>0.09</v>
      </c>
      <c r="CK1019" s="2291">
        <f>CK1018-CK$21</f>
      </c>
      <c r="CL1019" s="2307">
        <v>0.08</v>
      </c>
      <c r="CM1019" s="2292">
        <v>0.08</v>
      </c>
      <c r="CN1019" s="2292">
        <v>0.08</v>
      </c>
      <c r="CO1019" s="2292">
        <v>0.09</v>
      </c>
      <c r="CP1019" s="2291">
        <f>CP1018-CP$21</f>
      </c>
      <c r="CQ1019" s="2292">
        <v>0.08</v>
      </c>
      <c r="CR1019" s="2292">
        <v>0.08</v>
      </c>
      <c r="CS1019" s="2292">
        <v>0.08</v>
      </c>
      <c r="CT1019" s="2294">
        <v>0.08</v>
      </c>
      <c r="CU1019" s="2291">
        <f>CU1018-CU$21</f>
      </c>
      <c r="CV1019" s="2292">
        <v>0.08</v>
      </c>
      <c r="CW1019" s="2292">
        <v>0.06</v>
      </c>
      <c r="CX1019" s="2292">
        <v>0.06</v>
      </c>
      <c r="CY1019" s="2294">
        <v>0.08</v>
      </c>
      <c r="CZ1019" s="2291">
        <f>CZ1018-CZ$21</f>
      </c>
      <c r="DA1019" s="2296">
        <v>0.05</v>
      </c>
      <c r="DB1019" s="2297">
        <v>0.05</v>
      </c>
      <c r="DC1019" s="2297">
        <v>0.05</v>
      </c>
      <c r="DD1019" s="2298">
        <f>IF(DD1013=0, "NM",DD1018-DD$21)</f>
      </c>
      <c r="DE1019" s="2293">
        <v>0.05</v>
      </c>
      <c r="DF1019" s="2296"/>
      <c r="DG1019" s="2297"/>
      <c r="DH1019" s="2297"/>
      <c r="DI1019" s="2298"/>
      <c r="DJ1019" s="2294">
        <v>0.04</v>
      </c>
      <c r="DK1019" s="828"/>
      <c r="DL1019" s="361"/>
      <c r="DM1019" s="361"/>
      <c r="DN1019" s="927"/>
      <c r="DO1019" s="2294">
        <v>0.04</v>
      </c>
      <c r="DP1019" s="2297"/>
      <c r="DQ1019" s="2297"/>
      <c r="DR1019" s="2297"/>
      <c r="DS1019" s="3111"/>
      <c r="DT1019" s="2293">
        <v>0.04</v>
      </c>
      <c r="DU1019" s="3111">
        <v>0.04</v>
      </c>
      <c r="DV1019" s="2297"/>
      <c r="DW1019" s="2297"/>
      <c r="DX1019" s="3306"/>
      <c r="DY1019" s="3308"/>
      <c r="DZ1019" s="2297"/>
      <c r="EA1019" s="2297"/>
      <c r="EB1019" s="2297"/>
      <c r="EC1019" s="3306"/>
      <c r="ED1019" s="3308"/>
      <c r="EE1019" s="2297"/>
      <c r="EF1019" s="2297"/>
      <c r="EG1019" s="2292"/>
      <c r="EH1019" s="3111"/>
      <c r="EI1019" s="2307">
        <v>0.03</v>
      </c>
      <c r="EJ1019" s="2292">
        <v>0.03</v>
      </c>
      <c r="EK1019" s="2294">
        <v>0.03</v>
      </c>
      <c r="EL1019" s="2294">
        <v>0.03</v>
      </c>
      <c r="EM1019" s="2294">
        <v>0.03</v>
      </c>
      <c r="EN1019" s="2294">
        <v>0.03</v>
      </c>
      <c r="EO1019" s="2293"/>
      <c r="EP1019" s="2293"/>
      <c r="EQ1019" s="2293"/>
      <c r="ER1019" s="2293"/>
      <c r="ES1019" s="2293"/>
      <c r="ET1019" s="2293"/>
      <c r="EU1019" s="2293"/>
      <c r="EV1019" s="2293"/>
      <c r="EW1019" s="2293"/>
      <c r="EX1019" s="2293"/>
    </row>
    <row r="1020" spans="2:154" ht="12.75" hidden="1" customHeight="1" outlineLevel="2">
      <c r="B1020" s="1089" t="s">
        <v>19</v>
      </c>
      <c r="C1020" s="2280"/>
      <c r="D1020" s="2281"/>
      <c r="E1020" s="2281"/>
      <c r="F1020" s="2281"/>
      <c r="G1020" s="2281"/>
      <c r="H1020" s="2281"/>
      <c r="I1020" s="2281"/>
      <c r="J1020" s="2281"/>
      <c r="K1020" s="2281"/>
      <c r="L1020" s="2281"/>
      <c r="M1020" s="2281"/>
      <c r="N1020" s="2281"/>
      <c r="O1020" s="2281"/>
      <c r="P1020" s="2281"/>
      <c r="Q1020" s="2281"/>
      <c r="R1020" s="2281"/>
      <c r="S1020" s="2281"/>
      <c r="T1020" s="2281"/>
      <c r="U1020" s="2281"/>
      <c r="V1020" s="2281"/>
      <c r="W1020" s="2281"/>
      <c r="X1020" s="2290"/>
      <c r="Y1020" s="2281"/>
      <c r="Z1020" s="2281"/>
      <c r="AA1020" s="2281"/>
      <c r="AB1020" s="2281"/>
      <c r="AC1020" s="2290"/>
      <c r="AD1020" s="2281"/>
      <c r="AE1020" s="2281"/>
      <c r="AF1020" s="2281"/>
      <c r="AG1020" s="2281"/>
      <c r="AH1020" s="2290"/>
      <c r="AI1020" s="2281"/>
      <c r="AJ1020" s="2281"/>
      <c r="AK1020" s="2281"/>
      <c r="AL1020" s="2281"/>
      <c r="AM1020" s="2290"/>
      <c r="AN1020" s="2281"/>
      <c r="AO1020" s="2281"/>
      <c r="AP1020" s="2281"/>
      <c r="AQ1020" s="2281"/>
      <c r="AR1020" s="2290"/>
      <c r="AS1020" s="2281"/>
      <c r="AT1020" s="2281"/>
      <c r="AU1020" s="2281"/>
      <c r="AV1020" s="2281"/>
      <c r="AW1020" s="2290"/>
      <c r="AX1020" s="2282" t="str">
        <f t="shared" ref="AX1020:CD1020" si="2145">IF(AS1014="NM","NM",IF(AX1014="NM","NM",IF(AS1014&lt;=0,"NM",IF(AX1014=0,"NM",IF(ABS(AX1014/AS1014-1)&gt;2.5,"NM",IF((ABS(AX1014-AS1014)=ABS(ABS(AX1014)-ABS(AS1014))),(AX1014/AS1014-1),"NM"))))))</f>
      </c>
      <c r="AY1020" s="2282" t="str">
        <f t="shared" si="2145"/>
      </c>
      <c r="AZ1020" s="2282" t="str">
        <f t="shared" si="2145"/>
      </c>
      <c r="BA1020" s="2282" t="str">
        <f t="shared" si="2145"/>
      </c>
      <c r="BB1020" s="2290" t="str">
        <f t="shared" si="2145"/>
      </c>
      <c r="BC1020" s="2282">
        <f t="shared" si="2145"/>
      </c>
      <c r="BD1020" s="2282">
        <f t="shared" si="2145"/>
      </c>
      <c r="BE1020" s="2282">
        <f t="shared" si="2145"/>
      </c>
      <c r="BF1020" s="2282">
        <f t="shared" si="2145"/>
      </c>
      <c r="BG1020" s="2290">
        <f t="shared" si="2145"/>
      </c>
      <c r="BH1020" s="2282">
        <f t="shared" si="2145"/>
      </c>
      <c r="BI1020" s="2282">
        <f t="shared" si="2145"/>
      </c>
      <c r="BJ1020" s="2282">
        <f t="shared" si="2145"/>
      </c>
      <c r="BK1020" s="2282">
        <f t="shared" si="2145"/>
      </c>
      <c r="BL1020" s="2290">
        <f t="shared" si="2145"/>
      </c>
      <c r="BM1020" s="2282">
        <f t="shared" si="2145"/>
      </c>
      <c r="BN1020" s="2282">
        <f t="shared" si="2145"/>
      </c>
      <c r="BO1020" s="2282">
        <f t="shared" si="2145"/>
      </c>
      <c r="BP1020" s="2282">
        <f t="shared" si="2145"/>
      </c>
      <c r="BQ1020" s="2290">
        <f t="shared" si="2145"/>
      </c>
      <c r="BR1020" s="2282">
        <f t="shared" si="2145"/>
      </c>
      <c r="BS1020" s="2282">
        <f t="shared" si="2145"/>
      </c>
      <c r="BT1020" s="2282">
        <f t="shared" si="2145"/>
      </c>
      <c r="BU1020" s="2282">
        <f t="shared" si="2145"/>
      </c>
      <c r="BV1020" s="2290">
        <f t="shared" si="2145"/>
      </c>
      <c r="BW1020" s="2282">
        <f t="shared" si="2145"/>
      </c>
      <c r="BX1020" s="2282">
        <f t="shared" si="2145"/>
      </c>
      <c r="BY1020" s="2282">
        <f t="shared" si="2145"/>
      </c>
      <c r="BZ1020" s="2282">
        <f t="shared" si="2145"/>
      </c>
      <c r="CA1020" s="2290">
        <f t="shared" si="2145"/>
      </c>
      <c r="CB1020" s="2282">
        <f t="shared" si="2145"/>
      </c>
      <c r="CC1020" s="2282">
        <f t="shared" si="2145"/>
      </c>
      <c r="CD1020" s="2282">
        <f t="shared" si="2145"/>
      </c>
      <c r="CE1020" s="2282">
        <f>IF(CE1014&lt;=0,0,(CE1014/BZ1014-1))</f>
      </c>
      <c r="CF1020" s="2290">
        <f>IF(CA1014="NM","NM",IF(CF1014="NM","NM",IF(CA1014&lt;=0,"NM",IF(CF1014=0,"NM",IF(ABS(CF1014/CA1014-1)&gt;2.5,"NM",IF((ABS(CF1014-CA1014)=ABS(ABS(CF1014)-ABS(CA1014))),(CF1014/CA1014-1),"NM"))))))</f>
      </c>
      <c r="CG1020" s="2282">
        <f>IF(CG1014&lt;=0,0,(CG1014/CB1014-1))</f>
      </c>
      <c r="CH1020" s="2282">
        <f>IF(CH1014&lt;=0,0,(CH1014/CC1014-1))</f>
      </c>
      <c r="CI1020" s="2282">
        <f>IF(CI1014&lt;=0,0,(CI1014/CD1014-1))</f>
      </c>
      <c r="CJ1020" s="2282">
        <f>IF(CJ1014&lt;=0,0,(CJ1014/CE1014-1))</f>
      </c>
      <c r="CK1020" s="2290">
        <f>IF(CF1014=0, "NA", CK1014/CF1014-1)</f>
      </c>
      <c r="CL1020" s="1092">
        <f>IF(CL1014&lt;=0,0,(CL1014/CG1014-1))</f>
      </c>
      <c r="CM1020" s="2282">
        <f>IF(CM1014&lt;=0,0,(CM1014/CH1014-1))</f>
      </c>
      <c r="CN1020" s="2282">
        <f>IF(CN1014&lt;=0,0,(CN1014/CI1014-1))</f>
      </c>
      <c r="CO1020" s="2282">
        <f>IF(CO1014&lt;=0,0,(CO1014/CJ1014-1))</f>
      </c>
      <c r="CP1020" s="2290">
        <f>IF(CK1014=0, "NA", CP1014/CK1014-1)</f>
      </c>
      <c r="CQ1020" s="2282">
        <f>IF(CQ1014&lt;=0,0,(CQ1014/CL1014-1))</f>
      </c>
      <c r="CR1020" s="2282">
        <f>IF(CR1014&lt;=0,0,(CR1014/CM1014-1))</f>
      </c>
      <c r="CS1020" s="2282">
        <f>IF(CS1014&lt;=0,0,(CS1014/CN1014-1))</f>
      </c>
      <c r="CT1020" s="1093">
        <f>IF(CT1014&lt;=0,0,(CT1014/CO1014-1))</f>
      </c>
      <c r="CU1020" s="2290">
        <f>IF(CP1014=0, "NA", CU1014/CP1014-1)</f>
      </c>
      <c r="CV1020" s="2282">
        <f>IF(CV1014&lt;=0,0,(CV1014/CQ1014-1))</f>
      </c>
      <c r="CW1020" s="2282">
        <f>IF(CW1014&lt;=0,0,(CW1014/CR1014-1))</f>
      </c>
      <c r="CX1020" s="2282">
        <f>IF(CX1014&lt;=0,0,(CX1014/CS1014-1))</f>
      </c>
      <c r="CY1020" s="1093">
        <f>IF(CY1014&lt;=0,0,(CY1014/CT1014-1))</f>
      </c>
      <c r="CZ1020" s="2290">
        <f>IF(CU1014=0, "NA", CZ1014/CU1014-1)</f>
      </c>
      <c r="DA1020" s="1925">
        <f>IF(CV1014=0, "NA", DA1014/CV1014-1)</f>
      </c>
      <c r="DB1020" s="2300">
        <f>IF(CW1014=0, "NA", DB1014/CW1014-1)</f>
      </c>
      <c r="DC1020" s="2300">
        <f>IF(CX1014=0, "NA", DC1014/CX1014-1)</f>
      </c>
      <c r="DD1020" s="1926">
        <f>IF(CY1014=0, "NM", DD1014/CY1014-1)</f>
      </c>
      <c r="DE1020" s="2290">
        <f>IF(CZ1014=0, "NA", DE1014/CZ1014-1)</f>
      </c>
      <c r="DF1020" s="1925"/>
      <c r="DG1020" s="2300"/>
      <c r="DH1020" s="2300"/>
      <c r="DI1020" s="1926"/>
      <c r="DJ1020" s="2290">
        <f>IF(DE1014=0, "NA", DJ1014/DE1014-1)</f>
      </c>
      <c r="DK1020" s="958"/>
      <c r="DL1020" s="926"/>
      <c r="DM1020" s="926"/>
      <c r="DN1020" s="928"/>
      <c r="DO1020" s="2290">
        <f>IF(DJ1014=0, "NA", DO1014/DJ1014-1)</f>
      </c>
      <c r="DP1020" s="2300"/>
      <c r="DQ1020" s="2300"/>
      <c r="DR1020" s="2300"/>
      <c r="DS1020" s="2300"/>
      <c r="DT1020" s="2290">
        <f>IF(DO1014=0, "NA", DT1014/DO1014-1)</f>
      </c>
      <c r="DU1020" s="2300" t="str">
        <f>IF(DP1014=0, "NA", DU1014/DP1014-1)</f>
      </c>
      <c r="DV1020" s="2300"/>
      <c r="DW1020" s="2300"/>
      <c r="DX1020" s="1926"/>
      <c r="DY1020" s="2290">
        <f>IF(DT1014=0, "NA", DY1014/DT1014-1)</f>
      </c>
      <c r="DZ1020" s="2300"/>
      <c r="EA1020" s="2300"/>
      <c r="EB1020" s="2300"/>
      <c r="EC1020" s="1926"/>
      <c r="ED1020" s="2290">
        <f>IF(DY1014=0, "NA", ED1014/DY1014-1)</f>
      </c>
      <c r="EE1020" s="2300"/>
      <c r="EF1020" s="2300"/>
      <c r="EG1020" s="2282"/>
      <c r="EH1020" s="2300"/>
      <c r="EI1020" s="1092">
        <f>IF(ED1014=0, "NA", EI1014/ED1014-1)</f>
      </c>
      <c r="EJ1020" s="1092">
        <f t="shared" ref="EJ1020:EN1020" si="2146">IF(EI1014=0, "NA", EJ1014/EI1014-1)</f>
      </c>
      <c r="EK1020" s="2290">
        <f t="shared" si="2146"/>
      </c>
      <c r="EL1020" s="2290">
        <f t="shared" si="2146"/>
      </c>
      <c r="EM1020" s="2290">
        <f t="shared" si="2146"/>
      </c>
      <c r="EN1020" s="2290">
        <f t="shared" si="2146"/>
      </c>
      <c r="EO1020" s="2290"/>
      <c r="EP1020" s="2290"/>
      <c r="EQ1020" s="2290"/>
      <c r="ER1020" s="2290"/>
      <c r="ES1020" s="2290"/>
      <c r="ET1020" s="2290"/>
      <c r="EU1020" s="2290"/>
      <c r="EV1020" s="2290"/>
      <c r="EW1020" s="2290"/>
      <c r="EX1020" s="2290"/>
    </row>
    <row r="1021" spans="2:154" ht="12.75" hidden="1" customHeight="1" outlineLevel="2">
      <c r="B1021" s="1091"/>
      <c r="C1021" s="2280"/>
      <c r="D1021" s="2281"/>
      <c r="E1021" s="2281"/>
      <c r="F1021" s="2281"/>
      <c r="G1021" s="2281"/>
      <c r="H1021" s="2281"/>
      <c r="I1021" s="2281"/>
      <c r="J1021" s="2281"/>
      <c r="K1021" s="2281"/>
      <c r="L1021" s="2281"/>
      <c r="M1021" s="2281"/>
      <c r="N1021" s="2281"/>
      <c r="O1021" s="2281"/>
      <c r="P1021" s="2281"/>
      <c r="Q1021" s="2281"/>
      <c r="R1021" s="2281"/>
      <c r="S1021" s="2281"/>
      <c r="T1021" s="2281"/>
      <c r="U1021" s="2281"/>
      <c r="V1021" s="2281"/>
      <c r="W1021" s="2281"/>
      <c r="X1021" s="2290"/>
      <c r="Y1021" s="2281"/>
      <c r="Z1021" s="2281"/>
      <c r="AA1021" s="2281"/>
      <c r="AB1021" s="2281"/>
      <c r="AC1021" s="2290"/>
      <c r="AD1021" s="2281"/>
      <c r="AE1021" s="2281"/>
      <c r="AF1021" s="2281"/>
      <c r="AG1021" s="2281"/>
      <c r="AH1021" s="2290"/>
      <c r="AI1021" s="2281"/>
      <c r="AJ1021" s="2281"/>
      <c r="AK1021" s="2281"/>
      <c r="AL1021" s="2281"/>
      <c r="AM1021" s="2290"/>
      <c r="AN1021" s="2281"/>
      <c r="AO1021" s="2281"/>
      <c r="AP1021" s="2281"/>
      <c r="AQ1021" s="2281"/>
      <c r="AR1021" s="2290"/>
      <c r="AS1021" s="2281"/>
      <c r="AT1021" s="2281"/>
      <c r="AU1021" s="2281"/>
      <c r="AV1021" s="2281"/>
      <c r="AW1021" s="2290"/>
      <c r="AX1021" s="2282"/>
      <c r="AY1021" s="2282"/>
      <c r="AZ1021" s="2282"/>
      <c r="BA1021" s="2282"/>
      <c r="BB1021" s="2290"/>
      <c r="BC1021" s="2282"/>
      <c r="BD1021" s="2282"/>
      <c r="BE1021" s="2282"/>
      <c r="BF1021" s="2282"/>
      <c r="BG1021" s="2290"/>
      <c r="BH1021" s="2282"/>
      <c r="BI1021" s="2282"/>
      <c r="BJ1021" s="2282"/>
      <c r="BK1021" s="2282"/>
      <c r="BL1021" s="2290"/>
      <c r="BM1021" s="2282"/>
      <c r="BN1021" s="2282"/>
      <c r="BO1021" s="2282"/>
      <c r="BP1021" s="2282"/>
      <c r="BQ1021" s="2290"/>
      <c r="BR1021" s="2282"/>
      <c r="BS1021" s="2282"/>
      <c r="BT1021" s="2282"/>
      <c r="BU1021" s="2282"/>
      <c r="BV1021" s="2290"/>
      <c r="BW1021" s="2282"/>
      <c r="BX1021" s="2282"/>
      <c r="BY1021" s="2282"/>
      <c r="BZ1021" s="2282"/>
      <c r="CA1021" s="2290"/>
      <c r="CB1021" s="2282"/>
      <c r="CC1021" s="2282"/>
      <c r="CD1021" s="2282"/>
      <c r="CE1021" s="2282"/>
      <c r="CF1021" s="2290"/>
      <c r="CG1021" s="2282"/>
      <c r="CH1021" s="2282"/>
      <c r="CI1021" s="2282"/>
      <c r="CJ1021" s="2282"/>
      <c r="CK1021" s="2290"/>
      <c r="CL1021" s="1092"/>
      <c r="CM1021" s="2282"/>
      <c r="CN1021" s="2282"/>
      <c r="CO1021" s="2282"/>
      <c r="CP1021" s="2290"/>
      <c r="CQ1021" s="2282"/>
      <c r="CR1021" s="2282"/>
      <c r="CS1021" s="2282"/>
      <c r="CT1021" s="1093"/>
      <c r="CU1021" s="1093"/>
      <c r="CV1021" s="2282"/>
      <c r="CW1021" s="2282"/>
      <c r="CX1021" s="2282"/>
      <c r="CY1021" s="1093"/>
      <c r="CZ1021" s="1093"/>
      <c r="DA1021" s="2282"/>
      <c r="DB1021" s="2282"/>
      <c r="DC1021" s="2282"/>
      <c r="DD1021" s="1093"/>
      <c r="DE1021" s="2290"/>
      <c r="DF1021" s="2282"/>
      <c r="DG1021" s="2282"/>
      <c r="DH1021" s="2282"/>
      <c r="DI1021" s="1093"/>
      <c r="DJ1021" s="2290"/>
      <c r="DK1021" s="926"/>
      <c r="DL1021" s="926"/>
      <c r="DM1021" s="926"/>
      <c r="DN1021" s="928"/>
      <c r="DO1021" s="2290"/>
      <c r="DP1021" s="2282"/>
      <c r="DQ1021" s="2282"/>
      <c r="DR1021" s="2282"/>
      <c r="DS1021" s="2282"/>
      <c r="DT1021" s="2290"/>
      <c r="DU1021" s="2282"/>
      <c r="DV1021" s="2282"/>
      <c r="DW1021" s="2282"/>
      <c r="DX1021" s="1093"/>
      <c r="DY1021" s="2290"/>
      <c r="DZ1021" s="2282"/>
      <c r="EA1021" s="2282"/>
      <c r="EB1021" s="2282"/>
      <c r="EC1021" s="1093"/>
      <c r="ED1021" s="2290"/>
      <c r="EE1021" s="2282"/>
      <c r="EF1021" s="2282"/>
      <c r="EG1021" s="2282"/>
      <c r="EH1021" s="2282"/>
      <c r="EI1021" s="1092"/>
      <c r="EJ1021" s="1092"/>
      <c r="EK1021" s="2290"/>
      <c r="EL1021" s="2290"/>
      <c r="EM1021" s="2290"/>
      <c r="EN1021" s="2290"/>
      <c r="EO1021" s="2290"/>
      <c r="EP1021" s="2290"/>
      <c r="EQ1021" s="2290"/>
      <c r="ER1021" s="2290"/>
      <c r="ES1021" s="2290"/>
      <c r="ET1021" s="2290"/>
      <c r="EU1021" s="2290"/>
      <c r="EV1021" s="2290"/>
      <c r="EW1021" s="2290"/>
      <c r="EX1021" s="2290"/>
    </row>
    <row r="1022" spans="2:154" ht="12.75" hidden="1" customHeight="1" outlineLevel="2">
      <c r="B1022" s="1080" t="s">
        <v>503</v>
      </c>
      <c r="C1022" s="2280" t="s">
        <v>555</v>
      </c>
      <c r="D1022" s="2281"/>
      <c r="E1022" s="2281"/>
      <c r="F1022" s="2281"/>
      <c r="G1022" s="2281"/>
      <c r="H1022" s="2281"/>
      <c r="I1022" s="2281"/>
      <c r="J1022" s="2281"/>
      <c r="K1022" s="2281"/>
      <c r="L1022" s="2281"/>
      <c r="M1022" s="2281"/>
      <c r="N1022" s="2281"/>
      <c r="O1022" s="2281"/>
      <c r="P1022" s="2281"/>
      <c r="Q1022" s="2281"/>
      <c r="R1022" s="2281"/>
      <c r="S1022" s="2281"/>
      <c r="T1022" s="2281"/>
      <c r="U1022" s="2281"/>
      <c r="V1022" s="2281"/>
      <c r="W1022" s="2281"/>
      <c r="X1022" s="2320"/>
      <c r="Y1022" s="2281"/>
      <c r="Z1022" s="2281"/>
      <c r="AA1022" s="2281"/>
      <c r="AB1022" s="2281"/>
      <c r="AC1022" s="2320"/>
      <c r="AD1022" s="2281"/>
      <c r="AE1022" s="2281"/>
      <c r="AF1022" s="2281"/>
      <c r="AG1022" s="2281"/>
      <c r="AH1022" s="2320"/>
      <c r="AI1022" s="2281"/>
      <c r="AJ1022" s="2281"/>
      <c r="AK1022" s="2281"/>
      <c r="AL1022" s="2281"/>
      <c r="AM1022" s="2320"/>
      <c r="AN1022" s="2281"/>
      <c r="AO1022" s="2281"/>
      <c r="AP1022" s="2281"/>
      <c r="AQ1022" s="2281"/>
      <c r="AR1022" s="2320"/>
      <c r="AS1022" s="2281"/>
      <c r="AT1022" s="2281"/>
      <c r="AU1022" s="2281"/>
      <c r="AV1022" s="2281"/>
      <c r="AW1022" s="2320"/>
      <c r="AX1022" s="2321"/>
      <c r="AY1022" s="2321"/>
      <c r="AZ1022" s="2321"/>
      <c r="BA1022" s="2321"/>
      <c r="BB1022" s="2320"/>
      <c r="BC1022" s="2321"/>
      <c r="BD1022" s="2281"/>
      <c r="BE1022" s="2281"/>
      <c r="BF1022" s="2281"/>
      <c r="BG1022" s="2319"/>
      <c r="BH1022" s="2281"/>
      <c r="BI1022" s="2281"/>
      <c r="BJ1022" s="2281"/>
      <c r="BK1022" s="2281"/>
      <c r="BL1022" s="2319"/>
      <c r="BM1022" s="2281"/>
      <c r="BN1022" s="2281"/>
      <c r="BO1022" s="2281"/>
      <c r="BP1022" s="2281"/>
      <c r="BQ1022" s="2319"/>
      <c r="BR1022" s="2281"/>
      <c r="BS1022" s="2281"/>
      <c r="BT1022" s="2281"/>
      <c r="BU1022" s="2281"/>
      <c r="BV1022" s="2319"/>
      <c r="BW1022" s="2281"/>
      <c r="BX1022" s="2281"/>
      <c r="BY1022" s="2281"/>
      <c r="BZ1022" s="2281"/>
      <c r="CA1022" s="2319"/>
      <c r="CB1022" s="2281"/>
      <c r="CC1022" s="2281"/>
      <c r="CD1022" s="2281"/>
      <c r="CE1022" s="2281"/>
      <c r="CF1022" s="2319"/>
      <c r="CG1022" s="2281"/>
      <c r="CH1022" s="2281"/>
      <c r="CI1022" s="2281"/>
      <c r="CJ1022" s="2281"/>
      <c r="CK1022" s="2319"/>
      <c r="CL1022" s="1072"/>
      <c r="CM1022" s="2281"/>
      <c r="CN1022" s="2281"/>
      <c r="CO1022" s="2281"/>
      <c r="CP1022" s="2319"/>
      <c r="CQ1022" s="2281"/>
      <c r="CR1022" s="2281"/>
      <c r="CS1022" s="2281"/>
      <c r="CT1022" s="1073"/>
      <c r="CU1022" s="1073"/>
      <c r="CV1022" s="2281"/>
      <c r="CW1022" s="2281"/>
      <c r="CX1022" s="2281"/>
      <c r="CY1022" s="1073"/>
      <c r="CZ1022" s="1073"/>
      <c r="DA1022" s="2281"/>
      <c r="DB1022" s="2281"/>
      <c r="DC1022" s="2281"/>
      <c r="DD1022" s="1073"/>
      <c r="DE1022" s="2320"/>
      <c r="DF1022" s="2321"/>
      <c r="DG1022" s="2321"/>
      <c r="DH1022" s="2321"/>
      <c r="DI1022" s="1929"/>
      <c r="DJ1022" s="2320"/>
      <c r="DK1022" s="982"/>
      <c r="DL1022" s="982"/>
      <c r="DM1022" s="982"/>
      <c r="DN1022" s="1875"/>
      <c r="DO1022" s="2320"/>
      <c r="DP1022" s="2321"/>
      <c r="DQ1022" s="2321"/>
      <c r="DR1022" s="2321"/>
      <c r="DS1022" s="2321"/>
      <c r="DT1022" s="2320"/>
      <c r="DU1022" s="2321"/>
      <c r="DV1022" s="2321"/>
      <c r="DW1022" s="2321"/>
      <c r="DX1022" s="1929"/>
      <c r="DY1022" s="2320"/>
      <c r="DZ1022" s="2321"/>
      <c r="EA1022" s="2321"/>
      <c r="EB1022" s="2321"/>
      <c r="EC1022" s="1929"/>
      <c r="ED1022" s="2320"/>
      <c r="EE1022" s="2321"/>
      <c r="EF1022" s="2321"/>
      <c r="EG1022" s="2321"/>
      <c r="EH1022" s="2321"/>
      <c r="EI1022" s="2322"/>
      <c r="EJ1022" s="2322"/>
      <c r="EK1022" s="2320"/>
      <c r="EL1022" s="2320"/>
      <c r="EM1022" s="2320"/>
      <c r="EN1022" s="2320"/>
      <c r="EO1022" s="2320"/>
      <c r="EP1022" s="2320"/>
      <c r="EQ1022" s="2320"/>
      <c r="ER1022" s="2320"/>
      <c r="ES1022" s="2320"/>
      <c r="ET1022" s="2320"/>
      <c r="EU1022" s="2320"/>
      <c r="EV1022" s="2320"/>
      <c r="EW1022" s="2320"/>
      <c r="EX1022" s="2320"/>
    </row>
    <row r="1023" spans="2:154" ht="12.75" hidden="1" customHeight="1" outlineLevel="2">
      <c r="B1023" s="1082" t="s">
        <v>187</v>
      </c>
      <c r="C1023" s="2280"/>
      <c r="D1023" s="2281"/>
      <c r="E1023" s="2281"/>
      <c r="F1023" s="2281"/>
      <c r="G1023" s="2281"/>
      <c r="H1023" s="2281"/>
      <c r="I1023" s="2281"/>
      <c r="J1023" s="2281"/>
      <c r="K1023" s="2281"/>
      <c r="L1023" s="2281"/>
      <c r="M1023" s="2281"/>
      <c r="N1023" s="2281"/>
      <c r="O1023" s="2281"/>
      <c r="P1023" s="2281"/>
      <c r="Q1023" s="2281"/>
      <c r="R1023" s="2281"/>
      <c r="S1023" s="2281"/>
      <c r="T1023" s="2281"/>
      <c r="U1023" s="2281"/>
      <c r="V1023" s="2281"/>
      <c r="W1023" s="2281"/>
      <c r="X1023" s="2319"/>
      <c r="Y1023" s="2281"/>
      <c r="Z1023" s="2281"/>
      <c r="AA1023" s="2281"/>
      <c r="AB1023" s="2281"/>
      <c r="AC1023" s="2319"/>
      <c r="AD1023" s="2281"/>
      <c r="AE1023" s="2281"/>
      <c r="AF1023" s="2281"/>
      <c r="AG1023" s="2281"/>
      <c r="AH1023" s="2319"/>
      <c r="AI1023" s="2281"/>
      <c r="AJ1023" s="2281"/>
      <c r="AK1023" s="2281"/>
      <c r="AL1023" s="2281"/>
      <c r="AM1023" s="2319"/>
      <c r="AN1023" s="2281"/>
      <c r="AO1023" s="2281"/>
      <c r="AP1023" s="2281"/>
      <c r="AQ1023" s="2281"/>
      <c r="AR1023" s="2319"/>
      <c r="AS1023" s="2281"/>
      <c r="AT1023" s="2281"/>
      <c r="AU1023" s="2281"/>
      <c r="AV1023" s="2281"/>
      <c r="AW1023" s="2319"/>
      <c r="AX1023" s="2281"/>
      <c r="AY1023" s="2281"/>
      <c r="AZ1023" s="2281"/>
      <c r="BA1023" s="2281"/>
      <c r="BB1023" s="2319"/>
      <c r="BC1023" s="2281"/>
      <c r="BD1023" s="2281"/>
      <c r="BE1023" s="2281"/>
      <c r="BF1023" s="2281"/>
      <c r="BG1023" s="1070"/>
      <c r="BH1023" s="2281"/>
      <c r="BI1023" s="2281"/>
      <c r="BJ1023" s="1083"/>
      <c r="BK1023" s="2281"/>
      <c r="BL1023" s="1070"/>
      <c r="BM1023" s="2281">
        <f t="shared" ref="BM1023:BO1024" si="2147">BM990-BM1001-BM1012</f>
      </c>
      <c r="BN1023" s="2281">
        <f t="shared" si="2147"/>
      </c>
      <c r="BO1023" s="2281">
        <f t="shared" si="2147"/>
      </c>
      <c r="BP1023" s="2281">
        <f>+BQ1023-SUM(BM1023:BO1023)</f>
      </c>
      <c r="BQ1023" s="1070">
        <f t="shared" ref="BQ1023:BT1024" si="2148">BQ990-BQ1001-BQ1012</f>
      </c>
      <c r="BR1023" s="2281">
        <f t="shared" si="2148"/>
      </c>
      <c r="BS1023" s="2281">
        <f t="shared" si="2148"/>
      </c>
      <c r="BT1023" s="2281">
        <f t="shared" si="2148"/>
      </c>
      <c r="BU1023" s="2281">
        <f>+BV1023-SUM(BR1023:BT1023)</f>
      </c>
      <c r="BV1023" s="1070">
        <f t="shared" ref="BV1023:BZ1024" si="2149">BV990-BV1001-BV1012</f>
      </c>
      <c r="BW1023" s="2281">
        <f t="shared" si="2149"/>
      </c>
      <c r="BX1023" s="2281">
        <f t="shared" si="2149"/>
      </c>
      <c r="BY1023" s="2281">
        <f t="shared" si="2149"/>
      </c>
      <c r="BZ1023" s="2281">
        <f t="shared" si="2149"/>
      </c>
      <c r="CA1023" s="1070">
        <f>SUM(BW1023:BZ1023)</f>
      </c>
      <c r="CB1023" s="2281">
        <f t="shared" ref="CB1023:CE1024" si="2150">CB990-CB1001-CB1012</f>
      </c>
      <c r="CC1023" s="2281">
        <f t="shared" si="2150"/>
      </c>
      <c r="CD1023" s="2281">
        <f t="shared" si="2150"/>
      </c>
      <c r="CE1023" s="2281">
        <f t="shared" si="2150"/>
      </c>
      <c r="CF1023" s="1070">
        <f>SUM(CB1023:CE1023)</f>
      </c>
      <c r="CG1023" s="2281">
        <f t="shared" ref="CG1023:CJ1024" si="2151">CG990-CG1001-CG1012</f>
      </c>
      <c r="CH1023" s="2281">
        <f t="shared" si="2151"/>
      </c>
      <c r="CI1023" s="2281">
        <f t="shared" si="2151"/>
      </c>
      <c r="CJ1023" s="2281">
        <f t="shared" si="2151"/>
      </c>
      <c r="CK1023" s="1070">
        <f>SUM(CG1023:CJ1023)</f>
      </c>
      <c r="CL1023" s="1072">
        <f t="shared" ref="CL1023:DE1024" si="2152">CL990-CL1001-CL1012</f>
      </c>
      <c r="CM1023" s="2281">
        <f t="shared" si="2152"/>
      </c>
      <c r="CN1023" s="2281">
        <f t="shared" si="2152"/>
      </c>
      <c r="CO1023" s="2281">
        <f t="shared" si="2152"/>
      </c>
      <c r="CP1023" s="1070">
        <f t="shared" si="2152"/>
      </c>
      <c r="CQ1023" s="2281">
        <f t="shared" si="2152"/>
      </c>
      <c r="CR1023" s="2281">
        <f t="shared" si="2152"/>
      </c>
      <c r="CS1023" s="2281">
        <f t="shared" si="2152"/>
      </c>
      <c r="CT1023" s="1073">
        <f t="shared" si="2152"/>
      </c>
      <c r="CU1023" s="1074">
        <f t="shared" si="2152"/>
      </c>
      <c r="CV1023" s="2281">
        <f t="shared" si="2152"/>
      </c>
      <c r="CW1023" s="2281">
        <f t="shared" si="2152"/>
      </c>
      <c r="CX1023" s="2281">
        <f t="shared" si="2152"/>
      </c>
      <c r="CY1023" s="1073">
        <f t="shared" si="2152"/>
      </c>
      <c r="CZ1023" s="1074">
        <f t="shared" si="2152"/>
      </c>
      <c r="DA1023" s="2281">
        <f t="shared" si="2152"/>
      </c>
      <c r="DB1023" s="2281">
        <f t="shared" si="2152"/>
      </c>
      <c r="DC1023" s="2281">
        <f t="shared" si="2152"/>
      </c>
      <c r="DD1023" s="1073">
        <f t="shared" si="2152"/>
      </c>
      <c r="DE1023" s="1922">
        <f t="shared" si="2152"/>
      </c>
      <c r="DF1023" s="2321"/>
      <c r="DG1023" s="2321"/>
      <c r="DH1023" s="2321"/>
      <c r="DI1023" s="1929"/>
      <c r="DJ1023" s="1922">
        <f>DJ990-DJ1001-DJ1012</f>
      </c>
      <c r="DK1023" s="982"/>
      <c r="DL1023" s="982"/>
      <c r="DM1023" s="982"/>
      <c r="DN1023" s="1875"/>
      <c r="DO1023" s="1922">
        <f>DO990-DO1001-DO1012</f>
      </c>
      <c r="DP1023" s="2321"/>
      <c r="DQ1023" s="2321"/>
      <c r="DR1023" s="2321"/>
      <c r="DS1023" s="2321"/>
      <c r="DT1023" s="1922">
        <f>DT990-DT1001-DT1012</f>
      </c>
      <c r="DU1023" s="2321">
        <f>DU990-DU1001-DU1012</f>
      </c>
      <c r="DV1023" s="2321"/>
      <c r="DW1023" s="2321"/>
      <c r="DX1023" s="1929"/>
      <c r="DY1023" s="1922">
        <f>DY990-DY1001-DY1012</f>
      </c>
      <c r="DZ1023" s="2321"/>
      <c r="EA1023" s="2321"/>
      <c r="EB1023" s="2321"/>
      <c r="EC1023" s="1929"/>
      <c r="ED1023" s="1922">
        <f>ED990-ED1001-ED1012</f>
      </c>
      <c r="EE1023" s="2321"/>
      <c r="EF1023" s="2321"/>
      <c r="EG1023" s="2305"/>
      <c r="EH1023" s="2321"/>
      <c r="EI1023" s="1927">
        <f t="shared" ref="EI1023:EL1024" si="2153">EI990-EI1001-EI1012</f>
      </c>
      <c r="EJ1023" s="1927">
        <f t="shared" si="2153"/>
      </c>
      <c r="EK1023" s="1922">
        <f t="shared" si="2153"/>
      </c>
      <c r="EL1023" s="1922">
        <f t="shared" si="2153"/>
      </c>
      <c r="EM1023" s="1922">
        <f>EM990-EM1001-EM1012</f>
      </c>
      <c r="EN1023" s="1922">
        <f>EN990-EN1001-EN1012</f>
      </c>
      <c r="EO1023" s="1922"/>
      <c r="EP1023" s="1922"/>
      <c r="EQ1023" s="1922"/>
      <c r="ER1023" s="1922"/>
      <c r="ES1023" s="1922"/>
      <c r="ET1023" s="1922"/>
      <c r="EU1023" s="1922"/>
      <c r="EV1023" s="1922"/>
      <c r="EW1023" s="1922"/>
      <c r="EX1023" s="1922"/>
    </row>
    <row r="1024" spans="2:154" ht="12.75" hidden="1" customHeight="1" outlineLevel="2">
      <c r="B1024" s="1082" t="s">
        <v>412</v>
      </c>
      <c r="C1024" s="2280"/>
      <c r="D1024" s="2281"/>
      <c r="E1024" s="2281"/>
      <c r="F1024" s="2281"/>
      <c r="G1024" s="2281"/>
      <c r="H1024" s="2281"/>
      <c r="I1024" s="2281"/>
      <c r="J1024" s="2281"/>
      <c r="K1024" s="2281"/>
      <c r="L1024" s="2281"/>
      <c r="M1024" s="2281"/>
      <c r="N1024" s="2281"/>
      <c r="O1024" s="2281"/>
      <c r="P1024" s="2281"/>
      <c r="Q1024" s="2281"/>
      <c r="R1024" s="2281"/>
      <c r="S1024" s="2281"/>
      <c r="T1024" s="2281"/>
      <c r="U1024" s="2281"/>
      <c r="V1024" s="2281"/>
      <c r="W1024" s="2281"/>
      <c r="X1024" s="2319"/>
      <c r="Y1024" s="2281"/>
      <c r="Z1024" s="2281"/>
      <c r="AA1024" s="2281"/>
      <c r="AB1024" s="2281"/>
      <c r="AC1024" s="2319"/>
      <c r="AD1024" s="2281"/>
      <c r="AE1024" s="2281"/>
      <c r="AF1024" s="2281"/>
      <c r="AG1024" s="2281"/>
      <c r="AH1024" s="2319"/>
      <c r="AI1024" s="2281"/>
      <c r="AJ1024" s="2281"/>
      <c r="AK1024" s="2281"/>
      <c r="AL1024" s="2281"/>
      <c r="AM1024" s="2319"/>
      <c r="AN1024" s="2281"/>
      <c r="AO1024" s="2281"/>
      <c r="AP1024" s="2281"/>
      <c r="AQ1024" s="2281"/>
      <c r="AR1024" s="2319"/>
      <c r="AS1024" s="2281"/>
      <c r="AT1024" s="2281"/>
      <c r="AU1024" s="2281"/>
      <c r="AV1024" s="2281"/>
      <c r="AW1024" s="2319"/>
      <c r="AX1024" s="2281"/>
      <c r="AY1024" s="2281"/>
      <c r="AZ1024" s="2281"/>
      <c r="BA1024" s="2281"/>
      <c r="BB1024" s="2319"/>
      <c r="BC1024" s="2281"/>
      <c r="BD1024" s="2281"/>
      <c r="BE1024" s="2281"/>
      <c r="BF1024" s="2281"/>
      <c r="BG1024" s="1070"/>
      <c r="BH1024" s="2281"/>
      <c r="BI1024" s="2281"/>
      <c r="BJ1024" s="1083"/>
      <c r="BK1024" s="2281"/>
      <c r="BL1024" s="1070"/>
      <c r="BM1024" s="2281">
        <f t="shared" si="2147"/>
      </c>
      <c r="BN1024" s="2281">
        <f t="shared" si="2147"/>
      </c>
      <c r="BO1024" s="2281">
        <f t="shared" si="2147"/>
      </c>
      <c r="BP1024" s="2281">
        <f>+BQ1024-SUM(BM1024:BO1024)</f>
      </c>
      <c r="BQ1024" s="1070">
        <f t="shared" si="2148"/>
      </c>
      <c r="BR1024" s="2281">
        <f t="shared" si="2148"/>
      </c>
      <c r="BS1024" s="2281">
        <f t="shared" si="2148"/>
      </c>
      <c r="BT1024" s="2281">
        <f t="shared" si="2148"/>
      </c>
      <c r="BU1024" s="2281">
        <f>+BV1024-SUM(BR1024:BT1024)</f>
      </c>
      <c r="BV1024" s="1070">
        <f t="shared" si="2149"/>
      </c>
      <c r="BW1024" s="2281">
        <f t="shared" si="2149"/>
      </c>
      <c r="BX1024" s="2281">
        <f t="shared" si="2149"/>
      </c>
      <c r="BY1024" s="2281">
        <f t="shared" si="2149"/>
      </c>
      <c r="BZ1024" s="2281">
        <f t="shared" si="2149"/>
      </c>
      <c r="CA1024" s="1070">
        <f>SUM(BW1024:BZ1024)</f>
      </c>
      <c r="CB1024" s="2281">
        <f t="shared" si="2150"/>
      </c>
      <c r="CC1024" s="2281">
        <f t="shared" si="2150"/>
      </c>
      <c r="CD1024" s="2281">
        <f t="shared" si="2150"/>
      </c>
      <c r="CE1024" s="2281">
        <f t="shared" si="2150"/>
      </c>
      <c r="CF1024" s="1070">
        <f>SUM(CB1024:CE1024)</f>
      </c>
      <c r="CG1024" s="2281">
        <f t="shared" si="2151"/>
      </c>
      <c r="CH1024" s="2281">
        <f t="shared" si="2151"/>
      </c>
      <c r="CI1024" s="2281">
        <f t="shared" si="2151"/>
      </c>
      <c r="CJ1024" s="2281">
        <f t="shared" si="2151"/>
      </c>
      <c r="CK1024" s="1070">
        <f>SUM(CG1024:CJ1024)</f>
      </c>
      <c r="CL1024" s="1072">
        <f t="shared" si="2152"/>
      </c>
      <c r="CM1024" s="2281">
        <f t="shared" si="2152"/>
      </c>
      <c r="CN1024" s="2281">
        <f t="shared" si="2152"/>
      </c>
      <c r="CO1024" s="2281">
        <f t="shared" si="2152"/>
      </c>
      <c r="CP1024" s="1070">
        <f t="shared" si="2152"/>
      </c>
      <c r="CQ1024" s="2281">
        <f t="shared" si="2152"/>
      </c>
      <c r="CR1024" s="2281">
        <f t="shared" si="2152"/>
      </c>
      <c r="CS1024" s="2281">
        <f t="shared" si="2152"/>
      </c>
      <c r="CT1024" s="1073">
        <f t="shared" si="2152"/>
      </c>
      <c r="CU1024" s="1074">
        <f t="shared" si="2152"/>
      </c>
      <c r="CV1024" s="2281">
        <f>CV991-CV1002-CV1013</f>
      </c>
      <c r="CW1024" s="2281">
        <f t="shared" si="2152"/>
      </c>
      <c r="CX1024" s="2281">
        <f t="shared" si="2152"/>
      </c>
      <c r="CY1024" s="1073">
        <f t="shared" si="2152"/>
      </c>
      <c r="CZ1024" s="1074">
        <f t="shared" si="2152"/>
      </c>
      <c r="DA1024" s="2281">
        <f t="shared" si="2152"/>
      </c>
      <c r="DB1024" s="2281">
        <f t="shared" si="2152"/>
      </c>
      <c r="DC1024" s="2281">
        <f t="shared" si="2152"/>
      </c>
      <c r="DD1024" s="1073">
        <f t="shared" si="2152"/>
      </c>
      <c r="DE1024" s="1922">
        <f t="shared" si="2152"/>
      </c>
      <c r="DF1024" s="2321"/>
      <c r="DG1024" s="2321"/>
      <c r="DH1024" s="2321"/>
      <c r="DI1024" s="1929"/>
      <c r="DJ1024" s="1922">
        <f>DJ991-DJ1002-DJ1013</f>
      </c>
      <c r="DK1024" s="982"/>
      <c r="DL1024" s="982"/>
      <c r="DM1024" s="982"/>
      <c r="DN1024" s="1875"/>
      <c r="DO1024" s="1922">
        <f>DO991-DO1002-DO1013</f>
      </c>
      <c r="DP1024" s="2321"/>
      <c r="DQ1024" s="2321"/>
      <c r="DR1024" s="2321"/>
      <c r="DS1024" s="2321"/>
      <c r="DT1024" s="1922">
        <f>DT991-DT1002-DT1013</f>
      </c>
      <c r="DU1024" s="2321">
        <f>DU991-DU1002-DU1013</f>
      </c>
      <c r="DV1024" s="2321"/>
      <c r="DW1024" s="2321"/>
      <c r="DX1024" s="1929"/>
      <c r="DY1024" s="1922">
        <f>DY991-DY1002-DY1013</f>
      </c>
      <c r="DZ1024" s="2321"/>
      <c r="EA1024" s="2321"/>
      <c r="EB1024" s="2321"/>
      <c r="EC1024" s="1929"/>
      <c r="ED1024" s="1922">
        <f>ED991-ED1002-ED1013</f>
      </c>
      <c r="EE1024" s="2321"/>
      <c r="EF1024" s="2321"/>
      <c r="EG1024" s="2305"/>
      <c r="EH1024" s="2321"/>
      <c r="EI1024" s="1927">
        <f t="shared" si="2153"/>
      </c>
      <c r="EJ1024" s="1927">
        <f t="shared" si="2153"/>
      </c>
      <c r="EK1024" s="1922">
        <f t="shared" si="2153"/>
      </c>
      <c r="EL1024" s="1922">
        <f t="shared" si="2153"/>
      </c>
      <c r="EM1024" s="1922">
        <f>EM991-EM1002-EM1013</f>
      </c>
      <c r="EN1024" s="1922">
        <f>EN991-EN1002-EN1013</f>
      </c>
      <c r="EO1024" s="1922"/>
      <c r="EP1024" s="1922"/>
      <c r="EQ1024" s="1922"/>
      <c r="ER1024" s="1922"/>
      <c r="ES1024" s="1922"/>
      <c r="ET1024" s="1922"/>
      <c r="EU1024" s="1922"/>
      <c r="EV1024" s="1922"/>
      <c r="EW1024" s="1922"/>
      <c r="EX1024" s="1922"/>
    </row>
    <row r="1025" spans="1:154" ht="12.75" hidden="1" customHeight="1" outlineLevel="2">
      <c r="B1025" s="1088" t="s">
        <v>19</v>
      </c>
      <c r="C1025" s="2280"/>
      <c r="D1025" s="2281"/>
      <c r="E1025" s="2281"/>
      <c r="F1025" s="2281"/>
      <c r="G1025" s="2281"/>
      <c r="H1025" s="2281"/>
      <c r="I1025" s="2281"/>
      <c r="J1025" s="2281"/>
      <c r="K1025" s="2281"/>
      <c r="L1025" s="2281"/>
      <c r="M1025" s="2281"/>
      <c r="N1025" s="2281"/>
      <c r="O1025" s="2281"/>
      <c r="P1025" s="2281"/>
      <c r="Q1025" s="2281"/>
      <c r="R1025" s="2281"/>
      <c r="S1025" s="2281"/>
      <c r="T1025" s="2281"/>
      <c r="U1025" s="2281"/>
      <c r="V1025" s="2281"/>
      <c r="W1025" s="2281"/>
      <c r="X1025" s="2319"/>
      <c r="Y1025" s="2281"/>
      <c r="Z1025" s="2281"/>
      <c r="AA1025" s="2281"/>
      <c r="AB1025" s="2281"/>
      <c r="AC1025" s="2319"/>
      <c r="AD1025" s="2281"/>
      <c r="AE1025" s="2281"/>
      <c r="AF1025" s="2281"/>
      <c r="AG1025" s="2281"/>
      <c r="AH1025" s="2319"/>
      <c r="AI1025" s="2281"/>
      <c r="AJ1025" s="2281"/>
      <c r="AK1025" s="2281"/>
      <c r="AL1025" s="2281"/>
      <c r="AM1025" s="2319"/>
      <c r="AN1025" s="2281"/>
      <c r="AO1025" s="2281"/>
      <c r="AP1025" s="2281"/>
      <c r="AQ1025" s="2281"/>
      <c r="AR1025" s="2319"/>
      <c r="AS1025" s="2281"/>
      <c r="AT1025" s="2281"/>
      <c r="AU1025" s="2281"/>
      <c r="AV1025" s="2281"/>
      <c r="AW1025" s="2319"/>
      <c r="AX1025" s="2281"/>
      <c r="AY1025" s="2281"/>
      <c r="AZ1025" s="2281"/>
      <c r="BA1025" s="2281"/>
      <c r="BB1025" s="2319"/>
      <c r="BC1025" s="2281"/>
      <c r="BD1025" s="2281"/>
      <c r="BE1025" s="2281"/>
      <c r="BF1025" s="2281"/>
      <c r="BG1025" s="1070"/>
      <c r="BH1025" s="2281"/>
      <c r="BI1025" s="2281"/>
      <c r="BJ1025" s="2281"/>
      <c r="BK1025" s="2281"/>
      <c r="BL1025" s="1070"/>
      <c r="BM1025" s="2281">
        <f>+BM1024+BM1023</f>
      </c>
      <c r="BN1025" s="2281">
        <f>+BN1024+BN1023</f>
      </c>
      <c r="BO1025" s="2281">
        <f>+BO1024+BO1023</f>
      </c>
      <c r="BP1025" s="2281">
        <f>+BP1023+BP1024</f>
      </c>
      <c r="BQ1025" s="1070">
        <f>+BQ1024+BQ1023</f>
      </c>
      <c r="BR1025" s="2281">
        <f>+BR1024+BR1023</f>
      </c>
      <c r="BS1025" s="2281">
        <f>+BS1024+BS1023</f>
      </c>
      <c r="BT1025" s="2281">
        <f>+BT1024+BT1023</f>
      </c>
      <c r="BU1025" s="2281">
        <f>+BU1023+BU1024</f>
      </c>
      <c r="BV1025" s="1070">
        <f>+BV1024+BV1023</f>
      </c>
      <c r="BW1025" s="2281">
        <f>+BW1024+BW1023</f>
      </c>
      <c r="BX1025" s="2281">
        <f>+BX1024+BX1023</f>
      </c>
      <c r="BY1025" s="2281">
        <f>+BY1024+BY1023</f>
      </c>
      <c r="BZ1025" s="2281">
        <f>+BZ1024+BZ1023</f>
      </c>
      <c r="CA1025" s="1070">
        <f>SUM(BW1025:BZ1025)</f>
      </c>
      <c r="CB1025" s="2281">
        <f>+CB1024+CB1023</f>
      </c>
      <c r="CC1025" s="2281">
        <f>+CC1024+CC1023</f>
      </c>
      <c r="CD1025" s="2281">
        <f>+CD1024+CD1023</f>
      </c>
      <c r="CE1025" s="2281">
        <f>+CE1024+CE1023</f>
      </c>
      <c r="CF1025" s="1070">
        <f>SUM(CB1025:CE1025)</f>
      </c>
      <c r="CG1025" s="2281">
        <f>+CG1024+CG1023</f>
      </c>
      <c r="CH1025" s="2281">
        <f>+CH1024+CH1023</f>
      </c>
      <c r="CI1025" s="2281">
        <f>+CI1024+CI1023</f>
      </c>
      <c r="CJ1025" s="2281">
        <f>+CJ1024+CJ1023</f>
      </c>
      <c r="CK1025" s="1070">
        <f>SUM(CG1025:CJ1025)</f>
      </c>
      <c r="CL1025" s="1072">
        <f t="shared" ref="CL1025:DE1025" si="2154">+CL1024+CL1023</f>
      </c>
      <c r="CM1025" s="2281">
        <f t="shared" si="2154"/>
      </c>
      <c r="CN1025" s="2281">
        <f t="shared" si="2154"/>
      </c>
      <c r="CO1025" s="2281">
        <f t="shared" si="2154"/>
      </c>
      <c r="CP1025" s="1070">
        <f t="shared" si="2154"/>
      </c>
      <c r="CQ1025" s="2281">
        <f t="shared" si="2154"/>
      </c>
      <c r="CR1025" s="2281">
        <f t="shared" si="2154"/>
      </c>
      <c r="CS1025" s="2281">
        <f t="shared" si="2154"/>
      </c>
      <c r="CT1025" s="1073">
        <f t="shared" si="2154"/>
      </c>
      <c r="CU1025" s="1074">
        <f t="shared" si="2154"/>
      </c>
      <c r="CV1025" s="2281">
        <f t="shared" si="2154"/>
      </c>
      <c r="CW1025" s="2281">
        <f t="shared" si="2154"/>
      </c>
      <c r="CX1025" s="2281">
        <f t="shared" si="2154"/>
      </c>
      <c r="CY1025" s="1073">
        <f t="shared" si="2154"/>
      </c>
      <c r="CZ1025" s="1074">
        <f t="shared" si="2154"/>
      </c>
      <c r="DA1025" s="2281">
        <f t="shared" si="2154"/>
      </c>
      <c r="DB1025" s="2281">
        <f t="shared" si="2154"/>
      </c>
      <c r="DC1025" s="2281">
        <f t="shared" si="2154"/>
      </c>
      <c r="DD1025" s="1073">
        <f t="shared" si="2154"/>
      </c>
      <c r="DE1025" s="1922">
        <f t="shared" si="2154"/>
      </c>
      <c r="DF1025" s="2321"/>
      <c r="DG1025" s="2321"/>
      <c r="DH1025" s="2321"/>
      <c r="DI1025" s="1929"/>
      <c r="DJ1025" s="1922">
        <f>+DJ1024+DJ1023</f>
      </c>
      <c r="DK1025" s="982"/>
      <c r="DL1025" s="982"/>
      <c r="DM1025" s="982"/>
      <c r="DN1025" s="1875"/>
      <c r="DO1025" s="1922">
        <f>+DO1024+DO1023</f>
      </c>
      <c r="DP1025" s="2321"/>
      <c r="DQ1025" s="2321"/>
      <c r="DR1025" s="2321"/>
      <c r="DS1025" s="2321"/>
      <c r="DT1025" s="1922">
        <f>+DT1024+DT1023</f>
      </c>
      <c r="DU1025" s="2321">
        <f>+DU1024+DU1023</f>
      </c>
      <c r="DV1025" s="2321"/>
      <c r="DW1025" s="2321"/>
      <c r="DX1025" s="1929"/>
      <c r="DY1025" s="1922">
        <f>+DY1024+DY1023</f>
      </c>
      <c r="DZ1025" s="2321"/>
      <c r="EA1025" s="2321"/>
      <c r="EB1025" s="2321"/>
      <c r="EC1025" s="1929"/>
      <c r="ED1025" s="1922">
        <f>+ED1024+ED1023</f>
      </c>
      <c r="EE1025" s="2321"/>
      <c r="EF1025" s="2321"/>
      <c r="EG1025" s="2305"/>
      <c r="EH1025" s="2321"/>
      <c r="EI1025" s="1927">
        <f t="shared" ref="EI1025:EM1025" si="2155">+EI1024+EI1023</f>
      </c>
      <c r="EJ1025" s="1927">
        <f t="shared" si="2155"/>
      </c>
      <c r="EK1025" s="1922">
        <f t="shared" si="2155"/>
      </c>
      <c r="EL1025" s="1922">
        <f t="shared" si="2155"/>
      </c>
      <c r="EM1025" s="1922">
        <f t="shared" si="2155"/>
      </c>
      <c r="EN1025" s="1922">
        <f>+EN1024+EN1023</f>
      </c>
      <c r="EO1025" s="1922"/>
      <c r="EP1025" s="1922"/>
      <c r="EQ1025" s="1922"/>
      <c r="ER1025" s="1922"/>
      <c r="ES1025" s="1922"/>
      <c r="ET1025" s="1922"/>
      <c r="EU1025" s="1922"/>
      <c r="EV1025" s="1922"/>
      <c r="EW1025" s="1922"/>
      <c r="EX1025" s="1922"/>
    </row>
    <row r="1026" spans="1:154" ht="12.75" hidden="1" customHeight="1" outlineLevel="2">
      <c r="B1026" s="1088"/>
      <c r="C1026" s="2280"/>
      <c r="D1026" s="2281"/>
      <c r="E1026" s="2281"/>
      <c r="F1026" s="2281"/>
      <c r="G1026" s="2281"/>
      <c r="H1026" s="2281"/>
      <c r="I1026" s="2281"/>
      <c r="J1026" s="2281"/>
      <c r="K1026" s="2281"/>
      <c r="L1026" s="2281"/>
      <c r="M1026" s="2281"/>
      <c r="N1026" s="2281"/>
      <c r="O1026" s="2281"/>
      <c r="P1026" s="2281"/>
      <c r="Q1026" s="2281"/>
      <c r="R1026" s="2281"/>
      <c r="S1026" s="2281"/>
      <c r="T1026" s="2281"/>
      <c r="U1026" s="2281"/>
      <c r="V1026" s="2281"/>
      <c r="W1026" s="2281"/>
      <c r="X1026" s="2319"/>
      <c r="Y1026" s="2281"/>
      <c r="Z1026" s="2281"/>
      <c r="AA1026" s="2281"/>
      <c r="AB1026" s="2281"/>
      <c r="AC1026" s="2319"/>
      <c r="AD1026" s="2281"/>
      <c r="AE1026" s="2281"/>
      <c r="AF1026" s="2281"/>
      <c r="AG1026" s="2281"/>
      <c r="AH1026" s="2319"/>
      <c r="AI1026" s="2281"/>
      <c r="AJ1026" s="2281"/>
      <c r="AK1026" s="2281"/>
      <c r="AL1026" s="2281"/>
      <c r="AM1026" s="2319"/>
      <c r="AN1026" s="2281"/>
      <c r="AO1026" s="2281"/>
      <c r="AP1026" s="2281"/>
      <c r="AQ1026" s="2281"/>
      <c r="AR1026" s="2319"/>
      <c r="AS1026" s="2281"/>
      <c r="AT1026" s="2281"/>
      <c r="AU1026" s="2281"/>
      <c r="AV1026" s="2281"/>
      <c r="AW1026" s="2319"/>
      <c r="AX1026" s="2281"/>
      <c r="AY1026" s="2281"/>
      <c r="AZ1026" s="2281"/>
      <c r="BA1026" s="2281"/>
      <c r="BB1026" s="2319"/>
      <c r="BC1026" s="2281"/>
      <c r="BD1026" s="2281"/>
      <c r="BE1026" s="2281"/>
      <c r="BF1026" s="2281"/>
      <c r="BG1026" s="1070"/>
      <c r="BH1026" s="2281"/>
      <c r="BI1026" s="2281"/>
      <c r="BJ1026" s="2281"/>
      <c r="BK1026" s="2281"/>
      <c r="BL1026" s="1070"/>
      <c r="BM1026" s="2281"/>
      <c r="BN1026" s="2281"/>
      <c r="BO1026" s="2281"/>
      <c r="BP1026" s="2281"/>
      <c r="BQ1026" s="1070"/>
      <c r="BR1026" s="2281"/>
      <c r="BS1026" s="2281"/>
      <c r="BT1026" s="2281"/>
      <c r="BU1026" s="2281"/>
      <c r="BV1026" s="1070"/>
      <c r="BW1026" s="2281"/>
      <c r="BX1026" s="2281"/>
      <c r="BY1026" s="2281"/>
      <c r="BZ1026" s="2281"/>
      <c r="CA1026" s="1070"/>
      <c r="CB1026" s="2281"/>
      <c r="CC1026" s="2281"/>
      <c r="CD1026" s="2281"/>
      <c r="CE1026" s="2281"/>
      <c r="CF1026" s="1070"/>
      <c r="CG1026" s="2281"/>
      <c r="CH1026" s="2281"/>
      <c r="CI1026" s="2281"/>
      <c r="CJ1026" s="2281"/>
      <c r="CK1026" s="1070"/>
      <c r="CL1026" s="1072"/>
      <c r="CM1026" s="2281"/>
      <c r="CN1026" s="2281"/>
      <c r="CO1026" s="2281"/>
      <c r="CP1026" s="1070"/>
      <c r="CQ1026" s="2281"/>
      <c r="CR1026" s="2281"/>
      <c r="CS1026" s="2281"/>
      <c r="CT1026" s="1073"/>
      <c r="CU1026" s="1074"/>
      <c r="CV1026" s="2281"/>
      <c r="CW1026" s="2281"/>
      <c r="CX1026" s="2281"/>
      <c r="CY1026" s="1073"/>
      <c r="CZ1026" s="1074"/>
      <c r="DA1026" s="2281"/>
      <c r="DB1026" s="2281"/>
      <c r="DC1026" s="2281"/>
      <c r="DD1026" s="1073"/>
      <c r="DE1026" s="1922"/>
      <c r="DF1026" s="2321"/>
      <c r="DG1026" s="2321"/>
      <c r="DH1026" s="2321"/>
      <c r="DI1026" s="1929"/>
      <c r="DJ1026" s="1922"/>
      <c r="DK1026" s="982"/>
      <c r="DL1026" s="982"/>
      <c r="DM1026" s="982"/>
      <c r="DN1026" s="1875"/>
      <c r="DO1026" s="1922"/>
      <c r="DP1026" s="2321"/>
      <c r="DQ1026" s="2321"/>
      <c r="DR1026" s="2321"/>
      <c r="DS1026" s="2321"/>
      <c r="DT1026" s="1922"/>
      <c r="DU1026" s="2321"/>
      <c r="DV1026" s="2321"/>
      <c r="DW1026" s="2321"/>
      <c r="DX1026" s="1929"/>
      <c r="DY1026" s="1922"/>
      <c r="DZ1026" s="2321"/>
      <c r="EA1026" s="2321"/>
      <c r="EB1026" s="2321"/>
      <c r="EC1026" s="1929"/>
      <c r="ED1026" s="1922"/>
      <c r="EE1026" s="2321"/>
      <c r="EF1026" s="2321"/>
      <c r="EG1026" s="2305"/>
      <c r="EH1026" s="2321"/>
      <c r="EI1026" s="1927"/>
      <c r="EJ1026" s="1927"/>
      <c r="EK1026" s="1922"/>
      <c r="EL1026" s="1922"/>
      <c r="EM1026" s="1922"/>
      <c r="EN1026" s="1922"/>
      <c r="EO1026" s="1922"/>
      <c r="EP1026" s="1922"/>
      <c r="EQ1026" s="1922"/>
      <c r="ER1026" s="1922"/>
      <c r="ES1026" s="1922"/>
      <c r="ET1026" s="1922"/>
      <c r="EU1026" s="1922"/>
      <c r="EV1026" s="1922"/>
      <c r="EW1026" s="1922"/>
      <c r="EX1026" s="1922"/>
    </row>
    <row r="1027" spans="1:154" ht="12.75" hidden="1" customHeight="1" outlineLevel="2">
      <c r="B1027" s="1085" t="s">
        <v>504</v>
      </c>
      <c r="C1027" s="2280"/>
      <c r="D1027" s="2281"/>
      <c r="E1027" s="2281"/>
      <c r="F1027" s="2281"/>
      <c r="G1027" s="2281"/>
      <c r="H1027" s="2281"/>
      <c r="I1027" s="2281"/>
      <c r="J1027" s="2281"/>
      <c r="K1027" s="2281"/>
      <c r="L1027" s="2281"/>
      <c r="M1027" s="2281"/>
      <c r="N1027" s="2281"/>
      <c r="O1027" s="2281"/>
      <c r="P1027" s="2281"/>
      <c r="Q1027" s="2281"/>
      <c r="R1027" s="2281"/>
      <c r="S1027" s="2281"/>
      <c r="T1027" s="2281"/>
      <c r="U1027" s="2281"/>
      <c r="V1027" s="2281"/>
      <c r="W1027" s="2281"/>
      <c r="X1027" s="2319"/>
      <c r="Y1027" s="2281"/>
      <c r="Z1027" s="2281"/>
      <c r="AA1027" s="2281"/>
      <c r="AB1027" s="2281"/>
      <c r="AC1027" s="2319"/>
      <c r="AD1027" s="2281"/>
      <c r="AE1027" s="2281"/>
      <c r="AF1027" s="2281"/>
      <c r="AG1027" s="2281"/>
      <c r="AH1027" s="2319"/>
      <c r="AI1027" s="2281"/>
      <c r="AJ1027" s="2281"/>
      <c r="AK1027" s="2281"/>
      <c r="AL1027" s="2281"/>
      <c r="AM1027" s="2319"/>
      <c r="AN1027" s="2281"/>
      <c r="AO1027" s="2281"/>
      <c r="AP1027" s="2281"/>
      <c r="AQ1027" s="2281"/>
      <c r="AR1027" s="2319"/>
      <c r="AS1027" s="2281"/>
      <c r="AT1027" s="2281"/>
      <c r="AU1027" s="2281"/>
      <c r="AV1027" s="2281"/>
      <c r="AW1027" s="2319"/>
      <c r="AX1027" s="2281"/>
      <c r="AY1027" s="2281"/>
      <c r="AZ1027" s="2281"/>
      <c r="BA1027" s="2281"/>
      <c r="BB1027" s="2319"/>
      <c r="BC1027" s="2281"/>
      <c r="BD1027" s="2281"/>
      <c r="BE1027" s="2281"/>
      <c r="BF1027" s="2281"/>
      <c r="BG1027" s="1070"/>
      <c r="BH1027" s="2281"/>
      <c r="BI1027" s="2281"/>
      <c r="BJ1027" s="2281"/>
      <c r="BK1027" s="2281"/>
      <c r="BL1027" s="1070"/>
      <c r="BM1027" s="2281"/>
      <c r="BN1027" s="2281"/>
      <c r="BO1027" s="2281"/>
      <c r="BP1027" s="2281"/>
      <c r="BQ1027" s="1070"/>
      <c r="BR1027" s="2281"/>
      <c r="BS1027" s="2281"/>
      <c r="BT1027" s="2281"/>
      <c r="BU1027" s="2281"/>
      <c r="BV1027" s="1070"/>
      <c r="BW1027" s="2281"/>
      <c r="BX1027" s="2281"/>
      <c r="BY1027" s="2281"/>
      <c r="BZ1027" s="2281"/>
      <c r="CA1027" s="1070"/>
      <c r="CB1027" s="2281"/>
      <c r="CC1027" s="2281"/>
      <c r="CD1027" s="2281"/>
      <c r="CE1027" s="2281"/>
      <c r="CF1027" s="1070"/>
      <c r="CG1027" s="2281"/>
      <c r="CH1027" s="2281"/>
      <c r="CI1027" s="2281"/>
      <c r="CJ1027" s="2281"/>
      <c r="CK1027" s="1070"/>
      <c r="CL1027" s="1072"/>
      <c r="CM1027" s="2281"/>
      <c r="CN1027" s="2281"/>
      <c r="CO1027" s="2281"/>
      <c r="CP1027" s="1070"/>
      <c r="CQ1027" s="2281"/>
      <c r="CR1027" s="2281"/>
      <c r="CS1027" s="2281"/>
      <c r="CT1027" s="1073"/>
      <c r="CU1027" s="1074"/>
      <c r="CV1027" s="2281"/>
      <c r="CW1027" s="2281"/>
      <c r="CX1027" s="2281"/>
      <c r="CY1027" s="1073"/>
      <c r="CZ1027" s="1074"/>
      <c r="DA1027" s="2281"/>
      <c r="DB1027" s="2281"/>
      <c r="DC1027" s="2281"/>
      <c r="DD1027" s="1073"/>
      <c r="DE1027" s="1922"/>
      <c r="DF1027" s="2321"/>
      <c r="DG1027" s="2321"/>
      <c r="DH1027" s="2321"/>
      <c r="DI1027" s="1929"/>
      <c r="DJ1027" s="1922"/>
      <c r="DK1027" s="982"/>
      <c r="DL1027" s="982"/>
      <c r="DM1027" s="982"/>
      <c r="DN1027" s="1875"/>
      <c r="DO1027" s="1922"/>
      <c r="DP1027" s="2321"/>
      <c r="DQ1027" s="2321"/>
      <c r="DR1027" s="2321"/>
      <c r="DS1027" s="2321"/>
      <c r="DT1027" s="1922"/>
      <c r="DU1027" s="2321"/>
      <c r="DV1027" s="2321"/>
      <c r="DW1027" s="2321"/>
      <c r="DX1027" s="1929"/>
      <c r="DY1027" s="1922"/>
      <c r="DZ1027" s="2321"/>
      <c r="EA1027" s="2321"/>
      <c r="EB1027" s="2321"/>
      <c r="EC1027" s="1929"/>
      <c r="ED1027" s="1922"/>
      <c r="EE1027" s="2321"/>
      <c r="EF1027" s="2321"/>
      <c r="EG1027" s="2305"/>
      <c r="EH1027" s="2321"/>
      <c r="EI1027" s="1927"/>
      <c r="EJ1027" s="1927"/>
      <c r="EK1027" s="1922"/>
      <c r="EL1027" s="1922"/>
      <c r="EM1027" s="1922"/>
      <c r="EN1027" s="1922"/>
      <c r="EO1027" s="1922"/>
      <c r="EP1027" s="1922"/>
      <c r="EQ1027" s="1922"/>
      <c r="ER1027" s="1922"/>
      <c r="ES1027" s="1922"/>
      <c r="ET1027" s="1922"/>
      <c r="EU1027" s="1922"/>
      <c r="EV1027" s="1922"/>
      <c r="EW1027" s="1922"/>
      <c r="EX1027" s="1922"/>
    </row>
    <row r="1028" spans="1:154" ht="12.75" hidden="1" customHeight="1" outlineLevel="2">
      <c r="B1028" s="1089" t="s">
        <v>156</v>
      </c>
      <c r="C1028" s="2280"/>
      <c r="D1028" s="2281"/>
      <c r="E1028" s="2281"/>
      <c r="F1028" s="2281"/>
      <c r="G1028" s="2281"/>
      <c r="H1028" s="2281"/>
      <c r="I1028" s="2281"/>
      <c r="J1028" s="2281"/>
      <c r="K1028" s="2281"/>
      <c r="L1028" s="2281"/>
      <c r="M1028" s="2281"/>
      <c r="N1028" s="2281"/>
      <c r="O1028" s="2281"/>
      <c r="P1028" s="2281"/>
      <c r="Q1028" s="2281"/>
      <c r="R1028" s="2281"/>
      <c r="S1028" s="2281"/>
      <c r="T1028" s="2281"/>
      <c r="U1028" s="2281"/>
      <c r="V1028" s="2281"/>
      <c r="W1028" s="2281"/>
      <c r="X1028" s="2290"/>
      <c r="Y1028" s="2281"/>
      <c r="Z1028" s="2281"/>
      <c r="AA1028" s="2281"/>
      <c r="AB1028" s="2281"/>
      <c r="AC1028" s="2290"/>
      <c r="AD1028" s="2281"/>
      <c r="AE1028" s="2281"/>
      <c r="AF1028" s="2281"/>
      <c r="AG1028" s="2281"/>
      <c r="AH1028" s="2290"/>
      <c r="AI1028" s="2281"/>
      <c r="AJ1028" s="2281"/>
      <c r="AK1028" s="2281"/>
      <c r="AL1028" s="2281"/>
      <c r="AM1028" s="2290"/>
      <c r="AN1028" s="2281"/>
      <c r="AO1028" s="2281"/>
      <c r="AP1028" s="2281"/>
      <c r="AQ1028" s="2281"/>
      <c r="AR1028" s="2290"/>
      <c r="AS1028" s="2281"/>
      <c r="AT1028" s="2281"/>
      <c r="AU1028" s="2281"/>
      <c r="AV1028" s="2281"/>
      <c r="AW1028" s="2290"/>
      <c r="AX1028" s="2282"/>
      <c r="AY1028" s="2282"/>
      <c r="AZ1028" s="2282"/>
      <c r="BA1028" s="2282"/>
      <c r="BB1028" s="2290"/>
      <c r="BC1028" s="2282"/>
      <c r="BD1028" s="2292"/>
      <c r="BE1028" s="2292"/>
      <c r="BF1028" s="2292"/>
      <c r="BG1028" s="2290"/>
      <c r="BH1028" s="2292"/>
      <c r="BI1028" s="2292"/>
      <c r="BJ1028" s="2282"/>
      <c r="BK1028" s="2292"/>
      <c r="BL1028" s="1090"/>
      <c r="BM1028" s="2282" t="str">
        <f t="shared" ref="BM1028:CF1029" si="2156">IF(BH1023="NM","NM",IF(BM1023="NM","NM",IF(BH1023&lt;=0,"NM",IF(BM1023=0,"NM",IF(ABS(BM1023/BH1023-1)&gt;2.5,"NM",IF((ABS(BM1023-BH1023)=ABS(ABS(BM1023)-ABS(BH1023))),(BM1023/BH1023-1),"NM"))))))</f>
      </c>
      <c r="BN1028" s="2282" t="str">
        <f t="shared" si="2156"/>
      </c>
      <c r="BO1028" s="2282" t="str">
        <f t="shared" si="2156"/>
      </c>
      <c r="BP1028" s="2282" t="str">
        <f t="shared" si="2156"/>
      </c>
      <c r="BQ1028" s="2290" t="str">
        <f t="shared" si="2156"/>
      </c>
      <c r="BR1028" s="2282">
        <f t="shared" si="2156"/>
      </c>
      <c r="BS1028" s="2282">
        <f t="shared" si="2156"/>
      </c>
      <c r="BT1028" s="2282">
        <f t="shared" si="2156"/>
      </c>
      <c r="BU1028" s="2282">
        <f t="shared" si="2156"/>
      </c>
      <c r="BV1028" s="2290">
        <f t="shared" si="2156"/>
      </c>
      <c r="BW1028" s="2282">
        <f t="shared" si="2156"/>
      </c>
      <c r="BX1028" s="2282">
        <f t="shared" si="2156"/>
      </c>
      <c r="BY1028" s="2282">
        <f t="shared" si="2156"/>
      </c>
      <c r="BZ1028" s="2282">
        <f t="shared" si="2156"/>
      </c>
      <c r="CA1028" s="2291">
        <f t="shared" si="2156"/>
      </c>
      <c r="CB1028" s="2282">
        <f t="shared" si="2156"/>
      </c>
      <c r="CC1028" s="2282">
        <f t="shared" si="2156"/>
      </c>
      <c r="CD1028" s="2282">
        <f t="shared" si="2156"/>
      </c>
      <c r="CE1028" s="2282">
        <f t="shared" si="2156"/>
      </c>
      <c r="CF1028" s="2291">
        <f t="shared" si="2156"/>
      </c>
      <c r="CG1028" s="2282">
        <f>IF(CB1023="NM","NM",IF(CG1023="NM","NM",IF(CB1023&lt;=0,"NM",IF(CG1023=0,"NM",IF(ABS(CG1023/CB1023-1)&gt;2.5,"NM",IF((ABS(CG1023-CB1023)=ABS(ABS(CG1023)-ABS(CB1023))),(CG1023/CB1023-1),"NM"))))))</f>
      </c>
      <c r="CH1028" s="2282">
        <f t="shared" ref="CH1028:CK1029" si="2157">IF(CC1023=0, "NA", CH1023/CC1023-1)</f>
      </c>
      <c r="CI1028" s="2282">
        <f t="shared" si="2157"/>
      </c>
      <c r="CJ1028" s="2282">
        <f t="shared" si="2157"/>
      </c>
      <c r="CK1028" s="2291">
        <f t="shared" si="2157"/>
      </c>
      <c r="CL1028" s="1092">
        <f>IF(CG1023="NM","NM",IF(CL1023="NM","NM",IF(CG1023&lt;=0,"NM",IF(CL1023=0,"NM",IF(ABS(CL1023/CG1023-1)&gt;2.5,"NM",IF((ABS(CL1023-CG1023)=ABS(ABS(CL1023)-ABS(CG1023))),(CL1023/CG1023-1),"NM"))))))</f>
      </c>
      <c r="CM1028" s="2282">
        <f t="shared" ref="CM1028:DE1029" si="2158">IF(CH1023=0, "NA", CM1023/CH1023-1)</f>
      </c>
      <c r="CN1028" s="2282">
        <f t="shared" si="2158"/>
      </c>
      <c r="CO1028" s="2282">
        <f t="shared" si="2158"/>
      </c>
      <c r="CP1028" s="2291">
        <f t="shared" si="2158"/>
      </c>
      <c r="CQ1028" s="2282">
        <f t="shared" si="2158"/>
      </c>
      <c r="CR1028" s="2282">
        <f t="shared" si="2158"/>
      </c>
      <c r="CS1028" s="2282">
        <f t="shared" si="2158"/>
      </c>
      <c r="CT1028" s="1093">
        <f t="shared" si="2158"/>
      </c>
      <c r="CU1028" s="2323">
        <f t="shared" si="2158"/>
      </c>
      <c r="CV1028" s="2282">
        <f t="shared" si="2158"/>
      </c>
      <c r="CW1028" s="2282">
        <f t="shared" si="2158"/>
      </c>
      <c r="CX1028" s="2282">
        <f t="shared" si="2158"/>
      </c>
      <c r="CY1028" s="1093">
        <f t="shared" si="2158"/>
      </c>
      <c r="CZ1028" s="2323">
        <f t="shared" si="2158"/>
      </c>
      <c r="DA1028" s="2282">
        <f t="shared" si="2158"/>
      </c>
      <c r="DB1028" s="2282">
        <f t="shared" si="2158"/>
      </c>
      <c r="DC1028" s="2282">
        <f t="shared" si="2158"/>
      </c>
      <c r="DD1028" s="1093">
        <f t="shared" si="2158"/>
      </c>
      <c r="DE1028" s="2290">
        <f t="shared" si="2158"/>
      </c>
      <c r="DF1028" s="2282"/>
      <c r="DG1028" s="2282"/>
      <c r="DH1028" s="2282"/>
      <c r="DI1028" s="1093"/>
      <c r="DJ1028" s="2290">
        <f>IF(DE1023=0, "NA", DJ1023/DE1023-1)</f>
      </c>
      <c r="DK1028" s="926"/>
      <c r="DL1028" s="926"/>
      <c r="DM1028" s="926"/>
      <c r="DN1028" s="928"/>
      <c r="DO1028" s="2290">
        <f>IF(DJ1023=0, "NA", DO1023/DJ1023-1)</f>
      </c>
      <c r="DP1028" s="2282"/>
      <c r="DQ1028" s="2282"/>
      <c r="DR1028" s="2282"/>
      <c r="DS1028" s="2282"/>
      <c r="DT1028" s="2290">
        <f>IF(DO1023=0, "NA", DT1023/DO1023-1)</f>
      </c>
      <c r="DU1028" s="2282" t="str">
        <f>IF(DP1023=0, "NA", DU1023/DP1023-1)</f>
      </c>
      <c r="DV1028" s="2282"/>
      <c r="DW1028" s="2282"/>
      <c r="DX1028" s="1093"/>
      <c r="DY1028" s="2290">
        <f>IF(DT1023=0, "NA", DY1023/DT1023-1)</f>
      </c>
      <c r="DZ1028" s="2282"/>
      <c r="EA1028" s="2282"/>
      <c r="EB1028" s="2282"/>
      <c r="EC1028" s="1093"/>
      <c r="ED1028" s="2290">
        <f>IF(DY1023=0, "NA", ED1023/DY1023-1)</f>
      </c>
      <c r="EE1028" s="2282"/>
      <c r="EF1028" s="2282"/>
      <c r="EG1028" s="2282"/>
      <c r="EH1028" s="2282"/>
      <c r="EI1028" s="1092">
        <f>IF(ED1023=0, "NA", EI1023/ED1023-1)</f>
      </c>
      <c r="EJ1028" s="1092">
        <f t="shared" ref="EJ1028:EN1029" si="2159">IF(EI1023=0, "NA", EJ1023/EI1023-1)</f>
      </c>
      <c r="EK1028" s="2290">
        <f t="shared" si="2159"/>
      </c>
      <c r="EL1028" s="2290">
        <f t="shared" si="2159"/>
      </c>
      <c r="EM1028" s="2290">
        <f t="shared" si="2159"/>
      </c>
      <c r="EN1028" s="2290">
        <f t="shared" si="2159"/>
      </c>
      <c r="EO1028" s="2290"/>
      <c r="EP1028" s="2290"/>
      <c r="EQ1028" s="2290"/>
      <c r="ER1028" s="2290"/>
      <c r="ES1028" s="2290"/>
      <c r="ET1028" s="2290"/>
      <c r="EU1028" s="2290"/>
      <c r="EV1028" s="2290"/>
      <c r="EW1028" s="2290"/>
      <c r="EX1028" s="2290"/>
    </row>
    <row r="1029" spans="1:154" ht="12.75" hidden="1" customHeight="1" outlineLevel="2">
      <c r="B1029" s="1089" t="s">
        <v>235</v>
      </c>
      <c r="C1029" s="2280"/>
      <c r="D1029" s="2281"/>
      <c r="E1029" s="2281"/>
      <c r="F1029" s="2281"/>
      <c r="G1029" s="2281"/>
      <c r="H1029" s="2281"/>
      <c r="I1029" s="2281"/>
      <c r="J1029" s="2281"/>
      <c r="K1029" s="2281"/>
      <c r="L1029" s="2281"/>
      <c r="M1029" s="2281"/>
      <c r="N1029" s="2281"/>
      <c r="O1029" s="2281"/>
      <c r="P1029" s="2281"/>
      <c r="Q1029" s="2281"/>
      <c r="R1029" s="2281"/>
      <c r="S1029" s="2281"/>
      <c r="T1029" s="2281"/>
      <c r="U1029" s="2281"/>
      <c r="V1029" s="2281"/>
      <c r="W1029" s="2281"/>
      <c r="X1029" s="2290"/>
      <c r="Y1029" s="2281"/>
      <c r="Z1029" s="2281"/>
      <c r="AA1029" s="2281"/>
      <c r="AB1029" s="2281"/>
      <c r="AC1029" s="2290"/>
      <c r="AD1029" s="2281"/>
      <c r="AE1029" s="2281"/>
      <c r="AF1029" s="2281"/>
      <c r="AG1029" s="2281"/>
      <c r="AH1029" s="2290"/>
      <c r="AI1029" s="2281"/>
      <c r="AJ1029" s="2281"/>
      <c r="AK1029" s="2281"/>
      <c r="AL1029" s="2281"/>
      <c r="AM1029" s="2290"/>
      <c r="AN1029" s="2281"/>
      <c r="AO1029" s="2281"/>
      <c r="AP1029" s="2281"/>
      <c r="AQ1029" s="2281"/>
      <c r="AR1029" s="2290"/>
      <c r="AS1029" s="2281"/>
      <c r="AT1029" s="2281"/>
      <c r="AU1029" s="2281"/>
      <c r="AV1029" s="2281"/>
      <c r="AW1029" s="2290"/>
      <c r="AX1029" s="2282"/>
      <c r="AY1029" s="2282"/>
      <c r="AZ1029" s="2282"/>
      <c r="BA1029" s="2282"/>
      <c r="BB1029" s="2290"/>
      <c r="BC1029" s="2282"/>
      <c r="BD1029" s="2282"/>
      <c r="BE1029" s="2282"/>
      <c r="BF1029" s="2282"/>
      <c r="BG1029" s="2290"/>
      <c r="BH1029" s="2282"/>
      <c r="BI1029" s="2282"/>
      <c r="BJ1029" s="2282"/>
      <c r="BK1029" s="2282"/>
      <c r="BL1029" s="2290"/>
      <c r="BM1029" s="2282" t="str">
        <f t="shared" si="2156"/>
      </c>
      <c r="BN1029" s="2282" t="str">
        <f t="shared" si="2156"/>
      </c>
      <c r="BO1029" s="2282" t="str">
        <f t="shared" si="2156"/>
      </c>
      <c r="BP1029" s="2282" t="str">
        <f t="shared" si="2156"/>
      </c>
      <c r="BQ1029" s="2290" t="str">
        <f t="shared" si="2156"/>
      </c>
      <c r="BR1029" s="2282">
        <f t="shared" si="2156"/>
      </c>
      <c r="BS1029" s="2282">
        <f t="shared" si="2156"/>
      </c>
      <c r="BT1029" s="2282">
        <f t="shared" si="2156"/>
      </c>
      <c r="BU1029" s="2282">
        <f t="shared" si="2156"/>
      </c>
      <c r="BV1029" s="2290">
        <f t="shared" si="2156"/>
      </c>
      <c r="BW1029" s="2282">
        <f t="shared" si="2156"/>
      </c>
      <c r="BX1029" s="2282">
        <f t="shared" si="2156"/>
      </c>
      <c r="BY1029" s="2282">
        <f t="shared" si="2156"/>
      </c>
      <c r="BZ1029" s="2282">
        <f t="shared" si="2156"/>
      </c>
      <c r="CA1029" s="2290">
        <f t="shared" si="2156"/>
      </c>
      <c r="CB1029" s="2282">
        <f t="shared" si="2156"/>
      </c>
      <c r="CC1029" s="2282">
        <f t="shared" si="2156"/>
      </c>
      <c r="CD1029" s="2282">
        <f t="shared" si="2156"/>
      </c>
      <c r="CE1029" s="2282">
        <f t="shared" si="2156"/>
      </c>
      <c r="CF1029" s="2290">
        <f t="shared" si="2156"/>
      </c>
      <c r="CG1029" s="2282">
        <f>IF(CB1024="NM","NM",IF(CG1024="NM","NM",IF(CB1024&lt;=0,"NM",IF(CG1024=0,"NM",IF(ABS(CG1024/CB1024-1)&gt;2.5,"NM",IF((ABS(CG1024-CB1024)=ABS(ABS(CG1024)-ABS(CB1024))),(CG1024/CB1024-1),"NM"))))))</f>
      </c>
      <c r="CH1029" s="2282">
        <f t="shared" si="2157"/>
      </c>
      <c r="CI1029" s="2282">
        <f t="shared" si="2157"/>
      </c>
      <c r="CJ1029" s="2282">
        <f t="shared" si="2157"/>
      </c>
      <c r="CK1029" s="2290">
        <f t="shared" si="2157"/>
      </c>
      <c r="CL1029" s="1092">
        <f>IF(CG1024="NM","NM",IF(CL1024="NM","NM",IF(CG1024&lt;=0,"NM",IF(CL1024=0,"NM",IF(ABS(CL1024/CG1024-1)&gt;2.5,"NM",IF((ABS(CL1024-CG1024)=ABS(ABS(CL1024)-ABS(CG1024))),(CL1024/CG1024-1),"NM"))))))</f>
      </c>
      <c r="CM1029" s="2282">
        <f t="shared" si="2158"/>
      </c>
      <c r="CN1029" s="2282">
        <f t="shared" si="2158"/>
      </c>
      <c r="CO1029" s="2282">
        <f t="shared" si="2158"/>
      </c>
      <c r="CP1029" s="2290">
        <f t="shared" si="2158"/>
      </c>
      <c r="CQ1029" s="2282">
        <f t="shared" si="2158"/>
      </c>
      <c r="CR1029" s="2282">
        <f t="shared" si="2158"/>
      </c>
      <c r="CS1029" s="2282">
        <f t="shared" si="2158"/>
      </c>
      <c r="CT1029" s="1093">
        <f t="shared" si="2158"/>
      </c>
      <c r="CU1029" s="1093">
        <f t="shared" si="2158"/>
      </c>
      <c r="CV1029" s="2282">
        <f t="shared" si="2158"/>
      </c>
      <c r="CW1029" s="2282">
        <f t="shared" si="2158"/>
      </c>
      <c r="CX1029" s="2282">
        <f t="shared" si="2158"/>
      </c>
      <c r="CY1029" s="1093">
        <f t="shared" si="2158"/>
      </c>
      <c r="CZ1029" s="1093">
        <f t="shared" si="2158"/>
      </c>
      <c r="DA1029" s="2282">
        <f t="shared" si="2158"/>
      </c>
      <c r="DB1029" s="2282">
        <f t="shared" si="2158"/>
      </c>
      <c r="DC1029" s="2282">
        <f t="shared" si="2158"/>
      </c>
      <c r="DD1029" s="1093">
        <f t="shared" si="2158"/>
      </c>
      <c r="DE1029" s="2290">
        <f t="shared" si="2158"/>
      </c>
      <c r="DF1029" s="2282"/>
      <c r="DG1029" s="2282"/>
      <c r="DH1029" s="2282"/>
      <c r="DI1029" s="1093"/>
      <c r="DJ1029" s="2290">
        <f>IF(DE1024=0, "NA", DJ1024/DE1024-1)</f>
      </c>
      <c r="DK1029" s="926"/>
      <c r="DL1029" s="926"/>
      <c r="DM1029" s="926"/>
      <c r="DN1029" s="928"/>
      <c r="DO1029" s="2290">
        <f>IF(DJ1024=0, "NA", DO1024/DJ1024-1)</f>
      </c>
      <c r="DP1029" s="2282"/>
      <c r="DQ1029" s="2282"/>
      <c r="DR1029" s="2282"/>
      <c r="DS1029" s="2282"/>
      <c r="DT1029" s="2290">
        <f>IF(DO1024=0, "NA", DT1024/DO1024-1)</f>
      </c>
      <c r="DU1029" s="2282" t="str">
        <f>IF(DP1024=0, "NA", DU1024/DP1024-1)</f>
      </c>
      <c r="DV1029" s="2282"/>
      <c r="DW1029" s="2282"/>
      <c r="DX1029" s="1093"/>
      <c r="DY1029" s="2290">
        <f>IF(DT1024=0, "NA", DY1024/DT1024-1)</f>
      </c>
      <c r="DZ1029" s="2282"/>
      <c r="EA1029" s="2282"/>
      <c r="EB1029" s="2282"/>
      <c r="EC1029" s="1093"/>
      <c r="ED1029" s="2290">
        <f>IF(DY1024=0, "NA", ED1024/DY1024-1)</f>
      </c>
      <c r="EE1029" s="2282"/>
      <c r="EF1029" s="2282"/>
      <c r="EG1029" s="2282"/>
      <c r="EH1029" s="2282"/>
      <c r="EI1029" s="1092">
        <f>IF(ED1024=0, "NA", EI1024/ED1024-1)</f>
      </c>
      <c r="EJ1029" s="1092">
        <f t="shared" si="2159"/>
      </c>
      <c r="EK1029" s="2290">
        <f t="shared" si="2159"/>
      </c>
      <c r="EL1029" s="2290">
        <f t="shared" si="2159"/>
      </c>
      <c r="EM1029" s="2290">
        <f t="shared" si="2159"/>
      </c>
      <c r="EN1029" s="2290">
        <f t="shared" si="2159"/>
      </c>
      <c r="EO1029" s="2290"/>
      <c r="EP1029" s="2290"/>
      <c r="EQ1029" s="2290"/>
      <c r="ER1029" s="2290"/>
      <c r="ES1029" s="2290"/>
      <c r="ET1029" s="2290"/>
      <c r="EU1029" s="2290"/>
      <c r="EV1029" s="2290"/>
      <c r="EW1029" s="2290"/>
      <c r="EX1029" s="2290"/>
    </row>
    <row r="1030" spans="1:154" ht="12.75" hidden="1" customHeight="1" outlineLevel="2">
      <c r="B1030" s="1089" t="s">
        <v>157</v>
      </c>
      <c r="C1030" s="2280"/>
      <c r="D1030" s="2281"/>
      <c r="E1030" s="2281"/>
      <c r="F1030" s="2281"/>
      <c r="G1030" s="2281"/>
      <c r="H1030" s="2281"/>
      <c r="I1030" s="2281"/>
      <c r="J1030" s="2281"/>
      <c r="K1030" s="2281"/>
      <c r="L1030" s="2281"/>
      <c r="M1030" s="2281"/>
      <c r="N1030" s="2281"/>
      <c r="O1030" s="2281"/>
      <c r="P1030" s="2281"/>
      <c r="Q1030" s="2281"/>
      <c r="R1030" s="2281"/>
      <c r="S1030" s="2281"/>
      <c r="T1030" s="2281"/>
      <c r="U1030" s="2281"/>
      <c r="V1030" s="2281"/>
      <c r="W1030" s="2281"/>
      <c r="X1030" s="2291"/>
      <c r="Y1030" s="2281"/>
      <c r="Z1030" s="2281"/>
      <c r="AA1030" s="2281"/>
      <c r="AB1030" s="2281"/>
      <c r="AC1030" s="2291"/>
      <c r="AD1030" s="2281"/>
      <c r="AE1030" s="2281"/>
      <c r="AF1030" s="2281"/>
      <c r="AG1030" s="2281"/>
      <c r="AH1030" s="2291"/>
      <c r="AI1030" s="2281"/>
      <c r="AJ1030" s="2281"/>
      <c r="AK1030" s="2281"/>
      <c r="AL1030" s="2281"/>
      <c r="AM1030" s="2291"/>
      <c r="AN1030" s="2281"/>
      <c r="AO1030" s="2281"/>
      <c r="AP1030" s="2281"/>
      <c r="AQ1030" s="2281"/>
      <c r="AR1030" s="2291"/>
      <c r="AS1030" s="2281"/>
      <c r="AT1030" s="2281"/>
      <c r="AU1030" s="2281"/>
      <c r="AV1030" s="2281"/>
      <c r="AW1030" s="2291"/>
      <c r="AX1030" s="2315"/>
      <c r="AY1030" s="2315"/>
      <c r="AZ1030" s="2315"/>
      <c r="BA1030" s="2315"/>
      <c r="BB1030" s="2291"/>
      <c r="BC1030" s="2315"/>
      <c r="BD1030" s="2316"/>
      <c r="BE1030" s="2316"/>
      <c r="BF1030" s="2316"/>
      <c r="BG1030" s="2317"/>
      <c r="BH1030" s="2316"/>
      <c r="BI1030" s="2316"/>
      <c r="BJ1030" s="2315"/>
      <c r="BK1030" s="2316"/>
      <c r="BL1030" s="2318"/>
      <c r="BM1030" s="2282" t="str">
        <f t="shared" ref="BM1030:CG1030" si="2160">IF(ISNUMBER(BM1029),(1+BM1029)/(1+BM$21)-1,"NM")</f>
      </c>
      <c r="BN1030" s="2282" t="str">
        <f t="shared" si="2160"/>
      </c>
      <c r="BO1030" s="2282" t="str">
        <f t="shared" si="2160"/>
      </c>
      <c r="BP1030" s="2301" t="str">
        <f t="shared" si="2160"/>
      </c>
      <c r="BQ1030" s="2290" t="str">
        <f t="shared" si="2160"/>
      </c>
      <c r="BR1030" s="2282">
        <f t="shared" si="2160"/>
      </c>
      <c r="BS1030" s="2282">
        <f t="shared" si="2160"/>
      </c>
      <c r="BT1030" s="2282">
        <f t="shared" si="2160"/>
      </c>
      <c r="BU1030" s="2301">
        <f t="shared" si="2160"/>
      </c>
      <c r="BV1030" s="2290">
        <f t="shared" si="2160"/>
      </c>
      <c r="BW1030" s="2282">
        <f t="shared" si="2160"/>
      </c>
      <c r="BX1030" s="2282">
        <f t="shared" si="2160"/>
      </c>
      <c r="BY1030" s="2282">
        <f t="shared" si="2160"/>
      </c>
      <c r="BZ1030" s="2282">
        <f t="shared" si="2160"/>
      </c>
      <c r="CA1030" s="2317">
        <f t="shared" si="2160"/>
      </c>
      <c r="CB1030" s="2282">
        <f t="shared" si="2160"/>
      </c>
      <c r="CC1030" s="2282">
        <f t="shared" si="2160"/>
      </c>
      <c r="CD1030" s="2282">
        <f t="shared" si="2160"/>
      </c>
      <c r="CE1030" s="2282">
        <f t="shared" si="2160"/>
      </c>
      <c r="CF1030" s="2317">
        <f t="shared" si="2160"/>
      </c>
      <c r="CG1030" s="2282">
        <f t="shared" si="2160"/>
      </c>
      <c r="CH1030" s="2282">
        <f>CH1029-CH$21</f>
      </c>
      <c r="CI1030" s="2282">
        <f>CI1029-CI$21</f>
      </c>
      <c r="CJ1030" s="2282">
        <f>CJ1029-CJ$21</f>
      </c>
      <c r="CK1030" s="2317">
        <f>CK1029-CK$21</f>
      </c>
      <c r="CL1030" s="1092">
        <f>IF(ISNUMBER(CL1029),(1+CL1029)/(1+CL$21)-1,"NM")</f>
      </c>
      <c r="CM1030" s="2282">
        <f t="shared" ref="CM1030:DE1030" si="2161">CM1029-CM$21</f>
      </c>
      <c r="CN1030" s="2282">
        <f t="shared" si="2161"/>
      </c>
      <c r="CO1030" s="2282">
        <f t="shared" si="2161"/>
      </c>
      <c r="CP1030" s="2317">
        <f t="shared" si="2161"/>
      </c>
      <c r="CQ1030" s="2282">
        <f t="shared" si="2161"/>
      </c>
      <c r="CR1030" s="2282">
        <f t="shared" si="2161"/>
      </c>
      <c r="CS1030" s="2282">
        <f t="shared" si="2161"/>
      </c>
      <c r="CT1030" s="1093">
        <f t="shared" si="2161"/>
      </c>
      <c r="CU1030" s="2324">
        <f t="shared" si="2161"/>
      </c>
      <c r="CV1030" s="2282">
        <f t="shared" si="2161"/>
      </c>
      <c r="CW1030" s="2282">
        <f t="shared" si="2161"/>
      </c>
      <c r="CX1030" s="2282">
        <f t="shared" si="2161"/>
      </c>
      <c r="CY1030" s="1093">
        <f t="shared" si="2161"/>
      </c>
      <c r="CZ1030" s="2324">
        <f t="shared" si="2161"/>
      </c>
      <c r="DA1030" s="2282">
        <f t="shared" si="2161"/>
      </c>
      <c r="DB1030" s="2282">
        <f t="shared" si="2161"/>
      </c>
      <c r="DC1030" s="2282">
        <f t="shared" si="2161"/>
      </c>
      <c r="DD1030" s="1093">
        <f t="shared" si="2161"/>
      </c>
      <c r="DE1030" s="2317">
        <f t="shared" si="2161"/>
      </c>
      <c r="DF1030" s="2282"/>
      <c r="DG1030" s="2282"/>
      <c r="DH1030" s="2282"/>
      <c r="DI1030" s="1093"/>
      <c r="DJ1030" s="2317">
        <f>DJ1029-DJ$21</f>
      </c>
      <c r="DK1030" s="926"/>
      <c r="DL1030" s="926"/>
      <c r="DM1030" s="926"/>
      <c r="DN1030" s="928"/>
      <c r="DO1030" s="2317">
        <f>DO1029-DO$21</f>
      </c>
      <c r="DP1030" s="2282"/>
      <c r="DQ1030" s="2282"/>
      <c r="DR1030" s="2282"/>
      <c r="DS1030" s="2282"/>
      <c r="DT1030" s="2317">
        <f>DT1029-DT$21</f>
      </c>
      <c r="DU1030" s="2282" t="e">
        <f>DU1029-DU$21</f>
      </c>
      <c r="DV1030" s="2282"/>
      <c r="DW1030" s="2282"/>
      <c r="DX1030" s="1093"/>
      <c r="DY1030" s="2317">
        <f>DY1029-DY$21</f>
      </c>
      <c r="DZ1030" s="2282"/>
      <c r="EA1030" s="2282"/>
      <c r="EB1030" s="2282"/>
      <c r="EC1030" s="1093"/>
      <c r="ED1030" s="2317">
        <f>ED1029-ED$21</f>
      </c>
      <c r="EE1030" s="2282"/>
      <c r="EF1030" s="2282"/>
      <c r="EG1030" s="2301"/>
      <c r="EH1030" s="2282"/>
      <c r="EI1030" s="2325">
        <f t="shared" ref="EI1030:EM1030" si="2162">EI1029-EI$21</f>
      </c>
      <c r="EJ1030" s="2325">
        <f t="shared" si="2162"/>
      </c>
      <c r="EK1030" s="2317">
        <f t="shared" si="2162"/>
      </c>
      <c r="EL1030" s="2317">
        <f t="shared" si="2162"/>
      </c>
      <c r="EM1030" s="2317">
        <f t="shared" si="2162"/>
      </c>
      <c r="EN1030" s="2317">
        <f>EN1029-EN$21</f>
      </c>
      <c r="EO1030" s="2317"/>
      <c r="EP1030" s="2317"/>
      <c r="EQ1030" s="2317"/>
      <c r="ER1030" s="2317"/>
      <c r="ES1030" s="2317"/>
      <c r="ET1030" s="2317"/>
      <c r="EU1030" s="2317"/>
      <c r="EV1030" s="2317"/>
      <c r="EW1030" s="2317"/>
      <c r="EX1030" s="2317"/>
    </row>
    <row r="1031" spans="1:154" ht="12.75" hidden="1" customHeight="1" outlineLevel="2">
      <c r="B1031" s="1089" t="s">
        <v>19</v>
      </c>
      <c r="C1031" s="2280"/>
      <c r="D1031" s="2281"/>
      <c r="E1031" s="2281"/>
      <c r="F1031" s="2281"/>
      <c r="G1031" s="2281"/>
      <c r="H1031" s="2281"/>
      <c r="I1031" s="2281"/>
      <c r="J1031" s="2281"/>
      <c r="K1031" s="2281"/>
      <c r="L1031" s="2281"/>
      <c r="M1031" s="2281"/>
      <c r="N1031" s="2281"/>
      <c r="O1031" s="2281"/>
      <c r="P1031" s="2281"/>
      <c r="Q1031" s="2281"/>
      <c r="R1031" s="2281"/>
      <c r="S1031" s="2281"/>
      <c r="T1031" s="2281"/>
      <c r="U1031" s="2281"/>
      <c r="V1031" s="2281"/>
      <c r="W1031" s="2281"/>
      <c r="X1031" s="2290"/>
      <c r="Y1031" s="2281"/>
      <c r="Z1031" s="2281"/>
      <c r="AA1031" s="2281"/>
      <c r="AB1031" s="2281"/>
      <c r="AC1031" s="2290"/>
      <c r="AD1031" s="2281"/>
      <c r="AE1031" s="2281"/>
      <c r="AF1031" s="2281"/>
      <c r="AG1031" s="2281"/>
      <c r="AH1031" s="2290"/>
      <c r="AI1031" s="2281"/>
      <c r="AJ1031" s="2281"/>
      <c r="AK1031" s="2281"/>
      <c r="AL1031" s="2281"/>
      <c r="AM1031" s="2290"/>
      <c r="AN1031" s="2281"/>
      <c r="AO1031" s="2281"/>
      <c r="AP1031" s="2281"/>
      <c r="AQ1031" s="2281"/>
      <c r="AR1031" s="2290"/>
      <c r="AS1031" s="2281"/>
      <c r="AT1031" s="2281"/>
      <c r="AU1031" s="2281"/>
      <c r="AV1031" s="2281"/>
      <c r="AW1031" s="2290"/>
      <c r="AX1031" s="2282"/>
      <c r="AY1031" s="2282"/>
      <c r="AZ1031" s="2282"/>
      <c r="BA1031" s="2282"/>
      <c r="BB1031" s="2290"/>
      <c r="BC1031" s="2282"/>
      <c r="BD1031" s="2282"/>
      <c r="BE1031" s="2282"/>
      <c r="BF1031" s="2282"/>
      <c r="BG1031" s="2290"/>
      <c r="BH1031" s="2282"/>
      <c r="BI1031" s="2282"/>
      <c r="BJ1031" s="2282"/>
      <c r="BK1031" s="2282"/>
      <c r="BL1031" s="2290"/>
      <c r="BM1031" s="2282" t="str">
        <f t="shared" ref="BM1031:CG1031" si="2163">IF(BH1025="NM","NM",IF(BM1025="NM","NM",IF(BH1025&lt;=0,"NM",IF(BM1025=0,"NM",IF(ABS(BM1025/BH1025-1)&gt;2.5,"NM",IF((ABS(BM1025-BH1025)=ABS(ABS(BM1025)-ABS(BH1025))),(BM1025/BH1025-1),"NM"))))))</f>
      </c>
      <c r="BN1031" s="2282" t="str">
        <f t="shared" si="2163"/>
      </c>
      <c r="BO1031" s="2282" t="str">
        <f t="shared" si="2163"/>
      </c>
      <c r="BP1031" s="2282" t="str">
        <f t="shared" si="2163"/>
      </c>
      <c r="BQ1031" s="2290" t="str">
        <f t="shared" si="2163"/>
      </c>
      <c r="BR1031" s="2282">
        <f t="shared" si="2163"/>
      </c>
      <c r="BS1031" s="2282">
        <f t="shared" si="2163"/>
      </c>
      <c r="BT1031" s="2282">
        <f t="shared" si="2163"/>
      </c>
      <c r="BU1031" s="2282">
        <f t="shared" si="2163"/>
      </c>
      <c r="BV1031" s="2290">
        <f t="shared" si="2163"/>
      </c>
      <c r="BW1031" s="2282">
        <f t="shared" si="2163"/>
      </c>
      <c r="BX1031" s="2282">
        <f t="shared" si="2163"/>
      </c>
      <c r="BY1031" s="2282">
        <f t="shared" si="2163"/>
      </c>
      <c r="BZ1031" s="2282">
        <f t="shared" si="2163"/>
      </c>
      <c r="CA1031" s="2290">
        <f t="shared" si="2163"/>
      </c>
      <c r="CB1031" s="2282">
        <f t="shared" si="2163"/>
      </c>
      <c r="CC1031" s="2282">
        <f t="shared" si="2163"/>
      </c>
      <c r="CD1031" s="2282">
        <f t="shared" si="2163"/>
      </c>
      <c r="CE1031" s="2282">
        <f t="shared" si="2163"/>
      </c>
      <c r="CF1031" s="2290">
        <f t="shared" si="2163"/>
      </c>
      <c r="CG1031" s="2282">
        <f t="shared" si="2163"/>
      </c>
      <c r="CH1031" s="2282">
        <f>IF(CC1025=0, "NA", CH1025/CC1025-1)</f>
      </c>
      <c r="CI1031" s="2282">
        <f>IF(CD1025=0, "NA", CI1025/CD1025-1)</f>
      </c>
      <c r="CJ1031" s="2282">
        <f>IF(CE1025=0, "NA", CJ1025/CE1025-1)</f>
      </c>
      <c r="CK1031" s="2290">
        <f>IF(CF1025=0, "NA", CK1025/CF1025-1)</f>
      </c>
      <c r="CL1031" s="1092">
        <f>IF(CG1025="NM","NM",IF(CL1025="NM","NM",IF(CG1025&lt;=0,"NM",IF(CL1025=0,"NM",IF(ABS(CL1025/CG1025-1)&gt;2.5,"NM",IF((ABS(CL1025-CG1025)=ABS(ABS(CL1025)-ABS(CG1025))),(CL1025/CG1025-1),"NM"))))))</f>
      </c>
      <c r="CM1031" s="2282">
        <f t="shared" ref="CM1031:DE1031" si="2164">IF(CH1025=0, "NA", CM1025/CH1025-1)</f>
      </c>
      <c r="CN1031" s="2282">
        <f t="shared" si="2164"/>
      </c>
      <c r="CO1031" s="2282">
        <f t="shared" si="2164"/>
      </c>
      <c r="CP1031" s="2290">
        <f t="shared" si="2164"/>
      </c>
      <c r="CQ1031" s="2282">
        <f t="shared" si="2164"/>
      </c>
      <c r="CR1031" s="2282">
        <f t="shared" si="2164"/>
      </c>
      <c r="CS1031" s="2282">
        <f t="shared" si="2164"/>
      </c>
      <c r="CT1031" s="1093">
        <f t="shared" si="2164"/>
      </c>
      <c r="CU1031" s="1093">
        <f t="shared" si="2164"/>
      </c>
      <c r="CV1031" s="2282">
        <f t="shared" si="2164"/>
      </c>
      <c r="CW1031" s="2282">
        <f t="shared" si="2164"/>
      </c>
      <c r="CX1031" s="2282">
        <f t="shared" si="2164"/>
      </c>
      <c r="CY1031" s="1093">
        <f t="shared" si="2164"/>
      </c>
      <c r="CZ1031" s="1093">
        <f t="shared" si="2164"/>
      </c>
      <c r="DA1031" s="2282">
        <f t="shared" si="2164"/>
      </c>
      <c r="DB1031" s="2282">
        <f t="shared" si="2164"/>
      </c>
      <c r="DC1031" s="2282">
        <f t="shared" si="2164"/>
      </c>
      <c r="DD1031" s="1093">
        <f t="shared" si="2164"/>
      </c>
      <c r="DE1031" s="2290">
        <f t="shared" si="2164"/>
      </c>
      <c r="DF1031" s="2282"/>
      <c r="DG1031" s="2282"/>
      <c r="DH1031" s="2282"/>
      <c r="DI1031" s="1093"/>
      <c r="DJ1031" s="2290">
        <f>IF(DE1025=0, "NA", DJ1025/DE1025-1)</f>
      </c>
      <c r="DK1031" s="926"/>
      <c r="DL1031" s="926"/>
      <c r="DM1031" s="926"/>
      <c r="DN1031" s="928"/>
      <c r="DO1031" s="2290">
        <f>IF(DJ1025=0, "NA", DO1025/DJ1025-1)</f>
      </c>
      <c r="DP1031" s="2282"/>
      <c r="DQ1031" s="2282"/>
      <c r="DR1031" s="2282"/>
      <c r="DS1031" s="2282"/>
      <c r="DT1031" s="2290">
        <f>IF(DO1025=0, "NA", DT1025/DO1025-1)</f>
      </c>
      <c r="DU1031" s="2282" t="str">
        <f>IF(DP1025=0, "NA", DU1025/DP1025-1)</f>
      </c>
      <c r="DV1031" s="2282"/>
      <c r="DW1031" s="2282"/>
      <c r="DX1031" s="1093"/>
      <c r="DY1031" s="2290">
        <f>IF(DT1025=0, "NA", DY1025/DT1025-1)</f>
      </c>
      <c r="DZ1031" s="2282"/>
      <c r="EA1031" s="2282"/>
      <c r="EB1031" s="2282"/>
      <c r="EC1031" s="1093"/>
      <c r="ED1031" s="2290">
        <f>IF(DY1025=0, "NA", ED1025/DY1025-1)</f>
      </c>
      <c r="EE1031" s="2282"/>
      <c r="EF1031" s="2282"/>
      <c r="EG1031" s="2282"/>
      <c r="EH1031" s="2282"/>
      <c r="EI1031" s="1092">
        <f>IF(ED1025=0, "NA", EI1025/ED1025-1)</f>
      </c>
      <c r="EJ1031" s="1092">
        <f t="shared" ref="EJ1031:EN1031" si="2165">IF(EI1025=0, "NA", EJ1025/EI1025-1)</f>
      </c>
      <c r="EK1031" s="2290">
        <f t="shared" si="2165"/>
      </c>
      <c r="EL1031" s="2290">
        <f t="shared" si="2165"/>
      </c>
      <c r="EM1031" s="2290">
        <f t="shared" si="2165"/>
      </c>
      <c r="EN1031" s="2290">
        <f t="shared" si="2165"/>
      </c>
      <c r="EO1031" s="2290"/>
      <c r="EP1031" s="2290"/>
      <c r="EQ1031" s="2290"/>
      <c r="ER1031" s="2290"/>
      <c r="ES1031" s="2290"/>
      <c r="ET1031" s="2290"/>
      <c r="EU1031" s="2290"/>
      <c r="EV1031" s="2290"/>
      <c r="EW1031" s="2290"/>
      <c r="EX1031" s="2290"/>
    </row>
    <row r="1032" spans="1:154" hidden="1" outlineLevel="1">
      <c r="B1032" s="1094"/>
      <c r="C1032" s="2280"/>
      <c r="D1032" s="2281"/>
      <c r="E1032" s="2281"/>
      <c r="F1032" s="2281"/>
      <c r="G1032" s="2281"/>
      <c r="H1032" s="2281"/>
      <c r="I1032" s="2281"/>
      <c r="J1032" s="2281"/>
      <c r="K1032" s="2281"/>
      <c r="L1032" s="2281"/>
      <c r="M1032" s="2281"/>
      <c r="N1032" s="2281"/>
      <c r="O1032" s="2281"/>
      <c r="P1032" s="2281"/>
      <c r="Q1032" s="2281"/>
      <c r="R1032" s="2281"/>
      <c r="S1032" s="2281"/>
      <c r="T1032" s="2281"/>
      <c r="U1032" s="2281"/>
      <c r="V1032" s="2281"/>
      <c r="W1032" s="2281"/>
      <c r="X1032" s="2290"/>
      <c r="Y1032" s="2281"/>
      <c r="Z1032" s="2281"/>
      <c r="AA1032" s="2281"/>
      <c r="AB1032" s="2281"/>
      <c r="AC1032" s="2290"/>
      <c r="AD1032" s="2281"/>
      <c r="AE1032" s="2281"/>
      <c r="AF1032" s="2281"/>
      <c r="AG1032" s="2281"/>
      <c r="AH1032" s="2290"/>
      <c r="AI1032" s="2281"/>
      <c r="AJ1032" s="2281"/>
      <c r="AK1032" s="2281"/>
      <c r="AL1032" s="2281"/>
      <c r="AM1032" s="2290"/>
      <c r="AN1032" s="2281"/>
      <c r="AO1032" s="2281"/>
      <c r="AP1032" s="2281"/>
      <c r="AQ1032" s="2281"/>
      <c r="AR1032" s="2290"/>
      <c r="AS1032" s="2281"/>
      <c r="AT1032" s="2281"/>
      <c r="AU1032" s="2281"/>
      <c r="AV1032" s="2281"/>
      <c r="AW1032" s="2290"/>
      <c r="AX1032" s="2282"/>
      <c r="AY1032" s="2282"/>
      <c r="AZ1032" s="2282"/>
      <c r="BA1032" s="2282"/>
      <c r="BB1032" s="2290"/>
      <c r="BC1032" s="2282"/>
      <c r="BD1032" s="2282"/>
      <c r="BE1032" s="2282"/>
      <c r="BF1032" s="2282"/>
      <c r="BG1032" s="2290"/>
      <c r="BH1032" s="2282"/>
      <c r="BI1032" s="2282"/>
      <c r="BJ1032" s="2282"/>
      <c r="BK1032" s="2282"/>
      <c r="BL1032" s="2290"/>
      <c r="BM1032" s="2282"/>
      <c r="BN1032" s="2282"/>
      <c r="BO1032" s="2282"/>
      <c r="BP1032" s="2282"/>
      <c r="BQ1032" s="2290"/>
      <c r="BR1032" s="2282"/>
      <c r="BS1032" s="2282"/>
      <c r="BT1032" s="2282"/>
      <c r="BU1032" s="2282"/>
      <c r="BV1032" s="2290"/>
      <c r="BW1032" s="2282"/>
      <c r="BX1032" s="2282"/>
      <c r="BY1032" s="2282"/>
      <c r="BZ1032" s="2282"/>
      <c r="CA1032" s="2290"/>
      <c r="CB1032" s="2282"/>
      <c r="CC1032" s="2282"/>
      <c r="CD1032" s="2282"/>
      <c r="CE1032" s="2282"/>
      <c r="CF1032" s="2290"/>
      <c r="CG1032" s="2282"/>
      <c r="CH1032" s="2282"/>
      <c r="CI1032" s="2282"/>
      <c r="CJ1032" s="2282"/>
      <c r="CK1032" s="2290"/>
      <c r="CL1032" s="1092"/>
      <c r="CM1032" s="2282"/>
      <c r="CN1032" s="2282"/>
      <c r="CO1032" s="2282"/>
      <c r="CP1032" s="2290"/>
      <c r="CQ1032" s="2282"/>
      <c r="CR1032" s="2282"/>
      <c r="CS1032" s="2282"/>
      <c r="CT1032" s="1093"/>
      <c r="CU1032" s="1093"/>
      <c r="CV1032" s="2282"/>
      <c r="CW1032" s="2282"/>
      <c r="CX1032" s="2282"/>
      <c r="CY1032" s="1093"/>
      <c r="CZ1032" s="1093"/>
      <c r="DA1032" s="1092"/>
      <c r="DB1032" s="2282"/>
      <c r="DC1032" s="2282"/>
      <c r="DD1032" s="1093"/>
      <c r="DE1032" s="2290"/>
      <c r="DF1032" s="1092"/>
      <c r="DG1032" s="2282"/>
      <c r="DH1032" s="2282"/>
      <c r="DI1032" s="1093"/>
      <c r="DJ1032" s="2290"/>
      <c r="DK1032" s="958"/>
      <c r="DL1032" s="926"/>
      <c r="DM1032" s="926"/>
      <c r="DN1032" s="928"/>
      <c r="DO1032" s="2290"/>
      <c r="DP1032" s="2282"/>
      <c r="DQ1032" s="2282"/>
      <c r="DR1032" s="2282"/>
      <c r="DS1032" s="2282"/>
      <c r="DT1032" s="2290"/>
      <c r="DU1032" s="2282"/>
      <c r="DV1032" s="2282"/>
      <c r="DW1032" s="2282"/>
      <c r="DX1032" s="1093"/>
      <c r="DY1032" s="2290"/>
      <c r="DZ1032" s="2282"/>
      <c r="EA1032" s="2282"/>
      <c r="EB1032" s="2282"/>
      <c r="EC1032" s="1093"/>
      <c r="ED1032" s="2290"/>
      <c r="EE1032" s="2282"/>
      <c r="EF1032" s="2282"/>
      <c r="EG1032" s="2282"/>
      <c r="EH1032" s="2282"/>
      <c r="EI1032" s="1092"/>
      <c r="EJ1032" s="1092"/>
      <c r="EK1032" s="2290"/>
      <c r="EL1032" s="2290"/>
      <c r="EM1032" s="2290"/>
      <c r="EN1032" s="2290"/>
      <c r="EO1032" s="2290"/>
      <c r="EP1032" s="2290"/>
      <c r="EQ1032" s="2290"/>
      <c r="ER1032" s="2290"/>
      <c r="ES1032" s="2290"/>
      <c r="ET1032" s="2290"/>
      <c r="EU1032" s="2290"/>
      <c r="EV1032" s="2290"/>
      <c r="EW1032" s="2290"/>
      <c r="EX1032" s="2290"/>
    </row>
    <row r="1033" spans="1:154" s="414" customFormat="1" hidden="1" outlineLevel="1">
      <c r="A1033" s="3275"/>
      <c r="B1033" s="411" t="s">
        <v>501</v>
      </c>
      <c r="C1033" s="2273"/>
      <c r="D1033" s="2274"/>
      <c r="E1033" s="2274"/>
      <c r="F1033" s="2274"/>
      <c r="G1033" s="2274"/>
      <c r="H1033" s="2274"/>
      <c r="I1033" s="412"/>
      <c r="J1033" s="2274"/>
      <c r="K1033" s="2274"/>
      <c r="L1033" s="2274"/>
      <c r="M1033" s="2274"/>
      <c r="N1033" s="412"/>
      <c r="O1033" s="412"/>
      <c r="P1033" s="412"/>
      <c r="Q1033" s="412"/>
      <c r="R1033" s="412"/>
      <c r="S1033" s="412"/>
      <c r="T1033" s="412"/>
      <c r="U1033" s="412"/>
      <c r="V1033" s="412"/>
      <c r="W1033" s="412"/>
      <c r="X1033" s="413"/>
      <c r="Y1033" s="412"/>
      <c r="Z1033" s="412"/>
      <c r="AA1033" s="412"/>
      <c r="AB1033" s="412"/>
      <c r="AC1033" s="413"/>
      <c r="AD1033" s="412"/>
      <c r="AE1033" s="412"/>
      <c r="AF1033" s="412"/>
      <c r="AG1033" s="412"/>
      <c r="AH1033" s="413"/>
      <c r="AI1033" s="2274"/>
      <c r="AJ1033" s="2274"/>
      <c r="AK1033" s="2274"/>
      <c r="AL1033" s="412"/>
      <c r="AM1033" s="413"/>
      <c r="AN1033" s="2274"/>
      <c r="AO1033" s="2274"/>
      <c r="AP1033" s="2274"/>
      <c r="AQ1033" s="2274"/>
      <c r="AR1033" s="413"/>
      <c r="AS1033" s="2274"/>
      <c r="AT1033" s="2274"/>
      <c r="AU1033" s="2274"/>
      <c r="AV1033" s="2274"/>
      <c r="AW1033" s="413"/>
      <c r="AX1033" s="2274"/>
      <c r="AY1033" s="2274"/>
      <c r="AZ1033" s="2274"/>
      <c r="BA1033" s="2274"/>
      <c r="BB1033" s="413"/>
      <c r="BC1033" s="2274"/>
      <c r="BD1033" s="2274"/>
      <c r="BE1033" s="2274"/>
      <c r="BF1033" s="2274"/>
      <c r="BG1033" s="413"/>
      <c r="BH1033" s="2274"/>
      <c r="BI1033" s="2274"/>
      <c r="BJ1033" s="2274"/>
      <c r="BK1033" s="2274"/>
      <c r="BL1033" s="413"/>
      <c r="BM1033" s="2275"/>
      <c r="BN1033" s="2275"/>
      <c r="BO1033" s="2275"/>
      <c r="BP1033" s="2275"/>
      <c r="BQ1033" s="415"/>
      <c r="BR1033" s="2275"/>
      <c r="BS1033" s="2275"/>
      <c r="BT1033" s="2275"/>
      <c r="BU1033" s="2275"/>
      <c r="BV1033" s="415"/>
      <c r="BW1033" s="2275"/>
      <c r="BX1033" s="2275"/>
      <c r="BY1033" s="2275"/>
      <c r="BZ1033" s="2275"/>
      <c r="CA1033" s="415"/>
      <c r="CB1033" s="2275"/>
      <c r="CC1033" s="2275"/>
      <c r="CD1033" s="2275"/>
      <c r="CE1033" s="2275"/>
      <c r="CF1033" s="415"/>
      <c r="CG1033" s="2275"/>
      <c r="CH1033" s="2275"/>
      <c r="CI1033" s="2275"/>
      <c r="CJ1033" s="2275"/>
      <c r="CK1033" s="415"/>
      <c r="CL1033" s="1006"/>
      <c r="CM1033" s="2275"/>
      <c r="CN1033" s="2275"/>
      <c r="CO1033" s="2275"/>
      <c r="CP1033" s="415"/>
      <c r="CQ1033" s="2275"/>
      <c r="CR1033" s="2275"/>
      <c r="CS1033" s="2275"/>
      <c r="CT1033" s="1007"/>
      <c r="CU1033" s="1002"/>
      <c r="CV1033" s="2275"/>
      <c r="CW1033" s="2275"/>
      <c r="CX1033" s="2275"/>
      <c r="CY1033" s="1007"/>
      <c r="CZ1033" s="1002"/>
      <c r="DA1033" s="1330"/>
      <c r="DB1033" s="2276"/>
      <c r="DC1033" s="2276"/>
      <c r="DD1033" s="1002"/>
      <c r="DE1033" s="1919"/>
      <c r="DF1033" s="1930"/>
      <c r="DG1033" s="2277"/>
      <c r="DH1033" s="2277"/>
      <c r="DI1033" s="1920"/>
      <c r="DJ1033" s="1919"/>
      <c r="DK1033" s="1931"/>
      <c r="DL1033" s="1921"/>
      <c r="DM1033" s="1921"/>
      <c r="DN1033" s="2278"/>
      <c r="DO1033" s="1919"/>
      <c r="DP1033" s="2277"/>
      <c r="DQ1033" s="2277"/>
      <c r="DR1033" s="2277"/>
      <c r="DS1033" s="2277"/>
      <c r="DT1033" s="1919"/>
      <c r="DU1033" s="2277"/>
      <c r="DV1033" s="2277"/>
      <c r="DW1033" s="2277"/>
      <c r="DX1033" s="1920"/>
      <c r="DY1033" s="1919"/>
      <c r="DZ1033" s="2277"/>
      <c r="EA1033" s="2277"/>
      <c r="EB1033" s="2277"/>
      <c r="EC1033" s="1920"/>
      <c r="ED1033" s="1919"/>
      <c r="EE1033" s="2277"/>
      <c r="EF1033" s="2277"/>
      <c r="EG1033" s="2277"/>
      <c r="EH1033" s="2277"/>
      <c r="EI1033" s="1930"/>
      <c r="EJ1033" s="1930"/>
      <c r="EK1033" s="1919"/>
      <c r="EL1033" s="1919"/>
      <c r="EM1033" s="1919"/>
      <c r="EN1033" s="1919"/>
      <c r="EO1033" s="1919"/>
      <c r="EP1033" s="1919"/>
      <c r="EQ1033" s="1919"/>
      <c r="ER1033" s="1919"/>
      <c r="ES1033" s="1919"/>
      <c r="ET1033" s="1919"/>
      <c r="EU1033" s="1919"/>
      <c r="EV1033" s="1919"/>
      <c r="EW1033" s="1919"/>
      <c r="EX1033" s="1919"/>
    </row>
    <row r="1034" spans="1:154" s="419" customFormat="1" hidden="1" outlineLevel="1">
      <c r="A1034" s="3275"/>
      <c r="B1034" s="416" t="s">
        <v>39</v>
      </c>
      <c r="C1034" s="2326"/>
      <c r="D1034" s="2327"/>
      <c r="E1034" s="2327"/>
      <c r="F1034" s="2327"/>
      <c r="G1034" s="2327"/>
      <c r="H1034" s="2327"/>
      <c r="I1034" s="417"/>
      <c r="J1034" s="2327"/>
      <c r="K1034" s="2327"/>
      <c r="L1034" s="2327"/>
      <c r="M1034" s="2327"/>
      <c r="N1034" s="417"/>
      <c r="O1034" s="417"/>
      <c r="P1034" s="417"/>
      <c r="Q1034" s="417"/>
      <c r="R1034" s="417"/>
      <c r="S1034" s="417"/>
      <c r="T1034" s="417"/>
      <c r="U1034" s="417"/>
      <c r="V1034" s="417"/>
      <c r="W1034" s="417"/>
      <c r="X1034" s="418"/>
      <c r="Y1034" s="417"/>
      <c r="Z1034" s="417"/>
      <c r="AA1034" s="417"/>
      <c r="AB1034" s="417"/>
      <c r="AC1034" s="418"/>
      <c r="AD1034" s="417"/>
      <c r="AE1034" s="417"/>
      <c r="AF1034" s="417"/>
      <c r="AG1034" s="417"/>
      <c r="AH1034" s="418"/>
      <c r="AI1034" s="2327"/>
      <c r="AJ1034" s="2327"/>
      <c r="AK1034" s="2327"/>
      <c r="AL1034" s="417"/>
      <c r="AM1034" s="418"/>
      <c r="AN1034" s="2327"/>
      <c r="AO1034" s="2327"/>
      <c r="AP1034" s="2327"/>
      <c r="AQ1034" s="417"/>
      <c r="AR1034" s="418"/>
      <c r="AS1034" s="2327"/>
      <c r="AT1034" s="2327"/>
      <c r="AU1034" s="2327"/>
      <c r="AV1034" s="417"/>
      <c r="AW1034" s="418"/>
      <c r="AX1034" s="2327"/>
      <c r="AY1034" s="2327"/>
      <c r="AZ1034" s="2327"/>
      <c r="BA1034" s="2327"/>
      <c r="BB1034" s="418"/>
      <c r="BC1034" s="2327"/>
      <c r="BD1034" s="2327"/>
      <c r="BE1034" s="2327"/>
      <c r="BF1034" s="2327"/>
      <c r="BG1034" s="418"/>
      <c r="BH1034" s="2327"/>
      <c r="BI1034" s="2327"/>
      <c r="BJ1034" s="2327"/>
      <c r="BK1034" s="2327"/>
      <c r="BL1034" s="418"/>
      <c r="BM1034" s="2327"/>
      <c r="BN1034" s="2327"/>
      <c r="BO1034" s="2327"/>
      <c r="BP1034" s="2327"/>
      <c r="BQ1034" s="418"/>
      <c r="BR1034" s="2327"/>
      <c r="BS1034" s="2327"/>
      <c r="BT1034" s="2327"/>
      <c r="BU1034" s="2327"/>
      <c r="BV1034" s="418"/>
      <c r="BW1034" s="2327"/>
      <c r="BX1034" s="2327"/>
      <c r="BY1034" s="2327"/>
      <c r="BZ1034" s="2327"/>
      <c r="CA1034" s="418"/>
      <c r="CB1034" s="2327"/>
      <c r="CC1034" s="2327"/>
      <c r="CD1034" s="2327"/>
      <c r="CE1034" s="2327"/>
      <c r="CF1034" s="418"/>
      <c r="CG1034" s="2327"/>
      <c r="CH1034" s="2327"/>
      <c r="CI1034" s="2327"/>
      <c r="CJ1034" s="2327"/>
      <c r="CK1034" s="418"/>
      <c r="CL1034" s="1008"/>
      <c r="CM1034" s="2327"/>
      <c r="CN1034" s="2327"/>
      <c r="CO1034" s="2327"/>
      <c r="CP1034" s="418"/>
      <c r="CQ1034" s="2327"/>
      <c r="CR1034" s="2327"/>
      <c r="CS1034" s="2327"/>
      <c r="CT1034" s="1009"/>
      <c r="CU1034" s="1003"/>
      <c r="CV1034" s="2327"/>
      <c r="CW1034" s="2327"/>
      <c r="CX1034" s="2327"/>
      <c r="CY1034" s="1009"/>
      <c r="CZ1034" s="1003"/>
      <c r="DA1034" s="1331"/>
      <c r="DB1034" s="417"/>
      <c r="DC1034" s="417"/>
      <c r="DD1034" s="1003"/>
      <c r="DE1034" s="1932"/>
      <c r="DF1034" s="1933"/>
      <c r="DG1034" s="2328"/>
      <c r="DH1034" s="2328"/>
      <c r="DI1034" s="1934"/>
      <c r="DJ1034" s="1932"/>
      <c r="DK1034" s="1799"/>
      <c r="DL1034" s="603"/>
      <c r="DM1034" s="603"/>
      <c r="DN1034" s="1798"/>
      <c r="DO1034" s="1932"/>
      <c r="DP1034" s="2328"/>
      <c r="DQ1034" s="2328"/>
      <c r="DR1034" s="2328"/>
      <c r="DS1034" s="2328"/>
      <c r="DT1034" s="1932"/>
      <c r="DU1034" s="2328"/>
      <c r="DV1034" s="2328"/>
      <c r="DW1034" s="2328"/>
      <c r="DX1034" s="1934"/>
      <c r="DY1034" s="1932"/>
      <c r="DZ1034" s="2328"/>
      <c r="EA1034" s="2328"/>
      <c r="EB1034" s="2328"/>
      <c r="EC1034" s="1934"/>
      <c r="ED1034" s="1932"/>
      <c r="EE1034" s="2328"/>
      <c r="EF1034" s="2328"/>
      <c r="EG1034" s="2328"/>
      <c r="EH1034" s="2328"/>
      <c r="EI1034" s="1933"/>
      <c r="EJ1034" s="1933"/>
      <c r="EK1034" s="1932"/>
      <c r="EL1034" s="1932"/>
      <c r="EM1034" s="1932"/>
      <c r="EN1034" s="1932"/>
      <c r="EO1034" s="1932"/>
      <c r="EP1034" s="1932"/>
      <c r="EQ1034" s="1932"/>
      <c r="ER1034" s="1932"/>
      <c r="ES1034" s="1932"/>
      <c r="ET1034" s="1932"/>
      <c r="EU1034" s="1932"/>
      <c r="EV1034" s="1932"/>
      <c r="EW1034" s="1932"/>
      <c r="EX1034" s="1932"/>
    </row>
    <row r="1035" spans="1:154" s="419" customFormat="1" hidden="1" outlineLevel="1">
      <c r="A1035" s="3275"/>
      <c r="B1035" s="420" t="s">
        <v>187</v>
      </c>
      <c r="C1035" s="2326"/>
      <c r="D1035" s="354">
        <v>723.85321100917429</v>
      </c>
      <c r="E1035" s="354">
        <v>196</v>
      </c>
      <c r="F1035" s="354">
        <v>194</v>
      </c>
      <c r="G1035" s="354">
        <v>195</v>
      </c>
      <c r="H1035" s="354">
        <v>204</v>
      </c>
      <c r="I1035" s="417">
        <f>+SUM(E1035:H1035)</f>
      </c>
      <c r="J1035" s="354">
        <v>193</v>
      </c>
      <c r="K1035" s="354">
        <v>215</v>
      </c>
      <c r="L1035" s="354">
        <v>206</v>
      </c>
      <c r="M1035" s="354">
        <v>229</v>
      </c>
      <c r="N1035" s="417">
        <f>+SUM(J1035:M1035)</f>
      </c>
      <c r="O1035" s="354">
        <v>276</v>
      </c>
      <c r="P1035" s="354">
        <v>271</v>
      </c>
      <c r="Q1035" s="354">
        <v>286</v>
      </c>
      <c r="R1035" s="354">
        <v>240</v>
      </c>
      <c r="S1035" s="417">
        <f>SUM(O1035:R1035)</f>
      </c>
      <c r="T1035" s="354">
        <v>248</v>
      </c>
      <c r="U1035" s="354">
        <v>271</v>
      </c>
      <c r="V1035" s="354">
        <v>270</v>
      </c>
      <c r="W1035" s="354">
        <v>272</v>
      </c>
      <c r="X1035" s="418">
        <f>SUM(T1035:W1035)</f>
      </c>
      <c r="Y1035" s="354">
        <v>253</v>
      </c>
      <c r="Z1035" s="354">
        <v>270</v>
      </c>
      <c r="AA1035" s="354">
        <v>263</v>
      </c>
      <c r="AB1035" s="354">
        <v>266</v>
      </c>
      <c r="AC1035" s="418">
        <f>SUM(Y1035:AB1035)</f>
      </c>
      <c r="AD1035" s="354">
        <v>241</v>
      </c>
      <c r="AE1035" s="354">
        <v>261</v>
      </c>
      <c r="AF1035" s="354">
        <v>264.89999999999998</v>
      </c>
      <c r="AG1035" s="354">
        <v>266</v>
      </c>
      <c r="AH1035" s="418">
        <f>SUM(AD1035:AG1035)</f>
      </c>
      <c r="AI1035" s="354">
        <v>292</v>
      </c>
      <c r="AJ1035" s="354">
        <v>296</v>
      </c>
      <c r="AK1035" s="354">
        <v>296</v>
      </c>
      <c r="AL1035" s="354">
        <v>297</v>
      </c>
      <c r="AM1035" s="418">
        <f>+SUM(AI1035:AL1035)</f>
      </c>
      <c r="AN1035" s="354">
        <v>296</v>
      </c>
      <c r="AO1035" s="354">
        <v>321</v>
      </c>
      <c r="AP1035" s="354">
        <v>326</v>
      </c>
      <c r="AQ1035" s="354">
        <v>309</v>
      </c>
      <c r="AR1035" s="418">
        <f>+SUM(AN1035:AQ1035)</f>
      </c>
      <c r="AS1035" s="354">
        <v>345</v>
      </c>
      <c r="AT1035" s="354">
        <v>351</v>
      </c>
      <c r="AU1035" s="354">
        <v>350</v>
      </c>
      <c r="AV1035" s="354">
        <v>352</v>
      </c>
      <c r="AW1035" s="418">
        <f>+SUM(AS1035:AV1035)</f>
      </c>
      <c r="AX1035" s="354">
        <v>341</v>
      </c>
      <c r="AY1035" s="354">
        <v>374</v>
      </c>
      <c r="AZ1035" s="354">
        <v>372</v>
      </c>
      <c r="BA1035" s="354">
        <v>363</v>
      </c>
      <c r="BB1035" s="418">
        <f>SUM(AX1035:BA1035)</f>
      </c>
      <c r="BC1035" s="354">
        <v>405</v>
      </c>
      <c r="BD1035" s="354">
        <v>452</v>
      </c>
      <c r="BE1035" s="354">
        <v>439</v>
      </c>
      <c r="BF1035" s="354">
        <v>458</v>
      </c>
      <c r="BG1035" s="418">
        <f>SUM(BC1035:BF1035)</f>
      </c>
      <c r="BH1035" s="354">
        <v>510</v>
      </c>
      <c r="BI1035" s="354">
        <v>509</v>
      </c>
      <c r="BJ1035" s="354">
        <v>480</v>
      </c>
      <c r="BK1035" s="354">
        <v>501</v>
      </c>
      <c r="BL1035" s="418">
        <f>SUM(BH1035:BK1035)</f>
      </c>
      <c r="BM1035" s="354">
        <v>516</v>
      </c>
      <c r="BN1035" s="421">
        <v>540</v>
      </c>
      <c r="BO1035" s="421">
        <v>519</v>
      </c>
      <c r="BP1035" s="2327">
        <v>536</v>
      </c>
      <c r="BQ1035" s="418">
        <f>SUM(BM1035:BP1035)</f>
      </c>
      <c r="BR1035" s="2327">
        <f t="shared" ref="BR1035:BT1036" si="2166">+(1+BR1040)*BM1035</f>
      </c>
      <c r="BS1035" s="2327">
        <f t="shared" si="2166"/>
      </c>
      <c r="BT1035" s="2327">
        <f t="shared" si="2166"/>
      </c>
      <c r="BU1035" s="2327">
        <f>+BV1035-SUM(BR1035:BT1035)</f>
      </c>
      <c r="BV1035" s="418">
        <f>+BQ1035*(1+BV1040)</f>
      </c>
      <c r="BW1035" s="2327">
        <f t="shared" ref="BW1035:BZ1036" si="2167">+(1+BW1040)*BR1035</f>
      </c>
      <c r="BX1035" s="2327">
        <f t="shared" si="2167"/>
      </c>
      <c r="BY1035" s="2327">
        <f t="shared" si="2167"/>
      </c>
      <c r="BZ1035" s="2327">
        <f t="shared" si="2167"/>
      </c>
      <c r="CA1035" s="418">
        <f>SUM(BW1035:BZ1035)</f>
      </c>
      <c r="CB1035" s="2327">
        <f t="shared" ref="CB1035:CE1036" si="2168">+(1+CB1040)*BW1035</f>
      </c>
      <c r="CC1035" s="2327">
        <f t="shared" si="2168"/>
      </c>
      <c r="CD1035" s="2327">
        <f t="shared" si="2168"/>
      </c>
      <c r="CE1035" s="2327">
        <f t="shared" si="2168"/>
      </c>
      <c r="CF1035" s="418">
        <f>+CA1035*(1+CF1040)</f>
      </c>
      <c r="CG1035" s="2327">
        <f t="shared" ref="CG1035:CJ1036" si="2169">+(1+CG1040)*CB1035</f>
      </c>
      <c r="CH1035" s="2327">
        <f t="shared" si="2169"/>
      </c>
      <c r="CI1035" s="2327">
        <f t="shared" si="2169"/>
      </c>
      <c r="CJ1035" s="2327">
        <f t="shared" si="2169"/>
      </c>
      <c r="CK1035" s="418">
        <f>+CF1035*(1+CK1040)</f>
      </c>
      <c r="CL1035" s="1008">
        <f t="shared" ref="CL1035:CO1036" si="2170">+(1+CL1040)*CG1035</f>
      </c>
      <c r="CM1035" s="2327">
        <f t="shared" si="2170"/>
      </c>
      <c r="CN1035" s="2327">
        <f t="shared" si="2170"/>
      </c>
      <c r="CO1035" s="2327">
        <f t="shared" si="2170"/>
      </c>
      <c r="CP1035" s="418">
        <f>+CK1035*(1+CP1040)</f>
      </c>
      <c r="CQ1035" s="2327">
        <f t="shared" ref="CQ1035:CY1036" si="2171">+(1+CQ1040)*CL1035</f>
      </c>
      <c r="CR1035" s="2327">
        <f t="shared" si="2171"/>
      </c>
      <c r="CS1035" s="2327">
        <f t="shared" si="2171"/>
      </c>
      <c r="CT1035" s="1009">
        <f t="shared" si="2171"/>
      </c>
      <c r="CU1035" s="1003">
        <f>+CP1035*(1+CU1040)</f>
      </c>
      <c r="CV1035" s="2327">
        <f t="shared" si="2171"/>
      </c>
      <c r="CW1035" s="2327">
        <f t="shared" si="2171"/>
      </c>
      <c r="CX1035" s="2327">
        <f t="shared" si="2171"/>
      </c>
      <c r="CY1035" s="1009">
        <f t="shared" si="2171"/>
      </c>
      <c r="CZ1035" s="1003">
        <f>+CU1035*(1+CZ1040)</f>
      </c>
      <c r="DA1035" s="1331">
        <f t="shared" ref="DA1035:DC1036" si="2172">+(1+DA1040)*CV1035</f>
      </c>
      <c r="DB1035" s="417">
        <f t="shared" si="2172"/>
      </c>
      <c r="DC1035" s="417">
        <f t="shared" si="2172"/>
      </c>
      <c r="DD1035" s="1003">
        <f>+DE1035-SUM(DA1035:DC1035)</f>
      </c>
      <c r="DE1035" s="1932">
        <f>+CZ1035*(1+DE1040)</f>
      </c>
      <c r="DF1035" s="1933"/>
      <c r="DG1035" s="2328"/>
      <c r="DH1035" s="2328"/>
      <c r="DI1035" s="1934"/>
      <c r="DJ1035" s="1932">
        <f>+DE1035*(1+DJ1040)</f>
      </c>
      <c r="DK1035" s="1799"/>
      <c r="DL1035" s="603"/>
      <c r="DM1035" s="603"/>
      <c r="DN1035" s="1798"/>
      <c r="DO1035" s="1932">
        <f>+DJ1035*(1+DO1040)</f>
      </c>
      <c r="DP1035" s="2328"/>
      <c r="DQ1035" s="2328"/>
      <c r="DR1035" s="2328"/>
      <c r="DS1035" s="2328"/>
      <c r="DT1035" s="1932">
        <f>+DO1035*(1+DT1040)</f>
      </c>
      <c r="DU1035" s="2328">
        <f>+DP1035*(1+DU1040)</f>
      </c>
      <c r="DV1035" s="2328"/>
      <c r="DW1035" s="2328"/>
      <c r="DX1035" s="1934"/>
      <c r="DY1035" s="1932">
        <f>+DT1035*(1+DY1040)</f>
      </c>
      <c r="DZ1035" s="2328"/>
      <c r="EA1035" s="2328"/>
      <c r="EB1035" s="2328"/>
      <c r="EC1035" s="1934"/>
      <c r="ED1035" s="1932">
        <f>+DY1035*(1+ED1040)</f>
      </c>
      <c r="EE1035" s="2328"/>
      <c r="EF1035" s="2328"/>
      <c r="EG1035" s="2328"/>
      <c r="EH1035" s="2328"/>
      <c r="EI1035" s="1933">
        <f>+ED1035*(1+EI1040)</f>
      </c>
      <c r="EJ1035" s="1933">
        <f t="shared" ref="EJ1035:EN1036" si="2173">+EI1035*(1+EJ1040)</f>
      </c>
      <c r="EK1035" s="1932">
        <f t="shared" si="2173"/>
      </c>
      <c r="EL1035" s="1932">
        <f t="shared" si="2173"/>
      </c>
      <c r="EM1035" s="1932">
        <f t="shared" si="2173"/>
      </c>
      <c r="EN1035" s="1932">
        <f t="shared" si="2173"/>
      </c>
      <c r="EO1035" s="1932"/>
      <c r="EP1035" s="1932"/>
      <c r="EQ1035" s="1932"/>
      <c r="ER1035" s="1932"/>
      <c r="ES1035" s="1932"/>
      <c r="ET1035" s="1932"/>
      <c r="EU1035" s="1932"/>
      <c r="EV1035" s="1932"/>
      <c r="EW1035" s="1932"/>
      <c r="EX1035" s="1932"/>
    </row>
    <row r="1036" spans="1:154" s="419" customFormat="1" hidden="1" outlineLevel="1">
      <c r="A1036" s="3275"/>
      <c r="B1036" s="420" t="s">
        <v>412</v>
      </c>
      <c r="C1036" s="2326"/>
      <c r="D1036" s="354">
        <v>991.42857142857133</v>
      </c>
      <c r="E1036" s="354">
        <v>263</v>
      </c>
      <c r="F1036" s="354">
        <v>259</v>
      </c>
      <c r="G1036" s="354">
        <v>250</v>
      </c>
      <c r="H1036" s="354">
        <v>269</v>
      </c>
      <c r="I1036" s="417">
        <f>+SUM(E1036:H1036)</f>
      </c>
      <c r="J1036" s="354">
        <v>289</v>
      </c>
      <c r="K1036" s="354">
        <v>294</v>
      </c>
      <c r="L1036" s="354">
        <v>271</v>
      </c>
      <c r="M1036" s="354">
        <v>274</v>
      </c>
      <c r="N1036" s="417">
        <f>+SUM(J1036:M1036)</f>
      </c>
      <c r="O1036" s="354">
        <v>332</v>
      </c>
      <c r="P1036" s="354">
        <v>323</v>
      </c>
      <c r="Q1036" s="354">
        <v>311</v>
      </c>
      <c r="R1036" s="354">
        <v>308</v>
      </c>
      <c r="S1036" s="417">
        <f>SUM(O1036:R1036)</f>
      </c>
      <c r="T1036" s="354">
        <v>316</v>
      </c>
      <c r="U1036" s="354">
        <v>335</v>
      </c>
      <c r="V1036" s="354">
        <v>326</v>
      </c>
      <c r="W1036" s="354">
        <v>348</v>
      </c>
      <c r="X1036" s="418">
        <f>SUM(T1036:W1036)</f>
      </c>
      <c r="Y1036" s="354">
        <v>375</v>
      </c>
      <c r="Z1036" s="354">
        <v>404</v>
      </c>
      <c r="AA1036" s="354">
        <v>377</v>
      </c>
      <c r="AB1036" s="354">
        <v>431</v>
      </c>
      <c r="AC1036" s="418">
        <f>SUM(Y1036:AB1036)</f>
      </c>
      <c r="AD1036" s="354">
        <v>441</v>
      </c>
      <c r="AE1036" s="354">
        <v>455</v>
      </c>
      <c r="AF1036" s="354">
        <v>422.5</v>
      </c>
      <c r="AG1036" s="354">
        <v>487</v>
      </c>
      <c r="AH1036" s="418">
        <f>SUM(AD1036:AG1036)</f>
      </c>
      <c r="AI1036" s="354">
        <v>497</v>
      </c>
      <c r="AJ1036" s="354">
        <v>502</v>
      </c>
      <c r="AK1036" s="354">
        <v>449</v>
      </c>
      <c r="AL1036" s="354">
        <v>472</v>
      </c>
      <c r="AM1036" s="418">
        <f>+SUM(AI1036:AL1036)</f>
      </c>
      <c r="AN1036" s="354">
        <v>478</v>
      </c>
      <c r="AO1036" s="354">
        <v>495</v>
      </c>
      <c r="AP1036" s="354">
        <v>470</v>
      </c>
      <c r="AQ1036" s="354">
        <v>518</v>
      </c>
      <c r="AR1036" s="418">
        <f>+SUM(AN1036:AQ1036)</f>
      </c>
      <c r="AS1036" s="354">
        <v>529</v>
      </c>
      <c r="AT1036" s="354">
        <v>553</v>
      </c>
      <c r="AU1036" s="354">
        <v>531</v>
      </c>
      <c r="AV1036" s="354">
        <v>591</v>
      </c>
      <c r="AW1036" s="418">
        <f>+SUM(AS1036:AV1036)</f>
      </c>
      <c r="AX1036" s="354">
        <v>604</v>
      </c>
      <c r="AY1036" s="354">
        <v>646</v>
      </c>
      <c r="AZ1036" s="354">
        <v>585</v>
      </c>
      <c r="BA1036" s="354">
        <v>555</v>
      </c>
      <c r="BB1036" s="418">
        <f>SUM(AX1036:BA1036)</f>
      </c>
      <c r="BC1036" s="354">
        <v>548</v>
      </c>
      <c r="BD1036" s="354">
        <v>589</v>
      </c>
      <c r="BE1036" s="354">
        <v>580</v>
      </c>
      <c r="BF1036" s="354">
        <v>651</v>
      </c>
      <c r="BG1036" s="418">
        <f>SUM(BC1036:BF1036)</f>
      </c>
      <c r="BH1036" s="354">
        <v>637</v>
      </c>
      <c r="BI1036" s="354">
        <v>623</v>
      </c>
      <c r="BJ1036" s="354">
        <v>592</v>
      </c>
      <c r="BK1036" s="354">
        <v>651</v>
      </c>
      <c r="BL1036" s="418">
        <f>SUM(BH1036:BK1036)</f>
      </c>
      <c r="BM1036" s="354">
        <v>677</v>
      </c>
      <c r="BN1036" s="421">
        <v>717</v>
      </c>
      <c r="BO1036" s="421">
        <v>668</v>
      </c>
      <c r="BP1036" s="2327">
        <v>697</v>
      </c>
      <c r="BQ1036" s="418">
        <f>SUM(BM1036:BP1036)</f>
      </c>
      <c r="BR1036" s="2327">
        <f t="shared" si="2166"/>
      </c>
      <c r="BS1036" s="2327">
        <f t="shared" si="2166"/>
      </c>
      <c r="BT1036" s="2327">
        <f t="shared" si="2166"/>
      </c>
      <c r="BU1036" s="2327">
        <f>+BV1036-SUM(BR1036:BT1036)</f>
      </c>
      <c r="BV1036" s="418">
        <f>+BQ1036*(1+BV1041)</f>
      </c>
      <c r="BW1036" s="2327">
        <f t="shared" si="2167"/>
      </c>
      <c r="BX1036" s="2327">
        <f t="shared" si="2167"/>
      </c>
      <c r="BY1036" s="2327">
        <f t="shared" si="2167"/>
      </c>
      <c r="BZ1036" s="2327">
        <f t="shared" si="2167"/>
      </c>
      <c r="CA1036" s="418">
        <f>SUM(BW1036:BZ1036)</f>
      </c>
      <c r="CB1036" s="2327">
        <f t="shared" si="2168"/>
      </c>
      <c r="CC1036" s="2327">
        <f t="shared" si="2168"/>
      </c>
      <c r="CD1036" s="2327">
        <f t="shared" si="2168"/>
      </c>
      <c r="CE1036" s="2327">
        <f t="shared" si="2168"/>
      </c>
      <c r="CF1036" s="418">
        <f>SUM(CB1036:CE1036)</f>
      </c>
      <c r="CG1036" s="2327">
        <f t="shared" si="2169"/>
      </c>
      <c r="CH1036" s="2327">
        <f t="shared" si="2169"/>
      </c>
      <c r="CI1036" s="2327">
        <f t="shared" si="2169"/>
      </c>
      <c r="CJ1036" s="2327">
        <f t="shared" si="2169"/>
      </c>
      <c r="CK1036" s="418">
        <f>+CF1036*(1+CK1041)</f>
      </c>
      <c r="CL1036" s="1008">
        <f t="shared" si="2170"/>
      </c>
      <c r="CM1036" s="2327">
        <f t="shared" si="2170"/>
      </c>
      <c r="CN1036" s="2327">
        <f t="shared" si="2170"/>
      </c>
      <c r="CO1036" s="2327">
        <f t="shared" si="2170"/>
      </c>
      <c r="CP1036" s="418">
        <f>+CK1036*(1+CP1041)</f>
      </c>
      <c r="CQ1036" s="2327">
        <f>+(1+CQ1041)*CL1036</f>
      </c>
      <c r="CR1036" s="2327">
        <f>+(1+CR1041)*CM1036</f>
      </c>
      <c r="CS1036" s="2327">
        <f>+(1+CS1041)*CN1036</f>
      </c>
      <c r="CT1036" s="1009">
        <f>+(1+CT1041)*CO1036</f>
      </c>
      <c r="CU1036" s="1003">
        <f>+CP1036*(1+CU1041)</f>
      </c>
      <c r="CV1036" s="2327">
        <f>+(1+CV1041)*CQ1036</f>
      </c>
      <c r="CW1036" s="2327">
        <f t="shared" si="2171"/>
      </c>
      <c r="CX1036" s="2327">
        <f t="shared" si="2171"/>
      </c>
      <c r="CY1036" s="1009">
        <f t="shared" si="2171"/>
      </c>
      <c r="CZ1036" s="1003">
        <f>+CU1036*(1+CZ1041)</f>
      </c>
      <c r="DA1036" s="1332">
        <f t="shared" si="2172"/>
      </c>
      <c r="DB1036" s="1359">
        <f t="shared" si="2172"/>
      </c>
      <c r="DC1036" s="1359">
        <f t="shared" si="2172"/>
      </c>
      <c r="DD1036" s="1349">
        <f>+DE1036-SUM(DA1036:DC1036)</f>
      </c>
      <c r="DE1036" s="1932">
        <f>+CZ1036*(1+DE1041)</f>
      </c>
      <c r="DF1036" s="1332"/>
      <c r="DG1036" s="1359"/>
      <c r="DH1036" s="1359"/>
      <c r="DI1036" s="1349"/>
      <c r="DJ1036" s="1932">
        <f>+DE1036*(1+DJ1041)</f>
      </c>
      <c r="DK1036" s="1015"/>
      <c r="DL1036" s="895"/>
      <c r="DM1036" s="895"/>
      <c r="DN1036" s="915"/>
      <c r="DO1036" s="1932">
        <f>+DJ1036*(1+DO1041)</f>
      </c>
      <c r="DP1036" s="1359"/>
      <c r="DQ1036" s="1359"/>
      <c r="DR1036" s="1359"/>
      <c r="DS1036" s="1359"/>
      <c r="DT1036" s="1932">
        <f>+DO1036*(1+DT1041)</f>
      </c>
      <c r="DU1036" s="1359">
        <f>+DP1036*(1+DU1041)</f>
      </c>
      <c r="DV1036" s="1359"/>
      <c r="DW1036" s="1359"/>
      <c r="DX1036" s="1349"/>
      <c r="DY1036" s="1932" t="e">
        <f>+DT1036*(1+DY1041)</f>
      </c>
      <c r="DZ1036" s="1359"/>
      <c r="EA1036" s="1359"/>
      <c r="EB1036" s="1359"/>
      <c r="EC1036" s="1349"/>
      <c r="ED1036" s="1932" t="e">
        <f>+DY1036*(1+ED1041)</f>
      </c>
      <c r="EE1036" s="1359"/>
      <c r="EF1036" s="1359"/>
      <c r="EG1036" s="2328"/>
      <c r="EH1036" s="1359"/>
      <c r="EI1036" s="1933" t="e">
        <f>+ED1036*(1+EI1041)</f>
      </c>
      <c r="EJ1036" s="1933" t="e">
        <f t="shared" si="2173"/>
      </c>
      <c r="EK1036" s="1932" t="e">
        <f t="shared" si="2173"/>
      </c>
      <c r="EL1036" s="1932" t="e">
        <f t="shared" si="2173"/>
      </c>
      <c r="EM1036" s="1932" t="e">
        <f t="shared" si="2173"/>
      </c>
      <c r="EN1036" s="1932" t="e">
        <f t="shared" si="2173"/>
      </c>
      <c r="EO1036" s="1932"/>
      <c r="EP1036" s="1932"/>
      <c r="EQ1036" s="1932"/>
      <c r="ER1036" s="1932"/>
      <c r="ES1036" s="1932"/>
      <c r="ET1036" s="1932"/>
      <c r="EU1036" s="1932"/>
      <c r="EV1036" s="1932"/>
      <c r="EW1036" s="1932"/>
      <c r="EX1036" s="1932"/>
    </row>
    <row r="1037" spans="1:154" s="419" customFormat="1" hidden="1" outlineLevel="1">
      <c r="A1037" s="3275"/>
      <c r="B1037" s="420" t="s">
        <v>413</v>
      </c>
      <c r="C1037" s="2326"/>
      <c r="D1037" s="417">
        <f t="shared" ref="D1037:AV1037" si="2174">+D1035+D1036</f>
      </c>
      <c r="E1037" s="2327">
        <f t="shared" si="2174"/>
      </c>
      <c r="F1037" s="2327">
        <f t="shared" si="2174"/>
      </c>
      <c r="G1037" s="2327">
        <f t="shared" si="2174"/>
      </c>
      <c r="H1037" s="2327">
        <f t="shared" si="2174"/>
      </c>
      <c r="I1037" s="417">
        <f t="shared" si="2174"/>
      </c>
      <c r="J1037" s="2327">
        <f t="shared" si="2174"/>
      </c>
      <c r="K1037" s="2327">
        <f t="shared" si="2174"/>
      </c>
      <c r="L1037" s="2327">
        <f t="shared" si="2174"/>
      </c>
      <c r="M1037" s="2327">
        <f t="shared" si="2174"/>
      </c>
      <c r="N1037" s="417">
        <f t="shared" si="2174"/>
      </c>
      <c r="O1037" s="417">
        <f t="shared" si="2174"/>
      </c>
      <c r="P1037" s="417">
        <f t="shared" si="2174"/>
      </c>
      <c r="Q1037" s="417">
        <f t="shared" si="2174"/>
      </c>
      <c r="R1037" s="417">
        <f t="shared" si="2174"/>
      </c>
      <c r="S1037" s="417">
        <f t="shared" si="2174"/>
      </c>
      <c r="T1037" s="417">
        <f t="shared" si="2174"/>
      </c>
      <c r="U1037" s="417">
        <f t="shared" si="2174"/>
      </c>
      <c r="V1037" s="417">
        <f t="shared" si="2174"/>
      </c>
      <c r="W1037" s="417">
        <f t="shared" si="2174"/>
      </c>
      <c r="X1037" s="418">
        <f t="shared" si="2174"/>
      </c>
      <c r="Y1037" s="417">
        <f t="shared" si="2174"/>
      </c>
      <c r="Z1037" s="417">
        <f t="shared" si="2174"/>
      </c>
      <c r="AA1037" s="417">
        <f t="shared" si="2174"/>
      </c>
      <c r="AB1037" s="417">
        <f t="shared" si="2174"/>
      </c>
      <c r="AC1037" s="418">
        <f t="shared" si="2174"/>
      </c>
      <c r="AD1037" s="417">
        <f t="shared" si="2174"/>
      </c>
      <c r="AE1037" s="417">
        <f t="shared" si="2174"/>
      </c>
      <c r="AF1037" s="417">
        <f t="shared" si="2174"/>
      </c>
      <c r="AG1037" s="417">
        <f t="shared" si="2174"/>
      </c>
      <c r="AH1037" s="418">
        <f t="shared" si="2174"/>
      </c>
      <c r="AI1037" s="2327">
        <f t="shared" si="2174"/>
      </c>
      <c r="AJ1037" s="2327">
        <f t="shared" si="2174"/>
      </c>
      <c r="AK1037" s="2327">
        <f t="shared" si="2174"/>
      </c>
      <c r="AL1037" s="417">
        <f t="shared" si="2174"/>
      </c>
      <c r="AM1037" s="418">
        <f t="shared" si="2174"/>
      </c>
      <c r="AN1037" s="2327">
        <f t="shared" si="2174"/>
      </c>
      <c r="AO1037" s="2327">
        <f t="shared" si="2174"/>
      </c>
      <c r="AP1037" s="2327">
        <f t="shared" si="2174"/>
      </c>
      <c r="AQ1037" s="2327">
        <f t="shared" si="2174"/>
      </c>
      <c r="AR1037" s="418">
        <f t="shared" si="2174"/>
      </c>
      <c r="AS1037" s="2327">
        <f t="shared" si="2174"/>
      </c>
      <c r="AT1037" s="2327">
        <f t="shared" si="2174"/>
      </c>
      <c r="AU1037" s="2327">
        <f t="shared" si="2174"/>
      </c>
      <c r="AV1037" s="2327">
        <f t="shared" si="2174"/>
      </c>
      <c r="AW1037" s="418">
        <f>+AW1035+AW1036</f>
      </c>
      <c r="AX1037" s="2327">
        <f t="shared" ref="AX1037:BZ1037" si="2175">+AX1035+AX1036</f>
      </c>
      <c r="AY1037" s="2327">
        <f t="shared" si="2175"/>
      </c>
      <c r="AZ1037" s="2327">
        <f t="shared" si="2175"/>
      </c>
      <c r="BA1037" s="2327">
        <f t="shared" si="2175"/>
      </c>
      <c r="BB1037" s="418">
        <f t="shared" si="2175"/>
      </c>
      <c r="BC1037" s="2327">
        <f t="shared" si="2175"/>
      </c>
      <c r="BD1037" s="2327">
        <f t="shared" si="2175"/>
      </c>
      <c r="BE1037" s="2327">
        <f t="shared" si="2175"/>
      </c>
      <c r="BF1037" s="2327">
        <f t="shared" si="2175"/>
      </c>
      <c r="BG1037" s="418">
        <f t="shared" si="2175"/>
      </c>
      <c r="BH1037" s="2327">
        <f t="shared" si="2175"/>
      </c>
      <c r="BI1037" s="2327">
        <f t="shared" si="2175"/>
      </c>
      <c r="BJ1037" s="2327">
        <f t="shared" si="2175"/>
      </c>
      <c r="BK1037" s="2327">
        <f t="shared" si="2175"/>
      </c>
      <c r="BL1037" s="418">
        <f>SUM(BH1037:BK1037)</f>
      </c>
      <c r="BM1037" s="2327">
        <f>+BM1035+BM1036</f>
      </c>
      <c r="BN1037" s="2327">
        <f>+BN1035+BN1036</f>
      </c>
      <c r="BO1037" s="2327">
        <f>+BO1035+BO1036</f>
      </c>
      <c r="BP1037" s="2327">
        <f>+BP1035+BP1036</f>
      </c>
      <c r="BQ1037" s="418">
        <f t="shared" si="2175"/>
      </c>
      <c r="BR1037" s="2327">
        <f t="shared" si="2175"/>
      </c>
      <c r="BS1037" s="2327">
        <f t="shared" si="2175"/>
      </c>
      <c r="BT1037" s="2327">
        <f t="shared" si="2175"/>
      </c>
      <c r="BU1037" s="2327">
        <f t="shared" si="2175"/>
      </c>
      <c r="BV1037" s="418">
        <f t="shared" si="2175"/>
      </c>
      <c r="BW1037" s="2327">
        <f t="shared" si="2175"/>
      </c>
      <c r="BX1037" s="2327">
        <f t="shared" si="2175"/>
      </c>
      <c r="BY1037" s="2327">
        <f t="shared" si="2175"/>
      </c>
      <c r="BZ1037" s="2327">
        <f t="shared" si="2175"/>
      </c>
      <c r="CA1037" s="418">
        <f>SUM(BW1037:BZ1037)</f>
      </c>
      <c r="CB1037" s="2327">
        <f t="shared" ref="CB1037:CX1037" si="2176">+CB1035+CB1036</f>
      </c>
      <c r="CC1037" s="2327">
        <f t="shared" si="2176"/>
      </c>
      <c r="CD1037" s="2327">
        <f t="shared" si="2176"/>
      </c>
      <c r="CE1037" s="2327">
        <f t="shared" si="2176"/>
      </c>
      <c r="CF1037" s="418">
        <f t="shared" si="2176"/>
      </c>
      <c r="CG1037" s="2327">
        <f t="shared" si="2176"/>
      </c>
      <c r="CH1037" s="2327">
        <f t="shared" si="2176"/>
      </c>
      <c r="CI1037" s="2327">
        <f t="shared" si="2176"/>
      </c>
      <c r="CJ1037" s="2327">
        <f t="shared" si="2176"/>
      </c>
      <c r="CK1037" s="418">
        <f t="shared" si="2176"/>
      </c>
      <c r="CL1037" s="1008">
        <f t="shared" si="2176"/>
      </c>
      <c r="CM1037" s="2327">
        <f t="shared" si="2176"/>
      </c>
      <c r="CN1037" s="2327">
        <f t="shared" si="2176"/>
      </c>
      <c r="CO1037" s="2327">
        <f t="shared" si="2176"/>
      </c>
      <c r="CP1037" s="418">
        <f t="shared" si="2176"/>
      </c>
      <c r="CQ1037" s="2327">
        <f t="shared" si="2176"/>
      </c>
      <c r="CR1037" s="2327">
        <f t="shared" si="2176"/>
      </c>
      <c r="CS1037" s="2327">
        <f t="shared" si="2176"/>
      </c>
      <c r="CT1037" s="1009">
        <f t="shared" si="2176"/>
      </c>
      <c r="CU1037" s="1003">
        <f t="shared" si="2176"/>
      </c>
      <c r="CV1037" s="2327">
        <f>+CV1035+CV1036</f>
      </c>
      <c r="CW1037" s="2327">
        <f t="shared" si="2176"/>
      </c>
      <c r="CX1037" s="2327">
        <f t="shared" si="2176"/>
      </c>
      <c r="CY1037" s="1009">
        <f>+CY1035+CY1036</f>
      </c>
      <c r="CZ1037" s="1003">
        <f>+CZ1035+CZ1036</f>
      </c>
      <c r="DA1037" s="1331">
        <f>SUM(DA1035:DA1036)</f>
      </c>
      <c r="DB1037" s="417">
        <f>SUM(DB1035:DB1036)</f>
      </c>
      <c r="DC1037" s="417">
        <f>SUM(DC1035:DC1036)</f>
      </c>
      <c r="DD1037" s="1003">
        <f>+DD1035+DD1036</f>
      </c>
      <c r="DE1037" s="1932">
        <f>+DE1035+DE1036</f>
      </c>
      <c r="DF1037" s="1933"/>
      <c r="DG1037" s="2328"/>
      <c r="DH1037" s="2328"/>
      <c r="DI1037" s="1934"/>
      <c r="DJ1037" s="1932">
        <f>+DJ1035+DJ1036</f>
      </c>
      <c r="DK1037" s="1799"/>
      <c r="DL1037" s="603"/>
      <c r="DM1037" s="603"/>
      <c r="DN1037" s="1798"/>
      <c r="DO1037" s="1932">
        <f>+DO1035+DO1036</f>
      </c>
      <c r="DP1037" s="2328"/>
      <c r="DQ1037" s="2328"/>
      <c r="DR1037" s="2328"/>
      <c r="DS1037" s="2328"/>
      <c r="DT1037" s="1932">
        <f>+DT1035+DT1036</f>
      </c>
      <c r="DU1037" s="2328">
        <f>+DU1035+DU1036</f>
      </c>
      <c r="DV1037" s="2328"/>
      <c r="DW1037" s="2328"/>
      <c r="DX1037" s="1934"/>
      <c r="DY1037" s="1932" t="e">
        <f>+DY1035+DY1036</f>
      </c>
      <c r="DZ1037" s="2328"/>
      <c r="EA1037" s="2328"/>
      <c r="EB1037" s="2328"/>
      <c r="EC1037" s="1934"/>
      <c r="ED1037" s="1932" t="e">
        <f>+ED1035+ED1036</f>
      </c>
      <c r="EE1037" s="2328"/>
      <c r="EF1037" s="2328"/>
      <c r="EG1037" s="2328"/>
      <c r="EH1037" s="2328"/>
      <c r="EI1037" s="1933" t="e">
        <f t="shared" ref="EI1037:EM1037" si="2177">+EI1035+EI1036</f>
      </c>
      <c r="EJ1037" s="1933" t="e">
        <f t="shared" si="2177"/>
      </c>
      <c r="EK1037" s="1932" t="e">
        <f t="shared" si="2177"/>
      </c>
      <c r="EL1037" s="1932" t="e">
        <f t="shared" si="2177"/>
      </c>
      <c r="EM1037" s="1932" t="e">
        <f t="shared" si="2177"/>
      </c>
      <c r="EN1037" s="1932" t="e">
        <f>+EN1035+EN1036</f>
      </c>
      <c r="EO1037" s="1932"/>
      <c r="EP1037" s="1932"/>
      <c r="EQ1037" s="1932"/>
      <c r="ER1037" s="1932"/>
      <c r="ES1037" s="1932"/>
      <c r="ET1037" s="1932"/>
      <c r="EU1037" s="1932"/>
      <c r="EV1037" s="1932"/>
      <c r="EW1037" s="1932"/>
      <c r="EX1037" s="1932"/>
    </row>
    <row r="1038" spans="1:154" s="419" customFormat="1" hidden="1" outlineLevel="1">
      <c r="A1038" s="3275"/>
      <c r="B1038" s="420"/>
      <c r="C1038" s="2326"/>
      <c r="D1038" s="2327"/>
      <c r="E1038" s="2327"/>
      <c r="F1038" s="2327"/>
      <c r="G1038" s="2327"/>
      <c r="H1038" s="2327"/>
      <c r="I1038" s="417"/>
      <c r="J1038" s="2327"/>
      <c r="K1038" s="2327"/>
      <c r="L1038" s="2327"/>
      <c r="M1038" s="2327"/>
      <c r="N1038" s="417"/>
      <c r="O1038" s="417"/>
      <c r="P1038" s="417"/>
      <c r="Q1038" s="417"/>
      <c r="R1038" s="417"/>
      <c r="S1038" s="417"/>
      <c r="T1038" s="417"/>
      <c r="U1038" s="417"/>
      <c r="V1038" s="417"/>
      <c r="W1038" s="417"/>
      <c r="X1038" s="418"/>
      <c r="Y1038" s="417"/>
      <c r="Z1038" s="417"/>
      <c r="AA1038" s="417"/>
      <c r="AB1038" s="417"/>
      <c r="AC1038" s="418"/>
      <c r="AD1038" s="417"/>
      <c r="AE1038" s="417"/>
      <c r="AF1038" s="417"/>
      <c r="AG1038" s="417"/>
      <c r="AH1038" s="418"/>
      <c r="AI1038" s="2327"/>
      <c r="AJ1038" s="2327"/>
      <c r="AK1038" s="2327"/>
      <c r="AL1038" s="417"/>
      <c r="AM1038" s="418"/>
      <c r="AN1038" s="2327"/>
      <c r="AO1038" s="2327"/>
      <c r="AP1038" s="2327"/>
      <c r="AQ1038" s="2327"/>
      <c r="AR1038" s="418"/>
      <c r="AS1038" s="2327"/>
      <c r="AT1038" s="2327"/>
      <c r="AU1038" s="2327"/>
      <c r="AV1038" s="2327"/>
      <c r="AW1038" s="418"/>
      <c r="AX1038" s="2327"/>
      <c r="AY1038" s="2327"/>
      <c r="AZ1038" s="2327"/>
      <c r="BA1038" s="2327"/>
      <c r="BB1038" s="418"/>
      <c r="BC1038" s="2327"/>
      <c r="BD1038" s="2327"/>
      <c r="BE1038" s="2327"/>
      <c r="BF1038" s="2327"/>
      <c r="BG1038" s="418"/>
      <c r="BH1038" s="2329"/>
      <c r="BI1038" s="2327"/>
      <c r="BJ1038" s="2327"/>
      <c r="BK1038" s="2327"/>
      <c r="BL1038" s="418"/>
      <c r="BM1038" s="2327"/>
      <c r="BN1038" s="2327"/>
      <c r="BO1038" s="2327"/>
      <c r="BP1038" s="2327"/>
      <c r="BQ1038" s="418"/>
      <c r="BR1038" s="2327"/>
      <c r="BS1038" s="2327"/>
      <c r="BT1038" s="2327"/>
      <c r="BU1038" s="2327"/>
      <c r="BV1038" s="418"/>
      <c r="BW1038" s="2327"/>
      <c r="BX1038" s="2327"/>
      <c r="BY1038" s="2327"/>
      <c r="BZ1038" s="2327"/>
      <c r="CA1038" s="418"/>
      <c r="CB1038" s="2327"/>
      <c r="CC1038" s="2327"/>
      <c r="CD1038" s="2327"/>
      <c r="CE1038" s="2327"/>
      <c r="CF1038" s="418"/>
      <c r="CG1038" s="2327"/>
      <c r="CH1038" s="2327"/>
      <c r="CI1038" s="2327"/>
      <c r="CJ1038" s="2327"/>
      <c r="CK1038" s="418"/>
      <c r="CL1038" s="1008"/>
      <c r="CM1038" s="2327"/>
      <c r="CN1038" s="2327"/>
      <c r="CO1038" s="2327"/>
      <c r="CP1038" s="418"/>
      <c r="CQ1038" s="2327"/>
      <c r="CR1038" s="2327"/>
      <c r="CS1038" s="2327"/>
      <c r="CT1038" s="1009"/>
      <c r="CU1038" s="1003"/>
      <c r="CV1038" s="2327"/>
      <c r="CW1038" s="2327"/>
      <c r="CX1038" s="2327"/>
      <c r="CY1038" s="1009"/>
      <c r="CZ1038" s="1003"/>
      <c r="DA1038" s="1008"/>
      <c r="DB1038" s="2327"/>
      <c r="DC1038" s="2327"/>
      <c r="DD1038" s="1009"/>
      <c r="DE1038" s="1932"/>
      <c r="DF1038" s="2330"/>
      <c r="DG1038" s="2331"/>
      <c r="DH1038" s="2331"/>
      <c r="DI1038" s="2131"/>
      <c r="DJ1038" s="1932"/>
      <c r="DK1038" s="981"/>
      <c r="DL1038" s="982"/>
      <c r="DM1038" s="982"/>
      <c r="DN1038" s="1875"/>
      <c r="DO1038" s="1932"/>
      <c r="DP1038" s="2331"/>
      <c r="DQ1038" s="2331"/>
      <c r="DR1038" s="2331"/>
      <c r="DS1038" s="2331"/>
      <c r="DT1038" s="1932"/>
      <c r="DU1038" s="2331"/>
      <c r="DV1038" s="2331"/>
      <c r="DW1038" s="2331"/>
      <c r="DX1038" s="2131"/>
      <c r="DY1038" s="1932"/>
      <c r="DZ1038" s="2331"/>
      <c r="EA1038" s="2331"/>
      <c r="EB1038" s="2331"/>
      <c r="EC1038" s="2131"/>
      <c r="ED1038" s="1932"/>
      <c r="EE1038" s="2331"/>
      <c r="EF1038" s="2331"/>
      <c r="EG1038" s="2328"/>
      <c r="EH1038" s="2331"/>
      <c r="EI1038" s="1933"/>
      <c r="EJ1038" s="1933"/>
      <c r="EK1038" s="1932"/>
      <c r="EL1038" s="1932"/>
      <c r="EM1038" s="1932"/>
      <c r="EN1038" s="1932"/>
      <c r="EO1038" s="1932"/>
      <c r="EP1038" s="1932"/>
      <c r="EQ1038" s="1932"/>
      <c r="ER1038" s="1932"/>
      <c r="ES1038" s="1932"/>
      <c r="ET1038" s="1932"/>
      <c r="EU1038" s="1932"/>
      <c r="EV1038" s="1932"/>
      <c r="EW1038" s="1932"/>
      <c r="EX1038" s="1932"/>
    </row>
    <row r="1039" spans="1:154" s="419" customFormat="1" hidden="1" outlineLevel="1">
      <c r="A1039" s="3275"/>
      <c r="B1039" s="422" t="s">
        <v>134</v>
      </c>
      <c r="C1039" s="2326"/>
      <c r="D1039" s="2327"/>
      <c r="E1039" s="2327"/>
      <c r="F1039" s="2327"/>
      <c r="G1039" s="2327"/>
      <c r="H1039" s="2327"/>
      <c r="I1039" s="417"/>
      <c r="J1039" s="2327"/>
      <c r="K1039" s="2327"/>
      <c r="L1039" s="2327"/>
      <c r="M1039" s="2327"/>
      <c r="N1039" s="417"/>
      <c r="O1039" s="417"/>
      <c r="P1039" s="417"/>
      <c r="Q1039" s="417"/>
      <c r="R1039" s="417"/>
      <c r="S1039" s="417"/>
      <c r="T1039" s="417"/>
      <c r="U1039" s="417"/>
      <c r="V1039" s="417"/>
      <c r="W1039" s="417"/>
      <c r="X1039" s="418"/>
      <c r="Y1039" s="417"/>
      <c r="Z1039" s="417"/>
      <c r="AA1039" s="417"/>
      <c r="AB1039" s="417"/>
      <c r="AC1039" s="418"/>
      <c r="AD1039" s="417"/>
      <c r="AE1039" s="417"/>
      <c r="AF1039" s="417"/>
      <c r="AG1039" s="417"/>
      <c r="AH1039" s="418"/>
      <c r="AI1039" s="2327"/>
      <c r="AJ1039" s="2327"/>
      <c r="AK1039" s="2327"/>
      <c r="AL1039" s="417"/>
      <c r="AM1039" s="418"/>
      <c r="AN1039" s="2327"/>
      <c r="AO1039" s="2327"/>
      <c r="AP1039" s="2327"/>
      <c r="AQ1039" s="2327"/>
      <c r="AR1039" s="418"/>
      <c r="AS1039" s="2327"/>
      <c r="AT1039" s="2327"/>
      <c r="AU1039" s="2327"/>
      <c r="AV1039" s="2327"/>
      <c r="AW1039" s="418"/>
      <c r="AX1039" s="2327"/>
      <c r="AY1039" s="2327"/>
      <c r="AZ1039" s="2327"/>
      <c r="BA1039" s="2327"/>
      <c r="BB1039" s="418"/>
      <c r="BC1039" s="2327"/>
      <c r="BD1039" s="2327"/>
      <c r="BE1039" s="2327"/>
      <c r="BF1039" s="2327"/>
      <c r="BG1039" s="418"/>
      <c r="BH1039" s="2327"/>
      <c r="BI1039" s="2327"/>
      <c r="BJ1039" s="2327"/>
      <c r="BK1039" s="2327"/>
      <c r="BL1039" s="418"/>
      <c r="BM1039" s="2327"/>
      <c r="BN1039" s="2327"/>
      <c r="BO1039" s="2327"/>
      <c r="BP1039" s="2327"/>
      <c r="BQ1039" s="418"/>
      <c r="BR1039" s="2327"/>
      <c r="BS1039" s="2327"/>
      <c r="BT1039" s="2327"/>
      <c r="BU1039" s="2327"/>
      <c r="BV1039" s="418"/>
      <c r="BW1039" s="2327"/>
      <c r="BX1039" s="2327"/>
      <c r="BY1039" s="2327"/>
      <c r="BZ1039" s="2327"/>
      <c r="CA1039" s="418"/>
      <c r="CB1039" s="2327"/>
      <c r="CC1039" s="2327"/>
      <c r="CD1039" s="2327"/>
      <c r="CE1039" s="2327"/>
      <c r="CF1039" s="418"/>
      <c r="CG1039" s="2327"/>
      <c r="CH1039" s="2327"/>
      <c r="CI1039" s="2327"/>
      <c r="CJ1039" s="2327"/>
      <c r="CK1039" s="418"/>
      <c r="CL1039" s="1008"/>
      <c r="CM1039" s="2327"/>
      <c r="CN1039" s="2327"/>
      <c r="CO1039" s="2327"/>
      <c r="CP1039" s="418"/>
      <c r="CQ1039" s="2327"/>
      <c r="CR1039" s="2327"/>
      <c r="CS1039" s="2327"/>
      <c r="CT1039" s="1009"/>
      <c r="CU1039" s="1003"/>
      <c r="CV1039" s="2327"/>
      <c r="CW1039" s="2327"/>
      <c r="CX1039" s="2327"/>
      <c r="CY1039" s="1009"/>
      <c r="CZ1039" s="1003"/>
      <c r="DA1039" s="1008"/>
      <c r="DB1039" s="2327"/>
      <c r="DC1039" s="2327"/>
      <c r="DD1039" s="1009"/>
      <c r="DE1039" s="1932"/>
      <c r="DF1039" s="2330"/>
      <c r="DG1039" s="2331"/>
      <c r="DH1039" s="2331"/>
      <c r="DI1039" s="2131"/>
      <c r="DJ1039" s="1932"/>
      <c r="DK1039" s="981"/>
      <c r="DL1039" s="982"/>
      <c r="DM1039" s="982"/>
      <c r="DN1039" s="1875"/>
      <c r="DO1039" s="1932"/>
      <c r="DP1039" s="2331"/>
      <c r="DQ1039" s="2331"/>
      <c r="DR1039" s="2331"/>
      <c r="DS1039" s="2331"/>
      <c r="DT1039" s="1932"/>
      <c r="DU1039" s="2331"/>
      <c r="DV1039" s="2331"/>
      <c r="DW1039" s="2331"/>
      <c r="DX1039" s="2131"/>
      <c r="DY1039" s="1932"/>
      <c r="DZ1039" s="2331"/>
      <c r="EA1039" s="2331"/>
      <c r="EB1039" s="2331"/>
      <c r="EC1039" s="2131"/>
      <c r="ED1039" s="1932"/>
      <c r="EE1039" s="2331"/>
      <c r="EF1039" s="2331"/>
      <c r="EG1039" s="2328"/>
      <c r="EH1039" s="2331"/>
      <c r="EI1039" s="1933"/>
      <c r="EJ1039" s="1933"/>
      <c r="EK1039" s="1932"/>
      <c r="EL1039" s="1932"/>
      <c r="EM1039" s="1932"/>
      <c r="EN1039" s="1932"/>
      <c r="EO1039" s="1932"/>
      <c r="EP1039" s="1932"/>
      <c r="EQ1039" s="1932"/>
      <c r="ER1039" s="1932"/>
      <c r="ES1039" s="1932"/>
      <c r="ET1039" s="1932"/>
      <c r="EU1039" s="1932"/>
      <c r="EV1039" s="1932"/>
      <c r="EW1039" s="1932"/>
      <c r="EX1039" s="1932"/>
    </row>
    <row r="1040" spans="1:154" s="419" customFormat="1" hidden="1" outlineLevel="1">
      <c r="A1040" s="3275"/>
      <c r="B1040" s="423" t="s">
        <v>187</v>
      </c>
      <c r="C1040" s="2326"/>
      <c r="D1040" s="2327"/>
      <c r="E1040" s="2327"/>
      <c r="F1040" s="2327"/>
      <c r="G1040" s="2327"/>
      <c r="H1040" s="2327"/>
      <c r="I1040" s="2332">
        <f t="shared" ref="I1040:BO1041" si="2178">IF(D1035="NM","NM",IF(I1035="NM","NM",IF(D1035&lt;=0,"NM",IF(I1035=0,"NM",IF(ABS(I1035/D1035-1)&gt;2.5,"NM",IF((ABS(I1035-D1035)=ABS(ABS(I1035)-ABS(D1035))),(I1035/D1035-1),"NM"))))))</f>
      </c>
      <c r="J1040" s="2332">
        <f t="shared" si="2178"/>
      </c>
      <c r="K1040" s="2332">
        <f t="shared" si="2178"/>
      </c>
      <c r="L1040" s="2332">
        <f t="shared" si="2178"/>
      </c>
      <c r="M1040" s="2332">
        <f t="shared" si="2178"/>
      </c>
      <c r="N1040" s="2332">
        <f t="shared" si="2178"/>
      </c>
      <c r="O1040" s="2332">
        <f t="shared" si="2178"/>
      </c>
      <c r="P1040" s="2332">
        <f t="shared" si="2178"/>
      </c>
      <c r="Q1040" s="2332">
        <f t="shared" si="2178"/>
      </c>
      <c r="R1040" s="2332">
        <f t="shared" si="2178"/>
      </c>
      <c r="S1040" s="2332">
        <f t="shared" si="2178"/>
      </c>
      <c r="T1040" s="2332">
        <f t="shared" si="2178"/>
      </c>
      <c r="U1040" s="2332">
        <f t="shared" si="2178"/>
      </c>
      <c r="V1040" s="2332">
        <f t="shared" si="2178"/>
      </c>
      <c r="W1040" s="2332">
        <f t="shared" si="2178"/>
      </c>
      <c r="X1040" s="2333">
        <f t="shared" si="2178"/>
      </c>
      <c r="Y1040" s="2332">
        <f t="shared" si="2178"/>
      </c>
      <c r="Z1040" s="2332">
        <f t="shared" si="2178"/>
      </c>
      <c r="AA1040" s="2332">
        <f t="shared" si="2178"/>
      </c>
      <c r="AB1040" s="2332">
        <f t="shared" si="2178"/>
      </c>
      <c r="AC1040" s="2333">
        <f t="shared" si="2178"/>
      </c>
      <c r="AD1040" s="2332">
        <f t="shared" si="2178"/>
      </c>
      <c r="AE1040" s="2332">
        <f t="shared" si="2178"/>
      </c>
      <c r="AF1040" s="2332">
        <f t="shared" si="2178"/>
      </c>
      <c r="AG1040" s="2332">
        <f t="shared" si="2178"/>
      </c>
      <c r="AH1040" s="2333">
        <f t="shared" si="2178"/>
      </c>
      <c r="AI1040" s="2332">
        <f t="shared" si="2178"/>
      </c>
      <c r="AJ1040" s="2332">
        <f t="shared" si="2178"/>
      </c>
      <c r="AK1040" s="2332">
        <f t="shared" si="2178"/>
      </c>
      <c r="AL1040" s="2332">
        <f t="shared" si="2178"/>
      </c>
      <c r="AM1040" s="2333">
        <f t="shared" si="2178"/>
      </c>
      <c r="AN1040" s="2332">
        <f t="shared" si="2178"/>
      </c>
      <c r="AO1040" s="2332">
        <f t="shared" si="2178"/>
      </c>
      <c r="AP1040" s="2332">
        <f t="shared" si="2178"/>
      </c>
      <c r="AQ1040" s="2332">
        <f t="shared" si="2178"/>
      </c>
      <c r="AR1040" s="2333">
        <f t="shared" si="2178"/>
      </c>
      <c r="AS1040" s="2332">
        <f t="shared" si="2178"/>
      </c>
      <c r="AT1040" s="2332">
        <f t="shared" si="2178"/>
      </c>
      <c r="AU1040" s="2332">
        <f t="shared" si="2178"/>
      </c>
      <c r="AV1040" s="2332">
        <f t="shared" si="2178"/>
      </c>
      <c r="AW1040" s="2333">
        <f t="shared" si="2178"/>
      </c>
      <c r="AX1040" s="2332">
        <f t="shared" si="2178"/>
      </c>
      <c r="AY1040" s="2332">
        <f t="shared" si="2178"/>
      </c>
      <c r="AZ1040" s="2332">
        <f t="shared" si="2178"/>
      </c>
      <c r="BA1040" s="2332">
        <f t="shared" si="2178"/>
      </c>
      <c r="BB1040" s="2333">
        <f t="shared" si="2178"/>
      </c>
      <c r="BC1040" s="2332">
        <f t="shared" si="2178"/>
      </c>
      <c r="BD1040" s="2332">
        <f t="shared" si="2178"/>
      </c>
      <c r="BE1040" s="2332">
        <f t="shared" si="2178"/>
      </c>
      <c r="BF1040" s="2332">
        <f t="shared" si="2178"/>
      </c>
      <c r="BG1040" s="2333">
        <f>IF(BB1035="NM","NM",IF(BG1035="NM","NM",IF(BB1035&lt;=0,"NM",IF(BG1035=0,"NM",IF(ABS(BG1035/BB1035-1)&gt;2.5,"NM",IF((ABS(BG1035-BB1035)=ABS(ABS(BG1035)-ABS(BB1035))),(BG1035/BB1035-1),"NM"))))))</f>
      </c>
      <c r="BH1040" s="2332">
        <f t="shared" si="2178"/>
      </c>
      <c r="BI1040" s="2332">
        <f t="shared" si="2178"/>
      </c>
      <c r="BJ1040" s="2332">
        <f t="shared" si="2178"/>
      </c>
      <c r="BK1040" s="2332">
        <f t="shared" si="2178"/>
      </c>
      <c r="BL1040" s="2333">
        <f>IF(BG1035="NM","NM",IF(BL1035="NM","NM",IF(BG1035&lt;=0,"NM",IF(BL1035=0,"NM",IF(ABS(BL1035/BG1035-1)&gt;2.5,"NM",IF((ABS(BL1035-BG1035)=ABS(ABS(BL1035)-ABS(BG1035))),(BL1035/BG1035-1),"NM"))))))</f>
      </c>
      <c r="BM1040" s="2332">
        <f t="shared" si="2178"/>
      </c>
      <c r="BN1040" s="2332">
        <f t="shared" si="2178"/>
      </c>
      <c r="BO1040" s="2332">
        <f t="shared" si="2178"/>
      </c>
      <c r="BP1040" s="2332">
        <f>IF(BK1035="NM","NM",IF(BP1035="NM","NM",IF(BK1035&lt;=0,"NM",IF(BP1035=0,"NM",IF(ABS(BP1035/BK1035-1)&gt;2.5,"NM",IF((ABS(BP1035-BK1035)=ABS(ABS(BP1035)-ABS(BK1035))),(BP1035/BK1035-1),"NM"))))))</f>
      </c>
      <c r="BQ1040" s="2333">
        <f>IF(BL1035="NM","NM",IF(BQ1035="NM","NM",IF(BL1035&lt;=0,"NM",IF(BQ1035=0,"NM",IF(ABS(BQ1035/BL1035-1)&gt;2.5,"NM",IF((ABS(BQ1035-BL1035)=ABS(ABS(BQ1035)-ABS(BL1035))),(BQ1035/BL1035-1),"NM"))))))</f>
      </c>
      <c r="BR1040" s="2334">
        <v>0.06</v>
      </c>
      <c r="BS1040" s="2334">
        <v>5.8000000000000003E-2</v>
      </c>
      <c r="BT1040" s="2334">
        <v>5.7000000000000002E-2</v>
      </c>
      <c r="BU1040" s="2332">
        <f>IF(BP1035="NM","NM",IF(BU1035="NM","NM",IF(BP1035&lt;=0,"NM",IF(BU1035=0,"NM",IF(ABS(BU1035/BP1035-1)&gt;2.5,"NM",IF((ABS(BU1035-BP1035)=ABS(ABS(BU1035)-ABS(BP1035))),(BU1035/BP1035-1),"NM"))))))</f>
      </c>
      <c r="BV1040" s="1937">
        <v>5.7000000000000002E-2</v>
      </c>
      <c r="BW1040" s="2334">
        <v>5.7000000000000002E-2</v>
      </c>
      <c r="BX1040" s="2334">
        <v>5.7000000000000002E-2</v>
      </c>
      <c r="BY1040" s="2334">
        <v>5.7000000000000002E-2</v>
      </c>
      <c r="BZ1040" s="2334">
        <v>5.7000000000000002E-2</v>
      </c>
      <c r="CA1040" s="2333">
        <f>IF(BV1035="NM","NM",IF(CA1035="NM","NM",IF(BV1035&lt;=0,"NM",IF(CA1035=0,"NM",IF(ABS(CA1035/BV1035-1)&gt;2.5,"NM",IF((ABS(CA1035-BV1035)=ABS(ABS(CA1035)-ABS(BV1035))),(CA1035/BV1035-1),"NM"))))))</f>
      </c>
      <c r="CB1040" s="2334">
        <v>5.7000000000000002E-2</v>
      </c>
      <c r="CC1040" s="2334">
        <v>5.7000000000000002E-2</v>
      </c>
      <c r="CD1040" s="2334">
        <v>5.7000000000000002E-2</v>
      </c>
      <c r="CE1040" s="2334">
        <v>5.7000000000000002E-2</v>
      </c>
      <c r="CF1040" s="1937">
        <v>5.7000000000000002E-2</v>
      </c>
      <c r="CG1040" s="2334">
        <v>5.7000000000000002E-2</v>
      </c>
      <c r="CH1040" s="2334">
        <v>5.7000000000000002E-2</v>
      </c>
      <c r="CI1040" s="2334">
        <v>5.7000000000000002E-2</v>
      </c>
      <c r="CJ1040" s="2334">
        <v>5.7000000000000002E-2</v>
      </c>
      <c r="CK1040" s="1937">
        <v>5.7000000000000002E-2</v>
      </c>
      <c r="CL1040" s="2195">
        <v>5.7000000000000002E-2</v>
      </c>
      <c r="CM1040" s="2334">
        <v>5.7000000000000002E-2</v>
      </c>
      <c r="CN1040" s="2334">
        <v>5.7000000000000002E-2</v>
      </c>
      <c r="CO1040" s="2334">
        <v>5.7000000000000002E-2</v>
      </c>
      <c r="CP1040" s="1937">
        <v>5.7000000000000002E-2</v>
      </c>
      <c r="CQ1040" s="2334">
        <v>5.7000000000000002E-2</v>
      </c>
      <c r="CR1040" s="2334">
        <v>5.7000000000000002E-2</v>
      </c>
      <c r="CS1040" s="2334">
        <v>5.7000000000000002E-2</v>
      </c>
      <c r="CT1040" s="2226">
        <v>5.7000000000000002E-2</v>
      </c>
      <c r="CU1040" s="2226">
        <v>5.7000000000000002E-2</v>
      </c>
      <c r="CV1040" s="2334">
        <v>5.7000000000000002E-2</v>
      </c>
      <c r="CW1040" s="2334">
        <v>5.7000000000000002E-2</v>
      </c>
      <c r="CX1040" s="2334">
        <v>5.7000000000000002E-2</v>
      </c>
      <c r="CY1040" s="2226">
        <v>5.7000000000000002E-2</v>
      </c>
      <c r="CZ1040" s="2226">
        <v>5.7000000000000002E-2</v>
      </c>
      <c r="DA1040" s="2195">
        <v>5.7000000000000002E-2</v>
      </c>
      <c r="DB1040" s="2334">
        <v>5.7000000000000002E-2</v>
      </c>
      <c r="DC1040" s="2334">
        <v>5.7000000000000002E-2</v>
      </c>
      <c r="DD1040" s="1936">
        <f>IF(DD1035=0,"NM",+DD1035/CY1035-1)</f>
      </c>
      <c r="DE1040" s="1937">
        <v>5.7000000000000002E-2</v>
      </c>
      <c r="DF1040" s="2195"/>
      <c r="DG1040" s="2334"/>
      <c r="DH1040" s="2334"/>
      <c r="DI1040" s="1936"/>
      <c r="DJ1040" s="1937">
        <v>5.7000000000000002E-2</v>
      </c>
      <c r="DK1040" s="400"/>
      <c r="DL1040" s="29"/>
      <c r="DM1040" s="29"/>
      <c r="DN1040" s="928"/>
      <c r="DO1040" s="1937">
        <v>5.7000000000000002E-2</v>
      </c>
      <c r="DP1040" s="2334"/>
      <c r="DQ1040" s="2334"/>
      <c r="DR1040" s="2334"/>
      <c r="DS1040" s="2332"/>
      <c r="DT1040" s="1937">
        <v>5.7000000000000002E-2</v>
      </c>
      <c r="DU1040" s="2332">
        <v>5.7000000000000002E-2</v>
      </c>
      <c r="DV1040" s="2334"/>
      <c r="DW1040" s="2334"/>
      <c r="DX1040" s="2226"/>
      <c r="DY1040" s="3308"/>
      <c r="DZ1040" s="2334"/>
      <c r="EA1040" s="2334"/>
      <c r="EB1040" s="2334"/>
      <c r="EC1040" s="2226"/>
      <c r="ED1040" s="3308"/>
      <c r="EE1040" s="2334"/>
      <c r="EF1040" s="2334"/>
      <c r="EG1040" s="2334"/>
      <c r="EH1040" s="2332"/>
      <c r="EI1040" s="2195">
        <v>5.7000000000000002E-2</v>
      </c>
      <c r="EJ1040" s="2195">
        <v>5.7000000000000002E-2</v>
      </c>
      <c r="EK1040" s="1937">
        <v>5.7000000000000002E-2</v>
      </c>
      <c r="EL1040" s="1937">
        <v>5.7000000000000002E-2</v>
      </c>
      <c r="EM1040" s="1937">
        <v>5.7000000000000002E-2</v>
      </c>
      <c r="EN1040" s="1937">
        <v>5.7000000000000002E-2</v>
      </c>
      <c r="EO1040" s="1937"/>
      <c r="EP1040" s="1937"/>
      <c r="EQ1040" s="1937"/>
      <c r="ER1040" s="1937"/>
      <c r="ES1040" s="1937"/>
      <c r="ET1040" s="1937"/>
      <c r="EU1040" s="1937"/>
      <c r="EV1040" s="1937"/>
      <c r="EW1040" s="1937"/>
      <c r="EX1040" s="1937"/>
    </row>
    <row r="1041" spans="1:154" s="419" customFormat="1" hidden="1" outlineLevel="1">
      <c r="A1041" s="3275"/>
      <c r="B1041" s="423" t="s">
        <v>412</v>
      </c>
      <c r="C1041" s="2326"/>
      <c r="D1041" s="2327"/>
      <c r="E1041" s="2327"/>
      <c r="F1041" s="2327"/>
      <c r="G1041" s="2327"/>
      <c r="H1041" s="2327"/>
      <c r="I1041" s="2332">
        <f t="shared" si="2178"/>
      </c>
      <c r="J1041" s="2332">
        <f t="shared" si="2178"/>
      </c>
      <c r="K1041" s="2332">
        <f t="shared" si="2178"/>
      </c>
      <c r="L1041" s="2332">
        <f t="shared" si="2178"/>
      </c>
      <c r="M1041" s="2332">
        <f t="shared" si="2178"/>
      </c>
      <c r="N1041" s="2332">
        <f t="shared" si="2178"/>
      </c>
      <c r="O1041" s="2332">
        <f t="shared" si="2178"/>
      </c>
      <c r="P1041" s="2332">
        <f t="shared" si="2178"/>
      </c>
      <c r="Q1041" s="2332">
        <f t="shared" si="2178"/>
      </c>
      <c r="R1041" s="2332">
        <f t="shared" si="2178"/>
      </c>
      <c r="S1041" s="2332">
        <f t="shared" si="2178"/>
      </c>
      <c r="T1041" s="2332">
        <f t="shared" si="2178"/>
      </c>
      <c r="U1041" s="2332">
        <f t="shared" si="2178"/>
      </c>
      <c r="V1041" s="2332">
        <f t="shared" si="2178"/>
      </c>
      <c r="W1041" s="2332">
        <f t="shared" si="2178"/>
      </c>
      <c r="X1041" s="2333">
        <f t="shared" si="2178"/>
      </c>
      <c r="Y1041" s="2332">
        <f t="shared" si="2178"/>
      </c>
      <c r="Z1041" s="2332">
        <f t="shared" si="2178"/>
      </c>
      <c r="AA1041" s="2332">
        <f t="shared" si="2178"/>
      </c>
      <c r="AB1041" s="2332">
        <f t="shared" si="2178"/>
      </c>
      <c r="AC1041" s="2333">
        <f t="shared" si="2178"/>
      </c>
      <c r="AD1041" s="2332">
        <f t="shared" si="2178"/>
      </c>
      <c r="AE1041" s="2332">
        <f t="shared" si="2178"/>
      </c>
      <c r="AF1041" s="2332">
        <f t="shared" si="2178"/>
      </c>
      <c r="AG1041" s="2332">
        <f t="shared" si="2178"/>
      </c>
      <c r="AH1041" s="2333">
        <f t="shared" si="2178"/>
      </c>
      <c r="AI1041" s="2332">
        <f t="shared" si="2178"/>
      </c>
      <c r="AJ1041" s="2332">
        <f t="shared" si="2178"/>
      </c>
      <c r="AK1041" s="2332">
        <f t="shared" si="2178"/>
      </c>
      <c r="AL1041" s="2332">
        <f t="shared" si="2178"/>
      </c>
      <c r="AM1041" s="2333">
        <f t="shared" si="2178"/>
      </c>
      <c r="AN1041" s="2332">
        <f t="shared" si="2178"/>
      </c>
      <c r="AO1041" s="2332">
        <f t="shared" si="2178"/>
      </c>
      <c r="AP1041" s="2332">
        <f t="shared" si="2178"/>
      </c>
      <c r="AQ1041" s="2332">
        <f t="shared" si="2178"/>
      </c>
      <c r="AR1041" s="2333">
        <f t="shared" si="2178"/>
      </c>
      <c r="AS1041" s="2332">
        <f t="shared" si="2178"/>
      </c>
      <c r="AT1041" s="2332">
        <f t="shared" si="2178"/>
      </c>
      <c r="AU1041" s="2332">
        <f t="shared" si="2178"/>
      </c>
      <c r="AV1041" s="2332">
        <f t="shared" si="2178"/>
      </c>
      <c r="AW1041" s="2333">
        <f t="shared" si="2178"/>
      </c>
      <c r="AX1041" s="2332">
        <f t="shared" si="2178"/>
      </c>
      <c r="AY1041" s="2332">
        <f t="shared" si="2178"/>
      </c>
      <c r="AZ1041" s="2332">
        <f t="shared" si="2178"/>
      </c>
      <c r="BA1041" s="2332">
        <f t="shared" si="2178"/>
      </c>
      <c r="BB1041" s="2333">
        <f t="shared" si="2178"/>
      </c>
      <c r="BC1041" s="2332">
        <f t="shared" si="2178"/>
      </c>
      <c r="BD1041" s="2332">
        <f t="shared" si="2178"/>
      </c>
      <c r="BE1041" s="2332">
        <f t="shared" si="2178"/>
      </c>
      <c r="BF1041" s="2332">
        <f t="shared" si="2178"/>
      </c>
      <c r="BG1041" s="2333">
        <f>IF(BB1036="NM","NM",IF(BG1036="NM","NM",IF(BB1036&lt;=0,"NM",IF(BG1036=0,"NM",IF(ABS(BG1036/BB1036-1)&gt;2.5,"NM",IF((ABS(BG1036-BB1036)=ABS(ABS(BG1036)-ABS(BB1036))),(BG1036/BB1036-1),"NM"))))))</f>
      </c>
      <c r="BH1041" s="2332">
        <f t="shared" si="2178"/>
      </c>
      <c r="BI1041" s="2332">
        <f t="shared" si="2178"/>
      </c>
      <c r="BJ1041" s="2332">
        <f t="shared" si="2178"/>
      </c>
      <c r="BK1041" s="2332">
        <f t="shared" si="2178"/>
      </c>
      <c r="BL1041" s="2333">
        <f>IF(BG1036="NM","NM",IF(BL1036="NM","NM",IF(BG1036&lt;=0,"NM",IF(BL1036=0,"NM",IF(ABS(BL1036/BG1036-1)&gt;2.5,"NM",IF((ABS(BL1036-BG1036)=ABS(ABS(BL1036)-ABS(BG1036))),(BL1036/BG1036-1),"NM"))))))</f>
      </c>
      <c r="BM1041" s="2332">
        <f t="shared" si="2178"/>
      </c>
      <c r="BN1041" s="2332">
        <f t="shared" si="2178"/>
      </c>
      <c r="BO1041" s="2332">
        <f t="shared" si="2178"/>
      </c>
      <c r="BP1041" s="2332">
        <f>IF(BK1036="NM","NM",IF(BP1036="NM","NM",IF(BK1036&lt;=0,"NM",IF(BP1036=0,"NM",IF(ABS(BP1036/BK1036-1)&gt;2.5,"NM",IF((ABS(BP1036-BK1036)=ABS(ABS(BP1036)-ABS(BK1036))),(BP1036/BK1036-1),"NM"))))))</f>
      </c>
      <c r="BQ1041" s="2333">
        <f>IF(BL1036="NM","NM",IF(BQ1036="NM","NM",IF(BL1036&lt;=0,"NM",IF(BQ1036=0,"NM",IF(ABS(BQ1036/BL1036-1)&gt;2.5,"NM",IF((ABS(BQ1036-BL1036)=ABS(ABS(BQ1036)-ABS(BL1036))),(BQ1036/BL1036-1),"NM"))))))</f>
      </c>
      <c r="BR1041" s="2332">
        <f>IF(ISNUMBER(BR1042),(1+BR1042)*(1+BR$21)-1,"NM")</f>
      </c>
      <c r="BS1041" s="2332">
        <f>IF(ISNUMBER(BS1042),(1+BS1042)*(1+BS$21)-1,"NM")</f>
      </c>
      <c r="BT1041" s="2332">
        <f>IF(ISNUMBER(BT1042),(1+BT1042)*(1+BT$21)-1,"NM")</f>
      </c>
      <c r="BU1041" s="2332">
        <f>IF(BP1036="NM","NM",IF(BU1036="NM","NM",IF(BP1036&lt;=0,"NM",IF(BU1036=0,"NM",IF(ABS(BU1036/BP1036-1)&gt;2.5,"NM",IF((ABS(BU1036-BP1036)=ABS(ABS(BU1036)-ABS(BP1036))),(BU1036/BP1036-1),"NM"))))))</f>
      </c>
      <c r="BV1041" s="2333">
        <f>IF(ISNUMBER(BV1042),(1+BV1042)*(1+BV$21)-1,"NM")</f>
      </c>
      <c r="BW1041" s="2332">
        <f>IF(ISNUMBER(BW1042),(1+BW1042)*(1+BW$21)-1,"NM")</f>
      </c>
      <c r="BX1041" s="2332">
        <f>IF(ISNUMBER(BX1042),(1+BX1042)*(1+BX$21)-1,"NM")</f>
      </c>
      <c r="BY1041" s="2332">
        <f>IF(ISNUMBER(BY1042),(1+BY1042)*(1+BY$21)-1,"NM")</f>
      </c>
      <c r="BZ1041" s="2332">
        <f>IF(ISNUMBER(BZ1042),(1+BZ1042)*(1+BZ$21)-1,"NM")</f>
      </c>
      <c r="CA1041" s="2333">
        <f>IF(BV1036="NM","NM",IF(CA1036="NM","NM",IF(BV1036&lt;=0,"NM",IF(CA1036=0,"NM",IF(ABS(CA1036/BV1036-1)&gt;2.5,"NM",IF((ABS(CA1036-BV1036)=ABS(ABS(CA1036)-ABS(BV1036))),(CA1036/BV1036-1),"NM"))))))</f>
      </c>
      <c r="CB1041" s="2332">
        <f t="shared" ref="CB1041:DY1041" si="2179">IF(ISNUMBER(CB1042),(1+CB1042)*(1+CB$21)-1,"NM")</f>
      </c>
      <c r="CC1041" s="2332">
        <f t="shared" si="2179"/>
      </c>
      <c r="CD1041" s="2332">
        <f t="shared" si="2179"/>
      </c>
      <c r="CE1041" s="2332">
        <f t="shared" si="2179"/>
      </c>
      <c r="CF1041" s="2333">
        <f t="shared" si="2179"/>
      </c>
      <c r="CG1041" s="2332">
        <f t="shared" si="2179"/>
      </c>
      <c r="CH1041" s="2332">
        <f t="shared" si="2179"/>
      </c>
      <c r="CI1041" s="2332">
        <f t="shared" si="2179"/>
      </c>
      <c r="CJ1041" s="2332">
        <f t="shared" si="2179"/>
      </c>
      <c r="CK1041" s="2333">
        <f t="shared" si="2179"/>
      </c>
      <c r="CL1041" s="1935">
        <f t="shared" si="2179"/>
      </c>
      <c r="CM1041" s="2332">
        <f t="shared" si="2179"/>
      </c>
      <c r="CN1041" s="2332">
        <f t="shared" si="2179"/>
      </c>
      <c r="CO1041" s="2332">
        <f t="shared" si="2179"/>
      </c>
      <c r="CP1041" s="2333">
        <f>IF(ISNUMBER(CP1042),(1+CP1042)*(1+CP$21)-1,"NM")</f>
      </c>
      <c r="CQ1041" s="2332">
        <f t="shared" si="2179"/>
      </c>
      <c r="CR1041" s="2332">
        <f t="shared" si="2179"/>
      </c>
      <c r="CS1041" s="2332">
        <f t="shared" si="2179"/>
      </c>
      <c r="CT1041" s="1936">
        <f t="shared" si="2179"/>
      </c>
      <c r="CU1041" s="1936">
        <f>IF(ISNUMBER(CU1042),(1+CU1042)*(1+CU$21)-1,"NM")</f>
      </c>
      <c r="CV1041" s="2332">
        <f t="shared" si="2179"/>
      </c>
      <c r="CW1041" s="2332">
        <f t="shared" si="2179"/>
      </c>
      <c r="CX1041" s="2332">
        <f t="shared" si="2179"/>
      </c>
      <c r="CY1041" s="1936">
        <f t="shared" si="2179"/>
      </c>
      <c r="CZ1041" s="1936">
        <f>IF(ISNUMBER(CZ1042),(1+CZ1042)*(1+CZ$21)-1,"NM")</f>
      </c>
      <c r="DA1041" s="1333">
        <f>DA1042+DA$21</f>
      </c>
      <c r="DB1041" s="2335">
        <f>DB1042+DB$21</f>
      </c>
      <c r="DC1041" s="2335">
        <f>DC1042+DC$21</f>
      </c>
      <c r="DD1041" s="1350">
        <f>IF(DD1036=0, "NM", DD1036/CY1036-1)</f>
      </c>
      <c r="DE1041" s="2333">
        <f t="shared" si="2179"/>
      </c>
      <c r="DF1041" s="1935"/>
      <c r="DG1041" s="2332"/>
      <c r="DH1041" s="2332"/>
      <c r="DI1041" s="1936"/>
      <c r="DJ1041" s="2333">
        <f t="shared" si="2179"/>
      </c>
      <c r="DK1041" s="958"/>
      <c r="DL1041" s="926"/>
      <c r="DM1041" s="926"/>
      <c r="DN1041" s="928"/>
      <c r="DO1041" s="2333">
        <f t="shared" si="2179"/>
      </c>
      <c r="DP1041" s="2332"/>
      <c r="DQ1041" s="2332"/>
      <c r="DR1041" s="2332"/>
      <c r="DS1041" s="2332"/>
      <c r="DT1041" s="2333">
        <f t="shared" si="2179"/>
      </c>
      <c r="DU1041" s="2332">
        <f t="shared" si="2179"/>
      </c>
      <c r="DV1041" s="2332"/>
      <c r="DW1041" s="2332"/>
      <c r="DX1041" s="1936"/>
      <c r="DY1041" s="2333" t="str">
        <f t="shared" si="2179"/>
      </c>
      <c r="DZ1041" s="2332"/>
      <c r="EA1041" s="2332"/>
      <c r="EB1041" s="2332"/>
      <c r="EC1041" s="1936"/>
      <c r="ED1041" s="2333" t="str">
        <f t="shared" ref="ED1041" si="2180">IF(ISNUMBER(ED1042),(1+ED1042)*(1+ED$21)-1,"NM")</f>
      </c>
      <c r="EE1041" s="2332"/>
      <c r="EF1041" s="2332"/>
      <c r="EG1041" s="2332"/>
      <c r="EH1041" s="2332"/>
      <c r="EI1041" s="1935">
        <f t="shared" ref="EI1041:EN1041" si="2181">IF(ISNUMBER(EI1042),(1+EI1042)*(1+EI$21)-1,"NM")</f>
      </c>
      <c r="EJ1041" s="1935">
        <f t="shared" si="2181"/>
      </c>
      <c r="EK1041" s="2333">
        <f t="shared" si="2181"/>
      </c>
      <c r="EL1041" s="2333">
        <f t="shared" si="2181"/>
      </c>
      <c r="EM1041" s="2333">
        <f t="shared" si="2181"/>
      </c>
      <c r="EN1041" s="2333">
        <f t="shared" si="2181"/>
      </c>
      <c r="EO1041" s="2333"/>
      <c r="EP1041" s="2333"/>
      <c r="EQ1041" s="2333"/>
      <c r="ER1041" s="2333"/>
      <c r="ES1041" s="2333"/>
      <c r="ET1041" s="2333"/>
      <c r="EU1041" s="2333"/>
      <c r="EV1041" s="2333"/>
      <c r="EW1041" s="2333"/>
      <c r="EX1041" s="2333"/>
    </row>
    <row r="1042" spans="1:154" s="419" customFormat="1" hidden="1" outlineLevel="1">
      <c r="A1042" s="3275"/>
      <c r="B1042" s="423" t="s">
        <v>256</v>
      </c>
      <c r="C1042" s="2326"/>
      <c r="D1042" s="2327"/>
      <c r="E1042" s="2327"/>
      <c r="F1042" s="2327"/>
      <c r="G1042" s="2327"/>
      <c r="H1042" s="2327"/>
      <c r="I1042" s="424"/>
      <c r="J1042" s="2066"/>
      <c r="K1042" s="2066"/>
      <c r="L1042" s="2066"/>
      <c r="M1042" s="2066"/>
      <c r="N1042" s="424"/>
      <c r="O1042" s="424"/>
      <c r="P1042" s="424"/>
      <c r="Q1042" s="424"/>
      <c r="R1042" s="424"/>
      <c r="S1042" s="2066"/>
      <c r="T1042" s="424"/>
      <c r="U1042" s="424"/>
      <c r="V1042" s="424"/>
      <c r="W1042" s="424"/>
      <c r="X1042" s="2336"/>
      <c r="Y1042" s="424"/>
      <c r="Z1042" s="424"/>
      <c r="AA1042" s="424"/>
      <c r="AB1042" s="424"/>
      <c r="AC1042" s="2336"/>
      <c r="AD1042" s="424"/>
      <c r="AE1042" s="424"/>
      <c r="AF1042" s="424"/>
      <c r="AG1042" s="424"/>
      <c r="AH1042" s="2336"/>
      <c r="AI1042" s="2335">
        <f t="shared" ref="AI1042:BM1042" si="2182">IF(ISNUMBER(AI1041),(1+AI1041)/(1+AI$21)-1,"NM")</f>
      </c>
      <c r="AJ1042" s="2335">
        <f t="shared" si="2182"/>
      </c>
      <c r="AK1042" s="2335">
        <f t="shared" si="2182"/>
      </c>
      <c r="AL1042" s="2335">
        <f t="shared" si="2182"/>
      </c>
      <c r="AM1042" s="2336">
        <f t="shared" si="2182"/>
      </c>
      <c r="AN1042" s="2335">
        <f t="shared" si="2182"/>
      </c>
      <c r="AO1042" s="2335">
        <f t="shared" si="2182"/>
      </c>
      <c r="AP1042" s="2335">
        <f t="shared" si="2182"/>
      </c>
      <c r="AQ1042" s="2335">
        <f t="shared" si="2182"/>
      </c>
      <c r="AR1042" s="2336">
        <f t="shared" si="2182"/>
      </c>
      <c r="AS1042" s="2335">
        <f t="shared" si="2182"/>
      </c>
      <c r="AT1042" s="2335">
        <f t="shared" si="2182"/>
      </c>
      <c r="AU1042" s="2335">
        <f t="shared" si="2182"/>
      </c>
      <c r="AV1042" s="2335">
        <f t="shared" si="2182"/>
      </c>
      <c r="AW1042" s="2336">
        <f t="shared" si="2182"/>
      </c>
      <c r="AX1042" s="2335">
        <f t="shared" si="2182"/>
      </c>
      <c r="AY1042" s="2335">
        <f t="shared" si="2182"/>
      </c>
      <c r="AZ1042" s="2335">
        <f t="shared" si="2182"/>
      </c>
      <c r="BA1042" s="2335">
        <f t="shared" si="2182"/>
      </c>
      <c r="BB1042" s="2336">
        <f t="shared" si="2182"/>
      </c>
      <c r="BC1042" s="2335">
        <f t="shared" si="2182"/>
      </c>
      <c r="BD1042" s="2335">
        <f t="shared" si="2182"/>
      </c>
      <c r="BE1042" s="2335">
        <f t="shared" si="2182"/>
      </c>
      <c r="BF1042" s="2335">
        <f t="shared" si="2182"/>
      </c>
      <c r="BG1042" s="2337">
        <f t="shared" si="2182"/>
      </c>
      <c r="BH1042" s="2335">
        <f t="shared" si="2182"/>
      </c>
      <c r="BI1042" s="2335">
        <f t="shared" si="2182"/>
      </c>
      <c r="BJ1042" s="2335">
        <f t="shared" si="2182"/>
      </c>
      <c r="BK1042" s="2335">
        <f t="shared" si="2182"/>
      </c>
      <c r="BL1042" s="2336">
        <f t="shared" si="2182"/>
      </c>
      <c r="BM1042" s="2335">
        <f t="shared" si="2182"/>
      </c>
      <c r="BN1042" s="2335">
        <v>4.2000000000000003E-2</v>
      </c>
      <c r="BO1042" s="2335">
        <v>0.05</v>
      </c>
      <c r="BP1042" s="2332">
        <v>7.5999999999999998E-2</v>
      </c>
      <c r="BQ1042" s="2336">
        <v>0.05</v>
      </c>
      <c r="BR1042" s="2334">
        <v>0.05</v>
      </c>
      <c r="BS1042" s="2334">
        <v>0.05</v>
      </c>
      <c r="BT1042" s="2334">
        <v>0.05</v>
      </c>
      <c r="BU1042" s="2332">
        <f>IF(ISNUMBER(BU1041),(1+BU1041)/(1+BU$21)-1,"NM")</f>
      </c>
      <c r="BV1042" s="1937">
        <v>0.05</v>
      </c>
      <c r="BW1042" s="2334">
        <v>0.04</v>
      </c>
      <c r="BX1042" s="2334">
        <v>0.04</v>
      </c>
      <c r="BY1042" s="2334">
        <v>0.04</v>
      </c>
      <c r="BZ1042" s="2334">
        <v>0.04</v>
      </c>
      <c r="CA1042" s="2333">
        <f>IF(ISNUMBER(CA1041),(1+CA1041)/(1+CA$21)-1,"NM")</f>
      </c>
      <c r="CB1042" s="2334">
        <v>0.04</v>
      </c>
      <c r="CC1042" s="2334">
        <v>0.04</v>
      </c>
      <c r="CD1042" s="2334">
        <v>0.04</v>
      </c>
      <c r="CE1042" s="2334">
        <v>0.04</v>
      </c>
      <c r="CF1042" s="1937">
        <v>0.04</v>
      </c>
      <c r="CG1042" s="2334">
        <v>0.04</v>
      </c>
      <c r="CH1042" s="2334">
        <v>0.04</v>
      </c>
      <c r="CI1042" s="2334">
        <v>0.04</v>
      </c>
      <c r="CJ1042" s="2334">
        <v>0.04</v>
      </c>
      <c r="CK1042" s="1937">
        <v>0.04</v>
      </c>
      <c r="CL1042" s="2195">
        <v>0.04</v>
      </c>
      <c r="CM1042" s="2334">
        <v>0.04</v>
      </c>
      <c r="CN1042" s="2334">
        <v>0.04</v>
      </c>
      <c r="CO1042" s="2334">
        <v>0.04</v>
      </c>
      <c r="CP1042" s="1937">
        <v>0.04</v>
      </c>
      <c r="CQ1042" s="2334">
        <v>0.04</v>
      </c>
      <c r="CR1042" s="2334">
        <v>0.04</v>
      </c>
      <c r="CS1042" s="2334">
        <v>0.04</v>
      </c>
      <c r="CT1042" s="2226">
        <v>0.04</v>
      </c>
      <c r="CU1042" s="2226">
        <v>0.04</v>
      </c>
      <c r="CV1042" s="2334">
        <v>0.04</v>
      </c>
      <c r="CW1042" s="2334">
        <v>0.04</v>
      </c>
      <c r="CX1042" s="2334">
        <v>0.04</v>
      </c>
      <c r="CY1042" s="2226">
        <v>0.04</v>
      </c>
      <c r="CZ1042" s="2226">
        <v>0.04</v>
      </c>
      <c r="DA1042" s="2195">
        <v>0.04</v>
      </c>
      <c r="DB1042" s="2334">
        <v>0.04</v>
      </c>
      <c r="DC1042" s="2334">
        <v>0.04</v>
      </c>
      <c r="DD1042" s="1936">
        <f>IF(DD1036=0, "NM",DD1041-DD$21)</f>
      </c>
      <c r="DE1042" s="1937">
        <v>0.04</v>
      </c>
      <c r="DF1042" s="2195"/>
      <c r="DG1042" s="2334"/>
      <c r="DH1042" s="2334"/>
      <c r="DI1042" s="1936"/>
      <c r="DJ1042" s="1937">
        <v>0.04</v>
      </c>
      <c r="DK1042" s="400"/>
      <c r="DL1042" s="29"/>
      <c r="DM1042" s="29"/>
      <c r="DN1042" s="928"/>
      <c r="DO1042" s="1937">
        <v>0.04</v>
      </c>
      <c r="DP1042" s="2334"/>
      <c r="DQ1042" s="2334"/>
      <c r="DR1042" s="2334"/>
      <c r="DS1042" s="2332"/>
      <c r="DT1042" s="1937">
        <v>0.04</v>
      </c>
      <c r="DU1042" s="2332">
        <v>0.04</v>
      </c>
      <c r="DV1042" s="2334"/>
      <c r="DW1042" s="2334"/>
      <c r="DX1042" s="2226"/>
      <c r="DY1042" s="3308"/>
      <c r="DZ1042" s="2334"/>
      <c r="EA1042" s="2334"/>
      <c r="EB1042" s="2334"/>
      <c r="EC1042" s="2226"/>
      <c r="ED1042" s="3308"/>
      <c r="EE1042" s="2334"/>
      <c r="EF1042" s="2334"/>
      <c r="EG1042" s="2334"/>
      <c r="EH1042" s="2332"/>
      <c r="EI1042" s="2195">
        <v>0.04</v>
      </c>
      <c r="EJ1042" s="2195">
        <v>0.04</v>
      </c>
      <c r="EK1042" s="1937">
        <v>0.04</v>
      </c>
      <c r="EL1042" s="1937">
        <v>0.04</v>
      </c>
      <c r="EM1042" s="1937">
        <v>0.04</v>
      </c>
      <c r="EN1042" s="1937">
        <v>0.04</v>
      </c>
      <c r="EO1042" s="1937"/>
      <c r="EP1042" s="1937"/>
      <c r="EQ1042" s="1937"/>
      <c r="ER1042" s="1937"/>
      <c r="ES1042" s="1937"/>
      <c r="ET1042" s="1937"/>
      <c r="EU1042" s="1937"/>
      <c r="EV1042" s="1937"/>
      <c r="EW1042" s="1937"/>
      <c r="EX1042" s="1937"/>
    </row>
    <row r="1043" spans="1:154" s="419" customFormat="1" hidden="1" outlineLevel="1">
      <c r="A1043" s="3275"/>
      <c r="B1043" s="423" t="s">
        <v>413</v>
      </c>
      <c r="C1043" s="2326"/>
      <c r="D1043" s="2327"/>
      <c r="E1043" s="2327"/>
      <c r="F1043" s="2327"/>
      <c r="G1043" s="2327"/>
      <c r="H1043" s="2327"/>
      <c r="I1043" s="2332">
        <f t="shared" ref="I1043:BT1043" si="2183">IF(D1037="NM","NM",IF(I1037="NM","NM",IF(D1037&lt;=0,"NM",IF(I1037=0,"NM",IF(ABS(I1037/D1037-1)&gt;2.5,"NM",IF((ABS(I1037-D1037)=ABS(ABS(I1037)-ABS(D1037))),(I1037/D1037-1),"NM"))))))</f>
      </c>
      <c r="J1043" s="2332">
        <f t="shared" si="2183"/>
      </c>
      <c r="K1043" s="2332">
        <f t="shared" si="2183"/>
      </c>
      <c r="L1043" s="2332">
        <f t="shared" si="2183"/>
      </c>
      <c r="M1043" s="2332">
        <f t="shared" si="2183"/>
      </c>
      <c r="N1043" s="2332">
        <f t="shared" si="2183"/>
      </c>
      <c r="O1043" s="2332">
        <f t="shared" si="2183"/>
      </c>
      <c r="P1043" s="2332">
        <f t="shared" si="2183"/>
      </c>
      <c r="Q1043" s="2332">
        <f t="shared" si="2183"/>
      </c>
      <c r="R1043" s="2332">
        <f t="shared" si="2183"/>
      </c>
      <c r="S1043" s="2332">
        <f t="shared" si="2183"/>
      </c>
      <c r="T1043" s="2332">
        <f t="shared" si="2183"/>
      </c>
      <c r="U1043" s="2332">
        <f t="shared" si="2183"/>
      </c>
      <c r="V1043" s="2332">
        <f t="shared" si="2183"/>
      </c>
      <c r="W1043" s="2332">
        <f t="shared" si="2183"/>
      </c>
      <c r="X1043" s="2333">
        <f t="shared" si="2183"/>
      </c>
      <c r="Y1043" s="2332">
        <f t="shared" si="2183"/>
      </c>
      <c r="Z1043" s="2332">
        <f t="shared" si="2183"/>
      </c>
      <c r="AA1043" s="2332">
        <f t="shared" si="2183"/>
      </c>
      <c r="AB1043" s="2332">
        <f t="shared" si="2183"/>
      </c>
      <c r="AC1043" s="2333">
        <f t="shared" si="2183"/>
      </c>
      <c r="AD1043" s="2332">
        <f t="shared" si="2183"/>
      </c>
      <c r="AE1043" s="2332">
        <f t="shared" si="2183"/>
      </c>
      <c r="AF1043" s="2332">
        <f t="shared" si="2183"/>
      </c>
      <c r="AG1043" s="2332">
        <f t="shared" si="2183"/>
      </c>
      <c r="AH1043" s="2333">
        <f t="shared" si="2183"/>
      </c>
      <c r="AI1043" s="2332">
        <f t="shared" si="2183"/>
      </c>
      <c r="AJ1043" s="2332">
        <f t="shared" si="2183"/>
      </c>
      <c r="AK1043" s="2332">
        <f t="shared" si="2183"/>
      </c>
      <c r="AL1043" s="2332">
        <f t="shared" si="2183"/>
      </c>
      <c r="AM1043" s="2333">
        <f t="shared" si="2183"/>
      </c>
      <c r="AN1043" s="2332">
        <f t="shared" si="2183"/>
      </c>
      <c r="AO1043" s="2332">
        <f t="shared" si="2183"/>
      </c>
      <c r="AP1043" s="2332">
        <f t="shared" si="2183"/>
      </c>
      <c r="AQ1043" s="2332">
        <f t="shared" si="2183"/>
      </c>
      <c r="AR1043" s="2333">
        <f t="shared" si="2183"/>
      </c>
      <c r="AS1043" s="2332">
        <f t="shared" si="2183"/>
      </c>
      <c r="AT1043" s="2332">
        <f t="shared" si="2183"/>
      </c>
      <c r="AU1043" s="2332">
        <f t="shared" si="2183"/>
      </c>
      <c r="AV1043" s="2332">
        <f t="shared" si="2183"/>
      </c>
      <c r="AW1043" s="2333">
        <f t="shared" si="2183"/>
      </c>
      <c r="AX1043" s="2332">
        <f t="shared" si="2183"/>
      </c>
      <c r="AY1043" s="2332">
        <f t="shared" si="2183"/>
      </c>
      <c r="AZ1043" s="2332">
        <f t="shared" si="2183"/>
      </c>
      <c r="BA1043" s="2332">
        <f t="shared" si="2183"/>
      </c>
      <c r="BB1043" s="2333">
        <f t="shared" si="2183"/>
      </c>
      <c r="BC1043" s="2332">
        <f t="shared" si="2183"/>
      </c>
      <c r="BD1043" s="2332">
        <f t="shared" si="2183"/>
      </c>
      <c r="BE1043" s="2332">
        <f t="shared" si="2183"/>
      </c>
      <c r="BF1043" s="2332">
        <f t="shared" si="2183"/>
      </c>
      <c r="BG1043" s="2333">
        <f t="shared" si="2183"/>
      </c>
      <c r="BH1043" s="2332">
        <f t="shared" si="2183"/>
      </c>
      <c r="BI1043" s="2332">
        <f t="shared" si="2183"/>
      </c>
      <c r="BJ1043" s="2332">
        <f t="shared" si="2183"/>
      </c>
      <c r="BK1043" s="2332">
        <f t="shared" si="2183"/>
      </c>
      <c r="BL1043" s="2333">
        <f t="shared" si="2183"/>
      </c>
      <c r="BM1043" s="2332">
        <f t="shared" si="2183"/>
      </c>
      <c r="BN1043" s="2332">
        <f t="shared" si="2183"/>
      </c>
      <c r="BO1043" s="2332">
        <f t="shared" si="2183"/>
      </c>
      <c r="BP1043" s="2332">
        <f t="shared" si="2183"/>
      </c>
      <c r="BQ1043" s="2333">
        <f t="shared" si="2183"/>
      </c>
      <c r="BR1043" s="2332">
        <f t="shared" si="2183"/>
      </c>
      <c r="BS1043" s="2332">
        <f t="shared" si="2183"/>
      </c>
      <c r="BT1043" s="2332">
        <f t="shared" si="2183"/>
      </c>
      <c r="BU1043" s="2332">
        <f t="shared" ref="BU1043:CX1043" si="2184">IF(BP1037="NM","NM",IF(BU1037="NM","NM",IF(BP1037&lt;=0,"NM",IF(BU1037=0,"NM",IF(ABS(BU1037/BP1037-1)&gt;2.5,"NM",IF((ABS(BU1037-BP1037)=ABS(ABS(BU1037)-ABS(BP1037))),(BU1037/BP1037-1),"NM"))))))</f>
      </c>
      <c r="BV1043" s="2333">
        <f t="shared" si="2184"/>
      </c>
      <c r="BW1043" s="2332">
        <f t="shared" si="2184"/>
      </c>
      <c r="BX1043" s="2332">
        <f t="shared" si="2184"/>
      </c>
      <c r="BY1043" s="2332">
        <f t="shared" si="2184"/>
      </c>
      <c r="BZ1043" s="2332">
        <f t="shared" si="2184"/>
      </c>
      <c r="CA1043" s="2333">
        <f t="shared" si="2184"/>
      </c>
      <c r="CB1043" s="2332">
        <f t="shared" si="2184"/>
      </c>
      <c r="CC1043" s="2332">
        <f t="shared" si="2184"/>
      </c>
      <c r="CD1043" s="2332">
        <f t="shared" si="2184"/>
      </c>
      <c r="CE1043" s="2332">
        <f t="shared" si="2184"/>
      </c>
      <c r="CF1043" s="2333">
        <f t="shared" si="2184"/>
      </c>
      <c r="CG1043" s="2332">
        <f t="shared" si="2184"/>
      </c>
      <c r="CH1043" s="2332">
        <f t="shared" si="2184"/>
      </c>
      <c r="CI1043" s="2332">
        <f t="shared" si="2184"/>
      </c>
      <c r="CJ1043" s="2332">
        <f t="shared" si="2184"/>
      </c>
      <c r="CK1043" s="2333">
        <f t="shared" si="2184"/>
      </c>
      <c r="CL1043" s="1935">
        <f t="shared" si="2184"/>
      </c>
      <c r="CM1043" s="2332">
        <f t="shared" si="2184"/>
      </c>
      <c r="CN1043" s="2332">
        <f t="shared" si="2184"/>
      </c>
      <c r="CO1043" s="2332">
        <f t="shared" si="2184"/>
      </c>
      <c r="CP1043" s="2333">
        <f t="shared" si="2184"/>
      </c>
      <c r="CQ1043" s="2332">
        <f t="shared" si="2184"/>
      </c>
      <c r="CR1043" s="2332">
        <f t="shared" si="2184"/>
      </c>
      <c r="CS1043" s="2332">
        <f t="shared" si="2184"/>
      </c>
      <c r="CT1043" s="1936">
        <f t="shared" si="2184"/>
      </c>
      <c r="CU1043" s="1936">
        <f t="shared" si="2184"/>
      </c>
      <c r="CV1043" s="2332">
        <f t="shared" si="2184"/>
      </c>
      <c r="CW1043" s="2332">
        <f t="shared" si="2184"/>
      </c>
      <c r="CX1043" s="2332">
        <f t="shared" si="2184"/>
      </c>
      <c r="CY1043" s="1936">
        <f>IF(CT1037="NM","NM",IF(CY1037="NM","NM",IF(CT1037&lt;=0,"NM",IF(CY1037=0,"NM",IF(ABS(CY1037/CT1037-1)&gt;2.5,"NM",IF((ABS(CY1037-CT1037)=ABS(ABS(CY1037)-ABS(CT1037))),(CY1037/CT1037-1),"NM"))))))</f>
      </c>
      <c r="CZ1043" s="1936">
        <f>IF(CU1037="NM","NM",IF(CZ1037="NM","NM",IF(CU1037&lt;=0,"NM",IF(CZ1037=0,"NM",IF(ABS(CZ1037/CU1037-1)&gt;2.5,"NM",IF((ABS(CZ1037-CU1037)=ABS(ABS(CZ1037)-ABS(CU1037))),(CZ1037/CU1037-1),"NM"))))))</f>
      </c>
      <c r="DA1043" s="1935">
        <f>IF(CV1037=0, "NA", DA1037/CV1037-1)</f>
      </c>
      <c r="DB1043" s="2332">
        <f>IF(CW1037=0, "NA", DB1037/CW1037-1)</f>
      </c>
      <c r="DC1043" s="2332">
        <f>IF(CX1037=0, "NA", DC1037/CX1037-1)</f>
      </c>
      <c r="DD1043" s="1936">
        <f>IF(CY1037=0, "NM", DD1037/CY1037-1)</f>
      </c>
      <c r="DE1043" s="2333">
        <f>IF(CZ1037="NM","NM",IF(DE1037="NM","NM",IF(CZ1037&lt;=0,"NM",IF(DE1037=0,"NM",IF(ABS(DE1037/CZ1037-1)&gt;2.5,"NM",IF((ABS(DE1037-CZ1037)=ABS(ABS(DE1037)-ABS(CZ1037))),(DE1037/CZ1037-1),"NM"))))))</f>
      </c>
      <c r="DF1043" s="1935"/>
      <c r="DG1043" s="2332"/>
      <c r="DH1043" s="2332"/>
      <c r="DI1043" s="1936"/>
      <c r="DJ1043" s="2333">
        <f>IF(DE1037="NM","NM",IF(DJ1037="NM","NM",IF(DE1037&lt;=0,"NM",IF(DJ1037=0,"NM",IF(ABS(DJ1037/DE1037-1)&gt;2.5,"NM",IF((ABS(DJ1037-DE1037)=ABS(ABS(DJ1037)-ABS(DE1037))),(DJ1037/DE1037-1),"NM"))))))</f>
      </c>
      <c r="DK1043" s="958"/>
      <c r="DL1043" s="926"/>
      <c r="DM1043" s="926"/>
      <c r="DN1043" s="928"/>
      <c r="DO1043" s="2333">
        <f>IF(DJ1037="NM","NM",IF(DO1037="NM","NM",IF(DJ1037&lt;=0,"NM",IF(DO1037=0,"NM",IF(ABS(DO1037/DJ1037-1)&gt;2.5,"NM",IF((ABS(DO1037-DJ1037)=ABS(ABS(DO1037)-ABS(DJ1037))),(DO1037/DJ1037-1),"NM"))))))</f>
      </c>
      <c r="DP1043" s="2332"/>
      <c r="DQ1043" s="2332"/>
      <c r="DR1043" s="2332"/>
      <c r="DS1043" s="2332"/>
      <c r="DT1043" s="2333">
        <f>IF(DO1037="NM","NM",IF(DT1037="NM","NM",IF(DO1037&lt;=0,"NM",IF(DT1037=0,"NM",IF(ABS(DT1037/DO1037-1)&gt;2.5,"NM",IF((ABS(DT1037-DO1037)=ABS(ABS(DT1037)-ABS(DO1037))),(DT1037/DO1037-1),"NM"))))))</f>
      </c>
      <c r="DU1043" s="2332" t="str">
        <f>IF(DP1037="NM","NM",IF(DU1037="NM","NM",IF(DP1037&lt;=0,"NM",IF(DU1037=0,"NM",IF(ABS(DU1037/DP1037-1)&gt;2.5,"NM",IF((ABS(DU1037-DP1037)=ABS(ABS(DU1037)-ABS(DP1037))),(DU1037/DP1037-1),"NM"))))))</f>
      </c>
      <c r="DV1043" s="2332"/>
      <c r="DW1043" s="2332"/>
      <c r="DX1043" s="1936"/>
      <c r="DY1043" s="2333" t="e">
        <f>IF(DT1037="NM","NM",IF(DY1037="NM","NM",IF(DT1037&lt;=0,"NM",IF(DY1037=0,"NM",IF(ABS(DY1037/DT1037-1)&gt;2.5,"NM",IF((ABS(DY1037-DT1037)=ABS(ABS(DY1037)-ABS(DT1037))),(DY1037/DT1037-1),"NM"))))))</f>
      </c>
      <c r="DZ1043" s="2332"/>
      <c r="EA1043" s="2332"/>
      <c r="EB1043" s="2332"/>
      <c r="EC1043" s="1936"/>
      <c r="ED1043" s="2333" t="e">
        <f>IF(DY1037="NM","NM",IF(ED1037="NM","NM",IF(DY1037&lt;=0,"NM",IF(ED1037=0,"NM",IF(ABS(ED1037/DY1037-1)&gt;2.5,"NM",IF((ABS(ED1037-DY1037)=ABS(ABS(ED1037)-ABS(DY1037))),(ED1037/DY1037-1),"NM"))))))</f>
      </c>
      <c r="EE1043" s="2332"/>
      <c r="EF1043" s="2332"/>
      <c r="EG1043" s="2332"/>
      <c r="EH1043" s="2332"/>
      <c r="EI1043" s="1935" t="e">
        <f>IF(ED1037="NM","NM",IF(EI1037="NM","NM",IF(ED1037&lt;=0,"NM",IF(EI1037=0,"NM",IF(ABS(EI1037/ED1037-1)&gt;2.5,"NM",IF((ABS(EI1037-ED1037)=ABS(ABS(EI1037)-ABS(ED1037))),(EI1037/ED1037-1),"NM"))))))</f>
      </c>
      <c r="EJ1043" s="1935" t="e">
        <f t="shared" ref="EJ1043:EN1043" si="2185">IF(EI1037="NM","NM",IF(EJ1037="NM","NM",IF(EI1037&lt;=0,"NM",IF(EJ1037=0,"NM",IF(ABS(EJ1037/EI1037-1)&gt;2.5,"NM",IF((ABS(EJ1037-EI1037)=ABS(ABS(EJ1037)-ABS(EI1037))),(EJ1037/EI1037-1),"NM"))))))</f>
      </c>
      <c r="EK1043" s="2333" t="e">
        <f t="shared" si="2185"/>
      </c>
      <c r="EL1043" s="2333" t="e">
        <f t="shared" si="2185"/>
      </c>
      <c r="EM1043" s="2333" t="e">
        <f t="shared" si="2185"/>
      </c>
      <c r="EN1043" s="2333" t="e">
        <f t="shared" si="2185"/>
      </c>
      <c r="EO1043" s="2333"/>
      <c r="EP1043" s="2333"/>
      <c r="EQ1043" s="2333"/>
      <c r="ER1043" s="2333"/>
      <c r="ES1043" s="2333"/>
      <c r="ET1043" s="2333"/>
      <c r="EU1043" s="2333"/>
      <c r="EV1043" s="2333"/>
      <c r="EW1043" s="2333"/>
      <c r="EX1043" s="2333"/>
    </row>
    <row r="1044" spans="1:154" s="419" customFormat="1" hidden="1" outlineLevel="1">
      <c r="A1044" s="3275"/>
      <c r="B1044" s="420"/>
      <c r="C1044" s="2326"/>
      <c r="D1044" s="2327"/>
      <c r="E1044" s="2327"/>
      <c r="F1044" s="2327"/>
      <c r="G1044" s="2327"/>
      <c r="H1044" s="2327"/>
      <c r="I1044" s="417"/>
      <c r="J1044" s="2327"/>
      <c r="K1044" s="2327"/>
      <c r="L1044" s="2327"/>
      <c r="M1044" s="2327"/>
      <c r="N1044" s="417"/>
      <c r="O1044" s="417"/>
      <c r="P1044" s="417"/>
      <c r="Q1044" s="417"/>
      <c r="R1044" s="417"/>
      <c r="S1044" s="417"/>
      <c r="T1044" s="417"/>
      <c r="U1044" s="417"/>
      <c r="V1044" s="417"/>
      <c r="W1044" s="417"/>
      <c r="X1044" s="418"/>
      <c r="Y1044" s="417"/>
      <c r="Z1044" s="417"/>
      <c r="AA1044" s="417"/>
      <c r="AB1044" s="417"/>
      <c r="AC1044" s="418"/>
      <c r="AD1044" s="417"/>
      <c r="AE1044" s="417"/>
      <c r="AF1044" s="417"/>
      <c r="AG1044" s="417"/>
      <c r="AH1044" s="418"/>
      <c r="AI1044" s="2327"/>
      <c r="AJ1044" s="2327"/>
      <c r="AK1044" s="2327"/>
      <c r="AL1044" s="417"/>
      <c r="AM1044" s="418"/>
      <c r="AN1044" s="2327"/>
      <c r="AO1044" s="2327"/>
      <c r="AP1044" s="2327"/>
      <c r="AQ1044" s="2327"/>
      <c r="AR1044" s="418"/>
      <c r="AS1044" s="2327"/>
      <c r="AT1044" s="2327"/>
      <c r="AU1044" s="2327"/>
      <c r="AV1044" s="2327"/>
      <c r="AW1044" s="418"/>
      <c r="AX1044" s="2327"/>
      <c r="AY1044" s="2327"/>
      <c r="AZ1044" s="2327"/>
      <c r="BA1044" s="2327"/>
      <c r="BB1044" s="418"/>
      <c r="BC1044" s="2327"/>
      <c r="BD1044" s="2327"/>
      <c r="BE1044" s="2327"/>
      <c r="BF1044" s="2327"/>
      <c r="BG1044" s="418"/>
      <c r="BH1044" s="2327"/>
      <c r="BI1044" s="2327"/>
      <c r="BJ1044" s="2327"/>
      <c r="BK1044" s="2327"/>
      <c r="BL1044" s="418"/>
      <c r="BM1044" s="2327"/>
      <c r="BN1044" s="2327"/>
      <c r="BO1044" s="2327"/>
      <c r="BP1044" s="2327"/>
      <c r="BQ1044" s="418"/>
      <c r="BR1044" s="2327"/>
      <c r="BS1044" s="2327"/>
      <c r="BT1044" s="2327"/>
      <c r="BU1044" s="2327"/>
      <c r="BV1044" s="418"/>
      <c r="BW1044" s="2327"/>
      <c r="BX1044" s="2327"/>
      <c r="BY1044" s="2327"/>
      <c r="BZ1044" s="2327"/>
      <c r="CA1044" s="418"/>
      <c r="CB1044" s="2327"/>
      <c r="CC1044" s="2327"/>
      <c r="CD1044" s="2327"/>
      <c r="CE1044" s="2327"/>
      <c r="CF1044" s="418"/>
      <c r="CG1044" s="2327"/>
      <c r="CH1044" s="2327"/>
      <c r="CI1044" s="2327"/>
      <c r="CJ1044" s="2327"/>
      <c r="CK1044" s="418"/>
      <c r="CL1044" s="1008"/>
      <c r="CM1044" s="2327"/>
      <c r="CN1044" s="2327"/>
      <c r="CO1044" s="2327"/>
      <c r="CP1044" s="418"/>
      <c r="CQ1044" s="2327"/>
      <c r="CR1044" s="2327"/>
      <c r="CS1044" s="2327"/>
      <c r="CT1044" s="1009"/>
      <c r="CU1044" s="1003"/>
      <c r="CV1044" s="2327"/>
      <c r="CW1044" s="2327"/>
      <c r="CX1044" s="2327"/>
      <c r="CY1044" s="1009"/>
      <c r="CZ1044" s="1003"/>
      <c r="DA1044" s="1331"/>
      <c r="DB1044" s="417"/>
      <c r="DC1044" s="417"/>
      <c r="DD1044" s="1003"/>
      <c r="DE1044" s="1932"/>
      <c r="DF1044" s="1933"/>
      <c r="DG1044" s="2328"/>
      <c r="DH1044" s="2328"/>
      <c r="DI1044" s="1934"/>
      <c r="DJ1044" s="1932"/>
      <c r="DK1044" s="1799"/>
      <c r="DL1044" s="603"/>
      <c r="DM1044" s="603"/>
      <c r="DN1044" s="1798"/>
      <c r="DO1044" s="1932"/>
      <c r="DP1044" s="2328"/>
      <c r="DQ1044" s="2328"/>
      <c r="DR1044" s="2328"/>
      <c r="DS1044" s="2328"/>
      <c r="DT1044" s="1932"/>
      <c r="DU1044" s="2328"/>
      <c r="DV1044" s="2328"/>
      <c r="DW1044" s="2328"/>
      <c r="DX1044" s="1934"/>
      <c r="DY1044" s="1932"/>
      <c r="DZ1044" s="2328"/>
      <c r="EA1044" s="2328"/>
      <c r="EB1044" s="2328"/>
      <c r="EC1044" s="1934"/>
      <c r="ED1044" s="1932"/>
      <c r="EE1044" s="2328"/>
      <c r="EF1044" s="2328"/>
      <c r="EG1044" s="2328"/>
      <c r="EH1044" s="2328"/>
      <c r="EI1044" s="1933"/>
      <c r="EJ1044" s="1933"/>
      <c r="EK1044" s="1932"/>
      <c r="EL1044" s="1932"/>
      <c r="EM1044" s="1932"/>
      <c r="EN1044" s="1932"/>
      <c r="EO1044" s="1932"/>
      <c r="EP1044" s="1932"/>
      <c r="EQ1044" s="1932"/>
      <c r="ER1044" s="1932"/>
      <c r="ES1044" s="1932"/>
      <c r="ET1044" s="1932"/>
      <c r="EU1044" s="1932"/>
      <c r="EV1044" s="1932"/>
      <c r="EW1044" s="1932"/>
      <c r="EX1044" s="1932"/>
    </row>
    <row r="1045" spans="1:154" s="419" customFormat="1" hidden="1" outlineLevel="1">
      <c r="A1045" s="3275"/>
      <c r="B1045" s="425" t="s">
        <v>35</v>
      </c>
      <c r="C1045" s="2326" t="s">
        <v>473</v>
      </c>
      <c r="D1045" s="2066"/>
      <c r="E1045" s="2066"/>
      <c r="F1045" s="2066"/>
      <c r="G1045" s="2066"/>
      <c r="H1045" s="2066"/>
      <c r="I1045" s="424"/>
      <c r="J1045" s="2066"/>
      <c r="K1045" s="2066"/>
      <c r="L1045" s="2066"/>
      <c r="M1045" s="2066"/>
      <c r="N1045" s="424"/>
      <c r="O1045" s="424"/>
      <c r="P1045" s="424"/>
      <c r="Q1045" s="424"/>
      <c r="R1045" s="424"/>
      <c r="S1045" s="2066"/>
      <c r="T1045" s="417"/>
      <c r="U1045" s="417"/>
      <c r="V1045" s="417"/>
      <c r="W1045" s="417"/>
      <c r="X1045" s="2338"/>
      <c r="Y1045" s="417"/>
      <c r="Z1045" s="417"/>
      <c r="AA1045" s="417"/>
      <c r="AB1045" s="417"/>
      <c r="AC1045" s="2338"/>
      <c r="AD1045" s="417"/>
      <c r="AE1045" s="417"/>
      <c r="AF1045" s="417"/>
      <c r="AG1045" s="417"/>
      <c r="AH1045" s="2338"/>
      <c r="AI1045" s="2327"/>
      <c r="AJ1045" s="2327"/>
      <c r="AK1045" s="2327"/>
      <c r="AL1045" s="417"/>
      <c r="AM1045" s="2338"/>
      <c r="AN1045" s="2327"/>
      <c r="AO1045" s="2327"/>
      <c r="AP1045" s="2327"/>
      <c r="AQ1045" s="2327"/>
      <c r="AR1045" s="2338"/>
      <c r="AS1045" s="2327"/>
      <c r="AT1045" s="2329"/>
      <c r="AU1045" s="2327"/>
      <c r="AV1045" s="2327"/>
      <c r="AW1045" s="2338"/>
      <c r="AX1045" s="2329"/>
      <c r="AY1045" s="2329"/>
      <c r="AZ1045" s="2327"/>
      <c r="BA1045" s="2327"/>
      <c r="BB1045" s="2338"/>
      <c r="BC1045" s="2329"/>
      <c r="BD1045" s="2329"/>
      <c r="BE1045" s="2327"/>
      <c r="BF1045" s="2327"/>
      <c r="BG1045" s="2338"/>
      <c r="BH1045" s="2327"/>
      <c r="BI1045" s="2327"/>
      <c r="BJ1045" s="2327"/>
      <c r="BK1045" s="2327"/>
      <c r="BL1045" s="2338"/>
      <c r="BM1045" s="2327"/>
      <c r="BN1045" s="2327"/>
      <c r="BO1045" s="2327"/>
      <c r="BP1045" s="2327"/>
      <c r="BQ1045" s="2338"/>
      <c r="BR1045" s="2327"/>
      <c r="BS1045" s="2327"/>
      <c r="BT1045" s="2327"/>
      <c r="BU1045" s="2327"/>
      <c r="BV1045" s="2338"/>
      <c r="BW1045" s="2327"/>
      <c r="BX1045" s="2327"/>
      <c r="BY1045" s="2327"/>
      <c r="BZ1045" s="2327"/>
      <c r="CA1045" s="2338"/>
      <c r="CB1045" s="2327"/>
      <c r="CC1045" s="2327"/>
      <c r="CD1045" s="2327"/>
      <c r="CE1045" s="2327"/>
      <c r="CF1045" s="2338"/>
      <c r="CG1045" s="2327"/>
      <c r="CH1045" s="2327"/>
      <c r="CI1045" s="2327"/>
      <c r="CJ1045" s="2327"/>
      <c r="CK1045" s="2338"/>
      <c r="CL1045" s="1008"/>
      <c r="CM1045" s="2327"/>
      <c r="CN1045" s="2327"/>
      <c r="CO1045" s="2327"/>
      <c r="CP1045" s="2338"/>
      <c r="CQ1045" s="2327"/>
      <c r="CR1045" s="2327"/>
      <c r="CS1045" s="2327"/>
      <c r="CT1045" s="1009"/>
      <c r="CU1045" s="2339"/>
      <c r="CV1045" s="2327"/>
      <c r="CW1045" s="2327"/>
      <c r="CX1045" s="2327"/>
      <c r="CY1045" s="1009"/>
      <c r="CZ1045" s="2339"/>
      <c r="DA1045" s="2340"/>
      <c r="DB1045" s="2066"/>
      <c r="DC1045" s="2066"/>
      <c r="DD1045" s="2339"/>
      <c r="DE1045" s="2341"/>
      <c r="DF1045" s="2342"/>
      <c r="DG1045" s="2343"/>
      <c r="DH1045" s="2343"/>
      <c r="DI1045" s="2132"/>
      <c r="DJ1045" s="2341"/>
      <c r="DK1045" s="2344"/>
      <c r="DL1045" s="1045"/>
      <c r="DM1045" s="1045"/>
      <c r="DN1045" s="2051"/>
      <c r="DO1045" s="2341"/>
      <c r="DP1045" s="2343"/>
      <c r="DQ1045" s="2343"/>
      <c r="DR1045" s="2343"/>
      <c r="DS1045" s="2343"/>
      <c r="DT1045" s="2341"/>
      <c r="DU1045" s="2343"/>
      <c r="DV1045" s="2343"/>
      <c r="DW1045" s="2343"/>
      <c r="DX1045" s="2132"/>
      <c r="DY1045" s="2341"/>
      <c r="DZ1045" s="2343"/>
      <c r="EA1045" s="2343"/>
      <c r="EB1045" s="2343"/>
      <c r="EC1045" s="2132"/>
      <c r="ED1045" s="2341"/>
      <c r="EE1045" s="2343"/>
      <c r="EF1045" s="2343"/>
      <c r="EG1045" s="2343"/>
      <c r="EH1045" s="2343"/>
      <c r="EI1045" s="2342"/>
      <c r="EJ1045" s="2342"/>
      <c r="EK1045" s="2341"/>
      <c r="EL1045" s="2341"/>
      <c r="EM1045" s="2341"/>
      <c r="EN1045" s="2341"/>
      <c r="EO1045" s="2341"/>
      <c r="EP1045" s="2341"/>
      <c r="EQ1045" s="2341"/>
      <c r="ER1045" s="2341"/>
      <c r="ES1045" s="2341"/>
      <c r="ET1045" s="2341"/>
      <c r="EU1045" s="2341"/>
      <c r="EV1045" s="2341"/>
      <c r="EW1045" s="2341"/>
      <c r="EX1045" s="2341"/>
    </row>
    <row r="1046" spans="1:154" s="419" customFormat="1" hidden="1" outlineLevel="1">
      <c r="A1046" s="3275"/>
      <c r="B1046" s="426" t="s">
        <v>187</v>
      </c>
      <c r="C1046" s="2326"/>
      <c r="D1046" s="354"/>
      <c r="E1046" s="354"/>
      <c r="F1046" s="354"/>
      <c r="G1046" s="354"/>
      <c r="H1046" s="354"/>
      <c r="I1046" s="417"/>
      <c r="J1046" s="354"/>
      <c r="K1046" s="354"/>
      <c r="L1046" s="354"/>
      <c r="M1046" s="354"/>
      <c r="N1046" s="417"/>
      <c r="O1046" s="354"/>
      <c r="P1046" s="354"/>
      <c r="Q1046" s="354"/>
      <c r="R1046" s="354"/>
      <c r="S1046" s="417"/>
      <c r="T1046" s="354"/>
      <c r="U1046" s="354"/>
      <c r="V1046" s="354"/>
      <c r="W1046" s="354"/>
      <c r="X1046" s="418"/>
      <c r="Y1046" s="354"/>
      <c r="Z1046" s="354"/>
      <c r="AA1046" s="354"/>
      <c r="AB1046" s="354"/>
      <c r="AC1046" s="418"/>
      <c r="AD1046" s="354"/>
      <c r="AE1046" s="354"/>
      <c r="AF1046" s="354"/>
      <c r="AG1046" s="354"/>
      <c r="AH1046" s="418"/>
      <c r="AI1046" s="354"/>
      <c r="AJ1046" s="354"/>
      <c r="AK1046" s="354"/>
      <c r="AL1046" s="354"/>
      <c r="AM1046" s="418"/>
      <c r="AN1046" s="354">
        <f>+AN1048*0.72</f>
      </c>
      <c r="AO1046" s="354">
        <f>+AO1048*0.72</f>
      </c>
      <c r="AP1046" s="354">
        <f>+AP1048*0.72</f>
      </c>
      <c r="AQ1046" s="354">
        <f>+AQ1048*0.72</f>
      </c>
      <c r="AR1046" s="418">
        <f>+SUM(AN1046:AQ1046)</f>
      </c>
      <c r="AS1046" s="354">
        <f>+AS1048*0.7</f>
      </c>
      <c r="AT1046" s="354">
        <f>+AT1048*0.7</f>
      </c>
      <c r="AU1046" s="354">
        <f>+AU1048*0.7</f>
      </c>
      <c r="AV1046" s="354">
        <f>+AV1048*0.7</f>
      </c>
      <c r="AW1046" s="418">
        <f>+SUM(AS1046:AV1046)</f>
      </c>
      <c r="AX1046" s="354">
        <f>+AX1048*0.69</f>
      </c>
      <c r="AY1046" s="354">
        <f>+AY1048*0.69</f>
      </c>
      <c r="AZ1046" s="354">
        <f>+AZ1048*0.69</f>
      </c>
      <c r="BA1046" s="354">
        <f>+BA1048*0.69</f>
      </c>
      <c r="BB1046" s="418">
        <f>SUM(AX1046:BA1046)</f>
      </c>
      <c r="BC1046" s="354">
        <v>49</v>
      </c>
      <c r="BD1046" s="354">
        <v>72.819839999999999</v>
      </c>
      <c r="BE1046" s="2327">
        <f>+(1+BE1051)*AZ1046</f>
      </c>
      <c r="BF1046" s="2327">
        <f>+(1+BF1051)*BA1046</f>
      </c>
      <c r="BG1046" s="418">
        <f>SUM(BC1046:BF1046)</f>
      </c>
      <c r="BH1046" s="2327">
        <v>49</v>
      </c>
      <c r="BI1046" s="2327">
        <v>72.819839999999999</v>
      </c>
      <c r="BJ1046" s="354">
        <v>64.272133799999992</v>
      </c>
      <c r="BK1046" s="2327">
        <f>+(1+BK1051)*BF1046</f>
      </c>
      <c r="BL1046" s="418">
        <f>+BG1046*(1+BL1051)</f>
      </c>
      <c r="BM1046" s="2327">
        <f t="shared" ref="BM1046:BO1047" si="2186">+(1+BM1051)*BH1046</f>
      </c>
      <c r="BN1046" s="2327">
        <f t="shared" si="2186"/>
      </c>
      <c r="BO1046" s="2327">
        <f t="shared" si="2186"/>
      </c>
      <c r="BP1046" s="2327">
        <f>+BQ1046-SUM(BM1046:BO1046)</f>
      </c>
      <c r="BQ1046" s="418">
        <f>+BL1046*(1+BQ1051)</f>
      </c>
      <c r="BR1046" s="2327">
        <f t="shared" ref="BR1046:BT1047" si="2187">+(1+BR1051)*BM1046</f>
      </c>
      <c r="BS1046" s="2327">
        <f t="shared" si="2187"/>
      </c>
      <c r="BT1046" s="2327">
        <f t="shared" si="2187"/>
      </c>
      <c r="BU1046" s="2327">
        <f>+BV1046-SUM(BR1046:BT1046)</f>
      </c>
      <c r="BV1046" s="418">
        <f>+BQ1046*(1+BV1051)</f>
      </c>
      <c r="BW1046" s="2327">
        <f t="shared" ref="BW1046:BZ1047" si="2188">+(1+BW1051)*BR1046</f>
      </c>
      <c r="BX1046" s="2327">
        <f t="shared" si="2188"/>
      </c>
      <c r="BY1046" s="2327">
        <f t="shared" si="2188"/>
      </c>
      <c r="BZ1046" s="2327">
        <f t="shared" si="2188"/>
      </c>
      <c r="CA1046" s="418">
        <f>SUM(BW1046:BZ1046)</f>
      </c>
      <c r="CB1046" s="2327">
        <f t="shared" ref="CB1046:CE1047" si="2189">+(1+CB1051)*BW1046</f>
      </c>
      <c r="CC1046" s="2327">
        <f t="shared" si="2189"/>
      </c>
      <c r="CD1046" s="2327">
        <f t="shared" si="2189"/>
      </c>
      <c r="CE1046" s="2327">
        <f t="shared" si="2189"/>
      </c>
      <c r="CF1046" s="418">
        <f>SUM(CB1046:CE1046)</f>
      </c>
      <c r="CG1046" s="2327">
        <f t="shared" ref="CG1046:CJ1047" si="2190">+(1+CG1051)*CB1046</f>
      </c>
      <c r="CH1046" s="2327">
        <f t="shared" si="2190"/>
      </c>
      <c r="CI1046" s="2327">
        <f t="shared" si="2190"/>
      </c>
      <c r="CJ1046" s="2327">
        <f t="shared" si="2190"/>
      </c>
      <c r="CK1046" s="418">
        <f>SUM(CG1046:CJ1046)</f>
      </c>
      <c r="CL1046" s="1008">
        <f t="shared" ref="CL1046:CO1047" si="2191">+(1+CL1051)*CG1046</f>
      </c>
      <c r="CM1046" s="2327">
        <f t="shared" si="2191"/>
      </c>
      <c r="CN1046" s="2327">
        <f t="shared" si="2191"/>
      </c>
      <c r="CO1046" s="2327">
        <f t="shared" si="2191"/>
      </c>
      <c r="CP1046" s="418">
        <f>+CK1046*(1+CP1051)</f>
      </c>
      <c r="CQ1046" s="2327">
        <f t="shared" ref="CQ1046:CT1047" si="2192">+(1+CQ1051)*CL1046</f>
      </c>
      <c r="CR1046" s="2327">
        <f t="shared" si="2192"/>
      </c>
      <c r="CS1046" s="2327">
        <f t="shared" si="2192"/>
      </c>
      <c r="CT1046" s="1009">
        <f t="shared" si="2192"/>
      </c>
      <c r="CU1046" s="1003">
        <f>+CP1046*(1+CU1051)</f>
      </c>
      <c r="CV1046" s="2327">
        <f t="shared" ref="CV1046:CY1047" si="2193">+(1+CV1051)*CQ1046</f>
      </c>
      <c r="CW1046" s="2327">
        <f t="shared" si="2193"/>
      </c>
      <c r="CX1046" s="2327">
        <f t="shared" si="2193"/>
      </c>
      <c r="CY1046" s="1009">
        <f t="shared" si="2193"/>
      </c>
      <c r="CZ1046" s="1003">
        <f>+CU1046*(1+CZ1051)</f>
      </c>
      <c r="DA1046" s="1331">
        <f t="shared" ref="DA1046:DC1047" si="2194">+(1+DA1051)*CV1046</f>
      </c>
      <c r="DB1046" s="417">
        <f t="shared" si="2194"/>
      </c>
      <c r="DC1046" s="417">
        <f t="shared" si="2194"/>
      </c>
      <c r="DD1046" s="1003">
        <f>+DE1046-SUM(DA1046:DC1046)</f>
      </c>
      <c r="DE1046" s="1932">
        <f>+CZ1046*(1+DE1051)</f>
      </c>
      <c r="DF1046" s="1933"/>
      <c r="DG1046" s="2328"/>
      <c r="DH1046" s="2328"/>
      <c r="DI1046" s="1934"/>
      <c r="DJ1046" s="1932">
        <f>+DE1046*(1+DJ1051)</f>
      </c>
      <c r="DK1046" s="1799"/>
      <c r="DL1046" s="603"/>
      <c r="DM1046" s="603"/>
      <c r="DN1046" s="1798"/>
      <c r="DO1046" s="1932">
        <f>+DJ1046*(1+DO1051)</f>
      </c>
      <c r="DP1046" s="2328"/>
      <c r="DQ1046" s="2328"/>
      <c r="DR1046" s="2328"/>
      <c r="DS1046" s="2328"/>
      <c r="DT1046" s="1932">
        <f>+DO1046*(1+DT1051)</f>
      </c>
      <c r="DU1046" s="2328">
        <f>+DP1046*(1+DU1051)</f>
      </c>
      <c r="DV1046" s="2328"/>
      <c r="DW1046" s="2328"/>
      <c r="DX1046" s="1934"/>
      <c r="DY1046" s="1932">
        <f>+DT1046*(1+DY1051)</f>
      </c>
      <c r="DZ1046" s="2328"/>
      <c r="EA1046" s="2328"/>
      <c r="EB1046" s="2328"/>
      <c r="EC1046" s="1934"/>
      <c r="ED1046" s="1932">
        <f>+DY1046*(1+ED1051)</f>
      </c>
      <c r="EE1046" s="2328"/>
      <c r="EF1046" s="2328"/>
      <c r="EG1046" s="2328"/>
      <c r="EH1046" s="2328"/>
      <c r="EI1046" s="1933">
        <f>+ED1046*(1+EI1051)</f>
      </c>
      <c r="EJ1046" s="1933">
        <f t="shared" ref="EJ1046:EN1047" si="2195">+EI1046*(1+EJ1051)</f>
      </c>
      <c r="EK1046" s="1932">
        <f t="shared" si="2195"/>
      </c>
      <c r="EL1046" s="1932">
        <f t="shared" si="2195"/>
      </c>
      <c r="EM1046" s="1932">
        <f t="shared" si="2195"/>
      </c>
      <c r="EN1046" s="1932">
        <f t="shared" si="2195"/>
      </c>
      <c r="EO1046" s="1932"/>
      <c r="EP1046" s="1932"/>
      <c r="EQ1046" s="1932"/>
      <c r="ER1046" s="1932"/>
      <c r="ES1046" s="1932"/>
      <c r="ET1046" s="1932"/>
      <c r="EU1046" s="1932"/>
      <c r="EV1046" s="1932"/>
      <c r="EW1046" s="1932"/>
      <c r="EX1046" s="1932"/>
    </row>
    <row r="1047" spans="1:154" s="419" customFormat="1" hidden="1" outlineLevel="1">
      <c r="A1047" s="3275"/>
      <c r="B1047" s="426" t="s">
        <v>412</v>
      </c>
      <c r="C1047" s="2326"/>
      <c r="D1047" s="354"/>
      <c r="E1047" s="354"/>
      <c r="F1047" s="354"/>
      <c r="G1047" s="354"/>
      <c r="H1047" s="354"/>
      <c r="I1047" s="417"/>
      <c r="J1047" s="354"/>
      <c r="K1047" s="354"/>
      <c r="L1047" s="354"/>
      <c r="M1047" s="354"/>
      <c r="N1047" s="417"/>
      <c r="O1047" s="354"/>
      <c r="P1047" s="354"/>
      <c r="Q1047" s="354"/>
      <c r="R1047" s="354"/>
      <c r="S1047" s="417"/>
      <c r="T1047" s="354"/>
      <c r="U1047" s="354"/>
      <c r="V1047" s="354"/>
      <c r="W1047" s="354"/>
      <c r="X1047" s="418"/>
      <c r="Y1047" s="354"/>
      <c r="Z1047" s="354"/>
      <c r="AA1047" s="354"/>
      <c r="AB1047" s="354"/>
      <c r="AC1047" s="418"/>
      <c r="AD1047" s="354"/>
      <c r="AE1047" s="354"/>
      <c r="AF1047" s="354"/>
      <c r="AG1047" s="354"/>
      <c r="AH1047" s="418"/>
      <c r="AI1047" s="354"/>
      <c r="AJ1047" s="354"/>
      <c r="AK1047" s="354"/>
      <c r="AL1047" s="354"/>
      <c r="AM1047" s="418"/>
      <c r="AN1047" s="354">
        <f>+AN1048-AN1046</f>
      </c>
      <c r="AO1047" s="354">
        <f>+AO1048-AO1046</f>
      </c>
      <c r="AP1047" s="354">
        <f>+AP1048-AP1046</f>
      </c>
      <c r="AQ1047" s="354">
        <f>+AQ1048-AQ1046</f>
      </c>
      <c r="AR1047" s="418">
        <f>+SUM(AN1047:AQ1047)</f>
      </c>
      <c r="AS1047" s="354">
        <f>+AS1048-AS1046</f>
      </c>
      <c r="AT1047" s="354">
        <f>+AT1048-AT1046</f>
      </c>
      <c r="AU1047" s="354">
        <f>+AU1048-AU1046</f>
      </c>
      <c r="AV1047" s="354">
        <f>+AV1048-AV1046</f>
      </c>
      <c r="AW1047" s="418">
        <f>+SUM(AS1047:AV1047)</f>
      </c>
      <c r="AX1047" s="354">
        <f>+AX1048-AX1046</f>
      </c>
      <c r="AY1047" s="354">
        <f>+AY1048-AY1046</f>
      </c>
      <c r="AZ1047" s="354">
        <f>+AZ1048-AZ1046</f>
      </c>
      <c r="BA1047" s="354">
        <f>+BA1048-BA1046</f>
      </c>
      <c r="BB1047" s="418">
        <f>SUM(AX1047:BA1047)</f>
      </c>
      <c r="BC1047" s="354">
        <v>13</v>
      </c>
      <c r="BD1047" s="354">
        <v>32.716160000000002</v>
      </c>
      <c r="BE1047" s="2327">
        <f>+(1+BE1052)*AZ1047</f>
      </c>
      <c r="BF1047" s="2327">
        <f>+(1+BF1052)*BA1047</f>
      </c>
      <c r="BG1047" s="418">
        <f>SUM(BC1047:BF1047)</f>
      </c>
      <c r="BH1047" s="2327">
        <v>13</v>
      </c>
      <c r="BI1047" s="2327">
        <v>32.716160000000002</v>
      </c>
      <c r="BJ1047" s="354">
        <v>29.535796452624009</v>
      </c>
      <c r="BK1047" s="2327">
        <f>+(1+BK1052)*BF1047</f>
      </c>
      <c r="BL1047" s="418">
        <f>+BG1047*(1+BL1052)</f>
      </c>
      <c r="BM1047" s="2327">
        <f t="shared" si="2186"/>
      </c>
      <c r="BN1047" s="2327">
        <f t="shared" si="2186"/>
      </c>
      <c r="BO1047" s="2327">
        <f t="shared" si="2186"/>
      </c>
      <c r="BP1047" s="2327">
        <f>+BQ1047-SUM(BM1047:BO1047)</f>
      </c>
      <c r="BQ1047" s="418">
        <f>+BL1047*(1+BQ1052)</f>
      </c>
      <c r="BR1047" s="2327">
        <f t="shared" si="2187"/>
      </c>
      <c r="BS1047" s="2327">
        <f t="shared" si="2187"/>
      </c>
      <c r="BT1047" s="2327">
        <f t="shared" si="2187"/>
      </c>
      <c r="BU1047" s="2327">
        <f>+BV1047-SUM(BR1047:BT1047)</f>
      </c>
      <c r="BV1047" s="418">
        <f>+BQ1047*(1+BV1052)</f>
      </c>
      <c r="BW1047" s="2327">
        <f t="shared" si="2188"/>
      </c>
      <c r="BX1047" s="2327">
        <f t="shared" si="2188"/>
      </c>
      <c r="BY1047" s="2327">
        <f t="shared" si="2188"/>
      </c>
      <c r="BZ1047" s="2327">
        <f t="shared" si="2188"/>
      </c>
      <c r="CA1047" s="418">
        <f>SUM(BW1047:BZ1047)</f>
      </c>
      <c r="CB1047" s="2327">
        <f t="shared" si="2189"/>
      </c>
      <c r="CC1047" s="2327">
        <f t="shared" si="2189"/>
      </c>
      <c r="CD1047" s="2327">
        <f t="shared" si="2189"/>
      </c>
      <c r="CE1047" s="2327">
        <f t="shared" si="2189"/>
      </c>
      <c r="CF1047" s="418">
        <f>SUM(CB1047:CE1047)</f>
      </c>
      <c r="CG1047" s="2327">
        <f t="shared" si="2190"/>
      </c>
      <c r="CH1047" s="2327">
        <f t="shared" si="2190"/>
      </c>
      <c r="CI1047" s="2327">
        <f t="shared" si="2190"/>
      </c>
      <c r="CJ1047" s="2327">
        <f t="shared" si="2190"/>
      </c>
      <c r="CK1047" s="418">
        <f>SUM(CG1047:CJ1047)</f>
      </c>
      <c r="CL1047" s="1008">
        <f t="shared" si="2191"/>
      </c>
      <c r="CM1047" s="2327">
        <f t="shared" si="2191"/>
      </c>
      <c r="CN1047" s="2327">
        <f t="shared" si="2191"/>
      </c>
      <c r="CO1047" s="2327">
        <f t="shared" si="2191"/>
      </c>
      <c r="CP1047" s="418">
        <f>+CK1047*(1+CP1052)</f>
      </c>
      <c r="CQ1047" s="2327">
        <f t="shared" si="2192"/>
      </c>
      <c r="CR1047" s="2327">
        <f t="shared" si="2192"/>
      </c>
      <c r="CS1047" s="2327">
        <f t="shared" si="2192"/>
      </c>
      <c r="CT1047" s="1009">
        <f t="shared" si="2192"/>
      </c>
      <c r="CU1047" s="1003">
        <f>+CP1047*(1+CU1052)</f>
      </c>
      <c r="CV1047" s="2327">
        <f t="shared" si="2193"/>
      </c>
      <c r="CW1047" s="2327">
        <f t="shared" si="2193"/>
      </c>
      <c r="CX1047" s="2327">
        <f t="shared" si="2193"/>
      </c>
      <c r="CY1047" s="1009">
        <f t="shared" si="2193"/>
      </c>
      <c r="CZ1047" s="1003">
        <f>+CU1047*(1+CZ1052)</f>
      </c>
      <c r="DA1047" s="1332">
        <f t="shared" si="2194"/>
      </c>
      <c r="DB1047" s="1359">
        <f t="shared" si="2194"/>
      </c>
      <c r="DC1047" s="1359">
        <f t="shared" si="2194"/>
      </c>
      <c r="DD1047" s="1349">
        <f>+DE1047-SUM(DA1047:DC1047)</f>
      </c>
      <c r="DE1047" s="1932">
        <f>+CZ1047*(1+DE1052)</f>
      </c>
      <c r="DF1047" s="1332"/>
      <c r="DG1047" s="1359"/>
      <c r="DH1047" s="1359"/>
      <c r="DI1047" s="1349"/>
      <c r="DJ1047" s="1932">
        <f>+DE1047*(1+DJ1052)</f>
      </c>
      <c r="DK1047" s="1015"/>
      <c r="DL1047" s="895"/>
      <c r="DM1047" s="895"/>
      <c r="DN1047" s="915"/>
      <c r="DO1047" s="1932">
        <f>+DJ1047*(1+DO1052)</f>
      </c>
      <c r="DP1047" s="1359"/>
      <c r="DQ1047" s="1359"/>
      <c r="DR1047" s="1359"/>
      <c r="DS1047" s="1359"/>
      <c r="DT1047" s="1932">
        <f>+DO1047*(1+DT1052)</f>
      </c>
      <c r="DU1047" s="1359">
        <f>+DP1047*(1+DU1052)</f>
      </c>
      <c r="DV1047" s="1359"/>
      <c r="DW1047" s="1359"/>
      <c r="DX1047" s="1349"/>
      <c r="DY1047" s="1932" t="e">
        <f>+DT1047*(1+DY1052)</f>
      </c>
      <c r="DZ1047" s="1359"/>
      <c r="EA1047" s="1359"/>
      <c r="EB1047" s="1359"/>
      <c r="EC1047" s="1349"/>
      <c r="ED1047" s="1932" t="e">
        <f>+DY1047*(1+ED1052)</f>
      </c>
      <c r="EE1047" s="1359"/>
      <c r="EF1047" s="1359"/>
      <c r="EG1047" s="2328"/>
      <c r="EH1047" s="1359"/>
      <c r="EI1047" s="1933" t="e">
        <f>+ED1047*(1+EI1052)</f>
      </c>
      <c r="EJ1047" s="1933" t="e">
        <f t="shared" si="2195"/>
      </c>
      <c r="EK1047" s="1932" t="e">
        <f t="shared" si="2195"/>
      </c>
      <c r="EL1047" s="1932" t="e">
        <f t="shared" si="2195"/>
      </c>
      <c r="EM1047" s="1932" t="e">
        <f t="shared" si="2195"/>
      </c>
      <c r="EN1047" s="1932" t="e">
        <f t="shared" si="2195"/>
      </c>
      <c r="EO1047" s="1932"/>
      <c r="EP1047" s="1932"/>
      <c r="EQ1047" s="1932"/>
      <c r="ER1047" s="1932"/>
      <c r="ES1047" s="1932"/>
      <c r="ET1047" s="1932"/>
      <c r="EU1047" s="1932"/>
      <c r="EV1047" s="1932"/>
      <c r="EW1047" s="1932"/>
      <c r="EX1047" s="1932"/>
    </row>
    <row r="1048" spans="1:154" s="419" customFormat="1" hidden="1" outlineLevel="1">
      <c r="A1048" s="3275"/>
      <c r="B1048" s="426" t="s">
        <v>413</v>
      </c>
      <c r="C1048" s="2326"/>
      <c r="D1048" s="2327"/>
      <c r="E1048" s="2327"/>
      <c r="F1048" s="2327"/>
      <c r="G1048" s="2327"/>
      <c r="H1048" s="2327"/>
      <c r="I1048" s="417"/>
      <c r="J1048" s="2327"/>
      <c r="K1048" s="2327"/>
      <c r="L1048" s="2327"/>
      <c r="M1048" s="2327"/>
      <c r="N1048" s="417"/>
      <c r="O1048" s="417"/>
      <c r="P1048" s="417"/>
      <c r="Q1048" s="417"/>
      <c r="R1048" s="417"/>
      <c r="S1048" s="417"/>
      <c r="T1048" s="417"/>
      <c r="U1048" s="417"/>
      <c r="V1048" s="417"/>
      <c r="W1048" s="417"/>
      <c r="X1048" s="418"/>
      <c r="Y1048" s="417"/>
      <c r="Z1048" s="417"/>
      <c r="AA1048" s="417"/>
      <c r="AB1048" s="417"/>
      <c r="AC1048" s="418"/>
      <c r="AD1048" s="417"/>
      <c r="AE1048" s="417"/>
      <c r="AF1048" s="417"/>
      <c r="AG1048" s="417"/>
      <c r="AH1048" s="418"/>
      <c r="AI1048" s="2327"/>
      <c r="AJ1048" s="2327"/>
      <c r="AK1048" s="2327"/>
      <c r="AL1048" s="417"/>
      <c r="AM1048" s="418"/>
      <c r="AN1048" s="354">
        <v>72.402000000000001</v>
      </c>
      <c r="AO1048" s="354">
        <v>79.436999999999998</v>
      </c>
      <c r="AP1048" s="354">
        <v>66.908000000000001</v>
      </c>
      <c r="AQ1048" s="354">
        <v>75.308999999999997</v>
      </c>
      <c r="AR1048" s="418">
        <f>+SUM(AN1048:AQ1048)</f>
      </c>
      <c r="AS1048" s="354">
        <v>80.319999999999993</v>
      </c>
      <c r="AT1048" s="354">
        <v>95.563999999999993</v>
      </c>
      <c r="AU1048" s="354">
        <v>85.39</v>
      </c>
      <c r="AV1048" s="354">
        <v>92.86</v>
      </c>
      <c r="AW1048" s="418">
        <f>+SUM(AS1048:AV1048)</f>
      </c>
      <c r="AX1048" s="354">
        <v>99.394000000000005</v>
      </c>
      <c r="AY1048" s="354">
        <v>105.536</v>
      </c>
      <c r="AZ1048" s="354">
        <v>84.488</v>
      </c>
      <c r="BA1048" s="354">
        <v>86.723346899999996</v>
      </c>
      <c r="BB1048" s="418">
        <f>+BB1046+BB1047</f>
      </c>
      <c r="BC1048" s="2327">
        <f>+BC1046+BC1047</f>
      </c>
      <c r="BD1048" s="2327">
        <f>+BD1046+BD1047</f>
      </c>
      <c r="BE1048" s="2327">
        <f t="shared" ref="BE1048:BZ1048" si="2196">+BE1046+BE1047</f>
      </c>
      <c r="BF1048" s="2327">
        <f t="shared" si="2196"/>
      </c>
      <c r="BG1048" s="418">
        <f t="shared" si="2196"/>
      </c>
      <c r="BH1048" s="2327">
        <f t="shared" si="2196"/>
      </c>
      <c r="BI1048" s="2327">
        <f t="shared" si="2196"/>
      </c>
      <c r="BJ1048" s="2327">
        <f t="shared" si="2196"/>
      </c>
      <c r="BK1048" s="2327">
        <f t="shared" si="2196"/>
      </c>
      <c r="BL1048" s="418">
        <f t="shared" si="2196"/>
      </c>
      <c r="BM1048" s="2327">
        <f t="shared" si="2196"/>
      </c>
      <c r="BN1048" s="2327">
        <f t="shared" si="2196"/>
      </c>
      <c r="BO1048" s="2327">
        <f t="shared" si="2196"/>
      </c>
      <c r="BP1048" s="2327">
        <f t="shared" si="2196"/>
      </c>
      <c r="BQ1048" s="418">
        <f t="shared" si="2196"/>
      </c>
      <c r="BR1048" s="2327">
        <f t="shared" si="2196"/>
      </c>
      <c r="BS1048" s="2327">
        <f t="shared" si="2196"/>
      </c>
      <c r="BT1048" s="2327">
        <f t="shared" si="2196"/>
      </c>
      <c r="BU1048" s="2327">
        <f t="shared" si="2196"/>
      </c>
      <c r="BV1048" s="418">
        <f t="shared" si="2196"/>
      </c>
      <c r="BW1048" s="2327">
        <f t="shared" si="2196"/>
      </c>
      <c r="BX1048" s="2327">
        <f t="shared" si="2196"/>
      </c>
      <c r="BY1048" s="2327">
        <f t="shared" si="2196"/>
      </c>
      <c r="BZ1048" s="2327">
        <f t="shared" si="2196"/>
      </c>
      <c r="CA1048" s="418">
        <f>SUM(BW1048:BZ1048)</f>
      </c>
      <c r="CB1048" s="2327">
        <f t="shared" ref="CB1048:CX1048" si="2197">+CB1046+CB1047</f>
      </c>
      <c r="CC1048" s="2327">
        <f t="shared" si="2197"/>
      </c>
      <c r="CD1048" s="2327">
        <f t="shared" si="2197"/>
      </c>
      <c r="CE1048" s="2327">
        <f t="shared" si="2197"/>
      </c>
      <c r="CF1048" s="418">
        <f t="shared" si="2197"/>
      </c>
      <c r="CG1048" s="2327">
        <f t="shared" si="2197"/>
      </c>
      <c r="CH1048" s="2327">
        <f t="shared" si="2197"/>
      </c>
      <c r="CI1048" s="2327">
        <f t="shared" si="2197"/>
      </c>
      <c r="CJ1048" s="2327">
        <f t="shared" si="2197"/>
      </c>
      <c r="CK1048" s="418">
        <f t="shared" si="2197"/>
      </c>
      <c r="CL1048" s="1008">
        <f t="shared" si="2197"/>
      </c>
      <c r="CM1048" s="2327">
        <f t="shared" si="2197"/>
      </c>
      <c r="CN1048" s="2327">
        <f t="shared" si="2197"/>
      </c>
      <c r="CO1048" s="2327">
        <f t="shared" si="2197"/>
      </c>
      <c r="CP1048" s="418">
        <f t="shared" si="2197"/>
      </c>
      <c r="CQ1048" s="2327">
        <f t="shared" si="2197"/>
      </c>
      <c r="CR1048" s="2327">
        <f t="shared" si="2197"/>
      </c>
      <c r="CS1048" s="2327">
        <f t="shared" si="2197"/>
      </c>
      <c r="CT1048" s="1009">
        <f t="shared" si="2197"/>
      </c>
      <c r="CU1048" s="1003">
        <f t="shared" si="2197"/>
      </c>
      <c r="CV1048" s="2327">
        <f>+CV1046+CV1047</f>
      </c>
      <c r="CW1048" s="2327">
        <f t="shared" si="2197"/>
      </c>
      <c r="CX1048" s="2327">
        <f t="shared" si="2197"/>
      </c>
      <c r="CY1048" s="1009">
        <f>+CY1046+CY1047</f>
      </c>
      <c r="CZ1048" s="1003">
        <f>+CZ1046+CZ1047</f>
      </c>
      <c r="DA1048" s="1331">
        <f>SUM(DA1046:DA1047)</f>
      </c>
      <c r="DB1048" s="417">
        <f>SUM(DB1046:DB1047)</f>
      </c>
      <c r="DC1048" s="417">
        <f>SUM(DC1046:DC1047)</f>
      </c>
      <c r="DD1048" s="1003">
        <f>+DD1046+DD1047</f>
      </c>
      <c r="DE1048" s="1932">
        <f>+DE1046+DE1047</f>
      </c>
      <c r="DF1048" s="1933"/>
      <c r="DG1048" s="2328"/>
      <c r="DH1048" s="2328"/>
      <c r="DI1048" s="1934"/>
      <c r="DJ1048" s="1932">
        <f>+DJ1046+DJ1047</f>
      </c>
      <c r="DK1048" s="1799"/>
      <c r="DL1048" s="603"/>
      <c r="DM1048" s="603"/>
      <c r="DN1048" s="1798"/>
      <c r="DO1048" s="1932">
        <f>+DO1046+DO1047</f>
      </c>
      <c r="DP1048" s="2328"/>
      <c r="DQ1048" s="2328"/>
      <c r="DR1048" s="2328"/>
      <c r="DS1048" s="2328"/>
      <c r="DT1048" s="1932">
        <f>+DT1046+DT1047</f>
      </c>
      <c r="DU1048" s="2328">
        <f>+DU1046+DU1047</f>
      </c>
      <c r="DV1048" s="2328"/>
      <c r="DW1048" s="2328"/>
      <c r="DX1048" s="1934"/>
      <c r="DY1048" s="1932" t="e">
        <f>+DY1046+DY1047</f>
      </c>
      <c r="DZ1048" s="2328"/>
      <c r="EA1048" s="2328"/>
      <c r="EB1048" s="2328"/>
      <c r="EC1048" s="1934"/>
      <c r="ED1048" s="1932" t="e">
        <f>+ED1046+ED1047</f>
      </c>
      <c r="EE1048" s="2328"/>
      <c r="EF1048" s="2328"/>
      <c r="EG1048" s="2328"/>
      <c r="EH1048" s="2328"/>
      <c r="EI1048" s="1933" t="e">
        <f t="shared" ref="EI1048:EM1048" si="2198">+EI1046+EI1047</f>
      </c>
      <c r="EJ1048" s="1933" t="e">
        <f t="shared" si="2198"/>
      </c>
      <c r="EK1048" s="1932" t="e">
        <f t="shared" si="2198"/>
      </c>
      <c r="EL1048" s="1932" t="e">
        <f t="shared" si="2198"/>
      </c>
      <c r="EM1048" s="1932" t="e">
        <f t="shared" si="2198"/>
      </c>
      <c r="EN1048" s="1932" t="e">
        <f>+EN1046+EN1047</f>
      </c>
      <c r="EO1048" s="1932"/>
      <c r="EP1048" s="1932"/>
      <c r="EQ1048" s="1932"/>
      <c r="ER1048" s="1932"/>
      <c r="ES1048" s="1932"/>
      <c r="ET1048" s="1932"/>
      <c r="EU1048" s="1932"/>
      <c r="EV1048" s="1932"/>
      <c r="EW1048" s="1932"/>
      <c r="EX1048" s="1932"/>
    </row>
    <row r="1049" spans="1:154" s="419" customFormat="1" hidden="1" outlineLevel="1">
      <c r="A1049" s="3275"/>
      <c r="B1049" s="420"/>
      <c r="C1049" s="2326"/>
      <c r="D1049" s="2327"/>
      <c r="E1049" s="2327"/>
      <c r="F1049" s="2327"/>
      <c r="G1049" s="2327"/>
      <c r="H1049" s="2327"/>
      <c r="I1049" s="417"/>
      <c r="J1049" s="2327"/>
      <c r="K1049" s="2327"/>
      <c r="L1049" s="2327"/>
      <c r="M1049" s="2327"/>
      <c r="N1049" s="417"/>
      <c r="O1049" s="417"/>
      <c r="P1049" s="417"/>
      <c r="Q1049" s="417"/>
      <c r="R1049" s="417"/>
      <c r="S1049" s="417"/>
      <c r="T1049" s="417"/>
      <c r="U1049" s="417"/>
      <c r="V1049" s="417"/>
      <c r="W1049" s="417"/>
      <c r="X1049" s="418"/>
      <c r="Y1049" s="417"/>
      <c r="Z1049" s="417"/>
      <c r="AA1049" s="417"/>
      <c r="AB1049" s="417"/>
      <c r="AC1049" s="418"/>
      <c r="AD1049" s="417"/>
      <c r="AE1049" s="417"/>
      <c r="AF1049" s="417"/>
      <c r="AG1049" s="417"/>
      <c r="AH1049" s="418"/>
      <c r="AI1049" s="2327"/>
      <c r="AJ1049" s="2327"/>
      <c r="AK1049" s="2327"/>
      <c r="AL1049" s="417"/>
      <c r="AM1049" s="418"/>
      <c r="AN1049" s="2327"/>
      <c r="AO1049" s="2327"/>
      <c r="AP1049" s="2327"/>
      <c r="AQ1049" s="2327"/>
      <c r="AR1049" s="418"/>
      <c r="AS1049" s="2327"/>
      <c r="AT1049" s="2327"/>
      <c r="AU1049" s="2327"/>
      <c r="AV1049" s="2327"/>
      <c r="AW1049" s="418"/>
      <c r="AX1049" s="2327"/>
      <c r="AY1049" s="2327"/>
      <c r="AZ1049" s="2327"/>
      <c r="BA1049" s="2327"/>
      <c r="BB1049" s="418"/>
      <c r="BC1049" s="2327"/>
      <c r="BD1049" s="2327"/>
      <c r="BE1049" s="2327"/>
      <c r="BF1049" s="2327"/>
      <c r="BG1049" s="418"/>
      <c r="BH1049" s="2327"/>
      <c r="BI1049" s="2327"/>
      <c r="BJ1049" s="2327"/>
      <c r="BK1049" s="2327"/>
      <c r="BL1049" s="418"/>
      <c r="BM1049" s="2327"/>
      <c r="BN1049" s="2327"/>
      <c r="BO1049" s="2327"/>
      <c r="BP1049" s="2327"/>
      <c r="BQ1049" s="418"/>
      <c r="BR1049" s="2327"/>
      <c r="BS1049" s="2327"/>
      <c r="BT1049" s="2327"/>
      <c r="BU1049" s="2327"/>
      <c r="BV1049" s="418"/>
      <c r="BW1049" s="2327"/>
      <c r="BX1049" s="2327"/>
      <c r="BY1049" s="2327"/>
      <c r="BZ1049" s="2327"/>
      <c r="CA1049" s="418"/>
      <c r="CB1049" s="2327"/>
      <c r="CC1049" s="2327"/>
      <c r="CD1049" s="2327"/>
      <c r="CE1049" s="2327"/>
      <c r="CF1049" s="418"/>
      <c r="CG1049" s="2327"/>
      <c r="CH1049" s="2327"/>
      <c r="CI1049" s="2327"/>
      <c r="CJ1049" s="2327"/>
      <c r="CK1049" s="418"/>
      <c r="CL1049" s="1008"/>
      <c r="CM1049" s="2327"/>
      <c r="CN1049" s="2327"/>
      <c r="CO1049" s="2327"/>
      <c r="CP1049" s="418"/>
      <c r="CQ1049" s="2327"/>
      <c r="CR1049" s="2327"/>
      <c r="CS1049" s="2327"/>
      <c r="CT1049" s="1009"/>
      <c r="CU1049" s="1003"/>
      <c r="CV1049" s="2327"/>
      <c r="CW1049" s="2327"/>
      <c r="CX1049" s="2327"/>
      <c r="CY1049" s="1009"/>
      <c r="CZ1049" s="1003"/>
      <c r="DA1049" s="1008"/>
      <c r="DB1049" s="2327"/>
      <c r="DC1049" s="2327"/>
      <c r="DD1049" s="1009"/>
      <c r="DE1049" s="1932"/>
      <c r="DF1049" s="2330"/>
      <c r="DG1049" s="2331"/>
      <c r="DH1049" s="2331"/>
      <c r="DI1049" s="2131"/>
      <c r="DJ1049" s="1932"/>
      <c r="DK1049" s="981"/>
      <c r="DL1049" s="982"/>
      <c r="DM1049" s="982"/>
      <c r="DN1049" s="1875"/>
      <c r="DO1049" s="1932"/>
      <c r="DP1049" s="2331"/>
      <c r="DQ1049" s="2331"/>
      <c r="DR1049" s="2331"/>
      <c r="DS1049" s="2331"/>
      <c r="DT1049" s="1932"/>
      <c r="DU1049" s="2331"/>
      <c r="DV1049" s="2331"/>
      <c r="DW1049" s="2331"/>
      <c r="DX1049" s="2131"/>
      <c r="DY1049" s="1932"/>
      <c r="DZ1049" s="2331"/>
      <c r="EA1049" s="2331"/>
      <c r="EB1049" s="2331"/>
      <c r="EC1049" s="2131"/>
      <c r="ED1049" s="1932"/>
      <c r="EE1049" s="2331"/>
      <c r="EF1049" s="2331"/>
      <c r="EG1049" s="2328"/>
      <c r="EH1049" s="2331"/>
      <c r="EI1049" s="1933"/>
      <c r="EJ1049" s="1933"/>
      <c r="EK1049" s="1932"/>
      <c r="EL1049" s="1932"/>
      <c r="EM1049" s="1932"/>
      <c r="EN1049" s="1932"/>
      <c r="EO1049" s="1932"/>
      <c r="EP1049" s="1932"/>
      <c r="EQ1049" s="1932"/>
      <c r="ER1049" s="1932"/>
      <c r="ES1049" s="1932"/>
      <c r="ET1049" s="1932"/>
      <c r="EU1049" s="1932"/>
      <c r="EV1049" s="1932"/>
      <c r="EW1049" s="1932"/>
      <c r="EX1049" s="1932"/>
    </row>
    <row r="1050" spans="1:154" s="419" customFormat="1" hidden="1" outlineLevel="1">
      <c r="A1050" s="3275"/>
      <c r="B1050" s="427" t="s">
        <v>36</v>
      </c>
      <c r="C1050" s="2326"/>
      <c r="D1050" s="2327"/>
      <c r="E1050" s="2327"/>
      <c r="F1050" s="2327"/>
      <c r="G1050" s="2327"/>
      <c r="H1050" s="2327"/>
      <c r="I1050" s="417"/>
      <c r="J1050" s="2327"/>
      <c r="K1050" s="2327"/>
      <c r="L1050" s="2327"/>
      <c r="M1050" s="2327"/>
      <c r="N1050" s="417"/>
      <c r="O1050" s="417"/>
      <c r="P1050" s="417"/>
      <c r="Q1050" s="417"/>
      <c r="R1050" s="417"/>
      <c r="S1050" s="417"/>
      <c r="T1050" s="417"/>
      <c r="U1050" s="417"/>
      <c r="V1050" s="417"/>
      <c r="W1050" s="417"/>
      <c r="X1050" s="418"/>
      <c r="Y1050" s="417"/>
      <c r="Z1050" s="417"/>
      <c r="AA1050" s="417"/>
      <c r="AB1050" s="417"/>
      <c r="AC1050" s="418"/>
      <c r="AD1050" s="417"/>
      <c r="AE1050" s="417"/>
      <c r="AF1050" s="417"/>
      <c r="AG1050" s="417"/>
      <c r="AH1050" s="418"/>
      <c r="AI1050" s="2327"/>
      <c r="AJ1050" s="2327"/>
      <c r="AK1050" s="2327"/>
      <c r="AL1050" s="417"/>
      <c r="AM1050" s="418"/>
      <c r="AN1050" s="2327"/>
      <c r="AO1050" s="2327"/>
      <c r="AP1050" s="2327"/>
      <c r="AQ1050" s="2327"/>
      <c r="AR1050" s="418"/>
      <c r="AS1050" s="2327"/>
      <c r="AT1050" s="2327"/>
      <c r="AU1050" s="2327"/>
      <c r="AV1050" s="2327"/>
      <c r="AW1050" s="418"/>
      <c r="AX1050" s="2327"/>
      <c r="AY1050" s="2327"/>
      <c r="AZ1050" s="2327"/>
      <c r="BA1050" s="2327"/>
      <c r="BB1050" s="418"/>
      <c r="BC1050" s="2327"/>
      <c r="BD1050" s="2327"/>
      <c r="BE1050" s="2327"/>
      <c r="BF1050" s="2327"/>
      <c r="BG1050" s="418"/>
      <c r="BH1050" s="2327"/>
      <c r="BI1050" s="2327"/>
      <c r="BJ1050" s="2327"/>
      <c r="BK1050" s="2327"/>
      <c r="BL1050" s="418"/>
      <c r="BM1050" s="2327"/>
      <c r="BN1050" s="2327"/>
      <c r="BO1050" s="2327"/>
      <c r="BP1050" s="2327"/>
      <c r="BQ1050" s="418"/>
      <c r="BR1050" s="2327"/>
      <c r="BS1050" s="2327"/>
      <c r="BT1050" s="2327"/>
      <c r="BU1050" s="2327"/>
      <c r="BV1050" s="418"/>
      <c r="BW1050" s="2327"/>
      <c r="BX1050" s="2327"/>
      <c r="BY1050" s="2327"/>
      <c r="BZ1050" s="2327"/>
      <c r="CA1050" s="418"/>
      <c r="CB1050" s="2327"/>
      <c r="CC1050" s="2327"/>
      <c r="CD1050" s="2327"/>
      <c r="CE1050" s="2327"/>
      <c r="CF1050" s="418"/>
      <c r="CG1050" s="2327"/>
      <c r="CH1050" s="2327"/>
      <c r="CI1050" s="2327"/>
      <c r="CJ1050" s="2327"/>
      <c r="CK1050" s="418"/>
      <c r="CL1050" s="1008"/>
      <c r="CM1050" s="2327"/>
      <c r="CN1050" s="2327"/>
      <c r="CO1050" s="2327"/>
      <c r="CP1050" s="418"/>
      <c r="CQ1050" s="2327"/>
      <c r="CR1050" s="2327"/>
      <c r="CS1050" s="2327"/>
      <c r="CT1050" s="1009"/>
      <c r="CU1050" s="1003"/>
      <c r="CV1050" s="2327"/>
      <c r="CW1050" s="2327"/>
      <c r="CX1050" s="2327"/>
      <c r="CY1050" s="1009"/>
      <c r="CZ1050" s="1003"/>
      <c r="DA1050" s="1008"/>
      <c r="DB1050" s="2327"/>
      <c r="DC1050" s="2327"/>
      <c r="DD1050" s="1009"/>
      <c r="DE1050" s="1932"/>
      <c r="DF1050" s="2330"/>
      <c r="DG1050" s="2331"/>
      <c r="DH1050" s="2331"/>
      <c r="DI1050" s="2131"/>
      <c r="DJ1050" s="1932"/>
      <c r="DK1050" s="981"/>
      <c r="DL1050" s="982"/>
      <c r="DM1050" s="982"/>
      <c r="DN1050" s="1875"/>
      <c r="DO1050" s="1932"/>
      <c r="DP1050" s="2331"/>
      <c r="DQ1050" s="2331"/>
      <c r="DR1050" s="2331"/>
      <c r="DS1050" s="2331"/>
      <c r="DT1050" s="1932"/>
      <c r="DU1050" s="2331"/>
      <c r="DV1050" s="2331"/>
      <c r="DW1050" s="2331"/>
      <c r="DX1050" s="2131"/>
      <c r="DY1050" s="1932"/>
      <c r="DZ1050" s="2331"/>
      <c r="EA1050" s="2331"/>
      <c r="EB1050" s="2331"/>
      <c r="EC1050" s="2131"/>
      <c r="ED1050" s="1932"/>
      <c r="EE1050" s="2331"/>
      <c r="EF1050" s="2331"/>
      <c r="EG1050" s="2328"/>
      <c r="EH1050" s="2331"/>
      <c r="EI1050" s="1933"/>
      <c r="EJ1050" s="1933"/>
      <c r="EK1050" s="1932"/>
      <c r="EL1050" s="1932"/>
      <c r="EM1050" s="1932"/>
      <c r="EN1050" s="1932"/>
      <c r="EO1050" s="1932"/>
      <c r="EP1050" s="1932"/>
      <c r="EQ1050" s="1932"/>
      <c r="ER1050" s="1932"/>
      <c r="ES1050" s="1932"/>
      <c r="ET1050" s="1932"/>
      <c r="EU1050" s="1932"/>
      <c r="EV1050" s="1932"/>
      <c r="EW1050" s="1932"/>
      <c r="EX1050" s="1932"/>
    </row>
    <row r="1051" spans="1:154" s="419" customFormat="1" hidden="1" outlineLevel="1">
      <c r="A1051" s="3275"/>
      <c r="B1051" s="428" t="s">
        <v>187</v>
      </c>
      <c r="C1051" s="2326"/>
      <c r="D1051" s="2327"/>
      <c r="E1051" s="2327"/>
      <c r="F1051" s="2327"/>
      <c r="G1051" s="2327"/>
      <c r="H1051" s="2327"/>
      <c r="I1051" s="2332"/>
      <c r="J1051" s="2332"/>
      <c r="K1051" s="2332"/>
      <c r="L1051" s="2332"/>
      <c r="M1051" s="2332"/>
      <c r="N1051" s="2332"/>
      <c r="O1051" s="2332"/>
      <c r="P1051" s="2332"/>
      <c r="Q1051" s="2332"/>
      <c r="R1051" s="2332"/>
      <c r="S1051" s="2332"/>
      <c r="T1051" s="2332"/>
      <c r="U1051" s="2332"/>
      <c r="V1051" s="2332"/>
      <c r="W1051" s="2332"/>
      <c r="X1051" s="2333"/>
      <c r="Y1051" s="2332"/>
      <c r="Z1051" s="2332"/>
      <c r="AA1051" s="2332"/>
      <c r="AB1051" s="2332"/>
      <c r="AC1051" s="2333"/>
      <c r="AD1051" s="2332"/>
      <c r="AE1051" s="2332"/>
      <c r="AF1051" s="2332"/>
      <c r="AG1051" s="2332"/>
      <c r="AH1051" s="2333"/>
      <c r="AI1051" s="2332"/>
      <c r="AJ1051" s="2332"/>
      <c r="AK1051" s="2332"/>
      <c r="AL1051" s="2332"/>
      <c r="AM1051" s="2333"/>
      <c r="AN1051" s="2332"/>
      <c r="AO1051" s="2332"/>
      <c r="AP1051" s="2332"/>
      <c r="AQ1051" s="2332"/>
      <c r="AR1051" s="2333"/>
      <c r="AS1051" s="2332">
        <f t="shared" ref="AS1051:BD1052" si="2199">IF(AN1046="NM","NM",IF(AS1046="NM","NM",IF(AN1046&lt;=0,"NM",IF(AS1046=0,"NM",IF(ABS(AS1046/AN1046-1)&gt;2.5,"NM",IF((ABS(AS1046-AN1046)=ABS(ABS(AS1046)-ABS(AN1046))),(AS1046/AN1046-1),"NM"))))))</f>
      </c>
      <c r="AT1051" s="2332">
        <f t="shared" si="2199"/>
      </c>
      <c r="AU1051" s="2332">
        <f t="shared" si="2199"/>
      </c>
      <c r="AV1051" s="2332">
        <f t="shared" si="2199"/>
      </c>
      <c r="AW1051" s="2333">
        <f t="shared" si="2199"/>
      </c>
      <c r="AX1051" s="2332">
        <f t="shared" si="2199"/>
      </c>
      <c r="AY1051" s="2332">
        <f t="shared" si="2199"/>
      </c>
      <c r="AZ1051" s="2332">
        <f t="shared" si="2199"/>
      </c>
      <c r="BA1051" s="2332">
        <f t="shared" si="2199"/>
      </c>
      <c r="BB1051" s="2333">
        <f t="shared" si="2199"/>
      </c>
      <c r="BC1051" s="2332">
        <f t="shared" si="2199"/>
      </c>
      <c r="BD1051" s="2332">
        <f t="shared" si="2199"/>
      </c>
      <c r="BE1051" s="2334">
        <v>0.05</v>
      </c>
      <c r="BF1051" s="2334">
        <v>7.032184105873629E-2</v>
      </c>
      <c r="BG1051" s="2333">
        <f t="shared" ref="BG1051:BJ1052" si="2200">IF(BB1046="NM","NM",IF(BG1046="NM","NM",IF(BB1046&lt;=0,"NM",IF(BG1046=0,"NM",IF(ABS(BG1046/BB1046-1)&gt;2.5,"NM",IF((ABS(BG1046-BB1046)=ABS(ABS(BG1046)-ABS(BB1046))),(BG1046/BB1046-1),"NM"))))))</f>
      </c>
      <c r="BH1051" s="2332">
        <f t="shared" si="2200"/>
      </c>
      <c r="BI1051" s="2332">
        <f t="shared" si="2200"/>
      </c>
      <c r="BJ1051" s="2332">
        <f t="shared" si="2200"/>
      </c>
      <c r="BK1051" s="2334">
        <v>0.05</v>
      </c>
      <c r="BL1051" s="1937">
        <v>7.0000000000000007E-2</v>
      </c>
      <c r="BM1051" s="2334">
        <v>0.05</v>
      </c>
      <c r="BN1051" s="2334">
        <v>0.05</v>
      </c>
      <c r="BO1051" s="2334">
        <v>0.05</v>
      </c>
      <c r="BP1051" s="2332">
        <f>IF(BK1046="NM","NM",IF(BP1046="NM","NM",IF(BK1046&lt;=0,"NM",IF(BP1046=0,"NM",IF(ABS(BP1046/BK1046-1)&gt;2.5,"NM",IF((ABS(BP1046-BK1046)=ABS(ABS(BP1046)-ABS(BK1046))),(BP1046/BK1046-1),"NM"))))))</f>
      </c>
      <c r="BQ1051" s="1937">
        <v>0.05</v>
      </c>
      <c r="BR1051" s="2334">
        <v>0.05</v>
      </c>
      <c r="BS1051" s="2334">
        <v>0.05</v>
      </c>
      <c r="BT1051" s="2334">
        <v>0.05</v>
      </c>
      <c r="BU1051" s="2332">
        <f>IF(BP1046="NM","NM",IF(BU1046="NM","NM",IF(BP1046&lt;=0,"NM",IF(BU1046=0,"NM",IF(ABS(BU1046/BP1046-1)&gt;2.5,"NM",IF((ABS(BU1046-BP1046)=ABS(ABS(BU1046)-ABS(BP1046))),(BU1046/BP1046-1),"NM"))))))</f>
      </c>
      <c r="BV1051" s="1937">
        <v>0.06</v>
      </c>
      <c r="BW1051" s="2334">
        <v>0.06</v>
      </c>
      <c r="BX1051" s="2334">
        <v>0.06</v>
      </c>
      <c r="BY1051" s="2334">
        <v>0.06</v>
      </c>
      <c r="BZ1051" s="2334">
        <v>0.06</v>
      </c>
      <c r="CA1051" s="2333">
        <f>IF(BV1046="NM","NM",IF(CA1046="NM","NM",IF(BV1046&lt;=0,"NM",IF(CA1046=0,"NM",IF(ABS(CA1046/BV1046-1)&gt;2.5,"NM",IF((ABS(CA1046-BV1046)=ABS(ABS(CA1046)-ABS(BV1046))),(CA1046/BV1046-1),"NM"))))))</f>
      </c>
      <c r="CB1051" s="2334">
        <v>0.06</v>
      </c>
      <c r="CC1051" s="2334">
        <v>0.06</v>
      </c>
      <c r="CD1051" s="2334">
        <v>0.06</v>
      </c>
      <c r="CE1051" s="2334">
        <v>0.06</v>
      </c>
      <c r="CF1051" s="1937">
        <v>0.06</v>
      </c>
      <c r="CG1051" s="2334">
        <v>0.06</v>
      </c>
      <c r="CH1051" s="2334">
        <v>0.06</v>
      </c>
      <c r="CI1051" s="2334">
        <v>0.06</v>
      </c>
      <c r="CJ1051" s="2334">
        <v>0.06</v>
      </c>
      <c r="CK1051" s="1937">
        <v>0.06</v>
      </c>
      <c r="CL1051" s="2195">
        <v>0.06</v>
      </c>
      <c r="CM1051" s="2334">
        <v>0.06</v>
      </c>
      <c r="CN1051" s="2334">
        <v>0.06</v>
      </c>
      <c r="CO1051" s="2334">
        <v>0.06</v>
      </c>
      <c r="CP1051" s="1937">
        <v>0.06</v>
      </c>
      <c r="CQ1051" s="2334">
        <v>0.06</v>
      </c>
      <c r="CR1051" s="2334">
        <v>0.06</v>
      </c>
      <c r="CS1051" s="2334">
        <v>0.06</v>
      </c>
      <c r="CT1051" s="2226">
        <v>0.06</v>
      </c>
      <c r="CU1051" s="2226">
        <v>0.06</v>
      </c>
      <c r="CV1051" s="2334">
        <v>0.06</v>
      </c>
      <c r="CW1051" s="2334">
        <v>0.06</v>
      </c>
      <c r="CX1051" s="2334">
        <v>0.06</v>
      </c>
      <c r="CY1051" s="2226">
        <v>0.06</v>
      </c>
      <c r="CZ1051" s="2226">
        <v>0.06</v>
      </c>
      <c r="DA1051" s="2195">
        <v>0.06</v>
      </c>
      <c r="DB1051" s="2334">
        <v>0.06</v>
      </c>
      <c r="DC1051" s="2334">
        <v>0.06</v>
      </c>
      <c r="DD1051" s="1936">
        <f>IF(DD1046=0,"NM",+DD1046/CY1046-1)</f>
      </c>
      <c r="DE1051" s="1937">
        <v>0.06</v>
      </c>
      <c r="DF1051" s="2195"/>
      <c r="DG1051" s="2334"/>
      <c r="DH1051" s="2334"/>
      <c r="DI1051" s="1936"/>
      <c r="DJ1051" s="1937">
        <v>0.06</v>
      </c>
      <c r="DK1051" s="400"/>
      <c r="DL1051" s="29"/>
      <c r="DM1051" s="29"/>
      <c r="DN1051" s="928"/>
      <c r="DO1051" s="1937">
        <v>0.06</v>
      </c>
      <c r="DP1051" s="2334"/>
      <c r="DQ1051" s="2334"/>
      <c r="DR1051" s="2334"/>
      <c r="DS1051" s="2332"/>
      <c r="DT1051" s="1937">
        <v>0.06</v>
      </c>
      <c r="DU1051" s="2332">
        <v>0.06</v>
      </c>
      <c r="DV1051" s="2334"/>
      <c r="DW1051" s="2334"/>
      <c r="DX1051" s="2226"/>
      <c r="DY1051" s="3308"/>
      <c r="DZ1051" s="2334"/>
      <c r="EA1051" s="2334"/>
      <c r="EB1051" s="2334"/>
      <c r="EC1051" s="2226"/>
      <c r="ED1051" s="3308"/>
      <c r="EE1051" s="2334"/>
      <c r="EF1051" s="2334"/>
      <c r="EG1051" s="2334"/>
      <c r="EH1051" s="2332"/>
      <c r="EI1051" s="2195">
        <v>0.06</v>
      </c>
      <c r="EJ1051" s="2195">
        <v>0.06</v>
      </c>
      <c r="EK1051" s="1937">
        <v>0.06</v>
      </c>
      <c r="EL1051" s="1937">
        <v>0.06</v>
      </c>
      <c r="EM1051" s="1937">
        <v>0.06</v>
      </c>
      <c r="EN1051" s="1937">
        <v>0.06</v>
      </c>
      <c r="EO1051" s="1937"/>
      <c r="EP1051" s="1937"/>
      <c r="EQ1051" s="1937"/>
      <c r="ER1051" s="1937"/>
      <c r="ES1051" s="1937"/>
      <c r="ET1051" s="1937"/>
      <c r="EU1051" s="1937"/>
      <c r="EV1051" s="1937"/>
      <c r="EW1051" s="1937"/>
      <c r="EX1051" s="1937"/>
    </row>
    <row r="1052" spans="1:154" s="419" customFormat="1" hidden="1" outlineLevel="1">
      <c r="A1052" s="3275"/>
      <c r="B1052" s="428" t="s">
        <v>412</v>
      </c>
      <c r="C1052" s="2326"/>
      <c r="D1052" s="2327"/>
      <c r="E1052" s="2327"/>
      <c r="F1052" s="2327"/>
      <c r="G1052" s="2327"/>
      <c r="H1052" s="2327"/>
      <c r="I1052" s="2332"/>
      <c r="J1052" s="2332"/>
      <c r="K1052" s="2332"/>
      <c r="L1052" s="2332"/>
      <c r="M1052" s="2332"/>
      <c r="N1052" s="2332"/>
      <c r="O1052" s="2332"/>
      <c r="P1052" s="2332"/>
      <c r="Q1052" s="2332"/>
      <c r="R1052" s="2332"/>
      <c r="S1052" s="2332"/>
      <c r="T1052" s="2332"/>
      <c r="U1052" s="2332"/>
      <c r="V1052" s="2332"/>
      <c r="W1052" s="2332"/>
      <c r="X1052" s="2333"/>
      <c r="Y1052" s="2332"/>
      <c r="Z1052" s="2332"/>
      <c r="AA1052" s="2332"/>
      <c r="AB1052" s="2332"/>
      <c r="AC1052" s="2333"/>
      <c r="AD1052" s="2332"/>
      <c r="AE1052" s="2332"/>
      <c r="AF1052" s="2332"/>
      <c r="AG1052" s="2332"/>
      <c r="AH1052" s="2333"/>
      <c r="AI1052" s="2332"/>
      <c r="AJ1052" s="2332"/>
      <c r="AK1052" s="2332"/>
      <c r="AL1052" s="2332"/>
      <c r="AM1052" s="2333"/>
      <c r="AN1052" s="2332"/>
      <c r="AO1052" s="2332"/>
      <c r="AP1052" s="2332"/>
      <c r="AQ1052" s="2332"/>
      <c r="AR1052" s="2333"/>
      <c r="AS1052" s="2332">
        <f t="shared" si="2199"/>
      </c>
      <c r="AT1052" s="2332">
        <f t="shared" si="2199"/>
      </c>
      <c r="AU1052" s="2332">
        <f t="shared" si="2199"/>
      </c>
      <c r="AV1052" s="2332">
        <f t="shared" si="2199"/>
      </c>
      <c r="AW1052" s="2333">
        <f t="shared" si="2199"/>
      </c>
      <c r="AX1052" s="2332">
        <f t="shared" si="2199"/>
      </c>
      <c r="AY1052" s="2332">
        <f t="shared" si="2199"/>
      </c>
      <c r="AZ1052" s="2332">
        <f>IF(AU1047="NM","NM",IF(AZ1047="NM","NM",IF(AU1047&lt;=0,"NM",IF(AZ1047=0,"NM",IF(ABS(AZ1047/AU1047-1)&gt;2.5,"NM",IF((ABS(AZ1047-AU1047)=ABS(ABS(AZ1047)-ABS(AU1047))),(AZ1047/AU1047-1),"NM"))))))</f>
      </c>
      <c r="BA1052" s="2332">
        <f>IF(AV1047="NM","NM",IF(BA1047="NM","NM",IF(AV1047&lt;=0,"NM",IF(BA1047=0,"NM",IF(ABS(BA1047/AV1047-1)&gt;2.5,"NM",IF((ABS(BA1047-AV1047)=ABS(ABS(BA1047)-ABS(AV1047))),(BA1047/AV1047-1),"NM"))))))</f>
      </c>
      <c r="BB1052" s="2333">
        <f>IF(AW1047="NM","NM",IF(BB1047="NM","NM",IF(AW1047&lt;=0,"NM",IF(BB1047=0,"NM",IF(ABS(BB1047/AW1047-1)&gt;2.5,"NM",IF((ABS(BB1047-AW1047)=ABS(ABS(BB1047)-ABS(AW1047))),(BB1047/AW1047-1),"NM"))))))</f>
      </c>
      <c r="BC1052" s="2332">
        <f t="shared" si="2199"/>
      </c>
      <c r="BD1052" s="2332">
        <f t="shared" si="2199"/>
      </c>
      <c r="BE1052" s="2332">
        <f>IF(ISNUMBER(BE1053),(1+BE1053)*(1+BE$21)-1,"NM")</f>
      </c>
      <c r="BF1052" s="2332">
        <f>IF(ISNUMBER(BF1053),(1+BF1053)*(1+BF$21)-1,"NM")</f>
      </c>
      <c r="BG1052" s="2333">
        <f>IF(BB1047="NM","NM",IF(BG1047="NM","NM",IF(BB1047&lt;=0,"NM",IF(BG1047=0,"NM",IF(ABS(BG1047/BB1047-1)&gt;2.5,"NM",IF((ABS(BG1047-BB1047)=ABS(ABS(BG1047)-ABS(BB1047))),(BG1047/BB1047-1),"NM"))))))</f>
      </c>
      <c r="BH1052" s="2332">
        <f t="shared" si="2200"/>
      </c>
      <c r="BI1052" s="2332">
        <f t="shared" si="2200"/>
      </c>
      <c r="BJ1052" s="2332">
        <f>IF(BE1047="NM","NM",IF(BJ1047="NM","NM",IF(BE1047&lt;=0,"NM",IF(BJ1047=0,"NM",IF(ABS(BJ1047/BE1047-1)&gt;2.5,"NM",IF((ABS(BJ1047-BE1047)=ABS(ABS(BJ1047)-ABS(BE1047))),(BJ1047/BE1047-1),"NM"))))))</f>
      </c>
      <c r="BK1052" s="2332">
        <f>IF(ISNUMBER(BK1053),(1+BK1053)*(1+BK$21)-1,"NM")</f>
      </c>
      <c r="BL1052" s="2333">
        <f>IF(ISNUMBER(BL1053),(1+BL1053)*(1+BL$21)-1,"NM")</f>
      </c>
      <c r="BM1052" s="2332">
        <f>IF(ISNUMBER(BM1053),(1+BM1053)*(1+BM$21)-1,"NM")</f>
      </c>
      <c r="BN1052" s="2332">
        <f>IF(ISNUMBER(BN1053),(1+BN1053)*(1+BN$21)-1,"NM")</f>
      </c>
      <c r="BO1052" s="2332">
        <f>IF(ISNUMBER(BO1053),(1+BO1053)*(1+BO$21)-1,"NM")</f>
      </c>
      <c r="BP1052" s="2332">
        <f>IF(BK1047="NM","NM",IF(BP1047="NM","NM",IF(BK1047&lt;=0,"NM",IF(BP1047=0,"NM",IF(ABS(BP1047/BK1047-1)&gt;2.5,"NM",IF((ABS(BP1047-BK1047)=ABS(ABS(BP1047)-ABS(BK1047))),(BP1047/BK1047-1),"NM"))))))</f>
      </c>
      <c r="BQ1052" s="2333">
        <f>IF(ISNUMBER(BQ1053),(1+BQ1053)*(1+BQ$21)-1,"NM")</f>
      </c>
      <c r="BR1052" s="2332">
        <f>IF(ISNUMBER(BR1053),(1+BR1053)*(1+BR$21)-1,"NM")</f>
      </c>
      <c r="BS1052" s="2332">
        <f>IF(ISNUMBER(BS1053),(1+BS1053)*(1+BS$21)-1,"NM")</f>
      </c>
      <c r="BT1052" s="2332">
        <f>IF(ISNUMBER(BT1053),(1+BT1053)*(1+BT$21)-1,"NM")</f>
      </c>
      <c r="BU1052" s="2332">
        <f>IF(BP1047="NM","NM",IF(BU1047="NM","NM",IF(BP1047&lt;=0,"NM",IF(BU1047=0,"NM",IF(ABS(BU1047/BP1047-1)&gt;2.5,"NM",IF((ABS(BU1047-BP1047)=ABS(ABS(BU1047)-ABS(BP1047))),(BU1047/BP1047-1),"NM"))))))</f>
      </c>
      <c r="BV1052" s="2333">
        <f>IF(ISNUMBER(BV1053),(1+BV1053)*(1+BV$21)-1,"NM")</f>
      </c>
      <c r="BW1052" s="2332">
        <f>IF(ISNUMBER(BW1053),(1+BW1053)*(1+BW$21)-1,"NM")</f>
      </c>
      <c r="BX1052" s="2332">
        <f>IF(ISNUMBER(BX1053),(1+BX1053)*(1+BX$21)-1,"NM")</f>
      </c>
      <c r="BY1052" s="2332">
        <f>IF(ISNUMBER(BY1053),(1+BY1053)*(1+BY$21)-1,"NM")</f>
      </c>
      <c r="BZ1052" s="2332">
        <f>IF(ISNUMBER(BZ1053),(1+BZ1053)*(1+BZ$21)-1,"NM")</f>
      </c>
      <c r="CA1052" s="2333">
        <f>IF(BV1047="NM","NM",IF(CA1047="NM","NM",IF(BV1047&lt;=0,"NM",IF(CA1047=0,"NM",IF(ABS(CA1047/BV1047-1)&gt;2.5,"NM",IF((ABS(CA1047-BV1047)=ABS(ABS(CA1047)-ABS(BV1047))),(CA1047/BV1047-1),"NM"))))))</f>
      </c>
      <c r="CB1052" s="2332">
        <f t="shared" ref="CB1052:DY1052" si="2201">IF(ISNUMBER(CB1053),(1+CB1053)*(1+CB$21)-1,"NM")</f>
      </c>
      <c r="CC1052" s="2332">
        <f t="shared" si="2201"/>
      </c>
      <c r="CD1052" s="2332">
        <f t="shared" si="2201"/>
      </c>
      <c r="CE1052" s="2332">
        <f t="shared" si="2201"/>
      </c>
      <c r="CF1052" s="2333">
        <f t="shared" si="2201"/>
      </c>
      <c r="CG1052" s="2332">
        <f t="shared" si="2201"/>
      </c>
      <c r="CH1052" s="2332">
        <f t="shared" si="2201"/>
      </c>
      <c r="CI1052" s="2332">
        <f t="shared" si="2201"/>
      </c>
      <c r="CJ1052" s="2332">
        <f t="shared" si="2201"/>
      </c>
      <c r="CK1052" s="2333">
        <f t="shared" si="2201"/>
      </c>
      <c r="CL1052" s="1935">
        <f t="shared" si="2201"/>
      </c>
      <c r="CM1052" s="2332">
        <f t="shared" si="2201"/>
      </c>
      <c r="CN1052" s="2332">
        <f t="shared" si="2201"/>
      </c>
      <c r="CO1052" s="2332">
        <f t="shared" si="2201"/>
      </c>
      <c r="CP1052" s="2333">
        <f>IF(ISNUMBER(CP1053),(1+CP1053)*(1+CP$21)-1,"NM")</f>
      </c>
      <c r="CQ1052" s="2332">
        <f t="shared" si="2201"/>
      </c>
      <c r="CR1052" s="2332">
        <f t="shared" si="2201"/>
      </c>
      <c r="CS1052" s="2332">
        <f t="shared" si="2201"/>
      </c>
      <c r="CT1052" s="1936">
        <f t="shared" si="2201"/>
      </c>
      <c r="CU1052" s="1936">
        <f>IF(ISNUMBER(CU1053),(1+CU1053)*(1+CU$21)-1,"NM")</f>
      </c>
      <c r="CV1052" s="2332">
        <f t="shared" si="2201"/>
      </c>
      <c r="CW1052" s="2332">
        <f t="shared" si="2201"/>
      </c>
      <c r="CX1052" s="2332">
        <f t="shared" si="2201"/>
      </c>
      <c r="CY1052" s="1936">
        <f t="shared" si="2201"/>
      </c>
      <c r="CZ1052" s="1936">
        <f>IF(ISNUMBER(CZ1053),(1+CZ1053)*(1+CZ$21)-1,"NM")</f>
      </c>
      <c r="DA1052" s="1333">
        <f>DA1053+DA$21</f>
      </c>
      <c r="DB1052" s="2335">
        <f>DB1053+DB$21</f>
      </c>
      <c r="DC1052" s="2335">
        <f>DC1053+DC$21</f>
      </c>
      <c r="DD1052" s="1350">
        <f>IF(DD1047=0, "NM", DD1047/CY1047-1)</f>
      </c>
      <c r="DE1052" s="2333">
        <f t="shared" si="2201"/>
      </c>
      <c r="DF1052" s="1935"/>
      <c r="DG1052" s="2332"/>
      <c r="DH1052" s="2332"/>
      <c r="DI1052" s="1936"/>
      <c r="DJ1052" s="2333">
        <f t="shared" si="2201"/>
      </c>
      <c r="DK1052" s="958"/>
      <c r="DL1052" s="926"/>
      <c r="DM1052" s="926"/>
      <c r="DN1052" s="928"/>
      <c r="DO1052" s="2333">
        <f t="shared" si="2201"/>
      </c>
      <c r="DP1052" s="2332"/>
      <c r="DQ1052" s="2332"/>
      <c r="DR1052" s="2332"/>
      <c r="DS1052" s="2332"/>
      <c r="DT1052" s="2333">
        <f t="shared" si="2201"/>
      </c>
      <c r="DU1052" s="2332">
        <f t="shared" si="2201"/>
      </c>
      <c r="DV1052" s="2332"/>
      <c r="DW1052" s="2332"/>
      <c r="DX1052" s="1936"/>
      <c r="DY1052" s="2333" t="str">
        <f t="shared" si="2201"/>
      </c>
      <c r="DZ1052" s="2332"/>
      <c r="EA1052" s="2332"/>
      <c r="EB1052" s="2332"/>
      <c r="EC1052" s="1936"/>
      <c r="ED1052" s="2333" t="str">
        <f t="shared" ref="ED1052" si="2202">IF(ISNUMBER(ED1053),(1+ED1053)*(1+ED$21)-1,"NM")</f>
      </c>
      <c r="EE1052" s="2332"/>
      <c r="EF1052" s="2332"/>
      <c r="EG1052" s="2332"/>
      <c r="EH1052" s="2332"/>
      <c r="EI1052" s="1935">
        <f t="shared" ref="EI1052:EN1052" si="2203">IF(ISNUMBER(EI1053),(1+EI1053)*(1+EI$21)-1,"NM")</f>
      </c>
      <c r="EJ1052" s="1935">
        <f t="shared" si="2203"/>
      </c>
      <c r="EK1052" s="2333">
        <f t="shared" si="2203"/>
      </c>
      <c r="EL1052" s="2333">
        <f t="shared" si="2203"/>
      </c>
      <c r="EM1052" s="2333">
        <f t="shared" si="2203"/>
      </c>
      <c r="EN1052" s="2333">
        <f t="shared" si="2203"/>
      </c>
      <c r="EO1052" s="2333"/>
      <c r="EP1052" s="2333"/>
      <c r="EQ1052" s="2333"/>
      <c r="ER1052" s="2333"/>
      <c r="ES1052" s="2333"/>
      <c r="ET1052" s="2333"/>
      <c r="EU1052" s="2333"/>
      <c r="EV1052" s="2333"/>
      <c r="EW1052" s="2333"/>
      <c r="EX1052" s="2333"/>
    </row>
    <row r="1053" spans="1:154" s="419" customFormat="1" hidden="1" outlineLevel="1">
      <c r="A1053" s="3275"/>
      <c r="B1053" s="428" t="s">
        <v>256</v>
      </c>
      <c r="C1053" s="2326"/>
      <c r="D1053" s="2327"/>
      <c r="E1053" s="2327"/>
      <c r="F1053" s="2327"/>
      <c r="G1053" s="2327"/>
      <c r="H1053" s="2327"/>
      <c r="I1053" s="424"/>
      <c r="J1053" s="2066"/>
      <c r="K1053" s="2066"/>
      <c r="L1053" s="2066"/>
      <c r="M1053" s="2066"/>
      <c r="N1053" s="424"/>
      <c r="O1053" s="424"/>
      <c r="P1053" s="424"/>
      <c r="Q1053" s="424"/>
      <c r="R1053" s="424"/>
      <c r="S1053" s="2066"/>
      <c r="T1053" s="424"/>
      <c r="U1053" s="424"/>
      <c r="V1053" s="424"/>
      <c r="W1053" s="424"/>
      <c r="X1053" s="2336"/>
      <c r="Y1053" s="424"/>
      <c r="Z1053" s="424"/>
      <c r="AA1053" s="424"/>
      <c r="AB1053" s="424"/>
      <c r="AC1053" s="2336"/>
      <c r="AD1053" s="424"/>
      <c r="AE1053" s="424"/>
      <c r="AF1053" s="424"/>
      <c r="AG1053" s="424"/>
      <c r="AH1053" s="2336"/>
      <c r="AI1053" s="2335"/>
      <c r="AJ1053" s="2335"/>
      <c r="AK1053" s="2335"/>
      <c r="AL1053" s="2335"/>
      <c r="AM1053" s="2336"/>
      <c r="AN1053" s="2335"/>
      <c r="AO1053" s="2335"/>
      <c r="AP1053" s="2335"/>
      <c r="AQ1053" s="2335"/>
      <c r="AR1053" s="2336"/>
      <c r="AS1053" s="2335">
        <f t="shared" ref="AS1053:BD1053" si="2204">IF(ISNUMBER(AS1052),(1+AS1052)/(1+AS$21)-1,"NM")</f>
      </c>
      <c r="AT1053" s="2335">
        <f t="shared" si="2204"/>
      </c>
      <c r="AU1053" s="2335">
        <f t="shared" si="2204"/>
      </c>
      <c r="AV1053" s="2335">
        <f t="shared" si="2204"/>
      </c>
      <c r="AW1053" s="2336">
        <f t="shared" si="2204"/>
      </c>
      <c r="AX1053" s="2335">
        <f t="shared" si="2204"/>
      </c>
      <c r="AY1053" s="2335">
        <f t="shared" si="2204"/>
      </c>
      <c r="AZ1053" s="2335">
        <f t="shared" si="2204"/>
      </c>
      <c r="BA1053" s="2335">
        <f t="shared" si="2204"/>
      </c>
      <c r="BB1053" s="2336">
        <f t="shared" si="2204"/>
      </c>
      <c r="BC1053" s="2335">
        <f t="shared" si="2204"/>
      </c>
      <c r="BD1053" s="2335">
        <f t="shared" si="2204"/>
      </c>
      <c r="BE1053" s="2345">
        <v>0.1</v>
      </c>
      <c r="BF1053" s="2345">
        <v>0.10804322374955189</v>
      </c>
      <c r="BG1053" s="2337">
        <f>IF(ISNUMBER(BG1052),(1+BG1052)/(1+BG$21)-1,"NM")</f>
      </c>
      <c r="BH1053" s="2335">
        <f>IF(ISNUMBER(BH1052),(1+BH1052)/(1+BH$21)-1,"NM")</f>
      </c>
      <c r="BI1053" s="2335">
        <f>IF(ISNUMBER(BI1052),(1+BI1052)/(1+BI$21)-1,"NM")</f>
      </c>
      <c r="BJ1053" s="2335">
        <f>IF(ISNUMBER(BJ1052),(1+BJ1052)/(1+BJ$21)-1,"NM")</f>
      </c>
      <c r="BK1053" s="2345">
        <v>0.09</v>
      </c>
      <c r="BL1053" s="2346">
        <v>0.1</v>
      </c>
      <c r="BM1053" s="2345">
        <v>0.1</v>
      </c>
      <c r="BN1053" s="2345">
        <v>0.1</v>
      </c>
      <c r="BO1053" s="2345">
        <v>0.1</v>
      </c>
      <c r="BP1053" s="2332">
        <f>IF(ISNUMBER(BP1052),(1+BP1052)/(1+BP$21)-1,"NM")</f>
      </c>
      <c r="BQ1053" s="2346">
        <v>0.09</v>
      </c>
      <c r="BR1053" s="2345">
        <v>0.1</v>
      </c>
      <c r="BS1053" s="2345">
        <v>0.1</v>
      </c>
      <c r="BT1053" s="2345">
        <v>0.1</v>
      </c>
      <c r="BU1053" s="2332">
        <f>IF(ISNUMBER(BU1052),(1+BU1052)/(1+BU$21)-1,"NM")</f>
      </c>
      <c r="BV1053" s="2346">
        <v>0.09</v>
      </c>
      <c r="BW1053" s="2345">
        <v>0.08</v>
      </c>
      <c r="BX1053" s="2345">
        <v>0.08</v>
      </c>
      <c r="BY1053" s="2345">
        <v>0.08</v>
      </c>
      <c r="BZ1053" s="2345">
        <v>0.08</v>
      </c>
      <c r="CA1053" s="2333">
        <f>IF(ISNUMBER(CA1052),(1+CA1052)/(1+CA$21)-1,"NM")</f>
      </c>
      <c r="CB1053" s="2345">
        <v>0.08</v>
      </c>
      <c r="CC1053" s="2345">
        <v>0.08</v>
      </c>
      <c r="CD1053" s="2345">
        <v>0.08</v>
      </c>
      <c r="CE1053" s="2345">
        <v>0.08</v>
      </c>
      <c r="CF1053" s="2346">
        <v>0.08</v>
      </c>
      <c r="CG1053" s="2345">
        <v>0.08</v>
      </c>
      <c r="CH1053" s="2345">
        <v>0.08</v>
      </c>
      <c r="CI1053" s="2345">
        <v>0.08</v>
      </c>
      <c r="CJ1053" s="2345">
        <v>0.08</v>
      </c>
      <c r="CK1053" s="2346">
        <v>0.08</v>
      </c>
      <c r="CL1053" s="2347">
        <v>0.08</v>
      </c>
      <c r="CM1053" s="2345">
        <v>0.08</v>
      </c>
      <c r="CN1053" s="2345">
        <v>0.08</v>
      </c>
      <c r="CO1053" s="2345">
        <v>0.08</v>
      </c>
      <c r="CP1053" s="2346">
        <v>0.08</v>
      </c>
      <c r="CQ1053" s="2345">
        <v>0.08</v>
      </c>
      <c r="CR1053" s="2345">
        <v>0.08</v>
      </c>
      <c r="CS1053" s="2345">
        <v>0.08</v>
      </c>
      <c r="CT1053" s="2348">
        <v>0.08</v>
      </c>
      <c r="CU1053" s="2348">
        <v>0.08</v>
      </c>
      <c r="CV1053" s="2345">
        <v>0.08</v>
      </c>
      <c r="CW1053" s="2345">
        <v>0.08</v>
      </c>
      <c r="CX1053" s="2345">
        <v>0.08</v>
      </c>
      <c r="CY1053" s="2348">
        <v>0.08</v>
      </c>
      <c r="CZ1053" s="2348">
        <v>0.08</v>
      </c>
      <c r="DA1053" s="2195">
        <v>0.08</v>
      </c>
      <c r="DB1053" s="2334">
        <v>0.08</v>
      </c>
      <c r="DC1053" s="2334">
        <v>0.08</v>
      </c>
      <c r="DD1053" s="1936">
        <f>IF(DD1047=0, "NM",DD1052-DD$21)</f>
      </c>
      <c r="DE1053" s="2346">
        <v>0.08</v>
      </c>
      <c r="DF1053" s="2195"/>
      <c r="DG1053" s="2334"/>
      <c r="DH1053" s="2334"/>
      <c r="DI1053" s="1936"/>
      <c r="DJ1053" s="2346">
        <v>0.08</v>
      </c>
      <c r="DK1053" s="400"/>
      <c r="DL1053" s="29"/>
      <c r="DM1053" s="29"/>
      <c r="DN1053" s="928"/>
      <c r="DO1053" s="2346">
        <v>0.08</v>
      </c>
      <c r="DP1053" s="2334"/>
      <c r="DQ1053" s="2334"/>
      <c r="DR1053" s="2334"/>
      <c r="DS1053" s="2332"/>
      <c r="DT1053" s="2346">
        <v>0.08</v>
      </c>
      <c r="DU1053" s="2332">
        <v>0.08</v>
      </c>
      <c r="DV1053" s="2334"/>
      <c r="DW1053" s="2334"/>
      <c r="DX1053" s="2226"/>
      <c r="DY1053" s="3309"/>
      <c r="DZ1053" s="2334"/>
      <c r="EA1053" s="2334"/>
      <c r="EB1053" s="2334"/>
      <c r="EC1053" s="2226"/>
      <c r="ED1053" s="3309"/>
      <c r="EE1053" s="2334"/>
      <c r="EF1053" s="2334"/>
      <c r="EG1053" s="2345"/>
      <c r="EH1053" s="2332"/>
      <c r="EI1053" s="2347">
        <v>0.08</v>
      </c>
      <c r="EJ1053" s="2347">
        <v>0.08</v>
      </c>
      <c r="EK1053" s="2346">
        <v>0.08</v>
      </c>
      <c r="EL1053" s="2346">
        <v>0.08</v>
      </c>
      <c r="EM1053" s="2346">
        <v>0.08</v>
      </c>
      <c r="EN1053" s="2346">
        <v>0.08</v>
      </c>
      <c r="EO1053" s="2346"/>
      <c r="EP1053" s="2346"/>
      <c r="EQ1053" s="2346"/>
      <c r="ER1053" s="2346"/>
      <c r="ES1053" s="2346"/>
      <c r="ET1053" s="2346"/>
      <c r="EU1053" s="2346"/>
      <c r="EV1053" s="2346"/>
      <c r="EW1053" s="2346"/>
      <c r="EX1053" s="2346"/>
    </row>
    <row r="1054" spans="1:154" s="419" customFormat="1" hidden="1" outlineLevel="1">
      <c r="A1054" s="3275"/>
      <c r="B1054" s="428" t="s">
        <v>413</v>
      </c>
      <c r="C1054" s="2326"/>
      <c r="D1054" s="2327"/>
      <c r="E1054" s="2327"/>
      <c r="F1054" s="2327"/>
      <c r="G1054" s="2327"/>
      <c r="H1054" s="2327"/>
      <c r="I1054" s="2332"/>
      <c r="J1054" s="2332"/>
      <c r="K1054" s="2332"/>
      <c r="L1054" s="2332"/>
      <c r="M1054" s="2332"/>
      <c r="N1054" s="2332"/>
      <c r="O1054" s="2332"/>
      <c r="P1054" s="2332"/>
      <c r="Q1054" s="2332"/>
      <c r="R1054" s="2332"/>
      <c r="S1054" s="2332"/>
      <c r="T1054" s="2332"/>
      <c r="U1054" s="2332"/>
      <c r="V1054" s="2332"/>
      <c r="W1054" s="2332"/>
      <c r="X1054" s="2333"/>
      <c r="Y1054" s="2332"/>
      <c r="Z1054" s="2332"/>
      <c r="AA1054" s="2332"/>
      <c r="AB1054" s="2332"/>
      <c r="AC1054" s="2333"/>
      <c r="AD1054" s="2332"/>
      <c r="AE1054" s="2332"/>
      <c r="AF1054" s="2332"/>
      <c r="AG1054" s="2332"/>
      <c r="AH1054" s="2333"/>
      <c r="AI1054" s="2332"/>
      <c r="AJ1054" s="2332"/>
      <c r="AK1054" s="2332"/>
      <c r="AL1054" s="2332"/>
      <c r="AM1054" s="2333"/>
      <c r="AN1054" s="2332"/>
      <c r="AO1054" s="2332"/>
      <c r="AP1054" s="2332"/>
      <c r="AQ1054" s="2332"/>
      <c r="AR1054" s="2333"/>
      <c r="AS1054" s="2332">
        <f>IF(AN1048="NM","NM",IF(AS1048="NM","NM",IF(AN1048&lt;=0,"NM",IF(AS1048=0,"NM",IF(ABS(AS1048/AN1048-1)&gt;2.5,"NM",IF((ABS(AS1048-AN1048)=ABS(ABS(AS1048)-ABS(AN1048))),(AS1048/AN1048-1),"NM"))))))</f>
      </c>
      <c r="AT1054" s="2332">
        <f>IF(AO1048="NM","NM",IF(AT1048="NM","NM",IF(AO1048&lt;=0,"NM",IF(AT1048=0,"NM",IF(ABS(AT1048/AO1048-1)&gt;2.5,"NM",IF((ABS(AT1048-AO1048)=ABS(ABS(AT1048)-ABS(AO1048))),(AT1048/AO1048-1),"NM"))))))</f>
      </c>
      <c r="AU1054" s="2332">
        <f>IF(AP1048="NM","NM",IF(AU1048="NM","NM",IF(AP1048&lt;=0,"NM",IF(AU1048=0,"NM",IF(ABS(AU1048/AP1048-1)&gt;2.5,"NM",IF((ABS(AU1048-AP1048)=ABS(ABS(AU1048)-ABS(AP1048))),(AU1048/AP1048-1),"NM"))))))</f>
      </c>
      <c r="AV1054" s="2332">
        <f>IF(AQ1048="NM","NM",IF(AV1048="NM","NM",IF(AQ1048&lt;=0,"NM",IF(AV1048=0,"NM",IF(ABS(AV1048/AQ1048-1)&gt;2.5,"NM",IF((ABS(AV1048-AQ1048)=ABS(ABS(AV1048)-ABS(AQ1048))),(AV1048/AQ1048-1),"NM"))))))</f>
      </c>
      <c r="AW1054" s="2333">
        <f>IF(AS1048="NM","NM",IF(AX1048="NM","NM",IF(AS1048&lt;=0,"NM",IF(AX1048=0,"NM",IF(ABS(AX1048/AS1048-1)&gt;2.5,"NM",IF((ABS(AX1048-AS1048)=ABS(ABS(AX1048)-ABS(AS1048))),(AX1048/AS1048-1),"NM"))))))</f>
      </c>
      <c r="AX1054" s="2332">
        <f>IF(AS1048="NM","NM",IF(AX1048="NM","NM",IF(AS1048&lt;=0,"NM",IF(AX1048=0,"NM",IF(ABS(AX1048/AS1048-1)&gt;2.5,"NM",IF((ABS(AX1048-AS1048)=ABS(ABS(AX1048)-ABS(AS1048))),(AX1048/AS1048-1),"NM"))))))</f>
      </c>
      <c r="AY1054" s="2332">
        <f>IF(AT1048="NM","NM",IF(AY1048="NM","NM",IF(AT1048&lt;=0,"NM",IF(AY1048=0,"NM",IF(ABS(AY1048/AT1048-1)&gt;2.5,"NM",IF((ABS(AY1048-AT1048)=ABS(ABS(AY1048)-ABS(AT1048))),(AY1048/AT1048-1),"NM"))))))</f>
      </c>
      <c r="AZ1054" s="2332">
        <f>IF(AU1048="NM","NM",IF(AZ1048="NM","NM",IF(AU1048&lt;=0,"NM",IF(AZ1048=0,"NM",IF(ABS(AZ1048/AU1048-1)&gt;2.5,"NM",IF((ABS(AZ1048-AU1048)=ABS(ABS(AZ1048)-ABS(AU1048))),(AZ1048/AU1048-1),"NM"))))))</f>
      </c>
      <c r="BA1054" s="2332">
        <f>IF(AV1048="NM","NM",IF(BA1048="NM","NM",IF(AV1048&lt;=0,"NM",IF(BA1048=0,"NM",IF(ABS(BA1048/AV1048-1)&gt;2.5,"NM",IF((ABS(BA1048-AV1048)=ABS(ABS(BA1048)-ABS(AV1048))),(BA1048/AV1048-1),"NM"))))))</f>
      </c>
      <c r="BB1054" s="2333" t="str">
        <f>IF(AX1048="NM","NM",IF(BB1048="NM","NM",IF(AX1048&lt;=0,"NM",IF(BB1048=0,"NM",IF(ABS(BB1048/AX1048-1)&gt;2.5,"NM",IF((ABS(BB1048-AX1048)=ABS(ABS(BB1048)-ABS(AX1048))),(BB1048/AX1048-1),"NM"))))))</f>
      </c>
      <c r="BC1054" s="2332">
        <f>IF(AX1048="NM","NM",IF(BC1048="NM","NM",IF(AX1048&lt;=0,"NM",IF(BC1048=0,"NM",IF(ABS(BC1048/AX1048-1)&gt;2.5,"NM",IF((ABS(BC1048-AX1048)=ABS(ABS(BC1048)-ABS(AX1048))),(BC1048/AX1048-1),"NM"))))))</f>
      </c>
      <c r="BD1054" s="2332">
        <f>IF(AY1048="NM","NM",IF(BD1048="NM","NM",IF(AY1048&lt;=0,"NM",IF(BD1048=0,"NM",IF(ABS(BD1048/AY1048-1)&gt;2.5,"NM",IF((ABS(BD1048-AY1048)=ABS(ABS(BD1048)-ABS(AY1048))),(BD1048/AY1048-1),"NM"))))))</f>
      </c>
      <c r="BE1054" s="2332">
        <f t="shared" ref="BE1054:CX1054" si="2205">IF(AZ1048="NM","NM",IF(BE1048="NM","NM",IF(AZ1048&lt;=0,"NM",IF(BE1048=0,"NM",IF(ABS(BE1048/AZ1048-1)&gt;2.5,"NM",IF((ABS(BE1048-AZ1048)=ABS(ABS(BE1048)-ABS(AZ1048))),(BE1048/AZ1048-1),"NM"))))))</f>
      </c>
      <c r="BF1054" s="2332">
        <f t="shared" si="2205"/>
      </c>
      <c r="BG1054" s="2333">
        <f t="shared" si="2205"/>
      </c>
      <c r="BH1054" s="2332">
        <f t="shared" si="2205"/>
      </c>
      <c r="BI1054" s="2332">
        <f t="shared" si="2205"/>
      </c>
      <c r="BJ1054" s="2332">
        <f t="shared" si="2205"/>
      </c>
      <c r="BK1054" s="2332">
        <f t="shared" si="2205"/>
      </c>
      <c r="BL1054" s="2333">
        <f t="shared" si="2205"/>
      </c>
      <c r="BM1054" s="2332">
        <f t="shared" si="2205"/>
      </c>
      <c r="BN1054" s="2332">
        <f t="shared" si="2205"/>
      </c>
      <c r="BO1054" s="2332">
        <f t="shared" si="2205"/>
      </c>
      <c r="BP1054" s="2332">
        <f t="shared" si="2205"/>
      </c>
      <c r="BQ1054" s="2333">
        <f t="shared" si="2205"/>
      </c>
      <c r="BR1054" s="2332">
        <f t="shared" si="2205"/>
      </c>
      <c r="BS1054" s="2332">
        <f t="shared" si="2205"/>
      </c>
      <c r="BT1054" s="2332">
        <f t="shared" si="2205"/>
      </c>
      <c r="BU1054" s="2332">
        <f t="shared" si="2205"/>
      </c>
      <c r="BV1054" s="2333">
        <f t="shared" si="2205"/>
      </c>
      <c r="BW1054" s="2332">
        <f t="shared" si="2205"/>
      </c>
      <c r="BX1054" s="2332">
        <f t="shared" si="2205"/>
      </c>
      <c r="BY1054" s="2332">
        <f t="shared" si="2205"/>
      </c>
      <c r="BZ1054" s="2332">
        <f t="shared" si="2205"/>
      </c>
      <c r="CA1054" s="2333">
        <f t="shared" si="2205"/>
      </c>
      <c r="CB1054" s="2332">
        <f t="shared" si="2205"/>
      </c>
      <c r="CC1054" s="2332">
        <f t="shared" si="2205"/>
      </c>
      <c r="CD1054" s="2332">
        <f t="shared" si="2205"/>
      </c>
      <c r="CE1054" s="2332">
        <f t="shared" si="2205"/>
      </c>
      <c r="CF1054" s="2333">
        <f t="shared" si="2205"/>
      </c>
      <c r="CG1054" s="2332">
        <f t="shared" si="2205"/>
      </c>
      <c r="CH1054" s="2332">
        <f t="shared" si="2205"/>
      </c>
      <c r="CI1054" s="2332">
        <f t="shared" si="2205"/>
      </c>
      <c r="CJ1054" s="2332">
        <f t="shared" si="2205"/>
      </c>
      <c r="CK1054" s="2333">
        <f t="shared" si="2205"/>
      </c>
      <c r="CL1054" s="1935">
        <f t="shared" si="2205"/>
      </c>
      <c r="CM1054" s="2332">
        <f t="shared" si="2205"/>
      </c>
      <c r="CN1054" s="2332">
        <f t="shared" si="2205"/>
      </c>
      <c r="CO1054" s="2332">
        <f t="shared" si="2205"/>
      </c>
      <c r="CP1054" s="2333">
        <f t="shared" si="2205"/>
      </c>
      <c r="CQ1054" s="2332">
        <f t="shared" si="2205"/>
      </c>
      <c r="CR1054" s="2332">
        <f t="shared" si="2205"/>
      </c>
      <c r="CS1054" s="2332">
        <f t="shared" si="2205"/>
      </c>
      <c r="CT1054" s="1936">
        <f t="shared" si="2205"/>
      </c>
      <c r="CU1054" s="1936">
        <f t="shared" si="2205"/>
      </c>
      <c r="CV1054" s="2332">
        <f t="shared" si="2205"/>
      </c>
      <c r="CW1054" s="2332">
        <f t="shared" si="2205"/>
      </c>
      <c r="CX1054" s="2332">
        <f t="shared" si="2205"/>
      </c>
      <c r="CY1054" s="1936">
        <f>IF(CT1048="NM","NM",IF(CY1048="NM","NM",IF(CT1048&lt;=0,"NM",IF(CY1048=0,"NM",IF(ABS(CY1048/CT1048-1)&gt;2.5,"NM",IF((ABS(CY1048-CT1048)=ABS(ABS(CY1048)-ABS(CT1048))),(CY1048/CT1048-1),"NM"))))))</f>
      </c>
      <c r="CZ1054" s="1936">
        <f>IF(CU1048="NM","NM",IF(CZ1048="NM","NM",IF(CU1048&lt;=0,"NM",IF(CZ1048=0,"NM",IF(ABS(CZ1048/CU1048-1)&gt;2.5,"NM",IF((ABS(CZ1048-CU1048)=ABS(ABS(CZ1048)-ABS(CU1048))),(CZ1048/CU1048-1),"NM"))))))</f>
      </c>
      <c r="DA1054" s="1935">
        <f>IF(CV1048=0, "NA", DA1048/CV1048-1)</f>
      </c>
      <c r="DB1054" s="2332">
        <f>IF(CW1048=0, "NA", DB1048/CW1048-1)</f>
      </c>
      <c r="DC1054" s="2332">
        <f>IF(CX1048=0, "NA", DC1048/CX1048-1)</f>
      </c>
      <c r="DD1054" s="1936">
        <f>IF(CY1048=0, "NM", DD1048/CY1048-1)</f>
      </c>
      <c r="DE1054" s="2333">
        <f>IF(CZ1048="NM","NM",IF(DE1048="NM","NM",IF(CZ1048&lt;=0,"NM",IF(DE1048=0,"NM",IF(ABS(DE1048/CZ1048-1)&gt;2.5,"NM",IF((ABS(DE1048-CZ1048)=ABS(ABS(DE1048)-ABS(CZ1048))),(DE1048/CZ1048-1),"NM"))))))</f>
      </c>
      <c r="DF1054" s="1935"/>
      <c r="DG1054" s="2332"/>
      <c r="DH1054" s="2332"/>
      <c r="DI1054" s="1936"/>
      <c r="DJ1054" s="2333">
        <f>IF(DE1048="NM","NM",IF(DJ1048="NM","NM",IF(DE1048&lt;=0,"NM",IF(DJ1048=0,"NM",IF(ABS(DJ1048/DE1048-1)&gt;2.5,"NM",IF((ABS(DJ1048-DE1048)=ABS(ABS(DJ1048)-ABS(DE1048))),(DJ1048/DE1048-1),"NM"))))))</f>
      </c>
      <c r="DK1054" s="958"/>
      <c r="DL1054" s="926"/>
      <c r="DM1054" s="926"/>
      <c r="DN1054" s="928"/>
      <c r="DO1054" s="2333">
        <f>IF(DJ1048="NM","NM",IF(DO1048="NM","NM",IF(DJ1048&lt;=0,"NM",IF(DO1048=0,"NM",IF(ABS(DO1048/DJ1048-1)&gt;2.5,"NM",IF((ABS(DO1048-DJ1048)=ABS(ABS(DO1048)-ABS(DJ1048))),(DO1048/DJ1048-1),"NM"))))))</f>
      </c>
      <c r="DP1054" s="2332"/>
      <c r="DQ1054" s="2332"/>
      <c r="DR1054" s="2332"/>
      <c r="DS1054" s="2332"/>
      <c r="DT1054" s="2333">
        <f>IF(DO1048="NM","NM",IF(DT1048="NM","NM",IF(DO1048&lt;=0,"NM",IF(DT1048=0,"NM",IF(ABS(DT1048/DO1048-1)&gt;2.5,"NM",IF((ABS(DT1048-DO1048)=ABS(ABS(DT1048)-ABS(DO1048))),(DT1048/DO1048-1),"NM"))))))</f>
      </c>
      <c r="DU1054" s="2332" t="str">
        <f>IF(DP1048="NM","NM",IF(DU1048="NM","NM",IF(DP1048&lt;=0,"NM",IF(DU1048=0,"NM",IF(ABS(DU1048/DP1048-1)&gt;2.5,"NM",IF((ABS(DU1048-DP1048)=ABS(ABS(DU1048)-ABS(DP1048))),(DU1048/DP1048-1),"NM"))))))</f>
      </c>
      <c r="DV1054" s="2332"/>
      <c r="DW1054" s="2332"/>
      <c r="DX1054" s="1936"/>
      <c r="DY1054" s="2333" t="e">
        <f>IF(DT1048="NM","NM",IF(DY1048="NM","NM",IF(DT1048&lt;=0,"NM",IF(DY1048=0,"NM",IF(ABS(DY1048/DT1048-1)&gt;2.5,"NM",IF((ABS(DY1048-DT1048)=ABS(ABS(DY1048)-ABS(DT1048))),(DY1048/DT1048-1),"NM"))))))</f>
      </c>
      <c r="DZ1054" s="2332"/>
      <c r="EA1054" s="2332"/>
      <c r="EB1054" s="2332"/>
      <c r="EC1054" s="1936"/>
      <c r="ED1054" s="2333" t="e">
        <f>IF(DY1048="NM","NM",IF(ED1048="NM","NM",IF(DY1048&lt;=0,"NM",IF(ED1048=0,"NM",IF(ABS(ED1048/DY1048-1)&gt;2.5,"NM",IF((ABS(ED1048-DY1048)=ABS(ABS(ED1048)-ABS(DY1048))),(ED1048/DY1048-1),"NM"))))))</f>
      </c>
      <c r="EE1054" s="2332"/>
      <c r="EF1054" s="2332"/>
      <c r="EG1054" s="2332"/>
      <c r="EH1054" s="2332"/>
      <c r="EI1054" s="1935" t="e">
        <f>IF(ED1048="NM","NM",IF(EI1048="NM","NM",IF(ED1048&lt;=0,"NM",IF(EI1048=0,"NM",IF(ABS(EI1048/ED1048-1)&gt;2.5,"NM",IF((ABS(EI1048-ED1048)=ABS(ABS(EI1048)-ABS(ED1048))),(EI1048/ED1048-1),"NM"))))))</f>
      </c>
      <c r="EJ1054" s="1935" t="e">
        <f t="shared" ref="EJ1054:EN1054" si="2206">IF(EI1048="NM","NM",IF(EJ1048="NM","NM",IF(EI1048&lt;=0,"NM",IF(EJ1048=0,"NM",IF(ABS(EJ1048/EI1048-1)&gt;2.5,"NM",IF((ABS(EJ1048-EI1048)=ABS(ABS(EJ1048)-ABS(EI1048))),(EJ1048/EI1048-1),"NM"))))))</f>
      </c>
      <c r="EK1054" s="2333" t="e">
        <f t="shared" si="2206"/>
      </c>
      <c r="EL1054" s="2333" t="e">
        <f t="shared" si="2206"/>
      </c>
      <c r="EM1054" s="2333" t="e">
        <f t="shared" si="2206"/>
      </c>
      <c r="EN1054" s="2333" t="e">
        <f t="shared" si="2206"/>
      </c>
      <c r="EO1054" s="2333"/>
      <c r="EP1054" s="2333"/>
      <c r="EQ1054" s="2333"/>
      <c r="ER1054" s="2333"/>
      <c r="ES1054" s="2333"/>
      <c r="ET1054" s="2333"/>
      <c r="EU1054" s="2333"/>
      <c r="EV1054" s="2333"/>
      <c r="EW1054" s="2333"/>
      <c r="EX1054" s="2333"/>
    </row>
    <row r="1055" spans="1:154" s="419" customFormat="1" hidden="1" outlineLevel="1">
      <c r="A1055" s="3275"/>
      <c r="B1055" s="423"/>
      <c r="C1055" s="2326"/>
      <c r="D1055" s="2327"/>
      <c r="E1055" s="2327"/>
      <c r="F1055" s="2327"/>
      <c r="G1055" s="2327"/>
      <c r="H1055" s="2327"/>
      <c r="I1055" s="2332"/>
      <c r="J1055" s="2332"/>
      <c r="K1055" s="2332"/>
      <c r="L1055" s="2332"/>
      <c r="M1055" s="2332"/>
      <c r="N1055" s="2332"/>
      <c r="O1055" s="2332"/>
      <c r="P1055" s="2332"/>
      <c r="Q1055" s="2332"/>
      <c r="R1055" s="2332"/>
      <c r="S1055" s="2332"/>
      <c r="T1055" s="2332"/>
      <c r="U1055" s="2332"/>
      <c r="V1055" s="2332"/>
      <c r="W1055" s="2332"/>
      <c r="X1055" s="2333"/>
      <c r="Y1055" s="2332"/>
      <c r="Z1055" s="2332"/>
      <c r="AA1055" s="2332"/>
      <c r="AB1055" s="2332"/>
      <c r="AC1055" s="2333"/>
      <c r="AD1055" s="2332"/>
      <c r="AE1055" s="2332"/>
      <c r="AF1055" s="2332"/>
      <c r="AG1055" s="2332"/>
      <c r="AH1055" s="2333"/>
      <c r="AI1055" s="2332"/>
      <c r="AJ1055" s="2332"/>
      <c r="AK1055" s="2332"/>
      <c r="AL1055" s="2332"/>
      <c r="AM1055" s="2333"/>
      <c r="AN1055" s="2332"/>
      <c r="AO1055" s="2332"/>
      <c r="AP1055" s="2332"/>
      <c r="AQ1055" s="2332"/>
      <c r="AR1055" s="2333"/>
      <c r="AS1055" s="2332"/>
      <c r="AT1055" s="2332"/>
      <c r="AU1055" s="2332"/>
      <c r="AV1055" s="2332"/>
      <c r="AW1055" s="2333"/>
      <c r="AX1055" s="2332"/>
      <c r="AY1055" s="2332"/>
      <c r="AZ1055" s="2332"/>
      <c r="BA1055" s="2332"/>
      <c r="BB1055" s="2333"/>
      <c r="BC1055" s="2332"/>
      <c r="BD1055" s="2332"/>
      <c r="BE1055" s="2332"/>
      <c r="BF1055" s="2332"/>
      <c r="BG1055" s="2333"/>
      <c r="BH1055" s="2332"/>
      <c r="BI1055" s="2332"/>
      <c r="BJ1055" s="2332"/>
      <c r="BK1055" s="2332"/>
      <c r="BL1055" s="2333"/>
      <c r="BM1055" s="2332"/>
      <c r="BN1055" s="2332"/>
      <c r="BO1055" s="2332"/>
      <c r="BP1055" s="2332"/>
      <c r="BQ1055" s="2333"/>
      <c r="BR1055" s="2332"/>
      <c r="BS1055" s="2332"/>
      <c r="BT1055" s="2332"/>
      <c r="BU1055" s="2332"/>
      <c r="BV1055" s="2333"/>
      <c r="BW1055" s="2332"/>
      <c r="BX1055" s="2332"/>
      <c r="BY1055" s="2332"/>
      <c r="BZ1055" s="2332"/>
      <c r="CA1055" s="2333"/>
      <c r="CB1055" s="2332"/>
      <c r="CC1055" s="2332"/>
      <c r="CD1055" s="2332"/>
      <c r="CE1055" s="2332"/>
      <c r="CF1055" s="2333"/>
      <c r="CG1055" s="2332"/>
      <c r="CH1055" s="2332"/>
      <c r="CI1055" s="2332"/>
      <c r="CJ1055" s="2332"/>
      <c r="CK1055" s="2333"/>
      <c r="CL1055" s="1935"/>
      <c r="CM1055" s="2332"/>
      <c r="CN1055" s="2332"/>
      <c r="CO1055" s="2332"/>
      <c r="CP1055" s="2333"/>
      <c r="CQ1055" s="2332"/>
      <c r="CR1055" s="2332"/>
      <c r="CS1055" s="2332"/>
      <c r="CT1055" s="1936"/>
      <c r="CU1055" s="1936"/>
      <c r="CV1055" s="2332"/>
      <c r="CW1055" s="2332"/>
      <c r="CX1055" s="2332"/>
      <c r="CY1055" s="1936"/>
      <c r="CZ1055" s="1936"/>
      <c r="DA1055" s="1935"/>
      <c r="DB1055" s="2332"/>
      <c r="DC1055" s="2332"/>
      <c r="DD1055" s="1936"/>
      <c r="DE1055" s="2333"/>
      <c r="DF1055" s="1935"/>
      <c r="DG1055" s="2332"/>
      <c r="DH1055" s="2332"/>
      <c r="DI1055" s="1936"/>
      <c r="DJ1055" s="2333"/>
      <c r="DK1055" s="958"/>
      <c r="DL1055" s="926"/>
      <c r="DM1055" s="926"/>
      <c r="DN1055" s="928"/>
      <c r="DO1055" s="2333"/>
      <c r="DP1055" s="2332"/>
      <c r="DQ1055" s="2332"/>
      <c r="DR1055" s="2332"/>
      <c r="DS1055" s="2332"/>
      <c r="DT1055" s="2333"/>
      <c r="DU1055" s="2332"/>
      <c r="DV1055" s="2332"/>
      <c r="DW1055" s="2332"/>
      <c r="DX1055" s="1936"/>
      <c r="DY1055" s="2333"/>
      <c r="DZ1055" s="2332"/>
      <c r="EA1055" s="2332"/>
      <c r="EB1055" s="2332"/>
      <c r="EC1055" s="1936"/>
      <c r="ED1055" s="2333"/>
      <c r="EE1055" s="2332"/>
      <c r="EF1055" s="2332"/>
      <c r="EG1055" s="2332"/>
      <c r="EH1055" s="2332"/>
      <c r="EI1055" s="1935"/>
      <c r="EJ1055" s="1935"/>
      <c r="EK1055" s="2333"/>
      <c r="EL1055" s="2333"/>
      <c r="EM1055" s="2333"/>
      <c r="EN1055" s="2333"/>
      <c r="EO1055" s="2333"/>
      <c r="EP1055" s="2333"/>
      <c r="EQ1055" s="2333"/>
      <c r="ER1055" s="2333"/>
      <c r="ES1055" s="2333"/>
      <c r="ET1055" s="2333"/>
      <c r="EU1055" s="2333"/>
      <c r="EV1055" s="2333"/>
      <c r="EW1055" s="2333"/>
      <c r="EX1055" s="2333"/>
    </row>
    <row r="1056" spans="1:154" s="419" customFormat="1" hidden="1" outlineLevel="1">
      <c r="A1056" s="3275"/>
      <c r="B1056" s="425" t="s">
        <v>366</v>
      </c>
      <c r="C1056" s="2326" t="s">
        <v>500</v>
      </c>
      <c r="D1056" s="2327"/>
      <c r="E1056" s="2327"/>
      <c r="F1056" s="2327"/>
      <c r="G1056" s="2327"/>
      <c r="H1056" s="2327"/>
      <c r="I1056" s="2327"/>
      <c r="J1056" s="2327"/>
      <c r="K1056" s="2327"/>
      <c r="L1056" s="2327"/>
      <c r="M1056" s="2327"/>
      <c r="N1056" s="2327"/>
      <c r="O1056" s="2327"/>
      <c r="P1056" s="2327"/>
      <c r="Q1056" s="2327"/>
      <c r="R1056" s="2327"/>
      <c r="S1056" s="2327"/>
      <c r="T1056" s="2327"/>
      <c r="U1056" s="2327"/>
      <c r="V1056" s="2327"/>
      <c r="W1056" s="2327"/>
      <c r="X1056" s="2349"/>
      <c r="Y1056" s="2327"/>
      <c r="Z1056" s="2327"/>
      <c r="AA1056" s="2327"/>
      <c r="AB1056" s="2327"/>
      <c r="AC1056" s="2349"/>
      <c r="AD1056" s="2327"/>
      <c r="AE1056" s="2327"/>
      <c r="AF1056" s="2327"/>
      <c r="AG1056" s="2327"/>
      <c r="AH1056" s="2349"/>
      <c r="AI1056" s="2327"/>
      <c r="AJ1056" s="2327"/>
      <c r="AK1056" s="2327"/>
      <c r="AL1056" s="2327"/>
      <c r="AM1056" s="2349"/>
      <c r="AN1056" s="2327"/>
      <c r="AO1056" s="2327"/>
      <c r="AP1056" s="2327"/>
      <c r="AQ1056" s="2327"/>
      <c r="AR1056" s="2349"/>
      <c r="AS1056" s="2327"/>
      <c r="AT1056" s="2327"/>
      <c r="AU1056" s="2327"/>
      <c r="AV1056" s="2327"/>
      <c r="AW1056" s="2349"/>
      <c r="AX1056" s="2327"/>
      <c r="AY1056" s="2327"/>
      <c r="AZ1056" s="2327"/>
      <c r="BA1056" s="2327"/>
      <c r="BB1056" s="2349"/>
      <c r="BC1056" s="2327"/>
      <c r="BD1056" s="2327"/>
      <c r="BE1056" s="2327"/>
      <c r="BF1056" s="2327"/>
      <c r="BG1056" s="2349"/>
      <c r="BH1056" s="2327"/>
      <c r="BI1056" s="2327"/>
      <c r="BJ1056" s="2327"/>
      <c r="BK1056" s="2327"/>
      <c r="BL1056" s="2349"/>
      <c r="BM1056" s="2327"/>
      <c r="BN1056" s="2327"/>
      <c r="BO1056" s="2327"/>
      <c r="BP1056" s="2327"/>
      <c r="BQ1056" s="2349"/>
      <c r="BR1056" s="2327"/>
      <c r="BS1056" s="2327"/>
      <c r="BT1056" s="2327"/>
      <c r="BU1056" s="2327"/>
      <c r="BV1056" s="2349"/>
      <c r="BW1056" s="2327"/>
      <c r="BX1056" s="2327"/>
      <c r="BY1056" s="2327"/>
      <c r="BZ1056" s="2327"/>
      <c r="CA1056" s="2349"/>
      <c r="CB1056" s="2327"/>
      <c r="CC1056" s="2327"/>
      <c r="CD1056" s="2327"/>
      <c r="CE1056" s="2327"/>
      <c r="CF1056" s="2349"/>
      <c r="CG1056" s="2327"/>
      <c r="CH1056" s="2327"/>
      <c r="CI1056" s="2327"/>
      <c r="CJ1056" s="2327"/>
      <c r="CK1056" s="2349"/>
      <c r="CL1056" s="1008"/>
      <c r="CM1056" s="2327"/>
      <c r="CN1056" s="2327"/>
      <c r="CO1056" s="2327"/>
      <c r="CP1056" s="2349"/>
      <c r="CQ1056" s="2327"/>
      <c r="CR1056" s="2327"/>
      <c r="CS1056" s="2327"/>
      <c r="CT1056" s="1009"/>
      <c r="CU1056" s="1009"/>
      <c r="CV1056" s="2327"/>
      <c r="CW1056" s="2327"/>
      <c r="CX1056" s="2327"/>
      <c r="CY1056" s="1009"/>
      <c r="CZ1056" s="1009"/>
      <c r="DA1056" s="1008"/>
      <c r="DB1056" s="2327"/>
      <c r="DC1056" s="2327"/>
      <c r="DD1056" s="1009"/>
      <c r="DE1056" s="2350"/>
      <c r="DF1056" s="2330"/>
      <c r="DG1056" s="2331"/>
      <c r="DH1056" s="2331"/>
      <c r="DI1056" s="2131"/>
      <c r="DJ1056" s="2350"/>
      <c r="DK1056" s="981"/>
      <c r="DL1056" s="982"/>
      <c r="DM1056" s="982"/>
      <c r="DN1056" s="1875"/>
      <c r="DO1056" s="2350"/>
      <c r="DP1056" s="2331"/>
      <c r="DQ1056" s="2331"/>
      <c r="DR1056" s="2331"/>
      <c r="DS1056" s="2331"/>
      <c r="DT1056" s="2350"/>
      <c r="DU1056" s="2331"/>
      <c r="DV1056" s="2331"/>
      <c r="DW1056" s="2331"/>
      <c r="DX1056" s="2131"/>
      <c r="DY1056" s="2350"/>
      <c r="DZ1056" s="2331"/>
      <c r="EA1056" s="2331"/>
      <c r="EB1056" s="2331"/>
      <c r="EC1056" s="2131"/>
      <c r="ED1056" s="2350"/>
      <c r="EE1056" s="2331"/>
      <c r="EF1056" s="2331"/>
      <c r="EG1056" s="2331"/>
      <c r="EH1056" s="2331"/>
      <c r="EI1056" s="2330"/>
      <c r="EJ1056" s="2330"/>
      <c r="EK1056" s="2350"/>
      <c r="EL1056" s="2350"/>
      <c r="EM1056" s="2350"/>
      <c r="EN1056" s="2350"/>
      <c r="EO1056" s="2350"/>
      <c r="EP1056" s="2350"/>
      <c r="EQ1056" s="2350"/>
      <c r="ER1056" s="2350"/>
      <c r="ES1056" s="2350"/>
      <c r="ET1056" s="2350"/>
      <c r="EU1056" s="2350"/>
      <c r="EV1056" s="2350"/>
      <c r="EW1056" s="2350"/>
      <c r="EX1056" s="2350"/>
    </row>
    <row r="1057" spans="1:154" s="419" customFormat="1" hidden="1" outlineLevel="1">
      <c r="A1057" s="3275"/>
      <c r="B1057" s="2351" t="s">
        <v>187</v>
      </c>
      <c r="C1057" s="2326"/>
      <c r="D1057" s="2327"/>
      <c r="E1057" s="2327"/>
      <c r="F1057" s="2327"/>
      <c r="G1057" s="2327"/>
      <c r="H1057" s="2327"/>
      <c r="I1057" s="2327"/>
      <c r="J1057" s="2327"/>
      <c r="K1057" s="2327"/>
      <c r="L1057" s="2327"/>
      <c r="M1057" s="2327"/>
      <c r="N1057" s="2327"/>
      <c r="O1057" s="2327"/>
      <c r="P1057" s="2327"/>
      <c r="Q1057" s="2327"/>
      <c r="R1057" s="2327"/>
      <c r="S1057" s="2327"/>
      <c r="T1057" s="2327"/>
      <c r="U1057" s="2327"/>
      <c r="V1057" s="2327"/>
      <c r="W1057" s="2327"/>
      <c r="X1057" s="2349"/>
      <c r="Y1057" s="2327"/>
      <c r="Z1057" s="2327"/>
      <c r="AA1057" s="2327"/>
      <c r="AB1057" s="2327"/>
      <c r="AC1057" s="2349"/>
      <c r="AD1057" s="2327"/>
      <c r="AE1057" s="2327"/>
      <c r="AF1057" s="2327"/>
      <c r="AG1057" s="2327"/>
      <c r="AH1057" s="2349"/>
      <c r="AI1057" s="2327"/>
      <c r="AJ1057" s="2327"/>
      <c r="AK1057" s="2327"/>
      <c r="AL1057" s="2327"/>
      <c r="AM1057" s="2349"/>
      <c r="AN1057" s="2327"/>
      <c r="AO1057" s="2327"/>
      <c r="AP1057" s="2327"/>
      <c r="AQ1057" s="2327"/>
      <c r="AR1057" s="2349"/>
      <c r="AS1057" s="2327"/>
      <c r="AT1057" s="2327"/>
      <c r="AU1057" s="2327"/>
      <c r="AV1057" s="2327"/>
      <c r="AW1057" s="2349"/>
      <c r="AX1057" s="2327"/>
      <c r="AY1057" s="2327"/>
      <c r="AZ1057" s="2327"/>
      <c r="BA1057" s="2327"/>
      <c r="BB1057" s="2349">
        <f>SUM(AX1057:BA1057)</f>
      </c>
      <c r="BC1057" s="2327">
        <v>0</v>
      </c>
      <c r="BD1057" s="2327">
        <f t="shared" ref="BD1057:BF1058" si="2207">+(1+BD1062)*AY1057</f>
      </c>
      <c r="BE1057" s="2327">
        <f t="shared" si="2207"/>
      </c>
      <c r="BF1057" s="2327">
        <f t="shared" si="2207"/>
      </c>
      <c r="BG1057" s="418">
        <f>SUM(BC1057:BF1057)</f>
      </c>
      <c r="BH1057" s="2327">
        <v>0</v>
      </c>
      <c r="BI1057" s="2327">
        <f t="shared" ref="BI1057:BK1058" si="2208">+(1+BI1062)*BD1057</f>
      </c>
      <c r="BJ1057" s="354">
        <v>0</v>
      </c>
      <c r="BK1057" s="2327">
        <f t="shared" si="2208"/>
      </c>
      <c r="BL1057" s="418">
        <f>+BG1057*(1+BL1062)</f>
      </c>
      <c r="BM1057" s="2327">
        <f t="shared" ref="BM1057:BO1058" si="2209">+(1+BM1062)*BH1057</f>
      </c>
      <c r="BN1057" s="2327">
        <f t="shared" si="2209"/>
      </c>
      <c r="BO1057" s="2327">
        <f t="shared" si="2209"/>
      </c>
      <c r="BP1057" s="2327">
        <f>+BQ1057-SUM(BM1057:BO1057)</f>
      </c>
      <c r="BQ1057" s="418">
        <f>+BL1057*(1+BQ1062)</f>
      </c>
      <c r="BR1057" s="2327">
        <f t="shared" ref="BR1057:BT1058" si="2210">+(1+BR1062)*BM1057</f>
      </c>
      <c r="BS1057" s="2327">
        <f t="shared" si="2210"/>
      </c>
      <c r="BT1057" s="2327">
        <f t="shared" si="2210"/>
      </c>
      <c r="BU1057" s="2327">
        <f>+BV1057-SUM(BR1057:BT1057)</f>
      </c>
      <c r="BV1057" s="418">
        <f>+BQ1057*(1+BV1062)</f>
      </c>
      <c r="BW1057" s="2327">
        <f t="shared" ref="BW1057:BZ1058" si="2211">+(1+BW1062)*BR1057</f>
      </c>
      <c r="BX1057" s="2327">
        <f t="shared" si="2211"/>
      </c>
      <c r="BY1057" s="2327">
        <f t="shared" si="2211"/>
      </c>
      <c r="BZ1057" s="2327">
        <f t="shared" si="2211"/>
      </c>
      <c r="CA1057" s="418">
        <f>SUM(BW1057:BZ1057)</f>
      </c>
      <c r="CB1057" s="2327">
        <f t="shared" ref="CB1057:CE1058" si="2212">+(1+CB1062)*BW1057</f>
      </c>
      <c r="CC1057" s="2327">
        <f t="shared" si="2212"/>
      </c>
      <c r="CD1057" s="2327">
        <f t="shared" si="2212"/>
      </c>
      <c r="CE1057" s="2327">
        <f t="shared" si="2212"/>
      </c>
      <c r="CF1057" s="418">
        <f>SUM(CB1057:CE1057)</f>
      </c>
      <c r="CG1057" s="2327">
        <f t="shared" ref="CG1057:CJ1058" si="2213">+(1+CG1062)*CB1057</f>
      </c>
      <c r="CH1057" s="2327">
        <f t="shared" si="2213"/>
      </c>
      <c r="CI1057" s="2327">
        <f t="shared" si="2213"/>
      </c>
      <c r="CJ1057" s="2327">
        <f t="shared" si="2213"/>
      </c>
      <c r="CK1057" s="418">
        <f>SUM(CG1057:CJ1057)</f>
      </c>
      <c r="CL1057" s="1008">
        <f t="shared" ref="CL1057:CO1058" si="2214">+(1+CL1062)*CG1057</f>
      </c>
      <c r="CM1057" s="2327">
        <f t="shared" si="2214"/>
      </c>
      <c r="CN1057" s="2327">
        <f t="shared" si="2214"/>
      </c>
      <c r="CO1057" s="2327">
        <f t="shared" si="2214"/>
      </c>
      <c r="CP1057" s="418">
        <f>+CK1057*(1+CP1062)</f>
      </c>
      <c r="CQ1057" s="2327">
        <f t="shared" ref="CQ1057:CY1058" si="2215">+(1+CQ1062)*CL1057</f>
      </c>
      <c r="CR1057" s="2327">
        <f t="shared" si="2215"/>
      </c>
      <c r="CS1057" s="2327">
        <f t="shared" si="2215"/>
      </c>
      <c r="CT1057" s="1009">
        <f t="shared" si="2215"/>
      </c>
      <c r="CU1057" s="1003">
        <f>+CP1057*(1+CU1062)</f>
      </c>
      <c r="CV1057" s="2327">
        <f t="shared" si="2215"/>
      </c>
      <c r="CW1057" s="2327">
        <f t="shared" si="2215"/>
      </c>
      <c r="CX1057" s="2327">
        <f t="shared" si="2215"/>
      </c>
      <c r="CY1057" s="1009">
        <f t="shared" si="2215"/>
      </c>
      <c r="CZ1057" s="1003">
        <f>+CU1057*(1+CZ1062)</f>
      </c>
      <c r="DA1057" s="1331">
        <f t="shared" ref="DA1057:DC1058" si="2216">+(1+DA1062)*CV1057</f>
      </c>
      <c r="DB1057" s="417">
        <f t="shared" si="2216"/>
      </c>
      <c r="DC1057" s="417">
        <f t="shared" si="2216"/>
      </c>
      <c r="DD1057" s="1003">
        <f>+DE1057-SUM(DA1057:DC1057)</f>
      </c>
      <c r="DE1057" s="1932">
        <f>+CZ1057*(1+DE1062)</f>
      </c>
      <c r="DF1057" s="1933"/>
      <c r="DG1057" s="2328"/>
      <c r="DH1057" s="2328"/>
      <c r="DI1057" s="1934"/>
      <c r="DJ1057" s="1932">
        <f>+DE1057*(1+DJ1062)</f>
      </c>
      <c r="DK1057" s="1799"/>
      <c r="DL1057" s="603"/>
      <c r="DM1057" s="603"/>
      <c r="DN1057" s="1798"/>
      <c r="DO1057" s="1932">
        <f>+DJ1057*(1+DO1062)</f>
      </c>
      <c r="DP1057" s="2328"/>
      <c r="DQ1057" s="2328"/>
      <c r="DR1057" s="2328"/>
      <c r="DS1057" s="2328"/>
      <c r="DT1057" s="1932">
        <f>+DO1057*(1+DT1062)</f>
      </c>
      <c r="DU1057" s="2328">
        <f>+DP1057*(1+DU1062)</f>
      </c>
      <c r="DV1057" s="2328"/>
      <c r="DW1057" s="2328"/>
      <c r="DX1057" s="1934"/>
      <c r="DY1057" s="1932">
        <f>+DT1057*(1+DY1062)</f>
      </c>
      <c r="DZ1057" s="2328"/>
      <c r="EA1057" s="2328"/>
      <c r="EB1057" s="2328"/>
      <c r="EC1057" s="1934"/>
      <c r="ED1057" s="1932">
        <f>+DY1057*(1+ED1062)</f>
      </c>
      <c r="EE1057" s="2328"/>
      <c r="EF1057" s="2328"/>
      <c r="EG1057" s="2328"/>
      <c r="EH1057" s="2328"/>
      <c r="EI1057" s="1933">
        <f>+ED1057*(1+EI1062)</f>
      </c>
      <c r="EJ1057" s="1933">
        <f t="shared" ref="EJ1057:EN1058" si="2217">+EI1057*(1+EJ1062)</f>
      </c>
      <c r="EK1057" s="1932">
        <f t="shared" si="2217"/>
      </c>
      <c r="EL1057" s="1932">
        <f t="shared" si="2217"/>
      </c>
      <c r="EM1057" s="1932">
        <f t="shared" si="2217"/>
      </c>
      <c r="EN1057" s="1932">
        <f t="shared" si="2217"/>
      </c>
      <c r="EO1057" s="1932"/>
      <c r="EP1057" s="1932"/>
      <c r="EQ1057" s="1932"/>
      <c r="ER1057" s="1932"/>
      <c r="ES1057" s="1932"/>
      <c r="ET1057" s="1932"/>
      <c r="EU1057" s="1932"/>
      <c r="EV1057" s="1932"/>
      <c r="EW1057" s="1932"/>
      <c r="EX1057" s="1932"/>
    </row>
    <row r="1058" spans="1:154" s="419" customFormat="1" hidden="1" outlineLevel="1">
      <c r="A1058" s="3275"/>
      <c r="B1058" s="2351" t="s">
        <v>412</v>
      </c>
      <c r="C1058" s="2326"/>
      <c r="D1058" s="2327"/>
      <c r="E1058" s="2327"/>
      <c r="F1058" s="2327"/>
      <c r="G1058" s="2327"/>
      <c r="H1058" s="2327"/>
      <c r="I1058" s="2327"/>
      <c r="J1058" s="2327"/>
      <c r="K1058" s="2327"/>
      <c r="L1058" s="2327"/>
      <c r="M1058" s="2327"/>
      <c r="N1058" s="2327"/>
      <c r="O1058" s="2327"/>
      <c r="P1058" s="2327"/>
      <c r="Q1058" s="2327"/>
      <c r="R1058" s="2327"/>
      <c r="S1058" s="2327"/>
      <c r="T1058" s="2327"/>
      <c r="U1058" s="2327"/>
      <c r="V1058" s="2327"/>
      <c r="W1058" s="2327"/>
      <c r="X1058" s="2349"/>
      <c r="Y1058" s="2327"/>
      <c r="Z1058" s="2327"/>
      <c r="AA1058" s="2327"/>
      <c r="AB1058" s="2327"/>
      <c r="AC1058" s="2349"/>
      <c r="AD1058" s="2327"/>
      <c r="AE1058" s="2327"/>
      <c r="AF1058" s="2327"/>
      <c r="AG1058" s="2327"/>
      <c r="AH1058" s="2349"/>
      <c r="AI1058" s="2327"/>
      <c r="AJ1058" s="2327"/>
      <c r="AK1058" s="2327"/>
      <c r="AL1058" s="2327"/>
      <c r="AM1058" s="2349"/>
      <c r="AN1058" s="2327"/>
      <c r="AO1058" s="2327"/>
      <c r="AP1058" s="2327"/>
      <c r="AQ1058" s="2327"/>
      <c r="AR1058" s="2349"/>
      <c r="AS1058" s="2327"/>
      <c r="AT1058" s="2327"/>
      <c r="AU1058" s="2327"/>
      <c r="AV1058" s="2327"/>
      <c r="AW1058" s="2349"/>
      <c r="AX1058" s="2327">
        <v>17.7</v>
      </c>
      <c r="AY1058" s="2327">
        <v>19.2</v>
      </c>
      <c r="AZ1058" s="2327">
        <v>21.3</v>
      </c>
      <c r="BA1058" s="2327">
        <v>23</v>
      </c>
      <c r="BB1058" s="2349">
        <f>SUM(AX1058:BA1058)</f>
      </c>
      <c r="BC1058" s="2327">
        <f>+AX1058*1.2</f>
      </c>
      <c r="BD1058" s="2327">
        <f t="shared" si="2207"/>
      </c>
      <c r="BE1058" s="2327">
        <f t="shared" si="2207"/>
      </c>
      <c r="BF1058" s="2327">
        <f t="shared" si="2207"/>
      </c>
      <c r="BG1058" s="418">
        <f>SUM(BC1058:BF1058)</f>
      </c>
      <c r="BH1058" s="2327">
        <f>+BC1058*1.2</f>
      </c>
      <c r="BI1058" s="2327">
        <f t="shared" si="2208"/>
      </c>
      <c r="BJ1058" s="354">
        <v>26.253177614999995</v>
      </c>
      <c r="BK1058" s="2327">
        <f>+(1+BK1063)*BF1058</f>
      </c>
      <c r="BL1058" s="418">
        <f>+BG1058*(1+BL1063)</f>
      </c>
      <c r="BM1058" s="2327">
        <f t="shared" si="2209"/>
      </c>
      <c r="BN1058" s="2327">
        <f t="shared" si="2209"/>
      </c>
      <c r="BO1058" s="2327">
        <f t="shared" si="2209"/>
      </c>
      <c r="BP1058" s="2327">
        <f>+BQ1058-SUM(BM1058:BO1058)</f>
      </c>
      <c r="BQ1058" s="418">
        <f>+BL1058*(1+BQ1063)</f>
      </c>
      <c r="BR1058" s="2327">
        <f t="shared" si="2210"/>
      </c>
      <c r="BS1058" s="2327">
        <f t="shared" si="2210"/>
      </c>
      <c r="BT1058" s="2327">
        <f t="shared" si="2210"/>
      </c>
      <c r="BU1058" s="2327">
        <f>+BV1058-SUM(BR1058:BT1058)</f>
      </c>
      <c r="BV1058" s="418">
        <f>+BQ1058*(1+BV1063)</f>
      </c>
      <c r="BW1058" s="2327">
        <f t="shared" si="2211"/>
      </c>
      <c r="BX1058" s="2327">
        <f t="shared" si="2211"/>
      </c>
      <c r="BY1058" s="2327">
        <f t="shared" si="2211"/>
      </c>
      <c r="BZ1058" s="2327">
        <f t="shared" si="2211"/>
      </c>
      <c r="CA1058" s="418">
        <f>SUM(BW1058:BZ1058)</f>
      </c>
      <c r="CB1058" s="2327">
        <f t="shared" si="2212"/>
      </c>
      <c r="CC1058" s="2327">
        <f t="shared" si="2212"/>
      </c>
      <c r="CD1058" s="2327">
        <f t="shared" si="2212"/>
      </c>
      <c r="CE1058" s="2327">
        <f t="shared" si="2212"/>
      </c>
      <c r="CF1058" s="418">
        <f>SUM(CB1058:CE1058)</f>
      </c>
      <c r="CG1058" s="2327">
        <f t="shared" si="2213"/>
      </c>
      <c r="CH1058" s="2327">
        <f t="shared" si="2213"/>
      </c>
      <c r="CI1058" s="2327">
        <f t="shared" si="2213"/>
      </c>
      <c r="CJ1058" s="2327">
        <f t="shared" si="2213"/>
      </c>
      <c r="CK1058" s="418">
        <f>SUM(CG1058:CJ1058)</f>
      </c>
      <c r="CL1058" s="1008">
        <f t="shared" si="2214"/>
      </c>
      <c r="CM1058" s="2327">
        <f t="shared" si="2214"/>
      </c>
      <c r="CN1058" s="2327">
        <f t="shared" si="2214"/>
      </c>
      <c r="CO1058" s="2327">
        <f t="shared" si="2214"/>
      </c>
      <c r="CP1058" s="418">
        <f>+CK1058*(1+CP1063)</f>
      </c>
      <c r="CQ1058" s="2327">
        <f>+(1+CQ1063)*CL1058</f>
      </c>
      <c r="CR1058" s="2327">
        <f>+(1+CR1063)*CM1058</f>
      </c>
      <c r="CS1058" s="2327">
        <f>+(1+CS1063)*CN1058</f>
      </c>
      <c r="CT1058" s="1009">
        <f>+(1+CT1063)*CO1058</f>
      </c>
      <c r="CU1058" s="1003">
        <f>+CP1058*(1+CU1063)</f>
      </c>
      <c r="CV1058" s="2327">
        <f>+(1+CV1063)*CQ1058</f>
      </c>
      <c r="CW1058" s="2327">
        <f t="shared" si="2215"/>
      </c>
      <c r="CX1058" s="2327">
        <f t="shared" si="2215"/>
      </c>
      <c r="CY1058" s="1009">
        <f t="shared" si="2215"/>
      </c>
      <c r="CZ1058" s="1003">
        <f>+CU1058*(1+CZ1063)</f>
      </c>
      <c r="DA1058" s="1332">
        <f t="shared" si="2216"/>
      </c>
      <c r="DB1058" s="1359">
        <f t="shared" si="2216"/>
      </c>
      <c r="DC1058" s="1359">
        <f t="shared" si="2216"/>
      </c>
      <c r="DD1058" s="1349">
        <f>+DE1058-SUM(DA1058:DC1058)</f>
      </c>
      <c r="DE1058" s="1932">
        <f>+CZ1058*(1+DE1063)</f>
      </c>
      <c r="DF1058" s="1332"/>
      <c r="DG1058" s="1359"/>
      <c r="DH1058" s="1359"/>
      <c r="DI1058" s="1349"/>
      <c r="DJ1058" s="1932">
        <f>+DE1058*(1+DJ1063)</f>
      </c>
      <c r="DK1058" s="1015"/>
      <c r="DL1058" s="895"/>
      <c r="DM1058" s="895"/>
      <c r="DN1058" s="915"/>
      <c r="DO1058" s="1932">
        <f>+DJ1058*(1+DO1063)</f>
      </c>
      <c r="DP1058" s="1359"/>
      <c r="DQ1058" s="1359"/>
      <c r="DR1058" s="1359"/>
      <c r="DS1058" s="1359"/>
      <c r="DT1058" s="1932">
        <f>+DO1058*(1+DT1063)</f>
      </c>
      <c r="DU1058" s="1359">
        <f>+DP1058*(1+DU1063)</f>
      </c>
      <c r="DV1058" s="1359"/>
      <c r="DW1058" s="1359"/>
      <c r="DX1058" s="1349"/>
      <c r="DY1058" s="1932" t="e">
        <f>+DT1058*(1+DY1063)</f>
      </c>
      <c r="DZ1058" s="1359"/>
      <c r="EA1058" s="1359"/>
      <c r="EB1058" s="1359"/>
      <c r="EC1058" s="1349"/>
      <c r="ED1058" s="1932" t="e">
        <f>+DY1058*(1+ED1063)</f>
      </c>
      <c r="EE1058" s="1359"/>
      <c r="EF1058" s="1359"/>
      <c r="EG1058" s="2328"/>
      <c r="EH1058" s="1359"/>
      <c r="EI1058" s="1933" t="e">
        <f>+ED1058*(1+EI1063)</f>
      </c>
      <c r="EJ1058" s="1933" t="e">
        <f t="shared" si="2217"/>
      </c>
      <c r="EK1058" s="1932" t="e">
        <f t="shared" si="2217"/>
      </c>
      <c r="EL1058" s="1932" t="e">
        <f t="shared" si="2217"/>
      </c>
      <c r="EM1058" s="1932" t="e">
        <f t="shared" si="2217"/>
      </c>
      <c r="EN1058" s="1932" t="e">
        <f t="shared" si="2217"/>
      </c>
      <c r="EO1058" s="1932"/>
      <c r="EP1058" s="1932"/>
      <c r="EQ1058" s="1932"/>
      <c r="ER1058" s="1932"/>
      <c r="ES1058" s="1932"/>
      <c r="ET1058" s="1932"/>
      <c r="EU1058" s="1932"/>
      <c r="EV1058" s="1932"/>
      <c r="EW1058" s="1932"/>
      <c r="EX1058" s="1932"/>
    </row>
    <row r="1059" spans="1:154" s="419" customFormat="1" hidden="1" outlineLevel="1">
      <c r="A1059" s="3275"/>
      <c r="B1059" s="429" t="s">
        <v>19</v>
      </c>
      <c r="C1059" s="2326"/>
      <c r="D1059" s="2327"/>
      <c r="E1059" s="2327"/>
      <c r="F1059" s="2327"/>
      <c r="G1059" s="2327"/>
      <c r="H1059" s="2327"/>
      <c r="I1059" s="2327"/>
      <c r="J1059" s="2327"/>
      <c r="K1059" s="2327"/>
      <c r="L1059" s="2327"/>
      <c r="M1059" s="2327"/>
      <c r="N1059" s="2327"/>
      <c r="O1059" s="2327"/>
      <c r="P1059" s="2327"/>
      <c r="Q1059" s="2327"/>
      <c r="R1059" s="2327"/>
      <c r="S1059" s="2327"/>
      <c r="T1059" s="2327"/>
      <c r="U1059" s="2327"/>
      <c r="V1059" s="2327"/>
      <c r="W1059" s="2327"/>
      <c r="X1059" s="2349"/>
      <c r="Y1059" s="2327"/>
      <c r="Z1059" s="2327"/>
      <c r="AA1059" s="2327"/>
      <c r="AB1059" s="2327"/>
      <c r="AC1059" s="2349"/>
      <c r="AD1059" s="2327"/>
      <c r="AE1059" s="2327"/>
      <c r="AF1059" s="2327"/>
      <c r="AG1059" s="2327"/>
      <c r="AH1059" s="2349"/>
      <c r="AI1059" s="2327"/>
      <c r="AJ1059" s="2327"/>
      <c r="AK1059" s="2327"/>
      <c r="AL1059" s="2327"/>
      <c r="AM1059" s="2349"/>
      <c r="AN1059" s="2327"/>
      <c r="AO1059" s="2327"/>
      <c r="AP1059" s="2327"/>
      <c r="AQ1059" s="2327"/>
      <c r="AR1059" s="2349"/>
      <c r="AS1059" s="2327"/>
      <c r="AT1059" s="2327"/>
      <c r="AU1059" s="2327"/>
      <c r="AV1059" s="2327"/>
      <c r="AW1059" s="2349"/>
      <c r="AX1059" s="2327">
        <f>+AX1058+AX1057</f>
      </c>
      <c r="AY1059" s="2327">
        <f>+AY1058+AY1057</f>
      </c>
      <c r="AZ1059" s="2327">
        <f>+AZ1058+AZ1057</f>
      </c>
      <c r="BA1059" s="2327">
        <f>+BA1058+BA1057</f>
      </c>
      <c r="BB1059" s="2349">
        <f>SUM(AX1059:BA1059)</f>
      </c>
      <c r="BC1059" s="2327">
        <f>+BC1058+BC1057</f>
      </c>
      <c r="BD1059" s="2327">
        <f>+BD1058+BD1057</f>
      </c>
      <c r="BE1059" s="2327">
        <f>+BE1058+BE1057</f>
      </c>
      <c r="BF1059" s="2327">
        <f>+BF1058+BF1057</f>
      </c>
      <c r="BG1059" s="418">
        <f>+BG1058+BG1057</f>
      </c>
      <c r="BH1059" s="2327">
        <f t="shared" ref="BH1059:BO1059" si="2218">+BH1058+BH1057</f>
      </c>
      <c r="BI1059" s="2327">
        <f t="shared" si="2218"/>
      </c>
      <c r="BJ1059" s="2327">
        <f t="shared" si="2218"/>
      </c>
      <c r="BK1059" s="2327">
        <f t="shared" si="2218"/>
      </c>
      <c r="BL1059" s="418">
        <f t="shared" si="2218"/>
      </c>
      <c r="BM1059" s="2327">
        <f t="shared" si="2218"/>
      </c>
      <c r="BN1059" s="2327">
        <f t="shared" si="2218"/>
      </c>
      <c r="BO1059" s="2327">
        <f t="shared" si="2218"/>
      </c>
      <c r="BP1059" s="2327">
        <f>+BP1057+BP1058</f>
      </c>
      <c r="BQ1059" s="418">
        <f>+BQ1058+BQ1057</f>
      </c>
      <c r="BR1059" s="2327">
        <f>+BR1058+BR1057</f>
      </c>
      <c r="BS1059" s="2327">
        <f>+BS1058+BS1057</f>
      </c>
      <c r="BT1059" s="2327">
        <f>+BT1058+BT1057</f>
      </c>
      <c r="BU1059" s="2327">
        <f>+BU1057+BU1058</f>
      </c>
      <c r="BV1059" s="418">
        <f>+BV1058+BV1057</f>
      </c>
      <c r="BW1059" s="2327">
        <f>+BW1058+BW1057</f>
      </c>
      <c r="BX1059" s="2327">
        <f>+BX1058+BX1057</f>
      </c>
      <c r="BY1059" s="2327">
        <f>+BY1058+BY1057</f>
      </c>
      <c r="BZ1059" s="2327">
        <f>+BZ1058+BZ1057</f>
      </c>
      <c r="CA1059" s="418">
        <f>SUM(BW1059:BZ1059)</f>
      </c>
      <c r="CB1059" s="2327">
        <f t="shared" ref="CB1059:CX1059" si="2219">+CB1058+CB1057</f>
      </c>
      <c r="CC1059" s="2327">
        <f t="shared" si="2219"/>
      </c>
      <c r="CD1059" s="2327">
        <f t="shared" si="2219"/>
      </c>
      <c r="CE1059" s="2327">
        <f t="shared" si="2219"/>
      </c>
      <c r="CF1059" s="418">
        <f t="shared" si="2219"/>
      </c>
      <c r="CG1059" s="2327">
        <f t="shared" si="2219"/>
      </c>
      <c r="CH1059" s="2327">
        <f t="shared" si="2219"/>
      </c>
      <c r="CI1059" s="2327">
        <f t="shared" si="2219"/>
      </c>
      <c r="CJ1059" s="2327">
        <f t="shared" si="2219"/>
      </c>
      <c r="CK1059" s="418">
        <f t="shared" si="2219"/>
      </c>
      <c r="CL1059" s="1008">
        <f t="shared" si="2219"/>
      </c>
      <c r="CM1059" s="2327">
        <f t="shared" si="2219"/>
      </c>
      <c r="CN1059" s="2327">
        <f t="shared" si="2219"/>
      </c>
      <c r="CO1059" s="2327">
        <f t="shared" si="2219"/>
      </c>
      <c r="CP1059" s="418">
        <f t="shared" si="2219"/>
      </c>
      <c r="CQ1059" s="2327">
        <f t="shared" si="2219"/>
      </c>
      <c r="CR1059" s="2327">
        <f t="shared" si="2219"/>
      </c>
      <c r="CS1059" s="2327">
        <f t="shared" si="2219"/>
      </c>
      <c r="CT1059" s="1009">
        <f t="shared" si="2219"/>
      </c>
      <c r="CU1059" s="1003">
        <f t="shared" si="2219"/>
      </c>
      <c r="CV1059" s="2327">
        <f>+CV1058+CV1057</f>
      </c>
      <c r="CW1059" s="2327">
        <f t="shared" si="2219"/>
      </c>
      <c r="CX1059" s="2327">
        <f t="shared" si="2219"/>
      </c>
      <c r="CY1059" s="1009">
        <f>+CY1058+CY1057</f>
      </c>
      <c r="CZ1059" s="1003">
        <f>+CZ1058+CZ1057</f>
      </c>
      <c r="DA1059" s="1331">
        <f>SUM(DA1057:DA1058)</f>
      </c>
      <c r="DB1059" s="417">
        <f>SUM(DB1057:DB1058)</f>
      </c>
      <c r="DC1059" s="417">
        <f>SUM(DC1057:DC1058)</f>
      </c>
      <c r="DD1059" s="1003">
        <f>+DD1057+DD1058</f>
      </c>
      <c r="DE1059" s="1932">
        <f>+DE1058+DE1057</f>
      </c>
      <c r="DF1059" s="1933"/>
      <c r="DG1059" s="2328"/>
      <c r="DH1059" s="2328"/>
      <c r="DI1059" s="1934"/>
      <c r="DJ1059" s="1932">
        <f>+DJ1058+DJ1057</f>
      </c>
      <c r="DK1059" s="1799"/>
      <c r="DL1059" s="603"/>
      <c r="DM1059" s="603"/>
      <c r="DN1059" s="1798"/>
      <c r="DO1059" s="1932">
        <f>+DO1058+DO1057</f>
      </c>
      <c r="DP1059" s="2328"/>
      <c r="DQ1059" s="2328"/>
      <c r="DR1059" s="2328"/>
      <c r="DS1059" s="2328"/>
      <c r="DT1059" s="1932">
        <f>+DT1058+DT1057</f>
      </c>
      <c r="DU1059" s="2328">
        <f>+DU1058+DU1057</f>
      </c>
      <c r="DV1059" s="2328"/>
      <c r="DW1059" s="2328"/>
      <c r="DX1059" s="1934"/>
      <c r="DY1059" s="1932" t="e">
        <f>+DY1058+DY1057</f>
      </c>
      <c r="DZ1059" s="2328"/>
      <c r="EA1059" s="2328"/>
      <c r="EB1059" s="2328"/>
      <c r="EC1059" s="1934"/>
      <c r="ED1059" s="1932" t="e">
        <f>+ED1058+ED1057</f>
      </c>
      <c r="EE1059" s="2328"/>
      <c r="EF1059" s="2328"/>
      <c r="EG1059" s="2328"/>
      <c r="EH1059" s="2328"/>
      <c r="EI1059" s="1933" t="e">
        <f t="shared" ref="EI1059:EM1059" si="2220">+EI1058+EI1057</f>
      </c>
      <c r="EJ1059" s="1933" t="e">
        <f t="shared" si="2220"/>
      </c>
      <c r="EK1059" s="1932" t="e">
        <f t="shared" si="2220"/>
      </c>
      <c r="EL1059" s="1932" t="e">
        <f t="shared" si="2220"/>
      </c>
      <c r="EM1059" s="1932" t="e">
        <f t="shared" si="2220"/>
      </c>
      <c r="EN1059" s="1932" t="e">
        <f>+EN1058+EN1057</f>
      </c>
      <c r="EO1059" s="1932"/>
      <c r="EP1059" s="1932"/>
      <c r="EQ1059" s="1932"/>
      <c r="ER1059" s="1932"/>
      <c r="ES1059" s="1932"/>
      <c r="ET1059" s="1932"/>
      <c r="EU1059" s="1932"/>
      <c r="EV1059" s="1932"/>
      <c r="EW1059" s="1932"/>
      <c r="EX1059" s="1932"/>
    </row>
    <row r="1060" spans="1:154" s="419" customFormat="1" hidden="1" outlineLevel="1">
      <c r="A1060" s="3275"/>
      <c r="B1060" s="429"/>
      <c r="C1060" s="2326"/>
      <c r="D1060" s="2327"/>
      <c r="E1060" s="2327"/>
      <c r="F1060" s="2327"/>
      <c r="G1060" s="2327"/>
      <c r="H1060" s="2327"/>
      <c r="I1060" s="2327"/>
      <c r="J1060" s="2327"/>
      <c r="K1060" s="2327"/>
      <c r="L1060" s="2327"/>
      <c r="M1060" s="2327"/>
      <c r="N1060" s="2327"/>
      <c r="O1060" s="2327"/>
      <c r="P1060" s="2327"/>
      <c r="Q1060" s="2327"/>
      <c r="R1060" s="2327"/>
      <c r="S1060" s="2327"/>
      <c r="T1060" s="2327"/>
      <c r="U1060" s="2327"/>
      <c r="V1060" s="2327"/>
      <c r="W1060" s="2327"/>
      <c r="X1060" s="2349"/>
      <c r="Y1060" s="2327"/>
      <c r="Z1060" s="2327"/>
      <c r="AA1060" s="2327"/>
      <c r="AB1060" s="2327"/>
      <c r="AC1060" s="2349"/>
      <c r="AD1060" s="2327"/>
      <c r="AE1060" s="2327"/>
      <c r="AF1060" s="2327"/>
      <c r="AG1060" s="2327"/>
      <c r="AH1060" s="2349"/>
      <c r="AI1060" s="2327"/>
      <c r="AJ1060" s="2327"/>
      <c r="AK1060" s="2327"/>
      <c r="AL1060" s="2327"/>
      <c r="AM1060" s="2349"/>
      <c r="AN1060" s="2327"/>
      <c r="AO1060" s="2327"/>
      <c r="AP1060" s="2327"/>
      <c r="AQ1060" s="2327"/>
      <c r="AR1060" s="2349"/>
      <c r="AS1060" s="2327"/>
      <c r="AT1060" s="2327"/>
      <c r="AU1060" s="2327"/>
      <c r="AV1060" s="2327"/>
      <c r="AW1060" s="2349"/>
      <c r="AX1060" s="2327"/>
      <c r="AY1060" s="2327"/>
      <c r="AZ1060" s="2327"/>
      <c r="BA1060" s="2327"/>
      <c r="BB1060" s="2349"/>
      <c r="BC1060" s="2327"/>
      <c r="BD1060" s="2327"/>
      <c r="BE1060" s="2327"/>
      <c r="BF1060" s="2327"/>
      <c r="BG1060" s="418"/>
      <c r="BH1060" s="2327"/>
      <c r="BI1060" s="2327"/>
      <c r="BJ1060" s="2327"/>
      <c r="BK1060" s="2327"/>
      <c r="BL1060" s="418"/>
      <c r="BM1060" s="2327"/>
      <c r="BN1060" s="2327"/>
      <c r="BO1060" s="2327"/>
      <c r="BP1060" s="2327"/>
      <c r="BQ1060" s="418"/>
      <c r="BR1060" s="2327"/>
      <c r="BS1060" s="2327"/>
      <c r="BT1060" s="2327"/>
      <c r="BU1060" s="2327"/>
      <c r="BV1060" s="418"/>
      <c r="BW1060" s="2327"/>
      <c r="BX1060" s="2327"/>
      <c r="BY1060" s="2327"/>
      <c r="BZ1060" s="2327"/>
      <c r="CA1060" s="418"/>
      <c r="CB1060" s="2327"/>
      <c r="CC1060" s="2327"/>
      <c r="CD1060" s="2327"/>
      <c r="CE1060" s="2327"/>
      <c r="CF1060" s="418"/>
      <c r="CG1060" s="2327"/>
      <c r="CH1060" s="2327"/>
      <c r="CI1060" s="2327"/>
      <c r="CJ1060" s="2327"/>
      <c r="CK1060" s="418"/>
      <c r="CL1060" s="1008"/>
      <c r="CM1060" s="2327"/>
      <c r="CN1060" s="2327"/>
      <c r="CO1060" s="2327"/>
      <c r="CP1060" s="418"/>
      <c r="CQ1060" s="2327"/>
      <c r="CR1060" s="2327"/>
      <c r="CS1060" s="2327"/>
      <c r="CT1060" s="1009"/>
      <c r="CU1060" s="1003"/>
      <c r="CV1060" s="2327"/>
      <c r="CW1060" s="2327"/>
      <c r="CX1060" s="2327"/>
      <c r="CY1060" s="1009"/>
      <c r="CZ1060" s="1003"/>
      <c r="DA1060" s="1008"/>
      <c r="DB1060" s="2327"/>
      <c r="DC1060" s="2327"/>
      <c r="DD1060" s="1009"/>
      <c r="DE1060" s="1932"/>
      <c r="DF1060" s="2330"/>
      <c r="DG1060" s="2331"/>
      <c r="DH1060" s="2331"/>
      <c r="DI1060" s="2131"/>
      <c r="DJ1060" s="1932"/>
      <c r="DK1060" s="981"/>
      <c r="DL1060" s="982"/>
      <c r="DM1060" s="982"/>
      <c r="DN1060" s="1875"/>
      <c r="DO1060" s="1932"/>
      <c r="DP1060" s="2331"/>
      <c r="DQ1060" s="2331"/>
      <c r="DR1060" s="2331"/>
      <c r="DS1060" s="2331"/>
      <c r="DT1060" s="1932"/>
      <c r="DU1060" s="2331"/>
      <c r="DV1060" s="2331"/>
      <c r="DW1060" s="2331"/>
      <c r="DX1060" s="2131"/>
      <c r="DY1060" s="1932"/>
      <c r="DZ1060" s="2331"/>
      <c r="EA1060" s="2331"/>
      <c r="EB1060" s="2331"/>
      <c r="EC1060" s="2131"/>
      <c r="ED1060" s="1932"/>
      <c r="EE1060" s="2331"/>
      <c r="EF1060" s="2331"/>
      <c r="EG1060" s="2328"/>
      <c r="EH1060" s="2331"/>
      <c r="EI1060" s="1933"/>
      <c r="EJ1060" s="1933"/>
      <c r="EK1060" s="1932"/>
      <c r="EL1060" s="1932"/>
      <c r="EM1060" s="1932"/>
      <c r="EN1060" s="1932"/>
      <c r="EO1060" s="1932"/>
      <c r="EP1060" s="1932"/>
      <c r="EQ1060" s="1932"/>
      <c r="ER1060" s="1932"/>
      <c r="ES1060" s="1932"/>
      <c r="ET1060" s="1932"/>
      <c r="EU1060" s="1932"/>
      <c r="EV1060" s="1932"/>
      <c r="EW1060" s="1932"/>
      <c r="EX1060" s="1932"/>
    </row>
    <row r="1061" spans="1:154" s="419" customFormat="1" hidden="1" outlineLevel="1">
      <c r="A1061" s="3275"/>
      <c r="B1061" s="427" t="s">
        <v>367</v>
      </c>
      <c r="C1061" s="2326"/>
      <c r="D1061" s="2327"/>
      <c r="E1061" s="2327"/>
      <c r="F1061" s="2327"/>
      <c r="G1061" s="2327"/>
      <c r="H1061" s="2327"/>
      <c r="I1061" s="2327"/>
      <c r="J1061" s="2327"/>
      <c r="K1061" s="2327"/>
      <c r="L1061" s="2327"/>
      <c r="M1061" s="2327"/>
      <c r="N1061" s="2327"/>
      <c r="O1061" s="2327"/>
      <c r="P1061" s="2327"/>
      <c r="Q1061" s="2327"/>
      <c r="R1061" s="2327"/>
      <c r="S1061" s="2327"/>
      <c r="T1061" s="2327"/>
      <c r="U1061" s="2327"/>
      <c r="V1061" s="2327"/>
      <c r="W1061" s="2327"/>
      <c r="X1061" s="2349"/>
      <c r="Y1061" s="2327"/>
      <c r="Z1061" s="2327"/>
      <c r="AA1061" s="2327"/>
      <c r="AB1061" s="2327"/>
      <c r="AC1061" s="2349"/>
      <c r="AD1061" s="2327"/>
      <c r="AE1061" s="2327"/>
      <c r="AF1061" s="2327"/>
      <c r="AG1061" s="2327"/>
      <c r="AH1061" s="2349"/>
      <c r="AI1061" s="2327"/>
      <c r="AJ1061" s="2327"/>
      <c r="AK1061" s="2327"/>
      <c r="AL1061" s="2327"/>
      <c r="AM1061" s="2349"/>
      <c r="AN1061" s="2327"/>
      <c r="AO1061" s="2327"/>
      <c r="AP1061" s="2327"/>
      <c r="AQ1061" s="2327"/>
      <c r="AR1061" s="2349"/>
      <c r="AS1061" s="2327"/>
      <c r="AT1061" s="2327"/>
      <c r="AU1061" s="2327"/>
      <c r="AV1061" s="2327"/>
      <c r="AW1061" s="2349"/>
      <c r="AX1061" s="2327"/>
      <c r="AY1061" s="2327"/>
      <c r="AZ1061" s="2327"/>
      <c r="BA1061" s="2327"/>
      <c r="BB1061" s="2349"/>
      <c r="BC1061" s="2327"/>
      <c r="BD1061" s="2327"/>
      <c r="BE1061" s="2327"/>
      <c r="BF1061" s="2327"/>
      <c r="BG1061" s="418"/>
      <c r="BH1061" s="2327"/>
      <c r="BI1061" s="2327"/>
      <c r="BJ1061" s="2327"/>
      <c r="BK1061" s="2327"/>
      <c r="BL1061" s="418"/>
      <c r="BM1061" s="2327"/>
      <c r="BN1061" s="2327"/>
      <c r="BO1061" s="2327"/>
      <c r="BP1061" s="2327"/>
      <c r="BQ1061" s="418"/>
      <c r="BR1061" s="2327"/>
      <c r="BS1061" s="2327"/>
      <c r="BT1061" s="2327"/>
      <c r="BU1061" s="2327"/>
      <c r="BV1061" s="418"/>
      <c r="BW1061" s="2327"/>
      <c r="BX1061" s="2327"/>
      <c r="BY1061" s="2327"/>
      <c r="BZ1061" s="2327"/>
      <c r="CA1061" s="418"/>
      <c r="CB1061" s="2327"/>
      <c r="CC1061" s="2327"/>
      <c r="CD1061" s="2327"/>
      <c r="CE1061" s="2327"/>
      <c r="CF1061" s="418"/>
      <c r="CG1061" s="2327"/>
      <c r="CH1061" s="2327"/>
      <c r="CI1061" s="2327"/>
      <c r="CJ1061" s="2327"/>
      <c r="CK1061" s="418"/>
      <c r="CL1061" s="1008"/>
      <c r="CM1061" s="2327"/>
      <c r="CN1061" s="2327"/>
      <c r="CO1061" s="2327"/>
      <c r="CP1061" s="418"/>
      <c r="CQ1061" s="2327"/>
      <c r="CR1061" s="2327"/>
      <c r="CS1061" s="2327"/>
      <c r="CT1061" s="1009"/>
      <c r="CU1061" s="1003"/>
      <c r="CV1061" s="2327"/>
      <c r="CW1061" s="2327"/>
      <c r="CX1061" s="2327"/>
      <c r="CY1061" s="1009"/>
      <c r="CZ1061" s="1003"/>
      <c r="DA1061" s="1008"/>
      <c r="DB1061" s="2327"/>
      <c r="DC1061" s="2327"/>
      <c r="DD1061" s="1009"/>
      <c r="DE1061" s="1932"/>
      <c r="DF1061" s="2330"/>
      <c r="DG1061" s="2331"/>
      <c r="DH1061" s="2331"/>
      <c r="DI1061" s="2131"/>
      <c r="DJ1061" s="1932"/>
      <c r="DK1061" s="981"/>
      <c r="DL1061" s="982"/>
      <c r="DM1061" s="982"/>
      <c r="DN1061" s="1875"/>
      <c r="DO1061" s="1932"/>
      <c r="DP1061" s="2331"/>
      <c r="DQ1061" s="2331"/>
      <c r="DR1061" s="2331"/>
      <c r="DS1061" s="2331"/>
      <c r="DT1061" s="1932"/>
      <c r="DU1061" s="2331"/>
      <c r="DV1061" s="2331"/>
      <c r="DW1061" s="2331"/>
      <c r="DX1061" s="2131"/>
      <c r="DY1061" s="1932"/>
      <c r="DZ1061" s="2331"/>
      <c r="EA1061" s="2331"/>
      <c r="EB1061" s="2331"/>
      <c r="EC1061" s="2131"/>
      <c r="ED1061" s="1932"/>
      <c r="EE1061" s="2331"/>
      <c r="EF1061" s="2331"/>
      <c r="EG1061" s="2328"/>
      <c r="EH1061" s="2331"/>
      <c r="EI1061" s="1933"/>
      <c r="EJ1061" s="1933"/>
      <c r="EK1061" s="1932"/>
      <c r="EL1061" s="1932"/>
      <c r="EM1061" s="1932"/>
      <c r="EN1061" s="1932"/>
      <c r="EO1061" s="1932"/>
      <c r="EP1061" s="1932"/>
      <c r="EQ1061" s="1932"/>
      <c r="ER1061" s="1932"/>
      <c r="ES1061" s="1932"/>
      <c r="ET1061" s="1932"/>
      <c r="EU1061" s="1932"/>
      <c r="EV1061" s="1932"/>
      <c r="EW1061" s="1932"/>
      <c r="EX1061" s="1932"/>
    </row>
    <row r="1062" spans="1:154" s="419" customFormat="1" hidden="1" outlineLevel="1">
      <c r="A1062" s="3275"/>
      <c r="B1062" s="430" t="s">
        <v>156</v>
      </c>
      <c r="C1062" s="2326"/>
      <c r="D1062" s="2327"/>
      <c r="E1062" s="2327"/>
      <c r="F1062" s="2327"/>
      <c r="G1062" s="2327"/>
      <c r="H1062" s="2327"/>
      <c r="I1062" s="2327"/>
      <c r="J1062" s="2327"/>
      <c r="K1062" s="2327"/>
      <c r="L1062" s="2327"/>
      <c r="M1062" s="2327"/>
      <c r="N1062" s="2327"/>
      <c r="O1062" s="2327"/>
      <c r="P1062" s="2327"/>
      <c r="Q1062" s="2327"/>
      <c r="R1062" s="2327"/>
      <c r="S1062" s="2327"/>
      <c r="T1062" s="2327"/>
      <c r="U1062" s="2327"/>
      <c r="V1062" s="2327"/>
      <c r="W1062" s="2327"/>
      <c r="X1062" s="2333"/>
      <c r="Y1062" s="2327"/>
      <c r="Z1062" s="2327"/>
      <c r="AA1062" s="2327"/>
      <c r="AB1062" s="2327"/>
      <c r="AC1062" s="2333"/>
      <c r="AD1062" s="2327"/>
      <c r="AE1062" s="2327"/>
      <c r="AF1062" s="2327"/>
      <c r="AG1062" s="2327"/>
      <c r="AH1062" s="2333"/>
      <c r="AI1062" s="2327"/>
      <c r="AJ1062" s="2327"/>
      <c r="AK1062" s="2327"/>
      <c r="AL1062" s="2327"/>
      <c r="AM1062" s="2333"/>
      <c r="AN1062" s="2327"/>
      <c r="AO1062" s="2327"/>
      <c r="AP1062" s="2327"/>
      <c r="AQ1062" s="2327"/>
      <c r="AR1062" s="2333"/>
      <c r="AS1062" s="2327"/>
      <c r="AT1062" s="2327"/>
      <c r="AU1062" s="2327"/>
      <c r="AV1062" s="2327"/>
      <c r="AW1062" s="2333"/>
      <c r="AX1062" s="2332" t="str">
        <f t="shared" ref="AX1062:BC1063" si="2221">IF(AS1057="NM","NM",IF(AX1057="NM","NM",IF(AS1057&lt;=0,"NM",IF(AX1057=0,"NM",IF(ABS(AX1057/AS1057-1)&gt;2.5,"NM",IF((ABS(AX1057-AS1057)=ABS(ABS(AX1057)-ABS(AS1057))),(AX1057/AS1057-1),"NM"))))))</f>
      </c>
      <c r="AY1062" s="2332" t="str">
        <f t="shared" si="2221"/>
      </c>
      <c r="AZ1062" s="2332" t="str">
        <f t="shared" si="2221"/>
      </c>
      <c r="BA1062" s="2332" t="str">
        <f t="shared" si="2221"/>
      </c>
      <c r="BB1062" s="2333" t="str">
        <f t="shared" si="2221"/>
      </c>
      <c r="BC1062" s="2332" t="str">
        <f t="shared" si="2221"/>
      </c>
      <c r="BD1062" s="2334">
        <v>0</v>
      </c>
      <c r="BE1062" s="2334">
        <v>0</v>
      </c>
      <c r="BF1062" s="2334">
        <v>0</v>
      </c>
      <c r="BG1062" s="2333" t="str">
        <f>IF(BB1057="NM","NM",IF(BG1057="NM","NM",IF(BB1057&lt;=0,"NM",IF(BG1057=0,"NM",IF(ABS(BG1057/BB1057-1)&gt;2.5,"NM",IF((ABS(BG1057-BB1057)=ABS(ABS(BG1057)-ABS(BB1057))),(BG1057/BB1057-1),"NM"))))))</f>
      </c>
      <c r="BH1062" s="2334" t="str">
        <f>IF(BC1057="NM","NM",IF(BH1057="NM","NM",IF(BC1057&lt;=0,"NM",IF(BH1057=0,"NM",IF(ABS(BH1057/BC1057-1)&gt;2.5,"NM",IF((ABS(BH1057-BC1057)=ABS(ABS(BH1057)-ABS(BC1057))),(BH1057/BC1057-1),"NM"))))))</f>
      </c>
      <c r="BI1062" s="2334">
        <v>0</v>
      </c>
      <c r="BJ1062" s="2332" t="str">
        <f>IF(BE1057="NM","NM",IF(BJ1057="NM","NM",IF(BE1057&lt;=0,"NM",IF(BJ1057=0,"NM",IF(ABS(BJ1057/BE1057-1)&gt;2.5,"NM",IF((ABS(BJ1057-BE1057)=ABS(ABS(BJ1057)-ABS(BE1057))),(BJ1057/BE1057-1),"NM"))))))</f>
      </c>
      <c r="BK1062" s="2334">
        <v>0</v>
      </c>
      <c r="BL1062" s="431">
        <v>0</v>
      </c>
      <c r="BM1062" s="2334">
        <v>0</v>
      </c>
      <c r="BN1062" s="2334">
        <v>0</v>
      </c>
      <c r="BO1062" s="2334">
        <v>0</v>
      </c>
      <c r="BP1062" s="2332" t="str">
        <f>IF(BK1057="NM","NM",IF(BP1057="NM","NM",IF(BK1057&lt;=0,"NM",IF(BP1057=0,"NM",IF(ABS(BP1057/BK1057-1)&gt;2.5,"NM",IF((ABS(BP1057-BK1057)=ABS(ABS(BP1057)-ABS(BK1057))),(BP1057/BK1057-1),"NM"))))))</f>
      </c>
      <c r="BQ1062" s="431">
        <v>0</v>
      </c>
      <c r="BR1062" s="2334">
        <v>0</v>
      </c>
      <c r="BS1062" s="2334">
        <v>0</v>
      </c>
      <c r="BT1062" s="2334">
        <v>0</v>
      </c>
      <c r="BU1062" s="2332" t="str">
        <f>IF(BP1057="NM","NM",IF(BU1057="NM","NM",IF(BP1057&lt;=0,"NM",IF(BU1057=0,"NM",IF(ABS(BU1057/BP1057-1)&gt;2.5,"NM",IF((ABS(BU1057-BP1057)=ABS(ABS(BU1057)-ABS(BP1057))),(BU1057/BP1057-1),"NM"))))))</f>
      </c>
      <c r="BV1062" s="431">
        <v>0</v>
      </c>
      <c r="BW1062" s="2334">
        <v>0</v>
      </c>
      <c r="BX1062" s="2334">
        <v>0</v>
      </c>
      <c r="BY1062" s="2334">
        <v>0</v>
      </c>
      <c r="BZ1062" s="2334">
        <v>0</v>
      </c>
      <c r="CA1062" s="2333" t="str">
        <f>IF(BV1057="NM","NM",IF(CA1057="NM","NM",IF(BV1057&lt;=0,"NM",IF(CA1057=0,"NM",IF(ABS(CA1057/BV1057-1)&gt;2.5,"NM",IF((ABS(CA1057-BV1057)=ABS(ABS(CA1057)-ABS(BV1057))),(CA1057/BV1057-1),"NM"))))))</f>
      </c>
      <c r="CB1062" s="2334">
        <v>0</v>
      </c>
      <c r="CC1062" s="2334">
        <v>0</v>
      </c>
      <c r="CD1062" s="2334">
        <v>0</v>
      </c>
      <c r="CE1062" s="2334">
        <v>0</v>
      </c>
      <c r="CF1062" s="431">
        <v>0</v>
      </c>
      <c r="CG1062" s="2334">
        <v>0</v>
      </c>
      <c r="CH1062" s="2334">
        <v>0</v>
      </c>
      <c r="CI1062" s="2334">
        <v>0</v>
      </c>
      <c r="CJ1062" s="2334">
        <v>0</v>
      </c>
      <c r="CK1062" s="431">
        <v>0</v>
      </c>
      <c r="CL1062" s="2195">
        <v>0</v>
      </c>
      <c r="CM1062" s="2334">
        <v>0</v>
      </c>
      <c r="CN1062" s="2334">
        <v>0</v>
      </c>
      <c r="CO1062" s="2334">
        <v>0</v>
      </c>
      <c r="CP1062" s="431">
        <v>0</v>
      </c>
      <c r="CQ1062" s="2334">
        <v>0</v>
      </c>
      <c r="CR1062" s="2334">
        <v>0</v>
      </c>
      <c r="CS1062" s="2334">
        <v>0</v>
      </c>
      <c r="CT1062" s="2226">
        <v>0</v>
      </c>
      <c r="CU1062" s="1004">
        <v>0</v>
      </c>
      <c r="CV1062" s="2334">
        <v>0</v>
      </c>
      <c r="CW1062" s="2334">
        <v>0</v>
      </c>
      <c r="CX1062" s="2334">
        <v>0</v>
      </c>
      <c r="CY1062" s="2226">
        <v>0</v>
      </c>
      <c r="CZ1062" s="1004">
        <v>0</v>
      </c>
      <c r="DA1062" s="2195">
        <v>0</v>
      </c>
      <c r="DB1062" s="2334">
        <v>0</v>
      </c>
      <c r="DC1062" s="2334">
        <v>0</v>
      </c>
      <c r="DD1062" s="1936" t="str">
        <f>IF(DD1057=0,"NM",+DD1057/CY1057-1)</f>
      </c>
      <c r="DE1062" s="1937">
        <v>0</v>
      </c>
      <c r="DF1062" s="2195"/>
      <c r="DG1062" s="2334"/>
      <c r="DH1062" s="2334"/>
      <c r="DI1062" s="1936"/>
      <c r="DJ1062" s="1937">
        <v>0</v>
      </c>
      <c r="DK1062" s="400"/>
      <c r="DL1062" s="29"/>
      <c r="DM1062" s="29"/>
      <c r="DN1062" s="928"/>
      <c r="DO1062" s="1937">
        <v>0</v>
      </c>
      <c r="DP1062" s="2334"/>
      <c r="DQ1062" s="2334"/>
      <c r="DR1062" s="2334"/>
      <c r="DS1062" s="2332"/>
      <c r="DT1062" s="1937">
        <v>0</v>
      </c>
      <c r="DU1062" s="2332">
        <v>0</v>
      </c>
      <c r="DV1062" s="2334"/>
      <c r="DW1062" s="2334"/>
      <c r="DX1062" s="2226"/>
      <c r="DY1062" s="3308"/>
      <c r="DZ1062" s="2334"/>
      <c r="EA1062" s="2334"/>
      <c r="EB1062" s="2334"/>
      <c r="EC1062" s="2226"/>
      <c r="ED1062" s="3308"/>
      <c r="EE1062" s="2334"/>
      <c r="EF1062" s="2334"/>
      <c r="EG1062" s="2334"/>
      <c r="EH1062" s="2332"/>
      <c r="EI1062" s="2195">
        <v>0</v>
      </c>
      <c r="EJ1062" s="2195">
        <v>0</v>
      </c>
      <c r="EK1062" s="1937">
        <v>0</v>
      </c>
      <c r="EL1062" s="1937">
        <v>0</v>
      </c>
      <c r="EM1062" s="1937">
        <v>0</v>
      </c>
      <c r="EN1062" s="1937">
        <v>0</v>
      </c>
      <c r="EO1062" s="1937"/>
      <c r="EP1062" s="1937"/>
      <c r="EQ1062" s="1937"/>
      <c r="ER1062" s="1937"/>
      <c r="ES1062" s="1937"/>
      <c r="ET1062" s="1937"/>
      <c r="EU1062" s="1937"/>
      <c r="EV1062" s="1937"/>
      <c r="EW1062" s="1937"/>
      <c r="EX1062" s="1937"/>
    </row>
    <row r="1063" spans="1:154" s="419" customFormat="1" hidden="1" outlineLevel="1">
      <c r="A1063" s="3275"/>
      <c r="B1063" s="430" t="s">
        <v>235</v>
      </c>
      <c r="C1063" s="2326"/>
      <c r="D1063" s="2327"/>
      <c r="E1063" s="2327"/>
      <c r="F1063" s="2327"/>
      <c r="G1063" s="2327"/>
      <c r="H1063" s="2327"/>
      <c r="I1063" s="2327"/>
      <c r="J1063" s="2327"/>
      <c r="K1063" s="2327"/>
      <c r="L1063" s="2327"/>
      <c r="M1063" s="2327"/>
      <c r="N1063" s="2327"/>
      <c r="O1063" s="2327"/>
      <c r="P1063" s="2327"/>
      <c r="Q1063" s="2327"/>
      <c r="R1063" s="2327"/>
      <c r="S1063" s="2327"/>
      <c r="T1063" s="2327"/>
      <c r="U1063" s="2327"/>
      <c r="V1063" s="2327"/>
      <c r="W1063" s="2327"/>
      <c r="X1063" s="2333"/>
      <c r="Y1063" s="2327"/>
      <c r="Z1063" s="2327"/>
      <c r="AA1063" s="2327"/>
      <c r="AB1063" s="2327"/>
      <c r="AC1063" s="2333"/>
      <c r="AD1063" s="2327"/>
      <c r="AE1063" s="2327"/>
      <c r="AF1063" s="2327"/>
      <c r="AG1063" s="2327"/>
      <c r="AH1063" s="2333"/>
      <c r="AI1063" s="2327"/>
      <c r="AJ1063" s="2327"/>
      <c r="AK1063" s="2327"/>
      <c r="AL1063" s="2327"/>
      <c r="AM1063" s="2333"/>
      <c r="AN1063" s="2327"/>
      <c r="AO1063" s="2327"/>
      <c r="AP1063" s="2327"/>
      <c r="AQ1063" s="2327"/>
      <c r="AR1063" s="2333"/>
      <c r="AS1063" s="2327"/>
      <c r="AT1063" s="2327"/>
      <c r="AU1063" s="2327"/>
      <c r="AV1063" s="2327"/>
      <c r="AW1063" s="2333"/>
      <c r="AX1063" s="2332" t="str">
        <f t="shared" si="2221"/>
      </c>
      <c r="AY1063" s="2332" t="str">
        <f t="shared" si="2221"/>
      </c>
      <c r="AZ1063" s="2332" t="str">
        <f t="shared" si="2221"/>
      </c>
      <c r="BA1063" s="2332" t="str">
        <f t="shared" si="2221"/>
      </c>
      <c r="BB1063" s="2333" t="str">
        <f t="shared" si="2221"/>
      </c>
      <c r="BC1063" s="2332">
        <f t="shared" si="2221"/>
      </c>
      <c r="BD1063" s="2332">
        <f>IF(ISNUMBER(BD1064),(1+BD1064)*(1+BD$21)-1,"NM")</f>
      </c>
      <c r="BE1063" s="2332">
        <f>IF(ISNUMBER(BE1064),(1+BE1064)*(1+BE$21)-1,"NM")</f>
      </c>
      <c r="BF1063" s="2332">
        <f>IF(ISNUMBER(BF1064),(1+BF1064)*(1+BF$21)-1,"NM")</f>
      </c>
      <c r="BG1063" s="2333">
        <f>IF(BB1058="NM","NM",IF(BG1058="NM","NM",IF(BB1058&lt;=0,"NM",IF(BG1058=0,"NM",IF(ABS(BG1058/BB1058-1)&gt;2.5,"NM",IF((ABS(BG1058-BB1058)=ABS(ABS(BG1058)-ABS(BB1058))),(BG1058/BB1058-1),"NM"))))))</f>
      </c>
      <c r="BH1063" s="2332">
        <f>IF(BC1058="NM","NM",IF(BH1058="NM","NM",IF(BC1058&lt;=0,"NM",IF(BH1058=0,"NM",IF(ABS(BH1058/BC1058-1)&gt;2.5,"NM",IF((ABS(BH1058-BC1058)=ABS(ABS(BH1058)-ABS(BC1058))),(BH1058/BC1058-1),"NM"))))))</f>
      </c>
      <c r="BI1063" s="2332">
        <f>IF(ISNUMBER(BI1064),(1+BI1064)*(1+BI$21)-1,"NM")</f>
      </c>
      <c r="BJ1063" s="2332">
        <f>IF(BE1058="NM","NM",IF(BJ1058="NM","NM",IF(BE1058&lt;=0,"NM",IF(BJ1058=0,"NM",IF(ABS(BJ1058/BE1058-1)&gt;2.5,"NM",IF((ABS(BJ1058-BE1058)=ABS(ABS(BJ1058)-ABS(BE1058))),(BJ1058/BE1058-1),"NM"))))))</f>
      </c>
      <c r="BK1063" s="2332">
        <f>IF(ISNUMBER(BK1064),(1+BK1064)*(1+BK$21)-1,"NM")</f>
      </c>
      <c r="BL1063" s="2333">
        <f>IF(ISNUMBER(BL1064),(1+BL1064)*(1+BL$21)-1,"NM")</f>
      </c>
      <c r="BM1063" s="2332">
        <f>IF(ISNUMBER(BM1064),(1+BM1064)*(1+BM$21)-1,"NM")</f>
      </c>
      <c r="BN1063" s="2332">
        <f>IF(ISNUMBER(BN1064),(1+BN1064)*(1+BN$21)-1,"NM")</f>
      </c>
      <c r="BO1063" s="2332">
        <f>IF(ISNUMBER(BO1064),(1+BO1064)*(1+BO$21)-1,"NM")</f>
      </c>
      <c r="BP1063" s="2332">
        <f>IF(BK1058="NM","NM",IF(BP1058="NM","NM",IF(BK1058&lt;=0,"NM",IF(BP1058=0,"NM",IF(ABS(BP1058/BK1058-1)&gt;2.5,"NM",IF((ABS(BP1058-BK1058)=ABS(ABS(BP1058)-ABS(BK1058))),(BP1058/BK1058-1),"NM"))))))</f>
      </c>
      <c r="BQ1063" s="2333">
        <f>IF(ISNUMBER(BQ1064),(1+BQ1064)*(1+BQ$21)-1,"NM")</f>
      </c>
      <c r="BR1063" s="2332">
        <f>IF(ISNUMBER(BR1064),(1+BR1064)*(1+BR$21)-1,"NM")</f>
      </c>
      <c r="BS1063" s="2332">
        <f>IF(ISNUMBER(BS1064),(1+BS1064)*(1+BS$21)-1,"NM")</f>
      </c>
      <c r="BT1063" s="2332">
        <f>IF(ISNUMBER(BT1064),(1+BT1064)*(1+BT$21)-1,"NM")</f>
      </c>
      <c r="BU1063" s="2332">
        <f>IF(BP1058="NM","NM",IF(BU1058="NM","NM",IF(BP1058&lt;=0,"NM",IF(BU1058=0,"NM",IF(ABS(BU1058/BP1058-1)&gt;2.5,"NM",IF((ABS(BU1058-BP1058)=ABS(ABS(BU1058)-ABS(BP1058))),(BU1058/BP1058-1),"NM"))))))</f>
      </c>
      <c r="BV1063" s="2333">
        <f>IF(ISNUMBER(BV1064),(1+BV1064)*(1+BV$21)-1,"NM")</f>
      </c>
      <c r="BW1063" s="2332">
        <f>IF(ISNUMBER(BW1064),(1+BW1064)*(1+BW$21)-1,"NM")</f>
      </c>
      <c r="BX1063" s="2332">
        <f>IF(ISNUMBER(BX1064),(1+BX1064)*(1+BX$21)-1,"NM")</f>
      </c>
      <c r="BY1063" s="2332">
        <f>IF(ISNUMBER(BY1064),(1+BY1064)*(1+BY$21)-1,"NM")</f>
      </c>
      <c r="BZ1063" s="2332">
        <f>IF(ISNUMBER(BZ1064),(1+BZ1064)*(1+BZ$21)-1,"NM")</f>
      </c>
      <c r="CA1063" s="2333">
        <f>IF(BV1058="NM","NM",IF(CA1058="NM","NM",IF(BV1058&lt;=0,"NM",IF(CA1058=0,"NM",IF(ABS(CA1058/BV1058-1)&gt;2.5,"NM",IF((ABS(CA1058-BV1058)=ABS(ABS(CA1058)-ABS(BV1058))),(CA1058/BV1058-1),"NM"))))))</f>
      </c>
      <c r="CB1063" s="2332">
        <f t="shared" ref="CB1063:DY1063" si="2222">IF(ISNUMBER(CB1064),(1+CB1064)*(1+CB$21)-1,"NM")</f>
      </c>
      <c r="CC1063" s="2332">
        <f t="shared" si="2222"/>
      </c>
      <c r="CD1063" s="2332">
        <f t="shared" si="2222"/>
      </c>
      <c r="CE1063" s="2332">
        <f t="shared" si="2222"/>
      </c>
      <c r="CF1063" s="2333">
        <f t="shared" si="2222"/>
      </c>
      <c r="CG1063" s="2332">
        <f t="shared" si="2222"/>
      </c>
      <c r="CH1063" s="2332">
        <f t="shared" si="2222"/>
      </c>
      <c r="CI1063" s="2332">
        <f t="shared" si="2222"/>
      </c>
      <c r="CJ1063" s="2332">
        <f t="shared" si="2222"/>
      </c>
      <c r="CK1063" s="2333">
        <f t="shared" si="2222"/>
      </c>
      <c r="CL1063" s="1935">
        <f t="shared" si="2222"/>
      </c>
      <c r="CM1063" s="2332">
        <f t="shared" si="2222"/>
      </c>
      <c r="CN1063" s="2332">
        <f t="shared" si="2222"/>
      </c>
      <c r="CO1063" s="2332">
        <f t="shared" si="2222"/>
      </c>
      <c r="CP1063" s="2333">
        <f>IF(ISNUMBER(CP1064),(1+CP1064)*(1+CP$21)-1,"NM")</f>
      </c>
      <c r="CQ1063" s="2332">
        <f t="shared" si="2222"/>
      </c>
      <c r="CR1063" s="2332">
        <f t="shared" si="2222"/>
      </c>
      <c r="CS1063" s="2332">
        <f t="shared" si="2222"/>
      </c>
      <c r="CT1063" s="1936">
        <f t="shared" si="2222"/>
      </c>
      <c r="CU1063" s="1936">
        <f>IF(ISNUMBER(CU1064),(1+CU1064)*(1+CU$21)-1,"NM")</f>
      </c>
      <c r="CV1063" s="2332">
        <f t="shared" si="2222"/>
      </c>
      <c r="CW1063" s="2332">
        <f t="shared" si="2222"/>
      </c>
      <c r="CX1063" s="2332">
        <f t="shared" si="2222"/>
      </c>
      <c r="CY1063" s="1936">
        <f t="shared" si="2222"/>
      </c>
      <c r="CZ1063" s="1936">
        <f>IF(ISNUMBER(CZ1064),(1+CZ1064)*(1+CZ$21)-1,"NM")</f>
      </c>
      <c r="DA1063" s="1333">
        <f>DA1064+DA$21</f>
      </c>
      <c r="DB1063" s="2335">
        <f>DB1064+DB$21</f>
      </c>
      <c r="DC1063" s="2335">
        <f>DC1064+DC$21</f>
      </c>
      <c r="DD1063" s="1350">
        <f>IF(DD1058=0, "NM", DD1058/CY1058-1)</f>
      </c>
      <c r="DE1063" s="2333">
        <f t="shared" si="2222"/>
      </c>
      <c r="DF1063" s="1935"/>
      <c r="DG1063" s="2332"/>
      <c r="DH1063" s="2332"/>
      <c r="DI1063" s="1936"/>
      <c r="DJ1063" s="2333">
        <f t="shared" si="2222"/>
      </c>
      <c r="DK1063" s="958"/>
      <c r="DL1063" s="926"/>
      <c r="DM1063" s="926"/>
      <c r="DN1063" s="928"/>
      <c r="DO1063" s="2333">
        <f t="shared" si="2222"/>
      </c>
      <c r="DP1063" s="2332"/>
      <c r="DQ1063" s="2332"/>
      <c r="DR1063" s="2332"/>
      <c r="DS1063" s="2332"/>
      <c r="DT1063" s="2333">
        <f t="shared" si="2222"/>
      </c>
      <c r="DU1063" s="2332">
        <f t="shared" si="2222"/>
      </c>
      <c r="DV1063" s="2332"/>
      <c r="DW1063" s="2332"/>
      <c r="DX1063" s="1936"/>
      <c r="DY1063" s="2333" t="str">
        <f t="shared" si="2222"/>
      </c>
      <c r="DZ1063" s="2332"/>
      <c r="EA1063" s="2332"/>
      <c r="EB1063" s="2332"/>
      <c r="EC1063" s="1936"/>
      <c r="ED1063" s="2333" t="str">
        <f t="shared" ref="ED1063" si="2223">IF(ISNUMBER(ED1064),(1+ED1064)*(1+ED$21)-1,"NM")</f>
      </c>
      <c r="EE1063" s="2332"/>
      <c r="EF1063" s="2332"/>
      <c r="EG1063" s="2332"/>
      <c r="EH1063" s="2332"/>
      <c r="EI1063" s="1935">
        <f t="shared" ref="EI1063:EN1063" si="2224">IF(ISNUMBER(EI1064),(1+EI1064)*(1+EI$21)-1,"NM")</f>
      </c>
      <c r="EJ1063" s="1935">
        <f t="shared" si="2224"/>
      </c>
      <c r="EK1063" s="2333">
        <f t="shared" si="2224"/>
      </c>
      <c r="EL1063" s="2333">
        <f t="shared" si="2224"/>
      </c>
      <c r="EM1063" s="2333">
        <f t="shared" si="2224"/>
      </c>
      <c r="EN1063" s="2333">
        <f t="shared" si="2224"/>
      </c>
      <c r="EO1063" s="2333"/>
      <c r="EP1063" s="2333"/>
      <c r="EQ1063" s="2333"/>
      <c r="ER1063" s="2333"/>
      <c r="ES1063" s="2333"/>
      <c r="ET1063" s="2333"/>
      <c r="EU1063" s="2333"/>
      <c r="EV1063" s="2333"/>
      <c r="EW1063" s="2333"/>
      <c r="EX1063" s="2333"/>
    </row>
    <row r="1064" spans="1:154" s="419" customFormat="1" hidden="1" outlineLevel="1">
      <c r="A1064" s="3275"/>
      <c r="B1064" s="430" t="s">
        <v>157</v>
      </c>
      <c r="C1064" s="2326"/>
      <c r="D1064" s="2327"/>
      <c r="E1064" s="2327"/>
      <c r="F1064" s="2327"/>
      <c r="G1064" s="2327"/>
      <c r="H1064" s="2327"/>
      <c r="I1064" s="2327"/>
      <c r="J1064" s="2327"/>
      <c r="K1064" s="2327"/>
      <c r="L1064" s="2327"/>
      <c r="M1064" s="2327"/>
      <c r="N1064" s="2327"/>
      <c r="O1064" s="2327"/>
      <c r="P1064" s="2327"/>
      <c r="Q1064" s="2327"/>
      <c r="R1064" s="2327"/>
      <c r="S1064" s="2327"/>
      <c r="T1064" s="2327"/>
      <c r="U1064" s="2327"/>
      <c r="V1064" s="2327"/>
      <c r="W1064" s="2327"/>
      <c r="X1064" s="2336"/>
      <c r="Y1064" s="2327"/>
      <c r="Z1064" s="2327"/>
      <c r="AA1064" s="2327"/>
      <c r="AB1064" s="2327"/>
      <c r="AC1064" s="2336"/>
      <c r="AD1064" s="2327"/>
      <c r="AE1064" s="2327"/>
      <c r="AF1064" s="2327"/>
      <c r="AG1064" s="2327"/>
      <c r="AH1064" s="2336"/>
      <c r="AI1064" s="2327"/>
      <c r="AJ1064" s="2327"/>
      <c r="AK1064" s="2327"/>
      <c r="AL1064" s="2327"/>
      <c r="AM1064" s="2336"/>
      <c r="AN1064" s="2327"/>
      <c r="AO1064" s="2327"/>
      <c r="AP1064" s="2327"/>
      <c r="AQ1064" s="2327"/>
      <c r="AR1064" s="2336"/>
      <c r="AS1064" s="2327"/>
      <c r="AT1064" s="2327"/>
      <c r="AU1064" s="2327"/>
      <c r="AV1064" s="2327"/>
      <c r="AW1064" s="2336"/>
      <c r="AX1064" s="2335" t="str">
        <f t="shared" ref="AX1064:BC1064" si="2225">IF(ISNUMBER(AX1063),(1+AX1063)/(1+AX$21)-1,"NM")</f>
      </c>
      <c r="AY1064" s="2332" t="str">
        <f t="shared" si="2225"/>
      </c>
      <c r="AZ1064" s="2332" t="str">
        <f t="shared" si="2225"/>
      </c>
      <c r="BA1064" s="2332" t="str">
        <f t="shared" si="2225"/>
      </c>
      <c r="BB1064" s="2333" t="str">
        <f t="shared" si="2225"/>
      </c>
      <c r="BC1064" s="2335">
        <f t="shared" si="2225"/>
      </c>
      <c r="BD1064" s="2345">
        <v>0.2</v>
      </c>
      <c r="BE1064" s="2345">
        <v>0.15</v>
      </c>
      <c r="BF1064" s="2345">
        <v>0.15</v>
      </c>
      <c r="BG1064" s="2337">
        <f>IF(ISNUMBER(BG1063),(1+BG1063)/(1+BG$21)-1,"NM")</f>
      </c>
      <c r="BH1064" s="2345">
        <f>IF(ISNUMBER(BH1063),(1+BH1063)/(1+BH$21)-1,"NM")</f>
      </c>
      <c r="BI1064" s="2345">
        <v>0.2</v>
      </c>
      <c r="BJ1064" s="2335">
        <f>IF(ISNUMBER(BJ1063),(1+BJ1063)/(1+BJ$21)-1,"NM")</f>
      </c>
      <c r="BK1064" s="2345">
        <v>0.15</v>
      </c>
      <c r="BL1064" s="2346">
        <v>0.15</v>
      </c>
      <c r="BM1064" s="2345">
        <v>0.15</v>
      </c>
      <c r="BN1064" s="2345">
        <v>0.15</v>
      </c>
      <c r="BO1064" s="2345">
        <v>0.15</v>
      </c>
      <c r="BP1064" s="2332">
        <f>IF(ISNUMBER(BP1063),(1+BP1063)/(1+BP$21)-1,"NM")</f>
      </c>
      <c r="BQ1064" s="2346">
        <v>0.14000000000000001</v>
      </c>
      <c r="BR1064" s="2345">
        <v>0.15</v>
      </c>
      <c r="BS1064" s="2345">
        <v>0.15</v>
      </c>
      <c r="BT1064" s="2345">
        <v>0.15</v>
      </c>
      <c r="BU1064" s="2332">
        <f>IF(ISNUMBER(BU1063),(1+BU1063)/(1+BU$21)-1,"NM")</f>
      </c>
      <c r="BV1064" s="2346">
        <v>0.13</v>
      </c>
      <c r="BW1064" s="2345">
        <v>0.12</v>
      </c>
      <c r="BX1064" s="2345">
        <v>0.12</v>
      </c>
      <c r="BY1064" s="2345">
        <v>0.12</v>
      </c>
      <c r="BZ1064" s="2345">
        <v>0.12</v>
      </c>
      <c r="CA1064" s="2333">
        <f>IF(ISNUMBER(CA1063),(1+CA1063)/(1+CA$21)-1,"NM")</f>
      </c>
      <c r="CB1064" s="2345">
        <v>0.12</v>
      </c>
      <c r="CC1064" s="2345">
        <v>0.12</v>
      </c>
      <c r="CD1064" s="2345">
        <v>0.12</v>
      </c>
      <c r="CE1064" s="2345">
        <v>0.12</v>
      </c>
      <c r="CF1064" s="2346">
        <v>0.1</v>
      </c>
      <c r="CG1064" s="2345">
        <v>0.12</v>
      </c>
      <c r="CH1064" s="2345">
        <v>0.12</v>
      </c>
      <c r="CI1064" s="2345">
        <v>0.12</v>
      </c>
      <c r="CJ1064" s="2345">
        <v>0.12</v>
      </c>
      <c r="CK1064" s="2346">
        <v>0.1</v>
      </c>
      <c r="CL1064" s="2347">
        <v>0.12</v>
      </c>
      <c r="CM1064" s="2345">
        <v>0.12</v>
      </c>
      <c r="CN1064" s="2345">
        <v>0.12</v>
      </c>
      <c r="CO1064" s="2345">
        <v>0.12</v>
      </c>
      <c r="CP1064" s="2346">
        <v>0.09</v>
      </c>
      <c r="CQ1064" s="2345">
        <v>0.12</v>
      </c>
      <c r="CR1064" s="2345">
        <v>0.12</v>
      </c>
      <c r="CS1064" s="2345">
        <v>0.12</v>
      </c>
      <c r="CT1064" s="2348">
        <v>0.12</v>
      </c>
      <c r="CU1064" s="2348">
        <v>0.09</v>
      </c>
      <c r="CV1064" s="2345">
        <v>0.12</v>
      </c>
      <c r="CW1064" s="2345">
        <v>0.09</v>
      </c>
      <c r="CX1064" s="2345">
        <v>0.09</v>
      </c>
      <c r="CY1064" s="2348">
        <v>0.12</v>
      </c>
      <c r="CZ1064" s="2348">
        <v>0.09</v>
      </c>
      <c r="DA1064" s="2195">
        <v>0.09</v>
      </c>
      <c r="DB1064" s="2334">
        <v>0.09</v>
      </c>
      <c r="DC1064" s="2334">
        <v>0.09</v>
      </c>
      <c r="DD1064" s="1936">
        <f>IF(DD1058=0, "NM",DD1063-DD$21)</f>
      </c>
      <c r="DE1064" s="2346">
        <v>0.09</v>
      </c>
      <c r="DF1064" s="2195"/>
      <c r="DG1064" s="2334"/>
      <c r="DH1064" s="2334"/>
      <c r="DI1064" s="1936"/>
      <c r="DJ1064" s="2346">
        <v>0.09</v>
      </c>
      <c r="DK1064" s="400"/>
      <c r="DL1064" s="29"/>
      <c r="DM1064" s="29"/>
      <c r="DN1064" s="928"/>
      <c r="DO1064" s="2346">
        <v>0.09</v>
      </c>
      <c r="DP1064" s="2334"/>
      <c r="DQ1064" s="2334"/>
      <c r="DR1064" s="2334"/>
      <c r="DS1064" s="2332"/>
      <c r="DT1064" s="2346">
        <v>0.09</v>
      </c>
      <c r="DU1064" s="2332">
        <v>0.09</v>
      </c>
      <c r="DV1064" s="2334"/>
      <c r="DW1064" s="2334"/>
      <c r="DX1064" s="2226"/>
      <c r="DY1064" s="3309"/>
      <c r="DZ1064" s="2334"/>
      <c r="EA1064" s="2334"/>
      <c r="EB1064" s="2334"/>
      <c r="EC1064" s="2226"/>
      <c r="ED1064" s="3309"/>
      <c r="EE1064" s="2334"/>
      <c r="EF1064" s="2334"/>
      <c r="EG1064" s="2345"/>
      <c r="EH1064" s="2332"/>
      <c r="EI1064" s="2347">
        <v>0.09</v>
      </c>
      <c r="EJ1064" s="2347">
        <v>0.09</v>
      </c>
      <c r="EK1064" s="2346">
        <v>0.09</v>
      </c>
      <c r="EL1064" s="2346">
        <v>0.09</v>
      </c>
      <c r="EM1064" s="2346">
        <v>0.09</v>
      </c>
      <c r="EN1064" s="2346">
        <v>0.09</v>
      </c>
      <c r="EO1064" s="2346"/>
      <c r="EP1064" s="2346"/>
      <c r="EQ1064" s="2346"/>
      <c r="ER1064" s="2346"/>
      <c r="ES1064" s="2346"/>
      <c r="ET1064" s="2346"/>
      <c r="EU1064" s="2346"/>
      <c r="EV1064" s="2346"/>
      <c r="EW1064" s="2346"/>
      <c r="EX1064" s="2346"/>
    </row>
    <row r="1065" spans="1:154" s="419" customFormat="1" hidden="1" outlineLevel="1">
      <c r="A1065" s="3275"/>
      <c r="B1065" s="430" t="s">
        <v>19</v>
      </c>
      <c r="C1065" s="2326"/>
      <c r="D1065" s="2327"/>
      <c r="E1065" s="2327"/>
      <c r="F1065" s="2327"/>
      <c r="G1065" s="2327"/>
      <c r="H1065" s="2327"/>
      <c r="I1065" s="2327"/>
      <c r="J1065" s="2327"/>
      <c r="K1065" s="2327"/>
      <c r="L1065" s="2327"/>
      <c r="M1065" s="2327"/>
      <c r="N1065" s="2327"/>
      <c r="O1065" s="2327"/>
      <c r="P1065" s="2327"/>
      <c r="Q1065" s="2327"/>
      <c r="R1065" s="2327"/>
      <c r="S1065" s="2327"/>
      <c r="T1065" s="2327"/>
      <c r="U1065" s="2327"/>
      <c r="V1065" s="2327"/>
      <c r="W1065" s="2327"/>
      <c r="X1065" s="2333"/>
      <c r="Y1065" s="2327"/>
      <c r="Z1065" s="2327"/>
      <c r="AA1065" s="2327"/>
      <c r="AB1065" s="2327"/>
      <c r="AC1065" s="2333"/>
      <c r="AD1065" s="2327"/>
      <c r="AE1065" s="2327"/>
      <c r="AF1065" s="2327"/>
      <c r="AG1065" s="2327"/>
      <c r="AH1065" s="2333"/>
      <c r="AI1065" s="2327"/>
      <c r="AJ1065" s="2327"/>
      <c r="AK1065" s="2327"/>
      <c r="AL1065" s="2327"/>
      <c r="AM1065" s="2333"/>
      <c r="AN1065" s="2327"/>
      <c r="AO1065" s="2327"/>
      <c r="AP1065" s="2327"/>
      <c r="AQ1065" s="2327"/>
      <c r="AR1065" s="2333"/>
      <c r="AS1065" s="2327"/>
      <c r="AT1065" s="2327"/>
      <c r="AU1065" s="2327"/>
      <c r="AV1065" s="2327"/>
      <c r="AW1065" s="2333"/>
      <c r="AX1065" s="2332" t="str">
        <f t="shared" ref="AX1065:CX1065" si="2226">IF(AS1059="NM","NM",IF(AX1059="NM","NM",IF(AS1059&lt;=0,"NM",IF(AX1059=0,"NM",IF(ABS(AX1059/AS1059-1)&gt;2.5,"NM",IF((ABS(AX1059-AS1059)=ABS(ABS(AX1059)-ABS(AS1059))),(AX1059/AS1059-1),"NM"))))))</f>
      </c>
      <c r="AY1065" s="2332" t="str">
        <f t="shared" si="2226"/>
      </c>
      <c r="AZ1065" s="2332" t="str">
        <f t="shared" si="2226"/>
      </c>
      <c r="BA1065" s="2332" t="str">
        <f t="shared" si="2226"/>
      </c>
      <c r="BB1065" s="2333" t="str">
        <f t="shared" si="2226"/>
      </c>
      <c r="BC1065" s="2332">
        <f t="shared" si="2226"/>
      </c>
      <c r="BD1065" s="2332">
        <f t="shared" si="2226"/>
      </c>
      <c r="BE1065" s="2332">
        <f t="shared" si="2226"/>
      </c>
      <c r="BF1065" s="2332">
        <f t="shared" si="2226"/>
      </c>
      <c r="BG1065" s="2333">
        <f t="shared" si="2226"/>
      </c>
      <c r="BH1065" s="2332">
        <f t="shared" si="2226"/>
      </c>
      <c r="BI1065" s="2332">
        <f t="shared" si="2226"/>
      </c>
      <c r="BJ1065" s="2332">
        <f t="shared" si="2226"/>
      </c>
      <c r="BK1065" s="2332">
        <f t="shared" si="2226"/>
      </c>
      <c r="BL1065" s="2333">
        <f t="shared" si="2226"/>
      </c>
      <c r="BM1065" s="2332">
        <f t="shared" si="2226"/>
      </c>
      <c r="BN1065" s="2332">
        <f t="shared" si="2226"/>
      </c>
      <c r="BO1065" s="2332">
        <f t="shared" si="2226"/>
      </c>
      <c r="BP1065" s="2332">
        <f t="shared" si="2226"/>
      </c>
      <c r="BQ1065" s="2333">
        <f t="shared" si="2226"/>
      </c>
      <c r="BR1065" s="2332">
        <f t="shared" si="2226"/>
      </c>
      <c r="BS1065" s="2332">
        <f t="shared" si="2226"/>
      </c>
      <c r="BT1065" s="2332">
        <f t="shared" si="2226"/>
      </c>
      <c r="BU1065" s="2332">
        <f t="shared" si="2226"/>
      </c>
      <c r="BV1065" s="2333">
        <f t="shared" si="2226"/>
      </c>
      <c r="BW1065" s="2332">
        <f t="shared" si="2226"/>
      </c>
      <c r="BX1065" s="2332">
        <f t="shared" si="2226"/>
      </c>
      <c r="BY1065" s="2332">
        <f t="shared" si="2226"/>
      </c>
      <c r="BZ1065" s="2332">
        <f t="shared" si="2226"/>
      </c>
      <c r="CA1065" s="2333">
        <f t="shared" si="2226"/>
      </c>
      <c r="CB1065" s="2332">
        <f t="shared" si="2226"/>
      </c>
      <c r="CC1065" s="2332">
        <f t="shared" si="2226"/>
      </c>
      <c r="CD1065" s="2332">
        <f t="shared" si="2226"/>
      </c>
      <c r="CE1065" s="2332">
        <f t="shared" si="2226"/>
      </c>
      <c r="CF1065" s="2333">
        <f t="shared" si="2226"/>
      </c>
      <c r="CG1065" s="2332">
        <f t="shared" si="2226"/>
      </c>
      <c r="CH1065" s="2332">
        <f t="shared" si="2226"/>
      </c>
      <c r="CI1065" s="2332">
        <f t="shared" si="2226"/>
      </c>
      <c r="CJ1065" s="2332">
        <f t="shared" si="2226"/>
      </c>
      <c r="CK1065" s="2333">
        <f t="shared" si="2226"/>
      </c>
      <c r="CL1065" s="1935">
        <f t="shared" si="2226"/>
      </c>
      <c r="CM1065" s="2332">
        <f t="shared" si="2226"/>
      </c>
      <c r="CN1065" s="2332">
        <f t="shared" si="2226"/>
      </c>
      <c r="CO1065" s="2332">
        <f t="shared" si="2226"/>
      </c>
      <c r="CP1065" s="2333">
        <f t="shared" si="2226"/>
      </c>
      <c r="CQ1065" s="2332">
        <f t="shared" si="2226"/>
      </c>
      <c r="CR1065" s="2332">
        <f t="shared" si="2226"/>
      </c>
      <c r="CS1065" s="2332">
        <f t="shared" si="2226"/>
      </c>
      <c r="CT1065" s="1936">
        <f t="shared" si="2226"/>
      </c>
      <c r="CU1065" s="1936">
        <f t="shared" si="2226"/>
      </c>
      <c r="CV1065" s="2332">
        <f t="shared" si="2226"/>
      </c>
      <c r="CW1065" s="2332">
        <f t="shared" si="2226"/>
      </c>
      <c r="CX1065" s="2332">
        <f t="shared" si="2226"/>
      </c>
      <c r="CY1065" s="1936">
        <f>IF(CT1059="NM","NM",IF(CY1059="NM","NM",IF(CT1059&lt;=0,"NM",IF(CY1059=0,"NM",IF(ABS(CY1059/CT1059-1)&gt;2.5,"NM",IF((ABS(CY1059-CT1059)=ABS(ABS(CY1059)-ABS(CT1059))),(CY1059/CT1059-1),"NM"))))))</f>
      </c>
      <c r="CZ1065" s="1936">
        <f>IF(CU1059="NM","NM",IF(CZ1059="NM","NM",IF(CU1059&lt;=0,"NM",IF(CZ1059=0,"NM",IF(ABS(CZ1059/CU1059-1)&gt;2.5,"NM",IF((ABS(CZ1059-CU1059)=ABS(ABS(CZ1059)-ABS(CU1059))),(CZ1059/CU1059-1),"NM"))))))</f>
      </c>
      <c r="DA1065" s="1935">
        <f>IF(CV1059=0, "NA", DA1059/CV1059-1)</f>
      </c>
      <c r="DB1065" s="2332">
        <f>IF(CW1059=0, "NA", DB1059/CW1059-1)</f>
      </c>
      <c r="DC1065" s="2332">
        <f>IF(CX1059=0, "NA", DC1059/CX1059-1)</f>
      </c>
      <c r="DD1065" s="1936">
        <f>IF(CY1059=0, "NM", DD1059/CY1059-1)</f>
      </c>
      <c r="DE1065" s="2333">
        <f>IF(CZ1059="NM","NM",IF(DE1059="NM","NM",IF(CZ1059&lt;=0,"NM",IF(DE1059=0,"NM",IF(ABS(DE1059/CZ1059-1)&gt;2.5,"NM",IF((ABS(DE1059-CZ1059)=ABS(ABS(DE1059)-ABS(CZ1059))),(DE1059/CZ1059-1),"NM"))))))</f>
      </c>
      <c r="DF1065" s="1935"/>
      <c r="DG1065" s="2332"/>
      <c r="DH1065" s="2332"/>
      <c r="DI1065" s="1936"/>
      <c r="DJ1065" s="2333">
        <f>IF(DE1059="NM","NM",IF(DJ1059="NM","NM",IF(DE1059&lt;=0,"NM",IF(DJ1059=0,"NM",IF(ABS(DJ1059/DE1059-1)&gt;2.5,"NM",IF((ABS(DJ1059-DE1059)=ABS(ABS(DJ1059)-ABS(DE1059))),(DJ1059/DE1059-1),"NM"))))))</f>
      </c>
      <c r="DK1065" s="958"/>
      <c r="DL1065" s="926"/>
      <c r="DM1065" s="926"/>
      <c r="DN1065" s="928"/>
      <c r="DO1065" s="2333">
        <f>IF(DJ1059="NM","NM",IF(DO1059="NM","NM",IF(DJ1059&lt;=0,"NM",IF(DO1059=0,"NM",IF(ABS(DO1059/DJ1059-1)&gt;2.5,"NM",IF((ABS(DO1059-DJ1059)=ABS(ABS(DO1059)-ABS(DJ1059))),(DO1059/DJ1059-1),"NM"))))))</f>
      </c>
      <c r="DP1065" s="2332"/>
      <c r="DQ1065" s="2332"/>
      <c r="DR1065" s="2332"/>
      <c r="DS1065" s="2332"/>
      <c r="DT1065" s="2333">
        <f>IF(DO1059="NM","NM",IF(DT1059="NM","NM",IF(DO1059&lt;=0,"NM",IF(DT1059=0,"NM",IF(ABS(DT1059/DO1059-1)&gt;2.5,"NM",IF((ABS(DT1059-DO1059)=ABS(ABS(DT1059)-ABS(DO1059))),(DT1059/DO1059-1),"NM"))))))</f>
      </c>
      <c r="DU1065" s="2332" t="str">
        <f>IF(DP1059="NM","NM",IF(DU1059="NM","NM",IF(DP1059&lt;=0,"NM",IF(DU1059=0,"NM",IF(ABS(DU1059/DP1059-1)&gt;2.5,"NM",IF((ABS(DU1059-DP1059)=ABS(ABS(DU1059)-ABS(DP1059))),(DU1059/DP1059-1),"NM"))))))</f>
      </c>
      <c r="DV1065" s="2332"/>
      <c r="DW1065" s="2332"/>
      <c r="DX1065" s="1936"/>
      <c r="DY1065" s="2333" t="e">
        <f>IF(DT1059="NM","NM",IF(DY1059="NM","NM",IF(DT1059&lt;=0,"NM",IF(DY1059=0,"NM",IF(ABS(DY1059/DT1059-1)&gt;2.5,"NM",IF((ABS(DY1059-DT1059)=ABS(ABS(DY1059)-ABS(DT1059))),(DY1059/DT1059-1),"NM"))))))</f>
      </c>
      <c r="DZ1065" s="2332"/>
      <c r="EA1065" s="2332"/>
      <c r="EB1065" s="2332"/>
      <c r="EC1065" s="1936"/>
      <c r="ED1065" s="2333" t="e">
        <f>IF(DY1059="NM","NM",IF(ED1059="NM","NM",IF(DY1059&lt;=0,"NM",IF(ED1059=0,"NM",IF(ABS(ED1059/DY1059-1)&gt;2.5,"NM",IF((ABS(ED1059-DY1059)=ABS(ABS(ED1059)-ABS(DY1059))),(ED1059/DY1059-1),"NM"))))))</f>
      </c>
      <c r="EE1065" s="2332"/>
      <c r="EF1065" s="2332"/>
      <c r="EG1065" s="2332"/>
      <c r="EH1065" s="2332"/>
      <c r="EI1065" s="1935" t="e">
        <f>IF(ED1059="NM","NM",IF(EI1059="NM","NM",IF(ED1059&lt;=0,"NM",IF(EI1059=0,"NM",IF(ABS(EI1059/ED1059-1)&gt;2.5,"NM",IF((ABS(EI1059-ED1059)=ABS(ABS(EI1059)-ABS(ED1059))),(EI1059/ED1059-1),"NM"))))))</f>
      </c>
      <c r="EJ1065" s="1935" t="e">
        <f t="shared" ref="EJ1065:EN1065" si="2227">IF(EI1059="NM","NM",IF(EJ1059="NM","NM",IF(EI1059&lt;=0,"NM",IF(EJ1059=0,"NM",IF(ABS(EJ1059/EI1059-1)&gt;2.5,"NM",IF((ABS(EJ1059-EI1059)=ABS(ABS(EJ1059)-ABS(EI1059))),(EJ1059/EI1059-1),"NM"))))))</f>
      </c>
      <c r="EK1065" s="2333" t="e">
        <f t="shared" si="2227"/>
      </c>
      <c r="EL1065" s="2333" t="e">
        <f t="shared" si="2227"/>
      </c>
      <c r="EM1065" s="2333" t="e">
        <f t="shared" si="2227"/>
      </c>
      <c r="EN1065" s="2333" t="e">
        <f t="shared" si="2227"/>
      </c>
      <c r="EO1065" s="2333"/>
      <c r="EP1065" s="2333"/>
      <c r="EQ1065" s="2333"/>
      <c r="ER1065" s="2333"/>
      <c r="ES1065" s="2333"/>
      <c r="ET1065" s="2333"/>
      <c r="EU1065" s="2333"/>
      <c r="EV1065" s="2333"/>
      <c r="EW1065" s="2333"/>
      <c r="EX1065" s="2333"/>
    </row>
    <row r="1066" spans="1:154" s="419" customFormat="1" hidden="1" outlineLevel="1">
      <c r="A1066" s="3275"/>
      <c r="B1066" s="430"/>
      <c r="C1066" s="2326"/>
      <c r="D1066" s="2327"/>
      <c r="E1066" s="2327"/>
      <c r="F1066" s="2327"/>
      <c r="G1066" s="2327"/>
      <c r="H1066" s="2327"/>
      <c r="I1066" s="2327"/>
      <c r="J1066" s="2327"/>
      <c r="K1066" s="2327"/>
      <c r="L1066" s="2327"/>
      <c r="M1066" s="2327"/>
      <c r="N1066" s="2327"/>
      <c r="O1066" s="2327"/>
      <c r="P1066" s="2327"/>
      <c r="Q1066" s="2327"/>
      <c r="R1066" s="2327"/>
      <c r="S1066" s="2327"/>
      <c r="T1066" s="2327"/>
      <c r="U1066" s="2327"/>
      <c r="V1066" s="2327"/>
      <c r="W1066" s="2327"/>
      <c r="X1066" s="2349"/>
      <c r="Y1066" s="2327"/>
      <c r="Z1066" s="2327"/>
      <c r="AA1066" s="2327"/>
      <c r="AB1066" s="2327"/>
      <c r="AC1066" s="2349"/>
      <c r="AD1066" s="2327"/>
      <c r="AE1066" s="2327"/>
      <c r="AF1066" s="2327"/>
      <c r="AG1066" s="2327"/>
      <c r="AH1066" s="2349"/>
      <c r="AI1066" s="2327"/>
      <c r="AJ1066" s="2327"/>
      <c r="AK1066" s="2327"/>
      <c r="AL1066" s="2327"/>
      <c r="AM1066" s="2349"/>
      <c r="AN1066" s="2327"/>
      <c r="AO1066" s="2327"/>
      <c r="AP1066" s="2327"/>
      <c r="AQ1066" s="2327"/>
      <c r="AR1066" s="2349"/>
      <c r="AS1066" s="2327"/>
      <c r="AT1066" s="2327"/>
      <c r="AU1066" s="2327"/>
      <c r="AV1066" s="2327"/>
      <c r="AW1066" s="2349"/>
      <c r="AX1066" s="2327"/>
      <c r="AY1066" s="2331"/>
      <c r="AZ1066" s="2331"/>
      <c r="BA1066" s="2331"/>
      <c r="BB1066" s="2350"/>
      <c r="BC1066" s="2327"/>
      <c r="BD1066" s="2327"/>
      <c r="BE1066" s="2327"/>
      <c r="BF1066" s="2327"/>
      <c r="BG1066" s="2349"/>
      <c r="BH1066" s="2327"/>
      <c r="BI1066" s="2327"/>
      <c r="BJ1066" s="2327"/>
      <c r="BK1066" s="2327"/>
      <c r="BL1066" s="2349"/>
      <c r="BM1066" s="2327"/>
      <c r="BN1066" s="2327"/>
      <c r="BO1066" s="2327"/>
      <c r="BP1066" s="2327"/>
      <c r="BQ1066" s="2349"/>
      <c r="BR1066" s="2327"/>
      <c r="BS1066" s="2327"/>
      <c r="BT1066" s="2327"/>
      <c r="BU1066" s="2327"/>
      <c r="BV1066" s="2349"/>
      <c r="BW1066" s="2327"/>
      <c r="BX1066" s="2327"/>
      <c r="BY1066" s="2327"/>
      <c r="BZ1066" s="2327"/>
      <c r="CA1066" s="2349"/>
      <c r="CB1066" s="2327"/>
      <c r="CC1066" s="2327"/>
      <c r="CD1066" s="2327"/>
      <c r="CE1066" s="2327"/>
      <c r="CF1066" s="2349"/>
      <c r="CG1066" s="2327"/>
      <c r="CH1066" s="2327"/>
      <c r="CI1066" s="2327"/>
      <c r="CJ1066" s="2327"/>
      <c r="CK1066" s="2349"/>
      <c r="CL1066" s="1008"/>
      <c r="CM1066" s="2327"/>
      <c r="CN1066" s="2327"/>
      <c r="CO1066" s="2327"/>
      <c r="CP1066" s="2349"/>
      <c r="CQ1066" s="2327"/>
      <c r="CR1066" s="2327"/>
      <c r="CS1066" s="2327"/>
      <c r="CT1066" s="1009"/>
      <c r="CU1066" s="1009"/>
      <c r="CV1066" s="2327"/>
      <c r="CW1066" s="2327"/>
      <c r="CX1066" s="2327"/>
      <c r="CY1066" s="1009"/>
      <c r="CZ1066" s="1009"/>
      <c r="DA1066" s="1008"/>
      <c r="DB1066" s="2327"/>
      <c r="DC1066" s="2327"/>
      <c r="DD1066" s="1009"/>
      <c r="DE1066" s="2350"/>
      <c r="DF1066" s="2330"/>
      <c r="DG1066" s="2331"/>
      <c r="DH1066" s="2331"/>
      <c r="DI1066" s="2131"/>
      <c r="DJ1066" s="2350"/>
      <c r="DK1066" s="981"/>
      <c r="DL1066" s="982"/>
      <c r="DM1066" s="982"/>
      <c r="DN1066" s="1875"/>
      <c r="DO1066" s="2350"/>
      <c r="DP1066" s="2331"/>
      <c r="DQ1066" s="2331"/>
      <c r="DR1066" s="2331"/>
      <c r="DS1066" s="2331"/>
      <c r="DT1066" s="2350"/>
      <c r="DU1066" s="2331"/>
      <c r="DV1066" s="2331"/>
      <c r="DW1066" s="2331"/>
      <c r="DX1066" s="2131"/>
      <c r="DY1066" s="2350"/>
      <c r="DZ1066" s="2331"/>
      <c r="EA1066" s="2331"/>
      <c r="EB1066" s="2331"/>
      <c r="EC1066" s="2131"/>
      <c r="ED1066" s="2350"/>
      <c r="EE1066" s="2331"/>
      <c r="EF1066" s="2331"/>
      <c r="EG1066" s="2331"/>
      <c r="EH1066" s="2331"/>
      <c r="EI1066" s="2330"/>
      <c r="EJ1066" s="2330"/>
      <c r="EK1066" s="2350"/>
      <c r="EL1066" s="2350"/>
      <c r="EM1066" s="2350"/>
      <c r="EN1066" s="2350"/>
      <c r="EO1066" s="2350"/>
      <c r="EP1066" s="2350"/>
      <c r="EQ1066" s="2350"/>
      <c r="ER1066" s="2350"/>
      <c r="ES1066" s="2350"/>
      <c r="ET1066" s="2350"/>
      <c r="EU1066" s="2350"/>
      <c r="EV1066" s="2350"/>
      <c r="EW1066" s="2350"/>
      <c r="EX1066" s="2350"/>
    </row>
    <row r="1067" spans="1:154" s="419" customFormat="1" hidden="1" outlineLevel="1">
      <c r="A1067" s="3275"/>
      <c r="B1067" s="416" t="s">
        <v>120</v>
      </c>
      <c r="C1067" s="2021"/>
      <c r="D1067" s="432"/>
      <c r="E1067" s="432"/>
      <c r="F1067" s="432"/>
      <c r="G1067" s="432"/>
      <c r="H1067" s="432"/>
      <c r="I1067" s="433"/>
      <c r="J1067" s="432"/>
      <c r="K1067" s="432"/>
      <c r="L1067" s="432"/>
      <c r="M1067" s="432"/>
      <c r="N1067" s="433"/>
      <c r="O1067" s="433"/>
      <c r="P1067" s="433"/>
      <c r="Q1067" s="433"/>
      <c r="R1067" s="433"/>
      <c r="S1067" s="434"/>
      <c r="T1067" s="433"/>
      <c r="U1067" s="433"/>
      <c r="V1067" s="433"/>
      <c r="W1067" s="433"/>
      <c r="X1067" s="435"/>
      <c r="Y1067" s="433"/>
      <c r="Z1067" s="433"/>
      <c r="AA1067" s="433"/>
      <c r="AB1067" s="433"/>
      <c r="AC1067" s="435"/>
      <c r="AD1067" s="433"/>
      <c r="AE1067" s="433"/>
      <c r="AF1067" s="433"/>
      <c r="AG1067" s="433"/>
      <c r="AH1067" s="435"/>
      <c r="AI1067" s="432"/>
      <c r="AJ1067" s="432"/>
      <c r="AK1067" s="432"/>
      <c r="AL1067" s="433"/>
      <c r="AM1067" s="435"/>
      <c r="AN1067" s="432"/>
      <c r="AO1067" s="432"/>
      <c r="AP1067" s="432"/>
      <c r="AQ1067" s="433"/>
      <c r="AR1067" s="435"/>
      <c r="AS1067" s="432"/>
      <c r="AT1067" s="432"/>
      <c r="AU1067" s="432"/>
      <c r="AV1067" s="433"/>
      <c r="AW1067" s="435"/>
      <c r="AX1067" s="432"/>
      <c r="AY1067" s="432"/>
      <c r="AZ1067" s="432"/>
      <c r="BA1067" s="432"/>
      <c r="BB1067" s="435"/>
      <c r="BC1067" s="432"/>
      <c r="BD1067" s="432"/>
      <c r="BE1067" s="432"/>
      <c r="BF1067" s="432"/>
      <c r="BG1067" s="435"/>
      <c r="BH1067" s="432"/>
      <c r="BI1067" s="432"/>
      <c r="BJ1067" s="432"/>
      <c r="BK1067" s="432"/>
      <c r="BL1067" s="435"/>
      <c r="BM1067" s="432"/>
      <c r="BN1067" s="432"/>
      <c r="BO1067" s="432"/>
      <c r="BP1067" s="432"/>
      <c r="BQ1067" s="435"/>
      <c r="BR1067" s="432"/>
      <c r="BS1067" s="432"/>
      <c r="BT1067" s="432"/>
      <c r="BU1067" s="432"/>
      <c r="BV1067" s="435"/>
      <c r="BW1067" s="432"/>
      <c r="BX1067" s="432"/>
      <c r="BY1067" s="432"/>
      <c r="BZ1067" s="432"/>
      <c r="CA1067" s="435"/>
      <c r="CB1067" s="432"/>
      <c r="CC1067" s="432"/>
      <c r="CD1067" s="432"/>
      <c r="CE1067" s="432"/>
      <c r="CF1067" s="435"/>
      <c r="CG1067" s="432"/>
      <c r="CH1067" s="432"/>
      <c r="CI1067" s="432"/>
      <c r="CJ1067" s="432"/>
      <c r="CK1067" s="435"/>
      <c r="CL1067" s="1010"/>
      <c r="CM1067" s="432"/>
      <c r="CN1067" s="432"/>
      <c r="CO1067" s="432"/>
      <c r="CP1067" s="435"/>
      <c r="CQ1067" s="432"/>
      <c r="CR1067" s="432"/>
      <c r="CS1067" s="432"/>
      <c r="CT1067" s="1011"/>
      <c r="CU1067" s="1005"/>
      <c r="CV1067" s="432"/>
      <c r="CW1067" s="432"/>
      <c r="CX1067" s="432"/>
      <c r="CY1067" s="1011"/>
      <c r="CZ1067" s="1005"/>
      <c r="DA1067" s="1334"/>
      <c r="DB1067" s="434"/>
      <c r="DC1067" s="434"/>
      <c r="DD1067" s="1005"/>
      <c r="DE1067" s="1938"/>
      <c r="DF1067" s="1939"/>
      <c r="DG1067" s="2353"/>
      <c r="DH1067" s="2353"/>
      <c r="DI1067" s="1940"/>
      <c r="DJ1067" s="1938"/>
      <c r="DK1067" s="1941"/>
      <c r="DL1067" s="1777"/>
      <c r="DM1067" s="1777"/>
      <c r="DN1067" s="2354"/>
      <c r="DO1067" s="1938"/>
      <c r="DP1067" s="2353"/>
      <c r="DQ1067" s="2353"/>
      <c r="DR1067" s="2353"/>
      <c r="DS1067" s="2353"/>
      <c r="DT1067" s="1938"/>
      <c r="DU1067" s="2353"/>
      <c r="DV1067" s="2353"/>
      <c r="DW1067" s="2353"/>
      <c r="DX1067" s="1940"/>
      <c r="DY1067" s="1938"/>
      <c r="DZ1067" s="2353"/>
      <c r="EA1067" s="2353"/>
      <c r="EB1067" s="2353"/>
      <c r="EC1067" s="1940"/>
      <c r="ED1067" s="1938"/>
      <c r="EE1067" s="2353"/>
      <c r="EF1067" s="2353"/>
      <c r="EG1067" s="2353"/>
      <c r="EH1067" s="2353"/>
      <c r="EI1067" s="1939"/>
      <c r="EJ1067" s="1939"/>
      <c r="EK1067" s="1938"/>
      <c r="EL1067" s="1938"/>
      <c r="EM1067" s="1938"/>
      <c r="EN1067" s="1938"/>
      <c r="EO1067" s="1938"/>
      <c r="EP1067" s="1938"/>
      <c r="EQ1067" s="1938"/>
      <c r="ER1067" s="1938"/>
      <c r="ES1067" s="1938"/>
      <c r="ET1067" s="1938"/>
      <c r="EU1067" s="1938"/>
      <c r="EV1067" s="1938"/>
      <c r="EW1067" s="1938"/>
      <c r="EX1067" s="1938"/>
    </row>
    <row r="1068" spans="1:154" s="419" customFormat="1" hidden="1" outlineLevel="1">
      <c r="A1068" s="3275"/>
      <c r="B1068" s="420" t="s">
        <v>187</v>
      </c>
      <c r="C1068" s="2326"/>
      <c r="D1068" s="417">
        <v>740.77653997378764</v>
      </c>
      <c r="E1068" s="354">
        <v>200</v>
      </c>
      <c r="F1068" s="354">
        <v>203.66972477064218</v>
      </c>
      <c r="G1068" s="354">
        <v>212</v>
      </c>
      <c r="H1068" s="354">
        <v>214</v>
      </c>
      <c r="I1068" s="417">
        <f>+SUM(E1068:H1068)</f>
      </c>
      <c r="J1068" s="354">
        <v>251</v>
      </c>
      <c r="K1068" s="354">
        <v>266</v>
      </c>
      <c r="L1068" s="354">
        <v>270</v>
      </c>
      <c r="M1068" s="354">
        <v>286</v>
      </c>
      <c r="N1068" s="417">
        <f>+SUM(J1068:M1068)</f>
      </c>
      <c r="O1068" s="354">
        <v>267</v>
      </c>
      <c r="P1068" s="354">
        <v>290</v>
      </c>
      <c r="Q1068" s="354">
        <v>301</v>
      </c>
      <c r="R1068" s="354">
        <v>301</v>
      </c>
      <c r="S1068" s="417">
        <f>SUM(O1068:R1068)</f>
      </c>
      <c r="T1068" s="354">
        <v>302</v>
      </c>
      <c r="U1068" s="354">
        <v>335</v>
      </c>
      <c r="V1068" s="354">
        <v>342</v>
      </c>
      <c r="W1068" s="354">
        <v>359</v>
      </c>
      <c r="X1068" s="418">
        <f>SUM(T1068:W1068)</f>
      </c>
      <c r="Y1068" s="354">
        <v>350</v>
      </c>
      <c r="Z1068" s="354">
        <v>353</v>
      </c>
      <c r="AA1068" s="354">
        <v>343</v>
      </c>
      <c r="AB1068" s="354">
        <v>354</v>
      </c>
      <c r="AC1068" s="418">
        <f>SUM(Y1068:AB1068)</f>
      </c>
      <c r="AD1068" s="354">
        <v>333.6</v>
      </c>
      <c r="AE1068" s="354">
        <v>358.4</v>
      </c>
      <c r="AF1068" s="354">
        <v>350</v>
      </c>
      <c r="AG1068" s="354">
        <v>404</v>
      </c>
      <c r="AH1068" s="418">
        <f>SUM(AD1068:AG1068)</f>
      </c>
      <c r="AI1068" s="354">
        <v>371</v>
      </c>
      <c r="AJ1068" s="354">
        <v>386</v>
      </c>
      <c r="AK1068" s="354">
        <v>372</v>
      </c>
      <c r="AL1068" s="354">
        <v>410</v>
      </c>
      <c r="AM1068" s="418">
        <f>+SUM(AI1068:AL1068)</f>
      </c>
      <c r="AN1068" s="354">
        <v>380</v>
      </c>
      <c r="AO1068" s="354">
        <v>417</v>
      </c>
      <c r="AP1068" s="354">
        <v>416</v>
      </c>
      <c r="AQ1068" s="354">
        <v>421</v>
      </c>
      <c r="AR1068" s="418">
        <f>+SUM(AN1068:AQ1068)</f>
      </c>
      <c r="AS1068" s="354">
        <v>417</v>
      </c>
      <c r="AT1068" s="354">
        <v>454</v>
      </c>
      <c r="AU1068" s="354">
        <v>440</v>
      </c>
      <c r="AV1068" s="354">
        <v>481</v>
      </c>
      <c r="AW1068" s="418">
        <f>+SUM(AS1068:AV1068)</f>
      </c>
      <c r="AX1068" s="354">
        <v>429</v>
      </c>
      <c r="AY1068" s="354">
        <v>484</v>
      </c>
      <c r="AZ1068" s="354">
        <v>473</v>
      </c>
      <c r="BA1068" s="354">
        <v>515</v>
      </c>
      <c r="BB1068" s="418">
        <f>SUM(AX1068:BA1068)</f>
      </c>
      <c r="BC1068" s="354">
        <v>454</v>
      </c>
      <c r="BD1068" s="354">
        <v>489</v>
      </c>
      <c r="BE1068" s="354">
        <v>499</v>
      </c>
      <c r="BF1068" s="354">
        <v>532</v>
      </c>
      <c r="BG1068" s="418">
        <f>SUM(BC1068:BF1068)</f>
      </c>
      <c r="BH1068" s="354">
        <v>483</v>
      </c>
      <c r="BI1068" s="354">
        <v>507</v>
      </c>
      <c r="BJ1068" s="354">
        <v>484</v>
      </c>
      <c r="BK1068" s="354">
        <v>501</v>
      </c>
      <c r="BL1068" s="418">
        <f>SUM(BH1068:BK1068)</f>
      </c>
      <c r="BM1068" s="354">
        <v>471</v>
      </c>
      <c r="BN1068" s="421">
        <v>490</v>
      </c>
      <c r="BO1068" s="421">
        <v>472</v>
      </c>
      <c r="BP1068" s="2327">
        <v>524</v>
      </c>
      <c r="BQ1068" s="418">
        <f>SUM(BM1068:BP1068)</f>
      </c>
      <c r="BR1068" s="2327">
        <f t="shared" ref="BR1068:BT1069" si="2228">+(1+BR1073)*BM1068</f>
      </c>
      <c r="BS1068" s="2327">
        <f t="shared" si="2228"/>
      </c>
      <c r="BT1068" s="2327">
        <f t="shared" si="2228"/>
      </c>
      <c r="BU1068" s="2327">
        <f>+BV1068-SUM(BR1068:BT1068)</f>
      </c>
      <c r="BV1068" s="418">
        <f>+BQ1068*(1+BV1073)</f>
      </c>
      <c r="BW1068" s="2327">
        <f t="shared" ref="BW1068:BZ1069" si="2229">+(1+BW1073)*BR1068</f>
      </c>
      <c r="BX1068" s="2327">
        <f t="shared" si="2229"/>
      </c>
      <c r="BY1068" s="2327">
        <f t="shared" si="2229"/>
      </c>
      <c r="BZ1068" s="2327">
        <f t="shared" si="2229"/>
      </c>
      <c r="CA1068" s="418">
        <f>SUM(BW1068:BZ1068)</f>
      </c>
      <c r="CB1068" s="2327">
        <f t="shared" ref="CB1068:CE1069" si="2230">+(1+CB1073)*BW1068</f>
      </c>
      <c r="CC1068" s="2327">
        <f t="shared" si="2230"/>
      </c>
      <c r="CD1068" s="2327">
        <f t="shared" si="2230"/>
      </c>
      <c r="CE1068" s="2327">
        <f t="shared" si="2230"/>
      </c>
      <c r="CF1068" s="418">
        <f>SUM(CB1068:CE1068)</f>
      </c>
      <c r="CG1068" s="2327">
        <f t="shared" ref="CG1068:CJ1069" si="2231">+(1+CG1073)*CB1068</f>
      </c>
      <c r="CH1068" s="2327">
        <f t="shared" si="2231"/>
      </c>
      <c r="CI1068" s="2327">
        <f t="shared" si="2231"/>
      </c>
      <c r="CJ1068" s="2327">
        <f t="shared" si="2231"/>
      </c>
      <c r="CK1068" s="418">
        <f>SUM(CG1068:CJ1068)</f>
      </c>
      <c r="CL1068" s="1008">
        <f t="shared" ref="CL1068:CO1069" si="2232">+(1+CL1073)*CG1068</f>
      </c>
      <c r="CM1068" s="2327">
        <f t="shared" si="2232"/>
      </c>
      <c r="CN1068" s="2327">
        <f t="shared" si="2232"/>
      </c>
      <c r="CO1068" s="2327">
        <f t="shared" si="2232"/>
      </c>
      <c r="CP1068" s="418">
        <f>+CK1068*(1+CP1073)</f>
      </c>
      <c r="CQ1068" s="2327">
        <f t="shared" ref="CQ1068:CY1069" si="2233">+(1+CQ1073)*CL1068</f>
      </c>
      <c r="CR1068" s="2327">
        <f t="shared" si="2233"/>
      </c>
      <c r="CS1068" s="2327">
        <f t="shared" si="2233"/>
      </c>
      <c r="CT1068" s="1009">
        <f t="shared" si="2233"/>
      </c>
      <c r="CU1068" s="1003">
        <f>+CP1068*(1+CU1073)</f>
      </c>
      <c r="CV1068" s="2327">
        <f t="shared" si="2233"/>
      </c>
      <c r="CW1068" s="2327">
        <f t="shared" si="2233"/>
      </c>
      <c r="CX1068" s="2327">
        <f t="shared" si="2233"/>
      </c>
      <c r="CY1068" s="1009">
        <f t="shared" si="2233"/>
      </c>
      <c r="CZ1068" s="1003">
        <f>+CU1068*(1+CZ1073)</f>
      </c>
      <c r="DA1068" s="1331">
        <f t="shared" ref="DA1068:DC1069" si="2234">+(1+DA1073)*CV1068</f>
      </c>
      <c r="DB1068" s="417">
        <f t="shared" si="2234"/>
      </c>
      <c r="DC1068" s="417">
        <f t="shared" si="2234"/>
      </c>
      <c r="DD1068" s="1003">
        <f>+DE1068-SUM(DA1068:DC1068)</f>
      </c>
      <c r="DE1068" s="1932">
        <f>+CZ1068*(1+DE1073)</f>
      </c>
      <c r="DF1068" s="1933"/>
      <c r="DG1068" s="2328"/>
      <c r="DH1068" s="2328"/>
      <c r="DI1068" s="1934"/>
      <c r="DJ1068" s="1932">
        <f>+DE1068*(1+DJ1073)</f>
      </c>
      <c r="DK1068" s="1799"/>
      <c r="DL1068" s="603"/>
      <c r="DM1068" s="603"/>
      <c r="DN1068" s="1798"/>
      <c r="DO1068" s="1932">
        <f>+DJ1068*(1+DO1073)</f>
      </c>
      <c r="DP1068" s="2328"/>
      <c r="DQ1068" s="2328"/>
      <c r="DR1068" s="2328"/>
      <c r="DS1068" s="2328"/>
      <c r="DT1068" s="1932">
        <f>+DO1068*(1+DT1073)</f>
      </c>
      <c r="DU1068" s="2328">
        <f>+DP1068*(1+DU1073)</f>
      </c>
      <c r="DV1068" s="2328"/>
      <c r="DW1068" s="2328"/>
      <c r="DX1068" s="1934"/>
      <c r="DY1068" s="1932">
        <f>+DT1068*(1+DY1073)</f>
      </c>
      <c r="DZ1068" s="2328"/>
      <c r="EA1068" s="2328"/>
      <c r="EB1068" s="2328"/>
      <c r="EC1068" s="1934"/>
      <c r="ED1068" s="1932">
        <f>+DY1068*(1+ED1073)</f>
      </c>
      <c r="EE1068" s="2328"/>
      <c r="EF1068" s="2328"/>
      <c r="EG1068" s="2328"/>
      <c r="EH1068" s="2328"/>
      <c r="EI1068" s="1933">
        <f>+ED1068*(1+EI1073)</f>
      </c>
      <c r="EJ1068" s="1933">
        <f t="shared" ref="EJ1068:EN1069" si="2235">+EI1068*(1+EJ1073)</f>
      </c>
      <c r="EK1068" s="1932">
        <f t="shared" si="2235"/>
      </c>
      <c r="EL1068" s="1932">
        <f t="shared" si="2235"/>
      </c>
      <c r="EM1068" s="1932">
        <f t="shared" si="2235"/>
      </c>
      <c r="EN1068" s="1932">
        <f t="shared" si="2235"/>
      </c>
      <c r="EO1068" s="1932"/>
      <c r="EP1068" s="1932"/>
      <c r="EQ1068" s="1932"/>
      <c r="ER1068" s="1932"/>
      <c r="ES1068" s="1932"/>
      <c r="ET1068" s="1932"/>
      <c r="EU1068" s="1932"/>
      <c r="EV1068" s="1932"/>
      <c r="EW1068" s="1932"/>
      <c r="EX1068" s="1932"/>
    </row>
    <row r="1069" spans="1:154" s="419" customFormat="1" hidden="1" outlineLevel="1">
      <c r="A1069" s="3275"/>
      <c r="B1069" s="420" t="s">
        <v>412</v>
      </c>
      <c r="C1069" s="2326"/>
      <c r="D1069" s="417">
        <v>455.49246725717308</v>
      </c>
      <c r="E1069" s="354">
        <v>135</v>
      </c>
      <c r="F1069" s="354">
        <v>136.03603603603602</v>
      </c>
      <c r="G1069" s="354">
        <v>127</v>
      </c>
      <c r="H1069" s="354">
        <v>144</v>
      </c>
      <c r="I1069" s="417">
        <f>+SUM(E1069:H1069)</f>
      </c>
      <c r="J1069" s="354">
        <v>197</v>
      </c>
      <c r="K1069" s="354">
        <v>197</v>
      </c>
      <c r="L1069" s="354">
        <v>183</v>
      </c>
      <c r="M1069" s="354">
        <v>196</v>
      </c>
      <c r="N1069" s="417">
        <f>+SUM(J1069:M1069)</f>
      </c>
      <c r="O1069" s="354">
        <v>208</v>
      </c>
      <c r="P1069" s="354">
        <v>209</v>
      </c>
      <c r="Q1069" s="354">
        <v>202</v>
      </c>
      <c r="R1069" s="354">
        <v>222</v>
      </c>
      <c r="S1069" s="417">
        <f>SUM(O1069:R1069)</f>
      </c>
      <c r="T1069" s="354">
        <v>219</v>
      </c>
      <c r="U1069" s="354">
        <v>240</v>
      </c>
      <c r="V1069" s="354">
        <v>229</v>
      </c>
      <c r="W1069" s="354">
        <v>266</v>
      </c>
      <c r="X1069" s="418">
        <f>SUM(T1069:W1069)</f>
      </c>
      <c r="Y1069" s="354">
        <v>273</v>
      </c>
      <c r="Z1069" s="354">
        <v>296</v>
      </c>
      <c r="AA1069" s="354">
        <v>279</v>
      </c>
      <c r="AB1069" s="354">
        <v>339</v>
      </c>
      <c r="AC1069" s="418">
        <f>SUM(Y1069:AB1069)</f>
      </c>
      <c r="AD1069" s="354">
        <v>331.6</v>
      </c>
      <c r="AE1069" s="354">
        <v>352</v>
      </c>
      <c r="AF1069" s="354">
        <v>322</v>
      </c>
      <c r="AG1069" s="354">
        <v>398</v>
      </c>
      <c r="AH1069" s="418">
        <f>SUM(AD1069:AG1069)</f>
      </c>
      <c r="AI1069" s="354">
        <v>394</v>
      </c>
      <c r="AJ1069" s="354">
        <v>399</v>
      </c>
      <c r="AK1069" s="354">
        <v>351</v>
      </c>
      <c r="AL1069" s="354">
        <v>413</v>
      </c>
      <c r="AM1069" s="418">
        <f>+SUM(AI1069:AL1069)</f>
      </c>
      <c r="AN1069" s="354">
        <v>414</v>
      </c>
      <c r="AO1069" s="354">
        <v>440</v>
      </c>
      <c r="AP1069" s="354">
        <v>410</v>
      </c>
      <c r="AQ1069" s="354">
        <v>479</v>
      </c>
      <c r="AR1069" s="418">
        <f>+SUM(AN1069:AQ1069)</f>
      </c>
      <c r="AS1069" s="354">
        <v>474</v>
      </c>
      <c r="AT1069" s="354">
        <v>503</v>
      </c>
      <c r="AU1069" s="354">
        <v>482</v>
      </c>
      <c r="AV1069" s="354">
        <v>583</v>
      </c>
      <c r="AW1069" s="418">
        <f>+SUM(AS1069:AV1069)</f>
      </c>
      <c r="AX1069" s="354">
        <v>574</v>
      </c>
      <c r="AY1069" s="354">
        <v>640</v>
      </c>
      <c r="AZ1069" s="354">
        <v>569</v>
      </c>
      <c r="BA1069" s="354">
        <v>602</v>
      </c>
      <c r="BB1069" s="418">
        <f>SUM(AX1069:BA1069)</f>
      </c>
      <c r="BC1069" s="354">
        <v>561</v>
      </c>
      <c r="BD1069" s="354">
        <v>626</v>
      </c>
      <c r="BE1069" s="354">
        <v>607</v>
      </c>
      <c r="BF1069" s="354">
        <v>724</v>
      </c>
      <c r="BG1069" s="418">
        <f>SUM(BC1069:BF1069)</f>
      </c>
      <c r="BH1069" s="354">
        <v>685</v>
      </c>
      <c r="BI1069" s="354">
        <v>689</v>
      </c>
      <c r="BJ1069" s="354">
        <v>653</v>
      </c>
      <c r="BK1069" s="354">
        <v>756</v>
      </c>
      <c r="BL1069" s="418">
        <f>SUM(BH1069:BK1069)</f>
      </c>
      <c r="BM1069" s="354">
        <v>750</v>
      </c>
      <c r="BN1069" s="421">
        <v>805</v>
      </c>
      <c r="BO1069" s="421">
        <v>759</v>
      </c>
      <c r="BP1069" s="2327">
        <v>809</v>
      </c>
      <c r="BQ1069" s="418">
        <f>SUM(BM1069:BP1069)</f>
      </c>
      <c r="BR1069" s="2327">
        <f t="shared" si="2228"/>
      </c>
      <c r="BS1069" s="2327">
        <f t="shared" si="2228"/>
      </c>
      <c r="BT1069" s="2327">
        <f t="shared" si="2228"/>
      </c>
      <c r="BU1069" s="2327">
        <f>+BV1069-SUM(BR1069:BT1069)</f>
      </c>
      <c r="BV1069" s="418">
        <f>+BQ1069*(1+BV1074)</f>
      </c>
      <c r="BW1069" s="2327">
        <f t="shared" si="2229"/>
      </c>
      <c r="BX1069" s="2327">
        <f t="shared" si="2229"/>
      </c>
      <c r="BY1069" s="2327">
        <f t="shared" si="2229"/>
      </c>
      <c r="BZ1069" s="2327">
        <f t="shared" si="2229"/>
      </c>
      <c r="CA1069" s="418">
        <f>SUM(BW1069:BZ1069)</f>
      </c>
      <c r="CB1069" s="2327">
        <f t="shared" si="2230"/>
      </c>
      <c r="CC1069" s="2327">
        <f t="shared" si="2230"/>
      </c>
      <c r="CD1069" s="2327">
        <f t="shared" si="2230"/>
      </c>
      <c r="CE1069" s="2327">
        <f t="shared" si="2230"/>
      </c>
      <c r="CF1069" s="418">
        <f>SUM(CB1069:CE1069)</f>
      </c>
      <c r="CG1069" s="2327">
        <f t="shared" si="2231"/>
      </c>
      <c r="CH1069" s="2327">
        <f t="shared" si="2231"/>
      </c>
      <c r="CI1069" s="2327">
        <f t="shared" si="2231"/>
      </c>
      <c r="CJ1069" s="2327">
        <f t="shared" si="2231"/>
      </c>
      <c r="CK1069" s="418">
        <f>SUM(CG1069:CJ1069)</f>
      </c>
      <c r="CL1069" s="1008">
        <f t="shared" si="2232"/>
      </c>
      <c r="CM1069" s="2327">
        <f t="shared" si="2232"/>
      </c>
      <c r="CN1069" s="2327">
        <f t="shared" si="2232"/>
      </c>
      <c r="CO1069" s="2327">
        <f t="shared" si="2232"/>
      </c>
      <c r="CP1069" s="418">
        <f>+CK1069*(1+CP1074)</f>
      </c>
      <c r="CQ1069" s="2327">
        <f>+(1+CQ1074)*CL1069</f>
      </c>
      <c r="CR1069" s="2327">
        <f>+(1+CR1074)*CM1069</f>
      </c>
      <c r="CS1069" s="2327">
        <f>+(1+CS1074)*CN1069</f>
      </c>
      <c r="CT1069" s="1009">
        <f>+(1+CT1074)*CO1069</f>
      </c>
      <c r="CU1069" s="1003">
        <f>+CP1069*(1+CU1074)</f>
      </c>
      <c r="CV1069" s="2327">
        <f>+(1+CV1074)*CQ1069</f>
      </c>
      <c r="CW1069" s="2327">
        <f t="shared" si="2233"/>
      </c>
      <c r="CX1069" s="2327">
        <f t="shared" si="2233"/>
      </c>
      <c r="CY1069" s="1009">
        <f t="shared" si="2233"/>
      </c>
      <c r="CZ1069" s="1003">
        <f>+CU1069*(1+CZ1074)</f>
      </c>
      <c r="DA1069" s="1332">
        <f t="shared" si="2234"/>
      </c>
      <c r="DB1069" s="1359">
        <f t="shared" si="2234"/>
      </c>
      <c r="DC1069" s="1359">
        <f t="shared" si="2234"/>
      </c>
      <c r="DD1069" s="1349">
        <f>+DE1069-SUM(DA1069:DC1069)</f>
      </c>
      <c r="DE1069" s="1932">
        <f>+CZ1069*(1+DE1074)</f>
      </c>
      <c r="DF1069" s="1332"/>
      <c r="DG1069" s="1359"/>
      <c r="DH1069" s="1359"/>
      <c r="DI1069" s="1349"/>
      <c r="DJ1069" s="1932">
        <f>+DE1069*(1+DJ1074)</f>
      </c>
      <c r="DK1069" s="1015"/>
      <c r="DL1069" s="895"/>
      <c r="DM1069" s="895"/>
      <c r="DN1069" s="915"/>
      <c r="DO1069" s="1932">
        <f>+DJ1069*(1+DO1074)</f>
      </c>
      <c r="DP1069" s="1359"/>
      <c r="DQ1069" s="1359"/>
      <c r="DR1069" s="1359"/>
      <c r="DS1069" s="1359"/>
      <c r="DT1069" s="1932">
        <f>+DO1069*(1+DT1074)</f>
      </c>
      <c r="DU1069" s="1359">
        <f>+DP1069*(1+DU1074)</f>
      </c>
      <c r="DV1069" s="1359"/>
      <c r="DW1069" s="1359"/>
      <c r="DX1069" s="1349"/>
      <c r="DY1069" s="1932" t="e">
        <f>+DT1069*(1+DY1074)</f>
      </c>
      <c r="DZ1069" s="1359"/>
      <c r="EA1069" s="1359"/>
      <c r="EB1069" s="1359"/>
      <c r="EC1069" s="1349"/>
      <c r="ED1069" s="1932" t="e">
        <f>+DY1069*(1+ED1074)</f>
      </c>
      <c r="EE1069" s="1359"/>
      <c r="EF1069" s="1359"/>
      <c r="EG1069" s="2328"/>
      <c r="EH1069" s="1359"/>
      <c r="EI1069" s="1933" t="e">
        <f>+ED1069*(1+EI1074)</f>
      </c>
      <c r="EJ1069" s="1933" t="e">
        <f t="shared" si="2235"/>
      </c>
      <c r="EK1069" s="1932" t="e">
        <f t="shared" si="2235"/>
      </c>
      <c r="EL1069" s="1932" t="e">
        <f t="shared" si="2235"/>
      </c>
      <c r="EM1069" s="1932" t="e">
        <f t="shared" si="2235"/>
      </c>
      <c r="EN1069" s="1932" t="e">
        <f t="shared" si="2235"/>
      </c>
      <c r="EO1069" s="1932"/>
      <c r="EP1069" s="1932"/>
      <c r="EQ1069" s="1932"/>
      <c r="ER1069" s="1932"/>
      <c r="ES1069" s="1932"/>
      <c r="ET1069" s="1932"/>
      <c r="EU1069" s="1932"/>
      <c r="EV1069" s="1932"/>
      <c r="EW1069" s="1932"/>
      <c r="EX1069" s="1932"/>
    </row>
    <row r="1070" spans="1:154" s="419" customFormat="1" hidden="1" outlineLevel="1">
      <c r="A1070" s="3275"/>
      <c r="B1070" s="420" t="s">
        <v>413</v>
      </c>
      <c r="C1070" s="2326"/>
      <c r="D1070" s="2327">
        <f t="shared" ref="D1070:AV1070" si="2236">+D1068+D1069</f>
      </c>
      <c r="E1070" s="2327">
        <f t="shared" si="2236"/>
      </c>
      <c r="F1070" s="2327">
        <f t="shared" si="2236"/>
      </c>
      <c r="G1070" s="2327">
        <f t="shared" si="2236"/>
      </c>
      <c r="H1070" s="2327">
        <f t="shared" si="2236"/>
      </c>
      <c r="I1070" s="417">
        <f t="shared" si="2236"/>
      </c>
      <c r="J1070" s="2327">
        <f t="shared" si="2236"/>
      </c>
      <c r="K1070" s="2327">
        <f t="shared" si="2236"/>
      </c>
      <c r="L1070" s="2327">
        <f t="shared" si="2236"/>
      </c>
      <c r="M1070" s="2327">
        <f t="shared" si="2236"/>
      </c>
      <c r="N1070" s="417">
        <f t="shared" si="2236"/>
      </c>
      <c r="O1070" s="417">
        <f t="shared" si="2236"/>
      </c>
      <c r="P1070" s="417">
        <f t="shared" si="2236"/>
      </c>
      <c r="Q1070" s="417">
        <f t="shared" si="2236"/>
      </c>
      <c r="R1070" s="417">
        <f t="shared" si="2236"/>
      </c>
      <c r="S1070" s="417">
        <f t="shared" si="2236"/>
      </c>
      <c r="T1070" s="417">
        <f t="shared" si="2236"/>
      </c>
      <c r="U1070" s="417">
        <f t="shared" si="2236"/>
      </c>
      <c r="V1070" s="417">
        <f t="shared" si="2236"/>
      </c>
      <c r="W1070" s="417">
        <f t="shared" si="2236"/>
      </c>
      <c r="X1070" s="418">
        <f t="shared" si="2236"/>
      </c>
      <c r="Y1070" s="417">
        <f t="shared" si="2236"/>
      </c>
      <c r="Z1070" s="417">
        <f t="shared" si="2236"/>
      </c>
      <c r="AA1070" s="417">
        <f t="shared" si="2236"/>
      </c>
      <c r="AB1070" s="417">
        <f t="shared" si="2236"/>
      </c>
      <c r="AC1070" s="418">
        <f t="shared" si="2236"/>
      </c>
      <c r="AD1070" s="417">
        <f t="shared" si="2236"/>
      </c>
      <c r="AE1070" s="417">
        <f t="shared" si="2236"/>
      </c>
      <c r="AF1070" s="417">
        <f t="shared" si="2236"/>
      </c>
      <c r="AG1070" s="417">
        <f t="shared" si="2236"/>
      </c>
      <c r="AH1070" s="418">
        <f t="shared" si="2236"/>
      </c>
      <c r="AI1070" s="2327">
        <f t="shared" si="2236"/>
      </c>
      <c r="AJ1070" s="2327">
        <f t="shared" si="2236"/>
      </c>
      <c r="AK1070" s="2327">
        <f t="shared" si="2236"/>
      </c>
      <c r="AL1070" s="417">
        <f t="shared" si="2236"/>
      </c>
      <c r="AM1070" s="418">
        <f t="shared" si="2236"/>
      </c>
      <c r="AN1070" s="2327">
        <f t="shared" si="2236"/>
      </c>
      <c r="AO1070" s="2327">
        <f t="shared" si="2236"/>
      </c>
      <c r="AP1070" s="2327">
        <f t="shared" si="2236"/>
      </c>
      <c r="AQ1070" s="2327">
        <f t="shared" si="2236"/>
      </c>
      <c r="AR1070" s="418">
        <f t="shared" si="2236"/>
      </c>
      <c r="AS1070" s="2327">
        <f t="shared" si="2236"/>
      </c>
      <c r="AT1070" s="2327">
        <f t="shared" si="2236"/>
      </c>
      <c r="AU1070" s="2327">
        <f t="shared" si="2236"/>
      </c>
      <c r="AV1070" s="2327">
        <f t="shared" si="2236"/>
      </c>
      <c r="AW1070" s="418">
        <f>+AW1068+AW1069</f>
      </c>
      <c r="AX1070" s="2327">
        <f t="shared" ref="AX1070:BF1070" si="2237">+AX1068+AX1069</f>
      </c>
      <c r="AY1070" s="2327">
        <f t="shared" si="2237"/>
      </c>
      <c r="AZ1070" s="2327">
        <f t="shared" si="2237"/>
      </c>
      <c r="BA1070" s="2327">
        <f t="shared" si="2237"/>
      </c>
      <c r="BB1070" s="418">
        <f t="shared" si="2237"/>
      </c>
      <c r="BC1070" s="2327">
        <f t="shared" si="2237"/>
      </c>
      <c r="BD1070" s="2327">
        <f t="shared" si="2237"/>
      </c>
      <c r="BE1070" s="2327">
        <f t="shared" si="2237"/>
      </c>
      <c r="BF1070" s="2327">
        <f t="shared" si="2237"/>
      </c>
      <c r="BG1070" s="418">
        <f>+BG1068+BG1069</f>
      </c>
      <c r="BH1070" s="2327">
        <f>+BH1068+BH1069</f>
      </c>
      <c r="BI1070" s="2327">
        <f>+BI1068+BI1069</f>
      </c>
      <c r="BJ1070" s="2327">
        <f>+BJ1068+BJ1069</f>
      </c>
      <c r="BK1070" s="2327">
        <f>+BK1068+BK1069</f>
      </c>
      <c r="BL1070" s="418">
        <f>SUM(BH1070:BK1070)</f>
      </c>
      <c r="BM1070" s="2327">
        <f>+BM1068+BM1069</f>
      </c>
      <c r="BN1070" s="2327">
        <f>+BN1068+BN1069</f>
      </c>
      <c r="BO1070" s="2327">
        <f>+BO1068+BO1069</f>
      </c>
      <c r="BP1070" s="2327">
        <f>+BP1068+BP1069</f>
      </c>
      <c r="BQ1070" s="418">
        <f>SUM(BM1070:BP1070)</f>
      </c>
      <c r="BR1070" s="2327">
        <f t="shared" ref="BR1070:BZ1070" si="2238">+BR1068+BR1069</f>
      </c>
      <c r="BS1070" s="2327">
        <f t="shared" si="2238"/>
      </c>
      <c r="BT1070" s="2327">
        <f t="shared" si="2238"/>
      </c>
      <c r="BU1070" s="2327">
        <f t="shared" si="2238"/>
      </c>
      <c r="BV1070" s="418">
        <f t="shared" si="2238"/>
      </c>
      <c r="BW1070" s="2327">
        <f t="shared" si="2238"/>
      </c>
      <c r="BX1070" s="2327">
        <f t="shared" si="2238"/>
      </c>
      <c r="BY1070" s="2327">
        <f t="shared" si="2238"/>
      </c>
      <c r="BZ1070" s="2327">
        <f t="shared" si="2238"/>
      </c>
      <c r="CA1070" s="418">
        <f>SUM(BW1070:BZ1070)</f>
      </c>
      <c r="CB1070" s="2327">
        <f t="shared" ref="CB1070:CX1070" si="2239">+CB1068+CB1069</f>
      </c>
      <c r="CC1070" s="2327">
        <f t="shared" si="2239"/>
      </c>
      <c r="CD1070" s="2327">
        <f t="shared" si="2239"/>
      </c>
      <c r="CE1070" s="2327">
        <f t="shared" si="2239"/>
      </c>
      <c r="CF1070" s="418">
        <f t="shared" si="2239"/>
      </c>
      <c r="CG1070" s="2327">
        <f t="shared" si="2239"/>
      </c>
      <c r="CH1070" s="2327">
        <f t="shared" si="2239"/>
      </c>
      <c r="CI1070" s="2327">
        <f t="shared" si="2239"/>
      </c>
      <c r="CJ1070" s="2327">
        <f t="shared" si="2239"/>
      </c>
      <c r="CK1070" s="418">
        <f t="shared" si="2239"/>
      </c>
      <c r="CL1070" s="1008">
        <f t="shared" si="2239"/>
      </c>
      <c r="CM1070" s="2327">
        <f t="shared" si="2239"/>
      </c>
      <c r="CN1070" s="2327">
        <f t="shared" si="2239"/>
      </c>
      <c r="CO1070" s="2327">
        <f t="shared" si="2239"/>
      </c>
      <c r="CP1070" s="418">
        <f t="shared" si="2239"/>
      </c>
      <c r="CQ1070" s="2327">
        <f t="shared" si="2239"/>
      </c>
      <c r="CR1070" s="2327">
        <f t="shared" si="2239"/>
      </c>
      <c r="CS1070" s="2327">
        <f t="shared" si="2239"/>
      </c>
      <c r="CT1070" s="1009">
        <f t="shared" si="2239"/>
      </c>
      <c r="CU1070" s="1003">
        <f t="shared" si="2239"/>
      </c>
      <c r="CV1070" s="2327">
        <f>+CV1068+CV1069</f>
      </c>
      <c r="CW1070" s="2327">
        <f t="shared" si="2239"/>
      </c>
      <c r="CX1070" s="2327">
        <f t="shared" si="2239"/>
      </c>
      <c r="CY1070" s="1009">
        <f>+CY1068+CY1069</f>
      </c>
      <c r="CZ1070" s="1003">
        <f>+CZ1068+CZ1069</f>
      </c>
      <c r="DA1070" s="1331">
        <f>SUM(DA1068:DA1069)</f>
      </c>
      <c r="DB1070" s="417">
        <f>SUM(DB1068:DB1069)</f>
      </c>
      <c r="DC1070" s="417">
        <f>SUM(DC1068:DC1069)</f>
      </c>
      <c r="DD1070" s="1003">
        <f>+DD1068+DD1069</f>
      </c>
      <c r="DE1070" s="1932">
        <f>+DE1068+DE1069</f>
      </c>
      <c r="DF1070" s="1933"/>
      <c r="DG1070" s="2328"/>
      <c r="DH1070" s="2328"/>
      <c r="DI1070" s="1934"/>
      <c r="DJ1070" s="1932">
        <f>+DJ1068+DJ1069</f>
      </c>
      <c r="DK1070" s="1799"/>
      <c r="DL1070" s="603"/>
      <c r="DM1070" s="603"/>
      <c r="DN1070" s="1798"/>
      <c r="DO1070" s="1932">
        <f>+DO1068+DO1069</f>
      </c>
      <c r="DP1070" s="2328"/>
      <c r="DQ1070" s="2328"/>
      <c r="DR1070" s="2328"/>
      <c r="DS1070" s="2328"/>
      <c r="DT1070" s="1932">
        <f>+DT1068+DT1069</f>
      </c>
      <c r="DU1070" s="2328">
        <f>+DU1068+DU1069</f>
      </c>
      <c r="DV1070" s="2328"/>
      <c r="DW1070" s="2328"/>
      <c r="DX1070" s="1934"/>
      <c r="DY1070" s="1932" t="e">
        <f>+DY1068+DY1069</f>
      </c>
      <c r="DZ1070" s="2328"/>
      <c r="EA1070" s="2328"/>
      <c r="EB1070" s="2328"/>
      <c r="EC1070" s="1934"/>
      <c r="ED1070" s="1932" t="e">
        <f>+ED1068+ED1069</f>
      </c>
      <c r="EE1070" s="2328"/>
      <c r="EF1070" s="2328"/>
      <c r="EG1070" s="2328"/>
      <c r="EH1070" s="2328"/>
      <c r="EI1070" s="1933" t="e">
        <f t="shared" ref="EI1070:EM1070" si="2240">+EI1068+EI1069</f>
      </c>
      <c r="EJ1070" s="1933" t="e">
        <f t="shared" si="2240"/>
      </c>
      <c r="EK1070" s="1932" t="e">
        <f t="shared" si="2240"/>
      </c>
      <c r="EL1070" s="1932" t="e">
        <f t="shared" si="2240"/>
      </c>
      <c r="EM1070" s="1932" t="e">
        <f t="shared" si="2240"/>
      </c>
      <c r="EN1070" s="1932" t="e">
        <f>+EN1068+EN1069</f>
      </c>
      <c r="EO1070" s="1932"/>
      <c r="EP1070" s="1932"/>
      <c r="EQ1070" s="1932"/>
      <c r="ER1070" s="1932"/>
      <c r="ES1070" s="1932"/>
      <c r="ET1070" s="1932"/>
      <c r="EU1070" s="1932"/>
      <c r="EV1070" s="1932"/>
      <c r="EW1070" s="1932"/>
      <c r="EX1070" s="1932"/>
    </row>
    <row r="1071" spans="1:154" s="419" customFormat="1" hidden="1" outlineLevel="1">
      <c r="A1071" s="3275"/>
      <c r="B1071" s="420"/>
      <c r="C1071" s="2326"/>
      <c r="D1071" s="2327"/>
      <c r="E1071" s="2327"/>
      <c r="F1071" s="2327"/>
      <c r="G1071" s="2327"/>
      <c r="H1071" s="2327"/>
      <c r="I1071" s="417"/>
      <c r="J1071" s="2327"/>
      <c r="K1071" s="2327"/>
      <c r="L1071" s="2327"/>
      <c r="M1071" s="2327"/>
      <c r="N1071" s="417"/>
      <c r="O1071" s="417"/>
      <c r="P1071" s="417"/>
      <c r="Q1071" s="417"/>
      <c r="R1071" s="417"/>
      <c r="S1071" s="417"/>
      <c r="T1071" s="417"/>
      <c r="U1071" s="417"/>
      <c r="V1071" s="417"/>
      <c r="W1071" s="417"/>
      <c r="X1071" s="418"/>
      <c r="Y1071" s="417"/>
      <c r="Z1071" s="417"/>
      <c r="AA1071" s="417"/>
      <c r="AB1071" s="417"/>
      <c r="AC1071" s="418"/>
      <c r="AD1071" s="417"/>
      <c r="AE1071" s="417"/>
      <c r="AF1071" s="417"/>
      <c r="AG1071" s="417"/>
      <c r="AH1071" s="418"/>
      <c r="AI1071" s="2327"/>
      <c r="AJ1071" s="2327"/>
      <c r="AK1071" s="2327"/>
      <c r="AL1071" s="417"/>
      <c r="AM1071" s="418"/>
      <c r="AN1071" s="2327"/>
      <c r="AO1071" s="2327"/>
      <c r="AP1071" s="2327"/>
      <c r="AQ1071" s="2327"/>
      <c r="AR1071" s="418"/>
      <c r="AS1071" s="2327"/>
      <c r="AT1071" s="2327"/>
      <c r="AU1071" s="2327"/>
      <c r="AV1071" s="2327"/>
      <c r="AW1071" s="418"/>
      <c r="AX1071" s="2327"/>
      <c r="AY1071" s="2327"/>
      <c r="AZ1071" s="2327"/>
      <c r="BA1071" s="2327"/>
      <c r="BB1071" s="418"/>
      <c r="BC1071" s="2327"/>
      <c r="BD1071" s="2327"/>
      <c r="BE1071" s="2327"/>
      <c r="BF1071" s="2327"/>
      <c r="BG1071" s="418"/>
      <c r="BH1071" s="2327"/>
      <c r="BI1071" s="2327"/>
      <c r="BJ1071" s="2327"/>
      <c r="BK1071" s="2327"/>
      <c r="BL1071" s="418"/>
      <c r="BM1071" s="2327"/>
      <c r="BN1071" s="2327"/>
      <c r="BO1071" s="2327"/>
      <c r="BP1071" s="2327"/>
      <c r="BQ1071" s="418"/>
      <c r="BR1071" s="2327"/>
      <c r="BS1071" s="2327"/>
      <c r="BT1071" s="2327"/>
      <c r="BU1071" s="2327"/>
      <c r="BV1071" s="418"/>
      <c r="BW1071" s="2327"/>
      <c r="BX1071" s="2327"/>
      <c r="BY1071" s="2327"/>
      <c r="BZ1071" s="2327"/>
      <c r="CA1071" s="418"/>
      <c r="CB1071" s="2327"/>
      <c r="CC1071" s="2327"/>
      <c r="CD1071" s="2327"/>
      <c r="CE1071" s="2327"/>
      <c r="CF1071" s="418"/>
      <c r="CG1071" s="2327"/>
      <c r="CH1071" s="2327"/>
      <c r="CI1071" s="2327"/>
      <c r="CJ1071" s="2327"/>
      <c r="CK1071" s="418"/>
      <c r="CL1071" s="1008"/>
      <c r="CM1071" s="2327"/>
      <c r="CN1071" s="2327"/>
      <c r="CO1071" s="2327"/>
      <c r="CP1071" s="418"/>
      <c r="CQ1071" s="2327"/>
      <c r="CR1071" s="2327"/>
      <c r="CS1071" s="2327"/>
      <c r="CT1071" s="1009"/>
      <c r="CU1071" s="1003"/>
      <c r="CV1071" s="2327"/>
      <c r="CW1071" s="2327"/>
      <c r="CX1071" s="2327"/>
      <c r="CY1071" s="1009"/>
      <c r="CZ1071" s="1003"/>
      <c r="DA1071" s="1008"/>
      <c r="DB1071" s="2327"/>
      <c r="DC1071" s="2327"/>
      <c r="DD1071" s="1009"/>
      <c r="DE1071" s="1932"/>
      <c r="DF1071" s="2330"/>
      <c r="DG1071" s="2331"/>
      <c r="DH1071" s="2331"/>
      <c r="DI1071" s="2131"/>
      <c r="DJ1071" s="1932"/>
      <c r="DK1071" s="981"/>
      <c r="DL1071" s="982"/>
      <c r="DM1071" s="982"/>
      <c r="DN1071" s="1875"/>
      <c r="DO1071" s="1932"/>
      <c r="DP1071" s="2331"/>
      <c r="DQ1071" s="2331"/>
      <c r="DR1071" s="2331"/>
      <c r="DS1071" s="2331"/>
      <c r="DT1071" s="1932"/>
      <c r="DU1071" s="2331"/>
      <c r="DV1071" s="2331"/>
      <c r="DW1071" s="2331"/>
      <c r="DX1071" s="2131"/>
      <c r="DY1071" s="1932"/>
      <c r="DZ1071" s="2331"/>
      <c r="EA1071" s="2331"/>
      <c r="EB1071" s="2331"/>
      <c r="EC1071" s="2131"/>
      <c r="ED1071" s="1932"/>
      <c r="EE1071" s="2331"/>
      <c r="EF1071" s="2331"/>
      <c r="EG1071" s="2328"/>
      <c r="EH1071" s="2331"/>
      <c r="EI1071" s="1933"/>
      <c r="EJ1071" s="1933"/>
      <c r="EK1071" s="1932"/>
      <c r="EL1071" s="1932"/>
      <c r="EM1071" s="1932"/>
      <c r="EN1071" s="1932"/>
      <c r="EO1071" s="1932"/>
      <c r="EP1071" s="1932"/>
      <c r="EQ1071" s="1932"/>
      <c r="ER1071" s="1932"/>
      <c r="ES1071" s="1932"/>
      <c r="ET1071" s="1932"/>
      <c r="EU1071" s="1932"/>
      <c r="EV1071" s="1932"/>
      <c r="EW1071" s="1932"/>
      <c r="EX1071" s="1932"/>
    </row>
    <row r="1072" spans="1:154" s="419" customFormat="1" hidden="1" outlineLevel="1">
      <c r="A1072" s="3275"/>
      <c r="B1072" s="422" t="s">
        <v>135</v>
      </c>
      <c r="C1072" s="2326"/>
      <c r="D1072" s="2327"/>
      <c r="E1072" s="2327"/>
      <c r="F1072" s="2327"/>
      <c r="G1072" s="2327"/>
      <c r="H1072" s="2327"/>
      <c r="I1072" s="417"/>
      <c r="J1072" s="2327"/>
      <c r="K1072" s="2327"/>
      <c r="L1072" s="2327"/>
      <c r="M1072" s="2327"/>
      <c r="N1072" s="417"/>
      <c r="O1072" s="417"/>
      <c r="P1072" s="417"/>
      <c r="Q1072" s="417"/>
      <c r="R1072" s="417"/>
      <c r="S1072" s="417"/>
      <c r="T1072" s="417"/>
      <c r="U1072" s="417"/>
      <c r="V1072" s="417"/>
      <c r="W1072" s="417"/>
      <c r="X1072" s="418"/>
      <c r="Y1072" s="417"/>
      <c r="Z1072" s="417"/>
      <c r="AA1072" s="417"/>
      <c r="AB1072" s="417"/>
      <c r="AC1072" s="418"/>
      <c r="AD1072" s="417"/>
      <c r="AE1072" s="417"/>
      <c r="AF1072" s="417"/>
      <c r="AG1072" s="417"/>
      <c r="AH1072" s="418"/>
      <c r="AI1072" s="2327"/>
      <c r="AJ1072" s="2327"/>
      <c r="AK1072" s="2327"/>
      <c r="AL1072" s="417"/>
      <c r="AM1072" s="418"/>
      <c r="AN1072" s="2327"/>
      <c r="AO1072" s="2327"/>
      <c r="AP1072" s="2327"/>
      <c r="AQ1072" s="2327"/>
      <c r="AR1072" s="418"/>
      <c r="AS1072" s="2327"/>
      <c r="AT1072" s="2327"/>
      <c r="AU1072" s="2327"/>
      <c r="AV1072" s="2327"/>
      <c r="AW1072" s="418"/>
      <c r="AX1072" s="2327"/>
      <c r="AY1072" s="2327"/>
      <c r="AZ1072" s="2327"/>
      <c r="BA1072" s="2327"/>
      <c r="BB1072" s="418"/>
      <c r="BC1072" s="2327"/>
      <c r="BD1072" s="2327"/>
      <c r="BE1072" s="2327"/>
      <c r="BF1072" s="2327"/>
      <c r="BG1072" s="418"/>
      <c r="BH1072" s="2327"/>
      <c r="BI1072" s="2327"/>
      <c r="BJ1072" s="2327"/>
      <c r="BK1072" s="2327"/>
      <c r="BL1072" s="418"/>
      <c r="BM1072" s="2327"/>
      <c r="BN1072" s="2327"/>
      <c r="BO1072" s="2327"/>
      <c r="BP1072" s="2327"/>
      <c r="BQ1072" s="418"/>
      <c r="BR1072" s="2327"/>
      <c r="BS1072" s="2327"/>
      <c r="BT1072" s="2327"/>
      <c r="BU1072" s="2327"/>
      <c r="BV1072" s="418"/>
      <c r="BW1072" s="2327"/>
      <c r="BX1072" s="2327"/>
      <c r="BY1072" s="2327"/>
      <c r="BZ1072" s="2327"/>
      <c r="CA1072" s="418"/>
      <c r="CB1072" s="2327"/>
      <c r="CC1072" s="2327"/>
      <c r="CD1072" s="2327"/>
      <c r="CE1072" s="2327"/>
      <c r="CF1072" s="418"/>
      <c r="CG1072" s="2327"/>
      <c r="CH1072" s="2327"/>
      <c r="CI1072" s="2327"/>
      <c r="CJ1072" s="2327"/>
      <c r="CK1072" s="418"/>
      <c r="CL1072" s="1008"/>
      <c r="CM1072" s="2327"/>
      <c r="CN1072" s="2327"/>
      <c r="CO1072" s="2327"/>
      <c r="CP1072" s="418"/>
      <c r="CQ1072" s="2327"/>
      <c r="CR1072" s="2327"/>
      <c r="CS1072" s="2327"/>
      <c r="CT1072" s="1009"/>
      <c r="CU1072" s="1003"/>
      <c r="CV1072" s="2327"/>
      <c r="CW1072" s="2327"/>
      <c r="CX1072" s="2327"/>
      <c r="CY1072" s="1009"/>
      <c r="CZ1072" s="1003"/>
      <c r="DA1072" s="1008"/>
      <c r="DB1072" s="2327"/>
      <c r="DC1072" s="2327"/>
      <c r="DD1072" s="1009"/>
      <c r="DE1072" s="1932"/>
      <c r="DF1072" s="2330"/>
      <c r="DG1072" s="2331"/>
      <c r="DH1072" s="2331"/>
      <c r="DI1072" s="2131"/>
      <c r="DJ1072" s="1932"/>
      <c r="DK1072" s="981"/>
      <c r="DL1072" s="982"/>
      <c r="DM1072" s="982"/>
      <c r="DN1072" s="1875"/>
      <c r="DO1072" s="1932"/>
      <c r="DP1072" s="2331"/>
      <c r="DQ1072" s="2331"/>
      <c r="DR1072" s="2331"/>
      <c r="DS1072" s="2331"/>
      <c r="DT1072" s="1932"/>
      <c r="DU1072" s="2331"/>
      <c r="DV1072" s="2331"/>
      <c r="DW1072" s="2331"/>
      <c r="DX1072" s="2131"/>
      <c r="DY1072" s="1932"/>
      <c r="DZ1072" s="2331"/>
      <c r="EA1072" s="2331"/>
      <c r="EB1072" s="2331"/>
      <c r="EC1072" s="2131"/>
      <c r="ED1072" s="1932"/>
      <c r="EE1072" s="2331"/>
      <c r="EF1072" s="2331"/>
      <c r="EG1072" s="2328"/>
      <c r="EH1072" s="2331"/>
      <c r="EI1072" s="1933"/>
      <c r="EJ1072" s="1933"/>
      <c r="EK1072" s="1932"/>
      <c r="EL1072" s="1932"/>
      <c r="EM1072" s="1932"/>
      <c r="EN1072" s="1932"/>
      <c r="EO1072" s="1932"/>
      <c r="EP1072" s="1932"/>
      <c r="EQ1072" s="1932"/>
      <c r="ER1072" s="1932"/>
      <c r="ES1072" s="1932"/>
      <c r="ET1072" s="1932"/>
      <c r="EU1072" s="1932"/>
      <c r="EV1072" s="1932"/>
      <c r="EW1072" s="1932"/>
      <c r="EX1072" s="1932"/>
    </row>
    <row r="1073" spans="1:154" s="419" customFormat="1" hidden="1" outlineLevel="1">
      <c r="A1073" s="3275"/>
      <c r="B1073" s="423" t="s">
        <v>187</v>
      </c>
      <c r="C1073" s="2326"/>
      <c r="D1073" s="2327"/>
      <c r="E1073" s="2327"/>
      <c r="F1073" s="2327"/>
      <c r="G1073" s="2327"/>
      <c r="H1073" s="2327"/>
      <c r="I1073" s="2332">
        <f t="shared" ref="I1073:BO1074" si="2241">IF(D1068="NM","NM",IF(I1068="NM","NM",IF(D1068&lt;=0,"NM",IF(I1068=0,"NM",IF(ABS(I1068/D1068-1)&gt;2.5,"NM",IF((ABS(I1068-D1068)=ABS(ABS(I1068)-ABS(D1068))),(I1068/D1068-1),"NM"))))))</f>
      </c>
      <c r="J1073" s="2332">
        <f t="shared" si="2241"/>
      </c>
      <c r="K1073" s="2332">
        <f t="shared" si="2241"/>
      </c>
      <c r="L1073" s="2332">
        <f t="shared" si="2241"/>
      </c>
      <c r="M1073" s="2332">
        <f t="shared" si="2241"/>
      </c>
      <c r="N1073" s="2332">
        <f t="shared" si="2241"/>
      </c>
      <c r="O1073" s="2332">
        <f t="shared" si="2241"/>
      </c>
      <c r="P1073" s="2332">
        <f t="shared" si="2241"/>
      </c>
      <c r="Q1073" s="2332">
        <f t="shared" si="2241"/>
      </c>
      <c r="R1073" s="2332">
        <f t="shared" si="2241"/>
      </c>
      <c r="S1073" s="2332">
        <f t="shared" si="2241"/>
      </c>
      <c r="T1073" s="2332">
        <f t="shared" si="2241"/>
      </c>
      <c r="U1073" s="2332">
        <f t="shared" si="2241"/>
      </c>
      <c r="V1073" s="2332">
        <f t="shared" si="2241"/>
      </c>
      <c r="W1073" s="2332">
        <f t="shared" si="2241"/>
      </c>
      <c r="X1073" s="2333">
        <f t="shared" si="2241"/>
      </c>
      <c r="Y1073" s="2332">
        <f t="shared" si="2241"/>
      </c>
      <c r="Z1073" s="2332">
        <f t="shared" si="2241"/>
      </c>
      <c r="AA1073" s="2332">
        <f t="shared" si="2241"/>
      </c>
      <c r="AB1073" s="2332">
        <f t="shared" si="2241"/>
      </c>
      <c r="AC1073" s="2333">
        <f t="shared" si="2241"/>
      </c>
      <c r="AD1073" s="2332">
        <f t="shared" si="2241"/>
      </c>
      <c r="AE1073" s="2332">
        <f t="shared" si="2241"/>
      </c>
      <c r="AF1073" s="2332">
        <f t="shared" si="2241"/>
      </c>
      <c r="AG1073" s="2332">
        <f t="shared" si="2241"/>
      </c>
      <c r="AH1073" s="2333">
        <f t="shared" si="2241"/>
      </c>
      <c r="AI1073" s="2332">
        <f t="shared" si="2241"/>
      </c>
      <c r="AJ1073" s="2332">
        <f t="shared" si="2241"/>
      </c>
      <c r="AK1073" s="2332">
        <f t="shared" si="2241"/>
      </c>
      <c r="AL1073" s="2332">
        <f t="shared" si="2241"/>
      </c>
      <c r="AM1073" s="2333">
        <f t="shared" si="2241"/>
      </c>
      <c r="AN1073" s="2332">
        <f t="shared" si="2241"/>
      </c>
      <c r="AO1073" s="2332">
        <f t="shared" si="2241"/>
      </c>
      <c r="AP1073" s="2332">
        <f t="shared" si="2241"/>
      </c>
      <c r="AQ1073" s="2332">
        <f t="shared" si="2241"/>
      </c>
      <c r="AR1073" s="2333">
        <f t="shared" si="2241"/>
      </c>
      <c r="AS1073" s="2332">
        <f t="shared" si="2241"/>
      </c>
      <c r="AT1073" s="2332">
        <f t="shared" si="2241"/>
      </c>
      <c r="AU1073" s="2332">
        <f t="shared" si="2241"/>
      </c>
      <c r="AV1073" s="2332">
        <f t="shared" si="2241"/>
      </c>
      <c r="AW1073" s="2333">
        <f t="shared" si="2241"/>
      </c>
      <c r="AX1073" s="2332">
        <f t="shared" si="2241"/>
      </c>
      <c r="AY1073" s="2332">
        <f t="shared" si="2241"/>
      </c>
      <c r="AZ1073" s="2332">
        <f t="shared" si="2241"/>
      </c>
      <c r="BA1073" s="2332">
        <f t="shared" si="2241"/>
      </c>
      <c r="BB1073" s="2333">
        <f t="shared" si="2241"/>
      </c>
      <c r="BC1073" s="2332">
        <f t="shared" si="2241"/>
      </c>
      <c r="BD1073" s="2332">
        <f t="shared" si="2241"/>
      </c>
      <c r="BE1073" s="2332">
        <f t="shared" si="2241"/>
      </c>
      <c r="BF1073" s="2332">
        <f t="shared" si="2241"/>
      </c>
      <c r="BG1073" s="2333">
        <f>IF(BB1068="NM","NM",IF(BG1068="NM","NM",IF(BB1068&lt;=0,"NM",IF(BG1068=0,"NM",IF(ABS(BG1068/BB1068-1)&gt;2.5,"NM",IF((ABS(BG1068-BB1068)=ABS(ABS(BG1068)-ABS(BB1068))),(BG1068/BB1068-1),"NM"))))))</f>
      </c>
      <c r="BH1073" s="2332">
        <f t="shared" si="2241"/>
      </c>
      <c r="BI1073" s="2332">
        <f t="shared" si="2241"/>
      </c>
      <c r="BJ1073" s="2332">
        <f t="shared" si="2241"/>
      </c>
      <c r="BK1073" s="2332">
        <f t="shared" si="2241"/>
      </c>
      <c r="BL1073" s="2333">
        <f>IF(BG1068="NM","NM",IF(BL1068="NM","NM",IF(BG1068&lt;=0,"NM",IF(BL1068=0,"NM",IF(ABS(BL1068/BG1068-1)&gt;2.5,"NM",IF((ABS(BL1068-BG1068)=ABS(ABS(BL1068)-ABS(BG1068))),(BL1068/BG1068-1),"NM"))))))</f>
      </c>
      <c r="BM1073" s="2332">
        <f t="shared" si="2241"/>
      </c>
      <c r="BN1073" s="2332">
        <f t="shared" si="2241"/>
      </c>
      <c r="BO1073" s="2332">
        <f t="shared" si="2241"/>
      </c>
      <c r="BP1073" s="2332">
        <f>IF(BK1068="NM","NM",IF(BP1068="NM","NM",IF(BK1068&lt;=0,"NM",IF(BP1068=0,"NM",IF(ABS(BP1068/BK1068-1)&gt;2.5,"NM",IF((ABS(BP1068-BK1068)=ABS(ABS(BP1068)-ABS(BK1068))),(BP1068/BK1068-1),"NM"))))))</f>
      </c>
      <c r="BQ1073" s="2333">
        <f>IF(BL1068="NM","NM",IF(BQ1068="NM","NM",IF(BL1068&lt;=0,"NM",IF(BQ1068=0,"NM",IF(ABS(BQ1068/BL1068-1)&gt;2.5,"NM",IF((ABS(BQ1068-BL1068)=ABS(ABS(BQ1068)-ABS(BL1068))),(BQ1068/BL1068-1),"NM"))))))</f>
      </c>
      <c r="BR1073" s="2334">
        <v>0.02</v>
      </c>
      <c r="BS1073" s="2334">
        <v>2.5000000000000001E-2</v>
      </c>
      <c r="BT1073" s="2334">
        <v>3.5000000000000003E-2</v>
      </c>
      <c r="BU1073" s="2332">
        <f>IF(BP1068="NM","NM",IF(BU1068="NM","NM",IF(BP1068&lt;=0,"NM",IF(BU1068=0,"NM",IF(ABS(BU1068/BP1068-1)&gt;2.5,"NM",IF((ABS(BU1068-BP1068)=ABS(ABS(BU1068)-ABS(BP1068))),(BU1068/BP1068-1),"NM"))))))</f>
      </c>
      <c r="BV1073" s="431">
        <v>0.03</v>
      </c>
      <c r="BW1073" s="2334">
        <v>0.04</v>
      </c>
      <c r="BX1073" s="2334">
        <v>0.04</v>
      </c>
      <c r="BY1073" s="2334">
        <v>0.04</v>
      </c>
      <c r="BZ1073" s="2334">
        <v>0.04</v>
      </c>
      <c r="CA1073" s="2333">
        <f>IF(BV1068="NM","NM",IF(CA1068="NM","NM",IF(BV1068&lt;=0,"NM",IF(CA1068=0,"NM",IF(ABS(CA1068/BV1068-1)&gt;2.5,"NM",IF((ABS(CA1068-BV1068)=ABS(ABS(CA1068)-ABS(BV1068))),(CA1068/BV1068-1),"NM"))))))</f>
      </c>
      <c r="CB1073" s="2334">
        <v>0.04</v>
      </c>
      <c r="CC1073" s="2334">
        <v>0.04</v>
      </c>
      <c r="CD1073" s="2334">
        <v>0.04</v>
      </c>
      <c r="CE1073" s="2334">
        <v>0.04</v>
      </c>
      <c r="CF1073" s="431">
        <v>0.04</v>
      </c>
      <c r="CG1073" s="2334">
        <v>0.04</v>
      </c>
      <c r="CH1073" s="2334">
        <v>0.04</v>
      </c>
      <c r="CI1073" s="2334">
        <v>0.04</v>
      </c>
      <c r="CJ1073" s="2334">
        <v>0.04</v>
      </c>
      <c r="CK1073" s="431">
        <v>0.04</v>
      </c>
      <c r="CL1073" s="2195">
        <v>0.04</v>
      </c>
      <c r="CM1073" s="2334">
        <v>0.04</v>
      </c>
      <c r="CN1073" s="2334">
        <v>0.04</v>
      </c>
      <c r="CO1073" s="2334">
        <v>0.04</v>
      </c>
      <c r="CP1073" s="431">
        <v>0.05</v>
      </c>
      <c r="CQ1073" s="2334">
        <v>0.04</v>
      </c>
      <c r="CR1073" s="2334">
        <v>0.04</v>
      </c>
      <c r="CS1073" s="2334">
        <v>0.04</v>
      </c>
      <c r="CT1073" s="2226">
        <v>0.04</v>
      </c>
      <c r="CU1073" s="1004">
        <v>0.05</v>
      </c>
      <c r="CV1073" s="2334">
        <v>0.04</v>
      </c>
      <c r="CW1073" s="2334">
        <v>0.04</v>
      </c>
      <c r="CX1073" s="2334">
        <v>0.04</v>
      </c>
      <c r="CY1073" s="2226">
        <v>0.04</v>
      </c>
      <c r="CZ1073" s="1004">
        <v>0.05</v>
      </c>
      <c r="DA1073" s="2195">
        <v>0.05</v>
      </c>
      <c r="DB1073" s="2334">
        <v>0.05</v>
      </c>
      <c r="DC1073" s="2334">
        <v>0.05</v>
      </c>
      <c r="DD1073" s="1936">
        <f>IF(DD1068=0,"NM",+DD1068/CY1068-1)</f>
      </c>
      <c r="DE1073" s="1937">
        <v>0.05</v>
      </c>
      <c r="DF1073" s="2195"/>
      <c r="DG1073" s="2334"/>
      <c r="DH1073" s="2334"/>
      <c r="DI1073" s="1936"/>
      <c r="DJ1073" s="1937">
        <v>0.05</v>
      </c>
      <c r="DK1073" s="400"/>
      <c r="DL1073" s="29"/>
      <c r="DM1073" s="29"/>
      <c r="DN1073" s="928"/>
      <c r="DO1073" s="1937">
        <v>0.05</v>
      </c>
      <c r="DP1073" s="2334"/>
      <c r="DQ1073" s="2334"/>
      <c r="DR1073" s="2334"/>
      <c r="DS1073" s="2332"/>
      <c r="DT1073" s="1937">
        <v>0.05</v>
      </c>
      <c r="DU1073" s="2332">
        <v>0.05</v>
      </c>
      <c r="DV1073" s="2334"/>
      <c r="DW1073" s="2334"/>
      <c r="DX1073" s="2226"/>
      <c r="DY1073" s="3308"/>
      <c r="DZ1073" s="2334"/>
      <c r="EA1073" s="2334"/>
      <c r="EB1073" s="2334"/>
      <c r="EC1073" s="2226"/>
      <c r="ED1073" s="3308"/>
      <c r="EE1073" s="2334"/>
      <c r="EF1073" s="2334"/>
      <c r="EG1073" s="2334"/>
      <c r="EH1073" s="2332"/>
      <c r="EI1073" s="2195">
        <v>0.05</v>
      </c>
      <c r="EJ1073" s="2195">
        <v>0.05</v>
      </c>
      <c r="EK1073" s="1937">
        <v>0.05</v>
      </c>
      <c r="EL1073" s="1937">
        <v>0.05</v>
      </c>
      <c r="EM1073" s="1937">
        <v>0.05</v>
      </c>
      <c r="EN1073" s="1937">
        <v>0.05</v>
      </c>
      <c r="EO1073" s="1937"/>
      <c r="EP1073" s="1937"/>
      <c r="EQ1073" s="1937"/>
      <c r="ER1073" s="1937"/>
      <c r="ES1073" s="1937"/>
      <c r="ET1073" s="1937"/>
      <c r="EU1073" s="1937"/>
      <c r="EV1073" s="1937"/>
      <c r="EW1073" s="1937"/>
      <c r="EX1073" s="1937"/>
    </row>
    <row r="1074" spans="1:154" s="419" customFormat="1" hidden="1" outlineLevel="1">
      <c r="A1074" s="3275"/>
      <c r="B1074" s="423" t="s">
        <v>412</v>
      </c>
      <c r="C1074" s="2326"/>
      <c r="D1074" s="2327"/>
      <c r="E1074" s="2327"/>
      <c r="F1074" s="2327"/>
      <c r="G1074" s="2327"/>
      <c r="H1074" s="2327"/>
      <c r="I1074" s="2332">
        <f t="shared" si="2241"/>
      </c>
      <c r="J1074" s="2332">
        <f t="shared" si="2241"/>
      </c>
      <c r="K1074" s="2332">
        <f t="shared" si="2241"/>
      </c>
      <c r="L1074" s="2332">
        <f t="shared" si="2241"/>
      </c>
      <c r="M1074" s="2332">
        <f t="shared" si="2241"/>
      </c>
      <c r="N1074" s="2332">
        <f t="shared" si="2241"/>
      </c>
      <c r="O1074" s="2332">
        <f t="shared" si="2241"/>
      </c>
      <c r="P1074" s="2332">
        <f t="shared" si="2241"/>
      </c>
      <c r="Q1074" s="2332">
        <f t="shared" si="2241"/>
      </c>
      <c r="R1074" s="2332">
        <f t="shared" si="2241"/>
      </c>
      <c r="S1074" s="2332">
        <f t="shared" si="2241"/>
      </c>
      <c r="T1074" s="2332">
        <f t="shared" si="2241"/>
      </c>
      <c r="U1074" s="2332">
        <f t="shared" si="2241"/>
      </c>
      <c r="V1074" s="2332">
        <f t="shared" si="2241"/>
      </c>
      <c r="W1074" s="2332">
        <f t="shared" si="2241"/>
      </c>
      <c r="X1074" s="2333">
        <f t="shared" si="2241"/>
      </c>
      <c r="Y1074" s="2332">
        <f t="shared" si="2241"/>
      </c>
      <c r="Z1074" s="2332">
        <f t="shared" si="2241"/>
      </c>
      <c r="AA1074" s="2332">
        <f t="shared" si="2241"/>
      </c>
      <c r="AB1074" s="2332">
        <f t="shared" si="2241"/>
      </c>
      <c r="AC1074" s="2333">
        <f t="shared" si="2241"/>
      </c>
      <c r="AD1074" s="2332">
        <f t="shared" si="2241"/>
      </c>
      <c r="AE1074" s="2332">
        <f t="shared" si="2241"/>
      </c>
      <c r="AF1074" s="2332">
        <f t="shared" si="2241"/>
      </c>
      <c r="AG1074" s="2332">
        <f t="shared" si="2241"/>
      </c>
      <c r="AH1074" s="2333">
        <f t="shared" si="2241"/>
      </c>
      <c r="AI1074" s="2332">
        <f t="shared" si="2241"/>
      </c>
      <c r="AJ1074" s="2332">
        <f t="shared" si="2241"/>
      </c>
      <c r="AK1074" s="2332">
        <f t="shared" si="2241"/>
      </c>
      <c r="AL1074" s="2332">
        <f t="shared" si="2241"/>
      </c>
      <c r="AM1074" s="2333">
        <f t="shared" si="2241"/>
      </c>
      <c r="AN1074" s="2332">
        <f t="shared" si="2241"/>
      </c>
      <c r="AO1074" s="2332">
        <f t="shared" si="2241"/>
      </c>
      <c r="AP1074" s="2332">
        <f t="shared" si="2241"/>
      </c>
      <c r="AQ1074" s="2332">
        <f t="shared" si="2241"/>
      </c>
      <c r="AR1074" s="2333">
        <f t="shared" si="2241"/>
      </c>
      <c r="AS1074" s="2332">
        <f t="shared" si="2241"/>
      </c>
      <c r="AT1074" s="2332">
        <f t="shared" si="2241"/>
      </c>
      <c r="AU1074" s="2332">
        <f t="shared" si="2241"/>
      </c>
      <c r="AV1074" s="2332">
        <f t="shared" si="2241"/>
      </c>
      <c r="AW1074" s="2333">
        <f t="shared" si="2241"/>
      </c>
      <c r="AX1074" s="2332">
        <f t="shared" si="2241"/>
      </c>
      <c r="AY1074" s="2332">
        <f t="shared" si="2241"/>
      </c>
      <c r="AZ1074" s="2332">
        <f t="shared" si="2241"/>
      </c>
      <c r="BA1074" s="2332">
        <f t="shared" si="2241"/>
      </c>
      <c r="BB1074" s="2333">
        <f t="shared" si="2241"/>
      </c>
      <c r="BC1074" s="2332">
        <f t="shared" si="2241"/>
      </c>
      <c r="BD1074" s="2332">
        <f t="shared" si="2241"/>
      </c>
      <c r="BE1074" s="2332">
        <f t="shared" si="2241"/>
      </c>
      <c r="BF1074" s="2332">
        <f t="shared" si="2241"/>
      </c>
      <c r="BG1074" s="2333">
        <f>IF(BB1069="NM","NM",IF(BG1069="NM","NM",IF(BB1069&lt;=0,"NM",IF(BG1069=0,"NM",IF(ABS(BG1069/BB1069-1)&gt;2.5,"NM",IF((ABS(BG1069-BB1069)=ABS(ABS(BG1069)-ABS(BB1069))),(BG1069/BB1069-1),"NM"))))))</f>
      </c>
      <c r="BH1074" s="2332">
        <f t="shared" si="2241"/>
      </c>
      <c r="BI1074" s="2332">
        <f t="shared" si="2241"/>
      </c>
      <c r="BJ1074" s="2332">
        <f t="shared" si="2241"/>
      </c>
      <c r="BK1074" s="2332">
        <f t="shared" si="2241"/>
      </c>
      <c r="BL1074" s="2333">
        <f>IF(BG1069="NM","NM",IF(BL1069="NM","NM",IF(BG1069&lt;=0,"NM",IF(BL1069=0,"NM",IF(ABS(BL1069/BG1069-1)&gt;2.5,"NM",IF((ABS(BL1069-BG1069)=ABS(ABS(BL1069)-ABS(BG1069))),(BL1069/BG1069-1),"NM"))))))</f>
      </c>
      <c r="BM1074" s="2332">
        <f t="shared" si="2241"/>
      </c>
      <c r="BN1074" s="2332">
        <f t="shared" si="2241"/>
      </c>
      <c r="BO1074" s="2332">
        <f t="shared" si="2241"/>
      </c>
      <c r="BP1074" s="2332">
        <f>IF(BK1069="NM","NM",IF(BP1069="NM","NM",IF(BK1069&lt;=0,"NM",IF(BP1069=0,"NM",IF(ABS(BP1069/BK1069-1)&gt;2.5,"NM",IF((ABS(BP1069-BK1069)=ABS(ABS(BP1069)-ABS(BK1069))),(BP1069/BK1069-1),"NM"))))))</f>
      </c>
      <c r="BQ1074" s="2333">
        <f>IF(BL1069="NM","NM",IF(BQ1069="NM","NM",IF(BL1069&lt;=0,"NM",IF(BQ1069=0,"NM",IF(ABS(BQ1069/BL1069-1)&gt;2.5,"NM",IF((ABS(BQ1069-BL1069)=ABS(ABS(BQ1069)-ABS(BL1069))),(BQ1069/BL1069-1),"NM"))))))</f>
      </c>
      <c r="BR1074" s="2332">
        <f>IF(ISNUMBER(BR1075),(1+BR1075)*(1+BR$21)-1,"NM")</f>
      </c>
      <c r="BS1074" s="2332">
        <f>IF(ISNUMBER(BS1075),(1+BS1075)*(1+BS$21)-1,"NM")</f>
      </c>
      <c r="BT1074" s="2332">
        <f>IF(ISNUMBER(BT1075),(1+BT1075)*(1+BT$21)-1,"NM")</f>
      </c>
      <c r="BU1074" s="2332">
        <f>IF(BP1069="NM","NM",IF(BU1069="NM","NM",IF(BP1069&lt;=0,"NM",IF(BU1069=0,"NM",IF(ABS(BU1069/BP1069-1)&gt;2.5,"NM",IF((ABS(BU1069-BP1069)=ABS(ABS(BU1069)-ABS(BP1069))),(BU1069/BP1069-1),"NM"))))))</f>
      </c>
      <c r="BV1074" s="2333">
        <f>IF(ISNUMBER(BV1075),(1+BV1075)*(1+BV$21)-1,"NM")</f>
      </c>
      <c r="BW1074" s="2332">
        <f>IF(ISNUMBER(BW1075),(1+BW1075)*(1+BW$21)-1,"NM")</f>
      </c>
      <c r="BX1074" s="2332">
        <f>IF(ISNUMBER(BX1075),(1+BX1075)*(1+BX$21)-1,"NM")</f>
      </c>
      <c r="BY1074" s="2332">
        <f>IF(ISNUMBER(BY1075),(1+BY1075)*(1+BY$21)-1,"NM")</f>
      </c>
      <c r="BZ1074" s="2332">
        <f>IF(ISNUMBER(BZ1075),(1+BZ1075)*(1+BZ$21)-1,"NM")</f>
      </c>
      <c r="CA1074" s="2333">
        <f>IF(BV1069="NM","NM",IF(CA1069="NM","NM",IF(BV1069&lt;=0,"NM",IF(CA1069=0,"NM",IF(ABS(CA1069/BV1069-1)&gt;2.5,"NM",IF((ABS(CA1069-BV1069)=ABS(ABS(CA1069)-ABS(BV1069))),(CA1069/BV1069-1),"NM"))))))</f>
      </c>
      <c r="CB1074" s="2332">
        <f t="shared" ref="CB1074:DY1074" si="2242">IF(ISNUMBER(CB1075),(1+CB1075)*(1+CB$21)-1,"NM")</f>
      </c>
      <c r="CC1074" s="2332">
        <f t="shared" si="2242"/>
      </c>
      <c r="CD1074" s="2332">
        <f t="shared" si="2242"/>
      </c>
      <c r="CE1074" s="2332">
        <f t="shared" si="2242"/>
      </c>
      <c r="CF1074" s="2333">
        <f t="shared" si="2242"/>
      </c>
      <c r="CG1074" s="2332">
        <f t="shared" si="2242"/>
      </c>
      <c r="CH1074" s="2332">
        <f t="shared" si="2242"/>
      </c>
      <c r="CI1074" s="2332">
        <f t="shared" si="2242"/>
      </c>
      <c r="CJ1074" s="2332">
        <f t="shared" si="2242"/>
      </c>
      <c r="CK1074" s="2333">
        <f t="shared" si="2242"/>
      </c>
      <c r="CL1074" s="1935">
        <f t="shared" si="2242"/>
      </c>
      <c r="CM1074" s="2332">
        <f t="shared" si="2242"/>
      </c>
      <c r="CN1074" s="2332">
        <f t="shared" si="2242"/>
      </c>
      <c r="CO1074" s="2332">
        <f t="shared" si="2242"/>
      </c>
      <c r="CP1074" s="2333">
        <f>IF(ISNUMBER(CP1075),(1+CP1075)*(1+CP$21)-1,"NM")</f>
      </c>
      <c r="CQ1074" s="2332">
        <f t="shared" si="2242"/>
      </c>
      <c r="CR1074" s="2332">
        <f t="shared" si="2242"/>
      </c>
      <c r="CS1074" s="2332">
        <f t="shared" si="2242"/>
      </c>
      <c r="CT1074" s="1936">
        <f t="shared" si="2242"/>
      </c>
      <c r="CU1074" s="1936">
        <f>IF(ISNUMBER(CU1075),(1+CU1075)*(1+CU$21)-1,"NM")</f>
      </c>
      <c r="CV1074" s="2332">
        <f t="shared" si="2242"/>
      </c>
      <c r="CW1074" s="2332">
        <f t="shared" si="2242"/>
      </c>
      <c r="CX1074" s="2332">
        <f t="shared" si="2242"/>
      </c>
      <c r="CY1074" s="1936">
        <f t="shared" si="2242"/>
      </c>
      <c r="CZ1074" s="1936">
        <f>IF(ISNUMBER(CZ1075),(1+CZ1075)*(1+CZ$21)-1,"NM")</f>
      </c>
      <c r="DA1074" s="1333">
        <f>DA1075+DA$21</f>
      </c>
      <c r="DB1074" s="2335">
        <f>DB1075+DB$21</f>
      </c>
      <c r="DC1074" s="2335">
        <f>DC1075+DC$21</f>
      </c>
      <c r="DD1074" s="1350">
        <f>IF(DD1069=0, "NM", DD1069/CY1069-1)</f>
      </c>
      <c r="DE1074" s="2333">
        <f t="shared" si="2242"/>
      </c>
      <c r="DF1074" s="1935"/>
      <c r="DG1074" s="2332"/>
      <c r="DH1074" s="2332"/>
      <c r="DI1074" s="1936"/>
      <c r="DJ1074" s="2333">
        <f t="shared" si="2242"/>
      </c>
      <c r="DK1074" s="958"/>
      <c r="DL1074" s="926"/>
      <c r="DM1074" s="926"/>
      <c r="DN1074" s="928"/>
      <c r="DO1074" s="2333">
        <f t="shared" si="2242"/>
      </c>
      <c r="DP1074" s="2332"/>
      <c r="DQ1074" s="2332"/>
      <c r="DR1074" s="2332"/>
      <c r="DS1074" s="2332"/>
      <c r="DT1074" s="2333">
        <f t="shared" si="2242"/>
      </c>
      <c r="DU1074" s="2332">
        <f t="shared" si="2242"/>
      </c>
      <c r="DV1074" s="2332"/>
      <c r="DW1074" s="2332"/>
      <c r="DX1074" s="1936"/>
      <c r="DY1074" s="2333" t="str">
        <f t="shared" si="2242"/>
      </c>
      <c r="DZ1074" s="2332"/>
      <c r="EA1074" s="2332"/>
      <c r="EB1074" s="2332"/>
      <c r="EC1074" s="1936"/>
      <c r="ED1074" s="2333" t="str">
        <f t="shared" ref="ED1074" si="2243">IF(ISNUMBER(ED1075),(1+ED1075)*(1+ED$21)-1,"NM")</f>
      </c>
      <c r="EE1074" s="2332"/>
      <c r="EF1074" s="2332"/>
      <c r="EG1074" s="2332"/>
      <c r="EH1074" s="2332"/>
      <c r="EI1074" s="1935">
        <f t="shared" ref="EI1074:EN1074" si="2244">IF(ISNUMBER(EI1075),(1+EI1075)*(1+EI$21)-1,"NM")</f>
      </c>
      <c r="EJ1074" s="1935">
        <f t="shared" si="2244"/>
      </c>
      <c r="EK1074" s="2333">
        <f t="shared" si="2244"/>
      </c>
      <c r="EL1074" s="2333">
        <f t="shared" si="2244"/>
      </c>
      <c r="EM1074" s="2333">
        <f t="shared" si="2244"/>
      </c>
      <c r="EN1074" s="2333">
        <f t="shared" si="2244"/>
      </c>
      <c r="EO1074" s="2333"/>
      <c r="EP1074" s="2333"/>
      <c r="EQ1074" s="2333"/>
      <c r="ER1074" s="2333"/>
      <c r="ES1074" s="2333"/>
      <c r="ET1074" s="2333"/>
      <c r="EU1074" s="2333"/>
      <c r="EV1074" s="2333"/>
      <c r="EW1074" s="2333"/>
      <c r="EX1074" s="2333"/>
    </row>
    <row r="1075" spans="1:154" s="419" customFormat="1" hidden="1" outlineLevel="1">
      <c r="A1075" s="3275"/>
      <c r="B1075" s="423" t="s">
        <v>256</v>
      </c>
      <c r="C1075" s="2326"/>
      <c r="D1075" s="2327"/>
      <c r="E1075" s="2327"/>
      <c r="F1075" s="2327"/>
      <c r="G1075" s="2327"/>
      <c r="H1075" s="2327"/>
      <c r="I1075" s="424"/>
      <c r="J1075" s="2066"/>
      <c r="K1075" s="2066"/>
      <c r="L1075" s="2066"/>
      <c r="M1075" s="2066"/>
      <c r="N1075" s="424"/>
      <c r="O1075" s="424"/>
      <c r="P1075" s="424"/>
      <c r="Q1075" s="424"/>
      <c r="R1075" s="424"/>
      <c r="S1075" s="2066"/>
      <c r="T1075" s="424"/>
      <c r="U1075" s="424"/>
      <c r="V1075" s="424"/>
      <c r="W1075" s="424"/>
      <c r="X1075" s="2336"/>
      <c r="Y1075" s="424"/>
      <c r="Z1075" s="424"/>
      <c r="AA1075" s="424"/>
      <c r="AB1075" s="424"/>
      <c r="AC1075" s="2336"/>
      <c r="AD1075" s="424"/>
      <c r="AE1075" s="424"/>
      <c r="AF1075" s="424"/>
      <c r="AG1075" s="424"/>
      <c r="AH1075" s="2336"/>
      <c r="AI1075" s="2335">
        <f t="shared" ref="AI1075:BM1075" si="2245">IF(ISNUMBER(AI1074),(1+AI1074)/(1+AI$21)-1,"NM")</f>
      </c>
      <c r="AJ1075" s="2335">
        <f t="shared" si="2245"/>
      </c>
      <c r="AK1075" s="2335">
        <f t="shared" si="2245"/>
      </c>
      <c r="AL1075" s="2335">
        <f t="shared" si="2245"/>
      </c>
      <c r="AM1075" s="2336">
        <f t="shared" si="2245"/>
      </c>
      <c r="AN1075" s="2335">
        <f t="shared" si="2245"/>
      </c>
      <c r="AO1075" s="2335">
        <f t="shared" si="2245"/>
      </c>
      <c r="AP1075" s="2335">
        <f t="shared" si="2245"/>
      </c>
      <c r="AQ1075" s="2335">
        <f t="shared" si="2245"/>
      </c>
      <c r="AR1075" s="2336">
        <f t="shared" si="2245"/>
      </c>
      <c r="AS1075" s="2335">
        <f t="shared" si="2245"/>
      </c>
      <c r="AT1075" s="2335">
        <f t="shared" si="2245"/>
      </c>
      <c r="AU1075" s="2335">
        <f t="shared" si="2245"/>
      </c>
      <c r="AV1075" s="2335">
        <f t="shared" si="2245"/>
      </c>
      <c r="AW1075" s="2336">
        <f t="shared" si="2245"/>
      </c>
      <c r="AX1075" s="2335">
        <f t="shared" si="2245"/>
      </c>
      <c r="AY1075" s="2335">
        <f t="shared" si="2245"/>
      </c>
      <c r="AZ1075" s="2335">
        <f t="shared" si="2245"/>
      </c>
      <c r="BA1075" s="2335">
        <f t="shared" si="2245"/>
      </c>
      <c r="BB1075" s="2336">
        <f t="shared" si="2245"/>
      </c>
      <c r="BC1075" s="2335">
        <f t="shared" si="2245"/>
      </c>
      <c r="BD1075" s="2335">
        <f t="shared" si="2245"/>
      </c>
      <c r="BE1075" s="2335">
        <f t="shared" si="2245"/>
      </c>
      <c r="BF1075" s="2335">
        <f t="shared" si="2245"/>
      </c>
      <c r="BG1075" s="2337">
        <f t="shared" si="2245"/>
      </c>
      <c r="BH1075" s="2335">
        <f t="shared" si="2245"/>
      </c>
      <c r="BI1075" s="2335">
        <f t="shared" si="2245"/>
      </c>
      <c r="BJ1075" s="2335">
        <f t="shared" si="2245"/>
      </c>
      <c r="BK1075" s="2335">
        <f t="shared" si="2245"/>
      </c>
      <c r="BL1075" s="2336">
        <f t="shared" si="2245"/>
      </c>
      <c r="BM1075" s="2335">
        <f t="shared" si="2245"/>
      </c>
      <c r="BN1075" s="2335">
        <v>5.5E-2</v>
      </c>
      <c r="BO1075" s="2335">
        <v>7.5999999999999998E-2</v>
      </c>
      <c r="BP1075" s="2332">
        <v>6.3E-2</v>
      </c>
      <c r="BQ1075" s="2336">
        <v>6.3E-2</v>
      </c>
      <c r="BR1075" s="2334">
        <v>7.0000000000000007E-2</v>
      </c>
      <c r="BS1075" s="2334">
        <v>0.06</v>
      </c>
      <c r="BT1075" s="2334">
        <v>0.06</v>
      </c>
      <c r="BU1075" s="2332">
        <f>IF(ISNUMBER(BU1074),(1+BU1074)/(1+BU$21)-1,"NM")</f>
      </c>
      <c r="BV1075" s="1937">
        <v>6.25E-2</v>
      </c>
      <c r="BW1075" s="2334">
        <v>0.06</v>
      </c>
      <c r="BX1075" s="2334">
        <v>0.06</v>
      </c>
      <c r="BY1075" s="2334">
        <v>0.06</v>
      </c>
      <c r="BZ1075" s="2334">
        <v>0.06</v>
      </c>
      <c r="CA1075" s="2333">
        <f>IF(ISNUMBER(CA1074),(1+CA1074)/(1+CA$21)-1,"NM")</f>
      </c>
      <c r="CB1075" s="2334">
        <v>0.06</v>
      </c>
      <c r="CC1075" s="2334">
        <v>0.06</v>
      </c>
      <c r="CD1075" s="2334">
        <v>0.06</v>
      </c>
      <c r="CE1075" s="2334">
        <v>0.06</v>
      </c>
      <c r="CF1075" s="1937">
        <v>0.06</v>
      </c>
      <c r="CG1075" s="2334">
        <v>0.06</v>
      </c>
      <c r="CH1075" s="2334">
        <v>0.06</v>
      </c>
      <c r="CI1075" s="2334">
        <v>0.06</v>
      </c>
      <c r="CJ1075" s="2334">
        <v>0.06</v>
      </c>
      <c r="CK1075" s="1937">
        <v>0.06</v>
      </c>
      <c r="CL1075" s="2195">
        <v>0.06</v>
      </c>
      <c r="CM1075" s="2334">
        <v>0.06</v>
      </c>
      <c r="CN1075" s="2334">
        <v>0.06</v>
      </c>
      <c r="CO1075" s="2334">
        <v>0.06</v>
      </c>
      <c r="CP1075" s="1937">
        <v>0.06</v>
      </c>
      <c r="CQ1075" s="2334">
        <v>0.06</v>
      </c>
      <c r="CR1075" s="2334">
        <v>0.06</v>
      </c>
      <c r="CS1075" s="2334">
        <v>0.06</v>
      </c>
      <c r="CT1075" s="2226">
        <v>0.06</v>
      </c>
      <c r="CU1075" s="2226">
        <v>0.06</v>
      </c>
      <c r="CV1075" s="2334">
        <v>0.06</v>
      </c>
      <c r="CW1075" s="2334">
        <v>0.06</v>
      </c>
      <c r="CX1075" s="2334">
        <v>0.06</v>
      </c>
      <c r="CY1075" s="2226">
        <v>0.06</v>
      </c>
      <c r="CZ1075" s="2226">
        <v>0.06</v>
      </c>
      <c r="DA1075" s="2195">
        <v>0.06</v>
      </c>
      <c r="DB1075" s="2334">
        <v>0.06</v>
      </c>
      <c r="DC1075" s="2334">
        <v>0.06</v>
      </c>
      <c r="DD1075" s="1936">
        <f>IF(DD1069=0, "NM",DD1074-DD$21)</f>
      </c>
      <c r="DE1075" s="1937">
        <v>0.06</v>
      </c>
      <c r="DF1075" s="2195"/>
      <c r="DG1075" s="2334"/>
      <c r="DH1075" s="2334"/>
      <c r="DI1075" s="1936"/>
      <c r="DJ1075" s="1937">
        <v>0.06</v>
      </c>
      <c r="DK1075" s="400"/>
      <c r="DL1075" s="29"/>
      <c r="DM1075" s="29"/>
      <c r="DN1075" s="928"/>
      <c r="DO1075" s="1937">
        <v>0.06</v>
      </c>
      <c r="DP1075" s="2334"/>
      <c r="DQ1075" s="2334"/>
      <c r="DR1075" s="2334"/>
      <c r="DS1075" s="2332"/>
      <c r="DT1075" s="1937">
        <v>0.06</v>
      </c>
      <c r="DU1075" s="2332">
        <v>0.06</v>
      </c>
      <c r="DV1075" s="2334"/>
      <c r="DW1075" s="2334"/>
      <c r="DX1075" s="2226"/>
      <c r="DY1075" s="3308"/>
      <c r="DZ1075" s="2334"/>
      <c r="EA1075" s="2334"/>
      <c r="EB1075" s="2334"/>
      <c r="EC1075" s="2226"/>
      <c r="ED1075" s="3308"/>
      <c r="EE1075" s="2334"/>
      <c r="EF1075" s="2334"/>
      <c r="EG1075" s="2334"/>
      <c r="EH1075" s="2332"/>
      <c r="EI1075" s="2195">
        <v>0.06</v>
      </c>
      <c r="EJ1075" s="2195">
        <v>0.06</v>
      </c>
      <c r="EK1075" s="1937">
        <v>0.06</v>
      </c>
      <c r="EL1075" s="1937">
        <v>0.06</v>
      </c>
      <c r="EM1075" s="1937">
        <v>0.06</v>
      </c>
      <c r="EN1075" s="1937">
        <v>0.06</v>
      </c>
      <c r="EO1075" s="1937"/>
      <c r="EP1075" s="1937"/>
      <c r="EQ1075" s="1937"/>
      <c r="ER1075" s="1937"/>
      <c r="ES1075" s="1937"/>
      <c r="ET1075" s="1937"/>
      <c r="EU1075" s="1937"/>
      <c r="EV1075" s="1937"/>
      <c r="EW1075" s="1937"/>
      <c r="EX1075" s="1937"/>
    </row>
    <row r="1076" spans="1:154" s="419" customFormat="1" hidden="1" outlineLevel="1">
      <c r="A1076" s="3275"/>
      <c r="B1076" s="423" t="s">
        <v>413</v>
      </c>
      <c r="C1076" s="2326"/>
      <c r="D1076" s="2327"/>
      <c r="E1076" s="2327"/>
      <c r="F1076" s="2327"/>
      <c r="G1076" s="2327"/>
      <c r="H1076" s="2327"/>
      <c r="I1076" s="2332">
        <f t="shared" ref="I1076:AN1076" si="2246">IF(D1070="NM","NM",IF(I1070="NM","NM",IF(D1070&lt;=0,"NM",IF(I1070=0,"NM",IF(ABS(I1070/D1070-1)&gt;2.5,"NM",IF((ABS(I1070-D1070)=ABS(ABS(I1070)-ABS(D1070))),(I1070/D1070-1),"NM"))))))</f>
      </c>
      <c r="J1076" s="2332">
        <f t="shared" si="2246"/>
      </c>
      <c r="K1076" s="2332">
        <f t="shared" si="2246"/>
      </c>
      <c r="L1076" s="2332">
        <f t="shared" si="2246"/>
      </c>
      <c r="M1076" s="2332">
        <f t="shared" si="2246"/>
      </c>
      <c r="N1076" s="2332">
        <f t="shared" si="2246"/>
      </c>
      <c r="O1076" s="2332">
        <f t="shared" si="2246"/>
      </c>
      <c r="P1076" s="2332">
        <f t="shared" si="2246"/>
      </c>
      <c r="Q1076" s="2332">
        <f t="shared" si="2246"/>
      </c>
      <c r="R1076" s="2332">
        <f t="shared" si="2246"/>
      </c>
      <c r="S1076" s="2332">
        <f t="shared" si="2246"/>
      </c>
      <c r="T1076" s="2332">
        <f t="shared" si="2246"/>
      </c>
      <c r="U1076" s="2332">
        <f t="shared" si="2246"/>
      </c>
      <c r="V1076" s="2332">
        <f t="shared" si="2246"/>
      </c>
      <c r="W1076" s="2332">
        <f t="shared" si="2246"/>
      </c>
      <c r="X1076" s="2333">
        <f t="shared" si="2246"/>
      </c>
      <c r="Y1076" s="2332">
        <f t="shared" si="2246"/>
      </c>
      <c r="Z1076" s="2332">
        <f t="shared" si="2246"/>
      </c>
      <c r="AA1076" s="2332">
        <f t="shared" si="2246"/>
      </c>
      <c r="AB1076" s="2332">
        <f t="shared" si="2246"/>
      </c>
      <c r="AC1076" s="2333">
        <f t="shared" si="2246"/>
      </c>
      <c r="AD1076" s="2332">
        <f t="shared" si="2246"/>
      </c>
      <c r="AE1076" s="2332">
        <f t="shared" si="2246"/>
      </c>
      <c r="AF1076" s="2332">
        <f t="shared" si="2246"/>
      </c>
      <c r="AG1076" s="2332">
        <f t="shared" si="2246"/>
      </c>
      <c r="AH1076" s="2333">
        <f t="shared" si="2246"/>
      </c>
      <c r="AI1076" s="2332">
        <f t="shared" si="2246"/>
      </c>
      <c r="AJ1076" s="2332">
        <f t="shared" si="2246"/>
      </c>
      <c r="AK1076" s="2332">
        <f t="shared" si="2246"/>
      </c>
      <c r="AL1076" s="2332">
        <f t="shared" si="2246"/>
      </c>
      <c r="AM1076" s="2333">
        <f t="shared" si="2246"/>
      </c>
      <c r="AN1076" s="2332">
        <f t="shared" si="2246"/>
      </c>
      <c r="AO1076" s="2332">
        <v>0.2</v>
      </c>
      <c r="AP1076" s="2332">
        <f t="shared" ref="AP1076:CX1076" si="2247">IF(AK1070="NM","NM",IF(AP1070="NM","NM",IF(AK1070&lt;=0,"NM",IF(AP1070=0,"NM",IF(ABS(AP1070/AK1070-1)&gt;2.5,"NM",IF((ABS(AP1070-AK1070)=ABS(ABS(AP1070)-ABS(AK1070))),(AP1070/AK1070-1),"NM"))))))</f>
      </c>
      <c r="AQ1076" s="2332">
        <f t="shared" si="2247"/>
      </c>
      <c r="AR1076" s="2333">
        <f t="shared" si="2247"/>
      </c>
      <c r="AS1076" s="2332">
        <f t="shared" si="2247"/>
      </c>
      <c r="AT1076" s="2332">
        <f t="shared" si="2247"/>
      </c>
      <c r="AU1076" s="2332">
        <f t="shared" si="2247"/>
      </c>
      <c r="AV1076" s="2332">
        <f t="shared" si="2247"/>
      </c>
      <c r="AW1076" s="2333">
        <f t="shared" si="2247"/>
      </c>
      <c r="AX1076" s="2332">
        <f t="shared" si="2247"/>
      </c>
      <c r="AY1076" s="2332">
        <f t="shared" si="2247"/>
      </c>
      <c r="AZ1076" s="2332">
        <f t="shared" si="2247"/>
      </c>
      <c r="BA1076" s="2332">
        <f t="shared" si="2247"/>
      </c>
      <c r="BB1076" s="2333">
        <f t="shared" si="2247"/>
      </c>
      <c r="BC1076" s="2332">
        <f t="shared" si="2247"/>
      </c>
      <c r="BD1076" s="2332">
        <f t="shared" si="2247"/>
      </c>
      <c r="BE1076" s="2332">
        <f t="shared" si="2247"/>
      </c>
      <c r="BF1076" s="2332">
        <f t="shared" si="2247"/>
      </c>
      <c r="BG1076" s="2333">
        <f t="shared" si="2247"/>
      </c>
      <c r="BH1076" s="2332">
        <f t="shared" si="2247"/>
      </c>
      <c r="BI1076" s="2332">
        <f t="shared" si="2247"/>
      </c>
      <c r="BJ1076" s="2332">
        <f t="shared" si="2247"/>
      </c>
      <c r="BK1076" s="2332">
        <f t="shared" si="2247"/>
      </c>
      <c r="BL1076" s="2333">
        <f t="shared" si="2247"/>
      </c>
      <c r="BM1076" s="2332">
        <f t="shared" si="2247"/>
      </c>
      <c r="BN1076" s="2332">
        <f t="shared" si="2247"/>
      </c>
      <c r="BO1076" s="2332">
        <f t="shared" si="2247"/>
      </c>
      <c r="BP1076" s="2332">
        <f t="shared" si="2247"/>
      </c>
      <c r="BQ1076" s="2333">
        <f t="shared" si="2247"/>
      </c>
      <c r="BR1076" s="2332">
        <f t="shared" si="2247"/>
      </c>
      <c r="BS1076" s="2332">
        <f t="shared" si="2247"/>
      </c>
      <c r="BT1076" s="2332">
        <f t="shared" si="2247"/>
      </c>
      <c r="BU1076" s="2332">
        <f t="shared" si="2247"/>
      </c>
      <c r="BV1076" s="2333">
        <f t="shared" si="2247"/>
      </c>
      <c r="BW1076" s="2332">
        <f t="shared" si="2247"/>
      </c>
      <c r="BX1076" s="2332">
        <f t="shared" si="2247"/>
      </c>
      <c r="BY1076" s="2332">
        <f t="shared" si="2247"/>
      </c>
      <c r="BZ1076" s="2332">
        <f t="shared" si="2247"/>
      </c>
      <c r="CA1076" s="2333">
        <f t="shared" si="2247"/>
      </c>
      <c r="CB1076" s="2332">
        <f t="shared" si="2247"/>
      </c>
      <c r="CC1076" s="2332">
        <f t="shared" si="2247"/>
      </c>
      <c r="CD1076" s="2332">
        <f t="shared" si="2247"/>
      </c>
      <c r="CE1076" s="2332">
        <f t="shared" si="2247"/>
      </c>
      <c r="CF1076" s="2333">
        <f t="shared" si="2247"/>
      </c>
      <c r="CG1076" s="2332">
        <f t="shared" si="2247"/>
      </c>
      <c r="CH1076" s="2332">
        <f t="shared" si="2247"/>
      </c>
      <c r="CI1076" s="2332">
        <f t="shared" si="2247"/>
      </c>
      <c r="CJ1076" s="2332">
        <f t="shared" si="2247"/>
      </c>
      <c r="CK1076" s="2333">
        <f t="shared" si="2247"/>
      </c>
      <c r="CL1076" s="1935">
        <f t="shared" si="2247"/>
      </c>
      <c r="CM1076" s="2332">
        <f t="shared" si="2247"/>
      </c>
      <c r="CN1076" s="2332">
        <f t="shared" si="2247"/>
      </c>
      <c r="CO1076" s="2332">
        <f t="shared" si="2247"/>
      </c>
      <c r="CP1076" s="2333">
        <f t="shared" si="2247"/>
      </c>
      <c r="CQ1076" s="2332">
        <f t="shared" si="2247"/>
      </c>
      <c r="CR1076" s="2332">
        <f t="shared" si="2247"/>
      </c>
      <c r="CS1076" s="2332">
        <f t="shared" si="2247"/>
      </c>
      <c r="CT1076" s="1936">
        <f t="shared" si="2247"/>
      </c>
      <c r="CU1076" s="1936">
        <f t="shared" si="2247"/>
      </c>
      <c r="CV1076" s="2332">
        <f t="shared" si="2247"/>
      </c>
      <c r="CW1076" s="2332">
        <f t="shared" si="2247"/>
      </c>
      <c r="CX1076" s="2332">
        <f t="shared" si="2247"/>
      </c>
      <c r="CY1076" s="1936">
        <f>IF(CT1070="NM","NM",IF(CY1070="NM","NM",IF(CT1070&lt;=0,"NM",IF(CY1070=0,"NM",IF(ABS(CY1070/CT1070-1)&gt;2.5,"NM",IF((ABS(CY1070-CT1070)=ABS(ABS(CY1070)-ABS(CT1070))),(CY1070/CT1070-1),"NM"))))))</f>
      </c>
      <c r="CZ1076" s="1936">
        <f>IF(CU1070="NM","NM",IF(CZ1070="NM","NM",IF(CU1070&lt;=0,"NM",IF(CZ1070=0,"NM",IF(ABS(CZ1070/CU1070-1)&gt;2.5,"NM",IF((ABS(CZ1070-CU1070)=ABS(ABS(CZ1070)-ABS(CU1070))),(CZ1070/CU1070-1),"NM"))))))</f>
      </c>
      <c r="DA1076" s="1935">
        <f>IF(CV1070=0, "NA", DA1070/CV1070-1)</f>
      </c>
      <c r="DB1076" s="2332">
        <f>IF(CW1070=0, "NA", DB1070/CW1070-1)</f>
      </c>
      <c r="DC1076" s="2332">
        <f>IF(CX1070=0, "NA", DC1070/CX1070-1)</f>
      </c>
      <c r="DD1076" s="1936">
        <f>IF(CY1070=0, "NM", DD1070/CY1070-1)</f>
      </c>
      <c r="DE1076" s="2333">
        <f>IF(CZ1070="NM","NM",IF(DE1070="NM","NM",IF(CZ1070&lt;=0,"NM",IF(DE1070=0,"NM",IF(ABS(DE1070/CZ1070-1)&gt;2.5,"NM",IF((ABS(DE1070-CZ1070)=ABS(ABS(DE1070)-ABS(CZ1070))),(DE1070/CZ1070-1),"NM"))))))</f>
      </c>
      <c r="DF1076" s="1935"/>
      <c r="DG1076" s="2332"/>
      <c r="DH1076" s="2332"/>
      <c r="DI1076" s="1936"/>
      <c r="DJ1076" s="2333">
        <f>IF(DE1070="NM","NM",IF(DJ1070="NM","NM",IF(DE1070&lt;=0,"NM",IF(DJ1070=0,"NM",IF(ABS(DJ1070/DE1070-1)&gt;2.5,"NM",IF((ABS(DJ1070-DE1070)=ABS(ABS(DJ1070)-ABS(DE1070))),(DJ1070/DE1070-1),"NM"))))))</f>
      </c>
      <c r="DK1076" s="958"/>
      <c r="DL1076" s="926"/>
      <c r="DM1076" s="926"/>
      <c r="DN1076" s="928"/>
      <c r="DO1076" s="2333">
        <f>IF(DJ1070="NM","NM",IF(DO1070="NM","NM",IF(DJ1070&lt;=0,"NM",IF(DO1070=0,"NM",IF(ABS(DO1070/DJ1070-1)&gt;2.5,"NM",IF((ABS(DO1070-DJ1070)=ABS(ABS(DO1070)-ABS(DJ1070))),(DO1070/DJ1070-1),"NM"))))))</f>
      </c>
      <c r="DP1076" s="2332"/>
      <c r="DQ1076" s="2332"/>
      <c r="DR1076" s="2332"/>
      <c r="DS1076" s="2332"/>
      <c r="DT1076" s="2333">
        <f>IF(DO1070="NM","NM",IF(DT1070="NM","NM",IF(DO1070&lt;=0,"NM",IF(DT1070=0,"NM",IF(ABS(DT1070/DO1070-1)&gt;2.5,"NM",IF((ABS(DT1070-DO1070)=ABS(ABS(DT1070)-ABS(DO1070))),(DT1070/DO1070-1),"NM"))))))</f>
      </c>
      <c r="DU1076" s="2332" t="str">
        <f>IF(DP1070="NM","NM",IF(DU1070="NM","NM",IF(DP1070&lt;=0,"NM",IF(DU1070=0,"NM",IF(ABS(DU1070/DP1070-1)&gt;2.5,"NM",IF((ABS(DU1070-DP1070)=ABS(ABS(DU1070)-ABS(DP1070))),(DU1070/DP1070-1),"NM"))))))</f>
      </c>
      <c r="DV1076" s="2332"/>
      <c r="DW1076" s="2332"/>
      <c r="DX1076" s="1936"/>
      <c r="DY1076" s="2333" t="e">
        <f>IF(DT1070="NM","NM",IF(DY1070="NM","NM",IF(DT1070&lt;=0,"NM",IF(DY1070=0,"NM",IF(ABS(DY1070/DT1070-1)&gt;2.5,"NM",IF((ABS(DY1070-DT1070)=ABS(ABS(DY1070)-ABS(DT1070))),(DY1070/DT1070-1),"NM"))))))</f>
      </c>
      <c r="DZ1076" s="2332"/>
      <c r="EA1076" s="2332"/>
      <c r="EB1076" s="2332"/>
      <c r="EC1076" s="1936"/>
      <c r="ED1076" s="2333" t="e">
        <f>IF(DY1070="NM","NM",IF(ED1070="NM","NM",IF(DY1070&lt;=0,"NM",IF(ED1070=0,"NM",IF(ABS(ED1070/DY1070-1)&gt;2.5,"NM",IF((ABS(ED1070-DY1070)=ABS(ABS(ED1070)-ABS(DY1070))),(ED1070/DY1070-1),"NM"))))))</f>
      </c>
      <c r="EE1076" s="2332"/>
      <c r="EF1076" s="2332"/>
      <c r="EG1076" s="2332"/>
      <c r="EH1076" s="2332"/>
      <c r="EI1076" s="1935" t="e">
        <f>IF(ED1070="NM","NM",IF(EI1070="NM","NM",IF(ED1070&lt;=0,"NM",IF(EI1070=0,"NM",IF(ABS(EI1070/ED1070-1)&gt;2.5,"NM",IF((ABS(EI1070-ED1070)=ABS(ABS(EI1070)-ABS(ED1070))),(EI1070/ED1070-1),"NM"))))))</f>
      </c>
      <c r="EJ1076" s="1935" t="e">
        <f t="shared" ref="EJ1076:EN1076" si="2248">IF(EI1070="NM","NM",IF(EJ1070="NM","NM",IF(EI1070&lt;=0,"NM",IF(EJ1070=0,"NM",IF(ABS(EJ1070/EI1070-1)&gt;2.5,"NM",IF((ABS(EJ1070-EI1070)=ABS(ABS(EJ1070)-ABS(EI1070))),(EJ1070/EI1070-1),"NM"))))))</f>
      </c>
      <c r="EK1076" s="2333" t="e">
        <f t="shared" si="2248"/>
      </c>
      <c r="EL1076" s="2333" t="e">
        <f t="shared" si="2248"/>
      </c>
      <c r="EM1076" s="2333" t="e">
        <f t="shared" si="2248"/>
      </c>
      <c r="EN1076" s="2333" t="e">
        <f t="shared" si="2248"/>
      </c>
      <c r="EO1076" s="2333"/>
      <c r="EP1076" s="2333"/>
      <c r="EQ1076" s="2333"/>
      <c r="ER1076" s="2333"/>
      <c r="ES1076" s="2333"/>
      <c r="ET1076" s="2333"/>
      <c r="EU1076" s="2333"/>
      <c r="EV1076" s="2333"/>
      <c r="EW1076" s="2333"/>
      <c r="EX1076" s="2333"/>
    </row>
    <row r="1077" spans="1:154" hidden="1" outlineLevel="1" collapsed="1">
      <c r="B1077" s="340"/>
      <c r="C1077" s="1577"/>
      <c r="D1077" s="933"/>
      <c r="E1077" s="933"/>
      <c r="F1077" s="933"/>
      <c r="G1077" s="933"/>
      <c r="H1077" s="933"/>
      <c r="I1077" s="31"/>
      <c r="J1077" s="933"/>
      <c r="K1077" s="933"/>
      <c r="L1077" s="933"/>
      <c r="M1077" s="933"/>
      <c r="N1077" s="31"/>
      <c r="O1077" s="31"/>
      <c r="P1077" s="31"/>
      <c r="Q1077" s="31"/>
      <c r="R1077" s="31"/>
      <c r="S1077" s="31"/>
      <c r="T1077" s="31"/>
      <c r="U1077" s="31"/>
      <c r="V1077" s="31"/>
      <c r="W1077" s="31"/>
      <c r="X1077" s="313"/>
      <c r="Y1077" s="31"/>
      <c r="Z1077" s="31"/>
      <c r="AA1077" s="31"/>
      <c r="AB1077" s="31"/>
      <c r="AC1077" s="313"/>
      <c r="AD1077" s="31"/>
      <c r="AE1077" s="31"/>
      <c r="AF1077" s="31"/>
      <c r="AG1077" s="31"/>
      <c r="AH1077" s="313"/>
      <c r="AI1077" s="933"/>
      <c r="AJ1077" s="933"/>
      <c r="AK1077" s="933"/>
      <c r="AL1077" s="31"/>
      <c r="AM1077" s="313"/>
      <c r="AN1077" s="933"/>
      <c r="AO1077" s="933"/>
      <c r="AP1077" s="933"/>
      <c r="AQ1077" s="933"/>
      <c r="AR1077" s="313"/>
      <c r="AS1077" s="933"/>
      <c r="AT1077" s="933"/>
      <c r="AU1077" s="933"/>
      <c r="AV1077" s="933"/>
      <c r="AW1077" s="313"/>
      <c r="AX1077" s="933"/>
      <c r="AY1077" s="933"/>
      <c r="AZ1077" s="933"/>
      <c r="BA1077" s="933"/>
      <c r="BB1077" s="313"/>
      <c r="BC1077" s="933"/>
      <c r="BD1077" s="933"/>
      <c r="BE1077" s="933"/>
      <c r="BF1077" s="933"/>
      <c r="BG1077" s="313"/>
      <c r="BH1077" s="933"/>
      <c r="BI1077" s="933"/>
      <c r="BJ1077" s="933"/>
      <c r="BK1077" s="933"/>
      <c r="BL1077" s="313"/>
      <c r="BM1077" s="933"/>
      <c r="BN1077" s="933"/>
      <c r="BO1077" s="933"/>
      <c r="BP1077" s="933"/>
      <c r="BQ1077" s="313"/>
      <c r="BR1077" s="933"/>
      <c r="BS1077" s="933"/>
      <c r="BT1077" s="933"/>
      <c r="BU1077" s="933"/>
      <c r="BV1077" s="313"/>
      <c r="BW1077" s="933"/>
      <c r="BX1077" s="933"/>
      <c r="BY1077" s="933"/>
      <c r="BZ1077" s="933"/>
      <c r="CA1077" s="313"/>
      <c r="CB1077" s="933"/>
      <c r="CC1077" s="933"/>
      <c r="CD1077" s="933"/>
      <c r="CE1077" s="933"/>
      <c r="CF1077" s="313"/>
      <c r="CG1077" s="933"/>
      <c r="CH1077" s="933"/>
      <c r="CI1077" s="933"/>
      <c r="CJ1077" s="933"/>
      <c r="CK1077" s="313"/>
      <c r="CL1077" s="2355"/>
      <c r="CM1077" s="3027"/>
      <c r="CN1077" s="3027"/>
      <c r="CO1077" s="933"/>
      <c r="CP1077" s="313"/>
      <c r="CQ1077" s="3027"/>
      <c r="CR1077" s="3027"/>
      <c r="CS1077" s="3027"/>
      <c r="CT1077" s="2356"/>
      <c r="CU1077" s="955"/>
      <c r="CV1077" s="3027"/>
      <c r="CW1077" s="3027"/>
      <c r="CX1077" s="3027"/>
      <c r="CY1077" s="2356"/>
      <c r="CZ1077" s="955"/>
      <c r="DA1077" s="957"/>
      <c r="DB1077" s="31"/>
      <c r="DC1077" s="31"/>
      <c r="DD1077" s="955"/>
      <c r="DE1077" s="477"/>
      <c r="DF1077" s="1799"/>
      <c r="DG1077" s="603"/>
      <c r="DH1077" s="603"/>
      <c r="DI1077" s="1798"/>
      <c r="DJ1077" s="477"/>
      <c r="DK1077" s="1799"/>
      <c r="DL1077" s="603"/>
      <c r="DM1077" s="603"/>
      <c r="DN1077" s="1798"/>
      <c r="DO1077" s="477"/>
      <c r="DP1077" s="603"/>
      <c r="DQ1077" s="603"/>
      <c r="DR1077" s="603"/>
      <c r="DS1077" s="603"/>
      <c r="DT1077" s="477"/>
      <c r="DU1077" s="603"/>
      <c r="DV1077" s="603"/>
      <c r="DW1077" s="603"/>
      <c r="DX1077" s="1798"/>
      <c r="DY1077" s="477"/>
      <c r="DZ1077" s="603"/>
      <c r="EA1077" s="603"/>
      <c r="EB1077" s="603"/>
      <c r="EC1077" s="1798"/>
      <c r="ED1077" s="477"/>
      <c r="EE1077" s="603"/>
      <c r="EF1077" s="603"/>
      <c r="EG1077" s="603"/>
      <c r="EH1077" s="603"/>
      <c r="EI1077" s="1799"/>
      <c r="EJ1077" s="1799"/>
      <c r="EK1077" s="477"/>
      <c r="EL1077" s="477"/>
      <c r="EM1077" s="477"/>
      <c r="EN1077" s="477"/>
      <c r="EO1077" s="477"/>
      <c r="EP1077" s="477"/>
      <c r="EQ1077" s="477"/>
      <c r="ER1077" s="477"/>
      <c r="ES1077" s="477"/>
      <c r="ET1077" s="477"/>
      <c r="EU1077" s="477"/>
      <c r="EV1077" s="477"/>
      <c r="EW1077" s="477"/>
      <c r="EX1077" s="477"/>
    </row>
    <row r="1078" spans="1:154" collapsed="1">
      <c r="B1078" s="452" t="s">
        <v>979</v>
      </c>
      <c r="C1078" s="1992" t="s">
        <v>185</v>
      </c>
      <c r="D1078" s="1980"/>
      <c r="E1078" s="449"/>
      <c r="F1078" s="449"/>
      <c r="G1078" s="449"/>
      <c r="H1078" s="449"/>
      <c r="I1078" s="450"/>
      <c r="J1078" s="449"/>
      <c r="K1078" s="449"/>
      <c r="L1078" s="449"/>
      <c r="M1078" s="449"/>
      <c r="N1078" s="450"/>
      <c r="O1078" s="450"/>
      <c r="P1078" s="450"/>
      <c r="Q1078" s="450"/>
      <c r="R1078" s="450"/>
      <c r="S1078" s="450"/>
      <c r="T1078" s="450"/>
      <c r="U1078" s="450"/>
      <c r="V1078" s="450"/>
      <c r="W1078" s="450"/>
      <c r="X1078" s="451"/>
      <c r="Y1078" s="450"/>
      <c r="Z1078" s="450"/>
      <c r="AA1078" s="450"/>
      <c r="AB1078" s="450"/>
      <c r="AC1078" s="451"/>
      <c r="AD1078" s="450"/>
      <c r="AE1078" s="450"/>
      <c r="AF1078" s="450"/>
      <c r="AG1078" s="450"/>
      <c r="AH1078" s="451"/>
      <c r="AI1078" s="449"/>
      <c r="AJ1078" s="449"/>
      <c r="AK1078" s="449"/>
      <c r="AL1078" s="450"/>
      <c r="AM1078" s="451"/>
      <c r="AN1078" s="449"/>
      <c r="AO1078" s="449"/>
      <c r="AP1078" s="449"/>
      <c r="AQ1078" s="450"/>
      <c r="AR1078" s="451"/>
      <c r="AS1078" s="449"/>
      <c r="AT1078" s="449"/>
      <c r="AU1078" s="449"/>
      <c r="AV1078" s="450"/>
      <c r="AW1078" s="451"/>
      <c r="AX1078" s="449"/>
      <c r="AY1078" s="449"/>
      <c r="AZ1078" s="449"/>
      <c r="BA1078" s="449"/>
      <c r="BB1078" s="451"/>
      <c r="BC1078" s="449"/>
      <c r="BD1078" s="449"/>
      <c r="BE1078" s="449"/>
      <c r="BF1078" s="449"/>
      <c r="BG1078" s="451"/>
      <c r="BH1078" s="449"/>
      <c r="BI1078" s="449"/>
      <c r="BJ1078" s="449"/>
      <c r="BK1078" s="449"/>
      <c r="BL1078" s="451"/>
      <c r="BM1078" s="449"/>
      <c r="BN1078" s="449"/>
      <c r="BO1078" s="449"/>
      <c r="BP1078" s="449"/>
      <c r="BQ1078" s="451"/>
      <c r="BR1078" s="449"/>
      <c r="BS1078" s="449"/>
      <c r="BT1078" s="449"/>
      <c r="BU1078" s="449"/>
      <c r="BV1078" s="451"/>
      <c r="BW1078" s="449"/>
      <c r="BX1078" s="449"/>
      <c r="BY1078" s="449"/>
      <c r="BZ1078" s="449"/>
      <c r="CA1078" s="451"/>
      <c r="CB1078" s="449"/>
      <c r="CC1078" s="449"/>
      <c r="CD1078" s="449"/>
      <c r="CE1078" s="449"/>
      <c r="CF1078" s="451"/>
      <c r="CG1078" s="449"/>
      <c r="CH1078" s="449"/>
      <c r="CI1078" s="449"/>
      <c r="CJ1078" s="449"/>
      <c r="CK1078" s="451"/>
      <c r="CL1078" s="449"/>
      <c r="CM1078" s="449"/>
      <c r="CN1078" s="449"/>
      <c r="CO1078" s="1395"/>
      <c r="CP1078" s="451"/>
      <c r="CQ1078" s="449" t="s">
        <v>849</v>
      </c>
      <c r="CR1078" s="449"/>
      <c r="CS1078" s="449"/>
      <c r="CT1078" s="1141"/>
      <c r="CU1078" s="451"/>
      <c r="CV1078" s="449"/>
      <c r="CW1078" s="449"/>
      <c r="CX1078" s="449"/>
      <c r="CY1078" s="1141"/>
      <c r="CZ1078" s="451"/>
      <c r="DA1078" s="449"/>
      <c r="DB1078" s="1367"/>
      <c r="DC1078" s="1367"/>
      <c r="DD1078" s="1196"/>
      <c r="DE1078" s="1824"/>
      <c r="DF1078" s="1825"/>
      <c r="DG1078" s="1826"/>
      <c r="DH1078" s="1826"/>
      <c r="DI1078" s="1827"/>
      <c r="DJ1078" s="1824"/>
      <c r="DK1078" s="1825"/>
      <c r="DL1078" s="1826"/>
      <c r="DM1078" s="1826"/>
      <c r="DN1078" s="1827"/>
      <c r="DO1078" s="1824"/>
      <c r="DP1078" s="1826"/>
      <c r="DQ1078" s="1826"/>
      <c r="DR1078" s="1826"/>
      <c r="DS1078" s="1827"/>
      <c r="DT1078" s="1824"/>
      <c r="DU1078" s="2113"/>
      <c r="DV1078" s="2113"/>
      <c r="DW1078" s="2113"/>
      <c r="DX1078" s="2114"/>
      <c r="DY1078" s="1824"/>
      <c r="DZ1078" s="3476"/>
      <c r="EA1078" s="3476"/>
      <c r="EB1078" s="3476"/>
      <c r="EC1078" s="2114"/>
      <c r="ED1078" s="1824"/>
      <c r="EE1078" s="3476"/>
      <c r="EF1078" s="3476"/>
      <c r="EG1078" s="3476"/>
      <c r="EH1078" s="3476"/>
      <c r="EI1078" s="1828"/>
      <c r="EJ1078" s="1828"/>
      <c r="EK1078" s="1828"/>
      <c r="EL1078" s="1828"/>
      <c r="EM1078" s="1828"/>
      <c r="EN1078" s="1828"/>
      <c r="EO1078" s="2208"/>
      <c r="EP1078" s="2208"/>
      <c r="EQ1078" s="2208"/>
      <c r="ER1078" s="2208"/>
      <c r="ES1078" s="2208"/>
      <c r="ET1078" s="2208"/>
      <c r="EU1078" s="2208"/>
      <c r="EV1078" s="2208"/>
      <c r="EW1078" s="2208"/>
      <c r="EX1078" s="2208"/>
    </row>
    <row r="1079" spans="1:154">
      <c r="B1079" s="334" t="s">
        <v>187</v>
      </c>
      <c r="C1079" s="1577"/>
      <c r="D1079" s="933">
        <f>+D1184+D1151+D1140</f>
      </c>
      <c r="E1079" s="933">
        <f t="shared" ref="E1079:H1080" si="2249">+E1184+E1140</f>
      </c>
      <c r="F1079" s="933">
        <f t="shared" si="2249"/>
      </c>
      <c r="G1079" s="933">
        <f t="shared" si="2249"/>
      </c>
      <c r="H1079" s="933">
        <f t="shared" si="2249"/>
      </c>
      <c r="I1079" s="933">
        <f>+I1184+I1151+I1140</f>
      </c>
      <c r="J1079" s="933">
        <f t="shared" ref="J1079:M1080" si="2250">+J1184+J1140</f>
      </c>
      <c r="K1079" s="933">
        <f t="shared" si="2250"/>
      </c>
      <c r="L1079" s="933">
        <f t="shared" si="2250"/>
      </c>
      <c r="M1079" s="933">
        <f t="shared" si="2250"/>
      </c>
      <c r="N1079" s="933">
        <f>+N1184+N1151+N1140</f>
      </c>
      <c r="O1079" s="933">
        <f t="shared" ref="O1079:R1080" si="2251">+O1184+O1140</f>
      </c>
      <c r="P1079" s="933">
        <f t="shared" si="2251"/>
      </c>
      <c r="Q1079" s="933">
        <f t="shared" si="2251"/>
      </c>
      <c r="R1079" s="933">
        <f t="shared" si="2251"/>
      </c>
      <c r="S1079" s="933">
        <f>+S1184+S1151+S1140</f>
      </c>
      <c r="T1079" s="933">
        <f t="shared" ref="T1079:W1080" si="2252">+T1184+T1140</f>
      </c>
      <c r="U1079" s="933">
        <f t="shared" si="2252"/>
      </c>
      <c r="V1079" s="933">
        <f t="shared" si="2252"/>
      </c>
      <c r="W1079" s="933">
        <f t="shared" si="2252"/>
      </c>
      <c r="X1079" s="1061">
        <f>+X1184+X1151+X1140</f>
      </c>
      <c r="Y1079" s="933">
        <f t="shared" ref="Y1079:AB1080" si="2253">+Y1184+Y1140</f>
      </c>
      <c r="Z1079" s="933">
        <f t="shared" si="2253"/>
      </c>
      <c r="AA1079" s="933">
        <f t="shared" si="2253"/>
      </c>
      <c r="AB1079" s="933">
        <f t="shared" si="2253"/>
      </c>
      <c r="AC1079" s="1061">
        <f>+AC1184+AC1151+AC1140</f>
      </c>
      <c r="AD1079" s="933">
        <f t="shared" ref="AD1079:AG1080" si="2254">+AD1184+AD1140</f>
      </c>
      <c r="AE1079" s="933">
        <f t="shared" si="2254"/>
      </c>
      <c r="AF1079" s="933">
        <f t="shared" si="2254"/>
      </c>
      <c r="AG1079" s="933">
        <f t="shared" si="2254"/>
      </c>
      <c r="AH1079" s="1061">
        <f>+AH1184+AH1151+AH1140</f>
      </c>
      <c r="AI1079" s="933">
        <f t="shared" ref="AI1079:AL1080" si="2255">+AI1184+AI1140</f>
      </c>
      <c r="AJ1079" s="933">
        <f t="shared" si="2255"/>
      </c>
      <c r="AK1079" s="933">
        <f t="shared" si="2255"/>
      </c>
      <c r="AL1079" s="933">
        <f t="shared" si="2255"/>
      </c>
      <c r="AM1079" s="1061">
        <f>+AM1184+AM1151+AM1140</f>
      </c>
      <c r="AN1079" s="933">
        <f t="shared" ref="AN1079:AW1080" si="2256">+AN1184+AN1140+AN1151+AN1162+AN1173</f>
      </c>
      <c r="AO1079" s="933">
        <f t="shared" si="2256"/>
      </c>
      <c r="AP1079" s="933">
        <f t="shared" si="2256"/>
      </c>
      <c r="AQ1079" s="933">
        <f t="shared" si="2256"/>
      </c>
      <c r="AR1079" s="1061">
        <f t="shared" si="2256"/>
      </c>
      <c r="AS1079" s="933">
        <f t="shared" si="2256"/>
      </c>
      <c r="AT1079" s="933">
        <f t="shared" si="2256"/>
      </c>
      <c r="AU1079" s="933">
        <f t="shared" si="2256"/>
      </c>
      <c r="AV1079" s="933">
        <f t="shared" si="2256"/>
      </c>
      <c r="AW1079" s="1061">
        <f t="shared" si="2256"/>
      </c>
      <c r="AX1079" s="933">
        <f t="shared" ref="AX1079:BU1080" si="2257">+AX1184+AX1151+AX1140+AX1162</f>
      </c>
      <c r="AY1079" s="933">
        <f t="shared" si="2257"/>
      </c>
      <c r="AZ1079" s="933">
        <f t="shared" si="2257"/>
      </c>
      <c r="BA1079" s="933">
        <f t="shared" si="2257"/>
      </c>
      <c r="BB1079" s="1061">
        <f t="shared" si="2257"/>
      </c>
      <c r="BC1079" s="933">
        <f t="shared" si="2257"/>
      </c>
      <c r="BD1079" s="933">
        <f t="shared" si="2257"/>
      </c>
      <c r="BE1079" s="933">
        <f t="shared" si="2257"/>
      </c>
      <c r="BF1079" s="933">
        <f t="shared" si="2257"/>
      </c>
      <c r="BG1079" s="1061">
        <f t="shared" si="2257"/>
      </c>
      <c r="BH1079" s="933">
        <f t="shared" si="2257"/>
      </c>
      <c r="BI1079" s="933">
        <f t="shared" si="2257"/>
      </c>
      <c r="BJ1079" s="933">
        <f t="shared" si="2257"/>
      </c>
      <c r="BK1079" s="933">
        <f t="shared" si="2257"/>
      </c>
      <c r="BL1079" s="1061">
        <f t="shared" si="2257"/>
      </c>
      <c r="BM1079" s="933">
        <f t="shared" si="2257"/>
      </c>
      <c r="BN1079" s="933">
        <f t="shared" si="2257"/>
      </c>
      <c r="BO1079" s="933">
        <f t="shared" si="2257"/>
      </c>
      <c r="BP1079" s="933">
        <f t="shared" si="2257"/>
      </c>
      <c r="BQ1079" s="1061">
        <f t="shared" si="2257"/>
      </c>
      <c r="BR1079" s="933">
        <f>+BR1184+BR1151+BR1140+BR1162</f>
      </c>
      <c r="BS1079" s="933">
        <f>+BS1184+BS1151+BS1140+BS1162</f>
      </c>
      <c r="BT1079" s="933">
        <f>+BT1184+BT1151+BT1140+BT1162</f>
      </c>
      <c r="BU1079" s="933">
        <f t="shared" si="2257"/>
      </c>
      <c r="BV1079" s="1061">
        <f>+BV1184+BV1151+BV1140+BV1162</f>
      </c>
      <c r="BW1079" s="933">
        <f t="shared" ref="BW1079:BY1080" si="2258">+BW1184+BW1151+BW1140+BW1162</f>
      </c>
      <c r="BX1079" s="933">
        <f t="shared" si="2258"/>
      </c>
      <c r="BY1079" s="933">
        <f t="shared" si="2258"/>
      </c>
      <c r="BZ1079" s="352">
        <v>210</v>
      </c>
      <c r="CA1079" s="1061">
        <f>SUM(BW1079:BZ1079)</f>
      </c>
      <c r="CB1079" s="352">
        <v>205</v>
      </c>
      <c r="CC1079" s="352">
        <v>214</v>
      </c>
      <c r="CD1079" s="352">
        <v>221</v>
      </c>
      <c r="CE1079" s="352">
        <v>222</v>
      </c>
      <c r="CF1079" s="1061">
        <f>SUM(CB1079:CE1079)</f>
      </c>
      <c r="CG1079" s="352">
        <v>228</v>
      </c>
      <c r="CH1079" s="352">
        <v>235</v>
      </c>
      <c r="CI1079" s="352">
        <v>239</v>
      </c>
      <c r="CJ1079" s="352">
        <v>229</v>
      </c>
      <c r="CK1079" s="1061">
        <f>SUM(CG1079:CJ1079)</f>
      </c>
      <c r="CL1079" s="352">
        <v>231</v>
      </c>
      <c r="CM1079" s="352">
        <v>235</v>
      </c>
      <c r="CN1079" s="352">
        <v>235</v>
      </c>
      <c r="CO1079" s="352">
        <v>247</v>
      </c>
      <c r="CP1079" s="1061">
        <f>+CP1184+CP1162</f>
      </c>
      <c r="CQ1079" s="3029">
        <v>279</v>
      </c>
      <c r="CR1079" s="3029">
        <v>285</v>
      </c>
      <c r="CS1079" s="3029">
        <v>279</v>
      </c>
      <c r="CT1079" s="3029">
        <v>305</v>
      </c>
      <c r="CU1079" s="3030">
        <f>SUM(CQ1079:CT1079)</f>
      </c>
      <c r="CV1079" s="3029">
        <v>304</v>
      </c>
      <c r="CW1079" s="3029">
        <v>323</v>
      </c>
      <c r="CX1079" s="3029">
        <v>320</v>
      </c>
      <c r="CY1079" s="3029">
        <v>336</v>
      </c>
      <c r="CZ1079" s="3030">
        <f>SUM(CV1079:CY1079)</f>
      </c>
      <c r="DA1079" s="3029">
        <v>343</v>
      </c>
      <c r="DB1079" s="3029">
        <v>366</v>
      </c>
      <c r="DC1079" s="577">
        <v>357</v>
      </c>
      <c r="DD1079" s="1205">
        <v>377</v>
      </c>
      <c r="DE1079" s="2060">
        <f>SUM(DA1079:DD1079)</f>
      </c>
      <c r="DF1079" s="710">
        <v>365</v>
      </c>
      <c r="DG1079" s="710">
        <v>255</v>
      </c>
      <c r="DH1079" s="710">
        <v>399</v>
      </c>
      <c r="DI1079" s="1839">
        <v>433</v>
      </c>
      <c r="DJ1079" s="2060">
        <f>SUM(DF1079:DI1079)</f>
      </c>
      <c r="DK1079" s="710">
        <v>434.4</v>
      </c>
      <c r="DL1079" s="710">
        <v>475</v>
      </c>
      <c r="DM1079" s="710">
        <v>444</v>
      </c>
      <c r="DN1079" s="710">
        <v>483</v>
      </c>
      <c r="DO1079" s="2060">
        <f>SUM(DK1079:DN1079)</f>
      </c>
      <c r="DP1079" s="1801">
        <v>494.4</v>
      </c>
      <c r="DQ1079" s="710">
        <v>525</v>
      </c>
      <c r="DR1079" s="710">
        <f>547-1</f>
      </c>
      <c r="DS1079" s="710">
        <v>603</v>
      </c>
      <c r="DT1079" s="1835">
        <f>SUM(DP1079:DS1079)</f>
      </c>
      <c r="DU1079" s="1284">
        <f t="shared" ref="DU1079:DX1080" si="2259">DU1091+DU1103+DU1127</f>
      </c>
      <c r="DV1079" s="1284">
        <f t="shared" si="2259"/>
      </c>
      <c r="DW1079" s="1284">
        <f t="shared" si="2259"/>
      </c>
      <c r="DX1079" s="1313">
        <f t="shared" si="2259"/>
      </c>
      <c r="DY1079" s="1835">
        <f>SUM(DU1079:DX1079)</f>
      </c>
      <c r="DZ1079" s="1284">
        <f>DZ1091+DZ1103+DZ1127</f>
      </c>
      <c r="EA1079" s="1284">
        <f t="shared" ref="EA1079:EA1080" si="2260">EA1091+EA1103+EA1127+EA1115</f>
      </c>
      <c r="EB1079" s="1284">
        <f t="shared" ref="EB1079" si="2261">EB1091+EB1103+EB1127+EB1115</f>
      </c>
      <c r="EC1079" s="1313">
        <f>EC1091+EC1103+EC1127+EC1115</f>
      </c>
      <c r="ED1079" s="1835">
        <f>SUM(DZ1079:EC1079)</f>
      </c>
      <c r="EE1079" s="1284">
        <f>EE1091+EE1103+EE1127+EE1115</f>
      </c>
      <c r="EF1079" s="1284">
        <f>EF1091+EF1103+EF1127+EF1115</f>
      </c>
      <c r="EG1079" s="1542">
        <f t="shared" ref="EG1079:EH1080" si="2262">EG1091+EG1103+EG1127+EG1115</f>
      </c>
      <c r="EH1079" s="2479">
        <f t="shared" si="2262"/>
      </c>
      <c r="EI1079" s="1877">
        <f t="shared" ref="EI1079:EN1080" si="2263">EI1091+EI1103+EI1127+EI1115</f>
      </c>
      <c r="EJ1079" s="1877">
        <f t="shared" si="2263"/>
      </c>
      <c r="EK1079" s="1835">
        <f t="shared" si="2263"/>
      </c>
      <c r="EL1079" s="1835">
        <f t="shared" si="2263"/>
      </c>
      <c r="EM1079" s="1835">
        <f t="shared" si="2263"/>
      </c>
      <c r="EN1079" s="1835">
        <f t="shared" si="2263"/>
      </c>
      <c r="EO1079" s="1835"/>
      <c r="EP1079" s="1835"/>
      <c r="EQ1079" s="1835"/>
      <c r="ER1079" s="1835"/>
      <c r="ES1079" s="1835"/>
      <c r="ET1079" s="1835"/>
      <c r="EU1079" s="1835"/>
      <c r="EV1079" s="1835"/>
      <c r="EW1079" s="1835"/>
      <c r="EX1079" s="1835"/>
    </row>
    <row r="1080" spans="1:154">
      <c r="B1080" s="334" t="s">
        <v>412</v>
      </c>
      <c r="C1080" s="1577"/>
      <c r="D1080" s="933">
        <f>+D1185+D1152+D1141</f>
      </c>
      <c r="E1080" s="933">
        <f t="shared" si="2249"/>
      </c>
      <c r="F1080" s="933">
        <f t="shared" si="2249"/>
      </c>
      <c r="G1080" s="933">
        <f t="shared" si="2249"/>
      </c>
      <c r="H1080" s="933">
        <f t="shared" si="2249"/>
      </c>
      <c r="I1080" s="933">
        <f>+I1185+I1152+I1141</f>
      </c>
      <c r="J1080" s="933">
        <f t="shared" si="2250"/>
      </c>
      <c r="K1080" s="933">
        <f t="shared" si="2250"/>
      </c>
      <c r="L1080" s="933">
        <f t="shared" si="2250"/>
      </c>
      <c r="M1080" s="933">
        <f t="shared" si="2250"/>
      </c>
      <c r="N1080" s="933">
        <f>+N1185+N1152+N1141</f>
      </c>
      <c r="O1080" s="933">
        <f t="shared" si="2251"/>
      </c>
      <c r="P1080" s="933">
        <f t="shared" si="2251"/>
      </c>
      <c r="Q1080" s="933">
        <f t="shared" si="2251"/>
      </c>
      <c r="R1080" s="933">
        <f t="shared" si="2251"/>
      </c>
      <c r="S1080" s="933">
        <f>+S1185+S1152+S1141</f>
      </c>
      <c r="T1080" s="933">
        <f t="shared" si="2252"/>
      </c>
      <c r="U1080" s="933">
        <f t="shared" si="2252"/>
      </c>
      <c r="V1080" s="933">
        <f t="shared" si="2252"/>
      </c>
      <c r="W1080" s="933">
        <f t="shared" si="2252"/>
      </c>
      <c r="X1080" s="1061">
        <f>+X1185+X1152+X1141</f>
      </c>
      <c r="Y1080" s="933">
        <f t="shared" si="2253"/>
      </c>
      <c r="Z1080" s="933">
        <f t="shared" si="2253"/>
      </c>
      <c r="AA1080" s="933">
        <f t="shared" si="2253"/>
      </c>
      <c r="AB1080" s="933">
        <f t="shared" si="2253"/>
      </c>
      <c r="AC1080" s="1061">
        <f>+AC1185+AC1152+AC1141</f>
      </c>
      <c r="AD1080" s="933">
        <f t="shared" si="2254"/>
      </c>
      <c r="AE1080" s="933">
        <f t="shared" si="2254"/>
      </c>
      <c r="AF1080" s="933">
        <f t="shared" si="2254"/>
      </c>
      <c r="AG1080" s="933">
        <f t="shared" si="2254"/>
      </c>
      <c r="AH1080" s="1061">
        <f>+AH1185+AH1152+AH1141</f>
      </c>
      <c r="AI1080" s="933">
        <f t="shared" si="2255"/>
      </c>
      <c r="AJ1080" s="933">
        <f t="shared" si="2255"/>
      </c>
      <c r="AK1080" s="933">
        <f t="shared" si="2255"/>
      </c>
      <c r="AL1080" s="933">
        <f t="shared" si="2255"/>
      </c>
      <c r="AM1080" s="1061">
        <f>+AM1185+AM1152+AM1141</f>
      </c>
      <c r="AN1080" s="933">
        <f t="shared" si="2256"/>
      </c>
      <c r="AO1080" s="933">
        <f t="shared" si="2256"/>
      </c>
      <c r="AP1080" s="933">
        <f t="shared" si="2256"/>
      </c>
      <c r="AQ1080" s="933">
        <f t="shared" si="2256"/>
      </c>
      <c r="AR1080" s="1061">
        <f t="shared" si="2256"/>
      </c>
      <c r="AS1080" s="933">
        <f t="shared" si="2256"/>
      </c>
      <c r="AT1080" s="933">
        <f t="shared" si="2256"/>
      </c>
      <c r="AU1080" s="933">
        <f t="shared" si="2256"/>
      </c>
      <c r="AV1080" s="933">
        <f t="shared" si="2256"/>
      </c>
      <c r="AW1080" s="1061">
        <f t="shared" si="2256"/>
      </c>
      <c r="AX1080" s="933">
        <f t="shared" si="2257"/>
      </c>
      <c r="AY1080" s="933">
        <f t="shared" si="2257"/>
      </c>
      <c r="AZ1080" s="933">
        <f t="shared" si="2257"/>
      </c>
      <c r="BA1080" s="933">
        <f t="shared" si="2257"/>
      </c>
      <c r="BB1080" s="1061">
        <f t="shared" si="2257"/>
      </c>
      <c r="BC1080" s="933">
        <f t="shared" si="2257"/>
      </c>
      <c r="BD1080" s="933">
        <f t="shared" si="2257"/>
      </c>
      <c r="BE1080" s="933">
        <f t="shared" si="2257"/>
      </c>
      <c r="BF1080" s="933">
        <f t="shared" si="2257"/>
      </c>
      <c r="BG1080" s="1061">
        <f t="shared" si="2257"/>
      </c>
      <c r="BH1080" s="933">
        <f t="shared" si="2257"/>
      </c>
      <c r="BI1080" s="933">
        <f t="shared" si="2257"/>
      </c>
      <c r="BJ1080" s="933">
        <f t="shared" si="2257"/>
      </c>
      <c r="BK1080" s="933">
        <f t="shared" si="2257"/>
      </c>
      <c r="BL1080" s="1061">
        <f t="shared" si="2257"/>
      </c>
      <c r="BM1080" s="933">
        <f t="shared" si="2257"/>
      </c>
      <c r="BN1080" s="933">
        <f t="shared" si="2257"/>
      </c>
      <c r="BO1080" s="933">
        <f t="shared" si="2257"/>
      </c>
      <c r="BP1080" s="933">
        <f t="shared" si="2257"/>
      </c>
      <c r="BQ1080" s="1061">
        <f t="shared" si="2257"/>
      </c>
      <c r="BR1080" s="933">
        <f>+BR1185+BR1152+BR1141+BR1163</f>
      </c>
      <c r="BS1080" s="933">
        <f>+BS1185+BS1152+BS1141+BS1163</f>
      </c>
      <c r="BT1080" s="933">
        <f t="shared" si="2257"/>
      </c>
      <c r="BU1080" s="933">
        <f>+BU1185+BU1152+BU1141+BU1163</f>
      </c>
      <c r="BV1080" s="1061">
        <f>+BV1185+BV1152+BV1141+BV1163</f>
      </c>
      <c r="BW1080" s="933">
        <f t="shared" si="2258"/>
      </c>
      <c r="BX1080" s="933">
        <f>+BX1185+BX1152+BX1141+BX1163</f>
      </c>
      <c r="BY1080" s="933">
        <f t="shared" si="2258"/>
      </c>
      <c r="BZ1080" s="352">
        <v>324</v>
      </c>
      <c r="CA1080" s="1061">
        <f>SUM(BW1080:BZ1080)</f>
      </c>
      <c r="CB1080" s="352">
        <v>336</v>
      </c>
      <c r="CC1080" s="352">
        <v>353</v>
      </c>
      <c r="CD1080" s="352">
        <v>321</v>
      </c>
      <c r="CE1080" s="352">
        <v>336</v>
      </c>
      <c r="CF1080" s="1061">
        <f>SUM(CB1080:CE1080)</f>
      </c>
      <c r="CG1080" s="352">
        <v>301</v>
      </c>
      <c r="CH1080" s="352">
        <v>309</v>
      </c>
      <c r="CI1080" s="352">
        <v>285</v>
      </c>
      <c r="CJ1080" s="352">
        <v>210</v>
      </c>
      <c r="CK1080" s="1061">
        <f>SUM(CG1080:CJ1080)</f>
      </c>
      <c r="CL1080" s="352">
        <v>212</v>
      </c>
      <c r="CM1080" s="352">
        <v>235</v>
      </c>
      <c r="CN1080" s="352">
        <v>216</v>
      </c>
      <c r="CO1080" s="352">
        <v>238</v>
      </c>
      <c r="CP1080" s="1061">
        <f>+CP1185+CP1163</f>
      </c>
      <c r="CQ1080" s="352">
        <v>270</v>
      </c>
      <c r="CR1080" s="352">
        <v>288</v>
      </c>
      <c r="CS1080" s="352">
        <v>274</v>
      </c>
      <c r="CT1080" s="352">
        <v>316</v>
      </c>
      <c r="CU1080" s="1061">
        <f>SUM(CQ1080:CT1080)</f>
      </c>
      <c r="CV1080" s="352">
        <v>336</v>
      </c>
      <c r="CW1080" s="352">
        <v>344</v>
      </c>
      <c r="CX1080" s="352">
        <v>333</v>
      </c>
      <c r="CY1080" s="352">
        <v>350</v>
      </c>
      <c r="CZ1080" s="1061">
        <f>SUM(CV1080:CY1080)</f>
      </c>
      <c r="DA1080" s="352">
        <v>389</v>
      </c>
      <c r="DB1080" s="352">
        <v>385</v>
      </c>
      <c r="DC1080" s="577">
        <v>382</v>
      </c>
      <c r="DD1080" s="1205">
        <v>398</v>
      </c>
      <c r="DE1080" s="2060">
        <f>SUM(DA1080:DD1080)</f>
      </c>
      <c r="DF1080" s="710">
        <v>362</v>
      </c>
      <c r="DG1080" s="710">
        <v>335.4</v>
      </c>
      <c r="DH1080" s="710">
        <v>437</v>
      </c>
      <c r="DI1080" s="1839">
        <v>460</v>
      </c>
      <c r="DJ1080" s="2060">
        <f>SUM(DF1080:DI1080)</f>
      </c>
      <c r="DK1080" s="710">
        <v>514.4</v>
      </c>
      <c r="DL1080" s="710">
        <v>572</v>
      </c>
      <c r="DM1080" s="710">
        <v>513</v>
      </c>
      <c r="DN1080" s="710">
        <v>536</v>
      </c>
      <c r="DO1080" s="2060">
        <f>SUM(DK1080:DN1080)</f>
      </c>
      <c r="DP1080" s="1801">
        <v>597.4</v>
      </c>
      <c r="DQ1080" s="710">
        <v>525</v>
      </c>
      <c r="DR1080" s="710">
        <v>513</v>
      </c>
      <c r="DS1080" s="710">
        <f>495</f>
      </c>
      <c r="DT1080" s="1835">
        <f>SUM(DP1080:DS1080)</f>
      </c>
      <c r="DU1080" s="1284">
        <f t="shared" si="2259"/>
      </c>
      <c r="DV1080" s="1284">
        <f t="shared" si="2259"/>
      </c>
      <c r="DW1080" s="1284">
        <f t="shared" si="2259"/>
      </c>
      <c r="DX1080" s="1313">
        <f t="shared" si="2259"/>
      </c>
      <c r="DY1080" s="1835">
        <f>SUM(DU1080:DX1080)</f>
      </c>
      <c r="DZ1080" s="1284">
        <f>DZ1092+DZ1104+DZ1128</f>
      </c>
      <c r="EA1080" s="1284">
        <f t="shared" si="2260"/>
      </c>
      <c r="EB1080" s="1284">
        <f t="shared" ref="EB1080" si="2264">EB1092+EB1104+EB1128+EB1116</f>
      </c>
      <c r="EC1080" s="1313">
        <f>EC1092+EC1104+EC1128+EC1116</f>
      </c>
      <c r="ED1080" s="1835">
        <f>SUM(DZ1080:EC1080)</f>
      </c>
      <c r="EE1080" s="1284">
        <f>EE1092+EE1104+EE1128+EE1116</f>
      </c>
      <c r="EF1080" s="1284">
        <f>EF1092+EF1104+EF1128+EF1116</f>
      </c>
      <c r="EG1080" s="1542">
        <f t="shared" si="2262"/>
      </c>
      <c r="EH1080" s="1284">
        <f t="shared" si="2262"/>
      </c>
      <c r="EI1080" s="1877">
        <f t="shared" si="2263"/>
      </c>
      <c r="EJ1080" s="1877">
        <f t="shared" si="2263"/>
      </c>
      <c r="EK1080" s="1835">
        <f t="shared" si="2263"/>
      </c>
      <c r="EL1080" s="1835">
        <f t="shared" si="2263"/>
      </c>
      <c r="EM1080" s="1835">
        <f t="shared" si="2263"/>
      </c>
      <c r="EN1080" s="1835">
        <f t="shared" si="2263"/>
      </c>
      <c r="EO1080" s="1835"/>
      <c r="EP1080" s="1835"/>
      <c r="EQ1080" s="1835"/>
      <c r="ER1080" s="1835"/>
      <c r="ES1080" s="1835"/>
      <c r="ET1080" s="1835"/>
      <c r="EU1080" s="1835"/>
      <c r="EV1080" s="1835"/>
      <c r="EW1080" s="1835"/>
      <c r="EX1080" s="1835"/>
    </row>
    <row r="1081" spans="1:154">
      <c r="A1081" s="3275" t="s">
        <v>757</v>
      </c>
      <c r="B1081" s="334" t="s">
        <v>413</v>
      </c>
      <c r="C1081" s="1577"/>
      <c r="D1081" s="933">
        <f t="shared" ref="D1081:AI1081" si="2265">SUM(D1079:D1080)</f>
      </c>
      <c r="E1081" s="933">
        <f t="shared" si="2265"/>
      </c>
      <c r="F1081" s="933">
        <f t="shared" si="2265"/>
      </c>
      <c r="G1081" s="933">
        <f t="shared" si="2265"/>
      </c>
      <c r="H1081" s="933">
        <f t="shared" si="2265"/>
      </c>
      <c r="I1081" s="933">
        <f t="shared" si="2265"/>
      </c>
      <c r="J1081" s="933">
        <f t="shared" si="2265"/>
      </c>
      <c r="K1081" s="933">
        <f t="shared" si="2265"/>
      </c>
      <c r="L1081" s="933">
        <f t="shared" si="2265"/>
      </c>
      <c r="M1081" s="933">
        <f t="shared" si="2265"/>
      </c>
      <c r="N1081" s="933">
        <f t="shared" si="2265"/>
      </c>
      <c r="O1081" s="933">
        <f t="shared" si="2265"/>
      </c>
      <c r="P1081" s="933">
        <f t="shared" si="2265"/>
      </c>
      <c r="Q1081" s="933">
        <f t="shared" si="2265"/>
      </c>
      <c r="R1081" s="933">
        <f t="shared" si="2265"/>
      </c>
      <c r="S1081" s="933">
        <f t="shared" si="2265"/>
      </c>
      <c r="T1081" s="933">
        <f t="shared" si="2265"/>
      </c>
      <c r="U1081" s="933">
        <f t="shared" si="2265"/>
      </c>
      <c r="V1081" s="933">
        <f t="shared" si="2265"/>
      </c>
      <c r="W1081" s="933">
        <f t="shared" si="2265"/>
      </c>
      <c r="X1081" s="1061">
        <f t="shared" si="2265"/>
      </c>
      <c r="Y1081" s="933">
        <f t="shared" si="2265"/>
      </c>
      <c r="Z1081" s="933">
        <f t="shared" si="2265"/>
      </c>
      <c r="AA1081" s="933">
        <f t="shared" si="2265"/>
      </c>
      <c r="AB1081" s="933">
        <f t="shared" si="2265"/>
      </c>
      <c r="AC1081" s="1061">
        <f t="shared" si="2265"/>
      </c>
      <c r="AD1081" s="933">
        <f t="shared" si="2265"/>
      </c>
      <c r="AE1081" s="933">
        <f t="shared" si="2265"/>
      </c>
      <c r="AF1081" s="933">
        <f t="shared" si="2265"/>
      </c>
      <c r="AG1081" s="933">
        <f t="shared" si="2265"/>
      </c>
      <c r="AH1081" s="1061">
        <f t="shared" si="2265"/>
      </c>
      <c r="AI1081" s="933">
        <f t="shared" si="2265"/>
      </c>
      <c r="AJ1081" s="933">
        <f t="shared" ref="AJ1081:BY1081" si="2266">SUM(AJ1079:AJ1080)</f>
      </c>
      <c r="AK1081" s="933">
        <f t="shared" si="2266"/>
      </c>
      <c r="AL1081" s="933">
        <f t="shared" si="2266"/>
      </c>
      <c r="AM1081" s="1061">
        <f t="shared" si="2266"/>
      </c>
      <c r="AN1081" s="933">
        <f t="shared" si="2266"/>
      </c>
      <c r="AO1081" s="933">
        <f t="shared" si="2266"/>
      </c>
      <c r="AP1081" s="933">
        <f t="shared" si="2266"/>
      </c>
      <c r="AQ1081" s="933">
        <f t="shared" si="2266"/>
      </c>
      <c r="AR1081" s="1061">
        <f t="shared" si="2266"/>
      </c>
      <c r="AS1081" s="933">
        <f t="shared" si="2266"/>
      </c>
      <c r="AT1081" s="933">
        <f t="shared" si="2266"/>
      </c>
      <c r="AU1081" s="933">
        <f t="shared" si="2266"/>
      </c>
      <c r="AV1081" s="933">
        <f t="shared" si="2266"/>
      </c>
      <c r="AW1081" s="1061">
        <f t="shared" si="2266"/>
      </c>
      <c r="AX1081" s="933">
        <f t="shared" si="2266"/>
      </c>
      <c r="AY1081" s="933">
        <f t="shared" si="2266"/>
      </c>
      <c r="AZ1081" s="933">
        <f t="shared" si="2266"/>
      </c>
      <c r="BA1081" s="933">
        <f t="shared" si="2266"/>
      </c>
      <c r="BB1081" s="1061">
        <f t="shared" si="2266"/>
      </c>
      <c r="BC1081" s="933">
        <f t="shared" si="2266"/>
      </c>
      <c r="BD1081" s="933">
        <f t="shared" si="2266"/>
      </c>
      <c r="BE1081" s="933">
        <f t="shared" si="2266"/>
      </c>
      <c r="BF1081" s="933">
        <f t="shared" si="2266"/>
      </c>
      <c r="BG1081" s="1061">
        <f t="shared" si="2266"/>
      </c>
      <c r="BH1081" s="933">
        <f>SUM(BH1079:BH1080)</f>
      </c>
      <c r="BI1081" s="933">
        <f>SUM(BI1079:BI1080)</f>
      </c>
      <c r="BJ1081" s="933">
        <f>SUM(BJ1079:BJ1080)</f>
      </c>
      <c r="BK1081" s="933">
        <f>SUM(BK1079:BK1080)</f>
      </c>
      <c r="BL1081" s="1061">
        <f t="shared" si="2266"/>
      </c>
      <c r="BM1081" s="933">
        <f t="shared" si="2266"/>
      </c>
      <c r="BN1081" s="933">
        <f t="shared" si="2266"/>
      </c>
      <c r="BO1081" s="933">
        <f t="shared" si="2266"/>
      </c>
      <c r="BP1081" s="933">
        <f>SUM(BP1079:BP1080)</f>
      </c>
      <c r="BQ1081" s="1061">
        <f t="shared" si="2266"/>
      </c>
      <c r="BR1081" s="933">
        <f t="shared" si="2266"/>
      </c>
      <c r="BS1081" s="933">
        <f t="shared" si="2266"/>
      </c>
      <c r="BT1081" s="933">
        <f t="shared" si="2266"/>
      </c>
      <c r="BU1081" s="933">
        <f t="shared" si="2266"/>
      </c>
      <c r="BV1081" s="1061">
        <f t="shared" si="2266"/>
      </c>
      <c r="BW1081" s="933">
        <f t="shared" si="2266"/>
      </c>
      <c r="BX1081" s="933">
        <f t="shared" si="2266"/>
      </c>
      <c r="BY1081" s="933">
        <f t="shared" si="2266"/>
      </c>
      <c r="BZ1081" s="933">
        <f>SUM(BZ1079:BZ1080)</f>
      </c>
      <c r="CA1081" s="1061">
        <f>SUM(BW1081:BZ1081)</f>
      </c>
      <c r="CB1081" s="933">
        <f>SUM(CB1079:CB1080)</f>
      </c>
      <c r="CC1081" s="933">
        <f>SUM(CC1079:CC1080)</f>
      </c>
      <c r="CD1081" s="933">
        <f>SUM(CD1079:CD1080)</f>
      </c>
      <c r="CE1081" s="933">
        <f>SUM(CE1079:CE1080)</f>
      </c>
      <c r="CF1081" s="1061">
        <f>SUM(CB1081:CE1081)</f>
      </c>
      <c r="CG1081" s="933">
        <f>SUM(CG1079:CG1080)</f>
      </c>
      <c r="CH1081" s="933">
        <f>SUM(CH1079:CH1080)</f>
      </c>
      <c r="CI1081" s="933">
        <f>SUM(CI1079:CI1080)</f>
      </c>
      <c r="CJ1081" s="933">
        <f>SUM(CJ1079:CJ1080)</f>
      </c>
      <c r="CK1081" s="1061">
        <f>SUM(CG1081:CJ1081)</f>
      </c>
      <c r="CL1081" s="933">
        <f t="shared" ref="CL1081:DC1081" si="2267">SUM(CL1079:CL1080)</f>
      </c>
      <c r="CM1081" s="933">
        <f t="shared" si="2267"/>
      </c>
      <c r="CN1081" s="933">
        <f t="shared" si="2267"/>
      </c>
      <c r="CO1081" s="933">
        <f t="shared" si="2267"/>
      </c>
      <c r="CP1081" s="1061">
        <f t="shared" si="2267"/>
      </c>
      <c r="CQ1081" s="933">
        <f t="shared" si="2267"/>
      </c>
      <c r="CR1081" s="933">
        <f t="shared" si="2267"/>
      </c>
      <c r="CS1081" s="933">
        <f t="shared" si="2267"/>
      </c>
      <c r="CT1081" s="933">
        <f>SUM(CT1079:CT1080)</f>
      </c>
      <c r="CU1081" s="1061">
        <f t="shared" si="2267"/>
      </c>
      <c r="CV1081" s="933">
        <f t="shared" si="2267"/>
      </c>
      <c r="CW1081" s="933">
        <f t="shared" si="2267"/>
      </c>
      <c r="CX1081" s="933">
        <f t="shared" si="2267"/>
      </c>
      <c r="CY1081" s="933">
        <f t="shared" si="2267"/>
      </c>
      <c r="CZ1081" s="1061">
        <f t="shared" si="2267"/>
      </c>
      <c r="DA1081" s="933">
        <f t="shared" si="2267"/>
      </c>
      <c r="DB1081" s="933">
        <f t="shared" si="2267"/>
      </c>
      <c r="DC1081" s="36">
        <f t="shared" si="2267"/>
      </c>
      <c r="DD1081" s="984">
        <f>+DD1079+DD1080</f>
      </c>
      <c r="DE1081" s="2060">
        <f>SUM(DA1081:DD1081)</f>
      </c>
      <c r="DF1081" s="1542">
        <f>SUM(DF1079:DF1080)</f>
      </c>
      <c r="DG1081" s="1542">
        <f>SUM(DG1079:DG1080)</f>
      </c>
      <c r="DH1081" s="1542">
        <f>SUM(DH1079:DH1080)</f>
      </c>
      <c r="DI1081" s="1556">
        <f>+DI1079+DI1080</f>
      </c>
      <c r="DJ1081" s="2060">
        <f>SUM(DF1081:DI1081)</f>
      </c>
      <c r="DK1081" s="1542">
        <f>SUM(DK1079:DK1080)</f>
      </c>
      <c r="DL1081" s="1542">
        <f>SUM(DL1079:DL1080)</f>
      </c>
      <c r="DM1081" s="1542">
        <f>SUM(DM1079:DM1080)</f>
      </c>
      <c r="DN1081" s="1542">
        <f>SUM(DN1079:DN1080)</f>
      </c>
      <c r="DO1081" s="2060">
        <f>SUM(DK1081:DN1081)</f>
      </c>
      <c r="DP1081" s="1542">
        <f t="shared" ref="DP1081:EL1081" si="2268">SUM(DP1079:DP1080)</f>
      </c>
      <c r="DQ1081" s="1542">
        <f>SUM(DQ1079:DQ1080)</f>
      </c>
      <c r="DR1081" s="1542">
        <f>SUM(DR1079:DR1080)</f>
      </c>
      <c r="DS1081" s="1284">
        <f>SUM(DS1079:DS1080)</f>
      </c>
      <c r="DT1081" s="1835">
        <f t="shared" si="2268"/>
      </c>
      <c r="DU1081" s="1284">
        <f>SUM(DU1079:DU1080)</f>
      </c>
      <c r="DV1081" s="1284">
        <f>SUM(DV1079:DV1080)</f>
      </c>
      <c r="DW1081" s="1284">
        <f>SUM(DW1079:DW1080)</f>
      </c>
      <c r="DX1081" s="1313">
        <f>SUM(DX1079:DX1080)</f>
      </c>
      <c r="DY1081" s="1835">
        <f>SUM(DY1079:DY1080)</f>
      </c>
      <c r="DZ1081" s="1284">
        <f t="shared" si="2268"/>
      </c>
      <c r="EA1081" s="1284">
        <f t="shared" si="2268"/>
      </c>
      <c r="EB1081" s="1284">
        <f t="shared" ref="EB1081" si="2269">SUM(EB1079:EB1080)</f>
      </c>
      <c r="EC1081" s="1313">
        <f>SUM(EC1079:EC1080)</f>
      </c>
      <c r="ED1081" s="1835">
        <f>SUM(ED1079:ED1080)</f>
      </c>
      <c r="EE1081" s="1284">
        <f>SUM(EE1079:EE1080)</f>
      </c>
      <c r="EF1081" s="1284">
        <f>SUM(EF1079:EF1080)</f>
      </c>
      <c r="EG1081" s="1542">
        <f t="shared" ref="EG1081:EH1081" si="2270">SUM(EG1079:EG1080)</f>
      </c>
      <c r="EH1081" s="1284">
        <f t="shared" si="2270"/>
      </c>
      <c r="EI1081" s="1877">
        <f t="shared" si="2268"/>
      </c>
      <c r="EJ1081" s="1877">
        <f t="shared" si="2268"/>
      </c>
      <c r="EK1081" s="1835">
        <f t="shared" si="2268"/>
      </c>
      <c r="EL1081" s="1835">
        <f t="shared" si="2268"/>
      </c>
      <c r="EM1081" s="1835">
        <f>SUM(EM1079:EM1080)</f>
      </c>
      <c r="EN1081" s="1835">
        <f>SUM(EN1079:EN1080)</f>
      </c>
      <c r="EO1081" s="2064"/>
      <c r="EP1081" s="2064"/>
      <c r="EQ1081" s="2064"/>
      <c r="ER1081" s="2064"/>
      <c r="ES1081" s="2064"/>
      <c r="ET1081" s="2064"/>
      <c r="EU1081" s="2064"/>
      <c r="EV1081" s="2064"/>
      <c r="EW1081" s="2064"/>
      <c r="EX1081" s="2064"/>
    </row>
    <row r="1082" spans="1:154">
      <c r="B1082" s="342"/>
      <c r="C1082" s="1577"/>
      <c r="D1082" s="933"/>
      <c r="E1082" s="933"/>
      <c r="F1082" s="933"/>
      <c r="G1082" s="933"/>
      <c r="H1082" s="933"/>
      <c r="I1082" s="933"/>
      <c r="J1082" s="933"/>
      <c r="K1082" s="933"/>
      <c r="L1082" s="933"/>
      <c r="M1082" s="933"/>
      <c r="N1082" s="933"/>
      <c r="O1082" s="933"/>
      <c r="P1082" s="933"/>
      <c r="Q1082" s="933"/>
      <c r="R1082" s="933"/>
      <c r="S1082" s="933"/>
      <c r="T1082" s="933"/>
      <c r="U1082" s="933"/>
      <c r="V1082" s="933"/>
      <c r="W1082" s="933"/>
      <c r="X1082" s="1061"/>
      <c r="Y1082" s="933"/>
      <c r="Z1082" s="933"/>
      <c r="AA1082" s="933"/>
      <c r="AB1082" s="933"/>
      <c r="AC1082" s="1061"/>
      <c r="AD1082" s="933"/>
      <c r="AE1082" s="933"/>
      <c r="AF1082" s="933"/>
      <c r="AG1082" s="933"/>
      <c r="AH1082" s="1061"/>
      <c r="AI1082" s="933"/>
      <c r="AJ1082" s="933"/>
      <c r="AK1082" s="933"/>
      <c r="AL1082" s="933"/>
      <c r="AM1082" s="1061"/>
      <c r="AN1082" s="933"/>
      <c r="AO1082" s="933"/>
      <c r="AP1082" s="933"/>
      <c r="AQ1082" s="933"/>
      <c r="AR1082" s="1061"/>
      <c r="AS1082" s="933"/>
      <c r="AT1082" s="933"/>
      <c r="AU1082" s="933"/>
      <c r="AV1082" s="933"/>
      <c r="AW1082" s="1061"/>
      <c r="AX1082" s="40"/>
      <c r="AY1082" s="40"/>
      <c r="AZ1082" s="40"/>
      <c r="BA1082" s="40"/>
      <c r="BB1082" s="1061"/>
      <c r="BC1082" s="933"/>
      <c r="BD1082" s="933"/>
      <c r="BE1082" s="933"/>
      <c r="BF1082" s="933"/>
      <c r="BG1082" s="322"/>
      <c r="BH1082" s="277"/>
      <c r="BI1082" s="277"/>
      <c r="BJ1082" s="933"/>
      <c r="BK1082" s="933"/>
      <c r="BL1082" s="1061"/>
      <c r="BM1082" s="933"/>
      <c r="BN1082" s="933"/>
      <c r="BO1082" s="933"/>
      <c r="BP1082" s="933"/>
      <c r="BQ1082" s="1061"/>
      <c r="BR1082" s="933"/>
      <c r="BS1082" s="933"/>
      <c r="BT1082" s="933"/>
      <c r="BU1082" s="933"/>
      <c r="BV1082" s="1061"/>
      <c r="BW1082" s="933"/>
      <c r="BX1082" s="933"/>
      <c r="BY1082" s="933"/>
      <c r="BZ1082" s="933"/>
      <c r="CA1082" s="1061"/>
      <c r="CB1082" s="933"/>
      <c r="CC1082" s="933"/>
      <c r="CD1082" s="933"/>
      <c r="CE1082" s="933"/>
      <c r="CF1082" s="1061"/>
      <c r="CG1082" s="933"/>
      <c r="CH1082" s="933"/>
      <c r="CI1082" s="933"/>
      <c r="CJ1082" s="933"/>
      <c r="CK1082" s="1061"/>
      <c r="CL1082" s="933"/>
      <c r="CM1082" s="933"/>
      <c r="CN1082" s="933"/>
      <c r="CO1082" s="933"/>
      <c r="CP1082" s="1061"/>
      <c r="CQ1082" s="933"/>
      <c r="CR1082" s="933"/>
      <c r="CS1082" s="933"/>
      <c r="CT1082" s="933"/>
      <c r="CU1082" s="1061"/>
      <c r="CV1082" s="933"/>
      <c r="CW1082" s="933"/>
      <c r="CX1082" s="933"/>
      <c r="CY1082" s="933"/>
      <c r="CZ1082" s="1061"/>
      <c r="DA1082" s="933"/>
      <c r="DB1082" s="31"/>
      <c r="DC1082" s="31"/>
      <c r="DD1082" s="955"/>
      <c r="DE1082" s="1866"/>
      <c r="DF1082" s="982"/>
      <c r="DG1082" s="2265"/>
      <c r="DH1082" s="2265"/>
      <c r="DI1082" s="2265"/>
      <c r="DJ1082" s="1866"/>
      <c r="DK1082" s="982"/>
      <c r="DL1082" s="1915"/>
      <c r="DM1082" s="2265"/>
      <c r="DN1082" s="1915"/>
      <c r="DO1082" s="1866"/>
      <c r="DP1082" s="1915"/>
      <c r="DQ1082" s="1915"/>
      <c r="DR1082" s="1915"/>
      <c r="DS1082" s="1221"/>
      <c r="DT1082" s="477"/>
      <c r="DU1082" s="925"/>
      <c r="DV1082" s="1703"/>
      <c r="DW1082" s="1703"/>
      <c r="DX1082" s="1946"/>
      <c r="DY1082" s="477"/>
      <c r="DZ1082" s="1915"/>
      <c r="EA1082" s="1915"/>
      <c r="EB1082" s="1915"/>
      <c r="EC1082" s="3613"/>
      <c r="ED1082" s="477"/>
      <c r="EE1082" s="1915"/>
      <c r="EF1082" s="1915"/>
      <c r="EG1082" s="3449"/>
      <c r="EH1082" s="982"/>
      <c r="EI1082" s="3482"/>
      <c r="EJ1082" s="1799"/>
      <c r="EK1082" s="477"/>
      <c r="EL1082" s="477"/>
      <c r="EM1082" s="477"/>
      <c r="EN1082" s="477"/>
      <c r="EO1082" s="477"/>
      <c r="EP1082" s="477"/>
      <c r="EQ1082" s="477"/>
      <c r="ER1082" s="477"/>
      <c r="ES1082" s="477"/>
      <c r="ET1082" s="477"/>
      <c r="EU1082" s="477"/>
      <c r="EV1082" s="477"/>
      <c r="EW1082" s="477"/>
      <c r="EX1082" s="477"/>
    </row>
    <row r="1083" spans="1:154">
      <c r="B1083" s="453" t="s">
        <v>980</v>
      </c>
      <c r="C1083" s="1577" t="s">
        <v>185</v>
      </c>
      <c r="D1083" s="933"/>
      <c r="E1083" s="933"/>
      <c r="F1083" s="933"/>
      <c r="G1083" s="933"/>
      <c r="H1083" s="933"/>
      <c r="I1083" s="933"/>
      <c r="J1083" s="933"/>
      <c r="K1083" s="933"/>
      <c r="L1083" s="933"/>
      <c r="M1083" s="933"/>
      <c r="N1083" s="933"/>
      <c r="O1083" s="933"/>
      <c r="P1083" s="933"/>
      <c r="Q1083" s="933"/>
      <c r="R1083" s="933"/>
      <c r="S1083" s="933"/>
      <c r="T1083" s="933"/>
      <c r="U1083" s="933"/>
      <c r="V1083" s="933"/>
      <c r="W1083" s="933"/>
      <c r="X1083" s="1061"/>
      <c r="Y1083" s="933"/>
      <c r="Z1083" s="933"/>
      <c r="AA1083" s="933"/>
      <c r="AB1083" s="933"/>
      <c r="AC1083" s="1061"/>
      <c r="AD1083" s="933"/>
      <c r="AE1083" s="933"/>
      <c r="AF1083" s="933"/>
      <c r="AG1083" s="933"/>
      <c r="AH1083" s="1061"/>
      <c r="AI1083" s="933"/>
      <c r="AJ1083" s="933"/>
      <c r="AK1083" s="933"/>
      <c r="AL1083" s="933"/>
      <c r="AM1083" s="1061"/>
      <c r="AN1083" s="933"/>
      <c r="AO1083" s="933"/>
      <c r="AP1083" s="933"/>
      <c r="AQ1083" s="933"/>
      <c r="AR1083" s="1061"/>
      <c r="AS1083" s="933"/>
      <c r="AT1083" s="933"/>
      <c r="AU1083" s="933"/>
      <c r="AV1083" s="933"/>
      <c r="AW1083" s="1061"/>
      <c r="AX1083" s="40"/>
      <c r="AY1083" s="40"/>
      <c r="AZ1083" s="40"/>
      <c r="BA1083" s="40"/>
      <c r="BB1083" s="1061"/>
      <c r="BC1083" s="933"/>
      <c r="BD1083" s="933"/>
      <c r="BE1083" s="933"/>
      <c r="BF1083" s="933"/>
      <c r="BG1083" s="1061"/>
      <c r="BH1083" s="277"/>
      <c r="BI1083" s="277"/>
      <c r="BJ1083" s="933"/>
      <c r="BK1083" s="933"/>
      <c r="BL1083" s="1061"/>
      <c r="BM1083" s="933"/>
      <c r="BN1083" s="933"/>
      <c r="BO1083" s="933"/>
      <c r="BP1083" s="933"/>
      <c r="BQ1083" s="1061"/>
      <c r="BR1083" s="933"/>
      <c r="BS1083" s="933"/>
      <c r="BT1083" s="933"/>
      <c r="BU1083" s="933"/>
      <c r="BV1083" s="1061"/>
      <c r="BW1083" s="933"/>
      <c r="BX1083" s="933"/>
      <c r="BY1083" s="933"/>
      <c r="BZ1083" s="933"/>
      <c r="CA1083" s="1061"/>
      <c r="CB1083" s="933"/>
      <c r="CC1083" s="933"/>
      <c r="CD1083" s="933"/>
      <c r="CE1083" s="933"/>
      <c r="CF1083" s="1061"/>
      <c r="CG1083" s="933"/>
      <c r="CH1083" s="933"/>
      <c r="CI1083" s="933"/>
      <c r="CJ1083" s="933"/>
      <c r="CK1083" s="1061"/>
      <c r="CL1083" s="933"/>
      <c r="CM1083" s="933"/>
      <c r="CN1083" s="933"/>
      <c r="CO1083" s="933"/>
      <c r="CP1083" s="1061"/>
      <c r="CQ1083" s="933"/>
      <c r="CR1083" s="933"/>
      <c r="CS1083" s="933"/>
      <c r="CT1083" s="933"/>
      <c r="CU1083" s="1061"/>
      <c r="CV1083" s="933"/>
      <c r="CW1083" s="933"/>
      <c r="CX1083" s="933"/>
      <c r="CY1083" s="933"/>
      <c r="CZ1083" s="1061"/>
      <c r="DA1083" s="933"/>
      <c r="DB1083" s="31"/>
      <c r="DC1083" s="31"/>
      <c r="DD1083" s="955"/>
      <c r="DE1083" s="1866"/>
      <c r="DF1083" s="982"/>
      <c r="DG1083" s="2265"/>
      <c r="DH1083" s="2265"/>
      <c r="DI1083" s="2265"/>
      <c r="DJ1083" s="1866"/>
      <c r="DK1083" s="982"/>
      <c r="DL1083" s="1915"/>
      <c r="DM1083" s="2265"/>
      <c r="DN1083" s="1915"/>
      <c r="DO1083" s="1866"/>
      <c r="DP1083" s="1915"/>
      <c r="DQ1083" s="1915"/>
      <c r="DR1083" s="1915"/>
      <c r="DS1083" s="982"/>
      <c r="DT1083" s="477"/>
      <c r="DU1083" s="1221"/>
      <c r="DV1083" s="1221"/>
      <c r="DW1083" s="1915"/>
      <c r="DX1083" s="1946"/>
      <c r="DY1083" s="477"/>
      <c r="DZ1083" s="1915"/>
      <c r="EA1083" s="1915"/>
      <c r="EB1083" s="1915"/>
      <c r="EC1083" s="3613"/>
      <c r="ED1083" s="1811"/>
      <c r="EE1083" s="1915"/>
      <c r="EF1083" s="1915"/>
      <c r="EG1083" s="3449"/>
      <c r="EH1083" s="982"/>
      <c r="EI1083" s="3482"/>
      <c r="EJ1083" s="477"/>
      <c r="EK1083" s="1798"/>
      <c r="EL1083" s="1798"/>
      <c r="EM1083" s="1798"/>
      <c r="EN1083" s="1798"/>
      <c r="EO1083" s="477"/>
      <c r="EP1083" s="477"/>
      <c r="EQ1083" s="477"/>
      <c r="ER1083" s="477"/>
      <c r="ES1083" s="477"/>
      <c r="ET1083" s="477"/>
      <c r="EU1083" s="477"/>
      <c r="EV1083" s="477"/>
      <c r="EW1083" s="477"/>
      <c r="EX1083" s="477"/>
    </row>
    <row r="1084" spans="1:154">
      <c r="B1084" s="454" t="s">
        <v>187</v>
      </c>
      <c r="C1084" s="1577"/>
      <c r="D1084" s="933"/>
      <c r="E1084" s="933"/>
      <c r="F1084" s="933"/>
      <c r="G1084" s="933"/>
      <c r="H1084" s="933"/>
      <c r="I1084" s="926">
        <f t="shared" ref="I1084:BT1085" si="2271">IF(D1079="NM","NM",IF(I1079="NM","NM",IF(D1079&lt;=0,"NM",IF(I1079=0,"NM",IF(ABS(I1079/D1079-1)&gt;2.5,"NM",IF((ABS(I1079-D1079)=ABS(ABS(I1079)-ABS(D1079))),(I1079/D1079-1),"NM"))))))</f>
      </c>
      <c r="J1084" s="926">
        <f t="shared" si="2271"/>
      </c>
      <c r="K1084" s="926">
        <f t="shared" si="2271"/>
      </c>
      <c r="L1084" s="926">
        <f t="shared" si="2271"/>
      </c>
      <c r="M1084" s="926">
        <f t="shared" si="2271"/>
      </c>
      <c r="N1084" s="926">
        <f t="shared" si="2271"/>
      </c>
      <c r="O1084" s="926">
        <f t="shared" si="2271"/>
      </c>
      <c r="P1084" s="926">
        <f t="shared" si="2271"/>
      </c>
      <c r="Q1084" s="926">
        <f t="shared" si="2271"/>
      </c>
      <c r="R1084" s="926">
        <f t="shared" si="2271"/>
      </c>
      <c r="S1084" s="926">
        <f t="shared" si="2271"/>
      </c>
      <c r="T1084" s="926">
        <f t="shared" si="2271"/>
      </c>
      <c r="U1084" s="926">
        <f t="shared" si="2271"/>
      </c>
      <c r="V1084" s="926">
        <f t="shared" si="2271"/>
      </c>
      <c r="W1084" s="926">
        <f t="shared" si="2271"/>
      </c>
      <c r="X1084" s="1060">
        <f t="shared" si="2271"/>
      </c>
      <c r="Y1084" s="926">
        <f t="shared" si="2271"/>
      </c>
      <c r="Z1084" s="926">
        <f t="shared" si="2271"/>
      </c>
      <c r="AA1084" s="926">
        <f t="shared" si="2271"/>
      </c>
      <c r="AB1084" s="926">
        <f t="shared" si="2271"/>
      </c>
      <c r="AC1084" s="1060">
        <f t="shared" si="2271"/>
      </c>
      <c r="AD1084" s="926">
        <f t="shared" si="2271"/>
      </c>
      <c r="AE1084" s="926">
        <f t="shared" si="2271"/>
      </c>
      <c r="AF1084" s="926">
        <f t="shared" si="2271"/>
      </c>
      <c r="AG1084" s="926">
        <f t="shared" si="2271"/>
      </c>
      <c r="AH1084" s="1060">
        <f t="shared" si="2271"/>
      </c>
      <c r="AI1084" s="926">
        <f t="shared" si="2271"/>
      </c>
      <c r="AJ1084" s="926">
        <f t="shared" si="2271"/>
      </c>
      <c r="AK1084" s="926">
        <f t="shared" si="2271"/>
      </c>
      <c r="AL1084" s="926">
        <f t="shared" si="2271"/>
      </c>
      <c r="AM1084" s="1060">
        <f t="shared" si="2271"/>
      </c>
      <c r="AN1084" s="926">
        <f t="shared" si="2271"/>
      </c>
      <c r="AO1084" s="926">
        <f t="shared" si="2271"/>
      </c>
      <c r="AP1084" s="926">
        <f t="shared" si="2271"/>
      </c>
      <c r="AQ1084" s="926">
        <f t="shared" si="2271"/>
      </c>
      <c r="AR1084" s="1060">
        <f t="shared" si="2271"/>
      </c>
      <c r="AS1084" s="926">
        <f t="shared" si="2271"/>
      </c>
      <c r="AT1084" s="926">
        <f t="shared" si="2271"/>
      </c>
      <c r="AU1084" s="926">
        <f t="shared" si="2271"/>
      </c>
      <c r="AV1084" s="926">
        <f t="shared" si="2271"/>
      </c>
      <c r="AW1084" s="1060">
        <f t="shared" si="2271"/>
      </c>
      <c r="AX1084" s="926">
        <f t="shared" si="2271"/>
      </c>
      <c r="AY1084" s="926">
        <f t="shared" si="2271"/>
      </c>
      <c r="AZ1084" s="926">
        <f t="shared" si="2271"/>
      </c>
      <c r="BA1084" s="926">
        <f t="shared" si="2271"/>
      </c>
      <c r="BB1084" s="1060">
        <f t="shared" si="2271"/>
      </c>
      <c r="BC1084" s="926">
        <f t="shared" si="2271"/>
      </c>
      <c r="BD1084" s="926">
        <f t="shared" si="2271"/>
      </c>
      <c r="BE1084" s="926">
        <f t="shared" si="2271"/>
      </c>
      <c r="BF1084" s="926">
        <f t="shared" si="2271"/>
      </c>
      <c r="BG1084" s="1060">
        <f t="shared" si="2271"/>
      </c>
      <c r="BH1084" s="926">
        <f t="shared" si="2271"/>
      </c>
      <c r="BI1084" s="926">
        <f t="shared" si="2271"/>
      </c>
      <c r="BJ1084" s="926">
        <f t="shared" si="2271"/>
      </c>
      <c r="BK1084" s="926">
        <f t="shared" si="2271"/>
      </c>
      <c r="BL1084" s="1060">
        <f t="shared" si="2271"/>
      </c>
      <c r="BM1084" s="926">
        <f t="shared" si="2271"/>
      </c>
      <c r="BN1084" s="926">
        <f t="shared" si="2271"/>
      </c>
      <c r="BO1084" s="926">
        <f t="shared" si="2271"/>
      </c>
      <c r="BP1084" s="926">
        <f t="shared" si="2271"/>
      </c>
      <c r="BQ1084" s="1060">
        <f t="shared" si="2271"/>
      </c>
      <c r="BR1084" s="926">
        <f t="shared" si="2271"/>
      </c>
      <c r="BS1084" s="926">
        <f t="shared" si="2271"/>
      </c>
      <c r="BT1084" s="926">
        <f t="shared" si="2271"/>
      </c>
      <c r="BU1084" s="926">
        <f>IF(BP1079="NM","NM",IF(BU1079="NM","NM",IF(BP1079&lt;=0,"NM",IF(BU1079=0,"NM",IF(ABS(BU1079/BP1079-1)&gt;2.5,"NM",IF((ABS(BU1079-BP1079)=ABS(ABS(BU1079)-ABS(BP1079))),(BU1079/BP1079-1),"NM"))))))</f>
      </c>
      <c r="BV1084" s="1060">
        <f>IF(BQ1079="NM","NM",IF(BV1079="NM","NM",IF(BQ1079&lt;=0,"NM",IF(BV1079=0,"NM",IF(ABS(BV1079/BQ1079-1)&gt;2.5,"NM",IF((ABS(BV1079-BQ1079)=ABS(ABS(BV1079)-ABS(BQ1079))),(BV1079/BQ1079-1),"NM"))))))</f>
      </c>
      <c r="BW1084" s="926">
        <f t="shared" ref="BW1084:BY1085" si="2272">IF(BR1079="NM","NM",IF(BW1079="NM","NM",IF(BR1079&lt;=0,"NM",IF(BW1079=0,"NM",IF(ABS(BW1079/BR1079-1)&gt;2.5,"NM",IF((ABS(BW1079-BR1079)=ABS(ABS(BW1079)-ABS(BR1079))),(BW1079/BR1079-1),"NM"))))))</f>
      </c>
      <c r="BX1084" s="926">
        <f t="shared" si="2272"/>
      </c>
      <c r="BY1084" s="926">
        <f t="shared" si="2272"/>
      </c>
      <c r="BZ1084" s="926">
        <f>IF(BU1079="NM","NM",IF(BZ1079="NM","NM",IF(BU1079&lt;=0,"NM",IF(BZ1079=0,"NM",IF(ABS(BZ1079/BU1079-1)&gt;2.5,"NM",IF((ABS(BZ1079-BU1079)=ABS(ABS(BZ1079)-ABS(BU1079))),(BZ1079/BU1079-1),"NM"))))))</f>
      </c>
      <c r="CA1084" s="1060">
        <f>IF(BV1079="NM","NM",IF(CA1079="NM","NM",IF(BV1079&lt;=0,"NM",IF(CA1079=0,"NM",IF(ABS(CA1079/BV1079-1)&gt;2.5,"NM",IF((ABS(CA1079-BV1079)=ABS(ABS(CA1079)-ABS(BV1079))),(CA1079/BV1079-1),"NM"))))))</f>
      </c>
      <c r="CB1084" s="926">
        <f t="shared" ref="CB1084:CI1085" si="2273">IF(BW1079="NM","NM",IF(CB1079="NM","NM",IF(BW1079&lt;=0,"NM",IF(CB1079=0,"NM",IF(ABS(CB1079/BW1079-1)&gt;2.5,"NM",IF((ABS(CB1079-BW1079)=ABS(ABS(CB1079)-ABS(BW1079))),(CB1079/BW1079-1),"NM"))))))</f>
      </c>
      <c r="CC1084" s="926">
        <f t="shared" si="2273"/>
      </c>
      <c r="CD1084" s="926">
        <f t="shared" si="2273"/>
      </c>
      <c r="CE1084" s="926">
        <f t="shared" si="2273"/>
      </c>
      <c r="CF1084" s="1060">
        <f>IF(CA1079="NM","NM",IF(CF1079="NM","NM",IF(CA1079&lt;=0,"NM",IF(CF1079=0,"NM",IF(ABS(CF1079/CA1079-1)&gt;2.5,"NM",IF((ABS(CF1079-CA1079)=ABS(ABS(CF1079)-ABS(CA1079))),(CF1079/CA1079-1),"NM"))))))</f>
      </c>
      <c r="CG1084" s="926">
        <f t="shared" si="2273"/>
      </c>
      <c r="CH1084" s="926">
        <f t="shared" si="2273"/>
      </c>
      <c r="CI1084" s="926">
        <f t="shared" si="2273"/>
      </c>
      <c r="CJ1084" s="926">
        <f>IF(CE1079="NM","NM",IF(CJ1079="NM","NM",IF(CE1079&lt;=0,"NM",IF(CJ1079=0,"NM",IF(ABS(CJ1079/CE1079-1)&gt;2.5,"NM",IF((ABS(CJ1079-CE1079)=ABS(ABS(CJ1079)-ABS(CE1079))),(CJ1079/CE1079-1),"NM"))))))</f>
      </c>
      <c r="CK1084" s="1060">
        <f>IF(CF1079=0, "NA", CK1079/CF1079-1)</f>
      </c>
      <c r="CL1084" s="926">
        <f t="shared" ref="CL1084:CN1085" si="2274">IF(CG1079="NM","NM",IF(CL1079="NM","NM",IF(CG1079&lt;=0,"NM",IF(CL1079=0,"NM",IF(ABS(CL1079/CG1079-1)&gt;2.5,"NM",IF((ABS(CL1079-CG1079)=ABS(ABS(CL1079)-ABS(CG1079))),(CL1079/CG1079-1),"NM"))))))</f>
      </c>
      <c r="CM1084" s="926">
        <f t="shared" si="2274"/>
      </c>
      <c r="CN1084" s="926">
        <f t="shared" si="2274"/>
      </c>
      <c r="CO1084" s="926">
        <f>IF(CJ1079="NM","NM",IF(CO1079="NM","NM",IF(CJ1079&lt;=0,"NM",IF(CO1079=0,"NM",IF(ABS(CO1079/CJ1079-1)&gt;2.5,"NM",IF((ABS(CO1079-CJ1079)=ABS(ABS(CO1079)-ABS(CJ1079))),(CO1079/CJ1079-1),"NM"))))))</f>
      </c>
      <c r="CP1084" s="1060">
        <f>IF(CK1079=0, "NA", CP1079/CK1079-1)</f>
      </c>
      <c r="CQ1084" s="926">
        <f t="shared" ref="CQ1084:CX1085" si="2275">IF(CL1079="NM","NM",IF(CQ1079="NM","NM",IF(CL1079&lt;=0,"NM",IF(CQ1079=0,"NM",IF(ABS(CQ1079/CL1079-1)&gt;2.5,"NM",IF((ABS(CQ1079-CL1079)=ABS(ABS(CQ1079)-ABS(CL1079))),(CQ1079/CL1079-1),"NM"))))))</f>
      </c>
      <c r="CR1084" s="926">
        <f t="shared" si="2275"/>
      </c>
      <c r="CS1084" s="926">
        <f t="shared" si="2275"/>
      </c>
      <c r="CT1084" s="926">
        <f t="shared" si="2275"/>
      </c>
      <c r="CU1084" s="1060">
        <f>IF(CP1079=0, "NA", CU1079/CP1079-1)</f>
      </c>
      <c r="CV1084" s="926">
        <f t="shared" si="2275"/>
      </c>
      <c r="CW1084" s="926">
        <f t="shared" si="2275"/>
      </c>
      <c r="CX1084" s="926">
        <f t="shared" si="2275"/>
      </c>
      <c r="CY1084" s="926">
        <f>IF(CT1079="NM","NM",IF(CY1079="NM","NM",IF(CT1079&lt;=0,"NM",IF(CY1079=0,"NM",IF(ABS(CY1079/CT1079-1)&gt;2.5,"NM",IF((ABS(CY1079-CT1079)=ABS(ABS(CY1079)-ABS(CT1079))),(CY1079/CT1079-1),"NM"))))))</f>
      </c>
      <c r="CZ1084" s="1060">
        <f>IF(CU1079=0, "NA", CZ1079/CU1079-1)</f>
      </c>
      <c r="DA1084" s="926">
        <f>IF(CV1079="NM","NM",IF(DA1079="NM","NM",IF(CV1079&lt;=0,"NM",IF(DA1079=0,"NM",IF(ABS(DA1079/CV1079-1)&gt;2.5,"NM",IF((ABS(DA1079-CV1079)=ABS(ABS(DA1079)-ABS(CV1079))),(DA1079/CV1079-1),"NM"))))))</f>
      </c>
      <c r="DB1084" s="926">
        <f>IF(CW1079="NM","NM",IF(DB1079="NM","NM",IF(CW1079&lt;=0,"NM",IF(DB1079=0,"NM",IF(ABS(DB1079/CW1079-1)&gt;2.5,"NM",IF((ABS(DB1079-CW1079)=ABS(ABS(DB1079)-ABS(CW1079))),(DB1079/CW1079-1),"NM"))))))</f>
      </c>
      <c r="DC1084" s="926">
        <f>IF(CX1079="NM","NM",IF(DC1079="NM","NM",IF(CX1079&lt;=0,"NM",IF(DC1079=0,"NM",IF(ABS(DC1079/CX1079-1)&gt;2.5,"NM",IF((ABS(DC1079-CX1079)=ABS(ABS(DC1079)-ABS(CX1079))),(DC1079/CX1079-1),"NM"))))))</f>
      </c>
      <c r="DD1084" s="926">
        <f>IF(CY1079="NM","NM",IF(DD1079="NM","NM",IF(CY1079&lt;=0,"NM",IF(DD1079=0,"NM",IF(ABS(DD1079/CY1079-1)&gt;2.5,"NM",IF((ABS(DD1079-CY1079)=ABS(ABS(DD1079)-ABS(CY1079))),(DD1079/CY1079-1),"NM"))))))</f>
      </c>
      <c r="DE1084" s="1060">
        <f>IF(CZ1079=0, "NA", DE1079/CZ1079-1)</f>
      </c>
      <c r="DF1084" s="926">
        <f>IF(DA1079="NM","NM",IF(DF1079="NM","NM",IF(DA1079&lt;=0,"NM",IF(DF1079=0,"NM",IF(ABS(DF1079/DA1079-1)&gt;2.5,"NM",IF((ABS(DF1079-DA1079)=ABS(ABS(DF1079)-ABS(DA1079))),(DF1079/DA1079-1),"NM"))))))</f>
      </c>
      <c r="DG1084" s="926">
        <f>IF(DB1079="NM","NM",IF(DG1079="NM","NM",IF(DB1079&lt;=0,"NM",IF(DG1079=0,"NM",IF(ABS(DG1079/DB1079-1)&gt;2.5,"NM",IF((ABS(DG1079-DB1079)=ABS(ABS(DG1079)-ABS(DB1079))),(DG1079/DB1079-1),"NM"))))))</f>
      </c>
      <c r="DH1084" s="926">
        <f>IF(DC1079="NM","NM",IF(DH1079="NM","NM",IF(DC1079&lt;=0,"NM",IF(DH1079=0,"NM",IF(ABS(DH1079/DC1079-1)&gt;2.5,"NM",IF((ABS(DH1079-DC1079)=ABS(ABS(DH1079)-ABS(DC1079))),(DH1079/DC1079-1),"NM"))))))</f>
      </c>
      <c r="DI1084" s="926">
        <f>IF(DD1079="NM","NM",IF(DI1079="NM","NM",IF(DD1079&lt;=0,"NM",IF(DI1079=0,"NM",IF(ABS(DI1079/DD1079-1)&gt;2.5,"NM",IF((ABS(DI1079-DD1079)=ABS(ABS(DI1079)-ABS(DD1079))),(DI1079/DD1079-1),"NM"))))))</f>
      </c>
      <c r="DJ1084" s="1060">
        <f>IF(DE1079=0, "NA", DJ1079/DE1079-1)</f>
      </c>
      <c r="DK1084" s="926">
        <f t="shared" ref="DK1084:DN1085" si="2276">IF(DF1079="NM","NM",IF(DK1079="NM","NM",IF(DF1079&lt;=0,"NM",IF(DK1079=0,"NM",IF(ABS(DK1079/DF1079-1)&gt;2.5,"NM",IF((ABS(DK1079-DF1079)=ABS(ABS(DK1079)-ABS(DF1079))),(DK1079/DF1079-1),"NM"))))))</f>
      </c>
      <c r="DL1084" s="926">
        <f t="shared" si="2276"/>
      </c>
      <c r="DM1084" s="926">
        <f t="shared" si="2276"/>
      </c>
      <c r="DN1084" s="926">
        <f>IF(DI1079="NM","NM",IF(DN1079="NM","NM",IF(DI1079&lt;=0,"NM",IF(DN1079=0,"NM",IF(ABS(DN1079/DI1079-1)&gt;2.5,"NM",IF((ABS(DN1079-DI1079)=ABS(ABS(DN1079)-ABS(DI1079))),(DN1079/DI1079-1),"NM"))))))</f>
      </c>
      <c r="DO1084" s="1060">
        <f>IF(DJ1079=0, "NA", DO1079/DJ1079-1)</f>
      </c>
      <c r="DP1084" s="926">
        <f t="shared" ref="DP1084:DS1085" si="2277">IF(DK1079="NM","NM",IF(DP1079="NM","NM",IF(DK1079&lt;=0,"NM",IF(DP1079=0,"NM",IF(ABS(DP1079/DK1079-1)&gt;2.5,"NM",IF((ABS(DP1079-DK1079)=ABS(ABS(DP1079)-ABS(DK1079))),(DP1079/DK1079-1),"NM"))))))</f>
      </c>
      <c r="DQ1084" s="926">
        <f t="shared" si="2277"/>
      </c>
      <c r="DR1084" s="926">
        <f t="shared" si="2277"/>
      </c>
      <c r="DS1084" s="926">
        <f t="shared" si="2277"/>
      </c>
      <c r="DT1084" s="1060">
        <f>IF(DO1079=0, "NA", DT1079/DO1079-1)</f>
      </c>
      <c r="DU1084" s="926">
        <f t="shared" ref="DU1084:DX1085" si="2278">IF(DP1079="NM","NM",IF(DU1079="NM","NM",IF(DP1079&lt;=0,"NM",IF(DU1079=0,"NM",IF(ABS(DU1079/DP1079-1)&gt;2.5,"NM",IF((ABS(DU1079-DP1079)=ABS(ABS(DU1079)-ABS(DP1079))),(DU1079/DP1079-1),"NM"))))))</f>
      </c>
      <c r="DV1084" s="926">
        <f t="shared" si="2278"/>
      </c>
      <c r="DW1084" s="926">
        <f t="shared" si="2278"/>
      </c>
      <c r="DX1084" s="928">
        <f t="shared" si="2278"/>
      </c>
      <c r="DY1084" s="1060">
        <f>IF(DT1079=0, "NA", DY1079/DT1079-1)</f>
      </c>
      <c r="DZ1084" s="926">
        <f t="shared" ref="DZ1084:EF1085" si="2279">IF(DU1079="NM","NM",IF(DZ1079="NM","NM",IF(DU1079&lt;=0,"NM",IF(DZ1079=0,"NM",IF(ABS(DZ1079/DU1079-1)&gt;2.5,"NM",IF((ABS(DZ1079-DU1079)=ABS(ABS(DZ1079)-ABS(DU1079))),(DZ1079/DU1079-1),"NM"))))))</f>
      </c>
      <c r="EA1084" s="926">
        <f t="shared" si="2279"/>
      </c>
      <c r="EB1084" s="926">
        <f t="shared" si="2279"/>
      </c>
      <c r="EC1084" s="1235">
        <f t="shared" si="2279"/>
      </c>
      <c r="ED1084" s="1536">
        <f>IF(DY1079=0, "NA", ED1079/DY1079-1)</f>
      </c>
      <c r="EE1084" s="926">
        <f t="shared" si="2279"/>
      </c>
      <c r="EF1084" s="926">
        <f t="shared" si="2279"/>
      </c>
      <c r="EG1084" s="926">
        <f t="shared" ref="EG1084:EH1085" si="2280">IF(EB1079="NM","NM",IF(EG1079="NM","NM",IF(EB1079&lt;=0,"NM",IF(EG1079=0,"NM",IF(ABS(EG1079/EB1079-1)&gt;2.5,"NM",IF((ABS(EG1079-EB1079)=ABS(ABS(EG1079)-ABS(EB1079))),(EG1079/EB1079-1),"NM"))))))</f>
      </c>
      <c r="EH1084" s="926">
        <f t="shared" si="2280"/>
      </c>
      <c r="EI1084" s="1060">
        <f>IF(ED1079=0, "NA", EI1079/ED1079-1)</f>
      </c>
      <c r="EJ1084" s="1060">
        <f t="shared" ref="EJ1084:EN1085" si="2281">IF(EI1079=0, "NA", EJ1079/EI1079-1)</f>
      </c>
      <c r="EK1084" s="928">
        <f t="shared" si="2281"/>
      </c>
      <c r="EL1084" s="928">
        <f t="shared" si="2281"/>
      </c>
      <c r="EM1084" s="928">
        <f t="shared" si="2281"/>
      </c>
      <c r="EN1084" s="928">
        <f t="shared" si="2281"/>
      </c>
      <c r="EO1084" s="2258"/>
      <c r="EP1084" s="2258"/>
      <c r="EQ1084" s="2258"/>
      <c r="ER1084" s="2258"/>
      <c r="ES1084" s="2258"/>
      <c r="ET1084" s="2258"/>
      <c r="EU1084" s="2258"/>
      <c r="EV1084" s="2258"/>
      <c r="EW1084" s="2258"/>
      <c r="EX1084" s="2258"/>
    </row>
    <row r="1085" spans="1:154">
      <c r="B1085" s="454" t="s">
        <v>412</v>
      </c>
      <c r="C1085" s="1577"/>
      <c r="D1085" s="933"/>
      <c r="E1085" s="933"/>
      <c r="F1085" s="933"/>
      <c r="G1085" s="933"/>
      <c r="H1085" s="933"/>
      <c r="I1085" s="926">
        <f t="shared" si="2271"/>
      </c>
      <c r="J1085" s="926">
        <f t="shared" si="2271"/>
      </c>
      <c r="K1085" s="926">
        <f t="shared" si="2271"/>
      </c>
      <c r="L1085" s="926">
        <f t="shared" si="2271"/>
      </c>
      <c r="M1085" s="926">
        <f t="shared" si="2271"/>
      </c>
      <c r="N1085" s="926">
        <f t="shared" si="2271"/>
      </c>
      <c r="O1085" s="926">
        <f t="shared" si="2271"/>
      </c>
      <c r="P1085" s="926">
        <f t="shared" si="2271"/>
      </c>
      <c r="Q1085" s="926">
        <f t="shared" si="2271"/>
      </c>
      <c r="R1085" s="926">
        <f t="shared" si="2271"/>
      </c>
      <c r="S1085" s="926">
        <f t="shared" si="2271"/>
      </c>
      <c r="T1085" s="926">
        <f t="shared" si="2271"/>
      </c>
      <c r="U1085" s="926">
        <f t="shared" si="2271"/>
      </c>
      <c r="V1085" s="926">
        <f t="shared" si="2271"/>
      </c>
      <c r="W1085" s="926">
        <f t="shared" si="2271"/>
      </c>
      <c r="X1085" s="1060">
        <f t="shared" si="2271"/>
      </c>
      <c r="Y1085" s="926">
        <f t="shared" si="2271"/>
      </c>
      <c r="Z1085" s="926">
        <f t="shared" si="2271"/>
      </c>
      <c r="AA1085" s="926">
        <f t="shared" si="2271"/>
      </c>
      <c r="AB1085" s="926">
        <f t="shared" si="2271"/>
      </c>
      <c r="AC1085" s="1060">
        <f t="shared" si="2271"/>
      </c>
      <c r="AD1085" s="926">
        <f t="shared" si="2271"/>
      </c>
      <c r="AE1085" s="926">
        <f t="shared" si="2271"/>
      </c>
      <c r="AF1085" s="926">
        <f t="shared" si="2271"/>
      </c>
      <c r="AG1085" s="926">
        <f t="shared" si="2271"/>
      </c>
      <c r="AH1085" s="1060">
        <f t="shared" si="2271"/>
      </c>
      <c r="AI1085" s="926">
        <f t="shared" si="2271"/>
      </c>
      <c r="AJ1085" s="926">
        <f t="shared" si="2271"/>
      </c>
      <c r="AK1085" s="926">
        <f t="shared" si="2271"/>
      </c>
      <c r="AL1085" s="926">
        <f t="shared" si="2271"/>
      </c>
      <c r="AM1085" s="1060">
        <f>IF(AH1080="NM","NM",IF(AM1080="NM","NM",IF(AH1080&lt;=0,"NM",IF(AM1080=0,"NM",IF(ABS(AM1080/AH1080-1)&gt;2.5,"NM",IF((ABS(AM1080-AH1080)=ABS(ABS(AM1080)-ABS(AH1080))),(AM1080/AH1080-1),"NM"))))))</f>
      </c>
      <c r="AN1085" s="926">
        <f t="shared" si="2271"/>
      </c>
      <c r="AO1085" s="926">
        <f t="shared" si="2271"/>
      </c>
      <c r="AP1085" s="926">
        <f t="shared" si="2271"/>
      </c>
      <c r="AQ1085" s="926">
        <f t="shared" si="2271"/>
      </c>
      <c r="AR1085" s="1060">
        <f t="shared" si="2271"/>
      </c>
      <c r="AS1085" s="926">
        <f t="shared" si="2271"/>
      </c>
      <c r="AT1085" s="926">
        <f t="shared" si="2271"/>
      </c>
      <c r="AU1085" s="926">
        <f t="shared" si="2271"/>
      </c>
      <c r="AV1085" s="926">
        <f t="shared" si="2271"/>
      </c>
      <c r="AW1085" s="1060">
        <f t="shared" si="2271"/>
      </c>
      <c r="AX1085" s="926">
        <f t="shared" si="2271"/>
      </c>
      <c r="AY1085" s="926">
        <f t="shared" si="2271"/>
      </c>
      <c r="AZ1085" s="926">
        <f t="shared" si="2271"/>
      </c>
      <c r="BA1085" s="926">
        <f t="shared" si="2271"/>
      </c>
      <c r="BB1085" s="1060">
        <f t="shared" si="2271"/>
      </c>
      <c r="BC1085" s="926">
        <f t="shared" si="2271"/>
      </c>
      <c r="BD1085" s="926">
        <f t="shared" si="2271"/>
      </c>
      <c r="BE1085" s="926">
        <f t="shared" si="2271"/>
      </c>
      <c r="BF1085" s="926">
        <f t="shared" si="2271"/>
      </c>
      <c r="BG1085" s="1060">
        <f t="shared" si="2271"/>
      </c>
      <c r="BH1085" s="926">
        <f t="shared" si="2271"/>
      </c>
      <c r="BI1085" s="926">
        <f t="shared" si="2271"/>
      </c>
      <c r="BJ1085" s="926">
        <f t="shared" si="2271"/>
      </c>
      <c r="BK1085" s="926">
        <f t="shared" si="2271"/>
      </c>
      <c r="BL1085" s="1060">
        <f t="shared" si="2271"/>
      </c>
      <c r="BM1085" s="926">
        <f t="shared" si="2271"/>
      </c>
      <c r="BN1085" s="926">
        <f t="shared" si="2271"/>
      </c>
      <c r="BO1085" s="926">
        <f t="shared" si="2271"/>
      </c>
      <c r="BP1085" s="926">
        <f t="shared" si="2271"/>
      </c>
      <c r="BQ1085" s="1060">
        <f t="shared" si="2271"/>
      </c>
      <c r="BR1085" s="926">
        <f>IF(BM1080="NM","NM",IF(BR1080="NM","NM",IF(BM1080&lt;=0,"NM",IF(BR1080=0,"NM",IF(ABS(BR1080/BM1080-1)&gt;2.5,"NM",IF((ABS(BR1080-BM1080)=ABS(ABS(BR1080)-ABS(BM1080))),(BR1080/BM1080-1),"NM"))))))</f>
      </c>
      <c r="BS1085" s="926">
        <f>IF(BN1080="NM","NM",IF(BS1080="NM","NM",IF(BN1080&lt;=0,"NM",IF(BS1080=0,"NM",IF(ABS(BS1080/BN1080-1)&gt;2.5,"NM",IF((ABS(BS1080-BN1080)=ABS(ABS(BS1080)-ABS(BN1080))),(BS1080/BN1080-1),"NM"))))))</f>
      </c>
      <c r="BT1085" s="926">
        <f t="shared" si="2271"/>
      </c>
      <c r="BU1085" s="926">
        <f>IF(BP1080="NM","NM",IF(BU1080="NM","NM",IF(BP1080&lt;=0,"NM",IF(BU1080=0,"NM",IF(ABS(BU1080/BP1080-1)&gt;2.5,"NM",IF((ABS(BU1080-BP1080)=ABS(ABS(BU1080)-ABS(BP1080))),(BU1080/BP1080-1),"NM"))))))</f>
      </c>
      <c r="BV1085" s="1060">
        <f>IF(BQ1080="NM","NM",IF(BV1080="NM","NM",IF(BQ1080&lt;=0,"NM",IF(BV1080=0,"NM",IF(ABS(BV1080/BQ1080-1)&gt;2.5,"NM",IF((ABS(BV1080-BQ1080)=ABS(ABS(BV1080)-ABS(BQ1080))),(BV1080/BQ1080-1),"NM"))))))</f>
      </c>
      <c r="BW1085" s="926">
        <f>IF(BR1080="NM","NM",IF(BW1080="NM","NM",IF(BR1080&lt;=0,"NM",IF(BW1080=0,"NM",IF(ABS(BW1080/BR1080-1)&gt;2.5,"NM",IF((ABS(BW1080-BR1080)=ABS(ABS(BW1080)-ABS(BR1080))),(BW1080/BR1080-1),"NM"))))))</f>
      </c>
      <c r="BX1085" s="926">
        <f>IF(BS1080="NM","NM",IF(BX1080="NM","NM",IF(BS1080&lt;=0,"NM",IF(BX1080=0,"NM",IF(ABS(BX1080/BS1080-1)&gt;2.5,"NM",IF((ABS(BX1080-BS1080)=ABS(ABS(BX1080)-ABS(BS1080))),(BX1080/BS1080-1),"NM"))))))</f>
      </c>
      <c r="BY1085" s="926">
        <f t="shared" si="2272"/>
      </c>
      <c r="BZ1085" s="926">
        <f>IF(BU1080="NM","NM",IF(BZ1080="NM","NM",IF(BU1080&lt;=0,"NM",IF(BZ1080=0,"NM",IF(ABS(BZ1080/BU1080-1)&gt;2.5,"NM",IF((ABS(BZ1080-BU1080)=ABS(ABS(BZ1080)-ABS(BU1080))),(BZ1080/BU1080-1),"NM"))))))</f>
      </c>
      <c r="CA1085" s="1060">
        <f>IF(BV1080="NM","NM",IF(CA1080="NM","NM",IF(BV1080&lt;=0,"NM",IF(CA1080=0,"NM",IF(ABS(CA1080/BV1080-1)&gt;2.5,"NM",IF((ABS(CA1080-BV1080)=ABS(ABS(CA1080)-ABS(BV1080))),(CA1080/BV1080-1),"NM"))))))</f>
      </c>
      <c r="CB1085" s="926">
        <f t="shared" si="2273"/>
      </c>
      <c r="CC1085" s="926">
        <f>IF(BX1080="NM","NM",IF(CC1080="NM","NM",IF(BX1080&lt;=0,"NM",IF(CC1080=0,"NM",IF(ABS(CC1080/BX1080-1)&gt;2.5,"NM",IF((ABS(CC1080-BX1080)=ABS(ABS(CC1080)-ABS(BX1080))),(CC1080/BX1080-1),"NM"))))))</f>
      </c>
      <c r="CD1085" s="926">
        <f t="shared" si="2273"/>
      </c>
      <c r="CE1085" s="926">
        <f t="shared" si="2273"/>
      </c>
      <c r="CF1085" s="1060">
        <f>IF(CA1080="NM","NM",IF(CF1080="NM","NM",IF(CA1080&lt;=0,"NM",IF(CF1080=0,"NM",IF(ABS(CF1080/CA1080-1)&gt;2.5,"NM",IF((ABS(CF1080-CA1080)=ABS(ABS(CF1080)-ABS(CA1080))),(CF1080/CA1080-1),"NM"))))))</f>
      </c>
      <c r="CG1085" s="926">
        <f t="shared" si="2273"/>
      </c>
      <c r="CH1085" s="926">
        <f t="shared" si="2273"/>
      </c>
      <c r="CI1085" s="926">
        <f t="shared" si="2273"/>
      </c>
      <c r="CJ1085" s="926">
        <f>IF(CE1080="NM","NM",IF(CJ1080="NM","NM",IF(CE1080&lt;=0,"NM",IF(CJ1080=0,"NM",IF(ABS(CJ1080/CE1080-1)&gt;2.5,"NM",IF((ABS(CJ1080-CE1080)=ABS(ABS(CJ1080)-ABS(CE1080))),(CJ1080/CE1080-1),"NM"))))))</f>
      </c>
      <c r="CK1085" s="1060">
        <f>IF(CF1080=0, "NA", CK1080/CF1080-1)</f>
      </c>
      <c r="CL1085" s="926">
        <f t="shared" si="2274"/>
      </c>
      <c r="CM1085" s="926">
        <f t="shared" si="2274"/>
      </c>
      <c r="CN1085" s="926">
        <f t="shared" si="2274"/>
      </c>
      <c r="CO1085" s="926">
        <f>IF(CJ1080="NM","NM",IF(CO1080="NM","NM",IF(CJ1080&lt;=0,"NM",IF(CO1080=0,"NM",IF(ABS(CO1080/CJ1080-1)&gt;2.5,"NM",IF((ABS(CO1080-CJ1080)=ABS(ABS(CO1080)-ABS(CJ1080))),(CO1080/CJ1080-1),"NM"))))))</f>
      </c>
      <c r="CP1085" s="1060">
        <f>IF(CK1080=0, "NA", CP1080/CK1080-1)</f>
      </c>
      <c r="CQ1085" s="926">
        <f t="shared" si="2275"/>
      </c>
      <c r="CR1085" s="926">
        <f t="shared" si="2275"/>
      </c>
      <c r="CS1085" s="926">
        <f t="shared" si="2275"/>
      </c>
      <c r="CT1085" s="926">
        <f t="shared" si="2275"/>
      </c>
      <c r="CU1085" s="1060">
        <f>IF(CP1080=0, "NA", CU1080/CP1080-1)</f>
      </c>
      <c r="CV1085" s="926">
        <f t="shared" si="2275"/>
      </c>
      <c r="CW1085" s="926">
        <f t="shared" si="2275"/>
      </c>
      <c r="CX1085" s="926">
        <f t="shared" si="2275"/>
      </c>
      <c r="CY1085" s="926">
        <f>IF(CT1080="NM","NM",IF(CY1080="NM","NM",IF(CT1080&lt;=0,"NM",IF(CY1080=0,"NM",IF(ABS(CY1080/CT1080-1)&gt;2.5,"NM",IF((ABS(CY1080-CT1080)=ABS(ABS(CY1080)-ABS(CT1080))),(CY1080/CT1080-1),"NM"))))))</f>
      </c>
      <c r="CZ1085" s="1060">
        <f>IF(CU1080=0, "NA", CZ1080/CU1080-1)</f>
      </c>
      <c r="DA1085" s="926">
        <f t="shared" ref="DA1085:DI1085" si="2282">IF(CV1080="NM","NM",IF(DA1080="NM","NM",IF(CV1080&lt;=0,"NM",IF(DA1080=0,"NM",IF(ABS(DA1080/CV1080-1)&gt;2.5,"NM",IF((ABS(DA1080-CV1080)=ABS(ABS(DA1080)-ABS(CV1080))),(DA1080/CV1080-1),"NM"))))))</f>
      </c>
      <c r="DB1085" s="926">
        <f t="shared" si="2282"/>
      </c>
      <c r="DC1085" s="926">
        <f t="shared" si="2282"/>
      </c>
      <c r="DD1085" s="926">
        <f t="shared" si="2282"/>
      </c>
      <c r="DE1085" s="1060">
        <f>IF(CZ1080=0, "NA", DE1080/CZ1080-1)</f>
      </c>
      <c r="DF1085" s="926">
        <f t="shared" si="2282"/>
      </c>
      <c r="DG1085" s="926">
        <f t="shared" si="2282"/>
      </c>
      <c r="DH1085" s="926">
        <f>IF(DC1080="NM","NM",IF(DH1080="NM","NM",IF(DC1080&lt;=0,"NM",IF(DH1080=0,"NM",IF(ABS(DH1080/DC1080-1)&gt;2.5,"NM",IF((ABS(DH1080-DC1080)=ABS(ABS(DH1080)-ABS(DC1080))),(DH1080/DC1080-1),"NM"))))))</f>
      </c>
      <c r="DI1085" s="926">
        <f t="shared" si="2282"/>
      </c>
      <c r="DJ1085" s="1060">
        <f>IF(DE1080=0, "NA", DJ1080/DE1080-1)</f>
      </c>
      <c r="DK1085" s="926">
        <f t="shared" si="2276"/>
      </c>
      <c r="DL1085" s="926">
        <f t="shared" si="2276"/>
      </c>
      <c r="DM1085" s="926">
        <f t="shared" si="2276"/>
      </c>
      <c r="DN1085" s="926">
        <f t="shared" si="2276"/>
      </c>
      <c r="DO1085" s="1060">
        <f>IF(DJ1080=0, "NA", DO1080/DJ1080-1)</f>
      </c>
      <c r="DP1085" s="926">
        <f t="shared" si="2277"/>
      </c>
      <c r="DQ1085" s="926">
        <f t="shared" si="2277"/>
      </c>
      <c r="DR1085" s="926">
        <f t="shared" si="2277"/>
      </c>
      <c r="DS1085" s="926">
        <f t="shared" si="2277"/>
      </c>
      <c r="DT1085" s="1060">
        <f>IF(DO1080=0, "NA", DT1080/DO1080-1)</f>
      </c>
      <c r="DU1085" s="926">
        <f t="shared" si="2278"/>
      </c>
      <c r="DV1085" s="926">
        <f t="shared" si="2278"/>
      </c>
      <c r="DW1085" s="926">
        <f t="shared" si="2278"/>
      </c>
      <c r="DX1085" s="928">
        <f t="shared" si="2278"/>
      </c>
      <c r="DY1085" s="1060">
        <f>IF(DT1080=0, "NA", DY1080/DT1080-1)</f>
      </c>
      <c r="DZ1085" s="926">
        <f t="shared" si="2279"/>
      </c>
      <c r="EA1085" s="926">
        <f t="shared" si="2279"/>
      </c>
      <c r="EB1085" s="926">
        <f t="shared" si="2279"/>
      </c>
      <c r="EC1085" s="1235">
        <f t="shared" si="2279"/>
      </c>
      <c r="ED1085" s="1536">
        <f>IF(DY1080=0, "NA", ED1080/DY1080-1)</f>
      </c>
      <c r="EE1085" s="926">
        <f t="shared" si="2279"/>
      </c>
      <c r="EF1085" s="926">
        <f t="shared" si="2279"/>
      </c>
      <c r="EG1085" s="926">
        <f t="shared" si="2280"/>
      </c>
      <c r="EH1085" s="926">
        <f t="shared" si="2280"/>
      </c>
      <c r="EI1085" s="1060">
        <f>IF(ED1080=0, "NA", EI1080/ED1080-1)</f>
      </c>
      <c r="EJ1085" s="1060">
        <f t="shared" si="2281"/>
      </c>
      <c r="EK1085" s="928">
        <f t="shared" si="2281"/>
      </c>
      <c r="EL1085" s="928">
        <f t="shared" si="2281"/>
      </c>
      <c r="EM1085" s="928">
        <f t="shared" si="2281"/>
      </c>
      <c r="EN1085" s="928">
        <f t="shared" si="2281"/>
      </c>
      <c r="EO1085" s="1060"/>
      <c r="EP1085" s="1060"/>
      <c r="EQ1085" s="1060"/>
      <c r="ER1085" s="1060"/>
      <c r="ES1085" s="1060"/>
      <c r="ET1085" s="1060"/>
      <c r="EU1085" s="1060"/>
      <c r="EV1085" s="1060"/>
      <c r="EW1085" s="1060"/>
      <c r="EX1085" s="1060"/>
    </row>
    <row r="1086" spans="1:154">
      <c r="B1086" s="454" t="s">
        <v>256</v>
      </c>
      <c r="C1086" s="1577"/>
      <c r="D1086" s="933"/>
      <c r="E1086" s="933"/>
      <c r="F1086" s="933"/>
      <c r="G1086" s="933"/>
      <c r="H1086" s="933"/>
      <c r="I1086" s="24"/>
      <c r="J1086" s="946"/>
      <c r="K1086" s="946"/>
      <c r="L1086" s="946"/>
      <c r="M1086" s="946"/>
      <c r="N1086" s="24"/>
      <c r="O1086" s="24"/>
      <c r="P1086" s="24"/>
      <c r="Q1086" s="24"/>
      <c r="R1086" s="24"/>
      <c r="S1086" s="946"/>
      <c r="T1086" s="24"/>
      <c r="U1086" s="24"/>
      <c r="V1086" s="24"/>
      <c r="W1086" s="24"/>
      <c r="X1086" s="2248"/>
      <c r="Y1086" s="24"/>
      <c r="Z1086" s="24"/>
      <c r="AA1086" s="24"/>
      <c r="AB1086" s="24"/>
      <c r="AC1086" s="2248"/>
      <c r="AD1086" s="24"/>
      <c r="AE1086" s="24"/>
      <c r="AF1086" s="24"/>
      <c r="AG1086" s="24"/>
      <c r="AH1086" s="2248"/>
      <c r="AI1086" s="959">
        <f t="shared" ref="AI1086:BR1086" si="2283">IF(ISNUMBER(AI1085),(1+AI1085)/(1+AI$21)-1,"NM")</f>
      </c>
      <c r="AJ1086" s="959">
        <f t="shared" si="2283"/>
      </c>
      <c r="AK1086" s="959">
        <f t="shared" si="2283"/>
      </c>
      <c r="AL1086" s="959">
        <f t="shared" si="2283"/>
      </c>
      <c r="AM1086" s="2248">
        <f t="shared" si="2283"/>
      </c>
      <c r="AN1086" s="959">
        <f t="shared" si="2283"/>
      </c>
      <c r="AO1086" s="959">
        <f t="shared" si="2283"/>
      </c>
      <c r="AP1086" s="959">
        <f t="shared" si="2283"/>
      </c>
      <c r="AQ1086" s="959">
        <f t="shared" si="2283"/>
      </c>
      <c r="AR1086" s="2248">
        <f t="shared" si="2283"/>
      </c>
      <c r="AS1086" s="959">
        <f t="shared" si="2283"/>
      </c>
      <c r="AT1086" s="959">
        <f t="shared" si="2283"/>
      </c>
      <c r="AU1086" s="959">
        <f t="shared" si="2283"/>
      </c>
      <c r="AV1086" s="959">
        <f t="shared" si="2283"/>
      </c>
      <c r="AW1086" s="2248">
        <f t="shared" si="2283"/>
      </c>
      <c r="AX1086" s="959">
        <f t="shared" si="2283"/>
      </c>
      <c r="AY1086" s="959">
        <f t="shared" si="2283"/>
      </c>
      <c r="AZ1086" s="959">
        <f t="shared" si="2283"/>
      </c>
      <c r="BA1086" s="959">
        <f t="shared" si="2283"/>
      </c>
      <c r="BB1086" s="2248">
        <f t="shared" si="2283"/>
      </c>
      <c r="BC1086" s="959">
        <f t="shared" si="2283"/>
      </c>
      <c r="BD1086" s="959">
        <f t="shared" si="2283"/>
      </c>
      <c r="BE1086" s="959">
        <f t="shared" si="2283"/>
      </c>
      <c r="BF1086" s="959">
        <f t="shared" si="2283"/>
      </c>
      <c r="BG1086" s="2248">
        <f t="shared" si="2283"/>
      </c>
      <c r="BH1086" s="959">
        <f t="shared" si="2283"/>
      </c>
      <c r="BI1086" s="959">
        <f t="shared" si="2283"/>
      </c>
      <c r="BJ1086" s="959">
        <f t="shared" si="2283"/>
      </c>
      <c r="BK1086" s="959">
        <f t="shared" si="2283"/>
      </c>
      <c r="BL1086" s="2248">
        <f t="shared" si="2283"/>
      </c>
      <c r="BM1086" s="959">
        <f t="shared" si="2283"/>
      </c>
      <c r="BN1086" s="959">
        <f t="shared" si="2283"/>
      </c>
      <c r="BO1086" s="959">
        <f t="shared" si="2283"/>
      </c>
      <c r="BP1086" s="959">
        <f t="shared" si="2283"/>
      </c>
      <c r="BQ1086" s="2248">
        <f t="shared" si="2283"/>
      </c>
      <c r="BR1086" s="959">
        <f t="shared" si="2283"/>
      </c>
      <c r="BS1086" s="407">
        <v>-0.13100000000000001</v>
      </c>
      <c r="BT1086" s="959">
        <f>IF(ISNUMBER(BT1085),(1+BT1085)/(1+BT$21)-1,"NM")</f>
      </c>
      <c r="BU1086" s="959">
        <f>IF(ISNUMBER(BU1085),(1+BU1085)/(1+BU$21)-1,"NM")</f>
      </c>
      <c r="BV1086" s="2248">
        <f>IF(ISNUMBER(BV1085),(1+BV1085)/(1+BV$21)-1,"NM")</f>
      </c>
      <c r="BW1086" s="407">
        <v>6.2E-2</v>
      </c>
      <c r="BX1086" s="407">
        <v>9.6000000000000002E-2</v>
      </c>
      <c r="BY1086" s="407">
        <v>6.6000000000000003E-2</v>
      </c>
      <c r="BZ1086" s="407">
        <v>5.7000000000000002E-2</v>
      </c>
      <c r="CA1086" s="406">
        <v>7.0000000000000007E-2</v>
      </c>
      <c r="CB1086" s="407">
        <v>9.4E-2</v>
      </c>
      <c r="CC1086" s="407">
        <v>8.6999999999999994E-2</v>
      </c>
      <c r="CD1086" s="407">
        <v>6.6000000000000003E-2</v>
      </c>
      <c r="CE1086" s="407">
        <v>0.124</v>
      </c>
      <c r="CF1086" s="406">
        <v>9.4E-2</v>
      </c>
      <c r="CG1086" s="407">
        <v>3.4000000000000002E-2</v>
      </c>
      <c r="CH1086" s="407">
        <v>1.7000000000000001E-2</v>
      </c>
      <c r="CI1086" s="407">
        <v>3.1E-2</v>
      </c>
      <c r="CJ1086" s="407">
        <v>-0.29399999999999998</v>
      </c>
      <c r="CK1086" s="2248">
        <f>CK1085-CK$21</f>
      </c>
      <c r="CL1086" s="407">
        <v>-0.26300000000000001</v>
      </c>
      <c r="CM1086" s="407">
        <v>-0.23799999999999999</v>
      </c>
      <c r="CN1086" s="407">
        <v>-0.26800000000000002</v>
      </c>
      <c r="CO1086" s="407">
        <v>0.124</v>
      </c>
      <c r="CP1086" s="2248">
        <f>CP1085-CP$21</f>
      </c>
      <c r="CQ1086" s="407">
        <v>0.14199999999999999</v>
      </c>
      <c r="CR1086" s="407">
        <v>0.123</v>
      </c>
      <c r="CS1086" s="407">
        <v>0.13900000000000001</v>
      </c>
      <c r="CT1086" s="407">
        <v>0.156</v>
      </c>
      <c r="CU1086" s="2248">
        <f>CU1085-CU$21</f>
      </c>
      <c r="CV1086" s="407">
        <v>0.14299999999999999</v>
      </c>
      <c r="CW1086" s="407">
        <v>0.14099999999999999</v>
      </c>
      <c r="CX1086" s="407">
        <v>0.24099999999999999</v>
      </c>
      <c r="CY1086" s="407">
        <v>0.14199999999999999</v>
      </c>
      <c r="CZ1086" s="2248">
        <f>CZ1085-CZ$21</f>
      </c>
      <c r="DA1086" s="407">
        <v>0.22700000000000001</v>
      </c>
      <c r="DB1086" s="407">
        <v>0.17299999999999999</v>
      </c>
      <c r="DC1086" s="361">
        <v>0.17</v>
      </c>
      <c r="DD1086" s="1479">
        <v>0.14299999999999999</v>
      </c>
      <c r="DE1086" s="448">
        <v>0.17799999999999999</v>
      </c>
      <c r="DF1086" s="649">
        <v>-5.0999999999999997E-2</v>
      </c>
      <c r="DG1086" s="649">
        <v>-0.109</v>
      </c>
      <c r="DH1086" s="649">
        <v>0.129</v>
      </c>
      <c r="DI1086" s="649">
        <v>0.108</v>
      </c>
      <c r="DJ1086" s="448">
        <v>0.02</v>
      </c>
      <c r="DK1086" s="649">
        <v>0.34</v>
      </c>
      <c r="DL1086" s="649">
        <v>0.59799999999999998</v>
      </c>
      <c r="DM1086" s="649">
        <v>0.151</v>
      </c>
      <c r="DN1086" s="1482">
        <v>0.188</v>
      </c>
      <c r="DO1086" s="448">
        <v>0.29799999999999999</v>
      </c>
      <c r="DP1086" s="649">
        <v>0.20399999999999999</v>
      </c>
      <c r="DQ1086" s="2632">
        <v>0.01</v>
      </c>
      <c r="DR1086" s="2632">
        <v>0.13</v>
      </c>
      <c r="DS1086" s="649">
        <v>6.2E-2</v>
      </c>
      <c r="DT1086" s="448">
        <v>9.9000000000000005E-2</v>
      </c>
      <c r="DU1086" s="649">
        <v>0.14899999999999999</v>
      </c>
      <c r="DV1086" s="649">
        <v>0.40699999999999997</v>
      </c>
      <c r="DW1086" s="649">
        <v>0.32200000000000001</v>
      </c>
      <c r="DX1086" s="1482">
        <v>0.41699999999999998</v>
      </c>
      <c r="DY1086" s="448">
        <v>0.317</v>
      </c>
      <c r="DZ1086" s="926">
        <f t="shared" ref="DZ1086:EN1086" si="2284">DZ1085-DZ$1370</f>
      </c>
      <c r="EA1086" s="926">
        <f t="shared" si="2284"/>
      </c>
      <c r="EB1086" s="926">
        <f t="shared" si="2284"/>
      </c>
      <c r="EC1086" s="3610">
        <v>0.22</v>
      </c>
      <c r="ED1086" s="3623">
        <v>0.20899999999999999</v>
      </c>
      <c r="EE1086" s="926">
        <v>0.107</v>
      </c>
      <c r="EF1086" s="926">
        <v>0.22900000000000001</v>
      </c>
      <c r="EG1086" s="926">
        <f t="shared" si="2284"/>
      </c>
      <c r="EH1086" s="926">
        <f t="shared" si="2284"/>
      </c>
      <c r="EI1086" s="1060">
        <f t="shared" si="2284"/>
      </c>
      <c r="EJ1086" s="1060">
        <f t="shared" si="2284"/>
      </c>
      <c r="EK1086" s="928">
        <f t="shared" si="2284"/>
      </c>
      <c r="EL1086" s="928">
        <f t="shared" si="2284"/>
      </c>
      <c r="EM1086" s="928">
        <f t="shared" si="2284"/>
      </c>
      <c r="EN1086" s="928">
        <f t="shared" si="2284"/>
      </c>
      <c r="EO1086" s="2258"/>
      <c r="EP1086" s="2258"/>
      <c r="EQ1086" s="2258"/>
      <c r="ER1086" s="2258"/>
      <c r="ES1086" s="2258"/>
      <c r="ET1086" s="2258"/>
      <c r="EU1086" s="2258"/>
      <c r="EV1086" s="2258"/>
      <c r="EW1086" s="2258"/>
      <c r="EX1086" s="2258"/>
    </row>
    <row r="1087" spans="1:154">
      <c r="B1087" s="454" t="s">
        <v>413</v>
      </c>
      <c r="C1087" s="1577"/>
      <c r="D1087" s="933"/>
      <c r="E1087" s="933"/>
      <c r="F1087" s="933"/>
      <c r="G1087" s="933"/>
      <c r="H1087" s="933"/>
      <c r="I1087" s="926">
        <f t="shared" ref="I1087:BB1087" si="2285">IF(D1081="NM","NM",IF(I1081="NM","NM",IF(D1081&lt;=0,"NM",IF(I1081=0,"NM",IF(ABS(I1081/D1081-1)&gt;2.5,"NM",IF((ABS(I1081-D1081)=ABS(ABS(I1081)-ABS(D1081))),(I1081/D1081-1),"NM"))))))</f>
      </c>
      <c r="J1087" s="926">
        <f t="shared" si="2285"/>
      </c>
      <c r="K1087" s="926">
        <f t="shared" si="2285"/>
      </c>
      <c r="L1087" s="926">
        <f t="shared" si="2285"/>
      </c>
      <c r="M1087" s="926">
        <f t="shared" si="2285"/>
      </c>
      <c r="N1087" s="926">
        <f t="shared" si="2285"/>
      </c>
      <c r="O1087" s="926">
        <f t="shared" si="2285"/>
      </c>
      <c r="P1087" s="926">
        <f t="shared" si="2285"/>
      </c>
      <c r="Q1087" s="926">
        <f t="shared" si="2285"/>
      </c>
      <c r="R1087" s="926">
        <f t="shared" si="2285"/>
      </c>
      <c r="S1087" s="926">
        <f t="shared" si="2285"/>
      </c>
      <c r="T1087" s="926">
        <f t="shared" si="2285"/>
      </c>
      <c r="U1087" s="926">
        <f t="shared" si="2285"/>
      </c>
      <c r="V1087" s="926">
        <f t="shared" si="2285"/>
      </c>
      <c r="W1087" s="926">
        <f t="shared" si="2285"/>
      </c>
      <c r="X1087" s="1060">
        <f t="shared" si="2285"/>
      </c>
      <c r="Y1087" s="926">
        <f t="shared" si="2285"/>
      </c>
      <c r="Z1087" s="926">
        <f t="shared" si="2285"/>
      </c>
      <c r="AA1087" s="926">
        <f t="shared" si="2285"/>
      </c>
      <c r="AB1087" s="926">
        <f t="shared" si="2285"/>
      </c>
      <c r="AC1087" s="1060">
        <f t="shared" si="2285"/>
      </c>
      <c r="AD1087" s="926">
        <f t="shared" si="2285"/>
      </c>
      <c r="AE1087" s="926">
        <f t="shared" si="2285"/>
      </c>
      <c r="AF1087" s="926">
        <f t="shared" si="2285"/>
      </c>
      <c r="AG1087" s="926">
        <f t="shared" si="2285"/>
      </c>
      <c r="AH1087" s="1060">
        <f t="shared" si="2285"/>
      </c>
      <c r="AI1087" s="926">
        <f>IF(AD1081="NM","NM",IF(AI1081="NM","NM",IF(AD1081&lt;=0,"NM",IF(AI1081=0,"NM",IF(ABS(AI1081/AD1081-1)&gt;2.5,"NM",IF((ABS(AI1081-AD1081)=ABS(ABS(AI1081)-ABS(AD1081))),(AI1081/AD1081-1),"NM"))))))</f>
      </c>
      <c r="AJ1087" s="926">
        <f>IF(AE1081="NM","NM",IF(AJ1081="NM","NM",IF(AE1081&lt;=0,"NM",IF(AJ1081=0,"NM",IF(ABS(AJ1081/AE1081-1)&gt;2.5,"NM",IF((ABS(AJ1081-AE1081)=ABS(ABS(AJ1081)-ABS(AE1081))),(AJ1081/AE1081-1),"NM"))))))</f>
      </c>
      <c r="AK1087" s="926">
        <f>IF(AF1081="NM","NM",IF(AK1081="NM","NM",IF(AF1081&lt;=0,"NM",IF(AK1081=0,"NM",IF(ABS(AK1081/AF1081-1)&gt;2.5,"NM",IF((ABS(AK1081-AF1081)=ABS(ABS(AK1081)-ABS(AF1081))),(AK1081/AF1081-1),"NM"))))))</f>
      </c>
      <c r="AL1087" s="926">
        <f>IF(AG1081="NM","NM",IF(AL1081="NM","NM",IF(AG1081&lt;=0,"NM",IF(AL1081=0,"NM",IF(ABS(AL1081/AG1081-1)&gt;2.5,"NM",IF((ABS(AL1081-AG1081)=ABS(ABS(AL1081)-ABS(AG1081))),(AL1081/AG1081-1),"NM"))))))</f>
      </c>
      <c r="AM1087" s="1060">
        <f t="shared" si="2285"/>
      </c>
      <c r="AN1087" s="926">
        <f t="shared" si="2285"/>
      </c>
      <c r="AO1087" s="926">
        <f t="shared" si="2285"/>
      </c>
      <c r="AP1087" s="926">
        <f t="shared" si="2285"/>
      </c>
      <c r="AQ1087" s="926">
        <f t="shared" si="2285"/>
      </c>
      <c r="AR1087" s="1060">
        <f t="shared" si="2285"/>
      </c>
      <c r="AS1087" s="926">
        <f t="shared" si="2285"/>
      </c>
      <c r="AT1087" s="926">
        <f t="shared" si="2285"/>
      </c>
      <c r="AU1087" s="926">
        <f t="shared" si="2285"/>
      </c>
      <c r="AV1087" s="926">
        <f t="shared" si="2285"/>
      </c>
      <c r="AW1087" s="1060">
        <f t="shared" si="2285"/>
      </c>
      <c r="AX1087" s="926">
        <f t="shared" si="2285"/>
      </c>
      <c r="AY1087" s="926">
        <f t="shared" si="2285"/>
      </c>
      <c r="AZ1087" s="926">
        <f t="shared" si="2285"/>
      </c>
      <c r="BA1087" s="926">
        <f t="shared" si="2285"/>
      </c>
      <c r="BB1087" s="1060">
        <f t="shared" si="2285"/>
      </c>
      <c r="BC1087" s="926">
        <f>IF(AX1081="NM","NM",IF(BC1081="NM","NM",IF(AX1081&lt;=0,"NM",IF(BC1081=0,"NM",IF(ABS(BC1081/AX1081-1)&gt;2.5,"NM",IF((ABS(BC1081-AX1081)=ABS(ABS(BC1081)-ABS(AX1081))),(BC1081/AX1081-1),"NM"))))))</f>
      </c>
      <c r="BD1087" s="926">
        <f>IF(AY1081="NM","NM",IF(BD1081="NM","NM",IF(AY1081&lt;=0,"NM",IF(BD1081=0,"NM",IF(ABS(BD1081/AY1081-1)&gt;2.5,"NM",IF((ABS(BD1081-AY1081)=ABS(ABS(BD1081)-ABS(AY1081))),(BD1081/AY1081-1),"NM"))))))</f>
      </c>
      <c r="BE1087" s="926">
        <f>IF(AZ1081="NM","NM",IF(BE1081="NM","NM",IF(AZ1081&lt;=0,"NM",IF(BE1081=0,"NM",IF(ABS(BE1081/AZ1081-1)&gt;2.5,"NM",IF((ABS(BE1081-AZ1081)=ABS(ABS(BE1081)-ABS(AZ1081))),(BE1081/AZ1081-1),"NM"))))))</f>
      </c>
      <c r="BF1087" s="926">
        <f>IF(BA1081="NM","NM",IF(BF1081="NM","NM",IF(BA1081&lt;=0,"NM",IF(BF1081=0,"NM",IF(ABS(BF1081/BA1081-1)&gt;2.5,"NM",IF((ABS(BF1081-BA1081)=ABS(ABS(BF1081)-ABS(BA1081))),(BF1081/BA1081-1),"NM"))))))</f>
      </c>
      <c r="BG1087" s="1060">
        <f>IF(BB1081="NM","NM",IF(BG1081="NM","NM",IF(BB1081&lt;=0,"NM",IF(BG1081=0,"NM",IF(ABS(BG1081/BB1081-1)&gt;2.5,"NM",IF((ABS(BG1081-BB1081)=ABS(ABS(BG1081)-ABS(BB1081))),(BG1081/BB1081-1),"NM"))))))</f>
      </c>
      <c r="BH1087" s="926">
        <f t="shared" ref="BH1087:BX1087" si="2286">IF(BC1081="NM","NM",IF(BH1081="NM","NM",IF(BC1081&lt;=0,"NM",IF(BH1081=0,"NM",IF(ABS(BH1081/BC1081-1)&gt;2.5,"NM",IF((ABS(BH1081-BC1081)=ABS(ABS(BH1081)-ABS(BC1081))),(BH1081/BC1081-1),"NM"))))))</f>
      </c>
      <c r="BI1087" s="926">
        <f t="shared" si="2286"/>
      </c>
      <c r="BJ1087" s="926">
        <f t="shared" si="2286"/>
      </c>
      <c r="BK1087" s="926">
        <f t="shared" si="2286"/>
      </c>
      <c r="BL1087" s="1060">
        <f t="shared" si="2286"/>
      </c>
      <c r="BM1087" s="926">
        <f t="shared" si="2286"/>
      </c>
      <c r="BN1087" s="926">
        <f t="shared" si="2286"/>
      </c>
      <c r="BO1087" s="926">
        <f t="shared" si="2286"/>
      </c>
      <c r="BP1087" s="926">
        <f t="shared" si="2286"/>
      </c>
      <c r="BQ1087" s="1060">
        <f t="shared" si="2286"/>
      </c>
      <c r="BR1087" s="926">
        <f t="shared" si="2286"/>
      </c>
      <c r="BS1087" s="926">
        <f t="shared" si="2286"/>
      </c>
      <c r="BT1087" s="926">
        <f t="shared" si="2286"/>
      </c>
      <c r="BU1087" s="926">
        <f t="shared" si="2286"/>
      </c>
      <c r="BV1087" s="1060">
        <f t="shared" si="2286"/>
      </c>
      <c r="BW1087" s="926">
        <f t="shared" si="2286"/>
      </c>
      <c r="BX1087" s="926">
        <f t="shared" si="2286"/>
      </c>
      <c r="BY1087" s="926">
        <f>IF(BT1081="NM","NM",IF(BY1081="NM","NM",IF(BT1081&lt;=0,"NM",IF(BY1081=0,"NM",IF(ABS(BY1081/BT1081-1)&gt;2.5,"NM",IF((ABS(BY1081-BT1081)=ABS(ABS(BY1081)-ABS(BT1081))),(BY1081/BT1081-1),"NM"))))))</f>
      </c>
      <c r="BZ1087" s="926">
        <f t="shared" ref="BZ1087:CF1087" si="2287">IF(BU1081="NM","NM",IF(BZ1081="NM","NM",IF(BU1081&lt;=0,"NM",IF(BZ1081=0,"NM",IF(ABS(BZ1081/BU1081-1)&gt;2.5,"NM",IF((ABS(BZ1081-BU1081)=ABS(ABS(BZ1081)-ABS(BU1081))),(BZ1081/BU1081-1),"NM"))))))</f>
      </c>
      <c r="CA1087" s="1060">
        <f t="shared" si="2287"/>
      </c>
      <c r="CB1087" s="926">
        <f t="shared" si="2287"/>
      </c>
      <c r="CC1087" s="926">
        <f t="shared" si="2287"/>
      </c>
      <c r="CD1087" s="926">
        <f t="shared" si="2287"/>
      </c>
      <c r="CE1087" s="926">
        <f t="shared" si="2287"/>
      </c>
      <c r="CF1087" s="1060">
        <f t="shared" si="2287"/>
      </c>
      <c r="CG1087" s="926">
        <f>IF(CB1081="NM","NM",IF(CG1081="NM","NM",IF(CB1081&lt;=0,"NM",IF(CG1081=0,"NM",IF(ABS(CG1081/CB1081-1)&gt;2.5,"NM",IF((ABS(CG1081-CB1081)=ABS(ABS(CG1081)-ABS(CB1081))),(CG1081/CB1081-1),"NM"))))))</f>
      </c>
      <c r="CH1087" s="926">
        <f>IF(CC1081="NM","NM",IF(CH1081="NM","NM",IF(CC1081&lt;=0,"NM",IF(CH1081=0,"NM",IF(ABS(CH1081/CC1081-1)&gt;2.5,"NM",IF((ABS(CH1081-CC1081)=ABS(ABS(CH1081)-ABS(CC1081))),(CH1081/CC1081-1),"NM"))))))</f>
      </c>
      <c r="CI1087" s="926">
        <f>IF(CD1081="NM","NM",IF(CI1081="NM","NM",IF(CD1081&lt;=0,"NM",IF(CI1081=0,"NM",IF(ABS(CI1081/CD1081-1)&gt;2.5,"NM",IF((ABS(CI1081-CD1081)=ABS(ABS(CI1081)-ABS(CD1081))),(CI1081/CD1081-1),"NM"))))))</f>
      </c>
      <c r="CJ1087" s="926">
        <f>IF(CE1081=0, "NA", CJ1081/CE1081-1)</f>
      </c>
      <c r="CK1087" s="1060">
        <f>IF(CF1081=0, "NA", CK1081/CF1081-1)</f>
      </c>
      <c r="CL1087" s="926">
        <f>IF(CG1081="NM","NM",IF(CL1081="NM","NM",IF(CG1081&lt;=0,"NM",IF(CL1081=0,"NM",IF(ABS(CL1081/CG1081-1)&gt;2.5,"NM",IF((ABS(CL1081-CG1081)=ABS(ABS(CL1081)-ABS(CG1081))),(CL1081/CG1081-1),"NM"))))))</f>
      </c>
      <c r="CM1087" s="926">
        <f>IF(CH1081="NM","NM",IF(CM1081="NM","NM",IF(CH1081&lt;=0,"NM",IF(CM1081=0,"NM",IF(ABS(CM1081/CH1081-1)&gt;2.5,"NM",IF((ABS(CM1081-CH1081)=ABS(ABS(CM1081)-ABS(CH1081))),(CM1081/CH1081-1),"NM"))))))</f>
      </c>
      <c r="CN1087" s="926">
        <f>IF(CI1081="NM","NM",IF(CN1081="NM","NM",IF(CI1081&lt;=0,"NM",IF(CN1081=0,"NM",IF(ABS(CN1081/CI1081-1)&gt;2.5,"NM",IF((ABS(CN1081-CI1081)=ABS(ABS(CN1081)-ABS(CI1081))),(CN1081/CI1081-1),"NM"))))))</f>
      </c>
      <c r="CO1087" s="926">
        <f>IF(CJ1081=0, "NA", CO1081/CJ1081-1)</f>
      </c>
      <c r="CP1087" s="1060">
        <f>IF(CK1081=0, "NA", CP1081/CK1081-1)</f>
      </c>
      <c r="CQ1087" s="926">
        <f>IF(CL1081="NM","NM",IF(CQ1081="NM","NM",IF(CL1081&lt;=0,"NM",IF(CQ1081=0,"NM",IF(ABS(CQ1081/CL1081-1)&gt;2.5,"NM",IF((ABS(CQ1081-CL1081)=ABS(ABS(CQ1081)-ABS(CL1081))),(CQ1081/CL1081-1),"NM"))))))</f>
      </c>
      <c r="CR1087" s="926">
        <f>IF(CM1081="NM","NM",IF(CR1081="NM","NM",IF(CM1081&lt;=0,"NM",IF(CR1081=0,"NM",IF(ABS(CR1081/CM1081-1)&gt;2.5,"NM",IF((ABS(CR1081-CM1081)=ABS(ABS(CR1081)-ABS(CM1081))),(CR1081/CM1081-1),"NM"))))))</f>
      </c>
      <c r="CS1087" s="926">
        <f>IF(CN1081="NM","NM",IF(CS1081="NM","NM",IF(CN1081&lt;=0,"NM",IF(CS1081=0,"NM",IF(ABS(CS1081/CN1081-1)&gt;2.5,"NM",IF((ABS(CS1081-CN1081)=ABS(ABS(CS1081)-ABS(CN1081))),(CS1081/CN1081-1),"NM"))))))</f>
      </c>
      <c r="CT1087" s="926">
        <f>IF(CO1081="NM","NM",IF(CT1081="NM","NM",IF(CO1081&lt;=0,"NM",IF(CT1081=0,"NM",IF(ABS(CT1081/CO1081-1)&gt;2.5,"NM",IF((ABS(CT1081-CO1081)=ABS(ABS(CT1081)-ABS(CO1081))),(CT1081/CO1081-1),"NM"))))))</f>
      </c>
      <c r="CU1087" s="1060">
        <f>IF(CP1081=0, "NA", CU1081/CP1081-1)</f>
      </c>
      <c r="CV1087" s="926">
        <f>IF(CQ1081="NM","NM",IF(CV1081="NM","NM",IF(CQ1081&lt;=0,"NM",IF(CV1081=0,"NM",IF(ABS(CV1081/CQ1081-1)&gt;2.5,"NM",IF((ABS(CV1081-CQ1081)=ABS(ABS(CV1081)-ABS(CQ1081))),(CV1081/CQ1081-1),"NM"))))))</f>
      </c>
      <c r="CW1087" s="926">
        <f>IF(CR1081="NM","NM",IF(CW1081="NM","NM",IF(CR1081&lt;=0,"NM",IF(CW1081=0,"NM",IF(ABS(CW1081/CR1081-1)&gt;2.5,"NM",IF((ABS(CW1081-CR1081)=ABS(ABS(CW1081)-ABS(CR1081))),(CW1081/CR1081-1),"NM"))))))</f>
      </c>
      <c r="CX1087" s="926">
        <f>IF(CS1081="NM","NM",IF(CX1081="NM","NM",IF(CS1081&lt;=0,"NM",IF(CX1081=0,"NM",IF(ABS(CX1081/CS1081-1)&gt;2.5,"NM",IF((ABS(CX1081-CS1081)=ABS(ABS(CX1081)-ABS(CS1081))),(CX1081/CS1081-1),"NM"))))))</f>
      </c>
      <c r="CY1087" s="926">
        <f>IF(CT1081="NM","NM",IF(CY1081="NM","NM",IF(CT1081&lt;=0,"NM",IF(CY1081=0,"NM",IF(ABS(CY1081/CT1081-1)&gt;2.5,"NM",IF((ABS(CY1081-CT1081)=ABS(ABS(CY1081)-ABS(CT1081))),(CY1081/CT1081-1),"NM"))))))</f>
      </c>
      <c r="CZ1087" s="1060">
        <f>IF(CU1081=0, "NA", CZ1081/CU1081-1)</f>
      </c>
      <c r="DA1087" s="926">
        <f>IF(CV1081="NM","NM",IF(DA1081="NM","NM",IF(CV1081&lt;=0,"NM",IF(DA1081=0,"NM",IF(ABS(DA1081/CV1081-1)&gt;2.5,"NM",IF((ABS(DA1081-CV1081)=ABS(ABS(DA1081)-ABS(CV1081))),(DA1081/CV1081-1),"NM"))))))</f>
      </c>
      <c r="DB1087" s="926">
        <f>IF(CW1081="NM","NM",IF(DB1081="NM","NM",IF(CW1081&lt;=0,"NM",IF(DB1081=0,"NM",IF(ABS(DB1081/CW1081-1)&gt;2.5,"NM",IF((ABS(DB1081-CW1081)=ABS(ABS(DB1081)-ABS(CW1081))),(DB1081/CW1081-1),"NM"))))))</f>
      </c>
      <c r="DC1087" s="926">
        <f>IF(CX1081="NM","NM",IF(DC1081="NM","NM",IF(CX1081&lt;=0,"NM",IF(DC1081=0,"NM",IF(ABS(DC1081/CX1081-1)&gt;2.5,"NM",IF((ABS(DC1081-CX1081)=ABS(ABS(DC1081)-ABS(CX1081))),(DC1081/CX1081-1),"NM"))))))</f>
      </c>
      <c r="DD1087" s="928">
        <f>IF(CY1081=0, "NM", DD1081/CY1081-1)</f>
      </c>
      <c r="DE1087" s="1060">
        <f>IF(CZ1081=0, "NA", DE1081/CZ1081-1)</f>
      </c>
      <c r="DF1087" s="926">
        <f>IF(DA1081=0, "NA", DF1081/DA1081-1)</f>
      </c>
      <c r="DG1087" s="926">
        <f>IF(DB1081=0, "NA", DG1081/DB1081-1)</f>
      </c>
      <c r="DH1087" s="926">
        <f>IF(DC1081=0, "NA", DH1081/DC1081-1)</f>
      </c>
      <c r="DI1087" s="928">
        <f>IF(DD1081=0, "NM", DI1081/DD1081-1)</f>
      </c>
      <c r="DJ1087" s="1060">
        <f>IF(DE1081=0, "NA", DJ1081/DE1081-1)</f>
      </c>
      <c r="DK1087" s="926">
        <f t="shared" ref="DK1087:DR1087" si="2288">IF(DF1081=0, "NA", DK1081/DF1081-1)</f>
      </c>
      <c r="DL1087" s="926">
        <f t="shared" si="2288"/>
      </c>
      <c r="DM1087" s="926">
        <f t="shared" si="2288"/>
      </c>
      <c r="DN1087" s="926">
        <f t="shared" si="2288"/>
      </c>
      <c r="DO1087" s="1060">
        <f t="shared" si="2288"/>
      </c>
      <c r="DP1087" s="926">
        <f t="shared" si="2288"/>
      </c>
      <c r="DQ1087" s="926">
        <f t="shared" si="2288"/>
      </c>
      <c r="DR1087" s="926">
        <f t="shared" si="2288"/>
      </c>
      <c r="DS1087" s="926">
        <f>IF(DN1081="NM","NM",IF(DS1081="NM","NM",IF(DN1081&lt;=0,"NM",IF(DS1081=0,"NM",IF(ABS(DS1081/DN1081-1)&gt;2.5,"NM",IF((ABS(DS1081-DN1081)=ABS(ABS(DS1081)-ABS(DN1081))),(DS1081/DN1081-1),"NM"))))))</f>
      </c>
      <c r="DT1087" s="1060">
        <f>IF(DO1081=0, "NA", DT1081/DO1081-1)</f>
      </c>
      <c r="DU1087" s="926">
        <f>IF(DP1081="NM","NM",IF(DU1081="NM","NM",IF(DP1081&lt;=0,"NM",IF(DU1081=0,"NM",IF(ABS(DU1081/DP1081-1)&gt;2.5,"NM",IF((ABS(DU1081-DP1081)=ABS(ABS(DU1081)-ABS(DP1081))),(DU1081/DP1081-1),"NM"))))))</f>
      </c>
      <c r="DV1087" s="926">
        <f>IF(DQ1081="NM","NM",IF(DV1081="NM","NM",IF(DQ1081&lt;=0,"NM",IF(DV1081=0,"NM",IF(ABS(DV1081/DQ1081-1)&gt;2.5,"NM",IF((ABS(DV1081-DQ1081)=ABS(ABS(DV1081)-ABS(DQ1081))),(DV1081/DQ1081-1),"NM"))))))</f>
      </c>
      <c r="DW1087" s="926">
        <f>IF(DR1081="NM","NM",IF(DW1081="NM","NM",IF(DR1081&lt;=0,"NM",IF(DW1081=0,"NM",IF(ABS(DW1081/DR1081-1)&gt;2.5,"NM",IF((ABS(DW1081-DR1081)=ABS(ABS(DW1081)-ABS(DR1081))),(DW1081/DR1081-1),"NM"))))))</f>
      </c>
      <c r="DX1087" s="928">
        <f>IF(DS1081="NM","NM",IF(DX1081="NM","NM",IF(DS1081&lt;=0,"NM",IF(DX1081=0,"NM",IF(ABS(DX1081/DS1081-1)&gt;2.5,"NM",IF((ABS(DX1081-DS1081)=ABS(ABS(DX1081)-ABS(DS1081))),(DX1081/DS1081-1),"NM"))))))</f>
      </c>
      <c r="DY1087" s="1060">
        <f>IF(DT1081=0, "NA", DY1081/DT1081-1)</f>
      </c>
      <c r="DZ1087" s="926">
        <f>IF(DU1081="NM","NM",IF(DZ1081="NM","NM",IF(DU1081&lt;=0,"NM",IF(DZ1081=0,"NM",IF(ABS(DZ1081/DU1081-1)&gt;2.5,"NM",IF((ABS(DZ1081-DU1081)=ABS(ABS(DZ1081)-ABS(DU1081))),(DZ1081/DU1081-1),"NM"))))))</f>
      </c>
      <c r="EA1087" s="926">
        <f>IF(DV1081="NM","NM",IF(EA1081="NM","NM",IF(DV1081&lt;=0,"NM",IF(EA1081=0,"NM",IF(ABS(EA1081/DV1081-1)&gt;2.5,"NM",IF((ABS(EA1081-DV1081)=ABS(ABS(EA1081)-ABS(DV1081))),(EA1081/DV1081-1),"NM"))))))</f>
      </c>
      <c r="EB1087" s="926">
        <f>IF(DW1081="NM","NM",IF(EB1081="NM","NM",IF(DW1081&lt;=0,"NM",IF(EB1081=0,"NM",IF(ABS(EB1081/DW1081-1)&gt;2.5,"NM",IF((ABS(EB1081-DW1081)=ABS(ABS(EB1081)-ABS(DW1081))),(EB1081/DW1081-1),"NM"))))))</f>
      </c>
      <c r="EC1087" s="1235">
        <f>IF(DX1081="NM","NM",IF(EC1081="NM","NM",IF(DX1081&lt;=0,"NM",IF(EC1081=0,"NM",IF(ABS(EC1081/DX1081-1)&gt;2.5,"NM",IF((ABS(EC1081-DX1081)=ABS(ABS(EC1081)-ABS(DX1081))),(EC1081/DX1081-1),"NM"))))))</f>
      </c>
      <c r="ED1087" s="1536">
        <f>IF(DY1081=0, "NA", ED1081/DY1081-1)</f>
      </c>
      <c r="EE1087" s="926">
        <f>IF(DZ1081="NM","NM",IF(EE1081="NM","NM",IF(DZ1081&lt;=0,"NM",IF(EE1081=0,"NM",IF(ABS(EE1081/DZ1081-1)&gt;2.5,"NM",IF((ABS(EE1081-DZ1081)=ABS(ABS(EE1081)-ABS(DZ1081))),(EE1081/DZ1081-1),"NM"))))))</f>
      </c>
      <c r="EF1087" s="926">
        <f>IF(EA1081="NM","NM",IF(EF1081="NM","NM",IF(EA1081&lt;=0,"NM",IF(EF1081=0,"NM",IF(ABS(EF1081/EA1081-1)&gt;2.5,"NM",IF((ABS(EF1081-EA1081)=ABS(ABS(EF1081)-ABS(EA1081))),(EF1081/EA1081-1),"NM"))))))</f>
      </c>
      <c r="EG1087" s="926">
        <f>IF(EB1081="NM","NM",IF(EG1081="NM","NM",IF(EB1081&lt;=0,"NM",IF(EG1081=0,"NM",IF(ABS(EG1081/EB1081-1)&gt;2.5,"NM",IF((ABS(EG1081-EB1081)=ABS(ABS(EG1081)-ABS(EB1081))),(EG1081/EB1081-1),"NM"))))))</f>
      </c>
      <c r="EH1087" s="926">
        <f>IF(EC1081="NM","NM",IF(EH1081="NM","NM",IF(EC1081&lt;=0,"NM",IF(EH1081=0,"NM",IF(ABS(EH1081/EC1081-1)&gt;2.5,"NM",IF((ABS(EH1081-EC1081)=ABS(ABS(EH1081)-ABS(EC1081))),(EH1081/EC1081-1),"NM"))))))</f>
      </c>
      <c r="EI1087" s="1060">
        <f>IF(ED1081=0, "NA", EI1081/ED1081-1)</f>
      </c>
      <c r="EJ1087" s="1060">
        <f t="shared" ref="EJ1087:EN1087" si="2289">IF(EI1081=0, "NA", EJ1081/EI1081-1)</f>
      </c>
      <c r="EK1087" s="928">
        <f t="shared" si="2289"/>
      </c>
      <c r="EL1087" s="928">
        <f t="shared" si="2289"/>
      </c>
      <c r="EM1087" s="928">
        <f t="shared" si="2289"/>
      </c>
      <c r="EN1087" s="928">
        <f t="shared" si="2289"/>
      </c>
      <c r="EO1087" s="1060"/>
      <c r="EP1087" s="1060"/>
      <c r="EQ1087" s="1060"/>
      <c r="ER1087" s="1060"/>
      <c r="ES1087" s="1060"/>
      <c r="ET1087" s="1060"/>
      <c r="EU1087" s="1060"/>
      <c r="EV1087" s="1060"/>
      <c r="EW1087" s="1060"/>
      <c r="EX1087" s="1060"/>
    </row>
    <row r="1088" spans="1:154">
      <c r="B1088" s="454" t="s">
        <v>850</v>
      </c>
      <c r="C1088" s="1577"/>
      <c r="D1088" s="933"/>
      <c r="E1088" s="933"/>
      <c r="F1088" s="933"/>
      <c r="G1088" s="933"/>
      <c r="H1088" s="933"/>
      <c r="I1088" s="926"/>
      <c r="J1088" s="926"/>
      <c r="K1088" s="926"/>
      <c r="L1088" s="926"/>
      <c r="M1088" s="926"/>
      <c r="N1088" s="926"/>
      <c r="O1088" s="926"/>
      <c r="P1088" s="926"/>
      <c r="Q1088" s="926"/>
      <c r="R1088" s="926"/>
      <c r="S1088" s="926"/>
      <c r="T1088" s="926"/>
      <c r="U1088" s="926"/>
      <c r="V1088" s="926"/>
      <c r="W1088" s="926"/>
      <c r="X1088" s="1060"/>
      <c r="Y1088" s="926"/>
      <c r="Z1088" s="926"/>
      <c r="AA1088" s="926"/>
      <c r="AB1088" s="926"/>
      <c r="AC1088" s="1060"/>
      <c r="AD1088" s="926"/>
      <c r="AE1088" s="926"/>
      <c r="AF1088" s="926"/>
      <c r="AG1088" s="926"/>
      <c r="AH1088" s="1060"/>
      <c r="AI1088" s="926"/>
      <c r="AJ1088" s="926"/>
      <c r="AK1088" s="926"/>
      <c r="AL1088" s="926"/>
      <c r="AM1088" s="1060"/>
      <c r="AN1088" s="926"/>
      <c r="AO1088" s="926"/>
      <c r="AP1088" s="926"/>
      <c r="AQ1088" s="926"/>
      <c r="AR1088" s="1060"/>
      <c r="AS1088" s="926"/>
      <c r="AT1088" s="926"/>
      <c r="AU1088" s="926"/>
      <c r="AV1088" s="926"/>
      <c r="AW1088" s="1060"/>
      <c r="AX1088" s="926"/>
      <c r="AY1088" s="926"/>
      <c r="AZ1088" s="926"/>
      <c r="BA1088" s="926"/>
      <c r="BB1088" s="1060"/>
      <c r="BC1088" s="926"/>
      <c r="BD1088" s="926"/>
      <c r="BE1088" s="926"/>
      <c r="BF1088" s="926"/>
      <c r="BG1088" s="1060"/>
      <c r="BH1088" s="926"/>
      <c r="BI1088" s="926"/>
      <c r="BJ1088" s="926"/>
      <c r="BK1088" s="926"/>
      <c r="BL1088" s="1060"/>
      <c r="BM1088" s="926"/>
      <c r="BN1088" s="926"/>
      <c r="BO1088" s="926"/>
      <c r="BP1088" s="926"/>
      <c r="BQ1088" s="1060"/>
      <c r="BR1088" s="926"/>
      <c r="BS1088" s="926"/>
      <c r="BT1088" s="926"/>
      <c r="BU1088" s="926"/>
      <c r="BV1088" s="1060"/>
      <c r="BW1088" s="926"/>
      <c r="BX1088" s="926"/>
      <c r="BY1088" s="926"/>
      <c r="BZ1088" s="926"/>
      <c r="CA1088" s="1060"/>
      <c r="CB1088" s="926"/>
      <c r="CC1088" s="926"/>
      <c r="CD1088" s="926"/>
      <c r="CE1088" s="926"/>
      <c r="CF1088" s="1060"/>
      <c r="CG1088" s="926"/>
      <c r="CH1088" s="926"/>
      <c r="CI1088" s="926"/>
      <c r="CJ1088" s="926"/>
      <c r="CK1088" s="1060"/>
      <c r="CL1088" s="926"/>
      <c r="CM1088" s="926"/>
      <c r="CN1088" s="926"/>
      <c r="CO1088" s="926"/>
      <c r="CP1088" s="1060"/>
      <c r="CQ1088" s="649"/>
      <c r="CR1088" s="649"/>
      <c r="CS1088" s="649"/>
      <c r="CT1088" s="649"/>
      <c r="CU1088" s="1482"/>
      <c r="CV1088" s="649">
        <v>0.11600000000000001</v>
      </c>
      <c r="CW1088" s="649">
        <v>0.13700000000000001</v>
      </c>
      <c r="CX1088" s="649">
        <v>0.19400000000000001</v>
      </c>
      <c r="CY1088" s="649">
        <v>0.122</v>
      </c>
      <c r="CZ1088" s="448">
        <v>0.14099999999999999</v>
      </c>
      <c r="DA1088" s="2959">
        <v>0.17899999999999999</v>
      </c>
      <c r="DB1088" s="2959">
        <v>0.156</v>
      </c>
      <c r="DC1088" s="2959">
        <v>0.14299999999999999</v>
      </c>
      <c r="DD1088" s="2960">
        <v>0.13300000000000001</v>
      </c>
      <c r="DE1088" s="2958">
        <v>0.152</v>
      </c>
      <c r="DF1088" s="2959">
        <v>4.0000000000000001E-3</v>
      </c>
      <c r="DG1088" s="2959">
        <v>-0.20499999999999999</v>
      </c>
      <c r="DH1088" s="2959">
        <v>0.124</v>
      </c>
      <c r="DI1088" s="2960">
        <v>0.128</v>
      </c>
      <c r="DJ1088" s="2958">
        <v>1.2999999999999999E-2</v>
      </c>
      <c r="DK1088" s="649">
        <v>0.26400000000000001</v>
      </c>
      <c r="DL1088" s="649">
        <v>0.71299999999999997</v>
      </c>
      <c r="DM1088" s="649">
        <v>0.13200000000000001</v>
      </c>
      <c r="DN1088" s="649">
        <v>0.153</v>
      </c>
      <c r="DO1088" s="448">
        <v>0.28199999999999997</v>
      </c>
      <c r="DP1088" s="649">
        <v>0.17399999999999999</v>
      </c>
      <c r="DQ1088" s="649">
        <v>5.2999999999999999E-2</v>
      </c>
      <c r="DR1088" s="649">
        <v>0.17699999999999999</v>
      </c>
      <c r="DS1088" s="649">
        <v>0.151</v>
      </c>
      <c r="DT1088" s="448">
        <v>0.13700000000000001</v>
      </c>
      <c r="DU1088" s="649">
        <v>0.41899999999999998</v>
      </c>
      <c r="DV1088" s="649">
        <v>0.56899999999999995</v>
      </c>
      <c r="DW1088" s="649">
        <v>0.48099999999999998</v>
      </c>
      <c r="DX1088" s="1482">
        <v>0.52300000000000002</v>
      </c>
      <c r="DY1088" s="448">
        <v>0.498</v>
      </c>
      <c r="DZ1088" s="926">
        <f>(DU1080*DZ1086+DU1079*DZ1084)/(DU1081)</f>
      </c>
      <c r="EA1088" s="926">
        <f t="shared" ref="EA1088:EH1088" si="2290">(DV1080*EA1086+DV1079*EA1084)/(DV1081)</f>
      </c>
      <c r="EB1088" s="926">
        <f t="shared" si="2290"/>
      </c>
      <c r="EC1088" s="3610">
        <v>0.24199999999999999</v>
      </c>
      <c r="ED1088" s="3623">
        <v>0.22800000000000001</v>
      </c>
      <c r="EE1088" s="926">
        <v>0.17699999999999999</v>
      </c>
      <c r="EF1088" s="926">
        <v>0.223</v>
      </c>
      <c r="EG1088" s="926">
        <f t="shared" si="2290"/>
      </c>
      <c r="EH1088" s="926">
        <f t="shared" si="2290"/>
      </c>
      <c r="EI1088" s="1060">
        <f>(ED1080*EI1086+ED1079*EI1084)/(ED1081)</f>
      </c>
      <c r="EJ1088" s="1060">
        <f t="shared" ref="EJ1088:EN1088" si="2291">(EI1080*EJ1086+EI1079*EJ1084)/(EI1081)</f>
      </c>
      <c r="EK1088" s="928">
        <f t="shared" si="2291"/>
      </c>
      <c r="EL1088" s="928">
        <f t="shared" si="2291"/>
      </c>
      <c r="EM1088" s="928">
        <f t="shared" si="2291"/>
      </c>
      <c r="EN1088" s="928">
        <f t="shared" si="2291"/>
      </c>
      <c r="EO1088" s="1060"/>
      <c r="EP1088" s="1060"/>
      <c r="EQ1088" s="1060"/>
      <c r="ER1088" s="1060"/>
      <c r="ES1088" s="1060"/>
      <c r="ET1088" s="1060"/>
      <c r="EU1088" s="1060"/>
      <c r="EV1088" s="1060"/>
      <c r="EW1088" s="1060"/>
      <c r="EX1088" s="1060"/>
    </row>
    <row r="1089" spans="2:154">
      <c r="B1089" s="454"/>
      <c r="C1089" s="1577"/>
      <c r="D1089" s="933"/>
      <c r="E1089" s="933"/>
      <c r="F1089" s="933"/>
      <c r="G1089" s="933"/>
      <c r="H1089" s="933"/>
      <c r="I1089" s="926"/>
      <c r="J1089" s="926"/>
      <c r="K1089" s="926"/>
      <c r="L1089" s="926"/>
      <c r="M1089" s="926"/>
      <c r="N1089" s="926"/>
      <c r="O1089" s="926"/>
      <c r="P1089" s="926"/>
      <c r="Q1089" s="926"/>
      <c r="R1089" s="926"/>
      <c r="S1089" s="926"/>
      <c r="T1089" s="926"/>
      <c r="U1089" s="926"/>
      <c r="V1089" s="926"/>
      <c r="W1089" s="926"/>
      <c r="X1089" s="1060"/>
      <c r="Y1089" s="926"/>
      <c r="Z1089" s="926"/>
      <c r="AA1089" s="926"/>
      <c r="AB1089" s="926"/>
      <c r="AC1089" s="1060"/>
      <c r="AD1089" s="926"/>
      <c r="AE1089" s="926"/>
      <c r="AF1089" s="926"/>
      <c r="AG1089" s="926"/>
      <c r="AH1089" s="1060"/>
      <c r="AI1089" s="926"/>
      <c r="AJ1089" s="926"/>
      <c r="AK1089" s="926"/>
      <c r="AL1089" s="926"/>
      <c r="AM1089" s="1060"/>
      <c r="AN1089" s="926"/>
      <c r="AO1089" s="926"/>
      <c r="AP1089" s="926"/>
      <c r="AQ1089" s="926"/>
      <c r="AR1089" s="1060"/>
      <c r="AS1089" s="926"/>
      <c r="AT1089" s="926"/>
      <c r="AU1089" s="926"/>
      <c r="AV1089" s="926"/>
      <c r="AW1089" s="1060"/>
      <c r="AX1089" s="926"/>
      <c r="AY1089" s="926"/>
      <c r="AZ1089" s="926"/>
      <c r="BA1089" s="926"/>
      <c r="BB1089" s="1060"/>
      <c r="BC1089" s="926"/>
      <c r="BD1089" s="926"/>
      <c r="BE1089" s="926"/>
      <c r="BF1089" s="926"/>
      <c r="BG1089" s="1060"/>
      <c r="BH1089" s="926"/>
      <c r="BI1089" s="926"/>
      <c r="BJ1089" s="926"/>
      <c r="BK1089" s="926"/>
      <c r="BL1089" s="1060"/>
      <c r="BM1089" s="926"/>
      <c r="BN1089" s="926"/>
      <c r="BO1089" s="926"/>
      <c r="BP1089" s="926"/>
      <c r="BQ1089" s="1060"/>
      <c r="BR1089" s="926"/>
      <c r="BS1089" s="926"/>
      <c r="BT1089" s="926"/>
      <c r="BU1089" s="926"/>
      <c r="BV1089" s="1060"/>
      <c r="BW1089" s="926"/>
      <c r="BX1089" s="926"/>
      <c r="BY1089" s="926"/>
      <c r="BZ1089" s="926"/>
      <c r="CA1089" s="1060"/>
      <c r="CB1089" s="926"/>
      <c r="CC1089" s="926"/>
      <c r="CD1089" s="926"/>
      <c r="CE1089" s="926"/>
      <c r="CF1089" s="1060"/>
      <c r="CG1089" s="926"/>
      <c r="CH1089" s="926"/>
      <c r="CI1089" s="926"/>
      <c r="CJ1089" s="926"/>
      <c r="CK1089" s="1060"/>
      <c r="CL1089" s="926"/>
      <c r="CM1089" s="926"/>
      <c r="CN1089" s="926"/>
      <c r="CO1089" s="926"/>
      <c r="CP1089" s="1060"/>
      <c r="CQ1089" s="926"/>
      <c r="CR1089" s="926"/>
      <c r="CS1089" s="926"/>
      <c r="CT1089" s="926"/>
      <c r="CU1089" s="928"/>
      <c r="CV1089" s="926"/>
      <c r="CW1089" s="926"/>
      <c r="CX1089" s="926"/>
      <c r="CY1089" s="926"/>
      <c r="CZ1089" s="1060"/>
      <c r="DA1089" s="926"/>
      <c r="DB1089" s="926"/>
      <c r="DC1089" s="926"/>
      <c r="DD1089" s="928"/>
      <c r="DE1089" s="1060"/>
      <c r="DF1089" s="926"/>
      <c r="DG1089" s="926"/>
      <c r="DH1089" s="926"/>
      <c r="DI1089" s="928"/>
      <c r="DJ1089" s="1060"/>
      <c r="DK1089" s="926"/>
      <c r="DL1089" s="926"/>
      <c r="DM1089" s="926"/>
      <c r="DN1089" s="925"/>
      <c r="DO1089" s="1060"/>
      <c r="DP1089" s="925"/>
      <c r="DQ1089" s="925"/>
      <c r="DR1089" s="925"/>
      <c r="DS1089" s="925"/>
      <c r="DT1089" s="1060"/>
      <c r="DU1089" s="926"/>
      <c r="DV1089" s="926"/>
      <c r="DW1089" s="925"/>
      <c r="DX1089" s="927"/>
      <c r="DY1089" s="1060"/>
      <c r="DZ1089" s="926"/>
      <c r="EA1089" s="926"/>
      <c r="EB1089" s="926"/>
      <c r="EC1089" s="1525"/>
      <c r="ED1089" s="1060"/>
      <c r="EE1089" s="926"/>
      <c r="EF1089" s="926"/>
      <c r="EG1089" s="926"/>
      <c r="EH1089" s="926"/>
      <c r="EI1089" s="2653"/>
      <c r="EJ1089" s="3301"/>
      <c r="EK1089" s="2653"/>
      <c r="EL1089" s="2653"/>
      <c r="EM1089" s="2653"/>
      <c r="EN1089" s="2653"/>
      <c r="EO1089" s="2653"/>
      <c r="EP1089" s="2653"/>
      <c r="EQ1089" s="2653"/>
      <c r="ER1089" s="2653"/>
      <c r="ES1089" s="2653"/>
      <c r="ET1089" s="2653"/>
      <c r="EU1089" s="2653"/>
      <c r="EV1089" s="2653"/>
      <c r="EW1089" s="2653"/>
      <c r="EX1089" s="2653"/>
    </row>
    <row r="1090" spans="2:154">
      <c r="B1090" s="2239" t="s">
        <v>816</v>
      </c>
      <c r="C1090" s="2019" t="s">
        <v>185</v>
      </c>
      <c r="D1090" s="2976"/>
      <c r="E1090" s="2976"/>
      <c r="F1090" s="2976"/>
      <c r="G1090" s="2976"/>
      <c r="H1090" s="2976"/>
      <c r="I1090" s="2977"/>
      <c r="J1090" s="2976"/>
      <c r="K1090" s="2976"/>
      <c r="L1090" s="2976"/>
      <c r="M1090" s="2976"/>
      <c r="N1090" s="2977"/>
      <c r="O1090" s="2977"/>
      <c r="P1090" s="2977"/>
      <c r="Q1090" s="2977"/>
      <c r="R1090" s="2977"/>
      <c r="S1090" s="2978"/>
      <c r="T1090" s="2977"/>
      <c r="U1090" s="2977"/>
      <c r="V1090" s="2977"/>
      <c r="W1090" s="2977"/>
      <c r="X1090" s="2240"/>
      <c r="Y1090" s="2977"/>
      <c r="Z1090" s="2977"/>
      <c r="AA1090" s="2977"/>
      <c r="AB1090" s="2977"/>
      <c r="AC1090" s="2240"/>
      <c r="AD1090" s="2977"/>
      <c r="AE1090" s="2977"/>
      <c r="AF1090" s="2977"/>
      <c r="AG1090" s="2977"/>
      <c r="AH1090" s="2240"/>
      <c r="AI1090" s="2976"/>
      <c r="AJ1090" s="2976"/>
      <c r="AK1090" s="2976"/>
      <c r="AL1090" s="2977"/>
      <c r="AM1090" s="2240"/>
      <c r="AN1090" s="2976"/>
      <c r="AO1090" s="2976"/>
      <c r="AP1090" s="2976"/>
      <c r="AQ1090" s="2977"/>
      <c r="AR1090" s="2240"/>
      <c r="AS1090" s="2976"/>
      <c r="AT1090" s="2976"/>
      <c r="AU1090" s="2976"/>
      <c r="AV1090" s="2977"/>
      <c r="AW1090" s="2240"/>
      <c r="AX1090" s="2976"/>
      <c r="AY1090" s="2976"/>
      <c r="AZ1090" s="2976"/>
      <c r="BA1090" s="2976"/>
      <c r="BB1090" s="2240"/>
      <c r="BC1090" s="2976"/>
      <c r="BD1090" s="2976"/>
      <c r="BE1090" s="2976"/>
      <c r="BF1090" s="2976"/>
      <c r="BG1090" s="2240"/>
      <c r="BH1090" s="2976"/>
      <c r="BI1090" s="2976"/>
      <c r="BJ1090" s="2976"/>
      <c r="BK1090" s="2976"/>
      <c r="BL1090" s="2240"/>
      <c r="BM1090" s="2976"/>
      <c r="BN1090" s="2976"/>
      <c r="BO1090" s="2976"/>
      <c r="BP1090" s="2976"/>
      <c r="BQ1090" s="2240"/>
      <c r="BR1090" s="2976"/>
      <c r="BS1090" s="2976"/>
      <c r="BT1090" s="2976"/>
      <c r="BU1090" s="2976"/>
      <c r="BV1090" s="2240"/>
      <c r="BW1090" s="2976"/>
      <c r="BX1090" s="2976"/>
      <c r="BY1090" s="2976"/>
      <c r="BZ1090" s="2976"/>
      <c r="CA1090" s="2240"/>
      <c r="CB1090" s="2976"/>
      <c r="CC1090" s="2976"/>
      <c r="CD1090" s="2976"/>
      <c r="CE1090" s="2976"/>
      <c r="CF1090" s="2240"/>
      <c r="CG1090" s="2976"/>
      <c r="CH1090" s="2976"/>
      <c r="CI1090" s="2976"/>
      <c r="CJ1090" s="2976"/>
      <c r="CK1090" s="2240"/>
      <c r="CL1090" s="3031"/>
      <c r="CM1090" s="2976"/>
      <c r="CN1090" s="2976"/>
      <c r="CO1090" s="2976"/>
      <c r="CP1090" s="2240"/>
      <c r="CQ1090" s="2976"/>
      <c r="CR1090" s="2976"/>
      <c r="CS1090" s="2976"/>
      <c r="CT1090" s="2976"/>
      <c r="CU1090" s="2240"/>
      <c r="CV1090" s="2976"/>
      <c r="CW1090" s="2976"/>
      <c r="CX1090" s="2976"/>
      <c r="CY1090" s="2976"/>
      <c r="CZ1090" s="2240"/>
      <c r="DA1090" s="2357"/>
      <c r="DB1090" s="3028"/>
      <c r="DC1090" s="3028"/>
      <c r="DD1090" s="2358"/>
      <c r="DE1090" s="2208"/>
      <c r="DF1090" s="2194"/>
      <c r="DG1090" s="2957"/>
      <c r="DH1090" s="2957"/>
      <c r="DI1090" s="2128"/>
      <c r="DJ1090" s="2208"/>
      <c r="DK1090" s="2194"/>
      <c r="DL1090" s="2957"/>
      <c r="DM1090" s="2957"/>
      <c r="DN1090" s="2128"/>
      <c r="DO1090" s="2208"/>
      <c r="DP1090" s="2957"/>
      <c r="DQ1090" s="2957"/>
      <c r="DR1090" s="2957"/>
      <c r="DS1090" s="2957"/>
      <c r="DT1090" s="2205"/>
      <c r="DU1090" s="2957"/>
      <c r="DV1090" s="2957"/>
      <c r="DW1090" s="2957"/>
      <c r="DX1090" s="2128"/>
      <c r="DY1090" s="2205"/>
      <c r="DZ1090" s="2957"/>
      <c r="EA1090" s="2957"/>
      <c r="EB1090" s="2957"/>
      <c r="EC1090" s="2957"/>
      <c r="ED1090" s="2205"/>
      <c r="EE1090" s="2957"/>
      <c r="EF1090" s="2957"/>
      <c r="EG1090" s="2957"/>
      <c r="EH1090" s="2957"/>
      <c r="EI1090" s="3603"/>
      <c r="EJ1090" s="2133"/>
      <c r="EK1090" s="2205"/>
      <c r="EL1090" s="2205"/>
      <c r="EM1090" s="2205"/>
      <c r="EN1090" s="2205"/>
      <c r="EO1090" s="2133"/>
      <c r="EP1090" s="2133"/>
      <c r="EQ1090" s="2133"/>
      <c r="ER1090" s="2133"/>
      <c r="ES1090" s="2133"/>
      <c r="ET1090" s="2133"/>
      <c r="EU1090" s="2133"/>
      <c r="EV1090" s="2133"/>
      <c r="EW1090" s="2133"/>
      <c r="EX1090" s="2133"/>
    </row>
    <row r="1091" spans="2:154">
      <c r="B1091" s="334" t="s">
        <v>187</v>
      </c>
      <c r="C1091" s="1577"/>
      <c r="D1091" s="933" t="e">
        <f>+D1167+#REF!+#REF!</f>
      </c>
      <c r="E1091" s="933" t="e">
        <f>+E1167+#REF!</f>
      </c>
      <c r="F1091" s="933" t="e">
        <f>+F1167+#REF!</f>
      </c>
      <c r="G1091" s="933" t="e">
        <f>+G1167+#REF!</f>
      </c>
      <c r="H1091" s="933" t="e">
        <f>+H1167+#REF!</f>
      </c>
      <c r="I1091" s="933" t="e">
        <f>+I1167+#REF!+#REF!</f>
      </c>
      <c r="J1091" s="933" t="e">
        <f>+J1167+#REF!</f>
      </c>
      <c r="K1091" s="933" t="e">
        <f>+K1167+#REF!</f>
      </c>
      <c r="L1091" s="933" t="e">
        <f>+L1167+#REF!</f>
      </c>
      <c r="M1091" s="933" t="e">
        <f>+M1167+#REF!</f>
      </c>
      <c r="N1091" s="933" t="e">
        <f>+N1167+#REF!+#REF!</f>
      </c>
      <c r="O1091" s="933" t="e">
        <f>+O1167+#REF!</f>
      </c>
      <c r="P1091" s="933" t="e">
        <f>+P1167+#REF!</f>
      </c>
      <c r="Q1091" s="933" t="e">
        <f>+Q1167+#REF!</f>
      </c>
      <c r="R1091" s="933" t="e">
        <f>+R1167+#REF!</f>
      </c>
      <c r="S1091" s="933" t="e">
        <f>+S1167+#REF!+#REF!</f>
      </c>
      <c r="T1091" s="933" t="e">
        <f>+T1167+#REF!</f>
      </c>
      <c r="U1091" s="933" t="e">
        <f>+U1167+#REF!</f>
      </c>
      <c r="V1091" s="933" t="e">
        <f>+V1167+#REF!</f>
      </c>
      <c r="W1091" s="933" t="e">
        <f>+W1167+#REF!</f>
      </c>
      <c r="X1091" s="1061" t="e">
        <f>+X1167+#REF!+#REF!</f>
      </c>
      <c r="Y1091" s="933" t="e">
        <f>+Y1167+#REF!</f>
      </c>
      <c r="Z1091" s="933" t="e">
        <f>+Z1167+#REF!</f>
      </c>
      <c r="AA1091" s="933" t="e">
        <f>+AA1167+#REF!</f>
      </c>
      <c r="AB1091" s="933" t="e">
        <f>+AB1167+#REF!</f>
      </c>
      <c r="AC1091" s="1061" t="e">
        <f>+AC1167+#REF!+#REF!</f>
      </c>
      <c r="AD1091" s="933" t="e">
        <f>+AD1167+#REF!</f>
      </c>
      <c r="AE1091" s="933" t="e">
        <f>+AE1167+#REF!</f>
      </c>
      <c r="AF1091" s="933" t="e">
        <f>+AF1167+#REF!</f>
      </c>
      <c r="AG1091" s="933" t="e">
        <f>+AG1167+#REF!</f>
      </c>
      <c r="AH1091" s="1061" t="e">
        <f>+AH1167+#REF!+#REF!</f>
      </c>
      <c r="AI1091" s="933" t="e">
        <f>+AI1167+#REF!</f>
      </c>
      <c r="AJ1091" s="933" t="e">
        <f>+AJ1167+#REF!</f>
      </c>
      <c r="AK1091" s="933" t="e">
        <f>+AK1167+#REF!</f>
      </c>
      <c r="AL1091" s="933" t="e">
        <f>+AL1167+#REF!</f>
      </c>
      <c r="AM1091" s="1061" t="e">
        <f>+AM1167+#REF!+#REF!</f>
      </c>
      <c r="AN1091" s="933" t="e">
        <f>+AN1167+#REF!+#REF!+AN1145+AN1156</f>
      </c>
      <c r="AO1091" s="933" t="e">
        <f>+AO1167+#REF!+#REF!+AO1145+AO1156</f>
      </c>
      <c r="AP1091" s="933" t="e">
        <f>+AP1167+#REF!+#REF!+AP1145+AP1156</f>
      </c>
      <c r="AQ1091" s="933" t="e">
        <f>+AQ1167+#REF!+#REF!+AQ1145+AQ1156</f>
      </c>
      <c r="AR1091" s="1061" t="e">
        <f>+AR1167+#REF!+#REF!+AR1145+AR1156</f>
      </c>
      <c r="AS1091" s="933" t="e">
        <f>+AS1167+#REF!+#REF!+AS1145+AS1156</f>
      </c>
      <c r="AT1091" s="933" t="e">
        <f>+AT1167+#REF!+#REF!+AT1145+AT1156</f>
      </c>
      <c r="AU1091" s="933" t="e">
        <f>+AU1167+#REF!+#REF!+AU1145+AU1156</f>
      </c>
      <c r="AV1091" s="933" t="e">
        <f>+AV1167+#REF!+#REF!+AV1145+AV1156</f>
      </c>
      <c r="AW1091" s="1061" t="e">
        <f>+AW1167+#REF!+#REF!+AW1145+AW1156</f>
      </c>
      <c r="AX1091" s="933" t="e">
        <f>+AX1167+#REF!+#REF!+AX1145</f>
      </c>
      <c r="AY1091" s="933" t="e">
        <f>+AY1167+#REF!+#REF!+AY1145</f>
      </c>
      <c r="AZ1091" s="933" t="e">
        <f>+AZ1167+#REF!+#REF!+AZ1145</f>
      </c>
      <c r="BA1091" s="933" t="e">
        <f>+BA1167+#REF!+#REF!+BA1145</f>
      </c>
      <c r="BB1091" s="1061" t="e">
        <f>+BB1167+#REF!+#REF!+BB1145</f>
      </c>
      <c r="BC1091" s="933" t="e">
        <f>+BC1167+#REF!+#REF!+BC1145</f>
      </c>
      <c r="BD1091" s="933" t="e">
        <f>+BD1167+#REF!+#REF!+BD1145</f>
      </c>
      <c r="BE1091" s="933" t="e">
        <f>+BE1167+#REF!+#REF!+BE1145</f>
      </c>
      <c r="BF1091" s="933" t="e">
        <f>+BF1167+#REF!+#REF!+BF1145</f>
      </c>
      <c r="BG1091" s="1061" t="e">
        <f>+BG1167+#REF!+#REF!+BG1145</f>
      </c>
      <c r="BH1091" s="933" t="e">
        <f>+BH1167+#REF!+#REF!+BH1145</f>
      </c>
      <c r="BI1091" s="933" t="e">
        <f>+BI1167+#REF!+#REF!+BI1145</f>
      </c>
      <c r="BJ1091" s="933" t="e">
        <f>+BJ1167+#REF!+#REF!+BJ1145</f>
      </c>
      <c r="BK1091" s="933" t="e">
        <f>+BK1167+#REF!+#REF!+BK1145</f>
      </c>
      <c r="BL1091" s="1061" t="e">
        <f>+BL1167+#REF!+#REF!+BL1145</f>
      </c>
      <c r="BM1091" s="933" t="e">
        <f>+BM1167+#REF!+#REF!+BM1145</f>
      </c>
      <c r="BN1091" s="933" t="e">
        <f>+BN1167+#REF!+#REF!+BN1145</f>
      </c>
      <c r="BO1091" s="933" t="e">
        <f>+BO1167+#REF!+#REF!+BO1145</f>
      </c>
      <c r="BP1091" s="933" t="e">
        <f>+BP1167+#REF!+#REF!+BP1145</f>
      </c>
      <c r="BQ1091" s="1061" t="e">
        <f>+BQ1167+#REF!+#REF!+BQ1145</f>
      </c>
      <c r="BR1091" s="933" t="e">
        <f>+BR1167+#REF!+#REF!+BR1145</f>
      </c>
      <c r="BS1091" s="933" t="e">
        <f>+BS1167+#REF!+#REF!+BS1145</f>
      </c>
      <c r="BT1091" s="933" t="e">
        <f>+BT1167+#REF!+#REF!+BT1145</f>
      </c>
      <c r="BU1091" s="933" t="e">
        <f>+BU1167+#REF!+#REF!+BU1145</f>
      </c>
      <c r="BV1091" s="1061" t="e">
        <f>+BV1167+#REF!+#REF!+BV1145</f>
      </c>
      <c r="BW1091" s="933" t="e">
        <f>+BW1167+#REF!+#REF!+BW1145</f>
      </c>
      <c r="BX1091" s="933" t="e">
        <f>+BX1167+#REF!+#REF!+BX1145</f>
      </c>
      <c r="BY1091" s="933" t="e">
        <f>+BY1167+#REF!+#REF!+BY1145</f>
      </c>
      <c r="BZ1091" s="352">
        <v>210</v>
      </c>
      <c r="CA1091" s="1061" t="e">
        <f>SUM(BW1091:BZ1091)</f>
      </c>
      <c r="CB1091" s="352">
        <v>205</v>
      </c>
      <c r="CC1091" s="352">
        <v>214</v>
      </c>
      <c r="CD1091" s="352">
        <v>221</v>
      </c>
      <c r="CE1091" s="352">
        <v>222</v>
      </c>
      <c r="CF1091" s="1061">
        <f>SUM(CB1091:CE1091)</f>
      </c>
      <c r="CG1091" s="352">
        <v>228</v>
      </c>
      <c r="CH1091" s="352">
        <v>235</v>
      </c>
      <c r="CI1091" s="352">
        <v>239</v>
      </c>
      <c r="CJ1091" s="352">
        <v>229</v>
      </c>
      <c r="CK1091" s="1061">
        <f>SUM(CG1091:CJ1091)</f>
      </c>
      <c r="CL1091" s="352">
        <v>231</v>
      </c>
      <c r="CM1091" s="352">
        <v>235</v>
      </c>
      <c r="CN1091" s="352">
        <v>235</v>
      </c>
      <c r="CO1091" s="352">
        <v>247</v>
      </c>
      <c r="CP1091" s="1061">
        <f>SUM(CL1091:CO1091)</f>
      </c>
      <c r="CQ1091" s="3029">
        <v>279</v>
      </c>
      <c r="CR1091" s="3029">
        <v>285</v>
      </c>
      <c r="CS1091" s="3029">
        <v>279</v>
      </c>
      <c r="CT1091" s="3029">
        <v>305</v>
      </c>
      <c r="CU1091" s="3030">
        <f>SUM(CQ1091:CT1091)</f>
      </c>
      <c r="CV1091" s="3029">
        <v>304</v>
      </c>
      <c r="CW1091" s="3029">
        <v>323</v>
      </c>
      <c r="CX1091" s="3029">
        <v>320</v>
      </c>
      <c r="CY1091" s="3029">
        <v>336</v>
      </c>
      <c r="CZ1091" s="3030">
        <f>SUM(CV1091:CY1091)</f>
      </c>
      <c r="DA1091" s="3029">
        <v>343</v>
      </c>
      <c r="DB1091" s="3029">
        <v>366</v>
      </c>
      <c r="DC1091" s="577">
        <v>357</v>
      </c>
      <c r="DD1091" s="1205">
        <v>377</v>
      </c>
      <c r="DE1091" s="2060">
        <f>SUM(DA1091:DD1091)</f>
      </c>
      <c r="DF1091" s="710">
        <v>365</v>
      </c>
      <c r="DG1091" s="710">
        <v>255</v>
      </c>
      <c r="DH1091" s="710">
        <v>399</v>
      </c>
      <c r="DI1091" s="1839">
        <v>433</v>
      </c>
      <c r="DJ1091" s="2060">
        <f>SUM(DF1091:DI1091)</f>
      </c>
      <c r="DK1091" s="710">
        <v>434.4</v>
      </c>
      <c r="DL1091" s="710">
        <v>475</v>
      </c>
      <c r="DM1091" s="710">
        <v>444</v>
      </c>
      <c r="DN1091" s="710">
        <v>483</v>
      </c>
      <c r="DO1091" s="2060">
        <f>SUM(DK1091:DN1091)</f>
      </c>
      <c r="DP1091" s="710">
        <v>470</v>
      </c>
      <c r="DQ1091" s="710">
        <v>499</v>
      </c>
      <c r="DR1091" s="710">
        <v>520</v>
      </c>
      <c r="DS1091" s="710">
        <v>547</v>
      </c>
      <c r="DT1091" s="2060">
        <f>SUM(DP1091:DS1091)</f>
      </c>
      <c r="DU1091" s="710">
        <v>570.6</v>
      </c>
      <c r="DV1091" s="710">
        <v>609</v>
      </c>
      <c r="DW1091" s="710">
        <v>611</v>
      </c>
      <c r="DX1091" s="1839">
        <v>667</v>
      </c>
      <c r="DY1091" s="2060">
        <f>SUM(DU1091:DX1091)</f>
      </c>
      <c r="DZ1091" s="710">
        <v>692</v>
      </c>
      <c r="EA1091" s="710">
        <v>704.5</v>
      </c>
      <c r="EB1091" s="710">
        <v>660</v>
      </c>
      <c r="EC1091" s="1552">
        <v>681</v>
      </c>
      <c r="ED1091" s="2060">
        <f>SUM(DZ1091:EC1091)</f>
      </c>
      <c r="EE1091" s="710">
        <v>684</v>
      </c>
      <c r="EF1091" s="710">
        <v>741</v>
      </c>
      <c r="EG1091" s="710">
        <v>720</v>
      </c>
      <c r="EH1091" s="1542">
        <f>EI1091-SUM(EE1091:EG1091)</f>
      </c>
      <c r="EI1091" s="2060">
        <f>ED1091*(1+EI1096)</f>
      </c>
      <c r="EJ1091" s="2060">
        <f t="shared" ref="EJ1091:EN1092" si="2292">EI1091*(1+EJ1096)</f>
      </c>
      <c r="EK1091" s="2060">
        <f t="shared" si="2292"/>
      </c>
      <c r="EL1091" s="2060">
        <f t="shared" si="2292"/>
      </c>
      <c r="EM1091" s="2060">
        <f t="shared" si="2292"/>
      </c>
      <c r="EN1091" s="2060">
        <f t="shared" si="2292"/>
      </c>
      <c r="EO1091" s="2060"/>
      <c r="EP1091" s="2060"/>
      <c r="EQ1091" s="2060"/>
      <c r="ER1091" s="2060"/>
      <c r="ES1091" s="2060"/>
      <c r="ET1091" s="2060"/>
      <c r="EU1091" s="2060"/>
      <c r="EV1091" s="2060"/>
      <c r="EW1091" s="2060"/>
      <c r="EX1091" s="2060"/>
    </row>
    <row r="1092" spans="2:154">
      <c r="B1092" s="334" t="s">
        <v>412</v>
      </c>
      <c r="C1092" s="1577"/>
      <c r="D1092" s="933" t="e">
        <f>+D1168+#REF!+#REF!</f>
      </c>
      <c r="E1092" s="933" t="e">
        <f>+E1168+#REF!</f>
      </c>
      <c r="F1092" s="933" t="e">
        <f>+F1168+#REF!</f>
      </c>
      <c r="G1092" s="933" t="e">
        <f>+G1168+#REF!</f>
      </c>
      <c r="H1092" s="933" t="e">
        <f>+H1168+#REF!</f>
      </c>
      <c r="I1092" s="933" t="e">
        <f>+I1168+#REF!+#REF!</f>
      </c>
      <c r="J1092" s="933" t="e">
        <f>+J1168+#REF!</f>
      </c>
      <c r="K1092" s="933" t="e">
        <f>+K1168+#REF!</f>
      </c>
      <c r="L1092" s="933" t="e">
        <f>+L1168+#REF!</f>
      </c>
      <c r="M1092" s="933" t="e">
        <f>+M1168+#REF!</f>
      </c>
      <c r="N1092" s="933" t="e">
        <f>+N1168+#REF!+#REF!</f>
      </c>
      <c r="O1092" s="933" t="e">
        <f>+O1168+#REF!</f>
      </c>
      <c r="P1092" s="933" t="e">
        <f>+P1168+#REF!</f>
      </c>
      <c r="Q1092" s="933" t="e">
        <f>+Q1168+#REF!</f>
      </c>
      <c r="R1092" s="933" t="e">
        <f>+R1168+#REF!</f>
      </c>
      <c r="S1092" s="933" t="e">
        <f>+S1168+#REF!+#REF!</f>
      </c>
      <c r="T1092" s="933" t="e">
        <f>+T1168+#REF!</f>
      </c>
      <c r="U1092" s="933" t="e">
        <f>+U1168+#REF!</f>
      </c>
      <c r="V1092" s="933" t="e">
        <f>+V1168+#REF!</f>
      </c>
      <c r="W1092" s="933" t="e">
        <f>+W1168+#REF!</f>
      </c>
      <c r="X1092" s="1061" t="e">
        <f>+X1168+#REF!+#REF!</f>
      </c>
      <c r="Y1092" s="933" t="e">
        <f>+Y1168+#REF!</f>
      </c>
      <c r="Z1092" s="933" t="e">
        <f>+Z1168+#REF!</f>
      </c>
      <c r="AA1092" s="933" t="e">
        <f>+AA1168+#REF!</f>
      </c>
      <c r="AB1092" s="933" t="e">
        <f>+AB1168+#REF!</f>
      </c>
      <c r="AC1092" s="1061" t="e">
        <f>+AC1168+#REF!+#REF!</f>
      </c>
      <c r="AD1092" s="933" t="e">
        <f>+AD1168+#REF!</f>
      </c>
      <c r="AE1092" s="933" t="e">
        <f>+AE1168+#REF!</f>
      </c>
      <c r="AF1092" s="933" t="e">
        <f>+AF1168+#REF!</f>
      </c>
      <c r="AG1092" s="933" t="e">
        <f>+AG1168+#REF!</f>
      </c>
      <c r="AH1092" s="1061" t="e">
        <f>+AH1168+#REF!+#REF!</f>
      </c>
      <c r="AI1092" s="933" t="e">
        <f>+AI1168+#REF!</f>
      </c>
      <c r="AJ1092" s="933" t="e">
        <f>+AJ1168+#REF!</f>
      </c>
      <c r="AK1092" s="933" t="e">
        <f>+AK1168+#REF!</f>
      </c>
      <c r="AL1092" s="933" t="e">
        <f>+AL1168+#REF!</f>
      </c>
      <c r="AM1092" s="1061" t="e">
        <f>+AM1168+#REF!+#REF!</f>
      </c>
      <c r="AN1092" s="933" t="e">
        <f>+AN1168+#REF!+#REF!+AN1146+AN1157</f>
      </c>
      <c r="AO1092" s="933" t="e">
        <f>+AO1168+#REF!+#REF!+AO1146+AO1157</f>
      </c>
      <c r="AP1092" s="933" t="e">
        <f>+AP1168+#REF!+#REF!+AP1146+AP1157</f>
      </c>
      <c r="AQ1092" s="933" t="e">
        <f>+AQ1168+#REF!+#REF!+AQ1146+AQ1157</f>
      </c>
      <c r="AR1092" s="1061" t="e">
        <f>+AR1168+#REF!+#REF!+AR1146+AR1157</f>
      </c>
      <c r="AS1092" s="933" t="e">
        <f>+AS1168+#REF!+#REF!+AS1146+AS1157</f>
      </c>
      <c r="AT1092" s="933" t="e">
        <f>+AT1168+#REF!+#REF!+AT1146+AT1157</f>
      </c>
      <c r="AU1092" s="933" t="e">
        <f>+AU1168+#REF!+#REF!+AU1146+AU1157</f>
      </c>
      <c r="AV1092" s="933" t="e">
        <f>+AV1168+#REF!+#REF!+AV1146+AV1157</f>
      </c>
      <c r="AW1092" s="1061" t="e">
        <f>+AW1168+#REF!+#REF!+AW1146+AW1157</f>
      </c>
      <c r="AX1092" s="933" t="e">
        <f>+AX1168+#REF!+#REF!+AX1146</f>
      </c>
      <c r="AY1092" s="933" t="e">
        <f>+AY1168+#REF!+#REF!+AY1146</f>
      </c>
      <c r="AZ1092" s="933" t="e">
        <f>+AZ1168+#REF!+#REF!+AZ1146</f>
      </c>
      <c r="BA1092" s="933" t="e">
        <f>+BA1168+#REF!+#REF!+BA1146</f>
      </c>
      <c r="BB1092" s="1061" t="e">
        <f>+BB1168+#REF!+#REF!+BB1146</f>
      </c>
      <c r="BC1092" s="933" t="e">
        <f>+BC1168+#REF!+#REF!+BC1146</f>
      </c>
      <c r="BD1092" s="933" t="e">
        <f>+BD1168+#REF!+#REF!+BD1146</f>
      </c>
      <c r="BE1092" s="933" t="e">
        <f>+BE1168+#REF!+#REF!+BE1146</f>
      </c>
      <c r="BF1092" s="933" t="e">
        <f>+BF1168+#REF!+#REF!+BF1146</f>
      </c>
      <c r="BG1092" s="1061" t="e">
        <f>+BG1168+#REF!+#REF!+BG1146</f>
      </c>
      <c r="BH1092" s="933" t="e">
        <f>+BH1168+#REF!+#REF!+BH1146</f>
      </c>
      <c r="BI1092" s="933" t="e">
        <f>+BI1168+#REF!+#REF!+BI1146</f>
      </c>
      <c r="BJ1092" s="933" t="e">
        <f>+BJ1168+#REF!+#REF!+BJ1146</f>
      </c>
      <c r="BK1092" s="933" t="e">
        <f>+BK1168+#REF!+#REF!+BK1146</f>
      </c>
      <c r="BL1092" s="1061" t="e">
        <f>+BL1168+#REF!+#REF!+BL1146</f>
      </c>
      <c r="BM1092" s="933" t="e">
        <f>+BM1168+#REF!+#REF!+BM1146</f>
      </c>
      <c r="BN1092" s="933" t="e">
        <f>+BN1168+#REF!+#REF!+BN1146</f>
      </c>
      <c r="BO1092" s="933" t="e">
        <f>+BO1168+#REF!+#REF!+BO1146</f>
      </c>
      <c r="BP1092" s="933" t="e">
        <f>+BP1168+#REF!+#REF!+BP1146</f>
      </c>
      <c r="BQ1092" s="1061" t="e">
        <f>+BQ1168+#REF!+#REF!+BQ1146</f>
      </c>
      <c r="BR1092" s="933" t="e">
        <f>+BR1168+#REF!+#REF!+BR1146</f>
      </c>
      <c r="BS1092" s="933" t="e">
        <f>+BS1168+#REF!+#REF!+BS1146</f>
      </c>
      <c r="BT1092" s="933" t="e">
        <f>+BT1168+#REF!+#REF!+BT1146</f>
      </c>
      <c r="BU1092" s="933" t="e">
        <f>+BU1168+#REF!+#REF!+BU1146</f>
      </c>
      <c r="BV1092" s="1061" t="e">
        <f>+BV1168+#REF!+#REF!+BV1146</f>
      </c>
      <c r="BW1092" s="933" t="e">
        <f>+BW1168+#REF!+#REF!+BW1146</f>
      </c>
      <c r="BX1092" s="933" t="e">
        <f>+BX1168+#REF!+#REF!+BX1146</f>
      </c>
      <c r="BY1092" s="933" t="e">
        <f>+BY1168+#REF!+#REF!+BY1146</f>
      </c>
      <c r="BZ1092" s="352">
        <v>324</v>
      </c>
      <c r="CA1092" s="1061" t="e">
        <f>SUM(BW1092:BZ1092)</f>
      </c>
      <c r="CB1092" s="352">
        <v>336</v>
      </c>
      <c r="CC1092" s="352">
        <v>353</v>
      </c>
      <c r="CD1092" s="352">
        <v>321</v>
      </c>
      <c r="CE1092" s="352">
        <v>336</v>
      </c>
      <c r="CF1092" s="1061">
        <f>SUM(CB1092:CE1092)</f>
      </c>
      <c r="CG1092" s="352">
        <v>301</v>
      </c>
      <c r="CH1092" s="352">
        <v>309</v>
      </c>
      <c r="CI1092" s="352">
        <v>285</v>
      </c>
      <c r="CJ1092" s="352">
        <v>210</v>
      </c>
      <c r="CK1092" s="1061">
        <f>SUM(CG1092:CJ1092)</f>
      </c>
      <c r="CL1092" s="352">
        <v>212</v>
      </c>
      <c r="CM1092" s="352">
        <v>235</v>
      </c>
      <c r="CN1092" s="352">
        <v>216</v>
      </c>
      <c r="CO1092" s="352">
        <v>238</v>
      </c>
      <c r="CP1092" s="1061">
        <f>SUM(CL1092:CO1092)</f>
      </c>
      <c r="CQ1092" s="352">
        <v>270</v>
      </c>
      <c r="CR1092" s="352">
        <v>288</v>
      </c>
      <c r="CS1092" s="352">
        <v>274</v>
      </c>
      <c r="CT1092" s="352">
        <v>316</v>
      </c>
      <c r="CU1092" s="1061">
        <f>SUM(CQ1092:CT1092)</f>
      </c>
      <c r="CV1092" s="352">
        <v>336</v>
      </c>
      <c r="CW1092" s="352">
        <v>344</v>
      </c>
      <c r="CX1092" s="352">
        <v>333</v>
      </c>
      <c r="CY1092" s="352">
        <v>350</v>
      </c>
      <c r="CZ1092" s="1061">
        <f>SUM(CV1092:CY1092)</f>
      </c>
      <c r="DA1092" s="352">
        <v>389</v>
      </c>
      <c r="DB1092" s="352">
        <v>385</v>
      </c>
      <c r="DC1092" s="577">
        <v>382</v>
      </c>
      <c r="DD1092" s="1205">
        <v>398</v>
      </c>
      <c r="DE1092" s="2060">
        <f>SUM(DA1092:DD1092)</f>
      </c>
      <c r="DF1092" s="710">
        <v>362</v>
      </c>
      <c r="DG1092" s="710">
        <v>335.4</v>
      </c>
      <c r="DH1092" s="710">
        <v>437</v>
      </c>
      <c r="DI1092" s="1839">
        <v>460</v>
      </c>
      <c r="DJ1092" s="2060">
        <f>SUM(DF1092:DI1092)</f>
      </c>
      <c r="DK1092" s="710">
        <v>514.4</v>
      </c>
      <c r="DL1092" s="710">
        <v>572</v>
      </c>
      <c r="DM1092" s="710">
        <v>513</v>
      </c>
      <c r="DN1092" s="710">
        <v>536</v>
      </c>
      <c r="DO1092" s="2060">
        <f>SUM(DK1092:DN1092)</f>
      </c>
      <c r="DP1092" s="710">
        <v>532</v>
      </c>
      <c r="DQ1092" s="710">
        <v>469</v>
      </c>
      <c r="DR1092" s="710">
        <v>453</v>
      </c>
      <c r="DS1092" s="710">
        <v>447</v>
      </c>
      <c r="DT1092" s="2060">
        <f>SUM(DP1092:DS1092)</f>
      </c>
      <c r="DU1092" s="710">
        <v>521.6</v>
      </c>
      <c r="DV1092" s="710">
        <v>587</v>
      </c>
      <c r="DW1092" s="710">
        <v>549</v>
      </c>
      <c r="DX1092" s="1839">
        <v>572</v>
      </c>
      <c r="DY1092" s="2060">
        <f>SUM(DU1092:DX1092)</f>
      </c>
      <c r="DZ1092" s="710">
        <v>652</v>
      </c>
      <c r="EA1092" s="710">
        <v>617.5</v>
      </c>
      <c r="EB1092" s="710">
        <v>619</v>
      </c>
      <c r="EC1092" s="1552">
        <v>640</v>
      </c>
      <c r="ED1092" s="2060">
        <f>SUM(DZ1092:EC1092)</f>
      </c>
      <c r="EE1092" s="710">
        <v>638</v>
      </c>
      <c r="EF1092" s="710">
        <v>728</v>
      </c>
      <c r="EG1092" s="710">
        <v>698</v>
      </c>
      <c r="EH1092" s="1542">
        <f>EI1092-SUM(EE1092:EG1092)</f>
      </c>
      <c r="EI1092" s="2060">
        <f>ED1092*(1+EI1097)</f>
      </c>
      <c r="EJ1092" s="2060">
        <f t="shared" si="2292"/>
      </c>
      <c r="EK1092" s="2060">
        <f t="shared" si="2292"/>
      </c>
      <c r="EL1092" s="2060">
        <f t="shared" si="2292"/>
      </c>
      <c r="EM1092" s="2060">
        <f t="shared" si="2292"/>
      </c>
      <c r="EN1092" s="2060">
        <f t="shared" si="2292"/>
      </c>
      <c r="EO1092" s="2060"/>
      <c r="EP1092" s="2060"/>
      <c r="EQ1092" s="2060"/>
      <c r="ER1092" s="2060"/>
      <c r="ES1092" s="2060"/>
      <c r="ET1092" s="2060"/>
      <c r="EU1092" s="2060"/>
      <c r="EV1092" s="2060"/>
      <c r="EW1092" s="2060"/>
      <c r="EX1092" s="2060"/>
    </row>
    <row r="1093" spans="2:154">
      <c r="B1093" s="334" t="s">
        <v>413</v>
      </c>
      <c r="C1093" s="1577"/>
      <c r="D1093" s="933" t="e">
        <f t="shared" ref="D1093:AI1093" si="2293">SUM(D1091:D1092)</f>
      </c>
      <c r="E1093" s="933" t="e">
        <f t="shared" si="2293"/>
      </c>
      <c r="F1093" s="933" t="e">
        <f t="shared" si="2293"/>
      </c>
      <c r="G1093" s="933" t="e">
        <f t="shared" si="2293"/>
      </c>
      <c r="H1093" s="933" t="e">
        <f t="shared" si="2293"/>
      </c>
      <c r="I1093" s="933" t="e">
        <f t="shared" si="2293"/>
      </c>
      <c r="J1093" s="933" t="e">
        <f t="shared" si="2293"/>
      </c>
      <c r="K1093" s="933" t="e">
        <f t="shared" si="2293"/>
      </c>
      <c r="L1093" s="933" t="e">
        <f t="shared" si="2293"/>
      </c>
      <c r="M1093" s="933" t="e">
        <f t="shared" si="2293"/>
      </c>
      <c r="N1093" s="933" t="e">
        <f t="shared" si="2293"/>
      </c>
      <c r="O1093" s="933" t="e">
        <f t="shared" si="2293"/>
      </c>
      <c r="P1093" s="933" t="e">
        <f t="shared" si="2293"/>
      </c>
      <c r="Q1093" s="933" t="e">
        <f t="shared" si="2293"/>
      </c>
      <c r="R1093" s="933" t="e">
        <f t="shared" si="2293"/>
      </c>
      <c r="S1093" s="933" t="e">
        <f t="shared" si="2293"/>
      </c>
      <c r="T1093" s="933" t="e">
        <f t="shared" si="2293"/>
      </c>
      <c r="U1093" s="933" t="e">
        <f t="shared" si="2293"/>
      </c>
      <c r="V1093" s="933" t="e">
        <f t="shared" si="2293"/>
      </c>
      <c r="W1093" s="933" t="e">
        <f t="shared" si="2293"/>
      </c>
      <c r="X1093" s="1061" t="e">
        <f t="shared" si="2293"/>
      </c>
      <c r="Y1093" s="933" t="e">
        <f t="shared" si="2293"/>
      </c>
      <c r="Z1093" s="933" t="e">
        <f t="shared" si="2293"/>
      </c>
      <c r="AA1093" s="933" t="e">
        <f t="shared" si="2293"/>
      </c>
      <c r="AB1093" s="933" t="e">
        <f t="shared" si="2293"/>
      </c>
      <c r="AC1093" s="1061" t="e">
        <f t="shared" si="2293"/>
      </c>
      <c r="AD1093" s="933" t="e">
        <f t="shared" si="2293"/>
      </c>
      <c r="AE1093" s="933" t="e">
        <f t="shared" si="2293"/>
      </c>
      <c r="AF1093" s="933" t="e">
        <f t="shared" si="2293"/>
      </c>
      <c r="AG1093" s="933" t="e">
        <f t="shared" si="2293"/>
      </c>
      <c r="AH1093" s="1061" t="e">
        <f t="shared" si="2293"/>
      </c>
      <c r="AI1093" s="933" t="e">
        <f t="shared" si="2293"/>
      </c>
      <c r="AJ1093" s="933" t="e">
        <f t="shared" ref="AJ1093:BY1093" si="2294">SUM(AJ1091:AJ1092)</f>
      </c>
      <c r="AK1093" s="933" t="e">
        <f t="shared" si="2294"/>
      </c>
      <c r="AL1093" s="933" t="e">
        <f t="shared" si="2294"/>
      </c>
      <c r="AM1093" s="1061" t="e">
        <f t="shared" si="2294"/>
      </c>
      <c r="AN1093" s="933" t="e">
        <f t="shared" si="2294"/>
      </c>
      <c r="AO1093" s="933" t="e">
        <f t="shared" si="2294"/>
      </c>
      <c r="AP1093" s="933" t="e">
        <f t="shared" si="2294"/>
      </c>
      <c r="AQ1093" s="933" t="e">
        <f t="shared" si="2294"/>
      </c>
      <c r="AR1093" s="1061" t="e">
        <f t="shared" si="2294"/>
      </c>
      <c r="AS1093" s="933" t="e">
        <f t="shared" si="2294"/>
      </c>
      <c r="AT1093" s="933" t="e">
        <f t="shared" si="2294"/>
      </c>
      <c r="AU1093" s="933" t="e">
        <f t="shared" si="2294"/>
      </c>
      <c r="AV1093" s="933" t="e">
        <f t="shared" si="2294"/>
      </c>
      <c r="AW1093" s="1061" t="e">
        <f t="shared" si="2294"/>
      </c>
      <c r="AX1093" s="933" t="e">
        <f t="shared" si="2294"/>
      </c>
      <c r="AY1093" s="933" t="e">
        <f t="shared" si="2294"/>
      </c>
      <c r="AZ1093" s="933" t="e">
        <f t="shared" si="2294"/>
      </c>
      <c r="BA1093" s="933" t="e">
        <f t="shared" si="2294"/>
      </c>
      <c r="BB1093" s="1061" t="e">
        <f t="shared" si="2294"/>
      </c>
      <c r="BC1093" s="933" t="e">
        <f t="shared" si="2294"/>
      </c>
      <c r="BD1093" s="933" t="e">
        <f t="shared" si="2294"/>
      </c>
      <c r="BE1093" s="933" t="e">
        <f t="shared" si="2294"/>
      </c>
      <c r="BF1093" s="933" t="e">
        <f t="shared" si="2294"/>
      </c>
      <c r="BG1093" s="1061" t="e">
        <f t="shared" si="2294"/>
      </c>
      <c r="BH1093" s="933" t="e">
        <f>SUM(BH1091:BH1092)</f>
      </c>
      <c r="BI1093" s="933" t="e">
        <f>SUM(BI1091:BI1092)</f>
      </c>
      <c r="BJ1093" s="933" t="e">
        <f>SUM(BJ1091:BJ1092)</f>
      </c>
      <c r="BK1093" s="933" t="e">
        <f>SUM(BK1091:BK1092)</f>
      </c>
      <c r="BL1093" s="1061" t="e">
        <f t="shared" si="2294"/>
      </c>
      <c r="BM1093" s="933" t="e">
        <f t="shared" si="2294"/>
      </c>
      <c r="BN1093" s="933" t="e">
        <f t="shared" si="2294"/>
      </c>
      <c r="BO1093" s="933" t="e">
        <f t="shared" si="2294"/>
      </c>
      <c r="BP1093" s="933" t="e">
        <f>SUM(BP1091:BP1092)</f>
      </c>
      <c r="BQ1093" s="1061" t="e">
        <f t="shared" si="2294"/>
      </c>
      <c r="BR1093" s="933" t="e">
        <f t="shared" si="2294"/>
      </c>
      <c r="BS1093" s="933" t="e">
        <f t="shared" si="2294"/>
      </c>
      <c r="BT1093" s="933" t="e">
        <f t="shared" si="2294"/>
      </c>
      <c r="BU1093" s="933" t="e">
        <f t="shared" si="2294"/>
      </c>
      <c r="BV1093" s="1061" t="e">
        <f t="shared" si="2294"/>
      </c>
      <c r="BW1093" s="933" t="e">
        <f t="shared" si="2294"/>
      </c>
      <c r="BX1093" s="933" t="e">
        <f t="shared" si="2294"/>
      </c>
      <c r="BY1093" s="933" t="e">
        <f t="shared" si="2294"/>
      </c>
      <c r="BZ1093" s="933">
        <f>SUM(BZ1091:BZ1092)</f>
      </c>
      <c r="CA1093" s="1061" t="e">
        <f>SUM(BW1093:BZ1093)</f>
      </c>
      <c r="CB1093" s="933">
        <f>SUM(CB1091:CB1092)</f>
      </c>
      <c r="CC1093" s="933">
        <f>SUM(CC1091:CC1092)</f>
      </c>
      <c r="CD1093" s="933">
        <f>SUM(CD1091:CD1092)</f>
      </c>
      <c r="CE1093" s="933">
        <f>SUM(CE1091:CE1092)</f>
      </c>
      <c r="CF1093" s="1061">
        <f>SUM(CB1093:CE1093)</f>
      </c>
      <c r="CG1093" s="933">
        <f>SUM(CG1091:CG1092)</f>
      </c>
      <c r="CH1093" s="933">
        <f>SUM(CH1091:CH1092)</f>
      </c>
      <c r="CI1093" s="933">
        <f>SUM(CI1091:CI1092)</f>
      </c>
      <c r="CJ1093" s="933">
        <f>SUM(CJ1091:CJ1092)</f>
      </c>
      <c r="CK1093" s="1061">
        <f>SUM(CG1093:CJ1093)</f>
      </c>
      <c r="CL1093" s="933">
        <f t="shared" ref="CL1093:DC1093" si="2295">SUM(CL1091:CL1092)</f>
      </c>
      <c r="CM1093" s="933">
        <f t="shared" si="2295"/>
      </c>
      <c r="CN1093" s="933">
        <f t="shared" si="2295"/>
      </c>
      <c r="CO1093" s="933">
        <f t="shared" si="2295"/>
      </c>
      <c r="CP1093" s="1061">
        <f t="shared" si="2295"/>
      </c>
      <c r="CQ1093" s="933">
        <f t="shared" si="2295"/>
      </c>
      <c r="CR1093" s="933">
        <f t="shared" si="2295"/>
      </c>
      <c r="CS1093" s="933">
        <f t="shared" si="2295"/>
      </c>
      <c r="CT1093" s="933">
        <f>SUM(CT1091:CT1092)</f>
      </c>
      <c r="CU1093" s="1061">
        <f t="shared" si="2295"/>
      </c>
      <c r="CV1093" s="933">
        <f t="shared" si="2295"/>
      </c>
      <c r="CW1093" s="933">
        <f t="shared" si="2295"/>
      </c>
      <c r="CX1093" s="933">
        <f t="shared" si="2295"/>
      </c>
      <c r="CY1093" s="933">
        <f t="shared" si="2295"/>
      </c>
      <c r="CZ1093" s="1061">
        <f t="shared" si="2295"/>
      </c>
      <c r="DA1093" s="933">
        <f t="shared" si="2295"/>
      </c>
      <c r="DB1093" s="933">
        <f t="shared" si="2295"/>
      </c>
      <c r="DC1093" s="36">
        <f t="shared" si="2295"/>
      </c>
      <c r="DD1093" s="984">
        <f>+DD1091+DD1092</f>
      </c>
      <c r="DE1093" s="2060">
        <f>SUM(DA1093:DD1093)</f>
      </c>
      <c r="DF1093" s="1542">
        <f>SUM(DF1091:DF1092)</f>
      </c>
      <c r="DG1093" s="1542">
        <f>SUM(DG1091:DG1092)</f>
      </c>
      <c r="DH1093" s="1542">
        <f>SUM(DH1091:DH1092)</f>
      </c>
      <c r="DI1093" s="1556">
        <f>+DI1091+DI1092</f>
      </c>
      <c r="DJ1093" s="2060">
        <f>SUM(DF1093:DI1093)</f>
      </c>
      <c r="DK1093" s="1542">
        <f>SUM(DK1091:DK1092)</f>
      </c>
      <c r="DL1093" s="1542">
        <f>SUM(DL1091:DL1092)</f>
      </c>
      <c r="DM1093" s="1542">
        <f>SUM(DM1091:DM1092)</f>
      </c>
      <c r="DN1093" s="1542">
        <f>SUM(DN1091:DN1092)</f>
      </c>
      <c r="DO1093" s="2060">
        <f>SUM(DK1093:DN1093)</f>
      </c>
      <c r="DP1093" s="1542">
        <f>SUM(DP1091:DP1092)</f>
      </c>
      <c r="DQ1093" s="1542">
        <f>SUM(DQ1091:DQ1092)</f>
      </c>
      <c r="DR1093" s="1542">
        <f>SUM(DR1091:DR1092)</f>
      </c>
      <c r="DS1093" s="1542">
        <f>SUM(DS1091:DS1092)</f>
      </c>
      <c r="DT1093" s="2060">
        <f>SUM(DP1093:DS1093)</f>
      </c>
      <c r="DU1093" s="1542">
        <f>SUM(DU1091:DU1092)</f>
      </c>
      <c r="DV1093" s="1542">
        <f>SUM(DV1091:DV1092)</f>
      </c>
      <c r="DW1093" s="1542">
        <f>SUM(DW1091:DW1092)</f>
      </c>
      <c r="DX1093" s="1556">
        <f>SUM(DX1091:DX1092)</f>
      </c>
      <c r="DY1093" s="2060">
        <f>SUM(DU1093:DX1093)</f>
      </c>
      <c r="DZ1093" s="1542">
        <f t="shared" ref="DZ1093:EH1093" si="2296">SUM(DZ1091:DZ1092)</f>
      </c>
      <c r="EA1093" s="1542">
        <f t="shared" si="2296"/>
      </c>
      <c r="EB1093" s="1542">
        <f t="shared" si="2296"/>
      </c>
      <c r="EC1093" s="1553">
        <f>SUM(EC1091:EC1092)</f>
      </c>
      <c r="ED1093" s="2060">
        <f>SUM(DZ1093:EC1093)</f>
      </c>
      <c r="EE1093" s="1542">
        <f>SUM(EE1091:EE1092)</f>
      </c>
      <c r="EF1093" s="1542">
        <f>SUM(EF1091:EF1092)</f>
      </c>
      <c r="EG1093" s="1542">
        <f t="shared" si="2296"/>
      </c>
      <c r="EH1093" s="1542">
        <f t="shared" si="2296"/>
      </c>
      <c r="EI1093" s="2060">
        <f t="shared" ref="EI1093:EL1093" si="2297">SUM(EI1091:EI1092)</f>
      </c>
      <c r="EJ1093" s="1313">
        <f t="shared" si="2297"/>
      </c>
      <c r="EK1093" s="2060">
        <f t="shared" si="2297"/>
      </c>
      <c r="EL1093" s="2060">
        <f t="shared" si="2297"/>
      </c>
      <c r="EM1093" s="2060">
        <f>SUM(EM1091:EM1092)</f>
      </c>
      <c r="EN1093" s="2060">
        <f>SUM(EN1091:EN1092)</f>
      </c>
      <c r="EO1093" s="2652"/>
      <c r="EP1093" s="2652"/>
      <c r="EQ1093" s="2652"/>
      <c r="ER1093" s="2652"/>
      <c r="ES1093" s="2652"/>
      <c r="ET1093" s="2652"/>
      <c r="EU1093" s="2652"/>
      <c r="EV1093" s="2652"/>
      <c r="EW1093" s="2652"/>
      <c r="EX1093" s="2652"/>
    </row>
    <row r="1094" spans="2:154">
      <c r="B1094" s="342"/>
      <c r="C1094" s="1577"/>
      <c r="D1094" s="933"/>
      <c r="E1094" s="933"/>
      <c r="F1094" s="933"/>
      <c r="G1094" s="933"/>
      <c r="H1094" s="933"/>
      <c r="I1094" s="933"/>
      <c r="J1094" s="933"/>
      <c r="K1094" s="933"/>
      <c r="L1094" s="933"/>
      <c r="M1094" s="933"/>
      <c r="N1094" s="933"/>
      <c r="O1094" s="933"/>
      <c r="P1094" s="933"/>
      <c r="Q1094" s="933"/>
      <c r="R1094" s="933"/>
      <c r="S1094" s="933"/>
      <c r="T1094" s="933"/>
      <c r="U1094" s="933"/>
      <c r="V1094" s="933"/>
      <c r="W1094" s="933"/>
      <c r="X1094" s="1061"/>
      <c r="Y1094" s="933"/>
      <c r="Z1094" s="933"/>
      <c r="AA1094" s="933"/>
      <c r="AB1094" s="933"/>
      <c r="AC1094" s="1061"/>
      <c r="AD1094" s="933"/>
      <c r="AE1094" s="933"/>
      <c r="AF1094" s="933"/>
      <c r="AG1094" s="933"/>
      <c r="AH1094" s="1061"/>
      <c r="AI1094" s="933"/>
      <c r="AJ1094" s="933"/>
      <c r="AK1094" s="933"/>
      <c r="AL1094" s="933"/>
      <c r="AM1094" s="1061"/>
      <c r="AN1094" s="933"/>
      <c r="AO1094" s="933"/>
      <c r="AP1094" s="933"/>
      <c r="AQ1094" s="933"/>
      <c r="AR1094" s="1061"/>
      <c r="AS1094" s="933"/>
      <c r="AT1094" s="933"/>
      <c r="AU1094" s="933"/>
      <c r="AV1094" s="933"/>
      <c r="AW1094" s="1061"/>
      <c r="AX1094" s="40"/>
      <c r="AY1094" s="40"/>
      <c r="AZ1094" s="40"/>
      <c r="BA1094" s="40"/>
      <c r="BB1094" s="1061"/>
      <c r="BC1094" s="933"/>
      <c r="BD1094" s="933"/>
      <c r="BE1094" s="933"/>
      <c r="BF1094" s="933"/>
      <c r="BG1094" s="322"/>
      <c r="BH1094" s="277"/>
      <c r="BI1094" s="277"/>
      <c r="BJ1094" s="933"/>
      <c r="BK1094" s="933"/>
      <c r="BL1094" s="1061"/>
      <c r="BM1094" s="933"/>
      <c r="BN1094" s="933"/>
      <c r="BO1094" s="933"/>
      <c r="BP1094" s="933"/>
      <c r="BQ1094" s="1061"/>
      <c r="BR1094" s="933"/>
      <c r="BS1094" s="933"/>
      <c r="BT1094" s="933"/>
      <c r="BU1094" s="933"/>
      <c r="BV1094" s="1061"/>
      <c r="BW1094" s="933"/>
      <c r="BX1094" s="933"/>
      <c r="BY1094" s="933"/>
      <c r="BZ1094" s="933"/>
      <c r="CA1094" s="1061"/>
      <c r="CB1094" s="933"/>
      <c r="CC1094" s="933"/>
      <c r="CD1094" s="933"/>
      <c r="CE1094" s="933"/>
      <c r="CF1094" s="1061"/>
      <c r="CG1094" s="933"/>
      <c r="CH1094" s="933"/>
      <c r="CI1094" s="933"/>
      <c r="CJ1094" s="933"/>
      <c r="CK1094" s="1061"/>
      <c r="CL1094" s="933"/>
      <c r="CM1094" s="933"/>
      <c r="CN1094" s="933"/>
      <c r="CO1094" s="933"/>
      <c r="CP1094" s="1061"/>
      <c r="CQ1094" s="933"/>
      <c r="CR1094" s="933"/>
      <c r="CS1094" s="933"/>
      <c r="CT1094" s="933"/>
      <c r="CU1094" s="1061"/>
      <c r="CV1094" s="2963"/>
      <c r="CW1094" s="2963"/>
      <c r="CX1094" s="2963"/>
      <c r="CY1094" s="2963"/>
      <c r="CZ1094" s="3032"/>
      <c r="DA1094" s="2963"/>
      <c r="DB1094" s="2963"/>
      <c r="DC1094" s="2963"/>
      <c r="DD1094" s="2963"/>
      <c r="DE1094" s="2962"/>
      <c r="DF1094" s="2963"/>
      <c r="DG1094" s="2963"/>
      <c r="DH1094" s="2963"/>
      <c r="DI1094" s="2963"/>
      <c r="DJ1094" s="1866"/>
      <c r="DK1094" s="982"/>
      <c r="DL1094" s="1915"/>
      <c r="DM1094" s="2265"/>
      <c r="DN1094" s="1915"/>
      <c r="DO1094" s="1866"/>
      <c r="DP1094" s="1915"/>
      <c r="DQ1094" s="1915"/>
      <c r="DR1094" s="1915"/>
      <c r="DS1094" s="2257"/>
      <c r="DT1094" s="1866"/>
      <c r="DU1094" s="2257"/>
      <c r="DV1094" s="1915"/>
      <c r="DW1094" s="1915"/>
      <c r="DX1094" s="1946"/>
      <c r="DY1094" s="1866"/>
      <c r="DZ1094" s="1915"/>
      <c r="EA1094" s="1915"/>
      <c r="EB1094" s="1915"/>
      <c r="EC1094" s="3613"/>
      <c r="ED1094" s="1863"/>
      <c r="EE1094" s="1915"/>
      <c r="EF1094" s="1915"/>
      <c r="EG1094" s="1915"/>
      <c r="EH1094" s="2257"/>
      <c r="EI1094" s="1866"/>
      <c r="EJ1094" s="1866"/>
      <c r="EK1094" s="1875"/>
      <c r="EL1094" s="1875"/>
      <c r="EM1094" s="1875"/>
      <c r="EN1094" s="1875"/>
      <c r="EO1094" s="1866"/>
      <c r="EP1094" s="1866"/>
      <c r="EQ1094" s="1866"/>
      <c r="ER1094" s="1866"/>
      <c r="ES1094" s="1866"/>
      <c r="ET1094" s="1866"/>
      <c r="EU1094" s="1866"/>
      <c r="EV1094" s="1866"/>
      <c r="EW1094" s="1866"/>
      <c r="EX1094" s="1866"/>
    </row>
    <row r="1095" spans="2:154">
      <c r="B1095" s="453" t="s">
        <v>944</v>
      </c>
      <c r="C1095" s="1577" t="s">
        <v>185</v>
      </c>
      <c r="D1095" s="933"/>
      <c r="E1095" s="933"/>
      <c r="F1095" s="933"/>
      <c r="G1095" s="933"/>
      <c r="H1095" s="933"/>
      <c r="I1095" s="933"/>
      <c r="J1095" s="933"/>
      <c r="K1095" s="933"/>
      <c r="L1095" s="933"/>
      <c r="M1095" s="933"/>
      <c r="N1095" s="933"/>
      <c r="O1095" s="933"/>
      <c r="P1095" s="933"/>
      <c r="Q1095" s="933"/>
      <c r="R1095" s="933"/>
      <c r="S1095" s="933"/>
      <c r="T1095" s="933"/>
      <c r="U1095" s="933"/>
      <c r="V1095" s="933"/>
      <c r="W1095" s="933"/>
      <c r="X1095" s="1061"/>
      <c r="Y1095" s="933"/>
      <c r="Z1095" s="933"/>
      <c r="AA1095" s="933"/>
      <c r="AB1095" s="933"/>
      <c r="AC1095" s="1061"/>
      <c r="AD1095" s="933"/>
      <c r="AE1095" s="933"/>
      <c r="AF1095" s="933"/>
      <c r="AG1095" s="933"/>
      <c r="AH1095" s="1061"/>
      <c r="AI1095" s="933"/>
      <c r="AJ1095" s="933"/>
      <c r="AK1095" s="933"/>
      <c r="AL1095" s="933"/>
      <c r="AM1095" s="1061"/>
      <c r="AN1095" s="933"/>
      <c r="AO1095" s="933"/>
      <c r="AP1095" s="933"/>
      <c r="AQ1095" s="933"/>
      <c r="AR1095" s="1061"/>
      <c r="AS1095" s="933"/>
      <c r="AT1095" s="933"/>
      <c r="AU1095" s="933"/>
      <c r="AV1095" s="933"/>
      <c r="AW1095" s="1061"/>
      <c r="AX1095" s="40"/>
      <c r="AY1095" s="40"/>
      <c r="AZ1095" s="40"/>
      <c r="BA1095" s="40"/>
      <c r="BB1095" s="1061"/>
      <c r="BC1095" s="933"/>
      <c r="BD1095" s="933"/>
      <c r="BE1095" s="933"/>
      <c r="BF1095" s="933"/>
      <c r="BG1095" s="1061"/>
      <c r="BH1095" s="277"/>
      <c r="BI1095" s="277"/>
      <c r="BJ1095" s="933"/>
      <c r="BK1095" s="933"/>
      <c r="BL1095" s="1061"/>
      <c r="BM1095" s="933"/>
      <c r="BN1095" s="933"/>
      <c r="BO1095" s="933"/>
      <c r="BP1095" s="933"/>
      <c r="BQ1095" s="1061"/>
      <c r="BR1095" s="933"/>
      <c r="BS1095" s="933"/>
      <c r="BT1095" s="933"/>
      <c r="BU1095" s="933"/>
      <c r="BV1095" s="1061"/>
      <c r="BW1095" s="933"/>
      <c r="BX1095" s="933"/>
      <c r="BY1095" s="933"/>
      <c r="BZ1095" s="933"/>
      <c r="CA1095" s="1061"/>
      <c r="CB1095" s="933"/>
      <c r="CC1095" s="933"/>
      <c r="CD1095" s="933"/>
      <c r="CE1095" s="933"/>
      <c r="CF1095" s="1061"/>
      <c r="CG1095" s="933"/>
      <c r="CH1095" s="933"/>
      <c r="CI1095" s="933"/>
      <c r="CJ1095" s="933"/>
      <c r="CK1095" s="1061"/>
      <c r="CL1095" s="933"/>
      <c r="CM1095" s="933"/>
      <c r="CN1095" s="933"/>
      <c r="CO1095" s="933"/>
      <c r="CP1095" s="1061"/>
      <c r="CQ1095" s="933"/>
      <c r="CR1095" s="933"/>
      <c r="CS1095" s="933"/>
      <c r="CT1095" s="933"/>
      <c r="CU1095" s="1061"/>
      <c r="CV1095" s="933"/>
      <c r="CW1095" s="933"/>
      <c r="CX1095" s="933"/>
      <c r="CY1095" s="933"/>
      <c r="CZ1095" s="1061"/>
      <c r="DA1095" s="933"/>
      <c r="DB1095" s="31"/>
      <c r="DC1095" s="31"/>
      <c r="DD1095" s="955"/>
      <c r="DE1095" s="1866"/>
      <c r="DF1095" s="982"/>
      <c r="DG1095" s="2265"/>
      <c r="DH1095" s="2265"/>
      <c r="DI1095" s="2265"/>
      <c r="DJ1095" s="1866"/>
      <c r="DK1095" s="982"/>
      <c r="DL1095" s="1915"/>
      <c r="DM1095" s="2265"/>
      <c r="DN1095" s="1915"/>
      <c r="DO1095" s="1866"/>
      <c r="DP1095" s="1915"/>
      <c r="DQ1095" s="1915"/>
      <c r="DR1095" s="1915"/>
      <c r="DS1095" s="2964"/>
      <c r="DT1095" s="1866"/>
      <c r="DU1095" s="2965"/>
      <c r="DV1095" s="1915"/>
      <c r="DW1095" s="1915"/>
      <c r="DX1095" s="1946"/>
      <c r="DY1095" s="1866"/>
      <c r="DZ1095" s="1915"/>
      <c r="EA1095" s="1915"/>
      <c r="EB1095" s="1915"/>
      <c r="EC1095" s="3613"/>
      <c r="ED1095" s="1863"/>
      <c r="EE1095" s="1915"/>
      <c r="EF1095" s="1915"/>
      <c r="EG1095" s="1915"/>
      <c r="EH1095" s="2257"/>
      <c r="EI1095" s="1866"/>
      <c r="EJ1095" s="1866"/>
      <c r="EK1095" s="1875"/>
      <c r="EL1095" s="1875"/>
      <c r="EM1095" s="1875"/>
      <c r="EN1095" s="1875"/>
      <c r="EO1095" s="1866"/>
      <c r="EP1095" s="1866"/>
      <c r="EQ1095" s="1866"/>
      <c r="ER1095" s="1866"/>
      <c r="ES1095" s="1866"/>
      <c r="ET1095" s="1866"/>
      <c r="EU1095" s="1866"/>
      <c r="EV1095" s="1866"/>
      <c r="EW1095" s="1866"/>
      <c r="EX1095" s="1866"/>
    </row>
    <row r="1096" spans="2:154">
      <c r="B1096" s="454" t="s">
        <v>187</v>
      </c>
      <c r="C1096" s="1577"/>
      <c r="D1096" s="933"/>
      <c r="E1096" s="933"/>
      <c r="F1096" s="933"/>
      <c r="G1096" s="933"/>
      <c r="H1096" s="933"/>
      <c r="I1096" s="926" t="e">
        <f t="shared" ref="I1096:BT1097" si="2298">IF(D1091="NM","NM",IF(I1091="NM","NM",IF(D1091&lt;=0,"NM",IF(I1091=0,"NM",IF(ABS(I1091/D1091-1)&gt;2.5,"NM",IF((ABS(I1091-D1091)=ABS(ABS(I1091)-ABS(D1091))),(I1091/D1091-1),"NM"))))))</f>
      </c>
      <c r="J1096" s="926" t="e">
        <f t="shared" si="2298"/>
      </c>
      <c r="K1096" s="926" t="e">
        <f t="shared" si="2298"/>
      </c>
      <c r="L1096" s="926" t="e">
        <f t="shared" si="2298"/>
      </c>
      <c r="M1096" s="926" t="e">
        <f t="shared" si="2298"/>
      </c>
      <c r="N1096" s="926" t="e">
        <f t="shared" si="2298"/>
      </c>
      <c r="O1096" s="926" t="e">
        <f t="shared" si="2298"/>
      </c>
      <c r="P1096" s="926" t="e">
        <f t="shared" si="2298"/>
      </c>
      <c r="Q1096" s="926" t="e">
        <f t="shared" si="2298"/>
      </c>
      <c r="R1096" s="926" t="e">
        <f t="shared" si="2298"/>
      </c>
      <c r="S1096" s="926" t="e">
        <f t="shared" si="2298"/>
      </c>
      <c r="T1096" s="926" t="e">
        <f t="shared" si="2298"/>
      </c>
      <c r="U1096" s="926" t="e">
        <f t="shared" si="2298"/>
      </c>
      <c r="V1096" s="926" t="e">
        <f t="shared" si="2298"/>
      </c>
      <c r="W1096" s="926" t="e">
        <f t="shared" si="2298"/>
      </c>
      <c r="X1096" s="1060" t="e">
        <f t="shared" si="2298"/>
      </c>
      <c r="Y1096" s="926" t="e">
        <f t="shared" si="2298"/>
      </c>
      <c r="Z1096" s="926" t="e">
        <f t="shared" si="2298"/>
      </c>
      <c r="AA1096" s="926" t="e">
        <f t="shared" si="2298"/>
      </c>
      <c r="AB1096" s="926" t="e">
        <f t="shared" si="2298"/>
      </c>
      <c r="AC1096" s="1060" t="e">
        <f t="shared" si="2298"/>
      </c>
      <c r="AD1096" s="926" t="e">
        <f t="shared" si="2298"/>
      </c>
      <c r="AE1096" s="926" t="e">
        <f t="shared" si="2298"/>
      </c>
      <c r="AF1096" s="926" t="e">
        <f t="shared" si="2298"/>
      </c>
      <c r="AG1096" s="926" t="e">
        <f t="shared" si="2298"/>
      </c>
      <c r="AH1096" s="1060" t="e">
        <f t="shared" si="2298"/>
      </c>
      <c r="AI1096" s="926" t="e">
        <f t="shared" si="2298"/>
      </c>
      <c r="AJ1096" s="926" t="e">
        <f t="shared" si="2298"/>
      </c>
      <c r="AK1096" s="926" t="e">
        <f t="shared" si="2298"/>
      </c>
      <c r="AL1096" s="926" t="e">
        <f t="shared" si="2298"/>
      </c>
      <c r="AM1096" s="1060" t="e">
        <f t="shared" si="2298"/>
      </c>
      <c r="AN1096" s="926" t="e">
        <f t="shared" si="2298"/>
      </c>
      <c r="AO1096" s="926" t="e">
        <f t="shared" si="2298"/>
      </c>
      <c r="AP1096" s="926" t="e">
        <f t="shared" si="2298"/>
      </c>
      <c r="AQ1096" s="926" t="e">
        <f t="shared" si="2298"/>
      </c>
      <c r="AR1096" s="1060" t="e">
        <f t="shared" si="2298"/>
      </c>
      <c r="AS1096" s="926" t="e">
        <f t="shared" si="2298"/>
      </c>
      <c r="AT1096" s="926" t="e">
        <f t="shared" si="2298"/>
      </c>
      <c r="AU1096" s="926" t="e">
        <f t="shared" si="2298"/>
      </c>
      <c r="AV1096" s="926" t="e">
        <f t="shared" si="2298"/>
      </c>
      <c r="AW1096" s="1060" t="e">
        <f t="shared" si="2298"/>
      </c>
      <c r="AX1096" s="926" t="e">
        <f t="shared" si="2298"/>
      </c>
      <c r="AY1096" s="926" t="e">
        <f t="shared" si="2298"/>
      </c>
      <c r="AZ1096" s="926" t="e">
        <f t="shared" si="2298"/>
      </c>
      <c r="BA1096" s="926" t="e">
        <f t="shared" si="2298"/>
      </c>
      <c r="BB1096" s="1060" t="e">
        <f t="shared" si="2298"/>
      </c>
      <c r="BC1096" s="926" t="e">
        <f t="shared" si="2298"/>
      </c>
      <c r="BD1096" s="926" t="e">
        <f t="shared" si="2298"/>
      </c>
      <c r="BE1096" s="926" t="e">
        <f t="shared" si="2298"/>
      </c>
      <c r="BF1096" s="926" t="e">
        <f t="shared" si="2298"/>
      </c>
      <c r="BG1096" s="1060" t="e">
        <f t="shared" si="2298"/>
      </c>
      <c r="BH1096" s="926" t="e">
        <f t="shared" si="2298"/>
      </c>
      <c r="BI1096" s="926" t="e">
        <f t="shared" si="2298"/>
      </c>
      <c r="BJ1096" s="926" t="e">
        <f t="shared" si="2298"/>
      </c>
      <c r="BK1096" s="926" t="e">
        <f t="shared" si="2298"/>
      </c>
      <c r="BL1096" s="1060" t="e">
        <f t="shared" si="2298"/>
      </c>
      <c r="BM1096" s="926" t="e">
        <f t="shared" si="2298"/>
      </c>
      <c r="BN1096" s="926" t="e">
        <f t="shared" si="2298"/>
      </c>
      <c r="BO1096" s="926" t="e">
        <f t="shared" si="2298"/>
      </c>
      <c r="BP1096" s="926" t="e">
        <f t="shared" si="2298"/>
      </c>
      <c r="BQ1096" s="1060" t="e">
        <f t="shared" si="2298"/>
      </c>
      <c r="BR1096" s="926" t="e">
        <f t="shared" si="2298"/>
      </c>
      <c r="BS1096" s="926" t="e">
        <f t="shared" si="2298"/>
      </c>
      <c r="BT1096" s="926" t="e">
        <f t="shared" si="2298"/>
      </c>
      <c r="BU1096" s="926" t="e">
        <f>IF(BP1091="NM","NM",IF(BU1091="NM","NM",IF(BP1091&lt;=0,"NM",IF(BU1091=0,"NM",IF(ABS(BU1091/BP1091-1)&gt;2.5,"NM",IF((ABS(BU1091-BP1091)=ABS(ABS(BU1091)-ABS(BP1091))),(BU1091/BP1091-1),"NM"))))))</f>
      </c>
      <c r="BV1096" s="1060" t="e">
        <f>IF(BQ1091="NM","NM",IF(BV1091="NM","NM",IF(BQ1091&lt;=0,"NM",IF(BV1091=0,"NM",IF(ABS(BV1091/BQ1091-1)&gt;2.5,"NM",IF((ABS(BV1091-BQ1091)=ABS(ABS(BV1091)-ABS(BQ1091))),(BV1091/BQ1091-1),"NM"))))))</f>
      </c>
      <c r="BW1096" s="926" t="e">
        <f t="shared" ref="BW1096:BY1097" si="2299">IF(BR1091="NM","NM",IF(BW1091="NM","NM",IF(BR1091&lt;=0,"NM",IF(BW1091=0,"NM",IF(ABS(BW1091/BR1091-1)&gt;2.5,"NM",IF((ABS(BW1091-BR1091)=ABS(ABS(BW1091)-ABS(BR1091))),(BW1091/BR1091-1),"NM"))))))</f>
      </c>
      <c r="BX1096" s="926" t="e">
        <f t="shared" si="2299"/>
      </c>
      <c r="BY1096" s="926" t="e">
        <f t="shared" si="2299"/>
      </c>
      <c r="BZ1096" s="926" t="e">
        <f>IF(BU1091="NM","NM",IF(BZ1091="NM","NM",IF(BU1091&lt;=0,"NM",IF(BZ1091=0,"NM",IF(ABS(BZ1091/BU1091-1)&gt;2.5,"NM",IF((ABS(BZ1091-BU1091)=ABS(ABS(BZ1091)-ABS(BU1091))),(BZ1091/BU1091-1),"NM"))))))</f>
      </c>
      <c r="CA1096" s="1060" t="e">
        <f>IF(BV1091="NM","NM",IF(CA1091="NM","NM",IF(BV1091&lt;=0,"NM",IF(CA1091=0,"NM",IF(ABS(CA1091/BV1091-1)&gt;2.5,"NM",IF((ABS(CA1091-BV1091)=ABS(ABS(CA1091)-ABS(BV1091))),(CA1091/BV1091-1),"NM"))))))</f>
      </c>
      <c r="CB1096" s="926" t="e">
        <f t="shared" ref="CB1096:CI1097" si="2300">IF(BW1091="NM","NM",IF(CB1091="NM","NM",IF(BW1091&lt;=0,"NM",IF(CB1091=0,"NM",IF(ABS(CB1091/BW1091-1)&gt;2.5,"NM",IF((ABS(CB1091-BW1091)=ABS(ABS(CB1091)-ABS(BW1091))),(CB1091/BW1091-1),"NM"))))))</f>
      </c>
      <c r="CC1096" s="926" t="e">
        <f t="shared" si="2300"/>
      </c>
      <c r="CD1096" s="926" t="e">
        <f t="shared" si="2300"/>
      </c>
      <c r="CE1096" s="926">
        <f t="shared" si="2300"/>
      </c>
      <c r="CF1096" s="1060"/>
      <c r="CG1096" s="926">
        <f t="shared" si="2300"/>
      </c>
      <c r="CH1096" s="926">
        <f t="shared" si="2300"/>
      </c>
      <c r="CI1096" s="926">
        <f t="shared" si="2300"/>
      </c>
      <c r="CJ1096" s="926">
        <f>IF(CE1091="NM","NM",IF(CJ1091="NM","NM",IF(CE1091&lt;=0,"NM",IF(CJ1091=0,"NM",IF(ABS(CJ1091/CE1091-1)&gt;2.5,"NM",IF((ABS(CJ1091-CE1091)=ABS(ABS(CJ1091)-ABS(CE1091))),(CJ1091/CE1091-1),"NM"))))))</f>
      </c>
      <c r="CK1096" s="1060">
        <f>IF(CF1091=0, "NA", CK1091/CF1091-1)</f>
      </c>
      <c r="CL1096" s="926">
        <f t="shared" ref="CL1096:CN1097" si="2301">IF(CG1091="NM","NM",IF(CL1091="NM","NM",IF(CG1091&lt;=0,"NM",IF(CL1091=0,"NM",IF(ABS(CL1091/CG1091-1)&gt;2.5,"NM",IF((ABS(CL1091-CG1091)=ABS(ABS(CL1091)-ABS(CG1091))),(CL1091/CG1091-1),"NM"))))))</f>
      </c>
      <c r="CM1096" s="926">
        <f t="shared" si="2301"/>
      </c>
      <c r="CN1096" s="926">
        <f t="shared" si="2301"/>
      </c>
      <c r="CO1096" s="926">
        <f>IF(CJ1091="NM","NM",IF(CO1091="NM","NM",IF(CJ1091&lt;=0,"NM",IF(CO1091=0,"NM",IF(ABS(CO1091/CJ1091-1)&gt;2.5,"NM",IF((ABS(CO1091-CJ1091)=ABS(ABS(CO1091)-ABS(CJ1091))),(CO1091/CJ1091-1),"NM"))))))</f>
      </c>
      <c r="CP1096" s="1060">
        <f>IF(CK1091=0, "NA", CP1091/CK1091-1)</f>
      </c>
      <c r="CQ1096" s="926">
        <f t="shared" ref="CQ1096:CT1097" si="2302">IF(CL1091="NM","NM",IF(CQ1091="NM","NM",IF(CL1091&lt;=0,"NM",IF(CQ1091=0,"NM",IF(ABS(CQ1091/CL1091-1)&gt;2.5,"NM",IF((ABS(CQ1091-CL1091)=ABS(ABS(CQ1091)-ABS(CL1091))),(CQ1091/CL1091-1),"NM"))))))</f>
      </c>
      <c r="CR1096" s="926">
        <f t="shared" si="2302"/>
      </c>
      <c r="CS1096" s="926">
        <f t="shared" si="2302"/>
      </c>
      <c r="CT1096" s="926">
        <f t="shared" si="2302"/>
      </c>
      <c r="CU1096" s="1060">
        <f>IF(CP1091=0, "NA", CU1091/CP1091-1)</f>
      </c>
      <c r="CV1096" s="926">
        <f t="shared" ref="CV1096:CY1097" si="2303">IF(CQ1091="NM","NM",IF(CV1091="NM","NM",IF(CQ1091&lt;=0,"NM",IF(CV1091=0,"NM",IF(ABS(CV1091/CQ1091-1)&gt;2.5,"NM",IF((ABS(CV1091-CQ1091)=ABS(ABS(CV1091)-ABS(CQ1091))),(CV1091/CQ1091-1),"NM"))))))</f>
      </c>
      <c r="CW1096" s="926">
        <f t="shared" si="2303"/>
      </c>
      <c r="CX1096" s="926">
        <f t="shared" si="2303"/>
      </c>
      <c r="CY1096" s="926">
        <f t="shared" si="2303"/>
      </c>
      <c r="CZ1096" s="1060">
        <f>IF(CU1091=0, "NA", CZ1091/CU1091-1)</f>
      </c>
      <c r="DA1096" s="926">
        <f t="shared" ref="DA1096:DD1097" si="2304">IF(CV1091="NM","NM",IF(DA1091="NM","NM",IF(CV1091&lt;=0,"NM",IF(DA1091=0,"NM",IF(ABS(DA1091/CV1091-1)&gt;2.5,"NM",IF((ABS(DA1091-CV1091)=ABS(ABS(DA1091)-ABS(CV1091))),(DA1091/CV1091-1),"NM"))))))</f>
      </c>
      <c r="DB1096" s="926">
        <f t="shared" si="2304"/>
      </c>
      <c r="DC1096" s="926">
        <f t="shared" si="2304"/>
      </c>
      <c r="DD1096" s="926">
        <f t="shared" si="2304"/>
      </c>
      <c r="DE1096" s="1060">
        <f>IF(CZ1091=0, "NA", DE1091/CZ1091-1)</f>
      </c>
      <c r="DF1096" s="926">
        <f t="shared" ref="DF1096:DI1097" si="2305">IF(DA1091="NM","NM",IF(DF1091="NM","NM",IF(DA1091&lt;=0,"NM",IF(DF1091=0,"NM",IF(ABS(DF1091/DA1091-1)&gt;2.5,"NM",IF((ABS(DF1091-DA1091)=ABS(ABS(DF1091)-ABS(DA1091))),(DF1091/DA1091-1),"NM"))))))</f>
      </c>
      <c r="DG1096" s="926">
        <f t="shared" si="2305"/>
      </c>
      <c r="DH1096" s="926">
        <f t="shared" si="2305"/>
      </c>
      <c r="DI1096" s="926">
        <f t="shared" si="2305"/>
      </c>
      <c r="DJ1096" s="1060">
        <f>IF(DE1091=0, "NA", DJ1091/DE1091-1)</f>
      </c>
      <c r="DK1096" s="926">
        <f t="shared" ref="DK1096:DN1097" si="2306">IF(DF1091="NM","NM",IF(DK1091="NM","NM",IF(DF1091&lt;=0,"NM",IF(DK1091=0,"NM",IF(ABS(DK1091/DF1091-1)&gt;2.5,"NM",IF((ABS(DK1091-DF1091)=ABS(ABS(DK1091)-ABS(DF1091))),(DK1091/DF1091-1),"NM"))))))</f>
      </c>
      <c r="DL1096" s="926">
        <f t="shared" si="2306"/>
      </c>
      <c r="DM1096" s="926">
        <f t="shared" si="2306"/>
      </c>
      <c r="DN1096" s="926">
        <f t="shared" si="2306"/>
      </c>
      <c r="DO1096" s="1060">
        <f>IF(DJ1091=0, "NA", DO1091/DJ1091-1)</f>
      </c>
      <c r="DP1096" s="926">
        <f t="shared" ref="DP1096:DR1097" si="2307">IF(DK1091="NM","NM",IF(DP1091="NM","NM",IF(DK1091&lt;=0,"NM",IF(DP1091=0,"NM",IF(ABS(DP1091/DK1091-1)&gt;2.5,"NM",IF((ABS(DP1091-DK1091)=ABS(ABS(DP1091)-ABS(DK1091))),(DP1091/DK1091-1),"NM"))))))</f>
      </c>
      <c r="DQ1096" s="926">
        <f t="shared" si="2307"/>
      </c>
      <c r="DR1096" s="926">
        <f t="shared" si="2307"/>
      </c>
      <c r="DS1096" s="926">
        <f t="shared" ref="DS1096:EG1096" si="2308">IF(DN1091=0, 0, DS1091/DN1091-1)</f>
      </c>
      <c r="DT1096" s="1060">
        <f t="shared" si="2308"/>
      </c>
      <c r="DU1096" s="926">
        <f t="shared" si="2308"/>
      </c>
      <c r="DV1096" s="926">
        <f t="shared" si="2308"/>
      </c>
      <c r="DW1096" s="926">
        <f t="shared" si="2308"/>
      </c>
      <c r="DX1096" s="928">
        <f t="shared" si="2308"/>
      </c>
      <c r="DY1096" s="1060">
        <f>IF(DT1091=0, "NA", DY1091/DT1091-1)</f>
      </c>
      <c r="DZ1096" s="926">
        <f t="shared" si="2308"/>
      </c>
      <c r="EA1096" s="926">
        <f t="shared" si="2308"/>
      </c>
      <c r="EB1096" s="926">
        <f t="shared" si="2308"/>
      </c>
      <c r="EC1096" s="1235">
        <f t="shared" si="2308"/>
      </c>
      <c r="ED1096" s="1536">
        <f>IF(DY1091=0, "NA", ED1091/DY1091-1)</f>
      </c>
      <c r="EE1096" s="926">
        <f t="shared" si="2308"/>
      </c>
      <c r="EF1096" s="926">
        <f t="shared" si="2308"/>
      </c>
      <c r="EG1096" s="926">
        <f t="shared" si="2308"/>
      </c>
      <c r="EH1096" s="926">
        <f>+EH1091/EC1091-1</f>
      </c>
      <c r="EI1096" s="317">
        <v>4.2000000000000003E-2</v>
      </c>
      <c r="EJ1096" s="317">
        <v>8.5980307859091498E-2</v>
      </c>
      <c r="EK1096" s="317">
        <v>9.1226075219872582E-2</v>
      </c>
      <c r="EL1096" s="317">
        <v>9.3699752230536948E-2</v>
      </c>
      <c r="EM1096" s="317">
        <v>0.11530716457893009</v>
      </c>
      <c r="EN1096" s="317">
        <v>0.11408188741892311</v>
      </c>
      <c r="EO1096" s="673"/>
      <c r="EP1096" s="673"/>
      <c r="EQ1096" s="673"/>
      <c r="ER1096" s="673"/>
      <c r="ES1096" s="673"/>
      <c r="ET1096" s="673"/>
      <c r="EU1096" s="673"/>
      <c r="EV1096" s="673"/>
      <c r="EW1096" s="673"/>
      <c r="EX1096" s="673"/>
    </row>
    <row r="1097" spans="2:154">
      <c r="B1097" s="454" t="s">
        <v>412</v>
      </c>
      <c r="C1097" s="1577"/>
      <c r="D1097" s="933"/>
      <c r="E1097" s="933"/>
      <c r="F1097" s="933"/>
      <c r="G1097" s="933"/>
      <c r="H1097" s="933"/>
      <c r="I1097" s="926" t="e">
        <f t="shared" si="2298"/>
      </c>
      <c r="J1097" s="926" t="e">
        <f t="shared" si="2298"/>
      </c>
      <c r="K1097" s="926" t="e">
        <f t="shared" si="2298"/>
      </c>
      <c r="L1097" s="926" t="e">
        <f t="shared" si="2298"/>
      </c>
      <c r="M1097" s="926" t="e">
        <f t="shared" si="2298"/>
      </c>
      <c r="N1097" s="926" t="e">
        <f t="shared" si="2298"/>
      </c>
      <c r="O1097" s="926" t="e">
        <f t="shared" si="2298"/>
      </c>
      <c r="P1097" s="926" t="e">
        <f t="shared" si="2298"/>
      </c>
      <c r="Q1097" s="926" t="e">
        <f t="shared" si="2298"/>
      </c>
      <c r="R1097" s="926" t="e">
        <f t="shared" si="2298"/>
      </c>
      <c r="S1097" s="926" t="e">
        <f t="shared" si="2298"/>
      </c>
      <c r="T1097" s="926" t="e">
        <f t="shared" si="2298"/>
      </c>
      <c r="U1097" s="926" t="e">
        <f t="shared" si="2298"/>
      </c>
      <c r="V1097" s="926" t="e">
        <f t="shared" si="2298"/>
      </c>
      <c r="W1097" s="926" t="e">
        <f t="shared" si="2298"/>
      </c>
      <c r="X1097" s="1060" t="e">
        <f t="shared" si="2298"/>
      </c>
      <c r="Y1097" s="926" t="e">
        <f t="shared" si="2298"/>
      </c>
      <c r="Z1097" s="926" t="e">
        <f t="shared" si="2298"/>
      </c>
      <c r="AA1097" s="926" t="e">
        <f t="shared" si="2298"/>
      </c>
      <c r="AB1097" s="926" t="e">
        <f t="shared" si="2298"/>
      </c>
      <c r="AC1097" s="1060" t="e">
        <f t="shared" si="2298"/>
      </c>
      <c r="AD1097" s="926" t="e">
        <f t="shared" si="2298"/>
      </c>
      <c r="AE1097" s="926" t="e">
        <f t="shared" si="2298"/>
      </c>
      <c r="AF1097" s="926" t="e">
        <f t="shared" si="2298"/>
      </c>
      <c r="AG1097" s="926" t="e">
        <f t="shared" si="2298"/>
      </c>
      <c r="AH1097" s="1060" t="e">
        <f t="shared" si="2298"/>
      </c>
      <c r="AI1097" s="926" t="e">
        <f t="shared" si="2298"/>
      </c>
      <c r="AJ1097" s="926" t="e">
        <f t="shared" si="2298"/>
      </c>
      <c r="AK1097" s="926" t="e">
        <f t="shared" si="2298"/>
      </c>
      <c r="AL1097" s="926" t="e">
        <f t="shared" si="2298"/>
      </c>
      <c r="AM1097" s="1060" t="e">
        <f>IF(AH1092="NM","NM",IF(AM1092="NM","NM",IF(AH1092&lt;=0,"NM",IF(AM1092=0,"NM",IF(ABS(AM1092/AH1092-1)&gt;2.5,"NM",IF((ABS(AM1092-AH1092)=ABS(ABS(AM1092)-ABS(AH1092))),(AM1092/AH1092-1),"NM"))))))</f>
      </c>
      <c r="AN1097" s="926" t="e">
        <f t="shared" si="2298"/>
      </c>
      <c r="AO1097" s="926" t="e">
        <f t="shared" si="2298"/>
      </c>
      <c r="AP1097" s="926" t="e">
        <f t="shared" si="2298"/>
      </c>
      <c r="AQ1097" s="926" t="e">
        <f t="shared" si="2298"/>
      </c>
      <c r="AR1097" s="1060" t="e">
        <f t="shared" si="2298"/>
      </c>
      <c r="AS1097" s="926" t="e">
        <f t="shared" si="2298"/>
      </c>
      <c r="AT1097" s="926" t="e">
        <f t="shared" si="2298"/>
      </c>
      <c r="AU1097" s="926" t="e">
        <f t="shared" si="2298"/>
      </c>
      <c r="AV1097" s="926" t="e">
        <f t="shared" si="2298"/>
      </c>
      <c r="AW1097" s="1060" t="e">
        <f t="shared" si="2298"/>
      </c>
      <c r="AX1097" s="926" t="e">
        <f t="shared" si="2298"/>
      </c>
      <c r="AY1097" s="926" t="e">
        <f t="shared" si="2298"/>
      </c>
      <c r="AZ1097" s="926" t="e">
        <f t="shared" si="2298"/>
      </c>
      <c r="BA1097" s="926" t="e">
        <f t="shared" si="2298"/>
      </c>
      <c r="BB1097" s="1060" t="e">
        <f t="shared" si="2298"/>
      </c>
      <c r="BC1097" s="926" t="e">
        <f t="shared" si="2298"/>
      </c>
      <c r="BD1097" s="926" t="e">
        <f t="shared" si="2298"/>
      </c>
      <c r="BE1097" s="926" t="e">
        <f t="shared" si="2298"/>
      </c>
      <c r="BF1097" s="926" t="e">
        <f t="shared" si="2298"/>
      </c>
      <c r="BG1097" s="1060" t="e">
        <f t="shared" si="2298"/>
      </c>
      <c r="BH1097" s="926" t="e">
        <f t="shared" si="2298"/>
      </c>
      <c r="BI1097" s="926" t="e">
        <f t="shared" si="2298"/>
      </c>
      <c r="BJ1097" s="926" t="e">
        <f t="shared" si="2298"/>
      </c>
      <c r="BK1097" s="926" t="e">
        <f t="shared" si="2298"/>
      </c>
      <c r="BL1097" s="1060" t="e">
        <f t="shared" si="2298"/>
      </c>
      <c r="BM1097" s="926" t="e">
        <f t="shared" si="2298"/>
      </c>
      <c r="BN1097" s="926" t="e">
        <f t="shared" si="2298"/>
      </c>
      <c r="BO1097" s="926" t="e">
        <f t="shared" si="2298"/>
      </c>
      <c r="BP1097" s="926" t="e">
        <f t="shared" si="2298"/>
      </c>
      <c r="BQ1097" s="1060" t="e">
        <f t="shared" si="2298"/>
      </c>
      <c r="BR1097" s="926" t="e">
        <f>IF(BM1092="NM","NM",IF(BR1092="NM","NM",IF(BM1092&lt;=0,"NM",IF(BR1092=0,"NM",IF(ABS(BR1092/BM1092-1)&gt;2.5,"NM",IF((ABS(BR1092-BM1092)=ABS(ABS(BR1092)-ABS(BM1092))),(BR1092/BM1092-1),"NM"))))))</f>
      </c>
      <c r="BS1097" s="926" t="e">
        <f>IF(BN1092="NM","NM",IF(BS1092="NM","NM",IF(BN1092&lt;=0,"NM",IF(BS1092=0,"NM",IF(ABS(BS1092/BN1092-1)&gt;2.5,"NM",IF((ABS(BS1092-BN1092)=ABS(ABS(BS1092)-ABS(BN1092))),(BS1092/BN1092-1),"NM"))))))</f>
      </c>
      <c r="BT1097" s="926" t="e">
        <f t="shared" si="2298"/>
      </c>
      <c r="BU1097" s="926" t="e">
        <f>IF(BP1092="NM","NM",IF(BU1092="NM","NM",IF(BP1092&lt;=0,"NM",IF(BU1092=0,"NM",IF(ABS(BU1092/BP1092-1)&gt;2.5,"NM",IF((ABS(BU1092-BP1092)=ABS(ABS(BU1092)-ABS(BP1092))),(BU1092/BP1092-1),"NM"))))))</f>
      </c>
      <c r="BV1097" s="1060" t="e">
        <f>IF(BQ1092="NM","NM",IF(BV1092="NM","NM",IF(BQ1092&lt;=0,"NM",IF(BV1092=0,"NM",IF(ABS(BV1092/BQ1092-1)&gt;2.5,"NM",IF((ABS(BV1092-BQ1092)=ABS(ABS(BV1092)-ABS(BQ1092))),(BV1092/BQ1092-1),"NM"))))))</f>
      </c>
      <c r="BW1097" s="926" t="e">
        <f>IF(BR1092="NM","NM",IF(BW1092="NM","NM",IF(BR1092&lt;=0,"NM",IF(BW1092=0,"NM",IF(ABS(BW1092/BR1092-1)&gt;2.5,"NM",IF((ABS(BW1092-BR1092)=ABS(ABS(BW1092)-ABS(BR1092))),(BW1092/BR1092-1),"NM"))))))</f>
      </c>
      <c r="BX1097" s="926" t="e">
        <f>IF(BS1092="NM","NM",IF(BX1092="NM","NM",IF(BS1092&lt;=0,"NM",IF(BX1092=0,"NM",IF(ABS(BX1092/BS1092-1)&gt;2.5,"NM",IF((ABS(BX1092-BS1092)=ABS(ABS(BX1092)-ABS(BS1092))),(BX1092/BS1092-1),"NM"))))))</f>
      </c>
      <c r="BY1097" s="926" t="e">
        <f t="shared" si="2299"/>
      </c>
      <c r="BZ1097" s="926" t="e">
        <f>IF(BU1092="NM","NM",IF(BZ1092="NM","NM",IF(BU1092&lt;=0,"NM",IF(BZ1092=0,"NM",IF(ABS(BZ1092/BU1092-1)&gt;2.5,"NM",IF((ABS(BZ1092-BU1092)=ABS(ABS(BZ1092)-ABS(BU1092))),(BZ1092/BU1092-1),"NM"))))))</f>
      </c>
      <c r="CA1097" s="1060" t="e">
        <f>IF(BV1092="NM","NM",IF(CA1092="NM","NM",IF(BV1092&lt;=0,"NM",IF(CA1092=0,"NM",IF(ABS(CA1092/BV1092-1)&gt;2.5,"NM",IF((ABS(CA1092-BV1092)=ABS(ABS(CA1092)-ABS(BV1092))),(CA1092/BV1092-1),"NM"))))))</f>
      </c>
      <c r="CB1097" s="926" t="e">
        <f t="shared" si="2300"/>
      </c>
      <c r="CC1097" s="926" t="e">
        <f>IF(BX1092="NM","NM",IF(CC1092="NM","NM",IF(BX1092&lt;=0,"NM",IF(CC1092=0,"NM",IF(ABS(CC1092/BX1092-1)&gt;2.5,"NM",IF((ABS(CC1092-BX1092)=ABS(ABS(CC1092)-ABS(BX1092))),(CC1092/BX1092-1),"NM"))))))</f>
      </c>
      <c r="CD1097" s="926" t="e">
        <f t="shared" si="2300"/>
      </c>
      <c r="CE1097" s="926">
        <f t="shared" si="2300"/>
      </c>
      <c r="CF1097" s="1060"/>
      <c r="CG1097" s="926">
        <f t="shared" si="2300"/>
      </c>
      <c r="CH1097" s="926">
        <f t="shared" si="2300"/>
      </c>
      <c r="CI1097" s="926">
        <f t="shared" si="2300"/>
      </c>
      <c r="CJ1097" s="926">
        <f>IF(CE1092="NM","NM",IF(CJ1092="NM","NM",IF(CE1092&lt;=0,"NM",IF(CJ1092=0,"NM",IF(ABS(CJ1092/CE1092-1)&gt;2.5,"NM",IF((ABS(CJ1092-CE1092)=ABS(ABS(CJ1092)-ABS(CE1092))),(CJ1092/CE1092-1),"NM"))))))</f>
      </c>
      <c r="CK1097" s="1060">
        <f>IF(CF1092=0, "NA", CK1092/CF1092-1)</f>
      </c>
      <c r="CL1097" s="926">
        <f t="shared" si="2301"/>
      </c>
      <c r="CM1097" s="926">
        <f t="shared" si="2301"/>
      </c>
      <c r="CN1097" s="926">
        <f t="shared" si="2301"/>
      </c>
      <c r="CO1097" s="926">
        <f>IF(CJ1092="NM","NM",IF(CO1092="NM","NM",IF(CJ1092&lt;=0,"NM",IF(CO1092=0,"NM",IF(ABS(CO1092/CJ1092-1)&gt;2.5,"NM",IF((ABS(CO1092-CJ1092)=ABS(ABS(CO1092)-ABS(CJ1092))),(CO1092/CJ1092-1),"NM"))))))</f>
      </c>
      <c r="CP1097" s="1060">
        <f>IF(CK1092=0, "NA", CP1092/CK1092-1)</f>
      </c>
      <c r="CQ1097" s="926">
        <f t="shared" si="2302"/>
      </c>
      <c r="CR1097" s="926">
        <f t="shared" si="2302"/>
      </c>
      <c r="CS1097" s="926">
        <f t="shared" si="2302"/>
      </c>
      <c r="CT1097" s="926">
        <f t="shared" si="2302"/>
      </c>
      <c r="CU1097" s="1060">
        <f>IF(CP1092=0, "NA", CU1092/CP1092-1)</f>
      </c>
      <c r="CV1097" s="926">
        <f t="shared" si="2303"/>
      </c>
      <c r="CW1097" s="926">
        <f t="shared" si="2303"/>
      </c>
      <c r="CX1097" s="926">
        <f t="shared" si="2303"/>
      </c>
      <c r="CY1097" s="926">
        <f t="shared" si="2303"/>
      </c>
      <c r="CZ1097" s="1060">
        <f>IF(CU1092=0, "NA", CZ1092/CU1092-1)</f>
      </c>
      <c r="DA1097" s="926">
        <f t="shared" si="2304"/>
      </c>
      <c r="DB1097" s="926">
        <f t="shared" si="2304"/>
      </c>
      <c r="DC1097" s="926">
        <f t="shared" si="2304"/>
      </c>
      <c r="DD1097" s="926">
        <f t="shared" si="2304"/>
      </c>
      <c r="DE1097" s="1060">
        <f>IF(CZ1092=0, "NA", DE1092/CZ1092-1)</f>
      </c>
      <c r="DF1097" s="926">
        <f t="shared" si="2305"/>
      </c>
      <c r="DG1097" s="926">
        <f t="shared" si="2305"/>
      </c>
      <c r="DH1097" s="926">
        <f t="shared" si="2305"/>
      </c>
      <c r="DI1097" s="926">
        <f t="shared" si="2305"/>
      </c>
      <c r="DJ1097" s="1060">
        <f>IF(DE1092=0, "NA", DJ1092/DE1092-1)</f>
      </c>
      <c r="DK1097" s="926">
        <f t="shared" si="2306"/>
      </c>
      <c r="DL1097" s="926">
        <f t="shared" si="2306"/>
      </c>
      <c r="DM1097" s="926">
        <f t="shared" si="2306"/>
      </c>
      <c r="DN1097" s="926">
        <f t="shared" si="2306"/>
      </c>
      <c r="DO1097" s="1060">
        <f>IF(DJ1092=0, "NA", DO1092/DJ1092-1)</f>
      </c>
      <c r="DP1097" s="926">
        <f t="shared" si="2307"/>
      </c>
      <c r="DQ1097" s="926">
        <f t="shared" si="2307"/>
      </c>
      <c r="DR1097" s="926">
        <f t="shared" si="2307"/>
      </c>
      <c r="DS1097" s="926">
        <f>IF(DN1092=0, 0, DS1092/DN1092-1)</f>
      </c>
      <c r="DT1097" s="1060">
        <f>IF(DO1092=0, "NA", DT1092/DO1092-1)</f>
      </c>
      <c r="DU1097" s="926">
        <f>IF(DP1092=0, "NA", DU1092/DP1092-1)</f>
      </c>
      <c r="DV1097" s="926">
        <f>IF(DQ1092=0, "NA", DV1092/DQ1092-1)</f>
      </c>
      <c r="DW1097" s="926">
        <f>IF(DR1092=0, "NA", DW1092/DR1092-1)</f>
      </c>
      <c r="DX1097" s="928">
        <f>IF(DS1092=0, "NA", DX1092/DS1092-1)</f>
      </c>
      <c r="DY1097" s="1060">
        <f>IF(DT1092=0, "NA", DY1092/DT1092-1)</f>
      </c>
      <c r="DZ1097" s="926">
        <f>DZ1098+DZ$1370</f>
      </c>
      <c r="EA1097" s="926">
        <f>EA1098+EA$1370</f>
      </c>
      <c r="EB1097" s="926">
        <f>EB1098+EB$1370</f>
      </c>
      <c r="EC1097" s="1235">
        <f>IF(DX1092=0, "NA", EC1092/DX1092-1)</f>
      </c>
      <c r="ED1097" s="1536">
        <f>IF(DY1092=0, "NA", ED1092/DY1092-1)</f>
      </c>
      <c r="EE1097" s="926">
        <f>IF(DZ1092=0, "NA", EE1092/DZ1092-1)</f>
      </c>
      <c r="EF1097" s="926">
        <f>IF(EA1092=0, "NA", EF1092/EA1092-1)</f>
      </c>
      <c r="EG1097" s="926">
        <f>IF(EB1092=0, "NA", EG1092/EB1092-1)</f>
      </c>
      <c r="EH1097" s="926">
        <f>+EH1092/EC1092-1</f>
      </c>
      <c r="EI1097" s="1060">
        <f t="shared" ref="EI1097:EN1097" si="2309">EI1098+EI$1370</f>
      </c>
      <c r="EJ1097" s="1060">
        <f t="shared" si="2309"/>
      </c>
      <c r="EK1097" s="928">
        <f t="shared" si="2309"/>
      </c>
      <c r="EL1097" s="928">
        <f t="shared" si="2309"/>
      </c>
      <c r="EM1097" s="928">
        <f t="shared" si="2309"/>
      </c>
      <c r="EN1097" s="928">
        <f t="shared" si="2309"/>
      </c>
      <c r="EO1097" s="1060"/>
      <c r="EP1097" s="1060"/>
      <c r="EQ1097" s="1060"/>
      <c r="ER1097" s="1060"/>
      <c r="ES1097" s="1060"/>
      <c r="ET1097" s="1060"/>
      <c r="EU1097" s="1060"/>
      <c r="EV1097" s="1060"/>
      <c r="EW1097" s="1060"/>
      <c r="EX1097" s="1060"/>
    </row>
    <row r="1098" spans="2:154">
      <c r="B1098" s="454" t="s">
        <v>256</v>
      </c>
      <c r="C1098" s="1577"/>
      <c r="D1098" s="933"/>
      <c r="E1098" s="933"/>
      <c r="F1098" s="933"/>
      <c r="G1098" s="933"/>
      <c r="H1098" s="933"/>
      <c r="I1098" s="24"/>
      <c r="J1098" s="946"/>
      <c r="K1098" s="946"/>
      <c r="L1098" s="946"/>
      <c r="M1098" s="946"/>
      <c r="N1098" s="24"/>
      <c r="O1098" s="24"/>
      <c r="P1098" s="24"/>
      <c r="Q1098" s="24"/>
      <c r="R1098" s="24"/>
      <c r="S1098" s="946"/>
      <c r="T1098" s="24"/>
      <c r="U1098" s="24"/>
      <c r="V1098" s="24"/>
      <c r="W1098" s="24"/>
      <c r="X1098" s="2248"/>
      <c r="Y1098" s="24"/>
      <c r="Z1098" s="24"/>
      <c r="AA1098" s="24"/>
      <c r="AB1098" s="24"/>
      <c r="AC1098" s="2248"/>
      <c r="AD1098" s="24"/>
      <c r="AE1098" s="24"/>
      <c r="AF1098" s="24"/>
      <c r="AG1098" s="24"/>
      <c r="AH1098" s="2248"/>
      <c r="AI1098" s="959" t="str">
        <f t="shared" ref="AI1098:BR1098" si="2310">IF(ISNUMBER(AI1097),(1+AI1097)/(1+AI$21)-1,"NM")</f>
      </c>
      <c r="AJ1098" s="959" t="str">
        <f t="shared" si="2310"/>
      </c>
      <c r="AK1098" s="959" t="str">
        <f t="shared" si="2310"/>
      </c>
      <c r="AL1098" s="959" t="str">
        <f t="shared" si="2310"/>
      </c>
      <c r="AM1098" s="2248" t="str">
        <f t="shared" si="2310"/>
      </c>
      <c r="AN1098" s="959" t="str">
        <f t="shared" si="2310"/>
      </c>
      <c r="AO1098" s="959" t="str">
        <f t="shared" si="2310"/>
      </c>
      <c r="AP1098" s="959" t="str">
        <f t="shared" si="2310"/>
      </c>
      <c r="AQ1098" s="959" t="str">
        <f t="shared" si="2310"/>
      </c>
      <c r="AR1098" s="2248" t="str">
        <f t="shared" si="2310"/>
      </c>
      <c r="AS1098" s="959" t="str">
        <f t="shared" si="2310"/>
      </c>
      <c r="AT1098" s="959" t="str">
        <f t="shared" si="2310"/>
      </c>
      <c r="AU1098" s="959" t="str">
        <f t="shared" si="2310"/>
      </c>
      <c r="AV1098" s="959" t="str">
        <f t="shared" si="2310"/>
      </c>
      <c r="AW1098" s="2248" t="str">
        <f t="shared" si="2310"/>
      </c>
      <c r="AX1098" s="959" t="str">
        <f t="shared" si="2310"/>
      </c>
      <c r="AY1098" s="959" t="str">
        <f t="shared" si="2310"/>
      </c>
      <c r="AZ1098" s="959" t="str">
        <f t="shared" si="2310"/>
      </c>
      <c r="BA1098" s="959" t="str">
        <f t="shared" si="2310"/>
      </c>
      <c r="BB1098" s="2248" t="str">
        <f t="shared" si="2310"/>
      </c>
      <c r="BC1098" s="959" t="str">
        <f t="shared" si="2310"/>
      </c>
      <c r="BD1098" s="959" t="str">
        <f t="shared" si="2310"/>
      </c>
      <c r="BE1098" s="959" t="str">
        <f t="shared" si="2310"/>
      </c>
      <c r="BF1098" s="959" t="str">
        <f t="shared" si="2310"/>
      </c>
      <c r="BG1098" s="2248" t="str">
        <f t="shared" si="2310"/>
      </c>
      <c r="BH1098" s="959" t="str">
        <f t="shared" si="2310"/>
      </c>
      <c r="BI1098" s="959" t="str">
        <f t="shared" si="2310"/>
      </c>
      <c r="BJ1098" s="959" t="str">
        <f t="shared" si="2310"/>
      </c>
      <c r="BK1098" s="959" t="str">
        <f t="shared" si="2310"/>
      </c>
      <c r="BL1098" s="2248" t="str">
        <f t="shared" si="2310"/>
      </c>
      <c r="BM1098" s="959" t="str">
        <f t="shared" si="2310"/>
      </c>
      <c r="BN1098" s="959" t="str">
        <f t="shared" si="2310"/>
      </c>
      <c r="BO1098" s="959" t="str">
        <f t="shared" si="2310"/>
      </c>
      <c r="BP1098" s="959" t="str">
        <f t="shared" si="2310"/>
      </c>
      <c r="BQ1098" s="2248" t="str">
        <f t="shared" si="2310"/>
      </c>
      <c r="BR1098" s="959" t="str">
        <f t="shared" si="2310"/>
      </c>
      <c r="BS1098" s="407">
        <v>-0.13100000000000001</v>
      </c>
      <c r="BT1098" s="959" t="str">
        <f>IF(ISNUMBER(BT1097),(1+BT1097)/(1+BT$21)-1,"NM")</f>
      </c>
      <c r="BU1098" s="959" t="str">
        <f>IF(ISNUMBER(BU1097),(1+BU1097)/(1+BU$21)-1,"NM")</f>
      </c>
      <c r="BV1098" s="2248" t="str">
        <f>IF(ISNUMBER(BV1097),(1+BV1097)/(1+BV$21)-1,"NM")</f>
      </c>
      <c r="BW1098" s="407">
        <v>6.2E-2</v>
      </c>
      <c r="BX1098" s="407">
        <v>9.6000000000000002E-2</v>
      </c>
      <c r="BY1098" s="407">
        <v>6.6000000000000003E-2</v>
      </c>
      <c r="BZ1098" s="407">
        <v>5.7000000000000002E-2</v>
      </c>
      <c r="CA1098" s="406">
        <v>7.0000000000000007E-2</v>
      </c>
      <c r="CB1098" s="407">
        <v>9.4E-2</v>
      </c>
      <c r="CC1098" s="407">
        <v>8.6999999999999994E-2</v>
      </c>
      <c r="CD1098" s="407">
        <v>6.6000000000000003E-2</v>
      </c>
      <c r="CE1098" s="407">
        <v>0.124</v>
      </c>
      <c r="CF1098" s="406">
        <v>9.4E-2</v>
      </c>
      <c r="CG1098" s="407">
        <v>3.4000000000000002E-2</v>
      </c>
      <c r="CH1098" s="407">
        <v>1.7000000000000001E-2</v>
      </c>
      <c r="CI1098" s="407">
        <v>3.1E-2</v>
      </c>
      <c r="CJ1098" s="407">
        <v>-0.29399999999999998</v>
      </c>
      <c r="CK1098" s="2248">
        <f>CK1097-CK$21</f>
      </c>
      <c r="CL1098" s="407">
        <v>-0.26300000000000001</v>
      </c>
      <c r="CM1098" s="407">
        <v>-0.23799999999999999</v>
      </c>
      <c r="CN1098" s="407">
        <v>-0.26800000000000002</v>
      </c>
      <c r="CO1098" s="407">
        <v>0.124</v>
      </c>
      <c r="CP1098" s="2248">
        <f>CP1097-CP$21</f>
      </c>
      <c r="CQ1098" s="407"/>
      <c r="CR1098" s="407"/>
      <c r="CS1098" s="407"/>
      <c r="CT1098" s="407"/>
      <c r="CU1098" s="2248"/>
      <c r="CV1098" s="407"/>
      <c r="CW1098" s="407"/>
      <c r="CX1098" s="407"/>
      <c r="CY1098" s="407"/>
      <c r="CZ1098" s="2248"/>
      <c r="DA1098" s="407"/>
      <c r="DB1098" s="407"/>
      <c r="DC1098" s="29"/>
      <c r="DD1098" s="1482"/>
      <c r="DE1098" s="448"/>
      <c r="DF1098" s="649"/>
      <c r="DG1098" s="649"/>
      <c r="DH1098" s="649"/>
      <c r="DI1098" s="649"/>
      <c r="DJ1098" s="448"/>
      <c r="DK1098" s="649"/>
      <c r="DL1098" s="649"/>
      <c r="DM1098" s="649"/>
      <c r="DN1098" s="1482"/>
      <c r="DO1098" s="448"/>
      <c r="DP1098" s="925" t="s">
        <v>550</v>
      </c>
      <c r="DQ1098" s="925" t="s">
        <v>550</v>
      </c>
      <c r="DR1098" s="925" t="s">
        <v>550</v>
      </c>
      <c r="DS1098" s="925" t="s">
        <v>550</v>
      </c>
      <c r="DT1098" s="1066" t="s">
        <v>550</v>
      </c>
      <c r="DU1098" s="1741">
        <v>6.0999999999999999E-2</v>
      </c>
      <c r="DV1098" s="1741">
        <v>0.3</v>
      </c>
      <c r="DW1098" s="1741">
        <v>0.23400000000000001</v>
      </c>
      <c r="DX1098" s="2870">
        <v>0.28999999999999998</v>
      </c>
      <c r="DY1098" s="448">
        <v>0.215</v>
      </c>
      <c r="DZ1098" s="1741">
        <v>0.309</v>
      </c>
      <c r="EA1098" s="1741">
        <v>0.111</v>
      </c>
      <c r="EB1098" s="1741">
        <v>0.13800000000000001</v>
      </c>
      <c r="EC1098" s="3611">
        <v>0.13300000000000001</v>
      </c>
      <c r="ED1098" s="3623">
        <v>0.17</v>
      </c>
      <c r="EE1098" s="1741">
        <v>7.0000000000000001E-3</v>
      </c>
      <c r="EF1098" s="1741">
        <v>0.152</v>
      </c>
      <c r="EG1098" s="1741">
        <v>0.104</v>
      </c>
      <c r="EH1098" s="926">
        <f>EH1097-EH$1370</f>
      </c>
      <c r="EI1098" s="317">
        <v>8.3000000000000004E-2</v>
      </c>
      <c r="EJ1098" s="317">
        <v>0.10323988303112451</v>
      </c>
      <c r="EK1098" s="836">
        <v>6.7861726860441562E-2</v>
      </c>
      <c r="EL1098" s="836">
        <v>8.6599678432500937E-2</v>
      </c>
      <c r="EM1098" s="836">
        <v>8.7420741368794852E-2</v>
      </c>
      <c r="EN1098" s="836">
        <v>9.5866293857911788E-2</v>
      </c>
      <c r="EO1098" s="673"/>
      <c r="EP1098" s="673"/>
      <c r="EQ1098" s="673"/>
      <c r="ER1098" s="673"/>
      <c r="ES1098" s="673"/>
      <c r="ET1098" s="673"/>
      <c r="EU1098" s="673"/>
      <c r="EV1098" s="673"/>
      <c r="EW1098" s="673"/>
      <c r="EX1098" s="673"/>
    </row>
    <row r="1099" spans="2:154">
      <c r="B1099" s="454" t="s">
        <v>413</v>
      </c>
      <c r="C1099" s="1577"/>
      <c r="D1099" s="933"/>
      <c r="E1099" s="933"/>
      <c r="F1099" s="933"/>
      <c r="G1099" s="933"/>
      <c r="H1099" s="933"/>
      <c r="I1099" s="926" t="e">
        <f t="shared" ref="I1099:BB1099" si="2311">IF(D1093="NM","NM",IF(I1093="NM","NM",IF(D1093&lt;=0,"NM",IF(I1093=0,"NM",IF(ABS(I1093/D1093-1)&gt;2.5,"NM",IF((ABS(I1093-D1093)=ABS(ABS(I1093)-ABS(D1093))),(I1093/D1093-1),"NM"))))))</f>
      </c>
      <c r="J1099" s="926" t="e">
        <f t="shared" si="2311"/>
      </c>
      <c r="K1099" s="926" t="e">
        <f t="shared" si="2311"/>
      </c>
      <c r="L1099" s="926" t="e">
        <f t="shared" si="2311"/>
      </c>
      <c r="M1099" s="926" t="e">
        <f t="shared" si="2311"/>
      </c>
      <c r="N1099" s="926" t="e">
        <f t="shared" si="2311"/>
      </c>
      <c r="O1099" s="926" t="e">
        <f t="shared" si="2311"/>
      </c>
      <c r="P1099" s="926" t="e">
        <f t="shared" si="2311"/>
      </c>
      <c r="Q1099" s="926" t="e">
        <f t="shared" si="2311"/>
      </c>
      <c r="R1099" s="926" t="e">
        <f t="shared" si="2311"/>
      </c>
      <c r="S1099" s="926" t="e">
        <f t="shared" si="2311"/>
      </c>
      <c r="T1099" s="926" t="e">
        <f t="shared" si="2311"/>
      </c>
      <c r="U1099" s="926" t="e">
        <f t="shared" si="2311"/>
      </c>
      <c r="V1099" s="926" t="e">
        <f t="shared" si="2311"/>
      </c>
      <c r="W1099" s="926" t="e">
        <f t="shared" si="2311"/>
      </c>
      <c r="X1099" s="1060" t="e">
        <f t="shared" si="2311"/>
      </c>
      <c r="Y1099" s="926" t="e">
        <f t="shared" si="2311"/>
      </c>
      <c r="Z1099" s="926" t="e">
        <f t="shared" si="2311"/>
      </c>
      <c r="AA1099" s="926" t="e">
        <f t="shared" si="2311"/>
      </c>
      <c r="AB1099" s="926" t="e">
        <f t="shared" si="2311"/>
      </c>
      <c r="AC1099" s="1060" t="e">
        <f t="shared" si="2311"/>
      </c>
      <c r="AD1099" s="926" t="e">
        <f t="shared" si="2311"/>
      </c>
      <c r="AE1099" s="926" t="e">
        <f t="shared" si="2311"/>
      </c>
      <c r="AF1099" s="926" t="e">
        <f t="shared" si="2311"/>
      </c>
      <c r="AG1099" s="926" t="e">
        <f t="shared" si="2311"/>
      </c>
      <c r="AH1099" s="1060" t="e">
        <f t="shared" si="2311"/>
      </c>
      <c r="AI1099" s="926" t="e">
        <f>IF(AD1093="NM","NM",IF(AI1093="NM","NM",IF(AD1093&lt;=0,"NM",IF(AI1093=0,"NM",IF(ABS(AI1093/AD1093-1)&gt;2.5,"NM",IF((ABS(AI1093-AD1093)=ABS(ABS(AI1093)-ABS(AD1093))),(AI1093/AD1093-1),"NM"))))))</f>
      </c>
      <c r="AJ1099" s="926" t="e">
        <f>IF(AE1093="NM","NM",IF(AJ1093="NM","NM",IF(AE1093&lt;=0,"NM",IF(AJ1093=0,"NM",IF(ABS(AJ1093/AE1093-1)&gt;2.5,"NM",IF((ABS(AJ1093-AE1093)=ABS(ABS(AJ1093)-ABS(AE1093))),(AJ1093/AE1093-1),"NM"))))))</f>
      </c>
      <c r="AK1099" s="926" t="e">
        <f>IF(AF1093="NM","NM",IF(AK1093="NM","NM",IF(AF1093&lt;=0,"NM",IF(AK1093=0,"NM",IF(ABS(AK1093/AF1093-1)&gt;2.5,"NM",IF((ABS(AK1093-AF1093)=ABS(ABS(AK1093)-ABS(AF1093))),(AK1093/AF1093-1),"NM"))))))</f>
      </c>
      <c r="AL1099" s="926" t="e">
        <f>IF(AG1093="NM","NM",IF(AL1093="NM","NM",IF(AG1093&lt;=0,"NM",IF(AL1093=0,"NM",IF(ABS(AL1093/AG1093-1)&gt;2.5,"NM",IF((ABS(AL1093-AG1093)=ABS(ABS(AL1093)-ABS(AG1093))),(AL1093/AG1093-1),"NM"))))))</f>
      </c>
      <c r="AM1099" s="1060" t="e">
        <f t="shared" si="2311"/>
      </c>
      <c r="AN1099" s="926" t="e">
        <f t="shared" si="2311"/>
      </c>
      <c r="AO1099" s="926" t="e">
        <f t="shared" si="2311"/>
      </c>
      <c r="AP1099" s="926" t="e">
        <f t="shared" si="2311"/>
      </c>
      <c r="AQ1099" s="926" t="e">
        <f t="shared" si="2311"/>
      </c>
      <c r="AR1099" s="1060" t="e">
        <f t="shared" si="2311"/>
      </c>
      <c r="AS1099" s="926" t="e">
        <f t="shared" si="2311"/>
      </c>
      <c r="AT1099" s="926" t="e">
        <f t="shared" si="2311"/>
      </c>
      <c r="AU1099" s="926" t="e">
        <f t="shared" si="2311"/>
      </c>
      <c r="AV1099" s="926" t="e">
        <f t="shared" si="2311"/>
      </c>
      <c r="AW1099" s="1060" t="e">
        <f t="shared" si="2311"/>
      </c>
      <c r="AX1099" s="926" t="e">
        <f t="shared" si="2311"/>
      </c>
      <c r="AY1099" s="926" t="e">
        <f t="shared" si="2311"/>
      </c>
      <c r="AZ1099" s="926" t="e">
        <f t="shared" si="2311"/>
      </c>
      <c r="BA1099" s="926" t="e">
        <f t="shared" si="2311"/>
      </c>
      <c r="BB1099" s="1060" t="e">
        <f t="shared" si="2311"/>
      </c>
      <c r="BC1099" s="926" t="e">
        <f>IF(AX1093="NM","NM",IF(BC1093="NM","NM",IF(AX1093&lt;=0,"NM",IF(BC1093=0,"NM",IF(ABS(BC1093/AX1093-1)&gt;2.5,"NM",IF((ABS(BC1093-AX1093)=ABS(ABS(BC1093)-ABS(AX1093))),(BC1093/AX1093-1),"NM"))))))</f>
      </c>
      <c r="BD1099" s="926" t="e">
        <f>IF(AY1093="NM","NM",IF(BD1093="NM","NM",IF(AY1093&lt;=0,"NM",IF(BD1093=0,"NM",IF(ABS(BD1093/AY1093-1)&gt;2.5,"NM",IF((ABS(BD1093-AY1093)=ABS(ABS(BD1093)-ABS(AY1093))),(BD1093/AY1093-1),"NM"))))))</f>
      </c>
      <c r="BE1099" s="926" t="e">
        <f>IF(AZ1093="NM","NM",IF(BE1093="NM","NM",IF(AZ1093&lt;=0,"NM",IF(BE1093=0,"NM",IF(ABS(BE1093/AZ1093-1)&gt;2.5,"NM",IF((ABS(BE1093-AZ1093)=ABS(ABS(BE1093)-ABS(AZ1093))),(BE1093/AZ1093-1),"NM"))))))</f>
      </c>
      <c r="BF1099" s="926" t="e">
        <f>IF(BA1093="NM","NM",IF(BF1093="NM","NM",IF(BA1093&lt;=0,"NM",IF(BF1093=0,"NM",IF(ABS(BF1093/BA1093-1)&gt;2.5,"NM",IF((ABS(BF1093-BA1093)=ABS(ABS(BF1093)-ABS(BA1093))),(BF1093/BA1093-1),"NM"))))))</f>
      </c>
      <c r="BG1099" s="1060" t="e">
        <f>IF(BB1093="NM","NM",IF(BG1093="NM","NM",IF(BB1093&lt;=0,"NM",IF(BG1093=0,"NM",IF(ABS(BG1093/BB1093-1)&gt;2.5,"NM",IF((ABS(BG1093-BB1093)=ABS(ABS(BG1093)-ABS(BB1093))),(BG1093/BB1093-1),"NM"))))))</f>
      </c>
      <c r="BH1099" s="926" t="e">
        <f t="shared" ref="BH1099:BX1099" si="2312">IF(BC1093="NM","NM",IF(BH1093="NM","NM",IF(BC1093&lt;=0,"NM",IF(BH1093=0,"NM",IF(ABS(BH1093/BC1093-1)&gt;2.5,"NM",IF((ABS(BH1093-BC1093)=ABS(ABS(BH1093)-ABS(BC1093))),(BH1093/BC1093-1),"NM"))))))</f>
      </c>
      <c r="BI1099" s="926" t="e">
        <f t="shared" si="2312"/>
      </c>
      <c r="BJ1099" s="926" t="e">
        <f t="shared" si="2312"/>
      </c>
      <c r="BK1099" s="926" t="e">
        <f t="shared" si="2312"/>
      </c>
      <c r="BL1099" s="1060" t="e">
        <f t="shared" si="2312"/>
      </c>
      <c r="BM1099" s="926" t="e">
        <f t="shared" si="2312"/>
      </c>
      <c r="BN1099" s="926" t="e">
        <f t="shared" si="2312"/>
      </c>
      <c r="BO1099" s="926" t="e">
        <f t="shared" si="2312"/>
      </c>
      <c r="BP1099" s="926" t="e">
        <f t="shared" si="2312"/>
      </c>
      <c r="BQ1099" s="1060" t="e">
        <f t="shared" si="2312"/>
      </c>
      <c r="BR1099" s="926" t="e">
        <f t="shared" si="2312"/>
      </c>
      <c r="BS1099" s="926" t="e">
        <f t="shared" si="2312"/>
      </c>
      <c r="BT1099" s="926" t="e">
        <f t="shared" si="2312"/>
      </c>
      <c r="BU1099" s="926" t="e">
        <f t="shared" si="2312"/>
      </c>
      <c r="BV1099" s="1060" t="e">
        <f t="shared" si="2312"/>
      </c>
      <c r="BW1099" s="926" t="e">
        <f t="shared" si="2312"/>
      </c>
      <c r="BX1099" s="926" t="e">
        <f t="shared" si="2312"/>
      </c>
      <c r="BY1099" s="926" t="e">
        <f>IF(BT1093="NM","NM",IF(BY1093="NM","NM",IF(BT1093&lt;=0,"NM",IF(BY1093=0,"NM",IF(ABS(BY1093/BT1093-1)&gt;2.5,"NM",IF((ABS(BY1093-BT1093)=ABS(ABS(BY1093)-ABS(BT1093))),(BY1093/BT1093-1),"NM"))))))</f>
      </c>
      <c r="BZ1099" s="926" t="e">
        <f t="shared" ref="BZ1099:CE1099" si="2313">IF(BU1093="NM","NM",IF(BZ1093="NM","NM",IF(BU1093&lt;=0,"NM",IF(BZ1093=0,"NM",IF(ABS(BZ1093/BU1093-1)&gt;2.5,"NM",IF((ABS(BZ1093-BU1093)=ABS(ABS(BZ1093)-ABS(BU1093))),(BZ1093/BU1093-1),"NM"))))))</f>
      </c>
      <c r="CA1099" s="1060" t="e">
        <f t="shared" si="2313"/>
      </c>
      <c r="CB1099" s="926" t="e">
        <f t="shared" si="2313"/>
      </c>
      <c r="CC1099" s="926" t="e">
        <f t="shared" si="2313"/>
      </c>
      <c r="CD1099" s="926" t="e">
        <f t="shared" si="2313"/>
      </c>
      <c r="CE1099" s="926">
        <f t="shared" si="2313"/>
      </c>
      <c r="CF1099" s="1060"/>
      <c r="CG1099" s="926">
        <f>IF(CB1093="NM","NM",IF(CG1093="NM","NM",IF(CB1093&lt;=0,"NM",IF(CG1093=0,"NM",IF(ABS(CG1093/CB1093-1)&gt;2.5,"NM",IF((ABS(CG1093-CB1093)=ABS(ABS(CG1093)-ABS(CB1093))),(CG1093/CB1093-1),"NM"))))))</f>
      </c>
      <c r="CH1099" s="926">
        <f>IF(CC1093="NM","NM",IF(CH1093="NM","NM",IF(CC1093&lt;=0,"NM",IF(CH1093=0,"NM",IF(ABS(CH1093/CC1093-1)&gt;2.5,"NM",IF((ABS(CH1093-CC1093)=ABS(ABS(CH1093)-ABS(CC1093))),(CH1093/CC1093-1),"NM"))))))</f>
      </c>
      <c r="CI1099" s="926">
        <f>IF(CD1093="NM","NM",IF(CI1093="NM","NM",IF(CD1093&lt;=0,"NM",IF(CI1093=0,"NM",IF(ABS(CI1093/CD1093-1)&gt;2.5,"NM",IF((ABS(CI1093-CD1093)=ABS(ABS(CI1093)-ABS(CD1093))),(CI1093/CD1093-1),"NM"))))))</f>
      </c>
      <c r="CJ1099" s="926">
        <f>IF(CE1093=0, "NA", CJ1093/CE1093-1)</f>
      </c>
      <c r="CK1099" s="1060">
        <f>IF(CF1093=0, "NA", CK1093/CF1093-1)</f>
      </c>
      <c r="CL1099" s="926">
        <f>IF(CG1093="NM","NM",IF(CL1093="NM","NM",IF(CG1093&lt;=0,"NM",IF(CL1093=0,"NM",IF(ABS(CL1093/CG1093-1)&gt;2.5,"NM",IF((ABS(CL1093-CG1093)=ABS(ABS(CL1093)-ABS(CG1093))),(CL1093/CG1093-1),"NM"))))))</f>
      </c>
      <c r="CM1099" s="926">
        <f>IF(CH1093="NM","NM",IF(CM1093="NM","NM",IF(CH1093&lt;=0,"NM",IF(CM1093=0,"NM",IF(ABS(CM1093/CH1093-1)&gt;2.5,"NM",IF((ABS(CM1093-CH1093)=ABS(ABS(CM1093)-ABS(CH1093))),(CM1093/CH1093-1),"NM"))))))</f>
      </c>
      <c r="CN1099" s="926">
        <f>IF(CI1093="NM","NM",IF(CN1093="NM","NM",IF(CI1093&lt;=0,"NM",IF(CN1093=0,"NM",IF(ABS(CN1093/CI1093-1)&gt;2.5,"NM",IF((ABS(CN1093-CI1093)=ABS(ABS(CN1093)-ABS(CI1093))),(CN1093/CI1093-1),"NM"))))))</f>
      </c>
      <c r="CO1099" s="926">
        <f>IF(CJ1093=0, "NA", CO1093/CJ1093-1)</f>
      </c>
      <c r="CP1099" s="1060">
        <f>IF(CK1093=0, "NA", CP1093/CK1093-1)</f>
      </c>
      <c r="CQ1099" s="926">
        <f>IF(CL1093="NM","NM",IF(CQ1093="NM","NM",IF(CL1093&lt;=0,"NM",IF(CQ1093=0,"NM",IF(ABS(CQ1093/CL1093-1)&gt;2.5,"NM",IF((ABS(CQ1093-CL1093)=ABS(ABS(CQ1093)-ABS(CL1093))),(CQ1093/CL1093-1),"NM"))))))</f>
      </c>
      <c r="CR1099" s="926">
        <f>IF(CM1093="NM","NM",IF(CR1093="NM","NM",IF(CM1093&lt;=0,"NM",IF(CR1093=0,"NM",IF(ABS(CR1093/CM1093-1)&gt;2.5,"NM",IF((ABS(CR1093-CM1093)=ABS(ABS(CR1093)-ABS(CM1093))),(CR1093/CM1093-1),"NM"))))))</f>
      </c>
      <c r="CS1099" s="926">
        <f>IF(CN1093="NM","NM",IF(CS1093="NM","NM",IF(CN1093&lt;=0,"NM",IF(CS1093=0,"NM",IF(ABS(CS1093/CN1093-1)&gt;2.5,"NM",IF((ABS(CS1093-CN1093)=ABS(ABS(CS1093)-ABS(CN1093))),(CS1093/CN1093-1),"NM"))))))</f>
      </c>
      <c r="CT1099" s="926">
        <f>IF(CO1093="NM","NM",IF(CT1093="NM","NM",IF(CO1093&lt;=0,"NM",IF(CT1093=0,"NM",IF(ABS(CT1093/CO1093-1)&gt;2.5,"NM",IF((ABS(CT1093-CO1093)=ABS(ABS(CT1093)-ABS(CO1093))),(CT1093/CO1093-1),"NM"))))))</f>
      </c>
      <c r="CU1099" s="1060">
        <f>IF(CP1093=0, "NA", CU1093/CP1093-1)</f>
      </c>
      <c r="CV1099" s="926">
        <f>IF(CQ1093="NM","NM",IF(CV1093="NM","NM",IF(CQ1093&lt;=0,"NM",IF(CV1093=0,"NM",IF(ABS(CV1093/CQ1093-1)&gt;2.5,"NM",IF((ABS(CV1093-CQ1093)=ABS(ABS(CV1093)-ABS(CQ1093))),(CV1093/CQ1093-1),"NM"))))))</f>
      </c>
      <c r="CW1099" s="926">
        <f>IF(CR1093="NM","NM",IF(CW1093="NM","NM",IF(CR1093&lt;=0,"NM",IF(CW1093=0,"NM",IF(ABS(CW1093/CR1093-1)&gt;2.5,"NM",IF((ABS(CW1093-CR1093)=ABS(ABS(CW1093)-ABS(CR1093))),(CW1093/CR1093-1),"NM"))))))</f>
      </c>
      <c r="CX1099" s="926">
        <f>IF(CS1093="NM","NM",IF(CX1093="NM","NM",IF(CS1093&lt;=0,"NM",IF(CX1093=0,"NM",IF(ABS(CX1093/CS1093-1)&gt;2.5,"NM",IF((ABS(CX1093-CS1093)=ABS(ABS(CX1093)-ABS(CS1093))),(CX1093/CS1093-1),"NM"))))))</f>
      </c>
      <c r="CY1099" s="926">
        <f>IF(CT1093="NM","NM",IF(CY1093="NM","NM",IF(CT1093&lt;=0,"NM",IF(CY1093=0,"NM",IF(ABS(CY1093/CT1093-1)&gt;2.5,"NM",IF((ABS(CY1093-CT1093)=ABS(ABS(CY1093)-ABS(CT1093))),(CY1093/CT1093-1),"NM"))))))</f>
      </c>
      <c r="CZ1099" s="1060">
        <f>IF(CU1093=0, "NA", CZ1093/CU1093-1)</f>
      </c>
      <c r="DA1099" s="926">
        <f>IF(CV1093="NM","NM",IF(DA1093="NM","NM",IF(CV1093&lt;=0,"NM",IF(DA1093=0,"NM",IF(ABS(DA1093/CV1093-1)&gt;2.5,"NM",IF((ABS(DA1093-CV1093)=ABS(ABS(DA1093)-ABS(CV1093))),(DA1093/CV1093-1),"NM"))))))</f>
      </c>
      <c r="DB1099" s="926">
        <f>IF(CW1093="NM","NM",IF(DB1093="NM","NM",IF(CW1093&lt;=0,"NM",IF(DB1093=0,"NM",IF(ABS(DB1093/CW1093-1)&gt;2.5,"NM",IF((ABS(DB1093-CW1093)=ABS(ABS(DB1093)-ABS(CW1093))),(DB1093/CW1093-1),"NM"))))))</f>
      </c>
      <c r="DC1099" s="926">
        <f>IF(CX1093="NM","NM",IF(DC1093="NM","NM",IF(CX1093&lt;=0,"NM",IF(DC1093=0,"NM",IF(ABS(DC1093/CX1093-1)&gt;2.5,"NM",IF((ABS(DC1093-CX1093)=ABS(ABS(DC1093)-ABS(CX1093))),(DC1093/CX1093-1),"NM"))))))</f>
      </c>
      <c r="DD1099" s="928">
        <f>IF(CY1093=0, "NM", DD1093/CY1093-1)</f>
      </c>
      <c r="DE1099" s="1060">
        <f>IF(CZ1093=0, "NA", DE1093/CZ1093-1)</f>
      </c>
      <c r="DF1099" s="926">
        <f>IF(DA1093=0, "NA", DF1093/DA1093-1)</f>
      </c>
      <c r="DG1099" s="926">
        <f>IF(DB1093=0, "NA", DG1093/DB1093-1)</f>
      </c>
      <c r="DH1099" s="926">
        <f>IF(DC1093=0, "NA", DH1093/DC1093-1)</f>
      </c>
      <c r="DI1099" s="928">
        <f>IF(DD1093=0, "NM", DI1093/DD1093-1)</f>
      </c>
      <c r="DJ1099" s="1060">
        <f t="shared" ref="DJ1099:DX1099" si="2314">IF(DE1093=0, "NA", DJ1093/DE1093-1)</f>
      </c>
      <c r="DK1099" s="926">
        <f t="shared" si="2314"/>
      </c>
      <c r="DL1099" s="926">
        <f t="shared" si="2314"/>
      </c>
      <c r="DM1099" s="926">
        <f t="shared" si="2314"/>
      </c>
      <c r="DN1099" s="926">
        <f t="shared" si="2314"/>
      </c>
      <c r="DO1099" s="1060">
        <f t="shared" si="2314"/>
      </c>
      <c r="DP1099" s="926">
        <f t="shared" si="2314"/>
      </c>
      <c r="DQ1099" s="926">
        <f t="shared" si="2314"/>
      </c>
      <c r="DR1099" s="926">
        <f t="shared" si="2314"/>
      </c>
      <c r="DS1099" s="926">
        <f t="shared" si="2314"/>
      </c>
      <c r="DT1099" s="1060">
        <f t="shared" si="2314"/>
      </c>
      <c r="DU1099" s="926">
        <f t="shared" si="2314"/>
      </c>
      <c r="DV1099" s="926">
        <f t="shared" si="2314"/>
      </c>
      <c r="DW1099" s="926">
        <f t="shared" si="2314"/>
      </c>
      <c r="DX1099" s="928">
        <f t="shared" si="2314"/>
      </c>
      <c r="DY1099" s="1060">
        <f>IF(DT1093=0, "NA", DY1093/DT1093-1)</f>
      </c>
      <c r="DZ1099" s="926">
        <f>IF(DU1093=0, "NA", DZ1093/DU1093-1)</f>
      </c>
      <c r="EA1099" s="926">
        <f>IF(DV1093=0, "NA", EA1093/DV1093-1)</f>
      </c>
      <c r="EB1099" s="926">
        <f>IF(DW1093=0, "NA", EB1093/DW1093-1)</f>
      </c>
      <c r="EC1099" s="1235">
        <f t="shared" ref="EC1099:EF1099" si="2315">IF(DX1093=0, "NA", EC1093/DX1093-1)</f>
      </c>
      <c r="ED1099" s="1536">
        <f>IF(DY1093=0, "NA", ED1093/DY1093-1)</f>
      </c>
      <c r="EE1099" s="926">
        <f t="shared" si="2315"/>
      </c>
      <c r="EF1099" s="926">
        <f t="shared" si="2315"/>
      </c>
      <c r="EG1099" s="926">
        <f>IF(EB1093=0, "NA", EG1093/EB1093-1)</f>
      </c>
      <c r="EH1099" s="926">
        <f>IF(EC1093=0, "NA", EH1093/EC1093-1)</f>
      </c>
      <c r="EI1099" s="1060">
        <f>EI1093/ED1093-1</f>
      </c>
      <c r="EJ1099" s="1060">
        <f t="shared" ref="EJ1099:EN1099" si="2316">EJ1093/EI1093-1</f>
      </c>
      <c r="EK1099" s="928">
        <f t="shared" si="2316"/>
      </c>
      <c r="EL1099" s="928">
        <f t="shared" si="2316"/>
      </c>
      <c r="EM1099" s="928">
        <f t="shared" si="2316"/>
      </c>
      <c r="EN1099" s="928">
        <f t="shared" si="2316"/>
      </c>
      <c r="EO1099" s="928"/>
      <c r="EP1099" s="928"/>
      <c r="EQ1099" s="928"/>
      <c r="ER1099" s="928"/>
      <c r="ES1099" s="928"/>
      <c r="ET1099" s="928"/>
      <c r="EU1099" s="928"/>
      <c r="EV1099" s="928"/>
      <c r="EW1099" s="928"/>
      <c r="EX1099" s="928"/>
    </row>
    <row r="1100" spans="2:154">
      <c r="B1100" s="454" t="s">
        <v>850</v>
      </c>
      <c r="C1100" s="1577"/>
      <c r="D1100" s="933"/>
      <c r="E1100" s="933"/>
      <c r="F1100" s="933"/>
      <c r="G1100" s="933"/>
      <c r="H1100" s="933"/>
      <c r="I1100" s="926"/>
      <c r="J1100" s="926"/>
      <c r="K1100" s="926"/>
      <c r="L1100" s="926"/>
      <c r="M1100" s="926"/>
      <c r="N1100" s="926"/>
      <c r="O1100" s="926"/>
      <c r="P1100" s="926"/>
      <c r="Q1100" s="926"/>
      <c r="R1100" s="926"/>
      <c r="S1100" s="926"/>
      <c r="T1100" s="926"/>
      <c r="U1100" s="926"/>
      <c r="V1100" s="926"/>
      <c r="W1100" s="926"/>
      <c r="X1100" s="926"/>
      <c r="Y1100" s="926"/>
      <c r="Z1100" s="926"/>
      <c r="AA1100" s="926"/>
      <c r="AB1100" s="926"/>
      <c r="AC1100" s="926"/>
      <c r="AD1100" s="926"/>
      <c r="AE1100" s="926"/>
      <c r="AF1100" s="926"/>
      <c r="AG1100" s="926"/>
      <c r="AH1100" s="926"/>
      <c r="AI1100" s="926"/>
      <c r="AJ1100" s="926"/>
      <c r="AK1100" s="926"/>
      <c r="AL1100" s="926"/>
      <c r="AM1100" s="926"/>
      <c r="AN1100" s="926"/>
      <c r="AO1100" s="926"/>
      <c r="AP1100" s="926"/>
      <c r="AQ1100" s="926"/>
      <c r="AR1100" s="926"/>
      <c r="AS1100" s="926"/>
      <c r="AT1100" s="926"/>
      <c r="AU1100" s="926"/>
      <c r="AV1100" s="926"/>
      <c r="AW1100" s="926"/>
      <c r="AX1100" s="926"/>
      <c r="AY1100" s="926"/>
      <c r="AZ1100" s="926"/>
      <c r="BA1100" s="926"/>
      <c r="BB1100" s="926"/>
      <c r="BC1100" s="926"/>
      <c r="BD1100" s="926"/>
      <c r="BE1100" s="926"/>
      <c r="BF1100" s="926"/>
      <c r="BG1100" s="926"/>
      <c r="BH1100" s="926"/>
      <c r="BI1100" s="926"/>
      <c r="BJ1100" s="926"/>
      <c r="BK1100" s="926"/>
      <c r="BL1100" s="926"/>
      <c r="BM1100" s="926"/>
      <c r="BN1100" s="926"/>
      <c r="BO1100" s="926"/>
      <c r="BP1100" s="926"/>
      <c r="BQ1100" s="926"/>
      <c r="BR1100" s="926"/>
      <c r="BS1100" s="926"/>
      <c r="BT1100" s="926"/>
      <c r="BU1100" s="926"/>
      <c r="BV1100" s="926"/>
      <c r="BW1100" s="926"/>
      <c r="BX1100" s="926"/>
      <c r="BY1100" s="926"/>
      <c r="BZ1100" s="926"/>
      <c r="CA1100" s="926"/>
      <c r="CB1100" s="926"/>
      <c r="CC1100" s="926"/>
      <c r="CD1100" s="926"/>
      <c r="CE1100" s="926"/>
      <c r="CF1100" s="1060"/>
      <c r="CG1100" s="926"/>
      <c r="CH1100" s="926"/>
      <c r="CI1100" s="926"/>
      <c r="CJ1100" s="926"/>
      <c r="CK1100" s="1060"/>
      <c r="CL1100" s="926"/>
      <c r="CM1100" s="926"/>
      <c r="CN1100" s="926"/>
      <c r="CO1100" s="926"/>
      <c r="CP1100" s="1060"/>
      <c r="CQ1100" s="926"/>
      <c r="CR1100" s="926"/>
      <c r="CS1100" s="926"/>
      <c r="CT1100" s="926"/>
      <c r="CU1100" s="1060"/>
      <c r="CV1100" s="649"/>
      <c r="CW1100" s="649"/>
      <c r="CX1100" s="649"/>
      <c r="CY1100" s="926"/>
      <c r="CZ1100" s="1060"/>
      <c r="DA1100" s="2959"/>
      <c r="DB1100" s="2959"/>
      <c r="DC1100" s="2959"/>
      <c r="DD1100" s="2960"/>
      <c r="DE1100" s="2958"/>
      <c r="DF1100" s="2959"/>
      <c r="DG1100" s="2959"/>
      <c r="DH1100" s="2959"/>
      <c r="DI1100" s="2960"/>
      <c r="DJ1100" s="2958"/>
      <c r="DK1100" s="649"/>
      <c r="DL1100" s="649"/>
      <c r="DM1100" s="649"/>
      <c r="DN1100" s="649"/>
      <c r="DO1100" s="448"/>
      <c r="DP1100" s="925" t="s">
        <v>550</v>
      </c>
      <c r="DQ1100" s="925" t="s">
        <v>550</v>
      </c>
      <c r="DR1100" s="925" t="s">
        <v>550</v>
      </c>
      <c r="DS1100" s="925" t="s">
        <v>550</v>
      </c>
      <c r="DT1100" s="1066" t="s">
        <v>550</v>
      </c>
      <c r="DU1100" s="649">
        <v>0.13300000000000001</v>
      </c>
      <c r="DV1100" s="649">
        <v>0.25900000000000001</v>
      </c>
      <c r="DW1100" s="649">
        <v>0.20300000000000001</v>
      </c>
      <c r="DX1100" s="1482">
        <v>0.252</v>
      </c>
      <c r="DY1100" s="448">
        <v>0.21099999999999999</v>
      </c>
      <c r="DZ1100" s="649">
        <v>0.25900000000000001</v>
      </c>
      <c r="EA1100" s="649">
        <v>0.13400000000000001</v>
      </c>
      <c r="EB1100" s="649">
        <v>0.107</v>
      </c>
      <c r="EC1100" s="3610">
        <v>7.2999999999999995E-2</v>
      </c>
      <c r="ED1100" s="3623">
        <v>0.14000000000000001</v>
      </c>
      <c r="EE1100" s="649">
        <v>-2E-3</v>
      </c>
      <c r="EF1100" s="649">
        <v>9.8000000000000004E-2</v>
      </c>
      <c r="EG1100" s="649">
        <v>9.7000000000000003E-2</v>
      </c>
      <c r="EH1100" s="926">
        <f t="shared" ref="EH1100" si="2317">(EC1092*EH1098+EC1091*EH1096)/(EC1093)</f>
      </c>
      <c r="EI1100" s="1060">
        <f>(ED1092*EI1098+ED1091*EI1096)/(ED1093)</f>
      </c>
      <c r="EJ1100" s="1060">
        <f t="shared" ref="EJ1100:EN1100" si="2318">(EI1092*EJ1098+EI1091*EJ1096)/(EI1093)</f>
      </c>
      <c r="EK1100" s="928">
        <f t="shared" si="2318"/>
      </c>
      <c r="EL1100" s="928">
        <f t="shared" si="2318"/>
      </c>
      <c r="EM1100" s="928">
        <f t="shared" si="2318"/>
      </c>
      <c r="EN1100" s="928">
        <f t="shared" si="2318"/>
      </c>
      <c r="EO1100" s="928"/>
      <c r="EP1100" s="928"/>
      <c r="EQ1100" s="928"/>
      <c r="ER1100" s="928"/>
      <c r="ES1100" s="928"/>
      <c r="ET1100" s="928"/>
      <c r="EU1100" s="928"/>
      <c r="EV1100" s="928"/>
      <c r="EW1100" s="928"/>
      <c r="EX1100" s="928"/>
    </row>
    <row r="1101" spans="2:154">
      <c r="B1101" s="344"/>
      <c r="C1101" s="1577"/>
      <c r="D1101" s="933"/>
      <c r="E1101" s="933"/>
      <c r="F1101" s="933"/>
      <c r="G1101" s="933"/>
      <c r="H1101" s="933"/>
      <c r="I1101" s="933"/>
      <c r="J1101" s="933"/>
      <c r="K1101" s="933"/>
      <c r="L1101" s="933"/>
      <c r="M1101" s="933"/>
      <c r="N1101" s="933"/>
      <c r="O1101" s="933"/>
      <c r="P1101" s="933"/>
      <c r="Q1101" s="933"/>
      <c r="R1101" s="933"/>
      <c r="S1101" s="933"/>
      <c r="T1101" s="933"/>
      <c r="U1101" s="933"/>
      <c r="V1101" s="933"/>
      <c r="W1101" s="933"/>
      <c r="X1101" s="933"/>
      <c r="Y1101" s="933"/>
      <c r="Z1101" s="933"/>
      <c r="AA1101" s="933"/>
      <c r="AB1101" s="933"/>
      <c r="AC1101" s="933"/>
      <c r="AD1101" s="933"/>
      <c r="AE1101" s="933"/>
      <c r="AF1101" s="933"/>
      <c r="AG1101" s="933"/>
      <c r="AH1101" s="933"/>
      <c r="AI1101" s="933"/>
      <c r="AJ1101" s="933"/>
      <c r="AK1101" s="933"/>
      <c r="AL1101" s="933"/>
      <c r="AM1101" s="933"/>
      <c r="AN1101" s="933"/>
      <c r="AO1101" s="933"/>
      <c r="AP1101" s="933"/>
      <c r="AQ1101" s="933"/>
      <c r="AR1101" s="933"/>
      <c r="AS1101" s="933"/>
      <c r="AT1101" s="933"/>
      <c r="AU1101" s="933"/>
      <c r="AV1101" s="933"/>
      <c r="AW1101" s="933"/>
      <c r="AX1101" s="933"/>
      <c r="AY1101" s="933"/>
      <c r="AZ1101" s="933"/>
      <c r="BA1101" s="933"/>
      <c r="BB1101" s="933"/>
      <c r="BC1101" s="933"/>
      <c r="BD1101" s="933"/>
      <c r="BE1101" s="933"/>
      <c r="BF1101" s="933"/>
      <c r="BG1101" s="933"/>
      <c r="BH1101" s="933"/>
      <c r="BI1101" s="361"/>
      <c r="BJ1101" s="361"/>
      <c r="BK1101" s="361"/>
      <c r="BL1101" s="959"/>
      <c r="BM1101" s="361"/>
      <c r="BN1101" s="361"/>
      <c r="BO1101" s="361"/>
      <c r="BP1101" s="361"/>
      <c r="BQ1101" s="361"/>
      <c r="BR1101" s="361"/>
      <c r="BS1101" s="361"/>
      <c r="BT1101" s="361"/>
      <c r="BU1101" s="361"/>
      <c r="BV1101" s="361"/>
      <c r="BW1101" s="361"/>
      <c r="BX1101" s="361"/>
      <c r="BY1101" s="361"/>
      <c r="BZ1101" s="361"/>
      <c r="CA1101" s="361"/>
      <c r="CB1101" s="361"/>
      <c r="CC1101" s="361"/>
      <c r="CD1101" s="361"/>
      <c r="CE1101" s="361"/>
      <c r="CF1101" s="316"/>
      <c r="CG1101" s="361"/>
      <c r="CH1101" s="361"/>
      <c r="CI1101" s="361"/>
      <c r="CJ1101" s="361"/>
      <c r="CK1101" s="316"/>
      <c r="CL1101" s="361"/>
      <c r="CM1101" s="361"/>
      <c r="CN1101" s="361"/>
      <c r="CO1101" s="361"/>
      <c r="CP1101" s="316"/>
      <c r="CQ1101" s="361"/>
      <c r="CR1101" s="361"/>
      <c r="CS1101" s="361"/>
      <c r="CT1101" s="835"/>
      <c r="CU1101" s="316"/>
      <c r="CV1101" s="361"/>
      <c r="CW1101" s="361"/>
      <c r="CX1101" s="361"/>
      <c r="CY1101" s="835"/>
      <c r="CZ1101" s="316"/>
      <c r="DA1101" s="361"/>
      <c r="DB1101" s="361"/>
      <c r="DC1101" s="361"/>
      <c r="DD1101" s="835"/>
      <c r="DE1101" s="316"/>
      <c r="DF1101" s="361"/>
      <c r="DG1101" s="361"/>
      <c r="DH1101" s="361"/>
      <c r="DI1101" s="835"/>
      <c r="DJ1101" s="316"/>
      <c r="DK1101" s="361"/>
      <c r="DL1101" s="361"/>
      <c r="DM1101" s="361"/>
      <c r="DN1101" s="835"/>
      <c r="DO1101" s="316"/>
      <c r="DP1101" s="361"/>
      <c r="DQ1101" s="361"/>
      <c r="DR1101" s="361"/>
      <c r="DS1101" s="361"/>
      <c r="DT1101" s="316"/>
      <c r="DU1101" s="361"/>
      <c r="DV1101" s="361"/>
      <c r="DW1101" s="361"/>
      <c r="DX1101" s="835"/>
      <c r="DY1101" s="316"/>
      <c r="DZ1101" s="361"/>
      <c r="EA1101" s="361"/>
      <c r="EB1101" s="361"/>
      <c r="EC1101" s="1237"/>
      <c r="ED1101" s="1238"/>
      <c r="EE1101" s="361"/>
      <c r="EF1101" s="361"/>
      <c r="EG1101" s="361"/>
      <c r="EH1101" s="361"/>
      <c r="EI1101" s="316"/>
      <c r="EJ1101" s="316"/>
      <c r="EK1101" s="835"/>
      <c r="EL1101" s="835"/>
      <c r="EM1101" s="835"/>
      <c r="EN1101" s="835"/>
      <c r="EO1101" s="316"/>
      <c r="EP1101" s="316"/>
      <c r="EQ1101" s="316"/>
      <c r="ER1101" s="316"/>
      <c r="ES1101" s="316"/>
      <c r="ET1101" s="316"/>
      <c r="EU1101" s="316"/>
      <c r="EV1101" s="316"/>
      <c r="EW1101" s="316"/>
      <c r="EX1101" s="316"/>
    </row>
    <row r="1102" spans="2:154">
      <c r="B1102" s="2239" t="s">
        <v>945</v>
      </c>
      <c r="C1102" s="2019"/>
      <c r="D1102" s="2976"/>
      <c r="E1102" s="2976"/>
      <c r="F1102" s="2976"/>
      <c r="G1102" s="2976"/>
      <c r="H1102" s="2976"/>
      <c r="I1102" s="2977"/>
      <c r="J1102" s="2976"/>
      <c r="K1102" s="2976"/>
      <c r="L1102" s="2976"/>
      <c r="M1102" s="2976"/>
      <c r="N1102" s="2977"/>
      <c r="O1102" s="2977"/>
      <c r="P1102" s="2977"/>
      <c r="Q1102" s="2977"/>
      <c r="R1102" s="2977"/>
      <c r="S1102" s="2978"/>
      <c r="T1102" s="2977"/>
      <c r="U1102" s="2977"/>
      <c r="V1102" s="2977"/>
      <c r="W1102" s="2977"/>
      <c r="X1102" s="2240"/>
      <c r="Y1102" s="2977"/>
      <c r="Z1102" s="2977"/>
      <c r="AA1102" s="2977"/>
      <c r="AB1102" s="2977"/>
      <c r="AC1102" s="2240"/>
      <c r="AD1102" s="2977"/>
      <c r="AE1102" s="2977"/>
      <c r="AF1102" s="2977"/>
      <c r="AG1102" s="2977"/>
      <c r="AH1102" s="2240"/>
      <c r="AI1102" s="2976"/>
      <c r="AJ1102" s="2976"/>
      <c r="AK1102" s="2976"/>
      <c r="AL1102" s="2977"/>
      <c r="AM1102" s="2240"/>
      <c r="AN1102" s="2976"/>
      <c r="AO1102" s="2976"/>
      <c r="AP1102" s="2976"/>
      <c r="AQ1102" s="2977"/>
      <c r="AR1102" s="2240"/>
      <c r="AS1102" s="2976"/>
      <c r="AT1102" s="2976"/>
      <c r="AU1102" s="2976"/>
      <c r="AV1102" s="2977"/>
      <c r="AW1102" s="2240"/>
      <c r="AX1102" s="2976"/>
      <c r="AY1102" s="2976"/>
      <c r="AZ1102" s="2976"/>
      <c r="BA1102" s="2976"/>
      <c r="BB1102" s="2240"/>
      <c r="BC1102" s="2976"/>
      <c r="BD1102" s="2976"/>
      <c r="BE1102" s="2976"/>
      <c r="BF1102" s="2976"/>
      <c r="BG1102" s="2240"/>
      <c r="BH1102" s="2976"/>
      <c r="BI1102" s="2976"/>
      <c r="BJ1102" s="2976"/>
      <c r="BK1102" s="2976"/>
      <c r="BL1102" s="2240"/>
      <c r="BM1102" s="2976"/>
      <c r="BN1102" s="2976"/>
      <c r="BO1102" s="2976"/>
      <c r="BP1102" s="2976"/>
      <c r="BQ1102" s="2240"/>
      <c r="BR1102" s="2976"/>
      <c r="BS1102" s="2976"/>
      <c r="BT1102" s="2976"/>
      <c r="BU1102" s="2976"/>
      <c r="BV1102" s="2240"/>
      <c r="BW1102" s="2976"/>
      <c r="BX1102" s="2976"/>
      <c r="BY1102" s="2976"/>
      <c r="BZ1102" s="2976"/>
      <c r="CA1102" s="2240"/>
      <c r="CB1102" s="2976"/>
      <c r="CC1102" s="2976"/>
      <c r="CD1102" s="2976"/>
      <c r="CE1102" s="2976"/>
      <c r="CF1102" s="2240"/>
      <c r="CG1102" s="2976"/>
      <c r="CH1102" s="2976"/>
      <c r="CI1102" s="2976"/>
      <c r="CJ1102" s="2976"/>
      <c r="CK1102" s="2240"/>
      <c r="CL1102" s="3031"/>
      <c r="CM1102" s="2976"/>
      <c r="CN1102" s="2976"/>
      <c r="CO1102" s="2976"/>
      <c r="CP1102" s="2240"/>
      <c r="CQ1102" s="2976"/>
      <c r="CR1102" s="2976"/>
      <c r="CS1102" s="2976"/>
      <c r="CT1102" s="2976"/>
      <c r="CU1102" s="2240"/>
      <c r="CV1102" s="2976"/>
      <c r="CW1102" s="2976"/>
      <c r="CX1102" s="2976"/>
      <c r="CY1102" s="2976"/>
      <c r="CZ1102" s="2240"/>
      <c r="DA1102" s="2357"/>
      <c r="DB1102" s="3028"/>
      <c r="DC1102" s="3028"/>
      <c r="DD1102" s="2358"/>
      <c r="DE1102" s="2208"/>
      <c r="DF1102" s="2194"/>
      <c r="DG1102" s="2957"/>
      <c r="DH1102" s="2957"/>
      <c r="DI1102" s="2128"/>
      <c r="DJ1102" s="2208"/>
      <c r="DK1102" s="2194"/>
      <c r="DL1102" s="2957"/>
      <c r="DM1102" s="2957"/>
      <c r="DN1102" s="2128"/>
      <c r="DO1102" s="2208"/>
      <c r="DP1102" s="2957"/>
      <c r="DQ1102" s="2957"/>
      <c r="DR1102" s="2957"/>
      <c r="DS1102" s="2957"/>
      <c r="DT1102" s="2205"/>
      <c r="DU1102" s="2957"/>
      <c r="DV1102" s="2957"/>
      <c r="DW1102" s="2957"/>
      <c r="DX1102" s="2128"/>
      <c r="DY1102" s="2205"/>
      <c r="DZ1102" s="2957"/>
      <c r="EA1102" s="2957"/>
      <c r="EB1102" s="2957"/>
      <c r="EC1102" s="2957"/>
      <c r="ED1102" s="2205"/>
      <c r="EE1102" s="2957"/>
      <c r="EF1102" s="2957"/>
      <c r="EG1102" s="2957"/>
      <c r="EH1102" s="2957"/>
      <c r="EI1102" s="2205"/>
      <c r="EJ1102" s="2133"/>
      <c r="EK1102" s="2205"/>
      <c r="EL1102" s="2205"/>
      <c r="EM1102" s="2205"/>
      <c r="EN1102" s="2205"/>
      <c r="EO1102" s="2133"/>
      <c r="EP1102" s="2133"/>
      <c r="EQ1102" s="2133"/>
      <c r="ER1102" s="2133"/>
      <c r="ES1102" s="2133"/>
      <c r="ET1102" s="2133"/>
      <c r="EU1102" s="2133"/>
      <c r="EV1102" s="2133"/>
      <c r="EW1102" s="2133"/>
      <c r="EX1102" s="2133"/>
    </row>
    <row r="1103" spans="2:154">
      <c r="B1103" s="334" t="s">
        <v>187</v>
      </c>
      <c r="C1103" s="1577"/>
      <c r="D1103" s="171"/>
      <c r="E1103" s="171"/>
      <c r="F1103" s="171"/>
      <c r="G1103" s="171"/>
      <c r="H1103" s="171"/>
      <c r="I1103" s="36"/>
      <c r="J1103" s="171"/>
      <c r="K1103" s="171"/>
      <c r="L1103" s="171"/>
      <c r="M1103" s="171"/>
      <c r="N1103" s="36"/>
      <c r="O1103" s="171"/>
      <c r="P1103" s="171"/>
      <c r="Q1103" s="171"/>
      <c r="R1103" s="171"/>
      <c r="S1103" s="36"/>
      <c r="T1103" s="171"/>
      <c r="U1103" s="171"/>
      <c r="V1103" s="171"/>
      <c r="W1103" s="171"/>
      <c r="X1103" s="36"/>
      <c r="Y1103" s="171"/>
      <c r="Z1103" s="171"/>
      <c r="AA1103" s="171"/>
      <c r="AB1103" s="171"/>
      <c r="AC1103" s="36"/>
      <c r="AD1103" s="171"/>
      <c r="AE1103" s="171"/>
      <c r="AF1103" s="171"/>
      <c r="AG1103" s="171"/>
      <c r="AH1103" s="36"/>
      <c r="AI1103" s="171"/>
      <c r="AJ1103" s="171"/>
      <c r="AK1103" s="171"/>
      <c r="AL1103" s="171"/>
      <c r="AM1103" s="36"/>
      <c r="AN1103" s="171"/>
      <c r="AO1103" s="171"/>
      <c r="AP1103" s="171"/>
      <c r="AQ1103" s="171"/>
      <c r="AR1103" s="36"/>
      <c r="AS1103" s="171"/>
      <c r="AT1103" s="171"/>
      <c r="AU1103" s="171"/>
      <c r="AV1103" s="171"/>
      <c r="AW1103" s="36"/>
      <c r="AX1103" s="171"/>
      <c r="AY1103" s="171"/>
      <c r="AZ1103" s="171"/>
      <c r="BA1103" s="171"/>
      <c r="BB1103" s="36"/>
      <c r="BC1103" s="171"/>
      <c r="BD1103" s="171"/>
      <c r="BE1103" s="171"/>
      <c r="BF1103" s="171"/>
      <c r="BG1103" s="36"/>
      <c r="BH1103" s="171"/>
      <c r="BI1103" s="171"/>
      <c r="BJ1103" s="171"/>
      <c r="BK1103" s="171"/>
      <c r="BL1103" s="36"/>
      <c r="BM1103" s="171"/>
      <c r="BN1103" s="577"/>
      <c r="BO1103" s="577"/>
      <c r="BP1103" s="171"/>
      <c r="BQ1103" s="36"/>
      <c r="BR1103" s="171"/>
      <c r="BS1103" s="577"/>
      <c r="BT1103" s="577"/>
      <c r="BU1103" s="577"/>
      <c r="BV1103" s="36"/>
      <c r="BW1103" s="577"/>
      <c r="BX1103" s="577"/>
      <c r="BY1103" s="577"/>
      <c r="BZ1103" s="577"/>
      <c r="CA1103" s="36"/>
      <c r="CB1103" s="577"/>
      <c r="CC1103" s="577"/>
      <c r="CD1103" s="577"/>
      <c r="CE1103" s="577"/>
      <c r="CF1103" s="1505"/>
      <c r="CG1103" s="577"/>
      <c r="CH1103" s="577"/>
      <c r="CI1103" s="577"/>
      <c r="CJ1103" s="577"/>
      <c r="CK1103" s="1505"/>
      <c r="CL1103" s="577"/>
      <c r="CM1103" s="577">
        <f>90+3</f>
      </c>
      <c r="CN1103" s="577">
        <f>89+3</f>
      </c>
      <c r="CO1103" s="577">
        <f>100+3</f>
      </c>
      <c r="CP1103" s="1505">
        <v>108</v>
      </c>
      <c r="CQ1103" s="577">
        <f>108+3</f>
      </c>
      <c r="CR1103" s="577">
        <f>115+3</f>
      </c>
      <c r="CS1103" s="577">
        <f>114+3</f>
      </c>
      <c r="CT1103" s="1839">
        <f>131+4</f>
      </c>
      <c r="CU1103" s="1835">
        <f>SUM(CQ1103:CT1103)</f>
      </c>
      <c r="CV1103" s="577">
        <f>146+4</f>
      </c>
      <c r="CW1103" s="577">
        <f>152+4</f>
      </c>
      <c r="CX1103" s="577">
        <f>152+5</f>
      </c>
      <c r="CY1103" s="1839">
        <f>166+5</f>
      </c>
      <c r="CZ1103" s="1835">
        <f>SUM(CV1103:CY1103)</f>
      </c>
      <c r="DA1103" s="577">
        <f>170+5</f>
      </c>
      <c r="DB1103" s="577">
        <f>168+5</f>
      </c>
      <c r="DC1103" s="577">
        <v>172</v>
      </c>
      <c r="DD1103" s="1839">
        <v>186</v>
      </c>
      <c r="DE1103" s="1835">
        <f>SUM(DA1103:DD1103)</f>
      </c>
      <c r="DF1103" s="710">
        <f>164+6</f>
      </c>
      <c r="DG1103" s="710">
        <f>126+7</f>
      </c>
      <c r="DH1103" s="710">
        <f>163+7</f>
      </c>
      <c r="DI1103" s="1839">
        <f>180+7</f>
      </c>
      <c r="DJ1103" s="1835">
        <f>SUM(DF1103:DI1103)</f>
      </c>
      <c r="DK1103" s="710">
        <f>186+7</f>
      </c>
      <c r="DL1103" s="710">
        <f>198+7</f>
      </c>
      <c r="DM1103" s="710">
        <f>190+8</f>
      </c>
      <c r="DN1103" s="1839">
        <f>201+8</f>
      </c>
      <c r="DO1103" s="1835">
        <f>SUM(DK1103:DN1103)</f>
      </c>
      <c r="DP1103" s="710">
        <f>208+8</f>
      </c>
      <c r="DQ1103" s="710">
        <f>216+9</f>
      </c>
      <c r="DR1103" s="710">
        <f>208+9</f>
      </c>
      <c r="DS1103" s="710">
        <v>237</v>
      </c>
      <c r="DT1103" s="1835">
        <f>SUM(DP1103:DS1103)</f>
      </c>
      <c r="DU1103" s="710">
        <v>264</v>
      </c>
      <c r="DV1103" s="710">
        <v>272</v>
      </c>
      <c r="DW1103" s="710">
        <v>254</v>
      </c>
      <c r="DX1103" s="1839">
        <v>276</v>
      </c>
      <c r="DY1103" s="1835">
        <f>SUM(DU1103:DX1103)</f>
      </c>
      <c r="DZ1103" s="710">
        <v>303</v>
      </c>
      <c r="EA1103" s="710">
        <v>308.5</v>
      </c>
      <c r="EB1103" s="710">
        <v>293.39999999999998</v>
      </c>
      <c r="EC1103" s="1552">
        <v>308</v>
      </c>
      <c r="ED1103" s="1835">
        <f>SUM(DZ1103:EC1103)</f>
      </c>
      <c r="EE1103" s="710">
        <v>339</v>
      </c>
      <c r="EF1103" s="710">
        <v>360</v>
      </c>
      <c r="EG1103" s="710">
        <v>336</v>
      </c>
      <c r="EH1103" s="1542">
        <f>EI1103-SUM(EE1103:EG1103)</f>
      </c>
      <c r="EI1103" s="1835">
        <f>+ED1103*(1+EI1108)</f>
      </c>
      <c r="EJ1103" s="1835">
        <f t="shared" ref="EJ1103:EN1104" si="2319">+EI1103*(1+EJ1108)</f>
      </c>
      <c r="EK1103" s="1556">
        <f t="shared" si="2319"/>
      </c>
      <c r="EL1103" s="1556">
        <f t="shared" si="2319"/>
      </c>
      <c r="EM1103" s="1556">
        <f t="shared" si="2319"/>
      </c>
      <c r="EN1103" s="1556">
        <f t="shared" si="2319"/>
      </c>
      <c r="EO1103" s="477"/>
      <c r="EP1103" s="477"/>
      <c r="EQ1103" s="477"/>
      <c r="ER1103" s="477"/>
      <c r="ES1103" s="477"/>
      <c r="ET1103" s="477"/>
      <c r="EU1103" s="477"/>
      <c r="EV1103" s="477"/>
      <c r="EW1103" s="477"/>
      <c r="EX1103" s="477"/>
    </row>
    <row r="1104" spans="2:154">
      <c r="B1104" s="334" t="s">
        <v>412</v>
      </c>
      <c r="C1104" s="1577"/>
      <c r="D1104" s="171"/>
      <c r="E1104" s="171"/>
      <c r="F1104" s="171"/>
      <c r="G1104" s="171"/>
      <c r="H1104" s="171"/>
      <c r="I1104" s="36"/>
      <c r="J1104" s="171"/>
      <c r="K1104" s="171"/>
      <c r="L1104" s="171"/>
      <c r="M1104" s="171"/>
      <c r="N1104" s="36"/>
      <c r="O1104" s="171"/>
      <c r="P1104" s="171"/>
      <c r="Q1104" s="171"/>
      <c r="R1104" s="171"/>
      <c r="S1104" s="36"/>
      <c r="T1104" s="171"/>
      <c r="U1104" s="171"/>
      <c r="V1104" s="171"/>
      <c r="W1104" s="171"/>
      <c r="X1104" s="36"/>
      <c r="Y1104" s="171"/>
      <c r="Z1104" s="171"/>
      <c r="AA1104" s="171"/>
      <c r="AB1104" s="171"/>
      <c r="AC1104" s="36"/>
      <c r="AD1104" s="171"/>
      <c r="AE1104" s="171"/>
      <c r="AF1104" s="171"/>
      <c r="AG1104" s="171"/>
      <c r="AH1104" s="36"/>
      <c r="AI1104" s="171"/>
      <c r="AJ1104" s="171"/>
      <c r="AK1104" s="171"/>
      <c r="AL1104" s="171"/>
      <c r="AM1104" s="36"/>
      <c r="AN1104" s="171"/>
      <c r="AO1104" s="171"/>
      <c r="AP1104" s="171"/>
      <c r="AQ1104" s="171"/>
      <c r="AR1104" s="36"/>
      <c r="AS1104" s="171"/>
      <c r="AT1104" s="171"/>
      <c r="AU1104" s="171"/>
      <c r="AV1104" s="171"/>
      <c r="AW1104" s="36"/>
      <c r="AX1104" s="171"/>
      <c r="AY1104" s="171"/>
      <c r="AZ1104" s="171"/>
      <c r="BA1104" s="171"/>
      <c r="BB1104" s="36"/>
      <c r="BC1104" s="171"/>
      <c r="BD1104" s="171"/>
      <c r="BE1104" s="171"/>
      <c r="BF1104" s="171"/>
      <c r="BG1104" s="36"/>
      <c r="BH1104" s="171"/>
      <c r="BI1104" s="171"/>
      <c r="BJ1104" s="171"/>
      <c r="BK1104" s="171"/>
      <c r="BL1104" s="36"/>
      <c r="BM1104" s="171"/>
      <c r="BN1104" s="577"/>
      <c r="BO1104" s="577"/>
      <c r="BP1104" s="171"/>
      <c r="BQ1104" s="36"/>
      <c r="BR1104" s="171"/>
      <c r="BS1104" s="577"/>
      <c r="BT1104" s="577"/>
      <c r="BU1104" s="577"/>
      <c r="BV1104" s="36"/>
      <c r="BW1104" s="577"/>
      <c r="BX1104" s="577"/>
      <c r="BY1104" s="577"/>
      <c r="BZ1104" s="577"/>
      <c r="CA1104" s="36"/>
      <c r="CB1104" s="577"/>
      <c r="CC1104" s="577"/>
      <c r="CD1104" s="577"/>
      <c r="CE1104" s="577"/>
      <c r="CF1104" s="1505"/>
      <c r="CG1104" s="577"/>
      <c r="CH1104" s="577"/>
      <c r="CI1104" s="577"/>
      <c r="CJ1104" s="577"/>
      <c r="CK1104" s="1505"/>
      <c r="CL1104" s="577"/>
      <c r="CM1104" s="577">
        <f>8+2</f>
      </c>
      <c r="CN1104" s="577">
        <f>9+2</f>
      </c>
      <c r="CO1104" s="577">
        <f>9+2</f>
      </c>
      <c r="CP1104" s="1505">
        <f>SUM(CL1104:CO1104)</f>
      </c>
      <c r="CQ1104" s="577">
        <f>11+2</f>
      </c>
      <c r="CR1104" s="577">
        <f>13+2</f>
      </c>
      <c r="CS1104" s="577">
        <f>14+2</f>
      </c>
      <c r="CT1104" s="1839">
        <f>17+2</f>
      </c>
      <c r="CU1104" s="1835">
        <f>SUM(CQ1104:CT1104)</f>
      </c>
      <c r="CV1104" s="577">
        <f>22+2</f>
      </c>
      <c r="CW1104" s="577">
        <f>22+2</f>
      </c>
      <c r="CX1104" s="577">
        <f>23+2</f>
      </c>
      <c r="CY1104" s="1839">
        <f>28+3</f>
      </c>
      <c r="CZ1104" s="1835">
        <f>SUM(CV1104:CY1104)</f>
      </c>
      <c r="DA1104" s="577">
        <f>30+3</f>
      </c>
      <c r="DB1104" s="577">
        <f>32+3</f>
      </c>
      <c r="DC1104" s="577">
        <v>33</v>
      </c>
      <c r="DD1104" s="1839">
        <v>36</v>
      </c>
      <c r="DE1104" s="1835">
        <f>SUM(DA1104:DD1104)</f>
      </c>
      <c r="DF1104" s="710">
        <f>33+3</f>
      </c>
      <c r="DG1104" s="710">
        <f>29+3</f>
      </c>
      <c r="DH1104" s="710">
        <f>37+3</f>
      </c>
      <c r="DI1104" s="1839">
        <f>41+4</f>
      </c>
      <c r="DJ1104" s="1835">
        <f>SUM(DF1104:DI1104)</f>
      </c>
      <c r="DK1104" s="710">
        <f>44+4</f>
      </c>
      <c r="DL1104" s="710">
        <f>44+4</f>
      </c>
      <c r="DM1104" s="710">
        <f>46+4</f>
      </c>
      <c r="DN1104" s="1839">
        <f>48+4</f>
      </c>
      <c r="DO1104" s="1835">
        <f>SUM(DK1104:DN1104)</f>
      </c>
      <c r="DP1104" s="710">
        <f>50+4</f>
      </c>
      <c r="DQ1104" s="710">
        <f>49+4</f>
      </c>
      <c r="DR1104" s="710">
        <f>45+4</f>
      </c>
      <c r="DS1104" s="710">
        <v>52</v>
      </c>
      <c r="DT1104" s="1835">
        <f>SUM(DP1104:DS1104)</f>
      </c>
      <c r="DU1104" s="710">
        <v>60</v>
      </c>
      <c r="DV1104" s="710">
        <v>59</v>
      </c>
      <c r="DW1104" s="710">
        <v>57</v>
      </c>
      <c r="DX1104" s="1839">
        <v>64</v>
      </c>
      <c r="DY1104" s="1835">
        <f>SUM(DU1104:DX1104)</f>
      </c>
      <c r="DZ1104" s="710">
        <v>67</v>
      </c>
      <c r="EA1104" s="710">
        <v>71.5</v>
      </c>
      <c r="EB1104" s="710">
        <v>68.400000000000006</v>
      </c>
      <c r="EC1104" s="1552">
        <v>77</v>
      </c>
      <c r="ED1104" s="1835">
        <f>SUM(DZ1104:EC1104)</f>
      </c>
      <c r="EE1104" s="710">
        <v>81</v>
      </c>
      <c r="EF1104" s="710">
        <v>89</v>
      </c>
      <c r="EG1104" s="710">
        <v>86</v>
      </c>
      <c r="EH1104" s="1542">
        <f>EI1104-SUM(EE1104:EG1104)</f>
      </c>
      <c r="EI1104" s="1835">
        <f>+ED1104*(1+EI1109)</f>
      </c>
      <c r="EJ1104" s="1835">
        <f t="shared" si="2319"/>
      </c>
      <c r="EK1104" s="1556">
        <f t="shared" si="2319"/>
      </c>
      <c r="EL1104" s="1556">
        <f t="shared" si="2319"/>
      </c>
      <c r="EM1104" s="1556">
        <f t="shared" si="2319"/>
      </c>
      <c r="EN1104" s="1556">
        <f t="shared" si="2319"/>
      </c>
      <c r="EO1104" s="477"/>
      <c r="EP1104" s="477"/>
      <c r="EQ1104" s="477"/>
      <c r="ER1104" s="477"/>
      <c r="ES1104" s="477"/>
      <c r="ET1104" s="477"/>
      <c r="EU1104" s="477"/>
      <c r="EV1104" s="477"/>
      <c r="EW1104" s="477"/>
      <c r="EX1104" s="477"/>
    </row>
    <row r="1105" spans="2:154">
      <c r="B1105" s="334" t="s">
        <v>413</v>
      </c>
      <c r="C1105" s="1577"/>
      <c r="D1105" s="933">
        <f t="shared" ref="D1105:AV1105" si="2320">+D1103+D1104</f>
      </c>
      <c r="E1105" s="933">
        <f t="shared" si="2320"/>
      </c>
      <c r="F1105" s="933">
        <f t="shared" si="2320"/>
      </c>
      <c r="G1105" s="933">
        <f t="shared" si="2320"/>
      </c>
      <c r="H1105" s="933">
        <f t="shared" si="2320"/>
      </c>
      <c r="I1105" s="31">
        <f t="shared" si="2320"/>
      </c>
      <c r="J1105" s="933">
        <f t="shared" si="2320"/>
      </c>
      <c r="K1105" s="933">
        <f t="shared" si="2320"/>
      </c>
      <c r="L1105" s="933">
        <f t="shared" si="2320"/>
      </c>
      <c r="M1105" s="933">
        <f t="shared" si="2320"/>
      </c>
      <c r="N1105" s="31">
        <f t="shared" si="2320"/>
      </c>
      <c r="O1105" s="31">
        <f t="shared" si="2320"/>
      </c>
      <c r="P1105" s="31">
        <f t="shared" si="2320"/>
      </c>
      <c r="Q1105" s="31">
        <f t="shared" si="2320"/>
      </c>
      <c r="R1105" s="31">
        <f t="shared" si="2320"/>
      </c>
      <c r="S1105" s="31">
        <f t="shared" si="2320"/>
      </c>
      <c r="T1105" s="31">
        <f t="shared" si="2320"/>
      </c>
      <c r="U1105" s="31">
        <f t="shared" si="2320"/>
      </c>
      <c r="V1105" s="31">
        <f t="shared" si="2320"/>
      </c>
      <c r="W1105" s="31">
        <f t="shared" si="2320"/>
      </c>
      <c r="X1105" s="31">
        <f t="shared" si="2320"/>
      </c>
      <c r="Y1105" s="31">
        <f t="shared" si="2320"/>
      </c>
      <c r="Z1105" s="31">
        <f t="shared" si="2320"/>
      </c>
      <c r="AA1105" s="31">
        <f t="shared" si="2320"/>
      </c>
      <c r="AB1105" s="31">
        <f t="shared" si="2320"/>
      </c>
      <c r="AC1105" s="31">
        <f t="shared" si="2320"/>
      </c>
      <c r="AD1105" s="31">
        <f t="shared" si="2320"/>
      </c>
      <c r="AE1105" s="31">
        <f t="shared" si="2320"/>
      </c>
      <c r="AF1105" s="31">
        <f t="shared" si="2320"/>
      </c>
      <c r="AG1105" s="31">
        <f t="shared" si="2320"/>
      </c>
      <c r="AH1105" s="31">
        <f t="shared" si="2320"/>
      </c>
      <c r="AI1105" s="933">
        <f t="shared" si="2320"/>
      </c>
      <c r="AJ1105" s="933">
        <f t="shared" si="2320"/>
      </c>
      <c r="AK1105" s="933">
        <f t="shared" si="2320"/>
      </c>
      <c r="AL1105" s="31">
        <f t="shared" si="2320"/>
      </c>
      <c r="AM1105" s="31">
        <f t="shared" si="2320"/>
      </c>
      <c r="AN1105" s="933">
        <f t="shared" si="2320"/>
      </c>
      <c r="AO1105" s="933">
        <f t="shared" si="2320"/>
      </c>
      <c r="AP1105" s="933">
        <f t="shared" si="2320"/>
      </c>
      <c r="AQ1105" s="933">
        <f t="shared" si="2320"/>
      </c>
      <c r="AR1105" s="31">
        <f t="shared" si="2320"/>
      </c>
      <c r="AS1105" s="933">
        <f t="shared" si="2320"/>
      </c>
      <c r="AT1105" s="933">
        <f t="shared" si="2320"/>
      </c>
      <c r="AU1105" s="933">
        <f t="shared" si="2320"/>
      </c>
      <c r="AV1105" s="933">
        <f t="shared" si="2320"/>
      </c>
      <c r="AW1105" s="31">
        <f>+AW1103+AW1104</f>
      </c>
      <c r="AX1105" s="933">
        <f t="shared" ref="AX1105:BK1105" si="2321">+AX1103+AX1104</f>
      </c>
      <c r="AY1105" s="933">
        <f t="shared" si="2321"/>
      </c>
      <c r="AZ1105" s="933">
        <f t="shared" si="2321"/>
      </c>
      <c r="BA1105" s="933">
        <f t="shared" si="2321"/>
      </c>
      <c r="BB1105" s="31">
        <f t="shared" si="2321"/>
      </c>
      <c r="BC1105" s="933">
        <f t="shared" si="2321"/>
      </c>
      <c r="BD1105" s="933">
        <f t="shared" si="2321"/>
      </c>
      <c r="BE1105" s="933">
        <f t="shared" si="2321"/>
      </c>
      <c r="BF1105" s="933">
        <f t="shared" si="2321"/>
      </c>
      <c r="BG1105" s="31">
        <f t="shared" si="2321"/>
      </c>
      <c r="BH1105" s="933">
        <f t="shared" si="2321"/>
      </c>
      <c r="BI1105" s="933">
        <f t="shared" si="2321"/>
      </c>
      <c r="BJ1105" s="933">
        <f t="shared" si="2321"/>
      </c>
      <c r="BK1105" s="933">
        <f t="shared" si="2321"/>
      </c>
      <c r="BL1105" s="31">
        <f>SUM(BH1105:BK1105)</f>
      </c>
      <c r="BM1105" s="933">
        <f>+BM1103+BM1104</f>
      </c>
      <c r="BN1105" s="933">
        <f>+BN1103+BN1104</f>
      </c>
      <c r="BO1105" s="933">
        <f>+BO1103+BO1104</f>
      </c>
      <c r="BP1105" s="933">
        <f>+BP1103+BP1104</f>
      </c>
      <c r="BQ1105" s="31">
        <f>SUM(BM1105:BP1105)</f>
      </c>
      <c r="BR1105" s="933">
        <f>+BR1103+BR1104</f>
      </c>
      <c r="BS1105" s="933">
        <f>+BS1103+BS1104</f>
      </c>
      <c r="BT1105" s="933">
        <f>+BT1103+BT1104</f>
      </c>
      <c r="BU1105" s="933">
        <f>+BU1103+BU1104</f>
      </c>
      <c r="BV1105" s="31">
        <f>SUM(BR1105:BU1105)</f>
      </c>
      <c r="BW1105" s="933">
        <f>+BW1103+BW1104</f>
      </c>
      <c r="BX1105" s="933">
        <f>+BX1103+BX1104</f>
      </c>
      <c r="BY1105" s="933">
        <f>+BY1103+BY1104</f>
      </c>
      <c r="BZ1105" s="933">
        <f>+BZ1103+BZ1104</f>
      </c>
      <c r="CA1105" s="31">
        <f>SUM(BW1105:BZ1105)</f>
      </c>
      <c r="CB1105" s="933">
        <f>+CB1103+CB1104</f>
      </c>
      <c r="CC1105" s="933">
        <f>+CC1103+CC1104</f>
      </c>
      <c r="CD1105" s="933">
        <f>+CD1103+CD1104</f>
      </c>
      <c r="CE1105" s="933">
        <f>+CE1103+CE1104</f>
      </c>
      <c r="CF1105" s="1061">
        <f>SUM(CB1105:CE1105)</f>
      </c>
      <c r="CG1105" s="352">
        <v>68</v>
      </c>
      <c r="CH1105" s="352">
        <v>73</v>
      </c>
      <c r="CI1105" s="352">
        <v>76</v>
      </c>
      <c r="CJ1105" s="352">
        <v>86</v>
      </c>
      <c r="CK1105" s="1061">
        <f>SUM(CG1105:CJ1105)</f>
      </c>
      <c r="CL1105" s="352">
        <v>94</v>
      </c>
      <c r="CM1105" s="933">
        <f>+CM1103+CM1104</f>
      </c>
      <c r="CN1105" s="933">
        <f>+CN1103+CN1104</f>
      </c>
      <c r="CO1105" s="933">
        <f>+CO1103+CO1104</f>
      </c>
      <c r="CP1105" s="1061">
        <f>SUM(CL1105:CO1105)</f>
      </c>
      <c r="CQ1105" s="933">
        <f>+CQ1103+CQ1104</f>
      </c>
      <c r="CR1105" s="933">
        <f>+CR1103+CR1104</f>
      </c>
      <c r="CS1105" s="933">
        <f>+CS1103+CS1104</f>
      </c>
      <c r="CT1105" s="933">
        <f>+CT1103+CT1104</f>
      </c>
      <c r="CU1105" s="477">
        <f>SUM(CQ1105:CT1105)</f>
      </c>
      <c r="CV1105" s="933">
        <f>+CV1103+CV1104</f>
      </c>
      <c r="CW1105" s="933">
        <f>+CW1103+CW1104</f>
      </c>
      <c r="CX1105" s="933">
        <f>+CX1103+CX1104</f>
      </c>
      <c r="CY1105" s="933">
        <f>+CY1103+CY1104</f>
      </c>
      <c r="CZ1105" s="477">
        <f>SUM(CV1105:CY1105)</f>
      </c>
      <c r="DA1105" s="933">
        <f>+DA1103+DA1104</f>
      </c>
      <c r="DB1105" s="933">
        <f>SUM(DB1103:DB1104)</f>
      </c>
      <c r="DC1105" s="933">
        <f>SUM(DC1103:DC1104)</f>
      </c>
      <c r="DD1105" s="933">
        <f>+DD1103+DD1104</f>
      </c>
      <c r="DE1105" s="1835">
        <f>SUM(DA1105:DD1105)</f>
      </c>
      <c r="DF1105" s="1542">
        <f>+DF1103+DF1104</f>
      </c>
      <c r="DG1105" s="1542">
        <f>+DG1103+DG1104</f>
      </c>
      <c r="DH1105" s="1542">
        <f>+DH1103+DH1104</f>
      </c>
      <c r="DI1105" s="1556">
        <f>+DI1103+DI1104</f>
      </c>
      <c r="DJ1105" s="1835">
        <f>SUM(DF1105:DI1105)</f>
      </c>
      <c r="DK1105" s="1542">
        <f>+DK1103+DK1104</f>
      </c>
      <c r="DL1105" s="1542">
        <f>+DL1103+DL1104</f>
      </c>
      <c r="DM1105" s="1542">
        <f>+DM1103+DM1104</f>
      </c>
      <c r="DN1105" s="1556">
        <f>+DN1103+DN1104</f>
      </c>
      <c r="DO1105" s="1835">
        <f>SUM(DK1105:DN1105)</f>
      </c>
      <c r="DP1105" s="1542">
        <f>+DP1103+DP1104</f>
      </c>
      <c r="DQ1105" s="1542">
        <f>+DQ1103+DQ1104</f>
      </c>
      <c r="DR1105" s="1542">
        <f>+DR1103+DR1104</f>
      </c>
      <c r="DS1105" s="1542">
        <f>SUM(DS1103:DS1104)</f>
      </c>
      <c r="DT1105" s="1835">
        <f>SUM(DP1105:DS1105)</f>
      </c>
      <c r="DU1105" s="1542">
        <f>SUM(DU1103:DU1104)</f>
      </c>
      <c r="DV1105" s="1542">
        <f>+DV1103+DV1104</f>
      </c>
      <c r="DW1105" s="1542">
        <f>+DW1103+DW1104</f>
      </c>
      <c r="DX1105" s="1556">
        <f>+DX1103+DX1104</f>
      </c>
      <c r="DY1105" s="1835">
        <f>SUM(DU1105:DX1105)</f>
      </c>
      <c r="DZ1105" s="1542">
        <f>SUM(DZ1103:DZ1104)</f>
      </c>
      <c r="EA1105" s="1542">
        <f>SUM(EA1103:EA1104)</f>
      </c>
      <c r="EB1105" s="1542">
        <f>SUM(EB1103:EB1104)</f>
      </c>
      <c r="EC1105" s="1553">
        <f>+EC1103+EC1104</f>
      </c>
      <c r="ED1105" s="1835">
        <f>SUM(DZ1105:EC1105)</f>
      </c>
      <c r="EE1105" s="1542">
        <f>+EE1103+EE1104</f>
      </c>
      <c r="EF1105" s="1542">
        <f>+EF1103+EF1104</f>
      </c>
      <c r="EG1105" s="1542">
        <f>SUM(EG1103:EG1104)</f>
      </c>
      <c r="EH1105" s="1542">
        <f>SUM(EH1103:EH1104)</f>
      </c>
      <c r="EI1105" s="1835">
        <f t="shared" ref="EI1105:EM1105" si="2322">+EI1103+EI1104</f>
      </c>
      <c r="EJ1105" s="1835">
        <f t="shared" si="2322"/>
      </c>
      <c r="EK1105" s="1556">
        <f t="shared" si="2322"/>
      </c>
      <c r="EL1105" s="1556">
        <f t="shared" si="2322"/>
      </c>
      <c r="EM1105" s="1556">
        <f t="shared" si="2322"/>
      </c>
      <c r="EN1105" s="1556">
        <f>+EN1103+EN1104</f>
      </c>
      <c r="EO1105" s="1811"/>
      <c r="EP1105" s="1811"/>
      <c r="EQ1105" s="1811"/>
      <c r="ER1105" s="1811"/>
      <c r="ES1105" s="1811"/>
      <c r="ET1105" s="1811"/>
      <c r="EU1105" s="1811"/>
      <c r="EV1105" s="1811"/>
      <c r="EW1105" s="1811"/>
      <c r="EX1105" s="1811"/>
    </row>
    <row r="1106" spans="2:154">
      <c r="B1106" s="334"/>
      <c r="C1106" s="1577"/>
      <c r="D1106" s="933"/>
      <c r="E1106" s="933"/>
      <c r="F1106" s="933"/>
      <c r="G1106" s="933"/>
      <c r="H1106" s="933"/>
      <c r="I1106" s="31"/>
      <c r="J1106" s="933"/>
      <c r="K1106" s="933"/>
      <c r="L1106" s="933"/>
      <c r="M1106" s="933"/>
      <c r="N1106" s="31"/>
      <c r="O1106" s="31"/>
      <c r="P1106" s="31"/>
      <c r="Q1106" s="31"/>
      <c r="R1106" s="31"/>
      <c r="S1106" s="31"/>
      <c r="T1106" s="31"/>
      <c r="U1106" s="31"/>
      <c r="V1106" s="31"/>
      <c r="W1106" s="31"/>
      <c r="X1106" s="43"/>
      <c r="Y1106" s="31"/>
      <c r="Z1106" s="31"/>
      <c r="AA1106" s="31"/>
      <c r="AB1106" s="31"/>
      <c r="AC1106" s="43"/>
      <c r="AD1106" s="31"/>
      <c r="AE1106" s="31"/>
      <c r="AF1106" s="31"/>
      <c r="AG1106" s="31"/>
      <c r="AH1106" s="43"/>
      <c r="AI1106" s="933"/>
      <c r="AJ1106" s="933"/>
      <c r="AK1106" s="933"/>
      <c r="AL1106" s="31"/>
      <c r="AM1106" s="43"/>
      <c r="AN1106" s="933"/>
      <c r="AO1106" s="933"/>
      <c r="AP1106" s="933"/>
      <c r="AQ1106" s="933"/>
      <c r="AR1106" s="43"/>
      <c r="AS1106" s="933"/>
      <c r="AT1106" s="933"/>
      <c r="AU1106" s="933"/>
      <c r="AV1106" s="933"/>
      <c r="AW1106" s="43"/>
      <c r="AX1106" s="933"/>
      <c r="AY1106" s="933"/>
      <c r="AZ1106" s="933"/>
      <c r="BA1106" s="933"/>
      <c r="BB1106" s="43"/>
      <c r="BC1106" s="933"/>
      <c r="BD1106" s="933"/>
      <c r="BE1106" s="933"/>
      <c r="BF1106" s="933"/>
      <c r="BG1106" s="31"/>
      <c r="BH1106" s="933"/>
      <c r="BI1106" s="933"/>
      <c r="BJ1106" s="933"/>
      <c r="BK1106" s="933"/>
      <c r="BL1106" s="31"/>
      <c r="BM1106" s="933"/>
      <c r="BN1106" s="933"/>
      <c r="BO1106" s="933"/>
      <c r="BP1106" s="933"/>
      <c r="BQ1106" s="31"/>
      <c r="BR1106" s="933"/>
      <c r="BS1106" s="933"/>
      <c r="BT1106" s="933"/>
      <c r="BU1106" s="933"/>
      <c r="BV1106" s="31"/>
      <c r="BW1106" s="933"/>
      <c r="BX1106" s="933"/>
      <c r="BY1106" s="933"/>
      <c r="BZ1106" s="933"/>
      <c r="CA1106" s="31"/>
      <c r="CB1106" s="933"/>
      <c r="CC1106" s="933"/>
      <c r="CD1106" s="933"/>
      <c r="CE1106" s="933"/>
      <c r="CF1106" s="313"/>
      <c r="CG1106" s="933"/>
      <c r="CH1106" s="933"/>
      <c r="CI1106" s="933"/>
      <c r="CJ1106" s="933"/>
      <c r="CK1106" s="313"/>
      <c r="CL1106" s="933"/>
      <c r="CM1106" s="933"/>
      <c r="CN1106" s="933"/>
      <c r="CO1106" s="933"/>
      <c r="CP1106" s="313"/>
      <c r="CQ1106" s="933"/>
      <c r="CR1106" s="933"/>
      <c r="CS1106" s="933"/>
      <c r="CT1106" s="2259"/>
      <c r="CU1106" s="477"/>
      <c r="CV1106" s="933">
        <f>SUM(CR1105:CT1105,CV1105)</f>
      </c>
      <c r="CW1106" s="933"/>
      <c r="CX1106" s="933"/>
      <c r="CY1106" s="2259"/>
      <c r="CZ1106" s="477"/>
      <c r="DA1106" s="933"/>
      <c r="DB1106" s="31"/>
      <c r="DC1106" s="31"/>
      <c r="DD1106" s="2259"/>
      <c r="DE1106" s="477"/>
      <c r="DF1106" s="933"/>
      <c r="DG1106" s="2265"/>
      <c r="DH1106" s="2265"/>
      <c r="DI1106" s="2259"/>
      <c r="DJ1106" s="477"/>
      <c r="DK1106" s="933"/>
      <c r="DL1106" s="1915"/>
      <c r="DM1106" s="2265"/>
      <c r="DN1106" s="2259"/>
      <c r="DO1106" s="477"/>
      <c r="DP1106" s="933"/>
      <c r="DQ1106" s="2966"/>
      <c r="DR1106" s="1915"/>
      <c r="DS1106" s="2257"/>
      <c r="DT1106" s="477"/>
      <c r="DU1106" s="2257"/>
      <c r="DV1106" s="1915"/>
      <c r="DW1106" s="1915"/>
      <c r="DX1106" s="1946"/>
      <c r="DY1106" s="477"/>
      <c r="DZ1106" s="1880"/>
      <c r="EA1106" s="1880"/>
      <c r="EB1106" s="1880"/>
      <c r="EC1106" s="3613"/>
      <c r="ED1106" s="477"/>
      <c r="EE1106" s="1880"/>
      <c r="EF1106" s="1880"/>
      <c r="EG1106" s="1880"/>
      <c r="EH1106" s="1880"/>
      <c r="EI1106" s="2498"/>
      <c r="EJ1106" s="2498"/>
      <c r="EK1106" s="1881"/>
      <c r="EL1106" s="1881"/>
      <c r="EM1106" s="1881"/>
      <c r="EN1106" s="1881"/>
      <c r="EO1106" s="477"/>
      <c r="EP1106" s="477"/>
      <c r="EQ1106" s="477"/>
      <c r="ER1106" s="477"/>
      <c r="ES1106" s="477"/>
      <c r="ET1106" s="477"/>
      <c r="EU1106" s="477"/>
      <c r="EV1106" s="477"/>
      <c r="EW1106" s="477"/>
      <c r="EX1106" s="477"/>
    </row>
    <row r="1107" spans="2:154">
      <c r="B1107" s="453" t="s">
        <v>946</v>
      </c>
      <c r="C1107" s="1577"/>
      <c r="D1107" s="933"/>
      <c r="E1107" s="933"/>
      <c r="F1107" s="933"/>
      <c r="G1107" s="933"/>
      <c r="H1107" s="933"/>
      <c r="I1107" s="31"/>
      <c r="J1107" s="933"/>
      <c r="K1107" s="933"/>
      <c r="L1107" s="933"/>
      <c r="M1107" s="933"/>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933"/>
      <c r="AJ1107" s="933"/>
      <c r="AK1107" s="933"/>
      <c r="AL1107" s="31"/>
      <c r="AM1107" s="31"/>
      <c r="AN1107" s="933"/>
      <c r="AO1107" s="933"/>
      <c r="AP1107" s="933"/>
      <c r="AQ1107" s="933"/>
      <c r="AR1107" s="31"/>
      <c r="AS1107" s="933"/>
      <c r="AT1107" s="933"/>
      <c r="AU1107" s="933"/>
      <c r="AV1107" s="933"/>
      <c r="AW1107" s="31"/>
      <c r="AX1107" s="933"/>
      <c r="AY1107" s="933"/>
      <c r="AZ1107" s="933"/>
      <c r="BA1107" s="933"/>
      <c r="BB1107" s="31"/>
      <c r="BC1107" s="933"/>
      <c r="BD1107" s="933"/>
      <c r="BE1107" s="933"/>
      <c r="BF1107" s="933"/>
      <c r="BG1107" s="31"/>
      <c r="BH1107" s="933"/>
      <c r="BI1107" s="933"/>
      <c r="BJ1107" s="933"/>
      <c r="BK1107" s="933"/>
      <c r="BL1107" s="31"/>
      <c r="BM1107" s="933"/>
      <c r="BN1107" s="933"/>
      <c r="BO1107" s="933"/>
      <c r="BP1107" s="933"/>
      <c r="BQ1107" s="31"/>
      <c r="BR1107" s="933"/>
      <c r="BS1107" s="933"/>
      <c r="BT1107" s="933"/>
      <c r="BU1107" s="933"/>
      <c r="BV1107" s="31"/>
      <c r="BW1107" s="933"/>
      <c r="BX1107" s="933"/>
      <c r="BY1107" s="933"/>
      <c r="BZ1107" s="933"/>
      <c r="CA1107" s="31"/>
      <c r="CB1107" s="933"/>
      <c r="CC1107" s="933"/>
      <c r="CD1107" s="933"/>
      <c r="CE1107" s="933"/>
      <c r="CF1107" s="313"/>
      <c r="CG1107" s="933"/>
      <c r="CH1107" s="933"/>
      <c r="CI1107" s="933"/>
      <c r="CJ1107" s="933"/>
      <c r="CK1107" s="313"/>
      <c r="CL1107" s="933"/>
      <c r="CM1107" s="933"/>
      <c r="CN1107" s="933"/>
      <c r="CO1107" s="933"/>
      <c r="CP1107" s="313"/>
      <c r="CQ1107" s="933"/>
      <c r="CR1107" s="933"/>
      <c r="CS1107" s="933"/>
      <c r="CT1107" s="2259"/>
      <c r="CU1107" s="477"/>
      <c r="CV1107" s="933"/>
      <c r="CW1107" s="933"/>
      <c r="CX1107" s="933"/>
      <c r="CY1107" s="2259"/>
      <c r="CZ1107" s="477"/>
      <c r="DA1107" s="933"/>
      <c r="DB1107" s="31"/>
      <c r="DC1107" s="31"/>
      <c r="DD1107" s="2259"/>
      <c r="DE1107" s="477"/>
      <c r="DF1107" s="925"/>
      <c r="DG1107" s="2265"/>
      <c r="DH1107" s="2265"/>
      <c r="DI1107" s="2259"/>
      <c r="DJ1107" s="477"/>
      <c r="DK1107" s="925"/>
      <c r="DL1107" s="1915"/>
      <c r="DM1107" s="2265"/>
      <c r="DN1107" s="2259"/>
      <c r="DO1107" s="477"/>
      <c r="DP1107" s="1915"/>
      <c r="DQ1107" s="1915"/>
      <c r="DR1107" s="1915"/>
      <c r="DS1107" s="2257"/>
      <c r="DT1107" s="477"/>
      <c r="DU1107" s="2257"/>
      <c r="DV1107" s="1915"/>
      <c r="DW1107" s="1915"/>
      <c r="DX1107" s="1946"/>
      <c r="DY1107" s="477"/>
      <c r="DZ1107" s="1915"/>
      <c r="EA1107" s="1915"/>
      <c r="EB1107" s="1915"/>
      <c r="EC1107" s="3613"/>
      <c r="ED1107" s="1811"/>
      <c r="EE1107" s="1915"/>
      <c r="EF1107" s="1915"/>
      <c r="EG1107" s="1915"/>
      <c r="EH1107" s="2257"/>
      <c r="EI1107" s="477"/>
      <c r="EJ1107" s="477"/>
      <c r="EK1107" s="1798"/>
      <c r="EL1107" s="1798"/>
      <c r="EM1107" s="1798"/>
      <c r="EN1107" s="1798"/>
      <c r="EO1107" s="477"/>
      <c r="EP1107" s="477"/>
      <c r="EQ1107" s="477"/>
      <c r="ER1107" s="477"/>
      <c r="ES1107" s="477"/>
      <c r="ET1107" s="477"/>
      <c r="EU1107" s="477"/>
      <c r="EV1107" s="477"/>
      <c r="EW1107" s="477"/>
      <c r="EX1107" s="477"/>
    </row>
    <row r="1108" spans="2:154">
      <c r="B1108" s="454" t="s">
        <v>187</v>
      </c>
      <c r="C1108" s="1577"/>
      <c r="D1108" s="933"/>
      <c r="E1108" s="933"/>
      <c r="F1108" s="933"/>
      <c r="G1108" s="933"/>
      <c r="H1108" s="933"/>
      <c r="I1108" s="926"/>
      <c r="J1108" s="926"/>
      <c r="K1108" s="926"/>
      <c r="L1108" s="926"/>
      <c r="M1108" s="926"/>
      <c r="N1108" s="926"/>
      <c r="O1108" s="926"/>
      <c r="P1108" s="926"/>
      <c r="Q1108" s="926"/>
      <c r="R1108" s="926"/>
      <c r="S1108" s="926"/>
      <c r="T1108" s="926"/>
      <c r="U1108" s="926"/>
      <c r="V1108" s="926"/>
      <c r="W1108" s="926"/>
      <c r="X1108" s="926"/>
      <c r="Y1108" s="926"/>
      <c r="Z1108" s="926"/>
      <c r="AA1108" s="926"/>
      <c r="AB1108" s="926"/>
      <c r="AC1108" s="926"/>
      <c r="AD1108" s="926"/>
      <c r="AE1108" s="926"/>
      <c r="AF1108" s="926"/>
      <c r="AG1108" s="926"/>
      <c r="AH1108" s="926"/>
      <c r="AI1108" s="926"/>
      <c r="AJ1108" s="926"/>
      <c r="AK1108" s="926"/>
      <c r="AL1108" s="926"/>
      <c r="AM1108" s="926"/>
      <c r="AN1108" s="926"/>
      <c r="AO1108" s="926"/>
      <c r="AP1108" s="926"/>
      <c r="AQ1108" s="926"/>
      <c r="AR1108" s="926"/>
      <c r="AS1108" s="926"/>
      <c r="AT1108" s="926"/>
      <c r="AU1108" s="926"/>
      <c r="AV1108" s="926"/>
      <c r="AW1108" s="926"/>
      <c r="AX1108" s="926"/>
      <c r="AY1108" s="926"/>
      <c r="AZ1108" s="926"/>
      <c r="BA1108" s="926"/>
      <c r="BB1108" s="926"/>
      <c r="BC1108" s="926"/>
      <c r="BD1108" s="926"/>
      <c r="BE1108" s="926"/>
      <c r="BF1108" s="926"/>
      <c r="BG1108" s="926"/>
      <c r="BH1108" s="926"/>
      <c r="BI1108" s="926"/>
      <c r="BJ1108" s="926"/>
      <c r="BK1108" s="926"/>
      <c r="BL1108" s="926"/>
      <c r="BM1108" s="926"/>
      <c r="BN1108" s="926"/>
      <c r="BO1108" s="926"/>
      <c r="BP1108" s="926"/>
      <c r="BQ1108" s="926"/>
      <c r="BR1108" s="926"/>
      <c r="BS1108" s="926"/>
      <c r="BT1108" s="926"/>
      <c r="BU1108" s="926"/>
      <c r="BV1108" s="926"/>
      <c r="BW1108" s="926"/>
      <c r="BX1108" s="926"/>
      <c r="BY1108" s="926"/>
      <c r="BZ1108" s="926"/>
      <c r="CA1108" s="959"/>
      <c r="CB1108" s="926"/>
      <c r="CC1108" s="926"/>
      <c r="CD1108" s="926"/>
      <c r="CE1108" s="926"/>
      <c r="CF1108" s="2248"/>
      <c r="CG1108" s="926"/>
      <c r="CH1108" s="926"/>
      <c r="CI1108" s="926"/>
      <c r="CJ1108" s="926"/>
      <c r="CK1108" s="1060"/>
      <c r="CL1108" s="926"/>
      <c r="CM1108" s="926"/>
      <c r="CN1108" s="926"/>
      <c r="CO1108" s="926"/>
      <c r="CP1108" s="1060"/>
      <c r="CQ1108" s="926" t="str">
        <f t="shared" ref="CQ1108:CT1109" si="2323">IF(CL1103="NM","NM",IF(CQ1103="NM","NM",IF(CL1103&lt;=0,"NM",IF(CQ1103=0,"NM",IF(ABS(CQ1103/CL1103-1)&gt;2.5,"NM",IF((ABS(CQ1103-CL1103)=ABS(ABS(CQ1103)-ABS(CL1103))),(CQ1103/CL1103-1),"NM"))))))</f>
      </c>
      <c r="CR1108" s="926">
        <f t="shared" si="2323"/>
      </c>
      <c r="CS1108" s="926">
        <f t="shared" si="2323"/>
      </c>
      <c r="CT1108" s="928">
        <f t="shared" si="2323"/>
      </c>
      <c r="CU1108" s="1060">
        <f>IF(CP1103=0, 0, CU1103/CP1103-1)</f>
      </c>
      <c r="CV1108" s="926">
        <f t="shared" ref="CV1108:CX1109" si="2324">IF(CQ1103="NM","NM",IF(CV1103="NM","NM",IF(CQ1103&lt;=0,"NM",IF(CV1103=0,"NM",IF(ABS(CV1103/CQ1103-1)&gt;2.5,"NM",IF((ABS(CV1103-CQ1103)=ABS(ABS(CV1103)-ABS(CQ1103))),(CV1103/CQ1103-1),"NM"))))))</f>
      </c>
      <c r="CW1108" s="926">
        <f t="shared" si="2324"/>
      </c>
      <c r="CX1108" s="926">
        <f t="shared" si="2324"/>
      </c>
      <c r="CY1108" s="928">
        <f>IF(CT1103="NM","NM",IF(CY1103="NM","NM",IF(CT1103&lt;=0,"NM",IF(CY1103=0,"NM",IF(ABS(CY1103/CT1103-1)&gt;2.5,"NM",IF((ABS(CY1103-CT1103)=ABS(ABS(CY1103)-ABS(CT1103))),(CY1103/CT1103-1),"NM"))))))</f>
      </c>
      <c r="CZ1108" s="1060">
        <f>IF(CU1103=0, 0, CZ1103/CU1103-1)</f>
      </c>
      <c r="DA1108" s="926">
        <f t="shared" ref="DA1108:DD1109" si="2325">IF(CV1103="NM","NM",IF(DA1103="NM","NM",IF(CV1103&lt;=0,"NM",IF(DA1103=0,"NM",IF(ABS(DA1103/CV1103-1)&gt;2.5,"NM",IF((ABS(DA1103-CV1103)=ABS(ABS(DA1103)-ABS(CV1103))),(DA1103/CV1103-1),"NM"))))))</f>
      </c>
      <c r="DB1108" s="926">
        <f t="shared" si="2325"/>
      </c>
      <c r="DC1108" s="926">
        <f t="shared" si="2325"/>
      </c>
      <c r="DD1108" s="928">
        <f t="shared" si="2325"/>
      </c>
      <c r="DE1108" s="1060">
        <f>IF(CZ1103=0, 0, DE1103/CZ1103-1)</f>
      </c>
      <c r="DF1108" s="926">
        <f t="shared" ref="DF1108:DI1109" si="2326">IF(DA1103="NM","NM",IF(DF1103="NM","NM",IF(DA1103&lt;=0,"NM",IF(DF1103=0,"NM",IF(ABS(DF1103/DA1103-1)&gt;2.5,"NM",IF((ABS(DF1103-DA1103)=ABS(ABS(DF1103)-ABS(DA1103))),(DF1103/DA1103-1),"NM"))))))</f>
      </c>
      <c r="DG1108" s="926">
        <f t="shared" si="2326"/>
      </c>
      <c r="DH1108" s="926">
        <f t="shared" si="2326"/>
      </c>
      <c r="DI1108" s="928">
        <f t="shared" si="2326"/>
      </c>
      <c r="DJ1108" s="1060">
        <f>IF(DE1103=0, 0, DJ1103/DE1103-1)</f>
      </c>
      <c r="DK1108" s="926">
        <f t="shared" ref="DK1108:DN1109" si="2327">IF(DF1103="NM","NM",IF(DK1103="NM","NM",IF(DF1103&lt;=0,"NM",IF(DK1103=0,"NM",IF(ABS(DK1103/DF1103-1)&gt;2.5,"NM",IF((ABS(DK1103-DF1103)=ABS(ABS(DK1103)-ABS(DF1103))),(DK1103/DF1103-1),"NM"))))))</f>
      </c>
      <c r="DL1108" s="926">
        <f t="shared" si="2327"/>
      </c>
      <c r="DM1108" s="926">
        <f t="shared" si="2327"/>
      </c>
      <c r="DN1108" s="928">
        <f t="shared" si="2327"/>
      </c>
      <c r="DO1108" s="1060">
        <f>IF(DJ1103=0, 0, DO1103/DJ1103-1)</f>
      </c>
      <c r="DP1108" s="926">
        <f>IF(DK1103="NM","NM",IF(DP1103="NM","NM",IF(DK1103&lt;=0,"NM",IF(DP1103=0,"NM",IF(ABS(DP1103/DK1103-1)&gt;2.5,"NM",IF((ABS(DP1103-DK1103)=ABS(ABS(DP1103)-ABS(DK1103))),(DP1103/DK1103-1),"NM"))))))</f>
      </c>
      <c r="DQ1108" s="926">
        <f>IF(DL1103="NM","NM",IF(DQ1103="NM","NM",IF(DL1103&lt;=0,"NM",IF(DQ1103=0,"NM",IF(ABS(DQ1103/DL1103-1)&gt;2.5,"NM",IF((ABS(DQ1103-DL1103)=ABS(ABS(DQ1103)-ABS(DL1103))),(DQ1103/DL1103-1),"NM"))))))</f>
      </c>
      <c r="DR1108" s="926">
        <f>IF(DM1103="NM","NM",IF(DR1103="NM","NM",IF(DM1103&lt;=0,"NM",IF(DR1103=0,"NM",IF(ABS(DR1103/DM1103-1)&gt;2.5,"NM",IF((ABS(DR1103-DM1103)=ABS(ABS(DR1103)-ABS(DM1103))),(DR1103/DM1103-1),"NM"))))))</f>
      </c>
      <c r="DS1108" s="926">
        <f>IF(DN1103=0, 0, DS1103/DN1103-1)</f>
      </c>
      <c r="DT1108" s="1060">
        <f>IF(DO1103=0, 0, DT1103/DO1103-1)</f>
      </c>
      <c r="DU1108" s="926">
        <f>IF(DP1103=0, 0, DU1103/DP1103-1)</f>
      </c>
      <c r="DV1108" s="926">
        <f>IF(DQ1103="NM","NM",IF(DV1103="NM","NM",IF(DQ1103&lt;=0,"NM",IF(DV1103=0,"NM",IF(ABS(DV1103/DQ1103-1)&gt;2.5,"NM",IF((ABS(DV1103-DQ1103)=ABS(ABS(DV1103)-ABS(DQ1103))),(DV1103/DQ1103-1),"NM"))))))</f>
      </c>
      <c r="DW1108" s="926">
        <f>IF(DR1103="NM","NM",IF(DW1103="NM","NM",IF(DR1103&lt;=0,"NM",IF(DW1103=0,"NM",IF(ABS(DW1103/DR1103-1)&gt;2.5,"NM",IF((ABS(DW1103-DR1103)=ABS(ABS(DW1103)-ABS(DR1103))),(DW1103/DR1103-1),"NM"))))))</f>
      </c>
      <c r="DX1108" s="928">
        <f>IF(DS1103="NM","NM",IF(DX1103="NM","NM",IF(DS1103&lt;=0,"NM",IF(DX1103=0,"NM",IF(ABS(DX1103/DS1103-1)&gt;2.5,"NM",IF((ABS(DX1103-DS1103)=ABS(ABS(DX1103)-ABS(DS1103))),(DX1103/DS1103-1),"NM"))))))</f>
      </c>
      <c r="DY1108" s="1060">
        <f>IF(DT1103=0, 0, DY1103/DT1103-1)</f>
      </c>
      <c r="DZ1108" s="926">
        <f>IF(DU1103="NM","NM",IF(DZ1103="NM","NM",IF(DU1103&lt;=0,"NM",IF(DZ1103=0,"NM",IF(ABS(DZ1103/DU1103-1)&gt;2.5,"NM",IF((ABS(DZ1103-DU1103)=ABS(ABS(DZ1103)-ABS(DU1103))),(DZ1103/DU1103-1),"NM"))))))</f>
      </c>
      <c r="EA1108" s="926">
        <f>IF(DV1103="NM","NM",IF(EA1103="NM","NM",IF(DV1103&lt;=0,"NM",IF(EA1103=0,"NM",IF(ABS(EA1103/DV1103-1)&gt;2.5,"NM",IF((ABS(EA1103-DV1103)=ABS(ABS(EA1103)-ABS(DV1103))),(EA1103/DV1103-1),"NM"))))))</f>
      </c>
      <c r="EB1108" s="926">
        <f>IF(DW1103="NM","NM",IF(EB1103="NM","NM",IF(DW1103&lt;=0,"NM",IF(EB1103=0,"NM",IF(ABS(EB1103/DW1103-1)&gt;2.5,"NM",IF((ABS(EB1103-DW1103)=ABS(ABS(EB1103)-ABS(DW1103))),(EB1103/DW1103-1),"NM"))))))</f>
      </c>
      <c r="EC1108" s="1219">
        <f>IF(DX1103="NM","NM",IF(EC1103="NM","NM",IF(DX1103&lt;=0,"NM",IF(EC1103=0,"NM",IF(ABS(EC1103/DX1103-1)&gt;2.5,"NM",IF((ABS(EC1103-DX1103)=ABS(ABS(EC1103)-ABS(DX1103))),(EC1103/DX1103-1),"NM"))))))</f>
      </c>
      <c r="ED1108" s="1536">
        <f>IF(DY1103=0, "NA", ED1103/DY1103-1)</f>
      </c>
      <c r="EE1108" s="926">
        <f>IF(DZ1103="NM","NM",IF(EE1103="NM","NM",IF(DZ1103&lt;=0,"NM",IF(EE1103=0,"NM",IF(ABS(EE1103/DZ1103-1)&gt;2.5,"NM",IF((ABS(EE1103-DZ1103)=ABS(ABS(EE1103)-ABS(DZ1103))),(EE1103/DZ1103-1),"NM"))))))</f>
      </c>
      <c r="EF1108" s="926">
        <f>IF(EA1103="NM","NM",IF(EF1103="NM","NM",IF(EA1103&lt;=0,"NM",IF(EF1103=0,"NM",IF(ABS(EF1103/EA1103-1)&gt;2.5,"NM",IF((ABS(EF1103-EA1103)=ABS(ABS(EF1103)-ABS(EA1103))),(EF1103/EA1103-1),"NM"))))))</f>
      </c>
      <c r="EG1108" s="926">
        <f>IF(EB1103="NM","NM",IF(EG1103="NM","NM",IF(EB1103&lt;=0,"NM",IF(EG1103=0,"NM",IF(ABS(EG1103/EB1103-1)&gt;2.5,"NM",IF((ABS(EG1103-EB1103)=ABS(ABS(EG1103)-ABS(EB1103))),(EG1103/EB1103-1),"NM"))))))</f>
      </c>
      <c r="EH1108" s="926">
        <f>+EH1103/EC1103-1</f>
      </c>
      <c r="EI1108" s="317">
        <v>0.14499999999999999</v>
      </c>
      <c r="EJ1108" s="317">
        <v>0.12</v>
      </c>
      <c r="EK1108" s="836">
        <v>0.1</v>
      </c>
      <c r="EL1108" s="836">
        <v>0.09</v>
      </c>
      <c r="EM1108" s="836">
        <v>0.09</v>
      </c>
      <c r="EN1108" s="836">
        <v>0.09</v>
      </c>
      <c r="EO1108" s="673"/>
      <c r="EP1108" s="673"/>
      <c r="EQ1108" s="673"/>
      <c r="ER1108" s="673"/>
      <c r="ES1108" s="673"/>
      <c r="ET1108" s="673"/>
      <c r="EU1108" s="673"/>
      <c r="EV1108" s="673"/>
      <c r="EW1108" s="673"/>
      <c r="EX1108" s="673"/>
    </row>
    <row r="1109" spans="2:154">
      <c r="B1109" s="454" t="s">
        <v>412</v>
      </c>
      <c r="C1109" s="1577"/>
      <c r="D1109" s="933"/>
      <c r="E1109" s="933"/>
      <c r="F1109" s="933"/>
      <c r="G1109" s="933"/>
      <c r="H1109" s="933"/>
      <c r="I1109" s="926"/>
      <c r="J1109" s="926"/>
      <c r="K1109" s="926"/>
      <c r="L1109" s="926"/>
      <c r="M1109" s="926"/>
      <c r="N1109" s="926"/>
      <c r="O1109" s="926"/>
      <c r="P1109" s="926"/>
      <c r="Q1109" s="926"/>
      <c r="R1109" s="926"/>
      <c r="S1109" s="926"/>
      <c r="T1109" s="926"/>
      <c r="U1109" s="926"/>
      <c r="V1109" s="926"/>
      <c r="W1109" s="926"/>
      <c r="X1109" s="926"/>
      <c r="Y1109" s="926"/>
      <c r="Z1109" s="926"/>
      <c r="AA1109" s="926"/>
      <c r="AB1109" s="926"/>
      <c r="AC1109" s="926"/>
      <c r="AD1109" s="926"/>
      <c r="AE1109" s="926"/>
      <c r="AF1109" s="926"/>
      <c r="AG1109" s="926"/>
      <c r="AH1109" s="926"/>
      <c r="AI1109" s="926"/>
      <c r="AJ1109" s="926"/>
      <c r="AK1109" s="926"/>
      <c r="AL1109" s="926"/>
      <c r="AM1109" s="926"/>
      <c r="AN1109" s="926"/>
      <c r="AO1109" s="926"/>
      <c r="AP1109" s="926"/>
      <c r="AQ1109" s="926"/>
      <c r="AR1109" s="926"/>
      <c r="AS1109" s="926"/>
      <c r="AT1109" s="926"/>
      <c r="AU1109" s="926"/>
      <c r="AV1109" s="926"/>
      <c r="AW1109" s="926"/>
      <c r="AX1109" s="926"/>
      <c r="AY1109" s="926"/>
      <c r="AZ1109" s="926"/>
      <c r="BA1109" s="926"/>
      <c r="BB1109" s="926"/>
      <c r="BC1109" s="926"/>
      <c r="BD1109" s="926"/>
      <c r="BE1109" s="926"/>
      <c r="BF1109" s="926"/>
      <c r="BG1109" s="926"/>
      <c r="BH1109" s="926"/>
      <c r="BI1109" s="926"/>
      <c r="BJ1109" s="926"/>
      <c r="BK1109" s="926"/>
      <c r="BL1109" s="926"/>
      <c r="BM1109" s="926"/>
      <c r="BN1109" s="926"/>
      <c r="BO1109" s="926"/>
      <c r="BP1109" s="926"/>
      <c r="BQ1109" s="926"/>
      <c r="BR1109" s="926"/>
      <c r="BS1109" s="926"/>
      <c r="BT1109" s="926"/>
      <c r="BU1109" s="926"/>
      <c r="BV1109" s="926"/>
      <c r="BW1109" s="926"/>
      <c r="BX1109" s="926"/>
      <c r="BY1109" s="926"/>
      <c r="BZ1109" s="926"/>
      <c r="CA1109" s="926"/>
      <c r="CB1109" s="926"/>
      <c r="CC1109" s="926"/>
      <c r="CD1109" s="926"/>
      <c r="CE1109" s="926"/>
      <c r="CF1109" s="1060"/>
      <c r="CG1109" s="926"/>
      <c r="CH1109" s="926"/>
      <c r="CI1109" s="926"/>
      <c r="CJ1109" s="926"/>
      <c r="CK1109" s="1060"/>
      <c r="CL1109" s="926"/>
      <c r="CM1109" s="926"/>
      <c r="CN1109" s="926"/>
      <c r="CO1109" s="926"/>
      <c r="CP1109" s="1060"/>
      <c r="CQ1109" s="926" t="str">
        <f t="shared" si="2323"/>
      </c>
      <c r="CR1109" s="926">
        <f t="shared" si="2323"/>
      </c>
      <c r="CS1109" s="926">
        <f t="shared" si="2323"/>
      </c>
      <c r="CT1109" s="928">
        <f t="shared" si="2323"/>
      </c>
      <c r="CU1109" s="1060">
        <f>IF(CP1104=0, "NA", CU1104/CP1104-1)</f>
      </c>
      <c r="CV1109" s="926">
        <f t="shared" si="2324"/>
      </c>
      <c r="CW1109" s="926">
        <f t="shared" si="2324"/>
      </c>
      <c r="CX1109" s="926">
        <f t="shared" si="2324"/>
      </c>
      <c r="CY1109" s="928">
        <f>IF(CT1104="NM","NM",IF(CY1104="NM","NM",IF(CT1104&lt;=0,"NM",IF(CY1104=0,"NM",IF(ABS(CY1104/CT1104-1)&gt;2.5,"NM",IF((ABS(CY1104-CT1104)=ABS(ABS(CY1104)-ABS(CT1104))),(CY1104/CT1104-1),"NM"))))))</f>
      </c>
      <c r="CZ1109" s="1060">
        <f>IF(CU1104=0, "NA", CZ1104/CU1104-1)</f>
      </c>
      <c r="DA1109" s="926">
        <f t="shared" si="2325"/>
      </c>
      <c r="DB1109" s="926">
        <f t="shared" si="2325"/>
      </c>
      <c r="DC1109" s="926">
        <f t="shared" si="2325"/>
      </c>
      <c r="DD1109" s="928">
        <f t="shared" si="2325"/>
      </c>
      <c r="DE1109" s="1060">
        <f>IF(CZ1104=0, "NA", DE1104/CZ1104-1)</f>
      </c>
      <c r="DF1109" s="926">
        <f t="shared" si="2326"/>
      </c>
      <c r="DG1109" s="926">
        <f t="shared" si="2326"/>
      </c>
      <c r="DH1109" s="926">
        <f t="shared" si="2326"/>
      </c>
      <c r="DI1109" s="928">
        <f t="shared" si="2326"/>
      </c>
      <c r="DJ1109" s="1060">
        <f>IF(DE1104=0, "NA", DJ1104/DE1104-1)</f>
      </c>
      <c r="DK1109" s="926">
        <f t="shared" si="2327"/>
      </c>
      <c r="DL1109" s="926">
        <f t="shared" si="2327"/>
      </c>
      <c r="DM1109" s="926">
        <f t="shared" si="2327"/>
      </c>
      <c r="DN1109" s="928">
        <f t="shared" si="2327"/>
      </c>
      <c r="DO1109" s="1060">
        <f>IF(DJ1104=0, "NA", DO1104/DJ1104-1)</f>
      </c>
      <c r="DP1109" s="925">
        <f>DP1104/DK1104-1</f>
      </c>
      <c r="DQ1109" s="925">
        <f>DQ1104/DL1104-1</f>
      </c>
      <c r="DR1109" s="925">
        <f>DR1104/DM1104-1</f>
      </c>
      <c r="DS1109" s="926">
        <f>IF(DN1104=0, "NA", DS1104/DN1104-1)</f>
      </c>
      <c r="DT1109" s="1060">
        <f>IF(DO1104=0, "NA", DT1104/DO1104-1)</f>
      </c>
      <c r="DU1109" s="926">
        <f>IF(DP1104=0, "NA", DU1104/DP1104-1)</f>
      </c>
      <c r="DV1109" s="926">
        <f>DV1104/DQ1104-1</f>
      </c>
      <c r="DW1109" s="926">
        <f>DW1104/DR1104-1</f>
      </c>
      <c r="DX1109" s="928">
        <f>DX1104/DS1104-1</f>
      </c>
      <c r="DY1109" s="1060">
        <f>IF(DT1104=0, "NA", DY1104/DT1104-1)</f>
      </c>
      <c r="DZ1109" s="926">
        <f>DZ1104/DU1104-1</f>
      </c>
      <c r="EA1109" s="926">
        <f>EA1104/DV1104-1</f>
      </c>
      <c r="EB1109" s="926">
        <f>EB1104/DW1104-1</f>
      </c>
      <c r="EC1109" s="1219">
        <f>EC1104/DX1104-1</f>
      </c>
      <c r="ED1109" s="1536">
        <f>IF(DY1104=0, "NA", ED1104/DY1104-1)</f>
      </c>
      <c r="EE1109" s="926">
        <f>EE1104/DZ1104-1</f>
      </c>
      <c r="EF1109" s="926">
        <f>EF1104/EA1104-1</f>
      </c>
      <c r="EG1109" s="926">
        <f>EG1104/EB1104-1</f>
      </c>
      <c r="EH1109" s="926">
        <f>+EH1104/EC1104-1</f>
      </c>
      <c r="EI1109" s="1060">
        <f t="shared" ref="EI1109:EN1109" si="2328">EI1110+EI$1370</f>
      </c>
      <c r="EJ1109" s="1060">
        <f t="shared" si="2328"/>
      </c>
      <c r="EK1109" s="928">
        <f t="shared" si="2328"/>
      </c>
      <c r="EL1109" s="928">
        <f t="shared" si="2328"/>
      </c>
      <c r="EM1109" s="928">
        <f t="shared" si="2328"/>
      </c>
      <c r="EN1109" s="928">
        <f t="shared" si="2328"/>
      </c>
      <c r="EO1109" s="1066"/>
      <c r="EP1109" s="1066"/>
      <c r="EQ1109" s="1066"/>
      <c r="ER1109" s="1066"/>
      <c r="ES1109" s="1066"/>
      <c r="ET1109" s="1066"/>
      <c r="EU1109" s="1066"/>
      <c r="EV1109" s="1066"/>
      <c r="EW1109" s="1066"/>
      <c r="EX1109" s="1066"/>
    </row>
    <row r="1110" spans="2:154">
      <c r="B1110" s="454" t="s">
        <v>256</v>
      </c>
      <c r="C1110" s="1577"/>
      <c r="D1110" s="933"/>
      <c r="E1110" s="933"/>
      <c r="F1110" s="933"/>
      <c r="G1110" s="933"/>
      <c r="H1110" s="933"/>
      <c r="I1110" s="24"/>
      <c r="J1110" s="946"/>
      <c r="K1110" s="946"/>
      <c r="L1110" s="946"/>
      <c r="M1110" s="946"/>
      <c r="N1110" s="24"/>
      <c r="O1110" s="24"/>
      <c r="P1110" s="24"/>
      <c r="Q1110" s="24"/>
      <c r="R1110" s="24"/>
      <c r="S1110" s="946"/>
      <c r="T1110" s="24"/>
      <c r="U1110" s="24"/>
      <c r="V1110" s="24"/>
      <c r="W1110" s="24"/>
      <c r="X1110" s="959"/>
      <c r="Y1110" s="24"/>
      <c r="Z1110" s="24"/>
      <c r="AA1110" s="24"/>
      <c r="AB1110" s="24"/>
      <c r="AC1110" s="959"/>
      <c r="AD1110" s="24"/>
      <c r="AE1110" s="24"/>
      <c r="AF1110" s="24"/>
      <c r="AG1110" s="24"/>
      <c r="AH1110" s="959"/>
      <c r="AI1110" s="959"/>
      <c r="AJ1110" s="959"/>
      <c r="AK1110" s="959"/>
      <c r="AL1110" s="959"/>
      <c r="AM1110" s="959"/>
      <c r="AN1110" s="959"/>
      <c r="AO1110" s="959"/>
      <c r="AP1110" s="959"/>
      <c r="AQ1110" s="959"/>
      <c r="AR1110" s="959"/>
      <c r="AS1110" s="959"/>
      <c r="AT1110" s="959"/>
      <c r="AU1110" s="959"/>
      <c r="AV1110" s="959"/>
      <c r="AW1110" s="959"/>
      <c r="AX1110" s="959"/>
      <c r="AY1110" s="959"/>
      <c r="AZ1110" s="959"/>
      <c r="BA1110" s="959"/>
      <c r="BB1110" s="959"/>
      <c r="BC1110" s="959"/>
      <c r="BD1110" s="959"/>
      <c r="BE1110" s="959"/>
      <c r="BF1110" s="959"/>
      <c r="BG1110" s="925"/>
      <c r="BH1110" s="959"/>
      <c r="BI1110" s="959"/>
      <c r="BJ1110" s="959"/>
      <c r="BK1110" s="959"/>
      <c r="BL1110" s="959"/>
      <c r="BM1110" s="959"/>
      <c r="BN1110" s="959"/>
      <c r="BO1110" s="959"/>
      <c r="BP1110" s="926"/>
      <c r="BQ1110" s="959"/>
      <c r="BR1110" s="407"/>
      <c r="BS1110" s="407"/>
      <c r="BT1110" s="407"/>
      <c r="BU1110" s="649"/>
      <c r="BV1110" s="407"/>
      <c r="BW1110" s="407"/>
      <c r="BX1110" s="407"/>
      <c r="BY1110" s="407"/>
      <c r="BZ1110" s="29"/>
      <c r="CA1110" s="649"/>
      <c r="CB1110" s="29"/>
      <c r="CC1110" s="407"/>
      <c r="CD1110" s="407"/>
      <c r="CE1110" s="29"/>
      <c r="CF1110" s="448"/>
      <c r="CG1110" s="29"/>
      <c r="CH1110" s="29"/>
      <c r="CI1110" s="29"/>
      <c r="CJ1110" s="29"/>
      <c r="CK1110" s="2248"/>
      <c r="CL1110" s="29"/>
      <c r="CM1110" s="29"/>
      <c r="CN1110" s="29"/>
      <c r="CO1110" s="29"/>
      <c r="CP1110" s="2248"/>
      <c r="CQ1110" s="29"/>
      <c r="CR1110" s="29"/>
      <c r="CS1110" s="29"/>
      <c r="CT1110" s="2225"/>
      <c r="CU1110" s="1060"/>
      <c r="CV1110" s="29"/>
      <c r="CW1110" s="29"/>
      <c r="CX1110" s="29"/>
      <c r="CY1110" s="2225"/>
      <c r="CZ1110" s="1060"/>
      <c r="DA1110" s="29"/>
      <c r="DB1110" s="29"/>
      <c r="DC1110" s="361"/>
      <c r="DD1110" s="2225"/>
      <c r="DE1110" s="1060"/>
      <c r="DF1110" s="29"/>
      <c r="DG1110" s="361"/>
      <c r="DH1110" s="361"/>
      <c r="DI1110" s="2225"/>
      <c r="DJ1110" s="1060"/>
      <c r="DK1110" s="649"/>
      <c r="DL1110" s="361"/>
      <c r="DM1110" s="29"/>
      <c r="DN1110" s="2225"/>
      <c r="DO1110" s="1060"/>
      <c r="DP1110" s="925"/>
      <c r="DQ1110" s="1917"/>
      <c r="DR1110" s="1917"/>
      <c r="DS1110" s="1917"/>
      <c r="DT1110" s="1060"/>
      <c r="DU1110" s="2392">
        <f t="shared" ref="DU1110" si="2329">+DU1109+(DU1098-DU1097)</f>
      </c>
      <c r="DV1110" s="2392">
        <f>+DV1109+(DV1098-DV1097)</f>
      </c>
      <c r="DW1110" s="2392">
        <f t="shared" ref="DW1110" si="2330">+DW1109+(DW1098-DW1097)</f>
      </c>
      <c r="DX1110" s="2392">
        <f t="shared" ref="DX1110" si="2331">+DX1109+(DX1098-DX1097)</f>
      </c>
      <c r="DY1110" s="1060"/>
      <c r="DZ1110" s="1741">
        <v>0.14699999999999999</v>
      </c>
      <c r="EA1110" s="1741">
        <v>0.253</v>
      </c>
      <c r="EB1110" s="1741">
        <v>0.20100000000000001</v>
      </c>
      <c r="EC1110" s="3430">
        <v>0.21099999999999999</v>
      </c>
      <c r="ED1110" s="3623">
        <v>0.20300000000000001</v>
      </c>
      <c r="EE1110" s="1741">
        <v>0.23599999999999999</v>
      </c>
      <c r="EF1110" s="1741">
        <v>0.184</v>
      </c>
      <c r="EG1110" s="1741">
        <v>0.20200000000000001</v>
      </c>
      <c r="EH1110" s="926">
        <f>EH1109-EH$1370</f>
      </c>
      <c r="EI1110" s="317">
        <v>0.22</v>
      </c>
      <c r="EJ1110" s="317">
        <v>0.16</v>
      </c>
      <c r="EK1110" s="836">
        <v>0.14000000000000001</v>
      </c>
      <c r="EL1110" s="836">
        <v>0.12</v>
      </c>
      <c r="EM1110" s="836">
        <v>0.11</v>
      </c>
      <c r="EN1110" s="836">
        <v>0.11</v>
      </c>
      <c r="EO1110" s="673"/>
      <c r="EP1110" s="673"/>
      <c r="EQ1110" s="673"/>
      <c r="ER1110" s="673"/>
      <c r="ES1110" s="673"/>
      <c r="ET1110" s="673"/>
      <c r="EU1110" s="673"/>
      <c r="EV1110" s="673"/>
      <c r="EW1110" s="673"/>
      <c r="EX1110" s="673"/>
    </row>
    <row r="1111" spans="2:154">
      <c r="B1111" s="454" t="s">
        <v>413</v>
      </c>
      <c r="C1111" s="1577"/>
      <c r="D1111" s="933"/>
      <c r="E1111" s="933"/>
      <c r="F1111" s="933"/>
      <c r="G1111" s="933"/>
      <c r="H1111" s="933"/>
      <c r="I1111" s="926"/>
      <c r="J1111" s="926"/>
      <c r="K1111" s="926"/>
      <c r="L1111" s="926"/>
      <c r="M1111" s="926"/>
      <c r="N1111" s="926"/>
      <c r="O1111" s="926"/>
      <c r="P1111" s="926"/>
      <c r="Q1111" s="926"/>
      <c r="R1111" s="926"/>
      <c r="S1111" s="926"/>
      <c r="T1111" s="926"/>
      <c r="U1111" s="926"/>
      <c r="V1111" s="926"/>
      <c r="W1111" s="926"/>
      <c r="X1111" s="926"/>
      <c r="Y1111" s="926"/>
      <c r="Z1111" s="926"/>
      <c r="AA1111" s="926"/>
      <c r="AB1111" s="926"/>
      <c r="AC1111" s="926"/>
      <c r="AD1111" s="926"/>
      <c r="AE1111" s="926"/>
      <c r="AF1111" s="926"/>
      <c r="AG1111" s="926"/>
      <c r="AH1111" s="926"/>
      <c r="AI1111" s="926"/>
      <c r="AJ1111" s="926"/>
      <c r="AK1111" s="926"/>
      <c r="AL1111" s="926"/>
      <c r="AM1111" s="926"/>
      <c r="AN1111" s="926"/>
      <c r="AO1111" s="926"/>
      <c r="AP1111" s="926"/>
      <c r="AQ1111" s="926"/>
      <c r="AR1111" s="926"/>
      <c r="AS1111" s="926"/>
      <c r="AT1111" s="926"/>
      <c r="AU1111" s="926"/>
      <c r="AV1111" s="926"/>
      <c r="AW1111" s="926"/>
      <c r="AX1111" s="926"/>
      <c r="AY1111" s="926"/>
      <c r="AZ1111" s="926"/>
      <c r="BA1111" s="926"/>
      <c r="BB1111" s="926"/>
      <c r="BC1111" s="926"/>
      <c r="BD1111" s="926"/>
      <c r="BE1111" s="926"/>
      <c r="BF1111" s="926"/>
      <c r="BG1111" s="926"/>
      <c r="BH1111" s="926"/>
      <c r="BI1111" s="926"/>
      <c r="BJ1111" s="926"/>
      <c r="BK1111" s="926"/>
      <c r="BL1111" s="926"/>
      <c r="BM1111" s="926"/>
      <c r="BN1111" s="926"/>
      <c r="BO1111" s="926"/>
      <c r="BP1111" s="926"/>
      <c r="BQ1111" s="926"/>
      <c r="BR1111" s="926"/>
      <c r="BS1111" s="926"/>
      <c r="BT1111" s="926"/>
      <c r="BU1111" s="926"/>
      <c r="BV1111" s="926"/>
      <c r="BW1111" s="926"/>
      <c r="BX1111" s="926"/>
      <c r="BY1111" s="926"/>
      <c r="BZ1111" s="926"/>
      <c r="CA1111" s="926"/>
      <c r="CB1111" s="926"/>
      <c r="CC1111" s="926"/>
      <c r="CD1111" s="926"/>
      <c r="CE1111" s="926"/>
      <c r="CF1111" s="1060"/>
      <c r="CG1111" s="926" t="str">
        <f>IF(CB1105="NM","NM",IF(CG1105="NM","NM",IF(CB1105&lt;=0,"NM",IF(CG1105=0,"NM",IF(ABS(CG1105/CB1105-1)&gt;2.5,"NM",IF((ABS(CG1105-CB1105)=ABS(ABS(CG1105)-ABS(CB1105))),(CG1105/CB1105-1),"NM"))))))</f>
      </c>
      <c r="CH1111" s="926" t="str">
        <f>IF(CC1105="NM","NM",IF(CH1105="NM","NM",IF(CC1105&lt;=0,"NM",IF(CH1105=0,"NM",IF(ABS(CH1105/CC1105-1)&gt;2.5,"NM",IF((ABS(CH1105-CC1105)=ABS(ABS(CH1105)-ABS(CC1105))),(CH1105/CC1105-1),"NM"))))))</f>
      </c>
      <c r="CI1111" s="926" t="str">
        <f>IF(CD1105="NM","NM",IF(CI1105="NM","NM",IF(CD1105&lt;=0,"NM",IF(CI1105=0,"NM",IF(ABS(CI1105/CD1105-1)&gt;2.5,"NM",IF((ABS(CI1105-CD1105)=ABS(ABS(CI1105)-ABS(CD1105))),(CI1105/CD1105-1),"NM"))))))</f>
      </c>
      <c r="CJ1111" s="926" t="str">
        <f>IF(CE1105="NM","NM",IF(CJ1105="NM","NM",IF(CE1105&lt;=0,"NM",IF(CJ1105=0,"NM",IF(ABS(CJ1105/CE1105-1)&gt;2.5,"NM",IF((ABS(CJ1105-CE1105)=ABS(ABS(CJ1105)-ABS(CE1105))),(CJ1105/CE1105-1),"NM"))))))</f>
      </c>
      <c r="CK1111" s="1060" t="str">
        <f>IF(CF1105=0, "NA", CK1105/CF1105-1)</f>
      </c>
      <c r="CL1111" s="926">
        <f>IF(CG1105="NM","NM",IF(CL1105="NM","NM",IF(CG1105&lt;=0,"NM",IF(CL1105=0,"NM",IF(ABS(CL1105/CG1105-1)&gt;2.5,"NM",IF((ABS(CL1105-CG1105)=ABS(ABS(CL1105)-ABS(CG1105))),(CL1105/CG1105-1),"NM"))))))</f>
      </c>
      <c r="CM1111" s="926">
        <f>IF(CH1105="NM","NM",IF(CM1105="NM","NM",IF(CH1105&lt;=0,"NM",IF(CM1105=0,"NM",IF(ABS(CM1105/CH1105-1)&gt;2.5,"NM",IF((ABS(CM1105-CH1105)=ABS(ABS(CM1105)-ABS(CH1105))),(CM1105/CH1105-1),"NM"))))))</f>
      </c>
      <c r="CN1111" s="926">
        <f>IF(CI1105="NM","NM",IF(CN1105="NM","NM",IF(CI1105&lt;=0,"NM",IF(CN1105=0,"NM",IF(ABS(CN1105/CI1105-1)&gt;2.5,"NM",IF((ABS(CN1105-CI1105)=ABS(ABS(CN1105)-ABS(CI1105))),(CN1105/CI1105-1),"NM"))))))</f>
      </c>
      <c r="CO1111" s="926">
        <f>IF(CJ1105="NM","NM",IF(CO1105="NM","NM",IF(CJ1105&lt;=0,"NM",IF(CO1105=0,"NM",IF(ABS(CO1105/CJ1105-1)&gt;2.5,"NM",IF((ABS(CO1105-CJ1105)=ABS(ABS(CO1105)-ABS(CJ1105))),(CO1105/CJ1105-1),"NM"))))))</f>
      </c>
      <c r="CP1111" s="1060">
        <f>IF(CK1105=0, "NA", CP1105/CK1105-1)</f>
      </c>
      <c r="CQ1111" s="926">
        <f>IF(CL1105="NM","NM",IF(CQ1105="NM","NM",IF(CL1105&lt;=0,"NM",IF(CQ1105=0,"NM",IF(ABS(CQ1105/CL1105-1)&gt;2.5,"NM",IF((ABS(CQ1105-CL1105)=ABS(ABS(CQ1105)-ABS(CL1105))),(CQ1105/CL1105-1),"NM"))))))</f>
      </c>
      <c r="CR1111" s="926">
        <f>IF(CM1105="NM","NM",IF(CR1105="NM","NM",IF(CM1105&lt;=0,"NM",IF(CR1105=0,"NM",IF(ABS(CR1105/CM1105-1)&gt;2.5,"NM",IF((ABS(CR1105-CM1105)=ABS(ABS(CR1105)-ABS(CM1105))),(CR1105/CM1105-1),"NM"))))))</f>
      </c>
      <c r="CS1111" s="926">
        <f>IF(CN1105="NM","NM",IF(CS1105="NM","NM",IF(CN1105&lt;=0,"NM",IF(CS1105=0,"NM",IF(ABS(CS1105/CN1105-1)&gt;2.5,"NM",IF((ABS(CS1105-CN1105)=ABS(ABS(CS1105)-ABS(CN1105))),(CS1105/CN1105-1),"NM"))))))</f>
      </c>
      <c r="CT1111" s="927">
        <f>IF(CO1105="NM","NM",IF(CT1105="NM","NM",IF(CO1105&lt;=0,"NM",IF(CT1105=0,"NM",IF(ABS(CT1105/CO1105-1)&gt;2.5,"NM",IF((ABS(CT1105-CO1105)=ABS(ABS(CT1105)-ABS(CO1105))),(CT1105/CO1105-1),"NM"))))))</f>
      </c>
      <c r="CU1111" s="1060">
        <f>IF(CP1105=0, "NA", CU1105/CP1105-1)</f>
      </c>
      <c r="CV1111" s="926">
        <f>IF(CQ1105="NM","NM",IF(CV1105="NM","NM",IF(CQ1105&lt;=0,"NM",IF(CV1105=0,"NM",IF(ABS(CV1105/CQ1105-1)&gt;2.5,"NM",IF((ABS(CV1105-CQ1105)=ABS(ABS(CV1105)-ABS(CQ1105))),(CV1105/CQ1105-1),"NM"))))))</f>
      </c>
      <c r="CW1111" s="926">
        <f>IF(CR1105="NM","NM",IF(CW1105="NM","NM",IF(CR1105&lt;=0,"NM",IF(CW1105=0,"NM",IF(ABS(CW1105/CR1105-1)&gt;2.5,"NM",IF((ABS(CW1105-CR1105)=ABS(ABS(CW1105)-ABS(CR1105))),(CW1105/CR1105-1),"NM"))))))</f>
      </c>
      <c r="CX1111" s="926">
        <f>IF(CS1105="NM","NM",IF(CX1105="NM","NM",IF(CS1105&lt;=0,"NM",IF(CX1105=0,"NM",IF(ABS(CX1105/CS1105-1)&gt;2.5,"NM",IF((ABS(CX1105-CS1105)=ABS(ABS(CX1105)-ABS(CS1105))),(CX1105/CS1105-1),"NM"))))))</f>
      </c>
      <c r="CY1111" s="927">
        <f>IF(CT1105="NM","NM",IF(CY1105="NM","NM",IF(CT1105&lt;=0,"NM",IF(CY1105=0,"NM",IF(ABS(CY1105/CT1105-1)&gt;2.5,"NM",IF((ABS(CY1105-CT1105)=ABS(ABS(CY1105)-ABS(CT1105))),(CY1105/CT1105-1),"NM"))))))</f>
      </c>
      <c r="CZ1111" s="1060">
        <f>IF(CU1105=0, "NA", CZ1105/CU1105-1)</f>
      </c>
      <c r="DA1111" s="926">
        <f>IF(CV1105="NM","NM",IF(DA1105="NM","NM",IF(CV1105&lt;=0,"NM",IF(DA1105=0,"NM",IF(ABS(DA1105/CV1105-1)&gt;2.5,"NM",IF((ABS(DA1105-CV1105)=ABS(ABS(DA1105)-ABS(CV1105))),(DA1105/CV1105-1),"NM"))))))</f>
      </c>
      <c r="DB1111" s="926">
        <f>IF(CW1105="NM","NM",IF(DB1105="NM","NM",IF(CW1105&lt;=0,"NM",IF(DB1105=0,"NM",IF(ABS(DB1105/CW1105-1)&gt;2.5,"NM",IF((ABS(DB1105-CW1105)=ABS(ABS(DB1105)-ABS(CW1105))),(DB1105/CW1105-1),"NM"))))))</f>
      </c>
      <c r="DC1111" s="926">
        <f>IF(CX1105="NM","NM",IF(DC1105="NM","NM",IF(CX1105&lt;=0,"NM",IF(DC1105=0,"NM",IF(ABS(DC1105/CX1105-1)&gt;2.5,"NM",IF((ABS(DC1105-CX1105)=ABS(ABS(DC1105)-ABS(CX1105))),(DC1105/CX1105-1),"NM"))))))</f>
      </c>
      <c r="DD1111" s="927">
        <f>IF(CY1105=0, "NM", DD1105/CY1105-1)</f>
      </c>
      <c r="DE1111" s="1060">
        <f>IF(CZ1105=0, "NA", DE1105/CZ1105-1)</f>
      </c>
      <c r="DF1111" s="926">
        <f>IF(DA1105=0, "NA", DF1105/DA1105-1)</f>
      </c>
      <c r="DG1111" s="926">
        <f>IF(DB1105=0, "NA", DG1105/DB1105-1)</f>
      </c>
      <c r="DH1111" s="926">
        <f>IF(DC1105=0, "NA", DH1105/DC1105-1)</f>
      </c>
      <c r="DI1111" s="927">
        <f>IF(DD1105=0, "NM", DI1105/DD1105-1)</f>
      </c>
      <c r="DJ1111" s="1060">
        <f>IF(DE1105=0, "NA", DJ1105/DE1105-1)</f>
      </c>
      <c r="DK1111" s="926">
        <f t="shared" ref="DK1111:DY1111" si="2332">IF(DF1105=0, "NA", DK1105/DF1105-1)</f>
      </c>
      <c r="DL1111" s="926">
        <f t="shared" si="2332"/>
      </c>
      <c r="DM1111" s="926">
        <f t="shared" si="2332"/>
      </c>
      <c r="DN1111" s="927">
        <f t="shared" si="2332"/>
      </c>
      <c r="DO1111" s="1060">
        <f t="shared" si="2332"/>
      </c>
      <c r="DP1111" s="925">
        <f t="shared" si="2332"/>
      </c>
      <c r="DQ1111" s="925">
        <f t="shared" si="2332"/>
      </c>
      <c r="DR1111" s="925">
        <f t="shared" si="2332"/>
      </c>
      <c r="DS1111" s="925">
        <f t="shared" si="2332"/>
      </c>
      <c r="DT1111" s="1060">
        <f t="shared" si="2332"/>
      </c>
      <c r="DU1111" s="926">
        <f t="shared" si="2332"/>
      </c>
      <c r="DV1111" s="926">
        <f t="shared" si="2332"/>
      </c>
      <c r="DW1111" s="926">
        <f t="shared" si="2332"/>
      </c>
      <c r="DX1111" s="928">
        <f t="shared" si="2332"/>
      </c>
      <c r="DY1111" s="1060">
        <f t="shared" si="2332"/>
      </c>
      <c r="DZ1111" s="926">
        <f>IF(DU1105=0, "NA", DZ1105/DU1105-1)</f>
      </c>
      <c r="EA1111" s="926">
        <f t="shared" ref="EA1111:EH1111" si="2333">IF(DV1105=0, "NA", EA1105/DV1105-1)</f>
      </c>
      <c r="EB1111" s="926">
        <f t="shared" si="2333"/>
      </c>
      <c r="EC1111" s="1219">
        <f t="shared" si="2333"/>
      </c>
      <c r="ED1111" s="1536">
        <f>IF(DY1105=0, "NA", ED1105/DY1105-1)</f>
      </c>
      <c r="EE1111" s="926">
        <f t="shared" si="2333"/>
      </c>
      <c r="EF1111" s="926">
        <f t="shared" si="2333"/>
      </c>
      <c r="EG1111" s="926">
        <f t="shared" si="2333"/>
      </c>
      <c r="EH1111" s="926">
        <f t="shared" si="2333"/>
      </c>
      <c r="EI1111" s="1060">
        <f>EI1105/ED1105-1</f>
      </c>
      <c r="EJ1111" s="1060">
        <f t="shared" ref="EJ1111:EN1111" si="2334">EJ1105/EI1105-1</f>
      </c>
      <c r="EK1111" s="928">
        <f t="shared" si="2334"/>
      </c>
      <c r="EL1111" s="928">
        <f t="shared" si="2334"/>
      </c>
      <c r="EM1111" s="928">
        <f t="shared" si="2334"/>
      </c>
      <c r="EN1111" s="928">
        <f t="shared" si="2334"/>
      </c>
      <c r="EO1111" s="1060"/>
      <c r="EP1111" s="1060"/>
      <c r="EQ1111" s="1060"/>
      <c r="ER1111" s="1060"/>
      <c r="ES1111" s="1060"/>
      <c r="ET1111" s="1060"/>
      <c r="EU1111" s="1060"/>
      <c r="EV1111" s="1060"/>
      <c r="EW1111" s="1060"/>
      <c r="EX1111" s="1060"/>
    </row>
    <row r="1112" spans="2:154">
      <c r="B1112" s="454" t="s">
        <v>850</v>
      </c>
      <c r="C1112" s="1577"/>
      <c r="D1112" s="933"/>
      <c r="E1112" s="933"/>
      <c r="F1112" s="933"/>
      <c r="G1112" s="933"/>
      <c r="H1112" s="933"/>
      <c r="I1112" s="926"/>
      <c r="J1112" s="926"/>
      <c r="K1112" s="926"/>
      <c r="L1112" s="926"/>
      <c r="M1112" s="926"/>
      <c r="N1112" s="926"/>
      <c r="O1112" s="926"/>
      <c r="P1112" s="926"/>
      <c r="Q1112" s="926"/>
      <c r="R1112" s="926"/>
      <c r="S1112" s="926"/>
      <c r="T1112" s="926"/>
      <c r="U1112" s="926"/>
      <c r="V1112" s="926"/>
      <c r="W1112" s="926"/>
      <c r="X1112" s="926"/>
      <c r="Y1112" s="926"/>
      <c r="Z1112" s="926"/>
      <c r="AA1112" s="926"/>
      <c r="AB1112" s="926"/>
      <c r="AC1112" s="926"/>
      <c r="AD1112" s="926"/>
      <c r="AE1112" s="926"/>
      <c r="AF1112" s="926"/>
      <c r="AG1112" s="926"/>
      <c r="AH1112" s="926"/>
      <c r="AI1112" s="926"/>
      <c r="AJ1112" s="926"/>
      <c r="AK1112" s="926"/>
      <c r="AL1112" s="926"/>
      <c r="AM1112" s="926"/>
      <c r="AN1112" s="926"/>
      <c r="AO1112" s="926"/>
      <c r="AP1112" s="926"/>
      <c r="AQ1112" s="926"/>
      <c r="AR1112" s="926"/>
      <c r="AS1112" s="926"/>
      <c r="AT1112" s="926"/>
      <c r="AU1112" s="926"/>
      <c r="AV1112" s="926"/>
      <c r="AW1112" s="926"/>
      <c r="AX1112" s="926"/>
      <c r="AY1112" s="926"/>
      <c r="AZ1112" s="926"/>
      <c r="BA1112" s="926"/>
      <c r="BB1112" s="926"/>
      <c r="BC1112" s="926"/>
      <c r="BD1112" s="926"/>
      <c r="BE1112" s="926"/>
      <c r="BF1112" s="926"/>
      <c r="BG1112" s="926"/>
      <c r="BH1112" s="926"/>
      <c r="BI1112" s="926"/>
      <c r="BJ1112" s="926"/>
      <c r="BK1112" s="926"/>
      <c r="BL1112" s="926"/>
      <c r="BM1112" s="926"/>
      <c r="BN1112" s="926"/>
      <c r="BO1112" s="926"/>
      <c r="BP1112" s="926"/>
      <c r="BQ1112" s="926"/>
      <c r="BR1112" s="926"/>
      <c r="BS1112" s="926"/>
      <c r="BT1112" s="926"/>
      <c r="BU1112" s="926"/>
      <c r="BV1112" s="926"/>
      <c r="BW1112" s="926"/>
      <c r="BX1112" s="926"/>
      <c r="BY1112" s="926"/>
      <c r="BZ1112" s="926"/>
      <c r="CA1112" s="926"/>
      <c r="CB1112" s="926"/>
      <c r="CC1112" s="926"/>
      <c r="CD1112" s="926"/>
      <c r="CE1112" s="926"/>
      <c r="CF1112" s="1060"/>
      <c r="CG1112" s="926"/>
      <c r="CH1112" s="926"/>
      <c r="CI1112" s="926"/>
      <c r="CJ1112" s="926"/>
      <c r="CK1112" s="1060"/>
      <c r="CL1112" s="926"/>
      <c r="CM1112" s="926"/>
      <c r="CN1112" s="926"/>
      <c r="CO1112" s="926"/>
      <c r="CP1112" s="1060"/>
      <c r="CQ1112" s="926"/>
      <c r="CR1112" s="926"/>
      <c r="CS1112" s="926"/>
      <c r="CT1112" s="927"/>
      <c r="CU1112" s="1060"/>
      <c r="CV1112" s="926"/>
      <c r="CW1112" s="926"/>
      <c r="CX1112" s="926"/>
      <c r="CY1112" s="927"/>
      <c r="CZ1112" s="1060"/>
      <c r="DA1112" s="926"/>
      <c r="DB1112" s="926"/>
      <c r="DC1112" s="926"/>
      <c r="DD1112" s="927"/>
      <c r="DE1112" s="1060"/>
      <c r="DF1112" s="926"/>
      <c r="DG1112" s="926"/>
      <c r="DH1112" s="926"/>
      <c r="DI1112" s="927"/>
      <c r="DJ1112" s="1060"/>
      <c r="DK1112" s="926"/>
      <c r="DL1112" s="926"/>
      <c r="DM1112" s="926"/>
      <c r="DN1112" s="927"/>
      <c r="DO1112" s="1060"/>
      <c r="DP1112" s="925"/>
      <c r="DQ1112" s="925"/>
      <c r="DR1112" s="925"/>
      <c r="DS1112" s="925"/>
      <c r="DT1112" s="1060"/>
      <c r="DU1112" s="2392">
        <f t="shared" ref="DU1112" si="2335">+DU1111+(DU1100-DU1099)</f>
      </c>
      <c r="DV1112" s="2392">
        <f>+DV1111+(DV1100-DV1099)</f>
      </c>
      <c r="DW1112" s="2392">
        <f t="shared" ref="DW1112:DX1112" si="2336">+DW1111+(DW1100-DW1099)</f>
      </c>
      <c r="DX1112" s="2392">
        <f t="shared" si="2336"/>
      </c>
      <c r="DY1112" s="1060"/>
      <c r="DZ1112" s="649">
        <v>0.15</v>
      </c>
      <c r="EA1112" s="649">
        <v>0.154</v>
      </c>
      <c r="EB1112" s="649">
        <v>0.16300000000000001</v>
      </c>
      <c r="EC1112" s="1220">
        <v>0.13200000000000001</v>
      </c>
      <c r="ED1112" s="3623">
        <v>0.14899999999999999</v>
      </c>
      <c r="EE1112" s="649">
        <v>0.14000000000000001</v>
      </c>
      <c r="EF1112" s="649">
        <v>0.16900000000000001</v>
      </c>
      <c r="EG1112" s="649">
        <v>0.156</v>
      </c>
      <c r="EH1112" s="926">
        <f t="shared" ref="EH1112" si="2337">(EC1104*EH1110+EC1103*EH1108)/(EC1105)</f>
      </c>
      <c r="EI1112" s="1060">
        <f>(ED1104*EI1110+ED1103*EI1108)/(ED1105)</f>
      </c>
      <c r="EJ1112" s="1060">
        <f t="shared" ref="EJ1112:EN1112" si="2338">(EI1104*EJ1110+EI1103*EJ1108)/(EI1105)</f>
      </c>
      <c r="EK1112" s="928">
        <f t="shared" si="2338"/>
      </c>
      <c r="EL1112" s="928">
        <f t="shared" si="2338"/>
      </c>
      <c r="EM1112" s="928">
        <f t="shared" si="2338"/>
      </c>
      <c r="EN1112" s="928">
        <f t="shared" si="2338"/>
      </c>
      <c r="EO1112" s="1060"/>
      <c r="EP1112" s="1060"/>
      <c r="EQ1112" s="1060"/>
      <c r="ER1112" s="1060"/>
      <c r="ES1112" s="1060"/>
      <c r="ET1112" s="1060"/>
      <c r="EU1112" s="1060"/>
      <c r="EV1112" s="1060"/>
      <c r="EW1112" s="1060"/>
      <c r="EX1112" s="1060"/>
    </row>
    <row r="1113" spans="2:154">
      <c r="B1113" s="344"/>
      <c r="C1113" s="1577"/>
      <c r="D1113" s="933"/>
      <c r="E1113" s="933"/>
      <c r="F1113" s="933"/>
      <c r="G1113" s="933"/>
      <c r="H1113" s="933"/>
      <c r="I1113" s="933"/>
      <c r="J1113" s="933"/>
      <c r="K1113" s="933"/>
      <c r="L1113" s="933"/>
      <c r="M1113" s="933"/>
      <c r="N1113" s="933"/>
      <c r="O1113" s="933"/>
      <c r="P1113" s="933"/>
      <c r="Q1113" s="933"/>
      <c r="R1113" s="933"/>
      <c r="S1113" s="933"/>
      <c r="T1113" s="933"/>
      <c r="U1113" s="933"/>
      <c r="V1113" s="933"/>
      <c r="W1113" s="933"/>
      <c r="X1113" s="933"/>
      <c r="Y1113" s="933"/>
      <c r="Z1113" s="933"/>
      <c r="AA1113" s="933"/>
      <c r="AB1113" s="933"/>
      <c r="AC1113" s="933"/>
      <c r="AD1113" s="933"/>
      <c r="AE1113" s="933"/>
      <c r="AF1113" s="933"/>
      <c r="AG1113" s="933"/>
      <c r="AH1113" s="933"/>
      <c r="AI1113" s="933"/>
      <c r="AJ1113" s="933"/>
      <c r="AK1113" s="933"/>
      <c r="AL1113" s="933"/>
      <c r="AM1113" s="933"/>
      <c r="AN1113" s="933"/>
      <c r="AO1113" s="933"/>
      <c r="AP1113" s="933"/>
      <c r="AQ1113" s="933"/>
      <c r="AR1113" s="933"/>
      <c r="AS1113" s="933"/>
      <c r="AT1113" s="933"/>
      <c r="AU1113" s="933"/>
      <c r="AV1113" s="933"/>
      <c r="AW1113" s="933"/>
      <c r="AX1113" s="933"/>
      <c r="AY1113" s="933"/>
      <c r="AZ1113" s="933"/>
      <c r="BA1113" s="933"/>
      <c r="BB1113" s="933"/>
      <c r="BC1113" s="933"/>
      <c r="BD1113" s="933"/>
      <c r="BE1113" s="933"/>
      <c r="BF1113" s="933"/>
      <c r="BG1113" s="933"/>
      <c r="BH1113" s="933"/>
      <c r="BI1113" s="361"/>
      <c r="BJ1113" s="361"/>
      <c r="BK1113" s="361"/>
      <c r="BL1113" s="959"/>
      <c r="BM1113" s="361"/>
      <c r="BN1113" s="361"/>
      <c r="BO1113" s="361"/>
      <c r="BP1113" s="361"/>
      <c r="BQ1113" s="361"/>
      <c r="BR1113" s="361"/>
      <c r="BS1113" s="361"/>
      <c r="BT1113" s="361"/>
      <c r="BU1113" s="361"/>
      <c r="BV1113" s="361"/>
      <c r="BW1113" s="361"/>
      <c r="BX1113" s="361"/>
      <c r="BY1113" s="361"/>
      <c r="BZ1113" s="361"/>
      <c r="CA1113" s="361"/>
      <c r="CB1113" s="361"/>
      <c r="CC1113" s="361"/>
      <c r="CD1113" s="361"/>
      <c r="CE1113" s="361"/>
      <c r="CF1113" s="316"/>
      <c r="CG1113" s="361"/>
      <c r="CH1113" s="361"/>
      <c r="CI1113" s="361"/>
      <c r="CJ1113" s="361"/>
      <c r="CK1113" s="316"/>
      <c r="CL1113" s="361"/>
      <c r="CM1113" s="361"/>
      <c r="CN1113" s="361"/>
      <c r="CO1113" s="361"/>
      <c r="CP1113" s="316"/>
      <c r="CQ1113" s="361"/>
      <c r="CR1113" s="361"/>
      <c r="CS1113" s="361"/>
      <c r="CT1113" s="835"/>
      <c r="CU1113" s="316"/>
      <c r="CV1113" s="361"/>
      <c r="CW1113" s="361"/>
      <c r="CX1113" s="361"/>
      <c r="CY1113" s="835"/>
      <c r="CZ1113" s="316"/>
      <c r="DA1113" s="361"/>
      <c r="DB1113" s="361"/>
      <c r="DC1113" s="361"/>
      <c r="DD1113" s="835"/>
      <c r="DE1113" s="316"/>
      <c r="DF1113" s="361"/>
      <c r="DG1113" s="361"/>
      <c r="DH1113" s="361"/>
      <c r="DI1113" s="835"/>
      <c r="DJ1113" s="316"/>
      <c r="DK1113" s="361"/>
      <c r="DL1113" s="361"/>
      <c r="DM1113" s="361"/>
      <c r="DN1113" s="835"/>
      <c r="DO1113" s="316"/>
      <c r="DP1113" s="361"/>
      <c r="DQ1113" s="361"/>
      <c r="DR1113" s="361"/>
      <c r="DS1113" s="361"/>
      <c r="DT1113" s="316"/>
      <c r="DU1113" s="361"/>
      <c r="DV1113" s="361"/>
      <c r="DW1113" s="361"/>
      <c r="DX1113" s="835"/>
      <c r="DY1113" s="316"/>
      <c r="DZ1113" s="361"/>
      <c r="EA1113" s="361"/>
      <c r="EB1113" s="361"/>
      <c r="EC1113" s="1237"/>
      <c r="ED1113" s="1238"/>
      <c r="EE1113" s="361"/>
      <c r="EF1113" s="361"/>
      <c r="EG1113" s="361"/>
      <c r="EH1113" s="361"/>
      <c r="EI1113" s="1060"/>
      <c r="EJ1113" s="316"/>
      <c r="EK1113" s="316"/>
      <c r="EL1113" s="316"/>
      <c r="EM1113" s="316"/>
      <c r="EN1113" s="316"/>
      <c r="EO1113" s="316"/>
      <c r="EP1113" s="316"/>
      <c r="EQ1113" s="316"/>
      <c r="ER1113" s="316"/>
      <c r="ES1113" s="316"/>
      <c r="ET1113" s="316"/>
      <c r="EU1113" s="316"/>
      <c r="EV1113" s="316"/>
      <c r="EW1113" s="316"/>
      <c r="EX1113" s="316"/>
    </row>
    <row r="1114" spans="2:154">
      <c r="B1114" s="2239" t="s">
        <v>977</v>
      </c>
      <c r="C1114" s="2019"/>
      <c r="D1114" s="2976"/>
      <c r="E1114" s="2976"/>
      <c r="F1114" s="2976"/>
      <c r="G1114" s="2976"/>
      <c r="H1114" s="2976"/>
      <c r="I1114" s="2977"/>
      <c r="J1114" s="2976"/>
      <c r="K1114" s="2976"/>
      <c r="L1114" s="2976"/>
      <c r="M1114" s="2976"/>
      <c r="N1114" s="2977"/>
      <c r="O1114" s="2977"/>
      <c r="P1114" s="2977"/>
      <c r="Q1114" s="2977"/>
      <c r="R1114" s="2977"/>
      <c r="S1114" s="2978"/>
      <c r="T1114" s="2977"/>
      <c r="U1114" s="2977"/>
      <c r="V1114" s="2977"/>
      <c r="W1114" s="2977"/>
      <c r="X1114" s="2240"/>
      <c r="Y1114" s="2977"/>
      <c r="Z1114" s="2977"/>
      <c r="AA1114" s="2977"/>
      <c r="AB1114" s="2977"/>
      <c r="AC1114" s="2240"/>
      <c r="AD1114" s="2977"/>
      <c r="AE1114" s="2977"/>
      <c r="AF1114" s="2977"/>
      <c r="AG1114" s="2977"/>
      <c r="AH1114" s="2240"/>
      <c r="AI1114" s="2976"/>
      <c r="AJ1114" s="2976"/>
      <c r="AK1114" s="2976"/>
      <c r="AL1114" s="2977"/>
      <c r="AM1114" s="2240"/>
      <c r="AN1114" s="2976"/>
      <c r="AO1114" s="2976"/>
      <c r="AP1114" s="2976"/>
      <c r="AQ1114" s="2977"/>
      <c r="AR1114" s="2240"/>
      <c r="AS1114" s="2976"/>
      <c r="AT1114" s="2976"/>
      <c r="AU1114" s="2976"/>
      <c r="AV1114" s="2977"/>
      <c r="AW1114" s="2240"/>
      <c r="AX1114" s="2976"/>
      <c r="AY1114" s="2976"/>
      <c r="AZ1114" s="2976"/>
      <c r="BA1114" s="2976"/>
      <c r="BB1114" s="2240"/>
      <c r="BC1114" s="2976"/>
      <c r="BD1114" s="2976"/>
      <c r="BE1114" s="2976"/>
      <c r="BF1114" s="2976"/>
      <c r="BG1114" s="2240"/>
      <c r="BH1114" s="2976"/>
      <c r="BI1114" s="2976"/>
      <c r="BJ1114" s="2976"/>
      <c r="BK1114" s="2976"/>
      <c r="BL1114" s="2240"/>
      <c r="BM1114" s="2976"/>
      <c r="BN1114" s="2976"/>
      <c r="BO1114" s="2976"/>
      <c r="BP1114" s="2976"/>
      <c r="BQ1114" s="2240"/>
      <c r="BR1114" s="2976"/>
      <c r="BS1114" s="2976"/>
      <c r="BT1114" s="2976"/>
      <c r="BU1114" s="2976"/>
      <c r="BV1114" s="2240"/>
      <c r="BW1114" s="2976"/>
      <c r="BX1114" s="2976"/>
      <c r="BY1114" s="2976"/>
      <c r="BZ1114" s="2976"/>
      <c r="CA1114" s="2240"/>
      <c r="CB1114" s="2976"/>
      <c r="CC1114" s="2976"/>
      <c r="CD1114" s="2976"/>
      <c r="CE1114" s="2976"/>
      <c r="CF1114" s="2240"/>
      <c r="CG1114" s="2976"/>
      <c r="CH1114" s="2976"/>
      <c r="CI1114" s="2976"/>
      <c r="CJ1114" s="2976"/>
      <c r="CK1114" s="2240"/>
      <c r="CL1114" s="3031"/>
      <c r="CM1114" s="2976"/>
      <c r="CN1114" s="2976"/>
      <c r="CO1114" s="2976"/>
      <c r="CP1114" s="2240"/>
      <c r="CQ1114" s="2976"/>
      <c r="CR1114" s="2976"/>
      <c r="CS1114" s="2976"/>
      <c r="CT1114" s="2976"/>
      <c r="CU1114" s="2240"/>
      <c r="CV1114" s="2976"/>
      <c r="CW1114" s="2976"/>
      <c r="CX1114" s="2976"/>
      <c r="CY1114" s="2976"/>
      <c r="CZ1114" s="2240"/>
      <c r="DA1114" s="2357"/>
      <c r="DB1114" s="3028"/>
      <c r="DC1114" s="3028"/>
      <c r="DD1114" s="2358"/>
      <c r="DE1114" s="2208"/>
      <c r="DF1114" s="2194"/>
      <c r="DG1114" s="2957"/>
      <c r="DH1114" s="2957"/>
      <c r="DI1114" s="2128"/>
      <c r="DJ1114" s="2208"/>
      <c r="DK1114" s="2194"/>
      <c r="DL1114" s="2957"/>
      <c r="DM1114" s="2957"/>
      <c r="DN1114" s="2128"/>
      <c r="DO1114" s="2208"/>
      <c r="DP1114" s="2957"/>
      <c r="DQ1114" s="2957"/>
      <c r="DR1114" s="2957"/>
      <c r="DS1114" s="2957"/>
      <c r="DT1114" s="2205"/>
      <c r="DU1114" s="2957"/>
      <c r="DV1114" s="2957"/>
      <c r="DW1114" s="2957"/>
      <c r="DX1114" s="2128"/>
      <c r="DY1114" s="2205"/>
      <c r="DZ1114" s="2957"/>
      <c r="EA1114" s="2957"/>
      <c r="EB1114" s="2957"/>
      <c r="EC1114" s="2957"/>
      <c r="ED1114" s="2205"/>
      <c r="EE1114" s="2957"/>
      <c r="EF1114" s="2957"/>
      <c r="EG1114" s="2957"/>
      <c r="EH1114" s="2957"/>
      <c r="EI1114" s="3604"/>
      <c r="EJ1114" s="2133"/>
      <c r="EK1114" s="2205"/>
      <c r="EL1114" s="2205"/>
      <c r="EM1114" s="2205"/>
      <c r="EN1114" s="2205"/>
      <c r="EO1114" s="2133"/>
      <c r="EP1114" s="2133"/>
      <c r="EQ1114" s="2133"/>
      <c r="ER1114" s="2133"/>
      <c r="ES1114" s="2133"/>
      <c r="ET1114" s="2133"/>
      <c r="EU1114" s="2133"/>
      <c r="EV1114" s="2133"/>
      <c r="EW1114" s="2133"/>
      <c r="EX1114" s="2133"/>
    </row>
    <row r="1115" spans="2:154">
      <c r="B1115" s="334" t="s">
        <v>187</v>
      </c>
      <c r="C1115" s="1577"/>
      <c r="D1115" s="171"/>
      <c r="E1115" s="171"/>
      <c r="F1115" s="171"/>
      <c r="G1115" s="171"/>
      <c r="H1115" s="171"/>
      <c r="I1115" s="36"/>
      <c r="J1115" s="171"/>
      <c r="K1115" s="171"/>
      <c r="L1115" s="171"/>
      <c r="M1115" s="171"/>
      <c r="N1115" s="36"/>
      <c r="O1115" s="171"/>
      <c r="P1115" s="171"/>
      <c r="Q1115" s="171"/>
      <c r="R1115" s="171"/>
      <c r="S1115" s="36"/>
      <c r="T1115" s="171"/>
      <c r="U1115" s="171"/>
      <c r="V1115" s="171"/>
      <c r="W1115" s="171"/>
      <c r="X1115" s="36"/>
      <c r="Y1115" s="171"/>
      <c r="Z1115" s="171"/>
      <c r="AA1115" s="171"/>
      <c r="AB1115" s="171"/>
      <c r="AC1115" s="36"/>
      <c r="AD1115" s="171"/>
      <c r="AE1115" s="171"/>
      <c r="AF1115" s="171"/>
      <c r="AG1115" s="171"/>
      <c r="AH1115" s="36"/>
      <c r="AI1115" s="171"/>
      <c r="AJ1115" s="171"/>
      <c r="AK1115" s="171"/>
      <c r="AL1115" s="171"/>
      <c r="AM1115" s="36"/>
      <c r="AN1115" s="171"/>
      <c r="AO1115" s="171"/>
      <c r="AP1115" s="171"/>
      <c r="AQ1115" s="171"/>
      <c r="AR1115" s="36"/>
      <c r="AS1115" s="171"/>
      <c r="AT1115" s="171"/>
      <c r="AU1115" s="171"/>
      <c r="AV1115" s="171"/>
      <c r="AW1115" s="36"/>
      <c r="AX1115" s="171"/>
      <c r="AY1115" s="171"/>
      <c r="AZ1115" s="171"/>
      <c r="BA1115" s="171"/>
      <c r="BB1115" s="36"/>
      <c r="BC1115" s="171"/>
      <c r="BD1115" s="171"/>
      <c r="BE1115" s="171"/>
      <c r="BF1115" s="171"/>
      <c r="BG1115" s="36"/>
      <c r="BH1115" s="171"/>
      <c r="BI1115" s="171"/>
      <c r="BJ1115" s="171"/>
      <c r="BK1115" s="171"/>
      <c r="BL1115" s="36"/>
      <c r="BM1115" s="171"/>
      <c r="BN1115" s="577"/>
      <c r="BO1115" s="577"/>
      <c r="BP1115" s="171"/>
      <c r="BQ1115" s="36"/>
      <c r="BR1115" s="171"/>
      <c r="BS1115" s="577"/>
      <c r="BT1115" s="577"/>
      <c r="BU1115" s="577"/>
      <c r="BV1115" s="36"/>
      <c r="BW1115" s="577"/>
      <c r="BX1115" s="577"/>
      <c r="BY1115" s="577"/>
      <c r="BZ1115" s="577"/>
      <c r="CA1115" s="36"/>
      <c r="CB1115" s="577"/>
      <c r="CC1115" s="577"/>
      <c r="CD1115" s="577"/>
      <c r="CE1115" s="577"/>
      <c r="CF1115" s="1505"/>
      <c r="CG1115" s="577"/>
      <c r="CH1115" s="577"/>
      <c r="CI1115" s="577"/>
      <c r="CJ1115" s="577"/>
      <c r="CK1115" s="1505"/>
      <c r="CL1115" s="577"/>
      <c r="CM1115" s="577"/>
      <c r="CN1115" s="577"/>
      <c r="CO1115" s="577"/>
      <c r="CP1115" s="1505"/>
      <c r="CQ1115" s="577"/>
      <c r="CR1115" s="577"/>
      <c r="CS1115" s="577"/>
      <c r="CT1115" s="1839"/>
      <c r="CU1115" s="1835"/>
      <c r="CV1115" s="577"/>
      <c r="CW1115" s="577"/>
      <c r="CX1115" s="577"/>
      <c r="CY1115" s="1839"/>
      <c r="CZ1115" s="1835"/>
      <c r="DA1115" s="577"/>
      <c r="DB1115" s="577"/>
      <c r="DC1115" s="577"/>
      <c r="DD1115" s="1839"/>
      <c r="DE1115" s="1835"/>
      <c r="DF1115" s="710"/>
      <c r="DG1115" s="710"/>
      <c r="DH1115" s="710"/>
      <c r="DI1115" s="1839"/>
      <c r="DJ1115" s="3450">
        <f>DJ1117*85%</f>
      </c>
      <c r="DK1115" s="1880">
        <f>DK1117*85%</f>
      </c>
      <c r="DL1115" s="1880">
        <f>DL1117*85%</f>
      </c>
      <c r="DM1115" s="1880">
        <f>DM1117*85%</f>
      </c>
      <c r="DN1115" s="1839">
        <v>69.8</v>
      </c>
      <c r="DO1115" s="1835">
        <f>SUM(DK1115:DN1115)</f>
      </c>
      <c r="DP1115" s="710">
        <v>78.5</v>
      </c>
      <c r="DQ1115" s="710">
        <v>99.9</v>
      </c>
      <c r="DR1115" s="710">
        <v>110.5</v>
      </c>
      <c r="DS1115" s="1839">
        <v>118.3</v>
      </c>
      <c r="DT1115" s="1835">
        <f t="shared" ref="DT1115:DT1117" si="2339">SUM(DP1115:DS1115)</f>
      </c>
      <c r="DU1115" s="710">
        <v>131.6</v>
      </c>
      <c r="DV1115" s="710">
        <v>144.9</v>
      </c>
      <c r="DW1115" s="710">
        <v>146.9</v>
      </c>
      <c r="DX1115" s="1839">
        <v>158.1</v>
      </c>
      <c r="DY1115" s="1835">
        <f t="shared" ref="DY1115:DY1117" si="2340">SUM(DU1115:DX1115)</f>
      </c>
      <c r="DZ1115" s="710">
        <v>164.2</v>
      </c>
      <c r="EA1115" s="710">
        <v>77</v>
      </c>
      <c r="EB1115" s="710">
        <v>163</v>
      </c>
      <c r="EC1115" s="1552">
        <v>202</v>
      </c>
      <c r="ED1115" s="1835">
        <f t="shared" ref="ED1115:ED1117" si="2341">SUM(DZ1115:EC1115)</f>
      </c>
      <c r="EE1115" s="710">
        <v>206</v>
      </c>
      <c r="EF1115" s="710">
        <v>233</v>
      </c>
      <c r="EG1115" s="710">
        <v>220</v>
      </c>
      <c r="EH1115" s="1542">
        <f t="shared" ref="EH1115:EH1116" si="2342">EC1115*(1+EH1120)</f>
      </c>
      <c r="EI1115" s="1835">
        <f>SUM(EE1115:EH1115)</f>
      </c>
      <c r="EJ1115" s="1835">
        <f t="shared" ref="EJ1115:EN1116" si="2343">+EI1115*(1+EJ1120)</f>
      </c>
      <c r="EK1115" s="1556">
        <f t="shared" si="2343"/>
      </c>
      <c r="EL1115" s="1556">
        <f t="shared" si="2343"/>
      </c>
      <c r="EM1115" s="1556">
        <f t="shared" si="2343"/>
      </c>
      <c r="EN1115" s="1556">
        <f t="shared" si="2343"/>
      </c>
      <c r="EO1115" s="477"/>
      <c r="EP1115" s="477"/>
      <c r="EQ1115" s="477"/>
      <c r="ER1115" s="477"/>
      <c r="ES1115" s="477"/>
      <c r="ET1115" s="477"/>
      <c r="EU1115" s="477"/>
      <c r="EV1115" s="477"/>
      <c r="EW1115" s="477"/>
      <c r="EX1115" s="477"/>
    </row>
    <row r="1116" spans="2:154">
      <c r="B1116" s="334" t="s">
        <v>412</v>
      </c>
      <c r="C1116" s="1577"/>
      <c r="D1116" s="171"/>
      <c r="E1116" s="171"/>
      <c r="F1116" s="171"/>
      <c r="G1116" s="171"/>
      <c r="H1116" s="171"/>
      <c r="I1116" s="36"/>
      <c r="J1116" s="171"/>
      <c r="K1116" s="171"/>
      <c r="L1116" s="171"/>
      <c r="M1116" s="171"/>
      <c r="N1116" s="36"/>
      <c r="O1116" s="171"/>
      <c r="P1116" s="171"/>
      <c r="Q1116" s="171"/>
      <c r="R1116" s="171"/>
      <c r="S1116" s="36"/>
      <c r="T1116" s="171"/>
      <c r="U1116" s="171"/>
      <c r="V1116" s="171"/>
      <c r="W1116" s="171"/>
      <c r="X1116" s="36"/>
      <c r="Y1116" s="171"/>
      <c r="Z1116" s="171"/>
      <c r="AA1116" s="171"/>
      <c r="AB1116" s="171"/>
      <c r="AC1116" s="36"/>
      <c r="AD1116" s="171"/>
      <c r="AE1116" s="171"/>
      <c r="AF1116" s="171"/>
      <c r="AG1116" s="171"/>
      <c r="AH1116" s="36"/>
      <c r="AI1116" s="171"/>
      <c r="AJ1116" s="171"/>
      <c r="AK1116" s="171"/>
      <c r="AL1116" s="171"/>
      <c r="AM1116" s="36"/>
      <c r="AN1116" s="171"/>
      <c r="AO1116" s="171"/>
      <c r="AP1116" s="171"/>
      <c r="AQ1116" s="171"/>
      <c r="AR1116" s="36"/>
      <c r="AS1116" s="171"/>
      <c r="AT1116" s="171"/>
      <c r="AU1116" s="171"/>
      <c r="AV1116" s="171"/>
      <c r="AW1116" s="36"/>
      <c r="AX1116" s="171"/>
      <c r="AY1116" s="171"/>
      <c r="AZ1116" s="171"/>
      <c r="BA1116" s="171"/>
      <c r="BB1116" s="36"/>
      <c r="BC1116" s="171"/>
      <c r="BD1116" s="171"/>
      <c r="BE1116" s="171"/>
      <c r="BF1116" s="171"/>
      <c r="BG1116" s="36"/>
      <c r="BH1116" s="171"/>
      <c r="BI1116" s="171"/>
      <c r="BJ1116" s="171"/>
      <c r="BK1116" s="171"/>
      <c r="BL1116" s="36"/>
      <c r="BM1116" s="171"/>
      <c r="BN1116" s="577"/>
      <c r="BO1116" s="577"/>
      <c r="BP1116" s="171"/>
      <c r="BQ1116" s="36"/>
      <c r="BR1116" s="171"/>
      <c r="BS1116" s="577"/>
      <c r="BT1116" s="577"/>
      <c r="BU1116" s="577"/>
      <c r="BV1116" s="36"/>
      <c r="BW1116" s="577"/>
      <c r="BX1116" s="577"/>
      <c r="BY1116" s="577"/>
      <c r="BZ1116" s="577"/>
      <c r="CA1116" s="36"/>
      <c r="CB1116" s="577"/>
      <c r="CC1116" s="577"/>
      <c r="CD1116" s="577"/>
      <c r="CE1116" s="577"/>
      <c r="CF1116" s="1505"/>
      <c r="CG1116" s="577"/>
      <c r="CH1116" s="577"/>
      <c r="CI1116" s="577"/>
      <c r="CJ1116" s="577"/>
      <c r="CK1116" s="1505"/>
      <c r="CL1116" s="577"/>
      <c r="CM1116" s="577"/>
      <c r="CN1116" s="577"/>
      <c r="CO1116" s="577"/>
      <c r="CP1116" s="1505"/>
      <c r="CQ1116" s="577"/>
      <c r="CR1116" s="577"/>
      <c r="CS1116" s="577"/>
      <c r="CT1116" s="1839"/>
      <c r="CU1116" s="1835"/>
      <c r="CV1116" s="577"/>
      <c r="CW1116" s="577"/>
      <c r="CX1116" s="577"/>
      <c r="CY1116" s="1839"/>
      <c r="CZ1116" s="1835"/>
      <c r="DA1116" s="577"/>
      <c r="DB1116" s="577"/>
      <c r="DC1116" s="577"/>
      <c r="DD1116" s="1839"/>
      <c r="DE1116" s="1835"/>
      <c r="DF1116" s="710"/>
      <c r="DG1116" s="710"/>
      <c r="DH1116" s="710"/>
      <c r="DI1116" s="1839"/>
      <c r="DJ1116" s="2060">
        <f>DJ1117-DJ1115</f>
      </c>
      <c r="DK1116" s="1284">
        <f>DK1117-DK1115</f>
      </c>
      <c r="DL1116" s="1284">
        <f>DL1117-DL1115</f>
      </c>
      <c r="DM1116" s="1284">
        <f>DM1117-DM1115</f>
      </c>
      <c r="DN1116" s="1839">
        <v>14.4</v>
      </c>
      <c r="DO1116" s="1835">
        <f>SUM(DK1116:DN1116)</f>
      </c>
      <c r="DP1116" s="710">
        <v>15.1</v>
      </c>
      <c r="DQ1116" s="710">
        <v>20.7</v>
      </c>
      <c r="DR1116" s="710">
        <v>20.8</v>
      </c>
      <c r="DS1116" s="1839">
        <v>25.7</v>
      </c>
      <c r="DT1116" s="1835">
        <f t="shared" si="2339"/>
      </c>
      <c r="DU1116" s="710">
        <v>29.4</v>
      </c>
      <c r="DV1116" s="710">
        <v>35.200000000000003</v>
      </c>
      <c r="DW1116" s="710">
        <v>39.1</v>
      </c>
      <c r="DX1116" s="1839">
        <v>44.8</v>
      </c>
      <c r="DY1116" s="1835">
        <f t="shared" si="2340"/>
      </c>
      <c r="DZ1116" s="710">
        <v>42</v>
      </c>
      <c r="EA1116" s="710">
        <v>0</v>
      </c>
      <c r="EB1116" s="710">
        <v>66</v>
      </c>
      <c r="EC1116" s="1552">
        <v>56</v>
      </c>
      <c r="ED1116" s="1835">
        <f t="shared" si="2341"/>
      </c>
      <c r="EE1116" s="710">
        <v>52</v>
      </c>
      <c r="EF1116" s="710">
        <v>58</v>
      </c>
      <c r="EG1116" s="710">
        <v>59</v>
      </c>
      <c r="EH1116" s="1542">
        <f t="shared" si="2342"/>
      </c>
      <c r="EI1116" s="1835">
        <f>SUM(EE1116:EH1116)</f>
      </c>
      <c r="EJ1116" s="1835">
        <f t="shared" si="2343"/>
      </c>
      <c r="EK1116" s="1556">
        <f t="shared" si="2343"/>
      </c>
      <c r="EL1116" s="1556">
        <f t="shared" si="2343"/>
      </c>
      <c r="EM1116" s="1556">
        <f t="shared" si="2343"/>
      </c>
      <c r="EN1116" s="1556">
        <f t="shared" si="2343"/>
      </c>
      <c r="EO1116" s="477"/>
      <c r="EP1116" s="477"/>
      <c r="EQ1116" s="477"/>
      <c r="ER1116" s="477"/>
      <c r="ES1116" s="477"/>
      <c r="ET1116" s="477"/>
      <c r="EU1116" s="477"/>
      <c r="EV1116" s="477"/>
      <c r="EW1116" s="477"/>
      <c r="EX1116" s="477"/>
    </row>
    <row r="1117" spans="2:154">
      <c r="B1117" s="334" t="s">
        <v>413</v>
      </c>
      <c r="C1117" s="1577"/>
      <c r="D1117" s="933">
        <f t="shared" ref="D1117:AV1117" si="2344">+D1115+D1116</f>
      </c>
      <c r="E1117" s="933">
        <f t="shared" si="2344"/>
      </c>
      <c r="F1117" s="933">
        <f t="shared" si="2344"/>
      </c>
      <c r="G1117" s="933">
        <f t="shared" si="2344"/>
      </c>
      <c r="H1117" s="933">
        <f t="shared" si="2344"/>
      </c>
      <c r="I1117" s="31">
        <f t="shared" si="2344"/>
      </c>
      <c r="J1117" s="933">
        <f t="shared" si="2344"/>
      </c>
      <c r="K1117" s="933">
        <f t="shared" si="2344"/>
      </c>
      <c r="L1117" s="933">
        <f t="shared" si="2344"/>
      </c>
      <c r="M1117" s="933">
        <f t="shared" si="2344"/>
      </c>
      <c r="N1117" s="31">
        <f t="shared" si="2344"/>
      </c>
      <c r="O1117" s="31">
        <f t="shared" si="2344"/>
      </c>
      <c r="P1117" s="31">
        <f t="shared" si="2344"/>
      </c>
      <c r="Q1117" s="31">
        <f t="shared" si="2344"/>
      </c>
      <c r="R1117" s="31">
        <f t="shared" si="2344"/>
      </c>
      <c r="S1117" s="31">
        <f t="shared" si="2344"/>
      </c>
      <c r="T1117" s="31">
        <f t="shared" si="2344"/>
      </c>
      <c r="U1117" s="31">
        <f t="shared" si="2344"/>
      </c>
      <c r="V1117" s="31">
        <f t="shared" si="2344"/>
      </c>
      <c r="W1117" s="31">
        <f t="shared" si="2344"/>
      </c>
      <c r="X1117" s="31">
        <f t="shared" si="2344"/>
      </c>
      <c r="Y1117" s="31">
        <f t="shared" si="2344"/>
      </c>
      <c r="Z1117" s="31">
        <f t="shared" si="2344"/>
      </c>
      <c r="AA1117" s="31">
        <f t="shared" si="2344"/>
      </c>
      <c r="AB1117" s="31">
        <f t="shared" si="2344"/>
      </c>
      <c r="AC1117" s="31">
        <f t="shared" si="2344"/>
      </c>
      <c r="AD1117" s="31">
        <f t="shared" si="2344"/>
      </c>
      <c r="AE1117" s="31">
        <f t="shared" si="2344"/>
      </c>
      <c r="AF1117" s="31">
        <f t="shared" si="2344"/>
      </c>
      <c r="AG1117" s="31">
        <f t="shared" si="2344"/>
      </c>
      <c r="AH1117" s="31">
        <f t="shared" si="2344"/>
      </c>
      <c r="AI1117" s="933">
        <f t="shared" si="2344"/>
      </c>
      <c r="AJ1117" s="933">
        <f t="shared" si="2344"/>
      </c>
      <c r="AK1117" s="933">
        <f t="shared" si="2344"/>
      </c>
      <c r="AL1117" s="31">
        <f t="shared" si="2344"/>
      </c>
      <c r="AM1117" s="31">
        <f t="shared" si="2344"/>
      </c>
      <c r="AN1117" s="933">
        <f t="shared" si="2344"/>
      </c>
      <c r="AO1117" s="933">
        <f t="shared" si="2344"/>
      </c>
      <c r="AP1117" s="933">
        <f t="shared" si="2344"/>
      </c>
      <c r="AQ1117" s="933">
        <f t="shared" si="2344"/>
      </c>
      <c r="AR1117" s="31">
        <f t="shared" si="2344"/>
      </c>
      <c r="AS1117" s="933">
        <f t="shared" si="2344"/>
      </c>
      <c r="AT1117" s="933">
        <f t="shared" si="2344"/>
      </c>
      <c r="AU1117" s="933">
        <f t="shared" si="2344"/>
      </c>
      <c r="AV1117" s="933">
        <f t="shared" si="2344"/>
      </c>
      <c r="AW1117" s="31">
        <f>+AW1115+AW1116</f>
      </c>
      <c r="AX1117" s="933">
        <f t="shared" ref="AX1117:BK1117" si="2345">+AX1115+AX1116</f>
      </c>
      <c r="AY1117" s="933">
        <f t="shared" si="2345"/>
      </c>
      <c r="AZ1117" s="933">
        <f t="shared" si="2345"/>
      </c>
      <c r="BA1117" s="933">
        <f t="shared" si="2345"/>
      </c>
      <c r="BB1117" s="31">
        <f t="shared" si="2345"/>
      </c>
      <c r="BC1117" s="933">
        <f t="shared" si="2345"/>
      </c>
      <c r="BD1117" s="933">
        <f t="shared" si="2345"/>
      </c>
      <c r="BE1117" s="933">
        <f t="shared" si="2345"/>
      </c>
      <c r="BF1117" s="933">
        <f t="shared" si="2345"/>
      </c>
      <c r="BG1117" s="31">
        <f t="shared" si="2345"/>
      </c>
      <c r="BH1117" s="933">
        <f t="shared" si="2345"/>
      </c>
      <c r="BI1117" s="933">
        <f t="shared" si="2345"/>
      </c>
      <c r="BJ1117" s="933">
        <f t="shared" si="2345"/>
      </c>
      <c r="BK1117" s="933">
        <f t="shared" si="2345"/>
      </c>
      <c r="BL1117" s="31">
        <f>SUM(BH1117:BK1117)</f>
      </c>
      <c r="BM1117" s="933">
        <f>+BM1115+BM1116</f>
      </c>
      <c r="BN1117" s="933">
        <f>+BN1115+BN1116</f>
      </c>
      <c r="BO1117" s="933">
        <f>+BO1115+BO1116</f>
      </c>
      <c r="BP1117" s="933">
        <f>+BP1115+BP1116</f>
      </c>
      <c r="BQ1117" s="31">
        <f>SUM(BM1117:BP1117)</f>
      </c>
      <c r="BR1117" s="933">
        <f>+BR1115+BR1116</f>
      </c>
      <c r="BS1117" s="933">
        <f>+BS1115+BS1116</f>
      </c>
      <c r="BT1117" s="933">
        <f>+BT1115+BT1116</f>
      </c>
      <c r="BU1117" s="933">
        <f>+BU1115+BU1116</f>
      </c>
      <c r="BV1117" s="31">
        <f>SUM(BR1117:BU1117)</f>
      </c>
      <c r="BW1117" s="933">
        <f>+BW1115+BW1116</f>
      </c>
      <c r="BX1117" s="933">
        <f>+BX1115+BX1116</f>
      </c>
      <c r="BY1117" s="933">
        <f>+BY1115+BY1116</f>
      </c>
      <c r="BZ1117" s="933">
        <f>+BZ1115+BZ1116</f>
      </c>
      <c r="CA1117" s="31">
        <f>SUM(BW1117:BZ1117)</f>
      </c>
      <c r="CB1117" s="933">
        <f>+CB1115+CB1116</f>
      </c>
      <c r="CC1117" s="933">
        <f>+CC1115+CC1116</f>
      </c>
      <c r="CD1117" s="933">
        <f>+CD1115+CD1116</f>
      </c>
      <c r="CE1117" s="933">
        <f>+CE1115+CE1116</f>
      </c>
      <c r="CF1117" s="1061">
        <f>SUM(CB1117:CE1117)</f>
      </c>
      <c r="CG1117" s="352">
        <v>68</v>
      </c>
      <c r="CH1117" s="352">
        <v>73</v>
      </c>
      <c r="CI1117" s="352">
        <v>76</v>
      </c>
      <c r="CJ1117" s="352">
        <v>86</v>
      </c>
      <c r="CK1117" s="1061"/>
      <c r="CL1117" s="352"/>
      <c r="CM1117" s="933"/>
      <c r="CN1117" s="933"/>
      <c r="CO1117" s="933"/>
      <c r="CP1117" s="1061"/>
      <c r="CQ1117" s="933"/>
      <c r="CR1117" s="933"/>
      <c r="CS1117" s="933"/>
      <c r="CT1117" s="933"/>
      <c r="CU1117" s="477"/>
      <c r="CV1117" s="933"/>
      <c r="CW1117" s="933"/>
      <c r="CX1117" s="933"/>
      <c r="CY1117" s="933"/>
      <c r="CZ1117" s="477"/>
      <c r="DA1117" s="933"/>
      <c r="DB1117" s="933"/>
      <c r="DC1117" s="933"/>
      <c r="DD1117" s="933"/>
      <c r="DE1117" s="1835"/>
      <c r="DF1117" s="1542"/>
      <c r="DG1117" s="1542"/>
      <c r="DH1117" s="1542"/>
      <c r="DI1117" s="1556"/>
      <c r="DJ1117" s="1835">
        <v>67.8</v>
      </c>
      <c r="DK1117" s="1542">
        <v>31.9</v>
      </c>
      <c r="DL1117" s="1542">
        <v>55.9</v>
      </c>
      <c r="DM1117" s="1542">
        <v>65.2</v>
      </c>
      <c r="DN1117" s="1556">
        <f>+DN1115+DN1116</f>
      </c>
      <c r="DO1117" s="1835">
        <f>SUM(DK1117:DN1117)</f>
      </c>
      <c r="DP1117" s="1542">
        <f t="shared" ref="DP1117:DS1117" si="2346">+DP1115+DP1116</f>
      </c>
      <c r="DQ1117" s="1542">
        <f t="shared" si="2346"/>
      </c>
      <c r="DR1117" s="1542">
        <f t="shared" si="2346"/>
      </c>
      <c r="DS1117" s="1556">
        <f t="shared" si="2346"/>
      </c>
      <c r="DT1117" s="1835">
        <f t="shared" si="2339"/>
      </c>
      <c r="DU1117" s="1542">
        <f t="shared" ref="DU1117:DX1117" si="2347">+DU1115+DU1116</f>
      </c>
      <c r="DV1117" s="1542">
        <f t="shared" si="2347"/>
      </c>
      <c r="DW1117" s="1542">
        <f t="shared" si="2347"/>
      </c>
      <c r="DX1117" s="1556">
        <f t="shared" si="2347"/>
      </c>
      <c r="DY1117" s="1835">
        <f t="shared" si="2340"/>
      </c>
      <c r="DZ1117" s="1542">
        <f>SUM(DZ1115:DZ1116)</f>
      </c>
      <c r="EA1117" s="1542">
        <f>SUM(EA1115:EA1116)</f>
      </c>
      <c r="EB1117" s="1542">
        <f>SUM(EB1115:EB1116)</f>
      </c>
      <c r="EC1117" s="1553">
        <f t="shared" ref="EC1117:EE1117" si="2348">+EC1115+EC1116</f>
      </c>
      <c r="ED1117" s="1835">
        <f t="shared" si="2341"/>
      </c>
      <c r="EE1117" s="1542">
        <f t="shared" si="2348"/>
      </c>
      <c r="EF1117" s="1542">
        <f t="shared" ref="EF1117" si="2349">+EF1115+EF1116</f>
      </c>
      <c r="EG1117" s="1542">
        <f>SUM(EG1115:EG1116)</f>
      </c>
      <c r="EH1117" s="1542">
        <f>SUM(EH1115:EH1116)</f>
      </c>
      <c r="EI1117" s="1835">
        <f t="shared" ref="EI1117:EM1117" si="2350">+EI1115+EI1116</f>
      </c>
      <c r="EJ1117" s="1835">
        <f t="shared" si="2350"/>
      </c>
      <c r="EK1117" s="1556">
        <f t="shared" si="2350"/>
      </c>
      <c r="EL1117" s="1556">
        <f t="shared" si="2350"/>
      </c>
      <c r="EM1117" s="1556">
        <f t="shared" si="2350"/>
      </c>
      <c r="EN1117" s="1556">
        <f>+EN1115+EN1116</f>
      </c>
      <c r="EO1117" s="1811"/>
      <c r="EP1117" s="1811"/>
      <c r="EQ1117" s="1811"/>
      <c r="ER1117" s="1811"/>
      <c r="ES1117" s="1811"/>
      <c r="ET1117" s="1811"/>
      <c r="EU1117" s="1811"/>
      <c r="EV1117" s="1811"/>
      <c r="EW1117" s="1811"/>
      <c r="EX1117" s="1811"/>
    </row>
    <row r="1118" spans="2:154">
      <c r="B1118" s="334"/>
      <c r="C1118" s="1577"/>
      <c r="D1118" s="933"/>
      <c r="E1118" s="933"/>
      <c r="F1118" s="933"/>
      <c r="G1118" s="933"/>
      <c r="H1118" s="933"/>
      <c r="I1118" s="31"/>
      <c r="J1118" s="933"/>
      <c r="K1118" s="933"/>
      <c r="L1118" s="933"/>
      <c r="M1118" s="933"/>
      <c r="N1118" s="31"/>
      <c r="O1118" s="31"/>
      <c r="P1118" s="31"/>
      <c r="Q1118" s="31"/>
      <c r="R1118" s="31"/>
      <c r="S1118" s="31"/>
      <c r="T1118" s="31"/>
      <c r="U1118" s="31"/>
      <c r="V1118" s="31"/>
      <c r="W1118" s="31"/>
      <c r="X1118" s="43"/>
      <c r="Y1118" s="31"/>
      <c r="Z1118" s="31"/>
      <c r="AA1118" s="31"/>
      <c r="AB1118" s="31"/>
      <c r="AC1118" s="43"/>
      <c r="AD1118" s="31"/>
      <c r="AE1118" s="31"/>
      <c r="AF1118" s="31"/>
      <c r="AG1118" s="31"/>
      <c r="AH1118" s="43"/>
      <c r="AI1118" s="933"/>
      <c r="AJ1118" s="933"/>
      <c r="AK1118" s="933"/>
      <c r="AL1118" s="31"/>
      <c r="AM1118" s="43"/>
      <c r="AN1118" s="933"/>
      <c r="AO1118" s="933"/>
      <c r="AP1118" s="933"/>
      <c r="AQ1118" s="933"/>
      <c r="AR1118" s="43"/>
      <c r="AS1118" s="933"/>
      <c r="AT1118" s="933"/>
      <c r="AU1118" s="933"/>
      <c r="AV1118" s="933"/>
      <c r="AW1118" s="43"/>
      <c r="AX1118" s="933"/>
      <c r="AY1118" s="933"/>
      <c r="AZ1118" s="933"/>
      <c r="BA1118" s="933"/>
      <c r="BB1118" s="43"/>
      <c r="BC1118" s="933"/>
      <c r="BD1118" s="933"/>
      <c r="BE1118" s="933"/>
      <c r="BF1118" s="933"/>
      <c r="BG1118" s="31"/>
      <c r="BH1118" s="933"/>
      <c r="BI1118" s="933"/>
      <c r="BJ1118" s="933"/>
      <c r="BK1118" s="933"/>
      <c r="BL1118" s="31"/>
      <c r="BM1118" s="933"/>
      <c r="BN1118" s="933"/>
      <c r="BO1118" s="933"/>
      <c r="BP1118" s="933"/>
      <c r="BQ1118" s="31"/>
      <c r="BR1118" s="933"/>
      <c r="BS1118" s="933"/>
      <c r="BT1118" s="933"/>
      <c r="BU1118" s="933"/>
      <c r="BV1118" s="31"/>
      <c r="BW1118" s="933"/>
      <c r="BX1118" s="933"/>
      <c r="BY1118" s="933"/>
      <c r="BZ1118" s="933"/>
      <c r="CA1118" s="31"/>
      <c r="CB1118" s="933"/>
      <c r="CC1118" s="933"/>
      <c r="CD1118" s="933"/>
      <c r="CE1118" s="933"/>
      <c r="CF1118" s="313"/>
      <c r="CG1118" s="933"/>
      <c r="CH1118" s="933"/>
      <c r="CI1118" s="933"/>
      <c r="CJ1118" s="933"/>
      <c r="CK1118" s="313"/>
      <c r="CL1118" s="933"/>
      <c r="CM1118" s="933"/>
      <c r="CN1118" s="933"/>
      <c r="CO1118" s="933"/>
      <c r="CP1118" s="313"/>
      <c r="CQ1118" s="933"/>
      <c r="CR1118" s="933"/>
      <c r="CS1118" s="933"/>
      <c r="CT1118" s="2259"/>
      <c r="CU1118" s="477"/>
      <c r="CV1118" s="933">
        <f>SUM(CR1117:CT1117,CV1117)</f>
      </c>
      <c r="CW1118" s="933"/>
      <c r="CX1118" s="933"/>
      <c r="CY1118" s="2259"/>
      <c r="CZ1118" s="477"/>
      <c r="DA1118" s="933"/>
      <c r="DB1118" s="31"/>
      <c r="DC1118" s="31"/>
      <c r="DD1118" s="2259"/>
      <c r="DE1118" s="477"/>
      <c r="DF1118" s="933"/>
      <c r="DG1118" s="2265"/>
      <c r="DH1118" s="2265"/>
      <c r="DI1118" s="2259"/>
      <c r="DJ1118" s="477"/>
      <c r="DK1118" s="933"/>
      <c r="DL1118" s="1915"/>
      <c r="DM1118" s="2265"/>
      <c r="DN1118" s="2259"/>
      <c r="DO1118" s="477"/>
      <c r="DP1118" s="933"/>
      <c r="DQ1118" s="2966"/>
      <c r="DR1118" s="1915"/>
      <c r="DS1118" s="2257"/>
      <c r="DT1118" s="477"/>
      <c r="DU1118" s="2257"/>
      <c r="DV1118" s="1915"/>
      <c r="DW1118" s="1915"/>
      <c r="DX1118" s="1946"/>
      <c r="DY1118" s="3478"/>
      <c r="DZ1118" s="1880"/>
      <c r="EA1118" s="1880"/>
      <c r="EB1118" s="3483"/>
      <c r="EC1118" s="3613"/>
      <c r="ED1118" s="3478"/>
      <c r="EE1118" s="1880"/>
      <c r="EF1118" s="1880"/>
      <c r="EG1118" s="1880"/>
      <c r="EH1118" s="3483"/>
      <c r="EI1118" s="2498"/>
      <c r="EJ1118" s="2498"/>
      <c r="EK1118" s="1881"/>
      <c r="EL1118" s="1881"/>
      <c r="EM1118" s="1881"/>
      <c r="EN1118" s="1881"/>
      <c r="EO1118" s="477"/>
      <c r="EP1118" s="477"/>
      <c r="EQ1118" s="477"/>
      <c r="ER1118" s="477"/>
      <c r="ES1118" s="477"/>
      <c r="ET1118" s="477"/>
      <c r="EU1118" s="477"/>
      <c r="EV1118" s="477"/>
      <c r="EW1118" s="477"/>
      <c r="EX1118" s="477"/>
    </row>
    <row r="1119" spans="2:154">
      <c r="B1119" s="453" t="s">
        <v>978</v>
      </c>
      <c r="C1119" s="1577"/>
      <c r="D1119" s="933"/>
      <c r="E1119" s="933"/>
      <c r="F1119" s="933"/>
      <c r="G1119" s="933"/>
      <c r="H1119" s="933"/>
      <c r="I1119" s="31"/>
      <c r="J1119" s="933"/>
      <c r="K1119" s="933"/>
      <c r="L1119" s="933"/>
      <c r="M1119" s="933"/>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933"/>
      <c r="AJ1119" s="933"/>
      <c r="AK1119" s="933"/>
      <c r="AL1119" s="31"/>
      <c r="AM1119" s="31"/>
      <c r="AN1119" s="933"/>
      <c r="AO1119" s="933"/>
      <c r="AP1119" s="933"/>
      <c r="AQ1119" s="933"/>
      <c r="AR1119" s="31"/>
      <c r="AS1119" s="933"/>
      <c r="AT1119" s="933"/>
      <c r="AU1119" s="933"/>
      <c r="AV1119" s="933"/>
      <c r="AW1119" s="31"/>
      <c r="AX1119" s="933"/>
      <c r="AY1119" s="933"/>
      <c r="AZ1119" s="933"/>
      <c r="BA1119" s="933"/>
      <c r="BB1119" s="31"/>
      <c r="BC1119" s="933"/>
      <c r="BD1119" s="933"/>
      <c r="BE1119" s="933"/>
      <c r="BF1119" s="933"/>
      <c r="BG1119" s="31"/>
      <c r="BH1119" s="933"/>
      <c r="BI1119" s="933"/>
      <c r="BJ1119" s="933"/>
      <c r="BK1119" s="933"/>
      <c r="BL1119" s="31"/>
      <c r="BM1119" s="933"/>
      <c r="BN1119" s="933"/>
      <c r="BO1119" s="933"/>
      <c r="BP1119" s="933"/>
      <c r="BQ1119" s="31"/>
      <c r="BR1119" s="933"/>
      <c r="BS1119" s="933"/>
      <c r="BT1119" s="933"/>
      <c r="BU1119" s="933"/>
      <c r="BV1119" s="31"/>
      <c r="BW1119" s="933"/>
      <c r="BX1119" s="933"/>
      <c r="BY1119" s="933"/>
      <c r="BZ1119" s="933"/>
      <c r="CA1119" s="31"/>
      <c r="CB1119" s="933"/>
      <c r="CC1119" s="933"/>
      <c r="CD1119" s="933"/>
      <c r="CE1119" s="933"/>
      <c r="CF1119" s="313"/>
      <c r="CG1119" s="933"/>
      <c r="CH1119" s="933"/>
      <c r="CI1119" s="933"/>
      <c r="CJ1119" s="933"/>
      <c r="CK1119" s="313"/>
      <c r="CL1119" s="933"/>
      <c r="CM1119" s="933"/>
      <c r="CN1119" s="933"/>
      <c r="CO1119" s="933"/>
      <c r="CP1119" s="313"/>
      <c r="CQ1119" s="933"/>
      <c r="CR1119" s="933"/>
      <c r="CS1119" s="933"/>
      <c r="CT1119" s="2259"/>
      <c r="CU1119" s="477"/>
      <c r="CV1119" s="933"/>
      <c r="CW1119" s="933"/>
      <c r="CX1119" s="933"/>
      <c r="CY1119" s="2259"/>
      <c r="CZ1119" s="477"/>
      <c r="DA1119" s="933"/>
      <c r="DB1119" s="31"/>
      <c r="DC1119" s="31"/>
      <c r="DD1119" s="2259"/>
      <c r="DE1119" s="477"/>
      <c r="DF1119" s="925"/>
      <c r="DG1119" s="2265"/>
      <c r="DH1119" s="2265"/>
      <c r="DI1119" s="2259"/>
      <c r="DJ1119" s="477"/>
      <c r="DK1119" s="925"/>
      <c r="DL1119" s="1915"/>
      <c r="DM1119" s="2265"/>
      <c r="DN1119" s="2259"/>
      <c r="DO1119" s="477"/>
      <c r="DP1119" s="1915"/>
      <c r="DQ1119" s="1915"/>
      <c r="DR1119" s="1915"/>
      <c r="DS1119" s="2257"/>
      <c r="DT1119" s="477"/>
      <c r="DU1119" s="2257"/>
      <c r="DV1119" s="1915"/>
      <c r="DW1119" s="1915"/>
      <c r="DX1119" s="1946"/>
      <c r="DY1119" s="477"/>
      <c r="DZ1119" s="1915"/>
      <c r="EA1119" s="1915"/>
      <c r="EB1119" s="1915"/>
      <c r="EC1119" s="3613"/>
      <c r="ED1119" s="477"/>
      <c r="EE1119" s="1915"/>
      <c r="EF1119" s="1915"/>
      <c r="EG1119" s="1915"/>
      <c r="EH1119" s="3606"/>
      <c r="EI1119" s="1805"/>
      <c r="EJ1119" s="1805"/>
      <c r="EK1119" s="1805"/>
      <c r="EL1119" s="1798"/>
      <c r="EM1119" s="1798"/>
      <c r="EN1119" s="1798"/>
      <c r="EO1119" s="477"/>
      <c r="EP1119" s="477"/>
      <c r="EQ1119" s="477"/>
      <c r="ER1119" s="477"/>
      <c r="ES1119" s="477"/>
      <c r="ET1119" s="477"/>
      <c r="EU1119" s="477"/>
      <c r="EV1119" s="477"/>
      <c r="EW1119" s="477"/>
      <c r="EX1119" s="477"/>
    </row>
    <row r="1120" spans="2:154">
      <c r="B1120" s="454" t="s">
        <v>187</v>
      </c>
      <c r="C1120" s="1577"/>
      <c r="D1120" s="933"/>
      <c r="E1120" s="933"/>
      <c r="F1120" s="933"/>
      <c r="G1120" s="933"/>
      <c r="H1120" s="933"/>
      <c r="I1120" s="926"/>
      <c r="J1120" s="926"/>
      <c r="K1120" s="926"/>
      <c r="L1120" s="926"/>
      <c r="M1120" s="926"/>
      <c r="N1120" s="926"/>
      <c r="O1120" s="926"/>
      <c r="P1120" s="926"/>
      <c r="Q1120" s="926"/>
      <c r="R1120" s="926"/>
      <c r="S1120" s="926"/>
      <c r="T1120" s="926"/>
      <c r="U1120" s="926"/>
      <c r="V1120" s="926"/>
      <c r="W1120" s="926"/>
      <c r="X1120" s="926"/>
      <c r="Y1120" s="926"/>
      <c r="Z1120" s="926"/>
      <c r="AA1120" s="926"/>
      <c r="AB1120" s="926"/>
      <c r="AC1120" s="926"/>
      <c r="AD1120" s="926"/>
      <c r="AE1120" s="926"/>
      <c r="AF1120" s="926"/>
      <c r="AG1120" s="926"/>
      <c r="AH1120" s="926"/>
      <c r="AI1120" s="926"/>
      <c r="AJ1120" s="926"/>
      <c r="AK1120" s="926"/>
      <c r="AL1120" s="926"/>
      <c r="AM1120" s="926"/>
      <c r="AN1120" s="926"/>
      <c r="AO1120" s="926"/>
      <c r="AP1120" s="926"/>
      <c r="AQ1120" s="926"/>
      <c r="AR1120" s="926"/>
      <c r="AS1120" s="926"/>
      <c r="AT1120" s="926"/>
      <c r="AU1120" s="926"/>
      <c r="AV1120" s="926"/>
      <c r="AW1120" s="926"/>
      <c r="AX1120" s="926"/>
      <c r="AY1120" s="926"/>
      <c r="AZ1120" s="926"/>
      <c r="BA1120" s="926"/>
      <c r="BB1120" s="926"/>
      <c r="BC1120" s="926"/>
      <c r="BD1120" s="926"/>
      <c r="BE1120" s="926"/>
      <c r="BF1120" s="926"/>
      <c r="BG1120" s="926"/>
      <c r="BH1120" s="926"/>
      <c r="BI1120" s="926"/>
      <c r="BJ1120" s="926"/>
      <c r="BK1120" s="926"/>
      <c r="BL1120" s="926"/>
      <c r="BM1120" s="926"/>
      <c r="BN1120" s="926"/>
      <c r="BO1120" s="926"/>
      <c r="BP1120" s="926"/>
      <c r="BQ1120" s="926"/>
      <c r="BR1120" s="926"/>
      <c r="BS1120" s="926"/>
      <c r="BT1120" s="926"/>
      <c r="BU1120" s="926"/>
      <c r="BV1120" s="926"/>
      <c r="BW1120" s="926"/>
      <c r="BX1120" s="926"/>
      <c r="BY1120" s="926"/>
      <c r="BZ1120" s="926"/>
      <c r="CA1120" s="959"/>
      <c r="CB1120" s="926"/>
      <c r="CC1120" s="926"/>
      <c r="CD1120" s="926"/>
      <c r="CE1120" s="926"/>
      <c r="CF1120" s="2248"/>
      <c r="CG1120" s="926"/>
      <c r="CH1120" s="926"/>
      <c r="CI1120" s="926"/>
      <c r="CJ1120" s="926"/>
      <c r="CK1120" s="1060"/>
      <c r="CL1120" s="926"/>
      <c r="CM1120" s="926"/>
      <c r="CN1120" s="926"/>
      <c r="CO1120" s="926"/>
      <c r="CP1120" s="1060"/>
      <c r="CQ1120" s="926"/>
      <c r="CR1120" s="926"/>
      <c r="CS1120" s="926"/>
      <c r="CT1120" s="928"/>
      <c r="CU1120" s="1060"/>
      <c r="CV1120" s="926"/>
      <c r="CW1120" s="926"/>
      <c r="CX1120" s="926"/>
      <c r="CY1120" s="928"/>
      <c r="CZ1120" s="1060"/>
      <c r="DA1120" s="926"/>
      <c r="DB1120" s="926"/>
      <c r="DC1120" s="926"/>
      <c r="DD1120" s="928"/>
      <c r="DE1120" s="1060"/>
      <c r="DF1120" s="926"/>
      <c r="DG1120" s="926"/>
      <c r="DH1120" s="926"/>
      <c r="DI1120" s="928"/>
      <c r="DJ1120" s="1060"/>
      <c r="DK1120" s="926" t="str">
        <f t="shared" ref="DK1120:DN1121" si="2351">IF(DF1115="NM","NM",IF(DK1115="NM","NM",IF(DF1115&lt;=0,"NM",IF(DK1115=0,"NM",IF(ABS(DK1115/DF1115-1)&gt;2.5,"NM",IF((ABS(DK1115-DF1115)=ABS(ABS(DK1115)-ABS(DF1115))),(DK1115/DF1115-1),"NM"))))))</f>
      </c>
      <c r="DL1120" s="926" t="str">
        <f t="shared" si="2351"/>
      </c>
      <c r="DM1120" s="926" t="str">
        <f t="shared" si="2351"/>
      </c>
      <c r="DN1120" s="928" t="str">
        <f t="shared" si="2351"/>
      </c>
      <c r="DO1120" s="1060">
        <f>IF(DJ1115=0, 0, DO1115/DJ1115-1)</f>
      </c>
      <c r="DP1120" s="926">
        <f t="shared" ref="DP1120:DR1121" si="2352">IF(DK1115=0, "NA", DP1115/DK1115-1)</f>
      </c>
      <c r="DQ1120" s="926">
        <f t="shared" si="2352"/>
      </c>
      <c r="DR1120" s="926">
        <f t="shared" si="2352"/>
      </c>
      <c r="DS1120" s="926">
        <f>IF(DN1115=0, "NA", DS1115/DN1115-1)</f>
      </c>
      <c r="DT1120" s="1060">
        <f>IF(DO1115=0, "NA", DT1115/DO1115-1)</f>
      </c>
      <c r="DU1120" s="926">
        <f t="shared" ref="DU1120:DY1121" si="2353">IF(DP1115=0, "NA", DU1115/DP1115-1)</f>
      </c>
      <c r="DV1120" s="926">
        <f t="shared" si="2353"/>
      </c>
      <c r="DW1120" s="926">
        <f t="shared" si="2353"/>
      </c>
      <c r="DX1120" s="926">
        <f t="shared" si="2353"/>
      </c>
      <c r="DY1120" s="1060">
        <f t="shared" si="2353"/>
      </c>
      <c r="DZ1120" s="926">
        <f>IF(DU1115="NM","NM",IF(DZ1115="NM","NM",IF(DU1115&lt;=0,"NM",IF(DZ1115=0,"NM",IF(ABS(DZ1115/DU1115-1)&gt;2.5,"NM",IF((ABS(DZ1115-DU1115)=ABS(ABS(DZ1115)-ABS(DU1115))),(DZ1115/DU1115-1),"NM"))))))</f>
      </c>
      <c r="EA1120" s="926">
        <f>IF(DV1115="NM","NM",IF(EA1115="NM","NM",IF(DV1115&lt;=0,"NM",IF(EA1115=0,"NM",IF(ABS(EA1115/DV1115-1)&gt;2.5,"NM",IF((ABS(EA1115-DV1115)=ABS(ABS(EA1115)-ABS(DV1115))),(EA1115/DV1115-1),"NM"))))))</f>
      </c>
      <c r="EB1120" s="926">
        <f>IF(DW1115="NM","NM",IF(EB1115="NM","NM",IF(DW1115&lt;=0,"NM",IF(EB1115=0,"NM",IF(ABS(EB1115/DW1115-1)&gt;2.5,"NM",IF((ABS(EB1115-DW1115)=ABS(ABS(EB1115)-ABS(DW1115))),(EB1115/DW1115-1),"NM"))))))</f>
      </c>
      <c r="EC1120" s="1219">
        <f t="shared" ref="EC1120:EG1121" si="2354">IF(DX1115=0, "NA", EC1115/DX1115-1)</f>
      </c>
      <c r="ED1120" s="1060">
        <f t="shared" si="2354"/>
      </c>
      <c r="EE1120" s="926">
        <f t="shared" si="2354"/>
      </c>
      <c r="EF1120" s="926">
        <f t="shared" si="2354"/>
      </c>
      <c r="EG1120" s="926">
        <f t="shared" si="2354"/>
      </c>
      <c r="EH1120" s="3430">
        <v>0.25</v>
      </c>
      <c r="EI1120" s="1060">
        <f>SUM(EE1115:EH1115)/ED1115-1</f>
      </c>
      <c r="EJ1120" s="317">
        <v>0.3</v>
      </c>
      <c r="EK1120" s="836">
        <v>0.26</v>
      </c>
      <c r="EL1120" s="836">
        <v>0.22</v>
      </c>
      <c r="EM1120" s="836">
        <v>0.18</v>
      </c>
      <c r="EN1120" s="836">
        <v>0.16</v>
      </c>
      <c r="EO1120" s="673"/>
      <c r="EP1120" s="673"/>
      <c r="EQ1120" s="673"/>
      <c r="ER1120" s="673"/>
      <c r="ES1120" s="673"/>
      <c r="ET1120" s="673"/>
      <c r="EU1120" s="673"/>
      <c r="EV1120" s="673"/>
      <c r="EW1120"/>
      <c r="EX1120" s="673"/>
    </row>
    <row r="1121" spans="2:154">
      <c r="B1121" s="454" t="s">
        <v>412</v>
      </c>
      <c r="C1121" s="1577"/>
      <c r="D1121" s="933"/>
      <c r="E1121" s="933"/>
      <c r="F1121" s="933"/>
      <c r="G1121" s="933"/>
      <c r="H1121" s="933"/>
      <c r="I1121" s="926"/>
      <c r="J1121" s="926"/>
      <c r="K1121" s="926"/>
      <c r="L1121" s="926"/>
      <c r="M1121" s="926"/>
      <c r="N1121" s="926"/>
      <c r="O1121" s="926"/>
      <c r="P1121" s="926"/>
      <c r="Q1121" s="926"/>
      <c r="R1121" s="926"/>
      <c r="S1121" s="926"/>
      <c r="T1121" s="926"/>
      <c r="U1121" s="926"/>
      <c r="V1121" s="926"/>
      <c r="W1121" s="926"/>
      <c r="X1121" s="926"/>
      <c r="Y1121" s="926"/>
      <c r="Z1121" s="926"/>
      <c r="AA1121" s="926"/>
      <c r="AB1121" s="926"/>
      <c r="AC1121" s="926"/>
      <c r="AD1121" s="926"/>
      <c r="AE1121" s="926"/>
      <c r="AF1121" s="926"/>
      <c r="AG1121" s="926"/>
      <c r="AH1121" s="926"/>
      <c r="AI1121" s="926"/>
      <c r="AJ1121" s="926"/>
      <c r="AK1121" s="926"/>
      <c r="AL1121" s="926"/>
      <c r="AM1121" s="926"/>
      <c r="AN1121" s="926"/>
      <c r="AO1121" s="926"/>
      <c r="AP1121" s="926"/>
      <c r="AQ1121" s="926"/>
      <c r="AR1121" s="926"/>
      <c r="AS1121" s="926"/>
      <c r="AT1121" s="926"/>
      <c r="AU1121" s="926"/>
      <c r="AV1121" s="926"/>
      <c r="AW1121" s="926"/>
      <c r="AX1121" s="926"/>
      <c r="AY1121" s="926"/>
      <c r="AZ1121" s="926"/>
      <c r="BA1121" s="926"/>
      <c r="BB1121" s="926"/>
      <c r="BC1121" s="926"/>
      <c r="BD1121" s="926"/>
      <c r="BE1121" s="926"/>
      <c r="BF1121" s="926"/>
      <c r="BG1121" s="926"/>
      <c r="BH1121" s="926"/>
      <c r="BI1121" s="926"/>
      <c r="BJ1121" s="926"/>
      <c r="BK1121" s="926"/>
      <c r="BL1121" s="926"/>
      <c r="BM1121" s="926"/>
      <c r="BN1121" s="926"/>
      <c r="BO1121" s="926"/>
      <c r="BP1121" s="926"/>
      <c r="BQ1121" s="926"/>
      <c r="BR1121" s="926"/>
      <c r="BS1121" s="926"/>
      <c r="BT1121" s="926"/>
      <c r="BU1121" s="926"/>
      <c r="BV1121" s="926"/>
      <c r="BW1121" s="926"/>
      <c r="BX1121" s="926"/>
      <c r="BY1121" s="926"/>
      <c r="BZ1121" s="926"/>
      <c r="CA1121" s="926"/>
      <c r="CB1121" s="926"/>
      <c r="CC1121" s="926"/>
      <c r="CD1121" s="926"/>
      <c r="CE1121" s="926"/>
      <c r="CF1121" s="1060"/>
      <c r="CG1121" s="926"/>
      <c r="CH1121" s="926"/>
      <c r="CI1121" s="926"/>
      <c r="CJ1121" s="926"/>
      <c r="CK1121" s="1060"/>
      <c r="CL1121" s="926"/>
      <c r="CM1121" s="926"/>
      <c r="CN1121" s="926"/>
      <c r="CO1121" s="926"/>
      <c r="CP1121" s="1060"/>
      <c r="CQ1121" s="926"/>
      <c r="CR1121" s="926"/>
      <c r="CS1121" s="926"/>
      <c r="CT1121" s="928"/>
      <c r="CU1121" s="1060"/>
      <c r="CV1121" s="926"/>
      <c r="CW1121" s="926"/>
      <c r="CX1121" s="926"/>
      <c r="CY1121" s="928"/>
      <c r="CZ1121" s="1060"/>
      <c r="DA1121" s="926"/>
      <c r="DB1121" s="926"/>
      <c r="DC1121" s="926"/>
      <c r="DD1121" s="928"/>
      <c r="DE1121" s="1060"/>
      <c r="DF1121" s="926"/>
      <c r="DG1121" s="926"/>
      <c r="DH1121" s="926"/>
      <c r="DI1121" s="928"/>
      <c r="DJ1121" s="1060"/>
      <c r="DK1121" s="926" t="str">
        <f t="shared" si="2351"/>
      </c>
      <c r="DL1121" s="926" t="str">
        <f t="shared" si="2351"/>
      </c>
      <c r="DM1121" s="926" t="str">
        <f t="shared" si="2351"/>
      </c>
      <c r="DN1121" s="928" t="str">
        <f t="shared" si="2351"/>
      </c>
      <c r="DO1121" s="1060">
        <f>IF(DJ1116=0, "NA", DO1116/DJ1116-1)</f>
      </c>
      <c r="DP1121" s="926">
        <f t="shared" si="2352"/>
      </c>
      <c r="DQ1121" s="926">
        <f t="shared" si="2352"/>
      </c>
      <c r="DR1121" s="926">
        <f t="shared" si="2352"/>
      </c>
      <c r="DS1121" s="926">
        <f>IF(DN1116=0, "NA", DS1116/DN1116-1)</f>
      </c>
      <c r="DT1121" s="1060">
        <f>IF(DO1116=0, "NA", DT1116/DO1116-1)</f>
      </c>
      <c r="DU1121" s="926">
        <f t="shared" si="2353"/>
      </c>
      <c r="DV1121" s="926">
        <f t="shared" si="2353"/>
      </c>
      <c r="DW1121" s="926">
        <f t="shared" si="2353"/>
      </c>
      <c r="DX1121" s="926">
        <f t="shared" si="2353"/>
      </c>
      <c r="DY1121" s="1060">
        <f t="shared" si="2353"/>
      </c>
      <c r="DZ1121" s="926">
        <f>DZ1116/DU1116-1</f>
      </c>
      <c r="EA1121" s="926">
        <f>EA1116/DV1116-1</f>
      </c>
      <c r="EB1121" s="926">
        <f>EB1116/DW1116-1</f>
      </c>
      <c r="EC1121" s="1219">
        <f t="shared" si="2354"/>
      </c>
      <c r="ED1121" s="1060">
        <f t="shared" si="2354"/>
      </c>
      <c r="EE1121" s="926">
        <f t="shared" si="2354"/>
      </c>
      <c r="EF1121" s="926" t="str">
        <f t="shared" si="2354"/>
      </c>
      <c r="EG1121" s="926">
        <f t="shared" si="2354"/>
      </c>
      <c r="EH1121" s="926">
        <f>EH1122+EH$1370</f>
      </c>
      <c r="EI1121" s="1060">
        <f>SUM(EE1116:EH1116)/ED1116-1</f>
      </c>
      <c r="EJ1121" s="1060">
        <f>EJ1122+EJ$1370</f>
      </c>
      <c r="EK1121" s="928">
        <f>EK1122+EK$1370</f>
      </c>
      <c r="EL1121" s="928">
        <f>EL1122+EL$1370</f>
      </c>
      <c r="EM1121" s="928">
        <f>EM1122+EM$1370</f>
      </c>
      <c r="EN1121" s="928">
        <f>EN1122+EN$1370</f>
      </c>
      <c r="EO1121" s="1066"/>
      <c r="EP1121" s="1066"/>
      <c r="EQ1121" s="1066"/>
      <c r="ER1121" s="1066"/>
      <c r="ES1121" s="1066"/>
      <c r="ET1121" s="1066"/>
      <c r="EU1121" s="1066"/>
      <c r="EV1121" s="1066"/>
      <c r="EW1121" s="1066"/>
      <c r="EX1121" s="1066"/>
    </row>
    <row r="1122" spans="2:154">
      <c r="B1122" s="454" t="s">
        <v>256</v>
      </c>
      <c r="C1122" s="1577"/>
      <c r="D1122" s="933"/>
      <c r="E1122" s="933"/>
      <c r="F1122" s="933"/>
      <c r="G1122" s="933"/>
      <c r="H1122" s="933"/>
      <c r="I1122" s="24"/>
      <c r="J1122" s="946"/>
      <c r="K1122" s="946"/>
      <c r="L1122" s="946"/>
      <c r="M1122" s="946"/>
      <c r="N1122" s="24"/>
      <c r="O1122" s="24"/>
      <c r="P1122" s="24"/>
      <c r="Q1122" s="24"/>
      <c r="R1122" s="24"/>
      <c r="S1122" s="946"/>
      <c r="T1122" s="24"/>
      <c r="U1122" s="24"/>
      <c r="V1122" s="24"/>
      <c r="W1122" s="24"/>
      <c r="X1122" s="959"/>
      <c r="Y1122" s="24"/>
      <c r="Z1122" s="24"/>
      <c r="AA1122" s="24"/>
      <c r="AB1122" s="24"/>
      <c r="AC1122" s="959"/>
      <c r="AD1122" s="24"/>
      <c r="AE1122" s="24"/>
      <c r="AF1122" s="24"/>
      <c r="AG1122" s="24"/>
      <c r="AH1122" s="959"/>
      <c r="AI1122" s="959"/>
      <c r="AJ1122" s="959"/>
      <c r="AK1122" s="959"/>
      <c r="AL1122" s="959"/>
      <c r="AM1122" s="959"/>
      <c r="AN1122" s="959"/>
      <c r="AO1122" s="959"/>
      <c r="AP1122" s="959"/>
      <c r="AQ1122" s="959"/>
      <c r="AR1122" s="959"/>
      <c r="AS1122" s="959"/>
      <c r="AT1122" s="959"/>
      <c r="AU1122" s="959"/>
      <c r="AV1122" s="959"/>
      <c r="AW1122" s="959"/>
      <c r="AX1122" s="959"/>
      <c r="AY1122" s="959"/>
      <c r="AZ1122" s="959"/>
      <c r="BA1122" s="959"/>
      <c r="BB1122" s="959"/>
      <c r="BC1122" s="959"/>
      <c r="BD1122" s="959"/>
      <c r="BE1122" s="959"/>
      <c r="BF1122" s="959"/>
      <c r="BG1122" s="925"/>
      <c r="BH1122" s="959"/>
      <c r="BI1122" s="959"/>
      <c r="BJ1122" s="959"/>
      <c r="BK1122" s="959"/>
      <c r="BL1122" s="959"/>
      <c r="BM1122" s="959"/>
      <c r="BN1122" s="959"/>
      <c r="BO1122" s="959"/>
      <c r="BP1122" s="926"/>
      <c r="BQ1122" s="959"/>
      <c r="BR1122" s="407"/>
      <c r="BS1122" s="407"/>
      <c r="BT1122" s="407"/>
      <c r="BU1122" s="649"/>
      <c r="BV1122" s="407"/>
      <c r="BW1122" s="407"/>
      <c r="BX1122" s="407"/>
      <c r="BY1122" s="407"/>
      <c r="BZ1122" s="29"/>
      <c r="CA1122" s="649"/>
      <c r="CB1122" s="29"/>
      <c r="CC1122" s="407"/>
      <c r="CD1122" s="407"/>
      <c r="CE1122" s="29"/>
      <c r="CF1122" s="448"/>
      <c r="CG1122" s="29"/>
      <c r="CH1122" s="29"/>
      <c r="CI1122" s="29"/>
      <c r="CJ1122" s="29"/>
      <c r="CK1122" s="2248"/>
      <c r="CL1122" s="29"/>
      <c r="CM1122" s="29"/>
      <c r="CN1122" s="29"/>
      <c r="CO1122" s="29"/>
      <c r="CP1122" s="2248"/>
      <c r="CQ1122" s="29"/>
      <c r="CR1122" s="29"/>
      <c r="CS1122" s="29"/>
      <c r="CT1122" s="2225"/>
      <c r="CU1122" s="1060"/>
      <c r="CV1122" s="29"/>
      <c r="CW1122" s="29"/>
      <c r="CX1122" s="29"/>
      <c r="CY1122" s="2225"/>
      <c r="CZ1122" s="1060"/>
      <c r="DA1122" s="29"/>
      <c r="DB1122" s="29"/>
      <c r="DC1122" s="361"/>
      <c r="DD1122" s="2225"/>
      <c r="DE1122" s="1060"/>
      <c r="DF1122" s="29"/>
      <c r="DG1122" s="361"/>
      <c r="DH1122" s="361"/>
      <c r="DI1122" s="2225"/>
      <c r="DJ1122" s="1060"/>
      <c r="DK1122" s="649"/>
      <c r="DL1122" s="361"/>
      <c r="DM1122" s="29"/>
      <c r="DN1122" s="2225"/>
      <c r="DO1122" s="1060"/>
      <c r="DP1122" s="925"/>
      <c r="DQ1122" s="1917"/>
      <c r="DR1122" s="1917"/>
      <c r="DS1122" s="1917"/>
      <c r="DT1122" s="1060"/>
      <c r="DU1122" s="1741"/>
      <c r="DV1122" s="1741"/>
      <c r="DW1122" s="1741"/>
      <c r="DX1122" s="2870"/>
      <c r="DY1122" s="1060"/>
      <c r="DZ1122" s="1741"/>
      <c r="EA1122" s="1741"/>
      <c r="EB1122" s="1741"/>
      <c r="EC1122" s="3611"/>
      <c r="ED1122" s="1060"/>
      <c r="EE1122" s="1741"/>
      <c r="EF1122" s="1741"/>
      <c r="EG1122" s="1741">
        <v>-0.124</v>
      </c>
      <c r="EH1122" s="1741">
        <v>0.12</v>
      </c>
      <c r="EI1122" s="317"/>
      <c r="EJ1122" s="317">
        <v>0.15</v>
      </c>
      <c r="EK1122" s="317">
        <v>0.15</v>
      </c>
      <c r="EL1122" s="317">
        <v>0.15</v>
      </c>
      <c r="EM1122" s="317">
        <v>0.15</v>
      </c>
      <c r="EN1122" s="317">
        <v>0.15</v>
      </c>
      <c r="EO1122" s="673"/>
      <c r="EP1122" s="673"/>
      <c r="EQ1122" s="673"/>
      <c r="ER1122" s="673"/>
      <c r="ES1122" s="673"/>
      <c r="ET1122" s="673"/>
      <c r="EU1122" s="673"/>
      <c r="EV1122" s="673"/>
      <c r="EW1122" s="673"/>
      <c r="EX1122" s="673"/>
    </row>
    <row r="1123" spans="2:154">
      <c r="B1123" s="454" t="s">
        <v>413</v>
      </c>
      <c r="C1123" s="1577"/>
      <c r="D1123" s="933"/>
      <c r="E1123" s="933"/>
      <c r="F1123" s="933"/>
      <c r="G1123" s="933"/>
      <c r="H1123" s="933"/>
      <c r="I1123" s="926"/>
      <c r="J1123" s="926"/>
      <c r="K1123" s="926"/>
      <c r="L1123" s="926"/>
      <c r="M1123" s="926"/>
      <c r="N1123" s="926"/>
      <c r="O1123" s="926"/>
      <c r="P1123" s="926"/>
      <c r="Q1123" s="926"/>
      <c r="R1123" s="926"/>
      <c r="S1123" s="926"/>
      <c r="T1123" s="926"/>
      <c r="U1123" s="926"/>
      <c r="V1123" s="926"/>
      <c r="W1123" s="926"/>
      <c r="X1123" s="926"/>
      <c r="Y1123" s="926"/>
      <c r="Z1123" s="926"/>
      <c r="AA1123" s="926"/>
      <c r="AB1123" s="926"/>
      <c r="AC1123" s="926"/>
      <c r="AD1123" s="926"/>
      <c r="AE1123" s="926"/>
      <c r="AF1123" s="926"/>
      <c r="AG1123" s="926"/>
      <c r="AH1123" s="926"/>
      <c r="AI1123" s="926"/>
      <c r="AJ1123" s="926"/>
      <c r="AK1123" s="926"/>
      <c r="AL1123" s="926"/>
      <c r="AM1123" s="926"/>
      <c r="AN1123" s="926"/>
      <c r="AO1123" s="926"/>
      <c r="AP1123" s="926"/>
      <c r="AQ1123" s="926"/>
      <c r="AR1123" s="926"/>
      <c r="AS1123" s="926"/>
      <c r="AT1123" s="926"/>
      <c r="AU1123" s="926"/>
      <c r="AV1123" s="926"/>
      <c r="AW1123" s="926"/>
      <c r="AX1123" s="926"/>
      <c r="AY1123" s="926"/>
      <c r="AZ1123" s="926"/>
      <c r="BA1123" s="926"/>
      <c r="BB1123" s="926"/>
      <c r="BC1123" s="926"/>
      <c r="BD1123" s="926"/>
      <c r="BE1123" s="926"/>
      <c r="BF1123" s="926"/>
      <c r="BG1123" s="926"/>
      <c r="BH1123" s="926"/>
      <c r="BI1123" s="926"/>
      <c r="BJ1123" s="926"/>
      <c r="BK1123" s="926"/>
      <c r="BL1123" s="926"/>
      <c r="BM1123" s="926"/>
      <c r="BN1123" s="926"/>
      <c r="BO1123" s="926"/>
      <c r="BP1123" s="926"/>
      <c r="BQ1123" s="926"/>
      <c r="BR1123" s="926"/>
      <c r="BS1123" s="926"/>
      <c r="BT1123" s="926"/>
      <c r="BU1123" s="926"/>
      <c r="BV1123" s="926"/>
      <c r="BW1123" s="926"/>
      <c r="BX1123" s="926"/>
      <c r="BY1123" s="926"/>
      <c r="BZ1123" s="926"/>
      <c r="CA1123" s="926"/>
      <c r="CB1123" s="926"/>
      <c r="CC1123" s="926"/>
      <c r="CD1123" s="926"/>
      <c r="CE1123" s="926"/>
      <c r="CF1123" s="1060"/>
      <c r="CG1123" s="926" t="str">
        <f>IF(CB1117="NM","NM",IF(CG1117="NM","NM",IF(CB1117&lt;=0,"NM",IF(CG1117=0,"NM",IF(ABS(CG1117/CB1117-1)&gt;2.5,"NM",IF((ABS(CG1117-CB1117)=ABS(ABS(CG1117)-ABS(CB1117))),(CG1117/CB1117-1),"NM"))))))</f>
      </c>
      <c r="CH1123" s="926" t="str">
        <f>IF(CC1117="NM","NM",IF(CH1117="NM","NM",IF(CC1117&lt;=0,"NM",IF(CH1117=0,"NM",IF(ABS(CH1117/CC1117-1)&gt;2.5,"NM",IF((ABS(CH1117-CC1117)=ABS(ABS(CH1117)-ABS(CC1117))),(CH1117/CC1117-1),"NM"))))))</f>
      </c>
      <c r="CI1123" s="926" t="str">
        <f>IF(CD1117="NM","NM",IF(CI1117="NM","NM",IF(CD1117&lt;=0,"NM",IF(CI1117=0,"NM",IF(ABS(CI1117/CD1117-1)&gt;2.5,"NM",IF((ABS(CI1117-CD1117)=ABS(ABS(CI1117)-ABS(CD1117))),(CI1117/CD1117-1),"NM"))))))</f>
      </c>
      <c r="CJ1123" s="926" t="str">
        <f>IF(CE1117="NM","NM",IF(CJ1117="NM","NM",IF(CE1117&lt;=0,"NM",IF(CJ1117=0,"NM",IF(ABS(CJ1117/CE1117-1)&gt;2.5,"NM",IF((ABS(CJ1117-CE1117)=ABS(ABS(CJ1117)-ABS(CE1117))),(CJ1117/CE1117-1),"NM"))))))</f>
      </c>
      <c r="CK1123" s="1060"/>
      <c r="CL1123" s="926"/>
      <c r="CM1123" s="926"/>
      <c r="CN1123" s="926"/>
      <c r="CO1123" s="926"/>
      <c r="CP1123" s="1060"/>
      <c r="CQ1123" s="926"/>
      <c r="CR1123" s="926"/>
      <c r="CS1123" s="926"/>
      <c r="CT1123" s="927"/>
      <c r="CU1123" s="1060"/>
      <c r="CV1123" s="926"/>
      <c r="CW1123" s="926"/>
      <c r="CX1123" s="926"/>
      <c r="CY1123" s="927"/>
      <c r="CZ1123" s="1060"/>
      <c r="DA1123" s="926"/>
      <c r="DB1123" s="926"/>
      <c r="DC1123" s="926"/>
      <c r="DD1123" s="927"/>
      <c r="DE1123" s="1060"/>
      <c r="DF1123" s="926"/>
      <c r="DG1123" s="926"/>
      <c r="DH1123" s="926"/>
      <c r="DI1123" s="927"/>
      <c r="DJ1123" s="1060"/>
      <c r="DK1123" s="926" t="str">
        <f t="shared" ref="DK1123:DY1123" si="2355">IF(DF1117=0, "NA", DK1117/DF1117-1)</f>
      </c>
      <c r="DL1123" s="926" t="str">
        <f t="shared" si="2355"/>
      </c>
      <c r="DM1123" s="926" t="str">
        <f t="shared" si="2355"/>
      </c>
      <c r="DN1123" s="927" t="str">
        <f t="shared" si="2355"/>
      </c>
      <c r="DO1123" s="1060">
        <f t="shared" si="2355"/>
      </c>
      <c r="DP1123" s="925">
        <f t="shared" si="2355"/>
      </c>
      <c r="DQ1123" s="925">
        <f t="shared" si="2355"/>
      </c>
      <c r="DR1123" s="925">
        <f t="shared" si="2355"/>
      </c>
      <c r="DS1123" s="925">
        <f t="shared" si="2355"/>
      </c>
      <c r="DT1123" s="1060">
        <f t="shared" si="2355"/>
      </c>
      <c r="DU1123" s="926">
        <f t="shared" si="2355"/>
      </c>
      <c r="DV1123" s="926">
        <f t="shared" si="2355"/>
      </c>
      <c r="DW1123" s="926">
        <f t="shared" si="2355"/>
      </c>
      <c r="DX1123" s="928">
        <f t="shared" si="2355"/>
      </c>
      <c r="DY1123" s="1060">
        <f t="shared" si="2355"/>
      </c>
      <c r="DZ1123" s="926">
        <f>IF(DU1117=0, "NA", DZ1117/DU1117-1)</f>
      </c>
      <c r="EA1123" s="926">
        <f>IF(DV1117=0, "NA", EA1117/DV1117-1)</f>
      </c>
      <c r="EB1123" s="926">
        <f>IF(DW1117=0, "NA", EB1117/DW1117-1)</f>
      </c>
      <c r="EC1123" s="1235">
        <f t="shared" ref="EC1123:EF1123" si="2356">IF(DX1117=0, "NA", EC1117/DX1117-1)</f>
      </c>
      <c r="ED1123" s="1060">
        <f t="shared" si="2356"/>
      </c>
      <c r="EE1123" s="926">
        <f t="shared" si="2356"/>
      </c>
      <c r="EF1123" s="926">
        <f t="shared" si="2356"/>
      </c>
      <c r="EG1123" s="926">
        <f t="shared" ref="EG1123" si="2357">IF(EB1117=0, "NA", EG1117/EB1117-1)</f>
      </c>
      <c r="EH1123" s="926">
        <f>IF(EC1117=0, "NA", EH1117/EC1117-1)</f>
      </c>
      <c r="EI1123" s="1060">
        <f>EI1117/ED1117-1</f>
      </c>
      <c r="EJ1123" s="1060">
        <f t="shared" ref="EJ1123:EN1123" si="2358">EJ1117/EI1117-1</f>
      </c>
      <c r="EK1123" s="928">
        <f t="shared" si="2358"/>
      </c>
      <c r="EL1123" s="928">
        <f t="shared" si="2358"/>
      </c>
      <c r="EM1123" s="928">
        <f t="shared" si="2358"/>
      </c>
      <c r="EN1123" s="928">
        <f t="shared" si="2358"/>
      </c>
      <c r="EO1123" s="1060"/>
      <c r="EP1123" s="1060"/>
      <c r="EQ1123" s="1060"/>
      <c r="ER1123" s="1060"/>
      <c r="ES1123" s="1060"/>
      <c r="ET1123" s="1060"/>
      <c r="EU1123" s="1060"/>
      <c r="EV1123" s="1060"/>
      <c r="EW1123" s="1060"/>
      <c r="EX1123" s="1060"/>
    </row>
    <row r="1124" spans="2:154">
      <c r="B1124" s="454" t="s">
        <v>850</v>
      </c>
      <c r="C1124" s="1577"/>
      <c r="D1124" s="933"/>
      <c r="E1124" s="933"/>
      <c r="F1124" s="933"/>
      <c r="G1124" s="933"/>
      <c r="H1124" s="933"/>
      <c r="I1124" s="926"/>
      <c r="J1124" s="926"/>
      <c r="K1124" s="926"/>
      <c r="L1124" s="926"/>
      <c r="M1124" s="926"/>
      <c r="N1124" s="926"/>
      <c r="O1124" s="926"/>
      <c r="P1124" s="926"/>
      <c r="Q1124" s="926"/>
      <c r="R1124" s="926"/>
      <c r="S1124" s="926"/>
      <c r="T1124" s="926"/>
      <c r="U1124" s="926"/>
      <c r="V1124" s="926"/>
      <c r="W1124" s="926"/>
      <c r="X1124" s="926"/>
      <c r="Y1124" s="926"/>
      <c r="Z1124" s="926"/>
      <c r="AA1124" s="926"/>
      <c r="AB1124" s="926"/>
      <c r="AC1124" s="926"/>
      <c r="AD1124" s="926"/>
      <c r="AE1124" s="926"/>
      <c r="AF1124" s="926"/>
      <c r="AG1124" s="926"/>
      <c r="AH1124" s="926"/>
      <c r="AI1124" s="926"/>
      <c r="AJ1124" s="926"/>
      <c r="AK1124" s="926"/>
      <c r="AL1124" s="926"/>
      <c r="AM1124" s="926"/>
      <c r="AN1124" s="926"/>
      <c r="AO1124" s="926"/>
      <c r="AP1124" s="926"/>
      <c r="AQ1124" s="926"/>
      <c r="AR1124" s="926"/>
      <c r="AS1124" s="926"/>
      <c r="AT1124" s="926"/>
      <c r="AU1124" s="926"/>
      <c r="AV1124" s="926"/>
      <c r="AW1124" s="926"/>
      <c r="AX1124" s="926"/>
      <c r="AY1124" s="926"/>
      <c r="AZ1124" s="926"/>
      <c r="BA1124" s="926"/>
      <c r="BB1124" s="926"/>
      <c r="BC1124" s="926"/>
      <c r="BD1124" s="926"/>
      <c r="BE1124" s="926"/>
      <c r="BF1124" s="926"/>
      <c r="BG1124" s="926"/>
      <c r="BH1124" s="926"/>
      <c r="BI1124" s="926"/>
      <c r="BJ1124" s="926"/>
      <c r="BK1124" s="926"/>
      <c r="BL1124" s="926"/>
      <c r="BM1124" s="926"/>
      <c r="BN1124" s="926"/>
      <c r="BO1124" s="926"/>
      <c r="BP1124" s="926"/>
      <c r="BQ1124" s="926"/>
      <c r="BR1124" s="926"/>
      <c r="BS1124" s="926"/>
      <c r="BT1124" s="926"/>
      <c r="BU1124" s="926"/>
      <c r="BV1124" s="926"/>
      <c r="BW1124" s="926"/>
      <c r="BX1124" s="926"/>
      <c r="BY1124" s="926"/>
      <c r="BZ1124" s="926"/>
      <c r="CA1124" s="926"/>
      <c r="CB1124" s="926"/>
      <c r="CC1124" s="926"/>
      <c r="CD1124" s="926"/>
      <c r="CE1124" s="926"/>
      <c r="CF1124" s="1060"/>
      <c r="CG1124" s="926"/>
      <c r="CH1124" s="926"/>
      <c r="CI1124" s="926"/>
      <c r="CJ1124" s="926"/>
      <c r="CK1124" s="1060"/>
      <c r="CL1124" s="926"/>
      <c r="CM1124" s="926"/>
      <c r="CN1124" s="926"/>
      <c r="CO1124" s="926"/>
      <c r="CP1124" s="1060"/>
      <c r="CQ1124" s="926"/>
      <c r="CR1124" s="926"/>
      <c r="CS1124" s="926"/>
      <c r="CT1124" s="927"/>
      <c r="CU1124" s="1060"/>
      <c r="CV1124" s="926"/>
      <c r="CW1124" s="926"/>
      <c r="CX1124" s="926"/>
      <c r="CY1124" s="927"/>
      <c r="CZ1124" s="1060"/>
      <c r="DA1124" s="926"/>
      <c r="DB1124" s="926"/>
      <c r="DC1124" s="926"/>
      <c r="DD1124" s="927"/>
      <c r="DE1124" s="1060"/>
      <c r="DF1124" s="926"/>
      <c r="DG1124" s="926"/>
      <c r="DH1124" s="926"/>
      <c r="DI1124" s="927"/>
      <c r="DJ1124" s="1060"/>
      <c r="DK1124" s="926"/>
      <c r="DL1124" s="926"/>
      <c r="DM1124" s="926"/>
      <c r="DN1124" s="927"/>
      <c r="DO1124" s="1060"/>
      <c r="DP1124" s="925"/>
      <c r="DQ1124" s="925"/>
      <c r="DR1124" s="925"/>
      <c r="DS1124" s="925"/>
      <c r="DT1124" s="1060"/>
      <c r="DU1124" s="925"/>
      <c r="DV1124" s="925"/>
      <c r="DW1124" s="925"/>
      <c r="DX1124" s="927"/>
      <c r="DY1124" s="1060"/>
      <c r="DZ1124" s="649"/>
      <c r="EA1124" s="649"/>
      <c r="EB1124" s="649"/>
      <c r="EC1124" s="1525"/>
      <c r="ED1124" s="1060"/>
      <c r="EE1124" s="649"/>
      <c r="EF1124" s="649"/>
      <c r="EG1124" s="649">
        <v>0.20899999999999999</v>
      </c>
      <c r="EH1124" s="926">
        <f>(EC1116*EH1122+EC1115*EH1120)/(EC1117)</f>
      </c>
      <c r="EI1124" s="1060">
        <f>(ED1116*EI1122+ED1115*EI1120)/(ED1117)</f>
      </c>
      <c r="EJ1124" s="1060">
        <f t="shared" ref="EJ1124:EN1124" si="2359">(EI1116*EJ1122+EI1115*EJ1120)/(EI1117)</f>
      </c>
      <c r="EK1124" s="928">
        <f t="shared" si="2359"/>
      </c>
      <c r="EL1124" s="928">
        <f t="shared" si="2359"/>
      </c>
      <c r="EM1124" s="928">
        <f t="shared" si="2359"/>
      </c>
      <c r="EN1124" s="928">
        <f t="shared" si="2359"/>
      </c>
      <c r="EO1124" s="1060"/>
      <c r="EP1124" s="1060"/>
      <c r="EQ1124" s="1060"/>
      <c r="ER1124" s="1060"/>
      <c r="ES1124" s="1060"/>
      <c r="ET1124" s="1060"/>
      <c r="EU1124" s="1060"/>
      <c r="EV1124" s="1060"/>
      <c r="EW1124" s="1060"/>
      <c r="EX1124" s="1060"/>
    </row>
    <row r="1125" spans="2:154">
      <c r="B1125" s="344"/>
      <c r="C1125" s="1577"/>
      <c r="D1125" s="933"/>
      <c r="E1125" s="933"/>
      <c r="F1125" s="933"/>
      <c r="G1125" s="933"/>
      <c r="H1125" s="933"/>
      <c r="I1125" s="933"/>
      <c r="J1125" s="933"/>
      <c r="K1125" s="933"/>
      <c r="L1125" s="933"/>
      <c r="M1125" s="933"/>
      <c r="N1125" s="933"/>
      <c r="O1125" s="933"/>
      <c r="P1125" s="933"/>
      <c r="Q1125" s="933"/>
      <c r="R1125" s="933"/>
      <c r="S1125" s="933"/>
      <c r="T1125" s="933"/>
      <c r="U1125" s="933"/>
      <c r="V1125" s="933"/>
      <c r="W1125" s="933"/>
      <c r="X1125" s="933"/>
      <c r="Y1125" s="933"/>
      <c r="Z1125" s="933"/>
      <c r="AA1125" s="933"/>
      <c r="AB1125" s="933"/>
      <c r="AC1125" s="933"/>
      <c r="AD1125" s="933"/>
      <c r="AE1125" s="933"/>
      <c r="AF1125" s="933"/>
      <c r="AG1125" s="933"/>
      <c r="AH1125" s="933"/>
      <c r="AI1125" s="933"/>
      <c r="AJ1125" s="933"/>
      <c r="AK1125" s="933"/>
      <c r="AL1125" s="933"/>
      <c r="AM1125" s="933"/>
      <c r="AN1125" s="933"/>
      <c r="AO1125" s="933"/>
      <c r="AP1125" s="933"/>
      <c r="AQ1125" s="933"/>
      <c r="AR1125" s="933"/>
      <c r="AS1125" s="933"/>
      <c r="AT1125" s="933"/>
      <c r="AU1125" s="933"/>
      <c r="AV1125" s="933"/>
      <c r="AW1125" s="933"/>
      <c r="AX1125" s="933"/>
      <c r="AY1125" s="933"/>
      <c r="AZ1125" s="933"/>
      <c r="BA1125" s="933"/>
      <c r="BB1125" s="933"/>
      <c r="BC1125" s="933"/>
      <c r="BD1125" s="933"/>
      <c r="BE1125" s="933"/>
      <c r="BF1125" s="933"/>
      <c r="BG1125" s="933"/>
      <c r="BH1125" s="933"/>
      <c r="BI1125" s="361"/>
      <c r="BJ1125" s="361"/>
      <c r="BK1125" s="361"/>
      <c r="BL1125" s="959"/>
      <c r="BM1125" s="361"/>
      <c r="BN1125" s="361"/>
      <c r="BO1125" s="361"/>
      <c r="BP1125" s="361"/>
      <c r="BQ1125" s="361"/>
      <c r="BR1125" s="361"/>
      <c r="BS1125" s="361"/>
      <c r="BT1125" s="361"/>
      <c r="BU1125" s="361"/>
      <c r="BV1125" s="361"/>
      <c r="BW1125" s="361"/>
      <c r="BX1125" s="361"/>
      <c r="BY1125" s="361"/>
      <c r="BZ1125" s="361"/>
      <c r="CA1125" s="361"/>
      <c r="CB1125" s="361"/>
      <c r="CC1125" s="361"/>
      <c r="CD1125" s="361"/>
      <c r="CE1125" s="361"/>
      <c r="CF1125" s="316"/>
      <c r="CG1125" s="361"/>
      <c r="CH1125" s="361"/>
      <c r="CI1125" s="361"/>
      <c r="CJ1125" s="361"/>
      <c r="CK1125" s="316"/>
      <c r="CL1125" s="361"/>
      <c r="CM1125" s="361"/>
      <c r="CN1125" s="361"/>
      <c r="CO1125" s="361"/>
      <c r="CP1125" s="316"/>
      <c r="CQ1125" s="361"/>
      <c r="CR1125" s="361"/>
      <c r="CS1125" s="361"/>
      <c r="CT1125" s="835"/>
      <c r="CU1125" s="316"/>
      <c r="CV1125" s="361"/>
      <c r="CW1125" s="361"/>
      <c r="CX1125" s="361"/>
      <c r="CY1125" s="835"/>
      <c r="CZ1125" s="316"/>
      <c r="DA1125" s="361"/>
      <c r="DB1125" s="361"/>
      <c r="DC1125" s="361"/>
      <c r="DD1125" s="835"/>
      <c r="DE1125" s="316"/>
      <c r="DF1125" s="361"/>
      <c r="DG1125" s="361"/>
      <c r="DH1125" s="361"/>
      <c r="DI1125" s="835"/>
      <c r="DJ1125" s="316"/>
      <c r="DK1125" s="361"/>
      <c r="DL1125" s="361"/>
      <c r="DM1125" s="361"/>
      <c r="DN1125" s="835"/>
      <c r="DO1125" s="316"/>
      <c r="DP1125" s="361"/>
      <c r="DQ1125" s="361"/>
      <c r="DR1125" s="361"/>
      <c r="DS1125" s="361"/>
      <c r="DT1125" s="316"/>
      <c r="DU1125" s="361"/>
      <c r="DV1125" s="361"/>
      <c r="DW1125" s="361"/>
      <c r="DX1125" s="835"/>
      <c r="DY1125" s="316"/>
      <c r="DZ1125" s="361"/>
      <c r="EA1125" s="361"/>
      <c r="EB1125" s="361"/>
      <c r="EC1125" s="1237"/>
      <c r="ED1125" s="316"/>
      <c r="EE1125" s="361"/>
      <c r="EF1125" s="361"/>
      <c r="EG1125" s="361"/>
      <c r="EH1125" s="361"/>
      <c r="EI1125" s="316"/>
      <c r="EJ1125" s="316"/>
      <c r="EK1125" s="316"/>
      <c r="EL1125" s="316"/>
      <c r="EM1125" s="316"/>
      <c r="EN1125" s="316"/>
      <c r="EO1125" s="316"/>
      <c r="EP1125" s="316"/>
      <c r="EQ1125" s="316"/>
      <c r="ER1125" s="316"/>
      <c r="ES1125" s="316"/>
      <c r="ET1125" s="316"/>
      <c r="EU1125" s="316"/>
      <c r="EV1125" s="316"/>
      <c r="EW1125" s="316"/>
      <c r="EX1125" s="316"/>
    </row>
    <row r="1126" spans="2:154">
      <c r="B1126" s="2239" t="s">
        <v>817</v>
      </c>
      <c r="C1126" s="2019"/>
      <c r="D1126" s="2976"/>
      <c r="E1126" s="2976"/>
      <c r="F1126" s="2976"/>
      <c r="G1126" s="2976"/>
      <c r="H1126" s="2976"/>
      <c r="I1126" s="2977"/>
      <c r="J1126" s="2976"/>
      <c r="K1126" s="2976"/>
      <c r="L1126" s="2976"/>
      <c r="M1126" s="2976"/>
      <c r="N1126" s="2977"/>
      <c r="O1126" s="2977"/>
      <c r="P1126" s="2977"/>
      <c r="Q1126" s="2977"/>
      <c r="R1126" s="2977"/>
      <c r="S1126" s="2978"/>
      <c r="T1126" s="2977"/>
      <c r="U1126" s="2977"/>
      <c r="V1126" s="2977"/>
      <c r="W1126" s="2977"/>
      <c r="X1126" s="2240"/>
      <c r="Y1126" s="2977"/>
      <c r="Z1126" s="2977"/>
      <c r="AA1126" s="2977"/>
      <c r="AB1126" s="2977"/>
      <c r="AC1126" s="2240"/>
      <c r="AD1126" s="2977"/>
      <c r="AE1126" s="2977"/>
      <c r="AF1126" s="2977"/>
      <c r="AG1126" s="2977"/>
      <c r="AH1126" s="2240"/>
      <c r="AI1126" s="2976"/>
      <c r="AJ1126" s="2976"/>
      <c r="AK1126" s="2976"/>
      <c r="AL1126" s="2977"/>
      <c r="AM1126" s="2240"/>
      <c r="AN1126" s="2976"/>
      <c r="AO1126" s="2976"/>
      <c r="AP1126" s="2976"/>
      <c r="AQ1126" s="2977"/>
      <c r="AR1126" s="2240"/>
      <c r="AS1126" s="2976"/>
      <c r="AT1126" s="2976"/>
      <c r="AU1126" s="2976"/>
      <c r="AV1126" s="2977"/>
      <c r="AW1126" s="2240"/>
      <c r="AX1126" s="2976"/>
      <c r="AY1126" s="2976"/>
      <c r="AZ1126" s="2976"/>
      <c r="BA1126" s="2976"/>
      <c r="BB1126" s="2240"/>
      <c r="BC1126" s="2976"/>
      <c r="BD1126" s="2976"/>
      <c r="BE1126" s="2976"/>
      <c r="BF1126" s="2976"/>
      <c r="BG1126" s="2240"/>
      <c r="BH1126" s="2976"/>
      <c r="BI1126" s="2976"/>
      <c r="BJ1126" s="2976"/>
      <c r="BK1126" s="2976"/>
      <c r="BL1126" s="2240"/>
      <c r="BM1126" s="2976"/>
      <c r="BN1126" s="2976"/>
      <c r="BO1126" s="2976"/>
      <c r="BP1126" s="2976"/>
      <c r="BQ1126" s="2240"/>
      <c r="BR1126" s="2976"/>
      <c r="BS1126" s="2976"/>
      <c r="BT1126" s="2976"/>
      <c r="BU1126" s="2976"/>
      <c r="BV1126" s="2240"/>
      <c r="BW1126" s="2976"/>
      <c r="BX1126" s="2976"/>
      <c r="BY1126" s="2976"/>
      <c r="BZ1126" s="2976"/>
      <c r="CA1126" s="2240"/>
      <c r="CB1126" s="2976"/>
      <c r="CC1126" s="2976"/>
      <c r="CD1126" s="2976"/>
      <c r="CE1126" s="2976"/>
      <c r="CF1126" s="2240"/>
      <c r="CG1126" s="2976"/>
      <c r="CH1126" s="2976"/>
      <c r="CI1126" s="2976"/>
      <c r="CJ1126" s="2976"/>
      <c r="CK1126" s="2240"/>
      <c r="CL1126" s="3031"/>
      <c r="CM1126" s="2976"/>
      <c r="CN1126" s="2976"/>
      <c r="CO1126" s="2976"/>
      <c r="CP1126" s="2240"/>
      <c r="CQ1126" s="2976"/>
      <c r="CR1126" s="2976"/>
      <c r="CS1126" s="2976"/>
      <c r="CT1126" s="2976"/>
      <c r="CU1126" s="2240"/>
      <c r="CV1126" s="2976"/>
      <c r="CW1126" s="2976"/>
      <c r="CX1126" s="2976"/>
      <c r="CY1126" s="2976"/>
      <c r="CZ1126" s="2240"/>
      <c r="DA1126" s="2357"/>
      <c r="DB1126" s="3028"/>
      <c r="DC1126" s="3028"/>
      <c r="DD1126" s="2358"/>
      <c r="DE1126" s="2208"/>
      <c r="DF1126" s="2194"/>
      <c r="DG1126" s="2957"/>
      <c r="DH1126" s="2957"/>
      <c r="DI1126" s="2128"/>
      <c r="DJ1126" s="2208"/>
      <c r="DK1126" s="2194"/>
      <c r="DL1126" s="2957"/>
      <c r="DM1126" s="2957"/>
      <c r="DN1126" s="2128"/>
      <c r="DO1126" s="2208"/>
      <c r="DP1126" s="2957"/>
      <c r="DQ1126" s="2957"/>
      <c r="DR1126" s="2957"/>
      <c r="DS1126" s="2957"/>
      <c r="DT1126" s="2205"/>
      <c r="DU1126" s="2957"/>
      <c r="DV1126" s="2957"/>
      <c r="DW1126" s="2957"/>
      <c r="DX1126" s="2128"/>
      <c r="DY1126" s="2205"/>
      <c r="DZ1126" s="2194"/>
      <c r="EA1126" s="2957"/>
      <c r="EB1126" s="2957"/>
      <c r="EC1126" s="2957"/>
      <c r="ED1126" s="2205"/>
      <c r="EE1126" s="2194"/>
      <c r="EF1126" s="2957"/>
      <c r="EG1126" s="2957"/>
      <c r="EH1126" s="2957"/>
      <c r="EI1126" s="1828"/>
      <c r="EJ1126" s="2133"/>
      <c r="EK1126" s="2205"/>
      <c r="EL1126" s="2205"/>
      <c r="EM1126" s="2205"/>
      <c r="EN1126" s="2205"/>
      <c r="EO1126" s="2133"/>
      <c r="EP1126" s="2133"/>
      <c r="EQ1126" s="2133"/>
      <c r="ER1126" s="2133"/>
      <c r="ES1126" s="2133"/>
      <c r="ET1126" s="2133"/>
      <c r="EU1126" s="2133"/>
      <c r="EV1126" s="2133"/>
      <c r="EW1126" s="2133"/>
      <c r="EX1126" s="2133"/>
    </row>
    <row r="1127" spans="2:154">
      <c r="B1127" s="334" t="s">
        <v>187</v>
      </c>
      <c r="C1127" s="1577"/>
      <c r="D1127" s="933">
        <f>+D1188+D1155+D1144</f>
      </c>
      <c r="E1127" s="933">
        <f t="shared" ref="E1127:H1128" si="2360">+E1188+E1144</f>
      </c>
      <c r="F1127" s="933">
        <f t="shared" si="2360"/>
      </c>
      <c r="G1127" s="933">
        <f t="shared" si="2360"/>
      </c>
      <c r="H1127" s="933">
        <f t="shared" si="2360"/>
      </c>
      <c r="I1127" s="933">
        <f>+I1188+I1155+I1144</f>
      </c>
      <c r="J1127" s="933">
        <f t="shared" ref="J1127:M1128" si="2361">+J1188+J1144</f>
      </c>
      <c r="K1127" s="933">
        <f t="shared" si="2361"/>
      </c>
      <c r="L1127" s="933">
        <f t="shared" si="2361"/>
      </c>
      <c r="M1127" s="933">
        <f t="shared" si="2361"/>
      </c>
      <c r="N1127" s="933">
        <f>+N1188+N1155+N1144</f>
      </c>
      <c r="O1127" s="933">
        <f t="shared" ref="O1127:R1128" si="2362">+O1188+O1144</f>
      </c>
      <c r="P1127" s="933">
        <f t="shared" si="2362"/>
      </c>
      <c r="Q1127" s="933">
        <f t="shared" si="2362"/>
      </c>
      <c r="R1127" s="933">
        <f t="shared" si="2362"/>
      </c>
      <c r="S1127" s="933">
        <f>+S1188+S1155+S1144</f>
      </c>
      <c r="T1127" s="710"/>
      <c r="U1127" s="710"/>
      <c r="V1127" s="710"/>
      <c r="W1127" s="710"/>
      <c r="X1127" s="1866">
        <f>SUM(T1127:W1127)</f>
      </c>
      <c r="Y1127" s="710"/>
      <c r="Z1127" s="710"/>
      <c r="AA1127" s="710"/>
      <c r="AB1127" s="710"/>
      <c r="AC1127" s="1866">
        <f>SUM(Y1127:AB1127)</f>
      </c>
      <c r="AD1127" s="710"/>
      <c r="AE1127" s="710"/>
      <c r="AF1127" s="710"/>
      <c r="AG1127" s="710"/>
      <c r="AH1127" s="1866">
        <f>SUM(AD1127:AG1127)</f>
      </c>
      <c r="AI1127" s="710"/>
      <c r="AJ1127" s="710"/>
      <c r="AK1127" s="710"/>
      <c r="AL1127" s="710"/>
      <c r="AM1127" s="1866">
        <f>SUM(AI1127:AL1127)</f>
      </c>
      <c r="AN1127" s="710"/>
      <c r="AO1127" s="710"/>
      <c r="AP1127" s="710"/>
      <c r="AQ1127" s="710"/>
      <c r="AR1127" s="1866">
        <f>SUM(AN1127:AQ1127)</f>
      </c>
      <c r="AS1127" s="710"/>
      <c r="AT1127" s="710"/>
      <c r="AU1127" s="710"/>
      <c r="AV1127" s="710"/>
      <c r="AW1127" s="1866">
        <f>SUM(AS1127:AV1127)</f>
      </c>
      <c r="AX1127" s="710"/>
      <c r="AY1127" s="710"/>
      <c r="AZ1127" s="710"/>
      <c r="BA1127" s="710"/>
      <c r="BB1127" s="1866">
        <f>SUM(AX1127:BA1127)</f>
      </c>
      <c r="BC1127" s="710"/>
      <c r="BD1127" s="710"/>
      <c r="BE1127" s="710"/>
      <c r="BF1127" s="710"/>
      <c r="BG1127" s="1866">
        <f>SUM(BC1127:BF1127)</f>
      </c>
      <c r="BH1127" s="710"/>
      <c r="BI1127" s="710"/>
      <c r="BJ1127" s="710"/>
      <c r="BK1127" s="710"/>
      <c r="BL1127" s="1866">
        <f>SUM(BH1127:BK1127)</f>
      </c>
      <c r="BM1127" s="710"/>
      <c r="BN1127" s="710"/>
      <c r="BO1127" s="710"/>
      <c r="BP1127" s="710"/>
      <c r="BQ1127" s="1866">
        <f>SUM(BM1127:BP1127)</f>
      </c>
      <c r="BR1127" s="710"/>
      <c r="BS1127" s="710"/>
      <c r="BT1127" s="710"/>
      <c r="BU1127" s="710"/>
      <c r="BV1127" s="3033">
        <f>SUM(BR1127:BU1127)</f>
      </c>
      <c r="BW1127" s="3034"/>
      <c r="BX1127" s="3034"/>
      <c r="BY1127" s="3034"/>
      <c r="BZ1127" s="3034"/>
      <c r="CA1127" s="3033">
        <f>SUM(BW1127:BZ1127)</f>
      </c>
      <c r="CB1127" s="3034"/>
      <c r="CC1127" s="3034"/>
      <c r="CD1127" s="3034"/>
      <c r="CE1127" s="3034"/>
      <c r="CF1127" s="3033"/>
      <c r="CG1127" s="3034"/>
      <c r="CH1127" s="3034"/>
      <c r="CI1127" s="3034"/>
      <c r="CJ1127" s="3034"/>
      <c r="CK1127" s="3033"/>
      <c r="CL1127" s="3034"/>
      <c r="CM1127" s="3034"/>
      <c r="CN1127" s="3034"/>
      <c r="CO1127" s="3034"/>
      <c r="CP1127" s="3033"/>
      <c r="CQ1127" s="3034"/>
      <c r="CR1127" s="3034"/>
      <c r="CS1127" s="3034"/>
      <c r="CT1127" s="3034"/>
      <c r="CU1127" s="3033"/>
      <c r="CV1127" s="3034"/>
      <c r="CW1127" s="3034"/>
      <c r="CX1127" s="3034"/>
      <c r="CY1127" s="3034"/>
      <c r="CZ1127" s="3033"/>
      <c r="DA1127" s="3034"/>
      <c r="DB1127" s="3034"/>
      <c r="DC1127" s="3034"/>
      <c r="DD1127" s="3034"/>
      <c r="DE1127" s="3033"/>
      <c r="DF1127" s="3034"/>
      <c r="DG1127" s="3034"/>
      <c r="DH1127" s="3034"/>
      <c r="DI1127" s="3034"/>
      <c r="DJ1127" s="2968"/>
      <c r="DK1127" s="2985"/>
      <c r="DL1127" s="2985"/>
      <c r="DM1127" s="2985"/>
      <c r="DN1127" s="2985"/>
      <c r="DO1127" s="2967">
        <v>106</v>
      </c>
      <c r="DP1127" s="710">
        <v>24.3</v>
      </c>
      <c r="DQ1127" s="710">
        <v>26</v>
      </c>
      <c r="DR1127" s="710">
        <v>27</v>
      </c>
      <c r="DS1127" s="710">
        <v>25</v>
      </c>
      <c r="DT1127" s="2060">
        <f>SUM(DP1127:DS1127)</f>
      </c>
      <c r="DU1127" s="710">
        <v>28</v>
      </c>
      <c r="DV1127" s="710">
        <v>26.2</v>
      </c>
      <c r="DW1127" s="710">
        <v>26</v>
      </c>
      <c r="DX1127" s="1839">
        <v>27.6</v>
      </c>
      <c r="DY1127" s="2060">
        <f>SUM(DU1127:DX1127)</f>
      </c>
      <c r="DZ1127" s="1876">
        <v>30</v>
      </c>
      <c r="EA1127" s="710">
        <v>29.49</v>
      </c>
      <c r="EB1127" s="710">
        <v>30</v>
      </c>
      <c r="EC1127" s="1552">
        <v>31</v>
      </c>
      <c r="ED1127" s="2060">
        <f>SUM(DZ1127:EC1127)</f>
      </c>
      <c r="EE1127" s="1876">
        <v>32</v>
      </c>
      <c r="EF1127" s="710">
        <v>31</v>
      </c>
      <c r="EG1127" s="710">
        <v>30</v>
      </c>
      <c r="EH1127" s="1542">
        <f>EI1127-SUM(EE1127:EG1127)</f>
      </c>
      <c r="EI1127" s="1835">
        <f>+ED1127*(1+EI1132)</f>
      </c>
      <c r="EJ1127" s="1313">
        <f t="shared" ref="EJ1127:EN1128" si="2363">EI1127*(1+EJ1132)</f>
      </c>
      <c r="EK1127" s="2060">
        <f t="shared" si="2363"/>
      </c>
      <c r="EL1127" s="2060">
        <f t="shared" si="2363"/>
      </c>
      <c r="EM1127" s="2060">
        <f t="shared" si="2363"/>
      </c>
      <c r="EN1127" s="2060">
        <f t="shared" si="2363"/>
      </c>
      <c r="EO1127" s="2060"/>
      <c r="EP1127" s="2060"/>
      <c r="EQ1127" s="2060"/>
      <c r="ER1127" s="2060"/>
      <c r="ES1127" s="2060"/>
      <c r="ET1127" s="2060"/>
      <c r="EU1127" s="2060"/>
      <c r="EV1127" s="2060"/>
      <c r="EW1127" s="2060"/>
      <c r="EX1127" s="2060"/>
    </row>
    <row r="1128" spans="2:154">
      <c r="B1128" s="334" t="s">
        <v>412</v>
      </c>
      <c r="C1128" s="1577"/>
      <c r="D1128" s="933">
        <f>+D1189+D1156+D1145</f>
      </c>
      <c r="E1128" s="933">
        <f t="shared" si="2360"/>
      </c>
      <c r="F1128" s="933">
        <f t="shared" si="2360"/>
      </c>
      <c r="G1128" s="933">
        <f t="shared" si="2360"/>
      </c>
      <c r="H1128" s="933">
        <f t="shared" si="2360"/>
      </c>
      <c r="I1128" s="933">
        <f>+I1189+I1156+I1145</f>
      </c>
      <c r="J1128" s="933">
        <f t="shared" si="2361"/>
      </c>
      <c r="K1128" s="933">
        <f t="shared" si="2361"/>
      </c>
      <c r="L1128" s="933">
        <f t="shared" si="2361"/>
      </c>
      <c r="M1128" s="933">
        <f t="shared" si="2361"/>
      </c>
      <c r="N1128" s="933">
        <f>+N1189+N1156+N1145</f>
      </c>
      <c r="O1128" s="933">
        <f t="shared" si="2362"/>
      </c>
      <c r="P1128" s="933">
        <f t="shared" si="2362"/>
      </c>
      <c r="Q1128" s="933">
        <f t="shared" si="2362"/>
      </c>
      <c r="R1128" s="933">
        <f t="shared" si="2362"/>
      </c>
      <c r="S1128" s="933">
        <f>+S1189+S1156+S1145</f>
      </c>
      <c r="T1128" s="710"/>
      <c r="U1128" s="710"/>
      <c r="V1128" s="710"/>
      <c r="W1128" s="710"/>
      <c r="X1128" s="1866">
        <f>SUM(T1128:W1128)</f>
      </c>
      <c r="Y1128" s="710"/>
      <c r="Z1128" s="710"/>
      <c r="AA1128" s="710"/>
      <c r="AB1128" s="710"/>
      <c r="AC1128" s="1866">
        <f>SUM(Y1128:AB1128)</f>
      </c>
      <c r="AD1128" s="710"/>
      <c r="AE1128" s="710"/>
      <c r="AF1128" s="710"/>
      <c r="AG1128" s="710"/>
      <c r="AH1128" s="1866">
        <f>SUM(AD1128:AG1128)</f>
      </c>
      <c r="AI1128" s="710"/>
      <c r="AJ1128" s="710"/>
      <c r="AK1128" s="710"/>
      <c r="AL1128" s="710"/>
      <c r="AM1128" s="1866">
        <f>SUM(AI1128:AL1128)</f>
      </c>
      <c r="AN1128" s="710"/>
      <c r="AO1128" s="710"/>
      <c r="AP1128" s="710"/>
      <c r="AQ1128" s="710"/>
      <c r="AR1128" s="1866">
        <f>SUM(AN1128:AQ1128)</f>
      </c>
      <c r="AS1128" s="710"/>
      <c r="AT1128" s="710"/>
      <c r="AU1128" s="710"/>
      <c r="AV1128" s="710"/>
      <c r="AW1128" s="1866">
        <f>SUM(AS1128:AV1128)</f>
      </c>
      <c r="AX1128" s="710"/>
      <c r="AY1128" s="710"/>
      <c r="AZ1128" s="710"/>
      <c r="BA1128" s="710"/>
      <c r="BB1128" s="1866">
        <f>SUM(AX1128:BA1128)</f>
      </c>
      <c r="BC1128" s="710"/>
      <c r="BD1128" s="710"/>
      <c r="BE1128" s="710"/>
      <c r="BF1128" s="710"/>
      <c r="BG1128" s="1866">
        <f>SUM(BC1128:BF1128)</f>
      </c>
      <c r="BH1128" s="710"/>
      <c r="BI1128" s="710"/>
      <c r="BJ1128" s="710"/>
      <c r="BK1128" s="710"/>
      <c r="BL1128" s="1866">
        <f>SUM(BH1128:BK1128)</f>
      </c>
      <c r="BM1128" s="710"/>
      <c r="BN1128" s="710"/>
      <c r="BO1128" s="710"/>
      <c r="BP1128" s="710"/>
      <c r="BQ1128" s="1866">
        <f>SUM(BM1128:BP1128)</f>
      </c>
      <c r="BR1128" s="710"/>
      <c r="BS1128" s="710"/>
      <c r="BT1128" s="710"/>
      <c r="BU1128" s="710"/>
      <c r="BV1128" s="3033">
        <f>SUM(BR1128:BU1128)</f>
      </c>
      <c r="BW1128" s="3034"/>
      <c r="BX1128" s="3034"/>
      <c r="BY1128" s="3034"/>
      <c r="BZ1128" s="3034"/>
      <c r="CA1128" s="3033">
        <f>SUM(BW1128:BZ1128)</f>
      </c>
      <c r="CB1128" s="3034"/>
      <c r="CC1128" s="3034"/>
      <c r="CD1128" s="3034"/>
      <c r="CE1128" s="3034"/>
      <c r="CF1128" s="3033"/>
      <c r="CG1128" s="3034"/>
      <c r="CH1128" s="3034"/>
      <c r="CI1128" s="3034"/>
      <c r="CJ1128" s="3034"/>
      <c r="CK1128" s="3033"/>
      <c r="CL1128" s="3034"/>
      <c r="CM1128" s="3034"/>
      <c r="CN1128" s="3034"/>
      <c r="CO1128" s="3034"/>
      <c r="CP1128" s="3033"/>
      <c r="CQ1128" s="3034"/>
      <c r="CR1128" s="3034"/>
      <c r="CS1128" s="3034"/>
      <c r="CT1128" s="3034"/>
      <c r="CU1128" s="3033"/>
      <c r="CV1128" s="3034"/>
      <c r="CW1128" s="3034"/>
      <c r="CX1128" s="3034"/>
      <c r="CY1128" s="3034"/>
      <c r="CZ1128" s="3033"/>
      <c r="DA1128" s="3034"/>
      <c r="DB1128" s="3034"/>
      <c r="DC1128" s="3034"/>
      <c r="DD1128" s="3034"/>
      <c r="DE1128" s="3033"/>
      <c r="DF1128" s="3034"/>
      <c r="DG1128" s="3034"/>
      <c r="DH1128" s="3034"/>
      <c r="DI1128" s="3034"/>
      <c r="DJ1128" s="2968"/>
      <c r="DK1128" s="2985"/>
      <c r="DL1128" s="2985"/>
      <c r="DM1128" s="2985"/>
      <c r="DN1128" s="2985"/>
      <c r="DO1128" s="2967">
        <v>242</v>
      </c>
      <c r="DP1128" s="710">
        <v>65.3</v>
      </c>
      <c r="DQ1128" s="710">
        <v>56</v>
      </c>
      <c r="DR1128" s="710">
        <v>60</v>
      </c>
      <c r="DS1128" s="710">
        <v>48</v>
      </c>
      <c r="DT1128" s="2060">
        <f>SUM(DP1128:DS1128)</f>
      </c>
      <c r="DU1128" s="710">
        <v>58</v>
      </c>
      <c r="DV1128" s="710">
        <v>67.900000000000006</v>
      </c>
      <c r="DW1128" s="710">
        <v>61</v>
      </c>
      <c r="DX1128" s="1839">
        <v>60.9</v>
      </c>
      <c r="DY1128" s="2060">
        <f>SUM(DU1128:DX1128)</f>
      </c>
      <c r="DZ1128" s="710">
        <v>62</v>
      </c>
      <c r="EA1128" s="710">
        <v>64</v>
      </c>
      <c r="EB1128" s="710">
        <v>66</v>
      </c>
      <c r="EC1128" s="1552">
        <v>68</v>
      </c>
      <c r="ED1128" s="2060">
        <f>SUM(DZ1128:EC1128)</f>
      </c>
      <c r="EE1128" s="710">
        <v>72</v>
      </c>
      <c r="EF1128" s="710">
        <v>72</v>
      </c>
      <c r="EG1128" s="710">
        <v>65</v>
      </c>
      <c r="EH1128" s="1542">
        <f>EI1128-SUM(EE1128:EG1128)</f>
      </c>
      <c r="EI1128" s="1835">
        <f>+ED1128*(1+EI1133)</f>
      </c>
      <c r="EJ1128" s="2060">
        <f t="shared" si="2363"/>
      </c>
      <c r="EK1128" s="2060">
        <f t="shared" si="2363"/>
      </c>
      <c r="EL1128" s="2060">
        <f t="shared" si="2363"/>
      </c>
      <c r="EM1128" s="2060">
        <f t="shared" si="2363"/>
      </c>
      <c r="EN1128" s="2060">
        <f t="shared" si="2363"/>
      </c>
      <c r="EO1128" s="2060"/>
      <c r="EP1128" s="2060"/>
      <c r="EQ1128" s="2060"/>
      <c r="ER1128" s="2060"/>
      <c r="ES1128" s="2060"/>
      <c r="ET1128" s="2060"/>
      <c r="EU1128" s="2060"/>
      <c r="EV1128" s="2060"/>
      <c r="EW1128" s="2060"/>
      <c r="EX1128" s="2060"/>
    </row>
    <row r="1129" spans="2:154">
      <c r="B1129" s="334" t="s">
        <v>413</v>
      </c>
      <c r="C1129" s="1577"/>
      <c r="D1129" s="933">
        <f t="shared" ref="D1129:W1129" si="2364">SUM(D1127:D1128)</f>
      </c>
      <c r="E1129" s="933">
        <f t="shared" si="2364"/>
      </c>
      <c r="F1129" s="933">
        <f t="shared" si="2364"/>
      </c>
      <c r="G1129" s="933">
        <f t="shared" si="2364"/>
      </c>
      <c r="H1129" s="933">
        <f t="shared" si="2364"/>
      </c>
      <c r="I1129" s="933">
        <f t="shared" si="2364"/>
      </c>
      <c r="J1129" s="933">
        <f t="shared" si="2364"/>
      </c>
      <c r="K1129" s="933">
        <f t="shared" si="2364"/>
      </c>
      <c r="L1129" s="933">
        <f t="shared" si="2364"/>
      </c>
      <c r="M1129" s="933">
        <f t="shared" si="2364"/>
      </c>
      <c r="N1129" s="933">
        <f t="shared" si="2364"/>
      </c>
      <c r="O1129" s="933">
        <f t="shared" si="2364"/>
      </c>
      <c r="P1129" s="933">
        <f t="shared" si="2364"/>
      </c>
      <c r="Q1129" s="933">
        <f t="shared" si="2364"/>
      </c>
      <c r="R1129" s="933">
        <f t="shared" si="2364"/>
      </c>
      <c r="S1129" s="933">
        <f t="shared" si="2364"/>
      </c>
      <c r="T1129" s="1542">
        <f t="shared" si="2364"/>
      </c>
      <c r="U1129" s="1542">
        <f t="shared" si="2364"/>
      </c>
      <c r="V1129" s="1542">
        <f t="shared" si="2364"/>
      </c>
      <c r="W1129" s="1542">
        <f t="shared" si="2364"/>
      </c>
      <c r="X1129" s="1866">
        <f>SUM(T1129:W1129)</f>
      </c>
      <c r="Y1129" s="1542">
        <f>SUM(Y1127:Y1128)</f>
      </c>
      <c r="Z1129" s="1542">
        <f>SUM(Z1127:Z1128)</f>
      </c>
      <c r="AA1129" s="1542">
        <f>SUM(AA1127:AA1128)</f>
      </c>
      <c r="AB1129" s="1542">
        <f>SUM(AB1127:AB1128)</f>
      </c>
      <c r="AC1129" s="1866">
        <f>SUM(Y1129:AB1129)</f>
      </c>
      <c r="AD1129" s="1542">
        <f>SUM(AD1127:AD1128)</f>
      </c>
      <c r="AE1129" s="1542">
        <f>SUM(AE1127:AE1128)</f>
      </c>
      <c r="AF1129" s="1542">
        <f>SUM(AF1127:AF1128)</f>
      </c>
      <c r="AG1129" s="1542">
        <f>SUM(AG1127:AG1128)</f>
      </c>
      <c r="AH1129" s="1866">
        <f>SUM(AD1129:AG1129)</f>
      </c>
      <c r="AI1129" s="1542">
        <f>SUM(AI1127:AI1128)</f>
      </c>
      <c r="AJ1129" s="1542">
        <f>SUM(AJ1127:AJ1128)</f>
      </c>
      <c r="AK1129" s="1542">
        <f>SUM(AK1127:AK1128)</f>
      </c>
      <c r="AL1129" s="1542">
        <f>SUM(AL1127:AL1128)</f>
      </c>
      <c r="AM1129" s="1866">
        <f>SUM(AI1129:AL1129)</f>
      </c>
      <c r="AN1129" s="1542">
        <f>SUM(AN1127:AN1128)</f>
      </c>
      <c r="AO1129" s="1542">
        <f>SUM(AO1127:AO1128)</f>
      </c>
      <c r="AP1129" s="1542">
        <f>SUM(AP1127:AP1128)</f>
      </c>
      <c r="AQ1129" s="1542">
        <f>SUM(AQ1127:AQ1128)</f>
      </c>
      <c r="AR1129" s="1866">
        <f>SUM(AN1129:AQ1129)</f>
      </c>
      <c r="AS1129" s="1542">
        <f>SUM(AS1127:AS1128)</f>
      </c>
      <c r="AT1129" s="1542">
        <f>SUM(AT1127:AT1128)</f>
      </c>
      <c r="AU1129" s="1542">
        <f>SUM(AU1127:AU1128)</f>
      </c>
      <c r="AV1129" s="1542">
        <f>SUM(AV1127:AV1128)</f>
      </c>
      <c r="AW1129" s="1866">
        <f>SUM(AS1129:AV1129)</f>
      </c>
      <c r="AX1129" s="1542">
        <f>SUM(AX1127:AX1128)</f>
      </c>
      <c r="AY1129" s="1542">
        <f>SUM(AY1127:AY1128)</f>
      </c>
      <c r="AZ1129" s="1542">
        <f>SUM(AZ1127:AZ1128)</f>
      </c>
      <c r="BA1129" s="1542">
        <f>SUM(BA1127:BA1128)</f>
      </c>
      <c r="BB1129" s="1866">
        <f>SUM(AX1129:BA1129)</f>
      </c>
      <c r="BC1129" s="1542">
        <f>SUM(BC1127:BC1128)</f>
      </c>
      <c r="BD1129" s="1542">
        <f>SUM(BD1127:BD1128)</f>
      </c>
      <c r="BE1129" s="1542">
        <f>SUM(BE1127:BE1128)</f>
      </c>
      <c r="BF1129" s="1542">
        <f>SUM(BF1127:BF1128)</f>
      </c>
      <c r="BG1129" s="1866">
        <f>SUM(BC1129:BF1129)</f>
      </c>
      <c r="BH1129" s="1542">
        <f>SUM(BH1127:BH1128)</f>
      </c>
      <c r="BI1129" s="1542">
        <f>SUM(BI1127:BI1128)</f>
      </c>
      <c r="BJ1129" s="1542">
        <f>SUM(BJ1127:BJ1128)</f>
      </c>
      <c r="BK1129" s="1542">
        <f>SUM(BK1127:BK1128)</f>
      </c>
      <c r="BL1129" s="1866">
        <f>SUM(BH1129:BK1129)</f>
      </c>
      <c r="BM1129" s="1542">
        <f>SUM(BM1127:BM1128)</f>
      </c>
      <c r="BN1129" s="1542">
        <f>SUM(BN1127:BN1128)</f>
      </c>
      <c r="BO1129" s="1542">
        <f>SUM(BO1127:BO1128)</f>
      </c>
      <c r="BP1129" s="1542">
        <f>SUM(BP1127:BP1128)</f>
      </c>
      <c r="BQ1129" s="1866">
        <f>SUM(BM1129:BP1129)</f>
      </c>
      <c r="BR1129" s="1542">
        <f>SUM(BR1127:BR1128)</f>
      </c>
      <c r="BS1129" s="1542">
        <f>SUM(BS1127:BS1128)</f>
      </c>
      <c r="BT1129" s="1542">
        <f>SUM(BT1127:BT1128)</f>
      </c>
      <c r="BU1129" s="1542">
        <f>SUM(BU1127:BU1128)</f>
      </c>
      <c r="BV1129" s="3033">
        <f>SUM(BR1129:BU1129)</f>
      </c>
      <c r="BW1129" s="3035">
        <f>SUM(BW1127:BW1128)</f>
      </c>
      <c r="BX1129" s="3035">
        <f>SUM(BX1127:BX1128)</f>
      </c>
      <c r="BY1129" s="3035">
        <f>SUM(BY1127:BY1128)</f>
      </c>
      <c r="BZ1129" s="3035">
        <f>SUM(BZ1127:BZ1128)</f>
      </c>
      <c r="CA1129" s="3033">
        <f>SUM(BW1129:BZ1129)</f>
      </c>
      <c r="CB1129" s="3035">
        <f>SUM(CB1127:CB1128)</f>
      </c>
      <c r="CC1129" s="3035">
        <f>SUM(CC1127:CC1128)</f>
      </c>
      <c r="CD1129" s="3035">
        <f>SUM(CD1127:CD1128)</f>
      </c>
      <c r="CE1129" s="3035">
        <f>SUM(CE1127:CE1128)</f>
      </c>
      <c r="CF1129" s="3033"/>
      <c r="CG1129" s="3035"/>
      <c r="CH1129" s="3035"/>
      <c r="CI1129" s="3035"/>
      <c r="CJ1129" s="3035"/>
      <c r="CK1129" s="3033"/>
      <c r="CL1129" s="3035"/>
      <c r="CM1129" s="3035"/>
      <c r="CN1129" s="3035"/>
      <c r="CO1129" s="3035"/>
      <c r="CP1129" s="3033"/>
      <c r="CQ1129" s="3035"/>
      <c r="CR1129" s="3035"/>
      <c r="CS1129" s="3035"/>
      <c r="CT1129" s="3035"/>
      <c r="CU1129" s="3033"/>
      <c r="CV1129" s="3035"/>
      <c r="CW1129" s="3035"/>
      <c r="CX1129" s="3035"/>
      <c r="CY1129" s="3035"/>
      <c r="CZ1129" s="3033"/>
      <c r="DA1129" s="3035"/>
      <c r="DB1129" s="3035"/>
      <c r="DC1129" s="3035"/>
      <c r="DD1129" s="3035"/>
      <c r="DE1129" s="3033"/>
      <c r="DF1129" s="3035"/>
      <c r="DG1129" s="3035"/>
      <c r="DH1129" s="3035"/>
      <c r="DI1129" s="3035"/>
      <c r="DJ1129" s="2968"/>
      <c r="DK1129" s="2986"/>
      <c r="DL1129" s="2986"/>
      <c r="DM1129" s="2986"/>
      <c r="DN1129" s="2986"/>
      <c r="DO1129" s="2967">
        <f>SUM(DO1127:DO1128)</f>
      </c>
      <c r="DP1129" s="1542">
        <f>SUM(DP1127:DP1128)</f>
      </c>
      <c r="DQ1129" s="1542">
        <f>SUM(DQ1127:DQ1128)</f>
      </c>
      <c r="DR1129" s="1542">
        <f>SUM(DR1127:DR1128)</f>
      </c>
      <c r="DS1129" s="1542">
        <f>SUM(DS1127:DS1128)</f>
      </c>
      <c r="DT1129" s="2060">
        <f>SUM(DP1129:DS1129)</f>
      </c>
      <c r="DU1129" s="1542">
        <f>SUM(DU1127:DU1128)</f>
      </c>
      <c r="DV1129" s="1542">
        <f>SUM(DV1127:DV1128)</f>
      </c>
      <c r="DW1129" s="1542">
        <f>SUM(DW1127:DW1128)</f>
      </c>
      <c r="DX1129" s="1556">
        <f>SUM(DX1127:DX1128)</f>
      </c>
      <c r="DY1129" s="2060">
        <f>SUM(DU1129:DX1129)</f>
      </c>
      <c r="DZ1129" s="1542">
        <f t="shared" ref="DZ1129:EB1129" si="2365">SUM(DZ1127:DZ1128)</f>
      </c>
      <c r="EA1129" s="1542">
        <f t="shared" si="2365"/>
      </c>
      <c r="EB1129" s="1542">
        <f t="shared" si="2365"/>
      </c>
      <c r="EC1129" s="1553">
        <f>SUM(EC1127:EC1128)</f>
      </c>
      <c r="ED1129" s="2060">
        <f>SUM(DZ1129:EC1129)</f>
      </c>
      <c r="EE1129" s="1542">
        <f>SUM(EE1127:EE1128)</f>
      </c>
      <c r="EF1129" s="1542">
        <f>SUM(EF1127:EF1128)</f>
      </c>
      <c r="EG1129" s="1542">
        <f>SUM(EG1127:EG1128)</f>
      </c>
      <c r="EH1129" s="1542">
        <f>SUM(EH1127:EH1128)</f>
      </c>
      <c r="EI1129" s="1835">
        <f t="shared" ref="EI1129" si="2366">+EI1127+EI1128</f>
      </c>
      <c r="EJ1129" s="2060">
        <f t="shared" ref="EJ1129:EL1129" si="2367">SUM(EJ1127:EJ1128)</f>
      </c>
      <c r="EK1129" s="2060">
        <f t="shared" si="2367"/>
      </c>
      <c r="EL1129" s="2060">
        <f t="shared" si="2367"/>
      </c>
      <c r="EM1129" s="2060">
        <f>SUM(EM1127:EM1128)</f>
      </c>
      <c r="EN1129" s="2060">
        <f>SUM(EN1127:EN1128)</f>
      </c>
      <c r="EO1129" s="2652"/>
      <c r="EP1129" s="2652"/>
      <c r="EQ1129" s="2652"/>
      <c r="ER1129" s="2652"/>
      <c r="ES1129" s="2652"/>
      <c r="ET1129" s="2652"/>
      <c r="EU1129" s="2652"/>
      <c r="EV1129" s="2652"/>
      <c r="EW1129" s="2652"/>
      <c r="EX1129" s="2652"/>
    </row>
    <row r="1130" spans="2:154">
      <c r="B1130" s="342"/>
      <c r="C1130" s="1577"/>
      <c r="D1130" s="933"/>
      <c r="E1130" s="933"/>
      <c r="F1130" s="933"/>
      <c r="G1130" s="933"/>
      <c r="H1130" s="933"/>
      <c r="I1130" s="933"/>
      <c r="J1130" s="933"/>
      <c r="K1130" s="933"/>
      <c r="L1130" s="933"/>
      <c r="M1130" s="933"/>
      <c r="N1130" s="933"/>
      <c r="O1130" s="933"/>
      <c r="P1130" s="933"/>
      <c r="Q1130" s="933"/>
      <c r="R1130" s="933"/>
      <c r="S1130" s="933"/>
      <c r="T1130" s="1915"/>
      <c r="U1130" s="1915"/>
      <c r="V1130" s="1915"/>
      <c r="W1130" s="2257"/>
      <c r="X1130" s="1866"/>
      <c r="Y1130" s="1915"/>
      <c r="Z1130" s="1915"/>
      <c r="AA1130" s="1915"/>
      <c r="AB1130" s="2257"/>
      <c r="AC1130" s="1866"/>
      <c r="AD1130" s="1915"/>
      <c r="AE1130" s="1915"/>
      <c r="AF1130" s="1915"/>
      <c r="AG1130" s="2257"/>
      <c r="AH1130" s="1866"/>
      <c r="AI1130" s="1915"/>
      <c r="AJ1130" s="1915"/>
      <c r="AK1130" s="1915"/>
      <c r="AL1130" s="2257"/>
      <c r="AM1130" s="1866"/>
      <c r="AN1130" s="1915"/>
      <c r="AO1130" s="1915"/>
      <c r="AP1130" s="1915"/>
      <c r="AQ1130" s="2257"/>
      <c r="AR1130" s="1866"/>
      <c r="AS1130" s="1915"/>
      <c r="AT1130" s="1915"/>
      <c r="AU1130" s="1915"/>
      <c r="AV1130" s="2257"/>
      <c r="AW1130" s="1866"/>
      <c r="AX1130" s="1915"/>
      <c r="AY1130" s="1915"/>
      <c r="AZ1130" s="1915"/>
      <c r="BA1130" s="2257"/>
      <c r="BB1130" s="1866"/>
      <c r="BC1130" s="1915"/>
      <c r="BD1130" s="1915"/>
      <c r="BE1130" s="1915"/>
      <c r="BF1130" s="2257"/>
      <c r="BG1130" s="1866"/>
      <c r="BH1130" s="1915"/>
      <c r="BI1130" s="1915"/>
      <c r="BJ1130" s="1915"/>
      <c r="BK1130" s="2257"/>
      <c r="BL1130" s="1866"/>
      <c r="BM1130" s="1915"/>
      <c r="BN1130" s="1915"/>
      <c r="BO1130" s="1915"/>
      <c r="BP1130" s="2257"/>
      <c r="BQ1130" s="1866"/>
      <c r="BR1130" s="1915"/>
      <c r="BS1130" s="1915"/>
      <c r="BT1130" s="1915"/>
      <c r="BU1130" s="2257"/>
      <c r="BV1130" s="3033"/>
      <c r="BW1130" s="3036"/>
      <c r="BX1130" s="3036"/>
      <c r="BY1130" s="3036"/>
      <c r="BZ1130" s="3037"/>
      <c r="CA1130" s="3033"/>
      <c r="CB1130" s="3036"/>
      <c r="CC1130" s="3036"/>
      <c r="CD1130" s="3036"/>
      <c r="CE1130" s="3037"/>
      <c r="CF1130" s="3033"/>
      <c r="CG1130" s="3036"/>
      <c r="CH1130" s="3036"/>
      <c r="CI1130" s="3036"/>
      <c r="CJ1130" s="3037"/>
      <c r="CK1130" s="3033"/>
      <c r="CL1130" s="3036"/>
      <c r="CM1130" s="3036"/>
      <c r="CN1130" s="3036"/>
      <c r="CO1130" s="3037"/>
      <c r="CP1130" s="3033"/>
      <c r="CQ1130" s="3036"/>
      <c r="CR1130" s="3036"/>
      <c r="CS1130" s="3036"/>
      <c r="CT1130" s="3037"/>
      <c r="CU1130" s="3033"/>
      <c r="CV1130" s="3036"/>
      <c r="CW1130" s="3036"/>
      <c r="CX1130" s="3036"/>
      <c r="CY1130" s="3037"/>
      <c r="CZ1130" s="3033"/>
      <c r="DA1130" s="3036"/>
      <c r="DB1130" s="3036"/>
      <c r="DC1130" s="3036"/>
      <c r="DD1130" s="3037"/>
      <c r="DE1130" s="3033"/>
      <c r="DF1130" s="3036"/>
      <c r="DG1130" s="3036"/>
      <c r="DH1130" s="3036"/>
      <c r="DI1130" s="3037"/>
      <c r="DJ1130" s="2968"/>
      <c r="DK1130" s="3038"/>
      <c r="DL1130" s="3038"/>
      <c r="DM1130" s="3038"/>
      <c r="DN1130" s="3039"/>
      <c r="DO1130" s="2968"/>
      <c r="DP1130" s="1915"/>
      <c r="DQ1130" s="1915"/>
      <c r="DR1130" s="1915"/>
      <c r="DS1130" s="2257"/>
      <c r="DT1130" s="1866"/>
      <c r="DU1130" s="2257"/>
      <c r="DV1130" s="1915"/>
      <c r="DW1130" s="1915"/>
      <c r="DX1130" s="1946"/>
      <c r="DY1130" s="1866"/>
      <c r="DZ1130" s="1915"/>
      <c r="EA1130" s="1915"/>
      <c r="EB1130" s="1915"/>
      <c r="EC1130" s="3613"/>
      <c r="ED1130" s="1863"/>
      <c r="EE1130" s="1915"/>
      <c r="EF1130" s="1915"/>
      <c r="EG1130" s="1915"/>
      <c r="EH1130" s="2257"/>
      <c r="EI1130" s="1866"/>
      <c r="EJ1130" s="1875"/>
      <c r="EK1130" s="1866"/>
      <c r="EL1130" s="1866"/>
      <c r="EM1130" s="1866"/>
      <c r="EN1130" s="1866"/>
      <c r="EO1130" s="1866"/>
      <c r="EP1130" s="1866"/>
      <c r="EQ1130" s="1866"/>
      <c r="ER1130" s="1866"/>
      <c r="ES1130" s="1866"/>
      <c r="ET1130" s="1866"/>
      <c r="EU1130" s="1866"/>
      <c r="EV1130" s="1866"/>
      <c r="EW1130" s="1866"/>
      <c r="EX1130" s="1866"/>
    </row>
    <row r="1131" spans="2:154">
      <c r="B1131" s="453" t="s">
        <v>947</v>
      </c>
      <c r="C1131" s="1577"/>
      <c r="D1131" s="933"/>
      <c r="E1131" s="933"/>
      <c r="F1131" s="933"/>
      <c r="G1131" s="933"/>
      <c r="H1131" s="933"/>
      <c r="I1131" s="933"/>
      <c r="J1131" s="933"/>
      <c r="K1131" s="933"/>
      <c r="L1131" s="933"/>
      <c r="M1131" s="933"/>
      <c r="N1131" s="933"/>
      <c r="O1131" s="933"/>
      <c r="P1131" s="933"/>
      <c r="Q1131" s="933"/>
      <c r="R1131" s="933"/>
      <c r="S1131" s="933"/>
      <c r="T1131" s="1915"/>
      <c r="U1131" s="1915"/>
      <c r="V1131" s="1915"/>
      <c r="W1131" s="2964"/>
      <c r="X1131" s="1866"/>
      <c r="Y1131" s="1915"/>
      <c r="Z1131" s="1915"/>
      <c r="AA1131" s="1915"/>
      <c r="AB1131" s="2964"/>
      <c r="AC1131" s="1866"/>
      <c r="AD1131" s="1915"/>
      <c r="AE1131" s="1915"/>
      <c r="AF1131" s="1915"/>
      <c r="AG1131" s="2964"/>
      <c r="AH1131" s="1866"/>
      <c r="AI1131" s="1915"/>
      <c r="AJ1131" s="1915"/>
      <c r="AK1131" s="1915"/>
      <c r="AL1131" s="2964"/>
      <c r="AM1131" s="1866"/>
      <c r="AN1131" s="1915"/>
      <c r="AO1131" s="1915"/>
      <c r="AP1131" s="1915"/>
      <c r="AQ1131" s="2964"/>
      <c r="AR1131" s="1866"/>
      <c r="AS1131" s="1915"/>
      <c r="AT1131" s="1915"/>
      <c r="AU1131" s="1915"/>
      <c r="AV1131" s="2964"/>
      <c r="AW1131" s="1866"/>
      <c r="AX1131" s="1915"/>
      <c r="AY1131" s="1915"/>
      <c r="AZ1131" s="1915"/>
      <c r="BA1131" s="2964"/>
      <c r="BB1131" s="1866"/>
      <c r="BC1131" s="1915"/>
      <c r="BD1131" s="1915"/>
      <c r="BE1131" s="1915"/>
      <c r="BF1131" s="2964"/>
      <c r="BG1131" s="1866"/>
      <c r="BH1131" s="1915"/>
      <c r="BI1131" s="1915"/>
      <c r="BJ1131" s="1915"/>
      <c r="BK1131" s="2964"/>
      <c r="BL1131" s="1866"/>
      <c r="BM1131" s="1915"/>
      <c r="BN1131" s="1915"/>
      <c r="BO1131" s="1915"/>
      <c r="BP1131" s="2964"/>
      <c r="BQ1131" s="1866"/>
      <c r="BR1131" s="1915"/>
      <c r="BS1131" s="1915"/>
      <c r="BT1131" s="1915"/>
      <c r="BU1131" s="2964"/>
      <c r="BV1131" s="3033"/>
      <c r="BW1131" s="3036"/>
      <c r="BX1131" s="3036"/>
      <c r="BY1131" s="3036"/>
      <c r="BZ1131" s="3040"/>
      <c r="CA1131" s="3033"/>
      <c r="CB1131" s="3036"/>
      <c r="CC1131" s="3036"/>
      <c r="CD1131" s="3036"/>
      <c r="CE1131" s="3040"/>
      <c r="CF1131" s="3033"/>
      <c r="CG1131" s="3036"/>
      <c r="CH1131" s="3036"/>
      <c r="CI1131" s="3036"/>
      <c r="CJ1131" s="3040"/>
      <c r="CK1131" s="3033"/>
      <c r="CL1131" s="3036"/>
      <c r="CM1131" s="3036"/>
      <c r="CN1131" s="3036"/>
      <c r="CO1131" s="3040"/>
      <c r="CP1131" s="3033"/>
      <c r="CQ1131" s="3036"/>
      <c r="CR1131" s="3036"/>
      <c r="CS1131" s="3036"/>
      <c r="CT1131" s="3040"/>
      <c r="CU1131" s="3033"/>
      <c r="CV1131" s="3036"/>
      <c r="CW1131" s="3036"/>
      <c r="CX1131" s="3036"/>
      <c r="CY1131" s="3040"/>
      <c r="CZ1131" s="3033"/>
      <c r="DA1131" s="3036"/>
      <c r="DB1131" s="3036"/>
      <c r="DC1131" s="3036"/>
      <c r="DD1131" s="3040"/>
      <c r="DE1131" s="3033"/>
      <c r="DF1131" s="3036"/>
      <c r="DG1131" s="3036"/>
      <c r="DH1131" s="3036"/>
      <c r="DI1131" s="3040"/>
      <c r="DJ1131" s="2968"/>
      <c r="DK1131" s="3038"/>
      <c r="DL1131" s="3038"/>
      <c r="DM1131" s="3038"/>
      <c r="DN1131" s="3041"/>
      <c r="DO1131" s="2968"/>
      <c r="DP1131" s="1915"/>
      <c r="DQ1131" s="1915"/>
      <c r="DR1131" s="1915"/>
      <c r="DS1131" s="2964"/>
      <c r="DT1131" s="1866"/>
      <c r="DU1131" s="2965"/>
      <c r="DV1131" s="1915"/>
      <c r="DW1131" s="1915"/>
      <c r="DX1131" s="1946"/>
      <c r="DY1131" s="1866"/>
      <c r="DZ1131" s="1915"/>
      <c r="EA1131" s="1915"/>
      <c r="EB1131" s="1915"/>
      <c r="EC1131" s="3613"/>
      <c r="ED1131" s="1863"/>
      <c r="EE1131" s="1915"/>
      <c r="EF1131" s="1915"/>
      <c r="EG1131" s="1915"/>
      <c r="EH1131" s="2257"/>
      <c r="EI1131" s="1866"/>
      <c r="EJ1131" s="1875"/>
      <c r="EK1131" s="1866"/>
      <c r="EL1131" s="1866"/>
      <c r="EM1131" s="1866"/>
      <c r="EN1131" s="1866"/>
      <c r="EO1131" s="1866"/>
      <c r="EP1131" s="1866"/>
      <c r="EQ1131" s="1866"/>
      <c r="ER1131" s="1866"/>
      <c r="ES1131" s="1866"/>
      <c r="ET1131" s="1866"/>
      <c r="EU1131" s="1866"/>
      <c r="EV1131" s="1866"/>
      <c r="EW1131" s="1866"/>
      <c r="EX1131" s="1866"/>
    </row>
    <row r="1132" spans="2:154">
      <c r="B1132" s="454" t="s">
        <v>187</v>
      </c>
      <c r="C1132" s="1577"/>
      <c r="D1132" s="933"/>
      <c r="E1132" s="933"/>
      <c r="F1132" s="933"/>
      <c r="G1132" s="933"/>
      <c r="H1132" s="933"/>
      <c r="I1132" s="926" t="str">
        <f t="shared" ref="I1132:W1133" si="2368">IF(D1127="NM","NM",IF(I1127="NM","NM",IF(D1127&lt;=0,"NM",IF(I1127=0,"NM",IF(ABS(I1127/D1127-1)&gt;2.5,"NM",IF((ABS(I1127-D1127)=ABS(ABS(I1127)-ABS(D1127))),(I1127/D1127-1),"NM"))))))</f>
      </c>
      <c r="J1132" s="926" t="str">
        <f t="shared" si="2368"/>
      </c>
      <c r="K1132" s="926" t="str">
        <f t="shared" si="2368"/>
      </c>
      <c r="L1132" s="926" t="str">
        <f t="shared" si="2368"/>
      </c>
      <c r="M1132" s="926" t="str">
        <f t="shared" si="2368"/>
      </c>
      <c r="N1132" s="926" t="str">
        <f t="shared" si="2368"/>
      </c>
      <c r="O1132" s="926" t="str">
        <f t="shared" si="2368"/>
      </c>
      <c r="P1132" s="926" t="str">
        <f t="shared" si="2368"/>
      </c>
      <c r="Q1132" s="926" t="str">
        <f t="shared" si="2368"/>
      </c>
      <c r="R1132" s="926" t="str">
        <f t="shared" si="2368"/>
      </c>
      <c r="S1132" s="926" t="str">
        <f t="shared" si="2368"/>
      </c>
      <c r="T1132" s="926" t="str">
        <f t="shared" si="2368"/>
      </c>
      <c r="U1132" s="926" t="str">
        <f t="shared" si="2368"/>
      </c>
      <c r="V1132" s="926" t="str">
        <f t="shared" si="2368"/>
      </c>
      <c r="W1132" s="926" t="str">
        <f t="shared" si="2368"/>
      </c>
      <c r="X1132" s="1060">
        <f>IF(S1127=0, 0, X1127/S1127-1)</f>
      </c>
      <c r="Y1132" s="926" t="str">
        <f t="shared" ref="Y1132:AB1133" si="2369">IF(T1127="NM","NM",IF(Y1127="NM","NM",IF(T1127&lt;=0,"NM",IF(Y1127=0,"NM",IF(ABS(Y1127/T1127-1)&gt;2.5,"NM",IF((ABS(Y1127-T1127)=ABS(ABS(Y1127)-ABS(T1127))),(Y1127/T1127-1),"NM"))))))</f>
      </c>
      <c r="Z1132" s="926" t="str">
        <f t="shared" si="2369"/>
      </c>
      <c r="AA1132" s="926" t="str">
        <f t="shared" si="2369"/>
      </c>
      <c r="AB1132" s="926" t="str">
        <f t="shared" si="2369"/>
      </c>
      <c r="AC1132" s="1060">
        <f>IF(X1127=0, 0, AC1127/X1127-1)</f>
      </c>
      <c r="AD1132" s="926" t="str">
        <f t="shared" ref="AD1132:AG1133" si="2370">IF(Y1127="NM","NM",IF(AD1127="NM","NM",IF(Y1127&lt;=0,"NM",IF(AD1127=0,"NM",IF(ABS(AD1127/Y1127-1)&gt;2.5,"NM",IF((ABS(AD1127-Y1127)=ABS(ABS(AD1127)-ABS(Y1127))),(AD1127/Y1127-1),"NM"))))))</f>
      </c>
      <c r="AE1132" s="926" t="str">
        <f t="shared" si="2370"/>
      </c>
      <c r="AF1132" s="926" t="str">
        <f t="shared" si="2370"/>
      </c>
      <c r="AG1132" s="926" t="str">
        <f t="shared" si="2370"/>
      </c>
      <c r="AH1132" s="1060">
        <f>IF(AC1127=0, 0, AH1127/AC1127-1)</f>
      </c>
      <c r="AI1132" s="926" t="str">
        <f t="shared" ref="AI1132:AL1133" si="2371">IF(AD1127="NM","NM",IF(AI1127="NM","NM",IF(AD1127&lt;=0,"NM",IF(AI1127=0,"NM",IF(ABS(AI1127/AD1127-1)&gt;2.5,"NM",IF((ABS(AI1127-AD1127)=ABS(ABS(AI1127)-ABS(AD1127))),(AI1127/AD1127-1),"NM"))))))</f>
      </c>
      <c r="AJ1132" s="926" t="str">
        <f t="shared" si="2371"/>
      </c>
      <c r="AK1132" s="926" t="str">
        <f t="shared" si="2371"/>
      </c>
      <c r="AL1132" s="926" t="str">
        <f t="shared" si="2371"/>
      </c>
      <c r="AM1132" s="1060">
        <f>IF(AH1127=0, 0, AM1127/AH1127-1)</f>
      </c>
      <c r="AN1132" s="926" t="str">
        <f t="shared" ref="AN1132:AQ1133" si="2372">IF(AI1127="NM","NM",IF(AN1127="NM","NM",IF(AI1127&lt;=0,"NM",IF(AN1127=0,"NM",IF(ABS(AN1127/AI1127-1)&gt;2.5,"NM",IF((ABS(AN1127-AI1127)=ABS(ABS(AN1127)-ABS(AI1127))),(AN1127/AI1127-1),"NM"))))))</f>
      </c>
      <c r="AO1132" s="926" t="str">
        <f t="shared" si="2372"/>
      </c>
      <c r="AP1132" s="926" t="str">
        <f t="shared" si="2372"/>
      </c>
      <c r="AQ1132" s="926" t="str">
        <f t="shared" si="2372"/>
      </c>
      <c r="AR1132" s="1060">
        <f>IF(AM1127=0, 0, AR1127/AM1127-1)</f>
      </c>
      <c r="AS1132" s="926" t="str">
        <f t="shared" ref="AS1132:AV1133" si="2373">IF(AN1127="NM","NM",IF(AS1127="NM","NM",IF(AN1127&lt;=0,"NM",IF(AS1127=0,"NM",IF(ABS(AS1127/AN1127-1)&gt;2.5,"NM",IF((ABS(AS1127-AN1127)=ABS(ABS(AS1127)-ABS(AN1127))),(AS1127/AN1127-1),"NM"))))))</f>
      </c>
      <c r="AT1132" s="926" t="str">
        <f t="shared" si="2373"/>
      </c>
      <c r="AU1132" s="926" t="str">
        <f t="shared" si="2373"/>
      </c>
      <c r="AV1132" s="926" t="str">
        <f t="shared" si="2373"/>
      </c>
      <c r="AW1132" s="1060">
        <f>IF(AR1127=0, 0, AW1127/AR1127-1)</f>
      </c>
      <c r="AX1132" s="926" t="str">
        <f t="shared" ref="AX1132:BA1133" si="2374">IF(AS1127="NM","NM",IF(AX1127="NM","NM",IF(AS1127&lt;=0,"NM",IF(AX1127=0,"NM",IF(ABS(AX1127/AS1127-1)&gt;2.5,"NM",IF((ABS(AX1127-AS1127)=ABS(ABS(AX1127)-ABS(AS1127))),(AX1127/AS1127-1),"NM"))))))</f>
      </c>
      <c r="AY1132" s="926" t="str">
        <f t="shared" si="2374"/>
      </c>
      <c r="AZ1132" s="926" t="str">
        <f t="shared" si="2374"/>
      </c>
      <c r="BA1132" s="926" t="str">
        <f t="shared" si="2374"/>
      </c>
      <c r="BB1132" s="1060">
        <f>IF(AW1127=0, 0, BB1127/AW1127-1)</f>
      </c>
      <c r="BC1132" s="926" t="str">
        <f t="shared" ref="BC1132:BF1133" si="2375">IF(AX1127="NM","NM",IF(BC1127="NM","NM",IF(AX1127&lt;=0,"NM",IF(BC1127=0,"NM",IF(ABS(BC1127/AX1127-1)&gt;2.5,"NM",IF((ABS(BC1127-AX1127)=ABS(ABS(BC1127)-ABS(AX1127))),(BC1127/AX1127-1),"NM"))))))</f>
      </c>
      <c r="BD1132" s="926" t="str">
        <f t="shared" si="2375"/>
      </c>
      <c r="BE1132" s="926" t="str">
        <f t="shared" si="2375"/>
      </c>
      <c r="BF1132" s="926" t="str">
        <f t="shared" si="2375"/>
      </c>
      <c r="BG1132" s="1060">
        <f>IF(BB1127=0, 0, BG1127/BB1127-1)</f>
      </c>
      <c r="BH1132" s="926" t="str">
        <f t="shared" ref="BH1132:BK1133" si="2376">IF(BC1127="NM","NM",IF(BH1127="NM","NM",IF(BC1127&lt;=0,"NM",IF(BH1127=0,"NM",IF(ABS(BH1127/BC1127-1)&gt;2.5,"NM",IF((ABS(BH1127-BC1127)=ABS(ABS(BH1127)-ABS(BC1127))),(BH1127/BC1127-1),"NM"))))))</f>
      </c>
      <c r="BI1132" s="926" t="str">
        <f t="shared" si="2376"/>
      </c>
      <c r="BJ1132" s="926" t="str">
        <f t="shared" si="2376"/>
      </c>
      <c r="BK1132" s="926" t="str">
        <f t="shared" si="2376"/>
      </c>
      <c r="BL1132" s="1060">
        <f>IF(BG1127=0, 0, BL1127/BG1127-1)</f>
      </c>
      <c r="BM1132" s="926" t="str">
        <f t="shared" ref="BM1132:BP1133" si="2377">IF(BH1127="NM","NM",IF(BM1127="NM","NM",IF(BH1127&lt;=0,"NM",IF(BM1127=0,"NM",IF(ABS(BM1127/BH1127-1)&gt;2.5,"NM",IF((ABS(BM1127-BH1127)=ABS(ABS(BM1127)-ABS(BH1127))),(BM1127/BH1127-1),"NM"))))))</f>
      </c>
      <c r="BN1132" s="926" t="str">
        <f t="shared" si="2377"/>
      </c>
      <c r="BO1132" s="926" t="str">
        <f t="shared" si="2377"/>
      </c>
      <c r="BP1132" s="926" t="str">
        <f t="shared" si="2377"/>
      </c>
      <c r="BQ1132" s="1060">
        <f>IF(BL1127=0, 0, BQ1127/BL1127-1)</f>
      </c>
      <c r="BR1132" s="926" t="str">
        <f t="shared" ref="BR1132:BU1133" si="2378">IF(BM1127="NM","NM",IF(BR1127="NM","NM",IF(BM1127&lt;=0,"NM",IF(BR1127=0,"NM",IF(ABS(BR1127/BM1127-1)&gt;2.5,"NM",IF((ABS(BR1127-BM1127)=ABS(ABS(BR1127)-ABS(BM1127))),(BR1127/BM1127-1),"NM"))))))</f>
      </c>
      <c r="BS1132" s="926" t="str">
        <f t="shared" si="2378"/>
      </c>
      <c r="BT1132" s="926" t="str">
        <f t="shared" si="2378"/>
      </c>
      <c r="BU1132" s="926" t="str">
        <f t="shared" si="2378"/>
      </c>
      <c r="BV1132" s="3033">
        <f>IF(BQ1127=0, 0, BV1127/BQ1127-1)</f>
      </c>
      <c r="BW1132" s="3042" t="str">
        <f t="shared" ref="BW1132:BZ1133" si="2379">IF(BR1127="NM","NM",IF(BW1127="NM","NM",IF(BR1127&lt;=0,"NM",IF(BW1127=0,"NM",IF(ABS(BW1127/BR1127-1)&gt;2.5,"NM",IF((ABS(BW1127-BR1127)=ABS(ABS(BW1127)-ABS(BR1127))),(BW1127/BR1127-1),"NM"))))))</f>
      </c>
      <c r="BX1132" s="3042" t="str">
        <f t="shared" si="2379"/>
      </c>
      <c r="BY1132" s="3042" t="str">
        <f t="shared" si="2379"/>
      </c>
      <c r="BZ1132" s="3042" t="str">
        <f t="shared" si="2379"/>
      </c>
      <c r="CA1132" s="3033">
        <f>IF(BV1127=0, 0, CA1127/BV1127-1)</f>
      </c>
      <c r="CB1132" s="3042" t="str">
        <f t="shared" ref="CB1132:CE1133" si="2380">IF(BW1127="NM","NM",IF(CB1127="NM","NM",IF(BW1127&lt;=0,"NM",IF(CB1127=0,"NM",IF(ABS(CB1127/BW1127-1)&gt;2.5,"NM",IF((ABS(CB1127-BW1127)=ABS(ABS(CB1127)-ABS(BW1127))),(CB1127/BW1127-1),"NM"))))))</f>
      </c>
      <c r="CC1132" s="3042" t="str">
        <f t="shared" si="2380"/>
      </c>
      <c r="CD1132" s="3042" t="str">
        <f t="shared" si="2380"/>
      </c>
      <c r="CE1132" s="3042" t="str">
        <f t="shared" si="2380"/>
      </c>
      <c r="CF1132" s="3033"/>
      <c r="CG1132" s="3042"/>
      <c r="CH1132" s="3042"/>
      <c r="CI1132" s="3042"/>
      <c r="CJ1132" s="3042"/>
      <c r="CK1132" s="3033"/>
      <c r="CL1132" s="3042"/>
      <c r="CM1132" s="3042"/>
      <c r="CN1132" s="3042"/>
      <c r="CO1132" s="3042"/>
      <c r="CP1132" s="3033"/>
      <c r="CQ1132" s="3042"/>
      <c r="CR1132" s="3042"/>
      <c r="CS1132" s="3042"/>
      <c r="CT1132" s="3042"/>
      <c r="CU1132" s="3033"/>
      <c r="CV1132" s="3042"/>
      <c r="CW1132" s="3042"/>
      <c r="CX1132" s="3042"/>
      <c r="CY1132" s="3042"/>
      <c r="CZ1132" s="3033"/>
      <c r="DA1132" s="3042"/>
      <c r="DB1132" s="3042"/>
      <c r="DC1132" s="3042"/>
      <c r="DD1132" s="3042"/>
      <c r="DE1132" s="3033"/>
      <c r="DF1132" s="3042"/>
      <c r="DG1132" s="3042"/>
      <c r="DH1132" s="3042"/>
      <c r="DI1132" s="3042"/>
      <c r="DJ1132" s="2968"/>
      <c r="DK1132" s="2990"/>
      <c r="DL1132" s="2990"/>
      <c r="DM1132" s="2990"/>
      <c r="DN1132" s="2990"/>
      <c r="DO1132" s="2968"/>
      <c r="DP1132" s="926"/>
      <c r="DQ1132" s="926"/>
      <c r="DR1132" s="926"/>
      <c r="DS1132" s="926"/>
      <c r="DT1132" s="1060">
        <f t="shared" ref="DT1132:EG1132" si="2381">IF(DO1127=0, 0, DT1127/DO1127-1)</f>
      </c>
      <c r="DU1132" s="926">
        <f t="shared" si="2381"/>
      </c>
      <c r="DV1132" s="926">
        <f t="shared" si="2381"/>
      </c>
      <c r="DW1132" s="926">
        <f t="shared" si="2381"/>
      </c>
      <c r="DX1132" s="928">
        <f t="shared" si="2381"/>
      </c>
      <c r="DY1132" s="1060">
        <f t="shared" si="2381"/>
      </c>
      <c r="DZ1132" s="926">
        <f t="shared" si="2381"/>
      </c>
      <c r="EA1132" s="926">
        <f t="shared" si="2381"/>
      </c>
      <c r="EB1132" s="926">
        <f t="shared" si="2381"/>
      </c>
      <c r="EC1132" s="1235">
        <f t="shared" si="2381"/>
      </c>
      <c r="ED1132" s="1536">
        <f t="shared" si="2381"/>
      </c>
      <c r="EE1132" s="926">
        <f t="shared" si="2381"/>
      </c>
      <c r="EF1132" s="926">
        <f t="shared" si="2381"/>
      </c>
      <c r="EG1132" s="926">
        <f t="shared" si="2381"/>
      </c>
      <c r="EH1132" s="926">
        <f>+EH1127/EC1127-1</f>
      </c>
      <c r="EI1132" s="2634">
        <v>0.05</v>
      </c>
      <c r="EJ1132" s="2634">
        <v>0.05</v>
      </c>
      <c r="EK1132" s="2634">
        <v>0.05</v>
      </c>
      <c r="EL1132" s="2634">
        <v>0.05</v>
      </c>
      <c r="EM1132" s="2634">
        <v>0.05</v>
      </c>
      <c r="EN1132" s="2634">
        <v>0.05</v>
      </c>
      <c r="EO1132" s="673"/>
      <c r="EP1132" s="673"/>
      <c r="EQ1132" s="673"/>
      <c r="ER1132" s="673"/>
      <c r="ES1132" s="673"/>
      <c r="ET1132" s="673"/>
      <c r="EU1132" s="673"/>
      <c r="EV1132" s="673"/>
      <c r="EW1132" s="673"/>
      <c r="EX1132" s="673"/>
    </row>
    <row r="1133" spans="2:154">
      <c r="B1133" s="454" t="s">
        <v>412</v>
      </c>
      <c r="C1133" s="1577"/>
      <c r="D1133" s="933"/>
      <c r="E1133" s="933"/>
      <c r="F1133" s="933"/>
      <c r="G1133" s="933"/>
      <c r="H1133" s="933"/>
      <c r="I1133" s="926" t="str">
        <f t="shared" si="2368"/>
      </c>
      <c r="J1133" s="926" t="str">
        <f t="shared" si="2368"/>
      </c>
      <c r="K1133" s="926" t="str">
        <f t="shared" si="2368"/>
      </c>
      <c r="L1133" s="926" t="str">
        <f t="shared" si="2368"/>
      </c>
      <c r="M1133" s="926" t="str">
        <f t="shared" si="2368"/>
      </c>
      <c r="N1133" s="926" t="str">
        <f t="shared" si="2368"/>
      </c>
      <c r="O1133" s="926" t="str">
        <f t="shared" si="2368"/>
      </c>
      <c r="P1133" s="926" t="str">
        <f t="shared" si="2368"/>
      </c>
      <c r="Q1133" s="926">
        <f t="shared" si="2368"/>
      </c>
      <c r="R1133" s="926">
        <f t="shared" si="2368"/>
      </c>
      <c r="S1133" s="926">
        <f t="shared" si="2368"/>
      </c>
      <c r="T1133" s="926" t="str">
        <f t="shared" si="2368"/>
      </c>
      <c r="U1133" s="926" t="str">
        <f t="shared" si="2368"/>
      </c>
      <c r="V1133" s="926" t="str">
        <f t="shared" si="2368"/>
      </c>
      <c r="W1133" s="926" t="str">
        <f t="shared" si="2368"/>
      </c>
      <c r="X1133" s="1060">
        <f>IF(S1128=0, "NA", X1128/S1128-1)</f>
      </c>
      <c r="Y1133" s="926" t="str">
        <f t="shared" si="2369"/>
      </c>
      <c r="Z1133" s="926" t="str">
        <f t="shared" si="2369"/>
      </c>
      <c r="AA1133" s="926" t="str">
        <f t="shared" si="2369"/>
      </c>
      <c r="AB1133" s="926" t="str">
        <f t="shared" si="2369"/>
      </c>
      <c r="AC1133" s="1060" t="str">
        <f>IF(X1128=0, "NA", AC1128/X1128-1)</f>
      </c>
      <c r="AD1133" s="926" t="str">
        <f t="shared" si="2370"/>
      </c>
      <c r="AE1133" s="926" t="str">
        <f t="shared" si="2370"/>
      </c>
      <c r="AF1133" s="926" t="str">
        <f t="shared" si="2370"/>
      </c>
      <c r="AG1133" s="926" t="str">
        <f t="shared" si="2370"/>
      </c>
      <c r="AH1133" s="1060" t="str">
        <f>IF(AC1128=0, "NA", AH1128/AC1128-1)</f>
      </c>
      <c r="AI1133" s="926" t="str">
        <f t="shared" si="2371"/>
      </c>
      <c r="AJ1133" s="926" t="str">
        <f t="shared" si="2371"/>
      </c>
      <c r="AK1133" s="926" t="str">
        <f t="shared" si="2371"/>
      </c>
      <c r="AL1133" s="926" t="str">
        <f t="shared" si="2371"/>
      </c>
      <c r="AM1133" s="1060" t="str">
        <f>IF(AH1128=0, "NA", AM1128/AH1128-1)</f>
      </c>
      <c r="AN1133" s="926" t="str">
        <f t="shared" si="2372"/>
      </c>
      <c r="AO1133" s="926" t="str">
        <f t="shared" si="2372"/>
      </c>
      <c r="AP1133" s="926" t="str">
        <f t="shared" si="2372"/>
      </c>
      <c r="AQ1133" s="926" t="str">
        <f t="shared" si="2372"/>
      </c>
      <c r="AR1133" s="1060" t="str">
        <f>IF(AM1128=0, "NA", AR1128/AM1128-1)</f>
      </c>
      <c r="AS1133" s="926" t="str">
        <f t="shared" si="2373"/>
      </c>
      <c r="AT1133" s="926" t="str">
        <f t="shared" si="2373"/>
      </c>
      <c r="AU1133" s="926" t="str">
        <f t="shared" si="2373"/>
      </c>
      <c r="AV1133" s="926" t="str">
        <f t="shared" si="2373"/>
      </c>
      <c r="AW1133" s="1060" t="str">
        <f>IF(AR1128=0, "NA", AW1128/AR1128-1)</f>
      </c>
      <c r="AX1133" s="926" t="str">
        <f t="shared" si="2374"/>
      </c>
      <c r="AY1133" s="926" t="str">
        <f t="shared" si="2374"/>
      </c>
      <c r="AZ1133" s="926" t="str">
        <f t="shared" si="2374"/>
      </c>
      <c r="BA1133" s="926" t="str">
        <f t="shared" si="2374"/>
      </c>
      <c r="BB1133" s="1060" t="str">
        <f>IF(AW1128=0, "NA", BB1128/AW1128-1)</f>
      </c>
      <c r="BC1133" s="926" t="str">
        <f t="shared" si="2375"/>
      </c>
      <c r="BD1133" s="926" t="str">
        <f t="shared" si="2375"/>
      </c>
      <c r="BE1133" s="926" t="str">
        <f t="shared" si="2375"/>
      </c>
      <c r="BF1133" s="926" t="str">
        <f t="shared" si="2375"/>
      </c>
      <c r="BG1133" s="1060" t="str">
        <f>IF(BB1128=0, "NA", BG1128/BB1128-1)</f>
      </c>
      <c r="BH1133" s="926" t="str">
        <f t="shared" si="2376"/>
      </c>
      <c r="BI1133" s="926" t="str">
        <f t="shared" si="2376"/>
      </c>
      <c r="BJ1133" s="926" t="str">
        <f t="shared" si="2376"/>
      </c>
      <c r="BK1133" s="926" t="str">
        <f t="shared" si="2376"/>
      </c>
      <c r="BL1133" s="1060" t="str">
        <f>IF(BG1128=0, "NA", BL1128/BG1128-1)</f>
      </c>
      <c r="BM1133" s="926" t="str">
        <f t="shared" si="2377"/>
      </c>
      <c r="BN1133" s="926" t="str">
        <f t="shared" si="2377"/>
      </c>
      <c r="BO1133" s="926" t="str">
        <f t="shared" si="2377"/>
      </c>
      <c r="BP1133" s="926" t="str">
        <f t="shared" si="2377"/>
      </c>
      <c r="BQ1133" s="1060" t="str">
        <f>IF(BL1128=0, "NA", BQ1128/BL1128-1)</f>
      </c>
      <c r="BR1133" s="926" t="str">
        <f t="shared" si="2378"/>
      </c>
      <c r="BS1133" s="926" t="str">
        <f t="shared" si="2378"/>
      </c>
      <c r="BT1133" s="926" t="str">
        <f t="shared" si="2378"/>
      </c>
      <c r="BU1133" s="926" t="str">
        <f t="shared" si="2378"/>
      </c>
      <c r="BV1133" s="3033" t="str">
        <f>IF(BQ1128=0, "NA", BV1128/BQ1128-1)</f>
      </c>
      <c r="BW1133" s="3042" t="str">
        <f t="shared" si="2379"/>
      </c>
      <c r="BX1133" s="3042" t="str">
        <f t="shared" si="2379"/>
      </c>
      <c r="BY1133" s="3042" t="str">
        <f t="shared" si="2379"/>
      </c>
      <c r="BZ1133" s="3042" t="str">
        <f t="shared" si="2379"/>
      </c>
      <c r="CA1133" s="3033" t="str">
        <f>IF(BV1128=0, "NA", CA1128/BV1128-1)</f>
      </c>
      <c r="CB1133" s="3042" t="str">
        <f t="shared" si="2380"/>
      </c>
      <c r="CC1133" s="3042" t="str">
        <f t="shared" si="2380"/>
      </c>
      <c r="CD1133" s="3042" t="str">
        <f t="shared" si="2380"/>
      </c>
      <c r="CE1133" s="3042" t="str">
        <f t="shared" si="2380"/>
      </c>
      <c r="CF1133" s="3033" t="str">
        <f>IF(CA1128=0, "NA", CF1128/CA1128-1)</f>
      </c>
      <c r="CG1133" s="3042" t="str">
        <f>IF(CB1128="NM","NM",IF(CG1128="NM","NM",IF(CB1128&lt;=0,"NM",IF(CG1128=0,"NM",IF(ABS(CG1128/CB1128-1)&gt;2.5,"NM",IF((ABS(CG1128-CB1128)=ABS(ABS(CG1128)-ABS(CB1128))),(CG1128/CB1128-1),"NM"))))))</f>
      </c>
      <c r="CH1133" s="3042" t="str">
        <f>IF(CC1128="NM","NM",IF(CH1128="NM","NM",IF(CC1128&lt;=0,"NM",IF(CH1128=0,"NM",IF(ABS(CH1128/CC1128-1)&gt;2.5,"NM",IF((ABS(CH1128-CC1128)=ABS(ABS(CH1128)-ABS(CC1128))),(CH1128/CC1128-1),"NM"))))))</f>
      </c>
      <c r="CI1133" s="3042" t="str">
        <f>IF(CD1128="NM","NM",IF(CI1128="NM","NM",IF(CD1128&lt;=0,"NM",IF(CI1128=0,"NM",IF(ABS(CI1128/CD1128-1)&gt;2.5,"NM",IF((ABS(CI1128-CD1128)=ABS(ABS(CI1128)-ABS(CD1128))),(CI1128/CD1128-1),"NM"))))))</f>
      </c>
      <c r="CJ1133" s="3042" t="str">
        <f>IF(CE1128="NM","NM",IF(CJ1128="NM","NM",IF(CE1128&lt;=0,"NM",IF(CJ1128=0,"NM",IF(ABS(CJ1128/CE1128-1)&gt;2.5,"NM",IF((ABS(CJ1128-CE1128)=ABS(ABS(CJ1128)-ABS(CE1128))),(CJ1128/CE1128-1),"NM"))))))</f>
      </c>
      <c r="CK1133" s="3033" t="str">
        <f>IF(CF1128=0, "NA", CK1128/CF1128-1)</f>
      </c>
      <c r="CL1133" s="3042" t="str">
        <f>IF(CG1128="NM","NM",IF(CL1128="NM","NM",IF(CG1128&lt;=0,"NM",IF(CL1128=0,"NM",IF(ABS(CL1128/CG1128-1)&gt;2.5,"NM",IF((ABS(CL1128-CG1128)=ABS(ABS(CL1128)-ABS(CG1128))),(CL1128/CG1128-1),"NM"))))))</f>
      </c>
      <c r="CM1133" s="3042" t="str">
        <f>IF(CH1128="NM","NM",IF(CM1128="NM","NM",IF(CH1128&lt;=0,"NM",IF(CM1128=0,"NM",IF(ABS(CM1128/CH1128-1)&gt;2.5,"NM",IF((ABS(CM1128-CH1128)=ABS(ABS(CM1128)-ABS(CH1128))),(CM1128/CH1128-1),"NM"))))))</f>
      </c>
      <c r="CN1133" s="3042" t="str">
        <f>IF(CI1128="NM","NM",IF(CN1128="NM","NM",IF(CI1128&lt;=0,"NM",IF(CN1128=0,"NM",IF(ABS(CN1128/CI1128-1)&gt;2.5,"NM",IF((ABS(CN1128-CI1128)=ABS(ABS(CN1128)-ABS(CI1128))),(CN1128/CI1128-1),"NM"))))))</f>
      </c>
      <c r="CO1133" s="3042" t="str">
        <f>IF(CJ1128="NM","NM",IF(CO1128="NM","NM",IF(CJ1128&lt;=0,"NM",IF(CO1128=0,"NM",IF(ABS(CO1128/CJ1128-1)&gt;2.5,"NM",IF((ABS(CO1128-CJ1128)=ABS(ABS(CO1128)-ABS(CJ1128))),(CO1128/CJ1128-1),"NM"))))))</f>
      </c>
      <c r="CP1133" s="3033" t="str">
        <f>IF(CK1128=0, "NA", CP1128/CK1128-1)</f>
      </c>
      <c r="CQ1133" s="3042"/>
      <c r="CR1133" s="3042"/>
      <c r="CS1133" s="3042"/>
      <c r="CT1133" s="3042"/>
      <c r="CU1133" s="3033"/>
      <c r="CV1133" s="3042"/>
      <c r="CW1133" s="3042"/>
      <c r="CX1133" s="3042"/>
      <c r="CY1133" s="3042"/>
      <c r="CZ1133" s="3033"/>
      <c r="DA1133" s="3042"/>
      <c r="DB1133" s="3042"/>
      <c r="DC1133" s="3042"/>
      <c r="DD1133" s="3042"/>
      <c r="DE1133" s="3033"/>
      <c r="DF1133" s="3042"/>
      <c r="DG1133" s="3042"/>
      <c r="DH1133" s="3042"/>
      <c r="DI1133" s="3042"/>
      <c r="DJ1133" s="2968"/>
      <c r="DK1133" s="2990"/>
      <c r="DL1133" s="2990"/>
      <c r="DM1133" s="2990"/>
      <c r="DN1133" s="2990"/>
      <c r="DO1133" s="2968"/>
      <c r="DP1133" s="926"/>
      <c r="DQ1133" s="926"/>
      <c r="DR1133" s="926"/>
      <c r="DS1133" s="926"/>
      <c r="DT1133" s="1060">
        <f t="shared" ref="DT1133:EG1133" si="2382">IF(DO1128=0, "NA", DT1128/DO1128-1)</f>
      </c>
      <c r="DU1133" s="926">
        <f t="shared" si="2382"/>
      </c>
      <c r="DV1133" s="926">
        <f t="shared" si="2382"/>
      </c>
      <c r="DW1133" s="926">
        <f t="shared" si="2382"/>
      </c>
      <c r="DX1133" s="928">
        <f t="shared" si="2382"/>
      </c>
      <c r="DY1133" s="1060">
        <f t="shared" si="2382"/>
      </c>
      <c r="DZ1133" s="926">
        <f t="shared" si="2382"/>
      </c>
      <c r="EA1133" s="926">
        <f t="shared" si="2382"/>
      </c>
      <c r="EB1133" s="926">
        <f t="shared" si="2382"/>
      </c>
      <c r="EC1133" s="1235">
        <f t="shared" si="2382"/>
      </c>
      <c r="ED1133" s="1536">
        <f t="shared" si="2382"/>
      </c>
      <c r="EE1133" s="926">
        <f t="shared" si="2382"/>
      </c>
      <c r="EF1133" s="926">
        <f t="shared" si="2382"/>
      </c>
      <c r="EG1133" s="926">
        <f t="shared" si="2382"/>
      </c>
      <c r="EH1133" s="926">
        <f>+EH1128/EC1128-1</f>
      </c>
      <c r="EI1133" s="1060">
        <f t="shared" ref="EI1133:EN1133" si="2383">EI1134+EI$1370</f>
      </c>
      <c r="EJ1133" s="1060">
        <f t="shared" si="2383"/>
      </c>
      <c r="EK1133" s="1060">
        <f t="shared" si="2383"/>
      </c>
      <c r="EL1133" s="1060">
        <f t="shared" si="2383"/>
      </c>
      <c r="EM1133" s="1060">
        <f t="shared" si="2383"/>
      </c>
      <c r="EN1133" s="1060">
        <f t="shared" si="2383"/>
      </c>
      <c r="EO1133" s="1060"/>
      <c r="EP1133" s="1060"/>
      <c r="EQ1133" s="1060"/>
      <c r="ER1133" s="1060"/>
      <c r="ES1133" s="1060"/>
      <c r="ET1133" s="1060"/>
      <c r="EU1133" s="1060"/>
      <c r="EV1133" s="1060"/>
      <c r="EW1133" s="1060"/>
      <c r="EX1133" s="1060"/>
    </row>
    <row r="1134" spans="2:154">
      <c r="B1134" s="454" t="s">
        <v>256</v>
      </c>
      <c r="C1134" s="1577"/>
      <c r="D1134" s="933"/>
      <c r="E1134" s="933"/>
      <c r="F1134" s="933"/>
      <c r="G1134" s="933"/>
      <c r="H1134" s="933"/>
      <c r="I1134" s="24"/>
      <c r="J1134" s="946"/>
      <c r="K1134" s="946"/>
      <c r="L1134" s="946"/>
      <c r="M1134" s="946"/>
      <c r="N1134" s="24"/>
      <c r="O1134" s="24"/>
      <c r="P1134" s="24"/>
      <c r="Q1134" s="24"/>
      <c r="R1134" s="24"/>
      <c r="S1134" s="946"/>
      <c r="T1134" s="926"/>
      <c r="U1134" s="926"/>
      <c r="V1134" s="926"/>
      <c r="W1134" s="926"/>
      <c r="X1134" s="1060"/>
      <c r="Y1134" s="926"/>
      <c r="Z1134" s="926"/>
      <c r="AA1134" s="926"/>
      <c r="AB1134" s="926"/>
      <c r="AC1134" s="1060"/>
      <c r="AD1134" s="926"/>
      <c r="AE1134" s="926"/>
      <c r="AF1134" s="926"/>
      <c r="AG1134" s="926"/>
      <c r="AH1134" s="1060"/>
      <c r="AI1134" s="926"/>
      <c r="AJ1134" s="926"/>
      <c r="AK1134" s="926"/>
      <c r="AL1134" s="926"/>
      <c r="AM1134" s="1060"/>
      <c r="AN1134" s="926"/>
      <c r="AO1134" s="926"/>
      <c r="AP1134" s="926"/>
      <c r="AQ1134" s="926"/>
      <c r="AR1134" s="1060"/>
      <c r="AS1134" s="926"/>
      <c r="AT1134" s="926"/>
      <c r="AU1134" s="926"/>
      <c r="AV1134" s="926"/>
      <c r="AW1134" s="1060"/>
      <c r="AX1134" s="926"/>
      <c r="AY1134" s="926"/>
      <c r="AZ1134" s="926"/>
      <c r="BA1134" s="926"/>
      <c r="BB1134" s="1060"/>
      <c r="BC1134" s="926"/>
      <c r="BD1134" s="926"/>
      <c r="BE1134" s="926"/>
      <c r="BF1134" s="926"/>
      <c r="BG1134" s="1060"/>
      <c r="BH1134" s="926"/>
      <c r="BI1134" s="926"/>
      <c r="BJ1134" s="926"/>
      <c r="BK1134" s="926"/>
      <c r="BL1134" s="1060"/>
      <c r="BM1134" s="926"/>
      <c r="BN1134" s="926"/>
      <c r="BO1134" s="926"/>
      <c r="BP1134" s="926"/>
      <c r="BQ1134" s="1060"/>
      <c r="BR1134" s="926"/>
      <c r="BS1134" s="926"/>
      <c r="BT1134" s="926"/>
      <c r="BU1134" s="926"/>
      <c r="BV1134" s="3033"/>
      <c r="BW1134" s="3042"/>
      <c r="BX1134" s="3042"/>
      <c r="BY1134" s="3042"/>
      <c r="BZ1134" s="3042"/>
      <c r="CA1134" s="3033"/>
      <c r="CB1134" s="3042"/>
      <c r="CC1134" s="3042"/>
      <c r="CD1134" s="3042"/>
      <c r="CE1134" s="3042"/>
      <c r="CF1134" s="3033"/>
      <c r="CG1134" s="3042"/>
      <c r="CH1134" s="3042"/>
      <c r="CI1134" s="3042"/>
      <c r="CJ1134" s="3042"/>
      <c r="CK1134" s="3033"/>
      <c r="CL1134" s="3042"/>
      <c r="CM1134" s="3042"/>
      <c r="CN1134" s="3042"/>
      <c r="CO1134" s="3042"/>
      <c r="CP1134" s="3033"/>
      <c r="CQ1134" s="3042"/>
      <c r="CR1134" s="3042"/>
      <c r="CS1134" s="3042"/>
      <c r="CT1134" s="3042"/>
      <c r="CU1134" s="3033"/>
      <c r="CV1134" s="3042"/>
      <c r="CW1134" s="3042"/>
      <c r="CX1134" s="3042"/>
      <c r="CY1134" s="3042"/>
      <c r="CZ1134" s="3033"/>
      <c r="DA1134" s="3042"/>
      <c r="DB1134" s="3042"/>
      <c r="DC1134" s="3042"/>
      <c r="DD1134" s="3042"/>
      <c r="DE1134" s="3033"/>
      <c r="DF1134" s="3042"/>
      <c r="DG1134" s="3042"/>
      <c r="DH1134" s="3042"/>
      <c r="DI1134" s="3042"/>
      <c r="DJ1134" s="2968"/>
      <c r="DK1134" s="2990"/>
      <c r="DL1134" s="2990"/>
      <c r="DM1134" s="2990"/>
      <c r="DN1134" s="2990"/>
      <c r="DO1134" s="2968"/>
      <c r="DP1134" s="926"/>
      <c r="DQ1134" s="926"/>
      <c r="DR1134" s="926"/>
      <c r="DS1134" s="926"/>
      <c r="DT1134" s="1060"/>
      <c r="DU1134" s="1741">
        <v>-0.05</v>
      </c>
      <c r="DV1134" s="1741">
        <v>0.253</v>
      </c>
      <c r="DW1134" s="1741">
        <v>3.6999999999999998E-2</v>
      </c>
      <c r="DX1134" s="2870">
        <v>0.27100000000000002</v>
      </c>
      <c r="DY1134" s="448">
        <v>0.114</v>
      </c>
      <c r="DZ1134" s="1741">
        <v>0.115</v>
      </c>
      <c r="EA1134" s="1741">
        <v>-0.01</v>
      </c>
      <c r="EB1134" s="1741">
        <v>7.4999999999999997E-2</v>
      </c>
      <c r="EC1134" s="3611">
        <v>0.123</v>
      </c>
      <c r="ED1134" s="3623">
        <v>0.107</v>
      </c>
      <c r="EE1134" s="1741">
        <v>0.17399999999999999</v>
      </c>
      <c r="EF1134" s="1741">
        <v>0.11600000000000001</v>
      </c>
      <c r="EG1134" s="1741">
        <v>-2.5000000000000001E-2</v>
      </c>
      <c r="EH1134" s="926">
        <f>EH1133-EH$1370</f>
      </c>
      <c r="EI1134" s="2634">
        <v>0.06</v>
      </c>
      <c r="EJ1134" s="2634">
        <v>0.06</v>
      </c>
      <c r="EK1134" s="2634">
        <v>0.06</v>
      </c>
      <c r="EL1134" s="2634">
        <v>0.06</v>
      </c>
      <c r="EM1134" s="2634">
        <v>0.06</v>
      </c>
      <c r="EN1134" s="2634">
        <v>0.06</v>
      </c>
      <c r="EO1134" s="660"/>
      <c r="EP1134" s="660"/>
      <c r="EQ1134" s="660"/>
      <c r="ER1134" s="660"/>
      <c r="ES1134" s="660"/>
      <c r="ET1134" s="660"/>
      <c r="EU1134" s="660"/>
      <c r="EV1134" s="660"/>
      <c r="EW1134" s="660"/>
      <c r="EX1134" s="660"/>
    </row>
    <row r="1135" spans="2:154">
      <c r="B1135" s="454" t="s">
        <v>413</v>
      </c>
      <c r="C1135" s="1577"/>
      <c r="D1135" s="933"/>
      <c r="E1135" s="933"/>
      <c r="F1135" s="933"/>
      <c r="G1135" s="933"/>
      <c r="H1135" s="933"/>
      <c r="I1135" s="926" t="str">
        <f t="shared" ref="I1135:S1135" si="2384">IF(D1129="NM","NM",IF(I1129="NM","NM",IF(D1129&lt;=0,"NM",IF(I1129=0,"NM",IF(ABS(I1129/D1129-1)&gt;2.5,"NM",IF((ABS(I1129-D1129)=ABS(ABS(I1129)-ABS(D1129))),(I1129/D1129-1),"NM"))))))</f>
      </c>
      <c r="J1135" s="926" t="str">
        <f t="shared" si="2384"/>
      </c>
      <c r="K1135" s="926" t="str">
        <f t="shared" si="2384"/>
      </c>
      <c r="L1135" s="926" t="str">
        <f t="shared" si="2384"/>
      </c>
      <c r="M1135" s="926" t="str">
        <f t="shared" si="2384"/>
      </c>
      <c r="N1135" s="926" t="str">
        <f t="shared" si="2384"/>
      </c>
      <c r="O1135" s="926" t="str">
        <f t="shared" si="2384"/>
      </c>
      <c r="P1135" s="926" t="str">
        <f t="shared" si="2384"/>
      </c>
      <c r="Q1135" s="926">
        <f t="shared" si="2384"/>
      </c>
      <c r="R1135" s="926">
        <f t="shared" si="2384"/>
      </c>
      <c r="S1135" s="926">
        <f t="shared" si="2384"/>
      </c>
      <c r="T1135" s="925">
        <f t="shared" ref="T1135:CE1135" si="2385">IF(O1129=0, "NA", T1129/O1129-1)</f>
      </c>
      <c r="U1135" s="925">
        <f t="shared" si="2385"/>
      </c>
      <c r="V1135" s="925">
        <f t="shared" si="2385"/>
      </c>
      <c r="W1135" s="927">
        <f t="shared" si="2385"/>
      </c>
      <c r="X1135" s="1060">
        <f t="shared" si="2385"/>
      </c>
      <c r="Y1135" s="925" t="str">
        <f t="shared" si="2385"/>
      </c>
      <c r="Z1135" s="925" t="str">
        <f t="shared" si="2385"/>
      </c>
      <c r="AA1135" s="925" t="str">
        <f t="shared" si="2385"/>
      </c>
      <c r="AB1135" s="927" t="str">
        <f t="shared" si="2385"/>
      </c>
      <c r="AC1135" s="1060" t="str">
        <f t="shared" si="2385"/>
      </c>
      <c r="AD1135" s="925" t="str">
        <f t="shared" si="2385"/>
      </c>
      <c r="AE1135" s="925" t="str">
        <f t="shared" si="2385"/>
      </c>
      <c r="AF1135" s="925" t="str">
        <f t="shared" si="2385"/>
      </c>
      <c r="AG1135" s="927" t="str">
        <f t="shared" si="2385"/>
      </c>
      <c r="AH1135" s="1060" t="str">
        <f t="shared" si="2385"/>
      </c>
      <c r="AI1135" s="925" t="str">
        <f t="shared" si="2385"/>
      </c>
      <c r="AJ1135" s="925" t="str">
        <f t="shared" si="2385"/>
      </c>
      <c r="AK1135" s="925" t="str">
        <f t="shared" si="2385"/>
      </c>
      <c r="AL1135" s="927" t="str">
        <f t="shared" si="2385"/>
      </c>
      <c r="AM1135" s="1060" t="str">
        <f t="shared" si="2385"/>
      </c>
      <c r="AN1135" s="925" t="str">
        <f t="shared" si="2385"/>
      </c>
      <c r="AO1135" s="925" t="str">
        <f t="shared" si="2385"/>
      </c>
      <c r="AP1135" s="925" t="str">
        <f t="shared" si="2385"/>
      </c>
      <c r="AQ1135" s="927" t="str">
        <f t="shared" si="2385"/>
      </c>
      <c r="AR1135" s="1060" t="str">
        <f t="shared" si="2385"/>
      </c>
      <c r="AS1135" s="925" t="str">
        <f t="shared" si="2385"/>
      </c>
      <c r="AT1135" s="925" t="str">
        <f t="shared" si="2385"/>
      </c>
      <c r="AU1135" s="925" t="str">
        <f t="shared" si="2385"/>
      </c>
      <c r="AV1135" s="927" t="str">
        <f t="shared" si="2385"/>
      </c>
      <c r="AW1135" s="1060" t="str">
        <f t="shared" si="2385"/>
      </c>
      <c r="AX1135" s="925" t="str">
        <f t="shared" si="2385"/>
      </c>
      <c r="AY1135" s="925" t="str">
        <f t="shared" si="2385"/>
      </c>
      <c r="AZ1135" s="925" t="str">
        <f t="shared" si="2385"/>
      </c>
      <c r="BA1135" s="927" t="str">
        <f t="shared" si="2385"/>
      </c>
      <c r="BB1135" s="1060" t="str">
        <f t="shared" si="2385"/>
      </c>
      <c r="BC1135" s="925" t="str">
        <f t="shared" si="2385"/>
      </c>
      <c r="BD1135" s="925" t="str">
        <f t="shared" si="2385"/>
      </c>
      <c r="BE1135" s="925" t="str">
        <f t="shared" si="2385"/>
      </c>
      <c r="BF1135" s="927" t="str">
        <f t="shared" si="2385"/>
      </c>
      <c r="BG1135" s="1060" t="str">
        <f t="shared" si="2385"/>
      </c>
      <c r="BH1135" s="925" t="str">
        <f t="shared" si="2385"/>
      </c>
      <c r="BI1135" s="925" t="str">
        <f t="shared" si="2385"/>
      </c>
      <c r="BJ1135" s="925" t="str">
        <f t="shared" si="2385"/>
      </c>
      <c r="BK1135" s="927" t="str">
        <f t="shared" si="2385"/>
      </c>
      <c r="BL1135" s="1060" t="str">
        <f t="shared" si="2385"/>
      </c>
      <c r="BM1135" s="925" t="str">
        <f t="shared" si="2385"/>
      </c>
      <c r="BN1135" s="925" t="str">
        <f t="shared" si="2385"/>
      </c>
      <c r="BO1135" s="925" t="str">
        <f t="shared" si="2385"/>
      </c>
      <c r="BP1135" s="927" t="str">
        <f t="shared" si="2385"/>
      </c>
      <c r="BQ1135" s="1060" t="str">
        <f t="shared" si="2385"/>
      </c>
      <c r="BR1135" s="925" t="str">
        <f t="shared" si="2385"/>
      </c>
      <c r="BS1135" s="925" t="str">
        <f t="shared" si="2385"/>
      </c>
      <c r="BT1135" s="925" t="str">
        <f t="shared" si="2385"/>
      </c>
      <c r="BU1135" s="927" t="str">
        <f t="shared" si="2385"/>
      </c>
      <c r="BV1135" s="3033" t="str">
        <f t="shared" si="2385"/>
      </c>
      <c r="BW1135" s="3042" t="str">
        <f t="shared" si="2385"/>
      </c>
      <c r="BX1135" s="3042" t="str">
        <f t="shared" si="2385"/>
      </c>
      <c r="BY1135" s="3042" t="str">
        <f t="shared" si="2385"/>
      </c>
      <c r="BZ1135" s="3043" t="str">
        <f t="shared" si="2385"/>
      </c>
      <c r="CA1135" s="3033" t="str">
        <f t="shared" si="2385"/>
      </c>
      <c r="CB1135" s="3042" t="str">
        <f t="shared" si="2385"/>
      </c>
      <c r="CC1135" s="3042" t="str">
        <f t="shared" si="2385"/>
      </c>
      <c r="CD1135" s="3042" t="str">
        <f t="shared" si="2385"/>
      </c>
      <c r="CE1135" s="3043" t="str">
        <f t="shared" si="2385"/>
      </c>
      <c r="CF1135" s="3033" t="str">
        <f t="shared" ref="CF1135:CP1135" si="2386">IF(CA1129=0, "NA", CF1129/CA1129-1)</f>
      </c>
      <c r="CG1135" s="3042" t="str">
        <f t="shared" si="2386"/>
      </c>
      <c r="CH1135" s="3042" t="str">
        <f t="shared" si="2386"/>
      </c>
      <c r="CI1135" s="3042" t="str">
        <f t="shared" si="2386"/>
      </c>
      <c r="CJ1135" s="3043" t="str">
        <f t="shared" si="2386"/>
      </c>
      <c r="CK1135" s="3033" t="str">
        <f t="shared" si="2386"/>
      </c>
      <c r="CL1135" s="3042" t="str">
        <f t="shared" si="2386"/>
      </c>
      <c r="CM1135" s="3042" t="str">
        <f t="shared" si="2386"/>
      </c>
      <c r="CN1135" s="3042" t="str">
        <f t="shared" si="2386"/>
      </c>
      <c r="CO1135" s="3043" t="str">
        <f t="shared" si="2386"/>
      </c>
      <c r="CP1135" s="3033" t="str">
        <f t="shared" si="2386"/>
      </c>
      <c r="CQ1135" s="3042"/>
      <c r="CR1135" s="3042"/>
      <c r="CS1135" s="3042"/>
      <c r="CT1135" s="3043"/>
      <c r="CU1135" s="3033"/>
      <c r="CV1135" s="3042"/>
      <c r="CW1135" s="3042"/>
      <c r="CX1135" s="3042"/>
      <c r="CY1135" s="3043"/>
      <c r="CZ1135" s="3033"/>
      <c r="DA1135" s="3042"/>
      <c r="DB1135" s="3042"/>
      <c r="DC1135" s="3042"/>
      <c r="DD1135" s="3043"/>
      <c r="DE1135" s="3033"/>
      <c r="DF1135" s="3042"/>
      <c r="DG1135" s="3042"/>
      <c r="DH1135" s="3042"/>
      <c r="DI1135" s="3043"/>
      <c r="DJ1135" s="2968"/>
      <c r="DK1135" s="2990"/>
      <c r="DL1135" s="2990"/>
      <c r="DM1135" s="2990"/>
      <c r="DN1135" s="2993"/>
      <c r="DO1135" s="2968"/>
      <c r="DP1135" s="925"/>
      <c r="DQ1135" s="925"/>
      <c r="DR1135" s="925"/>
      <c r="DS1135" s="925"/>
      <c r="DT1135" s="1060">
        <f t="shared" ref="DT1135:DY1135" si="2387">IF(DO1129=0, "NA", DT1129/DO1129-1)</f>
      </c>
      <c r="DU1135" s="926">
        <f t="shared" si="2387"/>
      </c>
      <c r="DV1135" s="926">
        <f t="shared" si="2387"/>
      </c>
      <c r="DW1135" s="926">
        <f t="shared" si="2387"/>
      </c>
      <c r="DX1135" s="928">
        <f t="shared" si="2387"/>
      </c>
      <c r="DY1135" s="1060">
        <f t="shared" si="2387"/>
      </c>
      <c r="DZ1135" s="926">
        <f>IF(DU1129=0, "NA", DZ1129/DU1129-1)</f>
      </c>
      <c r="EA1135" s="926">
        <f t="shared" ref="EA1135:EF1135" si="2388">IF(DV1129=0, "NA", EA1129/DV1129-1)</f>
      </c>
      <c r="EB1135" s="926">
        <f t="shared" si="2388"/>
      </c>
      <c r="EC1135" s="1235">
        <f t="shared" si="2388"/>
      </c>
      <c r="ED1135" s="1536">
        <f t="shared" si="2388"/>
      </c>
      <c r="EE1135" s="926">
        <f t="shared" si="2388"/>
      </c>
      <c r="EF1135" s="926">
        <f t="shared" si="2388"/>
      </c>
      <c r="EG1135" s="926">
        <f t="shared" ref="EG1135:EH1135" si="2389">IF(EB1129=0, "NA", EG1129/EB1129-1)</f>
      </c>
      <c r="EH1135" s="926">
        <f t="shared" si="2389"/>
      </c>
      <c r="EI1135" s="1060">
        <f>EI1129/ED1129-1</f>
      </c>
      <c r="EJ1135" s="1060">
        <f t="shared" ref="EJ1135:EN1135" si="2390">EJ1129/EI1129-1</f>
      </c>
      <c r="EK1135" s="1060">
        <f t="shared" si="2390"/>
      </c>
      <c r="EL1135" s="1060">
        <f t="shared" si="2390"/>
      </c>
      <c r="EM1135" s="1060">
        <f t="shared" si="2390"/>
      </c>
      <c r="EN1135" s="1060">
        <f t="shared" si="2390"/>
      </c>
      <c r="EO1135" s="928"/>
      <c r="EP1135" s="928"/>
      <c r="EQ1135" s="928"/>
      <c r="ER1135" s="928"/>
      <c r="ES1135" s="928"/>
      <c r="ET1135" s="928"/>
      <c r="EU1135" s="928"/>
      <c r="EV1135" s="928"/>
      <c r="EW1135" s="928"/>
      <c r="EX1135" s="928"/>
    </row>
    <row r="1136" spans="2:154">
      <c r="B1136" s="454" t="s">
        <v>850</v>
      </c>
      <c r="C1136" s="1577"/>
      <c r="D1136" s="933"/>
      <c r="E1136" s="933"/>
      <c r="F1136" s="933"/>
      <c r="G1136" s="933"/>
      <c r="H1136" s="933"/>
      <c r="I1136" s="926"/>
      <c r="J1136" s="926"/>
      <c r="K1136" s="926"/>
      <c r="L1136" s="926"/>
      <c r="M1136" s="926"/>
      <c r="N1136" s="926"/>
      <c r="O1136" s="926"/>
      <c r="P1136" s="926"/>
      <c r="Q1136" s="926"/>
      <c r="R1136" s="926"/>
      <c r="S1136" s="926"/>
      <c r="T1136" s="925"/>
      <c r="U1136" s="925"/>
      <c r="V1136" s="925"/>
      <c r="W1136" s="925"/>
      <c r="X1136" s="1060"/>
      <c r="Y1136" s="925"/>
      <c r="Z1136" s="925"/>
      <c r="AA1136" s="925"/>
      <c r="AB1136" s="925"/>
      <c r="AC1136" s="1060"/>
      <c r="AD1136" s="925"/>
      <c r="AE1136" s="925"/>
      <c r="AF1136" s="925"/>
      <c r="AG1136" s="925"/>
      <c r="AH1136" s="1060"/>
      <c r="AI1136" s="925"/>
      <c r="AJ1136" s="925"/>
      <c r="AK1136" s="925"/>
      <c r="AL1136" s="925"/>
      <c r="AM1136" s="1060"/>
      <c r="AN1136" s="925"/>
      <c r="AO1136" s="925"/>
      <c r="AP1136" s="925"/>
      <c r="AQ1136" s="925"/>
      <c r="AR1136" s="1060"/>
      <c r="AS1136" s="925"/>
      <c r="AT1136" s="925"/>
      <c r="AU1136" s="925"/>
      <c r="AV1136" s="925"/>
      <c r="AW1136" s="1060"/>
      <c r="AX1136" s="925"/>
      <c r="AY1136" s="925"/>
      <c r="AZ1136" s="925"/>
      <c r="BA1136" s="925"/>
      <c r="BB1136" s="1060"/>
      <c r="BC1136" s="925"/>
      <c r="BD1136" s="925"/>
      <c r="BE1136" s="925"/>
      <c r="BF1136" s="925"/>
      <c r="BG1136" s="1060"/>
      <c r="BH1136" s="925"/>
      <c r="BI1136" s="925"/>
      <c r="BJ1136" s="925"/>
      <c r="BK1136" s="925"/>
      <c r="BL1136" s="1060"/>
      <c r="BM1136" s="925"/>
      <c r="BN1136" s="925"/>
      <c r="BO1136" s="925"/>
      <c r="BP1136" s="925"/>
      <c r="BQ1136" s="1060"/>
      <c r="BR1136" s="925"/>
      <c r="BS1136" s="925"/>
      <c r="BT1136" s="925"/>
      <c r="BU1136" s="925"/>
      <c r="BV1136" s="3033"/>
      <c r="BW1136" s="3042"/>
      <c r="BX1136" s="3042"/>
      <c r="BY1136" s="3042"/>
      <c r="BZ1136" s="3042"/>
      <c r="CA1136" s="3033"/>
      <c r="CB1136" s="3042"/>
      <c r="CC1136" s="3042"/>
      <c r="CD1136" s="3042"/>
      <c r="CE1136" s="3042"/>
      <c r="CF1136" s="3033"/>
      <c r="CG1136" s="3042"/>
      <c r="CH1136" s="3042"/>
      <c r="CI1136" s="3042"/>
      <c r="CJ1136" s="3042"/>
      <c r="CK1136" s="3033"/>
      <c r="CL1136" s="3042"/>
      <c r="CM1136" s="3042"/>
      <c r="CN1136" s="3042"/>
      <c r="CO1136" s="3042"/>
      <c r="CP1136" s="3033"/>
      <c r="CQ1136" s="3042"/>
      <c r="CR1136" s="3042"/>
      <c r="CS1136" s="3042"/>
      <c r="CT1136" s="3042"/>
      <c r="CU1136" s="3043"/>
      <c r="CV1136" s="3042"/>
      <c r="CW1136" s="3042"/>
      <c r="CX1136" s="3042"/>
      <c r="CY1136" s="3042"/>
      <c r="CZ1136" s="3033"/>
      <c r="DA1136" s="3042"/>
      <c r="DB1136" s="3042"/>
      <c r="DC1136" s="3042"/>
      <c r="DD1136" s="3043"/>
      <c r="DE1136" s="3033"/>
      <c r="DF1136" s="3042"/>
      <c r="DG1136" s="3042"/>
      <c r="DH1136" s="3042"/>
      <c r="DI1136" s="3043"/>
      <c r="DJ1136" s="2968"/>
      <c r="DK1136" s="2990"/>
      <c r="DL1136" s="2990"/>
      <c r="DM1136" s="2990"/>
      <c r="DN1136" s="2990"/>
      <c r="DO1136" s="2968"/>
      <c r="DP1136" s="925"/>
      <c r="DQ1136" s="925"/>
      <c r="DR1136" s="925"/>
      <c r="DS1136" s="925"/>
      <c r="DT1136" s="1060"/>
      <c r="DU1136" s="1741">
        <v>1.0999999999999999E-2</v>
      </c>
      <c r="DV1136" s="1741">
        <v>0.188</v>
      </c>
      <c r="DW1136" s="1741">
        <v>1.6E-2</v>
      </c>
      <c r="DX1136" s="2870">
        <v>0.20699999999999999</v>
      </c>
      <c r="DY1136" s="448">
        <v>9.9000000000000005E-2</v>
      </c>
      <c r="DZ1136" s="649">
        <v>8.7999999999999995E-2</v>
      </c>
      <c r="EA1136" s="649">
        <v>2.8000000000000001E-2</v>
      </c>
      <c r="EB1136" s="649">
        <v>0.10199999999999999</v>
      </c>
      <c r="EC1136" s="3611">
        <v>0.12</v>
      </c>
      <c r="ED1136" s="3623">
        <v>7.2999999999999995E-2</v>
      </c>
      <c r="EE1136" s="649">
        <v>0.14099999999999999</v>
      </c>
      <c r="EF1136" s="649">
        <v>9.7000000000000003E-2</v>
      </c>
      <c r="EG1136" s="649">
        <v>-1.7000000000000001E-2</v>
      </c>
      <c r="EH1136" s="926">
        <f t="shared" ref="EH1136" si="2391">(EC1128*EH1134+EC1127*EH1132)/(EC1129)</f>
      </c>
      <c r="EI1136" s="1060">
        <f>(ED1128*EI1134+ED1127*EI1132)/(ED1129)</f>
      </c>
      <c r="EJ1136" s="1060">
        <f t="shared" ref="EJ1136:EN1136" si="2392">(EI1128*EJ1134+EI1127*EJ1132)/(EI1129)</f>
      </c>
      <c r="EK1136" s="1060">
        <f t="shared" si="2392"/>
      </c>
      <c r="EL1136" s="1060">
        <f t="shared" si="2392"/>
      </c>
      <c r="EM1136" s="1060">
        <f t="shared" si="2392"/>
      </c>
      <c r="EN1136" s="1060">
        <f t="shared" si="2392"/>
      </c>
      <c r="EO1136" s="926"/>
      <c r="EP1136" s="926"/>
      <c r="EQ1136" s="926"/>
      <c r="ER1136" s="926"/>
      <c r="ES1136" s="926"/>
      <c r="ET1136" s="926"/>
      <c r="EU1136" s="926"/>
      <c r="EV1136" s="926"/>
      <c r="EW1136" s="926"/>
      <c r="EX1136" s="928"/>
    </row>
    <row r="1137" spans="2:154">
      <c r="B1137" s="454"/>
      <c r="C1137" s="1577"/>
      <c r="D1137" s="933"/>
      <c r="E1137" s="933"/>
      <c r="F1137" s="933"/>
      <c r="G1137" s="933"/>
      <c r="H1137" s="933"/>
      <c r="I1137" s="926"/>
      <c r="J1137" s="926"/>
      <c r="K1137" s="926"/>
      <c r="L1137" s="926"/>
      <c r="M1137" s="926"/>
      <c r="N1137" s="926"/>
      <c r="O1137" s="926"/>
      <c r="P1137" s="926"/>
      <c r="Q1137" s="926"/>
      <c r="R1137" s="926"/>
      <c r="S1137" s="926"/>
      <c r="T1137" s="926"/>
      <c r="U1137" s="926"/>
      <c r="V1137" s="926"/>
      <c r="W1137" s="926"/>
      <c r="X1137" s="1060"/>
      <c r="Y1137" s="926"/>
      <c r="Z1137" s="926"/>
      <c r="AA1137" s="926"/>
      <c r="AB1137" s="926"/>
      <c r="AC1137" s="1060"/>
      <c r="AD1137" s="926"/>
      <c r="AE1137" s="926"/>
      <c r="AF1137" s="926"/>
      <c r="AG1137" s="926"/>
      <c r="AH1137" s="1060"/>
      <c r="AI1137" s="926"/>
      <c r="AJ1137" s="926"/>
      <c r="AK1137" s="926"/>
      <c r="AL1137" s="926"/>
      <c r="AM1137" s="1060"/>
      <c r="AN1137" s="926"/>
      <c r="AO1137" s="926"/>
      <c r="AP1137" s="926"/>
      <c r="AQ1137" s="926"/>
      <c r="AR1137" s="1060"/>
      <c r="AS1137" s="926"/>
      <c r="AT1137" s="926"/>
      <c r="AU1137" s="926"/>
      <c r="AV1137" s="926"/>
      <c r="AW1137" s="1060"/>
      <c r="AX1137" s="926"/>
      <c r="AY1137" s="926"/>
      <c r="AZ1137" s="926"/>
      <c r="BA1137" s="926"/>
      <c r="BB1137" s="1060"/>
      <c r="BC1137" s="926"/>
      <c r="BD1137" s="926"/>
      <c r="BE1137" s="926"/>
      <c r="BF1137" s="926"/>
      <c r="BG1137" s="1060"/>
      <c r="BH1137" s="926"/>
      <c r="BI1137" s="926"/>
      <c r="BJ1137" s="926"/>
      <c r="BK1137" s="926"/>
      <c r="BL1137" s="1060"/>
      <c r="BM1137" s="926"/>
      <c r="BN1137" s="926"/>
      <c r="BO1137" s="926"/>
      <c r="BP1137" s="926"/>
      <c r="BQ1137" s="1060"/>
      <c r="BR1137" s="926"/>
      <c r="BS1137" s="926"/>
      <c r="BT1137" s="926"/>
      <c r="BU1137" s="926"/>
      <c r="BV1137" s="3033"/>
      <c r="BW1137" s="3042"/>
      <c r="BX1137" s="3042"/>
      <c r="BY1137" s="3042"/>
      <c r="BZ1137" s="3042"/>
      <c r="CA1137" s="3033"/>
      <c r="CB1137" s="3042"/>
      <c r="CC1137" s="3042"/>
      <c r="CD1137" s="3042"/>
      <c r="CE1137" s="3042"/>
      <c r="CF1137" s="3033"/>
      <c r="CG1137" s="3042"/>
      <c r="CH1137" s="3042"/>
      <c r="CI1137" s="3042"/>
      <c r="CJ1137" s="3042"/>
      <c r="CK1137" s="3033"/>
      <c r="CL1137" s="3042"/>
      <c r="CM1137" s="3042"/>
      <c r="CN1137" s="3042"/>
      <c r="CO1137" s="3042"/>
      <c r="CP1137" s="3033"/>
      <c r="CQ1137" s="3042"/>
      <c r="CR1137" s="3042"/>
      <c r="CS1137" s="3042"/>
      <c r="CT1137" s="3042"/>
      <c r="CU1137" s="3043"/>
      <c r="CV1137" s="3042"/>
      <c r="CW1137" s="3042"/>
      <c r="CX1137" s="3042"/>
      <c r="CY1137" s="3042"/>
      <c r="CZ1137" s="3033"/>
      <c r="DA1137" s="3042"/>
      <c r="DB1137" s="3042"/>
      <c r="DC1137" s="3042"/>
      <c r="DD1137" s="3043"/>
      <c r="DE1137" s="3033"/>
      <c r="DF1137" s="3042"/>
      <c r="DG1137" s="3042"/>
      <c r="DH1137" s="3042"/>
      <c r="DI1137" s="3043"/>
      <c r="DJ1137" s="2968"/>
      <c r="DK1137" s="2990"/>
      <c r="DL1137" s="2990"/>
      <c r="DM1137" s="2990"/>
      <c r="DN1137" s="2990"/>
      <c r="DO1137" s="2968"/>
      <c r="DP1137" s="925"/>
      <c r="DQ1137" s="925"/>
      <c r="DR1137" s="925"/>
      <c r="DS1137" s="925"/>
      <c r="DT1137" s="1060"/>
      <c r="DU1137" s="926"/>
      <c r="DV1137" s="925"/>
      <c r="DW1137" s="925"/>
      <c r="DX1137" s="927"/>
      <c r="DY1137" s="1060"/>
      <c r="DZ1137" s="926"/>
      <c r="EA1137" s="926"/>
      <c r="EB1137" s="926"/>
      <c r="EC1137" s="1525"/>
      <c r="ED1137" s="1536"/>
      <c r="EE1137" s="926"/>
      <c r="EF1137" s="926"/>
      <c r="EG1137" s="926"/>
      <c r="EH1137" s="926"/>
      <c r="EI1137" s="1060"/>
      <c r="EJ1137" s="1060"/>
      <c r="EK1137" s="1060"/>
      <c r="EL1137" s="1060"/>
      <c r="EM1137" s="1060"/>
      <c r="EN1137" s="1060"/>
      <c r="EO1137" s="926"/>
      <c r="EP1137" s="958"/>
      <c r="EQ1137" s="958"/>
      <c r="ER1137" s="958"/>
      <c r="ES1137" s="958"/>
      <c r="ET1137" s="958"/>
      <c r="EU1137" s="958"/>
      <c r="EV1137" s="958"/>
      <c r="EW1137" s="958"/>
      <c r="EX1137" s="1060"/>
    </row>
    <row r="1138" spans="2:154" ht="12.75" hidden="1" customHeight="1" outlineLevel="1">
      <c r="B1138" s="341"/>
      <c r="C1138" s="1577"/>
      <c r="D1138" s="933"/>
      <c r="E1138" s="933"/>
      <c r="F1138" s="933"/>
      <c r="G1138" s="933"/>
      <c r="H1138" s="933"/>
      <c r="I1138" s="926"/>
      <c r="J1138" s="926"/>
      <c r="K1138" s="926"/>
      <c r="L1138" s="926"/>
      <c r="M1138" s="926"/>
      <c r="N1138" s="926"/>
      <c r="O1138" s="926"/>
      <c r="P1138" s="926"/>
      <c r="Q1138" s="926"/>
      <c r="R1138" s="926"/>
      <c r="S1138" s="926"/>
      <c r="T1138" s="926"/>
      <c r="U1138" s="926"/>
      <c r="V1138" s="926"/>
      <c r="W1138" s="926"/>
      <c r="X1138" s="1060"/>
      <c r="Y1138" s="926"/>
      <c r="Z1138" s="926"/>
      <c r="AA1138" s="926"/>
      <c r="AB1138" s="926"/>
      <c r="AC1138" s="1060"/>
      <c r="AD1138" s="926"/>
      <c r="AE1138" s="926"/>
      <c r="AF1138" s="926"/>
      <c r="AG1138" s="926"/>
      <c r="AH1138" s="1060"/>
      <c r="AI1138" s="926"/>
      <c r="AJ1138" s="926"/>
      <c r="AK1138" s="926"/>
      <c r="AL1138" s="926"/>
      <c r="AM1138" s="1060"/>
      <c r="AN1138" s="926"/>
      <c r="AO1138" s="926"/>
      <c r="AP1138" s="926"/>
      <c r="AQ1138" s="926"/>
      <c r="AR1138" s="1060"/>
      <c r="AS1138" s="926"/>
      <c r="AT1138" s="926"/>
      <c r="AU1138" s="926"/>
      <c r="AV1138" s="926"/>
      <c r="AW1138" s="1060"/>
      <c r="AX1138" s="926"/>
      <c r="AY1138" s="926"/>
      <c r="AZ1138" s="926"/>
      <c r="BA1138" s="926"/>
      <c r="BB1138" s="1060"/>
      <c r="BC1138" s="926"/>
      <c r="BD1138" s="926"/>
      <c r="BE1138" s="926"/>
      <c r="BF1138" s="926"/>
      <c r="BG1138" s="1060"/>
      <c r="BH1138" s="926"/>
      <c r="BI1138" s="926"/>
      <c r="BJ1138" s="926"/>
      <c r="BK1138" s="926"/>
      <c r="BL1138" s="1060"/>
      <c r="BM1138" s="926"/>
      <c r="BN1138" s="926"/>
      <c r="BO1138" s="926"/>
      <c r="BP1138" s="926"/>
      <c r="BQ1138" s="1060"/>
      <c r="BR1138" s="926"/>
      <c r="BS1138" s="926"/>
      <c r="BT1138" s="926"/>
      <c r="BU1138" s="926"/>
      <c r="BV1138" s="3033"/>
      <c r="BW1138" s="3042"/>
      <c r="BX1138" s="3042"/>
      <c r="BY1138" s="3042"/>
      <c r="BZ1138" s="3042"/>
      <c r="CA1138" s="3033"/>
      <c r="CB1138" s="3042"/>
      <c r="CC1138" s="3042"/>
      <c r="CD1138" s="3042"/>
      <c r="CE1138" s="3042"/>
      <c r="CF1138" s="3033"/>
      <c r="CG1138" s="3042"/>
      <c r="CH1138" s="3042"/>
      <c r="CI1138" s="3042"/>
      <c r="CJ1138" s="3042"/>
      <c r="CK1138" s="3033"/>
      <c r="CL1138" s="3042"/>
      <c r="CM1138" s="3042"/>
      <c r="CN1138" s="3042"/>
      <c r="CO1138" s="3042"/>
      <c r="CP1138" s="3033"/>
      <c r="CQ1138" s="926"/>
      <c r="CR1138" s="926"/>
      <c r="CS1138" s="926"/>
      <c r="CT1138" s="928"/>
      <c r="CU1138" s="928"/>
      <c r="CV1138" s="926"/>
      <c r="CW1138" s="926"/>
      <c r="CX1138" s="926"/>
      <c r="CY1138" s="928"/>
      <c r="CZ1138" s="1060"/>
      <c r="DA1138" s="958"/>
      <c r="DB1138" s="926"/>
      <c r="DC1138" s="926"/>
      <c r="DD1138" s="928"/>
      <c r="DE1138" s="1060"/>
      <c r="DF1138" s="958"/>
      <c r="DG1138" s="926"/>
      <c r="DH1138" s="926"/>
      <c r="DI1138" s="928"/>
      <c r="DJ1138" s="1060"/>
      <c r="DK1138" s="958"/>
      <c r="DL1138" s="926"/>
      <c r="DM1138" s="926"/>
      <c r="DN1138" s="928"/>
      <c r="DO1138" s="1060"/>
      <c r="DP1138" s="926"/>
      <c r="DQ1138" s="926"/>
      <c r="DR1138" s="926"/>
      <c r="DS1138" s="926"/>
      <c r="DT1138" s="1060"/>
      <c r="DU1138" s="926"/>
      <c r="DV1138" s="926"/>
      <c r="DW1138" s="926"/>
      <c r="DX1138" s="928"/>
      <c r="DY1138" s="1060"/>
      <c r="DZ1138" s="926"/>
      <c r="EA1138" s="926"/>
      <c r="EB1138" s="926"/>
      <c r="EC1138" s="928"/>
      <c r="ED1138" s="1060"/>
      <c r="EE1138" s="926"/>
      <c r="EF1138" s="926"/>
      <c r="EG1138" s="926"/>
      <c r="EH1138" s="926"/>
      <c r="EI1138" s="1060"/>
      <c r="EJ1138" s="1060"/>
      <c r="EK1138" s="1060"/>
      <c r="EL1138" s="1060"/>
      <c r="EM1138" s="1060"/>
      <c r="EN1138" s="1060"/>
      <c r="EO1138" s="926"/>
      <c r="EP1138" s="958"/>
      <c r="EQ1138" s="958"/>
      <c r="ER1138" s="958"/>
      <c r="ES1138" s="958"/>
      <c r="ET1138" s="958"/>
      <c r="EU1138" s="958"/>
      <c r="EV1138" s="958"/>
      <c r="EW1138" s="958"/>
      <c r="EX1138" s="1060"/>
    </row>
    <row r="1139" spans="2:154" ht="12.75" hidden="1" customHeight="1" outlineLevel="1">
      <c r="B1139" s="456" t="s">
        <v>520</v>
      </c>
      <c r="C1139" s="1577"/>
      <c r="D1139" s="933"/>
      <c r="E1139" s="933"/>
      <c r="F1139" s="933"/>
      <c r="G1139" s="933"/>
      <c r="H1139" s="933"/>
      <c r="I1139" s="31"/>
      <c r="J1139" s="933"/>
      <c r="K1139" s="933"/>
      <c r="L1139" s="933"/>
      <c r="M1139" s="933"/>
      <c r="N1139" s="31"/>
      <c r="O1139" s="31"/>
      <c r="P1139" s="31"/>
      <c r="Q1139" s="31"/>
      <c r="R1139" s="31"/>
      <c r="S1139" s="31"/>
      <c r="T1139" s="31"/>
      <c r="U1139" s="31"/>
      <c r="V1139" s="31"/>
      <c r="W1139" s="31"/>
      <c r="X1139" s="1061"/>
      <c r="Y1139" s="31"/>
      <c r="Z1139" s="31"/>
      <c r="AA1139" s="31"/>
      <c r="AB1139" s="31"/>
      <c r="AC1139" s="1061"/>
      <c r="AD1139" s="31"/>
      <c r="AE1139" s="31"/>
      <c r="AF1139" s="31"/>
      <c r="AG1139" s="31"/>
      <c r="AH1139" s="1061"/>
      <c r="AI1139" s="40"/>
      <c r="AJ1139" s="40"/>
      <c r="AK1139" s="40"/>
      <c r="AL1139" s="40"/>
      <c r="AM1139" s="1061"/>
      <c r="AN1139" s="40"/>
      <c r="AO1139" s="40"/>
      <c r="AP1139" s="40"/>
      <c r="AQ1139" s="40"/>
      <c r="AR1139" s="1061"/>
      <c r="AS1139" s="40"/>
      <c r="AT1139" s="40"/>
      <c r="AU1139" s="40"/>
      <c r="AV1139" s="40"/>
      <c r="AW1139" s="1061"/>
      <c r="AX1139" s="933"/>
      <c r="AY1139" s="933"/>
      <c r="AZ1139" s="933"/>
      <c r="BA1139" s="933"/>
      <c r="BB1139" s="1061"/>
      <c r="BC1139" s="933"/>
      <c r="BD1139" s="933"/>
      <c r="BE1139" s="933"/>
      <c r="BF1139" s="933"/>
      <c r="BG1139" s="1061"/>
      <c r="BH1139" s="933"/>
      <c r="BI1139" s="933"/>
      <c r="BJ1139" s="933"/>
      <c r="BK1139" s="933"/>
      <c r="BL1139" s="1061"/>
      <c r="BM1139" s="933"/>
      <c r="BN1139" s="933"/>
      <c r="BO1139" s="933"/>
      <c r="BP1139" s="933"/>
      <c r="BQ1139" s="1061"/>
      <c r="BR1139" s="933"/>
      <c r="BS1139" s="933"/>
      <c r="BT1139" s="933"/>
      <c r="BU1139" s="933"/>
      <c r="BV1139" s="3044"/>
      <c r="BW1139" s="3045"/>
      <c r="BX1139" s="3045"/>
      <c r="BY1139" s="3045"/>
      <c r="BZ1139" s="3045"/>
      <c r="CA1139" s="3044"/>
      <c r="CB1139" s="3045"/>
      <c r="CC1139" s="3045"/>
      <c r="CD1139" s="3045"/>
      <c r="CE1139" s="3045"/>
      <c r="CF1139" s="3044"/>
      <c r="CG1139" s="3045"/>
      <c r="CH1139" s="3045"/>
      <c r="CI1139" s="3045"/>
      <c r="CJ1139" s="3045"/>
      <c r="CK1139" s="3044"/>
      <c r="CL1139" s="3045"/>
      <c r="CM1139" s="3045"/>
      <c r="CN1139" s="3045"/>
      <c r="CO1139" s="3045"/>
      <c r="CP1139" s="3044"/>
      <c r="CQ1139" s="933"/>
      <c r="CR1139" s="933"/>
      <c r="CS1139" s="933"/>
      <c r="CT1139" s="962"/>
      <c r="CU1139" s="962"/>
      <c r="CV1139" s="933"/>
      <c r="CW1139" s="933"/>
      <c r="CX1139" s="933"/>
      <c r="CY1139" s="962"/>
      <c r="CZ1139" s="1061"/>
      <c r="DA1139" s="961"/>
      <c r="DB1139" s="933"/>
      <c r="DC1139" s="933"/>
      <c r="DD1139" s="962"/>
      <c r="DE1139" s="1866"/>
      <c r="DF1139" s="981"/>
      <c r="DG1139" s="982"/>
      <c r="DH1139" s="982"/>
      <c r="DI1139" s="1875"/>
      <c r="DJ1139" s="1866"/>
      <c r="DK1139" s="981"/>
      <c r="DL1139" s="982"/>
      <c r="DM1139" s="982"/>
      <c r="DN1139" s="1875"/>
      <c r="DO1139" s="1866"/>
      <c r="DP1139" s="982"/>
      <c r="DQ1139" s="982"/>
      <c r="DR1139" s="982"/>
      <c r="DS1139" s="982"/>
      <c r="DT1139" s="1866"/>
      <c r="DU1139" s="982"/>
      <c r="DV1139" s="982"/>
      <c r="DW1139" s="982"/>
      <c r="DX1139" s="1875"/>
      <c r="DY1139" s="1866"/>
      <c r="DZ1139" s="982"/>
      <c r="EA1139" s="982"/>
      <c r="EB1139" s="982"/>
      <c r="EC1139" s="1875"/>
      <c r="ED1139" s="1866"/>
      <c r="EE1139" s="982"/>
      <c r="EF1139" s="982"/>
      <c r="EG1139" s="982"/>
      <c r="EH1139" s="982"/>
      <c r="EI1139" s="1866"/>
      <c r="EJ1139" s="1866"/>
      <c r="EK1139" s="1866"/>
      <c r="EL1139" s="1866"/>
      <c r="EM1139" s="1866"/>
      <c r="EN1139" s="1866"/>
      <c r="EO1139" s="982"/>
      <c r="EP1139" s="981"/>
      <c r="EQ1139" s="981"/>
      <c r="ER1139" s="981"/>
      <c r="ES1139" s="981"/>
      <c r="ET1139" s="981"/>
      <c r="EU1139" s="981"/>
      <c r="EV1139" s="981"/>
      <c r="EW1139" s="981"/>
      <c r="EX1139" s="1866"/>
    </row>
    <row r="1140" spans="2:154" ht="12.75" hidden="1" customHeight="1" outlineLevel="1">
      <c r="B1140" s="438" t="s">
        <v>187</v>
      </c>
      <c r="C1140" s="1577"/>
      <c r="D1140" s="31"/>
      <c r="E1140" s="933"/>
      <c r="F1140" s="933"/>
      <c r="G1140" s="933"/>
      <c r="H1140" s="933"/>
      <c r="I1140" s="31"/>
      <c r="J1140" s="933"/>
      <c r="K1140" s="933"/>
      <c r="L1140" s="933"/>
      <c r="M1140" s="933"/>
      <c r="N1140" s="31"/>
      <c r="O1140" s="31"/>
      <c r="P1140" s="31"/>
      <c r="Q1140" s="31"/>
      <c r="R1140" s="31"/>
      <c r="S1140" s="31">
        <v>0</v>
      </c>
      <c r="T1140" s="31">
        <v>116</v>
      </c>
      <c r="U1140" s="31">
        <v>115</v>
      </c>
      <c r="V1140" s="31">
        <v>113</v>
      </c>
      <c r="W1140" s="31">
        <v>75</v>
      </c>
      <c r="X1140" s="313">
        <v>419</v>
      </c>
      <c r="Y1140" s="31">
        <v>60</v>
      </c>
      <c r="Z1140" s="31">
        <v>248</v>
      </c>
      <c r="AA1140" s="31">
        <v>433.7</v>
      </c>
      <c r="AB1140" s="31">
        <v>475</v>
      </c>
      <c r="AC1140" s="313">
        <v>1216.7</v>
      </c>
      <c r="AD1140" s="31">
        <v>434</v>
      </c>
      <c r="AE1140" s="31">
        <v>212.5</v>
      </c>
      <c r="AF1140" s="31">
        <v>270</v>
      </c>
      <c r="AG1140" s="31">
        <v>307</v>
      </c>
      <c r="AH1140" s="313">
        <v>1223.5</v>
      </c>
      <c r="AI1140" s="31">
        <v>317</v>
      </c>
      <c r="AJ1140" s="31">
        <v>320</v>
      </c>
      <c r="AK1140" s="31">
        <v>347</v>
      </c>
      <c r="AL1140" s="31">
        <v>340</v>
      </c>
      <c r="AM1140" s="313">
        <v>1324</v>
      </c>
      <c r="AN1140" s="31">
        <v>366</v>
      </c>
      <c r="AO1140" s="31">
        <v>355</v>
      </c>
      <c r="AP1140" s="31">
        <v>327</v>
      </c>
      <c r="AQ1140" s="31">
        <v>280</v>
      </c>
      <c r="AR1140" s="313">
        <v>1328</v>
      </c>
      <c r="AS1140" s="31">
        <v>239.52460575882012</v>
      </c>
      <c r="AT1140" s="31">
        <v>210</v>
      </c>
      <c r="AU1140" s="31">
        <v>185</v>
      </c>
      <c r="AV1140" s="31">
        <v>190</v>
      </c>
      <c r="AW1140" s="313">
        <v>824.52460575882014</v>
      </c>
      <c r="AX1140" s="31">
        <v>169</v>
      </c>
      <c r="AY1140" s="31">
        <v>167</v>
      </c>
      <c r="AZ1140" s="31">
        <v>97</v>
      </c>
      <c r="BA1140" s="31">
        <v>70</v>
      </c>
      <c r="BB1140" s="313">
        <f>SUM(AX1140:BA1140)</f>
      </c>
      <c r="BC1140" s="31">
        <v>68</v>
      </c>
      <c r="BD1140" s="31">
        <v>70</v>
      </c>
      <c r="BE1140" s="31">
        <v>55</v>
      </c>
      <c r="BF1140" s="31">
        <v>56</v>
      </c>
      <c r="BG1140" s="313">
        <f>SUM(BC1140:BF1140)</f>
      </c>
      <c r="BH1140" s="31">
        <v>60</v>
      </c>
      <c r="BI1140" s="33">
        <v>60</v>
      </c>
      <c r="BJ1140" s="33">
        <v>45</v>
      </c>
      <c r="BK1140" s="33">
        <v>46</v>
      </c>
      <c r="BL1140" s="313">
        <f>SUM(BH1140,BI1140,BJ1140,BK1140)</f>
      </c>
      <c r="BM1140" s="33">
        <f>BH1140*0.59</f>
      </c>
      <c r="BN1140" s="33">
        <v>20</v>
      </c>
      <c r="BO1140" s="33">
        <v>11.25</v>
      </c>
      <c r="BP1140" s="761">
        <v>7.2</v>
      </c>
      <c r="BQ1140" s="313">
        <f>SUM(BM1140,BN1140,BO1140,BP1140)</f>
      </c>
      <c r="BR1140" s="933">
        <v>0</v>
      </c>
      <c r="BS1140" s="933">
        <v>0</v>
      </c>
      <c r="BT1140" s="933">
        <v>0</v>
      </c>
      <c r="BU1140" s="933">
        <v>0</v>
      </c>
      <c r="BV1140" s="3046">
        <v>0</v>
      </c>
      <c r="BW1140" s="3045"/>
      <c r="BX1140" s="3045"/>
      <c r="BY1140" s="3045"/>
      <c r="BZ1140" s="3045"/>
      <c r="CA1140" s="3046"/>
      <c r="CB1140" s="3045"/>
      <c r="CC1140" s="3045"/>
      <c r="CD1140" s="3045"/>
      <c r="CE1140" s="3045"/>
      <c r="CF1140" s="3046"/>
      <c r="CG1140" s="3045"/>
      <c r="CH1140" s="3045"/>
      <c r="CI1140" s="3045"/>
      <c r="CJ1140" s="3045"/>
      <c r="CK1140" s="3046"/>
      <c r="CL1140" s="3045"/>
      <c r="CM1140" s="3045"/>
      <c r="CN1140" s="3045"/>
      <c r="CO1140" s="3045"/>
      <c r="CP1140" s="3046"/>
      <c r="CQ1140" s="933"/>
      <c r="CR1140" s="933"/>
      <c r="CS1140" s="933"/>
      <c r="CT1140" s="962"/>
      <c r="CU1140" s="955"/>
      <c r="CV1140" s="933"/>
      <c r="CW1140" s="933"/>
      <c r="CX1140" s="933"/>
      <c r="CY1140" s="962"/>
      <c r="CZ1140" s="313"/>
      <c r="DA1140" s="957"/>
      <c r="DB1140" s="31"/>
      <c r="DC1140" s="31"/>
      <c r="DD1140" s="955"/>
      <c r="DE1140" s="477"/>
      <c r="DF1140" s="1799"/>
      <c r="DG1140" s="603"/>
      <c r="DH1140" s="603"/>
      <c r="DI1140" s="1798"/>
      <c r="DJ1140" s="477"/>
      <c r="DK1140" s="1799"/>
      <c r="DL1140" s="603"/>
      <c r="DM1140" s="603"/>
      <c r="DN1140" s="1798"/>
      <c r="DO1140" s="477"/>
      <c r="DP1140" s="603"/>
      <c r="DQ1140" s="603"/>
      <c r="DR1140" s="603"/>
      <c r="DS1140" s="603"/>
      <c r="DT1140" s="477"/>
      <c r="DU1140" s="603"/>
      <c r="DV1140" s="603"/>
      <c r="DW1140" s="603"/>
      <c r="DX1140" s="1798"/>
      <c r="DY1140" s="477"/>
      <c r="DZ1140" s="603"/>
      <c r="EA1140" s="603"/>
      <c r="EB1140" s="603"/>
      <c r="EC1140" s="1798"/>
      <c r="ED1140" s="477"/>
      <c r="EE1140" s="603"/>
      <c r="EF1140" s="603"/>
      <c r="EG1140" s="603"/>
      <c r="EH1140" s="603"/>
      <c r="EI1140" s="477"/>
      <c r="EJ1140" s="477"/>
      <c r="EK1140" s="477"/>
      <c r="EL1140" s="477"/>
      <c r="EM1140" s="477"/>
      <c r="EN1140" s="477"/>
      <c r="EO1140" s="603"/>
      <c r="EP1140" s="1799"/>
      <c r="EQ1140" s="1799"/>
      <c r="ER1140" s="1799"/>
      <c r="ES1140" s="1799"/>
      <c r="ET1140" s="1799"/>
      <c r="EU1140" s="1799"/>
      <c r="EV1140" s="1799"/>
      <c r="EW1140" s="1799"/>
      <c r="EX1140" s="477"/>
    </row>
    <row r="1141" spans="2:154" ht="12.75" hidden="1" customHeight="1" outlineLevel="1">
      <c r="B1141" s="438" t="s">
        <v>412</v>
      </c>
      <c r="C1141" s="1577"/>
      <c r="D1141" s="31"/>
      <c r="E1141" s="933"/>
      <c r="F1141" s="933"/>
      <c r="G1141" s="933"/>
      <c r="H1141" s="933"/>
      <c r="I1141" s="31"/>
      <c r="J1141" s="933"/>
      <c r="K1141" s="933"/>
      <c r="L1141" s="933"/>
      <c r="M1141" s="933"/>
      <c r="N1141" s="31"/>
      <c r="O1141" s="31"/>
      <c r="P1141" s="31"/>
      <c r="Q1141" s="31"/>
      <c r="R1141" s="31"/>
      <c r="S1141" s="31"/>
      <c r="T1141" s="31"/>
      <c r="U1141" s="31"/>
      <c r="V1141" s="31"/>
      <c r="W1141" s="31"/>
      <c r="X1141" s="313"/>
      <c r="Y1141" s="31"/>
      <c r="Z1141" s="31"/>
      <c r="AA1141" s="31"/>
      <c r="AB1141" s="31"/>
      <c r="AC1141" s="313"/>
      <c r="AD1141" s="31">
        <v>100</v>
      </c>
      <c r="AE1141" s="31">
        <v>120</v>
      </c>
      <c r="AF1141" s="31">
        <v>170</v>
      </c>
      <c r="AG1141" s="31">
        <v>254</v>
      </c>
      <c r="AH1141" s="313">
        <v>644</v>
      </c>
      <c r="AI1141" s="31">
        <v>300</v>
      </c>
      <c r="AJ1141" s="31">
        <v>339</v>
      </c>
      <c r="AK1141" s="31">
        <v>309</v>
      </c>
      <c r="AL1141" s="31">
        <v>330</v>
      </c>
      <c r="AM1141" s="313">
        <v>1278</v>
      </c>
      <c r="AN1141" s="31">
        <v>351</v>
      </c>
      <c r="AO1141" s="31">
        <v>340</v>
      </c>
      <c r="AP1141" s="31">
        <v>300</v>
      </c>
      <c r="AQ1141" s="31">
        <v>300</v>
      </c>
      <c r="AR1141" s="313">
        <v>1291</v>
      </c>
      <c r="AS1141" s="31">
        <v>290</v>
      </c>
      <c r="AT1141" s="31">
        <v>240</v>
      </c>
      <c r="AU1141" s="31">
        <v>190</v>
      </c>
      <c r="AV1141" s="31">
        <v>225</v>
      </c>
      <c r="AW1141" s="313">
        <v>945</v>
      </c>
      <c r="AX1141" s="31">
        <v>231</v>
      </c>
      <c r="AY1141" s="31">
        <v>227</v>
      </c>
      <c r="AZ1141" s="31">
        <v>192</v>
      </c>
      <c r="BA1141" s="31">
        <v>202</v>
      </c>
      <c r="BB1141" s="313">
        <f>SUM(AX1141:BA1141)</f>
      </c>
      <c r="BC1141" s="31">
        <v>184</v>
      </c>
      <c r="BD1141" s="31">
        <v>165</v>
      </c>
      <c r="BE1141" s="31">
        <v>155</v>
      </c>
      <c r="BF1141" s="31">
        <v>167</v>
      </c>
      <c r="BG1141" s="313">
        <f>SUM(BC1141:BF1141)</f>
      </c>
      <c r="BH1141" s="31">
        <v>130</v>
      </c>
      <c r="BI1141" s="33">
        <v>110</v>
      </c>
      <c r="BJ1141" s="33">
        <v>90</v>
      </c>
      <c r="BK1141" s="33">
        <v>88</v>
      </c>
      <c r="BL1141" s="313">
        <f>SUM(BH1141,BI1141,BJ1141,BK1141)</f>
      </c>
      <c r="BM1141" s="33">
        <f>BH1141*0.59</f>
      </c>
      <c r="BN1141" s="33">
        <v>45</v>
      </c>
      <c r="BO1141" s="33">
        <v>38.880000000000003</v>
      </c>
      <c r="BP1141" s="761">
        <v>14.946962154096468</v>
      </c>
      <c r="BQ1141" s="313">
        <f>SUM(BM1141,BN1141,BO1141,BP1141)</f>
      </c>
      <c r="BR1141" s="933">
        <v>0</v>
      </c>
      <c r="BS1141" s="933">
        <v>0</v>
      </c>
      <c r="BT1141" s="933">
        <v>0</v>
      </c>
      <c r="BU1141" s="933">
        <v>0</v>
      </c>
      <c r="BV1141" s="3046">
        <v>0</v>
      </c>
      <c r="BW1141" s="3045"/>
      <c r="BX1141" s="3045"/>
      <c r="BY1141" s="3045"/>
      <c r="BZ1141" s="3045"/>
      <c r="CA1141" s="3046"/>
      <c r="CB1141" s="3045"/>
      <c r="CC1141" s="3045"/>
      <c r="CD1141" s="3045"/>
      <c r="CE1141" s="3045"/>
      <c r="CF1141" s="3046"/>
      <c r="CG1141" s="3045"/>
      <c r="CH1141" s="3045"/>
      <c r="CI1141" s="3045"/>
      <c r="CJ1141" s="3045"/>
      <c r="CK1141" s="3046"/>
      <c r="CL1141" s="3045"/>
      <c r="CM1141" s="3045"/>
      <c r="CN1141" s="3045"/>
      <c r="CO1141" s="3045"/>
      <c r="CP1141" s="3046"/>
      <c r="CQ1141" s="933"/>
      <c r="CR1141" s="933"/>
      <c r="CS1141" s="933"/>
      <c r="CT1141" s="962"/>
      <c r="CU1141" s="955"/>
      <c r="CV1141" s="933"/>
      <c r="CW1141" s="933"/>
      <c r="CX1141" s="933"/>
      <c r="CY1141" s="962"/>
      <c r="CZ1141" s="313"/>
      <c r="DA1141" s="957"/>
      <c r="DB1141" s="31"/>
      <c r="DC1141" s="31"/>
      <c r="DD1141" s="955"/>
      <c r="DE1141" s="477"/>
      <c r="DF1141" s="1799"/>
      <c r="DG1141" s="603"/>
      <c r="DH1141" s="603"/>
      <c r="DI1141" s="1798"/>
      <c r="DJ1141" s="477"/>
      <c r="DK1141" s="1799"/>
      <c r="DL1141" s="603"/>
      <c r="DM1141" s="603"/>
      <c r="DN1141" s="1798"/>
      <c r="DO1141" s="477"/>
      <c r="DP1141" s="603"/>
      <c r="DQ1141" s="603"/>
      <c r="DR1141" s="603"/>
      <c r="DS1141" s="603"/>
      <c r="DT1141" s="477"/>
      <c r="DU1141" s="603"/>
      <c r="DV1141" s="603"/>
      <c r="DW1141" s="603"/>
      <c r="DX1141" s="1798"/>
      <c r="DY1141" s="477"/>
      <c r="DZ1141" s="603"/>
      <c r="EA1141" s="603"/>
      <c r="EB1141" s="603"/>
      <c r="EC1141" s="1798"/>
      <c r="ED1141" s="477"/>
      <c r="EE1141" s="603"/>
      <c r="EF1141" s="603"/>
      <c r="EG1141" s="603"/>
      <c r="EH1141" s="603"/>
      <c r="EI1141" s="477"/>
      <c r="EJ1141" s="477"/>
      <c r="EK1141" s="477"/>
      <c r="EL1141" s="477"/>
      <c r="EM1141" s="477"/>
      <c r="EN1141" s="477"/>
      <c r="EO1141" s="603"/>
      <c r="EP1141" s="1799"/>
      <c r="EQ1141" s="1799"/>
      <c r="ER1141" s="1799"/>
      <c r="ES1141" s="1799"/>
      <c r="ET1141" s="1799"/>
      <c r="EU1141" s="1799"/>
      <c r="EV1141" s="1799"/>
      <c r="EW1141" s="1799"/>
      <c r="EX1141" s="477"/>
    </row>
    <row r="1142" spans="2:154" ht="12.75" hidden="1" customHeight="1" outlineLevel="1">
      <c r="B1142" s="438" t="s">
        <v>413</v>
      </c>
      <c r="C1142" s="1577"/>
      <c r="D1142" s="933"/>
      <c r="E1142" s="933"/>
      <c r="F1142" s="933"/>
      <c r="G1142" s="933"/>
      <c r="H1142" s="933"/>
      <c r="I1142" s="933"/>
      <c r="J1142" s="933"/>
      <c r="K1142" s="933"/>
      <c r="L1142" s="933"/>
      <c r="M1142" s="933"/>
      <c r="N1142" s="933"/>
      <c r="O1142" s="933"/>
      <c r="P1142" s="933"/>
      <c r="Q1142" s="933"/>
      <c r="R1142" s="933"/>
      <c r="S1142" s="933"/>
      <c r="T1142" s="933"/>
      <c r="U1142" s="933"/>
      <c r="V1142" s="933"/>
      <c r="W1142" s="933"/>
      <c r="X1142" s="1061"/>
      <c r="Y1142" s="933"/>
      <c r="Z1142" s="933">
        <f t="shared" ref="Z1142:BO1142" si="2393">SUM(Z1140:Z1141)</f>
      </c>
      <c r="AA1142" s="933">
        <f t="shared" si="2393"/>
      </c>
      <c r="AB1142" s="933">
        <f t="shared" si="2393"/>
      </c>
      <c r="AC1142" s="1061">
        <f t="shared" si="2393"/>
      </c>
      <c r="AD1142" s="933">
        <f t="shared" si="2393"/>
      </c>
      <c r="AE1142" s="933">
        <f t="shared" si="2393"/>
      </c>
      <c r="AF1142" s="933">
        <f t="shared" si="2393"/>
      </c>
      <c r="AG1142" s="933">
        <f t="shared" si="2393"/>
      </c>
      <c r="AH1142" s="1061">
        <f t="shared" si="2393"/>
      </c>
      <c r="AI1142" s="933">
        <f t="shared" si="2393"/>
      </c>
      <c r="AJ1142" s="933">
        <f t="shared" si="2393"/>
      </c>
      <c r="AK1142" s="933">
        <f t="shared" si="2393"/>
      </c>
      <c r="AL1142" s="933">
        <f t="shared" si="2393"/>
      </c>
      <c r="AM1142" s="1061">
        <f t="shared" si="2393"/>
      </c>
      <c r="AN1142" s="933">
        <f t="shared" si="2393"/>
      </c>
      <c r="AO1142" s="933">
        <f t="shared" si="2393"/>
      </c>
      <c r="AP1142" s="933">
        <f t="shared" si="2393"/>
      </c>
      <c r="AQ1142" s="933">
        <f t="shared" si="2393"/>
      </c>
      <c r="AR1142" s="1061">
        <f t="shared" si="2393"/>
      </c>
      <c r="AS1142" s="933">
        <f t="shared" si="2393"/>
      </c>
      <c r="AT1142" s="933">
        <f t="shared" si="2393"/>
      </c>
      <c r="AU1142" s="933">
        <f t="shared" si="2393"/>
      </c>
      <c r="AV1142" s="933">
        <f t="shared" si="2393"/>
      </c>
      <c r="AW1142" s="1061">
        <f t="shared" si="2393"/>
      </c>
      <c r="AX1142" s="933">
        <f t="shared" si="2393"/>
      </c>
      <c r="AY1142" s="933">
        <f t="shared" si="2393"/>
      </c>
      <c r="AZ1142" s="933">
        <f t="shared" si="2393"/>
      </c>
      <c r="BA1142" s="933">
        <f t="shared" si="2393"/>
      </c>
      <c r="BB1142" s="1061">
        <f t="shared" si="2393"/>
      </c>
      <c r="BC1142" s="933">
        <f t="shared" si="2393"/>
      </c>
      <c r="BD1142" s="933">
        <f t="shared" si="2393"/>
      </c>
      <c r="BE1142" s="933">
        <f t="shared" si="2393"/>
      </c>
      <c r="BF1142" s="933">
        <f t="shared" si="2393"/>
      </c>
      <c r="BG1142" s="1061">
        <f t="shared" si="2393"/>
      </c>
      <c r="BH1142" s="933">
        <f>SUM(BH1140:BH1141)</f>
      </c>
      <c r="BI1142" s="933">
        <f>SUM(BI1140:BI1141)</f>
      </c>
      <c r="BJ1142" s="933">
        <f>SUM(BJ1140:BJ1141)</f>
      </c>
      <c r="BK1142" s="933">
        <f>+BK1140+BK1141</f>
      </c>
      <c r="BL1142" s="1061">
        <f t="shared" si="2393"/>
      </c>
      <c r="BM1142" s="933">
        <f t="shared" si="2393"/>
      </c>
      <c r="BN1142" s="933">
        <f t="shared" si="2393"/>
      </c>
      <c r="BO1142" s="933">
        <f t="shared" si="2393"/>
      </c>
      <c r="BP1142" s="933">
        <f>+BP1140+BP1141</f>
      </c>
      <c r="BQ1142" s="1061">
        <f>SUM(BQ1140:BQ1141)</f>
      </c>
      <c r="BR1142" s="933">
        <v>0</v>
      </c>
      <c r="BS1142" s="933">
        <v>0</v>
      </c>
      <c r="BT1142" s="933">
        <v>0</v>
      </c>
      <c r="BU1142" s="933">
        <v>0</v>
      </c>
      <c r="BV1142" s="3044">
        <v>0</v>
      </c>
      <c r="BW1142" s="3045"/>
      <c r="BX1142" s="3045"/>
      <c r="BY1142" s="3045"/>
      <c r="BZ1142" s="3045"/>
      <c r="CA1142" s="3044"/>
      <c r="CB1142" s="3045"/>
      <c r="CC1142" s="3045"/>
      <c r="CD1142" s="3045"/>
      <c r="CE1142" s="3045"/>
      <c r="CF1142" s="3044"/>
      <c r="CG1142" s="3045"/>
      <c r="CH1142" s="3045"/>
      <c r="CI1142" s="3045"/>
      <c r="CJ1142" s="3045"/>
      <c r="CK1142" s="3044"/>
      <c r="CL1142" s="3045"/>
      <c r="CM1142" s="3045"/>
      <c r="CN1142" s="3045"/>
      <c r="CO1142" s="3045"/>
      <c r="CP1142" s="3044"/>
      <c r="CQ1142" s="933"/>
      <c r="CR1142" s="933"/>
      <c r="CS1142" s="933"/>
      <c r="CT1142" s="962"/>
      <c r="CU1142" s="962"/>
      <c r="CV1142" s="933"/>
      <c r="CW1142" s="933"/>
      <c r="CX1142" s="933"/>
      <c r="CY1142" s="962"/>
      <c r="CZ1142" s="1061"/>
      <c r="DA1142" s="961"/>
      <c r="DB1142" s="933"/>
      <c r="DC1142" s="933"/>
      <c r="DD1142" s="962"/>
      <c r="DE1142" s="1866"/>
      <c r="DF1142" s="981"/>
      <c r="DG1142" s="982"/>
      <c r="DH1142" s="982"/>
      <c r="DI1142" s="1875"/>
      <c r="DJ1142" s="1866"/>
      <c r="DK1142" s="981"/>
      <c r="DL1142" s="982"/>
      <c r="DM1142" s="982"/>
      <c r="DN1142" s="1875"/>
      <c r="DO1142" s="1866"/>
      <c r="DP1142" s="982"/>
      <c r="DQ1142" s="982"/>
      <c r="DR1142" s="982"/>
      <c r="DS1142" s="982"/>
      <c r="DT1142" s="1866"/>
      <c r="DU1142" s="982"/>
      <c r="DV1142" s="982"/>
      <c r="DW1142" s="982"/>
      <c r="DX1142" s="1875"/>
      <c r="DY1142" s="1866"/>
      <c r="DZ1142" s="982"/>
      <c r="EA1142" s="982"/>
      <c r="EB1142" s="982"/>
      <c r="EC1142" s="1875"/>
      <c r="ED1142" s="1866"/>
      <c r="EE1142" s="982"/>
      <c r="EF1142" s="982"/>
      <c r="EG1142" s="982"/>
      <c r="EH1142" s="982"/>
      <c r="EI1142" s="1866"/>
      <c r="EJ1142" s="1866"/>
      <c r="EK1142" s="1866"/>
      <c r="EL1142" s="1866"/>
      <c r="EM1142" s="1866"/>
      <c r="EN1142" s="1866"/>
      <c r="EO1142" s="982"/>
      <c r="EP1142" s="981"/>
      <c r="EQ1142" s="981"/>
      <c r="ER1142" s="981"/>
      <c r="ES1142" s="981"/>
      <c r="ET1142" s="981"/>
      <c r="EU1142" s="981"/>
      <c r="EV1142" s="981"/>
      <c r="EW1142" s="981"/>
      <c r="EX1142" s="1866"/>
    </row>
    <row r="1143" spans="2:154" ht="12.75" hidden="1" customHeight="1" outlineLevel="1">
      <c r="B1143" s="437"/>
      <c r="C1143" s="1577"/>
      <c r="D1143" s="933"/>
      <c r="E1143" s="933"/>
      <c r="F1143" s="933"/>
      <c r="G1143" s="933"/>
      <c r="H1143" s="933"/>
      <c r="I1143" s="933"/>
      <c r="J1143" s="933"/>
      <c r="K1143" s="933"/>
      <c r="L1143" s="933"/>
      <c r="M1143" s="933"/>
      <c r="N1143" s="933"/>
      <c r="O1143" s="933"/>
      <c r="P1143" s="933"/>
      <c r="Q1143" s="933"/>
      <c r="R1143" s="933"/>
      <c r="S1143" s="933"/>
      <c r="T1143" s="933"/>
      <c r="U1143" s="933"/>
      <c r="V1143" s="933"/>
      <c r="W1143" s="933"/>
      <c r="X1143" s="1061"/>
      <c r="Y1143" s="933"/>
      <c r="Z1143" s="933"/>
      <c r="AA1143" s="933"/>
      <c r="AB1143" s="933"/>
      <c r="AC1143" s="1061"/>
      <c r="AD1143" s="933"/>
      <c r="AE1143" s="933"/>
      <c r="AF1143" s="933"/>
      <c r="AG1143" s="933"/>
      <c r="AH1143" s="1061"/>
      <c r="AI1143" s="933"/>
      <c r="AJ1143" s="933"/>
      <c r="AK1143" s="933"/>
      <c r="AL1143" s="933"/>
      <c r="AM1143" s="1061"/>
      <c r="AN1143" s="933"/>
      <c r="AO1143" s="933"/>
      <c r="AP1143" s="933"/>
      <c r="AQ1143" s="933"/>
      <c r="AR1143" s="1061"/>
      <c r="AS1143" s="933"/>
      <c r="AT1143" s="933"/>
      <c r="AU1143" s="933"/>
      <c r="AV1143" s="933"/>
      <c r="AW1143" s="1061"/>
      <c r="AX1143" s="933"/>
      <c r="AY1143" s="933"/>
      <c r="AZ1143" s="933"/>
      <c r="BA1143" s="933"/>
      <c r="BB1143" s="1061"/>
      <c r="BC1143" s="933"/>
      <c r="BD1143" s="933"/>
      <c r="BE1143" s="933"/>
      <c r="BF1143" s="933"/>
      <c r="BG1143" s="1061"/>
      <c r="BH1143" s="933"/>
      <c r="BI1143" s="933"/>
      <c r="BJ1143" s="933"/>
      <c r="BK1143" s="933"/>
      <c r="BL1143" s="1061"/>
      <c r="BM1143" s="933"/>
      <c r="BN1143" s="933"/>
      <c r="BO1143" s="933"/>
      <c r="BP1143" s="933"/>
      <c r="BQ1143" s="1061"/>
      <c r="BR1143" s="933"/>
      <c r="BS1143" s="933"/>
      <c r="BT1143" s="933"/>
      <c r="BU1143" s="933"/>
      <c r="BV1143" s="3044"/>
      <c r="BW1143" s="3045"/>
      <c r="BX1143" s="3045"/>
      <c r="BY1143" s="3045"/>
      <c r="BZ1143" s="3045"/>
      <c r="CA1143" s="3044"/>
      <c r="CB1143" s="3045"/>
      <c r="CC1143" s="3045"/>
      <c r="CD1143" s="3045"/>
      <c r="CE1143" s="3045"/>
      <c r="CF1143" s="3044"/>
      <c r="CG1143" s="3045"/>
      <c r="CH1143" s="3045"/>
      <c r="CI1143" s="3045"/>
      <c r="CJ1143" s="3045"/>
      <c r="CK1143" s="3044"/>
      <c r="CL1143" s="3045"/>
      <c r="CM1143" s="3045"/>
      <c r="CN1143" s="3045"/>
      <c r="CO1143" s="3045"/>
      <c r="CP1143" s="3044"/>
      <c r="CQ1143" s="933"/>
      <c r="CR1143" s="933"/>
      <c r="CS1143" s="933"/>
      <c r="CT1143" s="962"/>
      <c r="CU1143" s="962"/>
      <c r="CV1143" s="933"/>
      <c r="CW1143" s="933"/>
      <c r="CX1143" s="933"/>
      <c r="CY1143" s="962"/>
      <c r="CZ1143" s="1061"/>
      <c r="DA1143" s="961"/>
      <c r="DB1143" s="933"/>
      <c r="DC1143" s="933"/>
      <c r="DD1143" s="962"/>
      <c r="DE1143" s="1866"/>
      <c r="DF1143" s="981"/>
      <c r="DG1143" s="982"/>
      <c r="DH1143" s="982"/>
      <c r="DI1143" s="1875"/>
      <c r="DJ1143" s="1866"/>
      <c r="DK1143" s="981"/>
      <c r="DL1143" s="982"/>
      <c r="DM1143" s="982"/>
      <c r="DN1143" s="1875"/>
      <c r="DO1143" s="1866"/>
      <c r="DP1143" s="982"/>
      <c r="DQ1143" s="982"/>
      <c r="DR1143" s="982"/>
      <c r="DS1143" s="982"/>
      <c r="DT1143" s="1866"/>
      <c r="DU1143" s="982"/>
      <c r="DV1143" s="982"/>
      <c r="DW1143" s="982"/>
      <c r="DX1143" s="1875"/>
      <c r="DY1143" s="1866"/>
      <c r="DZ1143" s="982"/>
      <c r="EA1143" s="982"/>
      <c r="EB1143" s="982"/>
      <c r="EC1143" s="1875"/>
      <c r="ED1143" s="1866"/>
      <c r="EE1143" s="982"/>
      <c r="EF1143" s="982"/>
      <c r="EG1143" s="982"/>
      <c r="EH1143" s="982"/>
      <c r="EI1143" s="1866"/>
      <c r="EJ1143" s="1866"/>
      <c r="EK1143" s="1866"/>
      <c r="EL1143" s="1866"/>
      <c r="EM1143" s="1866"/>
      <c r="EN1143" s="1866"/>
      <c r="EO1143" s="982"/>
      <c r="EP1143" s="981"/>
      <c r="EQ1143" s="981"/>
      <c r="ER1143" s="981"/>
      <c r="ES1143" s="981"/>
      <c r="ET1143" s="981"/>
      <c r="EU1143" s="981"/>
      <c r="EV1143" s="981"/>
      <c r="EW1143" s="981"/>
      <c r="EX1143" s="1866"/>
    </row>
    <row r="1144" spans="2:154" ht="12.75" hidden="1" customHeight="1" outlineLevel="1">
      <c r="B1144" s="455" t="s">
        <v>158</v>
      </c>
      <c r="C1144" s="1577"/>
      <c r="D1144" s="933"/>
      <c r="E1144" s="933"/>
      <c r="F1144" s="933"/>
      <c r="G1144" s="933"/>
      <c r="H1144" s="933"/>
      <c r="I1144" s="933"/>
      <c r="J1144" s="933"/>
      <c r="K1144" s="933"/>
      <c r="L1144" s="933"/>
      <c r="M1144" s="933"/>
      <c r="N1144" s="933"/>
      <c r="O1144" s="933"/>
      <c r="P1144" s="933"/>
      <c r="Q1144" s="933"/>
      <c r="R1144" s="933"/>
      <c r="S1144" s="933"/>
      <c r="T1144" s="933"/>
      <c r="U1144" s="933"/>
      <c r="V1144" s="933"/>
      <c r="W1144" s="933"/>
      <c r="X1144" s="1061"/>
      <c r="Y1144" s="933"/>
      <c r="Z1144" s="933"/>
      <c r="AA1144" s="933"/>
      <c r="AB1144" s="933"/>
      <c r="AC1144" s="1061"/>
      <c r="AD1144" s="933"/>
      <c r="AE1144" s="933"/>
      <c r="AF1144" s="933"/>
      <c r="AG1144" s="933"/>
      <c r="AH1144" s="1061"/>
      <c r="AI1144" s="933"/>
      <c r="AJ1144" s="933"/>
      <c r="AK1144" s="933"/>
      <c r="AL1144" s="933"/>
      <c r="AM1144" s="1061"/>
      <c r="AN1144" s="933"/>
      <c r="AO1144" s="933"/>
      <c r="AP1144" s="933"/>
      <c r="AQ1144" s="933"/>
      <c r="AR1144" s="1061"/>
      <c r="AS1144" s="933"/>
      <c r="AT1144" s="933"/>
      <c r="AU1144" s="933"/>
      <c r="AV1144" s="933"/>
      <c r="AW1144" s="1061"/>
      <c r="AX1144" s="933"/>
      <c r="AY1144" s="933"/>
      <c r="AZ1144" s="933"/>
      <c r="BA1144" s="933"/>
      <c r="BB1144" s="1061"/>
      <c r="BC1144" s="933"/>
      <c r="BD1144" s="933"/>
      <c r="BE1144" s="933"/>
      <c r="BF1144" s="933"/>
      <c r="BG1144" s="1061"/>
      <c r="BH1144" s="933"/>
      <c r="BI1144" s="933"/>
      <c r="BJ1144" s="933"/>
      <c r="BK1144" s="933"/>
      <c r="BL1144" s="1061"/>
      <c r="BM1144" s="933"/>
      <c r="BN1144" s="933"/>
      <c r="BO1144" s="933"/>
      <c r="BP1144" s="933"/>
      <c r="BQ1144" s="1061"/>
      <c r="BR1144" s="933"/>
      <c r="BS1144" s="933"/>
      <c r="BT1144" s="933"/>
      <c r="BU1144" s="933"/>
      <c r="BV1144" s="1061"/>
      <c r="BW1144" s="933"/>
      <c r="BX1144" s="933"/>
      <c r="BY1144" s="933"/>
      <c r="BZ1144" s="933"/>
      <c r="CA1144" s="1061"/>
      <c r="CB1144" s="933"/>
      <c r="CC1144" s="933"/>
      <c r="CD1144" s="933"/>
      <c r="CE1144" s="933"/>
      <c r="CF1144" s="1061"/>
      <c r="CG1144" s="933"/>
      <c r="CH1144" s="933"/>
      <c r="CI1144" s="933"/>
      <c r="CJ1144" s="933"/>
      <c r="CK1144" s="1061"/>
      <c r="CL1144" s="933"/>
      <c r="CM1144" s="933"/>
      <c r="CN1144" s="933"/>
      <c r="CO1144" s="933"/>
      <c r="CP1144" s="1061"/>
      <c r="CQ1144" s="933"/>
      <c r="CR1144" s="933"/>
      <c r="CS1144" s="933"/>
      <c r="CT1144" s="962"/>
      <c r="CU1144" s="962"/>
      <c r="CV1144" s="933"/>
      <c r="CW1144" s="933"/>
      <c r="CX1144" s="933"/>
      <c r="CY1144" s="962"/>
      <c r="CZ1144" s="1061"/>
      <c r="DA1144" s="961"/>
      <c r="DB1144" s="933"/>
      <c r="DC1144" s="933"/>
      <c r="DD1144" s="962"/>
      <c r="DE1144" s="1866"/>
      <c r="DF1144" s="981"/>
      <c r="DG1144" s="982"/>
      <c r="DH1144" s="982"/>
      <c r="DI1144" s="1875"/>
      <c r="DJ1144" s="1866"/>
      <c r="DK1144" s="981"/>
      <c r="DL1144" s="982"/>
      <c r="DM1144" s="982"/>
      <c r="DN1144" s="1875"/>
      <c r="DO1144" s="1866"/>
      <c r="DP1144" s="982"/>
      <c r="DQ1144" s="982"/>
      <c r="DR1144" s="982"/>
      <c r="DS1144" s="982"/>
      <c r="DT1144" s="1866"/>
      <c r="DU1144" s="982"/>
      <c r="DV1144" s="982"/>
      <c r="DW1144" s="982"/>
      <c r="DX1144" s="1875"/>
      <c r="DY1144" s="1866"/>
      <c r="DZ1144" s="982"/>
      <c r="EA1144" s="982"/>
      <c r="EB1144" s="982"/>
      <c r="EC1144" s="1875"/>
      <c r="ED1144" s="1866"/>
      <c r="EE1144" s="982"/>
      <c r="EF1144" s="982"/>
      <c r="EG1144" s="982"/>
      <c r="EH1144" s="982"/>
      <c r="EI1144" s="1866"/>
      <c r="EJ1144" s="1866"/>
      <c r="EK1144" s="1866"/>
      <c r="EL1144" s="1866"/>
      <c r="EM1144" s="1866"/>
      <c r="EN1144" s="1866"/>
      <c r="EO1144" s="982"/>
      <c r="EP1144" s="981"/>
      <c r="EQ1144" s="981"/>
      <c r="ER1144" s="981"/>
      <c r="ES1144" s="981"/>
      <c r="ET1144" s="981"/>
      <c r="EU1144" s="981"/>
      <c r="EV1144" s="981"/>
      <c r="EW1144" s="981"/>
      <c r="EX1144" s="1866"/>
    </row>
    <row r="1145" spans="2:154" ht="12.75" hidden="1" customHeight="1" outlineLevel="1">
      <c r="B1145" s="440" t="s">
        <v>156</v>
      </c>
      <c r="C1145" s="1577"/>
      <c r="D1145" s="933"/>
      <c r="E1145" s="933"/>
      <c r="F1145" s="933"/>
      <c r="G1145" s="933"/>
      <c r="H1145" s="933"/>
      <c r="I1145" s="2359"/>
      <c r="J1145" s="926"/>
      <c r="K1145" s="926"/>
      <c r="L1145" s="926"/>
      <c r="M1145" s="926"/>
      <c r="N1145" s="2359"/>
      <c r="O1145" s="926"/>
      <c r="P1145" s="926"/>
      <c r="Q1145" s="926"/>
      <c r="R1145" s="926"/>
      <c r="S1145" s="2359"/>
      <c r="T1145" s="926"/>
      <c r="U1145" s="926"/>
      <c r="V1145" s="926"/>
      <c r="W1145" s="926"/>
      <c r="X1145" s="1060"/>
      <c r="Y1145" s="2359"/>
      <c r="Z1145" s="2359"/>
      <c r="AA1145" s="2359"/>
      <c r="AB1145" s="926"/>
      <c r="AC1145" s="1060"/>
      <c r="AD1145" s="2359"/>
      <c r="AE1145" s="2359"/>
      <c r="AF1145" s="2359"/>
      <c r="AG1145" s="926"/>
      <c r="AH1145" s="1060"/>
      <c r="AI1145" s="2359"/>
      <c r="AJ1145" s="2359"/>
      <c r="AK1145" s="2359"/>
      <c r="AL1145" s="926"/>
      <c r="AM1145" s="1060">
        <f t="shared" ref="AM1145:BQ1146" si="2394">IF(AH1140="NM","NM",IF(AM1140="NM","NM",IF(AH1140&lt;=0,"NM",IF(AM1140=0,"NM",IF(ABS(AM1140/AH1140-1)&gt;2.5,"NM",IF((ABS(AM1140-AH1140)=ABS(ABS(AM1140)-ABS(AH1140))),(AM1140/AH1140-1),"NM"))))))</f>
      </c>
      <c r="AN1145" s="926">
        <f t="shared" si="2394"/>
      </c>
      <c r="AO1145" s="926">
        <f t="shared" si="2394"/>
      </c>
      <c r="AP1145" s="926">
        <f t="shared" si="2394"/>
      </c>
      <c r="AQ1145" s="926">
        <f t="shared" si="2394"/>
      </c>
      <c r="AR1145" s="1060">
        <f t="shared" si="2394"/>
      </c>
      <c r="AS1145" s="926">
        <f t="shared" si="2394"/>
      </c>
      <c r="AT1145" s="926">
        <f t="shared" si="2394"/>
      </c>
      <c r="AU1145" s="926">
        <f t="shared" si="2394"/>
      </c>
      <c r="AV1145" s="926">
        <f t="shared" si="2394"/>
      </c>
      <c r="AW1145" s="1060">
        <f t="shared" si="2394"/>
      </c>
      <c r="AX1145" s="926">
        <f t="shared" si="2394"/>
      </c>
      <c r="AY1145" s="926">
        <f t="shared" si="2394"/>
      </c>
      <c r="AZ1145" s="926">
        <f t="shared" si="2394"/>
      </c>
      <c r="BA1145" s="926">
        <f t="shared" si="2394"/>
      </c>
      <c r="BB1145" s="1060">
        <f t="shared" si="2394"/>
      </c>
      <c r="BC1145" s="926">
        <f t="shared" si="2394"/>
      </c>
      <c r="BD1145" s="926">
        <f t="shared" si="2394"/>
      </c>
      <c r="BE1145" s="926">
        <f t="shared" si="2394"/>
      </c>
      <c r="BF1145" s="926">
        <f t="shared" si="2394"/>
      </c>
      <c r="BG1145" s="1060">
        <f t="shared" si="2394"/>
      </c>
      <c r="BH1145" s="926">
        <f t="shared" si="2394"/>
      </c>
      <c r="BI1145" s="926">
        <f t="shared" si="2394"/>
      </c>
      <c r="BJ1145" s="926">
        <f t="shared" si="2394"/>
      </c>
      <c r="BK1145" s="926">
        <f t="shared" si="2394"/>
      </c>
      <c r="BL1145" s="1060">
        <f t="shared" si="2394"/>
      </c>
      <c r="BM1145" s="926">
        <f t="shared" si="2394"/>
      </c>
      <c r="BN1145" s="926">
        <f t="shared" si="2394"/>
      </c>
      <c r="BO1145" s="926">
        <f t="shared" si="2394"/>
      </c>
      <c r="BP1145" s="926">
        <f>IF(BK1140="NM","NM",IF(BP1140="NM","NM",IF(BK1140&lt;=0,"NM",IF(BP1140=0,"NM",IF(ABS(BP1140/BK1140-1)&gt;2.5,"NM",IF((ABS(BP1140-BK1140)=ABS(ABS(BP1140)-ABS(BK1140))),(BP1140/BK1140-1),"NM"))))))</f>
      </c>
      <c r="BQ1145" s="1060">
        <f t="shared" si="2394"/>
      </c>
      <c r="BR1145" s="29"/>
      <c r="BS1145" s="29"/>
      <c r="BT1145" s="29"/>
      <c r="BU1145" s="926"/>
      <c r="BV1145" s="314"/>
      <c r="BW1145" s="29"/>
      <c r="BX1145" s="29"/>
      <c r="BY1145" s="29"/>
      <c r="BZ1145" s="29"/>
      <c r="CA1145" s="314"/>
      <c r="CB1145" s="29"/>
      <c r="CC1145" s="29"/>
      <c r="CD1145" s="29"/>
      <c r="CE1145" s="29"/>
      <c r="CF1145" s="314"/>
      <c r="CG1145" s="29"/>
      <c r="CH1145" s="29"/>
      <c r="CI1145" s="29"/>
      <c r="CJ1145" s="29"/>
      <c r="CK1145" s="314"/>
      <c r="CL1145" s="29"/>
      <c r="CM1145" s="29"/>
      <c r="CN1145" s="29"/>
      <c r="CO1145" s="29"/>
      <c r="CP1145" s="314"/>
      <c r="CQ1145" s="29"/>
      <c r="CR1145" s="29"/>
      <c r="CS1145" s="29"/>
      <c r="CT1145" s="836"/>
      <c r="CU1145" s="2360"/>
      <c r="CV1145" s="29"/>
      <c r="CW1145" s="29"/>
      <c r="CX1145" s="29"/>
      <c r="CY1145" s="836"/>
      <c r="CZ1145" s="314"/>
      <c r="DA1145" s="2361"/>
      <c r="DB1145" s="2352"/>
      <c r="DC1145" s="2352"/>
      <c r="DD1145" s="2360"/>
      <c r="DE1145" s="317"/>
      <c r="DF1145" s="400"/>
      <c r="DG1145" s="29"/>
      <c r="DH1145" s="29"/>
      <c r="DI1145" s="836"/>
      <c r="DJ1145" s="317"/>
      <c r="DK1145" s="400"/>
      <c r="DL1145" s="29"/>
      <c r="DM1145" s="29"/>
      <c r="DN1145" s="836"/>
      <c r="DO1145" s="317"/>
      <c r="DP1145" s="29"/>
      <c r="DQ1145" s="29"/>
      <c r="DR1145" s="29"/>
      <c r="DS1145" s="29"/>
      <c r="DT1145" s="317"/>
      <c r="DU1145" s="29"/>
      <c r="DV1145" s="29"/>
      <c r="DW1145" s="29"/>
      <c r="DX1145" s="836"/>
      <c r="DY1145" s="317"/>
      <c r="DZ1145" s="29"/>
      <c r="EA1145" s="29"/>
      <c r="EB1145" s="29"/>
      <c r="EC1145" s="836"/>
      <c r="ED1145" s="317"/>
      <c r="EE1145" s="29"/>
      <c r="EF1145" s="29"/>
      <c r="EG1145" s="29"/>
      <c r="EH1145" s="29"/>
      <c r="EI1145" s="317"/>
      <c r="EJ1145" s="317"/>
      <c r="EK1145" s="317"/>
      <c r="EL1145" s="317"/>
      <c r="EM1145" s="317"/>
      <c r="EN1145" s="317"/>
      <c r="EO1145" s="29"/>
      <c r="EP1145" s="400"/>
      <c r="EQ1145" s="400"/>
      <c r="ER1145" s="400"/>
      <c r="ES1145" s="400"/>
      <c r="ET1145" s="400"/>
      <c r="EU1145" s="400"/>
      <c r="EV1145" s="400"/>
      <c r="EW1145" s="400"/>
      <c r="EX1145" s="317"/>
    </row>
    <row r="1146" spans="2:154" ht="12.75" hidden="1" customHeight="1" outlineLevel="1">
      <c r="B1146" s="440" t="s">
        <v>235</v>
      </c>
      <c r="C1146" s="1577"/>
      <c r="D1146" s="933"/>
      <c r="E1146" s="933"/>
      <c r="F1146" s="933"/>
      <c r="G1146" s="933"/>
      <c r="H1146" s="933"/>
      <c r="I1146" s="2359"/>
      <c r="J1146" s="926"/>
      <c r="K1146" s="926"/>
      <c r="L1146" s="926"/>
      <c r="M1146" s="926"/>
      <c r="N1146" s="2359"/>
      <c r="O1146" s="926"/>
      <c r="P1146" s="926"/>
      <c r="Q1146" s="926"/>
      <c r="R1146" s="926"/>
      <c r="S1146" s="2359"/>
      <c r="T1146" s="926"/>
      <c r="U1146" s="926"/>
      <c r="V1146" s="926"/>
      <c r="W1146" s="926"/>
      <c r="X1146" s="1060"/>
      <c r="Y1146" s="2359"/>
      <c r="Z1146" s="2359"/>
      <c r="AA1146" s="2359"/>
      <c r="AB1146" s="926"/>
      <c r="AC1146" s="1060"/>
      <c r="AD1146" s="2359"/>
      <c r="AE1146" s="2359"/>
      <c r="AF1146" s="2359"/>
      <c r="AG1146" s="926"/>
      <c r="AH1146" s="1060"/>
      <c r="AI1146" s="2359"/>
      <c r="AJ1146" s="2359"/>
      <c r="AK1146" s="2359"/>
      <c r="AL1146" s="926"/>
      <c r="AM1146" s="1060">
        <f t="shared" si="2394"/>
      </c>
      <c r="AN1146" s="926">
        <f t="shared" si="2394"/>
      </c>
      <c r="AO1146" s="926">
        <f t="shared" si="2394"/>
      </c>
      <c r="AP1146" s="926">
        <f t="shared" si="2394"/>
      </c>
      <c r="AQ1146" s="926">
        <f t="shared" si="2394"/>
      </c>
      <c r="AR1146" s="1060">
        <f t="shared" si="2394"/>
      </c>
      <c r="AS1146" s="926">
        <f t="shared" si="2394"/>
      </c>
      <c r="AT1146" s="926">
        <f t="shared" si="2394"/>
      </c>
      <c r="AU1146" s="926">
        <f t="shared" si="2394"/>
      </c>
      <c r="AV1146" s="926">
        <f t="shared" si="2394"/>
      </c>
      <c r="AW1146" s="1060">
        <f t="shared" si="2394"/>
      </c>
      <c r="AX1146" s="926">
        <f t="shared" si="2394"/>
      </c>
      <c r="AY1146" s="926">
        <f t="shared" si="2394"/>
      </c>
      <c r="AZ1146" s="926">
        <f t="shared" si="2394"/>
      </c>
      <c r="BA1146" s="926">
        <f t="shared" si="2394"/>
      </c>
      <c r="BB1146" s="1060">
        <f t="shared" si="2394"/>
      </c>
      <c r="BC1146" s="926">
        <f t="shared" si="2394"/>
      </c>
      <c r="BD1146" s="926">
        <f t="shared" si="2394"/>
      </c>
      <c r="BE1146" s="926">
        <f t="shared" si="2394"/>
      </c>
      <c r="BF1146" s="926">
        <f t="shared" si="2394"/>
      </c>
      <c r="BG1146" s="1060">
        <f t="shared" si="2394"/>
      </c>
      <c r="BH1146" s="926">
        <f t="shared" si="2394"/>
      </c>
      <c r="BI1146" s="926">
        <f t="shared" si="2394"/>
      </c>
      <c r="BJ1146" s="926">
        <f t="shared" si="2394"/>
      </c>
      <c r="BK1146" s="926">
        <f t="shared" si="2394"/>
      </c>
      <c r="BL1146" s="1060">
        <f t="shared" si="2394"/>
      </c>
      <c r="BM1146" s="926">
        <f t="shared" si="2394"/>
      </c>
      <c r="BN1146" s="926">
        <f t="shared" si="2394"/>
      </c>
      <c r="BO1146" s="926">
        <f t="shared" si="2394"/>
      </c>
      <c r="BP1146" s="926">
        <f>IF(BK1141="NM","NM",IF(BP1141="NM","NM",IF(BK1141&lt;=0,"NM",IF(BP1141=0,"NM",IF(ABS(BP1141/BK1141-1)&gt;2.5,"NM",IF((ABS(BP1141-BK1141)=ABS(ABS(BP1141)-ABS(BK1141))),(BP1141/BK1141-1),"NM"))))))</f>
      </c>
      <c r="BQ1146" s="1060">
        <f t="shared" si="2394"/>
      </c>
      <c r="BR1146" s="926"/>
      <c r="BS1146" s="926"/>
      <c r="BT1146" s="926"/>
      <c r="BU1146" s="926"/>
      <c r="BV1146" s="1060"/>
      <c r="BW1146" s="926"/>
      <c r="BX1146" s="926"/>
      <c r="BY1146" s="926"/>
      <c r="BZ1146" s="926"/>
      <c r="CA1146" s="1060"/>
      <c r="CB1146" s="926"/>
      <c r="CC1146" s="926"/>
      <c r="CD1146" s="926"/>
      <c r="CE1146" s="926"/>
      <c r="CF1146" s="1060"/>
      <c r="CG1146" s="926"/>
      <c r="CH1146" s="926"/>
      <c r="CI1146" s="926"/>
      <c r="CJ1146" s="926"/>
      <c r="CK1146" s="1060"/>
      <c r="CL1146" s="926"/>
      <c r="CM1146" s="926"/>
      <c r="CN1146" s="926"/>
      <c r="CO1146" s="926"/>
      <c r="CP1146" s="1060"/>
      <c r="CQ1146" s="926"/>
      <c r="CR1146" s="926"/>
      <c r="CS1146" s="926"/>
      <c r="CT1146" s="928"/>
      <c r="CU1146" s="928"/>
      <c r="CV1146" s="926"/>
      <c r="CW1146" s="926"/>
      <c r="CX1146" s="926"/>
      <c r="CY1146" s="928"/>
      <c r="CZ1146" s="1060"/>
      <c r="DA1146" s="958"/>
      <c r="DB1146" s="926"/>
      <c r="DC1146" s="926"/>
      <c r="DD1146" s="928"/>
      <c r="DE1146" s="1060"/>
      <c r="DF1146" s="958"/>
      <c r="DG1146" s="926"/>
      <c r="DH1146" s="926"/>
      <c r="DI1146" s="928"/>
      <c r="DJ1146" s="1060"/>
      <c r="DK1146" s="958"/>
      <c r="DL1146" s="926"/>
      <c r="DM1146" s="926"/>
      <c r="DN1146" s="928"/>
      <c r="DO1146" s="1060"/>
      <c r="DP1146" s="926"/>
      <c r="DQ1146" s="926"/>
      <c r="DR1146" s="926"/>
      <c r="DS1146" s="926"/>
      <c r="DT1146" s="1060"/>
      <c r="DU1146" s="926"/>
      <c r="DV1146" s="926"/>
      <c r="DW1146" s="926"/>
      <c r="DX1146" s="928"/>
      <c r="DY1146" s="1060"/>
      <c r="DZ1146" s="926"/>
      <c r="EA1146" s="926"/>
      <c r="EB1146" s="926"/>
      <c r="EC1146" s="928"/>
      <c r="ED1146" s="1060"/>
      <c r="EE1146" s="926"/>
      <c r="EF1146" s="926"/>
      <c r="EG1146" s="926"/>
      <c r="EH1146" s="926"/>
      <c r="EI1146" s="1060"/>
      <c r="EJ1146" s="1060"/>
      <c r="EK1146" s="1060"/>
      <c r="EL1146" s="1060"/>
      <c r="EM1146" s="1060"/>
      <c r="EN1146" s="1060"/>
      <c r="EO1146" s="926"/>
      <c r="EP1146" s="958"/>
      <c r="EQ1146" s="958"/>
      <c r="ER1146" s="958"/>
      <c r="ES1146" s="958"/>
      <c r="ET1146" s="958"/>
      <c r="EU1146" s="958"/>
      <c r="EV1146" s="958"/>
      <c r="EW1146" s="958"/>
      <c r="EX1146" s="1060"/>
    </row>
    <row r="1147" spans="2:154" ht="12.75" hidden="1" customHeight="1" outlineLevel="1">
      <c r="B1147" s="440" t="s">
        <v>157</v>
      </c>
      <c r="C1147" s="1577"/>
      <c r="D1147" s="933"/>
      <c r="E1147" s="933"/>
      <c r="F1147" s="933"/>
      <c r="G1147" s="933"/>
      <c r="H1147" s="933"/>
      <c r="I1147" s="24"/>
      <c r="J1147" s="946"/>
      <c r="K1147" s="946"/>
      <c r="L1147" s="946"/>
      <c r="M1147" s="946"/>
      <c r="N1147" s="24"/>
      <c r="O1147" s="24"/>
      <c r="P1147" s="24"/>
      <c r="Q1147" s="24"/>
      <c r="R1147" s="24"/>
      <c r="S1147" s="946"/>
      <c r="T1147" s="24"/>
      <c r="U1147" s="24"/>
      <c r="V1147" s="24"/>
      <c r="W1147" s="24"/>
      <c r="X1147" s="2248"/>
      <c r="Y1147" s="24"/>
      <c r="Z1147" s="24"/>
      <c r="AA1147" s="24"/>
      <c r="AB1147" s="24"/>
      <c r="AC1147" s="2248"/>
      <c r="AD1147" s="24"/>
      <c r="AE1147" s="24"/>
      <c r="AF1147" s="24"/>
      <c r="AG1147" s="24"/>
      <c r="AH1147" s="2248"/>
      <c r="AI1147" s="946"/>
      <c r="AJ1147" s="946"/>
      <c r="AK1147" s="946"/>
      <c r="AL1147" s="24"/>
      <c r="AM1147" s="2248">
        <f t="shared" ref="AM1147:BG1147" si="2395">IF(ISNUMBER(AM1146),(1+AM1146)/(1+AM$21)-1,"NM")</f>
      </c>
      <c r="AN1147" s="959">
        <f t="shared" si="2395"/>
      </c>
      <c r="AO1147" s="959">
        <f t="shared" si="2395"/>
      </c>
      <c r="AP1147" s="959">
        <f t="shared" si="2395"/>
      </c>
      <c r="AQ1147" s="959">
        <f t="shared" si="2395"/>
      </c>
      <c r="AR1147" s="2248">
        <f t="shared" si="2395"/>
      </c>
      <c r="AS1147" s="959">
        <f t="shared" si="2395"/>
      </c>
      <c r="AT1147" s="959">
        <f t="shared" si="2395"/>
      </c>
      <c r="AU1147" s="959">
        <f t="shared" si="2395"/>
      </c>
      <c r="AV1147" s="959">
        <f t="shared" si="2395"/>
      </c>
      <c r="AW1147" s="2248">
        <f t="shared" si="2395"/>
      </c>
      <c r="AX1147" s="959">
        <f t="shared" si="2395"/>
      </c>
      <c r="AY1147" s="959">
        <f t="shared" si="2395"/>
      </c>
      <c r="AZ1147" s="959">
        <f t="shared" si="2395"/>
      </c>
      <c r="BA1147" s="959">
        <f t="shared" si="2395"/>
      </c>
      <c r="BB1147" s="2248">
        <f t="shared" si="2395"/>
      </c>
      <c r="BC1147" s="959">
        <f t="shared" si="2395"/>
      </c>
      <c r="BD1147" s="959">
        <f t="shared" si="2395"/>
      </c>
      <c r="BE1147" s="959">
        <f t="shared" si="2395"/>
      </c>
      <c r="BF1147" s="959">
        <f t="shared" si="2395"/>
      </c>
      <c r="BG1147" s="2248">
        <f t="shared" si="2395"/>
      </c>
      <c r="BH1147" s="959">
        <f>IF(ISNUMBER(BH1146),(1+BH1146)/(1+BH$21)-1,"NM")</f>
      </c>
      <c r="BI1147" s="959">
        <f>IF(ISNUMBER(BI1146),(1+BI1146)/(1+BI$21)-1,"NM")</f>
      </c>
      <c r="BJ1147" s="959">
        <f t="shared" ref="BJ1147:BQ1147" si="2396">IF(ISNUMBER(BJ1146),(1+BJ1146)/(1+BJ$21)-1,"NM")</f>
      </c>
      <c r="BK1147" s="959">
        <f t="shared" si="2396"/>
      </c>
      <c r="BL1147" s="2248">
        <f t="shared" si="2396"/>
      </c>
      <c r="BM1147" s="959">
        <f t="shared" si="2396"/>
      </c>
      <c r="BN1147" s="959">
        <f t="shared" si="2396"/>
      </c>
      <c r="BO1147" s="959">
        <f t="shared" si="2396"/>
      </c>
      <c r="BP1147" s="926">
        <f t="shared" si="2396"/>
      </c>
      <c r="BQ1147" s="2248">
        <f t="shared" si="2396"/>
      </c>
      <c r="BR1147" s="29"/>
      <c r="BS1147" s="29"/>
      <c r="BT1147" s="29"/>
      <c r="BU1147" s="926"/>
      <c r="BV1147" s="317"/>
      <c r="BW1147" s="29"/>
      <c r="BX1147" s="29"/>
      <c r="BY1147" s="29"/>
      <c r="BZ1147" s="29"/>
      <c r="CA1147" s="317"/>
      <c r="CB1147" s="29"/>
      <c r="CC1147" s="29"/>
      <c r="CD1147" s="29"/>
      <c r="CE1147" s="29"/>
      <c r="CF1147" s="317"/>
      <c r="CG1147" s="29"/>
      <c r="CH1147" s="29"/>
      <c r="CI1147" s="29"/>
      <c r="CJ1147" s="29"/>
      <c r="CK1147" s="317"/>
      <c r="CL1147" s="29"/>
      <c r="CM1147" s="29"/>
      <c r="CN1147" s="29"/>
      <c r="CO1147" s="29"/>
      <c r="CP1147" s="317"/>
      <c r="CQ1147" s="29"/>
      <c r="CR1147" s="29"/>
      <c r="CS1147" s="29"/>
      <c r="CT1147" s="836"/>
      <c r="CU1147" s="836"/>
      <c r="CV1147" s="29"/>
      <c r="CW1147" s="29"/>
      <c r="CX1147" s="29"/>
      <c r="CY1147" s="836"/>
      <c r="CZ1147" s="317"/>
      <c r="DA1147" s="400"/>
      <c r="DB1147" s="29"/>
      <c r="DC1147" s="29"/>
      <c r="DD1147" s="836"/>
      <c r="DE1147" s="317"/>
      <c r="DF1147" s="400"/>
      <c r="DG1147" s="29"/>
      <c r="DH1147" s="29"/>
      <c r="DI1147" s="836"/>
      <c r="DJ1147" s="317"/>
      <c r="DK1147" s="400"/>
      <c r="DL1147" s="29"/>
      <c r="DM1147" s="29"/>
      <c r="DN1147" s="836"/>
      <c r="DO1147" s="317"/>
      <c r="DP1147" s="29"/>
      <c r="DQ1147" s="29"/>
      <c r="DR1147" s="29"/>
      <c r="DS1147" s="29"/>
      <c r="DT1147" s="317"/>
      <c r="DU1147" s="29"/>
      <c r="DV1147" s="29"/>
      <c r="DW1147" s="29"/>
      <c r="DX1147" s="836"/>
      <c r="DY1147" s="317"/>
      <c r="DZ1147" s="29"/>
      <c r="EA1147" s="29"/>
      <c r="EB1147" s="29"/>
      <c r="EC1147" s="836"/>
      <c r="ED1147" s="317"/>
      <c r="EE1147" s="29"/>
      <c r="EF1147" s="29"/>
      <c r="EG1147" s="29"/>
      <c r="EH1147" s="29"/>
      <c r="EI1147" s="317"/>
      <c r="EJ1147" s="317"/>
      <c r="EK1147" s="317"/>
      <c r="EL1147" s="317"/>
      <c r="EM1147" s="317"/>
      <c r="EN1147" s="317"/>
      <c r="EO1147" s="29"/>
      <c r="EP1147" s="400"/>
      <c r="EQ1147" s="400"/>
      <c r="ER1147" s="400"/>
      <c r="ES1147" s="400"/>
      <c r="ET1147" s="400"/>
      <c r="EU1147" s="400"/>
      <c r="EV1147" s="400"/>
      <c r="EW1147" s="400"/>
      <c r="EX1147" s="317"/>
    </row>
    <row r="1148" spans="2:154" ht="12.75" hidden="1" customHeight="1" outlineLevel="1">
      <c r="B1148" s="440" t="s">
        <v>19</v>
      </c>
      <c r="C1148" s="1577"/>
      <c r="D1148" s="933"/>
      <c r="E1148" s="933"/>
      <c r="F1148" s="933"/>
      <c r="G1148" s="933"/>
      <c r="H1148" s="933"/>
      <c r="I1148" s="29"/>
      <c r="J1148" s="926"/>
      <c r="K1148" s="926"/>
      <c r="L1148" s="926"/>
      <c r="M1148" s="926"/>
      <c r="N1148" s="926"/>
      <c r="O1148" s="926"/>
      <c r="P1148" s="926"/>
      <c r="Q1148" s="926"/>
      <c r="R1148" s="926"/>
      <c r="S1148" s="926"/>
      <c r="T1148" s="926"/>
      <c r="U1148" s="926"/>
      <c r="V1148" s="926"/>
      <c r="W1148" s="926"/>
      <c r="X1148" s="1060"/>
      <c r="Y1148" s="926"/>
      <c r="Z1148" s="926"/>
      <c r="AA1148" s="926"/>
      <c r="AB1148" s="926"/>
      <c r="AC1148" s="1060"/>
      <c r="AD1148" s="926"/>
      <c r="AE1148" s="926"/>
      <c r="AF1148" s="926"/>
      <c r="AG1148" s="926"/>
      <c r="AH1148" s="1060"/>
      <c r="AI1148" s="926"/>
      <c r="AJ1148" s="926"/>
      <c r="AK1148" s="926"/>
      <c r="AL1148" s="926"/>
      <c r="AM1148" s="1060">
        <f t="shared" ref="AM1148:BO1148" si="2397">IF(AH1142="NM","NM",IF(AM1142="NM","NM",IF(AH1142&lt;=0,"NM",IF(AM1142=0,"NM",IF(ABS(AM1142/AH1142-1)&gt;2.5,"NM",IF((ABS(AM1142-AH1142)=ABS(ABS(AM1142)-ABS(AH1142))),(AM1142/AH1142-1),"NM"))))))</f>
      </c>
      <c r="AN1148" s="926">
        <f t="shared" si="2397"/>
      </c>
      <c r="AO1148" s="926">
        <f t="shared" si="2397"/>
      </c>
      <c r="AP1148" s="926">
        <f t="shared" si="2397"/>
      </c>
      <c r="AQ1148" s="926">
        <f t="shared" si="2397"/>
      </c>
      <c r="AR1148" s="1060">
        <f t="shared" si="2397"/>
      </c>
      <c r="AS1148" s="926">
        <f t="shared" si="2397"/>
      </c>
      <c r="AT1148" s="926">
        <f t="shared" si="2397"/>
      </c>
      <c r="AU1148" s="926">
        <f t="shared" si="2397"/>
      </c>
      <c r="AV1148" s="926">
        <f t="shared" si="2397"/>
      </c>
      <c r="AW1148" s="1060">
        <f t="shared" si="2397"/>
      </c>
      <c r="AX1148" s="926">
        <f t="shared" si="2397"/>
      </c>
      <c r="AY1148" s="926">
        <f t="shared" si="2397"/>
      </c>
      <c r="AZ1148" s="926">
        <f t="shared" si="2397"/>
      </c>
      <c r="BA1148" s="926">
        <f t="shared" si="2397"/>
      </c>
      <c r="BB1148" s="1060">
        <f t="shared" si="2397"/>
      </c>
      <c r="BC1148" s="926">
        <f t="shared" si="2397"/>
      </c>
      <c r="BD1148" s="926">
        <f t="shared" si="2397"/>
      </c>
      <c r="BE1148" s="926">
        <f t="shared" si="2397"/>
      </c>
      <c r="BF1148" s="926">
        <f t="shared" si="2397"/>
      </c>
      <c r="BG1148" s="1060">
        <f t="shared" si="2397"/>
      </c>
      <c r="BH1148" s="926">
        <f t="shared" si="2397"/>
      </c>
      <c r="BI1148" s="926">
        <f t="shared" si="2397"/>
      </c>
      <c r="BJ1148" s="926">
        <f t="shared" si="2397"/>
      </c>
      <c r="BK1148" s="926">
        <f t="shared" si="2397"/>
      </c>
      <c r="BL1148" s="1060">
        <f t="shared" si="2397"/>
      </c>
      <c r="BM1148" s="926">
        <f t="shared" si="2397"/>
      </c>
      <c r="BN1148" s="926">
        <f t="shared" si="2397"/>
      </c>
      <c r="BO1148" s="926">
        <f t="shared" si="2397"/>
      </c>
      <c r="BP1148" s="926">
        <f>IF(BK1142="NM","NM",IF(BP1142="NM","NM",IF(BK1142&lt;=0,"NM",IF(BP1142=0,"NM",IF(ABS(BP1142/BK1142-1)&gt;2.5,"NM",IF((ABS(BP1142-BK1142)=ABS(ABS(BP1142)-ABS(BK1142))),(BP1142/BK1142-1),"NM"))))))</f>
      </c>
      <c r="BQ1148" s="1060">
        <f>IF(BL1142="NM","NM",IF(BQ1142="NM","NM",IF(BL1142&lt;=0,"NM",IF(BQ1142=0,"NM",IF(ABS(BQ1142/BL1142-1)&gt;2.5,"NM",IF((ABS(BQ1142-BL1142)=ABS(ABS(BQ1142)-ABS(BL1142))),(BQ1142/BL1142-1),"NM"))))))</f>
      </c>
      <c r="BR1148" s="926"/>
      <c r="BS1148" s="926"/>
      <c r="BT1148" s="926"/>
      <c r="BU1148" s="926"/>
      <c r="BV1148" s="1060"/>
      <c r="BW1148" s="926"/>
      <c r="BX1148" s="926"/>
      <c r="BY1148" s="926"/>
      <c r="BZ1148" s="926"/>
      <c r="CA1148" s="1060"/>
      <c r="CB1148" s="926"/>
      <c r="CC1148" s="926"/>
      <c r="CD1148" s="926"/>
      <c r="CE1148" s="926"/>
      <c r="CF1148" s="1060"/>
      <c r="CG1148" s="926"/>
      <c r="CH1148" s="926"/>
      <c r="CI1148" s="926"/>
      <c r="CJ1148" s="926"/>
      <c r="CK1148" s="1060"/>
      <c r="CL1148" s="926"/>
      <c r="CM1148" s="926"/>
      <c r="CN1148" s="926"/>
      <c r="CO1148" s="926"/>
      <c r="CP1148" s="1060"/>
      <c r="CQ1148" s="926"/>
      <c r="CR1148" s="926"/>
      <c r="CS1148" s="926"/>
      <c r="CT1148" s="928"/>
      <c r="CU1148" s="928"/>
      <c r="CV1148" s="926"/>
      <c r="CW1148" s="926"/>
      <c r="CX1148" s="926"/>
      <c r="CY1148" s="928"/>
      <c r="CZ1148" s="1060"/>
      <c r="DA1148" s="958"/>
      <c r="DB1148" s="926"/>
      <c r="DC1148" s="926"/>
      <c r="DD1148" s="928"/>
      <c r="DE1148" s="1060"/>
      <c r="DF1148" s="958"/>
      <c r="DG1148" s="926"/>
      <c r="DH1148" s="926"/>
      <c r="DI1148" s="928"/>
      <c r="DJ1148" s="1060"/>
      <c r="DK1148" s="958"/>
      <c r="DL1148" s="926"/>
      <c r="DM1148" s="926"/>
      <c r="DN1148" s="928"/>
      <c r="DO1148" s="1060"/>
      <c r="DP1148" s="926"/>
      <c r="DQ1148" s="926"/>
      <c r="DR1148" s="926"/>
      <c r="DS1148" s="926"/>
      <c r="DT1148" s="1060"/>
      <c r="DU1148" s="926"/>
      <c r="DV1148" s="926"/>
      <c r="DW1148" s="926"/>
      <c r="DX1148" s="928"/>
      <c r="DY1148" s="1060"/>
      <c r="DZ1148" s="926"/>
      <c r="EA1148" s="926"/>
      <c r="EB1148" s="926"/>
      <c r="EC1148" s="928"/>
      <c r="ED1148" s="1060"/>
      <c r="EE1148" s="926"/>
      <c r="EF1148" s="926"/>
      <c r="EG1148" s="926"/>
      <c r="EH1148" s="926"/>
      <c r="EI1148" s="1060"/>
      <c r="EJ1148" s="1060"/>
      <c r="EK1148" s="1060"/>
      <c r="EL1148" s="1060"/>
      <c r="EM1148" s="1060"/>
      <c r="EN1148" s="1060"/>
      <c r="EO1148" s="926"/>
      <c r="EP1148" s="958"/>
      <c r="EQ1148" s="958"/>
      <c r="ER1148" s="958"/>
      <c r="ES1148" s="958"/>
      <c r="ET1148" s="958"/>
      <c r="EU1148" s="958"/>
      <c r="EV1148" s="958"/>
      <c r="EW1148" s="958"/>
      <c r="EX1148" s="1060"/>
    </row>
    <row r="1149" spans="2:154" ht="12.75" hidden="1" customHeight="1" outlineLevel="1">
      <c r="B1149" s="437"/>
      <c r="C1149" s="1577"/>
      <c r="D1149" s="933"/>
      <c r="E1149" s="933"/>
      <c r="F1149" s="933"/>
      <c r="G1149" s="933"/>
      <c r="H1149" s="933"/>
      <c r="I1149" s="933"/>
      <c r="J1149" s="933"/>
      <c r="K1149" s="933"/>
      <c r="L1149" s="933"/>
      <c r="M1149" s="933"/>
      <c r="N1149" s="933"/>
      <c r="O1149" s="933"/>
      <c r="P1149" s="933"/>
      <c r="Q1149" s="933"/>
      <c r="R1149" s="933"/>
      <c r="S1149" s="933"/>
      <c r="T1149" s="933"/>
      <c r="U1149" s="933"/>
      <c r="V1149" s="933"/>
      <c r="W1149" s="933"/>
      <c r="X1149" s="1061"/>
      <c r="Y1149" s="933"/>
      <c r="Z1149" s="933"/>
      <c r="AA1149" s="933"/>
      <c r="AB1149" s="933"/>
      <c r="AC1149" s="1061"/>
      <c r="AD1149" s="933"/>
      <c r="AE1149" s="933"/>
      <c r="AF1149" s="933"/>
      <c r="AG1149" s="933"/>
      <c r="AH1149" s="1061"/>
      <c r="AI1149" s="933"/>
      <c r="AJ1149" s="933"/>
      <c r="AK1149" s="933"/>
      <c r="AL1149" s="933"/>
      <c r="AM1149" s="1061"/>
      <c r="AN1149" s="933"/>
      <c r="AO1149" s="933"/>
      <c r="AP1149" s="933"/>
      <c r="AQ1149" s="933"/>
      <c r="AR1149" s="1061"/>
      <c r="AS1149" s="933"/>
      <c r="AT1149" s="933"/>
      <c r="AU1149" s="933"/>
      <c r="AV1149" s="933"/>
      <c r="AW1149" s="1061"/>
      <c r="AX1149" s="933"/>
      <c r="AY1149" s="933"/>
      <c r="AZ1149" s="933"/>
      <c r="BA1149" s="933"/>
      <c r="BB1149" s="1061"/>
      <c r="BC1149" s="933"/>
      <c r="BD1149" s="933"/>
      <c r="BE1149" s="933"/>
      <c r="BF1149" s="933"/>
      <c r="BG1149" s="1061"/>
      <c r="BH1149" s="933"/>
      <c r="BI1149" s="933"/>
      <c r="BJ1149" s="933"/>
      <c r="BK1149" s="933"/>
      <c r="BL1149" s="1061"/>
      <c r="BM1149" s="933"/>
      <c r="BN1149" s="933"/>
      <c r="BO1149" s="933"/>
      <c r="BP1149" s="933"/>
      <c r="BQ1149" s="1061"/>
      <c r="BR1149" s="933"/>
      <c r="BS1149" s="933"/>
      <c r="BT1149" s="933"/>
      <c r="BU1149" s="933"/>
      <c r="BV1149" s="1061"/>
      <c r="BW1149" s="933"/>
      <c r="BX1149" s="933"/>
      <c r="BY1149" s="933"/>
      <c r="BZ1149" s="933"/>
      <c r="CA1149" s="1061"/>
      <c r="CB1149" s="933"/>
      <c r="CC1149" s="933"/>
      <c r="CD1149" s="933"/>
      <c r="CE1149" s="933"/>
      <c r="CF1149" s="1061"/>
      <c r="CG1149" s="933"/>
      <c r="CH1149" s="933"/>
      <c r="CI1149" s="933"/>
      <c r="CJ1149" s="933"/>
      <c r="CK1149" s="1061"/>
      <c r="CL1149" s="933"/>
      <c r="CM1149" s="933"/>
      <c r="CN1149" s="933"/>
      <c r="CO1149" s="933"/>
      <c r="CP1149" s="1061"/>
      <c r="CQ1149" s="933"/>
      <c r="CR1149" s="933"/>
      <c r="CS1149" s="933"/>
      <c r="CT1149" s="962"/>
      <c r="CU1149" s="962"/>
      <c r="CV1149" s="933"/>
      <c r="CW1149" s="933"/>
      <c r="CX1149" s="933"/>
      <c r="CY1149" s="962"/>
      <c r="CZ1149" s="1061"/>
      <c r="DA1149" s="961"/>
      <c r="DB1149" s="933"/>
      <c r="DC1149" s="933"/>
      <c r="DD1149" s="962"/>
      <c r="DE1149" s="1866"/>
      <c r="DF1149" s="981"/>
      <c r="DG1149" s="982"/>
      <c r="DH1149" s="982"/>
      <c r="DI1149" s="1875"/>
      <c r="DJ1149" s="1866"/>
      <c r="DK1149" s="981"/>
      <c r="DL1149" s="982"/>
      <c r="DM1149" s="982"/>
      <c r="DN1149" s="1875"/>
      <c r="DO1149" s="1866"/>
      <c r="DP1149" s="982"/>
      <c r="DQ1149" s="982"/>
      <c r="DR1149" s="982"/>
      <c r="DS1149" s="982"/>
      <c r="DT1149" s="1866"/>
      <c r="DU1149" s="982"/>
      <c r="DV1149" s="982"/>
      <c r="DW1149" s="982"/>
      <c r="DX1149" s="1875"/>
      <c r="DY1149" s="1866"/>
      <c r="DZ1149" s="982"/>
      <c r="EA1149" s="982"/>
      <c r="EB1149" s="982"/>
      <c r="EC1149" s="1875"/>
      <c r="ED1149" s="1866"/>
      <c r="EE1149" s="982"/>
      <c r="EF1149" s="982"/>
      <c r="EG1149" s="982"/>
      <c r="EH1149" s="982"/>
      <c r="EI1149" s="1866"/>
      <c r="EJ1149" s="1866"/>
      <c r="EK1149" s="1866"/>
      <c r="EL1149" s="1866"/>
      <c r="EM1149" s="1866"/>
      <c r="EN1149" s="1866"/>
      <c r="EO1149" s="982"/>
      <c r="EP1149" s="981"/>
      <c r="EQ1149" s="981"/>
      <c r="ER1149" s="981"/>
      <c r="ES1149" s="981"/>
      <c r="ET1149" s="981"/>
      <c r="EU1149" s="981"/>
      <c r="EV1149" s="981"/>
      <c r="EW1149" s="981"/>
      <c r="EX1149" s="1866"/>
    </row>
    <row r="1150" spans="2:154" ht="12.75" hidden="1" customHeight="1" outlineLevel="1">
      <c r="B1150" s="456" t="s">
        <v>505</v>
      </c>
      <c r="C1150" s="1577"/>
      <c r="D1150" s="933"/>
      <c r="E1150" s="933"/>
      <c r="F1150" s="933"/>
      <c r="G1150" s="933"/>
      <c r="H1150" s="933"/>
      <c r="I1150" s="31"/>
      <c r="J1150" s="933"/>
      <c r="K1150" s="933"/>
      <c r="L1150" s="933"/>
      <c r="M1150" s="933"/>
      <c r="N1150" s="31"/>
      <c r="O1150" s="31"/>
      <c r="P1150" s="31"/>
      <c r="Q1150" s="31"/>
      <c r="R1150" s="31"/>
      <c r="S1150" s="31"/>
      <c r="T1150" s="31"/>
      <c r="U1150" s="31"/>
      <c r="V1150" s="31"/>
      <c r="W1150" s="31"/>
      <c r="X1150" s="313"/>
      <c r="Y1150" s="31"/>
      <c r="Z1150" s="31"/>
      <c r="AA1150" s="31"/>
      <c r="AB1150" s="31"/>
      <c r="AC1150" s="313"/>
      <c r="AD1150" s="31"/>
      <c r="AE1150" s="31"/>
      <c r="AF1150" s="31"/>
      <c r="AG1150" s="31"/>
      <c r="AH1150" s="313"/>
      <c r="AI1150" s="933"/>
      <c r="AJ1150" s="933"/>
      <c r="AK1150" s="933"/>
      <c r="AL1150" s="31"/>
      <c r="AM1150" s="313"/>
      <c r="AN1150" s="933"/>
      <c r="AO1150" s="933"/>
      <c r="AP1150" s="933"/>
      <c r="AQ1150" s="31"/>
      <c r="AR1150" s="313"/>
      <c r="AS1150" s="933"/>
      <c r="AT1150" s="933"/>
      <c r="AU1150" s="933"/>
      <c r="AV1150" s="31"/>
      <c r="AW1150" s="313"/>
      <c r="AX1150" s="933"/>
      <c r="AY1150" s="933"/>
      <c r="AZ1150" s="933"/>
      <c r="BA1150" s="933"/>
      <c r="BB1150" s="313"/>
      <c r="BC1150" s="933"/>
      <c r="BD1150" s="933"/>
      <c r="BE1150" s="933"/>
      <c r="BF1150" s="933"/>
      <c r="BG1150" s="313"/>
      <c r="BH1150" s="933"/>
      <c r="BI1150" s="933"/>
      <c r="BJ1150" s="933"/>
      <c r="BK1150" s="933"/>
      <c r="BL1150" s="313"/>
      <c r="BM1150" s="933"/>
      <c r="BN1150" s="933"/>
      <c r="BO1150" s="933"/>
      <c r="BP1150" s="933"/>
      <c r="BQ1150" s="313"/>
      <c r="BR1150" s="933"/>
      <c r="BS1150" s="933"/>
      <c r="BT1150" s="933"/>
      <c r="BU1150" s="933"/>
      <c r="BV1150" s="313"/>
      <c r="BW1150" s="933"/>
      <c r="BX1150" s="933"/>
      <c r="BY1150" s="933"/>
      <c r="BZ1150" s="933"/>
      <c r="CA1150" s="1061"/>
      <c r="CB1150" s="933"/>
      <c r="CC1150" s="933"/>
      <c r="CD1150" s="933"/>
      <c r="CE1150" s="933"/>
      <c r="CF1150" s="313"/>
      <c r="CG1150" s="933"/>
      <c r="CH1150" s="933"/>
      <c r="CI1150" s="933"/>
      <c r="CJ1150" s="933"/>
      <c r="CK1150" s="313"/>
      <c r="CL1150" s="933"/>
      <c r="CM1150" s="933"/>
      <c r="CN1150" s="933"/>
      <c r="CO1150" s="933"/>
      <c r="CP1150" s="313"/>
      <c r="CQ1150" s="933"/>
      <c r="CR1150" s="933"/>
      <c r="CS1150" s="933"/>
      <c r="CT1150" s="962"/>
      <c r="CU1150" s="955"/>
      <c r="CV1150" s="933"/>
      <c r="CW1150" s="933"/>
      <c r="CX1150" s="933"/>
      <c r="CY1150" s="962"/>
      <c r="CZ1150" s="313"/>
      <c r="DA1150" s="957"/>
      <c r="DB1150" s="31"/>
      <c r="DC1150" s="31"/>
      <c r="DD1150" s="955"/>
      <c r="DE1150" s="477"/>
      <c r="DF1150" s="1799"/>
      <c r="DG1150" s="603"/>
      <c r="DH1150" s="603"/>
      <c r="DI1150" s="1798"/>
      <c r="DJ1150" s="477"/>
      <c r="DK1150" s="1799"/>
      <c r="DL1150" s="603"/>
      <c r="DM1150" s="603"/>
      <c r="DN1150" s="1798"/>
      <c r="DO1150" s="477"/>
      <c r="DP1150" s="603"/>
      <c r="DQ1150" s="603"/>
      <c r="DR1150" s="603"/>
      <c r="DS1150" s="603"/>
      <c r="DT1150" s="477"/>
      <c r="DU1150" s="603"/>
      <c r="DV1150" s="603"/>
      <c r="DW1150" s="603"/>
      <c r="DX1150" s="1798"/>
      <c r="DY1150" s="477"/>
      <c r="DZ1150" s="603"/>
      <c r="EA1150" s="603"/>
      <c r="EB1150" s="603"/>
      <c r="EC1150" s="1798"/>
      <c r="ED1150" s="477"/>
      <c r="EE1150" s="603"/>
      <c r="EF1150" s="603"/>
      <c r="EG1150" s="603"/>
      <c r="EH1150" s="603"/>
      <c r="EI1150" s="477"/>
      <c r="EJ1150" s="477"/>
      <c r="EK1150" s="477"/>
      <c r="EL1150" s="477"/>
      <c r="EM1150" s="477"/>
      <c r="EN1150" s="477"/>
      <c r="EO1150" s="603"/>
      <c r="EP1150" s="1799"/>
      <c r="EQ1150" s="1799"/>
      <c r="ER1150" s="1799"/>
      <c r="ES1150" s="1799"/>
      <c r="ET1150" s="1799"/>
      <c r="EU1150" s="1799"/>
      <c r="EV1150" s="1799"/>
      <c r="EW1150" s="1799"/>
      <c r="EX1150" s="477"/>
    </row>
    <row r="1151" spans="2:154" ht="12.75" hidden="1" customHeight="1" outlineLevel="1">
      <c r="B1151" s="438" t="s">
        <v>187</v>
      </c>
      <c r="C1151" s="1577"/>
      <c r="D1151" s="933"/>
      <c r="E1151" s="933"/>
      <c r="F1151" s="933"/>
      <c r="G1151" s="933"/>
      <c r="H1151" s="933"/>
      <c r="I1151" s="933"/>
      <c r="J1151" s="933"/>
      <c r="K1151" s="933"/>
      <c r="L1151" s="933"/>
      <c r="M1151" s="933"/>
      <c r="N1151" s="933"/>
      <c r="O1151" s="933"/>
      <c r="P1151" s="933"/>
      <c r="Q1151" s="933"/>
      <c r="R1151" s="933"/>
      <c r="S1151" s="933"/>
      <c r="T1151" s="933"/>
      <c r="U1151" s="933"/>
      <c r="V1151" s="933"/>
      <c r="W1151" s="933"/>
      <c r="X1151" s="1061"/>
      <c r="Y1151" s="933"/>
      <c r="Z1151" s="933"/>
      <c r="AA1151" s="933"/>
      <c r="AB1151" s="933"/>
      <c r="AC1151" s="1061"/>
      <c r="AD1151" s="933"/>
      <c r="AE1151" s="933"/>
      <c r="AF1151" s="933"/>
      <c r="AG1151" s="933"/>
      <c r="AH1151" s="1061"/>
      <c r="AI1151" s="933"/>
      <c r="AJ1151" s="933"/>
      <c r="AK1151" s="933"/>
      <c r="AL1151" s="933"/>
      <c r="AM1151" s="1061"/>
      <c r="AN1151" s="933">
        <v>0</v>
      </c>
      <c r="AO1151" s="933">
        <v>0</v>
      </c>
      <c r="AP1151" s="933">
        <v>0</v>
      </c>
      <c r="AQ1151" s="933">
        <v>0</v>
      </c>
      <c r="AR1151" s="1061">
        <v>0</v>
      </c>
      <c r="AS1151" s="933">
        <v>0</v>
      </c>
      <c r="AT1151" s="933">
        <v>0</v>
      </c>
      <c r="AU1151" s="933">
        <v>0</v>
      </c>
      <c r="AV1151" s="933">
        <v>0</v>
      </c>
      <c r="AW1151" s="1061">
        <v>0</v>
      </c>
      <c r="AX1151" s="933">
        <v>0</v>
      </c>
      <c r="AY1151" s="933">
        <v>0</v>
      </c>
      <c r="AZ1151" s="933">
        <v>0</v>
      </c>
      <c r="BA1151" s="933">
        <v>0</v>
      </c>
      <c r="BB1151" s="1061">
        <v>0</v>
      </c>
      <c r="BC1151" s="933">
        <v>0</v>
      </c>
      <c r="BD1151" s="933">
        <v>0</v>
      </c>
      <c r="BE1151" s="933">
        <v>0</v>
      </c>
      <c r="BF1151" s="933">
        <v>0</v>
      </c>
      <c r="BG1151" s="1061">
        <v>0</v>
      </c>
      <c r="BH1151" s="933">
        <v>0</v>
      </c>
      <c r="BI1151" s="933">
        <v>0</v>
      </c>
      <c r="BJ1151" s="933">
        <v>0</v>
      </c>
      <c r="BK1151" s="933">
        <v>0</v>
      </c>
      <c r="BL1151" s="1061">
        <f>SUM(BH1151:BK1151)</f>
      </c>
      <c r="BM1151" s="933">
        <v>0</v>
      </c>
      <c r="BN1151" s="933">
        <v>0</v>
      </c>
      <c r="BO1151" s="933">
        <v>0</v>
      </c>
      <c r="BP1151" s="933">
        <f>+BQ1151-SUM(BM1151:BO1151)</f>
      </c>
      <c r="BQ1151" s="1061">
        <v>0</v>
      </c>
      <c r="BR1151" s="933"/>
      <c r="BS1151" s="933"/>
      <c r="BT1151" s="933"/>
      <c r="BU1151" s="933"/>
      <c r="BV1151" s="363"/>
      <c r="BW1151" s="933"/>
      <c r="BX1151" s="933"/>
      <c r="BY1151" s="933"/>
      <c r="BZ1151" s="933"/>
      <c r="CA1151" s="1061"/>
      <c r="CB1151" s="933"/>
      <c r="CC1151" s="933"/>
      <c r="CD1151" s="933"/>
      <c r="CE1151" s="933"/>
      <c r="CF1151" s="363"/>
      <c r="CG1151" s="933"/>
      <c r="CH1151" s="933"/>
      <c r="CI1151" s="933"/>
      <c r="CJ1151" s="933"/>
      <c r="CK1151" s="363"/>
      <c r="CL1151" s="933"/>
      <c r="CM1151" s="933"/>
      <c r="CN1151" s="933"/>
      <c r="CO1151" s="933"/>
      <c r="CP1151" s="363"/>
      <c r="CQ1151" s="933"/>
      <c r="CR1151" s="933"/>
      <c r="CS1151" s="933"/>
      <c r="CT1151" s="962"/>
      <c r="CU1151" s="956"/>
      <c r="CV1151" s="933"/>
      <c r="CW1151" s="933"/>
      <c r="CX1151" s="933"/>
      <c r="CY1151" s="962"/>
      <c r="CZ1151" s="363"/>
      <c r="DA1151" s="1110"/>
      <c r="DB1151" s="352"/>
      <c r="DC1151" s="352"/>
      <c r="DD1151" s="956"/>
      <c r="DE1151" s="1821"/>
      <c r="DF1151" s="1814"/>
      <c r="DG1151" s="1801"/>
      <c r="DH1151" s="1801"/>
      <c r="DI1151" s="1758"/>
      <c r="DJ1151" s="1821"/>
      <c r="DK1151" s="1814"/>
      <c r="DL1151" s="1801"/>
      <c r="DM1151" s="1801"/>
      <c r="DN1151" s="1758"/>
      <c r="DO1151" s="1821"/>
      <c r="DP1151" s="1801"/>
      <c r="DQ1151" s="1801"/>
      <c r="DR1151" s="1801"/>
      <c r="DS1151" s="1801"/>
      <c r="DT1151" s="1821"/>
      <c r="DU1151" s="1801"/>
      <c r="DV1151" s="1801"/>
      <c r="DW1151" s="1801"/>
      <c r="DX1151" s="1758"/>
      <c r="DY1151" s="1821"/>
      <c r="DZ1151" s="1801"/>
      <c r="EA1151" s="1801"/>
      <c r="EB1151" s="1801"/>
      <c r="EC1151" s="1758"/>
      <c r="ED1151" s="1821"/>
      <c r="EE1151" s="1801"/>
      <c r="EF1151" s="1801"/>
      <c r="EG1151" s="1801"/>
      <c r="EH1151" s="1801"/>
      <c r="EI1151" s="1821"/>
      <c r="EJ1151" s="1821"/>
      <c r="EK1151" s="1821"/>
      <c r="EL1151" s="1821"/>
      <c r="EM1151" s="1821"/>
      <c r="EN1151" s="1821"/>
      <c r="EO1151" s="1801"/>
      <c r="EP1151" s="1814"/>
      <c r="EQ1151" s="1814"/>
      <c r="ER1151" s="1814"/>
      <c r="ES1151" s="1814"/>
      <c r="ET1151" s="1814"/>
      <c r="EU1151" s="1814"/>
      <c r="EV1151" s="1814"/>
      <c r="EW1151" s="1814"/>
      <c r="EX1151" s="1821"/>
    </row>
    <row r="1152" spans="2:154" ht="12.75" hidden="1" customHeight="1" outlineLevel="1">
      <c r="B1152" s="438" t="s">
        <v>412</v>
      </c>
      <c r="C1152" s="1577"/>
      <c r="D1152" s="933"/>
      <c r="E1152" s="933"/>
      <c r="F1152" s="933"/>
      <c r="G1152" s="933"/>
      <c r="H1152" s="933"/>
      <c r="I1152" s="933"/>
      <c r="J1152" s="933"/>
      <c r="K1152" s="933"/>
      <c r="L1152" s="933"/>
      <c r="M1152" s="933"/>
      <c r="N1152" s="933"/>
      <c r="O1152" s="933"/>
      <c r="P1152" s="933"/>
      <c r="Q1152" s="933"/>
      <c r="R1152" s="933"/>
      <c r="S1152" s="933"/>
      <c r="T1152" s="933"/>
      <c r="U1152" s="933"/>
      <c r="V1152" s="933"/>
      <c r="W1152" s="933"/>
      <c r="X1152" s="1061"/>
      <c r="Y1152" s="933"/>
      <c r="Z1152" s="933"/>
      <c r="AA1152" s="933"/>
      <c r="AB1152" s="933"/>
      <c r="AC1152" s="1061"/>
      <c r="AD1152" s="933"/>
      <c r="AE1152" s="933"/>
      <c r="AF1152" s="933"/>
      <c r="AG1152" s="933"/>
      <c r="AH1152" s="1061"/>
      <c r="AI1152" s="933"/>
      <c r="AJ1152" s="933"/>
      <c r="AK1152" s="933"/>
      <c r="AL1152" s="933"/>
      <c r="AM1152" s="1061"/>
      <c r="AN1152" s="933">
        <v>4.3869999999999996</v>
      </c>
      <c r="AO1152" s="933">
        <v>11.332000000000001</v>
      </c>
      <c r="AP1152" s="933">
        <v>10.701000000000001</v>
      </c>
      <c r="AQ1152" s="933">
        <v>10.347282417027444</v>
      </c>
      <c r="AR1152" s="1061">
        <v>36.767282417027445</v>
      </c>
      <c r="AS1152" s="933">
        <v>9.4</v>
      </c>
      <c r="AT1152" s="933">
        <v>-4</v>
      </c>
      <c r="AU1152" s="933">
        <v>0</v>
      </c>
      <c r="AV1152" s="933">
        <v>0</v>
      </c>
      <c r="AW1152" s="1061">
        <v>5.4</v>
      </c>
      <c r="AX1152" s="933">
        <v>0</v>
      </c>
      <c r="AY1152" s="933">
        <v>0</v>
      </c>
      <c r="AZ1152" s="933">
        <v>0</v>
      </c>
      <c r="BA1152" s="933">
        <v>0</v>
      </c>
      <c r="BB1152" s="1061">
        <v>0</v>
      </c>
      <c r="BC1152" s="933">
        <v>0</v>
      </c>
      <c r="BD1152" s="933">
        <v>0</v>
      </c>
      <c r="BE1152" s="933">
        <v>0</v>
      </c>
      <c r="BF1152" s="933">
        <v>0</v>
      </c>
      <c r="BG1152" s="1061">
        <v>0</v>
      </c>
      <c r="BH1152" s="933">
        <v>0</v>
      </c>
      <c r="BI1152" s="933">
        <v>0</v>
      </c>
      <c r="BJ1152" s="933">
        <v>0</v>
      </c>
      <c r="BK1152" s="933">
        <v>0</v>
      </c>
      <c r="BL1152" s="1061">
        <f>SUM(BH1152:BK1152)</f>
      </c>
      <c r="BM1152" s="933">
        <v>0</v>
      </c>
      <c r="BN1152" s="933">
        <v>0</v>
      </c>
      <c r="BO1152" s="933">
        <v>0</v>
      </c>
      <c r="BP1152" s="933">
        <f>+BQ1152-SUM(BM1152:BO1152)</f>
      </c>
      <c r="BQ1152" s="1061">
        <v>0</v>
      </c>
      <c r="BR1152" s="933"/>
      <c r="BS1152" s="933"/>
      <c r="BT1152" s="933"/>
      <c r="BU1152" s="933"/>
      <c r="BV1152" s="363"/>
      <c r="BW1152" s="933"/>
      <c r="BX1152" s="933"/>
      <c r="BY1152" s="933"/>
      <c r="BZ1152" s="933"/>
      <c r="CA1152" s="363"/>
      <c r="CB1152" s="933"/>
      <c r="CC1152" s="933"/>
      <c r="CD1152" s="933"/>
      <c r="CE1152" s="933"/>
      <c r="CF1152" s="363"/>
      <c r="CG1152" s="933"/>
      <c r="CH1152" s="933"/>
      <c r="CI1152" s="933"/>
      <c r="CJ1152" s="933"/>
      <c r="CK1152" s="363"/>
      <c r="CL1152" s="933"/>
      <c r="CM1152" s="933"/>
      <c r="CN1152" s="933"/>
      <c r="CO1152" s="933"/>
      <c r="CP1152" s="363"/>
      <c r="CQ1152" s="933"/>
      <c r="CR1152" s="933"/>
      <c r="CS1152" s="933"/>
      <c r="CT1152" s="962"/>
      <c r="CU1152" s="956"/>
      <c r="CV1152" s="933"/>
      <c r="CW1152" s="933"/>
      <c r="CX1152" s="933"/>
      <c r="CY1152" s="962"/>
      <c r="CZ1152" s="363"/>
      <c r="DA1152" s="1110"/>
      <c r="DB1152" s="352"/>
      <c r="DC1152" s="352"/>
      <c r="DD1152" s="956"/>
      <c r="DE1152" s="1821"/>
      <c r="DF1152" s="1814"/>
      <c r="DG1152" s="1801"/>
      <c r="DH1152" s="1801"/>
      <c r="DI1152" s="1758"/>
      <c r="DJ1152" s="1821"/>
      <c r="DK1152" s="1814"/>
      <c r="DL1152" s="1801"/>
      <c r="DM1152" s="1801"/>
      <c r="DN1152" s="1758"/>
      <c r="DO1152" s="1821"/>
      <c r="DP1152" s="1801"/>
      <c r="DQ1152" s="1801"/>
      <c r="DR1152" s="1801"/>
      <c r="DS1152" s="1801"/>
      <c r="DT1152" s="1821"/>
      <c r="DU1152" s="1801"/>
      <c r="DV1152" s="1801"/>
      <c r="DW1152" s="1801"/>
      <c r="DX1152" s="1758"/>
      <c r="DY1152" s="1821"/>
      <c r="DZ1152" s="1801"/>
      <c r="EA1152" s="1801"/>
      <c r="EB1152" s="1801"/>
      <c r="EC1152" s="1758"/>
      <c r="ED1152" s="1821"/>
      <c r="EE1152" s="1801"/>
      <c r="EF1152" s="1801"/>
      <c r="EG1152" s="1801"/>
      <c r="EH1152" s="1801"/>
      <c r="EI1152" s="1821"/>
      <c r="EJ1152" s="1821"/>
      <c r="EK1152" s="1821"/>
      <c r="EL1152" s="1821"/>
      <c r="EM1152" s="1821"/>
      <c r="EN1152" s="1821"/>
      <c r="EO1152" s="1801"/>
      <c r="EP1152" s="1814"/>
      <c r="EQ1152" s="1814"/>
      <c r="ER1152" s="1814"/>
      <c r="ES1152" s="1814"/>
      <c r="ET1152" s="1814"/>
      <c r="EU1152" s="1814"/>
      <c r="EV1152" s="1814"/>
      <c r="EW1152" s="1814"/>
      <c r="EX1152" s="1821"/>
    </row>
    <row r="1153" spans="2:154" ht="12.75" hidden="1" customHeight="1" outlineLevel="1">
      <c r="B1153" s="438" t="s">
        <v>413</v>
      </c>
      <c r="C1153" s="1577"/>
      <c r="D1153" s="933"/>
      <c r="E1153" s="933"/>
      <c r="F1153" s="933"/>
      <c r="G1153" s="933"/>
      <c r="H1153" s="933"/>
      <c r="I1153" s="933"/>
      <c r="J1153" s="933"/>
      <c r="K1153" s="933"/>
      <c r="L1153" s="933"/>
      <c r="M1153" s="933"/>
      <c r="N1153" s="933"/>
      <c r="O1153" s="933"/>
      <c r="P1153" s="933"/>
      <c r="Q1153" s="933"/>
      <c r="R1153" s="933"/>
      <c r="S1153" s="933"/>
      <c r="T1153" s="933"/>
      <c r="U1153" s="933"/>
      <c r="V1153" s="933"/>
      <c r="W1153" s="933"/>
      <c r="X1153" s="1061"/>
      <c r="Y1153" s="933"/>
      <c r="Z1153" s="933"/>
      <c r="AA1153" s="933"/>
      <c r="AB1153" s="933"/>
      <c r="AC1153" s="1061"/>
      <c r="AD1153" s="933"/>
      <c r="AE1153" s="933"/>
      <c r="AF1153" s="933"/>
      <c r="AG1153" s="933"/>
      <c r="AH1153" s="1061"/>
      <c r="AI1153" s="933"/>
      <c r="AJ1153" s="933"/>
      <c r="AK1153" s="933"/>
      <c r="AL1153" s="933"/>
      <c r="AM1153" s="1061">
        <f t="shared" ref="AM1153:BQ1153" si="2398">SUM(AM1151:AM1152)</f>
      </c>
      <c r="AN1153" s="933">
        <f t="shared" si="2398"/>
      </c>
      <c r="AO1153" s="933">
        <f t="shared" si="2398"/>
      </c>
      <c r="AP1153" s="933">
        <f t="shared" si="2398"/>
      </c>
      <c r="AQ1153" s="933">
        <f t="shared" si="2398"/>
      </c>
      <c r="AR1153" s="1061">
        <f t="shared" si="2398"/>
      </c>
      <c r="AS1153" s="933">
        <f t="shared" si="2398"/>
      </c>
      <c r="AT1153" s="933">
        <f t="shared" si="2398"/>
      </c>
      <c r="AU1153" s="933">
        <f t="shared" si="2398"/>
      </c>
      <c r="AV1153" s="933">
        <f t="shared" si="2398"/>
      </c>
      <c r="AW1153" s="1061">
        <f t="shared" si="2398"/>
      </c>
      <c r="AX1153" s="933">
        <f t="shared" si="2398"/>
      </c>
      <c r="AY1153" s="933">
        <f t="shared" si="2398"/>
      </c>
      <c r="AZ1153" s="933">
        <f t="shared" si="2398"/>
      </c>
      <c r="BA1153" s="933">
        <f t="shared" si="2398"/>
      </c>
      <c r="BB1153" s="1061">
        <f t="shared" si="2398"/>
      </c>
      <c r="BC1153" s="933">
        <f t="shared" si="2398"/>
      </c>
      <c r="BD1153" s="933">
        <f t="shared" si="2398"/>
      </c>
      <c r="BE1153" s="933">
        <f t="shared" si="2398"/>
      </c>
      <c r="BF1153" s="933">
        <f t="shared" si="2398"/>
      </c>
      <c r="BG1153" s="1061">
        <f t="shared" si="2398"/>
      </c>
      <c r="BH1153" s="933">
        <f>SUM(BH1151:BH1152)</f>
      </c>
      <c r="BI1153" s="933">
        <f>SUM(BI1151:BI1152)</f>
      </c>
      <c r="BJ1153" s="933">
        <f>SUM(BJ1151:BJ1152)</f>
      </c>
      <c r="BK1153" s="933">
        <f>+BK1151+BK1152</f>
      </c>
      <c r="BL1153" s="1061">
        <f t="shared" si="2398"/>
      </c>
      <c r="BM1153" s="933">
        <f t="shared" si="2398"/>
      </c>
      <c r="BN1153" s="933">
        <f t="shared" si="2398"/>
      </c>
      <c r="BO1153" s="933">
        <f t="shared" si="2398"/>
      </c>
      <c r="BP1153" s="933">
        <f>+BP1151+BP1152</f>
      </c>
      <c r="BQ1153" s="1061">
        <f t="shared" si="2398"/>
      </c>
      <c r="BR1153" s="933"/>
      <c r="BS1153" s="933"/>
      <c r="BT1153" s="933"/>
      <c r="BU1153" s="933"/>
      <c r="BV1153" s="1061"/>
      <c r="BW1153" s="933"/>
      <c r="BX1153" s="933"/>
      <c r="BY1153" s="933"/>
      <c r="BZ1153" s="933"/>
      <c r="CA1153" s="1061"/>
      <c r="CB1153" s="933"/>
      <c r="CC1153" s="933"/>
      <c r="CD1153" s="933"/>
      <c r="CE1153" s="933"/>
      <c r="CF1153" s="1061"/>
      <c r="CG1153" s="933"/>
      <c r="CH1153" s="933"/>
      <c r="CI1153" s="933"/>
      <c r="CJ1153" s="933"/>
      <c r="CK1153" s="1061"/>
      <c r="CL1153" s="933"/>
      <c r="CM1153" s="933"/>
      <c r="CN1153" s="933"/>
      <c r="CO1153" s="933"/>
      <c r="CP1153" s="1061"/>
      <c r="CQ1153" s="933"/>
      <c r="CR1153" s="933"/>
      <c r="CS1153" s="933"/>
      <c r="CT1153" s="962"/>
      <c r="CU1153" s="962"/>
      <c r="CV1153" s="933"/>
      <c r="CW1153" s="933"/>
      <c r="CX1153" s="933"/>
      <c r="CY1153" s="962"/>
      <c r="CZ1153" s="1061"/>
      <c r="DA1153" s="961"/>
      <c r="DB1153" s="933"/>
      <c r="DC1153" s="933"/>
      <c r="DD1153" s="962"/>
      <c r="DE1153" s="1866"/>
      <c r="DF1153" s="981"/>
      <c r="DG1153" s="982"/>
      <c r="DH1153" s="982"/>
      <c r="DI1153" s="1875"/>
      <c r="DJ1153" s="1866"/>
      <c r="DK1153" s="981"/>
      <c r="DL1153" s="982"/>
      <c r="DM1153" s="982"/>
      <c r="DN1153" s="1875"/>
      <c r="DO1153" s="1866"/>
      <c r="DP1153" s="982"/>
      <c r="DQ1153" s="982"/>
      <c r="DR1153" s="982"/>
      <c r="DS1153" s="982"/>
      <c r="DT1153" s="1866"/>
      <c r="DU1153" s="982"/>
      <c r="DV1153" s="982"/>
      <c r="DW1153" s="982"/>
      <c r="DX1153" s="1875"/>
      <c r="DY1153" s="1866"/>
      <c r="DZ1153" s="982"/>
      <c r="EA1153" s="982"/>
      <c r="EB1153" s="982"/>
      <c r="EC1153" s="1875"/>
      <c r="ED1153" s="1866"/>
      <c r="EE1153" s="982"/>
      <c r="EF1153" s="982"/>
      <c r="EG1153" s="982"/>
      <c r="EH1153" s="982"/>
      <c r="EI1153" s="1866"/>
      <c r="EJ1153" s="1866"/>
      <c r="EK1153" s="1866"/>
      <c r="EL1153" s="1866"/>
      <c r="EM1153" s="1866"/>
      <c r="EN1153" s="1866"/>
      <c r="EO1153" s="982"/>
      <c r="EP1153" s="981"/>
      <c r="EQ1153" s="981"/>
      <c r="ER1153" s="981"/>
      <c r="ES1153" s="981"/>
      <c r="ET1153" s="981"/>
      <c r="EU1153" s="981"/>
      <c r="EV1153" s="981"/>
      <c r="EW1153" s="981"/>
      <c r="EX1153" s="1866"/>
    </row>
    <row r="1154" spans="2:154" ht="12.75" hidden="1" customHeight="1" outlineLevel="1">
      <c r="B1154" s="437"/>
      <c r="C1154" s="1577"/>
      <c r="D1154" s="933"/>
      <c r="E1154" s="933"/>
      <c r="F1154" s="933"/>
      <c r="G1154" s="933"/>
      <c r="H1154" s="933"/>
      <c r="I1154" s="933"/>
      <c r="J1154" s="933"/>
      <c r="K1154" s="933"/>
      <c r="L1154" s="933"/>
      <c r="M1154" s="933"/>
      <c r="N1154" s="933"/>
      <c r="O1154" s="933"/>
      <c r="P1154" s="933"/>
      <c r="Q1154" s="933"/>
      <c r="R1154" s="933"/>
      <c r="S1154" s="933"/>
      <c r="T1154" s="933"/>
      <c r="U1154" s="933"/>
      <c r="V1154" s="933"/>
      <c r="W1154" s="933"/>
      <c r="X1154" s="1061"/>
      <c r="Y1154" s="933"/>
      <c r="Z1154" s="933"/>
      <c r="AA1154" s="933"/>
      <c r="AB1154" s="933"/>
      <c r="AC1154" s="1061"/>
      <c r="AD1154" s="933"/>
      <c r="AE1154" s="933"/>
      <c r="AF1154" s="933"/>
      <c r="AG1154" s="933"/>
      <c r="AH1154" s="1061"/>
      <c r="AI1154" s="933"/>
      <c r="AJ1154" s="933"/>
      <c r="AK1154" s="933"/>
      <c r="AL1154" s="933"/>
      <c r="AM1154" s="1061"/>
      <c r="AN1154" s="933"/>
      <c r="AO1154" s="933"/>
      <c r="AP1154" s="933"/>
      <c r="AQ1154" s="933"/>
      <c r="AR1154" s="1061"/>
      <c r="AS1154" s="933"/>
      <c r="AT1154" s="933"/>
      <c r="AU1154" s="933"/>
      <c r="AV1154" s="933"/>
      <c r="AW1154" s="1061"/>
      <c r="AX1154" s="933"/>
      <c r="AY1154" s="933"/>
      <c r="AZ1154" s="933"/>
      <c r="BA1154" s="933"/>
      <c r="BB1154" s="1061"/>
      <c r="BC1154" s="933"/>
      <c r="BD1154" s="933"/>
      <c r="BE1154" s="933"/>
      <c r="BF1154" s="933"/>
      <c r="BG1154" s="1061"/>
      <c r="BH1154" s="933"/>
      <c r="BI1154" s="933"/>
      <c r="BJ1154" s="933"/>
      <c r="BK1154" s="933"/>
      <c r="BL1154" s="1061"/>
      <c r="BM1154" s="933"/>
      <c r="BN1154" s="933"/>
      <c r="BO1154" s="933"/>
      <c r="BP1154" s="933"/>
      <c r="BQ1154" s="1061"/>
      <c r="BR1154" s="933"/>
      <c r="BS1154" s="933"/>
      <c r="BT1154" s="933"/>
      <c r="BU1154" s="933"/>
      <c r="BV1154" s="1061"/>
      <c r="BW1154" s="933"/>
      <c r="BX1154" s="933"/>
      <c r="BY1154" s="933"/>
      <c r="BZ1154" s="933"/>
      <c r="CA1154" s="1061"/>
      <c r="CB1154" s="933"/>
      <c r="CC1154" s="933"/>
      <c r="CD1154" s="933"/>
      <c r="CE1154" s="933"/>
      <c r="CF1154" s="1061"/>
      <c r="CG1154" s="933"/>
      <c r="CH1154" s="933"/>
      <c r="CI1154" s="933"/>
      <c r="CJ1154" s="933"/>
      <c r="CK1154" s="1061"/>
      <c r="CL1154" s="933"/>
      <c r="CM1154" s="933"/>
      <c r="CN1154" s="933"/>
      <c r="CO1154" s="933"/>
      <c r="CP1154" s="1061"/>
      <c r="CQ1154" s="933"/>
      <c r="CR1154" s="933"/>
      <c r="CS1154" s="933"/>
      <c r="CT1154" s="962"/>
      <c r="CU1154" s="962"/>
      <c r="CV1154" s="933"/>
      <c r="CW1154" s="933"/>
      <c r="CX1154" s="933"/>
      <c r="CY1154" s="962"/>
      <c r="CZ1154" s="1061"/>
      <c r="DA1154" s="961"/>
      <c r="DB1154" s="933"/>
      <c r="DC1154" s="933"/>
      <c r="DD1154" s="962"/>
      <c r="DE1154" s="1866"/>
      <c r="DF1154" s="981"/>
      <c r="DG1154" s="982"/>
      <c r="DH1154" s="982"/>
      <c r="DI1154" s="1875"/>
      <c r="DJ1154" s="1866"/>
      <c r="DK1154" s="981"/>
      <c r="DL1154" s="982"/>
      <c r="DM1154" s="982"/>
      <c r="DN1154" s="1875"/>
      <c r="DO1154" s="1866"/>
      <c r="DP1154" s="982"/>
      <c r="DQ1154" s="982"/>
      <c r="DR1154" s="982"/>
      <c r="DS1154" s="982"/>
      <c r="DT1154" s="1866"/>
      <c r="DU1154" s="982"/>
      <c r="DV1154" s="982"/>
      <c r="DW1154" s="982"/>
      <c r="DX1154" s="1875"/>
      <c r="DY1154" s="1866"/>
      <c r="DZ1154" s="982"/>
      <c r="EA1154" s="982"/>
      <c r="EB1154" s="982"/>
      <c r="EC1154" s="1875"/>
      <c r="ED1154" s="1866"/>
      <c r="EE1154" s="982"/>
      <c r="EF1154" s="982"/>
      <c r="EG1154" s="982"/>
      <c r="EH1154" s="982"/>
      <c r="EI1154" s="1866"/>
      <c r="EJ1154" s="1866"/>
      <c r="EK1154" s="1866"/>
      <c r="EL1154" s="1866"/>
      <c r="EM1154" s="1866"/>
      <c r="EN1154" s="1866"/>
      <c r="EO1154" s="982"/>
      <c r="EP1154" s="981"/>
      <c r="EQ1154" s="981"/>
      <c r="ER1154" s="981"/>
      <c r="ES1154" s="981"/>
      <c r="ET1154" s="981"/>
      <c r="EU1154" s="981"/>
      <c r="EV1154" s="981"/>
      <c r="EW1154" s="981"/>
      <c r="EX1154" s="1866"/>
    </row>
    <row r="1155" spans="2:154" ht="12.75" hidden="1" customHeight="1" outlineLevel="1">
      <c r="B1155" s="455" t="s">
        <v>124</v>
      </c>
      <c r="C1155" s="1577"/>
      <c r="D1155" s="933"/>
      <c r="E1155" s="933"/>
      <c r="F1155" s="933"/>
      <c r="G1155" s="933"/>
      <c r="H1155" s="933"/>
      <c r="I1155" s="933"/>
      <c r="J1155" s="933"/>
      <c r="K1155" s="933"/>
      <c r="L1155" s="933"/>
      <c r="M1155" s="933"/>
      <c r="N1155" s="933"/>
      <c r="O1155" s="933"/>
      <c r="P1155" s="933"/>
      <c r="Q1155" s="933"/>
      <c r="R1155" s="933"/>
      <c r="S1155" s="933"/>
      <c r="T1155" s="933"/>
      <c r="U1155" s="933"/>
      <c r="V1155" s="933"/>
      <c r="W1155" s="933"/>
      <c r="X1155" s="1061"/>
      <c r="Y1155" s="933"/>
      <c r="Z1155" s="933"/>
      <c r="AA1155" s="933"/>
      <c r="AB1155" s="933"/>
      <c r="AC1155" s="1061"/>
      <c r="AD1155" s="933"/>
      <c r="AE1155" s="933"/>
      <c r="AF1155" s="933"/>
      <c r="AG1155" s="933"/>
      <c r="AH1155" s="1061"/>
      <c r="AI1155" s="933"/>
      <c r="AJ1155" s="933"/>
      <c r="AK1155" s="933"/>
      <c r="AL1155" s="933"/>
      <c r="AM1155" s="1061"/>
      <c r="AN1155" s="933"/>
      <c r="AO1155" s="933"/>
      <c r="AP1155" s="933"/>
      <c r="AQ1155" s="933"/>
      <c r="AR1155" s="1061"/>
      <c r="AS1155" s="933"/>
      <c r="AT1155" s="933"/>
      <c r="AU1155" s="933"/>
      <c r="AV1155" s="933"/>
      <c r="AW1155" s="1061"/>
      <c r="AX1155" s="933"/>
      <c r="AY1155" s="933"/>
      <c r="AZ1155" s="933"/>
      <c r="BA1155" s="933"/>
      <c r="BB1155" s="1061"/>
      <c r="BC1155" s="933"/>
      <c r="BD1155" s="933"/>
      <c r="BE1155" s="933"/>
      <c r="BF1155" s="933"/>
      <c r="BG1155" s="1061"/>
      <c r="BH1155" s="933"/>
      <c r="BI1155" s="933"/>
      <c r="BJ1155" s="933"/>
      <c r="BK1155" s="933"/>
      <c r="BL1155" s="1061"/>
      <c r="BM1155" s="933"/>
      <c r="BN1155" s="933"/>
      <c r="BO1155" s="933"/>
      <c r="BP1155" s="933"/>
      <c r="BQ1155" s="1067"/>
      <c r="BR1155" s="933"/>
      <c r="BS1155" s="933"/>
      <c r="BT1155" s="933"/>
      <c r="BU1155" s="933"/>
      <c r="BV1155" s="2362"/>
      <c r="BW1155" s="933"/>
      <c r="BX1155" s="933"/>
      <c r="BY1155" s="933"/>
      <c r="BZ1155" s="933"/>
      <c r="CA1155" s="2362"/>
      <c r="CB1155" s="933"/>
      <c r="CC1155" s="933"/>
      <c r="CD1155" s="933"/>
      <c r="CE1155" s="933"/>
      <c r="CF1155" s="2362"/>
      <c r="CG1155" s="933"/>
      <c r="CH1155" s="933"/>
      <c r="CI1155" s="933"/>
      <c r="CJ1155" s="933"/>
      <c r="CK1155" s="2362"/>
      <c r="CL1155" s="933"/>
      <c r="CM1155" s="933"/>
      <c r="CN1155" s="933"/>
      <c r="CO1155" s="933"/>
      <c r="CP1155" s="2362"/>
      <c r="CQ1155" s="933"/>
      <c r="CR1155" s="933"/>
      <c r="CS1155" s="933"/>
      <c r="CT1155" s="962"/>
      <c r="CU1155" s="1292"/>
      <c r="CV1155" s="933"/>
      <c r="CW1155" s="933"/>
      <c r="CX1155" s="933"/>
      <c r="CY1155" s="962"/>
      <c r="CZ1155" s="2362"/>
      <c r="DA1155" s="2363"/>
      <c r="DB1155" s="1049"/>
      <c r="DC1155" s="1049"/>
      <c r="DD1155" s="1292"/>
      <c r="DE1155" s="2364"/>
      <c r="DF1155" s="2365"/>
      <c r="DG1155" s="1050"/>
      <c r="DH1155" s="1050"/>
      <c r="DI1155" s="2049"/>
      <c r="DJ1155" s="2364"/>
      <c r="DK1155" s="2365"/>
      <c r="DL1155" s="1050"/>
      <c r="DM1155" s="1050"/>
      <c r="DN1155" s="2049"/>
      <c r="DO1155" s="2364"/>
      <c r="DP1155" s="1050"/>
      <c r="DQ1155" s="1050"/>
      <c r="DR1155" s="1050"/>
      <c r="DS1155" s="1050"/>
      <c r="DT1155" s="2364"/>
      <c r="DU1155" s="1050"/>
      <c r="DV1155" s="1050"/>
      <c r="DW1155" s="1050"/>
      <c r="DX1155" s="2049"/>
      <c r="DY1155" s="2364"/>
      <c r="DZ1155" s="1050"/>
      <c r="EA1155" s="1050"/>
      <c r="EB1155" s="1050"/>
      <c r="EC1155" s="2049"/>
      <c r="ED1155" s="2364"/>
      <c r="EE1155" s="1050"/>
      <c r="EF1155" s="1050"/>
      <c r="EG1155" s="1050"/>
      <c r="EH1155" s="1050"/>
      <c r="EI1155" s="2364"/>
      <c r="EJ1155" s="2364"/>
      <c r="EK1155" s="2364"/>
      <c r="EL1155" s="2364"/>
      <c r="EM1155" s="2364"/>
      <c r="EN1155" s="2364"/>
      <c r="EO1155" s="1050"/>
      <c r="EP1155" s="2365"/>
      <c r="EQ1155" s="2365"/>
      <c r="ER1155" s="2365"/>
      <c r="ES1155" s="2365"/>
      <c r="ET1155" s="2365"/>
      <c r="EU1155" s="2365"/>
      <c r="EV1155" s="2365"/>
      <c r="EW1155" s="2365"/>
      <c r="EX1155" s="2364"/>
    </row>
    <row r="1156" spans="2:154" ht="12.75" hidden="1" customHeight="1" outlineLevel="1">
      <c r="B1156" s="440" t="s">
        <v>156</v>
      </c>
      <c r="C1156" s="1577"/>
      <c r="D1156" s="933"/>
      <c r="E1156" s="933"/>
      <c r="F1156" s="933"/>
      <c r="G1156" s="933"/>
      <c r="H1156" s="933"/>
      <c r="I1156" s="2359"/>
      <c r="J1156" s="926"/>
      <c r="K1156" s="926"/>
      <c r="L1156" s="926"/>
      <c r="M1156" s="926"/>
      <c r="N1156" s="2359"/>
      <c r="O1156" s="926"/>
      <c r="P1156" s="926"/>
      <c r="Q1156" s="926"/>
      <c r="R1156" s="926"/>
      <c r="S1156" s="2359"/>
      <c r="T1156" s="926"/>
      <c r="U1156" s="926"/>
      <c r="V1156" s="926"/>
      <c r="W1156" s="926"/>
      <c r="X1156" s="1060"/>
      <c r="Y1156" s="2359"/>
      <c r="Z1156" s="2359"/>
      <c r="AA1156" s="2359"/>
      <c r="AB1156" s="926"/>
      <c r="AC1156" s="1060"/>
      <c r="AD1156" s="2359"/>
      <c r="AE1156" s="2359"/>
      <c r="AF1156" s="2359"/>
      <c r="AG1156" s="926"/>
      <c r="AH1156" s="1060"/>
      <c r="AI1156" s="2359"/>
      <c r="AJ1156" s="2359"/>
      <c r="AK1156" s="2359"/>
      <c r="AL1156" s="926"/>
      <c r="AM1156" s="1060"/>
      <c r="AN1156" s="2359"/>
      <c r="AO1156" s="2359"/>
      <c r="AP1156" s="2359"/>
      <c r="AQ1156" s="926"/>
      <c r="AR1156" s="1060"/>
      <c r="AS1156" s="2359"/>
      <c r="AT1156" s="926"/>
      <c r="AU1156" s="926"/>
      <c r="AV1156" s="926"/>
      <c r="AW1156" s="1060" t="str">
        <f t="shared" ref="AW1156:BQ1157" si="2399">IF(AR1151="NM","NM",IF(AW1151="NM","NM",IF(AR1151&lt;=0,"NM",IF(AW1151=0,"NM",IF(ABS(AW1151/AR1151-1)&gt;2.5,"NM",IF((ABS(AW1151-AR1151)=ABS(ABS(AW1151)-ABS(AR1151))),(AW1151/AR1151-1),"NM"))))))</f>
      </c>
      <c r="AX1156" s="926" t="str">
        <f t="shared" si="2399"/>
      </c>
      <c r="AY1156" s="926" t="str">
        <f t="shared" si="2399"/>
      </c>
      <c r="AZ1156" s="926" t="str">
        <f t="shared" si="2399"/>
      </c>
      <c r="BA1156" s="926" t="str">
        <f t="shared" si="2399"/>
      </c>
      <c r="BB1156" s="1060" t="str">
        <f t="shared" si="2399"/>
      </c>
      <c r="BC1156" s="926" t="str">
        <f t="shared" si="2399"/>
      </c>
      <c r="BD1156" s="926" t="str">
        <f t="shared" si="2399"/>
      </c>
      <c r="BE1156" s="926" t="str">
        <f t="shared" si="2399"/>
      </c>
      <c r="BF1156" s="926" t="str">
        <f t="shared" si="2399"/>
      </c>
      <c r="BG1156" s="1060" t="str">
        <f t="shared" si="2399"/>
      </c>
      <c r="BH1156" s="926" t="str">
        <f t="shared" si="2399"/>
      </c>
      <c r="BI1156" s="926" t="str">
        <f t="shared" si="2399"/>
      </c>
      <c r="BJ1156" s="926" t="str">
        <f t="shared" si="2399"/>
      </c>
      <c r="BK1156" s="926" t="str">
        <f t="shared" si="2399"/>
      </c>
      <c r="BL1156" s="1060" t="str">
        <f t="shared" si="2399"/>
      </c>
      <c r="BM1156" s="926" t="str">
        <f t="shared" si="2399"/>
      </c>
      <c r="BN1156" s="926" t="str">
        <f t="shared" si="2399"/>
      </c>
      <c r="BO1156" s="926" t="str">
        <f t="shared" si="2399"/>
      </c>
      <c r="BP1156" s="926" t="str">
        <f t="shared" si="2399"/>
      </c>
      <c r="BQ1156" s="1060" t="str">
        <f t="shared" si="2399"/>
      </c>
      <c r="BR1156" s="926"/>
      <c r="BS1156" s="926"/>
      <c r="BT1156" s="926"/>
      <c r="BU1156" s="926"/>
      <c r="BV1156" s="1060"/>
      <c r="BW1156" s="926"/>
      <c r="BX1156" s="926"/>
      <c r="BY1156" s="926"/>
      <c r="BZ1156" s="926"/>
      <c r="CA1156" s="1060"/>
      <c r="CB1156" s="926"/>
      <c r="CC1156" s="926"/>
      <c r="CD1156" s="926"/>
      <c r="CE1156" s="926"/>
      <c r="CF1156" s="1060"/>
      <c r="CG1156" s="926"/>
      <c r="CH1156" s="926"/>
      <c r="CI1156" s="926"/>
      <c r="CJ1156" s="926"/>
      <c r="CK1156" s="1060"/>
      <c r="CL1156" s="926"/>
      <c r="CM1156" s="926"/>
      <c r="CN1156" s="926"/>
      <c r="CO1156" s="926"/>
      <c r="CP1156" s="1060"/>
      <c r="CQ1156" s="926"/>
      <c r="CR1156" s="926"/>
      <c r="CS1156" s="926"/>
      <c r="CT1156" s="928"/>
      <c r="CU1156" s="928"/>
      <c r="CV1156" s="926"/>
      <c r="CW1156" s="926"/>
      <c r="CX1156" s="926"/>
      <c r="CY1156" s="928"/>
      <c r="CZ1156" s="1060"/>
      <c r="DA1156" s="958"/>
      <c r="DB1156" s="926"/>
      <c r="DC1156" s="926"/>
      <c r="DD1156" s="928"/>
      <c r="DE1156" s="1060"/>
      <c r="DF1156" s="958"/>
      <c r="DG1156" s="926"/>
      <c r="DH1156" s="926"/>
      <c r="DI1156" s="928"/>
      <c r="DJ1156" s="1060"/>
      <c r="DK1156" s="958"/>
      <c r="DL1156" s="926"/>
      <c r="DM1156" s="926"/>
      <c r="DN1156" s="928"/>
      <c r="DO1156" s="1060"/>
      <c r="DP1156" s="926"/>
      <c r="DQ1156" s="926"/>
      <c r="DR1156" s="926"/>
      <c r="DS1156" s="926"/>
      <c r="DT1156" s="1060"/>
      <c r="DU1156" s="926"/>
      <c r="DV1156" s="926"/>
      <c r="DW1156" s="926"/>
      <c r="DX1156" s="928"/>
      <c r="DY1156" s="1060"/>
      <c r="DZ1156" s="926"/>
      <c r="EA1156" s="926"/>
      <c r="EB1156" s="926"/>
      <c r="EC1156" s="928"/>
      <c r="ED1156" s="1060"/>
      <c r="EE1156" s="926"/>
      <c r="EF1156" s="926"/>
      <c r="EG1156" s="926"/>
      <c r="EH1156" s="926"/>
      <c r="EI1156" s="1060"/>
      <c r="EJ1156" s="1060"/>
      <c r="EK1156" s="1060"/>
      <c r="EL1156" s="1060"/>
      <c r="EM1156" s="1060"/>
      <c r="EN1156" s="1060"/>
      <c r="EO1156" s="926"/>
      <c r="EP1156" s="958"/>
      <c r="EQ1156" s="958"/>
      <c r="ER1156" s="958"/>
      <c r="ES1156" s="958"/>
      <c r="ET1156" s="958"/>
      <c r="EU1156" s="958"/>
      <c r="EV1156" s="958"/>
      <c r="EW1156" s="958"/>
      <c r="EX1156" s="1060"/>
    </row>
    <row r="1157" spans="2:154" ht="12.75" hidden="1" customHeight="1" outlineLevel="1">
      <c r="B1157" s="440" t="s">
        <v>235</v>
      </c>
      <c r="C1157" s="1577"/>
      <c r="D1157" s="933"/>
      <c r="E1157" s="933"/>
      <c r="F1157" s="933"/>
      <c r="G1157" s="933"/>
      <c r="H1157" s="933"/>
      <c r="I1157" s="2359"/>
      <c r="J1157" s="926"/>
      <c r="K1157" s="926"/>
      <c r="L1157" s="926"/>
      <c r="M1157" s="926"/>
      <c r="N1157" s="2359"/>
      <c r="O1157" s="926"/>
      <c r="P1157" s="926"/>
      <c r="Q1157" s="926"/>
      <c r="R1157" s="926"/>
      <c r="S1157" s="2359"/>
      <c r="T1157" s="926"/>
      <c r="U1157" s="926"/>
      <c r="V1157" s="926"/>
      <c r="W1157" s="926"/>
      <c r="X1157" s="1060"/>
      <c r="Y1157" s="2359"/>
      <c r="Z1157" s="2359"/>
      <c r="AA1157" s="2359"/>
      <c r="AB1157" s="926"/>
      <c r="AC1157" s="1060"/>
      <c r="AD1157" s="2359"/>
      <c r="AE1157" s="2359"/>
      <c r="AF1157" s="2359"/>
      <c r="AG1157" s="926"/>
      <c r="AH1157" s="1060"/>
      <c r="AI1157" s="2359"/>
      <c r="AJ1157" s="2359"/>
      <c r="AK1157" s="2359"/>
      <c r="AL1157" s="926"/>
      <c r="AM1157" s="1060"/>
      <c r="AN1157" s="2359"/>
      <c r="AO1157" s="2359"/>
      <c r="AP1157" s="2359"/>
      <c r="AQ1157" s="926"/>
      <c r="AR1157" s="1060"/>
      <c r="AS1157" s="2359"/>
      <c r="AT1157" s="926"/>
      <c r="AU1157" s="926"/>
      <c r="AV1157" s="926"/>
      <c r="AW1157" s="1060">
        <f t="shared" si="2399"/>
      </c>
      <c r="AX1157" s="926" t="str">
        <f t="shared" si="2399"/>
      </c>
      <c r="AY1157" s="926" t="str">
        <f t="shared" si="2399"/>
      </c>
      <c r="AZ1157" s="926" t="str">
        <f t="shared" si="2399"/>
      </c>
      <c r="BA1157" s="926" t="str">
        <f t="shared" si="2399"/>
      </c>
      <c r="BB1157" s="1060" t="str">
        <f t="shared" si="2399"/>
      </c>
      <c r="BC1157" s="926" t="str">
        <f t="shared" si="2399"/>
      </c>
      <c r="BD1157" s="926" t="str">
        <f t="shared" si="2399"/>
      </c>
      <c r="BE1157" s="926" t="str">
        <f t="shared" si="2399"/>
      </c>
      <c r="BF1157" s="926" t="str">
        <f t="shared" si="2399"/>
      </c>
      <c r="BG1157" s="1060" t="str">
        <f t="shared" si="2399"/>
      </c>
      <c r="BH1157" s="926" t="str">
        <f t="shared" si="2399"/>
      </c>
      <c r="BI1157" s="926" t="str">
        <f t="shared" si="2399"/>
      </c>
      <c r="BJ1157" s="926" t="str">
        <f t="shared" si="2399"/>
      </c>
      <c r="BK1157" s="926" t="str">
        <f t="shared" si="2399"/>
      </c>
      <c r="BL1157" s="1060" t="str">
        <f t="shared" si="2399"/>
      </c>
      <c r="BM1157" s="926" t="str">
        <f t="shared" si="2399"/>
      </c>
      <c r="BN1157" s="926" t="str">
        <f t="shared" si="2399"/>
      </c>
      <c r="BO1157" s="926" t="str">
        <f t="shared" si="2399"/>
      </c>
      <c r="BP1157" s="926" t="str">
        <f t="shared" si="2399"/>
      </c>
      <c r="BQ1157" s="1060" t="str">
        <f t="shared" si="2399"/>
      </c>
      <c r="BR1157" s="926"/>
      <c r="BS1157" s="926"/>
      <c r="BT1157" s="926"/>
      <c r="BU1157" s="926"/>
      <c r="BV1157" s="1060"/>
      <c r="BW1157" s="926"/>
      <c r="BX1157" s="926"/>
      <c r="BY1157" s="926"/>
      <c r="BZ1157" s="926"/>
      <c r="CA1157" s="1060"/>
      <c r="CB1157" s="926"/>
      <c r="CC1157" s="926"/>
      <c r="CD1157" s="926"/>
      <c r="CE1157" s="926"/>
      <c r="CF1157" s="1060"/>
      <c r="CG1157" s="926"/>
      <c r="CH1157" s="926"/>
      <c r="CI1157" s="926"/>
      <c r="CJ1157" s="926"/>
      <c r="CK1157" s="1060"/>
      <c r="CL1157" s="926"/>
      <c r="CM1157" s="926"/>
      <c r="CN1157" s="926"/>
      <c r="CO1157" s="926"/>
      <c r="CP1157" s="1060"/>
      <c r="CQ1157" s="926"/>
      <c r="CR1157" s="926"/>
      <c r="CS1157" s="926"/>
      <c r="CT1157" s="928"/>
      <c r="CU1157" s="928"/>
      <c r="CV1157" s="926"/>
      <c r="CW1157" s="926"/>
      <c r="CX1157" s="926"/>
      <c r="CY1157" s="928"/>
      <c r="CZ1157" s="1060"/>
      <c r="DA1157" s="958"/>
      <c r="DB1157" s="926"/>
      <c r="DC1157" s="926"/>
      <c r="DD1157" s="928"/>
      <c r="DE1157" s="1060"/>
      <c r="DF1157" s="958"/>
      <c r="DG1157" s="926"/>
      <c r="DH1157" s="926"/>
      <c r="DI1157" s="928"/>
      <c r="DJ1157" s="1060"/>
      <c r="DK1157" s="958"/>
      <c r="DL1157" s="926"/>
      <c r="DM1157" s="926"/>
      <c r="DN1157" s="928"/>
      <c r="DO1157" s="1060"/>
      <c r="DP1157" s="926"/>
      <c r="DQ1157" s="926"/>
      <c r="DR1157" s="926"/>
      <c r="DS1157" s="926"/>
      <c r="DT1157" s="1060"/>
      <c r="DU1157" s="926"/>
      <c r="DV1157" s="926"/>
      <c r="DW1157" s="926"/>
      <c r="DX1157" s="928"/>
      <c r="DY1157" s="1060"/>
      <c r="DZ1157" s="926"/>
      <c r="EA1157" s="926"/>
      <c r="EB1157" s="926"/>
      <c r="EC1157" s="928"/>
      <c r="ED1157" s="1060"/>
      <c r="EE1157" s="926"/>
      <c r="EF1157" s="926"/>
      <c r="EG1157" s="926"/>
      <c r="EH1157" s="926"/>
      <c r="EI1157" s="1060"/>
      <c r="EJ1157" s="1060"/>
      <c r="EK1157" s="1060"/>
      <c r="EL1157" s="1060"/>
      <c r="EM1157" s="1060"/>
      <c r="EN1157" s="1060"/>
      <c r="EO1157" s="926"/>
      <c r="EP1157" s="958"/>
      <c r="EQ1157" s="958"/>
      <c r="ER1157" s="958"/>
      <c r="ES1157" s="958"/>
      <c r="ET1157" s="958"/>
      <c r="EU1157" s="958"/>
      <c r="EV1157" s="958"/>
      <c r="EW1157" s="958"/>
      <c r="EX1157" s="1060"/>
    </row>
    <row r="1158" spans="2:154" ht="12.75" hidden="1" customHeight="1" outlineLevel="1">
      <c r="B1158" s="440" t="s">
        <v>157</v>
      </c>
      <c r="C1158" s="1577"/>
      <c r="D1158" s="933"/>
      <c r="E1158" s="933"/>
      <c r="F1158" s="933"/>
      <c r="G1158" s="933"/>
      <c r="H1158" s="933"/>
      <c r="I1158" s="24"/>
      <c r="J1158" s="946"/>
      <c r="K1158" s="946"/>
      <c r="L1158" s="946"/>
      <c r="M1158" s="946"/>
      <c r="N1158" s="24"/>
      <c r="O1158" s="24"/>
      <c r="P1158" s="24"/>
      <c r="Q1158" s="24"/>
      <c r="R1158" s="24"/>
      <c r="S1158" s="946"/>
      <c r="T1158" s="24"/>
      <c r="U1158" s="24"/>
      <c r="V1158" s="24"/>
      <c r="W1158" s="24"/>
      <c r="X1158" s="1060"/>
      <c r="Y1158" s="24"/>
      <c r="Z1158" s="24"/>
      <c r="AA1158" s="24"/>
      <c r="AB1158" s="24"/>
      <c r="AC1158" s="1060"/>
      <c r="AD1158" s="24"/>
      <c r="AE1158" s="24"/>
      <c r="AF1158" s="24"/>
      <c r="AG1158" s="24"/>
      <c r="AH1158" s="1060"/>
      <c r="AI1158" s="946"/>
      <c r="AJ1158" s="946"/>
      <c r="AK1158" s="946"/>
      <c r="AL1158" s="24"/>
      <c r="AM1158" s="1060"/>
      <c r="AN1158" s="946"/>
      <c r="AO1158" s="946"/>
      <c r="AP1158" s="946"/>
      <c r="AQ1158" s="24"/>
      <c r="AR1158" s="1060"/>
      <c r="AS1158" s="946"/>
      <c r="AT1158" s="946"/>
      <c r="AU1158" s="946"/>
      <c r="AV1158" s="959"/>
      <c r="AW1158" s="1060">
        <f t="shared" ref="AW1158:BQ1158" si="2400">IF(ISNUMBER(AW1157),(1+AW1157)/(1+AW$21)-1,"NM")</f>
      </c>
      <c r="AX1158" s="926" t="str">
        <f t="shared" si="2400"/>
      </c>
      <c r="AY1158" s="926" t="str">
        <f t="shared" si="2400"/>
      </c>
      <c r="AZ1158" s="926" t="str">
        <f t="shared" si="2400"/>
      </c>
      <c r="BA1158" s="926" t="str">
        <f t="shared" si="2400"/>
      </c>
      <c r="BB1158" s="1060" t="str">
        <f t="shared" si="2400"/>
      </c>
      <c r="BC1158" s="926" t="str">
        <f t="shared" si="2400"/>
      </c>
      <c r="BD1158" s="926" t="str">
        <f t="shared" si="2400"/>
      </c>
      <c r="BE1158" s="926" t="str">
        <f t="shared" si="2400"/>
      </c>
      <c r="BF1158" s="926" t="str">
        <f t="shared" si="2400"/>
      </c>
      <c r="BG1158" s="1060" t="str">
        <f t="shared" si="2400"/>
      </c>
      <c r="BH1158" s="926" t="str">
        <f t="shared" si="2400"/>
      </c>
      <c r="BI1158" s="926" t="str">
        <f t="shared" si="2400"/>
      </c>
      <c r="BJ1158" s="926" t="str">
        <f t="shared" si="2400"/>
      </c>
      <c r="BK1158" s="925" t="str">
        <f t="shared" si="2400"/>
      </c>
      <c r="BL1158" s="1060" t="str">
        <f t="shared" si="2400"/>
      </c>
      <c r="BM1158" s="926" t="str">
        <f t="shared" si="2400"/>
      </c>
      <c r="BN1158" s="926" t="str">
        <f t="shared" si="2400"/>
      </c>
      <c r="BO1158" s="926" t="str">
        <f t="shared" si="2400"/>
      </c>
      <c r="BP1158" s="926" t="str">
        <f t="shared" si="2400"/>
      </c>
      <c r="BQ1158" s="1060" t="str">
        <f t="shared" si="2400"/>
      </c>
      <c r="BR1158" s="926"/>
      <c r="BS1158" s="926"/>
      <c r="BT1158" s="926"/>
      <c r="BU1158" s="926"/>
      <c r="BV1158" s="1060"/>
      <c r="BW1158" s="926"/>
      <c r="BX1158" s="926"/>
      <c r="BY1158" s="926"/>
      <c r="BZ1158" s="926"/>
      <c r="CA1158" s="1060"/>
      <c r="CB1158" s="926"/>
      <c r="CC1158" s="926"/>
      <c r="CD1158" s="926"/>
      <c r="CE1158" s="926"/>
      <c r="CF1158" s="1060"/>
      <c r="CG1158" s="926"/>
      <c r="CH1158" s="926"/>
      <c r="CI1158" s="926"/>
      <c r="CJ1158" s="926"/>
      <c r="CK1158" s="1060"/>
      <c r="CL1158" s="926"/>
      <c r="CM1158" s="926"/>
      <c r="CN1158" s="926"/>
      <c r="CO1158" s="926"/>
      <c r="CP1158" s="1060"/>
      <c r="CQ1158" s="926"/>
      <c r="CR1158" s="926"/>
      <c r="CS1158" s="926"/>
      <c r="CT1158" s="928"/>
      <c r="CU1158" s="928"/>
      <c r="CV1158" s="926"/>
      <c r="CW1158" s="926"/>
      <c r="CX1158" s="926"/>
      <c r="CY1158" s="928"/>
      <c r="CZ1158" s="1060"/>
      <c r="DA1158" s="958"/>
      <c r="DB1158" s="926"/>
      <c r="DC1158" s="926"/>
      <c r="DD1158" s="928"/>
      <c r="DE1158" s="1060"/>
      <c r="DF1158" s="958"/>
      <c r="DG1158" s="926"/>
      <c r="DH1158" s="926"/>
      <c r="DI1158" s="928"/>
      <c r="DJ1158" s="1060"/>
      <c r="DK1158" s="958"/>
      <c r="DL1158" s="926"/>
      <c r="DM1158" s="926"/>
      <c r="DN1158" s="928"/>
      <c r="DO1158" s="1060"/>
      <c r="DP1158" s="926"/>
      <c r="DQ1158" s="926"/>
      <c r="DR1158" s="926"/>
      <c r="DS1158" s="926"/>
      <c r="DT1158" s="1060"/>
      <c r="DU1158" s="926"/>
      <c r="DV1158" s="926"/>
      <c r="DW1158" s="926"/>
      <c r="DX1158" s="928"/>
      <c r="DY1158" s="1060"/>
      <c r="DZ1158" s="926"/>
      <c r="EA1158" s="926"/>
      <c r="EB1158" s="926"/>
      <c r="EC1158" s="928"/>
      <c r="ED1158" s="1060"/>
      <c r="EE1158" s="926"/>
      <c r="EF1158" s="926"/>
      <c r="EG1158" s="926"/>
      <c r="EH1158" s="926"/>
      <c r="EI1158" s="1060"/>
      <c r="EJ1158" s="1060"/>
      <c r="EK1158" s="1060"/>
      <c r="EL1158" s="1060"/>
      <c r="EM1158" s="1060"/>
      <c r="EN1158" s="1060"/>
      <c r="EO1158" s="926"/>
      <c r="EP1158" s="958"/>
      <c r="EQ1158" s="958"/>
      <c r="ER1158" s="958"/>
      <c r="ES1158" s="958"/>
      <c r="ET1158" s="958"/>
      <c r="EU1158" s="958"/>
      <c r="EV1158" s="958"/>
      <c r="EW1158" s="958"/>
      <c r="EX1158" s="1060"/>
    </row>
    <row r="1159" spans="2:154" ht="12.75" hidden="1" customHeight="1" outlineLevel="1">
      <c r="B1159" s="440" t="s">
        <v>19</v>
      </c>
      <c r="C1159" s="1577"/>
      <c r="D1159" s="933"/>
      <c r="E1159" s="933"/>
      <c r="F1159" s="933"/>
      <c r="G1159" s="933"/>
      <c r="H1159" s="933"/>
      <c r="I1159" s="29"/>
      <c r="J1159" s="926"/>
      <c r="K1159" s="926"/>
      <c r="L1159" s="926"/>
      <c r="M1159" s="926"/>
      <c r="N1159" s="926"/>
      <c r="O1159" s="926"/>
      <c r="P1159" s="926"/>
      <c r="Q1159" s="926"/>
      <c r="R1159" s="926"/>
      <c r="S1159" s="926"/>
      <c r="T1159" s="926"/>
      <c r="U1159" s="926"/>
      <c r="V1159" s="926"/>
      <c r="W1159" s="926"/>
      <c r="X1159" s="1060"/>
      <c r="Y1159" s="926"/>
      <c r="Z1159" s="926"/>
      <c r="AA1159" s="926"/>
      <c r="AB1159" s="926"/>
      <c r="AC1159" s="1060"/>
      <c r="AD1159" s="926"/>
      <c r="AE1159" s="926"/>
      <c r="AF1159" s="926"/>
      <c r="AG1159" s="926"/>
      <c r="AH1159" s="1060"/>
      <c r="AI1159" s="926"/>
      <c r="AJ1159" s="926"/>
      <c r="AK1159" s="926"/>
      <c r="AL1159" s="926"/>
      <c r="AM1159" s="1060"/>
      <c r="AN1159" s="926"/>
      <c r="AO1159" s="926"/>
      <c r="AP1159" s="926"/>
      <c r="AQ1159" s="926"/>
      <c r="AR1159" s="1060"/>
      <c r="AS1159" s="926"/>
      <c r="AT1159" s="926"/>
      <c r="AU1159" s="926"/>
      <c r="AV1159" s="926"/>
      <c r="AW1159" s="1060">
        <f t="shared" ref="AW1159:BQ1159" si="2401">IF(AR1153="NM","NM",IF(AW1153="NM","NM",IF(AR1153&lt;=0,"NM",IF(AW1153=0,"NM",IF(ABS(AW1153/AR1153-1)&gt;2.5,"NM",IF((ABS(AW1153-AR1153)=ABS(ABS(AW1153)-ABS(AR1153))),(AW1153/AR1153-1),"NM"))))))</f>
      </c>
      <c r="AX1159" s="926" t="str">
        <f t="shared" si="2401"/>
      </c>
      <c r="AY1159" s="926" t="str">
        <f t="shared" si="2401"/>
      </c>
      <c r="AZ1159" s="926" t="str">
        <f t="shared" si="2401"/>
      </c>
      <c r="BA1159" s="926" t="str">
        <f t="shared" si="2401"/>
      </c>
      <c r="BB1159" s="1060" t="str">
        <f t="shared" si="2401"/>
      </c>
      <c r="BC1159" s="926" t="str">
        <f t="shared" si="2401"/>
      </c>
      <c r="BD1159" s="926" t="str">
        <f t="shared" si="2401"/>
      </c>
      <c r="BE1159" s="926" t="str">
        <f t="shared" si="2401"/>
      </c>
      <c r="BF1159" s="926" t="str">
        <f t="shared" si="2401"/>
      </c>
      <c r="BG1159" s="1060" t="str">
        <f t="shared" si="2401"/>
      </c>
      <c r="BH1159" s="926" t="str">
        <f t="shared" si="2401"/>
      </c>
      <c r="BI1159" s="926" t="str">
        <f t="shared" si="2401"/>
      </c>
      <c r="BJ1159" s="926" t="str">
        <f t="shared" si="2401"/>
      </c>
      <c r="BK1159" s="926" t="str">
        <f t="shared" si="2401"/>
      </c>
      <c r="BL1159" s="1060" t="str">
        <f t="shared" si="2401"/>
      </c>
      <c r="BM1159" s="926" t="str">
        <f t="shared" si="2401"/>
      </c>
      <c r="BN1159" s="926" t="str">
        <f t="shared" si="2401"/>
      </c>
      <c r="BO1159" s="926" t="str">
        <f t="shared" si="2401"/>
      </c>
      <c r="BP1159" s="926" t="str">
        <f t="shared" si="2401"/>
      </c>
      <c r="BQ1159" s="1060" t="str">
        <f t="shared" si="2401"/>
      </c>
      <c r="BR1159" s="926"/>
      <c r="BS1159" s="926"/>
      <c r="BT1159" s="926"/>
      <c r="BU1159" s="926"/>
      <c r="BV1159" s="1060"/>
      <c r="BW1159" s="926"/>
      <c r="BX1159" s="926"/>
      <c r="BY1159" s="926"/>
      <c r="BZ1159" s="926"/>
      <c r="CA1159" s="1060"/>
      <c r="CB1159" s="926"/>
      <c r="CC1159" s="926"/>
      <c r="CD1159" s="926"/>
      <c r="CE1159" s="926"/>
      <c r="CF1159" s="1060"/>
      <c r="CG1159" s="926"/>
      <c r="CH1159" s="926"/>
      <c r="CI1159" s="926"/>
      <c r="CJ1159" s="926"/>
      <c r="CK1159" s="1060"/>
      <c r="CL1159" s="926"/>
      <c r="CM1159" s="926"/>
      <c r="CN1159" s="926"/>
      <c r="CO1159" s="926"/>
      <c r="CP1159" s="1060"/>
      <c r="CQ1159" s="926"/>
      <c r="CR1159" s="926"/>
      <c r="CS1159" s="926"/>
      <c r="CT1159" s="928"/>
      <c r="CU1159" s="928"/>
      <c r="CV1159" s="926"/>
      <c r="CW1159" s="926"/>
      <c r="CX1159" s="926"/>
      <c r="CY1159" s="928"/>
      <c r="CZ1159" s="1060"/>
      <c r="DA1159" s="958"/>
      <c r="DB1159" s="926"/>
      <c r="DC1159" s="926"/>
      <c r="DD1159" s="928"/>
      <c r="DE1159" s="1060"/>
      <c r="DF1159" s="958"/>
      <c r="DG1159" s="926"/>
      <c r="DH1159" s="926"/>
      <c r="DI1159" s="928"/>
      <c r="DJ1159" s="1060"/>
      <c r="DK1159" s="958"/>
      <c r="DL1159" s="926"/>
      <c r="DM1159" s="926"/>
      <c r="DN1159" s="928"/>
      <c r="DO1159" s="1060"/>
      <c r="DP1159" s="926"/>
      <c r="DQ1159" s="926"/>
      <c r="DR1159" s="926"/>
      <c r="DS1159" s="926"/>
      <c r="DT1159" s="1060"/>
      <c r="DU1159" s="926"/>
      <c r="DV1159" s="926"/>
      <c r="DW1159" s="926"/>
      <c r="DX1159" s="928"/>
      <c r="DY1159" s="1060"/>
      <c r="DZ1159" s="926"/>
      <c r="EA1159" s="926"/>
      <c r="EB1159" s="926"/>
      <c r="EC1159" s="928"/>
      <c r="ED1159" s="1060"/>
      <c r="EE1159" s="926"/>
      <c r="EF1159" s="926"/>
      <c r="EG1159" s="926"/>
      <c r="EH1159" s="926"/>
      <c r="EI1159" s="1060"/>
      <c r="EJ1159" s="1060"/>
      <c r="EK1159" s="1060"/>
      <c r="EL1159" s="1060"/>
      <c r="EM1159" s="1060"/>
      <c r="EN1159" s="1060"/>
      <c r="EO1159" s="926"/>
      <c r="EP1159" s="958"/>
      <c r="EQ1159" s="958"/>
      <c r="ER1159" s="958"/>
      <c r="ES1159" s="958"/>
      <c r="ET1159" s="958"/>
      <c r="EU1159" s="958"/>
      <c r="EV1159" s="958"/>
      <c r="EW1159" s="958"/>
      <c r="EX1159" s="1060"/>
    </row>
    <row r="1160" spans="2:154" ht="12.75" customHeight="1" collapsed="1">
      <c r="B1160" s="437"/>
      <c r="C1160" s="1577"/>
      <c r="D1160" s="933"/>
      <c r="E1160" s="933"/>
      <c r="F1160" s="933"/>
      <c r="G1160" s="933"/>
      <c r="H1160" s="933"/>
      <c r="I1160" s="933"/>
      <c r="J1160" s="933"/>
      <c r="K1160" s="933"/>
      <c r="L1160" s="933"/>
      <c r="M1160" s="933"/>
      <c r="N1160" s="933"/>
      <c r="O1160" s="933"/>
      <c r="P1160" s="933"/>
      <c r="Q1160" s="933"/>
      <c r="R1160" s="933"/>
      <c r="S1160" s="933"/>
      <c r="T1160" s="933"/>
      <c r="U1160" s="933"/>
      <c r="V1160" s="933"/>
      <c r="W1160" s="933"/>
      <c r="X1160" s="1061"/>
      <c r="Y1160" s="933"/>
      <c r="Z1160" s="933"/>
      <c r="AA1160" s="933"/>
      <c r="AB1160" s="933"/>
      <c r="AC1160" s="1061"/>
      <c r="AD1160" s="943"/>
      <c r="AE1160" s="943"/>
      <c r="AF1160" s="943"/>
      <c r="AG1160" s="943"/>
      <c r="AH1160" s="1061"/>
      <c r="AI1160" s="943"/>
      <c r="AJ1160" s="943"/>
      <c r="AK1160" s="943"/>
      <c r="AL1160" s="943"/>
      <c r="AM1160" s="1061"/>
      <c r="AN1160" s="1049"/>
      <c r="AO1160" s="1049"/>
      <c r="AP1160" s="1049"/>
      <c r="AQ1160" s="1049"/>
      <c r="AR1160" s="1061"/>
      <c r="AS1160" s="945"/>
      <c r="AT1160" s="945"/>
      <c r="AU1160" s="945"/>
      <c r="AV1160" s="945"/>
      <c r="AW1160" s="1061"/>
      <c r="AX1160" s="33"/>
      <c r="AY1160" s="33"/>
      <c r="AZ1160" s="33"/>
      <c r="BA1160" s="33"/>
      <c r="BB1160" s="1061"/>
      <c r="BC1160" s="933"/>
      <c r="BD1160" s="933"/>
      <c r="BE1160" s="933"/>
      <c r="BF1160" s="933"/>
      <c r="BG1160" s="1061"/>
      <c r="BH1160" s="933"/>
      <c r="BI1160" s="933"/>
      <c r="BJ1160" s="933"/>
      <c r="BK1160" s="933"/>
      <c r="BL1160" s="1061"/>
      <c r="BM1160" s="933"/>
      <c r="BN1160" s="933"/>
      <c r="BO1160" s="933"/>
      <c r="BP1160" s="933"/>
      <c r="BQ1160" s="1061"/>
      <c r="BR1160" s="933"/>
      <c r="BS1160" s="933"/>
      <c r="BT1160" s="933"/>
      <c r="BU1160" s="933"/>
      <c r="BV1160" s="1061"/>
      <c r="BW1160" s="933"/>
      <c r="BX1160" s="933"/>
      <c r="BY1160" s="933"/>
      <c r="BZ1160" s="933"/>
      <c r="CA1160" s="1061"/>
      <c r="CB1160" s="933"/>
      <c r="CC1160" s="933"/>
      <c r="CD1160" s="933"/>
      <c r="CE1160" s="933"/>
      <c r="CF1160" s="1061"/>
      <c r="CG1160" s="933"/>
      <c r="CH1160" s="933"/>
      <c r="CI1160" s="933"/>
      <c r="CJ1160" s="933"/>
      <c r="CK1160" s="1061"/>
      <c r="CL1160" s="933"/>
      <c r="CM1160" s="933"/>
      <c r="CN1160" s="933"/>
      <c r="CO1160" s="933"/>
      <c r="CP1160" s="1061"/>
      <c r="CQ1160" s="933"/>
      <c r="CR1160" s="933"/>
      <c r="CS1160" s="933"/>
      <c r="CT1160" s="962"/>
      <c r="CU1160" s="962"/>
      <c r="CV1160" s="933"/>
      <c r="CW1160" s="933"/>
      <c r="CX1160" s="933"/>
      <c r="CY1160" s="962"/>
      <c r="CZ1160" s="1061"/>
      <c r="DA1160" s="961"/>
      <c r="DB1160" s="933"/>
      <c r="DC1160" s="933"/>
      <c r="DD1160" s="962"/>
      <c r="DE1160" s="1866"/>
      <c r="DF1160" s="981"/>
      <c r="DG1160" s="982"/>
      <c r="DH1160" s="982"/>
      <c r="DI1160" s="1875"/>
      <c r="DJ1160" s="1866"/>
      <c r="DK1160" s="981"/>
      <c r="DL1160" s="982"/>
      <c r="DM1160" s="982"/>
      <c r="DN1160" s="1875"/>
      <c r="DO1160" s="1866"/>
      <c r="DP1160" s="982"/>
      <c r="DQ1160" s="982"/>
      <c r="DR1160" s="982"/>
      <c r="DS1160" s="982"/>
      <c r="DT1160" s="1866"/>
      <c r="DU1160" s="982"/>
      <c r="DV1160" s="982"/>
      <c r="DW1160" s="982"/>
      <c r="DX1160" s="1875"/>
      <c r="DY1160" s="1866"/>
      <c r="DZ1160" s="982"/>
      <c r="EA1160" s="982"/>
      <c r="EB1160" s="982"/>
      <c r="EC1160" s="1875"/>
      <c r="ED1160" s="1866"/>
      <c r="EE1160" s="982"/>
      <c r="EF1160" s="982"/>
      <c r="EG1160" s="982"/>
      <c r="EH1160" s="982"/>
      <c r="EI1160" s="1866"/>
      <c r="EJ1160" s="1866"/>
      <c r="EK1160" s="1866"/>
      <c r="EL1160" s="1866"/>
      <c r="EM1160" s="1866"/>
      <c r="EN1160" s="1866"/>
      <c r="EO1160" s="982"/>
      <c r="EP1160" s="981"/>
      <c r="EQ1160" s="981"/>
      <c r="ER1160" s="981"/>
      <c r="ES1160" s="981"/>
      <c r="ET1160" s="981"/>
      <c r="EU1160" s="981"/>
      <c r="EV1160" s="981"/>
      <c r="EW1160" s="981"/>
      <c r="EX1160" s="1866"/>
    </row>
    <row r="1161" spans="2:154" ht="12.75" hidden="1" customHeight="1" outlineLevel="1">
      <c r="B1161" s="456" t="s">
        <v>521</v>
      </c>
      <c r="C1161" s="1577"/>
      <c r="D1161" s="933"/>
      <c r="E1161" s="933"/>
      <c r="F1161" s="933"/>
      <c r="G1161" s="933"/>
      <c r="H1161" s="933"/>
      <c r="I1161" s="933"/>
      <c r="J1161" s="933"/>
      <c r="K1161" s="933"/>
      <c r="L1161" s="933"/>
      <c r="M1161" s="933"/>
      <c r="N1161" s="933"/>
      <c r="O1161" s="933"/>
      <c r="P1161" s="933"/>
      <c r="Q1161" s="933"/>
      <c r="R1161" s="933"/>
      <c r="S1161" s="933"/>
      <c r="T1161" s="933"/>
      <c r="U1161" s="933"/>
      <c r="V1161" s="933"/>
      <c r="W1161" s="933"/>
      <c r="X1161" s="1061"/>
      <c r="Y1161" s="933"/>
      <c r="Z1161" s="933"/>
      <c r="AA1161" s="933"/>
      <c r="AB1161" s="933"/>
      <c r="AC1161" s="1061"/>
      <c r="AD1161" s="943"/>
      <c r="AE1161" s="943"/>
      <c r="AF1161" s="943"/>
      <c r="AG1161" s="943"/>
      <c r="AH1161" s="1061"/>
      <c r="AI1161" s="943"/>
      <c r="AJ1161" s="943"/>
      <c r="AK1161" s="943"/>
      <c r="AL1161" s="943"/>
      <c r="AM1161" s="1061"/>
      <c r="AN1161" s="1049"/>
      <c r="AO1161" s="1049"/>
      <c r="AP1161" s="1049"/>
      <c r="AQ1161" s="1049"/>
      <c r="AR1161" s="1061"/>
      <c r="AS1161" s="945"/>
      <c r="AT1161" s="945"/>
      <c r="AU1161" s="945"/>
      <c r="AV1161" s="945"/>
      <c r="AW1161" s="1061"/>
      <c r="AX1161" s="33"/>
      <c r="AY1161" s="33"/>
      <c r="AZ1161" s="33"/>
      <c r="BA1161" s="33"/>
      <c r="BB1161" s="1061"/>
      <c r="BC1161" s="943"/>
      <c r="BD1161" s="933"/>
      <c r="BE1161" s="933"/>
      <c r="BF1161" s="933"/>
      <c r="BG1161" s="1061"/>
      <c r="BH1161" s="933"/>
      <c r="BI1161" s="933"/>
      <c r="BJ1161" s="933"/>
      <c r="BK1161" s="933"/>
      <c r="BL1161" s="1061"/>
      <c r="BM1161" s="933"/>
      <c r="BN1161" s="933"/>
      <c r="BO1161" s="933"/>
      <c r="BP1161" s="933"/>
      <c r="BQ1161" s="1061"/>
      <c r="BR1161" s="933"/>
      <c r="BS1161" s="933"/>
      <c r="BT1161" s="933"/>
      <c r="BU1161" s="933"/>
      <c r="BV1161" s="1061"/>
      <c r="BW1161" s="933"/>
      <c r="BX1161" s="933"/>
      <c r="BY1161" s="933"/>
      <c r="BZ1161" s="933"/>
      <c r="CA1161" s="1061"/>
      <c r="CB1161" s="933"/>
      <c r="CC1161" s="933"/>
      <c r="CD1161" s="933"/>
      <c r="CE1161" s="933"/>
      <c r="CF1161" s="1061"/>
      <c r="CG1161" s="933"/>
      <c r="CH1161" s="933"/>
      <c r="CI1161" s="933"/>
      <c r="CJ1161" s="933"/>
      <c r="CK1161" s="1061"/>
      <c r="CL1161" s="933"/>
      <c r="CM1161" s="933"/>
      <c r="CN1161" s="933"/>
      <c r="CO1161" s="933"/>
      <c r="CP1161" s="1061"/>
      <c r="CQ1161" s="933"/>
      <c r="CR1161" s="933"/>
      <c r="CS1161" s="933"/>
      <c r="CT1161" s="962"/>
      <c r="CU1161" s="962"/>
      <c r="CV1161" s="933"/>
      <c r="CW1161" s="933"/>
      <c r="CX1161" s="933"/>
      <c r="CY1161" s="962"/>
      <c r="CZ1161" s="1061"/>
      <c r="DA1161" s="961"/>
      <c r="DB1161" s="933"/>
      <c r="DC1161" s="933"/>
      <c r="DD1161" s="962"/>
      <c r="DE1161" s="1866"/>
      <c r="DF1161" s="981"/>
      <c r="DG1161" s="982"/>
      <c r="DH1161" s="982"/>
      <c r="DI1161" s="1875"/>
      <c r="DJ1161" s="1866"/>
      <c r="DK1161" s="981"/>
      <c r="DL1161" s="982"/>
      <c r="DM1161" s="982"/>
      <c r="DN1161" s="1875"/>
      <c r="DO1161" s="1866"/>
      <c r="DP1161" s="982"/>
      <c r="DQ1161" s="982"/>
      <c r="DR1161" s="982"/>
      <c r="DS1161" s="982"/>
      <c r="DT1161" s="1866"/>
      <c r="DU1161" s="982"/>
      <c r="DV1161" s="982"/>
      <c r="DW1161" s="982"/>
      <c r="DX1161" s="1875"/>
      <c r="DY1161" s="1866"/>
      <c r="DZ1161" s="982"/>
      <c r="EA1161" s="982"/>
      <c r="EB1161" s="982"/>
      <c r="EC1161" s="1875"/>
      <c r="ED1161" s="1866"/>
      <c r="EE1161" s="982"/>
      <c r="EF1161" s="982"/>
      <c r="EG1161" s="982"/>
      <c r="EH1161" s="982"/>
      <c r="EI1161" s="981"/>
      <c r="EJ1161" s="981"/>
      <c r="EK1161" s="1866"/>
      <c r="EL1161" s="1866"/>
      <c r="EM1161" s="1866"/>
      <c r="EN1161" s="1866"/>
      <c r="EO1161" s="981"/>
      <c r="EP1161" s="981"/>
      <c r="EQ1161" s="981"/>
      <c r="ER1161" s="981"/>
      <c r="ES1161" s="981"/>
      <c r="ET1161" s="981"/>
      <c r="EU1161" s="981"/>
      <c r="EV1161" s="981"/>
      <c r="EW1161" s="981"/>
      <c r="EX1161" s="1866"/>
    </row>
    <row r="1162" spans="2:154" ht="12.75" hidden="1" customHeight="1" outlineLevel="1">
      <c r="B1162" s="438" t="s">
        <v>187</v>
      </c>
      <c r="C1162" s="1577"/>
      <c r="D1162" s="933"/>
      <c r="E1162" s="933"/>
      <c r="F1162" s="933"/>
      <c r="G1162" s="933"/>
      <c r="H1162" s="933"/>
      <c r="I1162" s="933"/>
      <c r="J1162" s="933"/>
      <c r="K1162" s="933"/>
      <c r="L1162" s="933"/>
      <c r="M1162" s="933"/>
      <c r="N1162" s="933"/>
      <c r="O1162" s="933"/>
      <c r="P1162" s="933"/>
      <c r="Q1162" s="933"/>
      <c r="R1162" s="933"/>
      <c r="S1162" s="933"/>
      <c r="T1162" s="933"/>
      <c r="U1162" s="933"/>
      <c r="V1162" s="933"/>
      <c r="W1162" s="933"/>
      <c r="X1162" s="1061"/>
      <c r="Y1162" s="933"/>
      <c r="Z1162" s="933"/>
      <c r="AA1162" s="933"/>
      <c r="AB1162" s="933"/>
      <c r="AC1162" s="1061"/>
      <c r="AD1162" s="33">
        <v>42</v>
      </c>
      <c r="AE1162" s="33">
        <v>33</v>
      </c>
      <c r="AF1162" s="33">
        <v>30</v>
      </c>
      <c r="AG1162" s="33">
        <v>45</v>
      </c>
      <c r="AH1162" s="1061">
        <f>SUM(AD1162:AG1162)</f>
      </c>
      <c r="AI1162" s="33">
        <v>46.2</v>
      </c>
      <c r="AJ1162" s="33">
        <v>36.299999999999997</v>
      </c>
      <c r="AK1162" s="33">
        <v>33</v>
      </c>
      <c r="AL1162" s="33">
        <v>49.5</v>
      </c>
      <c r="AM1162" s="1061">
        <f>SUM(AI1162:AL1162)</f>
      </c>
      <c r="AN1162" s="33">
        <f>+AS1162/(1+AN1167)</f>
      </c>
      <c r="AO1162" s="33">
        <f>+AT1162/(1+AO1167)</f>
      </c>
      <c r="AP1162" s="33">
        <v>42.797040475845066</v>
      </c>
      <c r="AQ1162" s="33">
        <v>62.550592390904399</v>
      </c>
      <c r="AR1162" s="1061">
        <f>SUM(AN1162:AQ1162)</f>
      </c>
      <c r="AS1162" s="33">
        <v>70.293154405303937</v>
      </c>
      <c r="AT1162" s="33">
        <v>57.821293655076701</v>
      </c>
      <c r="AU1162" s="33">
        <v>52.212389380530979</v>
      </c>
      <c r="AV1162" s="33">
        <v>79.43925233644859</v>
      </c>
      <c r="AW1162" s="1061">
        <f>SUM(AS1162:AV1162)</f>
      </c>
      <c r="AX1162" s="33">
        <v>75.213675213675216</v>
      </c>
      <c r="AY1162" s="33">
        <v>68.807339449541274</v>
      </c>
      <c r="AZ1162" s="33">
        <v>59</v>
      </c>
      <c r="BA1162" s="33">
        <v>85</v>
      </c>
      <c r="BB1162" s="1061">
        <f>SUM(AX1162:BA1162)</f>
      </c>
      <c r="BC1162" s="33">
        <v>88</v>
      </c>
      <c r="BD1162" s="33">
        <v>75</v>
      </c>
      <c r="BE1162" s="33">
        <v>62.54</v>
      </c>
      <c r="BF1162" s="33">
        <v>95.2</v>
      </c>
      <c r="BG1162" s="1061">
        <f>SUM(BC1162:BF1162)</f>
      </c>
      <c r="BH1162" s="33">
        <v>97.68</v>
      </c>
      <c r="BI1162" s="33">
        <v>90</v>
      </c>
      <c r="BJ1162" s="33">
        <v>75.048000000000002</v>
      </c>
      <c r="BK1162" s="33">
        <v>105.67200000000004</v>
      </c>
      <c r="BL1162" s="313">
        <f>SUM(BH1162:BK1162)</f>
      </c>
      <c r="BM1162" s="33">
        <f>BH1162*1.18</f>
      </c>
      <c r="BN1162" s="352">
        <f>BI1162*1.14</f>
      </c>
      <c r="BO1162" s="352">
        <f>BJ1162*1.12</f>
      </c>
      <c r="BP1162" s="33">
        <f>BK1162*1.11</f>
      </c>
      <c r="BQ1162" s="313">
        <f>SUM(BM1162:BP1162)</f>
      </c>
      <c r="BR1162" s="761">
        <v>129.09388800000002</v>
      </c>
      <c r="BS1162" s="761">
        <v>118.5</v>
      </c>
      <c r="BT1162" s="761">
        <v>95.8</v>
      </c>
      <c r="BU1162" s="761">
        <v>134.50788320000004</v>
      </c>
      <c r="BV1162" s="313">
        <f>SUM(BR1162:BU1162)</f>
      </c>
      <c r="BW1162" s="761">
        <v>144.58515456000003</v>
      </c>
      <c r="BX1162" s="761">
        <v>133</v>
      </c>
      <c r="BY1162" s="761">
        <v>107</v>
      </c>
      <c r="BZ1162" s="761">
        <v>150.6</v>
      </c>
      <c r="CA1162" s="313">
        <f>SUM(BW1162:BZ1162)</f>
      </c>
      <c r="CB1162" s="761">
        <v>160</v>
      </c>
      <c r="CC1162" s="761">
        <v>150</v>
      </c>
      <c r="CD1162" s="761">
        <v>119.8</v>
      </c>
      <c r="CE1162" s="761">
        <v>170</v>
      </c>
      <c r="CF1162" s="1061">
        <f>SUM(CB1162:CE1162)</f>
      </c>
      <c r="CG1162" s="761">
        <v>181.3</v>
      </c>
      <c r="CH1162" s="761">
        <v>165.3</v>
      </c>
      <c r="CI1162" s="761">
        <v>160</v>
      </c>
      <c r="CJ1162" s="761">
        <v>155</v>
      </c>
      <c r="CK1162" s="1061">
        <f>SUM(CG1162:CJ1162)</f>
      </c>
      <c r="CL1162" s="761">
        <f>+CL1079</f>
      </c>
      <c r="CM1162" s="761">
        <f>+CM1079</f>
      </c>
      <c r="CN1162" s="761">
        <v>235</v>
      </c>
      <c r="CO1162" s="761">
        <v>247</v>
      </c>
      <c r="CP1162" s="1061">
        <f>SUM(CL1162:CO1162)</f>
      </c>
      <c r="CQ1162" s="761">
        <v>259</v>
      </c>
      <c r="CR1162" s="761">
        <v>265</v>
      </c>
      <c r="CS1162" s="31"/>
      <c r="CT1162" s="955"/>
      <c r="CU1162" s="1061"/>
      <c r="CV1162" s="352"/>
      <c r="CW1162" s="31"/>
      <c r="CX1162" s="31"/>
      <c r="CY1162" s="955"/>
      <c r="CZ1162" s="313"/>
      <c r="DA1162" s="957"/>
      <c r="DB1162" s="31"/>
      <c r="DC1162" s="31"/>
      <c r="DD1162" s="955"/>
      <c r="DE1162" s="477"/>
      <c r="DF1162" s="1799"/>
      <c r="DG1162" s="603"/>
      <c r="DH1162" s="603"/>
      <c r="DI1162" s="1798"/>
      <c r="DJ1162" s="477"/>
      <c r="DK1162" s="1799"/>
      <c r="DL1162" s="603"/>
      <c r="DM1162" s="603"/>
      <c r="DN1162" s="1798"/>
      <c r="DO1162" s="477"/>
      <c r="DP1162" s="603"/>
      <c r="DQ1162" s="603"/>
      <c r="DR1162" s="603"/>
      <c r="DS1162" s="603"/>
      <c r="DT1162" s="477"/>
      <c r="DU1162" s="603"/>
      <c r="DV1162" s="603"/>
      <c r="DW1162" s="603"/>
      <c r="DX1162" s="1798"/>
      <c r="DY1162" s="477"/>
      <c r="DZ1162" s="603"/>
      <c r="EA1162" s="603"/>
      <c r="EB1162" s="603"/>
      <c r="EC1162" s="1798"/>
      <c r="ED1162" s="477"/>
      <c r="EE1162" s="603"/>
      <c r="EF1162" s="603"/>
      <c r="EG1162" s="603"/>
      <c r="EH1162" s="603"/>
      <c r="EI1162" s="1799"/>
      <c r="EJ1162" s="1799"/>
      <c r="EK1162" s="477"/>
      <c r="EL1162" s="477"/>
      <c r="EM1162" s="477"/>
      <c r="EN1162" s="477"/>
      <c r="EO1162" s="1799"/>
      <c r="EP1162" s="1799"/>
      <c r="EQ1162" s="1799"/>
      <c r="ER1162" s="1799"/>
      <c r="ES1162" s="1799"/>
      <c r="ET1162" s="1799"/>
      <c r="EU1162" s="1799"/>
      <c r="EV1162" s="1799"/>
      <c r="EW1162" s="1799"/>
      <c r="EX1162" s="477"/>
    </row>
    <row r="1163" spans="2:154" ht="12.75" hidden="1" customHeight="1" outlineLevel="1">
      <c r="B1163" s="438" t="s">
        <v>412</v>
      </c>
      <c r="C1163" s="1577"/>
      <c r="D1163" s="933"/>
      <c r="E1163" s="933"/>
      <c r="F1163" s="933"/>
      <c r="G1163" s="933"/>
      <c r="H1163" s="933"/>
      <c r="I1163" s="933"/>
      <c r="J1163" s="933"/>
      <c r="K1163" s="933"/>
      <c r="L1163" s="933"/>
      <c r="M1163" s="933"/>
      <c r="N1163" s="933"/>
      <c r="O1163" s="933"/>
      <c r="P1163" s="933"/>
      <c r="Q1163" s="933"/>
      <c r="R1163" s="933"/>
      <c r="S1163" s="933"/>
      <c r="T1163" s="933"/>
      <c r="U1163" s="933"/>
      <c r="V1163" s="933"/>
      <c r="W1163" s="933"/>
      <c r="X1163" s="1061"/>
      <c r="Y1163" s="933"/>
      <c r="Z1163" s="933"/>
      <c r="AA1163" s="933"/>
      <c r="AB1163" s="933"/>
      <c r="AC1163" s="1061"/>
      <c r="AD1163" s="33">
        <v>43.68</v>
      </c>
      <c r="AE1163" s="33">
        <v>34.32</v>
      </c>
      <c r="AF1163" s="33">
        <v>23.4</v>
      </c>
      <c r="AG1163" s="33">
        <v>54.6</v>
      </c>
      <c r="AH1163" s="1061">
        <f>SUM(AD1163:AG1163)</f>
      </c>
      <c r="AI1163" s="33">
        <v>52.36</v>
      </c>
      <c r="AJ1163" s="33">
        <v>41.14</v>
      </c>
      <c r="AK1163" s="33">
        <v>28.05</v>
      </c>
      <c r="AL1163" s="33">
        <v>65.45</v>
      </c>
      <c r="AM1163" s="1061">
        <f>SUM(AI1163:AL1163)</f>
      </c>
      <c r="AN1163" s="33">
        <f>+AS1163/(1+AN1168)</f>
      </c>
      <c r="AO1163" s="33">
        <f>+AT1163/(1+AO1168)</f>
      </c>
      <c r="AP1163" s="33">
        <v>33.619364754098363</v>
      </c>
      <c r="AQ1163" s="33">
        <v>81.860972781226536</v>
      </c>
      <c r="AR1163" s="1061">
        <f>SUM(AN1163:AQ1163)</f>
      </c>
      <c r="AS1163" s="33">
        <v>77.225923682616596</v>
      </c>
      <c r="AT1163" s="33">
        <v>69.528721682847888</v>
      </c>
      <c r="AU1163" s="33">
        <v>41.015625</v>
      </c>
      <c r="AV1163" s="33">
        <v>112.14953271028037</v>
      </c>
      <c r="AW1163" s="1061">
        <f>SUM(AS1163:AV1163)</f>
      </c>
      <c r="AX1163" s="33">
        <v>98.07692307692308</v>
      </c>
      <c r="AY1163" s="33">
        <v>88.99676375404529</v>
      </c>
      <c r="AZ1163" s="33">
        <v>52.5</v>
      </c>
      <c r="BA1163" s="33">
        <v>120</v>
      </c>
      <c r="BB1163" s="1061">
        <f>SUM(AX1163:BA1163)</f>
      </c>
      <c r="BC1163" s="33">
        <v>102</v>
      </c>
      <c r="BD1163" s="33">
        <f>+BD1164-BD1162</f>
      </c>
      <c r="BE1163" s="33">
        <v>56.5</v>
      </c>
      <c r="BF1163" s="33">
        <v>155.90400000000002</v>
      </c>
      <c r="BG1163" s="1061">
        <f>SUM(BC1163:BF1163)</f>
      </c>
      <c r="BH1163" s="33">
        <v>126.684</v>
      </c>
      <c r="BI1163" s="33">
        <v>110</v>
      </c>
      <c r="BJ1163" s="33">
        <v>63.121800000000007</v>
      </c>
      <c r="BK1163" s="33">
        <v>162.44417280000005</v>
      </c>
      <c r="BL1163" s="313">
        <f>SUM(BH1163:BK1163)</f>
      </c>
      <c r="BM1163" s="33">
        <f>BH1163*1.18</f>
      </c>
      <c r="BN1163" s="352">
        <f>BI1163*1.24</f>
      </c>
      <c r="BO1163" s="352">
        <f>BJ1163*1.21</f>
      </c>
      <c r="BP1163" s="33">
        <f>BK1163*1.11</f>
      </c>
      <c r="BQ1163" s="313">
        <f>SUM(BM1163:BP1163)</f>
      </c>
      <c r="BR1163" s="761">
        <v>168.1618154918234</v>
      </c>
      <c r="BS1163" s="761">
        <v>141.80000000000001</v>
      </c>
      <c r="BT1163" s="761">
        <v>76.3</v>
      </c>
      <c r="BU1163" s="761">
        <v>186.14328689564263</v>
      </c>
      <c r="BV1163" s="313">
        <f>SUM(BR1163:BU1163)</f>
      </c>
      <c r="BW1163" s="761">
        <v>189.55344928764293</v>
      </c>
      <c r="BX1163" s="761">
        <v>153</v>
      </c>
      <c r="BY1163" s="761">
        <v>81</v>
      </c>
      <c r="BZ1163" s="761">
        <v>194.7</v>
      </c>
      <c r="CA1163" s="313">
        <f>SUM(BW1163:BZ1163)</f>
      </c>
      <c r="CB1163" s="761">
        <v>204</v>
      </c>
      <c r="CC1163" s="761">
        <v>170</v>
      </c>
      <c r="CD1163" s="761">
        <v>91.3</v>
      </c>
      <c r="CE1163" s="761">
        <v>210</v>
      </c>
      <c r="CF1163" s="1061">
        <f>SUM(CB1163:CE1163)</f>
      </c>
      <c r="CG1163" s="761">
        <v>208.1</v>
      </c>
      <c r="CH1163" s="761">
        <v>163.4</v>
      </c>
      <c r="CI1163" s="761">
        <v>150</v>
      </c>
      <c r="CJ1163" s="761">
        <v>130</v>
      </c>
      <c r="CK1163" s="1061">
        <f>SUM(CG1163:CJ1163)</f>
      </c>
      <c r="CL1163" s="761">
        <f>+CL1080</f>
      </c>
      <c r="CM1163" s="761">
        <f>+CM1080</f>
      </c>
      <c r="CN1163" s="761">
        <v>216</v>
      </c>
      <c r="CO1163" s="761">
        <v>238</v>
      </c>
      <c r="CP1163" s="1061">
        <f>SUM(CL1163:CO1163)</f>
      </c>
      <c r="CQ1163" s="761">
        <v>240</v>
      </c>
      <c r="CR1163" s="761">
        <v>258</v>
      </c>
      <c r="CS1163" s="31"/>
      <c r="CT1163" s="955"/>
      <c r="CU1163" s="1061"/>
      <c r="CV1163" s="352"/>
      <c r="CW1163" s="31"/>
      <c r="CX1163" s="31"/>
      <c r="CY1163" s="955"/>
      <c r="CZ1163" s="313"/>
      <c r="DA1163" s="957"/>
      <c r="DB1163" s="31"/>
      <c r="DC1163" s="31"/>
      <c r="DD1163" s="955"/>
      <c r="DE1163" s="477"/>
      <c r="DF1163" s="1799"/>
      <c r="DG1163" s="603"/>
      <c r="DH1163" s="603"/>
      <c r="DI1163" s="1798"/>
      <c r="DJ1163" s="477"/>
      <c r="DK1163" s="1799"/>
      <c r="DL1163" s="603"/>
      <c r="DM1163" s="603"/>
      <c r="DN1163" s="1798"/>
      <c r="DO1163" s="477"/>
      <c r="DP1163" s="603"/>
      <c r="DQ1163" s="603"/>
      <c r="DR1163" s="603"/>
      <c r="DS1163" s="603"/>
      <c r="DT1163" s="477"/>
      <c r="DU1163" s="603"/>
      <c r="DV1163" s="603"/>
      <c r="DW1163" s="603"/>
      <c r="DX1163" s="1798"/>
      <c r="DY1163" s="477"/>
      <c r="DZ1163" s="603"/>
      <c r="EA1163" s="603"/>
      <c r="EB1163" s="603"/>
      <c r="EC1163" s="1798"/>
      <c r="ED1163" s="477"/>
      <c r="EE1163" s="603"/>
      <c r="EF1163" s="603"/>
      <c r="EG1163" s="603"/>
      <c r="EH1163" s="603"/>
      <c r="EI1163" s="1799"/>
      <c r="EJ1163" s="1799"/>
      <c r="EK1163" s="477"/>
      <c r="EL1163" s="477"/>
      <c r="EM1163" s="477"/>
      <c r="EN1163" s="477"/>
      <c r="EO1163" s="1799"/>
      <c r="EP1163" s="1799"/>
      <c r="EQ1163" s="1799"/>
      <c r="ER1163" s="1799"/>
      <c r="ES1163" s="1799"/>
      <c r="ET1163" s="1799"/>
      <c r="EU1163" s="1799"/>
      <c r="EV1163" s="1799"/>
      <c r="EW1163" s="1799"/>
      <c r="EX1163" s="477"/>
    </row>
    <row r="1164" spans="2:154" ht="12.75" hidden="1" customHeight="1" outlineLevel="1">
      <c r="B1164" s="438" t="s">
        <v>413</v>
      </c>
      <c r="C1164" s="1577"/>
      <c r="D1164" s="933"/>
      <c r="E1164" s="933"/>
      <c r="F1164" s="933"/>
      <c r="G1164" s="933"/>
      <c r="H1164" s="933"/>
      <c r="I1164" s="933"/>
      <c r="J1164" s="933"/>
      <c r="K1164" s="933"/>
      <c r="L1164" s="933"/>
      <c r="M1164" s="933"/>
      <c r="N1164" s="933"/>
      <c r="O1164" s="933"/>
      <c r="P1164" s="933"/>
      <c r="Q1164" s="933"/>
      <c r="R1164" s="933"/>
      <c r="S1164" s="933"/>
      <c r="T1164" s="933"/>
      <c r="U1164" s="933"/>
      <c r="V1164" s="933"/>
      <c r="W1164" s="933"/>
      <c r="X1164" s="1061"/>
      <c r="Y1164" s="933"/>
      <c r="Z1164" s="933"/>
      <c r="AA1164" s="933"/>
      <c r="AB1164" s="933"/>
      <c r="AC1164" s="1061"/>
      <c r="AD1164" s="933">
        <f>+AD1163+AD1162</f>
      </c>
      <c r="AE1164" s="933">
        <f t="shared" ref="AE1164:BB1164" si="2402">+AE1163+AE1162</f>
      </c>
      <c r="AF1164" s="933">
        <f t="shared" si="2402"/>
      </c>
      <c r="AG1164" s="933">
        <f t="shared" si="2402"/>
      </c>
      <c r="AH1164" s="1061">
        <f t="shared" si="2402"/>
      </c>
      <c r="AI1164" s="933">
        <f t="shared" si="2402"/>
      </c>
      <c r="AJ1164" s="933">
        <f t="shared" si="2402"/>
      </c>
      <c r="AK1164" s="933">
        <f t="shared" si="2402"/>
      </c>
      <c r="AL1164" s="933">
        <f t="shared" si="2402"/>
      </c>
      <c r="AM1164" s="1061">
        <f t="shared" si="2402"/>
      </c>
      <c r="AN1164" s="933">
        <f t="shared" si="2402"/>
      </c>
      <c r="AO1164" s="933">
        <f t="shared" si="2402"/>
      </c>
      <c r="AP1164" s="933">
        <f t="shared" si="2402"/>
      </c>
      <c r="AQ1164" s="933">
        <f t="shared" si="2402"/>
      </c>
      <c r="AR1164" s="1061">
        <f t="shared" si="2402"/>
      </c>
      <c r="AS1164" s="933">
        <f t="shared" si="2402"/>
      </c>
      <c r="AT1164" s="933">
        <f t="shared" si="2402"/>
      </c>
      <c r="AU1164" s="933">
        <f t="shared" si="2402"/>
      </c>
      <c r="AV1164" s="933">
        <f t="shared" si="2402"/>
      </c>
      <c r="AW1164" s="1061">
        <f t="shared" si="2402"/>
      </c>
      <c r="AX1164" s="933">
        <f t="shared" si="2402"/>
      </c>
      <c r="AY1164" s="933">
        <f t="shared" si="2402"/>
      </c>
      <c r="AZ1164" s="933">
        <f t="shared" si="2402"/>
      </c>
      <c r="BA1164" s="933">
        <f t="shared" si="2402"/>
      </c>
      <c r="BB1164" s="1061">
        <f t="shared" si="2402"/>
      </c>
      <c r="BC1164" s="933">
        <f>SUM(BC1162:BC1163)</f>
      </c>
      <c r="BD1164" s="933">
        <f>+BD1162/0.45</f>
      </c>
      <c r="BE1164" s="933">
        <f>SUM(BE1162:BE1163)</f>
      </c>
      <c r="BF1164" s="933">
        <f>SUM(BF1162:BF1163)</f>
      </c>
      <c r="BG1164" s="1061">
        <f>+BG1163+BG1162</f>
      </c>
      <c r="BH1164" s="933">
        <f>SUM(BH1162:BH1163)</f>
      </c>
      <c r="BI1164" s="933">
        <f>SUM(BI1162:BI1163)</f>
      </c>
      <c r="BJ1164" s="933">
        <f>SUM(BJ1162:BJ1163)</f>
      </c>
      <c r="BK1164" s="933">
        <f>+BK1162+BK1163</f>
      </c>
      <c r="BL1164" s="313">
        <f>SUM(BH1164:BK1164)</f>
      </c>
      <c r="BM1164" s="933">
        <f>SUM(BM1162:BM1163)</f>
      </c>
      <c r="BN1164" s="933">
        <f>SUM(BN1162:BN1163)</f>
      </c>
      <c r="BO1164" s="933">
        <f>SUM(BO1162:BO1163)</f>
      </c>
      <c r="BP1164" s="933">
        <f>+BP1162+BP1163</f>
      </c>
      <c r="BQ1164" s="313">
        <f>SUM(BM1164:BP1164)</f>
      </c>
      <c r="BR1164" s="933">
        <f>SUM(BR1162:BR1163)</f>
      </c>
      <c r="BS1164" s="933">
        <f>SUM(BS1162:BS1163)</f>
      </c>
      <c r="BT1164" s="933">
        <f>SUM(BT1162:BT1163)</f>
      </c>
      <c r="BU1164" s="933">
        <f>+BU1162+BU1163</f>
      </c>
      <c r="BV1164" s="313">
        <f>SUM(BR1164:BU1164)</f>
      </c>
      <c r="BW1164" s="933">
        <f>SUM(BW1162:BW1163)</f>
      </c>
      <c r="BX1164" s="933">
        <f>SUM(BX1162:BX1163)</f>
      </c>
      <c r="BY1164" s="933">
        <f>SUM(BY1162:BY1163)</f>
      </c>
      <c r="BZ1164" s="933">
        <f>SUM(BZ1162:BZ1163)</f>
      </c>
      <c r="CA1164" s="313">
        <f>SUM(BW1164:BZ1164)</f>
      </c>
      <c r="CB1164" s="933">
        <f>SUM(CB1162:CB1163)</f>
      </c>
      <c r="CC1164" s="933">
        <f>SUM(CC1162:CC1163)</f>
      </c>
      <c r="CD1164" s="933">
        <f>SUM(CD1162:CD1163)</f>
      </c>
      <c r="CE1164" s="933">
        <f>SUM(CE1162:CE1163)</f>
      </c>
      <c r="CF1164" s="1061">
        <f>SUM(CB1164:CE1164)</f>
      </c>
      <c r="CG1164" s="933">
        <f>SUM(CG1162:CG1163)</f>
      </c>
      <c r="CH1164" s="933">
        <f>SUM(CH1162:CH1163)</f>
      </c>
      <c r="CI1164" s="933">
        <f>SUM(CI1162:CI1163)</f>
      </c>
      <c r="CJ1164" s="933">
        <f>SUM(CJ1162:CJ1163)</f>
      </c>
      <c r="CK1164" s="1061">
        <f>SUM(CG1164:CJ1164)</f>
      </c>
      <c r="CL1164" s="933">
        <f>SUM(CL1162:CL1163)</f>
      </c>
      <c r="CM1164" s="933">
        <f>SUM(CM1162:CM1163)</f>
      </c>
      <c r="CN1164" s="933">
        <f>SUM(CN1162:CN1163)</f>
      </c>
      <c r="CO1164" s="933">
        <f>SUM(CO1162:CO1163)</f>
      </c>
      <c r="CP1164" s="1061">
        <f>SUM(CL1164:CO1164)</f>
      </c>
      <c r="CQ1164" s="933">
        <f>SUM(CQ1162:CQ1163)</f>
      </c>
      <c r="CR1164" s="933">
        <f>SUM(CR1162:CR1163)</f>
      </c>
      <c r="CS1164" s="933"/>
      <c r="CT1164" s="962"/>
      <c r="CU1164" s="1061"/>
      <c r="CV1164" s="933"/>
      <c r="CW1164" s="933"/>
      <c r="CX1164" s="933"/>
      <c r="CY1164" s="962"/>
      <c r="CZ1164" s="1061"/>
      <c r="DA1164" s="961"/>
      <c r="DB1164" s="933"/>
      <c r="DC1164" s="933"/>
      <c r="DD1164" s="962"/>
      <c r="DE1164" s="1866"/>
      <c r="DF1164" s="981"/>
      <c r="DG1164" s="982"/>
      <c r="DH1164" s="982"/>
      <c r="DI1164" s="1875"/>
      <c r="DJ1164" s="1866"/>
      <c r="DK1164" s="981"/>
      <c r="DL1164" s="982"/>
      <c r="DM1164" s="982"/>
      <c r="DN1164" s="1875"/>
      <c r="DO1164" s="1866"/>
      <c r="DP1164" s="982"/>
      <c r="DQ1164" s="982"/>
      <c r="DR1164" s="982"/>
      <c r="DS1164" s="982"/>
      <c r="DT1164" s="1866"/>
      <c r="DU1164" s="982"/>
      <c r="DV1164" s="982"/>
      <c r="DW1164" s="982"/>
      <c r="DX1164" s="1875"/>
      <c r="DY1164" s="1866"/>
      <c r="DZ1164" s="982"/>
      <c r="EA1164" s="982"/>
      <c r="EB1164" s="982"/>
      <c r="EC1164" s="1875"/>
      <c r="ED1164" s="1866"/>
      <c r="EE1164" s="982"/>
      <c r="EF1164" s="982"/>
      <c r="EG1164" s="982"/>
      <c r="EH1164" s="982"/>
      <c r="EI1164" s="981"/>
      <c r="EJ1164" s="981"/>
      <c r="EK1164" s="1866"/>
      <c r="EL1164" s="1866"/>
      <c r="EM1164" s="1866"/>
      <c r="EN1164" s="1866"/>
      <c r="EO1164" s="981"/>
      <c r="EP1164" s="981"/>
      <c r="EQ1164" s="981"/>
      <c r="ER1164" s="981"/>
      <c r="ES1164" s="981"/>
      <c r="ET1164" s="981"/>
      <c r="EU1164" s="981"/>
      <c r="EV1164" s="981"/>
      <c r="EW1164" s="981"/>
      <c r="EX1164" s="1866"/>
    </row>
    <row r="1165" spans="2:154" ht="12.75" hidden="1" customHeight="1" outlineLevel="1">
      <c r="B1165" s="437"/>
      <c r="C1165" s="1577"/>
      <c r="D1165" s="933"/>
      <c r="E1165" s="933"/>
      <c r="F1165" s="933"/>
      <c r="G1165" s="933"/>
      <c r="H1165" s="933"/>
      <c r="I1165" s="933"/>
      <c r="J1165" s="933"/>
      <c r="K1165" s="933"/>
      <c r="L1165" s="933"/>
      <c r="M1165" s="933"/>
      <c r="N1165" s="933"/>
      <c r="O1165" s="933"/>
      <c r="P1165" s="933"/>
      <c r="Q1165" s="933"/>
      <c r="R1165" s="933"/>
      <c r="S1165" s="933"/>
      <c r="T1165" s="933"/>
      <c r="U1165" s="933"/>
      <c r="V1165" s="933"/>
      <c r="W1165" s="933"/>
      <c r="X1165" s="1061"/>
      <c r="Y1165" s="933"/>
      <c r="Z1165" s="933"/>
      <c r="AA1165" s="933"/>
      <c r="AB1165" s="933"/>
      <c r="AC1165" s="1061"/>
      <c r="AD1165" s="933"/>
      <c r="AE1165" s="933"/>
      <c r="AF1165" s="933"/>
      <c r="AG1165" s="933"/>
      <c r="AH1165" s="1061"/>
      <c r="AI1165" s="933"/>
      <c r="AJ1165" s="933"/>
      <c r="AK1165" s="933"/>
      <c r="AL1165" s="933"/>
      <c r="AM1165" s="1061"/>
      <c r="AN1165" s="933"/>
      <c r="AO1165" s="933"/>
      <c r="AP1165" s="933"/>
      <c r="AQ1165" s="933"/>
      <c r="AR1165" s="1061"/>
      <c r="AS1165" s="933"/>
      <c r="AT1165" s="933"/>
      <c r="AU1165" s="933"/>
      <c r="AV1165" s="933"/>
      <c r="AW1165" s="1061"/>
      <c r="AX1165" s="933"/>
      <c r="AY1165" s="933"/>
      <c r="AZ1165" s="933"/>
      <c r="BA1165" s="933"/>
      <c r="BB1165" s="1061"/>
      <c r="BC1165" s="933"/>
      <c r="BD1165" s="926"/>
      <c r="BE1165" s="925"/>
      <c r="BF1165" s="926"/>
      <c r="BG1165" s="1060"/>
      <c r="BH1165" s="926"/>
      <c r="BI1165" s="2366"/>
      <c r="BJ1165" s="926"/>
      <c r="BK1165" s="933"/>
      <c r="BL1165" s="1060"/>
      <c r="BM1165" s="926"/>
      <c r="BN1165" s="926"/>
      <c r="BO1165" s="926"/>
      <c r="BP1165" s="933"/>
      <c r="BQ1165" s="1060"/>
      <c r="BR1165" s="926"/>
      <c r="BS1165" s="926"/>
      <c r="BT1165" s="926"/>
      <c r="BU1165" s="933"/>
      <c r="BV1165" s="1060"/>
      <c r="BW1165" s="926"/>
      <c r="BX1165" s="926"/>
      <c r="BY1165" s="926"/>
      <c r="BZ1165" s="926"/>
      <c r="CA1165" s="1060"/>
      <c r="CB1165" s="926"/>
      <c r="CC1165" s="926"/>
      <c r="CD1165" s="926"/>
      <c r="CE1165" s="926"/>
      <c r="CF1165" s="1060"/>
      <c r="CG1165" s="926"/>
      <c r="CH1165" s="926"/>
      <c r="CI1165" s="926"/>
      <c r="CJ1165" s="926"/>
      <c r="CK1165" s="1060"/>
      <c r="CL1165" s="958"/>
      <c r="CM1165" s="926"/>
      <c r="CN1165" s="926"/>
      <c r="CO1165" s="926"/>
      <c r="CP1165" s="1060"/>
      <c r="CQ1165" s="926"/>
      <c r="CR1165" s="926"/>
      <c r="CS1165" s="926"/>
      <c r="CT1165" s="928"/>
      <c r="CU1165" s="928"/>
      <c r="CV1165" s="926"/>
      <c r="CW1165" s="926"/>
      <c r="CX1165" s="926"/>
      <c r="CY1165" s="928"/>
      <c r="CZ1165" s="1060"/>
      <c r="DA1165" s="958"/>
      <c r="DB1165" s="926"/>
      <c r="DC1165" s="926"/>
      <c r="DD1165" s="928"/>
      <c r="DE1165" s="1060"/>
      <c r="DF1165" s="958"/>
      <c r="DG1165" s="926"/>
      <c r="DH1165" s="926"/>
      <c r="DI1165" s="928"/>
      <c r="DJ1165" s="1060"/>
      <c r="DK1165" s="958"/>
      <c r="DL1165" s="926"/>
      <c r="DM1165" s="926"/>
      <c r="DN1165" s="928"/>
      <c r="DO1165" s="1060"/>
      <c r="DP1165" s="926"/>
      <c r="DQ1165" s="926"/>
      <c r="DR1165" s="926"/>
      <c r="DS1165" s="926"/>
      <c r="DT1165" s="1060"/>
      <c r="DU1165" s="926"/>
      <c r="DV1165" s="926"/>
      <c r="DW1165" s="926"/>
      <c r="DX1165" s="928"/>
      <c r="DY1165" s="1060"/>
      <c r="DZ1165" s="926"/>
      <c r="EA1165" s="926"/>
      <c r="EB1165" s="926"/>
      <c r="EC1165" s="928"/>
      <c r="ED1165" s="1060"/>
      <c r="EE1165" s="926"/>
      <c r="EF1165" s="926"/>
      <c r="EG1165" s="926"/>
      <c r="EH1165" s="926"/>
      <c r="EI1165" s="958"/>
      <c r="EJ1165" s="958"/>
      <c r="EK1165" s="1060"/>
      <c r="EL1165" s="1060"/>
      <c r="EM1165" s="1060"/>
      <c r="EN1165" s="1060"/>
      <c r="EO1165" s="958"/>
      <c r="EP1165" s="958"/>
      <c r="EQ1165" s="958"/>
      <c r="ER1165" s="958"/>
      <c r="ES1165" s="958"/>
      <c r="ET1165" s="958"/>
      <c r="EU1165" s="958"/>
      <c r="EV1165" s="958"/>
      <c r="EW1165" s="958"/>
      <c r="EX1165" s="1060"/>
    </row>
    <row r="1166" spans="2:154" ht="12.75" hidden="1" customHeight="1" outlineLevel="1">
      <c r="B1166" s="455" t="s">
        <v>363</v>
      </c>
      <c r="C1166" s="1577"/>
      <c r="D1166" s="933"/>
      <c r="E1166" s="933"/>
      <c r="F1166" s="933"/>
      <c r="G1166" s="933"/>
      <c r="H1166" s="933"/>
      <c r="I1166" s="933"/>
      <c r="J1166" s="933"/>
      <c r="K1166" s="933"/>
      <c r="L1166" s="933"/>
      <c r="M1166" s="933"/>
      <c r="N1166" s="933"/>
      <c r="O1166" s="933"/>
      <c r="P1166" s="933"/>
      <c r="Q1166" s="933"/>
      <c r="R1166" s="933"/>
      <c r="S1166" s="933"/>
      <c r="T1166" s="933"/>
      <c r="U1166" s="933"/>
      <c r="V1166" s="933"/>
      <c r="W1166" s="933"/>
      <c r="X1166" s="1061"/>
      <c r="Y1166" s="933"/>
      <c r="Z1166" s="933"/>
      <c r="AA1166" s="933"/>
      <c r="AB1166" s="933"/>
      <c r="AC1166" s="1061"/>
      <c r="AD1166" s="933"/>
      <c r="AE1166" s="933"/>
      <c r="AF1166" s="933"/>
      <c r="AG1166" s="933"/>
      <c r="AH1166" s="1061"/>
      <c r="AI1166" s="933"/>
      <c r="AJ1166" s="933"/>
      <c r="AK1166" s="933"/>
      <c r="AL1166" s="933"/>
      <c r="AM1166" s="1061"/>
      <c r="AN1166" s="933"/>
      <c r="AO1166" s="933"/>
      <c r="AP1166" s="933"/>
      <c r="AQ1166" s="933"/>
      <c r="AR1166" s="1061"/>
      <c r="AS1166" s="933"/>
      <c r="AT1166" s="933"/>
      <c r="AU1166" s="933"/>
      <c r="AV1166" s="933"/>
      <c r="AW1166" s="1061"/>
      <c r="AX1166" s="933"/>
      <c r="AY1166" s="933"/>
      <c r="AZ1166" s="933"/>
      <c r="BA1166" s="933"/>
      <c r="BB1166" s="1061"/>
      <c r="BC1166" s="933"/>
      <c r="BD1166" s="933"/>
      <c r="BE1166" s="943"/>
      <c r="BF1166" s="933"/>
      <c r="BG1166" s="313"/>
      <c r="BH1166" s="933"/>
      <c r="BI1166" s="933"/>
      <c r="BJ1166" s="933"/>
      <c r="BK1166" s="933"/>
      <c r="BL1166" s="313"/>
      <c r="BM1166" s="933"/>
      <c r="BN1166" s="933"/>
      <c r="BO1166" s="933"/>
      <c r="BP1166" s="933"/>
      <c r="BQ1166" s="313"/>
      <c r="BR1166" s="933"/>
      <c r="BS1166" s="933"/>
      <c r="BT1166" s="933"/>
      <c r="BU1166" s="933"/>
      <c r="BV1166" s="313"/>
      <c r="BW1166" s="933"/>
      <c r="BX1166" s="933"/>
      <c r="BY1166" s="933"/>
      <c r="BZ1166" s="933"/>
      <c r="CA1166" s="313"/>
      <c r="CB1166" s="933"/>
      <c r="CC1166" s="933"/>
      <c r="CD1166" s="933"/>
      <c r="CE1166" s="933"/>
      <c r="CF1166" s="313"/>
      <c r="CG1166" s="933"/>
      <c r="CH1166" s="933"/>
      <c r="CI1166" s="933"/>
      <c r="CJ1166" s="933"/>
      <c r="CK1166" s="313"/>
      <c r="CL1166" s="961"/>
      <c r="CM1166" s="933"/>
      <c r="CN1166" s="933"/>
      <c r="CO1166" s="933"/>
      <c r="CP1166" s="313"/>
      <c r="CQ1166" s="933"/>
      <c r="CR1166" s="933"/>
      <c r="CS1166" s="933"/>
      <c r="CT1166" s="962"/>
      <c r="CU1166" s="955"/>
      <c r="CV1166" s="933"/>
      <c r="CW1166" s="933"/>
      <c r="CX1166" s="933"/>
      <c r="CY1166" s="962"/>
      <c r="CZ1166" s="313"/>
      <c r="DA1166" s="957"/>
      <c r="DB1166" s="31"/>
      <c r="DC1166" s="31"/>
      <c r="DD1166" s="955"/>
      <c r="DE1166" s="477"/>
      <c r="DF1166" s="1799"/>
      <c r="DG1166" s="603"/>
      <c r="DH1166" s="603"/>
      <c r="DI1166" s="1798"/>
      <c r="DJ1166" s="477"/>
      <c r="DK1166" s="1799"/>
      <c r="DL1166" s="603"/>
      <c r="DM1166" s="603"/>
      <c r="DN1166" s="1798"/>
      <c r="DO1166" s="477"/>
      <c r="DP1166" s="603"/>
      <c r="DQ1166" s="603"/>
      <c r="DR1166" s="603"/>
      <c r="DS1166" s="603"/>
      <c r="DT1166" s="477"/>
      <c r="DU1166" s="603"/>
      <c r="DV1166" s="603"/>
      <c r="DW1166" s="603"/>
      <c r="DX1166" s="1798"/>
      <c r="DY1166" s="477"/>
      <c r="DZ1166" s="603"/>
      <c r="EA1166" s="603"/>
      <c r="EB1166" s="603"/>
      <c r="EC1166" s="1798"/>
      <c r="ED1166" s="477"/>
      <c r="EE1166" s="603"/>
      <c r="EF1166" s="603"/>
      <c r="EG1166" s="603"/>
      <c r="EH1166" s="603"/>
      <c r="EI1166" s="1799"/>
      <c r="EJ1166" s="1799"/>
      <c r="EK1166" s="477"/>
      <c r="EL1166" s="477"/>
      <c r="EM1166" s="477"/>
      <c r="EN1166" s="477"/>
      <c r="EO1166" s="1799"/>
      <c r="EP1166" s="1799"/>
      <c r="EQ1166" s="1799"/>
      <c r="ER1166" s="1799"/>
      <c r="ES1166" s="1799"/>
      <c r="ET1166" s="1799"/>
      <c r="EU1166" s="1799"/>
      <c r="EV1166" s="1799"/>
      <c r="EW1166" s="1799"/>
      <c r="EX1166" s="477"/>
    </row>
    <row r="1167" spans="2:154" ht="12.75" hidden="1" customHeight="1" outlineLevel="1">
      <c r="B1167" s="440" t="s">
        <v>156</v>
      </c>
      <c r="C1167" s="1577"/>
      <c r="D1167" s="933"/>
      <c r="E1167" s="933"/>
      <c r="F1167" s="933"/>
      <c r="G1167" s="933"/>
      <c r="H1167" s="933"/>
      <c r="I1167" s="933"/>
      <c r="J1167" s="933"/>
      <c r="K1167" s="933"/>
      <c r="L1167" s="933"/>
      <c r="M1167" s="933"/>
      <c r="N1167" s="933"/>
      <c r="O1167" s="933"/>
      <c r="P1167" s="933"/>
      <c r="Q1167" s="933"/>
      <c r="R1167" s="933"/>
      <c r="S1167" s="933"/>
      <c r="T1167" s="933"/>
      <c r="U1167" s="933"/>
      <c r="V1167" s="933"/>
      <c r="W1167" s="933"/>
      <c r="X1167" s="1060"/>
      <c r="Y1167" s="933"/>
      <c r="Z1167" s="933"/>
      <c r="AA1167" s="933"/>
      <c r="AB1167" s="933"/>
      <c r="AC1167" s="1060"/>
      <c r="AD1167" s="926"/>
      <c r="AE1167" s="926"/>
      <c r="AF1167" s="926"/>
      <c r="AG1167" s="926"/>
      <c r="AH1167" s="1060"/>
      <c r="AI1167" s="926">
        <f t="shared" ref="AI1167:AM1168" si="2403">IF(AD1162="NM","NM",IF(AI1162="NM","NM",IF(AD1162&lt;=0,"NM",IF(AI1162=0,"NM",IF(ABS(AI1162/AD1162-1)&gt;2.5,"NM",IF((ABS(AI1162-AD1162)=ABS(ABS(AI1162)-ABS(AD1162))),(AI1162/AD1162-1),"NM"))))))</f>
      </c>
      <c r="AJ1167" s="926">
        <f t="shared" si="2403"/>
      </c>
      <c r="AK1167" s="926">
        <f t="shared" si="2403"/>
      </c>
      <c r="AL1167" s="926">
        <f t="shared" si="2403"/>
      </c>
      <c r="AM1167" s="1060">
        <f t="shared" si="2403"/>
      </c>
      <c r="AN1167" s="926">
        <v>0.27272727272727249</v>
      </c>
      <c r="AO1167" s="926">
        <v>0.27272727272727293</v>
      </c>
      <c r="AP1167" s="926">
        <v>0.22</v>
      </c>
      <c r="AQ1167" s="926">
        <v>0.27</v>
      </c>
      <c r="AR1167" s="1060">
        <f>IF(AM1162="NM","NM",IF(AR1162="NM","NM",IF(AM1162&lt;=0,"NM",IF(AR1162=0,"NM",IF(ABS(AR1162/AM1162-1)&gt;2.5,"NM",IF((ABS(AR1162-AM1162)=ABS(ABS(AR1162)-ABS(AM1162))),(AR1162/AM1162-1),"NM"))))))</f>
      </c>
      <c r="AS1167" s="926">
        <f t="shared" ref="AS1167:BN1168" si="2404">IF(AN1162="NM","NM",IF(AS1162="NM","NM",IF(AN1162&lt;=0,"NM",IF(AS1162=0,"NM",IF(ABS(AS1162/AN1162-1)&gt;2.5,"NM",IF((ABS(AS1162-AN1162)=ABS(ABS(AS1162)-ABS(AN1162))),(AS1162/AN1162-1),"NM"))))))</f>
      </c>
      <c r="AT1167" s="926">
        <f t="shared" si="2404"/>
      </c>
      <c r="AU1167" s="926">
        <f t="shared" si="2404"/>
      </c>
      <c r="AV1167" s="926">
        <f t="shared" si="2404"/>
      </c>
      <c r="AW1167" s="1060">
        <f t="shared" si="2404"/>
      </c>
      <c r="AX1167" s="926">
        <f t="shared" si="2404"/>
      </c>
      <c r="AY1167" s="926">
        <f t="shared" si="2404"/>
      </c>
      <c r="AZ1167" s="926">
        <f t="shared" si="2404"/>
      </c>
      <c r="BA1167" s="926">
        <f t="shared" si="2404"/>
      </c>
      <c r="BB1167" s="1060">
        <f t="shared" si="2404"/>
      </c>
      <c r="BC1167" s="926">
        <f t="shared" si="2404"/>
      </c>
      <c r="BD1167" s="926">
        <f t="shared" si="2404"/>
      </c>
      <c r="BE1167" s="926">
        <f t="shared" si="2404"/>
      </c>
      <c r="BF1167" s="926">
        <f t="shared" si="2404"/>
      </c>
      <c r="BG1167" s="1060">
        <f>IF(BB1162="NM","NM",IF(BG1162="NM","NM",IF(BB1162&lt;=0,"NM",IF(BG1162=0,"NM",IF(ABS(BG1162/BB1162-1)&gt;2.5,"NM",IF((ABS(BG1162-BB1162)=ABS(ABS(BG1162)-ABS(BB1162))),(BG1162/BB1162-1),"NM"))))))</f>
      </c>
      <c r="BH1167" s="926">
        <f t="shared" si="2404"/>
      </c>
      <c r="BI1167" s="926">
        <f t="shared" si="2404"/>
      </c>
      <c r="BJ1167" s="926">
        <f t="shared" si="2404"/>
      </c>
      <c r="BK1167" s="926">
        <f t="shared" si="2404"/>
      </c>
      <c r="BL1167" s="1060">
        <f>IF(BG1162="NM","NM",IF(BL1162="NM","NM",IF(BG1162&lt;=0,"NM",IF(BL1162=0,"NM",IF(ABS(BL1162/BG1162-1)&gt;2.5,"NM",IF((ABS(BL1162-BG1162)=ABS(ABS(BL1162)-ABS(BG1162))),(BL1162/BG1162-1),"NM"))))))</f>
      </c>
      <c r="BM1167" s="926">
        <f t="shared" si="2404"/>
      </c>
      <c r="BN1167" s="926">
        <f t="shared" si="2404"/>
      </c>
      <c r="BO1167" s="926">
        <f>IF(BJ1162="NM","NM",IF(BO1162="NM","NM",IF(BJ1162&lt;=0,"NM",IF(BO1162=0,"NM",IF(ABS(BO1162/BJ1162-1)&gt;2.5,"NM",IF((ABS(BO1162-BJ1162)=ABS(ABS(BO1162)-ABS(BJ1162))),(BO1162/BJ1162-1),"NM"))))))</f>
      </c>
      <c r="BP1167" s="926">
        <f t="shared" ref="BP1167:BY1168" si="2405">IF(BK1162="NM","NM",IF(BP1162="NM","NM",IF(BK1162&lt;=0,"NM",IF(BP1162=0,"NM",IF(ABS(BP1162/BK1162-1)&gt;2.5,"NM",IF((ABS(BP1162-BK1162)=ABS(ABS(BP1162)-ABS(BK1162))),(BP1162/BK1162-1),"NM"))))))</f>
      </c>
      <c r="BQ1167" s="1060">
        <f t="shared" si="2405"/>
      </c>
      <c r="BR1167" s="926">
        <f t="shared" si="2405"/>
      </c>
      <c r="BS1167" s="926">
        <f t="shared" si="2405"/>
      </c>
      <c r="BT1167" s="926">
        <f t="shared" si="2405"/>
      </c>
      <c r="BU1167" s="926">
        <f>IF(BP1162="NM","NM",IF(BU1162="NM","NM",IF(BP1162&lt;=0,"NM",IF(BU1162=0,"NM",IF(ABS(BU1162/BP1162-1)&gt;2.5,"NM",IF((ABS(BU1162-BP1162)=ABS(ABS(BU1162)-ABS(BP1162))),(BU1162/BP1162-1),"NM"))))))</f>
      </c>
      <c r="BV1167" s="1060">
        <f t="shared" si="2405"/>
      </c>
      <c r="BW1167" s="926">
        <f t="shared" si="2405"/>
      </c>
      <c r="BX1167" s="926">
        <f t="shared" si="2405"/>
      </c>
      <c r="BY1167" s="926">
        <f t="shared" si="2405"/>
      </c>
      <c r="BZ1167" s="926">
        <f>IF(BU1162="NM","NM",IF(BZ1162="NM","NM",IF(BU1162&lt;=0,"NM",IF(BZ1162=0,"NM",IF(ABS(BZ1162/BU1162-1)&gt;2.5,"NM",IF((ABS(BZ1162-BU1162)=ABS(ABS(BZ1162)-ABS(BU1162))),(BZ1162/BU1162-1),"NM"))))))</f>
      </c>
      <c r="CA1167" s="2248">
        <f>IF(BV1162="NM","NM",IF(CA1162="NM","NM",IF(BV1162&lt;=0,"NM",IF(CA1162=0,"NM",IF(ABS(CA1162/BV1162-1)&gt;2.5,"NM",IF((ABS(CA1162-BV1162)=ABS(ABS(CA1162)-ABS(BV1162))),(CA1162/BV1162-1),"NM"))))))</f>
      </c>
      <c r="CB1167" s="926">
        <f t="shared" ref="CB1167:CD1168" si="2406">IF(BW1162="NM","NM",IF(CB1162="NM","NM",IF(BW1162&lt;=0,"NM",IF(CB1162=0,"NM",IF(ABS(CB1162/BW1162-1)&gt;2.5,"NM",IF((ABS(CB1162-BW1162)=ABS(ABS(CB1162)-ABS(BW1162))),(CB1162/BW1162-1),"NM"))))))</f>
      </c>
      <c r="CC1167" s="926">
        <f t="shared" si="2406"/>
      </c>
      <c r="CD1167" s="926">
        <f t="shared" si="2406"/>
      </c>
      <c r="CE1167" s="926">
        <f>IF(BZ1162="NM","NM",IF(CE1162="NM","NM",IF(BZ1162&lt;=0,"NM",IF(CE1162=0,"NM",IF(ABS(CE1162/BZ1162-1)&gt;2.5,"NM",IF((ABS(CE1162-BZ1162)=ABS(ABS(CE1162)-ABS(BZ1162))),(CE1162/BZ1162-1),"NM"))))))</f>
      </c>
      <c r="CF1167" s="2248">
        <f>IF(CA1162="NM","NM",IF(CF1162="NM","NM",IF(CA1162&lt;=0,"NM",IF(CF1162=0,"NM",IF(ABS(CF1162/CA1162-1)&gt;2.5,"NM",IF((ABS(CF1162-CA1162)=ABS(ABS(CF1162)-ABS(CA1162))),(CF1162/CA1162-1),"NM"))))))</f>
      </c>
      <c r="CG1167" s="926">
        <f t="shared" ref="CG1167:CI1168" si="2407">IF(CB1162="NM","NM",IF(CG1162="NM","NM",IF(CB1162&lt;=0,"NM",IF(CG1162=0,"NM",IF(ABS(CG1162/CB1162-1)&gt;2.5,"NM",IF((ABS(CG1162-CB1162)=ABS(ABS(CG1162)-ABS(CB1162))),(CG1162/CB1162-1),"NM"))))))</f>
      </c>
      <c r="CH1167" s="926">
        <f t="shared" si="2407"/>
      </c>
      <c r="CI1167" s="926">
        <f t="shared" si="2407"/>
      </c>
      <c r="CJ1167" s="926">
        <f>IF(CE1162="NM","NM",IF(CJ1162="NM","NM",IF(CE1162&lt;=0,"NM",IF(CJ1162=0,"NM",IF(ABS(CJ1162/CE1162-1)&gt;2.5,"NM",IF((ABS(CJ1162-CE1162)=ABS(ABS(CJ1162)-ABS(CE1162))),(CJ1162/CE1162-1),"NM"))))))</f>
      </c>
      <c r="CK1167" s="1060">
        <f>IF(CF1162=0, 0, CK1162/CF1162-1)</f>
      </c>
      <c r="CL1167" s="926">
        <f t="shared" ref="CL1167:CN1168" si="2408">IF(CG1162="NM","NM",IF(CL1162="NM","NM",IF(CG1162&lt;=0,"NM",IF(CL1162=0,"NM",IF(ABS(CL1162/CG1162-1)&gt;2.5,"NM",IF((ABS(CL1162-CG1162)=ABS(ABS(CL1162)-ABS(CG1162))),(CL1162/CG1162-1),"NM"))))))</f>
      </c>
      <c r="CM1167" s="926">
        <f t="shared" si="2408"/>
      </c>
      <c r="CN1167" s="926">
        <f t="shared" si="2408"/>
      </c>
      <c r="CO1167" s="926">
        <f>IF(CJ1162="NM","NM",IF(CO1162="NM","NM",IF(CJ1162&lt;=0,"NM",IF(CO1162=0,"NM",IF(ABS(CO1162/CJ1162-1)&gt;2.5,"NM",IF((ABS(CO1162-CJ1162)=ABS(ABS(CO1162)-ABS(CJ1162))),(CO1162/CJ1162-1),"NM"))))))</f>
      </c>
      <c r="CP1167" s="1060">
        <f>IF(CK1162=0, 0, CP1162/CK1162-1)</f>
      </c>
      <c r="CQ1167" s="926">
        <f>IF(CL1162="NM","NM",IF(CQ1162="NM","NM",IF(CL1162&lt;=0,"NM",IF(CQ1162=0,"NM",IF(ABS(CQ1162/CL1162-1)&gt;2.5,"NM",IF((ABS(CQ1162-CL1162)=ABS(ABS(CQ1162)-ABS(CL1162))),(CQ1162/CL1162-1),"NM"))))))</f>
      </c>
      <c r="CR1167" s="926">
        <f>IF(CM1162="NM","NM",IF(CR1162="NM","NM",IF(CM1162&lt;=0,"NM",IF(CR1162=0,"NM",IF(ABS(CR1162/CM1162-1)&gt;2.5,"NM",IF((ABS(CR1162-CM1162)=ABS(ABS(CR1162)-ABS(CM1162))),(CR1162/CM1162-1),"NM"))))))</f>
      </c>
      <c r="CS1167" s="29"/>
      <c r="CT1167" s="29"/>
      <c r="CU1167" s="1060"/>
      <c r="CV1167" s="926"/>
      <c r="CW1167" s="29"/>
      <c r="CX1167" s="29"/>
      <c r="CY1167" s="29"/>
      <c r="CZ1167" s="400"/>
      <c r="DA1167" s="400"/>
      <c r="DB1167" s="29"/>
      <c r="DC1167" s="29"/>
      <c r="DD1167" s="29"/>
      <c r="DE1167" s="317"/>
      <c r="DF1167" s="400"/>
      <c r="DG1167" s="29"/>
      <c r="DH1167" s="29"/>
      <c r="DI1167" s="29"/>
      <c r="DJ1167" s="317"/>
      <c r="DK1167" s="400"/>
      <c r="DL1167" s="29"/>
      <c r="DM1167" s="29"/>
      <c r="DN1167" s="29"/>
      <c r="DO1167" s="836"/>
      <c r="DP1167" s="29"/>
      <c r="DQ1167" s="29"/>
      <c r="DR1167" s="29"/>
      <c r="DS1167" s="29"/>
      <c r="DT1167" s="317"/>
      <c r="DU1167" s="29"/>
      <c r="DV1167" s="29"/>
      <c r="DW1167" s="29"/>
      <c r="DX1167" s="836"/>
      <c r="DY1167" s="317"/>
      <c r="DZ1167" s="29"/>
      <c r="EA1167" s="29"/>
      <c r="EB1167" s="29"/>
      <c r="EC1167" s="836"/>
      <c r="ED1167" s="317"/>
      <c r="EE1167" s="29"/>
      <c r="EF1167" s="29"/>
      <c r="EG1167" s="29"/>
      <c r="EH1167" s="29"/>
      <c r="EI1167" s="400"/>
      <c r="EJ1167" s="29"/>
      <c r="EK1167" s="836"/>
      <c r="EL1167" s="836"/>
      <c r="EM1167" s="836"/>
      <c r="EN1167" s="836"/>
      <c r="EO1167" s="29"/>
      <c r="EP1167" s="29"/>
      <c r="EQ1167" s="29"/>
      <c r="ER1167" s="29"/>
      <c r="ES1167" s="29"/>
      <c r="ET1167" s="29"/>
      <c r="EU1167" s="29"/>
      <c r="EV1167" s="29"/>
      <c r="EW1167" s="29"/>
      <c r="EX1167" s="836"/>
    </row>
    <row r="1168" spans="2:154" ht="12.75" hidden="1" customHeight="1" outlineLevel="1">
      <c r="B1168" s="440" t="s">
        <v>235</v>
      </c>
      <c r="C1168" s="1577"/>
      <c r="D1168" s="933"/>
      <c r="E1168" s="933"/>
      <c r="F1168" s="933"/>
      <c r="G1168" s="933"/>
      <c r="H1168" s="933"/>
      <c r="I1168" s="933"/>
      <c r="J1168" s="933"/>
      <c r="K1168" s="933"/>
      <c r="L1168" s="933"/>
      <c r="M1168" s="933"/>
      <c r="N1168" s="933"/>
      <c r="O1168" s="933"/>
      <c r="P1168" s="933"/>
      <c r="Q1168" s="933"/>
      <c r="R1168" s="933"/>
      <c r="S1168" s="933"/>
      <c r="T1168" s="933"/>
      <c r="U1168" s="933"/>
      <c r="V1168" s="933"/>
      <c r="W1168" s="933"/>
      <c r="X1168" s="1060"/>
      <c r="Y1168" s="933"/>
      <c r="Z1168" s="933"/>
      <c r="AA1168" s="933"/>
      <c r="AB1168" s="933"/>
      <c r="AC1168" s="1060"/>
      <c r="AD1168" s="926"/>
      <c r="AE1168" s="926"/>
      <c r="AF1168" s="926"/>
      <c r="AG1168" s="926"/>
      <c r="AH1168" s="1060"/>
      <c r="AI1168" s="926">
        <f t="shared" si="2403"/>
      </c>
      <c r="AJ1168" s="926">
        <f t="shared" si="2403"/>
      </c>
      <c r="AK1168" s="926">
        <f t="shared" si="2403"/>
      </c>
      <c r="AL1168" s="926">
        <f t="shared" si="2403"/>
      </c>
      <c r="AM1168" s="1060">
        <f t="shared" si="2403"/>
      </c>
      <c r="AN1168" s="926">
        <v>0.21925133689839571</v>
      </c>
      <c r="AO1168" s="926">
        <v>0.21925133689839571</v>
      </c>
      <c r="AP1168" s="926">
        <v>0.22</v>
      </c>
      <c r="AQ1168" s="926">
        <v>0.37</v>
      </c>
      <c r="AR1168" s="1060">
        <f>IF(AM1163="NM","NM",IF(AR1163="NM","NM",IF(AM1163&lt;=0,"NM",IF(AR1163=0,"NM",IF(ABS(AR1163/AM1163-1)&gt;2.5,"NM",IF((ABS(AR1163-AM1163)=ABS(ABS(AR1163)-ABS(AM1163))),(AR1163/AM1163-1),"NM"))))))</f>
      </c>
      <c r="AS1168" s="926">
        <f t="shared" si="2404"/>
      </c>
      <c r="AT1168" s="926">
        <f t="shared" si="2404"/>
      </c>
      <c r="AU1168" s="926">
        <f t="shared" si="2404"/>
      </c>
      <c r="AV1168" s="926">
        <f t="shared" si="2404"/>
      </c>
      <c r="AW1168" s="1060">
        <f t="shared" si="2404"/>
      </c>
      <c r="AX1168" s="926">
        <f t="shared" si="2404"/>
      </c>
      <c r="AY1168" s="926">
        <f t="shared" si="2404"/>
      </c>
      <c r="AZ1168" s="926">
        <f t="shared" si="2404"/>
      </c>
      <c r="BA1168" s="926">
        <f t="shared" si="2404"/>
      </c>
      <c r="BB1168" s="1060">
        <f t="shared" si="2404"/>
      </c>
      <c r="BC1168" s="926">
        <f t="shared" si="2404"/>
      </c>
      <c r="BD1168" s="926">
        <f t="shared" si="2404"/>
      </c>
      <c r="BE1168" s="926">
        <f t="shared" si="2404"/>
      </c>
      <c r="BF1168" s="926">
        <f t="shared" si="2404"/>
      </c>
      <c r="BG1168" s="1060">
        <f>IF(BB1163="NM","NM",IF(BG1163="NM","NM",IF(BB1163&lt;=0,"NM",IF(BG1163=0,"NM",IF(ABS(BG1163/BB1163-1)&gt;2.5,"NM",IF((ABS(BG1163-BB1163)=ABS(ABS(BG1163)-ABS(BB1163))),(BG1163/BB1163-1),"NM"))))))</f>
      </c>
      <c r="BH1168" s="926">
        <f t="shared" si="2404"/>
      </c>
      <c r="BI1168" s="926">
        <f t="shared" si="2404"/>
      </c>
      <c r="BJ1168" s="926">
        <f t="shared" si="2404"/>
      </c>
      <c r="BK1168" s="926">
        <f t="shared" si="2404"/>
      </c>
      <c r="BL1168" s="1060">
        <f>IF(BG1163="NM","NM",IF(BL1163="NM","NM",IF(BG1163&lt;=0,"NM",IF(BL1163=0,"NM",IF(ABS(BL1163/BG1163-1)&gt;2.5,"NM",IF((ABS(BL1163-BG1163)=ABS(ABS(BL1163)-ABS(BG1163))),(BL1163/BG1163-1),"NM"))))))</f>
      </c>
      <c r="BM1168" s="926">
        <f t="shared" si="2404"/>
      </c>
      <c r="BN1168" s="926">
        <f t="shared" si="2404"/>
      </c>
      <c r="BO1168" s="926">
        <f>IF(BJ1163="NM","NM",IF(BO1163="NM","NM",IF(BJ1163&lt;=0,"NM",IF(BO1163=0,"NM",IF(ABS(BO1163/BJ1163-1)&gt;2.5,"NM",IF((ABS(BO1163-BJ1163)=ABS(ABS(BO1163)-ABS(BJ1163))),(BO1163/BJ1163-1),"NM"))))))</f>
      </c>
      <c r="BP1168" s="926">
        <f t="shared" si="2405"/>
      </c>
      <c r="BQ1168" s="1060">
        <f t="shared" si="2405"/>
      </c>
      <c r="BR1168" s="926">
        <f t="shared" si="2405"/>
      </c>
      <c r="BS1168" s="926">
        <f t="shared" si="2405"/>
      </c>
      <c r="BT1168" s="926">
        <f t="shared" si="2405"/>
      </c>
      <c r="BU1168" s="926">
        <f>IF(BP1163="NM","NM",IF(BU1163="NM","NM",IF(BP1163&lt;=0,"NM",IF(BU1163=0,"NM",IF(ABS(BU1163/BP1163-1)&gt;2.5,"NM",IF((ABS(BU1163-BP1163)=ABS(ABS(BU1163)-ABS(BP1163))),(BU1163/BP1163-1),"NM"))))))</f>
      </c>
      <c r="BV1168" s="1060">
        <f t="shared" si="2405"/>
      </c>
      <c r="BW1168" s="926">
        <f t="shared" si="2405"/>
      </c>
      <c r="BX1168" s="926">
        <f t="shared" si="2405"/>
      </c>
      <c r="BY1168" s="926">
        <f t="shared" si="2405"/>
      </c>
      <c r="BZ1168" s="926">
        <f>IF(BU1163="NM","NM",IF(BZ1163="NM","NM",IF(BU1163&lt;=0,"NM",IF(BZ1163=0,"NM",IF(ABS(BZ1163/BU1163-1)&gt;2.5,"NM",IF((ABS(BZ1163-BU1163)=ABS(ABS(BZ1163)-ABS(BU1163))),(BZ1163/BU1163-1),"NM"))))))</f>
      </c>
      <c r="CA1168" s="1060">
        <f>IF(BV1163="NM","NM",IF(CA1163="NM","NM",IF(BV1163&lt;=0,"NM",IF(CA1163=0,"NM",IF(ABS(CA1163/BV1163-1)&gt;2.5,"NM",IF((ABS(CA1163-BV1163)=ABS(ABS(CA1163)-ABS(BV1163))),(CA1163/BV1163-1),"NM"))))))</f>
      </c>
      <c r="CB1168" s="926">
        <f t="shared" si="2406"/>
      </c>
      <c r="CC1168" s="926">
        <f t="shared" si="2406"/>
      </c>
      <c r="CD1168" s="926">
        <f t="shared" si="2406"/>
      </c>
      <c r="CE1168" s="926">
        <f>IF(BZ1163="NM","NM",IF(CE1163="NM","NM",IF(BZ1163&lt;=0,"NM",IF(CE1163=0,"NM",IF(ABS(CE1163/BZ1163-1)&gt;2.5,"NM",IF((ABS(CE1163-BZ1163)=ABS(ABS(CE1163)-ABS(BZ1163))),(CE1163/BZ1163-1),"NM"))))))</f>
      </c>
      <c r="CF1168" s="1060">
        <f>IF(CA1163="NM","NM",IF(CF1163="NM","NM",IF(CA1163&lt;=0,"NM",IF(CF1163=0,"NM",IF(ABS(CF1163/CA1163-1)&gt;2.5,"NM",IF((ABS(CF1163-CA1163)=ABS(ABS(CF1163)-ABS(CA1163))),(CF1163/CA1163-1),"NM"))))))</f>
      </c>
      <c r="CG1168" s="926">
        <f t="shared" si="2407"/>
      </c>
      <c r="CH1168" s="926">
        <f t="shared" si="2407"/>
      </c>
      <c r="CI1168" s="926">
        <f t="shared" si="2407"/>
      </c>
      <c r="CJ1168" s="926">
        <f>IF(CE1163="NM","NM",IF(CJ1163="NM","NM",IF(CE1163&lt;=0,"NM",IF(CJ1163=0,"NM",IF(ABS(CJ1163/CE1163-1)&gt;2.5,"NM",IF((ABS(CJ1163-CE1163)=ABS(ABS(CJ1163)-ABS(CE1163))),(CJ1163/CE1163-1),"NM"))))))</f>
      </c>
      <c r="CK1168" s="1060">
        <f>IF(CF1163=0, "NA", CK1163/CF1163-1)</f>
      </c>
      <c r="CL1168" s="926">
        <f t="shared" si="2408"/>
      </c>
      <c r="CM1168" s="926">
        <f t="shared" si="2408"/>
      </c>
      <c r="CN1168" s="926">
        <f t="shared" si="2408"/>
      </c>
      <c r="CO1168" s="926">
        <f>IF(CJ1163="NM","NM",IF(CO1163="NM","NM",IF(CJ1163&lt;=0,"NM",IF(CO1163=0,"NM",IF(ABS(CO1163/CJ1163-1)&gt;2.5,"NM",IF((ABS(CO1163-CJ1163)=ABS(ABS(CO1163)-ABS(CJ1163))),(CO1163/CJ1163-1),"NM"))))))</f>
      </c>
      <c r="CP1168" s="1060">
        <f>IF(CK1163=0, "NA", CP1163/CK1163-1)</f>
      </c>
      <c r="CQ1168" s="926">
        <f>IF(CL1163="NM","NM",IF(CQ1163="NM","NM",IF(CL1163&lt;=0,"NM",IF(CQ1163=0,"NM",IF(ABS(CQ1163/CL1163-1)&gt;2.5,"NM",IF((ABS(CQ1163-CL1163)=ABS(ABS(CQ1163)-ABS(CL1163))),(CQ1163/CL1163-1),"NM"))))))</f>
      </c>
      <c r="CR1168" s="926">
        <f>IF(CM1163="NM","NM",IF(CR1163="NM","NM",IF(CM1163&lt;=0,"NM",IF(CR1163=0,"NM",IF(ABS(CR1163/CM1163-1)&gt;2.5,"NM",IF((ABS(CR1163-CM1163)=ABS(ABS(CR1163)-ABS(CM1163))),(CR1163/CM1163-1),"NM"))))))</f>
      </c>
      <c r="CS1168" s="926"/>
      <c r="CT1168" s="928"/>
      <c r="CU1168" s="1060"/>
      <c r="CV1168" s="926"/>
      <c r="CW1168" s="926"/>
      <c r="CX1168" s="926"/>
      <c r="CY1168" s="928"/>
      <c r="CZ1168" s="1060"/>
      <c r="DA1168" s="958"/>
      <c r="DB1168" s="926"/>
      <c r="DC1168" s="926"/>
      <c r="DD1168" s="928"/>
      <c r="DE1168" s="1060"/>
      <c r="DF1168" s="958"/>
      <c r="DG1168" s="926"/>
      <c r="DH1168" s="926"/>
      <c r="DI1168" s="928"/>
      <c r="DJ1168" s="1060"/>
      <c r="DK1168" s="958"/>
      <c r="DL1168" s="926"/>
      <c r="DM1168" s="926"/>
      <c r="DN1168" s="928"/>
      <c r="DO1168" s="1060"/>
      <c r="DP1168" s="926"/>
      <c r="DQ1168" s="926"/>
      <c r="DR1168" s="926"/>
      <c r="DS1168" s="926"/>
      <c r="DT1168" s="1060"/>
      <c r="DU1168" s="926"/>
      <c r="DV1168" s="926"/>
      <c r="DW1168" s="926"/>
      <c r="DX1168" s="928"/>
      <c r="DY1168" s="1060"/>
      <c r="DZ1168" s="926"/>
      <c r="EA1168" s="926"/>
      <c r="EB1168" s="926"/>
      <c r="EC1168" s="928"/>
      <c r="ED1168" s="1060"/>
      <c r="EE1168" s="926"/>
      <c r="EF1168" s="926"/>
      <c r="EG1168" s="926"/>
      <c r="EH1168" s="926"/>
      <c r="EI1168" s="958"/>
      <c r="EJ1168" s="958"/>
      <c r="EK1168" s="1060"/>
      <c r="EL1168" s="1060"/>
      <c r="EM1168" s="1060"/>
      <c r="EN1168" s="1060"/>
      <c r="EO1168" s="958"/>
      <c r="EP1168" s="958"/>
      <c r="EQ1168" s="958"/>
      <c r="ER1168" s="958"/>
      <c r="ES1168" s="958"/>
      <c r="ET1168" s="958"/>
      <c r="EU1168" s="958"/>
      <c r="EV1168" s="958"/>
      <c r="EW1168" s="958"/>
      <c r="EX1168" s="1060"/>
    </row>
    <row r="1169" spans="2:154" ht="12.75" hidden="1" customHeight="1" outlineLevel="1">
      <c r="B1169" s="440" t="s">
        <v>157</v>
      </c>
      <c r="C1169" s="1577"/>
      <c r="D1169" s="933"/>
      <c r="E1169" s="933"/>
      <c r="F1169" s="933"/>
      <c r="G1169" s="933"/>
      <c r="H1169" s="933"/>
      <c r="I1169" s="933"/>
      <c r="J1169" s="933"/>
      <c r="K1169" s="933"/>
      <c r="L1169" s="933"/>
      <c r="M1169" s="933"/>
      <c r="N1169" s="933"/>
      <c r="O1169" s="933"/>
      <c r="P1169" s="933"/>
      <c r="Q1169" s="933"/>
      <c r="R1169" s="933"/>
      <c r="S1169" s="933"/>
      <c r="T1169" s="933"/>
      <c r="U1169" s="933"/>
      <c r="V1169" s="933"/>
      <c r="W1169" s="933"/>
      <c r="X1169" s="2248"/>
      <c r="Y1169" s="933"/>
      <c r="Z1169" s="933"/>
      <c r="AA1169" s="933"/>
      <c r="AB1169" s="933"/>
      <c r="AC1169" s="2248"/>
      <c r="AD1169" s="959"/>
      <c r="AE1169" s="959"/>
      <c r="AF1169" s="959"/>
      <c r="AG1169" s="959"/>
      <c r="AH1169" s="2248"/>
      <c r="AI1169" s="959">
        <f t="shared" ref="AI1169:BH1169" si="2409">IF(ISNUMBER(AI1168),(1+AI1168)/(1+AI$21)-1,"NM")</f>
      </c>
      <c r="AJ1169" s="959">
        <f t="shared" si="2409"/>
      </c>
      <c r="AK1169" s="959">
        <f t="shared" si="2409"/>
      </c>
      <c r="AL1169" s="959">
        <f t="shared" si="2409"/>
      </c>
      <c r="AM1169" s="2248">
        <f t="shared" si="2409"/>
      </c>
      <c r="AN1169" s="959">
        <f t="shared" si="2409"/>
      </c>
      <c r="AO1169" s="959">
        <f t="shared" si="2409"/>
      </c>
      <c r="AP1169" s="959">
        <f t="shared" si="2409"/>
      </c>
      <c r="AQ1169" s="959">
        <f t="shared" si="2409"/>
      </c>
      <c r="AR1169" s="2248">
        <f t="shared" si="2409"/>
      </c>
      <c r="AS1169" s="959">
        <f t="shared" si="2409"/>
      </c>
      <c r="AT1169" s="959">
        <f t="shared" si="2409"/>
      </c>
      <c r="AU1169" s="959">
        <f t="shared" si="2409"/>
      </c>
      <c r="AV1169" s="959">
        <f t="shared" si="2409"/>
      </c>
      <c r="AW1169" s="2248">
        <f t="shared" si="2409"/>
      </c>
      <c r="AX1169" s="959">
        <f t="shared" si="2409"/>
      </c>
      <c r="AY1169" s="959">
        <f t="shared" si="2409"/>
      </c>
      <c r="AZ1169" s="959">
        <f t="shared" si="2409"/>
      </c>
      <c r="BA1169" s="959">
        <f t="shared" si="2409"/>
      </c>
      <c r="BB1169" s="2248">
        <f t="shared" si="2409"/>
      </c>
      <c r="BC1169" s="959">
        <f t="shared" si="2409"/>
      </c>
      <c r="BD1169" s="959">
        <f t="shared" si="2409"/>
      </c>
      <c r="BE1169" s="959">
        <f t="shared" si="2409"/>
      </c>
      <c r="BF1169" s="959">
        <f t="shared" si="2409"/>
      </c>
      <c r="BG1169" s="1066">
        <f>IF(ISNUMBER(BG1168),(1+BG1168)/(1+BG$21)-1,"NM")</f>
      </c>
      <c r="BH1169" s="959">
        <f t="shared" si="2409"/>
      </c>
      <c r="BI1169" s="926">
        <f>IF(ISNUMBER(BI1168),(1+BI1168)/(1+BI$21)-1,"NM")</f>
      </c>
      <c r="BJ1169" s="926">
        <f>IF(ISNUMBER(BJ1168),(1+BJ1168)/(1+BJ$21)-1,"NM")</f>
      </c>
      <c r="BK1169" s="926">
        <f>IF(ISNUMBER(BK1168),(1+BK1168)/(1+BK$21)-1,"NM")</f>
      </c>
      <c r="BL1169" s="2248">
        <f>IF(ISNUMBER(BL1168),(1+BL1168)/(1+BL$21)-1,"NM")</f>
      </c>
      <c r="BM1169" s="959">
        <f>IF(ISNUMBER(BM1168),(1+BM1168)/(1+BM$21)-1,"NM")</f>
      </c>
      <c r="BN1169" s="926">
        <v>0.14000000000000001</v>
      </c>
      <c r="BO1169" s="959">
        <f t="shared" ref="BO1169:CJ1169" si="2410">IF(ISNUMBER(BO1168),(1+BO1168)/(1+BO$21)-1,"NM")</f>
      </c>
      <c r="BP1169" s="926">
        <f t="shared" si="2410"/>
      </c>
      <c r="BQ1169" s="2248">
        <f t="shared" si="2410"/>
      </c>
      <c r="BR1169" s="959">
        <f t="shared" si="2410"/>
      </c>
      <c r="BS1169" s="959">
        <f t="shared" si="2410"/>
      </c>
      <c r="BT1169" s="959">
        <f t="shared" si="2410"/>
      </c>
      <c r="BU1169" s="926">
        <f t="shared" si="2410"/>
      </c>
      <c r="BV1169" s="2248">
        <f t="shared" si="2410"/>
      </c>
      <c r="BW1169" s="959">
        <f t="shared" si="2410"/>
      </c>
      <c r="BX1169" s="959">
        <f t="shared" si="2410"/>
      </c>
      <c r="BY1169" s="959">
        <f t="shared" si="2410"/>
      </c>
      <c r="BZ1169" s="926">
        <f t="shared" si="2410"/>
      </c>
      <c r="CA1169" s="1060">
        <f t="shared" si="2410"/>
      </c>
      <c r="CB1169" s="959">
        <f t="shared" si="2410"/>
      </c>
      <c r="CC1169" s="959">
        <f t="shared" si="2410"/>
      </c>
      <c r="CD1169" s="959">
        <f t="shared" si="2410"/>
      </c>
      <c r="CE1169" s="926">
        <f t="shared" si="2410"/>
      </c>
      <c r="CF1169" s="1060">
        <f t="shared" si="2410"/>
      </c>
      <c r="CG1169" s="959">
        <f t="shared" si="2410"/>
      </c>
      <c r="CH1169" s="959">
        <f t="shared" si="2410"/>
      </c>
      <c r="CI1169" s="959">
        <f t="shared" si="2410"/>
      </c>
      <c r="CJ1169" s="959">
        <f t="shared" si="2410"/>
      </c>
      <c r="CK1169" s="2248">
        <f>CK1168-CK$21</f>
      </c>
      <c r="CL1169" s="959">
        <f>IF(ISNUMBER(CL1168),(1+CL1168)/(1+CL$21)-1,"NM")</f>
      </c>
      <c r="CM1169" s="959">
        <f>IF(ISNUMBER(CM1168),(1+CM1168)/(1+CM$21)-1,"NM")</f>
      </c>
      <c r="CN1169" s="959">
        <f>IF(ISNUMBER(CN1168),(1+CN1168)/(1+CN$21)-1,"NM")</f>
      </c>
      <c r="CO1169" s="959">
        <f>IF(ISNUMBER(CO1168),(1+CO1168)/(1+CO$21)-1,"NM")</f>
      </c>
      <c r="CP1169" s="2248">
        <f>CP1168-CP$21</f>
      </c>
      <c r="CQ1169" s="959">
        <f>IF(ISNUMBER(CQ1168),(1+CQ1168)/(1+CQ$21)-1,"NM")</f>
      </c>
      <c r="CR1169" s="959">
        <f>IF(ISNUMBER(CR1168),(1+CR1168)/(1+CR$21)-1,"NM")</f>
      </c>
      <c r="CS1169" s="29"/>
      <c r="CT1169" s="29"/>
      <c r="CU1169" s="2248"/>
      <c r="CV1169" s="959"/>
      <c r="CW1169" s="29"/>
      <c r="CX1169" s="29"/>
      <c r="CY1169" s="29"/>
      <c r="CZ1169" s="317"/>
      <c r="DA1169" s="400"/>
      <c r="DB1169" s="29"/>
      <c r="DC1169" s="29"/>
      <c r="DD1169" s="836"/>
      <c r="DE1169" s="317"/>
      <c r="DF1169" s="400"/>
      <c r="DG1169" s="29"/>
      <c r="DH1169" s="29"/>
      <c r="DI1169" s="836"/>
      <c r="DJ1169" s="317"/>
      <c r="DK1169" s="400"/>
      <c r="DL1169" s="29"/>
      <c r="DM1169" s="29"/>
      <c r="DN1169" s="836"/>
      <c r="DO1169" s="317"/>
      <c r="DP1169" s="29"/>
      <c r="DQ1169" s="29"/>
      <c r="DR1169" s="29"/>
      <c r="DS1169" s="29"/>
      <c r="DT1169" s="317"/>
      <c r="DU1169" s="29"/>
      <c r="DV1169" s="29"/>
      <c r="DW1169" s="29"/>
      <c r="DX1169" s="836"/>
      <c r="DY1169" s="317"/>
      <c r="DZ1169" s="29"/>
      <c r="EA1169" s="29"/>
      <c r="EB1169" s="29"/>
      <c r="EC1169" s="836"/>
      <c r="ED1169" s="317"/>
      <c r="EE1169" s="29"/>
      <c r="EF1169" s="29"/>
      <c r="EG1169" s="29"/>
      <c r="EH1169" s="29"/>
      <c r="EI1169" s="400"/>
      <c r="EJ1169" s="400"/>
      <c r="EK1169" s="317"/>
      <c r="EL1169" s="317"/>
      <c r="EM1169" s="317"/>
      <c r="EN1169" s="317"/>
      <c r="EO1169" s="400"/>
      <c r="EP1169" s="400"/>
      <c r="EQ1169" s="400"/>
      <c r="ER1169" s="400"/>
      <c r="ES1169" s="400"/>
      <c r="ET1169" s="400"/>
      <c r="EU1169" s="400"/>
      <c r="EV1169" s="400"/>
      <c r="EW1169" s="400"/>
      <c r="EX1169" s="317"/>
    </row>
    <row r="1170" spans="2:154" ht="12.75" hidden="1" customHeight="1" outlineLevel="1">
      <c r="B1170" s="440" t="s">
        <v>19</v>
      </c>
      <c r="C1170" s="1577"/>
      <c r="D1170" s="933"/>
      <c r="E1170" s="933"/>
      <c r="F1170" s="933"/>
      <c r="G1170" s="933"/>
      <c r="H1170" s="933"/>
      <c r="I1170" s="933"/>
      <c r="J1170" s="933"/>
      <c r="K1170" s="933"/>
      <c r="L1170" s="933"/>
      <c r="M1170" s="933"/>
      <c r="N1170" s="933"/>
      <c r="O1170" s="933"/>
      <c r="P1170" s="933"/>
      <c r="Q1170" s="933"/>
      <c r="R1170" s="933"/>
      <c r="S1170" s="933"/>
      <c r="T1170" s="933"/>
      <c r="U1170" s="933"/>
      <c r="V1170" s="933"/>
      <c r="W1170" s="933"/>
      <c r="X1170" s="1060"/>
      <c r="Y1170" s="933"/>
      <c r="Z1170" s="933"/>
      <c r="AA1170" s="933"/>
      <c r="AB1170" s="933"/>
      <c r="AC1170" s="1060"/>
      <c r="AD1170" s="926"/>
      <c r="AE1170" s="926"/>
      <c r="AF1170" s="926"/>
      <c r="AG1170" s="926"/>
      <c r="AH1170" s="1060"/>
      <c r="AI1170" s="926">
        <f t="shared" ref="AI1170:AR1170" si="2411">IF(AD1164="NM","NM",IF(AI1164="NM","NM",IF(AD1164&lt;=0,"NM",IF(AI1164=0,"NM",IF(ABS(AI1164/AD1164-1)&gt;2.5,"NM",IF((ABS(AI1164-AD1164)=ABS(ABS(AI1164)-ABS(AD1164))),(AI1164/AD1164-1),"NM"))))))</f>
      </c>
      <c r="AJ1170" s="926">
        <f t="shared" si="2411"/>
      </c>
      <c r="AK1170" s="926">
        <f t="shared" si="2411"/>
      </c>
      <c r="AL1170" s="926">
        <f t="shared" si="2411"/>
      </c>
      <c r="AM1170" s="1060">
        <f t="shared" si="2411"/>
      </c>
      <c r="AN1170" s="926">
        <f t="shared" si="2411"/>
      </c>
      <c r="AO1170" s="926">
        <f t="shared" si="2411"/>
      </c>
      <c r="AP1170" s="926">
        <f t="shared" si="2411"/>
      </c>
      <c r="AQ1170" s="926">
        <f t="shared" si="2411"/>
      </c>
      <c r="AR1170" s="1060">
        <f t="shared" si="2411"/>
      </c>
      <c r="AS1170" s="926">
        <f>IF(AN1164="NM","NM",IF(AS1164="NM","NM",IF(AN1164&lt;=0,"NM",IF(AS1164=0,"NM",IF(ABS(AS1164/AN1164-1)&gt;2.5,"NM",IF((ABS(AS1164-AN1164)=ABS(ABS(AS1164)-ABS(AN1164))),(AS1164/AN1164-1),"NM"))))))</f>
      </c>
      <c r="AT1170" s="926">
        <f>IF(AO1164="NM","NM",IF(AT1164="NM","NM",IF(AO1164&lt;=0,"NM",IF(AT1164=0,"NM",IF(ABS(AT1164/AO1164-1)&gt;2.5,"NM",IF((ABS(AT1164-AO1164)=ABS(ABS(AT1164)-ABS(AO1164))),(AT1164/AO1164-1),"NM"))))))</f>
      </c>
      <c r="AU1170" s="926">
        <f>IF(AP1164="NM","NM",IF(AU1164="NM","NM",IF(AP1164&lt;=0,"NM",IF(AU1164=0,"NM",IF(ABS(AU1164/AP1164-1)&gt;2.5,"NM",IF((ABS(AU1164-AP1164)=ABS(ABS(AU1164)-ABS(AP1164))),(AU1164/AP1164-1),"NM"))))))</f>
      </c>
      <c r="AV1170" s="926">
        <f>IF(AQ1164="NM","NM",IF(AV1164="NM","NM",IF(AQ1164&lt;=0,"NM",IF(AV1164=0,"NM",IF(ABS(AV1164/AQ1164-1)&gt;2.5,"NM",IF((ABS(AV1164-AQ1164)=ABS(ABS(AV1164)-ABS(AQ1164))),(AV1164/AQ1164-1),"NM"))))))</f>
      </c>
      <c r="AW1170" s="1060">
        <f t="shared" ref="AW1170:BQ1170" si="2412">IF(AR1164="NM","NM",IF(AW1164="NM","NM",IF(AR1164&lt;=0,"NM",IF(AW1164=0,"NM",IF(ABS(AW1164/AR1164-1)&gt;2.5,"NM",IF((ABS(AW1164-AR1164)=ABS(ABS(AW1164)-ABS(AR1164))),(AW1164/AR1164-1),"NM"))))))</f>
      </c>
      <c r="AX1170" s="926">
        <f t="shared" si="2412"/>
      </c>
      <c r="AY1170" s="926">
        <f t="shared" si="2412"/>
      </c>
      <c r="AZ1170" s="926">
        <f t="shared" si="2412"/>
      </c>
      <c r="BA1170" s="926">
        <f t="shared" si="2412"/>
      </c>
      <c r="BB1170" s="1060">
        <f t="shared" si="2412"/>
      </c>
      <c r="BC1170" s="926">
        <f>IF(AX1164="NM","NM",IF(BC1164="NM","NM",IF(AX1164&lt;=0,"NM",IF(BC1164=0,"NM",IF(ABS(BC1164/AX1164-1)&gt;2.5,"NM",IF((ABS(BC1164-AX1164)=ABS(ABS(BC1164)-ABS(AX1164))),(BC1164/AX1164-1),"NM"))))))</f>
      </c>
      <c r="BD1170" s="926">
        <f>IF(AY1164="NM","NM",IF(BD1164="NM","NM",IF(AY1164&lt;=0,"NM",IF(BD1164=0,"NM",IF(ABS(BD1164/AY1164-1)&gt;2.5,"NM",IF((ABS(BD1164-AY1164)=ABS(ABS(BD1164)-ABS(AY1164))),(BD1164/AY1164-1),"NM"))))))</f>
      </c>
      <c r="BE1170" s="926">
        <f t="shared" si="2412"/>
      </c>
      <c r="BF1170" s="926">
        <f t="shared" si="2412"/>
      </c>
      <c r="BG1170" s="1060">
        <f t="shared" si="2412"/>
      </c>
      <c r="BH1170" s="926">
        <f t="shared" si="2412"/>
      </c>
      <c r="BI1170" s="926">
        <f t="shared" si="2412"/>
      </c>
      <c r="BJ1170" s="926">
        <f t="shared" si="2412"/>
      </c>
      <c r="BK1170" s="926">
        <f t="shared" si="2412"/>
      </c>
      <c r="BL1170" s="1060">
        <f t="shared" si="2412"/>
      </c>
      <c r="BM1170" s="926">
        <f t="shared" si="2412"/>
      </c>
      <c r="BN1170" s="926">
        <f t="shared" si="2412"/>
      </c>
      <c r="BO1170" s="926">
        <f>IF(BJ1164="NM","NM",IF(BO1164="NM","NM",IF(BJ1164&lt;=0,"NM",IF(BO1164=0,"NM",IF(ABS(BO1164/BJ1164-1)&gt;2.5,"NM",IF((ABS(BO1164-BJ1164)=ABS(ABS(BO1164)-ABS(BJ1164))),(BO1164/BJ1164-1),"NM"))))))</f>
      </c>
      <c r="BP1170" s="926">
        <f t="shared" si="2412"/>
      </c>
      <c r="BQ1170" s="1060">
        <f t="shared" si="2412"/>
      </c>
      <c r="BR1170" s="926">
        <f>IF(BM1164="NM","NM",IF(BR1164="NM","NM",IF(BM1164&lt;=0,"NM",IF(BR1164=0,"NM",IF(ABS(BR1164/BM1164-1)&gt;2.5,"NM",IF((ABS(BR1164-BM1164)=ABS(ABS(BR1164)-ABS(BM1164))),(BR1164/BM1164-1),"NM"))))))</f>
      </c>
      <c r="BS1170" s="926">
        <f>IF(BN1164="NM","NM",IF(BS1164="NM","NM",IF(BN1164&lt;=0,"NM",IF(BS1164=0,"NM",IF(ABS(BS1164/BN1164-1)&gt;2.5,"NM",IF((ABS(BS1164-BN1164)=ABS(ABS(BS1164)-ABS(BN1164))),(BS1164/BN1164-1),"NM"))))))</f>
      </c>
      <c r="BT1170" s="926">
        <f>IF(BO1164="NM","NM",IF(BT1164="NM","NM",IF(BO1164&lt;=0,"NM",IF(BT1164=0,"NM",IF(ABS(BT1164/BO1164-1)&gt;2.5,"NM",IF((ABS(BT1164-BO1164)=ABS(ABS(BT1164)-ABS(BO1164))),(BT1164/BO1164-1),"NM"))))))</f>
      </c>
      <c r="BU1170" s="926">
        <f>IF(BP1164="NM","NM",IF(BU1164="NM","NM",IF(BP1164&lt;=0,"NM",IF(BU1164=0,"NM",IF(ABS(BU1164/BP1164-1)&gt;2.5,"NM",IF((ABS(BU1164-BP1164)=ABS(ABS(BU1164)-ABS(BP1164))),(BU1164/BP1164-1),"NM"))))))</f>
      </c>
      <c r="BV1170" s="1060">
        <f>IF(BQ1164="NM","NM",IF(BV1164="NM","NM",IF(BQ1164&lt;=0,"NM",IF(BV1164=0,"NM",IF(ABS(BV1164/BQ1164-1)&gt;2.5,"NM",IF((ABS(BV1164-BQ1164)=ABS(ABS(BV1164)-ABS(BQ1164))),(BV1164/BQ1164-1),"NM"))))))</f>
      </c>
      <c r="BW1170" s="926">
        <f t="shared" ref="BW1170:CH1170" si="2413">IF(BR1164="NM","NM",IF(BW1164="NM","NM",IF(BR1164&lt;=0,"NM",IF(BW1164=0,"NM",IF(ABS(BW1164/BR1164-1)&gt;2.5,"NM",IF((ABS(BW1164-BR1164)=ABS(ABS(BW1164)-ABS(BR1164))),(BW1164/BR1164-1),"NM"))))))</f>
      </c>
      <c r="BX1170" s="926">
        <f>IF(BS1164="NM","NM",IF(BX1164="NM","NM",IF(BS1164&lt;=0,"NM",IF(BX1164=0,"NM",IF(ABS(BX1164/BS1164-1)&gt;2.5,"NM",IF((ABS(BX1164-BS1164)=ABS(ABS(BX1164)-ABS(BS1164))),(BX1164/BS1164-1),"NM"))))))</f>
      </c>
      <c r="BY1170" s="926">
        <f t="shared" si="2413"/>
      </c>
      <c r="BZ1170" s="926">
        <f>IF(BU1164="NM","NM",IF(BZ1164="NM","NM",IF(BU1164&lt;=0,"NM",IF(BZ1164=0,"NM",IF(ABS(BZ1164/BU1164-1)&gt;2.5,"NM",IF((ABS(BZ1164-BU1164)=ABS(ABS(BZ1164)-ABS(BU1164))),(BZ1164/BU1164-1),"NM"))))))</f>
      </c>
      <c r="CA1170" s="1060">
        <f>IF(BV1164="NM","NM",IF(CA1164="NM","NM",IF(BV1164&lt;=0,"NM",IF(CA1164=0,"NM",IF(ABS(CA1164/BV1164-1)&gt;2.5,"NM",IF((ABS(CA1164-BV1164)=ABS(ABS(CA1164)-ABS(BV1164))),(CA1164/BV1164-1),"NM"))))))</f>
      </c>
      <c r="CB1170" s="926">
        <f t="shared" si="2413"/>
      </c>
      <c r="CC1170" s="926">
        <f t="shared" si="2413"/>
      </c>
      <c r="CD1170" s="926">
        <f>IF(BY1164="NM","NM",IF(CD1164="NM","NM",IF(BY1164&lt;=0,"NM",IF(CD1164=0,"NM",IF(ABS(CD1164/BY1164-1)&gt;2.5,"NM",IF((ABS(CD1164-BY1164)=ABS(ABS(CD1164)-ABS(BY1164))),(CD1164/BY1164-1),"NM"))))))</f>
      </c>
      <c r="CE1170" s="926">
        <f>IF(BZ1164="NM","NM",IF(CE1164="NM","NM",IF(BZ1164&lt;=0,"NM",IF(CE1164=0,"NM",IF(ABS(CE1164/BZ1164-1)&gt;2.5,"NM",IF((ABS(CE1164-BZ1164)=ABS(ABS(CE1164)-ABS(BZ1164))),(CE1164/BZ1164-1),"NM"))))))</f>
      </c>
      <c r="CF1170" s="1060">
        <f>IF(CA1164="NM","NM",IF(CF1164="NM","NM",IF(CA1164&lt;=0,"NM",IF(CF1164=0,"NM",IF(ABS(CF1164/CA1164-1)&gt;2.5,"NM",IF((ABS(CF1164-CA1164)=ABS(ABS(CF1164)-ABS(CA1164))),(CF1164/CA1164-1),"NM"))))))</f>
      </c>
      <c r="CG1170" s="926">
        <f t="shared" si="2413"/>
      </c>
      <c r="CH1170" s="926">
        <f t="shared" si="2413"/>
      </c>
      <c r="CI1170" s="926">
        <f>IF(CD1164="NM","NM",IF(CI1164="NM","NM",IF(CD1164&lt;=0,"NM",IF(CI1164=0,"NM",IF(ABS(CI1164/CD1164-1)&gt;2.5,"NM",IF((ABS(CI1164-CD1164)=ABS(ABS(CI1164)-ABS(CD1164))),(CI1164/CD1164-1),"NM"))))))</f>
      </c>
      <c r="CJ1170" s="926">
        <f>IF(CE1164="NM","NM",IF(CJ1164="NM","NM",IF(CE1164&lt;=0,"NM",IF(CJ1164=0,"NM",IF(ABS(CJ1164/CE1164-1)&gt;2.5,"NM",IF((ABS(CJ1164-CE1164)=ABS(ABS(CJ1164)-ABS(CE1164))),(CJ1164/CE1164-1),"NM"))))))</f>
      </c>
      <c r="CK1170" s="1060">
        <f>IF(CF1164=0, "NA", CK1164/CF1164-1)</f>
      </c>
      <c r="CL1170" s="926">
        <f>IF(CG1164="NM","NM",IF(CL1164="NM","NM",IF(CG1164&lt;=0,"NM",IF(CL1164=0,"NM",IF(ABS(CL1164/CG1164-1)&gt;2.5,"NM",IF((ABS(CL1164-CG1164)=ABS(ABS(CL1164)-ABS(CG1164))),(CL1164/CG1164-1),"NM"))))))</f>
      </c>
      <c r="CM1170" s="926">
        <f>IF(CH1164="NM","NM",IF(CM1164="NM","NM",IF(CH1164&lt;=0,"NM",IF(CM1164=0,"NM",IF(ABS(CM1164/CH1164-1)&gt;2.5,"NM",IF((ABS(CM1164-CH1164)=ABS(ABS(CM1164)-ABS(CH1164))),(CM1164/CH1164-1),"NM"))))))</f>
      </c>
      <c r="CN1170" s="926">
        <f>IF(CI1164="NM","NM",IF(CN1164="NM","NM",IF(CI1164&lt;=0,"NM",IF(CN1164=0,"NM",IF(ABS(CN1164/CI1164-1)&gt;2.5,"NM",IF((ABS(CN1164-CI1164)=ABS(ABS(CN1164)-ABS(CI1164))),(CN1164/CI1164-1),"NM"))))))</f>
      </c>
      <c r="CO1170" s="926">
        <f>IF(CJ1164="NM","NM",IF(CO1164="NM","NM",IF(CJ1164&lt;=0,"NM",IF(CO1164=0,"NM",IF(ABS(CO1164/CJ1164-1)&gt;2.5,"NM",IF((ABS(CO1164-CJ1164)=ABS(ABS(CO1164)-ABS(CJ1164))),(CO1164/CJ1164-1),"NM"))))))</f>
      </c>
      <c r="CP1170" s="1060">
        <f>IF(CK1164=0, "NA", CP1164/CK1164-1)</f>
      </c>
      <c r="CQ1170" s="926">
        <f>IF(CL1164="NM","NM",IF(CQ1164="NM","NM",IF(CL1164&lt;=0,"NM",IF(CQ1164=0,"NM",IF(ABS(CQ1164/CL1164-1)&gt;2.5,"NM",IF((ABS(CQ1164-CL1164)=ABS(ABS(CQ1164)-ABS(CL1164))),(CQ1164/CL1164-1),"NM"))))))</f>
      </c>
      <c r="CR1170" s="926">
        <f>IF(CM1164="NM","NM",IF(CR1164="NM","NM",IF(CM1164&lt;=0,"NM",IF(CR1164=0,"NM",IF(ABS(CR1164/CM1164-1)&gt;2.5,"NM",IF((ABS(CR1164-CM1164)=ABS(ABS(CR1164)-ABS(CM1164))),(CR1164/CM1164-1),"NM"))))))</f>
      </c>
      <c r="CS1170" s="926"/>
      <c r="CT1170" s="928"/>
      <c r="CU1170" s="1060"/>
      <c r="CV1170" s="926"/>
      <c r="CW1170" s="926"/>
      <c r="CX1170" s="926"/>
      <c r="CY1170" s="928"/>
      <c r="CZ1170" s="1060"/>
      <c r="DA1170" s="958"/>
      <c r="DB1170" s="926"/>
      <c r="DC1170" s="926"/>
      <c r="DD1170" s="928"/>
      <c r="DE1170" s="1060"/>
      <c r="DF1170" s="958"/>
      <c r="DG1170" s="926"/>
      <c r="DH1170" s="926"/>
      <c r="DI1170" s="928"/>
      <c r="DJ1170" s="1060"/>
      <c r="DK1170" s="958"/>
      <c r="DL1170" s="926"/>
      <c r="DM1170" s="926"/>
      <c r="DN1170" s="928"/>
      <c r="DO1170" s="1060"/>
      <c r="DP1170" s="926"/>
      <c r="DQ1170" s="926"/>
      <c r="DR1170" s="926"/>
      <c r="DS1170" s="926"/>
      <c r="DT1170" s="1060"/>
      <c r="DU1170" s="926"/>
      <c r="DV1170" s="926"/>
      <c r="DW1170" s="926"/>
      <c r="DX1170" s="928"/>
      <c r="DY1170" s="1060"/>
      <c r="DZ1170" s="926"/>
      <c r="EA1170" s="926"/>
      <c r="EB1170" s="926"/>
      <c r="EC1170" s="928"/>
      <c r="ED1170" s="1060"/>
      <c r="EE1170" s="926"/>
      <c r="EF1170" s="926"/>
      <c r="EG1170" s="926"/>
      <c r="EH1170" s="926"/>
      <c r="EI1170" s="958"/>
      <c r="EJ1170" s="958"/>
      <c r="EK1170" s="1060"/>
      <c r="EL1170" s="1060"/>
      <c r="EM1170" s="1060"/>
      <c r="EN1170" s="1060"/>
      <c r="EO1170" s="958"/>
      <c r="EP1170" s="958"/>
      <c r="EQ1170" s="958"/>
      <c r="ER1170" s="958"/>
      <c r="ES1170" s="958"/>
      <c r="ET1170" s="958"/>
      <c r="EU1170" s="958"/>
      <c r="EV1170" s="958"/>
      <c r="EW1170" s="958"/>
      <c r="EX1170" s="1060"/>
    </row>
    <row r="1171" spans="2:154" ht="12.75" hidden="1" customHeight="1" outlineLevel="1">
      <c r="B1171" s="437"/>
      <c r="C1171" s="1577"/>
      <c r="D1171" s="933"/>
      <c r="E1171" s="933"/>
      <c r="F1171" s="933"/>
      <c r="G1171" s="933"/>
      <c r="H1171" s="933"/>
      <c r="I1171" s="933"/>
      <c r="J1171" s="933"/>
      <c r="K1171" s="933"/>
      <c r="L1171" s="933"/>
      <c r="M1171" s="933"/>
      <c r="N1171" s="933"/>
      <c r="O1171" s="933"/>
      <c r="P1171" s="933"/>
      <c r="Q1171" s="933"/>
      <c r="R1171" s="933"/>
      <c r="S1171" s="933"/>
      <c r="T1171" s="933"/>
      <c r="U1171" s="933"/>
      <c r="V1171" s="933"/>
      <c r="W1171" s="933"/>
      <c r="X1171" s="1061"/>
      <c r="Y1171" s="933"/>
      <c r="Z1171" s="933"/>
      <c r="AA1171" s="933"/>
      <c r="AB1171" s="933"/>
      <c r="AC1171" s="1061"/>
      <c r="AD1171" s="933"/>
      <c r="AE1171" s="933"/>
      <c r="AF1171" s="933"/>
      <c r="AG1171" s="933"/>
      <c r="AH1171" s="1061"/>
      <c r="AI1171" s="933"/>
      <c r="AJ1171" s="933"/>
      <c r="AK1171" s="933"/>
      <c r="AL1171" s="933"/>
      <c r="AM1171" s="1061"/>
      <c r="AN1171" s="933"/>
      <c r="AO1171" s="933"/>
      <c r="AP1171" s="933"/>
      <c r="AQ1171" s="933"/>
      <c r="AR1171" s="1061"/>
      <c r="AS1171" s="933"/>
      <c r="AT1171" s="933"/>
      <c r="AU1171" s="933"/>
      <c r="AV1171" s="933"/>
      <c r="AW1171" s="1061"/>
      <c r="AX1171" s="943"/>
      <c r="AY1171" s="943"/>
      <c r="AZ1171" s="943"/>
      <c r="BA1171" s="943"/>
      <c r="BB1171" s="1061"/>
      <c r="BC1171" s="933"/>
      <c r="BD1171" s="933"/>
      <c r="BE1171" s="933"/>
      <c r="BF1171" s="933"/>
      <c r="BG1171" s="1061"/>
      <c r="BH1171" s="933"/>
      <c r="BI1171" s="933"/>
      <c r="BJ1171" s="933"/>
      <c r="BK1171" s="933"/>
      <c r="BL1171" s="1061"/>
      <c r="BM1171" s="933"/>
      <c r="BN1171" s="933"/>
      <c r="BO1171" s="933"/>
      <c r="BP1171" s="933"/>
      <c r="BQ1171" s="1061"/>
      <c r="BR1171" s="933"/>
      <c r="BS1171" s="933"/>
      <c r="BT1171" s="933"/>
      <c r="BU1171" s="933"/>
      <c r="BV1171" s="1061"/>
      <c r="BW1171" s="933"/>
      <c r="BX1171" s="933"/>
      <c r="BY1171" s="933"/>
      <c r="BZ1171" s="933"/>
      <c r="CA1171" s="1061"/>
      <c r="CB1171" s="933"/>
      <c r="CC1171" s="933"/>
      <c r="CD1171" s="933"/>
      <c r="CE1171" s="933"/>
      <c r="CF1171" s="1061"/>
      <c r="CG1171" s="933"/>
      <c r="CH1171" s="933"/>
      <c r="CI1171" s="933"/>
      <c r="CJ1171" s="933"/>
      <c r="CK1171" s="1061"/>
      <c r="CL1171" s="961"/>
      <c r="CM1171" s="933"/>
      <c r="CN1171" s="933"/>
      <c r="CO1171" s="933"/>
      <c r="CP1171" s="1061"/>
      <c r="CQ1171" s="933"/>
      <c r="CR1171" s="933"/>
      <c r="CS1171" s="933"/>
      <c r="CT1171" s="962"/>
      <c r="CU1171" s="962"/>
      <c r="CV1171" s="933"/>
      <c r="CW1171" s="933"/>
      <c r="CX1171" s="933"/>
      <c r="CY1171" s="962"/>
      <c r="CZ1171" s="1061"/>
      <c r="DA1171" s="961"/>
      <c r="DB1171" s="933"/>
      <c r="DC1171" s="933"/>
      <c r="DD1171" s="962"/>
      <c r="DE1171" s="1866"/>
      <c r="DF1171" s="981"/>
      <c r="DG1171" s="982"/>
      <c r="DH1171" s="982"/>
      <c r="DI1171" s="1875"/>
      <c r="DJ1171" s="1866"/>
      <c r="DK1171" s="981"/>
      <c r="DL1171" s="982"/>
      <c r="DM1171" s="982"/>
      <c r="DN1171" s="1875"/>
      <c r="DO1171" s="1866"/>
      <c r="DP1171" s="982"/>
      <c r="DQ1171" s="982"/>
      <c r="DR1171" s="982"/>
      <c r="DS1171" s="982"/>
      <c r="DT1171" s="1866"/>
      <c r="DU1171" s="982"/>
      <c r="DV1171" s="982"/>
      <c r="DW1171" s="982"/>
      <c r="DX1171" s="1875"/>
      <c r="DY1171" s="1866"/>
      <c r="DZ1171" s="982"/>
      <c r="EA1171" s="982"/>
      <c r="EB1171" s="982"/>
      <c r="EC1171" s="1875"/>
      <c r="ED1171" s="1866"/>
      <c r="EE1171" s="982"/>
      <c r="EF1171" s="982"/>
      <c r="EG1171" s="982"/>
      <c r="EH1171" s="982"/>
      <c r="EI1171" s="981"/>
      <c r="EJ1171" s="981"/>
      <c r="EK1171" s="1866"/>
      <c r="EL1171" s="1866"/>
      <c r="EM1171" s="1866"/>
      <c r="EN1171" s="1866"/>
      <c r="EO1171" s="981"/>
      <c r="EP1171" s="981"/>
      <c r="EQ1171" s="981"/>
      <c r="ER1171" s="981"/>
      <c r="ES1171" s="981"/>
      <c r="ET1171" s="981"/>
      <c r="EU1171" s="981"/>
      <c r="EV1171" s="981"/>
      <c r="EW1171" s="981"/>
      <c r="EX1171" s="1866"/>
    </row>
    <row r="1172" spans="2:154" ht="12.75" hidden="1" customHeight="1" outlineLevel="2">
      <c r="B1172" s="456" t="s">
        <v>506</v>
      </c>
      <c r="C1172" s="1577"/>
      <c r="D1172" s="933"/>
      <c r="E1172" s="933"/>
      <c r="F1172" s="933"/>
      <c r="G1172" s="933"/>
      <c r="H1172" s="933"/>
      <c r="I1172" s="933"/>
      <c r="J1172" s="933"/>
      <c r="K1172" s="933"/>
      <c r="L1172" s="933"/>
      <c r="M1172" s="933"/>
      <c r="N1172" s="933"/>
      <c r="O1172" s="933"/>
      <c r="P1172" s="933"/>
      <c r="Q1172" s="933"/>
      <c r="R1172" s="933"/>
      <c r="S1172" s="933"/>
      <c r="T1172" s="933"/>
      <c r="U1172" s="933"/>
      <c r="V1172" s="933"/>
      <c r="W1172" s="933"/>
      <c r="X1172" s="1061"/>
      <c r="Y1172" s="933"/>
      <c r="Z1172" s="933"/>
      <c r="AA1172" s="933"/>
      <c r="AB1172" s="933"/>
      <c r="AC1172" s="1061"/>
      <c r="AD1172" s="933"/>
      <c r="AE1172" s="933"/>
      <c r="AF1172" s="933"/>
      <c r="AG1172" s="933"/>
      <c r="AH1172" s="1061"/>
      <c r="AI1172" s="933"/>
      <c r="AJ1172" s="933"/>
      <c r="AK1172" s="933"/>
      <c r="AL1172" s="933"/>
      <c r="AM1172" s="1061"/>
      <c r="AN1172" s="933"/>
      <c r="AO1172" s="933"/>
      <c r="AP1172" s="933"/>
      <c r="AQ1172" s="933"/>
      <c r="AR1172" s="1061"/>
      <c r="AS1172" s="933"/>
      <c r="AT1172" s="933"/>
      <c r="AU1172" s="933"/>
      <c r="AV1172" s="933"/>
      <c r="AW1172" s="1061"/>
      <c r="AX1172" s="943"/>
      <c r="AY1172" s="943"/>
      <c r="AZ1172" s="943"/>
      <c r="BA1172" s="943"/>
      <c r="BB1172" s="1061"/>
      <c r="BC1172" s="933"/>
      <c r="BD1172" s="933"/>
      <c r="BE1172" s="933"/>
      <c r="BF1172" s="933"/>
      <c r="BG1172" s="1061"/>
      <c r="BH1172" s="933"/>
      <c r="BI1172" s="933"/>
      <c r="BJ1172" s="933"/>
      <c r="BK1172" s="933"/>
      <c r="BL1172" s="1061"/>
      <c r="BM1172" s="933"/>
      <c r="BN1172" s="933"/>
      <c r="BO1172" s="933"/>
      <c r="BP1172" s="933"/>
      <c r="BQ1172" s="1061"/>
      <c r="BR1172" s="933"/>
      <c r="BS1172" s="933"/>
      <c r="BT1172" s="933"/>
      <c r="BU1172" s="933"/>
      <c r="BV1172" s="1061"/>
      <c r="BW1172" s="933"/>
      <c r="BX1172" s="933"/>
      <c r="BY1172" s="933"/>
      <c r="BZ1172" s="933"/>
      <c r="CA1172" s="1061"/>
      <c r="CB1172" s="933"/>
      <c r="CC1172" s="933"/>
      <c r="CD1172" s="933"/>
      <c r="CE1172" s="933"/>
      <c r="CF1172" s="1061"/>
      <c r="CG1172" s="933"/>
      <c r="CH1172" s="933"/>
      <c r="CI1172" s="933"/>
      <c r="CJ1172" s="933"/>
      <c r="CK1172" s="1061"/>
      <c r="CL1172" s="961"/>
      <c r="CM1172" s="933"/>
      <c r="CN1172" s="933"/>
      <c r="CO1172" s="933"/>
      <c r="CP1172" s="1061"/>
      <c r="CQ1172" s="933"/>
      <c r="CR1172" s="933"/>
      <c r="CS1172" s="933"/>
      <c r="CT1172" s="962"/>
      <c r="CU1172" s="1061"/>
      <c r="CV1172" s="933"/>
      <c r="CW1172" s="933"/>
      <c r="CX1172" s="933"/>
      <c r="CY1172" s="962"/>
      <c r="CZ1172" s="1061"/>
      <c r="DA1172" s="961"/>
      <c r="DB1172" s="933"/>
      <c r="DC1172" s="933"/>
      <c r="DD1172" s="962"/>
      <c r="DE1172" s="1866"/>
      <c r="DF1172" s="981"/>
      <c r="DG1172" s="982"/>
      <c r="DH1172" s="982"/>
      <c r="DI1172" s="1875"/>
      <c r="DJ1172" s="1866"/>
      <c r="DK1172" s="981"/>
      <c r="DL1172" s="982"/>
      <c r="DM1172" s="982"/>
      <c r="DN1172" s="1875"/>
      <c r="DO1172" s="1866"/>
      <c r="DP1172" s="982"/>
      <c r="DQ1172" s="982"/>
      <c r="DR1172" s="982"/>
      <c r="DS1172" s="982"/>
      <c r="DT1172" s="1866"/>
      <c r="DU1172" s="982"/>
      <c r="DV1172" s="982"/>
      <c r="DW1172" s="982"/>
      <c r="DX1172" s="1875"/>
      <c r="DY1172" s="1866"/>
      <c r="DZ1172" s="982"/>
      <c r="EA1172" s="982"/>
      <c r="EB1172" s="982"/>
      <c r="EC1172" s="1875"/>
      <c r="ED1172" s="1866"/>
      <c r="EE1172" s="982"/>
      <c r="EF1172" s="982"/>
      <c r="EG1172" s="982"/>
      <c r="EH1172" s="982"/>
      <c r="EI1172" s="981"/>
      <c r="EJ1172" s="981"/>
      <c r="EK1172" s="1866"/>
      <c r="EL1172" s="1866"/>
      <c r="EM1172" s="1866"/>
      <c r="EN1172" s="1866"/>
      <c r="EO1172" s="981"/>
      <c r="EP1172" s="981"/>
      <c r="EQ1172" s="981"/>
      <c r="ER1172" s="981"/>
      <c r="ES1172" s="981"/>
      <c r="ET1172" s="981"/>
      <c r="EU1172" s="981"/>
      <c r="EV1172" s="981"/>
      <c r="EW1172" s="981"/>
      <c r="EX1172" s="1866"/>
    </row>
    <row r="1173" spans="2:154" ht="12.75" hidden="1" customHeight="1" outlineLevel="2">
      <c r="B1173" s="438" t="s">
        <v>187</v>
      </c>
      <c r="C1173" s="1577"/>
      <c r="D1173" s="933"/>
      <c r="E1173" s="933"/>
      <c r="F1173" s="933"/>
      <c r="G1173" s="933"/>
      <c r="H1173" s="933"/>
      <c r="I1173" s="933"/>
      <c r="J1173" s="933"/>
      <c r="K1173" s="933"/>
      <c r="L1173" s="933"/>
      <c r="M1173" s="933"/>
      <c r="N1173" s="933"/>
      <c r="O1173" s="933"/>
      <c r="P1173" s="933"/>
      <c r="Q1173" s="933"/>
      <c r="R1173" s="933"/>
      <c r="S1173" s="933"/>
      <c r="T1173" s="933"/>
      <c r="U1173" s="933"/>
      <c r="V1173" s="933"/>
      <c r="W1173" s="933"/>
      <c r="X1173" s="1061"/>
      <c r="Y1173" s="933"/>
      <c r="Z1173" s="933"/>
      <c r="AA1173" s="933"/>
      <c r="AB1173" s="933"/>
      <c r="AC1173" s="1061"/>
      <c r="AD1173" s="33">
        <v>8.3571428571428559</v>
      </c>
      <c r="AE1173" s="33">
        <v>11.142857142857142</v>
      </c>
      <c r="AF1173" s="33">
        <v>10.028571428571428</v>
      </c>
      <c r="AG1173" s="33">
        <v>9.4714285714285715</v>
      </c>
      <c r="AH1173" s="1061">
        <f>SUM(AD1173:AG1173)</f>
      </c>
      <c r="AI1173" s="33">
        <v>9.2142857142857135</v>
      </c>
      <c r="AJ1173" s="33">
        <v>12.285714285714285</v>
      </c>
      <c r="AK1173" s="33">
        <v>11.057142857142857</v>
      </c>
      <c r="AL1173" s="33">
        <v>10.442857142857143</v>
      </c>
      <c r="AM1173" s="1061">
        <f>SUM(AI1173:AL1173)</f>
      </c>
      <c r="AN1173" s="33">
        <v>9.6428571428571423</v>
      </c>
      <c r="AO1173" s="33">
        <v>12.857142857142856</v>
      </c>
      <c r="AP1173" s="33">
        <v>11.571428571428569</v>
      </c>
      <c r="AQ1173" s="33">
        <v>10.928571428571429</v>
      </c>
      <c r="AR1173" s="1061">
        <f>SUM(AN1173:AQ1173)</f>
      </c>
      <c r="AS1173" s="33">
        <v>14.142857142857142</v>
      </c>
      <c r="AT1173" s="33">
        <v>18.857142857142858</v>
      </c>
      <c r="AU1173" s="33">
        <v>16.971428571428568</v>
      </c>
      <c r="AV1173" s="33">
        <v>16.028571428571428</v>
      </c>
      <c r="AW1173" s="1061">
        <f>SUM(AS1173:AV1173)</f>
      </c>
      <c r="AX1173" s="33">
        <v>15</v>
      </c>
      <c r="AY1173" s="33">
        <v>20</v>
      </c>
      <c r="AZ1173" s="33">
        <v>18</v>
      </c>
      <c r="BA1173" s="33">
        <v>17</v>
      </c>
      <c r="BB1173" s="1061">
        <f>SUM(AX1173:BA1173)</f>
      </c>
      <c r="BC1173" s="933"/>
      <c r="BD1173" s="933"/>
      <c r="BE1173" s="933"/>
      <c r="BF1173" s="933"/>
      <c r="BG1173" s="313"/>
      <c r="BH1173" s="933"/>
      <c r="BI1173" s="933"/>
      <c r="BJ1173" s="933"/>
      <c r="BK1173" s="933"/>
      <c r="BL1173" s="313"/>
      <c r="BM1173" s="933"/>
      <c r="BN1173" s="933"/>
      <c r="BO1173" s="933"/>
      <c r="BP1173" s="933"/>
      <c r="BQ1173" s="313"/>
      <c r="BR1173" s="933"/>
      <c r="BS1173" s="933"/>
      <c r="BT1173" s="933"/>
      <c r="BU1173" s="933"/>
      <c r="BV1173" s="313"/>
      <c r="BW1173" s="933"/>
      <c r="BX1173" s="933"/>
      <c r="BY1173" s="933"/>
      <c r="BZ1173" s="933"/>
      <c r="CA1173" s="313"/>
      <c r="CB1173" s="933"/>
      <c r="CC1173" s="933"/>
      <c r="CD1173" s="933"/>
      <c r="CE1173" s="933"/>
      <c r="CF1173" s="313"/>
      <c r="CG1173" s="933"/>
      <c r="CH1173" s="933"/>
      <c r="CI1173" s="933"/>
      <c r="CJ1173" s="933"/>
      <c r="CK1173" s="313"/>
      <c r="CL1173" s="961"/>
      <c r="CM1173" s="933"/>
      <c r="CN1173" s="933"/>
      <c r="CO1173" s="933"/>
      <c r="CP1173" s="1061"/>
      <c r="CQ1173" s="933"/>
      <c r="CR1173" s="933"/>
      <c r="CS1173" s="933"/>
      <c r="CT1173" s="962"/>
      <c r="CU1173" s="1061"/>
      <c r="CV1173" s="933"/>
      <c r="CW1173" s="933"/>
      <c r="CX1173" s="933"/>
      <c r="CY1173" s="962"/>
      <c r="CZ1173" s="313"/>
      <c r="DA1173" s="957"/>
      <c r="DB1173" s="31"/>
      <c r="DC1173" s="31"/>
      <c r="DD1173" s="955"/>
      <c r="DE1173" s="477"/>
      <c r="DF1173" s="1799"/>
      <c r="DG1173" s="603"/>
      <c r="DH1173" s="603"/>
      <c r="DI1173" s="1798"/>
      <c r="DJ1173" s="477"/>
      <c r="DK1173" s="1799"/>
      <c r="DL1173" s="603"/>
      <c r="DM1173" s="603"/>
      <c r="DN1173" s="1798"/>
      <c r="DO1173" s="477"/>
      <c r="DP1173" s="603"/>
      <c r="DQ1173" s="603"/>
      <c r="DR1173" s="603"/>
      <c r="DS1173" s="603"/>
      <c r="DT1173" s="477"/>
      <c r="DU1173" s="603"/>
      <c r="DV1173" s="603"/>
      <c r="DW1173" s="603"/>
      <c r="DX1173" s="1798"/>
      <c r="DY1173" s="477"/>
      <c r="DZ1173" s="603"/>
      <c r="EA1173" s="603"/>
      <c r="EB1173" s="603"/>
      <c r="EC1173" s="1798"/>
      <c r="ED1173" s="477"/>
      <c r="EE1173" s="603"/>
      <c r="EF1173" s="603"/>
      <c r="EG1173" s="603"/>
      <c r="EH1173" s="603"/>
      <c r="EI1173" s="1799"/>
      <c r="EJ1173" s="1799"/>
      <c r="EK1173" s="477"/>
      <c r="EL1173" s="477"/>
      <c r="EM1173" s="477"/>
      <c r="EN1173" s="477"/>
      <c r="EO1173" s="1799"/>
      <c r="EP1173" s="1799"/>
      <c r="EQ1173" s="1799"/>
      <c r="ER1173" s="1799"/>
      <c r="ES1173" s="1799"/>
      <c r="ET1173" s="1799"/>
      <c r="EU1173" s="1799"/>
      <c r="EV1173" s="1799"/>
      <c r="EW1173" s="1799"/>
      <c r="EX1173" s="477"/>
    </row>
    <row r="1174" spans="2:154" ht="12.75" hidden="1" customHeight="1" outlineLevel="2">
      <c r="B1174" s="438" t="s">
        <v>412</v>
      </c>
      <c r="C1174" s="1577"/>
      <c r="D1174" s="933"/>
      <c r="E1174" s="933"/>
      <c r="F1174" s="933"/>
      <c r="G1174" s="933"/>
      <c r="H1174" s="933"/>
      <c r="I1174" s="933"/>
      <c r="J1174" s="933"/>
      <c r="K1174" s="933"/>
      <c r="L1174" s="933"/>
      <c r="M1174" s="933"/>
      <c r="N1174" s="933"/>
      <c r="O1174" s="933"/>
      <c r="P1174" s="933"/>
      <c r="Q1174" s="933"/>
      <c r="R1174" s="933"/>
      <c r="S1174" s="933"/>
      <c r="T1174" s="933"/>
      <c r="U1174" s="933"/>
      <c r="V1174" s="933"/>
      <c r="W1174" s="933"/>
      <c r="X1174" s="1061"/>
      <c r="Y1174" s="933"/>
      <c r="Z1174" s="933"/>
      <c r="AA1174" s="933"/>
      <c r="AB1174" s="933"/>
      <c r="AC1174" s="1061"/>
      <c r="AD1174" s="33">
        <v>9.6233766233766236</v>
      </c>
      <c r="AE1174" s="33">
        <v>9.6233766233766236</v>
      </c>
      <c r="AF1174" s="33">
        <v>9.1168831168831161</v>
      </c>
      <c r="AG1174" s="33">
        <v>10.636363636363635</v>
      </c>
      <c r="AH1174" s="1061">
        <f>SUM(AD1174:AG1174)</f>
      </c>
      <c r="AI1174" s="33">
        <v>10.857142857142858</v>
      </c>
      <c r="AJ1174" s="33">
        <v>10.857142857142858</v>
      </c>
      <c r="AK1174" s="33">
        <v>10.285714285714285</v>
      </c>
      <c r="AL1174" s="33">
        <v>12</v>
      </c>
      <c r="AM1174" s="1061">
        <f>SUM(AI1174:AL1174)</f>
      </c>
      <c r="AN1174" s="33">
        <v>12.337662337662337</v>
      </c>
      <c r="AO1174" s="33">
        <v>12.337662337662337</v>
      </c>
      <c r="AP1174" s="33">
        <v>11.688311688311687</v>
      </c>
      <c r="AQ1174" s="33">
        <v>13.636363636363635</v>
      </c>
      <c r="AR1174" s="1061">
        <f>SUM(AN1174:AQ1174)</f>
      </c>
      <c r="AS1174" s="33">
        <v>13.571428571428571</v>
      </c>
      <c r="AT1174" s="33">
        <v>13.571428571428571</v>
      </c>
      <c r="AU1174" s="33">
        <v>12.857142857142858</v>
      </c>
      <c r="AV1174" s="33">
        <v>15</v>
      </c>
      <c r="AW1174" s="1061">
        <f>SUM(AS1174:AV1174)</f>
      </c>
      <c r="AX1174" s="33">
        <v>19</v>
      </c>
      <c r="AY1174" s="33">
        <v>19</v>
      </c>
      <c r="AZ1174" s="33">
        <v>18</v>
      </c>
      <c r="BA1174" s="33">
        <v>21</v>
      </c>
      <c r="BB1174" s="1061">
        <f>SUM(AX1174:BA1174)</f>
      </c>
      <c r="BC1174" s="933"/>
      <c r="BD1174" s="933"/>
      <c r="BE1174" s="933"/>
      <c r="BF1174" s="933"/>
      <c r="BG1174" s="313"/>
      <c r="BH1174" s="933"/>
      <c r="BI1174" s="933"/>
      <c r="BJ1174" s="933"/>
      <c r="BK1174" s="933"/>
      <c r="BL1174" s="313"/>
      <c r="BM1174" s="933"/>
      <c r="BN1174" s="933"/>
      <c r="BO1174" s="933"/>
      <c r="BP1174" s="933"/>
      <c r="BQ1174" s="313"/>
      <c r="BR1174" s="933"/>
      <c r="BS1174" s="933"/>
      <c r="BT1174" s="933"/>
      <c r="BU1174" s="933"/>
      <c r="BV1174" s="313"/>
      <c r="BW1174" s="933"/>
      <c r="BX1174" s="933"/>
      <c r="BY1174" s="933"/>
      <c r="BZ1174" s="933"/>
      <c r="CA1174" s="313"/>
      <c r="CB1174" s="933"/>
      <c r="CC1174" s="933"/>
      <c r="CD1174" s="933"/>
      <c r="CE1174" s="933"/>
      <c r="CF1174" s="313"/>
      <c r="CG1174" s="933"/>
      <c r="CH1174" s="933"/>
      <c r="CI1174" s="933"/>
      <c r="CJ1174" s="933"/>
      <c r="CK1174" s="313"/>
      <c r="CL1174" s="961"/>
      <c r="CM1174" s="933"/>
      <c r="CN1174" s="933"/>
      <c r="CO1174" s="933"/>
      <c r="CP1174" s="1061"/>
      <c r="CQ1174" s="933"/>
      <c r="CR1174" s="933"/>
      <c r="CS1174" s="933"/>
      <c r="CT1174" s="962"/>
      <c r="CU1174" s="1061"/>
      <c r="CV1174" s="933"/>
      <c r="CW1174" s="933"/>
      <c r="CX1174" s="933"/>
      <c r="CY1174" s="962"/>
      <c r="CZ1174" s="313"/>
      <c r="DA1174" s="957"/>
      <c r="DB1174" s="31"/>
      <c r="DC1174" s="31"/>
      <c r="DD1174" s="955"/>
      <c r="DE1174" s="477"/>
      <c r="DF1174" s="1799"/>
      <c r="DG1174" s="603"/>
      <c r="DH1174" s="603"/>
      <c r="DI1174" s="1798"/>
      <c r="DJ1174" s="477"/>
      <c r="DK1174" s="1799"/>
      <c r="DL1174" s="603"/>
      <c r="DM1174" s="603"/>
      <c r="DN1174" s="1798"/>
      <c r="DO1174" s="477"/>
      <c r="DP1174" s="603"/>
      <c r="DQ1174" s="603"/>
      <c r="DR1174" s="603"/>
      <c r="DS1174" s="603"/>
      <c r="DT1174" s="477"/>
      <c r="DU1174" s="603"/>
      <c r="DV1174" s="603"/>
      <c r="DW1174" s="603"/>
      <c r="DX1174" s="1798"/>
      <c r="DY1174" s="477"/>
      <c r="DZ1174" s="603"/>
      <c r="EA1174" s="603"/>
      <c r="EB1174" s="603"/>
      <c r="EC1174" s="1798"/>
      <c r="ED1174" s="477"/>
      <c r="EE1174" s="603"/>
      <c r="EF1174" s="603"/>
      <c r="EG1174" s="603"/>
      <c r="EH1174" s="603"/>
      <c r="EI1174" s="1799"/>
      <c r="EJ1174" s="1799"/>
      <c r="EK1174" s="477"/>
      <c r="EL1174" s="477"/>
      <c r="EM1174" s="477"/>
      <c r="EN1174" s="477"/>
      <c r="EO1174" s="1799"/>
      <c r="EP1174" s="1799"/>
      <c r="EQ1174" s="1799"/>
      <c r="ER1174" s="1799"/>
      <c r="ES1174" s="1799"/>
      <c r="ET1174" s="1799"/>
      <c r="EU1174" s="1799"/>
      <c r="EV1174" s="1799"/>
      <c r="EW1174" s="1799"/>
      <c r="EX1174" s="477"/>
    </row>
    <row r="1175" spans="2:154" ht="12.75" hidden="1" customHeight="1" outlineLevel="2">
      <c r="B1175" s="438" t="s">
        <v>413</v>
      </c>
      <c r="C1175" s="1577"/>
      <c r="D1175" s="933"/>
      <c r="E1175" s="933"/>
      <c r="F1175" s="933"/>
      <c r="G1175" s="933"/>
      <c r="H1175" s="933"/>
      <c r="I1175" s="933"/>
      <c r="J1175" s="933"/>
      <c r="K1175" s="933"/>
      <c r="L1175" s="933"/>
      <c r="M1175" s="933"/>
      <c r="N1175" s="933"/>
      <c r="O1175" s="933"/>
      <c r="P1175" s="933"/>
      <c r="Q1175" s="933"/>
      <c r="R1175" s="933"/>
      <c r="S1175" s="933"/>
      <c r="T1175" s="933"/>
      <c r="U1175" s="933"/>
      <c r="V1175" s="933"/>
      <c r="W1175" s="933"/>
      <c r="X1175" s="1061"/>
      <c r="Y1175" s="933"/>
      <c r="Z1175" s="933"/>
      <c r="AA1175" s="933"/>
      <c r="AB1175" s="933"/>
      <c r="AC1175" s="1061"/>
      <c r="AD1175" s="933">
        <f t="shared" ref="AD1175:AW1175" si="2414">+AD1174+AD1173</f>
      </c>
      <c r="AE1175" s="933">
        <f t="shared" si="2414"/>
      </c>
      <c r="AF1175" s="933">
        <f t="shared" si="2414"/>
      </c>
      <c r="AG1175" s="933">
        <f t="shared" si="2414"/>
      </c>
      <c r="AH1175" s="1061">
        <f t="shared" si="2414"/>
      </c>
      <c r="AI1175" s="933">
        <f t="shared" si="2414"/>
      </c>
      <c r="AJ1175" s="933">
        <f t="shared" si="2414"/>
      </c>
      <c r="AK1175" s="933">
        <f t="shared" si="2414"/>
      </c>
      <c r="AL1175" s="933">
        <f t="shared" si="2414"/>
      </c>
      <c r="AM1175" s="1061">
        <f t="shared" si="2414"/>
      </c>
      <c r="AN1175" s="933">
        <f t="shared" si="2414"/>
      </c>
      <c r="AO1175" s="933">
        <f t="shared" si="2414"/>
      </c>
      <c r="AP1175" s="933">
        <f t="shared" si="2414"/>
      </c>
      <c r="AQ1175" s="933">
        <f t="shared" si="2414"/>
      </c>
      <c r="AR1175" s="1061">
        <f t="shared" si="2414"/>
      </c>
      <c r="AS1175" s="933">
        <f t="shared" si="2414"/>
      </c>
      <c r="AT1175" s="933">
        <f t="shared" si="2414"/>
      </c>
      <c r="AU1175" s="933">
        <f t="shared" si="2414"/>
      </c>
      <c r="AV1175" s="933">
        <f t="shared" si="2414"/>
      </c>
      <c r="AW1175" s="1061">
        <f t="shared" si="2414"/>
      </c>
      <c r="AX1175" s="933">
        <f>+AX1174+AX1173</f>
      </c>
      <c r="AY1175" s="933">
        <f>+AY1174+AY1173</f>
      </c>
      <c r="AZ1175" s="933">
        <f>+AZ1174+AZ1173</f>
      </c>
      <c r="BA1175" s="933">
        <f>+BA1174+BA1173</f>
      </c>
      <c r="BB1175" s="1061">
        <f>SUM(AX1175:BA1175)</f>
      </c>
      <c r="BC1175" s="933"/>
      <c r="BD1175" s="933"/>
      <c r="BE1175" s="933"/>
      <c r="BF1175" s="933"/>
      <c r="BG1175" s="313"/>
      <c r="BH1175" s="933"/>
      <c r="BI1175" s="933"/>
      <c r="BJ1175" s="933"/>
      <c r="BK1175" s="933"/>
      <c r="BL1175" s="313"/>
      <c r="BM1175" s="933"/>
      <c r="BN1175" s="933"/>
      <c r="BO1175" s="933"/>
      <c r="BP1175" s="933"/>
      <c r="BQ1175" s="313"/>
      <c r="BR1175" s="933"/>
      <c r="BS1175" s="933"/>
      <c r="BT1175" s="933"/>
      <c r="BU1175" s="933"/>
      <c r="BV1175" s="313"/>
      <c r="BW1175" s="933"/>
      <c r="BX1175" s="933"/>
      <c r="BY1175" s="933"/>
      <c r="BZ1175" s="933"/>
      <c r="CA1175" s="313"/>
      <c r="CB1175" s="933"/>
      <c r="CC1175" s="933"/>
      <c r="CD1175" s="933"/>
      <c r="CE1175" s="933"/>
      <c r="CF1175" s="313"/>
      <c r="CG1175" s="933"/>
      <c r="CH1175" s="933"/>
      <c r="CI1175" s="933"/>
      <c r="CJ1175" s="933"/>
      <c r="CK1175" s="313"/>
      <c r="CL1175" s="961"/>
      <c r="CM1175" s="933"/>
      <c r="CN1175" s="933"/>
      <c r="CO1175" s="933"/>
      <c r="CP1175" s="1061"/>
      <c r="CQ1175" s="933"/>
      <c r="CR1175" s="933"/>
      <c r="CS1175" s="933"/>
      <c r="CT1175" s="962"/>
      <c r="CU1175" s="1061"/>
      <c r="CV1175" s="933"/>
      <c r="CW1175" s="933"/>
      <c r="CX1175" s="933"/>
      <c r="CY1175" s="962"/>
      <c r="CZ1175" s="313"/>
      <c r="DA1175" s="957"/>
      <c r="DB1175" s="31"/>
      <c r="DC1175" s="31"/>
      <c r="DD1175" s="955"/>
      <c r="DE1175" s="477"/>
      <c r="DF1175" s="1799"/>
      <c r="DG1175" s="603"/>
      <c r="DH1175" s="603"/>
      <c r="DI1175" s="1798"/>
      <c r="DJ1175" s="477"/>
      <c r="DK1175" s="1799"/>
      <c r="DL1175" s="603"/>
      <c r="DM1175" s="603"/>
      <c r="DN1175" s="1798"/>
      <c r="DO1175" s="477"/>
      <c r="DP1175" s="603"/>
      <c r="DQ1175" s="603"/>
      <c r="DR1175" s="603"/>
      <c r="DS1175" s="603"/>
      <c r="DT1175" s="477"/>
      <c r="DU1175" s="603"/>
      <c r="DV1175" s="603"/>
      <c r="DW1175" s="603"/>
      <c r="DX1175" s="1798"/>
      <c r="DY1175" s="477"/>
      <c r="DZ1175" s="603"/>
      <c r="EA1175" s="603"/>
      <c r="EB1175" s="603"/>
      <c r="EC1175" s="1798"/>
      <c r="ED1175" s="477"/>
      <c r="EE1175" s="603"/>
      <c r="EF1175" s="603"/>
      <c r="EG1175" s="603"/>
      <c r="EH1175" s="603"/>
      <c r="EI1175" s="1799"/>
      <c r="EJ1175" s="1799"/>
      <c r="EK1175" s="477"/>
      <c r="EL1175" s="477"/>
      <c r="EM1175" s="477"/>
      <c r="EN1175" s="477"/>
      <c r="EO1175" s="1799"/>
      <c r="EP1175" s="1799"/>
      <c r="EQ1175" s="1799"/>
      <c r="ER1175" s="1799"/>
      <c r="ES1175" s="1799"/>
      <c r="ET1175" s="1799"/>
      <c r="EU1175" s="1799"/>
      <c r="EV1175" s="1799"/>
      <c r="EW1175" s="1799"/>
      <c r="EX1175" s="477"/>
    </row>
    <row r="1176" spans="2:154" ht="12.75" hidden="1" customHeight="1" outlineLevel="2">
      <c r="B1176" s="437"/>
      <c r="C1176" s="1577"/>
      <c r="D1176" s="933"/>
      <c r="E1176" s="933"/>
      <c r="F1176" s="933"/>
      <c r="G1176" s="933"/>
      <c r="H1176" s="933"/>
      <c r="I1176" s="933"/>
      <c r="J1176" s="933"/>
      <c r="K1176" s="933"/>
      <c r="L1176" s="933"/>
      <c r="M1176" s="933"/>
      <c r="N1176" s="933"/>
      <c r="O1176" s="933"/>
      <c r="P1176" s="933"/>
      <c r="Q1176" s="933"/>
      <c r="R1176" s="933"/>
      <c r="S1176" s="933"/>
      <c r="T1176" s="933"/>
      <c r="U1176" s="933"/>
      <c r="V1176" s="933"/>
      <c r="W1176" s="933"/>
      <c r="X1176" s="1061"/>
      <c r="Y1176" s="933"/>
      <c r="Z1176" s="933"/>
      <c r="AA1176" s="933"/>
      <c r="AB1176" s="933"/>
      <c r="AC1176" s="1061"/>
      <c r="AD1176" s="933"/>
      <c r="AE1176" s="933"/>
      <c r="AF1176" s="933"/>
      <c r="AG1176" s="933"/>
      <c r="AH1176" s="1061"/>
      <c r="AI1176" s="933"/>
      <c r="AJ1176" s="933"/>
      <c r="AK1176" s="933"/>
      <c r="AL1176" s="933"/>
      <c r="AM1176" s="1061"/>
      <c r="AN1176" s="933"/>
      <c r="AO1176" s="933"/>
      <c r="AP1176" s="933"/>
      <c r="AQ1176" s="933"/>
      <c r="AR1176" s="1061"/>
      <c r="AS1176" s="933"/>
      <c r="AT1176" s="933"/>
      <c r="AU1176" s="933"/>
      <c r="AV1176" s="933"/>
      <c r="AW1176" s="1061"/>
      <c r="AX1176" s="933"/>
      <c r="AY1176" s="933"/>
      <c r="AZ1176" s="933"/>
      <c r="BA1176" s="933"/>
      <c r="BB1176" s="1061"/>
      <c r="BC1176" s="933"/>
      <c r="BD1176" s="933"/>
      <c r="BE1176" s="933"/>
      <c r="BF1176" s="933"/>
      <c r="BG1176" s="313"/>
      <c r="BH1176" s="933"/>
      <c r="BI1176" s="933"/>
      <c r="BJ1176" s="933"/>
      <c r="BK1176" s="933"/>
      <c r="BL1176" s="313"/>
      <c r="BM1176" s="933"/>
      <c r="BN1176" s="933"/>
      <c r="BO1176" s="933"/>
      <c r="BP1176" s="933"/>
      <c r="BQ1176" s="313"/>
      <c r="BR1176" s="933"/>
      <c r="BS1176" s="933"/>
      <c r="BT1176" s="933"/>
      <c r="BU1176" s="933"/>
      <c r="BV1176" s="313"/>
      <c r="BW1176" s="933"/>
      <c r="BX1176" s="933"/>
      <c r="BY1176" s="933"/>
      <c r="BZ1176" s="933"/>
      <c r="CA1176" s="313"/>
      <c r="CB1176" s="933"/>
      <c r="CC1176" s="933"/>
      <c r="CD1176" s="933"/>
      <c r="CE1176" s="933"/>
      <c r="CF1176" s="313"/>
      <c r="CG1176" s="933"/>
      <c r="CH1176" s="933"/>
      <c r="CI1176" s="933"/>
      <c r="CJ1176" s="933"/>
      <c r="CK1176" s="313"/>
      <c r="CL1176" s="961"/>
      <c r="CM1176" s="933"/>
      <c r="CN1176" s="933"/>
      <c r="CO1176" s="933"/>
      <c r="CP1176" s="1061"/>
      <c r="CQ1176" s="933"/>
      <c r="CR1176" s="933"/>
      <c r="CS1176" s="933"/>
      <c r="CT1176" s="962"/>
      <c r="CU1176" s="1061"/>
      <c r="CV1176" s="933"/>
      <c r="CW1176" s="933"/>
      <c r="CX1176" s="933"/>
      <c r="CY1176" s="962"/>
      <c r="CZ1176" s="313"/>
      <c r="DA1176" s="957"/>
      <c r="DB1176" s="31"/>
      <c r="DC1176" s="31"/>
      <c r="DD1176" s="955"/>
      <c r="DE1176" s="477"/>
      <c r="DF1176" s="1799"/>
      <c r="DG1176" s="603"/>
      <c r="DH1176" s="603"/>
      <c r="DI1176" s="1798"/>
      <c r="DJ1176" s="477"/>
      <c r="DK1176" s="1799"/>
      <c r="DL1176" s="603"/>
      <c r="DM1176" s="603"/>
      <c r="DN1176" s="1798"/>
      <c r="DO1176" s="477"/>
      <c r="DP1176" s="603"/>
      <c r="DQ1176" s="603"/>
      <c r="DR1176" s="603"/>
      <c r="DS1176" s="603"/>
      <c r="DT1176" s="477"/>
      <c r="DU1176" s="603"/>
      <c r="DV1176" s="603"/>
      <c r="DW1176" s="603"/>
      <c r="DX1176" s="1798"/>
      <c r="DY1176" s="477"/>
      <c r="DZ1176" s="603"/>
      <c r="EA1176" s="603"/>
      <c r="EB1176" s="603"/>
      <c r="EC1176" s="1798"/>
      <c r="ED1176" s="477"/>
      <c r="EE1176" s="603"/>
      <c r="EF1176" s="603"/>
      <c r="EG1176" s="603"/>
      <c r="EH1176" s="603"/>
      <c r="EI1176" s="1799"/>
      <c r="EJ1176" s="1799"/>
      <c r="EK1176" s="477"/>
      <c r="EL1176" s="477"/>
      <c r="EM1176" s="477"/>
      <c r="EN1176" s="477"/>
      <c r="EO1176" s="1799"/>
      <c r="EP1176" s="1799"/>
      <c r="EQ1176" s="1799"/>
      <c r="ER1176" s="1799"/>
      <c r="ES1176" s="1799"/>
      <c r="ET1176" s="1799"/>
      <c r="EU1176" s="1799"/>
      <c r="EV1176" s="1799"/>
      <c r="EW1176" s="1799"/>
      <c r="EX1176" s="477"/>
    </row>
    <row r="1177" spans="2:154" ht="12.75" hidden="1" customHeight="1" outlineLevel="2">
      <c r="B1177" s="455" t="s">
        <v>136</v>
      </c>
      <c r="C1177" s="1577"/>
      <c r="D1177" s="933"/>
      <c r="E1177" s="933"/>
      <c r="F1177" s="933"/>
      <c r="G1177" s="933"/>
      <c r="H1177" s="933"/>
      <c r="I1177" s="933"/>
      <c r="J1177" s="933"/>
      <c r="K1177" s="933"/>
      <c r="L1177" s="933"/>
      <c r="M1177" s="933"/>
      <c r="N1177" s="933"/>
      <c r="O1177" s="933"/>
      <c r="P1177" s="933"/>
      <c r="Q1177" s="933"/>
      <c r="R1177" s="933"/>
      <c r="S1177" s="933"/>
      <c r="T1177" s="933"/>
      <c r="U1177" s="933"/>
      <c r="V1177" s="933"/>
      <c r="W1177" s="933"/>
      <c r="X1177" s="1061"/>
      <c r="Y1177" s="933"/>
      <c r="Z1177" s="933"/>
      <c r="AA1177" s="933"/>
      <c r="AB1177" s="933"/>
      <c r="AC1177" s="1061"/>
      <c r="AD1177" s="933"/>
      <c r="AE1177" s="933"/>
      <c r="AF1177" s="933"/>
      <c r="AG1177" s="933"/>
      <c r="AH1177" s="1061"/>
      <c r="AI1177" s="933"/>
      <c r="AJ1177" s="933"/>
      <c r="AK1177" s="933"/>
      <c r="AL1177" s="933"/>
      <c r="AM1177" s="1061"/>
      <c r="AN1177" s="933"/>
      <c r="AO1177" s="933"/>
      <c r="AP1177" s="933"/>
      <c r="AQ1177" s="933"/>
      <c r="AR1177" s="1061"/>
      <c r="AS1177" s="933"/>
      <c r="AT1177" s="933"/>
      <c r="AU1177" s="933"/>
      <c r="AV1177" s="933"/>
      <c r="AW1177" s="1061"/>
      <c r="AX1177" s="933"/>
      <c r="AY1177" s="933"/>
      <c r="AZ1177" s="933"/>
      <c r="BA1177" s="933"/>
      <c r="BB1177" s="1061"/>
      <c r="BC1177" s="933"/>
      <c r="BD1177" s="933"/>
      <c r="BE1177" s="933"/>
      <c r="BF1177" s="933"/>
      <c r="BG1177" s="313"/>
      <c r="BH1177" s="933"/>
      <c r="BI1177" s="933"/>
      <c r="BJ1177" s="933"/>
      <c r="BK1177" s="933"/>
      <c r="BL1177" s="313"/>
      <c r="BM1177" s="933"/>
      <c r="BN1177" s="933"/>
      <c r="BO1177" s="933"/>
      <c r="BP1177" s="933"/>
      <c r="BQ1177" s="313"/>
      <c r="BR1177" s="933"/>
      <c r="BS1177" s="933"/>
      <c r="BT1177" s="933"/>
      <c r="BU1177" s="933"/>
      <c r="BV1177" s="313"/>
      <c r="BW1177" s="933"/>
      <c r="BX1177" s="933"/>
      <c r="BY1177" s="933"/>
      <c r="BZ1177" s="933"/>
      <c r="CA1177" s="313"/>
      <c r="CB1177" s="933"/>
      <c r="CC1177" s="933"/>
      <c r="CD1177" s="933"/>
      <c r="CE1177" s="933"/>
      <c r="CF1177" s="313"/>
      <c r="CG1177" s="933"/>
      <c r="CH1177" s="933"/>
      <c r="CI1177" s="933"/>
      <c r="CJ1177" s="933"/>
      <c r="CK1177" s="313"/>
      <c r="CL1177" s="961"/>
      <c r="CM1177" s="933"/>
      <c r="CN1177" s="933"/>
      <c r="CO1177" s="933"/>
      <c r="CP1177" s="1061"/>
      <c r="CQ1177" s="933"/>
      <c r="CR1177" s="933"/>
      <c r="CS1177" s="933"/>
      <c r="CT1177" s="962"/>
      <c r="CU1177" s="1061"/>
      <c r="CV1177" s="933"/>
      <c r="CW1177" s="933"/>
      <c r="CX1177" s="933"/>
      <c r="CY1177" s="962"/>
      <c r="CZ1177" s="313"/>
      <c r="DA1177" s="957"/>
      <c r="DB1177" s="31"/>
      <c r="DC1177" s="31"/>
      <c r="DD1177" s="955"/>
      <c r="DE1177" s="477"/>
      <c r="DF1177" s="1799"/>
      <c r="DG1177" s="603"/>
      <c r="DH1177" s="603"/>
      <c r="DI1177" s="1798"/>
      <c r="DJ1177" s="477"/>
      <c r="DK1177" s="1799"/>
      <c r="DL1177" s="603"/>
      <c r="DM1177" s="603"/>
      <c r="DN1177" s="1798"/>
      <c r="DO1177" s="477"/>
      <c r="DP1177" s="603"/>
      <c r="DQ1177" s="603"/>
      <c r="DR1177" s="603"/>
      <c r="DS1177" s="603"/>
      <c r="DT1177" s="477"/>
      <c r="DU1177" s="603"/>
      <c r="DV1177" s="603"/>
      <c r="DW1177" s="603"/>
      <c r="DX1177" s="1798"/>
      <c r="DY1177" s="477"/>
      <c r="DZ1177" s="603"/>
      <c r="EA1177" s="603"/>
      <c r="EB1177" s="603"/>
      <c r="EC1177" s="1798"/>
      <c r="ED1177" s="477"/>
      <c r="EE1177" s="603"/>
      <c r="EF1177" s="603"/>
      <c r="EG1177" s="603"/>
      <c r="EH1177" s="603"/>
      <c r="EI1177" s="1799"/>
      <c r="EJ1177" s="1799"/>
      <c r="EK1177" s="477"/>
      <c r="EL1177" s="477"/>
      <c r="EM1177" s="477"/>
      <c r="EN1177" s="477"/>
      <c r="EO1177" s="1799"/>
      <c r="EP1177" s="1799"/>
      <c r="EQ1177" s="1799"/>
      <c r="ER1177" s="1799"/>
      <c r="ES1177" s="1799"/>
      <c r="ET1177" s="1799"/>
      <c r="EU1177" s="1799"/>
      <c r="EV1177" s="1799"/>
      <c r="EW1177" s="1799"/>
      <c r="EX1177" s="477"/>
    </row>
    <row r="1178" spans="2:154" ht="12.75" hidden="1" customHeight="1" outlineLevel="2">
      <c r="B1178" s="440" t="s">
        <v>156</v>
      </c>
      <c r="C1178" s="1577"/>
      <c r="D1178" s="933"/>
      <c r="E1178" s="933"/>
      <c r="F1178" s="933"/>
      <c r="G1178" s="933"/>
      <c r="H1178" s="933"/>
      <c r="I1178" s="933"/>
      <c r="J1178" s="933"/>
      <c r="K1178" s="933"/>
      <c r="L1178" s="933"/>
      <c r="M1178" s="933"/>
      <c r="N1178" s="933"/>
      <c r="O1178" s="933"/>
      <c r="P1178" s="933"/>
      <c r="Q1178" s="933"/>
      <c r="R1178" s="933"/>
      <c r="S1178" s="933"/>
      <c r="T1178" s="933"/>
      <c r="U1178" s="933"/>
      <c r="V1178" s="933"/>
      <c r="W1178" s="933"/>
      <c r="X1178" s="1060"/>
      <c r="Y1178" s="933"/>
      <c r="Z1178" s="933"/>
      <c r="AA1178" s="933"/>
      <c r="AB1178" s="933"/>
      <c r="AC1178" s="1060"/>
      <c r="AD1178" s="926" t="str">
        <f t="shared" ref="AD1178:BB1179" si="2415">IF(Y1173="NM","NM",IF(AD1173="NM","NM",IF(Y1173&lt;=0,"NM",IF(AD1173=0,"NM",IF(ABS(AD1173/Y1173-1)&gt;2.5,"NM",IF((ABS(AD1173-Y1173)=ABS(ABS(AD1173)-ABS(Y1173))),(AD1173/Y1173-1),"NM"))))))</f>
      </c>
      <c r="AE1178" s="926" t="str">
        <f t="shared" si="2415"/>
      </c>
      <c r="AF1178" s="926" t="str">
        <f t="shared" si="2415"/>
      </c>
      <c r="AG1178" s="926" t="str">
        <f t="shared" si="2415"/>
      </c>
      <c r="AH1178" s="1060" t="str">
        <f t="shared" si="2415"/>
      </c>
      <c r="AI1178" s="926">
        <f t="shared" si="2415"/>
      </c>
      <c r="AJ1178" s="926">
        <f t="shared" si="2415"/>
      </c>
      <c r="AK1178" s="926">
        <f t="shared" si="2415"/>
      </c>
      <c r="AL1178" s="926">
        <f t="shared" si="2415"/>
      </c>
      <c r="AM1178" s="1060">
        <f t="shared" si="2415"/>
      </c>
      <c r="AN1178" s="926">
        <f t="shared" si="2415"/>
      </c>
      <c r="AO1178" s="926">
        <f t="shared" si="2415"/>
      </c>
      <c r="AP1178" s="926">
        <f t="shared" si="2415"/>
      </c>
      <c r="AQ1178" s="926">
        <f t="shared" si="2415"/>
      </c>
      <c r="AR1178" s="1060">
        <f t="shared" si="2415"/>
      </c>
      <c r="AS1178" s="926">
        <f t="shared" si="2415"/>
      </c>
      <c r="AT1178" s="926">
        <f t="shared" si="2415"/>
      </c>
      <c r="AU1178" s="926">
        <f t="shared" si="2415"/>
      </c>
      <c r="AV1178" s="926">
        <f t="shared" si="2415"/>
      </c>
      <c r="AW1178" s="1060">
        <f t="shared" si="2415"/>
      </c>
      <c r="AX1178" s="926">
        <f t="shared" si="2415"/>
      </c>
      <c r="AY1178" s="926">
        <f t="shared" si="2415"/>
      </c>
      <c r="AZ1178" s="926">
        <f t="shared" si="2415"/>
      </c>
      <c r="BA1178" s="926">
        <f t="shared" si="2415"/>
      </c>
      <c r="BB1178" s="1060">
        <f t="shared" si="2415"/>
      </c>
      <c r="BC1178" s="926"/>
      <c r="BD1178" s="29"/>
      <c r="BE1178" s="29"/>
      <c r="BF1178" s="29"/>
      <c r="BG1178" s="1060"/>
      <c r="BH1178" s="29"/>
      <c r="BI1178" s="29"/>
      <c r="BJ1178" s="29"/>
      <c r="BK1178" s="29"/>
      <c r="BL1178" s="314"/>
      <c r="BM1178" s="29"/>
      <c r="BN1178" s="29"/>
      <c r="BO1178" s="29"/>
      <c r="BP1178" s="29"/>
      <c r="BQ1178" s="314"/>
      <c r="BR1178" s="29"/>
      <c r="BS1178" s="29"/>
      <c r="BT1178" s="29"/>
      <c r="BU1178" s="29"/>
      <c r="BV1178" s="314"/>
      <c r="BW1178" s="29"/>
      <c r="BX1178" s="29"/>
      <c r="BY1178" s="29"/>
      <c r="BZ1178" s="29"/>
      <c r="CA1178" s="314"/>
      <c r="CB1178" s="29"/>
      <c r="CC1178" s="29"/>
      <c r="CD1178" s="29"/>
      <c r="CE1178" s="29"/>
      <c r="CF1178" s="314"/>
      <c r="CG1178" s="29"/>
      <c r="CH1178" s="29"/>
      <c r="CI1178" s="29"/>
      <c r="CJ1178" s="29"/>
      <c r="CK1178" s="314"/>
      <c r="CL1178" s="400"/>
      <c r="CM1178" s="29"/>
      <c r="CN1178" s="29"/>
      <c r="CO1178" s="29"/>
      <c r="CP1178" s="314"/>
      <c r="CQ1178" s="29"/>
      <c r="CR1178" s="29"/>
      <c r="CS1178" s="29"/>
      <c r="CT1178" s="836"/>
      <c r="CU1178" s="2360"/>
      <c r="CV1178" s="29"/>
      <c r="CW1178" s="29"/>
      <c r="CX1178" s="29"/>
      <c r="CY1178" s="836"/>
      <c r="CZ1178" s="314"/>
      <c r="DA1178" s="2361"/>
      <c r="DB1178" s="2352"/>
      <c r="DC1178" s="2352"/>
      <c r="DD1178" s="2360"/>
      <c r="DE1178" s="317"/>
      <c r="DF1178" s="400"/>
      <c r="DG1178" s="29"/>
      <c r="DH1178" s="29"/>
      <c r="DI1178" s="836"/>
      <c r="DJ1178" s="317"/>
      <c r="DK1178" s="400"/>
      <c r="DL1178" s="29"/>
      <c r="DM1178" s="29"/>
      <c r="DN1178" s="836"/>
      <c r="DO1178" s="317"/>
      <c r="DP1178" s="29"/>
      <c r="DQ1178" s="29"/>
      <c r="DR1178" s="29"/>
      <c r="DS1178" s="29"/>
      <c r="DT1178" s="317"/>
      <c r="DU1178" s="29"/>
      <c r="DV1178" s="29"/>
      <c r="DW1178" s="29"/>
      <c r="DX1178" s="836"/>
      <c r="DY1178" s="317"/>
      <c r="DZ1178" s="29"/>
      <c r="EA1178" s="29"/>
      <c r="EB1178" s="29"/>
      <c r="EC1178" s="836"/>
      <c r="ED1178" s="317"/>
      <c r="EE1178" s="29"/>
      <c r="EF1178" s="29"/>
      <c r="EG1178" s="29"/>
      <c r="EH1178" s="29"/>
      <c r="EI1178" s="400"/>
      <c r="EJ1178" s="400"/>
      <c r="EK1178" s="317"/>
      <c r="EL1178" s="317"/>
      <c r="EM1178" s="317"/>
      <c r="EN1178" s="317"/>
      <c r="EO1178" s="400"/>
      <c r="EP1178" s="400"/>
      <c r="EQ1178" s="400"/>
      <c r="ER1178" s="400"/>
      <c r="ES1178" s="400"/>
      <c r="ET1178" s="400"/>
      <c r="EU1178" s="400"/>
      <c r="EV1178" s="400"/>
      <c r="EW1178" s="400"/>
      <c r="EX1178" s="317"/>
    </row>
    <row r="1179" spans="2:154" ht="12.75" hidden="1" customHeight="1" outlineLevel="2">
      <c r="B1179" s="440" t="s">
        <v>235</v>
      </c>
      <c r="C1179" s="1577"/>
      <c r="D1179" s="933"/>
      <c r="E1179" s="933"/>
      <c r="F1179" s="933"/>
      <c r="G1179" s="933"/>
      <c r="H1179" s="933"/>
      <c r="I1179" s="933"/>
      <c r="J1179" s="933"/>
      <c r="K1179" s="933"/>
      <c r="L1179" s="933"/>
      <c r="M1179" s="933"/>
      <c r="N1179" s="933"/>
      <c r="O1179" s="933"/>
      <c r="P1179" s="933"/>
      <c r="Q1179" s="933"/>
      <c r="R1179" s="933"/>
      <c r="S1179" s="933"/>
      <c r="T1179" s="933"/>
      <c r="U1179" s="933"/>
      <c r="V1179" s="933"/>
      <c r="W1179" s="933"/>
      <c r="X1179" s="1060"/>
      <c r="Y1179" s="933"/>
      <c r="Z1179" s="933"/>
      <c r="AA1179" s="933"/>
      <c r="AB1179" s="933"/>
      <c r="AC1179" s="1060"/>
      <c r="AD1179" s="926" t="str">
        <f t="shared" si="2415"/>
      </c>
      <c r="AE1179" s="926" t="str">
        <f t="shared" si="2415"/>
      </c>
      <c r="AF1179" s="926" t="str">
        <f t="shared" si="2415"/>
      </c>
      <c r="AG1179" s="926" t="str">
        <f t="shared" si="2415"/>
      </c>
      <c r="AH1179" s="1060" t="str">
        <f t="shared" si="2415"/>
      </c>
      <c r="AI1179" s="926">
        <f t="shared" si="2415"/>
      </c>
      <c r="AJ1179" s="926">
        <f t="shared" si="2415"/>
      </c>
      <c r="AK1179" s="926">
        <f t="shared" si="2415"/>
      </c>
      <c r="AL1179" s="926">
        <f t="shared" si="2415"/>
      </c>
      <c r="AM1179" s="1060">
        <f t="shared" si="2415"/>
      </c>
      <c r="AN1179" s="926">
        <f t="shared" si="2415"/>
      </c>
      <c r="AO1179" s="926">
        <f t="shared" si="2415"/>
      </c>
      <c r="AP1179" s="926">
        <f t="shared" si="2415"/>
      </c>
      <c r="AQ1179" s="926">
        <f t="shared" si="2415"/>
      </c>
      <c r="AR1179" s="1060">
        <f t="shared" si="2415"/>
      </c>
      <c r="AS1179" s="926">
        <f t="shared" si="2415"/>
      </c>
      <c r="AT1179" s="926">
        <f t="shared" si="2415"/>
      </c>
      <c r="AU1179" s="926">
        <f t="shared" si="2415"/>
      </c>
      <c r="AV1179" s="926">
        <f t="shared" si="2415"/>
      </c>
      <c r="AW1179" s="1060">
        <f t="shared" si="2415"/>
      </c>
      <c r="AX1179" s="926">
        <f t="shared" si="2415"/>
      </c>
      <c r="AY1179" s="926">
        <f t="shared" si="2415"/>
      </c>
      <c r="AZ1179" s="926">
        <f t="shared" si="2415"/>
      </c>
      <c r="BA1179" s="926">
        <f t="shared" si="2415"/>
      </c>
      <c r="BB1179" s="1060">
        <f t="shared" si="2415"/>
      </c>
      <c r="BC1179" s="926"/>
      <c r="BD1179" s="926"/>
      <c r="BE1179" s="926"/>
      <c r="BF1179" s="926"/>
      <c r="BG1179" s="1060"/>
      <c r="BH1179" s="926"/>
      <c r="BI1179" s="926"/>
      <c r="BJ1179" s="926"/>
      <c r="BK1179" s="926"/>
      <c r="BL1179" s="1060"/>
      <c r="BM1179" s="926"/>
      <c r="BN1179" s="926"/>
      <c r="BO1179" s="926"/>
      <c r="BP1179" s="926"/>
      <c r="BQ1179" s="1060"/>
      <c r="BR1179" s="926"/>
      <c r="BS1179" s="926"/>
      <c r="BT1179" s="926"/>
      <c r="BU1179" s="926"/>
      <c r="BV1179" s="1060"/>
      <c r="BW1179" s="926"/>
      <c r="BX1179" s="926"/>
      <c r="BY1179" s="926"/>
      <c r="BZ1179" s="926"/>
      <c r="CA1179" s="1060"/>
      <c r="CB1179" s="926"/>
      <c r="CC1179" s="926"/>
      <c r="CD1179" s="926"/>
      <c r="CE1179" s="926"/>
      <c r="CF1179" s="1060"/>
      <c r="CG1179" s="926"/>
      <c r="CH1179" s="926"/>
      <c r="CI1179" s="926"/>
      <c r="CJ1179" s="926"/>
      <c r="CK1179" s="1060"/>
      <c r="CL1179" s="958"/>
      <c r="CM1179" s="926"/>
      <c r="CN1179" s="926"/>
      <c r="CO1179" s="926"/>
      <c r="CP1179" s="1060"/>
      <c r="CQ1179" s="926"/>
      <c r="CR1179" s="926"/>
      <c r="CS1179" s="926"/>
      <c r="CT1179" s="928"/>
      <c r="CU1179" s="928"/>
      <c r="CV1179" s="926"/>
      <c r="CW1179" s="926"/>
      <c r="CX1179" s="926"/>
      <c r="CY1179" s="928"/>
      <c r="CZ1179" s="1060"/>
      <c r="DA1179" s="958"/>
      <c r="DB1179" s="926"/>
      <c r="DC1179" s="926"/>
      <c r="DD1179" s="928"/>
      <c r="DE1179" s="1060"/>
      <c r="DF1179" s="958"/>
      <c r="DG1179" s="926"/>
      <c r="DH1179" s="926"/>
      <c r="DI1179" s="928"/>
      <c r="DJ1179" s="1060"/>
      <c r="DK1179" s="958"/>
      <c r="DL1179" s="926"/>
      <c r="DM1179" s="926"/>
      <c r="DN1179" s="928"/>
      <c r="DO1179" s="1060"/>
      <c r="DP1179" s="926"/>
      <c r="DQ1179" s="926"/>
      <c r="DR1179" s="926"/>
      <c r="DS1179" s="926"/>
      <c r="DT1179" s="1060"/>
      <c r="DU1179" s="926"/>
      <c r="DV1179" s="926"/>
      <c r="DW1179" s="926"/>
      <c r="DX1179" s="928"/>
      <c r="DY1179" s="1060"/>
      <c r="DZ1179" s="926"/>
      <c r="EA1179" s="926"/>
      <c r="EB1179" s="926"/>
      <c r="EC1179" s="928"/>
      <c r="ED1179" s="1060"/>
      <c r="EE1179" s="926"/>
      <c r="EF1179" s="926"/>
      <c r="EG1179" s="926"/>
      <c r="EH1179" s="926"/>
      <c r="EI1179" s="958"/>
      <c r="EJ1179" s="958"/>
      <c r="EK1179" s="1060"/>
      <c r="EL1179" s="1060"/>
      <c r="EM1179" s="1060"/>
      <c r="EN1179" s="1060"/>
      <c r="EO1179" s="958"/>
      <c r="EP1179" s="958"/>
      <c r="EQ1179" s="958"/>
      <c r="ER1179" s="958"/>
      <c r="ES1179" s="958"/>
      <c r="ET1179" s="958"/>
      <c r="EU1179" s="958"/>
      <c r="EV1179" s="958"/>
      <c r="EW1179" s="958"/>
      <c r="EX1179" s="1060"/>
    </row>
    <row r="1180" spans="2:154" ht="12.75" hidden="1" customHeight="1" outlineLevel="2">
      <c r="B1180" s="440" t="s">
        <v>157</v>
      </c>
      <c r="C1180" s="1577"/>
      <c r="D1180" s="933"/>
      <c r="E1180" s="933"/>
      <c r="F1180" s="933"/>
      <c r="G1180" s="933"/>
      <c r="H1180" s="933"/>
      <c r="I1180" s="933"/>
      <c r="J1180" s="933"/>
      <c r="K1180" s="933"/>
      <c r="L1180" s="933"/>
      <c r="M1180" s="933"/>
      <c r="N1180" s="933"/>
      <c r="O1180" s="933"/>
      <c r="P1180" s="933"/>
      <c r="Q1180" s="933"/>
      <c r="R1180" s="933"/>
      <c r="S1180" s="933"/>
      <c r="T1180" s="933"/>
      <c r="U1180" s="933"/>
      <c r="V1180" s="933"/>
      <c r="W1180" s="933"/>
      <c r="X1180" s="2248"/>
      <c r="Y1180" s="933"/>
      <c r="Z1180" s="933"/>
      <c r="AA1180" s="933"/>
      <c r="AB1180" s="933"/>
      <c r="AC1180" s="2248"/>
      <c r="AD1180" s="959" t="str">
        <f t="shared" ref="AD1180:BB1180" si="2416">IF(ISNUMBER(AD1179),(1+AD1179)/(1+AD$21)-1,"NM")</f>
      </c>
      <c r="AE1180" s="959" t="str">
        <f t="shared" si="2416"/>
      </c>
      <c r="AF1180" s="959" t="str">
        <f t="shared" si="2416"/>
      </c>
      <c r="AG1180" s="959" t="str">
        <f t="shared" si="2416"/>
      </c>
      <c r="AH1180" s="2248" t="str">
        <f t="shared" si="2416"/>
      </c>
      <c r="AI1180" s="959">
        <f t="shared" si="2416"/>
      </c>
      <c r="AJ1180" s="959">
        <f t="shared" si="2416"/>
      </c>
      <c r="AK1180" s="959">
        <f t="shared" si="2416"/>
      </c>
      <c r="AL1180" s="959">
        <f t="shared" si="2416"/>
      </c>
      <c r="AM1180" s="2248">
        <f t="shared" si="2416"/>
      </c>
      <c r="AN1180" s="959">
        <f t="shared" si="2416"/>
      </c>
      <c r="AO1180" s="959">
        <f t="shared" si="2416"/>
      </c>
      <c r="AP1180" s="959">
        <f t="shared" si="2416"/>
      </c>
      <c r="AQ1180" s="959">
        <f t="shared" si="2416"/>
      </c>
      <c r="AR1180" s="2248">
        <f t="shared" si="2416"/>
      </c>
      <c r="AS1180" s="959">
        <f t="shared" si="2416"/>
      </c>
      <c r="AT1180" s="959">
        <f t="shared" si="2416"/>
      </c>
      <c r="AU1180" s="959">
        <f t="shared" si="2416"/>
      </c>
      <c r="AV1180" s="959">
        <f t="shared" si="2416"/>
      </c>
      <c r="AW1180" s="2248">
        <f t="shared" si="2416"/>
      </c>
      <c r="AX1180" s="959">
        <f t="shared" si="2416"/>
      </c>
      <c r="AY1180" s="959">
        <f t="shared" si="2416"/>
      </c>
      <c r="AZ1180" s="959">
        <f t="shared" si="2416"/>
      </c>
      <c r="BA1180" s="959">
        <f t="shared" si="2416"/>
      </c>
      <c r="BB1180" s="2248">
        <f t="shared" si="2416"/>
      </c>
      <c r="BC1180" s="959"/>
      <c r="BD1180" s="361"/>
      <c r="BE1180" s="361"/>
      <c r="BF1180" s="361"/>
      <c r="BG1180" s="1066"/>
      <c r="BH1180" s="361"/>
      <c r="BI1180" s="361"/>
      <c r="BJ1180" s="361"/>
      <c r="BK1180" s="361"/>
      <c r="BL1180" s="316"/>
      <c r="BM1180" s="361"/>
      <c r="BN1180" s="361"/>
      <c r="BO1180" s="361"/>
      <c r="BP1180" s="361"/>
      <c r="BQ1180" s="316"/>
      <c r="BR1180" s="361"/>
      <c r="BS1180" s="361"/>
      <c r="BT1180" s="361"/>
      <c r="BU1180" s="361"/>
      <c r="BV1180" s="316"/>
      <c r="BW1180" s="361"/>
      <c r="BX1180" s="361"/>
      <c r="BY1180" s="361"/>
      <c r="BZ1180" s="361"/>
      <c r="CA1180" s="316"/>
      <c r="CB1180" s="361"/>
      <c r="CC1180" s="361"/>
      <c r="CD1180" s="361"/>
      <c r="CE1180" s="361"/>
      <c r="CF1180" s="316"/>
      <c r="CG1180" s="361"/>
      <c r="CH1180" s="361"/>
      <c r="CI1180" s="361"/>
      <c r="CJ1180" s="361"/>
      <c r="CK1180" s="316"/>
      <c r="CL1180" s="828"/>
      <c r="CM1180" s="361"/>
      <c r="CN1180" s="361"/>
      <c r="CO1180" s="361"/>
      <c r="CP1180" s="316"/>
      <c r="CQ1180" s="361"/>
      <c r="CR1180" s="361"/>
      <c r="CS1180" s="361"/>
      <c r="CT1180" s="835"/>
      <c r="CU1180" s="835"/>
      <c r="CV1180" s="361"/>
      <c r="CW1180" s="361"/>
      <c r="CX1180" s="361"/>
      <c r="CY1180" s="835"/>
      <c r="CZ1180" s="316"/>
      <c r="DA1180" s="828"/>
      <c r="DB1180" s="361"/>
      <c r="DC1180" s="361"/>
      <c r="DD1180" s="835"/>
      <c r="DE1180" s="316"/>
      <c r="DF1180" s="828"/>
      <c r="DG1180" s="361"/>
      <c r="DH1180" s="361"/>
      <c r="DI1180" s="835"/>
      <c r="DJ1180" s="316"/>
      <c r="DK1180" s="828"/>
      <c r="DL1180" s="361"/>
      <c r="DM1180" s="361"/>
      <c r="DN1180" s="835"/>
      <c r="DO1180" s="316"/>
      <c r="DP1180" s="361"/>
      <c r="DQ1180" s="361"/>
      <c r="DR1180" s="361"/>
      <c r="DS1180" s="361"/>
      <c r="DT1180" s="316"/>
      <c r="DU1180" s="361"/>
      <c r="DV1180" s="361"/>
      <c r="DW1180" s="361"/>
      <c r="DX1180" s="835"/>
      <c r="DY1180" s="316"/>
      <c r="DZ1180" s="361"/>
      <c r="EA1180" s="361"/>
      <c r="EB1180" s="361"/>
      <c r="EC1180" s="835"/>
      <c r="ED1180" s="316"/>
      <c r="EE1180" s="361"/>
      <c r="EF1180" s="361"/>
      <c r="EG1180" s="361"/>
      <c r="EH1180" s="361"/>
      <c r="EI1180" s="828"/>
      <c r="EJ1180" s="828"/>
      <c r="EK1180" s="316"/>
      <c r="EL1180" s="316"/>
      <c r="EM1180" s="316"/>
      <c r="EN1180" s="316"/>
      <c r="EO1180" s="828"/>
      <c r="EP1180" s="828"/>
      <c r="EQ1180" s="828"/>
      <c r="ER1180" s="828"/>
      <c r="ES1180" s="828"/>
      <c r="ET1180" s="828"/>
      <c r="EU1180" s="828"/>
      <c r="EV1180" s="828"/>
      <c r="EW1180" s="828"/>
      <c r="EX1180" s="316"/>
    </row>
    <row r="1181" spans="2:154" ht="12.75" hidden="1" customHeight="1" outlineLevel="2">
      <c r="B1181" s="440" t="s">
        <v>19</v>
      </c>
      <c r="C1181" s="1577"/>
      <c r="D1181" s="933"/>
      <c r="E1181" s="933"/>
      <c r="F1181" s="933"/>
      <c r="G1181" s="933"/>
      <c r="H1181" s="933"/>
      <c r="I1181" s="933"/>
      <c r="J1181" s="933"/>
      <c r="K1181" s="933"/>
      <c r="L1181" s="933"/>
      <c r="M1181" s="933"/>
      <c r="N1181" s="933"/>
      <c r="O1181" s="933"/>
      <c r="P1181" s="933"/>
      <c r="Q1181" s="933"/>
      <c r="R1181" s="933"/>
      <c r="S1181" s="933"/>
      <c r="T1181" s="933"/>
      <c r="U1181" s="933"/>
      <c r="V1181" s="933"/>
      <c r="W1181" s="933"/>
      <c r="X1181" s="1060"/>
      <c r="Y1181" s="933"/>
      <c r="Z1181" s="933"/>
      <c r="AA1181" s="933"/>
      <c r="AB1181" s="933"/>
      <c r="AC1181" s="1060"/>
      <c r="AD1181" s="926" t="str">
        <f t="shared" ref="AD1181:BB1181" si="2417">IF(Y1175="NM","NM",IF(AD1175="NM","NM",IF(Y1175&lt;=0,"NM",IF(AD1175=0,"NM",IF(ABS(AD1175/Y1175-1)&gt;2.5,"NM",IF((ABS(AD1175-Y1175)=ABS(ABS(AD1175)-ABS(Y1175))),(AD1175/Y1175-1),"NM"))))))</f>
      </c>
      <c r="AE1181" s="926" t="str">
        <f t="shared" si="2417"/>
      </c>
      <c r="AF1181" s="926" t="str">
        <f t="shared" si="2417"/>
      </c>
      <c r="AG1181" s="926" t="str">
        <f t="shared" si="2417"/>
      </c>
      <c r="AH1181" s="1060" t="str">
        <f t="shared" si="2417"/>
      </c>
      <c r="AI1181" s="926">
        <f t="shared" si="2417"/>
      </c>
      <c r="AJ1181" s="926">
        <f t="shared" si="2417"/>
      </c>
      <c r="AK1181" s="926">
        <f t="shared" si="2417"/>
      </c>
      <c r="AL1181" s="926">
        <f t="shared" si="2417"/>
      </c>
      <c r="AM1181" s="1060">
        <f t="shared" si="2417"/>
      </c>
      <c r="AN1181" s="926">
        <f t="shared" si="2417"/>
      </c>
      <c r="AO1181" s="926">
        <f t="shared" si="2417"/>
      </c>
      <c r="AP1181" s="926">
        <f t="shared" si="2417"/>
      </c>
      <c r="AQ1181" s="926">
        <f t="shared" si="2417"/>
      </c>
      <c r="AR1181" s="1060">
        <f t="shared" si="2417"/>
      </c>
      <c r="AS1181" s="926">
        <f t="shared" si="2417"/>
      </c>
      <c r="AT1181" s="926">
        <f t="shared" si="2417"/>
      </c>
      <c r="AU1181" s="926">
        <f t="shared" si="2417"/>
      </c>
      <c r="AV1181" s="926">
        <f t="shared" si="2417"/>
      </c>
      <c r="AW1181" s="1060">
        <f t="shared" si="2417"/>
      </c>
      <c r="AX1181" s="926">
        <f t="shared" si="2417"/>
      </c>
      <c r="AY1181" s="926">
        <f t="shared" si="2417"/>
      </c>
      <c r="AZ1181" s="926">
        <f t="shared" si="2417"/>
      </c>
      <c r="BA1181" s="926">
        <f t="shared" si="2417"/>
      </c>
      <c r="BB1181" s="1060">
        <f t="shared" si="2417"/>
      </c>
      <c r="BC1181" s="926"/>
      <c r="BD1181" s="926"/>
      <c r="BE1181" s="926"/>
      <c r="BF1181" s="926"/>
      <c r="BG1181" s="1060"/>
      <c r="BH1181" s="926"/>
      <c r="BI1181" s="926"/>
      <c r="BJ1181" s="926"/>
      <c r="BK1181" s="926"/>
      <c r="BL1181" s="1060"/>
      <c r="BM1181" s="926"/>
      <c r="BN1181" s="926"/>
      <c r="BO1181" s="926"/>
      <c r="BP1181" s="926"/>
      <c r="BQ1181" s="1060"/>
      <c r="BR1181" s="926"/>
      <c r="BS1181" s="926"/>
      <c r="BT1181" s="926"/>
      <c r="BU1181" s="926"/>
      <c r="BV1181" s="1060"/>
      <c r="BW1181" s="926"/>
      <c r="BX1181" s="926"/>
      <c r="BY1181" s="926"/>
      <c r="BZ1181" s="926"/>
      <c r="CA1181" s="1060"/>
      <c r="CB1181" s="926"/>
      <c r="CC1181" s="926"/>
      <c r="CD1181" s="926"/>
      <c r="CE1181" s="926"/>
      <c r="CF1181" s="1060"/>
      <c r="CG1181" s="926"/>
      <c r="CH1181" s="926"/>
      <c r="CI1181" s="926"/>
      <c r="CJ1181" s="926"/>
      <c r="CK1181" s="1060"/>
      <c r="CL1181" s="958"/>
      <c r="CM1181" s="926"/>
      <c r="CN1181" s="926"/>
      <c r="CO1181" s="926"/>
      <c r="CP1181" s="1060"/>
      <c r="CQ1181" s="926"/>
      <c r="CR1181" s="926"/>
      <c r="CS1181" s="926"/>
      <c r="CT1181" s="928"/>
      <c r="CU1181" s="928"/>
      <c r="CV1181" s="926"/>
      <c r="CW1181" s="926"/>
      <c r="CX1181" s="926"/>
      <c r="CY1181" s="928"/>
      <c r="CZ1181" s="1060"/>
      <c r="DA1181" s="958"/>
      <c r="DB1181" s="926"/>
      <c r="DC1181" s="926"/>
      <c r="DD1181" s="928"/>
      <c r="DE1181" s="1060"/>
      <c r="DF1181" s="958"/>
      <c r="DG1181" s="926"/>
      <c r="DH1181" s="926"/>
      <c r="DI1181" s="928"/>
      <c r="DJ1181" s="1060"/>
      <c r="DK1181" s="958"/>
      <c r="DL1181" s="926"/>
      <c r="DM1181" s="926"/>
      <c r="DN1181" s="928"/>
      <c r="DO1181" s="1060"/>
      <c r="DP1181" s="926"/>
      <c r="DQ1181" s="926"/>
      <c r="DR1181" s="926"/>
      <c r="DS1181" s="926"/>
      <c r="DT1181" s="1060"/>
      <c r="DU1181" s="926"/>
      <c r="DV1181" s="926"/>
      <c r="DW1181" s="926"/>
      <c r="DX1181" s="928"/>
      <c r="DY1181" s="1060"/>
      <c r="DZ1181" s="926"/>
      <c r="EA1181" s="926"/>
      <c r="EB1181" s="926"/>
      <c r="EC1181" s="928"/>
      <c r="ED1181" s="1060"/>
      <c r="EE1181" s="926"/>
      <c r="EF1181" s="926"/>
      <c r="EG1181" s="926"/>
      <c r="EH1181" s="926"/>
      <c r="EI1181" s="958"/>
      <c r="EJ1181" s="958"/>
      <c r="EK1181" s="1060"/>
      <c r="EL1181" s="1060"/>
      <c r="EM1181" s="1060"/>
      <c r="EN1181" s="1060"/>
      <c r="EO1181" s="958"/>
      <c r="EP1181" s="958"/>
      <c r="EQ1181" s="958"/>
      <c r="ER1181" s="958"/>
      <c r="ES1181" s="958"/>
      <c r="ET1181" s="958"/>
      <c r="EU1181" s="958"/>
      <c r="EV1181" s="958"/>
      <c r="EW1181" s="958"/>
      <c r="EX1181" s="1060"/>
    </row>
    <row r="1182" spans="2:154" ht="12.75" hidden="1" customHeight="1" outlineLevel="2">
      <c r="B1182" s="437"/>
      <c r="C1182" s="1577"/>
      <c r="D1182" s="933"/>
      <c r="E1182" s="933"/>
      <c r="F1182" s="933"/>
      <c r="G1182" s="933"/>
      <c r="H1182" s="933"/>
      <c r="I1182" s="933"/>
      <c r="J1182" s="933"/>
      <c r="K1182" s="933"/>
      <c r="L1182" s="933"/>
      <c r="M1182" s="933"/>
      <c r="N1182" s="933"/>
      <c r="O1182" s="933"/>
      <c r="P1182" s="933"/>
      <c r="Q1182" s="933"/>
      <c r="R1182" s="933"/>
      <c r="S1182" s="933"/>
      <c r="T1182" s="933"/>
      <c r="U1182" s="933"/>
      <c r="V1182" s="933"/>
      <c r="W1182" s="933"/>
      <c r="X1182" s="1061"/>
      <c r="Y1182" s="933"/>
      <c r="Z1182" s="933"/>
      <c r="AA1182" s="933"/>
      <c r="AB1182" s="933"/>
      <c r="AC1182" s="1061"/>
      <c r="AD1182" s="933"/>
      <c r="AE1182" s="933"/>
      <c r="AF1182" s="933"/>
      <c r="AG1182" s="933"/>
      <c r="AH1182" s="1061"/>
      <c r="AI1182" s="933"/>
      <c r="AJ1182" s="933"/>
      <c r="AK1182" s="933"/>
      <c r="AL1182" s="933"/>
      <c r="AM1182" s="1061"/>
      <c r="AN1182" s="933"/>
      <c r="AO1182" s="933"/>
      <c r="AP1182" s="933"/>
      <c r="AQ1182" s="933"/>
      <c r="AR1182" s="1061"/>
      <c r="AS1182" s="933"/>
      <c r="AT1182" s="933"/>
      <c r="AU1182" s="933"/>
      <c r="AV1182" s="933"/>
      <c r="AW1182" s="1061"/>
      <c r="AX1182" s="933"/>
      <c r="AY1182" s="933"/>
      <c r="AZ1182" s="933"/>
      <c r="BA1182" s="933"/>
      <c r="BB1182" s="1061"/>
      <c r="BC1182" s="933"/>
      <c r="BD1182" s="933"/>
      <c r="BE1182" s="933"/>
      <c r="BF1182" s="933"/>
      <c r="BG1182" s="1061"/>
      <c r="BH1182" s="933"/>
      <c r="BI1182" s="933"/>
      <c r="BJ1182" s="933"/>
      <c r="BK1182" s="933"/>
      <c r="BL1182" s="1061"/>
      <c r="BM1182" s="933"/>
      <c r="BN1182" s="933"/>
      <c r="BO1182" s="933"/>
      <c r="BP1182" s="933"/>
      <c r="BQ1182" s="1061"/>
      <c r="BR1182" s="933"/>
      <c r="BS1182" s="933"/>
      <c r="BT1182" s="933"/>
      <c r="BU1182" s="933"/>
      <c r="BV1182" s="1061"/>
      <c r="BW1182" s="933"/>
      <c r="BX1182" s="933"/>
      <c r="BY1182" s="933"/>
      <c r="BZ1182" s="933"/>
      <c r="CA1182" s="1061"/>
      <c r="CB1182" s="933"/>
      <c r="CC1182" s="933"/>
      <c r="CD1182" s="933"/>
      <c r="CE1182" s="933"/>
      <c r="CF1182" s="1061"/>
      <c r="CG1182" s="933"/>
      <c r="CH1182" s="933"/>
      <c r="CI1182" s="933"/>
      <c r="CJ1182" s="933"/>
      <c r="CK1182" s="1061"/>
      <c r="CL1182" s="961"/>
      <c r="CM1182" s="933"/>
      <c r="CN1182" s="933"/>
      <c r="CO1182" s="933"/>
      <c r="CP1182" s="1061"/>
      <c r="CQ1182" s="933"/>
      <c r="CR1182" s="933"/>
      <c r="CS1182" s="933"/>
      <c r="CT1182" s="962"/>
      <c r="CU1182" s="962"/>
      <c r="CV1182" s="933"/>
      <c r="CW1182" s="933"/>
      <c r="CX1182" s="933"/>
      <c r="CY1182" s="962"/>
      <c r="CZ1182" s="1061"/>
      <c r="DA1182" s="961"/>
      <c r="DB1182" s="933"/>
      <c r="DC1182" s="933"/>
      <c r="DD1182" s="962"/>
      <c r="DE1182" s="1866"/>
      <c r="DF1182" s="981"/>
      <c r="DG1182" s="982"/>
      <c r="DH1182" s="982"/>
      <c r="DI1182" s="1875"/>
      <c r="DJ1182" s="1866"/>
      <c r="DK1182" s="981"/>
      <c r="DL1182" s="982"/>
      <c r="DM1182" s="982"/>
      <c r="DN1182" s="1875"/>
      <c r="DO1182" s="1866"/>
      <c r="DP1182" s="982"/>
      <c r="DQ1182" s="982"/>
      <c r="DR1182" s="982"/>
      <c r="DS1182" s="982"/>
      <c r="DT1182" s="1866"/>
      <c r="DU1182" s="982"/>
      <c r="DV1182" s="982"/>
      <c r="DW1182" s="982"/>
      <c r="DX1182" s="1875"/>
      <c r="DY1182" s="1866"/>
      <c r="DZ1182" s="982"/>
      <c r="EA1182" s="982"/>
      <c r="EB1182" s="982"/>
      <c r="EC1182" s="1875"/>
      <c r="ED1182" s="1866"/>
      <c r="EE1182" s="982"/>
      <c r="EF1182" s="982"/>
      <c r="EG1182" s="982"/>
      <c r="EH1182" s="982"/>
      <c r="EI1182" s="981"/>
      <c r="EJ1182" s="981"/>
      <c r="EK1182" s="1866"/>
      <c r="EL1182" s="1866"/>
      <c r="EM1182" s="1866"/>
      <c r="EN1182" s="1866"/>
      <c r="EO1182" s="981"/>
      <c r="EP1182" s="981"/>
      <c r="EQ1182" s="981"/>
      <c r="ER1182" s="981"/>
      <c r="ES1182" s="981"/>
      <c r="ET1182" s="981"/>
      <c r="EU1182" s="981"/>
      <c r="EV1182" s="981"/>
      <c r="EW1182" s="981"/>
      <c r="EX1182" s="1866"/>
    </row>
    <row r="1183" spans="2:154" ht="12.75" hidden="1" customHeight="1" outlineLevel="1">
      <c r="B1183" s="456" t="s">
        <v>522</v>
      </c>
      <c r="C1183" s="1577"/>
      <c r="D1183" s="40"/>
      <c r="E1183" s="933"/>
      <c r="F1183" s="933"/>
      <c r="G1183" s="933"/>
      <c r="H1183" s="933"/>
      <c r="I1183" s="31"/>
      <c r="J1183" s="933"/>
      <c r="K1183" s="933"/>
      <c r="L1183" s="933"/>
      <c r="M1183" s="933"/>
      <c r="N1183" s="31"/>
      <c r="O1183" s="31"/>
      <c r="P1183" s="31"/>
      <c r="Q1183" s="31"/>
      <c r="R1183" s="31"/>
      <c r="S1183" s="31"/>
      <c r="T1183" s="31"/>
      <c r="U1183" s="31"/>
      <c r="V1183" s="31"/>
      <c r="W1183" s="31"/>
      <c r="X1183" s="1061"/>
      <c r="Y1183" s="31"/>
      <c r="Z1183" s="31"/>
      <c r="AA1183" s="31"/>
      <c r="AB1183" s="31"/>
      <c r="AC1183" s="1061"/>
      <c r="AD1183" s="31"/>
      <c r="AE1183" s="31"/>
      <c r="AF1183" s="31"/>
      <c r="AG1183" s="31"/>
      <c r="AH1183" s="1061"/>
      <c r="AI1183" s="40"/>
      <c r="AJ1183" s="40"/>
      <c r="AK1183" s="40"/>
      <c r="AL1183" s="40"/>
      <c r="AM1183" s="1061"/>
      <c r="AN1183" s="40"/>
      <c r="AO1183" s="40"/>
      <c r="AP1183" s="40"/>
      <c r="AQ1183" s="40"/>
      <c r="AR1183" s="1061"/>
      <c r="AS1183" s="40"/>
      <c r="AT1183" s="40"/>
      <c r="AU1183" s="40"/>
      <c r="AV1183" s="40"/>
      <c r="AW1183" s="1061"/>
      <c r="AX1183" s="933"/>
      <c r="AY1183" s="933"/>
      <c r="AZ1183" s="933"/>
      <c r="BA1183" s="933"/>
      <c r="BB1183" s="1061"/>
      <c r="BC1183" s="933"/>
      <c r="BD1183" s="933"/>
      <c r="BE1183" s="933"/>
      <c r="BF1183" s="933"/>
      <c r="BG1183" s="1061"/>
      <c r="BH1183" s="933"/>
      <c r="BI1183" s="933"/>
      <c r="BJ1183" s="933"/>
      <c r="BK1183" s="933"/>
      <c r="BL1183" s="1061"/>
      <c r="BM1183" s="933"/>
      <c r="BN1183" s="933"/>
      <c r="BO1183" s="933"/>
      <c r="BP1183" s="933"/>
      <c r="BQ1183" s="1061"/>
      <c r="BR1183" s="933"/>
      <c r="BS1183" s="933"/>
      <c r="BT1183" s="933"/>
      <c r="BU1183" s="933"/>
      <c r="BV1183" s="1061"/>
      <c r="BW1183" s="933"/>
      <c r="BX1183" s="933"/>
      <c r="BY1183" s="933"/>
      <c r="BZ1183" s="933"/>
      <c r="CA1183" s="1061"/>
      <c r="CB1183" s="933"/>
      <c r="CC1183" s="933"/>
      <c r="CD1183" s="933"/>
      <c r="CE1183" s="933"/>
      <c r="CF1183" s="1061"/>
      <c r="CG1183" s="933"/>
      <c r="CH1183" s="933"/>
      <c r="CI1183" s="933"/>
      <c r="CJ1183" s="933"/>
      <c r="CK1183" s="1061"/>
      <c r="CL1183" s="961"/>
      <c r="CM1183" s="933"/>
      <c r="CN1183" s="933"/>
      <c r="CO1183" s="933"/>
      <c r="CP1183" s="1061"/>
      <c r="CQ1183" s="933"/>
      <c r="CR1183" s="933"/>
      <c r="CS1183" s="933"/>
      <c r="CT1183" s="962"/>
      <c r="CU1183" s="962"/>
      <c r="CV1183" s="933"/>
      <c r="CW1183" s="933"/>
      <c r="CX1183" s="933"/>
      <c r="CY1183" s="962"/>
      <c r="CZ1183" s="1061"/>
      <c r="DA1183" s="961"/>
      <c r="DB1183" s="933"/>
      <c r="DC1183" s="933"/>
      <c r="DD1183" s="962"/>
      <c r="DE1183" s="1866"/>
      <c r="DF1183" s="981"/>
      <c r="DG1183" s="982"/>
      <c r="DH1183" s="982"/>
      <c r="DI1183" s="1875"/>
      <c r="DJ1183" s="1866"/>
      <c r="DK1183" s="981"/>
      <c r="DL1183" s="982"/>
      <c r="DM1183" s="982"/>
      <c r="DN1183" s="1875"/>
      <c r="DO1183" s="1866"/>
      <c r="DP1183" s="982"/>
      <c r="DQ1183" s="982"/>
      <c r="DR1183" s="982"/>
      <c r="DS1183" s="982"/>
      <c r="DT1183" s="1866"/>
      <c r="DU1183" s="982"/>
      <c r="DV1183" s="982"/>
      <c r="DW1183" s="982"/>
      <c r="DX1183" s="1875"/>
      <c r="DY1183" s="1866"/>
      <c r="DZ1183" s="982"/>
      <c r="EA1183" s="982"/>
      <c r="EB1183" s="982"/>
      <c r="EC1183" s="1875"/>
      <c r="ED1183" s="1866"/>
      <c r="EE1183" s="982"/>
      <c r="EF1183" s="982"/>
      <c r="EG1183" s="982"/>
      <c r="EH1183" s="982"/>
      <c r="EI1183" s="981"/>
      <c r="EJ1183" s="981"/>
      <c r="EK1183" s="1866"/>
      <c r="EL1183" s="1866"/>
      <c r="EM1183" s="1866"/>
      <c r="EN1183" s="1866"/>
      <c r="EO1183" s="981"/>
      <c r="EP1183" s="981"/>
      <c r="EQ1183" s="981"/>
      <c r="ER1183" s="981"/>
      <c r="ES1183" s="981"/>
      <c r="ET1183" s="981"/>
      <c r="EU1183" s="981"/>
      <c r="EV1183" s="981"/>
      <c r="EW1183" s="981"/>
      <c r="EX1183" s="1866"/>
    </row>
    <row r="1184" spans="2:154" ht="12.75" hidden="1" customHeight="1" outlineLevel="1">
      <c r="B1184" s="438" t="s">
        <v>187</v>
      </c>
      <c r="C1184" s="1577"/>
      <c r="D1184" s="933">
        <v>448</v>
      </c>
      <c r="E1184" s="33">
        <v>104</v>
      </c>
      <c r="F1184" s="33">
        <v>118</v>
      </c>
      <c r="G1184" s="33">
        <v>109</v>
      </c>
      <c r="H1184" s="33">
        <v>117</v>
      </c>
      <c r="I1184" s="31">
        <f>+SUM(E1184:H1184)</f>
      </c>
      <c r="J1184" s="33">
        <v>111</v>
      </c>
      <c r="K1184" s="33">
        <v>116</v>
      </c>
      <c r="L1184" s="33">
        <v>149</v>
      </c>
      <c r="M1184" s="33">
        <v>165</v>
      </c>
      <c r="N1184" s="31">
        <f>+SUM(J1184:M1184)</f>
      </c>
      <c r="O1184" s="33">
        <v>167</v>
      </c>
      <c r="P1184" s="33">
        <v>194</v>
      </c>
      <c r="Q1184" s="33">
        <v>196</v>
      </c>
      <c r="R1184" s="33">
        <v>211</v>
      </c>
      <c r="S1184" s="31">
        <f>SUM(O1184:R1184)</f>
      </c>
      <c r="T1184" s="33">
        <v>98</v>
      </c>
      <c r="U1184" s="33">
        <v>116</v>
      </c>
      <c r="V1184" s="33">
        <v>113</v>
      </c>
      <c r="W1184" s="33">
        <v>164</v>
      </c>
      <c r="X1184" s="313">
        <f>SUM(T1184:W1184)</f>
      </c>
      <c r="Y1184" s="33">
        <v>124</v>
      </c>
      <c r="Z1184" s="33">
        <v>112</v>
      </c>
      <c r="AA1184" s="33">
        <v>140.30000000000001</v>
      </c>
      <c r="AB1184" s="33">
        <v>164</v>
      </c>
      <c r="AC1184" s="313">
        <f>SUM(Y1184:AB1184)</f>
      </c>
      <c r="AD1184" s="33">
        <v>157</v>
      </c>
      <c r="AE1184" s="33">
        <v>155.5</v>
      </c>
      <c r="AF1184" s="33">
        <v>157.80000000000001</v>
      </c>
      <c r="AG1184" s="33">
        <v>173</v>
      </c>
      <c r="AH1184" s="313">
        <f>SUM(AD1184:AG1184)</f>
      </c>
      <c r="AI1184" s="33">
        <v>159.4</v>
      </c>
      <c r="AJ1184" s="33">
        <v>165</v>
      </c>
      <c r="AK1184" s="33">
        <v>172</v>
      </c>
      <c r="AL1184" s="33">
        <v>157</v>
      </c>
      <c r="AM1184" s="313">
        <f>+SUM(AI1184:AL1184)</f>
      </c>
      <c r="AN1184" s="33">
        <f>164-AN1173-AN1162-AN1151</f>
      </c>
      <c r="AO1184" s="33">
        <f>182-AO1173-AO1162-AO1151</f>
      </c>
      <c r="AP1184" s="33">
        <f>175-AP1173-AP1162-AP1151</f>
      </c>
      <c r="AQ1184" s="33">
        <f>184-AQ1173-AQ1162-AQ1151</f>
      </c>
      <c r="AR1184" s="313">
        <f>+SUM(AN1184:AQ1184)</f>
      </c>
      <c r="AS1184" s="33">
        <f>184.5-AS1173-AS1162-AS1151</f>
      </c>
      <c r="AT1184" s="33">
        <f>187-AT1173-AT1162-AT1151</f>
      </c>
      <c r="AU1184" s="33">
        <f>188-AU1173-AU1162-AU1151</f>
      </c>
      <c r="AV1184" s="33">
        <f>204-AV1173-AV1162-AV1151</f>
      </c>
      <c r="AW1184" s="313">
        <f>+SUM(AS1184:AV1184)</f>
      </c>
      <c r="AX1184" s="33">
        <f>188-AX1162-AX1173</f>
      </c>
      <c r="AY1184" s="33">
        <f>181-AY1162-AY1173</f>
      </c>
      <c r="AZ1184" s="33">
        <f>180-AZ1173-AZ1162</f>
      </c>
      <c r="BA1184" s="33">
        <f>183-BA1173-BA1162</f>
      </c>
      <c r="BB1184" s="313">
        <f>SUM(AX1184:BA1184)</f>
      </c>
      <c r="BC1184" s="33">
        <f>178-BC1162</f>
      </c>
      <c r="BD1184" s="33">
        <f>182-BD1162</f>
      </c>
      <c r="BE1184" s="33">
        <v>115.46</v>
      </c>
      <c r="BF1184" s="33">
        <v>88.8</v>
      </c>
      <c r="BG1184" s="313">
        <f>SUM(BC1184:BF1184)</f>
      </c>
      <c r="BH1184" s="33">
        <v>93.3</v>
      </c>
      <c r="BI1184" s="33">
        <v>115</v>
      </c>
      <c r="BJ1184" s="33">
        <f>246-120</f>
      </c>
      <c r="BK1184" s="33">
        <f>246-BK1162-BK1140</f>
      </c>
      <c r="BL1184" s="313">
        <f>SUM(BH1184:BK1184)</f>
      </c>
      <c r="BM1184" s="33">
        <f>242-BM1162-BM1140</f>
      </c>
      <c r="BN1184" s="352">
        <v>87.4</v>
      </c>
      <c r="BO1184" s="352">
        <v>102.69623999999999</v>
      </c>
      <c r="BP1184" s="33">
        <v>66.504079999999945</v>
      </c>
      <c r="BQ1184" s="313">
        <f>SUM(BM1184:BP1184)</f>
      </c>
      <c r="BR1184" s="33">
        <v>46.906111999999979</v>
      </c>
      <c r="BS1184" s="352">
        <f>195-118.5</f>
      </c>
      <c r="BT1184" s="352">
        <f>195-95.8</f>
      </c>
      <c r="BU1184" s="352">
        <f>186-BU1162</f>
      </c>
      <c r="BV1184" s="313">
        <f>SUM(BR1184:BU1184)</f>
      </c>
      <c r="BW1184" s="352">
        <f>198-BW1162</f>
      </c>
      <c r="BX1184" s="352">
        <f>204-BX1162</f>
      </c>
      <c r="BY1184" s="352">
        <f>196-BY1162</f>
      </c>
      <c r="BZ1184" s="933">
        <f>BZ1079-BZ1162</f>
      </c>
      <c r="CA1184" s="313">
        <f>SUM(BW1184:BZ1184)</f>
      </c>
      <c r="CB1184" s="933">
        <f t="shared" ref="CB1184:CE1185" si="2418">CB1079-CB1162</f>
      </c>
      <c r="CC1184" s="933">
        <f t="shared" si="2418"/>
      </c>
      <c r="CD1184" s="933">
        <f t="shared" si="2418"/>
      </c>
      <c r="CE1184" s="933">
        <f t="shared" si="2418"/>
      </c>
      <c r="CF1184" s="1061">
        <f>SUM(CB1184:CE1184)</f>
      </c>
      <c r="CG1184" s="933">
        <f t="shared" ref="CG1184:CJ1185" si="2419">CG1079-CG1162</f>
      </c>
      <c r="CH1184" s="933">
        <f t="shared" si="2419"/>
      </c>
      <c r="CI1184" s="933">
        <f t="shared" si="2419"/>
      </c>
      <c r="CJ1184" s="933">
        <f t="shared" si="2419"/>
      </c>
      <c r="CK1184" s="1061">
        <f>SUM(CG1184:CJ1184)</f>
      </c>
      <c r="CL1184" s="933"/>
      <c r="CM1184" s="933"/>
      <c r="CN1184" s="933"/>
      <c r="CO1184" s="933"/>
      <c r="CP1184" s="1061"/>
      <c r="CQ1184" s="933"/>
      <c r="CR1184" s="933"/>
      <c r="CS1184" s="933"/>
      <c r="CT1184" s="962"/>
      <c r="CU1184" s="1061"/>
      <c r="CV1184" s="933"/>
      <c r="CW1184" s="933"/>
      <c r="CX1184" s="933"/>
      <c r="CY1184" s="962"/>
      <c r="CZ1184" s="313"/>
      <c r="DA1184" s="957"/>
      <c r="DB1184" s="31"/>
      <c r="DC1184" s="31"/>
      <c r="DD1184" s="955"/>
      <c r="DE1184" s="477"/>
      <c r="DF1184" s="1799"/>
      <c r="DG1184" s="603"/>
      <c r="DH1184" s="603"/>
      <c r="DI1184" s="1798"/>
      <c r="DJ1184" s="477"/>
      <c r="DK1184" s="1799"/>
      <c r="DL1184" s="603"/>
      <c r="DM1184" s="603"/>
      <c r="DN1184" s="1798"/>
      <c r="DO1184" s="477"/>
      <c r="DP1184" s="603"/>
      <c r="DQ1184" s="603"/>
      <c r="DR1184" s="603"/>
      <c r="DS1184" s="603"/>
      <c r="DT1184" s="477"/>
      <c r="DU1184" s="603"/>
      <c r="DV1184" s="603"/>
      <c r="DW1184" s="603"/>
      <c r="DX1184" s="1798"/>
      <c r="DY1184" s="477"/>
      <c r="DZ1184" s="603"/>
      <c r="EA1184" s="603"/>
      <c r="EB1184" s="603"/>
      <c r="EC1184" s="1798"/>
      <c r="ED1184" s="477"/>
      <c r="EE1184" s="603"/>
      <c r="EF1184" s="603"/>
      <c r="EG1184" s="603"/>
      <c r="EH1184" s="603"/>
      <c r="EI1184" s="1799"/>
      <c r="EJ1184" s="1799"/>
      <c r="EK1184" s="477"/>
      <c r="EL1184" s="477"/>
      <c r="EM1184" s="477"/>
      <c r="EN1184" s="477"/>
      <c r="EO1184" s="1799"/>
      <c r="EP1184" s="1799"/>
      <c r="EQ1184" s="1799"/>
      <c r="ER1184" s="1799"/>
      <c r="ES1184" s="1799"/>
      <c r="ET1184" s="1799"/>
      <c r="EU1184" s="1799"/>
      <c r="EV1184" s="1799"/>
      <c r="EW1184" s="1799"/>
      <c r="EX1184" s="477"/>
    </row>
    <row r="1185" spans="1:154" ht="12.75" hidden="1" customHeight="1" outlineLevel="1">
      <c r="B1185" s="438" t="s">
        <v>412</v>
      </c>
      <c r="C1185" s="1577"/>
      <c r="D1185" s="933">
        <v>459.43396226415092</v>
      </c>
      <c r="E1185" s="33">
        <v>119</v>
      </c>
      <c r="F1185" s="33">
        <v>124</v>
      </c>
      <c r="G1185" s="33">
        <v>120</v>
      </c>
      <c r="H1185" s="33">
        <v>124</v>
      </c>
      <c r="I1185" s="31">
        <f>+SUM(E1185:H1185)</f>
      </c>
      <c r="J1185" s="33">
        <v>138</v>
      </c>
      <c r="K1185" s="33">
        <v>131</v>
      </c>
      <c r="L1185" s="33">
        <v>121</v>
      </c>
      <c r="M1185" s="33">
        <v>125</v>
      </c>
      <c r="N1185" s="31">
        <f>+SUM(J1185:M1185)</f>
      </c>
      <c r="O1185" s="33">
        <v>143</v>
      </c>
      <c r="P1185" s="33">
        <v>147</v>
      </c>
      <c r="Q1185" s="33">
        <v>130</v>
      </c>
      <c r="R1185" s="33">
        <v>156</v>
      </c>
      <c r="S1185" s="31">
        <f>SUM(O1185:R1185)</f>
      </c>
      <c r="T1185" s="33">
        <v>155</v>
      </c>
      <c r="U1185" s="33">
        <v>178</v>
      </c>
      <c r="V1185" s="33">
        <v>189</v>
      </c>
      <c r="W1185" s="33">
        <v>211</v>
      </c>
      <c r="X1185" s="313">
        <f>SUM(T1185:W1185)</f>
      </c>
      <c r="Y1185" s="33">
        <v>236</v>
      </c>
      <c r="Z1185" s="33">
        <v>239</v>
      </c>
      <c r="AA1185" s="33">
        <v>217</v>
      </c>
      <c r="AB1185" s="33">
        <v>257</v>
      </c>
      <c r="AC1185" s="313">
        <f>SUM(Y1185:AB1185)</f>
      </c>
      <c r="AD1185" s="33">
        <v>186</v>
      </c>
      <c r="AE1185" s="33">
        <v>176</v>
      </c>
      <c r="AF1185" s="33">
        <v>158.5</v>
      </c>
      <c r="AG1185" s="33">
        <v>182</v>
      </c>
      <c r="AH1185" s="313">
        <f>SUM(AD1185:AG1185)</f>
      </c>
      <c r="AI1185" s="33">
        <v>192.5</v>
      </c>
      <c r="AJ1185" s="33">
        <v>190</v>
      </c>
      <c r="AK1185" s="33">
        <v>166</v>
      </c>
      <c r="AL1185" s="33">
        <v>178</v>
      </c>
      <c r="AM1185" s="313">
        <f>+SUM(AI1185:AL1185)</f>
      </c>
      <c r="AN1185" s="33">
        <f>194-AN1174-AN1163-AN1152</f>
      </c>
      <c r="AO1185" s="33">
        <f>191-AO1174-AO1163-AO1152</f>
      </c>
      <c r="AP1185" s="33">
        <f>181-AP1174-AP1163-AP1152</f>
      </c>
      <c r="AQ1185" s="33">
        <f>197-AQ1174-AQ1163-AQ1152</f>
      </c>
      <c r="AR1185" s="313">
        <f>+SUM(AN1185:AQ1185)</f>
      </c>
      <c r="AS1185" s="33">
        <f>214-AS1174-AS1163-AS1152</f>
      </c>
      <c r="AT1185" s="33">
        <f>215-AT1174-AT1163-AT1152</f>
      </c>
      <c r="AU1185" s="33">
        <f>214-AU1174-AU1163-AU1152</f>
      </c>
      <c r="AV1185" s="33">
        <f>249-AV1174-AV1163-AV1152</f>
      </c>
      <c r="AW1185" s="313">
        <f>+SUM(AS1185:AV1185)</f>
      </c>
      <c r="AX1185" s="33">
        <f>247-AX1174-AX1163</f>
      </c>
      <c r="AY1185" s="33">
        <f>277-AY1174-AY1163</f>
      </c>
      <c r="AZ1185" s="33">
        <f>257-AZ1174-AZ1163</f>
      </c>
      <c r="BA1185" s="33">
        <f>267-BA1174-BA1163</f>
      </c>
      <c r="BB1185" s="313">
        <f>SUM(AX1185:BA1185)</f>
      </c>
      <c r="BC1185" s="33">
        <f>238-BC1163</f>
      </c>
      <c r="BD1185" s="33">
        <f>257-BD1163</f>
      </c>
      <c r="BE1185" s="33">
        <v>195.5</v>
      </c>
      <c r="BF1185" s="33">
        <v>134.09600000000003</v>
      </c>
      <c r="BG1185" s="313">
        <f>SUM(BC1185:BF1185)</f>
      </c>
      <c r="BH1185" s="33">
        <v>164.22399999999999</v>
      </c>
      <c r="BI1185" s="33">
        <v>170.00000000000006</v>
      </c>
      <c r="BJ1185" s="33">
        <f>350-153.1</f>
      </c>
      <c r="BK1185" s="33">
        <f>383-BK1163-BK1141</f>
      </c>
      <c r="BL1185" s="313">
        <f>SUM(BH1185:BK1185)</f>
      </c>
      <c r="BM1185" s="33">
        <f>393-BM1163-BM1141</f>
      </c>
      <c r="BN1185" s="352">
        <v>195.6</v>
      </c>
      <c r="BO1185" s="352">
        <v>212.74262199999998</v>
      </c>
      <c r="BP1185" s="33">
        <v>153.74000603790347</v>
      </c>
      <c r="BQ1185" s="313">
        <f>SUM(BM1185:BP1185)</f>
      </c>
      <c r="BR1185" s="33">
        <v>137.83818450817651</v>
      </c>
      <c r="BS1185" s="352">
        <f>309-141.8</f>
      </c>
      <c r="BT1185" s="352">
        <f>298-BT1163</f>
      </c>
      <c r="BU1185" s="352">
        <f>320-BU1163</f>
      </c>
      <c r="BV1185" s="313">
        <f>SUM(BR1185:BU1185)</f>
      </c>
      <c r="BW1185" s="352">
        <f>315-BW1163</f>
      </c>
      <c r="BX1185" s="352">
        <f>325-BX1163</f>
      </c>
      <c r="BY1185" s="352">
        <f>305-BY1163</f>
      </c>
      <c r="BZ1185" s="933">
        <f>BZ1080-BZ1163</f>
      </c>
      <c r="CA1185" s="313">
        <f>SUM(BW1185:BZ1185)</f>
      </c>
      <c r="CB1185" s="933">
        <f t="shared" si="2418"/>
      </c>
      <c r="CC1185" s="933">
        <f t="shared" si="2418"/>
      </c>
      <c r="CD1185" s="933">
        <f t="shared" si="2418"/>
      </c>
      <c r="CE1185" s="933">
        <f t="shared" si="2418"/>
      </c>
      <c r="CF1185" s="1061">
        <f>SUM(CB1185:CE1185)</f>
      </c>
      <c r="CG1185" s="933">
        <f t="shared" si="2419"/>
      </c>
      <c r="CH1185" s="933">
        <f t="shared" si="2419"/>
      </c>
      <c r="CI1185" s="933">
        <f t="shared" si="2419"/>
      </c>
      <c r="CJ1185" s="933">
        <f t="shared" si="2419"/>
      </c>
      <c r="CK1185" s="1061">
        <f>SUM(CG1185:CJ1185)</f>
      </c>
      <c r="CL1185" s="933"/>
      <c r="CM1185" s="933"/>
      <c r="CN1185" s="933"/>
      <c r="CO1185" s="933"/>
      <c r="CP1185" s="1061"/>
      <c r="CQ1185" s="933"/>
      <c r="CR1185" s="933"/>
      <c r="CS1185" s="933"/>
      <c r="CT1185" s="962"/>
      <c r="CU1185" s="1061"/>
      <c r="CV1185" s="933"/>
      <c r="CW1185" s="933"/>
      <c r="CX1185" s="933"/>
      <c r="CY1185" s="962"/>
      <c r="CZ1185" s="313"/>
      <c r="DA1185" s="957"/>
      <c r="DB1185" s="31"/>
      <c r="DC1185" s="31"/>
      <c r="DD1185" s="955"/>
      <c r="DE1185" s="477"/>
      <c r="DF1185" s="1799"/>
      <c r="DG1185" s="603"/>
      <c r="DH1185" s="603"/>
      <c r="DI1185" s="1798"/>
      <c r="DJ1185" s="477"/>
      <c r="DK1185" s="1799"/>
      <c r="DL1185" s="603"/>
      <c r="DM1185" s="603"/>
      <c r="DN1185" s="1798"/>
      <c r="DO1185" s="477"/>
      <c r="DP1185" s="603"/>
      <c r="DQ1185" s="603"/>
      <c r="DR1185" s="603"/>
      <c r="DS1185" s="603"/>
      <c r="DT1185" s="477"/>
      <c r="DU1185" s="603"/>
      <c r="DV1185" s="603"/>
      <c r="DW1185" s="603"/>
      <c r="DX1185" s="1798"/>
      <c r="DY1185" s="477"/>
      <c r="DZ1185" s="603"/>
      <c r="EA1185" s="603"/>
      <c r="EB1185" s="603"/>
      <c r="EC1185" s="1798"/>
      <c r="ED1185" s="477"/>
      <c r="EE1185" s="603"/>
      <c r="EF1185" s="603"/>
      <c r="EG1185" s="603"/>
      <c r="EH1185" s="603"/>
      <c r="EI1185" s="1799"/>
      <c r="EJ1185" s="1799"/>
      <c r="EK1185" s="477"/>
      <c r="EL1185" s="477"/>
      <c r="EM1185" s="477"/>
      <c r="EN1185" s="477"/>
      <c r="EO1185" s="1799"/>
      <c r="EP1185" s="1799"/>
      <c r="EQ1185" s="1799"/>
      <c r="ER1185" s="1799"/>
      <c r="ES1185" s="1799"/>
      <c r="ET1185" s="1799"/>
      <c r="EU1185" s="1799"/>
      <c r="EV1185" s="1799"/>
      <c r="EW1185" s="1799"/>
      <c r="EX1185" s="477"/>
    </row>
    <row r="1186" spans="1:154" ht="12.75" hidden="1" customHeight="1" outlineLevel="1">
      <c r="B1186" s="438" t="s">
        <v>413</v>
      </c>
      <c r="C1186" s="1577"/>
      <c r="D1186" s="933">
        <f t="shared" ref="D1186:AI1186" si="2420">SUM(D1184:D1185)</f>
      </c>
      <c r="E1186" s="933">
        <f t="shared" si="2420"/>
      </c>
      <c r="F1186" s="933">
        <f t="shared" si="2420"/>
      </c>
      <c r="G1186" s="933">
        <f t="shared" si="2420"/>
      </c>
      <c r="H1186" s="933">
        <f t="shared" si="2420"/>
      </c>
      <c r="I1186" s="933">
        <f t="shared" si="2420"/>
      </c>
      <c r="J1186" s="933">
        <f t="shared" si="2420"/>
      </c>
      <c r="K1186" s="933">
        <f t="shared" si="2420"/>
      </c>
      <c r="L1186" s="933">
        <f t="shared" si="2420"/>
      </c>
      <c r="M1186" s="933">
        <f t="shared" si="2420"/>
      </c>
      <c r="N1186" s="933">
        <f t="shared" si="2420"/>
      </c>
      <c r="O1186" s="933">
        <f t="shared" si="2420"/>
      </c>
      <c r="P1186" s="933">
        <f t="shared" si="2420"/>
      </c>
      <c r="Q1186" s="933">
        <f t="shared" si="2420"/>
      </c>
      <c r="R1186" s="933">
        <f t="shared" si="2420"/>
      </c>
      <c r="S1186" s="933">
        <f t="shared" si="2420"/>
      </c>
      <c r="T1186" s="933">
        <f t="shared" si="2420"/>
      </c>
      <c r="U1186" s="933">
        <f t="shared" si="2420"/>
      </c>
      <c r="V1186" s="933">
        <f t="shared" si="2420"/>
      </c>
      <c r="W1186" s="933">
        <f t="shared" si="2420"/>
      </c>
      <c r="X1186" s="1061">
        <f t="shared" si="2420"/>
      </c>
      <c r="Y1186" s="933">
        <f t="shared" si="2420"/>
      </c>
      <c r="Z1186" s="933">
        <f t="shared" si="2420"/>
      </c>
      <c r="AA1186" s="933">
        <f t="shared" si="2420"/>
      </c>
      <c r="AB1186" s="933">
        <f t="shared" si="2420"/>
      </c>
      <c r="AC1186" s="1061">
        <f t="shared" si="2420"/>
      </c>
      <c r="AD1186" s="933">
        <f t="shared" si="2420"/>
      </c>
      <c r="AE1186" s="933">
        <f t="shared" si="2420"/>
      </c>
      <c r="AF1186" s="933">
        <f t="shared" si="2420"/>
      </c>
      <c r="AG1186" s="933">
        <f t="shared" si="2420"/>
      </c>
      <c r="AH1186" s="1061">
        <f t="shared" si="2420"/>
      </c>
      <c r="AI1186" s="933">
        <f t="shared" si="2420"/>
      </c>
      <c r="AJ1186" s="933">
        <f>SUM(AJ1184:AJ1185)</f>
      </c>
      <c r="AK1186" s="933">
        <f>SUM(AK1184:AK1185)</f>
      </c>
      <c r="AL1186" s="933">
        <f>SUM(AL1184:AL1185)</f>
      </c>
      <c r="AM1186" s="1061">
        <f>SUM(AM1184:AM1185)</f>
      </c>
      <c r="AN1186" s="933">
        <f t="shared" ref="AN1186:AW1186" si="2421">SUM(AN1184:AN1185)</f>
      </c>
      <c r="AO1186" s="933">
        <f t="shared" si="2421"/>
      </c>
      <c r="AP1186" s="933">
        <f t="shared" si="2421"/>
      </c>
      <c r="AQ1186" s="933">
        <f t="shared" si="2421"/>
      </c>
      <c r="AR1186" s="1061">
        <f t="shared" si="2421"/>
      </c>
      <c r="AS1186" s="933">
        <f t="shared" si="2421"/>
      </c>
      <c r="AT1186" s="933">
        <f t="shared" si="2421"/>
      </c>
      <c r="AU1186" s="933">
        <f t="shared" si="2421"/>
      </c>
      <c r="AV1186" s="933">
        <f t="shared" si="2421"/>
      </c>
      <c r="AW1186" s="1061">
        <f t="shared" si="2421"/>
      </c>
      <c r="AX1186" s="933">
        <f>SUM(AX1184:AX1185)</f>
      </c>
      <c r="AY1186" s="933">
        <f>SUM(AY1184:AY1185)</f>
      </c>
      <c r="AZ1186" s="933">
        <f>SUM(AZ1184:AZ1185)</f>
      </c>
      <c r="BA1186" s="933">
        <f>SUM(BA1184:BA1185)</f>
      </c>
      <c r="BB1186" s="1061">
        <f>+BB1184+BB1185</f>
      </c>
      <c r="BC1186" s="933">
        <f t="shared" ref="BC1186:BJ1186" si="2422">SUM(BC1184:BC1185)</f>
      </c>
      <c r="BD1186" s="933">
        <f t="shared" si="2422"/>
      </c>
      <c r="BE1186" s="933">
        <f t="shared" si="2422"/>
      </c>
      <c r="BF1186" s="933">
        <f t="shared" si="2422"/>
      </c>
      <c r="BG1186" s="1061">
        <f t="shared" si="2422"/>
      </c>
      <c r="BH1186" s="933">
        <f t="shared" si="2422"/>
      </c>
      <c r="BI1186" s="933">
        <f t="shared" si="2422"/>
      </c>
      <c r="BJ1186" s="933">
        <f t="shared" si="2422"/>
      </c>
      <c r="BK1186" s="933">
        <f>+BK1184+BK1185</f>
      </c>
      <c r="BL1186" s="313">
        <f>SUM(BH1186:BK1186)</f>
      </c>
      <c r="BM1186" s="933">
        <f>SUM(BM1184:BM1185)</f>
      </c>
      <c r="BN1186" s="933">
        <f>SUM(BN1184:BN1185)</f>
      </c>
      <c r="BO1186" s="933">
        <f>SUM(BO1184:BO1185)</f>
      </c>
      <c r="BP1186" s="933">
        <f>+BP1184+BP1185</f>
      </c>
      <c r="BQ1186" s="313">
        <f>SUM(BM1186:BP1186)</f>
      </c>
      <c r="BR1186" s="933">
        <f>SUM(BR1184:BR1185)</f>
      </c>
      <c r="BS1186" s="933">
        <f>SUM(BS1184:BS1185)</f>
      </c>
      <c r="BT1186" s="933">
        <f>SUM(BT1184:BT1185)</f>
      </c>
      <c r="BU1186" s="933">
        <f>+BU1184+BU1185</f>
      </c>
      <c r="BV1186" s="313">
        <f>SUM(BR1186:BU1186)</f>
      </c>
      <c r="BW1186" s="933">
        <f>SUM(BW1184:BW1185)</f>
      </c>
      <c r="BX1186" s="933">
        <f>SUM(BX1184:BX1185)</f>
      </c>
      <c r="BY1186" s="933">
        <f>SUM(BY1184:BY1185)</f>
      </c>
      <c r="BZ1186" s="933">
        <f>SUM(BZ1184:BZ1185)</f>
      </c>
      <c r="CA1186" s="313">
        <f>SUM(BW1186:BZ1186)</f>
      </c>
      <c r="CB1186" s="933">
        <f>SUM(CB1184:CB1185)</f>
      </c>
      <c r="CC1186" s="933">
        <f>SUM(CC1184:CC1185)</f>
      </c>
      <c r="CD1186" s="933">
        <f>SUM(CD1184:CD1185)</f>
      </c>
      <c r="CE1186" s="933">
        <f>SUM(CE1184:CE1185)</f>
      </c>
      <c r="CF1186" s="1061">
        <f>SUM(CB1186:CE1186)</f>
      </c>
      <c r="CG1186" s="933">
        <f>SUM(CG1184:CG1185)</f>
      </c>
      <c r="CH1186" s="933">
        <f>SUM(CH1184:CH1185)</f>
      </c>
      <c r="CI1186" s="933">
        <f>SUM(CI1184:CI1185)</f>
      </c>
      <c r="CJ1186" s="933">
        <f>SUM(CJ1184:CJ1185)</f>
      </c>
      <c r="CK1186" s="1061">
        <f>SUM(CG1186:CJ1186)</f>
      </c>
      <c r="CL1186" s="933"/>
      <c r="CM1186" s="933"/>
      <c r="CN1186" s="933"/>
      <c r="CO1186" s="933"/>
      <c r="CP1186" s="1061"/>
      <c r="CQ1186" s="933"/>
      <c r="CR1186" s="933"/>
      <c r="CS1186" s="933"/>
      <c r="CT1186" s="962"/>
      <c r="CU1186" s="1061"/>
      <c r="CV1186" s="933"/>
      <c r="CW1186" s="933"/>
      <c r="CX1186" s="933"/>
      <c r="CY1186" s="962"/>
      <c r="CZ1186" s="313"/>
      <c r="DA1186" s="957"/>
      <c r="DB1186" s="31"/>
      <c r="DC1186" s="31"/>
      <c r="DD1186" s="955"/>
      <c r="DE1186" s="477"/>
      <c r="DF1186" s="1799"/>
      <c r="DG1186" s="603"/>
      <c r="DH1186" s="603"/>
      <c r="DI1186" s="1798"/>
      <c r="DJ1186" s="477"/>
      <c r="DK1186" s="1799"/>
      <c r="DL1186" s="603"/>
      <c r="DM1186" s="603"/>
      <c r="DN1186" s="1798"/>
      <c r="DO1186" s="477"/>
      <c r="DP1186" s="603"/>
      <c r="DQ1186" s="603"/>
      <c r="DR1186" s="603"/>
      <c r="DS1186" s="603"/>
      <c r="DT1186" s="477"/>
      <c r="DU1186" s="603"/>
      <c r="DV1186" s="603"/>
      <c r="DW1186" s="603"/>
      <c r="DX1186" s="1798"/>
      <c r="DY1186" s="477"/>
      <c r="DZ1186" s="603"/>
      <c r="EA1186" s="603"/>
      <c r="EB1186" s="603"/>
      <c r="EC1186" s="1798"/>
      <c r="ED1186" s="477"/>
      <c r="EE1186" s="603"/>
      <c r="EF1186" s="603"/>
      <c r="EG1186" s="603"/>
      <c r="EH1186" s="603"/>
      <c r="EI1186" s="1799"/>
      <c r="EJ1186" s="1799"/>
      <c r="EK1186" s="477"/>
      <c r="EL1186" s="477"/>
      <c r="EM1186" s="477"/>
      <c r="EN1186" s="477"/>
      <c r="EO1186" s="1799"/>
      <c r="EP1186" s="1799"/>
      <c r="EQ1186" s="1799"/>
      <c r="ER1186" s="1799"/>
      <c r="ES1186" s="1799"/>
      <c r="ET1186" s="1799"/>
      <c r="EU1186" s="1799"/>
      <c r="EV1186" s="1799"/>
      <c r="EW1186" s="1799"/>
      <c r="EX1186" s="477"/>
    </row>
    <row r="1187" spans="1:154" ht="12.75" hidden="1" customHeight="1" outlineLevel="1">
      <c r="B1187" s="437"/>
      <c r="C1187" s="1577"/>
      <c r="D1187" s="933"/>
      <c r="E1187" s="933"/>
      <c r="F1187" s="933"/>
      <c r="G1187" s="933"/>
      <c r="H1187" s="933"/>
      <c r="I1187" s="933"/>
      <c r="J1187" s="933"/>
      <c r="K1187" s="933"/>
      <c r="L1187" s="933"/>
      <c r="M1187" s="933"/>
      <c r="N1187" s="933"/>
      <c r="O1187" s="933"/>
      <c r="P1187" s="933"/>
      <c r="Q1187" s="933"/>
      <c r="R1187" s="933"/>
      <c r="S1187" s="933"/>
      <c r="T1187" s="933"/>
      <c r="U1187" s="933"/>
      <c r="V1187" s="933"/>
      <c r="W1187" s="933"/>
      <c r="X1187" s="1061"/>
      <c r="Y1187" s="933"/>
      <c r="Z1187" s="933"/>
      <c r="AA1187" s="933"/>
      <c r="AB1187" s="933"/>
      <c r="AC1187" s="1061"/>
      <c r="AD1187" s="933"/>
      <c r="AE1187" s="933"/>
      <c r="AF1187" s="933"/>
      <c r="AG1187" s="933"/>
      <c r="AH1187" s="1061"/>
      <c r="AI1187" s="933"/>
      <c r="AJ1187" s="933"/>
      <c r="AK1187" s="933"/>
      <c r="AL1187" s="933"/>
      <c r="AM1187" s="1061"/>
      <c r="AN1187" s="933"/>
      <c r="AO1187" s="933"/>
      <c r="AP1187" s="933"/>
      <c r="AQ1187" s="933"/>
      <c r="AR1187" s="1061"/>
      <c r="AS1187" s="33"/>
      <c r="AT1187" s="33"/>
      <c r="AU1187" s="33"/>
      <c r="AV1187" s="33"/>
      <c r="AW1187" s="1061"/>
      <c r="AX1187" s="33"/>
      <c r="AY1187" s="33"/>
      <c r="AZ1187" s="33"/>
      <c r="BA1187" s="33"/>
      <c r="BB1187" s="1061"/>
      <c r="BC1187" s="933"/>
      <c r="BD1187" s="933"/>
      <c r="BE1187" s="933"/>
      <c r="BF1187" s="933"/>
      <c r="BG1187" s="1061"/>
      <c r="BH1187" s="933"/>
      <c r="BI1187" s="933"/>
      <c r="BJ1187" s="933"/>
      <c r="BK1187" s="933"/>
      <c r="BL1187" s="1061"/>
      <c r="BM1187" s="933"/>
      <c r="BN1187" s="933"/>
      <c r="BO1187" s="933"/>
      <c r="BP1187" s="933">
        <f>191-BP1079</f>
      </c>
      <c r="BQ1187" s="1061"/>
      <c r="BR1187" s="933"/>
      <c r="BS1187" s="933"/>
      <c r="BT1187" s="933"/>
      <c r="BU1187" s="933"/>
      <c r="BV1187" s="1061"/>
      <c r="BW1187" s="933"/>
      <c r="BX1187" s="933"/>
      <c r="BY1187" s="933"/>
      <c r="BZ1187" s="933"/>
      <c r="CA1187" s="1060"/>
      <c r="CB1187" s="933"/>
      <c r="CC1187" s="933"/>
      <c r="CD1187" s="933"/>
      <c r="CE1187" s="933"/>
      <c r="CF1187" s="1061"/>
      <c r="CG1187" s="933"/>
      <c r="CH1187" s="933"/>
      <c r="CI1187" s="933"/>
      <c r="CJ1187" s="933"/>
      <c r="CK1187" s="1061"/>
      <c r="CL1187" s="933"/>
      <c r="CM1187" s="933"/>
      <c r="CN1187" s="933"/>
      <c r="CO1187" s="933"/>
      <c r="CP1187" s="1061"/>
      <c r="CQ1187" s="933"/>
      <c r="CR1187" s="933"/>
      <c r="CS1187" s="933"/>
      <c r="CT1187" s="962"/>
      <c r="CU1187" s="1061"/>
      <c r="CV1187" s="933"/>
      <c r="CW1187" s="933"/>
      <c r="CX1187" s="933"/>
      <c r="CY1187" s="962"/>
      <c r="CZ1187" s="313"/>
      <c r="DA1187" s="957"/>
      <c r="DB1187" s="31"/>
      <c r="DC1187" s="31"/>
      <c r="DD1187" s="955"/>
      <c r="DE1187" s="477"/>
      <c r="DF1187" s="1799"/>
      <c r="DG1187" s="603"/>
      <c r="DH1187" s="603"/>
      <c r="DI1187" s="1798"/>
      <c r="DJ1187" s="477"/>
      <c r="DK1187" s="1799"/>
      <c r="DL1187" s="603"/>
      <c r="DM1187" s="603"/>
      <c r="DN1187" s="1798"/>
      <c r="DO1187" s="477"/>
      <c r="DP1187" s="603"/>
      <c r="DQ1187" s="603"/>
      <c r="DR1187" s="603"/>
      <c r="DS1187" s="603"/>
      <c r="DT1187" s="477"/>
      <c r="DU1187" s="603"/>
      <c r="DV1187" s="603"/>
      <c r="DW1187" s="603"/>
      <c r="DX1187" s="1798"/>
      <c r="DY1187" s="477"/>
      <c r="DZ1187" s="603"/>
      <c r="EA1187" s="603"/>
      <c r="EB1187" s="603"/>
      <c r="EC1187" s="1798"/>
      <c r="ED1187" s="477"/>
      <c r="EE1187" s="603"/>
      <c r="EF1187" s="603"/>
      <c r="EG1187" s="603"/>
      <c r="EH1187" s="603"/>
      <c r="EI1187" s="1799"/>
      <c r="EJ1187" s="1799"/>
      <c r="EK1187" s="477"/>
      <c r="EL1187" s="477"/>
      <c r="EM1187" s="477"/>
      <c r="EN1187" s="477"/>
      <c r="EO1187" s="1799"/>
      <c r="EP1187" s="1799"/>
      <c r="EQ1187" s="1799"/>
      <c r="ER1187" s="1799"/>
      <c r="ES1187" s="1799"/>
      <c r="ET1187" s="1799"/>
      <c r="EU1187" s="1799"/>
      <c r="EV1187" s="1799"/>
      <c r="EW1187" s="1799"/>
      <c r="EX1187" s="477"/>
    </row>
    <row r="1188" spans="1:154" ht="12.75" hidden="1" customHeight="1" outlineLevel="1">
      <c r="B1188" s="455" t="s">
        <v>137</v>
      </c>
      <c r="C1188" s="1577"/>
      <c r="D1188" s="933"/>
      <c r="E1188" s="933"/>
      <c r="F1188" s="933"/>
      <c r="G1188" s="933"/>
      <c r="H1188" s="933"/>
      <c r="I1188" s="933"/>
      <c r="J1188" s="933"/>
      <c r="K1188" s="933"/>
      <c r="L1188" s="933"/>
      <c r="M1188" s="933"/>
      <c r="N1188" s="933"/>
      <c r="O1188" s="933"/>
      <c r="P1188" s="933"/>
      <c r="Q1188" s="933"/>
      <c r="R1188" s="933"/>
      <c r="S1188" s="933"/>
      <c r="T1188" s="933"/>
      <c r="U1188" s="933"/>
      <c r="V1188" s="933"/>
      <c r="W1188" s="933"/>
      <c r="X1188" s="1061"/>
      <c r="Y1188" s="933"/>
      <c r="Z1188" s="933"/>
      <c r="AA1188" s="933"/>
      <c r="AB1188" s="933"/>
      <c r="AC1188" s="1061"/>
      <c r="AD1188" s="933"/>
      <c r="AE1188" s="933"/>
      <c r="AF1188" s="933"/>
      <c r="AG1188" s="933"/>
      <c r="AH1188" s="1061"/>
      <c r="AI1188" s="933"/>
      <c r="AJ1188" s="933"/>
      <c r="AK1188" s="933"/>
      <c r="AL1188" s="933"/>
      <c r="AM1188" s="1061"/>
      <c r="AN1188" s="933"/>
      <c r="AO1188" s="33"/>
      <c r="AP1188" s="33"/>
      <c r="AQ1188" s="33"/>
      <c r="AR1188" s="1061"/>
      <c r="AS1188" s="33"/>
      <c r="AT1188" s="33"/>
      <c r="AU1188" s="33"/>
      <c r="AV1188" s="33"/>
      <c r="AW1188" s="1061"/>
      <c r="AX1188" s="33"/>
      <c r="AY1188" s="33"/>
      <c r="AZ1188" s="33"/>
      <c r="BA1188" s="33"/>
      <c r="BB1188" s="1061"/>
      <c r="BC1188" s="933"/>
      <c r="BD1188" s="933"/>
      <c r="BE1188" s="933"/>
      <c r="BF1188" s="933"/>
      <c r="BG1188" s="1061"/>
      <c r="BH1188" s="933"/>
      <c r="BI1188" s="933"/>
      <c r="BJ1188" s="933"/>
      <c r="BK1188" s="933"/>
      <c r="BL1188" s="1061"/>
      <c r="BM1188" s="933"/>
      <c r="BN1188" s="933"/>
      <c r="BO1188" s="933"/>
      <c r="BP1188" s="933">
        <f>349-BP1080</f>
      </c>
      <c r="BQ1188" s="1061"/>
      <c r="BR1188" s="933"/>
      <c r="BS1188" s="933"/>
      <c r="BT1188" s="933"/>
      <c r="BU1188" s="933"/>
      <c r="BV1188" s="1061"/>
      <c r="BW1188" s="933"/>
      <c r="BX1188" s="933"/>
      <c r="BY1188" s="933"/>
      <c r="BZ1188" s="933"/>
      <c r="CA1188" s="313"/>
      <c r="CB1188" s="933"/>
      <c r="CC1188" s="933"/>
      <c r="CD1188" s="933"/>
      <c r="CE1188" s="933"/>
      <c r="CF1188" s="1061"/>
      <c r="CG1188" s="933"/>
      <c r="CH1188" s="933"/>
      <c r="CI1188" s="933"/>
      <c r="CJ1188" s="933"/>
      <c r="CK1188" s="1061"/>
      <c r="CL1188" s="933"/>
      <c r="CM1188" s="933"/>
      <c r="CN1188" s="933"/>
      <c r="CO1188" s="933"/>
      <c r="CP1188" s="1061"/>
      <c r="CQ1188" s="933"/>
      <c r="CR1188" s="933"/>
      <c r="CS1188" s="933"/>
      <c r="CT1188" s="962"/>
      <c r="CU1188" s="1061"/>
      <c r="CV1188" s="933"/>
      <c r="CW1188" s="933"/>
      <c r="CX1188" s="933"/>
      <c r="CY1188" s="962"/>
      <c r="CZ1188" s="313"/>
      <c r="DA1188" s="957"/>
      <c r="DB1188" s="31"/>
      <c r="DC1188" s="31"/>
      <c r="DD1188" s="955"/>
      <c r="DE1188" s="477"/>
      <c r="DF1188" s="1799"/>
      <c r="DG1188" s="603"/>
      <c r="DH1188" s="603"/>
      <c r="DI1188" s="1798"/>
      <c r="DJ1188" s="477"/>
      <c r="DK1188" s="1799"/>
      <c r="DL1188" s="603"/>
      <c r="DM1188" s="603"/>
      <c r="DN1188" s="1798"/>
      <c r="DO1188" s="477"/>
      <c r="DP1188" s="603"/>
      <c r="DQ1188" s="603"/>
      <c r="DR1188" s="603"/>
      <c r="DS1188" s="603"/>
      <c r="DT1188" s="477"/>
      <c r="DU1188" s="603"/>
      <c r="DV1188" s="603"/>
      <c r="DW1188" s="603"/>
      <c r="DX1188" s="1798"/>
      <c r="DY1188" s="477"/>
      <c r="DZ1188" s="603"/>
      <c r="EA1188" s="603"/>
      <c r="EB1188" s="603"/>
      <c r="EC1188" s="1798"/>
      <c r="ED1188" s="477"/>
      <c r="EE1188" s="603"/>
      <c r="EF1188" s="603"/>
      <c r="EG1188" s="603"/>
      <c r="EH1188" s="603"/>
      <c r="EI1188" s="1799"/>
      <c r="EJ1188" s="1799"/>
      <c r="EK1188" s="477"/>
      <c r="EL1188" s="477"/>
      <c r="EM1188" s="477"/>
      <c r="EN1188" s="477"/>
      <c r="EO1188" s="1799"/>
      <c r="EP1188" s="1799"/>
      <c r="EQ1188" s="1799"/>
      <c r="ER1188" s="1799"/>
      <c r="ES1188" s="1799"/>
      <c r="ET1188" s="1799"/>
      <c r="EU1188" s="1799"/>
      <c r="EV1188" s="1799"/>
      <c r="EW1188" s="1799"/>
      <c r="EX1188" s="477"/>
    </row>
    <row r="1189" spans="1:154" ht="12.75" hidden="1" customHeight="1" outlineLevel="1">
      <c r="B1189" s="440" t="s">
        <v>156</v>
      </c>
      <c r="C1189" s="1577"/>
      <c r="D1189" s="933"/>
      <c r="E1189" s="933"/>
      <c r="F1189" s="933"/>
      <c r="G1189" s="933"/>
      <c r="H1189" s="933"/>
      <c r="I1189" s="29"/>
      <c r="J1189" s="926">
        <f t="shared" ref="J1189:BT1190" si="2423">IF(E1184="NM","NM",IF(J1184="NM","NM",IF(E1184&lt;=0,"NM",IF(J1184=0,"NM",IF(ABS(J1184/E1184-1)&gt;2.5,"NM",IF((ABS(J1184-E1184)=ABS(ABS(J1184)-ABS(E1184))),(J1184/E1184-1),"NM"))))))</f>
      </c>
      <c r="K1189" s="926">
        <f t="shared" si="2423"/>
      </c>
      <c r="L1189" s="926">
        <f t="shared" si="2423"/>
      </c>
      <c r="M1189" s="926">
        <f t="shared" si="2423"/>
      </c>
      <c r="N1189" s="926">
        <f t="shared" si="2423"/>
      </c>
      <c r="O1189" s="926">
        <f t="shared" si="2423"/>
      </c>
      <c r="P1189" s="926">
        <f t="shared" si="2423"/>
      </c>
      <c r="Q1189" s="926">
        <f t="shared" si="2423"/>
      </c>
      <c r="R1189" s="926">
        <f t="shared" si="2423"/>
      </c>
      <c r="S1189" s="926">
        <f t="shared" si="2423"/>
      </c>
      <c r="T1189" s="926">
        <f t="shared" si="2423"/>
      </c>
      <c r="U1189" s="926">
        <f t="shared" si="2423"/>
      </c>
      <c r="V1189" s="926">
        <f t="shared" si="2423"/>
      </c>
      <c r="W1189" s="926">
        <f t="shared" si="2423"/>
      </c>
      <c r="X1189" s="1060">
        <f t="shared" si="2423"/>
      </c>
      <c r="Y1189" s="926">
        <f t="shared" si="2423"/>
      </c>
      <c r="Z1189" s="926">
        <f t="shared" si="2423"/>
      </c>
      <c r="AA1189" s="926">
        <f t="shared" si="2423"/>
      </c>
      <c r="AB1189" s="926">
        <f t="shared" si="2423"/>
      </c>
      <c r="AC1189" s="1060">
        <f t="shared" si="2423"/>
      </c>
      <c r="AD1189" s="926">
        <f t="shared" si="2423"/>
      </c>
      <c r="AE1189" s="926">
        <f t="shared" si="2423"/>
      </c>
      <c r="AF1189" s="926">
        <f t="shared" si="2423"/>
      </c>
      <c r="AG1189" s="926">
        <f t="shared" si="2423"/>
      </c>
      <c r="AH1189" s="1060">
        <f t="shared" si="2423"/>
      </c>
      <c r="AI1189" s="926">
        <f t="shared" si="2423"/>
      </c>
      <c r="AJ1189" s="926">
        <f t="shared" si="2423"/>
      </c>
      <c r="AK1189" s="926">
        <f t="shared" si="2423"/>
      </c>
      <c r="AL1189" s="926">
        <f t="shared" si="2423"/>
      </c>
      <c r="AM1189" s="1060">
        <f t="shared" si="2423"/>
      </c>
      <c r="AN1189" s="926">
        <f t="shared" si="2423"/>
      </c>
      <c r="AO1189" s="926">
        <f t="shared" si="2423"/>
      </c>
      <c r="AP1189" s="926">
        <f t="shared" si="2423"/>
      </c>
      <c r="AQ1189" s="926">
        <f t="shared" si="2423"/>
      </c>
      <c r="AR1189" s="1060">
        <f t="shared" si="2423"/>
      </c>
      <c r="AS1189" s="926">
        <f t="shared" si="2423"/>
      </c>
      <c r="AT1189" s="926">
        <f t="shared" si="2423"/>
      </c>
      <c r="AU1189" s="926">
        <f t="shared" si="2423"/>
      </c>
      <c r="AV1189" s="926">
        <f t="shared" si="2423"/>
      </c>
      <c r="AW1189" s="1060">
        <f t="shared" si="2423"/>
      </c>
      <c r="AX1189" s="926">
        <f t="shared" si="2423"/>
      </c>
      <c r="AY1189" s="926">
        <f t="shared" si="2423"/>
      </c>
      <c r="AZ1189" s="926">
        <f t="shared" si="2423"/>
      </c>
      <c r="BA1189" s="926">
        <f t="shared" si="2423"/>
      </c>
      <c r="BB1189" s="1060">
        <f t="shared" si="2423"/>
      </c>
      <c r="BC1189" s="926">
        <f t="shared" si="2423"/>
      </c>
      <c r="BD1189" s="926">
        <f t="shared" si="2423"/>
      </c>
      <c r="BE1189" s="926">
        <f t="shared" si="2423"/>
      </c>
      <c r="BF1189" s="926">
        <f t="shared" si="2423"/>
      </c>
      <c r="BG1189" s="1060">
        <f>IF(BB1184="NM","NM",IF(BG1184="NM","NM",IF(BB1184&lt;=0,"NM",IF(BG1184=0,"NM",IF(ABS(BG1184/BB1184-1)&gt;2.5,"NM",IF((ABS(BG1184-BB1184)=ABS(ABS(BG1184)-ABS(BB1184))),(BG1184/BB1184-1),"NM"))))))</f>
      </c>
      <c r="BH1189" s="926">
        <f t="shared" si="2423"/>
      </c>
      <c r="BI1189" s="926">
        <f t="shared" si="2423"/>
      </c>
      <c r="BJ1189" s="926">
        <f t="shared" si="2423"/>
      </c>
      <c r="BK1189" s="926">
        <f t="shared" si="2423"/>
      </c>
      <c r="BL1189" s="1060">
        <f>IF(BG1184="NM","NM",IF(BL1184="NM","NM",IF(BG1184&lt;=0,"NM",IF(BL1184=0,"NM",IF(ABS(BL1184/BG1184-1)&gt;2.5,"NM",IF((ABS(BL1184-BG1184)=ABS(ABS(BL1184)-ABS(BG1184))),(BL1184/BG1184-1),"NM"))))))</f>
      </c>
      <c r="BM1189" s="926">
        <f t="shared" si="2423"/>
      </c>
      <c r="BN1189" s="926">
        <f t="shared" si="2423"/>
      </c>
      <c r="BO1189" s="926">
        <f t="shared" si="2423"/>
      </c>
      <c r="BP1189" s="926">
        <f t="shared" si="2423"/>
      </c>
      <c r="BQ1189" s="1060">
        <f t="shared" si="2423"/>
      </c>
      <c r="BR1189" s="926">
        <f t="shared" si="2423"/>
      </c>
      <c r="BS1189" s="926">
        <f t="shared" si="2423"/>
      </c>
      <c r="BT1189" s="926">
        <f t="shared" si="2423"/>
      </c>
      <c r="BU1189" s="926">
        <f>IF(BP1184="NM","NM",IF(BU1184="NM","NM",IF(BP1184&lt;=0,"NM",IF(BU1184=0,"NM",IF(ABS(BU1184/BP1184-1)&gt;2.5,"NM",IF((ABS(BU1184-BP1184)=ABS(ABS(BU1184)-ABS(BP1184))),(BU1184/BP1184-1),"NM"))))))</f>
      </c>
      <c r="BV1189" s="1060">
        <f>IF(BQ1184="NM","NM",IF(BV1184="NM","NM",IF(BQ1184&lt;=0,"NM",IF(BV1184=0,"NM",IF(ABS(BV1184/BQ1184-1)&gt;2.5,"NM",IF((ABS(BV1184-BQ1184)=ABS(ABS(BV1184)-ABS(BQ1184))),(BV1184/BQ1184-1),"NM"))))))</f>
      </c>
      <c r="BW1189" s="926">
        <f t="shared" ref="BP1189:BY1190" si="2424">IF(BR1184="NM","NM",IF(BW1184="NM","NM",IF(BR1184&lt;=0,"NM",IF(BW1184=0,"NM",IF(ABS(BW1184/BR1184-1)&gt;2.5,"NM",IF((ABS(BW1184-BR1184)=ABS(ABS(BW1184)-ABS(BR1184))),(BW1184/BR1184-1),"NM"))))))</f>
      </c>
      <c r="BX1189" s="926">
        <f t="shared" si="2424"/>
      </c>
      <c r="BY1189" s="926">
        <f t="shared" si="2424"/>
      </c>
      <c r="BZ1189" s="926">
        <f>IF(BU1184="NM","NM",IF(BZ1184="NM","NM",IF(BU1184&lt;=0,"NM",IF(BZ1184=0,"NM",IF(ABS(BZ1184/BU1184-1)&gt;2.5,"NM",IF((ABS(BZ1184-BU1184)=ABS(ABS(BZ1184)-ABS(BU1184))),(BZ1184/BU1184-1),"NM"))))))</f>
      </c>
      <c r="CA1189" s="2248">
        <f>IF(BV1184="NM","NM",IF(CA1184="NM","NM",IF(BV1184&lt;=0,"NM",IF(CA1184=0,"NM",IF(ABS(CA1184/BV1184-1)&gt;2.5,"NM",IF((ABS(CA1184-BV1184)=ABS(ABS(CA1184)-ABS(BV1184))),(CA1184/BV1184-1),"NM"))))))</f>
      </c>
      <c r="CB1189" s="926">
        <f t="shared" ref="CB1189:CD1190" si="2425">IF(BW1184="NM","NM",IF(CB1184="NM","NM",IF(BW1184&lt;=0,"NM",IF(CB1184=0,"NM",IF(ABS(CB1184/BW1184-1)&gt;2.5,"NM",IF((ABS(CB1184-BW1184)=ABS(ABS(CB1184)-ABS(BW1184))),(CB1184/BW1184-1),"NM"))))))</f>
      </c>
      <c r="CC1189" s="926">
        <f t="shared" si="2425"/>
      </c>
      <c r="CD1189" s="926">
        <f t="shared" si="2425"/>
      </c>
      <c r="CE1189" s="926">
        <f>IF(BZ1184="NM","NM",IF(CE1184="NM","NM",IF(BZ1184&lt;=0,"NM",IF(CE1184=0,"NM",IF(ABS(CE1184/BZ1184-1)&gt;2.5,"NM",IF((ABS(CE1184-BZ1184)=ABS(ABS(CE1184)-ABS(BZ1184))),(CE1184/BZ1184-1),"NM"))))))</f>
      </c>
      <c r="CF1189" s="2248">
        <f>IF(CA1184="NM","NM",IF(CF1184="NM","NM",IF(CA1184&lt;=0,"NM",IF(CF1184=0,"NM",IF(ABS(CF1184/CA1184-1)&gt;2.5,"NM",IF((ABS(CF1184-CA1184)=ABS(ABS(CF1184)-ABS(CA1184))),(CF1184/CA1184-1),"NM"))))))</f>
      </c>
      <c r="CG1189" s="926">
        <f t="shared" ref="CG1189:CJ1190" si="2426">IF(CB1184="NM","NM",IF(CG1184="NM","NM",IF(CB1184&lt;=0,"NM",IF(CG1184=0,"NM",IF(ABS(CG1184/CB1184-1)&gt;2.5,"NM",IF((ABS(CG1184-CB1184)=ABS(ABS(CG1184)-ABS(CB1184))),(CG1184/CB1184-1),"NM"))))))</f>
      </c>
      <c r="CH1189" s="926">
        <f t="shared" si="2426"/>
      </c>
      <c r="CI1189" s="926">
        <f t="shared" si="2426"/>
      </c>
      <c r="CJ1189" s="926">
        <f t="shared" si="2426"/>
      </c>
      <c r="CK1189" s="1060">
        <f>IF(CF1184=0, 0, CK1184/CF1184-1)</f>
      </c>
      <c r="CL1189" s="933"/>
      <c r="CM1189" s="933"/>
      <c r="CN1189" s="933"/>
      <c r="CO1189" s="926"/>
      <c r="CP1189" s="1061"/>
      <c r="CQ1189" s="933"/>
      <c r="CR1189" s="933"/>
      <c r="CS1189" s="933"/>
      <c r="CT1189" s="962"/>
      <c r="CU1189" s="1061"/>
      <c r="CV1189" s="933"/>
      <c r="CW1189" s="933"/>
      <c r="CX1189" s="933"/>
      <c r="CY1189" s="962"/>
      <c r="CZ1189" s="313"/>
      <c r="DA1189" s="957"/>
      <c r="DB1189" s="31"/>
      <c r="DC1189" s="31"/>
      <c r="DD1189" s="955"/>
      <c r="DE1189" s="477"/>
      <c r="DF1189" s="1799"/>
      <c r="DG1189" s="603"/>
      <c r="DH1189" s="603"/>
      <c r="DI1189" s="1798"/>
      <c r="DJ1189" s="477"/>
      <c r="DK1189" s="1799"/>
      <c r="DL1189" s="603"/>
      <c r="DM1189" s="603"/>
      <c r="DN1189" s="1798"/>
      <c r="DO1189" s="477"/>
      <c r="DP1189" s="603"/>
      <c r="DQ1189" s="603"/>
      <c r="DR1189" s="603"/>
      <c r="DS1189" s="603"/>
      <c r="DT1189" s="477"/>
      <c r="DU1189" s="603"/>
      <c r="DV1189" s="603"/>
      <c r="DW1189" s="603"/>
      <c r="DX1189" s="1798"/>
      <c r="DY1189" s="477"/>
      <c r="DZ1189" s="603"/>
      <c r="EA1189" s="603"/>
      <c r="EB1189" s="603"/>
      <c r="EC1189" s="1798"/>
      <c r="ED1189" s="477"/>
      <c r="EE1189" s="603"/>
      <c r="EF1189" s="603"/>
      <c r="EG1189" s="603"/>
      <c r="EH1189" s="603"/>
      <c r="EI1189" s="1799"/>
      <c r="EJ1189" s="1799"/>
      <c r="EK1189" s="477"/>
      <c r="EL1189" s="477"/>
      <c r="EM1189" s="477"/>
      <c r="EN1189" s="477"/>
      <c r="EO1189" s="1799"/>
      <c r="EP1189" s="1799"/>
      <c r="EQ1189" s="1799"/>
      <c r="ER1189" s="1799"/>
      <c r="ES1189" s="1799"/>
      <c r="ET1189" s="1799"/>
      <c r="EU1189" s="1799"/>
      <c r="EV1189" s="1799"/>
      <c r="EW1189" s="1799"/>
      <c r="EX1189" s="477"/>
    </row>
    <row r="1190" spans="1:154" ht="12.75" hidden="1" customHeight="1" outlineLevel="1">
      <c r="B1190" s="440" t="s">
        <v>235</v>
      </c>
      <c r="C1190" s="1577"/>
      <c r="D1190" s="933"/>
      <c r="E1190" s="933"/>
      <c r="F1190" s="933"/>
      <c r="G1190" s="933"/>
      <c r="H1190" s="933"/>
      <c r="I1190" s="29"/>
      <c r="J1190" s="926">
        <f t="shared" si="2423"/>
      </c>
      <c r="K1190" s="926">
        <f t="shared" si="2423"/>
      </c>
      <c r="L1190" s="926">
        <f t="shared" si="2423"/>
      </c>
      <c r="M1190" s="926">
        <f t="shared" si="2423"/>
      </c>
      <c r="N1190" s="926">
        <f t="shared" si="2423"/>
      </c>
      <c r="O1190" s="926">
        <f t="shared" si="2423"/>
      </c>
      <c r="P1190" s="926">
        <f t="shared" si="2423"/>
      </c>
      <c r="Q1190" s="926">
        <f t="shared" si="2423"/>
      </c>
      <c r="R1190" s="926">
        <f t="shared" si="2423"/>
      </c>
      <c r="S1190" s="926">
        <f t="shared" si="2423"/>
      </c>
      <c r="T1190" s="926">
        <f t="shared" si="2423"/>
      </c>
      <c r="U1190" s="926">
        <f t="shared" si="2423"/>
      </c>
      <c r="V1190" s="926">
        <f t="shared" si="2423"/>
      </c>
      <c r="W1190" s="926">
        <f t="shared" si="2423"/>
      </c>
      <c r="X1190" s="1060">
        <f t="shared" si="2423"/>
      </c>
      <c r="Y1190" s="926">
        <f t="shared" si="2423"/>
      </c>
      <c r="Z1190" s="926">
        <f t="shared" si="2423"/>
      </c>
      <c r="AA1190" s="926">
        <f t="shared" si="2423"/>
      </c>
      <c r="AB1190" s="926">
        <f t="shared" si="2423"/>
      </c>
      <c r="AC1190" s="1060">
        <f t="shared" si="2423"/>
      </c>
      <c r="AD1190" s="926">
        <f t="shared" si="2423"/>
      </c>
      <c r="AE1190" s="926">
        <f t="shared" si="2423"/>
      </c>
      <c r="AF1190" s="926">
        <f t="shared" si="2423"/>
      </c>
      <c r="AG1190" s="926">
        <f t="shared" si="2423"/>
      </c>
      <c r="AH1190" s="1060">
        <f t="shared" si="2423"/>
      </c>
      <c r="AI1190" s="926">
        <f t="shared" si="2423"/>
      </c>
      <c r="AJ1190" s="926">
        <f t="shared" si="2423"/>
      </c>
      <c r="AK1190" s="926">
        <f t="shared" si="2423"/>
      </c>
      <c r="AL1190" s="926">
        <f t="shared" si="2423"/>
      </c>
      <c r="AM1190" s="1060">
        <f t="shared" si="2423"/>
      </c>
      <c r="AN1190" s="926">
        <f t="shared" si="2423"/>
      </c>
      <c r="AO1190" s="926">
        <f t="shared" si="2423"/>
      </c>
      <c r="AP1190" s="926">
        <f t="shared" si="2423"/>
      </c>
      <c r="AQ1190" s="926">
        <f t="shared" si="2423"/>
      </c>
      <c r="AR1190" s="1060">
        <f t="shared" si="2423"/>
      </c>
      <c r="AS1190" s="926">
        <f t="shared" si="2423"/>
      </c>
      <c r="AT1190" s="926">
        <f t="shared" si="2423"/>
      </c>
      <c r="AU1190" s="926">
        <f t="shared" si="2423"/>
      </c>
      <c r="AV1190" s="926">
        <f t="shared" si="2423"/>
      </c>
      <c r="AW1190" s="1060">
        <f t="shared" si="2423"/>
      </c>
      <c r="AX1190" s="926">
        <f t="shared" si="2423"/>
      </c>
      <c r="AY1190" s="926">
        <f t="shared" si="2423"/>
      </c>
      <c r="AZ1190" s="926">
        <f t="shared" si="2423"/>
      </c>
      <c r="BA1190" s="926">
        <f t="shared" si="2423"/>
      </c>
      <c r="BB1190" s="1060">
        <f t="shared" si="2423"/>
      </c>
      <c r="BC1190" s="926">
        <f t="shared" si="2423"/>
      </c>
      <c r="BD1190" s="926">
        <f t="shared" si="2423"/>
      </c>
      <c r="BE1190" s="926">
        <f t="shared" si="2423"/>
      </c>
      <c r="BF1190" s="926">
        <f t="shared" si="2423"/>
      </c>
      <c r="BG1190" s="1060">
        <f>IF(BB1185="NM","NM",IF(BG1185="NM","NM",IF(BB1185&lt;=0,"NM",IF(BG1185=0,"NM",IF(ABS(BG1185/BB1185-1)&gt;2.5,"NM",IF((ABS(BG1185-BB1185)=ABS(ABS(BG1185)-ABS(BB1185))),(BG1185/BB1185-1),"NM"))))))</f>
      </c>
      <c r="BH1190" s="926">
        <f t="shared" si="2423"/>
      </c>
      <c r="BI1190" s="926">
        <f t="shared" si="2423"/>
      </c>
      <c r="BJ1190" s="926">
        <f t="shared" si="2423"/>
      </c>
      <c r="BK1190" s="926">
        <f t="shared" si="2423"/>
      </c>
      <c r="BL1190" s="1060">
        <f>IF(BG1185="NM","NM",IF(BL1185="NM","NM",IF(BG1185&lt;=0,"NM",IF(BL1185=0,"NM",IF(ABS(BL1185/BG1185-1)&gt;2.5,"NM",IF((ABS(BL1185-BG1185)=ABS(ABS(BL1185)-ABS(BG1185))),(BL1185/BG1185-1),"NM"))))))</f>
      </c>
      <c r="BM1190" s="926">
        <f t="shared" si="2423"/>
      </c>
      <c r="BN1190" s="926">
        <f t="shared" si="2423"/>
      </c>
      <c r="BO1190" s="926">
        <f t="shared" si="2423"/>
      </c>
      <c r="BP1190" s="926">
        <f t="shared" si="2424"/>
      </c>
      <c r="BQ1190" s="1060">
        <f t="shared" si="2424"/>
      </c>
      <c r="BR1190" s="926">
        <f t="shared" si="2424"/>
      </c>
      <c r="BS1190" s="926">
        <f t="shared" si="2424"/>
      </c>
      <c r="BT1190" s="926">
        <f t="shared" si="2424"/>
      </c>
      <c r="BU1190" s="926">
        <f>IF(BP1185="NM","NM",IF(BU1185="NM","NM",IF(BP1185&lt;=0,"NM",IF(BU1185=0,"NM",IF(ABS(BU1185/BP1185-1)&gt;2.5,"NM",IF((ABS(BU1185-BP1185)=ABS(ABS(BU1185)-ABS(BP1185))),(BU1185/BP1185-1),"NM"))))))</f>
      </c>
      <c r="BV1190" s="1060">
        <f>IF(BQ1185="NM","NM",IF(BV1185="NM","NM",IF(BQ1185&lt;=0,"NM",IF(BV1185=0,"NM",IF(ABS(BV1185/BQ1185-1)&gt;2.5,"NM",IF((ABS(BV1185-BQ1185)=ABS(ABS(BV1185)-ABS(BQ1185))),(BV1185/BQ1185-1),"NM"))))))</f>
      </c>
      <c r="BW1190" s="926">
        <f t="shared" si="2424"/>
      </c>
      <c r="BX1190" s="926">
        <f t="shared" si="2424"/>
      </c>
      <c r="BY1190" s="926">
        <f t="shared" si="2424"/>
      </c>
      <c r="BZ1190" s="926">
        <f>IF(BU1185="NM","NM",IF(BZ1185="NM","NM",IF(BU1185&lt;=0,"NM",IF(BZ1185=0,"NM",IF(ABS(BZ1185/BU1185-1)&gt;2.5,"NM",IF((ABS(BZ1185-BU1185)=ABS(ABS(BZ1185)-ABS(BU1185))),(BZ1185/BU1185-1),"NM"))))))</f>
      </c>
      <c r="CA1190" s="1060">
        <f>IF(BV1185="NM","NM",IF(CA1185="NM","NM",IF(BV1185&lt;=0,"NM",IF(CA1185=0,"NM",IF(ABS(CA1185/BV1185-1)&gt;2.5,"NM",IF((ABS(CA1185-BV1185)=ABS(ABS(CA1185)-ABS(BV1185))),(CA1185/BV1185-1),"NM"))))))</f>
      </c>
      <c r="CB1190" s="926">
        <f t="shared" si="2425"/>
      </c>
      <c r="CC1190" s="926">
        <f t="shared" si="2425"/>
      </c>
      <c r="CD1190" s="926">
        <f>IF(BY1185="NM","NM",IF(CD1185="NM","NM",IF(BY1185&lt;=0,"NM",IF(CD1185=0,"NM",IF(ABS(CD1185/BY1185-1)&gt;2.5,"NM",IF((ABS(CD1185-BY1185)=ABS(ABS(CD1185)-ABS(BY1185))),(CD1185/BY1185-1),"NM"))))))</f>
      </c>
      <c r="CE1190" s="926">
        <f>IF(BZ1185="NM","NM",IF(CE1185="NM","NM",IF(BZ1185&lt;=0,"NM",IF(CE1185=0,"NM",IF(ABS(CE1185/BZ1185-1)&gt;2.5,"NM",IF((ABS(CE1185-BZ1185)=ABS(ABS(CE1185)-ABS(BZ1185))),(CE1185/BZ1185-1),"NM"))))))</f>
      </c>
      <c r="CF1190" s="1060">
        <f>IF(CA1185="NM","NM",IF(CF1185="NM","NM",IF(CA1185&lt;=0,"NM",IF(CF1185=0,"NM",IF(ABS(CF1185/CA1185-1)&gt;2.5,"NM",IF((ABS(CF1185-CA1185)=ABS(ABS(CF1185)-ABS(CA1185))),(CF1185/CA1185-1),"NM"))))))</f>
      </c>
      <c r="CG1190" s="926">
        <f t="shared" si="2426"/>
      </c>
      <c r="CH1190" s="926">
        <f t="shared" si="2426"/>
      </c>
      <c r="CI1190" s="926">
        <f>IF(CD1185="NM","NM",IF(CI1185="NM","NM",IF(CD1185&lt;=0,"NM",IF(CI1185=0,"NM",IF(ABS(CI1185/CD1185-1)&gt;2.5,"NM",IF((ABS(CI1185-CD1185)=ABS(ABS(CI1185)-ABS(CD1185))),(CI1185/CD1185-1),"NM"))))))</f>
      </c>
      <c r="CJ1190" s="926">
        <f t="shared" si="2426"/>
      </c>
      <c r="CK1190" s="1060">
        <f>IF(CF1185=0, "NA", CK1185/CF1185-1)</f>
      </c>
      <c r="CL1190" s="933"/>
      <c r="CM1190" s="933"/>
      <c r="CN1190" s="933"/>
      <c r="CO1190" s="926"/>
      <c r="CP1190" s="1061"/>
      <c r="CQ1190" s="933"/>
      <c r="CR1190" s="933"/>
      <c r="CS1190" s="933"/>
      <c r="CT1190" s="962"/>
      <c r="CU1190" s="1061"/>
      <c r="CV1190" s="933"/>
      <c r="CW1190" s="933"/>
      <c r="CX1190" s="933"/>
      <c r="CY1190" s="962"/>
      <c r="CZ1190" s="313"/>
      <c r="DA1190" s="957"/>
      <c r="DB1190" s="31"/>
      <c r="DC1190" s="31"/>
      <c r="DD1190" s="955"/>
      <c r="DE1190" s="477"/>
      <c r="DF1190" s="1799"/>
      <c r="DG1190" s="603"/>
      <c r="DH1190" s="603"/>
      <c r="DI1190" s="1798"/>
      <c r="DJ1190" s="477"/>
      <c r="DK1190" s="1799"/>
      <c r="DL1190" s="603"/>
      <c r="DM1190" s="603"/>
      <c r="DN1190" s="1798"/>
      <c r="DO1190" s="477"/>
      <c r="DP1190" s="603"/>
      <c r="DQ1190" s="603"/>
      <c r="DR1190" s="603"/>
      <c r="DS1190" s="603"/>
      <c r="DT1190" s="477"/>
      <c r="DU1190" s="603"/>
      <c r="DV1190" s="603"/>
      <c r="DW1190" s="603"/>
      <c r="DX1190" s="1798"/>
      <c r="DY1190" s="477"/>
      <c r="DZ1190" s="603"/>
      <c r="EA1190" s="603"/>
      <c r="EB1190" s="603"/>
      <c r="EC1190" s="1798"/>
      <c r="ED1190" s="477"/>
      <c r="EE1190" s="603"/>
      <c r="EF1190" s="603"/>
      <c r="EG1190" s="603"/>
      <c r="EH1190" s="603"/>
      <c r="EI1190" s="1799"/>
      <c r="EJ1190" s="1799"/>
      <c r="EK1190" s="477"/>
      <c r="EL1190" s="477"/>
      <c r="EM1190" s="477"/>
      <c r="EN1190" s="477"/>
      <c r="EO1190" s="1799"/>
      <c r="EP1190" s="1799"/>
      <c r="EQ1190" s="1799"/>
      <c r="ER1190" s="1799"/>
      <c r="ES1190" s="1799"/>
      <c r="ET1190" s="1799"/>
      <c r="EU1190" s="1799"/>
      <c r="EV1190" s="1799"/>
      <c r="EW1190" s="1799"/>
      <c r="EX1190" s="477"/>
    </row>
    <row r="1191" spans="1:154" ht="12.75" hidden="1" customHeight="1" outlineLevel="1">
      <c r="B1191" s="440" t="s">
        <v>157</v>
      </c>
      <c r="C1191" s="1577"/>
      <c r="D1191" s="933"/>
      <c r="E1191" s="933"/>
      <c r="F1191" s="933"/>
      <c r="G1191" s="933"/>
      <c r="H1191" s="933"/>
      <c r="I1191" s="24"/>
      <c r="J1191" s="946"/>
      <c r="K1191" s="946"/>
      <c r="L1191" s="946"/>
      <c r="M1191" s="946"/>
      <c r="N1191" s="24"/>
      <c r="O1191" s="24"/>
      <c r="P1191" s="24"/>
      <c r="Q1191" s="24"/>
      <c r="R1191" s="24"/>
      <c r="S1191" s="946"/>
      <c r="T1191" s="24"/>
      <c r="U1191" s="24"/>
      <c r="V1191" s="24"/>
      <c r="W1191" s="24"/>
      <c r="X1191" s="2248"/>
      <c r="Y1191" s="24"/>
      <c r="Z1191" s="24"/>
      <c r="AA1191" s="24"/>
      <c r="AB1191" s="24"/>
      <c r="AC1191" s="2248"/>
      <c r="AD1191" s="24"/>
      <c r="AE1191" s="24"/>
      <c r="AF1191" s="24"/>
      <c r="AG1191" s="24"/>
      <c r="AH1191" s="2248"/>
      <c r="AI1191" s="959">
        <f t="shared" ref="AI1191:BH1191" si="2427">IF(ISNUMBER(AI1190),(1+AI1190)/(1+AI$21)-1,"NM")</f>
      </c>
      <c r="AJ1191" s="959">
        <f t="shared" si="2427"/>
      </c>
      <c r="AK1191" s="959">
        <f t="shared" si="2427"/>
      </c>
      <c r="AL1191" s="959">
        <f t="shared" si="2427"/>
      </c>
      <c r="AM1191" s="2248">
        <f t="shared" si="2427"/>
      </c>
      <c r="AN1191" s="959">
        <f t="shared" si="2427"/>
      </c>
      <c r="AO1191" s="959">
        <f t="shared" si="2427"/>
      </c>
      <c r="AP1191" s="959">
        <f t="shared" si="2427"/>
      </c>
      <c r="AQ1191" s="959">
        <f t="shared" si="2427"/>
      </c>
      <c r="AR1191" s="2248">
        <f t="shared" si="2427"/>
      </c>
      <c r="AS1191" s="959">
        <f t="shared" si="2427"/>
      </c>
      <c r="AT1191" s="959">
        <f t="shared" si="2427"/>
      </c>
      <c r="AU1191" s="959">
        <f t="shared" si="2427"/>
      </c>
      <c r="AV1191" s="959">
        <f t="shared" si="2427"/>
      </c>
      <c r="AW1191" s="2248">
        <f t="shared" si="2427"/>
      </c>
      <c r="AX1191" s="959">
        <f t="shared" si="2427"/>
      </c>
      <c r="AY1191" s="959">
        <f t="shared" si="2427"/>
      </c>
      <c r="AZ1191" s="959">
        <f t="shared" si="2427"/>
      </c>
      <c r="BA1191" s="959">
        <f t="shared" si="2427"/>
      </c>
      <c r="BB1191" s="2248">
        <f t="shared" si="2427"/>
      </c>
      <c r="BC1191" s="959">
        <f t="shared" si="2427"/>
      </c>
      <c r="BD1191" s="959">
        <f t="shared" si="2427"/>
      </c>
      <c r="BE1191" s="959">
        <f t="shared" si="2427"/>
      </c>
      <c r="BF1191" s="959">
        <f t="shared" si="2427"/>
      </c>
      <c r="BG1191" s="1066">
        <f t="shared" si="2427"/>
      </c>
      <c r="BH1191" s="959">
        <f t="shared" si="2427"/>
      </c>
      <c r="BI1191" s="959">
        <f>IF(ISNUMBER(BI1190),(1+BI1190)/(1+BI$21)-1,"NM")</f>
      </c>
      <c r="BJ1191" s="959">
        <f t="shared" ref="BJ1191:CJ1191" si="2428">IF(ISNUMBER(BJ1190),(1+BJ1190)/(1+BJ$21)-1,"NM")</f>
      </c>
      <c r="BK1191" s="959">
        <f t="shared" si="2428"/>
      </c>
      <c r="BL1191" s="2248">
        <f t="shared" si="2428"/>
      </c>
      <c r="BM1191" s="959">
        <f t="shared" si="2428"/>
      </c>
      <c r="BN1191" s="959">
        <f t="shared" si="2428"/>
      </c>
      <c r="BO1191" s="959">
        <f t="shared" si="2428"/>
      </c>
      <c r="BP1191" s="926">
        <f t="shared" si="2428"/>
      </c>
      <c r="BQ1191" s="2248">
        <f t="shared" si="2428"/>
      </c>
      <c r="BR1191" s="959">
        <f t="shared" si="2428"/>
      </c>
      <c r="BS1191" s="959">
        <f t="shared" si="2428"/>
      </c>
      <c r="BT1191" s="959">
        <f t="shared" si="2428"/>
      </c>
      <c r="BU1191" s="926">
        <f t="shared" si="2428"/>
      </c>
      <c r="BV1191" s="2248">
        <f t="shared" si="2428"/>
      </c>
      <c r="BW1191" s="959">
        <f t="shared" si="2428"/>
      </c>
      <c r="BX1191" s="959">
        <f t="shared" si="2428"/>
      </c>
      <c r="BY1191" s="959">
        <f t="shared" si="2428"/>
      </c>
      <c r="BZ1191" s="926">
        <f t="shared" si="2428"/>
      </c>
      <c r="CA1191" s="1060">
        <f t="shared" si="2428"/>
      </c>
      <c r="CB1191" s="959">
        <f t="shared" si="2428"/>
      </c>
      <c r="CC1191" s="959">
        <f t="shared" si="2428"/>
      </c>
      <c r="CD1191" s="959">
        <f t="shared" si="2428"/>
      </c>
      <c r="CE1191" s="926">
        <f t="shared" si="2428"/>
      </c>
      <c r="CF1191" s="1060">
        <f t="shared" si="2428"/>
      </c>
      <c r="CG1191" s="959">
        <f t="shared" si="2428"/>
      </c>
      <c r="CH1191" s="959">
        <f t="shared" si="2428"/>
      </c>
      <c r="CI1191" s="959">
        <f t="shared" si="2428"/>
      </c>
      <c r="CJ1191" s="959">
        <f t="shared" si="2428"/>
      </c>
      <c r="CK1191" s="2248">
        <f>CK1190-CK$21</f>
      </c>
      <c r="CL1191" s="933"/>
      <c r="CM1191" s="933"/>
      <c r="CN1191" s="933"/>
      <c r="CO1191" s="959"/>
      <c r="CP1191" s="1061"/>
      <c r="CQ1191" s="933"/>
      <c r="CR1191" s="933"/>
      <c r="CS1191" s="933"/>
      <c r="CT1191" s="962"/>
      <c r="CU1191" s="1061"/>
      <c r="CV1191" s="933"/>
      <c r="CW1191" s="933"/>
      <c r="CX1191" s="933"/>
      <c r="CY1191" s="962"/>
      <c r="CZ1191" s="313"/>
      <c r="DA1191" s="957"/>
      <c r="DB1191" s="31"/>
      <c r="DC1191" s="31"/>
      <c r="DD1191" s="955"/>
      <c r="DE1191" s="477"/>
      <c r="DF1191" s="1799"/>
      <c r="DG1191" s="603"/>
      <c r="DH1191" s="603"/>
      <c r="DI1191" s="1798"/>
      <c r="DJ1191" s="477"/>
      <c r="DK1191" s="1799"/>
      <c r="DL1191" s="603"/>
      <c r="DM1191" s="603"/>
      <c r="DN1191" s="1798"/>
      <c r="DO1191" s="477"/>
      <c r="DP1191" s="603"/>
      <c r="DQ1191" s="603"/>
      <c r="DR1191" s="603"/>
      <c r="DS1191" s="603"/>
      <c r="DT1191" s="477"/>
      <c r="DU1191" s="603"/>
      <c r="DV1191" s="603"/>
      <c r="DW1191" s="603"/>
      <c r="DX1191" s="1798"/>
      <c r="DY1191" s="477"/>
      <c r="DZ1191" s="603"/>
      <c r="EA1191" s="603"/>
      <c r="EB1191" s="603"/>
      <c r="EC1191" s="1798"/>
      <c r="ED1191" s="477"/>
      <c r="EE1191" s="603"/>
      <c r="EF1191" s="603"/>
      <c r="EG1191" s="603"/>
      <c r="EH1191" s="603"/>
      <c r="EI1191" s="1799"/>
      <c r="EJ1191" s="1799"/>
      <c r="EK1191" s="477"/>
      <c r="EL1191" s="477"/>
      <c r="EM1191" s="477"/>
      <c r="EN1191" s="477"/>
      <c r="EO1191" s="1799"/>
      <c r="EP1191" s="1799"/>
      <c r="EQ1191" s="1799"/>
      <c r="ER1191" s="1799"/>
      <c r="ES1191" s="1799"/>
      <c r="ET1191" s="1799"/>
      <c r="EU1191" s="1799"/>
      <c r="EV1191" s="1799"/>
      <c r="EW1191" s="1799"/>
      <c r="EX1191" s="477"/>
    </row>
    <row r="1192" spans="1:154" ht="12.75" hidden="1" customHeight="1" outlineLevel="1">
      <c r="B1192" s="440" t="s">
        <v>19</v>
      </c>
      <c r="C1192" s="1577"/>
      <c r="D1192" s="933"/>
      <c r="E1192" s="933"/>
      <c r="F1192" s="933"/>
      <c r="G1192" s="933"/>
      <c r="H1192" s="933"/>
      <c r="I1192" s="29"/>
      <c r="J1192" s="926">
        <f t="shared" ref="J1192:BR1192" si="2429">IF(E1186="NM","NM",IF(J1186="NM","NM",IF(E1186&lt;=0,"NM",IF(J1186=0,"NM",IF(ABS(J1186/E1186-1)&gt;2.5,"NM",IF((ABS(J1186-E1186)=ABS(ABS(J1186)-ABS(E1186))),(J1186/E1186-1),"NM"))))))</f>
      </c>
      <c r="K1192" s="926">
        <f t="shared" si="2429"/>
      </c>
      <c r="L1192" s="926">
        <f t="shared" si="2429"/>
      </c>
      <c r="M1192" s="926">
        <f t="shared" si="2429"/>
      </c>
      <c r="N1192" s="926">
        <f t="shared" si="2429"/>
      </c>
      <c r="O1192" s="926">
        <f t="shared" si="2429"/>
      </c>
      <c r="P1192" s="926">
        <f t="shared" si="2429"/>
      </c>
      <c r="Q1192" s="926">
        <f t="shared" si="2429"/>
      </c>
      <c r="R1192" s="926">
        <f t="shared" si="2429"/>
      </c>
      <c r="S1192" s="926">
        <f t="shared" si="2429"/>
      </c>
      <c r="T1192" s="926">
        <f t="shared" si="2429"/>
      </c>
      <c r="U1192" s="926">
        <f t="shared" si="2429"/>
      </c>
      <c r="V1192" s="926">
        <f t="shared" si="2429"/>
      </c>
      <c r="W1192" s="926">
        <f t="shared" si="2429"/>
      </c>
      <c r="X1192" s="1060">
        <f t="shared" si="2429"/>
      </c>
      <c r="Y1192" s="926">
        <f t="shared" si="2429"/>
      </c>
      <c r="Z1192" s="926">
        <f t="shared" si="2429"/>
      </c>
      <c r="AA1192" s="926">
        <f t="shared" si="2429"/>
      </c>
      <c r="AB1192" s="926">
        <f t="shared" si="2429"/>
      </c>
      <c r="AC1192" s="1060">
        <f t="shared" si="2429"/>
      </c>
      <c r="AD1192" s="926">
        <f t="shared" si="2429"/>
      </c>
      <c r="AE1192" s="926">
        <f t="shared" si="2429"/>
      </c>
      <c r="AF1192" s="926">
        <f t="shared" si="2429"/>
      </c>
      <c r="AG1192" s="926">
        <f t="shared" si="2429"/>
      </c>
      <c r="AH1192" s="1060">
        <f t="shared" si="2429"/>
      </c>
      <c r="AI1192" s="926">
        <f t="shared" si="2429"/>
      </c>
      <c r="AJ1192" s="926">
        <f t="shared" si="2429"/>
      </c>
      <c r="AK1192" s="926">
        <f t="shared" si="2429"/>
      </c>
      <c r="AL1192" s="926">
        <f t="shared" si="2429"/>
      </c>
      <c r="AM1192" s="1060">
        <f t="shared" si="2429"/>
      </c>
      <c r="AN1192" s="926">
        <f t="shared" si="2429"/>
      </c>
      <c r="AO1192" s="926">
        <f t="shared" si="2429"/>
      </c>
      <c r="AP1192" s="926">
        <f t="shared" si="2429"/>
      </c>
      <c r="AQ1192" s="926">
        <f t="shared" si="2429"/>
      </c>
      <c r="AR1192" s="1060">
        <f t="shared" si="2429"/>
      </c>
      <c r="AS1192" s="926">
        <f t="shared" si="2429"/>
      </c>
      <c r="AT1192" s="926">
        <f t="shared" si="2429"/>
      </c>
      <c r="AU1192" s="926">
        <f t="shared" si="2429"/>
      </c>
      <c r="AV1192" s="926">
        <f t="shared" si="2429"/>
      </c>
      <c r="AW1192" s="1060">
        <f t="shared" si="2429"/>
      </c>
      <c r="AX1192" s="926">
        <f t="shared" si="2429"/>
      </c>
      <c r="AY1192" s="926">
        <f t="shared" si="2429"/>
      </c>
      <c r="AZ1192" s="926">
        <f t="shared" si="2429"/>
      </c>
      <c r="BA1192" s="926">
        <f t="shared" si="2429"/>
      </c>
      <c r="BB1192" s="1060">
        <f t="shared" si="2429"/>
      </c>
      <c r="BC1192" s="926">
        <f t="shared" si="2429"/>
      </c>
      <c r="BD1192" s="926">
        <f t="shared" si="2429"/>
      </c>
      <c r="BE1192" s="926">
        <f t="shared" si="2429"/>
      </c>
      <c r="BF1192" s="926">
        <f t="shared" si="2429"/>
      </c>
      <c r="BG1192" s="1060">
        <f t="shared" si="2429"/>
      </c>
      <c r="BH1192" s="926">
        <f t="shared" si="2429"/>
      </c>
      <c r="BI1192" s="926">
        <f t="shared" si="2429"/>
      </c>
      <c r="BJ1192" s="926">
        <f t="shared" si="2429"/>
      </c>
      <c r="BK1192" s="926">
        <f t="shared" si="2429"/>
      </c>
      <c r="BL1192" s="1060">
        <f t="shared" si="2429"/>
      </c>
      <c r="BM1192" s="926">
        <f t="shared" si="2429"/>
      </c>
      <c r="BN1192" s="926">
        <f t="shared" si="2429"/>
      </c>
      <c r="BO1192" s="926">
        <f t="shared" si="2429"/>
      </c>
      <c r="BP1192" s="926">
        <f t="shared" si="2429"/>
      </c>
      <c r="BQ1192" s="1060">
        <f t="shared" si="2429"/>
      </c>
      <c r="BR1192" s="926">
        <f t="shared" si="2429"/>
      </c>
      <c r="BS1192" s="926">
        <f>IF(BN1186="NM","NM",IF(BS1186="NM","NM",IF(BN1186&lt;=0,"NM",IF(BS1186=0,"NM",IF(ABS(BS1186/BN1186-1)&gt;2.5,"NM",IF((ABS(BS1186-BN1186)=ABS(ABS(BS1186)-ABS(BN1186))),(BS1186/BN1186-1),"NM"))))))</f>
      </c>
      <c r="BT1192" s="926">
        <f t="shared" ref="BT1192:CH1192" si="2430">IF(BO1186="NM","NM",IF(BT1186="NM","NM",IF(BO1186&lt;=0,"NM",IF(BT1186=0,"NM",IF(ABS(BT1186/BO1186-1)&gt;2.5,"NM",IF((ABS(BT1186-BO1186)=ABS(ABS(BT1186)-ABS(BO1186))),(BT1186/BO1186-1),"NM"))))))</f>
      </c>
      <c r="BU1192" s="926">
        <f>IF(BP1186="NM","NM",IF(BU1186="NM","NM",IF(BP1186&lt;=0,"NM",IF(BU1186=0,"NM",IF(ABS(BU1186/BP1186-1)&gt;2.5,"NM",IF((ABS(BU1186-BP1186)=ABS(ABS(BU1186)-ABS(BP1186))),(BU1186/BP1186-1),"NM"))))))</f>
      </c>
      <c r="BV1192" s="1060">
        <f>IF(BQ1186="NM","NM",IF(BV1186="NM","NM",IF(BQ1186&lt;=0,"NM",IF(BV1186=0,"NM",IF(ABS(BV1186/BQ1186-1)&gt;2.5,"NM",IF((ABS(BV1186-BQ1186)=ABS(ABS(BV1186)-ABS(BQ1186))),(BV1186/BQ1186-1),"NM"))))))</f>
      </c>
      <c r="BW1192" s="926">
        <f t="shared" si="2430"/>
      </c>
      <c r="BX1192" s="926">
        <f>IF(BS1186="NM","NM",IF(BX1186="NM","NM",IF(BS1186&lt;=0,"NM",IF(BX1186=0,"NM",IF(ABS(BX1186/BS1186-1)&gt;2.5,"NM",IF((ABS(BX1186-BS1186)=ABS(ABS(BX1186)-ABS(BS1186))),(BX1186/BS1186-1),"NM"))))))</f>
      </c>
      <c r="BY1192" s="926">
        <f t="shared" si="2430"/>
      </c>
      <c r="BZ1192" s="926">
        <f>IF(BU1186="NM","NM",IF(BZ1186="NM","NM",IF(BU1186&lt;=0,"NM",IF(BZ1186=0,"NM",IF(ABS(BZ1186/BU1186-1)&gt;2.5,"NM",IF((ABS(BZ1186-BU1186)=ABS(ABS(BZ1186)-ABS(BU1186))),(BZ1186/BU1186-1),"NM"))))))</f>
      </c>
      <c r="CA1192" s="1060">
        <f>IF(BV1186="NM","NM",IF(CA1186="NM","NM",IF(BV1186&lt;=0,"NM",IF(CA1186=0,"NM",IF(ABS(CA1186/BV1186-1)&gt;2.5,"NM",IF((ABS(CA1186-BV1186)=ABS(ABS(CA1186)-ABS(BV1186))),(CA1186/BV1186-1),"NM"))))))</f>
      </c>
      <c r="CB1192" s="926">
        <f t="shared" si="2430"/>
      </c>
      <c r="CC1192" s="926">
        <f t="shared" si="2430"/>
      </c>
      <c r="CD1192" s="926">
        <f>IF(BY1186="NM","NM",IF(CD1186="NM","NM",IF(BY1186&lt;=0,"NM",IF(CD1186=0,"NM",IF(ABS(CD1186/BY1186-1)&gt;2.5,"NM",IF((ABS(CD1186-BY1186)=ABS(ABS(CD1186)-ABS(BY1186))),(CD1186/BY1186-1),"NM"))))))</f>
      </c>
      <c r="CE1192" s="926">
        <f>IF(BZ1186="NM","NM",IF(CE1186="NM","NM",IF(BZ1186&lt;=0,"NM",IF(CE1186=0,"NM",IF(ABS(CE1186/BZ1186-1)&gt;2.5,"NM",IF((ABS(CE1186-BZ1186)=ABS(ABS(CE1186)-ABS(BZ1186))),(CE1186/BZ1186-1),"NM"))))))</f>
      </c>
      <c r="CF1192" s="1060">
        <f>IF(CA1186="NM","NM",IF(CF1186="NM","NM",IF(CA1186&lt;=0,"NM",IF(CF1186=0,"NM",IF(ABS(CF1186/CA1186-1)&gt;2.5,"NM",IF((ABS(CF1186-CA1186)=ABS(ABS(CF1186)-ABS(CA1186))),(CF1186/CA1186-1),"NM"))))))</f>
      </c>
      <c r="CG1192" s="926">
        <f t="shared" si="2430"/>
      </c>
      <c r="CH1192" s="926">
        <f t="shared" si="2430"/>
      </c>
      <c r="CI1192" s="926">
        <f>IF(CD1186="NM","NM",IF(CI1186="NM","NM",IF(CD1186&lt;=0,"NM",IF(CI1186=0,"NM",IF(ABS(CI1186/CD1186-1)&gt;2.5,"NM",IF((ABS(CI1186-CD1186)=ABS(ABS(CI1186)-ABS(CD1186))),(CI1186/CD1186-1),"NM"))))))</f>
      </c>
      <c r="CJ1192" s="926">
        <f>IF(CE1186="NM","NM",IF(CJ1186="NM","NM",IF(CE1186&lt;=0,"NM",IF(CJ1186=0,"NM",IF(ABS(CJ1186/CE1186-1)&gt;2.5,"NM",IF((ABS(CJ1186-CE1186)=ABS(ABS(CJ1186)-ABS(CE1186))),(CJ1186/CE1186-1),"NM"))))))</f>
      </c>
      <c r="CK1192" s="1060">
        <f>IF(CF1186=0, "NA", CK1186/CF1186-1)</f>
      </c>
      <c r="CL1192" s="933"/>
      <c r="CM1192" s="933"/>
      <c r="CN1192" s="933"/>
      <c r="CO1192" s="926"/>
      <c r="CP1192" s="1061"/>
      <c r="CQ1192" s="933"/>
      <c r="CR1192" s="933"/>
      <c r="CS1192" s="933"/>
      <c r="CT1192" s="962"/>
      <c r="CU1192" s="1061"/>
      <c r="CV1192" s="933"/>
      <c r="CW1192" s="933"/>
      <c r="CX1192" s="933"/>
      <c r="CY1192" s="962"/>
      <c r="CZ1192" s="313"/>
      <c r="DA1192" s="957"/>
      <c r="DB1192" s="31"/>
      <c r="DC1192" s="31"/>
      <c r="DD1192" s="955"/>
      <c r="DE1192" s="477"/>
      <c r="DF1192" s="1799"/>
      <c r="DG1192" s="603"/>
      <c r="DH1192" s="603"/>
      <c r="DI1192" s="1798"/>
      <c r="DJ1192" s="477"/>
      <c r="DK1192" s="1799"/>
      <c r="DL1192" s="603"/>
      <c r="DM1192" s="603"/>
      <c r="DN1192" s="1798"/>
      <c r="DO1192" s="477"/>
      <c r="DP1192" s="603"/>
      <c r="DQ1192" s="603"/>
      <c r="DR1192" s="603"/>
      <c r="DS1192" s="603"/>
      <c r="DT1192" s="477"/>
      <c r="DU1192" s="603"/>
      <c r="DV1192" s="603"/>
      <c r="DW1192" s="603"/>
      <c r="DX1192" s="1798"/>
      <c r="DY1192" s="477"/>
      <c r="DZ1192" s="603"/>
      <c r="EA1192" s="603"/>
      <c r="EB1192" s="603"/>
      <c r="EC1192" s="1798"/>
      <c r="ED1192" s="477"/>
      <c r="EE1192" s="603"/>
      <c r="EF1192" s="603"/>
      <c r="EG1192" s="603"/>
      <c r="EH1192" s="603"/>
      <c r="EI1192" s="1799"/>
      <c r="EJ1192" s="1799"/>
      <c r="EK1192" s="477"/>
      <c r="EL1192" s="477"/>
      <c r="EM1192" s="477"/>
      <c r="EN1192" s="477"/>
      <c r="EO1192" s="1799"/>
      <c r="EP1192" s="1799"/>
      <c r="EQ1192" s="1799"/>
      <c r="ER1192" s="1799"/>
      <c r="ES1192" s="1799"/>
      <c r="ET1192" s="1799"/>
      <c r="EU1192" s="1799"/>
      <c r="EV1192" s="1799"/>
      <c r="EW1192" s="1799"/>
      <c r="EX1192" s="477"/>
    </row>
    <row r="1193" spans="1:154" collapsed="1">
      <c r="B1193" s="3310" t="s">
        <v>773</v>
      </c>
      <c r="C1193" s="1992" t="s">
        <v>14</v>
      </c>
      <c r="D1193" s="1980"/>
      <c r="E1193" s="449"/>
      <c r="F1193" s="449"/>
      <c r="G1193" s="449"/>
      <c r="H1193" s="449"/>
      <c r="I1193" s="450"/>
      <c r="J1193" s="449"/>
      <c r="K1193" s="449"/>
      <c r="L1193" s="449"/>
      <c r="M1193" s="449"/>
      <c r="N1193" s="450"/>
      <c r="O1193" s="450"/>
      <c r="P1193" s="450"/>
      <c r="Q1193" s="450"/>
      <c r="R1193" s="450"/>
      <c r="S1193" s="450"/>
      <c r="T1193" s="450"/>
      <c r="U1193" s="450"/>
      <c r="V1193" s="450"/>
      <c r="W1193" s="450"/>
      <c r="X1193" s="451"/>
      <c r="Y1193" s="450"/>
      <c r="Z1193" s="450"/>
      <c r="AA1193" s="450"/>
      <c r="AB1193" s="450"/>
      <c r="AC1193" s="451"/>
      <c r="AD1193" s="450"/>
      <c r="AE1193" s="450"/>
      <c r="AF1193" s="450"/>
      <c r="AG1193" s="450"/>
      <c r="AH1193" s="451"/>
      <c r="AI1193" s="449"/>
      <c r="AJ1193" s="449"/>
      <c r="AK1193" s="449"/>
      <c r="AL1193" s="450"/>
      <c r="AM1193" s="451"/>
      <c r="AN1193" s="449"/>
      <c r="AO1193" s="449"/>
      <c r="AP1193" s="449"/>
      <c r="AQ1193" s="450"/>
      <c r="AR1193" s="451"/>
      <c r="AS1193" s="449"/>
      <c r="AT1193" s="449"/>
      <c r="AU1193" s="449"/>
      <c r="AV1193" s="450"/>
      <c r="AW1193" s="451"/>
      <c r="AX1193" s="449"/>
      <c r="AY1193" s="449"/>
      <c r="AZ1193" s="449"/>
      <c r="BA1193" s="449"/>
      <c r="BB1193" s="451"/>
      <c r="BC1193" s="449"/>
      <c r="BD1193" s="449"/>
      <c r="BE1193" s="449"/>
      <c r="BF1193" s="449"/>
      <c r="BG1193" s="451"/>
      <c r="BH1193" s="449"/>
      <c r="BI1193" s="449"/>
      <c r="BJ1193" s="449"/>
      <c r="BK1193" s="449"/>
      <c r="BL1193" s="451"/>
      <c r="BM1193" s="449"/>
      <c r="BN1193" s="449"/>
      <c r="BO1193" s="449"/>
      <c r="BP1193" s="449"/>
      <c r="BQ1193" s="451"/>
      <c r="BR1193" s="449"/>
      <c r="BS1193" s="449"/>
      <c r="BT1193" s="449"/>
      <c r="BU1193" s="449"/>
      <c r="BV1193" s="451"/>
      <c r="BW1193" s="449"/>
      <c r="BX1193" s="449"/>
      <c r="BY1193" s="449"/>
      <c r="BZ1193" s="449"/>
      <c r="CA1193" s="451"/>
      <c r="CB1193" s="449"/>
      <c r="CC1193" s="449"/>
      <c r="CD1193" s="449"/>
      <c r="CE1193" s="449"/>
      <c r="CF1193" s="451"/>
      <c r="CG1193" s="449"/>
      <c r="CH1193" s="449"/>
      <c r="CI1193" s="449"/>
      <c r="CJ1193" s="449"/>
      <c r="CK1193" s="451"/>
      <c r="CL1193" s="449"/>
      <c r="CM1193" s="449"/>
      <c r="CN1193" s="449"/>
      <c r="CO1193" s="1395"/>
      <c r="CP1193" s="451"/>
      <c r="CQ1193" s="449"/>
      <c r="CR1193" s="449"/>
      <c r="CS1193" s="449"/>
      <c r="CT1193" s="1141"/>
      <c r="CU1193" s="451"/>
      <c r="CV1193" s="449"/>
      <c r="CW1193" s="449"/>
      <c r="CX1193" s="449"/>
      <c r="CY1193" s="1141"/>
      <c r="CZ1193" s="451"/>
      <c r="DA1193" s="449"/>
      <c r="DB1193" s="1367"/>
      <c r="DC1193" s="1367"/>
      <c r="DD1193" s="1196"/>
      <c r="DE1193" s="1824"/>
      <c r="DF1193" s="1825"/>
      <c r="DG1193" s="1826"/>
      <c r="DH1193" s="1826"/>
      <c r="DI1193" s="1827"/>
      <c r="DJ1193" s="1824"/>
      <c r="DK1193" s="1825"/>
      <c r="DL1193" s="1826"/>
      <c r="DM1193" s="1826"/>
      <c r="DN1193" s="1827"/>
      <c r="DO1193" s="1824"/>
      <c r="DP1193" s="1826"/>
      <c r="DQ1193" s="1826"/>
      <c r="DR1193" s="1826"/>
      <c r="DS1193" s="1827"/>
      <c r="DT1193" s="1824"/>
      <c r="DU1193" s="2113"/>
      <c r="DV1193" s="2113"/>
      <c r="DW1193" s="2113"/>
      <c r="DX1193" s="2114"/>
      <c r="DY1193" s="1824"/>
      <c r="DZ1193" s="3476"/>
      <c r="EA1193" s="3476"/>
      <c r="EB1193" s="3476"/>
      <c r="EC1193" s="2114"/>
      <c r="ED1193" s="1824"/>
      <c r="EE1193" s="3476"/>
      <c r="EF1193" s="3476"/>
      <c r="EG1193" s="3476"/>
      <c r="EH1193" s="3476"/>
      <c r="EI1193" s="1828">
        <f>EI1194-SUM(EE1194:EH1194)</f>
      </c>
      <c r="EJ1193" s="1828"/>
      <c r="EK1193" s="1828"/>
      <c r="EL1193" s="1828"/>
      <c r="EM1193" s="1828"/>
      <c r="EN1193" s="1828"/>
      <c r="EO1193" s="2205"/>
      <c r="EP1193" s="2205"/>
      <c r="EQ1193" s="2205"/>
      <c r="ER1193" s="2205"/>
      <c r="ES1193" s="2205"/>
      <c r="ET1193" s="2205"/>
      <c r="EU1193" s="2205"/>
      <c r="EV1193" s="2205"/>
      <c r="EW1193" s="2205"/>
      <c r="EX1193" s="2205"/>
    </row>
    <row r="1194" spans="1:154">
      <c r="B1194" s="334" t="s">
        <v>187</v>
      </c>
      <c r="C1194" s="1577"/>
      <c r="D1194" s="33">
        <v>411.95219123505979</v>
      </c>
      <c r="E1194" s="33">
        <v>253</v>
      </c>
      <c r="F1194" s="33">
        <v>255</v>
      </c>
      <c r="G1194" s="33">
        <v>263</v>
      </c>
      <c r="H1194" s="33">
        <v>263</v>
      </c>
      <c r="I1194" s="31">
        <f>+SUM(E1194:H1194)</f>
      </c>
      <c r="J1194" s="33">
        <v>286</v>
      </c>
      <c r="K1194" s="33">
        <v>279</v>
      </c>
      <c r="L1194" s="33">
        <v>270</v>
      </c>
      <c r="M1194" s="33">
        <v>288</v>
      </c>
      <c r="N1194" s="31">
        <f>+SUM(J1194:M1194)</f>
      </c>
      <c r="O1194" s="33">
        <v>320</v>
      </c>
      <c r="P1194" s="33">
        <v>327</v>
      </c>
      <c r="Q1194" s="33">
        <v>324</v>
      </c>
      <c r="R1194" s="33">
        <v>346</v>
      </c>
      <c r="S1194" s="31">
        <f>SUM(O1194:R1194)</f>
      </c>
      <c r="T1194" s="33">
        <v>405</v>
      </c>
      <c r="U1194" s="33">
        <v>412</v>
      </c>
      <c r="V1194" s="33">
        <v>400</v>
      </c>
      <c r="W1194" s="33">
        <v>427</v>
      </c>
      <c r="X1194" s="313">
        <f>SUM(T1194:W1194)</f>
      </c>
      <c r="Y1194" s="33">
        <v>468.2</v>
      </c>
      <c r="Z1194" s="33">
        <v>468</v>
      </c>
      <c r="AA1194" s="33">
        <v>461</v>
      </c>
      <c r="AB1194" s="33">
        <v>493</v>
      </c>
      <c r="AC1194" s="313">
        <f>SUM(Y1194:AB1194)</f>
      </c>
      <c r="AD1194" s="33">
        <v>510</v>
      </c>
      <c r="AE1194" s="33">
        <v>506</v>
      </c>
      <c r="AF1194" s="33">
        <v>490</v>
      </c>
      <c r="AG1194" s="33">
        <v>583</v>
      </c>
      <c r="AH1194" s="313">
        <f>SUM(AD1194:AG1194)</f>
      </c>
      <c r="AI1194" s="33">
        <v>606</v>
      </c>
      <c r="AJ1194" s="33">
        <v>597</v>
      </c>
      <c r="AK1194" s="33">
        <v>565</v>
      </c>
      <c r="AL1194" s="33">
        <v>602</v>
      </c>
      <c r="AM1194" s="313">
        <f>+SUM(AI1194:AL1194)</f>
      </c>
      <c r="AN1194" s="33">
        <v>644</v>
      </c>
      <c r="AO1194" s="33">
        <v>643</v>
      </c>
      <c r="AP1194" s="33">
        <v>605</v>
      </c>
      <c r="AQ1194" s="33">
        <v>641</v>
      </c>
      <c r="AR1194" s="313">
        <f>+SUM(AN1194:AQ1194)</f>
      </c>
      <c r="AS1194" s="33">
        <v>678</v>
      </c>
      <c r="AT1194" s="33">
        <v>663</v>
      </c>
      <c r="AU1194" s="33">
        <v>636</v>
      </c>
      <c r="AV1194" s="33">
        <v>661</v>
      </c>
      <c r="AW1194" s="313">
        <f>+SUM(AS1194:AV1194)</f>
      </c>
      <c r="AX1194" s="33">
        <v>709</v>
      </c>
      <c r="AY1194" s="33">
        <v>722</v>
      </c>
      <c r="AZ1194" s="33">
        <v>698</v>
      </c>
      <c r="BA1194" s="33">
        <v>744</v>
      </c>
      <c r="BB1194" s="313">
        <f>SUM(AX1194:BA1194)</f>
      </c>
      <c r="BC1194" s="33">
        <v>766</v>
      </c>
      <c r="BD1194" s="33">
        <v>762</v>
      </c>
      <c r="BE1194" s="33">
        <v>740</v>
      </c>
      <c r="BF1194" s="33">
        <v>828</v>
      </c>
      <c r="BG1194" s="313">
        <f>SUM(BC1194:BF1194)</f>
      </c>
      <c r="BH1194" s="933">
        <f t="shared" ref="BH1194:BQ1195" si="2431">+BH1206+BH1218+BH1254+BH1265+BH1276+BH1287</f>
      </c>
      <c r="BI1194" s="933">
        <f t="shared" si="2431"/>
      </c>
      <c r="BJ1194" s="933">
        <f t="shared" si="2431"/>
      </c>
      <c r="BK1194" s="933">
        <f t="shared" si="2431"/>
      </c>
      <c r="BL1194" s="1061">
        <f t="shared" si="2431"/>
      </c>
      <c r="BM1194" s="933">
        <f t="shared" si="2431"/>
      </c>
      <c r="BN1194" s="933">
        <f t="shared" si="2431"/>
      </c>
      <c r="BO1194" s="933">
        <f t="shared" si="2431"/>
      </c>
      <c r="BP1194" s="933">
        <f t="shared" si="2431"/>
      </c>
      <c r="BQ1194" s="1061">
        <f t="shared" si="2431"/>
      </c>
      <c r="BR1194" s="352">
        <v>783</v>
      </c>
      <c r="BS1194" s="352">
        <v>873</v>
      </c>
      <c r="BT1194" s="352">
        <f>1242</f>
      </c>
      <c r="BU1194" s="352">
        <v>1246</v>
      </c>
      <c r="BV1194" s="2367">
        <f>+SUM(BR1194:BU1194)</f>
      </c>
      <c r="BW1194" s="352">
        <v>1261</v>
      </c>
      <c r="BX1194" s="352">
        <v>1274</v>
      </c>
      <c r="BY1194" s="352">
        <v>1232</v>
      </c>
      <c r="BZ1194" s="352">
        <v>1307</v>
      </c>
      <c r="CA1194" s="1061">
        <f>SUM(BW1194:BZ1194)</f>
      </c>
      <c r="CB1194" s="933">
        <f t="shared" ref="CB1194:CE1195" si="2432">CB1206+CB1218+CB1230+CB1242</f>
      </c>
      <c r="CC1194" s="933">
        <f t="shared" si="2432"/>
      </c>
      <c r="CD1194" s="933">
        <f t="shared" si="2432"/>
      </c>
      <c r="CE1194" s="933">
        <f t="shared" si="2432"/>
      </c>
      <c r="CF1194" s="1061">
        <f>SUM(CB1194:CE1194)</f>
      </c>
      <c r="CG1194" s="933">
        <f t="shared" ref="CG1194:CJ1195" si="2433">CG1206+CG1218+CG1230+CG1242</f>
      </c>
      <c r="CH1194" s="933">
        <f t="shared" si="2433"/>
      </c>
      <c r="CI1194" s="933">
        <f t="shared" si="2433"/>
      </c>
      <c r="CJ1194" s="933">
        <f t="shared" si="2433"/>
      </c>
      <c r="CK1194" s="1061">
        <f>SUM(CG1194:CJ1194)</f>
      </c>
      <c r="CL1194" s="933">
        <f t="shared" ref="CL1194:CN1195" si="2434">+CL1206+CL1218+CL1230+CL1242</f>
      </c>
      <c r="CM1194" s="933">
        <f t="shared" si="2434"/>
      </c>
      <c r="CN1194" s="933">
        <f t="shared" si="2434"/>
      </c>
      <c r="CO1194" s="933">
        <f>CO1206+CO1218+CO1230+CO1242</f>
      </c>
      <c r="CP1194" s="1061">
        <f t="shared" ref="CP1194:DZ1195" si="2435">+CP1206+CP1218+CP1230+CP1242</f>
      </c>
      <c r="CQ1194" s="3047">
        <f t="shared" si="2435"/>
      </c>
      <c r="CR1194" s="3047">
        <f t="shared" si="2435"/>
      </c>
      <c r="CS1194" s="3047">
        <f t="shared" si="2435"/>
      </c>
      <c r="CT1194" s="3048">
        <f t="shared" si="2435"/>
      </c>
      <c r="CU1194" s="1061">
        <f t="shared" si="2435"/>
      </c>
      <c r="CV1194" s="3047">
        <f t="shared" si="2435"/>
      </c>
      <c r="CW1194" s="3047">
        <f t="shared" si="2435"/>
      </c>
      <c r="CX1194" s="3047">
        <f t="shared" si="2435"/>
      </c>
      <c r="CY1194" s="3048">
        <f t="shared" si="2435"/>
      </c>
      <c r="CZ1194" s="1061">
        <f t="shared" si="2435"/>
      </c>
      <c r="DA1194" s="3047">
        <f t="shared" si="2435"/>
      </c>
      <c r="DB1194" s="3047">
        <f t="shared" si="2435"/>
      </c>
      <c r="DC1194" s="3047">
        <f t="shared" si="2435"/>
      </c>
      <c r="DD1194" s="3048">
        <f t="shared" si="2435"/>
      </c>
      <c r="DE1194" s="2060">
        <f t="shared" si="2435"/>
      </c>
      <c r="DF1194" s="2698">
        <f t="shared" si="2435"/>
      </c>
      <c r="DG1194" s="2698">
        <f t="shared" si="2435"/>
      </c>
      <c r="DH1194" s="2698">
        <f t="shared" si="2435"/>
      </c>
      <c r="DI1194" s="2860">
        <f t="shared" si="2435"/>
      </c>
      <c r="DJ1194" s="2060">
        <f t="shared" si="2435"/>
      </c>
      <c r="DK1194" s="2698">
        <f t="shared" si="2435"/>
      </c>
      <c r="DL1194" s="2698">
        <f t="shared" si="2435"/>
      </c>
      <c r="DM1194" s="2698">
        <f t="shared" si="2435"/>
      </c>
      <c r="DN1194" s="2698">
        <f t="shared" si="2435"/>
      </c>
      <c r="DO1194" s="2060">
        <f t="shared" si="2435"/>
      </c>
      <c r="DP1194" s="2698">
        <f t="shared" si="2435"/>
      </c>
      <c r="DQ1194" s="2698">
        <f t="shared" si="2435"/>
      </c>
      <c r="DR1194" s="2698">
        <f t="shared" si="2435"/>
      </c>
      <c r="DS1194" s="3109">
        <f t="shared" si="2435"/>
      </c>
      <c r="DT1194" s="2060">
        <f t="shared" si="2435"/>
      </c>
      <c r="DU1194" s="3109">
        <f t="shared" si="2435"/>
      </c>
      <c r="DV1194" s="2698">
        <f t="shared" si="2435"/>
      </c>
      <c r="DW1194" s="2698">
        <f t="shared" ref="DW1194:DY1195" si="2436">+DW1206+DW1218+DW1230+DW1242</f>
      </c>
      <c r="DX1194" s="3302">
        <f t="shared" si="2436"/>
      </c>
      <c r="DY1194" s="2060">
        <f t="shared" si="2436"/>
      </c>
      <c r="DZ1194" s="3109">
        <f t="shared" si="2435"/>
      </c>
      <c r="EA1194" s="3109">
        <f t="shared" ref="EA1194:EH1195" si="2437">+EA1206+EA1218+EA1230+EA1242</f>
      </c>
      <c r="EB1194" s="3109">
        <f t="shared" si="2437"/>
      </c>
      <c r="EC1194" s="3302">
        <f t="shared" si="2437"/>
      </c>
      <c r="ED1194" s="2060">
        <f t="shared" si="2437"/>
      </c>
      <c r="EE1194" s="3109">
        <f t="shared" ref="EE1194:EF1194" si="2438">+EE1206+EE1218+EE1230+EE1242</f>
      </c>
      <c r="EF1194" s="3109">
        <f t="shared" si="2438"/>
      </c>
      <c r="EG1194" s="3109">
        <f t="shared" si="2437"/>
      </c>
      <c r="EH1194" s="3484">
        <f t="shared" si="2437"/>
      </c>
      <c r="EI1194" s="2060">
        <f t="shared" ref="EI1194:EN1195" si="2439">+EI1206+EI1218+EI1230+EI1242</f>
      </c>
      <c r="EJ1194" s="2060">
        <f t="shared" si="2439"/>
      </c>
      <c r="EK1194" s="2060">
        <f t="shared" si="2439"/>
      </c>
      <c r="EL1194" s="2060">
        <f t="shared" si="2439"/>
      </c>
      <c r="EM1194" s="2060">
        <f t="shared" si="2439"/>
      </c>
      <c r="EN1194" s="2060">
        <f t="shared" si="2439"/>
      </c>
      <c r="EO1194" s="1866"/>
      <c r="EP1194" s="1866"/>
      <c r="EQ1194" s="1866"/>
      <c r="ER1194" s="1866"/>
      <c r="ES1194" s="1866"/>
      <c r="ET1194" s="1866"/>
      <c r="EU1194" s="1866"/>
      <c r="EV1194" s="1866"/>
      <c r="EW1194" s="1866"/>
      <c r="EX1194" s="1866"/>
    </row>
    <row r="1195" spans="1:154">
      <c r="B1195" s="334" t="s">
        <v>412</v>
      </c>
      <c r="C1195" s="1577"/>
      <c r="D1195" s="33">
        <v>339.29977702927084</v>
      </c>
      <c r="E1195" s="33">
        <v>176</v>
      </c>
      <c r="F1195" s="33">
        <v>165.42056074766353</v>
      </c>
      <c r="G1195" s="33">
        <v>156</v>
      </c>
      <c r="H1195" s="33">
        <v>171</v>
      </c>
      <c r="I1195" s="31">
        <f>+SUM(E1195:H1195)</f>
      </c>
      <c r="J1195" s="33">
        <v>184</v>
      </c>
      <c r="K1195" s="33">
        <v>177</v>
      </c>
      <c r="L1195" s="33">
        <v>159</v>
      </c>
      <c r="M1195" s="33">
        <v>172</v>
      </c>
      <c r="N1195" s="31">
        <f>+SUM(J1195:M1195)</f>
      </c>
      <c r="O1195" s="33">
        <v>190</v>
      </c>
      <c r="P1195" s="33">
        <v>181</v>
      </c>
      <c r="Q1195" s="33">
        <v>171</v>
      </c>
      <c r="R1195" s="33">
        <v>193</v>
      </c>
      <c r="S1195" s="31">
        <f>SUM(O1195:R1195)</f>
      </c>
      <c r="T1195" s="33">
        <v>212</v>
      </c>
      <c r="U1195" s="33">
        <v>221</v>
      </c>
      <c r="V1195" s="33">
        <v>215</v>
      </c>
      <c r="W1195" s="33">
        <v>245</v>
      </c>
      <c r="X1195" s="313">
        <f>SUM(T1195:W1195)</f>
      </c>
      <c r="Y1195" s="33">
        <v>271.3</v>
      </c>
      <c r="Z1195" s="33">
        <v>280</v>
      </c>
      <c r="AA1195" s="33">
        <v>257</v>
      </c>
      <c r="AB1195" s="33">
        <v>309</v>
      </c>
      <c r="AC1195" s="313">
        <f>SUM(Y1195:AB1195)</f>
      </c>
      <c r="AD1195" s="33">
        <v>329</v>
      </c>
      <c r="AE1195" s="33">
        <v>333</v>
      </c>
      <c r="AF1195" s="33">
        <v>300</v>
      </c>
      <c r="AG1195" s="33">
        <v>369</v>
      </c>
      <c r="AH1195" s="313">
        <f>SUM(AD1195:AG1195)</f>
      </c>
      <c r="AI1195" s="33">
        <v>387</v>
      </c>
      <c r="AJ1195" s="33">
        <v>383</v>
      </c>
      <c r="AK1195" s="33">
        <v>332</v>
      </c>
      <c r="AL1195" s="33">
        <v>375</v>
      </c>
      <c r="AM1195" s="313">
        <f>+SUM(AI1195:AL1195)</f>
      </c>
      <c r="AN1195" s="33">
        <v>395</v>
      </c>
      <c r="AO1195" s="33">
        <v>392</v>
      </c>
      <c r="AP1195" s="33">
        <v>366</v>
      </c>
      <c r="AQ1195" s="33">
        <v>419</v>
      </c>
      <c r="AR1195" s="313">
        <f>+SUM(AN1195:AQ1195)</f>
      </c>
      <c r="AS1195" s="33">
        <v>479</v>
      </c>
      <c r="AT1195" s="33">
        <v>472</v>
      </c>
      <c r="AU1195" s="33">
        <v>450</v>
      </c>
      <c r="AV1195" s="33">
        <v>548</v>
      </c>
      <c r="AW1195" s="313">
        <f>+SUM(AS1195:AV1195)</f>
      </c>
      <c r="AX1195" s="33">
        <v>578</v>
      </c>
      <c r="AY1195" s="33">
        <v>606</v>
      </c>
      <c r="AZ1195" s="33">
        <v>533</v>
      </c>
      <c r="BA1195" s="33">
        <v>546</v>
      </c>
      <c r="BB1195" s="313">
        <f>SUM(AX1195:BA1195)</f>
      </c>
      <c r="BC1195" s="33">
        <v>526</v>
      </c>
      <c r="BD1195" s="33">
        <v>561</v>
      </c>
      <c r="BE1195" s="33">
        <v>544</v>
      </c>
      <c r="BF1195" s="33">
        <v>645</v>
      </c>
      <c r="BG1195" s="313">
        <f>SUM(BC1195:BF1195)</f>
      </c>
      <c r="BH1195" s="933">
        <f t="shared" si="2431"/>
      </c>
      <c r="BI1195" s="933">
        <f t="shared" si="2431"/>
      </c>
      <c r="BJ1195" s="933">
        <f t="shared" si="2431"/>
      </c>
      <c r="BK1195" s="933">
        <f t="shared" si="2431"/>
      </c>
      <c r="BL1195" s="1061">
        <f t="shared" si="2431"/>
      </c>
      <c r="BM1195" s="933">
        <f t="shared" si="2431"/>
      </c>
      <c r="BN1195" s="933">
        <f t="shared" si="2431"/>
      </c>
      <c r="BO1195" s="933">
        <f t="shared" si="2431"/>
      </c>
      <c r="BP1195" s="933">
        <f t="shared" si="2431"/>
      </c>
      <c r="BQ1195" s="1061">
        <f t="shared" si="2431"/>
      </c>
      <c r="BR1195" s="352">
        <v>710</v>
      </c>
      <c r="BS1195" s="352">
        <v>755</v>
      </c>
      <c r="BT1195" s="352">
        <f>1048</f>
      </c>
      <c r="BU1195" s="352">
        <v>1142</v>
      </c>
      <c r="BV1195" s="2367">
        <f>+SUM(BR1195:BU1195)</f>
      </c>
      <c r="BW1195" s="352">
        <v>1124</v>
      </c>
      <c r="BX1195" s="352">
        <v>1111</v>
      </c>
      <c r="BY1195" s="352">
        <v>1051</v>
      </c>
      <c r="BZ1195" s="352">
        <v>1149</v>
      </c>
      <c r="CA1195" s="1061">
        <f>SUM(BW1195:BZ1195)</f>
      </c>
      <c r="CB1195" s="933">
        <f t="shared" si="2432"/>
      </c>
      <c r="CC1195" s="933">
        <f t="shared" si="2432"/>
      </c>
      <c r="CD1195" s="933">
        <f t="shared" si="2432"/>
      </c>
      <c r="CE1195" s="933">
        <f t="shared" si="2432"/>
      </c>
      <c r="CF1195" s="1061">
        <f>SUM(CB1195:CE1195)</f>
      </c>
      <c r="CG1195" s="933">
        <f t="shared" si="2433"/>
      </c>
      <c r="CH1195" s="933">
        <f t="shared" si="2433"/>
      </c>
      <c r="CI1195" s="933">
        <f t="shared" si="2433"/>
      </c>
      <c r="CJ1195" s="933">
        <f t="shared" si="2433"/>
      </c>
      <c r="CK1195" s="1061">
        <f>SUM(CG1195:CJ1195)</f>
      </c>
      <c r="CL1195" s="933">
        <f t="shared" si="2434"/>
      </c>
      <c r="CM1195" s="933">
        <f t="shared" si="2434"/>
      </c>
      <c r="CN1195" s="933">
        <f t="shared" si="2434"/>
      </c>
      <c r="CO1195" s="933">
        <f>CO1207+CO1219+CO1231+CO1243</f>
      </c>
      <c r="CP1195" s="1061">
        <f t="shared" si="2435"/>
      </c>
      <c r="CQ1195" s="933">
        <f t="shared" si="2435"/>
      </c>
      <c r="CR1195" s="933">
        <f t="shared" si="2435"/>
      </c>
      <c r="CS1195" s="933">
        <f t="shared" si="2435"/>
      </c>
      <c r="CT1195" s="962">
        <f t="shared" si="2435"/>
      </c>
      <c r="CU1195" s="1061">
        <f t="shared" si="2435"/>
      </c>
      <c r="CV1195" s="933">
        <f t="shared" si="2435"/>
      </c>
      <c r="CW1195" s="933">
        <f t="shared" si="2435"/>
      </c>
      <c r="CX1195" s="933">
        <f t="shared" si="2435"/>
      </c>
      <c r="CY1195" s="962">
        <f t="shared" si="2435"/>
      </c>
      <c r="CZ1195" s="1061">
        <f t="shared" si="2435"/>
      </c>
      <c r="DA1195" s="933">
        <f t="shared" si="2435"/>
      </c>
      <c r="DB1195" s="933">
        <f t="shared" si="2435"/>
      </c>
      <c r="DC1195" s="933">
        <f t="shared" si="2435"/>
      </c>
      <c r="DD1195" s="962">
        <f t="shared" si="2435"/>
      </c>
      <c r="DE1195" s="2060">
        <f t="shared" si="2435"/>
      </c>
      <c r="DF1195" s="1284">
        <f t="shared" si="2435"/>
      </c>
      <c r="DG1195" s="1284">
        <f t="shared" si="2435"/>
      </c>
      <c r="DH1195" s="1284">
        <f t="shared" si="2435"/>
      </c>
      <c r="DI1195" s="1313">
        <f t="shared" si="2435"/>
      </c>
      <c r="DJ1195" s="2060">
        <f t="shared" si="2435"/>
      </c>
      <c r="DK1195" s="1284">
        <f t="shared" si="2435"/>
      </c>
      <c r="DL1195" s="1284">
        <f t="shared" si="2435"/>
      </c>
      <c r="DM1195" s="1284">
        <f t="shared" si="2435"/>
      </c>
      <c r="DN1195" s="1284">
        <f t="shared" si="2435"/>
      </c>
      <c r="DO1195" s="2060">
        <f t="shared" si="2435"/>
      </c>
      <c r="DP1195" s="1284">
        <f t="shared" si="2435"/>
      </c>
      <c r="DQ1195" s="1284">
        <f t="shared" si="2435"/>
      </c>
      <c r="DR1195" s="1284">
        <f t="shared" si="2435"/>
      </c>
      <c r="DS1195" s="1284">
        <f t="shared" si="2435"/>
      </c>
      <c r="DT1195" s="2060">
        <f t="shared" si="2435"/>
      </c>
      <c r="DU1195" s="1284">
        <f t="shared" si="2435"/>
      </c>
      <c r="DV1195" s="1284">
        <f t="shared" si="2435"/>
      </c>
      <c r="DW1195" s="1284">
        <f t="shared" si="2436"/>
      </c>
      <c r="DX1195" s="1313">
        <f t="shared" si="2436"/>
      </c>
      <c r="DY1195" s="2060">
        <f t="shared" si="2436"/>
      </c>
      <c r="DZ1195" s="1284">
        <f t="shared" si="2435"/>
      </c>
      <c r="EA1195" s="1284">
        <f t="shared" si="2437"/>
      </c>
      <c r="EB1195" s="1284">
        <f t="shared" si="2437"/>
      </c>
      <c r="EC1195" s="3615">
        <f t="shared" si="2437"/>
      </c>
      <c r="ED1195" s="2060">
        <f t="shared" si="2437"/>
      </c>
      <c r="EE1195" s="1284">
        <f t="shared" ref="EE1195:EF1195" si="2440">+EE1207+EE1219+EE1231+EE1243</f>
      </c>
      <c r="EF1195" s="1284">
        <f t="shared" si="2440"/>
      </c>
      <c r="EG1195" s="1284">
        <f t="shared" si="2437"/>
      </c>
      <c r="EH1195" s="1284">
        <f t="shared" si="2437"/>
      </c>
      <c r="EI1195" s="2060">
        <f t="shared" si="2439"/>
      </c>
      <c r="EJ1195" s="2060">
        <f t="shared" si="2439"/>
      </c>
      <c r="EK1195" s="2060">
        <f t="shared" si="2439"/>
      </c>
      <c r="EL1195" s="2060">
        <f t="shared" si="2439"/>
      </c>
      <c r="EM1195" s="2060">
        <f t="shared" si="2439"/>
      </c>
      <c r="EN1195" s="2060">
        <f t="shared" si="2439"/>
      </c>
      <c r="EO1195" s="1866"/>
      <c r="EP1195" s="1866"/>
      <c r="EQ1195" s="1866"/>
      <c r="ER1195" s="1866"/>
      <c r="ES1195" s="1866"/>
      <c r="ET1195" s="1866"/>
      <c r="EU1195" s="1866"/>
      <c r="EV1195" s="1866"/>
      <c r="EW1195" s="1866"/>
      <c r="EX1195" s="1866"/>
    </row>
    <row r="1196" spans="1:154">
      <c r="A1196" s="3275" t="s">
        <v>493</v>
      </c>
      <c r="B1196" s="334" t="s">
        <v>413</v>
      </c>
      <c r="C1196" s="1577"/>
      <c r="D1196" s="933">
        <f t="shared" ref="D1196:AV1196" si="2441">+D1194+D1195</f>
      </c>
      <c r="E1196" s="933">
        <f t="shared" si="2441"/>
      </c>
      <c r="F1196" s="933">
        <f t="shared" si="2441"/>
      </c>
      <c r="G1196" s="933">
        <f t="shared" si="2441"/>
      </c>
      <c r="H1196" s="933">
        <f t="shared" si="2441"/>
      </c>
      <c r="I1196" s="31">
        <f t="shared" si="2441"/>
      </c>
      <c r="J1196" s="933">
        <f t="shared" si="2441"/>
      </c>
      <c r="K1196" s="933">
        <f t="shared" si="2441"/>
      </c>
      <c r="L1196" s="933">
        <f t="shared" si="2441"/>
      </c>
      <c r="M1196" s="933">
        <f t="shared" si="2441"/>
      </c>
      <c r="N1196" s="31">
        <f t="shared" si="2441"/>
      </c>
      <c r="O1196" s="31">
        <f t="shared" si="2441"/>
      </c>
      <c r="P1196" s="31">
        <f t="shared" si="2441"/>
      </c>
      <c r="Q1196" s="31">
        <f t="shared" si="2441"/>
      </c>
      <c r="R1196" s="31">
        <f t="shared" si="2441"/>
      </c>
      <c r="S1196" s="31">
        <f t="shared" si="2441"/>
      </c>
      <c r="T1196" s="31">
        <f t="shared" si="2441"/>
      </c>
      <c r="U1196" s="31">
        <f t="shared" si="2441"/>
      </c>
      <c r="V1196" s="31">
        <f t="shared" si="2441"/>
      </c>
      <c r="W1196" s="31">
        <f t="shared" si="2441"/>
      </c>
      <c r="X1196" s="313">
        <f t="shared" si="2441"/>
      </c>
      <c r="Y1196" s="31">
        <f t="shared" si="2441"/>
      </c>
      <c r="Z1196" s="31">
        <f t="shared" si="2441"/>
      </c>
      <c r="AA1196" s="31">
        <f t="shared" si="2441"/>
      </c>
      <c r="AB1196" s="31">
        <f t="shared" si="2441"/>
      </c>
      <c r="AC1196" s="313">
        <f t="shared" si="2441"/>
      </c>
      <c r="AD1196" s="31">
        <f t="shared" si="2441"/>
      </c>
      <c r="AE1196" s="31">
        <f t="shared" si="2441"/>
      </c>
      <c r="AF1196" s="31">
        <f t="shared" si="2441"/>
      </c>
      <c r="AG1196" s="31">
        <f t="shared" si="2441"/>
      </c>
      <c r="AH1196" s="313">
        <f t="shared" si="2441"/>
      </c>
      <c r="AI1196" s="933">
        <f t="shared" si="2441"/>
      </c>
      <c r="AJ1196" s="933">
        <f t="shared" si="2441"/>
      </c>
      <c r="AK1196" s="933">
        <f t="shared" si="2441"/>
      </c>
      <c r="AL1196" s="31">
        <f t="shared" si="2441"/>
      </c>
      <c r="AM1196" s="313">
        <f t="shared" si="2441"/>
      </c>
      <c r="AN1196" s="933">
        <f t="shared" si="2441"/>
      </c>
      <c r="AO1196" s="933">
        <f t="shared" si="2441"/>
      </c>
      <c r="AP1196" s="933">
        <f t="shared" si="2441"/>
      </c>
      <c r="AQ1196" s="933">
        <f t="shared" si="2441"/>
      </c>
      <c r="AR1196" s="313">
        <f t="shared" si="2441"/>
      </c>
      <c r="AS1196" s="933">
        <f t="shared" si="2441"/>
      </c>
      <c r="AT1196" s="933">
        <f t="shared" si="2441"/>
      </c>
      <c r="AU1196" s="933">
        <f t="shared" si="2441"/>
      </c>
      <c r="AV1196" s="933">
        <f t="shared" si="2441"/>
      </c>
      <c r="AW1196" s="313">
        <f>+AW1194+AW1195</f>
      </c>
      <c r="AX1196" s="933">
        <f t="shared" ref="AX1196:CE1196" si="2442">+AX1194+AX1195</f>
      </c>
      <c r="AY1196" s="933">
        <f t="shared" si="2442"/>
      </c>
      <c r="AZ1196" s="933">
        <f t="shared" si="2442"/>
      </c>
      <c r="BA1196" s="933">
        <f t="shared" si="2442"/>
      </c>
      <c r="BB1196" s="313">
        <f t="shared" si="2442"/>
      </c>
      <c r="BC1196" s="933">
        <f t="shared" si="2442"/>
      </c>
      <c r="BD1196" s="933">
        <f t="shared" si="2442"/>
      </c>
      <c r="BE1196" s="933">
        <f t="shared" si="2442"/>
      </c>
      <c r="BF1196" s="933">
        <f t="shared" si="2442"/>
      </c>
      <c r="BG1196" s="313">
        <f t="shared" si="2442"/>
      </c>
      <c r="BH1196" s="933">
        <f t="shared" si="2442"/>
      </c>
      <c r="BI1196" s="933">
        <f t="shared" si="2442"/>
      </c>
      <c r="BJ1196" s="933">
        <f t="shared" si="2442"/>
      </c>
      <c r="BK1196" s="933">
        <f t="shared" si="2442"/>
      </c>
      <c r="BL1196" s="313">
        <f t="shared" si="2442"/>
      </c>
      <c r="BM1196" s="933">
        <f>+BM1194+BM1195</f>
      </c>
      <c r="BN1196" s="933">
        <f>+BN1194+BN1195</f>
      </c>
      <c r="BO1196" s="933">
        <f>+BO1194+BO1195</f>
      </c>
      <c r="BP1196" s="933">
        <f>+BP1194+BP1195</f>
      </c>
      <c r="BQ1196" s="313">
        <f t="shared" si="2442"/>
      </c>
      <c r="BR1196" s="933">
        <f t="shared" si="2442"/>
      </c>
      <c r="BS1196" s="933">
        <f t="shared" si="2442"/>
      </c>
      <c r="BT1196" s="933">
        <f t="shared" si="2442"/>
      </c>
      <c r="BU1196" s="933">
        <f t="shared" si="2442"/>
      </c>
      <c r="BV1196" s="675">
        <f t="shared" si="2442"/>
      </c>
      <c r="BW1196" s="933">
        <f t="shared" si="2442"/>
      </c>
      <c r="BX1196" s="933">
        <f t="shared" si="2442"/>
      </c>
      <c r="BY1196" s="933">
        <f t="shared" si="2442"/>
      </c>
      <c r="BZ1196" s="933">
        <f t="shared" si="2442"/>
      </c>
      <c r="CA1196" s="1061">
        <f t="shared" si="2442"/>
      </c>
      <c r="CB1196" s="933">
        <f t="shared" si="2442"/>
      </c>
      <c r="CC1196" s="933">
        <f t="shared" si="2442"/>
      </c>
      <c r="CD1196" s="933">
        <f t="shared" si="2442"/>
      </c>
      <c r="CE1196" s="933">
        <f t="shared" si="2442"/>
      </c>
      <c r="CF1196" s="1061">
        <f>SUM(CB1196:CE1196)</f>
      </c>
      <c r="CG1196" s="933">
        <f>+CG1194+CG1195</f>
      </c>
      <c r="CH1196" s="933">
        <f>+CH1194+CH1195</f>
      </c>
      <c r="CI1196" s="933">
        <f>+CI1194+CI1195</f>
      </c>
      <c r="CJ1196" s="933">
        <f>+CJ1194+CJ1195</f>
      </c>
      <c r="CK1196" s="1061">
        <f>SUM(CG1196:CJ1196)</f>
      </c>
      <c r="CL1196" s="933">
        <f>+CL1208+CL1220+CL1232+CL1244</f>
      </c>
      <c r="CM1196" s="933">
        <f t="shared" ref="CM1196:CU1196" si="2443">+CM1194+CM1195</f>
      </c>
      <c r="CN1196" s="933">
        <f t="shared" si="2443"/>
      </c>
      <c r="CO1196" s="933">
        <f t="shared" si="2443"/>
      </c>
      <c r="CP1196" s="313">
        <f t="shared" si="2443"/>
      </c>
      <c r="CQ1196" s="933">
        <f t="shared" si="2443"/>
      </c>
      <c r="CR1196" s="933">
        <f t="shared" si="2443"/>
      </c>
      <c r="CS1196" s="933">
        <f t="shared" si="2443"/>
      </c>
      <c r="CT1196" s="962">
        <f t="shared" si="2443"/>
      </c>
      <c r="CU1196" s="955">
        <f t="shared" si="2443"/>
      </c>
      <c r="CV1196" s="933">
        <f>+CV1194+CV1195</f>
      </c>
      <c r="CW1196" s="933">
        <f>+CW1194+CW1195</f>
      </c>
      <c r="CX1196" s="933">
        <f>+CX1194+CX1195</f>
      </c>
      <c r="CY1196" s="962">
        <f>+CY1194+CY1195</f>
      </c>
      <c r="CZ1196" s="955">
        <f>+CZ1194+CZ1195</f>
      </c>
      <c r="DA1196" s="933">
        <f t="shared" ref="DA1196:EH1196" si="2444">+DA1194+DA1195</f>
      </c>
      <c r="DB1196" s="933">
        <f t="shared" si="2444"/>
      </c>
      <c r="DC1196" s="933">
        <f t="shared" si="2444"/>
      </c>
      <c r="DD1196" s="962">
        <f t="shared" si="2444"/>
      </c>
      <c r="DE1196" s="1835">
        <f t="shared" si="2444"/>
      </c>
      <c r="DF1196" s="1284">
        <f t="shared" si="2444"/>
      </c>
      <c r="DG1196" s="1284">
        <f t="shared" si="2444"/>
      </c>
      <c r="DH1196" s="1284">
        <f t="shared" si="2444"/>
      </c>
      <c r="DI1196" s="1313">
        <f t="shared" si="2444"/>
      </c>
      <c r="DJ1196" s="1835">
        <f t="shared" si="2444"/>
      </c>
      <c r="DK1196" s="1284">
        <f t="shared" si="2444"/>
      </c>
      <c r="DL1196" s="1284">
        <f t="shared" si="2444"/>
      </c>
      <c r="DM1196" s="1284">
        <f>+DM1194+DM1195</f>
      </c>
      <c r="DN1196" s="1284">
        <f>+DN1194+DN1195</f>
      </c>
      <c r="DO1196" s="1835">
        <f>+DO1194+DO1195</f>
      </c>
      <c r="DP1196" s="1284">
        <f t="shared" si="2444"/>
      </c>
      <c r="DQ1196" s="1284">
        <f t="shared" si="2444"/>
      </c>
      <c r="DR1196" s="1284">
        <f t="shared" si="2444"/>
      </c>
      <c r="DS1196" s="1284">
        <f t="shared" si="2444"/>
      </c>
      <c r="DT1196" s="1835">
        <f t="shared" si="2444"/>
      </c>
      <c r="DU1196" s="1284">
        <f t="shared" si="2444"/>
      </c>
      <c r="DV1196" s="1284">
        <f>+DV1194+DV1195</f>
      </c>
      <c r="DW1196" s="1284">
        <f>+DW1194+DW1195</f>
      </c>
      <c r="DX1196" s="1313">
        <f>+DX1194+DX1195</f>
      </c>
      <c r="DY1196" s="1835">
        <f>+DY1194+DY1195</f>
      </c>
      <c r="DZ1196" s="1284">
        <f t="shared" si="2444"/>
      </c>
      <c r="EA1196" s="1284">
        <f t="shared" si="2444"/>
      </c>
      <c r="EB1196" s="1284">
        <f t="shared" si="2444"/>
      </c>
      <c r="EC1196" s="3615">
        <f>+EC1194+EC1195</f>
      </c>
      <c r="ED1196" s="1835">
        <f>+ED1194+ED1195</f>
      </c>
      <c r="EE1196" s="1284">
        <f>+EE1194+EE1195</f>
      </c>
      <c r="EF1196" s="1284">
        <f>+EF1194+EF1195</f>
      </c>
      <c r="EG1196" s="1284">
        <f t="shared" si="2444"/>
      </c>
      <c r="EH1196" s="1284">
        <f t="shared" si="2444"/>
      </c>
      <c r="EI1196" s="1835">
        <f t="shared" ref="EI1196:EL1196" si="2445">+EI1194+EI1195</f>
      </c>
      <c r="EJ1196" s="1835">
        <f t="shared" si="2445"/>
      </c>
      <c r="EK1196" s="1556">
        <f t="shared" si="2445"/>
      </c>
      <c r="EL1196" s="1556">
        <f t="shared" si="2445"/>
      </c>
      <c r="EM1196" s="1556">
        <f>+EM1194+EM1195</f>
      </c>
      <c r="EN1196" s="1556">
        <f>+EN1194+EN1195</f>
      </c>
      <c r="EO1196" s="477"/>
      <c r="EP1196" s="477"/>
      <c r="EQ1196" s="477"/>
      <c r="ER1196" s="477"/>
      <c r="ES1196" s="477"/>
      <c r="ET1196" s="477"/>
      <c r="EU1196" s="477"/>
      <c r="EV1196" s="477"/>
      <c r="EW1196" s="477"/>
      <c r="EX1196" s="477"/>
    </row>
    <row r="1197" spans="1:154">
      <c r="B1197" s="334"/>
      <c r="C1197" s="1577"/>
      <c r="D1197" s="933"/>
      <c r="E1197" s="933"/>
      <c r="F1197" s="933"/>
      <c r="G1197" s="933"/>
      <c r="H1197" s="933"/>
      <c r="I1197" s="31"/>
      <c r="J1197" s="933"/>
      <c r="K1197" s="933"/>
      <c r="L1197" s="933"/>
      <c r="M1197" s="933"/>
      <c r="N1197" s="31"/>
      <c r="O1197" s="31"/>
      <c r="P1197" s="31"/>
      <c r="Q1197" s="31"/>
      <c r="R1197" s="31"/>
      <c r="S1197" s="31"/>
      <c r="T1197" s="31"/>
      <c r="U1197" s="31"/>
      <c r="V1197" s="31"/>
      <c r="W1197" s="31"/>
      <c r="X1197" s="313"/>
      <c r="Y1197" s="31"/>
      <c r="Z1197" s="31"/>
      <c r="AA1197" s="31"/>
      <c r="AB1197" s="31"/>
      <c r="AC1197" s="313"/>
      <c r="AD1197" s="31"/>
      <c r="AE1197" s="31"/>
      <c r="AF1197" s="31"/>
      <c r="AG1197" s="31"/>
      <c r="AH1197" s="313"/>
      <c r="AI1197" s="933"/>
      <c r="AJ1197" s="933"/>
      <c r="AK1197" s="933"/>
      <c r="AL1197" s="31"/>
      <c r="AM1197" s="313"/>
      <c r="AN1197" s="933"/>
      <c r="AO1197" s="933"/>
      <c r="AP1197" s="933"/>
      <c r="AQ1197" s="933"/>
      <c r="AR1197" s="313"/>
      <c r="AS1197" s="933"/>
      <c r="AT1197" s="933"/>
      <c r="AU1197" s="933"/>
      <c r="AV1197" s="933"/>
      <c r="AW1197" s="313"/>
      <c r="AX1197" s="44"/>
      <c r="AY1197" s="44"/>
      <c r="AZ1197" s="44"/>
      <c r="BA1197" s="44"/>
      <c r="BB1197" s="313"/>
      <c r="BC1197" s="933"/>
      <c r="BD1197" s="933"/>
      <c r="BE1197" s="933"/>
      <c r="BF1197" s="933"/>
      <c r="BG1197" s="313"/>
      <c r="BH1197" s="277"/>
      <c r="BI1197" s="277"/>
      <c r="BJ1197" s="277"/>
      <c r="BK1197" s="933"/>
      <c r="BL1197" s="313"/>
      <c r="BM1197" s="277"/>
      <c r="BN1197" s="277"/>
      <c r="BO1197" s="277"/>
      <c r="BP1197" s="933"/>
      <c r="BQ1197" s="313"/>
      <c r="BR1197" s="277"/>
      <c r="BS1197" s="277"/>
      <c r="BT1197" s="277"/>
      <c r="BU1197" s="933"/>
      <c r="BV1197" s="313"/>
      <c r="BW1197" s="277"/>
      <c r="BX1197" s="277"/>
      <c r="BY1197" s="277"/>
      <c r="BZ1197" s="277"/>
      <c r="CA1197" s="313"/>
      <c r="CB1197" s="277"/>
      <c r="CC1197" s="277"/>
      <c r="CD1197" s="277"/>
      <c r="CE1197" s="277"/>
      <c r="CF1197" s="313"/>
      <c r="CG1197" s="277"/>
      <c r="CH1197" s="277"/>
      <c r="CI1197" s="277"/>
      <c r="CJ1197" s="277"/>
      <c r="CK1197" s="313"/>
      <c r="CL1197" s="2368"/>
      <c r="CM1197" s="277"/>
      <c r="CN1197" s="277"/>
      <c r="CO1197" s="277"/>
      <c r="CP1197" s="313"/>
      <c r="CQ1197" s="277"/>
      <c r="CR1197" s="277"/>
      <c r="CS1197" s="277"/>
      <c r="CT1197" s="2369"/>
      <c r="CU1197" s="955"/>
      <c r="CV1197" s="277"/>
      <c r="CW1197" s="277"/>
      <c r="CX1197" s="277"/>
      <c r="CY1197" s="2369"/>
      <c r="CZ1197" s="955"/>
      <c r="DA1197" s="277"/>
      <c r="DB1197" s="277"/>
      <c r="DC1197" s="277"/>
      <c r="DD1197" s="2369"/>
      <c r="DE1197" s="477"/>
      <c r="DF1197" s="2370"/>
      <c r="DG1197" s="2370"/>
      <c r="DH1197" s="2370"/>
      <c r="DI1197" s="2261"/>
      <c r="DJ1197" s="477"/>
      <c r="DK1197" s="2370"/>
      <c r="DL1197" s="1915"/>
      <c r="DM1197" s="2370"/>
      <c r="DN1197" s="1915"/>
      <c r="DO1197" s="477"/>
      <c r="DP1197" s="1915"/>
      <c r="DQ1197" s="1915"/>
      <c r="DR1197" s="1915"/>
      <c r="DS1197" s="2370"/>
      <c r="DT1197" s="477"/>
      <c r="DU1197" s="2370"/>
      <c r="DV1197" s="1915"/>
      <c r="DW1197" s="1915"/>
      <c r="DX1197" s="1946"/>
      <c r="DY1197" s="477"/>
      <c r="DZ1197" s="1915"/>
      <c r="EA1197" s="1915"/>
      <c r="EB1197" s="2257"/>
      <c r="EC1197" s="3613"/>
      <c r="ED1197" s="477"/>
      <c r="EE1197" s="1915"/>
      <c r="EF1197" s="1915"/>
      <c r="EG1197" s="1915"/>
      <c r="EH1197" s="982"/>
      <c r="EI1197" s="3482">
        <v>9102</v>
      </c>
      <c r="EJ1197" s="477"/>
      <c r="EK1197" s="1798"/>
      <c r="EL1197" s="1798"/>
      <c r="EM1197" s="1798"/>
      <c r="EN1197" s="1798"/>
      <c r="EO1197" s="477"/>
      <c r="EP1197" s="477"/>
      <c r="EQ1197" s="477"/>
      <c r="ER1197" s="477"/>
      <c r="ES1197" s="477"/>
      <c r="ET1197" s="477"/>
      <c r="EU1197" s="477"/>
      <c r="EV1197" s="477"/>
      <c r="EW1197" s="477"/>
      <c r="EX1197" s="477"/>
    </row>
    <row r="1198" spans="1:154">
      <c r="B1198" s="490" t="s">
        <v>956</v>
      </c>
      <c r="C1198" s="1577"/>
      <c r="D1198" s="933"/>
      <c r="E1198" s="933"/>
      <c r="F1198" s="933"/>
      <c r="G1198" s="933"/>
      <c r="H1198" s="933"/>
      <c r="I1198" s="31"/>
      <c r="J1198" s="933"/>
      <c r="K1198" s="933"/>
      <c r="L1198" s="933"/>
      <c r="M1198" s="933"/>
      <c r="N1198" s="31"/>
      <c r="O1198" s="31"/>
      <c r="P1198" s="31"/>
      <c r="Q1198" s="31"/>
      <c r="R1198" s="31"/>
      <c r="S1198" s="31"/>
      <c r="T1198" s="31"/>
      <c r="U1198" s="31"/>
      <c r="V1198" s="31"/>
      <c r="W1198" s="31"/>
      <c r="X1198" s="313"/>
      <c r="Y1198" s="31"/>
      <c r="Z1198" s="31"/>
      <c r="AA1198" s="31"/>
      <c r="AB1198" s="31"/>
      <c r="AC1198" s="313"/>
      <c r="AD1198" s="31"/>
      <c r="AE1198" s="31"/>
      <c r="AF1198" s="31"/>
      <c r="AG1198" s="31"/>
      <c r="AH1198" s="313"/>
      <c r="AI1198" s="933"/>
      <c r="AJ1198" s="933"/>
      <c r="AK1198" s="933"/>
      <c r="AL1198" s="31"/>
      <c r="AM1198" s="313"/>
      <c r="AN1198" s="933"/>
      <c r="AO1198" s="933"/>
      <c r="AP1198" s="933"/>
      <c r="AQ1198" s="933"/>
      <c r="AR1198" s="313"/>
      <c r="AS1198" s="933"/>
      <c r="AT1198" s="933"/>
      <c r="AU1198" s="933"/>
      <c r="AV1198" s="933"/>
      <c r="AW1198" s="313"/>
      <c r="AX1198" s="40"/>
      <c r="AY1198" s="40"/>
      <c r="AZ1198" s="40"/>
      <c r="BA1198" s="40"/>
      <c r="BB1198" s="313"/>
      <c r="BC1198" s="933"/>
      <c r="BD1198" s="933"/>
      <c r="BE1198" s="933"/>
      <c r="BF1198" s="933"/>
      <c r="BG1198" s="313"/>
      <c r="BH1198" s="277"/>
      <c r="BI1198" s="277"/>
      <c r="BJ1198" s="277"/>
      <c r="BK1198" s="933"/>
      <c r="BL1198" s="313"/>
      <c r="BM1198" s="277"/>
      <c r="BN1198" s="277"/>
      <c r="BO1198" s="277"/>
      <c r="BP1198" s="933"/>
      <c r="BQ1198" s="313"/>
      <c r="BR1198" s="277"/>
      <c r="BS1198" s="277"/>
      <c r="BT1198" s="277"/>
      <c r="BU1198" s="933"/>
      <c r="BV1198" s="313"/>
      <c r="BW1198" s="2371"/>
      <c r="BX1198" s="277"/>
      <c r="BY1198" s="277"/>
      <c r="BZ1198" s="277"/>
      <c r="CA1198" s="313"/>
      <c r="CB1198" s="277"/>
      <c r="CC1198" s="277"/>
      <c r="CD1198" s="277"/>
      <c r="CE1198" s="277"/>
      <c r="CF1198" s="313"/>
      <c r="CG1198" s="277"/>
      <c r="CH1198" s="277"/>
      <c r="CI1198" s="277"/>
      <c r="CJ1198" s="277"/>
      <c r="CK1198" s="313"/>
      <c r="CL1198" s="2368"/>
      <c r="CM1198" s="277"/>
      <c r="CN1198" s="277"/>
      <c r="CO1198" s="277"/>
      <c r="CP1198" s="313"/>
      <c r="CQ1198" s="277"/>
      <c r="CR1198" s="277"/>
      <c r="CS1198" s="277"/>
      <c r="CT1198" s="2369"/>
      <c r="CU1198" s="955"/>
      <c r="CV1198" s="277"/>
      <c r="CW1198" s="277"/>
      <c r="CX1198" s="277"/>
      <c r="CY1198" s="2369"/>
      <c r="CZ1198" s="955"/>
      <c r="DA1198" s="277"/>
      <c r="DB1198" s="277"/>
      <c r="DC1198" s="277"/>
      <c r="DD1198" s="2369"/>
      <c r="DE1198" s="477"/>
      <c r="DF1198" s="2370"/>
      <c r="DG1198" s="2370"/>
      <c r="DH1198" s="2370"/>
      <c r="DI1198" s="2261"/>
      <c r="DJ1198" s="477"/>
      <c r="DK1198" s="2370"/>
      <c r="DL1198" s="1915"/>
      <c r="DM1198" s="2370"/>
      <c r="DN1198" s="1915"/>
      <c r="DO1198" s="477"/>
      <c r="DP1198" s="1915"/>
      <c r="DQ1198" s="1915"/>
      <c r="DR1198" s="1915"/>
      <c r="DS1198" s="2370"/>
      <c r="DT1198" s="477"/>
      <c r="DU1198" s="2370"/>
      <c r="DV1198" s="1915"/>
      <c r="DW1198" s="1915"/>
      <c r="DX1198" s="1946"/>
      <c r="DY1198" s="477"/>
      <c r="DZ1198" s="1915"/>
      <c r="EA1198" s="1915"/>
      <c r="EB1198" s="2257"/>
      <c r="EC1198" s="3613"/>
      <c r="ED1198" s="1811"/>
      <c r="EE1198" s="1915"/>
      <c r="EF1198" s="1915"/>
      <c r="EG1198" s="1915"/>
      <c r="EH1198" s="982"/>
      <c r="EI1198" s="3482">
        <v>9328</v>
      </c>
      <c r="EJ1198" s="477"/>
      <c r="EK1198" s="1798"/>
      <c r="EL1198" s="1798"/>
      <c r="EM1198" s="1798"/>
      <c r="EN1198" s="1798"/>
      <c r="EO1198" s="477"/>
      <c r="EP1198" s="477"/>
      <c r="EQ1198" s="477"/>
      <c r="ER1198" s="477"/>
      <c r="ES1198" s="477"/>
      <c r="ET1198" s="477"/>
      <c r="EU1198" s="477"/>
      <c r="EV1198" s="477"/>
      <c r="EW1198" s="477"/>
      <c r="EX1198" s="477"/>
    </row>
    <row r="1199" spans="1:154">
      <c r="B1199" s="491" t="s">
        <v>187</v>
      </c>
      <c r="C1199" s="1577"/>
      <c r="D1199" s="933"/>
      <c r="E1199" s="933"/>
      <c r="F1199" s="933"/>
      <c r="G1199" s="933"/>
      <c r="H1199" s="933"/>
      <c r="I1199" s="926">
        <f t="shared" ref="I1199:BT1200" si="2446">IF(D1194="NM","NM",IF(I1194="NM","NM",IF(D1194&lt;=0,"NM",IF(I1194=0,"NM",IF(ABS(I1194/D1194-1)&gt;2.5,"NM",IF((ABS(I1194-D1194)=ABS(ABS(I1194)-ABS(D1194))),(I1194/D1194-1),"NM"))))))</f>
      </c>
      <c r="J1199" s="926">
        <f t="shared" si="2446"/>
      </c>
      <c r="K1199" s="926">
        <f t="shared" si="2446"/>
      </c>
      <c r="L1199" s="926">
        <f t="shared" si="2446"/>
      </c>
      <c r="M1199" s="926">
        <f t="shared" si="2446"/>
      </c>
      <c r="N1199" s="926">
        <f t="shared" si="2446"/>
      </c>
      <c r="O1199" s="926">
        <f t="shared" si="2446"/>
      </c>
      <c r="P1199" s="926">
        <f t="shared" si="2446"/>
      </c>
      <c r="Q1199" s="926">
        <f t="shared" si="2446"/>
      </c>
      <c r="R1199" s="926">
        <f t="shared" si="2446"/>
      </c>
      <c r="S1199" s="926">
        <f t="shared" si="2446"/>
      </c>
      <c r="T1199" s="926">
        <f t="shared" si="2446"/>
      </c>
      <c r="U1199" s="926">
        <f t="shared" si="2446"/>
      </c>
      <c r="V1199" s="926">
        <f t="shared" si="2446"/>
      </c>
      <c r="W1199" s="926">
        <f t="shared" si="2446"/>
      </c>
      <c r="X1199" s="1060">
        <f t="shared" si="2446"/>
      </c>
      <c r="Y1199" s="926">
        <f t="shared" si="2446"/>
      </c>
      <c r="Z1199" s="926">
        <f t="shared" si="2446"/>
      </c>
      <c r="AA1199" s="926">
        <f t="shared" si="2446"/>
      </c>
      <c r="AB1199" s="926">
        <f t="shared" si="2446"/>
      </c>
      <c r="AC1199" s="1060">
        <f t="shared" si="2446"/>
      </c>
      <c r="AD1199" s="926">
        <f t="shared" si="2446"/>
      </c>
      <c r="AE1199" s="926">
        <f t="shared" si="2446"/>
      </c>
      <c r="AF1199" s="926">
        <f t="shared" si="2446"/>
      </c>
      <c r="AG1199" s="926">
        <f t="shared" si="2446"/>
      </c>
      <c r="AH1199" s="1060">
        <f t="shared" si="2446"/>
      </c>
      <c r="AI1199" s="926">
        <f t="shared" si="2446"/>
      </c>
      <c r="AJ1199" s="926">
        <f t="shared" si="2446"/>
      </c>
      <c r="AK1199" s="926">
        <f t="shared" si="2446"/>
      </c>
      <c r="AL1199" s="926">
        <f t="shared" si="2446"/>
      </c>
      <c r="AM1199" s="1060">
        <f t="shared" si="2446"/>
      </c>
      <c r="AN1199" s="926">
        <f t="shared" si="2446"/>
      </c>
      <c r="AO1199" s="926">
        <f t="shared" si="2446"/>
      </c>
      <c r="AP1199" s="926">
        <f t="shared" si="2446"/>
      </c>
      <c r="AQ1199" s="926">
        <f t="shared" si="2446"/>
      </c>
      <c r="AR1199" s="1060">
        <f t="shared" si="2446"/>
      </c>
      <c r="AS1199" s="926">
        <f t="shared" si="2446"/>
      </c>
      <c r="AT1199" s="926">
        <f t="shared" si="2446"/>
      </c>
      <c r="AU1199" s="926">
        <f t="shared" si="2446"/>
      </c>
      <c r="AV1199" s="926">
        <f t="shared" si="2446"/>
      </c>
      <c r="AW1199" s="1060">
        <f t="shared" si="2446"/>
      </c>
      <c r="AX1199" s="926">
        <f t="shared" si="2446"/>
      </c>
      <c r="AY1199" s="926">
        <f t="shared" si="2446"/>
      </c>
      <c r="AZ1199" s="926">
        <f t="shared" si="2446"/>
      </c>
      <c r="BA1199" s="926">
        <f t="shared" si="2446"/>
      </c>
      <c r="BB1199" s="1060">
        <f t="shared" si="2446"/>
      </c>
      <c r="BC1199" s="926">
        <f t="shared" si="2446"/>
      </c>
      <c r="BD1199" s="926">
        <f t="shared" si="2446"/>
      </c>
      <c r="BE1199" s="926">
        <f t="shared" si="2446"/>
      </c>
      <c r="BF1199" s="926">
        <f t="shared" si="2446"/>
      </c>
      <c r="BG1199" s="1060">
        <f t="shared" si="2446"/>
      </c>
      <c r="BH1199" s="926">
        <f t="shared" si="2446"/>
      </c>
      <c r="BI1199" s="926">
        <f t="shared" si="2446"/>
      </c>
      <c r="BJ1199" s="926">
        <f t="shared" si="2446"/>
      </c>
      <c r="BK1199" s="926">
        <f t="shared" si="2446"/>
      </c>
      <c r="BL1199" s="1060">
        <f t="shared" si="2446"/>
      </c>
      <c r="BM1199" s="926">
        <f t="shared" si="2446"/>
      </c>
      <c r="BN1199" s="926">
        <f t="shared" si="2446"/>
      </c>
      <c r="BO1199" s="926">
        <f t="shared" si="2446"/>
      </c>
      <c r="BP1199" s="926">
        <f t="shared" si="2446"/>
      </c>
      <c r="BQ1199" s="1060">
        <f t="shared" si="2446"/>
      </c>
      <c r="BR1199" s="926">
        <f t="shared" si="2446"/>
      </c>
      <c r="BS1199" s="926">
        <f t="shared" si="2446"/>
      </c>
      <c r="BT1199" s="926">
        <f t="shared" si="2446"/>
      </c>
      <c r="BU1199" s="926">
        <f t="shared" ref="BT1199:BY1200" si="2447">IF(BP1194="NM","NM",IF(BU1194="NM","NM",IF(BP1194&lt;=0,"NM",IF(BU1194=0,"NM",IF(ABS(BU1194/BP1194-1)&gt;2.5,"NM",IF((ABS(BU1194-BP1194)=ABS(ABS(BU1194)-ABS(BP1194))),(BU1194/BP1194-1),"NM"))))))</f>
      </c>
      <c r="BV1199" s="1060">
        <f t="shared" si="2447"/>
      </c>
      <c r="BW1199" s="926">
        <f t="shared" si="2447"/>
      </c>
      <c r="BX1199" s="926">
        <f t="shared" si="2447"/>
      </c>
      <c r="BY1199" s="926">
        <f t="shared" si="2447"/>
      </c>
      <c r="BZ1199" s="926">
        <f>IF(BU1194="NM","NM",IF(BZ1194="NM","NM",IF(BU1194&lt;=0,"NM",IF(BZ1194=0,"NM",IF(ABS(BZ1194/BU1194-1)&gt;2.5,"NM",IF((ABS(BZ1194-BU1194)=ABS(ABS(BZ1194)-ABS(BU1194))),(BZ1194/BU1194-1),"NM"))))))</f>
      </c>
      <c r="CA1199" s="1060">
        <f>IF(BV1194="NM","NM",IF(CA1194="NM","NM",IF(BV1194&lt;=0,"NM",IF(CA1194=0,"NM",IF(ABS(CA1194/BV1194-1)&gt;2.5,"NM",IF((ABS(CA1194-BV1194)=ABS(ABS(CA1194)-ABS(BV1194))),(CA1194/BV1194-1),"NM"))))))</f>
      </c>
      <c r="CB1199" s="926">
        <f t="shared" ref="CB1199:CI1200" si="2448">IF(BW1194="NM","NM",IF(CB1194="NM","NM",IF(BW1194&lt;=0,"NM",IF(CB1194=0,"NM",IF(ABS(CB1194/BW1194-1)&gt;2.5,"NM",IF((ABS(CB1194-BW1194)=ABS(ABS(CB1194)-ABS(BW1194))),(CB1194/BW1194-1),"NM"))))))</f>
      </c>
      <c r="CC1199" s="926">
        <f t="shared" si="2448"/>
      </c>
      <c r="CD1199" s="926">
        <f t="shared" si="2448"/>
      </c>
      <c r="CE1199" s="926">
        <f t="shared" si="2448"/>
      </c>
      <c r="CF1199" s="1060">
        <f>IF(CA1194="NM","NM",IF(CF1194="NM","NM",IF(CA1194&lt;=0,"NM",IF(CF1194=0,"NM",IF(ABS(CF1194/CA1194-1)&gt;2.5,"NM",IF((ABS(CF1194-CA1194)=ABS(ABS(CF1194)-ABS(CA1194))),(CF1194/CA1194-1),"NM"))))))</f>
      </c>
      <c r="CG1199" s="926">
        <f t="shared" si="2448"/>
      </c>
      <c r="CH1199" s="926">
        <f t="shared" si="2448"/>
      </c>
      <c r="CI1199" s="926">
        <f t="shared" si="2448"/>
      </c>
      <c r="CJ1199" s="926">
        <f>IF(CE1194=0, "NA", CJ1194/CE1194-1)</f>
      </c>
      <c r="CK1199" s="1060">
        <f>IF(CF1194=0, "NA", CK1194/CF1194-1)</f>
      </c>
      <c r="CL1199" s="926">
        <f t="shared" ref="CL1199:CN1200" si="2449">IF(CG1194="NM","NM",IF(CL1194="NM","NM",IF(CG1194&lt;=0,"NM",IF(CL1194=0,"NM",IF(ABS(CL1194/CG1194-1)&gt;2.5,"NM",IF((ABS(CL1194-CG1194)=ABS(ABS(CL1194)-ABS(CG1194))),(CL1194/CG1194-1),"NM"))))))</f>
      </c>
      <c r="CM1199" s="926">
        <f t="shared" si="2449"/>
      </c>
      <c r="CN1199" s="926">
        <f t="shared" si="2449"/>
      </c>
      <c r="CO1199" s="926">
        <f>IF(CJ1194=0, "NA", CO1194/CJ1194-1)</f>
      </c>
      <c r="CP1199" s="1060">
        <f t="shared" ref="CP1199:DS1200" si="2450">IF(CK1194=0, "NA", CP1194/CK1194-1)</f>
      </c>
      <c r="CQ1199" s="926">
        <f t="shared" si="2450"/>
      </c>
      <c r="CR1199" s="926">
        <f t="shared" si="2450"/>
      </c>
      <c r="CS1199" s="926">
        <f t="shared" si="2450"/>
      </c>
      <c r="CT1199" s="928">
        <f t="shared" si="2450"/>
      </c>
      <c r="CU1199" s="928">
        <f t="shared" si="2450"/>
      </c>
      <c r="CV1199" s="926">
        <f t="shared" si="2450"/>
      </c>
      <c r="CW1199" s="926">
        <f t="shared" si="2450"/>
      </c>
      <c r="CX1199" s="926">
        <f t="shared" si="2450"/>
      </c>
      <c r="CY1199" s="928">
        <f t="shared" si="2450"/>
      </c>
      <c r="CZ1199" s="928">
        <f t="shared" si="2450"/>
      </c>
      <c r="DA1199" s="926">
        <f t="shared" si="2450"/>
      </c>
      <c r="DB1199" s="926">
        <f t="shared" si="2450"/>
      </c>
      <c r="DC1199" s="926">
        <f t="shared" si="2450"/>
      </c>
      <c r="DD1199" s="928">
        <f t="shared" si="2450"/>
      </c>
      <c r="DE1199" s="1060">
        <f t="shared" si="2450"/>
      </c>
      <c r="DF1199" s="926">
        <f t="shared" si="2450"/>
      </c>
      <c r="DG1199" s="926">
        <f t="shared" si="2450"/>
      </c>
      <c r="DH1199" s="926">
        <f t="shared" si="2450"/>
      </c>
      <c r="DI1199" s="928">
        <f t="shared" si="2450"/>
      </c>
      <c r="DJ1199" s="1060">
        <f t="shared" si="2450"/>
      </c>
      <c r="DK1199" s="926">
        <f t="shared" si="2450"/>
      </c>
      <c r="DL1199" s="926">
        <f t="shared" si="2450"/>
      </c>
      <c r="DM1199" s="926">
        <f t="shared" si="2450"/>
      </c>
      <c r="DN1199" s="926">
        <f t="shared" si="2450"/>
      </c>
      <c r="DO1199" s="1060">
        <f>IF(DJ1194=0, "NA", DO1194/DJ1194-1)</f>
      </c>
      <c r="DP1199" s="926">
        <f t="shared" si="2450"/>
      </c>
      <c r="DQ1199" s="926">
        <f t="shared" si="2450"/>
      </c>
      <c r="DR1199" s="926">
        <f t="shared" si="2450"/>
      </c>
      <c r="DS1199" s="926">
        <f t="shared" si="2450"/>
      </c>
      <c r="DT1199" s="1060">
        <f>IF(DO1194=0, "NA", DT1194/DO1194-1)</f>
      </c>
      <c r="DU1199" s="926">
        <f t="shared" ref="DU1199:EF1200" si="2451">IF(DP1194=0, "NA", DU1194/DP1194-1)</f>
      </c>
      <c r="DV1199" s="926">
        <f t="shared" si="2451"/>
      </c>
      <c r="DW1199" s="926">
        <f t="shared" si="2451"/>
      </c>
      <c r="DX1199" s="928">
        <f t="shared" si="2451"/>
      </c>
      <c r="DY1199" s="1060">
        <f>IF(DT1194=0, "NA", DY1194/DT1194-1)</f>
      </c>
      <c r="DZ1199" s="926">
        <f t="shared" si="2451"/>
      </c>
      <c r="EA1199" s="926">
        <f t="shared" si="2451"/>
      </c>
      <c r="EB1199" s="926">
        <f t="shared" si="2451"/>
      </c>
      <c r="EC1199" s="1235">
        <f t="shared" si="2451"/>
      </c>
      <c r="ED1199" s="1536">
        <f>IF(DY1194=0, "NA", ED1194/DY1194-1)</f>
      </c>
      <c r="EE1199" s="926">
        <f t="shared" si="2451"/>
      </c>
      <c r="EF1199" s="926">
        <f t="shared" si="2451"/>
      </c>
      <c r="EG1199" s="926">
        <f t="shared" ref="EG1199:EH1200" si="2452">IF(EB1194=0, "NA", EG1194/EB1194-1)</f>
      </c>
      <c r="EH1199" s="926">
        <f t="shared" si="2452"/>
      </c>
      <c r="EI1199" s="1060">
        <f>IF(ED1194=0, "NA", EI1194/ED1194-1)</f>
      </c>
      <c r="EJ1199" s="1060">
        <f t="shared" ref="EJ1199:EN1200" si="2453">IF(EI1194=0, "NA", EJ1194/EI1194-1)</f>
      </c>
      <c r="EK1199" s="928">
        <f t="shared" si="2453"/>
      </c>
      <c r="EL1199" s="928">
        <f t="shared" si="2453"/>
      </c>
      <c r="EM1199" s="928">
        <f t="shared" si="2453"/>
      </c>
      <c r="EN1199" s="928">
        <f t="shared" si="2453"/>
      </c>
      <c r="EO1199" s="1060"/>
      <c r="EP1199" s="1060"/>
      <c r="EQ1199" s="1060"/>
      <c r="ER1199" s="1060"/>
      <c r="ES1199" s="1060"/>
      <c r="ET1199" s="1060"/>
      <c r="EU1199" s="1060"/>
      <c r="EV1199" s="1060"/>
      <c r="EW1199" s="1060"/>
      <c r="EX1199" s="1060"/>
    </row>
    <row r="1200" spans="1:154">
      <c r="B1200" s="491" t="s">
        <v>412</v>
      </c>
      <c r="C1200" s="1577"/>
      <c r="D1200" s="933"/>
      <c r="E1200" s="933"/>
      <c r="F1200" s="933"/>
      <c r="G1200" s="933"/>
      <c r="H1200" s="933"/>
      <c r="I1200" s="926">
        <f t="shared" si="2446"/>
      </c>
      <c r="J1200" s="926">
        <f t="shared" si="2446"/>
      </c>
      <c r="K1200" s="926">
        <f t="shared" si="2446"/>
      </c>
      <c r="L1200" s="926">
        <f t="shared" si="2446"/>
      </c>
      <c r="M1200" s="926">
        <f t="shared" si="2446"/>
      </c>
      <c r="N1200" s="926">
        <f t="shared" si="2446"/>
      </c>
      <c r="O1200" s="926">
        <f t="shared" si="2446"/>
      </c>
      <c r="P1200" s="926">
        <f t="shared" si="2446"/>
      </c>
      <c r="Q1200" s="926">
        <f t="shared" si="2446"/>
      </c>
      <c r="R1200" s="926">
        <f t="shared" si="2446"/>
      </c>
      <c r="S1200" s="926">
        <f t="shared" si="2446"/>
      </c>
      <c r="T1200" s="926">
        <f t="shared" si="2446"/>
      </c>
      <c r="U1200" s="926">
        <f t="shared" si="2446"/>
      </c>
      <c r="V1200" s="926">
        <f t="shared" si="2446"/>
      </c>
      <c r="W1200" s="926">
        <f t="shared" si="2446"/>
      </c>
      <c r="X1200" s="1060">
        <f t="shared" si="2446"/>
      </c>
      <c r="Y1200" s="926">
        <f t="shared" si="2446"/>
      </c>
      <c r="Z1200" s="926">
        <f t="shared" si="2446"/>
      </c>
      <c r="AA1200" s="926">
        <f t="shared" si="2446"/>
      </c>
      <c r="AB1200" s="926">
        <f t="shared" si="2446"/>
      </c>
      <c r="AC1200" s="1060">
        <f t="shared" si="2446"/>
      </c>
      <c r="AD1200" s="926">
        <f t="shared" si="2446"/>
      </c>
      <c r="AE1200" s="926">
        <f t="shared" si="2446"/>
      </c>
      <c r="AF1200" s="926">
        <f t="shared" si="2446"/>
      </c>
      <c r="AG1200" s="926">
        <f t="shared" si="2446"/>
      </c>
      <c r="AH1200" s="1060">
        <f t="shared" si="2446"/>
      </c>
      <c r="AI1200" s="926">
        <f t="shared" si="2446"/>
      </c>
      <c r="AJ1200" s="926">
        <f t="shared" si="2446"/>
      </c>
      <c r="AK1200" s="926">
        <f t="shared" si="2446"/>
      </c>
      <c r="AL1200" s="926">
        <f t="shared" si="2446"/>
      </c>
      <c r="AM1200" s="1060">
        <f t="shared" si="2446"/>
      </c>
      <c r="AN1200" s="926">
        <f t="shared" si="2446"/>
      </c>
      <c r="AO1200" s="926">
        <f t="shared" si="2446"/>
      </c>
      <c r="AP1200" s="926">
        <f t="shared" si="2446"/>
      </c>
      <c r="AQ1200" s="926">
        <f t="shared" si="2446"/>
      </c>
      <c r="AR1200" s="1060">
        <f t="shared" si="2446"/>
      </c>
      <c r="AS1200" s="926">
        <f t="shared" si="2446"/>
      </c>
      <c r="AT1200" s="926">
        <f t="shared" si="2446"/>
      </c>
      <c r="AU1200" s="926">
        <f t="shared" si="2446"/>
      </c>
      <c r="AV1200" s="926">
        <f t="shared" si="2446"/>
      </c>
      <c r="AW1200" s="1060">
        <f t="shared" si="2446"/>
      </c>
      <c r="AX1200" s="926">
        <f t="shared" si="2446"/>
      </c>
      <c r="AY1200" s="926">
        <f t="shared" si="2446"/>
      </c>
      <c r="AZ1200" s="926">
        <f t="shared" si="2446"/>
      </c>
      <c r="BA1200" s="926">
        <f t="shared" si="2446"/>
      </c>
      <c r="BB1200" s="1060">
        <f t="shared" si="2446"/>
      </c>
      <c r="BC1200" s="926">
        <f t="shared" si="2446"/>
      </c>
      <c r="BD1200" s="926">
        <f t="shared" si="2446"/>
      </c>
      <c r="BE1200" s="926">
        <f t="shared" si="2446"/>
      </c>
      <c r="BF1200" s="926">
        <f t="shared" si="2446"/>
      </c>
      <c r="BG1200" s="1060">
        <f t="shared" si="2446"/>
      </c>
      <c r="BH1200" s="926">
        <f t="shared" si="2446"/>
      </c>
      <c r="BI1200" s="926">
        <f t="shared" si="2446"/>
      </c>
      <c r="BJ1200" s="926">
        <f t="shared" si="2446"/>
      </c>
      <c r="BK1200" s="926">
        <f t="shared" si="2446"/>
      </c>
      <c r="BL1200" s="1060">
        <f t="shared" si="2446"/>
      </c>
      <c r="BM1200" s="926">
        <f t="shared" si="2446"/>
      </c>
      <c r="BN1200" s="926">
        <f t="shared" si="2446"/>
      </c>
      <c r="BO1200" s="926">
        <f t="shared" si="2446"/>
      </c>
      <c r="BP1200" s="926">
        <f t="shared" si="2446"/>
      </c>
      <c r="BQ1200" s="1060">
        <f t="shared" si="2446"/>
      </c>
      <c r="BR1200" s="926">
        <f t="shared" si="2446"/>
      </c>
      <c r="BS1200" s="926">
        <f>IF(BN1195="NM","NM",IF(BS1195="NM","NM",IF(BN1195&lt;=0,"NM",IF(BS1195=0,"NM",IF(ABS(BS1195/BN1195-1)&gt;2.5,"NM",IF((ABS(BS1195-BN1195)=ABS(ABS(BS1195)-ABS(BN1195))),(BS1195/BN1195-1),"NM"))))))</f>
      </c>
      <c r="BT1200" s="926">
        <f t="shared" si="2447"/>
      </c>
      <c r="BU1200" s="926">
        <f t="shared" si="2447"/>
      </c>
      <c r="BV1200" s="1060">
        <f t="shared" si="2447"/>
      </c>
      <c r="BW1200" s="926">
        <f t="shared" si="2447"/>
      </c>
      <c r="BX1200" s="926">
        <f>IF(BS1195="NM","NM",IF(BX1195="NM","NM",IF(BS1195&lt;=0,"NM",IF(BX1195=0,"NM",IF(ABS(BX1195/BS1195-1)&gt;2.5,"NM",IF((ABS(BX1195-BS1195)=ABS(ABS(BX1195)-ABS(BS1195))),(BX1195/BS1195-1),"NM"))))))</f>
      </c>
      <c r="BY1200" s="926">
        <f t="shared" si="2447"/>
      </c>
      <c r="BZ1200" s="926">
        <f>IF(BU1195="NM","NM",IF(BZ1195="NM","NM",IF(BU1195&lt;=0,"NM",IF(BZ1195=0,"NM",IF(ABS(BZ1195/BU1195-1)&gt;2.5,"NM",IF((ABS(BZ1195-BU1195)=ABS(ABS(BZ1195)-ABS(BU1195))),(BZ1195/BU1195-1),"NM"))))))</f>
      </c>
      <c r="CA1200" s="1060">
        <f>IF(BV1195="NM","NM",IF(CA1195="NM","NM",IF(BV1195&lt;=0,"NM",IF(CA1195=0,"NM",IF(ABS(CA1195/BV1195-1)&gt;2.5,"NM",IF((ABS(CA1195-BV1195)=ABS(ABS(CA1195)-ABS(BV1195))),(CA1195/BV1195-1),"NM"))))))</f>
      </c>
      <c r="CB1200" s="926">
        <f t="shared" si="2448"/>
      </c>
      <c r="CC1200" s="926">
        <f t="shared" si="2448"/>
      </c>
      <c r="CD1200" s="926">
        <f t="shared" si="2448"/>
      </c>
      <c r="CE1200" s="926">
        <f t="shared" si="2448"/>
      </c>
      <c r="CF1200" s="1060">
        <f>IF(CA1195="NM","NM",IF(CF1195="NM","NM",IF(CA1195&lt;=0,"NM",IF(CF1195=0,"NM",IF(ABS(CF1195/CA1195-1)&gt;2.5,"NM",IF((ABS(CF1195-CA1195)=ABS(ABS(CF1195)-ABS(CA1195))),(CF1195/CA1195-1),"NM"))))))</f>
      </c>
      <c r="CG1200" s="926">
        <f>IF(CB1195="NM","NM",IF(CG1195="NM","NM",IF(CB1195&lt;=0,"NM",IF(CG1195=0,"NM",IF(ABS(CG1195/CB1195-1)&gt;2.5,"NM",IF((ABS(CG1195-CB1195)=ABS(ABS(CG1195)-ABS(CB1195))),(CG1195/CB1195-1),"NM"))))))</f>
      </c>
      <c r="CH1200" s="926">
        <f>IF(CC1195="NM","NM",IF(CH1195="NM","NM",IF(CC1195&lt;=0,"NM",IF(CH1195=0,"NM",IF(ABS(CH1195/CC1195-1)&gt;2.5,"NM",IF((ABS(CH1195-CC1195)=ABS(ABS(CH1195)-ABS(CC1195))),(CH1195/CC1195-1),"NM"))))))</f>
      </c>
      <c r="CI1200" s="926">
        <f>IF(CD1195="NM","NM",IF(CI1195="NM","NM",IF(CD1195&lt;=0,"NM",IF(CI1195=0,"NM",IF(ABS(CI1195/CD1195-1)&gt;2.5,"NM",IF((ABS(CI1195-CD1195)=ABS(ABS(CI1195)-ABS(CD1195))),(CI1195/CD1195-1),"NM"))))))</f>
      </c>
      <c r="CJ1200" s="926">
        <f>IF(CE1195=0, "NA", CJ1195/CE1195-1)</f>
      </c>
      <c r="CK1200" s="1060">
        <f>IF(CF1195=0, "NA", CK1195/CF1195-1)</f>
      </c>
      <c r="CL1200" s="926">
        <f t="shared" si="2449"/>
      </c>
      <c r="CM1200" s="926">
        <f t="shared" si="2449"/>
      </c>
      <c r="CN1200" s="926">
        <f t="shared" si="2449"/>
      </c>
      <c r="CO1200" s="926">
        <f>IF(CJ1195=0, "NA", CO1195/CJ1195-1)</f>
      </c>
      <c r="CP1200" s="1060">
        <f t="shared" si="2450"/>
      </c>
      <c r="CQ1200" s="926">
        <f t="shared" si="2450"/>
      </c>
      <c r="CR1200" s="926">
        <f t="shared" si="2450"/>
      </c>
      <c r="CS1200" s="926">
        <f t="shared" si="2450"/>
      </c>
      <c r="CT1200" s="928">
        <f t="shared" si="2450"/>
      </c>
      <c r="CU1200" s="928">
        <f t="shared" si="2450"/>
      </c>
      <c r="CV1200" s="926">
        <f t="shared" si="2450"/>
      </c>
      <c r="CW1200" s="926">
        <f t="shared" si="2450"/>
      </c>
      <c r="CX1200" s="926">
        <f t="shared" si="2450"/>
      </c>
      <c r="CY1200" s="928">
        <f t="shared" si="2450"/>
      </c>
      <c r="CZ1200" s="928">
        <f t="shared" si="2450"/>
      </c>
      <c r="DA1200" s="926">
        <f t="shared" si="2450"/>
      </c>
      <c r="DB1200" s="926">
        <f t="shared" si="2450"/>
      </c>
      <c r="DC1200" s="926">
        <f t="shared" si="2450"/>
      </c>
      <c r="DD1200" s="928">
        <f t="shared" si="2450"/>
      </c>
      <c r="DE1200" s="1060">
        <f t="shared" si="2450"/>
      </c>
      <c r="DF1200" s="926">
        <f t="shared" si="2450"/>
      </c>
      <c r="DG1200" s="926">
        <f t="shared" si="2450"/>
      </c>
      <c r="DH1200" s="926">
        <f t="shared" si="2450"/>
      </c>
      <c r="DI1200" s="928">
        <f t="shared" si="2450"/>
      </c>
      <c r="DJ1200" s="1060">
        <f t="shared" si="2450"/>
      </c>
      <c r="DK1200" s="926">
        <f>IF(DF1195=0, "NA", DK1195/DF1195-1)</f>
      </c>
      <c r="DL1200" s="926">
        <f t="shared" si="2450"/>
      </c>
      <c r="DM1200" s="926">
        <f t="shared" si="2450"/>
      </c>
      <c r="DN1200" s="926">
        <f>IF(DI1195=0, "NA", DN1195/DI1195-1)</f>
      </c>
      <c r="DO1200" s="1060">
        <f>IF(DJ1195=0, "NA", DO1195/DJ1195-1)</f>
      </c>
      <c r="DP1200" s="926">
        <f>IF(DK1195=0, "NA", DP1195/DK1195-1)</f>
      </c>
      <c r="DQ1200" s="926">
        <f t="shared" si="2450"/>
      </c>
      <c r="DR1200" s="926">
        <f t="shared" si="2450"/>
      </c>
      <c r="DS1200" s="926">
        <f t="shared" si="2450"/>
      </c>
      <c r="DT1200" s="1060">
        <f>IF(DO1195=0, "NA", DT1195/DO1195-1)</f>
      </c>
      <c r="DU1200" s="926">
        <f t="shared" si="2451"/>
      </c>
      <c r="DV1200" s="926">
        <f t="shared" si="2451"/>
      </c>
      <c r="DW1200" s="926">
        <f t="shared" si="2451"/>
      </c>
      <c r="DX1200" s="928">
        <f t="shared" si="2451"/>
      </c>
      <c r="DY1200" s="1060">
        <f>IF(DT1195=0, "NA", DY1195/DT1195-1)</f>
      </c>
      <c r="DZ1200" s="926">
        <f t="shared" si="2451"/>
      </c>
      <c r="EA1200" s="926">
        <f t="shared" si="2451"/>
      </c>
      <c r="EB1200" s="926">
        <f t="shared" si="2451"/>
      </c>
      <c r="EC1200" s="1235">
        <f t="shared" si="2451"/>
      </c>
      <c r="ED1200" s="1536">
        <f>IF(DY1195=0, "NA", ED1195/DY1195-1)</f>
      </c>
      <c r="EE1200" s="926">
        <f t="shared" si="2451"/>
      </c>
      <c r="EF1200" s="926">
        <f t="shared" si="2451"/>
      </c>
      <c r="EG1200" s="926">
        <f t="shared" si="2452"/>
      </c>
      <c r="EH1200" s="926">
        <f t="shared" si="2452"/>
      </c>
      <c r="EI1200" s="1060">
        <f>IF(ED1195=0, "NA", EI1195/ED1195-1)</f>
      </c>
      <c r="EJ1200" s="1060">
        <f t="shared" si="2453"/>
      </c>
      <c r="EK1200" s="928">
        <f t="shared" si="2453"/>
      </c>
      <c r="EL1200" s="928">
        <f t="shared" si="2453"/>
      </c>
      <c r="EM1200" s="928">
        <f t="shared" si="2453"/>
      </c>
      <c r="EN1200" s="928">
        <f t="shared" si="2453"/>
      </c>
      <c r="EO1200" s="1060"/>
      <c r="EP1200" s="1060"/>
      <c r="EQ1200" s="1060"/>
      <c r="ER1200" s="1060"/>
      <c r="ES1200" s="1060"/>
      <c r="ET1200" s="1060"/>
      <c r="EU1200" s="1060"/>
      <c r="EV1200" s="1060"/>
      <c r="EW1200" s="1060"/>
      <c r="EX1200" s="1060"/>
    </row>
    <row r="1201" spans="2:154">
      <c r="B1201" s="491" t="s">
        <v>256</v>
      </c>
      <c r="C1201" s="1577"/>
      <c r="D1201" s="933"/>
      <c r="E1201" s="933"/>
      <c r="F1201" s="933"/>
      <c r="G1201" s="933"/>
      <c r="H1201" s="933"/>
      <c r="I1201" s="24"/>
      <c r="J1201" s="946"/>
      <c r="K1201" s="946"/>
      <c r="L1201" s="946"/>
      <c r="M1201" s="946"/>
      <c r="N1201" s="24"/>
      <c r="O1201" s="24"/>
      <c r="P1201" s="24"/>
      <c r="Q1201" s="24"/>
      <c r="R1201" s="24"/>
      <c r="S1201" s="946"/>
      <c r="T1201" s="24"/>
      <c r="U1201" s="24"/>
      <c r="V1201" s="24"/>
      <c r="W1201" s="24"/>
      <c r="X1201" s="2248"/>
      <c r="Y1201" s="24"/>
      <c r="Z1201" s="24"/>
      <c r="AA1201" s="24"/>
      <c r="AB1201" s="24"/>
      <c r="AC1201" s="2248"/>
      <c r="AD1201" s="24"/>
      <c r="AE1201" s="24"/>
      <c r="AF1201" s="24"/>
      <c r="AG1201" s="24"/>
      <c r="AH1201" s="2248"/>
      <c r="AI1201" s="959">
        <f t="shared" ref="AI1201:BM1201" si="2454">IF(ISNUMBER(AI1200),(1+AI1200)/(1+AI$21)-1,"NM")</f>
      </c>
      <c r="AJ1201" s="959">
        <f t="shared" si="2454"/>
      </c>
      <c r="AK1201" s="959">
        <f t="shared" si="2454"/>
      </c>
      <c r="AL1201" s="959">
        <f t="shared" si="2454"/>
      </c>
      <c r="AM1201" s="2248">
        <f t="shared" si="2454"/>
      </c>
      <c r="AN1201" s="959">
        <f t="shared" si="2454"/>
      </c>
      <c r="AO1201" s="959">
        <f t="shared" si="2454"/>
      </c>
      <c r="AP1201" s="959">
        <f t="shared" si="2454"/>
      </c>
      <c r="AQ1201" s="959">
        <f t="shared" si="2454"/>
      </c>
      <c r="AR1201" s="2248">
        <f t="shared" si="2454"/>
      </c>
      <c r="AS1201" s="959">
        <f t="shared" si="2454"/>
      </c>
      <c r="AT1201" s="959">
        <f t="shared" si="2454"/>
      </c>
      <c r="AU1201" s="959">
        <f t="shared" si="2454"/>
      </c>
      <c r="AV1201" s="959">
        <f t="shared" si="2454"/>
      </c>
      <c r="AW1201" s="2248">
        <f t="shared" si="2454"/>
      </c>
      <c r="AX1201" s="959">
        <f t="shared" si="2454"/>
      </c>
      <c r="AY1201" s="959">
        <f t="shared" si="2454"/>
      </c>
      <c r="AZ1201" s="959">
        <f t="shared" si="2454"/>
      </c>
      <c r="BA1201" s="959">
        <f t="shared" si="2454"/>
      </c>
      <c r="BB1201" s="2248">
        <f t="shared" si="2454"/>
      </c>
      <c r="BC1201" s="959">
        <f t="shared" si="2454"/>
      </c>
      <c r="BD1201" s="959">
        <f t="shared" si="2454"/>
      </c>
      <c r="BE1201" s="959">
        <f t="shared" si="2454"/>
      </c>
      <c r="BF1201" s="959">
        <f t="shared" si="2454"/>
      </c>
      <c r="BG1201" s="1066">
        <f t="shared" si="2454"/>
      </c>
      <c r="BH1201" s="959">
        <f t="shared" si="2454"/>
      </c>
      <c r="BI1201" s="959">
        <f t="shared" si="2454"/>
      </c>
      <c r="BJ1201" s="959">
        <f t="shared" si="2454"/>
      </c>
      <c r="BK1201" s="959">
        <f t="shared" si="2454"/>
      </c>
      <c r="BL1201" s="2248">
        <f t="shared" si="2454"/>
      </c>
      <c r="BM1201" s="959">
        <f t="shared" si="2454"/>
      </c>
      <c r="BN1201" s="959">
        <v>0.04</v>
      </c>
      <c r="BO1201" s="959">
        <f>IF(ISNUMBER(BO1200),(1+BO1200)/(1+BO$21)-1,"NM")</f>
      </c>
      <c r="BP1201" s="959">
        <f>IF(ISNUMBER(BP1200),(1+BP1200)/(1+BP$21)-1,"NM")</f>
      </c>
      <c r="BQ1201" s="2248">
        <f>IF(ISNUMBER(BQ1200),(1+BQ1200)/(1+BQ$21)-1,"NM")</f>
      </c>
      <c r="BR1201" s="407">
        <v>4.1000000000000002E-2</v>
      </c>
      <c r="BS1201" s="407">
        <v>0.14799999999999999</v>
      </c>
      <c r="BT1201" s="407">
        <f>AVERAGE(BT1213,BT1225,BT1261,BT1272)</f>
      </c>
      <c r="BU1201" s="407">
        <f>AVERAGE(BU1213,BU1225,BU1261,BU1272)</f>
      </c>
      <c r="BV1201" s="2248">
        <f>IF(ISNUMBER(BV1200),(1+BV1200)/(1+BV$21)-1,"NM")</f>
      </c>
      <c r="BW1201" s="407">
        <v>0.60499999999999998</v>
      </c>
      <c r="BX1201" s="407">
        <v>0.52400000000000002</v>
      </c>
      <c r="BY1201" s="407">
        <v>3.4000000000000002E-2</v>
      </c>
      <c r="BZ1201" s="407">
        <v>3.5000000000000003E-2</v>
      </c>
      <c r="CA1201" s="2248">
        <f>IF(ISNUMBER(CA1200),(1+CA1200)/(1+CA$21)-1,"NM")</f>
      </c>
      <c r="CB1201" s="407">
        <v>2.9000000000000001E-2</v>
      </c>
      <c r="CC1201" s="407">
        <v>5.2999999999999999E-2</v>
      </c>
      <c r="CD1201" s="407">
        <v>2.4E-2</v>
      </c>
      <c r="CE1201" s="407">
        <v>3.3000000000000002E-2</v>
      </c>
      <c r="CF1201" s="2248">
        <f>IF(ISNUMBER(CF1200),(1+CF1200)/(1+CF$21)-1,"NM")</f>
      </c>
      <c r="CG1201" s="407">
        <v>2.9000000000000001E-2</v>
      </c>
      <c r="CH1201" s="407">
        <v>-4.0000000000000001E-3</v>
      </c>
      <c r="CI1201" s="407">
        <v>-0.05</v>
      </c>
      <c r="CJ1201" s="407">
        <v>0.01</v>
      </c>
      <c r="CK1201" s="2248">
        <f>CK1200-CK$21</f>
      </c>
      <c r="CL1201" s="407">
        <v>2.9000000000000001E-2</v>
      </c>
      <c r="CM1201" s="407">
        <v>9.6000000000000002E-2</v>
      </c>
      <c r="CN1201" s="407">
        <v>-0.05</v>
      </c>
      <c r="CO1201" s="407">
        <v>0.01</v>
      </c>
      <c r="CP1201" s="2248">
        <f t="shared" ref="CP1201:CZ1201" si="2455">CP1200-CP$21</f>
      </c>
      <c r="CQ1201" s="407">
        <f t="shared" si="2455"/>
      </c>
      <c r="CR1201" s="407">
        <f t="shared" si="2455"/>
      </c>
      <c r="CS1201" s="407">
        <f t="shared" si="2455"/>
      </c>
      <c r="CT1201" s="3049">
        <f t="shared" si="2455"/>
      </c>
      <c r="CU1201" s="3049">
        <f t="shared" si="2455"/>
      </c>
      <c r="CV1201" s="407">
        <v>-5.8000000000000003E-2</v>
      </c>
      <c r="CW1201" s="407">
        <v>-3.5999999999999997E-2</v>
      </c>
      <c r="CX1201" s="407">
        <v>-4.3999999999999997E-2</v>
      </c>
      <c r="CY1201" s="3049">
        <f t="shared" si="2455"/>
      </c>
      <c r="CZ1201" s="3049">
        <f t="shared" si="2455"/>
      </c>
      <c r="DA1201" s="407">
        <v>7.0000000000000001E-3</v>
      </c>
      <c r="DB1201" s="407">
        <v>1.4999999999999999E-2</v>
      </c>
      <c r="DC1201" s="407">
        <v>4.1000000000000002E-2</v>
      </c>
      <c r="DD1201" s="3049">
        <v>1.7000000000000001E-2</v>
      </c>
      <c r="DE1201" s="448">
        <v>1.9E-2</v>
      </c>
      <c r="DF1201" s="649">
        <v>-8.5000000000000006E-2</v>
      </c>
      <c r="DG1201" s="649">
        <v>-0.32600000000000001</v>
      </c>
      <c r="DH1201" s="649">
        <v>-0.09</v>
      </c>
      <c r="DI1201" s="1482">
        <v>-0.113</v>
      </c>
      <c r="DJ1201" s="448">
        <v>-0.154</v>
      </c>
      <c r="DK1201" s="649">
        <v>3.1E-2</v>
      </c>
      <c r="DL1201" s="649">
        <v>0.432</v>
      </c>
      <c r="DM1201" s="649">
        <v>6.8000000000000005E-2</v>
      </c>
      <c r="DN1201" s="649">
        <v>3.9E-2</v>
      </c>
      <c r="DO1201" s="448">
        <v>0.121</v>
      </c>
      <c r="DP1201" s="649">
        <v>9.0999999999999998E-2</v>
      </c>
      <c r="DQ1201" s="649">
        <v>-6.0000000000000001E-3</v>
      </c>
      <c r="DR1201" s="649">
        <v>4.5999999999999999E-2</v>
      </c>
      <c r="DS1201" s="649">
        <v>8.0000000000000002E-3</v>
      </c>
      <c r="DT1201" s="448">
        <v>3.4000000000000002E-2</v>
      </c>
      <c r="DU1201" s="649">
        <v>0.04</v>
      </c>
      <c r="DV1201" s="649">
        <v>0.09</v>
      </c>
      <c r="DW1201" s="649">
        <v>1.7000000000000001E-2</v>
      </c>
      <c r="DX1201" s="1482">
        <v>8.7999999999999995E-2</v>
      </c>
      <c r="DY1201" s="448">
        <v>5.8000000000000003E-2</v>
      </c>
      <c r="DZ1201" s="649">
        <v>2.7E-2</v>
      </c>
      <c r="EA1201" s="649">
        <v>4.4999999999999998E-2</v>
      </c>
      <c r="EB1201" s="649">
        <v>2.1999999999999999E-2</v>
      </c>
      <c r="EC1201" s="3610">
        <v>2.5000000000000001E-2</v>
      </c>
      <c r="ED1201" s="3623">
        <v>0.03</v>
      </c>
      <c r="EE1201" s="649">
        <v>-8.9999999999999993E-3</v>
      </c>
      <c r="EF1201" s="649">
        <v>-0.04</v>
      </c>
      <c r="EG1201" s="649">
        <f t="shared" ref="EG1201:EN1201" si="2456">EG1200-EG$1370</f>
      </c>
      <c r="EH1201" s="926">
        <f t="shared" si="2456"/>
      </c>
      <c r="EI1201" s="1060">
        <f t="shared" si="2456"/>
      </c>
      <c r="EJ1201" s="1060">
        <f t="shared" si="2456"/>
      </c>
      <c r="EK1201" s="928">
        <f t="shared" si="2456"/>
      </c>
      <c r="EL1201" s="928">
        <f t="shared" si="2456"/>
      </c>
      <c r="EM1201" s="928">
        <f t="shared" si="2456"/>
      </c>
      <c r="EN1201" s="928">
        <f t="shared" si="2456"/>
      </c>
      <c r="EO1201" s="1060"/>
      <c r="EP1201" s="1060"/>
      <c r="EQ1201" s="1060"/>
      <c r="ER1201" s="1060"/>
      <c r="ES1201" s="1060"/>
      <c r="ET1201" s="1060"/>
      <c r="EU1201" s="1060"/>
      <c r="EV1201" s="1060"/>
      <c r="EW1201" s="1060"/>
      <c r="EX1201" s="1060"/>
    </row>
    <row r="1202" spans="2:154">
      <c r="B1202" s="491" t="s">
        <v>413</v>
      </c>
      <c r="C1202" s="1577"/>
      <c r="D1202" s="933"/>
      <c r="E1202" s="933"/>
      <c r="F1202" s="933"/>
      <c r="G1202" s="933"/>
      <c r="H1202" s="933"/>
      <c r="I1202" s="926">
        <f t="shared" ref="I1202:BR1202" si="2457">IF(D1196="NM","NM",IF(I1196="NM","NM",IF(D1196&lt;=0,"NM",IF(I1196=0,"NM",IF(ABS(I1196/D1196-1)&gt;2.5,"NM",IF((ABS(I1196-D1196)=ABS(ABS(I1196)-ABS(D1196))),(I1196/D1196-1),"NM"))))))</f>
      </c>
      <c r="J1202" s="926">
        <f t="shared" si="2457"/>
      </c>
      <c r="K1202" s="926">
        <f t="shared" si="2457"/>
      </c>
      <c r="L1202" s="926">
        <f t="shared" si="2457"/>
      </c>
      <c r="M1202" s="926">
        <f t="shared" si="2457"/>
      </c>
      <c r="N1202" s="926">
        <f t="shared" si="2457"/>
      </c>
      <c r="O1202" s="926">
        <f t="shared" si="2457"/>
      </c>
      <c r="P1202" s="926">
        <f t="shared" si="2457"/>
      </c>
      <c r="Q1202" s="926">
        <f t="shared" si="2457"/>
      </c>
      <c r="R1202" s="926">
        <f t="shared" si="2457"/>
      </c>
      <c r="S1202" s="926">
        <f t="shared" si="2457"/>
      </c>
      <c r="T1202" s="926">
        <f t="shared" si="2457"/>
      </c>
      <c r="U1202" s="926">
        <f t="shared" si="2457"/>
      </c>
      <c r="V1202" s="926">
        <f t="shared" si="2457"/>
      </c>
      <c r="W1202" s="926">
        <f t="shared" si="2457"/>
      </c>
      <c r="X1202" s="1060">
        <f t="shared" si="2457"/>
      </c>
      <c r="Y1202" s="926">
        <f t="shared" si="2457"/>
      </c>
      <c r="Z1202" s="926">
        <f t="shared" si="2457"/>
      </c>
      <c r="AA1202" s="926">
        <f t="shared" si="2457"/>
      </c>
      <c r="AB1202" s="926">
        <f t="shared" si="2457"/>
      </c>
      <c r="AC1202" s="1060">
        <f t="shared" si="2457"/>
      </c>
      <c r="AD1202" s="926">
        <f t="shared" si="2457"/>
      </c>
      <c r="AE1202" s="926">
        <f t="shared" si="2457"/>
      </c>
      <c r="AF1202" s="926">
        <f t="shared" si="2457"/>
      </c>
      <c r="AG1202" s="926">
        <f t="shared" si="2457"/>
      </c>
      <c r="AH1202" s="1060">
        <f t="shared" si="2457"/>
      </c>
      <c r="AI1202" s="926">
        <f t="shared" si="2457"/>
      </c>
      <c r="AJ1202" s="926">
        <f t="shared" si="2457"/>
      </c>
      <c r="AK1202" s="926">
        <f t="shared" si="2457"/>
      </c>
      <c r="AL1202" s="926">
        <f t="shared" si="2457"/>
      </c>
      <c r="AM1202" s="1060">
        <f t="shared" si="2457"/>
      </c>
      <c r="AN1202" s="926">
        <f t="shared" si="2457"/>
      </c>
      <c r="AO1202" s="926">
        <f t="shared" si="2457"/>
      </c>
      <c r="AP1202" s="926">
        <f t="shared" si="2457"/>
      </c>
      <c r="AQ1202" s="926">
        <f t="shared" si="2457"/>
      </c>
      <c r="AR1202" s="1060">
        <f t="shared" si="2457"/>
      </c>
      <c r="AS1202" s="926">
        <f t="shared" si="2457"/>
      </c>
      <c r="AT1202" s="926">
        <f t="shared" si="2457"/>
      </c>
      <c r="AU1202" s="926">
        <f t="shared" si="2457"/>
      </c>
      <c r="AV1202" s="926">
        <f t="shared" si="2457"/>
      </c>
      <c r="AW1202" s="1060">
        <f t="shared" si="2457"/>
      </c>
      <c r="AX1202" s="926">
        <f t="shared" si="2457"/>
      </c>
      <c r="AY1202" s="926">
        <f t="shared" si="2457"/>
      </c>
      <c r="AZ1202" s="926">
        <f t="shared" si="2457"/>
      </c>
      <c r="BA1202" s="926">
        <f t="shared" si="2457"/>
      </c>
      <c r="BB1202" s="1060">
        <f t="shared" si="2457"/>
      </c>
      <c r="BC1202" s="926">
        <f t="shared" si="2457"/>
      </c>
      <c r="BD1202" s="926">
        <f t="shared" si="2457"/>
      </c>
      <c r="BE1202" s="926">
        <f t="shared" si="2457"/>
      </c>
      <c r="BF1202" s="926">
        <f t="shared" si="2457"/>
      </c>
      <c r="BG1202" s="1060">
        <f t="shared" si="2457"/>
      </c>
      <c r="BH1202" s="926">
        <f t="shared" si="2457"/>
      </c>
      <c r="BI1202" s="926">
        <f t="shared" si="2457"/>
      </c>
      <c r="BJ1202" s="926">
        <f t="shared" si="2457"/>
      </c>
      <c r="BK1202" s="926">
        <f t="shared" si="2457"/>
      </c>
      <c r="BL1202" s="1060">
        <f t="shared" si="2457"/>
      </c>
      <c r="BM1202" s="926">
        <f t="shared" si="2457"/>
      </c>
      <c r="BN1202" s="926">
        <f t="shared" si="2457"/>
      </c>
      <c r="BO1202" s="926">
        <f t="shared" si="2457"/>
      </c>
      <c r="BP1202" s="926">
        <f t="shared" si="2457"/>
      </c>
      <c r="BQ1202" s="1060">
        <f t="shared" si="2457"/>
      </c>
      <c r="BR1202" s="926">
        <f t="shared" si="2457"/>
      </c>
      <c r="BS1202" s="926">
        <f>IF(BN1196="NM","NM",IF(BS1196="NM","NM",IF(BN1196&lt;=0,"NM",IF(BS1196=0,"NM",IF(ABS(BS1196/BN1196-1)&gt;2.5,"NM",IF((ABS(BS1196-BN1196)=ABS(ABS(BS1196)-ABS(BN1196))),(BS1196/BN1196-1),"NM"))))))</f>
      </c>
      <c r="BT1202" s="926">
        <f>IF(BO1196="NM","NM",IF(BT1196="NM","NM",IF(BO1196&lt;=0,"NM",IF(BT1196=0,"NM",IF(ABS(BT1196/BO1196-1)&gt;2.5,"NM",IF((ABS(BT1196-BO1196)=ABS(ABS(BT1196)-ABS(BO1196))),(BT1196/BO1196-1),"NM"))))))</f>
      </c>
      <c r="BU1202" s="926">
        <f>IF(BP1196="NM","NM",IF(BU1196="NM","NM",IF(BP1196&lt;=0,"NM",IF(BU1196=0,"NM",IF(ABS(BU1196/BP1196-1)&gt;2.5,"NM",IF((ABS(BU1196-BP1196)=ABS(ABS(BU1196)-ABS(BP1196))),(BU1196/BP1196-1),"NM"))))))</f>
      </c>
      <c r="BV1202" s="1060">
        <f>IF(BQ1196="NM","NM",IF(BV1196="NM","NM",IF(BQ1196&lt;=0,"NM",IF(BV1196=0,"NM",IF(ABS(BV1196/BQ1196-1)&gt;2.5,"NM",IF((ABS(BV1196-BQ1196)=ABS(ABS(BV1196)-ABS(BQ1196))),(BV1196/BQ1196-1),"NM"))))))</f>
      </c>
      <c r="BW1202" s="926">
        <f>IF(BR1196="NM","NM",IF(BW1196="NM","NM",IF(BR1196&lt;=0,"NM",IF(BW1196=0,"NM",IF(ABS(BW1196/BR1196-1)&gt;2.5,"NM",IF((ABS(BW1196-BR1196)=ABS(ABS(BW1196)-ABS(BR1196))),(BW1196/BR1196-1),"NM"))))))</f>
      </c>
      <c r="BX1202" s="926">
        <f t="shared" ref="BX1202:CI1202" si="2458">IF(BS1196="NM","NM",IF(BX1196="NM","NM",IF(BS1196&lt;=0,"NM",IF(BX1196=0,"NM",IF(ABS(BX1196/BS1196-1)&gt;2.5,"NM",IF((ABS(BX1196-BS1196)=ABS(ABS(BX1196)-ABS(BS1196))),(BX1196/BS1196-1),"NM"))))))</f>
      </c>
      <c r="BY1202" s="926">
        <f t="shared" si="2458"/>
      </c>
      <c r="BZ1202" s="926">
        <f t="shared" si="2458"/>
      </c>
      <c r="CA1202" s="1060">
        <f t="shared" si="2458"/>
      </c>
      <c r="CB1202" s="926">
        <f t="shared" si="2458"/>
      </c>
      <c r="CC1202" s="926">
        <f t="shared" si="2458"/>
      </c>
      <c r="CD1202" s="926">
        <f t="shared" si="2458"/>
      </c>
      <c r="CE1202" s="926">
        <f t="shared" si="2458"/>
      </c>
      <c r="CF1202" s="1060">
        <f t="shared" si="2458"/>
      </c>
      <c r="CG1202" s="926">
        <f t="shared" si="2458"/>
      </c>
      <c r="CH1202" s="926">
        <f t="shared" si="2458"/>
      </c>
      <c r="CI1202" s="926">
        <f t="shared" si="2458"/>
      </c>
      <c r="CJ1202" s="926">
        <f>IF(CE1196=0, "NA", CJ1196/CE1196-1)</f>
      </c>
      <c r="CK1202" s="1060">
        <f>IF(CF1196=0, "NA", CK1196/CF1196-1)</f>
      </c>
      <c r="CL1202" s="926">
        <f>IF(CG1196="NM","NM",IF(CL1196="NM","NM",IF(CG1196&lt;=0,"NM",IF(CL1196=0,"NM",IF(ABS(CL1196/CG1196-1)&gt;2.5,"NM",IF((ABS(CL1196-CG1196)=ABS(ABS(CL1196)-ABS(CG1196))),(CL1196/CG1196-1),"NM"))))))</f>
      </c>
      <c r="CM1202" s="926">
        <f>IF(CH1196="NM","NM",IF(CM1196="NM","NM",IF(CH1196&lt;=0,"NM",IF(CM1196=0,"NM",IF(ABS(CM1196/CH1196-1)&gt;2.5,"NM",IF((ABS(CM1196-CH1196)=ABS(ABS(CM1196)-ABS(CH1196))),(CM1196/CH1196-1),"NM"))))))</f>
      </c>
      <c r="CN1202" s="926">
        <f>IF(CI1196="NM","NM",IF(CN1196="NM","NM",IF(CI1196&lt;=0,"NM",IF(CN1196=0,"NM",IF(ABS(CN1196/CI1196-1)&gt;2.5,"NM",IF((ABS(CN1196-CI1196)=ABS(ABS(CN1196)-ABS(CI1196))),(CN1196/CI1196-1),"NM"))))))</f>
      </c>
      <c r="CO1202" s="926">
        <f t="shared" ref="CO1202:EH1202" si="2459">IF(CJ1196=0, "NA", CO1196/CJ1196-1)</f>
      </c>
      <c r="CP1202" s="1060">
        <f t="shared" si="2459"/>
      </c>
      <c r="CQ1202" s="926">
        <f t="shared" si="2459"/>
      </c>
      <c r="CR1202" s="926">
        <f t="shared" si="2459"/>
      </c>
      <c r="CS1202" s="926">
        <f t="shared" si="2459"/>
      </c>
      <c r="CT1202" s="926">
        <f t="shared" si="2459"/>
      </c>
      <c r="CU1202" s="1060">
        <f t="shared" si="2459"/>
      </c>
      <c r="CV1202" s="926">
        <f t="shared" si="2459"/>
      </c>
      <c r="CW1202" s="926">
        <f t="shared" si="2459"/>
      </c>
      <c r="CX1202" s="926">
        <f t="shared" si="2459"/>
      </c>
      <c r="CY1202" s="926">
        <f t="shared" si="2459"/>
      </c>
      <c r="CZ1202" s="1060">
        <f t="shared" si="2459"/>
      </c>
      <c r="DA1202" s="926">
        <f t="shared" si="2459"/>
      </c>
      <c r="DB1202" s="926">
        <f t="shared" si="2459"/>
      </c>
      <c r="DC1202" s="926">
        <f t="shared" si="2459"/>
      </c>
      <c r="DD1202" s="928">
        <f t="shared" si="2459"/>
      </c>
      <c r="DE1202" s="1060">
        <f t="shared" si="2459"/>
      </c>
      <c r="DF1202" s="926">
        <f t="shared" si="2459"/>
      </c>
      <c r="DG1202" s="926">
        <f t="shared" si="2459"/>
      </c>
      <c r="DH1202" s="926">
        <f t="shared" si="2459"/>
      </c>
      <c r="DI1202" s="928">
        <f t="shared" si="2459"/>
      </c>
      <c r="DJ1202" s="1060">
        <f t="shared" si="2459"/>
      </c>
      <c r="DK1202" s="926">
        <f t="shared" si="2459"/>
      </c>
      <c r="DL1202" s="926">
        <f t="shared" si="2459"/>
      </c>
      <c r="DM1202" s="926">
        <f t="shared" si="2459"/>
      </c>
      <c r="DN1202" s="926">
        <f t="shared" si="2459"/>
      </c>
      <c r="DO1202" s="1060">
        <f t="shared" si="2459"/>
      </c>
      <c r="DP1202" s="926">
        <f t="shared" si="2459"/>
      </c>
      <c r="DQ1202" s="926">
        <f t="shared" si="2459"/>
      </c>
      <c r="DR1202" s="926">
        <f t="shared" si="2459"/>
      </c>
      <c r="DS1202" s="926">
        <f t="shared" si="2459"/>
      </c>
      <c r="DT1202" s="1060">
        <f t="shared" si="2459"/>
      </c>
      <c r="DU1202" s="926">
        <f t="shared" si="2459"/>
      </c>
      <c r="DV1202" s="926">
        <f t="shared" si="2459"/>
      </c>
      <c r="DW1202" s="926">
        <f t="shared" si="2459"/>
      </c>
      <c r="DX1202" s="928">
        <f t="shared" si="2459"/>
      </c>
      <c r="DY1202" s="1060">
        <f t="shared" si="2459"/>
      </c>
      <c r="DZ1202" s="926">
        <f t="shared" si="2459"/>
      </c>
      <c r="EA1202" s="926">
        <f t="shared" si="2459"/>
      </c>
      <c r="EB1202" s="926">
        <f t="shared" si="2459"/>
      </c>
      <c r="EC1202" s="1235">
        <f t="shared" si="2459"/>
      </c>
      <c r="ED1202" s="1536">
        <f t="shared" si="2459"/>
      </c>
      <c r="EE1202" s="926">
        <f t="shared" si="2459"/>
      </c>
      <c r="EF1202" s="926">
        <f t="shared" si="2459"/>
      </c>
      <c r="EG1202" s="926">
        <f t="shared" si="2459"/>
      </c>
      <c r="EH1202" s="926">
        <f t="shared" si="2459"/>
      </c>
      <c r="EI1202" s="1060">
        <f>IF(ED1196=0, "NA", EI1196/ED1196-1)</f>
      </c>
      <c r="EJ1202" s="1060">
        <f t="shared" ref="EJ1202:EN1202" si="2460">IF(EI1196=0, "NA", EJ1196/EI1196-1)</f>
      </c>
      <c r="EK1202" s="928">
        <f t="shared" si="2460"/>
      </c>
      <c r="EL1202" s="928">
        <f t="shared" si="2460"/>
      </c>
      <c r="EM1202" s="928">
        <f t="shared" si="2460"/>
      </c>
      <c r="EN1202" s="928">
        <f t="shared" si="2460"/>
      </c>
      <c r="EO1202" s="1060"/>
      <c r="EP1202" s="1060"/>
      <c r="EQ1202" s="1060"/>
      <c r="ER1202" s="1060"/>
      <c r="ES1202" s="1060"/>
      <c r="ET1202" s="1060"/>
      <c r="EU1202" s="1060"/>
      <c r="EV1202" s="1060"/>
      <c r="EW1202" s="1060"/>
      <c r="EX1202" s="1060"/>
    </row>
    <row r="1203" spans="2:154">
      <c r="B1203" s="454" t="s">
        <v>850</v>
      </c>
      <c r="C1203" s="1577"/>
      <c r="D1203" s="933"/>
      <c r="E1203" s="933"/>
      <c r="F1203" s="933"/>
      <c r="G1203" s="933"/>
      <c r="H1203" s="933"/>
      <c r="I1203" s="926"/>
      <c r="J1203" s="926"/>
      <c r="K1203" s="926"/>
      <c r="L1203" s="926"/>
      <c r="M1203" s="926"/>
      <c r="N1203" s="926"/>
      <c r="O1203" s="926"/>
      <c r="P1203" s="926"/>
      <c r="Q1203" s="926"/>
      <c r="R1203" s="926"/>
      <c r="S1203" s="926"/>
      <c r="T1203" s="926"/>
      <c r="U1203" s="926"/>
      <c r="V1203" s="926"/>
      <c r="W1203" s="926"/>
      <c r="X1203" s="1060"/>
      <c r="Y1203" s="926"/>
      <c r="Z1203" s="926"/>
      <c r="AA1203" s="926"/>
      <c r="AB1203" s="926"/>
      <c r="AC1203" s="1060"/>
      <c r="AD1203" s="926"/>
      <c r="AE1203" s="926"/>
      <c r="AF1203" s="926"/>
      <c r="AG1203" s="926"/>
      <c r="AH1203" s="1060"/>
      <c r="AI1203" s="926"/>
      <c r="AJ1203" s="926"/>
      <c r="AK1203" s="926"/>
      <c r="AL1203" s="926"/>
      <c r="AM1203" s="1060"/>
      <c r="AN1203" s="926"/>
      <c r="AO1203" s="926"/>
      <c r="AP1203" s="926"/>
      <c r="AQ1203" s="926"/>
      <c r="AR1203" s="1060"/>
      <c r="AS1203" s="926"/>
      <c r="AT1203" s="926"/>
      <c r="AU1203" s="926"/>
      <c r="AV1203" s="926"/>
      <c r="AW1203" s="1060"/>
      <c r="AX1203" s="926"/>
      <c r="AY1203" s="926"/>
      <c r="AZ1203" s="926"/>
      <c r="BA1203" s="926"/>
      <c r="BB1203" s="1060"/>
      <c r="BC1203" s="926"/>
      <c r="BD1203" s="926"/>
      <c r="BE1203" s="926"/>
      <c r="BF1203" s="926"/>
      <c r="BG1203" s="1060"/>
      <c r="BH1203" s="926"/>
      <c r="BI1203" s="926"/>
      <c r="BJ1203" s="926"/>
      <c r="BK1203" s="926"/>
      <c r="BL1203" s="1060"/>
      <c r="BM1203" s="926"/>
      <c r="BN1203" s="926"/>
      <c r="BO1203" s="926"/>
      <c r="BP1203" s="926"/>
      <c r="BQ1203" s="1060"/>
      <c r="BR1203" s="926"/>
      <c r="BS1203" s="926"/>
      <c r="BT1203" s="926"/>
      <c r="BU1203" s="926"/>
      <c r="BV1203" s="1060"/>
      <c r="BW1203" s="926"/>
      <c r="BX1203" s="926"/>
      <c r="BY1203" s="926"/>
      <c r="BZ1203" s="926"/>
      <c r="CA1203" s="1060"/>
      <c r="CB1203" s="926"/>
      <c r="CC1203" s="926"/>
      <c r="CD1203" s="926"/>
      <c r="CE1203" s="926"/>
      <c r="CF1203" s="1060"/>
      <c r="CG1203" s="926"/>
      <c r="CH1203" s="926"/>
      <c r="CI1203" s="926"/>
      <c r="CJ1203" s="926"/>
      <c r="CK1203" s="1060"/>
      <c r="CL1203" s="926"/>
      <c r="CM1203" s="926"/>
      <c r="CN1203" s="926"/>
      <c r="CO1203" s="926"/>
      <c r="CP1203" s="1060"/>
      <c r="CQ1203" s="649"/>
      <c r="CR1203" s="649"/>
      <c r="CS1203" s="649"/>
      <c r="CT1203" s="649"/>
      <c r="CU1203" s="448"/>
      <c r="CV1203" s="649">
        <v>-4.5999999999999999E-2</v>
      </c>
      <c r="CW1203" s="649">
        <v>-0.03</v>
      </c>
      <c r="CX1203" s="649">
        <v>-2.9000000000000001E-2</v>
      </c>
      <c r="CY1203" s="649"/>
      <c r="CZ1203" s="448"/>
      <c r="DA1203" s="649">
        <v>8.0000000000000002E-3</v>
      </c>
      <c r="DB1203" s="649">
        <v>6.0000000000000001E-3</v>
      </c>
      <c r="DC1203" s="649">
        <v>2.3E-2</v>
      </c>
      <c r="DD1203" s="1482">
        <v>1.2E-2</v>
      </c>
      <c r="DE1203" s="448">
        <v>1.2E-2</v>
      </c>
      <c r="DF1203" s="649">
        <v>-6.5000000000000002E-2</v>
      </c>
      <c r="DG1203" s="649">
        <v>-0.33900000000000002</v>
      </c>
      <c r="DH1203" s="649">
        <v>-3.1E-2</v>
      </c>
      <c r="DI1203" s="1482">
        <v>-5.2999999999999999E-2</v>
      </c>
      <c r="DJ1203" s="448">
        <v>-0.123</v>
      </c>
      <c r="DK1203" s="2959">
        <v>1.2E-2</v>
      </c>
      <c r="DL1203" s="2959">
        <v>0.48599999999999999</v>
      </c>
      <c r="DM1203" s="2959">
        <v>-3.0000000000000001E-3</v>
      </c>
      <c r="DN1203" s="2959">
        <v>-7.0000000000000001E-3</v>
      </c>
      <c r="DO1203" s="2958">
        <v>9.0999999999999998E-2</v>
      </c>
      <c r="DP1203" s="2959">
        <v>5.6000000000000001E-2</v>
      </c>
      <c r="DQ1203" s="2959">
        <v>5.0000000000000001E-3</v>
      </c>
      <c r="DR1203" s="2959">
        <v>4.7E-2</v>
      </c>
      <c r="DS1203" s="2959">
        <v>0.04</v>
      </c>
      <c r="DT1203" s="2958">
        <v>3.6999999999999998E-2</v>
      </c>
      <c r="DU1203" s="2959">
        <v>5.0999999999999997E-2</v>
      </c>
      <c r="DV1203" s="2959">
        <v>5.7000000000000002E-2</v>
      </c>
      <c r="DW1203" s="2959">
        <v>2.5999999999999999E-2</v>
      </c>
      <c r="DX1203" s="2960">
        <v>0.05</v>
      </c>
      <c r="DY1203" s="2958">
        <v>4.5999999999999999E-2</v>
      </c>
      <c r="DZ1203" s="649">
        <v>4.8000000000000001E-2</v>
      </c>
      <c r="EA1203" s="649">
        <v>3.3000000000000002E-2</v>
      </c>
      <c r="EB1203" s="649">
        <v>1.2999999999999999E-2</v>
      </c>
      <c r="EC1203" s="3616">
        <v>2.5000000000000001E-2</v>
      </c>
      <c r="ED1203" s="3624">
        <v>0.03</v>
      </c>
      <c r="EE1203" s="649">
        <v>-3.1E-2</v>
      </c>
      <c r="EF1203" s="649">
        <v>-1.6E-2</v>
      </c>
      <c r="EG1203" s="649">
        <f t="shared" ref="EG1203:EH1203" si="2461">(EB1195*EG1201+EB1194*EG1199)/(EB1196)</f>
      </c>
      <c r="EH1203" s="926">
        <f t="shared" si="2461"/>
      </c>
      <c r="EI1203" s="1060">
        <f>(ED1195*EI1201+ED1194*EI1199)/(ED1196)</f>
      </c>
      <c r="EJ1203" s="1060">
        <f t="shared" ref="EJ1203:EN1203" si="2462">(EI1195*EJ1201+EI1194*EJ1199)/(EI1196)</f>
      </c>
      <c r="EK1203" s="928">
        <f t="shared" si="2462"/>
      </c>
      <c r="EL1203" s="928">
        <f t="shared" si="2462"/>
      </c>
      <c r="EM1203" s="928">
        <f t="shared" si="2462"/>
      </c>
      <c r="EN1203" s="928">
        <f t="shared" si="2462"/>
      </c>
      <c r="EO1203" s="1060"/>
      <c r="EP1203" s="1060"/>
      <c r="EQ1203" s="1060"/>
      <c r="ER1203" s="1060"/>
      <c r="ES1203" s="1060"/>
      <c r="ET1203" s="1060"/>
      <c r="EU1203" s="1060"/>
      <c r="EV1203" s="1060"/>
      <c r="EW1203" s="1060"/>
      <c r="EX1203" s="1060"/>
    </row>
    <row r="1204" spans="2:154" ht="12.75" customHeight="1">
      <c r="B1204" s="341"/>
      <c r="C1204" s="1577"/>
      <c r="D1204" s="933"/>
      <c r="E1204" s="933"/>
      <c r="F1204" s="933"/>
      <c r="G1204" s="933"/>
      <c r="H1204" s="933"/>
      <c r="I1204" s="926"/>
      <c r="J1204" s="926"/>
      <c r="K1204" s="926"/>
      <c r="L1204" s="926"/>
      <c r="M1204" s="926"/>
      <c r="N1204" s="926"/>
      <c r="O1204" s="926"/>
      <c r="P1204" s="926"/>
      <c r="Q1204" s="926"/>
      <c r="R1204" s="926"/>
      <c r="S1204" s="926"/>
      <c r="T1204" s="926"/>
      <c r="U1204" s="926"/>
      <c r="V1204" s="926"/>
      <c r="W1204" s="926"/>
      <c r="X1204" s="1060"/>
      <c r="Y1204" s="926"/>
      <c r="Z1204" s="926"/>
      <c r="AA1204" s="926"/>
      <c r="AB1204" s="926"/>
      <c r="AC1204" s="1060"/>
      <c r="AD1204" s="926"/>
      <c r="AE1204" s="926"/>
      <c r="AF1204" s="926"/>
      <c r="AG1204" s="926"/>
      <c r="AH1204" s="1060"/>
      <c r="AI1204" s="926"/>
      <c r="AJ1204" s="926"/>
      <c r="AK1204" s="926"/>
      <c r="AL1204" s="926"/>
      <c r="AM1204" s="1060"/>
      <c r="AN1204" s="926"/>
      <c r="AO1204" s="926"/>
      <c r="AP1204" s="926"/>
      <c r="AQ1204" s="926"/>
      <c r="AR1204" s="1060"/>
      <c r="AS1204" s="926"/>
      <c r="AT1204" s="926"/>
      <c r="AU1204" s="926"/>
      <c r="AV1204" s="926"/>
      <c r="AW1204" s="1060"/>
      <c r="AX1204" s="926"/>
      <c r="AY1204" s="926"/>
      <c r="AZ1204" s="926"/>
      <c r="BA1204" s="926"/>
      <c r="BB1204" s="1060"/>
      <c r="BC1204" s="926"/>
      <c r="BD1204" s="926"/>
      <c r="BE1204" s="926"/>
      <c r="BF1204" s="926"/>
      <c r="BG1204" s="1060"/>
      <c r="BH1204" s="926"/>
      <c r="BI1204" s="926"/>
      <c r="BJ1204" s="926"/>
      <c r="BK1204" s="926"/>
      <c r="BL1204" s="1060"/>
      <c r="BM1204" s="926"/>
      <c r="BN1204" s="926"/>
      <c r="BO1204" s="926"/>
      <c r="BP1204" s="926"/>
      <c r="BQ1204" s="1060"/>
      <c r="BR1204" s="926"/>
      <c r="BS1204" s="926"/>
      <c r="BT1204" s="926"/>
      <c r="BU1204" s="926"/>
      <c r="BV1204" s="1060"/>
      <c r="BW1204" s="926"/>
      <c r="BX1204" s="926"/>
      <c r="BY1204" s="926"/>
      <c r="BZ1204" s="926"/>
      <c r="CA1204" s="1060"/>
      <c r="CB1204" s="926"/>
      <c r="CC1204" s="926"/>
      <c r="CD1204" s="926"/>
      <c r="CE1204" s="926"/>
      <c r="CF1204" s="1060"/>
      <c r="CG1204" s="926"/>
      <c r="CH1204" s="926"/>
      <c r="CI1204" s="926"/>
      <c r="CJ1204" s="926"/>
      <c r="CK1204" s="1060"/>
      <c r="CL1204" s="926"/>
      <c r="CM1204" s="926"/>
      <c r="CN1204" s="926"/>
      <c r="CO1204" s="926"/>
      <c r="CP1204" s="1060"/>
      <c r="CQ1204" s="926"/>
      <c r="CR1204" s="926"/>
      <c r="CS1204" s="926"/>
      <c r="CT1204" s="926"/>
      <c r="CU1204" s="1060"/>
      <c r="CV1204" s="926"/>
      <c r="CW1204" s="926"/>
      <c r="CX1204" s="926"/>
      <c r="CY1204" s="926"/>
      <c r="CZ1204" s="1060"/>
      <c r="DA1204" s="926"/>
      <c r="DB1204" s="926"/>
      <c r="DC1204" s="926"/>
      <c r="DD1204" s="928"/>
      <c r="DE1204" s="1060"/>
      <c r="DF1204" s="926"/>
      <c r="DG1204" s="926"/>
      <c r="DH1204" s="926"/>
      <c r="DI1204" s="928"/>
      <c r="DJ1204" s="1060"/>
      <c r="DK1204" s="926"/>
      <c r="DL1204" s="926"/>
      <c r="DM1204" s="926"/>
      <c r="DN1204" s="926"/>
      <c r="DO1204" s="1060"/>
      <c r="DP1204" s="926"/>
      <c r="DQ1204" s="926"/>
      <c r="DR1204" s="926"/>
      <c r="DS1204" s="926"/>
      <c r="DT1204" s="1060"/>
      <c r="DU1204" s="926"/>
      <c r="DV1204" s="926"/>
      <c r="DW1204" s="926"/>
      <c r="DX1204" s="928"/>
      <c r="DY1204" s="1060"/>
      <c r="DZ1204" s="1779"/>
      <c r="EA1204" s="1779"/>
      <c r="EB1204" s="1779"/>
      <c r="EC1204" s="1235"/>
      <c r="ED1204" s="1536"/>
      <c r="EE1204" s="1779"/>
      <c r="EF1204" s="1779"/>
      <c r="EG1204" s="1779"/>
      <c r="EH1204" s="1779"/>
      <c r="EI1204" s="3005"/>
      <c r="EJ1204" s="1060"/>
      <c r="EK1204" s="928"/>
      <c r="EL1204" s="928"/>
      <c r="EM1204" s="928"/>
      <c r="EN1204" s="928"/>
      <c r="EO1204" s="1060"/>
      <c r="EP1204" s="1060"/>
      <c r="EQ1204" s="1060"/>
      <c r="ER1204" s="1060"/>
      <c r="ES1204" s="1060"/>
      <c r="ET1204" s="1060"/>
      <c r="EU1204" s="1060"/>
      <c r="EV1204" s="1060"/>
      <c r="EW1204" s="1060"/>
      <c r="EX1204" s="1060"/>
    </row>
    <row r="1205" spans="2:154" ht="12.75" customHeight="1">
      <c r="B1205" s="436" t="s">
        <v>523</v>
      </c>
      <c r="C1205" s="1577"/>
      <c r="D1205" s="933"/>
      <c r="E1205" s="933"/>
      <c r="F1205" s="933"/>
      <c r="G1205" s="933"/>
      <c r="H1205" s="933"/>
      <c r="I1205" s="933"/>
      <c r="J1205" s="933"/>
      <c r="K1205" s="933"/>
      <c r="L1205" s="933"/>
      <c r="M1205" s="933"/>
      <c r="N1205" s="933"/>
      <c r="O1205" s="933"/>
      <c r="P1205" s="933"/>
      <c r="Q1205" s="933"/>
      <c r="R1205" s="933"/>
      <c r="S1205" s="933"/>
      <c r="T1205" s="933"/>
      <c r="U1205" s="933"/>
      <c r="V1205" s="933"/>
      <c r="W1205" s="933"/>
      <c r="X1205" s="1061"/>
      <c r="Y1205" s="933"/>
      <c r="Z1205" s="933"/>
      <c r="AA1205" s="933"/>
      <c r="AB1205" s="933"/>
      <c r="AC1205" s="1061"/>
      <c r="AD1205" s="933"/>
      <c r="AE1205" s="933"/>
      <c r="AF1205" s="933"/>
      <c r="AG1205" s="933"/>
      <c r="AH1205" s="1061"/>
      <c r="AI1205" s="933"/>
      <c r="AJ1205" s="933"/>
      <c r="AK1205" s="933"/>
      <c r="AL1205" s="933"/>
      <c r="AM1205" s="1061"/>
      <c r="AN1205" s="933"/>
      <c r="AO1205" s="933"/>
      <c r="AP1205" s="933"/>
      <c r="AQ1205" s="933"/>
      <c r="AR1205" s="1061"/>
      <c r="AS1205" s="933"/>
      <c r="AT1205" s="933"/>
      <c r="AU1205" s="933"/>
      <c r="AV1205" s="933"/>
      <c r="AW1205" s="1061"/>
      <c r="AX1205" s="933"/>
      <c r="AY1205" s="933"/>
      <c r="AZ1205" s="933"/>
      <c r="BA1205" s="933"/>
      <c r="BB1205" s="1061"/>
      <c r="BC1205" s="933"/>
      <c r="BD1205" s="933"/>
      <c r="BE1205" s="933"/>
      <c r="BF1205" s="933"/>
      <c r="BG1205" s="1061"/>
      <c r="BH1205" s="933"/>
      <c r="BI1205" s="933"/>
      <c r="BJ1205" s="933"/>
      <c r="BK1205" s="933"/>
      <c r="BL1205" s="1061"/>
      <c r="BM1205" s="933"/>
      <c r="BN1205" s="933"/>
      <c r="BO1205" s="933"/>
      <c r="BP1205" s="933"/>
      <c r="BQ1205" s="1061"/>
      <c r="BR1205" s="933"/>
      <c r="BS1205" s="933"/>
      <c r="BT1205" s="933"/>
      <c r="BU1205" s="933"/>
      <c r="BV1205" s="1061"/>
      <c r="BW1205" s="933"/>
      <c r="BX1205" s="933"/>
      <c r="BY1205" s="933"/>
      <c r="BZ1205" s="933"/>
      <c r="CA1205" s="1061"/>
      <c r="CB1205" s="933"/>
      <c r="CC1205" s="933"/>
      <c r="CD1205" s="933"/>
      <c r="CE1205" s="933"/>
      <c r="CF1205" s="1061"/>
      <c r="CG1205" s="933"/>
      <c r="CH1205" s="933"/>
      <c r="CI1205" s="933"/>
      <c r="CJ1205" s="933"/>
      <c r="CK1205" s="1061"/>
      <c r="CL1205" s="933"/>
      <c r="CM1205" s="933"/>
      <c r="CN1205" s="933"/>
      <c r="CO1205" s="933"/>
      <c r="CP1205" s="1061"/>
      <c r="CQ1205" s="933"/>
      <c r="CR1205" s="933"/>
      <c r="CS1205" s="933"/>
      <c r="CT1205" s="933"/>
      <c r="CU1205" s="1061"/>
      <c r="CV1205" s="933"/>
      <c r="CW1205" s="933"/>
      <c r="CX1205" s="933"/>
      <c r="CY1205" s="933"/>
      <c r="CZ1205" s="1061"/>
      <c r="DA1205" s="933"/>
      <c r="DB1205" s="933"/>
      <c r="DC1205" s="933"/>
      <c r="DD1205" s="962"/>
      <c r="DE1205" s="1866"/>
      <c r="DF1205" s="982"/>
      <c r="DG1205" s="982"/>
      <c r="DH1205" s="982"/>
      <c r="DI1205" s="1875"/>
      <c r="DJ1205" s="1866"/>
      <c r="DK1205" s="982"/>
      <c r="DL1205" s="982"/>
      <c r="DM1205" s="982"/>
      <c r="DN1205" s="982"/>
      <c r="DO1205" s="1866"/>
      <c r="DP1205" s="982"/>
      <c r="DQ1205" s="982"/>
      <c r="DR1205" s="982"/>
      <c r="DS1205" s="982"/>
      <c r="DT1205" s="1866"/>
      <c r="DU1205" s="982"/>
      <c r="DV1205" s="982"/>
      <c r="DW1205" s="982"/>
      <c r="DX1205" s="1875"/>
      <c r="DY1205" s="1866"/>
      <c r="DZ1205" s="1779"/>
      <c r="EA1205" s="1779"/>
      <c r="EB1205" s="1779"/>
      <c r="EC1205" s="1942"/>
      <c r="ED1205" s="1863"/>
      <c r="EE1205" s="1779"/>
      <c r="EF1205" s="1779"/>
      <c r="EG1205" s="1779"/>
      <c r="EH1205" s="1779"/>
      <c r="EI1205" s="3005"/>
      <c r="EJ1205" s="1866"/>
      <c r="EK1205" s="1875"/>
      <c r="EL1205" s="1875"/>
      <c r="EM1205" s="1875"/>
      <c r="EN1205" s="1875"/>
      <c r="EO1205" s="1866"/>
      <c r="EP1205" s="1866"/>
      <c r="EQ1205" s="1866"/>
      <c r="ER1205" s="1866"/>
      <c r="ES1205" s="1866"/>
      <c r="ET1205" s="1866"/>
      <c r="EU1205" s="1866"/>
      <c r="EV1205" s="1866"/>
      <c r="EW1205" s="1866"/>
      <c r="EX1205" s="1866"/>
    </row>
    <row r="1206" spans="2:154" ht="12.75" customHeight="1">
      <c r="B1206" s="437" t="s">
        <v>187</v>
      </c>
      <c r="C1206" s="1577"/>
      <c r="D1206" s="933"/>
      <c r="E1206" s="933"/>
      <c r="F1206" s="933"/>
      <c r="G1206" s="933"/>
      <c r="H1206" s="933"/>
      <c r="I1206" s="933"/>
      <c r="J1206" s="933"/>
      <c r="K1206" s="933"/>
      <c r="L1206" s="933"/>
      <c r="M1206" s="933"/>
      <c r="N1206" s="933"/>
      <c r="O1206" s="933"/>
      <c r="P1206" s="933"/>
      <c r="Q1206" s="933"/>
      <c r="R1206" s="933"/>
      <c r="S1206" s="933"/>
      <c r="T1206" s="933"/>
      <c r="U1206" s="933"/>
      <c r="V1206" s="933"/>
      <c r="W1206" s="933"/>
      <c r="X1206" s="1061"/>
      <c r="Y1206" s="933">
        <f t="shared" ref="Y1206:AA1207" si="2463">+AD1206/(1+AD1211)</f>
      </c>
      <c r="Z1206" s="933">
        <f t="shared" si="2463"/>
      </c>
      <c r="AA1206" s="933">
        <f t="shared" si="2463"/>
      </c>
      <c r="AB1206" s="933">
        <f>+AC1206-SUM(Y1206:AA1206)</f>
      </c>
      <c r="AC1206" s="1061">
        <f t="shared" ref="AC1206:AG1207" si="2464">+AH1206/(1+AH1211)</f>
      </c>
      <c r="AD1206" s="933">
        <f t="shared" si="2464"/>
      </c>
      <c r="AE1206" s="933">
        <f t="shared" si="2464"/>
      </c>
      <c r="AF1206" s="933">
        <f t="shared" si="2464"/>
      </c>
      <c r="AG1206" s="933">
        <f t="shared" si="2464"/>
      </c>
      <c r="AH1206" s="1061">
        <f>SUM(AD1206:AG1206)</f>
      </c>
      <c r="AI1206" s="933">
        <f t="shared" ref="AI1206:AL1207" si="2465">+AN1206/(1+AN1211)</f>
      </c>
      <c r="AJ1206" s="933">
        <f t="shared" si="2465"/>
      </c>
      <c r="AK1206" s="933">
        <f t="shared" si="2465"/>
      </c>
      <c r="AL1206" s="933">
        <f t="shared" si="2465"/>
      </c>
      <c r="AM1206" s="1061">
        <f>SUM(AI1206:AL1206)</f>
      </c>
      <c r="AN1206" s="933">
        <f t="shared" ref="AN1206:AQ1207" si="2466">+AS1206/(1+AS1211)</f>
      </c>
      <c r="AO1206" s="933">
        <f t="shared" si="2466"/>
      </c>
      <c r="AP1206" s="933">
        <f t="shared" si="2466"/>
      </c>
      <c r="AQ1206" s="933">
        <f t="shared" si="2466"/>
      </c>
      <c r="AR1206" s="1061">
        <f>SUM(AN1206:AQ1206)</f>
      </c>
      <c r="AS1206" s="933">
        <v>165.6</v>
      </c>
      <c r="AT1206" s="933">
        <v>157.30000000000001</v>
      </c>
      <c r="AU1206" s="933">
        <v>153</v>
      </c>
      <c r="AV1206" s="933">
        <v>168.4</v>
      </c>
      <c r="AW1206" s="1061">
        <f>SUM(AS1206:AV1206)</f>
      </c>
      <c r="AX1206" s="933">
        <v>183.8</v>
      </c>
      <c r="AY1206" s="933">
        <v>179.3</v>
      </c>
      <c r="AZ1206" s="933">
        <v>172.9</v>
      </c>
      <c r="BA1206" s="933">
        <f>+BB1206-SUM(AX1206:AZ1206)</f>
      </c>
      <c r="BB1206" s="1061">
        <v>722.6</v>
      </c>
      <c r="BC1206" s="933">
        <f t="shared" ref="BC1206:BE1207" si="2467">+(1+BC1211)*AX1206</f>
      </c>
      <c r="BD1206" s="933">
        <f t="shared" si="2467"/>
      </c>
      <c r="BE1206" s="933">
        <f t="shared" si="2467"/>
      </c>
      <c r="BF1206" s="33">
        <v>214.59</v>
      </c>
      <c r="BG1206" s="313">
        <f>SUM(BC1206:BF1206)</f>
      </c>
      <c r="BH1206" s="33">
        <v>221.869575</v>
      </c>
      <c r="BI1206" s="33">
        <v>194.049218</v>
      </c>
      <c r="BJ1206" s="33">
        <f>BE1206*0.99</f>
      </c>
      <c r="BK1206" s="33">
        <f>BF1206*0.88</f>
      </c>
      <c r="BL1206" s="313">
        <f>SUM(BH1206:BK1206)</f>
      </c>
      <c r="BM1206" s="33">
        <f>BH1206*(1-6.3%)</f>
      </c>
      <c r="BN1206" s="33">
        <f>BI1206*0.928</f>
      </c>
      <c r="BO1206" s="33">
        <f>BJ1206*0.957</f>
      </c>
      <c r="BP1206" s="33">
        <f>BK1206*0.995</f>
      </c>
      <c r="BQ1206" s="313">
        <f>SUM(BM1206:BP1206)</f>
      </c>
      <c r="BR1206" s="352">
        <f>+BM1206*(1-0.006)</f>
      </c>
      <c r="BS1206" s="352">
        <f>+BN1206*(1+0.052)</f>
      </c>
      <c r="BT1206" s="352">
        <f>+BO1206*(1+0.057)</f>
      </c>
      <c r="BU1206" s="933">
        <f>+BP1206*(1+0.073)</f>
      </c>
      <c r="BV1206" s="1061">
        <f>SUM(BR1206:BU1206)</f>
      </c>
      <c r="BW1206" s="933">
        <f t="shared" ref="BW1206:BZ1207" si="2468">+(1+BW1211)*BR1206</f>
      </c>
      <c r="BX1206" s="933">
        <f t="shared" si="2468"/>
      </c>
      <c r="BY1206" s="933">
        <f t="shared" si="2468"/>
      </c>
      <c r="BZ1206" s="933">
        <f t="shared" si="2468"/>
      </c>
      <c r="CA1206" s="313">
        <f>SUM(BW1206:BZ1206)</f>
      </c>
      <c r="CB1206" s="352">
        <v>185</v>
      </c>
      <c r="CC1206" s="352">
        <v>187</v>
      </c>
      <c r="CD1206" s="352">
        <v>179</v>
      </c>
      <c r="CE1206" s="352">
        <v>194</v>
      </c>
      <c r="CF1206" s="1061">
        <f>SUM(CB1206:CE1206)</f>
      </c>
      <c r="CG1206" s="352">
        <v>190</v>
      </c>
      <c r="CH1206" s="352">
        <v>193</v>
      </c>
      <c r="CI1206" s="352">
        <v>185</v>
      </c>
      <c r="CJ1206" s="352">
        <v>213</v>
      </c>
      <c r="CK1206" s="1061">
        <f>SUM(CG1206:CJ1206)</f>
      </c>
      <c r="CL1206" s="352">
        <v>203</v>
      </c>
      <c r="CM1206" s="352">
        <v>197</v>
      </c>
      <c r="CN1206" s="352">
        <v>190</v>
      </c>
      <c r="CO1206" s="352">
        <v>208</v>
      </c>
      <c r="CP1206" s="1061">
        <f>SUM(CL1206:CO1206)</f>
      </c>
      <c r="CQ1206" s="352">
        <v>209</v>
      </c>
      <c r="CR1206" s="352">
        <v>208</v>
      </c>
      <c r="CS1206" s="352">
        <v>195</v>
      </c>
      <c r="CT1206" s="352">
        <v>215</v>
      </c>
      <c r="CU1206" s="1505">
        <f>SUM(CQ1206:CT1206)</f>
      </c>
      <c r="CV1206" s="577">
        <v>209</v>
      </c>
      <c r="CW1206" s="577">
        <v>211</v>
      </c>
      <c r="CX1206" s="577">
        <v>201</v>
      </c>
      <c r="CY1206" s="577">
        <v>220</v>
      </c>
      <c r="CZ1206" s="1505">
        <f>SUM(CV1206:CY1206)</f>
      </c>
      <c r="DA1206" s="577">
        <v>213</v>
      </c>
      <c r="DB1206" s="577">
        <v>216</v>
      </c>
      <c r="DC1206" s="577">
        <v>204</v>
      </c>
      <c r="DD1206" s="1205">
        <v>230</v>
      </c>
      <c r="DE1206" s="1835">
        <f>SUM(DA1206:DD1206)</f>
      </c>
      <c r="DF1206" s="710">
        <v>206</v>
      </c>
      <c r="DG1206" s="710">
        <v>137</v>
      </c>
      <c r="DH1206" s="710">
        <v>221</v>
      </c>
      <c r="DI1206" s="1839">
        <v>229</v>
      </c>
      <c r="DJ1206" s="1835">
        <f>SUM(DF1206:DI1206)</f>
      </c>
      <c r="DK1206" s="710">
        <v>210.4</v>
      </c>
      <c r="DL1206" s="710">
        <v>234</v>
      </c>
      <c r="DM1206" s="710">
        <v>210</v>
      </c>
      <c r="DN1206" s="710">
        <v>229</v>
      </c>
      <c r="DO1206" s="1835">
        <f>SUM(DK1206:DN1206)</f>
      </c>
      <c r="DP1206" s="710">
        <v>225</v>
      </c>
      <c r="DQ1206" s="710">
        <v>240</v>
      </c>
      <c r="DR1206" s="1856">
        <v>228</v>
      </c>
      <c r="DS1206" s="710">
        <v>250</v>
      </c>
      <c r="DT1206" s="1835">
        <f>SUM(DP1206:DS1206)</f>
      </c>
      <c r="DU1206" s="710">
        <v>241</v>
      </c>
      <c r="DV1206" s="710">
        <v>250</v>
      </c>
      <c r="DW1206" s="710">
        <v>239</v>
      </c>
      <c r="DX1206" s="1839">
        <v>266</v>
      </c>
      <c r="DY1206" s="1835">
        <f>SUM(DU1206:DX1206)</f>
      </c>
      <c r="DZ1206" s="710">
        <v>270</v>
      </c>
      <c r="EA1206" s="710">
        <v>265</v>
      </c>
      <c r="EB1206" s="710">
        <v>250</v>
      </c>
      <c r="EC1206" s="1552">
        <v>272</v>
      </c>
      <c r="ED1206" s="1835">
        <f>SUM(DZ1206:EC1206)</f>
      </c>
      <c r="EE1206" s="710">
        <v>263</v>
      </c>
      <c r="EF1206" s="710">
        <v>271</v>
      </c>
      <c r="EG1206" s="710">
        <v>262</v>
      </c>
      <c r="EH1206" s="1284">
        <f>EI1206-SUM(EE1206:EG1206)</f>
      </c>
      <c r="EI1206" s="1835">
        <f>+ED1206*(1+EI1211)</f>
      </c>
      <c r="EJ1206" s="1835">
        <f t="shared" ref="EJ1206:EN1207" si="2469">+EI1206*(1+EJ1211)</f>
      </c>
      <c r="EK1206" s="1556">
        <f t="shared" si="2469"/>
      </c>
      <c r="EL1206" s="1556">
        <f t="shared" si="2469"/>
      </c>
      <c r="EM1206" s="1556">
        <f t="shared" si="2469"/>
      </c>
      <c r="EN1206" s="1556">
        <f t="shared" si="2469"/>
      </c>
      <c r="EO1206" s="477"/>
      <c r="EP1206" s="477"/>
      <c r="EQ1206" s="477"/>
      <c r="ER1206" s="477"/>
      <c r="ES1206" s="477"/>
      <c r="ET1206" s="477"/>
      <c r="EU1206" s="477"/>
      <c r="EV1206" s="477"/>
      <c r="EW1206" s="477"/>
      <c r="EX1206" s="477"/>
    </row>
    <row r="1207" spans="2:154" ht="12.75" customHeight="1">
      <c r="B1207" s="437" t="s">
        <v>412</v>
      </c>
      <c r="C1207" s="1577"/>
      <c r="D1207" s="933"/>
      <c r="E1207" s="933"/>
      <c r="F1207" s="933"/>
      <c r="G1207" s="933"/>
      <c r="H1207" s="933"/>
      <c r="I1207" s="933"/>
      <c r="J1207" s="933"/>
      <c r="K1207" s="933"/>
      <c r="L1207" s="933"/>
      <c r="M1207" s="933"/>
      <c r="N1207" s="933"/>
      <c r="O1207" s="933"/>
      <c r="P1207" s="933"/>
      <c r="Q1207" s="933"/>
      <c r="R1207" s="933"/>
      <c r="S1207" s="933"/>
      <c r="T1207" s="933"/>
      <c r="U1207" s="933"/>
      <c r="V1207" s="933"/>
      <c r="W1207" s="933"/>
      <c r="X1207" s="1061"/>
      <c r="Y1207" s="933">
        <f t="shared" si="2463"/>
      </c>
      <c r="Z1207" s="933">
        <f t="shared" si="2463"/>
      </c>
      <c r="AA1207" s="933">
        <f t="shared" si="2463"/>
      </c>
      <c r="AB1207" s="933">
        <f>+AC1207-SUM(Y1207:AA1207)</f>
      </c>
      <c r="AC1207" s="1061">
        <f t="shared" si="2464"/>
      </c>
      <c r="AD1207" s="933">
        <f t="shared" si="2464"/>
      </c>
      <c r="AE1207" s="933">
        <f t="shared" si="2464"/>
      </c>
      <c r="AF1207" s="933">
        <f t="shared" si="2464"/>
      </c>
      <c r="AG1207" s="933">
        <f t="shared" si="2464"/>
      </c>
      <c r="AH1207" s="1061">
        <f>SUM(AD1207:AG1207)</f>
      </c>
      <c r="AI1207" s="933">
        <f t="shared" si="2465"/>
      </c>
      <c r="AJ1207" s="933">
        <f t="shared" si="2465"/>
      </c>
      <c r="AK1207" s="933">
        <f t="shared" si="2465"/>
      </c>
      <c r="AL1207" s="933">
        <f t="shared" si="2465"/>
      </c>
      <c r="AM1207" s="1061">
        <f>SUM(AI1207:AL1207)</f>
      </c>
      <c r="AN1207" s="933">
        <f t="shared" si="2466"/>
      </c>
      <c r="AO1207" s="933">
        <f t="shared" si="2466"/>
      </c>
      <c r="AP1207" s="933">
        <f t="shared" si="2466"/>
      </c>
      <c r="AQ1207" s="933">
        <f t="shared" si="2466"/>
      </c>
      <c r="AR1207" s="1061">
        <f>SUM(AN1207:AQ1207)</f>
      </c>
      <c r="AS1207" s="933">
        <v>115.84745762711864</v>
      </c>
      <c r="AT1207" s="933">
        <v>111.9047619047619</v>
      </c>
      <c r="AU1207" s="933">
        <v>120.1</v>
      </c>
      <c r="AV1207" s="933">
        <v>120.5</v>
      </c>
      <c r="AW1207" s="1061">
        <f>SUM(AS1207:AV1207)</f>
      </c>
      <c r="AX1207" s="933">
        <v>136.69999999999999</v>
      </c>
      <c r="AY1207" s="933">
        <v>141</v>
      </c>
      <c r="AZ1207" s="933">
        <v>138.1</v>
      </c>
      <c r="BA1207" s="933">
        <f>+BB1207-SUM(AX1207:AZ1207)</f>
      </c>
      <c r="BB1207" s="1061">
        <v>536.29999999999995</v>
      </c>
      <c r="BC1207" s="933">
        <f t="shared" si="2467"/>
      </c>
      <c r="BD1207" s="933">
        <f t="shared" si="2467"/>
      </c>
      <c r="BE1207" s="933">
        <f t="shared" si="2467"/>
      </c>
      <c r="BF1207" s="33">
        <v>134.87565000000001</v>
      </c>
      <c r="BG1207" s="313">
        <f>SUM(BC1207:BF1207)</f>
      </c>
      <c r="BH1207" s="33">
        <v>151.92088760969997</v>
      </c>
      <c r="BI1207" s="33">
        <v>141.251544</v>
      </c>
      <c r="BJ1207" s="33">
        <v>145</v>
      </c>
      <c r="BK1207" s="33">
        <f>BF1207*1.01</f>
      </c>
      <c r="BL1207" s="313">
        <f>SUM(BH1207:BK1207)</f>
      </c>
      <c r="BM1207" s="33">
        <f>BH1207*1.06</f>
      </c>
      <c r="BN1207" s="33">
        <f>BI1207*1.133</f>
      </c>
      <c r="BO1207" s="33">
        <f>BJ1207*1.168</f>
      </c>
      <c r="BP1207" s="33">
        <f>BK1207*1.028</f>
      </c>
      <c r="BQ1207" s="313">
        <f>SUM(BM1207:BP1207)</f>
      </c>
      <c r="BR1207" s="352">
        <f>+BM1207*(1+0.013)</f>
      </c>
      <c r="BS1207" s="352">
        <f>+BN1207*(1-0.04)</f>
      </c>
      <c r="BT1207" s="352">
        <f>+BO1207*(1-0.064)</f>
      </c>
      <c r="BU1207" s="933">
        <f>+BP1207*(1+0.023)</f>
      </c>
      <c r="BV1207" s="1061">
        <f>SUM(BR1207:BU1207)</f>
      </c>
      <c r="BW1207" s="933">
        <f t="shared" si="2468"/>
      </c>
      <c r="BX1207" s="933">
        <f t="shared" si="2468"/>
      </c>
      <c r="BY1207" s="933">
        <f t="shared" si="2468"/>
      </c>
      <c r="BZ1207" s="933">
        <f t="shared" si="2468"/>
      </c>
      <c r="CA1207" s="313">
        <f>SUM(BW1207:BZ1207)</f>
      </c>
      <c r="CB1207" s="352">
        <v>157</v>
      </c>
      <c r="CC1207" s="352">
        <v>165</v>
      </c>
      <c r="CD1207" s="352">
        <v>145</v>
      </c>
      <c r="CE1207" s="352">
        <v>156</v>
      </c>
      <c r="CF1207" s="1061">
        <f>SUM(CB1207:CE1207)</f>
      </c>
      <c r="CG1207" s="352">
        <v>143</v>
      </c>
      <c r="CH1207" s="352">
        <v>143</v>
      </c>
      <c r="CI1207" s="352">
        <v>124</v>
      </c>
      <c r="CJ1207" s="352">
        <v>141</v>
      </c>
      <c r="CK1207" s="1061">
        <f>SUM(CG1207:CJ1207)</f>
      </c>
      <c r="CL1207" s="352">
        <v>139</v>
      </c>
      <c r="CM1207" s="352">
        <v>152</v>
      </c>
      <c r="CN1207" s="352">
        <v>130</v>
      </c>
      <c r="CO1207" s="352">
        <v>142</v>
      </c>
      <c r="CP1207" s="1061">
        <f>SUM(CL1207:CO1207)</f>
      </c>
      <c r="CQ1207" s="352">
        <v>143</v>
      </c>
      <c r="CR1207" s="352">
        <v>142</v>
      </c>
      <c r="CS1207" s="352">
        <v>133</v>
      </c>
      <c r="CT1207" s="352">
        <v>149</v>
      </c>
      <c r="CU1207" s="1505">
        <f>SUM(CQ1207:CT1207)</f>
      </c>
      <c r="CV1207" s="577">
        <v>154</v>
      </c>
      <c r="CW1207" s="577">
        <v>149</v>
      </c>
      <c r="CX1207" s="577">
        <v>129</v>
      </c>
      <c r="CY1207" s="577">
        <v>145</v>
      </c>
      <c r="CZ1207" s="1505">
        <f>SUM(CV1207:CY1207)</f>
      </c>
      <c r="DA1207" s="577">
        <v>148</v>
      </c>
      <c r="DB1207" s="577">
        <v>147</v>
      </c>
      <c r="DC1207" s="577">
        <v>133</v>
      </c>
      <c r="DD1207" s="1205">
        <v>147</v>
      </c>
      <c r="DE1207" s="1835">
        <f>SUM(DA1207:DD1207)</f>
      </c>
      <c r="DF1207" s="710">
        <v>132</v>
      </c>
      <c r="DG1207" s="710">
        <v>88</v>
      </c>
      <c r="DH1207" s="710">
        <v>124</v>
      </c>
      <c r="DI1207" s="1839">
        <v>143</v>
      </c>
      <c r="DJ1207" s="1835">
        <f>SUM(DF1207:DI1207)</f>
      </c>
      <c r="DK1207" s="710">
        <v>146.4</v>
      </c>
      <c r="DL1207" s="710">
        <v>159</v>
      </c>
      <c r="DM1207" s="710">
        <v>146</v>
      </c>
      <c r="DN1207" s="710">
        <v>151</v>
      </c>
      <c r="DO1207" s="1835">
        <f>SUM(DK1207:DN1207)</f>
      </c>
      <c r="DP1207" s="710">
        <v>164</v>
      </c>
      <c r="DQ1207" s="710">
        <v>148</v>
      </c>
      <c r="DR1207" s="1856">
        <v>124</v>
      </c>
      <c r="DS1207" s="710">
        <v>135</v>
      </c>
      <c r="DT1207" s="1835">
        <f>SUM(DP1207:DS1207)</f>
      </c>
      <c r="DU1207" s="710">
        <v>149</v>
      </c>
      <c r="DV1207" s="710">
        <v>147</v>
      </c>
      <c r="DW1207" s="710">
        <v>136</v>
      </c>
      <c r="DX1207" s="1839">
        <v>132</v>
      </c>
      <c r="DY1207" s="1835">
        <f>SUM(DU1207:DX1207)</f>
      </c>
      <c r="DZ1207" s="710">
        <v>152</v>
      </c>
      <c r="EA1207" s="710">
        <v>152</v>
      </c>
      <c r="EB1207" s="710">
        <v>131.4</v>
      </c>
      <c r="EC1207" s="1552">
        <v>146</v>
      </c>
      <c r="ED1207" s="1835">
        <f>SUM(DZ1207:EC1207)</f>
      </c>
      <c r="EE1207" s="710">
        <v>146</v>
      </c>
      <c r="EF1207" s="710">
        <v>150</v>
      </c>
      <c r="EG1207" s="710">
        <v>144</v>
      </c>
      <c r="EH1207" s="1284">
        <f>EI1207-SUM(EE1207:EG1207)</f>
      </c>
      <c r="EI1207" s="1835">
        <f t="shared" ref="EI1207" si="2470">+ED1207*(1+EI1212)</f>
      </c>
      <c r="EJ1207" s="1835">
        <f t="shared" si="2469"/>
      </c>
      <c r="EK1207" s="1556">
        <f t="shared" si="2469"/>
      </c>
      <c r="EL1207" s="1556">
        <f t="shared" si="2469"/>
      </c>
      <c r="EM1207" s="1556">
        <f t="shared" si="2469"/>
      </c>
      <c r="EN1207" s="1556">
        <f t="shared" si="2469"/>
      </c>
      <c r="EO1207" s="477"/>
      <c r="EP1207" s="477"/>
      <c r="EQ1207" s="477"/>
      <c r="ER1207" s="477"/>
      <c r="ES1207" s="477"/>
      <c r="ET1207" s="477"/>
      <c r="EU1207" s="477"/>
      <c r="EV1207" s="477"/>
      <c r="EW1207" s="477"/>
      <c r="EX1207" s="477"/>
    </row>
    <row r="1208" spans="2:154" ht="12.75" customHeight="1">
      <c r="B1208" s="437" t="s">
        <v>413</v>
      </c>
      <c r="C1208" s="1577"/>
      <c r="D1208" s="933"/>
      <c r="E1208" s="933"/>
      <c r="F1208" s="933"/>
      <c r="G1208" s="933"/>
      <c r="H1208" s="933"/>
      <c r="I1208" s="933"/>
      <c r="J1208" s="933"/>
      <c r="K1208" s="933"/>
      <c r="L1208" s="933"/>
      <c r="M1208" s="933"/>
      <c r="N1208" s="933"/>
      <c r="O1208" s="933"/>
      <c r="P1208" s="933"/>
      <c r="Q1208" s="933"/>
      <c r="R1208" s="933"/>
      <c r="S1208" s="933"/>
      <c r="T1208" s="933"/>
      <c r="U1208" s="933"/>
      <c r="V1208" s="933"/>
      <c r="W1208" s="933"/>
      <c r="X1208" s="1061"/>
      <c r="Y1208" s="933"/>
      <c r="Z1208" s="933"/>
      <c r="AA1208" s="933"/>
      <c r="AB1208" s="933"/>
      <c r="AC1208" s="1061"/>
      <c r="AD1208" s="933">
        <f>+AD1207+AD1206</f>
      </c>
      <c r="AE1208" s="933">
        <f t="shared" ref="AE1208:BA1208" si="2471">+AE1207+AE1206</f>
      </c>
      <c r="AF1208" s="933">
        <f t="shared" si="2471"/>
      </c>
      <c r="AG1208" s="933">
        <f t="shared" si="2471"/>
      </c>
      <c r="AH1208" s="1061">
        <f t="shared" si="2471"/>
      </c>
      <c r="AI1208" s="933">
        <f t="shared" si="2471"/>
      </c>
      <c r="AJ1208" s="933">
        <f t="shared" si="2471"/>
      </c>
      <c r="AK1208" s="933">
        <f t="shared" si="2471"/>
      </c>
      <c r="AL1208" s="933">
        <f t="shared" si="2471"/>
      </c>
      <c r="AM1208" s="1061">
        <f t="shared" si="2471"/>
      </c>
      <c r="AN1208" s="933">
        <f t="shared" si="2471"/>
      </c>
      <c r="AO1208" s="933">
        <f t="shared" si="2471"/>
      </c>
      <c r="AP1208" s="933">
        <f t="shared" si="2471"/>
      </c>
      <c r="AQ1208" s="933">
        <f t="shared" si="2471"/>
      </c>
      <c r="AR1208" s="1061">
        <f t="shared" si="2471"/>
      </c>
      <c r="AS1208" s="933">
        <f t="shared" si="2471"/>
      </c>
      <c r="AT1208" s="933">
        <f t="shared" si="2471"/>
      </c>
      <c r="AU1208" s="933">
        <f t="shared" si="2471"/>
      </c>
      <c r="AV1208" s="933">
        <f t="shared" si="2471"/>
      </c>
      <c r="AW1208" s="1061">
        <f t="shared" si="2471"/>
      </c>
      <c r="AX1208" s="933">
        <f t="shared" si="2471"/>
      </c>
      <c r="AY1208" s="933">
        <f t="shared" si="2471"/>
      </c>
      <c r="AZ1208" s="933">
        <f t="shared" si="2471"/>
      </c>
      <c r="BA1208" s="933">
        <f t="shared" si="2471"/>
      </c>
      <c r="BB1208" s="1061">
        <f>+BB1207+BB1206</f>
      </c>
      <c r="BC1208" s="933">
        <f t="shared" ref="BC1208:BK1208" si="2472">+BC1206+BC1207</f>
      </c>
      <c r="BD1208" s="933">
        <f t="shared" si="2472"/>
      </c>
      <c r="BE1208" s="933">
        <f t="shared" si="2472"/>
      </c>
      <c r="BF1208" s="933">
        <f t="shared" si="2472"/>
      </c>
      <c r="BG1208" s="313">
        <f t="shared" si="2472"/>
      </c>
      <c r="BH1208" s="933">
        <f t="shared" si="2472"/>
      </c>
      <c r="BI1208" s="933">
        <f t="shared" si="2472"/>
      </c>
      <c r="BJ1208" s="933">
        <f t="shared" si="2472"/>
      </c>
      <c r="BK1208" s="933">
        <f t="shared" si="2472"/>
      </c>
      <c r="BL1208" s="313">
        <f>SUM(BH1208:BK1208)</f>
      </c>
      <c r="BM1208" s="933">
        <f>+BM1206+BM1207</f>
      </c>
      <c r="BN1208" s="933">
        <f>+BN1206+BN1207</f>
      </c>
      <c r="BO1208" s="933">
        <f>+BO1206+BO1207</f>
      </c>
      <c r="BP1208" s="933">
        <f>+BP1206+BP1207</f>
      </c>
      <c r="BQ1208" s="313">
        <f>SUM(BM1208:BP1208)</f>
      </c>
      <c r="BR1208" s="933">
        <f>+BR1206+BR1207</f>
      </c>
      <c r="BS1208" s="933">
        <f>+BS1206+BS1207</f>
      </c>
      <c r="BT1208" s="933">
        <f>+BT1206+BT1207</f>
      </c>
      <c r="BU1208" s="933">
        <f>+BU1206+BU1207</f>
      </c>
      <c r="BV1208" s="1061">
        <f>SUM(BR1208:BU1208)</f>
      </c>
      <c r="BW1208" s="933">
        <f>+BW1206+BW1207</f>
      </c>
      <c r="BX1208" s="933">
        <f>+BX1206+BX1207</f>
      </c>
      <c r="BY1208" s="933">
        <f>+BY1206+BY1207</f>
      </c>
      <c r="BZ1208" s="933">
        <f>+BZ1206+BZ1207</f>
      </c>
      <c r="CA1208" s="313">
        <f>SUM(BW1208:BZ1208)</f>
      </c>
      <c r="CB1208" s="933">
        <f>+CB1206+CB1207</f>
      </c>
      <c r="CC1208" s="933">
        <f>+CC1206+CC1207</f>
      </c>
      <c r="CD1208" s="933">
        <f>+CD1206+CD1207</f>
      </c>
      <c r="CE1208" s="933">
        <f>+CE1206+CE1207</f>
      </c>
      <c r="CF1208" s="1061">
        <f>SUM(CB1208:CE1208)</f>
      </c>
      <c r="CG1208" s="933">
        <f>+CG1206+CG1207</f>
      </c>
      <c r="CH1208" s="933">
        <f>+CH1206+CH1207</f>
      </c>
      <c r="CI1208" s="933">
        <f>+CI1206+CI1207</f>
      </c>
      <c r="CJ1208" s="933">
        <f>+CJ1206+CJ1207</f>
      </c>
      <c r="CK1208" s="1061">
        <f>SUM(CG1208:CJ1208)</f>
      </c>
      <c r="CL1208" s="933">
        <f>+CL1206+CL1207</f>
      </c>
      <c r="CM1208" s="933">
        <f>+CM1206+CM1207</f>
      </c>
      <c r="CN1208" s="933">
        <f>+CN1206+CN1207</f>
      </c>
      <c r="CO1208" s="933">
        <f>+CO1206+CO1207</f>
      </c>
      <c r="CP1208" s="1061">
        <f>SUM(CL1208:CO1208)</f>
      </c>
      <c r="CQ1208" s="933">
        <f>+CQ1206+CQ1207</f>
      </c>
      <c r="CR1208" s="933">
        <f>+CR1206+CR1207</f>
      </c>
      <c r="CS1208" s="933">
        <f>+CS1206+CS1207</f>
      </c>
      <c r="CT1208" s="933">
        <f>+CT1206+CT1207</f>
      </c>
      <c r="CU1208" s="1505">
        <f>SUM(CQ1208:CT1208)</f>
      </c>
      <c r="CV1208" s="948">
        <f>+CV1206+CV1207</f>
      </c>
      <c r="CW1208" s="948">
        <f>+CW1206+CW1207</f>
      </c>
      <c r="CX1208" s="948">
        <f>+CX1206+CX1207</f>
      </c>
      <c r="CY1208" s="948">
        <f>+CY1206+CY1207</f>
      </c>
      <c r="CZ1208" s="1505">
        <f>SUM(CV1208:CY1208)</f>
      </c>
      <c r="DA1208" s="948">
        <f>+DA1206+DA1207</f>
      </c>
      <c r="DB1208" s="948">
        <f>SUM(DB1206:DB1207)</f>
      </c>
      <c r="DC1208" s="36">
        <f>SUM(DC1206:DC1207)</f>
      </c>
      <c r="DD1208" s="984">
        <f>+DD1206+DD1207</f>
      </c>
      <c r="DE1208" s="1835">
        <f>SUM(DA1208:DD1208)</f>
      </c>
      <c r="DF1208" s="1542">
        <f>SUM(DF1206:DF1207)</f>
      </c>
      <c r="DG1208" s="1542">
        <f>SUM(DG1206:DG1207)</f>
      </c>
      <c r="DH1208" s="1542">
        <f>SUM(DH1206:DH1207)</f>
      </c>
      <c r="DI1208" s="1556">
        <f>+DI1206+DI1207</f>
      </c>
      <c r="DJ1208" s="1835">
        <f>SUM(DF1208:DI1208)</f>
      </c>
      <c r="DK1208" s="1542">
        <f>SUM(DK1206:DK1207)</f>
      </c>
      <c r="DL1208" s="1542">
        <f>SUM(DL1206:DL1207)</f>
      </c>
      <c r="DM1208" s="1542">
        <f>SUM(DM1206:DM1207)</f>
      </c>
      <c r="DN1208" s="1542">
        <f>SUM(DN1206:DN1207)</f>
      </c>
      <c r="DO1208" s="1835">
        <f>SUM(DK1208:DN1208)</f>
      </c>
      <c r="DP1208" s="1542">
        <f>SUM(DP1206:DP1207)</f>
      </c>
      <c r="DQ1208" s="1542">
        <f>SUM(DQ1206:DQ1207)</f>
      </c>
      <c r="DR1208" s="1542">
        <f>SUM(DR1206:DR1207)</f>
      </c>
      <c r="DS1208" s="1542">
        <f>SUM(DS1206:DS1207)</f>
      </c>
      <c r="DT1208" s="1835">
        <f>SUM(DP1208:DS1208)</f>
      </c>
      <c r="DU1208" s="1542">
        <f>SUM(DU1206:DU1207)</f>
      </c>
      <c r="DV1208" s="1542">
        <f>SUM(DV1206:DV1207)</f>
      </c>
      <c r="DW1208" s="1542">
        <f>SUM(DW1206:DW1207)</f>
      </c>
      <c r="DX1208" s="1556">
        <f>SUM(DX1206:DX1207)</f>
      </c>
      <c r="DY1208" s="1835">
        <f>SUM(DU1208:DX1208)</f>
      </c>
      <c r="DZ1208" s="1542">
        <f>SUM(DZ1206:DZ1207)</f>
      </c>
      <c r="EA1208" s="1542">
        <f>SUM(EA1206:EA1207)</f>
      </c>
      <c r="EB1208" s="1542">
        <f>SUM(EB1206:EB1207)</f>
      </c>
      <c r="EC1208" s="1553">
        <f>SUM(EC1206:EC1207)</f>
      </c>
      <c r="ED1208" s="1835">
        <f>SUM(DZ1208:EC1208)</f>
      </c>
      <c r="EE1208" s="1542">
        <f>SUM(EE1206:EE1207)</f>
      </c>
      <c r="EF1208" s="1542">
        <f>SUM(EF1206:EF1207)</f>
      </c>
      <c r="EG1208" s="1542">
        <f>SUM(EG1206:EG1207)</f>
      </c>
      <c r="EH1208" s="1542">
        <f>SUM(EH1206:EH1207)</f>
      </c>
      <c r="EI1208" s="1835">
        <f t="shared" ref="EI1208" si="2473">+EI1206+EI1207</f>
      </c>
      <c r="EJ1208" s="1835">
        <f t="shared" ref="EJ1208:EM1208" si="2474">+EJ1206+EJ1207</f>
      </c>
      <c r="EK1208" s="1556">
        <f t="shared" si="2474"/>
      </c>
      <c r="EL1208" s="1556">
        <f t="shared" si="2474"/>
      </c>
      <c r="EM1208" s="1556">
        <f t="shared" si="2474"/>
      </c>
      <c r="EN1208" s="1556">
        <f>+EN1206+EN1207</f>
      </c>
      <c r="EO1208" s="477"/>
      <c r="EP1208" s="477"/>
      <c r="EQ1208" s="477"/>
      <c r="ER1208" s="477"/>
      <c r="ES1208" s="477"/>
      <c r="ET1208" s="477"/>
      <c r="EU1208" s="477"/>
      <c r="EV1208" s="477"/>
      <c r="EW1208" s="477"/>
      <c r="EX1208" s="477"/>
    </row>
    <row r="1209" spans="2:154" ht="12.75" customHeight="1">
      <c r="B1209" s="442"/>
      <c r="C1209" s="1577"/>
      <c r="D1209" s="933"/>
      <c r="E1209" s="933"/>
      <c r="F1209" s="933"/>
      <c r="G1209" s="933"/>
      <c r="H1209" s="933"/>
      <c r="I1209" s="933"/>
      <c r="J1209" s="933"/>
      <c r="K1209" s="933"/>
      <c r="L1209" s="933"/>
      <c r="M1209" s="933"/>
      <c r="N1209" s="933"/>
      <c r="O1209" s="933"/>
      <c r="P1209" s="933"/>
      <c r="Q1209" s="933"/>
      <c r="R1209" s="933"/>
      <c r="S1209" s="933"/>
      <c r="T1209" s="933"/>
      <c r="U1209" s="933"/>
      <c r="V1209" s="933"/>
      <c r="W1209" s="933"/>
      <c r="X1209" s="1061"/>
      <c r="Y1209" s="933"/>
      <c r="Z1209" s="933"/>
      <c r="AA1209" s="933"/>
      <c r="AB1209" s="933"/>
      <c r="AC1209" s="1061"/>
      <c r="AD1209" s="933"/>
      <c r="AE1209" s="933"/>
      <c r="AF1209" s="933"/>
      <c r="AG1209" s="933"/>
      <c r="AH1209" s="1061"/>
      <c r="AI1209" s="933"/>
      <c r="AJ1209" s="933"/>
      <c r="AK1209" s="933"/>
      <c r="AL1209" s="933"/>
      <c r="AM1209" s="1061"/>
      <c r="AN1209" s="933"/>
      <c r="AO1209" s="933"/>
      <c r="AP1209" s="933"/>
      <c r="AQ1209" s="933"/>
      <c r="AR1209" s="1061"/>
      <c r="AS1209" s="933"/>
      <c r="AT1209" s="933"/>
      <c r="AU1209" s="933"/>
      <c r="AV1209" s="933"/>
      <c r="AW1209" s="1061"/>
      <c r="AX1209" s="933"/>
      <c r="AY1209" s="933"/>
      <c r="AZ1209" s="933"/>
      <c r="BA1209" s="933"/>
      <c r="BB1209" s="1061"/>
      <c r="BC1209" s="933"/>
      <c r="BD1209" s="933"/>
      <c r="BE1209" s="933"/>
      <c r="BF1209" s="933"/>
      <c r="BG1209" s="313"/>
      <c r="BH1209" s="933"/>
      <c r="BI1209" s="2372"/>
      <c r="BJ1209" s="933"/>
      <c r="BK1209" s="933"/>
      <c r="BL1209" s="313"/>
      <c r="BM1209" s="933"/>
      <c r="BN1209" s="933"/>
      <c r="BO1209" s="933"/>
      <c r="BP1209" s="933"/>
      <c r="BQ1209" s="313"/>
      <c r="BR1209" s="933"/>
      <c r="BS1209" s="933"/>
      <c r="BT1209" s="933"/>
      <c r="BU1209" s="933"/>
      <c r="BV1209" s="1061"/>
      <c r="BW1209" s="933"/>
      <c r="BX1209" s="933"/>
      <c r="BY1209" s="933"/>
      <c r="BZ1209" s="933"/>
      <c r="CA1209" s="1060"/>
      <c r="CB1209" s="933"/>
      <c r="CC1209" s="933"/>
      <c r="CD1209" s="933"/>
      <c r="CE1209" s="933"/>
      <c r="CF1209" s="313"/>
      <c r="CG1209" s="933"/>
      <c r="CH1209" s="933"/>
      <c r="CI1209" s="933"/>
      <c r="CJ1209" s="933"/>
      <c r="CK1209" s="313"/>
      <c r="CL1209" s="961"/>
      <c r="CM1209" s="933"/>
      <c r="CN1209" s="933"/>
      <c r="CO1209" s="933"/>
      <c r="CP1209" s="313"/>
      <c r="CQ1209" s="933"/>
      <c r="CR1209" s="933"/>
      <c r="CS1209" s="933"/>
      <c r="CT1209" s="933"/>
      <c r="CU1209" s="313"/>
      <c r="CV1209" s="933"/>
      <c r="CW1209" s="933"/>
      <c r="CX1209" s="933"/>
      <c r="CY1209" s="933"/>
      <c r="CZ1209" s="313"/>
      <c r="DA1209" s="933"/>
      <c r="DB1209" s="31"/>
      <c r="DC1209" s="31"/>
      <c r="DD1209" s="955"/>
      <c r="DE1209" s="477"/>
      <c r="DF1209" s="925"/>
      <c r="DG1209" s="925"/>
      <c r="DH1209" s="925"/>
      <c r="DI1209" s="925"/>
      <c r="DJ1209" s="477"/>
      <c r="DK1209" s="925"/>
      <c r="DL1209" s="1915"/>
      <c r="DM1209" s="925"/>
      <c r="DN1209" s="1915"/>
      <c r="DO1209" s="477"/>
      <c r="DP1209" s="1915"/>
      <c r="DQ1209" s="1915"/>
      <c r="DR1209" s="1915"/>
      <c r="DS1209" s="2257"/>
      <c r="DT1209" s="477"/>
      <c r="DU1209" s="2257"/>
      <c r="DV1209" s="1915"/>
      <c r="DW1209" s="1915"/>
      <c r="DX1209" s="1946"/>
      <c r="DY1209" s="477"/>
      <c r="DZ1209" s="1915"/>
      <c r="EA1209" s="1915"/>
      <c r="EB1209" s="1915"/>
      <c r="EC1209" s="3613"/>
      <c r="ED1209" s="1811"/>
      <c r="EE1209" s="1915"/>
      <c r="EF1209" s="1915"/>
      <c r="EG1209" s="1915"/>
      <c r="EH1209" s="2257"/>
      <c r="EI1209" s="477"/>
      <c r="EJ1209" s="477"/>
      <c r="EK1209" s="1798"/>
      <c r="EL1209" s="1798"/>
      <c r="EM1209" s="1798"/>
      <c r="EN1209" s="1798"/>
      <c r="EO1209" s="477"/>
      <c r="EP1209" s="477"/>
      <c r="EQ1209" s="477"/>
      <c r="ER1209" s="477"/>
      <c r="ES1209" s="477"/>
      <c r="ET1209" s="477"/>
      <c r="EU1209" s="477"/>
      <c r="EV1209" s="477"/>
      <c r="EW1209" s="477"/>
      <c r="EX1209" s="477"/>
    </row>
    <row r="1210" spans="2:154" ht="12.75" customHeight="1">
      <c r="B1210" s="439" t="s">
        <v>957</v>
      </c>
      <c r="C1210" s="1577"/>
      <c r="D1210" s="933"/>
      <c r="E1210" s="933"/>
      <c r="F1210" s="933"/>
      <c r="G1210" s="933"/>
      <c r="H1210" s="933"/>
      <c r="I1210" s="933"/>
      <c r="J1210" s="933"/>
      <c r="K1210" s="933"/>
      <c r="L1210" s="933"/>
      <c r="M1210" s="933"/>
      <c r="N1210" s="933"/>
      <c r="O1210" s="933"/>
      <c r="P1210" s="933"/>
      <c r="Q1210" s="933"/>
      <c r="R1210" s="933"/>
      <c r="S1210" s="933"/>
      <c r="T1210" s="933"/>
      <c r="U1210" s="933"/>
      <c r="V1210" s="933"/>
      <c r="W1210" s="933"/>
      <c r="X1210" s="1061"/>
      <c r="Y1210" s="933"/>
      <c r="Z1210" s="933"/>
      <c r="AA1210" s="933"/>
      <c r="AB1210" s="933"/>
      <c r="AC1210" s="1061"/>
      <c r="AD1210" s="933"/>
      <c r="AE1210" s="933"/>
      <c r="AF1210" s="933"/>
      <c r="AG1210" s="933"/>
      <c r="AH1210" s="1061"/>
      <c r="AI1210" s="933"/>
      <c r="AJ1210" s="933"/>
      <c r="AK1210" s="933"/>
      <c r="AL1210" s="933"/>
      <c r="AM1210" s="1061"/>
      <c r="AN1210" s="933"/>
      <c r="AO1210" s="933"/>
      <c r="AP1210" s="933"/>
      <c r="AQ1210" s="933"/>
      <c r="AR1210" s="1061"/>
      <c r="AS1210" s="933"/>
      <c r="AT1210" s="933"/>
      <c r="AU1210" s="933"/>
      <c r="AV1210" s="933"/>
      <c r="AW1210" s="1061"/>
      <c r="AX1210" s="933"/>
      <c r="AY1210" s="933"/>
      <c r="AZ1210" s="933"/>
      <c r="BA1210" s="933"/>
      <c r="BB1210" s="1061"/>
      <c r="BC1210" s="933"/>
      <c r="BD1210" s="933"/>
      <c r="BE1210" s="933"/>
      <c r="BF1210" s="933"/>
      <c r="BG1210" s="313"/>
      <c r="BH1210" s="933"/>
      <c r="BI1210" s="933"/>
      <c r="BJ1210" s="933"/>
      <c r="BK1210" s="933"/>
      <c r="BL1210" s="313"/>
      <c r="BM1210" s="933"/>
      <c r="BN1210" s="933"/>
      <c r="BO1210" s="933"/>
      <c r="BP1210" s="933"/>
      <c r="BQ1210" s="313"/>
      <c r="BR1210" s="933"/>
      <c r="BS1210" s="933"/>
      <c r="BT1210" s="933"/>
      <c r="BU1210" s="933"/>
      <c r="BV1210" s="1061"/>
      <c r="BW1210" s="933"/>
      <c r="BX1210" s="933"/>
      <c r="BY1210" s="933"/>
      <c r="BZ1210" s="933"/>
      <c r="CA1210" s="313"/>
      <c r="CB1210" s="933"/>
      <c r="CC1210" s="933"/>
      <c r="CD1210" s="933"/>
      <c r="CE1210" s="933"/>
      <c r="CF1210" s="313"/>
      <c r="CG1210" s="933"/>
      <c r="CH1210" s="933"/>
      <c r="CI1210" s="933"/>
      <c r="CJ1210" s="933"/>
      <c r="CK1210" s="313"/>
      <c r="CL1210" s="961"/>
      <c r="CM1210" s="933"/>
      <c r="CN1210" s="933"/>
      <c r="CO1210" s="933"/>
      <c r="CP1210" s="313"/>
      <c r="CQ1210" s="933"/>
      <c r="CR1210" s="933"/>
      <c r="CS1210" s="933"/>
      <c r="CT1210" s="933"/>
      <c r="CU1210" s="313"/>
      <c r="CV1210" s="933"/>
      <c r="CW1210" s="933"/>
      <c r="CX1210" s="933"/>
      <c r="CY1210" s="933"/>
      <c r="CZ1210" s="313"/>
      <c r="DA1210" s="933"/>
      <c r="DB1210" s="31"/>
      <c r="DC1210" s="31"/>
      <c r="DD1210" s="955"/>
      <c r="DE1210" s="477"/>
      <c r="DF1210" s="925"/>
      <c r="DG1210" s="925"/>
      <c r="DH1210" s="925"/>
      <c r="DI1210" s="925"/>
      <c r="DJ1210" s="477"/>
      <c r="DK1210" s="925"/>
      <c r="DL1210" s="1915"/>
      <c r="DM1210" s="925"/>
      <c r="DN1210" s="1915"/>
      <c r="DO1210" s="477"/>
      <c r="DP1210" s="1915"/>
      <c r="DQ1210" s="1915"/>
      <c r="DR1210" s="1915"/>
      <c r="DS1210" s="2257"/>
      <c r="DT1210" s="477"/>
      <c r="DU1210" s="2257"/>
      <c r="DV1210" s="1915"/>
      <c r="DW1210" s="1915"/>
      <c r="DX1210" s="1946"/>
      <c r="DY1210" s="477"/>
      <c r="DZ1210" s="1915"/>
      <c r="EA1210" s="1915"/>
      <c r="EB1210" s="1915"/>
      <c r="EC1210" s="3613"/>
      <c r="ED1210" s="1811"/>
      <c r="EE1210" s="1915"/>
      <c r="EF1210" s="1915"/>
      <c r="EG1210" s="1915"/>
      <c r="EH1210" s="2257"/>
      <c r="EI1210" s="477"/>
      <c r="EJ1210" s="477"/>
      <c r="EK1210" s="1798"/>
      <c r="EL1210" s="1798"/>
      <c r="EM1210" s="1798"/>
      <c r="EN1210" s="1798"/>
      <c r="EO1210" s="477"/>
      <c r="EP1210" s="477"/>
      <c r="EQ1210" s="477"/>
      <c r="ER1210" s="477"/>
      <c r="ES1210" s="477"/>
      <c r="ET1210" s="477"/>
      <c r="EU1210" s="477"/>
      <c r="EV1210" s="477"/>
      <c r="EW1210" s="477"/>
      <c r="EX1210" s="477"/>
    </row>
    <row r="1211" spans="2:154" ht="12.75" customHeight="1">
      <c r="B1211" s="443" t="s">
        <v>156</v>
      </c>
      <c r="C1211" s="1577"/>
      <c r="D1211" s="933"/>
      <c r="E1211" s="933"/>
      <c r="F1211" s="933"/>
      <c r="G1211" s="933"/>
      <c r="H1211" s="933"/>
      <c r="I1211" s="933"/>
      <c r="J1211" s="933"/>
      <c r="K1211" s="933"/>
      <c r="L1211" s="933"/>
      <c r="M1211" s="933"/>
      <c r="N1211" s="933"/>
      <c r="O1211" s="933"/>
      <c r="P1211" s="933"/>
      <c r="Q1211" s="933"/>
      <c r="R1211" s="933"/>
      <c r="S1211" s="933"/>
      <c r="T1211" s="933"/>
      <c r="U1211" s="933"/>
      <c r="V1211" s="933"/>
      <c r="W1211" s="933"/>
      <c r="X1211" s="1060"/>
      <c r="Y1211" s="933"/>
      <c r="Z1211" s="933"/>
      <c r="AA1211" s="933"/>
      <c r="AB1211" s="933"/>
      <c r="AC1211" s="1060"/>
      <c r="AD1211" s="926">
        <v>9.4E-2</v>
      </c>
      <c r="AE1211" s="926">
        <v>0.11</v>
      </c>
      <c r="AF1211" s="926">
        <v>0.10199999999999999</v>
      </c>
      <c r="AG1211" s="926">
        <f>IF(AB1206="NM","NM",IF(AG1206="NM","NM",IF(AB1206&lt;=0,"NM",IF(AG1206=0,"NM",IF(ABS(AG1206/AB1206-1)&gt;2.5,"NM",IF((ABS(AG1206-AB1206)=ABS(ABS(AG1206)-ABS(AB1206))),(AG1206/AB1206-1),"NM"))))))</f>
      </c>
      <c r="AH1211" s="1060">
        <v>0.123</v>
      </c>
      <c r="AI1211" s="926">
        <v>0.13600000000000001</v>
      </c>
      <c r="AJ1211" s="926">
        <v>8.8999999999999996E-2</v>
      </c>
      <c r="AK1211" s="926">
        <v>8.1000000000000003E-2</v>
      </c>
      <c r="AL1211" s="926">
        <v>4.0000000000000001E-3</v>
      </c>
      <c r="AM1211" s="1060">
        <f>IF(AH1206="NM","NM",IF(AM1206="NM","NM",IF(AH1206&lt;=0,"NM",IF(AM1206=0,"NM",IF(ABS(AM1206/AH1206-1)&gt;2.5,"NM",IF((ABS(AM1206-AH1206)=ABS(ABS(AM1206)-ABS(AH1206))),(AM1206/AH1206-1),"NM"))))))</f>
      </c>
      <c r="AN1211" s="926">
        <v>5.0999999999999997E-2</v>
      </c>
      <c r="AO1211" s="926">
        <v>8.4000000000000005E-2</v>
      </c>
      <c r="AP1211" s="926">
        <v>0.129</v>
      </c>
      <c r="AQ1211" s="926">
        <v>0.1</v>
      </c>
      <c r="AR1211" s="1060">
        <f>IF(AM1206="NM","NM",IF(AR1206="NM","NM",IF(AM1206&lt;=0,"NM",IF(AR1206=0,"NM",IF(ABS(AR1206/AM1206-1)&gt;2.5,"NM",IF((ABS(AR1206-AM1206)=ABS(ABS(AR1206)-ABS(AM1206))),(AR1206/AM1206-1),"NM"))))))</f>
      </c>
      <c r="AS1211" s="926">
        <v>0.113</v>
      </c>
      <c r="AT1211" s="926">
        <v>0.13200000000000001</v>
      </c>
      <c r="AU1211" s="926">
        <v>0.11600000000000001</v>
      </c>
      <c r="AV1211" s="926">
        <v>0.157</v>
      </c>
      <c r="AW1211" s="1060">
        <f>IF(AR1206="NM","NM",IF(AW1206="NM","NM",IF(AR1206&lt;=0,"NM",IF(AW1206=0,"NM",IF(ABS(AW1206/AR1206-1)&gt;2.5,"NM",IF((ABS(AW1206-AR1206)=ABS(ABS(AW1206)-ABS(AR1206))),(AW1206/AR1206-1),"NM"))))))</f>
      </c>
      <c r="AX1211" s="926">
        <v>0.108</v>
      </c>
      <c r="AY1211" s="926">
        <v>0.13900000000000001</v>
      </c>
      <c r="AZ1211" s="926">
        <v>0.125</v>
      </c>
      <c r="BA1211" s="926">
        <v>0.106</v>
      </c>
      <c r="BB1211" s="1060">
        <f>IF(AW1206="NM","NM",IF(BB1206="NM","NM",IF(AW1206&lt;=0,"NM",IF(BB1206=0,"NM",IF(ABS(BB1206/AW1206-1)&gt;2.5,"NM",IF((ABS(BB1206-AW1206)=ABS(ABS(BB1206)-ABS(AW1206))),(BB1206/AW1206-1),"NM"))))))</f>
      </c>
      <c r="BC1211" s="29">
        <v>0.125</v>
      </c>
      <c r="BD1211" s="29">
        <v>0.06</v>
      </c>
      <c r="BE1211" s="29">
        <v>0.08</v>
      </c>
      <c r="BF1211" s="926">
        <f>IF(BA1206="NM","NM",IF(BF1206="NM","NM",IF(BA1206&lt;=0,"NM",IF(BF1206=0,"NM",IF(ABS(BF1206/BA1206-1)&gt;2.5,"NM",IF((ABS(BF1206-BA1206)=ABS(ABS(BF1206)-ABS(BA1206))),(BF1206/BA1206-1),"NM"))))))</f>
      </c>
      <c r="BG1211" s="1060">
        <f>IF(BB1206="NM","NM",IF(BG1206="NM","NM",IF(BB1206&lt;=0,"NM",IF(BG1206=0,"NM",IF(ABS(BG1206/BB1206-1)&gt;2.5,"NM",IF((ABS(BG1206-BB1206)=ABS(ABS(BG1206)-ABS(BB1206))),(BG1206/BB1206-1),"NM"))))))</f>
      </c>
      <c r="BH1211" s="926">
        <f t="shared" ref="BH1211:BV1212" si="2475">IF(BC1206="NM","NM",IF(BH1206="NM","NM",IF(BC1206&lt;=0,"NM",IF(BH1206=0,"NM",IF(ABS(BH1206/BC1206-1)&gt;2.5,"NM",IF((ABS(BH1206-BC1206)=ABS(ABS(BH1206)-ABS(BC1206))),(BH1206/BC1206-1),"NM"))))))</f>
      </c>
      <c r="BI1211" s="926">
        <f t="shared" si="2475"/>
      </c>
      <c r="BJ1211" s="926">
        <f t="shared" si="2475"/>
      </c>
      <c r="BK1211" s="926">
        <f t="shared" si="2475"/>
      </c>
      <c r="BL1211" s="1060">
        <f>IF(BG1206="NM","NM",IF(BL1206="NM","NM",IF(BG1206&lt;=0,"NM",IF(BL1206=0,"NM",IF(ABS(BL1206/BG1206-1)&gt;2.5,"NM",IF((ABS(BL1206-BG1206)=ABS(ABS(BL1206)-ABS(BG1206))),(BL1206/BG1206-1),"NM"))))))</f>
      </c>
      <c r="BM1211" s="926">
        <f t="shared" si="2475"/>
      </c>
      <c r="BN1211" s="926">
        <f t="shared" si="2475"/>
      </c>
      <c r="BO1211" s="926">
        <f t="shared" si="2475"/>
      </c>
      <c r="BP1211" s="926">
        <f t="shared" si="2475"/>
      </c>
      <c r="BQ1211" s="1060">
        <f t="shared" si="2475"/>
      </c>
      <c r="BR1211" s="926">
        <f t="shared" si="2475"/>
      </c>
      <c r="BS1211" s="926">
        <f t="shared" si="2475"/>
      </c>
      <c r="BT1211" s="926">
        <f t="shared" si="2475"/>
      </c>
      <c r="BU1211" s="926">
        <f>IF(BP1206="NM","NM",IF(BU1206="NM","NM",IF(BP1206&lt;=0,"NM",IF(BU1206=0,"NM",IF(ABS(BU1206/BP1206-1)&gt;2.5,"NM",IF((ABS(BU1206-BP1206)=ABS(ABS(BU1206)-ABS(BP1206))),(BU1206/BP1206-1),"NM"))))))</f>
      </c>
      <c r="BV1211" s="1060">
        <f t="shared" si="2475"/>
      </c>
      <c r="BW1211" s="649">
        <v>-6.0000000000000053E-3</v>
      </c>
      <c r="BX1211" s="649">
        <v>5.2000000000000046E-2</v>
      </c>
      <c r="BY1211" s="649">
        <v>5.699999999999994E-2</v>
      </c>
      <c r="BZ1211" s="649">
        <v>7.2999999999999954E-2</v>
      </c>
      <c r="CA1211" s="2248">
        <f t="shared" ref="CA1211:CX1212" si="2476">IF(BV1206="NM","NM",IF(CA1206="NM","NM",IF(BV1206&lt;=0,"NM",IF(CA1206=0,"NM",IF(ABS(CA1206/BV1206-1)&gt;2.5,"NM",IF((ABS(CA1206-BV1206)=ABS(ABS(CA1206)-ABS(BV1206))),(CA1206/BV1206-1),"NM"))))))</f>
      </c>
      <c r="CB1211" s="926">
        <f t="shared" si="2476"/>
      </c>
      <c r="CC1211" s="926">
        <f t="shared" si="2476"/>
      </c>
      <c r="CD1211" s="926">
        <f t="shared" si="2476"/>
      </c>
      <c r="CE1211" s="926">
        <f t="shared" si="2476"/>
      </c>
      <c r="CF1211" s="2248">
        <f t="shared" si="2476"/>
      </c>
      <c r="CG1211" s="926">
        <f t="shared" si="2476"/>
      </c>
      <c r="CH1211" s="926">
        <f t="shared" si="2476"/>
      </c>
      <c r="CI1211" s="926">
        <f t="shared" si="2476"/>
      </c>
      <c r="CJ1211" s="926">
        <f t="shared" si="2476"/>
      </c>
      <c r="CK1211" s="1060">
        <f>IF(CF1206=0, 0, CK1206/CF1206-1)</f>
      </c>
      <c r="CL1211" s="926">
        <f t="shared" si="2476"/>
      </c>
      <c r="CM1211" s="926">
        <f t="shared" si="2476"/>
      </c>
      <c r="CN1211" s="926">
        <f t="shared" si="2476"/>
      </c>
      <c r="CO1211" s="926">
        <f t="shared" si="2476"/>
      </c>
      <c r="CP1211" s="1060">
        <f>IF(CK1206=0, 0, CP1206/CK1206-1)</f>
      </c>
      <c r="CQ1211" s="926">
        <f t="shared" si="2476"/>
      </c>
      <c r="CR1211" s="926">
        <f t="shared" si="2476"/>
      </c>
      <c r="CS1211" s="926">
        <f t="shared" si="2476"/>
      </c>
      <c r="CT1211" s="926">
        <f t="shared" si="2476"/>
      </c>
      <c r="CU1211" s="1060">
        <f>IF(CP1206=0, 0, CU1206/CP1206-1)</f>
      </c>
      <c r="CV1211" s="926">
        <f t="shared" si="2476"/>
      </c>
      <c r="CW1211" s="926">
        <f t="shared" si="2476"/>
      </c>
      <c r="CX1211" s="926">
        <f t="shared" si="2476"/>
      </c>
      <c r="CY1211" s="926">
        <f>IF(CT1206="NM","NM",IF(CY1206="NM","NM",IF(CT1206&lt;=0,"NM",IF(CY1206=0,"NM",IF(ABS(CY1206/CT1206-1)&gt;2.5,"NM",IF((ABS(CY1206-CT1206)=ABS(ABS(CY1206)-ABS(CT1206))),(CY1206/CT1206-1),"NM"))))))</f>
      </c>
      <c r="CZ1211" s="1060">
        <f>IF(CU1206=0, 0, CZ1206/CU1206-1)</f>
      </c>
      <c r="DA1211" s="926">
        <f t="shared" ref="DA1211:DC1212" si="2477">IF(CV1206="NM","NM",IF(DA1206="NM","NM",IF(CV1206&lt;=0,"NM",IF(DA1206=0,"NM",IF(ABS(DA1206/CV1206-1)&gt;2.5,"NM",IF((ABS(DA1206-CV1206)=ABS(ABS(DA1206)-ABS(CV1206))),(DA1206/CV1206-1),"NM"))))))</f>
      </c>
      <c r="DB1211" s="926">
        <f t="shared" si="2477"/>
      </c>
      <c r="DC1211" s="926">
        <f t="shared" si="2477"/>
      </c>
      <c r="DD1211" s="927">
        <f>IF(DD1206=0,"NM",+DD1206/CY1206-1)</f>
      </c>
      <c r="DE1211" s="1060">
        <f>IF(CZ1206=0, 0, DE1206/CZ1206-1)</f>
      </c>
      <c r="DF1211" s="926">
        <f t="shared" ref="DF1211:DH1212" si="2478">IF(DA1206="NM","NM",IF(DF1206="NM","NM",IF(DA1206&lt;=0,"NM",IF(DF1206=0,"NM",IF(ABS(DF1206/DA1206-1)&gt;2.5,"NM",IF((ABS(DF1206-DA1206)=ABS(ABS(DF1206)-ABS(DA1206))),(DF1206/DA1206-1),"NM"))))))</f>
      </c>
      <c r="DG1211" s="926">
        <f t="shared" si="2478"/>
      </c>
      <c r="DH1211" s="926">
        <f t="shared" si="2478"/>
      </c>
      <c r="DI1211" s="927">
        <f>IF(DI1206=0,"NM",+DI1206/DD1206-1)</f>
      </c>
      <c r="DJ1211" s="1060">
        <f>IF(DE1206=0, 0, DJ1206/DE1206-1)</f>
      </c>
      <c r="DK1211" s="926">
        <f t="shared" ref="DK1211:DN1212" si="2479">IF(DF1206="NM","NM",IF(DK1206="NM","NM",IF(DF1206&lt;=0,"NM",IF(DK1206=0,"NM",IF(ABS(DK1206/DF1206-1)&gt;2.5,"NM",IF((ABS(DK1206-DF1206)=ABS(ABS(DK1206)-ABS(DF1206))),(DK1206/DF1206-1),"NM"))))))</f>
      </c>
      <c r="DL1211" s="926">
        <f t="shared" si="2479"/>
      </c>
      <c r="DM1211" s="926">
        <f t="shared" si="2479"/>
      </c>
      <c r="DN1211" s="926">
        <f t="shared" si="2479"/>
      </c>
      <c r="DO1211" s="1060">
        <f>IF(DJ1206=0, 0, DO1206/DJ1206-1)</f>
      </c>
      <c r="DP1211" s="926">
        <f t="shared" ref="DP1211:DR1212" si="2480">IF(DK1206="NM","NM",IF(DP1206="NM","NM",IF(DK1206&lt;=0,"NM",IF(DP1206=0,"NM",IF(ABS(DP1206/DK1206-1)&gt;2.5,"NM",IF((ABS(DP1206-DK1206)=ABS(ABS(DP1206)-ABS(DK1206))),(DP1206/DK1206-1),"NM"))))))</f>
      </c>
      <c r="DQ1211" s="926">
        <f t="shared" si="2480"/>
      </c>
      <c r="DR1211" s="926">
        <f t="shared" si="2480"/>
      </c>
      <c r="DS1211" s="926">
        <f>IF(DN1206=0, 0, DS1206/DN1206-1)</f>
      </c>
      <c r="DT1211" s="1060">
        <f>IF(DO1206=0, 0, DT1206/DO1206-1)</f>
      </c>
      <c r="DU1211" s="926">
        <f>IF(DP1206=0, 0, DU1206/DP1206-1)</f>
      </c>
      <c r="DV1211" s="926">
        <f t="shared" ref="DV1211:DX1212" si="2481">IF(DQ1206="NM","NM",IF(DV1206="NM","NM",IF(DQ1206&lt;=0,"NM",IF(DV1206=0,"NM",IF(ABS(DV1206/DQ1206-1)&gt;2.5,"NM",IF((ABS(DV1206-DQ1206)=ABS(ABS(DV1206)-ABS(DQ1206))),(DV1206/DQ1206-1),"NM"))))))</f>
      </c>
      <c r="DW1211" s="926">
        <f t="shared" si="2481"/>
      </c>
      <c r="DX1211" s="928">
        <f t="shared" si="2481"/>
      </c>
      <c r="DY1211" s="1060">
        <f>IF(DT1206=0, 0, DY1206/DT1206-1)</f>
      </c>
      <c r="DZ1211" s="926">
        <f t="shared" ref="DZ1211:EG1212" si="2482">IF(DU1206="NM","NM",IF(DZ1206="NM","NM",IF(DU1206&lt;=0,"NM",IF(DZ1206=0,"NM",IF(ABS(DZ1206/DU1206-1)&gt;2.5,"NM",IF((ABS(DZ1206-DU1206)=ABS(ABS(DZ1206)-ABS(DU1206))),(DZ1206/DU1206-1),"NM"))))))</f>
      </c>
      <c r="EA1211" s="926">
        <f t="shared" si="2482"/>
      </c>
      <c r="EB1211" s="926">
        <f t="shared" si="2482"/>
      </c>
      <c r="EC1211" s="1235">
        <f t="shared" si="2482"/>
      </c>
      <c r="ED1211" s="1536">
        <f>IF(DY1206=0, 0, ED1206/DY1206-1)</f>
      </c>
      <c r="EE1211" s="926">
        <f t="shared" si="2482"/>
      </c>
      <c r="EF1211" s="926">
        <f t="shared" si="2482"/>
      </c>
      <c r="EG1211" s="926">
        <f t="shared" si="2482"/>
      </c>
      <c r="EH1211" s="1235">
        <f t="shared" ref="EH1211" si="2483">IF(EC1206="NM","NM",IF(EH1206="NM","NM",IF(EC1206&lt;=0,"NM",IF(EH1206=0,"NM",IF(ABS(EH1206/EC1206-1)&gt;2.5,"NM",IF((ABS(EH1206-EC1206)=ABS(ABS(EH1206)-ABS(EC1206))),(EH1206/EC1206-1),"NM"))))))</f>
      </c>
      <c r="EI1211" s="448">
        <v>0.02</v>
      </c>
      <c r="EJ1211" s="317">
        <v>0.03</v>
      </c>
      <c r="EK1211" s="836">
        <v>0.03</v>
      </c>
      <c r="EL1211" s="836">
        <v>0.03</v>
      </c>
      <c r="EM1211" s="836">
        <v>0.03</v>
      </c>
      <c r="EN1211" s="836">
        <v>0.03</v>
      </c>
      <c r="EO1211" s="673"/>
      <c r="EP1211" s="673"/>
      <c r="EQ1211" s="673"/>
      <c r="ER1211" s="673"/>
      <c r="ES1211" s="673"/>
      <c r="ET1211" s="673"/>
      <c r="EU1211" s="673"/>
      <c r="EV1211" s="673"/>
      <c r="EW1211" s="673"/>
      <c r="EX1211" s="673"/>
    </row>
    <row r="1212" spans="2:154" ht="12.75" customHeight="1">
      <c r="B1212" s="443" t="s">
        <v>235</v>
      </c>
      <c r="C1212" s="1577"/>
      <c r="D1212" s="933"/>
      <c r="E1212" s="933"/>
      <c r="F1212" s="933"/>
      <c r="G1212" s="933"/>
      <c r="H1212" s="933"/>
      <c r="I1212" s="933"/>
      <c r="J1212" s="933"/>
      <c r="K1212" s="933"/>
      <c r="L1212" s="933"/>
      <c r="M1212" s="933"/>
      <c r="N1212" s="933"/>
      <c r="O1212" s="933"/>
      <c r="P1212" s="933"/>
      <c r="Q1212" s="933"/>
      <c r="R1212" s="933"/>
      <c r="S1212" s="933"/>
      <c r="T1212" s="933"/>
      <c r="U1212" s="933"/>
      <c r="V1212" s="933"/>
      <c r="W1212" s="933"/>
      <c r="X1212" s="1060"/>
      <c r="Y1212" s="933"/>
      <c r="Z1212" s="933"/>
      <c r="AA1212" s="933"/>
      <c r="AB1212" s="933"/>
      <c r="AC1212" s="1060"/>
      <c r="AD1212" s="926">
        <v>0.159</v>
      </c>
      <c r="AE1212" s="926">
        <v>0.15</v>
      </c>
      <c r="AF1212" s="926">
        <v>0.19800000000000001</v>
      </c>
      <c r="AG1212" s="926">
        <f>IF(AB1207="NM","NM",IF(AG1207="NM","NM",IF(AB1207&lt;=0,"NM",IF(AG1207=0,"NM",IF(ABS(AG1207/AB1207-1)&gt;2.5,"NM",IF((ABS(AG1207-AB1207)=ABS(ABS(AG1207)-ABS(AB1207))),(AG1207/AB1207-1),"NM"))))))</f>
      </c>
      <c r="AH1212" s="1060">
        <v>0.17299999999999999</v>
      </c>
      <c r="AI1212" s="926">
        <v>0.21</v>
      </c>
      <c r="AJ1212" s="926">
        <v>0.21099999999999999</v>
      </c>
      <c r="AK1212" s="926">
        <v>0.125</v>
      </c>
      <c r="AL1212" s="926">
        <v>0.06</v>
      </c>
      <c r="AM1212" s="1060">
        <f>IF(AH1207="NM","NM",IF(AM1207="NM","NM",IF(AH1207&lt;=0,"NM",IF(AM1207=0,"NM",IF(ABS(AM1207/AH1207-1)&gt;2.5,"NM",IF((ABS(AM1207-AH1207)=ABS(ABS(AM1207)-ABS(AH1207))),(AM1207/AH1207-1),"NM"))))))</f>
      </c>
      <c r="AN1212" s="926">
        <v>7.2999999999999995E-2</v>
      </c>
      <c r="AO1212" s="926">
        <v>0.03</v>
      </c>
      <c r="AP1212" s="926">
        <v>0.13</v>
      </c>
      <c r="AQ1212" s="926">
        <v>9.0999999999999998E-2</v>
      </c>
      <c r="AR1212" s="1060">
        <f>IF(AM1207="NM","NM",IF(AR1207="NM","NM",IF(AM1207&lt;=0,"NM",IF(AR1207=0,"NM",IF(ABS(AR1207/AM1207-1)&gt;2.5,"NM",IF((ABS(AR1207-AM1207)=ABS(ABS(AR1207)-ABS(AM1207))),(AR1207/AM1207-1),"NM"))))))</f>
      </c>
      <c r="AS1212" s="926">
        <v>0.17499999999999999</v>
      </c>
      <c r="AT1212" s="926">
        <v>0.188</v>
      </c>
      <c r="AU1212" s="926">
        <v>0.2</v>
      </c>
      <c r="AV1212" s="926">
        <v>0.23699999999999999</v>
      </c>
      <c r="AW1212" s="1060">
        <f>IF(AR1207="NM","NM",IF(AW1207="NM","NM",IF(AR1207&lt;=0,"NM",IF(AW1207=0,"NM",IF(ABS(AW1207/AR1207-1)&gt;2.5,"NM",IF((ABS(AW1207-AR1207)=ABS(ABS(AW1207)-ABS(AR1207))),(AW1207/AR1207-1),"NM"))))))</f>
      </c>
      <c r="AX1212" s="926">
        <v>0.18099999999999999</v>
      </c>
      <c r="AY1212" s="926">
        <v>0.25800000000000001</v>
      </c>
      <c r="AZ1212" s="926">
        <v>0.14599999999999999</v>
      </c>
      <c r="BA1212" s="926">
        <v>0</v>
      </c>
      <c r="BB1212" s="1060">
        <f>IF(AW1207="NM","NM",IF(BB1207="NM","NM",IF(AW1207&lt;=0,"NM",IF(BB1207=0,"NM",IF(ABS(BB1207/AW1207-1)&gt;2.5,"NM",IF((ABS(BB1207-AW1207)=ABS(ABS(BB1207)-ABS(AW1207))),(BB1207/AW1207-1),"NM"))))))</f>
      </c>
      <c r="BC1212" s="29">
        <v>-0.121</v>
      </c>
      <c r="BD1212" s="29">
        <v>-0.11</v>
      </c>
      <c r="BE1212" s="926">
        <f>IF(ISNUMBER(BE1213),(1+BE1213)*(1+BE$21)-1,"NM")</f>
      </c>
      <c r="BF1212" s="926">
        <f>IF(BA1207="NM","NM",IF(BF1207="NM","NM",IF(BA1207&lt;=0,"NM",IF(BF1207=0,"NM",IF(ABS(BF1207/BA1207-1)&gt;2.5,"NM",IF((ABS(BF1207-BA1207)=ABS(ABS(BF1207)-ABS(BA1207))),(BF1207/BA1207-1),"NM"))))))</f>
      </c>
      <c r="BG1212" s="1060">
        <f>IF(BB1207="NM","NM",IF(BG1207="NM","NM",IF(BB1207&lt;=0,"NM",IF(BG1207=0,"NM",IF(ABS(BG1207/BB1207-1)&gt;2.5,"NM",IF((ABS(BG1207-BB1207)=ABS(ABS(BG1207)-ABS(BB1207))),(BG1207/BB1207-1),"NM"))))))</f>
      </c>
      <c r="BH1212" s="926">
        <f>IF(BC1207="NM","NM",IF(BH1207="NM","NM",IF(BC1207&lt;=0,"NM",IF(BH1207=0,"NM",IF(ABS(BH1207/BC1207-1)&gt;2.5,"NM",IF((ABS(BH1207-BC1207)=ABS(ABS(BH1207)-ABS(BC1207))),(BH1207/BC1207-1),"NM"))))))</f>
      </c>
      <c r="BI1212" s="926">
        <f>IF(BD1207="NM","NM",IF(BI1207="NM","NM",IF(BD1207&lt;=0,"NM",IF(BI1207=0,"NM",IF(ABS(BI1207/BD1207-1)&gt;2.5,"NM",IF((ABS(BI1207-BD1207)=ABS(ABS(BI1207)-ABS(BD1207))),(BI1207/BD1207-1),"NM"))))))</f>
      </c>
      <c r="BJ1212" s="925">
        <f>IF(BE1207="NM","NM",IF(BJ1207="NM","NM",IF(BE1207&lt;=0,"NM",IF(BJ1207=0,"NM",IF(ABS(BJ1207/BE1207-1)&gt;2.5,"NM",IF((ABS(BJ1207-BE1207)=ABS(ABS(BJ1207)-ABS(BE1207))),(BJ1207/BE1207-1),"NM"))))))</f>
      </c>
      <c r="BK1212" s="926">
        <f t="shared" si="2475"/>
      </c>
      <c r="BL1212" s="1060">
        <f>IF(BG1207="NM","NM",IF(BL1207="NM","NM",IF(BG1207&lt;=0,"NM",IF(BL1207=0,"NM",IF(ABS(BL1207/BG1207-1)&gt;2.5,"NM",IF((ABS(BL1207-BG1207)=ABS(ABS(BL1207)-ABS(BG1207))),(BL1207/BG1207-1),"NM"))))))</f>
      </c>
      <c r="BM1212" s="926">
        <f>IF(BH1207="NM","NM",IF(BM1207="NM","NM",IF(BH1207&lt;=0,"NM",IF(BM1207=0,"NM",IF(ABS(BM1207/BH1207-1)&gt;2.5,"NM",IF((ABS(BM1207-BH1207)=ABS(ABS(BM1207)-ABS(BH1207))),(BM1207/BH1207-1),"NM"))))))</f>
      </c>
      <c r="BN1212" s="926">
        <f>IF(BI1207="NM","NM",IF(BN1207="NM","NM",IF(BI1207&lt;=0,"NM",IF(BN1207=0,"NM",IF(ABS(BN1207/BI1207-1)&gt;2.5,"NM",IF((ABS(BN1207-BI1207)=ABS(ABS(BN1207)-ABS(BI1207))),(BN1207/BI1207-1),"NM"))))))</f>
      </c>
      <c r="BO1212" s="926">
        <f>IF(BJ1207="NM","NM",IF(BO1207="NM","NM",IF(BJ1207&lt;=0,"NM",IF(BO1207=0,"NM",IF(ABS(BO1207/BJ1207-1)&gt;2.5,"NM",IF((ABS(BO1207-BJ1207)=ABS(ABS(BO1207)-ABS(BJ1207))),(BO1207/BJ1207-1),"NM"))))))</f>
      </c>
      <c r="BP1212" s="926">
        <f t="shared" si="2475"/>
      </c>
      <c r="BQ1212" s="1060">
        <f t="shared" si="2475"/>
      </c>
      <c r="BR1212" s="926">
        <f t="shared" si="2475"/>
      </c>
      <c r="BS1212" s="926">
        <f t="shared" si="2475"/>
      </c>
      <c r="BT1212" s="926">
        <f t="shared" si="2475"/>
      </c>
      <c r="BU1212" s="926">
        <f>IF(BP1207="NM","NM",IF(BU1207="NM","NM",IF(BP1207&lt;=0,"NM",IF(BU1207=0,"NM",IF(ABS(BU1207/BP1207-1)&gt;2.5,"NM",IF((ABS(BU1207-BP1207)=ABS(ABS(BU1207)-ABS(BP1207))),(BU1207/BP1207-1),"NM"))))))</f>
      </c>
      <c r="BV1212" s="1060">
        <f t="shared" si="2475"/>
      </c>
      <c r="BW1212" s="926">
        <f>IF(ISNUMBER(BW1213),(1+BW1213)*(1+BW$21)-1,"NM")</f>
      </c>
      <c r="BX1212" s="926">
        <f>IF(ISNUMBER(BX1213),(1+BX1213)*(1+BX$21)-1,"NM")</f>
      </c>
      <c r="BY1212" s="926">
        <f>IF(ISNUMBER(BY1213),(1+BY1213)*(1+BY$21)-1,"NM")</f>
      </c>
      <c r="BZ1212" s="928">
        <f>IF(ISNUMBER(BZ1213),(1+BZ1213)*(1+BZ$21)-1,"NM")</f>
      </c>
      <c r="CA1212" s="1060">
        <f t="shared" si="2476"/>
      </c>
      <c r="CB1212" s="926">
        <f t="shared" si="2476"/>
      </c>
      <c r="CC1212" s="926">
        <f t="shared" si="2476"/>
      </c>
      <c r="CD1212" s="926">
        <f t="shared" si="2476"/>
      </c>
      <c r="CE1212" s="926">
        <f t="shared" si="2476"/>
      </c>
      <c r="CF1212" s="1060">
        <f t="shared" si="2476"/>
      </c>
      <c r="CG1212" s="926">
        <f t="shared" si="2476"/>
      </c>
      <c r="CH1212" s="926">
        <f t="shared" si="2476"/>
      </c>
      <c r="CI1212" s="926">
        <f t="shared" si="2476"/>
      </c>
      <c r="CJ1212" s="926">
        <f t="shared" si="2476"/>
      </c>
      <c r="CK1212" s="1060">
        <f>IF(CF1207=0, "NA", CK1207/CF1207-1)</f>
      </c>
      <c r="CL1212" s="926">
        <f t="shared" si="2476"/>
      </c>
      <c r="CM1212" s="926">
        <f t="shared" si="2476"/>
      </c>
      <c r="CN1212" s="926">
        <f t="shared" si="2476"/>
      </c>
      <c r="CO1212" s="926">
        <f t="shared" si="2476"/>
      </c>
      <c r="CP1212" s="1060">
        <f>IF(CK1207=0, "NA", CP1207/CK1207-1)</f>
      </c>
      <c r="CQ1212" s="926">
        <f t="shared" si="2476"/>
      </c>
      <c r="CR1212" s="926">
        <f t="shared" si="2476"/>
      </c>
      <c r="CS1212" s="926">
        <f t="shared" si="2476"/>
      </c>
      <c r="CT1212" s="926">
        <f t="shared" si="2476"/>
      </c>
      <c r="CU1212" s="1060">
        <f>IF(CP1207=0, "NA", CU1207/CP1207-1)</f>
      </c>
      <c r="CV1212" s="926">
        <f t="shared" si="2476"/>
      </c>
      <c r="CW1212" s="926">
        <f t="shared" si="2476"/>
      </c>
      <c r="CX1212" s="926">
        <f t="shared" si="2476"/>
      </c>
      <c r="CY1212" s="926">
        <f>IF(CT1207="NM","NM",IF(CY1207="NM","NM",IF(CT1207&lt;=0,"NM",IF(CY1207=0,"NM",IF(ABS(CY1207/CT1207-1)&gt;2.5,"NM",IF((ABS(CY1207-CT1207)=ABS(ABS(CY1207)-ABS(CT1207))),(CY1207/CT1207-1),"NM"))))))</f>
      </c>
      <c r="CZ1212" s="1060">
        <f>IF(CU1207=0, "NA", CZ1207/CU1207-1)</f>
      </c>
      <c r="DA1212" s="926">
        <f t="shared" si="2477"/>
      </c>
      <c r="DB1212" s="926">
        <f t="shared" si="2477"/>
      </c>
      <c r="DC1212" s="926">
        <f t="shared" si="2477"/>
      </c>
      <c r="DD1212" s="960">
        <f>IF(DD1207=0, "NM", DD1207/CY1207-1)</f>
      </c>
      <c r="DE1212" s="1060">
        <f>IF(CZ1207=0, "NA", DE1207/CZ1207-1)</f>
      </c>
      <c r="DF1212" s="926">
        <f t="shared" si="2478"/>
      </c>
      <c r="DG1212" s="926">
        <f t="shared" si="2478"/>
      </c>
      <c r="DH1212" s="926">
        <f t="shared" si="2478"/>
      </c>
      <c r="DI1212" s="928">
        <f>IF(DI1207=0, "NM", DI1207/DD1207-1)</f>
      </c>
      <c r="DJ1212" s="1060">
        <f>IF(DE1207=0, "NA", DJ1207/DE1207-1)</f>
      </c>
      <c r="DK1212" s="926">
        <f t="shared" si="2479"/>
      </c>
      <c r="DL1212" s="926">
        <f t="shared" si="2479"/>
      </c>
      <c r="DM1212" s="926">
        <f t="shared" si="2479"/>
      </c>
      <c r="DN1212" s="926">
        <f t="shared" si="2479"/>
      </c>
      <c r="DO1212" s="1060">
        <f>IF(DJ1207=0, "NA", DO1207/DJ1207-1)</f>
      </c>
      <c r="DP1212" s="926">
        <f t="shared" si="2480"/>
      </c>
      <c r="DQ1212" s="926">
        <f t="shared" si="2480"/>
      </c>
      <c r="DR1212" s="926">
        <f t="shared" si="2480"/>
      </c>
      <c r="DS1212" s="926">
        <f>IF(DN1207=0, "NA", DS1207/DN1207-1)</f>
      </c>
      <c r="DT1212" s="1060">
        <f>IF(DO1207=0, "NA", DT1207/DO1207-1)</f>
      </c>
      <c r="DU1212" s="926">
        <f>IF(DP1207=0, "NA", DU1207/DP1207-1)</f>
      </c>
      <c r="DV1212" s="926">
        <f t="shared" si="2481"/>
      </c>
      <c r="DW1212" s="926">
        <f t="shared" si="2481"/>
      </c>
      <c r="DX1212" s="928">
        <f t="shared" si="2481"/>
      </c>
      <c r="DY1212" s="1060">
        <f>IF(DT1207=0, "NA", DY1207/DT1207-1)</f>
      </c>
      <c r="DZ1212" s="926">
        <f t="shared" si="2482"/>
      </c>
      <c r="EA1212" s="926">
        <f t="shared" si="2482"/>
      </c>
      <c r="EB1212" s="926">
        <f t="shared" si="2482"/>
      </c>
      <c r="EC1212" s="1235">
        <f t="shared" si="2482"/>
      </c>
      <c r="ED1212" s="1536">
        <f>IF(DY1207=0, "NA", ED1207/DY1207-1)</f>
      </c>
      <c r="EE1212" s="926">
        <f t="shared" si="2482"/>
      </c>
      <c r="EF1212" s="926">
        <f t="shared" si="2482"/>
      </c>
      <c r="EG1212" s="926">
        <f t="shared" si="2482"/>
      </c>
      <c r="EH1212" s="926">
        <f t="shared" ref="EH1212" si="2484">IF(EC1207="NM","NM",IF(EH1207="NM","NM",IF(EC1207&lt;=0,"NM",IF(EH1207=0,"NM",IF(ABS(EH1207/EC1207-1)&gt;2.5,"NM",IF((ABS(EH1207-EC1207)=ABS(ABS(EH1207)-ABS(EC1207))),(EH1207/EC1207-1),"NM"))))))</f>
      </c>
      <c r="EI1212" s="1060">
        <f t="shared" ref="EI1212" si="2485">EI1213+EI$1370</f>
      </c>
      <c r="EJ1212" s="1060">
        <f>EJ1213+EJ$1370</f>
      </c>
      <c r="EK1212" s="928">
        <f>EK1213+EK$1370</f>
      </c>
      <c r="EL1212" s="928">
        <f>EL1213+EL$1370</f>
      </c>
      <c r="EM1212" s="928">
        <f>EM1213+EM$1370</f>
      </c>
      <c r="EN1212" s="928">
        <f>EN1213+EN$1370</f>
      </c>
      <c r="EO1212" s="1060"/>
      <c r="EP1212" s="1060"/>
      <c r="EQ1212" s="1060"/>
      <c r="ER1212" s="1060"/>
      <c r="ES1212" s="1060"/>
      <c r="ET1212" s="1060"/>
      <c r="EU1212" s="1060"/>
      <c r="EV1212" s="1060"/>
      <c r="EW1212" s="1060"/>
      <c r="EX1212" s="1060"/>
    </row>
    <row r="1213" spans="2:154" ht="12.75" customHeight="1">
      <c r="B1213" s="443" t="s">
        <v>157</v>
      </c>
      <c r="C1213" s="1577"/>
      <c r="D1213" s="933"/>
      <c r="E1213" s="933"/>
      <c r="F1213" s="933"/>
      <c r="G1213" s="933"/>
      <c r="H1213" s="933"/>
      <c r="I1213" s="933"/>
      <c r="J1213" s="933"/>
      <c r="K1213" s="933"/>
      <c r="L1213" s="933"/>
      <c r="M1213" s="933"/>
      <c r="N1213" s="933"/>
      <c r="O1213" s="933"/>
      <c r="P1213" s="933"/>
      <c r="Q1213" s="933"/>
      <c r="R1213" s="933"/>
      <c r="S1213" s="933"/>
      <c r="T1213" s="933"/>
      <c r="U1213" s="933"/>
      <c r="V1213" s="933"/>
      <c r="W1213" s="933"/>
      <c r="X1213" s="2248"/>
      <c r="Y1213" s="933"/>
      <c r="Z1213" s="933"/>
      <c r="AA1213" s="933"/>
      <c r="AB1213" s="933"/>
      <c r="AC1213" s="2248"/>
      <c r="AD1213" s="959">
        <f t="shared" ref="AD1213:BD1213" si="2486">IF(ISNUMBER(AD1212),(1+AD1212)/(1+AD$21)-1,"NM")</f>
      </c>
      <c r="AE1213" s="959">
        <f t="shared" si="2486"/>
      </c>
      <c r="AF1213" s="959">
        <f t="shared" si="2486"/>
      </c>
      <c r="AG1213" s="959">
        <f t="shared" si="2486"/>
      </c>
      <c r="AH1213" s="2248">
        <f t="shared" si="2486"/>
      </c>
      <c r="AI1213" s="959">
        <f t="shared" si="2486"/>
      </c>
      <c r="AJ1213" s="959">
        <f t="shared" si="2486"/>
      </c>
      <c r="AK1213" s="959">
        <f t="shared" si="2486"/>
      </c>
      <c r="AL1213" s="959">
        <f t="shared" si="2486"/>
      </c>
      <c r="AM1213" s="2248">
        <f t="shared" si="2486"/>
      </c>
      <c r="AN1213" s="959">
        <f t="shared" si="2486"/>
      </c>
      <c r="AO1213" s="959">
        <f t="shared" si="2486"/>
      </c>
      <c r="AP1213" s="959">
        <f t="shared" si="2486"/>
      </c>
      <c r="AQ1213" s="959">
        <f t="shared" si="2486"/>
      </c>
      <c r="AR1213" s="2248">
        <f t="shared" si="2486"/>
      </c>
      <c r="AS1213" s="959">
        <f t="shared" si="2486"/>
      </c>
      <c r="AT1213" s="959">
        <f t="shared" si="2486"/>
      </c>
      <c r="AU1213" s="959">
        <f t="shared" si="2486"/>
      </c>
      <c r="AV1213" s="959">
        <f t="shared" si="2486"/>
      </c>
      <c r="AW1213" s="2248">
        <f t="shared" si="2486"/>
      </c>
      <c r="AX1213" s="959">
        <f t="shared" si="2486"/>
      </c>
      <c r="AY1213" s="959">
        <f t="shared" si="2486"/>
      </c>
      <c r="AZ1213" s="959">
        <f t="shared" si="2486"/>
      </c>
      <c r="BA1213" s="959">
        <f t="shared" si="2486"/>
      </c>
      <c r="BB1213" s="2248">
        <f t="shared" si="2486"/>
      </c>
      <c r="BC1213" s="959">
        <f t="shared" si="2486"/>
      </c>
      <c r="BD1213" s="959">
        <f t="shared" si="2486"/>
      </c>
      <c r="BE1213" s="361">
        <v>0.05</v>
      </c>
      <c r="BF1213" s="925">
        <f>IF(ISNUMBER(BF1212),(1+BF1212)/(1+BF$21)-1,"NM")</f>
      </c>
      <c r="BG1213" s="1066">
        <f t="shared" ref="BG1213:BM1213" si="2487">IF(ISNUMBER(BG1212),(1+BG1212)/(1+BG$21)-1,"NM")</f>
      </c>
      <c r="BH1213" s="925">
        <f t="shared" si="2487"/>
      </c>
      <c r="BI1213" s="925">
        <f t="shared" si="2487"/>
      </c>
      <c r="BJ1213" s="925">
        <f t="shared" si="2487"/>
      </c>
      <c r="BK1213" s="959">
        <f t="shared" si="2487"/>
      </c>
      <c r="BL1213" s="2248">
        <f t="shared" si="2487"/>
      </c>
      <c r="BM1213" s="926">
        <f t="shared" si="2487"/>
      </c>
      <c r="BN1213" s="925">
        <v>1.2E-2</v>
      </c>
      <c r="BO1213" s="926">
        <v>7.5999999999999998E-2</v>
      </c>
      <c r="BP1213" s="926">
        <v>3.1E-2</v>
      </c>
      <c r="BQ1213" s="2248">
        <v>3.5000000000000003E-2</v>
      </c>
      <c r="BR1213" s="649">
        <v>2.5999999999999999E-2</v>
      </c>
      <c r="BS1213" s="649">
        <v>2.5999999999999999E-2</v>
      </c>
      <c r="BT1213" s="649">
        <v>-2E-3</v>
      </c>
      <c r="BU1213" s="649">
        <v>3.6999999999999998E-2</v>
      </c>
      <c r="BV1213" s="1060">
        <v>3.5000000000000003E-2</v>
      </c>
      <c r="BW1213" s="407">
        <v>-6.7977801524558457E-2</v>
      </c>
      <c r="BX1213" s="407">
        <v>5.7375599131508581E-2</v>
      </c>
      <c r="BY1213" s="407">
        <v>4.1043862471023873E-2</v>
      </c>
      <c r="BZ1213" s="649">
        <v>-2.8326968013300258E-3</v>
      </c>
      <c r="CA1213" s="1060">
        <f t="shared" ref="CA1213:CJ1213" si="2488">IF(ISNUMBER(CA1212),(1+CA1212)/(1+CA$21)-1,"NM")</f>
      </c>
      <c r="CB1213" s="959">
        <f t="shared" si="2488"/>
      </c>
      <c r="CC1213" s="926">
        <f t="shared" si="2488"/>
      </c>
      <c r="CD1213" s="926">
        <f t="shared" si="2488"/>
      </c>
      <c r="CE1213" s="926">
        <f t="shared" si="2488"/>
      </c>
      <c r="CF1213" s="1060">
        <f t="shared" si="2488"/>
      </c>
      <c r="CG1213" s="926">
        <f t="shared" si="2488"/>
      </c>
      <c r="CH1213" s="926">
        <f t="shared" si="2488"/>
      </c>
      <c r="CI1213" s="926">
        <f t="shared" si="2488"/>
      </c>
      <c r="CJ1213" s="926">
        <f t="shared" si="2488"/>
      </c>
      <c r="CK1213" s="2248">
        <f>CK1212-CK$21</f>
      </c>
      <c r="CL1213" s="926">
        <f>IF(ISNUMBER(CL1212),(1+CL1212)/(1+CL$21)-1,"NM")</f>
      </c>
      <c r="CM1213" s="926">
        <f>IF(ISNUMBER(CM1212),(1+CM1212)/(1+CM$21)-1,"NM")</f>
      </c>
      <c r="CN1213" s="926">
        <f>IF(ISNUMBER(CN1212),(1+CN1212)/(1+CN$21)-1,"NM")</f>
      </c>
      <c r="CO1213" s="926">
        <f>IF(ISNUMBER(CO1212),(1+CO1212)/(1+CO$21)-1,"NM")</f>
      </c>
      <c r="CP1213" s="2248">
        <f>CP1212-CP$21</f>
      </c>
      <c r="CQ1213" s="649">
        <v>4.4999999999999998E-2</v>
      </c>
      <c r="CR1213" s="649">
        <v>-4.2999999999999997E-2</v>
      </c>
      <c r="CS1213" s="407">
        <v>-1E-3</v>
      </c>
      <c r="CT1213" s="407">
        <v>4.0000000000000001E-3</v>
      </c>
      <c r="CU1213" s="406">
        <v>0</v>
      </c>
      <c r="CV1213" s="649">
        <v>-1.2E-2</v>
      </c>
      <c r="CW1213" s="649">
        <v>8.0000000000000002E-3</v>
      </c>
      <c r="CX1213" s="649">
        <v>0.01</v>
      </c>
      <c r="CY1213" s="407">
        <v>1.4E-2</v>
      </c>
      <c r="CZ1213" s="406">
        <v>5.0000000000000001E-3</v>
      </c>
      <c r="DA1213" s="649">
        <v>3.5000000000000003E-2</v>
      </c>
      <c r="DB1213" s="649">
        <v>0.05</v>
      </c>
      <c r="DC1213" s="29">
        <v>5.7000000000000002E-2</v>
      </c>
      <c r="DD1213" s="1479">
        <v>0.03</v>
      </c>
      <c r="DE1213" s="448">
        <v>4.2000000000000003E-2</v>
      </c>
      <c r="DF1213" s="649">
        <v>-8.4000000000000005E-2</v>
      </c>
      <c r="DG1213" s="29">
        <v>-0.373</v>
      </c>
      <c r="DH1213" s="29">
        <v>-8.4000000000000005E-2</v>
      </c>
      <c r="DI1213" s="1482">
        <v>-5.8000000000000003E-2</v>
      </c>
      <c r="DJ1213" s="448">
        <v>-0.151</v>
      </c>
      <c r="DK1213" s="649">
        <v>4.4999999999999998E-2</v>
      </c>
      <c r="DL1213" s="649">
        <v>0.64300000000000002</v>
      </c>
      <c r="DM1213" s="29">
        <v>0.16</v>
      </c>
      <c r="DN1213" s="29">
        <v>6.5000000000000002E-2</v>
      </c>
      <c r="DO1213" s="1060">
        <v>0.189</v>
      </c>
      <c r="DP1213" s="649">
        <v>0.17</v>
      </c>
      <c r="DQ1213" s="649">
        <v>1.7000000000000001E-2</v>
      </c>
      <c r="DR1213" s="29">
        <v>-4.4999999999999998E-2</v>
      </c>
      <c r="DS1213" s="2632">
        <v>4.0000000000000001E-3</v>
      </c>
      <c r="DT1213" s="448">
        <v>3.5999999999999997E-2</v>
      </c>
      <c r="DU1213" s="2632">
        <v>-3.5999999999999997E-2</v>
      </c>
      <c r="DV1213" s="2632">
        <v>1.2E-2</v>
      </c>
      <c r="DW1213" s="2632">
        <v>7.2999999999999995E-2</v>
      </c>
      <c r="DX1213" s="3303">
        <v>-3.9E-2</v>
      </c>
      <c r="DY1213" s="448">
        <v>-1E-3</v>
      </c>
      <c r="DZ1213" s="649">
        <v>3.3000000000000002E-2</v>
      </c>
      <c r="EA1213" s="649">
        <v>6.8000000000000005E-2</v>
      </c>
      <c r="EB1213" s="649">
        <v>-3.2000000000000001E-2</v>
      </c>
      <c r="EC1213" s="3612">
        <v>0.11700000000000001</v>
      </c>
      <c r="ED1213" s="3623">
        <v>4.5999999999999999E-2</v>
      </c>
      <c r="EE1213" s="649">
        <v>-8.0000000000000002E-3</v>
      </c>
      <c r="EF1213" s="649">
        <v>-4.2999999999999997E-2</v>
      </c>
      <c r="EG1213" s="649">
        <v>5.8999999999999997E-2</v>
      </c>
      <c r="EH1213" s="926">
        <f>+EH1212-EH$1370</f>
      </c>
      <c r="EI1213" s="317">
        <v>0.02</v>
      </c>
      <c r="EJ1213" s="836">
        <v>0.03</v>
      </c>
      <c r="EK1213" s="836">
        <v>0.03</v>
      </c>
      <c r="EL1213" s="836">
        <v>2.8000000000000001E-2</v>
      </c>
      <c r="EM1213" s="836">
        <v>0.02</v>
      </c>
      <c r="EN1213" s="836">
        <v>0.02</v>
      </c>
      <c r="EO1213" s="673"/>
      <c r="EP1213" s="673"/>
      <c r="EQ1213" s="673"/>
      <c r="ER1213" s="673"/>
      <c r="ES1213" s="673"/>
      <c r="ET1213" s="673"/>
      <c r="EU1213" s="673"/>
      <c r="EV1213" s="673"/>
      <c r="EW1213" s="673"/>
      <c r="EX1213" s="673"/>
    </row>
    <row r="1214" spans="2:154" ht="12.75" customHeight="1">
      <c r="B1214" s="443" t="s">
        <v>19</v>
      </c>
      <c r="C1214" s="1577"/>
      <c r="D1214" s="933"/>
      <c r="E1214" s="933"/>
      <c r="F1214" s="933"/>
      <c r="G1214" s="933"/>
      <c r="H1214" s="933"/>
      <c r="I1214" s="933"/>
      <c r="J1214" s="933"/>
      <c r="K1214" s="933"/>
      <c r="L1214" s="933"/>
      <c r="M1214" s="933"/>
      <c r="N1214" s="933"/>
      <c r="O1214" s="933"/>
      <c r="P1214" s="933"/>
      <c r="Q1214" s="933"/>
      <c r="R1214" s="933"/>
      <c r="S1214" s="933"/>
      <c r="T1214" s="933"/>
      <c r="U1214" s="933"/>
      <c r="V1214" s="933"/>
      <c r="W1214" s="933"/>
      <c r="X1214" s="1060"/>
      <c r="Y1214" s="933"/>
      <c r="Z1214" s="933"/>
      <c r="AA1214" s="933"/>
      <c r="AB1214" s="933"/>
      <c r="AC1214" s="1060"/>
      <c r="AD1214" s="926" t="str">
        <f>IF(Y1208="NM","NM",IF(AD1208="NM","NM",IF(Y1208&lt;=0,"NM",IF(AD1208=0,"NM",IF(ABS(AD1208/Y1208-1)&gt;2.5,"NM",IF((ABS(AD1208-Y1208)=ABS(ABS(AD1208)-ABS(Y1208))),(AD1208/Y1208-1),"NM"))))))</f>
      </c>
      <c r="AE1214" s="926" t="str">
        <f>IF(Z1208="NM","NM",IF(AE1208="NM","NM",IF(Z1208&lt;=0,"NM",IF(AE1208=0,"NM",IF(ABS(AE1208/Z1208-1)&gt;2.5,"NM",IF((ABS(AE1208-Z1208)=ABS(ABS(AE1208)-ABS(Z1208))),(AE1208/Z1208-1),"NM"))))))</f>
      </c>
      <c r="AF1214" s="926" t="str">
        <f>IF(AA1208="NM","NM",IF(AF1208="NM","NM",IF(AA1208&lt;=0,"NM",IF(AF1208=0,"NM",IF(ABS(AF1208/AA1208-1)&gt;2.5,"NM",IF((ABS(AF1208-AA1208)=ABS(ABS(AF1208)-ABS(AA1208))),(AF1208/AA1208-1),"NM"))))))</f>
      </c>
      <c r="AG1214" s="926" t="str">
        <f>IF(AB1208="NM","NM",IF(AG1208="NM","NM",IF(AB1208&lt;=0,"NM",IF(AG1208=0,"NM",IF(ABS(AG1208/AB1208-1)&gt;2.5,"NM",IF((ABS(AG1208-AB1208)=ABS(ABS(AG1208)-ABS(AB1208))),(AG1208/AB1208-1),"NM"))))))</f>
      </c>
      <c r="AH1214" s="1060" t="str">
        <f>IF(AC1208="NM","NM",IF(AH1208="NM","NM",IF(AC1208&lt;=0,"NM",IF(AH1208=0,"NM",IF(ABS(AH1208/AC1208-1)&gt;2.5,"NM",IF((ABS(AH1208-AC1208)=ABS(ABS(AH1208)-ABS(AC1208))),(AH1208/AC1208-1),"NM"))))))</f>
      </c>
      <c r="AI1214" s="926">
        <f t="shared" ref="AI1214:AR1214" si="2489">IF(AD1208="NM","NM",IF(AI1208="NM","NM",IF(AD1208&lt;=0,"NM",IF(AI1208=0,"NM",IF(ABS(AI1208/AD1208-1)&gt;2.5,"NM",IF((ABS(AI1208-AD1208)=ABS(ABS(AI1208)-ABS(AD1208))),(AI1208/AD1208-1),"NM"))))))</f>
      </c>
      <c r="AJ1214" s="926">
        <f t="shared" si="2489"/>
      </c>
      <c r="AK1214" s="926">
        <f t="shared" si="2489"/>
      </c>
      <c r="AL1214" s="926">
        <f t="shared" si="2489"/>
      </c>
      <c r="AM1214" s="1060">
        <f t="shared" si="2489"/>
      </c>
      <c r="AN1214" s="926">
        <f t="shared" si="2489"/>
      </c>
      <c r="AO1214" s="926">
        <f t="shared" si="2489"/>
      </c>
      <c r="AP1214" s="926">
        <f t="shared" si="2489"/>
      </c>
      <c r="AQ1214" s="926">
        <f t="shared" si="2489"/>
      </c>
      <c r="AR1214" s="1060">
        <f t="shared" si="2489"/>
      </c>
      <c r="AS1214" s="926">
        <f>IF(AN1208="NM","NM",IF(AS1208="NM","NM",IF(AN1208&lt;=0,"NM",IF(AS1208=0,"NM",IF(ABS(AS1208/AN1208-1)&gt;2.5,"NM",IF((ABS(AS1208-AN1208)=ABS(ABS(AS1208)-ABS(AN1208))),(AS1208/AN1208-1),"NM"))))))</f>
      </c>
      <c r="AT1214" s="926">
        <f>IF(AO1208="NM","NM",IF(AT1208="NM","NM",IF(AO1208&lt;=0,"NM",IF(AT1208=0,"NM",IF(ABS(AT1208/AO1208-1)&gt;2.5,"NM",IF((ABS(AT1208-AO1208)=ABS(ABS(AT1208)-ABS(AO1208))),(AT1208/AO1208-1),"NM"))))))</f>
      </c>
      <c r="AU1214" s="926">
        <f>IF(AP1208="NM","NM",IF(AU1208="NM","NM",IF(AP1208&lt;=0,"NM",IF(AU1208=0,"NM",IF(ABS(AU1208/AP1208-1)&gt;2.5,"NM",IF((ABS(AU1208-AP1208)=ABS(ABS(AU1208)-ABS(AP1208))),(AU1208/AP1208-1),"NM"))))))</f>
      </c>
      <c r="AV1214" s="926">
        <f>IF(AQ1208="NM","NM",IF(AV1208="NM","NM",IF(AQ1208&lt;=0,"NM",IF(AV1208=0,"NM",IF(ABS(AV1208/AQ1208-1)&gt;2.5,"NM",IF((ABS(AV1208-AQ1208)=ABS(ABS(AV1208)-ABS(AQ1208))),(AV1208/AQ1208-1),"NM"))))))</f>
      </c>
      <c r="AW1214" s="1060">
        <f>IF(AR1208="NM","NM",IF(AW1208="NM","NM",IF(AR1208&lt;=0,"NM",IF(AW1208=0,"NM",IF(ABS(AW1208/AR1208-1)&gt;2.5,"NM",IF((ABS(AW1208-AR1208)=ABS(ABS(AW1208)-ABS(AR1208))),(AW1208/AR1208-1),"NM"))))))</f>
      </c>
      <c r="AX1214" s="926">
        <f t="shared" ref="AX1214:CF1214" si="2490">IF(AS1208="NM","NM",IF(AX1208="NM","NM",IF(AS1208&lt;=0,"NM",IF(AX1208=0,"NM",IF(ABS(AX1208/AS1208-1)&gt;2.5,"NM",IF((ABS(AX1208-AS1208)=ABS(ABS(AX1208)-ABS(AS1208))),(AX1208/AS1208-1),"NM"))))))</f>
      </c>
      <c r="AY1214" s="926">
        <f t="shared" si="2490"/>
      </c>
      <c r="AZ1214" s="926">
        <f t="shared" si="2490"/>
      </c>
      <c r="BA1214" s="926">
        <f t="shared" si="2490"/>
      </c>
      <c r="BB1214" s="1060">
        <f t="shared" si="2490"/>
      </c>
      <c r="BC1214" s="926">
        <f t="shared" si="2490"/>
      </c>
      <c r="BD1214" s="926">
        <f t="shared" si="2490"/>
      </c>
      <c r="BE1214" s="926">
        <f t="shared" si="2490"/>
      </c>
      <c r="BF1214" s="926">
        <f t="shared" si="2490"/>
      </c>
      <c r="BG1214" s="1060">
        <f t="shared" si="2490"/>
      </c>
      <c r="BH1214" s="926">
        <f t="shared" si="2490"/>
      </c>
      <c r="BI1214" s="926">
        <f t="shared" si="2490"/>
      </c>
      <c r="BJ1214" s="926">
        <f t="shared" si="2490"/>
      </c>
      <c r="BK1214" s="926">
        <f t="shared" si="2490"/>
      </c>
      <c r="BL1214" s="1060">
        <f t="shared" si="2490"/>
      </c>
      <c r="BM1214" s="926">
        <f t="shared" si="2490"/>
      </c>
      <c r="BN1214" s="926">
        <f>IF(BI1208="NM","NM",IF(BN1208="NM","NM",IF(BI1208&lt;=0,"NM",IF(BN1208=0,"NM",IF(ABS(BN1208/BI1208-1)&gt;2.5,"NM",IF((ABS(BN1208-BI1208)=ABS(ABS(BN1208)-ABS(BI1208))),(BN1208/BI1208-1),"NM"))))))</f>
      </c>
      <c r="BO1214" s="926">
        <f>IF(BJ1208="NM","NM",IF(BO1208="NM","NM",IF(BJ1208&lt;=0,"NM",IF(BO1208=0,"NM",IF(ABS(BO1208/BJ1208-1)&gt;2.5,"NM",IF((ABS(BO1208-BJ1208)=ABS(ABS(BO1208)-ABS(BJ1208))),(BO1208/BJ1208-1),"NM"))))))</f>
      </c>
      <c r="BP1214" s="926">
        <f t="shared" si="2490"/>
      </c>
      <c r="BQ1214" s="1060">
        <f t="shared" si="2490"/>
      </c>
      <c r="BR1214" s="926">
        <f t="shared" si="2490"/>
      </c>
      <c r="BS1214" s="926">
        <f t="shared" si="2490"/>
      </c>
      <c r="BT1214" s="926">
        <f t="shared" si="2490"/>
      </c>
      <c r="BU1214" s="926">
        <f t="shared" si="2490"/>
      </c>
      <c r="BV1214" s="1060">
        <f t="shared" si="2490"/>
      </c>
      <c r="BW1214" s="926">
        <f t="shared" si="2490"/>
      </c>
      <c r="BX1214" s="926">
        <f t="shared" si="2490"/>
      </c>
      <c r="BY1214" s="926">
        <f t="shared" si="2490"/>
      </c>
      <c r="BZ1214" s="928">
        <f t="shared" si="2490"/>
      </c>
      <c r="CA1214" s="1060">
        <f t="shared" si="2490"/>
      </c>
      <c r="CB1214" s="926">
        <f t="shared" si="2490"/>
      </c>
      <c r="CC1214" s="926">
        <f t="shared" si="2490"/>
      </c>
      <c r="CD1214" s="926">
        <f t="shared" si="2490"/>
      </c>
      <c r="CE1214" s="926">
        <f t="shared" si="2490"/>
      </c>
      <c r="CF1214" s="1060">
        <f t="shared" si="2490"/>
      </c>
      <c r="CG1214" s="926">
        <f>IF(CG1208&lt;=0,0,(CG1208/CB1208-1))</f>
      </c>
      <c r="CH1214" s="926">
        <f>IF(CH1208&lt;=0,0,(CH1208/CC1208-1))</f>
      </c>
      <c r="CI1214" s="926">
        <f>IF(CI1208&lt;=0,0,(CI1208/CD1208-1))</f>
      </c>
      <c r="CJ1214" s="926">
        <f>IF(CJ1208&lt;=0,0,(CJ1208/CE1208-1))</f>
      </c>
      <c r="CK1214" s="1060">
        <f>IF(CF1208=0, "NA", CK1208/CF1208-1)</f>
      </c>
      <c r="CL1214" s="926">
        <f>IF(CL1208&lt;=0,0,(CL1208/CG1208-1))</f>
      </c>
      <c r="CM1214" s="926">
        <f>IF(CM1208&lt;=0,0,(CM1208/CH1208-1))</f>
      </c>
      <c r="CN1214" s="926">
        <f>IF(CN1208&lt;=0,0,(CN1208/CI1208-1))</f>
      </c>
      <c r="CO1214" s="926">
        <f>IF(CO1208&lt;=0,0,(CO1208/CJ1208-1))</f>
      </c>
      <c r="CP1214" s="1060">
        <f>IF(CK1208=0, "NA", CP1208/CK1208-1)</f>
      </c>
      <c r="CQ1214" s="926">
        <f>IF(CQ1208&lt;=0,0,(CQ1208/CL1208-1))</f>
      </c>
      <c r="CR1214" s="926">
        <f>IF(CR1208&lt;=0,0,(CR1208/CM1208-1))</f>
      </c>
      <c r="CS1214" s="926">
        <f>IF(CS1208&lt;=0,0,(CS1208/CN1208-1))</f>
      </c>
      <c r="CT1214" s="926">
        <f>IF(CT1208&lt;=0,0,(CT1208/CO1208-1))</f>
      </c>
      <c r="CU1214" s="1060">
        <f>IF(CP1208=0, "NA", CU1208/CP1208-1)</f>
      </c>
      <c r="CV1214" s="926">
        <f>IF(CV1208&lt;=0,0,(CV1208/CQ1208-1))</f>
      </c>
      <c r="CW1214" s="926">
        <f>IF(CW1208&lt;=0,0,(CW1208/CR1208-1))</f>
      </c>
      <c r="CX1214" s="926">
        <f>IF(CX1208&lt;=0,0,(CX1208/CS1208-1))</f>
      </c>
      <c r="CY1214" s="926">
        <f>IF(CY1208&lt;=0,0,(CY1208/CT1208-1))</f>
      </c>
      <c r="CZ1214" s="1060">
        <f>IF(CU1208=0, "NA", CZ1208/CU1208-1)</f>
      </c>
      <c r="DA1214" s="926">
        <f>IF(DA1208&lt;=0,0,(DA1208/CV1208-1))</f>
      </c>
      <c r="DB1214" s="926">
        <f>IF(DB1208&lt;=0,0,(DB1208/CW1208-1))</f>
      </c>
      <c r="DC1214" s="926">
        <f>IF(CX1208=0, "NA", DC1208/CX1208-1)</f>
      </c>
      <c r="DD1214" s="928">
        <f>IF(CY1208=0, "NM", DD1208/CY1208-1)</f>
      </c>
      <c r="DE1214" s="1060">
        <f>IF(CZ1208=0, "NA", DE1208/CZ1208-1)</f>
      </c>
      <c r="DF1214" s="926">
        <f>IF(DA1208=0, "NA", DF1208/DA1208-1)</f>
      </c>
      <c r="DG1214" s="926">
        <f>IF(DB1208=0, "NA", DG1208/DB1208-1)</f>
      </c>
      <c r="DH1214" s="926">
        <f>IF(DC1208=0, "NA", DH1208/DC1208-1)</f>
      </c>
      <c r="DI1214" s="928">
        <f>IF(DD1208=0, "NM", DI1208/DD1208-1)</f>
      </c>
      <c r="DJ1214" s="1060">
        <f>IF(DE1208=0, "NA", DJ1208/DE1208-1)</f>
      </c>
      <c r="DK1214" s="926">
        <f t="shared" ref="DK1214:EF1214" si="2491">IF(DF1208=0, "NA", DK1208/DF1208-1)</f>
      </c>
      <c r="DL1214" s="926">
        <f t="shared" si="2491"/>
      </c>
      <c r="DM1214" s="926">
        <f t="shared" si="2491"/>
      </c>
      <c r="DN1214" s="926">
        <f t="shared" si="2491"/>
      </c>
      <c r="DO1214" s="1060">
        <f t="shared" si="2491"/>
      </c>
      <c r="DP1214" s="1221">
        <f t="shared" si="2491"/>
      </c>
      <c r="DQ1214" s="1221">
        <f t="shared" si="2491"/>
      </c>
      <c r="DR1214" s="1221">
        <f t="shared" si="2491"/>
      </c>
      <c r="DS1214" s="1221">
        <f t="shared" si="2491"/>
      </c>
      <c r="DT1214" s="1060">
        <f t="shared" si="2491"/>
      </c>
      <c r="DU1214" s="926">
        <f t="shared" si="2491"/>
      </c>
      <c r="DV1214" s="926">
        <f t="shared" si="2491"/>
      </c>
      <c r="DW1214" s="926">
        <f t="shared" si="2491"/>
      </c>
      <c r="DX1214" s="928">
        <f t="shared" si="2491"/>
      </c>
      <c r="DY1214" s="1060">
        <f t="shared" si="2491"/>
      </c>
      <c r="DZ1214" s="926">
        <f t="shared" si="2491"/>
      </c>
      <c r="EA1214" s="926">
        <f t="shared" si="2491"/>
      </c>
      <c r="EB1214" s="926">
        <f t="shared" si="2491"/>
      </c>
      <c r="EC1214" s="1235">
        <f t="shared" si="2491"/>
      </c>
      <c r="ED1214" s="1536">
        <f t="shared" si="2491"/>
      </c>
      <c r="EE1214" s="926">
        <f t="shared" si="2491"/>
      </c>
      <c r="EF1214" s="926">
        <f t="shared" si="2491"/>
      </c>
      <c r="EG1214" s="926">
        <f t="shared" ref="EG1214:EH1214" si="2492">IF(EB1208=0, "NA", EG1208/EB1208-1)</f>
      </c>
      <c r="EH1214" s="926">
        <f t="shared" si="2492"/>
      </c>
      <c r="EI1214" s="1060">
        <f>EI1208/ED1208-1</f>
      </c>
      <c r="EJ1214" s="928">
        <f t="shared" ref="EJ1214:EN1214" si="2493">EJ1208/EI1208-1</f>
      </c>
      <c r="EK1214" s="1060">
        <f t="shared" si="2493"/>
      </c>
      <c r="EL1214" s="1060">
        <f t="shared" si="2493"/>
      </c>
      <c r="EM1214" s="1060">
        <f t="shared" si="2493"/>
      </c>
      <c r="EN1214" s="1060">
        <f t="shared" si="2493"/>
      </c>
      <c r="EO1214" s="1060"/>
      <c r="EP1214" s="1060"/>
      <c r="EQ1214" s="1060"/>
      <c r="ER1214" s="1060"/>
      <c r="ES1214" s="1060"/>
      <c r="ET1214" s="1060"/>
      <c r="EU1214" s="1060"/>
      <c r="EV1214" s="1060"/>
      <c r="EW1214" s="1060"/>
      <c r="EX1214" s="1060"/>
    </row>
    <row r="1215" spans="2:154" ht="12.75" customHeight="1">
      <c r="B1215" s="443" t="s">
        <v>848</v>
      </c>
      <c r="C1215" s="1577"/>
      <c r="D1215" s="933"/>
      <c r="E1215" s="933"/>
      <c r="F1215" s="933"/>
      <c r="G1215" s="933"/>
      <c r="H1215" s="933"/>
      <c r="I1215" s="933"/>
      <c r="J1215" s="933"/>
      <c r="K1215" s="933"/>
      <c r="L1215" s="933"/>
      <c r="M1215" s="933"/>
      <c r="N1215" s="933"/>
      <c r="O1215" s="933"/>
      <c r="P1215" s="933"/>
      <c r="Q1215" s="933"/>
      <c r="R1215" s="933"/>
      <c r="S1215" s="933"/>
      <c r="T1215" s="933"/>
      <c r="U1215" s="933"/>
      <c r="V1215" s="933"/>
      <c r="W1215" s="933"/>
      <c r="X1215" s="1060"/>
      <c r="Y1215" s="933"/>
      <c r="Z1215" s="933"/>
      <c r="AA1215" s="933"/>
      <c r="AB1215" s="933"/>
      <c r="AC1215" s="1060"/>
      <c r="AD1215" s="926"/>
      <c r="AE1215" s="926"/>
      <c r="AF1215" s="926"/>
      <c r="AG1215" s="926"/>
      <c r="AH1215" s="1060"/>
      <c r="AI1215" s="926"/>
      <c r="AJ1215" s="926"/>
      <c r="AK1215" s="926"/>
      <c r="AL1215" s="926"/>
      <c r="AM1215" s="1060"/>
      <c r="AN1215" s="926"/>
      <c r="AO1215" s="926"/>
      <c r="AP1215" s="926"/>
      <c r="AQ1215" s="926"/>
      <c r="AR1215" s="1060"/>
      <c r="AS1215" s="926"/>
      <c r="AT1215" s="926"/>
      <c r="AU1215" s="926"/>
      <c r="AV1215" s="926"/>
      <c r="AW1215" s="1060"/>
      <c r="AX1215" s="926"/>
      <c r="AY1215" s="926"/>
      <c r="AZ1215" s="926"/>
      <c r="BA1215" s="926"/>
      <c r="BB1215" s="1060"/>
      <c r="BC1215" s="926"/>
      <c r="BD1215" s="926"/>
      <c r="BE1215" s="926"/>
      <c r="BF1215" s="926"/>
      <c r="BG1215" s="1060"/>
      <c r="BH1215" s="926"/>
      <c r="BI1215" s="926"/>
      <c r="BJ1215" s="926"/>
      <c r="BK1215" s="926"/>
      <c r="BL1215" s="1060"/>
      <c r="BM1215" s="926"/>
      <c r="BN1215" s="926"/>
      <c r="BO1215" s="926"/>
      <c r="BP1215" s="926"/>
      <c r="BQ1215" s="1060"/>
      <c r="BR1215" s="926"/>
      <c r="BS1215" s="926"/>
      <c r="BT1215" s="926"/>
      <c r="BU1215" s="926"/>
      <c r="BV1215" s="1060"/>
      <c r="BW1215" s="926"/>
      <c r="BX1215" s="926"/>
      <c r="BY1215" s="926"/>
      <c r="BZ1215" s="926"/>
      <c r="CA1215" s="1060"/>
      <c r="CB1215" s="926"/>
      <c r="CC1215" s="926"/>
      <c r="CD1215" s="926"/>
      <c r="CE1215" s="926"/>
      <c r="CF1215" s="1060"/>
      <c r="CG1215" s="926"/>
      <c r="CH1215" s="926"/>
      <c r="CI1215" s="926"/>
      <c r="CJ1215" s="926"/>
      <c r="CK1215" s="1060"/>
      <c r="CL1215" s="926"/>
      <c r="CM1215" s="926"/>
      <c r="CN1215" s="926"/>
      <c r="CO1215" s="926"/>
      <c r="CP1215" s="1060"/>
      <c r="CQ1215" s="649">
        <v>3.5000000000000003E-2</v>
      </c>
      <c r="CR1215" s="649">
        <v>1.2999999999999999E-2</v>
      </c>
      <c r="CS1215" s="649">
        <v>1.4999999999999999E-2</v>
      </c>
      <c r="CT1215" s="649">
        <v>2.1999999999999999E-2</v>
      </c>
      <c r="CU1215" s="448">
        <v>2.1000000000000001E-2</v>
      </c>
      <c r="CV1215" s="649">
        <v>-5.0000000000000001E-3</v>
      </c>
      <c r="CW1215" s="649">
        <v>1.2E-2</v>
      </c>
      <c r="CX1215" s="649">
        <v>2.1999999999999999E-2</v>
      </c>
      <c r="CY1215" s="649">
        <v>0.02</v>
      </c>
      <c r="CZ1215" s="448">
        <v>1.2E-2</v>
      </c>
      <c r="DA1215" s="649">
        <v>2.7E-2</v>
      </c>
      <c r="DB1215" s="649">
        <v>3.3000000000000002E-2</v>
      </c>
      <c r="DC1215" s="649">
        <v>2.9000000000000001E-2</v>
      </c>
      <c r="DD1215" s="1482">
        <v>4.2000000000000003E-2</v>
      </c>
      <c r="DE1215" s="448">
        <v>3.3000000000000002E-2</v>
      </c>
      <c r="DF1215" s="649">
        <v>-5.6000000000000001E-2</v>
      </c>
      <c r="DG1215" s="649">
        <v>-0.36799999999999999</v>
      </c>
      <c r="DH1215" s="649">
        <v>1.9E-2</v>
      </c>
      <c r="DI1215" s="1482">
        <v>-2.7E-2</v>
      </c>
      <c r="DJ1215" s="448">
        <v>-0.11</v>
      </c>
      <c r="DK1215" s="649">
        <v>3.2000000000000001E-2</v>
      </c>
      <c r="DL1215" s="649">
        <v>0.68100000000000005</v>
      </c>
      <c r="DM1215" s="649">
        <v>2.3E-2</v>
      </c>
      <c r="DN1215" s="649">
        <v>2.7E-2</v>
      </c>
      <c r="DO1215" s="448">
        <v>0.14299999999999999</v>
      </c>
      <c r="DP1215" s="2959">
        <v>0.113</v>
      </c>
      <c r="DQ1215" s="2959">
        <v>2.7E-2</v>
      </c>
      <c r="DR1215" s="2959">
        <v>3.5000000000000003E-2</v>
      </c>
      <c r="DS1215" s="2959">
        <v>0.06</v>
      </c>
      <c r="DT1215" s="448">
        <v>5.8000000000000003E-2</v>
      </c>
      <c r="DU1215" s="649">
        <v>2.7E-2</v>
      </c>
      <c r="DV1215" s="649">
        <v>0.03</v>
      </c>
      <c r="DW1215" s="649">
        <v>5.8000000000000003E-2</v>
      </c>
      <c r="DX1215" s="1482">
        <v>2.7E-2</v>
      </c>
      <c r="DY1215" s="448">
        <v>3.5000000000000003E-2</v>
      </c>
      <c r="DZ1215" s="649">
        <v>8.6999999999999994E-2</v>
      </c>
      <c r="EA1215" s="649">
        <v>6.2E-2</v>
      </c>
      <c r="EB1215" s="649">
        <v>1.9E-2</v>
      </c>
      <c r="EC1215" s="3610">
        <v>5.6000000000000001E-2</v>
      </c>
      <c r="ED1215" s="3623">
        <v>5.6000000000000001E-2</v>
      </c>
      <c r="EE1215" s="649">
        <v>-1.9E-2</v>
      </c>
      <c r="EF1215" s="649">
        <v>-2E-3</v>
      </c>
      <c r="EG1215" s="649">
        <v>5.0999999999999997E-2</v>
      </c>
      <c r="EH1215" s="926">
        <f t="shared" ref="EH1215:EI1215" si="2494">(EC1207*EH1213+EC1206*EH1211)/(EC1208)</f>
      </c>
      <c r="EI1215" s="1060">
        <f t="shared" si="2494"/>
      </c>
      <c r="EJ1215" s="928">
        <f t="shared" ref="EJ1215:EN1215" si="2495">(EI1207*EJ1213+EI1206*EJ1211)/(EI1208)</f>
      </c>
      <c r="EK1215" s="928">
        <f t="shared" si="2495"/>
      </c>
      <c r="EL1215" s="928">
        <f t="shared" si="2495"/>
      </c>
      <c r="EM1215" s="928">
        <f t="shared" si="2495"/>
      </c>
      <c r="EN1215" s="928">
        <f t="shared" si="2495"/>
      </c>
      <c r="EO1215" s="1060"/>
      <c r="EP1215" s="1060"/>
      <c r="EQ1215" s="1060"/>
      <c r="ER1215" s="1060"/>
      <c r="ES1215" s="1060"/>
      <c r="ET1215" s="1060"/>
      <c r="EU1215" s="1060"/>
      <c r="EV1215" s="1060"/>
      <c r="EW1215" s="1060"/>
      <c r="EX1215" s="1060"/>
    </row>
    <row r="1216" spans="2:154" ht="12.75" customHeight="1">
      <c r="B1216" s="442"/>
      <c r="C1216" s="1577"/>
      <c r="D1216" s="933"/>
      <c r="E1216" s="933"/>
      <c r="F1216" s="933"/>
      <c r="G1216" s="933"/>
      <c r="H1216" s="933"/>
      <c r="I1216" s="933"/>
      <c r="J1216" s="933"/>
      <c r="K1216" s="933"/>
      <c r="L1216" s="933"/>
      <c r="M1216" s="933"/>
      <c r="N1216" s="933"/>
      <c r="O1216" s="933"/>
      <c r="P1216" s="933"/>
      <c r="Q1216" s="933"/>
      <c r="R1216" s="933"/>
      <c r="S1216" s="933"/>
      <c r="T1216" s="933"/>
      <c r="U1216" s="933"/>
      <c r="V1216" s="933"/>
      <c r="W1216" s="933"/>
      <c r="X1216" s="1061"/>
      <c r="Y1216" s="933"/>
      <c r="Z1216" s="933"/>
      <c r="AA1216" s="933"/>
      <c r="AB1216" s="933"/>
      <c r="AC1216" s="1061"/>
      <c r="AD1216" s="933"/>
      <c r="AE1216" s="933"/>
      <c r="AF1216" s="933"/>
      <c r="AG1216" s="933"/>
      <c r="AH1216" s="1061"/>
      <c r="AI1216" s="933"/>
      <c r="AJ1216" s="933"/>
      <c r="AK1216" s="933"/>
      <c r="AL1216" s="933"/>
      <c r="AM1216" s="1061"/>
      <c r="AN1216" s="933"/>
      <c r="AO1216" s="933"/>
      <c r="AP1216" s="933"/>
      <c r="AQ1216" s="933"/>
      <c r="AR1216" s="1061"/>
      <c r="AS1216" s="933"/>
      <c r="AT1216" s="933"/>
      <c r="AU1216" s="933"/>
      <c r="AV1216" s="933"/>
      <c r="AW1216" s="1061"/>
      <c r="AX1216" s="933"/>
      <c r="AY1216" s="933"/>
      <c r="AZ1216" s="933"/>
      <c r="BA1216" s="933"/>
      <c r="BB1216" s="1061"/>
      <c r="BC1216" s="943"/>
      <c r="BD1216" s="933"/>
      <c r="BE1216" s="933"/>
      <c r="BF1216" s="933"/>
      <c r="BG1216" s="1061"/>
      <c r="BH1216" s="933"/>
      <c r="BI1216" s="933"/>
      <c r="BJ1216" s="933"/>
      <c r="BK1216" s="933"/>
      <c r="BL1216" s="1061"/>
      <c r="BM1216" s="933"/>
      <c r="BN1216" s="933"/>
      <c r="BO1216" s="933"/>
      <c r="BP1216" s="933"/>
      <c r="BQ1216" s="1061"/>
      <c r="BR1216" s="933"/>
      <c r="BS1216" s="933"/>
      <c r="BT1216" s="933"/>
      <c r="BU1216" s="933"/>
      <c r="BV1216" s="1061"/>
      <c r="BW1216" s="933"/>
      <c r="BX1216" s="933"/>
      <c r="BY1216" s="933"/>
      <c r="BZ1216" s="933"/>
      <c r="CA1216" s="1061"/>
      <c r="CB1216" s="933"/>
      <c r="CC1216" s="933"/>
      <c r="CD1216" s="933"/>
      <c r="CE1216" s="933"/>
      <c r="CF1216" s="1061"/>
      <c r="CG1216" s="933"/>
      <c r="CH1216" s="933"/>
      <c r="CI1216" s="933"/>
      <c r="CJ1216" s="933"/>
      <c r="CK1216" s="1061"/>
      <c r="CL1216" s="961"/>
      <c r="CM1216" s="933"/>
      <c r="CN1216" s="933"/>
      <c r="CO1216" s="933"/>
      <c r="CP1216" s="1061"/>
      <c r="CQ1216" s="933"/>
      <c r="CR1216" s="933"/>
      <c r="CS1216" s="933"/>
      <c r="CT1216" s="933"/>
      <c r="CU1216" s="1061"/>
      <c r="CV1216" s="933"/>
      <c r="CW1216" s="933"/>
      <c r="CX1216" s="933"/>
      <c r="CY1216" s="933"/>
      <c r="CZ1216" s="1061"/>
      <c r="DA1216" s="933"/>
      <c r="DB1216" s="933"/>
      <c r="DC1216" s="933"/>
      <c r="DD1216" s="962"/>
      <c r="DE1216" s="1866"/>
      <c r="DF1216" s="982"/>
      <c r="DG1216" s="982"/>
      <c r="DH1216" s="982"/>
      <c r="DI1216" s="1875"/>
      <c r="DJ1216" s="1866"/>
      <c r="DK1216" s="982"/>
      <c r="DL1216" s="982"/>
      <c r="DM1216" s="982"/>
      <c r="DN1216" s="982"/>
      <c r="DO1216" s="1866"/>
      <c r="DP1216" s="982"/>
      <c r="DQ1216" s="982"/>
      <c r="DR1216" s="982"/>
      <c r="DS1216" s="982"/>
      <c r="DT1216" s="1866"/>
      <c r="DU1216" s="982"/>
      <c r="DV1216" s="926"/>
      <c r="DW1216" s="926"/>
      <c r="DX1216" s="928"/>
      <c r="DY1216" s="1866"/>
      <c r="DZ1216" s="982"/>
      <c r="EA1216" s="982"/>
      <c r="EB1216" s="982"/>
      <c r="EC1216" s="1235"/>
      <c r="ED1216" s="1863"/>
      <c r="EE1216" s="982"/>
      <c r="EF1216" s="982"/>
      <c r="EG1216" s="982"/>
      <c r="EH1216" s="982"/>
      <c r="EI1216" s="3005"/>
      <c r="EJ1216" s="1875"/>
      <c r="EK1216" s="1866"/>
      <c r="EL1216" s="1866"/>
      <c r="EM1216" s="1866"/>
      <c r="EN1216" s="1866"/>
      <c r="EO1216" s="1866"/>
      <c r="EP1216" s="1866"/>
      <c r="EQ1216" s="1866"/>
      <c r="ER1216" s="1866"/>
      <c r="ES1216" s="1866"/>
      <c r="ET1216" s="1866"/>
      <c r="EU1216" s="1866"/>
      <c r="EV1216" s="1866"/>
      <c r="EW1216" s="1866"/>
      <c r="EX1216" s="1866"/>
    </row>
    <row r="1217" spans="2:154" ht="12.75" customHeight="1">
      <c r="B1217" s="436" t="s">
        <v>524</v>
      </c>
      <c r="C1217" s="1577"/>
      <c r="D1217" s="933"/>
      <c r="E1217" s="933"/>
      <c r="F1217" s="933"/>
      <c r="G1217" s="933"/>
      <c r="H1217" s="933"/>
      <c r="I1217" s="31"/>
      <c r="J1217" s="933"/>
      <c r="K1217" s="933"/>
      <c r="L1217" s="933"/>
      <c r="M1217" s="933"/>
      <c r="N1217" s="31"/>
      <c r="O1217" s="31"/>
      <c r="P1217" s="31"/>
      <c r="Q1217" s="31"/>
      <c r="R1217" s="31"/>
      <c r="S1217" s="31"/>
      <c r="T1217" s="31"/>
      <c r="U1217" s="31"/>
      <c r="V1217" s="31"/>
      <c r="W1217" s="31"/>
      <c r="X1217" s="313"/>
      <c r="Y1217" s="31"/>
      <c r="Z1217" s="31"/>
      <c r="AA1217" s="31"/>
      <c r="AB1217" s="31"/>
      <c r="AC1217" s="313"/>
      <c r="AD1217" s="31"/>
      <c r="AE1217" s="31"/>
      <c r="AF1217" s="31"/>
      <c r="AG1217" s="31"/>
      <c r="AH1217" s="313"/>
      <c r="AI1217" s="933"/>
      <c r="AJ1217" s="933"/>
      <c r="AK1217" s="933"/>
      <c r="AL1217" s="31"/>
      <c r="AM1217" s="313"/>
      <c r="AN1217" s="933"/>
      <c r="AO1217" s="933"/>
      <c r="AP1217" s="933"/>
      <c r="AQ1217" s="31"/>
      <c r="AR1217" s="313"/>
      <c r="AS1217" s="933"/>
      <c r="AT1217" s="933"/>
      <c r="AU1217" s="933"/>
      <c r="AV1217" s="31"/>
      <c r="AW1217" s="313"/>
      <c r="AX1217" s="933"/>
      <c r="AY1217" s="933"/>
      <c r="AZ1217" s="933"/>
      <c r="BA1217" s="933"/>
      <c r="BB1217" s="313"/>
      <c r="BC1217" s="933"/>
      <c r="BD1217" s="933"/>
      <c r="BE1217" s="933"/>
      <c r="BF1217" s="933"/>
      <c r="BG1217" s="313"/>
      <c r="BH1217" s="933"/>
      <c r="BI1217" s="933"/>
      <c r="BJ1217" s="933"/>
      <c r="BK1217" s="933"/>
      <c r="BL1217" s="313"/>
      <c r="BM1217" s="933"/>
      <c r="BN1217" s="933"/>
      <c r="BO1217" s="933"/>
      <c r="BP1217" s="933"/>
      <c r="BQ1217" s="313"/>
      <c r="BR1217" s="933"/>
      <c r="BS1217" s="933"/>
      <c r="BT1217" s="933"/>
      <c r="BU1217" s="933"/>
      <c r="BV1217" s="313"/>
      <c r="BW1217" s="933"/>
      <c r="BX1217" s="933"/>
      <c r="BY1217" s="933"/>
      <c r="BZ1217" s="933"/>
      <c r="CA1217" s="313"/>
      <c r="CB1217" s="933"/>
      <c r="CC1217" s="933"/>
      <c r="CD1217" s="933"/>
      <c r="CE1217" s="933"/>
      <c r="CF1217" s="313"/>
      <c r="CG1217" s="933"/>
      <c r="CH1217" s="933"/>
      <c r="CI1217" s="933"/>
      <c r="CJ1217" s="933"/>
      <c r="CK1217" s="313"/>
      <c r="CL1217" s="961"/>
      <c r="CM1217" s="933"/>
      <c r="CN1217" s="933"/>
      <c r="CO1217" s="933"/>
      <c r="CP1217" s="313"/>
      <c r="CQ1217" s="933"/>
      <c r="CR1217" s="933"/>
      <c r="CS1217" s="933"/>
      <c r="CT1217" s="933"/>
      <c r="CU1217" s="313"/>
      <c r="CV1217" s="933"/>
      <c r="CW1217" s="933"/>
      <c r="CX1217" s="933"/>
      <c r="CY1217" s="933"/>
      <c r="CZ1217" s="313"/>
      <c r="DA1217" s="31"/>
      <c r="DB1217" s="31"/>
      <c r="DC1217" s="31"/>
      <c r="DD1217" s="955"/>
      <c r="DE1217" s="477"/>
      <c r="DF1217" s="603"/>
      <c r="DG1217" s="603"/>
      <c r="DH1217" s="603"/>
      <c r="DI1217" s="1798"/>
      <c r="DJ1217" s="477"/>
      <c r="DK1217" s="603"/>
      <c r="DL1217" s="603"/>
      <c r="DM1217" s="603"/>
      <c r="DN1217" s="603"/>
      <c r="DO1217" s="477"/>
      <c r="DP1217" s="603"/>
      <c r="DQ1217" s="603"/>
      <c r="DR1217" s="603"/>
      <c r="DS1217" s="603"/>
      <c r="DT1217" s="477"/>
      <c r="DU1217" s="603"/>
      <c r="DV1217" s="603"/>
      <c r="DW1217" s="603"/>
      <c r="DX1217" s="1798"/>
      <c r="DY1217" s="477"/>
      <c r="DZ1217" s="982"/>
      <c r="EA1217" s="982"/>
      <c r="EB1217" s="982"/>
      <c r="EC1217" s="1837"/>
      <c r="ED1217" s="1811"/>
      <c r="EE1217" s="982"/>
      <c r="EF1217" s="982"/>
      <c r="EG1217" s="982"/>
      <c r="EH1217" s="982"/>
      <c r="EI1217" s="3005"/>
      <c r="EJ1217" s="1798"/>
      <c r="EK1217" s="477"/>
      <c r="EL1217" s="477"/>
      <c r="EM1217" s="477"/>
      <c r="EN1217" s="477"/>
      <c r="EO1217" s="477"/>
      <c r="EP1217" s="477"/>
      <c r="EQ1217" s="477"/>
      <c r="ER1217" s="477"/>
      <c r="ES1217" s="477"/>
      <c r="ET1217" s="477"/>
      <c r="EU1217" s="477"/>
      <c r="EV1217" s="477"/>
      <c r="EW1217" s="477"/>
      <c r="EX1217" s="477"/>
    </row>
    <row r="1218" spans="2:154" ht="12.75" customHeight="1">
      <c r="B1218" s="437" t="s">
        <v>187</v>
      </c>
      <c r="C1218" s="1577"/>
      <c r="D1218" s="933"/>
      <c r="E1218" s="933"/>
      <c r="F1218" s="933"/>
      <c r="G1218" s="933"/>
      <c r="H1218" s="933"/>
      <c r="I1218" s="933"/>
      <c r="J1218" s="933"/>
      <c r="K1218" s="933"/>
      <c r="L1218" s="933"/>
      <c r="M1218" s="933"/>
      <c r="N1218" s="933"/>
      <c r="O1218" s="933"/>
      <c r="P1218" s="933"/>
      <c r="Q1218" s="933"/>
      <c r="R1218" s="933"/>
      <c r="S1218" s="933"/>
      <c r="T1218" s="933"/>
      <c r="U1218" s="933"/>
      <c r="V1218" s="933"/>
      <c r="W1218" s="933"/>
      <c r="X1218" s="1061"/>
      <c r="Y1218" s="933">
        <f t="shared" ref="Y1218:AA1219" si="2496">+AD1218/(1+AD1223)</f>
      </c>
      <c r="Z1218" s="933">
        <f t="shared" si="2496"/>
      </c>
      <c r="AA1218" s="933">
        <f t="shared" si="2496"/>
      </c>
      <c r="AB1218" s="933">
        <f>+AC1218-SUM(Y1218:AA1218)</f>
      </c>
      <c r="AC1218" s="1061">
        <f t="shared" ref="AC1218:AG1219" si="2497">+AH1218/(1+AH1223)</f>
      </c>
      <c r="AD1218" s="933">
        <f t="shared" si="2497"/>
      </c>
      <c r="AE1218" s="933">
        <f t="shared" si="2497"/>
      </c>
      <c r="AF1218" s="933">
        <f t="shared" si="2497"/>
      </c>
      <c r="AG1218" s="933">
        <f t="shared" si="2497"/>
      </c>
      <c r="AH1218" s="1061">
        <f>SUM(AD1218:AG1218)</f>
      </c>
      <c r="AI1218" s="933">
        <f t="shared" ref="AI1218:AL1219" si="2498">+AN1218/(1+AN1223)</f>
      </c>
      <c r="AJ1218" s="933">
        <f t="shared" si="2498"/>
      </c>
      <c r="AK1218" s="933">
        <f t="shared" si="2498"/>
      </c>
      <c r="AL1218" s="933">
        <f t="shared" si="2498"/>
      </c>
      <c r="AM1218" s="1061">
        <f>SUM(AI1218:AL1218)</f>
      </c>
      <c r="AN1218" s="933">
        <f t="shared" ref="AN1218:AQ1219" si="2499">+AS1218/(1+AS1223)</f>
      </c>
      <c r="AO1218" s="933">
        <f t="shared" si="2499"/>
      </c>
      <c r="AP1218" s="933">
        <f t="shared" si="2499"/>
      </c>
      <c r="AQ1218" s="933">
        <f t="shared" si="2499"/>
      </c>
      <c r="AR1218" s="1061">
        <f>SUM(AN1218:AQ1218)</f>
      </c>
      <c r="AS1218" s="933">
        <f t="shared" ref="AS1218:AV1219" si="2500">+AX1218/(1+AX1223)</f>
      </c>
      <c r="AT1218" s="933">
        <f t="shared" si="2500"/>
      </c>
      <c r="AU1218" s="933">
        <f t="shared" si="2500"/>
      </c>
      <c r="AV1218" s="933">
        <f t="shared" si="2500"/>
      </c>
      <c r="AW1218" s="1061">
        <f>SUM(AS1218:AV1218)</f>
      </c>
      <c r="AX1218" s="933">
        <v>204</v>
      </c>
      <c r="AY1218" s="933">
        <v>190.3611361881668</v>
      </c>
      <c r="AZ1218" s="933">
        <v>174.7388638118332</v>
      </c>
      <c r="BA1218" s="933">
        <v>187</v>
      </c>
      <c r="BB1218" s="1061">
        <f>+SUM(AX1218:BA1218)</f>
      </c>
      <c r="BC1218" s="933">
        <f>+(1+BC1223)*AX1218</f>
      </c>
      <c r="BD1218" s="33">
        <v>200</v>
      </c>
      <c r="BE1218" s="933">
        <f>+(1+BE1223)*AZ1218</f>
      </c>
      <c r="BF1218" s="33">
        <v>203.83</v>
      </c>
      <c r="BG1218" s="313">
        <f>SUM(BC1218:BF1218)</f>
      </c>
      <c r="BH1218" s="33">
        <v>233.58815999999999</v>
      </c>
      <c r="BI1218" s="33">
        <v>206.6</v>
      </c>
      <c r="BJ1218" s="33">
        <v>187.14532314247336</v>
      </c>
      <c r="BK1218" s="33">
        <f>BF1218*0.96</f>
      </c>
      <c r="BL1218" s="313">
        <f>SUM(BH1218:BK1218)</f>
      </c>
      <c r="BM1218" s="33">
        <f>BH1218*(1-6.4%)</f>
      </c>
      <c r="BN1218" s="33">
        <f>BI1218*0.954</f>
      </c>
      <c r="BO1218" s="33">
        <f>BJ1218*0.933</f>
      </c>
      <c r="BP1218" s="33">
        <f>BK1218*0.954</f>
      </c>
      <c r="BQ1218" s="313">
        <f>SUM(BM1218:BP1218)</f>
      </c>
      <c r="BR1218" s="352">
        <f>BM1218*(1+2.3%)</f>
      </c>
      <c r="BS1218" s="352">
        <f>BN1218*(1+0.026)</f>
      </c>
      <c r="BT1218" s="352">
        <f>BO1218*(1+0.057)</f>
      </c>
      <c r="BU1218" s="352">
        <f>BP1218*(1+0.044)</f>
      </c>
      <c r="BV1218" s="1061">
        <f>SUM(BR1218:BU1218)</f>
      </c>
      <c r="BW1218" s="933">
        <f t="shared" ref="BW1218:BZ1219" si="2501">+(1+BW1223)*BR1218</f>
      </c>
      <c r="BX1218" s="933">
        <f t="shared" si="2501"/>
      </c>
      <c r="BY1218" s="933">
        <f t="shared" si="2501"/>
      </c>
      <c r="BZ1218" s="933">
        <f t="shared" si="2501"/>
      </c>
      <c r="CA1218" s="313">
        <f>SUM(BW1218:BZ1218)</f>
      </c>
      <c r="CB1218" s="352">
        <v>221</v>
      </c>
      <c r="CC1218" s="352">
        <v>210</v>
      </c>
      <c r="CD1218" s="352">
        <v>211</v>
      </c>
      <c r="CE1218" s="352">
        <v>236</v>
      </c>
      <c r="CF1218" s="1061">
        <f>SUM(CB1218:CE1218)</f>
      </c>
      <c r="CG1218" s="352">
        <v>226</v>
      </c>
      <c r="CH1218" s="352">
        <v>222</v>
      </c>
      <c r="CI1218" s="352">
        <v>214</v>
      </c>
      <c r="CJ1218" s="352">
        <v>254</v>
      </c>
      <c r="CK1218" s="1061">
        <f>SUM(CG1218:CJ1218)</f>
      </c>
      <c r="CL1218" s="352">
        <v>244</v>
      </c>
      <c r="CM1218" s="352">
        <v>229</v>
      </c>
      <c r="CN1218" s="352">
        <v>223</v>
      </c>
      <c r="CO1218" s="352">
        <v>247</v>
      </c>
      <c r="CP1218" s="1061">
        <f>SUM(CL1218:CO1218)</f>
      </c>
      <c r="CQ1218" s="352">
        <v>246</v>
      </c>
      <c r="CR1218" s="352">
        <v>236</v>
      </c>
      <c r="CS1218" s="352">
        <v>220</v>
      </c>
      <c r="CT1218" s="352">
        <v>246</v>
      </c>
      <c r="CU1218" s="1505">
        <f>SUM(CQ1218:CT1218)</f>
      </c>
      <c r="CV1218" s="577">
        <v>228</v>
      </c>
      <c r="CW1218" s="577">
        <v>229</v>
      </c>
      <c r="CX1218" s="577">
        <v>215</v>
      </c>
      <c r="CY1218" s="577">
        <v>239</v>
      </c>
      <c r="CZ1218" s="1505">
        <f>SUM(CV1218:CY1218)</f>
      </c>
      <c r="DA1218" s="577">
        <v>223</v>
      </c>
      <c r="DB1218" s="577">
        <v>218</v>
      </c>
      <c r="DC1218" s="577">
        <v>209</v>
      </c>
      <c r="DD1218" s="1205">
        <v>239</v>
      </c>
      <c r="DE1218" s="1835">
        <f>SUM(DA1218:DD1218)</f>
      </c>
      <c r="DF1218" s="710">
        <v>214</v>
      </c>
      <c r="DG1218" s="710">
        <v>108</v>
      </c>
      <c r="DH1218" s="710">
        <v>205</v>
      </c>
      <c r="DI1218" s="1839">
        <v>216</v>
      </c>
      <c r="DJ1218" s="1835">
        <f>SUM(DF1218:DI1218)</f>
      </c>
      <c r="DK1218" s="710">
        <v>185</v>
      </c>
      <c r="DL1218" s="710">
        <v>210</v>
      </c>
      <c r="DM1218" s="710">
        <v>184</v>
      </c>
      <c r="DN1218" s="710">
        <v>208</v>
      </c>
      <c r="DO1218" s="1835">
        <f>SUM(DK1218:DN1218)</f>
      </c>
      <c r="DP1218" s="710">
        <v>201</v>
      </c>
      <c r="DQ1218" s="710">
        <v>216</v>
      </c>
      <c r="DR1218" s="1856">
        <v>203</v>
      </c>
      <c r="DS1218" s="710">
        <v>231</v>
      </c>
      <c r="DT1218" s="1835">
        <f>SUM(DP1218:DS1218)</f>
      </c>
      <c r="DU1218" s="710">
        <v>226</v>
      </c>
      <c r="DV1218" s="710">
        <v>221</v>
      </c>
      <c r="DW1218" s="710">
        <v>207</v>
      </c>
      <c r="DX1218" s="1839">
        <v>242</v>
      </c>
      <c r="DY1218" s="1835">
        <f>SUM(DU1218:DX1218)</f>
      </c>
      <c r="DZ1218" s="710">
        <v>242</v>
      </c>
      <c r="EA1218" s="710">
        <v>230</v>
      </c>
      <c r="EB1218" s="710">
        <v>212</v>
      </c>
      <c r="EC1218" s="1552">
        <v>238</v>
      </c>
      <c r="ED1218" s="2064">
        <f>SUM(DZ1218:EC1218)</f>
      </c>
      <c r="EE1218" s="710">
        <v>231</v>
      </c>
      <c r="EF1218" s="710">
        <v>226</v>
      </c>
      <c r="EG1218" s="710">
        <v>216</v>
      </c>
      <c r="EH1218" s="1284">
        <f>EI1218-SUM(EE1218:EG1218)</f>
      </c>
      <c r="EI1218" s="1835">
        <f>+ED1218*(1+EI1223)</f>
      </c>
      <c r="EJ1218" s="1556">
        <f t="shared" ref="EJ1218:EN1219" si="2502">+EI1218*(1+EJ1223)</f>
      </c>
      <c r="EK1218" s="1835">
        <f t="shared" si="2502"/>
      </c>
      <c r="EL1218" s="1835">
        <f t="shared" si="2502"/>
      </c>
      <c r="EM1218" s="1835">
        <f t="shared" si="2502"/>
      </c>
      <c r="EN1218" s="1835">
        <f t="shared" si="2502"/>
      </c>
      <c r="EO1218" s="477"/>
      <c r="EP1218" s="477"/>
      <c r="EQ1218" s="477"/>
      <c r="ER1218" s="477"/>
      <c r="ES1218" s="477"/>
      <c r="ET1218" s="477"/>
      <c r="EU1218" s="477"/>
      <c r="EV1218" s="477"/>
      <c r="EW1218" s="477"/>
      <c r="EX1218" s="477"/>
    </row>
    <row r="1219" spans="2:154" ht="12.75" customHeight="1">
      <c r="B1219" s="437" t="s">
        <v>412</v>
      </c>
      <c r="C1219" s="1577"/>
      <c r="D1219" s="933"/>
      <c r="E1219" s="933"/>
      <c r="F1219" s="933"/>
      <c r="G1219" s="933"/>
      <c r="H1219" s="933"/>
      <c r="I1219" s="933"/>
      <c r="J1219" s="933"/>
      <c r="K1219" s="933"/>
      <c r="L1219" s="933"/>
      <c r="M1219" s="933"/>
      <c r="N1219" s="933"/>
      <c r="O1219" s="933"/>
      <c r="P1219" s="933"/>
      <c r="Q1219" s="933"/>
      <c r="R1219" s="933"/>
      <c r="S1219" s="933"/>
      <c r="T1219" s="933"/>
      <c r="U1219" s="933"/>
      <c r="V1219" s="933"/>
      <c r="W1219" s="933"/>
      <c r="X1219" s="1061"/>
      <c r="Y1219" s="933">
        <f t="shared" si="2496"/>
      </c>
      <c r="Z1219" s="933">
        <f t="shared" si="2496"/>
      </c>
      <c r="AA1219" s="933">
        <f t="shared" si="2496"/>
      </c>
      <c r="AB1219" s="933">
        <f>+AC1219-SUM(Y1219:AA1219)</f>
      </c>
      <c r="AC1219" s="1061">
        <f t="shared" si="2497"/>
      </c>
      <c r="AD1219" s="933">
        <f t="shared" si="2497"/>
      </c>
      <c r="AE1219" s="933">
        <f t="shared" si="2497"/>
      </c>
      <c r="AF1219" s="933">
        <f t="shared" si="2497"/>
      </c>
      <c r="AG1219" s="933">
        <f t="shared" si="2497"/>
      </c>
      <c r="AH1219" s="1061">
        <f>SUM(AD1219:AG1219)</f>
      </c>
      <c r="AI1219" s="933">
        <f t="shared" si="2498"/>
      </c>
      <c r="AJ1219" s="933">
        <f t="shared" si="2498"/>
      </c>
      <c r="AK1219" s="933">
        <f t="shared" si="2498"/>
      </c>
      <c r="AL1219" s="933">
        <f t="shared" si="2498"/>
      </c>
      <c r="AM1219" s="1061">
        <f>SUM(AI1219:AL1219)</f>
      </c>
      <c r="AN1219" s="933">
        <f t="shared" si="2499"/>
      </c>
      <c r="AO1219" s="933">
        <f t="shared" si="2499"/>
      </c>
      <c r="AP1219" s="933">
        <f t="shared" si="2499"/>
      </c>
      <c r="AQ1219" s="933">
        <f t="shared" si="2499"/>
      </c>
      <c r="AR1219" s="1061">
        <f>SUM(AN1219:AQ1219)</f>
      </c>
      <c r="AS1219" s="933">
        <f t="shared" si="2500"/>
      </c>
      <c r="AT1219" s="933">
        <f t="shared" si="2500"/>
      </c>
      <c r="AU1219" s="933">
        <f t="shared" si="2500"/>
      </c>
      <c r="AV1219" s="933">
        <f t="shared" si="2500"/>
      </c>
      <c r="AW1219" s="1061">
        <f>SUM(AS1219:AV1219)</f>
      </c>
      <c r="AX1219" s="933">
        <v>158.4</v>
      </c>
      <c r="AY1219" s="933">
        <v>170.30356235459163</v>
      </c>
      <c r="AZ1219" s="933">
        <v>132.2611361881668</v>
      </c>
      <c r="BA1219" s="933">
        <v>141</v>
      </c>
      <c r="BB1219" s="1061">
        <f>+SUM(AX1219:BA1219)</f>
      </c>
      <c r="BC1219" s="933">
        <f>+(1+BC1224)*AX1219</f>
      </c>
      <c r="BD1219" s="33">
        <v>150</v>
      </c>
      <c r="BE1219" s="933">
        <f>+(1+BE1224)*AZ1219</f>
      </c>
      <c r="BF1219" s="33">
        <v>154.74185999999997</v>
      </c>
      <c r="BG1219" s="313">
        <f>SUM(BC1219:BF1219)</f>
      </c>
      <c r="BH1219" s="33">
        <v>156.48982272000003</v>
      </c>
      <c r="BI1219" s="33">
        <v>161.15174999999999</v>
      </c>
      <c r="BJ1219" s="33">
        <v>133</v>
      </c>
      <c r="BK1219" s="33">
        <f>BF1219*0.97</f>
      </c>
      <c r="BL1219" s="313">
        <f>SUM(BH1219:BK1219)</f>
      </c>
      <c r="BM1219" s="33">
        <f>BH1219*1.02</f>
      </c>
      <c r="BN1219" s="33">
        <f>BI1219*1.083</f>
      </c>
      <c r="BO1219" s="33">
        <f>BJ1219*1.082</f>
      </c>
      <c r="BP1219" s="33">
        <f>BK1219*0.997</f>
      </c>
      <c r="BQ1219" s="313">
        <f>SUM(BM1219:BP1219)</f>
      </c>
      <c r="BR1219" s="352">
        <f>BM1219*(1+-1.4%)</f>
      </c>
      <c r="BS1219" s="352">
        <f>BN1219*(1+-4.8%)</f>
      </c>
      <c r="BT1219" s="352">
        <f>BO1219*(1+-7.4%)</f>
      </c>
      <c r="BU1219" s="352">
        <f>BP1219*(1+-3.6%)</f>
      </c>
      <c r="BV1219" s="1061">
        <f>SUM(BR1219:BU1219)</f>
      </c>
      <c r="BW1219" s="933">
        <f t="shared" si="2501"/>
      </c>
      <c r="BX1219" s="933">
        <f t="shared" si="2501"/>
      </c>
      <c r="BY1219" s="933">
        <f t="shared" si="2501"/>
      </c>
      <c r="BZ1219" s="933">
        <f t="shared" si="2501"/>
      </c>
      <c r="CA1219" s="313">
        <f>SUM(BW1219:BZ1219)</f>
      </c>
      <c r="CB1219" s="352">
        <v>171</v>
      </c>
      <c r="CC1219" s="352">
        <v>169</v>
      </c>
      <c r="CD1219" s="352">
        <v>150</v>
      </c>
      <c r="CE1219" s="352">
        <v>165</v>
      </c>
      <c r="CF1219" s="1061">
        <f>SUM(CB1219:CE1219)</f>
      </c>
      <c r="CG1219" s="352">
        <v>150</v>
      </c>
      <c r="CH1219" s="352">
        <v>150</v>
      </c>
      <c r="CI1219" s="352">
        <v>129</v>
      </c>
      <c r="CJ1219" s="352">
        <v>151</v>
      </c>
      <c r="CK1219" s="1061">
        <f>SUM(CG1219:CJ1219)</f>
      </c>
      <c r="CL1219" s="352">
        <v>145</v>
      </c>
      <c r="CM1219" s="352">
        <v>156</v>
      </c>
      <c r="CN1219" s="352">
        <v>132</v>
      </c>
      <c r="CO1219" s="352">
        <v>148</v>
      </c>
      <c r="CP1219" s="1061">
        <f>SUM(CL1219:CO1219)</f>
      </c>
      <c r="CQ1219" s="352">
        <v>152</v>
      </c>
      <c r="CR1219" s="352">
        <v>149</v>
      </c>
      <c r="CS1219" s="352">
        <v>123</v>
      </c>
      <c r="CT1219" s="352">
        <v>151</v>
      </c>
      <c r="CU1219" s="1505">
        <f>SUM(CQ1219:CT1219)</f>
      </c>
      <c r="CV1219" s="577">
        <v>159</v>
      </c>
      <c r="CW1219" s="577">
        <v>153</v>
      </c>
      <c r="CX1219" s="577">
        <v>126</v>
      </c>
      <c r="CY1219" s="577">
        <v>153</v>
      </c>
      <c r="CZ1219" s="1505">
        <f>SUM(CV1219:CY1219)</f>
      </c>
      <c r="DA1219" s="577">
        <v>146</v>
      </c>
      <c r="DB1219" s="577">
        <v>153</v>
      </c>
      <c r="DC1219" s="577">
        <v>136</v>
      </c>
      <c r="DD1219" s="1205">
        <v>156</v>
      </c>
      <c r="DE1219" s="1835">
        <f>SUM(DA1219:DD1219)</f>
      </c>
      <c r="DF1219" s="710">
        <v>130</v>
      </c>
      <c r="DG1219" s="710">
        <v>66</v>
      </c>
      <c r="DH1219" s="710">
        <v>102</v>
      </c>
      <c r="DI1219" s="1839">
        <v>129</v>
      </c>
      <c r="DJ1219" s="1835">
        <f>SUM(DF1219:DI1219)</f>
      </c>
      <c r="DK1219" s="710">
        <v>132</v>
      </c>
      <c r="DL1219" s="710">
        <v>140</v>
      </c>
      <c r="DM1219" s="710">
        <v>131</v>
      </c>
      <c r="DN1219" s="710">
        <v>135</v>
      </c>
      <c r="DO1219" s="1835">
        <f>SUM(DK1219:DN1219)</f>
      </c>
      <c r="DP1219" s="710">
        <v>138</v>
      </c>
      <c r="DQ1219" s="710">
        <v>133</v>
      </c>
      <c r="DR1219" s="1856">
        <v>115</v>
      </c>
      <c r="DS1219" s="710">
        <v>122</v>
      </c>
      <c r="DT1219" s="1835">
        <f>SUM(DP1219:DS1219)</f>
      </c>
      <c r="DU1219" s="710">
        <v>142</v>
      </c>
      <c r="DV1219" s="710">
        <v>142</v>
      </c>
      <c r="DW1219" s="710">
        <v>131</v>
      </c>
      <c r="DX1219" s="1839">
        <v>144</v>
      </c>
      <c r="DY1219" s="1835">
        <f>SUM(DU1219:DX1219)</f>
      </c>
      <c r="DZ1219" s="710">
        <v>160</v>
      </c>
      <c r="EA1219" s="710">
        <v>163</v>
      </c>
      <c r="EB1219" s="710">
        <v>140.4</v>
      </c>
      <c r="EC1219" s="1552">
        <v>160</v>
      </c>
      <c r="ED1219" s="2064">
        <f>SUM(DZ1219:EC1219)</f>
      </c>
      <c r="EE1219" s="710">
        <v>158</v>
      </c>
      <c r="EF1219" s="710">
        <v>164</v>
      </c>
      <c r="EG1219" s="710">
        <v>160</v>
      </c>
      <c r="EH1219" s="1284">
        <f>EI1219-SUM(EE1219:EG1219)</f>
      </c>
      <c r="EI1219" s="1835">
        <f t="shared" ref="EI1219" si="2503">+ED1219*(1+EI1224)</f>
      </c>
      <c r="EJ1219" s="1556">
        <f t="shared" si="2502"/>
      </c>
      <c r="EK1219" s="1835">
        <f t="shared" si="2502"/>
      </c>
      <c r="EL1219" s="1835">
        <f t="shared" si="2502"/>
      </c>
      <c r="EM1219" s="1835">
        <f t="shared" si="2502"/>
      </c>
      <c r="EN1219" s="1835">
        <f t="shared" si="2502"/>
      </c>
      <c r="EO1219" s="477"/>
      <c r="EP1219" s="477"/>
      <c r="EQ1219" s="477"/>
      <c r="ER1219" s="477"/>
      <c r="ES1219" s="477"/>
      <c r="ET1219" s="477"/>
      <c r="EU1219" s="477"/>
      <c r="EV1219" s="477"/>
      <c r="EW1219" s="477"/>
      <c r="EX1219" s="477"/>
    </row>
    <row r="1220" spans="2:154" ht="12.75" customHeight="1">
      <c r="B1220" s="437" t="s">
        <v>413</v>
      </c>
      <c r="C1220" s="1577"/>
      <c r="D1220" s="933"/>
      <c r="E1220" s="933"/>
      <c r="F1220" s="933"/>
      <c r="G1220" s="933"/>
      <c r="H1220" s="933"/>
      <c r="I1220" s="933"/>
      <c r="J1220" s="933"/>
      <c r="K1220" s="933"/>
      <c r="L1220" s="933"/>
      <c r="M1220" s="933"/>
      <c r="N1220" s="933"/>
      <c r="O1220" s="933"/>
      <c r="P1220" s="933"/>
      <c r="Q1220" s="933"/>
      <c r="R1220" s="933"/>
      <c r="S1220" s="933"/>
      <c r="T1220" s="933"/>
      <c r="U1220" s="933"/>
      <c r="V1220" s="933"/>
      <c r="W1220" s="933"/>
      <c r="X1220" s="1061"/>
      <c r="Y1220" s="933">
        <f>+Y1219+Y1218</f>
      </c>
      <c r="Z1220" s="933">
        <f t="shared" ref="Z1220:BT1220" si="2504">+Z1219+Z1218</f>
      </c>
      <c r="AA1220" s="933">
        <f t="shared" si="2504"/>
      </c>
      <c r="AB1220" s="933">
        <f t="shared" si="2504"/>
      </c>
      <c r="AC1220" s="1061">
        <f t="shared" si="2504"/>
      </c>
      <c r="AD1220" s="933">
        <f t="shared" si="2504"/>
      </c>
      <c r="AE1220" s="933">
        <f t="shared" si="2504"/>
      </c>
      <c r="AF1220" s="933">
        <f t="shared" si="2504"/>
      </c>
      <c r="AG1220" s="933">
        <f t="shared" si="2504"/>
      </c>
      <c r="AH1220" s="1061">
        <f t="shared" si="2504"/>
      </c>
      <c r="AI1220" s="933">
        <f t="shared" si="2504"/>
      </c>
      <c r="AJ1220" s="933">
        <f t="shared" si="2504"/>
      </c>
      <c r="AK1220" s="933">
        <f t="shared" si="2504"/>
      </c>
      <c r="AL1220" s="933">
        <f t="shared" si="2504"/>
      </c>
      <c r="AM1220" s="1061">
        <f t="shared" si="2504"/>
      </c>
      <c r="AN1220" s="933">
        <f t="shared" si="2504"/>
      </c>
      <c r="AO1220" s="933">
        <f t="shared" si="2504"/>
      </c>
      <c r="AP1220" s="933">
        <f t="shared" si="2504"/>
      </c>
      <c r="AQ1220" s="933">
        <f t="shared" si="2504"/>
      </c>
      <c r="AR1220" s="1061">
        <f t="shared" si="2504"/>
      </c>
      <c r="AS1220" s="933">
        <f t="shared" si="2504"/>
      </c>
      <c r="AT1220" s="933">
        <f t="shared" si="2504"/>
      </c>
      <c r="AU1220" s="933">
        <f t="shared" si="2504"/>
      </c>
      <c r="AV1220" s="933">
        <f t="shared" si="2504"/>
      </c>
      <c r="AW1220" s="1061">
        <f t="shared" si="2504"/>
      </c>
      <c r="AX1220" s="933">
        <f t="shared" si="2504"/>
      </c>
      <c r="AY1220" s="933">
        <f t="shared" si="2504"/>
      </c>
      <c r="AZ1220" s="933">
        <f t="shared" si="2504"/>
      </c>
      <c r="BA1220" s="933">
        <f t="shared" si="2504"/>
      </c>
      <c r="BB1220" s="1061">
        <f t="shared" si="2504"/>
      </c>
      <c r="BC1220" s="933">
        <f t="shared" si="2504"/>
      </c>
      <c r="BD1220" s="933">
        <f t="shared" si="2504"/>
      </c>
      <c r="BE1220" s="933">
        <f t="shared" si="2504"/>
      </c>
      <c r="BF1220" s="933">
        <f t="shared" si="2504"/>
      </c>
      <c r="BG1220" s="313">
        <f t="shared" si="2504"/>
      </c>
      <c r="BH1220" s="933">
        <f>+BH1219+BH1218</f>
      </c>
      <c r="BI1220" s="933">
        <f>+BI1219+BI1218</f>
      </c>
      <c r="BJ1220" s="933">
        <f>+BJ1219+BJ1218</f>
      </c>
      <c r="BK1220" s="933">
        <f>+BK1218+BK1219</f>
      </c>
      <c r="BL1220" s="313">
        <f>SUM(BH1220:BK1220)</f>
      </c>
      <c r="BM1220" s="933">
        <f>+BM1219+BM1218</f>
      </c>
      <c r="BN1220" s="933">
        <f>+BN1219+BN1218</f>
      </c>
      <c r="BO1220" s="933">
        <f>+BO1219+BO1218</f>
      </c>
      <c r="BP1220" s="933">
        <f>+BP1218+BP1219</f>
      </c>
      <c r="BQ1220" s="313">
        <f>SUM(BM1220:BP1220)</f>
      </c>
      <c r="BR1220" s="933">
        <f t="shared" si="2504"/>
      </c>
      <c r="BS1220" s="933">
        <f>+BS1219+BS1218</f>
      </c>
      <c r="BT1220" s="933">
        <f t="shared" si="2504"/>
      </c>
      <c r="BU1220" s="933">
        <f>+BU1218+BU1219</f>
      </c>
      <c r="BV1220" s="1061">
        <f>SUM(BR1220:BU1220)</f>
      </c>
      <c r="BW1220" s="933">
        <f>+BW1219+BW1218</f>
      </c>
      <c r="BX1220" s="933">
        <f>+BX1219+BX1218</f>
      </c>
      <c r="BY1220" s="933">
        <f>+BY1219+BY1218</f>
      </c>
      <c r="BZ1220" s="933">
        <f>+BZ1219+BZ1218</f>
      </c>
      <c r="CA1220" s="313">
        <f>SUM(BW1220:BZ1220)</f>
      </c>
      <c r="CB1220" s="933">
        <f>+CB1219+CB1218</f>
      </c>
      <c r="CC1220" s="933">
        <f>+CC1219+CC1218</f>
      </c>
      <c r="CD1220" s="933">
        <f>+CD1219+CD1218</f>
      </c>
      <c r="CE1220" s="933">
        <f>+CE1219+CE1218</f>
      </c>
      <c r="CF1220" s="1061">
        <f>SUM(CB1220:CE1220)</f>
      </c>
      <c r="CG1220" s="933">
        <f>+CG1219+CG1218</f>
      </c>
      <c r="CH1220" s="933">
        <f>+CH1219+CH1218</f>
      </c>
      <c r="CI1220" s="933">
        <f>+CI1219+CI1218</f>
      </c>
      <c r="CJ1220" s="933">
        <f>+CJ1219+CJ1218</f>
      </c>
      <c r="CK1220" s="1061">
        <f>SUM(CG1220:CJ1220)</f>
      </c>
      <c r="CL1220" s="933">
        <f>+CL1219+CL1218</f>
      </c>
      <c r="CM1220" s="933">
        <f>+CM1219+CM1218</f>
      </c>
      <c r="CN1220" s="933">
        <f>+CN1219+CN1218</f>
      </c>
      <c r="CO1220" s="933">
        <f>+CO1219+CO1218</f>
      </c>
      <c r="CP1220" s="1061">
        <f>SUM(CL1220:CO1220)</f>
      </c>
      <c r="CQ1220" s="933">
        <f>+CQ1219+CQ1218</f>
      </c>
      <c r="CR1220" s="933">
        <f>+CR1219+CR1218</f>
      </c>
      <c r="CS1220" s="933">
        <f>+CS1219+CS1218</f>
      </c>
      <c r="CT1220" s="933">
        <f>+CT1219+CT1218</f>
      </c>
      <c r="CU1220" s="1505">
        <f>SUM(CQ1220:CT1220)</f>
      </c>
      <c r="CV1220" s="948">
        <f>+CV1219+CV1218</f>
      </c>
      <c r="CW1220" s="948">
        <f>+CW1219+CW1218</f>
      </c>
      <c r="CX1220" s="948">
        <f>+CX1219+CX1218</f>
      </c>
      <c r="CY1220" s="948">
        <f>+CY1219+CY1218</f>
      </c>
      <c r="CZ1220" s="1505">
        <f>SUM(CV1220:CY1220)</f>
      </c>
      <c r="DA1220" s="948">
        <f>+DA1219+DA1218</f>
      </c>
      <c r="DB1220" s="948">
        <f>SUM(DB1218:DB1219)</f>
      </c>
      <c r="DC1220" s="36">
        <f>SUM(DC1218:DC1219)</f>
      </c>
      <c r="DD1220" s="984">
        <f>SUM(DD1218:DD1219)</f>
      </c>
      <c r="DE1220" s="1835">
        <f>SUM(DA1220:DD1220)</f>
      </c>
      <c r="DF1220" s="1542">
        <f>SUM(DF1218:DF1219)</f>
      </c>
      <c r="DG1220" s="1542">
        <f>SUM(DG1218:DG1219)</f>
      </c>
      <c r="DH1220" s="1542">
        <f>SUM(DH1218:DH1219)</f>
      </c>
      <c r="DI1220" s="1556">
        <f>+DI1218+DI1219</f>
      </c>
      <c r="DJ1220" s="1835">
        <f>SUM(DF1220:DI1220)</f>
      </c>
      <c r="DK1220" s="1542">
        <f>SUM(DK1218:DK1219)</f>
      </c>
      <c r="DL1220" s="1542">
        <f>SUM(DL1218:DL1219)</f>
      </c>
      <c r="DM1220" s="1542">
        <f>SUM(DM1218:DM1219)</f>
      </c>
      <c r="DN1220" s="1542">
        <f>SUM(DN1218:DN1219)</f>
      </c>
      <c r="DO1220" s="1835">
        <f>SUM(DK1220:DN1220)</f>
      </c>
      <c r="DP1220" s="1542">
        <f>SUM(DP1218:DP1219)</f>
      </c>
      <c r="DQ1220" s="1542">
        <f>SUM(DQ1218:DQ1219)</f>
      </c>
      <c r="DR1220" s="1542">
        <f>SUM(DR1218:DR1219)</f>
      </c>
      <c r="DS1220" s="1542">
        <f>SUM(DS1218:DS1219)</f>
      </c>
      <c r="DT1220" s="1835">
        <f>SUM(DP1220:DS1220)</f>
      </c>
      <c r="DU1220" s="1542">
        <f>SUM(DU1218:DU1219)</f>
      </c>
      <c r="DV1220" s="1542">
        <f>SUM(DV1218:DV1219)</f>
      </c>
      <c r="DW1220" s="1542">
        <f>SUM(DW1218:DW1219)</f>
      </c>
      <c r="DX1220" s="1556">
        <f>SUM(DX1218:DX1219)</f>
      </c>
      <c r="DY1220" s="1835">
        <f>SUM(DU1220:DX1220)</f>
      </c>
      <c r="DZ1220" s="1542">
        <f>SUM(DZ1218:DZ1219)</f>
      </c>
      <c r="EA1220" s="1542">
        <f>SUM(EA1218:EA1219)</f>
      </c>
      <c r="EB1220" s="1542">
        <f>SUM(EB1218:EB1219)</f>
      </c>
      <c r="EC1220" s="1553">
        <f>SUM(EC1218:EC1219)</f>
      </c>
      <c r="ED1220" s="2064">
        <f>SUM(DZ1220:EC1220)</f>
      </c>
      <c r="EE1220" s="1542">
        <f>SUM(EE1218:EE1219)</f>
      </c>
      <c r="EF1220" s="1542">
        <f>SUM(EF1218:EF1219)</f>
      </c>
      <c r="EG1220" s="1542">
        <f>SUM(EG1218:EG1219)</f>
      </c>
      <c r="EH1220" s="1542">
        <f>SUM(EH1218:EH1219)</f>
      </c>
      <c r="EI1220" s="1835">
        <f t="shared" ref="EI1220" si="2505">+EI1219+EI1218</f>
      </c>
      <c r="EJ1220" s="1556">
        <f t="shared" ref="EJ1220:EM1220" si="2506">+EJ1219+EJ1218</f>
      </c>
      <c r="EK1220" s="1835">
        <f t="shared" si="2506"/>
      </c>
      <c r="EL1220" s="1835">
        <f t="shared" si="2506"/>
      </c>
      <c r="EM1220" s="1835">
        <f t="shared" si="2506"/>
      </c>
      <c r="EN1220" s="1835">
        <f>+EN1219+EN1218</f>
      </c>
      <c r="EO1220" s="477"/>
      <c r="EP1220" s="477"/>
      <c r="EQ1220" s="477"/>
      <c r="ER1220" s="477"/>
      <c r="ES1220" s="477"/>
      <c r="ET1220" s="477"/>
      <c r="EU1220" s="477"/>
      <c r="EV1220" s="477"/>
      <c r="EW1220" s="477"/>
      <c r="EX1220" s="477"/>
    </row>
    <row r="1221" spans="2:154" ht="12.75" customHeight="1">
      <c r="B1221" s="442"/>
      <c r="C1221" s="1577"/>
      <c r="D1221" s="933"/>
      <c r="E1221" s="933"/>
      <c r="F1221" s="933"/>
      <c r="G1221" s="933"/>
      <c r="H1221" s="933"/>
      <c r="I1221" s="933"/>
      <c r="J1221" s="933"/>
      <c r="K1221" s="933"/>
      <c r="L1221" s="933"/>
      <c r="M1221" s="933"/>
      <c r="N1221" s="933"/>
      <c r="O1221" s="933"/>
      <c r="P1221" s="933"/>
      <c r="Q1221" s="933"/>
      <c r="R1221" s="933"/>
      <c r="S1221" s="933"/>
      <c r="T1221" s="933"/>
      <c r="U1221" s="933"/>
      <c r="V1221" s="933"/>
      <c r="W1221" s="933"/>
      <c r="X1221" s="1061"/>
      <c r="Y1221" s="933"/>
      <c r="Z1221" s="933"/>
      <c r="AA1221" s="933"/>
      <c r="AB1221" s="933"/>
      <c r="AC1221" s="1061"/>
      <c r="AD1221" s="933"/>
      <c r="AE1221" s="933"/>
      <c r="AF1221" s="933"/>
      <c r="AG1221" s="933"/>
      <c r="AH1221" s="1061"/>
      <c r="AI1221" s="933"/>
      <c r="AJ1221" s="933"/>
      <c r="AK1221" s="933"/>
      <c r="AL1221" s="933"/>
      <c r="AM1221" s="1061"/>
      <c r="AN1221" s="933"/>
      <c r="AO1221" s="933"/>
      <c r="AP1221" s="933"/>
      <c r="AQ1221" s="933"/>
      <c r="AR1221" s="1061"/>
      <c r="AS1221" s="933"/>
      <c r="AT1221" s="933"/>
      <c r="AU1221" s="933"/>
      <c r="AV1221" s="933"/>
      <c r="AW1221" s="1061"/>
      <c r="AX1221" s="933"/>
      <c r="AY1221" s="933"/>
      <c r="AZ1221" s="933"/>
      <c r="BA1221" s="933"/>
      <c r="BB1221" s="1061"/>
      <c r="BC1221" s="933"/>
      <c r="BD1221" s="933"/>
      <c r="BE1221" s="933"/>
      <c r="BF1221" s="933"/>
      <c r="BG1221" s="313"/>
      <c r="BH1221" s="933"/>
      <c r="BI1221" s="933"/>
      <c r="BJ1221" s="933"/>
      <c r="BK1221" s="933"/>
      <c r="BL1221" s="313"/>
      <c r="BM1221" s="933"/>
      <c r="BN1221" s="933"/>
      <c r="BO1221" s="933"/>
      <c r="BP1221" s="933"/>
      <c r="BQ1221" s="313"/>
      <c r="BR1221" s="933"/>
      <c r="BS1221" s="933"/>
      <c r="BT1221" s="933"/>
      <c r="BU1221" s="933"/>
      <c r="BV1221" s="1061"/>
      <c r="BW1221" s="933"/>
      <c r="BX1221" s="933"/>
      <c r="BY1221" s="933"/>
      <c r="BZ1221" s="933"/>
      <c r="CA1221" s="1060"/>
      <c r="CB1221" s="933"/>
      <c r="CC1221" s="933"/>
      <c r="CD1221" s="933"/>
      <c r="CE1221" s="933"/>
      <c r="CF1221" s="313"/>
      <c r="CG1221" s="933"/>
      <c r="CH1221" s="933"/>
      <c r="CI1221" s="933"/>
      <c r="CJ1221" s="933"/>
      <c r="CK1221" s="313"/>
      <c r="CL1221" s="933"/>
      <c r="CM1221" s="933"/>
      <c r="CN1221" s="933"/>
      <c r="CO1221" s="933"/>
      <c r="CP1221" s="313"/>
      <c r="CQ1221" s="933"/>
      <c r="CR1221" s="933"/>
      <c r="CS1221" s="933"/>
      <c r="CT1221" s="933"/>
      <c r="CU1221" s="313"/>
      <c r="CV1221" s="933"/>
      <c r="CW1221" s="933"/>
      <c r="CX1221" s="933"/>
      <c r="CY1221" s="933"/>
      <c r="CZ1221" s="313"/>
      <c r="DA1221" s="933"/>
      <c r="DB1221" s="31"/>
      <c r="DC1221" s="31"/>
      <c r="DD1221" s="955"/>
      <c r="DE1221" s="477"/>
      <c r="DF1221" s="925"/>
      <c r="DG1221" s="925"/>
      <c r="DH1221" s="925"/>
      <c r="DI1221" s="925"/>
      <c r="DJ1221" s="477"/>
      <c r="DK1221" s="925"/>
      <c r="DL1221" s="1915"/>
      <c r="DM1221" s="925"/>
      <c r="DN1221" s="1915"/>
      <c r="DO1221" s="477"/>
      <c r="DP1221" s="1915"/>
      <c r="DQ1221" s="1915"/>
      <c r="DR1221" s="1915"/>
      <c r="DS1221" s="2257"/>
      <c r="DT1221" s="477"/>
      <c r="DU1221" s="2257"/>
      <c r="DV1221" s="1915"/>
      <c r="DW1221" s="1915"/>
      <c r="DX1221" s="1946"/>
      <c r="DY1221" s="477"/>
      <c r="DZ1221" s="1915"/>
      <c r="EA1221" s="1915"/>
      <c r="EB1221" s="1915"/>
      <c r="EC1221" s="3613"/>
      <c r="ED1221" s="1811"/>
      <c r="EE1221" s="1915"/>
      <c r="EF1221" s="1915"/>
      <c r="EG1221" s="1915"/>
      <c r="EH1221" s="2257"/>
      <c r="EI1221" s="477"/>
      <c r="EJ1221" s="1798"/>
      <c r="EK1221" s="477"/>
      <c r="EL1221" s="477"/>
      <c r="EM1221" s="477"/>
      <c r="EN1221" s="477"/>
      <c r="EO1221" s="477"/>
      <c r="EP1221" s="477"/>
      <c r="EQ1221" s="477"/>
      <c r="ER1221" s="477"/>
      <c r="ES1221" s="477"/>
      <c r="ET1221" s="477"/>
      <c r="EU1221" s="477"/>
      <c r="EV1221" s="477"/>
      <c r="EW1221" s="477"/>
      <c r="EX1221" s="477"/>
    </row>
    <row r="1222" spans="2:154" ht="12.75" customHeight="1">
      <c r="B1222" s="439" t="s">
        <v>958</v>
      </c>
      <c r="C1222" s="1577"/>
      <c r="D1222" s="933"/>
      <c r="E1222" s="933"/>
      <c r="F1222" s="933"/>
      <c r="G1222" s="933"/>
      <c r="H1222" s="933"/>
      <c r="I1222" s="933"/>
      <c r="J1222" s="933"/>
      <c r="K1222" s="933"/>
      <c r="L1222" s="933"/>
      <c r="M1222" s="933"/>
      <c r="N1222" s="933"/>
      <c r="O1222" s="933"/>
      <c r="P1222" s="933"/>
      <c r="Q1222" s="933"/>
      <c r="R1222" s="933"/>
      <c r="S1222" s="933"/>
      <c r="T1222" s="933"/>
      <c r="U1222" s="933"/>
      <c r="V1222" s="933"/>
      <c r="W1222" s="933"/>
      <c r="X1222" s="1061"/>
      <c r="Y1222" s="933"/>
      <c r="Z1222" s="933"/>
      <c r="AA1222" s="933"/>
      <c r="AB1222" s="933"/>
      <c r="AC1222" s="1061"/>
      <c r="AD1222" s="933"/>
      <c r="AE1222" s="933"/>
      <c r="AF1222" s="933"/>
      <c r="AG1222" s="933"/>
      <c r="AH1222" s="1061"/>
      <c r="AI1222" s="933"/>
      <c r="AJ1222" s="933"/>
      <c r="AK1222" s="933"/>
      <c r="AL1222" s="933"/>
      <c r="AM1222" s="1061"/>
      <c r="AN1222" s="933"/>
      <c r="AO1222" s="933"/>
      <c r="AP1222" s="933"/>
      <c r="AQ1222" s="933"/>
      <c r="AR1222" s="1061"/>
      <c r="AS1222" s="933"/>
      <c r="AT1222" s="933"/>
      <c r="AU1222" s="933"/>
      <c r="AV1222" s="933"/>
      <c r="AW1222" s="1061"/>
      <c r="AX1222" s="933"/>
      <c r="AY1222" s="933"/>
      <c r="AZ1222" s="933"/>
      <c r="BA1222" s="933"/>
      <c r="BB1222" s="1061"/>
      <c r="BC1222" s="933"/>
      <c r="BD1222" s="933"/>
      <c r="BE1222" s="933"/>
      <c r="BF1222" s="933"/>
      <c r="BG1222" s="313"/>
      <c r="BH1222" s="933"/>
      <c r="BI1222" s="933"/>
      <c r="BJ1222" s="933"/>
      <c r="BK1222" s="933"/>
      <c r="BL1222" s="313"/>
      <c r="BM1222" s="933"/>
      <c r="BN1222" s="933"/>
      <c r="BO1222" s="933"/>
      <c r="BP1222" s="933"/>
      <c r="BQ1222" s="313"/>
      <c r="BR1222" s="933"/>
      <c r="BS1222" s="933"/>
      <c r="BT1222" s="933"/>
      <c r="BU1222" s="933"/>
      <c r="BV1222" s="1061"/>
      <c r="BW1222" s="933"/>
      <c r="BX1222" s="933"/>
      <c r="BY1222" s="933"/>
      <c r="BZ1222" s="933"/>
      <c r="CA1222" s="313"/>
      <c r="CB1222" s="933"/>
      <c r="CC1222" s="933"/>
      <c r="CD1222" s="933"/>
      <c r="CE1222" s="933"/>
      <c r="CF1222" s="313"/>
      <c r="CG1222" s="933"/>
      <c r="CH1222" s="933"/>
      <c r="CI1222" s="933"/>
      <c r="CJ1222" s="933"/>
      <c r="CK1222" s="313"/>
      <c r="CL1222" s="961"/>
      <c r="CM1222" s="933"/>
      <c r="CN1222" s="933"/>
      <c r="CO1222" s="933"/>
      <c r="CP1222" s="313"/>
      <c r="CQ1222" s="933"/>
      <c r="CR1222" s="933"/>
      <c r="CS1222" s="933"/>
      <c r="CT1222" s="933"/>
      <c r="CU1222" s="313"/>
      <c r="CV1222" s="933"/>
      <c r="CW1222" s="933"/>
      <c r="CX1222" s="933"/>
      <c r="CY1222" s="933"/>
      <c r="CZ1222" s="313"/>
      <c r="DA1222" s="933"/>
      <c r="DB1222" s="31"/>
      <c r="DC1222" s="31"/>
      <c r="DD1222" s="955"/>
      <c r="DE1222" s="477"/>
      <c r="DF1222" s="925"/>
      <c r="DG1222" s="925"/>
      <c r="DH1222" s="925"/>
      <c r="DI1222" s="925"/>
      <c r="DJ1222" s="477"/>
      <c r="DK1222" s="925"/>
      <c r="DL1222" s="1915"/>
      <c r="DM1222" s="925"/>
      <c r="DN1222" s="1915"/>
      <c r="DO1222" s="477"/>
      <c r="DP1222" s="1915"/>
      <c r="DQ1222" s="1915"/>
      <c r="DR1222" s="1915"/>
      <c r="DS1222" s="2257"/>
      <c r="DT1222" s="477"/>
      <c r="DU1222" s="2257"/>
      <c r="DV1222" s="1915"/>
      <c r="DW1222" s="1915"/>
      <c r="DX1222" s="1946"/>
      <c r="DY1222" s="477"/>
      <c r="DZ1222" s="1915"/>
      <c r="EA1222" s="1915"/>
      <c r="EB1222" s="1915"/>
      <c r="EC1222" s="3613"/>
      <c r="ED1222" s="1811"/>
      <c r="EE1222" s="1915"/>
      <c r="EF1222" s="1915"/>
      <c r="EG1222" s="1915"/>
      <c r="EH1222" s="2257"/>
      <c r="EI1222" s="477"/>
      <c r="EJ1222" s="1798"/>
      <c r="EK1222" s="477"/>
      <c r="EL1222" s="477"/>
      <c r="EM1222" s="477"/>
      <c r="EN1222" s="477"/>
      <c r="EO1222" s="477"/>
      <c r="EP1222" s="477"/>
      <c r="EQ1222" s="477"/>
      <c r="ER1222" s="477"/>
      <c r="ES1222" s="477"/>
      <c r="ET1222" s="477"/>
      <c r="EU1222" s="477"/>
      <c r="EV1222" s="477"/>
      <c r="EW1222" s="477"/>
      <c r="EX1222" s="477"/>
    </row>
    <row r="1223" spans="2:154" ht="12.75" customHeight="1">
      <c r="B1223" s="443" t="s">
        <v>156</v>
      </c>
      <c r="C1223" s="1577"/>
      <c r="D1223" s="933"/>
      <c r="E1223" s="933"/>
      <c r="F1223" s="933"/>
      <c r="G1223" s="933"/>
      <c r="H1223" s="933"/>
      <c r="I1223" s="933"/>
      <c r="J1223" s="933"/>
      <c r="K1223" s="933"/>
      <c r="L1223" s="933"/>
      <c r="M1223" s="933"/>
      <c r="N1223" s="933"/>
      <c r="O1223" s="933"/>
      <c r="P1223" s="933"/>
      <c r="Q1223" s="933"/>
      <c r="R1223" s="933"/>
      <c r="S1223" s="933"/>
      <c r="T1223" s="933"/>
      <c r="U1223" s="933"/>
      <c r="V1223" s="933"/>
      <c r="W1223" s="933"/>
      <c r="X1223" s="1060"/>
      <c r="Y1223" s="933"/>
      <c r="Z1223" s="933"/>
      <c r="AA1223" s="933"/>
      <c r="AB1223" s="933"/>
      <c r="AC1223" s="1060"/>
      <c r="AD1223" s="926">
        <v>0.16200000000000001</v>
      </c>
      <c r="AE1223" s="926">
        <v>0.18</v>
      </c>
      <c r="AF1223" s="926">
        <v>0.189</v>
      </c>
      <c r="AG1223" s="926">
        <f>IF(AB1218="NM","NM",IF(AG1218="NM","NM",IF(AB1218&lt;=0,"NM",IF(AG1218=0,"NM",IF(ABS(AG1218/AB1218-1)&gt;2.5,"NM",IF((ABS(AG1218-AB1218)=ABS(ABS(AG1218)-ABS(AB1218))),(AG1218/AB1218-1),"NM"))))))</f>
      </c>
      <c r="AH1223" s="1060">
        <v>0.19700000000000001</v>
      </c>
      <c r="AI1223" s="926">
        <v>0.29699999999999999</v>
      </c>
      <c r="AJ1223" s="926">
        <v>0.246</v>
      </c>
      <c r="AK1223" s="926">
        <v>0.19600000000000001</v>
      </c>
      <c r="AL1223" s="926">
        <v>0.08</v>
      </c>
      <c r="AM1223" s="1060">
        <f>IF(AH1218="NM","NM",IF(AM1218="NM","NM",IF(AH1218&lt;=0,"NM",IF(AM1218=0,"NM",IF(ABS(AM1218/AH1218-1)&gt;2.5,"NM",IF((ABS(AM1218-AH1218)=ABS(ABS(AM1218)-ABS(AH1218))),(AM1218/AH1218-1),"NM"))))))</f>
      </c>
      <c r="AN1223" s="926">
        <v>4.4999999999999998E-2</v>
      </c>
      <c r="AO1223" s="926">
        <v>2.5000000000000001E-2</v>
      </c>
      <c r="AP1223" s="926">
        <v>6.2E-2</v>
      </c>
      <c r="AQ1223" s="926">
        <v>4.5999999999999999E-2</v>
      </c>
      <c r="AR1223" s="1060">
        <f>IF(AM1218="NM","NM",IF(AR1218="NM","NM",IF(AM1218&lt;=0,"NM",IF(AR1218=0,"NM",IF(ABS(AR1218/AM1218-1)&gt;2.5,"NM",IF((ABS(AR1218-AM1218)=ABS(ABS(AR1218)-ABS(AM1218))),(AR1218/AM1218-1),"NM"))))))</f>
      </c>
      <c r="AS1223" s="926">
        <v>0.06</v>
      </c>
      <c r="AT1223" s="926">
        <v>4.9000000000000002E-2</v>
      </c>
      <c r="AU1223" s="926">
        <v>6.5000000000000002E-2</v>
      </c>
      <c r="AV1223" s="926">
        <v>6.5000000000000002E-2</v>
      </c>
      <c r="AW1223" s="1060">
        <f>IF(AR1218="NM","NM",IF(AW1218="NM","NM",IF(AR1218&lt;=0,"NM",IF(AW1218=0,"NM",IF(ABS(AW1218/AR1218-1)&gt;2.5,"NM",IF((ABS(AW1218-AR1218)=ABS(ABS(AW1218)-ABS(AR1218))),(AW1218/AR1218-1),"NM"))))))</f>
      </c>
      <c r="AX1223" s="2373">
        <v>0.01</v>
      </c>
      <c r="AY1223" s="2373">
        <v>0.04</v>
      </c>
      <c r="AZ1223" s="2373">
        <v>0.09</v>
      </c>
      <c r="BA1223" s="2373">
        <v>0.06</v>
      </c>
      <c r="BB1223" s="1060">
        <f>IF(AW1218="NM","NM",IF(BB1218="NM","NM",IF(AW1218&lt;=0,"NM",IF(BB1218=0,"NM",IF(ABS(BB1218/AW1218-1)&gt;2.5,"NM",IF((ABS(BB1218-AW1218)=ABS(ABS(BB1218)-ABS(AW1218))),(BB1218/AW1218-1),"NM"))))))</f>
      </c>
      <c r="BC1223" s="29">
        <v>0.04</v>
      </c>
      <c r="BD1223" s="926">
        <f>IF(AY1218="NM","NM",IF(BD1218="NM","NM",IF(AY1218&lt;=0,"NM",IF(BD1218=0,"NM",IF(ABS(BD1218/AY1218-1)&gt;2.5,"NM",IF((ABS(BD1218-AY1218)=ABS(ABS(BD1218)-ABS(AY1218))),(BD1218/AY1218-1),"NM"))))))</f>
      </c>
      <c r="BE1223" s="926">
        <v>0.05</v>
      </c>
      <c r="BF1223" s="926">
        <f t="shared" ref="BF1223:BV1224" si="2507">IF(BA1218="NM","NM",IF(BF1218="NM","NM",IF(BA1218&lt;=0,"NM",IF(BF1218=0,"NM",IF(ABS(BF1218/BA1218-1)&gt;2.5,"NM",IF((ABS(BF1218-BA1218)=ABS(ABS(BF1218)-ABS(BA1218))),(BF1218/BA1218-1),"NM"))))))</f>
      </c>
      <c r="BG1223" s="1060">
        <f t="shared" si="2507"/>
      </c>
      <c r="BH1223" s="926">
        <f t="shared" si="2507"/>
      </c>
      <c r="BI1223" s="926">
        <f t="shared" si="2507"/>
      </c>
      <c r="BJ1223" s="926">
        <f t="shared" si="2507"/>
      </c>
      <c r="BK1223" s="926">
        <f t="shared" si="2507"/>
      </c>
      <c r="BL1223" s="1060">
        <f t="shared" si="2507"/>
      </c>
      <c r="BM1223" s="926">
        <f t="shared" si="2507"/>
      </c>
      <c r="BN1223" s="926">
        <f t="shared" si="2507"/>
      </c>
      <c r="BO1223" s="926">
        <f t="shared" si="2507"/>
      </c>
      <c r="BP1223" s="926">
        <f t="shared" si="2507"/>
      </c>
      <c r="BQ1223" s="1060">
        <f t="shared" si="2507"/>
      </c>
      <c r="BR1223" s="926">
        <f t="shared" si="2507"/>
      </c>
      <c r="BS1223" s="926">
        <f t="shared" si="2507"/>
      </c>
      <c r="BT1223" s="926">
        <f t="shared" si="2507"/>
      </c>
      <c r="BU1223" s="926">
        <f t="shared" si="2507"/>
      </c>
      <c r="BV1223" s="1060">
        <f t="shared" si="2507"/>
      </c>
      <c r="BW1223" s="649">
        <v>-6.0000000000000053E-3</v>
      </c>
      <c r="BX1223" s="649">
        <v>5.2000000000000046E-2</v>
      </c>
      <c r="BY1223" s="649">
        <v>5.699999999999994E-2</v>
      </c>
      <c r="BZ1223" s="649">
        <v>7.2999999999999954E-2</v>
      </c>
      <c r="CA1223" s="2248">
        <f t="shared" ref="CA1223:CJ1224" si="2508">IF(BV1218="NM","NM",IF(CA1218="NM","NM",IF(BV1218&lt;=0,"NM",IF(CA1218=0,"NM",IF(ABS(CA1218/BV1218-1)&gt;2.5,"NM",IF((ABS(CA1218-BV1218)=ABS(ABS(CA1218)-ABS(BV1218))),(CA1218/BV1218-1),"NM"))))))</f>
      </c>
      <c r="CB1223" s="926">
        <f t="shared" si="2508"/>
      </c>
      <c r="CC1223" s="926">
        <f t="shared" si="2508"/>
      </c>
      <c r="CD1223" s="926">
        <f t="shared" si="2508"/>
      </c>
      <c r="CE1223" s="926">
        <f t="shared" si="2508"/>
      </c>
      <c r="CF1223" s="2248">
        <f t="shared" si="2508"/>
      </c>
      <c r="CG1223" s="926">
        <f t="shared" si="2508"/>
      </c>
      <c r="CH1223" s="926">
        <f t="shared" si="2508"/>
      </c>
      <c r="CI1223" s="926">
        <f t="shared" si="2508"/>
      </c>
      <c r="CJ1223" s="926">
        <f t="shared" si="2508"/>
      </c>
      <c r="CK1223" s="1060">
        <f>IF(CF1218=0, 0, CK1218/CF1218-1)</f>
      </c>
      <c r="CL1223" s="926">
        <f t="shared" ref="CL1223:CO1224" si="2509">IF(CG1218="NM","NM",IF(CL1218="NM","NM",IF(CG1218&lt;=0,"NM",IF(CL1218=0,"NM",IF(ABS(CL1218/CG1218-1)&gt;2.5,"NM",IF((ABS(CL1218-CG1218)=ABS(ABS(CL1218)-ABS(CG1218))),(CL1218/CG1218-1),"NM"))))))</f>
      </c>
      <c r="CM1223" s="926">
        <f t="shared" si="2509"/>
      </c>
      <c r="CN1223" s="926">
        <f t="shared" si="2509"/>
      </c>
      <c r="CO1223" s="926">
        <f t="shared" si="2509"/>
      </c>
      <c r="CP1223" s="1060">
        <f>IF(CK1218=0, 0, CP1218/CK1218-1)</f>
      </c>
      <c r="CQ1223" s="926">
        <f t="shared" ref="CQ1223:CT1224" si="2510">IF(CL1218="NM","NM",IF(CQ1218="NM","NM",IF(CL1218&lt;=0,"NM",IF(CQ1218=0,"NM",IF(ABS(CQ1218/CL1218-1)&gt;2.5,"NM",IF((ABS(CQ1218-CL1218)=ABS(ABS(CQ1218)-ABS(CL1218))),(CQ1218/CL1218-1),"NM"))))))</f>
      </c>
      <c r="CR1223" s="926">
        <f t="shared" si="2510"/>
      </c>
      <c r="CS1223" s="926">
        <f t="shared" si="2510"/>
      </c>
      <c r="CT1223" s="926">
        <f t="shared" si="2510"/>
      </c>
      <c r="CU1223" s="1060">
        <f>IF(CP1218=0, 0, CU1218/CP1218-1)</f>
      </c>
      <c r="CV1223" s="926">
        <f t="shared" ref="CV1223:CY1224" si="2511">IF(CQ1218="NM","NM",IF(CV1218="NM","NM",IF(CQ1218&lt;=0,"NM",IF(CV1218=0,"NM",IF(ABS(CV1218/CQ1218-1)&gt;2.5,"NM",IF((ABS(CV1218-CQ1218)=ABS(ABS(CV1218)-ABS(CQ1218))),(CV1218/CQ1218-1),"NM"))))))</f>
      </c>
      <c r="CW1223" s="926">
        <f t="shared" si="2511"/>
      </c>
      <c r="CX1223" s="926">
        <f t="shared" si="2511"/>
      </c>
      <c r="CY1223" s="926">
        <f t="shared" si="2511"/>
      </c>
      <c r="CZ1223" s="1060">
        <f>IF(CU1218=0, 0, CZ1218/CU1218-1)</f>
      </c>
      <c r="DA1223" s="926">
        <f t="shared" ref="DA1223:DC1224" si="2512">IF(CV1218="NM","NM",IF(DA1218="NM","NM",IF(CV1218&lt;=0,"NM",IF(DA1218=0,"NM",IF(ABS(DA1218/CV1218-1)&gt;2.5,"NM",IF((ABS(DA1218-CV1218)=ABS(ABS(DA1218)-ABS(CV1218))),(DA1218/CV1218-1),"NM"))))))</f>
      </c>
      <c r="DB1223" s="926">
        <f t="shared" si="2512"/>
      </c>
      <c r="DC1223" s="926">
        <f t="shared" si="2512"/>
      </c>
      <c r="DD1223" s="927">
        <f>IF(DD1218=0,"NM",+DD1218/CY1218-1)</f>
      </c>
      <c r="DE1223" s="1060">
        <f>IF(CZ1218=0, 0, DE1218/CZ1218-1)</f>
      </c>
      <c r="DF1223" s="926">
        <f t="shared" ref="DF1223:DH1224" si="2513">IF(DA1218="NM","NM",IF(DF1218="NM","NM",IF(DA1218&lt;=0,"NM",IF(DF1218=0,"NM",IF(ABS(DF1218/DA1218-1)&gt;2.5,"NM",IF((ABS(DF1218-DA1218)=ABS(ABS(DF1218)-ABS(DA1218))),(DF1218/DA1218-1),"NM"))))))</f>
      </c>
      <c r="DG1223" s="926">
        <f t="shared" si="2513"/>
      </c>
      <c r="DH1223" s="926">
        <f t="shared" si="2513"/>
      </c>
      <c r="DI1223" s="928">
        <f>IF(DI1218=0,"NM",+DI1218/DD1218-1)</f>
      </c>
      <c r="DJ1223" s="1060">
        <f>IF(DE1218=0, 0, DJ1218/DE1218-1)</f>
      </c>
      <c r="DK1223" s="926">
        <f t="shared" ref="DK1223:DN1224" si="2514">IF(DF1218="NM","NM",IF(DK1218="NM","NM",IF(DF1218&lt;=0,"NM",IF(DK1218=0,"NM",IF(ABS(DK1218/DF1218-1)&gt;2.5,"NM",IF((ABS(DK1218-DF1218)=ABS(ABS(DK1218)-ABS(DF1218))),(DK1218/DF1218-1),"NM"))))))</f>
      </c>
      <c r="DL1223" s="926">
        <f t="shared" si="2514"/>
      </c>
      <c r="DM1223" s="926">
        <f t="shared" si="2514"/>
      </c>
      <c r="DN1223" s="926">
        <f t="shared" si="2514"/>
      </c>
      <c r="DO1223" s="1060">
        <f>IF(DJ1218=0, 0, DO1218/DJ1218-1)</f>
      </c>
      <c r="DP1223" s="926">
        <f t="shared" ref="DP1223:DR1224" si="2515">IF(DK1218="NM","NM",IF(DP1218="NM","NM",IF(DK1218&lt;=0,"NM",IF(DP1218=0,"NM",IF(ABS(DP1218/DK1218-1)&gt;2.5,"NM",IF((ABS(DP1218-DK1218)=ABS(ABS(DP1218)-ABS(DK1218))),(DP1218/DK1218-1),"NM"))))))</f>
      </c>
      <c r="DQ1223" s="926">
        <f t="shared" si="2515"/>
      </c>
      <c r="DR1223" s="926">
        <f t="shared" si="2515"/>
      </c>
      <c r="DS1223" s="926">
        <f>IF(DN1218=0, 0, DS1218/DN1218-1)</f>
      </c>
      <c r="DT1223" s="1060">
        <f>IF(DO1218=0, 0, DT1218/DO1218-1)</f>
      </c>
      <c r="DU1223" s="926">
        <f>IF(DP1218=0, 0, DU1218/DP1218-1)</f>
      </c>
      <c r="DV1223" s="926">
        <f t="shared" ref="DV1223:DX1224" si="2516">IF(DQ1218="NM","NM",IF(DV1218="NM","NM",IF(DQ1218&lt;=0,"NM",IF(DV1218=0,"NM",IF(ABS(DV1218/DQ1218-1)&gt;2.5,"NM",IF((ABS(DV1218-DQ1218)=ABS(ABS(DV1218)-ABS(DQ1218))),(DV1218/DQ1218-1),"NM"))))))</f>
      </c>
      <c r="DW1223" s="926">
        <f t="shared" si="2516"/>
      </c>
      <c r="DX1223" s="928">
        <f t="shared" si="2516"/>
      </c>
      <c r="DY1223" s="1060">
        <f>IF(DT1218=0, 0, DY1218/DT1218-1)</f>
      </c>
      <c r="DZ1223" s="926">
        <f t="shared" ref="DZ1223:EG1224" si="2517">IF(DU1218="NM","NM",IF(DZ1218="NM","NM",IF(DU1218&lt;=0,"NM",IF(DZ1218=0,"NM",IF(ABS(DZ1218/DU1218-1)&gt;2.5,"NM",IF((ABS(DZ1218-DU1218)=ABS(ABS(DZ1218)-ABS(DU1218))),(DZ1218/DU1218-1),"NM"))))))</f>
      </c>
      <c r="EA1223" s="926">
        <f t="shared" si="2517"/>
      </c>
      <c r="EB1223" s="926">
        <f t="shared" si="2517"/>
      </c>
      <c r="EC1223" s="1235">
        <f t="shared" si="2517"/>
      </c>
      <c r="ED1223" s="1536">
        <f>IF(DY1218=0, 0, ED1218/DY1218-1)</f>
      </c>
      <c r="EE1223" s="926">
        <f t="shared" si="2517"/>
      </c>
      <c r="EF1223" s="926">
        <f t="shared" si="2517"/>
      </c>
      <c r="EG1223" s="926">
        <f t="shared" si="2517"/>
      </c>
      <c r="EH1223" s="926">
        <f t="shared" ref="EH1223:EH1224" si="2518">IF(EC1218="NM","NM",IF(EH1218="NM","NM",IF(EC1218&lt;=0,"NM",IF(EH1218=0,"NM",IF(ABS(EH1218/EC1218-1)&gt;2.5,"NM",IF((ABS(EH1218-EC1218)=ABS(ABS(EH1218)-ABS(EC1218))),(EH1218/EC1218-1),"NM"))))))</f>
      </c>
      <c r="EI1223" s="448">
        <v>0</v>
      </c>
      <c r="EJ1223" s="836">
        <v>3.2000000000000001E-2</v>
      </c>
      <c r="EK1223" s="317">
        <v>3.2000000000000001E-2</v>
      </c>
      <c r="EL1223" s="317">
        <v>2.5999999999999999E-2</v>
      </c>
      <c r="EM1223" s="317">
        <v>2.5000000000000001E-2</v>
      </c>
      <c r="EN1223" s="317">
        <v>2.5000000000000001E-2</v>
      </c>
      <c r="EO1223" s="673"/>
      <c r="EP1223" s="673"/>
      <c r="EQ1223" s="673"/>
      <c r="ER1223" s="673"/>
      <c r="ES1223" s="673"/>
      <c r="ET1223" s="673"/>
      <c r="EU1223" s="673"/>
      <c r="EV1223" s="673"/>
      <c r="EW1223" s="673"/>
      <c r="EX1223" s="673"/>
    </row>
    <row r="1224" spans="2:154" ht="12.75" customHeight="1">
      <c r="B1224" s="443" t="s">
        <v>235</v>
      </c>
      <c r="C1224" s="1577"/>
      <c r="D1224" s="933"/>
      <c r="E1224" s="933"/>
      <c r="F1224" s="933"/>
      <c r="G1224" s="933"/>
      <c r="H1224" s="933"/>
      <c r="I1224" s="933"/>
      <c r="J1224" s="933"/>
      <c r="K1224" s="933"/>
      <c r="L1224" s="933"/>
      <c r="M1224" s="933"/>
      <c r="N1224" s="933"/>
      <c r="O1224" s="933"/>
      <c r="P1224" s="933"/>
      <c r="Q1224" s="933"/>
      <c r="R1224" s="933"/>
      <c r="S1224" s="933"/>
      <c r="T1224" s="933"/>
      <c r="U1224" s="933"/>
      <c r="V1224" s="933"/>
      <c r="W1224" s="933"/>
      <c r="X1224" s="1060"/>
      <c r="Y1224" s="933"/>
      <c r="Z1224" s="933"/>
      <c r="AA1224" s="933"/>
      <c r="AB1224" s="933"/>
      <c r="AC1224" s="1060"/>
      <c r="AD1224" s="926">
        <v>0.193</v>
      </c>
      <c r="AE1224" s="926">
        <v>0.19</v>
      </c>
      <c r="AF1224" s="926">
        <v>0.16900000000000001</v>
      </c>
      <c r="AG1224" s="926">
        <f>IF(AB1219="NM","NM",IF(AG1219="NM","NM",IF(AB1219&lt;=0,"NM",IF(AG1219=0,"NM",IF(ABS(AG1219/AB1219-1)&gt;2.5,"NM",IF((ABS(AG1219-AB1219)=ABS(ABS(AG1219)-ABS(AB1219))),(AG1219/AB1219-1),"NM"))))))</f>
      </c>
      <c r="AH1224" s="1060">
        <v>0.17599999999999999</v>
      </c>
      <c r="AI1224" s="926">
        <v>0.14199999999999999</v>
      </c>
      <c r="AJ1224" s="926">
        <v>0.129</v>
      </c>
      <c r="AK1224" s="926">
        <v>0.10199999999999999</v>
      </c>
      <c r="AL1224" s="926">
        <v>-0.02</v>
      </c>
      <c r="AM1224" s="1060">
        <f>IF(AH1219="NM","NM",IF(AM1219="NM","NM",IF(AH1219&lt;=0,"NM",IF(AM1219=0,"NM",IF(ABS(AM1219/AH1219-1)&gt;2.5,"NM",IF((ABS(AM1219-AH1219)=ABS(ABS(AM1219)-ABS(AH1219))),(AM1219/AH1219-1),"NM"))))))</f>
      </c>
      <c r="AN1224" s="926">
        <v>-1.9E-2</v>
      </c>
      <c r="AO1224" s="926">
        <v>-2.8000000000000001E-2</v>
      </c>
      <c r="AP1224" s="926">
        <v>1.9E-2</v>
      </c>
      <c r="AQ1224" s="926">
        <v>7.2999999999999995E-2</v>
      </c>
      <c r="AR1224" s="1060">
        <f>IF(AM1219="NM","NM",IF(AR1219="NM","NM",IF(AM1219&lt;=0,"NM",IF(AR1219=0,"NM",IF(ABS(AR1219/AM1219-1)&gt;2.5,"NM",IF((ABS(AR1219-AM1219)=ABS(ABS(AR1219)-ABS(AM1219))),(AR1219/AM1219-1),"NM"))))))</f>
      </c>
      <c r="AS1224" s="926">
        <v>0.16200000000000001</v>
      </c>
      <c r="AT1224" s="926">
        <v>0.16300000000000001</v>
      </c>
      <c r="AU1224" s="926">
        <v>0.20200000000000001</v>
      </c>
      <c r="AV1224" s="926">
        <v>0.23200000000000001</v>
      </c>
      <c r="AW1224" s="1060">
        <f>IF(AR1219="NM","NM",IF(AW1219="NM","NM",IF(AR1219&lt;=0,"NM",IF(AW1219=0,"NM",IF(ABS(AW1219/AR1219-1)&gt;2.5,"NM",IF((ABS(AW1219-AR1219)=ABS(ABS(AW1219)-ABS(AR1219))),(AW1219/AR1219-1),"NM"))))))</f>
      </c>
      <c r="AX1224" s="2373">
        <v>0.13</v>
      </c>
      <c r="AY1224" s="2373">
        <v>0.19</v>
      </c>
      <c r="AZ1224" s="2373">
        <v>0.08</v>
      </c>
      <c r="BA1224" s="2373">
        <v>-0.08</v>
      </c>
      <c r="BB1224" s="1060">
        <f>IF(AW1219="NM","NM",IF(BB1219="NM","NM",IF(AW1219&lt;=0,"NM",IF(BB1219=0,"NM",IF(ABS(BB1219/AW1219-1)&gt;2.5,"NM",IF((ABS(BB1219-AW1219)=ABS(ABS(BB1219)-ABS(AW1219))),(BB1219/AW1219-1),"NM"))))))</f>
      </c>
      <c r="BC1224" s="926">
        <v>-0.16</v>
      </c>
      <c r="BD1224" s="926">
        <f>IF(AY1219="NM","NM",IF(BD1219="NM","NM",IF(AY1219&lt;=0,"NM",IF(BD1219=0,"NM",IF(ABS(BD1219/AY1219-1)&gt;2.5,"NM",IF((ABS(BD1219-AY1219)=ABS(ABS(BD1219)-ABS(AY1219))),(BD1219/AY1219-1),"NM"))))))</f>
      </c>
      <c r="BE1224" s="926">
        <f>IF(ISNUMBER(BE1225),(1+BE1225)*(1+BE$21)-1,"NM")</f>
      </c>
      <c r="BF1224" s="926">
        <f t="shared" si="2507"/>
      </c>
      <c r="BG1224" s="1060">
        <f t="shared" si="2507"/>
      </c>
      <c r="BH1224" s="926">
        <f t="shared" si="2507"/>
      </c>
      <c r="BI1224" s="926">
        <f t="shared" si="2507"/>
      </c>
      <c r="BJ1224" s="926">
        <f t="shared" si="2507"/>
      </c>
      <c r="BK1224" s="926">
        <f t="shared" si="2507"/>
      </c>
      <c r="BL1224" s="1060">
        <f t="shared" si="2507"/>
      </c>
      <c r="BM1224" s="926">
        <f t="shared" si="2507"/>
      </c>
      <c r="BN1224" s="926">
        <f t="shared" si="2507"/>
      </c>
      <c r="BO1224" s="926">
        <f t="shared" si="2507"/>
      </c>
      <c r="BP1224" s="926">
        <f t="shared" si="2507"/>
      </c>
      <c r="BQ1224" s="1060">
        <f t="shared" si="2507"/>
      </c>
      <c r="BR1224" s="926">
        <f t="shared" si="2507"/>
      </c>
      <c r="BS1224" s="926">
        <f t="shared" si="2507"/>
      </c>
      <c r="BT1224" s="926">
        <f t="shared" si="2507"/>
      </c>
      <c r="BU1224" s="926">
        <f t="shared" si="2507"/>
      </c>
      <c r="BV1224" s="1060">
        <f t="shared" si="2507"/>
      </c>
      <c r="BW1224" s="926">
        <f>IF(ISNUMBER(BW1225),(1+BW1225)*(1+BW$21)-1,"NM")</f>
      </c>
      <c r="BX1224" s="926">
        <f>IF(ISNUMBER(BX1225),(1+BX1225)*(1+BX$21)-1,"NM")</f>
      </c>
      <c r="BY1224" s="926">
        <f>IF(ISNUMBER(BY1225),(1+BY1225)*(1+BY$21)-1,"NM")</f>
      </c>
      <c r="BZ1224" s="928">
        <f>IF(ISNUMBER(BZ1225),(1+BZ1225)*(1+BZ$21)-1,"NM")</f>
      </c>
      <c r="CA1224" s="1060">
        <f t="shared" si="2508"/>
      </c>
      <c r="CB1224" s="926">
        <f t="shared" si="2508"/>
      </c>
      <c r="CC1224" s="926">
        <f t="shared" si="2508"/>
      </c>
      <c r="CD1224" s="926">
        <f t="shared" si="2508"/>
      </c>
      <c r="CE1224" s="926">
        <f t="shared" si="2508"/>
      </c>
      <c r="CF1224" s="1060">
        <f t="shared" si="2508"/>
      </c>
      <c r="CG1224" s="926">
        <f t="shared" si="2508"/>
      </c>
      <c r="CH1224" s="926">
        <f t="shared" si="2508"/>
      </c>
      <c r="CI1224" s="926">
        <f t="shared" si="2508"/>
      </c>
      <c r="CJ1224" s="926">
        <f t="shared" si="2508"/>
      </c>
      <c r="CK1224" s="1060">
        <f>IF(CF1219=0, "NA", CK1219/CF1219-1)</f>
      </c>
      <c r="CL1224" s="926">
        <f t="shared" si="2509"/>
      </c>
      <c r="CM1224" s="926">
        <f t="shared" si="2509"/>
      </c>
      <c r="CN1224" s="926">
        <f t="shared" si="2509"/>
      </c>
      <c r="CO1224" s="926">
        <f t="shared" si="2509"/>
      </c>
      <c r="CP1224" s="1060">
        <f>IF(CK1219=0, "NA", CP1219/CK1219-1)</f>
      </c>
      <c r="CQ1224" s="926">
        <f t="shared" si="2510"/>
      </c>
      <c r="CR1224" s="926">
        <f t="shared" si="2510"/>
      </c>
      <c r="CS1224" s="926">
        <f t="shared" si="2510"/>
      </c>
      <c r="CT1224" s="926">
        <f t="shared" si="2510"/>
      </c>
      <c r="CU1224" s="1060">
        <f>IF(CP1219=0, "NA", CU1219/CP1219-1)</f>
      </c>
      <c r="CV1224" s="926">
        <f t="shared" si="2511"/>
      </c>
      <c r="CW1224" s="926">
        <f t="shared" si="2511"/>
      </c>
      <c r="CX1224" s="926">
        <f t="shared" si="2511"/>
      </c>
      <c r="CY1224" s="926">
        <f t="shared" si="2511"/>
      </c>
      <c r="CZ1224" s="1060">
        <f>IF(CU1219=0, "NA", CZ1219/CU1219-1)</f>
      </c>
      <c r="DA1224" s="926">
        <f t="shared" si="2512"/>
      </c>
      <c r="DB1224" s="926">
        <f t="shared" si="2512"/>
      </c>
      <c r="DC1224" s="926">
        <f t="shared" si="2512"/>
      </c>
      <c r="DD1224" s="960">
        <f>IF(DD1219=0, "NM", DD1219/CY1219-1)</f>
      </c>
      <c r="DE1224" s="1060">
        <f>IF(CZ1219=0, "NA", DE1219/CZ1219-1)</f>
      </c>
      <c r="DF1224" s="926">
        <f t="shared" si="2513"/>
      </c>
      <c r="DG1224" s="926">
        <f t="shared" si="2513"/>
      </c>
      <c r="DH1224" s="926">
        <f t="shared" si="2513"/>
      </c>
      <c r="DI1224" s="928">
        <f>IF(DI1219=0, "NM", DI1219/DD1219-1)</f>
      </c>
      <c r="DJ1224" s="1060">
        <f>IF(DE1219=0, "NA", DJ1219/DE1219-1)</f>
      </c>
      <c r="DK1224" s="926">
        <f t="shared" si="2514"/>
      </c>
      <c r="DL1224" s="926">
        <f t="shared" si="2514"/>
      </c>
      <c r="DM1224" s="926">
        <f t="shared" si="2514"/>
      </c>
      <c r="DN1224" s="926">
        <f t="shared" si="2514"/>
      </c>
      <c r="DO1224" s="1060">
        <f>IF(DJ1219=0, "NA", DO1219/DJ1219-1)</f>
      </c>
      <c r="DP1224" s="926">
        <f t="shared" si="2515"/>
      </c>
      <c r="DQ1224" s="926">
        <f t="shared" si="2515"/>
      </c>
      <c r="DR1224" s="926">
        <f t="shared" si="2515"/>
      </c>
      <c r="DS1224" s="926">
        <f>IF(DN1219=0, "NA", DS1219/DN1219-1)</f>
      </c>
      <c r="DT1224" s="1060">
        <f>IF(DO1219=0, "NA", DT1219/DO1219-1)</f>
      </c>
      <c r="DU1224" s="926">
        <f>IF(DP1219=0, "NA", DU1219/DP1219-1)</f>
      </c>
      <c r="DV1224" s="926">
        <f t="shared" si="2516"/>
      </c>
      <c r="DW1224" s="926">
        <f t="shared" si="2516"/>
      </c>
      <c r="DX1224" s="928">
        <f t="shared" si="2516"/>
      </c>
      <c r="DY1224" s="1060">
        <f>IF(DT1219=0, "NA", DY1219/DT1219-1)</f>
      </c>
      <c r="DZ1224" s="926">
        <f t="shared" si="2517"/>
      </c>
      <c r="EA1224" s="926">
        <f t="shared" si="2517"/>
      </c>
      <c r="EB1224" s="926">
        <f t="shared" si="2517"/>
      </c>
      <c r="EC1224" s="1235">
        <f t="shared" si="2517"/>
      </c>
      <c r="ED1224" s="1536">
        <f>IF(DY1219=0, "NA", ED1219/DY1219-1)</f>
      </c>
      <c r="EE1224" s="926">
        <f t="shared" si="2517"/>
      </c>
      <c r="EF1224" s="926">
        <f t="shared" si="2517"/>
      </c>
      <c r="EG1224" s="926">
        <f t="shared" si="2517"/>
      </c>
      <c r="EH1224" s="926">
        <f t="shared" si="2518"/>
      </c>
      <c r="EI1224" s="1060">
        <f t="shared" ref="EI1224" si="2519">EI1225+EI$1370</f>
      </c>
      <c r="EJ1224" s="928">
        <f>EJ1225+EJ$1370</f>
      </c>
      <c r="EK1224" s="1060">
        <f>EK1225+EK$1370</f>
      </c>
      <c r="EL1224" s="1060">
        <f>EL1225+EL$1370</f>
      </c>
      <c r="EM1224" s="1060">
        <f>EM1225+EM$1370</f>
      </c>
      <c r="EN1224" s="1060">
        <f>EN1225+EN$1370</f>
      </c>
      <c r="EO1224" s="1060"/>
      <c r="EP1224" s="1060"/>
      <c r="EQ1224" s="1060"/>
      <c r="ER1224" s="1060"/>
      <c r="ES1224" s="1060"/>
      <c r="ET1224" s="1060"/>
      <c r="EU1224" s="1060"/>
      <c r="EV1224" s="1060"/>
      <c r="EW1224" s="1060"/>
      <c r="EX1224" s="1060"/>
    </row>
    <row r="1225" spans="2:154" ht="12.75" customHeight="1">
      <c r="B1225" s="443" t="s">
        <v>157</v>
      </c>
      <c r="C1225" s="1577"/>
      <c r="D1225" s="933"/>
      <c r="E1225" s="933"/>
      <c r="F1225" s="933"/>
      <c r="G1225" s="933"/>
      <c r="H1225" s="933"/>
      <c r="I1225" s="933"/>
      <c r="J1225" s="933"/>
      <c r="K1225" s="933"/>
      <c r="L1225" s="933"/>
      <c r="M1225" s="933"/>
      <c r="N1225" s="933"/>
      <c r="O1225" s="933"/>
      <c r="P1225" s="933"/>
      <c r="Q1225" s="933"/>
      <c r="R1225" s="933"/>
      <c r="S1225" s="933"/>
      <c r="T1225" s="933"/>
      <c r="U1225" s="933"/>
      <c r="V1225" s="933"/>
      <c r="W1225" s="933"/>
      <c r="X1225" s="2248"/>
      <c r="Y1225" s="933"/>
      <c r="Z1225" s="933"/>
      <c r="AA1225" s="933"/>
      <c r="AB1225" s="933"/>
      <c r="AC1225" s="2248"/>
      <c r="AD1225" s="959">
        <f t="shared" ref="AD1225:BD1225" si="2520">IF(ISNUMBER(AD1224),(1+AD1224)/(1+AD$21)-1,"NM")</f>
      </c>
      <c r="AE1225" s="959">
        <f t="shared" si="2520"/>
      </c>
      <c r="AF1225" s="959">
        <f t="shared" si="2520"/>
      </c>
      <c r="AG1225" s="959">
        <f t="shared" si="2520"/>
      </c>
      <c r="AH1225" s="2248">
        <f t="shared" si="2520"/>
      </c>
      <c r="AI1225" s="959">
        <f t="shared" si="2520"/>
      </c>
      <c r="AJ1225" s="959">
        <f t="shared" si="2520"/>
      </c>
      <c r="AK1225" s="959">
        <f t="shared" si="2520"/>
      </c>
      <c r="AL1225" s="959">
        <f t="shared" si="2520"/>
      </c>
      <c r="AM1225" s="2248">
        <f t="shared" si="2520"/>
      </c>
      <c r="AN1225" s="959">
        <f t="shared" si="2520"/>
      </c>
      <c r="AO1225" s="959">
        <f t="shared" si="2520"/>
      </c>
      <c r="AP1225" s="959">
        <f t="shared" si="2520"/>
      </c>
      <c r="AQ1225" s="959">
        <f t="shared" si="2520"/>
      </c>
      <c r="AR1225" s="2248">
        <f t="shared" si="2520"/>
      </c>
      <c r="AS1225" s="959">
        <f t="shared" si="2520"/>
      </c>
      <c r="AT1225" s="959">
        <f t="shared" si="2520"/>
      </c>
      <c r="AU1225" s="959">
        <f t="shared" si="2520"/>
      </c>
      <c r="AV1225" s="959">
        <f t="shared" si="2520"/>
      </c>
      <c r="AW1225" s="2248">
        <f t="shared" si="2520"/>
      </c>
      <c r="AX1225" s="959">
        <f t="shared" si="2520"/>
      </c>
      <c r="AY1225" s="959">
        <f t="shared" si="2520"/>
      </c>
      <c r="AZ1225" s="959">
        <f t="shared" si="2520"/>
      </c>
      <c r="BA1225" s="959">
        <f t="shared" si="2520"/>
      </c>
      <c r="BB1225" s="2248">
        <f t="shared" si="2520"/>
      </c>
      <c r="BC1225" s="959">
        <f t="shared" si="2520"/>
      </c>
      <c r="BD1225" s="959">
        <f t="shared" si="2520"/>
      </c>
      <c r="BE1225" s="959">
        <v>0.03</v>
      </c>
      <c r="BF1225" s="959">
        <f t="shared" ref="BF1225:BM1225" si="2521">IF(ISNUMBER(BF1224),(1+BF1224)/(1+BF$21)-1,"NM")</f>
      </c>
      <c r="BG1225" s="1066">
        <f t="shared" si="2521"/>
      </c>
      <c r="BH1225" s="959">
        <f t="shared" si="2521"/>
      </c>
      <c r="BI1225" s="959">
        <f t="shared" si="2521"/>
      </c>
      <c r="BJ1225" s="959">
        <f t="shared" si="2521"/>
      </c>
      <c r="BK1225" s="959">
        <f t="shared" si="2521"/>
      </c>
      <c r="BL1225" s="2248">
        <f t="shared" si="2521"/>
      </c>
      <c r="BM1225" s="959">
        <f t="shared" si="2521"/>
      </c>
      <c r="BN1225" s="959">
        <v>-3.5999999999999997E-2</v>
      </c>
      <c r="BO1225" s="959">
        <v>-6.0000000000000001E-3</v>
      </c>
      <c r="BP1225" s="926">
        <v>3.0000000000000001E-3</v>
      </c>
      <c r="BQ1225" s="2248">
        <v>-1.2999999999999999E-2</v>
      </c>
      <c r="BR1225" s="649">
        <v>7.0000000000000001E-3</v>
      </c>
      <c r="BS1225" s="649">
        <v>2.9000000000000001E-2</v>
      </c>
      <c r="BT1225" s="649">
        <v>1E-3</v>
      </c>
      <c r="BU1225" s="649">
        <v>1.0999999999999999E-2</v>
      </c>
      <c r="BV1225" s="1060">
        <v>-1.2999999999999999E-2</v>
      </c>
      <c r="BW1225" s="407">
        <v>-6.7977801524558457E-2</v>
      </c>
      <c r="BX1225" s="407">
        <v>5.7375599131508581E-2</v>
      </c>
      <c r="BY1225" s="407">
        <v>4.1043862471023873E-2</v>
      </c>
      <c r="BZ1225" s="649">
        <v>-2.8326968013300258E-3</v>
      </c>
      <c r="CA1225" s="1060">
        <f t="shared" ref="CA1225:CI1225" si="2522">IF(ISNUMBER(CA1224),(1+CA1224)/(1+CA$21)-1,"NM")</f>
      </c>
      <c r="CB1225" s="959">
        <f t="shared" si="2522"/>
      </c>
      <c r="CC1225" s="926">
        <f t="shared" si="2522"/>
      </c>
      <c r="CD1225" s="926">
        <f t="shared" si="2522"/>
      </c>
      <c r="CE1225" s="926">
        <f t="shared" si="2522"/>
      </c>
      <c r="CF1225" s="1060">
        <f t="shared" si="2522"/>
      </c>
      <c r="CG1225" s="926">
        <f t="shared" si="2522"/>
      </c>
      <c r="CH1225" s="926">
        <f t="shared" si="2522"/>
      </c>
      <c r="CI1225" s="926">
        <f t="shared" si="2522"/>
      </c>
      <c r="CJ1225" s="649">
        <v>2.4E-2</v>
      </c>
      <c r="CK1225" s="2248">
        <f>CK1224-CK$21</f>
      </c>
      <c r="CL1225" s="926">
        <f>IF(ISNUMBER(CL1224),(1+CL1224)/(1+CL$21)-1,"NM")</f>
      </c>
      <c r="CM1225" s="926">
        <f>IF(ISNUMBER(CM1224),(1+CM1224)/(1+CM$21)-1,"NM")</f>
      </c>
      <c r="CN1225" s="926">
        <f>IF(ISNUMBER(CN1224),(1+CN1224)/(1+CN$21)-1,"NM")</f>
      </c>
      <c r="CO1225" s="649">
        <v>8.9999999999999993E-3</v>
      </c>
      <c r="CP1225" s="2248">
        <f>CP1224-CP$21</f>
      </c>
      <c r="CQ1225" s="649">
        <v>7.0000000000000007E-2</v>
      </c>
      <c r="CR1225" s="649">
        <v>-2.5000000000000001E-2</v>
      </c>
      <c r="CS1225" s="407">
        <v>-9.5000000000000001E-2</v>
      </c>
      <c r="CT1225" s="407">
        <v>-2.5000000000000001E-2</v>
      </c>
      <c r="CU1225" s="2248">
        <v>-1.6E-2</v>
      </c>
      <c r="CV1225" s="649">
        <v>-4.2000000000000003E-2</v>
      </c>
      <c r="CW1225" s="649">
        <v>-8.0000000000000002E-3</v>
      </c>
      <c r="CX1225" s="649">
        <v>6.8000000000000005E-2</v>
      </c>
      <c r="CY1225" s="407">
        <v>5.1999999999999998E-2</v>
      </c>
      <c r="CZ1225" s="406">
        <v>1.4999999999999999E-2</v>
      </c>
      <c r="DA1225" s="649">
        <v>-1.4999999999999999E-2</v>
      </c>
      <c r="DB1225" s="649">
        <v>5.3999999999999999E-2</v>
      </c>
      <c r="DC1225" s="29">
        <v>0.108</v>
      </c>
      <c r="DD1225" s="1482">
        <v>3.2000000000000001E-2</v>
      </c>
      <c r="DE1225" s="1060">
        <v>4.1000000000000002E-2</v>
      </c>
      <c r="DF1225" s="649">
        <v>-8.8999999999999996E-2</v>
      </c>
      <c r="DG1225" s="29">
        <v>-0.55300000000000005</v>
      </c>
      <c r="DH1225" s="29">
        <v>-0.26400000000000001</v>
      </c>
      <c r="DI1225" s="1482">
        <v>-0.20599999999999999</v>
      </c>
      <c r="DJ1225" s="448">
        <v>-0.28000000000000003</v>
      </c>
      <c r="DK1225" s="649">
        <v>-4.1000000000000002E-2</v>
      </c>
      <c r="DL1225" s="649">
        <v>0.95099999999999996</v>
      </c>
      <c r="DM1225" s="29">
        <v>0.25900000000000001</v>
      </c>
      <c r="DN1225" s="29">
        <v>6.5000000000000002E-2</v>
      </c>
      <c r="DO1225" s="448">
        <v>0.217</v>
      </c>
      <c r="DP1225" s="649">
        <v>9.0999999999999998E-2</v>
      </c>
      <c r="DQ1225" s="649">
        <v>3.9E-2</v>
      </c>
      <c r="DR1225" s="649">
        <v>-2.1000000000000001E-2</v>
      </c>
      <c r="DS1225" s="649">
        <v>1.2E-2</v>
      </c>
      <c r="DT1225" s="448">
        <v>3.1E-2</v>
      </c>
      <c r="DU1225" s="2632">
        <v>9.6000000000000002E-2</v>
      </c>
      <c r="DV1225" s="2632">
        <v>0.08</v>
      </c>
      <c r="DW1225" s="2632">
        <v>0.11700000000000001</v>
      </c>
      <c r="DX1225" s="3303">
        <v>0.156</v>
      </c>
      <c r="DY1225" s="448">
        <v>0.111</v>
      </c>
      <c r="DZ1225" s="649">
        <v>0.13100000000000001</v>
      </c>
      <c r="EA1225" s="649">
        <v>0.17699999999999999</v>
      </c>
      <c r="EB1225" s="649">
        <v>7.0000000000000007E-2</v>
      </c>
      <c r="EC1225" s="3612">
        <v>0.113</v>
      </c>
      <c r="ED1225" s="3623">
        <v>0.124</v>
      </c>
      <c r="EE1225" s="649">
        <v>2.1000000000000001E-2</v>
      </c>
      <c r="EF1225" s="649">
        <v>-2.9000000000000001E-2</v>
      </c>
      <c r="EG1225" s="649">
        <v>0.109</v>
      </c>
      <c r="EH1225" s="926">
        <f>+EH1224-EH$1370</f>
      </c>
      <c r="EI1225" s="836">
        <v>5.0000000000000001E-3</v>
      </c>
      <c r="EJ1225" s="836">
        <v>0.05</v>
      </c>
      <c r="EK1225" s="836">
        <v>4.4999999999999998E-2</v>
      </c>
      <c r="EL1225" s="836">
        <v>4.4999999999999998E-2</v>
      </c>
      <c r="EM1225" s="836">
        <v>4.4999999999999998E-2</v>
      </c>
      <c r="EN1225" s="836">
        <v>4.4999999999999998E-2</v>
      </c>
      <c r="EO1225" s="673"/>
      <c r="EP1225" s="673"/>
      <c r="EQ1225" s="673"/>
      <c r="ER1225" s="673"/>
      <c r="ES1225" s="673"/>
      <c r="ET1225" s="673"/>
      <c r="EU1225" s="673"/>
      <c r="EV1225" s="673"/>
      <c r="EW1225" s="673"/>
      <c r="EX1225" s="673"/>
    </row>
    <row r="1226" spans="2:154" ht="12.75" customHeight="1">
      <c r="B1226" s="443" t="s">
        <v>19</v>
      </c>
      <c r="C1226" s="1577"/>
      <c r="D1226" s="933"/>
      <c r="E1226" s="933"/>
      <c r="F1226" s="933"/>
      <c r="G1226" s="933"/>
      <c r="H1226" s="933"/>
      <c r="I1226" s="933"/>
      <c r="J1226" s="933"/>
      <c r="K1226" s="933"/>
      <c r="L1226" s="933"/>
      <c r="M1226" s="933"/>
      <c r="N1226" s="933"/>
      <c r="O1226" s="933"/>
      <c r="P1226" s="933"/>
      <c r="Q1226" s="933"/>
      <c r="R1226" s="933"/>
      <c r="S1226" s="933"/>
      <c r="T1226" s="933"/>
      <c r="U1226" s="933"/>
      <c r="V1226" s="933"/>
      <c r="W1226" s="933"/>
      <c r="X1226" s="1060"/>
      <c r="Y1226" s="933"/>
      <c r="Z1226" s="933"/>
      <c r="AA1226" s="933"/>
      <c r="AB1226" s="933"/>
      <c r="AC1226" s="1060"/>
      <c r="AD1226" s="926">
        <f t="shared" ref="AD1226:CJ1226" si="2523">IF(Y1220="NM","NM",IF(AD1220="NM","NM",IF(Y1220&lt;=0,"NM",IF(AD1220=0,"NM",IF(ABS(AD1220/Y1220-1)&gt;2.5,"NM",IF((ABS(AD1220-Y1220)=ABS(ABS(AD1220)-ABS(Y1220))),(AD1220/Y1220-1),"NM"))))))</f>
      </c>
      <c r="AE1226" s="926">
        <f t="shared" si="2523"/>
      </c>
      <c r="AF1226" s="926">
        <f t="shared" si="2523"/>
      </c>
      <c r="AG1226" s="926">
        <f t="shared" si="2523"/>
      </c>
      <c r="AH1226" s="1060">
        <f t="shared" si="2523"/>
      </c>
      <c r="AI1226" s="926">
        <f t="shared" si="2523"/>
      </c>
      <c r="AJ1226" s="926">
        <f t="shared" si="2523"/>
      </c>
      <c r="AK1226" s="926">
        <f t="shared" si="2523"/>
      </c>
      <c r="AL1226" s="926">
        <f t="shared" si="2523"/>
      </c>
      <c r="AM1226" s="1060">
        <f t="shared" si="2523"/>
      </c>
      <c r="AN1226" s="926">
        <f t="shared" si="2523"/>
      </c>
      <c r="AO1226" s="926">
        <f t="shared" si="2523"/>
      </c>
      <c r="AP1226" s="926">
        <f t="shared" si="2523"/>
      </c>
      <c r="AQ1226" s="926">
        <f t="shared" si="2523"/>
      </c>
      <c r="AR1226" s="1060">
        <f t="shared" si="2523"/>
      </c>
      <c r="AS1226" s="926">
        <f t="shared" si="2523"/>
      </c>
      <c r="AT1226" s="926">
        <f t="shared" si="2523"/>
      </c>
      <c r="AU1226" s="926">
        <f t="shared" si="2523"/>
      </c>
      <c r="AV1226" s="926">
        <f t="shared" si="2523"/>
      </c>
      <c r="AW1226" s="1060">
        <f t="shared" si="2523"/>
      </c>
      <c r="AX1226" s="926">
        <f t="shared" si="2523"/>
      </c>
      <c r="AY1226" s="926">
        <f t="shared" si="2523"/>
      </c>
      <c r="AZ1226" s="926">
        <f t="shared" si="2523"/>
      </c>
      <c r="BA1226" s="926">
        <f t="shared" si="2523"/>
      </c>
      <c r="BB1226" s="1060">
        <f t="shared" si="2523"/>
      </c>
      <c r="BC1226" s="926">
        <f t="shared" si="2523"/>
      </c>
      <c r="BD1226" s="926">
        <f t="shared" si="2523"/>
      </c>
      <c r="BE1226" s="926">
        <f t="shared" si="2523"/>
      </c>
      <c r="BF1226" s="926">
        <f t="shared" si="2523"/>
      </c>
      <c r="BG1226" s="1060">
        <f t="shared" si="2523"/>
      </c>
      <c r="BH1226" s="926">
        <f t="shared" si="2523"/>
      </c>
      <c r="BI1226" s="926">
        <f t="shared" si="2523"/>
      </c>
      <c r="BJ1226" s="926">
        <f t="shared" si="2523"/>
      </c>
      <c r="BK1226" s="926">
        <f t="shared" si="2523"/>
      </c>
      <c r="BL1226" s="1060">
        <f t="shared" si="2523"/>
      </c>
      <c r="BM1226" s="926">
        <f t="shared" si="2523"/>
      </c>
      <c r="BN1226" s="926">
        <f t="shared" si="2523"/>
      </c>
      <c r="BO1226" s="926">
        <f t="shared" si="2523"/>
      </c>
      <c r="BP1226" s="926">
        <f t="shared" si="2523"/>
      </c>
      <c r="BQ1226" s="1060">
        <f t="shared" si="2523"/>
      </c>
      <c r="BR1226" s="926">
        <f t="shared" si="2523"/>
      </c>
      <c r="BS1226" s="926">
        <f t="shared" si="2523"/>
      </c>
      <c r="BT1226" s="926">
        <f t="shared" si="2523"/>
      </c>
      <c r="BU1226" s="926">
        <f t="shared" si="2523"/>
      </c>
      <c r="BV1226" s="1060">
        <f t="shared" si="2523"/>
      </c>
      <c r="BW1226" s="926">
        <f t="shared" si="2523"/>
      </c>
      <c r="BX1226" s="926">
        <f t="shared" si="2523"/>
      </c>
      <c r="BY1226" s="926">
        <f t="shared" si="2523"/>
      </c>
      <c r="BZ1226" s="928">
        <f t="shared" si="2523"/>
      </c>
      <c r="CA1226" s="1060">
        <f t="shared" si="2523"/>
      </c>
      <c r="CB1226" s="926">
        <f t="shared" si="2523"/>
      </c>
      <c r="CC1226" s="926">
        <f t="shared" si="2523"/>
      </c>
      <c r="CD1226" s="926">
        <f t="shared" si="2523"/>
      </c>
      <c r="CE1226" s="926">
        <f t="shared" si="2523"/>
      </c>
      <c r="CF1226" s="1060">
        <f t="shared" si="2523"/>
      </c>
      <c r="CG1226" s="926">
        <f t="shared" si="2523"/>
      </c>
      <c r="CH1226" s="926">
        <f t="shared" si="2523"/>
      </c>
      <c r="CI1226" s="926">
        <f t="shared" si="2523"/>
      </c>
      <c r="CJ1226" s="926">
        <f t="shared" si="2523"/>
      </c>
      <c r="CK1226" s="1060">
        <f>IF(CF1220=0, "NA", CK1220/CF1220-1)</f>
      </c>
      <c r="CL1226" s="926">
        <f>IF(CG1220="NM","NM",IF(CL1220="NM","NM",IF(CG1220&lt;=0,"NM",IF(CL1220=0,"NM",IF(ABS(CL1220/CG1220-1)&gt;2.5,"NM",IF((ABS(CL1220-CG1220)=ABS(ABS(CL1220)-ABS(CG1220))),(CL1220/CG1220-1),"NM"))))))</f>
      </c>
      <c r="CM1226" s="926">
        <f>IF(CH1220="NM","NM",IF(CM1220="NM","NM",IF(CH1220&lt;=0,"NM",IF(CM1220=0,"NM",IF(ABS(CM1220/CH1220-1)&gt;2.5,"NM",IF((ABS(CM1220-CH1220)=ABS(ABS(CM1220)-ABS(CH1220))),(CM1220/CH1220-1),"NM"))))))</f>
      </c>
      <c r="CN1226" s="926">
        <f>IF(CI1220="NM","NM",IF(CN1220="NM","NM",IF(CI1220&lt;=0,"NM",IF(CN1220=0,"NM",IF(ABS(CN1220/CI1220-1)&gt;2.5,"NM",IF((ABS(CN1220-CI1220)=ABS(ABS(CN1220)-ABS(CI1220))),(CN1220/CI1220-1),"NM"))))))</f>
      </c>
      <c r="CO1226" s="926">
        <f>IF(CJ1220="NM","NM",IF(CO1220="NM","NM",IF(CJ1220&lt;=0,"NM",IF(CO1220=0,"NM",IF(ABS(CO1220/CJ1220-1)&gt;2.5,"NM",IF((ABS(CO1220-CJ1220)=ABS(ABS(CO1220)-ABS(CJ1220))),(CO1220/CJ1220-1),"NM"))))))</f>
      </c>
      <c r="CP1226" s="1060">
        <f>IF(CK1220=0, "NA", CP1220/CK1220-1)</f>
      </c>
      <c r="CQ1226" s="926">
        <f>IF(CL1220="NM","NM",IF(CQ1220="NM","NM",IF(CL1220&lt;=0,"NM",IF(CQ1220=0,"NM",IF(ABS(CQ1220/CL1220-1)&gt;2.5,"NM",IF((ABS(CQ1220-CL1220)=ABS(ABS(CQ1220)-ABS(CL1220))),(CQ1220/CL1220-1),"NM"))))))</f>
      </c>
      <c r="CR1226" s="926">
        <f>IF(CM1220="NM","NM",IF(CR1220="NM","NM",IF(CM1220&lt;=0,"NM",IF(CR1220=0,"NM",IF(ABS(CR1220/CM1220-1)&gt;2.5,"NM",IF((ABS(CR1220-CM1220)=ABS(ABS(CR1220)-ABS(CM1220))),(CR1220/CM1220-1),"NM"))))))</f>
      </c>
      <c r="CS1226" s="926">
        <f>IF(CN1220="NM","NM",IF(CS1220="NM","NM",IF(CN1220&lt;=0,"NM",IF(CS1220=0,"NM",IF(ABS(CS1220/CN1220-1)&gt;2.5,"NM",IF((ABS(CS1220-CN1220)=ABS(ABS(CS1220)-ABS(CN1220))),(CS1220/CN1220-1),"NM"))))))</f>
      </c>
      <c r="CT1226" s="926">
        <f>IF(CO1220="NM","NM",IF(CT1220="NM","NM",IF(CO1220&lt;=0,"NM",IF(CT1220=0,"NM",IF(ABS(CT1220/CO1220-1)&gt;2.5,"NM",IF((ABS(CT1220-CO1220)=ABS(ABS(CT1220)-ABS(CO1220))),(CT1220/CO1220-1),"NM"))))))</f>
      </c>
      <c r="CU1226" s="1060">
        <f>IF(CP1220=0, "NA", CU1220/CP1220-1)</f>
      </c>
      <c r="CV1226" s="926">
        <f>IF(CQ1220="NM","NM",IF(CV1220="NM","NM",IF(CQ1220&lt;=0,"NM",IF(CV1220=0,"NM",IF(ABS(CV1220/CQ1220-1)&gt;2.5,"NM",IF((ABS(CV1220-CQ1220)=ABS(ABS(CV1220)-ABS(CQ1220))),(CV1220/CQ1220-1),"NM"))))))</f>
      </c>
      <c r="CW1226" s="926">
        <f>IF(CR1220="NM","NM",IF(CW1220="NM","NM",IF(CR1220&lt;=0,"NM",IF(CW1220=0,"NM",IF(ABS(CW1220/CR1220-1)&gt;2.5,"NM",IF((ABS(CW1220-CR1220)=ABS(ABS(CW1220)-ABS(CR1220))),(CW1220/CR1220-1),"NM"))))))</f>
      </c>
      <c r="CX1226" s="926">
        <f>IF(CS1220="NM","NM",IF(CX1220="NM","NM",IF(CS1220&lt;=0,"NM",IF(CX1220=0,"NM",IF(ABS(CX1220/CS1220-1)&gt;2.5,"NM",IF((ABS(CX1220-CS1220)=ABS(ABS(CX1220)-ABS(CS1220))),(CX1220/CS1220-1),"NM"))))))</f>
      </c>
      <c r="CY1226" s="926">
        <f>IF(CT1220="NM","NM",IF(CY1220="NM","NM",IF(CT1220&lt;=0,"NM",IF(CY1220=0,"NM",IF(ABS(CY1220/CT1220-1)&gt;2.5,"NM",IF((ABS(CY1220-CT1220)=ABS(ABS(CY1220)-ABS(CT1220))),(CY1220/CT1220-1),"NM"))))))</f>
      </c>
      <c r="CZ1226" s="1060">
        <f>IF(CU1220=0, "NA", CZ1220/CU1220-1)</f>
      </c>
      <c r="DA1226" s="926">
        <f>IF(CV1220="NM","NM",IF(DA1220="NM","NM",IF(CV1220&lt;=0,"NM",IF(DA1220=0,"NM",IF(ABS(DA1220/CV1220-1)&gt;2.5,"NM",IF((ABS(DA1220-CV1220)=ABS(ABS(DA1220)-ABS(CV1220))),(DA1220/CV1220-1),"NM"))))))</f>
      </c>
      <c r="DB1226" s="926">
        <f>IF(CW1220="NM","NM",IF(DB1220="NM","NM",IF(CW1220&lt;=0,"NM",IF(DB1220=0,"NM",IF(ABS(DB1220/CW1220-1)&gt;2.5,"NM",IF((ABS(DB1220-CW1220)=ABS(ABS(DB1220)-ABS(CW1220))),(DB1220/CW1220-1),"NM"))))))</f>
      </c>
      <c r="DC1226" s="926">
        <f>IF(CX1220=0, "NA", DC1220/CX1220-1)</f>
      </c>
      <c r="DD1226" s="928">
        <f>IF(CY1220=0, "NM", DD1220/CY1220-1)</f>
      </c>
      <c r="DE1226" s="1060">
        <f>IF(CZ1220=0, "NA", DE1220/CZ1220-1)</f>
      </c>
      <c r="DF1226" s="926">
        <f>IF(DA1220=0, "NA", DF1220/DA1220-1)</f>
      </c>
      <c r="DG1226" s="926">
        <f>IF(DB1220=0, "NA", DG1220/DB1220-1)</f>
      </c>
      <c r="DH1226" s="926">
        <f>IF(DC1220=0, "NA", DH1220/DC1220-1)</f>
      </c>
      <c r="DI1226" s="928">
        <f>IF(DD1220=0, "NM", DI1220/DD1220-1)</f>
      </c>
      <c r="DJ1226" s="1060">
        <f t="shared" ref="DJ1226:EF1226" si="2524">IF(DE1220=0, "NA", DJ1220/DE1220-1)</f>
      </c>
      <c r="DK1226" s="926">
        <f t="shared" si="2524"/>
      </c>
      <c r="DL1226" s="926">
        <f t="shared" si="2524"/>
      </c>
      <c r="DM1226" s="926">
        <f t="shared" si="2524"/>
      </c>
      <c r="DN1226" s="926">
        <f t="shared" si="2524"/>
      </c>
      <c r="DO1226" s="1060">
        <f t="shared" si="2524"/>
      </c>
      <c r="DP1226" s="926">
        <f t="shared" si="2524"/>
      </c>
      <c r="DQ1226" s="926">
        <f t="shared" si="2524"/>
      </c>
      <c r="DR1226" s="926">
        <f t="shared" si="2524"/>
      </c>
      <c r="DS1226" s="926">
        <f t="shared" si="2524"/>
      </c>
      <c r="DT1226" s="1060">
        <f t="shared" si="2524"/>
      </c>
      <c r="DU1226" s="926">
        <f t="shared" si="2524"/>
      </c>
      <c r="DV1226" s="926">
        <f t="shared" si="2524"/>
      </c>
      <c r="DW1226" s="926">
        <f t="shared" si="2524"/>
      </c>
      <c r="DX1226" s="928">
        <f t="shared" si="2524"/>
      </c>
      <c r="DY1226" s="1060">
        <f t="shared" si="2524"/>
      </c>
      <c r="DZ1226" s="926">
        <f t="shared" si="2524"/>
      </c>
      <c r="EA1226" s="926">
        <f t="shared" si="2524"/>
      </c>
      <c r="EB1226" s="926">
        <f t="shared" si="2524"/>
      </c>
      <c r="EC1226" s="1235">
        <f t="shared" si="2524"/>
      </c>
      <c r="ED1226" s="1536">
        <f t="shared" si="2524"/>
      </c>
      <c r="EE1226" s="926">
        <f t="shared" si="2524"/>
      </c>
      <c r="EF1226" s="926">
        <f t="shared" si="2524"/>
      </c>
      <c r="EG1226" s="926">
        <f t="shared" ref="EG1226" si="2525">IF(EB1220=0, "NA", EG1220/EB1220-1)</f>
      </c>
      <c r="EH1226" s="926">
        <f t="shared" ref="EH1226" si="2526">IF(EC1220=0, "NA", EH1220/EC1220-1)</f>
      </c>
      <c r="EI1226" s="1060">
        <f>EI1220/ED1220-1</f>
      </c>
      <c r="EJ1226" s="928">
        <f t="shared" ref="EJ1226:EN1226" si="2527">EJ1220/EI1220-1</f>
      </c>
      <c r="EK1226" s="1060">
        <f t="shared" si="2527"/>
      </c>
      <c r="EL1226" s="1060">
        <f t="shared" si="2527"/>
      </c>
      <c r="EM1226" s="1060">
        <f t="shared" si="2527"/>
      </c>
      <c r="EN1226" s="1060">
        <f t="shared" si="2527"/>
      </c>
      <c r="EO1226" s="1060"/>
      <c r="EP1226" s="1060"/>
      <c r="EQ1226" s="1060"/>
      <c r="ER1226" s="1060"/>
      <c r="ES1226" s="1060"/>
      <c r="ET1226" s="1060"/>
      <c r="EU1226" s="1060"/>
      <c r="EV1226" s="1060"/>
      <c r="EW1226" s="1060"/>
      <c r="EX1226" s="1060"/>
    </row>
    <row r="1227" spans="2:154" ht="12.75" customHeight="1">
      <c r="B1227" s="443" t="s">
        <v>848</v>
      </c>
      <c r="C1227" s="1577"/>
      <c r="D1227" s="933"/>
      <c r="E1227" s="933"/>
      <c r="F1227" s="933"/>
      <c r="G1227" s="933"/>
      <c r="H1227" s="933"/>
      <c r="I1227" s="933"/>
      <c r="J1227" s="933"/>
      <c r="K1227" s="933"/>
      <c r="L1227" s="933"/>
      <c r="M1227" s="933"/>
      <c r="N1227" s="933"/>
      <c r="O1227" s="933"/>
      <c r="P1227" s="933"/>
      <c r="Q1227" s="933"/>
      <c r="R1227" s="933"/>
      <c r="S1227" s="933"/>
      <c r="T1227" s="933"/>
      <c r="U1227" s="933"/>
      <c r="V1227" s="933"/>
      <c r="W1227" s="933"/>
      <c r="X1227" s="1060"/>
      <c r="Y1227" s="933"/>
      <c r="Z1227" s="933"/>
      <c r="AA1227" s="933"/>
      <c r="AB1227" s="933"/>
      <c r="AC1227" s="1060"/>
      <c r="AD1227" s="926"/>
      <c r="AE1227" s="926"/>
      <c r="AF1227" s="926"/>
      <c r="AG1227" s="926"/>
      <c r="AH1227" s="1060"/>
      <c r="AI1227" s="926"/>
      <c r="AJ1227" s="926"/>
      <c r="AK1227" s="926"/>
      <c r="AL1227" s="926"/>
      <c r="AM1227" s="1060"/>
      <c r="AN1227" s="926"/>
      <c r="AO1227" s="926"/>
      <c r="AP1227" s="926"/>
      <c r="AQ1227" s="926"/>
      <c r="AR1227" s="1060"/>
      <c r="AS1227" s="926"/>
      <c r="AT1227" s="926"/>
      <c r="AU1227" s="926"/>
      <c r="AV1227" s="926"/>
      <c r="AW1227" s="1060"/>
      <c r="AX1227" s="926"/>
      <c r="AY1227" s="926"/>
      <c r="AZ1227" s="926"/>
      <c r="BA1227" s="926"/>
      <c r="BB1227" s="1060"/>
      <c r="BC1227" s="926"/>
      <c r="BD1227" s="926"/>
      <c r="BE1227" s="926"/>
      <c r="BF1227" s="926"/>
      <c r="BG1227" s="1060"/>
      <c r="BH1227" s="926"/>
      <c r="BI1227" s="926"/>
      <c r="BJ1227" s="926"/>
      <c r="BK1227" s="926"/>
      <c r="BL1227" s="1060"/>
      <c r="BM1227" s="926"/>
      <c r="BN1227" s="926"/>
      <c r="BO1227" s="926"/>
      <c r="BP1227" s="926"/>
      <c r="BQ1227" s="1060"/>
      <c r="BR1227" s="926"/>
      <c r="BS1227" s="926"/>
      <c r="BT1227" s="926"/>
      <c r="BU1227" s="926"/>
      <c r="BV1227" s="1060"/>
      <c r="BW1227" s="926"/>
      <c r="BX1227" s="926"/>
      <c r="BY1227" s="926"/>
      <c r="BZ1227" s="926"/>
      <c r="CA1227" s="1060"/>
      <c r="CB1227" s="926"/>
      <c r="CC1227" s="926"/>
      <c r="CD1227" s="926"/>
      <c r="CE1227" s="926"/>
      <c r="CF1227" s="1060"/>
      <c r="CG1227" s="926"/>
      <c r="CH1227" s="926"/>
      <c r="CI1227" s="926"/>
      <c r="CJ1227" s="926"/>
      <c r="CK1227" s="1060"/>
      <c r="CL1227" s="926"/>
      <c r="CM1227" s="926"/>
      <c r="CN1227" s="926"/>
      <c r="CO1227" s="926"/>
      <c r="CP1227" s="1060"/>
      <c r="CQ1227" s="649">
        <v>3.1E-2</v>
      </c>
      <c r="CR1227" s="649">
        <v>8.0000000000000002E-3</v>
      </c>
      <c r="CS1227" s="649">
        <v>-4.3999999999999997E-2</v>
      </c>
      <c r="CT1227" s="649">
        <v>1.2E-2</v>
      </c>
      <c r="CU1227" s="448">
        <v>-3.0000000000000001E-3</v>
      </c>
      <c r="CV1227" s="649">
        <v>-6.2E-2</v>
      </c>
      <c r="CW1227" s="649">
        <v>-2.1999999999999999E-2</v>
      </c>
      <c r="CX1227" s="649">
        <v>0.01</v>
      </c>
      <c r="CY1227" s="649">
        <v>2E-3</v>
      </c>
      <c r="CZ1227" s="448">
        <v>-1.9E-2</v>
      </c>
      <c r="DA1227" s="649">
        <v>-1.9E-2</v>
      </c>
      <c r="DB1227" s="649">
        <v>-7.0000000000000001E-3</v>
      </c>
      <c r="DC1227" s="649">
        <v>2.3E-2</v>
      </c>
      <c r="DD1227" s="1482">
        <v>1.4E-2</v>
      </c>
      <c r="DE1227" s="448">
        <v>2E-3</v>
      </c>
      <c r="DF1227" s="649">
        <v>-6.0999999999999999E-2</v>
      </c>
      <c r="DG1227" s="649">
        <v>-0.52500000000000002</v>
      </c>
      <c r="DH1227" s="649">
        <v>-0.11600000000000001</v>
      </c>
      <c r="DI1227" s="649">
        <v>-0.13900000000000001</v>
      </c>
      <c r="DJ1227" s="448">
        <v>-0.21099999999999999</v>
      </c>
      <c r="DK1227" s="649">
        <v>-9.9000000000000005E-2</v>
      </c>
      <c r="DL1227" s="649">
        <v>0.94599999999999995</v>
      </c>
      <c r="DM1227" s="649">
        <v>2.1000000000000001E-2</v>
      </c>
      <c r="DN1227" s="649">
        <v>-2E-3</v>
      </c>
      <c r="DO1227" s="448">
        <v>0.11700000000000001</v>
      </c>
      <c r="DP1227" s="649">
        <v>8.7999999999999995E-2</v>
      </c>
      <c r="DQ1227" s="649">
        <v>3.3000000000000002E-2</v>
      </c>
      <c r="DR1227" s="649">
        <v>4.9000000000000002E-2</v>
      </c>
      <c r="DS1227" s="649">
        <v>7.5999999999999998E-2</v>
      </c>
      <c r="DT1227" s="448">
        <v>6.0999999999999999E-2</v>
      </c>
      <c r="DU1227" s="649">
        <v>0.113</v>
      </c>
      <c r="DV1227" s="649">
        <v>4.4999999999999998E-2</v>
      </c>
      <c r="DW1227" s="649">
        <v>5.7000000000000002E-2</v>
      </c>
      <c r="DX1227" s="1482">
        <v>8.4000000000000005E-2</v>
      </c>
      <c r="DY1227" s="448">
        <v>7.4999999999999997E-2</v>
      </c>
      <c r="DZ1227" s="649">
        <v>9.2999999999999999E-2</v>
      </c>
      <c r="EA1227" s="649">
        <v>9.5000000000000001E-2</v>
      </c>
      <c r="EB1227" s="649">
        <v>4.1000000000000002E-2</v>
      </c>
      <c r="EC1227" s="3610">
        <v>3.3000000000000002E-2</v>
      </c>
      <c r="ED1227" s="3623">
        <v>6.5000000000000002E-2</v>
      </c>
      <c r="EE1227" s="649">
        <v>-1.7000000000000001E-2</v>
      </c>
      <c r="EF1227" s="649">
        <v>-2.3E-2</v>
      </c>
      <c r="EG1227" s="649">
        <v>5.6000000000000001E-2</v>
      </c>
      <c r="EH1227" s="926">
        <f t="shared" ref="EH1227" si="2528">(EC1219*EH1225+EC1218*EH1223)/(EC1220)</f>
      </c>
      <c r="EI1227" s="1060">
        <f t="shared" ref="EI1227" si="2529">(ED1219*EI1225+ED1218*EI1223)/(ED1220)</f>
      </c>
      <c r="EJ1227" s="928">
        <f t="shared" ref="EJ1227:EN1227" si="2530">(EI1219*EJ1225+EI1218*EJ1223)/(EI1220)</f>
      </c>
      <c r="EK1227" s="928">
        <f t="shared" si="2530"/>
      </c>
      <c r="EL1227" s="928">
        <f t="shared" si="2530"/>
      </c>
      <c r="EM1227" s="928">
        <f t="shared" si="2530"/>
      </c>
      <c r="EN1227" s="928">
        <f t="shared" si="2530"/>
      </c>
      <c r="EO1227" s="1060"/>
      <c r="EP1227" s="1060"/>
      <c r="EQ1227" s="1060"/>
      <c r="ER1227" s="1060"/>
      <c r="ES1227" s="1060"/>
      <c r="ET1227" s="1060"/>
      <c r="EU1227" s="1060"/>
      <c r="EV1227" s="1060"/>
      <c r="EW1227" s="1060"/>
      <c r="EX1227" s="1060"/>
    </row>
    <row r="1228" spans="2:154" ht="12.75" customHeight="1">
      <c r="B1228" s="442"/>
      <c r="C1228" s="1577"/>
      <c r="D1228" s="933"/>
      <c r="E1228" s="933"/>
      <c r="F1228" s="933"/>
      <c r="G1228" s="933"/>
      <c r="H1228" s="933"/>
      <c r="I1228" s="933"/>
      <c r="J1228" s="933"/>
      <c r="K1228" s="933"/>
      <c r="L1228" s="933"/>
      <c r="M1228" s="933"/>
      <c r="N1228" s="933"/>
      <c r="O1228" s="933"/>
      <c r="P1228" s="933"/>
      <c r="Q1228" s="933"/>
      <c r="R1228" s="933"/>
      <c r="S1228" s="933"/>
      <c r="T1228" s="933"/>
      <c r="U1228" s="933"/>
      <c r="V1228" s="933"/>
      <c r="W1228" s="933"/>
      <c r="X1228" s="1061"/>
      <c r="Y1228" s="933"/>
      <c r="Z1228" s="933"/>
      <c r="AA1228" s="933"/>
      <c r="AB1228" s="933"/>
      <c r="AC1228" s="1061"/>
      <c r="AD1228" s="933"/>
      <c r="AE1228" s="933"/>
      <c r="AF1228" s="933"/>
      <c r="AG1228" s="933"/>
      <c r="AH1228" s="1061"/>
      <c r="AI1228" s="933"/>
      <c r="AJ1228" s="933"/>
      <c r="AK1228" s="933"/>
      <c r="AL1228" s="933"/>
      <c r="AM1228" s="1061"/>
      <c r="AN1228" s="933"/>
      <c r="AO1228" s="933"/>
      <c r="AP1228" s="933"/>
      <c r="AQ1228" s="933"/>
      <c r="AR1228" s="1061"/>
      <c r="AS1228" s="933"/>
      <c r="AT1228" s="933"/>
      <c r="AU1228" s="933"/>
      <c r="AV1228" s="933"/>
      <c r="AW1228" s="1061"/>
      <c r="AX1228" s="933"/>
      <c r="AY1228" s="933"/>
      <c r="AZ1228" s="933"/>
      <c r="BA1228" s="933"/>
      <c r="BB1228" s="1061"/>
      <c r="BC1228" s="959"/>
      <c r="BD1228" s="933"/>
      <c r="BE1228" s="933"/>
      <c r="BF1228" s="933"/>
      <c r="BG1228" s="1061"/>
      <c r="BH1228" s="933"/>
      <c r="BI1228" s="933"/>
      <c r="BJ1228" s="933"/>
      <c r="BK1228" s="933"/>
      <c r="BL1228" s="1061"/>
      <c r="BM1228" s="933"/>
      <c r="BN1228" s="933"/>
      <c r="BO1228" s="933"/>
      <c r="BP1228" s="933"/>
      <c r="BQ1228" s="1061"/>
      <c r="BR1228" s="933"/>
      <c r="BS1228" s="933"/>
      <c r="BT1228" s="933"/>
      <c r="BU1228" s="933"/>
      <c r="BV1228" s="1061"/>
      <c r="BW1228" s="933"/>
      <c r="BX1228" s="933"/>
      <c r="BY1228" s="933"/>
      <c r="BZ1228" s="933"/>
      <c r="CA1228" s="1061"/>
      <c r="CB1228" s="933"/>
      <c r="CC1228" s="933"/>
      <c r="CD1228" s="933"/>
      <c r="CE1228" s="933"/>
      <c r="CF1228" s="1061"/>
      <c r="CG1228" s="933"/>
      <c r="CH1228" s="933"/>
      <c r="CI1228" s="933"/>
      <c r="CJ1228" s="933"/>
      <c r="CK1228" s="1061"/>
      <c r="CL1228" s="961"/>
      <c r="CM1228" s="933"/>
      <c r="CN1228" s="933"/>
      <c r="CO1228" s="933"/>
      <c r="CP1228" s="1061"/>
      <c r="CQ1228" s="933"/>
      <c r="CR1228" s="933"/>
      <c r="CS1228" s="933"/>
      <c r="CT1228" s="933"/>
      <c r="CU1228" s="1061"/>
      <c r="CV1228" s="933"/>
      <c r="CW1228" s="933"/>
      <c r="CX1228" s="933"/>
      <c r="CY1228" s="933"/>
      <c r="CZ1228" s="1061"/>
      <c r="DA1228" s="933"/>
      <c r="DB1228" s="933"/>
      <c r="DC1228" s="933"/>
      <c r="DD1228" s="962"/>
      <c r="DE1228" s="1866"/>
      <c r="DF1228" s="925"/>
      <c r="DG1228" s="925"/>
      <c r="DH1228" s="925"/>
      <c r="DI1228" s="925"/>
      <c r="DJ1228" s="1866"/>
      <c r="DK1228" s="925"/>
      <c r="DL1228" s="925"/>
      <c r="DM1228" s="925"/>
      <c r="DN1228" s="925"/>
      <c r="DO1228" s="1866"/>
      <c r="DP1228" s="925"/>
      <c r="DQ1228" s="925"/>
      <c r="DR1228" s="925"/>
      <c r="DS1228" s="925"/>
      <c r="DT1228" s="1866"/>
      <c r="DU1228" s="925"/>
      <c r="DV1228" s="925"/>
      <c r="DW1228" s="925"/>
      <c r="DX1228" s="927"/>
      <c r="DY1228" s="1866"/>
      <c r="DZ1228" s="925"/>
      <c r="EA1228" s="925"/>
      <c r="EB1228" s="925"/>
      <c r="EC1228" s="1525"/>
      <c r="ED1228" s="1863"/>
      <c r="EE1228" s="925"/>
      <c r="EF1228" s="925"/>
      <c r="EG1228" s="925"/>
      <c r="EH1228" s="925"/>
      <c r="EI1228" s="1866"/>
      <c r="EJ1228" s="1875"/>
      <c r="EK1228" s="1866"/>
      <c r="EL1228" s="1866"/>
      <c r="EM1228" s="1866"/>
      <c r="EN1228" s="1866"/>
      <c r="EO1228" s="1866"/>
      <c r="EP1228" s="1866"/>
      <c r="EQ1228" s="1866"/>
      <c r="ER1228" s="1866"/>
      <c r="ES1228" s="1866"/>
      <c r="ET1228" s="1866"/>
      <c r="EU1228" s="1866"/>
      <c r="EV1228" s="1866"/>
      <c r="EW1228" s="1866"/>
      <c r="EX1228" s="1866"/>
    </row>
    <row r="1229" spans="2:154" ht="12.75" customHeight="1">
      <c r="B1229" s="436" t="s">
        <v>599</v>
      </c>
      <c r="C1229" s="1577"/>
      <c r="D1229" s="933"/>
      <c r="E1229" s="933"/>
      <c r="F1229" s="933"/>
      <c r="G1229" s="933"/>
      <c r="H1229" s="933"/>
      <c r="I1229" s="933"/>
      <c r="J1229" s="933"/>
      <c r="K1229" s="933"/>
      <c r="L1229" s="933"/>
      <c r="M1229" s="933"/>
      <c r="N1229" s="933"/>
      <c r="O1229" s="933"/>
      <c r="P1229" s="933"/>
      <c r="Q1229" s="933"/>
      <c r="R1229" s="933"/>
      <c r="S1229" s="933"/>
      <c r="T1229" s="933"/>
      <c r="U1229" s="933"/>
      <c r="V1229" s="933"/>
      <c r="W1229" s="933"/>
      <c r="X1229" s="1067"/>
      <c r="Y1229" s="933"/>
      <c r="Z1229" s="933"/>
      <c r="AA1229" s="933"/>
      <c r="AB1229" s="933"/>
      <c r="AC1229" s="1067"/>
      <c r="AD1229" s="933"/>
      <c r="AE1229" s="933"/>
      <c r="AF1229" s="933"/>
      <c r="AG1229" s="933"/>
      <c r="AH1229" s="1067"/>
      <c r="AI1229" s="933"/>
      <c r="AJ1229" s="933"/>
      <c r="AK1229" s="933"/>
      <c r="AL1229" s="933"/>
      <c r="AM1229" s="1067"/>
      <c r="AN1229" s="933"/>
      <c r="AO1229" s="933"/>
      <c r="AP1229" s="933"/>
      <c r="AQ1229" s="933"/>
      <c r="AR1229" s="1067"/>
      <c r="AS1229" s="933"/>
      <c r="AT1229" s="933"/>
      <c r="AU1229" s="933"/>
      <c r="AV1229" s="933"/>
      <c r="AW1229" s="1067"/>
      <c r="AX1229" s="933"/>
      <c r="AY1229" s="933"/>
      <c r="AZ1229" s="943"/>
      <c r="BA1229" s="1049"/>
      <c r="BB1229" s="1067"/>
      <c r="BC1229" s="943"/>
      <c r="BD1229" s="943"/>
      <c r="BE1229" s="933"/>
      <c r="BF1229" s="933"/>
      <c r="BG1229" s="1061"/>
      <c r="BH1229" s="933"/>
      <c r="BI1229" s="933"/>
      <c r="BJ1229" s="933"/>
      <c r="BK1229" s="933"/>
      <c r="BL1229" s="1061"/>
      <c r="BM1229" s="933"/>
      <c r="BN1229" s="933"/>
      <c r="BO1229" s="933"/>
      <c r="BP1229" s="933"/>
      <c r="BQ1229" s="1061"/>
      <c r="BR1229" s="933"/>
      <c r="BS1229" s="933"/>
      <c r="BT1229" s="933"/>
      <c r="BU1229" s="933"/>
      <c r="BV1229" s="1061"/>
      <c r="BW1229" s="933"/>
      <c r="BX1229" s="933"/>
      <c r="BY1229" s="933"/>
      <c r="BZ1229" s="933"/>
      <c r="CA1229" s="1061"/>
      <c r="CB1229" s="933"/>
      <c r="CC1229" s="933"/>
      <c r="CD1229" s="933"/>
      <c r="CE1229" s="933"/>
      <c r="CF1229" s="1061"/>
      <c r="CG1229" s="933"/>
      <c r="CH1229" s="933"/>
      <c r="CI1229" s="933"/>
      <c r="CJ1229" s="933"/>
      <c r="CK1229" s="1061"/>
      <c r="CL1229" s="961"/>
      <c r="CM1229" s="933"/>
      <c r="CN1229" s="933"/>
      <c r="CO1229" s="933"/>
      <c r="CP1229" s="1061"/>
      <c r="CQ1229" s="933"/>
      <c r="CR1229" s="933"/>
      <c r="CS1229" s="933"/>
      <c r="CT1229" s="933"/>
      <c r="CU1229" s="1061"/>
      <c r="CV1229" s="933"/>
      <c r="CW1229" s="933"/>
      <c r="CX1229" s="933"/>
      <c r="CY1229" s="933"/>
      <c r="CZ1229" s="1061"/>
      <c r="DA1229" s="933"/>
      <c r="DB1229" s="933"/>
      <c r="DC1229" s="933"/>
      <c r="DD1229" s="962"/>
      <c r="DE1229" s="1866"/>
      <c r="DF1229" s="944"/>
      <c r="DG1229" s="944"/>
      <c r="DH1229" s="944"/>
      <c r="DI1229" s="944"/>
      <c r="DJ1229" s="1866"/>
      <c r="DK1229" s="944"/>
      <c r="DL1229" s="944"/>
      <c r="DM1229" s="944"/>
      <c r="DN1229" s="944"/>
      <c r="DO1229" s="1866"/>
      <c r="DP1229" s="944"/>
      <c r="DQ1229" s="944"/>
      <c r="DR1229" s="944"/>
      <c r="DS1229" s="944"/>
      <c r="DT1229" s="1866"/>
      <c r="DU1229" s="944"/>
      <c r="DV1229" s="944"/>
      <c r="DW1229" s="944"/>
      <c r="DX1229" s="2107"/>
      <c r="DY1229" s="1866"/>
      <c r="DZ1229" s="944"/>
      <c r="EA1229" s="944"/>
      <c r="EB1229" s="944"/>
      <c r="EC1229" s="3614"/>
      <c r="ED1229" s="1866"/>
      <c r="EE1229" s="944"/>
      <c r="EF1229" s="944"/>
      <c r="EG1229" s="944"/>
      <c r="EH1229" s="944"/>
      <c r="EI1229" s="1866"/>
      <c r="EJ1229" s="1875"/>
      <c r="EK1229" s="1866"/>
      <c r="EL1229" s="1866"/>
      <c r="EM1229" s="1866"/>
      <c r="EN1229" s="1866"/>
      <c r="EO1229" s="1866"/>
      <c r="EP1229" s="1866"/>
      <c r="EQ1229" s="1866"/>
      <c r="ER1229" s="1866"/>
      <c r="ES1229" s="1866"/>
      <c r="ET1229" s="1866"/>
      <c r="EU1229" s="1866"/>
      <c r="EV1229" s="1866"/>
      <c r="EW1229" s="1866"/>
      <c r="EX1229" s="1866"/>
    </row>
    <row r="1230" spans="2:154" ht="12.75" customHeight="1">
      <c r="B1230" s="437" t="s">
        <v>187</v>
      </c>
      <c r="C1230" s="1577"/>
      <c r="D1230" s="933"/>
      <c r="E1230" s="933"/>
      <c r="F1230" s="933"/>
      <c r="G1230" s="933"/>
      <c r="H1230" s="933"/>
      <c r="I1230" s="933"/>
      <c r="J1230" s="933"/>
      <c r="K1230" s="933"/>
      <c r="L1230" s="933"/>
      <c r="M1230" s="933"/>
      <c r="N1230" s="933"/>
      <c r="O1230" s="933"/>
      <c r="P1230" s="933"/>
      <c r="Q1230" s="933"/>
      <c r="R1230" s="933"/>
      <c r="S1230" s="933"/>
      <c r="T1230" s="933"/>
      <c r="U1230" s="933"/>
      <c r="V1230" s="933"/>
      <c r="W1230" s="933"/>
      <c r="X1230" s="1061"/>
      <c r="Y1230" s="933">
        <f t="shared" ref="Y1230:AA1231" si="2531">+AD1230/(1+AD1235)</f>
      </c>
      <c r="Z1230" s="933">
        <f t="shared" si="2531"/>
      </c>
      <c r="AA1230" s="933">
        <f t="shared" si="2531"/>
      </c>
      <c r="AB1230" s="933">
        <f>+AC1230-SUM(Y1230:AA1230)</f>
      </c>
      <c r="AC1230" s="1061">
        <f t="shared" ref="AC1230:AG1231" si="2532">+AH1230/(1+AH1235)</f>
      </c>
      <c r="AD1230" s="933">
        <f t="shared" si="2532"/>
      </c>
      <c r="AE1230" s="933">
        <f t="shared" si="2532"/>
      </c>
      <c r="AF1230" s="933">
        <f t="shared" si="2532"/>
      </c>
      <c r="AG1230" s="933">
        <f t="shared" si="2532"/>
      </c>
      <c r="AH1230" s="1061">
        <f>SUM(AD1230:AG1230)</f>
      </c>
      <c r="AI1230" s="933">
        <f t="shared" ref="AI1230:AL1231" si="2533">+AN1230/(1+AN1235)</f>
      </c>
      <c r="AJ1230" s="933">
        <f t="shared" si="2533"/>
      </c>
      <c r="AK1230" s="933">
        <f t="shared" si="2533"/>
      </c>
      <c r="AL1230" s="933">
        <f t="shared" si="2533"/>
      </c>
      <c r="AM1230" s="1061">
        <f>SUM(AI1230:AL1230)</f>
      </c>
      <c r="AN1230" s="933">
        <f t="shared" ref="AN1230:AQ1231" si="2534">+AS1230/(1+AS1235)</f>
      </c>
      <c r="AO1230" s="933">
        <f t="shared" si="2534"/>
      </c>
      <c r="AP1230" s="933">
        <f t="shared" si="2534"/>
      </c>
      <c r="AQ1230" s="933">
        <f t="shared" si="2534"/>
      </c>
      <c r="AR1230" s="1061">
        <f>SUM(AN1230:AQ1230)</f>
      </c>
      <c r="AS1230" s="933">
        <f t="shared" ref="AS1230:AV1231" si="2535">+AX1230/(1+AX1235)</f>
      </c>
      <c r="AT1230" s="933">
        <f t="shared" si="2535"/>
      </c>
      <c r="AU1230" s="933">
        <f t="shared" si="2535"/>
      </c>
      <c r="AV1230" s="933">
        <f t="shared" si="2535"/>
      </c>
      <c r="AW1230" s="1061">
        <f>SUM(AS1230:AV1230)</f>
      </c>
      <c r="AX1230" s="933">
        <f>+BC1230/(1+BC1235)</f>
      </c>
      <c r="AY1230" s="933">
        <f>+BD1230/(1+BD1235)</f>
      </c>
      <c r="AZ1230" s="933">
        <v>123.5</v>
      </c>
      <c r="BA1230" s="933">
        <f>+BB1230-SUM(AX1230:AZ1230)</f>
      </c>
      <c r="BB1230" s="1061">
        <v>532</v>
      </c>
      <c r="BC1230" s="933">
        <v>146.19999999999999</v>
      </c>
      <c r="BD1230" s="933">
        <v>149.5</v>
      </c>
      <c r="BE1230" s="933">
        <f>+(1+BE1235)*AZ1230</f>
      </c>
      <c r="BF1230" s="933">
        <f>+(1+BF1235)*BA1230</f>
      </c>
      <c r="BG1230" s="313">
        <f>SUM(BC1230:BF1230)</f>
      </c>
      <c r="BH1230" s="933">
        <f>+(1+BH1235)*BC1230</f>
      </c>
      <c r="BI1230" s="33">
        <v>144.11799999999999</v>
      </c>
      <c r="BJ1230" s="33">
        <v>130.6</v>
      </c>
      <c r="BK1230" s="33">
        <f>BF1230*0.92</f>
      </c>
      <c r="BL1230" s="313"/>
      <c r="BM1230" s="33"/>
      <c r="BN1230" s="33"/>
      <c r="BO1230" s="33"/>
      <c r="BP1230" s="33"/>
      <c r="BQ1230" s="313"/>
      <c r="BR1230" s="352"/>
      <c r="BS1230" s="352"/>
      <c r="BT1230" s="352"/>
      <c r="BU1230" s="352"/>
      <c r="BV1230" s="1061"/>
      <c r="BW1230" s="933"/>
      <c r="BX1230" s="933"/>
      <c r="BY1230" s="933"/>
      <c r="BZ1230" s="933"/>
      <c r="CA1230" s="313"/>
      <c r="CB1230" s="352">
        <v>364</v>
      </c>
      <c r="CC1230" s="352">
        <v>350</v>
      </c>
      <c r="CD1230" s="352">
        <v>352</v>
      </c>
      <c r="CE1230" s="352">
        <v>352</v>
      </c>
      <c r="CF1230" s="1061">
        <f>SUM(CB1230:CE1230)</f>
      </c>
      <c r="CG1230" s="352">
        <v>364</v>
      </c>
      <c r="CH1230" s="352">
        <v>351</v>
      </c>
      <c r="CI1230" s="352">
        <v>368</v>
      </c>
      <c r="CJ1230" s="352">
        <v>379</v>
      </c>
      <c r="CK1230" s="1061">
        <f>SUM(CG1230:CJ1230)</f>
      </c>
      <c r="CL1230" s="352">
        <v>381</v>
      </c>
      <c r="CM1230" s="352">
        <v>381</v>
      </c>
      <c r="CN1230" s="352">
        <v>389</v>
      </c>
      <c r="CO1230" s="352">
        <v>394</v>
      </c>
      <c r="CP1230" s="1061">
        <f>SUM(CL1230:CO1230)</f>
      </c>
      <c r="CQ1230" s="352">
        <v>391</v>
      </c>
      <c r="CR1230" s="352">
        <v>390</v>
      </c>
      <c r="CS1230" s="352">
        <v>398</v>
      </c>
      <c r="CT1230" s="352">
        <v>397</v>
      </c>
      <c r="CU1230" s="1505">
        <f>SUM(CQ1230:CT1230)</f>
      </c>
      <c r="CV1230" s="577">
        <v>407</v>
      </c>
      <c r="CW1230" s="577">
        <v>394</v>
      </c>
      <c r="CX1230" s="577">
        <v>395</v>
      </c>
      <c r="CY1230" s="577">
        <v>403</v>
      </c>
      <c r="CZ1230" s="1505">
        <f>SUM(CV1230:CY1230)</f>
      </c>
      <c r="DA1230" s="577">
        <v>417</v>
      </c>
      <c r="DB1230" s="577">
        <v>407</v>
      </c>
      <c r="DC1230" s="577">
        <v>415</v>
      </c>
      <c r="DD1230" s="1205">
        <v>413</v>
      </c>
      <c r="DE1230" s="1835">
        <f>SUM(DA1230:DD1230)</f>
      </c>
      <c r="DF1230" s="710">
        <v>407</v>
      </c>
      <c r="DG1230" s="710">
        <v>354</v>
      </c>
      <c r="DH1230" s="710">
        <v>433</v>
      </c>
      <c r="DI1230" s="1839">
        <v>454</v>
      </c>
      <c r="DJ1230" s="1835">
        <f>SUM(DF1230:DI1230)</f>
      </c>
      <c r="DK1230" s="710">
        <v>450.4</v>
      </c>
      <c r="DL1230" s="710">
        <v>447</v>
      </c>
      <c r="DM1230" s="710">
        <v>455</v>
      </c>
      <c r="DN1230" s="710">
        <v>467</v>
      </c>
      <c r="DO1230" s="1835">
        <f>SUM(DK1230:DN1230)</f>
      </c>
      <c r="DP1230" s="710">
        <v>475</v>
      </c>
      <c r="DQ1230" s="710">
        <v>464</v>
      </c>
      <c r="DR1230" s="710">
        <v>473</v>
      </c>
      <c r="DS1230" s="710">
        <v>470</v>
      </c>
      <c r="DT1230" s="1835">
        <f>SUM(DP1230:DS1230)</f>
      </c>
      <c r="DU1230" s="710">
        <v>491</v>
      </c>
      <c r="DV1230" s="710">
        <v>483</v>
      </c>
      <c r="DW1230" s="710">
        <v>488</v>
      </c>
      <c r="DX1230" s="1839">
        <v>487</v>
      </c>
      <c r="DY1230" s="1835">
        <f>SUM(DU1230:DX1230)</f>
      </c>
      <c r="DZ1230" s="710">
        <v>504</v>
      </c>
      <c r="EA1230" s="710">
        <v>498</v>
      </c>
      <c r="EB1230" s="710">
        <v>496.5</v>
      </c>
      <c r="EC1230" s="1552">
        <v>514</v>
      </c>
      <c r="ED1230" s="1835">
        <f>SUM(DZ1230:EC1230)</f>
      </c>
      <c r="EE1230" s="710">
        <v>502</v>
      </c>
      <c r="EF1230" s="710">
        <v>501</v>
      </c>
      <c r="EG1230" s="710">
        <v>512</v>
      </c>
      <c r="EH1230" s="1542">
        <f>EI1230-SUM(EE1230:EG1230)</f>
      </c>
      <c r="EI1230" s="1835">
        <f>+ED1230*(1+EI1235)</f>
      </c>
      <c r="EJ1230" s="1556">
        <f t="shared" ref="EJ1230:EN1231" si="2536">+EI1230*(1+EJ1235)</f>
      </c>
      <c r="EK1230" s="1835">
        <f t="shared" si="2536"/>
      </c>
      <c r="EL1230" s="1835">
        <f t="shared" si="2536"/>
      </c>
      <c r="EM1230" s="1835">
        <f t="shared" si="2536"/>
      </c>
      <c r="EN1230" s="1835">
        <f t="shared" si="2536"/>
      </c>
      <c r="EO1230" s="477"/>
      <c r="EP1230" s="477"/>
      <c r="EQ1230" s="477"/>
      <c r="ER1230" s="477"/>
      <c r="ES1230" s="477"/>
      <c r="ET1230" s="477"/>
      <c r="EU1230" s="477"/>
      <c r="EV1230" s="477"/>
      <c r="EW1230" s="477"/>
      <c r="EX1230" s="477"/>
    </row>
    <row r="1231" spans="2:154" ht="12.75" customHeight="1">
      <c r="B1231" s="437" t="s">
        <v>412</v>
      </c>
      <c r="C1231" s="1577"/>
      <c r="D1231" s="933"/>
      <c r="E1231" s="933"/>
      <c r="F1231" s="933"/>
      <c r="G1231" s="933"/>
      <c r="H1231" s="933"/>
      <c r="I1231" s="933"/>
      <c r="J1231" s="933"/>
      <c r="K1231" s="933"/>
      <c r="L1231" s="933"/>
      <c r="M1231" s="933"/>
      <c r="N1231" s="933"/>
      <c r="O1231" s="933"/>
      <c r="P1231" s="933"/>
      <c r="Q1231" s="933"/>
      <c r="R1231" s="933"/>
      <c r="S1231" s="933"/>
      <c r="T1231" s="933"/>
      <c r="U1231" s="933"/>
      <c r="V1231" s="933"/>
      <c r="W1231" s="933"/>
      <c r="X1231" s="1061"/>
      <c r="Y1231" s="933">
        <f t="shared" si="2531"/>
      </c>
      <c r="Z1231" s="933">
        <f t="shared" si="2531"/>
      </c>
      <c r="AA1231" s="933">
        <f t="shared" si="2531"/>
      </c>
      <c r="AB1231" s="933">
        <f>+AC1231-SUM(Y1231:AA1231)</f>
      </c>
      <c r="AC1231" s="1061">
        <f t="shared" si="2532"/>
      </c>
      <c r="AD1231" s="933">
        <f t="shared" si="2532"/>
      </c>
      <c r="AE1231" s="933">
        <f t="shared" si="2532"/>
      </c>
      <c r="AF1231" s="933">
        <f t="shared" si="2532"/>
      </c>
      <c r="AG1231" s="933">
        <f t="shared" si="2532"/>
      </c>
      <c r="AH1231" s="1061">
        <f>SUM(AD1231:AG1231)</f>
      </c>
      <c r="AI1231" s="933">
        <f t="shared" si="2533"/>
      </c>
      <c r="AJ1231" s="933">
        <f t="shared" si="2533"/>
      </c>
      <c r="AK1231" s="933">
        <f t="shared" si="2533"/>
      </c>
      <c r="AL1231" s="933">
        <f t="shared" si="2533"/>
      </c>
      <c r="AM1231" s="1061">
        <f>SUM(AI1231:AL1231)</f>
      </c>
      <c r="AN1231" s="933">
        <f t="shared" si="2534"/>
      </c>
      <c r="AO1231" s="933">
        <f t="shared" si="2534"/>
      </c>
      <c r="AP1231" s="933">
        <f t="shared" si="2534"/>
      </c>
      <c r="AQ1231" s="933">
        <f t="shared" si="2534"/>
      </c>
      <c r="AR1231" s="1061">
        <f>SUM(AN1231:AQ1231)</f>
      </c>
      <c r="AS1231" s="933">
        <f t="shared" si="2535"/>
      </c>
      <c r="AT1231" s="933">
        <f t="shared" si="2535"/>
      </c>
      <c r="AU1231" s="933">
        <f t="shared" si="2535"/>
      </c>
      <c r="AV1231" s="933">
        <f t="shared" si="2535"/>
      </c>
      <c r="AW1231" s="1061">
        <f>SUM(AS1231:AV1231)</f>
      </c>
      <c r="AX1231" s="933">
        <f>+BC1231/(1+BC1236)</f>
      </c>
      <c r="AY1231" s="933">
        <f>+BD1231/(1+BD1236)</f>
      </c>
      <c r="AZ1231" s="933">
        <v>55</v>
      </c>
      <c r="BA1231" s="933">
        <v>80</v>
      </c>
      <c r="BB1231" s="1061">
        <f>SUM(AX1231:BA1231)</f>
      </c>
      <c r="BC1231" s="933">
        <v>68.8</v>
      </c>
      <c r="BD1231" s="933">
        <v>80.5</v>
      </c>
      <c r="BE1231" s="933">
        <f>+(1+BE1236)*AZ1231</f>
      </c>
      <c r="BF1231" s="933">
        <f>+(1+BF1236)*BA1231</f>
      </c>
      <c r="BG1231" s="313">
        <f>SUM(BC1231:BF1231)</f>
      </c>
      <c r="BH1231" s="933">
        <f>+(1+BH1236)*BC1231</f>
      </c>
      <c r="BI1231" s="33">
        <v>86.727479999999986</v>
      </c>
      <c r="BJ1231" s="33">
        <v>63.5</v>
      </c>
      <c r="BK1231" s="33">
        <f>BF1231*1.04</f>
      </c>
      <c r="BL1231" s="313"/>
      <c r="BM1231" s="33"/>
      <c r="BN1231" s="33"/>
      <c r="BO1231" s="33"/>
      <c r="BP1231" s="33"/>
      <c r="BQ1231" s="313"/>
      <c r="BR1231" s="352"/>
      <c r="BS1231" s="352"/>
      <c r="BT1231" s="352"/>
      <c r="BU1231" s="352"/>
      <c r="BV1231" s="1061"/>
      <c r="BW1231" s="933"/>
      <c r="BX1231" s="933"/>
      <c r="BY1231" s="933"/>
      <c r="BZ1231" s="933"/>
      <c r="CA1231" s="313"/>
      <c r="CB1231" s="352">
        <v>312</v>
      </c>
      <c r="CC1231" s="352">
        <v>323</v>
      </c>
      <c r="CD1231" s="352">
        <v>300</v>
      </c>
      <c r="CE1231" s="352">
        <v>287</v>
      </c>
      <c r="CF1231" s="1061">
        <f>SUM(CB1231:CE1231)</f>
      </c>
      <c r="CG1231" s="352">
        <v>292</v>
      </c>
      <c r="CH1231" s="352">
        <v>270</v>
      </c>
      <c r="CI1231" s="352">
        <v>239</v>
      </c>
      <c r="CJ1231" s="352">
        <v>265</v>
      </c>
      <c r="CK1231" s="1061">
        <f>SUM(CG1231:CJ1231)</f>
      </c>
      <c r="CL1231" s="352">
        <v>261</v>
      </c>
      <c r="CM1231" s="352">
        <v>255</v>
      </c>
      <c r="CN1231" s="352">
        <v>248</v>
      </c>
      <c r="CO1231" s="352">
        <v>260</v>
      </c>
      <c r="CP1231" s="1061">
        <f>SUM(CL1231:CO1231)</f>
      </c>
      <c r="CQ1231" s="352">
        <v>251</v>
      </c>
      <c r="CR1231" s="352">
        <v>253</v>
      </c>
      <c r="CS1231" s="352">
        <v>264</v>
      </c>
      <c r="CT1231" s="352">
        <v>272</v>
      </c>
      <c r="CU1231" s="1505">
        <f>SUM(CQ1231:CT1231)</f>
      </c>
      <c r="CV1231" s="577">
        <v>289</v>
      </c>
      <c r="CW1231" s="577">
        <v>281</v>
      </c>
      <c r="CX1231" s="577">
        <v>259</v>
      </c>
      <c r="CY1231" s="577">
        <v>271</v>
      </c>
      <c r="CZ1231" s="1505">
        <f>SUM(CV1231:CY1231)</f>
      </c>
      <c r="DA1231" s="577">
        <v>268</v>
      </c>
      <c r="DB1231" s="577">
        <v>265</v>
      </c>
      <c r="DC1231" s="577">
        <v>262</v>
      </c>
      <c r="DD1231" s="1205">
        <v>273</v>
      </c>
      <c r="DE1231" s="1835">
        <f>SUM(DA1231:DD1231)</f>
      </c>
      <c r="DF1231" s="710">
        <v>247</v>
      </c>
      <c r="DG1231" s="710">
        <v>198</v>
      </c>
      <c r="DH1231" s="710">
        <v>253</v>
      </c>
      <c r="DI1231" s="1839">
        <v>268</v>
      </c>
      <c r="DJ1231" s="1835">
        <f>SUM(DF1231:DI1231)</f>
      </c>
      <c r="DK1231" s="710">
        <v>282.39999999999998</v>
      </c>
      <c r="DL1231" s="710">
        <v>262</v>
      </c>
      <c r="DM1231" s="710">
        <v>260</v>
      </c>
      <c r="DN1231" s="710">
        <v>261</v>
      </c>
      <c r="DO1231" s="1835">
        <f>SUM(DK1231:DN1231)</f>
      </c>
      <c r="DP1231" s="710">
        <v>273</v>
      </c>
      <c r="DQ1231" s="710">
        <v>232</v>
      </c>
      <c r="DR1231" s="710">
        <v>244</v>
      </c>
      <c r="DS1231" s="710">
        <v>240</v>
      </c>
      <c r="DT1231" s="1835">
        <f>SUM(DP1231:DS1231)</f>
      </c>
      <c r="DU1231" s="710">
        <v>267</v>
      </c>
      <c r="DV1231" s="710">
        <v>255</v>
      </c>
      <c r="DW1231" s="710">
        <v>253</v>
      </c>
      <c r="DX1231" s="1839">
        <v>255</v>
      </c>
      <c r="DY1231" s="1835">
        <f>SUM(DU1231:DX1231)</f>
      </c>
      <c r="DZ1231" s="710">
        <v>261</v>
      </c>
      <c r="EA1231" s="710">
        <v>260</v>
      </c>
      <c r="EB1231" s="710">
        <v>264.5</v>
      </c>
      <c r="EC1231" s="1552">
        <v>250</v>
      </c>
      <c r="ED1231" s="1835">
        <f>SUM(DZ1231:EC1231)</f>
      </c>
      <c r="EE1231" s="710">
        <v>270</v>
      </c>
      <c r="EF1231" s="710">
        <v>267</v>
      </c>
      <c r="EG1231" s="710">
        <v>281</v>
      </c>
      <c r="EH1231" s="1542">
        <f>EI1231-SUM(EE1231:EG1231)</f>
      </c>
      <c r="EI1231" s="1835">
        <f>+ED1231*(1+EI1236)</f>
      </c>
      <c r="EJ1231" s="1556">
        <f t="shared" si="2536"/>
      </c>
      <c r="EK1231" s="1835">
        <f t="shared" si="2536"/>
      </c>
      <c r="EL1231" s="1835">
        <f t="shared" si="2536"/>
      </c>
      <c r="EM1231" s="1835">
        <f t="shared" si="2536"/>
      </c>
      <c r="EN1231" s="1835">
        <f t="shared" si="2536"/>
      </c>
      <c r="EO1231" s="477"/>
      <c r="EP1231" s="477"/>
      <c r="EQ1231" s="477"/>
      <c r="ER1231" s="477"/>
      <c r="ES1231" s="477"/>
      <c r="ET1231" s="477"/>
      <c r="EU1231" s="477"/>
      <c r="EV1231" s="477"/>
      <c r="EW1231" s="477"/>
      <c r="EX1231" s="477"/>
    </row>
    <row r="1232" spans="2:154" ht="12.75" customHeight="1">
      <c r="B1232" s="437" t="s">
        <v>413</v>
      </c>
      <c r="C1232" s="1577"/>
      <c r="D1232" s="933"/>
      <c r="E1232" s="933"/>
      <c r="F1232" s="933"/>
      <c r="G1232" s="933"/>
      <c r="H1232" s="933"/>
      <c r="I1232" s="933"/>
      <c r="J1232" s="933"/>
      <c r="K1232" s="933"/>
      <c r="L1232" s="933"/>
      <c r="M1232" s="933"/>
      <c r="N1232" s="933"/>
      <c r="O1232" s="933"/>
      <c r="P1232" s="933"/>
      <c r="Q1232" s="933"/>
      <c r="R1232" s="933"/>
      <c r="S1232" s="933"/>
      <c r="T1232" s="933"/>
      <c r="U1232" s="933"/>
      <c r="V1232" s="933"/>
      <c r="W1232" s="933"/>
      <c r="X1232" s="1061"/>
      <c r="Y1232" s="933">
        <f t="shared" ref="Y1232:BJ1232" si="2537">+Y1231+Y1230</f>
      </c>
      <c r="Z1232" s="933">
        <f t="shared" si="2537"/>
      </c>
      <c r="AA1232" s="933">
        <f t="shared" si="2537"/>
      </c>
      <c r="AB1232" s="933">
        <f t="shared" si="2537"/>
      </c>
      <c r="AC1232" s="1061">
        <f t="shared" si="2537"/>
      </c>
      <c r="AD1232" s="933">
        <f t="shared" si="2537"/>
      </c>
      <c r="AE1232" s="933">
        <f t="shared" si="2537"/>
      </c>
      <c r="AF1232" s="933">
        <f t="shared" si="2537"/>
      </c>
      <c r="AG1232" s="933">
        <f t="shared" si="2537"/>
      </c>
      <c r="AH1232" s="1061">
        <f t="shared" si="2537"/>
      </c>
      <c r="AI1232" s="933">
        <f t="shared" si="2537"/>
      </c>
      <c r="AJ1232" s="933">
        <f t="shared" si="2537"/>
      </c>
      <c r="AK1232" s="933">
        <f t="shared" si="2537"/>
      </c>
      <c r="AL1232" s="933">
        <f t="shared" si="2537"/>
      </c>
      <c r="AM1232" s="1061">
        <f t="shared" si="2537"/>
      </c>
      <c r="AN1232" s="933">
        <f t="shared" si="2537"/>
      </c>
      <c r="AO1232" s="933">
        <f t="shared" si="2537"/>
      </c>
      <c r="AP1232" s="933">
        <f t="shared" si="2537"/>
      </c>
      <c r="AQ1232" s="933">
        <f t="shared" si="2537"/>
      </c>
      <c r="AR1232" s="1061">
        <f t="shared" si="2537"/>
      </c>
      <c r="AS1232" s="933">
        <f t="shared" si="2537"/>
      </c>
      <c r="AT1232" s="933">
        <f t="shared" si="2537"/>
      </c>
      <c r="AU1232" s="933">
        <f t="shared" si="2537"/>
      </c>
      <c r="AV1232" s="933">
        <f t="shared" si="2537"/>
      </c>
      <c r="AW1232" s="1061">
        <f t="shared" si="2537"/>
      </c>
      <c r="AX1232" s="933">
        <f t="shared" si="2537"/>
      </c>
      <c r="AY1232" s="933">
        <f t="shared" si="2537"/>
      </c>
      <c r="AZ1232" s="933">
        <f t="shared" si="2537"/>
      </c>
      <c r="BA1232" s="933">
        <f t="shared" si="2537"/>
      </c>
      <c r="BB1232" s="1061">
        <f t="shared" si="2537"/>
      </c>
      <c r="BC1232" s="933">
        <f t="shared" si="2537"/>
      </c>
      <c r="BD1232" s="933">
        <f t="shared" si="2537"/>
      </c>
      <c r="BE1232" s="933">
        <f t="shared" si="2537"/>
      </c>
      <c r="BF1232" s="933">
        <f t="shared" si="2537"/>
      </c>
      <c r="BG1232" s="1061">
        <f t="shared" si="2537"/>
      </c>
      <c r="BH1232" s="933">
        <f t="shared" si="2537"/>
      </c>
      <c r="BI1232" s="933">
        <f t="shared" si="2537"/>
      </c>
      <c r="BJ1232" s="933">
        <f t="shared" si="2537"/>
      </c>
      <c r="BK1232" s="933">
        <f>+BK1230+BK1231</f>
      </c>
      <c r="BL1232" s="313"/>
      <c r="BM1232" s="933"/>
      <c r="BN1232" s="933"/>
      <c r="BO1232" s="933"/>
      <c r="BP1232" s="933"/>
      <c r="BQ1232" s="313"/>
      <c r="BR1232" s="933"/>
      <c r="BS1232" s="933"/>
      <c r="BT1232" s="933"/>
      <c r="BU1232" s="933"/>
      <c r="BV1232" s="1061"/>
      <c r="BW1232" s="933"/>
      <c r="BX1232" s="933"/>
      <c r="BY1232" s="933"/>
      <c r="BZ1232" s="933"/>
      <c r="CA1232" s="313"/>
      <c r="CB1232" s="933">
        <f>SUM(CB1230:CB1231)</f>
      </c>
      <c r="CC1232" s="933">
        <f>SUM(CC1230:CC1231)</f>
      </c>
      <c r="CD1232" s="933">
        <f>SUM(CD1230:CD1231)</f>
      </c>
      <c r="CE1232" s="933">
        <f>SUM(CE1230:CE1231)</f>
      </c>
      <c r="CF1232" s="1061">
        <f>SUM(CB1232:CE1232)</f>
      </c>
      <c r="CG1232" s="933">
        <f>SUM(CG1230:CG1231)</f>
      </c>
      <c r="CH1232" s="933">
        <f>SUM(CH1230:CH1231)</f>
      </c>
      <c r="CI1232" s="933">
        <f>SUM(CI1230:CI1231)</f>
      </c>
      <c r="CJ1232" s="933">
        <f>+CJ1231+CJ1230</f>
      </c>
      <c r="CK1232" s="1061">
        <f>SUM(CG1232:CJ1232)</f>
      </c>
      <c r="CL1232" s="933">
        <f>SUM(CL1230:CL1231)</f>
      </c>
      <c r="CM1232" s="933">
        <f>SUM(CM1230:CM1231)</f>
      </c>
      <c r="CN1232" s="933">
        <f>SUM(CN1230:CN1231)</f>
      </c>
      <c r="CO1232" s="933">
        <f>+CO1231+CO1230</f>
      </c>
      <c r="CP1232" s="1061">
        <f>SUM(CL1232:CO1232)</f>
      </c>
      <c r="CQ1232" s="933">
        <f>+CQ1231+CQ1230</f>
      </c>
      <c r="CR1232" s="933">
        <f>+CR1231+CR1230</f>
      </c>
      <c r="CS1232" s="933">
        <f>+CS1231+CS1230</f>
      </c>
      <c r="CT1232" s="933">
        <f>+CT1231+CT1230</f>
      </c>
      <c r="CU1232" s="1505">
        <f>SUM(CQ1232:CT1232)</f>
      </c>
      <c r="CV1232" s="948">
        <f>+CV1231+CV1230</f>
      </c>
      <c r="CW1232" s="948">
        <f>+CW1231+CW1230</f>
      </c>
      <c r="CX1232" s="948">
        <f>+CX1231+CX1230</f>
      </c>
      <c r="CY1232" s="948">
        <f>+CY1231+CY1230</f>
      </c>
      <c r="CZ1232" s="1505">
        <f>SUM(CV1232:CY1232)</f>
      </c>
      <c r="DA1232" s="948">
        <f>+DA1231+DA1230</f>
      </c>
      <c r="DB1232" s="948">
        <f>SUM(DB1230:DB1231)</f>
      </c>
      <c r="DC1232" s="36">
        <f>SUM(DC1230:DC1231)</f>
      </c>
      <c r="DD1232" s="984">
        <f>+DD1230+DD1231</f>
      </c>
      <c r="DE1232" s="1835">
        <f>SUM(DA1232:DD1232)</f>
      </c>
      <c r="DF1232" s="1542">
        <f>SUM(DF1230:DF1231)</f>
      </c>
      <c r="DG1232" s="1542">
        <f>SUM(DG1230:DG1231)</f>
      </c>
      <c r="DH1232" s="1542">
        <f>SUM(DH1230:DH1231)</f>
      </c>
      <c r="DI1232" s="1556">
        <f>+DI1230+DI1231</f>
      </c>
      <c r="DJ1232" s="1835">
        <f>SUM(DF1232:DI1232)</f>
      </c>
      <c r="DK1232" s="1542">
        <f>SUM(DK1230:DK1231)</f>
      </c>
      <c r="DL1232" s="1542">
        <f>SUM(DL1230:DL1231)</f>
      </c>
      <c r="DM1232" s="1542">
        <f>SUM(DM1230:DM1231)</f>
      </c>
      <c r="DN1232" s="1542">
        <f>SUM(DN1230:DN1231)</f>
      </c>
      <c r="DO1232" s="1835">
        <f>SUM(DK1232:DN1232)</f>
      </c>
      <c r="DP1232" s="1542">
        <f>SUM(DP1230:DP1231)</f>
      </c>
      <c r="DQ1232" s="1542">
        <f>SUM(DQ1230:DQ1231)</f>
      </c>
      <c r="DR1232" s="1542">
        <f>SUM(DR1230:DR1231)</f>
      </c>
      <c r="DS1232" s="1542">
        <f>SUM(DS1230:DS1231)</f>
      </c>
      <c r="DT1232" s="1835">
        <f>SUM(DP1232:DS1232)</f>
      </c>
      <c r="DU1232" s="1542">
        <f>SUM(DU1230:DU1231)</f>
      </c>
      <c r="DV1232" s="1542">
        <f>SUM(DV1230:DV1231)</f>
      </c>
      <c r="DW1232" s="1542">
        <f>SUM(DW1230:DW1231)</f>
      </c>
      <c r="DX1232" s="1556">
        <f>SUM(DX1230:DX1231)</f>
      </c>
      <c r="DY1232" s="1835">
        <f>SUM(DU1232:DX1232)</f>
      </c>
      <c r="DZ1232" s="1542">
        <f>SUM(DZ1230:DZ1231)</f>
      </c>
      <c r="EA1232" s="1542">
        <f>SUM(EA1230:EA1231)</f>
      </c>
      <c r="EB1232" s="1542">
        <f>SUM(EB1230:EB1231)</f>
      </c>
      <c r="EC1232" s="1553">
        <f>SUM(EC1230:EC1231)</f>
      </c>
      <c r="ED1232" s="1835">
        <f>SUM(DZ1232:EC1232)</f>
      </c>
      <c r="EE1232" s="1542">
        <f>SUM(EE1230:EE1231)</f>
      </c>
      <c r="EF1232" s="1542">
        <f>SUM(EF1230:EF1231)</f>
      </c>
      <c r="EG1232" s="1542">
        <f>SUM(EG1230:EG1231)</f>
      </c>
      <c r="EH1232" s="1542">
        <f>SUM(EH1230:EH1231)</f>
      </c>
      <c r="EI1232" s="2060">
        <f t="shared" ref="EI1232:EM1232" si="2538">+EI1231+EI1230</f>
      </c>
      <c r="EJ1232" s="1313">
        <f t="shared" si="2538"/>
      </c>
      <c r="EK1232" s="2060">
        <f t="shared" si="2538"/>
      </c>
      <c r="EL1232" s="2060">
        <f t="shared" si="2538"/>
      </c>
      <c r="EM1232" s="2060">
        <f t="shared" si="2538"/>
      </c>
      <c r="EN1232" s="2060">
        <f>+EN1231+EN1230</f>
      </c>
      <c r="EO1232" s="1866"/>
      <c r="EP1232" s="1866"/>
      <c r="EQ1232" s="1866"/>
      <c r="ER1232" s="1866"/>
      <c r="ES1232" s="1866"/>
      <c r="ET1232" s="1866"/>
      <c r="EU1232" s="1866"/>
      <c r="EV1232" s="1866"/>
      <c r="EW1232" s="1866"/>
      <c r="EX1232" s="1866"/>
    </row>
    <row r="1233" spans="2:154" ht="12.75" customHeight="1">
      <c r="B1233" s="442"/>
      <c r="C1233" s="1577"/>
      <c r="D1233" s="933"/>
      <c r="E1233" s="933"/>
      <c r="F1233" s="933"/>
      <c r="G1233" s="933"/>
      <c r="H1233" s="933"/>
      <c r="I1233" s="933"/>
      <c r="J1233" s="933"/>
      <c r="K1233" s="933"/>
      <c r="L1233" s="933"/>
      <c r="M1233" s="933"/>
      <c r="N1233" s="933"/>
      <c r="O1233" s="933"/>
      <c r="P1233" s="933"/>
      <c r="Q1233" s="933"/>
      <c r="R1233" s="933"/>
      <c r="S1233" s="933"/>
      <c r="T1233" s="933"/>
      <c r="U1233" s="933"/>
      <c r="V1233" s="933"/>
      <c r="W1233" s="933"/>
      <c r="X1233" s="1061"/>
      <c r="Y1233" s="933"/>
      <c r="Z1233" s="933"/>
      <c r="AA1233" s="933"/>
      <c r="AB1233" s="933"/>
      <c r="AC1233" s="1061"/>
      <c r="AD1233" s="933"/>
      <c r="AE1233" s="933"/>
      <c r="AF1233" s="933"/>
      <c r="AG1233" s="933"/>
      <c r="AH1233" s="1061"/>
      <c r="AI1233" s="933"/>
      <c r="AJ1233" s="933"/>
      <c r="AK1233" s="933"/>
      <c r="AL1233" s="933"/>
      <c r="AM1233" s="1061"/>
      <c r="AN1233" s="933"/>
      <c r="AO1233" s="933"/>
      <c r="AP1233" s="933"/>
      <c r="AQ1233" s="933"/>
      <c r="AR1233" s="1061"/>
      <c r="AS1233" s="933"/>
      <c r="AT1233" s="933"/>
      <c r="AU1233" s="933"/>
      <c r="AV1233" s="933"/>
      <c r="AW1233" s="1061"/>
      <c r="AX1233" s="933"/>
      <c r="AY1233" s="933"/>
      <c r="AZ1233" s="933"/>
      <c r="BA1233" s="933"/>
      <c r="BB1233" s="1061"/>
      <c r="BC1233" s="933"/>
      <c r="BD1233" s="933"/>
      <c r="BE1233" s="933"/>
      <c r="BF1233" s="933"/>
      <c r="BG1233" s="313"/>
      <c r="BH1233" s="933"/>
      <c r="BI1233" s="933"/>
      <c r="BJ1233" s="933"/>
      <c r="BK1233" s="933"/>
      <c r="BL1233" s="313"/>
      <c r="BM1233" s="933"/>
      <c r="BN1233" s="933"/>
      <c r="BO1233" s="933"/>
      <c r="BP1233" s="933"/>
      <c r="BQ1233" s="313"/>
      <c r="BR1233" s="933"/>
      <c r="BS1233" s="933"/>
      <c r="BT1233" s="933"/>
      <c r="BU1233" s="933"/>
      <c r="BV1233" s="1061"/>
      <c r="BW1233" s="933"/>
      <c r="BX1233" s="933"/>
      <c r="BY1233" s="933"/>
      <c r="BZ1233" s="933"/>
      <c r="CA1233" s="1060"/>
      <c r="CB1233" s="933"/>
      <c r="CC1233" s="933"/>
      <c r="CD1233" s="933"/>
      <c r="CE1233" s="933"/>
      <c r="CF1233" s="313"/>
      <c r="CG1233" s="933"/>
      <c r="CH1233" s="933"/>
      <c r="CI1233" s="933"/>
      <c r="CJ1233" s="933"/>
      <c r="CK1233" s="313"/>
      <c r="CL1233" s="933"/>
      <c r="CM1233" s="933"/>
      <c r="CN1233" s="933"/>
      <c r="CO1233" s="933"/>
      <c r="CP1233" s="313"/>
      <c r="CQ1233" s="933"/>
      <c r="CR1233" s="933"/>
      <c r="CS1233" s="933"/>
      <c r="CT1233" s="933"/>
      <c r="CU1233" s="313"/>
      <c r="CV1233" s="933"/>
      <c r="CW1233" s="933"/>
      <c r="CX1233" s="933"/>
      <c r="CY1233" s="933"/>
      <c r="CZ1233" s="313"/>
      <c r="DA1233" s="933"/>
      <c r="DB1233" s="31"/>
      <c r="DC1233" s="31"/>
      <c r="DD1233" s="955"/>
      <c r="DE1233" s="477"/>
      <c r="DF1233" s="982"/>
      <c r="DG1233" s="603"/>
      <c r="DH1233" s="603"/>
      <c r="DI1233" s="1798"/>
      <c r="DJ1233" s="477"/>
      <c r="DK1233" s="982"/>
      <c r="DL1233" s="1915"/>
      <c r="DM1233" s="603"/>
      <c r="DN1233" s="1915"/>
      <c r="DO1233" s="477"/>
      <c r="DP1233" s="1915"/>
      <c r="DQ1233" s="1915"/>
      <c r="DR1233" s="1915"/>
      <c r="DS1233" s="2257"/>
      <c r="DT1233" s="477"/>
      <c r="DU1233" s="2257"/>
      <c r="DV1233" s="1915"/>
      <c r="DW1233" s="1915"/>
      <c r="DX1233" s="1946"/>
      <c r="DY1233" s="477"/>
      <c r="DZ1233" s="1915"/>
      <c r="EA1233" s="1915"/>
      <c r="EB1233" s="1915"/>
      <c r="EC1233" s="3613"/>
      <c r="ED1233" s="1811"/>
      <c r="EE1233" s="1915"/>
      <c r="EF1233" s="1915"/>
      <c r="EG1233" s="1915"/>
      <c r="EH1233" s="2257"/>
      <c r="EI1233" s="477"/>
      <c r="EJ1233" s="1798"/>
      <c r="EK1233" s="477"/>
      <c r="EL1233" s="477"/>
      <c r="EM1233" s="477"/>
      <c r="EN1233" s="477"/>
      <c r="EO1233" s="477"/>
      <c r="EP1233" s="477"/>
      <c r="EQ1233" s="477"/>
      <c r="ER1233" s="477"/>
      <c r="ES1233" s="477"/>
      <c r="ET1233" s="477"/>
      <c r="EU1233" s="477"/>
      <c r="EV1233" s="477"/>
      <c r="EW1233" s="477"/>
      <c r="EX1233" s="477"/>
    </row>
    <row r="1234" spans="2:154" ht="12.75" customHeight="1">
      <c r="B1234" s="439" t="s">
        <v>959</v>
      </c>
      <c r="C1234" s="1577"/>
      <c r="D1234" s="933"/>
      <c r="E1234" s="933"/>
      <c r="F1234" s="933"/>
      <c r="G1234" s="933"/>
      <c r="H1234" s="933"/>
      <c r="I1234" s="933"/>
      <c r="J1234" s="933"/>
      <c r="K1234" s="933"/>
      <c r="L1234" s="933"/>
      <c r="M1234" s="933"/>
      <c r="N1234" s="933"/>
      <c r="O1234" s="933"/>
      <c r="P1234" s="933"/>
      <c r="Q1234" s="933"/>
      <c r="R1234" s="933"/>
      <c r="S1234" s="933"/>
      <c r="T1234" s="933"/>
      <c r="U1234" s="933"/>
      <c r="V1234" s="933"/>
      <c r="W1234" s="933"/>
      <c r="X1234" s="1061"/>
      <c r="Y1234" s="933"/>
      <c r="Z1234" s="933"/>
      <c r="AA1234" s="933"/>
      <c r="AB1234" s="933"/>
      <c r="AC1234" s="1061"/>
      <c r="AD1234" s="933"/>
      <c r="AE1234" s="933"/>
      <c r="AF1234" s="933"/>
      <c r="AG1234" s="933"/>
      <c r="AH1234" s="1061"/>
      <c r="AI1234" s="933"/>
      <c r="AJ1234" s="933"/>
      <c r="AK1234" s="933"/>
      <c r="AL1234" s="933"/>
      <c r="AM1234" s="1061"/>
      <c r="AN1234" s="933"/>
      <c r="AO1234" s="933"/>
      <c r="AP1234" s="933"/>
      <c r="AQ1234" s="933"/>
      <c r="AR1234" s="1061"/>
      <c r="AS1234" s="933"/>
      <c r="AT1234" s="933"/>
      <c r="AU1234" s="933"/>
      <c r="AV1234" s="933"/>
      <c r="AW1234" s="1061"/>
      <c r="AX1234" s="933"/>
      <c r="AY1234" s="933"/>
      <c r="AZ1234" s="933"/>
      <c r="BA1234" s="933"/>
      <c r="BB1234" s="1061"/>
      <c r="BC1234" s="933"/>
      <c r="BD1234" s="933"/>
      <c r="BE1234" s="933"/>
      <c r="BF1234" s="933"/>
      <c r="BG1234" s="313"/>
      <c r="BH1234" s="933"/>
      <c r="BI1234" s="933"/>
      <c r="BJ1234" s="933"/>
      <c r="BK1234" s="933"/>
      <c r="BL1234" s="313"/>
      <c r="BM1234" s="933"/>
      <c r="BN1234" s="933"/>
      <c r="BO1234" s="933"/>
      <c r="BP1234" s="933"/>
      <c r="BQ1234" s="313"/>
      <c r="BR1234" s="933"/>
      <c r="BS1234" s="933"/>
      <c r="BT1234" s="933"/>
      <c r="BU1234" s="933"/>
      <c r="BV1234" s="1061"/>
      <c r="BW1234" s="933"/>
      <c r="BX1234" s="933"/>
      <c r="BY1234" s="933"/>
      <c r="BZ1234" s="933"/>
      <c r="CA1234" s="313"/>
      <c r="CB1234" s="933"/>
      <c r="CC1234" s="933"/>
      <c r="CD1234" s="933"/>
      <c r="CE1234" s="933"/>
      <c r="CF1234" s="313"/>
      <c r="CG1234" s="933"/>
      <c r="CH1234" s="933"/>
      <c r="CI1234" s="933"/>
      <c r="CJ1234" s="933"/>
      <c r="CK1234" s="313"/>
      <c r="CL1234" s="961"/>
      <c r="CM1234" s="933"/>
      <c r="CN1234" s="933"/>
      <c r="CO1234" s="933"/>
      <c r="CP1234" s="313"/>
      <c r="CQ1234" s="933"/>
      <c r="CR1234" s="933"/>
      <c r="CS1234" s="933"/>
      <c r="CT1234" s="933"/>
      <c r="CU1234" s="313"/>
      <c r="CV1234" s="933"/>
      <c r="CW1234" s="933"/>
      <c r="CX1234" s="933"/>
      <c r="CY1234" s="933"/>
      <c r="CZ1234" s="313"/>
      <c r="DA1234" s="933"/>
      <c r="DB1234" s="31"/>
      <c r="DC1234" s="31"/>
      <c r="DD1234" s="955"/>
      <c r="DE1234" s="477"/>
      <c r="DF1234" s="982"/>
      <c r="DG1234" s="603"/>
      <c r="DH1234" s="603"/>
      <c r="DI1234" s="1798"/>
      <c r="DJ1234" s="477"/>
      <c r="DK1234" s="982"/>
      <c r="DL1234" s="1915"/>
      <c r="DM1234" s="603"/>
      <c r="DN1234" s="1915"/>
      <c r="DO1234" s="477"/>
      <c r="DP1234" s="1915"/>
      <c r="DQ1234" s="1915"/>
      <c r="DR1234" s="1915"/>
      <c r="DS1234" s="2257"/>
      <c r="DT1234" s="477"/>
      <c r="DU1234" s="2257"/>
      <c r="DV1234" s="1915"/>
      <c r="DW1234" s="1915"/>
      <c r="DX1234" s="1946"/>
      <c r="DY1234" s="477"/>
      <c r="DZ1234" s="1915"/>
      <c r="EA1234" s="1915"/>
      <c r="EB1234" s="1915"/>
      <c r="EC1234" s="3613"/>
      <c r="ED1234" s="1811"/>
      <c r="EE1234" s="1915"/>
      <c r="EF1234" s="1915"/>
      <c r="EG1234" s="1915"/>
      <c r="EH1234" s="2257"/>
      <c r="EI1234" s="477"/>
      <c r="EJ1234" s="1798"/>
      <c r="EK1234" s="477"/>
      <c r="EL1234" s="477"/>
      <c r="EM1234" s="477"/>
      <c r="EN1234" s="477"/>
      <c r="EO1234" s="477"/>
      <c r="EP1234" s="477"/>
      <c r="EQ1234" s="477"/>
      <c r="ER1234" s="477"/>
      <c r="ES1234" s="477"/>
      <c r="ET1234" s="477"/>
      <c r="EU1234" s="477"/>
      <c r="EV1234" s="477"/>
      <c r="EW1234" s="477"/>
      <c r="EX1234" s="477"/>
    </row>
    <row r="1235" spans="2:154" ht="12.75" customHeight="1">
      <c r="B1235" s="443" t="s">
        <v>156</v>
      </c>
      <c r="C1235" s="1577"/>
      <c r="D1235" s="933"/>
      <c r="E1235" s="933"/>
      <c r="F1235" s="933"/>
      <c r="G1235" s="933"/>
      <c r="H1235" s="933"/>
      <c r="I1235" s="933"/>
      <c r="J1235" s="933"/>
      <c r="K1235" s="933"/>
      <c r="L1235" s="933"/>
      <c r="M1235" s="933"/>
      <c r="N1235" s="933"/>
      <c r="O1235" s="933"/>
      <c r="P1235" s="933"/>
      <c r="Q1235" s="933"/>
      <c r="R1235" s="933"/>
      <c r="S1235" s="933"/>
      <c r="T1235" s="933"/>
      <c r="U1235" s="933"/>
      <c r="V1235" s="933"/>
      <c r="W1235" s="933"/>
      <c r="X1235" s="1060"/>
      <c r="Y1235" s="933"/>
      <c r="Z1235" s="933"/>
      <c r="AA1235" s="933"/>
      <c r="AB1235" s="933"/>
      <c r="AC1235" s="1060"/>
      <c r="AD1235" s="926">
        <v>6.7000000000000004E-2</v>
      </c>
      <c r="AE1235" s="926">
        <v>0.1</v>
      </c>
      <c r="AF1235" s="926">
        <v>0.11</v>
      </c>
      <c r="AG1235" s="926"/>
      <c r="AH1235" s="1060">
        <v>0.09</v>
      </c>
      <c r="AI1235" s="926">
        <v>0.218</v>
      </c>
      <c r="AJ1235" s="926">
        <v>0.13300000000000001</v>
      </c>
      <c r="AK1235" s="926">
        <v>0.13700000000000001</v>
      </c>
      <c r="AL1235" s="926">
        <v>-1.7000000000000001E-2</v>
      </c>
      <c r="AM1235" s="1060">
        <f>IF(AH1230="NM","NM",IF(AM1230="NM","NM",IF(AH1230&lt;=0,"NM",IF(AM1230=0,"NM",IF(ABS(AM1230/AH1230-1)&gt;2.5,"NM",IF((ABS(AM1230-AH1230)=ABS(ABS(AM1230)-ABS(AH1230))),(AM1230/AH1230-1),"NM"))))))</f>
      </c>
      <c r="AN1235" s="926">
        <v>-4.9000000000000002E-2</v>
      </c>
      <c r="AO1235" s="926">
        <v>-2.7E-2</v>
      </c>
      <c r="AP1235" s="926">
        <v>-4.5999999999999999E-2</v>
      </c>
      <c r="AQ1235" s="926">
        <v>-3.9E-2</v>
      </c>
      <c r="AR1235" s="1060">
        <f>IF(AM1230="NM","NM",IF(AR1230="NM","NM",IF(AM1230&lt;=0,"NM",IF(AR1230=0,"NM",IF(ABS(AR1230/AM1230-1)&gt;2.5,"NM",IF((ABS(AR1230-AM1230)=ABS(ABS(AR1230)-ABS(AM1230))),(AR1230/AM1230-1),"NM"))))))</f>
      </c>
      <c r="AS1235" s="926">
        <v>-4.1000000000000002E-2</v>
      </c>
      <c r="AT1235" s="926">
        <v>-2.7E-2</v>
      </c>
      <c r="AU1235" s="926">
        <v>-8.0000000000000002E-3</v>
      </c>
      <c r="AV1235" s="926">
        <v>2.7E-2</v>
      </c>
      <c r="AW1235" s="1060">
        <f>IF(AR1230="NM","NM",IF(AW1230="NM","NM",IF(AR1230&lt;=0,"NM",IF(AW1230=0,"NM",IF(ABS(AW1230/AR1230-1)&gt;2.5,"NM",IF((ABS(AW1230-AR1230)=ABS(ABS(AW1230)-ABS(AR1230))),(AW1230/AR1230-1),"NM"))))))</f>
      </c>
      <c r="AX1235" s="926">
        <v>-0.02</v>
      </c>
      <c r="AY1235" s="926">
        <v>-2E-3</v>
      </c>
      <c r="AZ1235" s="926">
        <v>5.1999999999999998E-2</v>
      </c>
      <c r="BA1235" s="926">
        <v>5.7000000000000002E-2</v>
      </c>
      <c r="BB1235" s="1060">
        <f>IF(AW1230="NM","NM",IF(BB1230="NM","NM",IF(AW1230&lt;=0,"NM",IF(BB1230=0,"NM",IF(ABS(BB1230/AW1230-1)&gt;2.5,"NM",IF((ABS(BB1230-AW1230)=ABS(ABS(BB1230)-ABS(AW1230))),(BB1230/AW1230-1),"NM"))))))</f>
      </c>
      <c r="BC1235" s="926">
        <v>0.11</v>
      </c>
      <c r="BD1235" s="926">
        <v>0.11</v>
      </c>
      <c r="BE1235" s="29">
        <v>0.09</v>
      </c>
      <c r="BF1235" s="29">
        <v>0.09</v>
      </c>
      <c r="BG1235" s="1060">
        <f>IF(BB1230="NM","NM",IF(BG1230="NM","NM",IF(BB1230&lt;=0,"NM",IF(BG1230=0,"NM",IF(ABS(BG1230/BB1230-1)&gt;2.5,"NM",IF((ABS(BG1230-BB1230)=ABS(ABS(BG1230)-ABS(BB1230))),(BG1230/BB1230-1),"NM"))))))</f>
      </c>
      <c r="BH1235" s="29">
        <v>-2E-3</v>
      </c>
      <c r="BI1235" s="926">
        <f t="shared" ref="BI1235:BK1236" si="2539">IF(BD1230="NM","NM",IF(BI1230="NM","NM",IF(BD1230&lt;=0,"NM",IF(BI1230=0,"NM",IF(ABS(BI1230/BD1230-1)&gt;2.5,"NM",IF((ABS(BI1230-BD1230)=ABS(ABS(BI1230)-ABS(BD1230))),(BI1230/BD1230-1),"NM"))))))</f>
      </c>
      <c r="BJ1235" s="926">
        <f t="shared" si="2539"/>
      </c>
      <c r="BK1235" s="926">
        <f t="shared" si="2539"/>
      </c>
      <c r="BL1235" s="1060"/>
      <c r="BM1235" s="926"/>
      <c r="BN1235" s="926"/>
      <c r="BO1235" s="926"/>
      <c r="BP1235" s="926"/>
      <c r="BQ1235" s="1060"/>
      <c r="BR1235" s="926"/>
      <c r="BS1235" s="926"/>
      <c r="BT1235" s="926"/>
      <c r="BU1235" s="926"/>
      <c r="BV1235" s="1060"/>
      <c r="BW1235" s="649"/>
      <c r="BX1235" s="649"/>
      <c r="BY1235" s="649"/>
      <c r="BZ1235" s="649"/>
      <c r="CA1235" s="2248"/>
      <c r="CB1235" s="649"/>
      <c r="CC1235" s="29"/>
      <c r="CD1235" s="29"/>
      <c r="CE1235" s="29"/>
      <c r="CF1235" s="2248"/>
      <c r="CG1235" s="926">
        <f t="shared" ref="CG1235:CJ1236" si="2540">IF(CB1230="NM","NM",IF(CG1230="NM","NM",IF(CB1230&lt;=0,"NM",IF(CG1230=0,"NM",IF(ABS(CG1230/CB1230-1)&gt;2.5,"NM",IF((ABS(CG1230-CB1230)=ABS(ABS(CG1230)-ABS(CB1230))),(CG1230/CB1230-1),"NM"))))))</f>
      </c>
      <c r="CH1235" s="926">
        <f t="shared" si="2540"/>
      </c>
      <c r="CI1235" s="926">
        <f t="shared" si="2540"/>
      </c>
      <c r="CJ1235" s="926">
        <f t="shared" si="2540"/>
      </c>
      <c r="CK1235" s="1060">
        <f>IF(CF1230=0, 0, CK1230/CF1230-1)</f>
      </c>
      <c r="CL1235" s="926">
        <f t="shared" ref="CL1235:CO1236" si="2541">IF(CG1230="NM","NM",IF(CL1230="NM","NM",IF(CG1230&lt;=0,"NM",IF(CL1230=0,"NM",IF(ABS(CL1230/CG1230-1)&gt;2.5,"NM",IF((ABS(CL1230-CG1230)=ABS(ABS(CL1230)-ABS(CG1230))),(CL1230/CG1230-1),"NM"))))))</f>
      </c>
      <c r="CM1235" s="926">
        <f t="shared" si="2541"/>
      </c>
      <c r="CN1235" s="926">
        <f t="shared" si="2541"/>
      </c>
      <c r="CO1235" s="926">
        <f t="shared" si="2541"/>
      </c>
      <c r="CP1235" s="1060">
        <f>IF(CK1230=0, 0, CP1230/CK1230-1)</f>
      </c>
      <c r="CQ1235" s="926">
        <f t="shared" ref="CQ1235:CT1236" si="2542">IF(CL1230="NM","NM",IF(CQ1230="NM","NM",IF(CL1230&lt;=0,"NM",IF(CQ1230=0,"NM",IF(ABS(CQ1230/CL1230-1)&gt;2.5,"NM",IF((ABS(CQ1230-CL1230)=ABS(ABS(CQ1230)-ABS(CL1230))),(CQ1230/CL1230-1),"NM"))))))</f>
      </c>
      <c r="CR1235" s="926">
        <f t="shared" si="2542"/>
      </c>
      <c r="CS1235" s="926">
        <f t="shared" si="2542"/>
      </c>
      <c r="CT1235" s="926">
        <f t="shared" si="2542"/>
      </c>
      <c r="CU1235" s="1060">
        <f>IF(CP1230=0, 0, CU1230/CP1230-1)</f>
      </c>
      <c r="CV1235" s="926">
        <f t="shared" ref="CV1235:CY1236" si="2543">IF(CQ1230="NM","NM",IF(CV1230="NM","NM",IF(CQ1230&lt;=0,"NM",IF(CV1230=0,"NM",IF(ABS(CV1230/CQ1230-1)&gt;2.5,"NM",IF((ABS(CV1230-CQ1230)=ABS(ABS(CV1230)-ABS(CQ1230))),(CV1230/CQ1230-1),"NM"))))))</f>
      </c>
      <c r="CW1235" s="926">
        <f t="shared" si="2543"/>
      </c>
      <c r="CX1235" s="926">
        <f t="shared" si="2543"/>
      </c>
      <c r="CY1235" s="926">
        <f t="shared" si="2543"/>
      </c>
      <c r="CZ1235" s="1060">
        <f>IF(CU1230=0, 0, CZ1230/CU1230-1)</f>
      </c>
      <c r="DA1235" s="926">
        <f t="shared" ref="DA1235:DD1236" si="2544">IF(CV1230="NM","NM",IF(DA1230="NM","NM",IF(CV1230&lt;=0,"NM",IF(DA1230=0,"NM",IF(ABS(DA1230/CV1230-1)&gt;2.5,"NM",IF((ABS(DA1230-CV1230)=ABS(ABS(DA1230)-ABS(CV1230))),(DA1230/CV1230-1),"NM"))))))</f>
      </c>
      <c r="DB1235" s="926">
        <f t="shared" si="2544"/>
      </c>
      <c r="DC1235" s="926">
        <f t="shared" si="2544"/>
      </c>
      <c r="DD1235" s="926">
        <f t="shared" si="2544"/>
      </c>
      <c r="DE1235" s="1060">
        <f>IF(CZ1230=0, 0, DE1230/CZ1230-1)</f>
      </c>
      <c r="DF1235" s="926">
        <f t="shared" ref="DF1235:DI1236" si="2545">IF(DA1230="NM","NM",IF(DF1230="NM","NM",IF(DA1230&lt;=0,"NM",IF(DF1230=0,"NM",IF(ABS(DF1230/DA1230-1)&gt;2.5,"NM",IF((ABS(DF1230-DA1230)=ABS(ABS(DF1230)-ABS(DA1230))),(DF1230/DA1230-1),"NM"))))))</f>
      </c>
      <c r="DG1235" s="926">
        <f t="shared" si="2545"/>
      </c>
      <c r="DH1235" s="926">
        <f t="shared" si="2545"/>
      </c>
      <c r="DI1235" s="926">
        <f t="shared" si="2545"/>
      </c>
      <c r="DJ1235" s="1060">
        <f>IF(DE1230=0, 0, DJ1230/DE1230-1)</f>
      </c>
      <c r="DK1235" s="926">
        <f t="shared" ref="DK1235:DM1236" si="2546">IF(DF1230="NM","NM",IF(DK1230="NM","NM",IF(DF1230&lt;=0,"NM",IF(DK1230=0,"NM",IF(ABS(DK1230/DF1230-1)&gt;2.5,"NM",IF((ABS(DK1230-DF1230)=ABS(ABS(DK1230)-ABS(DF1230))),(DK1230/DF1230-1),"NM"))))))</f>
      </c>
      <c r="DL1235" s="926">
        <f t="shared" si="2546"/>
      </c>
      <c r="DM1235" s="926">
        <f t="shared" si="2546"/>
      </c>
      <c r="DN1235" s="1703">
        <f>DN1230/DI1230-1</f>
      </c>
      <c r="DO1235" s="1060">
        <f>IF(DJ1230=0, 0, DO1230/DJ1230-1)</f>
      </c>
      <c r="DP1235" s="926">
        <f>IF(DK1230="NM","NM",IF(DP1230="NM","NM",IF(DK1230&lt;=0,"NM",IF(DP1230=0,"NM",IF(ABS(DP1230/DK1230-1)&gt;2.5,"NM",IF((ABS(DP1230-DK1230)=ABS(ABS(DP1230)-ABS(DK1230))),(DP1230/DK1230-1),"NM"))))))</f>
      </c>
      <c r="DQ1235" s="926">
        <f>IF(DL1230="NM","NM",IF(DQ1230="NM","NM",IF(DL1230&lt;=0,"NM",IF(DQ1230=0,"NM",IF(ABS(DQ1230/DL1230-1)&gt;2.5,"NM",IF((ABS(DQ1230-DL1230)=ABS(ABS(DQ1230)-ABS(DL1230))),(DQ1230/DL1230-1),"NM"))))))</f>
      </c>
      <c r="DR1235" s="926">
        <f>IF(DM1230="NM","NM",IF(DR1230="NM","NM",IF(DM1230&lt;=0,"NM",IF(DR1230=0,"NM",IF(ABS(DR1230/DM1230-1)&gt;2.5,"NM",IF((ABS(DR1230-DM1230)=ABS(ABS(DR1230)-ABS(DM1230))),(DR1230/DM1230-1),"NM"))))))</f>
      </c>
      <c r="DS1235" s="926">
        <f>IF(DN1230=0, 0, DS1230/DN1230-1)</f>
      </c>
      <c r="DT1235" s="1060">
        <f>IF(DO1230=0, 0, DT1230/DO1230-1)</f>
      </c>
      <c r="DU1235" s="926">
        <f>IF(DP1230=0, 0, DU1230/DP1230-1)</f>
      </c>
      <c r="DV1235" s="926">
        <f>IF(DQ1230=0, 0, DV1230/DQ1230-1)</f>
      </c>
      <c r="DW1235" s="926">
        <f>IF(DR1230="NM","NM",IF(DW1230="NM","NM",IF(DR1230&lt;=0,"NM",IF(DW1230=0,"NM",IF(ABS(DW1230/DR1230-1)&gt;2.5,"NM",IF((ABS(DW1230-DR1230)=ABS(ABS(DW1230)-ABS(DR1230))),(DW1230/DR1230-1),"NM"))))))</f>
      </c>
      <c r="DX1235" s="928">
        <f>IF(DS1230="NM","NM",IF(DX1230="NM","NM",IF(DS1230&lt;=0,"NM",IF(DX1230=0,"NM",IF(ABS(DX1230/DS1230-1)&gt;2.5,"NM",IF((ABS(DX1230-DS1230)=ABS(ABS(DX1230)-ABS(DS1230))),(DX1230/DS1230-1),"NM"))))))</f>
      </c>
      <c r="DY1235" s="1060">
        <f>IF(DT1230=0, 0, DY1230/DT1230-1)</f>
      </c>
      <c r="DZ1235" s="926">
        <f>IF(DU1230="NM","NM",IF(DZ1230="NM","NM",IF(DU1230&lt;=0,"NM",IF(DZ1230=0,"NM",IF(ABS(DZ1230/DU1230-1)&gt;2.5,"NM",IF((ABS(DZ1230-DU1230)=ABS(ABS(DZ1230)-ABS(DU1230))),(DZ1230/DU1230-1),"NM"))))))</f>
      </c>
      <c r="EA1235" s="926">
        <f>IF(DV1230="NM","NM",IF(EA1230="NM","NM",IF(DV1230&lt;=0,"NM",IF(EA1230=0,"NM",IF(ABS(EA1230/DV1230-1)&gt;2.5,"NM",IF((ABS(EA1230-DV1230)=ABS(ABS(EA1230)-ABS(DV1230))),(EA1230/DV1230-1),"NM"))))))</f>
      </c>
      <c r="EB1235" s="926">
        <f>IF(DW1230="NM","NM",IF(EB1230="NM","NM",IF(DW1230&lt;=0,"NM",IF(EB1230=0,"NM",IF(ABS(EB1230/DW1230-1)&gt;2.5,"NM",IF((ABS(EB1230-DW1230)=ABS(ABS(EB1230)-ABS(DW1230))),(EB1230/DW1230-1),"NM"))))))</f>
      </c>
      <c r="EC1235" s="1235">
        <f>IF(DX1230="NM","NM",IF(EC1230="NM","NM",IF(DX1230&lt;=0,"NM",IF(EC1230=0,"NM",IF(ABS(EC1230/DX1230-1)&gt;2.5,"NM",IF((ABS(EC1230-DX1230)=ABS(ABS(EC1230)-ABS(DX1230))),(EC1230/DX1230-1),"NM"))))))</f>
      </c>
      <c r="ED1235" s="1536">
        <f>IF(DY1230=0, 0, ED1230/DY1230-1)</f>
      </c>
      <c r="EE1235" s="926">
        <f>IF(DZ1230="NM","NM",IF(EE1230="NM","NM",IF(DZ1230&lt;=0,"NM",IF(EE1230=0,"NM",IF(ABS(EE1230/DZ1230-1)&gt;2.5,"NM",IF((ABS(EE1230-DZ1230)=ABS(ABS(EE1230)-ABS(DZ1230))),(EE1230/DZ1230-1),"NM"))))))</f>
      </c>
      <c r="EF1235" s="926">
        <f>IF(EA1230="NM","NM",IF(EF1230="NM","NM",IF(EA1230&lt;=0,"NM",IF(EF1230=0,"NM",IF(ABS(EF1230/EA1230-1)&gt;2.5,"NM",IF((ABS(EF1230-EA1230)=ABS(ABS(EF1230)-ABS(EA1230))),(EF1230/EA1230-1),"NM"))))))</f>
      </c>
      <c r="EG1235" s="926">
        <f>IF(EB1230="NM","NM",IF(EG1230="NM","NM",IF(EB1230&lt;=0,"NM",IF(EG1230=0,"NM",IF(ABS(EG1230/EB1230-1)&gt;2.5,"NM",IF((ABS(EG1230-EB1230)=ABS(ABS(EG1230)-ABS(EB1230))),(EG1230/EB1230-1),"NM"))))))</f>
      </c>
      <c r="EH1235" s="926">
        <f>+EH1230/EC1230-1</f>
      </c>
      <c r="EI1235" s="317">
        <v>0.02</v>
      </c>
      <c r="EJ1235" s="836">
        <v>3.5000000000000003E-2</v>
      </c>
      <c r="EK1235" s="836">
        <v>3.5000000000000003E-2</v>
      </c>
      <c r="EL1235" s="836">
        <v>3.5000000000000003E-2</v>
      </c>
      <c r="EM1235" s="836">
        <v>3.5000000000000003E-2</v>
      </c>
      <c r="EN1235" s="836">
        <v>3.5000000000000003E-2</v>
      </c>
      <c r="EO1235" s="673"/>
      <c r="EP1235" s="673"/>
      <c r="EQ1235" s="673"/>
      <c r="ER1235" s="673"/>
      <c r="ES1235" s="673"/>
      <c r="ET1235" s="673"/>
      <c r="EU1235" s="673"/>
      <c r="EV1235" s="673"/>
      <c r="EW1235" s="673"/>
      <c r="EX1235" s="673"/>
    </row>
    <row r="1236" spans="2:154" ht="12.75" customHeight="1">
      <c r="B1236" s="443" t="s">
        <v>235</v>
      </c>
      <c r="C1236" s="1577"/>
      <c r="D1236" s="933"/>
      <c r="E1236" s="933"/>
      <c r="F1236" s="933"/>
      <c r="G1236" s="933"/>
      <c r="H1236" s="933"/>
      <c r="I1236" s="933"/>
      <c r="J1236" s="933"/>
      <c r="K1236" s="933"/>
      <c r="L1236" s="933"/>
      <c r="M1236" s="933"/>
      <c r="N1236" s="933"/>
      <c r="O1236" s="933"/>
      <c r="P1236" s="933"/>
      <c r="Q1236" s="933"/>
      <c r="R1236" s="933"/>
      <c r="S1236" s="933"/>
      <c r="T1236" s="933"/>
      <c r="U1236" s="933"/>
      <c r="V1236" s="933"/>
      <c r="W1236" s="933"/>
      <c r="X1236" s="1060"/>
      <c r="Y1236" s="933"/>
      <c r="Z1236" s="933"/>
      <c r="AA1236" s="933"/>
      <c r="AB1236" s="933"/>
      <c r="AC1236" s="1060"/>
      <c r="AD1236" s="926">
        <v>0.38</v>
      </c>
      <c r="AE1236" s="926">
        <v>0.38</v>
      </c>
      <c r="AF1236" s="926">
        <v>0.25</v>
      </c>
      <c r="AG1236" s="926"/>
      <c r="AH1236" s="1060">
        <v>0.32500000000000001</v>
      </c>
      <c r="AI1236" s="926">
        <v>0.21299999999999999</v>
      </c>
      <c r="AJ1236" s="926">
        <v>0.17</v>
      </c>
      <c r="AK1236" s="926">
        <v>0.187</v>
      </c>
      <c r="AL1236" s="926">
        <v>0.04</v>
      </c>
      <c r="AM1236" s="1060">
        <f>IF(AH1231="NM","NM",IF(AM1231="NM","NM",IF(AH1231&lt;=0,"NM",IF(AM1231=0,"NM",IF(ABS(AM1231/AH1231-1)&gt;2.5,"NM",IF((ABS(AM1231-AH1231)=ABS(ABS(AM1231)-ABS(AH1231))),(AM1231/AH1231-1),"NM"))))))</f>
      </c>
      <c r="AN1236" s="926">
        <v>0.08</v>
      </c>
      <c r="AO1236" s="926">
        <v>5.0999999999999997E-2</v>
      </c>
      <c r="AP1236" s="926">
        <v>0.13700000000000001</v>
      </c>
      <c r="AQ1236" s="926">
        <v>0.15</v>
      </c>
      <c r="AR1236" s="1060">
        <f>IF(AM1231="NM","NM",IF(AR1231="NM","NM",IF(AM1231&lt;=0,"NM",IF(AR1231=0,"NM",IF(ABS(AR1231/AM1231-1)&gt;2.5,"NM",IF((ABS(AR1231-AM1231)=ABS(ABS(AR1231)-ABS(AM1231))),(AR1231/AM1231-1),"NM"))))))</f>
      </c>
      <c r="AS1236" s="926">
        <v>0.38500000000000001</v>
      </c>
      <c r="AT1236" s="926">
        <v>0.39400000000000002</v>
      </c>
      <c r="AU1236" s="926">
        <v>0.42499999999999999</v>
      </c>
      <c r="AV1236" s="926">
        <v>0.52100000000000002</v>
      </c>
      <c r="AW1236" s="1060">
        <f>IF(AR1231="NM","NM",IF(AW1231="NM","NM",IF(AR1231&lt;=0,"NM",IF(AW1231=0,"NM",IF(ABS(AW1231/AR1231-1)&gt;2.5,"NM",IF((ABS(AW1231-AR1231)=ABS(ABS(AW1231)-ABS(AR1231))),(AW1231/AR1231-1),"NM"))))))</f>
      </c>
      <c r="AX1236" s="926">
        <v>0.17499999999999999</v>
      </c>
      <c r="AY1236" s="926">
        <v>0.27600000000000002</v>
      </c>
      <c r="AZ1236" s="926">
        <v>0.185</v>
      </c>
      <c r="BA1236" s="926">
        <v>4.5999999999999999E-2</v>
      </c>
      <c r="BB1236" s="1060">
        <f>IF(AW1231="NM","NM",IF(BB1231="NM","NM",IF(AW1231&lt;=0,"NM",IF(BB1231=0,"NM",IF(ABS(BB1231/AW1231-1)&gt;2.5,"NM",IF((ABS(BB1231-AW1231)=ABS(ABS(BB1231)-ABS(AW1231))),(BB1231/AW1231-1),"NM"))))))</f>
      </c>
      <c r="BC1236" s="926">
        <v>0.02</v>
      </c>
      <c r="BD1236" s="926">
        <v>-0.03</v>
      </c>
      <c r="BE1236" s="926">
        <f>IF(ISNUMBER(BE1237),(1+BE1237)*(1+BE$21)-1,"NM")</f>
      </c>
      <c r="BF1236" s="926">
        <f>IF(ISNUMBER(BF1237),(1+BF1237)*(1+BF$21)-1,"NM")</f>
      </c>
      <c r="BG1236" s="1060">
        <f>IF(BB1231="NM","NM",IF(BG1231="NM","NM",IF(BB1231&lt;=0,"NM",IF(BG1231=0,"NM",IF(ABS(BG1231/BB1231-1)&gt;2.5,"NM",IF((ABS(BG1231-BB1231)=ABS(ABS(BG1231)-ABS(BB1231))),(BG1231/BB1231-1),"NM"))))))</f>
      </c>
      <c r="BH1236" s="926">
        <f>IF(ISNUMBER(BH1237),(1+BH1237)*(1+BH$21)-1,"NM")</f>
      </c>
      <c r="BI1236" s="926">
        <f t="shared" si="2539"/>
      </c>
      <c r="BJ1236" s="926">
        <f t="shared" si="2539"/>
      </c>
      <c r="BK1236" s="926">
        <f t="shared" si="2539"/>
      </c>
      <c r="BL1236" s="1060"/>
      <c r="BM1236" s="926"/>
      <c r="BN1236" s="926"/>
      <c r="BO1236" s="926"/>
      <c r="BP1236" s="926"/>
      <c r="BQ1236" s="1060"/>
      <c r="BR1236" s="926"/>
      <c r="BS1236" s="926"/>
      <c r="BT1236" s="926"/>
      <c r="BU1236" s="926"/>
      <c r="BV1236" s="1060"/>
      <c r="BW1236" s="926"/>
      <c r="BX1236" s="926"/>
      <c r="BY1236" s="926"/>
      <c r="BZ1236" s="928"/>
      <c r="CA1236" s="1060"/>
      <c r="CB1236" s="926"/>
      <c r="CC1236" s="926"/>
      <c r="CD1236" s="926"/>
      <c r="CE1236" s="926"/>
      <c r="CF1236" s="1060"/>
      <c r="CG1236" s="926">
        <f t="shared" si="2540"/>
      </c>
      <c r="CH1236" s="926">
        <f t="shared" si="2540"/>
      </c>
      <c r="CI1236" s="926">
        <f t="shared" si="2540"/>
      </c>
      <c r="CJ1236" s="926">
        <f t="shared" si="2540"/>
      </c>
      <c r="CK1236" s="1060">
        <f>IF(CF1231=0, "NA", CK1231/CF1231-1)</f>
      </c>
      <c r="CL1236" s="926">
        <f t="shared" si="2541"/>
      </c>
      <c r="CM1236" s="926">
        <f t="shared" si="2541"/>
      </c>
      <c r="CN1236" s="926">
        <f t="shared" si="2541"/>
      </c>
      <c r="CO1236" s="926">
        <f t="shared" si="2541"/>
      </c>
      <c r="CP1236" s="1060">
        <f>IF(CK1231=0, "NA", CP1231/CK1231-1)</f>
      </c>
      <c r="CQ1236" s="926">
        <f t="shared" si="2542"/>
      </c>
      <c r="CR1236" s="926">
        <f t="shared" si="2542"/>
      </c>
      <c r="CS1236" s="926">
        <f t="shared" si="2542"/>
      </c>
      <c r="CT1236" s="926">
        <f t="shared" si="2542"/>
      </c>
      <c r="CU1236" s="1060">
        <f>IF(CP1231=0, "NA", CU1231/CP1231-1)</f>
      </c>
      <c r="CV1236" s="926">
        <f t="shared" si="2543"/>
      </c>
      <c r="CW1236" s="926">
        <f t="shared" si="2543"/>
      </c>
      <c r="CX1236" s="926">
        <f t="shared" si="2543"/>
      </c>
      <c r="CY1236" s="926">
        <f t="shared" si="2543"/>
      </c>
      <c r="CZ1236" s="1060">
        <f>IF(CU1231=0, "NA", CZ1231/CU1231-1)</f>
      </c>
      <c r="DA1236" s="926">
        <f t="shared" si="2544"/>
      </c>
      <c r="DB1236" s="926">
        <f t="shared" si="2544"/>
      </c>
      <c r="DC1236" s="926">
        <f t="shared" si="2544"/>
      </c>
      <c r="DD1236" s="926">
        <f t="shared" si="2544"/>
      </c>
      <c r="DE1236" s="1060">
        <f>IF(CZ1231=0, "NA", DE1231/CZ1231-1)</f>
      </c>
      <c r="DF1236" s="926">
        <f t="shared" si="2545"/>
      </c>
      <c r="DG1236" s="926">
        <f t="shared" si="2545"/>
      </c>
      <c r="DH1236" s="926">
        <f t="shared" si="2545"/>
      </c>
      <c r="DI1236" s="926">
        <f t="shared" si="2545"/>
      </c>
      <c r="DJ1236" s="1060">
        <f>IF(DE1231=0, "NA", DJ1231/DE1231-1)</f>
      </c>
      <c r="DK1236" s="926">
        <f t="shared" si="2546"/>
      </c>
      <c r="DL1236" s="926">
        <f t="shared" si="2546"/>
      </c>
      <c r="DM1236" s="926">
        <f t="shared" si="2546"/>
      </c>
      <c r="DN1236" s="926">
        <f>IF(DI1231="NM","NM",IF(DN1231="NM","NM",IF(DI1231&lt;=0,"NM",IF(DN1231=0,"NM",IF(ABS(DN1231/DI1231-1)&gt;2.5,"NM",IF((ABS(DN1231-DI1231)=ABS(ABS(DN1231)-ABS(DI1231))),(DN1231/DI1231-1),"NM"))))))</f>
      </c>
      <c r="DO1236" s="1060">
        <f>IF(DJ1231=0, "NA", DO1231/DJ1231-1)</f>
      </c>
      <c r="DP1236" s="926">
        <f>IF(DK1231="NM","NM",IF(DP1231="NM","NM",IF(DK1231&lt;=0,"NM",IF(DP1231=0,"NM",IF(ABS(DP1231/DK1231-1)&gt;2.5,"NM",IF((ABS(DP1231-DK1231)=ABS(ABS(DP1231)-ABS(DK1231))),(DP1231/DK1231-1),"NM"))))))</f>
      </c>
      <c r="DQ1236" s="926">
        <f>DQ1231/DL1231-1</f>
      </c>
      <c r="DR1236" s="926">
        <f>DR1231/DM1231-1</f>
      </c>
      <c r="DS1236" s="926">
        <f>IF(DN1231=0, "NA", DS1231/DN1231-1)</f>
      </c>
      <c r="DT1236" s="1060">
        <f>IF(DO1231=0, "NA", DT1231/DO1231-1)</f>
      </c>
      <c r="DU1236" s="926">
        <f>IF(DP1231=0, "NA", DU1231/DP1231-1)</f>
      </c>
      <c r="DV1236" s="926">
        <f>DV1231/DQ1231-1</f>
      </c>
      <c r="DW1236" s="926">
        <f>DW1231/DR1231-1</f>
      </c>
      <c r="DX1236" s="928">
        <f>DX1231/DS1231-1</f>
      </c>
      <c r="DY1236" s="1060">
        <f>IF(DT1231=0, "NA", DY1231/DT1231-1)</f>
      </c>
      <c r="DZ1236" s="926">
        <f>DZ1231/DU1231-1</f>
      </c>
      <c r="EA1236" s="926">
        <f>EA1231/DV1231-1</f>
      </c>
      <c r="EB1236" s="926">
        <f>EB1231/DW1231-1</f>
      </c>
      <c r="EC1236" s="1235">
        <f>EC1231/DX1231-1</f>
      </c>
      <c r="ED1236" s="1536">
        <f>IF(DY1231=0, "NA", ED1231/DY1231-1)</f>
      </c>
      <c r="EE1236" s="926">
        <f>EE1231/DZ1231-1</f>
      </c>
      <c r="EF1236" s="926">
        <f>EF1231/EA1231-1</f>
      </c>
      <c r="EG1236" s="926">
        <f>EG1231/EB1231-1</f>
      </c>
      <c r="EH1236" s="926">
        <f>+EH1231/EC1231-1</f>
      </c>
      <c r="EI1236" s="1060">
        <f t="shared" ref="EI1236:EN1236" si="2547">EI1237+EI$1370</f>
      </c>
      <c r="EJ1236" s="928">
        <f t="shared" si="2547"/>
      </c>
      <c r="EK1236" s="1060">
        <f t="shared" si="2547"/>
      </c>
      <c r="EL1236" s="1060">
        <f t="shared" si="2547"/>
      </c>
      <c r="EM1236" s="1060">
        <f t="shared" si="2547"/>
      </c>
      <c r="EN1236" s="1060">
        <f t="shared" si="2547"/>
      </c>
      <c r="EO1236" s="1060"/>
      <c r="EP1236" s="1060"/>
      <c r="EQ1236" s="1060"/>
      <c r="ER1236" s="1060"/>
      <c r="ES1236" s="1060"/>
      <c r="ET1236" s="1060"/>
      <c r="EU1236" s="1060"/>
      <c r="EV1236" s="1060"/>
      <c r="EW1236" s="1060"/>
      <c r="EX1236" s="1060"/>
    </row>
    <row r="1237" spans="2:154" ht="12.75" customHeight="1">
      <c r="B1237" s="443" t="s">
        <v>157</v>
      </c>
      <c r="C1237" s="1577"/>
      <c r="D1237" s="933"/>
      <c r="E1237" s="933"/>
      <c r="F1237" s="933"/>
      <c r="G1237" s="933"/>
      <c r="H1237" s="933"/>
      <c r="I1237" s="933"/>
      <c r="J1237" s="933"/>
      <c r="K1237" s="933"/>
      <c r="L1237" s="933"/>
      <c r="M1237" s="933"/>
      <c r="N1237" s="933"/>
      <c r="O1237" s="933"/>
      <c r="P1237" s="933"/>
      <c r="Q1237" s="933"/>
      <c r="R1237" s="933"/>
      <c r="S1237" s="933"/>
      <c r="T1237" s="933"/>
      <c r="U1237" s="933"/>
      <c r="V1237" s="933"/>
      <c r="W1237" s="933"/>
      <c r="X1237" s="2248"/>
      <c r="Y1237" s="933"/>
      <c r="Z1237" s="933"/>
      <c r="AA1237" s="933"/>
      <c r="AB1237" s="933"/>
      <c r="AC1237" s="2248"/>
      <c r="AD1237" s="959"/>
      <c r="AE1237" s="959"/>
      <c r="AF1237" s="959"/>
      <c r="AG1237" s="959"/>
      <c r="AH1237" s="2248"/>
      <c r="AI1237" s="959">
        <f t="shared" ref="AI1237:BD1237" si="2548">IF(ISNUMBER(AI1236),(1+AI1236)/(1+AI$21)-1,"NM")</f>
      </c>
      <c r="AJ1237" s="959">
        <f t="shared" si="2548"/>
      </c>
      <c r="AK1237" s="959">
        <f t="shared" si="2548"/>
      </c>
      <c r="AL1237" s="959">
        <f t="shared" si="2548"/>
      </c>
      <c r="AM1237" s="2248">
        <f t="shared" si="2548"/>
      </c>
      <c r="AN1237" s="959">
        <f t="shared" si="2548"/>
      </c>
      <c r="AO1237" s="959">
        <f t="shared" si="2548"/>
      </c>
      <c r="AP1237" s="959">
        <f t="shared" si="2548"/>
      </c>
      <c r="AQ1237" s="959">
        <f t="shared" si="2548"/>
      </c>
      <c r="AR1237" s="2248">
        <f t="shared" si="2548"/>
      </c>
      <c r="AS1237" s="959">
        <f t="shared" si="2548"/>
      </c>
      <c r="AT1237" s="959">
        <f t="shared" si="2548"/>
      </c>
      <c r="AU1237" s="959">
        <f t="shared" si="2548"/>
      </c>
      <c r="AV1237" s="959">
        <f t="shared" si="2548"/>
      </c>
      <c r="AW1237" s="2248">
        <f t="shared" si="2548"/>
      </c>
      <c r="AX1237" s="959">
        <f t="shared" si="2548"/>
      </c>
      <c r="AY1237" s="959">
        <f t="shared" si="2548"/>
      </c>
      <c r="AZ1237" s="959">
        <f t="shared" si="2548"/>
      </c>
      <c r="BA1237" s="959">
        <f t="shared" si="2548"/>
      </c>
      <c r="BB1237" s="2248">
        <f t="shared" si="2548"/>
      </c>
      <c r="BC1237" s="959">
        <f t="shared" si="2548"/>
      </c>
      <c r="BD1237" s="959">
        <f t="shared" si="2548"/>
      </c>
      <c r="BE1237" s="361">
        <v>0.15</v>
      </c>
      <c r="BF1237" s="361">
        <v>2.4E-2</v>
      </c>
      <c r="BG1237" s="1066">
        <f>IF(ISNUMBER(BG1236),(1+BG1236)/(1+BG$21)-1,"NM")</f>
      </c>
      <c r="BH1237" s="361">
        <v>0.113</v>
      </c>
      <c r="BI1237" s="959">
        <f>IF(ISNUMBER(BI1236),(1+BI1236)/(1+BI$21)-1,"NM")</f>
      </c>
      <c r="BJ1237" s="959">
        <f>IF(ISNUMBER(BJ1236),(1+BJ1236)/(1+BJ$21)-1,"NM")</f>
      </c>
      <c r="BK1237" s="959">
        <f>IF(ISNUMBER(BK1236),(1+BK1236)/(1+BK$21)-1,"NM")</f>
      </c>
      <c r="BL1237" s="2248"/>
      <c r="BM1237" s="959"/>
      <c r="BN1237" s="959"/>
      <c r="BO1237" s="959"/>
      <c r="BP1237" s="926"/>
      <c r="BQ1237" s="2248"/>
      <c r="BR1237" s="649"/>
      <c r="BS1237" s="649"/>
      <c r="BT1237" s="649"/>
      <c r="BU1237" s="649"/>
      <c r="BV1237" s="1060"/>
      <c r="BW1237" s="407"/>
      <c r="BX1237" s="407"/>
      <c r="BY1237" s="407"/>
      <c r="BZ1237" s="649"/>
      <c r="CA1237" s="1060"/>
      <c r="CB1237" s="407"/>
      <c r="CC1237" s="29"/>
      <c r="CD1237" s="29"/>
      <c r="CE1237" s="29"/>
      <c r="CF1237" s="1060"/>
      <c r="CG1237" s="926">
        <f>IF(ISNUMBER(CG1236),(1+CG1236)/(1+CG$21)-1,"NM")</f>
      </c>
      <c r="CH1237" s="926">
        <f>IF(ISNUMBER(CH1236),(1+CH1236)/(1+CH$21)-1,"NM")</f>
      </c>
      <c r="CI1237" s="926">
        <f>IF(ISNUMBER(CI1236),(1+CI1236)/(1+CI$21)-1,"NM")</f>
      </c>
      <c r="CJ1237" s="926">
        <f>IF(ISNUMBER(CJ1236),(1+CJ1236)/(1+CJ$21)-1,"NM")</f>
      </c>
      <c r="CK1237" s="2248">
        <f>CK1236-CK$21</f>
      </c>
      <c r="CL1237" s="649">
        <f>IF(ISNUMBER(CL1236),(1+CL1236)/(1+CL$21)-1,"NM")</f>
      </c>
      <c r="CM1237" s="649">
        <f>IF(ISNUMBER(CM1236),(1+CM1236)/(1+CM$21)-1,"NM")</f>
      </c>
      <c r="CN1237" s="649">
        <v>3.1E-2</v>
      </c>
      <c r="CO1237" s="926">
        <f>IF(ISNUMBER(CO1236),(1+CO1236)/(1+CO$21)-1,"NM")</f>
      </c>
      <c r="CP1237" s="2248">
        <f>CP1236-CP$21</f>
      </c>
      <c r="CQ1237" s="649">
        <v>-3.1E-2</v>
      </c>
      <c r="CR1237" s="649">
        <v>1.0999999999999999E-2</v>
      </c>
      <c r="CS1237" s="407">
        <v>4.5999999999999999E-2</v>
      </c>
      <c r="CT1237" s="407">
        <v>4.0000000000000001E-3</v>
      </c>
      <c r="CU1237" s="406">
        <v>7.0000000000000001E-3</v>
      </c>
      <c r="CV1237" s="649">
        <v>5.6000000000000001E-2</v>
      </c>
      <c r="CW1237" s="649">
        <v>6.7000000000000004E-2</v>
      </c>
      <c r="CX1237" s="649">
        <v>0.01</v>
      </c>
      <c r="CY1237" s="407">
        <v>3.4000000000000002E-2</v>
      </c>
      <c r="CZ1237" s="406">
        <v>4.2000000000000003E-2</v>
      </c>
      <c r="DA1237" s="649">
        <v>-3.0000000000000001E-3</v>
      </c>
      <c r="DB1237" s="649">
        <v>-6.0000000000000001E-3</v>
      </c>
      <c r="DC1237" s="29">
        <v>4.2000000000000003E-2</v>
      </c>
      <c r="DD1237" s="1482">
        <v>2.5999999999999999E-2</v>
      </c>
      <c r="DE1237" s="448">
        <v>1.4E-2</v>
      </c>
      <c r="DF1237" s="649">
        <v>-5.2999999999999999E-2</v>
      </c>
      <c r="DG1237" s="29">
        <v>-0.22600000000000001</v>
      </c>
      <c r="DH1237" s="29">
        <v>-4.7E-2</v>
      </c>
      <c r="DI1237" s="1482">
        <v>-6.2E-2</v>
      </c>
      <c r="DJ1237" s="448">
        <v>-9.7000000000000003E-2</v>
      </c>
      <c r="DK1237" s="649">
        <v>7.6999999999999999E-2</v>
      </c>
      <c r="DL1237" s="649">
        <v>0.22700000000000001</v>
      </c>
      <c r="DM1237" s="29">
        <v>8.9999999999999993E-3</v>
      </c>
      <c r="DN1237" s="1741">
        <v>7.0000000000000001E-3</v>
      </c>
      <c r="DO1237" s="448">
        <v>7.0999999999999994E-2</v>
      </c>
      <c r="DP1237" s="649">
        <v>2.1999999999999999E-2</v>
      </c>
      <c r="DQ1237" s="1741">
        <v>-1.7000000000000001E-2</v>
      </c>
      <c r="DR1237" s="1741">
        <v>6.5000000000000002E-2</v>
      </c>
      <c r="DS1237" s="1741">
        <v>3.5000000000000003E-2</v>
      </c>
      <c r="DT1237" s="448">
        <v>2.5999999999999999E-2</v>
      </c>
      <c r="DU1237" s="1741">
        <v>3.5999999999999997E-2</v>
      </c>
      <c r="DV1237" s="1741">
        <v>0.109</v>
      </c>
      <c r="DW1237" s="1741">
        <v>8.0000000000000002E-3</v>
      </c>
      <c r="DX1237" s="2870">
        <v>4.1000000000000002E-2</v>
      </c>
      <c r="DY1237" s="448">
        <v>4.8000000000000001E-2</v>
      </c>
      <c r="DZ1237" s="1741">
        <v>-1.0999999999999999E-2</v>
      </c>
      <c r="EA1237" s="1741">
        <v>5.5E-2</v>
      </c>
      <c r="EB1237" s="1741">
        <v>4.8000000000000001E-2</v>
      </c>
      <c r="EC1237" s="3611">
        <v>-5.0000000000000001E-3</v>
      </c>
      <c r="ED1237" s="3623">
        <v>2.1000000000000001E-2</v>
      </c>
      <c r="EE1237" s="1741">
        <v>7.1999999999999995E-2</v>
      </c>
      <c r="EF1237" s="1741">
        <v>-1.4999999999999999E-2</v>
      </c>
      <c r="EG1237" s="1741">
        <v>2.5000000000000001E-2</v>
      </c>
      <c r="EH1237" s="926">
        <f>EH1236-EH$1370</f>
      </c>
      <c r="EI1237" s="317">
        <v>0.03</v>
      </c>
      <c r="EJ1237" s="836">
        <v>0.03</v>
      </c>
      <c r="EK1237" s="836">
        <v>3.5000000000000003E-2</v>
      </c>
      <c r="EL1237" s="836">
        <v>3.5000000000000003E-2</v>
      </c>
      <c r="EM1237" s="836">
        <v>3.5000000000000003E-2</v>
      </c>
      <c r="EN1237" s="836">
        <v>3.5000000000000003E-2</v>
      </c>
      <c r="EO1237" s="673"/>
      <c r="EP1237" s="673"/>
      <c r="EQ1237" s="673"/>
      <c r="ER1237" s="673"/>
      <c r="ES1237" s="673"/>
      <c r="ET1237" s="673"/>
      <c r="EU1237" s="673"/>
      <c r="EV1237" s="673"/>
      <c r="EW1237" s="673"/>
      <c r="EX1237" s="673"/>
    </row>
    <row r="1238" spans="2:154" ht="12.75" customHeight="1">
      <c r="B1238" s="443" t="s">
        <v>19</v>
      </c>
      <c r="C1238" s="1577"/>
      <c r="D1238" s="933"/>
      <c r="E1238" s="933"/>
      <c r="F1238" s="933"/>
      <c r="G1238" s="933"/>
      <c r="H1238" s="933"/>
      <c r="I1238" s="933"/>
      <c r="J1238" s="933"/>
      <c r="K1238" s="933"/>
      <c r="L1238" s="933"/>
      <c r="M1238" s="933"/>
      <c r="N1238" s="933"/>
      <c r="O1238" s="933"/>
      <c r="P1238" s="933"/>
      <c r="Q1238" s="933"/>
      <c r="R1238" s="933"/>
      <c r="S1238" s="933"/>
      <c r="T1238" s="933"/>
      <c r="U1238" s="933"/>
      <c r="V1238" s="933"/>
      <c r="W1238" s="933"/>
      <c r="X1238" s="1060"/>
      <c r="Y1238" s="933"/>
      <c r="Z1238" s="933"/>
      <c r="AA1238" s="933"/>
      <c r="AB1238" s="933"/>
      <c r="AC1238" s="1060"/>
      <c r="AD1238" s="926"/>
      <c r="AE1238" s="926"/>
      <c r="AF1238" s="926"/>
      <c r="AG1238" s="926"/>
      <c r="AH1238" s="1060"/>
      <c r="AI1238" s="926">
        <f t="shared" ref="AI1238:BK1238" si="2549">IF(AD1232="NM","NM",IF(AI1232="NM","NM",IF(AD1232&lt;=0,"NM",IF(AI1232=0,"NM",IF(ABS(AI1232/AD1232-1)&gt;2.5,"NM",IF((ABS(AI1232-AD1232)=ABS(ABS(AI1232)-ABS(AD1232))),(AI1232/AD1232-1),"NM"))))))</f>
      </c>
      <c r="AJ1238" s="926">
        <f t="shared" si="2549"/>
      </c>
      <c r="AK1238" s="926">
        <f t="shared" si="2549"/>
      </c>
      <c r="AL1238" s="926">
        <f t="shared" si="2549"/>
      </c>
      <c r="AM1238" s="1060">
        <f t="shared" si="2549"/>
      </c>
      <c r="AN1238" s="926">
        <f t="shared" si="2549"/>
      </c>
      <c r="AO1238" s="926">
        <f t="shared" si="2549"/>
      </c>
      <c r="AP1238" s="926">
        <f t="shared" si="2549"/>
      </c>
      <c r="AQ1238" s="926">
        <f t="shared" si="2549"/>
      </c>
      <c r="AR1238" s="1060">
        <f t="shared" si="2549"/>
      </c>
      <c r="AS1238" s="926">
        <f t="shared" si="2549"/>
      </c>
      <c r="AT1238" s="926">
        <f t="shared" si="2549"/>
      </c>
      <c r="AU1238" s="926">
        <f t="shared" si="2549"/>
      </c>
      <c r="AV1238" s="926">
        <f t="shared" si="2549"/>
      </c>
      <c r="AW1238" s="1060">
        <f t="shared" si="2549"/>
      </c>
      <c r="AX1238" s="926">
        <f t="shared" si="2549"/>
      </c>
      <c r="AY1238" s="926">
        <f t="shared" si="2549"/>
      </c>
      <c r="AZ1238" s="926">
        <f t="shared" si="2549"/>
      </c>
      <c r="BA1238" s="926">
        <f t="shared" si="2549"/>
      </c>
      <c r="BB1238" s="1060">
        <f t="shared" si="2549"/>
      </c>
      <c r="BC1238" s="926">
        <f t="shared" si="2549"/>
      </c>
      <c r="BD1238" s="926">
        <f t="shared" si="2549"/>
      </c>
      <c r="BE1238" s="926">
        <f t="shared" si="2549"/>
      </c>
      <c r="BF1238" s="926">
        <f t="shared" si="2549"/>
      </c>
      <c r="BG1238" s="1060">
        <f t="shared" si="2549"/>
      </c>
      <c r="BH1238" s="926">
        <f t="shared" si="2549"/>
      </c>
      <c r="BI1238" s="926">
        <f t="shared" si="2549"/>
      </c>
      <c r="BJ1238" s="926">
        <f t="shared" si="2549"/>
      </c>
      <c r="BK1238" s="926">
        <f t="shared" si="2549"/>
      </c>
      <c r="BL1238" s="1060"/>
      <c r="BM1238" s="926"/>
      <c r="BN1238" s="926"/>
      <c r="BO1238" s="926"/>
      <c r="BP1238" s="926"/>
      <c r="BQ1238" s="1060"/>
      <c r="BR1238" s="926"/>
      <c r="BS1238" s="926"/>
      <c r="BT1238" s="926"/>
      <c r="BU1238" s="926"/>
      <c r="BV1238" s="1060"/>
      <c r="BW1238" s="926"/>
      <c r="BX1238" s="926"/>
      <c r="BY1238" s="926"/>
      <c r="BZ1238" s="928"/>
      <c r="CA1238" s="1060"/>
      <c r="CB1238" s="926"/>
      <c r="CC1238" s="926"/>
      <c r="CD1238" s="926"/>
      <c r="CE1238" s="926"/>
      <c r="CF1238" s="1060"/>
      <c r="CG1238" s="926">
        <f>IF(CB1232="NM","NM",IF(CG1232="NM","NM",IF(CB1232&lt;=0,"NM",IF(CG1232=0,"NM",IF(ABS(CG1232/CB1232-1)&gt;2.5,"NM",IF((ABS(CG1232-CB1232)=ABS(ABS(CG1232)-ABS(CB1232))),(CG1232/CB1232-1),"NM"))))))</f>
      </c>
      <c r="CH1238" s="926">
        <f>IF(CC1232="NM","NM",IF(CH1232="NM","NM",IF(CC1232&lt;=0,"NM",IF(CH1232=0,"NM",IF(ABS(CH1232/CC1232-1)&gt;2.5,"NM",IF((ABS(CH1232-CC1232)=ABS(ABS(CH1232)-ABS(CC1232))),(CH1232/CC1232-1),"NM"))))))</f>
      </c>
      <c r="CI1238" s="926">
        <f>IF(CD1232="NM","NM",IF(CI1232="NM","NM",IF(CD1232&lt;=0,"NM",IF(CI1232=0,"NM",IF(ABS(CI1232/CD1232-1)&gt;2.5,"NM",IF((ABS(CI1232-CD1232)=ABS(ABS(CI1232)-ABS(CD1232))),(CI1232/CD1232-1),"NM"))))))</f>
      </c>
      <c r="CJ1238" s="926">
        <f>IF(CE1232="NM","NM",IF(CJ1232="NM","NM",IF(CE1232&lt;=0,"NM",IF(CJ1232=0,"NM",IF(ABS(CJ1232/CE1232-1)&gt;2.5,"NM",IF((ABS(CJ1232-CE1232)=ABS(ABS(CJ1232)-ABS(CE1232))),(CJ1232/CE1232-1),"NM"))))))</f>
      </c>
      <c r="CK1238" s="1060">
        <f>IF(CF1232=0, "NA", CK1232/CF1232-1)</f>
      </c>
      <c r="CL1238" s="926">
        <f>IF(CG1232="NM","NM",IF(CL1232="NM","NM",IF(CG1232&lt;=0,"NM",IF(CL1232=0,"NM",IF(ABS(CL1232/CG1232-1)&gt;2.5,"NM",IF((ABS(CL1232-CG1232)=ABS(ABS(CL1232)-ABS(CG1232))),(CL1232/CG1232-1),"NM"))))))</f>
      </c>
      <c r="CM1238" s="926">
        <f>IF(CH1232="NM","NM",IF(CM1232="NM","NM",IF(CH1232&lt;=0,"NM",IF(CM1232=0,"NM",IF(ABS(CM1232/CH1232-1)&gt;2.5,"NM",IF((ABS(CM1232-CH1232)=ABS(ABS(CM1232)-ABS(CH1232))),(CM1232/CH1232-1),"NM"))))))</f>
      </c>
      <c r="CN1238" s="926">
        <f>IF(CI1232="NM","NM",IF(CN1232="NM","NM",IF(CI1232&lt;=0,"NM",IF(CN1232=0,"NM",IF(ABS(CN1232/CI1232-1)&gt;2.5,"NM",IF((ABS(CN1232-CI1232)=ABS(ABS(CN1232)-ABS(CI1232))),(CN1232/CI1232-1),"NM"))))))</f>
      </c>
      <c r="CO1238" s="926">
        <f>IF(CJ1232="NM","NM",IF(CO1232="NM","NM",IF(CJ1232&lt;=0,"NM",IF(CO1232=0,"NM",IF(ABS(CO1232/CJ1232-1)&gt;2.5,"NM",IF((ABS(CO1232-CJ1232)=ABS(ABS(CO1232)-ABS(CJ1232))),(CO1232/CJ1232-1),"NM"))))))</f>
      </c>
      <c r="CP1238" s="1060">
        <f>IF(CK1232=0, "NA", CP1232/CK1232-1)</f>
      </c>
      <c r="CQ1238" s="926">
        <f>IF(CL1232="NM","NM",IF(CQ1232="NM","NM",IF(CL1232&lt;=0,"NM",IF(CQ1232=0,"NM",IF(ABS(CQ1232/CL1232-1)&gt;2.5,"NM",IF((ABS(CQ1232-CL1232)=ABS(ABS(CQ1232)-ABS(CL1232))),(CQ1232/CL1232-1),"NM"))))))</f>
      </c>
      <c r="CR1238" s="926">
        <f>IF(CM1232="NM","NM",IF(CR1232="NM","NM",IF(CM1232&lt;=0,"NM",IF(CR1232=0,"NM",IF(ABS(CR1232/CM1232-1)&gt;2.5,"NM",IF((ABS(CR1232-CM1232)=ABS(ABS(CR1232)-ABS(CM1232))),(CR1232/CM1232-1),"NM"))))))</f>
      </c>
      <c r="CS1238" s="926">
        <f>IF(CN1232="NM","NM",IF(CS1232="NM","NM",IF(CN1232&lt;=0,"NM",IF(CS1232=0,"NM",IF(ABS(CS1232/CN1232-1)&gt;2.5,"NM",IF((ABS(CS1232-CN1232)=ABS(ABS(CS1232)-ABS(CN1232))),(CS1232/CN1232-1),"NM"))))))</f>
      </c>
      <c r="CT1238" s="926">
        <f>IF(CO1232="NM","NM",IF(CT1232="NM","NM",IF(CO1232&lt;=0,"NM",IF(CT1232=0,"NM",IF(ABS(CT1232/CO1232-1)&gt;2.5,"NM",IF((ABS(CT1232-CO1232)=ABS(ABS(CT1232)-ABS(CO1232))),(CT1232/CO1232-1),"NM"))))))</f>
      </c>
      <c r="CU1238" s="1060">
        <f>IF(CP1232=0, "NA", CU1232/CP1232-1)</f>
      </c>
      <c r="CV1238" s="926">
        <f>IF(CQ1232="NM","NM",IF(CV1232="NM","NM",IF(CQ1232&lt;=0,"NM",IF(CV1232=0,"NM",IF(ABS(CV1232/CQ1232-1)&gt;2.5,"NM",IF((ABS(CV1232-CQ1232)=ABS(ABS(CV1232)-ABS(CQ1232))),(CV1232/CQ1232-1),"NM"))))))</f>
      </c>
      <c r="CW1238" s="926">
        <f>IF(CR1232="NM","NM",IF(CW1232="NM","NM",IF(CR1232&lt;=0,"NM",IF(CW1232=0,"NM",IF(ABS(CW1232/CR1232-1)&gt;2.5,"NM",IF((ABS(CW1232-CR1232)=ABS(ABS(CW1232)-ABS(CR1232))),(CW1232/CR1232-1),"NM"))))))</f>
      </c>
      <c r="CX1238" s="926">
        <f>IF(CS1232="NM","NM",IF(CX1232="NM","NM",IF(CS1232&lt;=0,"NM",IF(CX1232=0,"NM",IF(ABS(CX1232/CS1232-1)&gt;2.5,"NM",IF((ABS(CX1232-CS1232)=ABS(ABS(CX1232)-ABS(CS1232))),(CX1232/CS1232-1),"NM"))))))</f>
      </c>
      <c r="CY1238" s="926">
        <f>IF(CT1232="NM","NM",IF(CY1232="NM","NM",IF(CT1232&lt;=0,"NM",IF(CY1232=0,"NM",IF(ABS(CY1232/CT1232-1)&gt;2.5,"NM",IF((ABS(CY1232-CT1232)=ABS(ABS(CY1232)-ABS(CT1232))),(CY1232/CT1232-1),"NM"))))))</f>
      </c>
      <c r="CZ1238" s="1060">
        <f>IF(CU1232=0, "NA", CZ1232/CU1232-1)</f>
      </c>
      <c r="DA1238" s="926">
        <f>IF(CV1232="NM","NM",IF(DA1232="NM","NM",IF(CV1232&lt;=0,"NM",IF(DA1232=0,"NM",IF(ABS(DA1232/CV1232-1)&gt;2.5,"NM",IF((ABS(DA1232-CV1232)=ABS(ABS(DA1232)-ABS(CV1232))),(DA1232/CV1232-1),"NM"))))))</f>
      </c>
      <c r="DB1238" s="926">
        <f>IF(CW1232="NM","NM",IF(DB1232="NM","NM",IF(CW1232&lt;=0,"NM",IF(DB1232=0,"NM",IF(ABS(DB1232/CW1232-1)&gt;2.5,"NM",IF((ABS(DB1232-CW1232)=ABS(ABS(DB1232)-ABS(CW1232))),(DB1232/CW1232-1),"NM"))))))</f>
      </c>
      <c r="DC1238" s="926">
        <f>IF(CX1232="NM","NM",IF(DC1232="NM","NM",IF(CX1232&lt;=0,"NM",IF(DC1232=0,"NM",IF(ABS(DC1232/CX1232-1)&gt;2.5,"NM",IF((ABS(DC1232-CX1232)=ABS(ABS(DC1232)-ABS(CX1232))),(DC1232/CX1232-1),"NM"))))))</f>
      </c>
      <c r="DD1238" s="928">
        <f>IF(CY1232=0, "NM", DD1232/CY1232-1)</f>
      </c>
      <c r="DE1238" s="1060">
        <f>IF(CZ1232=0, "NA", DE1232/CZ1232-1)</f>
      </c>
      <c r="DF1238" s="926">
        <f>IF(DA1232=0, "NA", DF1232/DA1232-1)</f>
      </c>
      <c r="DG1238" s="926">
        <f>IF(DB1232=0, "NA", DG1232/DB1232-1)</f>
      </c>
      <c r="DH1238" s="926">
        <f>IF(DC1232=0, "NA", DH1232/DC1232-1)</f>
      </c>
      <c r="DI1238" s="928">
        <f>IF(DD1232=0, "NM", DI1232/DD1232-1)</f>
      </c>
      <c r="DJ1238" s="1060">
        <f t="shared" ref="DJ1238:DY1238" si="2550">IF(DE1232=0, "NA", DJ1232/DE1232-1)</f>
      </c>
      <c r="DK1238" s="926">
        <f t="shared" si="2550"/>
      </c>
      <c r="DL1238" s="926">
        <f t="shared" si="2550"/>
      </c>
      <c r="DM1238" s="926">
        <f t="shared" si="2550"/>
      </c>
      <c r="DN1238" s="926">
        <f t="shared" si="2550"/>
      </c>
      <c r="DO1238" s="1060">
        <f t="shared" si="2550"/>
      </c>
      <c r="DP1238" s="926">
        <f t="shared" si="2550"/>
      </c>
      <c r="DQ1238" s="926">
        <f t="shared" si="2550"/>
      </c>
      <c r="DR1238" s="926">
        <f t="shared" si="2550"/>
      </c>
      <c r="DS1238" s="926">
        <f t="shared" si="2550"/>
      </c>
      <c r="DT1238" s="1060">
        <f t="shared" si="2550"/>
      </c>
      <c r="DU1238" s="926">
        <f t="shared" si="2550"/>
      </c>
      <c r="DV1238" s="926">
        <f t="shared" si="2550"/>
      </c>
      <c r="DW1238" s="926">
        <f t="shared" si="2550"/>
      </c>
      <c r="DX1238" s="928">
        <f t="shared" si="2550"/>
      </c>
      <c r="DY1238" s="1060">
        <f t="shared" si="2550"/>
      </c>
      <c r="DZ1238" s="926">
        <f>IF(DU1232=0, "NA", DZ1232/DU1232-1)</f>
      </c>
      <c r="EA1238" s="926">
        <f>IF(DV1232=0, "NA", EA1232/DV1232-1)</f>
      </c>
      <c r="EB1238" s="926">
        <f>IF(DW1232=0, "NA", EB1232/DW1232-1)</f>
      </c>
      <c r="EC1238" s="1235">
        <f t="shared" ref="EC1238:EF1238" si="2551">IF(DX1232=0, "NA", EC1232/DX1232-1)</f>
      </c>
      <c r="ED1238" s="1536">
        <f t="shared" si="2551"/>
      </c>
      <c r="EE1238" s="926">
        <f t="shared" si="2551"/>
      </c>
      <c r="EF1238" s="926">
        <f t="shared" si="2551"/>
      </c>
      <c r="EG1238" s="926">
        <f>IF(EB1232=0, "NA", EG1232/EB1232-1)</f>
      </c>
      <c r="EH1238" s="926">
        <f>IF(EC1232=0, "NA", EH1232/EC1232-1)</f>
      </c>
      <c r="EI1238" s="1060">
        <f>EI1232/ED1232-1</f>
      </c>
      <c r="EJ1238" s="928">
        <f t="shared" ref="EJ1238:EN1238" si="2552">EJ1232/EI1232-1</f>
      </c>
      <c r="EK1238" s="1060">
        <f t="shared" si="2552"/>
      </c>
      <c r="EL1238" s="1060">
        <f t="shared" si="2552"/>
      </c>
      <c r="EM1238" s="1060">
        <f t="shared" si="2552"/>
      </c>
      <c r="EN1238" s="1060">
        <f t="shared" si="2552"/>
      </c>
      <c r="EO1238" s="1060"/>
      <c r="EP1238" s="1060"/>
      <c r="EQ1238" s="1060"/>
      <c r="ER1238" s="1060"/>
      <c r="ES1238" s="1060"/>
      <c r="ET1238" s="1060"/>
      <c r="EU1238" s="1060"/>
      <c r="EV1238" s="1060"/>
      <c r="EW1238" s="1060"/>
      <c r="EX1238" s="1060"/>
    </row>
    <row r="1239" spans="2:154" ht="12.75" customHeight="1">
      <c r="B1239" s="443" t="s">
        <v>848</v>
      </c>
      <c r="C1239" s="1577"/>
      <c r="D1239" s="933"/>
      <c r="E1239" s="933"/>
      <c r="F1239" s="933"/>
      <c r="G1239" s="933"/>
      <c r="H1239" s="933"/>
      <c r="I1239" s="933"/>
      <c r="J1239" s="933"/>
      <c r="K1239" s="933"/>
      <c r="L1239" s="933"/>
      <c r="M1239" s="933"/>
      <c r="N1239" s="933"/>
      <c r="O1239" s="933"/>
      <c r="P1239" s="933"/>
      <c r="Q1239" s="933"/>
      <c r="R1239" s="933"/>
      <c r="S1239" s="933"/>
      <c r="T1239" s="933"/>
      <c r="U1239" s="933"/>
      <c r="V1239" s="933"/>
      <c r="W1239" s="933"/>
      <c r="X1239" s="1060"/>
      <c r="Y1239" s="933"/>
      <c r="Z1239" s="933"/>
      <c r="AA1239" s="933"/>
      <c r="AB1239" s="933"/>
      <c r="AC1239" s="1060"/>
      <c r="AD1239" s="926"/>
      <c r="AE1239" s="926"/>
      <c r="AF1239" s="926"/>
      <c r="AG1239" s="926"/>
      <c r="AH1239" s="1060"/>
      <c r="AI1239" s="926"/>
      <c r="AJ1239" s="926"/>
      <c r="AK1239" s="926"/>
      <c r="AL1239" s="926"/>
      <c r="AM1239" s="1060"/>
      <c r="AN1239" s="926"/>
      <c r="AO1239" s="926"/>
      <c r="AP1239" s="926"/>
      <c r="AQ1239" s="926"/>
      <c r="AR1239" s="1060"/>
      <c r="AS1239" s="926"/>
      <c r="AT1239" s="926"/>
      <c r="AU1239" s="926"/>
      <c r="AV1239" s="926"/>
      <c r="AW1239" s="1060"/>
      <c r="AX1239" s="926"/>
      <c r="AY1239" s="926"/>
      <c r="AZ1239" s="926"/>
      <c r="BA1239" s="926"/>
      <c r="BB1239" s="1060"/>
      <c r="BC1239" s="926"/>
      <c r="BD1239" s="926"/>
      <c r="BE1239" s="926"/>
      <c r="BF1239" s="926"/>
      <c r="BG1239" s="1060"/>
      <c r="BH1239" s="926"/>
      <c r="BI1239" s="926"/>
      <c r="BJ1239" s="926"/>
      <c r="BK1239" s="926"/>
      <c r="BL1239" s="1060"/>
      <c r="BM1239" s="926"/>
      <c r="BN1239" s="926"/>
      <c r="BO1239" s="926"/>
      <c r="BP1239" s="926"/>
      <c r="BQ1239" s="1060"/>
      <c r="BR1239" s="926"/>
      <c r="BS1239" s="926"/>
      <c r="BT1239" s="926"/>
      <c r="BU1239" s="926"/>
      <c r="BV1239" s="1060"/>
      <c r="BW1239" s="926"/>
      <c r="BX1239" s="926"/>
      <c r="BY1239" s="926"/>
      <c r="BZ1239" s="926"/>
      <c r="CA1239" s="1060"/>
      <c r="CB1239" s="926"/>
      <c r="CC1239" s="926"/>
      <c r="CD1239" s="926"/>
      <c r="CE1239" s="926"/>
      <c r="CF1239" s="1060"/>
      <c r="CG1239" s="926"/>
      <c r="CH1239" s="926"/>
      <c r="CI1239" s="926"/>
      <c r="CJ1239" s="926"/>
      <c r="CK1239" s="1060"/>
      <c r="CL1239" s="926"/>
      <c r="CM1239" s="926"/>
      <c r="CN1239" s="926"/>
      <c r="CO1239" s="926"/>
      <c r="CP1239" s="1060"/>
      <c r="CQ1239" s="649">
        <v>3.0000000000000001E-3</v>
      </c>
      <c r="CR1239" s="649">
        <v>1.9E-2</v>
      </c>
      <c r="CS1239" s="649">
        <v>3.1E-2</v>
      </c>
      <c r="CT1239" s="649">
        <v>6.0000000000000001E-3</v>
      </c>
      <c r="CU1239" s="448">
        <v>1.4999999999999999E-2</v>
      </c>
      <c r="CV1239" s="649">
        <v>4.7E-2</v>
      </c>
      <c r="CW1239" s="649">
        <v>3.3000000000000002E-2</v>
      </c>
      <c r="CX1239" s="649">
        <v>0</v>
      </c>
      <c r="CY1239" s="649">
        <v>2.1999999999999999E-2</v>
      </c>
      <c r="CZ1239" s="448">
        <v>2.5000000000000001E-2</v>
      </c>
      <c r="DA1239" s="649">
        <v>1.2999999999999999E-2</v>
      </c>
      <c r="DB1239" s="649">
        <v>1.7000000000000001E-2</v>
      </c>
      <c r="DC1239" s="649">
        <v>4.7E-2</v>
      </c>
      <c r="DD1239" s="1482">
        <v>2.5000000000000001E-2</v>
      </c>
      <c r="DE1239" s="448">
        <v>2.5000000000000001E-2</v>
      </c>
      <c r="DF1239" s="649">
        <v>-3.5000000000000003E-2</v>
      </c>
      <c r="DG1239" s="649">
        <v>-0.16700000000000001</v>
      </c>
      <c r="DH1239" s="649">
        <v>7.0000000000000001E-3</v>
      </c>
      <c r="DI1239" s="1482">
        <v>3.5999999999999997E-2</v>
      </c>
      <c r="DJ1239" s="448">
        <v>-3.9E-2</v>
      </c>
      <c r="DK1239" s="649">
        <v>9.5000000000000001E-2</v>
      </c>
      <c r="DL1239" s="649">
        <v>0.248</v>
      </c>
      <c r="DM1239" s="649">
        <v>3.6999999999999998E-2</v>
      </c>
      <c r="DN1239" s="650">
        <v>0.02</v>
      </c>
      <c r="DO1239" s="448">
        <v>9.1999999999999998E-2</v>
      </c>
      <c r="DP1239" s="649">
        <v>4.2000000000000003E-2</v>
      </c>
      <c r="DQ1239" s="649">
        <v>1.7999999999999999E-2</v>
      </c>
      <c r="DR1239" s="649">
        <v>4.8000000000000001E-2</v>
      </c>
      <c r="DS1239" s="649">
        <v>1.7000000000000001E-2</v>
      </c>
      <c r="DT1239" s="448">
        <v>3.1E-2</v>
      </c>
      <c r="DU1239" s="649">
        <v>3.4000000000000002E-2</v>
      </c>
      <c r="DV1239" s="649">
        <v>6.5000000000000002E-2</v>
      </c>
      <c r="DW1239" s="649">
        <v>2.4E-2</v>
      </c>
      <c r="DX1239" s="1482">
        <v>3.7999999999999999E-2</v>
      </c>
      <c r="DY1239" s="448">
        <v>0.04</v>
      </c>
      <c r="DZ1239" s="649">
        <v>1.4E-2</v>
      </c>
      <c r="EA1239" s="649">
        <v>3.7999999999999999E-2</v>
      </c>
      <c r="EB1239" s="649">
        <v>2.8000000000000001E-2</v>
      </c>
      <c r="EC1239" s="3610">
        <v>3.5000000000000003E-2</v>
      </c>
      <c r="ED1239" s="3623">
        <v>2.9000000000000001E-2</v>
      </c>
      <c r="EE1239" s="649">
        <v>2.1000000000000001E-2</v>
      </c>
      <c r="EF1239" s="649">
        <v>-1E-3</v>
      </c>
      <c r="EG1239" s="649">
        <v>2.9000000000000001E-2</v>
      </c>
      <c r="EH1239" s="926">
        <f t="shared" ref="EH1239" si="2553">(EC1231*EH1237+EC1230*EH1235)/(EC1232)</f>
      </c>
      <c r="EI1239" s="1060">
        <f>(ED1231*EI1237+ED1230*EI1235)/(ED1232)</f>
      </c>
      <c r="EJ1239" s="928">
        <f t="shared" ref="EJ1239:EN1239" si="2554">(EI1231*EJ1237+EI1230*EJ1235)/(EI1232)</f>
      </c>
      <c r="EK1239" s="928">
        <f t="shared" si="2554"/>
      </c>
      <c r="EL1239" s="928">
        <f t="shared" si="2554"/>
      </c>
      <c r="EM1239" s="928">
        <f t="shared" si="2554"/>
      </c>
      <c r="EN1239" s="928">
        <f t="shared" si="2554"/>
      </c>
      <c r="EO1239" s="1060"/>
      <c r="EP1239" s="1060"/>
      <c r="EQ1239" s="1060"/>
      <c r="ER1239" s="1060"/>
      <c r="ES1239" s="1060"/>
      <c r="ET1239" s="1060"/>
      <c r="EU1239" s="1060"/>
      <c r="EV1239" s="1060"/>
      <c r="EW1239" s="1060"/>
      <c r="EX1239" s="1060"/>
    </row>
    <row r="1240" spans="2:154" ht="12.75" customHeight="1">
      <c r="B1240" s="442"/>
      <c r="C1240" s="1577"/>
      <c r="D1240" s="933"/>
      <c r="E1240" s="933"/>
      <c r="F1240" s="933"/>
      <c r="G1240" s="933"/>
      <c r="H1240" s="933"/>
      <c r="I1240" s="933"/>
      <c r="J1240" s="933"/>
      <c r="K1240" s="933"/>
      <c r="L1240" s="933"/>
      <c r="M1240" s="933"/>
      <c r="N1240" s="933"/>
      <c r="O1240" s="933"/>
      <c r="P1240" s="933"/>
      <c r="Q1240" s="933"/>
      <c r="R1240" s="933"/>
      <c r="S1240" s="933"/>
      <c r="T1240" s="933"/>
      <c r="U1240" s="933"/>
      <c r="V1240" s="933"/>
      <c r="W1240" s="933"/>
      <c r="X1240" s="1061"/>
      <c r="Y1240" s="933"/>
      <c r="Z1240" s="933"/>
      <c r="AA1240" s="933"/>
      <c r="AB1240" s="933"/>
      <c r="AC1240" s="1061"/>
      <c r="AD1240" s="933"/>
      <c r="AE1240" s="933"/>
      <c r="AF1240" s="933"/>
      <c r="AG1240" s="933"/>
      <c r="AH1240" s="1061"/>
      <c r="AI1240" s="933"/>
      <c r="AJ1240" s="933"/>
      <c r="AK1240" s="933"/>
      <c r="AL1240" s="933"/>
      <c r="AM1240" s="1061"/>
      <c r="AN1240" s="933"/>
      <c r="AO1240" s="933"/>
      <c r="AP1240" s="933"/>
      <c r="AQ1240" s="933"/>
      <c r="AR1240" s="1061"/>
      <c r="AS1240" s="933"/>
      <c r="AT1240" s="933"/>
      <c r="AU1240" s="933"/>
      <c r="AV1240" s="933"/>
      <c r="AW1240" s="1061"/>
      <c r="AX1240" s="933"/>
      <c r="AY1240" s="933"/>
      <c r="AZ1240" s="933"/>
      <c r="BA1240" s="933"/>
      <c r="BB1240" s="1061"/>
      <c r="BC1240" s="933"/>
      <c r="BD1240" s="933"/>
      <c r="BE1240" s="933"/>
      <c r="BF1240" s="933"/>
      <c r="BG1240" s="1061"/>
      <c r="BH1240" s="933"/>
      <c r="BI1240" s="933"/>
      <c r="BJ1240" s="933"/>
      <c r="BK1240" s="933"/>
      <c r="BL1240" s="1061"/>
      <c r="BM1240" s="933"/>
      <c r="BN1240" s="933"/>
      <c r="BO1240" s="933"/>
      <c r="BP1240" s="933"/>
      <c r="BQ1240" s="1061"/>
      <c r="BR1240" s="933"/>
      <c r="BS1240" s="933"/>
      <c r="BT1240" s="933"/>
      <c r="BU1240" s="933"/>
      <c r="BV1240" s="1061"/>
      <c r="BW1240" s="933"/>
      <c r="BX1240" s="933"/>
      <c r="BY1240" s="933"/>
      <c r="BZ1240" s="933"/>
      <c r="CA1240" s="1061"/>
      <c r="CB1240" s="933"/>
      <c r="CC1240" s="933"/>
      <c r="CD1240" s="933"/>
      <c r="CE1240" s="933"/>
      <c r="CF1240" s="1061"/>
      <c r="CG1240" s="933"/>
      <c r="CH1240" s="933"/>
      <c r="CI1240" s="933"/>
      <c r="CJ1240" s="933"/>
      <c r="CK1240" s="1061"/>
      <c r="CL1240" s="961"/>
      <c r="CM1240" s="933"/>
      <c r="CN1240" s="933"/>
      <c r="CO1240" s="933"/>
      <c r="CP1240" s="1061"/>
      <c r="CQ1240" s="933"/>
      <c r="CR1240" s="933"/>
      <c r="CS1240" s="933"/>
      <c r="CT1240" s="933"/>
      <c r="CU1240" s="1061"/>
      <c r="CV1240" s="933"/>
      <c r="CW1240" s="933"/>
      <c r="CX1240" s="933"/>
      <c r="CY1240" s="933"/>
      <c r="CZ1240" s="1061"/>
      <c r="DA1240" s="933"/>
      <c r="DB1240" s="933"/>
      <c r="DC1240" s="933"/>
      <c r="DD1240" s="962"/>
      <c r="DE1240" s="1866"/>
      <c r="DF1240" s="982"/>
      <c r="DG1240" s="982"/>
      <c r="DH1240" s="982"/>
      <c r="DI1240" s="1875"/>
      <c r="DJ1240" s="1866"/>
      <c r="DK1240" s="982"/>
      <c r="DL1240" s="982"/>
      <c r="DM1240" s="982"/>
      <c r="DN1240" s="982"/>
      <c r="DO1240" s="1866"/>
      <c r="DP1240" s="982"/>
      <c r="DQ1240" s="982"/>
      <c r="DR1240" s="982"/>
      <c r="DS1240" s="982"/>
      <c r="DT1240" s="1866"/>
      <c r="DU1240" s="982"/>
      <c r="DV1240" s="982"/>
      <c r="DW1240" s="982"/>
      <c r="DX1240" s="1875"/>
      <c r="DY1240" s="1866"/>
      <c r="DZ1240" s="982"/>
      <c r="EA1240" s="982"/>
      <c r="EB1240" s="982"/>
      <c r="EC1240" s="1942"/>
      <c r="ED1240" s="1863"/>
      <c r="EE1240" s="982"/>
      <c r="EF1240" s="982"/>
      <c r="EG1240" s="982"/>
      <c r="EH1240" s="982"/>
      <c r="EI1240" s="1866"/>
      <c r="EJ1240" s="1875"/>
      <c r="EK1240" s="1875"/>
      <c r="EL1240" s="1875"/>
      <c r="EM1240" s="1875"/>
      <c r="EN1240" s="1875"/>
      <c r="EO1240" s="1866"/>
      <c r="EP1240" s="1866"/>
      <c r="EQ1240" s="1866"/>
      <c r="ER1240" s="1866"/>
      <c r="ES1240" s="1866"/>
      <c r="ET1240" s="1866"/>
      <c r="EU1240" s="1866"/>
      <c r="EV1240" s="1866"/>
      <c r="EW1240" s="1866"/>
      <c r="EX1240" s="1866"/>
    </row>
    <row r="1241" spans="2:154" ht="12.75" customHeight="1">
      <c r="B1241" s="436" t="s">
        <v>648</v>
      </c>
      <c r="C1241" s="1577"/>
      <c r="D1241" s="933"/>
      <c r="E1241" s="933"/>
      <c r="F1241" s="933"/>
      <c r="G1241" s="933"/>
      <c r="H1241" s="933"/>
      <c r="I1241" s="933"/>
      <c r="J1241" s="933"/>
      <c r="K1241" s="933"/>
      <c r="L1241" s="933"/>
      <c r="M1241" s="933"/>
      <c r="N1241" s="933"/>
      <c r="O1241" s="933"/>
      <c r="P1241" s="933"/>
      <c r="Q1241" s="933"/>
      <c r="R1241" s="933"/>
      <c r="S1241" s="933"/>
      <c r="T1241" s="933"/>
      <c r="U1241" s="933"/>
      <c r="V1241" s="933"/>
      <c r="W1241" s="933"/>
      <c r="X1241" s="1067"/>
      <c r="Y1241" s="933"/>
      <c r="Z1241" s="933"/>
      <c r="AA1241" s="933"/>
      <c r="AB1241" s="933"/>
      <c r="AC1241" s="1067"/>
      <c r="AD1241" s="933"/>
      <c r="AE1241" s="933"/>
      <c r="AF1241" s="933"/>
      <c r="AG1241" s="933"/>
      <c r="AH1241" s="1067"/>
      <c r="AI1241" s="933"/>
      <c r="AJ1241" s="933"/>
      <c r="AK1241" s="933"/>
      <c r="AL1241" s="933"/>
      <c r="AM1241" s="1067"/>
      <c r="AN1241" s="933"/>
      <c r="AO1241" s="933"/>
      <c r="AP1241" s="933"/>
      <c r="AQ1241" s="933"/>
      <c r="AR1241" s="1067"/>
      <c r="AS1241" s="933"/>
      <c r="AT1241" s="933"/>
      <c r="AU1241" s="933"/>
      <c r="AV1241" s="933"/>
      <c r="AW1241" s="1067"/>
      <c r="AX1241" s="933"/>
      <c r="AY1241" s="933"/>
      <c r="AZ1241" s="943"/>
      <c r="BA1241" s="1049"/>
      <c r="BB1241" s="1067"/>
      <c r="BC1241" s="943"/>
      <c r="BD1241" s="943"/>
      <c r="BE1241" s="933"/>
      <c r="BF1241" s="933"/>
      <c r="BG1241" s="1061"/>
      <c r="BH1241" s="933"/>
      <c r="BI1241" s="933"/>
      <c r="BJ1241" s="933"/>
      <c r="BK1241" s="933"/>
      <c r="BL1241" s="1061"/>
      <c r="BM1241" s="933"/>
      <c r="BN1241" s="933"/>
      <c r="BO1241" s="933"/>
      <c r="BP1241" s="933"/>
      <c r="BQ1241" s="1061"/>
      <c r="BR1241" s="933"/>
      <c r="BS1241" s="933"/>
      <c r="BT1241" s="933"/>
      <c r="BU1241" s="933"/>
      <c r="BV1241" s="1061"/>
      <c r="BW1241" s="933"/>
      <c r="BX1241" s="933"/>
      <c r="BY1241" s="933"/>
      <c r="BZ1241" s="933"/>
      <c r="CA1241" s="1061"/>
      <c r="CB1241" s="933"/>
      <c r="CC1241" s="933"/>
      <c r="CD1241" s="933"/>
      <c r="CE1241" s="933"/>
      <c r="CF1241" s="1061"/>
      <c r="CG1241" s="933"/>
      <c r="CH1241" s="933"/>
      <c r="CI1241" s="933"/>
      <c r="CJ1241" s="933"/>
      <c r="CK1241" s="1061"/>
      <c r="CL1241" s="961"/>
      <c r="CM1241" s="933"/>
      <c r="CN1241" s="933"/>
      <c r="CO1241" s="933"/>
      <c r="CP1241" s="1061"/>
      <c r="CQ1241" s="933"/>
      <c r="CR1241" s="933"/>
      <c r="CS1241" s="933"/>
      <c r="CT1241" s="933"/>
      <c r="CU1241" s="1061"/>
      <c r="CV1241" s="933"/>
      <c r="CW1241" s="933"/>
      <c r="CX1241" s="933"/>
      <c r="CY1241" s="933"/>
      <c r="CZ1241" s="1061"/>
      <c r="DA1241" s="933"/>
      <c r="DB1241" s="933"/>
      <c r="DC1241" s="933"/>
      <c r="DD1241" s="962"/>
      <c r="DE1241" s="1866"/>
      <c r="DF1241" s="982"/>
      <c r="DG1241" s="982"/>
      <c r="DH1241" s="982"/>
      <c r="DI1241" s="1875"/>
      <c r="DJ1241" s="1866"/>
      <c r="DK1241" s="982"/>
      <c r="DL1241" s="982"/>
      <c r="DM1241" s="982"/>
      <c r="DN1241" s="982"/>
      <c r="DO1241" s="1866"/>
      <c r="DP1241" s="982"/>
      <c r="DQ1241" s="982"/>
      <c r="DR1241" s="982"/>
      <c r="DS1241" s="982"/>
      <c r="DT1241" s="1866"/>
      <c r="DU1241" s="982"/>
      <c r="DV1241" s="982"/>
      <c r="DW1241" s="982"/>
      <c r="DX1241" s="1875"/>
      <c r="DY1241" s="1866"/>
      <c r="DZ1241" s="982"/>
      <c r="EA1241" s="982"/>
      <c r="EB1241" s="982"/>
      <c r="EC1241" s="1942"/>
      <c r="ED1241" s="1863"/>
      <c r="EE1241" s="982"/>
      <c r="EF1241" s="982"/>
      <c r="EG1241" s="982"/>
      <c r="EH1241" s="982"/>
      <c r="EI1241" s="1866"/>
      <c r="EJ1241" s="1875"/>
      <c r="EK1241" s="1875"/>
      <c r="EL1241" s="1875"/>
      <c r="EM1241" s="1875"/>
      <c r="EN1241" s="1875"/>
      <c r="EO1241" s="1866"/>
      <c r="EP1241" s="1866"/>
      <c r="EQ1241" s="1866"/>
      <c r="ER1241" s="1866"/>
      <c r="ES1241" s="1866"/>
      <c r="ET1241" s="1866"/>
      <c r="EU1241" s="1866"/>
      <c r="EV1241" s="1866"/>
      <c r="EW1241" s="1866"/>
      <c r="EX1241" s="1866"/>
    </row>
    <row r="1242" spans="2:154" ht="12.75" customHeight="1">
      <c r="B1242" s="437" t="s">
        <v>187</v>
      </c>
      <c r="C1242" s="1577"/>
      <c r="D1242" s="933"/>
      <c r="E1242" s="933"/>
      <c r="F1242" s="933"/>
      <c r="G1242" s="933"/>
      <c r="H1242" s="933"/>
      <c r="I1242" s="933"/>
      <c r="J1242" s="933"/>
      <c r="K1242" s="933"/>
      <c r="L1242" s="933"/>
      <c r="M1242" s="933"/>
      <c r="N1242" s="933"/>
      <c r="O1242" s="933"/>
      <c r="P1242" s="933"/>
      <c r="Q1242" s="933"/>
      <c r="R1242" s="933"/>
      <c r="S1242" s="933"/>
      <c r="T1242" s="933"/>
      <c r="U1242" s="933"/>
      <c r="V1242" s="933"/>
      <c r="W1242" s="933"/>
      <c r="X1242" s="1061"/>
      <c r="Y1242" s="933">
        <f t="shared" ref="Y1242:AA1243" si="2555">+AD1242/(1+AD1247)</f>
      </c>
      <c r="Z1242" s="933">
        <f t="shared" si="2555"/>
      </c>
      <c r="AA1242" s="933">
        <f t="shared" si="2555"/>
      </c>
      <c r="AB1242" s="933">
        <f>+AC1242-SUM(Y1242:AA1242)</f>
      </c>
      <c r="AC1242" s="1061">
        <f t="shared" ref="AC1242:AG1243" si="2556">+AH1242/(1+AH1247)</f>
      </c>
      <c r="AD1242" s="933">
        <f t="shared" si="2556"/>
      </c>
      <c r="AE1242" s="933">
        <f t="shared" si="2556"/>
      </c>
      <c r="AF1242" s="933">
        <f t="shared" si="2556"/>
      </c>
      <c r="AG1242" s="933">
        <f t="shared" si="2556"/>
      </c>
      <c r="AH1242" s="1061">
        <f>SUM(AD1242:AG1242)</f>
      </c>
      <c r="AI1242" s="933">
        <f t="shared" ref="AI1242:AL1243" si="2557">+AN1242/(1+AN1247)</f>
      </c>
      <c r="AJ1242" s="933">
        <f t="shared" si="2557"/>
      </c>
      <c r="AK1242" s="933">
        <f t="shared" si="2557"/>
      </c>
      <c r="AL1242" s="933">
        <f t="shared" si="2557"/>
      </c>
      <c r="AM1242" s="1061">
        <f>SUM(AI1242:AL1242)</f>
      </c>
      <c r="AN1242" s="933">
        <f t="shared" ref="AN1242:AQ1243" si="2558">+AS1242/(1+AS1247)</f>
      </c>
      <c r="AO1242" s="933">
        <f t="shared" si="2558"/>
      </c>
      <c r="AP1242" s="933">
        <f t="shared" si="2558"/>
      </c>
      <c r="AQ1242" s="933">
        <f t="shared" si="2558"/>
      </c>
      <c r="AR1242" s="1061">
        <f>SUM(AN1242:AQ1242)</f>
      </c>
      <c r="AS1242" s="933">
        <f t="shared" ref="AS1242:AV1243" si="2559">+AX1242/(1+AX1247)</f>
      </c>
      <c r="AT1242" s="933">
        <f t="shared" si="2559"/>
      </c>
      <c r="AU1242" s="933">
        <f t="shared" si="2559"/>
      </c>
      <c r="AV1242" s="933">
        <f t="shared" si="2559"/>
      </c>
      <c r="AW1242" s="1061">
        <f>SUM(AS1242:AV1242)</f>
      </c>
      <c r="AX1242" s="933">
        <f>+BC1242/(1+BC1247)</f>
      </c>
      <c r="AY1242" s="933">
        <f>+BD1242/(1+BD1247)</f>
      </c>
      <c r="AZ1242" s="933">
        <v>123.5</v>
      </c>
      <c r="BA1242" s="933">
        <f>+BB1242-SUM(AX1242:AZ1242)</f>
      </c>
      <c r="BB1242" s="1061">
        <v>532</v>
      </c>
      <c r="BC1242" s="933">
        <v>146.19999999999999</v>
      </c>
      <c r="BD1242" s="933">
        <v>149.5</v>
      </c>
      <c r="BE1242" s="933">
        <f>+(1+BE1247)*AZ1242</f>
      </c>
      <c r="BF1242" s="933">
        <f>+(1+BF1247)*BA1242</f>
      </c>
      <c r="BG1242" s="313">
        <f>SUM(BC1242:BF1242)</f>
      </c>
      <c r="BH1242" s="933">
        <f>+(1+BH1247)*BC1242</f>
      </c>
      <c r="BI1242" s="33">
        <v>144.11799999999999</v>
      </c>
      <c r="BJ1242" s="33">
        <v>130.6</v>
      </c>
      <c r="BK1242" s="33">
        <f>BF1242*0.92</f>
      </c>
      <c r="BL1242" s="313"/>
      <c r="BM1242" s="33"/>
      <c r="BN1242" s="33"/>
      <c r="BO1242" s="33"/>
      <c r="BP1242" s="33"/>
      <c r="BQ1242" s="313"/>
      <c r="BR1242" s="352"/>
      <c r="BS1242" s="352"/>
      <c r="BT1242" s="352"/>
      <c r="BU1242" s="352"/>
      <c r="BV1242" s="1061"/>
      <c r="BW1242" s="933"/>
      <c r="BX1242" s="933"/>
      <c r="BY1242" s="933"/>
      <c r="BZ1242" s="933"/>
      <c r="CA1242" s="313"/>
      <c r="CB1242" s="352">
        <v>522</v>
      </c>
      <c r="CC1242" s="352">
        <v>547</v>
      </c>
      <c r="CD1242" s="352">
        <v>530</v>
      </c>
      <c r="CE1242" s="352">
        <v>557</v>
      </c>
      <c r="CF1242" s="1061">
        <f>SUM(CB1242:CE1242)</f>
      </c>
      <c r="CG1242" s="352">
        <v>529</v>
      </c>
      <c r="CH1242" s="352">
        <v>555</v>
      </c>
      <c r="CI1242" s="352">
        <v>545</v>
      </c>
      <c r="CJ1242" s="352">
        <v>592</v>
      </c>
      <c r="CK1242" s="1061">
        <f>SUM(CG1242:CJ1242)</f>
      </c>
      <c r="CL1242" s="352">
        <v>564</v>
      </c>
      <c r="CM1242" s="352">
        <v>557</v>
      </c>
      <c r="CN1242" s="352">
        <v>541</v>
      </c>
      <c r="CO1242" s="352">
        <v>573</v>
      </c>
      <c r="CP1242" s="1061">
        <f>SUM(CL1242:CO1242)</f>
      </c>
      <c r="CQ1242" s="352">
        <v>513</v>
      </c>
      <c r="CR1242" s="352">
        <v>533</v>
      </c>
      <c r="CS1242" s="352">
        <v>495</v>
      </c>
      <c r="CT1242" s="352">
        <v>512</v>
      </c>
      <c r="CU1242" s="1505">
        <f>SUM(CQ1242:CT1242)</f>
      </c>
      <c r="CV1242" s="577">
        <v>463</v>
      </c>
      <c r="CW1242" s="577">
        <v>498</v>
      </c>
      <c r="CX1242" s="577">
        <v>473</v>
      </c>
      <c r="CY1242" s="577">
        <v>496</v>
      </c>
      <c r="CZ1242" s="1505">
        <f>SUM(CV1242:CY1242)</f>
      </c>
      <c r="DA1242" s="577">
        <v>465</v>
      </c>
      <c r="DB1242" s="577">
        <v>490</v>
      </c>
      <c r="DC1242" s="577">
        <v>472</v>
      </c>
      <c r="DD1242" s="1205">
        <v>488</v>
      </c>
      <c r="DE1242" s="2060">
        <f>SUM(DA1242:DD1242)</f>
      </c>
      <c r="DF1242" s="710">
        <v>423</v>
      </c>
      <c r="DG1242" s="710">
        <v>270</v>
      </c>
      <c r="DH1242" s="710">
        <v>449</v>
      </c>
      <c r="DI1242" s="1839">
        <v>452.6</v>
      </c>
      <c r="DJ1242" s="2060">
        <f>SUM(DF1242:DI1242)</f>
      </c>
      <c r="DK1242" s="710">
        <v>403</v>
      </c>
      <c r="DL1242" s="710">
        <f>433-1</f>
      </c>
      <c r="DM1242" s="710">
        <v>400</v>
      </c>
      <c r="DN1242" s="710">
        <v>401</v>
      </c>
      <c r="DO1242" s="2060">
        <f>SUM(DK1242:DN1242)</f>
      </c>
      <c r="DP1242" s="710">
        <v>387</v>
      </c>
      <c r="DQ1242" s="710">
        <v>418</v>
      </c>
      <c r="DR1242" s="710">
        <v>406</v>
      </c>
      <c r="DS1242" s="710">
        <v>434</v>
      </c>
      <c r="DT1242" s="2060">
        <f>SUM(DP1242:DS1242)</f>
      </c>
      <c r="DU1242" s="710">
        <v>406</v>
      </c>
      <c r="DV1242" s="710">
        <v>433</v>
      </c>
      <c r="DW1242" s="710">
        <v>415</v>
      </c>
      <c r="DX1242" s="1839">
        <v>430</v>
      </c>
      <c r="DY1242" s="2060">
        <f>SUM(DU1242:DX1242)</f>
      </c>
      <c r="DZ1242" s="710">
        <v>432</v>
      </c>
      <c r="EA1242" s="710">
        <v>430</v>
      </c>
      <c r="EB1242" s="710">
        <v>400</v>
      </c>
      <c r="EC1242" s="1552">
        <v>434</v>
      </c>
      <c r="ED1242" s="2652">
        <f>SUM(DZ1242:EC1242)</f>
      </c>
      <c r="EE1242" s="710">
        <v>388</v>
      </c>
      <c r="EF1242" s="710">
        <v>422</v>
      </c>
      <c r="EG1242" s="710">
        <v>406</v>
      </c>
      <c r="EH1242" s="1542">
        <f>EI1242-SUM(EE1242:EG1242)</f>
      </c>
      <c r="EI1242" s="2060">
        <f>ED1242*(1+EI1247)</f>
      </c>
      <c r="EJ1242" s="1313">
        <f t="shared" ref="EJ1242:EN1243" si="2560">EI1242*(1+EJ1247)</f>
      </c>
      <c r="EK1242" s="1313">
        <f t="shared" si="2560"/>
      </c>
      <c r="EL1242" s="1313">
        <f t="shared" si="2560"/>
      </c>
      <c r="EM1242" s="1313">
        <f t="shared" si="2560"/>
      </c>
      <c r="EN1242" s="1313">
        <f t="shared" si="2560"/>
      </c>
      <c r="EO1242" s="1866"/>
      <c r="EP1242" s="1866"/>
      <c r="EQ1242" s="1866"/>
      <c r="ER1242" s="1866"/>
      <c r="ES1242" s="1866"/>
      <c r="ET1242" s="1866"/>
      <c r="EU1242" s="1866"/>
      <c r="EV1242" s="1866"/>
      <c r="EW1242" s="1866"/>
      <c r="EX1242" s="1866"/>
    </row>
    <row r="1243" spans="2:154" ht="12.75" customHeight="1">
      <c r="B1243" s="437" t="s">
        <v>412</v>
      </c>
      <c r="C1243" s="1577"/>
      <c r="D1243" s="933"/>
      <c r="E1243" s="933"/>
      <c r="F1243" s="933"/>
      <c r="G1243" s="933"/>
      <c r="H1243" s="933"/>
      <c r="I1243" s="933"/>
      <c r="J1243" s="933"/>
      <c r="K1243" s="933"/>
      <c r="L1243" s="933"/>
      <c r="M1243" s="933"/>
      <c r="N1243" s="933"/>
      <c r="O1243" s="933"/>
      <c r="P1243" s="933"/>
      <c r="Q1243" s="933"/>
      <c r="R1243" s="933"/>
      <c r="S1243" s="933"/>
      <c r="T1243" s="933"/>
      <c r="U1243" s="933"/>
      <c r="V1243" s="933"/>
      <c r="W1243" s="933"/>
      <c r="X1243" s="1061"/>
      <c r="Y1243" s="933">
        <f t="shared" si="2555"/>
      </c>
      <c r="Z1243" s="933">
        <f t="shared" si="2555"/>
      </c>
      <c r="AA1243" s="933">
        <f t="shared" si="2555"/>
      </c>
      <c r="AB1243" s="933">
        <f>+AC1243-SUM(Y1243:AA1243)</f>
      </c>
      <c r="AC1243" s="1061">
        <f t="shared" si="2556"/>
      </c>
      <c r="AD1243" s="933">
        <f t="shared" si="2556"/>
      </c>
      <c r="AE1243" s="933">
        <f t="shared" si="2556"/>
      </c>
      <c r="AF1243" s="933">
        <f t="shared" si="2556"/>
      </c>
      <c r="AG1243" s="933">
        <f t="shared" si="2556"/>
      </c>
      <c r="AH1243" s="1061">
        <f>SUM(AD1243:AG1243)</f>
      </c>
      <c r="AI1243" s="933">
        <f t="shared" si="2557"/>
      </c>
      <c r="AJ1243" s="933">
        <f t="shared" si="2557"/>
      </c>
      <c r="AK1243" s="933">
        <f t="shared" si="2557"/>
      </c>
      <c r="AL1243" s="933">
        <f t="shared" si="2557"/>
      </c>
      <c r="AM1243" s="1061">
        <f>SUM(AI1243:AL1243)</f>
      </c>
      <c r="AN1243" s="933">
        <f t="shared" si="2558"/>
      </c>
      <c r="AO1243" s="933">
        <f t="shared" si="2558"/>
      </c>
      <c r="AP1243" s="933">
        <f t="shared" si="2558"/>
      </c>
      <c r="AQ1243" s="933">
        <f t="shared" si="2558"/>
      </c>
      <c r="AR1243" s="1061">
        <f>SUM(AN1243:AQ1243)</f>
      </c>
      <c r="AS1243" s="933">
        <f t="shared" si="2559"/>
      </c>
      <c r="AT1243" s="933">
        <f t="shared" si="2559"/>
      </c>
      <c r="AU1243" s="933">
        <f t="shared" si="2559"/>
      </c>
      <c r="AV1243" s="933">
        <f t="shared" si="2559"/>
      </c>
      <c r="AW1243" s="1061">
        <f>SUM(AS1243:AV1243)</f>
      </c>
      <c r="AX1243" s="933">
        <f>+BC1243/(1+BC1248)</f>
      </c>
      <c r="AY1243" s="933">
        <f>+BD1243/(1+BD1248)</f>
      </c>
      <c r="AZ1243" s="933">
        <v>55</v>
      </c>
      <c r="BA1243" s="933">
        <v>80</v>
      </c>
      <c r="BB1243" s="1061">
        <f>SUM(AX1243:BA1243)</f>
      </c>
      <c r="BC1243" s="933">
        <v>68.8</v>
      </c>
      <c r="BD1243" s="933">
        <v>80.5</v>
      </c>
      <c r="BE1243" s="933">
        <f>+(1+BE1248)*AZ1243</f>
      </c>
      <c r="BF1243" s="933">
        <f>+(1+BF1248)*BA1243</f>
      </c>
      <c r="BG1243" s="313">
        <f>SUM(BC1243:BF1243)</f>
      </c>
      <c r="BH1243" s="933">
        <f>+(1+BH1248)*BC1243</f>
      </c>
      <c r="BI1243" s="33">
        <v>86.727479999999986</v>
      </c>
      <c r="BJ1243" s="33">
        <v>63.5</v>
      </c>
      <c r="BK1243" s="33">
        <f>BF1243*1.04</f>
      </c>
      <c r="BL1243" s="313"/>
      <c r="BM1243" s="33"/>
      <c r="BN1243" s="33"/>
      <c r="BO1243" s="33"/>
      <c r="BP1243" s="33"/>
      <c r="BQ1243" s="313"/>
      <c r="BR1243" s="352"/>
      <c r="BS1243" s="352"/>
      <c r="BT1243" s="352"/>
      <c r="BU1243" s="352"/>
      <c r="BV1243" s="1061"/>
      <c r="BW1243" s="933"/>
      <c r="BX1243" s="933"/>
      <c r="BY1243" s="933"/>
      <c r="BZ1243" s="933"/>
      <c r="CA1243" s="313"/>
      <c r="CB1243" s="352">
        <v>489</v>
      </c>
      <c r="CC1243" s="352">
        <v>518</v>
      </c>
      <c r="CD1243" s="352">
        <v>477</v>
      </c>
      <c r="CE1243" s="352">
        <v>494</v>
      </c>
      <c r="CF1243" s="1061">
        <f>SUM(CB1243:CE1243)</f>
      </c>
      <c r="CG1243" s="352">
        <v>434</v>
      </c>
      <c r="CH1243" s="352">
        <v>446</v>
      </c>
      <c r="CI1243" s="352">
        <v>377</v>
      </c>
      <c r="CJ1243" s="352">
        <v>428</v>
      </c>
      <c r="CK1243" s="1061">
        <f>SUM(CG1243:CJ1243)</f>
      </c>
      <c r="CL1243" s="352">
        <v>404</v>
      </c>
      <c r="CM1243" s="352">
        <v>428</v>
      </c>
      <c r="CN1243" s="352">
        <v>398</v>
      </c>
      <c r="CO1243" s="352">
        <v>415</v>
      </c>
      <c r="CP1243" s="1061">
        <f>SUM(CL1243:CO1243)</f>
      </c>
      <c r="CQ1243" s="352">
        <v>370</v>
      </c>
      <c r="CR1243" s="352">
        <v>382</v>
      </c>
      <c r="CS1243" s="352">
        <v>376</v>
      </c>
      <c r="CT1243" s="352">
        <v>344</v>
      </c>
      <c r="CU1243" s="1505">
        <f>SUM(CQ1243:CT1243)</f>
      </c>
      <c r="CV1243" s="577">
        <v>341</v>
      </c>
      <c r="CW1243" s="577">
        <v>347</v>
      </c>
      <c r="CX1243" s="577">
        <v>313</v>
      </c>
      <c r="CY1243" s="577">
        <v>335</v>
      </c>
      <c r="CZ1243" s="1505">
        <f>SUM(CV1243:CY1243)</f>
      </c>
      <c r="DA1243" s="577">
        <v>323</v>
      </c>
      <c r="DB1243" s="577">
        <v>328</v>
      </c>
      <c r="DC1243" s="577">
        <v>306</v>
      </c>
      <c r="DD1243" s="1205">
        <v>329</v>
      </c>
      <c r="DE1243" s="2060">
        <f>SUM(DA1243:DD1243)</f>
      </c>
      <c r="DF1243" s="710">
        <v>280</v>
      </c>
      <c r="DG1243" s="710">
        <v>230</v>
      </c>
      <c r="DH1243" s="710">
        <v>295</v>
      </c>
      <c r="DI1243" s="1839">
        <v>299</v>
      </c>
      <c r="DJ1243" s="2060">
        <f>SUM(DF1243:DI1243)</f>
      </c>
      <c r="DK1243" s="710">
        <v>303</v>
      </c>
      <c r="DL1243" s="710">
        <f>343-1</f>
      </c>
      <c r="DM1243" s="710">
        <v>306</v>
      </c>
      <c r="DN1243" s="710">
        <v>304</v>
      </c>
      <c r="DO1243" s="2060">
        <f>SUM(DK1243:DN1243)</f>
      </c>
      <c r="DP1243" s="710">
        <v>324</v>
      </c>
      <c r="DQ1243" s="710">
        <v>306</v>
      </c>
      <c r="DR1243" s="710">
        <v>303</v>
      </c>
      <c r="DS1243" s="710">
        <v>265</v>
      </c>
      <c r="DT1243" s="2060">
        <f>SUM(DP1243:DS1243)</f>
      </c>
      <c r="DU1243" s="710">
        <v>323</v>
      </c>
      <c r="DV1243" s="710">
        <v>334</v>
      </c>
      <c r="DW1243" s="710">
        <v>295</v>
      </c>
      <c r="DX1243" s="1839">
        <v>311</v>
      </c>
      <c r="DY1243" s="2060">
        <f>SUM(DU1243:DX1243)</f>
      </c>
      <c r="DZ1243" s="710">
        <v>320</v>
      </c>
      <c r="EA1243" s="710">
        <v>314</v>
      </c>
      <c r="EB1243" s="710">
        <v>296</v>
      </c>
      <c r="EC1243" s="1552">
        <v>300</v>
      </c>
      <c r="ED1243" s="2652">
        <f>SUM(DZ1243:EC1243)</f>
      </c>
      <c r="EE1243" s="710">
        <v>283</v>
      </c>
      <c r="EF1243" s="710">
        <v>305</v>
      </c>
      <c r="EG1243" s="710">
        <v>293</v>
      </c>
      <c r="EH1243" s="1542">
        <f>EI1243-SUM(EE1243:EG1243)</f>
      </c>
      <c r="EI1243" s="2060">
        <f>ED1243*(1+EI1248)</f>
      </c>
      <c r="EJ1243" s="1313">
        <f t="shared" si="2560"/>
      </c>
      <c r="EK1243" s="1313">
        <f t="shared" si="2560"/>
      </c>
      <c r="EL1243" s="1313">
        <f t="shared" si="2560"/>
      </c>
      <c r="EM1243" s="1313">
        <f t="shared" si="2560"/>
      </c>
      <c r="EN1243" s="1313">
        <f t="shared" si="2560"/>
      </c>
      <c r="EO1243" s="1866"/>
      <c r="EP1243" s="1866"/>
      <c r="EQ1243" s="1866"/>
      <c r="ER1243" s="1866"/>
      <c r="ES1243" s="1866"/>
      <c r="ET1243" s="1866"/>
      <c r="EU1243" s="1866"/>
      <c r="EV1243" s="1866"/>
      <c r="EW1243" s="1866"/>
      <c r="EX1243" s="1866"/>
    </row>
    <row r="1244" spans="2:154" ht="12.75" customHeight="1">
      <c r="B1244" s="437" t="s">
        <v>413</v>
      </c>
      <c r="C1244" s="1577"/>
      <c r="D1244" s="933"/>
      <c r="E1244" s="933"/>
      <c r="F1244" s="933"/>
      <c r="G1244" s="933"/>
      <c r="H1244" s="933"/>
      <c r="I1244" s="933"/>
      <c r="J1244" s="933"/>
      <c r="K1244" s="933"/>
      <c r="L1244" s="933"/>
      <c r="M1244" s="933"/>
      <c r="N1244" s="933"/>
      <c r="O1244" s="933"/>
      <c r="P1244" s="933"/>
      <c r="Q1244" s="933"/>
      <c r="R1244" s="933"/>
      <c r="S1244" s="933"/>
      <c r="T1244" s="933"/>
      <c r="U1244" s="933"/>
      <c r="V1244" s="933"/>
      <c r="W1244" s="933"/>
      <c r="X1244" s="1061"/>
      <c r="Y1244" s="933">
        <f t="shared" ref="Y1244:BJ1244" si="2561">+Y1243+Y1242</f>
      </c>
      <c r="Z1244" s="933">
        <f t="shared" si="2561"/>
      </c>
      <c r="AA1244" s="933">
        <f t="shared" si="2561"/>
      </c>
      <c r="AB1244" s="933">
        <f t="shared" si="2561"/>
      </c>
      <c r="AC1244" s="1061">
        <f t="shared" si="2561"/>
      </c>
      <c r="AD1244" s="933">
        <f t="shared" si="2561"/>
      </c>
      <c r="AE1244" s="933">
        <f t="shared" si="2561"/>
      </c>
      <c r="AF1244" s="933">
        <f t="shared" si="2561"/>
      </c>
      <c r="AG1244" s="933">
        <f t="shared" si="2561"/>
      </c>
      <c r="AH1244" s="1061">
        <f t="shared" si="2561"/>
      </c>
      <c r="AI1244" s="933">
        <f t="shared" si="2561"/>
      </c>
      <c r="AJ1244" s="933">
        <f t="shared" si="2561"/>
      </c>
      <c r="AK1244" s="933">
        <f t="shared" si="2561"/>
      </c>
      <c r="AL1244" s="933">
        <f t="shared" si="2561"/>
      </c>
      <c r="AM1244" s="1061">
        <f t="shared" si="2561"/>
      </c>
      <c r="AN1244" s="933">
        <f t="shared" si="2561"/>
      </c>
      <c r="AO1244" s="933">
        <f t="shared" si="2561"/>
      </c>
      <c r="AP1244" s="933">
        <f t="shared" si="2561"/>
      </c>
      <c r="AQ1244" s="933">
        <f t="shared" si="2561"/>
      </c>
      <c r="AR1244" s="1061">
        <f t="shared" si="2561"/>
      </c>
      <c r="AS1244" s="933">
        <f t="shared" si="2561"/>
      </c>
      <c r="AT1244" s="933">
        <f t="shared" si="2561"/>
      </c>
      <c r="AU1244" s="933">
        <f t="shared" si="2561"/>
      </c>
      <c r="AV1244" s="933">
        <f t="shared" si="2561"/>
      </c>
      <c r="AW1244" s="1061">
        <f t="shared" si="2561"/>
      </c>
      <c r="AX1244" s="933">
        <f t="shared" si="2561"/>
      </c>
      <c r="AY1244" s="933">
        <f t="shared" si="2561"/>
      </c>
      <c r="AZ1244" s="933">
        <f t="shared" si="2561"/>
      </c>
      <c r="BA1244" s="933">
        <f t="shared" si="2561"/>
      </c>
      <c r="BB1244" s="1061">
        <f t="shared" si="2561"/>
      </c>
      <c r="BC1244" s="933">
        <f t="shared" si="2561"/>
      </c>
      <c r="BD1244" s="933">
        <f t="shared" si="2561"/>
      </c>
      <c r="BE1244" s="933">
        <f t="shared" si="2561"/>
      </c>
      <c r="BF1244" s="933">
        <f t="shared" si="2561"/>
      </c>
      <c r="BG1244" s="1061">
        <f t="shared" si="2561"/>
      </c>
      <c r="BH1244" s="933">
        <f t="shared" si="2561"/>
      </c>
      <c r="BI1244" s="933">
        <f t="shared" si="2561"/>
      </c>
      <c r="BJ1244" s="933">
        <f t="shared" si="2561"/>
      </c>
      <c r="BK1244" s="933">
        <f>+BK1242+BK1243</f>
      </c>
      <c r="BL1244" s="313"/>
      <c r="BM1244" s="933"/>
      <c r="BN1244" s="933"/>
      <c r="BO1244" s="933"/>
      <c r="BP1244" s="933"/>
      <c r="BQ1244" s="313"/>
      <c r="BR1244" s="933"/>
      <c r="BS1244" s="933"/>
      <c r="BT1244" s="933"/>
      <c r="BU1244" s="933"/>
      <c r="BV1244" s="1061"/>
      <c r="BW1244" s="933"/>
      <c r="BX1244" s="933"/>
      <c r="BY1244" s="933"/>
      <c r="BZ1244" s="933"/>
      <c r="CA1244" s="313"/>
      <c r="CB1244" s="933">
        <f>SUM(CB1242:CB1243)</f>
      </c>
      <c r="CC1244" s="933">
        <f>SUM(CC1242:CC1243)</f>
      </c>
      <c r="CD1244" s="933">
        <f>SUM(CD1242:CD1243)</f>
      </c>
      <c r="CE1244" s="933">
        <f>SUM(CE1242:CE1243)</f>
      </c>
      <c r="CF1244" s="1061">
        <f>SUM(CB1244:CE1244)</f>
      </c>
      <c r="CG1244" s="933">
        <f>SUM(CG1242:CG1243)</f>
      </c>
      <c r="CH1244" s="933">
        <f>SUM(CH1242:CH1243)</f>
      </c>
      <c r="CI1244" s="933">
        <f>SUM(CI1242:CI1243)</f>
      </c>
      <c r="CJ1244" s="933">
        <f>SUM(CJ1242:CJ1243)</f>
      </c>
      <c r="CK1244" s="1061">
        <f>SUM(CG1244:CJ1244)</f>
      </c>
      <c r="CL1244" s="933">
        <f>SUM(CL1242:CL1243)</f>
      </c>
      <c r="CM1244" s="933">
        <f>SUM(CM1242:CM1243)</f>
      </c>
      <c r="CN1244" s="933">
        <f>SUM(CN1242:CN1243)</f>
      </c>
      <c r="CO1244" s="933">
        <f>SUM(CO1242:CO1243)</f>
      </c>
      <c r="CP1244" s="1061">
        <f>SUM(CL1244:CO1244)</f>
      </c>
      <c r="CQ1244" s="933">
        <f>SUM(CQ1242:CQ1243)</f>
      </c>
      <c r="CR1244" s="933">
        <f>SUM(CR1242:CR1243)</f>
      </c>
      <c r="CS1244" s="933">
        <f>SUM(CS1242:CS1243)</f>
      </c>
      <c r="CT1244" s="933">
        <f>SUM(CT1242:CT1243)</f>
      </c>
      <c r="CU1244" s="1505">
        <f>SUM(CQ1244:CT1244)</f>
      </c>
      <c r="CV1244" s="948">
        <f>SUM(CV1242:CV1243)</f>
      </c>
      <c r="CW1244" s="948">
        <f>SUM(CW1242:CW1243)</f>
      </c>
      <c r="CX1244" s="948">
        <f>SUM(CX1242:CX1243)</f>
      </c>
      <c r="CY1244" s="948">
        <f>SUM(CY1242:CY1243)</f>
      </c>
      <c r="CZ1244" s="1505">
        <f>SUM(CV1244:CY1244)</f>
      </c>
      <c r="DA1244" s="948">
        <f>SUM(DA1242:DA1243)</f>
      </c>
      <c r="DB1244" s="948">
        <f>SUM(DB1242:DB1243)</f>
      </c>
      <c r="DC1244" s="36">
        <f>SUM(DC1242:DC1243)</f>
      </c>
      <c r="DD1244" s="984">
        <f>+DD1242+DD1243</f>
      </c>
      <c r="DE1244" s="2060">
        <f>SUM(DA1244:DD1244)</f>
      </c>
      <c r="DF1244" s="1542">
        <f>SUM(DF1242:DF1243)</f>
      </c>
      <c r="DG1244" s="1542">
        <f>SUM(DG1242:DG1243)</f>
      </c>
      <c r="DH1244" s="1542">
        <f>SUM(DH1242:DH1243)</f>
      </c>
      <c r="DI1244" s="1556">
        <f>+DI1242+DI1243</f>
      </c>
      <c r="DJ1244" s="2060">
        <f>SUM(DF1244:DI1244)</f>
      </c>
      <c r="DK1244" s="1542">
        <f t="shared" ref="DK1244:DS1244" si="2562">SUM(DK1242:DK1243)</f>
      </c>
      <c r="DL1244" s="1542">
        <f t="shared" si="2562"/>
      </c>
      <c r="DM1244" s="1542">
        <f t="shared" si="2562"/>
      </c>
      <c r="DN1244" s="1542">
        <f t="shared" si="2562"/>
      </c>
      <c r="DO1244" s="2060">
        <f>SUM(DK1244:DN1244)</f>
      </c>
      <c r="DP1244" s="1542">
        <f t="shared" si="2562"/>
      </c>
      <c r="DQ1244" s="1542">
        <f t="shared" si="2562"/>
      </c>
      <c r="DR1244" s="1542">
        <f t="shared" si="2562"/>
      </c>
      <c r="DS1244" s="1542">
        <f t="shared" si="2562"/>
      </c>
      <c r="DT1244" s="2060">
        <f>SUM(DP1244:DS1244)</f>
      </c>
      <c r="DU1244" s="1542">
        <f t="shared" ref="DU1244:EH1244" si="2563">SUM(DU1242:DU1243)</f>
      </c>
      <c r="DV1244" s="1542">
        <f t="shared" si="2563"/>
      </c>
      <c r="DW1244" s="1542">
        <f t="shared" si="2563"/>
      </c>
      <c r="DX1244" s="1556">
        <f t="shared" si="2563"/>
      </c>
      <c r="DY1244" s="2060">
        <f>SUM(DU1244:DX1244)</f>
      </c>
      <c r="DZ1244" s="1542">
        <f t="shared" si="2563"/>
      </c>
      <c r="EA1244" s="1542">
        <f t="shared" si="2563"/>
      </c>
      <c r="EB1244" s="1542">
        <f t="shared" si="2563"/>
      </c>
      <c r="EC1244" s="1553">
        <f t="shared" ref="EC1244:EE1244" si="2564">SUM(EC1242:EC1243)</f>
      </c>
      <c r="ED1244" s="2652">
        <f>SUM(DZ1244:EC1244)</f>
      </c>
      <c r="EE1244" s="1542">
        <f t="shared" si="2564"/>
      </c>
      <c r="EF1244" s="1542">
        <f t="shared" ref="EF1244" si="2565">SUM(EF1242:EF1243)</f>
      </c>
      <c r="EG1244" s="1542">
        <f t="shared" si="2563"/>
      </c>
      <c r="EH1244" s="1542">
        <f t="shared" si="2563"/>
      </c>
      <c r="EI1244" s="2060">
        <f t="shared" ref="EI1244:EL1244" si="2566">SUM(EI1242:EI1243)</f>
      </c>
      <c r="EJ1244" s="1313">
        <f t="shared" si="2566"/>
      </c>
      <c r="EK1244" s="1313">
        <f t="shared" si="2566"/>
      </c>
      <c r="EL1244" s="1313">
        <f t="shared" si="2566"/>
      </c>
      <c r="EM1244" s="1313">
        <f>SUM(EM1242:EM1243)</f>
      </c>
      <c r="EN1244" s="1313">
        <f>SUM(EN1242:EN1243)</f>
      </c>
      <c r="EO1244" s="1866"/>
      <c r="EP1244" s="1866"/>
      <c r="EQ1244" s="1866"/>
      <c r="ER1244" s="1866"/>
      <c r="ES1244" s="1866"/>
      <c r="ET1244" s="1866"/>
      <c r="EU1244" s="1866"/>
      <c r="EV1244" s="1866"/>
      <c r="EW1244" s="1866"/>
      <c r="EX1244" s="1866"/>
    </row>
    <row r="1245" spans="2:154" ht="12.75" customHeight="1">
      <c r="B1245" s="442"/>
      <c r="C1245" s="1577"/>
      <c r="D1245" s="933"/>
      <c r="E1245" s="933"/>
      <c r="F1245" s="933"/>
      <c r="G1245" s="933"/>
      <c r="H1245" s="933"/>
      <c r="I1245" s="933"/>
      <c r="J1245" s="933"/>
      <c r="K1245" s="933"/>
      <c r="L1245" s="933"/>
      <c r="M1245" s="933"/>
      <c r="N1245" s="933"/>
      <c r="O1245" s="933"/>
      <c r="P1245" s="933"/>
      <c r="Q1245" s="933"/>
      <c r="R1245" s="933"/>
      <c r="S1245" s="933"/>
      <c r="T1245" s="933"/>
      <c r="U1245" s="933"/>
      <c r="V1245" s="933"/>
      <c r="W1245" s="933"/>
      <c r="X1245" s="1061"/>
      <c r="Y1245" s="933"/>
      <c r="Z1245" s="933"/>
      <c r="AA1245" s="933"/>
      <c r="AB1245" s="933"/>
      <c r="AC1245" s="1061"/>
      <c r="AD1245" s="933"/>
      <c r="AE1245" s="933"/>
      <c r="AF1245" s="933"/>
      <c r="AG1245" s="933"/>
      <c r="AH1245" s="1061"/>
      <c r="AI1245" s="933"/>
      <c r="AJ1245" s="933"/>
      <c r="AK1245" s="933"/>
      <c r="AL1245" s="933"/>
      <c r="AM1245" s="1061"/>
      <c r="AN1245" s="933"/>
      <c r="AO1245" s="933"/>
      <c r="AP1245" s="933"/>
      <c r="AQ1245" s="933"/>
      <c r="AR1245" s="1061"/>
      <c r="AS1245" s="933"/>
      <c r="AT1245" s="933"/>
      <c r="AU1245" s="933"/>
      <c r="AV1245" s="933"/>
      <c r="AW1245" s="1061"/>
      <c r="AX1245" s="933"/>
      <c r="AY1245" s="933"/>
      <c r="AZ1245" s="933"/>
      <c r="BA1245" s="933"/>
      <c r="BB1245" s="1061"/>
      <c r="BC1245" s="933"/>
      <c r="BD1245" s="933"/>
      <c r="BE1245" s="933"/>
      <c r="BF1245" s="933"/>
      <c r="BG1245" s="313"/>
      <c r="BH1245" s="933"/>
      <c r="BI1245" s="933"/>
      <c r="BJ1245" s="933"/>
      <c r="BK1245" s="933"/>
      <c r="BL1245" s="313"/>
      <c r="BM1245" s="933"/>
      <c r="BN1245" s="933"/>
      <c r="BO1245" s="933"/>
      <c r="BP1245" s="933"/>
      <c r="BQ1245" s="313"/>
      <c r="BR1245" s="933"/>
      <c r="BS1245" s="933"/>
      <c r="BT1245" s="933"/>
      <c r="BU1245" s="933"/>
      <c r="BV1245" s="1061"/>
      <c r="BW1245" s="933"/>
      <c r="BX1245" s="933"/>
      <c r="BY1245" s="933"/>
      <c r="BZ1245" s="933"/>
      <c r="CA1245" s="1060"/>
      <c r="CB1245" s="933"/>
      <c r="CC1245" s="933"/>
      <c r="CD1245" s="933"/>
      <c r="CE1245" s="933"/>
      <c r="CF1245" s="313"/>
      <c r="CG1245" s="933"/>
      <c r="CH1245" s="933"/>
      <c r="CI1245" s="933"/>
      <c r="CJ1245" s="933"/>
      <c r="CK1245" s="313"/>
      <c r="CL1245" s="961"/>
      <c r="CM1245" s="933"/>
      <c r="CN1245" s="933"/>
      <c r="CO1245" s="933"/>
      <c r="CP1245" s="313"/>
      <c r="CQ1245" s="933"/>
      <c r="CR1245" s="933"/>
      <c r="CS1245" s="933"/>
      <c r="CT1245" s="933"/>
      <c r="CU1245" s="313"/>
      <c r="CV1245" s="933"/>
      <c r="CW1245" s="933"/>
      <c r="CX1245" s="933"/>
      <c r="CY1245" s="933"/>
      <c r="CZ1245" s="313"/>
      <c r="DA1245" s="933"/>
      <c r="DB1245" s="31"/>
      <c r="DC1245" s="31"/>
      <c r="DD1245" s="955"/>
      <c r="DE1245" s="477"/>
      <c r="DF1245" s="925"/>
      <c r="DG1245" s="925"/>
      <c r="DH1245" s="925"/>
      <c r="DI1245" s="925"/>
      <c r="DJ1245" s="477"/>
      <c r="DK1245" s="925"/>
      <c r="DL1245" s="1915"/>
      <c r="DM1245" s="925"/>
      <c r="DN1245" s="1915"/>
      <c r="DO1245" s="477"/>
      <c r="DP1245" s="1915"/>
      <c r="DQ1245" s="1915"/>
      <c r="DR1245" s="1915"/>
      <c r="DS1245" s="2257"/>
      <c r="DT1245" s="477"/>
      <c r="DU1245" s="2257"/>
      <c r="DV1245" s="1915"/>
      <c r="DW1245" s="1915"/>
      <c r="DX1245" s="1946"/>
      <c r="DY1245" s="477"/>
      <c r="DZ1245" s="1915"/>
      <c r="EA1245" s="1915"/>
      <c r="EB1245" s="1542"/>
      <c r="EC1245" s="3613"/>
      <c r="ED1245" s="1811"/>
      <c r="EE1245" s="1915"/>
      <c r="EF1245" s="1915"/>
      <c r="EG1245" s="1915"/>
      <c r="EH1245" s="1542"/>
      <c r="EI1245" s="2060"/>
      <c r="EJ1245" s="1798"/>
      <c r="EK1245" s="1798"/>
      <c r="EL1245" s="1798"/>
      <c r="EM1245" s="1798"/>
      <c r="EN1245" s="1798"/>
      <c r="EO1245" s="477"/>
      <c r="EP1245" s="477"/>
      <c r="EQ1245" s="477"/>
      <c r="ER1245" s="477"/>
      <c r="ES1245" s="477"/>
      <c r="ET1245" s="477"/>
      <c r="EU1245" s="477"/>
      <c r="EV1245" s="477"/>
      <c r="EW1245" s="477"/>
      <c r="EX1245" s="477"/>
    </row>
    <row r="1246" spans="2:154" ht="12.75" customHeight="1">
      <c r="B1246" s="439" t="s">
        <v>960</v>
      </c>
      <c r="C1246" s="1577"/>
      <c r="D1246" s="933"/>
      <c r="E1246" s="933"/>
      <c r="F1246" s="933"/>
      <c r="G1246" s="933"/>
      <c r="H1246" s="933"/>
      <c r="I1246" s="933"/>
      <c r="J1246" s="933"/>
      <c r="K1246" s="933"/>
      <c r="L1246" s="933"/>
      <c r="M1246" s="933"/>
      <c r="N1246" s="933"/>
      <c r="O1246" s="933"/>
      <c r="P1246" s="933"/>
      <c r="Q1246" s="933"/>
      <c r="R1246" s="933"/>
      <c r="S1246" s="933"/>
      <c r="T1246" s="933"/>
      <c r="U1246" s="933"/>
      <c r="V1246" s="933"/>
      <c r="W1246" s="933"/>
      <c r="X1246" s="1061"/>
      <c r="Y1246" s="933"/>
      <c r="Z1246" s="933"/>
      <c r="AA1246" s="933"/>
      <c r="AB1246" s="933"/>
      <c r="AC1246" s="1061"/>
      <c r="AD1246" s="933"/>
      <c r="AE1246" s="933"/>
      <c r="AF1246" s="933"/>
      <c r="AG1246" s="933"/>
      <c r="AH1246" s="1061"/>
      <c r="AI1246" s="933"/>
      <c r="AJ1246" s="933"/>
      <c r="AK1246" s="933"/>
      <c r="AL1246" s="933"/>
      <c r="AM1246" s="1061"/>
      <c r="AN1246" s="933"/>
      <c r="AO1246" s="933"/>
      <c r="AP1246" s="933"/>
      <c r="AQ1246" s="933"/>
      <c r="AR1246" s="1061"/>
      <c r="AS1246" s="933"/>
      <c r="AT1246" s="933"/>
      <c r="AU1246" s="933"/>
      <c r="AV1246" s="933"/>
      <c r="AW1246" s="1061"/>
      <c r="AX1246" s="933"/>
      <c r="AY1246" s="933"/>
      <c r="AZ1246" s="933"/>
      <c r="BA1246" s="933"/>
      <c r="BB1246" s="1061"/>
      <c r="BC1246" s="933"/>
      <c r="BD1246" s="933"/>
      <c r="BE1246" s="933"/>
      <c r="BF1246" s="933"/>
      <c r="BG1246" s="313"/>
      <c r="BH1246" s="933"/>
      <c r="BI1246" s="933"/>
      <c r="BJ1246" s="933"/>
      <c r="BK1246" s="933"/>
      <c r="BL1246" s="313"/>
      <c r="BM1246" s="933"/>
      <c r="BN1246" s="933"/>
      <c r="BO1246" s="933"/>
      <c r="BP1246" s="933"/>
      <c r="BQ1246" s="313"/>
      <c r="BR1246" s="933"/>
      <c r="BS1246" s="933"/>
      <c r="BT1246" s="933"/>
      <c r="BU1246" s="933"/>
      <c r="BV1246" s="1061"/>
      <c r="BW1246" s="933"/>
      <c r="BX1246" s="933"/>
      <c r="BY1246" s="933"/>
      <c r="BZ1246" s="933"/>
      <c r="CA1246" s="313"/>
      <c r="CB1246" s="933"/>
      <c r="CC1246" s="933"/>
      <c r="CD1246" s="933"/>
      <c r="CE1246" s="933"/>
      <c r="CF1246" s="313"/>
      <c r="CG1246" s="933"/>
      <c r="CH1246" s="933"/>
      <c r="CI1246" s="933"/>
      <c r="CJ1246" s="933"/>
      <c r="CK1246" s="313"/>
      <c r="CL1246" s="961"/>
      <c r="CM1246" s="933"/>
      <c r="CN1246" s="933"/>
      <c r="CO1246" s="933"/>
      <c r="CP1246" s="313"/>
      <c r="CQ1246" s="933"/>
      <c r="CR1246" s="933"/>
      <c r="CS1246" s="933"/>
      <c r="CT1246" s="933"/>
      <c r="CU1246" s="313"/>
      <c r="CV1246" s="933"/>
      <c r="CW1246" s="933"/>
      <c r="CX1246" s="933"/>
      <c r="CY1246" s="933"/>
      <c r="CZ1246" s="313"/>
      <c r="DA1246" s="933"/>
      <c r="DB1246" s="31"/>
      <c r="DC1246" s="31"/>
      <c r="DD1246" s="955"/>
      <c r="DE1246" s="477"/>
      <c r="DF1246" s="925"/>
      <c r="DG1246" s="925"/>
      <c r="DH1246" s="925"/>
      <c r="DI1246" s="925"/>
      <c r="DJ1246" s="477"/>
      <c r="DK1246" s="925"/>
      <c r="DL1246" s="1915"/>
      <c r="DM1246" s="925"/>
      <c r="DN1246" s="1915"/>
      <c r="DO1246" s="477"/>
      <c r="DP1246" s="1915"/>
      <c r="DQ1246" s="1915"/>
      <c r="DR1246" s="1915"/>
      <c r="DS1246" s="2257"/>
      <c r="DT1246" s="477"/>
      <c r="DU1246" s="2257"/>
      <c r="DV1246" s="1915"/>
      <c r="DW1246" s="1915"/>
      <c r="DX1246" s="1946"/>
      <c r="DY1246" s="477"/>
      <c r="DZ1246" s="1915"/>
      <c r="EA1246" s="1915"/>
      <c r="EB1246" s="1542"/>
      <c r="EC1246" s="3613"/>
      <c r="ED1246" s="1811"/>
      <c r="EE1246" s="1915"/>
      <c r="EF1246" s="1915"/>
      <c r="EG1246" s="1915"/>
      <c r="EH1246" s="3485"/>
      <c r="EI1246" s="1835"/>
      <c r="EJ1246" s="1798"/>
      <c r="EK1246" s="1798"/>
      <c r="EL1246" s="1798"/>
      <c r="EM1246" s="1798"/>
      <c r="EN1246" s="1798"/>
      <c r="EO1246" s="477"/>
      <c r="EP1246" s="477"/>
      <c r="EQ1246" s="477"/>
      <c r="ER1246" s="477"/>
      <c r="ES1246" s="477"/>
      <c r="ET1246" s="477"/>
      <c r="EU1246" s="477"/>
      <c r="EV1246" s="477"/>
      <c r="EW1246" s="477"/>
      <c r="EX1246" s="477"/>
    </row>
    <row r="1247" spans="2:154" ht="12.75" customHeight="1">
      <c r="B1247" s="443" t="s">
        <v>156</v>
      </c>
      <c r="C1247" s="1577"/>
      <c r="D1247" s="933"/>
      <c r="E1247" s="933"/>
      <c r="F1247" s="933"/>
      <c r="G1247" s="933"/>
      <c r="H1247" s="933"/>
      <c r="I1247" s="933"/>
      <c r="J1247" s="933"/>
      <c r="K1247" s="933"/>
      <c r="L1247" s="933"/>
      <c r="M1247" s="933"/>
      <c r="N1247" s="933"/>
      <c r="O1247" s="933"/>
      <c r="P1247" s="933"/>
      <c r="Q1247" s="933"/>
      <c r="R1247" s="933"/>
      <c r="S1247" s="933"/>
      <c r="T1247" s="933"/>
      <c r="U1247" s="933"/>
      <c r="V1247" s="933"/>
      <c r="W1247" s="933"/>
      <c r="X1247" s="1060"/>
      <c r="Y1247" s="933"/>
      <c r="Z1247" s="933"/>
      <c r="AA1247" s="933"/>
      <c r="AB1247" s="933"/>
      <c r="AC1247" s="1060"/>
      <c r="AD1247" s="926">
        <v>6.7000000000000004E-2</v>
      </c>
      <c r="AE1247" s="926">
        <v>0.1</v>
      </c>
      <c r="AF1247" s="926">
        <v>0.11</v>
      </c>
      <c r="AG1247" s="926"/>
      <c r="AH1247" s="1060">
        <v>0.09</v>
      </c>
      <c r="AI1247" s="926">
        <v>0.218</v>
      </c>
      <c r="AJ1247" s="926">
        <v>0.13300000000000001</v>
      </c>
      <c r="AK1247" s="926">
        <v>0.13700000000000001</v>
      </c>
      <c r="AL1247" s="926">
        <v>-1.7000000000000001E-2</v>
      </c>
      <c r="AM1247" s="1060">
        <f>IF(AH1242="NM","NM",IF(AM1242="NM","NM",IF(AH1242&lt;=0,"NM",IF(AM1242=0,"NM",IF(ABS(AM1242/AH1242-1)&gt;2.5,"NM",IF((ABS(AM1242-AH1242)=ABS(ABS(AM1242)-ABS(AH1242))),(AM1242/AH1242-1),"NM"))))))</f>
      </c>
      <c r="AN1247" s="926">
        <v>-4.9000000000000002E-2</v>
      </c>
      <c r="AO1247" s="926">
        <v>-2.7E-2</v>
      </c>
      <c r="AP1247" s="926">
        <v>-4.5999999999999999E-2</v>
      </c>
      <c r="AQ1247" s="926">
        <v>-3.9E-2</v>
      </c>
      <c r="AR1247" s="1060">
        <f>IF(AM1242="NM","NM",IF(AR1242="NM","NM",IF(AM1242&lt;=0,"NM",IF(AR1242=0,"NM",IF(ABS(AR1242/AM1242-1)&gt;2.5,"NM",IF((ABS(AR1242-AM1242)=ABS(ABS(AR1242)-ABS(AM1242))),(AR1242/AM1242-1),"NM"))))))</f>
      </c>
      <c r="AS1247" s="926">
        <v>-4.1000000000000002E-2</v>
      </c>
      <c r="AT1247" s="926">
        <v>-2.7E-2</v>
      </c>
      <c r="AU1247" s="926">
        <v>-8.0000000000000002E-3</v>
      </c>
      <c r="AV1247" s="926">
        <v>2.7E-2</v>
      </c>
      <c r="AW1247" s="1060">
        <f>IF(AR1242="NM","NM",IF(AW1242="NM","NM",IF(AR1242&lt;=0,"NM",IF(AW1242=0,"NM",IF(ABS(AW1242/AR1242-1)&gt;2.5,"NM",IF((ABS(AW1242-AR1242)=ABS(ABS(AW1242)-ABS(AR1242))),(AW1242/AR1242-1),"NM"))))))</f>
      </c>
      <c r="AX1247" s="926">
        <v>-0.02</v>
      </c>
      <c r="AY1247" s="926">
        <v>-2E-3</v>
      </c>
      <c r="AZ1247" s="926">
        <v>5.1999999999999998E-2</v>
      </c>
      <c r="BA1247" s="926">
        <v>5.7000000000000002E-2</v>
      </c>
      <c r="BB1247" s="1060">
        <f>IF(AW1242="NM","NM",IF(BB1242="NM","NM",IF(AW1242&lt;=0,"NM",IF(BB1242=0,"NM",IF(ABS(BB1242/AW1242-1)&gt;2.5,"NM",IF((ABS(BB1242-AW1242)=ABS(ABS(BB1242)-ABS(AW1242))),(BB1242/AW1242-1),"NM"))))))</f>
      </c>
      <c r="BC1247" s="926">
        <v>0.11</v>
      </c>
      <c r="BD1247" s="926">
        <v>0.11</v>
      </c>
      <c r="BE1247" s="29">
        <v>0.09</v>
      </c>
      <c r="BF1247" s="29">
        <v>0.09</v>
      </c>
      <c r="BG1247" s="1060">
        <f>IF(BB1242="NM","NM",IF(BG1242="NM","NM",IF(BB1242&lt;=0,"NM",IF(BG1242=0,"NM",IF(ABS(BG1242/BB1242-1)&gt;2.5,"NM",IF((ABS(BG1242-BB1242)=ABS(ABS(BG1242)-ABS(BB1242))),(BG1242/BB1242-1),"NM"))))))</f>
      </c>
      <c r="BH1247" s="29">
        <v>-2E-3</v>
      </c>
      <c r="BI1247" s="926">
        <f t="shared" ref="BI1247:BK1248" si="2567">IF(BD1242="NM","NM",IF(BI1242="NM","NM",IF(BD1242&lt;=0,"NM",IF(BI1242=0,"NM",IF(ABS(BI1242/BD1242-1)&gt;2.5,"NM",IF((ABS(BI1242-BD1242)=ABS(ABS(BI1242)-ABS(BD1242))),(BI1242/BD1242-1),"NM"))))))</f>
      </c>
      <c r="BJ1247" s="926">
        <f t="shared" si="2567"/>
      </c>
      <c r="BK1247" s="926">
        <f t="shared" si="2567"/>
      </c>
      <c r="BL1247" s="1060"/>
      <c r="BM1247" s="926"/>
      <c r="BN1247" s="926"/>
      <c r="BO1247" s="926"/>
      <c r="BP1247" s="926"/>
      <c r="BQ1247" s="1060"/>
      <c r="BR1247" s="926"/>
      <c r="BS1247" s="926"/>
      <c r="BT1247" s="926"/>
      <c r="BU1247" s="926"/>
      <c r="BV1247" s="1060"/>
      <c r="BW1247" s="649"/>
      <c r="BX1247" s="649"/>
      <c r="BY1247" s="649"/>
      <c r="BZ1247" s="649"/>
      <c r="CA1247" s="2248"/>
      <c r="CB1247" s="649"/>
      <c r="CC1247" s="29"/>
      <c r="CD1247" s="29"/>
      <c r="CE1247" s="29"/>
      <c r="CF1247" s="2248"/>
      <c r="CG1247" s="926">
        <f t="shared" ref="CG1247:CQ1248" si="2568">IF(CB1242="NM","NM",IF(CG1242="NM","NM",IF(CB1242&lt;=0,"NM",IF(CG1242=0,"NM",IF(ABS(CG1242/CB1242-1)&gt;2.5,"NM",IF((ABS(CG1242-CB1242)=ABS(ABS(CG1242)-ABS(CB1242))),(CG1242/CB1242-1),"NM"))))))</f>
      </c>
      <c r="CH1247" s="926">
        <f t="shared" si="2568"/>
      </c>
      <c r="CI1247" s="926">
        <f t="shared" si="2568"/>
      </c>
      <c r="CJ1247" s="926">
        <f t="shared" si="2568"/>
      </c>
      <c r="CK1247" s="1060">
        <f>IF(CF1242=0, "NA", CK1242/CF1242-1)</f>
      </c>
      <c r="CL1247" s="926">
        <f t="shared" si="2568"/>
      </c>
      <c r="CM1247" s="926">
        <f t="shared" si="2568"/>
      </c>
      <c r="CN1247" s="926">
        <f t="shared" si="2568"/>
      </c>
      <c r="CO1247" s="926">
        <f t="shared" si="2568"/>
      </c>
      <c r="CP1247" s="1060">
        <f>IF(CK1242=0, "NA", CP1242/CK1242-1)</f>
      </c>
      <c r="CQ1247" s="926">
        <f t="shared" si="2568"/>
      </c>
      <c r="CR1247" s="926">
        <f t="shared" ref="CR1247:CU1248" si="2569">IF(CM1242=0, "NA", CR1242/CM1242-1)</f>
      </c>
      <c r="CS1247" s="926">
        <f t="shared" si="2569"/>
      </c>
      <c r="CT1247" s="926">
        <f t="shared" si="2569"/>
      </c>
      <c r="CU1247" s="1060">
        <f t="shared" si="2569"/>
      </c>
      <c r="CV1247" s="926">
        <f t="shared" ref="CV1247:CX1248" si="2570">IF(CQ1242="NM","NM",IF(CV1242="NM","NM",IF(CQ1242&lt;=0,"NM",IF(CV1242=0,"NM",IF(ABS(CV1242/CQ1242-1)&gt;2.5,"NM",IF((ABS(CV1242-CQ1242)=ABS(ABS(CV1242)-ABS(CQ1242))),(CV1242/CQ1242-1),"NM"))))))</f>
      </c>
      <c r="CW1247" s="926">
        <f t="shared" si="2570"/>
      </c>
      <c r="CX1247" s="926">
        <f t="shared" si="2570"/>
      </c>
      <c r="CY1247" s="926">
        <f>IF(CT1242=0, "NA", CY1242/CT1242-1)</f>
      </c>
      <c r="CZ1247" s="1060">
        <f>IF(CU1242=0, "NA", CZ1242/CU1242-1)</f>
      </c>
      <c r="DA1247" s="926">
        <f t="shared" ref="DA1247:DI1248" si="2571">IF(CV1242="NM","NM",IF(DA1242="NM","NM",IF(CV1242&lt;=0,"NM",IF(DA1242=0,"NM",IF(ABS(DA1242/CV1242-1)&gt;2.5,"NM",IF((ABS(DA1242-CV1242)=ABS(ABS(DA1242)-ABS(CV1242))),(DA1242/CV1242-1),"NM"))))))</f>
      </c>
      <c r="DB1247" s="926">
        <f t="shared" si="2571"/>
      </c>
      <c r="DC1247" s="926">
        <f t="shared" si="2571"/>
      </c>
      <c r="DD1247" s="926">
        <f t="shared" si="2571"/>
      </c>
      <c r="DE1247" s="1060">
        <f>IF(CZ1242=0, "NA", DE1242/CZ1242-1)</f>
      </c>
      <c r="DF1247" s="926">
        <f t="shared" si="2571"/>
      </c>
      <c r="DG1247" s="926">
        <f t="shared" si="2571"/>
      </c>
      <c r="DH1247" s="926">
        <f>IF(DC1242="NM","NM",IF(DH1242="NM","NM",IF(DC1242&lt;=0,"NM",IF(DH1242=0,"NM",IF(ABS(DH1242/DC1242-1)&gt;2.5,"NM",IF((ABS(DH1242-DC1242)=ABS(ABS(DH1242)-ABS(DC1242))),(DH1242/DC1242-1),"NM"))))))</f>
      </c>
      <c r="DI1247" s="926">
        <f t="shared" si="2571"/>
      </c>
      <c r="DJ1247" s="1060">
        <f>IF(DE1242=0, "NA", DJ1242/DE1242-1)</f>
      </c>
      <c r="DK1247" s="926">
        <f t="shared" ref="DK1247:DM1248" si="2572">IF(DF1242="NM","NM",IF(DK1242="NM","NM",IF(DF1242&lt;=0,"NM",IF(DK1242=0,"NM",IF(ABS(DK1242/DF1242-1)&gt;2.5,"NM",IF((ABS(DK1242-DF1242)=ABS(ABS(DK1242)-ABS(DF1242))),(DK1242/DF1242-1),"NM"))))))</f>
      </c>
      <c r="DL1247" s="926">
        <f t="shared" si="2572"/>
      </c>
      <c r="DM1247" s="926">
        <f t="shared" si="2572"/>
      </c>
      <c r="DN1247" s="1741">
        <f>DN1242/DI1242-1</f>
      </c>
      <c r="DO1247" s="1060">
        <f>IF(DJ1242=0, "NA", DO1242/DJ1242-1)</f>
      </c>
      <c r="DP1247" s="926">
        <f t="shared" ref="DP1247:DR1248" si="2573">IF(DK1242="NM","NM",IF(DP1242="NM","NM",IF(DK1242&lt;=0,"NM",IF(DP1242=0,"NM",IF(ABS(DP1242/DK1242-1)&gt;2.5,"NM",IF((ABS(DP1242-DK1242)=ABS(ABS(DP1242)-ABS(DK1242))),(DP1242/DK1242-1),"NM"))))))</f>
      </c>
      <c r="DQ1247" s="926">
        <f t="shared" si="2573"/>
      </c>
      <c r="DR1247" s="926">
        <f t="shared" si="2573"/>
      </c>
      <c r="DS1247" s="926">
        <f>IF(DN1242=0, 0, DS1242/DN1242-1)</f>
      </c>
      <c r="DT1247" s="1060">
        <f>IF(DO1242=0, 0, DT1242/DO1242-1)</f>
      </c>
      <c r="DU1247" s="926">
        <f>IF(DP1242=0, 0, DU1242/DP1242-1)</f>
      </c>
      <c r="DV1247" s="926">
        <f>IF(DQ1242=0, 0, DV1242/DQ1242-1)</f>
      </c>
      <c r="DW1247" s="926">
        <f>IF(DR1242="NM","NM",IF(DW1242="NM","NM",IF(DR1242&lt;=0,"NM",IF(DW1242=0,"NM",IF(ABS(DW1242/DR1242-1)&gt;2.5,"NM",IF((ABS(DW1242-DR1242)=ABS(ABS(DW1242)-ABS(DR1242))),(DW1242/DR1242-1),"NM"))))))</f>
      </c>
      <c r="DX1247" s="928">
        <f>IF(DS1242="NM","NM",IF(DX1242="NM","NM",IF(DS1242&lt;=0,"NM",IF(DX1242=0,"NM",IF(ABS(DX1242/DS1242-1)&gt;2.5,"NM",IF((ABS(DX1242-DS1242)=ABS(ABS(DX1242)-ABS(DS1242))),(DX1242/DS1242-1),"NM"))))))</f>
      </c>
      <c r="DY1247" s="1060">
        <f>IF(DT1242=0, 0, DY1242/DT1242-1)</f>
      </c>
      <c r="DZ1247" s="926">
        <f t="shared" ref="DZ1247:EB1248" si="2574">IF(DU1242="NM","NM",IF(DZ1242="NM","NM",IF(DU1242&lt;=0,"NM",IF(DZ1242=0,"NM",IF(ABS(DZ1242/DU1242-1)&gt;2.5,"NM",IF((ABS(DZ1242-DU1242)=ABS(ABS(DZ1242)-ABS(DU1242))),(DZ1242/DU1242-1),"NM"))))))</f>
      </c>
      <c r="EA1247" s="926">
        <f t="shared" si="2574"/>
      </c>
      <c r="EB1247" s="926">
        <f t="shared" si="2574"/>
      </c>
      <c r="EC1247" s="1235">
        <f>IF(DX1242="NM","NM",IF(EC1242="NM","NM",IF(DX1242&lt;=0,"NM",IF(EC1242=0,"NM",IF(ABS(EC1242/DX1242-1)&gt;2.5,"NM",IF((ABS(EC1242-DX1242)=ABS(ABS(EC1242)-ABS(DX1242))),(EC1242/DX1242-1),"NM"))))))</f>
      </c>
      <c r="ED1247" s="1536">
        <f>IF(DY1242=0, 0, ED1242/DY1242-1)</f>
      </c>
      <c r="EE1247" s="926">
        <f t="shared" ref="EE1247:EG1248" si="2575">IF(DZ1242="NM","NM",IF(EE1242="NM","NM",IF(DZ1242&lt;=0,"NM",IF(EE1242=0,"NM",IF(ABS(EE1242/DZ1242-1)&gt;2.5,"NM",IF((ABS(EE1242-DZ1242)=ABS(ABS(EE1242)-ABS(DZ1242))),(EE1242/DZ1242-1),"NM"))))))</f>
      </c>
      <c r="EF1247" s="926">
        <f t="shared" si="2575"/>
      </c>
      <c r="EG1247" s="926">
        <f t="shared" si="2575"/>
      </c>
      <c r="EH1247" s="926">
        <f>+EH1242/EC1242-1</f>
      </c>
      <c r="EI1247" s="317">
        <v>-3.5000000000000003E-2</v>
      </c>
      <c r="EJ1247" s="317">
        <v>-0.03</v>
      </c>
      <c r="EK1247" s="317">
        <v>-0.01</v>
      </c>
      <c r="EL1247" s="317">
        <v>-0.01</v>
      </c>
      <c r="EM1247" s="317">
        <v>-0.01</v>
      </c>
      <c r="EN1247" s="317">
        <v>-0.01</v>
      </c>
      <c r="EO1247" s="673"/>
      <c r="EP1247" s="673"/>
      <c r="EQ1247" s="673"/>
      <c r="ER1247" s="673"/>
      <c r="ES1247" s="673"/>
      <c r="ET1247" s="673"/>
      <c r="EU1247" s="673"/>
      <c r="EV1247" s="673"/>
      <c r="EW1247" s="673"/>
      <c r="EX1247" s="673"/>
    </row>
    <row r="1248" spans="2:154" ht="12.75" customHeight="1">
      <c r="B1248" s="443" t="s">
        <v>235</v>
      </c>
      <c r="C1248" s="1577"/>
      <c r="D1248" s="933"/>
      <c r="E1248" s="933"/>
      <c r="F1248" s="933"/>
      <c r="G1248" s="933"/>
      <c r="H1248" s="933"/>
      <c r="I1248" s="933"/>
      <c r="J1248" s="933"/>
      <c r="K1248" s="933"/>
      <c r="L1248" s="933"/>
      <c r="M1248" s="933"/>
      <c r="N1248" s="933"/>
      <c r="O1248" s="933"/>
      <c r="P1248" s="933"/>
      <c r="Q1248" s="933"/>
      <c r="R1248" s="933"/>
      <c r="S1248" s="933"/>
      <c r="T1248" s="933"/>
      <c r="U1248" s="933"/>
      <c r="V1248" s="933"/>
      <c r="W1248" s="933"/>
      <c r="X1248" s="1060"/>
      <c r="Y1248" s="933"/>
      <c r="Z1248" s="933"/>
      <c r="AA1248" s="933"/>
      <c r="AB1248" s="933"/>
      <c r="AC1248" s="1060"/>
      <c r="AD1248" s="926">
        <v>0.38</v>
      </c>
      <c r="AE1248" s="926">
        <v>0.38</v>
      </c>
      <c r="AF1248" s="926">
        <v>0.25</v>
      </c>
      <c r="AG1248" s="926"/>
      <c r="AH1248" s="1060">
        <v>0.32500000000000001</v>
      </c>
      <c r="AI1248" s="926">
        <v>0.21299999999999999</v>
      </c>
      <c r="AJ1248" s="926">
        <v>0.17</v>
      </c>
      <c r="AK1248" s="926">
        <v>0.187</v>
      </c>
      <c r="AL1248" s="926">
        <v>0.04</v>
      </c>
      <c r="AM1248" s="1060">
        <f>IF(AH1243="NM","NM",IF(AM1243="NM","NM",IF(AH1243&lt;=0,"NM",IF(AM1243=0,"NM",IF(ABS(AM1243/AH1243-1)&gt;2.5,"NM",IF((ABS(AM1243-AH1243)=ABS(ABS(AM1243)-ABS(AH1243))),(AM1243/AH1243-1),"NM"))))))</f>
      </c>
      <c r="AN1248" s="926">
        <v>0.08</v>
      </c>
      <c r="AO1248" s="926">
        <v>5.0999999999999997E-2</v>
      </c>
      <c r="AP1248" s="926">
        <v>0.13700000000000001</v>
      </c>
      <c r="AQ1248" s="926">
        <v>0.15</v>
      </c>
      <c r="AR1248" s="1060">
        <f>IF(AM1243="NM","NM",IF(AR1243="NM","NM",IF(AM1243&lt;=0,"NM",IF(AR1243=0,"NM",IF(ABS(AR1243/AM1243-1)&gt;2.5,"NM",IF((ABS(AR1243-AM1243)=ABS(ABS(AR1243)-ABS(AM1243))),(AR1243/AM1243-1),"NM"))))))</f>
      </c>
      <c r="AS1248" s="926">
        <v>0.38500000000000001</v>
      </c>
      <c r="AT1248" s="926">
        <v>0.39400000000000002</v>
      </c>
      <c r="AU1248" s="926">
        <v>0.42499999999999999</v>
      </c>
      <c r="AV1248" s="926">
        <v>0.52100000000000002</v>
      </c>
      <c r="AW1248" s="1060">
        <f>IF(AR1243="NM","NM",IF(AW1243="NM","NM",IF(AR1243&lt;=0,"NM",IF(AW1243=0,"NM",IF(ABS(AW1243/AR1243-1)&gt;2.5,"NM",IF((ABS(AW1243-AR1243)=ABS(ABS(AW1243)-ABS(AR1243))),(AW1243/AR1243-1),"NM"))))))</f>
      </c>
      <c r="AX1248" s="926">
        <v>0.17499999999999999</v>
      </c>
      <c r="AY1248" s="926">
        <v>0.27600000000000002</v>
      </c>
      <c r="AZ1248" s="926">
        <v>0.185</v>
      </c>
      <c r="BA1248" s="926">
        <v>4.5999999999999999E-2</v>
      </c>
      <c r="BB1248" s="1060">
        <f>IF(AW1243="NM","NM",IF(BB1243="NM","NM",IF(AW1243&lt;=0,"NM",IF(BB1243=0,"NM",IF(ABS(BB1243/AW1243-1)&gt;2.5,"NM",IF((ABS(BB1243-AW1243)=ABS(ABS(BB1243)-ABS(AW1243))),(BB1243/AW1243-1),"NM"))))))</f>
      </c>
      <c r="BC1248" s="926">
        <v>0.02</v>
      </c>
      <c r="BD1248" s="926">
        <v>-0.03</v>
      </c>
      <c r="BE1248" s="926">
        <f>IF(ISNUMBER(BE1249),(1+BE1249)*(1+BE$21)-1,"NM")</f>
      </c>
      <c r="BF1248" s="926">
        <f>IF(ISNUMBER(BF1249),(1+BF1249)*(1+BF$21)-1,"NM")</f>
      </c>
      <c r="BG1248" s="1060">
        <f>IF(BB1243="NM","NM",IF(BG1243="NM","NM",IF(BB1243&lt;=0,"NM",IF(BG1243=0,"NM",IF(ABS(BG1243/BB1243-1)&gt;2.5,"NM",IF((ABS(BG1243-BB1243)=ABS(ABS(BG1243)-ABS(BB1243))),(BG1243/BB1243-1),"NM"))))))</f>
      </c>
      <c r="BH1248" s="926">
        <f>IF(ISNUMBER(BH1249),(1+BH1249)*(1+BH$21)-1,"NM")</f>
      </c>
      <c r="BI1248" s="926">
        <f t="shared" si="2567"/>
      </c>
      <c r="BJ1248" s="926">
        <f t="shared" si="2567"/>
      </c>
      <c r="BK1248" s="926">
        <f t="shared" si="2567"/>
      </c>
      <c r="BL1248" s="1060"/>
      <c r="BM1248" s="926"/>
      <c r="BN1248" s="926"/>
      <c r="BO1248" s="926"/>
      <c r="BP1248" s="926"/>
      <c r="BQ1248" s="1060"/>
      <c r="BR1248" s="926"/>
      <c r="BS1248" s="926"/>
      <c r="BT1248" s="926"/>
      <c r="BU1248" s="926"/>
      <c r="BV1248" s="1060"/>
      <c r="BW1248" s="926"/>
      <c r="BX1248" s="926"/>
      <c r="BY1248" s="926"/>
      <c r="BZ1248" s="928"/>
      <c r="CA1248" s="1060"/>
      <c r="CB1248" s="926"/>
      <c r="CC1248" s="926"/>
      <c r="CD1248" s="926"/>
      <c r="CE1248" s="926"/>
      <c r="CF1248" s="1060"/>
      <c r="CG1248" s="926">
        <f t="shared" si="2568"/>
      </c>
      <c r="CH1248" s="926">
        <f t="shared" si="2568"/>
      </c>
      <c r="CI1248" s="926">
        <f t="shared" si="2568"/>
      </c>
      <c r="CJ1248" s="926">
        <f t="shared" si="2568"/>
      </c>
      <c r="CK1248" s="1060">
        <f>IF(CF1243=0, "NA", CK1243/CF1243-1)</f>
      </c>
      <c r="CL1248" s="926">
        <f t="shared" si="2568"/>
      </c>
      <c r="CM1248" s="926">
        <f t="shared" si="2568"/>
      </c>
      <c r="CN1248" s="926">
        <f t="shared" si="2568"/>
      </c>
      <c r="CO1248" s="926">
        <f t="shared" si="2568"/>
      </c>
      <c r="CP1248" s="1060">
        <f>IF(CK1243=0, "NA", CP1243/CK1243-1)</f>
      </c>
      <c r="CQ1248" s="926">
        <f t="shared" si="2568"/>
      </c>
      <c r="CR1248" s="926">
        <f t="shared" si="2569"/>
      </c>
      <c r="CS1248" s="926">
        <f t="shared" si="2569"/>
      </c>
      <c r="CT1248" s="926">
        <f t="shared" si="2569"/>
      </c>
      <c r="CU1248" s="1060">
        <f t="shared" si="2569"/>
      </c>
      <c r="CV1248" s="926">
        <f t="shared" si="2570"/>
      </c>
      <c r="CW1248" s="926">
        <f t="shared" si="2570"/>
      </c>
      <c r="CX1248" s="926">
        <f t="shared" si="2570"/>
      </c>
      <c r="CY1248" s="926">
        <f>IF(CT1243=0, "NA", CY1243/CT1243-1)</f>
      </c>
      <c r="CZ1248" s="1060">
        <f>IF(CU1243=0, "NA", CZ1243/CU1243-1)</f>
      </c>
      <c r="DA1248" s="926">
        <f t="shared" si="2571"/>
      </c>
      <c r="DB1248" s="926">
        <f t="shared" si="2571"/>
      </c>
      <c r="DC1248" s="926">
        <f t="shared" si="2571"/>
      </c>
      <c r="DD1248" s="926">
        <f t="shared" si="2571"/>
      </c>
      <c r="DE1248" s="1060">
        <f>IF(CZ1243=0, "NA", DE1243/CZ1243-1)</f>
      </c>
      <c r="DF1248" s="926">
        <f t="shared" si="2571"/>
      </c>
      <c r="DG1248" s="926">
        <f t="shared" si="2571"/>
      </c>
      <c r="DH1248" s="926">
        <f>IF(DC1243="NM","NM",IF(DH1243="NM","NM",IF(DC1243&lt;=0,"NM",IF(DH1243=0,"NM",IF(ABS(DH1243/DC1243-1)&gt;2.5,"NM",IF((ABS(DH1243-DC1243)=ABS(ABS(DH1243)-ABS(DC1243))),(DH1243/DC1243-1),"NM"))))))</f>
      </c>
      <c r="DI1248" s="926">
        <f t="shared" si="2571"/>
      </c>
      <c r="DJ1248" s="1060">
        <f>IF(DE1243=0, "NA", DJ1243/DE1243-1)</f>
      </c>
      <c r="DK1248" s="926">
        <f t="shared" si="2572"/>
      </c>
      <c r="DL1248" s="926">
        <f t="shared" si="2572"/>
      </c>
      <c r="DM1248" s="926">
        <f t="shared" si="2572"/>
      </c>
      <c r="DN1248" s="1741">
        <f>DN1243/DI1243-1</f>
      </c>
      <c r="DO1248" s="1060">
        <f>IF(DJ1243=0, "NA", DO1243/DJ1243-1)</f>
      </c>
      <c r="DP1248" s="926">
        <f t="shared" si="2573"/>
      </c>
      <c r="DQ1248" s="926">
        <f t="shared" si="2573"/>
      </c>
      <c r="DR1248" s="926">
        <f t="shared" si="2573"/>
      </c>
      <c r="DS1248" s="926">
        <f>IF(DN1243=0, "NA", DS1243/DN1243-1)</f>
      </c>
      <c r="DT1248" s="1060">
        <f>IF(DO1243=0, "NA", DT1243/DO1243-1)</f>
      </c>
      <c r="DU1248" s="926">
        <f>IF(DP1243=0, "NA", DU1243/DP1243-1)</f>
      </c>
      <c r="DV1248" s="926">
        <f>IF(DQ1243="NM","NM",IF(DV1243="NM","NM",IF(DQ1243&lt;=0,"NM",IF(DV1243=0,"NM",IF(ABS(DV1243/DQ1243-1)&gt;2.5,"NM",IF((ABS(DV1243-DQ1243)=ABS(ABS(DV1243)-ABS(DQ1243))),(DV1243/DQ1243-1),"NM"))))))</f>
      </c>
      <c r="DW1248" s="926">
        <f>IF(DR1243="NM","NM",IF(DW1243="NM","NM",IF(DR1243&lt;=0,"NM",IF(DW1243=0,"NM",IF(ABS(DW1243/DR1243-1)&gt;2.5,"NM",IF((ABS(DW1243-DR1243)=ABS(ABS(DW1243)-ABS(DR1243))),(DW1243/DR1243-1),"NM"))))))</f>
      </c>
      <c r="DX1248" s="928">
        <f>IF(DS1243="NM","NM",IF(DX1243="NM","NM",IF(DS1243&lt;=0,"NM",IF(DX1243=0,"NM",IF(ABS(DX1243/DS1243-1)&gt;2.5,"NM",IF((ABS(DX1243-DS1243)=ABS(ABS(DX1243)-ABS(DS1243))),(DX1243/DS1243-1),"NM"))))))</f>
      </c>
      <c r="DY1248" s="1060">
        <f>IF(DT1243=0, "NA", DY1243/DT1243-1)</f>
      </c>
      <c r="DZ1248" s="926">
        <f t="shared" si="2574"/>
      </c>
      <c r="EA1248" s="926">
        <f t="shared" si="2574"/>
      </c>
      <c r="EB1248" s="926">
        <f t="shared" si="2574"/>
      </c>
      <c r="EC1248" s="1235">
        <f>IF(DX1243="NM","NM",IF(EC1243="NM","NM",IF(DX1243&lt;=0,"NM",IF(EC1243=0,"NM",IF(ABS(EC1243/DX1243-1)&gt;2.5,"NM",IF((ABS(EC1243-DX1243)=ABS(ABS(EC1243)-ABS(DX1243))),(EC1243/DX1243-1),"NM"))))))</f>
      </c>
      <c r="ED1248" s="1536">
        <f>IF(DY1243=0, "NA", ED1243/DY1243-1)</f>
      </c>
      <c r="EE1248" s="926">
        <f t="shared" si="2575"/>
      </c>
      <c r="EF1248" s="926">
        <f t="shared" si="2575"/>
      </c>
      <c r="EG1248" s="926">
        <f t="shared" si="2575"/>
      </c>
      <c r="EH1248" s="926">
        <f>+EH1243/EC1243-1</f>
      </c>
      <c r="EI1248" s="1060">
        <f t="shared" ref="EI1248:EN1248" si="2576">EI1249+EI$1370</f>
      </c>
      <c r="EJ1248" s="928">
        <f t="shared" si="2576"/>
      </c>
      <c r="EK1248" s="928">
        <f t="shared" si="2576"/>
      </c>
      <c r="EL1248" s="928">
        <f t="shared" si="2576"/>
      </c>
      <c r="EM1248" s="928">
        <f t="shared" si="2576"/>
      </c>
      <c r="EN1248" s="928">
        <f t="shared" si="2576"/>
      </c>
      <c r="EO1248" s="1060"/>
      <c r="EP1248" s="1060"/>
      <c r="EQ1248" s="1060"/>
      <c r="ER1248" s="1060"/>
      <c r="ES1248" s="1060"/>
      <c r="ET1248" s="1060"/>
      <c r="EU1248" s="1060"/>
      <c r="EV1248" s="1060"/>
      <c r="EW1248" s="1060"/>
      <c r="EX1248" s="1060"/>
    </row>
    <row r="1249" spans="2:154" ht="12.75" customHeight="1">
      <c r="B1249" s="443" t="s">
        <v>157</v>
      </c>
      <c r="C1249" s="1577"/>
      <c r="D1249" s="933"/>
      <c r="E1249" s="933"/>
      <c r="F1249" s="933"/>
      <c r="G1249" s="933"/>
      <c r="H1249" s="933"/>
      <c r="I1249" s="933"/>
      <c r="J1249" s="933"/>
      <c r="K1249" s="933"/>
      <c r="L1249" s="933"/>
      <c r="M1249" s="933"/>
      <c r="N1249" s="933"/>
      <c r="O1249" s="933"/>
      <c r="P1249" s="933"/>
      <c r="Q1249" s="933"/>
      <c r="R1249" s="933"/>
      <c r="S1249" s="933"/>
      <c r="T1249" s="933"/>
      <c r="U1249" s="933"/>
      <c r="V1249" s="933"/>
      <c r="W1249" s="933"/>
      <c r="X1249" s="2248"/>
      <c r="Y1249" s="933"/>
      <c r="Z1249" s="933"/>
      <c r="AA1249" s="933"/>
      <c r="AB1249" s="933"/>
      <c r="AC1249" s="2248"/>
      <c r="AD1249" s="959"/>
      <c r="AE1249" s="959"/>
      <c r="AF1249" s="959"/>
      <c r="AG1249" s="959"/>
      <c r="AH1249" s="2248"/>
      <c r="AI1249" s="959">
        <f t="shared" ref="AI1249:BD1249" si="2577">IF(ISNUMBER(AI1248),(1+AI1248)/(1+AI$21)-1,"NM")</f>
      </c>
      <c r="AJ1249" s="959">
        <f t="shared" si="2577"/>
      </c>
      <c r="AK1249" s="959">
        <f t="shared" si="2577"/>
      </c>
      <c r="AL1249" s="959">
        <f t="shared" si="2577"/>
      </c>
      <c r="AM1249" s="2248">
        <f t="shared" si="2577"/>
      </c>
      <c r="AN1249" s="959">
        <f t="shared" si="2577"/>
      </c>
      <c r="AO1249" s="959">
        <f t="shared" si="2577"/>
      </c>
      <c r="AP1249" s="959">
        <f t="shared" si="2577"/>
      </c>
      <c r="AQ1249" s="959">
        <f t="shared" si="2577"/>
      </c>
      <c r="AR1249" s="2248">
        <f t="shared" si="2577"/>
      </c>
      <c r="AS1249" s="959">
        <f t="shared" si="2577"/>
      </c>
      <c r="AT1249" s="959">
        <f t="shared" si="2577"/>
      </c>
      <c r="AU1249" s="959">
        <f t="shared" si="2577"/>
      </c>
      <c r="AV1249" s="959">
        <f t="shared" si="2577"/>
      </c>
      <c r="AW1249" s="2248">
        <f t="shared" si="2577"/>
      </c>
      <c r="AX1249" s="959">
        <f t="shared" si="2577"/>
      </c>
      <c r="AY1249" s="959">
        <f t="shared" si="2577"/>
      </c>
      <c r="AZ1249" s="959">
        <f t="shared" si="2577"/>
      </c>
      <c r="BA1249" s="959">
        <f t="shared" si="2577"/>
      </c>
      <c r="BB1249" s="2248">
        <f t="shared" si="2577"/>
      </c>
      <c r="BC1249" s="959">
        <f t="shared" si="2577"/>
      </c>
      <c r="BD1249" s="959">
        <f t="shared" si="2577"/>
      </c>
      <c r="BE1249" s="361">
        <v>0.15</v>
      </c>
      <c r="BF1249" s="361">
        <v>2.4E-2</v>
      </c>
      <c r="BG1249" s="1066">
        <f>IF(ISNUMBER(BG1248),(1+BG1248)/(1+BG$21)-1,"NM")</f>
      </c>
      <c r="BH1249" s="361">
        <v>0.113</v>
      </c>
      <c r="BI1249" s="959">
        <f>IF(ISNUMBER(BI1248),(1+BI1248)/(1+BI$21)-1,"NM")</f>
      </c>
      <c r="BJ1249" s="959">
        <f>IF(ISNUMBER(BJ1248),(1+BJ1248)/(1+BJ$21)-1,"NM")</f>
      </c>
      <c r="BK1249" s="959">
        <f>IF(ISNUMBER(BK1248),(1+BK1248)/(1+BK$21)-1,"NM")</f>
      </c>
      <c r="BL1249" s="2248"/>
      <c r="BM1249" s="959"/>
      <c r="BN1249" s="959"/>
      <c r="BO1249" s="959"/>
      <c r="BP1249" s="926"/>
      <c r="BQ1249" s="2248"/>
      <c r="BR1249" s="649"/>
      <c r="BS1249" s="649"/>
      <c r="BT1249" s="649"/>
      <c r="BU1249" s="649"/>
      <c r="BV1249" s="1060"/>
      <c r="BW1249" s="407"/>
      <c r="BX1249" s="407"/>
      <c r="BY1249" s="407"/>
      <c r="BZ1249" s="649"/>
      <c r="CA1249" s="1060"/>
      <c r="CB1249" s="407"/>
      <c r="CC1249" s="29"/>
      <c r="CD1249" s="29"/>
      <c r="CE1249" s="29"/>
      <c r="CF1249" s="1060"/>
      <c r="CG1249" s="926">
        <f>IF(ISNUMBER(CG1248),(1+CG1248)/(1+CG$21)-1,"NM")</f>
      </c>
      <c r="CH1249" s="926">
        <f>IF(ISNUMBER(CH1248),(1+CH1248)/(1+CH$21)-1,"NM")</f>
      </c>
      <c r="CI1249" s="926">
        <f>IF(ISNUMBER(CI1248),(1+CI1248)/(1+CI$21)-1,"NM")</f>
      </c>
      <c r="CJ1249" s="649">
        <v>-2.1000000000000001E-2</v>
      </c>
      <c r="CK1249" s="2248">
        <f>CK1248-CK$21</f>
      </c>
      <c r="CL1249" s="649">
        <v>-1.7999999999999999E-2</v>
      </c>
      <c r="CM1249" s="649">
        <v>-3.4566141242071247E-2</v>
      </c>
      <c r="CN1249" s="649">
        <v>0.05</v>
      </c>
      <c r="CO1249" s="649">
        <v>-2.1000000000000001E-2</v>
      </c>
      <c r="CP1249" s="2248">
        <f>CP1248-CP$21</f>
      </c>
      <c r="CQ1249" s="649">
        <v>3.0000000000000001E-3</v>
      </c>
      <c r="CR1249" s="407">
        <v>-1.6E-2</v>
      </c>
      <c r="CS1249" s="407">
        <v>3.0000000000000001E-3</v>
      </c>
      <c r="CT1249" s="407">
        <v>-0.13</v>
      </c>
      <c r="CU1249" s="2248">
        <f>CU1248-CU$21</f>
      </c>
      <c r="CV1249" s="649">
        <v>-0.158</v>
      </c>
      <c r="CW1249" s="649">
        <v>-0.13200000000000001</v>
      </c>
      <c r="CX1249" s="649">
        <v>-0.13900000000000001</v>
      </c>
      <c r="CY1249" s="407">
        <v>8.9999999999999993E-3</v>
      </c>
      <c r="CZ1249" s="2248">
        <v>-0.107</v>
      </c>
      <c r="DA1249" s="649">
        <v>1.2999999999999999E-2</v>
      </c>
      <c r="DB1249" s="649">
        <v>0</v>
      </c>
      <c r="DC1249" s="29">
        <v>6.0000000000000001E-3</v>
      </c>
      <c r="DD1249" s="1482">
        <v>-4.0000000000000001E-3</v>
      </c>
      <c r="DE1249" s="448">
        <v>-4.0000000000000001E-3</v>
      </c>
      <c r="DF1249" s="649">
        <v>-0.111</v>
      </c>
      <c r="DG1249" s="29">
        <v>-0.27900000000000003</v>
      </c>
      <c r="DH1249" s="29">
        <v>-0.05</v>
      </c>
      <c r="DI1249" s="1482">
        <v>-0.13600000000000001</v>
      </c>
      <c r="DJ1249" s="448">
        <v>-0.14599999999999999</v>
      </c>
      <c r="DK1249" s="649">
        <v>1.7000000000000001E-2</v>
      </c>
      <c r="DL1249" s="649">
        <v>0.379</v>
      </c>
      <c r="DM1249" s="29">
        <v>1.4999999999999999E-2</v>
      </c>
      <c r="DN1249" s="1741">
        <v>4.2999999999999997E-2</v>
      </c>
      <c r="DO1249" s="448">
        <v>9.9000000000000005E-2</v>
      </c>
      <c r="DP1249" s="926">
        <v>0.11700000000000001</v>
      </c>
      <c r="DQ1249" s="1741">
        <v>-2.5000000000000001E-2</v>
      </c>
      <c r="DR1249" s="1741">
        <v>0.10199999999999999</v>
      </c>
      <c r="DS1249" s="1741">
        <v>-1.4999999999999999E-2</v>
      </c>
      <c r="DT1249" s="448">
        <v>4.2999999999999997E-2</v>
      </c>
      <c r="DU1249" s="1741">
        <v>5.8999999999999997E-2</v>
      </c>
      <c r="DV1249" s="1741">
        <v>0.11600000000000001</v>
      </c>
      <c r="DW1249" s="1741">
        <v>-3.5999999999999997E-2</v>
      </c>
      <c r="DX1249" s="2870">
        <v>0.16500000000000001</v>
      </c>
      <c r="DY1249" s="448">
        <v>7.2999999999999995E-2</v>
      </c>
      <c r="DZ1249" s="1741">
        <v>8.9999999999999993E-3</v>
      </c>
      <c r="EA1249" s="1741">
        <v>-2.9000000000000001E-2</v>
      </c>
      <c r="EB1249" s="1741">
        <v>4.0000000000000001E-3</v>
      </c>
      <c r="EC1249" s="3611">
        <v>-2.9000000000000001E-2</v>
      </c>
      <c r="ED1249" s="3623">
        <v>-1.2E-2</v>
      </c>
      <c r="EE1249" s="1741">
        <v>-8.8999999999999996E-2</v>
      </c>
      <c r="EF1249" s="1741">
        <v>-6.4000000000000001E-2</v>
      </c>
      <c r="EG1249" s="1741">
        <v>-4.8000000000000001E-2</v>
      </c>
      <c r="EH1249" s="926">
        <f>EH1248-EH$1370</f>
      </c>
      <c r="EI1249" s="317">
        <v>-0.05</v>
      </c>
      <c r="EJ1249" s="836">
        <v>-0.03</v>
      </c>
      <c r="EK1249" s="836">
        <v>-5.0000000000000001E-3</v>
      </c>
      <c r="EL1249" s="836">
        <v>-5.0000000000000001E-3</v>
      </c>
      <c r="EM1249" s="836">
        <v>-5.0000000000000001E-3</v>
      </c>
      <c r="EN1249" s="836">
        <v>-5.0000000000000001E-3</v>
      </c>
      <c r="EO1249" s="673"/>
      <c r="EP1249" s="673"/>
      <c r="EQ1249" s="673"/>
      <c r="ER1249" s="673"/>
      <c r="ES1249" s="673"/>
      <c r="ET1249" s="673"/>
      <c r="EU1249" s="673"/>
      <c r="EV1249" s="673"/>
      <c r="EW1249" s="673"/>
      <c r="EX1249" s="673"/>
    </row>
    <row r="1250" spans="2:154" ht="12.75" customHeight="1">
      <c r="B1250" s="443" t="s">
        <v>19</v>
      </c>
      <c r="C1250" s="1577"/>
      <c r="D1250" s="933"/>
      <c r="E1250" s="933"/>
      <c r="F1250" s="933"/>
      <c r="G1250" s="933"/>
      <c r="H1250" s="933"/>
      <c r="I1250" s="933"/>
      <c r="J1250" s="933"/>
      <c r="K1250" s="933"/>
      <c r="L1250" s="933"/>
      <c r="M1250" s="933"/>
      <c r="N1250" s="933"/>
      <c r="O1250" s="933"/>
      <c r="P1250" s="933"/>
      <c r="Q1250" s="933"/>
      <c r="R1250" s="933"/>
      <c r="S1250" s="933"/>
      <c r="T1250" s="933"/>
      <c r="U1250" s="933"/>
      <c r="V1250" s="933"/>
      <c r="W1250" s="933"/>
      <c r="X1250" s="1060"/>
      <c r="Y1250" s="933"/>
      <c r="Z1250" s="933"/>
      <c r="AA1250" s="933"/>
      <c r="AB1250" s="933"/>
      <c r="AC1250" s="1060"/>
      <c r="AD1250" s="926"/>
      <c r="AE1250" s="926"/>
      <c r="AF1250" s="926"/>
      <c r="AG1250" s="926"/>
      <c r="AH1250" s="1060"/>
      <c r="AI1250" s="926">
        <f t="shared" ref="AI1250:BK1250" si="2578">IF(AD1244="NM","NM",IF(AI1244="NM","NM",IF(AD1244&lt;=0,"NM",IF(AI1244=0,"NM",IF(ABS(AI1244/AD1244-1)&gt;2.5,"NM",IF((ABS(AI1244-AD1244)=ABS(ABS(AI1244)-ABS(AD1244))),(AI1244/AD1244-1),"NM"))))))</f>
      </c>
      <c r="AJ1250" s="926">
        <f t="shared" si="2578"/>
      </c>
      <c r="AK1250" s="926">
        <f t="shared" si="2578"/>
      </c>
      <c r="AL1250" s="926">
        <f t="shared" si="2578"/>
      </c>
      <c r="AM1250" s="1060">
        <f t="shared" si="2578"/>
      </c>
      <c r="AN1250" s="926">
        <f t="shared" si="2578"/>
      </c>
      <c r="AO1250" s="926">
        <f t="shared" si="2578"/>
      </c>
      <c r="AP1250" s="926">
        <f t="shared" si="2578"/>
      </c>
      <c r="AQ1250" s="926">
        <f t="shared" si="2578"/>
      </c>
      <c r="AR1250" s="1060">
        <f t="shared" si="2578"/>
      </c>
      <c r="AS1250" s="926">
        <f t="shared" si="2578"/>
      </c>
      <c r="AT1250" s="926">
        <f t="shared" si="2578"/>
      </c>
      <c r="AU1250" s="926">
        <f t="shared" si="2578"/>
      </c>
      <c r="AV1250" s="926">
        <f t="shared" si="2578"/>
      </c>
      <c r="AW1250" s="1060">
        <f t="shared" si="2578"/>
      </c>
      <c r="AX1250" s="926">
        <f t="shared" si="2578"/>
      </c>
      <c r="AY1250" s="926">
        <f t="shared" si="2578"/>
      </c>
      <c r="AZ1250" s="926">
        <f t="shared" si="2578"/>
      </c>
      <c r="BA1250" s="926">
        <f t="shared" si="2578"/>
      </c>
      <c r="BB1250" s="1060">
        <f t="shared" si="2578"/>
      </c>
      <c r="BC1250" s="926">
        <f t="shared" si="2578"/>
      </c>
      <c r="BD1250" s="926">
        <f t="shared" si="2578"/>
      </c>
      <c r="BE1250" s="926">
        <f t="shared" si="2578"/>
      </c>
      <c r="BF1250" s="926">
        <f t="shared" si="2578"/>
      </c>
      <c r="BG1250" s="1060">
        <f t="shared" si="2578"/>
      </c>
      <c r="BH1250" s="926">
        <f t="shared" si="2578"/>
      </c>
      <c r="BI1250" s="926">
        <f t="shared" si="2578"/>
      </c>
      <c r="BJ1250" s="926">
        <f t="shared" si="2578"/>
      </c>
      <c r="BK1250" s="926">
        <f t="shared" si="2578"/>
      </c>
      <c r="BL1250" s="1060"/>
      <c r="BM1250" s="926"/>
      <c r="BN1250" s="926"/>
      <c r="BO1250" s="926"/>
      <c r="BP1250" s="926"/>
      <c r="BQ1250" s="1060"/>
      <c r="BR1250" s="926"/>
      <c r="BS1250" s="926"/>
      <c r="BT1250" s="926"/>
      <c r="BU1250" s="926"/>
      <c r="BV1250" s="1060"/>
      <c r="BW1250" s="926"/>
      <c r="BX1250" s="926"/>
      <c r="BY1250" s="926"/>
      <c r="BZ1250" s="928"/>
      <c r="CA1250" s="1060"/>
      <c r="CB1250" s="926"/>
      <c r="CC1250" s="926"/>
      <c r="CD1250" s="926"/>
      <c r="CE1250" s="926"/>
      <c r="CF1250" s="1060"/>
      <c r="CG1250" s="926">
        <f>IF(CB1244="NM","NM",IF(CG1244="NM","NM",IF(CB1244&lt;=0,"NM",IF(CG1244=0,"NM",IF(ABS(CG1244/CB1244-1)&gt;2.5,"NM",IF((ABS(CG1244-CB1244)=ABS(ABS(CG1244)-ABS(CB1244))),(CG1244/CB1244-1),"NM"))))))</f>
      </c>
      <c r="CH1250" s="926">
        <f>IF(CC1244="NM","NM",IF(CH1244="NM","NM",IF(CC1244&lt;=0,"NM",IF(CH1244=0,"NM",IF(ABS(CH1244/CC1244-1)&gt;2.5,"NM",IF((ABS(CH1244-CC1244)=ABS(ABS(CH1244)-ABS(CC1244))),(CH1244/CC1244-1),"NM"))))))</f>
      </c>
      <c r="CI1250" s="926">
        <f>IF(CD1244="NM","NM",IF(CI1244="NM","NM",IF(CD1244&lt;=0,"NM",IF(CI1244=0,"NM",IF(ABS(CI1244/CD1244-1)&gt;2.5,"NM",IF((ABS(CI1244-CD1244)=ABS(ABS(CI1244)-ABS(CD1244))),(CI1244/CD1244-1),"NM"))))))</f>
      </c>
      <c r="CJ1250" s="926">
        <f>IF(CE1244="NM","NM",IF(CJ1244="NM","NM",IF(CE1244&lt;=0,"NM",IF(CJ1244=0,"NM",IF(ABS(CJ1244/CE1244-1)&gt;2.5,"NM",IF((ABS(CJ1244-CE1244)=ABS(ABS(CJ1244)-ABS(CE1244))),(CJ1244/CE1244-1),"NM"))))))</f>
      </c>
      <c r="CK1250" s="1060">
        <f>IF(CF1244=0, "NA", CK1244/CF1244-1)</f>
      </c>
      <c r="CL1250" s="926">
        <f>IF(CG1244="NM","NM",IF(CL1244="NM","NM",IF(CG1244&lt;=0,"NM",IF(CL1244=0,"NM",IF(ABS(CL1244/CG1244-1)&gt;2.5,"NM",IF((ABS(CL1244-CG1244)=ABS(ABS(CL1244)-ABS(CG1244))),(CL1244/CG1244-1),"NM"))))))</f>
      </c>
      <c r="CM1250" s="926">
        <f>IF(CH1244="NM","NM",IF(CM1244="NM","NM",IF(CH1244&lt;=0,"NM",IF(CM1244=0,"NM",IF(ABS(CM1244/CH1244-1)&gt;2.5,"NM",IF((ABS(CM1244-CH1244)=ABS(ABS(CM1244)-ABS(CH1244))),(CM1244/CH1244-1),"NM"))))))</f>
      </c>
      <c r="CN1250" s="926">
        <f>IF(CI1244="NM","NM",IF(CN1244="NM","NM",IF(CI1244&lt;=0,"NM",IF(CN1244=0,"NM",IF(ABS(CN1244/CI1244-1)&gt;2.5,"NM",IF((ABS(CN1244-CI1244)=ABS(ABS(CN1244)-ABS(CI1244))),(CN1244/CI1244-1),"NM"))))))</f>
      </c>
      <c r="CO1250" s="926">
        <f>IF(CJ1244="NM","NM",IF(CO1244="NM","NM",IF(CJ1244&lt;=0,"NM",IF(CO1244=0,"NM",IF(ABS(CO1244/CJ1244-1)&gt;2.5,"NM",IF((ABS(CO1244-CJ1244)=ABS(ABS(CO1244)-ABS(CJ1244))),(CO1244/CJ1244-1),"NM"))))))</f>
      </c>
      <c r="CP1250" s="1060">
        <f>IF(CK1244=0, "NA", CP1244/CK1244-1)</f>
      </c>
      <c r="CQ1250" s="926">
        <f>IF(CL1244="NM","NM",IF(CQ1244="NM","NM",IF(CL1244&lt;=0,"NM",IF(CQ1244=0,"NM",IF(ABS(CQ1244/CL1244-1)&gt;2.5,"NM",IF((ABS(CQ1244-CL1244)=ABS(ABS(CQ1244)-ABS(CL1244))),(CQ1244/CL1244-1),"NM"))))))</f>
      </c>
      <c r="CR1250" s="926">
        <f>IF(CM1244=0, "NA", CR1244/CM1244-1)</f>
      </c>
      <c r="CS1250" s="926">
        <f>IF(CN1244=0, "NA", CS1244/CN1244-1)</f>
      </c>
      <c r="CT1250" s="926">
        <f>IF(CO1244=0, "NA", CT1244/CO1244-1)</f>
      </c>
      <c r="CU1250" s="1060">
        <f>IF(CP1244=0, "NA", CU1244/CP1244-1)</f>
      </c>
      <c r="CV1250" s="926">
        <f>IF(CQ1244="NM","NM",IF(CV1244="NM","NM",IF(CQ1244&lt;=0,"NM",IF(CV1244=0,"NM",IF(ABS(CV1244/CQ1244-1)&gt;2.5,"NM",IF((ABS(CV1244-CQ1244)=ABS(ABS(CV1244)-ABS(CQ1244))),(CV1244/CQ1244-1),"NM"))))))</f>
      </c>
      <c r="CW1250" s="926">
        <f>IF(CR1244="NM","NM",IF(CW1244="NM","NM",IF(CR1244&lt;=0,"NM",IF(CW1244=0,"NM",IF(ABS(CW1244/CR1244-1)&gt;2.5,"NM",IF((ABS(CW1244-CR1244)=ABS(ABS(CW1244)-ABS(CR1244))),(CW1244/CR1244-1),"NM"))))))</f>
      </c>
      <c r="CX1250" s="926">
        <f>IF(CS1244="NM","NM",IF(CX1244="NM","NM",IF(CS1244&lt;=0,"NM",IF(CX1244=0,"NM",IF(ABS(CX1244/CS1244-1)&gt;2.5,"NM",IF((ABS(CX1244-CS1244)=ABS(ABS(CX1244)-ABS(CS1244))),(CX1244/CS1244-1),"NM"))))))</f>
      </c>
      <c r="CY1250" s="926">
        <f>IF(CT1244=0, "NA", CY1244/CT1244-1)</f>
      </c>
      <c r="CZ1250" s="1060">
        <f>IF(CU1244=0, "NA", CZ1244/CU1244-1)</f>
      </c>
      <c r="DA1250" s="926">
        <f>IF(CV1244="NM","NM",IF(DA1244="NM","NM",IF(CV1244&lt;=0,"NM",IF(DA1244=0,"NM",IF(ABS(DA1244/CV1244-1)&gt;2.5,"NM",IF((ABS(DA1244-CV1244)=ABS(ABS(DA1244)-ABS(CV1244))),(DA1244/CV1244-1),"NM"))))))</f>
      </c>
      <c r="DB1250" s="926">
        <f>IF(CW1244="NM","NM",IF(DB1244="NM","NM",IF(CW1244&lt;=0,"NM",IF(DB1244=0,"NM",IF(ABS(DB1244/CW1244-1)&gt;2.5,"NM",IF((ABS(DB1244-CW1244)=ABS(ABS(DB1244)-ABS(CW1244))),(DB1244/CW1244-1),"NM"))))))</f>
      </c>
      <c r="DC1250" s="926">
        <f>IF(CX1244=0, "NA", DC1244/CX1244-1)</f>
      </c>
      <c r="DD1250" s="928">
        <f>IF(CY1244=0, "NM", DD1244/CY1244-1)</f>
      </c>
      <c r="DE1250" s="1060">
        <f>IF(CZ1244=0, "NA", DE1244/CZ1244-1)</f>
      </c>
      <c r="DF1250" s="926">
        <f>IF(DA1244=0, "NA", DF1244/DA1244-1)</f>
      </c>
      <c r="DG1250" s="926">
        <f>IF(DB1244=0, "NA", DG1244/DB1244-1)</f>
      </c>
      <c r="DH1250" s="926">
        <f>IF(DC1244=0, "NA", DH1244/DC1244-1)</f>
      </c>
      <c r="DI1250" s="928">
        <f>IF(DD1244=0, "NM", DI1244/DD1244-1)</f>
      </c>
      <c r="DJ1250" s="1060">
        <f t="shared" ref="DJ1250:DY1250" si="2579">IF(DE1244=0, "NA", DJ1244/DE1244-1)</f>
      </c>
      <c r="DK1250" s="926">
        <f t="shared" si="2579"/>
      </c>
      <c r="DL1250" s="926">
        <f t="shared" si="2579"/>
      </c>
      <c r="DM1250" s="926">
        <f t="shared" si="2579"/>
      </c>
      <c r="DN1250" s="926">
        <f t="shared" si="2579"/>
      </c>
      <c r="DO1250" s="1060">
        <f t="shared" si="2579"/>
      </c>
      <c r="DP1250" s="926">
        <f t="shared" si="2579"/>
      </c>
      <c r="DQ1250" s="926">
        <f t="shared" si="2579"/>
      </c>
      <c r="DR1250" s="926">
        <f t="shared" si="2579"/>
      </c>
      <c r="DS1250" s="926">
        <f t="shared" si="2579"/>
      </c>
      <c r="DT1250" s="1060">
        <f t="shared" si="2579"/>
      </c>
      <c r="DU1250" s="926">
        <f t="shared" si="2579"/>
      </c>
      <c r="DV1250" s="926">
        <f t="shared" si="2579"/>
      </c>
      <c r="DW1250" s="926">
        <f t="shared" si="2579"/>
      </c>
      <c r="DX1250" s="928">
        <f t="shared" si="2579"/>
      </c>
      <c r="DY1250" s="1060">
        <f t="shared" si="2579"/>
      </c>
      <c r="DZ1250" s="926">
        <f>IF(DU1244=0, "NA", DZ1244/DU1244-1)</f>
      </c>
      <c r="EA1250" s="926">
        <f>IF(DV1244=0, "NA", EA1244/DV1244-1)</f>
      </c>
      <c r="EB1250" s="926">
        <f>IF(DW1244=0, "NA", EB1244/DW1244-1)</f>
      </c>
      <c r="EC1250" s="1235">
        <f t="shared" ref="EC1250:EF1250" si="2580">IF(DX1244=0, "NA", EC1244/DX1244-1)</f>
      </c>
      <c r="ED1250" s="1536">
        <f t="shared" si="2580"/>
      </c>
      <c r="EE1250" s="926">
        <f t="shared" si="2580"/>
      </c>
      <c r="EF1250" s="926">
        <f t="shared" si="2580"/>
      </c>
      <c r="EG1250" s="926">
        <f>IF(EB1244=0, "NA", EG1244/EB1244-1)</f>
      </c>
      <c r="EH1250" s="926">
        <f>IF(EC1244=0, "NA", EH1244/EC1244-1)</f>
      </c>
      <c r="EI1250" s="1060">
        <f>EI1244/ED1244-1</f>
      </c>
      <c r="EJ1250" s="928">
        <f t="shared" ref="EJ1250:EN1250" si="2581">EJ1244/EI1244-1</f>
      </c>
      <c r="EK1250" s="928">
        <f t="shared" si="2581"/>
      </c>
      <c r="EL1250" s="928">
        <f t="shared" si="2581"/>
      </c>
      <c r="EM1250" s="928">
        <f t="shared" si="2581"/>
      </c>
      <c r="EN1250" s="928">
        <f t="shared" si="2581"/>
      </c>
      <c r="EO1250" s="1060"/>
      <c r="EP1250" s="1060"/>
      <c r="EQ1250" s="1060"/>
      <c r="ER1250" s="1060"/>
      <c r="ES1250" s="1060"/>
      <c r="ET1250" s="1060"/>
      <c r="EU1250" s="1060"/>
      <c r="EV1250" s="1060"/>
      <c r="EW1250" s="1060"/>
      <c r="EX1250" s="1060"/>
    </row>
    <row r="1251" spans="2:154" ht="12.75" customHeight="1">
      <c r="B1251" s="443" t="s">
        <v>848</v>
      </c>
      <c r="C1251" s="1577"/>
      <c r="D1251" s="933"/>
      <c r="E1251" s="933"/>
      <c r="F1251" s="933"/>
      <c r="G1251" s="933"/>
      <c r="H1251" s="933"/>
      <c r="I1251" s="933"/>
      <c r="J1251" s="933"/>
      <c r="K1251" s="933"/>
      <c r="L1251" s="933"/>
      <c r="M1251" s="933"/>
      <c r="N1251" s="933"/>
      <c r="O1251" s="933"/>
      <c r="P1251" s="933"/>
      <c r="Q1251" s="933"/>
      <c r="R1251" s="933"/>
      <c r="S1251" s="933"/>
      <c r="T1251" s="933"/>
      <c r="U1251" s="933"/>
      <c r="V1251" s="933"/>
      <c r="W1251" s="933"/>
      <c r="X1251" s="1060"/>
      <c r="Y1251" s="933"/>
      <c r="Z1251" s="933"/>
      <c r="AA1251" s="933"/>
      <c r="AB1251" s="933"/>
      <c r="AC1251" s="1060"/>
      <c r="AD1251" s="926"/>
      <c r="AE1251" s="926"/>
      <c r="AF1251" s="926"/>
      <c r="AG1251" s="926"/>
      <c r="AH1251" s="1060"/>
      <c r="AI1251" s="926"/>
      <c r="AJ1251" s="926"/>
      <c r="AK1251" s="926"/>
      <c r="AL1251" s="926"/>
      <c r="AM1251" s="1060"/>
      <c r="AN1251" s="926"/>
      <c r="AO1251" s="926"/>
      <c r="AP1251" s="926"/>
      <c r="AQ1251" s="926"/>
      <c r="AR1251" s="1060"/>
      <c r="AS1251" s="926"/>
      <c r="AT1251" s="926"/>
      <c r="AU1251" s="926"/>
      <c r="AV1251" s="926"/>
      <c r="AW1251" s="1060"/>
      <c r="AX1251" s="926"/>
      <c r="AY1251" s="926"/>
      <c r="AZ1251" s="926"/>
      <c r="BA1251" s="926"/>
      <c r="BB1251" s="1060"/>
      <c r="BC1251" s="926"/>
      <c r="BD1251" s="926"/>
      <c r="BE1251" s="926"/>
      <c r="BF1251" s="926"/>
      <c r="BG1251" s="1060"/>
      <c r="BH1251" s="926"/>
      <c r="BI1251" s="926"/>
      <c r="BJ1251" s="926"/>
      <c r="BK1251" s="926"/>
      <c r="BL1251" s="1060"/>
      <c r="BM1251" s="926"/>
      <c r="BN1251" s="926"/>
      <c r="BO1251" s="926"/>
      <c r="BP1251" s="926"/>
      <c r="BQ1251" s="1060"/>
      <c r="BR1251" s="926"/>
      <c r="BS1251" s="926"/>
      <c r="BT1251" s="926"/>
      <c r="BU1251" s="926"/>
      <c r="BV1251" s="1060"/>
      <c r="BW1251" s="926"/>
      <c r="BX1251" s="926"/>
      <c r="BY1251" s="926"/>
      <c r="BZ1251" s="926"/>
      <c r="CA1251" s="1060"/>
      <c r="CB1251" s="926"/>
      <c r="CC1251" s="926"/>
      <c r="CD1251" s="926"/>
      <c r="CE1251" s="926"/>
      <c r="CF1251" s="1060"/>
      <c r="CG1251" s="926"/>
      <c r="CH1251" s="926"/>
      <c r="CI1251" s="926"/>
      <c r="CJ1251" s="926"/>
      <c r="CK1251" s="1060"/>
      <c r="CL1251" s="926"/>
      <c r="CM1251" s="926"/>
      <c r="CN1251" s="926"/>
      <c r="CO1251" s="926"/>
      <c r="CP1251" s="1060"/>
      <c r="CQ1251" s="649"/>
      <c r="CR1251" s="649"/>
      <c r="CS1251" s="649"/>
      <c r="CT1251" s="649"/>
      <c r="CU1251" s="448"/>
      <c r="CV1251" s="649">
        <v>-0.122</v>
      </c>
      <c r="CW1251" s="649">
        <v>-9.4E-2</v>
      </c>
      <c r="CX1251" s="649">
        <v>-8.5999999999999993E-2</v>
      </c>
      <c r="CY1251" s="649">
        <v>-1.4999999999999999E-2</v>
      </c>
      <c r="CZ1251" s="448">
        <v>-7.9000000000000001E-2</v>
      </c>
      <c r="DA1251" s="649">
        <v>7.0000000000000001E-3</v>
      </c>
      <c r="DB1251" s="649">
        <v>-8.9999999999999993E-3</v>
      </c>
      <c r="DC1251" s="649">
        <v>1E-3</v>
      </c>
      <c r="DD1251" s="1482">
        <v>-1.0999999999999999E-2</v>
      </c>
      <c r="DE1251" s="448">
        <v>-3.0000000000000001E-3</v>
      </c>
      <c r="DF1251" s="649">
        <v>-9.8000000000000004E-2</v>
      </c>
      <c r="DG1251" s="649">
        <v>-0.38200000000000001</v>
      </c>
      <c r="DH1251" s="649">
        <v>-0.05</v>
      </c>
      <c r="DI1251" s="1482">
        <v>-9.7000000000000003E-2</v>
      </c>
      <c r="DJ1251" s="448">
        <v>-0.159</v>
      </c>
      <c r="DK1251" s="649">
        <v>-2.1999999999999999E-2</v>
      </c>
      <c r="DL1251" s="649">
        <v>0.502</v>
      </c>
      <c r="DM1251" s="649">
        <v>-6.0999999999999999E-2</v>
      </c>
      <c r="DN1251" s="649">
        <v>-5.1999999999999998E-2</v>
      </c>
      <c r="DO1251" s="448">
        <v>5.6000000000000001E-2</v>
      </c>
      <c r="DP1251" s="649">
        <v>2.7E-2</v>
      </c>
      <c r="DQ1251" s="649">
        <v>-3.2000000000000001E-2</v>
      </c>
      <c r="DR1251" s="649">
        <v>5.1999999999999998E-2</v>
      </c>
      <c r="DS1251" s="649">
        <v>3.5999999999999997E-2</v>
      </c>
      <c r="DT1251" s="448">
        <v>1.9E-2</v>
      </c>
      <c r="DU1251" s="649">
        <v>5.1999999999999998E-2</v>
      </c>
      <c r="DV1251" s="649">
        <v>7.0000000000000007E-2</v>
      </c>
      <c r="DW1251" s="649">
        <v>-2E-3</v>
      </c>
      <c r="DX1251" s="1482">
        <v>5.8000000000000003E-2</v>
      </c>
      <c r="DY1251" s="448">
        <v>4.4999999999999998E-2</v>
      </c>
      <c r="DZ1251" s="649">
        <v>0.04</v>
      </c>
      <c r="EA1251" s="649">
        <v>-1.7000000000000001E-2</v>
      </c>
      <c r="EB1251" s="649">
        <v>-0.02</v>
      </c>
      <c r="EC1251" s="3610">
        <v>-6.0000000000000001E-3</v>
      </c>
      <c r="ED1251" s="3623">
        <v>-1E-3</v>
      </c>
      <c r="EE1251" s="649">
        <v>-9.7000000000000003E-2</v>
      </c>
      <c r="EF1251" s="649">
        <v>-3.6999999999999998E-2</v>
      </c>
      <c r="EG1251" s="649">
        <v>-1.2999999999999999E-2</v>
      </c>
      <c r="EH1251" s="926">
        <f t="shared" ref="EH1251" si="2582">(EC1243*EH1249+EC1242*EH1247)/(EC1244)</f>
      </c>
      <c r="EI1251" s="1060">
        <f>(ED1243*EI1249+ED1242*EI1247)/(ED1244)</f>
      </c>
      <c r="EJ1251" s="928">
        <f t="shared" ref="EJ1251:EN1251" si="2583">(EI1243*EJ1249+EI1242*EJ1247)/(EI1244)</f>
      </c>
      <c r="EK1251" s="928">
        <f t="shared" si="2583"/>
      </c>
      <c r="EL1251" s="928">
        <f t="shared" si="2583"/>
      </c>
      <c r="EM1251" s="928">
        <f t="shared" si="2583"/>
      </c>
      <c r="EN1251" s="928">
        <f t="shared" si="2583"/>
      </c>
      <c r="EO1251" s="1060"/>
      <c r="EP1251" s="1060"/>
      <c r="EQ1251" s="1060"/>
      <c r="ER1251" s="1060"/>
      <c r="ES1251" s="1060"/>
      <c r="ET1251" s="1060"/>
      <c r="EU1251" s="1060"/>
      <c r="EV1251" s="1060"/>
      <c r="EW1251" s="1060"/>
      <c r="EX1251" s="1060"/>
    </row>
    <row r="1252" spans="2:154" ht="12.75" customHeight="1">
      <c r="B1252" s="442"/>
      <c r="C1252" s="1577"/>
      <c r="D1252" s="933"/>
      <c r="E1252" s="933"/>
      <c r="F1252" s="933"/>
      <c r="G1252" s="933"/>
      <c r="H1252" s="933"/>
      <c r="I1252" s="933"/>
      <c r="J1252" s="933"/>
      <c r="K1252" s="933"/>
      <c r="L1252" s="933"/>
      <c r="M1252" s="933"/>
      <c r="N1252" s="933"/>
      <c r="O1252" s="933"/>
      <c r="P1252" s="933"/>
      <c r="Q1252" s="933"/>
      <c r="R1252" s="933"/>
      <c r="S1252" s="933"/>
      <c r="T1252" s="933"/>
      <c r="U1252" s="933"/>
      <c r="V1252" s="933"/>
      <c r="W1252" s="933"/>
      <c r="X1252" s="1061"/>
      <c r="Y1252" s="933"/>
      <c r="Z1252" s="933"/>
      <c r="AA1252" s="933"/>
      <c r="AB1252" s="933"/>
      <c r="AC1252" s="1061"/>
      <c r="AD1252" s="933"/>
      <c r="AE1252" s="933"/>
      <c r="AF1252" s="933"/>
      <c r="AG1252" s="933"/>
      <c r="AH1252" s="1061"/>
      <c r="AI1252" s="933"/>
      <c r="AJ1252" s="933"/>
      <c r="AK1252" s="933"/>
      <c r="AL1252" s="933"/>
      <c r="AM1252" s="1061"/>
      <c r="AN1252" s="933"/>
      <c r="AO1252" s="933"/>
      <c r="AP1252" s="933"/>
      <c r="AQ1252" s="933"/>
      <c r="AR1252" s="1061"/>
      <c r="AS1252" s="933"/>
      <c r="AT1252" s="933"/>
      <c r="AU1252" s="933"/>
      <c r="AV1252" s="933"/>
      <c r="AW1252" s="1061"/>
      <c r="AX1252" s="933"/>
      <c r="AY1252" s="933"/>
      <c r="AZ1252" s="933"/>
      <c r="BA1252" s="933"/>
      <c r="BB1252" s="1061"/>
      <c r="BC1252" s="933"/>
      <c r="BD1252" s="933"/>
      <c r="BE1252" s="933"/>
      <c r="BF1252" s="933"/>
      <c r="BG1252" s="1061"/>
      <c r="BH1252" s="933"/>
      <c r="BI1252" s="933"/>
      <c r="BJ1252" s="933"/>
      <c r="BK1252" s="933"/>
      <c r="BL1252" s="1061"/>
      <c r="BM1252" s="933"/>
      <c r="BN1252" s="933"/>
      <c r="BO1252" s="933"/>
      <c r="BP1252" s="933"/>
      <c r="BQ1252" s="1061"/>
      <c r="BR1252" s="933"/>
      <c r="BS1252" s="933"/>
      <c r="BT1252" s="933"/>
      <c r="BU1252" s="933"/>
      <c r="BV1252" s="1061"/>
      <c r="BW1252" s="933"/>
      <c r="BX1252" s="933"/>
      <c r="BY1252" s="933"/>
      <c r="BZ1252" s="933"/>
      <c r="CA1252" s="1061"/>
      <c r="CB1252" s="933"/>
      <c r="CC1252" s="933"/>
      <c r="CD1252" s="933"/>
      <c r="CE1252" s="933"/>
      <c r="CF1252" s="1061"/>
      <c r="CG1252" s="933"/>
      <c r="CH1252" s="933"/>
      <c r="CI1252" s="933"/>
      <c r="CJ1252" s="933"/>
      <c r="CK1252" s="1061"/>
      <c r="CL1252" s="933"/>
      <c r="CM1252" s="933"/>
      <c r="CN1252" s="933"/>
      <c r="CO1252" s="933"/>
      <c r="CP1252" s="1061"/>
      <c r="CQ1252" s="933"/>
      <c r="CR1252" s="933"/>
      <c r="CS1252" s="933"/>
      <c r="CT1252" s="933"/>
      <c r="CU1252" s="1061"/>
      <c r="CV1252" s="933"/>
      <c r="CW1252" s="933"/>
      <c r="CX1252" s="933"/>
      <c r="CY1252" s="962"/>
      <c r="CZ1252" s="1061"/>
      <c r="DA1252" s="961"/>
      <c r="DB1252" s="933"/>
      <c r="DC1252" s="933"/>
      <c r="DD1252" s="962"/>
      <c r="DE1252" s="1866"/>
      <c r="DF1252" s="981"/>
      <c r="DG1252" s="982"/>
      <c r="DH1252" s="982"/>
      <c r="DI1252" s="1875"/>
      <c r="DJ1252" s="1866"/>
      <c r="DK1252" s="1866"/>
      <c r="DL1252" s="1866"/>
      <c r="DM1252" s="1866"/>
      <c r="DN1252" s="1866"/>
      <c r="DO1252" s="1866"/>
      <c r="DP1252" s="981"/>
      <c r="DQ1252" s="982"/>
      <c r="DR1252" s="982"/>
      <c r="DS1252" s="982"/>
      <c r="DT1252" s="1866"/>
      <c r="DU1252" s="981"/>
      <c r="DV1252" s="982"/>
      <c r="DW1252" s="982"/>
      <c r="DX1252" s="1875"/>
      <c r="DY1252" s="1866"/>
      <c r="DZ1252" s="1915"/>
      <c r="EA1252" s="1915"/>
      <c r="EB1252" s="1915"/>
      <c r="EC1252" s="1942"/>
      <c r="ED1252" s="1863"/>
      <c r="EE1252" s="1915"/>
      <c r="EF1252" s="1915"/>
      <c r="EG1252" s="982"/>
      <c r="EH1252" s="2257"/>
      <c r="EI1252" s="1866"/>
      <c r="EJ1252" s="1866"/>
      <c r="EK1252" s="1866"/>
      <c r="EL1252" s="1866"/>
      <c r="EM1252" s="1866"/>
      <c r="EN1252" s="1866"/>
      <c r="EO1252" s="1866"/>
      <c r="EP1252" s="1866"/>
      <c r="EQ1252" s="1866"/>
      <c r="ER1252" s="1866"/>
      <c r="ES1252" s="1866"/>
      <c r="ET1252" s="1866"/>
      <c r="EU1252" s="1866"/>
      <c r="EV1252" s="1866"/>
      <c r="EW1252" s="1866"/>
      <c r="EX1252" s="1866"/>
    </row>
    <row r="1253" spans="2:154" ht="12.75" hidden="1" customHeight="1" outlineLevel="2">
      <c r="B1253" s="436" t="s">
        <v>525</v>
      </c>
      <c r="C1253" s="1577"/>
      <c r="D1253" s="933"/>
      <c r="E1253" s="933"/>
      <c r="F1253" s="933"/>
      <c r="G1253" s="933"/>
      <c r="H1253" s="933"/>
      <c r="I1253" s="933"/>
      <c r="J1253" s="933"/>
      <c r="K1253" s="933"/>
      <c r="L1253" s="933"/>
      <c r="M1253" s="933"/>
      <c r="N1253" s="933"/>
      <c r="O1253" s="933"/>
      <c r="P1253" s="933"/>
      <c r="Q1253" s="933"/>
      <c r="R1253" s="933"/>
      <c r="S1253" s="933"/>
      <c r="T1253" s="933"/>
      <c r="U1253" s="933"/>
      <c r="V1253" s="933"/>
      <c r="W1253" s="933"/>
      <c r="X1253" s="1067"/>
      <c r="Y1253" s="933"/>
      <c r="Z1253" s="933"/>
      <c r="AA1253" s="933"/>
      <c r="AB1253" s="933"/>
      <c r="AC1253" s="1067"/>
      <c r="AD1253" s="933"/>
      <c r="AE1253" s="933"/>
      <c r="AF1253" s="933"/>
      <c r="AG1253" s="933"/>
      <c r="AH1253" s="1067"/>
      <c r="AI1253" s="933"/>
      <c r="AJ1253" s="933"/>
      <c r="AK1253" s="933"/>
      <c r="AL1253" s="933"/>
      <c r="AM1253" s="1067"/>
      <c r="AN1253" s="933"/>
      <c r="AO1253" s="933"/>
      <c r="AP1253" s="933"/>
      <c r="AQ1253" s="933"/>
      <c r="AR1253" s="1067"/>
      <c r="AS1253" s="933"/>
      <c r="AT1253" s="933"/>
      <c r="AU1253" s="933"/>
      <c r="AV1253" s="933"/>
      <c r="AW1253" s="1067"/>
      <c r="AX1253" s="933"/>
      <c r="AY1253" s="933"/>
      <c r="AZ1253" s="943"/>
      <c r="BA1253" s="1049"/>
      <c r="BB1253" s="1067"/>
      <c r="BC1253" s="943"/>
      <c r="BD1253" s="943"/>
      <c r="BE1253" s="933"/>
      <c r="BF1253" s="933"/>
      <c r="BG1253" s="1061"/>
      <c r="BH1253" s="933"/>
      <c r="BI1253" s="933"/>
      <c r="BJ1253" s="933"/>
      <c r="BK1253" s="933"/>
      <c r="BL1253" s="1061"/>
      <c r="BM1253" s="933"/>
      <c r="BN1253" s="933"/>
      <c r="BO1253" s="933"/>
      <c r="BP1253" s="933"/>
      <c r="BQ1253" s="1061"/>
      <c r="BR1253" s="933"/>
      <c r="BS1253" s="933"/>
      <c r="BT1253" s="933"/>
      <c r="BU1253" s="933"/>
      <c r="BV1253" s="1061"/>
      <c r="BW1253" s="933"/>
      <c r="BX1253" s="933"/>
      <c r="BY1253" s="933"/>
      <c r="BZ1253" s="933"/>
      <c r="CA1253" s="1061"/>
      <c r="CB1253" s="933"/>
      <c r="CC1253" s="933"/>
      <c r="CD1253" s="933"/>
      <c r="CE1253" s="933"/>
      <c r="CF1253" s="1061"/>
      <c r="CG1253" s="933"/>
      <c r="CH1253" s="933"/>
      <c r="CI1253" s="933"/>
      <c r="CJ1253" s="933"/>
      <c r="CK1253" s="1061"/>
      <c r="CL1253" s="933"/>
      <c r="CM1253" s="933"/>
      <c r="CN1253" s="933"/>
      <c r="CO1253" s="933"/>
      <c r="CP1253" s="1061"/>
      <c r="CQ1253" s="933"/>
      <c r="CR1253" s="933"/>
      <c r="CS1253" s="933"/>
      <c r="CT1253" s="933"/>
      <c r="CU1253" s="1061"/>
      <c r="CV1253" s="933"/>
      <c r="CW1253" s="933"/>
      <c r="CX1253" s="933"/>
      <c r="CY1253" s="962"/>
      <c r="CZ1253" s="1061"/>
      <c r="DA1253" s="961"/>
      <c r="DB1253" s="933"/>
      <c r="DC1253" s="933"/>
      <c r="DD1253" s="962"/>
      <c r="DE1253" s="1866"/>
      <c r="DF1253" s="981"/>
      <c r="DG1253" s="982"/>
      <c r="DH1253" s="982"/>
      <c r="DI1253" s="1875"/>
      <c r="DJ1253" s="1866"/>
      <c r="DK1253" s="1866"/>
      <c r="DL1253" s="1866"/>
      <c r="DM1253" s="1866"/>
      <c r="DN1253" s="1866"/>
      <c r="DO1253" s="1866"/>
      <c r="DP1253" s="981"/>
      <c r="DQ1253" s="982"/>
      <c r="DR1253" s="982"/>
      <c r="DS1253" s="982"/>
      <c r="DT1253" s="1866"/>
      <c r="DU1253" s="981"/>
      <c r="DV1253" s="982"/>
      <c r="DW1253" s="982"/>
      <c r="DX1253" s="1875"/>
      <c r="DY1253" s="1866"/>
      <c r="DZ1253" s="982"/>
      <c r="EA1253" s="982"/>
      <c r="EB1253" s="1875"/>
      <c r="EC1253" s="1875"/>
      <c r="ED1253" s="1866"/>
      <c r="EE1253" s="982"/>
      <c r="EF1253" s="982"/>
      <c r="EG1253" s="982"/>
      <c r="EH1253" s="981"/>
      <c r="EI1253" s="1866"/>
      <c r="EJ1253" s="1866"/>
      <c r="EK1253" s="1866"/>
      <c r="EL1253" s="1866"/>
      <c r="EM1253" s="1866"/>
      <c r="EN1253" s="1866"/>
      <c r="EO1253" s="1866"/>
      <c r="EP1253" s="1866"/>
      <c r="EQ1253" s="1866"/>
      <c r="ER1253" s="1866"/>
      <c r="ES1253" s="1866"/>
      <c r="ET1253" s="1866"/>
      <c r="EU1253" s="1866"/>
      <c r="EV1253" s="1866"/>
      <c r="EW1253" s="1866"/>
      <c r="EX1253" s="1866"/>
    </row>
    <row r="1254" spans="2:154" ht="12.75" hidden="1" customHeight="1" outlineLevel="2">
      <c r="B1254" s="437" t="s">
        <v>187</v>
      </c>
      <c r="C1254" s="1577"/>
      <c r="D1254" s="933"/>
      <c r="E1254" s="933"/>
      <c r="F1254" s="933"/>
      <c r="G1254" s="933"/>
      <c r="H1254" s="933"/>
      <c r="I1254" s="933"/>
      <c r="J1254" s="933"/>
      <c r="K1254" s="933"/>
      <c r="L1254" s="933"/>
      <c r="M1254" s="933"/>
      <c r="N1254" s="933"/>
      <c r="O1254" s="933"/>
      <c r="P1254" s="933"/>
      <c r="Q1254" s="933"/>
      <c r="R1254" s="933"/>
      <c r="S1254" s="933"/>
      <c r="T1254" s="933"/>
      <c r="U1254" s="933"/>
      <c r="V1254" s="933"/>
      <c r="W1254" s="933"/>
      <c r="X1254" s="1061"/>
      <c r="Y1254" s="933">
        <f>+AD1254/(1+AD1259)</f>
      </c>
      <c r="Z1254" s="933">
        <f>+AE1254/(1+AE1259)</f>
      </c>
      <c r="AA1254" s="933">
        <f t="shared" ref="AA1254:AG1255" si="2584">+AF1254/(1+AF1259)</f>
      </c>
      <c r="AB1254" s="933">
        <f>+AC1254-SUM(Y1254:AA1254)</f>
      </c>
      <c r="AC1254" s="1061">
        <f t="shared" si="2584"/>
      </c>
      <c r="AD1254" s="933">
        <f t="shared" si="2584"/>
      </c>
      <c r="AE1254" s="933">
        <f t="shared" si="2584"/>
      </c>
      <c r="AF1254" s="933">
        <f t="shared" si="2584"/>
      </c>
      <c r="AG1254" s="933">
        <f t="shared" si="2584"/>
      </c>
      <c r="AH1254" s="1061">
        <f>SUM(AD1254:AG1254)</f>
      </c>
      <c r="AI1254" s="933">
        <f t="shared" ref="AI1254:AL1255" si="2585">+AN1254/(1+AN1259)</f>
      </c>
      <c r="AJ1254" s="933">
        <f t="shared" si="2585"/>
      </c>
      <c r="AK1254" s="933">
        <f t="shared" si="2585"/>
      </c>
      <c r="AL1254" s="933">
        <f t="shared" si="2585"/>
      </c>
      <c r="AM1254" s="1061">
        <f>SUM(AI1254:AL1254)</f>
      </c>
      <c r="AN1254" s="933">
        <f t="shared" ref="AN1254:AQ1255" si="2586">+AS1254/(1+AS1259)</f>
      </c>
      <c r="AO1254" s="933">
        <f t="shared" si="2586"/>
      </c>
      <c r="AP1254" s="933">
        <f t="shared" si="2586"/>
      </c>
      <c r="AQ1254" s="933">
        <f t="shared" si="2586"/>
      </c>
      <c r="AR1254" s="1061">
        <f>SUM(AN1254:AQ1254)</f>
      </c>
      <c r="AS1254" s="933">
        <f t="shared" ref="AS1254:AV1255" si="2587">+AX1254/(1+AX1259)</f>
      </c>
      <c r="AT1254" s="933">
        <f t="shared" si="2587"/>
      </c>
      <c r="AU1254" s="933">
        <f t="shared" si="2587"/>
      </c>
      <c r="AV1254" s="933">
        <f t="shared" si="2587"/>
      </c>
      <c r="AW1254" s="1061">
        <f>SUM(AS1254:AV1254)</f>
      </c>
      <c r="AX1254" s="933">
        <f>+BC1254/(1+BC1259)</f>
      </c>
      <c r="AY1254" s="933">
        <f>+BD1254/(1+BD1259)</f>
      </c>
      <c r="AZ1254" s="933">
        <v>123.5</v>
      </c>
      <c r="BA1254" s="933">
        <f>+BB1254-SUM(AX1254:AZ1254)</f>
      </c>
      <c r="BB1254" s="1061">
        <v>532</v>
      </c>
      <c r="BC1254" s="933">
        <v>146.19999999999999</v>
      </c>
      <c r="BD1254" s="933">
        <v>149.5</v>
      </c>
      <c r="BE1254" s="933">
        <f>+(1+BE1259)*AZ1254</f>
      </c>
      <c r="BF1254" s="933">
        <f>+(1+BF1259)*BA1254</f>
      </c>
      <c r="BG1254" s="313">
        <f>SUM(BC1254:BF1254)</f>
      </c>
      <c r="BH1254" s="933">
        <f>+(1+BH1259)*BC1254</f>
      </c>
      <c r="BI1254" s="33">
        <v>144.11799999999999</v>
      </c>
      <c r="BJ1254" s="33">
        <v>130.6</v>
      </c>
      <c r="BK1254" s="33">
        <f>BF1254*0.92</f>
      </c>
      <c r="BL1254" s="313">
        <f>SUM(BH1254:BK1254)</f>
      </c>
      <c r="BM1254" s="33">
        <f>BH1254*0.99</f>
      </c>
      <c r="BN1254" s="33">
        <f>BI1254*0.956</f>
      </c>
      <c r="BO1254" s="33">
        <f>BJ1254*0.968</f>
      </c>
      <c r="BP1254" s="33">
        <f>BK1254*0.93</f>
      </c>
      <c r="BQ1254" s="313">
        <f>SUM(BM1254:BP1254)</f>
      </c>
      <c r="BR1254" s="352">
        <f>BM1254*(1-7.7%)</f>
      </c>
      <c r="BS1254" s="352">
        <f>BN1254*(1-4.9%)</f>
      </c>
      <c r="BT1254" s="352">
        <f>BO1254*(1-6.4%)</f>
      </c>
      <c r="BU1254" s="761">
        <f>BP1254*(1-7%)</f>
      </c>
      <c r="BV1254" s="1061">
        <f>SUM(BR1254:BU1254)</f>
      </c>
      <c r="BW1254" s="933">
        <f t="shared" ref="BW1254:BZ1255" si="2588">+(1+BW1259)*BR1254</f>
      </c>
      <c r="BX1254" s="933">
        <f t="shared" si="2588"/>
      </c>
      <c r="BY1254" s="933">
        <f t="shared" si="2588"/>
      </c>
      <c r="BZ1254" s="933">
        <f t="shared" si="2588"/>
      </c>
      <c r="CA1254" s="313">
        <f>SUM(BW1254:BZ1254)</f>
      </c>
      <c r="CB1254" s="933">
        <f t="shared" ref="CB1254:CE1255" si="2589">+(1+CB1259)*BW1254</f>
      </c>
      <c r="CC1254" s="933">
        <f t="shared" si="2589"/>
      </c>
      <c r="CD1254" s="933">
        <f t="shared" si="2589"/>
      </c>
      <c r="CE1254" s="933">
        <f t="shared" si="2589"/>
      </c>
      <c r="CF1254" s="1061">
        <f>SUM(CB1254:CE1254)</f>
      </c>
      <c r="CG1254" s="933">
        <f t="shared" ref="CG1254:CJ1255" si="2590">+(1+CG1259)*CB1254</f>
      </c>
      <c r="CH1254" s="933">
        <f t="shared" si="2590"/>
      </c>
      <c r="CI1254" s="933">
        <f t="shared" si="2590"/>
      </c>
      <c r="CJ1254" s="933">
        <f t="shared" si="2590"/>
      </c>
      <c r="CK1254" s="1061">
        <f>SUM(CG1254:CJ1254)</f>
      </c>
      <c r="CL1254" s="933">
        <f t="shared" ref="CL1254:CO1255" si="2591">+(1+CL1259)*CG1254</f>
      </c>
      <c r="CM1254" s="933">
        <f t="shared" si="2591"/>
      </c>
      <c r="CN1254" s="933">
        <f t="shared" si="2591"/>
      </c>
      <c r="CO1254" s="933">
        <f t="shared" si="2591"/>
      </c>
      <c r="CP1254" s="1061">
        <f>SUM(CL1254:CO1254)</f>
      </c>
      <c r="CQ1254" s="933">
        <f>+(1+CQ1259)*CL1254</f>
      </c>
      <c r="CR1254" s="933">
        <f>+(1+CR1259)*CM1254</f>
      </c>
      <c r="CS1254" s="1227"/>
      <c r="CT1254" s="1227"/>
      <c r="CU1254" s="2374"/>
      <c r="CV1254" s="1227"/>
      <c r="CW1254" s="1227"/>
      <c r="CX1254" s="1227"/>
      <c r="CY1254" s="1231"/>
      <c r="CZ1254" s="1228"/>
      <c r="DA1254" s="1322"/>
      <c r="DB1254" s="1357"/>
      <c r="DC1254" s="1357"/>
      <c r="DD1254" s="1345"/>
      <c r="DE1254" s="1811"/>
      <c r="DF1254" s="1836"/>
      <c r="DG1254" s="1822"/>
      <c r="DH1254" s="1822"/>
      <c r="DI1254" s="1837"/>
      <c r="DJ1254" s="1811"/>
      <c r="DK1254" s="1811"/>
      <c r="DL1254" s="1811"/>
      <c r="DM1254" s="1811"/>
      <c r="DN1254" s="1811"/>
      <c r="DO1254" s="1811"/>
      <c r="DP1254" s="1836"/>
      <c r="DQ1254" s="1822"/>
      <c r="DR1254" s="1822"/>
      <c r="DS1254" s="1822"/>
      <c r="DT1254" s="1811"/>
      <c r="DU1254" s="1836"/>
      <c r="DV1254" s="1822"/>
      <c r="DW1254" s="1822"/>
      <c r="DX1254" s="1837"/>
      <c r="DY1254" s="1811"/>
      <c r="DZ1254" s="1822"/>
      <c r="EA1254" s="1822"/>
      <c r="EB1254" s="1837"/>
      <c r="EC1254" s="1837"/>
      <c r="ED1254" s="1811"/>
      <c r="EE1254" s="1822"/>
      <c r="EF1254" s="1822"/>
      <c r="EG1254" s="1822"/>
      <c r="EH1254" s="1836"/>
      <c r="EI1254" s="1811"/>
      <c r="EJ1254" s="1811"/>
      <c r="EK1254" s="1811"/>
      <c r="EL1254" s="1811"/>
      <c r="EM1254" s="1811"/>
      <c r="EN1254" s="1811"/>
      <c r="EO1254" s="1811"/>
      <c r="EP1254" s="1811"/>
      <c r="EQ1254" s="1811"/>
      <c r="ER1254" s="1811"/>
      <c r="ES1254" s="1811"/>
      <c r="ET1254" s="1811"/>
      <c r="EU1254" s="1811"/>
      <c r="EV1254" s="1811"/>
      <c r="EW1254" s="1811"/>
      <c r="EX1254" s="1811"/>
    </row>
    <row r="1255" spans="2:154" ht="12.75" hidden="1" customHeight="1" outlineLevel="2">
      <c r="B1255" s="437" t="s">
        <v>412</v>
      </c>
      <c r="C1255" s="1577"/>
      <c r="D1255" s="933"/>
      <c r="E1255" s="933"/>
      <c r="F1255" s="933"/>
      <c r="G1255" s="933"/>
      <c r="H1255" s="933"/>
      <c r="I1255" s="933"/>
      <c r="J1255" s="933"/>
      <c r="K1255" s="933"/>
      <c r="L1255" s="933"/>
      <c r="M1255" s="933"/>
      <c r="N1255" s="933"/>
      <c r="O1255" s="933"/>
      <c r="P1255" s="933"/>
      <c r="Q1255" s="933"/>
      <c r="R1255" s="933"/>
      <c r="S1255" s="933"/>
      <c r="T1255" s="933"/>
      <c r="U1255" s="933"/>
      <c r="V1255" s="933"/>
      <c r="W1255" s="933"/>
      <c r="X1255" s="1061"/>
      <c r="Y1255" s="933">
        <f>+AD1255/(1+AD1260)</f>
      </c>
      <c r="Z1255" s="933">
        <f>+AE1255/(1+AE1260)</f>
      </c>
      <c r="AA1255" s="933">
        <f t="shared" si="2584"/>
      </c>
      <c r="AB1255" s="933">
        <f>+AC1255-SUM(Y1255:AA1255)</f>
      </c>
      <c r="AC1255" s="1061">
        <f t="shared" si="2584"/>
      </c>
      <c r="AD1255" s="933">
        <f t="shared" si="2584"/>
      </c>
      <c r="AE1255" s="933">
        <f t="shared" si="2584"/>
      </c>
      <c r="AF1255" s="933">
        <f t="shared" si="2584"/>
      </c>
      <c r="AG1255" s="933">
        <f t="shared" si="2584"/>
      </c>
      <c r="AH1255" s="1061">
        <f>SUM(AD1255:AG1255)</f>
      </c>
      <c r="AI1255" s="933">
        <f t="shared" si="2585"/>
      </c>
      <c r="AJ1255" s="933">
        <f t="shared" si="2585"/>
      </c>
      <c r="AK1255" s="933">
        <f t="shared" si="2585"/>
      </c>
      <c r="AL1255" s="933">
        <f t="shared" si="2585"/>
      </c>
      <c r="AM1255" s="1061">
        <f>SUM(AI1255:AL1255)</f>
      </c>
      <c r="AN1255" s="933">
        <f t="shared" si="2586"/>
      </c>
      <c r="AO1255" s="933">
        <f t="shared" si="2586"/>
      </c>
      <c r="AP1255" s="933">
        <f t="shared" si="2586"/>
      </c>
      <c r="AQ1255" s="933">
        <f t="shared" si="2586"/>
      </c>
      <c r="AR1255" s="1061">
        <f>SUM(AN1255:AQ1255)</f>
      </c>
      <c r="AS1255" s="933">
        <f t="shared" si="2587"/>
      </c>
      <c r="AT1255" s="933">
        <f t="shared" si="2587"/>
      </c>
      <c r="AU1255" s="933">
        <f t="shared" si="2587"/>
      </c>
      <c r="AV1255" s="933">
        <f t="shared" si="2587"/>
      </c>
      <c r="AW1255" s="1061">
        <f>SUM(AS1255:AV1255)</f>
      </c>
      <c r="AX1255" s="933">
        <f>+BC1255/(1+BC1260)</f>
      </c>
      <c r="AY1255" s="933">
        <f>+BD1255/(1+BD1260)</f>
      </c>
      <c r="AZ1255" s="933">
        <v>55</v>
      </c>
      <c r="BA1255" s="933">
        <v>80</v>
      </c>
      <c r="BB1255" s="1061">
        <f>SUM(AX1255:BA1255)</f>
      </c>
      <c r="BC1255" s="933">
        <v>68.8</v>
      </c>
      <c r="BD1255" s="933">
        <v>80.5</v>
      </c>
      <c r="BE1255" s="933">
        <f>+(1+BE1260)*AZ1255</f>
      </c>
      <c r="BF1255" s="933">
        <f>+(1+BF1260)*BA1255</f>
      </c>
      <c r="BG1255" s="313">
        <f>SUM(BC1255:BF1255)</f>
      </c>
      <c r="BH1255" s="933">
        <f>+(1+BH1260)*BC1255</f>
      </c>
      <c r="BI1255" s="33">
        <v>86.727479999999986</v>
      </c>
      <c r="BJ1255" s="33">
        <v>63.5</v>
      </c>
      <c r="BK1255" s="33">
        <f>BF1255*1.04</f>
      </c>
      <c r="BL1255" s="313">
        <f>SUM(BH1255:BK1255)</f>
      </c>
      <c r="BM1255" s="33">
        <f>BH1255*1.06</f>
      </c>
      <c r="BN1255" s="33">
        <f>BI1255*1.208</f>
      </c>
      <c r="BO1255" s="33">
        <f>BJ1255*1.193</f>
      </c>
      <c r="BP1255" s="33">
        <f>BK1255*1.051</f>
      </c>
      <c r="BQ1255" s="313">
        <f>SUM(BM1255:BP1255)</f>
      </c>
      <c r="BR1255" s="352">
        <f>BM1255*(1+4.5%)</f>
      </c>
      <c r="BS1255" s="352">
        <f>BN1255*(1-5.6%)</f>
      </c>
      <c r="BT1255" s="352">
        <f>BO1255*(1-5.9%)</f>
      </c>
      <c r="BU1255" s="761">
        <f>BP1255*(1-1.6%)</f>
      </c>
      <c r="BV1255" s="1061">
        <f>SUM(BR1255:BU1255)</f>
      </c>
      <c r="BW1255" s="933">
        <f t="shared" si="2588"/>
      </c>
      <c r="BX1255" s="933">
        <f t="shared" si="2588"/>
      </c>
      <c r="BY1255" s="933">
        <f t="shared" si="2588"/>
      </c>
      <c r="BZ1255" s="933">
        <f t="shared" si="2588"/>
      </c>
      <c r="CA1255" s="313">
        <f>SUM(BW1255:BZ1255)</f>
      </c>
      <c r="CB1255" s="933">
        <f t="shared" si="2589"/>
      </c>
      <c r="CC1255" s="933">
        <f t="shared" si="2589"/>
      </c>
      <c r="CD1255" s="933">
        <f t="shared" si="2589"/>
      </c>
      <c r="CE1255" s="933">
        <f t="shared" si="2589"/>
      </c>
      <c r="CF1255" s="1061">
        <f>SUM(CB1255:CE1255)</f>
      </c>
      <c r="CG1255" s="933">
        <f t="shared" si="2590"/>
      </c>
      <c r="CH1255" s="933">
        <f t="shared" si="2590"/>
      </c>
      <c r="CI1255" s="933">
        <f t="shared" si="2590"/>
      </c>
      <c r="CJ1255" s="933">
        <f t="shared" si="2590"/>
      </c>
      <c r="CK1255" s="1061">
        <f>SUM(CG1255:CJ1255)</f>
      </c>
      <c r="CL1255" s="933">
        <f t="shared" si="2591"/>
      </c>
      <c r="CM1255" s="933">
        <f t="shared" si="2591"/>
      </c>
      <c r="CN1255" s="933">
        <f t="shared" si="2591"/>
      </c>
      <c r="CO1255" s="933">
        <f t="shared" si="2591"/>
      </c>
      <c r="CP1255" s="1061">
        <f>SUM(CL1255:CO1255)</f>
      </c>
      <c r="CQ1255" s="933">
        <f>+(1+CQ1260)*CL1255</f>
      </c>
      <c r="CR1255" s="933">
        <f>+(1+CR1260)*CM1255</f>
      </c>
      <c r="CS1255" s="1227"/>
      <c r="CT1255" s="1227"/>
      <c r="CU1255" s="2374"/>
      <c r="CV1255" s="1227"/>
      <c r="CW1255" s="1227"/>
      <c r="CX1255" s="1227"/>
      <c r="CY1255" s="1231"/>
      <c r="CZ1255" s="1228"/>
      <c r="DA1255" s="1322"/>
      <c r="DB1255" s="1357"/>
      <c r="DC1255" s="1357"/>
      <c r="DD1255" s="1345"/>
      <c r="DE1255" s="1811"/>
      <c r="DF1255" s="1836"/>
      <c r="DG1255" s="1822"/>
      <c r="DH1255" s="1822"/>
      <c r="DI1255" s="1837"/>
      <c r="DJ1255" s="1811"/>
      <c r="DK1255" s="1811"/>
      <c r="DL1255" s="1811"/>
      <c r="DM1255" s="1811"/>
      <c r="DN1255" s="1811"/>
      <c r="DO1255" s="1811"/>
      <c r="DP1255" s="1836"/>
      <c r="DQ1255" s="1822"/>
      <c r="DR1255" s="1822"/>
      <c r="DS1255" s="1822"/>
      <c r="DT1255" s="1811"/>
      <c r="DU1255" s="1836"/>
      <c r="DV1255" s="1822"/>
      <c r="DW1255" s="1822"/>
      <c r="DX1255" s="1837"/>
      <c r="DY1255" s="1811"/>
      <c r="DZ1255" s="1822"/>
      <c r="EA1255" s="1822"/>
      <c r="EB1255" s="1837"/>
      <c r="EC1255" s="1837"/>
      <c r="ED1255" s="1811"/>
      <c r="EE1255" s="1822"/>
      <c r="EF1255" s="1822"/>
      <c r="EG1255" s="1822"/>
      <c r="EH1255" s="1836"/>
      <c r="EI1255" s="1811"/>
      <c r="EJ1255" s="1811"/>
      <c r="EK1255" s="1811"/>
      <c r="EL1255" s="1811"/>
      <c r="EM1255" s="1811"/>
      <c r="EN1255" s="1811"/>
      <c r="EO1255" s="1811"/>
      <c r="EP1255" s="1811"/>
      <c r="EQ1255" s="1811"/>
      <c r="ER1255" s="1811"/>
      <c r="ES1255" s="1811"/>
      <c r="ET1255" s="1811"/>
      <c r="EU1255" s="1811"/>
      <c r="EV1255" s="1811"/>
      <c r="EW1255" s="1811"/>
      <c r="EX1255" s="1811"/>
    </row>
    <row r="1256" spans="2:154" ht="12.75" hidden="1" customHeight="1" outlineLevel="2">
      <c r="B1256" s="437" t="s">
        <v>413</v>
      </c>
      <c r="C1256" s="1577"/>
      <c r="D1256" s="933"/>
      <c r="E1256" s="933"/>
      <c r="F1256" s="933"/>
      <c r="G1256" s="933"/>
      <c r="H1256" s="933"/>
      <c r="I1256" s="933"/>
      <c r="J1256" s="933"/>
      <c r="K1256" s="933"/>
      <c r="L1256" s="933"/>
      <c r="M1256" s="933"/>
      <c r="N1256" s="933"/>
      <c r="O1256" s="933"/>
      <c r="P1256" s="933"/>
      <c r="Q1256" s="933"/>
      <c r="R1256" s="933"/>
      <c r="S1256" s="933"/>
      <c r="T1256" s="933"/>
      <c r="U1256" s="933"/>
      <c r="V1256" s="933"/>
      <c r="W1256" s="933"/>
      <c r="X1256" s="1061"/>
      <c r="Y1256" s="933">
        <f t="shared" ref="Y1256:BJ1256" si="2592">+Y1255+Y1254</f>
      </c>
      <c r="Z1256" s="933">
        <f t="shared" si="2592"/>
      </c>
      <c r="AA1256" s="933">
        <f t="shared" si="2592"/>
      </c>
      <c r="AB1256" s="933">
        <f t="shared" si="2592"/>
      </c>
      <c r="AC1256" s="1061">
        <f t="shared" si="2592"/>
      </c>
      <c r="AD1256" s="933">
        <f t="shared" si="2592"/>
      </c>
      <c r="AE1256" s="933">
        <f t="shared" si="2592"/>
      </c>
      <c r="AF1256" s="933">
        <f t="shared" si="2592"/>
      </c>
      <c r="AG1256" s="933">
        <f t="shared" si="2592"/>
      </c>
      <c r="AH1256" s="1061">
        <f t="shared" si="2592"/>
      </c>
      <c r="AI1256" s="933">
        <f t="shared" si="2592"/>
      </c>
      <c r="AJ1256" s="933">
        <f t="shared" si="2592"/>
      </c>
      <c r="AK1256" s="933">
        <f t="shared" si="2592"/>
      </c>
      <c r="AL1256" s="933">
        <f t="shared" si="2592"/>
      </c>
      <c r="AM1256" s="1061">
        <f t="shared" si="2592"/>
      </c>
      <c r="AN1256" s="933">
        <f t="shared" si="2592"/>
      </c>
      <c r="AO1256" s="933">
        <f t="shared" si="2592"/>
      </c>
      <c r="AP1256" s="933">
        <f t="shared" si="2592"/>
      </c>
      <c r="AQ1256" s="933">
        <f t="shared" si="2592"/>
      </c>
      <c r="AR1256" s="1061">
        <f t="shared" si="2592"/>
      </c>
      <c r="AS1256" s="933">
        <f t="shared" si="2592"/>
      </c>
      <c r="AT1256" s="933">
        <f t="shared" si="2592"/>
      </c>
      <c r="AU1256" s="933">
        <f t="shared" si="2592"/>
      </c>
      <c r="AV1256" s="933">
        <f t="shared" si="2592"/>
      </c>
      <c r="AW1256" s="1061">
        <f t="shared" si="2592"/>
      </c>
      <c r="AX1256" s="933">
        <f t="shared" si="2592"/>
      </c>
      <c r="AY1256" s="933">
        <f t="shared" si="2592"/>
      </c>
      <c r="AZ1256" s="933">
        <f t="shared" si="2592"/>
      </c>
      <c r="BA1256" s="933">
        <f t="shared" si="2592"/>
      </c>
      <c r="BB1256" s="1061">
        <f t="shared" si="2592"/>
      </c>
      <c r="BC1256" s="933">
        <f t="shared" si="2592"/>
      </c>
      <c r="BD1256" s="933">
        <f t="shared" si="2592"/>
      </c>
      <c r="BE1256" s="933">
        <f t="shared" si="2592"/>
      </c>
      <c r="BF1256" s="933">
        <f t="shared" si="2592"/>
      </c>
      <c r="BG1256" s="1061">
        <f t="shared" si="2592"/>
      </c>
      <c r="BH1256" s="933">
        <f t="shared" si="2592"/>
      </c>
      <c r="BI1256" s="933">
        <f t="shared" si="2592"/>
      </c>
      <c r="BJ1256" s="933">
        <f t="shared" si="2592"/>
      </c>
      <c r="BK1256" s="933">
        <f>+BK1254+BK1255</f>
      </c>
      <c r="BL1256" s="313">
        <f>SUM(BH1256:BK1256)</f>
      </c>
      <c r="BM1256" s="933">
        <f>+BM1255+BM1254</f>
      </c>
      <c r="BN1256" s="933">
        <f>+BN1255+BN1254</f>
      </c>
      <c r="BO1256" s="933">
        <f>+BO1255+BO1254</f>
      </c>
      <c r="BP1256" s="933">
        <f>+BP1254+BP1255</f>
      </c>
      <c r="BQ1256" s="313">
        <f>SUM(BM1256:BP1256)</f>
      </c>
      <c r="BR1256" s="933">
        <f>+BR1255+BR1254</f>
      </c>
      <c r="BS1256" s="933">
        <f>+BS1255+BS1254</f>
      </c>
      <c r="BT1256" s="933">
        <f>+BT1255+BT1254</f>
      </c>
      <c r="BU1256" s="933">
        <f>+BU1254+BU1255</f>
      </c>
      <c r="BV1256" s="1061">
        <f>SUM(BR1256:BU1256)</f>
      </c>
      <c r="BW1256" s="933">
        <f>+BW1255+BW1254</f>
      </c>
      <c r="BX1256" s="933">
        <f>+BX1255+BX1254</f>
      </c>
      <c r="BY1256" s="933">
        <f>+BY1255+BY1254</f>
      </c>
      <c r="BZ1256" s="933">
        <f>+BZ1255+BZ1254</f>
      </c>
      <c r="CA1256" s="313">
        <f>SUM(BW1256:BZ1256)</f>
      </c>
      <c r="CB1256" s="933">
        <f>+CB1255+CB1254</f>
      </c>
      <c r="CC1256" s="933">
        <f>+CC1255+CC1254</f>
      </c>
      <c r="CD1256" s="933">
        <f>+CD1255+CD1254</f>
      </c>
      <c r="CE1256" s="933">
        <f>+CE1255+CE1254</f>
      </c>
      <c r="CF1256" s="1061">
        <f>SUM(CB1256:CE1256)</f>
      </c>
      <c r="CG1256" s="933">
        <f>+CG1255+CG1254</f>
      </c>
      <c r="CH1256" s="933">
        <f>+CH1255+CH1254</f>
      </c>
      <c r="CI1256" s="933">
        <f>+CI1255+CI1254</f>
      </c>
      <c r="CJ1256" s="933">
        <f>+CJ1255+CJ1254</f>
      </c>
      <c r="CK1256" s="1061">
        <f>SUM(CG1256:CJ1256)</f>
      </c>
      <c r="CL1256" s="933">
        <f>+CL1255+CL1254</f>
      </c>
      <c r="CM1256" s="933">
        <f>+CM1255+CM1254</f>
      </c>
      <c r="CN1256" s="933">
        <f>+CN1255+CN1254</f>
      </c>
      <c r="CO1256" s="933">
        <f>+CO1255+CO1254</f>
      </c>
      <c r="CP1256" s="1061">
        <f>SUM(CL1256:CO1256)</f>
      </c>
      <c r="CQ1256" s="933">
        <f>+CQ1255+CQ1254</f>
      </c>
      <c r="CR1256" s="933">
        <f>+CR1255+CR1254</f>
      </c>
      <c r="CS1256" s="1227"/>
      <c r="CT1256" s="1227"/>
      <c r="CU1256" s="2374"/>
      <c r="CV1256" s="1227"/>
      <c r="CW1256" s="1227"/>
      <c r="CX1256" s="1227"/>
      <c r="CY1256" s="1231"/>
      <c r="CZ1256" s="2374"/>
      <c r="DA1256" s="1270"/>
      <c r="DB1256" s="1227"/>
      <c r="DC1256" s="1227"/>
      <c r="DD1256" s="1231"/>
      <c r="DE1256" s="1863"/>
      <c r="DF1256" s="2375"/>
      <c r="DG1256" s="1842"/>
      <c r="DH1256" s="1842"/>
      <c r="DI1256" s="1942"/>
      <c r="DJ1256" s="1863"/>
      <c r="DK1256" s="1863"/>
      <c r="DL1256" s="1863"/>
      <c r="DM1256" s="1863"/>
      <c r="DN1256" s="1863"/>
      <c r="DO1256" s="1863"/>
      <c r="DP1256" s="2375"/>
      <c r="DQ1256" s="1842"/>
      <c r="DR1256" s="1842"/>
      <c r="DS1256" s="1842"/>
      <c r="DT1256" s="1863"/>
      <c r="DU1256" s="2375"/>
      <c r="DV1256" s="1842"/>
      <c r="DW1256" s="1842"/>
      <c r="DX1256" s="1942"/>
      <c r="DY1256" s="1863"/>
      <c r="DZ1256" s="1842"/>
      <c r="EA1256" s="1842"/>
      <c r="EB1256" s="1942"/>
      <c r="EC1256" s="1942"/>
      <c r="ED1256" s="1863"/>
      <c r="EE1256" s="1842"/>
      <c r="EF1256" s="1842"/>
      <c r="EG1256" s="1842"/>
      <c r="EH1256" s="2375"/>
      <c r="EI1256" s="1863"/>
      <c r="EJ1256" s="1863"/>
      <c r="EK1256" s="1863"/>
      <c r="EL1256" s="1863"/>
      <c r="EM1256" s="1863"/>
      <c r="EN1256" s="1863"/>
      <c r="EO1256" s="1863"/>
      <c r="EP1256" s="1863"/>
      <c r="EQ1256" s="1863"/>
      <c r="ER1256" s="1863"/>
      <c r="ES1256" s="1863"/>
      <c r="ET1256" s="1863"/>
      <c r="EU1256" s="1863"/>
      <c r="EV1256" s="1863"/>
      <c r="EW1256" s="1863"/>
      <c r="EX1256" s="1863"/>
    </row>
    <row r="1257" spans="2:154" ht="12.75" hidden="1" customHeight="1" outlineLevel="2">
      <c r="B1257" s="442"/>
      <c r="C1257" s="1577"/>
      <c r="D1257" s="933"/>
      <c r="E1257" s="933"/>
      <c r="F1257" s="933"/>
      <c r="G1257" s="933"/>
      <c r="H1257" s="933"/>
      <c r="I1257" s="933"/>
      <c r="J1257" s="933"/>
      <c r="K1257" s="933"/>
      <c r="L1257" s="933"/>
      <c r="M1257" s="933"/>
      <c r="N1257" s="933"/>
      <c r="O1257" s="933"/>
      <c r="P1257" s="933"/>
      <c r="Q1257" s="933"/>
      <c r="R1257" s="933"/>
      <c r="S1257" s="933"/>
      <c r="T1257" s="933"/>
      <c r="U1257" s="933"/>
      <c r="V1257" s="933"/>
      <c r="W1257" s="933"/>
      <c r="X1257" s="1061"/>
      <c r="Y1257" s="933"/>
      <c r="Z1257" s="933"/>
      <c r="AA1257" s="933"/>
      <c r="AB1257" s="933"/>
      <c r="AC1257" s="1061"/>
      <c r="AD1257" s="933"/>
      <c r="AE1257" s="933"/>
      <c r="AF1257" s="933"/>
      <c r="AG1257" s="933"/>
      <c r="AH1257" s="1061"/>
      <c r="AI1257" s="933"/>
      <c r="AJ1257" s="933"/>
      <c r="AK1257" s="933"/>
      <c r="AL1257" s="933"/>
      <c r="AM1257" s="1061"/>
      <c r="AN1257" s="933"/>
      <c r="AO1257" s="933"/>
      <c r="AP1257" s="933"/>
      <c r="AQ1257" s="933"/>
      <c r="AR1257" s="1061"/>
      <c r="AS1257" s="933"/>
      <c r="AT1257" s="933"/>
      <c r="AU1257" s="933"/>
      <c r="AV1257" s="933"/>
      <c r="AW1257" s="1061"/>
      <c r="AX1257" s="933"/>
      <c r="AY1257" s="933"/>
      <c r="AZ1257" s="933"/>
      <c r="BA1257" s="933"/>
      <c r="BB1257" s="1061"/>
      <c r="BC1257" s="933"/>
      <c r="BD1257" s="933"/>
      <c r="BE1257" s="933"/>
      <c r="BF1257" s="933"/>
      <c r="BG1257" s="313"/>
      <c r="BH1257" s="933"/>
      <c r="BI1257" s="933"/>
      <c r="BJ1257" s="933"/>
      <c r="BK1257" s="933"/>
      <c r="BL1257" s="313"/>
      <c r="BM1257" s="933"/>
      <c r="BN1257" s="933"/>
      <c r="BO1257" s="933"/>
      <c r="BP1257" s="933"/>
      <c r="BQ1257" s="313"/>
      <c r="BR1257" s="933"/>
      <c r="BS1257" s="933"/>
      <c r="BT1257" s="933"/>
      <c r="BU1257" s="933"/>
      <c r="BV1257" s="1061"/>
      <c r="BW1257" s="933"/>
      <c r="BX1257" s="933"/>
      <c r="BY1257" s="933"/>
      <c r="BZ1257" s="933"/>
      <c r="CA1257" s="1060"/>
      <c r="CB1257" s="933"/>
      <c r="CC1257" s="933"/>
      <c r="CD1257" s="933"/>
      <c r="CE1257" s="933"/>
      <c r="CF1257" s="313"/>
      <c r="CG1257" s="933"/>
      <c r="CH1257" s="933"/>
      <c r="CI1257" s="933"/>
      <c r="CJ1257" s="933"/>
      <c r="CK1257" s="313"/>
      <c r="CL1257" s="961"/>
      <c r="CM1257" s="933"/>
      <c r="CN1257" s="933"/>
      <c r="CO1257" s="933"/>
      <c r="CP1257" s="313"/>
      <c r="CQ1257" s="933"/>
      <c r="CR1257" s="933"/>
      <c r="CS1257" s="1227"/>
      <c r="CT1257" s="1227"/>
      <c r="CU1257" s="1228"/>
      <c r="CV1257" s="1227"/>
      <c r="CW1257" s="1227"/>
      <c r="CX1257" s="1227"/>
      <c r="CY1257" s="1231"/>
      <c r="CZ1257" s="1228"/>
      <c r="DA1257" s="1322"/>
      <c r="DB1257" s="1357"/>
      <c r="DC1257" s="1357"/>
      <c r="DD1257" s="1345"/>
      <c r="DE1257" s="1811"/>
      <c r="DF1257" s="1836"/>
      <c r="DG1257" s="1822"/>
      <c r="DH1257" s="1822"/>
      <c r="DI1257" s="1837"/>
      <c r="DJ1257" s="1811"/>
      <c r="DK1257" s="1811"/>
      <c r="DL1257" s="1811"/>
      <c r="DM1257" s="1811"/>
      <c r="DN1257" s="1811"/>
      <c r="DO1257" s="1811"/>
      <c r="DP1257" s="1836"/>
      <c r="DQ1257" s="1822"/>
      <c r="DR1257" s="1822"/>
      <c r="DS1257" s="1822"/>
      <c r="DT1257" s="1811"/>
      <c r="DU1257" s="1836"/>
      <c r="DV1257" s="1822"/>
      <c r="DW1257" s="1822"/>
      <c r="DX1257" s="1837"/>
      <c r="DY1257" s="1811"/>
      <c r="DZ1257" s="1822"/>
      <c r="EA1257" s="1822"/>
      <c r="EB1257" s="1837"/>
      <c r="EC1257" s="1837"/>
      <c r="ED1257" s="1811"/>
      <c r="EE1257" s="1822"/>
      <c r="EF1257" s="1822"/>
      <c r="EG1257" s="1822"/>
      <c r="EH1257" s="1836"/>
      <c r="EI1257" s="1811"/>
      <c r="EJ1257" s="1811"/>
      <c r="EK1257" s="1811"/>
      <c r="EL1257" s="1811"/>
      <c r="EM1257" s="1811"/>
      <c r="EN1257" s="1811"/>
      <c r="EO1257" s="1811"/>
      <c r="EP1257" s="1811"/>
      <c r="EQ1257" s="1811"/>
      <c r="ER1257" s="1811"/>
      <c r="ES1257" s="1811"/>
      <c r="ET1257" s="1811"/>
      <c r="EU1257" s="1811"/>
      <c r="EV1257" s="1811"/>
      <c r="EW1257" s="1811"/>
      <c r="EX1257" s="1811"/>
    </row>
    <row r="1258" spans="2:154" ht="12.75" hidden="1" customHeight="1" outlineLevel="2">
      <c r="B1258" s="439" t="s">
        <v>364</v>
      </c>
      <c r="C1258" s="1577"/>
      <c r="D1258" s="933"/>
      <c r="E1258" s="933"/>
      <c r="F1258" s="933"/>
      <c r="G1258" s="933"/>
      <c r="H1258" s="933"/>
      <c r="I1258" s="933"/>
      <c r="J1258" s="933"/>
      <c r="K1258" s="933"/>
      <c r="L1258" s="933"/>
      <c r="M1258" s="933"/>
      <c r="N1258" s="933"/>
      <c r="O1258" s="933"/>
      <c r="P1258" s="933"/>
      <c r="Q1258" s="933"/>
      <c r="R1258" s="933"/>
      <c r="S1258" s="933"/>
      <c r="T1258" s="933"/>
      <c r="U1258" s="933"/>
      <c r="V1258" s="933"/>
      <c r="W1258" s="933"/>
      <c r="X1258" s="1061"/>
      <c r="Y1258" s="933"/>
      <c r="Z1258" s="933"/>
      <c r="AA1258" s="933"/>
      <c r="AB1258" s="933"/>
      <c r="AC1258" s="1061"/>
      <c r="AD1258" s="933"/>
      <c r="AE1258" s="933"/>
      <c r="AF1258" s="933"/>
      <c r="AG1258" s="933"/>
      <c r="AH1258" s="1061"/>
      <c r="AI1258" s="933"/>
      <c r="AJ1258" s="933"/>
      <c r="AK1258" s="933"/>
      <c r="AL1258" s="933"/>
      <c r="AM1258" s="1061"/>
      <c r="AN1258" s="933"/>
      <c r="AO1258" s="933"/>
      <c r="AP1258" s="933"/>
      <c r="AQ1258" s="933"/>
      <c r="AR1258" s="1061"/>
      <c r="AS1258" s="933"/>
      <c r="AT1258" s="933"/>
      <c r="AU1258" s="933"/>
      <c r="AV1258" s="933"/>
      <c r="AW1258" s="1061"/>
      <c r="AX1258" s="933"/>
      <c r="AY1258" s="933"/>
      <c r="AZ1258" s="933"/>
      <c r="BA1258" s="933"/>
      <c r="BB1258" s="1061"/>
      <c r="BC1258" s="933"/>
      <c r="BD1258" s="933"/>
      <c r="BE1258" s="933"/>
      <c r="BF1258" s="933"/>
      <c r="BG1258" s="313"/>
      <c r="BH1258" s="933"/>
      <c r="BI1258" s="933"/>
      <c r="BJ1258" s="933"/>
      <c r="BK1258" s="933"/>
      <c r="BL1258" s="313"/>
      <c r="BM1258" s="933"/>
      <c r="BN1258" s="933"/>
      <c r="BO1258" s="933"/>
      <c r="BP1258" s="933"/>
      <c r="BQ1258" s="313"/>
      <c r="BR1258" s="933"/>
      <c r="BS1258" s="933"/>
      <c r="BT1258" s="933"/>
      <c r="BU1258" s="933"/>
      <c r="BV1258" s="1061"/>
      <c r="BW1258" s="933"/>
      <c r="BX1258" s="933"/>
      <c r="BY1258" s="933"/>
      <c r="BZ1258" s="933"/>
      <c r="CA1258" s="313"/>
      <c r="CB1258" s="933"/>
      <c r="CC1258" s="933"/>
      <c r="CD1258" s="933"/>
      <c r="CE1258" s="933"/>
      <c r="CF1258" s="313"/>
      <c r="CG1258" s="933"/>
      <c r="CH1258" s="933"/>
      <c r="CI1258" s="933"/>
      <c r="CJ1258" s="933"/>
      <c r="CK1258" s="313"/>
      <c r="CL1258" s="961"/>
      <c r="CM1258" s="933"/>
      <c r="CN1258" s="933"/>
      <c r="CO1258" s="933"/>
      <c r="CP1258" s="313"/>
      <c r="CQ1258" s="933"/>
      <c r="CR1258" s="933"/>
      <c r="CS1258" s="1227"/>
      <c r="CT1258" s="1227"/>
      <c r="CU1258" s="1228"/>
      <c r="CV1258" s="1227"/>
      <c r="CW1258" s="1227"/>
      <c r="CX1258" s="1227"/>
      <c r="CY1258" s="1231"/>
      <c r="CZ1258" s="1228"/>
      <c r="DA1258" s="1322"/>
      <c r="DB1258" s="1357"/>
      <c r="DC1258" s="1357"/>
      <c r="DD1258" s="1345"/>
      <c r="DE1258" s="1811"/>
      <c r="DF1258" s="1836"/>
      <c r="DG1258" s="1822"/>
      <c r="DH1258" s="1822"/>
      <c r="DI1258" s="1837"/>
      <c r="DJ1258" s="1811"/>
      <c r="DK1258" s="1811"/>
      <c r="DL1258" s="1811"/>
      <c r="DM1258" s="1811"/>
      <c r="DN1258" s="1811"/>
      <c r="DO1258" s="1811"/>
      <c r="DP1258" s="1836"/>
      <c r="DQ1258" s="1822"/>
      <c r="DR1258" s="1822"/>
      <c r="DS1258" s="1822"/>
      <c r="DT1258" s="1811"/>
      <c r="DU1258" s="1836"/>
      <c r="DV1258" s="1822"/>
      <c r="DW1258" s="1822"/>
      <c r="DX1258" s="1837"/>
      <c r="DY1258" s="1811"/>
      <c r="DZ1258" s="1822"/>
      <c r="EA1258" s="1822"/>
      <c r="EB1258" s="1837"/>
      <c r="EC1258" s="1837"/>
      <c r="ED1258" s="1811"/>
      <c r="EE1258" s="1822"/>
      <c r="EF1258" s="1822"/>
      <c r="EG1258" s="1822"/>
      <c r="EH1258" s="1836"/>
      <c r="EI1258" s="1811"/>
      <c r="EJ1258" s="1811"/>
      <c r="EK1258" s="1811"/>
      <c r="EL1258" s="1811"/>
      <c r="EM1258" s="1811"/>
      <c r="EN1258" s="1811"/>
      <c r="EO1258" s="1811"/>
      <c r="EP1258" s="1811"/>
      <c r="EQ1258" s="1811"/>
      <c r="ER1258" s="1811"/>
      <c r="ES1258" s="1811"/>
      <c r="ET1258" s="1811"/>
      <c r="EU1258" s="1811"/>
      <c r="EV1258" s="1811"/>
      <c r="EW1258" s="1811"/>
      <c r="EX1258" s="1811"/>
    </row>
    <row r="1259" spans="2:154" ht="12.75" hidden="1" customHeight="1" outlineLevel="2">
      <c r="B1259" s="443" t="s">
        <v>156</v>
      </c>
      <c r="C1259" s="1577"/>
      <c r="D1259" s="933"/>
      <c r="E1259" s="933"/>
      <c r="F1259" s="933"/>
      <c r="G1259" s="933"/>
      <c r="H1259" s="933"/>
      <c r="I1259" s="933"/>
      <c r="J1259" s="933"/>
      <c r="K1259" s="933"/>
      <c r="L1259" s="933"/>
      <c r="M1259" s="933"/>
      <c r="N1259" s="933"/>
      <c r="O1259" s="933"/>
      <c r="P1259" s="933"/>
      <c r="Q1259" s="933"/>
      <c r="R1259" s="933"/>
      <c r="S1259" s="933"/>
      <c r="T1259" s="933"/>
      <c r="U1259" s="933"/>
      <c r="V1259" s="933"/>
      <c r="W1259" s="933"/>
      <c r="X1259" s="1060"/>
      <c r="Y1259" s="933"/>
      <c r="Z1259" s="933"/>
      <c r="AA1259" s="933"/>
      <c r="AB1259" s="933"/>
      <c r="AC1259" s="1060"/>
      <c r="AD1259" s="926">
        <v>6.7000000000000004E-2</v>
      </c>
      <c r="AE1259" s="926">
        <v>0.1</v>
      </c>
      <c r="AF1259" s="926">
        <v>0.11</v>
      </c>
      <c r="AG1259" s="926"/>
      <c r="AH1259" s="1060">
        <v>0.09</v>
      </c>
      <c r="AI1259" s="926">
        <v>0.218</v>
      </c>
      <c r="AJ1259" s="926">
        <v>0.13300000000000001</v>
      </c>
      <c r="AK1259" s="926">
        <v>0.13700000000000001</v>
      </c>
      <c r="AL1259" s="926">
        <v>-1.7000000000000001E-2</v>
      </c>
      <c r="AM1259" s="1060">
        <f>IF(AH1254="NM","NM",IF(AM1254="NM","NM",IF(AH1254&lt;=0,"NM",IF(AM1254=0,"NM",IF(ABS(AM1254/AH1254-1)&gt;2.5,"NM",IF((ABS(AM1254-AH1254)=ABS(ABS(AM1254)-ABS(AH1254))),(AM1254/AH1254-1),"NM"))))))</f>
      </c>
      <c r="AN1259" s="926">
        <v>-4.9000000000000002E-2</v>
      </c>
      <c r="AO1259" s="926">
        <v>-2.7E-2</v>
      </c>
      <c r="AP1259" s="926">
        <v>-4.5999999999999999E-2</v>
      </c>
      <c r="AQ1259" s="926">
        <v>-3.9E-2</v>
      </c>
      <c r="AR1259" s="1060">
        <f>IF(AM1254="NM","NM",IF(AR1254="NM","NM",IF(AM1254&lt;=0,"NM",IF(AR1254=0,"NM",IF(ABS(AR1254/AM1254-1)&gt;2.5,"NM",IF((ABS(AR1254-AM1254)=ABS(ABS(AR1254)-ABS(AM1254))),(AR1254/AM1254-1),"NM"))))))</f>
      </c>
      <c r="AS1259" s="926">
        <v>-4.1000000000000002E-2</v>
      </c>
      <c r="AT1259" s="926">
        <v>-2.7E-2</v>
      </c>
      <c r="AU1259" s="926">
        <v>-8.0000000000000002E-3</v>
      </c>
      <c r="AV1259" s="926">
        <v>2.7E-2</v>
      </c>
      <c r="AW1259" s="1060">
        <f>IF(AR1254="NM","NM",IF(AW1254="NM","NM",IF(AR1254&lt;=0,"NM",IF(AW1254=0,"NM",IF(ABS(AW1254/AR1254-1)&gt;2.5,"NM",IF((ABS(AW1254-AR1254)=ABS(ABS(AW1254)-ABS(AR1254))),(AW1254/AR1254-1),"NM"))))))</f>
      </c>
      <c r="AX1259" s="926">
        <v>-0.02</v>
      </c>
      <c r="AY1259" s="926">
        <v>-2E-3</v>
      </c>
      <c r="AZ1259" s="926">
        <v>5.1999999999999998E-2</v>
      </c>
      <c r="BA1259" s="926">
        <v>5.7000000000000002E-2</v>
      </c>
      <c r="BB1259" s="1060">
        <f>IF(AW1254="NM","NM",IF(BB1254="NM","NM",IF(AW1254&lt;=0,"NM",IF(BB1254=0,"NM",IF(ABS(BB1254/AW1254-1)&gt;2.5,"NM",IF((ABS(BB1254-AW1254)=ABS(ABS(BB1254)-ABS(AW1254))),(BB1254/AW1254-1),"NM"))))))</f>
      </c>
      <c r="BC1259" s="926">
        <v>0.11</v>
      </c>
      <c r="BD1259" s="926">
        <v>0.11</v>
      </c>
      <c r="BE1259" s="29">
        <v>0.09</v>
      </c>
      <c r="BF1259" s="29">
        <v>0.09</v>
      </c>
      <c r="BG1259" s="1060">
        <f>IF(BB1254="NM","NM",IF(BG1254="NM","NM",IF(BB1254&lt;=0,"NM",IF(BG1254=0,"NM",IF(ABS(BG1254/BB1254-1)&gt;2.5,"NM",IF((ABS(BG1254-BB1254)=ABS(ABS(BG1254)-ABS(BB1254))),(BG1254/BB1254-1),"NM"))))))</f>
      </c>
      <c r="BH1259" s="29">
        <v>-2E-3</v>
      </c>
      <c r="BI1259" s="926">
        <f t="shared" ref="BI1259:BV1260" si="2593">IF(BD1254="NM","NM",IF(BI1254="NM","NM",IF(BD1254&lt;=0,"NM",IF(BI1254=0,"NM",IF(ABS(BI1254/BD1254-1)&gt;2.5,"NM",IF((ABS(BI1254-BD1254)=ABS(ABS(BI1254)-ABS(BD1254))),(BI1254/BD1254-1),"NM"))))))</f>
      </c>
      <c r="BJ1259" s="926">
        <f t="shared" si="2593"/>
      </c>
      <c r="BK1259" s="926">
        <f t="shared" si="2593"/>
      </c>
      <c r="BL1259" s="1060">
        <f>IF(BG1254="NM","NM",IF(BL1254="NM","NM",IF(BG1254&lt;=0,"NM",IF(BL1254=0,"NM",IF(ABS(BL1254/BG1254-1)&gt;2.5,"NM",IF((ABS(BL1254-BG1254)=ABS(ABS(BL1254)-ABS(BG1254))),(BL1254/BG1254-1),"NM"))))))</f>
      </c>
      <c r="BM1259" s="926">
        <f t="shared" si="2593"/>
      </c>
      <c r="BN1259" s="926">
        <f t="shared" si="2593"/>
      </c>
      <c r="BO1259" s="926">
        <f t="shared" si="2593"/>
      </c>
      <c r="BP1259" s="926">
        <f t="shared" si="2593"/>
      </c>
      <c r="BQ1259" s="1060">
        <f t="shared" si="2593"/>
      </c>
      <c r="BR1259" s="926">
        <f t="shared" si="2593"/>
      </c>
      <c r="BS1259" s="926">
        <f t="shared" si="2593"/>
      </c>
      <c r="BT1259" s="926">
        <f t="shared" si="2593"/>
      </c>
      <c r="BU1259" s="926">
        <f>IF(BP1254="NM","NM",IF(BU1254="NM","NM",IF(BP1254&lt;=0,"NM",IF(BU1254=0,"NM",IF(ABS(BU1254/BP1254-1)&gt;2.5,"NM",IF((ABS(BU1254-BP1254)=ABS(ABS(BU1254)-ABS(BP1254))),(BU1254/BP1254-1),"NM"))))))</f>
      </c>
      <c r="BV1259" s="1060">
        <f t="shared" si="2593"/>
      </c>
      <c r="BW1259" s="649">
        <v>-6.0000000000000053E-3</v>
      </c>
      <c r="BX1259" s="649">
        <v>5.2000000000000046E-2</v>
      </c>
      <c r="BY1259" s="649">
        <v>5.699999999999994E-2</v>
      </c>
      <c r="BZ1259" s="649">
        <v>7.2999999999999954E-2</v>
      </c>
      <c r="CA1259" s="2248">
        <f>IF(BV1254="NM","NM",IF(CA1254="NM","NM",IF(BV1254&lt;=0,"NM",IF(CA1254=0,"NM",IF(ABS(CA1254/BV1254-1)&gt;2.5,"NM",IF((ABS(CA1254-BV1254)=ABS(ABS(CA1254)-ABS(BV1254))),(CA1254/BV1254-1),"NM"))))))</f>
      </c>
      <c r="CB1259" s="649">
        <v>-0.03</v>
      </c>
      <c r="CC1259" s="29">
        <v>-0.02</v>
      </c>
      <c r="CD1259" s="29">
        <v>-1.4E-2</v>
      </c>
      <c r="CE1259" s="29">
        <v>0.01</v>
      </c>
      <c r="CF1259" s="2248">
        <f>IF(CA1254="NM","NM",IF(CF1254="NM","NM",IF(CA1254&lt;=0,"NM",IF(CF1254=0,"NM",IF(ABS(CF1254/CA1254-1)&gt;2.5,"NM",IF((ABS(CF1254-CA1254)=ABS(ABS(CF1254)-ABS(CA1254))),(CF1254/CA1254-1),"NM"))))))</f>
      </c>
      <c r="CG1259" s="659">
        <f>+CG1235</f>
      </c>
      <c r="CH1259" s="659">
        <f>+CH1235</f>
      </c>
      <c r="CI1259" s="659">
        <f>+CI1235</f>
      </c>
      <c r="CJ1259" s="659">
        <f>+CJ1235</f>
      </c>
      <c r="CK1259" s="1060">
        <f>IF(CF1254=0, 0, CK1254/CF1254-1)</f>
      </c>
      <c r="CL1259" s="29">
        <f>+CL1235</f>
      </c>
      <c r="CM1259" s="29">
        <f>+CM1235</f>
      </c>
      <c r="CN1259" s="29">
        <v>0.05</v>
      </c>
      <c r="CO1259" s="29">
        <f>+CO1235</f>
      </c>
      <c r="CP1259" s="1060">
        <f>IF(CK1254=0, 0, CP1254/CK1254-1)</f>
      </c>
      <c r="CQ1259" s="659">
        <v>0.03</v>
      </c>
      <c r="CR1259" s="659">
        <v>0.03</v>
      </c>
      <c r="CS1259" s="1208"/>
      <c r="CT1259" s="1208"/>
      <c r="CU1259" s="1536"/>
      <c r="CV1259" s="1208"/>
      <c r="CW1259" s="1208"/>
      <c r="CX1259" s="1208"/>
      <c r="CY1259" s="1232"/>
      <c r="CZ1259" s="1234"/>
      <c r="DA1259" s="1271"/>
      <c r="DB1259" s="1208"/>
      <c r="DC1259" s="1208"/>
      <c r="DD1259" s="1232"/>
      <c r="DE1259" s="1234"/>
      <c r="DF1259" s="1271"/>
      <c r="DG1259" s="1208"/>
      <c r="DH1259" s="1208"/>
      <c r="DI1259" s="1232"/>
      <c r="DJ1259" s="1232"/>
      <c r="DK1259" s="1232"/>
      <c r="DL1259" s="1232"/>
      <c r="DM1259" s="1232"/>
      <c r="DN1259" s="1232"/>
      <c r="DO1259" s="1232"/>
      <c r="DP1259" s="1208"/>
      <c r="DQ1259" s="1208"/>
      <c r="DR1259" s="1208"/>
      <c r="DS1259" s="1208"/>
      <c r="DT1259" s="1234"/>
      <c r="DU1259" s="1208"/>
      <c r="DV1259" s="1208"/>
      <c r="DW1259" s="1208"/>
      <c r="DX1259" s="1232"/>
      <c r="DY1259" s="1234"/>
      <c r="DZ1259" s="1208"/>
      <c r="EA1259" s="1208"/>
      <c r="EB1259" s="1232"/>
      <c r="EC1259" s="1232"/>
      <c r="ED1259" s="1234"/>
      <c r="EE1259" s="1208"/>
      <c r="EF1259" s="1208"/>
      <c r="EG1259" s="1208"/>
      <c r="EH1259" s="1208"/>
      <c r="EI1259" s="1234"/>
      <c r="EJ1259" s="1234"/>
      <c r="EK1259" s="1234"/>
      <c r="EL1259" s="1234"/>
      <c r="EM1259" s="1234"/>
      <c r="EN1259" s="1234"/>
      <c r="EO1259" s="1234"/>
      <c r="EP1259" s="1234"/>
      <c r="EQ1259" s="1234"/>
      <c r="ER1259" s="1234"/>
      <c r="ES1259" s="1234"/>
      <c r="ET1259" s="1234"/>
      <c r="EU1259" s="1234"/>
      <c r="EV1259" s="1234"/>
      <c r="EW1259" s="1234"/>
      <c r="EX1259" s="1234"/>
    </row>
    <row r="1260" spans="2:154" ht="12.75" hidden="1" customHeight="1" outlineLevel="2">
      <c r="B1260" s="443" t="s">
        <v>235</v>
      </c>
      <c r="C1260" s="1577"/>
      <c r="D1260" s="933"/>
      <c r="E1260" s="933"/>
      <c r="F1260" s="933"/>
      <c r="G1260" s="933"/>
      <c r="H1260" s="933"/>
      <c r="I1260" s="933"/>
      <c r="J1260" s="933"/>
      <c r="K1260" s="933"/>
      <c r="L1260" s="933"/>
      <c r="M1260" s="933"/>
      <c r="N1260" s="933"/>
      <c r="O1260" s="933"/>
      <c r="P1260" s="933"/>
      <c r="Q1260" s="933"/>
      <c r="R1260" s="933"/>
      <c r="S1260" s="933"/>
      <c r="T1260" s="933"/>
      <c r="U1260" s="933"/>
      <c r="V1260" s="933"/>
      <c r="W1260" s="933"/>
      <c r="X1260" s="1060"/>
      <c r="Y1260" s="933"/>
      <c r="Z1260" s="933"/>
      <c r="AA1260" s="933"/>
      <c r="AB1260" s="933"/>
      <c r="AC1260" s="1060"/>
      <c r="AD1260" s="926">
        <v>0.38</v>
      </c>
      <c r="AE1260" s="926">
        <v>0.38</v>
      </c>
      <c r="AF1260" s="926">
        <v>0.25</v>
      </c>
      <c r="AG1260" s="926"/>
      <c r="AH1260" s="1060">
        <v>0.32500000000000001</v>
      </c>
      <c r="AI1260" s="926">
        <v>0.21299999999999999</v>
      </c>
      <c r="AJ1260" s="926">
        <v>0.17</v>
      </c>
      <c r="AK1260" s="926">
        <v>0.187</v>
      </c>
      <c r="AL1260" s="926">
        <v>0.04</v>
      </c>
      <c r="AM1260" s="1060">
        <f>IF(AH1255="NM","NM",IF(AM1255="NM","NM",IF(AH1255&lt;=0,"NM",IF(AM1255=0,"NM",IF(ABS(AM1255/AH1255-1)&gt;2.5,"NM",IF((ABS(AM1255-AH1255)=ABS(ABS(AM1255)-ABS(AH1255))),(AM1255/AH1255-1),"NM"))))))</f>
      </c>
      <c r="AN1260" s="926">
        <v>0.08</v>
      </c>
      <c r="AO1260" s="926">
        <v>5.0999999999999997E-2</v>
      </c>
      <c r="AP1260" s="926">
        <v>0.13700000000000001</v>
      </c>
      <c r="AQ1260" s="926">
        <v>0.15</v>
      </c>
      <c r="AR1260" s="1060">
        <f>IF(AM1255="NM","NM",IF(AR1255="NM","NM",IF(AM1255&lt;=0,"NM",IF(AR1255=0,"NM",IF(ABS(AR1255/AM1255-1)&gt;2.5,"NM",IF((ABS(AR1255-AM1255)=ABS(ABS(AR1255)-ABS(AM1255))),(AR1255/AM1255-1),"NM"))))))</f>
      </c>
      <c r="AS1260" s="926">
        <v>0.38500000000000001</v>
      </c>
      <c r="AT1260" s="926">
        <v>0.39400000000000002</v>
      </c>
      <c r="AU1260" s="926">
        <v>0.42499999999999999</v>
      </c>
      <c r="AV1260" s="926">
        <v>0.52100000000000002</v>
      </c>
      <c r="AW1260" s="1060">
        <f>IF(AR1255="NM","NM",IF(AW1255="NM","NM",IF(AR1255&lt;=0,"NM",IF(AW1255=0,"NM",IF(ABS(AW1255/AR1255-1)&gt;2.5,"NM",IF((ABS(AW1255-AR1255)=ABS(ABS(AW1255)-ABS(AR1255))),(AW1255/AR1255-1),"NM"))))))</f>
      </c>
      <c r="AX1260" s="926">
        <v>0.17499999999999999</v>
      </c>
      <c r="AY1260" s="926">
        <v>0.27600000000000002</v>
      </c>
      <c r="AZ1260" s="926">
        <v>0.185</v>
      </c>
      <c r="BA1260" s="926">
        <v>4.5999999999999999E-2</v>
      </c>
      <c r="BB1260" s="1060">
        <f>IF(AW1255="NM","NM",IF(BB1255="NM","NM",IF(AW1255&lt;=0,"NM",IF(BB1255=0,"NM",IF(ABS(BB1255/AW1255-1)&gt;2.5,"NM",IF((ABS(BB1255-AW1255)=ABS(ABS(BB1255)-ABS(AW1255))),(BB1255/AW1255-1),"NM"))))))</f>
      </c>
      <c r="BC1260" s="926">
        <v>0.02</v>
      </c>
      <c r="BD1260" s="926">
        <v>-0.03</v>
      </c>
      <c r="BE1260" s="926">
        <f>IF(ISNUMBER(BE1261),(1+BE1261)*(1+BE$21)-1,"NM")</f>
      </c>
      <c r="BF1260" s="926">
        <f>IF(ISNUMBER(BF1261),(1+BF1261)*(1+BF$21)-1,"NM")</f>
      </c>
      <c r="BG1260" s="1060">
        <f>IF(BB1255="NM","NM",IF(BG1255="NM","NM",IF(BB1255&lt;=0,"NM",IF(BG1255=0,"NM",IF(ABS(BG1255/BB1255-1)&gt;2.5,"NM",IF((ABS(BG1255-BB1255)=ABS(ABS(BG1255)-ABS(BB1255))),(BG1255/BB1255-1),"NM"))))))</f>
      </c>
      <c r="BH1260" s="926">
        <f>IF(ISNUMBER(BH1261),(1+BH1261)*(1+BH$21)-1,"NM")</f>
      </c>
      <c r="BI1260" s="926">
        <f t="shared" si="2593"/>
      </c>
      <c r="BJ1260" s="926">
        <f t="shared" si="2593"/>
      </c>
      <c r="BK1260" s="926">
        <f t="shared" si="2593"/>
      </c>
      <c r="BL1260" s="1060">
        <f>IF(BG1255="NM","NM",IF(BL1255="NM","NM",IF(BG1255&lt;=0,"NM",IF(BL1255=0,"NM",IF(ABS(BL1255/BG1255-1)&gt;2.5,"NM",IF((ABS(BL1255-BG1255)=ABS(ABS(BL1255)-ABS(BG1255))),(BL1255/BG1255-1),"NM"))))))</f>
      </c>
      <c r="BM1260" s="926">
        <f t="shared" si="2593"/>
      </c>
      <c r="BN1260" s="926">
        <f t="shared" si="2593"/>
      </c>
      <c r="BO1260" s="926">
        <f t="shared" si="2593"/>
      </c>
      <c r="BP1260" s="926">
        <f t="shared" si="2593"/>
      </c>
      <c r="BQ1260" s="1060">
        <f t="shared" si="2593"/>
      </c>
      <c r="BR1260" s="926">
        <f t="shared" si="2593"/>
      </c>
      <c r="BS1260" s="926">
        <f t="shared" si="2593"/>
      </c>
      <c r="BT1260" s="926">
        <f t="shared" si="2593"/>
      </c>
      <c r="BU1260" s="926">
        <f>IF(BP1255="NM","NM",IF(BU1255="NM","NM",IF(BP1255&lt;=0,"NM",IF(BU1255=0,"NM",IF(ABS(BU1255/BP1255-1)&gt;2.5,"NM",IF((ABS(BU1255-BP1255)=ABS(ABS(BU1255)-ABS(BP1255))),(BU1255/BP1255-1),"NM"))))))</f>
      </c>
      <c r="BV1260" s="1060">
        <f t="shared" si="2593"/>
      </c>
      <c r="BW1260" s="926">
        <f>IF(ISNUMBER(BW1261),(1+BW1261)*(1+BW$21)-1,"NM")</f>
      </c>
      <c r="BX1260" s="926">
        <f>IF(ISNUMBER(BX1261),(1+BX1261)*(1+BX$21)-1,"NM")</f>
      </c>
      <c r="BY1260" s="926">
        <f>IF(ISNUMBER(BY1261),(1+BY1261)*(1+BY$21)-1,"NM")</f>
      </c>
      <c r="BZ1260" s="928">
        <f>IF(ISNUMBER(BZ1261),(1+BZ1261)*(1+BZ$21)-1,"NM")</f>
      </c>
      <c r="CA1260" s="1060">
        <f>IF(BV1255="NM","NM",IF(CA1255="NM","NM",IF(BV1255&lt;=0,"NM",IF(CA1255=0,"NM",IF(ABS(CA1255/BV1255-1)&gt;2.5,"NM",IF((ABS(CA1255-BV1255)=ABS(ABS(CA1255)-ABS(BV1255))),(CA1255/BV1255-1),"NM"))))))</f>
      </c>
      <c r="CB1260" s="926">
        <f>IF(ISNUMBER(CB1261),(1+CB1261)*(1+CB$21)-1,"NM")</f>
      </c>
      <c r="CC1260" s="926">
        <f>IF(ISNUMBER(CC1261),(1+CC1261)*(1+CC$21)-1,"NM")</f>
      </c>
      <c r="CD1260" s="926">
        <f>IF(ISNUMBER(CD1261),(1+CD1261)*(1+CD$21)-1,"NM")</f>
      </c>
      <c r="CE1260" s="926">
        <f>CE1261+CE$21</f>
      </c>
      <c r="CF1260" s="1060">
        <f>IF(CA1255="NM","NM",IF(CF1255="NM","NM",IF(CA1255&lt;=0,"NM",IF(CF1255=0,"NM",IF(ABS(CF1255/CA1255-1)&gt;2.5,"NM",IF((ABS(CF1255-CA1255)=ABS(ABS(CF1255)-ABS(CA1255))),(CF1255/CA1255-1),"NM"))))))</f>
      </c>
      <c r="CG1260" s="926">
        <f>CG1261+CG$21</f>
      </c>
      <c r="CH1260" s="926">
        <f>CH1261+CH$21</f>
      </c>
      <c r="CI1260" s="926">
        <f>CI1261+CI$21</f>
      </c>
      <c r="CJ1260" s="926">
        <f>CJ1261+CJ$21</f>
      </c>
      <c r="CK1260" s="1060">
        <f>IF(CF1255=0, "NA", CK1255/CF1255-1)</f>
      </c>
      <c r="CL1260" s="926">
        <f>CL1261+CL$21</f>
      </c>
      <c r="CM1260" s="926">
        <f>CM1261+CM$21</f>
      </c>
      <c r="CN1260" s="926">
        <f>CN1261+CN$21</f>
      </c>
      <c r="CO1260" s="926">
        <f>CO1261+CO$21</f>
      </c>
      <c r="CP1260" s="1060">
        <f>IF(CK1255=0, "NA", CP1255/CK1255-1)</f>
      </c>
      <c r="CQ1260" s="926">
        <f>CQ1261+CQ$21</f>
      </c>
      <c r="CR1260" s="926">
        <f>CR1261+CR$21</f>
      </c>
      <c r="CS1260" s="1219"/>
      <c r="CT1260" s="1219"/>
      <c r="CU1260" s="1536"/>
      <c r="CV1260" s="1219"/>
      <c r="CW1260" s="1219"/>
      <c r="CX1260" s="1219"/>
      <c r="CY1260" s="1235"/>
      <c r="CZ1260" s="1536"/>
      <c r="DA1260" s="2376"/>
      <c r="DB1260" s="1219"/>
      <c r="DC1260" s="1219"/>
      <c r="DD1260" s="1235"/>
      <c r="DE1260" s="1536"/>
      <c r="DF1260" s="2376"/>
      <c r="DG1260" s="1219"/>
      <c r="DH1260" s="1219"/>
      <c r="DI1260" s="1235"/>
      <c r="DJ1260" s="1536"/>
      <c r="DK1260" s="1536"/>
      <c r="DL1260" s="1536"/>
      <c r="DM1260" s="1536"/>
      <c r="DN1260" s="1536"/>
      <c r="DO1260" s="1536"/>
      <c r="DP1260" s="2376"/>
      <c r="DQ1260" s="1219"/>
      <c r="DR1260" s="1219"/>
      <c r="DS1260" s="1219"/>
      <c r="DT1260" s="1536"/>
      <c r="DU1260" s="2376"/>
      <c r="DV1260" s="1219"/>
      <c r="DW1260" s="1219"/>
      <c r="DX1260" s="1235"/>
      <c r="DY1260" s="1536"/>
      <c r="DZ1260" s="1219"/>
      <c r="EA1260" s="1219"/>
      <c r="EB1260" s="1235"/>
      <c r="EC1260" s="1235"/>
      <c r="ED1260" s="1536"/>
      <c r="EE1260" s="1219"/>
      <c r="EF1260" s="1219"/>
      <c r="EG1260" s="1219"/>
      <c r="EH1260" s="2376"/>
      <c r="EI1260" s="1536"/>
      <c r="EJ1260" s="1536"/>
      <c r="EK1260" s="1536"/>
      <c r="EL1260" s="1536"/>
      <c r="EM1260" s="1536"/>
      <c r="EN1260" s="1536"/>
      <c r="EO1260" s="1536"/>
      <c r="EP1260" s="1536"/>
      <c r="EQ1260" s="1536"/>
      <c r="ER1260" s="1536"/>
      <c r="ES1260" s="1536"/>
      <c r="ET1260" s="1536"/>
      <c r="EU1260" s="1536"/>
      <c r="EV1260" s="1536"/>
      <c r="EW1260" s="1536"/>
      <c r="EX1260" s="1536"/>
    </row>
    <row r="1261" spans="2:154" ht="12.75" hidden="1" customHeight="1" outlineLevel="2">
      <c r="B1261" s="443" t="s">
        <v>157</v>
      </c>
      <c r="C1261" s="1577"/>
      <c r="D1261" s="933"/>
      <c r="E1261" s="933"/>
      <c r="F1261" s="933"/>
      <c r="G1261" s="933"/>
      <c r="H1261" s="933"/>
      <c r="I1261" s="933"/>
      <c r="J1261" s="933"/>
      <c r="K1261" s="933"/>
      <c r="L1261" s="933"/>
      <c r="M1261" s="933"/>
      <c r="N1261" s="933"/>
      <c r="O1261" s="933"/>
      <c r="P1261" s="933"/>
      <c r="Q1261" s="933"/>
      <c r="R1261" s="933"/>
      <c r="S1261" s="933"/>
      <c r="T1261" s="933"/>
      <c r="U1261" s="933"/>
      <c r="V1261" s="933"/>
      <c r="W1261" s="933"/>
      <c r="X1261" s="2248"/>
      <c r="Y1261" s="933"/>
      <c r="Z1261" s="933"/>
      <c r="AA1261" s="933"/>
      <c r="AB1261" s="933"/>
      <c r="AC1261" s="2248"/>
      <c r="AD1261" s="959"/>
      <c r="AE1261" s="959"/>
      <c r="AF1261" s="959"/>
      <c r="AG1261" s="959"/>
      <c r="AH1261" s="2248"/>
      <c r="AI1261" s="959">
        <f t="shared" ref="AI1261:BD1261" si="2594">IF(ISNUMBER(AI1260),(1+AI1260)/(1+AI$21)-1,"NM")</f>
      </c>
      <c r="AJ1261" s="959">
        <f t="shared" si="2594"/>
      </c>
      <c r="AK1261" s="959">
        <f t="shared" si="2594"/>
      </c>
      <c r="AL1261" s="959">
        <f t="shared" si="2594"/>
      </c>
      <c r="AM1261" s="2248">
        <f t="shared" si="2594"/>
      </c>
      <c r="AN1261" s="959">
        <f t="shared" si="2594"/>
      </c>
      <c r="AO1261" s="959">
        <f t="shared" si="2594"/>
      </c>
      <c r="AP1261" s="959">
        <f t="shared" si="2594"/>
      </c>
      <c r="AQ1261" s="959">
        <f t="shared" si="2594"/>
      </c>
      <c r="AR1261" s="2248">
        <f t="shared" si="2594"/>
      </c>
      <c r="AS1261" s="959">
        <f t="shared" si="2594"/>
      </c>
      <c r="AT1261" s="959">
        <f t="shared" si="2594"/>
      </c>
      <c r="AU1261" s="959">
        <f t="shared" si="2594"/>
      </c>
      <c r="AV1261" s="959">
        <f t="shared" si="2594"/>
      </c>
      <c r="AW1261" s="2248">
        <f t="shared" si="2594"/>
      </c>
      <c r="AX1261" s="959">
        <f t="shared" si="2594"/>
      </c>
      <c r="AY1261" s="959">
        <f t="shared" si="2594"/>
      </c>
      <c r="AZ1261" s="959">
        <f t="shared" si="2594"/>
      </c>
      <c r="BA1261" s="959">
        <f t="shared" si="2594"/>
      </c>
      <c r="BB1261" s="2248">
        <f t="shared" si="2594"/>
      </c>
      <c r="BC1261" s="959">
        <f t="shared" si="2594"/>
      </c>
      <c r="BD1261" s="959">
        <f t="shared" si="2594"/>
      </c>
      <c r="BE1261" s="361">
        <v>0.15</v>
      </c>
      <c r="BF1261" s="361">
        <v>2.4E-2</v>
      </c>
      <c r="BG1261" s="1066">
        <f>IF(ISNUMBER(BG1260),(1+BG1260)/(1+BG$21)-1,"NM")</f>
      </c>
      <c r="BH1261" s="361">
        <v>0.113</v>
      </c>
      <c r="BI1261" s="959">
        <f>IF(ISNUMBER(BI1260),(1+BI1260)/(1+BI$21)-1,"NM")</f>
      </c>
      <c r="BJ1261" s="959">
        <f>IF(ISNUMBER(BJ1260),(1+BJ1260)/(1+BJ$21)-1,"NM")</f>
      </c>
      <c r="BK1261" s="959">
        <f>IF(ISNUMBER(BK1260),(1+BK1260)/(1+BK$21)-1,"NM")</f>
      </c>
      <c r="BL1261" s="2248">
        <f>IF(ISNUMBER(BL1260),(1+BL1260)/(1+BL$21)-1,"NM")</f>
      </c>
      <c r="BM1261" s="959">
        <f>IF(ISNUMBER(BM1260),(1+BM1260)/(1+BM$21)-1,"NM")</f>
      </c>
      <c r="BN1261" s="959">
        <v>7.9000000000000001E-2</v>
      </c>
      <c r="BO1261" s="959">
        <v>9.6000000000000002E-2</v>
      </c>
      <c r="BP1261" s="926">
        <v>4.3999999999999997E-2</v>
      </c>
      <c r="BQ1261" s="2248">
        <v>7.0000000000000007E-2</v>
      </c>
      <c r="BR1261" s="649">
        <v>5.3999999999999999E-2</v>
      </c>
      <c r="BS1261" s="649">
        <v>8.0000000000000002E-3</v>
      </c>
      <c r="BT1261" s="649">
        <v>8.9999999999999993E-3</v>
      </c>
      <c r="BU1261" s="649">
        <v>3.4000000000000002E-2</v>
      </c>
      <c r="BV1261" s="1060">
        <v>7.0000000000000007E-2</v>
      </c>
      <c r="BW1261" s="407">
        <v>-6.7977801524558457E-2</v>
      </c>
      <c r="BX1261" s="407">
        <v>5.7375599131508581E-2</v>
      </c>
      <c r="BY1261" s="407">
        <v>4.1043862471023873E-2</v>
      </c>
      <c r="BZ1261" s="649">
        <v>-2.8326968013300258E-3</v>
      </c>
      <c r="CA1261" s="1060">
        <f>IF(ISNUMBER(CA1260),(1+CA1260)/(1+CA$21)-1,"NM")</f>
      </c>
      <c r="CB1261" s="407">
        <v>0.04</v>
      </c>
      <c r="CC1261" s="29">
        <v>0.04</v>
      </c>
      <c r="CD1261" s="29">
        <v>0.04</v>
      </c>
      <c r="CE1261" s="29">
        <v>0.06</v>
      </c>
      <c r="CF1261" s="1060">
        <f>IF(ISNUMBER(CF1260),(1+CF1260)/(1+CF$21)-1,"NM")</f>
      </c>
      <c r="CG1261" s="29">
        <v>0.03</v>
      </c>
      <c r="CH1261" s="29">
        <v>0.03</v>
      </c>
      <c r="CI1261" s="29">
        <v>0</v>
      </c>
      <c r="CJ1261" s="29">
        <v>0.02</v>
      </c>
      <c r="CK1261" s="2248">
        <f>CK1260-CK$21</f>
      </c>
      <c r="CL1261" s="29">
        <f>+CL1237</f>
      </c>
      <c r="CM1261" s="29">
        <f>+CM1237</f>
      </c>
      <c r="CN1261" s="29">
        <v>0.03</v>
      </c>
      <c r="CO1261" s="29">
        <v>0.02</v>
      </c>
      <c r="CP1261" s="2248">
        <f>CP1260-CP$21</f>
      </c>
      <c r="CQ1261" s="659">
        <v>2.5000000000000001E-2</v>
      </c>
      <c r="CR1261" s="659">
        <v>2.5000000000000001E-2</v>
      </c>
      <c r="CS1261" s="1208"/>
      <c r="CT1261" s="1208"/>
      <c r="CU1261" s="2377"/>
      <c r="CV1261" s="1208"/>
      <c r="CW1261" s="1208"/>
      <c r="CX1261" s="1208"/>
      <c r="CY1261" s="1232"/>
      <c r="CZ1261" s="1234"/>
      <c r="DA1261" s="1271"/>
      <c r="DB1261" s="1208"/>
      <c r="DC1261" s="1208"/>
      <c r="DD1261" s="1232"/>
      <c r="DE1261" s="1234"/>
      <c r="DF1261" s="1271"/>
      <c r="DG1261" s="1208"/>
      <c r="DH1261" s="1208"/>
      <c r="DI1261" s="1232"/>
      <c r="DJ1261" s="1232"/>
      <c r="DK1261" s="1232"/>
      <c r="DL1261" s="1232"/>
      <c r="DM1261" s="1232"/>
      <c r="DN1261" s="1232"/>
      <c r="DO1261" s="1232"/>
      <c r="DP1261" s="1208"/>
      <c r="DQ1261" s="1208"/>
      <c r="DR1261" s="1208"/>
      <c r="DS1261" s="1208"/>
      <c r="DT1261" s="1234"/>
      <c r="DU1261" s="1208"/>
      <c r="DV1261" s="1208"/>
      <c r="DW1261" s="1208"/>
      <c r="DX1261" s="1232"/>
      <c r="DY1261" s="1234"/>
      <c r="DZ1261" s="1208"/>
      <c r="EA1261" s="1208"/>
      <c r="EB1261" s="1232"/>
      <c r="EC1261" s="1232"/>
      <c r="ED1261" s="1234"/>
      <c r="EE1261" s="1208"/>
      <c r="EF1261" s="1208"/>
      <c r="EG1261" s="1208"/>
      <c r="EH1261" s="1208"/>
      <c r="EI1261" s="1234"/>
      <c r="EJ1261" s="1234"/>
      <c r="EK1261" s="1234"/>
      <c r="EL1261" s="1234"/>
      <c r="EM1261" s="1234"/>
      <c r="EN1261" s="1234"/>
      <c r="EO1261" s="1234"/>
      <c r="EP1261" s="1234"/>
      <c r="EQ1261" s="1234"/>
      <c r="ER1261" s="1234"/>
      <c r="ES1261" s="1234"/>
      <c r="ET1261" s="1234"/>
      <c r="EU1261" s="1234"/>
      <c r="EV1261" s="1234"/>
      <c r="EW1261" s="1234"/>
      <c r="EX1261" s="1234"/>
    </row>
    <row r="1262" spans="2:154" ht="12.75" hidden="1" customHeight="1" outlineLevel="2">
      <c r="B1262" s="443" t="s">
        <v>19</v>
      </c>
      <c r="C1262" s="1577"/>
      <c r="D1262" s="933"/>
      <c r="E1262" s="933"/>
      <c r="F1262" s="933"/>
      <c r="G1262" s="933"/>
      <c r="H1262" s="933"/>
      <c r="I1262" s="933"/>
      <c r="J1262" s="933"/>
      <c r="K1262" s="933"/>
      <c r="L1262" s="933"/>
      <c r="M1262" s="933"/>
      <c r="N1262" s="933"/>
      <c r="O1262" s="933"/>
      <c r="P1262" s="933"/>
      <c r="Q1262" s="933"/>
      <c r="R1262" s="933"/>
      <c r="S1262" s="933"/>
      <c r="T1262" s="933"/>
      <c r="U1262" s="933"/>
      <c r="V1262" s="933"/>
      <c r="W1262" s="933"/>
      <c r="X1262" s="1060"/>
      <c r="Y1262" s="933"/>
      <c r="Z1262" s="933"/>
      <c r="AA1262" s="933"/>
      <c r="AB1262" s="933"/>
      <c r="AC1262" s="1060"/>
      <c r="AD1262" s="926"/>
      <c r="AE1262" s="926"/>
      <c r="AF1262" s="926"/>
      <c r="AG1262" s="926"/>
      <c r="AH1262" s="1060"/>
      <c r="AI1262" s="926">
        <f t="shared" ref="AI1262:AR1262" si="2595">IF(AD1256="NM","NM",IF(AI1256="NM","NM",IF(AD1256&lt;=0,"NM",IF(AI1256=0,"NM",IF(ABS(AI1256/AD1256-1)&gt;2.5,"NM",IF((ABS(AI1256-AD1256)=ABS(ABS(AI1256)-ABS(AD1256))),(AI1256/AD1256-1),"NM"))))))</f>
      </c>
      <c r="AJ1262" s="926">
        <f t="shared" si="2595"/>
      </c>
      <c r="AK1262" s="926">
        <f t="shared" si="2595"/>
      </c>
      <c r="AL1262" s="926">
        <f t="shared" si="2595"/>
      </c>
      <c r="AM1262" s="1060">
        <f t="shared" si="2595"/>
      </c>
      <c r="AN1262" s="926">
        <f t="shared" si="2595"/>
      </c>
      <c r="AO1262" s="926">
        <f t="shared" si="2595"/>
      </c>
      <c r="AP1262" s="926">
        <f t="shared" si="2595"/>
      </c>
      <c r="AQ1262" s="926">
        <f t="shared" si="2595"/>
      </c>
      <c r="AR1262" s="1060">
        <f t="shared" si="2595"/>
      </c>
      <c r="AS1262" s="926">
        <f>IF(AN1256="NM","NM",IF(AS1256="NM","NM",IF(AN1256&lt;=0,"NM",IF(AS1256=0,"NM",IF(ABS(AS1256/AN1256-1)&gt;2.5,"NM",IF((ABS(AS1256-AN1256)=ABS(ABS(AS1256)-ABS(AN1256))),(AS1256/AN1256-1),"NM"))))))</f>
      </c>
      <c r="AT1262" s="926">
        <f>IF(AO1256="NM","NM",IF(AT1256="NM","NM",IF(AO1256&lt;=0,"NM",IF(AT1256=0,"NM",IF(ABS(AT1256/AO1256-1)&gt;2.5,"NM",IF((ABS(AT1256-AO1256)=ABS(ABS(AT1256)-ABS(AO1256))),(AT1256/AO1256-1),"NM"))))))</f>
      </c>
      <c r="AU1262" s="926">
        <f>IF(AP1256="NM","NM",IF(AU1256="NM","NM",IF(AP1256&lt;=0,"NM",IF(AU1256=0,"NM",IF(ABS(AU1256/AP1256-1)&gt;2.5,"NM",IF((ABS(AU1256-AP1256)=ABS(ABS(AU1256)-ABS(AP1256))),(AU1256/AP1256-1),"NM"))))))</f>
      </c>
      <c r="AV1262" s="926">
        <f>IF(AQ1256="NM","NM",IF(AV1256="NM","NM",IF(AQ1256&lt;=0,"NM",IF(AV1256=0,"NM",IF(ABS(AV1256/AQ1256-1)&gt;2.5,"NM",IF((ABS(AV1256-AQ1256)=ABS(ABS(AV1256)-ABS(AQ1256))),(AV1256/AQ1256-1),"NM"))))))</f>
      </c>
      <c r="AW1262" s="1060">
        <f>IF(AR1256="NM","NM",IF(AW1256="NM","NM",IF(AR1256&lt;=0,"NM",IF(AW1256=0,"NM",IF(ABS(AW1256/AR1256-1)&gt;2.5,"NM",IF((ABS(AW1256-AR1256)=ABS(ABS(AW1256)-ABS(AR1256))),(AW1256/AR1256-1),"NM"))))))</f>
      </c>
      <c r="AX1262" s="926">
        <f t="shared" ref="AX1262:CD1262" si="2596">IF(AS1256="NM","NM",IF(AX1256="NM","NM",IF(AS1256&lt;=0,"NM",IF(AX1256=0,"NM",IF(ABS(AX1256/AS1256-1)&gt;2.5,"NM",IF((ABS(AX1256-AS1256)=ABS(ABS(AX1256)-ABS(AS1256))),(AX1256/AS1256-1),"NM"))))))</f>
      </c>
      <c r="AY1262" s="926">
        <f t="shared" si="2596"/>
      </c>
      <c r="AZ1262" s="926">
        <f t="shared" si="2596"/>
      </c>
      <c r="BA1262" s="926">
        <f t="shared" si="2596"/>
      </c>
      <c r="BB1262" s="1060">
        <f t="shared" si="2596"/>
      </c>
      <c r="BC1262" s="926">
        <f t="shared" si="2596"/>
      </c>
      <c r="BD1262" s="926">
        <f t="shared" si="2596"/>
      </c>
      <c r="BE1262" s="926">
        <f t="shared" si="2596"/>
      </c>
      <c r="BF1262" s="926">
        <f t="shared" si="2596"/>
      </c>
      <c r="BG1262" s="1060">
        <f t="shared" si="2596"/>
      </c>
      <c r="BH1262" s="926">
        <f t="shared" si="2596"/>
      </c>
      <c r="BI1262" s="926">
        <f t="shared" si="2596"/>
      </c>
      <c r="BJ1262" s="926">
        <f t="shared" si="2596"/>
      </c>
      <c r="BK1262" s="926">
        <f t="shared" si="2596"/>
      </c>
      <c r="BL1262" s="1060">
        <f t="shared" si="2596"/>
      </c>
      <c r="BM1262" s="926">
        <f t="shared" si="2596"/>
      </c>
      <c r="BN1262" s="926">
        <f t="shared" si="2596"/>
      </c>
      <c r="BO1262" s="926">
        <f t="shared" si="2596"/>
      </c>
      <c r="BP1262" s="926">
        <f t="shared" si="2596"/>
      </c>
      <c r="BQ1262" s="1060">
        <f t="shared" si="2596"/>
      </c>
      <c r="BR1262" s="926">
        <f t="shared" si="2596"/>
      </c>
      <c r="BS1262" s="926">
        <f t="shared" si="2596"/>
      </c>
      <c r="BT1262" s="926">
        <f t="shared" si="2596"/>
      </c>
      <c r="BU1262" s="926">
        <f t="shared" si="2596"/>
      </c>
      <c r="BV1262" s="1060">
        <f t="shared" si="2596"/>
      </c>
      <c r="BW1262" s="926">
        <f t="shared" si="2596"/>
      </c>
      <c r="BX1262" s="926">
        <f t="shared" si="2596"/>
      </c>
      <c r="BY1262" s="926">
        <f t="shared" si="2596"/>
      </c>
      <c r="BZ1262" s="928">
        <f t="shared" si="2596"/>
      </c>
      <c r="CA1262" s="1060">
        <f t="shared" si="2596"/>
      </c>
      <c r="CB1262" s="926">
        <f t="shared" si="2596"/>
      </c>
      <c r="CC1262" s="926">
        <f t="shared" si="2596"/>
      </c>
      <c r="CD1262" s="926">
        <f t="shared" si="2596"/>
      </c>
      <c r="CE1262" s="926">
        <f>IF(CE1256&lt;=0,0,(CE1256/BZ1256-1))</f>
      </c>
      <c r="CF1262" s="1060">
        <f>IF(CA1256="NM","NM",IF(CF1256="NM","NM",IF(CA1256&lt;=0,"NM",IF(CF1256=0,"NM",IF(ABS(CF1256/CA1256-1)&gt;2.5,"NM",IF((ABS(CF1256-CA1256)=ABS(ABS(CF1256)-ABS(CA1256))),(CF1256/CA1256-1),"NM"))))))</f>
      </c>
      <c r="CG1262" s="926">
        <f>IF(CG1256&lt;=0,0,(CG1256/CB1256-1))</f>
      </c>
      <c r="CH1262" s="926">
        <f>IF(CH1256&lt;=0,0,(CH1256/CC1256-1))</f>
      </c>
      <c r="CI1262" s="926">
        <f>IF(CI1256&lt;=0,0,(CI1256/CD1256-1))</f>
      </c>
      <c r="CJ1262" s="926">
        <f>IF(CJ1256&lt;=0,0,(CJ1256/CE1256-1))</f>
      </c>
      <c r="CK1262" s="1060">
        <f>IF(CF1256=0, "NA", CK1256/CF1256-1)</f>
      </c>
      <c r="CL1262" s="926">
        <f>IF(CL1256&lt;=0,0,(CL1256/CG1256-1))</f>
      </c>
      <c r="CM1262" s="926">
        <f>IF(CM1256&lt;=0,0,(CM1256/CH1256-1))</f>
      </c>
      <c r="CN1262" s="926">
        <f>IF(CN1256&lt;=0,0,(CN1256/CI1256-1))</f>
      </c>
      <c r="CO1262" s="926">
        <f>IF(CO1256&lt;=0,0,(CO1256/CJ1256-1))</f>
      </c>
      <c r="CP1262" s="1060">
        <f>IF(CK1256=0, "NA", CP1256/CK1256-1)</f>
      </c>
      <c r="CQ1262" s="926">
        <f>IF(CL1256=0, "NA", CQ1256/CL1256-1)</f>
      </c>
      <c r="CR1262" s="926">
        <f>IF(CM1256=0, "NA", CR1256/CM1256-1)</f>
      </c>
      <c r="CS1262" s="1219"/>
      <c r="CT1262" s="1235"/>
      <c r="CU1262" s="1536"/>
      <c r="CV1262" s="2376"/>
      <c r="CW1262" s="1219"/>
      <c r="CX1262" s="1219"/>
      <c r="CY1262" s="1235"/>
      <c r="CZ1262" s="1536"/>
      <c r="DA1262" s="2376"/>
      <c r="DB1262" s="1219"/>
      <c r="DC1262" s="1219"/>
      <c r="DD1262" s="1235"/>
      <c r="DE1262" s="1536"/>
      <c r="DF1262" s="2376"/>
      <c r="DG1262" s="1219"/>
      <c r="DH1262" s="1219"/>
      <c r="DI1262" s="1235"/>
      <c r="DJ1262" s="1536"/>
      <c r="DK1262" s="1536"/>
      <c r="DL1262" s="1536"/>
      <c r="DM1262" s="1536"/>
      <c r="DN1262" s="1536"/>
      <c r="DO1262" s="1536"/>
      <c r="DP1262" s="2376"/>
      <c r="DQ1262" s="1219"/>
      <c r="DR1262" s="1219"/>
      <c r="DS1262" s="1219"/>
      <c r="DT1262" s="1536"/>
      <c r="DU1262" s="2376"/>
      <c r="DV1262" s="1219"/>
      <c r="DW1262" s="1219"/>
      <c r="DX1262" s="1235"/>
      <c r="DY1262" s="1536"/>
      <c r="DZ1262" s="1219"/>
      <c r="EA1262" s="1219"/>
      <c r="EB1262" s="1235"/>
      <c r="EC1262" s="1235"/>
      <c r="ED1262" s="1536"/>
      <c r="EE1262" s="1219"/>
      <c r="EF1262" s="1219"/>
      <c r="EG1262" s="1219"/>
      <c r="EH1262" s="2376"/>
      <c r="EI1262" s="1536"/>
      <c r="EJ1262" s="1536"/>
      <c r="EK1262" s="1536"/>
      <c r="EL1262" s="1536"/>
      <c r="EM1262" s="1536"/>
      <c r="EN1262" s="1536"/>
      <c r="EO1262" s="1536"/>
      <c r="EP1262" s="1536"/>
      <c r="EQ1262" s="1536"/>
      <c r="ER1262" s="1536"/>
      <c r="ES1262" s="1536"/>
      <c r="ET1262" s="1536"/>
      <c r="EU1262" s="1536"/>
      <c r="EV1262" s="1536"/>
      <c r="EW1262" s="1536"/>
      <c r="EX1262" s="1536"/>
    </row>
    <row r="1263" spans="2:154" ht="12.75" hidden="1" customHeight="1" outlineLevel="2">
      <c r="B1263" s="442"/>
      <c r="C1263" s="1577"/>
      <c r="D1263" s="933"/>
      <c r="E1263" s="933"/>
      <c r="F1263" s="933"/>
      <c r="G1263" s="933"/>
      <c r="H1263" s="933"/>
      <c r="I1263" s="933"/>
      <c r="J1263" s="933"/>
      <c r="K1263" s="933"/>
      <c r="L1263" s="933"/>
      <c r="M1263" s="933"/>
      <c r="N1263" s="933"/>
      <c r="O1263" s="933"/>
      <c r="P1263" s="933"/>
      <c r="Q1263" s="933"/>
      <c r="R1263" s="933"/>
      <c r="S1263" s="933"/>
      <c r="T1263" s="933"/>
      <c r="U1263" s="933"/>
      <c r="V1263" s="933"/>
      <c r="W1263" s="933"/>
      <c r="X1263" s="1061"/>
      <c r="Y1263" s="933"/>
      <c r="Z1263" s="933"/>
      <c r="AA1263" s="933"/>
      <c r="AB1263" s="933"/>
      <c r="AC1263" s="1061"/>
      <c r="AD1263" s="933"/>
      <c r="AE1263" s="933"/>
      <c r="AF1263" s="933"/>
      <c r="AG1263" s="933"/>
      <c r="AH1263" s="1061"/>
      <c r="AI1263" s="933"/>
      <c r="AJ1263" s="933"/>
      <c r="AK1263" s="933"/>
      <c r="AL1263" s="933"/>
      <c r="AM1263" s="1061"/>
      <c r="AN1263" s="933"/>
      <c r="AO1263" s="933"/>
      <c r="AP1263" s="933"/>
      <c r="AQ1263" s="933"/>
      <c r="AR1263" s="1061"/>
      <c r="AS1263" s="933"/>
      <c r="AT1263" s="933"/>
      <c r="AU1263" s="933"/>
      <c r="AV1263" s="933"/>
      <c r="AW1263" s="1061"/>
      <c r="AX1263" s="933"/>
      <c r="AY1263" s="933"/>
      <c r="AZ1263" s="933"/>
      <c r="BA1263" s="933"/>
      <c r="BB1263" s="1061"/>
      <c r="BC1263" s="933"/>
      <c r="BD1263" s="933"/>
      <c r="BE1263" s="933"/>
      <c r="BF1263" s="933"/>
      <c r="BG1263" s="1061"/>
      <c r="BH1263" s="933"/>
      <c r="BI1263" s="933"/>
      <c r="BJ1263" s="933"/>
      <c r="BK1263" s="933"/>
      <c r="BL1263" s="1061"/>
      <c r="BM1263" s="933"/>
      <c r="BN1263" s="933"/>
      <c r="BO1263" s="933"/>
      <c r="BP1263" s="933"/>
      <c r="BQ1263" s="1061"/>
      <c r="BR1263" s="933"/>
      <c r="BS1263" s="933"/>
      <c r="BT1263" s="933"/>
      <c r="BU1263" s="933"/>
      <c r="BV1263" s="1061"/>
      <c r="BW1263" s="933"/>
      <c r="BX1263" s="933"/>
      <c r="BY1263" s="933"/>
      <c r="BZ1263" s="933"/>
      <c r="CA1263" s="1061"/>
      <c r="CB1263" s="933"/>
      <c r="CC1263" s="933"/>
      <c r="CD1263" s="933"/>
      <c r="CE1263" s="933"/>
      <c r="CF1263" s="1061"/>
      <c r="CG1263" s="933"/>
      <c r="CH1263" s="933"/>
      <c r="CI1263" s="933"/>
      <c r="CJ1263" s="933"/>
      <c r="CK1263" s="1061"/>
      <c r="CL1263" s="961"/>
      <c r="CM1263" s="933"/>
      <c r="CN1263" s="933"/>
      <c r="CO1263" s="933"/>
      <c r="CP1263" s="1061"/>
      <c r="CQ1263" s="933"/>
      <c r="CR1263" s="933"/>
      <c r="CS1263" s="1227"/>
      <c r="CT1263" s="1231"/>
      <c r="CU1263" s="1231"/>
      <c r="CV1263" s="1270"/>
      <c r="CW1263" s="1227"/>
      <c r="CX1263" s="1227"/>
      <c r="CY1263" s="1231"/>
      <c r="CZ1263" s="2374"/>
      <c r="DA1263" s="1270"/>
      <c r="DB1263" s="1227"/>
      <c r="DC1263" s="1227"/>
      <c r="DD1263" s="1231"/>
      <c r="DE1263" s="1863"/>
      <c r="DF1263" s="2375"/>
      <c r="DG1263" s="1842"/>
      <c r="DH1263" s="1842"/>
      <c r="DI1263" s="1942"/>
      <c r="DJ1263" s="1863"/>
      <c r="DK1263" s="1863"/>
      <c r="DL1263" s="1863"/>
      <c r="DM1263" s="1863"/>
      <c r="DN1263" s="1863"/>
      <c r="DO1263" s="1863"/>
      <c r="DP1263" s="2375"/>
      <c r="DQ1263" s="1842"/>
      <c r="DR1263" s="1842"/>
      <c r="DS1263" s="1842"/>
      <c r="DT1263" s="1863"/>
      <c r="DU1263" s="2375"/>
      <c r="DV1263" s="1842"/>
      <c r="DW1263" s="1842"/>
      <c r="DX1263" s="1942"/>
      <c r="DY1263" s="1863"/>
      <c r="DZ1263" s="1842"/>
      <c r="EA1263" s="1842"/>
      <c r="EB1263" s="1942"/>
      <c r="EC1263" s="1942"/>
      <c r="ED1263" s="1863"/>
      <c r="EE1263" s="1842"/>
      <c r="EF1263" s="1842"/>
      <c r="EG1263" s="1842"/>
      <c r="EH1263" s="2375"/>
      <c r="EI1263" s="1863"/>
      <c r="EJ1263" s="1863"/>
      <c r="EK1263" s="1863"/>
      <c r="EL1263" s="1863"/>
      <c r="EM1263" s="1863"/>
      <c r="EN1263" s="1863"/>
      <c r="EO1263" s="1863"/>
      <c r="EP1263" s="1863"/>
      <c r="EQ1263" s="1863"/>
      <c r="ER1263" s="1863"/>
      <c r="ES1263" s="1863"/>
      <c r="ET1263" s="1863"/>
      <c r="EU1263" s="1863"/>
      <c r="EV1263" s="1863"/>
      <c r="EW1263" s="1863"/>
      <c r="EX1263" s="1863"/>
    </row>
    <row r="1264" spans="2:154" ht="12.75" hidden="1" customHeight="1" outlineLevel="2">
      <c r="B1264" s="436" t="s">
        <v>561</v>
      </c>
      <c r="C1264" s="1577"/>
      <c r="D1264" s="933"/>
      <c r="E1264" s="933"/>
      <c r="F1264" s="933"/>
      <c r="G1264" s="933"/>
      <c r="H1264" s="933"/>
      <c r="I1264" s="933"/>
      <c r="J1264" s="933"/>
      <c r="K1264" s="933"/>
      <c r="L1264" s="933"/>
      <c r="M1264" s="933"/>
      <c r="N1264" s="933"/>
      <c r="O1264" s="933"/>
      <c r="P1264" s="933"/>
      <c r="Q1264" s="933"/>
      <c r="R1264" s="933"/>
      <c r="S1264" s="933"/>
      <c r="T1264" s="933"/>
      <c r="U1264" s="933"/>
      <c r="V1264" s="933"/>
      <c r="W1264" s="933"/>
      <c r="X1264" s="1061"/>
      <c r="Y1264" s="933"/>
      <c r="Z1264" s="933"/>
      <c r="AA1264" s="933"/>
      <c r="AB1264" s="933"/>
      <c r="AC1264" s="1061"/>
      <c r="AD1264" s="933"/>
      <c r="AE1264" s="933"/>
      <c r="AF1264" s="933"/>
      <c r="AG1264" s="933"/>
      <c r="AH1264" s="1061"/>
      <c r="AI1264" s="933"/>
      <c r="AJ1264" s="933"/>
      <c r="AK1264" s="933"/>
      <c r="AL1264" s="933"/>
      <c r="AM1264" s="1061"/>
      <c r="AN1264" s="933"/>
      <c r="AO1264" s="933"/>
      <c r="AP1264" s="933"/>
      <c r="AQ1264" s="933"/>
      <c r="AR1264" s="1061"/>
      <c r="AS1264" s="933"/>
      <c r="AT1264" s="933"/>
      <c r="AU1264" s="933"/>
      <c r="AV1264" s="933"/>
      <c r="AW1264" s="1061"/>
      <c r="AX1264" s="933"/>
      <c r="AY1264" s="933"/>
      <c r="AZ1264" s="933"/>
      <c r="BA1264" s="933"/>
      <c r="BB1264" s="1061"/>
      <c r="BC1264" s="933"/>
      <c r="BD1264" s="933"/>
      <c r="BE1264" s="933"/>
      <c r="BF1264" s="933"/>
      <c r="BG1264" s="1061"/>
      <c r="BH1264" s="933"/>
      <c r="BI1264" s="933"/>
      <c r="BJ1264" s="933"/>
      <c r="BK1264" s="933"/>
      <c r="BL1264" s="1061"/>
      <c r="BM1264" s="933"/>
      <c r="BN1264" s="933"/>
      <c r="BO1264" s="933"/>
      <c r="BP1264" s="933"/>
      <c r="BQ1264" s="1061"/>
      <c r="BR1264" s="933"/>
      <c r="BS1264" s="933"/>
      <c r="BT1264" s="933"/>
      <c r="BU1264" s="933"/>
      <c r="BV1264" s="1061"/>
      <c r="BW1264" s="933"/>
      <c r="BX1264" s="933"/>
      <c r="BY1264" s="933"/>
      <c r="BZ1264" s="933"/>
      <c r="CA1264" s="1061"/>
      <c r="CB1264" s="933"/>
      <c r="CC1264" s="933"/>
      <c r="CD1264" s="933"/>
      <c r="CE1264" s="933"/>
      <c r="CF1264" s="1061"/>
      <c r="CG1264" s="933"/>
      <c r="CH1264" s="933"/>
      <c r="CI1264" s="933"/>
      <c r="CJ1264" s="933"/>
      <c r="CK1264" s="1061"/>
      <c r="CL1264" s="961"/>
      <c r="CM1264" s="933"/>
      <c r="CN1264" s="933"/>
      <c r="CO1264" s="933"/>
      <c r="CP1264" s="1061"/>
      <c r="CQ1264" s="933"/>
      <c r="CR1264" s="933"/>
      <c r="CS1264" s="1227"/>
      <c r="CT1264" s="1231"/>
      <c r="CU1264" s="1231"/>
      <c r="CV1264" s="1270"/>
      <c r="CW1264" s="1227"/>
      <c r="CX1264" s="1227"/>
      <c r="CY1264" s="1231"/>
      <c r="CZ1264" s="2374"/>
      <c r="DA1264" s="1270"/>
      <c r="DB1264" s="1227"/>
      <c r="DC1264" s="1227"/>
      <c r="DD1264" s="1231"/>
      <c r="DE1264" s="1863"/>
      <c r="DF1264" s="2375"/>
      <c r="DG1264" s="1842"/>
      <c r="DH1264" s="1842"/>
      <c r="DI1264" s="1942"/>
      <c r="DJ1264" s="1863"/>
      <c r="DK1264" s="1863"/>
      <c r="DL1264" s="1863"/>
      <c r="DM1264" s="1863"/>
      <c r="DN1264" s="1863"/>
      <c r="DO1264" s="1863"/>
      <c r="DP1264" s="2375"/>
      <c r="DQ1264" s="1842"/>
      <c r="DR1264" s="1842"/>
      <c r="DS1264" s="1842"/>
      <c r="DT1264" s="1863"/>
      <c r="DU1264" s="2375"/>
      <c r="DV1264" s="1842"/>
      <c r="DW1264" s="1842"/>
      <c r="DX1264" s="1942"/>
      <c r="DY1264" s="1863"/>
      <c r="DZ1264" s="1842"/>
      <c r="EA1264" s="1842"/>
      <c r="EB1264" s="1942"/>
      <c r="EC1264" s="1942"/>
      <c r="ED1264" s="1863"/>
      <c r="EE1264" s="1842"/>
      <c r="EF1264" s="1842"/>
      <c r="EG1264" s="1842"/>
      <c r="EH1264" s="2375"/>
      <c r="EI1264" s="1863"/>
      <c r="EJ1264" s="1863"/>
      <c r="EK1264" s="1863"/>
      <c r="EL1264" s="1863"/>
      <c r="EM1264" s="1863"/>
      <c r="EN1264" s="1863"/>
      <c r="EO1264" s="1863"/>
      <c r="EP1264" s="1863"/>
      <c r="EQ1264" s="1863"/>
      <c r="ER1264" s="1863"/>
      <c r="ES1264" s="1863"/>
      <c r="ET1264" s="1863"/>
      <c r="EU1264" s="1863"/>
      <c r="EV1264" s="1863"/>
      <c r="EW1264" s="1863"/>
      <c r="EX1264" s="1863"/>
    </row>
    <row r="1265" spans="2:154" ht="12.75" hidden="1" customHeight="1" outlineLevel="2">
      <c r="B1265" s="437" t="s">
        <v>187</v>
      </c>
      <c r="C1265" s="1577"/>
      <c r="D1265" s="933"/>
      <c r="E1265" s="933"/>
      <c r="F1265" s="933"/>
      <c r="G1265" s="933"/>
      <c r="H1265" s="933"/>
      <c r="I1265" s="933"/>
      <c r="J1265" s="933"/>
      <c r="K1265" s="933"/>
      <c r="L1265" s="933"/>
      <c r="M1265" s="933"/>
      <c r="N1265" s="933"/>
      <c r="O1265" s="933"/>
      <c r="P1265" s="933"/>
      <c r="Q1265" s="933"/>
      <c r="R1265" s="933"/>
      <c r="S1265" s="933"/>
      <c r="T1265" s="933"/>
      <c r="U1265" s="933"/>
      <c r="V1265" s="933"/>
      <c r="W1265" s="933"/>
      <c r="X1265" s="1061"/>
      <c r="Y1265" s="933"/>
      <c r="Z1265" s="933"/>
      <c r="AA1265" s="933"/>
      <c r="AB1265" s="933"/>
      <c r="AC1265" s="1061">
        <f t="shared" ref="AC1265:AG1266" si="2597">+AH1265/(1+AH1270)</f>
      </c>
      <c r="AD1265" s="933">
        <f t="shared" si="2597"/>
      </c>
      <c r="AE1265" s="933">
        <f t="shared" si="2597"/>
      </c>
      <c r="AF1265" s="933">
        <f t="shared" si="2597"/>
      </c>
      <c r="AG1265" s="933">
        <f t="shared" si="2597"/>
      </c>
      <c r="AH1265" s="1061">
        <f>+SUM(AD1265:AG1265)</f>
      </c>
      <c r="AI1265" s="933">
        <f t="shared" ref="AI1265:AL1266" si="2598">+AN1265/(1+AN1270)</f>
      </c>
      <c r="AJ1265" s="933">
        <f t="shared" si="2598"/>
      </c>
      <c r="AK1265" s="933">
        <f t="shared" si="2598"/>
      </c>
      <c r="AL1265" s="933">
        <f t="shared" si="2598"/>
      </c>
      <c r="AM1265" s="1061">
        <f>+SUM(AI1265:AL1265)</f>
      </c>
      <c r="AN1265" s="933">
        <f t="shared" ref="AN1265:AQ1266" si="2599">+AS1265/(1+AS1270)</f>
      </c>
      <c r="AO1265" s="933">
        <f t="shared" si="2599"/>
      </c>
      <c r="AP1265" s="933">
        <f t="shared" si="2599"/>
      </c>
      <c r="AQ1265" s="933">
        <f t="shared" si="2599"/>
      </c>
      <c r="AR1265" s="1061">
        <f>+SUM(AN1265:AQ1265)</f>
      </c>
      <c r="AS1265" s="933">
        <f t="shared" ref="AS1265:AV1266" si="2600">+AX1265/(1+AX1270)</f>
      </c>
      <c r="AT1265" s="933">
        <f t="shared" si="2600"/>
      </c>
      <c r="AU1265" s="933">
        <f t="shared" si="2600"/>
      </c>
      <c r="AV1265" s="933">
        <f t="shared" si="2600"/>
      </c>
      <c r="AW1265" s="1061">
        <f>+SUM(AS1265:AV1265)</f>
      </c>
      <c r="AX1265" s="933">
        <f>+$BB1265/4</f>
      </c>
      <c r="AY1265" s="933">
        <v>60</v>
      </c>
      <c r="AZ1265" s="933">
        <v>62</v>
      </c>
      <c r="BA1265" s="933">
        <v>74</v>
      </c>
      <c r="BB1265" s="1061">
        <v>223</v>
      </c>
      <c r="BC1265" s="933">
        <f t="shared" ref="BC1265:BH1266" si="2601">+(1+BC1270)*AX1265</f>
      </c>
      <c r="BD1265" s="933">
        <f t="shared" si="2601"/>
      </c>
      <c r="BE1265" s="933">
        <f t="shared" si="2601"/>
      </c>
      <c r="BF1265" s="933">
        <f t="shared" si="2601"/>
      </c>
      <c r="BG1265" s="313">
        <f>SUM(BC1265:BF1265)</f>
      </c>
      <c r="BH1265" s="933">
        <f t="shared" si="2601"/>
      </c>
      <c r="BI1265" s="33">
        <v>69.614099999999993</v>
      </c>
      <c r="BJ1265" s="33">
        <v>78</v>
      </c>
      <c r="BK1265" s="33">
        <v>95.238</v>
      </c>
      <c r="BL1265" s="313">
        <f>SUM(BH1265:BK1265)</f>
      </c>
      <c r="BM1265" s="933">
        <v>73.232519850000031</v>
      </c>
      <c r="BN1265" s="33">
        <f>BI1265*1.135</f>
      </c>
      <c r="BO1265" s="33">
        <f>BJ1265*1.016</f>
      </c>
      <c r="BP1265" s="352">
        <f>BK1265*1.106</f>
      </c>
      <c r="BQ1265" s="313">
        <f>SUM(BM1265:BP1265)</f>
      </c>
      <c r="BR1265" s="352">
        <f>BM1265*(1+2.5%)</f>
      </c>
      <c r="BS1265" s="352">
        <f>BN1265*(1+11%)</f>
      </c>
      <c r="BT1265" s="352">
        <f>BO1265*(1+10.4%)</f>
      </c>
      <c r="BU1265" s="934">
        <f>BP1265*(1+7.5%)</f>
      </c>
      <c r="BV1265" s="313">
        <f>SUM(BR1265:BU1265)</f>
      </c>
      <c r="BW1265" s="933">
        <f t="shared" ref="BW1265:BZ1266" si="2602">+(1+BW1270)*BR1265</f>
      </c>
      <c r="BX1265" s="933">
        <f t="shared" si="2602"/>
      </c>
      <c r="BY1265" s="933">
        <f t="shared" si="2602"/>
      </c>
      <c r="BZ1265" s="933">
        <f t="shared" si="2602"/>
      </c>
      <c r="CA1265" s="313">
        <f>SUM(BW1265:BZ1265)</f>
      </c>
      <c r="CB1265" s="933">
        <f t="shared" ref="CB1265:CE1266" si="2603">+(1+CB1270)*BW1265</f>
      </c>
      <c r="CC1265" s="933">
        <f t="shared" si="2603"/>
      </c>
      <c r="CD1265" s="933">
        <f t="shared" si="2603"/>
      </c>
      <c r="CE1265" s="933">
        <f t="shared" si="2603"/>
      </c>
      <c r="CF1265" s="1061">
        <f>SUM(CB1265:CE1265)</f>
      </c>
      <c r="CG1265" s="933">
        <f t="shared" ref="CG1265:CJ1266" si="2604">+(1+CG1270)*CB1265</f>
      </c>
      <c r="CH1265" s="933">
        <f t="shared" si="2604"/>
      </c>
      <c r="CI1265" s="933">
        <f t="shared" si="2604"/>
      </c>
      <c r="CJ1265" s="933">
        <f t="shared" si="2604"/>
      </c>
      <c r="CK1265" s="1061">
        <f>SUM(CG1265:CJ1265)</f>
      </c>
      <c r="CL1265" s="961">
        <f t="shared" ref="CL1265:CO1266" si="2605">+(1+CL1270)*CG1265</f>
      </c>
      <c r="CM1265" s="933">
        <f t="shared" si="2605"/>
      </c>
      <c r="CN1265" s="933">
        <f t="shared" si="2605"/>
      </c>
      <c r="CO1265" s="933">
        <f t="shared" si="2605"/>
      </c>
      <c r="CP1265" s="1061">
        <f>SUM(CL1265:CO1265)</f>
      </c>
      <c r="CQ1265" s="933">
        <f>+(1+CQ1270)*CL1265</f>
      </c>
      <c r="CR1265" s="933">
        <f>+(1+CR1270)*CM1265</f>
      </c>
      <c r="CS1265" s="1227"/>
      <c r="CT1265" s="1231"/>
      <c r="CU1265" s="2374"/>
      <c r="CV1265" s="1270"/>
      <c r="CW1265" s="1227"/>
      <c r="CX1265" s="1227"/>
      <c r="CY1265" s="1231"/>
      <c r="CZ1265" s="1228"/>
      <c r="DA1265" s="1322"/>
      <c r="DB1265" s="1357"/>
      <c r="DC1265" s="1357"/>
      <c r="DD1265" s="1345"/>
      <c r="DE1265" s="1811"/>
      <c r="DF1265" s="1836"/>
      <c r="DG1265" s="1822"/>
      <c r="DH1265" s="1822"/>
      <c r="DI1265" s="1837"/>
      <c r="DJ1265" s="1811"/>
      <c r="DK1265" s="1811"/>
      <c r="DL1265" s="1811"/>
      <c r="DM1265" s="1811"/>
      <c r="DN1265" s="1811"/>
      <c r="DO1265" s="1811"/>
      <c r="DP1265" s="1836"/>
      <c r="DQ1265" s="1822"/>
      <c r="DR1265" s="1822"/>
      <c r="DS1265" s="1822"/>
      <c r="DT1265" s="1811"/>
      <c r="DU1265" s="1836"/>
      <c r="DV1265" s="1822"/>
      <c r="DW1265" s="1822"/>
      <c r="DX1265" s="1837"/>
      <c r="DY1265" s="1811"/>
      <c r="DZ1265" s="1822"/>
      <c r="EA1265" s="1822"/>
      <c r="EB1265" s="1837"/>
      <c r="EC1265" s="1837"/>
      <c r="ED1265" s="1811"/>
      <c r="EE1265" s="1822"/>
      <c r="EF1265" s="1822"/>
      <c r="EG1265" s="1822"/>
      <c r="EH1265" s="1836"/>
      <c r="EI1265" s="1811"/>
      <c r="EJ1265" s="1811"/>
      <c r="EK1265" s="1811"/>
      <c r="EL1265" s="1811"/>
      <c r="EM1265" s="1811"/>
      <c r="EN1265" s="1811"/>
      <c r="EO1265" s="1811"/>
      <c r="EP1265" s="1811"/>
      <c r="EQ1265" s="1811"/>
      <c r="ER1265" s="1811"/>
      <c r="ES1265" s="1811"/>
      <c r="ET1265" s="1811"/>
      <c r="EU1265" s="1811"/>
      <c r="EV1265" s="1811"/>
      <c r="EW1265" s="1811"/>
      <c r="EX1265" s="1811"/>
    </row>
    <row r="1266" spans="2:154" ht="12.75" hidden="1" customHeight="1" outlineLevel="2">
      <c r="B1266" s="437" t="s">
        <v>412</v>
      </c>
      <c r="C1266" s="1577"/>
      <c r="D1266" s="933"/>
      <c r="E1266" s="933"/>
      <c r="F1266" s="933"/>
      <c r="G1266" s="933"/>
      <c r="H1266" s="933"/>
      <c r="I1266" s="933"/>
      <c r="J1266" s="933"/>
      <c r="K1266" s="933"/>
      <c r="L1266" s="933"/>
      <c r="M1266" s="933"/>
      <c r="N1266" s="933"/>
      <c r="O1266" s="933"/>
      <c r="P1266" s="933"/>
      <c r="Q1266" s="933"/>
      <c r="R1266" s="933"/>
      <c r="S1266" s="933"/>
      <c r="T1266" s="933"/>
      <c r="U1266" s="933"/>
      <c r="V1266" s="933"/>
      <c r="W1266" s="933"/>
      <c r="X1266" s="1061"/>
      <c r="Y1266" s="933"/>
      <c r="Z1266" s="933"/>
      <c r="AA1266" s="933"/>
      <c r="AB1266" s="933"/>
      <c r="AC1266" s="1061">
        <f t="shared" si="2597"/>
      </c>
      <c r="AD1266" s="933">
        <f t="shared" si="2597"/>
      </c>
      <c r="AE1266" s="933">
        <f t="shared" si="2597"/>
      </c>
      <c r="AF1266" s="933">
        <f t="shared" si="2597"/>
      </c>
      <c r="AG1266" s="933">
        <f t="shared" si="2597"/>
      </c>
      <c r="AH1266" s="1061">
        <f>+SUM(AD1266:AG1266)</f>
      </c>
      <c r="AI1266" s="933">
        <f t="shared" si="2598"/>
      </c>
      <c r="AJ1266" s="933">
        <f t="shared" si="2598"/>
      </c>
      <c r="AK1266" s="933">
        <f t="shared" si="2598"/>
      </c>
      <c r="AL1266" s="933">
        <f t="shared" si="2598"/>
      </c>
      <c r="AM1266" s="1061">
        <f>+SUM(AI1266:AL1266)</f>
      </c>
      <c r="AN1266" s="933">
        <f t="shared" si="2599"/>
      </c>
      <c r="AO1266" s="933">
        <f t="shared" si="2599"/>
      </c>
      <c r="AP1266" s="933">
        <f t="shared" si="2599"/>
      </c>
      <c r="AQ1266" s="933">
        <f t="shared" si="2599"/>
      </c>
      <c r="AR1266" s="1061">
        <f>+SUM(AN1266:AQ1266)</f>
      </c>
      <c r="AS1266" s="933">
        <f t="shared" si="2600"/>
      </c>
      <c r="AT1266" s="933">
        <f t="shared" si="2600"/>
      </c>
      <c r="AU1266" s="933">
        <f t="shared" si="2600"/>
      </c>
      <c r="AV1266" s="933">
        <f t="shared" si="2600"/>
      </c>
      <c r="AW1266" s="1061">
        <f>+SUM(AS1266:AV1266)</f>
      </c>
      <c r="AX1266" s="933">
        <v>65</v>
      </c>
      <c r="AY1266" s="933">
        <v>70</v>
      </c>
      <c r="AZ1266" s="933">
        <v>62</v>
      </c>
      <c r="BA1266" s="933">
        <v>72.224999999999994</v>
      </c>
      <c r="BB1266" s="1061">
        <v>272.3</v>
      </c>
      <c r="BC1266" s="933">
        <f t="shared" si="2601"/>
      </c>
      <c r="BD1266" s="933">
        <f t="shared" si="2601"/>
      </c>
      <c r="BE1266" s="933">
        <f t="shared" si="2601"/>
      </c>
      <c r="BF1266" s="933">
        <f t="shared" si="2601"/>
      </c>
      <c r="BG1266" s="313">
        <f>SUM(BC1266:BF1266)</f>
      </c>
      <c r="BH1266" s="933">
        <f t="shared" si="2601"/>
      </c>
      <c r="BI1266" s="33">
        <v>66.774883349999982</v>
      </c>
      <c r="BJ1266" s="33">
        <v>67</v>
      </c>
      <c r="BK1266" s="33">
        <v>76.881552602400006</v>
      </c>
      <c r="BL1266" s="313">
        <f>SUM(BH1266:BK1266)</f>
      </c>
      <c r="BM1266" s="933">
        <v>78.032268994679995</v>
      </c>
      <c r="BN1266" s="33">
        <f>BI1266*1.186</f>
      </c>
      <c r="BO1266" s="33">
        <f>BJ1266*1.1</f>
      </c>
      <c r="BP1266" s="352">
        <f>BK1266*1.054</f>
      </c>
      <c r="BQ1266" s="313">
        <f>SUM(BM1266:BP1266)</f>
      </c>
      <c r="BR1266" s="352">
        <f>BM1266*(1+0.4%)</f>
      </c>
      <c r="BS1266" s="352">
        <f>BN1266*(1-6.4%)</f>
      </c>
      <c r="BT1266" s="352">
        <f>BO1266*(1-6.6%)</f>
      </c>
      <c r="BU1266" s="934">
        <f>BP1266*(1-3.5%)</f>
      </c>
      <c r="BV1266" s="313">
        <f>SUM(BR1266:BU1266)</f>
      </c>
      <c r="BW1266" s="933">
        <f t="shared" si="2602"/>
      </c>
      <c r="BX1266" s="933">
        <f t="shared" si="2602"/>
      </c>
      <c r="BY1266" s="933">
        <f t="shared" si="2602"/>
      </c>
      <c r="BZ1266" s="933">
        <f t="shared" si="2602"/>
      </c>
      <c r="CA1266" s="313">
        <f>SUM(BW1266:BZ1266)</f>
      </c>
      <c r="CB1266" s="933">
        <f t="shared" si="2603"/>
      </c>
      <c r="CC1266" s="933">
        <f t="shared" si="2603"/>
      </c>
      <c r="CD1266" s="933">
        <f t="shared" si="2603"/>
      </c>
      <c r="CE1266" s="933">
        <f t="shared" si="2603"/>
      </c>
      <c r="CF1266" s="1061">
        <f>SUM(CB1266:CE1266)</f>
      </c>
      <c r="CG1266" s="933">
        <f t="shared" si="2604"/>
      </c>
      <c r="CH1266" s="933">
        <f t="shared" si="2604"/>
      </c>
      <c r="CI1266" s="933">
        <f t="shared" si="2604"/>
      </c>
      <c r="CJ1266" s="933">
        <f t="shared" si="2604"/>
      </c>
      <c r="CK1266" s="1061">
        <f>SUM(CG1266:CJ1266)</f>
      </c>
      <c r="CL1266" s="961">
        <f t="shared" si="2605"/>
      </c>
      <c r="CM1266" s="933">
        <f t="shared" si="2605"/>
      </c>
      <c r="CN1266" s="933">
        <f t="shared" si="2605"/>
      </c>
      <c r="CO1266" s="933">
        <f t="shared" si="2605"/>
      </c>
      <c r="CP1266" s="1061">
        <f>SUM(CL1266:CO1266)</f>
      </c>
      <c r="CQ1266" s="933">
        <f>+(1+CQ1271)*CL1266</f>
      </c>
      <c r="CR1266" s="933">
        <f>+(1+CR1271)*CM1266</f>
      </c>
      <c r="CS1266" s="1227"/>
      <c r="CT1266" s="1231"/>
      <c r="CU1266" s="2374"/>
      <c r="CV1266" s="1270"/>
      <c r="CW1266" s="1227"/>
      <c r="CX1266" s="1227"/>
      <c r="CY1266" s="1231"/>
      <c r="CZ1266" s="1228"/>
      <c r="DA1266" s="1322"/>
      <c r="DB1266" s="1357"/>
      <c r="DC1266" s="1357"/>
      <c r="DD1266" s="1345"/>
      <c r="DE1266" s="1811"/>
      <c r="DF1266" s="1836"/>
      <c r="DG1266" s="1822"/>
      <c r="DH1266" s="1822"/>
      <c r="DI1266" s="1837"/>
      <c r="DJ1266" s="1811"/>
      <c r="DK1266" s="1811"/>
      <c r="DL1266" s="1811"/>
      <c r="DM1266" s="1811"/>
      <c r="DN1266" s="1811"/>
      <c r="DO1266" s="1811"/>
      <c r="DP1266" s="1836"/>
      <c r="DQ1266" s="1822"/>
      <c r="DR1266" s="1822"/>
      <c r="DS1266" s="1822"/>
      <c r="DT1266" s="1811"/>
      <c r="DU1266" s="1836"/>
      <c r="DV1266" s="1822"/>
      <c r="DW1266" s="1822"/>
      <c r="DX1266" s="1837"/>
      <c r="DY1266" s="1811"/>
      <c r="DZ1266" s="1822"/>
      <c r="EA1266" s="1822"/>
      <c r="EB1266" s="1837"/>
      <c r="EC1266" s="1837"/>
      <c r="ED1266" s="1811"/>
      <c r="EE1266" s="1822"/>
      <c r="EF1266" s="1822"/>
      <c r="EG1266" s="1822"/>
      <c r="EH1266" s="1836"/>
      <c r="EI1266" s="1811"/>
      <c r="EJ1266" s="1811"/>
      <c r="EK1266" s="1811"/>
      <c r="EL1266" s="1811"/>
      <c r="EM1266" s="1811"/>
      <c r="EN1266" s="1811"/>
      <c r="EO1266" s="1811"/>
      <c r="EP1266" s="1811"/>
      <c r="EQ1266" s="1811"/>
      <c r="ER1266" s="1811"/>
      <c r="ES1266" s="1811"/>
      <c r="ET1266" s="1811"/>
      <c r="EU1266" s="1811"/>
      <c r="EV1266" s="1811"/>
      <c r="EW1266" s="1811"/>
      <c r="EX1266" s="1811"/>
    </row>
    <row r="1267" spans="2:154" ht="12.75" hidden="1" customHeight="1" outlineLevel="2">
      <c r="B1267" s="437" t="s">
        <v>413</v>
      </c>
      <c r="C1267" s="1577"/>
      <c r="D1267" s="933"/>
      <c r="E1267" s="933"/>
      <c r="F1267" s="933"/>
      <c r="G1267" s="933"/>
      <c r="H1267" s="933"/>
      <c r="I1267" s="933"/>
      <c r="J1267" s="933"/>
      <c r="K1267" s="933"/>
      <c r="L1267" s="933"/>
      <c r="M1267" s="933"/>
      <c r="N1267" s="933"/>
      <c r="O1267" s="933"/>
      <c r="P1267" s="933"/>
      <c r="Q1267" s="933"/>
      <c r="R1267" s="933"/>
      <c r="S1267" s="933"/>
      <c r="T1267" s="933"/>
      <c r="U1267" s="933"/>
      <c r="V1267" s="933"/>
      <c r="W1267" s="933"/>
      <c r="X1267" s="1061"/>
      <c r="Y1267" s="933"/>
      <c r="Z1267" s="933"/>
      <c r="AA1267" s="933"/>
      <c r="AB1267" s="933"/>
      <c r="AC1267" s="1061">
        <f t="shared" ref="AC1267:BT1267" si="2606">+AC1266+AC1265</f>
      </c>
      <c r="AD1267" s="933">
        <f t="shared" si="2606"/>
      </c>
      <c r="AE1267" s="933">
        <f t="shared" si="2606"/>
      </c>
      <c r="AF1267" s="933">
        <f t="shared" si="2606"/>
      </c>
      <c r="AG1267" s="933">
        <f t="shared" si="2606"/>
      </c>
      <c r="AH1267" s="1061">
        <f t="shared" si="2606"/>
      </c>
      <c r="AI1267" s="933">
        <f t="shared" si="2606"/>
      </c>
      <c r="AJ1267" s="933">
        <f t="shared" si="2606"/>
      </c>
      <c r="AK1267" s="933">
        <f t="shared" si="2606"/>
      </c>
      <c r="AL1267" s="933">
        <f t="shared" si="2606"/>
      </c>
      <c r="AM1267" s="1061">
        <f t="shared" si="2606"/>
      </c>
      <c r="AN1267" s="933">
        <f t="shared" si="2606"/>
      </c>
      <c r="AO1267" s="933">
        <f t="shared" si="2606"/>
      </c>
      <c r="AP1267" s="933">
        <f t="shared" si="2606"/>
      </c>
      <c r="AQ1267" s="933">
        <f t="shared" si="2606"/>
      </c>
      <c r="AR1267" s="1061">
        <f t="shared" si="2606"/>
      </c>
      <c r="AS1267" s="933">
        <f t="shared" si="2606"/>
      </c>
      <c r="AT1267" s="933">
        <f t="shared" si="2606"/>
      </c>
      <c r="AU1267" s="933">
        <f t="shared" si="2606"/>
      </c>
      <c r="AV1267" s="933">
        <f t="shared" si="2606"/>
      </c>
      <c r="AW1267" s="1061">
        <f t="shared" si="2606"/>
      </c>
      <c r="AX1267" s="933">
        <f t="shared" si="2606"/>
      </c>
      <c r="AY1267" s="933">
        <f t="shared" si="2606"/>
      </c>
      <c r="AZ1267" s="933">
        <f t="shared" si="2606"/>
      </c>
      <c r="BA1267" s="933">
        <f t="shared" si="2606"/>
      </c>
      <c r="BB1267" s="1061">
        <f t="shared" si="2606"/>
      </c>
      <c r="BC1267" s="933">
        <f t="shared" si="2606"/>
      </c>
      <c r="BD1267" s="933">
        <f t="shared" si="2606"/>
      </c>
      <c r="BE1267" s="933">
        <f t="shared" si="2606"/>
      </c>
      <c r="BF1267" s="933">
        <f t="shared" si="2606"/>
      </c>
      <c r="BG1267" s="1061">
        <f t="shared" si="2606"/>
      </c>
      <c r="BH1267" s="933">
        <f>+BH1266+BH1265</f>
      </c>
      <c r="BI1267" s="933">
        <f>+BI1266+BI1265</f>
      </c>
      <c r="BJ1267" s="933">
        <f>+BJ1266+BJ1265</f>
      </c>
      <c r="BK1267" s="933">
        <f>+BK1265+BK1266</f>
      </c>
      <c r="BL1267" s="313">
        <f>SUM(BH1267:BK1267)</f>
      </c>
      <c r="BM1267" s="933">
        <f>+BM1266+BM1265</f>
      </c>
      <c r="BN1267" s="933">
        <f>+BN1266+BN1265</f>
      </c>
      <c r="BO1267" s="933">
        <f>+BO1266+BO1265</f>
      </c>
      <c r="BP1267" s="933">
        <f>+BP1265+BP1266</f>
      </c>
      <c r="BQ1267" s="313">
        <f>SUM(BM1267:BP1267)</f>
      </c>
      <c r="BR1267" s="933">
        <f t="shared" si="2606"/>
      </c>
      <c r="BS1267" s="933">
        <f>+BS1266+BS1265</f>
      </c>
      <c r="BT1267" s="933">
        <f t="shared" si="2606"/>
      </c>
      <c r="BU1267" s="933">
        <f>+BU1265+BU1266</f>
      </c>
      <c r="BV1267" s="313">
        <f>SUM(BR1267:BU1267)</f>
      </c>
      <c r="BW1267" s="933">
        <f>+BW1266+BW1265</f>
      </c>
      <c r="BX1267" s="933">
        <f>+BX1266+BX1265</f>
      </c>
      <c r="BY1267" s="933">
        <f>+BY1266+BY1265</f>
      </c>
      <c r="BZ1267" s="933">
        <f>+BZ1266+BZ1265</f>
      </c>
      <c r="CA1267" s="313">
        <f>SUM(BW1267:BZ1267)</f>
      </c>
      <c r="CB1267" s="933">
        <f>+CB1266+CB1265</f>
      </c>
      <c r="CC1267" s="933">
        <f>+CC1266+CC1265</f>
      </c>
      <c r="CD1267" s="933">
        <f>+CD1266+CD1265</f>
      </c>
      <c r="CE1267" s="933">
        <f>+CE1266+CE1265</f>
      </c>
      <c r="CF1267" s="1061">
        <f>SUM(CB1267:CE1267)</f>
      </c>
      <c r="CG1267" s="933">
        <f>+CG1266+CG1265</f>
      </c>
      <c r="CH1267" s="933">
        <f>+CH1266+CH1265</f>
      </c>
      <c r="CI1267" s="933">
        <f>+CI1266+CI1265</f>
      </c>
      <c r="CJ1267" s="933">
        <f>+CJ1266+CJ1265</f>
      </c>
      <c r="CK1267" s="1061">
        <f>SUM(CG1267:CJ1267)</f>
      </c>
      <c r="CL1267" s="961">
        <f>+CL1266+CL1265</f>
      </c>
      <c r="CM1267" s="933">
        <f>+CM1266+CM1265</f>
      </c>
      <c r="CN1267" s="933">
        <f>+CN1266+CN1265</f>
      </c>
      <c r="CO1267" s="933">
        <f>+CO1266+CO1265</f>
      </c>
      <c r="CP1267" s="1061">
        <f>SUM(CL1267:CO1267)</f>
      </c>
      <c r="CQ1267" s="933">
        <f>+CQ1266+CQ1265</f>
      </c>
      <c r="CR1267" s="933">
        <f>+CR1266+CR1265</f>
      </c>
      <c r="CS1267" s="1227"/>
      <c r="CT1267" s="1231"/>
      <c r="CU1267" s="2374"/>
      <c r="CV1267" s="1270"/>
      <c r="CW1267" s="1227"/>
      <c r="CX1267" s="1227"/>
      <c r="CY1267" s="1231"/>
      <c r="CZ1267" s="2374"/>
      <c r="DA1267" s="1270"/>
      <c r="DB1267" s="1227"/>
      <c r="DC1267" s="1227"/>
      <c r="DD1267" s="1231"/>
      <c r="DE1267" s="1863"/>
      <c r="DF1267" s="2375"/>
      <c r="DG1267" s="1842"/>
      <c r="DH1267" s="1842"/>
      <c r="DI1267" s="1942"/>
      <c r="DJ1267" s="1863"/>
      <c r="DK1267" s="1863"/>
      <c r="DL1267" s="1863"/>
      <c r="DM1267" s="1863"/>
      <c r="DN1267" s="1863"/>
      <c r="DO1267" s="1863"/>
      <c r="DP1267" s="2375"/>
      <c r="DQ1267" s="1842"/>
      <c r="DR1267" s="1842"/>
      <c r="DS1267" s="1842"/>
      <c r="DT1267" s="1863"/>
      <c r="DU1267" s="2375"/>
      <c r="DV1267" s="1842"/>
      <c r="DW1267" s="1842"/>
      <c r="DX1267" s="1942"/>
      <c r="DY1267" s="1863"/>
      <c r="DZ1267" s="1842"/>
      <c r="EA1267" s="1842"/>
      <c r="EB1267" s="1942"/>
      <c r="EC1267" s="1942"/>
      <c r="ED1267" s="1863"/>
      <c r="EE1267" s="1842"/>
      <c r="EF1267" s="1842"/>
      <c r="EG1267" s="1842"/>
      <c r="EH1267" s="2375"/>
      <c r="EI1267" s="1863"/>
      <c r="EJ1267" s="1863"/>
      <c r="EK1267" s="1863"/>
      <c r="EL1267" s="1863"/>
      <c r="EM1267" s="1863"/>
      <c r="EN1267" s="1863"/>
      <c r="EO1267" s="1863"/>
      <c r="EP1267" s="1863"/>
      <c r="EQ1267" s="1863"/>
      <c r="ER1267" s="1863"/>
      <c r="ES1267" s="1863"/>
      <c r="ET1267" s="1863"/>
      <c r="EU1267" s="1863"/>
      <c r="EV1267" s="1863"/>
      <c r="EW1267" s="1863"/>
      <c r="EX1267" s="1863"/>
    </row>
    <row r="1268" spans="2:154" ht="12.75" hidden="1" customHeight="1" outlineLevel="2">
      <c r="B1268" s="442"/>
      <c r="C1268" s="1577"/>
      <c r="D1268" s="933"/>
      <c r="E1268" s="933"/>
      <c r="F1268" s="933"/>
      <c r="G1268" s="933"/>
      <c r="H1268" s="933"/>
      <c r="I1268" s="933"/>
      <c r="J1268" s="933"/>
      <c r="K1268" s="933"/>
      <c r="L1268" s="933"/>
      <c r="M1268" s="933"/>
      <c r="N1268" s="933"/>
      <c r="O1268" s="933"/>
      <c r="P1268" s="933"/>
      <c r="Q1268" s="933"/>
      <c r="R1268" s="933"/>
      <c r="S1268" s="933"/>
      <c r="T1268" s="933"/>
      <c r="U1268" s="933"/>
      <c r="V1268" s="933"/>
      <c r="W1268" s="933"/>
      <c r="X1268" s="1061"/>
      <c r="Y1268" s="933"/>
      <c r="Z1268" s="933"/>
      <c r="AA1268" s="933"/>
      <c r="AB1268" s="933"/>
      <c r="AC1268" s="1061"/>
      <c r="AD1268" s="933"/>
      <c r="AE1268" s="933"/>
      <c r="AF1268" s="933"/>
      <c r="AG1268" s="933"/>
      <c r="AH1268" s="1061"/>
      <c r="AI1268" s="933"/>
      <c r="AJ1268" s="933"/>
      <c r="AK1268" s="933"/>
      <c r="AL1268" s="933"/>
      <c r="AM1268" s="1061"/>
      <c r="AN1268" s="933"/>
      <c r="AO1268" s="933"/>
      <c r="AP1268" s="933"/>
      <c r="AQ1268" s="933"/>
      <c r="AR1268" s="1061"/>
      <c r="AS1268" s="933"/>
      <c r="AT1268" s="933"/>
      <c r="AU1268" s="933"/>
      <c r="AV1268" s="933"/>
      <c r="AW1268" s="1061"/>
      <c r="AX1268" s="933"/>
      <c r="AY1268" s="933"/>
      <c r="AZ1268" s="933"/>
      <c r="BA1268" s="933"/>
      <c r="BB1268" s="1061"/>
      <c r="BC1268" s="933"/>
      <c r="BD1268" s="933"/>
      <c r="BE1268" s="933"/>
      <c r="BF1268" s="933"/>
      <c r="BG1268" s="313"/>
      <c r="BH1268" s="933"/>
      <c r="BI1268" s="933"/>
      <c r="BJ1268" s="933"/>
      <c r="BK1268" s="933"/>
      <c r="BL1268" s="313"/>
      <c r="BM1268" s="933"/>
      <c r="BN1268" s="933"/>
      <c r="BO1268" s="933"/>
      <c r="BP1268" s="933"/>
      <c r="BQ1268" s="313"/>
      <c r="BR1268" s="933"/>
      <c r="BS1268" s="933"/>
      <c r="BT1268" s="933"/>
      <c r="BU1268" s="933"/>
      <c r="BV1268" s="313"/>
      <c r="BW1268" s="933"/>
      <c r="BX1268" s="933"/>
      <c r="BY1268" s="933"/>
      <c r="BZ1268" s="933"/>
      <c r="CA1268" s="1060"/>
      <c r="CB1268" s="933"/>
      <c r="CC1268" s="933"/>
      <c r="CD1268" s="933"/>
      <c r="CE1268" s="933"/>
      <c r="CF1268" s="313"/>
      <c r="CG1268" s="933"/>
      <c r="CH1268" s="933"/>
      <c r="CI1268" s="933"/>
      <c r="CJ1268" s="933"/>
      <c r="CK1268" s="313"/>
      <c r="CL1268" s="961"/>
      <c r="CM1268" s="933"/>
      <c r="CN1268" s="933"/>
      <c r="CO1268" s="933"/>
      <c r="CP1268" s="313"/>
      <c r="CQ1268" s="933"/>
      <c r="CR1268" s="933"/>
      <c r="CS1268" s="1227"/>
      <c r="CT1268" s="1231"/>
      <c r="CU1268" s="1228"/>
      <c r="CV1268" s="1270"/>
      <c r="CW1268" s="1227"/>
      <c r="CX1268" s="1227"/>
      <c r="CY1268" s="1231"/>
      <c r="CZ1268" s="1228"/>
      <c r="DA1268" s="1322"/>
      <c r="DB1268" s="1357"/>
      <c r="DC1268" s="1357"/>
      <c r="DD1268" s="1345"/>
      <c r="DE1268" s="1811"/>
      <c r="DF1268" s="1836"/>
      <c r="DG1268" s="1822"/>
      <c r="DH1268" s="1822"/>
      <c r="DI1268" s="1837"/>
      <c r="DJ1268" s="1811"/>
      <c r="DK1268" s="1811"/>
      <c r="DL1268" s="1811"/>
      <c r="DM1268" s="1811"/>
      <c r="DN1268" s="1811"/>
      <c r="DO1268" s="1811"/>
      <c r="DP1268" s="1836"/>
      <c r="DQ1268" s="1822"/>
      <c r="DR1268" s="1822"/>
      <c r="DS1268" s="1822"/>
      <c r="DT1268" s="1811"/>
      <c r="DU1268" s="1836"/>
      <c r="DV1268" s="1822"/>
      <c r="DW1268" s="1822"/>
      <c r="DX1268" s="1837"/>
      <c r="DY1268" s="1811"/>
      <c r="DZ1268" s="1822"/>
      <c r="EA1268" s="1822"/>
      <c r="EB1268" s="1837"/>
      <c r="EC1268" s="1837"/>
      <c r="ED1268" s="1811"/>
      <c r="EE1268" s="1822"/>
      <c r="EF1268" s="1822"/>
      <c r="EG1268" s="1822"/>
      <c r="EH1268" s="1836"/>
      <c r="EI1268" s="1811"/>
      <c r="EJ1268" s="1811"/>
      <c r="EK1268" s="1811"/>
      <c r="EL1268" s="1811"/>
      <c r="EM1268" s="1811"/>
      <c r="EN1268" s="1811"/>
      <c r="EO1268" s="1811"/>
      <c r="EP1268" s="1811"/>
      <c r="EQ1268" s="1811"/>
      <c r="ER1268" s="1811"/>
      <c r="ES1268" s="1811"/>
      <c r="ET1268" s="1811"/>
      <c r="EU1268" s="1811"/>
      <c r="EV1268" s="1811"/>
      <c r="EW1268" s="1811"/>
      <c r="EX1268" s="1811"/>
    </row>
    <row r="1269" spans="2:154" ht="12.75" hidden="1" customHeight="1" outlineLevel="2">
      <c r="B1269" s="439" t="s">
        <v>365</v>
      </c>
      <c r="C1269" s="1577"/>
      <c r="D1269" s="933"/>
      <c r="E1269" s="933"/>
      <c r="F1269" s="933"/>
      <c r="G1269" s="933"/>
      <c r="H1269" s="933"/>
      <c r="I1269" s="933"/>
      <c r="J1269" s="933"/>
      <c r="K1269" s="933"/>
      <c r="L1269" s="933"/>
      <c r="M1269" s="933"/>
      <c r="N1269" s="933"/>
      <c r="O1269" s="933"/>
      <c r="P1269" s="933"/>
      <c r="Q1269" s="933"/>
      <c r="R1269" s="933"/>
      <c r="S1269" s="933"/>
      <c r="T1269" s="933"/>
      <c r="U1269" s="933"/>
      <c r="V1269" s="933"/>
      <c r="W1269" s="933"/>
      <c r="X1269" s="1061"/>
      <c r="Y1269" s="933"/>
      <c r="Z1269" s="933"/>
      <c r="AA1269" s="933"/>
      <c r="AB1269" s="933"/>
      <c r="AC1269" s="1061"/>
      <c r="AD1269" s="933"/>
      <c r="AE1269" s="933"/>
      <c r="AF1269" s="933"/>
      <c r="AG1269" s="933"/>
      <c r="AH1269" s="1061"/>
      <c r="AI1269" s="933"/>
      <c r="AJ1269" s="933"/>
      <c r="AK1269" s="933"/>
      <c r="AL1269" s="933"/>
      <c r="AM1269" s="1061"/>
      <c r="AN1269" s="933"/>
      <c r="AO1269" s="933"/>
      <c r="AP1269" s="933"/>
      <c r="AQ1269" s="933"/>
      <c r="AR1269" s="1061"/>
      <c r="AS1269" s="933"/>
      <c r="AT1269" s="933"/>
      <c r="AU1269" s="933"/>
      <c r="AV1269" s="933"/>
      <c r="AW1269" s="1061"/>
      <c r="AX1269" s="933"/>
      <c r="AY1269" s="933"/>
      <c r="AZ1269" s="933"/>
      <c r="BA1269" s="933"/>
      <c r="BB1269" s="1061"/>
      <c r="BC1269" s="933"/>
      <c r="BD1269" s="933"/>
      <c r="BE1269" s="933"/>
      <c r="BF1269" s="933"/>
      <c r="BG1269" s="313"/>
      <c r="BH1269" s="933"/>
      <c r="BI1269" s="933"/>
      <c r="BJ1269" s="933"/>
      <c r="BK1269" s="933"/>
      <c r="BL1269" s="313"/>
      <c r="BM1269" s="933"/>
      <c r="BN1269" s="933"/>
      <c r="BO1269" s="933"/>
      <c r="BP1269" s="933"/>
      <c r="BQ1269" s="313"/>
      <c r="BR1269" s="933"/>
      <c r="BS1269" s="933"/>
      <c r="BT1269" s="933"/>
      <c r="BU1269" s="933"/>
      <c r="BV1269" s="313"/>
      <c r="BW1269" s="933"/>
      <c r="BX1269" s="933"/>
      <c r="BY1269" s="933"/>
      <c r="BZ1269" s="933"/>
      <c r="CA1269" s="313"/>
      <c r="CB1269" s="933"/>
      <c r="CC1269" s="933"/>
      <c r="CD1269" s="933"/>
      <c r="CE1269" s="933"/>
      <c r="CF1269" s="313"/>
      <c r="CG1269" s="933"/>
      <c r="CH1269" s="933"/>
      <c r="CI1269" s="933"/>
      <c r="CJ1269" s="933"/>
      <c r="CK1269" s="313"/>
      <c r="CL1269" s="961"/>
      <c r="CM1269" s="933"/>
      <c r="CN1269" s="933"/>
      <c r="CO1269" s="933"/>
      <c r="CP1269" s="313"/>
      <c r="CQ1269" s="933"/>
      <c r="CR1269" s="933"/>
      <c r="CS1269" s="1227"/>
      <c r="CT1269" s="1231"/>
      <c r="CU1269" s="1228"/>
      <c r="CV1269" s="1270"/>
      <c r="CW1269" s="1227"/>
      <c r="CX1269" s="1227"/>
      <c r="CY1269" s="1231"/>
      <c r="CZ1269" s="1228"/>
      <c r="DA1269" s="1322"/>
      <c r="DB1269" s="1357"/>
      <c r="DC1269" s="1357"/>
      <c r="DD1269" s="1345"/>
      <c r="DE1269" s="1811"/>
      <c r="DF1269" s="1836"/>
      <c r="DG1269" s="1822"/>
      <c r="DH1269" s="1822"/>
      <c r="DI1269" s="1837"/>
      <c r="DJ1269" s="1811"/>
      <c r="DK1269" s="1811"/>
      <c r="DL1269" s="1811"/>
      <c r="DM1269" s="1811"/>
      <c r="DN1269" s="1811"/>
      <c r="DO1269" s="1811"/>
      <c r="DP1269" s="1836"/>
      <c r="DQ1269" s="1822"/>
      <c r="DR1269" s="1822"/>
      <c r="DS1269" s="1822"/>
      <c r="DT1269" s="1811"/>
      <c r="DU1269" s="1836"/>
      <c r="DV1269" s="1822"/>
      <c r="DW1269" s="1822"/>
      <c r="DX1269" s="1837"/>
      <c r="DY1269" s="1811"/>
      <c r="DZ1269" s="1822"/>
      <c r="EA1269" s="1822"/>
      <c r="EB1269" s="1837"/>
      <c r="EC1269" s="1837"/>
      <c r="ED1269" s="1811"/>
      <c r="EE1269" s="1822"/>
      <c r="EF1269" s="1822"/>
      <c r="EG1269" s="1822"/>
      <c r="EH1269" s="1836"/>
      <c r="EI1269" s="1811"/>
      <c r="EJ1269" s="1811"/>
      <c r="EK1269" s="1811"/>
      <c r="EL1269" s="1811"/>
      <c r="EM1269" s="1811"/>
      <c r="EN1269" s="1811"/>
      <c r="EO1269" s="1811"/>
      <c r="EP1269" s="1811"/>
      <c r="EQ1269" s="1811"/>
      <c r="ER1269" s="1811"/>
      <c r="ES1269" s="1811"/>
      <c r="ET1269" s="1811"/>
      <c r="EU1269" s="1811"/>
      <c r="EV1269" s="1811"/>
      <c r="EW1269" s="1811"/>
      <c r="EX1269" s="1811"/>
    </row>
    <row r="1270" spans="2:154" ht="12.75" hidden="1" customHeight="1" outlineLevel="2">
      <c r="B1270" s="443" t="s">
        <v>156</v>
      </c>
      <c r="C1270" s="1577"/>
      <c r="D1270" s="933"/>
      <c r="E1270" s="933"/>
      <c r="F1270" s="933"/>
      <c r="G1270" s="933"/>
      <c r="H1270" s="933"/>
      <c r="I1270" s="933"/>
      <c r="J1270" s="933"/>
      <c r="K1270" s="933"/>
      <c r="L1270" s="933"/>
      <c r="M1270" s="933"/>
      <c r="N1270" s="933"/>
      <c r="O1270" s="933"/>
      <c r="P1270" s="933"/>
      <c r="Q1270" s="933"/>
      <c r="R1270" s="933"/>
      <c r="S1270" s="933"/>
      <c r="T1270" s="933"/>
      <c r="U1270" s="933"/>
      <c r="V1270" s="933"/>
      <c r="W1270" s="933"/>
      <c r="X1270" s="1060"/>
      <c r="Y1270" s="933"/>
      <c r="Z1270" s="933"/>
      <c r="AA1270" s="933"/>
      <c r="AB1270" s="933"/>
      <c r="AC1270" s="1060"/>
      <c r="AD1270" s="926"/>
      <c r="AE1270" s="926"/>
      <c r="AF1270" s="926"/>
      <c r="AG1270" s="926"/>
      <c r="AH1270" s="1060">
        <v>0.11</v>
      </c>
      <c r="AI1270" s="926">
        <v>6.2E-2</v>
      </c>
      <c r="AJ1270" s="926">
        <v>7.4999999999999997E-2</v>
      </c>
      <c r="AK1270" s="926">
        <v>8.3000000000000004E-2</v>
      </c>
      <c r="AL1270" s="926">
        <v>2.9000000000000001E-2</v>
      </c>
      <c r="AM1270" s="1060">
        <f>IF(AH1265="NM","NM",IF(AM1265="NM","NM",IF(AH1265&lt;=0,"NM",IF(AM1265=0,"NM",IF(ABS(AM1265/AH1265-1)&gt;2.5,"NM",IF((ABS(AM1265-AH1265)=ABS(ABS(AM1265)-ABS(AH1265))),(AM1265/AH1265-1),"NM"))))))</f>
      </c>
      <c r="AN1270" s="926">
        <v>0.18</v>
      </c>
      <c r="AO1270" s="926">
        <v>0.27</v>
      </c>
      <c r="AP1270" s="926">
        <v>0.23</v>
      </c>
      <c r="AQ1270" s="926">
        <v>0.23</v>
      </c>
      <c r="AR1270" s="1060">
        <f>IF(AM1265="NM","NM",IF(AR1265="NM","NM",IF(AM1265&lt;=0,"NM",IF(AR1265=0,"NM",IF(ABS(AR1265/AM1265-1)&gt;2.5,"NM",IF((ABS(AR1265-AM1265)=ABS(ABS(AR1265)-ABS(AM1265))),(AR1265/AM1265-1),"NM"))))))</f>
      </c>
      <c r="AS1270" s="926">
        <v>7.9000000000000001E-2</v>
      </c>
      <c r="AT1270" s="926">
        <v>-2E-3</v>
      </c>
      <c r="AU1270" s="926">
        <v>0.10199999999999999</v>
      </c>
      <c r="AV1270" s="926">
        <v>0.108</v>
      </c>
      <c r="AW1270" s="1060">
        <f>IF(AR1265="NM","NM",IF(AW1265="NM","NM",IF(AR1265&lt;=0,"NM",IF(AW1265=0,"NM",IF(ABS(AW1265/AR1265-1)&gt;2.5,"NM",IF((ABS(AW1265-AR1265)=ABS(ABS(AW1265)-ABS(AR1265))),(AW1265/AR1265-1),"NM"))))))</f>
      </c>
      <c r="AX1270" s="926">
        <v>0.13400000000000001</v>
      </c>
      <c r="AY1270" s="926">
        <v>0.13200000000000001</v>
      </c>
      <c r="AZ1270" s="926">
        <v>0.09</v>
      </c>
      <c r="BA1270" s="926">
        <v>0.11</v>
      </c>
      <c r="BB1270" s="1060">
        <f>IF(AW1265="NM","NM",IF(BB1265="NM","NM",IF(AW1265&lt;=0,"NM",IF(BB1265=0,"NM",IF(ABS(BB1265/AW1265-1)&gt;2.5,"NM",IF((ABS(BB1265-AW1265)=ABS(ABS(BB1265)-ABS(AW1265))),(BB1265/AW1265-1),"NM"))))))</f>
      </c>
      <c r="BC1270" s="926">
        <v>0.121</v>
      </c>
      <c r="BD1270" s="926">
        <v>0.121</v>
      </c>
      <c r="BE1270" s="29">
        <v>0.13</v>
      </c>
      <c r="BF1270" s="29">
        <v>0.17</v>
      </c>
      <c r="BG1270" s="1060">
        <f>IF(BB1265="NM","NM",IF(BG1265="NM","NM",IF(BB1265&lt;=0,"NM",IF(BG1265=0,"NM",IF(ABS(BG1265/BB1265-1)&gt;2.5,"NM",IF((ABS(BG1265-BB1265)=ABS(ABS(BG1265)-ABS(BB1265))),(BG1265/BB1265-1),"NM"))))))</f>
      </c>
      <c r="BH1270" s="29">
        <v>0.08</v>
      </c>
      <c r="BI1270" s="926">
        <f t="shared" ref="BI1270:BV1271" si="2607">IF(BD1265="NM","NM",IF(BI1265="NM","NM",IF(BD1265&lt;=0,"NM",IF(BI1265=0,"NM",IF(ABS(BI1265/BD1265-1)&gt;2.5,"NM",IF((ABS(BI1265-BD1265)=ABS(ABS(BI1265)-ABS(BD1265))),(BI1265/BD1265-1),"NM"))))))</f>
      </c>
      <c r="BJ1270" s="926">
        <f t="shared" si="2607"/>
      </c>
      <c r="BK1270" s="926">
        <f t="shared" si="2607"/>
      </c>
      <c r="BL1270" s="1060">
        <f>IF(BG1265="NM","NM",IF(BL1265="NM","NM",IF(BG1265&lt;=0,"NM",IF(BL1265=0,"NM",IF(ABS(BL1265/BG1265-1)&gt;2.5,"NM",IF((ABS(BL1265-BG1265)=ABS(ABS(BL1265)-ABS(BG1265))),(BL1265/BG1265-1),"NM"))))))</f>
      </c>
      <c r="BM1270" s="926">
        <f t="shared" si="2607"/>
      </c>
      <c r="BN1270" s="926">
        <f t="shared" si="2607"/>
      </c>
      <c r="BO1270" s="926">
        <f t="shared" si="2607"/>
      </c>
      <c r="BP1270" s="926">
        <f t="shared" si="2607"/>
      </c>
      <c r="BQ1270" s="1060">
        <f t="shared" si="2607"/>
      </c>
      <c r="BR1270" s="926">
        <f t="shared" si="2607"/>
      </c>
      <c r="BS1270" s="926">
        <f t="shared" si="2607"/>
      </c>
      <c r="BT1270" s="926">
        <f t="shared" si="2607"/>
      </c>
      <c r="BU1270" s="926">
        <f>IF(BP1265="NM","NM",IF(BU1265="NM","NM",IF(BP1265&lt;=0,"NM",IF(BU1265=0,"NM",IF(ABS(BU1265/BP1265-1)&gt;2.5,"NM",IF((ABS(BU1265-BP1265)=ABS(ABS(BU1265)-ABS(BP1265))),(BU1265/BP1265-1),"NM"))))))</f>
      </c>
      <c r="BV1270" s="1060">
        <f t="shared" si="2607"/>
      </c>
      <c r="BW1270" s="649">
        <v>-6.0000000000001164E-3</v>
      </c>
      <c r="BX1270" s="649">
        <v>5.2000000000000046E-2</v>
      </c>
      <c r="BY1270" s="649">
        <v>5.699999999999994E-2</v>
      </c>
      <c r="BZ1270" s="649">
        <v>7.2999999999999954E-2</v>
      </c>
      <c r="CA1270" s="2248">
        <f>IF(BV1265="NM","NM",IF(CA1265="NM","NM",IF(BV1265&lt;=0,"NM",IF(CA1265=0,"NM",IF(ABS(CA1265/BV1265-1)&gt;2.5,"NM",IF((ABS(CA1265-BV1265)=ABS(ABS(CA1265)-ABS(BV1265))),(CA1265/BV1265-1),"NM"))))))</f>
      </c>
      <c r="CB1270" s="649">
        <v>0.06</v>
      </c>
      <c r="CC1270" s="29">
        <v>0.08</v>
      </c>
      <c r="CD1270" s="29">
        <v>0.06</v>
      </c>
      <c r="CE1270" s="29">
        <v>0.06</v>
      </c>
      <c r="CF1270" s="2248">
        <f>IF(CA1265="NM","NM",IF(CF1265="NM","NM",IF(CA1265&lt;=0,"NM",IF(CF1265=0,"NM",IF(ABS(CF1265/CA1265-1)&gt;2.5,"NM",IF((ABS(CF1265-CA1265)=ABS(ABS(CF1265)-ABS(CA1265))),(CF1265/CA1265-1),"NM"))))))</f>
      </c>
      <c r="CG1270" s="29">
        <v>0.05</v>
      </c>
      <c r="CH1270" s="29">
        <v>0.03</v>
      </c>
      <c r="CI1270" s="29">
        <v>0.05</v>
      </c>
      <c r="CJ1270" s="29">
        <v>0.05</v>
      </c>
      <c r="CK1270" s="1060">
        <f>IF(CF1265=0, 0, CK1265/CF1265-1)</f>
      </c>
      <c r="CL1270" s="29">
        <v>0.04</v>
      </c>
      <c r="CM1270" s="29">
        <v>0.02</v>
      </c>
      <c r="CN1270" s="29">
        <v>0.02</v>
      </c>
      <c r="CO1270" s="29">
        <v>0.05</v>
      </c>
      <c r="CP1270" s="1060">
        <f>IF(CK1265=0, 0, CP1265/CK1265-1)</f>
      </c>
      <c r="CQ1270" s="659">
        <v>0.04</v>
      </c>
      <c r="CR1270" s="659">
        <v>0.04</v>
      </c>
      <c r="CS1270" s="1208"/>
      <c r="CT1270" s="1232"/>
      <c r="CU1270" s="1536"/>
      <c r="CV1270" s="1271"/>
      <c r="CW1270" s="1208"/>
      <c r="CX1270" s="1208"/>
      <c r="CY1270" s="1232"/>
      <c r="CZ1270" s="1234"/>
      <c r="DA1270" s="1271"/>
      <c r="DB1270" s="1208"/>
      <c r="DC1270" s="1208"/>
      <c r="DD1270" s="1232"/>
      <c r="DE1270" s="1234"/>
      <c r="DF1270" s="1271"/>
      <c r="DG1270" s="1208"/>
      <c r="DH1270" s="1208"/>
      <c r="DI1270" s="1232"/>
      <c r="DJ1270" s="1232"/>
      <c r="DK1270" s="1232"/>
      <c r="DL1270" s="1232"/>
      <c r="DM1270" s="1232"/>
      <c r="DN1270" s="1232"/>
      <c r="DO1270" s="1232"/>
      <c r="DP1270" s="1208"/>
      <c r="DQ1270" s="1208"/>
      <c r="DR1270" s="1208"/>
      <c r="DS1270" s="1208"/>
      <c r="DT1270" s="1234"/>
      <c r="DU1270" s="1208"/>
      <c r="DV1270" s="1208"/>
      <c r="DW1270" s="1208"/>
      <c r="DX1270" s="1232"/>
      <c r="DY1270" s="1234"/>
      <c r="DZ1270" s="1208"/>
      <c r="EA1270" s="1208"/>
      <c r="EB1270" s="1232"/>
      <c r="EC1270" s="1232"/>
      <c r="ED1270" s="1234"/>
      <c r="EE1270" s="1208"/>
      <c r="EF1270" s="1208"/>
      <c r="EG1270" s="1208"/>
      <c r="EH1270" s="1208"/>
      <c r="EI1270" s="1234"/>
      <c r="EJ1270" s="1234"/>
      <c r="EK1270" s="1234"/>
      <c r="EL1270" s="1234"/>
      <c r="EM1270" s="1234"/>
      <c r="EN1270" s="1234"/>
      <c r="EO1270" s="1234"/>
      <c r="EP1270" s="1234"/>
      <c r="EQ1270" s="1234"/>
      <c r="ER1270" s="1234"/>
      <c r="ES1270" s="1234"/>
      <c r="ET1270" s="1234"/>
      <c r="EU1270" s="1234"/>
      <c r="EV1270" s="1234"/>
      <c r="EW1270" s="1234"/>
      <c r="EX1270" s="1234"/>
    </row>
    <row r="1271" spans="2:154" ht="12.75" hidden="1" customHeight="1" outlineLevel="2">
      <c r="B1271" s="443" t="s">
        <v>235</v>
      </c>
      <c r="C1271" s="1577"/>
      <c r="D1271" s="933"/>
      <c r="E1271" s="933"/>
      <c r="F1271" s="933"/>
      <c r="G1271" s="933"/>
      <c r="H1271" s="933"/>
      <c r="I1271" s="933"/>
      <c r="J1271" s="933"/>
      <c r="K1271" s="933"/>
      <c r="L1271" s="933"/>
      <c r="M1271" s="933"/>
      <c r="N1271" s="933"/>
      <c r="O1271" s="933"/>
      <c r="P1271" s="933"/>
      <c r="Q1271" s="933"/>
      <c r="R1271" s="933"/>
      <c r="S1271" s="959"/>
      <c r="T1271" s="933"/>
      <c r="U1271" s="933"/>
      <c r="V1271" s="933"/>
      <c r="W1271" s="933"/>
      <c r="X1271" s="1060"/>
      <c r="Y1271" s="933"/>
      <c r="Z1271" s="933"/>
      <c r="AA1271" s="933"/>
      <c r="AB1271" s="933"/>
      <c r="AC1271" s="1060"/>
      <c r="AD1271" s="926"/>
      <c r="AE1271" s="926"/>
      <c r="AF1271" s="926"/>
      <c r="AG1271" s="926"/>
      <c r="AH1271" s="1060">
        <v>0.31</v>
      </c>
      <c r="AI1271" s="926">
        <v>0.30599999999999999</v>
      </c>
      <c r="AJ1271" s="926">
        <v>0.26600000000000001</v>
      </c>
      <c r="AK1271" s="926">
        <v>0.185</v>
      </c>
      <c r="AL1271" s="926">
        <v>0.06</v>
      </c>
      <c r="AM1271" s="1060">
        <f>IF(AH1266="NM","NM",IF(AM1266="NM","NM",IF(AH1266&lt;=0,"NM",IF(AM1266=0,"NM",IF(ABS(AM1266/AH1266-1)&gt;2.5,"NM",IF((ABS(AM1266-AH1266)=ABS(ABS(AM1266)-ABS(AH1266))),(AM1266/AH1266-1),"NM"))))))</f>
      </c>
      <c r="AN1271" s="926">
        <v>0.08</v>
      </c>
      <c r="AO1271" s="926">
        <v>0.126</v>
      </c>
      <c r="AP1271" s="926">
        <v>0.28999999999999998</v>
      </c>
      <c r="AQ1271" s="926">
        <v>0.33700000000000002</v>
      </c>
      <c r="AR1271" s="1060">
        <f>IF(AM1266="NM","NM",IF(AR1266="NM","NM",IF(AM1266&lt;=0,"NM",IF(AR1266=0,"NM",IF(ABS(AR1266/AM1266-1)&gt;2.5,"NM",IF((ABS(AR1266-AM1266)=ABS(ABS(AR1266)-ABS(AM1266))),(AR1266/AM1266-1),"NM"))))))</f>
      </c>
      <c r="AS1271" s="926">
        <v>0.38200000000000001</v>
      </c>
      <c r="AT1271" s="926">
        <v>0.31900000000000001</v>
      </c>
      <c r="AU1271" s="926">
        <v>0.26900000000000002</v>
      </c>
      <c r="AV1271" s="926">
        <v>0.32200000000000001</v>
      </c>
      <c r="AW1271" s="1060">
        <f>IF(AR1266="NM","NM",IF(AW1266="NM","NM",IF(AR1266&lt;=0,"NM",IF(AW1266=0,"NM",IF(ABS(AW1266/AR1266-1)&gt;2.5,"NM",IF((ABS(AW1266-AR1266)=ABS(ABS(AW1266)-ABS(AR1266))),(AW1266/AR1266-1),"NM"))))))</f>
      </c>
      <c r="AX1271" s="926">
        <v>0.216</v>
      </c>
      <c r="AY1271" s="926">
        <v>0.314</v>
      </c>
      <c r="AZ1271" s="926">
        <v>0.22</v>
      </c>
      <c r="BA1271" s="926">
        <v>0.01</v>
      </c>
      <c r="BB1271" s="1060">
        <f>IF(AW1266="NM","NM",IF(BB1266="NM","NM",IF(AW1266&lt;=0,"NM",IF(BB1266=0,"NM",IF(ABS(BB1266/AW1266-1)&gt;2.5,"NM",IF((ABS(BB1266-AW1266)=ABS(ABS(BB1266)-ABS(AW1266))),(BB1266/AW1266-1),"NM"))))))</f>
      </c>
      <c r="BC1271" s="926">
        <v>-6.3E-2</v>
      </c>
      <c r="BD1271" s="926">
        <v>-6.3E-2</v>
      </c>
      <c r="BE1271" s="926">
        <f>IF(ISNUMBER(BE1272),(1+BE1272)*(1+BE$21)-1,"NM")</f>
      </c>
      <c r="BF1271" s="926">
        <f>IF(ISNUMBER(BF1272),(1+BF1272)*(1+BF$21)-1,"NM")</f>
      </c>
      <c r="BG1271" s="1060">
        <f>IF(BB1266="NM","NM",IF(BG1266="NM","NM",IF(BB1266&lt;=0,"NM",IF(BG1266=0,"NM",IF(ABS(BG1266/BB1266-1)&gt;2.5,"NM",IF((ABS(BG1266-BB1266)=ABS(ABS(BG1266)-ABS(BB1266))),(BG1266/BB1266-1),"NM"))))))</f>
      </c>
      <c r="BH1271" s="926">
        <f>IF(ISNUMBER(BH1272),(1+BH1272)*(1+BH$21)-1,"NM")</f>
      </c>
      <c r="BI1271" s="926">
        <f t="shared" si="2607"/>
      </c>
      <c r="BJ1271" s="926">
        <f t="shared" si="2607"/>
      </c>
      <c r="BK1271" s="926">
        <f t="shared" si="2607"/>
      </c>
      <c r="BL1271" s="1060">
        <f>IF(BG1266="NM","NM",IF(BL1266="NM","NM",IF(BG1266&lt;=0,"NM",IF(BL1266=0,"NM",IF(ABS(BL1266/BG1266-1)&gt;2.5,"NM",IF((ABS(BL1266-BG1266)=ABS(ABS(BL1266)-ABS(BG1266))),(BL1266/BG1266-1),"NM"))))))</f>
      </c>
      <c r="BM1271" s="926">
        <f t="shared" si="2607"/>
      </c>
      <c r="BN1271" s="926">
        <f t="shared" si="2607"/>
      </c>
      <c r="BO1271" s="926">
        <f t="shared" si="2607"/>
      </c>
      <c r="BP1271" s="926">
        <f t="shared" si="2607"/>
      </c>
      <c r="BQ1271" s="1060">
        <f t="shared" si="2607"/>
      </c>
      <c r="BR1271" s="926">
        <f t="shared" si="2607"/>
      </c>
      <c r="BS1271" s="926">
        <f t="shared" si="2607"/>
      </c>
      <c r="BT1271" s="926">
        <f t="shared" si="2607"/>
      </c>
      <c r="BU1271" s="926">
        <f>IF(BP1266="NM","NM",IF(BU1266="NM","NM",IF(BP1266&lt;=0,"NM",IF(BU1266=0,"NM",IF(ABS(BU1266/BP1266-1)&gt;2.5,"NM",IF((ABS(BU1266-BP1266)=ABS(ABS(BU1266)-ABS(BP1266))),(BU1266/BP1266-1),"NM"))))))</f>
      </c>
      <c r="BV1271" s="1060">
        <f t="shared" si="2607"/>
      </c>
      <c r="BW1271" s="926">
        <f>IF(ISNUMBER(BW1272),(1+BW1272)*(1+BW$21)-1,"NM")</f>
      </c>
      <c r="BX1271" s="926">
        <f>IF(ISNUMBER(BX1272),(1+BX1272)*(1+BX$21)-1,"NM")</f>
      </c>
      <c r="BY1271" s="926">
        <f>IF(ISNUMBER(BY1272),(1+BY1272)*(1+BY$21)-1,"NM")</f>
      </c>
      <c r="BZ1271" s="928">
        <f>IF(ISNUMBER(BZ1272),(1+BZ1272)*(1+BZ$21)-1,"NM")</f>
      </c>
      <c r="CA1271" s="1060">
        <f>IF(BV1266="NM","NM",IF(CA1266="NM","NM",IF(BV1266&lt;=0,"NM",IF(CA1266=0,"NM",IF(ABS(CA1266/BV1266-1)&gt;2.5,"NM",IF((ABS(CA1266-BV1266)=ABS(ABS(CA1266)-ABS(BV1266))),(CA1266/BV1266-1),"NM"))))))</f>
      </c>
      <c r="CB1271" s="926">
        <f>IF(ISNUMBER(CB1272),(1+CB1272)*(1+CB$21)-1,"NM")</f>
      </c>
      <c r="CC1271" s="926">
        <f>IF(ISNUMBER(CC1272),(1+CC1272)*(1+CC$21)-1,"NM")</f>
      </c>
      <c r="CD1271" s="926">
        <f>IF(ISNUMBER(CD1272),(1+CD1272)*(1+CD$21)-1,"NM")</f>
      </c>
      <c r="CE1271" s="926">
        <f>CE1272+CE$21</f>
      </c>
      <c r="CF1271" s="1060">
        <f>IF(CA1266="NM","NM",IF(CF1266="NM","NM",IF(CA1266&lt;=0,"NM",IF(CF1266=0,"NM",IF(ABS(CF1266/CA1266-1)&gt;2.5,"NM",IF((ABS(CF1266-CA1266)=ABS(ABS(CF1266)-ABS(CA1266))),(CF1266/CA1266-1),"NM"))))))</f>
      </c>
      <c r="CG1271" s="926">
        <f>CG1272+CG$21</f>
      </c>
      <c r="CH1271" s="926">
        <f>CH1272+CH$21</f>
      </c>
      <c r="CI1271" s="926">
        <f>CI1272+CI$21</f>
      </c>
      <c r="CJ1271" s="926">
        <f>CJ1272+CJ$21</f>
      </c>
      <c r="CK1271" s="1060">
        <f>IF(CF1266=0, "NA", CK1266/CF1266-1)</f>
      </c>
      <c r="CL1271" s="926">
        <f>CL1272+CL$21</f>
      </c>
      <c r="CM1271" s="926">
        <f>CM1272+CM$21</f>
      </c>
      <c r="CN1271" s="926">
        <f>CN1272+CN$21</f>
      </c>
      <c r="CO1271" s="926">
        <f>CO1272+CO$21</f>
      </c>
      <c r="CP1271" s="1060">
        <f>IF(CK1266=0, "NA", CP1266/CK1266-1)</f>
      </c>
      <c r="CQ1271" s="926">
        <f>CQ1272+CQ$21</f>
      </c>
      <c r="CR1271" s="926">
        <f>CR1272+CR$21</f>
      </c>
      <c r="CS1271" s="1219"/>
      <c r="CT1271" s="1235"/>
      <c r="CU1271" s="1536"/>
      <c r="CV1271" s="2376"/>
      <c r="CW1271" s="1219"/>
      <c r="CX1271" s="1219"/>
      <c r="CY1271" s="1235"/>
      <c r="CZ1271" s="1536"/>
      <c r="DA1271" s="2376"/>
      <c r="DB1271" s="1219"/>
      <c r="DC1271" s="1219"/>
      <c r="DD1271" s="1235"/>
      <c r="DE1271" s="1536"/>
      <c r="DF1271" s="2376"/>
      <c r="DG1271" s="1219"/>
      <c r="DH1271" s="1219"/>
      <c r="DI1271" s="1235"/>
      <c r="DJ1271" s="1536"/>
      <c r="DK1271" s="1536"/>
      <c r="DL1271" s="1536"/>
      <c r="DM1271" s="1536"/>
      <c r="DN1271" s="1536"/>
      <c r="DO1271" s="1536"/>
      <c r="DP1271" s="2376"/>
      <c r="DQ1271" s="1219"/>
      <c r="DR1271" s="1219"/>
      <c r="DS1271" s="1219"/>
      <c r="DT1271" s="1536"/>
      <c r="DU1271" s="2376"/>
      <c r="DV1271" s="1219"/>
      <c r="DW1271" s="1219"/>
      <c r="DX1271" s="1235"/>
      <c r="DY1271" s="1536"/>
      <c r="DZ1271" s="1219"/>
      <c r="EA1271" s="1219"/>
      <c r="EB1271" s="1235"/>
      <c r="EC1271" s="1235"/>
      <c r="ED1271" s="1536"/>
      <c r="EE1271" s="1219"/>
      <c r="EF1271" s="1219"/>
      <c r="EG1271" s="1219"/>
      <c r="EH1271" s="2376"/>
      <c r="EI1271" s="1536"/>
      <c r="EJ1271" s="1536"/>
      <c r="EK1271" s="1536"/>
      <c r="EL1271" s="1536"/>
      <c r="EM1271" s="1536"/>
      <c r="EN1271" s="1536"/>
      <c r="EO1271" s="1536"/>
      <c r="EP1271" s="1536"/>
      <c r="EQ1271" s="1536"/>
      <c r="ER1271" s="1536"/>
      <c r="ES1271" s="1536"/>
      <c r="ET1271" s="1536"/>
      <c r="EU1271" s="1536"/>
      <c r="EV1271" s="1536"/>
      <c r="EW1271" s="1536"/>
      <c r="EX1271" s="1536"/>
    </row>
    <row r="1272" spans="2:154" ht="12.75" hidden="1" customHeight="1" outlineLevel="2">
      <c r="B1272" s="443" t="s">
        <v>157</v>
      </c>
      <c r="C1272" s="1577"/>
      <c r="D1272" s="933"/>
      <c r="E1272" s="933"/>
      <c r="F1272" s="933"/>
      <c r="G1272" s="933"/>
      <c r="H1272" s="933"/>
      <c r="I1272" s="933"/>
      <c r="J1272" s="933"/>
      <c r="K1272" s="933"/>
      <c r="L1272" s="933"/>
      <c r="M1272" s="933"/>
      <c r="N1272" s="933"/>
      <c r="O1272" s="933"/>
      <c r="P1272" s="933"/>
      <c r="Q1272" s="933"/>
      <c r="R1272" s="933"/>
      <c r="S1272" s="933"/>
      <c r="T1272" s="933"/>
      <c r="U1272" s="933"/>
      <c r="V1272" s="933"/>
      <c r="W1272" s="933"/>
      <c r="X1272" s="2248"/>
      <c r="Y1272" s="933"/>
      <c r="Z1272" s="933"/>
      <c r="AA1272" s="933"/>
      <c r="AB1272" s="933"/>
      <c r="AC1272" s="2248"/>
      <c r="AD1272" s="959"/>
      <c r="AE1272" s="959"/>
      <c r="AF1272" s="959"/>
      <c r="AG1272" s="959"/>
      <c r="AH1272" s="2248">
        <f t="shared" ref="AH1272:BD1272" si="2608">IF(ISNUMBER(AH1271),(1+AH1271)/(1+AH$21)-1,"NM")</f>
      </c>
      <c r="AI1272" s="959">
        <f t="shared" si="2608"/>
      </c>
      <c r="AJ1272" s="959">
        <f t="shared" si="2608"/>
      </c>
      <c r="AK1272" s="959">
        <f t="shared" si="2608"/>
      </c>
      <c r="AL1272" s="959">
        <f t="shared" si="2608"/>
      </c>
      <c r="AM1272" s="2248">
        <f t="shared" si="2608"/>
      </c>
      <c r="AN1272" s="959">
        <f t="shared" si="2608"/>
      </c>
      <c r="AO1272" s="959">
        <f t="shared" si="2608"/>
      </c>
      <c r="AP1272" s="959">
        <f t="shared" si="2608"/>
      </c>
      <c r="AQ1272" s="959">
        <f t="shared" si="2608"/>
      </c>
      <c r="AR1272" s="2248">
        <f t="shared" si="2608"/>
      </c>
      <c r="AS1272" s="959">
        <f t="shared" si="2608"/>
      </c>
      <c r="AT1272" s="959">
        <f t="shared" si="2608"/>
      </c>
      <c r="AU1272" s="959">
        <f t="shared" si="2608"/>
      </c>
      <c r="AV1272" s="959">
        <f t="shared" si="2608"/>
      </c>
      <c r="AW1272" s="2248">
        <f t="shared" si="2608"/>
      </c>
      <c r="AX1272" s="959">
        <f t="shared" si="2608"/>
      </c>
      <c r="AY1272" s="959">
        <f t="shared" si="2608"/>
      </c>
      <c r="AZ1272" s="959">
        <f t="shared" si="2608"/>
      </c>
      <c r="BA1272" s="959">
        <f t="shared" si="2608"/>
      </c>
      <c r="BB1272" s="2248">
        <f t="shared" si="2608"/>
      </c>
      <c r="BC1272" s="959">
        <f t="shared" si="2608"/>
      </c>
      <c r="BD1272" s="959">
        <f t="shared" si="2608"/>
      </c>
      <c r="BE1272" s="361">
        <v>0.13</v>
      </c>
      <c r="BF1272" s="361">
        <v>0.03</v>
      </c>
      <c r="BG1272" s="1066">
        <f>IF(ISNUMBER(BG1271),(1+BG1271)/(1+BG$21)-1,"NM")</f>
      </c>
      <c r="BH1272" s="361">
        <v>0.128</v>
      </c>
      <c r="BI1272" s="959">
        <f>IF(ISNUMBER(BI1271),(1+BI1271)/(1+BI$21)-1,"NM")</f>
      </c>
      <c r="BJ1272" s="959">
        <f>IF(ISNUMBER(BJ1271),(1+BJ1271)/(1+BJ$21)-1,"NM")</f>
      </c>
      <c r="BK1272" s="959">
        <f>IF(ISNUMBER(BK1271),(1+BK1271)/(1+BK$21)-1,"NM")</f>
      </c>
      <c r="BL1272" s="2248">
        <f>IF(ISNUMBER(BL1271),(1+BL1271)/(1+BL$21)-1,"NM")</f>
      </c>
      <c r="BM1272" s="959">
        <f>IF(ISNUMBER(BM1271),(1+BM1271)/(1+BM$21)-1,"NM")</f>
      </c>
      <c r="BN1272" s="959">
        <v>4.9000000000000002E-2</v>
      </c>
      <c r="BO1272" s="959">
        <v>8.0000000000000002E-3</v>
      </c>
      <c r="BP1272" s="926">
        <v>5.5E-2</v>
      </c>
      <c r="BQ1272" s="2248">
        <v>3.2000000000000001E-2</v>
      </c>
      <c r="BR1272" s="649">
        <v>4.9000000000000002E-2</v>
      </c>
      <c r="BS1272" s="649">
        <v>1.7999999999999999E-2</v>
      </c>
      <c r="BT1272" s="649">
        <v>1.4999999999999999E-2</v>
      </c>
      <c r="BU1272" s="649">
        <v>1.7000000000000001E-2</v>
      </c>
      <c r="BV1272" s="2248">
        <v>3.2000000000000001E-2</v>
      </c>
      <c r="BW1272" s="407">
        <v>-6.7977801524558457E-2</v>
      </c>
      <c r="BX1272" s="407">
        <v>5.7375599131508581E-2</v>
      </c>
      <c r="BY1272" s="407">
        <v>4.1043862471023873E-2</v>
      </c>
      <c r="BZ1272" s="649">
        <v>-2.8326968013300258E-3</v>
      </c>
      <c r="CA1272" s="1060">
        <f>IF(ISNUMBER(CA1271),(1+CA1271)/(1+CA$21)-1,"NM")</f>
      </c>
      <c r="CB1272" s="407">
        <v>0.06</v>
      </c>
      <c r="CC1272" s="29">
        <v>0.06</v>
      </c>
      <c r="CD1272" s="29">
        <v>0.06</v>
      </c>
      <c r="CE1272" s="29">
        <v>0.06</v>
      </c>
      <c r="CF1272" s="1060">
        <f>IF(ISNUMBER(CF1271),(1+CF1271)/(1+CF$21)-1,"NM")</f>
      </c>
      <c r="CG1272" s="29">
        <v>0.05</v>
      </c>
      <c r="CH1272" s="29">
        <v>0.05</v>
      </c>
      <c r="CI1272" s="29">
        <v>0.05</v>
      </c>
      <c r="CJ1272" s="29">
        <v>0.05</v>
      </c>
      <c r="CK1272" s="2248">
        <f>CK1271-CK$21</f>
      </c>
      <c r="CL1272" s="29">
        <v>0.05</v>
      </c>
      <c r="CM1272" s="29">
        <v>0.05</v>
      </c>
      <c r="CN1272" s="29">
        <v>0.05</v>
      </c>
      <c r="CO1272" s="29">
        <v>0.05</v>
      </c>
      <c r="CP1272" s="2248">
        <f>CP1271-CP$21</f>
      </c>
      <c r="CQ1272" s="659">
        <v>0.05</v>
      </c>
      <c r="CR1272" s="659">
        <v>0.05</v>
      </c>
      <c r="CS1272" s="1208"/>
      <c r="CT1272" s="1232"/>
      <c r="CU1272" s="2377"/>
      <c r="CV1272" s="1271"/>
      <c r="CW1272" s="1208"/>
      <c r="CX1272" s="1208"/>
      <c r="CY1272" s="1232"/>
      <c r="CZ1272" s="1234"/>
      <c r="DA1272" s="1271"/>
      <c r="DB1272" s="1208"/>
      <c r="DC1272" s="1208"/>
      <c r="DD1272" s="1232"/>
      <c r="DE1272" s="1234"/>
      <c r="DF1272" s="1271"/>
      <c r="DG1272" s="1208"/>
      <c r="DH1272" s="1208"/>
      <c r="DI1272" s="1232"/>
      <c r="DJ1272" s="1232"/>
      <c r="DK1272" s="1232"/>
      <c r="DL1272" s="1232"/>
      <c r="DM1272" s="1232"/>
      <c r="DN1272" s="1232"/>
      <c r="DO1272" s="1232"/>
      <c r="DP1272" s="1208"/>
      <c r="DQ1272" s="1208"/>
      <c r="DR1272" s="1208"/>
      <c r="DS1272" s="1208"/>
      <c r="DT1272" s="1234"/>
      <c r="DU1272" s="1208"/>
      <c r="DV1272" s="1208"/>
      <c r="DW1272" s="1208"/>
      <c r="DX1272" s="1232"/>
      <c r="DY1272" s="1234"/>
      <c r="DZ1272" s="1208"/>
      <c r="EA1272" s="1208"/>
      <c r="EB1272" s="1232"/>
      <c r="EC1272" s="1232"/>
      <c r="ED1272" s="1234"/>
      <c r="EE1272" s="1208"/>
      <c r="EF1272" s="1208"/>
      <c r="EG1272" s="1208"/>
      <c r="EH1272" s="1208"/>
      <c r="EI1272" s="1234"/>
      <c r="EJ1272" s="1234"/>
      <c r="EK1272" s="1234"/>
      <c r="EL1272" s="1234"/>
      <c r="EM1272" s="1234"/>
      <c r="EN1272" s="1234"/>
      <c r="EO1272" s="1234"/>
      <c r="EP1272" s="1234"/>
      <c r="EQ1272" s="1234"/>
      <c r="ER1272" s="1234"/>
      <c r="ES1272" s="1234"/>
      <c r="ET1272" s="1234"/>
      <c r="EU1272" s="1234"/>
      <c r="EV1272" s="1234"/>
      <c r="EW1272" s="1234"/>
      <c r="EX1272" s="1234"/>
    </row>
    <row r="1273" spans="2:154" ht="12.75" hidden="1" customHeight="1" outlineLevel="2">
      <c r="B1273" s="443" t="s">
        <v>19</v>
      </c>
      <c r="C1273" s="1577"/>
      <c r="D1273" s="933"/>
      <c r="E1273" s="933"/>
      <c r="F1273" s="933"/>
      <c r="G1273" s="933"/>
      <c r="H1273" s="933"/>
      <c r="I1273" s="933"/>
      <c r="J1273" s="933"/>
      <c r="K1273" s="933"/>
      <c r="L1273" s="933"/>
      <c r="M1273" s="933"/>
      <c r="N1273" s="933"/>
      <c r="O1273" s="933"/>
      <c r="P1273" s="933"/>
      <c r="Q1273" s="933"/>
      <c r="R1273" s="933"/>
      <c r="S1273" s="933"/>
      <c r="T1273" s="933"/>
      <c r="U1273" s="933"/>
      <c r="V1273" s="933"/>
      <c r="W1273" s="933"/>
      <c r="X1273" s="1060"/>
      <c r="Y1273" s="933"/>
      <c r="Z1273" s="933"/>
      <c r="AA1273" s="933"/>
      <c r="AB1273" s="933"/>
      <c r="AC1273" s="1060"/>
      <c r="AD1273" s="926"/>
      <c r="AE1273" s="926"/>
      <c r="AF1273" s="926"/>
      <c r="AG1273" s="926"/>
      <c r="AH1273" s="1060">
        <f t="shared" ref="AH1273:AR1273" si="2609">IF(AC1267="NM","NM",IF(AH1267="NM","NM",IF(AC1267&lt;=0,"NM",IF(AH1267=0,"NM",IF(ABS(AH1267/AC1267-1)&gt;2.5,"NM",IF((ABS(AH1267-AC1267)=ABS(ABS(AH1267)-ABS(AC1267))),(AH1267/AC1267-1),"NM"))))))</f>
      </c>
      <c r="AI1273" s="926">
        <f t="shared" si="2609"/>
      </c>
      <c r="AJ1273" s="926">
        <f t="shared" si="2609"/>
      </c>
      <c r="AK1273" s="926">
        <f t="shared" si="2609"/>
      </c>
      <c r="AL1273" s="926">
        <f t="shared" si="2609"/>
      </c>
      <c r="AM1273" s="1060">
        <f t="shared" si="2609"/>
      </c>
      <c r="AN1273" s="926">
        <f t="shared" si="2609"/>
      </c>
      <c r="AO1273" s="926">
        <f t="shared" si="2609"/>
      </c>
      <c r="AP1273" s="926">
        <f t="shared" si="2609"/>
      </c>
      <c r="AQ1273" s="926">
        <f t="shared" si="2609"/>
      </c>
      <c r="AR1273" s="1060">
        <f t="shared" si="2609"/>
      </c>
      <c r="AS1273" s="926">
        <f>IF(AN1267="NM","NM",IF(AS1267="NM","NM",IF(AN1267&lt;=0,"NM",IF(AS1267=0,"NM",IF(ABS(AS1267/AN1267-1)&gt;2.5,"NM",IF((ABS(AS1267-AN1267)=ABS(ABS(AS1267)-ABS(AN1267))),(AS1267/AN1267-1),"NM"))))))</f>
      </c>
      <c r="AT1273" s="926">
        <f>IF(AO1267="NM","NM",IF(AT1267="NM","NM",IF(AO1267&lt;=0,"NM",IF(AT1267=0,"NM",IF(ABS(AT1267/AO1267-1)&gt;2.5,"NM",IF((ABS(AT1267-AO1267)=ABS(ABS(AT1267)-ABS(AO1267))),(AT1267/AO1267-1),"NM"))))))</f>
      </c>
      <c r="AU1273" s="926">
        <f>IF(AP1267="NM","NM",IF(AU1267="NM","NM",IF(AP1267&lt;=0,"NM",IF(AU1267=0,"NM",IF(ABS(AU1267/AP1267-1)&gt;2.5,"NM",IF((ABS(AU1267-AP1267)=ABS(ABS(AU1267)-ABS(AP1267))),(AU1267/AP1267-1),"NM"))))))</f>
      </c>
      <c r="AV1273" s="926">
        <f>IF(AQ1267="NM","NM",IF(AV1267="NM","NM",IF(AQ1267&lt;=0,"NM",IF(AV1267=0,"NM",IF(ABS(AV1267/AQ1267-1)&gt;2.5,"NM",IF((ABS(AV1267-AQ1267)=ABS(ABS(AV1267)-ABS(AQ1267))),(AV1267/AQ1267-1),"NM"))))))</f>
      </c>
      <c r="AW1273" s="1060">
        <f>IF(AR1267="NM","NM",IF(AW1267="NM","NM",IF(AR1267&lt;=0,"NM",IF(AW1267=0,"NM",IF(ABS(AW1267/AR1267-1)&gt;2.5,"NM",IF((ABS(AW1267-AR1267)=ABS(ABS(AW1267)-ABS(AR1267))),(AW1267/AR1267-1),"NM"))))))</f>
      </c>
      <c r="AX1273" s="926">
        <f t="shared" ref="AX1273:CD1273" si="2610">IF(AS1267="NM","NM",IF(AX1267="NM","NM",IF(AS1267&lt;=0,"NM",IF(AX1267=0,"NM",IF(ABS(AX1267/AS1267-1)&gt;2.5,"NM",IF((ABS(AX1267-AS1267)=ABS(ABS(AX1267)-ABS(AS1267))),(AX1267/AS1267-1),"NM"))))))</f>
      </c>
      <c r="AY1273" s="926">
        <f t="shared" si="2610"/>
      </c>
      <c r="AZ1273" s="926">
        <f t="shared" si="2610"/>
      </c>
      <c r="BA1273" s="926">
        <f t="shared" si="2610"/>
      </c>
      <c r="BB1273" s="1060">
        <f t="shared" si="2610"/>
      </c>
      <c r="BC1273" s="926">
        <f t="shared" si="2610"/>
      </c>
      <c r="BD1273" s="926">
        <f t="shared" si="2610"/>
      </c>
      <c r="BE1273" s="926">
        <f t="shared" si="2610"/>
      </c>
      <c r="BF1273" s="926">
        <f t="shared" si="2610"/>
      </c>
      <c r="BG1273" s="1060">
        <f t="shared" si="2610"/>
      </c>
      <c r="BH1273" s="926">
        <f t="shared" si="2610"/>
      </c>
      <c r="BI1273" s="926">
        <f t="shared" si="2610"/>
      </c>
      <c r="BJ1273" s="926">
        <f t="shared" si="2610"/>
      </c>
      <c r="BK1273" s="926">
        <f t="shared" si="2610"/>
      </c>
      <c r="BL1273" s="1060">
        <f t="shared" si="2610"/>
      </c>
      <c r="BM1273" s="926">
        <f t="shared" si="2610"/>
      </c>
      <c r="BN1273" s="926">
        <f t="shared" si="2610"/>
      </c>
      <c r="BO1273" s="926">
        <f t="shared" si="2610"/>
      </c>
      <c r="BP1273" s="926">
        <f t="shared" si="2610"/>
      </c>
      <c r="BQ1273" s="1060">
        <f t="shared" si="2610"/>
      </c>
      <c r="BR1273" s="926">
        <f t="shared" si="2610"/>
      </c>
      <c r="BS1273" s="926">
        <f t="shared" si="2610"/>
      </c>
      <c r="BT1273" s="926">
        <f t="shared" si="2610"/>
      </c>
      <c r="BU1273" s="926">
        <f t="shared" si="2610"/>
      </c>
      <c r="BV1273" s="1060">
        <f t="shared" si="2610"/>
      </c>
      <c r="BW1273" s="926">
        <f t="shared" si="2610"/>
      </c>
      <c r="BX1273" s="926">
        <f t="shared" si="2610"/>
      </c>
      <c r="BY1273" s="926">
        <f t="shared" si="2610"/>
      </c>
      <c r="BZ1273" s="928">
        <f t="shared" si="2610"/>
      </c>
      <c r="CA1273" s="1060">
        <f t="shared" si="2610"/>
      </c>
      <c r="CB1273" s="926">
        <f t="shared" si="2610"/>
      </c>
      <c r="CC1273" s="926">
        <f t="shared" si="2610"/>
      </c>
      <c r="CD1273" s="926">
        <f t="shared" si="2610"/>
      </c>
      <c r="CE1273" s="926">
        <f>IF(CE1267&lt;=0,0,(CE1267/BZ1267-1))</f>
      </c>
      <c r="CF1273" s="1060">
        <f>IF(CA1267="NM","NM",IF(CF1267="NM","NM",IF(CA1267&lt;=0,"NM",IF(CF1267=0,"NM",IF(ABS(CF1267/CA1267-1)&gt;2.5,"NM",IF((ABS(CF1267-CA1267)=ABS(ABS(CF1267)-ABS(CA1267))),(CF1267/CA1267-1),"NM"))))))</f>
      </c>
      <c r="CG1273" s="926">
        <f>IF(CG1267&lt;=0,0,(CG1267/CB1267-1))</f>
      </c>
      <c r="CH1273" s="926">
        <f>IF(CH1267&lt;=0,0,(CH1267/CC1267-1))</f>
      </c>
      <c r="CI1273" s="926">
        <f>IF(CI1267&lt;=0,0,(CI1267/CD1267-1))</f>
      </c>
      <c r="CJ1273" s="926">
        <f>IF(CJ1267&lt;=0,0,(CJ1267/CE1267-1))</f>
      </c>
      <c r="CK1273" s="1060">
        <f>IF(CF1267=0, "NA", CK1267/CF1267-1)</f>
      </c>
      <c r="CL1273" s="926">
        <f>IF(CL1267&lt;=0,0,(CL1267/CG1267-1))</f>
      </c>
      <c r="CM1273" s="926">
        <f>IF(CM1267&lt;=0,0,(CM1267/CH1267-1))</f>
      </c>
      <c r="CN1273" s="926">
        <f>IF(CN1267&lt;=0,0,(CN1267/CI1267-1))</f>
      </c>
      <c r="CO1273" s="926">
        <f>IF(CO1267&lt;=0,0,(CO1267/CJ1267-1))</f>
      </c>
      <c r="CP1273" s="1060">
        <f>IF(CK1267=0, "NA", CP1267/CK1267-1)</f>
      </c>
      <c r="CQ1273" s="926">
        <f>IF(CL1267=0, "NA", CQ1267/CL1267-1)</f>
      </c>
      <c r="CR1273" s="926">
        <f>IF(CM1267=0, "NA", CR1267/CM1267-1)</f>
      </c>
      <c r="CS1273" s="1219"/>
      <c r="CT1273" s="1235"/>
      <c r="CU1273" s="1536"/>
      <c r="CV1273" s="2376"/>
      <c r="CW1273" s="1219"/>
      <c r="CX1273" s="1219"/>
      <c r="CY1273" s="1235"/>
      <c r="CZ1273" s="1536"/>
      <c r="DA1273" s="2376"/>
      <c r="DB1273" s="1219"/>
      <c r="DC1273" s="1219"/>
      <c r="DD1273" s="1235"/>
      <c r="DE1273" s="1536"/>
      <c r="DF1273" s="2376"/>
      <c r="DG1273" s="1219"/>
      <c r="DH1273" s="1219"/>
      <c r="DI1273" s="1235"/>
      <c r="DJ1273" s="1536"/>
      <c r="DK1273" s="1536"/>
      <c r="DL1273" s="1536"/>
      <c r="DM1273" s="1536"/>
      <c r="DN1273" s="1536"/>
      <c r="DO1273" s="1536"/>
      <c r="DP1273" s="2376"/>
      <c r="DQ1273" s="1219"/>
      <c r="DR1273" s="1219"/>
      <c r="DS1273" s="1219"/>
      <c r="DT1273" s="1536"/>
      <c r="DU1273" s="2376"/>
      <c r="DV1273" s="1219"/>
      <c r="DW1273" s="1219"/>
      <c r="DX1273" s="1235"/>
      <c r="DY1273" s="1536"/>
      <c r="DZ1273" s="1219"/>
      <c r="EA1273" s="1219"/>
      <c r="EB1273" s="1235"/>
      <c r="EC1273" s="1235"/>
      <c r="ED1273" s="1536"/>
      <c r="EE1273" s="1219"/>
      <c r="EF1273" s="1219"/>
      <c r="EG1273" s="1219"/>
      <c r="EH1273" s="2376"/>
      <c r="EI1273" s="1536"/>
      <c r="EJ1273" s="1536"/>
      <c r="EK1273" s="1536"/>
      <c r="EL1273" s="1536"/>
      <c r="EM1273" s="1536"/>
      <c r="EN1273" s="1536"/>
      <c r="EO1273" s="1536"/>
      <c r="EP1273" s="1536"/>
      <c r="EQ1273" s="1536"/>
      <c r="ER1273" s="1536"/>
      <c r="ES1273" s="1536"/>
      <c r="ET1273" s="1536"/>
      <c r="EU1273" s="1536"/>
      <c r="EV1273" s="1536"/>
      <c r="EW1273" s="1536"/>
      <c r="EX1273" s="1536"/>
    </row>
    <row r="1274" spans="2:154" ht="12.75" hidden="1" customHeight="1" outlineLevel="2">
      <c r="B1274" s="442"/>
      <c r="C1274" s="1577"/>
      <c r="D1274" s="933"/>
      <c r="E1274" s="933"/>
      <c r="F1274" s="933"/>
      <c r="G1274" s="933"/>
      <c r="H1274" s="933"/>
      <c r="I1274" s="933"/>
      <c r="J1274" s="933"/>
      <c r="K1274" s="933"/>
      <c r="L1274" s="933"/>
      <c r="M1274" s="933"/>
      <c r="N1274" s="933"/>
      <c r="O1274" s="933"/>
      <c r="P1274" s="933"/>
      <c r="Q1274" s="933"/>
      <c r="R1274" s="933"/>
      <c r="S1274" s="933"/>
      <c r="T1274" s="933"/>
      <c r="U1274" s="933"/>
      <c r="V1274" s="933"/>
      <c r="W1274" s="933"/>
      <c r="X1274" s="1061"/>
      <c r="Y1274" s="933"/>
      <c r="Z1274" s="933"/>
      <c r="AA1274" s="933"/>
      <c r="AB1274" s="933"/>
      <c r="AC1274" s="1061"/>
      <c r="AD1274" s="933"/>
      <c r="AE1274" s="933"/>
      <c r="AF1274" s="933"/>
      <c r="AG1274" s="933"/>
      <c r="AH1274" s="1061"/>
      <c r="AI1274" s="933"/>
      <c r="AJ1274" s="933"/>
      <c r="AK1274" s="933"/>
      <c r="AL1274" s="933"/>
      <c r="AM1274" s="1061"/>
      <c r="AN1274" s="933"/>
      <c r="AO1274" s="933"/>
      <c r="AP1274" s="933"/>
      <c r="AQ1274" s="933"/>
      <c r="AR1274" s="1061"/>
      <c r="AS1274" s="933"/>
      <c r="AT1274" s="933"/>
      <c r="AU1274" s="933"/>
      <c r="AV1274" s="933"/>
      <c r="AW1274" s="1061"/>
      <c r="AX1274" s="33"/>
      <c r="AY1274" s="33"/>
      <c r="AZ1274" s="33"/>
      <c r="BA1274" s="33"/>
      <c r="BB1274" s="1061"/>
      <c r="BC1274" s="933"/>
      <c r="BD1274" s="933"/>
      <c r="BE1274" s="933"/>
      <c r="BF1274" s="933"/>
      <c r="BG1274" s="1061"/>
      <c r="BH1274" s="933"/>
      <c r="BI1274" s="933"/>
      <c r="BJ1274" s="933"/>
      <c r="BK1274" s="933"/>
      <c r="BL1274" s="1061"/>
      <c r="BM1274" s="933"/>
      <c r="BN1274" s="933"/>
      <c r="BO1274" s="933"/>
      <c r="BP1274" s="933"/>
      <c r="BQ1274" s="1061"/>
      <c r="BR1274" s="933"/>
      <c r="BS1274" s="933"/>
      <c r="BT1274" s="933"/>
      <c r="BU1274" s="933"/>
      <c r="BV1274" s="1061"/>
      <c r="BW1274" s="933"/>
      <c r="BX1274" s="933"/>
      <c r="BY1274" s="933"/>
      <c r="BZ1274" s="933"/>
      <c r="CA1274" s="1061"/>
      <c r="CB1274" s="933"/>
      <c r="CC1274" s="933"/>
      <c r="CD1274" s="933"/>
      <c r="CE1274" s="933"/>
      <c r="CF1274" s="1061"/>
      <c r="CG1274" s="933"/>
      <c r="CH1274" s="933"/>
      <c r="CI1274" s="933"/>
      <c r="CJ1274" s="933"/>
      <c r="CK1274" s="1061"/>
      <c r="CL1274" s="961"/>
      <c r="CM1274" s="933"/>
      <c r="CN1274" s="933"/>
      <c r="CO1274" s="933"/>
      <c r="CP1274" s="1061"/>
      <c r="CQ1274" s="933"/>
      <c r="CR1274" s="933"/>
      <c r="CS1274" s="1227"/>
      <c r="CT1274" s="1231"/>
      <c r="CU1274" s="1231"/>
      <c r="CV1274" s="1270"/>
      <c r="CW1274" s="1227"/>
      <c r="CX1274" s="1227"/>
      <c r="CY1274" s="1231"/>
      <c r="CZ1274" s="2374"/>
      <c r="DA1274" s="1270"/>
      <c r="DB1274" s="1227"/>
      <c r="DC1274" s="1227"/>
      <c r="DD1274" s="1231"/>
      <c r="DE1274" s="1863"/>
      <c r="DF1274" s="2375"/>
      <c r="DG1274" s="1842"/>
      <c r="DH1274" s="1842"/>
      <c r="DI1274" s="1942"/>
      <c r="DJ1274" s="1863"/>
      <c r="DK1274" s="1863"/>
      <c r="DL1274" s="1863"/>
      <c r="DM1274" s="1863"/>
      <c r="DN1274" s="1863"/>
      <c r="DO1274" s="1863"/>
      <c r="DP1274" s="2375"/>
      <c r="DQ1274" s="1842"/>
      <c r="DR1274" s="1842"/>
      <c r="DS1274" s="1842"/>
      <c r="DT1274" s="1863"/>
      <c r="DU1274" s="2375"/>
      <c r="DV1274" s="1842"/>
      <c r="DW1274" s="1842"/>
      <c r="DX1274" s="1942"/>
      <c r="DY1274" s="1863"/>
      <c r="DZ1274" s="1842"/>
      <c r="EA1274" s="1842"/>
      <c r="EB1274" s="1942"/>
      <c r="EC1274" s="1942"/>
      <c r="ED1274" s="1863"/>
      <c r="EE1274" s="1842"/>
      <c r="EF1274" s="1842"/>
      <c r="EG1274" s="1842"/>
      <c r="EH1274" s="2375"/>
      <c r="EI1274" s="1863"/>
      <c r="EJ1274" s="1863"/>
      <c r="EK1274" s="1863"/>
      <c r="EL1274" s="1863"/>
      <c r="EM1274" s="1863"/>
      <c r="EN1274" s="1863"/>
      <c r="EO1274" s="1863"/>
      <c r="EP1274" s="1863"/>
      <c r="EQ1274" s="1863"/>
      <c r="ER1274" s="1863"/>
      <c r="ES1274" s="1863"/>
      <c r="ET1274" s="1863"/>
      <c r="EU1274" s="1863"/>
      <c r="EV1274" s="1863"/>
      <c r="EW1274" s="1863"/>
      <c r="EX1274" s="1863"/>
    </row>
    <row r="1275" spans="2:154" ht="12.75" hidden="1" customHeight="1" outlineLevel="2">
      <c r="B1275" s="436" t="s">
        <v>526</v>
      </c>
      <c r="C1275" s="1577"/>
      <c r="D1275" s="933"/>
      <c r="E1275" s="933"/>
      <c r="F1275" s="933"/>
      <c r="G1275" s="933"/>
      <c r="H1275" s="933"/>
      <c r="I1275" s="933"/>
      <c r="J1275" s="933"/>
      <c r="K1275" s="933"/>
      <c r="L1275" s="933"/>
      <c r="M1275" s="933"/>
      <c r="N1275" s="933"/>
      <c r="O1275" s="933"/>
      <c r="P1275" s="933"/>
      <c r="Q1275" s="933"/>
      <c r="R1275" s="933"/>
      <c r="S1275" s="933"/>
      <c r="T1275" s="933"/>
      <c r="U1275" s="933"/>
      <c r="V1275" s="933"/>
      <c r="W1275" s="933"/>
      <c r="X1275" s="1061"/>
      <c r="Y1275" s="933"/>
      <c r="Z1275" s="933"/>
      <c r="AA1275" s="933"/>
      <c r="AB1275" s="933"/>
      <c r="AC1275" s="1061"/>
      <c r="AD1275" s="933"/>
      <c r="AE1275" s="933"/>
      <c r="AF1275" s="933"/>
      <c r="AG1275" s="933"/>
      <c r="AH1275" s="1061"/>
      <c r="AI1275" s="933"/>
      <c r="AJ1275" s="933"/>
      <c r="AK1275" s="933"/>
      <c r="AL1275" s="933"/>
      <c r="AM1275" s="1061"/>
      <c r="AN1275" s="933"/>
      <c r="AO1275" s="933"/>
      <c r="AP1275" s="933"/>
      <c r="AQ1275" s="933"/>
      <c r="AR1275" s="1061"/>
      <c r="AS1275" s="933"/>
      <c r="AT1275" s="933"/>
      <c r="AU1275" s="933"/>
      <c r="AV1275" s="933"/>
      <c r="AW1275" s="1061"/>
      <c r="AX1275" s="33"/>
      <c r="AY1275" s="33"/>
      <c r="AZ1275" s="33"/>
      <c r="BA1275" s="33"/>
      <c r="BB1275" s="1061"/>
      <c r="BC1275" s="933"/>
      <c r="BD1275" s="933"/>
      <c r="BE1275" s="933"/>
      <c r="BF1275" s="933"/>
      <c r="BG1275" s="1061"/>
      <c r="BH1275" s="933"/>
      <c r="BI1275" s="933"/>
      <c r="BJ1275" s="933"/>
      <c r="BK1275" s="933"/>
      <c r="BL1275" s="1061"/>
      <c r="BM1275" s="933"/>
      <c r="BN1275" s="933"/>
      <c r="BO1275" s="933"/>
      <c r="BP1275" s="933"/>
      <c r="BQ1275" s="1061"/>
      <c r="BR1275" s="933"/>
      <c r="BS1275" s="933"/>
      <c r="BT1275" s="933"/>
      <c r="BU1275" s="933"/>
      <c r="BV1275" s="931"/>
      <c r="BW1275" s="933"/>
      <c r="BX1275" s="933"/>
      <c r="BY1275" s="933"/>
      <c r="BZ1275" s="933"/>
      <c r="CA1275" s="1061"/>
      <c r="CB1275" s="933"/>
      <c r="CC1275" s="933"/>
      <c r="CD1275" s="933"/>
      <c r="CE1275" s="933"/>
      <c r="CF1275" s="1061"/>
      <c r="CG1275" s="933"/>
      <c r="CH1275" s="933"/>
      <c r="CI1275" s="933"/>
      <c r="CJ1275" s="933"/>
      <c r="CK1275" s="1061"/>
      <c r="CL1275" s="961"/>
      <c r="CM1275" s="933"/>
      <c r="CN1275" s="933"/>
      <c r="CO1275" s="933"/>
      <c r="CP1275" s="1061"/>
      <c r="CQ1275" s="933"/>
      <c r="CR1275" s="933"/>
      <c r="CS1275" s="1227"/>
      <c r="CT1275" s="1231"/>
      <c r="CU1275" s="1231"/>
      <c r="CV1275" s="1270"/>
      <c r="CW1275" s="1227"/>
      <c r="CX1275" s="1227"/>
      <c r="CY1275" s="1231"/>
      <c r="CZ1275" s="2374"/>
      <c r="DA1275" s="1270"/>
      <c r="DB1275" s="1227"/>
      <c r="DC1275" s="1227"/>
      <c r="DD1275" s="1231"/>
      <c r="DE1275" s="1863"/>
      <c r="DF1275" s="2375"/>
      <c r="DG1275" s="1842"/>
      <c r="DH1275" s="1842"/>
      <c r="DI1275" s="1942"/>
      <c r="DJ1275" s="1863"/>
      <c r="DK1275" s="1863"/>
      <c r="DL1275" s="1863"/>
      <c r="DM1275" s="1863"/>
      <c r="DN1275" s="1863"/>
      <c r="DO1275" s="1863"/>
      <c r="DP1275" s="2375"/>
      <c r="DQ1275" s="1842"/>
      <c r="DR1275" s="1842"/>
      <c r="DS1275" s="1842"/>
      <c r="DT1275" s="1863"/>
      <c r="DU1275" s="2375"/>
      <c r="DV1275" s="1842"/>
      <c r="DW1275" s="1842"/>
      <c r="DX1275" s="1942"/>
      <c r="DY1275" s="1863"/>
      <c r="DZ1275" s="1842"/>
      <c r="EA1275" s="1842"/>
      <c r="EB1275" s="1942"/>
      <c r="EC1275" s="1942"/>
      <c r="ED1275" s="1863"/>
      <c r="EE1275" s="1842"/>
      <c r="EF1275" s="1842"/>
      <c r="EG1275" s="1842"/>
      <c r="EH1275" s="2375"/>
      <c r="EI1275" s="1863"/>
      <c r="EJ1275" s="1863"/>
      <c r="EK1275" s="1863"/>
      <c r="EL1275" s="1863"/>
      <c r="EM1275" s="1863"/>
      <c r="EN1275" s="1863"/>
      <c r="EO1275" s="1863"/>
      <c r="EP1275" s="1863"/>
      <c r="EQ1275" s="1863"/>
      <c r="ER1275" s="1863"/>
      <c r="ES1275" s="1863"/>
      <c r="ET1275" s="1863"/>
      <c r="EU1275" s="1863"/>
      <c r="EV1275" s="1863"/>
      <c r="EW1275" s="1863"/>
      <c r="EX1275" s="1863"/>
    </row>
    <row r="1276" spans="2:154" ht="12.75" hidden="1" customHeight="1" outlineLevel="2">
      <c r="B1276" s="437" t="s">
        <v>187</v>
      </c>
      <c r="C1276" s="1577"/>
      <c r="D1276" s="933"/>
      <c r="E1276" s="933"/>
      <c r="F1276" s="933"/>
      <c r="G1276" s="933"/>
      <c r="H1276" s="933"/>
      <c r="I1276" s="933"/>
      <c r="J1276" s="933"/>
      <c r="K1276" s="933"/>
      <c r="L1276" s="933"/>
      <c r="M1276" s="933"/>
      <c r="N1276" s="933"/>
      <c r="O1276" s="933"/>
      <c r="P1276" s="933"/>
      <c r="Q1276" s="933"/>
      <c r="R1276" s="933"/>
      <c r="S1276" s="933"/>
      <c r="T1276" s="933"/>
      <c r="U1276" s="933"/>
      <c r="V1276" s="933"/>
      <c r="W1276" s="933"/>
      <c r="X1276" s="1061"/>
      <c r="Y1276" s="933"/>
      <c r="Z1276" s="933"/>
      <c r="AA1276" s="933"/>
      <c r="AB1276" s="933"/>
      <c r="AC1276" s="1061"/>
      <c r="AD1276" s="933">
        <f>+$AH1276/4</f>
      </c>
      <c r="AE1276" s="933">
        <f>+$AH1276/4</f>
      </c>
      <c r="AF1276" s="933">
        <f>+$AH1276/4</f>
      </c>
      <c r="AG1276" s="933">
        <f>+$AH1276/4</f>
      </c>
      <c r="AH1276" s="1061">
        <v>100</v>
      </c>
      <c r="AI1276" s="933">
        <f>+$AM$1253/4</f>
      </c>
      <c r="AJ1276" s="933">
        <f>+$AM$1253/4</f>
      </c>
      <c r="AK1276" s="933">
        <f>+$AM$1253/4</f>
      </c>
      <c r="AL1276" s="933">
        <f>+$AM$1253/4</f>
      </c>
      <c r="AM1276" s="1061">
        <v>110</v>
      </c>
      <c r="AN1276" s="933">
        <f>+$AR1276/4</f>
      </c>
      <c r="AO1276" s="933">
        <f t="shared" ref="AO1276:AQ1277" si="2611">+$AR1276/4</f>
      </c>
      <c r="AP1276" s="933">
        <f t="shared" si="2611"/>
      </c>
      <c r="AQ1276" s="933">
        <f t="shared" si="2611"/>
      </c>
      <c r="AR1276" s="1061">
        <v>193</v>
      </c>
      <c r="AS1276" s="933">
        <f>+$AW1276/4</f>
      </c>
      <c r="AT1276" s="933">
        <f t="shared" ref="AT1276:AV1277" si="2612">+$AW1276/4</f>
      </c>
      <c r="AU1276" s="933">
        <f t="shared" si="2612"/>
      </c>
      <c r="AV1276" s="933">
        <f t="shared" si="2612"/>
      </c>
      <c r="AW1276" s="1061">
        <v>230</v>
      </c>
      <c r="AX1276" s="933">
        <f>63.25+15</f>
      </c>
      <c r="AY1276" s="933">
        <f>63.25+20</f>
      </c>
      <c r="AZ1276" s="933">
        <f>63.25+18</f>
      </c>
      <c r="BA1276" s="933">
        <f>63.25+17</f>
      </c>
      <c r="BB1276" s="1061">
        <f>SUM(AX1276:BA1276)</f>
      </c>
      <c r="BC1276" s="933">
        <v>83.727500000000006</v>
      </c>
      <c r="BD1276" s="933">
        <v>91.575000000000003</v>
      </c>
      <c r="BE1276" s="933">
        <v>85.3125</v>
      </c>
      <c r="BF1276" s="933">
        <v>84.262500000000003</v>
      </c>
      <c r="BG1276" s="313">
        <f>SUM(BC1276:BF1276)</f>
      </c>
      <c r="BH1276" s="933">
        <v>87.913875000000004</v>
      </c>
      <c r="BI1276" s="33">
        <v>95</v>
      </c>
      <c r="BJ1276" s="33">
        <v>90.431250000000006</v>
      </c>
      <c r="BK1276" s="33">
        <v>90.431250000000006</v>
      </c>
      <c r="BL1276" s="313">
        <f>SUM(BH1276:BK1276)</f>
      </c>
      <c r="BM1276" s="933">
        <v>103.55956875000001</v>
      </c>
      <c r="BN1276" s="33">
        <v>111</v>
      </c>
      <c r="BO1276" s="33">
        <v>106.20281250000001</v>
      </c>
      <c r="BP1276" s="352">
        <v>106.20281249999999</v>
      </c>
      <c r="BQ1276" s="313">
        <f>SUM(BM1276:BP1276)</f>
      </c>
      <c r="BR1276" s="761">
        <v>117.55906677499516</v>
      </c>
      <c r="BS1276" s="761">
        <v>112.6</v>
      </c>
      <c r="BT1276" s="761">
        <v>112.6</v>
      </c>
      <c r="BU1276" s="761">
        <v>114.09369053750487</v>
      </c>
      <c r="BV1276" s="1061">
        <f>SUM(BR1276:BU1276)</f>
      </c>
      <c r="BW1276" s="933">
        <f>+(1+BW1281)*BR1276</f>
      </c>
      <c r="BX1276" s="933">
        <f>+(1+BX1281)*BS1276</f>
      </c>
      <c r="BY1276" s="933">
        <f>+(1+BY1281)*BT1276</f>
      </c>
      <c r="BZ1276" s="933">
        <f>+(1+BZ1281)*BU1276</f>
      </c>
      <c r="CA1276" s="313">
        <f>SUM(BW1276:BZ1276)</f>
      </c>
      <c r="CB1276" s="933">
        <f>+(1+CB1281)*BW1276</f>
      </c>
      <c r="CC1276" s="933">
        <f>+(1+CC1281)*BX1276</f>
      </c>
      <c r="CD1276" s="933">
        <f>+(1+CD1281)*BY1276</f>
      </c>
      <c r="CE1276" s="933">
        <f>+(1+CE1281)*BZ1276</f>
      </c>
      <c r="CF1276" s="1061">
        <f>SUM(CB1276:CE1276)</f>
      </c>
      <c r="CG1276" s="933">
        <f>+(1+CG1281)*CB1276</f>
      </c>
      <c r="CH1276" s="933">
        <f>+(1+CH1281)*CC1276</f>
      </c>
      <c r="CI1276" s="933">
        <f>+(1+CI1281)*CD1276</f>
      </c>
      <c r="CJ1276" s="933">
        <f>+(1+CJ1281)*CE1276</f>
      </c>
      <c r="CK1276" s="1061">
        <f>SUM(CG1276:CJ1276)</f>
      </c>
      <c r="CL1276" s="961">
        <f>+(1+CL1281)*CG1276</f>
      </c>
      <c r="CM1276" s="933">
        <f>+(1+CM1281)*CH1276</f>
      </c>
      <c r="CN1276" s="933">
        <f>+(1+CN1281)*CI1276</f>
      </c>
      <c r="CO1276" s="933">
        <f>+(1+CO1281)*CJ1276</f>
      </c>
      <c r="CP1276" s="1061">
        <f>SUM(CL1276:CO1276)</f>
      </c>
      <c r="CQ1276" s="933">
        <f>+(1+CQ1281)*CL1276</f>
      </c>
      <c r="CR1276" s="933">
        <f>+(1+CR1281)*CM1276</f>
      </c>
      <c r="CS1276" s="1227"/>
      <c r="CT1276" s="1231"/>
      <c r="CU1276" s="2374"/>
      <c r="CV1276" s="1270"/>
      <c r="CW1276" s="1227"/>
      <c r="CX1276" s="1227"/>
      <c r="CY1276" s="1231"/>
      <c r="CZ1276" s="1228"/>
      <c r="DA1276" s="1322"/>
      <c r="DB1276" s="1357"/>
      <c r="DC1276" s="1357"/>
      <c r="DD1276" s="1345"/>
      <c r="DE1276" s="1811"/>
      <c r="DF1276" s="1836"/>
      <c r="DG1276" s="1822"/>
      <c r="DH1276" s="1822"/>
      <c r="DI1276" s="1837"/>
      <c r="DJ1276" s="1811"/>
      <c r="DK1276" s="1811"/>
      <c r="DL1276" s="1811"/>
      <c r="DM1276" s="1811"/>
      <c r="DN1276" s="1811"/>
      <c r="DO1276" s="1811"/>
      <c r="DP1276" s="1836"/>
      <c r="DQ1276" s="1822"/>
      <c r="DR1276" s="1822"/>
      <c r="DS1276" s="1822"/>
      <c r="DT1276" s="1811"/>
      <c r="DU1276" s="1836"/>
      <c r="DV1276" s="1822"/>
      <c r="DW1276" s="1822"/>
      <c r="DX1276" s="1837"/>
      <c r="DY1276" s="1811"/>
      <c r="DZ1276" s="1822"/>
      <c r="EA1276" s="1822"/>
      <c r="EB1276" s="1837"/>
      <c r="EC1276" s="1837"/>
      <c r="ED1276" s="1811"/>
      <c r="EE1276" s="1822"/>
      <c r="EF1276" s="1822"/>
      <c r="EG1276" s="1822"/>
      <c r="EH1276" s="1836"/>
      <c r="EI1276" s="1811"/>
      <c r="EJ1276" s="1811"/>
      <c r="EK1276" s="1811"/>
      <c r="EL1276" s="1811"/>
      <c r="EM1276" s="1811"/>
      <c r="EN1276" s="1811"/>
      <c r="EO1276" s="1811"/>
      <c r="EP1276" s="1811"/>
      <c r="EQ1276" s="1811"/>
      <c r="ER1276" s="1811"/>
      <c r="ES1276" s="1811"/>
      <c r="ET1276" s="1811"/>
      <c r="EU1276" s="1811"/>
      <c r="EV1276" s="1811"/>
      <c r="EW1276" s="1811"/>
      <c r="EX1276" s="1811"/>
    </row>
    <row r="1277" spans="2:154" ht="12.75" hidden="1" customHeight="1" outlineLevel="2">
      <c r="B1277" s="437" t="s">
        <v>412</v>
      </c>
      <c r="C1277" s="1577"/>
      <c r="D1277" s="933"/>
      <c r="E1277" s="933"/>
      <c r="F1277" s="933"/>
      <c r="G1277" s="933"/>
      <c r="H1277" s="933"/>
      <c r="I1277" s="933"/>
      <c r="J1277" s="933"/>
      <c r="K1277" s="933"/>
      <c r="L1277" s="933"/>
      <c r="M1277" s="933"/>
      <c r="N1277" s="933"/>
      <c r="O1277" s="933"/>
      <c r="P1277" s="933"/>
      <c r="Q1277" s="933"/>
      <c r="R1277" s="933"/>
      <c r="S1277" s="933"/>
      <c r="T1277" s="933"/>
      <c r="U1277" s="933"/>
      <c r="V1277" s="933"/>
      <c r="W1277" s="933"/>
      <c r="X1277" s="1061"/>
      <c r="Y1277" s="933"/>
      <c r="Z1277" s="933"/>
      <c r="AA1277" s="933"/>
      <c r="AB1277" s="933"/>
      <c r="AC1277" s="1061"/>
      <c r="AD1277" s="933"/>
      <c r="AE1277" s="933"/>
      <c r="AF1277" s="933"/>
      <c r="AG1277" s="933"/>
      <c r="AH1277" s="1061">
        <v>0</v>
      </c>
      <c r="AI1277" s="933">
        <f>+$AM$1254/4</f>
      </c>
      <c r="AJ1277" s="933">
        <f>+$AM$1254/4</f>
      </c>
      <c r="AK1277" s="933">
        <f>+$AM$1254/4</f>
      </c>
      <c r="AL1277" s="933">
        <f>+$AM$1254/4</f>
      </c>
      <c r="AM1277" s="1061">
        <v>0</v>
      </c>
      <c r="AN1277" s="933">
        <f>+$AR1277/4</f>
      </c>
      <c r="AO1277" s="933">
        <f t="shared" si="2611"/>
      </c>
      <c r="AP1277" s="933">
        <f t="shared" si="2611"/>
      </c>
      <c r="AQ1277" s="933">
        <f t="shared" si="2611"/>
      </c>
      <c r="AR1277" s="1061">
        <v>0</v>
      </c>
      <c r="AS1277" s="933">
        <f>+$AW1277/4</f>
      </c>
      <c r="AT1277" s="933">
        <f t="shared" si="2612"/>
      </c>
      <c r="AU1277" s="933">
        <f t="shared" si="2612"/>
      </c>
      <c r="AV1277" s="933">
        <f t="shared" si="2612"/>
      </c>
      <c r="AW1277" s="1061">
        <v>0</v>
      </c>
      <c r="AX1277" s="933">
        <f>19.25+19</f>
      </c>
      <c r="AY1277" s="933">
        <f>19.25+19</f>
      </c>
      <c r="AZ1277" s="933">
        <f>19.25+18</f>
      </c>
      <c r="BA1277" s="933">
        <f>19.25+21</f>
      </c>
      <c r="BB1277" s="1061">
        <f>SUM(AX1277:BA1277)</f>
      </c>
      <c r="BC1277" s="933">
        <v>38.079022499999994</v>
      </c>
      <c r="BD1277" s="933">
        <v>38.079022499999994</v>
      </c>
      <c r="BE1277" s="933">
        <v>38.218499999999999</v>
      </c>
      <c r="BF1277" s="933">
        <v>48.686400000000006</v>
      </c>
      <c r="BG1277" s="313">
        <f>SUM(BC1277:BF1277)</f>
      </c>
      <c r="BH1277" s="933">
        <v>43.181611515</v>
      </c>
      <c r="BI1277" s="33">
        <v>39.5</v>
      </c>
      <c r="BJ1277" s="33">
        <v>38.952295200000002</v>
      </c>
      <c r="BK1277" s="33">
        <v>38.952295200000002</v>
      </c>
      <c r="BL1277" s="313">
        <f>SUM(BH1277:BK1277)</f>
      </c>
      <c r="BM1277" s="933">
        <v>58.580174181248999</v>
      </c>
      <c r="BN1277" s="33">
        <v>58</v>
      </c>
      <c r="BO1277" s="33">
        <v>58.895870342400002</v>
      </c>
      <c r="BP1277" s="352">
        <v>58.425964124790283</v>
      </c>
      <c r="BQ1277" s="313">
        <f>SUM(BM1277:BP1277)</f>
      </c>
      <c r="BR1277" s="934">
        <v>57.695535724993704</v>
      </c>
      <c r="BS1277" s="761">
        <v>60.5</v>
      </c>
      <c r="BT1277" s="761">
        <v>56.6</v>
      </c>
      <c r="BU1277" s="761">
        <v>58.626560028732285</v>
      </c>
      <c r="BV1277" s="1061">
        <f>SUM(BR1277:BU1277)</f>
      </c>
      <c r="BW1277" s="933">
        <f>+BR1277*(1+BW1282)</f>
      </c>
      <c r="BX1277" s="933">
        <f>+BS1277*(1+BX1282)</f>
      </c>
      <c r="BY1277" s="933">
        <f>+BT1277*(1+BY1282)</f>
      </c>
      <c r="BZ1277" s="933">
        <f>+BU1277*(1+BZ1282)</f>
      </c>
      <c r="CA1277" s="313">
        <f>SUM(BW1277:BZ1277)</f>
      </c>
      <c r="CB1277" s="933">
        <f>+BW1277*(1+CB1282)</f>
      </c>
      <c r="CC1277" s="933">
        <f>+BX1277*(1+CC1282)</f>
      </c>
      <c r="CD1277" s="933">
        <f>+BY1277*(1+CD1282)</f>
      </c>
      <c r="CE1277" s="933">
        <f>+BZ1277*(1+CE1282)</f>
      </c>
      <c r="CF1277" s="1061">
        <f>SUM(CB1277:CE1277)</f>
      </c>
      <c r="CG1277" s="933">
        <f>+CB1277*(1+CG1282)</f>
      </c>
      <c r="CH1277" s="933">
        <f>+CC1277*(1+CH1282)</f>
      </c>
      <c r="CI1277" s="933">
        <f>+CD1277*(1+CI1282)</f>
      </c>
      <c r="CJ1277" s="933">
        <f>+CE1277*(1+CJ1282)</f>
      </c>
      <c r="CK1277" s="1061">
        <f>SUM(CG1277:CJ1277)</f>
      </c>
      <c r="CL1277" s="961">
        <f>+CG1277*(1+CL1282)</f>
      </c>
      <c r="CM1277" s="933">
        <f>+CH1277*(1+CM1282)</f>
      </c>
      <c r="CN1277" s="933">
        <f>+CI1277*(1+CN1282)</f>
      </c>
      <c r="CO1277" s="933">
        <f>+CJ1277*(1+CO1282)</f>
      </c>
      <c r="CP1277" s="1061">
        <f>SUM(CL1277:CO1277)</f>
      </c>
      <c r="CQ1277" s="933">
        <f>+CL1277*(1+CQ1282)</f>
      </c>
      <c r="CR1277" s="933">
        <f>+CM1277*(1+CR1282)</f>
      </c>
      <c r="CS1277" s="1227"/>
      <c r="CT1277" s="1231"/>
      <c r="CU1277" s="2374"/>
      <c r="CV1277" s="1270"/>
      <c r="CW1277" s="1227"/>
      <c r="CX1277" s="1227"/>
      <c r="CY1277" s="1231"/>
      <c r="CZ1277" s="1228"/>
      <c r="DA1277" s="1322"/>
      <c r="DB1277" s="1357"/>
      <c r="DC1277" s="1357"/>
      <c r="DD1277" s="1345"/>
      <c r="DE1277" s="1811"/>
      <c r="DF1277" s="1836"/>
      <c r="DG1277" s="1822"/>
      <c r="DH1277" s="1822"/>
      <c r="DI1277" s="1837"/>
      <c r="DJ1277" s="1811"/>
      <c r="DK1277" s="1811"/>
      <c r="DL1277" s="1811"/>
      <c r="DM1277" s="1811"/>
      <c r="DN1277" s="1811"/>
      <c r="DO1277" s="1811"/>
      <c r="DP1277" s="1836"/>
      <c r="DQ1277" s="1822"/>
      <c r="DR1277" s="1822"/>
      <c r="DS1277" s="1822"/>
      <c r="DT1277" s="1811"/>
      <c r="DU1277" s="1836"/>
      <c r="DV1277" s="1822"/>
      <c r="DW1277" s="1822"/>
      <c r="DX1277" s="1837"/>
      <c r="DY1277" s="1811"/>
      <c r="DZ1277" s="1822"/>
      <c r="EA1277" s="1822"/>
      <c r="EB1277" s="1837"/>
      <c r="EC1277" s="1837"/>
      <c r="ED1277" s="1811"/>
      <c r="EE1277" s="1822"/>
      <c r="EF1277" s="1822"/>
      <c r="EG1277" s="1822"/>
      <c r="EH1277" s="1836"/>
      <c r="EI1277" s="1811"/>
      <c r="EJ1277" s="1811"/>
      <c r="EK1277" s="1811"/>
      <c r="EL1277" s="1811"/>
      <c r="EM1277" s="1811"/>
      <c r="EN1277" s="1811"/>
      <c r="EO1277" s="1811"/>
      <c r="EP1277" s="1811"/>
      <c r="EQ1277" s="1811"/>
      <c r="ER1277" s="1811"/>
      <c r="ES1277" s="1811"/>
      <c r="ET1277" s="1811"/>
      <c r="EU1277" s="1811"/>
      <c r="EV1277" s="1811"/>
      <c r="EW1277" s="1811"/>
      <c r="EX1277" s="1811"/>
    </row>
    <row r="1278" spans="2:154" ht="12.75" hidden="1" customHeight="1" outlineLevel="2">
      <c r="B1278" s="437" t="s">
        <v>413</v>
      </c>
      <c r="C1278" s="1577"/>
      <c r="D1278" s="933"/>
      <c r="E1278" s="933"/>
      <c r="F1278" s="933"/>
      <c r="G1278" s="933"/>
      <c r="H1278" s="933"/>
      <c r="I1278" s="933"/>
      <c r="J1278" s="933"/>
      <c r="K1278" s="933"/>
      <c r="L1278" s="933"/>
      <c r="M1278" s="933"/>
      <c r="N1278" s="933"/>
      <c r="O1278" s="933"/>
      <c r="P1278" s="933"/>
      <c r="Q1278" s="933"/>
      <c r="R1278" s="933"/>
      <c r="S1278" s="933"/>
      <c r="T1278" s="933"/>
      <c r="U1278" s="933"/>
      <c r="V1278" s="933"/>
      <c r="W1278" s="933"/>
      <c r="X1278" s="1061"/>
      <c r="Y1278" s="933"/>
      <c r="Z1278" s="933"/>
      <c r="AA1278" s="933"/>
      <c r="AB1278" s="933"/>
      <c r="AC1278" s="1061"/>
      <c r="AD1278" s="933">
        <f>+AD1277+AD1276</f>
      </c>
      <c r="AE1278" s="933">
        <f t="shared" ref="AE1278:BT1278" si="2613">+AE1277+AE1276</f>
      </c>
      <c r="AF1278" s="933">
        <f t="shared" si="2613"/>
      </c>
      <c r="AG1278" s="933">
        <f t="shared" si="2613"/>
      </c>
      <c r="AH1278" s="1061">
        <f t="shared" si="2613"/>
      </c>
      <c r="AI1278" s="933">
        <f t="shared" si="2613"/>
      </c>
      <c r="AJ1278" s="933">
        <f t="shared" si="2613"/>
      </c>
      <c r="AK1278" s="933">
        <f t="shared" si="2613"/>
      </c>
      <c r="AL1278" s="933">
        <f t="shared" si="2613"/>
      </c>
      <c r="AM1278" s="1061">
        <f t="shared" si="2613"/>
      </c>
      <c r="AN1278" s="933">
        <f t="shared" si="2613"/>
      </c>
      <c r="AO1278" s="933">
        <f t="shared" si="2613"/>
      </c>
      <c r="AP1278" s="933">
        <f t="shared" si="2613"/>
      </c>
      <c r="AQ1278" s="933">
        <f t="shared" si="2613"/>
      </c>
      <c r="AR1278" s="1061">
        <f t="shared" si="2613"/>
      </c>
      <c r="AS1278" s="933">
        <f t="shared" si="2613"/>
      </c>
      <c r="AT1278" s="933">
        <f t="shared" si="2613"/>
      </c>
      <c r="AU1278" s="933">
        <f t="shared" si="2613"/>
      </c>
      <c r="AV1278" s="933">
        <f t="shared" si="2613"/>
      </c>
      <c r="AW1278" s="1061">
        <f t="shared" si="2613"/>
      </c>
      <c r="AX1278" s="933">
        <f t="shared" si="2613"/>
      </c>
      <c r="AY1278" s="933">
        <f t="shared" si="2613"/>
      </c>
      <c r="AZ1278" s="933">
        <f t="shared" si="2613"/>
      </c>
      <c r="BA1278" s="933">
        <f t="shared" si="2613"/>
      </c>
      <c r="BB1278" s="1061">
        <f t="shared" si="2613"/>
      </c>
      <c r="BC1278" s="933">
        <f t="shared" si="2613"/>
      </c>
      <c r="BD1278" s="933">
        <f t="shared" si="2613"/>
      </c>
      <c r="BE1278" s="933">
        <f t="shared" si="2613"/>
      </c>
      <c r="BF1278" s="933">
        <f t="shared" si="2613"/>
      </c>
      <c r="BG1278" s="313">
        <f t="shared" si="2613"/>
      </c>
      <c r="BH1278" s="933">
        <f>+BH1277+BH1276</f>
      </c>
      <c r="BI1278" s="933">
        <f>+BI1277+BI1276</f>
      </c>
      <c r="BJ1278" s="933">
        <f>+BJ1277+BJ1276</f>
      </c>
      <c r="BK1278" s="933">
        <f>+BK1276+BK1277</f>
      </c>
      <c r="BL1278" s="313">
        <f>SUM(BH1278:BK1278)</f>
      </c>
      <c r="BM1278" s="933">
        <f>+BM1277+BM1276</f>
      </c>
      <c r="BN1278" s="933">
        <f>+BN1277+BN1276</f>
      </c>
      <c r="BO1278" s="933">
        <f>+BO1277+BO1276</f>
      </c>
      <c r="BP1278" s="933">
        <f>+BP1276+BP1277</f>
      </c>
      <c r="BQ1278" s="313">
        <f>SUM(BM1278:BP1278)</f>
      </c>
      <c r="BR1278" s="933">
        <f t="shared" si="2613"/>
      </c>
      <c r="BS1278" s="933">
        <f>+BS1277+BS1276</f>
      </c>
      <c r="BT1278" s="933">
        <f t="shared" si="2613"/>
      </c>
      <c r="BU1278" s="933">
        <f>+BU1276+BU1277</f>
      </c>
      <c r="BV1278" s="1061">
        <f>SUM(BR1278:BU1278)</f>
      </c>
      <c r="BW1278" s="933">
        <f>+BW1277+BW1276</f>
      </c>
      <c r="BX1278" s="933">
        <f>+BX1277+BX1276</f>
      </c>
      <c r="BY1278" s="933">
        <f>+BY1277+BY1276</f>
      </c>
      <c r="BZ1278" s="933">
        <f>+BZ1277+BZ1276</f>
      </c>
      <c r="CA1278" s="313">
        <f>SUM(BW1278:BZ1278)</f>
      </c>
      <c r="CB1278" s="933">
        <f>+CB1277+CB1276</f>
      </c>
      <c r="CC1278" s="933">
        <f>+CC1277+CC1276</f>
      </c>
      <c r="CD1278" s="933">
        <f>+CD1277+CD1276</f>
      </c>
      <c r="CE1278" s="933">
        <f>+CE1277+CE1276</f>
      </c>
      <c r="CF1278" s="1061">
        <f>SUM(CB1278:CE1278)</f>
      </c>
      <c r="CG1278" s="933">
        <f>+CG1277+CG1276</f>
      </c>
      <c r="CH1278" s="933">
        <f>+CH1277+CH1276</f>
      </c>
      <c r="CI1278" s="933">
        <f>+CI1277+CI1276</f>
      </c>
      <c r="CJ1278" s="933">
        <f>+CJ1277+CJ1276</f>
      </c>
      <c r="CK1278" s="1061">
        <f>SUM(CG1278:CJ1278)</f>
      </c>
      <c r="CL1278" s="961">
        <f>+CL1277+CL1276</f>
      </c>
      <c r="CM1278" s="933">
        <f>+CM1277+CM1276</f>
      </c>
      <c r="CN1278" s="933">
        <f>+CN1277+CN1276</f>
      </c>
      <c r="CO1278" s="933">
        <f>+CO1277+CO1276</f>
      </c>
      <c r="CP1278" s="1061">
        <f>SUM(CL1278:CO1278)</f>
      </c>
      <c r="CQ1278" s="933">
        <f>+CQ1277+CQ1276</f>
      </c>
      <c r="CR1278" s="933">
        <f>+CR1277+CR1276</f>
      </c>
      <c r="CS1278" s="1227"/>
      <c r="CT1278" s="1231"/>
      <c r="CU1278" s="2374"/>
      <c r="CV1278" s="1270"/>
      <c r="CW1278" s="1227"/>
      <c r="CX1278" s="1227"/>
      <c r="CY1278" s="1231"/>
      <c r="CZ1278" s="1228"/>
      <c r="DA1278" s="1322"/>
      <c r="DB1278" s="1357"/>
      <c r="DC1278" s="1357"/>
      <c r="DD1278" s="1345"/>
      <c r="DE1278" s="1811"/>
      <c r="DF1278" s="1836"/>
      <c r="DG1278" s="1822"/>
      <c r="DH1278" s="1822"/>
      <c r="DI1278" s="1837"/>
      <c r="DJ1278" s="1811"/>
      <c r="DK1278" s="1811"/>
      <c r="DL1278" s="1811"/>
      <c r="DM1278" s="1811"/>
      <c r="DN1278" s="1811"/>
      <c r="DO1278" s="1811"/>
      <c r="DP1278" s="1836"/>
      <c r="DQ1278" s="1822"/>
      <c r="DR1278" s="1822"/>
      <c r="DS1278" s="1822"/>
      <c r="DT1278" s="1811"/>
      <c r="DU1278" s="1836"/>
      <c r="DV1278" s="1822"/>
      <c r="DW1278" s="1822"/>
      <c r="DX1278" s="1837"/>
      <c r="DY1278" s="1811"/>
      <c r="DZ1278" s="1822"/>
      <c r="EA1278" s="1822"/>
      <c r="EB1278" s="1837"/>
      <c r="EC1278" s="1837"/>
      <c r="ED1278" s="1811"/>
      <c r="EE1278" s="1822"/>
      <c r="EF1278" s="1822"/>
      <c r="EG1278" s="1822"/>
      <c r="EH1278" s="1836"/>
      <c r="EI1278" s="1811"/>
      <c r="EJ1278" s="1811"/>
      <c r="EK1278" s="1811"/>
      <c r="EL1278" s="1811"/>
      <c r="EM1278" s="1811"/>
      <c r="EN1278" s="1811"/>
      <c r="EO1278" s="1811"/>
      <c r="EP1278" s="1811"/>
      <c r="EQ1278" s="1811"/>
      <c r="ER1278" s="1811"/>
      <c r="ES1278" s="1811"/>
      <c r="ET1278" s="1811"/>
      <c r="EU1278" s="1811"/>
      <c r="EV1278" s="1811"/>
      <c r="EW1278" s="1811"/>
      <c r="EX1278" s="1811"/>
    </row>
    <row r="1279" spans="2:154" ht="12.75" hidden="1" customHeight="1" outlineLevel="2">
      <c r="B1279" s="442"/>
      <c r="C1279" s="1577"/>
      <c r="D1279" s="933"/>
      <c r="E1279" s="933"/>
      <c r="F1279" s="933"/>
      <c r="G1279" s="933"/>
      <c r="H1279" s="933"/>
      <c r="I1279" s="933"/>
      <c r="J1279" s="933"/>
      <c r="K1279" s="933"/>
      <c r="L1279" s="933"/>
      <c r="M1279" s="933"/>
      <c r="N1279" s="933"/>
      <c r="O1279" s="933"/>
      <c r="P1279" s="933"/>
      <c r="Q1279" s="933"/>
      <c r="R1279" s="933"/>
      <c r="S1279" s="933"/>
      <c r="T1279" s="933"/>
      <c r="U1279" s="933"/>
      <c r="V1279" s="933"/>
      <c r="W1279" s="933"/>
      <c r="X1279" s="1061"/>
      <c r="Y1279" s="933"/>
      <c r="Z1279" s="933"/>
      <c r="AA1279" s="933"/>
      <c r="AB1279" s="933"/>
      <c r="AC1279" s="1061"/>
      <c r="AD1279" s="933"/>
      <c r="AE1279" s="933"/>
      <c r="AF1279" s="933"/>
      <c r="AG1279" s="933"/>
      <c r="AH1279" s="1061"/>
      <c r="AI1279" s="933"/>
      <c r="AJ1279" s="933"/>
      <c r="AK1279" s="933"/>
      <c r="AL1279" s="933"/>
      <c r="AM1279" s="1061"/>
      <c r="AN1279" s="933"/>
      <c r="AO1279" s="933"/>
      <c r="AP1279" s="933"/>
      <c r="AQ1279" s="933"/>
      <c r="AR1279" s="1061"/>
      <c r="AS1279" s="933"/>
      <c r="AT1279" s="933"/>
      <c r="AU1279" s="933"/>
      <c r="AV1279" s="933"/>
      <c r="AW1279" s="1061"/>
      <c r="AX1279" s="933"/>
      <c r="AY1279" s="933"/>
      <c r="AZ1279" s="933"/>
      <c r="BA1279" s="933"/>
      <c r="BB1279" s="1061"/>
      <c r="BC1279" s="933"/>
      <c r="BD1279" s="933"/>
      <c r="BE1279" s="933"/>
      <c r="BF1279" s="933"/>
      <c r="BG1279" s="313"/>
      <c r="BH1279" s="933"/>
      <c r="BI1279" s="933"/>
      <c r="BJ1279" s="933"/>
      <c r="BK1279" s="933"/>
      <c r="BL1279" s="313"/>
      <c r="BM1279" s="933"/>
      <c r="BN1279" s="933"/>
      <c r="BO1279" s="933"/>
      <c r="BP1279" s="933"/>
      <c r="BQ1279" s="313"/>
      <c r="BR1279" s="933"/>
      <c r="BS1279" s="933"/>
      <c r="BT1279" s="933"/>
      <c r="BU1279" s="933"/>
      <c r="BV1279" s="1061"/>
      <c r="BW1279" s="933"/>
      <c r="BX1279" s="933"/>
      <c r="BY1279" s="933"/>
      <c r="BZ1279" s="933"/>
      <c r="CA1279" s="313"/>
      <c r="CB1279" s="933"/>
      <c r="CC1279" s="933"/>
      <c r="CD1279" s="933"/>
      <c r="CE1279" s="933"/>
      <c r="CF1279" s="313"/>
      <c r="CG1279" s="933"/>
      <c r="CH1279" s="933"/>
      <c r="CI1279" s="933"/>
      <c r="CJ1279" s="933"/>
      <c r="CK1279" s="313"/>
      <c r="CL1279" s="961"/>
      <c r="CM1279" s="933"/>
      <c r="CN1279" s="933"/>
      <c r="CO1279" s="933"/>
      <c r="CP1279" s="313"/>
      <c r="CQ1279" s="933"/>
      <c r="CR1279" s="933"/>
      <c r="CS1279" s="1227"/>
      <c r="CT1279" s="1231"/>
      <c r="CU1279" s="1228"/>
      <c r="CV1279" s="1270"/>
      <c r="CW1279" s="1227"/>
      <c r="CX1279" s="1227"/>
      <c r="CY1279" s="1231"/>
      <c r="CZ1279" s="1228"/>
      <c r="DA1279" s="1322"/>
      <c r="DB1279" s="1357"/>
      <c r="DC1279" s="1357"/>
      <c r="DD1279" s="1345"/>
      <c r="DE1279" s="1811"/>
      <c r="DF1279" s="1836"/>
      <c r="DG1279" s="1822"/>
      <c r="DH1279" s="1822"/>
      <c r="DI1279" s="1837"/>
      <c r="DJ1279" s="1811"/>
      <c r="DK1279" s="1811"/>
      <c r="DL1279" s="1811"/>
      <c r="DM1279" s="1811"/>
      <c r="DN1279" s="1811"/>
      <c r="DO1279" s="1811"/>
      <c r="DP1279" s="1836"/>
      <c r="DQ1279" s="1822"/>
      <c r="DR1279" s="1822"/>
      <c r="DS1279" s="1822"/>
      <c r="DT1279" s="1811"/>
      <c r="DU1279" s="1836"/>
      <c r="DV1279" s="1822"/>
      <c r="DW1279" s="1822"/>
      <c r="DX1279" s="1837"/>
      <c r="DY1279" s="1811"/>
      <c r="DZ1279" s="1822"/>
      <c r="EA1279" s="1822"/>
      <c r="EB1279" s="1837"/>
      <c r="EC1279" s="1837"/>
      <c r="ED1279" s="1811"/>
      <c r="EE1279" s="1822"/>
      <c r="EF1279" s="1822"/>
      <c r="EG1279" s="1822"/>
      <c r="EH1279" s="1836"/>
      <c r="EI1279" s="1811"/>
      <c r="EJ1279" s="1811"/>
      <c r="EK1279" s="1811"/>
      <c r="EL1279" s="1811"/>
      <c r="EM1279" s="1811"/>
      <c r="EN1279" s="1811"/>
      <c r="EO1279" s="1811"/>
      <c r="EP1279" s="1811"/>
      <c r="EQ1279" s="1811"/>
      <c r="ER1279" s="1811"/>
      <c r="ES1279" s="1811"/>
      <c r="ET1279" s="1811"/>
      <c r="EU1279" s="1811"/>
      <c r="EV1279" s="1811"/>
      <c r="EW1279" s="1811"/>
      <c r="EX1279" s="1811"/>
    </row>
    <row r="1280" spans="2:154" ht="12.75" hidden="1" customHeight="1" outlineLevel="2">
      <c r="B1280" s="439" t="s">
        <v>139</v>
      </c>
      <c r="C1280" s="1577"/>
      <c r="D1280" s="933"/>
      <c r="E1280" s="933"/>
      <c r="F1280" s="933"/>
      <c r="G1280" s="933"/>
      <c r="H1280" s="933"/>
      <c r="I1280" s="933"/>
      <c r="J1280" s="933"/>
      <c r="K1280" s="933"/>
      <c r="L1280" s="933"/>
      <c r="M1280" s="933"/>
      <c r="N1280" s="933"/>
      <c r="O1280" s="933"/>
      <c r="P1280" s="933"/>
      <c r="Q1280" s="933"/>
      <c r="R1280" s="933"/>
      <c r="S1280" s="933"/>
      <c r="T1280" s="933"/>
      <c r="U1280" s="933"/>
      <c r="V1280" s="933"/>
      <c r="W1280" s="933"/>
      <c r="X1280" s="1061"/>
      <c r="Y1280" s="933"/>
      <c r="Z1280" s="933"/>
      <c r="AA1280" s="933"/>
      <c r="AB1280" s="933"/>
      <c r="AC1280" s="1061"/>
      <c r="AD1280" s="933"/>
      <c r="AE1280" s="933"/>
      <c r="AF1280" s="933"/>
      <c r="AG1280" s="933"/>
      <c r="AH1280" s="1061"/>
      <c r="AI1280" s="933"/>
      <c r="AJ1280" s="933"/>
      <c r="AK1280" s="933"/>
      <c r="AL1280" s="933"/>
      <c r="AM1280" s="1061"/>
      <c r="AN1280" s="933"/>
      <c r="AO1280" s="933"/>
      <c r="AP1280" s="933"/>
      <c r="AQ1280" s="933"/>
      <c r="AR1280" s="1061"/>
      <c r="AS1280" s="933"/>
      <c r="AT1280" s="933"/>
      <c r="AU1280" s="933"/>
      <c r="AV1280" s="933"/>
      <c r="AW1280" s="1061"/>
      <c r="AX1280" s="933"/>
      <c r="AY1280" s="933"/>
      <c r="AZ1280" s="933"/>
      <c r="BA1280" s="933"/>
      <c r="BB1280" s="1061"/>
      <c r="BC1280" s="933"/>
      <c r="BD1280" s="933"/>
      <c r="BE1280" s="933"/>
      <c r="BF1280" s="933"/>
      <c r="BG1280" s="313"/>
      <c r="BH1280" s="933"/>
      <c r="BI1280" s="933"/>
      <c r="BJ1280" s="933"/>
      <c r="BK1280" s="933"/>
      <c r="BL1280" s="313"/>
      <c r="BM1280" s="933"/>
      <c r="BN1280" s="933"/>
      <c r="BO1280" s="933"/>
      <c r="BP1280" s="933"/>
      <c r="BQ1280" s="313"/>
      <c r="BR1280" s="933"/>
      <c r="BS1280" s="933"/>
      <c r="BT1280" s="933"/>
      <c r="BU1280" s="933"/>
      <c r="BV1280" s="1061"/>
      <c r="BW1280" s="933"/>
      <c r="BX1280" s="933"/>
      <c r="BY1280" s="933"/>
      <c r="BZ1280" s="933"/>
      <c r="CA1280" s="313"/>
      <c r="CB1280" s="933"/>
      <c r="CC1280" s="933"/>
      <c r="CD1280" s="933"/>
      <c r="CE1280" s="933"/>
      <c r="CF1280" s="313"/>
      <c r="CG1280" s="933"/>
      <c r="CH1280" s="933"/>
      <c r="CI1280" s="933"/>
      <c r="CJ1280" s="933"/>
      <c r="CK1280" s="313"/>
      <c r="CL1280" s="961"/>
      <c r="CM1280" s="933"/>
      <c r="CN1280" s="933"/>
      <c r="CO1280" s="933"/>
      <c r="CP1280" s="313"/>
      <c r="CQ1280" s="933"/>
      <c r="CR1280" s="933"/>
      <c r="CS1280" s="1227"/>
      <c r="CT1280" s="1231"/>
      <c r="CU1280" s="1228"/>
      <c r="CV1280" s="1270"/>
      <c r="CW1280" s="1227"/>
      <c r="CX1280" s="1227"/>
      <c r="CY1280" s="1231"/>
      <c r="CZ1280" s="1228"/>
      <c r="DA1280" s="1322"/>
      <c r="DB1280" s="1357"/>
      <c r="DC1280" s="1357"/>
      <c r="DD1280" s="1345"/>
      <c r="DE1280" s="1811"/>
      <c r="DF1280" s="1836"/>
      <c r="DG1280" s="1822"/>
      <c r="DH1280" s="1822"/>
      <c r="DI1280" s="1837"/>
      <c r="DJ1280" s="1811"/>
      <c r="DK1280" s="1811"/>
      <c r="DL1280" s="1811"/>
      <c r="DM1280" s="1811"/>
      <c r="DN1280" s="1811"/>
      <c r="DO1280" s="1811"/>
      <c r="DP1280" s="1836"/>
      <c r="DQ1280" s="1822"/>
      <c r="DR1280" s="1822"/>
      <c r="DS1280" s="1822"/>
      <c r="DT1280" s="1811"/>
      <c r="DU1280" s="1836"/>
      <c r="DV1280" s="1822"/>
      <c r="DW1280" s="1822"/>
      <c r="DX1280" s="1837"/>
      <c r="DY1280" s="1811"/>
      <c r="DZ1280" s="1822"/>
      <c r="EA1280" s="1822"/>
      <c r="EB1280" s="1837"/>
      <c r="EC1280" s="1837"/>
      <c r="ED1280" s="1811"/>
      <c r="EE1280" s="1822"/>
      <c r="EF1280" s="1822"/>
      <c r="EG1280" s="1822"/>
      <c r="EH1280" s="1836"/>
      <c r="EI1280" s="1811"/>
      <c r="EJ1280" s="1811"/>
      <c r="EK1280" s="1811"/>
      <c r="EL1280" s="1811"/>
      <c r="EM1280" s="1811"/>
      <c r="EN1280" s="1811"/>
      <c r="EO1280" s="1811"/>
      <c r="EP1280" s="1811"/>
      <c r="EQ1280" s="1811"/>
      <c r="ER1280" s="1811"/>
      <c r="ES1280" s="1811"/>
      <c r="ET1280" s="1811"/>
      <c r="EU1280" s="1811"/>
      <c r="EV1280" s="1811"/>
      <c r="EW1280" s="1811"/>
      <c r="EX1280" s="1811"/>
    </row>
    <row r="1281" spans="2:154" ht="12.75" hidden="1" customHeight="1" outlineLevel="2">
      <c r="B1281" s="443" t="s">
        <v>156</v>
      </c>
      <c r="C1281" s="1577"/>
      <c r="D1281" s="933"/>
      <c r="E1281" s="933"/>
      <c r="F1281" s="933"/>
      <c r="G1281" s="933"/>
      <c r="H1281" s="933"/>
      <c r="I1281" s="933"/>
      <c r="J1281" s="933"/>
      <c r="K1281" s="933"/>
      <c r="L1281" s="933"/>
      <c r="M1281" s="933"/>
      <c r="N1281" s="933"/>
      <c r="O1281" s="933"/>
      <c r="P1281" s="933"/>
      <c r="Q1281" s="933"/>
      <c r="R1281" s="933"/>
      <c r="S1281" s="933"/>
      <c r="T1281" s="933"/>
      <c r="U1281" s="933"/>
      <c r="V1281" s="933"/>
      <c r="W1281" s="933"/>
      <c r="X1281" s="1060"/>
      <c r="Y1281" s="933"/>
      <c r="Z1281" s="933"/>
      <c r="AA1281" s="933"/>
      <c r="AB1281" s="933"/>
      <c r="AC1281" s="1060"/>
      <c r="AD1281" s="926"/>
      <c r="AE1281" s="926"/>
      <c r="AF1281" s="926"/>
      <c r="AG1281" s="926"/>
      <c r="AH1281" s="1060"/>
      <c r="AI1281" s="926" t="str">
        <f t="shared" ref="AI1281:BV1282" si="2614">IF(AD1276="NM","NM",IF(AI1276="NM","NM",IF(AD1276&lt;=0,"NM",IF(AI1276=0,"NM",IF(ABS(AI1276/AD1276-1)&gt;2.5,"NM",IF((ABS(AI1276-AD1276)=ABS(ABS(AI1276)-ABS(AD1276))),(AI1276/AD1276-1),"NM"))))))</f>
      </c>
      <c r="AJ1281" s="926" t="str">
        <f t="shared" si="2614"/>
      </c>
      <c r="AK1281" s="926" t="str">
        <f t="shared" si="2614"/>
      </c>
      <c r="AL1281" s="926" t="str">
        <f t="shared" si="2614"/>
      </c>
      <c r="AM1281" s="1060">
        <f t="shared" si="2614"/>
      </c>
      <c r="AN1281" s="926" t="str">
        <f t="shared" si="2614"/>
      </c>
      <c r="AO1281" s="926" t="str">
        <f t="shared" si="2614"/>
      </c>
      <c r="AP1281" s="926" t="str">
        <f t="shared" si="2614"/>
      </c>
      <c r="AQ1281" s="926" t="str">
        <f t="shared" si="2614"/>
      </c>
      <c r="AR1281" s="1060">
        <f t="shared" si="2614"/>
      </c>
      <c r="AS1281" s="926">
        <f t="shared" si="2614"/>
      </c>
      <c r="AT1281" s="926">
        <f t="shared" si="2614"/>
      </c>
      <c r="AU1281" s="926">
        <f t="shared" si="2614"/>
      </c>
      <c r="AV1281" s="926">
        <f t="shared" si="2614"/>
      </c>
      <c r="AW1281" s="1060">
        <f t="shared" si="2614"/>
      </c>
      <c r="AX1281" s="926">
        <f t="shared" si="2614"/>
      </c>
      <c r="AY1281" s="926">
        <f t="shared" si="2614"/>
      </c>
      <c r="AZ1281" s="926">
        <f t="shared" si="2614"/>
      </c>
      <c r="BA1281" s="926">
        <f t="shared" si="2614"/>
      </c>
      <c r="BB1281" s="1060">
        <f t="shared" si="2614"/>
      </c>
      <c r="BC1281" s="926">
        <f t="shared" si="2614"/>
      </c>
      <c r="BD1281" s="926">
        <f t="shared" si="2614"/>
      </c>
      <c r="BE1281" s="926">
        <f t="shared" si="2614"/>
      </c>
      <c r="BF1281" s="926">
        <f t="shared" si="2614"/>
      </c>
      <c r="BG1281" s="1060">
        <f>IF(BB1276="NM","NM",IF(BG1276="NM","NM",IF(BB1276&lt;=0,"NM",IF(BG1276=0,"NM",IF(ABS(BG1276/BB1276-1)&gt;2.5,"NM",IF((ABS(BG1276-BB1276)=ABS(ABS(BG1276)-ABS(BB1276))),(BG1276/BB1276-1),"NM"))))))</f>
      </c>
      <c r="BH1281" s="926">
        <f t="shared" si="2614"/>
      </c>
      <c r="BI1281" s="926">
        <f t="shared" si="2614"/>
      </c>
      <c r="BJ1281" s="926">
        <f t="shared" si="2614"/>
      </c>
      <c r="BK1281" s="926">
        <f t="shared" si="2614"/>
      </c>
      <c r="BL1281" s="1060">
        <f>IF(BG1276="NM","NM",IF(BL1276="NM","NM",IF(BG1276&lt;=0,"NM",IF(BL1276=0,"NM",IF(ABS(BL1276/BG1276-1)&gt;2.5,"NM",IF((ABS(BL1276-BG1276)=ABS(ABS(BL1276)-ABS(BG1276))),(BL1276/BG1276-1),"NM"))))))</f>
      </c>
      <c r="BM1281" s="926">
        <f t="shared" si="2614"/>
      </c>
      <c r="BN1281" s="926">
        <f t="shared" si="2614"/>
      </c>
      <c r="BO1281" s="926">
        <f t="shared" si="2614"/>
      </c>
      <c r="BP1281" s="926">
        <f t="shared" si="2614"/>
      </c>
      <c r="BQ1281" s="1060">
        <f t="shared" si="2614"/>
      </c>
      <c r="BR1281" s="926">
        <f t="shared" si="2614"/>
      </c>
      <c r="BS1281" s="926">
        <f t="shared" si="2614"/>
      </c>
      <c r="BT1281" s="926">
        <f t="shared" si="2614"/>
      </c>
      <c r="BU1281" s="926">
        <f>IF(BP1276="NM","NM",IF(BU1276="NM","NM",IF(BP1276&lt;=0,"NM",IF(BU1276=0,"NM",IF(ABS(BU1276/BP1276-1)&gt;2.5,"NM",IF((ABS(BU1276-BP1276)=ABS(ABS(BU1276)-ABS(BP1276))),(BU1276/BP1276-1),"NM"))))))</f>
      </c>
      <c r="BV1281" s="1060">
        <f t="shared" si="2614"/>
      </c>
      <c r="BW1281" s="649">
        <v>-6.0000000000001164E-3</v>
      </c>
      <c r="BX1281" s="649">
        <v>5.2000000000000046E-2</v>
      </c>
      <c r="BY1281" s="649">
        <v>5.699999999999994E-2</v>
      </c>
      <c r="BZ1281" s="649">
        <v>7.2999999999999954E-2</v>
      </c>
      <c r="CA1281" s="2248">
        <f>IF(BV1276="NM","NM",IF(CA1276="NM","NM",IF(BV1276&lt;=0,"NM",IF(CA1276=0,"NM",IF(ABS(CA1276/BV1276-1)&gt;2.5,"NM",IF((ABS(CA1276-BV1276)=ABS(ABS(CA1276)-ABS(BV1276))),(CA1276/BV1276-1),"NM"))))))</f>
      </c>
      <c r="CB1281" s="649">
        <v>-0.05</v>
      </c>
      <c r="CC1281" s="29">
        <v>-0.05</v>
      </c>
      <c r="CD1281" s="29">
        <v>-0.05</v>
      </c>
      <c r="CE1281" s="29">
        <v>-0.05</v>
      </c>
      <c r="CF1281" s="2248">
        <f>IF(CA1276="NM","NM",IF(CF1276="NM","NM",IF(CA1276&lt;=0,"NM",IF(CF1276=0,"NM",IF(ABS(CF1276/CA1276-1)&gt;2.5,"NM",IF((ABS(CF1276-CA1276)=ABS(ABS(CF1276)-ABS(CA1276))),(CF1276/CA1276-1),"NM"))))))</f>
      </c>
      <c r="CG1281" s="659">
        <v>0.04</v>
      </c>
      <c r="CH1281" s="659">
        <v>0.04</v>
      </c>
      <c r="CI1281" s="659">
        <v>0.04</v>
      </c>
      <c r="CJ1281" s="659">
        <v>0.04</v>
      </c>
      <c r="CK1281" s="1060">
        <f>IF(CF1276=0, 0, CK1276/CF1276-1)</f>
      </c>
      <c r="CL1281" s="29">
        <v>0.04</v>
      </c>
      <c r="CM1281" s="29">
        <v>0.04</v>
      </c>
      <c r="CN1281" s="29">
        <v>0.04</v>
      </c>
      <c r="CO1281" s="29">
        <v>0.04</v>
      </c>
      <c r="CP1281" s="1060">
        <f>IF(CK1276=0, 0, CP1276/CK1276-1)</f>
      </c>
      <c r="CQ1281" s="659">
        <f>CL1281-0.002</f>
      </c>
      <c r="CR1281" s="659">
        <f>CM1281-0.002</f>
      </c>
      <c r="CS1281" s="1208"/>
      <c r="CT1281" s="1232"/>
      <c r="CU1281" s="1536"/>
      <c r="CV1281" s="1271"/>
      <c r="CW1281" s="1208"/>
      <c r="CX1281" s="1208"/>
      <c r="CY1281" s="1232"/>
      <c r="CZ1281" s="1234"/>
      <c r="DA1281" s="1271"/>
      <c r="DB1281" s="1208"/>
      <c r="DC1281" s="1208"/>
      <c r="DD1281" s="1232"/>
      <c r="DE1281" s="1234"/>
      <c r="DF1281" s="1271"/>
      <c r="DG1281" s="1208"/>
      <c r="DH1281" s="1208"/>
      <c r="DI1281" s="1232"/>
      <c r="DJ1281" s="1232"/>
      <c r="DK1281" s="1232"/>
      <c r="DL1281" s="1232"/>
      <c r="DM1281" s="1232"/>
      <c r="DN1281" s="1232"/>
      <c r="DO1281" s="1232"/>
      <c r="DP1281" s="1208"/>
      <c r="DQ1281" s="1208"/>
      <c r="DR1281" s="1208"/>
      <c r="DS1281" s="1208"/>
      <c r="DT1281" s="1234"/>
      <c r="DU1281" s="1208"/>
      <c r="DV1281" s="1208"/>
      <c r="DW1281" s="1208"/>
      <c r="DX1281" s="1232"/>
      <c r="DY1281" s="1234"/>
      <c r="DZ1281" s="1208"/>
      <c r="EA1281" s="1208"/>
      <c r="EB1281" s="1232"/>
      <c r="EC1281" s="1232"/>
      <c r="ED1281" s="1234"/>
      <c r="EE1281" s="1208"/>
      <c r="EF1281" s="1208"/>
      <c r="EG1281" s="1208"/>
      <c r="EH1281" s="1208"/>
      <c r="EI1281" s="1234"/>
      <c r="EJ1281" s="1234"/>
      <c r="EK1281" s="1234"/>
      <c r="EL1281" s="1234"/>
      <c r="EM1281" s="1234"/>
      <c r="EN1281" s="1234"/>
      <c r="EO1281" s="1234"/>
      <c r="EP1281" s="1234"/>
      <c r="EQ1281" s="1234"/>
      <c r="ER1281" s="1234"/>
      <c r="ES1281" s="1234"/>
      <c r="ET1281" s="1234"/>
      <c r="EU1281" s="1234"/>
      <c r="EV1281" s="1234"/>
      <c r="EW1281" s="1234"/>
      <c r="EX1281" s="1234"/>
    </row>
    <row r="1282" spans="2:154" ht="12.75" hidden="1" customHeight="1" outlineLevel="2">
      <c r="B1282" s="443" t="s">
        <v>235</v>
      </c>
      <c r="C1282" s="1577"/>
      <c r="D1282" s="933"/>
      <c r="E1282" s="933"/>
      <c r="F1282" s="933"/>
      <c r="G1282" s="933"/>
      <c r="H1282" s="933"/>
      <c r="I1282" s="933"/>
      <c r="J1282" s="933"/>
      <c r="K1282" s="933"/>
      <c r="L1282" s="933"/>
      <c r="M1282" s="933"/>
      <c r="N1282" s="933"/>
      <c r="O1282" s="933"/>
      <c r="P1282" s="933"/>
      <c r="Q1282" s="933"/>
      <c r="R1282" s="933"/>
      <c r="S1282" s="933"/>
      <c r="T1282" s="933"/>
      <c r="U1282" s="933"/>
      <c r="V1282" s="933"/>
      <c r="W1282" s="933"/>
      <c r="X1282" s="1060"/>
      <c r="Y1282" s="933"/>
      <c r="Z1282" s="933"/>
      <c r="AA1282" s="933"/>
      <c r="AB1282" s="933"/>
      <c r="AC1282" s="1060"/>
      <c r="AD1282" s="926"/>
      <c r="AE1282" s="926"/>
      <c r="AF1282" s="926"/>
      <c r="AG1282" s="926"/>
      <c r="AH1282" s="1060"/>
      <c r="AI1282" s="926"/>
      <c r="AJ1282" s="926"/>
      <c r="AK1282" s="926"/>
      <c r="AL1282" s="926"/>
      <c r="AM1282" s="1060"/>
      <c r="AN1282" s="926"/>
      <c r="AO1282" s="926"/>
      <c r="AP1282" s="926"/>
      <c r="AQ1282" s="926"/>
      <c r="AR1282" s="1060"/>
      <c r="AS1282" s="2359"/>
      <c r="AT1282" s="926"/>
      <c r="AU1282" s="926"/>
      <c r="AV1282" s="926"/>
      <c r="AW1282" s="1060"/>
      <c r="AX1282" s="926" t="str">
        <f t="shared" si="2614"/>
      </c>
      <c r="AY1282" s="926" t="str">
        <f t="shared" si="2614"/>
      </c>
      <c r="AZ1282" s="926" t="str">
        <f t="shared" si="2614"/>
      </c>
      <c r="BA1282" s="926" t="str">
        <f t="shared" si="2614"/>
      </c>
      <c r="BB1282" s="1060" t="str">
        <f t="shared" si="2614"/>
      </c>
      <c r="BC1282" s="926">
        <f t="shared" si="2614"/>
      </c>
      <c r="BD1282" s="926">
        <f t="shared" si="2614"/>
      </c>
      <c r="BE1282" s="926">
        <f t="shared" si="2614"/>
      </c>
      <c r="BF1282" s="926">
        <f t="shared" si="2614"/>
      </c>
      <c r="BG1282" s="1060">
        <f>IF(BB1277="NM","NM",IF(BG1277="NM","NM",IF(BB1277&lt;=0,"NM",IF(BG1277=0,"NM",IF(ABS(BG1277/BB1277-1)&gt;2.5,"NM",IF((ABS(BG1277-BB1277)=ABS(ABS(BG1277)-ABS(BB1277))),(BG1277/BB1277-1),"NM"))))))</f>
      </c>
      <c r="BH1282" s="926">
        <f t="shared" si="2614"/>
      </c>
      <c r="BI1282" s="926">
        <f t="shared" si="2614"/>
      </c>
      <c r="BJ1282" s="926">
        <f t="shared" si="2614"/>
      </c>
      <c r="BK1282" s="926">
        <f t="shared" si="2614"/>
      </c>
      <c r="BL1282" s="1060">
        <f>IF(BG1277="NM","NM",IF(BL1277="NM","NM",IF(BG1277&lt;=0,"NM",IF(BL1277=0,"NM",IF(ABS(BL1277/BG1277-1)&gt;2.5,"NM",IF((ABS(BL1277-BG1277)=ABS(ABS(BL1277)-ABS(BG1277))),(BL1277/BG1277-1),"NM"))))))</f>
      </c>
      <c r="BM1282" s="926">
        <f t="shared" si="2614"/>
      </c>
      <c r="BN1282" s="926">
        <f t="shared" si="2614"/>
      </c>
      <c r="BO1282" s="926">
        <f t="shared" si="2614"/>
      </c>
      <c r="BP1282" s="926">
        <f>IF(BK1277="NM","NM",IF(BP1277="NM","NM",IF(BK1277&lt;=0,"NM",IF(BP1277=0,"NM",IF(ABS(BP1277/BK1277-1)&gt;2.5,"NM",IF((ABS(BP1277-BK1277)=ABS(ABS(BP1277)-ABS(BK1277))),(BP1277/BK1277-1),"NM"))))))</f>
      </c>
      <c r="BQ1282" s="1060">
        <f>IF(BL1277="NM","NM",IF(BQ1277="NM","NM",IF(BL1277&lt;=0,"NM",IF(BQ1277=0,"NM",IF(ABS(BQ1277/BL1277-1)&gt;2.5,"NM",IF((ABS(BQ1277-BL1277)=ABS(ABS(BQ1277)-ABS(BL1277))),(BQ1277/BL1277-1),"NM"))))))</f>
      </c>
      <c r="BR1282" s="926">
        <f t="shared" si="2614"/>
      </c>
      <c r="BS1282" s="926">
        <f t="shared" si="2614"/>
      </c>
      <c r="BT1282" s="926">
        <f t="shared" si="2614"/>
      </c>
      <c r="BU1282" s="926">
        <f>IF(BP1277="NM","NM",IF(BU1277="NM","NM",IF(BP1277&lt;=0,"NM",IF(BU1277=0,"NM",IF(ABS(BU1277/BP1277-1)&gt;2.5,"NM",IF((ABS(BU1277-BP1277)=ABS(ABS(BU1277)-ABS(BP1277))),(BU1277/BP1277-1),"NM"))))))</f>
      </c>
      <c r="BV1282" s="1060">
        <f>IF(BQ1277="NM","NM",IF(BV1277="NM","NM",IF(BQ1277&lt;=0,"NM",IF(BV1277=0,"NM",IF(ABS(BV1277/BQ1277-1)&gt;2.5,"NM",IF((ABS(BV1277-BQ1277)=ABS(ABS(BV1277)-ABS(BQ1277))),(BV1277/BQ1277-1),"NM"))))))</f>
      </c>
      <c r="BW1282" s="926">
        <f>IF(ISNUMBER(BW1283),(1+BW1283)*(1+BW$21)-1,"NM")</f>
      </c>
      <c r="BX1282" s="926">
        <f>IF(ISNUMBER(BX1283),(1+BX1283)*(1+BX$21)-1,"NM")</f>
      </c>
      <c r="BY1282" s="926">
        <f>IF(ISNUMBER(BY1283),(1+BY1283)*(1+BY$21)-1,"NM")</f>
      </c>
      <c r="BZ1282" s="928">
        <f>IF(ISNUMBER(BZ1283),(1+BZ1283)*(1+BZ$21)-1,"NM")</f>
      </c>
      <c r="CA1282" s="1060">
        <f>IF(BV1277="NM","NM",IF(CA1277="NM","NM",IF(BV1277&lt;=0,"NM",IF(CA1277=0,"NM",IF(ABS(CA1277/BV1277-1)&gt;2.5,"NM",IF((ABS(CA1277-BV1277)=ABS(ABS(CA1277)-ABS(BV1277))),(CA1277/BV1277-1),"NM"))))))</f>
      </c>
      <c r="CB1282" s="926">
        <f>IF(ISNUMBER(CB1283),(1+CB1283)*(1+CB$21)-1,"NM")</f>
      </c>
      <c r="CC1282" s="926">
        <f>IF(ISNUMBER(CC1283),(1+CC1283)*(1+CC$21)-1,"NM")</f>
      </c>
      <c r="CD1282" s="926">
        <f>IF(ISNUMBER(CD1283),(1+CD1283)*(1+CD$21)-1,"NM")</f>
      </c>
      <c r="CE1282" s="926">
        <f>CE1283+CE$21</f>
      </c>
      <c r="CF1282" s="1060">
        <f>IF(CA1277="NM","NM",IF(CF1277="NM","NM",IF(CA1277&lt;=0,"NM",IF(CF1277=0,"NM",IF(ABS(CF1277/CA1277-1)&gt;2.5,"NM",IF((ABS(CF1277-CA1277)=ABS(ABS(CF1277)-ABS(CA1277))),(CF1277/CA1277-1),"NM"))))))</f>
      </c>
      <c r="CG1282" s="926">
        <f>CG1283+CG$21</f>
      </c>
      <c r="CH1282" s="926">
        <f>CH1283+CH$21</f>
      </c>
      <c r="CI1282" s="926">
        <f>CI1283+CI$21</f>
      </c>
      <c r="CJ1282" s="926">
        <f>CJ1283+CJ$21</f>
      </c>
      <c r="CK1282" s="1060">
        <f>IF(CF1277=0, "NA", CK1277/CF1277-1)</f>
      </c>
      <c r="CL1282" s="926">
        <f>CL1283+CL$21</f>
      </c>
      <c r="CM1282" s="926">
        <f>CM1283+CM$21</f>
      </c>
      <c r="CN1282" s="926">
        <f>CN1283+CN$21</f>
      </c>
      <c r="CO1282" s="926">
        <f>CO1283+CO$21</f>
      </c>
      <c r="CP1282" s="1060">
        <f>IF(CK1277=0, "NA", CP1277/CK1277-1)</f>
      </c>
      <c r="CQ1282" s="926">
        <f>CQ1283+CQ$21</f>
      </c>
      <c r="CR1282" s="926">
        <f>CR1283+CR$21</f>
      </c>
      <c r="CS1282" s="1219"/>
      <c r="CT1282" s="1235"/>
      <c r="CU1282" s="1536"/>
      <c r="CV1282" s="2376"/>
      <c r="CW1282" s="1219"/>
      <c r="CX1282" s="1219"/>
      <c r="CY1282" s="1235"/>
      <c r="CZ1282" s="1536"/>
      <c r="DA1282" s="2376"/>
      <c r="DB1282" s="1219"/>
      <c r="DC1282" s="1219"/>
      <c r="DD1282" s="1235"/>
      <c r="DE1282" s="1536"/>
      <c r="DF1282" s="2376"/>
      <c r="DG1282" s="1219"/>
      <c r="DH1282" s="1219"/>
      <c r="DI1282" s="1235"/>
      <c r="DJ1282" s="1536"/>
      <c r="DK1282" s="1536"/>
      <c r="DL1282" s="1536"/>
      <c r="DM1282" s="1536"/>
      <c r="DN1282" s="1536"/>
      <c r="DO1282" s="1536"/>
      <c r="DP1282" s="2376"/>
      <c r="DQ1282" s="1219"/>
      <c r="DR1282" s="1219"/>
      <c r="DS1282" s="1219"/>
      <c r="DT1282" s="1536"/>
      <c r="DU1282" s="2376"/>
      <c r="DV1282" s="1219"/>
      <c r="DW1282" s="1219"/>
      <c r="DX1282" s="1235"/>
      <c r="DY1282" s="1536"/>
      <c r="DZ1282" s="1219"/>
      <c r="EA1282" s="1219"/>
      <c r="EB1282" s="1235"/>
      <c r="EC1282" s="1235"/>
      <c r="ED1282" s="1536"/>
      <c r="EE1282" s="1219"/>
      <c r="EF1282" s="1219"/>
      <c r="EG1282" s="1219"/>
      <c r="EH1282" s="2376"/>
      <c r="EI1282" s="1536"/>
      <c r="EJ1282" s="1536"/>
      <c r="EK1282" s="1536"/>
      <c r="EL1282" s="1536"/>
      <c r="EM1282" s="1536"/>
      <c r="EN1282" s="1536"/>
      <c r="EO1282" s="1536"/>
      <c r="EP1282" s="1536"/>
      <c r="EQ1282" s="1536"/>
      <c r="ER1282" s="1536"/>
      <c r="ES1282" s="1536"/>
      <c r="ET1282" s="1536"/>
      <c r="EU1282" s="1536"/>
      <c r="EV1282" s="1536"/>
      <c r="EW1282" s="1536"/>
      <c r="EX1282" s="1536"/>
    </row>
    <row r="1283" spans="2:154" ht="12.75" hidden="1" customHeight="1" outlineLevel="2">
      <c r="B1283" s="443" t="s">
        <v>157</v>
      </c>
      <c r="C1283" s="1577"/>
      <c r="D1283" s="933"/>
      <c r="E1283" s="933"/>
      <c r="F1283" s="933"/>
      <c r="G1283" s="933"/>
      <c r="H1283" s="933"/>
      <c r="I1283" s="933"/>
      <c r="J1283" s="933"/>
      <c r="K1283" s="933"/>
      <c r="L1283" s="933"/>
      <c r="M1283" s="933"/>
      <c r="N1283" s="933"/>
      <c r="O1283" s="933"/>
      <c r="P1283" s="933"/>
      <c r="Q1283" s="933"/>
      <c r="R1283" s="933"/>
      <c r="S1283" s="933"/>
      <c r="T1283" s="933"/>
      <c r="U1283" s="933"/>
      <c r="V1283" s="933"/>
      <c r="W1283" s="933"/>
      <c r="X1283" s="2248"/>
      <c r="Y1283" s="933"/>
      <c r="Z1283" s="933"/>
      <c r="AA1283" s="933"/>
      <c r="AB1283" s="933"/>
      <c r="AC1283" s="2248"/>
      <c r="AD1283" s="959"/>
      <c r="AE1283" s="959"/>
      <c r="AF1283" s="959"/>
      <c r="AG1283" s="959"/>
      <c r="AH1283" s="2248"/>
      <c r="AI1283" s="959"/>
      <c r="AJ1283" s="959"/>
      <c r="AK1283" s="959"/>
      <c r="AL1283" s="959"/>
      <c r="AM1283" s="2248"/>
      <c r="AN1283" s="959"/>
      <c r="AO1283" s="959"/>
      <c r="AP1283" s="959"/>
      <c r="AQ1283" s="959"/>
      <c r="AR1283" s="2248"/>
      <c r="AS1283" s="946"/>
      <c r="AT1283" s="946"/>
      <c r="AU1283" s="946"/>
      <c r="AV1283" s="959"/>
      <c r="AW1283" s="2248"/>
      <c r="AX1283" s="959" t="str">
        <f t="shared" ref="AX1283:BV1283" si="2615">IF(ISNUMBER(AX1282),(1+AX1282)/(1+AX$21)-1,"NM")</f>
      </c>
      <c r="AY1283" s="959" t="str">
        <f t="shared" si="2615"/>
      </c>
      <c r="AZ1283" s="959" t="str">
        <f t="shared" si="2615"/>
      </c>
      <c r="BA1283" s="959" t="str">
        <f t="shared" si="2615"/>
      </c>
      <c r="BB1283" s="2248" t="str">
        <f t="shared" si="2615"/>
      </c>
      <c r="BC1283" s="959">
        <f t="shared" si="2615"/>
      </c>
      <c r="BD1283" s="959">
        <f t="shared" si="2615"/>
      </c>
      <c r="BE1283" s="959">
        <f t="shared" si="2615"/>
      </c>
      <c r="BF1283" s="959">
        <f t="shared" si="2615"/>
      </c>
      <c r="BG1283" s="1066">
        <f t="shared" si="2615"/>
      </c>
      <c r="BH1283" s="959">
        <f t="shared" si="2615"/>
      </c>
      <c r="BI1283" s="959">
        <f t="shared" si="2615"/>
      </c>
      <c r="BJ1283" s="959">
        <f t="shared" si="2615"/>
      </c>
      <c r="BK1283" s="959">
        <f t="shared" si="2615"/>
      </c>
      <c r="BL1283" s="2248">
        <f t="shared" si="2615"/>
      </c>
      <c r="BM1283" s="959">
        <f t="shared" si="2615"/>
      </c>
      <c r="BN1283" s="959">
        <f t="shared" si="2615"/>
      </c>
      <c r="BO1283" s="959">
        <f t="shared" si="2615"/>
      </c>
      <c r="BP1283" s="926">
        <f t="shared" si="2615"/>
      </c>
      <c r="BQ1283" s="2248">
        <f t="shared" si="2615"/>
      </c>
      <c r="BR1283" s="926">
        <f t="shared" si="2615"/>
      </c>
      <c r="BS1283" s="926">
        <f t="shared" si="2615"/>
      </c>
      <c r="BT1283" s="926">
        <f t="shared" si="2615"/>
      </c>
      <c r="BU1283" s="926">
        <f t="shared" si="2615"/>
      </c>
      <c r="BV1283" s="1060">
        <f t="shared" si="2615"/>
      </c>
      <c r="BW1283" s="407">
        <v>-6.7977801524558457E-2</v>
      </c>
      <c r="BX1283" s="407">
        <v>5.7375599131508581E-2</v>
      </c>
      <c r="BY1283" s="407">
        <v>4.1043862471023873E-2</v>
      </c>
      <c r="BZ1283" s="649">
        <v>-2.8326968013300258E-3</v>
      </c>
      <c r="CA1283" s="1060">
        <f>IF(ISNUMBER(CA1282),(1+CA1282)/(1+CA$21)-1,"NM")</f>
      </c>
      <c r="CB1283" s="407">
        <v>0.06</v>
      </c>
      <c r="CC1283" s="29">
        <v>0.06</v>
      </c>
      <c r="CD1283" s="29">
        <v>0.06</v>
      </c>
      <c r="CE1283" s="29">
        <v>0.06</v>
      </c>
      <c r="CF1283" s="1060">
        <f>IF(ISNUMBER(CF1282),(1+CF1282)/(1+CF$21)-1,"NM")</f>
      </c>
      <c r="CG1283" s="659">
        <v>0.04</v>
      </c>
      <c r="CH1283" s="659">
        <v>0.04</v>
      </c>
      <c r="CI1283" s="659">
        <v>0.04</v>
      </c>
      <c r="CJ1283" s="659">
        <v>0.04</v>
      </c>
      <c r="CK1283" s="2248">
        <f>CK1282-CK$21</f>
      </c>
      <c r="CL1283" s="29">
        <v>0.04</v>
      </c>
      <c r="CM1283" s="29">
        <v>0.04</v>
      </c>
      <c r="CN1283" s="29">
        <v>0.04</v>
      </c>
      <c r="CO1283" s="29">
        <v>0.04</v>
      </c>
      <c r="CP1283" s="2248">
        <f>CP1282-CP$21</f>
      </c>
      <c r="CQ1283" s="659">
        <f>CL1283-0.002</f>
      </c>
      <c r="CR1283" s="659">
        <f>CM1283-0.002</f>
      </c>
      <c r="CS1283" s="1208"/>
      <c r="CT1283" s="1232"/>
      <c r="CU1283" s="2377"/>
      <c r="CV1283" s="1271"/>
      <c r="CW1283" s="1208"/>
      <c r="CX1283" s="1208"/>
      <c r="CY1283" s="1232"/>
      <c r="CZ1283" s="1234"/>
      <c r="DA1283" s="1271"/>
      <c r="DB1283" s="1208"/>
      <c r="DC1283" s="1208"/>
      <c r="DD1283" s="1232"/>
      <c r="DE1283" s="1234"/>
      <c r="DF1283" s="1271"/>
      <c r="DG1283" s="1208"/>
      <c r="DH1283" s="1208"/>
      <c r="DI1283" s="1232"/>
      <c r="DJ1283" s="1232"/>
      <c r="DK1283" s="1232"/>
      <c r="DL1283" s="1232"/>
      <c r="DM1283" s="1232"/>
      <c r="DN1283" s="1232"/>
      <c r="DO1283" s="1232"/>
      <c r="DP1283" s="1208"/>
      <c r="DQ1283" s="1208"/>
      <c r="DR1283" s="1208"/>
      <c r="DS1283" s="1208"/>
      <c r="DT1283" s="1234"/>
      <c r="DU1283" s="1208"/>
      <c r="DV1283" s="1208"/>
      <c r="DW1283" s="1208"/>
      <c r="DX1283" s="1232"/>
      <c r="DY1283" s="1234"/>
      <c r="DZ1283" s="1208"/>
      <c r="EA1283" s="1208"/>
      <c r="EB1283" s="1232"/>
      <c r="EC1283" s="1232"/>
      <c r="ED1283" s="1234"/>
      <c r="EE1283" s="1208"/>
      <c r="EF1283" s="1208"/>
      <c r="EG1283" s="1208"/>
      <c r="EH1283" s="1208"/>
      <c r="EI1283" s="1234"/>
      <c r="EJ1283" s="1234"/>
      <c r="EK1283" s="1234"/>
      <c r="EL1283" s="1234"/>
      <c r="EM1283" s="1234"/>
      <c r="EN1283" s="1234"/>
      <c r="EO1283" s="1234"/>
      <c r="EP1283" s="1234"/>
      <c r="EQ1283" s="1234"/>
      <c r="ER1283" s="1234"/>
      <c r="ES1283" s="1234"/>
      <c r="ET1283" s="1234"/>
      <c r="EU1283" s="1234"/>
      <c r="EV1283" s="1234"/>
      <c r="EW1283" s="1234"/>
      <c r="EX1283" s="1234"/>
    </row>
    <row r="1284" spans="2:154" ht="12.75" hidden="1" customHeight="1" outlineLevel="2">
      <c r="B1284" s="443" t="s">
        <v>19</v>
      </c>
      <c r="C1284" s="1577"/>
      <c r="D1284" s="933"/>
      <c r="E1284" s="933"/>
      <c r="F1284" s="933"/>
      <c r="G1284" s="933"/>
      <c r="H1284" s="933"/>
      <c r="I1284" s="933"/>
      <c r="J1284" s="933"/>
      <c r="K1284" s="933"/>
      <c r="L1284" s="933"/>
      <c r="M1284" s="933"/>
      <c r="N1284" s="933"/>
      <c r="O1284" s="933"/>
      <c r="P1284" s="933"/>
      <c r="Q1284" s="933"/>
      <c r="R1284" s="933"/>
      <c r="S1284" s="933"/>
      <c r="T1284" s="933"/>
      <c r="U1284" s="933"/>
      <c r="V1284" s="933"/>
      <c r="W1284" s="933"/>
      <c r="X1284" s="1060"/>
      <c r="Y1284" s="933"/>
      <c r="Z1284" s="933"/>
      <c r="AA1284" s="933"/>
      <c r="AB1284" s="933"/>
      <c r="AC1284" s="1060"/>
      <c r="AD1284" s="926"/>
      <c r="AE1284" s="926"/>
      <c r="AF1284" s="926"/>
      <c r="AG1284" s="926"/>
      <c r="AH1284" s="1060"/>
      <c r="AI1284" s="926" t="str">
        <f t="shared" ref="AI1284:CD1284" si="2616">IF(AD1278="NM","NM",IF(AI1278="NM","NM",IF(AD1278&lt;=0,"NM",IF(AI1278=0,"NM",IF(ABS(AI1278/AD1278-1)&gt;2.5,"NM",IF((ABS(AI1278-AD1278)=ABS(ABS(AI1278)-ABS(AD1278))),(AI1278/AD1278-1),"NM"))))))</f>
      </c>
      <c r="AJ1284" s="926" t="str">
        <f t="shared" si="2616"/>
      </c>
      <c r="AK1284" s="926" t="str">
        <f t="shared" si="2616"/>
      </c>
      <c r="AL1284" s="926" t="str">
        <f t="shared" si="2616"/>
      </c>
      <c r="AM1284" s="1060">
        <f t="shared" si="2616"/>
      </c>
      <c r="AN1284" s="926">
        <f t="shared" si="2616"/>
      </c>
      <c r="AO1284" s="926">
        <f t="shared" si="2616"/>
      </c>
      <c r="AP1284" s="926">
        <f t="shared" si="2616"/>
      </c>
      <c r="AQ1284" s="926">
        <f t="shared" si="2616"/>
      </c>
      <c r="AR1284" s="1060">
        <f t="shared" si="2616"/>
      </c>
      <c r="AS1284" s="926">
        <f t="shared" si="2616"/>
      </c>
      <c r="AT1284" s="926">
        <f t="shared" si="2616"/>
      </c>
      <c r="AU1284" s="926">
        <f t="shared" si="2616"/>
      </c>
      <c r="AV1284" s="926">
        <f t="shared" si="2616"/>
      </c>
      <c r="AW1284" s="1060">
        <f t="shared" si="2616"/>
      </c>
      <c r="AX1284" s="926">
        <f t="shared" si="2616"/>
      </c>
      <c r="AY1284" s="926">
        <f t="shared" si="2616"/>
      </c>
      <c r="AZ1284" s="926">
        <f t="shared" si="2616"/>
      </c>
      <c r="BA1284" s="926">
        <f t="shared" si="2616"/>
      </c>
      <c r="BB1284" s="1060">
        <f t="shared" si="2616"/>
      </c>
      <c r="BC1284" s="926">
        <f>IF(AX1278="NM","NM",IF(BC1278="NM","NM",IF(AX1278&lt;=0,"NM",IF(BC1278=0,"NM",IF(ABS(BC1278/AX1278-1)&gt;2.5,"NM",IF((ABS(BC1278-AX1278)=ABS(ABS(BC1278)-ABS(AX1278))),(BC1278/AX1278-1),"NM"))))))</f>
      </c>
      <c r="BD1284" s="926">
        <f>IF(AY1278="NM","NM",IF(BD1278="NM","NM",IF(AY1278&lt;=0,"NM",IF(BD1278=0,"NM",IF(ABS(BD1278/AY1278-1)&gt;2.5,"NM",IF((ABS(BD1278-AY1278)=ABS(ABS(BD1278)-ABS(AY1278))),(BD1278/AY1278-1),"NM"))))))</f>
      </c>
      <c r="BE1284" s="926">
        <f t="shared" si="2616"/>
      </c>
      <c r="BF1284" s="926">
        <f t="shared" si="2616"/>
      </c>
      <c r="BG1284" s="1060">
        <f t="shared" si="2616"/>
      </c>
      <c r="BH1284" s="926">
        <f t="shared" si="2616"/>
      </c>
      <c r="BI1284" s="926">
        <f t="shared" si="2616"/>
      </c>
      <c r="BJ1284" s="926">
        <f t="shared" si="2616"/>
      </c>
      <c r="BK1284" s="926">
        <f t="shared" si="2616"/>
      </c>
      <c r="BL1284" s="1060">
        <f t="shared" si="2616"/>
      </c>
      <c r="BM1284" s="926">
        <f t="shared" si="2616"/>
      </c>
      <c r="BN1284" s="926">
        <f t="shared" si="2616"/>
      </c>
      <c r="BO1284" s="926">
        <f t="shared" si="2616"/>
      </c>
      <c r="BP1284" s="926">
        <f t="shared" si="2616"/>
      </c>
      <c r="BQ1284" s="1060">
        <f t="shared" si="2616"/>
      </c>
      <c r="BR1284" s="926">
        <f>IF(BM1278="NM","NM",IF(BR1278="NM","NM",IF(BM1278&lt;=0,"NM",IF(BR1278=0,"NM",IF(ABS(BR1278/BM1278-1)&gt;2.5,"NM",IF((ABS(BR1278-BM1278)=ABS(ABS(BR1278)-ABS(BM1278))),(BR1278/BM1278-1),"NM"))))))</f>
      </c>
      <c r="BS1284" s="926">
        <f>IF(BN1278="NM","NM",IF(BS1278="NM","NM",IF(BN1278&lt;=0,"NM",IF(BS1278=0,"NM",IF(ABS(BS1278/BN1278-1)&gt;2.5,"NM",IF((ABS(BS1278-BN1278)=ABS(ABS(BS1278)-ABS(BN1278))),(BS1278/BN1278-1),"NM"))))))</f>
      </c>
      <c r="BT1284" s="926">
        <f t="shared" si="2616"/>
      </c>
      <c r="BU1284" s="926">
        <f t="shared" si="2616"/>
      </c>
      <c r="BV1284" s="1060">
        <f t="shared" si="2616"/>
      </c>
      <c r="BW1284" s="926">
        <f t="shared" si="2616"/>
      </c>
      <c r="BX1284" s="926">
        <f t="shared" si="2616"/>
      </c>
      <c r="BY1284" s="926">
        <f t="shared" si="2616"/>
      </c>
      <c r="BZ1284" s="928">
        <f t="shared" si="2616"/>
      </c>
      <c r="CA1284" s="1060">
        <f t="shared" si="2616"/>
      </c>
      <c r="CB1284" s="926">
        <f t="shared" si="2616"/>
      </c>
      <c r="CC1284" s="926">
        <f t="shared" si="2616"/>
      </c>
      <c r="CD1284" s="926">
        <f t="shared" si="2616"/>
      </c>
      <c r="CE1284" s="926">
        <f>IF(CE1278&lt;=0,0,(CE1278/BZ1278-1))</f>
      </c>
      <c r="CF1284" s="1060">
        <f>IF(CA1278="NM","NM",IF(CF1278="NM","NM",IF(CA1278&lt;=0,"NM",IF(CF1278=0,"NM",IF(ABS(CF1278/CA1278-1)&gt;2.5,"NM",IF((ABS(CF1278-CA1278)=ABS(ABS(CF1278)-ABS(CA1278))),(CF1278/CA1278-1),"NM"))))))</f>
      </c>
      <c r="CG1284" s="926">
        <f>IF(CG1278&lt;=0,0,(CG1278/CB1278-1))</f>
      </c>
      <c r="CH1284" s="926">
        <f>IF(CH1278&lt;=0,0,(CH1278/CC1278-1))</f>
      </c>
      <c r="CI1284" s="926">
        <f>IF(CI1278&lt;=0,0,(CI1278/CD1278-1))</f>
      </c>
      <c r="CJ1284" s="926">
        <f>IF(CJ1278&lt;=0,0,(CJ1278/CE1278-1))</f>
      </c>
      <c r="CK1284" s="1060">
        <f>IF(CF1278=0, "NA", CK1278/CF1278-1)</f>
      </c>
      <c r="CL1284" s="926">
        <f>IF(CL1278&lt;=0,0,(CL1278/CG1278-1))</f>
      </c>
      <c r="CM1284" s="926">
        <f>IF(CM1278&lt;=0,0,(CM1278/CH1278-1))</f>
      </c>
      <c r="CN1284" s="926">
        <f>IF(CN1278&lt;=0,0,(CN1278/CI1278-1))</f>
      </c>
      <c r="CO1284" s="926">
        <f>IF(CO1278&lt;=0,0,(CO1278/CJ1278-1))</f>
      </c>
      <c r="CP1284" s="1060">
        <f>IF(CK1278=0, "NA", CP1278/CK1278-1)</f>
      </c>
      <c r="CQ1284" s="926">
        <f>IF(CL1278=0, "NA", CQ1278/CL1278-1)</f>
      </c>
      <c r="CR1284" s="926">
        <f>IF(CM1278=0, "NA", CR1278/CM1278-1)</f>
      </c>
      <c r="CS1284" s="1219"/>
      <c r="CT1284" s="1235"/>
      <c r="CU1284" s="1536"/>
      <c r="CV1284" s="2376"/>
      <c r="CW1284" s="1219"/>
      <c r="CX1284" s="1219"/>
      <c r="CY1284" s="1235"/>
      <c r="CZ1284" s="1536"/>
      <c r="DA1284" s="2376"/>
      <c r="DB1284" s="1219"/>
      <c r="DC1284" s="1219"/>
      <c r="DD1284" s="1235"/>
      <c r="DE1284" s="1536"/>
      <c r="DF1284" s="2376"/>
      <c r="DG1284" s="1219"/>
      <c r="DH1284" s="1219"/>
      <c r="DI1284" s="1235"/>
      <c r="DJ1284" s="1536"/>
      <c r="DK1284" s="1536"/>
      <c r="DL1284" s="1536"/>
      <c r="DM1284" s="1536"/>
      <c r="DN1284" s="1536"/>
      <c r="DO1284" s="1536"/>
      <c r="DP1284" s="2376"/>
      <c r="DQ1284" s="1219"/>
      <c r="DR1284" s="1219"/>
      <c r="DS1284" s="1219"/>
      <c r="DT1284" s="1536"/>
      <c r="DU1284" s="2376"/>
      <c r="DV1284" s="1219"/>
      <c r="DW1284" s="1219"/>
      <c r="DX1284" s="1235"/>
      <c r="DY1284" s="1536"/>
      <c r="DZ1284" s="1219"/>
      <c r="EA1284" s="1219"/>
      <c r="EB1284" s="1235"/>
      <c r="EC1284" s="1235"/>
      <c r="ED1284" s="1536"/>
      <c r="EE1284" s="1219"/>
      <c r="EF1284" s="1219"/>
      <c r="EG1284" s="1219"/>
      <c r="EH1284" s="2376"/>
      <c r="EI1284" s="1536"/>
      <c r="EJ1284" s="1536"/>
      <c r="EK1284" s="1536"/>
      <c r="EL1284" s="1536"/>
      <c r="EM1284" s="1536"/>
      <c r="EN1284" s="1536"/>
      <c r="EO1284" s="1536"/>
      <c r="EP1284" s="1536"/>
      <c r="EQ1284" s="1536"/>
      <c r="ER1284" s="1536"/>
      <c r="ES1284" s="1536"/>
      <c r="ET1284" s="1536"/>
      <c r="EU1284" s="1536"/>
      <c r="EV1284" s="1536"/>
      <c r="EW1284" s="1536"/>
      <c r="EX1284" s="1536"/>
    </row>
    <row r="1285" spans="2:154" ht="12.75" hidden="1" customHeight="1" outlineLevel="2">
      <c r="B1285" s="443"/>
      <c r="C1285" s="1577"/>
      <c r="D1285" s="933"/>
      <c r="E1285" s="933"/>
      <c r="F1285" s="933"/>
      <c r="G1285" s="933"/>
      <c r="H1285" s="933"/>
      <c r="I1285" s="933"/>
      <c r="J1285" s="933"/>
      <c r="K1285" s="933"/>
      <c r="L1285" s="933"/>
      <c r="M1285" s="933"/>
      <c r="N1285" s="933"/>
      <c r="O1285" s="933"/>
      <c r="P1285" s="933"/>
      <c r="Q1285" s="933"/>
      <c r="R1285" s="933"/>
      <c r="S1285" s="933"/>
      <c r="T1285" s="933"/>
      <c r="U1285" s="933"/>
      <c r="V1285" s="933"/>
      <c r="W1285" s="933"/>
      <c r="X1285" s="1061"/>
      <c r="Y1285" s="933"/>
      <c r="Z1285" s="933"/>
      <c r="AA1285" s="933"/>
      <c r="AB1285" s="933"/>
      <c r="AC1285" s="1061"/>
      <c r="AD1285" s="933"/>
      <c r="AE1285" s="933"/>
      <c r="AF1285" s="933"/>
      <c r="AG1285" s="933"/>
      <c r="AH1285" s="1061"/>
      <c r="AI1285" s="933"/>
      <c r="AJ1285" s="933"/>
      <c r="AK1285" s="933"/>
      <c r="AL1285" s="933"/>
      <c r="AM1285" s="1061"/>
      <c r="AN1285" s="933"/>
      <c r="AO1285" s="933"/>
      <c r="AP1285" s="933"/>
      <c r="AQ1285" s="933"/>
      <c r="AR1285" s="1061"/>
      <c r="AS1285" s="933"/>
      <c r="AT1285" s="933"/>
      <c r="AU1285" s="933"/>
      <c r="AV1285" s="933"/>
      <c r="AW1285" s="1061"/>
      <c r="AX1285" s="933"/>
      <c r="AY1285" s="933"/>
      <c r="AZ1285" s="933"/>
      <c r="BA1285" s="933"/>
      <c r="BB1285" s="1061"/>
      <c r="BC1285" s="933"/>
      <c r="BD1285" s="933"/>
      <c r="BE1285" s="933"/>
      <c r="BF1285" s="933"/>
      <c r="BG1285" s="1061"/>
      <c r="BH1285" s="933"/>
      <c r="BI1285" s="933"/>
      <c r="BJ1285" s="933"/>
      <c r="BK1285" s="933"/>
      <c r="BL1285" s="1061"/>
      <c r="BM1285" s="933"/>
      <c r="BN1285" s="933"/>
      <c r="BO1285" s="933"/>
      <c r="BP1285" s="933"/>
      <c r="BQ1285" s="1061"/>
      <c r="BR1285" s="933"/>
      <c r="BS1285" s="933"/>
      <c r="BT1285" s="933"/>
      <c r="BU1285" s="933"/>
      <c r="BV1285" s="1061"/>
      <c r="BW1285" s="933"/>
      <c r="BX1285" s="933"/>
      <c r="BY1285" s="933"/>
      <c r="BZ1285" s="933"/>
      <c r="CA1285" s="1061"/>
      <c r="CB1285" s="933"/>
      <c r="CC1285" s="933"/>
      <c r="CD1285" s="933"/>
      <c r="CE1285" s="933"/>
      <c r="CF1285" s="1061"/>
      <c r="CG1285" s="933"/>
      <c r="CH1285" s="933"/>
      <c r="CI1285" s="933"/>
      <c r="CJ1285" s="933"/>
      <c r="CK1285" s="1061"/>
      <c r="CL1285" s="961"/>
      <c r="CM1285" s="933"/>
      <c r="CN1285" s="933"/>
      <c r="CO1285" s="933"/>
      <c r="CP1285" s="1061"/>
      <c r="CQ1285" s="933"/>
      <c r="CR1285" s="933"/>
      <c r="CS1285" s="1227"/>
      <c r="CT1285" s="1231"/>
      <c r="CU1285" s="1231"/>
      <c r="CV1285" s="1270"/>
      <c r="CW1285" s="1227"/>
      <c r="CX1285" s="1227"/>
      <c r="CY1285" s="1231"/>
      <c r="CZ1285" s="2374"/>
      <c r="DA1285" s="1270"/>
      <c r="DB1285" s="1227"/>
      <c r="DC1285" s="1227"/>
      <c r="DD1285" s="1231"/>
      <c r="DE1285" s="1863"/>
      <c r="DF1285" s="2375"/>
      <c r="DG1285" s="1842"/>
      <c r="DH1285" s="1842"/>
      <c r="DI1285" s="1942"/>
      <c r="DJ1285" s="1863"/>
      <c r="DK1285" s="1863"/>
      <c r="DL1285" s="1863"/>
      <c r="DM1285" s="1863"/>
      <c r="DN1285" s="1863"/>
      <c r="DO1285" s="1863"/>
      <c r="DP1285" s="2375"/>
      <c r="DQ1285" s="1842"/>
      <c r="DR1285" s="1842"/>
      <c r="DS1285" s="1842"/>
      <c r="DT1285" s="1863"/>
      <c r="DU1285" s="2375"/>
      <c r="DV1285" s="1842"/>
      <c r="DW1285" s="1842"/>
      <c r="DX1285" s="1942"/>
      <c r="DY1285" s="1863"/>
      <c r="DZ1285" s="1842"/>
      <c r="EA1285" s="1842"/>
      <c r="EB1285" s="1942"/>
      <c r="EC1285" s="1942"/>
      <c r="ED1285" s="1863"/>
      <c r="EE1285" s="1842"/>
      <c r="EF1285" s="1842"/>
      <c r="EG1285" s="1842"/>
      <c r="EH1285" s="2375"/>
      <c r="EI1285" s="1863"/>
      <c r="EJ1285" s="1863"/>
      <c r="EK1285" s="1863"/>
      <c r="EL1285" s="1863"/>
      <c r="EM1285" s="1863"/>
      <c r="EN1285" s="1863"/>
      <c r="EO1285" s="1863"/>
      <c r="EP1285" s="1863"/>
      <c r="EQ1285" s="1863"/>
      <c r="ER1285" s="1863"/>
      <c r="ES1285" s="1863"/>
      <c r="ET1285" s="1863"/>
      <c r="EU1285" s="1863"/>
      <c r="EV1285" s="1863"/>
      <c r="EW1285" s="1863"/>
      <c r="EX1285" s="1863"/>
    </row>
    <row r="1286" spans="2:154" ht="12.75" hidden="1" customHeight="1" outlineLevel="2">
      <c r="B1286" s="436" t="s">
        <v>527</v>
      </c>
      <c r="C1286" s="1577"/>
      <c r="D1286" s="933"/>
      <c r="E1286" s="933"/>
      <c r="F1286" s="933"/>
      <c r="G1286" s="933"/>
      <c r="H1286" s="933"/>
      <c r="I1286" s="933"/>
      <c r="J1286" s="933"/>
      <c r="K1286" s="933"/>
      <c r="L1286" s="933"/>
      <c r="M1286" s="933"/>
      <c r="N1286" s="933"/>
      <c r="O1286" s="933"/>
      <c r="P1286" s="933"/>
      <c r="Q1286" s="933"/>
      <c r="R1286" s="933"/>
      <c r="S1286" s="933"/>
      <c r="T1286" s="933"/>
      <c r="U1286" s="933"/>
      <c r="V1286" s="933"/>
      <c r="W1286" s="933"/>
      <c r="X1286" s="1061"/>
      <c r="Y1286" s="933"/>
      <c r="Z1286" s="933"/>
      <c r="AA1286" s="933"/>
      <c r="AB1286" s="933"/>
      <c r="AC1286" s="1061"/>
      <c r="AD1286" s="933"/>
      <c r="AE1286" s="933"/>
      <c r="AF1286" s="933"/>
      <c r="AG1286" s="933"/>
      <c r="AH1286" s="1061"/>
      <c r="AI1286" s="933"/>
      <c r="AJ1286" s="933"/>
      <c r="AK1286" s="933"/>
      <c r="AL1286" s="933"/>
      <c r="AM1286" s="1061"/>
      <c r="AN1286" s="933"/>
      <c r="AO1286" s="933"/>
      <c r="AP1286" s="933"/>
      <c r="AQ1286" s="933"/>
      <c r="AR1286" s="1061"/>
      <c r="AS1286" s="933"/>
      <c r="AT1286" s="933"/>
      <c r="AU1286" s="933"/>
      <c r="AV1286" s="933"/>
      <c r="AW1286" s="1061"/>
      <c r="AX1286" s="33"/>
      <c r="AY1286" s="33"/>
      <c r="AZ1286" s="33"/>
      <c r="BA1286" s="33"/>
      <c r="BB1286" s="1061"/>
      <c r="BC1286" s="933"/>
      <c r="BD1286" s="933"/>
      <c r="BE1286" s="933"/>
      <c r="BF1286" s="933"/>
      <c r="BG1286" s="1061"/>
      <c r="BH1286" s="933"/>
      <c r="BI1286" s="361"/>
      <c r="BJ1286" s="361"/>
      <c r="BK1286" s="361"/>
      <c r="BL1286" s="2248"/>
      <c r="BM1286" s="361"/>
      <c r="BN1286" s="933"/>
      <c r="BO1286" s="933"/>
      <c r="BP1286" s="361"/>
      <c r="BQ1286" s="316"/>
      <c r="BR1286" s="361"/>
      <c r="BS1286" s="361"/>
      <c r="BT1286" s="361"/>
      <c r="BU1286" s="361"/>
      <c r="BV1286" s="316"/>
      <c r="BW1286" s="361"/>
      <c r="BX1286" s="361"/>
      <c r="BY1286" s="361"/>
      <c r="BZ1286" s="361"/>
      <c r="CA1286" s="316"/>
      <c r="CB1286" s="361"/>
      <c r="CC1286" s="361"/>
      <c r="CD1286" s="361"/>
      <c r="CE1286" s="361"/>
      <c r="CF1286" s="316"/>
      <c r="CG1286" s="361"/>
      <c r="CH1286" s="361"/>
      <c r="CI1286" s="361"/>
      <c r="CJ1286" s="361"/>
      <c r="CK1286" s="316"/>
      <c r="CL1286" s="828"/>
      <c r="CM1286" s="361"/>
      <c r="CN1286" s="361"/>
      <c r="CO1286" s="361"/>
      <c r="CP1286" s="316"/>
      <c r="CQ1286" s="361"/>
      <c r="CR1286" s="361"/>
      <c r="CS1286" s="1109"/>
      <c r="CT1286" s="1237"/>
      <c r="CU1286" s="1237"/>
      <c r="CV1286" s="2378"/>
      <c r="CW1286" s="1109"/>
      <c r="CX1286" s="1109"/>
      <c r="CY1286" s="1237"/>
      <c r="CZ1286" s="1238"/>
      <c r="DA1286" s="2378"/>
      <c r="DB1286" s="1109"/>
      <c r="DC1286" s="1109"/>
      <c r="DD1286" s="1237"/>
      <c r="DE1286" s="1238"/>
      <c r="DF1286" s="2378"/>
      <c r="DG1286" s="1109"/>
      <c r="DH1286" s="1109"/>
      <c r="DI1286" s="1237"/>
      <c r="DJ1286" s="1238"/>
      <c r="DK1286" s="1238"/>
      <c r="DL1286" s="1238"/>
      <c r="DM1286" s="1238"/>
      <c r="DN1286" s="1238"/>
      <c r="DO1286" s="1238"/>
      <c r="DP1286" s="2378"/>
      <c r="DQ1286" s="1109"/>
      <c r="DR1286" s="1109"/>
      <c r="DS1286" s="1109"/>
      <c r="DT1286" s="1238"/>
      <c r="DU1286" s="2378"/>
      <c r="DV1286" s="1109"/>
      <c r="DW1286" s="1109"/>
      <c r="DX1286" s="1237"/>
      <c r="DY1286" s="1238"/>
      <c r="DZ1286" s="1109"/>
      <c r="EA1286" s="1109"/>
      <c r="EB1286" s="1237"/>
      <c r="EC1286" s="1237"/>
      <c r="ED1286" s="1238"/>
      <c r="EE1286" s="1109"/>
      <c r="EF1286" s="1109"/>
      <c r="EG1286" s="1109"/>
      <c r="EH1286" s="2378"/>
      <c r="EI1286" s="1238"/>
      <c r="EJ1286" s="1238"/>
      <c r="EK1286" s="1238"/>
      <c r="EL1286" s="1238"/>
      <c r="EM1286" s="1238"/>
      <c r="EN1286" s="1238"/>
      <c r="EO1286" s="1238"/>
      <c r="EP1286" s="1238"/>
      <c r="EQ1286" s="1238"/>
      <c r="ER1286" s="1238"/>
      <c r="ES1286" s="1238"/>
      <c r="ET1286" s="1238"/>
      <c r="EU1286" s="1238"/>
      <c r="EV1286" s="1238"/>
      <c r="EW1286" s="1238"/>
      <c r="EX1286" s="1238"/>
    </row>
    <row r="1287" spans="2:154" ht="12.75" hidden="1" customHeight="1" outlineLevel="2">
      <c r="B1287" s="437" t="s">
        <v>187</v>
      </c>
      <c r="C1287" s="1577"/>
      <c r="D1287" s="933"/>
      <c r="E1287" s="933"/>
      <c r="F1287" s="933"/>
      <c r="G1287" s="933"/>
      <c r="H1287" s="933"/>
      <c r="I1287" s="933"/>
      <c r="J1287" s="933"/>
      <c r="K1287" s="933"/>
      <c r="L1287" s="933"/>
      <c r="M1287" s="933"/>
      <c r="N1287" s="933"/>
      <c r="O1287" s="933"/>
      <c r="P1287" s="933"/>
      <c r="Q1287" s="933"/>
      <c r="R1287" s="933"/>
      <c r="S1287" s="933"/>
      <c r="T1287" s="933"/>
      <c r="U1287" s="933"/>
      <c r="V1287" s="933"/>
      <c r="W1287" s="933"/>
      <c r="X1287" s="1061"/>
      <c r="Y1287" s="933"/>
      <c r="Z1287" s="933"/>
      <c r="AA1287" s="933"/>
      <c r="AB1287" s="933"/>
      <c r="AC1287" s="1061"/>
      <c r="AD1287" s="933">
        <f t="shared" ref="AD1287:AG1288" si="2617">+AD1194-AD1206-AD1218-AD1254-AD1265-AD1276</f>
      </c>
      <c r="AE1287" s="933">
        <f t="shared" si="2617"/>
      </c>
      <c r="AF1287" s="933">
        <f t="shared" si="2617"/>
      </c>
      <c r="AG1287" s="933">
        <f t="shared" si="2617"/>
      </c>
      <c r="AH1287" s="1061">
        <f>SUM(AD1287:AG1287)</f>
      </c>
      <c r="AI1287" s="933">
        <f t="shared" ref="AI1287:AL1288" si="2618">+AI1194-AI1206-AI1218-AI1254-AI1265-AI1276</f>
      </c>
      <c r="AJ1287" s="933">
        <f t="shared" si="2618"/>
      </c>
      <c r="AK1287" s="933">
        <f t="shared" si="2618"/>
      </c>
      <c r="AL1287" s="933">
        <f t="shared" si="2618"/>
      </c>
      <c r="AM1287" s="1061">
        <f>SUM(AI1287:AL1287)</f>
      </c>
      <c r="AN1287" s="933">
        <f t="shared" ref="AN1287:AQ1288" si="2619">+AN1194-AN1206-AN1218-AN1254-AN1265-AN1276</f>
      </c>
      <c r="AO1287" s="933">
        <f t="shared" si="2619"/>
      </c>
      <c r="AP1287" s="933">
        <f t="shared" si="2619"/>
      </c>
      <c r="AQ1287" s="933">
        <f t="shared" si="2619"/>
      </c>
      <c r="AR1287" s="1061">
        <f>SUM(AN1287:AQ1287)</f>
      </c>
      <c r="AS1287" s="933">
        <f t="shared" ref="AS1287:AV1288" si="2620">+AS1194-AS1206-AS1218-AS1254-AS1265-AS1276</f>
      </c>
      <c r="AT1287" s="933">
        <f t="shared" si="2620"/>
      </c>
      <c r="AU1287" s="933">
        <f t="shared" si="2620"/>
      </c>
      <c r="AV1287" s="933">
        <f t="shared" si="2620"/>
      </c>
      <c r="AW1287" s="1061">
        <f>SUM(AS1287:AV1287)</f>
      </c>
      <c r="AX1287" s="933">
        <f t="shared" ref="AX1287:BA1288" si="2621">+AX1194-AX1206-AX1218-AX1254-AX1265-AX1276</f>
      </c>
      <c r="AY1287" s="933">
        <f t="shared" si="2621"/>
      </c>
      <c r="AZ1287" s="933">
        <f t="shared" si="2621"/>
      </c>
      <c r="BA1287" s="933">
        <f t="shared" si="2621"/>
      </c>
      <c r="BB1287" s="1061">
        <f>SUM(AX1287:BA1287)</f>
      </c>
      <c r="BC1287" s="933">
        <f t="shared" ref="BC1287:BF1288" si="2622">+BC1194-BC1206-BC1218-BC1254-BC1265-BC1276</f>
      </c>
      <c r="BD1287" s="933">
        <f t="shared" si="2622"/>
      </c>
      <c r="BE1287" s="933">
        <f t="shared" si="2622"/>
      </c>
      <c r="BF1287" s="933">
        <f t="shared" si="2622"/>
      </c>
      <c r="BG1287" s="313">
        <f>SUM(BC1287:BF1287)</f>
      </c>
      <c r="BH1287" s="933">
        <v>57.354211250000098</v>
      </c>
      <c r="BI1287" s="33">
        <v>66.599999999999994</v>
      </c>
      <c r="BJ1287" s="33">
        <f>67.2517287875023+8.4</f>
      </c>
      <c r="BK1287" s="33">
        <v>94.313256306306243</v>
      </c>
      <c r="BL1287" s="313">
        <f>SUM(BH1287:BK1287)</f>
      </c>
      <c r="BM1287" s="352">
        <f>61.6291165+1.6</f>
      </c>
      <c r="BN1287" s="352">
        <v>65.037114196000061</v>
      </c>
      <c r="BO1287" s="352">
        <v>73.606302248072211</v>
      </c>
      <c r="BP1287" s="352">
        <v>56.36689916486489</v>
      </c>
      <c r="BQ1287" s="313">
        <f>SUM(BM1287:BP1287)</f>
      </c>
      <c r="BR1287" s="761">
        <f>BR1194-BR1206-BR1218-BR1254-BR1265-BR1276</f>
      </c>
      <c r="BS1287" s="761">
        <f t="shared" ref="BS1287:BU1288" si="2623">BS1194-BS1206-BS1218-BS1254-BS1265-BS1276-BS1303</f>
      </c>
      <c r="BT1287" s="761">
        <f t="shared" si="2623"/>
      </c>
      <c r="BU1287" s="761">
        <f t="shared" si="2623"/>
      </c>
      <c r="BV1287" s="313">
        <f>SUM(BR1287:BU1287)</f>
      </c>
      <c r="BW1287" s="933">
        <f>BW1194-BW1206-BW1218-BW1254-BW1265-BW1276-BW1303</f>
      </c>
      <c r="BX1287" s="933">
        <f t="shared" ref="BX1287:BZ1288" si="2624">+(1+BX1292)*BS1287</f>
      </c>
      <c r="BY1287" s="933">
        <f t="shared" si="2624"/>
      </c>
      <c r="BZ1287" s="933">
        <f t="shared" si="2624"/>
      </c>
      <c r="CA1287" s="313">
        <f>SUM(BW1287:BZ1287)</f>
      </c>
      <c r="CB1287" s="933">
        <f t="shared" ref="CB1287:CE1288" si="2625">CB1194-CB1206-CB1218-CB1254-CB1265-CB1276-CB1303</f>
      </c>
      <c r="CC1287" s="933">
        <f t="shared" si="2625"/>
      </c>
      <c r="CD1287" s="933">
        <f t="shared" si="2625"/>
      </c>
      <c r="CE1287" s="933">
        <f t="shared" si="2625"/>
      </c>
      <c r="CF1287" s="1061">
        <f>SUM(CB1287:CE1287)</f>
      </c>
      <c r="CG1287" s="933">
        <f>CG1242-CG1254-CG1265-CG1276-CG1314</f>
      </c>
      <c r="CH1287" s="933">
        <f t="shared" ref="CH1287:CJ1288" si="2626">CH1242-CH1254-CH1265-CH1276</f>
      </c>
      <c r="CI1287" s="933">
        <f t="shared" si="2626"/>
      </c>
      <c r="CJ1287" s="933">
        <f t="shared" si="2626"/>
      </c>
      <c r="CK1287" s="1061">
        <f>SUM(CG1287:CJ1287)</f>
      </c>
      <c r="CL1287" s="961">
        <f t="shared" ref="CL1287:CO1288" si="2627">CL1242-CL1254-CL1265-CL1276</f>
      </c>
      <c r="CM1287" s="933">
        <f t="shared" si="2627"/>
      </c>
      <c r="CN1287" s="933">
        <f t="shared" si="2627"/>
      </c>
      <c r="CO1287" s="933">
        <f t="shared" si="2627"/>
      </c>
      <c r="CP1287" s="1061">
        <f>SUM(CL1287:CO1287)</f>
      </c>
      <c r="CQ1287" s="933">
        <f>CQ1242-CQ1254-CQ1265-CQ1276</f>
      </c>
      <c r="CR1287" s="933">
        <f>+(1+CR1292)*CM1287</f>
      </c>
      <c r="CS1287" s="1227"/>
      <c r="CT1287" s="1231"/>
      <c r="CU1287" s="2374"/>
      <c r="CV1287" s="1270"/>
      <c r="CW1287" s="1227"/>
      <c r="CX1287" s="1227"/>
      <c r="CY1287" s="1231"/>
      <c r="CZ1287" s="1228"/>
      <c r="DA1287" s="1322"/>
      <c r="DB1287" s="1357"/>
      <c r="DC1287" s="1357"/>
      <c r="DD1287" s="1345"/>
      <c r="DE1287" s="1811"/>
      <c r="DF1287" s="1836"/>
      <c r="DG1287" s="1822"/>
      <c r="DH1287" s="1822"/>
      <c r="DI1287" s="1837"/>
      <c r="DJ1287" s="1811"/>
      <c r="DK1287" s="1811"/>
      <c r="DL1287" s="1811"/>
      <c r="DM1287" s="1811"/>
      <c r="DN1287" s="1811"/>
      <c r="DO1287" s="1811"/>
      <c r="DP1287" s="1836"/>
      <c r="DQ1287" s="1822"/>
      <c r="DR1287" s="1822"/>
      <c r="DS1287" s="1822"/>
      <c r="DT1287" s="1811"/>
      <c r="DU1287" s="1836"/>
      <c r="DV1287" s="1822"/>
      <c r="DW1287" s="1822"/>
      <c r="DX1287" s="1837"/>
      <c r="DY1287" s="1811"/>
      <c r="DZ1287" s="1822"/>
      <c r="EA1287" s="1822"/>
      <c r="EB1287" s="1837"/>
      <c r="EC1287" s="1837"/>
      <c r="ED1287" s="1811"/>
      <c r="EE1287" s="1822"/>
      <c r="EF1287" s="1822"/>
      <c r="EG1287" s="1822"/>
      <c r="EH1287" s="1836"/>
      <c r="EI1287" s="1811"/>
      <c r="EJ1287" s="1811"/>
      <c r="EK1287" s="1811"/>
      <c r="EL1287" s="1811"/>
      <c r="EM1287" s="1811"/>
      <c r="EN1287" s="1811"/>
      <c r="EO1287" s="1811"/>
      <c r="EP1287" s="1811"/>
      <c r="EQ1287" s="1811"/>
      <c r="ER1287" s="1811"/>
      <c r="ES1287" s="1811"/>
      <c r="ET1287" s="1811"/>
      <c r="EU1287" s="1811"/>
      <c r="EV1287" s="1811"/>
      <c r="EW1287" s="1811"/>
      <c r="EX1287" s="1811"/>
    </row>
    <row r="1288" spans="2:154" ht="12.75" hidden="1" customHeight="1" outlineLevel="2">
      <c r="B1288" s="437" t="s">
        <v>412</v>
      </c>
      <c r="C1288" s="1577"/>
      <c r="D1288" s="933"/>
      <c r="E1288" s="933"/>
      <c r="F1288" s="933"/>
      <c r="G1288" s="933"/>
      <c r="H1288" s="933"/>
      <c r="I1288" s="933"/>
      <c r="J1288" s="933"/>
      <c r="K1288" s="933"/>
      <c r="L1288" s="933"/>
      <c r="M1288" s="933"/>
      <c r="N1288" s="933"/>
      <c r="O1288" s="933"/>
      <c r="P1288" s="933"/>
      <c r="Q1288" s="933"/>
      <c r="R1288" s="933"/>
      <c r="S1288" s="933"/>
      <c r="T1288" s="933"/>
      <c r="U1288" s="933"/>
      <c r="V1288" s="933"/>
      <c r="W1288" s="933"/>
      <c r="X1288" s="1061"/>
      <c r="Y1288" s="933"/>
      <c r="Z1288" s="933"/>
      <c r="AA1288" s="933"/>
      <c r="AB1288" s="933"/>
      <c r="AC1288" s="1061"/>
      <c r="AD1288" s="933">
        <f t="shared" si="2617"/>
      </c>
      <c r="AE1288" s="933">
        <f t="shared" si="2617"/>
      </c>
      <c r="AF1288" s="933">
        <f t="shared" si="2617"/>
      </c>
      <c r="AG1288" s="933">
        <f t="shared" si="2617"/>
      </c>
      <c r="AH1288" s="1061">
        <f>SUM(AD1288:AG1288)</f>
      </c>
      <c r="AI1288" s="933">
        <f t="shared" si="2618"/>
      </c>
      <c r="AJ1288" s="933">
        <f t="shared" si="2618"/>
      </c>
      <c r="AK1288" s="933">
        <f t="shared" si="2618"/>
      </c>
      <c r="AL1288" s="933">
        <f t="shared" si="2618"/>
      </c>
      <c r="AM1288" s="1061">
        <f>SUM(AI1288:AL1288)</f>
      </c>
      <c r="AN1288" s="933">
        <f t="shared" si="2619"/>
      </c>
      <c r="AO1288" s="933">
        <f t="shared" si="2619"/>
      </c>
      <c r="AP1288" s="933">
        <f t="shared" si="2619"/>
      </c>
      <c r="AQ1288" s="933">
        <f t="shared" si="2619"/>
      </c>
      <c r="AR1288" s="1061">
        <f>SUM(AN1288:AQ1288)</f>
      </c>
      <c r="AS1288" s="933">
        <f t="shared" si="2620"/>
      </c>
      <c r="AT1288" s="933">
        <f t="shared" si="2620"/>
      </c>
      <c r="AU1288" s="933">
        <f t="shared" si="2620"/>
      </c>
      <c r="AV1288" s="933">
        <f t="shared" si="2620"/>
      </c>
      <c r="AW1288" s="1061">
        <f>SUM(AS1288:AV1288)</f>
      </c>
      <c r="AX1288" s="933">
        <f t="shared" si="2621"/>
      </c>
      <c r="AY1288" s="933">
        <f t="shared" si="2621"/>
      </c>
      <c r="AZ1288" s="933">
        <f t="shared" si="2621"/>
      </c>
      <c r="BA1288" s="933">
        <f t="shared" si="2621"/>
      </c>
      <c r="BB1288" s="1061">
        <f>SUM(AX1288:BA1288)</f>
      </c>
      <c r="BC1288" s="933">
        <f t="shared" si="2622"/>
      </c>
      <c r="BD1288" s="933">
        <f t="shared" si="2622"/>
      </c>
      <c r="BE1288" s="933">
        <f t="shared" si="2622"/>
      </c>
      <c r="BF1288" s="933">
        <f t="shared" si="2622"/>
      </c>
      <c r="BG1288" s="313">
        <f>SUM(BC1288:BF1288)</f>
      </c>
      <c r="BH1288" s="933">
        <v>130.17076828499998</v>
      </c>
      <c r="BI1288" s="33">
        <v>103.6</v>
      </c>
      <c r="BJ1288" s="33">
        <f>116.319830686581+0.5</f>
      </c>
      <c r="BK1288" s="33">
        <v>144.80723589760004</v>
      </c>
      <c r="BL1288" s="313">
        <f>SUM(BH1288:BK1288)</f>
      </c>
      <c r="BM1288" s="352">
        <v>146.33890388738888</v>
      </c>
      <c r="BN1288" s="352">
        <v>122.47284790490005</v>
      </c>
      <c r="BO1288" s="352">
        <v>125.38262965760009</v>
      </c>
      <c r="BP1288" s="352">
        <v>151.07319837728016</v>
      </c>
      <c r="BQ1288" s="313">
        <f>SUM(BM1288:BP1288)</f>
      </c>
      <c r="BR1288" s="761">
        <f>BR1195-BR1207-BR1219-BR1255-BR1266-BR1277</f>
      </c>
      <c r="BS1288" s="761">
        <f t="shared" si="2623"/>
      </c>
      <c r="BT1288" s="761">
        <f t="shared" si="2623"/>
      </c>
      <c r="BU1288" s="761">
        <f t="shared" si="2623"/>
      </c>
      <c r="BV1288" s="313">
        <f>SUM(BR1288:BU1288)</f>
      </c>
      <c r="BW1288" s="933">
        <f>BW1195-BW1207-BW1219-BW1255-BW1266-BW1277-BW1304</f>
      </c>
      <c r="BX1288" s="933">
        <f t="shared" si="2624"/>
      </c>
      <c r="BY1288" s="933">
        <f t="shared" si="2624"/>
      </c>
      <c r="BZ1288" s="933">
        <f t="shared" si="2624"/>
      </c>
      <c r="CA1288" s="313">
        <f>SUM(BW1288:BZ1288)</f>
      </c>
      <c r="CB1288" s="933">
        <f t="shared" si="2625"/>
      </c>
      <c r="CC1288" s="933">
        <f t="shared" si="2625"/>
      </c>
      <c r="CD1288" s="933">
        <f t="shared" si="2625"/>
      </c>
      <c r="CE1288" s="933">
        <f t="shared" si="2625"/>
      </c>
      <c r="CF1288" s="1061">
        <f>SUM(CB1288:CE1288)</f>
      </c>
      <c r="CG1288" s="933">
        <f>CG1243-CG1255-CG1266-CG1277</f>
      </c>
      <c r="CH1288" s="933">
        <f t="shared" si="2626"/>
      </c>
      <c r="CI1288" s="933">
        <f t="shared" si="2626"/>
      </c>
      <c r="CJ1288" s="933">
        <f t="shared" si="2626"/>
      </c>
      <c r="CK1288" s="1061">
        <f>SUM(CG1288:CJ1288)</f>
      </c>
      <c r="CL1288" s="961">
        <f t="shared" si="2627"/>
      </c>
      <c r="CM1288" s="933">
        <f t="shared" si="2627"/>
      </c>
      <c r="CN1288" s="933">
        <f t="shared" si="2627"/>
      </c>
      <c r="CO1288" s="933">
        <f t="shared" si="2627"/>
      </c>
      <c r="CP1288" s="1061">
        <f>SUM(CL1288:CO1288)</f>
      </c>
      <c r="CQ1288" s="933">
        <f>CQ1243-CQ1255-CQ1266-CQ1277</f>
      </c>
      <c r="CR1288" s="933">
        <f>+(1+CR1293)*CM1288</f>
      </c>
      <c r="CS1288" s="1227"/>
      <c r="CT1288" s="1227"/>
      <c r="CU1288" s="2374"/>
      <c r="CV1288" s="1227"/>
      <c r="CW1288" s="1227"/>
      <c r="CX1288" s="1227"/>
      <c r="CY1288" s="1227"/>
      <c r="CZ1288" s="1228"/>
      <c r="DA1288" s="1322"/>
      <c r="DB1288" s="1357"/>
      <c r="DC1288" s="1357"/>
      <c r="DD1288" s="1345"/>
      <c r="DE1288" s="1811"/>
      <c r="DF1288" s="1836"/>
      <c r="DG1288" s="1822"/>
      <c r="DH1288" s="1822"/>
      <c r="DI1288" s="1837"/>
      <c r="DJ1288" s="1811"/>
      <c r="DK1288" s="1811"/>
      <c r="DL1288" s="1811"/>
      <c r="DM1288" s="1811"/>
      <c r="DN1288" s="1811"/>
      <c r="DO1288" s="1811"/>
      <c r="DP1288" s="1836"/>
      <c r="DQ1288" s="1822"/>
      <c r="DR1288" s="1822"/>
      <c r="DS1288" s="1822"/>
      <c r="DT1288" s="1811"/>
      <c r="DU1288" s="1836"/>
      <c r="DV1288" s="1822"/>
      <c r="DW1288" s="1822"/>
      <c r="DX1288" s="1837"/>
      <c r="DY1288" s="1811"/>
      <c r="DZ1288" s="1822"/>
      <c r="EA1288" s="1822"/>
      <c r="EB1288" s="1837"/>
      <c r="EC1288" s="1837"/>
      <c r="ED1288" s="1811"/>
      <c r="EE1288" s="1822"/>
      <c r="EF1288" s="1822"/>
      <c r="EG1288" s="1822"/>
      <c r="EH1288" s="1836"/>
      <c r="EI1288" s="1811"/>
      <c r="EJ1288" s="1811"/>
      <c r="EK1288" s="1811"/>
      <c r="EL1288" s="1811"/>
      <c r="EM1288" s="1811"/>
      <c r="EN1288" s="1811"/>
      <c r="EO1288" s="1811"/>
      <c r="EP1288" s="1811"/>
      <c r="EQ1288" s="1811"/>
      <c r="ER1288" s="1811"/>
      <c r="ES1288" s="1811"/>
      <c r="ET1288" s="1811"/>
      <c r="EU1288" s="1811"/>
      <c r="EV1288" s="1811"/>
      <c r="EW1288" s="1811"/>
      <c r="EX1288" s="1811"/>
    </row>
    <row r="1289" spans="2:154" ht="12.75" hidden="1" customHeight="1" outlineLevel="2">
      <c r="B1289" s="437" t="s">
        <v>413</v>
      </c>
      <c r="C1289" s="1577"/>
      <c r="D1289" s="933"/>
      <c r="E1289" s="933"/>
      <c r="F1289" s="933"/>
      <c r="G1289" s="933"/>
      <c r="H1289" s="933"/>
      <c r="I1289" s="933"/>
      <c r="J1289" s="933"/>
      <c r="K1289" s="933"/>
      <c r="L1289" s="933"/>
      <c r="M1289" s="933"/>
      <c r="N1289" s="933"/>
      <c r="O1289" s="933"/>
      <c r="P1289" s="933"/>
      <c r="Q1289" s="933"/>
      <c r="R1289" s="933"/>
      <c r="S1289" s="933"/>
      <c r="T1289" s="933"/>
      <c r="U1289" s="933"/>
      <c r="V1289" s="933"/>
      <c r="W1289" s="933"/>
      <c r="X1289" s="1061"/>
      <c r="Y1289" s="933"/>
      <c r="Z1289" s="933"/>
      <c r="AA1289" s="933"/>
      <c r="AB1289" s="933"/>
      <c r="AC1289" s="1061"/>
      <c r="AD1289" s="933">
        <f t="shared" ref="AD1289:BR1289" si="2628">+AD1288+AD1287</f>
      </c>
      <c r="AE1289" s="933">
        <f t="shared" si="2628"/>
      </c>
      <c r="AF1289" s="933">
        <f t="shared" si="2628"/>
      </c>
      <c r="AG1289" s="933">
        <f t="shared" si="2628"/>
      </c>
      <c r="AH1289" s="1061">
        <f t="shared" si="2628"/>
      </c>
      <c r="AI1289" s="933">
        <f t="shared" si="2628"/>
      </c>
      <c r="AJ1289" s="933">
        <f t="shared" si="2628"/>
      </c>
      <c r="AK1289" s="933">
        <f t="shared" si="2628"/>
      </c>
      <c r="AL1289" s="933">
        <f t="shared" si="2628"/>
      </c>
      <c r="AM1289" s="1061">
        <f t="shared" si="2628"/>
      </c>
      <c r="AN1289" s="933">
        <f t="shared" si="2628"/>
      </c>
      <c r="AO1289" s="933">
        <f t="shared" si="2628"/>
      </c>
      <c r="AP1289" s="933">
        <f t="shared" si="2628"/>
      </c>
      <c r="AQ1289" s="933">
        <f t="shared" si="2628"/>
      </c>
      <c r="AR1289" s="1061">
        <f t="shared" si="2628"/>
      </c>
      <c r="AS1289" s="933">
        <f>+AS1288+AS1287</f>
      </c>
      <c r="AT1289" s="933">
        <f>+AT1288+AT1287</f>
      </c>
      <c r="AU1289" s="933">
        <f>+AU1288+AU1287</f>
      </c>
      <c r="AV1289" s="933">
        <f>+AV1288+AV1287</f>
      </c>
      <c r="AW1289" s="1061">
        <f>+AW1288+AW1287</f>
      </c>
      <c r="AX1289" s="933">
        <f t="shared" si="2628"/>
      </c>
      <c r="AY1289" s="933">
        <f t="shared" si="2628"/>
      </c>
      <c r="AZ1289" s="933">
        <f t="shared" si="2628"/>
      </c>
      <c r="BA1289" s="933">
        <f t="shared" si="2628"/>
      </c>
      <c r="BB1289" s="1061">
        <f t="shared" si="2628"/>
      </c>
      <c r="BC1289" s="933">
        <f t="shared" si="2628"/>
      </c>
      <c r="BD1289" s="933">
        <f t="shared" si="2628"/>
      </c>
      <c r="BE1289" s="933">
        <f t="shared" si="2628"/>
      </c>
      <c r="BF1289" s="933">
        <f t="shared" si="2628"/>
      </c>
      <c r="BG1289" s="313">
        <f t="shared" si="2628"/>
      </c>
      <c r="BH1289" s="933">
        <f>+BH1288+BH1287</f>
      </c>
      <c r="BI1289" s="933">
        <f>+BI1288+BI1287</f>
      </c>
      <c r="BJ1289" s="933">
        <f>+BJ1288+BJ1287</f>
      </c>
      <c r="BK1289" s="933">
        <f>+BK1287+BK1288</f>
      </c>
      <c r="BL1289" s="313">
        <f>SUM(BH1289:BK1289)</f>
      </c>
      <c r="BM1289" s="933">
        <f>+BM1288+BM1287</f>
      </c>
      <c r="BN1289" s="933">
        <f>+BN1288+BN1287</f>
      </c>
      <c r="BO1289" s="933">
        <f>+BO1288+BO1287</f>
      </c>
      <c r="BP1289" s="933">
        <f>+BP1287+BP1288</f>
      </c>
      <c r="BQ1289" s="313">
        <f>SUM(BM1289:BP1289)</f>
      </c>
      <c r="BR1289" s="933">
        <f t="shared" si="2628"/>
      </c>
      <c r="BS1289" s="933">
        <f>+BS1288+BS1287</f>
      </c>
      <c r="BT1289" s="933">
        <f>+BT1288+BT1287</f>
      </c>
      <c r="BU1289" s="933">
        <f>+BU1287+BU1288</f>
      </c>
      <c r="BV1289" s="313">
        <f>SUM(BR1289:BU1289)</f>
      </c>
      <c r="BW1289" s="933">
        <f>+BW1288+BW1287</f>
      </c>
      <c r="BX1289" s="933">
        <f>+BX1288+BX1287</f>
      </c>
      <c r="BY1289" s="933">
        <f>+BY1288+BY1287</f>
      </c>
      <c r="BZ1289" s="933">
        <f>+BZ1288+BZ1287</f>
      </c>
      <c r="CA1289" s="313">
        <f>SUM(BW1289:BZ1289)</f>
      </c>
      <c r="CB1289" s="933">
        <f>+CB1288+CB1287</f>
      </c>
      <c r="CC1289" s="933">
        <f>+CC1288+CC1287</f>
      </c>
      <c r="CD1289" s="933">
        <f>+CD1288+CD1287</f>
      </c>
      <c r="CE1289" s="933">
        <f>+CE1288+CE1287</f>
      </c>
      <c r="CF1289" s="1061">
        <f>SUM(CB1289:CE1289)</f>
      </c>
      <c r="CG1289" s="933">
        <f>+CG1288+CG1287</f>
      </c>
      <c r="CH1289" s="933">
        <f>+CH1288+CH1287</f>
      </c>
      <c r="CI1289" s="933">
        <f>+CI1288+CI1287</f>
      </c>
      <c r="CJ1289" s="933">
        <f>+CJ1288+CJ1287</f>
      </c>
      <c r="CK1289" s="1061">
        <f>SUM(CG1289:CJ1289)</f>
      </c>
      <c r="CL1289" s="961">
        <f>+CL1288+CL1287</f>
      </c>
      <c r="CM1289" s="933">
        <f>+CM1288+CM1287</f>
      </c>
      <c r="CN1289" s="933">
        <f>+CN1288+CN1287</f>
      </c>
      <c r="CO1289" s="933">
        <f>+CO1288+CO1287</f>
      </c>
      <c r="CP1289" s="1061">
        <f>SUM(CL1289:CO1289)</f>
      </c>
      <c r="CQ1289" s="933">
        <f>+CQ1288+CQ1287</f>
      </c>
      <c r="CR1289" s="933">
        <f>+CR1288+CR1287</f>
      </c>
      <c r="CS1289" s="1227"/>
      <c r="CT1289" s="1227"/>
      <c r="CU1289" s="2374"/>
      <c r="CV1289" s="1227"/>
      <c r="CW1289" s="1227"/>
      <c r="CX1289" s="1227"/>
      <c r="CY1289" s="1227"/>
      <c r="CZ1289" s="1228"/>
      <c r="DA1289" s="1322"/>
      <c r="DB1289" s="1357"/>
      <c r="DC1289" s="1357"/>
      <c r="DD1289" s="1345"/>
      <c r="DE1289" s="1811"/>
      <c r="DF1289" s="1836"/>
      <c r="DG1289" s="1822"/>
      <c r="DH1289" s="1822"/>
      <c r="DI1289" s="1837"/>
      <c r="DJ1289" s="1811"/>
      <c r="DK1289" s="1811"/>
      <c r="DL1289" s="1811"/>
      <c r="DM1289" s="1811"/>
      <c r="DN1289" s="1811"/>
      <c r="DO1289" s="1811"/>
      <c r="DP1289" s="1836"/>
      <c r="DQ1289" s="1822"/>
      <c r="DR1289" s="1822"/>
      <c r="DS1289" s="1822"/>
      <c r="DT1289" s="1811"/>
      <c r="DU1289" s="1836"/>
      <c r="DV1289" s="1822"/>
      <c r="DW1289" s="1822"/>
      <c r="DX1289" s="1837"/>
      <c r="DY1289" s="1811"/>
      <c r="DZ1289" s="1822"/>
      <c r="EA1289" s="1822"/>
      <c r="EB1289" s="1837"/>
      <c r="EC1289" s="1837"/>
      <c r="ED1289" s="1811"/>
      <c r="EE1289" s="1822"/>
      <c r="EF1289" s="1822"/>
      <c r="EG1289" s="1822"/>
      <c r="EH1289" s="1836"/>
      <c r="EI1289" s="1811"/>
      <c r="EJ1289" s="1811"/>
      <c r="EK1289" s="1811"/>
      <c r="EL1289" s="1811"/>
      <c r="EM1289" s="1811"/>
      <c r="EN1289" s="1811"/>
      <c r="EO1289" s="1811"/>
      <c r="EP1289" s="1811"/>
      <c r="EQ1289" s="1811"/>
      <c r="ER1289" s="1811"/>
      <c r="ES1289" s="1811"/>
      <c r="ET1289" s="1811"/>
      <c r="EU1289" s="1811"/>
      <c r="EV1289" s="1811"/>
      <c r="EW1289" s="1811"/>
      <c r="EX1289" s="1811"/>
    </row>
    <row r="1290" spans="2:154" ht="12.75" hidden="1" customHeight="1" outlineLevel="2">
      <c r="B1290" s="442"/>
      <c r="C1290" s="1577"/>
      <c r="D1290" s="933"/>
      <c r="E1290" s="933"/>
      <c r="F1290" s="933"/>
      <c r="G1290" s="933"/>
      <c r="H1290" s="933"/>
      <c r="I1290" s="933"/>
      <c r="J1290" s="933"/>
      <c r="K1290" s="933"/>
      <c r="L1290" s="933"/>
      <c r="M1290" s="933"/>
      <c r="N1290" s="933"/>
      <c r="O1290" s="933"/>
      <c r="P1290" s="933"/>
      <c r="Q1290" s="933"/>
      <c r="R1290" s="933"/>
      <c r="S1290" s="933"/>
      <c r="T1290" s="933"/>
      <c r="U1290" s="933"/>
      <c r="V1290" s="933"/>
      <c r="W1290" s="933"/>
      <c r="X1290" s="1061"/>
      <c r="Y1290" s="933"/>
      <c r="Z1290" s="933"/>
      <c r="AA1290" s="933"/>
      <c r="AB1290" s="933"/>
      <c r="AC1290" s="1061"/>
      <c r="AD1290" s="933"/>
      <c r="AE1290" s="933"/>
      <c r="AF1290" s="933"/>
      <c r="AG1290" s="933"/>
      <c r="AH1290" s="1061"/>
      <c r="AI1290" s="933"/>
      <c r="AJ1290" s="933"/>
      <c r="AK1290" s="933"/>
      <c r="AL1290" s="933"/>
      <c r="AM1290" s="1061"/>
      <c r="AN1290" s="933"/>
      <c r="AO1290" s="933"/>
      <c r="AP1290" s="933"/>
      <c r="AQ1290" s="933"/>
      <c r="AR1290" s="1061"/>
      <c r="AS1290" s="933"/>
      <c r="AT1290" s="933"/>
      <c r="AU1290" s="933"/>
      <c r="AV1290" s="933"/>
      <c r="AW1290" s="1061"/>
      <c r="AX1290" s="933"/>
      <c r="AY1290" s="933"/>
      <c r="AZ1290" s="933"/>
      <c r="BA1290" s="933"/>
      <c r="BB1290" s="1061"/>
      <c r="BC1290" s="933"/>
      <c r="BD1290" s="933"/>
      <c r="BE1290" s="933"/>
      <c r="BF1290" s="933"/>
      <c r="BG1290" s="313"/>
      <c r="BH1290" s="933"/>
      <c r="BI1290" s="933"/>
      <c r="BJ1290" s="933"/>
      <c r="BK1290" s="933"/>
      <c r="BL1290" s="313"/>
      <c r="BM1290" s="933"/>
      <c r="BN1290" s="933"/>
      <c r="BO1290" s="933"/>
      <c r="BP1290" s="933"/>
      <c r="BQ1290" s="313"/>
      <c r="BR1290" s="933"/>
      <c r="BS1290" s="933"/>
      <c r="BT1290" s="933"/>
      <c r="BU1290" s="933"/>
      <c r="BV1290" s="313"/>
      <c r="BW1290" s="933"/>
      <c r="BX1290" s="933"/>
      <c r="BY1290" s="933"/>
      <c r="BZ1290" s="933"/>
      <c r="CA1290" s="313"/>
      <c r="CB1290" s="933"/>
      <c r="CC1290" s="933"/>
      <c r="CD1290" s="933"/>
      <c r="CE1290" s="933"/>
      <c r="CF1290" s="313"/>
      <c r="CG1290" s="933"/>
      <c r="CH1290" s="933"/>
      <c r="CI1290" s="933"/>
      <c r="CJ1290" s="933"/>
      <c r="CK1290" s="313"/>
      <c r="CL1290" s="961"/>
      <c r="CM1290" s="933"/>
      <c r="CN1290" s="933"/>
      <c r="CO1290" s="933"/>
      <c r="CP1290" s="313"/>
      <c r="CQ1290" s="933"/>
      <c r="CR1290" s="933"/>
      <c r="CS1290" s="1227"/>
      <c r="CT1290" s="1227"/>
      <c r="CU1290" s="1228"/>
      <c r="CV1290" s="1227"/>
      <c r="CW1290" s="1227"/>
      <c r="CX1290" s="1227"/>
      <c r="CY1290" s="1227"/>
      <c r="CZ1290" s="1228"/>
      <c r="DA1290" s="1322"/>
      <c r="DB1290" s="1357"/>
      <c r="DC1290" s="1357"/>
      <c r="DD1290" s="1345"/>
      <c r="DE1290" s="1811"/>
      <c r="DF1290" s="1836"/>
      <c r="DG1290" s="1822"/>
      <c r="DH1290" s="1822"/>
      <c r="DI1290" s="1837"/>
      <c r="DJ1290" s="1811"/>
      <c r="DK1290" s="1811"/>
      <c r="DL1290" s="1811"/>
      <c r="DM1290" s="1811"/>
      <c r="DN1290" s="1811"/>
      <c r="DO1290" s="1811"/>
      <c r="DP1290" s="1836"/>
      <c r="DQ1290" s="1822"/>
      <c r="DR1290" s="1822"/>
      <c r="DS1290" s="1822"/>
      <c r="DT1290" s="1811"/>
      <c r="DU1290" s="1836"/>
      <c r="DV1290" s="1822"/>
      <c r="DW1290" s="1822"/>
      <c r="DX1290" s="1837"/>
      <c r="DY1290" s="1811"/>
      <c r="DZ1290" s="1822"/>
      <c r="EA1290" s="1822"/>
      <c r="EB1290" s="1837"/>
      <c r="EC1290" s="1837"/>
      <c r="ED1290" s="1811"/>
      <c r="EE1290" s="1822"/>
      <c r="EF1290" s="1822"/>
      <c r="EG1290" s="1822"/>
      <c r="EH1290" s="1836"/>
      <c r="EI1290" s="1811"/>
      <c r="EJ1290" s="1811"/>
      <c r="EK1290" s="1811"/>
      <c r="EL1290" s="1811"/>
      <c r="EM1290" s="1811"/>
      <c r="EN1290" s="1811"/>
      <c r="EO1290" s="1811"/>
      <c r="EP1290" s="1811"/>
      <c r="EQ1290" s="1811"/>
      <c r="ER1290" s="1811"/>
      <c r="ES1290" s="1811"/>
      <c r="ET1290" s="1811"/>
      <c r="EU1290" s="1811"/>
      <c r="EV1290" s="1811"/>
      <c r="EW1290" s="1811"/>
      <c r="EX1290" s="1811"/>
    </row>
    <row r="1291" spans="2:154" ht="12.75" hidden="1" customHeight="1" outlineLevel="2">
      <c r="B1291" s="439" t="s">
        <v>138</v>
      </c>
      <c r="C1291" s="1577"/>
      <c r="D1291" s="933"/>
      <c r="E1291" s="933"/>
      <c r="F1291" s="933"/>
      <c r="G1291" s="933"/>
      <c r="H1291" s="933"/>
      <c r="I1291" s="933"/>
      <c r="J1291" s="933"/>
      <c r="K1291" s="933"/>
      <c r="L1291" s="933"/>
      <c r="M1291" s="933"/>
      <c r="N1291" s="933"/>
      <c r="O1291" s="933"/>
      <c r="P1291" s="933"/>
      <c r="Q1291" s="933"/>
      <c r="R1291" s="933"/>
      <c r="S1291" s="933"/>
      <c r="T1291" s="933"/>
      <c r="U1291" s="933"/>
      <c r="V1291" s="933"/>
      <c r="W1291" s="933"/>
      <c r="X1291" s="1061"/>
      <c r="Y1291" s="933"/>
      <c r="Z1291" s="933"/>
      <c r="AA1291" s="933"/>
      <c r="AB1291" s="933"/>
      <c r="AC1291" s="1061"/>
      <c r="AD1291" s="933"/>
      <c r="AE1291" s="933"/>
      <c r="AF1291" s="933"/>
      <c r="AG1291" s="933"/>
      <c r="AH1291" s="1061"/>
      <c r="AI1291" s="933"/>
      <c r="AJ1291" s="933"/>
      <c r="AK1291" s="933"/>
      <c r="AL1291" s="933"/>
      <c r="AM1291" s="1061"/>
      <c r="AN1291" s="933"/>
      <c r="AO1291" s="933"/>
      <c r="AP1291" s="933"/>
      <c r="AQ1291" s="933"/>
      <c r="AR1291" s="1061"/>
      <c r="AS1291" s="933"/>
      <c r="AT1291" s="933"/>
      <c r="AU1291" s="933"/>
      <c r="AV1291" s="933"/>
      <c r="AW1291" s="1061"/>
      <c r="AX1291" s="933"/>
      <c r="AY1291" s="933"/>
      <c r="AZ1291" s="933"/>
      <c r="BA1291" s="933"/>
      <c r="BB1291" s="1061"/>
      <c r="BC1291" s="933"/>
      <c r="BD1291" s="933"/>
      <c r="BE1291" s="933"/>
      <c r="BF1291" s="933"/>
      <c r="BG1291" s="313"/>
      <c r="BH1291" s="933"/>
      <c r="BI1291" s="933"/>
      <c r="BJ1291" s="933"/>
      <c r="BK1291" s="933"/>
      <c r="BL1291" s="313"/>
      <c r="BM1291" s="933"/>
      <c r="BN1291" s="933"/>
      <c r="BO1291" s="933"/>
      <c r="BP1291" s="933"/>
      <c r="BQ1291" s="313"/>
      <c r="BR1291" s="933"/>
      <c r="BS1291" s="933"/>
      <c r="BT1291" s="933"/>
      <c r="BU1291" s="933"/>
      <c r="BV1291" s="313"/>
      <c r="BW1291" s="933"/>
      <c r="BX1291" s="933"/>
      <c r="BY1291" s="933"/>
      <c r="BZ1291" s="933"/>
      <c r="CA1291" s="313"/>
      <c r="CB1291" s="933"/>
      <c r="CC1291" s="933"/>
      <c r="CD1291" s="933"/>
      <c r="CE1291" s="933"/>
      <c r="CF1291" s="313"/>
      <c r="CG1291" s="933"/>
      <c r="CH1291" s="933"/>
      <c r="CI1291" s="933"/>
      <c r="CJ1291" s="933"/>
      <c r="CK1291" s="313"/>
      <c r="CL1291" s="961"/>
      <c r="CM1291" s="933"/>
      <c r="CN1291" s="933"/>
      <c r="CO1291" s="933"/>
      <c r="CP1291" s="313"/>
      <c r="CQ1291" s="933"/>
      <c r="CR1291" s="933"/>
      <c r="CS1291" s="1227"/>
      <c r="CT1291" s="1227"/>
      <c r="CU1291" s="1228"/>
      <c r="CV1291" s="1227"/>
      <c r="CW1291" s="1227"/>
      <c r="CX1291" s="1227"/>
      <c r="CY1291" s="1227"/>
      <c r="CZ1291" s="1228"/>
      <c r="DA1291" s="1322"/>
      <c r="DB1291" s="1357"/>
      <c r="DC1291" s="1357"/>
      <c r="DD1291" s="1345"/>
      <c r="DE1291" s="1811"/>
      <c r="DF1291" s="1836"/>
      <c r="DG1291" s="1822"/>
      <c r="DH1291" s="1822"/>
      <c r="DI1291" s="1837"/>
      <c r="DJ1291" s="1811"/>
      <c r="DK1291" s="1811"/>
      <c r="DL1291" s="1811"/>
      <c r="DM1291" s="1811"/>
      <c r="DN1291" s="1811"/>
      <c r="DO1291" s="1811"/>
      <c r="DP1291" s="1836"/>
      <c r="DQ1291" s="1822"/>
      <c r="DR1291" s="1822"/>
      <c r="DS1291" s="1822"/>
      <c r="DT1291" s="1811"/>
      <c r="DU1291" s="1836"/>
      <c r="DV1291" s="1822"/>
      <c r="DW1291" s="1822"/>
      <c r="DX1291" s="1837"/>
      <c r="DY1291" s="1811"/>
      <c r="DZ1291" s="1822"/>
      <c r="EA1291" s="1822"/>
      <c r="EB1291" s="1837"/>
      <c r="EC1291" s="1837"/>
      <c r="ED1291" s="1811"/>
      <c r="EE1291" s="1822"/>
      <c r="EF1291" s="1822"/>
      <c r="EG1291" s="1822"/>
      <c r="EH1291" s="1836"/>
      <c r="EI1291" s="1811"/>
      <c r="EJ1291" s="1811"/>
      <c r="EK1291" s="1811"/>
      <c r="EL1291" s="1811"/>
      <c r="EM1291" s="1811"/>
      <c r="EN1291" s="1811"/>
      <c r="EO1291" s="1811"/>
      <c r="EP1291" s="1811"/>
      <c r="EQ1291" s="1811"/>
      <c r="ER1291" s="1811"/>
      <c r="ES1291" s="1811"/>
      <c r="ET1291" s="1811"/>
      <c r="EU1291" s="1811"/>
      <c r="EV1291" s="1811"/>
      <c r="EW1291" s="1811"/>
      <c r="EX1291" s="1811"/>
    </row>
    <row r="1292" spans="2:154" ht="12.75" hidden="1" customHeight="1" outlineLevel="2">
      <c r="B1292" s="443" t="s">
        <v>156</v>
      </c>
      <c r="C1292" s="1577"/>
      <c r="D1292" s="933"/>
      <c r="E1292" s="933"/>
      <c r="F1292" s="933"/>
      <c r="G1292" s="933"/>
      <c r="H1292" s="933"/>
      <c r="I1292" s="933"/>
      <c r="J1292" s="933"/>
      <c r="K1292" s="933"/>
      <c r="L1292" s="933"/>
      <c r="M1292" s="933"/>
      <c r="N1292" s="933"/>
      <c r="O1292" s="933"/>
      <c r="P1292" s="933"/>
      <c r="Q1292" s="933"/>
      <c r="R1292" s="933"/>
      <c r="S1292" s="933"/>
      <c r="T1292" s="933"/>
      <c r="U1292" s="933"/>
      <c r="V1292" s="933"/>
      <c r="W1292" s="933"/>
      <c r="X1292" s="1060"/>
      <c r="Y1292" s="933"/>
      <c r="Z1292" s="933"/>
      <c r="AA1292" s="933"/>
      <c r="AB1292" s="933"/>
      <c r="AC1292" s="1060"/>
      <c r="AD1292" s="926"/>
      <c r="AE1292" s="926"/>
      <c r="AF1292" s="926"/>
      <c r="AG1292" s="926"/>
      <c r="AH1292" s="1060"/>
      <c r="AI1292" s="926">
        <f t="shared" ref="AI1292:BV1293" si="2629">IF(AD1287="NM","NM",IF(AI1287="NM","NM",IF(AD1287&lt;=0,"NM",IF(AI1287=0,"NM",IF(ABS(AI1287/AD1287-1)&gt;2.5,"NM",IF((ABS(AI1287-AD1287)=ABS(ABS(AI1287)-ABS(AD1287))),(AI1287/AD1287-1),"NM"))))))</f>
      </c>
      <c r="AJ1292" s="926">
        <f t="shared" si="2629"/>
      </c>
      <c r="AK1292" s="926">
        <f t="shared" si="2629"/>
      </c>
      <c r="AL1292" s="926">
        <f t="shared" si="2629"/>
      </c>
      <c r="AM1292" s="1060">
        <f t="shared" si="2629"/>
      </c>
      <c r="AN1292" s="926">
        <f t="shared" si="2629"/>
      </c>
      <c r="AO1292" s="926">
        <f t="shared" si="2629"/>
      </c>
      <c r="AP1292" s="926">
        <f t="shared" si="2629"/>
      </c>
      <c r="AQ1292" s="926">
        <f t="shared" si="2629"/>
      </c>
      <c r="AR1292" s="1060">
        <f t="shared" si="2629"/>
      </c>
      <c r="AS1292" s="926">
        <f t="shared" si="2629"/>
      </c>
      <c r="AT1292" s="926">
        <f t="shared" si="2629"/>
      </c>
      <c r="AU1292" s="926">
        <f t="shared" si="2629"/>
      </c>
      <c r="AV1292" s="926">
        <f t="shared" si="2629"/>
      </c>
      <c r="AW1292" s="1060">
        <f t="shared" si="2629"/>
      </c>
      <c r="AX1292" s="926">
        <f t="shared" si="2629"/>
      </c>
      <c r="AY1292" s="926">
        <f t="shared" si="2629"/>
      </c>
      <c r="AZ1292" s="926">
        <f t="shared" si="2629"/>
      </c>
      <c r="BA1292" s="926">
        <f t="shared" si="2629"/>
      </c>
      <c r="BB1292" s="1060">
        <f t="shared" si="2629"/>
      </c>
      <c r="BC1292" s="926">
        <f t="shared" si="2629"/>
      </c>
      <c r="BD1292" s="926">
        <f t="shared" si="2629"/>
      </c>
      <c r="BE1292" s="926">
        <f t="shared" si="2629"/>
      </c>
      <c r="BF1292" s="926">
        <f t="shared" si="2629"/>
      </c>
      <c r="BG1292" s="1060">
        <f>IF(BB1287="NM","NM",IF(BG1287="NM","NM",IF(BB1287&lt;=0,"NM",IF(BG1287=0,"NM",IF(ABS(BG1287/BB1287-1)&gt;2.5,"NM",IF((ABS(BG1287-BB1287)=ABS(ABS(BG1287)-ABS(BB1287))),(BG1287/BB1287-1),"NM"))))))</f>
      </c>
      <c r="BH1292" s="926">
        <f t="shared" si="2629"/>
      </c>
      <c r="BI1292" s="926">
        <f t="shared" si="2629"/>
      </c>
      <c r="BJ1292" s="926">
        <f t="shared" si="2629"/>
      </c>
      <c r="BK1292" s="926">
        <f t="shared" si="2629"/>
      </c>
      <c r="BL1292" s="1060">
        <f>IF(BG1287="NM","NM",IF(BL1287="NM","NM",IF(BG1287&lt;=0,"NM",IF(BL1287=0,"NM",IF(ABS(BL1287/BG1287-1)&gt;2.5,"NM",IF((ABS(BL1287-BG1287)=ABS(ABS(BL1287)-ABS(BG1287))),(BL1287/BG1287-1),"NM"))))))</f>
      </c>
      <c r="BM1292" s="926">
        <f t="shared" si="2629"/>
      </c>
      <c r="BN1292" s="926">
        <f t="shared" si="2629"/>
      </c>
      <c r="BO1292" s="926">
        <f t="shared" si="2629"/>
      </c>
      <c r="BP1292" s="926">
        <f t="shared" si="2629"/>
      </c>
      <c r="BQ1292" s="1060">
        <f t="shared" si="2629"/>
      </c>
      <c r="BR1292" s="926">
        <f t="shared" si="2629"/>
      </c>
      <c r="BS1292" s="926">
        <f t="shared" si="2629"/>
      </c>
      <c r="BT1292" s="926">
        <f>IF(BO1287="NM","NM",IF(BT1287="NM","NM",IF(BO1287&lt;=0,"NM",IF(BT1287=0,"NM",IF(ABS(BT1287/BO1287-1)&gt;2.5,"NM",IF((ABS(BT1287-BO1287)=ABS(ABS(BT1287)-ABS(BO1287))),(BT1287/BO1287-1),"NM"))))))</f>
      </c>
      <c r="BU1292" s="926">
        <f>IF(BP1287="NM","NM",IF(BU1287="NM","NM",IF(BP1287&lt;=0,"NM",IF(BU1287=0,"NM",IF(ABS(BU1287/BP1287-1)&gt;2.5,"NM",IF((ABS(BU1287-BP1287)=ABS(ABS(BU1287)-ABS(BP1287))),(BU1287/BP1287-1),"NM"))))))</f>
      </c>
      <c r="BV1292" s="1060">
        <f t="shared" si="2629"/>
      </c>
      <c r="BW1292" s="649">
        <v>-0.91922582641628048</v>
      </c>
      <c r="BX1292" s="649">
        <v>5.2000000000000046E-2</v>
      </c>
      <c r="BY1292" s="649">
        <v>5.699999999999994E-2</v>
      </c>
      <c r="BZ1292" s="649">
        <v>7.2999999999999954E-2</v>
      </c>
      <c r="CA1292" s="2248">
        <f>IF(BV1287="NM","NM",IF(CA1287="NM","NM",IF(BV1287&lt;=0,"NM",IF(CA1287=0,"NM",IF(ABS(CA1287/BV1287-1)&gt;2.5,"NM",IF((ABS(CA1287-BV1287)=ABS(ABS(CA1287)-ABS(BV1287))),(CA1287/BV1287-1),"NM"))))))</f>
      </c>
      <c r="CB1292" s="926">
        <f>CB1287/BW1287-1</f>
      </c>
      <c r="CC1292" s="926">
        <f>CC1287/BX1287-1</f>
      </c>
      <c r="CD1292" s="926">
        <f>CD1287/BY1287-1</f>
      </c>
      <c r="CE1292" s="926">
        <f>CE1287/BZ1287-1</f>
      </c>
      <c r="CF1292" s="2248">
        <f>IF(CA1287="NM","NM",IF(CF1287="NM","NM",IF(CA1287&lt;=0,"NM",IF(CF1287=0,"NM",IF(ABS(CF1287/CA1287-1)&gt;2.5,"NM",IF((ABS(CF1287-CA1287)=ABS(ABS(CF1287)-ABS(CA1287))),(CF1287/CA1287-1),"NM"))))))</f>
      </c>
      <c r="CG1292" s="659"/>
      <c r="CH1292" s="659"/>
      <c r="CI1292" s="659"/>
      <c r="CJ1292" s="659"/>
      <c r="CK1292" s="1060"/>
      <c r="CL1292" s="958">
        <f t="shared" ref="CL1292:CQ1292" si="2630">IF(CG1287=0, 0, CL1287/CG1287-1)</f>
      </c>
      <c r="CM1292" s="926">
        <f t="shared" si="2630"/>
      </c>
      <c r="CN1292" s="926">
        <f t="shared" si="2630"/>
      </c>
      <c r="CO1292" s="926">
        <f t="shared" si="2630"/>
      </c>
      <c r="CP1292" s="1060">
        <f t="shared" si="2630"/>
      </c>
      <c r="CQ1292" s="926">
        <f t="shared" si="2630"/>
      </c>
      <c r="CR1292" s="659">
        <v>0.05</v>
      </c>
      <c r="CS1292" s="1208"/>
      <c r="CT1292" s="1208"/>
      <c r="CU1292" s="1536"/>
      <c r="CV1292" s="1208"/>
      <c r="CW1292" s="1208"/>
      <c r="CX1292" s="1208"/>
      <c r="CY1292" s="1208"/>
      <c r="CZ1292" s="1234"/>
      <c r="DA1292" s="1271"/>
      <c r="DB1292" s="1208"/>
      <c r="DC1292" s="1208"/>
      <c r="DD1292" s="1232"/>
      <c r="DE1292" s="1234"/>
      <c r="DF1292" s="1271"/>
      <c r="DG1292" s="1208"/>
      <c r="DH1292" s="1208"/>
      <c r="DI1292" s="1232"/>
      <c r="DJ1292" s="1232"/>
      <c r="DK1292" s="1232"/>
      <c r="DL1292" s="1232"/>
      <c r="DM1292" s="1232"/>
      <c r="DN1292" s="1232"/>
      <c r="DO1292" s="1232"/>
      <c r="DP1292" s="1208"/>
      <c r="DQ1292" s="1208"/>
      <c r="DR1292" s="1208"/>
      <c r="DS1292" s="1208"/>
      <c r="DT1292" s="1234"/>
      <c r="DU1292" s="1208"/>
      <c r="DV1292" s="1208"/>
      <c r="DW1292" s="1208"/>
      <c r="DX1292" s="1232"/>
      <c r="DY1292" s="1234"/>
      <c r="DZ1292" s="1208"/>
      <c r="EA1292" s="1208"/>
      <c r="EB1292" s="1232"/>
      <c r="EC1292" s="1232"/>
      <c r="ED1292" s="1234"/>
      <c r="EE1292" s="1208"/>
      <c r="EF1292" s="1208"/>
      <c r="EG1292" s="1208"/>
      <c r="EH1292" s="1208"/>
      <c r="EI1292" s="1234"/>
      <c r="EJ1292" s="1234"/>
      <c r="EK1292" s="1234"/>
      <c r="EL1292" s="1234"/>
      <c r="EM1292" s="1234"/>
      <c r="EN1292" s="1234"/>
      <c r="EO1292" s="1234"/>
      <c r="EP1292" s="1234"/>
      <c r="EQ1292" s="1234"/>
      <c r="ER1292" s="1234"/>
      <c r="ES1292" s="1234"/>
      <c r="ET1292" s="1234"/>
      <c r="EU1292" s="1234"/>
      <c r="EV1292" s="1234"/>
      <c r="EW1292" s="1234"/>
      <c r="EX1292" s="1234"/>
    </row>
    <row r="1293" spans="2:154" ht="12.75" hidden="1" customHeight="1" outlineLevel="2">
      <c r="B1293" s="443" t="s">
        <v>235</v>
      </c>
      <c r="C1293" s="1577"/>
      <c r="D1293" s="933"/>
      <c r="E1293" s="933"/>
      <c r="F1293" s="933"/>
      <c r="G1293" s="933"/>
      <c r="H1293" s="933"/>
      <c r="I1293" s="933"/>
      <c r="J1293" s="933"/>
      <c r="K1293" s="933"/>
      <c r="L1293" s="933"/>
      <c r="M1293" s="933"/>
      <c r="N1293" s="933"/>
      <c r="O1293" s="933"/>
      <c r="P1293" s="933"/>
      <c r="Q1293" s="933"/>
      <c r="R1293" s="933"/>
      <c r="S1293" s="933"/>
      <c r="T1293" s="933"/>
      <c r="U1293" s="933"/>
      <c r="V1293" s="933"/>
      <c r="W1293" s="933"/>
      <c r="X1293" s="1060"/>
      <c r="Y1293" s="933"/>
      <c r="Z1293" s="933"/>
      <c r="AA1293" s="933"/>
      <c r="AB1293" s="933"/>
      <c r="AC1293" s="1060"/>
      <c r="AD1293" s="926"/>
      <c r="AE1293" s="926"/>
      <c r="AF1293" s="926"/>
      <c r="AG1293" s="926"/>
      <c r="AH1293" s="1060"/>
      <c r="AI1293" s="926" t="str">
        <f t="shared" si="2629"/>
      </c>
      <c r="AJ1293" s="926" t="str">
        <f t="shared" si="2629"/>
      </c>
      <c r="AK1293" s="926" t="str">
        <f t="shared" si="2629"/>
      </c>
      <c r="AL1293" s="926" t="str">
        <f t="shared" si="2629"/>
      </c>
      <c r="AM1293" s="1060" t="str">
        <f t="shared" si="2629"/>
      </c>
      <c r="AN1293" s="926" t="str">
        <f t="shared" si="2629"/>
      </c>
      <c r="AO1293" s="926" t="str">
        <f t="shared" si="2629"/>
      </c>
      <c r="AP1293" s="926" t="str">
        <f t="shared" si="2629"/>
      </c>
      <c r="AQ1293" s="926" t="str">
        <f t="shared" si="2629"/>
      </c>
      <c r="AR1293" s="1060" t="str">
        <f t="shared" si="2629"/>
      </c>
      <c r="AS1293" s="926">
        <f t="shared" si="2629"/>
      </c>
      <c r="AT1293" s="926">
        <f t="shared" si="2629"/>
      </c>
      <c r="AU1293" s="926">
        <f t="shared" si="2629"/>
      </c>
      <c r="AV1293" s="926">
        <f t="shared" si="2629"/>
      </c>
      <c r="AW1293" s="1060">
        <f t="shared" si="2629"/>
      </c>
      <c r="AX1293" s="926">
        <f t="shared" si="2629"/>
      </c>
      <c r="AY1293" s="926">
        <f t="shared" si="2629"/>
      </c>
      <c r="AZ1293" s="926">
        <f t="shared" si="2629"/>
      </c>
      <c r="BA1293" s="926">
        <f t="shared" si="2629"/>
      </c>
      <c r="BB1293" s="1060">
        <f t="shared" si="2629"/>
      </c>
      <c r="BC1293" s="926">
        <f t="shared" si="2629"/>
      </c>
      <c r="BD1293" s="926">
        <f t="shared" si="2629"/>
      </c>
      <c r="BE1293" s="926">
        <f t="shared" si="2629"/>
      </c>
      <c r="BF1293" s="926">
        <f t="shared" si="2629"/>
      </c>
      <c r="BG1293" s="1060">
        <f>IF(BB1288="NM","NM",IF(BG1288="NM","NM",IF(BB1288&lt;=0,"NM",IF(BG1288=0,"NM",IF(ABS(BG1288/BB1288-1)&gt;2.5,"NM",IF((ABS(BG1288-BB1288)=ABS(ABS(BG1288)-ABS(BB1288))),(BG1288/BB1288-1),"NM"))))))</f>
      </c>
      <c r="BH1293" s="926">
        <f t="shared" si="2629"/>
      </c>
      <c r="BI1293" s="926">
        <f t="shared" si="2629"/>
      </c>
      <c r="BJ1293" s="926">
        <f t="shared" si="2629"/>
      </c>
      <c r="BK1293" s="926">
        <f t="shared" si="2629"/>
      </c>
      <c r="BL1293" s="1060">
        <f>IF(BG1288="NM","NM",IF(BL1288="NM","NM",IF(BG1288&lt;=0,"NM",IF(BL1288=0,"NM",IF(ABS(BL1288/BG1288-1)&gt;2.5,"NM",IF((ABS(BL1288-BG1288)=ABS(ABS(BL1288)-ABS(BG1288))),(BL1288/BG1288-1),"NM"))))))</f>
      </c>
      <c r="BM1293" s="926">
        <f t="shared" si="2629"/>
      </c>
      <c r="BN1293" s="926">
        <f t="shared" si="2629"/>
      </c>
      <c r="BO1293" s="926">
        <f t="shared" si="2629"/>
      </c>
      <c r="BP1293" s="926">
        <f t="shared" si="2629"/>
      </c>
      <c r="BQ1293" s="1060">
        <f t="shared" si="2629"/>
      </c>
      <c r="BR1293" s="926">
        <f t="shared" si="2629"/>
      </c>
      <c r="BS1293" s="926">
        <f t="shared" si="2629"/>
      </c>
      <c r="BT1293" s="926">
        <f>IF(BO1288="NM","NM",IF(BT1288="NM","NM",IF(BO1288&lt;=0,"NM",IF(BT1288=0,"NM",IF(ABS(BT1288/BO1288-1)&gt;2.5,"NM",IF((ABS(BT1288-BO1288)=ABS(ABS(BT1288)-ABS(BO1288))),(BT1288/BO1288-1),"NM"))))))</f>
      </c>
      <c r="BU1293" s="926">
        <f>IF(BP1288="NM","NM",IF(BU1288="NM","NM",IF(BP1288&lt;=0,"NM",IF(BU1288=0,"NM",IF(ABS(BU1288/BP1288-1)&gt;2.5,"NM",IF((ABS(BU1288-BP1288)=ABS(ABS(BU1288)-ABS(BP1288))),(BU1288/BP1288-1),"NM"))))))</f>
      </c>
      <c r="BV1293" s="1060">
        <f>IF(BQ1288="NM","NM",IF(BV1288="NM","NM",IF(BQ1288&lt;=0,"NM",IF(BV1288=0,"NM",IF(ABS(BV1288/BQ1288-1)&gt;2.5,"NM",IF((ABS(BV1288-BQ1288)=ABS(ABS(BV1288)-ABS(BQ1288))),(BV1288/BQ1288-1),"NM"))))))</f>
      </c>
      <c r="BW1293" s="926">
        <f>IF(ISNUMBER(BW1294),(1+BW1294)*(1+BW$21)-1,"NM")</f>
      </c>
      <c r="BX1293" s="926">
        <f>IF(ISNUMBER(BX1294),(1+BX1294)*(1+BX$21)-1,"NM")</f>
      </c>
      <c r="BY1293" s="926">
        <f>IF(ISNUMBER(BY1294),(1+BY1294)*(1+BY$21)-1,"NM")</f>
      </c>
      <c r="BZ1293" s="928">
        <f>IF(ISNUMBER(BZ1294),(1+BZ1294)*(1+BZ$21)-1,"NM")</f>
      </c>
      <c r="CA1293" s="1060">
        <f>IF(BV1288="NM","NM",IF(CA1288="NM","NM",IF(BV1288&lt;=0,"NM",IF(CA1288=0,"NM",IF(ABS(CA1288/BV1288-1)&gt;2.5,"NM",IF((ABS(CA1288-BV1288)=ABS(ABS(CA1288)-ABS(BV1288))),(CA1288/BV1288-1),"NM"))))))</f>
      </c>
      <c r="CB1293" s="926">
        <f>IF(ISNUMBER(CB1294),(1+CB1294)*(1+CB$21)-1,"NM")</f>
      </c>
      <c r="CC1293" s="926">
        <f>IF(ISNUMBER(CC1294),(1+CC1294)*(1+CC$21)-1,"NM")</f>
      </c>
      <c r="CD1293" s="926">
        <f>IF(ISNUMBER(CD1294),(1+CD1294)*(1+CD$21)-1,"NM")</f>
      </c>
      <c r="CE1293" s="926">
        <f>CE1294+CE$21</f>
      </c>
      <c r="CF1293" s="1060">
        <f>IF(CA1288="NM","NM",IF(CF1288="NM","NM",IF(CA1288&lt;=0,"NM",IF(CF1288=0,"NM",IF(ABS(CF1288/CA1288-1)&gt;2.5,"NM",IF((ABS(CF1288-CA1288)=ABS(ABS(CF1288)-ABS(CA1288))),(CF1288/CA1288-1),"NM"))))))</f>
      </c>
      <c r="CG1293" s="926"/>
      <c r="CH1293" s="926"/>
      <c r="CI1293" s="926"/>
      <c r="CJ1293" s="926"/>
      <c r="CK1293" s="1060"/>
      <c r="CL1293" s="958">
        <f t="shared" ref="CL1293:CQ1293" si="2631">IF(CG1288=0, "NA", CL1288/CG1288-1)</f>
      </c>
      <c r="CM1293" s="926">
        <f t="shared" si="2631"/>
      </c>
      <c r="CN1293" s="926">
        <f t="shared" si="2631"/>
      </c>
      <c r="CO1293" s="926">
        <f t="shared" si="2631"/>
      </c>
      <c r="CP1293" s="1060">
        <f t="shared" si="2631"/>
      </c>
      <c r="CQ1293" s="926">
        <f t="shared" si="2631"/>
      </c>
      <c r="CR1293" s="926">
        <f>CR1294+CR$21</f>
      </c>
      <c r="CS1293" s="1219"/>
      <c r="CT1293" s="1219"/>
      <c r="CU1293" s="1536"/>
      <c r="CV1293" s="1219"/>
      <c r="CW1293" s="1219"/>
      <c r="CX1293" s="1219"/>
      <c r="CY1293" s="1219"/>
      <c r="CZ1293" s="1536"/>
      <c r="DA1293" s="2376"/>
      <c r="DB1293" s="1219"/>
      <c r="DC1293" s="1219"/>
      <c r="DD1293" s="1235"/>
      <c r="DE1293" s="1536"/>
      <c r="DF1293" s="2376"/>
      <c r="DG1293" s="1219"/>
      <c r="DH1293" s="1219"/>
      <c r="DI1293" s="1235"/>
      <c r="DJ1293" s="1536"/>
      <c r="DK1293" s="1536"/>
      <c r="DL1293" s="1536"/>
      <c r="DM1293" s="1536"/>
      <c r="DN1293" s="1536"/>
      <c r="DO1293" s="1536"/>
      <c r="DP1293" s="2376"/>
      <c r="DQ1293" s="1219"/>
      <c r="DR1293" s="1219"/>
      <c r="DS1293" s="1219"/>
      <c r="DT1293" s="1536"/>
      <c r="DU1293" s="2376"/>
      <c r="DV1293" s="1219"/>
      <c r="DW1293" s="1219"/>
      <c r="DX1293" s="1235"/>
      <c r="DY1293" s="1536"/>
      <c r="DZ1293" s="1219"/>
      <c r="EA1293" s="1219"/>
      <c r="EB1293" s="1235"/>
      <c r="EC1293" s="1235"/>
      <c r="ED1293" s="1536"/>
      <c r="EE1293" s="1219"/>
      <c r="EF1293" s="1219"/>
      <c r="EG1293" s="1219"/>
      <c r="EH1293" s="2376"/>
      <c r="EI1293" s="1536"/>
      <c r="EJ1293" s="1536"/>
      <c r="EK1293" s="1536"/>
      <c r="EL1293" s="1536"/>
      <c r="EM1293" s="1536"/>
      <c r="EN1293" s="1536"/>
      <c r="EO1293" s="1536"/>
      <c r="EP1293" s="1536"/>
      <c r="EQ1293" s="1536"/>
      <c r="ER1293" s="1536"/>
      <c r="ES1293" s="1536"/>
      <c r="ET1293" s="1536"/>
      <c r="EU1293" s="1536"/>
      <c r="EV1293" s="1536"/>
      <c r="EW1293" s="1536"/>
      <c r="EX1293" s="1536"/>
    </row>
    <row r="1294" spans="2:154" ht="12.75" hidden="1" customHeight="1" outlineLevel="2">
      <c r="B1294" s="443" t="s">
        <v>157</v>
      </c>
      <c r="C1294" s="1577"/>
      <c r="D1294" s="933"/>
      <c r="E1294" s="933"/>
      <c r="F1294" s="933"/>
      <c r="G1294" s="933"/>
      <c r="H1294" s="933"/>
      <c r="I1294" s="933"/>
      <c r="J1294" s="933"/>
      <c r="K1294" s="933"/>
      <c r="L1294" s="933"/>
      <c r="M1294" s="933"/>
      <c r="N1294" s="933"/>
      <c r="O1294" s="933"/>
      <c r="P1294" s="933"/>
      <c r="Q1294" s="933"/>
      <c r="R1294" s="933"/>
      <c r="S1294" s="933"/>
      <c r="T1294" s="933"/>
      <c r="U1294" s="933"/>
      <c r="V1294" s="933"/>
      <c r="W1294" s="933"/>
      <c r="X1294" s="2248"/>
      <c r="Y1294" s="933"/>
      <c r="Z1294" s="933"/>
      <c r="AA1294" s="933"/>
      <c r="AB1294" s="933"/>
      <c r="AC1294" s="2248"/>
      <c r="AD1294" s="959"/>
      <c r="AE1294" s="959"/>
      <c r="AF1294" s="959"/>
      <c r="AG1294" s="959"/>
      <c r="AH1294" s="2248"/>
      <c r="AI1294" s="959" t="str">
        <f t="shared" ref="AI1294:BV1294" si="2632">IF(ISNUMBER(AI1293),(1+AI1293)/(1+AI$21)-1,"NM")</f>
      </c>
      <c r="AJ1294" s="959" t="str">
        <f t="shared" si="2632"/>
      </c>
      <c r="AK1294" s="959" t="str">
        <f t="shared" si="2632"/>
      </c>
      <c r="AL1294" s="959" t="str">
        <f t="shared" si="2632"/>
      </c>
      <c r="AM1294" s="2248" t="str">
        <f t="shared" si="2632"/>
      </c>
      <c r="AN1294" s="959" t="str">
        <f t="shared" si="2632"/>
      </c>
      <c r="AO1294" s="959" t="str">
        <f t="shared" si="2632"/>
      </c>
      <c r="AP1294" s="959" t="str">
        <f t="shared" si="2632"/>
      </c>
      <c r="AQ1294" s="959" t="str">
        <f t="shared" si="2632"/>
      </c>
      <c r="AR1294" s="2248" t="str">
        <f t="shared" si="2632"/>
      </c>
      <c r="AS1294" s="959">
        <f t="shared" si="2632"/>
      </c>
      <c r="AT1294" s="959">
        <f t="shared" si="2632"/>
      </c>
      <c r="AU1294" s="959">
        <f t="shared" si="2632"/>
      </c>
      <c r="AV1294" s="959">
        <f t="shared" si="2632"/>
      </c>
      <c r="AW1294" s="2248">
        <f t="shared" si="2632"/>
      </c>
      <c r="AX1294" s="959">
        <f t="shared" si="2632"/>
      </c>
      <c r="AY1294" s="959">
        <f t="shared" si="2632"/>
      </c>
      <c r="AZ1294" s="959">
        <f t="shared" si="2632"/>
      </c>
      <c r="BA1294" s="959">
        <f t="shared" si="2632"/>
      </c>
      <c r="BB1294" s="2248">
        <f t="shared" si="2632"/>
      </c>
      <c r="BC1294" s="959">
        <f t="shared" si="2632"/>
      </c>
      <c r="BD1294" s="959">
        <f t="shared" si="2632"/>
      </c>
      <c r="BE1294" s="959">
        <f t="shared" si="2632"/>
      </c>
      <c r="BF1294" s="959">
        <f t="shared" si="2632"/>
      </c>
      <c r="BG1294" s="1066">
        <f t="shared" si="2632"/>
      </c>
      <c r="BH1294" s="959">
        <f t="shared" si="2632"/>
      </c>
      <c r="BI1294" s="959">
        <f t="shared" si="2632"/>
      </c>
      <c r="BJ1294" s="959">
        <f t="shared" si="2632"/>
      </c>
      <c r="BK1294" s="959">
        <f t="shared" si="2632"/>
      </c>
      <c r="BL1294" s="2248">
        <f t="shared" si="2632"/>
      </c>
      <c r="BM1294" s="959">
        <f t="shared" si="2632"/>
      </c>
      <c r="BN1294" s="959">
        <f t="shared" si="2632"/>
      </c>
      <c r="BO1294" s="959">
        <f t="shared" si="2632"/>
      </c>
      <c r="BP1294" s="926">
        <f t="shared" si="2632"/>
      </c>
      <c r="BQ1294" s="2248">
        <f t="shared" si="2632"/>
      </c>
      <c r="BR1294" s="959">
        <f t="shared" si="2632"/>
      </c>
      <c r="BS1294" s="959">
        <f t="shared" si="2632"/>
      </c>
      <c r="BT1294" s="959">
        <f t="shared" si="2632"/>
      </c>
      <c r="BU1294" s="926">
        <f t="shared" si="2632"/>
      </c>
      <c r="BV1294" s="2248">
        <f t="shared" si="2632"/>
      </c>
      <c r="BW1294" s="407">
        <v>-6.7977801524558457E-2</v>
      </c>
      <c r="BX1294" s="407">
        <v>5.7375599131508581E-2</v>
      </c>
      <c r="BY1294" s="407">
        <v>4.1043862471023873E-2</v>
      </c>
      <c r="BZ1294" s="649">
        <v>-2.8326968013300258E-3</v>
      </c>
      <c r="CA1294" s="1060">
        <f>IF(ISNUMBER(CA1293),(1+CA1293)/(1+CA$21)-1,"NM")</f>
      </c>
      <c r="CB1294" s="926">
        <f>CB1288/BW1288-1</f>
      </c>
      <c r="CC1294" s="926">
        <f>CC1288/BX1288-1</f>
      </c>
      <c r="CD1294" s="926">
        <f>CD1288/BY1288-1</f>
      </c>
      <c r="CE1294" s="926">
        <f>CE1288/BZ1288-1</f>
      </c>
      <c r="CF1294" s="1060">
        <f>IF(ISNUMBER(CF1293),(1+CF1293)/(1+CF$21)-1,"NM")</f>
      </c>
      <c r="CG1294" s="659"/>
      <c r="CH1294" s="659"/>
      <c r="CI1294" s="659"/>
      <c r="CJ1294" s="659"/>
      <c r="CK1294" s="2248"/>
      <c r="CL1294" s="2251">
        <f t="shared" ref="CL1294:CQ1294" si="2633">CL1293-CL$21</f>
      </c>
      <c r="CM1294" s="959">
        <f t="shared" si="2633"/>
      </c>
      <c r="CN1294" s="959">
        <f t="shared" si="2633"/>
      </c>
      <c r="CO1294" s="959">
        <f t="shared" si="2633"/>
      </c>
      <c r="CP1294" s="2248">
        <f t="shared" si="2633"/>
      </c>
      <c r="CQ1294" s="959">
        <f t="shared" si="2633"/>
      </c>
      <c r="CR1294" s="659">
        <v>0.08</v>
      </c>
      <c r="CS1294" s="1208"/>
      <c r="CT1294" s="1208"/>
      <c r="CU1294" s="2377"/>
      <c r="CV1294" s="1208"/>
      <c r="CW1294" s="1208"/>
      <c r="CX1294" s="1208"/>
      <c r="CY1294" s="1208"/>
      <c r="CZ1294" s="1234"/>
      <c r="DA1294" s="1271"/>
      <c r="DB1294" s="1208"/>
      <c r="DC1294" s="1208"/>
      <c r="DD1294" s="1232"/>
      <c r="DE1294" s="1234"/>
      <c r="DF1294" s="1271"/>
      <c r="DG1294" s="1208"/>
      <c r="DH1294" s="1208"/>
      <c r="DI1294" s="1232"/>
      <c r="DJ1294" s="1232"/>
      <c r="DK1294" s="1232"/>
      <c r="DL1294" s="1232"/>
      <c r="DM1294" s="1232"/>
      <c r="DN1294" s="1232"/>
      <c r="DO1294" s="1232"/>
      <c r="DP1294" s="1208"/>
      <c r="DQ1294" s="1208"/>
      <c r="DR1294" s="1208"/>
      <c r="DS1294" s="1208"/>
      <c r="DT1294" s="1234"/>
      <c r="DU1294" s="1208"/>
      <c r="DV1294" s="1208"/>
      <c r="DW1294" s="1208"/>
      <c r="DX1294" s="1232"/>
      <c r="DY1294" s="1234"/>
      <c r="DZ1294" s="1208"/>
      <c r="EA1294" s="1208"/>
      <c r="EB1294" s="1232"/>
      <c r="EC1294" s="1232"/>
      <c r="ED1294" s="1234"/>
      <c r="EE1294" s="1208"/>
      <c r="EF1294" s="1208"/>
      <c r="EG1294" s="1208"/>
      <c r="EH1294" s="1208"/>
      <c r="EI1294" s="1234"/>
      <c r="EJ1294" s="1234"/>
      <c r="EK1294" s="1234"/>
      <c r="EL1294" s="1234"/>
      <c r="EM1294" s="1234"/>
      <c r="EN1294" s="1234"/>
      <c r="EO1294" s="1234"/>
      <c r="EP1294" s="1234"/>
      <c r="EQ1294" s="1234"/>
      <c r="ER1294" s="1234"/>
      <c r="ES1294" s="1234"/>
      <c r="ET1294" s="1234"/>
      <c r="EU1294" s="1234"/>
      <c r="EV1294" s="1234"/>
      <c r="EW1294" s="1234"/>
      <c r="EX1294" s="1234"/>
    </row>
    <row r="1295" spans="2:154" ht="12.75" hidden="1" customHeight="1" outlineLevel="2">
      <c r="B1295" s="443" t="s">
        <v>19</v>
      </c>
      <c r="C1295" s="1577"/>
      <c r="D1295" s="933"/>
      <c r="E1295" s="933"/>
      <c r="F1295" s="933"/>
      <c r="G1295" s="933"/>
      <c r="H1295" s="933"/>
      <c r="I1295" s="933"/>
      <c r="J1295" s="933"/>
      <c r="K1295" s="933"/>
      <c r="L1295" s="933"/>
      <c r="M1295" s="933"/>
      <c r="N1295" s="933"/>
      <c r="O1295" s="933"/>
      <c r="P1295" s="933"/>
      <c r="Q1295" s="933"/>
      <c r="R1295" s="933"/>
      <c r="S1295" s="933"/>
      <c r="T1295" s="933"/>
      <c r="U1295" s="933"/>
      <c r="V1295" s="933"/>
      <c r="W1295" s="933"/>
      <c r="X1295" s="1060"/>
      <c r="Y1295" s="933"/>
      <c r="Z1295" s="933"/>
      <c r="AA1295" s="933"/>
      <c r="AB1295" s="933"/>
      <c r="AC1295" s="1060"/>
      <c r="AD1295" s="926"/>
      <c r="AE1295" s="926"/>
      <c r="AF1295" s="926"/>
      <c r="AG1295" s="926"/>
      <c r="AH1295" s="1060"/>
      <c r="AI1295" s="926">
        <f t="shared" ref="AI1295:CD1295" si="2634">IF(AD1289="NM","NM",IF(AI1289="NM","NM",IF(AD1289&lt;=0,"NM",IF(AI1289=0,"NM",IF(ABS(AI1289/AD1289-1)&gt;2.5,"NM",IF((ABS(AI1289-AD1289)=ABS(ABS(AI1289)-ABS(AD1289))),(AI1289/AD1289-1),"NM"))))))</f>
      </c>
      <c r="AJ1295" s="926">
        <f t="shared" si="2634"/>
      </c>
      <c r="AK1295" s="926">
        <f t="shared" si="2634"/>
      </c>
      <c r="AL1295" s="926">
        <f t="shared" si="2634"/>
      </c>
      <c r="AM1295" s="1060">
        <f t="shared" si="2634"/>
      </c>
      <c r="AN1295" s="926">
        <f t="shared" si="2634"/>
      </c>
      <c r="AO1295" s="926">
        <f t="shared" si="2634"/>
      </c>
      <c r="AP1295" s="926">
        <f t="shared" si="2634"/>
      </c>
      <c r="AQ1295" s="926">
        <f t="shared" si="2634"/>
      </c>
      <c r="AR1295" s="1060">
        <f t="shared" si="2634"/>
      </c>
      <c r="AS1295" s="926">
        <f t="shared" si="2634"/>
      </c>
      <c r="AT1295" s="926">
        <f t="shared" si="2634"/>
      </c>
      <c r="AU1295" s="926">
        <f t="shared" si="2634"/>
      </c>
      <c r="AV1295" s="926">
        <f t="shared" si="2634"/>
      </c>
      <c r="AW1295" s="1060">
        <f t="shared" si="2634"/>
      </c>
      <c r="AX1295" s="926">
        <f t="shared" si="2634"/>
      </c>
      <c r="AY1295" s="926">
        <f t="shared" si="2634"/>
      </c>
      <c r="AZ1295" s="926">
        <f t="shared" si="2634"/>
      </c>
      <c r="BA1295" s="926">
        <f t="shared" si="2634"/>
      </c>
      <c r="BB1295" s="1060">
        <f t="shared" si="2634"/>
      </c>
      <c r="BC1295" s="926">
        <f t="shared" si="2634"/>
      </c>
      <c r="BD1295" s="926">
        <f t="shared" si="2634"/>
      </c>
      <c r="BE1295" s="926">
        <f t="shared" si="2634"/>
      </c>
      <c r="BF1295" s="926">
        <f t="shared" si="2634"/>
      </c>
      <c r="BG1295" s="1060">
        <f t="shared" si="2634"/>
      </c>
      <c r="BH1295" s="926">
        <f t="shared" si="2634"/>
      </c>
      <c r="BI1295" s="926">
        <f t="shared" si="2634"/>
      </c>
      <c r="BJ1295" s="926">
        <f t="shared" si="2634"/>
      </c>
      <c r="BK1295" s="926">
        <f t="shared" si="2634"/>
      </c>
      <c r="BL1295" s="1060">
        <f t="shared" si="2634"/>
      </c>
      <c r="BM1295" s="926">
        <f t="shared" si="2634"/>
      </c>
      <c r="BN1295" s="926">
        <f t="shared" si="2634"/>
      </c>
      <c r="BO1295" s="926">
        <f t="shared" si="2634"/>
      </c>
      <c r="BP1295" s="926">
        <f t="shared" si="2634"/>
      </c>
      <c r="BQ1295" s="1060">
        <f t="shared" si="2634"/>
      </c>
      <c r="BR1295" s="926">
        <f t="shared" si="2634"/>
      </c>
      <c r="BS1295" s="926">
        <f t="shared" si="2634"/>
      </c>
      <c r="BT1295" s="926">
        <f t="shared" si="2634"/>
      </c>
      <c r="BU1295" s="926">
        <f t="shared" si="2634"/>
      </c>
      <c r="BV1295" s="1060">
        <f t="shared" si="2634"/>
      </c>
      <c r="BW1295" s="926">
        <f t="shared" si="2634"/>
      </c>
      <c r="BX1295" s="926">
        <f t="shared" si="2634"/>
      </c>
      <c r="BY1295" s="926">
        <f t="shared" si="2634"/>
      </c>
      <c r="BZ1295" s="928">
        <f t="shared" si="2634"/>
      </c>
      <c r="CA1295" s="1060">
        <f t="shared" si="2634"/>
      </c>
      <c r="CB1295" s="926">
        <f t="shared" si="2634"/>
      </c>
      <c r="CC1295" s="926">
        <f t="shared" si="2634"/>
      </c>
      <c r="CD1295" s="926">
        <f t="shared" si="2634"/>
      </c>
      <c r="CE1295" s="926">
        <f>IF(CE1289&lt;=0,0,(CE1289/BZ1289-1))</f>
      </c>
      <c r="CF1295" s="1060">
        <f>IF(CA1289="NM","NM",IF(CF1289="NM","NM",IF(CA1289&lt;=0,"NM",IF(CF1289=0,"NM",IF(ABS(CF1289/CA1289-1)&gt;2.5,"NM",IF((ABS(CF1289-CA1289)=ABS(ABS(CF1289)-ABS(CA1289))),(CF1289/CA1289-1),"NM"))))))</f>
      </c>
      <c r="CG1295" s="926"/>
      <c r="CH1295" s="926"/>
      <c r="CI1295" s="926"/>
      <c r="CJ1295" s="926"/>
      <c r="CK1295" s="1060"/>
      <c r="CL1295" s="958">
        <f t="shared" ref="CL1295:CR1295" si="2635">IF(CG1289=0, "NA", CL1289/CG1289-1)</f>
      </c>
      <c r="CM1295" s="926">
        <f t="shared" si="2635"/>
      </c>
      <c r="CN1295" s="926">
        <f t="shared" si="2635"/>
      </c>
      <c r="CO1295" s="926">
        <f t="shared" si="2635"/>
      </c>
      <c r="CP1295" s="1060">
        <f t="shared" si="2635"/>
      </c>
      <c r="CQ1295" s="926">
        <f t="shared" si="2635"/>
      </c>
      <c r="CR1295" s="926">
        <f t="shared" si="2635"/>
      </c>
      <c r="CS1295" s="1219"/>
      <c r="CT1295" s="1219"/>
      <c r="CU1295" s="1536"/>
      <c r="CV1295" s="1219"/>
      <c r="CW1295" s="1219"/>
      <c r="CX1295" s="1219"/>
      <c r="CY1295" s="1219"/>
      <c r="CZ1295" s="1536"/>
      <c r="DA1295" s="2376"/>
      <c r="DB1295" s="1219"/>
      <c r="DC1295" s="1219"/>
      <c r="DD1295" s="1235"/>
      <c r="DE1295" s="1536"/>
      <c r="DF1295" s="2376"/>
      <c r="DG1295" s="1219"/>
      <c r="DH1295" s="1219"/>
      <c r="DI1295" s="1235"/>
      <c r="DJ1295" s="1536"/>
      <c r="DK1295" s="1536"/>
      <c r="DL1295" s="1536"/>
      <c r="DM1295" s="1536"/>
      <c r="DN1295" s="1536"/>
      <c r="DO1295" s="1536"/>
      <c r="DP1295" s="2376"/>
      <c r="DQ1295" s="1219"/>
      <c r="DR1295" s="1219"/>
      <c r="DS1295" s="1219"/>
      <c r="DT1295" s="1536"/>
      <c r="DU1295" s="2376"/>
      <c r="DV1295" s="1219"/>
      <c r="DW1295" s="1219"/>
      <c r="DX1295" s="1235"/>
      <c r="DY1295" s="1536"/>
      <c r="DZ1295" s="1219"/>
      <c r="EA1295" s="1219"/>
      <c r="EB1295" s="1235"/>
      <c r="EC1295" s="1235"/>
      <c r="ED1295" s="1536"/>
      <c r="EE1295" s="1219"/>
      <c r="EF1295" s="1219"/>
      <c r="EG1295" s="1219"/>
      <c r="EH1295" s="2376"/>
      <c r="EI1295" s="1536"/>
      <c r="EJ1295" s="1536"/>
      <c r="EK1295" s="1536"/>
      <c r="EL1295" s="1536"/>
      <c r="EM1295" s="1536"/>
      <c r="EN1295" s="1536"/>
      <c r="EO1295" s="1536"/>
      <c r="EP1295" s="1536"/>
      <c r="EQ1295" s="1536"/>
      <c r="ER1295" s="1536"/>
      <c r="ES1295" s="1536"/>
      <c r="ET1295" s="1536"/>
      <c r="EU1295" s="1536"/>
      <c r="EV1295" s="1536"/>
      <c r="EW1295" s="1536"/>
      <c r="EX1295" s="1536"/>
    </row>
    <row r="1296" spans="2:154" ht="12.75" hidden="1" customHeight="1" outlineLevel="2">
      <c r="B1296" s="344"/>
      <c r="C1296" s="1577"/>
      <c r="D1296" s="933"/>
      <c r="E1296" s="933"/>
      <c r="F1296" s="933"/>
      <c r="G1296" s="933"/>
      <c r="H1296" s="933"/>
      <c r="I1296" s="933"/>
      <c r="J1296" s="933"/>
      <c r="K1296" s="933"/>
      <c r="L1296" s="933"/>
      <c r="M1296" s="933"/>
      <c r="N1296" s="933"/>
      <c r="O1296" s="933"/>
      <c r="P1296" s="933"/>
      <c r="Q1296" s="933"/>
      <c r="R1296" s="933"/>
      <c r="S1296" s="933"/>
      <c r="T1296" s="933"/>
      <c r="U1296" s="933"/>
      <c r="V1296" s="933"/>
      <c r="W1296" s="933"/>
      <c r="X1296" s="1061"/>
      <c r="Y1296" s="933"/>
      <c r="Z1296" s="933"/>
      <c r="AA1296" s="933"/>
      <c r="AB1296" s="933"/>
      <c r="AC1296" s="1061"/>
      <c r="AD1296" s="933"/>
      <c r="AE1296" s="933"/>
      <c r="AF1296" s="933"/>
      <c r="AG1296" s="933"/>
      <c r="AH1296" s="1061"/>
      <c r="AI1296" s="933"/>
      <c r="AJ1296" s="933"/>
      <c r="AK1296" s="933"/>
      <c r="AL1296" s="933"/>
      <c r="AM1296" s="1061"/>
      <c r="AN1296" s="933"/>
      <c r="AO1296" s="933"/>
      <c r="AP1296" s="933"/>
      <c r="AQ1296" s="933"/>
      <c r="AR1296" s="1061"/>
      <c r="AS1296" s="933"/>
      <c r="AT1296" s="933"/>
      <c r="AU1296" s="933"/>
      <c r="AV1296" s="933"/>
      <c r="AW1296" s="1061"/>
      <c r="AX1296" s="933"/>
      <c r="AY1296" s="933"/>
      <c r="AZ1296" s="933"/>
      <c r="BA1296" s="933"/>
      <c r="BB1296" s="1061"/>
      <c r="BC1296" s="933"/>
      <c r="BD1296" s="933"/>
      <c r="BE1296" s="933"/>
      <c r="BF1296" s="933"/>
      <c r="BG1296" s="1061"/>
      <c r="BH1296" s="933"/>
      <c r="BI1296" s="361"/>
      <c r="BJ1296" s="361"/>
      <c r="BK1296" s="361"/>
      <c r="BL1296" s="2248"/>
      <c r="BM1296" s="361"/>
      <c r="BN1296" s="361"/>
      <c r="BO1296" s="361"/>
      <c r="BP1296" s="361"/>
      <c r="BQ1296" s="316"/>
      <c r="BR1296" s="361"/>
      <c r="BS1296" s="361"/>
      <c r="BT1296" s="361"/>
      <c r="BU1296" s="361"/>
      <c r="BV1296" s="316"/>
      <c r="BW1296" s="361"/>
      <c r="BX1296" s="361"/>
      <c r="BY1296" s="361"/>
      <c r="BZ1296" s="361"/>
      <c r="CA1296" s="316"/>
      <c r="CB1296" s="361"/>
      <c r="CC1296" s="361"/>
      <c r="CD1296" s="361"/>
      <c r="CE1296" s="361"/>
      <c r="CF1296" s="316"/>
      <c r="CG1296" s="361"/>
      <c r="CH1296" s="361"/>
      <c r="CI1296" s="361"/>
      <c r="CJ1296" s="361"/>
      <c r="CK1296" s="316"/>
      <c r="CL1296" s="828"/>
      <c r="CM1296" s="361"/>
      <c r="CN1296" s="361"/>
      <c r="CO1296" s="361"/>
      <c r="CP1296" s="316"/>
      <c r="CQ1296" s="361"/>
      <c r="CR1296" s="361"/>
      <c r="CS1296" s="1109"/>
      <c r="CT1296" s="1109"/>
      <c r="CU1296" s="1238"/>
      <c r="CV1296" s="1109"/>
      <c r="CW1296" s="1109"/>
      <c r="CX1296" s="1109"/>
      <c r="CY1296" s="1109"/>
      <c r="CZ1296" s="1238"/>
      <c r="DA1296" s="2378"/>
      <c r="DB1296" s="1109"/>
      <c r="DC1296" s="1109"/>
      <c r="DD1296" s="1237"/>
      <c r="DE1296" s="1238"/>
      <c r="DF1296" s="2378"/>
      <c r="DG1296" s="1109"/>
      <c r="DH1296" s="1109"/>
      <c r="DI1296" s="1237"/>
      <c r="DJ1296" s="1238"/>
      <c r="DK1296" s="1238"/>
      <c r="DL1296" s="1238"/>
      <c r="DM1296" s="1238"/>
      <c r="DN1296" s="1238"/>
      <c r="DO1296" s="1238"/>
      <c r="DP1296" s="2378"/>
      <c r="DQ1296" s="1109"/>
      <c r="DR1296" s="1109"/>
      <c r="DS1296" s="1109"/>
      <c r="DT1296" s="1238"/>
      <c r="DU1296" s="2378"/>
      <c r="DV1296" s="1109"/>
      <c r="DW1296" s="1109"/>
      <c r="DX1296" s="1237"/>
      <c r="DY1296" s="1238"/>
      <c r="DZ1296" s="1109"/>
      <c r="EA1296" s="1109"/>
      <c r="EB1296" s="1237"/>
      <c r="EC1296" s="1237"/>
      <c r="ED1296" s="1238"/>
      <c r="EE1296" s="1109"/>
      <c r="EF1296" s="1109"/>
      <c r="EG1296" s="1109"/>
      <c r="EH1296" s="2378"/>
      <c r="EI1296" s="1238"/>
      <c r="EJ1296" s="1238"/>
      <c r="EK1296" s="1238"/>
      <c r="EL1296" s="1238"/>
      <c r="EM1296" s="1238"/>
      <c r="EN1296" s="1238"/>
      <c r="EO1296" s="1238"/>
      <c r="EP1296" s="1238"/>
      <c r="EQ1296" s="1238"/>
      <c r="ER1296" s="1238"/>
      <c r="ES1296" s="1238"/>
      <c r="ET1296" s="1238"/>
      <c r="EU1296" s="1238"/>
      <c r="EV1296" s="1238"/>
      <c r="EW1296" s="1238"/>
      <c r="EX1296" s="1238"/>
    </row>
    <row r="1297" spans="2:154" hidden="1" outlineLevel="3" collapsed="1">
      <c r="B1297" s="436" t="s">
        <v>468</v>
      </c>
      <c r="C1297" s="1577"/>
      <c r="D1297" s="933"/>
      <c r="E1297" s="933"/>
      <c r="F1297" s="933"/>
      <c r="G1297" s="933"/>
      <c r="H1297" s="933"/>
      <c r="I1297" s="31"/>
      <c r="J1297" s="933"/>
      <c r="K1297" s="933"/>
      <c r="L1297" s="933"/>
      <c r="M1297" s="933"/>
      <c r="N1297" s="31"/>
      <c r="O1297" s="31"/>
      <c r="P1297" s="31"/>
      <c r="Q1297" s="31"/>
      <c r="R1297" s="31"/>
      <c r="S1297" s="31"/>
      <c r="T1297" s="31"/>
      <c r="U1297" s="31"/>
      <c r="V1297" s="31"/>
      <c r="W1297" s="31"/>
      <c r="X1297" s="313"/>
      <c r="Y1297" s="31"/>
      <c r="Z1297" s="31"/>
      <c r="AA1297" s="31"/>
      <c r="AB1297" s="31"/>
      <c r="AC1297" s="313"/>
      <c r="AD1297" s="31"/>
      <c r="AE1297" s="31"/>
      <c r="AF1297" s="31"/>
      <c r="AG1297" s="31"/>
      <c r="AH1297" s="313"/>
      <c r="AI1297" s="933"/>
      <c r="AJ1297" s="933"/>
      <c r="AK1297" s="933"/>
      <c r="AL1297" s="31"/>
      <c r="AM1297" s="313"/>
      <c r="AN1297" s="933"/>
      <c r="AO1297" s="933"/>
      <c r="AP1297" s="933"/>
      <c r="AQ1297" s="31"/>
      <c r="AR1297" s="313"/>
      <c r="AS1297" s="933"/>
      <c r="AT1297" s="933"/>
      <c r="AU1297" s="933"/>
      <c r="AV1297" s="31"/>
      <c r="AW1297" s="313"/>
      <c r="AX1297" s="933"/>
      <c r="AY1297" s="933"/>
      <c r="AZ1297" s="933"/>
      <c r="BA1297" s="933"/>
      <c r="BB1297" s="313"/>
      <c r="BC1297" s="933"/>
      <c r="BD1297" s="933"/>
      <c r="BE1297" s="933"/>
      <c r="BF1297" s="933"/>
      <c r="BG1297" s="313"/>
      <c r="BH1297" s="933"/>
      <c r="BI1297" s="933"/>
      <c r="BJ1297" s="933"/>
      <c r="BK1297" s="933"/>
      <c r="BL1297" s="313"/>
      <c r="BM1297" s="933"/>
      <c r="BN1297" s="933"/>
      <c r="BO1297" s="933"/>
      <c r="BP1297" s="933"/>
      <c r="BQ1297" s="313"/>
      <c r="BR1297" s="933"/>
      <c r="BS1297" s="933"/>
      <c r="BT1297" s="933"/>
      <c r="BU1297" s="933"/>
      <c r="BV1297" s="313"/>
      <c r="BW1297" s="933"/>
      <c r="BX1297" s="933"/>
      <c r="BY1297" s="933"/>
      <c r="BZ1297" s="933"/>
      <c r="CA1297" s="313"/>
      <c r="CB1297" s="933"/>
      <c r="CC1297" s="933"/>
      <c r="CD1297" s="933"/>
      <c r="CE1297" s="933"/>
      <c r="CF1297" s="313"/>
      <c r="CG1297" s="933"/>
      <c r="CH1297" s="933"/>
      <c r="CI1297" s="933"/>
      <c r="CJ1297" s="933"/>
      <c r="CK1297" s="313"/>
      <c r="CL1297" s="961"/>
      <c r="CM1297" s="933"/>
      <c r="CN1297" s="933"/>
      <c r="CO1297" s="933"/>
      <c r="CP1297" s="313"/>
      <c r="CQ1297" s="933"/>
      <c r="CR1297" s="933"/>
      <c r="CS1297" s="1227"/>
      <c r="CT1297" s="1227"/>
      <c r="CU1297" s="1228"/>
      <c r="CV1297" s="1227"/>
      <c r="CW1297" s="1227"/>
      <c r="CX1297" s="1227"/>
      <c r="CY1297" s="1227"/>
      <c r="CZ1297" s="1228"/>
      <c r="DA1297" s="1322"/>
      <c r="DB1297" s="1357"/>
      <c r="DC1297" s="1357"/>
      <c r="DD1297" s="1345"/>
      <c r="DE1297" s="1811"/>
      <c r="DF1297" s="1836"/>
      <c r="DG1297" s="1822"/>
      <c r="DH1297" s="1822"/>
      <c r="DI1297" s="1837"/>
      <c r="DJ1297" s="1811"/>
      <c r="DK1297" s="1811"/>
      <c r="DL1297" s="1811"/>
      <c r="DM1297" s="1811"/>
      <c r="DN1297" s="1811"/>
      <c r="DO1297" s="1811"/>
      <c r="DP1297" s="1836"/>
      <c r="DQ1297" s="1822"/>
      <c r="DR1297" s="1822"/>
      <c r="DS1297" s="1822"/>
      <c r="DT1297" s="1811"/>
      <c r="DU1297" s="1836"/>
      <c r="DV1297" s="1822"/>
      <c r="DW1297" s="1822"/>
      <c r="DX1297" s="1837"/>
      <c r="DY1297" s="1811"/>
      <c r="DZ1297" s="1822"/>
      <c r="EA1297" s="1822"/>
      <c r="EB1297" s="1837"/>
      <c r="EC1297" s="1837"/>
      <c r="ED1297" s="1811"/>
      <c r="EE1297" s="1822"/>
      <c r="EF1297" s="1822"/>
      <c r="EG1297" s="1822"/>
      <c r="EH1297" s="1836"/>
      <c r="EI1297" s="1811"/>
      <c r="EJ1297" s="1811"/>
      <c r="EK1297" s="1811"/>
      <c r="EL1297" s="1811"/>
      <c r="EM1297" s="1811"/>
      <c r="EN1297" s="1811"/>
      <c r="EO1297" s="1811"/>
      <c r="EP1297" s="1811"/>
      <c r="EQ1297" s="1811"/>
      <c r="ER1297" s="1811"/>
      <c r="ES1297" s="1811"/>
      <c r="ET1297" s="1811"/>
      <c r="EU1297" s="1811"/>
      <c r="EV1297" s="1811"/>
      <c r="EW1297" s="1811"/>
      <c r="EX1297" s="1811"/>
    </row>
    <row r="1298" spans="2:154" hidden="1" outlineLevel="3">
      <c r="B1298" s="2379" t="s">
        <v>557</v>
      </c>
      <c r="C1298" s="1577"/>
      <c r="D1298" s="933"/>
      <c r="E1298" s="933"/>
      <c r="F1298" s="933"/>
      <c r="G1298" s="933"/>
      <c r="H1298" s="933"/>
      <c r="I1298" s="31"/>
      <c r="J1298" s="933"/>
      <c r="K1298" s="933"/>
      <c r="L1298" s="933"/>
      <c r="M1298" s="933"/>
      <c r="N1298" s="31"/>
      <c r="O1298" s="31"/>
      <c r="P1298" s="31"/>
      <c r="Q1298" s="31"/>
      <c r="R1298" s="31"/>
      <c r="S1298" s="31"/>
      <c r="T1298" s="31"/>
      <c r="U1298" s="31"/>
      <c r="V1298" s="31"/>
      <c r="W1298" s="31"/>
      <c r="X1298" s="313"/>
      <c r="Y1298" s="31">
        <v>223.7</v>
      </c>
      <c r="Z1298" s="31">
        <v>233</v>
      </c>
      <c r="AA1298" s="31">
        <v>246.1</v>
      </c>
      <c r="AB1298" s="31">
        <v>249.9</v>
      </c>
      <c r="AC1298" s="313">
        <f>SUM(Y1298:AB1298)</f>
      </c>
      <c r="AD1298" s="31">
        <v>279.39999999999998</v>
      </c>
      <c r="AE1298" s="31">
        <v>281.10000000000002</v>
      </c>
      <c r="AF1298" s="31">
        <v>296.2</v>
      </c>
      <c r="AG1298" s="31">
        <v>292.79999999999995</v>
      </c>
      <c r="AH1298" s="313">
        <f>SUM(AD1298:AG1298)</f>
      </c>
      <c r="AI1298" s="933">
        <v>321.5</v>
      </c>
      <c r="AJ1298" s="933">
        <v>331.79999999999995</v>
      </c>
      <c r="AK1298" s="933">
        <v>334.4</v>
      </c>
      <c r="AL1298" s="31">
        <v>341.50000000000011</v>
      </c>
      <c r="AM1298" s="313">
        <f>SUM(AI1298:AL1298)</f>
      </c>
      <c r="AN1298" s="933">
        <v>368.2</v>
      </c>
      <c r="AO1298" s="933">
        <v>382.98399999999998</v>
      </c>
      <c r="AP1298" s="933">
        <v>382.64856959999992</v>
      </c>
      <c r="AQ1298" s="31">
        <v>391.25843039999995</v>
      </c>
      <c r="AR1298" s="313">
        <f>SUM(AN1298:AQ1298)</f>
      </c>
      <c r="AS1298" s="933">
        <v>417.6</v>
      </c>
      <c r="AT1298" s="933">
        <v>424.78800000000001</v>
      </c>
      <c r="AU1298" s="933">
        <v>431.72401394833906</v>
      </c>
      <c r="AV1298" s="31">
        <v>446.9049860516609</v>
      </c>
      <c r="AW1298" s="313">
        <f>SUM(AS1298:AV1298)</f>
      </c>
      <c r="AX1298" s="933">
        <v>471.9</v>
      </c>
      <c r="AY1298" s="933">
        <v>471.65350071840004</v>
      </c>
      <c r="AZ1298" s="933">
        <v>481.2</v>
      </c>
      <c r="BA1298" s="933">
        <v>497.49049928160002</v>
      </c>
      <c r="BB1298" s="313">
        <f>SUM(AX1298:BA1298)</f>
      </c>
      <c r="BC1298" s="933">
        <v>500.2</v>
      </c>
      <c r="BD1298" s="933">
        <v>511.18699999999995</v>
      </c>
      <c r="BE1298" s="933">
        <v>528.6</v>
      </c>
      <c r="BF1298" s="933">
        <v>519.11299999999983</v>
      </c>
      <c r="BG1298" s="313">
        <f>SUM(BC1298:BF1298)</f>
      </c>
      <c r="BH1298" s="933">
        <v>533.1</v>
      </c>
      <c r="BI1298" s="933">
        <v>531.42299999999989</v>
      </c>
      <c r="BJ1298" s="933">
        <v>539.5</v>
      </c>
      <c r="BK1298" s="933">
        <v>550.17699999999991</v>
      </c>
      <c r="BL1298" s="313">
        <f>SUM(BH1298:BK1298)</f>
      </c>
      <c r="BM1298" s="933">
        <v>558.29999999999995</v>
      </c>
      <c r="BN1298" s="933">
        <v>557.4</v>
      </c>
      <c r="BO1298" s="933">
        <v>567.29999999999995</v>
      </c>
      <c r="BP1298" s="933">
        <v>536.75800000000004</v>
      </c>
      <c r="BQ1298" s="313">
        <f>SUM(BM1298:BP1298)</f>
      </c>
      <c r="BR1298" s="933">
        <v>545</v>
      </c>
      <c r="BS1298" s="933"/>
      <c r="BT1298" s="933"/>
      <c r="BU1298" s="933"/>
      <c r="BV1298" s="313"/>
      <c r="BW1298" s="933"/>
      <c r="BX1298" s="933"/>
      <c r="BY1298" s="933"/>
      <c r="BZ1298" s="933"/>
      <c r="CA1298" s="313"/>
      <c r="CB1298" s="933"/>
      <c r="CC1298" s="933"/>
      <c r="CD1298" s="933"/>
      <c r="CE1298" s="933"/>
      <c r="CF1298" s="313"/>
      <c r="CG1298" s="933"/>
      <c r="CH1298" s="933"/>
      <c r="CI1298" s="933"/>
      <c r="CJ1298" s="933"/>
      <c r="CK1298" s="313"/>
      <c r="CL1298" s="961"/>
      <c r="CM1298" s="933"/>
      <c r="CN1298" s="933"/>
      <c r="CO1298" s="933"/>
      <c r="CP1298" s="313"/>
      <c r="CQ1298" s="933"/>
      <c r="CR1298" s="933"/>
      <c r="CS1298" s="1227"/>
      <c r="CT1298" s="1227"/>
      <c r="CU1298" s="1228"/>
      <c r="CV1298" s="1227"/>
      <c r="CW1298" s="1227"/>
      <c r="CX1298" s="1227"/>
      <c r="CY1298" s="1227"/>
      <c r="CZ1298" s="1228"/>
      <c r="DA1298" s="1322"/>
      <c r="DB1298" s="1357"/>
      <c r="DC1298" s="1357"/>
      <c r="DD1298" s="1345"/>
      <c r="DE1298" s="1811"/>
      <c r="DF1298" s="1836"/>
      <c r="DG1298" s="1822"/>
      <c r="DH1298" s="1822"/>
      <c r="DI1298" s="1837"/>
      <c r="DJ1298" s="1811"/>
      <c r="DK1298" s="1811"/>
      <c r="DL1298" s="1811"/>
      <c r="DM1298" s="1811"/>
      <c r="DN1298" s="1811"/>
      <c r="DO1298" s="1811"/>
      <c r="DP1298" s="1836"/>
      <c r="DQ1298" s="1822"/>
      <c r="DR1298" s="1822"/>
      <c r="DS1298" s="1822"/>
      <c r="DT1298" s="1811"/>
      <c r="DU1298" s="1836"/>
      <c r="DV1298" s="1822"/>
      <c r="DW1298" s="1822"/>
      <c r="DX1298" s="1837"/>
      <c r="DY1298" s="1811"/>
      <c r="DZ1298" s="1822"/>
      <c r="EA1298" s="1822"/>
      <c r="EB1298" s="1837"/>
      <c r="EC1298" s="1837"/>
      <c r="ED1298" s="1811"/>
      <c r="EE1298" s="1822"/>
      <c r="EF1298" s="1822"/>
      <c r="EG1298" s="1822"/>
      <c r="EH1298" s="1836"/>
      <c r="EI1298" s="1811"/>
      <c r="EJ1298" s="1811"/>
      <c r="EK1298" s="1811"/>
      <c r="EL1298" s="1811"/>
      <c r="EM1298" s="1811"/>
      <c r="EN1298" s="1811"/>
      <c r="EO1298" s="1811"/>
      <c r="EP1298" s="1811"/>
      <c r="EQ1298" s="1811"/>
      <c r="ER1298" s="1811"/>
      <c r="ES1298" s="1811"/>
      <c r="ET1298" s="1811"/>
      <c r="EU1298" s="1811"/>
      <c r="EV1298" s="1811"/>
      <c r="EW1298" s="1811"/>
      <c r="EX1298" s="1811"/>
    </row>
    <row r="1299" spans="2:154" hidden="1" outlineLevel="3">
      <c r="B1299" s="2379" t="s">
        <v>558</v>
      </c>
      <c r="C1299" s="1577"/>
      <c r="D1299" s="933"/>
      <c r="E1299" s="933"/>
      <c r="F1299" s="933"/>
      <c r="G1299" s="933"/>
      <c r="H1299" s="933"/>
      <c r="I1299" s="31"/>
      <c r="J1299" s="933"/>
      <c r="K1299" s="933"/>
      <c r="L1299" s="933"/>
      <c r="M1299" s="933"/>
      <c r="N1299" s="31"/>
      <c r="O1299" s="31"/>
      <c r="P1299" s="31"/>
      <c r="Q1299" s="31"/>
      <c r="R1299" s="31"/>
      <c r="S1299" s="31"/>
      <c r="T1299" s="31"/>
      <c r="U1299" s="31"/>
      <c r="V1299" s="31"/>
      <c r="W1299" s="31"/>
      <c r="X1299" s="313"/>
      <c r="Y1299" s="31">
        <v>65.7</v>
      </c>
      <c r="Z1299" s="31">
        <v>69.5</v>
      </c>
      <c r="AA1299" s="31">
        <v>70.3</v>
      </c>
      <c r="AB1299" s="31">
        <v>71</v>
      </c>
      <c r="AC1299" s="313">
        <f>SUM(Y1299:AB1299)</f>
      </c>
      <c r="AD1299" s="31">
        <v>141.20000000000002</v>
      </c>
      <c r="AE1299" s="31">
        <v>156.4</v>
      </c>
      <c r="AF1299" s="31">
        <v>155.6</v>
      </c>
      <c r="AG1299" s="31">
        <v>176.60000000000002</v>
      </c>
      <c r="AH1299" s="313">
        <f>SUM(AD1299:AG1299)</f>
      </c>
      <c r="AI1299" s="933">
        <v>181.4</v>
      </c>
      <c r="AJ1299" s="933">
        <v>191.8</v>
      </c>
      <c r="AK1299" s="933">
        <v>179.90000000000003</v>
      </c>
      <c r="AL1299" s="31">
        <v>195.84999999999997</v>
      </c>
      <c r="AM1299" s="313">
        <f>SUM(AI1299:AL1299)</f>
      </c>
      <c r="AN1299" s="933">
        <v>208.2</v>
      </c>
      <c r="AO1299" s="933">
        <v>208.29000000000002</v>
      </c>
      <c r="AP1299" s="933">
        <v>212.5307128</v>
      </c>
      <c r="AQ1299" s="31">
        <v>237.48328719999989</v>
      </c>
      <c r="AR1299" s="313">
        <f>SUM(AN1299:AQ1299)</f>
      </c>
      <c r="AS1299" s="933">
        <v>240.40000000000003</v>
      </c>
      <c r="AT1299" s="933">
        <v>249.7</v>
      </c>
      <c r="AU1299" s="933">
        <v>257.58276243828482</v>
      </c>
      <c r="AV1299" s="31">
        <v>291.01723756171515</v>
      </c>
      <c r="AW1299" s="313">
        <f>SUM(AS1299:AV1299)</f>
      </c>
      <c r="AX1299" s="933">
        <v>309.10000000000002</v>
      </c>
      <c r="AY1299" s="933">
        <v>320.87404665000003</v>
      </c>
      <c r="AZ1299" s="933">
        <v>326.5</v>
      </c>
      <c r="BA1299" s="933">
        <v>313.82595335000002</v>
      </c>
      <c r="BB1299" s="313">
        <f>SUM(AX1299:BA1299)</f>
      </c>
      <c r="BC1299" s="933">
        <v>304.8</v>
      </c>
      <c r="BD1299" s="933">
        <v>319.8</v>
      </c>
      <c r="BE1299" s="933">
        <v>340</v>
      </c>
      <c r="BF1299" s="933">
        <v>370.952</v>
      </c>
      <c r="BG1299" s="313">
        <f>SUM(BC1299:BF1299)</f>
      </c>
      <c r="BH1299" s="933">
        <v>378.6</v>
      </c>
      <c r="BI1299" s="933">
        <v>360.75700000000001</v>
      </c>
      <c r="BJ1299" s="933">
        <v>367.7</v>
      </c>
      <c r="BK1299" s="933">
        <v>425.69500000000005</v>
      </c>
      <c r="BL1299" s="313">
        <f>SUM(BH1299:BK1299)</f>
      </c>
      <c r="BM1299" s="933">
        <v>424.7</v>
      </c>
      <c r="BN1299" s="933">
        <v>434.6</v>
      </c>
      <c r="BO1299" s="933">
        <v>439.7</v>
      </c>
      <c r="BP1299" s="933">
        <v>454.99999999999994</v>
      </c>
      <c r="BQ1299" s="313">
        <f>SUM(BM1299:BP1299)</f>
      </c>
      <c r="BR1299" s="933">
        <f>235.6+144.5+72.4</f>
      </c>
      <c r="BS1299" s="933"/>
      <c r="BT1299" s="933"/>
      <c r="BU1299" s="933"/>
      <c r="BV1299" s="313"/>
      <c r="BW1299" s="933"/>
      <c r="BX1299" s="933"/>
      <c r="BY1299" s="933"/>
      <c r="BZ1299" s="933"/>
      <c r="CA1299" s="313"/>
      <c r="CB1299" s="933"/>
      <c r="CC1299" s="933"/>
      <c r="CD1299" s="933"/>
      <c r="CE1299" s="933"/>
      <c r="CF1299" s="313"/>
      <c r="CG1299" s="933"/>
      <c r="CH1299" s="933"/>
      <c r="CI1299" s="933"/>
      <c r="CJ1299" s="933"/>
      <c r="CK1299" s="313"/>
      <c r="CL1299" s="961"/>
      <c r="CM1299" s="933"/>
      <c r="CN1299" s="933"/>
      <c r="CO1299" s="933"/>
      <c r="CP1299" s="313"/>
      <c r="CQ1299" s="933"/>
      <c r="CR1299" s="933"/>
      <c r="CS1299" s="1227"/>
      <c r="CT1299" s="1227"/>
      <c r="CU1299" s="1228"/>
      <c r="CV1299" s="1227"/>
      <c r="CW1299" s="1227"/>
      <c r="CX1299" s="1227"/>
      <c r="CY1299" s="1227"/>
      <c r="CZ1299" s="1228"/>
      <c r="DA1299" s="1322"/>
      <c r="DB1299" s="1357"/>
      <c r="DC1299" s="1357"/>
      <c r="DD1299" s="1345"/>
      <c r="DE1299" s="1811"/>
      <c r="DF1299" s="1836"/>
      <c r="DG1299" s="1822"/>
      <c r="DH1299" s="1822"/>
      <c r="DI1299" s="1837"/>
      <c r="DJ1299" s="1811"/>
      <c r="DK1299" s="1811"/>
      <c r="DL1299" s="1811"/>
      <c r="DM1299" s="1811"/>
      <c r="DN1299" s="1811"/>
      <c r="DO1299" s="1811"/>
      <c r="DP1299" s="1836"/>
      <c r="DQ1299" s="1822"/>
      <c r="DR1299" s="1822"/>
      <c r="DS1299" s="1822"/>
      <c r="DT1299" s="1811"/>
      <c r="DU1299" s="1836"/>
      <c r="DV1299" s="1822"/>
      <c r="DW1299" s="1822"/>
      <c r="DX1299" s="1837"/>
      <c r="DY1299" s="1811"/>
      <c r="DZ1299" s="1822"/>
      <c r="EA1299" s="1822"/>
      <c r="EB1299" s="1837"/>
      <c r="EC1299" s="1837"/>
      <c r="ED1299" s="1811"/>
      <c r="EE1299" s="1822"/>
      <c r="EF1299" s="1822"/>
      <c r="EG1299" s="1822"/>
      <c r="EH1299" s="1836"/>
      <c r="EI1299" s="1811"/>
      <c r="EJ1299" s="1811"/>
      <c r="EK1299" s="1811"/>
      <c r="EL1299" s="1811"/>
      <c r="EM1299" s="1811"/>
      <c r="EN1299" s="1811"/>
      <c r="EO1299" s="1811"/>
      <c r="EP1299" s="1811"/>
      <c r="EQ1299" s="1811"/>
      <c r="ER1299" s="1811"/>
      <c r="ES1299" s="1811"/>
      <c r="ET1299" s="1811"/>
      <c r="EU1299" s="1811"/>
      <c r="EV1299" s="1811"/>
      <c r="EW1299" s="1811"/>
      <c r="EX1299" s="1811"/>
    </row>
    <row r="1300" spans="2:154" hidden="1" outlineLevel="3">
      <c r="B1300" s="442" t="s">
        <v>559</v>
      </c>
      <c r="C1300" s="1577"/>
      <c r="D1300" s="933"/>
      <c r="E1300" s="933"/>
      <c r="F1300" s="933"/>
      <c r="G1300" s="933"/>
      <c r="H1300" s="933"/>
      <c r="I1300" s="31"/>
      <c r="J1300" s="933"/>
      <c r="K1300" s="933"/>
      <c r="L1300" s="933"/>
      <c r="M1300" s="933"/>
      <c r="N1300" s="31"/>
      <c r="O1300" s="31"/>
      <c r="P1300" s="31"/>
      <c r="Q1300" s="31"/>
      <c r="R1300" s="31"/>
      <c r="S1300" s="31"/>
      <c r="T1300" s="31"/>
      <c r="U1300" s="31"/>
      <c r="V1300" s="31"/>
      <c r="W1300" s="31"/>
      <c r="X1300" s="313"/>
      <c r="Y1300" s="31">
        <f>Y1299+Y1298</f>
      </c>
      <c r="Z1300" s="31">
        <f t="shared" ref="Z1300:BP1300" si="2636">Z1299+Z1298</f>
      </c>
      <c r="AA1300" s="31">
        <f t="shared" si="2636"/>
      </c>
      <c r="AB1300" s="31">
        <f t="shared" si="2636"/>
      </c>
      <c r="AC1300" s="313">
        <f>SUM(Y1300:AB1300)</f>
      </c>
      <c r="AD1300" s="31">
        <f t="shared" si="2636"/>
      </c>
      <c r="AE1300" s="31">
        <f t="shared" si="2636"/>
      </c>
      <c r="AF1300" s="31">
        <f t="shared" si="2636"/>
      </c>
      <c r="AG1300" s="31">
        <f t="shared" si="2636"/>
      </c>
      <c r="AH1300" s="313">
        <f>SUM(AD1300:AG1300)</f>
      </c>
      <c r="AI1300" s="933">
        <f t="shared" si="2636"/>
      </c>
      <c r="AJ1300" s="933">
        <f t="shared" si="2636"/>
      </c>
      <c r="AK1300" s="933">
        <f t="shared" si="2636"/>
      </c>
      <c r="AL1300" s="31">
        <f t="shared" si="2636"/>
      </c>
      <c r="AM1300" s="313">
        <f>SUM(AI1300:AL1300)</f>
      </c>
      <c r="AN1300" s="933">
        <f t="shared" si="2636"/>
      </c>
      <c r="AO1300" s="933">
        <f t="shared" si="2636"/>
      </c>
      <c r="AP1300" s="933">
        <f t="shared" si="2636"/>
      </c>
      <c r="AQ1300" s="31">
        <f t="shared" si="2636"/>
      </c>
      <c r="AR1300" s="313">
        <f>SUM(AN1300:AQ1300)</f>
      </c>
      <c r="AS1300" s="933">
        <f t="shared" si="2636"/>
      </c>
      <c r="AT1300" s="933">
        <f t="shared" si="2636"/>
      </c>
      <c r="AU1300" s="933">
        <f t="shared" si="2636"/>
      </c>
      <c r="AV1300" s="31">
        <f t="shared" si="2636"/>
      </c>
      <c r="AW1300" s="313">
        <f>SUM(AS1300:AV1300)</f>
      </c>
      <c r="AX1300" s="933">
        <f t="shared" si="2636"/>
      </c>
      <c r="AY1300" s="933">
        <f t="shared" si="2636"/>
      </c>
      <c r="AZ1300" s="933">
        <f t="shared" si="2636"/>
      </c>
      <c r="BA1300" s="933">
        <f t="shared" si="2636"/>
      </c>
      <c r="BB1300" s="313">
        <f>SUM(AX1300:BA1300)</f>
      </c>
      <c r="BC1300" s="933">
        <f t="shared" si="2636"/>
      </c>
      <c r="BD1300" s="933">
        <f t="shared" si="2636"/>
      </c>
      <c r="BE1300" s="933">
        <f t="shared" si="2636"/>
      </c>
      <c r="BF1300" s="933">
        <f t="shared" si="2636"/>
      </c>
      <c r="BG1300" s="313">
        <f>SUM(BC1300:BF1300)</f>
      </c>
      <c r="BH1300" s="933">
        <f t="shared" si="2636"/>
      </c>
      <c r="BI1300" s="933">
        <f t="shared" si="2636"/>
      </c>
      <c r="BJ1300" s="933">
        <f t="shared" si="2636"/>
      </c>
      <c r="BK1300" s="933">
        <f t="shared" si="2636"/>
      </c>
      <c r="BL1300" s="313">
        <f>SUM(BH1300:BK1300)</f>
      </c>
      <c r="BM1300" s="933">
        <f t="shared" si="2636"/>
      </c>
      <c r="BN1300" s="933">
        <f t="shared" si="2636"/>
      </c>
      <c r="BO1300" s="933">
        <f t="shared" si="2636"/>
      </c>
      <c r="BP1300" s="933">
        <f t="shared" si="2636"/>
      </c>
      <c r="BQ1300" s="313">
        <f>SUM(BM1300:BP1300)</f>
      </c>
      <c r="BR1300" s="933">
        <f>SUM(BR1298:BR1299)</f>
      </c>
      <c r="BS1300" s="933"/>
      <c r="BT1300" s="933"/>
      <c r="BU1300" s="933"/>
      <c r="BV1300" s="313"/>
      <c r="BW1300" s="933"/>
      <c r="BX1300" s="933"/>
      <c r="BY1300" s="933"/>
      <c r="BZ1300" s="933"/>
      <c r="CA1300" s="313"/>
      <c r="CB1300" s="933"/>
      <c r="CC1300" s="933"/>
      <c r="CD1300" s="933"/>
      <c r="CE1300" s="933"/>
      <c r="CF1300" s="313"/>
      <c r="CG1300" s="933"/>
      <c r="CH1300" s="933"/>
      <c r="CI1300" s="933"/>
      <c r="CJ1300" s="933"/>
      <c r="CK1300" s="313"/>
      <c r="CL1300" s="961"/>
      <c r="CM1300" s="933"/>
      <c r="CN1300" s="933"/>
      <c r="CO1300" s="933"/>
      <c r="CP1300" s="313"/>
      <c r="CQ1300" s="933"/>
      <c r="CR1300" s="933"/>
      <c r="CS1300" s="1227"/>
      <c r="CT1300" s="1227"/>
      <c r="CU1300" s="1228"/>
      <c r="CV1300" s="1227"/>
      <c r="CW1300" s="1227"/>
      <c r="CX1300" s="1227"/>
      <c r="CY1300" s="1227"/>
      <c r="CZ1300" s="1228"/>
      <c r="DA1300" s="1322"/>
      <c r="DB1300" s="1357"/>
      <c r="DC1300" s="1357"/>
      <c r="DD1300" s="1345"/>
      <c r="DE1300" s="1811"/>
      <c r="DF1300" s="1836"/>
      <c r="DG1300" s="1822"/>
      <c r="DH1300" s="1822"/>
      <c r="DI1300" s="1837"/>
      <c r="DJ1300" s="1811"/>
      <c r="DK1300" s="1811"/>
      <c r="DL1300" s="1811"/>
      <c r="DM1300" s="1811"/>
      <c r="DN1300" s="1811"/>
      <c r="DO1300" s="1811"/>
      <c r="DP1300" s="1836"/>
      <c r="DQ1300" s="1822"/>
      <c r="DR1300" s="1822"/>
      <c r="DS1300" s="1822"/>
      <c r="DT1300" s="1811"/>
      <c r="DU1300" s="1836"/>
      <c r="DV1300" s="1822"/>
      <c r="DW1300" s="1822"/>
      <c r="DX1300" s="1837"/>
      <c r="DY1300" s="1811"/>
      <c r="DZ1300" s="1822"/>
      <c r="EA1300" s="1822"/>
      <c r="EB1300" s="1837"/>
      <c r="EC1300" s="1837"/>
      <c r="ED1300" s="1811"/>
      <c r="EE1300" s="1822"/>
      <c r="EF1300" s="1822"/>
      <c r="EG1300" s="1822"/>
      <c r="EH1300" s="1836"/>
      <c r="EI1300" s="1811"/>
      <c r="EJ1300" s="1811"/>
      <c r="EK1300" s="1811"/>
      <c r="EL1300" s="1811"/>
      <c r="EM1300" s="1811"/>
      <c r="EN1300" s="1811"/>
      <c r="EO1300" s="1811"/>
      <c r="EP1300" s="1811"/>
      <c r="EQ1300" s="1811"/>
      <c r="ER1300" s="1811"/>
      <c r="ES1300" s="1811"/>
      <c r="ET1300" s="1811"/>
      <c r="EU1300" s="1811"/>
      <c r="EV1300" s="1811"/>
      <c r="EW1300" s="1811"/>
      <c r="EX1300" s="1811"/>
    </row>
    <row r="1301" spans="2:154" hidden="1" outlineLevel="3">
      <c r="B1301" s="726" t="s">
        <v>548</v>
      </c>
      <c r="C1301" s="1577"/>
      <c r="D1301" s="933"/>
      <c r="E1301" s="933"/>
      <c r="F1301" s="933"/>
      <c r="G1301" s="933"/>
      <c r="H1301" s="933"/>
      <c r="I1301" s="31"/>
      <c r="J1301" s="933"/>
      <c r="K1301" s="933"/>
      <c r="L1301" s="933"/>
      <c r="M1301" s="933"/>
      <c r="N1301" s="31"/>
      <c r="O1301" s="31"/>
      <c r="P1301" s="31"/>
      <c r="Q1301" s="31"/>
      <c r="R1301" s="31"/>
      <c r="S1301" s="31"/>
      <c r="T1301" s="31"/>
      <c r="U1301" s="31"/>
      <c r="V1301" s="31"/>
      <c r="W1301" s="31"/>
      <c r="X1301" s="313"/>
      <c r="Y1301" s="31"/>
      <c r="Z1301" s="31"/>
      <c r="AA1301" s="31"/>
      <c r="AB1301" s="31"/>
      <c r="AC1301" s="313"/>
      <c r="AD1301" s="31"/>
      <c r="AE1301" s="31"/>
      <c r="AF1301" s="31"/>
      <c r="AG1301" s="31"/>
      <c r="AH1301" s="606">
        <f>AH1303/AH1298</f>
      </c>
      <c r="AI1301" s="933"/>
      <c r="AJ1301" s="933"/>
      <c r="AK1301" s="933"/>
      <c r="AL1301" s="31"/>
      <c r="AM1301" s="606">
        <f>AM1303/AM1298</f>
      </c>
      <c r="AN1301" s="933"/>
      <c r="AO1301" s="933"/>
      <c r="AP1301" s="933"/>
      <c r="AQ1301" s="31"/>
      <c r="AR1301" s="606">
        <f>AR1303/AR1298</f>
      </c>
      <c r="AS1301" s="933"/>
      <c r="AT1301" s="933"/>
      <c r="AU1301" s="933"/>
      <c r="AV1301" s="31"/>
      <c r="AW1301" s="606">
        <f>AW1303/AW1298</f>
      </c>
      <c r="AX1301" s="933"/>
      <c r="AY1301" s="933"/>
      <c r="AZ1301" s="933"/>
      <c r="BA1301" s="933"/>
      <c r="BB1301" s="606">
        <f>BB1303/BB1298</f>
      </c>
      <c r="BC1301" s="933"/>
      <c r="BD1301" s="933"/>
      <c r="BE1301" s="933"/>
      <c r="BF1301" s="933"/>
      <c r="BG1301" s="606">
        <f>BG1303/BG1298</f>
      </c>
      <c r="BH1301" s="933"/>
      <c r="BI1301" s="933"/>
      <c r="BJ1301" s="933"/>
      <c r="BK1301" s="933"/>
      <c r="BL1301" s="606">
        <f>BL1303/BL1298</f>
      </c>
      <c r="BM1301" s="933"/>
      <c r="BN1301" s="933"/>
      <c r="BO1301" s="933"/>
      <c r="BP1301" s="933"/>
      <c r="BQ1301" s="606">
        <f>BQ1303/BQ1298</f>
      </c>
      <c r="BR1301" s="933"/>
      <c r="BS1301" s="933"/>
      <c r="BT1301" s="933"/>
      <c r="BU1301" s="933"/>
      <c r="BV1301" s="313"/>
      <c r="BW1301" s="933"/>
      <c r="BX1301" s="933"/>
      <c r="BY1301" s="933"/>
      <c r="BZ1301" s="933"/>
      <c r="CA1301" s="313"/>
      <c r="CB1301" s="933"/>
      <c r="CC1301" s="933"/>
      <c r="CD1301" s="933"/>
      <c r="CE1301" s="933"/>
      <c r="CF1301" s="313"/>
      <c r="CG1301" s="933"/>
      <c r="CH1301" s="933"/>
      <c r="CI1301" s="933"/>
      <c r="CJ1301" s="933"/>
      <c r="CK1301" s="313"/>
      <c r="CL1301" s="961"/>
      <c r="CM1301" s="933"/>
      <c r="CN1301" s="933"/>
      <c r="CO1301" s="933"/>
      <c r="CP1301" s="313"/>
      <c r="CQ1301" s="933"/>
      <c r="CR1301" s="933"/>
      <c r="CS1301" s="1227"/>
      <c r="CT1301" s="1227"/>
      <c r="CU1301" s="1228"/>
      <c r="CV1301" s="1227"/>
      <c r="CW1301" s="1227"/>
      <c r="CX1301" s="1227"/>
      <c r="CY1301" s="1227"/>
      <c r="CZ1301" s="1228"/>
      <c r="DA1301" s="1322"/>
      <c r="DB1301" s="1357"/>
      <c r="DC1301" s="1357"/>
      <c r="DD1301" s="1345"/>
      <c r="DE1301" s="1811"/>
      <c r="DF1301" s="1836"/>
      <c r="DG1301" s="1822"/>
      <c r="DH1301" s="1822"/>
      <c r="DI1301" s="1837"/>
      <c r="DJ1301" s="1811"/>
      <c r="DK1301" s="1811"/>
      <c r="DL1301" s="1811"/>
      <c r="DM1301" s="1811"/>
      <c r="DN1301" s="1811"/>
      <c r="DO1301" s="1811"/>
      <c r="DP1301" s="1836"/>
      <c r="DQ1301" s="1822"/>
      <c r="DR1301" s="1822"/>
      <c r="DS1301" s="1822"/>
      <c r="DT1301" s="1811"/>
      <c r="DU1301" s="1836"/>
      <c r="DV1301" s="1822"/>
      <c r="DW1301" s="1822"/>
      <c r="DX1301" s="1837"/>
      <c r="DY1301" s="1811"/>
      <c r="DZ1301" s="1822"/>
      <c r="EA1301" s="1822"/>
      <c r="EB1301" s="1837"/>
      <c r="EC1301" s="1837"/>
      <c r="ED1301" s="1811"/>
      <c r="EE1301" s="1822"/>
      <c r="EF1301" s="1822"/>
      <c r="EG1301" s="1822"/>
      <c r="EH1301" s="1836"/>
      <c r="EI1301" s="1811"/>
      <c r="EJ1301" s="1811"/>
      <c r="EK1301" s="1811"/>
      <c r="EL1301" s="1811"/>
      <c r="EM1301" s="1811"/>
      <c r="EN1301" s="1811"/>
      <c r="EO1301" s="1811"/>
      <c r="EP1301" s="1811"/>
      <c r="EQ1301" s="1811"/>
      <c r="ER1301" s="1811"/>
      <c r="ES1301" s="1811"/>
      <c r="ET1301" s="1811"/>
      <c r="EU1301" s="1811"/>
      <c r="EV1301" s="1811"/>
      <c r="EW1301" s="1811"/>
      <c r="EX1301" s="1811"/>
    </row>
    <row r="1302" spans="2:154" hidden="1" outlineLevel="2" collapsed="1">
      <c r="B1302" s="442"/>
      <c r="C1302" s="1577"/>
      <c r="D1302" s="933"/>
      <c r="E1302" s="933"/>
      <c r="F1302" s="933"/>
      <c r="G1302" s="933"/>
      <c r="H1302" s="933"/>
      <c r="I1302" s="31"/>
      <c r="J1302" s="933"/>
      <c r="K1302" s="933"/>
      <c r="L1302" s="933"/>
      <c r="M1302" s="933"/>
      <c r="N1302" s="31"/>
      <c r="O1302" s="31"/>
      <c r="P1302" s="31"/>
      <c r="Q1302" s="31"/>
      <c r="R1302" s="31"/>
      <c r="S1302" s="31"/>
      <c r="T1302" s="31"/>
      <c r="U1302" s="31"/>
      <c r="V1302" s="31"/>
      <c r="W1302" s="31"/>
      <c r="X1302" s="313"/>
      <c r="Y1302" s="31"/>
      <c r="Z1302" s="31"/>
      <c r="AA1302" s="31"/>
      <c r="AB1302" s="31"/>
      <c r="AC1302" s="313"/>
      <c r="AD1302" s="31"/>
      <c r="AE1302" s="31"/>
      <c r="AF1302" s="31"/>
      <c r="AG1302" s="31"/>
      <c r="AH1302" s="313"/>
      <c r="AI1302" s="933"/>
      <c r="AJ1302" s="933"/>
      <c r="AK1302" s="933"/>
      <c r="AL1302" s="31"/>
      <c r="AM1302" s="313"/>
      <c r="AN1302" s="933"/>
      <c r="AO1302" s="933"/>
      <c r="AP1302" s="933"/>
      <c r="AQ1302" s="31"/>
      <c r="AR1302" s="313"/>
      <c r="AS1302" s="933"/>
      <c r="AT1302" s="933"/>
      <c r="AU1302" s="933"/>
      <c r="AV1302" s="31"/>
      <c r="AW1302" s="313"/>
      <c r="AX1302" s="933"/>
      <c r="AY1302" s="933"/>
      <c r="AZ1302" s="933"/>
      <c r="BA1302" s="933"/>
      <c r="BB1302" s="313"/>
      <c r="BC1302" s="933"/>
      <c r="BD1302" s="933"/>
      <c r="BE1302" s="933"/>
      <c r="BF1302" s="933"/>
      <c r="BG1302" s="313"/>
      <c r="BH1302" s="933"/>
      <c r="BI1302" s="933"/>
      <c r="BJ1302" s="933"/>
      <c r="BK1302" s="933"/>
      <c r="BL1302" s="313"/>
      <c r="BM1302" s="933"/>
      <c r="BN1302" s="933"/>
      <c r="BO1302" s="933"/>
      <c r="BP1302" s="933"/>
      <c r="BQ1302" s="313"/>
      <c r="BR1302" s="933"/>
      <c r="BS1302" s="933"/>
      <c r="BT1302" s="933"/>
      <c r="BU1302" s="933"/>
      <c r="BV1302" s="313"/>
      <c r="BW1302" s="933"/>
      <c r="BX1302" s="933"/>
      <c r="BY1302" s="933"/>
      <c r="BZ1302" s="933"/>
      <c r="CA1302" s="313"/>
      <c r="CB1302" s="933"/>
      <c r="CC1302" s="933"/>
      <c r="CD1302" s="933"/>
      <c r="CE1302" s="933"/>
      <c r="CF1302" s="313"/>
      <c r="CG1302" s="933"/>
      <c r="CH1302" s="933"/>
      <c r="CI1302" s="933"/>
      <c r="CJ1302" s="933"/>
      <c r="CK1302" s="313"/>
      <c r="CL1302" s="961"/>
      <c r="CM1302" s="933"/>
      <c r="CN1302" s="933"/>
      <c r="CO1302" s="933"/>
      <c r="CP1302" s="313"/>
      <c r="CQ1302" s="933"/>
      <c r="CR1302" s="933"/>
      <c r="CS1302" s="1227"/>
      <c r="CT1302" s="1227"/>
      <c r="CU1302" s="1228"/>
      <c r="CV1302" s="1227"/>
      <c r="CW1302" s="1227"/>
      <c r="CX1302" s="1227"/>
      <c r="CY1302" s="1227"/>
      <c r="CZ1302" s="1228"/>
      <c r="DA1302" s="1322"/>
      <c r="DB1302" s="1357"/>
      <c r="DC1302" s="1357"/>
      <c r="DD1302" s="1345"/>
      <c r="DE1302" s="1811"/>
      <c r="DF1302" s="1836"/>
      <c r="DG1302" s="1822"/>
      <c r="DH1302" s="1822"/>
      <c r="DI1302" s="1837"/>
      <c r="DJ1302" s="1811"/>
      <c r="DK1302" s="1811"/>
      <c r="DL1302" s="1811"/>
      <c r="DM1302" s="1811"/>
      <c r="DN1302" s="1811"/>
      <c r="DO1302" s="1811"/>
      <c r="DP1302" s="1836"/>
      <c r="DQ1302" s="1822"/>
      <c r="DR1302" s="1822"/>
      <c r="DS1302" s="1822"/>
      <c r="DT1302" s="1811"/>
      <c r="DU1302" s="1836"/>
      <c r="DV1302" s="1822"/>
      <c r="DW1302" s="1822"/>
      <c r="DX1302" s="1837"/>
      <c r="DY1302" s="1811"/>
      <c r="DZ1302" s="1822"/>
      <c r="EA1302" s="1822"/>
      <c r="EB1302" s="1837"/>
      <c r="EC1302" s="1837"/>
      <c r="ED1302" s="1811"/>
      <c r="EE1302" s="1822"/>
      <c r="EF1302" s="1822"/>
      <c r="EG1302" s="1822"/>
      <c r="EH1302" s="1836"/>
      <c r="EI1302" s="1811"/>
      <c r="EJ1302" s="1811"/>
      <c r="EK1302" s="1811"/>
      <c r="EL1302" s="1811"/>
      <c r="EM1302" s="1811"/>
      <c r="EN1302" s="1811"/>
      <c r="EO1302" s="1811"/>
      <c r="EP1302" s="1811"/>
      <c r="EQ1302" s="1811"/>
      <c r="ER1302" s="1811"/>
      <c r="ES1302" s="1811"/>
      <c r="ET1302" s="1811"/>
      <c r="EU1302" s="1811"/>
      <c r="EV1302" s="1811"/>
      <c r="EW1302" s="1811"/>
      <c r="EX1302" s="1811"/>
    </row>
    <row r="1303" spans="2:154" hidden="1" outlineLevel="2">
      <c r="B1303" s="442" t="s">
        <v>187</v>
      </c>
      <c r="C1303" s="1577"/>
      <c r="D1303" s="33"/>
      <c r="E1303" s="33"/>
      <c r="F1303" s="33"/>
      <c r="G1303" s="33"/>
      <c r="H1303" s="33"/>
      <c r="I1303" s="31"/>
      <c r="J1303" s="33"/>
      <c r="K1303" s="33"/>
      <c r="L1303" s="33"/>
      <c r="M1303" s="33"/>
      <c r="N1303" s="31"/>
      <c r="O1303" s="33"/>
      <c r="P1303" s="33"/>
      <c r="Q1303" s="33"/>
      <c r="R1303" s="33"/>
      <c r="S1303" s="31"/>
      <c r="T1303" s="33"/>
      <c r="U1303" s="33"/>
      <c r="V1303" s="33"/>
      <c r="W1303" s="33"/>
      <c r="X1303" s="313"/>
      <c r="Y1303" s="33"/>
      <c r="Z1303" s="33"/>
      <c r="AA1303" s="33"/>
      <c r="AB1303" s="33"/>
      <c r="AC1303" s="313"/>
      <c r="AD1303" s="2380">
        <f>AD1298*AH1301</f>
      </c>
      <c r="AE1303" s="2380">
        <f>AE1298*AH1301</f>
      </c>
      <c r="AF1303" s="2380">
        <f>AF1298*AH1301</f>
      </c>
      <c r="AG1303" s="2380">
        <f>AG1298*AH1301</f>
      </c>
      <c r="AH1303" s="2381">
        <v>1116.913</v>
      </c>
      <c r="AI1303" s="2380">
        <f>AI1298*AM1301</f>
      </c>
      <c r="AJ1303" s="2380">
        <f>AJ1298*AM1301</f>
      </c>
      <c r="AK1303" s="2380">
        <f>AK1298*AM1301</f>
      </c>
      <c r="AL1303" s="2380">
        <f>AL1298*AM1301</f>
      </c>
      <c r="AM1303" s="2381">
        <v>1289.779</v>
      </c>
      <c r="AN1303" s="2380">
        <f>AN1298*AR1301</f>
      </c>
      <c r="AO1303" s="2380">
        <f>AO1298*AR1301</f>
      </c>
      <c r="AP1303" s="2380">
        <f>AP1298*AR1301</f>
      </c>
      <c r="AQ1303" s="2380">
        <f>AQ1298*AR1301</f>
      </c>
      <c r="AR1303" s="2381">
        <v>1479.6679999999999</v>
      </c>
      <c r="AS1303" s="2380">
        <f>AS1298*AW1301</f>
      </c>
      <c r="AT1303" s="2380">
        <f>AT1298*AW1301</f>
      </c>
      <c r="AU1303" s="2380">
        <f>AU1298*AW1301</f>
      </c>
      <c r="AV1303" s="2380">
        <f>AV1298*AW1301</f>
      </c>
      <c r="AW1303" s="2381">
        <v>1666.915</v>
      </c>
      <c r="AX1303" s="2380">
        <f>AX1298*BB1301</f>
      </c>
      <c r="AY1303" s="2380">
        <f>AY1298*BB1301</f>
      </c>
      <c r="AZ1303" s="2380">
        <f>AZ1298*BB1301</f>
      </c>
      <c r="BA1303" s="2380">
        <f>BA1298*BB1301</f>
      </c>
      <c r="BB1303" s="2381">
        <v>1862.2929999999999</v>
      </c>
      <c r="BC1303" s="2380">
        <f>BC1298*BG1301</f>
      </c>
      <c r="BD1303" s="2380">
        <f>BD1298*BG1301</f>
      </c>
      <c r="BE1303" s="2380">
        <f>BE1298*BG1301</f>
      </c>
      <c r="BF1303" s="2380">
        <f>BF1298*BG1301</f>
      </c>
      <c r="BG1303" s="2381">
        <v>2000.866</v>
      </c>
      <c r="BH1303" s="2380">
        <f>BH1298*BL1301</f>
      </c>
      <c r="BI1303" s="2380">
        <f>BI1298*BL1301</f>
      </c>
      <c r="BJ1303" s="2380">
        <f>BJ1298*BL1301</f>
      </c>
      <c r="BK1303" s="2380">
        <f>BK1298*BL1301</f>
      </c>
      <c r="BL1303" s="2381">
        <v>2083.8969999999999</v>
      </c>
      <c r="BM1303" s="2380">
        <f>BM1298*BQ1301</f>
      </c>
      <c r="BN1303" s="2380">
        <f>BN1298*BQ1301</f>
      </c>
      <c r="BO1303" s="2380">
        <f>BO1298*BQ1301</f>
      </c>
      <c r="BP1303" s="2380">
        <f>BP1298*BQ1301</f>
      </c>
      <c r="BQ1303" s="2381">
        <v>2140.3960000000002</v>
      </c>
      <c r="BR1303" s="2380">
        <f>BR1298*BQ1301</f>
      </c>
      <c r="BS1303" s="352">
        <v>106</v>
      </c>
      <c r="BT1303" s="352">
        <v>497</v>
      </c>
      <c r="BU1303" s="761">
        <v>475</v>
      </c>
      <c r="BV1303" s="313">
        <f>+SUM(BS1303:BU1303)</f>
      </c>
      <c r="BW1303" s="933">
        <f>+(1+BW1308)*BR1303</f>
      </c>
      <c r="BX1303" s="352">
        <v>480</v>
      </c>
      <c r="BY1303" s="933">
        <f>+(1+BY1308)*BT1303</f>
      </c>
      <c r="BZ1303" s="933">
        <f>+(1+BZ1308)*BU1303</f>
      </c>
      <c r="CA1303" s="313">
        <f>SUM(BW1303:BZ1303)</f>
      </c>
      <c r="CB1303" s="933">
        <f t="shared" ref="CB1303:CE1304" si="2637">+(1+CB1308)*BW1303</f>
      </c>
      <c r="CC1303" s="933">
        <f t="shared" si="2637"/>
      </c>
      <c r="CD1303" s="933">
        <f t="shared" si="2637"/>
      </c>
      <c r="CE1303" s="933">
        <f t="shared" si="2637"/>
      </c>
      <c r="CF1303" s="1061">
        <f>SUM(CB1303:CE1303)</f>
      </c>
      <c r="CG1303" s="933">
        <f t="shared" ref="CG1303:CJ1304" si="2638">+(1+CG1308)*CB1303</f>
      </c>
      <c r="CH1303" s="933">
        <f t="shared" si="2638"/>
      </c>
      <c r="CI1303" s="933">
        <f t="shared" si="2638"/>
      </c>
      <c r="CJ1303" s="933">
        <f t="shared" si="2638"/>
      </c>
      <c r="CK1303" s="1061">
        <f>SUM(CG1303:CJ1303)</f>
      </c>
      <c r="CL1303" s="961">
        <f t="shared" ref="CL1303:CO1304" si="2639">+(1+CL1308)*CG1303</f>
      </c>
      <c r="CM1303" s="933">
        <f t="shared" si="2639"/>
      </c>
      <c r="CN1303" s="933">
        <f t="shared" si="2639"/>
      </c>
      <c r="CO1303" s="933">
        <f t="shared" si="2639"/>
      </c>
      <c r="CP1303" s="1061">
        <f>SUM(CL1303:CO1303)</f>
      </c>
      <c r="CQ1303" s="933">
        <f>+(1+CQ1308)*CL1303</f>
      </c>
      <c r="CR1303" s="933">
        <f>+(1+CR1308)*CM1303</f>
      </c>
      <c r="CS1303" s="1227"/>
      <c r="CT1303" s="1227"/>
      <c r="CU1303" s="2374"/>
      <c r="CV1303" s="1227"/>
      <c r="CW1303" s="1227"/>
      <c r="CX1303" s="1227"/>
      <c r="CY1303" s="1227"/>
      <c r="CZ1303" s="1228"/>
      <c r="DA1303" s="1322"/>
      <c r="DB1303" s="1357"/>
      <c r="DC1303" s="1357"/>
      <c r="DD1303" s="1345"/>
      <c r="DE1303" s="1811"/>
      <c r="DF1303" s="1836"/>
      <c r="DG1303" s="1822"/>
      <c r="DH1303" s="1822"/>
      <c r="DI1303" s="1837"/>
      <c r="DJ1303" s="1811"/>
      <c r="DK1303" s="1811"/>
      <c r="DL1303" s="1811"/>
      <c r="DM1303" s="1811"/>
      <c r="DN1303" s="1811"/>
      <c r="DO1303" s="1811"/>
      <c r="DP1303" s="1836"/>
      <c r="DQ1303" s="1822"/>
      <c r="DR1303" s="1822"/>
      <c r="DS1303" s="1822"/>
      <c r="DT1303" s="1811"/>
      <c r="DU1303" s="1836"/>
      <c r="DV1303" s="1822"/>
      <c r="DW1303" s="1822"/>
      <c r="DX1303" s="1837"/>
      <c r="DY1303" s="1811"/>
      <c r="DZ1303" s="1822"/>
      <c r="EA1303" s="1822"/>
      <c r="EB1303" s="1837"/>
      <c r="EC1303" s="1837"/>
      <c r="ED1303" s="1811"/>
      <c r="EE1303" s="1822"/>
      <c r="EF1303" s="1822"/>
      <c r="EG1303" s="1822"/>
      <c r="EH1303" s="1836"/>
      <c r="EI1303" s="1811"/>
      <c r="EJ1303" s="1811"/>
      <c r="EK1303" s="1811"/>
      <c r="EL1303" s="1811"/>
      <c r="EM1303" s="1811"/>
      <c r="EN1303" s="1811"/>
      <c r="EO1303" s="1811"/>
      <c r="EP1303" s="1811"/>
      <c r="EQ1303" s="1811"/>
      <c r="ER1303" s="1811"/>
      <c r="ES1303" s="1811"/>
      <c r="ET1303" s="1811"/>
      <c r="EU1303" s="1811"/>
      <c r="EV1303" s="1811"/>
      <c r="EW1303" s="1811"/>
      <c r="EX1303" s="1811"/>
    </row>
    <row r="1304" spans="2:154" hidden="1" outlineLevel="2">
      <c r="B1304" s="442" t="s">
        <v>412</v>
      </c>
      <c r="C1304" s="1577"/>
      <c r="D1304" s="33"/>
      <c r="E1304" s="33"/>
      <c r="F1304" s="33"/>
      <c r="G1304" s="33"/>
      <c r="H1304" s="33"/>
      <c r="I1304" s="31"/>
      <c r="J1304" s="33"/>
      <c r="K1304" s="33"/>
      <c r="L1304" s="33"/>
      <c r="M1304" s="33"/>
      <c r="N1304" s="31"/>
      <c r="O1304" s="33"/>
      <c r="P1304" s="33"/>
      <c r="Q1304" s="33"/>
      <c r="R1304" s="33"/>
      <c r="S1304" s="31"/>
      <c r="T1304" s="33"/>
      <c r="U1304" s="33"/>
      <c r="V1304" s="33"/>
      <c r="W1304" s="33"/>
      <c r="X1304" s="313"/>
      <c r="Y1304" s="33"/>
      <c r="Z1304" s="33"/>
      <c r="AA1304" s="33"/>
      <c r="AB1304" s="33"/>
      <c r="AC1304" s="313"/>
      <c r="AD1304" s="2380">
        <f>AD1300-AD1303</f>
      </c>
      <c r="AE1304" s="2380">
        <f>AE1300-AE1303</f>
      </c>
      <c r="AF1304" s="2380">
        <f>AF1300-AF1303</f>
      </c>
      <c r="AG1304" s="2380">
        <f>AG1300-AG1303</f>
      </c>
      <c r="AH1304" s="2381">
        <v>662.38699999999994</v>
      </c>
      <c r="AI1304" s="2380">
        <f>AI1300-AI1303</f>
      </c>
      <c r="AJ1304" s="2380">
        <f>AJ1300-AJ1303</f>
      </c>
      <c r="AK1304" s="2380">
        <f>AK1300-AK1303</f>
      </c>
      <c r="AL1304" s="2380">
        <f>AL1300-AL1303</f>
      </c>
      <c r="AM1304" s="2381">
        <v>788.37099999999998</v>
      </c>
      <c r="AN1304" s="2380">
        <f>AN1300-AN1303</f>
      </c>
      <c r="AO1304" s="2380">
        <f>AO1300-AO1303</f>
      </c>
      <c r="AP1304" s="2380">
        <f>AP1300-AP1303</f>
      </c>
      <c r="AQ1304" s="2380">
        <f>AQ1300-AQ1303</f>
      </c>
      <c r="AR1304" s="2381">
        <v>911.92700000000002</v>
      </c>
      <c r="AS1304" s="2380">
        <f>AS1300-AS1303</f>
      </c>
      <c r="AT1304" s="2380">
        <f>AT1300-AT1303</f>
      </c>
      <c r="AU1304" s="2380">
        <f>AU1300-AU1303</f>
      </c>
      <c r="AV1304" s="2380">
        <f>AV1300-AV1303</f>
      </c>
      <c r="AW1304" s="2381">
        <v>1092.8019999999999</v>
      </c>
      <c r="AX1304" s="2380">
        <f>AX1300-AX1303</f>
      </c>
      <c r="AY1304" s="2380">
        <f>AY1300-AY1303</f>
      </c>
      <c r="AZ1304" s="2380">
        <f>AZ1300-AZ1303</f>
      </c>
      <c r="BA1304" s="2380">
        <f>BA1300-BA1303</f>
      </c>
      <c r="BB1304" s="2381">
        <v>1330.251</v>
      </c>
      <c r="BC1304" s="2380">
        <f>BC1300-BC1303</f>
      </c>
      <c r="BD1304" s="2380">
        <f>BD1300-BD1303</f>
      </c>
      <c r="BE1304" s="2380">
        <f>BE1300-BE1303</f>
      </c>
      <c r="BF1304" s="2380">
        <f>BF1300-BF1303</f>
      </c>
      <c r="BG1304" s="2381">
        <v>1393.7860000000001</v>
      </c>
      <c r="BH1304" s="2380">
        <f>BH1300-BH1303</f>
      </c>
      <c r="BI1304" s="2380">
        <f>BI1300-BI1303</f>
      </c>
      <c r="BJ1304" s="2380">
        <f>BJ1300-BJ1303</f>
      </c>
      <c r="BK1304" s="2380">
        <f>BK1300-BK1303</f>
      </c>
      <c r="BL1304" s="2381">
        <v>1603.0550000000001</v>
      </c>
      <c r="BM1304" s="2380">
        <f>BM1300-BM1303</f>
      </c>
      <c r="BN1304" s="2380">
        <f>BN1300-BN1303</f>
      </c>
      <c r="BO1304" s="2380">
        <f>BO1300-BO1303</f>
      </c>
      <c r="BP1304" s="2380">
        <f>BP1300-BP1303</f>
      </c>
      <c r="BQ1304" s="2381">
        <v>1833.3620000000001</v>
      </c>
      <c r="BR1304" s="2380">
        <f>BR1300-BR1303</f>
      </c>
      <c r="BS1304" s="352">
        <v>85</v>
      </c>
      <c r="BT1304" s="352">
        <v>427</v>
      </c>
      <c r="BU1304" s="761">
        <v>480</v>
      </c>
      <c r="BV1304" s="313">
        <f>+SUM(BS1304:BU1304)</f>
      </c>
      <c r="BW1304" s="933">
        <f>+(1+BW1309)*BR1304</f>
      </c>
      <c r="BX1304" s="352">
        <v>475</v>
      </c>
      <c r="BY1304" s="933">
        <f>+(1+BY1309)*BT1304</f>
      </c>
      <c r="BZ1304" s="933">
        <f>+(1+BZ1309)*BU1304</f>
      </c>
      <c r="CA1304" s="313">
        <f>SUM(BW1304:BZ1304)</f>
      </c>
      <c r="CB1304" s="933">
        <f t="shared" si="2637"/>
      </c>
      <c r="CC1304" s="933">
        <f t="shared" si="2637"/>
      </c>
      <c r="CD1304" s="933">
        <f t="shared" si="2637"/>
      </c>
      <c r="CE1304" s="933">
        <f t="shared" si="2637"/>
      </c>
      <c r="CF1304" s="1061">
        <f>SUM(CB1304:CE1304)</f>
      </c>
      <c r="CG1304" s="933">
        <f t="shared" si="2638"/>
      </c>
      <c r="CH1304" s="933">
        <f t="shared" si="2638"/>
      </c>
      <c r="CI1304" s="933">
        <f t="shared" si="2638"/>
      </c>
      <c r="CJ1304" s="933">
        <f t="shared" si="2638"/>
      </c>
      <c r="CK1304" s="1061">
        <f>SUM(CG1304:CJ1304)</f>
      </c>
      <c r="CL1304" s="961">
        <f t="shared" si="2639"/>
      </c>
      <c r="CM1304" s="933">
        <f t="shared" si="2639"/>
      </c>
      <c r="CN1304" s="933">
        <f t="shared" si="2639"/>
      </c>
      <c r="CO1304" s="933">
        <f t="shared" si="2639"/>
      </c>
      <c r="CP1304" s="1061">
        <f>SUM(CL1304:CO1304)</f>
      </c>
      <c r="CQ1304" s="933">
        <f>+(1+CQ1309)*CL1304</f>
      </c>
      <c r="CR1304" s="933">
        <f>+(1+CR1309)*CM1304</f>
      </c>
      <c r="CS1304" s="1227"/>
      <c r="CT1304" s="1227"/>
      <c r="CU1304" s="2374"/>
      <c r="CV1304" s="1227"/>
      <c r="CW1304" s="1227"/>
      <c r="CX1304" s="1227"/>
      <c r="CY1304" s="1227"/>
      <c r="CZ1304" s="1228"/>
      <c r="DA1304" s="1322"/>
      <c r="DB1304" s="1357"/>
      <c r="DC1304" s="1357"/>
      <c r="DD1304" s="1345"/>
      <c r="DE1304" s="1811"/>
      <c r="DF1304" s="1836"/>
      <c r="DG1304" s="1822"/>
      <c r="DH1304" s="1822"/>
      <c r="DI1304" s="1837"/>
      <c r="DJ1304" s="1811"/>
      <c r="DK1304" s="1811"/>
      <c r="DL1304" s="1811"/>
      <c r="DM1304" s="1811"/>
      <c r="DN1304" s="1811"/>
      <c r="DO1304" s="1811"/>
      <c r="DP1304" s="1836"/>
      <c r="DQ1304" s="1822"/>
      <c r="DR1304" s="1822"/>
      <c r="DS1304" s="1822"/>
      <c r="DT1304" s="1811"/>
      <c r="DU1304" s="1836"/>
      <c r="DV1304" s="1822"/>
      <c r="DW1304" s="1822"/>
      <c r="DX1304" s="1837"/>
      <c r="DY1304" s="1811"/>
      <c r="DZ1304" s="1822"/>
      <c r="EA1304" s="1822"/>
      <c r="EB1304" s="1837"/>
      <c r="EC1304" s="1837"/>
      <c r="ED1304" s="1811"/>
      <c r="EE1304" s="1822"/>
      <c r="EF1304" s="1822"/>
      <c r="EG1304" s="1822"/>
      <c r="EH1304" s="1836"/>
      <c r="EI1304" s="1811"/>
      <c r="EJ1304" s="1811"/>
      <c r="EK1304" s="1811"/>
      <c r="EL1304" s="1811"/>
      <c r="EM1304" s="1811"/>
      <c r="EN1304" s="1811"/>
      <c r="EO1304" s="1811"/>
      <c r="EP1304" s="1811"/>
      <c r="EQ1304" s="1811"/>
      <c r="ER1304" s="1811"/>
      <c r="ES1304" s="1811"/>
      <c r="ET1304" s="1811"/>
      <c r="EU1304" s="1811"/>
      <c r="EV1304" s="1811"/>
      <c r="EW1304" s="1811"/>
      <c r="EX1304" s="1811"/>
    </row>
    <row r="1305" spans="2:154" hidden="1" outlineLevel="2">
      <c r="B1305" s="442" t="s">
        <v>413</v>
      </c>
      <c r="C1305" s="1577"/>
      <c r="D1305" s="933"/>
      <c r="E1305" s="933"/>
      <c r="F1305" s="933"/>
      <c r="G1305" s="933"/>
      <c r="H1305" s="933"/>
      <c r="I1305" s="31"/>
      <c r="J1305" s="933"/>
      <c r="K1305" s="933"/>
      <c r="L1305" s="933"/>
      <c r="M1305" s="933"/>
      <c r="N1305" s="31"/>
      <c r="O1305" s="31"/>
      <c r="P1305" s="31"/>
      <c r="Q1305" s="31"/>
      <c r="R1305" s="31"/>
      <c r="S1305" s="31"/>
      <c r="T1305" s="31"/>
      <c r="U1305" s="31"/>
      <c r="V1305" s="31"/>
      <c r="W1305" s="31"/>
      <c r="X1305" s="313"/>
      <c r="Y1305" s="31"/>
      <c r="Z1305" s="31"/>
      <c r="AA1305" s="31"/>
      <c r="AB1305" s="31"/>
      <c r="AC1305" s="313"/>
      <c r="AD1305" s="2380">
        <f t="shared" ref="AD1305:BP1305" si="2640">AD1304+AD1303</f>
      </c>
      <c r="AE1305" s="2380">
        <f t="shared" si="2640"/>
      </c>
      <c r="AF1305" s="2380">
        <f t="shared" si="2640"/>
      </c>
      <c r="AG1305" s="2380">
        <f t="shared" si="2640"/>
      </c>
      <c r="AH1305" s="2381">
        <f>SUM(AD1305:AG1305)</f>
      </c>
      <c r="AI1305" s="2380">
        <f t="shared" si="2640"/>
      </c>
      <c r="AJ1305" s="2380">
        <f t="shared" si="2640"/>
      </c>
      <c r="AK1305" s="2380">
        <f t="shared" si="2640"/>
      </c>
      <c r="AL1305" s="2380">
        <f t="shared" si="2640"/>
      </c>
      <c r="AM1305" s="2381">
        <f>SUM(AI1305:AL1305)</f>
      </c>
      <c r="AN1305" s="2380">
        <f t="shared" si="2640"/>
      </c>
      <c r="AO1305" s="2380">
        <f t="shared" si="2640"/>
      </c>
      <c r="AP1305" s="2380">
        <f t="shared" si="2640"/>
      </c>
      <c r="AQ1305" s="2380">
        <f t="shared" si="2640"/>
      </c>
      <c r="AR1305" s="2381">
        <f>SUM(AN1305:AQ1305)</f>
      </c>
      <c r="AS1305" s="2380">
        <f t="shared" si="2640"/>
      </c>
      <c r="AT1305" s="2380">
        <f t="shared" si="2640"/>
      </c>
      <c r="AU1305" s="2380">
        <f t="shared" si="2640"/>
      </c>
      <c r="AV1305" s="2380">
        <f t="shared" si="2640"/>
      </c>
      <c r="AW1305" s="2381">
        <f>SUM(AS1305:AV1305)</f>
      </c>
      <c r="AX1305" s="2380">
        <f t="shared" si="2640"/>
      </c>
      <c r="AY1305" s="2380">
        <f t="shared" si="2640"/>
      </c>
      <c r="AZ1305" s="2380">
        <f t="shared" si="2640"/>
      </c>
      <c r="BA1305" s="2380">
        <f t="shared" si="2640"/>
      </c>
      <c r="BB1305" s="2381">
        <f>SUM(AX1305:BA1305)</f>
      </c>
      <c r="BC1305" s="2380">
        <f t="shared" si="2640"/>
      </c>
      <c r="BD1305" s="2380">
        <f t="shared" si="2640"/>
      </c>
      <c r="BE1305" s="2380">
        <f t="shared" si="2640"/>
      </c>
      <c r="BF1305" s="2380">
        <f t="shared" si="2640"/>
      </c>
      <c r="BG1305" s="2381">
        <f>SUM(BC1305:BF1305)</f>
      </c>
      <c r="BH1305" s="2380">
        <f t="shared" si="2640"/>
      </c>
      <c r="BI1305" s="2380">
        <f t="shared" si="2640"/>
      </c>
      <c r="BJ1305" s="2380">
        <f t="shared" si="2640"/>
      </c>
      <c r="BK1305" s="2380">
        <f t="shared" si="2640"/>
      </c>
      <c r="BL1305" s="2381">
        <f>SUM(BH1305:BK1305)</f>
      </c>
      <c r="BM1305" s="2380">
        <f t="shared" si="2640"/>
      </c>
      <c r="BN1305" s="2380">
        <f t="shared" si="2640"/>
      </c>
      <c r="BO1305" s="2380">
        <f t="shared" si="2640"/>
      </c>
      <c r="BP1305" s="2380">
        <f t="shared" si="2640"/>
      </c>
      <c r="BQ1305" s="2381">
        <f>SUM(BM1305:BP1305)</f>
      </c>
      <c r="BR1305" s="2380">
        <f>BR1304+BR1303</f>
      </c>
      <c r="BS1305" s="933">
        <f>+BS1303+BS1304</f>
      </c>
      <c r="BT1305" s="933">
        <f>+BT1303+BT1304</f>
      </c>
      <c r="BU1305" s="933">
        <f>+BU1303+BU1304</f>
      </c>
      <c r="BV1305" s="313">
        <f>+SUM(BS1305:BU1305)</f>
      </c>
      <c r="BW1305" s="933">
        <f>+BW1303+BW1304</f>
      </c>
      <c r="BX1305" s="933">
        <f>+BX1303+BX1304</f>
      </c>
      <c r="BY1305" s="933">
        <f>+BY1303+BY1304</f>
      </c>
      <c r="BZ1305" s="933">
        <f>+BZ1303+BZ1304</f>
      </c>
      <c r="CA1305" s="313">
        <f>SUM(BW1305:BZ1305)</f>
      </c>
      <c r="CB1305" s="933">
        <f>+CB1303+CB1304</f>
      </c>
      <c r="CC1305" s="933">
        <f>+CC1303+CC1304</f>
      </c>
      <c r="CD1305" s="933">
        <f>+CD1303+CD1304</f>
      </c>
      <c r="CE1305" s="933">
        <f>+CE1303+CE1304</f>
      </c>
      <c r="CF1305" s="1061">
        <f>SUM(CB1305:CE1305)</f>
      </c>
      <c r="CG1305" s="933">
        <f>+CG1303+CG1304</f>
      </c>
      <c r="CH1305" s="933">
        <f>+CH1303+CH1304</f>
      </c>
      <c r="CI1305" s="933">
        <f>+CI1303+CI1304</f>
      </c>
      <c r="CJ1305" s="933">
        <f>+CJ1303+CJ1304</f>
      </c>
      <c r="CK1305" s="1061">
        <f>SUM(CG1305:CJ1305)</f>
      </c>
      <c r="CL1305" s="961">
        <f>+CL1303+CL1304</f>
      </c>
      <c r="CM1305" s="933">
        <f>+CM1303+CM1304</f>
      </c>
      <c r="CN1305" s="933">
        <f>+CN1303+CN1304</f>
      </c>
      <c r="CO1305" s="933">
        <f>+CO1303+CO1304</f>
      </c>
      <c r="CP1305" s="1061">
        <f>SUM(CL1305:CO1305)</f>
      </c>
      <c r="CQ1305" s="933">
        <f>+CQ1303+CQ1304</f>
      </c>
      <c r="CR1305" s="933">
        <f>+CR1303+CR1304</f>
      </c>
      <c r="CS1305" s="1227"/>
      <c r="CT1305" s="1227"/>
      <c r="CU1305" s="2374"/>
      <c r="CV1305" s="1227"/>
      <c r="CW1305" s="1227"/>
      <c r="CX1305" s="1227"/>
      <c r="CY1305" s="1227"/>
      <c r="CZ1305" s="1228"/>
      <c r="DA1305" s="1322"/>
      <c r="DB1305" s="1357"/>
      <c r="DC1305" s="1357"/>
      <c r="DD1305" s="1345"/>
      <c r="DE1305" s="1811"/>
      <c r="DF1305" s="1836"/>
      <c r="DG1305" s="1822"/>
      <c r="DH1305" s="1822"/>
      <c r="DI1305" s="1837"/>
      <c r="DJ1305" s="1811"/>
      <c r="DK1305" s="1811"/>
      <c r="DL1305" s="1811"/>
      <c r="DM1305" s="1811"/>
      <c r="DN1305" s="1811"/>
      <c r="DO1305" s="1811"/>
      <c r="DP1305" s="1836"/>
      <c r="DQ1305" s="1822"/>
      <c r="DR1305" s="1822"/>
      <c r="DS1305" s="1822"/>
      <c r="DT1305" s="1811"/>
      <c r="DU1305" s="1836"/>
      <c r="DV1305" s="1822"/>
      <c r="DW1305" s="1822"/>
      <c r="DX1305" s="1837"/>
      <c r="DY1305" s="1811"/>
      <c r="DZ1305" s="1822"/>
      <c r="EA1305" s="1822"/>
      <c r="EB1305" s="1837"/>
      <c r="EC1305" s="1837"/>
      <c r="ED1305" s="1811"/>
      <c r="EE1305" s="1822"/>
      <c r="EF1305" s="1822"/>
      <c r="EG1305" s="1822"/>
      <c r="EH1305" s="1836"/>
      <c r="EI1305" s="1811"/>
      <c r="EJ1305" s="1811"/>
      <c r="EK1305" s="1811"/>
      <c r="EL1305" s="1811"/>
      <c r="EM1305" s="1811"/>
      <c r="EN1305" s="1811"/>
      <c r="EO1305" s="1811"/>
      <c r="EP1305" s="1811"/>
      <c r="EQ1305" s="1811"/>
      <c r="ER1305" s="1811"/>
      <c r="ES1305" s="1811"/>
      <c r="ET1305" s="1811"/>
      <c r="EU1305" s="1811"/>
      <c r="EV1305" s="1811"/>
      <c r="EW1305" s="1811"/>
      <c r="EX1305" s="1811"/>
    </row>
    <row r="1306" spans="2:154" hidden="1" outlineLevel="2">
      <c r="B1306" s="442"/>
      <c r="C1306" s="1577"/>
      <c r="D1306" s="933"/>
      <c r="E1306" s="933"/>
      <c r="F1306" s="933"/>
      <c r="G1306" s="933"/>
      <c r="H1306" s="933"/>
      <c r="I1306" s="31"/>
      <c r="J1306" s="933"/>
      <c r="K1306" s="933"/>
      <c r="L1306" s="933"/>
      <c r="M1306" s="933"/>
      <c r="N1306" s="31"/>
      <c r="O1306" s="31"/>
      <c r="P1306" s="31"/>
      <c r="Q1306" s="31"/>
      <c r="R1306" s="31"/>
      <c r="S1306" s="31"/>
      <c r="T1306" s="31"/>
      <c r="U1306" s="31"/>
      <c r="V1306" s="31"/>
      <c r="W1306" s="31"/>
      <c r="X1306" s="330"/>
      <c r="Y1306" s="31"/>
      <c r="Z1306" s="31"/>
      <c r="AA1306" s="31"/>
      <c r="AB1306" s="31"/>
      <c r="AC1306" s="330"/>
      <c r="AD1306" s="933"/>
      <c r="AE1306" s="933"/>
      <c r="AF1306" s="933"/>
      <c r="AG1306" s="2382"/>
      <c r="AH1306" s="330"/>
      <c r="AI1306" s="933"/>
      <c r="AJ1306" s="933"/>
      <c r="AK1306" s="933"/>
      <c r="AL1306" s="2382"/>
      <c r="AM1306" s="330"/>
      <c r="AN1306" s="933"/>
      <c r="AO1306" s="933"/>
      <c r="AP1306" s="933"/>
      <c r="AQ1306" s="2382"/>
      <c r="AR1306" s="330"/>
      <c r="AS1306" s="933"/>
      <c r="AT1306" s="933"/>
      <c r="AU1306" s="933"/>
      <c r="AV1306" s="2382"/>
      <c r="AW1306" s="330"/>
      <c r="AX1306" s="933"/>
      <c r="AY1306" s="933"/>
      <c r="AZ1306" s="933"/>
      <c r="BA1306" s="2382"/>
      <c r="BB1306" s="330"/>
      <c r="BC1306" s="933"/>
      <c r="BD1306" s="933"/>
      <c r="BE1306" s="933"/>
      <c r="BF1306" s="2382"/>
      <c r="BG1306" s="313"/>
      <c r="BH1306" s="933"/>
      <c r="BI1306" s="933"/>
      <c r="BJ1306" s="933"/>
      <c r="BK1306" s="2382"/>
      <c r="BL1306" s="313"/>
      <c r="BM1306" s="933"/>
      <c r="BN1306" s="933"/>
      <c r="BO1306" s="933"/>
      <c r="BP1306" s="2382"/>
      <c r="BQ1306" s="313"/>
      <c r="BR1306" s="933"/>
      <c r="BS1306" s="933"/>
      <c r="BT1306" s="933"/>
      <c r="BU1306" s="933"/>
      <c r="BV1306" s="313"/>
      <c r="BW1306" s="933"/>
      <c r="BX1306" s="933"/>
      <c r="BY1306" s="933"/>
      <c r="BZ1306" s="933"/>
      <c r="CA1306" s="313"/>
      <c r="CB1306" s="933"/>
      <c r="CC1306" s="933"/>
      <c r="CD1306" s="933"/>
      <c r="CE1306" s="933"/>
      <c r="CF1306" s="313"/>
      <c r="CG1306" s="933"/>
      <c r="CH1306" s="933"/>
      <c r="CI1306" s="933"/>
      <c r="CJ1306" s="933"/>
      <c r="CK1306" s="313"/>
      <c r="CL1306" s="961"/>
      <c r="CM1306" s="933"/>
      <c r="CN1306" s="933"/>
      <c r="CO1306" s="933"/>
      <c r="CP1306" s="313"/>
      <c r="CQ1306" s="933"/>
      <c r="CR1306" s="933"/>
      <c r="CS1306" s="1227"/>
      <c r="CT1306" s="1227"/>
      <c r="CU1306" s="1228"/>
      <c r="CV1306" s="1227"/>
      <c r="CW1306" s="1227"/>
      <c r="CX1306" s="1227"/>
      <c r="CY1306" s="1227"/>
      <c r="CZ1306" s="1228"/>
      <c r="DA1306" s="1322"/>
      <c r="DB1306" s="1357"/>
      <c r="DC1306" s="1357"/>
      <c r="DD1306" s="1345"/>
      <c r="DE1306" s="1811"/>
      <c r="DF1306" s="1836"/>
      <c r="DG1306" s="1822"/>
      <c r="DH1306" s="1822"/>
      <c r="DI1306" s="1837"/>
      <c r="DJ1306" s="1811"/>
      <c r="DK1306" s="1811"/>
      <c r="DL1306" s="1811"/>
      <c r="DM1306" s="1811"/>
      <c r="DN1306" s="1811"/>
      <c r="DO1306" s="1811"/>
      <c r="DP1306" s="1836"/>
      <c r="DQ1306" s="1822"/>
      <c r="DR1306" s="1822"/>
      <c r="DS1306" s="1822"/>
      <c r="DT1306" s="1811"/>
      <c r="DU1306" s="1836"/>
      <c r="DV1306" s="1822"/>
      <c r="DW1306" s="1822"/>
      <c r="DX1306" s="1837"/>
      <c r="DY1306" s="1811"/>
      <c r="DZ1306" s="1822"/>
      <c r="EA1306" s="1822"/>
      <c r="EB1306" s="1837"/>
      <c r="EC1306" s="1837"/>
      <c r="ED1306" s="1811"/>
      <c r="EE1306" s="1822"/>
      <c r="EF1306" s="1822"/>
      <c r="EG1306" s="1822"/>
      <c r="EH1306" s="1836"/>
      <c r="EI1306" s="1811"/>
      <c r="EJ1306" s="1811"/>
      <c r="EK1306" s="1811"/>
      <c r="EL1306" s="1811"/>
      <c r="EM1306" s="1811"/>
      <c r="EN1306" s="1811"/>
      <c r="EO1306" s="1811"/>
      <c r="EP1306" s="1811"/>
      <c r="EQ1306" s="1811"/>
      <c r="ER1306" s="1811"/>
      <c r="ES1306" s="1811"/>
      <c r="ET1306" s="1811"/>
      <c r="EU1306" s="1811"/>
      <c r="EV1306" s="1811"/>
      <c r="EW1306" s="1811"/>
      <c r="EX1306" s="1811"/>
    </row>
    <row r="1307" spans="2:154" hidden="1" outlineLevel="2">
      <c r="B1307" s="439" t="s">
        <v>549</v>
      </c>
      <c r="C1307" s="1577"/>
      <c r="D1307" s="933"/>
      <c r="E1307" s="933"/>
      <c r="F1307" s="933"/>
      <c r="G1307" s="933"/>
      <c r="H1307" s="933"/>
      <c r="I1307" s="31"/>
      <c r="J1307" s="933"/>
      <c r="K1307" s="933"/>
      <c r="L1307" s="933"/>
      <c r="M1307" s="933"/>
      <c r="N1307" s="31"/>
      <c r="O1307" s="31"/>
      <c r="P1307" s="31"/>
      <c r="Q1307" s="31"/>
      <c r="R1307" s="31"/>
      <c r="S1307" s="31"/>
      <c r="T1307" s="31"/>
      <c r="U1307" s="31"/>
      <c r="V1307" s="31"/>
      <c r="W1307" s="31"/>
      <c r="X1307" s="313"/>
      <c r="Y1307" s="31"/>
      <c r="Z1307" s="31"/>
      <c r="AA1307" s="31"/>
      <c r="AB1307" s="31"/>
      <c r="AC1307" s="313"/>
      <c r="AD1307" s="31"/>
      <c r="AE1307" s="31"/>
      <c r="AF1307" s="31"/>
      <c r="AG1307" s="31"/>
      <c r="AH1307" s="313"/>
      <c r="AI1307" s="933"/>
      <c r="AJ1307" s="933"/>
      <c r="AK1307" s="933"/>
      <c r="AL1307" s="31"/>
      <c r="AM1307" s="313"/>
      <c r="AN1307" s="933"/>
      <c r="AO1307" s="933"/>
      <c r="AP1307" s="933"/>
      <c r="AQ1307" s="933"/>
      <c r="AR1307" s="313"/>
      <c r="AS1307" s="933"/>
      <c r="AT1307" s="933"/>
      <c r="AU1307" s="933"/>
      <c r="AV1307" s="933"/>
      <c r="AW1307" s="313"/>
      <c r="AX1307" s="933"/>
      <c r="AY1307" s="933"/>
      <c r="AZ1307" s="933"/>
      <c r="BA1307" s="933"/>
      <c r="BB1307" s="313"/>
      <c r="BC1307" s="933"/>
      <c r="BD1307" s="933"/>
      <c r="BE1307" s="933"/>
      <c r="BF1307" s="933"/>
      <c r="BG1307" s="313"/>
      <c r="BH1307" s="933"/>
      <c r="BI1307" s="933"/>
      <c r="BJ1307" s="933"/>
      <c r="BK1307" s="933"/>
      <c r="BL1307" s="313"/>
      <c r="BM1307" s="933"/>
      <c r="BN1307" s="933"/>
      <c r="BO1307" s="933"/>
      <c r="BP1307" s="933"/>
      <c r="BQ1307" s="313"/>
      <c r="BR1307" s="933"/>
      <c r="BS1307" s="933"/>
      <c r="BT1307" s="933"/>
      <c r="BU1307" s="933"/>
      <c r="BV1307" s="313"/>
      <c r="BW1307" s="933"/>
      <c r="BX1307" s="933"/>
      <c r="BY1307" s="933"/>
      <c r="BZ1307" s="933"/>
      <c r="CA1307" s="313"/>
      <c r="CB1307" s="933"/>
      <c r="CC1307" s="933"/>
      <c r="CD1307" s="933"/>
      <c r="CE1307" s="933"/>
      <c r="CF1307" s="313"/>
      <c r="CG1307" s="933"/>
      <c r="CH1307" s="933"/>
      <c r="CI1307" s="933"/>
      <c r="CJ1307" s="933"/>
      <c r="CK1307" s="313"/>
      <c r="CL1307" s="961"/>
      <c r="CM1307" s="933"/>
      <c r="CN1307" s="933"/>
      <c r="CO1307" s="933"/>
      <c r="CP1307" s="313"/>
      <c r="CQ1307" s="933"/>
      <c r="CR1307" s="933"/>
      <c r="CS1307" s="1227"/>
      <c r="CT1307" s="1227"/>
      <c r="CU1307" s="1228"/>
      <c r="CV1307" s="1227"/>
      <c r="CW1307" s="1227"/>
      <c r="CX1307" s="1227"/>
      <c r="CY1307" s="1227"/>
      <c r="CZ1307" s="1228"/>
      <c r="DA1307" s="1322"/>
      <c r="DB1307" s="1357"/>
      <c r="DC1307" s="1357"/>
      <c r="DD1307" s="1345"/>
      <c r="DE1307" s="1811"/>
      <c r="DF1307" s="1836"/>
      <c r="DG1307" s="1822"/>
      <c r="DH1307" s="1822"/>
      <c r="DI1307" s="1837"/>
      <c r="DJ1307" s="1811"/>
      <c r="DK1307" s="1811"/>
      <c r="DL1307" s="1811"/>
      <c r="DM1307" s="1811"/>
      <c r="DN1307" s="1811"/>
      <c r="DO1307" s="1811"/>
      <c r="DP1307" s="1836"/>
      <c r="DQ1307" s="1822"/>
      <c r="DR1307" s="1822"/>
      <c r="DS1307" s="1822"/>
      <c r="DT1307" s="1811"/>
      <c r="DU1307" s="1836"/>
      <c r="DV1307" s="1822"/>
      <c r="DW1307" s="1822"/>
      <c r="DX1307" s="1837"/>
      <c r="DY1307" s="1811"/>
      <c r="DZ1307" s="1822"/>
      <c r="EA1307" s="1822"/>
      <c r="EB1307" s="1837"/>
      <c r="EC1307" s="1837"/>
      <c r="ED1307" s="1811"/>
      <c r="EE1307" s="1822"/>
      <c r="EF1307" s="1822"/>
      <c r="EG1307" s="1822"/>
      <c r="EH1307" s="1836"/>
      <c r="EI1307" s="1811"/>
      <c r="EJ1307" s="1811"/>
      <c r="EK1307" s="1811"/>
      <c r="EL1307" s="1811"/>
      <c r="EM1307" s="1811"/>
      <c r="EN1307" s="1811"/>
      <c r="EO1307" s="1811"/>
      <c r="EP1307" s="1811"/>
      <c r="EQ1307" s="1811"/>
      <c r="ER1307" s="1811"/>
      <c r="ES1307" s="1811"/>
      <c r="ET1307" s="1811"/>
      <c r="EU1307" s="1811"/>
      <c r="EV1307" s="1811"/>
      <c r="EW1307" s="1811"/>
      <c r="EX1307" s="1811"/>
    </row>
    <row r="1308" spans="2:154" hidden="1" outlineLevel="2">
      <c r="B1308" s="443" t="s">
        <v>187</v>
      </c>
      <c r="C1308" s="1577"/>
      <c r="D1308" s="933"/>
      <c r="E1308" s="933"/>
      <c r="F1308" s="933"/>
      <c r="G1308" s="933"/>
      <c r="H1308" s="933"/>
      <c r="I1308" s="926"/>
      <c r="J1308" s="926"/>
      <c r="K1308" s="926"/>
      <c r="L1308" s="926"/>
      <c r="M1308" s="926"/>
      <c r="N1308" s="926"/>
      <c r="O1308" s="926"/>
      <c r="P1308" s="926"/>
      <c r="Q1308" s="926"/>
      <c r="R1308" s="926"/>
      <c r="S1308" s="926"/>
      <c r="T1308" s="926"/>
      <c r="U1308" s="926"/>
      <c r="V1308" s="926"/>
      <c r="W1308" s="926"/>
      <c r="X1308" s="1060"/>
      <c r="Y1308" s="926"/>
      <c r="Z1308" s="926"/>
      <c r="AA1308" s="926"/>
      <c r="AB1308" s="926"/>
      <c r="AC1308" s="1060"/>
      <c r="AD1308" s="926"/>
      <c r="AE1308" s="926"/>
      <c r="AF1308" s="926"/>
      <c r="AG1308" s="926"/>
      <c r="AH1308" s="1060"/>
      <c r="AI1308" s="926">
        <f t="shared" ref="AI1308:BT1309" si="2641">IF(AD1303="NM","NM",IF(AI1303="NM","NM",IF(AD1303&lt;=0,"NM",IF(AI1303=0,"NM",IF(ABS(AI1303/AD1303-1)&gt;2.5,"NM",IF((ABS(AI1303-AD1303)=ABS(ABS(AI1303)-ABS(AD1303))),(AI1303/AD1303-1),"NM"))))))</f>
      </c>
      <c r="AJ1308" s="926">
        <f t="shared" si="2641"/>
      </c>
      <c r="AK1308" s="926">
        <f t="shared" si="2641"/>
      </c>
      <c r="AL1308" s="926">
        <f t="shared" si="2641"/>
      </c>
      <c r="AM1308" s="1060">
        <f t="shared" si="2641"/>
      </c>
      <c r="AN1308" s="926">
        <f t="shared" si="2641"/>
      </c>
      <c r="AO1308" s="926">
        <f t="shared" si="2641"/>
      </c>
      <c r="AP1308" s="926">
        <f t="shared" si="2641"/>
      </c>
      <c r="AQ1308" s="926">
        <f t="shared" si="2641"/>
      </c>
      <c r="AR1308" s="1060">
        <f t="shared" si="2641"/>
      </c>
      <c r="AS1308" s="926">
        <f t="shared" si="2641"/>
      </c>
      <c r="AT1308" s="926">
        <f t="shared" si="2641"/>
      </c>
      <c r="AU1308" s="926">
        <f t="shared" si="2641"/>
      </c>
      <c r="AV1308" s="926">
        <f t="shared" si="2641"/>
      </c>
      <c r="AW1308" s="1060">
        <f t="shared" si="2641"/>
      </c>
      <c r="AX1308" s="926">
        <f t="shared" si="2641"/>
      </c>
      <c r="AY1308" s="926">
        <f t="shared" si="2641"/>
      </c>
      <c r="AZ1308" s="926">
        <f t="shared" si="2641"/>
      </c>
      <c r="BA1308" s="926">
        <f t="shared" si="2641"/>
      </c>
      <c r="BB1308" s="1060">
        <f t="shared" si="2641"/>
      </c>
      <c r="BC1308" s="926">
        <f t="shared" si="2641"/>
      </c>
      <c r="BD1308" s="926">
        <f t="shared" si="2641"/>
      </c>
      <c r="BE1308" s="926">
        <f t="shared" si="2641"/>
      </c>
      <c r="BF1308" s="926">
        <f t="shared" si="2641"/>
      </c>
      <c r="BG1308" s="1060">
        <f t="shared" si="2641"/>
      </c>
      <c r="BH1308" s="926">
        <f t="shared" si="2641"/>
      </c>
      <c r="BI1308" s="926">
        <f t="shared" si="2641"/>
      </c>
      <c r="BJ1308" s="926">
        <f t="shared" si="2641"/>
      </c>
      <c r="BK1308" s="926">
        <f t="shared" si="2641"/>
      </c>
      <c r="BL1308" s="1060">
        <f t="shared" si="2641"/>
      </c>
      <c r="BM1308" s="926">
        <f t="shared" si="2641"/>
      </c>
      <c r="BN1308" s="926">
        <f t="shared" si="2641"/>
      </c>
      <c r="BO1308" s="926">
        <f t="shared" si="2641"/>
      </c>
      <c r="BP1308" s="926">
        <f t="shared" si="2641"/>
      </c>
      <c r="BQ1308" s="1060">
        <f t="shared" si="2641"/>
      </c>
      <c r="BR1308" s="926">
        <f t="shared" si="2641"/>
      </c>
      <c r="BS1308" s="926">
        <f t="shared" si="2641"/>
      </c>
      <c r="BT1308" s="926">
        <f t="shared" si="2641"/>
      </c>
      <c r="BU1308" s="926">
        <f>IF(BP1303="NM","NM",IF(BU1303="NM","NM",IF(BP1303&lt;=0,"NM",IF(BU1303=0,"NM",IF(ABS(BU1303/BP1303-1)&gt;2.5,"NM",IF((ABS(BU1303-BP1303)=ABS(ABS(BU1303)-ABS(BP1303))),(BU1303/BP1303-1),"NM"))))))</f>
      </c>
      <c r="BV1308" s="317" t="s">
        <v>463</v>
      </c>
      <c r="BW1308" s="649">
        <v>-3.5008016594851643E-2</v>
      </c>
      <c r="BX1308" s="649" t="s">
        <v>463</v>
      </c>
      <c r="BY1308" s="649">
        <v>5.699999999999994E-2</v>
      </c>
      <c r="BZ1308" s="649">
        <v>7.2999999999999954E-2</v>
      </c>
      <c r="CA1308" s="2248">
        <f>IF(BV1303="NM","NM",IF(CA1303="NM","NM",IF(BV1303&lt;=0,"NM",IF(CA1303=0,"NM",IF(ABS(CA1303/BV1303-1)&gt;2.5,"NM",IF((ABS(CA1303-BV1303)=ABS(ABS(CA1303)-ABS(BV1303))),(CA1303/BV1303-1),"NM"))))))</f>
      </c>
      <c r="CB1308" s="649">
        <v>-0.05</v>
      </c>
      <c r="CC1308" s="29">
        <v>-0.05</v>
      </c>
      <c r="CD1308" s="29">
        <v>-0.05</v>
      </c>
      <c r="CE1308" s="29">
        <v>-0.05</v>
      </c>
      <c r="CF1308" s="2248">
        <f>IF(CA1303="NM","NM",IF(CF1303="NM","NM",IF(CA1303&lt;=0,"NM",IF(CF1303=0,"NM",IF(ABS(CF1303/CA1303-1)&gt;2.5,"NM",IF((ABS(CF1303-CA1303)=ABS(ABS(CF1303)-ABS(CA1303))),(CF1303/CA1303-1),"NM"))))))</f>
      </c>
      <c r="CG1308" s="649">
        <v>-0.05</v>
      </c>
      <c r="CH1308" s="29">
        <v>-0.05</v>
      </c>
      <c r="CI1308" s="29">
        <v>0.05</v>
      </c>
      <c r="CJ1308" s="29">
        <v>3.5000000000000003E-2</v>
      </c>
      <c r="CK1308" s="1060">
        <f>IF(CF1303=0, 0, CK1303/CF1303-1)</f>
      </c>
      <c r="CL1308" s="400">
        <v>0.05</v>
      </c>
      <c r="CM1308" s="29">
        <v>-0.05</v>
      </c>
      <c r="CN1308" s="29">
        <v>-0.03</v>
      </c>
      <c r="CO1308" s="29">
        <v>3.5000000000000003E-2</v>
      </c>
      <c r="CP1308" s="1060">
        <f>IF(CK1303=0, 0, CP1303/CK1303-1)</f>
      </c>
      <c r="CQ1308" s="659">
        <f>CL1308-0.001</f>
      </c>
      <c r="CR1308" s="659">
        <f>CM1308-0.001</f>
      </c>
      <c r="CS1308" s="1208"/>
      <c r="CT1308" s="1208"/>
      <c r="CU1308" s="1536"/>
      <c r="CV1308" s="1208"/>
      <c r="CW1308" s="1208"/>
      <c r="CX1308" s="1208"/>
      <c r="CY1308" s="1208"/>
      <c r="CZ1308" s="1234"/>
      <c r="DA1308" s="1271"/>
      <c r="DB1308" s="1208"/>
      <c r="DC1308" s="1208"/>
      <c r="DD1308" s="1232"/>
      <c r="DE1308" s="1234"/>
      <c r="DF1308" s="1271"/>
      <c r="DG1308" s="1208"/>
      <c r="DH1308" s="1208"/>
      <c r="DI1308" s="1232"/>
      <c r="DJ1308" s="1232"/>
      <c r="DK1308" s="1232"/>
      <c r="DL1308" s="1232"/>
      <c r="DM1308" s="1232"/>
      <c r="DN1308" s="1232"/>
      <c r="DO1308" s="1232"/>
      <c r="DP1308" s="1208"/>
      <c r="DQ1308" s="1208"/>
      <c r="DR1308" s="1208"/>
      <c r="DS1308" s="1208"/>
      <c r="DT1308" s="1234"/>
      <c r="DU1308" s="1208"/>
      <c r="DV1308" s="1208"/>
      <c r="DW1308" s="1208"/>
      <c r="DX1308" s="1232"/>
      <c r="DY1308" s="1234"/>
      <c r="DZ1308" s="1208"/>
      <c r="EA1308" s="1208"/>
      <c r="EB1308" s="1232"/>
      <c r="EC1308" s="1232"/>
      <c r="ED1308" s="1234"/>
      <c r="EE1308" s="1208"/>
      <c r="EF1308" s="1208"/>
      <c r="EG1308" s="1208"/>
      <c r="EH1308" s="1208"/>
      <c r="EI1308" s="1234"/>
      <c r="EJ1308" s="1234"/>
      <c r="EK1308" s="1234"/>
      <c r="EL1308" s="1234"/>
      <c r="EM1308" s="1234"/>
      <c r="EN1308" s="1234"/>
      <c r="EO1308" s="1234"/>
      <c r="EP1308" s="1234"/>
      <c r="EQ1308" s="1234"/>
      <c r="ER1308" s="1234"/>
      <c r="ES1308" s="1234"/>
      <c r="ET1308" s="1234"/>
      <c r="EU1308" s="1234"/>
      <c r="EV1308" s="1234"/>
      <c r="EW1308" s="1234"/>
      <c r="EX1308" s="1234"/>
    </row>
    <row r="1309" spans="2:154" hidden="1" outlineLevel="2">
      <c r="B1309" s="443" t="s">
        <v>412</v>
      </c>
      <c r="C1309" s="1577"/>
      <c r="D1309" s="933"/>
      <c r="E1309" s="933"/>
      <c r="F1309" s="933"/>
      <c r="G1309" s="933"/>
      <c r="H1309" s="933"/>
      <c r="I1309" s="926"/>
      <c r="J1309" s="926"/>
      <c r="K1309" s="926"/>
      <c r="L1309" s="926"/>
      <c r="M1309" s="926"/>
      <c r="N1309" s="926"/>
      <c r="O1309" s="926"/>
      <c r="P1309" s="926"/>
      <c r="Q1309" s="926"/>
      <c r="R1309" s="926"/>
      <c r="S1309" s="926"/>
      <c r="T1309" s="926"/>
      <c r="U1309" s="926"/>
      <c r="V1309" s="926"/>
      <c r="W1309" s="926"/>
      <c r="X1309" s="1060"/>
      <c r="Y1309" s="926"/>
      <c r="Z1309" s="926"/>
      <c r="AA1309" s="926"/>
      <c r="AB1309" s="926"/>
      <c r="AC1309" s="1060"/>
      <c r="AD1309" s="926"/>
      <c r="AE1309" s="926"/>
      <c r="AF1309" s="926"/>
      <c r="AG1309" s="926"/>
      <c r="AH1309" s="1060"/>
      <c r="AI1309" s="926">
        <f t="shared" si="2641"/>
      </c>
      <c r="AJ1309" s="926">
        <f t="shared" si="2641"/>
      </c>
      <c r="AK1309" s="926">
        <f t="shared" si="2641"/>
      </c>
      <c r="AL1309" s="926">
        <f t="shared" si="2641"/>
      </c>
      <c r="AM1309" s="1060">
        <f t="shared" si="2641"/>
      </c>
      <c r="AN1309" s="926">
        <f t="shared" si="2641"/>
      </c>
      <c r="AO1309" s="926">
        <f t="shared" si="2641"/>
      </c>
      <c r="AP1309" s="926">
        <f t="shared" si="2641"/>
      </c>
      <c r="AQ1309" s="926">
        <f t="shared" si="2641"/>
      </c>
      <c r="AR1309" s="1060">
        <f t="shared" si="2641"/>
      </c>
      <c r="AS1309" s="926">
        <f t="shared" si="2641"/>
      </c>
      <c r="AT1309" s="926">
        <f t="shared" si="2641"/>
      </c>
      <c r="AU1309" s="926">
        <f t="shared" si="2641"/>
      </c>
      <c r="AV1309" s="926">
        <f t="shared" si="2641"/>
      </c>
      <c r="AW1309" s="1060">
        <f t="shared" si="2641"/>
      </c>
      <c r="AX1309" s="926">
        <f t="shared" si="2641"/>
      </c>
      <c r="AY1309" s="926">
        <f t="shared" si="2641"/>
      </c>
      <c r="AZ1309" s="926">
        <f t="shared" si="2641"/>
      </c>
      <c r="BA1309" s="926">
        <f t="shared" si="2641"/>
      </c>
      <c r="BB1309" s="1060">
        <f t="shared" si="2641"/>
      </c>
      <c r="BC1309" s="926">
        <f t="shared" si="2641"/>
      </c>
      <c r="BD1309" s="926">
        <f t="shared" si="2641"/>
      </c>
      <c r="BE1309" s="926">
        <f t="shared" si="2641"/>
      </c>
      <c r="BF1309" s="926">
        <f t="shared" si="2641"/>
      </c>
      <c r="BG1309" s="1060">
        <f t="shared" si="2641"/>
      </c>
      <c r="BH1309" s="926">
        <f t="shared" si="2641"/>
      </c>
      <c r="BI1309" s="926">
        <f t="shared" si="2641"/>
      </c>
      <c r="BJ1309" s="926">
        <f t="shared" si="2641"/>
      </c>
      <c r="BK1309" s="926">
        <f t="shared" si="2641"/>
      </c>
      <c r="BL1309" s="1060">
        <f t="shared" si="2641"/>
      </c>
      <c r="BM1309" s="926">
        <f t="shared" si="2641"/>
      </c>
      <c r="BN1309" s="926">
        <f t="shared" si="2641"/>
      </c>
      <c r="BO1309" s="926">
        <f t="shared" si="2641"/>
      </c>
      <c r="BP1309" s="926">
        <f t="shared" si="2641"/>
      </c>
      <c r="BQ1309" s="1060">
        <f t="shared" si="2641"/>
      </c>
      <c r="BR1309" s="926">
        <f t="shared" si="2641"/>
      </c>
      <c r="BS1309" s="926">
        <f t="shared" si="2641"/>
      </c>
      <c r="BT1309" s="926">
        <f t="shared" si="2641"/>
      </c>
      <c r="BU1309" s="926">
        <f>IF(BP1304="NM","NM",IF(BU1304="NM","NM",IF(BP1304&lt;=0,"NM",IF(BU1304=0,"NM",IF(ABS(BU1304/BP1304-1)&gt;2.5,"NM",IF((ABS(BU1304-BP1304)=ABS(ABS(BU1304)-ABS(BP1304))),(BU1304/BP1304-1),"NM"))))))</f>
      </c>
      <c r="BV1309" s="1060" t="str">
        <f>IF(ISNUMBER(BV1310),(1+BV1310)*(1+BV$21)-1,"NM")</f>
      </c>
      <c r="BW1309" s="926">
        <f>IF(ISNUMBER(BW1310),(1+BW1310)*(1+BW$21)-1,"NM")</f>
      </c>
      <c r="BX1309" s="926" t="str">
        <f>IF(BS1304="NM","NM",IF(BX1304="NM","NM",IF(BS1304&lt;=0,"NM",IF(BX1304=0,"NM",IF(ABS(BX1304/BS1304-1)&gt;2.5,"NM",IF((ABS(BX1304-BS1304)=ABS(ABS(BX1304)-ABS(BS1304))),(BX1304/BS1304-1),"NM"))))))</f>
      </c>
      <c r="BY1309" s="926">
        <f>IF(ISNUMBER(BY1310),(1+BY1310)*(1+BY$21)-1,"NM")</f>
      </c>
      <c r="BZ1309" s="928">
        <f>IF(ISNUMBER(BZ1310),(1+BZ1310)*(1+BZ$21)-1,"NM")</f>
      </c>
      <c r="CA1309" s="1060">
        <f>IF(BV1304="NM","NM",IF(CA1304="NM","NM",IF(BV1304&lt;=0,"NM",IF(CA1304=0,"NM",IF(ABS(CA1304/BV1304-1)&gt;2.5,"NM",IF((ABS(CA1304-BV1304)=ABS(ABS(CA1304)-ABS(BV1304))),(CA1304/BV1304-1),"NM"))))))</f>
      </c>
      <c r="CB1309" s="926">
        <f>IF(ISNUMBER(CB1310),(1+CB1310)*(1+CB$21)-1,"NM")</f>
      </c>
      <c r="CC1309" s="926">
        <f>IF(ISNUMBER(CC1310),(1+CC1310)*(1+CC$21)-1,"NM")</f>
      </c>
      <c r="CD1309" s="926">
        <f>IF(ISNUMBER(CD1310),(1+CD1310)*(1+CD$21)-1,"NM")</f>
      </c>
      <c r="CE1309" s="926">
        <f>CE1310+CE$21</f>
      </c>
      <c r="CF1309" s="1060">
        <f>IF(CA1304="NM","NM",IF(CF1304="NM","NM",IF(CA1304&lt;=0,"NM",IF(CF1304=0,"NM",IF(ABS(CF1304/CA1304-1)&gt;2.5,"NM",IF((ABS(CF1304-CA1304)=ABS(ABS(CF1304)-ABS(CA1304))),(CF1304/CA1304-1),"NM"))))))</f>
      </c>
      <c r="CG1309" s="926">
        <f>IF(ISNUMBER(CG1310),(1+CG1310)*(1+CG$21)-1,"NM")</f>
      </c>
      <c r="CH1309" s="926">
        <f>IF(ISNUMBER(CH1310),(1+CH1310)*(1+CH$21)-1,"NM")</f>
      </c>
      <c r="CI1309" s="926">
        <f>CI1310+CI$21</f>
      </c>
      <c r="CJ1309" s="926">
        <f>CJ1310+CJ$21</f>
      </c>
      <c r="CK1309" s="1060">
        <f>IF(CF1304=0, "NA", CK1304/CF1304-1)</f>
      </c>
      <c r="CL1309" s="958">
        <f>CL1310+CL$21</f>
      </c>
      <c r="CM1309" s="926">
        <f>IF(ISNUMBER(CM1310),(1+CM1310)*(1+CM$21)-1,"NM")</f>
      </c>
      <c r="CN1309" s="926">
        <f>CN1310+CN$21</f>
      </c>
      <c r="CO1309" s="926">
        <f>CO1310+CO$21</f>
      </c>
      <c r="CP1309" s="1060">
        <f>IF(CK1304=0, "NA", CP1304/CK1304-1)</f>
      </c>
      <c r="CQ1309" s="926">
        <f>CQ1310+CQ$21</f>
      </c>
      <c r="CR1309" s="926">
        <f>CR1310+CR$21</f>
      </c>
      <c r="CS1309" s="1219"/>
      <c r="CT1309" s="1219"/>
      <c r="CU1309" s="1536"/>
      <c r="CV1309" s="1219"/>
      <c r="CW1309" s="1219"/>
      <c r="CX1309" s="1219"/>
      <c r="CY1309" s="1219"/>
      <c r="CZ1309" s="1536"/>
      <c r="DA1309" s="2376"/>
      <c r="DB1309" s="1219"/>
      <c r="DC1309" s="1219"/>
      <c r="DD1309" s="1235"/>
      <c r="DE1309" s="1536"/>
      <c r="DF1309" s="2376"/>
      <c r="DG1309" s="1219"/>
      <c r="DH1309" s="1219"/>
      <c r="DI1309" s="1235"/>
      <c r="DJ1309" s="1536"/>
      <c r="DK1309" s="1536"/>
      <c r="DL1309" s="1536"/>
      <c r="DM1309" s="1536"/>
      <c r="DN1309" s="1536"/>
      <c r="DO1309" s="1536"/>
      <c r="DP1309" s="2376"/>
      <c r="DQ1309" s="1219"/>
      <c r="DR1309" s="1219"/>
      <c r="DS1309" s="1219"/>
      <c r="DT1309" s="1536"/>
      <c r="DU1309" s="2376"/>
      <c r="DV1309" s="1219"/>
      <c r="DW1309" s="1219"/>
      <c r="DX1309" s="1235"/>
      <c r="DY1309" s="1536"/>
      <c r="DZ1309" s="1219"/>
      <c r="EA1309" s="1219"/>
      <c r="EB1309" s="1235"/>
      <c r="EC1309" s="1235"/>
      <c r="ED1309" s="1536"/>
      <c r="EE1309" s="1219"/>
      <c r="EF1309" s="1219"/>
      <c r="EG1309" s="1219"/>
      <c r="EH1309" s="2376"/>
      <c r="EI1309" s="1536"/>
      <c r="EJ1309" s="1536"/>
      <c r="EK1309" s="1536"/>
      <c r="EL1309" s="1536"/>
      <c r="EM1309" s="1536"/>
      <c r="EN1309" s="1536"/>
      <c r="EO1309" s="1536"/>
      <c r="EP1309" s="1536"/>
      <c r="EQ1309" s="1536"/>
      <c r="ER1309" s="1536"/>
      <c r="ES1309" s="1536"/>
      <c r="ET1309" s="1536"/>
      <c r="EU1309" s="1536"/>
      <c r="EV1309" s="1536"/>
      <c r="EW1309" s="1536"/>
      <c r="EX1309" s="1536"/>
    </row>
    <row r="1310" spans="2:154" hidden="1" outlineLevel="2">
      <c r="B1310" s="443" t="s">
        <v>256</v>
      </c>
      <c r="C1310" s="1577"/>
      <c r="D1310" s="933"/>
      <c r="E1310" s="933"/>
      <c r="F1310" s="933"/>
      <c r="G1310" s="933"/>
      <c r="H1310" s="933"/>
      <c r="I1310" s="601"/>
      <c r="J1310" s="1045"/>
      <c r="K1310" s="1045"/>
      <c r="L1310" s="1045"/>
      <c r="M1310" s="1045"/>
      <c r="N1310" s="601"/>
      <c r="O1310" s="601"/>
      <c r="P1310" s="601"/>
      <c r="Q1310" s="601"/>
      <c r="R1310" s="601"/>
      <c r="S1310" s="1045"/>
      <c r="T1310" s="601"/>
      <c r="U1310" s="601"/>
      <c r="V1310" s="601"/>
      <c r="W1310" s="601"/>
      <c r="X1310" s="1060"/>
      <c r="Y1310" s="601"/>
      <c r="Z1310" s="601"/>
      <c r="AA1310" s="601"/>
      <c r="AB1310" s="601"/>
      <c r="AC1310" s="1060"/>
      <c r="AD1310" s="601"/>
      <c r="AE1310" s="601"/>
      <c r="AF1310" s="601"/>
      <c r="AG1310" s="601"/>
      <c r="AH1310" s="1060"/>
      <c r="AI1310" s="926">
        <f t="shared" ref="AI1310:BM1310" si="2642">IF(ISNUMBER(AI1309),(1+AI1309)/(1+AI$21)-1,"NM")</f>
      </c>
      <c r="AJ1310" s="926">
        <f t="shared" si="2642"/>
      </c>
      <c r="AK1310" s="926">
        <f t="shared" si="2642"/>
      </c>
      <c r="AL1310" s="926">
        <f t="shared" si="2642"/>
      </c>
      <c r="AM1310" s="1060">
        <f t="shared" si="2642"/>
      </c>
      <c r="AN1310" s="926">
        <f t="shared" si="2642"/>
      </c>
      <c r="AO1310" s="926">
        <f t="shared" si="2642"/>
      </c>
      <c r="AP1310" s="926">
        <f t="shared" si="2642"/>
      </c>
      <c r="AQ1310" s="926">
        <f t="shared" si="2642"/>
      </c>
      <c r="AR1310" s="1060">
        <f t="shared" si="2642"/>
      </c>
      <c r="AS1310" s="926">
        <f t="shared" si="2642"/>
      </c>
      <c r="AT1310" s="926">
        <f t="shared" si="2642"/>
      </c>
      <c r="AU1310" s="926">
        <f t="shared" si="2642"/>
      </c>
      <c r="AV1310" s="926">
        <f t="shared" si="2642"/>
      </c>
      <c r="AW1310" s="1060">
        <f t="shared" si="2642"/>
      </c>
      <c r="AX1310" s="926">
        <f t="shared" si="2642"/>
      </c>
      <c r="AY1310" s="926">
        <f t="shared" si="2642"/>
      </c>
      <c r="AZ1310" s="926">
        <f t="shared" si="2642"/>
      </c>
      <c r="BA1310" s="926">
        <f t="shared" si="2642"/>
      </c>
      <c r="BB1310" s="1060">
        <f t="shared" si="2642"/>
      </c>
      <c r="BC1310" s="926">
        <f t="shared" si="2642"/>
      </c>
      <c r="BD1310" s="926">
        <f t="shared" si="2642"/>
      </c>
      <c r="BE1310" s="926">
        <f t="shared" si="2642"/>
      </c>
      <c r="BF1310" s="926">
        <f t="shared" si="2642"/>
      </c>
      <c r="BG1310" s="1066">
        <f t="shared" si="2642"/>
      </c>
      <c r="BH1310" s="926">
        <f t="shared" si="2642"/>
      </c>
      <c r="BI1310" s="926">
        <f t="shared" si="2642"/>
      </c>
      <c r="BJ1310" s="926">
        <f t="shared" si="2642"/>
      </c>
      <c r="BK1310" s="926">
        <f t="shared" si="2642"/>
      </c>
      <c r="BL1310" s="1060">
        <f t="shared" si="2642"/>
      </c>
      <c r="BM1310" s="926">
        <f t="shared" si="2642"/>
      </c>
      <c r="BN1310" s="926">
        <v>2.1000000000000001E-2</v>
      </c>
      <c r="BO1310" s="926">
        <v>2.1000000000000001E-2</v>
      </c>
      <c r="BP1310" s="926">
        <v>8.2000000000000003E-2</v>
      </c>
      <c r="BQ1310" s="1060">
        <v>4.4999999999999998E-2</v>
      </c>
      <c r="BR1310" s="926">
        <f>IF(ISNUMBER(BR1309),(1+BR1309)/(1+BR$21)-1,"NM")</f>
      </c>
      <c r="BS1310" s="926">
        <f>IF(ISNUMBER(BS1309),(1+BS1309)/(1+BS$21)-1,"NM")</f>
      </c>
      <c r="BT1310" s="926">
        <f>IF(ISNUMBER(BT1309),(1+BT1309)/(1+BT$21)-1,"NM")</f>
      </c>
      <c r="BU1310" s="926">
        <f>IF(ISNUMBER(BU1309),(1+BU1309)/(1+BU$21)-1,"NM")</f>
      </c>
      <c r="BV1310" s="317" t="s">
        <v>463</v>
      </c>
      <c r="BW1310" s="407">
        <v>-6.7977801524558457E-2</v>
      </c>
      <c r="BX1310" s="649" t="s">
        <v>463</v>
      </c>
      <c r="BY1310" s="407">
        <v>4.1043862471023873E-2</v>
      </c>
      <c r="BZ1310" s="649">
        <v>-2.8326968013300258E-3</v>
      </c>
      <c r="CA1310" s="1060">
        <f>IF(ISNUMBER(CA1309),(1+CA1309)/(1+CA$21)-1,"NM")</f>
      </c>
      <c r="CB1310" s="407">
        <v>0.06</v>
      </c>
      <c r="CC1310" s="29">
        <v>0.06</v>
      </c>
      <c r="CD1310" s="29">
        <v>0.04</v>
      </c>
      <c r="CE1310" s="29">
        <v>0.05</v>
      </c>
      <c r="CF1310" s="1060">
        <f>IF(ISNUMBER(CF1309),(1+CF1309)/(1+CF$21)-1,"NM")</f>
      </c>
      <c r="CG1310" s="407">
        <v>0.06</v>
      </c>
      <c r="CH1310" s="29">
        <v>0.06</v>
      </c>
      <c r="CI1310" s="29">
        <v>0</v>
      </c>
      <c r="CJ1310" s="29">
        <v>0.04</v>
      </c>
      <c r="CK1310" s="2248">
        <f>CK1309-CK$21</f>
      </c>
      <c r="CL1310" s="400">
        <v>0.04</v>
      </c>
      <c r="CM1310" s="29">
        <v>0.06</v>
      </c>
      <c r="CN1310" s="29">
        <v>0.05</v>
      </c>
      <c r="CO1310" s="29">
        <v>0.04</v>
      </c>
      <c r="CP1310" s="2248">
        <f>CP1309-CP$21</f>
      </c>
      <c r="CQ1310" s="659">
        <f>CL1310-0.001</f>
      </c>
      <c r="CR1310" s="659">
        <f>CM1310-0.001</f>
      </c>
      <c r="CS1310" s="1208"/>
      <c r="CT1310" s="1208"/>
      <c r="CU1310" s="2377"/>
      <c r="CV1310" s="1208"/>
      <c r="CW1310" s="1208"/>
      <c r="CX1310" s="1208"/>
      <c r="CY1310" s="1208"/>
      <c r="CZ1310" s="1234"/>
      <c r="DA1310" s="1271"/>
      <c r="DB1310" s="1208"/>
      <c r="DC1310" s="1208"/>
      <c r="DD1310" s="1232"/>
      <c r="DE1310" s="1234"/>
      <c r="DF1310" s="1271"/>
      <c r="DG1310" s="1208"/>
      <c r="DH1310" s="1208"/>
      <c r="DI1310" s="1232"/>
      <c r="DJ1310" s="1232"/>
      <c r="DK1310" s="1232"/>
      <c r="DL1310" s="1232"/>
      <c r="DM1310" s="1232"/>
      <c r="DN1310" s="1232"/>
      <c r="DO1310" s="1232"/>
      <c r="DP1310" s="1208"/>
      <c r="DQ1310" s="1208"/>
      <c r="DR1310" s="1208"/>
      <c r="DS1310" s="1208"/>
      <c r="DT1310" s="1234"/>
      <c r="DU1310" s="1208"/>
      <c r="DV1310" s="1208"/>
      <c r="DW1310" s="1208"/>
      <c r="DX1310" s="1232"/>
      <c r="DY1310" s="1234"/>
      <c r="DZ1310" s="1208"/>
      <c r="EA1310" s="1208"/>
      <c r="EB1310" s="1232"/>
      <c r="EC1310" s="1232"/>
      <c r="ED1310" s="1234"/>
      <c r="EE1310" s="1208"/>
      <c r="EF1310" s="1208"/>
      <c r="EG1310" s="1208"/>
      <c r="EH1310" s="1208"/>
      <c r="EI1310" s="1234"/>
      <c r="EJ1310" s="1234"/>
      <c r="EK1310" s="1234"/>
      <c r="EL1310" s="1234"/>
      <c r="EM1310" s="1234"/>
      <c r="EN1310" s="1234"/>
      <c r="EO1310" s="1234"/>
      <c r="EP1310" s="1234"/>
      <c r="EQ1310" s="1234"/>
      <c r="ER1310" s="1234"/>
      <c r="ES1310" s="1234"/>
      <c r="ET1310" s="1234"/>
      <c r="EU1310" s="1234"/>
      <c r="EV1310" s="1234"/>
      <c r="EW1310" s="1234"/>
      <c r="EX1310" s="1234"/>
    </row>
    <row r="1311" spans="2:154" hidden="1" outlineLevel="2">
      <c r="B1311" s="443" t="s">
        <v>413</v>
      </c>
      <c r="C1311" s="1577"/>
      <c r="D1311" s="933"/>
      <c r="E1311" s="933"/>
      <c r="F1311" s="933"/>
      <c r="G1311" s="933"/>
      <c r="H1311" s="933"/>
      <c r="I1311" s="926"/>
      <c r="J1311" s="926"/>
      <c r="K1311" s="926"/>
      <c r="L1311" s="926"/>
      <c r="M1311" s="926"/>
      <c r="N1311" s="926"/>
      <c r="O1311" s="926"/>
      <c r="P1311" s="926"/>
      <c r="Q1311" s="926"/>
      <c r="R1311" s="926"/>
      <c r="S1311" s="926"/>
      <c r="T1311" s="926"/>
      <c r="U1311" s="926"/>
      <c r="V1311" s="926"/>
      <c r="W1311" s="926"/>
      <c r="X1311" s="1060"/>
      <c r="Y1311" s="926"/>
      <c r="Z1311" s="926"/>
      <c r="AA1311" s="926"/>
      <c r="AB1311" s="926"/>
      <c r="AC1311" s="1060"/>
      <c r="AD1311" s="926"/>
      <c r="AE1311" s="926"/>
      <c r="AF1311" s="926"/>
      <c r="AG1311" s="926"/>
      <c r="AH1311" s="1060"/>
      <c r="AI1311" s="926">
        <f t="shared" ref="AI1311:CD1311" si="2643">IF(AD1305="NM","NM",IF(AI1305="NM","NM",IF(AD1305&lt;=0,"NM",IF(AI1305=0,"NM",IF(ABS(AI1305/AD1305-1)&gt;2.5,"NM",IF((ABS(AI1305-AD1305)=ABS(ABS(AI1305)-ABS(AD1305))),(AI1305/AD1305-1),"NM"))))))</f>
      </c>
      <c r="AJ1311" s="926">
        <f t="shared" si="2643"/>
      </c>
      <c r="AK1311" s="926">
        <f t="shared" si="2643"/>
      </c>
      <c r="AL1311" s="926">
        <f t="shared" si="2643"/>
      </c>
      <c r="AM1311" s="1060">
        <f t="shared" si="2643"/>
      </c>
      <c r="AN1311" s="926">
        <f t="shared" si="2643"/>
      </c>
      <c r="AO1311" s="926">
        <f t="shared" si="2643"/>
      </c>
      <c r="AP1311" s="926">
        <f t="shared" si="2643"/>
      </c>
      <c r="AQ1311" s="926">
        <f t="shared" si="2643"/>
      </c>
      <c r="AR1311" s="1060">
        <f t="shared" si="2643"/>
      </c>
      <c r="AS1311" s="926">
        <f t="shared" si="2643"/>
      </c>
      <c r="AT1311" s="926">
        <f t="shared" si="2643"/>
      </c>
      <c r="AU1311" s="926">
        <f t="shared" si="2643"/>
      </c>
      <c r="AV1311" s="926">
        <f t="shared" si="2643"/>
      </c>
      <c r="AW1311" s="1060">
        <f t="shared" si="2643"/>
      </c>
      <c r="AX1311" s="926">
        <f t="shared" si="2643"/>
      </c>
      <c r="AY1311" s="926">
        <f t="shared" si="2643"/>
      </c>
      <c r="AZ1311" s="926">
        <f t="shared" si="2643"/>
      </c>
      <c r="BA1311" s="926">
        <f t="shared" si="2643"/>
      </c>
      <c r="BB1311" s="1060">
        <f t="shared" si="2643"/>
      </c>
      <c r="BC1311" s="926">
        <f t="shared" si="2643"/>
      </c>
      <c r="BD1311" s="926">
        <f t="shared" si="2643"/>
      </c>
      <c r="BE1311" s="926">
        <f t="shared" si="2643"/>
      </c>
      <c r="BF1311" s="926">
        <f t="shared" si="2643"/>
      </c>
      <c r="BG1311" s="1060">
        <f t="shared" si="2643"/>
      </c>
      <c r="BH1311" s="926">
        <f t="shared" si="2643"/>
      </c>
      <c r="BI1311" s="926">
        <f t="shared" si="2643"/>
      </c>
      <c r="BJ1311" s="926">
        <f t="shared" si="2643"/>
      </c>
      <c r="BK1311" s="926">
        <f t="shared" si="2643"/>
      </c>
      <c r="BL1311" s="1060">
        <f t="shared" si="2643"/>
      </c>
      <c r="BM1311" s="926">
        <f t="shared" si="2643"/>
      </c>
      <c r="BN1311" s="926">
        <f t="shared" si="2643"/>
      </c>
      <c r="BO1311" s="926">
        <f t="shared" si="2643"/>
      </c>
      <c r="BP1311" s="926">
        <f t="shared" si="2643"/>
      </c>
      <c r="BQ1311" s="1060">
        <f t="shared" si="2643"/>
      </c>
      <c r="BR1311" s="926">
        <f t="shared" si="2643"/>
      </c>
      <c r="BS1311" s="926">
        <f>IF(BN1305="NM","NM",IF(BS1305="NM","NM",IF(BN1305&lt;=0,"NM",IF(BS1305=0,"NM",IF(ABS(BS1305/BN1305-1)&gt;2.5,"NM",IF((ABS(BS1305-BN1305)=ABS(ABS(BS1305)-ABS(BN1305))),(BS1305/BN1305-1),"NM"))))))</f>
      </c>
      <c r="BT1311" s="926">
        <f t="shared" si="2643"/>
      </c>
      <c r="BU1311" s="926">
        <f t="shared" si="2643"/>
      </c>
      <c r="BV1311" s="1060">
        <f t="shared" si="2643"/>
      </c>
      <c r="BW1311" s="926">
        <f t="shared" si="2643"/>
      </c>
      <c r="BX1311" s="926" t="str">
        <f t="shared" si="2643"/>
      </c>
      <c r="BY1311" s="926">
        <f t="shared" si="2643"/>
      </c>
      <c r="BZ1311" s="928">
        <f t="shared" si="2643"/>
      </c>
      <c r="CA1311" s="1060">
        <f t="shared" si="2643"/>
      </c>
      <c r="CB1311" s="926">
        <f t="shared" si="2643"/>
      </c>
      <c r="CC1311" s="926">
        <f t="shared" si="2643"/>
      </c>
      <c r="CD1311" s="926">
        <f t="shared" si="2643"/>
      </c>
      <c r="CE1311" s="926">
        <f>IF(CE1305&lt;=0,0,(CE1305/BZ1305-1))</f>
      </c>
      <c r="CF1311" s="1060">
        <f>IF(CA1305="NM","NM",IF(CF1305="NM","NM",IF(CA1305&lt;=0,"NM",IF(CF1305=0,"NM",IF(ABS(CF1305/CA1305-1)&gt;2.5,"NM",IF((ABS(CF1305-CA1305)=ABS(ABS(CF1305)-ABS(CA1305))),(CF1305/CA1305-1),"NM"))))))</f>
      </c>
      <c r="CG1311" s="926">
        <f>IF(CB1305="NM","NM",IF(CG1305="NM","NM",IF(CB1305&lt;=0,"NM",IF(CG1305=0,"NM",IF(ABS(CG1305/CB1305-1)&gt;2.5,"NM",IF((ABS(CG1305-CB1305)=ABS(ABS(CG1305)-ABS(CB1305))),(CG1305/CB1305-1),"NM"))))))</f>
      </c>
      <c r="CH1311" s="926">
        <f>IF(CC1305="NM","NM",IF(CH1305="NM","NM",IF(CC1305&lt;=0,"NM",IF(CH1305=0,"NM",IF(ABS(CH1305/CC1305-1)&gt;2.5,"NM",IF((ABS(CH1305-CC1305)=ABS(ABS(CH1305)-ABS(CC1305))),(CH1305/CC1305-1),"NM"))))))</f>
      </c>
      <c r="CI1311" s="926">
        <f>IF(CI1305&lt;=0,0,(CI1305/CD1305-1))</f>
      </c>
      <c r="CJ1311" s="926">
        <f>IF(CJ1305&lt;=0,0,(CJ1305/CE1305-1))</f>
      </c>
      <c r="CK1311" s="1060">
        <f>IF(CF1305=0, "NA", CK1305/CF1305-1)</f>
      </c>
      <c r="CL1311" s="958">
        <f>IF(CL1305&lt;=0,0,(CL1305/CG1305-1))</f>
      </c>
      <c r="CM1311" s="926">
        <f>IF(CH1305="NM","NM",IF(CM1305="NM","NM",IF(CH1305&lt;=0,"NM",IF(CM1305=0,"NM",IF(ABS(CM1305/CH1305-1)&gt;2.5,"NM",IF((ABS(CM1305-CH1305)=ABS(ABS(CM1305)-ABS(CH1305))),(CM1305/CH1305-1),"NM"))))))</f>
      </c>
      <c r="CN1311" s="926">
        <f>IF(CN1305&lt;=0,0,(CN1305/CI1305-1))</f>
      </c>
      <c r="CO1311" s="926">
        <f>IF(CO1305&lt;=0,0,(CO1305/CJ1305-1))</f>
      </c>
      <c r="CP1311" s="1060">
        <f>IF(CK1305=0, "NA", CP1305/CK1305-1)</f>
      </c>
      <c r="CQ1311" s="926">
        <f>IF(CL1305=0, "NA", CQ1305/CL1305-1)</f>
      </c>
      <c r="CR1311" s="926">
        <f>IF(CM1305=0, "NA", CR1305/CM1305-1)</f>
      </c>
      <c r="CS1311" s="1219"/>
      <c r="CT1311" s="1219"/>
      <c r="CU1311" s="1536"/>
      <c r="CV1311" s="1219"/>
      <c r="CW1311" s="1219"/>
      <c r="CX1311" s="1219"/>
      <c r="CY1311" s="1219"/>
      <c r="CZ1311" s="1536"/>
      <c r="DA1311" s="2376"/>
      <c r="DB1311" s="1219"/>
      <c r="DC1311" s="1219"/>
      <c r="DD1311" s="1235"/>
      <c r="DE1311" s="1536"/>
      <c r="DF1311" s="2376"/>
      <c r="DG1311" s="1219"/>
      <c r="DH1311" s="1219"/>
      <c r="DI1311" s="1235"/>
      <c r="DJ1311" s="1536"/>
      <c r="DK1311" s="1536"/>
      <c r="DL1311" s="1536"/>
      <c r="DM1311" s="1536"/>
      <c r="DN1311" s="1536"/>
      <c r="DO1311" s="1536"/>
      <c r="DP1311" s="2376"/>
      <c r="DQ1311" s="1219"/>
      <c r="DR1311" s="1219"/>
      <c r="DS1311" s="1219"/>
      <c r="DT1311" s="1536"/>
      <c r="DU1311" s="2376"/>
      <c r="DV1311" s="1219"/>
      <c r="DW1311" s="1219"/>
      <c r="DX1311" s="1235"/>
      <c r="DY1311" s="1536"/>
      <c r="DZ1311" s="1219"/>
      <c r="EA1311" s="1219"/>
      <c r="EB1311" s="1235"/>
      <c r="EC1311" s="1235"/>
      <c r="ED1311" s="1536"/>
      <c r="EE1311" s="1219"/>
      <c r="EF1311" s="1219"/>
      <c r="EG1311" s="1219"/>
      <c r="EH1311" s="2376"/>
      <c r="EI1311" s="1536"/>
      <c r="EJ1311" s="1536"/>
      <c r="EK1311" s="1536"/>
      <c r="EL1311" s="1536"/>
      <c r="EM1311" s="1536"/>
      <c r="EN1311" s="1536"/>
      <c r="EO1311" s="1536"/>
      <c r="EP1311" s="1536"/>
      <c r="EQ1311" s="1536"/>
      <c r="ER1311" s="1536"/>
      <c r="ES1311" s="1536"/>
      <c r="ET1311" s="1536"/>
      <c r="EU1311" s="1536"/>
      <c r="EV1311" s="1536"/>
      <c r="EW1311" s="1536"/>
      <c r="EX1311" s="1536"/>
    </row>
    <row r="1312" spans="2:154" hidden="1" outlineLevel="2">
      <c r="B1312" s="340"/>
      <c r="C1312" s="1577"/>
      <c r="D1312" s="933"/>
      <c r="E1312" s="933"/>
      <c r="F1312" s="933"/>
      <c r="G1312" s="933"/>
      <c r="H1312" s="933"/>
      <c r="I1312" s="31"/>
      <c r="J1312" s="933"/>
      <c r="K1312" s="933"/>
      <c r="L1312" s="933"/>
      <c r="M1312" s="933"/>
      <c r="N1312" s="31"/>
      <c r="O1312" s="31"/>
      <c r="P1312" s="31"/>
      <c r="Q1312" s="31"/>
      <c r="R1312" s="31"/>
      <c r="S1312" s="31"/>
      <c r="T1312" s="31"/>
      <c r="U1312" s="31"/>
      <c r="V1312" s="31"/>
      <c r="W1312" s="31"/>
      <c r="X1312" s="330"/>
      <c r="Y1312" s="31"/>
      <c r="Z1312" s="31"/>
      <c r="AA1312" s="31"/>
      <c r="AB1312" s="31"/>
      <c r="AC1312" s="330"/>
      <c r="AD1312" s="31"/>
      <c r="AE1312" s="31"/>
      <c r="AF1312" s="31"/>
      <c r="AG1312" s="31"/>
      <c r="AH1312" s="330"/>
      <c r="AI1312" s="933"/>
      <c r="AJ1312" s="933"/>
      <c r="AK1312" s="933"/>
      <c r="AL1312" s="31"/>
      <c r="AM1312" s="330"/>
      <c r="AN1312" s="933"/>
      <c r="AO1312" s="933"/>
      <c r="AP1312" s="933"/>
      <c r="AQ1312" s="933"/>
      <c r="AR1312" s="330"/>
      <c r="AS1312" s="933"/>
      <c r="AT1312" s="933"/>
      <c r="AU1312" s="933"/>
      <c r="AV1312" s="933"/>
      <c r="AW1312" s="330"/>
      <c r="AX1312" s="933"/>
      <c r="AY1312" s="933"/>
      <c r="AZ1312" s="933"/>
      <c r="BA1312" s="933"/>
      <c r="BB1312" s="330"/>
      <c r="BC1312" s="933"/>
      <c r="BD1312" s="933"/>
      <c r="BE1312" s="933"/>
      <c r="BF1312" s="933"/>
      <c r="BG1312" s="313"/>
      <c r="BH1312" s="933"/>
      <c r="BI1312" s="933"/>
      <c r="BJ1312" s="933"/>
      <c r="BK1312" s="933"/>
      <c r="BL1312" s="313"/>
      <c r="BM1312" s="933"/>
      <c r="BN1312" s="933"/>
      <c r="BO1312" s="933"/>
      <c r="BP1312" s="933"/>
      <c r="BQ1312" s="313"/>
      <c r="BR1312" s="933"/>
      <c r="BS1312" s="933"/>
      <c r="BT1312" s="933"/>
      <c r="BU1312" s="933"/>
      <c r="BV1312" s="313"/>
      <c r="BW1312" s="933"/>
      <c r="BX1312" s="933"/>
      <c r="BY1312" s="933"/>
      <c r="BZ1312" s="933"/>
      <c r="CA1312" s="319"/>
      <c r="CB1312" s="933"/>
      <c r="CC1312" s="933"/>
      <c r="CD1312" s="933"/>
      <c r="CE1312" s="933"/>
      <c r="CF1312" s="319"/>
      <c r="CG1312" s="933"/>
      <c r="CH1312" s="933"/>
      <c r="CI1312" s="933"/>
      <c r="CJ1312" s="933"/>
      <c r="CK1312" s="319"/>
      <c r="CL1312" s="961"/>
      <c r="CM1312" s="933"/>
      <c r="CN1312" s="933"/>
      <c r="CO1312" s="933"/>
      <c r="CP1312" s="319"/>
      <c r="CQ1312" s="933"/>
      <c r="CR1312" s="933"/>
      <c r="CS1312" s="1227"/>
      <c r="CT1312" s="1227"/>
      <c r="CU1312" s="1239"/>
      <c r="CV1312" s="1227"/>
      <c r="CW1312" s="1227"/>
      <c r="CX1312" s="1227"/>
      <c r="CY1312" s="1227"/>
      <c r="CZ1312" s="1239"/>
      <c r="DA1312" s="1337"/>
      <c r="DB1312" s="2383"/>
      <c r="DC1312" s="2383"/>
      <c r="DD1312" s="1352"/>
      <c r="DE1312" s="1943"/>
      <c r="DF1312" s="1944"/>
      <c r="DG1312" s="1886"/>
      <c r="DH1312" s="1886"/>
      <c r="DI1312" s="1945"/>
      <c r="DJ1312" s="1943"/>
      <c r="DK1312" s="1943"/>
      <c r="DL1312" s="1943"/>
      <c r="DM1312" s="1943"/>
      <c r="DN1312" s="1943"/>
      <c r="DO1312" s="1943"/>
      <c r="DP1312" s="1944"/>
      <c r="DQ1312" s="1886"/>
      <c r="DR1312" s="1886"/>
      <c r="DS1312" s="1886"/>
      <c r="DT1312" s="1943"/>
      <c r="DU1312" s="1944"/>
      <c r="DV1312" s="1886"/>
      <c r="DW1312" s="1886"/>
      <c r="DX1312" s="1945"/>
      <c r="DY1312" s="1943"/>
      <c r="DZ1312" s="1886"/>
      <c r="EA1312" s="1886"/>
      <c r="EB1312" s="1945"/>
      <c r="EC1312" s="1945"/>
      <c r="ED1312" s="1943"/>
      <c r="EE1312" s="1886"/>
      <c r="EF1312" s="1886"/>
      <c r="EG1312" s="1886"/>
      <c r="EH1312" s="1944"/>
      <c r="EI1312" s="1943"/>
      <c r="EJ1312" s="1943"/>
      <c r="EK1312" s="1943"/>
      <c r="EL1312" s="1943"/>
      <c r="EM1312" s="1943"/>
      <c r="EN1312" s="1943"/>
      <c r="EO1312" s="1943"/>
      <c r="EP1312" s="1943"/>
      <c r="EQ1312" s="1943"/>
      <c r="ER1312" s="1943"/>
      <c r="ES1312" s="1943"/>
      <c r="ET1312" s="1943"/>
      <c r="EU1312" s="1943"/>
      <c r="EV1312" s="1943"/>
      <c r="EW1312" s="1943"/>
      <c r="EX1312" s="1943"/>
    </row>
    <row r="1313" spans="1:154" ht="12.75" hidden="1" customHeight="1" outlineLevel="2">
      <c r="B1313" s="436" t="s">
        <v>604</v>
      </c>
      <c r="C1313" s="1577"/>
      <c r="D1313" s="933"/>
      <c r="E1313" s="933"/>
      <c r="F1313" s="933"/>
      <c r="G1313" s="933"/>
      <c r="H1313" s="933"/>
      <c r="I1313" s="933"/>
      <c r="J1313" s="933"/>
      <c r="K1313" s="933"/>
      <c r="L1313" s="933"/>
      <c r="M1313" s="933"/>
      <c r="N1313" s="933"/>
      <c r="O1313" s="933"/>
      <c r="P1313" s="933"/>
      <c r="Q1313" s="933"/>
      <c r="R1313" s="933"/>
      <c r="S1313" s="933"/>
      <c r="T1313" s="933"/>
      <c r="U1313" s="933"/>
      <c r="V1313" s="933"/>
      <c r="W1313" s="933"/>
      <c r="X1313" s="1061"/>
      <c r="Y1313" s="933"/>
      <c r="Z1313" s="933"/>
      <c r="AA1313" s="933"/>
      <c r="AB1313" s="933"/>
      <c r="AC1313" s="1061"/>
      <c r="AD1313" s="933"/>
      <c r="AE1313" s="933"/>
      <c r="AF1313" s="933"/>
      <c r="AG1313" s="933"/>
      <c r="AH1313" s="1061"/>
      <c r="AI1313" s="933"/>
      <c r="AJ1313" s="933"/>
      <c r="AK1313" s="933"/>
      <c r="AL1313" s="933"/>
      <c r="AM1313" s="1061"/>
      <c r="AN1313" s="933"/>
      <c r="AO1313" s="933"/>
      <c r="AP1313" s="933"/>
      <c r="AQ1313" s="933"/>
      <c r="AR1313" s="1061"/>
      <c r="AS1313" s="933"/>
      <c r="AT1313" s="933"/>
      <c r="AU1313" s="933"/>
      <c r="AV1313" s="933"/>
      <c r="AW1313" s="1061"/>
      <c r="AX1313" s="33"/>
      <c r="AY1313" s="33"/>
      <c r="AZ1313" s="33"/>
      <c r="BA1313" s="33"/>
      <c r="BB1313" s="1061"/>
      <c r="BC1313" s="933"/>
      <c r="BD1313" s="933"/>
      <c r="BE1313" s="933"/>
      <c r="BF1313" s="933"/>
      <c r="BG1313" s="1061"/>
      <c r="BH1313" s="933"/>
      <c r="BI1313" s="361"/>
      <c r="BJ1313" s="361"/>
      <c r="BK1313" s="361"/>
      <c r="BL1313" s="2248"/>
      <c r="BM1313" s="361"/>
      <c r="BN1313" s="933"/>
      <c r="BO1313" s="933"/>
      <c r="BP1313" s="361"/>
      <c r="BQ1313" s="316"/>
      <c r="BR1313" s="361"/>
      <c r="BS1313" s="361"/>
      <c r="BT1313" s="361"/>
      <c r="BU1313" s="361"/>
      <c r="BV1313" s="316"/>
      <c r="BW1313" s="361"/>
      <c r="BX1313" s="361"/>
      <c r="BY1313" s="361"/>
      <c r="BZ1313" s="361"/>
      <c r="CA1313" s="316"/>
      <c r="CB1313" s="361"/>
      <c r="CC1313" s="361"/>
      <c r="CD1313" s="361"/>
      <c r="CE1313" s="361"/>
      <c r="CF1313" s="316"/>
      <c r="CG1313" s="361"/>
      <c r="CH1313" s="361"/>
      <c r="CI1313" s="361"/>
      <c r="CJ1313" s="361"/>
      <c r="CK1313" s="316"/>
      <c r="CL1313" s="828"/>
      <c r="CM1313" s="361"/>
      <c r="CN1313" s="361"/>
      <c r="CO1313" s="361"/>
      <c r="CP1313" s="316"/>
      <c r="CQ1313" s="361"/>
      <c r="CR1313" s="361"/>
      <c r="CS1313" s="1109"/>
      <c r="CT1313" s="1109"/>
      <c r="CU1313" s="1238"/>
      <c r="CV1313" s="1109"/>
      <c r="CW1313" s="1109"/>
      <c r="CX1313" s="1109"/>
      <c r="CY1313" s="1109"/>
      <c r="CZ1313" s="1238"/>
      <c r="DA1313" s="2378"/>
      <c r="DB1313" s="1109"/>
      <c r="DC1313" s="1109"/>
      <c r="DD1313" s="1237"/>
      <c r="DE1313" s="1238"/>
      <c r="DF1313" s="2378"/>
      <c r="DG1313" s="1109"/>
      <c r="DH1313" s="1109"/>
      <c r="DI1313" s="1237"/>
      <c r="DJ1313" s="1238"/>
      <c r="DK1313" s="1238"/>
      <c r="DL1313" s="1238"/>
      <c r="DM1313" s="1238"/>
      <c r="DN1313" s="1238"/>
      <c r="DO1313" s="1238"/>
      <c r="DP1313" s="2378"/>
      <c r="DQ1313" s="1109"/>
      <c r="DR1313" s="1109"/>
      <c r="DS1313" s="1109"/>
      <c r="DT1313" s="1238"/>
      <c r="DU1313" s="2378"/>
      <c r="DV1313" s="1109"/>
      <c r="DW1313" s="1109"/>
      <c r="DX1313" s="1237"/>
      <c r="DY1313" s="1238"/>
      <c r="DZ1313" s="1109"/>
      <c r="EA1313" s="1109"/>
      <c r="EB1313" s="1237"/>
      <c r="EC1313" s="1237"/>
      <c r="ED1313" s="1238"/>
      <c r="EE1313" s="1109"/>
      <c r="EF1313" s="1109"/>
      <c r="EG1313" s="1109"/>
      <c r="EH1313" s="2378"/>
      <c r="EI1313" s="1238"/>
      <c r="EJ1313" s="1238"/>
      <c r="EK1313" s="1238"/>
      <c r="EL1313" s="1238"/>
      <c r="EM1313" s="1238"/>
      <c r="EN1313" s="1238"/>
      <c r="EO1313" s="1238"/>
      <c r="EP1313" s="1238"/>
      <c r="EQ1313" s="1238"/>
      <c r="ER1313" s="1238"/>
      <c r="ES1313" s="1238"/>
      <c r="ET1313" s="1238"/>
      <c r="EU1313" s="1238"/>
      <c r="EV1313" s="1238"/>
      <c r="EW1313" s="1238"/>
      <c r="EX1313" s="1238"/>
    </row>
    <row r="1314" spans="1:154" ht="12.75" hidden="1" customHeight="1" outlineLevel="2">
      <c r="B1314" s="437" t="s">
        <v>187</v>
      </c>
      <c r="C1314" s="1577"/>
      <c r="D1314" s="933"/>
      <c r="E1314" s="933"/>
      <c r="F1314" s="933"/>
      <c r="G1314" s="933"/>
      <c r="H1314" s="933"/>
      <c r="I1314" s="933"/>
      <c r="J1314" s="933"/>
      <c r="K1314" s="933"/>
      <c r="L1314" s="933"/>
      <c r="M1314" s="933"/>
      <c r="N1314" s="933"/>
      <c r="O1314" s="933"/>
      <c r="P1314" s="933"/>
      <c r="Q1314" s="933"/>
      <c r="R1314" s="933"/>
      <c r="S1314" s="933"/>
      <c r="T1314" s="933"/>
      <c r="U1314" s="933"/>
      <c r="V1314" s="933"/>
      <c r="W1314" s="933"/>
      <c r="X1314" s="1061"/>
      <c r="Y1314" s="933"/>
      <c r="Z1314" s="933"/>
      <c r="AA1314" s="933"/>
      <c r="AB1314" s="933"/>
      <c r="AC1314" s="1061"/>
      <c r="AD1314" s="933"/>
      <c r="AE1314" s="933"/>
      <c r="AF1314" s="933"/>
      <c r="AG1314" s="933"/>
      <c r="AH1314" s="1061"/>
      <c r="AI1314" s="933"/>
      <c r="AJ1314" s="933"/>
      <c r="AK1314" s="933"/>
      <c r="AL1314" s="933"/>
      <c r="AM1314" s="1061"/>
      <c r="AN1314" s="933"/>
      <c r="AO1314" s="933"/>
      <c r="AP1314" s="933"/>
      <c r="AQ1314" s="933"/>
      <c r="AR1314" s="1061"/>
      <c r="AS1314" s="933"/>
      <c r="AT1314" s="933"/>
      <c r="AU1314" s="933"/>
      <c r="AV1314" s="933"/>
      <c r="AW1314" s="1061"/>
      <c r="AX1314" s="933"/>
      <c r="AY1314" s="933"/>
      <c r="AZ1314" s="933"/>
      <c r="BA1314" s="933"/>
      <c r="BB1314" s="1061"/>
      <c r="BC1314" s="933"/>
      <c r="BD1314" s="933"/>
      <c r="BE1314" s="933"/>
      <c r="BF1314" s="933"/>
      <c r="BG1314" s="313"/>
      <c r="BH1314" s="933"/>
      <c r="BI1314" s="33"/>
      <c r="BJ1314" s="33"/>
      <c r="BK1314" s="33"/>
      <c r="BL1314" s="313"/>
      <c r="BM1314" s="352"/>
      <c r="BN1314" s="352"/>
      <c r="BO1314" s="352"/>
      <c r="BP1314" s="352"/>
      <c r="BQ1314" s="313"/>
      <c r="BR1314" s="761"/>
      <c r="BS1314" s="761"/>
      <c r="BT1314" s="761"/>
      <c r="BU1314" s="761"/>
      <c r="BV1314" s="313"/>
      <c r="BW1314" s="933"/>
      <c r="BX1314" s="933"/>
      <c r="BY1314" s="933"/>
      <c r="BZ1314" s="933"/>
      <c r="CA1314" s="313"/>
      <c r="CB1314" s="933">
        <f t="shared" ref="CB1314:CE1315" si="2644">CB1303-CB1230</f>
      </c>
      <c r="CC1314" s="933">
        <f t="shared" si="2644"/>
      </c>
      <c r="CD1314" s="933">
        <f t="shared" si="2644"/>
      </c>
      <c r="CE1314" s="933">
        <f t="shared" si="2644"/>
      </c>
      <c r="CF1314" s="1061">
        <f>SUM(CB1314:CE1314)</f>
      </c>
      <c r="CG1314" s="933">
        <f t="shared" ref="CG1314:CO1315" si="2645">CG1303-CG1230</f>
      </c>
      <c r="CH1314" s="933">
        <f t="shared" si="2645"/>
      </c>
      <c r="CI1314" s="933">
        <f t="shared" si="2645"/>
      </c>
      <c r="CJ1314" s="933">
        <f t="shared" si="2645"/>
      </c>
      <c r="CK1314" s="1061">
        <f t="shared" si="2645"/>
      </c>
      <c r="CL1314" s="933">
        <f t="shared" si="2645"/>
      </c>
      <c r="CM1314" s="933">
        <f t="shared" si="2645"/>
      </c>
      <c r="CN1314" s="933">
        <f t="shared" si="2645"/>
      </c>
      <c r="CO1314" s="933">
        <f t="shared" si="2645"/>
      </c>
      <c r="CP1314" s="1061">
        <f>SUM(CL1314:CO1314)</f>
      </c>
      <c r="CQ1314" s="933">
        <f>+(1+CQ1319)*CL1314</f>
      </c>
      <c r="CR1314" s="933">
        <f>+(1+CR1319)*CM1314</f>
      </c>
      <c r="CS1314" s="1227"/>
      <c r="CT1314" s="1227"/>
      <c r="CU1314" s="2374"/>
      <c r="CV1314" s="1227"/>
      <c r="CW1314" s="1227"/>
      <c r="CX1314" s="1227"/>
      <c r="CY1314" s="1227"/>
      <c r="CZ1314" s="1228"/>
      <c r="DA1314" s="1322"/>
      <c r="DB1314" s="1357"/>
      <c r="DC1314" s="1357"/>
      <c r="DD1314" s="1345"/>
      <c r="DE1314" s="1811"/>
      <c r="DF1314" s="1836"/>
      <c r="DG1314" s="1822"/>
      <c r="DH1314" s="1822"/>
      <c r="DI1314" s="1837"/>
      <c r="DJ1314" s="1811"/>
      <c r="DK1314" s="1811"/>
      <c r="DL1314" s="1811"/>
      <c r="DM1314" s="1811"/>
      <c r="DN1314" s="1811"/>
      <c r="DO1314" s="1811"/>
      <c r="DP1314" s="1836"/>
      <c r="DQ1314" s="1822"/>
      <c r="DR1314" s="1822"/>
      <c r="DS1314" s="1822"/>
      <c r="DT1314" s="1811"/>
      <c r="DU1314" s="1836"/>
      <c r="DV1314" s="1822"/>
      <c r="DW1314" s="1822"/>
      <c r="DX1314" s="1837"/>
      <c r="DY1314" s="1811"/>
      <c r="DZ1314" s="1822"/>
      <c r="EA1314" s="1822"/>
      <c r="EB1314" s="1837"/>
      <c r="EC1314" s="1837"/>
      <c r="ED1314" s="1811"/>
      <c r="EE1314" s="1822"/>
      <c r="EF1314" s="1822"/>
      <c r="EG1314" s="1822"/>
      <c r="EH1314" s="1836"/>
      <c r="EI1314" s="1811"/>
      <c r="EJ1314" s="1811"/>
      <c r="EK1314" s="1811"/>
      <c r="EL1314" s="1811"/>
      <c r="EM1314" s="1811"/>
      <c r="EN1314" s="1811"/>
      <c r="EO1314" s="1811"/>
      <c r="EP1314" s="1811"/>
      <c r="EQ1314" s="1811"/>
      <c r="ER1314" s="1811"/>
      <c r="ES1314" s="1811"/>
      <c r="ET1314" s="1811"/>
      <c r="EU1314" s="1811"/>
      <c r="EV1314" s="1811"/>
      <c r="EW1314" s="1811"/>
      <c r="EX1314" s="1811"/>
    </row>
    <row r="1315" spans="1:154" ht="12.75" hidden="1" customHeight="1" outlineLevel="2">
      <c r="B1315" s="437" t="s">
        <v>412</v>
      </c>
      <c r="C1315" s="1577"/>
      <c r="D1315" s="933"/>
      <c r="E1315" s="933"/>
      <c r="F1315" s="933"/>
      <c r="G1315" s="933"/>
      <c r="H1315" s="933"/>
      <c r="I1315" s="933"/>
      <c r="J1315" s="933"/>
      <c r="K1315" s="933"/>
      <c r="L1315" s="933"/>
      <c r="M1315" s="933"/>
      <c r="N1315" s="933"/>
      <c r="O1315" s="933"/>
      <c r="P1315" s="933"/>
      <c r="Q1315" s="933"/>
      <c r="R1315" s="933"/>
      <c r="S1315" s="933"/>
      <c r="T1315" s="933"/>
      <c r="U1315" s="933"/>
      <c r="V1315" s="933"/>
      <c r="W1315" s="933"/>
      <c r="X1315" s="1061"/>
      <c r="Y1315" s="933"/>
      <c r="Z1315" s="933"/>
      <c r="AA1315" s="933"/>
      <c r="AB1315" s="933"/>
      <c r="AC1315" s="1061"/>
      <c r="AD1315" s="933"/>
      <c r="AE1315" s="933"/>
      <c r="AF1315" s="933"/>
      <c r="AG1315" s="933"/>
      <c r="AH1315" s="1061"/>
      <c r="AI1315" s="933"/>
      <c r="AJ1315" s="933"/>
      <c r="AK1315" s="933"/>
      <c r="AL1315" s="933"/>
      <c r="AM1315" s="1061"/>
      <c r="AN1315" s="933"/>
      <c r="AO1315" s="933"/>
      <c r="AP1315" s="933"/>
      <c r="AQ1315" s="933"/>
      <c r="AR1315" s="1061"/>
      <c r="AS1315" s="933"/>
      <c r="AT1315" s="933"/>
      <c r="AU1315" s="933"/>
      <c r="AV1315" s="933"/>
      <c r="AW1315" s="1061"/>
      <c r="AX1315" s="933"/>
      <c r="AY1315" s="933"/>
      <c r="AZ1315" s="933"/>
      <c r="BA1315" s="933"/>
      <c r="BB1315" s="1061"/>
      <c r="BC1315" s="933"/>
      <c r="BD1315" s="933"/>
      <c r="BE1315" s="933"/>
      <c r="BF1315" s="933"/>
      <c r="BG1315" s="313"/>
      <c r="BH1315" s="933"/>
      <c r="BI1315" s="33"/>
      <c r="BJ1315" s="33"/>
      <c r="BK1315" s="33"/>
      <c r="BL1315" s="313"/>
      <c r="BM1315" s="352"/>
      <c r="BN1315" s="352"/>
      <c r="BO1315" s="352"/>
      <c r="BP1315" s="352"/>
      <c r="BQ1315" s="313"/>
      <c r="BR1315" s="761"/>
      <c r="BS1315" s="761"/>
      <c r="BT1315" s="761"/>
      <c r="BU1315" s="761"/>
      <c r="BV1315" s="313"/>
      <c r="BW1315" s="933"/>
      <c r="BX1315" s="933"/>
      <c r="BY1315" s="933"/>
      <c r="BZ1315" s="933"/>
      <c r="CA1315" s="313"/>
      <c r="CB1315" s="933">
        <f t="shared" si="2644"/>
      </c>
      <c r="CC1315" s="933">
        <f t="shared" si="2644"/>
      </c>
      <c r="CD1315" s="933">
        <f t="shared" si="2644"/>
      </c>
      <c r="CE1315" s="933">
        <f t="shared" si="2644"/>
      </c>
      <c r="CF1315" s="1061">
        <f>SUM(CB1315:CE1315)</f>
      </c>
      <c r="CG1315" s="933">
        <f t="shared" si="2645"/>
      </c>
      <c r="CH1315" s="933">
        <f t="shared" si="2645"/>
      </c>
      <c r="CI1315" s="933">
        <f t="shared" si="2645"/>
      </c>
      <c r="CJ1315" s="933">
        <f t="shared" si="2645"/>
      </c>
      <c r="CK1315" s="1061">
        <f t="shared" si="2645"/>
      </c>
      <c r="CL1315" s="933">
        <f t="shared" si="2645"/>
      </c>
      <c r="CM1315" s="933">
        <f t="shared" si="2645"/>
      </c>
      <c r="CN1315" s="933">
        <f t="shared" si="2645"/>
      </c>
      <c r="CO1315" s="933">
        <f t="shared" si="2645"/>
      </c>
      <c r="CP1315" s="1061">
        <f>SUM(CL1315:CO1315)</f>
      </c>
      <c r="CQ1315" s="933">
        <f>+(1+CQ1320)*CL1315</f>
      </c>
      <c r="CR1315" s="933">
        <f>+(1+CR1320)*CM1315</f>
      </c>
      <c r="CS1315" s="1227"/>
      <c r="CT1315" s="1227"/>
      <c r="CU1315" s="2374"/>
      <c r="CV1315" s="1227"/>
      <c r="CW1315" s="1227"/>
      <c r="CX1315" s="1227"/>
      <c r="CY1315" s="1227"/>
      <c r="CZ1315" s="1228"/>
      <c r="DA1315" s="1322"/>
      <c r="DB1315" s="1357"/>
      <c r="DC1315" s="1357"/>
      <c r="DD1315" s="1345"/>
      <c r="DE1315" s="1811"/>
      <c r="DF1315" s="1836"/>
      <c r="DG1315" s="1822"/>
      <c r="DH1315" s="1822"/>
      <c r="DI1315" s="1837"/>
      <c r="DJ1315" s="1811"/>
      <c r="DK1315" s="1811"/>
      <c r="DL1315" s="1811"/>
      <c r="DM1315" s="1811"/>
      <c r="DN1315" s="1811"/>
      <c r="DO1315" s="1811"/>
      <c r="DP1315" s="1836"/>
      <c r="DQ1315" s="1822"/>
      <c r="DR1315" s="1822"/>
      <c r="DS1315" s="1822"/>
      <c r="DT1315" s="1811"/>
      <c r="DU1315" s="1836"/>
      <c r="DV1315" s="1822"/>
      <c r="DW1315" s="1822"/>
      <c r="DX1315" s="1837"/>
      <c r="DY1315" s="1811"/>
      <c r="DZ1315" s="1822"/>
      <c r="EA1315" s="1822"/>
      <c r="EB1315" s="1837"/>
      <c r="EC1315" s="1837"/>
      <c r="ED1315" s="1811"/>
      <c r="EE1315" s="1822"/>
      <c r="EF1315" s="1822"/>
      <c r="EG1315" s="1822"/>
      <c r="EH1315" s="1836"/>
      <c r="EI1315" s="1811"/>
      <c r="EJ1315" s="1811"/>
      <c r="EK1315" s="1811"/>
      <c r="EL1315" s="1811"/>
      <c r="EM1315" s="1811"/>
      <c r="EN1315" s="1811"/>
      <c r="EO1315" s="1811"/>
      <c r="EP1315" s="1811"/>
      <c r="EQ1315" s="1811"/>
      <c r="ER1315" s="1811"/>
      <c r="ES1315" s="1811"/>
      <c r="ET1315" s="1811"/>
      <c r="EU1315" s="1811"/>
      <c r="EV1315" s="1811"/>
      <c r="EW1315" s="1811"/>
      <c r="EX1315" s="1811"/>
    </row>
    <row r="1316" spans="1:154" ht="12.75" hidden="1" customHeight="1" outlineLevel="2">
      <c r="B1316" s="437" t="s">
        <v>413</v>
      </c>
      <c r="C1316" s="1577"/>
      <c r="D1316" s="933"/>
      <c r="E1316" s="933"/>
      <c r="F1316" s="933"/>
      <c r="G1316" s="933"/>
      <c r="H1316" s="933"/>
      <c r="I1316" s="933"/>
      <c r="J1316" s="933"/>
      <c r="K1316" s="933"/>
      <c r="L1316" s="933"/>
      <c r="M1316" s="933"/>
      <c r="N1316" s="933"/>
      <c r="O1316" s="933"/>
      <c r="P1316" s="933"/>
      <c r="Q1316" s="933"/>
      <c r="R1316" s="933"/>
      <c r="S1316" s="933"/>
      <c r="T1316" s="933"/>
      <c r="U1316" s="933"/>
      <c r="V1316" s="933"/>
      <c r="W1316" s="933"/>
      <c r="X1316" s="1061"/>
      <c r="Y1316" s="933"/>
      <c r="Z1316" s="933"/>
      <c r="AA1316" s="933"/>
      <c r="AB1316" s="933"/>
      <c r="AC1316" s="1061"/>
      <c r="AD1316" s="933"/>
      <c r="AE1316" s="933"/>
      <c r="AF1316" s="933"/>
      <c r="AG1316" s="933"/>
      <c r="AH1316" s="1061"/>
      <c r="AI1316" s="933"/>
      <c r="AJ1316" s="933"/>
      <c r="AK1316" s="933"/>
      <c r="AL1316" s="933"/>
      <c r="AM1316" s="1061"/>
      <c r="AN1316" s="933"/>
      <c r="AO1316" s="933"/>
      <c r="AP1316" s="933"/>
      <c r="AQ1316" s="933"/>
      <c r="AR1316" s="1061"/>
      <c r="AS1316" s="933"/>
      <c r="AT1316" s="933"/>
      <c r="AU1316" s="933"/>
      <c r="AV1316" s="933"/>
      <c r="AW1316" s="1061"/>
      <c r="AX1316" s="933"/>
      <c r="AY1316" s="933"/>
      <c r="AZ1316" s="933"/>
      <c r="BA1316" s="933"/>
      <c r="BB1316" s="1061"/>
      <c r="BC1316" s="933"/>
      <c r="BD1316" s="933"/>
      <c r="BE1316" s="933"/>
      <c r="BF1316" s="933"/>
      <c r="BG1316" s="313"/>
      <c r="BH1316" s="933"/>
      <c r="BI1316" s="933"/>
      <c r="BJ1316" s="933"/>
      <c r="BK1316" s="933"/>
      <c r="BL1316" s="313"/>
      <c r="BM1316" s="933"/>
      <c r="BN1316" s="933"/>
      <c r="BO1316" s="933"/>
      <c r="BP1316" s="933"/>
      <c r="BQ1316" s="313"/>
      <c r="BR1316" s="933"/>
      <c r="BS1316" s="933"/>
      <c r="BT1316" s="933"/>
      <c r="BU1316" s="933"/>
      <c r="BV1316" s="313"/>
      <c r="BW1316" s="933"/>
      <c r="BX1316" s="933"/>
      <c r="BY1316" s="933"/>
      <c r="BZ1316" s="933"/>
      <c r="CA1316" s="313"/>
      <c r="CB1316" s="933">
        <f>SUM(CB1314:CB1315)</f>
      </c>
      <c r="CC1316" s="933">
        <f>SUM(CC1314:CC1315)</f>
      </c>
      <c r="CD1316" s="933">
        <f>SUM(CD1314:CD1315)</f>
      </c>
      <c r="CE1316" s="933">
        <f>SUM(CE1314:CE1315)</f>
      </c>
      <c r="CF1316" s="1061">
        <f>SUM(CB1316:CE1316)</f>
      </c>
      <c r="CG1316" s="933">
        <f t="shared" ref="CG1316:CO1316" si="2646">SUM(CG1314:CG1315)</f>
      </c>
      <c r="CH1316" s="933">
        <f t="shared" si="2646"/>
      </c>
      <c r="CI1316" s="933">
        <f t="shared" si="2646"/>
      </c>
      <c r="CJ1316" s="933">
        <f t="shared" si="2646"/>
      </c>
      <c r="CK1316" s="1061">
        <f t="shared" si="2646"/>
      </c>
      <c r="CL1316" s="933">
        <f t="shared" si="2646"/>
      </c>
      <c r="CM1316" s="933">
        <f t="shared" si="2646"/>
      </c>
      <c r="CN1316" s="933">
        <f t="shared" si="2646"/>
      </c>
      <c r="CO1316" s="933">
        <f t="shared" si="2646"/>
      </c>
      <c r="CP1316" s="1061">
        <f>SUM(CL1316:CO1316)</f>
      </c>
      <c r="CQ1316" s="933">
        <f>+CQ1314+CQ1315</f>
      </c>
      <c r="CR1316" s="933">
        <f>+CR1314+CR1315</f>
      </c>
      <c r="CS1316" s="1227"/>
      <c r="CT1316" s="1227"/>
      <c r="CU1316" s="2374"/>
      <c r="CV1316" s="1227"/>
      <c r="CW1316" s="1227"/>
      <c r="CX1316" s="1227"/>
      <c r="CY1316" s="1227"/>
      <c r="CZ1316" s="1228"/>
      <c r="DA1316" s="1322"/>
      <c r="DB1316" s="1357"/>
      <c r="DC1316" s="1357"/>
      <c r="DD1316" s="1345"/>
      <c r="DE1316" s="1811"/>
      <c r="DF1316" s="1836"/>
      <c r="DG1316" s="1822"/>
      <c r="DH1316" s="1822"/>
      <c r="DI1316" s="1837"/>
      <c r="DJ1316" s="1811"/>
      <c r="DK1316" s="1811"/>
      <c r="DL1316" s="1811"/>
      <c r="DM1316" s="1811"/>
      <c r="DN1316" s="1811"/>
      <c r="DO1316" s="1811"/>
      <c r="DP1316" s="1836"/>
      <c r="DQ1316" s="1822"/>
      <c r="DR1316" s="1822"/>
      <c r="DS1316" s="1822"/>
      <c r="DT1316" s="1811"/>
      <c r="DU1316" s="1836"/>
      <c r="DV1316" s="1822"/>
      <c r="DW1316" s="1822"/>
      <c r="DX1316" s="1837"/>
      <c r="DY1316" s="1811"/>
      <c r="DZ1316" s="1822"/>
      <c r="EA1316" s="1822"/>
      <c r="EB1316" s="1837"/>
      <c r="EC1316" s="1837"/>
      <c r="ED1316" s="1811"/>
      <c r="EE1316" s="1822"/>
      <c r="EF1316" s="1822"/>
      <c r="EG1316" s="1822"/>
      <c r="EH1316" s="1836"/>
      <c r="EI1316" s="1811"/>
      <c r="EJ1316" s="1811"/>
      <c r="EK1316" s="1811"/>
      <c r="EL1316" s="1811"/>
      <c r="EM1316" s="1811"/>
      <c r="EN1316" s="1811"/>
      <c r="EO1316" s="1811"/>
      <c r="EP1316" s="1811"/>
      <c r="EQ1316" s="1811"/>
      <c r="ER1316" s="1811"/>
      <c r="ES1316" s="1811"/>
      <c r="ET1316" s="1811"/>
      <c r="EU1316" s="1811"/>
      <c r="EV1316" s="1811"/>
      <c r="EW1316" s="1811"/>
      <c r="EX1316" s="1811"/>
    </row>
    <row r="1317" spans="1:154" ht="12.75" hidden="1" customHeight="1" outlineLevel="2">
      <c r="B1317" s="442"/>
      <c r="C1317" s="1577"/>
      <c r="D1317" s="933"/>
      <c r="E1317" s="933"/>
      <c r="F1317" s="933"/>
      <c r="G1317" s="933"/>
      <c r="H1317" s="933"/>
      <c r="I1317" s="933"/>
      <c r="J1317" s="933"/>
      <c r="K1317" s="933"/>
      <c r="L1317" s="933"/>
      <c r="M1317" s="933"/>
      <c r="N1317" s="933"/>
      <c r="O1317" s="933"/>
      <c r="P1317" s="933"/>
      <c r="Q1317" s="933"/>
      <c r="R1317" s="933"/>
      <c r="S1317" s="933"/>
      <c r="T1317" s="933"/>
      <c r="U1317" s="933"/>
      <c r="V1317" s="933"/>
      <c r="W1317" s="933"/>
      <c r="X1317" s="1061"/>
      <c r="Y1317" s="933"/>
      <c r="Z1317" s="933"/>
      <c r="AA1317" s="933"/>
      <c r="AB1317" s="933"/>
      <c r="AC1317" s="1061"/>
      <c r="AD1317" s="933"/>
      <c r="AE1317" s="933"/>
      <c r="AF1317" s="933"/>
      <c r="AG1317" s="933"/>
      <c r="AH1317" s="1061"/>
      <c r="AI1317" s="933"/>
      <c r="AJ1317" s="933"/>
      <c r="AK1317" s="933"/>
      <c r="AL1317" s="933"/>
      <c r="AM1317" s="1061"/>
      <c r="AN1317" s="933"/>
      <c r="AO1317" s="933"/>
      <c r="AP1317" s="933"/>
      <c r="AQ1317" s="933"/>
      <c r="AR1317" s="1061"/>
      <c r="AS1317" s="933"/>
      <c r="AT1317" s="933"/>
      <c r="AU1317" s="933"/>
      <c r="AV1317" s="933"/>
      <c r="AW1317" s="1061"/>
      <c r="AX1317" s="933"/>
      <c r="AY1317" s="933"/>
      <c r="AZ1317" s="933"/>
      <c r="BA1317" s="933"/>
      <c r="BB1317" s="1061"/>
      <c r="BC1317" s="933"/>
      <c r="BD1317" s="933"/>
      <c r="BE1317" s="933"/>
      <c r="BF1317" s="933"/>
      <c r="BG1317" s="313"/>
      <c r="BH1317" s="933"/>
      <c r="BI1317" s="933"/>
      <c r="BJ1317" s="933"/>
      <c r="BK1317" s="933"/>
      <c r="BL1317" s="313"/>
      <c r="BM1317" s="933"/>
      <c r="BN1317" s="933"/>
      <c r="BO1317" s="933"/>
      <c r="BP1317" s="933"/>
      <c r="BQ1317" s="313"/>
      <c r="BR1317" s="933"/>
      <c r="BS1317" s="933"/>
      <c r="BT1317" s="933"/>
      <c r="BU1317" s="933"/>
      <c r="BV1317" s="313"/>
      <c r="BW1317" s="933"/>
      <c r="BX1317" s="933"/>
      <c r="BY1317" s="933"/>
      <c r="BZ1317" s="933"/>
      <c r="CA1317" s="313"/>
      <c r="CB1317" s="933"/>
      <c r="CC1317" s="933"/>
      <c r="CD1317" s="933"/>
      <c r="CE1317" s="933"/>
      <c r="CF1317" s="313"/>
      <c r="CG1317" s="933"/>
      <c r="CH1317" s="933"/>
      <c r="CI1317" s="933"/>
      <c r="CJ1317" s="933"/>
      <c r="CK1317" s="313"/>
      <c r="CL1317" s="961"/>
      <c r="CM1317" s="933"/>
      <c r="CN1317" s="933"/>
      <c r="CO1317" s="933"/>
      <c r="CP1317" s="313"/>
      <c r="CQ1317" s="933"/>
      <c r="CR1317" s="933"/>
      <c r="CS1317" s="1227"/>
      <c r="CT1317" s="1227"/>
      <c r="CU1317" s="1228"/>
      <c r="CV1317" s="1227"/>
      <c r="CW1317" s="1227"/>
      <c r="CX1317" s="1227"/>
      <c r="CY1317" s="1227"/>
      <c r="CZ1317" s="1228"/>
      <c r="DA1317" s="1322"/>
      <c r="DB1317" s="1357"/>
      <c r="DC1317" s="1357"/>
      <c r="DD1317" s="1345"/>
      <c r="DE1317" s="1811"/>
      <c r="DF1317" s="1836"/>
      <c r="DG1317" s="1822"/>
      <c r="DH1317" s="1822"/>
      <c r="DI1317" s="1837"/>
      <c r="DJ1317" s="1811"/>
      <c r="DK1317" s="1811"/>
      <c r="DL1317" s="1811"/>
      <c r="DM1317" s="1811"/>
      <c r="DN1317" s="1811"/>
      <c r="DO1317" s="1811"/>
      <c r="DP1317" s="1836"/>
      <c r="DQ1317" s="1822"/>
      <c r="DR1317" s="1822"/>
      <c r="DS1317" s="1822"/>
      <c r="DT1317" s="1811"/>
      <c r="DU1317" s="1836"/>
      <c r="DV1317" s="1822"/>
      <c r="DW1317" s="1822"/>
      <c r="DX1317" s="1837"/>
      <c r="DY1317" s="1811"/>
      <c r="DZ1317" s="1822"/>
      <c r="EA1317" s="1822"/>
      <c r="EB1317" s="1837"/>
      <c r="EC1317" s="1837"/>
      <c r="ED1317" s="1811"/>
      <c r="EE1317" s="1822"/>
      <c r="EF1317" s="1822"/>
      <c r="EG1317" s="1822"/>
      <c r="EH1317" s="1836"/>
      <c r="EI1317" s="1811"/>
      <c r="EJ1317" s="1811"/>
      <c r="EK1317" s="1811"/>
      <c r="EL1317" s="1811"/>
      <c r="EM1317" s="1811"/>
      <c r="EN1317" s="1811"/>
      <c r="EO1317" s="1811"/>
      <c r="EP1317" s="1811"/>
      <c r="EQ1317" s="1811"/>
      <c r="ER1317" s="1811"/>
      <c r="ES1317" s="1811"/>
      <c r="ET1317" s="1811"/>
      <c r="EU1317" s="1811"/>
      <c r="EV1317" s="1811"/>
      <c r="EW1317" s="1811"/>
      <c r="EX1317" s="1811"/>
    </row>
    <row r="1318" spans="1:154" ht="12.75" hidden="1" customHeight="1" outlineLevel="2">
      <c r="B1318" s="439" t="s">
        <v>605</v>
      </c>
      <c r="C1318" s="1577"/>
      <c r="D1318" s="933"/>
      <c r="E1318" s="933"/>
      <c r="F1318" s="933"/>
      <c r="G1318" s="933"/>
      <c r="H1318" s="933"/>
      <c r="I1318" s="933"/>
      <c r="J1318" s="933"/>
      <c r="K1318" s="933"/>
      <c r="L1318" s="933"/>
      <c r="M1318" s="933"/>
      <c r="N1318" s="933"/>
      <c r="O1318" s="933"/>
      <c r="P1318" s="933"/>
      <c r="Q1318" s="933"/>
      <c r="R1318" s="933"/>
      <c r="S1318" s="933"/>
      <c r="T1318" s="933"/>
      <c r="U1318" s="933"/>
      <c r="V1318" s="933"/>
      <c r="W1318" s="933"/>
      <c r="X1318" s="1061"/>
      <c r="Y1318" s="933"/>
      <c r="Z1318" s="933"/>
      <c r="AA1318" s="933"/>
      <c r="AB1318" s="933"/>
      <c r="AC1318" s="1061"/>
      <c r="AD1318" s="933"/>
      <c r="AE1318" s="933"/>
      <c r="AF1318" s="933"/>
      <c r="AG1318" s="933"/>
      <c r="AH1318" s="1061"/>
      <c r="AI1318" s="933"/>
      <c r="AJ1318" s="933"/>
      <c r="AK1318" s="933"/>
      <c r="AL1318" s="933"/>
      <c r="AM1318" s="1061"/>
      <c r="AN1318" s="933"/>
      <c r="AO1318" s="933"/>
      <c r="AP1318" s="933"/>
      <c r="AQ1318" s="933"/>
      <c r="AR1318" s="1061"/>
      <c r="AS1318" s="933"/>
      <c r="AT1318" s="933"/>
      <c r="AU1318" s="933"/>
      <c r="AV1318" s="933"/>
      <c r="AW1318" s="1061"/>
      <c r="AX1318" s="933"/>
      <c r="AY1318" s="933"/>
      <c r="AZ1318" s="933"/>
      <c r="BA1318" s="933"/>
      <c r="BB1318" s="1061"/>
      <c r="BC1318" s="933"/>
      <c r="BD1318" s="933"/>
      <c r="BE1318" s="933"/>
      <c r="BF1318" s="933"/>
      <c r="BG1318" s="313"/>
      <c r="BH1318" s="933"/>
      <c r="BI1318" s="933"/>
      <c r="BJ1318" s="933"/>
      <c r="BK1318" s="933"/>
      <c r="BL1318" s="313"/>
      <c r="BM1318" s="933"/>
      <c r="BN1318" s="933"/>
      <c r="BO1318" s="933"/>
      <c r="BP1318" s="933"/>
      <c r="BQ1318" s="313"/>
      <c r="BR1318" s="933"/>
      <c r="BS1318" s="933"/>
      <c r="BT1318" s="933"/>
      <c r="BU1318" s="933"/>
      <c r="BV1318" s="313"/>
      <c r="BW1318" s="933"/>
      <c r="BX1318" s="933"/>
      <c r="BY1318" s="933"/>
      <c r="BZ1318" s="933"/>
      <c r="CA1318" s="313"/>
      <c r="CB1318" s="933"/>
      <c r="CC1318" s="933"/>
      <c r="CD1318" s="933"/>
      <c r="CE1318" s="933"/>
      <c r="CF1318" s="313"/>
      <c r="CG1318" s="933"/>
      <c r="CH1318" s="933"/>
      <c r="CI1318" s="933"/>
      <c r="CJ1318" s="926"/>
      <c r="CK1318" s="1060"/>
      <c r="CL1318" s="958"/>
      <c r="CM1318" s="933"/>
      <c r="CN1318" s="933"/>
      <c r="CO1318" s="926"/>
      <c r="CP1318" s="1060"/>
      <c r="CQ1318" s="926"/>
      <c r="CR1318" s="926"/>
      <c r="CS1318" s="1219"/>
      <c r="CT1318" s="1219"/>
      <c r="CU1318" s="1536"/>
      <c r="CV1318" s="1219"/>
      <c r="CW1318" s="1219"/>
      <c r="CX1318" s="1219"/>
      <c r="CY1318" s="1219"/>
      <c r="CZ1318" s="1536"/>
      <c r="DA1318" s="2376"/>
      <c r="DB1318" s="1219"/>
      <c r="DC1318" s="1219"/>
      <c r="DD1318" s="1235"/>
      <c r="DE1318" s="1536"/>
      <c r="DF1318" s="2376"/>
      <c r="DG1318" s="1219"/>
      <c r="DH1318" s="1219"/>
      <c r="DI1318" s="1235"/>
      <c r="DJ1318" s="1536"/>
      <c r="DK1318" s="1536"/>
      <c r="DL1318" s="1536"/>
      <c r="DM1318" s="1536"/>
      <c r="DN1318" s="1536"/>
      <c r="DO1318" s="1536"/>
      <c r="DP1318" s="2376"/>
      <c r="DQ1318" s="1219"/>
      <c r="DR1318" s="1219"/>
      <c r="DS1318" s="1219"/>
      <c r="DT1318" s="1536"/>
      <c r="DU1318" s="2376"/>
      <c r="DV1318" s="1219"/>
      <c r="DW1318" s="1219"/>
      <c r="DX1318" s="1235"/>
      <c r="DY1318" s="1536"/>
      <c r="DZ1318" s="1219"/>
      <c r="EA1318" s="1219"/>
      <c r="EB1318" s="1235"/>
      <c r="EC1318" s="1235"/>
      <c r="ED1318" s="1536"/>
      <c r="EE1318" s="1219"/>
      <c r="EF1318" s="1219"/>
      <c r="EG1318" s="1219"/>
      <c r="EH1318" s="2376"/>
      <c r="EI1318" s="1536"/>
      <c r="EJ1318" s="1536"/>
      <c r="EK1318" s="1536"/>
      <c r="EL1318" s="1536"/>
      <c r="EM1318" s="1536"/>
      <c r="EN1318" s="1536"/>
      <c r="EO1318" s="1536"/>
      <c r="EP1318" s="1536"/>
      <c r="EQ1318" s="1536"/>
      <c r="ER1318" s="1536"/>
      <c r="ES1318" s="1536"/>
      <c r="ET1318" s="1536"/>
      <c r="EU1318" s="1536"/>
      <c r="EV1318" s="1536"/>
      <c r="EW1318" s="1536"/>
      <c r="EX1318" s="1536"/>
    </row>
    <row r="1319" spans="1:154" ht="12.75" hidden="1" customHeight="1" outlineLevel="2">
      <c r="B1319" s="443" t="s">
        <v>156</v>
      </c>
      <c r="C1319" s="1577"/>
      <c r="D1319" s="933"/>
      <c r="E1319" s="933"/>
      <c r="F1319" s="933"/>
      <c r="G1319" s="933"/>
      <c r="H1319" s="933"/>
      <c r="I1319" s="933"/>
      <c r="J1319" s="933"/>
      <c r="K1319" s="933"/>
      <c r="L1319" s="933"/>
      <c r="M1319" s="933"/>
      <c r="N1319" s="933"/>
      <c r="O1319" s="933"/>
      <c r="P1319" s="933"/>
      <c r="Q1319" s="933"/>
      <c r="R1319" s="933"/>
      <c r="S1319" s="933"/>
      <c r="T1319" s="933"/>
      <c r="U1319" s="933"/>
      <c r="V1319" s="933"/>
      <c r="W1319" s="933"/>
      <c r="X1319" s="1060"/>
      <c r="Y1319" s="933"/>
      <c r="Z1319" s="933"/>
      <c r="AA1319" s="933"/>
      <c r="AB1319" s="933"/>
      <c r="AC1319" s="1060"/>
      <c r="AD1319" s="926"/>
      <c r="AE1319" s="926"/>
      <c r="AF1319" s="926"/>
      <c r="AG1319" s="926"/>
      <c r="AH1319" s="1060"/>
      <c r="AI1319" s="926"/>
      <c r="AJ1319" s="926"/>
      <c r="AK1319" s="926"/>
      <c r="AL1319" s="926"/>
      <c r="AM1319" s="1060"/>
      <c r="AN1319" s="926"/>
      <c r="AO1319" s="926"/>
      <c r="AP1319" s="926"/>
      <c r="AQ1319" s="926"/>
      <c r="AR1319" s="1060"/>
      <c r="AS1319" s="926"/>
      <c r="AT1319" s="926"/>
      <c r="AU1319" s="926"/>
      <c r="AV1319" s="926"/>
      <c r="AW1319" s="1060"/>
      <c r="AX1319" s="926"/>
      <c r="AY1319" s="926"/>
      <c r="AZ1319" s="926"/>
      <c r="BA1319" s="926"/>
      <c r="BB1319" s="1060"/>
      <c r="BC1319" s="926"/>
      <c r="BD1319" s="926"/>
      <c r="BE1319" s="926"/>
      <c r="BF1319" s="926"/>
      <c r="BG1319" s="1060"/>
      <c r="BH1319" s="926"/>
      <c r="BI1319" s="926"/>
      <c r="BJ1319" s="926"/>
      <c r="BK1319" s="926"/>
      <c r="BL1319" s="1060"/>
      <c r="BM1319" s="926"/>
      <c r="BN1319" s="926"/>
      <c r="BO1319" s="926"/>
      <c r="BP1319" s="926"/>
      <c r="BQ1319" s="1060"/>
      <c r="BR1319" s="926"/>
      <c r="BS1319" s="926"/>
      <c r="BT1319" s="926"/>
      <c r="BU1319" s="926"/>
      <c r="BV1319" s="1060"/>
      <c r="BW1319" s="649"/>
      <c r="BX1319" s="649"/>
      <c r="BY1319" s="649"/>
      <c r="BZ1319" s="649"/>
      <c r="CA1319" s="2248"/>
      <c r="CB1319" s="926"/>
      <c r="CC1319" s="926"/>
      <c r="CD1319" s="926"/>
      <c r="CE1319" s="926"/>
      <c r="CF1319" s="2248"/>
      <c r="CG1319" s="926">
        <f>IF(CB1314=0, "NA", CG1314/CB1314-1)</f>
      </c>
      <c r="CH1319" s="926">
        <f>IF(CC1314=0, "NA", CH1314/CC1314-1)</f>
      </c>
      <c r="CI1319" s="926">
        <f t="shared" ref="CI1319:CO1320" si="2647">IF(CD1314=0, "NA", CI1314/CD1314-1)</f>
      </c>
      <c r="CJ1319" s="926">
        <f t="shared" si="2647"/>
      </c>
      <c r="CK1319" s="1060">
        <f t="shared" si="2647"/>
      </c>
      <c r="CL1319" s="2384">
        <f t="shared" si="2647"/>
      </c>
      <c r="CM1319" s="926">
        <f t="shared" si="2647"/>
      </c>
      <c r="CN1319" s="926">
        <f t="shared" si="2647"/>
      </c>
      <c r="CO1319" s="926">
        <f t="shared" si="2647"/>
      </c>
      <c r="CP1319" s="1060">
        <f>IF(CK1314=0, 0, CP1314/CK1314-1)</f>
      </c>
      <c r="CQ1319" s="659">
        <v>0</v>
      </c>
      <c r="CR1319" s="659">
        <v>0</v>
      </c>
      <c r="CS1319" s="1208"/>
      <c r="CT1319" s="1208"/>
      <c r="CU1319" s="1536"/>
      <c r="CV1319" s="1208"/>
      <c r="CW1319" s="1208"/>
      <c r="CX1319" s="1208"/>
      <c r="CY1319" s="1208"/>
      <c r="CZ1319" s="1234"/>
      <c r="DA1319" s="1271"/>
      <c r="DB1319" s="1208"/>
      <c r="DC1319" s="1208"/>
      <c r="DD1319" s="1232"/>
      <c r="DE1319" s="1234"/>
      <c r="DF1319" s="1271"/>
      <c r="DG1319" s="1208"/>
      <c r="DH1319" s="1208"/>
      <c r="DI1319" s="1232"/>
      <c r="DJ1319" s="1232"/>
      <c r="DK1319" s="1232"/>
      <c r="DL1319" s="1232"/>
      <c r="DM1319" s="1232"/>
      <c r="DN1319" s="1232"/>
      <c r="DO1319" s="1232"/>
      <c r="DP1319" s="1208"/>
      <c r="DQ1319" s="1208"/>
      <c r="DR1319" s="1208"/>
      <c r="DS1319" s="1208"/>
      <c r="DT1319" s="1234"/>
      <c r="DU1319" s="1208"/>
      <c r="DV1319" s="1208"/>
      <c r="DW1319" s="1208"/>
      <c r="DX1319" s="1232"/>
      <c r="DY1319" s="1234"/>
      <c r="DZ1319" s="1208"/>
      <c r="EA1319" s="1208"/>
      <c r="EB1319" s="1232"/>
      <c r="EC1319" s="1232"/>
      <c r="ED1319" s="1234"/>
      <c r="EE1319" s="1208"/>
      <c r="EF1319" s="1208"/>
      <c r="EG1319" s="1208"/>
      <c r="EH1319" s="1208"/>
      <c r="EI1319" s="1234"/>
      <c r="EJ1319" s="1234"/>
      <c r="EK1319" s="1234"/>
      <c r="EL1319" s="1234"/>
      <c r="EM1319" s="1234"/>
      <c r="EN1319" s="1234"/>
      <c r="EO1319" s="1234"/>
      <c r="EP1319" s="1234"/>
      <c r="EQ1319" s="1234"/>
      <c r="ER1319" s="1234"/>
      <c r="ES1319" s="1234"/>
      <c r="ET1319" s="1234"/>
      <c r="EU1319" s="1234"/>
      <c r="EV1319" s="1234"/>
      <c r="EW1319" s="1234"/>
      <c r="EX1319" s="1234"/>
    </row>
    <row r="1320" spans="1:154" ht="12.75" hidden="1" customHeight="1" outlineLevel="2">
      <c r="B1320" s="443" t="s">
        <v>235</v>
      </c>
      <c r="C1320" s="1577"/>
      <c r="D1320" s="933"/>
      <c r="E1320" s="933"/>
      <c r="F1320" s="933"/>
      <c r="G1320" s="933"/>
      <c r="H1320" s="933"/>
      <c r="I1320" s="933"/>
      <c r="J1320" s="933"/>
      <c r="K1320" s="933"/>
      <c r="L1320" s="933"/>
      <c r="M1320" s="933"/>
      <c r="N1320" s="933"/>
      <c r="O1320" s="933"/>
      <c r="P1320" s="933"/>
      <c r="Q1320" s="933"/>
      <c r="R1320" s="933"/>
      <c r="S1320" s="933"/>
      <c r="T1320" s="933"/>
      <c r="U1320" s="933"/>
      <c r="V1320" s="933"/>
      <c r="W1320" s="933"/>
      <c r="X1320" s="1060"/>
      <c r="Y1320" s="933"/>
      <c r="Z1320" s="933"/>
      <c r="AA1320" s="933"/>
      <c r="AB1320" s="933"/>
      <c r="AC1320" s="1060"/>
      <c r="AD1320" s="926"/>
      <c r="AE1320" s="926"/>
      <c r="AF1320" s="926"/>
      <c r="AG1320" s="926"/>
      <c r="AH1320" s="1060"/>
      <c r="AI1320" s="926"/>
      <c r="AJ1320" s="926"/>
      <c r="AK1320" s="926"/>
      <c r="AL1320" s="926"/>
      <c r="AM1320" s="1060"/>
      <c r="AN1320" s="926"/>
      <c r="AO1320" s="926"/>
      <c r="AP1320" s="926"/>
      <c r="AQ1320" s="926"/>
      <c r="AR1320" s="1060"/>
      <c r="AS1320" s="926"/>
      <c r="AT1320" s="926"/>
      <c r="AU1320" s="926"/>
      <c r="AV1320" s="926"/>
      <c r="AW1320" s="1060"/>
      <c r="AX1320" s="926"/>
      <c r="AY1320" s="926"/>
      <c r="AZ1320" s="926"/>
      <c r="BA1320" s="926"/>
      <c r="BB1320" s="1060"/>
      <c r="BC1320" s="926"/>
      <c r="BD1320" s="926"/>
      <c r="BE1320" s="926"/>
      <c r="BF1320" s="926"/>
      <c r="BG1320" s="1060"/>
      <c r="BH1320" s="926"/>
      <c r="BI1320" s="926"/>
      <c r="BJ1320" s="926"/>
      <c r="BK1320" s="926"/>
      <c r="BL1320" s="1060"/>
      <c r="BM1320" s="926"/>
      <c r="BN1320" s="926"/>
      <c r="BO1320" s="926"/>
      <c r="BP1320" s="926"/>
      <c r="BQ1320" s="1060"/>
      <c r="BR1320" s="926"/>
      <c r="BS1320" s="926"/>
      <c r="BT1320" s="926"/>
      <c r="BU1320" s="926"/>
      <c r="BV1320" s="1060"/>
      <c r="BW1320" s="926"/>
      <c r="BX1320" s="926"/>
      <c r="BY1320" s="926"/>
      <c r="BZ1320" s="928"/>
      <c r="CA1320" s="1060"/>
      <c r="CB1320" s="926"/>
      <c r="CC1320" s="926"/>
      <c r="CD1320" s="926"/>
      <c r="CE1320" s="926"/>
      <c r="CF1320" s="1060"/>
      <c r="CG1320" s="926">
        <f>IF(CB1315=0, "NA", CG1315/CB1315-1)</f>
      </c>
      <c r="CH1320" s="926">
        <f>IF(CC1315=0, "NA", CH1315/CC1315-1)</f>
      </c>
      <c r="CI1320" s="926">
        <f t="shared" si="2647"/>
      </c>
      <c r="CJ1320" s="926">
        <f t="shared" si="2647"/>
      </c>
      <c r="CK1320" s="1060">
        <f t="shared" si="2647"/>
      </c>
      <c r="CL1320" s="958">
        <f t="shared" si="2647"/>
      </c>
      <c r="CM1320" s="926">
        <f t="shared" si="2647"/>
      </c>
      <c r="CN1320" s="926">
        <f t="shared" si="2647"/>
      </c>
      <c r="CO1320" s="926">
        <f t="shared" si="2647"/>
      </c>
      <c r="CP1320" s="1060">
        <f>IF(CK1315=0, "NA", CP1315/CK1315-1)</f>
      </c>
      <c r="CQ1320" s="926">
        <f>CQ1321+CQ$21</f>
      </c>
      <c r="CR1320" s="926">
        <f>CR1321+CR$21</f>
      </c>
      <c r="CS1320" s="1219"/>
      <c r="CT1320" s="1219"/>
      <c r="CU1320" s="1536"/>
      <c r="CV1320" s="1219"/>
      <c r="CW1320" s="1219"/>
      <c r="CX1320" s="1219"/>
      <c r="CY1320" s="1219"/>
      <c r="CZ1320" s="1536"/>
      <c r="DA1320" s="2376"/>
      <c r="DB1320" s="1219"/>
      <c r="DC1320" s="1219"/>
      <c r="DD1320" s="1235"/>
      <c r="DE1320" s="1536"/>
      <c r="DF1320" s="2376"/>
      <c r="DG1320" s="1219"/>
      <c r="DH1320" s="1219"/>
      <c r="DI1320" s="1235"/>
      <c r="DJ1320" s="1536"/>
      <c r="DK1320" s="1536"/>
      <c r="DL1320" s="1536"/>
      <c r="DM1320" s="1536"/>
      <c r="DN1320" s="1536"/>
      <c r="DO1320" s="1536"/>
      <c r="DP1320" s="2376"/>
      <c r="DQ1320" s="1219"/>
      <c r="DR1320" s="1219"/>
      <c r="DS1320" s="1219"/>
      <c r="DT1320" s="1536"/>
      <c r="DU1320" s="2376"/>
      <c r="DV1320" s="1219"/>
      <c r="DW1320" s="1219"/>
      <c r="DX1320" s="1235"/>
      <c r="DY1320" s="1536"/>
      <c r="DZ1320" s="1219"/>
      <c r="EA1320" s="1219"/>
      <c r="EB1320" s="1235"/>
      <c r="EC1320" s="1235"/>
      <c r="ED1320" s="1536"/>
      <c r="EE1320" s="1219"/>
      <c r="EF1320" s="1219"/>
      <c r="EG1320" s="1219"/>
      <c r="EH1320" s="2376"/>
      <c r="EI1320" s="1536"/>
      <c r="EJ1320" s="1536"/>
      <c r="EK1320" s="1536"/>
      <c r="EL1320" s="1536"/>
      <c r="EM1320" s="1536"/>
      <c r="EN1320" s="1536"/>
      <c r="EO1320" s="1536"/>
      <c r="EP1320" s="1536"/>
      <c r="EQ1320" s="1536"/>
      <c r="ER1320" s="1536"/>
      <c r="ES1320" s="1536"/>
      <c r="ET1320" s="1536"/>
      <c r="EU1320" s="1536"/>
      <c r="EV1320" s="1536"/>
      <c r="EW1320" s="1536"/>
      <c r="EX1320" s="1536"/>
    </row>
    <row r="1321" spans="1:154" ht="12.75" hidden="1" customHeight="1" outlineLevel="2">
      <c r="B1321" s="443" t="s">
        <v>157</v>
      </c>
      <c r="C1321" s="1577"/>
      <c r="D1321" s="933"/>
      <c r="E1321" s="933"/>
      <c r="F1321" s="933"/>
      <c r="G1321" s="933"/>
      <c r="H1321" s="933"/>
      <c r="I1321" s="933"/>
      <c r="J1321" s="933"/>
      <c r="K1321" s="933"/>
      <c r="L1321" s="933"/>
      <c r="M1321" s="933"/>
      <c r="N1321" s="933"/>
      <c r="O1321" s="933"/>
      <c r="P1321" s="933"/>
      <c r="Q1321" s="933"/>
      <c r="R1321" s="933"/>
      <c r="S1321" s="933"/>
      <c r="T1321" s="933"/>
      <c r="U1321" s="933"/>
      <c r="V1321" s="933"/>
      <c r="W1321" s="933"/>
      <c r="X1321" s="2248"/>
      <c r="Y1321" s="933"/>
      <c r="Z1321" s="933"/>
      <c r="AA1321" s="933"/>
      <c r="AB1321" s="933"/>
      <c r="AC1321" s="2248"/>
      <c r="AD1321" s="959"/>
      <c r="AE1321" s="959"/>
      <c r="AF1321" s="959"/>
      <c r="AG1321" s="959"/>
      <c r="AH1321" s="2248"/>
      <c r="AI1321" s="959"/>
      <c r="AJ1321" s="959"/>
      <c r="AK1321" s="959"/>
      <c r="AL1321" s="959"/>
      <c r="AM1321" s="2248"/>
      <c r="AN1321" s="959"/>
      <c r="AO1321" s="959"/>
      <c r="AP1321" s="959"/>
      <c r="AQ1321" s="959"/>
      <c r="AR1321" s="2248"/>
      <c r="AS1321" s="959"/>
      <c r="AT1321" s="959"/>
      <c r="AU1321" s="959"/>
      <c r="AV1321" s="959"/>
      <c r="AW1321" s="2248"/>
      <c r="AX1321" s="959"/>
      <c r="AY1321" s="959"/>
      <c r="AZ1321" s="959"/>
      <c r="BA1321" s="959"/>
      <c r="BB1321" s="2248"/>
      <c r="BC1321" s="959"/>
      <c r="BD1321" s="959"/>
      <c r="BE1321" s="959"/>
      <c r="BF1321" s="959"/>
      <c r="BG1321" s="1066"/>
      <c r="BH1321" s="959"/>
      <c r="BI1321" s="959"/>
      <c r="BJ1321" s="959"/>
      <c r="BK1321" s="959"/>
      <c r="BL1321" s="2248"/>
      <c r="BM1321" s="959"/>
      <c r="BN1321" s="959"/>
      <c r="BO1321" s="959"/>
      <c r="BP1321" s="926"/>
      <c r="BQ1321" s="2248"/>
      <c r="BR1321" s="959"/>
      <c r="BS1321" s="959"/>
      <c r="BT1321" s="959"/>
      <c r="BU1321" s="926"/>
      <c r="BV1321" s="2248"/>
      <c r="BW1321" s="407"/>
      <c r="BX1321" s="407"/>
      <c r="BY1321" s="407"/>
      <c r="BZ1321" s="649"/>
      <c r="CA1321" s="1060"/>
      <c r="CB1321" s="926"/>
      <c r="CC1321" s="926"/>
      <c r="CD1321" s="926"/>
      <c r="CE1321" s="926"/>
      <c r="CF1321" s="1060"/>
      <c r="CG1321" s="959">
        <f t="shared" ref="CG1321:CP1321" si="2648">CG1320-CG$21</f>
      </c>
      <c r="CH1321" s="959">
        <f t="shared" si="2648"/>
      </c>
      <c r="CI1321" s="959">
        <f t="shared" si="2648"/>
      </c>
      <c r="CJ1321" s="959">
        <f t="shared" si="2648"/>
      </c>
      <c r="CK1321" s="2248">
        <f t="shared" si="2648"/>
      </c>
      <c r="CL1321" s="2384">
        <f t="shared" si="2648"/>
      </c>
      <c r="CM1321" s="959">
        <f t="shared" si="2648"/>
      </c>
      <c r="CN1321" s="959">
        <f t="shared" si="2648"/>
      </c>
      <c r="CO1321" s="959">
        <f t="shared" si="2648"/>
      </c>
      <c r="CP1321" s="2248">
        <f t="shared" si="2648"/>
      </c>
      <c r="CQ1321" s="659">
        <v>0.16200000000000001</v>
      </c>
      <c r="CR1321" s="659">
        <v>0.16200000000000001</v>
      </c>
      <c r="CS1321" s="1208"/>
      <c r="CT1321" s="1208"/>
      <c r="CU1321" s="2377"/>
      <c r="CV1321" s="1208"/>
      <c r="CW1321" s="1208"/>
      <c r="CX1321" s="1208"/>
      <c r="CY1321" s="1208"/>
      <c r="CZ1321" s="1234"/>
      <c r="DA1321" s="1271"/>
      <c r="DB1321" s="1208"/>
      <c r="DC1321" s="1208"/>
      <c r="DD1321" s="1232"/>
      <c r="DE1321" s="1234"/>
      <c r="DF1321" s="1271"/>
      <c r="DG1321" s="1208"/>
      <c r="DH1321" s="1208"/>
      <c r="DI1321" s="1232"/>
      <c r="DJ1321" s="1232"/>
      <c r="DK1321" s="1232"/>
      <c r="DL1321" s="1232"/>
      <c r="DM1321" s="1232"/>
      <c r="DN1321" s="1232"/>
      <c r="DO1321" s="1232"/>
      <c r="DP1321" s="1208"/>
      <c r="DQ1321" s="1208"/>
      <c r="DR1321" s="1208"/>
      <c r="DS1321" s="1208"/>
      <c r="DT1321" s="1234"/>
      <c r="DU1321" s="1208"/>
      <c r="DV1321" s="1208"/>
      <c r="DW1321" s="1208"/>
      <c r="DX1321" s="1232"/>
      <c r="DY1321" s="1234"/>
      <c r="DZ1321" s="1208"/>
      <c r="EA1321" s="1208"/>
      <c r="EB1321" s="1232"/>
      <c r="EC1321" s="1232"/>
      <c r="ED1321" s="1234"/>
      <c r="EE1321" s="1208"/>
      <c r="EF1321" s="1208"/>
      <c r="EG1321" s="1208"/>
      <c r="EH1321" s="1208"/>
      <c r="EI1321" s="1234"/>
      <c r="EJ1321" s="1234"/>
      <c r="EK1321" s="1234"/>
      <c r="EL1321" s="1234"/>
      <c r="EM1321" s="1234"/>
      <c r="EN1321" s="1234"/>
      <c r="EO1321" s="1234"/>
      <c r="EP1321" s="1234"/>
      <c r="EQ1321" s="1234"/>
      <c r="ER1321" s="1234"/>
      <c r="ES1321" s="1234"/>
      <c r="ET1321" s="1234"/>
      <c r="EU1321" s="1234"/>
      <c r="EV1321" s="1234"/>
      <c r="EW1321" s="1234"/>
      <c r="EX1321" s="1234"/>
    </row>
    <row r="1322" spans="1:154" ht="12.75" hidden="1" customHeight="1" outlineLevel="2">
      <c r="B1322" s="443" t="s">
        <v>19</v>
      </c>
      <c r="C1322" s="1577"/>
      <c r="D1322" s="933"/>
      <c r="E1322" s="933"/>
      <c r="F1322" s="933"/>
      <c r="G1322" s="933"/>
      <c r="H1322" s="933"/>
      <c r="I1322" s="933"/>
      <c r="J1322" s="933"/>
      <c r="K1322" s="933"/>
      <c r="L1322" s="933"/>
      <c r="M1322" s="933"/>
      <c r="N1322" s="933"/>
      <c r="O1322" s="933"/>
      <c r="P1322" s="933"/>
      <c r="Q1322" s="933"/>
      <c r="R1322" s="933"/>
      <c r="S1322" s="933"/>
      <c r="T1322" s="933"/>
      <c r="U1322" s="933"/>
      <c r="V1322" s="933"/>
      <c r="W1322" s="933"/>
      <c r="X1322" s="1060"/>
      <c r="Y1322" s="933"/>
      <c r="Z1322" s="933"/>
      <c r="AA1322" s="933"/>
      <c r="AB1322" s="933"/>
      <c r="AC1322" s="1060"/>
      <c r="AD1322" s="926"/>
      <c r="AE1322" s="926"/>
      <c r="AF1322" s="926"/>
      <c r="AG1322" s="926"/>
      <c r="AH1322" s="1060"/>
      <c r="AI1322" s="926"/>
      <c r="AJ1322" s="926"/>
      <c r="AK1322" s="926"/>
      <c r="AL1322" s="926"/>
      <c r="AM1322" s="1060"/>
      <c r="AN1322" s="926"/>
      <c r="AO1322" s="926"/>
      <c r="AP1322" s="926"/>
      <c r="AQ1322" s="926"/>
      <c r="AR1322" s="1060"/>
      <c r="AS1322" s="926"/>
      <c r="AT1322" s="926"/>
      <c r="AU1322" s="926"/>
      <c r="AV1322" s="926"/>
      <c r="AW1322" s="1060"/>
      <c r="AX1322" s="926"/>
      <c r="AY1322" s="926"/>
      <c r="AZ1322" s="926"/>
      <c r="BA1322" s="926"/>
      <c r="BB1322" s="1060"/>
      <c r="BC1322" s="926"/>
      <c r="BD1322" s="926"/>
      <c r="BE1322" s="926"/>
      <c r="BF1322" s="926"/>
      <c r="BG1322" s="1060"/>
      <c r="BH1322" s="926"/>
      <c r="BI1322" s="926"/>
      <c r="BJ1322" s="926"/>
      <c r="BK1322" s="926"/>
      <c r="BL1322" s="1060"/>
      <c r="BM1322" s="926"/>
      <c r="BN1322" s="926"/>
      <c r="BO1322" s="926"/>
      <c r="BP1322" s="926"/>
      <c r="BQ1322" s="1060"/>
      <c r="BR1322" s="926"/>
      <c r="BS1322" s="926"/>
      <c r="BT1322" s="926"/>
      <c r="BU1322" s="926"/>
      <c r="BV1322" s="1060"/>
      <c r="BW1322" s="926"/>
      <c r="BX1322" s="926"/>
      <c r="BY1322" s="926"/>
      <c r="BZ1322" s="928"/>
      <c r="CA1322" s="1060"/>
      <c r="CB1322" s="926"/>
      <c r="CC1322" s="926"/>
      <c r="CD1322" s="926"/>
      <c r="CE1322" s="926"/>
      <c r="CF1322" s="1060"/>
      <c r="CG1322" s="926">
        <f t="shared" ref="CG1322:CR1322" si="2649">IF(CB1316=0, "NA", CG1316/CB1316-1)</f>
      </c>
      <c r="CH1322" s="926">
        <f t="shared" si="2649"/>
      </c>
      <c r="CI1322" s="926">
        <f t="shared" si="2649"/>
      </c>
      <c r="CJ1322" s="926">
        <f t="shared" si="2649"/>
      </c>
      <c r="CK1322" s="1060">
        <f t="shared" si="2649"/>
      </c>
      <c r="CL1322" s="958">
        <f t="shared" si="2649"/>
      </c>
      <c r="CM1322" s="926">
        <f t="shared" si="2649"/>
      </c>
      <c r="CN1322" s="926">
        <f t="shared" si="2649"/>
      </c>
      <c r="CO1322" s="926">
        <f t="shared" si="2649"/>
      </c>
      <c r="CP1322" s="1060">
        <f t="shared" si="2649"/>
      </c>
      <c r="CQ1322" s="926">
        <f t="shared" si="2649"/>
      </c>
      <c r="CR1322" s="926">
        <f t="shared" si="2649"/>
      </c>
      <c r="CS1322" s="1219"/>
      <c r="CT1322" s="1219"/>
      <c r="CU1322" s="1536"/>
      <c r="CV1322" s="1219"/>
      <c r="CW1322" s="1219"/>
      <c r="CX1322" s="1219"/>
      <c r="CY1322" s="1219"/>
      <c r="CZ1322" s="1536"/>
      <c r="DA1322" s="2376"/>
      <c r="DB1322" s="1219"/>
      <c r="DC1322" s="1219"/>
      <c r="DD1322" s="1235"/>
      <c r="DE1322" s="1536"/>
      <c r="DF1322" s="2376"/>
      <c r="DG1322" s="1219"/>
      <c r="DH1322" s="1219"/>
      <c r="DI1322" s="1235"/>
      <c r="DJ1322" s="1536"/>
      <c r="DK1322" s="1536"/>
      <c r="DL1322" s="1536"/>
      <c r="DM1322" s="1536"/>
      <c r="DN1322" s="1536"/>
      <c r="DO1322" s="1536"/>
      <c r="DP1322" s="2376"/>
      <c r="DQ1322" s="1219"/>
      <c r="DR1322" s="1219"/>
      <c r="DS1322" s="1219"/>
      <c r="DT1322" s="1536"/>
      <c r="DU1322" s="2376"/>
      <c r="DV1322" s="1219"/>
      <c r="DW1322" s="1219"/>
      <c r="DX1322" s="1235"/>
      <c r="DY1322" s="1536"/>
      <c r="DZ1322" s="1219"/>
      <c r="EA1322" s="1219"/>
      <c r="EB1322" s="1235"/>
      <c r="EC1322" s="1235"/>
      <c r="ED1322" s="1536"/>
      <c r="EE1322" s="1219"/>
      <c r="EF1322" s="1219"/>
      <c r="EG1322" s="1219"/>
      <c r="EH1322" s="2376"/>
      <c r="EI1322" s="1536"/>
      <c r="EJ1322" s="1536"/>
      <c r="EK1322" s="1536"/>
      <c r="EL1322" s="1536"/>
      <c r="EM1322" s="1536"/>
      <c r="EN1322" s="1536"/>
      <c r="EO1322" s="1536"/>
      <c r="EP1322" s="1536"/>
      <c r="EQ1322" s="1536"/>
      <c r="ER1322" s="1536"/>
      <c r="ES1322" s="1536"/>
      <c r="ET1322" s="1536"/>
      <c r="EU1322" s="1536"/>
      <c r="EV1322" s="1536"/>
      <c r="EW1322" s="1536"/>
      <c r="EX1322" s="1536"/>
    </row>
    <row r="1323" spans="1:154" ht="12.75" hidden="1" customHeight="1" outlineLevel="2">
      <c r="B1323" s="344"/>
      <c r="C1323" s="1577"/>
      <c r="D1323" s="933"/>
      <c r="E1323" s="933"/>
      <c r="F1323" s="933"/>
      <c r="G1323" s="933"/>
      <c r="H1323" s="933"/>
      <c r="I1323" s="933"/>
      <c r="J1323" s="933"/>
      <c r="K1323" s="933"/>
      <c r="L1323" s="933"/>
      <c r="M1323" s="933"/>
      <c r="N1323" s="933"/>
      <c r="O1323" s="933"/>
      <c r="P1323" s="933"/>
      <c r="Q1323" s="933"/>
      <c r="R1323" s="933"/>
      <c r="S1323" s="933"/>
      <c r="T1323" s="933"/>
      <c r="U1323" s="933"/>
      <c r="V1323" s="933"/>
      <c r="W1323" s="933"/>
      <c r="X1323" s="1061"/>
      <c r="Y1323" s="933"/>
      <c r="Z1323" s="933"/>
      <c r="AA1323" s="933"/>
      <c r="AB1323" s="933"/>
      <c r="AC1323" s="1061"/>
      <c r="AD1323" s="933"/>
      <c r="AE1323" s="933"/>
      <c r="AF1323" s="933"/>
      <c r="AG1323" s="933"/>
      <c r="AH1323" s="1061"/>
      <c r="AI1323" s="933"/>
      <c r="AJ1323" s="933"/>
      <c r="AK1323" s="933"/>
      <c r="AL1323" s="933"/>
      <c r="AM1323" s="1061"/>
      <c r="AN1323" s="933"/>
      <c r="AO1323" s="933"/>
      <c r="AP1323" s="933"/>
      <c r="AQ1323" s="933"/>
      <c r="AR1323" s="1061"/>
      <c r="AS1323" s="933"/>
      <c r="AT1323" s="933"/>
      <c r="AU1323" s="933"/>
      <c r="AV1323" s="933"/>
      <c r="AW1323" s="1061"/>
      <c r="AX1323" s="933"/>
      <c r="AY1323" s="933"/>
      <c r="AZ1323" s="933"/>
      <c r="BA1323" s="933"/>
      <c r="BB1323" s="1061"/>
      <c r="BC1323" s="933"/>
      <c r="BD1323" s="933"/>
      <c r="BE1323" s="933"/>
      <c r="BF1323" s="933"/>
      <c r="BG1323" s="1061"/>
      <c r="BH1323" s="933"/>
      <c r="BI1323" s="361"/>
      <c r="BJ1323" s="361"/>
      <c r="BK1323" s="361"/>
      <c r="BL1323" s="2248"/>
      <c r="BM1323" s="361"/>
      <c r="BN1323" s="361"/>
      <c r="BO1323" s="361"/>
      <c r="BP1323" s="361"/>
      <c r="BQ1323" s="316"/>
      <c r="BR1323" s="361"/>
      <c r="BS1323" s="361"/>
      <c r="BT1323" s="361"/>
      <c r="BU1323" s="361"/>
      <c r="BV1323" s="316"/>
      <c r="BW1323" s="361"/>
      <c r="BX1323" s="361"/>
      <c r="BY1323" s="361"/>
      <c r="BZ1323" s="361"/>
      <c r="CA1323" s="316"/>
      <c r="CB1323" s="361"/>
      <c r="CC1323" s="361"/>
      <c r="CD1323" s="361"/>
      <c r="CE1323" s="361"/>
      <c r="CF1323" s="316"/>
      <c r="CG1323" s="361"/>
      <c r="CH1323" s="361"/>
      <c r="CI1323" s="361"/>
      <c r="CJ1323" s="361"/>
      <c r="CK1323" s="316"/>
      <c r="CL1323" s="828"/>
      <c r="CM1323" s="361"/>
      <c r="CN1323" s="361"/>
      <c r="CO1323" s="361"/>
      <c r="CP1323" s="316"/>
      <c r="CQ1323" s="361"/>
      <c r="CR1323" s="361"/>
      <c r="CS1323" s="1109"/>
      <c r="CT1323" s="1109"/>
      <c r="CU1323" s="1238"/>
      <c r="CV1323" s="361"/>
      <c r="CW1323" s="1109"/>
      <c r="CX1323" s="1109"/>
      <c r="CY1323" s="1109"/>
      <c r="CZ1323" s="1238"/>
      <c r="DA1323" s="2378"/>
      <c r="DB1323" s="3050"/>
      <c r="DC1323" s="3050"/>
      <c r="DD1323" s="1237"/>
      <c r="DE1323" s="1238"/>
      <c r="DF1323" s="2378"/>
      <c r="DG1323" s="3050"/>
      <c r="DH1323" s="3050"/>
      <c r="DI1323" s="1237"/>
      <c r="DJ1323" s="1238"/>
      <c r="DK1323" s="1238"/>
      <c r="DL1323" s="1238"/>
      <c r="DM1323" s="1238"/>
      <c r="DN1323" s="1238"/>
      <c r="DO1323" s="1238"/>
      <c r="DP1323" s="2378"/>
      <c r="DQ1323" s="3050"/>
      <c r="DR1323" s="3050"/>
      <c r="DS1323" s="1109"/>
      <c r="DT1323" s="1238"/>
      <c r="DU1323" s="2378"/>
      <c r="DV1323" s="3050"/>
      <c r="DW1323" s="3050"/>
      <c r="DX1323" s="3307"/>
      <c r="DY1323" s="1238"/>
      <c r="DZ1323" s="1109"/>
      <c r="EA1323" s="1109"/>
      <c r="EB1323" s="1237"/>
      <c r="EC1323" s="3307"/>
      <c r="ED1323" s="1238"/>
      <c r="EE1323" s="1109"/>
      <c r="EF1323" s="1109"/>
      <c r="EG1323" s="1109"/>
      <c r="EH1323" s="2378"/>
      <c r="EI1323" s="1238"/>
      <c r="EJ1323" s="1238"/>
      <c r="EK1323" s="1238"/>
      <c r="EL1323" s="1238"/>
      <c r="EM1323" s="1238"/>
      <c r="EN1323" s="1238"/>
      <c r="EO1323" s="1238"/>
      <c r="EP1323" s="1238"/>
      <c r="EQ1323" s="1238"/>
      <c r="ER1323" s="1238"/>
      <c r="ES1323" s="1238"/>
      <c r="ET1323" s="1238"/>
      <c r="EU1323" s="1238"/>
      <c r="EV1323" s="1238"/>
      <c r="EW1323" s="1238"/>
      <c r="EX1323" s="1238"/>
    </row>
    <row r="1324" spans="1:154" collapsed="1">
      <c r="B1324" s="3310" t="s">
        <v>464</v>
      </c>
      <c r="C1324" s="1992"/>
      <c r="D1324" s="1980"/>
      <c r="E1324" s="449"/>
      <c r="F1324" s="449"/>
      <c r="G1324" s="449"/>
      <c r="H1324" s="449"/>
      <c r="I1324" s="450"/>
      <c r="J1324" s="449"/>
      <c r="K1324" s="449"/>
      <c r="L1324" s="449"/>
      <c r="M1324" s="449"/>
      <c r="N1324" s="450"/>
      <c r="O1324" s="450"/>
      <c r="P1324" s="450"/>
      <c r="Q1324" s="450"/>
      <c r="R1324" s="450"/>
      <c r="S1324" s="450"/>
      <c r="T1324" s="450"/>
      <c r="U1324" s="450"/>
      <c r="V1324" s="450"/>
      <c r="W1324" s="450"/>
      <c r="X1324" s="451"/>
      <c r="Y1324" s="450"/>
      <c r="Z1324" s="450"/>
      <c r="AA1324" s="450"/>
      <c r="AB1324" s="450"/>
      <c r="AC1324" s="451"/>
      <c r="AD1324" s="450"/>
      <c r="AE1324" s="450"/>
      <c r="AF1324" s="450"/>
      <c r="AG1324" s="450"/>
      <c r="AH1324" s="451"/>
      <c r="AI1324" s="449"/>
      <c r="AJ1324" s="449"/>
      <c r="AK1324" s="449"/>
      <c r="AL1324" s="450"/>
      <c r="AM1324" s="451"/>
      <c r="AN1324" s="449"/>
      <c r="AO1324" s="449"/>
      <c r="AP1324" s="449"/>
      <c r="AQ1324" s="450"/>
      <c r="AR1324" s="451"/>
      <c r="AS1324" s="449"/>
      <c r="AT1324" s="449"/>
      <c r="AU1324" s="449"/>
      <c r="AV1324" s="450"/>
      <c r="AW1324" s="451"/>
      <c r="AX1324" s="449"/>
      <c r="AY1324" s="449"/>
      <c r="AZ1324" s="449"/>
      <c r="BA1324" s="449"/>
      <c r="BB1324" s="451"/>
      <c r="BC1324" s="449"/>
      <c r="BD1324" s="449"/>
      <c r="BE1324" s="449"/>
      <c r="BF1324" s="449"/>
      <c r="BG1324" s="451"/>
      <c r="BH1324" s="449"/>
      <c r="BI1324" s="449"/>
      <c r="BJ1324" s="449"/>
      <c r="BK1324" s="449"/>
      <c r="BL1324" s="451"/>
      <c r="BM1324" s="449"/>
      <c r="BN1324" s="449"/>
      <c r="BO1324" s="449"/>
      <c r="BP1324" s="449"/>
      <c r="BQ1324" s="451"/>
      <c r="BR1324" s="449"/>
      <c r="BS1324" s="449"/>
      <c r="BT1324" s="449"/>
      <c r="BU1324" s="449"/>
      <c r="BV1324" s="451"/>
      <c r="BW1324" s="449"/>
      <c r="BX1324" s="449"/>
      <c r="BY1324" s="449"/>
      <c r="BZ1324" s="449"/>
      <c r="CA1324" s="451"/>
      <c r="CB1324" s="449"/>
      <c r="CC1324" s="449"/>
      <c r="CD1324" s="449"/>
      <c r="CE1324" s="449"/>
      <c r="CF1324" s="451"/>
      <c r="CG1324" s="449"/>
      <c r="CH1324" s="449"/>
      <c r="CI1324" s="449"/>
      <c r="CJ1324" s="449"/>
      <c r="CK1324" s="451"/>
      <c r="CL1324" s="449"/>
      <c r="CM1324" s="449"/>
      <c r="CN1324" s="449"/>
      <c r="CO1324" s="1395"/>
      <c r="CP1324" s="451"/>
      <c r="CQ1324" s="449"/>
      <c r="CR1324" s="449"/>
      <c r="CS1324" s="449"/>
      <c r="CT1324" s="1141"/>
      <c r="CU1324" s="451"/>
      <c r="CV1324" s="449"/>
      <c r="CW1324" s="449"/>
      <c r="CX1324" s="449"/>
      <c r="CY1324" s="1141"/>
      <c r="CZ1324" s="451"/>
      <c r="DA1324" s="449"/>
      <c r="DB1324" s="1367"/>
      <c r="DC1324" s="1367"/>
      <c r="DD1324" s="1196"/>
      <c r="DE1324" s="1824"/>
      <c r="DF1324" s="1825"/>
      <c r="DG1324" s="1826"/>
      <c r="DH1324" s="1826"/>
      <c r="DI1324" s="1827"/>
      <c r="DJ1324" s="1824"/>
      <c r="DK1324" s="1825"/>
      <c r="DL1324" s="1826"/>
      <c r="DM1324" s="1826"/>
      <c r="DN1324" s="1827"/>
      <c r="DO1324" s="1824"/>
      <c r="DP1324" s="1826"/>
      <c r="DQ1324" s="1826"/>
      <c r="DR1324" s="1826"/>
      <c r="DS1324" s="1827"/>
      <c r="DT1324" s="1824"/>
      <c r="DU1324" s="2113"/>
      <c r="DV1324" s="2113"/>
      <c r="DW1324" s="2113"/>
      <c r="DX1324" s="2114"/>
      <c r="DY1324" s="1824"/>
      <c r="DZ1324" s="3476"/>
      <c r="EA1324" s="3476"/>
      <c r="EB1324" s="3476"/>
      <c r="EC1324" s="2114"/>
      <c r="ED1324" s="1824"/>
      <c r="EE1324" s="3476"/>
      <c r="EF1324" s="3476"/>
      <c r="EG1324" s="3476"/>
      <c r="EH1324" s="3476"/>
      <c r="EI1324" s="1828"/>
      <c r="EJ1324" s="1828"/>
      <c r="EK1324" s="1828"/>
      <c r="EL1324" s="1828"/>
      <c r="EM1324" s="1828"/>
      <c r="EN1324" s="1828"/>
      <c r="EO1324" s="2209"/>
      <c r="EP1324" s="2209"/>
      <c r="EQ1324" s="2209"/>
      <c r="ER1324" s="2209"/>
      <c r="ES1324" s="2209"/>
      <c r="ET1324" s="2209"/>
      <c r="EU1324" s="2209"/>
      <c r="EV1324" s="2209"/>
      <c r="EW1324" s="2209"/>
      <c r="EX1324" s="2209"/>
    </row>
    <row r="1325" spans="1:154">
      <c r="B1325" s="334" t="s">
        <v>925</v>
      </c>
      <c r="C1325" s="1577"/>
      <c r="D1325" s="33">
        <v>379.80769230769232</v>
      </c>
      <c r="E1325" s="33">
        <v>96</v>
      </c>
      <c r="F1325" s="33">
        <v>105</v>
      </c>
      <c r="G1325" s="33">
        <v>106</v>
      </c>
      <c r="H1325" s="33">
        <v>88</v>
      </c>
      <c r="I1325" s="31">
        <f>+SUM(E1325:H1325)</f>
      </c>
      <c r="J1325" s="33">
        <v>103</v>
      </c>
      <c r="K1325" s="33">
        <v>103</v>
      </c>
      <c r="L1325" s="33">
        <v>111</v>
      </c>
      <c r="M1325" s="33">
        <v>104</v>
      </c>
      <c r="N1325" s="31">
        <f>+SUM(J1325:M1325)</f>
      </c>
      <c r="O1325" s="33">
        <v>103</v>
      </c>
      <c r="P1325" s="33">
        <v>100</v>
      </c>
      <c r="Q1325" s="33">
        <v>109</v>
      </c>
      <c r="R1325" s="33">
        <v>98</v>
      </c>
      <c r="S1325" s="31">
        <f>SUM(O1325:R1325)</f>
      </c>
      <c r="T1325" s="33">
        <v>116</v>
      </c>
      <c r="U1325" s="33">
        <v>115</v>
      </c>
      <c r="V1325" s="33">
        <v>122</v>
      </c>
      <c r="W1325" s="33">
        <v>100</v>
      </c>
      <c r="X1325" s="313">
        <f>SUM(T1325:W1325)</f>
      </c>
      <c r="Y1325" s="33">
        <v>118</v>
      </c>
      <c r="Z1325" s="33">
        <v>122</v>
      </c>
      <c r="AA1325" s="33">
        <v>132</v>
      </c>
      <c r="AB1325" s="33">
        <v>113</v>
      </c>
      <c r="AC1325" s="313">
        <f>SUM(Y1325:AB1325)</f>
      </c>
      <c r="AD1325" s="33">
        <v>141</v>
      </c>
      <c r="AE1325" s="33">
        <v>145</v>
      </c>
      <c r="AF1325" s="33">
        <v>149</v>
      </c>
      <c r="AG1325" s="33">
        <v>139</v>
      </c>
      <c r="AH1325" s="313">
        <f>SUM(AD1325:AG1325)</f>
      </c>
      <c r="AI1325" s="33">
        <v>153</v>
      </c>
      <c r="AJ1325" s="33">
        <v>162</v>
      </c>
      <c r="AK1325" s="33">
        <v>169</v>
      </c>
      <c r="AL1325" s="33">
        <v>146</v>
      </c>
      <c r="AM1325" s="313">
        <f>+SUM(AI1325:AL1325)</f>
      </c>
      <c r="AN1325" s="33">
        <v>172</v>
      </c>
      <c r="AO1325" s="33">
        <v>183</v>
      </c>
      <c r="AP1325" s="33">
        <v>185</v>
      </c>
      <c r="AQ1325" s="33">
        <v>157</v>
      </c>
      <c r="AR1325" s="313">
        <f>+SUM(AN1325:AQ1325)</f>
      </c>
      <c r="AS1325" s="33">
        <v>195</v>
      </c>
      <c r="AT1325" s="33">
        <v>213</v>
      </c>
      <c r="AU1325" s="33">
        <v>214</v>
      </c>
      <c r="AV1325" s="33">
        <v>190</v>
      </c>
      <c r="AW1325" s="313">
        <f>+SUM(AS1325:AV1325)</f>
      </c>
      <c r="AX1325" s="33">
        <v>226</v>
      </c>
      <c r="AY1325" s="33">
        <v>227</v>
      </c>
      <c r="AZ1325" s="33">
        <v>236</v>
      </c>
      <c r="BA1325" s="33">
        <v>201</v>
      </c>
      <c r="BB1325" s="313">
        <f>SUM(AX1325:BA1325)</f>
      </c>
      <c r="BC1325" s="33">
        <v>234</v>
      </c>
      <c r="BD1325" s="33">
        <v>231</v>
      </c>
      <c r="BE1325" s="33">
        <v>238</v>
      </c>
      <c r="BF1325" s="33">
        <v>188</v>
      </c>
      <c r="BG1325" s="313">
        <f>SUM(BC1325:BF1325)</f>
      </c>
      <c r="BH1325" s="33">
        <v>249</v>
      </c>
      <c r="BI1325" s="33">
        <v>232</v>
      </c>
      <c r="BJ1325" s="33">
        <v>241</v>
      </c>
      <c r="BK1325" s="33">
        <v>212</v>
      </c>
      <c r="BL1325" s="313">
        <f>SUM(BH1325:BK1325)</f>
      </c>
      <c r="BM1325" s="33">
        <v>256</v>
      </c>
      <c r="BN1325" s="352">
        <v>245</v>
      </c>
      <c r="BO1325" s="352">
        <v>251</v>
      </c>
      <c r="BP1325" s="33">
        <v>214</v>
      </c>
      <c r="BQ1325" s="313">
        <f>SUM(BM1325:BP1325)</f>
      </c>
      <c r="BR1325" s="33">
        <v>277</v>
      </c>
      <c r="BS1325" s="352">
        <v>253</v>
      </c>
      <c r="BT1325" s="352">
        <v>260</v>
      </c>
      <c r="BU1325" s="352">
        <v>229</v>
      </c>
      <c r="BV1325" s="313">
        <f>SUM(BR1325:BU1325)</f>
      </c>
      <c r="BW1325" s="352">
        <v>281</v>
      </c>
      <c r="BX1325" s="352">
        <v>262</v>
      </c>
      <c r="BY1325" s="352">
        <v>265</v>
      </c>
      <c r="BZ1325" s="352">
        <v>228</v>
      </c>
      <c r="CA1325" s="313">
        <f>SUM(BW1325:BZ1325)</f>
      </c>
      <c r="CB1325" s="352">
        <v>286</v>
      </c>
      <c r="CC1325" s="352">
        <v>262</v>
      </c>
      <c r="CD1325" s="352">
        <v>232</v>
      </c>
      <c r="CE1325" s="352">
        <v>195</v>
      </c>
      <c r="CF1325" s="1061">
        <f>SUM(CB1325:CE1325)</f>
      </c>
      <c r="CG1325" s="352">
        <v>253</v>
      </c>
      <c r="CH1325" s="352">
        <v>243</v>
      </c>
      <c r="CI1325" s="352">
        <v>262</v>
      </c>
      <c r="CJ1325" s="352">
        <v>239</v>
      </c>
      <c r="CK1325" s="1061">
        <f>SUM(CG1325:CJ1325)</f>
      </c>
      <c r="CL1325" s="3011">
        <v>242</v>
      </c>
      <c r="CM1325" s="3011">
        <v>248</v>
      </c>
      <c r="CN1325" s="3011">
        <v>277</v>
      </c>
      <c r="CO1325" s="3011">
        <v>265</v>
      </c>
      <c r="CP1325" s="3009">
        <f>SUM(CL1325:CO1325)</f>
      </c>
      <c r="CQ1325" s="352">
        <v>305</v>
      </c>
      <c r="CR1325" s="352">
        <v>405</v>
      </c>
      <c r="CS1325" s="352">
        <v>432</v>
      </c>
      <c r="CT1325" s="352">
        <v>433</v>
      </c>
      <c r="CU1325" s="1505">
        <f>SUM(CQ1325:CT1325)</f>
      </c>
      <c r="CV1325" s="577">
        <v>440</v>
      </c>
      <c r="CW1325" s="577">
        <v>459</v>
      </c>
      <c r="CX1325" s="577">
        <v>452</v>
      </c>
      <c r="CY1325" s="577">
        <v>426</v>
      </c>
      <c r="CZ1325" s="1505">
        <f>SUM(CV1325:CY1325)</f>
      </c>
      <c r="DA1325" s="577">
        <v>446</v>
      </c>
      <c r="DB1325" s="577">
        <v>461</v>
      </c>
      <c r="DC1325" s="577">
        <v>459</v>
      </c>
      <c r="DD1325" s="1205">
        <v>428</v>
      </c>
      <c r="DE1325" s="1835">
        <f>SUM(DA1325:DD1325)</f>
      </c>
      <c r="DF1325" s="710">
        <v>439</v>
      </c>
      <c r="DG1325" s="710">
        <v>248</v>
      </c>
      <c r="DH1325" s="710">
        <v>473</v>
      </c>
      <c r="DI1325" s="1839">
        <v>396.6</v>
      </c>
      <c r="DJ1325" s="1835">
        <f>SUM(DF1325:DI1325)</f>
      </c>
      <c r="DK1325" s="710">
        <v>472.3</v>
      </c>
      <c r="DL1325" s="710">
        <v>467</v>
      </c>
      <c r="DM1325" s="710">
        <f>475+1</f>
      </c>
      <c r="DN1325" s="1839">
        <v>443</v>
      </c>
      <c r="DO1325" s="1835">
        <f>SUM(DK1325:DN1325)</f>
      </c>
      <c r="DP1325" s="710">
        <f>521+1</f>
      </c>
      <c r="DQ1325" s="710">
        <v>496</v>
      </c>
      <c r="DR1325" s="710">
        <f>517-1</f>
      </c>
      <c r="DS1325" s="710">
        <v>456</v>
      </c>
      <c r="DT1325" s="1835">
        <f>SUM(DP1325:DS1325)</f>
      </c>
      <c r="DU1325" s="710">
        <v>558</v>
      </c>
      <c r="DV1325" s="710">
        <v>529</v>
      </c>
      <c r="DW1325" s="710">
        <v>512</v>
      </c>
      <c r="DX1325" s="1839">
        <v>487</v>
      </c>
      <c r="DY1325" s="1835">
        <f>SUM(DU1325:DX1325)</f>
      </c>
      <c r="DZ1325" s="710">
        <v>547</v>
      </c>
      <c r="EA1325" s="710">
        <v>523</v>
      </c>
      <c r="EB1325" s="710">
        <v>549</v>
      </c>
      <c r="EC1325" s="1552">
        <v>509</v>
      </c>
      <c r="ED1325" s="1835">
        <f>SUM(DZ1325:EC1325)</f>
      </c>
      <c r="EE1325" s="710">
        <v>566</v>
      </c>
      <c r="EF1325" s="710">
        <v>557</v>
      </c>
      <c r="EG1325" s="1542">
        <v>571</v>
      </c>
      <c r="EH1325" s="1840">
        <f>EI1325-SUM(EE1325:EG1325)</f>
      </c>
      <c r="EI1325" s="3113">
        <f>+ED1325*(1+EI1330)</f>
      </c>
      <c r="EJ1325" s="3113">
        <f t="shared" ref="EJ1325:EN1326" si="2650">+EI1325*(1+EJ1330)</f>
      </c>
      <c r="EK1325" s="1556">
        <f t="shared" si="2650"/>
      </c>
      <c r="EL1325" s="1556">
        <f t="shared" si="2650"/>
      </c>
      <c r="EM1325" s="1556">
        <f t="shared" si="2650"/>
      </c>
      <c r="EN1325" s="1556">
        <f t="shared" si="2650"/>
      </c>
      <c r="EO1325" s="477"/>
      <c r="EP1325" s="477"/>
      <c r="EQ1325" s="477"/>
      <c r="ER1325" s="477"/>
      <c r="ES1325" s="477"/>
      <c r="ET1325" s="477"/>
      <c r="EU1325" s="477"/>
      <c r="EV1325" s="477"/>
      <c r="EW1325" s="477"/>
      <c r="EX1325" s="477"/>
    </row>
    <row r="1326" spans="1:154">
      <c r="B1326" s="334" t="s">
        <v>412</v>
      </c>
      <c r="C1326" s="1577"/>
      <c r="D1326" s="33">
        <v>471.304347826087</v>
      </c>
      <c r="E1326" s="33">
        <v>125</v>
      </c>
      <c r="F1326" s="33">
        <v>129</v>
      </c>
      <c r="G1326" s="33">
        <v>143</v>
      </c>
      <c r="H1326" s="33">
        <v>145</v>
      </c>
      <c r="I1326" s="31">
        <f>+SUM(E1326:H1326)</f>
      </c>
      <c r="J1326" s="33">
        <v>139</v>
      </c>
      <c r="K1326" s="33">
        <v>152</v>
      </c>
      <c r="L1326" s="33">
        <v>163</v>
      </c>
      <c r="M1326" s="33">
        <v>157</v>
      </c>
      <c r="N1326" s="31">
        <f>+SUM(J1326:M1326)</f>
      </c>
      <c r="O1326" s="33">
        <v>156</v>
      </c>
      <c r="P1326" s="33">
        <v>158</v>
      </c>
      <c r="Q1326" s="33">
        <v>166</v>
      </c>
      <c r="R1326" s="33">
        <v>154</v>
      </c>
      <c r="S1326" s="31">
        <f>SUM(O1326:R1326)</f>
      </c>
      <c r="T1326" s="33">
        <v>154</v>
      </c>
      <c r="U1326" s="33">
        <v>173</v>
      </c>
      <c r="V1326" s="33">
        <v>190</v>
      </c>
      <c r="W1326" s="33">
        <v>198</v>
      </c>
      <c r="X1326" s="313">
        <f>SUM(T1326:W1326)</f>
      </c>
      <c r="Y1326" s="33">
        <v>182</v>
      </c>
      <c r="Z1326" s="33">
        <v>195</v>
      </c>
      <c r="AA1326" s="33">
        <v>210</v>
      </c>
      <c r="AB1326" s="33">
        <v>226</v>
      </c>
      <c r="AC1326" s="313">
        <f>SUM(Y1326:AB1326)</f>
      </c>
      <c r="AD1326" s="33">
        <v>213</v>
      </c>
      <c r="AE1326" s="33">
        <v>232</v>
      </c>
      <c r="AF1326" s="33">
        <v>243</v>
      </c>
      <c r="AG1326" s="33">
        <v>268</v>
      </c>
      <c r="AH1326" s="313">
        <f>SUM(AD1326:AG1326)</f>
      </c>
      <c r="AI1326" s="33">
        <v>254</v>
      </c>
      <c r="AJ1326" s="33">
        <v>264</v>
      </c>
      <c r="AK1326" s="33">
        <v>274</v>
      </c>
      <c r="AL1326" s="33">
        <v>272</v>
      </c>
      <c r="AM1326" s="313">
        <f>+SUM(AI1326:AL1326)</f>
      </c>
      <c r="AN1326" s="33">
        <v>269</v>
      </c>
      <c r="AO1326" s="33">
        <v>291</v>
      </c>
      <c r="AP1326" s="33">
        <v>308</v>
      </c>
      <c r="AQ1326" s="33">
        <v>314</v>
      </c>
      <c r="AR1326" s="313">
        <f>+SUM(AN1326:AQ1326)</f>
      </c>
      <c r="AS1326" s="33">
        <v>318</v>
      </c>
      <c r="AT1326" s="33">
        <v>340</v>
      </c>
      <c r="AU1326" s="33">
        <v>363</v>
      </c>
      <c r="AV1326" s="33">
        <v>376</v>
      </c>
      <c r="AW1326" s="313">
        <f>+SUM(AS1326:AV1326)</f>
      </c>
      <c r="AX1326" s="33">
        <v>381</v>
      </c>
      <c r="AY1326" s="33">
        <v>412</v>
      </c>
      <c r="AZ1326" s="33">
        <v>416</v>
      </c>
      <c r="BA1326" s="33">
        <v>401</v>
      </c>
      <c r="BB1326" s="313">
        <f>SUM(AX1326:BA1326)</f>
      </c>
      <c r="BC1326" s="33">
        <v>365</v>
      </c>
      <c r="BD1326" s="33">
        <v>399</v>
      </c>
      <c r="BE1326" s="33">
        <v>421</v>
      </c>
      <c r="BF1326" s="33">
        <v>430</v>
      </c>
      <c r="BG1326" s="313">
        <f>SUM(BC1326:BF1326)</f>
      </c>
      <c r="BH1326" s="33">
        <v>415</v>
      </c>
      <c r="BI1326" s="33">
        <v>430</v>
      </c>
      <c r="BJ1326" s="33">
        <v>454</v>
      </c>
      <c r="BK1326" s="33">
        <v>447</v>
      </c>
      <c r="BL1326" s="313">
        <f>SUM(BH1326:BK1326)</f>
      </c>
      <c r="BM1326" s="33">
        <v>466</v>
      </c>
      <c r="BN1326" s="352">
        <v>487</v>
      </c>
      <c r="BO1326" s="352">
        <v>501</v>
      </c>
      <c r="BP1326" s="33">
        <v>496</v>
      </c>
      <c r="BQ1326" s="313">
        <f>SUM(BM1326:BP1326)</f>
      </c>
      <c r="BR1326" s="33">
        <v>480</v>
      </c>
      <c r="BS1326" s="352">
        <v>477</v>
      </c>
      <c r="BT1326" s="352">
        <v>504</v>
      </c>
      <c r="BU1326" s="352">
        <v>516</v>
      </c>
      <c r="BV1326" s="313">
        <f>SUM(BR1326:BU1326)</f>
      </c>
      <c r="BW1326" s="352">
        <v>459</v>
      </c>
      <c r="BX1326" s="352">
        <v>468</v>
      </c>
      <c r="BY1326" s="352">
        <v>483</v>
      </c>
      <c r="BZ1326" s="352">
        <v>491</v>
      </c>
      <c r="CA1326" s="313">
        <f>SUM(BW1326:BZ1326)</f>
      </c>
      <c r="CB1326" s="352">
        <v>475</v>
      </c>
      <c r="CC1326" s="352">
        <v>445</v>
      </c>
      <c r="CD1326" s="352">
        <v>472</v>
      </c>
      <c r="CE1326" s="352">
        <v>451</v>
      </c>
      <c r="CF1326" s="1061">
        <f>SUM(CB1326:CE1326)</f>
      </c>
      <c r="CG1326" s="352">
        <v>378</v>
      </c>
      <c r="CH1326" s="352">
        <v>403</v>
      </c>
      <c r="CI1326" s="352">
        <v>421</v>
      </c>
      <c r="CJ1326" s="352">
        <v>409</v>
      </c>
      <c r="CK1326" s="1061">
        <f>SUM(CG1326:CJ1326)</f>
      </c>
      <c r="CL1326" s="3011">
        <v>398</v>
      </c>
      <c r="CM1326" s="3011">
        <v>437</v>
      </c>
      <c r="CN1326" s="3011">
        <v>462</v>
      </c>
      <c r="CO1326" s="3011">
        <v>456</v>
      </c>
      <c r="CP1326" s="3009">
        <f>SUM(CL1326:CO1326)</f>
      </c>
      <c r="CQ1326" s="352">
        <v>493</v>
      </c>
      <c r="CR1326" s="352">
        <v>650</v>
      </c>
      <c r="CS1326" s="352">
        <v>659</v>
      </c>
      <c r="CT1326" s="352">
        <v>686</v>
      </c>
      <c r="CU1326" s="1505">
        <f>SUM(CQ1326:CT1326)</f>
      </c>
      <c r="CV1326" s="577">
        <v>675</v>
      </c>
      <c r="CW1326" s="577">
        <v>714</v>
      </c>
      <c r="CX1326" s="577">
        <v>680</v>
      </c>
      <c r="CY1326" s="577">
        <v>707</v>
      </c>
      <c r="CZ1326" s="1505">
        <f>SUM(CV1326:CY1326)</f>
      </c>
      <c r="DA1326" s="577">
        <v>682</v>
      </c>
      <c r="DB1326" s="577">
        <v>701</v>
      </c>
      <c r="DC1326" s="577">
        <v>734</v>
      </c>
      <c r="DD1326" s="1205">
        <v>713</v>
      </c>
      <c r="DE1326" s="1835">
        <f>SUM(DA1326:DD1326)</f>
      </c>
      <c r="DF1326" s="710">
        <v>628</v>
      </c>
      <c r="DG1326" s="710">
        <v>447</v>
      </c>
      <c r="DH1326" s="710">
        <v>608</v>
      </c>
      <c r="DI1326" s="1839">
        <v>679</v>
      </c>
      <c r="DJ1326" s="1835">
        <f>SUM(DF1326:DI1326)</f>
      </c>
      <c r="DK1326" s="710">
        <v>673</v>
      </c>
      <c r="DL1326" s="710">
        <v>716</v>
      </c>
      <c r="DM1326" s="710">
        <v>714</v>
      </c>
      <c r="DN1326" s="1839">
        <v>728</v>
      </c>
      <c r="DO1326" s="1835">
        <f>SUM(DK1326:DN1326)</f>
      </c>
      <c r="DP1326" s="710">
        <f>736+1</f>
      </c>
      <c r="DQ1326" s="710">
        <v>745</v>
      </c>
      <c r="DR1326" s="710">
        <v>689</v>
      </c>
      <c r="DS1326" s="710">
        <v>689</v>
      </c>
      <c r="DT1326" s="1835">
        <f>SUM(DP1326:DS1326)</f>
      </c>
      <c r="DU1326" s="710">
        <v>743</v>
      </c>
      <c r="DV1326" s="710">
        <v>778</v>
      </c>
      <c r="DW1326" s="710">
        <v>744</v>
      </c>
      <c r="DX1326" s="1839">
        <v>721</v>
      </c>
      <c r="DY1326" s="1835">
        <f>SUM(DU1326:DX1326)</f>
      </c>
      <c r="DZ1326" s="710">
        <v>710</v>
      </c>
      <c r="EA1326" s="710">
        <v>763</v>
      </c>
      <c r="EB1326" s="710">
        <v>751</v>
      </c>
      <c r="EC1326" s="1552">
        <v>794</v>
      </c>
      <c r="ED1326" s="1835">
        <f>SUM(DZ1326:EC1326)</f>
      </c>
      <c r="EE1326" s="710">
        <v>713</v>
      </c>
      <c r="EF1326" s="710">
        <v>813</v>
      </c>
      <c r="EG1326" s="1542">
        <v>828</v>
      </c>
      <c r="EH1326" s="1542">
        <f>EI1326-SUM(EE1326:EG1326)</f>
      </c>
      <c r="EI1326" s="1835">
        <f>+ED1326*(1+EI1331)</f>
      </c>
      <c r="EJ1326" s="1835">
        <f t="shared" si="2650"/>
      </c>
      <c r="EK1326" s="1556">
        <f t="shared" si="2650"/>
      </c>
      <c r="EL1326" s="1556">
        <f t="shared" si="2650"/>
      </c>
      <c r="EM1326" s="1556">
        <f t="shared" si="2650"/>
      </c>
      <c r="EN1326" s="1556">
        <f t="shared" si="2650"/>
      </c>
      <c r="EO1326" s="477"/>
      <c r="EP1326" s="477"/>
      <c r="EQ1326" s="477"/>
      <c r="ER1326" s="477"/>
      <c r="ES1326" s="477"/>
      <c r="ET1326" s="477"/>
      <c r="EU1326" s="477"/>
      <c r="EV1326" s="477"/>
      <c r="EW1326" s="477"/>
      <c r="EX1326" s="477"/>
    </row>
    <row r="1327" spans="1:154">
      <c r="A1327" s="3275" t="s">
        <v>464</v>
      </c>
      <c r="B1327" s="334" t="s">
        <v>413</v>
      </c>
      <c r="C1327" s="1577"/>
      <c r="D1327" s="933">
        <f t="shared" ref="D1327:AV1327" si="2651">+D1325+D1326</f>
      </c>
      <c r="E1327" s="933">
        <f t="shared" si="2651"/>
      </c>
      <c r="F1327" s="933">
        <f t="shared" si="2651"/>
      </c>
      <c r="G1327" s="933">
        <f t="shared" si="2651"/>
      </c>
      <c r="H1327" s="933">
        <f t="shared" si="2651"/>
      </c>
      <c r="I1327" s="31">
        <f t="shared" si="2651"/>
      </c>
      <c r="J1327" s="933">
        <f t="shared" si="2651"/>
      </c>
      <c r="K1327" s="933">
        <f t="shared" si="2651"/>
      </c>
      <c r="L1327" s="933">
        <f t="shared" si="2651"/>
      </c>
      <c r="M1327" s="933">
        <f t="shared" si="2651"/>
      </c>
      <c r="N1327" s="31">
        <f t="shared" si="2651"/>
      </c>
      <c r="O1327" s="31">
        <f t="shared" si="2651"/>
      </c>
      <c r="P1327" s="31">
        <f t="shared" si="2651"/>
      </c>
      <c r="Q1327" s="31">
        <f t="shared" si="2651"/>
      </c>
      <c r="R1327" s="31">
        <f t="shared" si="2651"/>
      </c>
      <c r="S1327" s="31">
        <f t="shared" si="2651"/>
      </c>
      <c r="T1327" s="31">
        <f t="shared" si="2651"/>
      </c>
      <c r="U1327" s="31">
        <f t="shared" si="2651"/>
      </c>
      <c r="V1327" s="31">
        <f t="shared" si="2651"/>
      </c>
      <c r="W1327" s="31">
        <f t="shared" si="2651"/>
      </c>
      <c r="X1327" s="313">
        <f t="shared" si="2651"/>
      </c>
      <c r="Y1327" s="31">
        <f t="shared" si="2651"/>
      </c>
      <c r="Z1327" s="31">
        <f t="shared" si="2651"/>
      </c>
      <c r="AA1327" s="31">
        <f t="shared" si="2651"/>
      </c>
      <c r="AB1327" s="31">
        <f t="shared" si="2651"/>
      </c>
      <c r="AC1327" s="313">
        <f t="shared" si="2651"/>
      </c>
      <c r="AD1327" s="31">
        <f t="shared" si="2651"/>
      </c>
      <c r="AE1327" s="31">
        <f t="shared" si="2651"/>
      </c>
      <c r="AF1327" s="31">
        <f t="shared" si="2651"/>
      </c>
      <c r="AG1327" s="31">
        <f t="shared" si="2651"/>
      </c>
      <c r="AH1327" s="313">
        <f t="shared" si="2651"/>
      </c>
      <c r="AI1327" s="933">
        <f t="shared" si="2651"/>
      </c>
      <c r="AJ1327" s="933">
        <f t="shared" si="2651"/>
      </c>
      <c r="AK1327" s="933">
        <f t="shared" si="2651"/>
      </c>
      <c r="AL1327" s="31">
        <f t="shared" si="2651"/>
      </c>
      <c r="AM1327" s="313">
        <f t="shared" si="2651"/>
      </c>
      <c r="AN1327" s="933">
        <f t="shared" si="2651"/>
      </c>
      <c r="AO1327" s="933">
        <f t="shared" si="2651"/>
      </c>
      <c r="AP1327" s="933">
        <f t="shared" si="2651"/>
      </c>
      <c r="AQ1327" s="933">
        <f t="shared" si="2651"/>
      </c>
      <c r="AR1327" s="313">
        <f t="shared" si="2651"/>
      </c>
      <c r="AS1327" s="933">
        <f t="shared" si="2651"/>
      </c>
      <c r="AT1327" s="933">
        <f t="shared" si="2651"/>
      </c>
      <c r="AU1327" s="933">
        <f t="shared" si="2651"/>
      </c>
      <c r="AV1327" s="933">
        <f t="shared" si="2651"/>
      </c>
      <c r="AW1327" s="313">
        <f>+AW1325+AW1326</f>
      </c>
      <c r="AX1327" s="933">
        <f t="shared" ref="AX1327:BT1327" si="2652">+AX1325+AX1326</f>
      </c>
      <c r="AY1327" s="933">
        <f t="shared" si="2652"/>
      </c>
      <c r="AZ1327" s="933">
        <f t="shared" si="2652"/>
      </c>
      <c r="BA1327" s="933">
        <f t="shared" si="2652"/>
      </c>
      <c r="BB1327" s="313">
        <f t="shared" si="2652"/>
      </c>
      <c r="BC1327" s="933">
        <f t="shared" si="2652"/>
      </c>
      <c r="BD1327" s="933">
        <f t="shared" si="2652"/>
      </c>
      <c r="BE1327" s="933">
        <f t="shared" si="2652"/>
      </c>
      <c r="BF1327" s="933">
        <f t="shared" si="2652"/>
      </c>
      <c r="BG1327" s="313">
        <f t="shared" si="2652"/>
      </c>
      <c r="BH1327" s="933">
        <f t="shared" si="2652"/>
      </c>
      <c r="BI1327" s="933">
        <f t="shared" si="2652"/>
      </c>
      <c r="BJ1327" s="933">
        <f t="shared" si="2652"/>
      </c>
      <c r="BK1327" s="933">
        <f t="shared" si="2652"/>
      </c>
      <c r="BL1327" s="313">
        <f>SUM(BH1327:BK1327)</f>
      </c>
      <c r="BM1327" s="933">
        <f>+BM1325+BM1326</f>
      </c>
      <c r="BN1327" s="933">
        <f>+BN1325+BN1326</f>
      </c>
      <c r="BO1327" s="933">
        <f>+BO1325+BO1326</f>
      </c>
      <c r="BP1327" s="933">
        <f>+BP1325+BP1326</f>
      </c>
      <c r="BQ1327" s="313">
        <f>SUM(BM1327:BP1327)</f>
      </c>
      <c r="BR1327" s="933">
        <f t="shared" si="2652"/>
      </c>
      <c r="BS1327" s="933">
        <f>+BS1325+BS1326</f>
      </c>
      <c r="BT1327" s="933">
        <f t="shared" si="2652"/>
      </c>
      <c r="BU1327" s="933">
        <f>+BU1325+BU1326</f>
      </c>
      <c r="BV1327" s="313">
        <f>SUM(BR1327:BU1327)</f>
      </c>
      <c r="BW1327" s="933">
        <f>+BW1325+BW1326</f>
      </c>
      <c r="BX1327" s="933">
        <f>+BX1325+BX1326</f>
      </c>
      <c r="BY1327" s="933">
        <f>+BY1325+BY1326</f>
      </c>
      <c r="BZ1327" s="933">
        <f>+BZ1325+BZ1326</f>
      </c>
      <c r="CA1327" s="313">
        <f>SUM(BW1327:BZ1327)</f>
      </c>
      <c r="CB1327" s="933">
        <f>+CB1325+CB1326</f>
      </c>
      <c r="CC1327" s="933">
        <f>+CC1325+CC1326</f>
      </c>
      <c r="CD1327" s="933">
        <f>+CD1325+CD1326</f>
      </c>
      <c r="CE1327" s="933">
        <f>+CE1325+CE1326</f>
      </c>
      <c r="CF1327" s="1061">
        <f>SUM(CB1327:CE1327)</f>
      </c>
      <c r="CG1327" s="933">
        <f>+CG1325+CG1326</f>
      </c>
      <c r="CH1327" s="933">
        <f>+CH1325+CH1326</f>
      </c>
      <c r="CI1327" s="933">
        <f>+CI1325+CI1326</f>
      </c>
      <c r="CJ1327" s="933">
        <f>+CJ1325+CJ1326</f>
      </c>
      <c r="CK1327" s="1061">
        <f>SUM(CG1327:CJ1327)</f>
      </c>
      <c r="CL1327" s="3008">
        <f>+CL1325+CL1326</f>
      </c>
      <c r="CM1327" s="3008">
        <f>+CM1325+CM1326</f>
      </c>
      <c r="CN1327" s="3008">
        <f>+CN1325+CN1326</f>
      </c>
      <c r="CO1327" s="3008">
        <f>+CO1325+CO1326</f>
      </c>
      <c r="CP1327" s="3009">
        <f>SUM(CL1327:CO1327)</f>
      </c>
      <c r="CQ1327" s="933">
        <f>+CQ1325+CQ1326</f>
      </c>
      <c r="CR1327" s="933">
        <f>+CR1325+CR1326</f>
      </c>
      <c r="CS1327" s="933">
        <f>+CS1325+CS1326</f>
      </c>
      <c r="CT1327" s="933">
        <f>+CT1325+CT1326</f>
      </c>
      <c r="CU1327" s="1505">
        <f>SUM(CQ1327:CT1327)</f>
      </c>
      <c r="CV1327" s="948">
        <f>+CV1325+CV1326</f>
      </c>
      <c r="CW1327" s="948">
        <f>+CW1325+CW1326</f>
      </c>
      <c r="CX1327" s="948">
        <f>+CX1325+CX1326</f>
      </c>
      <c r="CY1327" s="948">
        <f>+CY1325+CY1326</f>
      </c>
      <c r="CZ1327" s="1505">
        <f>SUM(CV1327:CY1327)</f>
      </c>
      <c r="DA1327" s="948">
        <f>+DA1325+DA1326</f>
      </c>
      <c r="DB1327" s="948">
        <f>SUM(DB1325:DB1326)</f>
      </c>
      <c r="DC1327" s="36">
        <f>SUM(DC1325:DC1326)</f>
      </c>
      <c r="DD1327" s="984">
        <f>+DD1325+DD1326</f>
      </c>
      <c r="DE1327" s="1835">
        <f>SUM(DA1327:DD1327)</f>
      </c>
      <c r="DF1327" s="1542">
        <f>SUM(DF1325:DF1326)</f>
      </c>
      <c r="DG1327" s="1542">
        <f>SUM(DG1325:DG1326)</f>
      </c>
      <c r="DH1327" s="1542">
        <f>SUM(DH1325:DH1326)</f>
      </c>
      <c r="DI1327" s="1556">
        <f>+DI1325+DI1326</f>
      </c>
      <c r="DJ1327" s="1835">
        <f>SUM(DF1327:DI1327)</f>
      </c>
      <c r="DK1327" s="1542">
        <f>SUM(DK1325:DK1326)</f>
      </c>
      <c r="DL1327" s="1542">
        <f>SUM(DL1325:DL1326)</f>
      </c>
      <c r="DM1327" s="1542">
        <f>SUM(DM1325:DM1326)</f>
      </c>
      <c r="DN1327" s="1556">
        <f>SUM(DN1325:DN1326)</f>
      </c>
      <c r="DO1327" s="1835">
        <f>SUM(DK1327:DN1327)</f>
      </c>
      <c r="DP1327" s="1542">
        <f>SUM(DP1325:DP1326)</f>
      </c>
      <c r="DQ1327" s="1542">
        <f>SUM(DQ1325:DQ1326)</f>
      </c>
      <c r="DR1327" s="1542">
        <f>SUM(DR1325:DR1326)</f>
      </c>
      <c r="DS1327" s="1542">
        <f>SUM(DS1325:DS1326)</f>
      </c>
      <c r="DT1327" s="1835">
        <f>SUM(DP1327:DS1327)</f>
      </c>
      <c r="DU1327" s="1542">
        <f>SUM(DU1325:DU1326)</f>
      </c>
      <c r="DV1327" s="1542">
        <f>SUM(DV1325:DV1326)</f>
      </c>
      <c r="DW1327" s="1542">
        <f>SUM(DW1325:DW1326)</f>
      </c>
      <c r="DX1327" s="1556">
        <f>SUM(DX1325:DX1326)</f>
      </c>
      <c r="DY1327" s="1835">
        <f>SUM(DU1327:DX1327)</f>
      </c>
      <c r="DZ1327" s="1542">
        <f>SUM(DZ1325:DZ1326)</f>
      </c>
      <c r="EA1327" s="1542">
        <f>SUM(EA1325:EA1326)</f>
      </c>
      <c r="EB1327" s="1542">
        <f>SUM(EB1325:EB1326)</f>
      </c>
      <c r="EC1327" s="1553">
        <f>SUM(EC1325:EC1326)</f>
      </c>
      <c r="ED1327" s="1835">
        <f>SUM(DZ1327:EC1327)</f>
      </c>
      <c r="EE1327" s="1542">
        <f>SUM(EE1325:EE1326)</f>
      </c>
      <c r="EF1327" s="1542">
        <f>SUM(EF1325:EF1326)</f>
      </c>
      <c r="EG1327" s="1542">
        <f>SUM(EG1325:EG1326)</f>
      </c>
      <c r="EH1327" s="1542">
        <f>SUM(EH1325:EH1326)</f>
      </c>
      <c r="EI1327" s="1835">
        <f t="shared" ref="EI1327:EM1327" si="2653">+EI1325+EI1326</f>
      </c>
      <c r="EJ1327" s="1835">
        <f t="shared" si="2653"/>
      </c>
      <c r="EK1327" s="1556">
        <f t="shared" si="2653"/>
      </c>
      <c r="EL1327" s="1556">
        <f t="shared" si="2653"/>
      </c>
      <c r="EM1327" s="1556">
        <f t="shared" si="2653"/>
      </c>
      <c r="EN1327" s="1556">
        <f>+EN1325+EN1326</f>
      </c>
      <c r="EO1327" s="477"/>
      <c r="EP1327" s="477"/>
      <c r="EQ1327" s="477"/>
      <c r="ER1327" s="477"/>
      <c r="ES1327" s="477"/>
      <c r="ET1327" s="477"/>
      <c r="EU1327" s="477"/>
      <c r="EV1327" s="477"/>
      <c r="EW1327" s="477"/>
      <c r="EX1327" s="477"/>
    </row>
    <row r="1328" spans="1:154">
      <c r="B1328" s="334"/>
      <c r="C1328" s="1577"/>
      <c r="D1328" s="933"/>
      <c r="E1328" s="933"/>
      <c r="F1328" s="933"/>
      <c r="G1328" s="933"/>
      <c r="H1328" s="933"/>
      <c r="I1328" s="31"/>
      <c r="J1328" s="933"/>
      <c r="K1328" s="933"/>
      <c r="L1328" s="933"/>
      <c r="M1328" s="933"/>
      <c r="N1328" s="31"/>
      <c r="O1328" s="31"/>
      <c r="P1328" s="31"/>
      <c r="Q1328" s="31"/>
      <c r="R1328" s="31"/>
      <c r="S1328" s="31"/>
      <c r="T1328" s="31"/>
      <c r="U1328" s="31"/>
      <c r="V1328" s="31"/>
      <c r="W1328" s="31"/>
      <c r="X1328" s="330"/>
      <c r="Y1328" s="31"/>
      <c r="Z1328" s="31"/>
      <c r="AA1328" s="31"/>
      <c r="AB1328" s="31"/>
      <c r="AC1328" s="330"/>
      <c r="AD1328" s="31"/>
      <c r="AE1328" s="31"/>
      <c r="AF1328" s="31"/>
      <c r="AG1328" s="31"/>
      <c r="AH1328" s="330"/>
      <c r="AI1328" s="933"/>
      <c r="AJ1328" s="933"/>
      <c r="AK1328" s="933"/>
      <c r="AL1328" s="31"/>
      <c r="AM1328" s="330"/>
      <c r="AN1328" s="933"/>
      <c r="AO1328" s="933"/>
      <c r="AP1328" s="933"/>
      <c r="AQ1328" s="933"/>
      <c r="AR1328" s="330"/>
      <c r="AS1328" s="933"/>
      <c r="AT1328" s="933"/>
      <c r="AU1328" s="933"/>
      <c r="AV1328" s="933"/>
      <c r="AW1328" s="330"/>
      <c r="AX1328" s="933"/>
      <c r="AY1328" s="933"/>
      <c r="AZ1328" s="933"/>
      <c r="BA1328" s="933"/>
      <c r="BB1328" s="330"/>
      <c r="BC1328" s="933"/>
      <c r="BD1328" s="933"/>
      <c r="BE1328" s="933"/>
      <c r="BF1328" s="933"/>
      <c r="BG1328" s="313"/>
      <c r="BH1328" s="933"/>
      <c r="BI1328" s="933"/>
      <c r="BJ1328" s="933"/>
      <c r="BK1328" s="933"/>
      <c r="BL1328" s="313"/>
      <c r="BM1328" s="933"/>
      <c r="BN1328" s="933"/>
      <c r="BO1328" s="933"/>
      <c r="BP1328" s="933"/>
      <c r="BQ1328" s="313"/>
      <c r="BR1328" s="933"/>
      <c r="BS1328" s="933"/>
      <c r="BT1328" s="933"/>
      <c r="BU1328" s="933"/>
      <c r="BV1328" s="313"/>
      <c r="BW1328" s="933"/>
      <c r="BX1328" s="933"/>
      <c r="BY1328" s="933"/>
      <c r="BZ1328" s="933"/>
      <c r="CA1328" s="313"/>
      <c r="CB1328" s="933"/>
      <c r="CC1328" s="933"/>
      <c r="CD1328" s="933"/>
      <c r="CE1328" s="933"/>
      <c r="CF1328" s="313"/>
      <c r="CG1328" s="933"/>
      <c r="CH1328" s="933"/>
      <c r="CI1328" s="933"/>
      <c r="CJ1328" s="933"/>
      <c r="CK1328" s="313"/>
      <c r="CL1328" s="933"/>
      <c r="CM1328" s="933"/>
      <c r="CN1328" s="933"/>
      <c r="CO1328" s="933"/>
      <c r="CP1328" s="313"/>
      <c r="CQ1328" s="933"/>
      <c r="CR1328" s="933"/>
      <c r="CS1328" s="933"/>
      <c r="CT1328" s="933"/>
      <c r="CU1328" s="313"/>
      <c r="CV1328" s="933"/>
      <c r="CW1328" s="933"/>
      <c r="CX1328" s="933"/>
      <c r="CY1328" s="933"/>
      <c r="CZ1328" s="313"/>
      <c r="DA1328" s="933"/>
      <c r="DB1328" s="31"/>
      <c r="DC1328" s="31"/>
      <c r="DD1328" s="955"/>
      <c r="DE1328" s="477"/>
      <c r="DF1328" s="925"/>
      <c r="DG1328" s="2265"/>
      <c r="DH1328" s="2265"/>
      <c r="DI1328" s="1904"/>
      <c r="DJ1328" s="477"/>
      <c r="DK1328" s="925"/>
      <c r="DL1328" s="1915"/>
      <c r="DM1328" s="2265"/>
      <c r="DN1328" s="1946"/>
      <c r="DO1328" s="477"/>
      <c r="DP1328" s="1915"/>
      <c r="DQ1328" s="1915"/>
      <c r="DR1328" s="1915"/>
      <c r="DS1328" s="2257"/>
      <c r="DT1328" s="477"/>
      <c r="DU1328" s="2257"/>
      <c r="DV1328" s="1915"/>
      <c r="DW1328" s="1915"/>
      <c r="DX1328" s="1946"/>
      <c r="DY1328" s="477" t="s">
        <v>881</v>
      </c>
      <c r="DZ1328" s="1915"/>
      <c r="EA1328" s="1915"/>
      <c r="EB1328" s="2257"/>
      <c r="EC1328" s="3613"/>
      <c r="ED1328" s="477" t="s">
        <v>881</v>
      </c>
      <c r="EE1328" s="1915"/>
      <c r="EF1328" s="1915"/>
      <c r="EG1328" s="3449"/>
      <c r="EH1328" s="982"/>
      <c r="EI1328" s="3482"/>
      <c r="EJ1328" s="477"/>
      <c r="EK1328" s="1798"/>
      <c r="EL1328" s="1798"/>
      <c r="EM1328" s="1798"/>
      <c r="EN1328" s="1798"/>
      <c r="EO1328" s="477"/>
      <c r="EP1328" s="477"/>
      <c r="EQ1328" s="477"/>
      <c r="ER1328" s="477"/>
      <c r="ES1328" s="477"/>
      <c r="ET1328" s="477"/>
      <c r="EU1328" s="477"/>
      <c r="EV1328" s="477"/>
      <c r="EW1328" s="477"/>
      <c r="EX1328" s="477"/>
    </row>
    <row r="1329" spans="2:154">
      <c r="B1329" s="453" t="s">
        <v>961</v>
      </c>
      <c r="C1329" s="1577"/>
      <c r="D1329" s="933"/>
      <c r="E1329" s="933"/>
      <c r="F1329" s="933"/>
      <c r="G1329" s="933"/>
      <c r="H1329" s="933"/>
      <c r="I1329" s="31"/>
      <c r="J1329" s="933"/>
      <c r="K1329" s="933"/>
      <c r="L1329" s="933"/>
      <c r="M1329" s="933"/>
      <c r="N1329" s="31"/>
      <c r="O1329" s="31"/>
      <c r="P1329" s="31"/>
      <c r="Q1329" s="31"/>
      <c r="R1329" s="31"/>
      <c r="S1329" s="31"/>
      <c r="T1329" s="31"/>
      <c r="U1329" s="31"/>
      <c r="V1329" s="31"/>
      <c r="W1329" s="31"/>
      <c r="X1329" s="313"/>
      <c r="Y1329" s="31"/>
      <c r="Z1329" s="31"/>
      <c r="AA1329" s="31"/>
      <c r="AB1329" s="31"/>
      <c r="AC1329" s="313"/>
      <c r="AD1329" s="31"/>
      <c r="AE1329" s="31"/>
      <c r="AF1329" s="31"/>
      <c r="AG1329" s="31"/>
      <c r="AH1329" s="313"/>
      <c r="AI1329" s="933"/>
      <c r="AJ1329" s="933"/>
      <c r="AK1329" s="933"/>
      <c r="AL1329" s="31"/>
      <c r="AM1329" s="313"/>
      <c r="AN1329" s="933"/>
      <c r="AO1329" s="933"/>
      <c r="AP1329" s="933"/>
      <c r="AQ1329" s="933"/>
      <c r="AR1329" s="313"/>
      <c r="AS1329" s="933"/>
      <c r="AT1329" s="933"/>
      <c r="AU1329" s="933"/>
      <c r="AV1329" s="933"/>
      <c r="AW1329" s="313"/>
      <c r="AX1329" s="933"/>
      <c r="AY1329" s="933"/>
      <c r="AZ1329" s="933"/>
      <c r="BA1329" s="933"/>
      <c r="BB1329" s="313"/>
      <c r="BC1329" s="933"/>
      <c r="BD1329" s="933"/>
      <c r="BE1329" s="933"/>
      <c r="BF1329" s="933"/>
      <c r="BG1329" s="313"/>
      <c r="BH1329" s="933"/>
      <c r="BI1329" s="933"/>
      <c r="BJ1329" s="933"/>
      <c r="BK1329" s="933"/>
      <c r="BL1329" s="313"/>
      <c r="BM1329" s="933"/>
      <c r="BN1329" s="933"/>
      <c r="BO1329" s="933"/>
      <c r="BP1329" s="933"/>
      <c r="BQ1329" s="313"/>
      <c r="BR1329" s="933"/>
      <c r="BS1329" s="933"/>
      <c r="BT1329" s="933"/>
      <c r="BU1329" s="933"/>
      <c r="BV1329" s="313"/>
      <c r="BW1329" s="933"/>
      <c r="BX1329" s="933"/>
      <c r="BY1329" s="933"/>
      <c r="BZ1329" s="933"/>
      <c r="CA1329" s="313"/>
      <c r="CB1329" s="933"/>
      <c r="CC1329" s="933"/>
      <c r="CD1329" s="933"/>
      <c r="CE1329" s="933"/>
      <c r="CF1329" s="313"/>
      <c r="CG1329" s="933"/>
      <c r="CH1329" s="933"/>
      <c r="CI1329" s="933"/>
      <c r="CJ1329" s="933"/>
      <c r="CK1329" s="313"/>
      <c r="CL1329" s="933"/>
      <c r="CM1329" s="933"/>
      <c r="CN1329" s="933"/>
      <c r="CO1329" s="933"/>
      <c r="CP1329" s="313"/>
      <c r="CQ1329" s="933"/>
      <c r="CR1329" s="933"/>
      <c r="CS1329" s="933"/>
      <c r="CT1329" s="933"/>
      <c r="CU1329" s="313"/>
      <c r="CV1329" s="933"/>
      <c r="CW1329" s="933"/>
      <c r="CX1329" s="933"/>
      <c r="CY1329" s="933"/>
      <c r="CZ1329" s="313"/>
      <c r="DA1329" s="933"/>
      <c r="DB1329" s="31"/>
      <c r="DC1329" s="31"/>
      <c r="DD1329" s="955"/>
      <c r="DE1329" s="1848"/>
      <c r="DF1329" s="925"/>
      <c r="DG1329" s="2265"/>
      <c r="DH1329" s="2265"/>
      <c r="DI1329" s="1904"/>
      <c r="DJ1329" s="477"/>
      <c r="DK1329" s="925"/>
      <c r="DL1329" s="1915"/>
      <c r="DM1329" s="2265"/>
      <c r="DN1329" s="1946"/>
      <c r="DO1329" s="477"/>
      <c r="DP1329" s="1915"/>
      <c r="DQ1329" s="1915"/>
      <c r="DR1329" s="1915"/>
      <c r="DS1329" s="2257"/>
      <c r="DT1329" s="477"/>
      <c r="DU1329" s="2257"/>
      <c r="DV1329" s="1915"/>
      <c r="DW1329" s="1915"/>
      <c r="DX1329" s="1946"/>
      <c r="DY1329" s="477" t="s">
        <v>882</v>
      </c>
      <c r="DZ1329" s="1915"/>
      <c r="EA1329" s="1915"/>
      <c r="EB1329" s="2257"/>
      <c r="EC1329" s="3613"/>
      <c r="ED1329" s="477" t="s">
        <v>882</v>
      </c>
      <c r="EE1329" s="1915"/>
      <c r="EF1329" s="1915"/>
      <c r="EG1329" s="3449"/>
      <c r="EH1329" s="982"/>
      <c r="EI1329" s="3482"/>
      <c r="EJ1329" s="477"/>
      <c r="EK1329" s="1798"/>
      <c r="EL1329" s="1798"/>
      <c r="EM1329" s="1798"/>
      <c r="EN1329" s="1798"/>
      <c r="EO1329" s="477"/>
      <c r="EP1329" s="477"/>
      <c r="EQ1329" s="477"/>
      <c r="ER1329" s="477"/>
      <c r="ES1329" s="477"/>
      <c r="ET1329" s="477"/>
      <c r="EU1329" s="477"/>
      <c r="EV1329" s="477"/>
      <c r="EW1329" s="477"/>
      <c r="EX1329" s="477"/>
    </row>
    <row r="1330" spans="2:154">
      <c r="B1330" s="454" t="s">
        <v>925</v>
      </c>
      <c r="C1330" s="1577"/>
      <c r="D1330" s="933"/>
      <c r="E1330" s="933"/>
      <c r="F1330" s="933"/>
      <c r="G1330" s="933"/>
      <c r="H1330" s="933"/>
      <c r="I1330" s="926">
        <f t="shared" ref="I1330:BT1331" si="2654">IF(D1325="NM","NM",IF(I1325="NM","NM",IF(D1325&lt;=0,"NM",IF(I1325=0,"NM",IF(ABS(I1325/D1325-1)&gt;2.5,"NM",IF((ABS(I1325-D1325)=ABS(ABS(I1325)-ABS(D1325))),(I1325/D1325-1),"NM"))))))</f>
      </c>
      <c r="J1330" s="926">
        <f t="shared" si="2654"/>
      </c>
      <c r="K1330" s="926">
        <f t="shared" si="2654"/>
      </c>
      <c r="L1330" s="926">
        <f t="shared" si="2654"/>
      </c>
      <c r="M1330" s="926">
        <f t="shared" si="2654"/>
      </c>
      <c r="N1330" s="926">
        <f t="shared" si="2654"/>
      </c>
      <c r="O1330" s="926">
        <f t="shared" si="2654"/>
      </c>
      <c r="P1330" s="926">
        <f t="shared" si="2654"/>
      </c>
      <c r="Q1330" s="926">
        <f t="shared" si="2654"/>
      </c>
      <c r="R1330" s="926">
        <f t="shared" si="2654"/>
      </c>
      <c r="S1330" s="926">
        <f t="shared" si="2654"/>
      </c>
      <c r="T1330" s="926">
        <f t="shared" si="2654"/>
      </c>
      <c r="U1330" s="926">
        <f t="shared" si="2654"/>
      </c>
      <c r="V1330" s="926">
        <f t="shared" si="2654"/>
      </c>
      <c r="W1330" s="926">
        <f t="shared" si="2654"/>
      </c>
      <c r="X1330" s="1060">
        <f t="shared" si="2654"/>
      </c>
      <c r="Y1330" s="926">
        <f t="shared" si="2654"/>
      </c>
      <c r="Z1330" s="926">
        <f t="shared" si="2654"/>
      </c>
      <c r="AA1330" s="926">
        <f t="shared" si="2654"/>
      </c>
      <c r="AB1330" s="926">
        <f t="shared" si="2654"/>
      </c>
      <c r="AC1330" s="1060">
        <f t="shared" si="2654"/>
      </c>
      <c r="AD1330" s="926">
        <f t="shared" si="2654"/>
      </c>
      <c r="AE1330" s="926">
        <f t="shared" si="2654"/>
      </c>
      <c r="AF1330" s="926">
        <f t="shared" si="2654"/>
      </c>
      <c r="AG1330" s="926">
        <f t="shared" si="2654"/>
      </c>
      <c r="AH1330" s="1060">
        <f t="shared" si="2654"/>
      </c>
      <c r="AI1330" s="926">
        <f t="shared" si="2654"/>
      </c>
      <c r="AJ1330" s="926">
        <f t="shared" si="2654"/>
      </c>
      <c r="AK1330" s="926">
        <f t="shared" si="2654"/>
      </c>
      <c r="AL1330" s="926">
        <f t="shared" si="2654"/>
      </c>
      <c r="AM1330" s="1060">
        <f t="shared" si="2654"/>
      </c>
      <c r="AN1330" s="926">
        <f t="shared" si="2654"/>
      </c>
      <c r="AO1330" s="926">
        <f t="shared" si="2654"/>
      </c>
      <c r="AP1330" s="926">
        <f t="shared" si="2654"/>
      </c>
      <c r="AQ1330" s="926">
        <f t="shared" si="2654"/>
      </c>
      <c r="AR1330" s="1060">
        <f t="shared" si="2654"/>
      </c>
      <c r="AS1330" s="926">
        <f t="shared" si="2654"/>
      </c>
      <c r="AT1330" s="926">
        <f t="shared" si="2654"/>
      </c>
      <c r="AU1330" s="926">
        <f t="shared" si="2654"/>
      </c>
      <c r="AV1330" s="926">
        <f t="shared" si="2654"/>
      </c>
      <c r="AW1330" s="1060">
        <f t="shared" si="2654"/>
      </c>
      <c r="AX1330" s="926">
        <f t="shared" si="2654"/>
      </c>
      <c r="AY1330" s="926">
        <f t="shared" si="2654"/>
      </c>
      <c r="AZ1330" s="926">
        <f t="shared" si="2654"/>
      </c>
      <c r="BA1330" s="926">
        <f t="shared" si="2654"/>
      </c>
      <c r="BB1330" s="1060">
        <f t="shared" si="2654"/>
      </c>
      <c r="BC1330" s="926">
        <f t="shared" si="2654"/>
      </c>
      <c r="BD1330" s="926">
        <f t="shared" si="2654"/>
      </c>
      <c r="BE1330" s="926">
        <f t="shared" si="2654"/>
      </c>
      <c r="BF1330" s="926">
        <f t="shared" si="2654"/>
      </c>
      <c r="BG1330" s="1060">
        <f>IF(BB1325="NM","NM",IF(BG1325="NM","NM",IF(BB1325&lt;=0,"NM",IF(BG1325=0,"NM",IF(ABS(BG1325/BB1325-1)&gt;2.5,"NM",IF((ABS(BG1325-BB1325)=ABS(ABS(BG1325)-ABS(BB1325))),(BG1325/BB1325-1),"NM"))))))</f>
      </c>
      <c r="BH1330" s="926">
        <f t="shared" si="2654"/>
      </c>
      <c r="BI1330" s="926">
        <f t="shared" si="2654"/>
      </c>
      <c r="BJ1330" s="926">
        <f t="shared" si="2654"/>
      </c>
      <c r="BK1330" s="926">
        <f t="shared" si="2654"/>
      </c>
      <c r="BL1330" s="1060">
        <f>IF(BG1325="NM","NM",IF(BL1325="NM","NM",IF(BG1325&lt;=0,"NM",IF(BL1325=0,"NM",IF(ABS(BL1325/BG1325-1)&gt;2.5,"NM",IF((ABS(BL1325-BG1325)=ABS(ABS(BL1325)-ABS(BG1325))),(BL1325/BG1325-1),"NM"))))))</f>
      </c>
      <c r="BM1330" s="926">
        <f t="shared" si="2654"/>
      </c>
      <c r="BN1330" s="926">
        <f t="shared" si="2654"/>
      </c>
      <c r="BO1330" s="926">
        <f t="shared" si="2654"/>
      </c>
      <c r="BP1330" s="926">
        <f t="shared" si="2654"/>
      </c>
      <c r="BQ1330" s="1060">
        <f t="shared" si="2654"/>
      </c>
      <c r="BR1330" s="926">
        <f t="shared" si="2654"/>
      </c>
      <c r="BS1330" s="926">
        <f t="shared" si="2654"/>
      </c>
      <c r="BT1330" s="926">
        <f t="shared" si="2654"/>
      </c>
      <c r="BU1330" s="926">
        <f>IF(BP1325="NM","NM",IF(BU1325="NM","NM",IF(BP1325&lt;=0,"NM",IF(BU1325=0,"NM",IF(ABS(BU1325/BP1325-1)&gt;2.5,"NM",IF((ABS(BU1325-BP1325)=ABS(ABS(BU1325)-ABS(BP1325))),(BU1325/BP1325-1),"NM"))))))</f>
      </c>
      <c r="BV1330" s="1060">
        <f t="shared" ref="BP1330:BY1331" si="2655">IF(BQ1325="NM","NM",IF(BV1325="NM","NM",IF(BQ1325&lt;=0,"NM",IF(BV1325=0,"NM",IF(ABS(BV1325/BQ1325-1)&gt;2.5,"NM",IF((ABS(BV1325-BQ1325)=ABS(ABS(BV1325)-ABS(BQ1325))),(BV1325/BQ1325-1),"NM"))))))</f>
      </c>
      <c r="BW1330" s="926">
        <f t="shared" si="2655"/>
      </c>
      <c r="BX1330" s="926">
        <f t="shared" si="2655"/>
      </c>
      <c r="BY1330" s="926">
        <f t="shared" si="2655"/>
      </c>
      <c r="BZ1330" s="926">
        <f>IF(BU1325="NM","NM",IF(BZ1325="NM","NM",IF(BU1325&lt;=0,"NM",IF(BZ1325=0,"NM",IF(ABS(BZ1325/BU1325-1)&gt;2.5,"NM",IF((ABS(BZ1325-BU1325)=ABS(ABS(BZ1325)-ABS(BU1325))),(BZ1325/BU1325-1),"NM"))))))</f>
      </c>
      <c r="CA1330" s="2248">
        <f>IF(BV1325="NM","NM",IF(CA1325="NM","NM",IF(BV1325&lt;=0,"NM",IF(CA1325=0,"NM",IF(ABS(CA1325/BV1325-1)&gt;2.5,"NM",IF((ABS(CA1325-BV1325)=ABS(ABS(CA1325)-ABS(BV1325))),(CA1325/BV1325-1),"NM"))))))</f>
      </c>
      <c r="CB1330" s="926">
        <f t="shared" ref="CB1330:CD1331" si="2656">IF(BW1325="NM","NM",IF(CB1325="NM","NM",IF(BW1325&lt;=0,"NM",IF(CB1325=0,"NM",IF(ABS(CB1325/BW1325-1)&gt;2.5,"NM",IF((ABS(CB1325-BW1325)=ABS(ABS(CB1325)-ABS(BW1325))),(CB1325/BW1325-1),"NM"))))))</f>
      </c>
      <c r="CC1330" s="926">
        <f t="shared" si="2656"/>
      </c>
      <c r="CD1330" s="926">
        <f t="shared" si="2656"/>
      </c>
      <c r="CE1330" s="926">
        <f>IF(BZ1325="NM","NM",IF(CE1325="NM","NM",IF(BZ1325&lt;=0,"NM",IF(CE1325=0,"NM",IF(ABS(CE1325/BZ1325-1)&gt;2.5,"NM",IF((ABS(CE1325-BZ1325)=ABS(ABS(CE1325)-ABS(BZ1325))),(CE1325/BZ1325-1),"NM"))))))</f>
      </c>
      <c r="CF1330" s="2248">
        <f>IF(CA1325="NM","NM",IF(CF1325="NM","NM",IF(CA1325&lt;=0,"NM",IF(CF1325=0,"NM",IF(ABS(CF1325/CA1325-1)&gt;2.5,"NM",IF((ABS(CF1325-CA1325)=ABS(ABS(CF1325)-ABS(CA1325))),(CF1325/CA1325-1),"NM"))))))</f>
      </c>
      <c r="CG1330" s="926">
        <f t="shared" ref="CG1330:CI1331" si="2657">IF(CB1325="NM","NM",IF(CG1325="NM","NM",IF(CB1325&lt;=0,"NM",IF(CG1325=0,"NM",IF(ABS(CG1325/CB1325-1)&gt;2.5,"NM",IF((ABS(CG1325-CB1325)=ABS(ABS(CG1325)-ABS(CB1325))),(CG1325/CB1325-1),"NM"))))))</f>
      </c>
      <c r="CH1330" s="926">
        <f t="shared" si="2657"/>
      </c>
      <c r="CI1330" s="926">
        <f t="shared" si="2657"/>
      </c>
      <c r="CJ1330" s="926">
        <f>IF(CE1325="NM","NM",IF(CJ1325="NM","NM",IF(CE1325&lt;=0,"NM",IF(CJ1325=0,"NM",IF(ABS(CJ1325/CE1325-1)&gt;2.5,"NM",IF((ABS(CJ1325-CE1325)=ABS(ABS(CJ1325)-ABS(CE1325))),(CJ1325/CE1325-1),"NM"))))))</f>
      </c>
      <c r="CK1330" s="1060">
        <f>IF(CF1325=0, 0, CK1325/CF1325-1)</f>
      </c>
      <c r="CL1330" s="926">
        <f t="shared" ref="CL1330:CN1331" si="2658">IF(CG1325="NM","NM",IF(CL1325="NM","NM",IF(CG1325&lt;=0,"NM",IF(CL1325=0,"NM",IF(ABS(CL1325/CG1325-1)&gt;2.5,"NM",IF((ABS(CL1325-CG1325)=ABS(ABS(CL1325)-ABS(CG1325))),(CL1325/CG1325-1),"NM"))))))</f>
      </c>
      <c r="CM1330" s="926">
        <f t="shared" si="2658"/>
      </c>
      <c r="CN1330" s="926">
        <f t="shared" si="2658"/>
      </c>
      <c r="CO1330" s="926">
        <f>IF(CJ1325="NM","NM",IF(CO1325="NM","NM",IF(CJ1325&lt;=0,"NM",IF(CO1325=0,"NM",IF(ABS(CO1325/CJ1325-1)&gt;2.5,"NM",IF((ABS(CO1325-CJ1325)=ABS(ABS(CO1325)-ABS(CJ1325))),(CO1325/CJ1325-1),"NM"))))))</f>
      </c>
      <c r="CP1330" s="1060">
        <f>IF(CK1325=0, 0, CP1325/CK1325-1)</f>
      </c>
      <c r="CQ1330" s="926">
        <f t="shared" ref="CQ1330:CX1331" si="2659">IF(CL1325="NM","NM",IF(CQ1325="NM","NM",IF(CL1325&lt;=0,"NM",IF(CQ1325=0,"NM",IF(ABS(CQ1325/CL1325-1)&gt;2.5,"NM",IF((ABS(CQ1325-CL1325)=ABS(ABS(CQ1325)-ABS(CL1325))),(CQ1325/CL1325-1),"NM"))))))</f>
      </c>
      <c r="CR1330" s="926">
        <f t="shared" si="2659"/>
      </c>
      <c r="CS1330" s="926">
        <f t="shared" si="2659"/>
      </c>
      <c r="CT1330" s="926">
        <f t="shared" si="2659"/>
      </c>
      <c r="CU1330" s="1060">
        <f>IF(CP1325=0, 0, CU1325/CP1325-1)</f>
      </c>
      <c r="CV1330" s="926">
        <f t="shared" si="2659"/>
      </c>
      <c r="CW1330" s="926">
        <f t="shared" si="2659"/>
      </c>
      <c r="CX1330" s="926">
        <f t="shared" si="2659"/>
      </c>
      <c r="CY1330" s="926">
        <f>IF(CT1325="NM","NM",IF(CY1325="NM","NM",IF(CT1325&lt;=0,"NM",IF(CY1325=0,"NM",IF(ABS(CY1325/CT1325-1)&gt;2.5,"NM",IF((ABS(CY1325-CT1325)=ABS(ABS(CY1325)-ABS(CT1325))),(CY1325/CT1325-1),"NM"))))))</f>
      </c>
      <c r="CZ1330" s="1060">
        <f>IF(CU1325=0, 0, CZ1325/CU1325-1)</f>
      </c>
      <c r="DA1330" s="926">
        <f t="shared" ref="DA1330:DF1331" si="2660">IF(CV1325="NM","NM",IF(DA1325="NM","NM",IF(CV1325&lt;=0,"NM",IF(DA1325=0,"NM",IF(ABS(DA1325/CV1325-1)&gt;2.5,"NM",IF((ABS(DA1325-CV1325)=ABS(ABS(DA1325)-ABS(CV1325))),(DA1325/CV1325-1),"NM"))))))</f>
      </c>
      <c r="DB1330" s="926">
        <f t="shared" si="2660"/>
      </c>
      <c r="DC1330" s="926">
        <f t="shared" si="2660"/>
      </c>
      <c r="DD1330" s="926">
        <f t="shared" si="2660"/>
      </c>
      <c r="DE1330" s="1060">
        <f>IF(CZ1325=0, 0, DE1325/CZ1325-1)</f>
      </c>
      <c r="DF1330" s="926">
        <f>IF(DA1325="NM","NM",IF(DF1325="NM","NM",IF(DA1325&lt;=0,"NM",IF(DF1325=0,"NM",IF(ABS(DF1325/DA1325-1)&gt;2.5,"NM",IF((ABS(DF1325-DA1325)=ABS(ABS(DF1325)-ABS(DA1325))),(DF1325/DA1325-1),"NM"))))))</f>
      </c>
      <c r="DG1330" s="926">
        <f>IF(DB1325="NM","NM",IF(DG1325="NM","NM",IF(DB1325&lt;=0,"NM",IF(DG1325=0,"NM",IF(ABS(DG1325/DB1325-1)&gt;2.5,"NM",IF((ABS(DG1325-DB1325)=ABS(ABS(DG1325)-ABS(DB1325))),(DG1325/DB1325-1),"NM"))))))</f>
      </c>
      <c r="DH1330" s="926">
        <f>IF(DC1325="NM","NM",IF(DH1325="NM","NM",IF(DC1325&lt;=0,"NM",IF(DH1325=0,"NM",IF(ABS(DH1325/DC1325-1)&gt;2.5,"NM",IF((ABS(DH1325-DC1325)=ABS(ABS(DH1325)-ABS(DC1325))),(DH1325/DC1325-1),"NM"))))))</f>
      </c>
      <c r="DI1330" s="926">
        <f>IF(DD1325="NM","NM",IF(DI1325="NM","NM",IF(DD1325&lt;=0,"NM",IF(DI1325=0,"NM",IF(ABS(DI1325/DD1325-1)&gt;2.5,"NM",IF((ABS(DI1325-DD1325)=ABS(ABS(DI1325)-ABS(DD1325))),(DI1325/DD1325-1),"NM"))))))</f>
      </c>
      <c r="DJ1330" s="1060">
        <f>IF(DE1325=0, 0, DJ1325/DE1325-1)</f>
      </c>
      <c r="DK1330" s="926">
        <f t="shared" ref="DK1330:DN1331" si="2661">IF(DF1325="NM","NM",IF(DK1325="NM","NM",IF(DF1325&lt;=0,"NM",IF(DK1325=0,"NM",IF(ABS(DK1325/DF1325-1)&gt;2.5,"NM",IF((ABS(DK1325-DF1325)=ABS(ABS(DK1325)-ABS(DF1325))),(DK1325/DF1325-1),"NM"))))))</f>
      </c>
      <c r="DL1330" s="926">
        <f t="shared" si="2661"/>
      </c>
      <c r="DM1330" s="926">
        <f t="shared" si="2661"/>
      </c>
      <c r="DN1330" s="926">
        <f t="shared" si="2661"/>
      </c>
      <c r="DO1330" s="1060">
        <f t="shared" ref="DO1330:EG1330" si="2662">IF(DJ1325=0, 0, DO1325/DJ1325-1)</f>
      </c>
      <c r="DP1330" s="926">
        <f t="shared" si="2662"/>
      </c>
      <c r="DQ1330" s="926">
        <f t="shared" si="2662"/>
      </c>
      <c r="DR1330" s="926">
        <f t="shared" si="2662"/>
      </c>
      <c r="DS1330" s="926">
        <f t="shared" si="2662"/>
      </c>
      <c r="DT1330" s="1060">
        <f t="shared" si="2662"/>
      </c>
      <c r="DU1330" s="926">
        <f t="shared" si="2662"/>
      </c>
      <c r="DV1330" s="926">
        <f t="shared" si="2662"/>
      </c>
      <c r="DW1330" s="926">
        <f t="shared" si="2662"/>
      </c>
      <c r="DX1330" s="928">
        <f t="shared" si="2662"/>
      </c>
      <c r="DY1330" s="1060">
        <f t="shared" si="2662"/>
      </c>
      <c r="DZ1330" s="926">
        <f t="shared" si="2662"/>
      </c>
      <c r="EA1330" s="926">
        <f t="shared" si="2662"/>
      </c>
      <c r="EB1330" s="926">
        <f t="shared" si="2662"/>
      </c>
      <c r="EC1330" s="1235">
        <f t="shared" si="2662"/>
      </c>
      <c r="ED1330" s="1536">
        <f t="shared" si="2662"/>
      </c>
      <c r="EE1330" s="926">
        <f t="shared" si="2662"/>
      </c>
      <c r="EF1330" s="926">
        <f t="shared" si="2662"/>
      </c>
      <c r="EG1330" s="926">
        <f t="shared" si="2662"/>
      </c>
      <c r="EH1330" s="926">
        <f>IF(EC1325=0, 0, EH1325/EC1325-1)</f>
      </c>
      <c r="EI1330" s="317">
        <v>0.05</v>
      </c>
      <c r="EJ1330" s="836">
        <v>0.04</v>
      </c>
      <c r="EK1330" s="836">
        <v>0.04</v>
      </c>
      <c r="EL1330" s="836">
        <v>0.04</v>
      </c>
      <c r="EM1330" s="836">
        <v>0.04</v>
      </c>
      <c r="EN1330" s="836">
        <v>0.04</v>
      </c>
      <c r="EO1330" s="673"/>
      <c r="EP1330" s="673"/>
      <c r="EQ1330" s="673"/>
      <c r="ER1330" s="673"/>
      <c r="ES1330" s="673"/>
      <c r="ET1330" s="673"/>
      <c r="EU1330" s="673"/>
      <c r="EV1330" s="673"/>
      <c r="EW1330" s="673"/>
      <c r="EX1330" s="673"/>
    </row>
    <row r="1331" spans="2:154">
      <c r="B1331" s="454" t="s">
        <v>412</v>
      </c>
      <c r="C1331" s="1577"/>
      <c r="D1331" s="933"/>
      <c r="E1331" s="933"/>
      <c r="F1331" s="933"/>
      <c r="G1331" s="933"/>
      <c r="H1331" s="933"/>
      <c r="I1331" s="926">
        <f t="shared" si="2654"/>
      </c>
      <c r="J1331" s="926">
        <f t="shared" si="2654"/>
      </c>
      <c r="K1331" s="926">
        <f t="shared" si="2654"/>
      </c>
      <c r="L1331" s="926">
        <f t="shared" si="2654"/>
      </c>
      <c r="M1331" s="926">
        <f t="shared" si="2654"/>
      </c>
      <c r="N1331" s="926">
        <f t="shared" si="2654"/>
      </c>
      <c r="O1331" s="926">
        <f t="shared" si="2654"/>
      </c>
      <c r="P1331" s="926">
        <f t="shared" si="2654"/>
      </c>
      <c r="Q1331" s="926">
        <f t="shared" si="2654"/>
      </c>
      <c r="R1331" s="926">
        <f t="shared" si="2654"/>
      </c>
      <c r="S1331" s="926">
        <f t="shared" si="2654"/>
      </c>
      <c r="T1331" s="926">
        <f t="shared" si="2654"/>
      </c>
      <c r="U1331" s="926">
        <f t="shared" si="2654"/>
      </c>
      <c r="V1331" s="926">
        <f t="shared" si="2654"/>
      </c>
      <c r="W1331" s="926">
        <f t="shared" si="2654"/>
      </c>
      <c r="X1331" s="1060">
        <f t="shared" si="2654"/>
      </c>
      <c r="Y1331" s="926">
        <f t="shared" si="2654"/>
      </c>
      <c r="Z1331" s="926">
        <f t="shared" si="2654"/>
      </c>
      <c r="AA1331" s="926">
        <f t="shared" si="2654"/>
      </c>
      <c r="AB1331" s="926">
        <f t="shared" si="2654"/>
      </c>
      <c r="AC1331" s="1060">
        <f t="shared" si="2654"/>
      </c>
      <c r="AD1331" s="926">
        <f t="shared" si="2654"/>
      </c>
      <c r="AE1331" s="926">
        <f t="shared" si="2654"/>
      </c>
      <c r="AF1331" s="926">
        <f t="shared" si="2654"/>
      </c>
      <c r="AG1331" s="926">
        <f t="shared" si="2654"/>
      </c>
      <c r="AH1331" s="1060">
        <f t="shared" si="2654"/>
      </c>
      <c r="AI1331" s="926">
        <f t="shared" si="2654"/>
      </c>
      <c r="AJ1331" s="926">
        <f t="shared" si="2654"/>
      </c>
      <c r="AK1331" s="926">
        <f t="shared" si="2654"/>
      </c>
      <c r="AL1331" s="926">
        <f t="shared" si="2654"/>
      </c>
      <c r="AM1331" s="1060">
        <f t="shared" si="2654"/>
      </c>
      <c r="AN1331" s="926">
        <f t="shared" si="2654"/>
      </c>
      <c r="AO1331" s="926">
        <f t="shared" si="2654"/>
      </c>
      <c r="AP1331" s="926">
        <f t="shared" si="2654"/>
      </c>
      <c r="AQ1331" s="926">
        <f t="shared" si="2654"/>
      </c>
      <c r="AR1331" s="1060">
        <f t="shared" si="2654"/>
      </c>
      <c r="AS1331" s="926">
        <f t="shared" si="2654"/>
      </c>
      <c r="AT1331" s="926">
        <f t="shared" si="2654"/>
      </c>
      <c r="AU1331" s="926">
        <f t="shared" si="2654"/>
      </c>
      <c r="AV1331" s="926">
        <f t="shared" si="2654"/>
      </c>
      <c r="AW1331" s="1060">
        <f t="shared" si="2654"/>
      </c>
      <c r="AX1331" s="926">
        <f t="shared" si="2654"/>
      </c>
      <c r="AY1331" s="926">
        <f t="shared" si="2654"/>
      </c>
      <c r="AZ1331" s="926">
        <f t="shared" si="2654"/>
      </c>
      <c r="BA1331" s="926">
        <f t="shared" si="2654"/>
      </c>
      <c r="BB1331" s="1060">
        <f t="shared" si="2654"/>
      </c>
      <c r="BC1331" s="926">
        <f t="shared" si="2654"/>
      </c>
      <c r="BD1331" s="926">
        <f t="shared" si="2654"/>
      </c>
      <c r="BE1331" s="926">
        <f t="shared" si="2654"/>
      </c>
      <c r="BF1331" s="926">
        <f t="shared" si="2654"/>
      </c>
      <c r="BG1331" s="1060">
        <f>IF(BB1326="NM","NM",IF(BG1326="NM","NM",IF(BB1326&lt;=0,"NM",IF(BG1326=0,"NM",IF(ABS(BG1326/BB1326-1)&gt;2.5,"NM",IF((ABS(BG1326-BB1326)=ABS(ABS(BG1326)-ABS(BB1326))),(BG1326/BB1326-1),"NM"))))))</f>
      </c>
      <c r="BH1331" s="926">
        <f t="shared" si="2654"/>
      </c>
      <c r="BI1331" s="926">
        <f t="shared" si="2654"/>
      </c>
      <c r="BJ1331" s="926">
        <f t="shared" si="2654"/>
      </c>
      <c r="BK1331" s="926">
        <f t="shared" si="2654"/>
      </c>
      <c r="BL1331" s="1060">
        <f>IF(BG1326="NM","NM",IF(BL1326="NM","NM",IF(BG1326&lt;=0,"NM",IF(BL1326=0,"NM",IF(ABS(BL1326/BG1326-1)&gt;2.5,"NM",IF((ABS(BL1326-BG1326)=ABS(ABS(BL1326)-ABS(BG1326))),(BL1326/BG1326-1),"NM"))))))</f>
      </c>
      <c r="BM1331" s="926">
        <f t="shared" si="2654"/>
      </c>
      <c r="BN1331" s="926">
        <f t="shared" si="2654"/>
      </c>
      <c r="BO1331" s="926">
        <f t="shared" si="2654"/>
      </c>
      <c r="BP1331" s="926">
        <f t="shared" si="2655"/>
      </c>
      <c r="BQ1331" s="1060">
        <f t="shared" si="2655"/>
      </c>
      <c r="BR1331" s="926">
        <f t="shared" si="2655"/>
      </c>
      <c r="BS1331" s="926">
        <f t="shared" si="2655"/>
      </c>
      <c r="BT1331" s="926">
        <f t="shared" si="2655"/>
      </c>
      <c r="BU1331" s="926">
        <f>IF(BP1326="NM","NM",IF(BU1326="NM","NM",IF(BP1326&lt;=0,"NM",IF(BU1326=0,"NM",IF(ABS(BU1326/BP1326-1)&gt;2.5,"NM",IF((ABS(BU1326-BP1326)=ABS(ABS(BU1326)-ABS(BP1326))),(BU1326/BP1326-1),"NM"))))))</f>
      </c>
      <c r="BV1331" s="1060">
        <f t="shared" si="2655"/>
      </c>
      <c r="BW1331" s="926">
        <f t="shared" si="2655"/>
      </c>
      <c r="BX1331" s="926">
        <f t="shared" si="2655"/>
      </c>
      <c r="BY1331" s="926">
        <f t="shared" si="2655"/>
      </c>
      <c r="BZ1331" s="926">
        <f>IF(BU1326="NM","NM",IF(BZ1326="NM","NM",IF(BU1326&lt;=0,"NM",IF(BZ1326=0,"NM",IF(ABS(BZ1326/BU1326-1)&gt;2.5,"NM",IF((ABS(BZ1326-BU1326)=ABS(ABS(BZ1326)-ABS(BU1326))),(BZ1326/BU1326-1),"NM"))))))</f>
      </c>
      <c r="CA1331" s="1060">
        <f>IF(BV1326="NM","NM",IF(CA1326="NM","NM",IF(BV1326&lt;=0,"NM",IF(CA1326=0,"NM",IF(ABS(CA1326/BV1326-1)&gt;2.5,"NM",IF((ABS(CA1326-BV1326)=ABS(ABS(CA1326)-ABS(BV1326))),(CA1326/BV1326-1),"NM"))))))</f>
      </c>
      <c r="CB1331" s="926">
        <f t="shared" si="2656"/>
      </c>
      <c r="CC1331" s="926">
        <f t="shared" si="2656"/>
      </c>
      <c r="CD1331" s="926">
        <f t="shared" si="2656"/>
      </c>
      <c r="CE1331" s="926">
        <f>IF(BZ1326="NM","NM",IF(CE1326="NM","NM",IF(BZ1326&lt;=0,"NM",IF(CE1326=0,"NM",IF(ABS(CE1326/BZ1326-1)&gt;2.5,"NM",IF((ABS(CE1326-BZ1326)=ABS(ABS(CE1326)-ABS(BZ1326))),(CE1326/BZ1326-1),"NM"))))))</f>
      </c>
      <c r="CF1331" s="1060">
        <f>IF(CA1326="NM","NM",IF(CF1326="NM","NM",IF(CA1326&lt;=0,"NM",IF(CF1326=0,"NM",IF(ABS(CF1326/CA1326-1)&gt;2.5,"NM",IF((ABS(CF1326-CA1326)=ABS(ABS(CF1326)-ABS(CA1326))),(CF1326/CA1326-1),"NM"))))))</f>
      </c>
      <c r="CG1331" s="926">
        <f t="shared" si="2657"/>
      </c>
      <c r="CH1331" s="926">
        <f t="shared" si="2657"/>
      </c>
      <c r="CI1331" s="926">
        <f t="shared" si="2657"/>
      </c>
      <c r="CJ1331" s="926">
        <f>IF(CE1326="NM","NM",IF(CJ1326="NM","NM",IF(CE1326&lt;=0,"NM",IF(CJ1326=0,"NM",IF(ABS(CJ1326/CE1326-1)&gt;2.5,"NM",IF((ABS(CJ1326-CE1326)=ABS(ABS(CJ1326)-ABS(CE1326))),(CJ1326/CE1326-1),"NM"))))))</f>
      </c>
      <c r="CK1331" s="1060">
        <f>IF(CF1326=0, "NA", CK1326/CF1326-1)</f>
      </c>
      <c r="CL1331" s="926">
        <f t="shared" si="2658"/>
      </c>
      <c r="CM1331" s="926">
        <f t="shared" si="2658"/>
      </c>
      <c r="CN1331" s="926">
        <f t="shared" si="2658"/>
      </c>
      <c r="CO1331" s="926">
        <f>IF(CJ1326="NM","NM",IF(CO1326="NM","NM",IF(CJ1326&lt;=0,"NM",IF(CO1326=0,"NM",IF(ABS(CO1326/CJ1326-1)&gt;2.5,"NM",IF((ABS(CO1326-CJ1326)=ABS(ABS(CO1326)-ABS(CJ1326))),(CO1326/CJ1326-1),"NM"))))))</f>
      </c>
      <c r="CP1331" s="1060">
        <f>IF(CK1326=0, "NA", CP1326/CK1326-1)</f>
      </c>
      <c r="CQ1331" s="926">
        <f t="shared" si="2659"/>
      </c>
      <c r="CR1331" s="926">
        <f t="shared" si="2659"/>
      </c>
      <c r="CS1331" s="926">
        <f t="shared" si="2659"/>
      </c>
      <c r="CT1331" s="926">
        <f t="shared" si="2659"/>
      </c>
      <c r="CU1331" s="1060">
        <f>IF(CP1326=0, "NA", CU1326/CP1326-1)</f>
      </c>
      <c r="CV1331" s="926">
        <f t="shared" si="2659"/>
      </c>
      <c r="CW1331" s="926">
        <f t="shared" si="2659"/>
      </c>
      <c r="CX1331" s="926">
        <f t="shared" si="2659"/>
      </c>
      <c r="CY1331" s="926">
        <f>IF(CT1326="NM","NM",IF(CY1326="NM","NM",IF(CT1326&lt;=0,"NM",IF(CY1326=0,"NM",IF(ABS(CY1326/CT1326-1)&gt;2.5,"NM",IF((ABS(CY1326-CT1326)=ABS(ABS(CY1326)-ABS(CT1326))),(CY1326/CT1326-1),"NM"))))))</f>
      </c>
      <c r="CZ1331" s="1060">
        <f>IF(CU1326=0, "NA", CZ1326/CU1326-1)</f>
      </c>
      <c r="DA1331" s="926">
        <f t="shared" si="2660"/>
      </c>
      <c r="DB1331" s="926">
        <f t="shared" si="2660"/>
      </c>
      <c r="DC1331" s="926">
        <f t="shared" si="2660"/>
      </c>
      <c r="DD1331" s="926">
        <f t="shared" si="2660"/>
      </c>
      <c r="DE1331" s="1060">
        <f>IF(CZ1326=0, "NA", DE1326/CZ1326-1)</f>
      </c>
      <c r="DF1331" s="926">
        <f t="shared" si="2660"/>
      </c>
      <c r="DG1331" s="926">
        <f>IF(DB1326="NM","NM",IF(DG1326="NM","NM",IF(DB1326&lt;=0,"NM",IF(DG1326=0,"NM",IF(ABS(DG1326/DB1326-1)&gt;2.5,"NM",IF((ABS(DG1326-DB1326)=ABS(ABS(DG1326)-ABS(DB1326))),(DG1326/DB1326-1),"NM"))))))</f>
      </c>
      <c r="DH1331" s="926">
        <f>IF(DC1326="NM","NM",IF(DH1326="NM","NM",IF(DC1326&lt;=0,"NM",IF(DH1326=0,"NM",IF(ABS(DH1326/DC1326-1)&gt;2.5,"NM",IF((ABS(DH1326-DC1326)=ABS(ABS(DH1326)-ABS(DC1326))),(DH1326/DC1326-1),"NM"))))))</f>
      </c>
      <c r="DI1331" s="926">
        <f>IF(DD1326="NM","NM",IF(DI1326="NM","NM",IF(DD1326&lt;=0,"NM",IF(DI1326=0,"NM",IF(ABS(DI1326/DD1326-1)&gt;2.5,"NM",IF((ABS(DI1326-DD1326)=ABS(ABS(DI1326)-ABS(DD1326))),(DI1326/DD1326-1),"NM"))))))</f>
      </c>
      <c r="DJ1331" s="1060">
        <f>IF(DE1326=0, "NA", DJ1326/DE1326-1)</f>
      </c>
      <c r="DK1331" s="926">
        <f t="shared" si="2661"/>
      </c>
      <c r="DL1331" s="926">
        <f t="shared" si="2661"/>
      </c>
      <c r="DM1331" s="926">
        <f t="shared" si="2661"/>
      </c>
      <c r="DN1331" s="926">
        <f t="shared" si="2661"/>
      </c>
      <c r="DO1331" s="1060">
        <f>IF(DJ1326=0, "NA", DO1326/DJ1326-1)</f>
      </c>
      <c r="DP1331" s="926">
        <f>DP1326/DK1326-1</f>
      </c>
      <c r="DQ1331" s="926">
        <f>IF(DL1326="NM","NM",IF(DQ1326="NM","NM",IF(DL1326&lt;=0,"NM",IF(DQ1326=0,"NM",IF(ABS(DQ1326/DL1326-1)&gt;2.5,"NM",IF((ABS(DQ1326-DL1326)=ABS(ABS(DQ1326)-ABS(DL1326))),(DQ1326/DL1326-1),"NM"))))))</f>
      </c>
      <c r="DR1331" s="926">
        <f>IF(DM1326="NM","NM",IF(DR1326="NM","NM",IF(DM1326&lt;=0,"NM",IF(DR1326=0,"NM",IF(ABS(DR1326/DM1326-1)&gt;2.5,"NM",IF((ABS(DR1326-DM1326)=ABS(ABS(DR1326)-ABS(DM1326))),(DR1326/DM1326-1),"NM"))))))</f>
      </c>
      <c r="DS1331" s="926">
        <f>IF(DN1326=0, "NA", DS1326/DN1326-1)</f>
      </c>
      <c r="DT1331" s="1060">
        <f>IF(DO1326=0, "NA", DT1326/DO1326-1)</f>
      </c>
      <c r="DU1331" s="926">
        <f>IF(DP1326=0, "NA", DU1326/DP1326-1)</f>
      </c>
      <c r="DV1331" s="926">
        <f>IF(DQ1326="NM","NM",IF(DV1326="NM","NM",IF(DQ1326&lt;=0,"NM",IF(DV1326=0,"NM",IF(ABS(DV1326/DQ1326-1)&gt;2.5,"NM",IF((ABS(DV1326-DQ1326)=ABS(ABS(DV1326)-ABS(DQ1326))),(DV1326/DQ1326-1),"NM"))))))</f>
      </c>
      <c r="DW1331" s="926">
        <f>IF(DR1326="NM","NM",IF(DW1326="NM","NM",IF(DR1326&lt;=0,"NM",IF(DW1326=0,"NM",IF(ABS(DW1326/DR1326-1)&gt;2.5,"NM",IF((ABS(DW1326-DR1326)=ABS(ABS(DW1326)-ABS(DR1326))),(DW1326/DR1326-1),"NM"))))))</f>
      </c>
      <c r="DX1331" s="928">
        <f>IF(DS1326="NM","NM",IF(DX1326="NM","NM",IF(DS1326&lt;=0,"NM",IF(DX1326=0,"NM",IF(ABS(DX1326/DS1326-1)&gt;2.5,"NM",IF((ABS(DX1326-DS1326)=ABS(ABS(DX1326)-ABS(DS1326))),(DX1326/DS1326-1),"NM"))))))</f>
      </c>
      <c r="DY1331" s="1060">
        <f>IF(DT1326=0, "NA", DY1326/DT1326-1)</f>
      </c>
      <c r="DZ1331" s="926">
        <f>IF(DU1326="NM","NM",IF(DZ1326="NM","NM",IF(DU1326&lt;=0,"NM",IF(DZ1326=0,"NM",IF(ABS(DZ1326/DU1326-1)&gt;2.5,"NM",IF((ABS(DZ1326-DU1326)=ABS(ABS(DZ1326)-ABS(DU1326))),(DZ1326/DU1326-1),"NM"))))))</f>
      </c>
      <c r="EA1331" s="926">
        <f>IF(DV1326="NM","NM",IF(EA1326="NM","NM",IF(DV1326&lt;=0,"NM",IF(EA1326=0,"NM",IF(ABS(EA1326/DV1326-1)&gt;2.5,"NM",IF((ABS(EA1326-DV1326)=ABS(ABS(EA1326)-ABS(DV1326))),(EA1326/DV1326-1),"NM"))))))</f>
      </c>
      <c r="EB1331" s="926">
        <f>IF(DW1326="NM","NM",IF(EB1326="NM","NM",IF(DW1326&lt;=0,"NM",IF(EB1326=0,"NM",IF(ABS(EB1326/DW1326-1)&gt;2.5,"NM",IF((ABS(EB1326-DW1326)=ABS(ABS(EB1326)-ABS(DW1326))),(EB1326/DW1326-1),"NM"))))))</f>
      </c>
      <c r="EC1331" s="1235">
        <f>IF(DX1326="NM","NM",IF(EC1326="NM","NM",IF(DX1326&lt;=0,"NM",IF(EC1326=0,"NM",IF(ABS(EC1326/DX1326-1)&gt;2.5,"NM",IF((ABS(EC1326-DX1326)=ABS(ABS(EC1326)-ABS(DX1326))),(EC1326/DX1326-1),"NM"))))))</f>
      </c>
      <c r="ED1331" s="1536">
        <f>IF(DY1326=0, "NA", ED1326/DY1326-1)</f>
      </c>
      <c r="EE1331" s="926">
        <f>IF(DZ1326="NM","NM",IF(EE1326="NM","NM",IF(DZ1326&lt;=0,"NM",IF(EE1326=0,"NM",IF(ABS(EE1326/DZ1326-1)&gt;2.5,"NM",IF((ABS(EE1326-DZ1326)=ABS(ABS(EE1326)-ABS(DZ1326))),(EE1326/DZ1326-1),"NM"))))))</f>
      </c>
      <c r="EF1331" s="926">
        <f>IF(EA1326="NM","NM",IF(EF1326="NM","NM",IF(EA1326&lt;=0,"NM",IF(EF1326=0,"NM",IF(ABS(EF1326/EA1326-1)&gt;2.5,"NM",IF((ABS(EF1326-EA1326)=ABS(ABS(EF1326)-ABS(EA1326))),(EF1326/EA1326-1),"NM"))))))</f>
      </c>
      <c r="EG1331" s="926">
        <f>IF(EB1326="NM","NM",IF(EG1326="NM","NM",IF(EB1326&lt;=0,"NM",IF(EG1326=0,"NM",IF(ABS(EG1326/EB1326-1)&gt;2.5,"NM",IF((ABS(EG1326-EB1326)=ABS(ABS(EG1326)-ABS(EB1326))),(EG1326/EB1326-1),"NM"))))))</f>
      </c>
      <c r="EH1331" s="926">
        <f>+EH1326/EC1326-1</f>
      </c>
      <c r="EI1331" s="1060">
        <f t="shared" ref="EI1331:EN1331" si="2663">EI1332+EI$1370</f>
      </c>
      <c r="EJ1331" s="1060">
        <f t="shared" si="2663"/>
      </c>
      <c r="EK1331" s="928">
        <f t="shared" si="2663"/>
      </c>
      <c r="EL1331" s="928">
        <f t="shared" si="2663"/>
      </c>
      <c r="EM1331" s="928">
        <f t="shared" si="2663"/>
      </c>
      <c r="EN1331" s="928">
        <f t="shared" si="2663"/>
      </c>
      <c r="EO1331" s="1060"/>
      <c r="EP1331" s="1060"/>
      <c r="EQ1331" s="1060"/>
      <c r="ER1331" s="1060"/>
      <c r="ES1331" s="1060"/>
      <c r="ET1331" s="1060"/>
      <c r="EU1331" s="1060"/>
      <c r="EV1331" s="1060"/>
      <c r="EW1331" s="1060"/>
      <c r="EX1331" s="1060"/>
    </row>
    <row r="1332" spans="2:154">
      <c r="B1332" s="454" t="s">
        <v>256</v>
      </c>
      <c r="C1332" s="1577"/>
      <c r="D1332" s="933"/>
      <c r="E1332" s="933"/>
      <c r="F1332" s="933"/>
      <c r="G1332" s="933"/>
      <c r="H1332" s="933"/>
      <c r="I1332" s="24"/>
      <c r="J1332" s="946"/>
      <c r="K1332" s="946"/>
      <c r="L1332" s="946"/>
      <c r="M1332" s="946"/>
      <c r="N1332" s="24"/>
      <c r="O1332" s="24"/>
      <c r="P1332" s="24"/>
      <c r="Q1332" s="24"/>
      <c r="R1332" s="24"/>
      <c r="S1332" s="946"/>
      <c r="T1332" s="24"/>
      <c r="U1332" s="24"/>
      <c r="V1332" s="24"/>
      <c r="W1332" s="24"/>
      <c r="X1332" s="2248"/>
      <c r="Y1332" s="24"/>
      <c r="Z1332" s="24"/>
      <c r="AA1332" s="24"/>
      <c r="AB1332" s="24"/>
      <c r="AC1332" s="2248"/>
      <c r="AD1332" s="24"/>
      <c r="AE1332" s="24"/>
      <c r="AF1332" s="24"/>
      <c r="AG1332" s="24"/>
      <c r="AH1332" s="2248"/>
      <c r="AI1332" s="959">
        <f t="shared" ref="AI1332:BM1332" si="2664">IF(ISNUMBER(AI1331),(1+AI1331)/(1+AI$21)-1,"NM")</f>
      </c>
      <c r="AJ1332" s="959">
        <f t="shared" si="2664"/>
      </c>
      <c r="AK1332" s="959">
        <f t="shared" si="2664"/>
      </c>
      <c r="AL1332" s="959">
        <f t="shared" si="2664"/>
      </c>
      <c r="AM1332" s="2248">
        <f t="shared" si="2664"/>
      </c>
      <c r="AN1332" s="959">
        <f t="shared" si="2664"/>
      </c>
      <c r="AO1332" s="959">
        <f t="shared" si="2664"/>
      </c>
      <c r="AP1332" s="959">
        <f t="shared" si="2664"/>
      </c>
      <c r="AQ1332" s="959">
        <f t="shared" si="2664"/>
      </c>
      <c r="AR1332" s="2248">
        <f t="shared" si="2664"/>
      </c>
      <c r="AS1332" s="959">
        <f t="shared" si="2664"/>
      </c>
      <c r="AT1332" s="959">
        <f t="shared" si="2664"/>
      </c>
      <c r="AU1332" s="959">
        <f t="shared" si="2664"/>
      </c>
      <c r="AV1332" s="959">
        <f t="shared" si="2664"/>
      </c>
      <c r="AW1332" s="2248">
        <f t="shared" si="2664"/>
      </c>
      <c r="AX1332" s="959">
        <f t="shared" si="2664"/>
      </c>
      <c r="AY1332" s="959">
        <f t="shared" si="2664"/>
      </c>
      <c r="AZ1332" s="959">
        <f t="shared" si="2664"/>
      </c>
      <c r="BA1332" s="959">
        <f t="shared" si="2664"/>
      </c>
      <c r="BB1332" s="2248">
        <f t="shared" si="2664"/>
      </c>
      <c r="BC1332" s="959">
        <f t="shared" si="2664"/>
      </c>
      <c r="BD1332" s="959">
        <f t="shared" si="2664"/>
      </c>
      <c r="BE1332" s="959">
        <f t="shared" si="2664"/>
      </c>
      <c r="BF1332" s="959">
        <f t="shared" si="2664"/>
      </c>
      <c r="BG1332" s="1066">
        <f t="shared" si="2664"/>
      </c>
      <c r="BH1332" s="959">
        <f t="shared" si="2664"/>
      </c>
      <c r="BI1332" s="959">
        <f t="shared" si="2664"/>
      </c>
      <c r="BJ1332" s="959">
        <f t="shared" si="2664"/>
      </c>
      <c r="BK1332" s="959">
        <f t="shared" si="2664"/>
      </c>
      <c r="BL1332" s="2248">
        <f t="shared" si="2664"/>
      </c>
      <c r="BM1332" s="959">
        <f t="shared" si="2664"/>
      </c>
      <c r="BN1332" s="959">
        <v>2.1000000000000001E-2</v>
      </c>
      <c r="BO1332" s="959">
        <v>2.1000000000000001E-2</v>
      </c>
      <c r="BP1332" s="926">
        <v>8.2000000000000003E-2</v>
      </c>
      <c r="BQ1332" s="2248">
        <v>4.4999999999999998E-2</v>
      </c>
      <c r="BR1332" s="407">
        <v>2.5999999999999999E-2</v>
      </c>
      <c r="BS1332" s="407">
        <v>1.2E-2</v>
      </c>
      <c r="BT1332" s="407">
        <v>4.8000000000000001E-2</v>
      </c>
      <c r="BU1332" s="649">
        <v>6.0999999999999999E-2</v>
      </c>
      <c r="BV1332" s="406">
        <v>3.6999999999999998E-2</v>
      </c>
      <c r="BW1332" s="407">
        <v>1.6E-2</v>
      </c>
      <c r="BX1332" s="407">
        <v>6.4000000000000001E-2</v>
      </c>
      <c r="BY1332" s="407">
        <v>4.9000000000000002E-2</v>
      </c>
      <c r="BZ1332" s="836">
        <v>0.04</v>
      </c>
      <c r="CA1332" s="448">
        <v>4.2999999999999997E-2</v>
      </c>
      <c r="CB1332" s="29">
        <v>0.1</v>
      </c>
      <c r="CC1332" s="407">
        <v>-0.04</v>
      </c>
      <c r="CD1332" s="407">
        <v>-2E-3</v>
      </c>
      <c r="CE1332" s="836">
        <v>1.7000000000000001E-2</v>
      </c>
      <c r="CF1332" s="448">
        <v>1.7000000000000001E-2</v>
      </c>
      <c r="CG1332" s="29">
        <v>-7.4999999999999997E-2</v>
      </c>
      <c r="CH1332" s="29">
        <v>0.06</v>
      </c>
      <c r="CI1332" s="29">
        <v>5.8000000000000003E-2</v>
      </c>
      <c r="CJ1332" s="29">
        <v>2.3E-2</v>
      </c>
      <c r="CK1332" s="2248">
        <f>CK1331-CK$21</f>
      </c>
      <c r="CL1332" s="29">
        <v>9.8000000000000004E-2</v>
      </c>
      <c r="CM1332" s="29">
        <v>8.1000000000000003E-2</v>
      </c>
      <c r="CN1332" s="29">
        <v>5.2999999999999999E-2</v>
      </c>
      <c r="CO1332" s="29">
        <v>9.9000000000000005E-2</v>
      </c>
      <c r="CP1332" s="2248">
        <f>CP1331-CP$21</f>
      </c>
      <c r="CQ1332" s="29">
        <v>0.23599999999999999</v>
      </c>
      <c r="CR1332" s="29">
        <v>0.503</v>
      </c>
      <c r="CS1332" s="29">
        <v>0.439</v>
      </c>
      <c r="CT1332" s="29">
        <v>0.48199999999999998</v>
      </c>
      <c r="CU1332" s="406">
        <v>0.42</v>
      </c>
      <c r="CV1332" s="29">
        <v>0.28299999999999997</v>
      </c>
      <c r="CW1332" s="29">
        <v>7.1999999999999995E-2</v>
      </c>
      <c r="CX1332" s="29">
        <v>6.2E-2</v>
      </c>
      <c r="CY1332" s="29">
        <v>6.8000000000000005E-2</v>
      </c>
      <c r="CZ1332" s="406">
        <v>0.11</v>
      </c>
      <c r="DA1332" s="29">
        <v>7.1999999999999995E-2</v>
      </c>
      <c r="DB1332" s="29">
        <v>2.1999999999999999E-2</v>
      </c>
      <c r="DC1332" s="361">
        <v>9.0999999999999998E-2</v>
      </c>
      <c r="DD1332" s="1482">
        <v>1.2E-2</v>
      </c>
      <c r="DE1332" s="448">
        <v>4.9000000000000002E-2</v>
      </c>
      <c r="DF1332" s="29">
        <v>-6.4000000000000001E-2</v>
      </c>
      <c r="DG1332" s="361">
        <v>-0.34799999999999998</v>
      </c>
      <c r="DH1332" s="361">
        <v>-0.17399999999999999</v>
      </c>
      <c r="DI1332" s="1482">
        <v>-6.2E-2</v>
      </c>
      <c r="DJ1332" s="448">
        <v>-0.16200000000000001</v>
      </c>
      <c r="DK1332" s="649">
        <v>3.9E-2</v>
      </c>
      <c r="DL1332" s="650">
        <v>0.53700000000000003</v>
      </c>
      <c r="DM1332" s="649">
        <v>0.17399999999999999</v>
      </c>
      <c r="DN1332" s="1482">
        <v>0.108</v>
      </c>
      <c r="DO1332" s="448">
        <v>0.188</v>
      </c>
      <c r="DP1332"/>
      <c r="DQ1332" s="2632">
        <v>0.13900000000000001</v>
      </c>
      <c r="DR1332" s="2632">
        <v>8.4000000000000005E-2</v>
      </c>
      <c r="DS1332" s="2632">
        <v>5.8999999999999997E-2</v>
      </c>
      <c r="DT1332" s="448">
        <v>0.111</v>
      </c>
      <c r="DU1332" s="2632">
        <v>0.08</v>
      </c>
      <c r="DV1332" s="2632">
        <v>7.0999999999999994E-2</v>
      </c>
      <c r="DW1332" s="2632">
        <v>0.10100000000000001</v>
      </c>
      <c r="DX1332" s="3303">
        <v>6.4000000000000001E-2</v>
      </c>
      <c r="DY1332" s="448">
        <v>7.9000000000000001E-2</v>
      </c>
      <c r="DZ1332" s="1741">
        <v>-1.0999999999999999E-2</v>
      </c>
      <c r="EA1332" s="1741">
        <v>2.1999999999999999E-2</v>
      </c>
      <c r="EB1332" s="1741">
        <v>1.7999999999999999E-2</v>
      </c>
      <c r="EC1332" s="3612">
        <v>0.122</v>
      </c>
      <c r="ED1332" s="3623">
        <v>3.6999999999999998E-2</v>
      </c>
      <c r="EE1332" s="1741">
        <v>3.9E-2</v>
      </c>
      <c r="EF1332" s="1741">
        <v>3.4000000000000002E-2</v>
      </c>
      <c r="EG1332" s="29">
        <v>7.4999999999999997E-2</v>
      </c>
      <c r="EH1332" s="926">
        <f>EH1331-EH$1370</f>
      </c>
      <c r="EI1332" s="317">
        <v>0.04</v>
      </c>
      <c r="EJ1332" s="317">
        <v>0.04</v>
      </c>
      <c r="EK1332" s="317">
        <v>4.4999999999999998E-2</v>
      </c>
      <c r="EL1332" s="317">
        <v>4.4999999999999998E-2</v>
      </c>
      <c r="EM1332" s="317">
        <v>4.4999999999999998E-2</v>
      </c>
      <c r="EN1332" s="317">
        <v>4.4999999999999998E-2</v>
      </c>
      <c r="EO1332" s="673"/>
      <c r="EP1332" s="673"/>
      <c r="EQ1332" s="673"/>
      <c r="ER1332" s="673"/>
      <c r="ES1332" s="673"/>
      <c r="ET1332" s="673"/>
      <c r="EU1332" s="673"/>
      <c r="EV1332" s="673"/>
      <c r="EW1332" s="673"/>
      <c r="EX1332" s="673"/>
    </row>
    <row r="1333" spans="2:154">
      <c r="B1333" s="454" t="s">
        <v>413</v>
      </c>
      <c r="C1333" s="1577"/>
      <c r="D1333" s="933"/>
      <c r="E1333" s="933"/>
      <c r="F1333" s="933"/>
      <c r="G1333" s="933"/>
      <c r="H1333" s="933"/>
      <c r="I1333" s="926">
        <f t="shared" ref="I1333:BQ1333" si="2665">IF(D1327="NM","NM",IF(I1327="NM","NM",IF(D1327&lt;=0,"NM",IF(I1327=0,"NM",IF(ABS(I1327/D1327-1)&gt;2.5,"NM",IF((ABS(I1327-D1327)=ABS(ABS(I1327)-ABS(D1327))),(I1327/D1327-1),"NM"))))))</f>
      </c>
      <c r="J1333" s="926">
        <f t="shared" si="2665"/>
      </c>
      <c r="K1333" s="926">
        <f t="shared" si="2665"/>
      </c>
      <c r="L1333" s="926">
        <f t="shared" si="2665"/>
      </c>
      <c r="M1333" s="926">
        <f t="shared" si="2665"/>
      </c>
      <c r="N1333" s="926">
        <f t="shared" si="2665"/>
      </c>
      <c r="O1333" s="926">
        <f t="shared" si="2665"/>
      </c>
      <c r="P1333" s="926">
        <f t="shared" si="2665"/>
      </c>
      <c r="Q1333" s="926">
        <f t="shared" si="2665"/>
      </c>
      <c r="R1333" s="926">
        <f t="shared" si="2665"/>
      </c>
      <c r="S1333" s="926">
        <f t="shared" si="2665"/>
      </c>
      <c r="T1333" s="926">
        <f t="shared" si="2665"/>
      </c>
      <c r="U1333" s="926">
        <f t="shared" si="2665"/>
      </c>
      <c r="V1333" s="926">
        <f t="shared" si="2665"/>
      </c>
      <c r="W1333" s="926">
        <f t="shared" si="2665"/>
      </c>
      <c r="X1333" s="1060">
        <f t="shared" si="2665"/>
      </c>
      <c r="Y1333" s="926">
        <f t="shared" si="2665"/>
      </c>
      <c r="Z1333" s="926">
        <f t="shared" si="2665"/>
      </c>
      <c r="AA1333" s="926">
        <f t="shared" si="2665"/>
      </c>
      <c r="AB1333" s="926">
        <f t="shared" si="2665"/>
      </c>
      <c r="AC1333" s="1060">
        <f t="shared" si="2665"/>
      </c>
      <c r="AD1333" s="926">
        <f t="shared" si="2665"/>
      </c>
      <c r="AE1333" s="926">
        <f t="shared" si="2665"/>
      </c>
      <c r="AF1333" s="926">
        <f t="shared" si="2665"/>
      </c>
      <c r="AG1333" s="926">
        <f t="shared" si="2665"/>
      </c>
      <c r="AH1333" s="1060">
        <f t="shared" si="2665"/>
      </c>
      <c r="AI1333" s="926">
        <f t="shared" si="2665"/>
      </c>
      <c r="AJ1333" s="926">
        <f t="shared" si="2665"/>
      </c>
      <c r="AK1333" s="926">
        <f t="shared" si="2665"/>
      </c>
      <c r="AL1333" s="926">
        <f t="shared" si="2665"/>
      </c>
      <c r="AM1333" s="1060">
        <f t="shared" si="2665"/>
      </c>
      <c r="AN1333" s="926">
        <f t="shared" si="2665"/>
      </c>
      <c r="AO1333" s="926">
        <f t="shared" si="2665"/>
      </c>
      <c r="AP1333" s="926">
        <f t="shared" si="2665"/>
      </c>
      <c r="AQ1333" s="926">
        <f t="shared" si="2665"/>
      </c>
      <c r="AR1333" s="1060">
        <f t="shared" si="2665"/>
      </c>
      <c r="AS1333" s="926">
        <f t="shared" si="2665"/>
      </c>
      <c r="AT1333" s="926">
        <f t="shared" si="2665"/>
      </c>
      <c r="AU1333" s="926">
        <f t="shared" si="2665"/>
      </c>
      <c r="AV1333" s="926">
        <f t="shared" si="2665"/>
      </c>
      <c r="AW1333" s="1060">
        <f t="shared" si="2665"/>
      </c>
      <c r="AX1333" s="926">
        <f t="shared" si="2665"/>
      </c>
      <c r="AY1333" s="926">
        <f t="shared" si="2665"/>
      </c>
      <c r="AZ1333" s="926">
        <f t="shared" si="2665"/>
      </c>
      <c r="BA1333" s="926">
        <f t="shared" si="2665"/>
      </c>
      <c r="BB1333" s="1060">
        <f t="shared" si="2665"/>
      </c>
      <c r="BC1333" s="926">
        <f t="shared" si="2665"/>
      </c>
      <c r="BD1333" s="926">
        <f t="shared" si="2665"/>
      </c>
      <c r="BE1333" s="926">
        <f t="shared" si="2665"/>
      </c>
      <c r="BF1333" s="926">
        <f t="shared" si="2665"/>
      </c>
      <c r="BG1333" s="1060">
        <f t="shared" si="2665"/>
      </c>
      <c r="BH1333" s="926">
        <f t="shared" si="2665"/>
      </c>
      <c r="BI1333" s="926">
        <f t="shared" si="2665"/>
      </c>
      <c r="BJ1333" s="926">
        <f t="shared" si="2665"/>
      </c>
      <c r="BK1333" s="926">
        <f t="shared" si="2665"/>
      </c>
      <c r="BL1333" s="1060">
        <f t="shared" si="2665"/>
      </c>
      <c r="BM1333" s="926">
        <f t="shared" si="2665"/>
      </c>
      <c r="BN1333" s="926">
        <f t="shared" si="2665"/>
      </c>
      <c r="BO1333" s="926">
        <f t="shared" si="2665"/>
      </c>
      <c r="BP1333" s="926">
        <f t="shared" si="2665"/>
      </c>
      <c r="BQ1333" s="1060">
        <f t="shared" si="2665"/>
      </c>
      <c r="BR1333" s="926">
        <f>IF(BM1327="NM","NM",IF(BR1327="NM","NM",IF(BM1327&lt;=0,"NM",IF(BR1327=0,"NM",IF(ABS(BR1327/BM1327-1)&gt;2.5,"NM",IF((ABS(BR1327-BM1327)=ABS(ABS(BR1327)-ABS(BM1327))),(BR1327/BM1327-1),"NM"))))))</f>
      </c>
      <c r="BS1333" s="926">
        <f>IF(BN1327="NM","NM",IF(BS1327="NM","NM",IF(BN1327&lt;=0,"NM",IF(BS1327=0,"NM",IF(ABS(BS1327/BN1327-1)&gt;2.5,"NM",IF((ABS(BS1327-BN1327)=ABS(ABS(BS1327)-ABS(BN1327))),(BS1327/BN1327-1),"NM"))))))</f>
      </c>
      <c r="BT1333" s="926">
        <f>IF(BO1327="NM","NM",IF(BT1327="NM","NM",IF(BO1327&lt;=0,"NM",IF(BT1327=0,"NM",IF(ABS(BT1327/BO1327-1)&gt;2.5,"NM",IF((ABS(BT1327-BO1327)=ABS(ABS(BT1327)-ABS(BO1327))),(BT1327/BO1327-1),"NM"))))))</f>
      </c>
      <c r="BU1333" s="926">
        <f>IF(BP1327="NM","NM",IF(BU1327="NM","NM",IF(BP1327&lt;=0,"NM",IF(BU1327=0,"NM",IF(ABS(BU1327/BP1327-1)&gt;2.5,"NM",IF((ABS(BU1327-BP1327)=ABS(ABS(BU1327)-ABS(BP1327))),(BU1327/BP1327-1),"NM"))))))</f>
      </c>
      <c r="BV1333" s="1060">
        <f>IF(BQ1327="NM","NM",IF(BV1327="NM","NM",IF(BQ1327&lt;=0,"NM",IF(BV1327=0,"NM",IF(ABS(BV1327/BQ1327-1)&gt;2.5,"NM",IF((ABS(BV1327-BQ1327)=ABS(ABS(BV1327)-ABS(BQ1327))),(BV1327/BQ1327-1),"NM"))))))</f>
      </c>
      <c r="BW1333" s="926">
        <f t="shared" ref="BW1333:CH1333" si="2666">IF(BR1327="NM","NM",IF(BW1327="NM","NM",IF(BR1327&lt;=0,"NM",IF(BW1327=0,"NM",IF(ABS(BW1327/BR1327-1)&gt;2.5,"NM",IF((ABS(BW1327-BR1327)=ABS(ABS(BW1327)-ABS(BR1327))),(BW1327/BR1327-1),"NM"))))))</f>
      </c>
      <c r="BX1333" s="926">
        <f>IF(BS1327="NM","NM",IF(BX1327="NM","NM",IF(BS1327&lt;=0,"NM",IF(BX1327=0,"NM",IF(ABS(BX1327/BS1327-1)&gt;2.5,"NM",IF((ABS(BX1327-BS1327)=ABS(ABS(BX1327)-ABS(BS1327))),(BX1327/BS1327-1),"NM"))))))</f>
      </c>
      <c r="BY1333" s="926">
        <f t="shared" si="2666"/>
      </c>
      <c r="BZ1333" s="926">
        <f>IF(BU1327="NM","NM",IF(BZ1327="NM","NM",IF(BU1327&lt;=0,"NM",IF(BZ1327=0,"NM",IF(ABS(BZ1327/BU1327-1)&gt;2.5,"NM",IF((ABS(BZ1327-BU1327)=ABS(ABS(BZ1327)-ABS(BU1327))),(BZ1327/BU1327-1),"NM"))))))</f>
      </c>
      <c r="CA1333" s="1060">
        <f>IF(BV1327="NM","NM",IF(CA1327="NM","NM",IF(BV1327&lt;=0,"NM",IF(CA1327=0,"NM",IF(ABS(CA1327/BV1327-1)&gt;2.5,"NM",IF((ABS(CA1327-BV1327)=ABS(ABS(CA1327)-ABS(BV1327))),(CA1327/BV1327-1),"NM"))))))</f>
      </c>
      <c r="CB1333" s="926">
        <f t="shared" si="2666"/>
      </c>
      <c r="CC1333" s="926">
        <f t="shared" si="2666"/>
      </c>
      <c r="CD1333" s="926">
        <f>IF(BY1327="NM","NM",IF(CD1327="NM","NM",IF(BY1327&lt;=0,"NM",IF(CD1327=0,"NM",IF(ABS(CD1327/BY1327-1)&gt;2.5,"NM",IF((ABS(CD1327-BY1327)=ABS(ABS(CD1327)-ABS(BY1327))),(CD1327/BY1327-1),"NM"))))))</f>
      </c>
      <c r="CE1333" s="926">
        <f>IF(BZ1327="NM","NM",IF(CE1327="NM","NM",IF(BZ1327&lt;=0,"NM",IF(CE1327=0,"NM",IF(ABS(CE1327/BZ1327-1)&gt;2.5,"NM",IF((ABS(CE1327-BZ1327)=ABS(ABS(CE1327)-ABS(BZ1327))),(CE1327/BZ1327-1),"NM"))))))</f>
      </c>
      <c r="CF1333" s="1060">
        <f>IF(CA1327="NM","NM",IF(CF1327="NM","NM",IF(CA1327&lt;=0,"NM",IF(CF1327=0,"NM",IF(ABS(CF1327/CA1327-1)&gt;2.5,"NM",IF((ABS(CF1327-CA1327)=ABS(ABS(CF1327)-ABS(CA1327))),(CF1327/CA1327-1),"NM"))))))</f>
      </c>
      <c r="CG1333" s="926">
        <f t="shared" si="2666"/>
      </c>
      <c r="CH1333" s="926">
        <f t="shared" si="2666"/>
      </c>
      <c r="CI1333" s="926">
        <f>IF(CD1327="NM","NM",IF(CI1327="NM","NM",IF(CD1327&lt;=0,"NM",IF(CI1327=0,"NM",IF(ABS(CI1327/CD1327-1)&gt;2.5,"NM",IF((ABS(CI1327-CD1327)=ABS(ABS(CI1327)-ABS(CD1327))),(CI1327/CD1327-1),"NM"))))))</f>
      </c>
      <c r="CJ1333" s="926">
        <f>IF(CE1327="NM","NM",IF(CJ1327="NM","NM",IF(CE1327&lt;=0,"NM",IF(CJ1327=0,"NM",IF(ABS(CJ1327/CE1327-1)&gt;2.5,"NM",IF((ABS(CJ1327-CE1327)=ABS(ABS(CJ1327)-ABS(CE1327))),(CJ1327/CE1327-1),"NM"))))))</f>
      </c>
      <c r="CK1333" s="1060">
        <f>IF(CF1327=0, "NA", CK1327/CF1327-1)</f>
      </c>
      <c r="CL1333" s="926">
        <f>IF(CG1327="NM","NM",IF(CL1327="NM","NM",IF(CG1327&lt;=0,"NM",IF(CL1327=0,"NM",IF(ABS(CL1327/CG1327-1)&gt;2.5,"NM",IF((ABS(CL1327-CG1327)=ABS(ABS(CL1327)-ABS(CG1327))),(CL1327/CG1327-1),"NM"))))))</f>
      </c>
      <c r="CM1333" s="926">
        <f>IF(CH1327="NM","NM",IF(CM1327="NM","NM",IF(CH1327&lt;=0,"NM",IF(CM1327=0,"NM",IF(ABS(CM1327/CH1327-1)&gt;2.5,"NM",IF((ABS(CM1327-CH1327)=ABS(ABS(CM1327)-ABS(CH1327))),(CM1327/CH1327-1),"NM"))))))</f>
      </c>
      <c r="CN1333" s="926">
        <f>IF(CI1327="NM","NM",IF(CN1327="NM","NM",IF(CI1327&lt;=0,"NM",IF(CN1327=0,"NM",IF(ABS(CN1327/CI1327-1)&gt;2.5,"NM",IF((ABS(CN1327-CI1327)=ABS(ABS(CN1327)-ABS(CI1327))),(CN1327/CI1327-1),"NM"))))))</f>
      </c>
      <c r="CO1333" s="926">
        <f>IF(CJ1327="NM","NM",IF(CO1327="NM","NM",IF(CJ1327&lt;=0,"NM",IF(CO1327=0,"NM",IF(ABS(CO1327/CJ1327-1)&gt;2.5,"NM",IF((ABS(CO1327-CJ1327)=ABS(ABS(CO1327)-ABS(CJ1327))),(CO1327/CJ1327-1),"NM"))))))</f>
      </c>
      <c r="CP1333" s="1060">
        <f>IF(CK1327=0, "NA", CP1327/CK1327-1)</f>
      </c>
      <c r="CQ1333" s="926">
        <f>IF(CL1327="NM","NM",IF(CQ1327="NM","NM",IF(CL1327&lt;=0,"NM",IF(CQ1327=0,"NM",IF(ABS(CQ1327/CL1327-1)&gt;2.5,"NM",IF((ABS(CQ1327-CL1327)=ABS(ABS(CQ1327)-ABS(CL1327))),(CQ1327/CL1327-1),"NM"))))))</f>
      </c>
      <c r="CR1333" s="926">
        <f>IF(CM1327="NM","NM",IF(CR1327="NM","NM",IF(CM1327&lt;=0,"NM",IF(CR1327=0,"NM",IF(ABS(CR1327/CM1327-1)&gt;2.5,"NM",IF((ABS(CR1327-CM1327)=ABS(ABS(CR1327)-ABS(CM1327))),(CR1327/CM1327-1),"NM"))))))</f>
      </c>
      <c r="CS1333" s="926">
        <f>IF(CN1327="NM","NM",IF(CS1327="NM","NM",IF(CN1327&lt;=0,"NM",IF(CS1327=0,"NM",IF(ABS(CS1327/CN1327-1)&gt;2.5,"NM",IF((ABS(CS1327-CN1327)=ABS(ABS(CS1327)-ABS(CN1327))),(CS1327/CN1327-1),"NM"))))))</f>
      </c>
      <c r="CT1333" s="926">
        <f>IF(CO1327="NM","NM",IF(CT1327="NM","NM",IF(CO1327&lt;=0,"NM",IF(CT1327=0,"NM",IF(ABS(CT1327/CO1327-1)&gt;2.5,"NM",IF((ABS(CT1327-CO1327)=ABS(ABS(CT1327)-ABS(CO1327))),(CT1327/CO1327-1),"NM"))))))</f>
      </c>
      <c r="CU1333" s="1060">
        <f>IF(CP1327=0, "NA", CU1327/CP1327-1)</f>
      </c>
      <c r="CV1333" s="926">
        <f>IF(CQ1327="NM","NM",IF(CV1327="NM","NM",IF(CQ1327&lt;=0,"NM",IF(CV1327=0,"NM",IF(ABS(CV1327/CQ1327-1)&gt;2.5,"NM",IF((ABS(CV1327-CQ1327)=ABS(ABS(CV1327)-ABS(CQ1327))),(CV1327/CQ1327-1),"NM"))))))</f>
      </c>
      <c r="CW1333" s="926">
        <f>IF(CR1327="NM","NM",IF(CW1327="NM","NM",IF(CR1327&lt;=0,"NM",IF(CW1327=0,"NM",IF(ABS(CW1327/CR1327-1)&gt;2.5,"NM",IF((ABS(CW1327-CR1327)=ABS(ABS(CW1327)-ABS(CR1327))),(CW1327/CR1327-1),"NM"))))))</f>
      </c>
      <c r="CX1333" s="926">
        <f>IF(CS1327="NM","NM",IF(CX1327="NM","NM",IF(CS1327&lt;=0,"NM",IF(CX1327=0,"NM",IF(ABS(CX1327/CS1327-1)&gt;2.5,"NM",IF((ABS(CX1327-CS1327)=ABS(ABS(CX1327)-ABS(CS1327))),(CX1327/CS1327-1),"NM"))))))</f>
      </c>
      <c r="CY1333" s="926">
        <f>IF(CT1327="NM","NM",IF(CY1327="NM","NM",IF(CT1327&lt;=0,"NM",IF(CY1327=0,"NM",IF(ABS(CY1327/CT1327-1)&gt;2.5,"NM",IF((ABS(CY1327-CT1327)=ABS(ABS(CY1327)-ABS(CT1327))),(CY1327/CT1327-1),"NM"))))))</f>
      </c>
      <c r="CZ1333" s="1060">
        <f>IF(CU1327=0, "NA", CZ1327/CU1327-1)</f>
      </c>
      <c r="DA1333" s="926">
        <f>IF(CV1327="NM","NM",IF(DA1327="NM","NM",IF(CV1327&lt;=0,"NM",IF(DA1327=0,"NM",IF(ABS(DA1327/CV1327-1)&gt;2.5,"NM",IF((ABS(DA1327-CV1327)=ABS(ABS(DA1327)-ABS(CV1327))),(DA1327/CV1327-1),"NM"))))))</f>
      </c>
      <c r="DB1333" s="926">
        <f>IF(CW1327="NM","NM",IF(DB1327="NM","NM",IF(CW1327&lt;=0,"NM",IF(DB1327=0,"NM",IF(ABS(DB1327/CW1327-1)&gt;2.5,"NM",IF((ABS(DB1327-CW1327)=ABS(ABS(DB1327)-ABS(CW1327))),(DB1327/CW1327-1),"NM"))))))</f>
      </c>
      <c r="DC1333" s="926">
        <f>IF(CX1327="NM","NM",IF(DC1327="NM","NM",IF(CX1327&lt;=0,"NM",IF(DC1327=0,"NM",IF(ABS(DC1327/CX1327-1)&gt;2.5,"NM",IF((ABS(DC1327-CX1327)=ABS(ABS(DC1327)-ABS(CX1327))),(DC1327/CX1327-1),"NM"))))))</f>
      </c>
      <c r="DD1333" s="928">
        <f>IF(CY1327=0, "NM", DD1327/CY1327-1)</f>
      </c>
      <c r="DE1333" s="1060">
        <f>IF(CZ1327=0, "NA", DE1327/CZ1327-1)</f>
      </c>
      <c r="DF1333" s="926">
        <f>IF(DA1327=0, "NA", DF1327/DA1327-1)</f>
      </c>
      <c r="DG1333" s="926">
        <f>IF(DB1327=0, "NA", DG1327/DB1327-1)</f>
      </c>
      <c r="DH1333" s="926">
        <f>IF(DC1327=0, "NA", DH1327/DC1327-1)</f>
      </c>
      <c r="DI1333" s="928">
        <f>IF(DD1327=0, "NM", DI1327/DD1327-1)</f>
      </c>
      <c r="DJ1333" s="1060">
        <f>IF(DE1327=0, "NA", DJ1327/DE1327-1)</f>
      </c>
      <c r="DK1333" s="926">
        <f t="shared" ref="DK1333:DY1333" si="2667">IF(DF1327=0, "NA", DK1327/DF1327-1)</f>
      </c>
      <c r="DL1333" s="926">
        <f t="shared" si="2667"/>
      </c>
      <c r="DM1333" s="926">
        <f t="shared" si="2667"/>
      </c>
      <c r="DN1333" s="928">
        <f t="shared" si="2667"/>
      </c>
      <c r="DO1333" s="1060">
        <f t="shared" si="2667"/>
      </c>
      <c r="DP1333" s="926">
        <f t="shared" si="2667"/>
      </c>
      <c r="DQ1333" s="926">
        <f t="shared" si="2667"/>
      </c>
      <c r="DR1333" s="926">
        <f t="shared" si="2667"/>
      </c>
      <c r="DS1333" s="926">
        <f t="shared" si="2667"/>
      </c>
      <c r="DT1333" s="1060">
        <f t="shared" si="2667"/>
      </c>
      <c r="DU1333" s="926">
        <f t="shared" si="2667"/>
      </c>
      <c r="DV1333" s="926">
        <f t="shared" si="2667"/>
      </c>
      <c r="DW1333" s="926">
        <f t="shared" si="2667"/>
      </c>
      <c r="DX1333" s="928">
        <f t="shared" si="2667"/>
      </c>
      <c r="DY1333" s="1060">
        <f t="shared" si="2667"/>
      </c>
      <c r="DZ1333" s="926">
        <f>IF(DU1327=0, "NA", DZ1327/DU1327-1)</f>
      </c>
      <c r="EA1333" s="926">
        <f>IF(DV1327=0, "NA", EA1327/DV1327-1)</f>
      </c>
      <c r="EB1333" s="926">
        <f>IF(DW1327=0, "NA", EB1327/DW1327-1)</f>
      </c>
      <c r="EC1333" s="1235">
        <f t="shared" ref="EC1333:EF1333" si="2668">IF(DX1327=0, "NA", EC1327/DX1327-1)</f>
      </c>
      <c r="ED1333" s="1536">
        <f t="shared" si="2668"/>
      </c>
      <c r="EE1333" s="926">
        <f t="shared" si="2668"/>
      </c>
      <c r="EF1333" s="926">
        <f t="shared" si="2668"/>
      </c>
      <c r="EG1333" s="926">
        <f>IF(EB1327=0, "NA", EG1327/EB1327-1)</f>
      </c>
      <c r="EH1333" s="926">
        <f>IF(EC1327=0, "NA", EH1327/EC1327-1)</f>
      </c>
      <c r="EI1333" s="1060">
        <f>EI1327/ED1327-1</f>
      </c>
      <c r="EJ1333" s="1060">
        <f t="shared" ref="EJ1333:EN1333" si="2669">EJ1327/EI1327-1</f>
      </c>
      <c r="EK1333" s="928">
        <f t="shared" si="2669"/>
      </c>
      <c r="EL1333" s="928">
        <f t="shared" si="2669"/>
      </c>
      <c r="EM1333" s="928">
        <f t="shared" si="2669"/>
      </c>
      <c r="EN1333" s="928">
        <f t="shared" si="2669"/>
      </c>
      <c r="EO1333" s="1060"/>
      <c r="EP1333" s="1060"/>
      <c r="EQ1333" s="1060"/>
      <c r="ER1333" s="1060"/>
      <c r="ES1333" s="1060"/>
      <c r="ET1333" s="1060"/>
      <c r="EU1333" s="1060"/>
      <c r="EV1333" s="1060"/>
      <c r="EW1333" s="1060"/>
      <c r="EX1333" s="1060"/>
    </row>
    <row r="1334" spans="2:154">
      <c r="B1334" s="454" t="s">
        <v>848</v>
      </c>
      <c r="C1334" s="1577"/>
      <c r="D1334" s="933"/>
      <c r="E1334" s="933"/>
      <c r="F1334" s="933"/>
      <c r="G1334" s="933"/>
      <c r="H1334" s="933"/>
      <c r="I1334" s="926"/>
      <c r="J1334" s="926"/>
      <c r="K1334" s="926"/>
      <c r="L1334" s="926"/>
      <c r="M1334" s="926"/>
      <c r="N1334" s="926"/>
      <c r="O1334" s="926"/>
      <c r="P1334" s="926"/>
      <c r="Q1334" s="926"/>
      <c r="R1334" s="926"/>
      <c r="S1334" s="926"/>
      <c r="T1334" s="926"/>
      <c r="U1334" s="926"/>
      <c r="V1334" s="926"/>
      <c r="W1334" s="926"/>
      <c r="X1334" s="1060"/>
      <c r="Y1334" s="926"/>
      <c r="Z1334" s="926"/>
      <c r="AA1334" s="926"/>
      <c r="AB1334" s="926"/>
      <c r="AC1334" s="1060"/>
      <c r="AD1334" s="926"/>
      <c r="AE1334" s="926"/>
      <c r="AF1334" s="926"/>
      <c r="AG1334" s="926"/>
      <c r="AH1334" s="1060"/>
      <c r="AI1334" s="926"/>
      <c r="AJ1334" s="926"/>
      <c r="AK1334" s="926"/>
      <c r="AL1334" s="926"/>
      <c r="AM1334" s="1060"/>
      <c r="AN1334" s="926"/>
      <c r="AO1334" s="926"/>
      <c r="AP1334" s="926"/>
      <c r="AQ1334" s="926"/>
      <c r="AR1334" s="1060"/>
      <c r="AS1334" s="926"/>
      <c r="AT1334" s="926"/>
      <c r="AU1334" s="926"/>
      <c r="AV1334" s="926"/>
      <c r="AW1334" s="1060"/>
      <c r="AX1334" s="926"/>
      <c r="AY1334" s="926"/>
      <c r="AZ1334" s="926"/>
      <c r="BA1334" s="926"/>
      <c r="BB1334" s="1060"/>
      <c r="BC1334" s="926"/>
      <c r="BD1334" s="926"/>
      <c r="BE1334" s="926"/>
      <c r="BF1334" s="926"/>
      <c r="BG1334" s="1060"/>
      <c r="BH1334" s="926"/>
      <c r="BI1334" s="926"/>
      <c r="BJ1334" s="926"/>
      <c r="BK1334" s="926"/>
      <c r="BL1334" s="1060"/>
      <c r="BM1334" s="926"/>
      <c r="BN1334" s="926"/>
      <c r="BO1334" s="926"/>
      <c r="BP1334" s="926"/>
      <c r="BQ1334" s="1060"/>
      <c r="BR1334" s="926"/>
      <c r="BS1334" s="926"/>
      <c r="BT1334" s="926"/>
      <c r="BU1334" s="926"/>
      <c r="BV1334" s="1060"/>
      <c r="BW1334" s="926"/>
      <c r="BX1334" s="926"/>
      <c r="BY1334" s="926"/>
      <c r="BZ1334" s="926"/>
      <c r="CA1334" s="1060"/>
      <c r="CB1334" s="926"/>
      <c r="CC1334" s="926"/>
      <c r="CD1334" s="926"/>
      <c r="CE1334" s="926"/>
      <c r="CF1334" s="1060"/>
      <c r="CG1334" s="926"/>
      <c r="CH1334" s="926"/>
      <c r="CI1334" s="926"/>
      <c r="CJ1334" s="926"/>
      <c r="CK1334" s="1060"/>
      <c r="CL1334" s="926"/>
      <c r="CM1334" s="926"/>
      <c r="CN1334" s="926"/>
      <c r="CO1334" s="926"/>
      <c r="CP1334" s="1060"/>
      <c r="CQ1334" s="649">
        <v>0.245</v>
      </c>
      <c r="CR1334" s="649">
        <v>0.55000000000000004</v>
      </c>
      <c r="CS1334" s="649">
        <v>0.48399999999999999</v>
      </c>
      <c r="CT1334" s="649">
        <v>0.53800000000000003</v>
      </c>
      <c r="CU1334" s="448">
        <v>0.46</v>
      </c>
      <c r="CV1334" s="649">
        <v>0.34399999999999997</v>
      </c>
      <c r="CW1334" s="649">
        <v>9.6000000000000002E-2</v>
      </c>
      <c r="CX1334" s="649">
        <v>5.6000000000000001E-2</v>
      </c>
      <c r="CY1334" s="649">
        <v>3.5999999999999997E-2</v>
      </c>
      <c r="CZ1334" s="448">
        <v>0.11799999999999999</v>
      </c>
      <c r="DA1334" s="2959">
        <v>0.05</v>
      </c>
      <c r="DB1334" s="2959">
        <v>1.4999999999999999E-2</v>
      </c>
      <c r="DC1334" s="2959">
        <v>6.0999999999999999E-2</v>
      </c>
      <c r="DD1334" s="2960">
        <v>8.9999999999999993E-3</v>
      </c>
      <c r="DE1334" s="2958">
        <v>3.3000000000000002E-2</v>
      </c>
      <c r="DF1334" s="2959">
        <v>-4.4999999999999998E-2</v>
      </c>
      <c r="DG1334" s="2959">
        <v>-0.39300000000000002</v>
      </c>
      <c r="DH1334" s="2959">
        <v>-9.5000000000000001E-2</v>
      </c>
      <c r="DI1334" s="2960">
        <v>-6.6000000000000003E-2</v>
      </c>
      <c r="DJ1334" s="2958">
        <v>-0.151</v>
      </c>
      <c r="DK1334" s="649">
        <v>5.3999999999999999E-2</v>
      </c>
      <c r="DL1334" s="649">
        <v>0.66</v>
      </c>
      <c r="DM1334" s="649">
        <v>0.1</v>
      </c>
      <c r="DN1334" s="1482">
        <v>0.11</v>
      </c>
      <c r="DO1334" s="448">
        <v>0.19</v>
      </c>
      <c r="DP1334" s="649">
        <v>0.13900000000000001</v>
      </c>
      <c r="DQ1334" s="649">
        <v>0.109</v>
      </c>
      <c r="DR1334" s="649">
        <v>8.5999999999999993E-2</v>
      </c>
      <c r="DS1334" s="649">
        <v>4.8000000000000001E-2</v>
      </c>
      <c r="DT1334" s="448">
        <v>9.5000000000000001E-2</v>
      </c>
      <c r="DU1334" s="649">
        <v>7.5999999999999998E-2</v>
      </c>
      <c r="DV1334" s="649">
        <v>6.9000000000000006E-2</v>
      </c>
      <c r="DW1334" s="649">
        <v>5.3999999999999999E-2</v>
      </c>
      <c r="DX1334" s="1482">
        <v>6.6000000000000003E-2</v>
      </c>
      <c r="DY1334" s="448">
        <v>6.6000000000000003E-2</v>
      </c>
      <c r="DZ1334" s="649">
        <v>-1.4E-2</v>
      </c>
      <c r="EA1334" s="649">
        <v>8.0000000000000002E-3</v>
      </c>
      <c r="EB1334" s="649">
        <v>0.04</v>
      </c>
      <c r="EC1334" s="3610">
        <v>9.0999999999999998E-2</v>
      </c>
      <c r="ED1334" s="3623">
        <v>0.03</v>
      </c>
      <c r="EE1334" s="649">
        <v>3.6999999999999998E-2</v>
      </c>
      <c r="EF1334" s="649">
        <v>4.5999999999999999E-2</v>
      </c>
      <c r="EG1334" s="926">
        <v>6.0999999999999999E-2</v>
      </c>
      <c r="EH1334" s="926">
        <f t="shared" ref="EH1334" si="2670">(EC1326*EH1332+EC1325*EH1330)/(EC1327)</f>
      </c>
      <c r="EI1334" s="1060">
        <f>(ED1326*EI1332+ED1325*EI1330)/(ED1327)</f>
      </c>
      <c r="EJ1334" s="1060">
        <f t="shared" ref="EJ1334:EN1334" si="2671">(EI1326*EJ1332+EI1325*EJ1330)/(EI1327)</f>
      </c>
      <c r="EK1334" s="928">
        <f t="shared" si="2671"/>
      </c>
      <c r="EL1334" s="928">
        <f t="shared" si="2671"/>
      </c>
      <c r="EM1334" s="928">
        <f t="shared" si="2671"/>
      </c>
      <c r="EN1334" s="928">
        <f t="shared" si="2671"/>
      </c>
      <c r="EO1334" s="1060"/>
      <c r="EP1334" s="1060"/>
      <c r="EQ1334" s="1060"/>
      <c r="ER1334" s="1060"/>
      <c r="ES1334" s="1060"/>
      <c r="ET1334" s="1060"/>
      <c r="EU1334" s="1060"/>
      <c r="EV1334" s="1060"/>
      <c r="EW1334" s="1060"/>
      <c r="EX1334" s="1060"/>
    </row>
    <row r="1335" spans="2:154">
      <c r="B1335" s="344"/>
      <c r="C1335" s="1577"/>
      <c r="D1335" s="933"/>
      <c r="E1335" s="933"/>
      <c r="F1335" s="933"/>
      <c r="G1335" s="933"/>
      <c r="H1335" s="933"/>
      <c r="I1335" s="933"/>
      <c r="J1335" s="933"/>
      <c r="K1335" s="933"/>
      <c r="L1335" s="933"/>
      <c r="M1335" s="933"/>
      <c r="N1335" s="933"/>
      <c r="O1335" s="933"/>
      <c r="P1335" s="933"/>
      <c r="Q1335" s="933"/>
      <c r="R1335" s="933"/>
      <c r="S1335" s="933"/>
      <c r="T1335" s="933"/>
      <c r="U1335" s="933"/>
      <c r="V1335" s="933"/>
      <c r="W1335" s="933"/>
      <c r="X1335" s="1061"/>
      <c r="Y1335" s="933"/>
      <c r="Z1335" s="933"/>
      <c r="AA1335" s="933"/>
      <c r="AB1335" s="933"/>
      <c r="AC1335" s="1061"/>
      <c r="AD1335" s="933"/>
      <c r="AE1335" s="933"/>
      <c r="AF1335" s="933"/>
      <c r="AG1335" s="933"/>
      <c r="AH1335" s="1061"/>
      <c r="AI1335" s="933"/>
      <c r="AJ1335" s="933"/>
      <c r="AK1335" s="933"/>
      <c r="AL1335" s="933"/>
      <c r="AM1335" s="1061"/>
      <c r="AN1335" s="933"/>
      <c r="AO1335" s="933"/>
      <c r="AP1335" s="933"/>
      <c r="AQ1335" s="933"/>
      <c r="AR1335" s="1061"/>
      <c r="AS1335" s="933"/>
      <c r="AT1335" s="933"/>
      <c r="AU1335" s="933"/>
      <c r="AV1335" s="933"/>
      <c r="AW1335" s="1061"/>
      <c r="AX1335" s="933"/>
      <c r="AY1335" s="933"/>
      <c r="AZ1335" s="933"/>
      <c r="BA1335" s="933"/>
      <c r="BB1335" s="1061"/>
      <c r="BC1335" s="933"/>
      <c r="BD1335" s="933"/>
      <c r="BE1335" s="933"/>
      <c r="BF1335" s="933"/>
      <c r="BG1335" s="1061"/>
      <c r="BH1335" s="933"/>
      <c r="BI1335" s="361"/>
      <c r="BJ1335" s="361"/>
      <c r="BK1335" s="361"/>
      <c r="BL1335" s="2248"/>
      <c r="BM1335" s="361"/>
      <c r="BN1335" s="361"/>
      <c r="BO1335" s="361"/>
      <c r="BP1335" s="361"/>
      <c r="BQ1335" s="316"/>
      <c r="BR1335" s="361"/>
      <c r="BS1335" s="361"/>
      <c r="BT1335" s="361"/>
      <c r="BU1335" s="361"/>
      <c r="BV1335" s="316"/>
      <c r="BW1335" s="361"/>
      <c r="BX1335" s="361"/>
      <c r="BY1335" s="361"/>
      <c r="BZ1335" s="361"/>
      <c r="CA1335" s="316"/>
      <c r="CB1335" s="361"/>
      <c r="CC1335" s="361"/>
      <c r="CD1335" s="361"/>
      <c r="CE1335" s="361"/>
      <c r="CF1335" s="316"/>
      <c r="CG1335" s="361"/>
      <c r="CH1335" s="361"/>
      <c r="CI1335" s="361"/>
      <c r="CJ1335" s="361"/>
      <c r="CK1335" s="316"/>
      <c r="CL1335" s="361"/>
      <c r="CM1335" s="361"/>
      <c r="CN1335" s="361"/>
      <c r="CO1335" s="361"/>
      <c r="CP1335" s="316"/>
      <c r="CQ1335" s="361"/>
      <c r="CR1335" s="361"/>
      <c r="CS1335" s="361"/>
      <c r="CT1335" s="361"/>
      <c r="CU1335" s="316"/>
      <c r="CV1335" s="361"/>
      <c r="CW1335" s="361"/>
      <c r="CX1335" s="361"/>
      <c r="CY1335" s="361"/>
      <c r="CZ1335" s="316"/>
      <c r="DA1335" s="828"/>
      <c r="DB1335" s="3051"/>
      <c r="DC1335" s="3051"/>
      <c r="DD1335" s="835"/>
      <c r="DE1335" s="316"/>
      <c r="DF1335" s="828"/>
      <c r="DG1335" s="3051"/>
      <c r="DH1335" s="3051"/>
      <c r="DI1335" s="835"/>
      <c r="DJ1335" s="316"/>
      <c r="DK1335" s="828"/>
      <c r="DL1335" s="3051"/>
      <c r="DM1335" s="3051"/>
      <c r="DN1335" s="835"/>
      <c r="DO1335" s="316"/>
      <c r="DP1335" s="3051"/>
      <c r="DQ1335" s="3051"/>
      <c r="DR1335" s="3051"/>
      <c r="DS1335" s="361"/>
      <c r="DT1335" s="316"/>
      <c r="DU1335" s="361"/>
      <c r="DV1335" s="3051"/>
      <c r="DW1335" s="3051"/>
      <c r="DX1335" s="835"/>
      <c r="DY1335" s="316"/>
      <c r="DZ1335" s="3051"/>
      <c r="EA1335" s="3518"/>
      <c r="EB1335" s="3518"/>
      <c r="EC1335" s="1237"/>
      <c r="ED1335" s="1238"/>
      <c r="EE1335" s="3051"/>
      <c r="EF1335" s="3518"/>
      <c r="EG1335" s="361"/>
      <c r="EH1335" s="361"/>
      <c r="EI1335" s="316"/>
      <c r="EJ1335" s="316"/>
      <c r="EK1335" s="835"/>
      <c r="EL1335" s="835"/>
      <c r="EM1335" s="835"/>
      <c r="EN1335" s="835"/>
      <c r="EO1335" s="316"/>
      <c r="EP1335" s="316"/>
      <c r="EQ1335" s="316"/>
      <c r="ER1335" s="316"/>
      <c r="ES1335" s="316"/>
      <c r="ET1335" s="316"/>
      <c r="EU1335" s="316"/>
      <c r="EV1335" s="316"/>
      <c r="EW1335" s="316"/>
      <c r="EX1335" s="316"/>
    </row>
    <row r="1336" spans="2:154" hidden="1">
      <c r="B1336" s="651" t="s">
        <v>56</v>
      </c>
      <c r="C1336" s="2385"/>
      <c r="D1336" s="953"/>
      <c r="E1336" s="953"/>
      <c r="F1336" s="953"/>
      <c r="G1336" s="953"/>
      <c r="H1336" s="953"/>
      <c r="I1336" s="652"/>
      <c r="J1336" s="953"/>
      <c r="K1336" s="953"/>
      <c r="L1336" s="953"/>
      <c r="M1336" s="953"/>
      <c r="N1336" s="652"/>
      <c r="O1336" s="652"/>
      <c r="P1336" s="652"/>
      <c r="Q1336" s="652"/>
      <c r="R1336" s="652"/>
      <c r="S1336" s="652"/>
      <c r="T1336" s="652"/>
      <c r="U1336" s="652"/>
      <c r="V1336" s="652"/>
      <c r="W1336" s="652"/>
      <c r="X1336" s="653"/>
      <c r="Y1336" s="652"/>
      <c r="Z1336" s="652"/>
      <c r="AA1336" s="652"/>
      <c r="AB1336" s="652"/>
      <c r="AC1336" s="653"/>
      <c r="AD1336" s="652"/>
      <c r="AE1336" s="652"/>
      <c r="AF1336" s="652"/>
      <c r="AG1336" s="652"/>
      <c r="AH1336" s="653"/>
      <c r="AI1336" s="953"/>
      <c r="AJ1336" s="953"/>
      <c r="AK1336" s="953"/>
      <c r="AL1336" s="652"/>
      <c r="AM1336" s="653"/>
      <c r="AN1336" s="953"/>
      <c r="AO1336" s="953"/>
      <c r="AP1336" s="953"/>
      <c r="AQ1336" s="953"/>
      <c r="AR1336" s="653"/>
      <c r="AS1336" s="953"/>
      <c r="AT1336" s="953"/>
      <c r="AU1336" s="953"/>
      <c r="AV1336" s="953"/>
      <c r="AW1336" s="653"/>
      <c r="AX1336" s="953"/>
      <c r="AY1336" s="953"/>
      <c r="AZ1336" s="953"/>
      <c r="BA1336" s="953"/>
      <c r="BB1336" s="653"/>
      <c r="BC1336" s="953"/>
      <c r="BD1336" s="953"/>
      <c r="BE1336" s="953"/>
      <c r="BF1336" s="953"/>
      <c r="BG1336" s="654"/>
      <c r="BH1336" s="953"/>
      <c r="BI1336" s="953"/>
      <c r="BJ1336" s="953"/>
      <c r="BK1336" s="953"/>
      <c r="BL1336" s="654"/>
      <c r="BM1336" s="953"/>
      <c r="BN1336" s="953"/>
      <c r="BO1336" s="953"/>
      <c r="BP1336" s="953"/>
      <c r="BQ1336" s="654"/>
      <c r="BR1336" s="953"/>
      <c r="BS1336" s="953"/>
      <c r="BT1336" s="953"/>
      <c r="BU1336" s="953"/>
      <c r="BV1336" s="654"/>
      <c r="BW1336" s="953"/>
      <c r="BX1336" s="953"/>
      <c r="BY1336" s="953"/>
      <c r="BZ1336" s="953"/>
      <c r="CA1336" s="654">
        <v>-250</v>
      </c>
      <c r="CB1336" s="953"/>
      <c r="CC1336" s="953"/>
      <c r="CD1336" s="953"/>
      <c r="CE1336" s="953"/>
      <c r="CF1336" s="654">
        <f>CA1336*(1+4.5%)</f>
      </c>
      <c r="CG1336" s="953"/>
      <c r="CH1336" s="953"/>
      <c r="CI1336" s="953"/>
      <c r="CJ1336" s="953"/>
      <c r="CK1336" s="654">
        <f>CF1336*(1+4.5%)</f>
      </c>
      <c r="CL1336" s="953"/>
      <c r="CM1336" s="953"/>
      <c r="CN1336" s="953"/>
      <c r="CO1336" s="953"/>
      <c r="CP1336" s="654">
        <f>CK1336*(1+4.5%)</f>
      </c>
      <c r="CQ1336" s="953"/>
      <c r="CR1336" s="953"/>
      <c r="CS1336" s="953"/>
      <c r="CT1336" s="953"/>
      <c r="CU1336" s="654">
        <f>CP1336*(1+4.5%)</f>
      </c>
      <c r="CV1336" s="953"/>
      <c r="CW1336" s="953"/>
      <c r="CX1336" s="953"/>
      <c r="CY1336" s="953"/>
      <c r="CZ1336" s="654">
        <f>CU1336*(1+4.5%)</f>
      </c>
      <c r="DA1336" s="1338"/>
      <c r="DB1336" s="652"/>
      <c r="DC1336" s="652"/>
      <c r="DD1336" s="1201"/>
      <c r="DE1336" s="1947">
        <f>CZ1336*(1+4.5%)</f>
      </c>
      <c r="DF1336" s="1948"/>
      <c r="DG1336" s="2386"/>
      <c r="DH1336" s="2386"/>
      <c r="DI1336" s="1949"/>
      <c r="DJ1336" s="1947">
        <f>DE1336*(1+4.5%)</f>
      </c>
      <c r="DK1336" s="1947"/>
      <c r="DL1336" s="1947"/>
      <c r="DM1336" s="1947"/>
      <c r="DN1336" s="1947"/>
      <c r="DO1336" s="1947">
        <f>DJ1336*(1+4.5%)</f>
      </c>
      <c r="DP1336" s="1947"/>
      <c r="DQ1336" s="1947"/>
      <c r="DR1336" s="1947"/>
      <c r="DS1336" s="1948"/>
      <c r="DT1336" s="1947">
        <f>DO1336*(1+4.5%)</f>
      </c>
      <c r="DU1336" s="2386"/>
      <c r="DV1336" s="1947"/>
      <c r="DW1336" s="1947"/>
      <c r="DX1336" s="1947"/>
      <c r="DY1336" s="1947">
        <f>DT1336*(1+4.5%)</f>
      </c>
      <c r="DZ1336" s="2386"/>
      <c r="EA1336" s="2386"/>
      <c r="EB1336" s="1949"/>
      <c r="EC1336" s="1811"/>
      <c r="ED1336" s="1947">
        <f>DY1336*(1+4.5%)</f>
      </c>
      <c r="EE1336" s="2386"/>
      <c r="EF1336" s="2386"/>
      <c r="EG1336" s="2386"/>
      <c r="EH1336" s="1948"/>
      <c r="EI1336" s="1948">
        <f>ED1336*(1+4.5%)</f>
      </c>
      <c r="EJ1336" s="1948">
        <f t="shared" ref="EJ1336:EN1336" si="2672">EI1336*(1+4.5%)</f>
      </c>
      <c r="EK1336" s="1947">
        <f t="shared" si="2672"/>
      </c>
      <c r="EL1336" s="1947">
        <f t="shared" si="2672"/>
      </c>
      <c r="EM1336" s="1947">
        <f t="shared" si="2672"/>
      </c>
      <c r="EN1336" s="1947">
        <f t="shared" si="2672"/>
      </c>
      <c r="EO1336" s="1947"/>
      <c r="EP1336" s="1947"/>
      <c r="EQ1336" s="1947"/>
      <c r="ER1336" s="1947"/>
      <c r="ES1336" s="1947"/>
      <c r="ET1336" s="1947"/>
      <c r="EU1336" s="1947"/>
      <c r="EV1336" s="1947"/>
      <c r="EW1336" s="1947"/>
      <c r="EX1336" s="1947"/>
    </row>
    <row r="1337" spans="2:154" ht="12.75" hidden="1" customHeight="1">
      <c r="B1337" s="3052" t="s">
        <v>151</v>
      </c>
      <c r="C1337" s="3053"/>
      <c r="D1337" s="3054"/>
      <c r="E1337" s="3054"/>
      <c r="F1337" s="3054"/>
      <c r="G1337" s="3054"/>
      <c r="H1337" s="3054"/>
      <c r="I1337" s="3055"/>
      <c r="J1337" s="3054"/>
      <c r="K1337" s="3054"/>
      <c r="L1337" s="3054"/>
      <c r="M1337" s="3054"/>
      <c r="N1337" s="3055"/>
      <c r="O1337" s="3055"/>
      <c r="P1337" s="3055"/>
      <c r="Q1337" s="3055"/>
      <c r="R1337" s="3055"/>
      <c r="S1337" s="3056"/>
      <c r="T1337" s="3055"/>
      <c r="U1337" s="3055"/>
      <c r="V1337" s="3055"/>
      <c r="W1337" s="3055"/>
      <c r="X1337" s="3057"/>
      <c r="Y1337" s="3055"/>
      <c r="Z1337" s="3055"/>
      <c r="AA1337" s="3055"/>
      <c r="AB1337" s="3055"/>
      <c r="AC1337" s="3057"/>
      <c r="AD1337" s="3055"/>
      <c r="AE1337" s="3055"/>
      <c r="AF1337" s="3055"/>
      <c r="AG1337" s="3055"/>
      <c r="AH1337" s="3057"/>
      <c r="AI1337" s="3054"/>
      <c r="AJ1337" s="3054"/>
      <c r="AK1337" s="3054"/>
      <c r="AL1337" s="3055"/>
      <c r="AM1337" s="3057"/>
      <c r="AN1337" s="3054"/>
      <c r="AO1337" s="3054"/>
      <c r="AP1337" s="3054"/>
      <c r="AQ1337" s="3055"/>
      <c r="AR1337" s="3057"/>
      <c r="AS1337" s="3054"/>
      <c r="AT1337" s="3054"/>
      <c r="AU1337" s="3054"/>
      <c r="AV1337" s="3055"/>
      <c r="AW1337" s="3057"/>
      <c r="AX1337" s="3054"/>
      <c r="AY1337" s="3054"/>
      <c r="AZ1337" s="3054"/>
      <c r="BA1337" s="3054"/>
      <c r="BB1337" s="3057"/>
      <c r="BC1337" s="3054"/>
      <c r="BD1337" s="3054"/>
      <c r="BE1337" s="3054"/>
      <c r="BF1337" s="3054"/>
      <c r="BG1337" s="3057"/>
      <c r="BH1337" s="3054"/>
      <c r="BI1337" s="3054"/>
      <c r="BJ1337" s="3054"/>
      <c r="BK1337" s="3054"/>
      <c r="BL1337" s="3057"/>
      <c r="BM1337" s="3054"/>
      <c r="BN1337" s="3054"/>
      <c r="BO1337" s="3054"/>
      <c r="BP1337" s="3054"/>
      <c r="BQ1337" s="3057"/>
      <c r="BR1337" s="3054"/>
      <c r="BS1337" s="3054"/>
      <c r="BT1337" s="3054"/>
      <c r="BU1337" s="3054"/>
      <c r="BV1337" s="3057"/>
      <c r="BW1337" s="3054"/>
      <c r="BX1337" s="3054"/>
      <c r="BY1337" s="3054"/>
      <c r="BZ1337" s="3054"/>
      <c r="CA1337" s="3057"/>
      <c r="CB1337" s="3054"/>
      <c r="CC1337" s="3054"/>
      <c r="CD1337" s="3054"/>
      <c r="CE1337" s="3054"/>
      <c r="CF1337" s="3057"/>
      <c r="CG1337" s="3054"/>
      <c r="CH1337" s="3054"/>
      <c r="CI1337" s="3054"/>
      <c r="CJ1337" s="3054"/>
      <c r="CK1337" s="3057"/>
      <c r="CL1337" s="3054"/>
      <c r="CM1337" s="3054"/>
      <c r="CN1337" s="3054"/>
      <c r="CO1337" s="3054"/>
      <c r="CP1337" s="3057"/>
      <c r="CQ1337" s="3054"/>
      <c r="CR1337" s="3054"/>
      <c r="CS1337" s="3054"/>
      <c r="CT1337" s="3054"/>
      <c r="CU1337" s="3057"/>
      <c r="CV1337" s="3054"/>
      <c r="CW1337" s="3054"/>
      <c r="CX1337" s="3054"/>
      <c r="CY1337" s="3054"/>
      <c r="CZ1337" s="3057"/>
      <c r="DA1337" s="3058"/>
      <c r="DB1337" s="15"/>
      <c r="DC1337" s="15"/>
      <c r="DD1337" s="3059"/>
      <c r="DE1337" s="3060"/>
      <c r="DF1337" s="3061"/>
      <c r="DG1337" s="1777"/>
      <c r="DH1337" s="1777"/>
      <c r="DI1337" s="3062"/>
      <c r="DJ1337" s="3060"/>
      <c r="DK1337" s="3060"/>
      <c r="DL1337" s="3060"/>
      <c r="DM1337" s="3060"/>
      <c r="DN1337" s="3060"/>
      <c r="DO1337" s="3060"/>
      <c r="DP1337" s="3060"/>
      <c r="DQ1337" s="3060"/>
      <c r="DR1337" s="3060"/>
      <c r="DS1337" s="3110"/>
      <c r="DT1337" s="3114"/>
      <c r="DU1337" s="3112"/>
      <c r="DV1337" s="3060"/>
      <c r="DW1337" s="3060"/>
      <c r="DX1337" s="3114"/>
      <c r="DY1337" s="3114"/>
      <c r="DZ1337" s="3112"/>
      <c r="EA1337" s="3112"/>
      <c r="EB1337" s="3477"/>
      <c r="EC1337" s="3617"/>
      <c r="ED1337" s="3114"/>
      <c r="EE1337" s="3112"/>
      <c r="EF1337" s="3112"/>
      <c r="EG1337" s="1777"/>
      <c r="EH1337" s="3110"/>
      <c r="EI1337" s="3110"/>
      <c r="EJ1337" s="3110"/>
      <c r="EK1337" s="3114"/>
      <c r="EL1337" s="3114"/>
      <c r="EM1337" s="3114"/>
      <c r="EN1337" s="3114"/>
      <c r="EO1337" s="1851"/>
      <c r="EP1337" s="1851"/>
      <c r="EQ1337" s="1851"/>
      <c r="ER1337" s="1851"/>
      <c r="ES1337" s="1851"/>
      <c r="ET1337" s="1851"/>
      <c r="EU1337" s="1851"/>
      <c r="EV1337" s="1851"/>
      <c r="EW1337" s="1851"/>
      <c r="EX1337" s="1851"/>
    </row>
    <row r="1338" spans="2:154" ht="12.75" hidden="1" customHeight="1">
      <c r="B1338" s="340" t="s">
        <v>187</v>
      </c>
      <c r="C1338" s="1577"/>
      <c r="D1338" s="31">
        <f>1012.34896823139-380</f>
      </c>
      <c r="E1338" s="33">
        <f>238-96</f>
      </c>
      <c r="F1338" s="33">
        <f>255.323993104857-105</f>
      </c>
      <c r="G1338" s="33">
        <f>252-106</f>
      </c>
      <c r="H1338" s="33">
        <f>272-88</f>
      </c>
      <c r="I1338" s="31">
        <f>+SUM(E1338:H1338)</f>
      </c>
      <c r="J1338" s="33">
        <v>86</v>
      </c>
      <c r="K1338" s="33">
        <v>85</v>
      </c>
      <c r="L1338" s="33">
        <v>92</v>
      </c>
      <c r="M1338" s="33">
        <v>83</v>
      </c>
      <c r="N1338" s="31">
        <f>+SUM(J1338:M1338)</f>
      </c>
      <c r="O1338" s="33">
        <v>19</v>
      </c>
      <c r="P1338" s="33">
        <v>36</v>
      </c>
      <c r="Q1338" s="33">
        <v>20</v>
      </c>
      <c r="R1338" s="33">
        <v>57</v>
      </c>
      <c r="S1338" s="31">
        <f>SUM(O1338:R1338)</f>
      </c>
      <c r="T1338" s="33">
        <v>17</v>
      </c>
      <c r="U1338" s="33">
        <v>20</v>
      </c>
      <c r="V1338" s="33">
        <v>22</v>
      </c>
      <c r="W1338" s="33">
        <v>16</v>
      </c>
      <c r="X1338" s="1061">
        <f>SUM(T1338:W1338)</f>
      </c>
      <c r="Y1338" s="33">
        <v>12</v>
      </c>
      <c r="Z1338" s="33">
        <v>11</v>
      </c>
      <c r="AA1338" s="33">
        <v>12</v>
      </c>
      <c r="AB1338" s="33">
        <v>10</v>
      </c>
      <c r="AC1338" s="1061">
        <f>SUM(Y1338:AB1338)</f>
      </c>
      <c r="AD1338" s="33">
        <v>11.2</v>
      </c>
      <c r="AE1338" s="33">
        <v>10</v>
      </c>
      <c r="AF1338" s="33">
        <v>10.3</v>
      </c>
      <c r="AG1338" s="33">
        <v>9</v>
      </c>
      <c r="AH1338" s="1061">
        <f>SUM(AD1338:AG1338)</f>
      </c>
      <c r="AI1338" s="33">
        <v>12</v>
      </c>
      <c r="AJ1338" s="33">
        <v>10</v>
      </c>
      <c r="AK1338" s="33">
        <v>11</v>
      </c>
      <c r="AL1338" s="33">
        <v>11</v>
      </c>
      <c r="AM1338" s="1061">
        <f>+SUM(AI1338:AL1338)</f>
      </c>
      <c r="AN1338" s="33">
        <v>11</v>
      </c>
      <c r="AO1338" s="33">
        <v>14</v>
      </c>
      <c r="AP1338" s="33">
        <v>13</v>
      </c>
      <c r="AQ1338" s="33">
        <v>13</v>
      </c>
      <c r="AR1338" s="1061">
        <f>+SUM(AN1338:AQ1338)</f>
      </c>
      <c r="AS1338" s="33">
        <v>0</v>
      </c>
      <c r="AT1338" s="33">
        <v>0</v>
      </c>
      <c r="AU1338" s="33">
        <v>0</v>
      </c>
      <c r="AV1338" s="33">
        <v>18</v>
      </c>
      <c r="AW1338" s="1061">
        <f>+SUM(AS1338:AV1338)</f>
      </c>
      <c r="AX1338" s="33">
        <v>0</v>
      </c>
      <c r="AY1338" s="33">
        <v>0</v>
      </c>
      <c r="AZ1338" s="33">
        <v>0</v>
      </c>
      <c r="BA1338" s="33">
        <v>0</v>
      </c>
      <c r="BB1338" s="1061">
        <f>SUM(AX1338:BA1338)</f>
      </c>
      <c r="BC1338" s="33">
        <v>0</v>
      </c>
      <c r="BD1338" s="33">
        <v>0</v>
      </c>
      <c r="BE1338" s="33">
        <v>0</v>
      </c>
      <c r="BF1338" s="933">
        <f>SUM(BB1338:BE1338)</f>
      </c>
      <c r="BG1338" s="320">
        <v>0</v>
      </c>
      <c r="BH1338" s="33">
        <v>0.89116874999916784</v>
      </c>
      <c r="BI1338" s="33">
        <v>0</v>
      </c>
      <c r="BJ1338" s="33">
        <v>1.2590180700236822</v>
      </c>
      <c r="BK1338" s="33">
        <v>0</v>
      </c>
      <c r="BL1338" s="320">
        <f>SUM(BH1338:BK1338)</f>
      </c>
      <c r="BM1338" s="33">
        <v>0</v>
      </c>
      <c r="BN1338" s="33">
        <v>0</v>
      </c>
      <c r="BO1338" s="33">
        <v>0</v>
      </c>
      <c r="BP1338" s="933">
        <f>+BQ1338-SUM(BM1338:BO1338)</f>
      </c>
      <c r="BQ1338" s="320">
        <v>0</v>
      </c>
      <c r="BR1338" s="33">
        <v>0</v>
      </c>
      <c r="BS1338" s="33">
        <v>0</v>
      </c>
      <c r="BT1338" s="33">
        <v>0</v>
      </c>
      <c r="BU1338" s="933">
        <f>+BV1338-SUM(BR1338:BT1338)</f>
      </c>
      <c r="BV1338" s="320">
        <v>0</v>
      </c>
      <c r="BW1338" s="33"/>
      <c r="BX1338" s="33"/>
      <c r="BY1338" s="33"/>
      <c r="BZ1338" s="33"/>
      <c r="CA1338" s="320"/>
      <c r="CB1338" s="33"/>
      <c r="CC1338" s="33"/>
      <c r="CD1338" s="33"/>
      <c r="CE1338" s="33"/>
      <c r="CF1338" s="320"/>
      <c r="CG1338" s="33"/>
      <c r="CH1338" s="33"/>
      <c r="CI1338" s="33"/>
      <c r="CJ1338" s="33"/>
      <c r="CK1338" s="320"/>
      <c r="CL1338" s="33"/>
      <c r="CM1338" s="33"/>
      <c r="CN1338" s="33"/>
      <c r="CO1338" s="33"/>
      <c r="CP1338" s="320"/>
      <c r="CQ1338" s="33"/>
      <c r="CR1338" s="33"/>
      <c r="CS1338" s="33"/>
      <c r="CT1338" s="33"/>
      <c r="CU1338" s="320"/>
      <c r="CV1338" s="33"/>
      <c r="CW1338" s="33"/>
      <c r="CX1338" s="33"/>
      <c r="CY1338" s="33"/>
      <c r="CZ1338" s="320"/>
      <c r="DA1338" s="2387"/>
      <c r="DB1338" s="33"/>
      <c r="DC1338" s="33"/>
      <c r="DD1338" s="2388"/>
      <c r="DE1338" s="605"/>
      <c r="DF1338" s="2389"/>
      <c r="DG1338" s="602"/>
      <c r="DH1338" s="602"/>
      <c r="DI1338" s="2390"/>
      <c r="DJ1338" s="605"/>
      <c r="DK1338" s="605"/>
      <c r="DL1338" s="605"/>
      <c r="DM1338" s="605"/>
      <c r="DN1338" s="605"/>
      <c r="DO1338" s="605"/>
      <c r="DP1338" s="605"/>
      <c r="DQ1338" s="605"/>
      <c r="DR1338" s="605"/>
      <c r="DS1338" s="2389"/>
      <c r="DT1338" s="605"/>
      <c r="DU1338" s="602"/>
      <c r="DV1338" s="605"/>
      <c r="DW1338" s="605"/>
      <c r="DX1338" s="605"/>
      <c r="DY1338" s="605"/>
      <c r="DZ1338" s="602"/>
      <c r="EA1338" s="602"/>
      <c r="EB1338" s="2390"/>
      <c r="EC1338" s="3618"/>
      <c r="ED1338" s="605"/>
      <c r="EE1338" s="602"/>
      <c r="EF1338" s="602"/>
      <c r="EG1338" s="602"/>
      <c r="EH1338" s="2389"/>
      <c r="EI1338" s="2389"/>
      <c r="EJ1338" s="2389"/>
      <c r="EK1338" s="605"/>
      <c r="EL1338" s="605"/>
      <c r="EM1338" s="605"/>
      <c r="EN1338" s="605"/>
      <c r="EO1338" s="605"/>
      <c r="EP1338" s="605"/>
      <c r="EQ1338" s="605"/>
      <c r="ER1338" s="605"/>
      <c r="ES1338" s="605"/>
      <c r="ET1338" s="605"/>
      <c r="EU1338" s="605"/>
      <c r="EV1338" s="605"/>
      <c r="EW1338" s="605"/>
      <c r="EX1338" s="605"/>
    </row>
    <row r="1339" spans="2:154" ht="12.75" hidden="1" customHeight="1">
      <c r="B1339" s="340" t="s">
        <v>412</v>
      </c>
      <c r="C1339" s="1577"/>
      <c r="D1339" s="31">
        <f>996.910425021716-471</f>
      </c>
      <c r="E1339" s="33">
        <f>256-125</f>
      </c>
      <c r="F1339" s="33">
        <f>258.902626517271-129</f>
      </c>
      <c r="G1339" s="33">
        <f>272-143</f>
      </c>
      <c r="H1339" s="33">
        <f>288-145</f>
      </c>
      <c r="I1339" s="31">
        <f>+SUM(E1339:H1339)</f>
      </c>
      <c r="J1339" s="33">
        <v>66</v>
      </c>
      <c r="K1339" s="33">
        <v>62</v>
      </c>
      <c r="L1339" s="33">
        <v>62</v>
      </c>
      <c r="M1339" s="33">
        <v>60</v>
      </c>
      <c r="N1339" s="31">
        <f>+SUM(J1339:M1339)</f>
      </c>
      <c r="O1339" s="33">
        <v>33</v>
      </c>
      <c r="P1339" s="33">
        <v>31</v>
      </c>
      <c r="Q1339" s="33">
        <v>14</v>
      </c>
      <c r="R1339" s="33">
        <v>31</v>
      </c>
      <c r="S1339" s="31">
        <f>SUM(O1339:R1339)</f>
      </c>
      <c r="T1339" s="33">
        <v>13</v>
      </c>
      <c r="U1339" s="33">
        <v>13</v>
      </c>
      <c r="V1339" s="33">
        <v>12</v>
      </c>
      <c r="W1339" s="33">
        <v>8</v>
      </c>
      <c r="X1339" s="1061">
        <f>SUM(T1339:W1339)</f>
      </c>
      <c r="Y1339" s="33">
        <v>7</v>
      </c>
      <c r="Z1339" s="33">
        <v>6</v>
      </c>
      <c r="AA1339" s="33">
        <v>5</v>
      </c>
      <c r="AB1339" s="33">
        <v>8</v>
      </c>
      <c r="AC1339" s="1061">
        <f>SUM(Y1339:AB1339)</f>
      </c>
      <c r="AD1339" s="33">
        <v>4.5999999999999996</v>
      </c>
      <c r="AE1339" s="33">
        <v>4.5999999999999996</v>
      </c>
      <c r="AF1339" s="33">
        <v>7</v>
      </c>
      <c r="AG1339" s="33">
        <v>6</v>
      </c>
      <c r="AH1339" s="1061">
        <f>SUM(AD1339:AG1339)</f>
      </c>
      <c r="AI1339" s="33">
        <v>6.5</v>
      </c>
      <c r="AJ1339" s="33">
        <v>3</v>
      </c>
      <c r="AK1339" s="33">
        <v>5</v>
      </c>
      <c r="AL1339" s="33">
        <v>1</v>
      </c>
      <c r="AM1339" s="1061">
        <f>+SUM(AI1339:AL1339)</f>
      </c>
      <c r="AN1339" s="33">
        <v>3</v>
      </c>
      <c r="AO1339" s="33">
        <v>1</v>
      </c>
      <c r="AP1339" s="33">
        <v>3</v>
      </c>
      <c r="AQ1339" s="33">
        <v>3</v>
      </c>
      <c r="AR1339" s="1061">
        <f>+SUM(AN1339:AQ1339)</f>
      </c>
      <c r="AS1339" s="33">
        <v>0</v>
      </c>
      <c r="AT1339" s="33">
        <v>0</v>
      </c>
      <c r="AU1339" s="33">
        <v>0</v>
      </c>
      <c r="AV1339" s="33">
        <v>0</v>
      </c>
      <c r="AW1339" s="1061">
        <f>+SUM(AS1339:AV1339)</f>
      </c>
      <c r="AX1339" s="33">
        <v>0</v>
      </c>
      <c r="AY1339" s="33">
        <v>0</v>
      </c>
      <c r="AZ1339" s="33">
        <v>0</v>
      </c>
      <c r="BA1339" s="33">
        <v>0</v>
      </c>
      <c r="BB1339" s="1061">
        <f>SUM(AX1339:BA1339)</f>
      </c>
      <c r="BC1339" s="33">
        <v>0</v>
      </c>
      <c r="BD1339" s="33">
        <v>0</v>
      </c>
      <c r="BE1339" s="33">
        <v>0</v>
      </c>
      <c r="BF1339" s="933">
        <f>SUM(BB1339:BE1339)</f>
      </c>
      <c r="BG1339" s="320">
        <v>0</v>
      </c>
      <c r="BH1339" s="33">
        <v>-0.87582648970158128</v>
      </c>
      <c r="BI1339" s="33">
        <v>0</v>
      </c>
      <c r="BJ1339" s="33">
        <v>-3.2939258865802135</v>
      </c>
      <c r="BK1339" s="33">
        <v>0</v>
      </c>
      <c r="BL1339" s="320">
        <f>SUM(BH1339:BK1339)</f>
      </c>
      <c r="BM1339" s="33">
        <v>0</v>
      </c>
      <c r="BN1339" s="33">
        <v>0</v>
      </c>
      <c r="BO1339" s="33">
        <v>0</v>
      </c>
      <c r="BP1339" s="933">
        <f>+BQ1339-SUM(BM1339:BO1339)</f>
      </c>
      <c r="BQ1339" s="320">
        <v>0</v>
      </c>
      <c r="BR1339" s="33">
        <v>0</v>
      </c>
      <c r="BS1339" s="33">
        <v>0</v>
      </c>
      <c r="BT1339" s="33">
        <v>0</v>
      </c>
      <c r="BU1339" s="933">
        <f>+BV1339-SUM(BR1339:BT1339)</f>
      </c>
      <c r="BV1339" s="320">
        <v>0</v>
      </c>
      <c r="BW1339" s="33"/>
      <c r="BX1339" s="33"/>
      <c r="BY1339" s="33"/>
      <c r="BZ1339" s="33"/>
      <c r="CA1339" s="320"/>
      <c r="CB1339" s="33"/>
      <c r="CC1339" s="33"/>
      <c r="CD1339" s="33"/>
      <c r="CE1339" s="33"/>
      <c r="CF1339" s="320"/>
      <c r="CG1339" s="33"/>
      <c r="CH1339" s="33"/>
      <c r="CI1339" s="33"/>
      <c r="CJ1339" s="33"/>
      <c r="CK1339" s="320"/>
      <c r="CL1339" s="33"/>
      <c r="CM1339" s="33"/>
      <c r="CN1339" s="33"/>
      <c r="CO1339" s="33"/>
      <c r="CP1339" s="320"/>
      <c r="CQ1339" s="33"/>
      <c r="CR1339" s="33"/>
      <c r="CS1339" s="33"/>
      <c r="CT1339" s="33"/>
      <c r="CU1339" s="320"/>
      <c r="CV1339" s="33"/>
      <c r="CW1339" s="33"/>
      <c r="CX1339" s="33"/>
      <c r="CY1339" s="33"/>
      <c r="CZ1339" s="320"/>
      <c r="DA1339" s="2387"/>
      <c r="DB1339" s="33"/>
      <c r="DC1339" s="33"/>
      <c r="DD1339" s="2388"/>
      <c r="DE1339" s="605"/>
      <c r="DF1339" s="2389"/>
      <c r="DG1339" s="602"/>
      <c r="DH1339" s="602"/>
      <c r="DI1339" s="2390"/>
      <c r="DJ1339" s="605"/>
      <c r="DK1339" s="605"/>
      <c r="DL1339" s="605"/>
      <c r="DM1339" s="605"/>
      <c r="DN1339" s="605"/>
      <c r="DO1339" s="605"/>
      <c r="DP1339" s="605"/>
      <c r="DQ1339" s="605"/>
      <c r="DR1339" s="605"/>
      <c r="DS1339" s="2389"/>
      <c r="DT1339" s="605"/>
      <c r="DU1339" s="602"/>
      <c r="DV1339" s="605"/>
      <c r="DW1339" s="605"/>
      <c r="DX1339" s="605"/>
      <c r="DY1339" s="605"/>
      <c r="DZ1339" s="602"/>
      <c r="EA1339" s="602"/>
      <c r="EB1339" s="2390"/>
      <c r="EC1339" s="3618"/>
      <c r="ED1339" s="605"/>
      <c r="EE1339" s="602"/>
      <c r="EF1339" s="602"/>
      <c r="EG1339" s="602"/>
      <c r="EH1339" s="2389"/>
      <c r="EI1339" s="2389"/>
      <c r="EJ1339" s="2389"/>
      <c r="EK1339" s="605"/>
      <c r="EL1339" s="605"/>
      <c r="EM1339" s="605"/>
      <c r="EN1339" s="605"/>
      <c r="EO1339" s="605"/>
      <c r="EP1339" s="605"/>
      <c r="EQ1339" s="605"/>
      <c r="ER1339" s="605"/>
      <c r="ES1339" s="605"/>
      <c r="ET1339" s="605"/>
      <c r="EU1339" s="605"/>
      <c r="EV1339" s="605"/>
      <c r="EW1339" s="605"/>
      <c r="EX1339" s="605"/>
    </row>
    <row r="1340" spans="2:154" ht="12.75" hidden="1" customHeight="1">
      <c r="B1340" s="340" t="s">
        <v>413</v>
      </c>
      <c r="C1340" s="1577"/>
      <c r="D1340" s="933">
        <f>+D1338+D1339</f>
      </c>
      <c r="E1340" s="933">
        <f>+E1338+E1339</f>
      </c>
      <c r="F1340" s="933">
        <v>0</v>
      </c>
      <c r="G1340" s="933">
        <f t="shared" ref="G1340:AV1340" si="2673">+G1338+G1339</f>
      </c>
      <c r="H1340" s="933">
        <f t="shared" si="2673"/>
      </c>
      <c r="I1340" s="31">
        <f t="shared" si="2673"/>
      </c>
      <c r="J1340" s="933">
        <f t="shared" si="2673"/>
      </c>
      <c r="K1340" s="933">
        <f t="shared" si="2673"/>
      </c>
      <c r="L1340" s="933">
        <f t="shared" si="2673"/>
      </c>
      <c r="M1340" s="933">
        <f t="shared" si="2673"/>
      </c>
      <c r="N1340" s="31">
        <f t="shared" si="2673"/>
      </c>
      <c r="O1340" s="31">
        <f t="shared" si="2673"/>
      </c>
      <c r="P1340" s="31">
        <f t="shared" si="2673"/>
      </c>
      <c r="Q1340" s="31">
        <f t="shared" si="2673"/>
      </c>
      <c r="R1340" s="31">
        <f t="shared" si="2673"/>
      </c>
      <c r="S1340" s="31">
        <f t="shared" si="2673"/>
      </c>
      <c r="T1340" s="31">
        <f t="shared" si="2673"/>
      </c>
      <c r="U1340" s="31">
        <f t="shared" si="2673"/>
      </c>
      <c r="V1340" s="31">
        <f t="shared" si="2673"/>
      </c>
      <c r="W1340" s="31">
        <f t="shared" si="2673"/>
      </c>
      <c r="X1340" s="313">
        <f t="shared" si="2673"/>
      </c>
      <c r="Y1340" s="31">
        <f t="shared" si="2673"/>
      </c>
      <c r="Z1340" s="31">
        <f t="shared" si="2673"/>
      </c>
      <c r="AA1340" s="31">
        <f t="shared" si="2673"/>
      </c>
      <c r="AB1340" s="31">
        <f t="shared" si="2673"/>
      </c>
      <c r="AC1340" s="313">
        <f t="shared" si="2673"/>
      </c>
      <c r="AD1340" s="31">
        <f t="shared" si="2673"/>
      </c>
      <c r="AE1340" s="31">
        <f t="shared" si="2673"/>
      </c>
      <c r="AF1340" s="31">
        <f t="shared" si="2673"/>
      </c>
      <c r="AG1340" s="31">
        <f t="shared" si="2673"/>
      </c>
      <c r="AH1340" s="313">
        <f t="shared" si="2673"/>
      </c>
      <c r="AI1340" s="933">
        <f t="shared" si="2673"/>
      </c>
      <c r="AJ1340" s="933">
        <f t="shared" si="2673"/>
      </c>
      <c r="AK1340" s="933">
        <f t="shared" si="2673"/>
      </c>
      <c r="AL1340" s="31">
        <f t="shared" si="2673"/>
      </c>
      <c r="AM1340" s="313">
        <f t="shared" si="2673"/>
      </c>
      <c r="AN1340" s="933">
        <f t="shared" si="2673"/>
      </c>
      <c r="AO1340" s="933">
        <f t="shared" si="2673"/>
      </c>
      <c r="AP1340" s="933">
        <f t="shared" si="2673"/>
      </c>
      <c r="AQ1340" s="933">
        <f t="shared" si="2673"/>
      </c>
      <c r="AR1340" s="313">
        <f t="shared" si="2673"/>
      </c>
      <c r="AS1340" s="933">
        <f t="shared" si="2673"/>
      </c>
      <c r="AT1340" s="933">
        <f t="shared" si="2673"/>
      </c>
      <c r="AU1340" s="933">
        <f t="shared" si="2673"/>
      </c>
      <c r="AV1340" s="31">
        <f t="shared" si="2673"/>
      </c>
      <c r="AW1340" s="313">
        <f>+AW1338+AW1339</f>
      </c>
      <c r="AX1340" s="933">
        <f t="shared" ref="AX1340:BV1340" si="2674">+AX1338+AX1339</f>
      </c>
      <c r="AY1340" s="933">
        <f t="shared" si="2674"/>
      </c>
      <c r="AZ1340" s="933">
        <f t="shared" si="2674"/>
      </c>
      <c r="BA1340" s="933">
        <f t="shared" si="2674"/>
      </c>
      <c r="BB1340" s="313">
        <f t="shared" si="2674"/>
      </c>
      <c r="BC1340" s="933">
        <f t="shared" si="2674"/>
      </c>
      <c r="BD1340" s="933">
        <f t="shared" si="2674"/>
      </c>
      <c r="BE1340" s="933">
        <f t="shared" si="2674"/>
      </c>
      <c r="BF1340" s="933">
        <f t="shared" si="2674"/>
      </c>
      <c r="BG1340" s="313">
        <f t="shared" si="2674"/>
      </c>
      <c r="BH1340" s="933">
        <f t="shared" si="2674"/>
      </c>
      <c r="BI1340" s="933">
        <f t="shared" si="2674"/>
      </c>
      <c r="BJ1340" s="933">
        <f t="shared" si="2674"/>
      </c>
      <c r="BK1340" s="933">
        <f t="shared" si="2674"/>
      </c>
      <c r="BL1340" s="313">
        <f t="shared" si="2674"/>
      </c>
      <c r="BM1340" s="933">
        <f>+BM1338+BM1339</f>
      </c>
      <c r="BN1340" s="933">
        <f>+BN1338+BN1339</f>
      </c>
      <c r="BO1340" s="933">
        <f>+BO1338+BO1339</f>
      </c>
      <c r="BP1340" s="933">
        <f>+BP1338+BP1339</f>
      </c>
      <c r="BQ1340" s="313">
        <f t="shared" si="2674"/>
      </c>
      <c r="BR1340" s="933">
        <f t="shared" si="2674"/>
      </c>
      <c r="BS1340" s="933">
        <f t="shared" si="2674"/>
      </c>
      <c r="BT1340" s="933">
        <f t="shared" si="2674"/>
      </c>
      <c r="BU1340" s="933">
        <f>+BU1338+BU1339</f>
      </c>
      <c r="BV1340" s="313">
        <f t="shared" si="2674"/>
      </c>
      <c r="BW1340" s="933"/>
      <c r="BX1340" s="933"/>
      <c r="BY1340" s="933"/>
      <c r="BZ1340" s="933"/>
      <c r="CA1340" s="313"/>
      <c r="CB1340" s="933"/>
      <c r="CC1340" s="933"/>
      <c r="CD1340" s="933"/>
      <c r="CE1340" s="933"/>
      <c r="CF1340" s="313"/>
      <c r="CG1340" s="933"/>
      <c r="CH1340" s="933"/>
      <c r="CI1340" s="933"/>
      <c r="CJ1340" s="933"/>
      <c r="CK1340" s="313"/>
      <c r="CL1340" s="933"/>
      <c r="CM1340" s="933"/>
      <c r="CN1340" s="933"/>
      <c r="CO1340" s="933"/>
      <c r="CP1340" s="313"/>
      <c r="CQ1340" s="933"/>
      <c r="CR1340" s="933"/>
      <c r="CS1340" s="933"/>
      <c r="CT1340" s="933"/>
      <c r="CU1340" s="313"/>
      <c r="CV1340" s="933"/>
      <c r="CW1340" s="933"/>
      <c r="CX1340" s="933"/>
      <c r="CY1340" s="933"/>
      <c r="CZ1340" s="313"/>
      <c r="DA1340" s="957"/>
      <c r="DB1340" s="31"/>
      <c r="DC1340" s="31"/>
      <c r="DD1340" s="955"/>
      <c r="DE1340" s="477"/>
      <c r="DF1340" s="1799"/>
      <c r="DG1340" s="603"/>
      <c r="DH1340" s="603"/>
      <c r="DI1340" s="1798"/>
      <c r="DJ1340" s="477"/>
      <c r="DK1340" s="477"/>
      <c r="DL1340" s="477"/>
      <c r="DM1340" s="477"/>
      <c r="DN1340" s="477"/>
      <c r="DO1340" s="477"/>
      <c r="DP1340" s="477"/>
      <c r="DQ1340" s="477"/>
      <c r="DR1340" s="477"/>
      <c r="DS1340" s="1799"/>
      <c r="DT1340" s="477"/>
      <c r="DU1340" s="603"/>
      <c r="DV1340" s="477"/>
      <c r="DW1340" s="477"/>
      <c r="DX1340" s="477"/>
      <c r="DY1340" s="477"/>
      <c r="DZ1340" s="603"/>
      <c r="EA1340" s="603"/>
      <c r="EB1340" s="1798"/>
      <c r="EC1340" s="1811"/>
      <c r="ED1340" s="477"/>
      <c r="EE1340" s="603"/>
      <c r="EF1340" s="603"/>
      <c r="EG1340" s="603"/>
      <c r="EH1340" s="1799"/>
      <c r="EI1340" s="1799"/>
      <c r="EJ1340" s="1799"/>
      <c r="EK1340" s="477"/>
      <c r="EL1340" s="477"/>
      <c r="EM1340" s="477"/>
      <c r="EN1340" s="477"/>
      <c r="EO1340" s="477"/>
      <c r="EP1340" s="477"/>
      <c r="EQ1340" s="477"/>
      <c r="ER1340" s="477"/>
      <c r="ES1340" s="477"/>
      <c r="ET1340" s="477"/>
      <c r="EU1340" s="477"/>
      <c r="EV1340" s="477"/>
      <c r="EW1340" s="477"/>
      <c r="EX1340" s="477"/>
    </row>
    <row r="1341" spans="2:154" ht="12.75" hidden="1" customHeight="1">
      <c r="B1341" s="345"/>
      <c r="C1341" s="1577"/>
      <c r="D1341" s="933"/>
      <c r="E1341" s="933"/>
      <c r="F1341" s="933"/>
      <c r="G1341" s="933"/>
      <c r="H1341" s="933"/>
      <c r="I1341" s="31"/>
      <c r="J1341" s="933"/>
      <c r="K1341" s="933"/>
      <c r="L1341" s="933"/>
      <c r="M1341" s="933"/>
      <c r="N1341" s="31"/>
      <c r="O1341" s="31"/>
      <c r="P1341" s="31"/>
      <c r="Q1341" s="31"/>
      <c r="R1341" s="31"/>
      <c r="S1341" s="31"/>
      <c r="T1341" s="31"/>
      <c r="U1341" s="31"/>
      <c r="V1341" s="31"/>
      <c r="W1341" s="31"/>
      <c r="X1341" s="313"/>
      <c r="Y1341" s="31"/>
      <c r="Z1341" s="31"/>
      <c r="AA1341" s="31"/>
      <c r="AB1341" s="31"/>
      <c r="AC1341" s="313"/>
      <c r="AD1341" s="31"/>
      <c r="AE1341" s="31"/>
      <c r="AF1341" s="31"/>
      <c r="AG1341" s="31"/>
      <c r="AH1341" s="313"/>
      <c r="AI1341" s="933"/>
      <c r="AJ1341" s="933"/>
      <c r="AK1341" s="933"/>
      <c r="AL1341" s="31"/>
      <c r="AM1341" s="313"/>
      <c r="AN1341" s="933"/>
      <c r="AO1341" s="933"/>
      <c r="AP1341" s="933"/>
      <c r="AQ1341" s="31"/>
      <c r="AR1341" s="313"/>
      <c r="AS1341" s="933"/>
      <c r="AT1341" s="933"/>
      <c r="AU1341" s="933"/>
      <c r="AV1341" s="31"/>
      <c r="AW1341" s="313"/>
      <c r="AX1341" s="933"/>
      <c r="AY1341" s="933"/>
      <c r="AZ1341" s="933"/>
      <c r="BA1341" s="933"/>
      <c r="BB1341" s="313"/>
      <c r="BC1341" s="933"/>
      <c r="BD1341" s="933"/>
      <c r="BE1341" s="933"/>
      <c r="BF1341" s="933"/>
      <c r="BG1341" s="313"/>
      <c r="BH1341" s="933"/>
      <c r="BI1341" s="933"/>
      <c r="BJ1341" s="933"/>
      <c r="BK1341" s="933"/>
      <c r="BL1341" s="313"/>
      <c r="BM1341" s="933"/>
      <c r="BN1341" s="933"/>
      <c r="BO1341" s="933"/>
      <c r="BP1341" s="933"/>
      <c r="BQ1341" s="313"/>
      <c r="BR1341" s="933"/>
      <c r="BS1341" s="933"/>
      <c r="BT1341" s="933"/>
      <c r="BU1341" s="933"/>
      <c r="BV1341" s="313"/>
      <c r="BW1341" s="933"/>
      <c r="BX1341" s="933"/>
      <c r="BY1341" s="933"/>
      <c r="BZ1341" s="933"/>
      <c r="CA1341" s="313"/>
      <c r="CB1341" s="933"/>
      <c r="CC1341" s="933"/>
      <c r="CD1341" s="933"/>
      <c r="CE1341" s="933"/>
      <c r="CF1341" s="313"/>
      <c r="CG1341" s="933"/>
      <c r="CH1341" s="933"/>
      <c r="CI1341" s="933"/>
      <c r="CJ1341" s="933"/>
      <c r="CK1341" s="313"/>
      <c r="CL1341" s="933"/>
      <c r="CM1341" s="933"/>
      <c r="CN1341" s="933"/>
      <c r="CO1341" s="933"/>
      <c r="CP1341" s="313"/>
      <c r="CQ1341" s="933"/>
      <c r="CR1341" s="933"/>
      <c r="CS1341" s="933"/>
      <c r="CT1341" s="933"/>
      <c r="CU1341" s="313"/>
      <c r="CV1341" s="933"/>
      <c r="CW1341" s="933"/>
      <c r="CX1341" s="933"/>
      <c r="CY1341" s="933"/>
      <c r="CZ1341" s="313"/>
      <c r="DA1341" s="957"/>
      <c r="DB1341" s="31"/>
      <c r="DC1341" s="31"/>
      <c r="DD1341" s="955"/>
      <c r="DE1341" s="477"/>
      <c r="DF1341" s="1799"/>
      <c r="DG1341" s="603"/>
      <c r="DH1341" s="603"/>
      <c r="DI1341" s="1798"/>
      <c r="DJ1341" s="477"/>
      <c r="DK1341" s="477"/>
      <c r="DL1341" s="477"/>
      <c r="DM1341" s="477"/>
      <c r="DN1341" s="477"/>
      <c r="DO1341" s="477"/>
      <c r="DP1341" s="477"/>
      <c r="DQ1341" s="477"/>
      <c r="DR1341" s="477"/>
      <c r="DS1341" s="1799"/>
      <c r="DT1341" s="477"/>
      <c r="DU1341" s="603"/>
      <c r="DV1341" s="477"/>
      <c r="DW1341" s="477"/>
      <c r="DX1341" s="477"/>
      <c r="DY1341" s="477"/>
      <c r="DZ1341" s="603"/>
      <c r="EA1341" s="603"/>
      <c r="EB1341" s="1798"/>
      <c r="EC1341" s="1811"/>
      <c r="ED1341" s="477"/>
      <c r="EE1341" s="603"/>
      <c r="EF1341" s="603"/>
      <c r="EG1341" s="603"/>
      <c r="EH1341" s="1799"/>
      <c r="EI1341" s="1799"/>
      <c r="EJ1341" s="1799"/>
      <c r="EK1341" s="477"/>
      <c r="EL1341" s="477"/>
      <c r="EM1341" s="477"/>
      <c r="EN1341" s="477"/>
      <c r="EO1341" s="477"/>
      <c r="EP1341" s="477"/>
      <c r="EQ1341" s="477"/>
      <c r="ER1341" s="477"/>
      <c r="ES1341" s="477"/>
      <c r="ET1341" s="477"/>
      <c r="EU1341" s="477"/>
      <c r="EV1341" s="477"/>
      <c r="EW1341" s="477"/>
      <c r="EX1341" s="477"/>
    </row>
    <row r="1342" spans="2:154" ht="12.75" hidden="1" customHeight="1">
      <c r="B1342" s="338" t="s">
        <v>191</v>
      </c>
      <c r="C1342" s="1577"/>
      <c r="D1342" s="933"/>
      <c r="E1342" s="933"/>
      <c r="F1342" s="933"/>
      <c r="G1342" s="933"/>
      <c r="H1342" s="933"/>
      <c r="I1342" s="31"/>
      <c r="J1342" s="933"/>
      <c r="K1342" s="933"/>
      <c r="L1342" s="933"/>
      <c r="M1342" s="933"/>
      <c r="N1342" s="31"/>
      <c r="O1342" s="31"/>
      <c r="P1342" s="31"/>
      <c r="Q1342" s="31"/>
      <c r="R1342" s="31"/>
      <c r="S1342" s="31"/>
      <c r="T1342" s="31"/>
      <c r="U1342" s="31"/>
      <c r="V1342" s="31"/>
      <c r="W1342" s="31"/>
      <c r="X1342" s="477"/>
      <c r="Y1342" s="31"/>
      <c r="Z1342" s="31"/>
      <c r="AA1342" s="31"/>
      <c r="AB1342" s="31"/>
      <c r="AC1342" s="477"/>
      <c r="AD1342" s="31"/>
      <c r="AE1342" s="31"/>
      <c r="AF1342" s="31"/>
      <c r="AG1342" s="31"/>
      <c r="AH1342" s="477"/>
      <c r="AI1342" s="933"/>
      <c r="AJ1342" s="933"/>
      <c r="AK1342" s="933"/>
      <c r="AL1342" s="31"/>
      <c r="AM1342" s="477"/>
      <c r="AN1342" s="933"/>
      <c r="AO1342" s="933"/>
      <c r="AP1342" s="933"/>
      <c r="AQ1342" s="933"/>
      <c r="AR1342" s="477"/>
      <c r="AS1342" s="982"/>
      <c r="AT1342" s="982"/>
      <c r="AU1342" s="982"/>
      <c r="AV1342" s="982"/>
      <c r="AW1342" s="477"/>
      <c r="AX1342" s="982"/>
      <c r="AY1342" s="982"/>
      <c r="AZ1342" s="982"/>
      <c r="BA1342" s="982"/>
      <c r="BB1342" s="477"/>
      <c r="BC1342" s="933"/>
      <c r="BD1342" s="933"/>
      <c r="BE1342" s="933"/>
      <c r="BF1342" s="933"/>
      <c r="BG1342" s="313"/>
      <c r="BH1342" s="933"/>
      <c r="BI1342" s="933"/>
      <c r="BJ1342" s="933"/>
      <c r="BK1342" s="933"/>
      <c r="BL1342" s="313"/>
      <c r="BM1342" s="933"/>
      <c r="BN1342" s="933"/>
      <c r="BO1342" s="933"/>
      <c r="BP1342" s="933"/>
      <c r="BQ1342" s="313"/>
      <c r="BR1342" s="933"/>
      <c r="BS1342" s="933"/>
      <c r="BT1342" s="933"/>
      <c r="BU1342" s="933"/>
      <c r="BV1342" s="313"/>
      <c r="BW1342" s="933"/>
      <c r="BX1342" s="933"/>
      <c r="BY1342" s="933"/>
      <c r="BZ1342" s="933"/>
      <c r="CA1342" s="313"/>
      <c r="CB1342" s="933"/>
      <c r="CC1342" s="933"/>
      <c r="CD1342" s="933"/>
      <c r="CE1342" s="933"/>
      <c r="CF1342" s="313"/>
      <c r="CG1342" s="933"/>
      <c r="CH1342" s="933"/>
      <c r="CI1342" s="933"/>
      <c r="CJ1342" s="933"/>
      <c r="CK1342" s="313"/>
      <c r="CL1342" s="933"/>
      <c r="CM1342" s="933"/>
      <c r="CN1342" s="933"/>
      <c r="CO1342" s="933"/>
      <c r="CP1342" s="313"/>
      <c r="CQ1342" s="933"/>
      <c r="CR1342" s="933"/>
      <c r="CS1342" s="933"/>
      <c r="CT1342" s="933"/>
      <c r="CU1342" s="313"/>
      <c r="CV1342" s="933"/>
      <c r="CW1342" s="933"/>
      <c r="CX1342" s="933"/>
      <c r="CY1342" s="933"/>
      <c r="CZ1342" s="313"/>
      <c r="DA1342" s="957"/>
      <c r="DB1342" s="31"/>
      <c r="DC1342" s="31"/>
      <c r="DD1342" s="955"/>
      <c r="DE1342" s="477"/>
      <c r="DF1342" s="1799"/>
      <c r="DG1342" s="603"/>
      <c r="DH1342" s="603"/>
      <c r="DI1342" s="1798"/>
      <c r="DJ1342" s="477"/>
      <c r="DK1342" s="477"/>
      <c r="DL1342" s="477"/>
      <c r="DM1342" s="477"/>
      <c r="DN1342" s="477"/>
      <c r="DO1342" s="477"/>
      <c r="DP1342" s="477"/>
      <c r="DQ1342" s="477"/>
      <c r="DR1342" s="477"/>
      <c r="DS1342" s="1799"/>
      <c r="DT1342" s="477"/>
      <c r="DU1342" s="603"/>
      <c r="DV1342" s="477"/>
      <c r="DW1342" s="477"/>
      <c r="DX1342" s="477"/>
      <c r="DY1342" s="477"/>
      <c r="DZ1342" s="603"/>
      <c r="EA1342" s="603"/>
      <c r="EB1342" s="1798"/>
      <c r="EC1342" s="1811"/>
      <c r="ED1342" s="477"/>
      <c r="EE1342" s="603"/>
      <c r="EF1342" s="603"/>
      <c r="EG1342" s="603"/>
      <c r="EH1342" s="1799"/>
      <c r="EI1342" s="1799"/>
      <c r="EJ1342" s="1799"/>
      <c r="EK1342" s="477"/>
      <c r="EL1342" s="477"/>
      <c r="EM1342" s="477"/>
      <c r="EN1342" s="477"/>
      <c r="EO1342" s="477"/>
      <c r="EP1342" s="477"/>
      <c r="EQ1342" s="477"/>
      <c r="ER1342" s="477"/>
      <c r="ES1342" s="477"/>
      <c r="ET1342" s="477"/>
      <c r="EU1342" s="477"/>
      <c r="EV1342" s="477"/>
      <c r="EW1342" s="477"/>
      <c r="EX1342" s="477"/>
    </row>
    <row r="1343" spans="2:154" ht="12.75" hidden="1" customHeight="1">
      <c r="B1343" s="341" t="s">
        <v>187</v>
      </c>
      <c r="C1343" s="1577"/>
      <c r="D1343" s="933"/>
      <c r="E1343" s="933"/>
      <c r="F1343" s="933"/>
      <c r="G1343" s="933"/>
      <c r="H1343" s="933"/>
      <c r="I1343" s="926">
        <f t="shared" ref="I1343:BB1344" si="2675">IF(D1338="NM","NM",IF(I1338="NM","NM",IF(D1338&lt;=0,"NM",IF(I1338=0,"NM",IF(ABS(I1338/D1338-1)&gt;2.5,"NM",IF((ABS(I1338-D1338)=ABS(ABS(I1338)-ABS(D1338))),(I1338/D1338-1),"NM"))))))</f>
      </c>
      <c r="J1343" s="926">
        <f t="shared" si="2675"/>
      </c>
      <c r="K1343" s="926">
        <f t="shared" si="2675"/>
      </c>
      <c r="L1343" s="926">
        <f t="shared" si="2675"/>
      </c>
      <c r="M1343" s="926">
        <f t="shared" si="2675"/>
      </c>
      <c r="N1343" s="926">
        <f t="shared" si="2675"/>
      </c>
      <c r="O1343" s="926">
        <f t="shared" si="2675"/>
      </c>
      <c r="P1343" s="926">
        <f t="shared" si="2675"/>
      </c>
      <c r="Q1343" s="926">
        <f t="shared" si="2675"/>
      </c>
      <c r="R1343" s="926">
        <f t="shared" si="2675"/>
      </c>
      <c r="S1343" s="926">
        <f t="shared" si="2675"/>
      </c>
      <c r="T1343" s="926">
        <f t="shared" si="2675"/>
      </c>
      <c r="U1343" s="926">
        <f t="shared" si="2675"/>
      </c>
      <c r="V1343" s="926">
        <f t="shared" si="2675"/>
      </c>
      <c r="W1343" s="926">
        <f t="shared" si="2675"/>
      </c>
      <c r="X1343" s="1060">
        <f t="shared" si="2675"/>
      </c>
      <c r="Y1343" s="926">
        <f t="shared" si="2675"/>
      </c>
      <c r="Z1343" s="926">
        <f t="shared" si="2675"/>
      </c>
      <c r="AA1343" s="926">
        <f t="shared" si="2675"/>
      </c>
      <c r="AB1343" s="926">
        <f t="shared" si="2675"/>
      </c>
      <c r="AC1343" s="1060">
        <f t="shared" si="2675"/>
      </c>
      <c r="AD1343" s="926">
        <f t="shared" si="2675"/>
      </c>
      <c r="AE1343" s="926">
        <f t="shared" si="2675"/>
      </c>
      <c r="AF1343" s="926">
        <f t="shared" si="2675"/>
      </c>
      <c r="AG1343" s="926">
        <f t="shared" si="2675"/>
      </c>
      <c r="AH1343" s="1060">
        <f t="shared" si="2675"/>
      </c>
      <c r="AI1343" s="926">
        <f t="shared" si="2675"/>
      </c>
      <c r="AJ1343" s="926">
        <f t="shared" si="2675"/>
      </c>
      <c r="AK1343" s="926">
        <f t="shared" si="2675"/>
      </c>
      <c r="AL1343" s="926">
        <f t="shared" si="2675"/>
      </c>
      <c r="AM1343" s="1060">
        <f t="shared" si="2675"/>
      </c>
      <c r="AN1343" s="926">
        <f t="shared" si="2675"/>
      </c>
      <c r="AO1343" s="926">
        <f t="shared" si="2675"/>
      </c>
      <c r="AP1343" s="926">
        <f t="shared" si="2675"/>
      </c>
      <c r="AQ1343" s="926">
        <f t="shared" si="2675"/>
      </c>
      <c r="AR1343" s="1060">
        <f t="shared" si="2675"/>
      </c>
      <c r="AS1343" s="926" t="str">
        <f t="shared" si="2675"/>
      </c>
      <c r="AT1343" s="926" t="str">
        <f t="shared" si="2675"/>
      </c>
      <c r="AU1343" s="926" t="str">
        <f t="shared" si="2675"/>
      </c>
      <c r="AV1343" s="926">
        <f t="shared" si="2675"/>
      </c>
      <c r="AW1343" s="1060">
        <f t="shared" si="2675"/>
      </c>
      <c r="AX1343" s="926" t="str">
        <f t="shared" si="2675"/>
      </c>
      <c r="AY1343" s="926" t="str">
        <f t="shared" si="2675"/>
      </c>
      <c r="AZ1343" s="926" t="str">
        <f t="shared" si="2675"/>
      </c>
      <c r="BA1343" s="926" t="str">
        <f t="shared" si="2675"/>
      </c>
      <c r="BB1343" s="1060" t="str">
        <f t="shared" si="2675"/>
      </c>
      <c r="BC1343" s="926"/>
      <c r="BD1343" s="29"/>
      <c r="BE1343" s="29"/>
      <c r="BF1343" s="926"/>
      <c r="BG1343" s="317"/>
      <c r="BH1343" s="29"/>
      <c r="BI1343" s="29"/>
      <c r="BJ1343" s="29"/>
      <c r="BK1343" s="926"/>
      <c r="BL1343" s="317"/>
      <c r="BM1343" s="29"/>
      <c r="BN1343" s="29"/>
      <c r="BO1343" s="29"/>
      <c r="BP1343" s="926" t="str">
        <f>IF(BK1338="NM","NM",IF(BP1338="NM","NM",IF(BK1338&lt;=0,"NM",IF(BP1338=0,"NM",IF(ABS(BP1338/BK1338-1)&gt;2.5,"NM",IF((ABS(BP1338-BK1338)=ABS(ABS(BP1338)-ABS(BK1338))),(BP1338/BK1338-1),"NM"))))))</f>
      </c>
      <c r="BQ1343" s="317"/>
      <c r="BR1343" s="29"/>
      <c r="BS1343" s="29"/>
      <c r="BT1343" s="29"/>
      <c r="BU1343" s="926" t="str">
        <f>IF(BP1338="NM","NM",IF(BU1338="NM","NM",IF(BP1338&lt;=0,"NM",IF(BU1338=0,"NM",IF(ABS(BU1338/BP1338-1)&gt;2.5,"NM",IF((ABS(BU1338-BP1338)=ABS(ABS(BU1338)-ABS(BP1338))),(BU1338/BP1338-1),"NM"))))))</f>
      </c>
      <c r="BV1343" s="317"/>
      <c r="BW1343" s="29"/>
      <c r="BX1343" s="29"/>
      <c r="BY1343" s="29"/>
      <c r="BZ1343" s="29"/>
      <c r="CA1343" s="317"/>
      <c r="CB1343" s="29"/>
      <c r="CC1343" s="29"/>
      <c r="CD1343" s="29"/>
      <c r="CE1343" s="29"/>
      <c r="CF1343" s="317"/>
      <c r="CG1343" s="29"/>
      <c r="CH1343" s="29"/>
      <c r="CI1343" s="29"/>
      <c r="CJ1343" s="29"/>
      <c r="CK1343" s="317"/>
      <c r="CL1343" s="29"/>
      <c r="CM1343" s="29"/>
      <c r="CN1343" s="29"/>
      <c r="CO1343" s="29"/>
      <c r="CP1343" s="317"/>
      <c r="CQ1343" s="29"/>
      <c r="CR1343" s="29"/>
      <c r="CS1343" s="29"/>
      <c r="CT1343" s="29"/>
      <c r="CU1343" s="317"/>
      <c r="CV1343" s="29"/>
      <c r="CW1343" s="29"/>
      <c r="CX1343" s="29"/>
      <c r="CY1343" s="29"/>
      <c r="CZ1343" s="317"/>
      <c r="DA1343" s="400"/>
      <c r="DB1343" s="29"/>
      <c r="DC1343" s="29"/>
      <c r="DD1343" s="836"/>
      <c r="DE1343" s="317"/>
      <c r="DF1343" s="400"/>
      <c r="DG1343" s="29"/>
      <c r="DH1343" s="29"/>
      <c r="DI1343" s="836"/>
      <c r="DJ1343" s="317"/>
      <c r="DK1343" s="317"/>
      <c r="DL1343" s="317"/>
      <c r="DM1343" s="317"/>
      <c r="DN1343" s="317"/>
      <c r="DO1343" s="317"/>
      <c r="DP1343" s="317"/>
      <c r="DQ1343" s="317"/>
      <c r="DR1343" s="317"/>
      <c r="DS1343" s="400"/>
      <c r="DT1343" s="317"/>
      <c r="DU1343" s="29"/>
      <c r="DV1343" s="317"/>
      <c r="DW1343" s="317"/>
      <c r="DX1343" s="317"/>
      <c r="DY1343" s="317"/>
      <c r="DZ1343" s="29"/>
      <c r="EA1343" s="29"/>
      <c r="EB1343" s="836"/>
      <c r="EC1343" s="1234"/>
      <c r="ED1343" s="317"/>
      <c r="EE1343" s="29"/>
      <c r="EF1343" s="29"/>
      <c r="EG1343" s="29"/>
      <c r="EH1343" s="400"/>
      <c r="EI1343" s="400"/>
      <c r="EJ1343" s="400"/>
      <c r="EK1343" s="317"/>
      <c r="EL1343" s="317"/>
      <c r="EM1343" s="317"/>
      <c r="EN1343" s="317"/>
      <c r="EO1343" s="317"/>
      <c r="EP1343" s="317"/>
      <c r="EQ1343" s="317"/>
      <c r="ER1343" s="317"/>
      <c r="ES1343" s="317"/>
      <c r="ET1343" s="317"/>
      <c r="EU1343" s="317"/>
      <c r="EV1343" s="317"/>
      <c r="EW1343" s="317"/>
      <c r="EX1343" s="317"/>
    </row>
    <row r="1344" spans="2:154" ht="12.75" hidden="1" customHeight="1">
      <c r="B1344" s="341" t="s">
        <v>412</v>
      </c>
      <c r="C1344" s="1577"/>
      <c r="D1344" s="933"/>
      <c r="E1344" s="933"/>
      <c r="F1344" s="933"/>
      <c r="G1344" s="933"/>
      <c r="H1344" s="933"/>
      <c r="I1344" s="926">
        <f t="shared" si="2675"/>
      </c>
      <c r="J1344" s="926">
        <f t="shared" si="2675"/>
      </c>
      <c r="K1344" s="926">
        <f t="shared" si="2675"/>
      </c>
      <c r="L1344" s="926">
        <f t="shared" si="2675"/>
      </c>
      <c r="M1344" s="926">
        <f t="shared" si="2675"/>
      </c>
      <c r="N1344" s="926">
        <f t="shared" si="2675"/>
      </c>
      <c r="O1344" s="926">
        <f t="shared" si="2675"/>
      </c>
      <c r="P1344" s="926">
        <f t="shared" si="2675"/>
      </c>
      <c r="Q1344" s="926">
        <f t="shared" si="2675"/>
      </c>
      <c r="R1344" s="926">
        <f t="shared" si="2675"/>
      </c>
      <c r="S1344" s="926">
        <f t="shared" si="2675"/>
      </c>
      <c r="T1344" s="926">
        <f t="shared" si="2675"/>
      </c>
      <c r="U1344" s="926">
        <f t="shared" si="2675"/>
      </c>
      <c r="V1344" s="926">
        <f t="shared" si="2675"/>
      </c>
      <c r="W1344" s="926">
        <f t="shared" si="2675"/>
      </c>
      <c r="X1344" s="1060">
        <f t="shared" si="2675"/>
      </c>
      <c r="Y1344" s="926">
        <f t="shared" si="2675"/>
      </c>
      <c r="Z1344" s="926">
        <f t="shared" si="2675"/>
      </c>
      <c r="AA1344" s="926">
        <f t="shared" si="2675"/>
      </c>
      <c r="AB1344" s="926">
        <f t="shared" si="2675"/>
      </c>
      <c r="AC1344" s="1060">
        <f t="shared" si="2675"/>
      </c>
      <c r="AD1344" s="926">
        <f t="shared" si="2675"/>
      </c>
      <c r="AE1344" s="926">
        <f t="shared" si="2675"/>
      </c>
      <c r="AF1344" s="926">
        <f t="shared" si="2675"/>
      </c>
      <c r="AG1344" s="926">
        <f t="shared" si="2675"/>
      </c>
      <c r="AH1344" s="1060">
        <f t="shared" si="2675"/>
      </c>
      <c r="AI1344" s="926">
        <f t="shared" si="2675"/>
      </c>
      <c r="AJ1344" s="926">
        <f t="shared" si="2675"/>
      </c>
      <c r="AK1344" s="926">
        <f t="shared" si="2675"/>
      </c>
      <c r="AL1344" s="926">
        <f t="shared" si="2675"/>
      </c>
      <c r="AM1344" s="1060">
        <f t="shared" si="2675"/>
      </c>
      <c r="AN1344" s="926">
        <f t="shared" si="2675"/>
      </c>
      <c r="AO1344" s="926">
        <f t="shared" si="2675"/>
      </c>
      <c r="AP1344" s="926">
        <f t="shared" si="2675"/>
      </c>
      <c r="AQ1344" s="926">
        <f t="shared" si="2675"/>
      </c>
      <c r="AR1344" s="1060">
        <f t="shared" si="2675"/>
      </c>
      <c r="AS1344" s="926" t="str">
        <f t="shared" si="2675"/>
      </c>
      <c r="AT1344" s="926" t="str">
        <f t="shared" si="2675"/>
      </c>
      <c r="AU1344" s="926" t="str">
        <f t="shared" si="2675"/>
      </c>
      <c r="AV1344" s="926" t="str">
        <f t="shared" si="2675"/>
      </c>
      <c r="AW1344" s="1060" t="str">
        <f t="shared" si="2675"/>
      </c>
      <c r="AX1344" s="926" t="str">
        <f t="shared" si="2675"/>
      </c>
      <c r="AY1344" s="926" t="str">
        <f t="shared" si="2675"/>
      </c>
      <c r="AZ1344" s="926" t="str">
        <f t="shared" si="2675"/>
      </c>
      <c r="BA1344" s="926" t="str">
        <f t="shared" si="2675"/>
      </c>
      <c r="BB1344" s="1060" t="str">
        <f t="shared" si="2675"/>
      </c>
      <c r="BC1344" s="926"/>
      <c r="BD1344" s="29"/>
      <c r="BE1344" s="29"/>
      <c r="BF1344" s="926"/>
      <c r="BG1344" s="317"/>
      <c r="BH1344" s="29"/>
      <c r="BI1344" s="29"/>
      <c r="BJ1344" s="29"/>
      <c r="BK1344" s="926"/>
      <c r="BL1344" s="317"/>
      <c r="BM1344" s="29"/>
      <c r="BN1344" s="29"/>
      <c r="BO1344" s="29"/>
      <c r="BP1344" s="926" t="str">
        <f>IF(BK1339="NM","NM",IF(BP1339="NM","NM",IF(BK1339&lt;=0,"NM",IF(BP1339=0,"NM",IF(ABS(BP1339/BK1339-1)&gt;2.5,"NM",IF((ABS(BP1339-BK1339)=ABS(ABS(BP1339)-ABS(BK1339))),(BP1339/BK1339-1),"NM"))))))</f>
      </c>
      <c r="BQ1344" s="317"/>
      <c r="BR1344" s="29"/>
      <c r="BS1344" s="29"/>
      <c r="BT1344" s="29"/>
      <c r="BU1344" s="926" t="str">
        <f>IF(BP1339="NM","NM",IF(BU1339="NM","NM",IF(BP1339&lt;=0,"NM",IF(BU1339=0,"NM",IF(ABS(BU1339/BP1339-1)&gt;2.5,"NM",IF((ABS(BU1339-BP1339)=ABS(ABS(BU1339)-ABS(BP1339))),(BU1339/BP1339-1),"NM"))))))</f>
      </c>
      <c r="BV1344" s="317"/>
      <c r="BW1344" s="29"/>
      <c r="BX1344" s="29"/>
      <c r="BY1344" s="29"/>
      <c r="BZ1344" s="29"/>
      <c r="CA1344" s="317"/>
      <c r="CB1344" s="29"/>
      <c r="CC1344" s="29"/>
      <c r="CD1344" s="29"/>
      <c r="CE1344" s="29"/>
      <c r="CF1344" s="317"/>
      <c r="CG1344" s="29"/>
      <c r="CH1344" s="29"/>
      <c r="CI1344" s="29"/>
      <c r="CJ1344" s="29"/>
      <c r="CK1344" s="317"/>
      <c r="CL1344" s="29"/>
      <c r="CM1344" s="29"/>
      <c r="CN1344" s="29"/>
      <c r="CO1344" s="29"/>
      <c r="CP1344" s="317"/>
      <c r="CQ1344" s="29"/>
      <c r="CR1344" s="29"/>
      <c r="CS1344" s="29"/>
      <c r="CT1344" s="29"/>
      <c r="CU1344" s="317"/>
      <c r="CV1344" s="29"/>
      <c r="CW1344" s="29"/>
      <c r="CX1344" s="29"/>
      <c r="CY1344" s="29"/>
      <c r="CZ1344" s="317"/>
      <c r="DA1344" s="400"/>
      <c r="DB1344" s="29"/>
      <c r="DC1344" s="29"/>
      <c r="DD1344" s="836"/>
      <c r="DE1344" s="317"/>
      <c r="DF1344" s="400"/>
      <c r="DG1344" s="29"/>
      <c r="DH1344" s="29"/>
      <c r="DI1344" s="836"/>
      <c r="DJ1344" s="317"/>
      <c r="DK1344" s="317"/>
      <c r="DL1344" s="317"/>
      <c r="DM1344" s="317"/>
      <c r="DN1344" s="317"/>
      <c r="DO1344" s="317"/>
      <c r="DP1344" s="317"/>
      <c r="DQ1344" s="317"/>
      <c r="DR1344" s="317"/>
      <c r="DS1344" s="400"/>
      <c r="DT1344" s="317"/>
      <c r="DU1344" s="29"/>
      <c r="DV1344" s="317"/>
      <c r="DW1344" s="317"/>
      <c r="DX1344" s="317"/>
      <c r="DY1344" s="317"/>
      <c r="DZ1344" s="29"/>
      <c r="EA1344" s="29"/>
      <c r="EB1344" s="836"/>
      <c r="EC1344" s="1234"/>
      <c r="ED1344" s="317"/>
      <c r="EE1344" s="29"/>
      <c r="EF1344" s="29"/>
      <c r="EG1344" s="29"/>
      <c r="EH1344" s="400"/>
      <c r="EI1344" s="400"/>
      <c r="EJ1344" s="400"/>
      <c r="EK1344" s="317"/>
      <c r="EL1344" s="317"/>
      <c r="EM1344" s="317"/>
      <c r="EN1344" s="317"/>
      <c r="EO1344" s="317"/>
      <c r="EP1344" s="317"/>
      <c r="EQ1344" s="317"/>
      <c r="ER1344" s="317"/>
      <c r="ES1344" s="317"/>
      <c r="ET1344" s="317"/>
      <c r="EU1344" s="317"/>
      <c r="EV1344" s="317"/>
      <c r="EW1344" s="317"/>
      <c r="EX1344" s="317"/>
    </row>
    <row r="1345" spans="1:154" ht="12.75" hidden="1" customHeight="1">
      <c r="B1345" s="341" t="s">
        <v>256</v>
      </c>
      <c r="C1345" s="1577"/>
      <c r="D1345" s="933"/>
      <c r="E1345" s="933"/>
      <c r="F1345" s="933"/>
      <c r="G1345" s="933"/>
      <c r="H1345" s="933"/>
      <c r="I1345" s="24"/>
      <c r="J1345" s="946"/>
      <c r="K1345" s="946"/>
      <c r="L1345" s="946"/>
      <c r="M1345" s="946"/>
      <c r="N1345" s="24"/>
      <c r="O1345" s="24"/>
      <c r="P1345" s="24"/>
      <c r="Q1345" s="24"/>
      <c r="R1345" s="24"/>
      <c r="S1345" s="946"/>
      <c r="T1345" s="24"/>
      <c r="U1345" s="24"/>
      <c r="V1345" s="24"/>
      <c r="W1345" s="24"/>
      <c r="X1345" s="1060"/>
      <c r="Y1345" s="24"/>
      <c r="Z1345" s="24"/>
      <c r="AA1345" s="24"/>
      <c r="AB1345" s="24"/>
      <c r="AC1345" s="1060"/>
      <c r="AD1345" s="24"/>
      <c r="AE1345" s="24"/>
      <c r="AF1345" s="24"/>
      <c r="AG1345" s="24"/>
      <c r="AH1345" s="1060"/>
      <c r="AI1345" s="959">
        <f t="shared" ref="AI1345:BB1345" si="2676">IF(ISNUMBER(AI1344),(1+AI1344)/(1+AI$21)-1,"NM")</f>
      </c>
      <c r="AJ1345" s="959">
        <f t="shared" si="2676"/>
      </c>
      <c r="AK1345" s="959">
        <f t="shared" si="2676"/>
      </c>
      <c r="AL1345" s="959">
        <f t="shared" si="2676"/>
      </c>
      <c r="AM1345" s="1060">
        <f t="shared" si="2676"/>
      </c>
      <c r="AN1345" s="959">
        <f t="shared" si="2676"/>
      </c>
      <c r="AO1345" s="959">
        <f t="shared" si="2676"/>
      </c>
      <c r="AP1345" s="959">
        <f t="shared" si="2676"/>
      </c>
      <c r="AQ1345" s="959">
        <f t="shared" si="2676"/>
      </c>
      <c r="AR1345" s="1060">
        <f t="shared" si="2676"/>
      </c>
      <c r="AS1345" s="926" t="str">
        <f t="shared" si="2676"/>
      </c>
      <c r="AT1345" s="926" t="str">
        <f t="shared" si="2676"/>
      </c>
      <c r="AU1345" s="926" t="str">
        <f t="shared" si="2676"/>
      </c>
      <c r="AV1345" s="926" t="str">
        <f t="shared" si="2676"/>
      </c>
      <c r="AW1345" s="1060" t="str">
        <f t="shared" si="2676"/>
      </c>
      <c r="AX1345" s="926" t="str">
        <f t="shared" si="2676"/>
      </c>
      <c r="AY1345" s="926" t="str">
        <f t="shared" si="2676"/>
      </c>
      <c r="AZ1345" s="926" t="str">
        <f t="shared" si="2676"/>
      </c>
      <c r="BA1345" s="926" t="str">
        <f t="shared" si="2676"/>
      </c>
      <c r="BB1345" s="1060" t="str">
        <f t="shared" si="2676"/>
      </c>
      <c r="BC1345" s="361"/>
      <c r="BD1345" s="361"/>
      <c r="BE1345" s="361"/>
      <c r="BF1345" s="925"/>
      <c r="BG1345" s="316"/>
      <c r="BH1345" s="361"/>
      <c r="BI1345" s="2391"/>
      <c r="BJ1345" s="1405"/>
      <c r="BK1345" s="925"/>
      <c r="BL1345" s="316"/>
      <c r="BM1345" s="1405"/>
      <c r="BN1345" s="1405"/>
      <c r="BO1345" s="1405"/>
      <c r="BP1345" s="926" t="str">
        <f>IF(ISNUMBER(BP1344),(1+BP1344)/(1+BP$21)-1,"NM")</f>
      </c>
      <c r="BQ1345" s="316"/>
      <c r="BR1345" s="1405"/>
      <c r="BS1345" s="1405"/>
      <c r="BT1345" s="1405"/>
      <c r="BU1345" s="926" t="str">
        <f>IF(ISNUMBER(BU1344),(1+BU1344)/(1+BU$21)-1,"NM")</f>
      </c>
      <c r="BV1345" s="316"/>
      <c r="BW1345" s="1405"/>
      <c r="BX1345" s="1405"/>
      <c r="BY1345" s="1405"/>
      <c r="BZ1345" s="1405"/>
      <c r="CA1345" s="316"/>
      <c r="CB1345" s="1405"/>
      <c r="CC1345" s="1405"/>
      <c r="CD1345" s="1405"/>
      <c r="CE1345" s="1405"/>
      <c r="CF1345" s="316"/>
      <c r="CG1345" s="1405"/>
      <c r="CH1345" s="1405"/>
      <c r="CI1345" s="1405"/>
      <c r="CJ1345" s="1405"/>
      <c r="CK1345" s="316"/>
      <c r="CL1345" s="1405"/>
      <c r="CM1345" s="1405"/>
      <c r="CN1345" s="1405"/>
      <c r="CO1345" s="1405"/>
      <c r="CP1345" s="316"/>
      <c r="CQ1345" s="1405"/>
      <c r="CR1345" s="1405"/>
      <c r="CS1345" s="1405"/>
      <c r="CT1345" s="1405"/>
      <c r="CU1345" s="316"/>
      <c r="CV1345" s="1405"/>
      <c r="CW1345" s="1405"/>
      <c r="CX1345" s="1405"/>
      <c r="CY1345" s="1405"/>
      <c r="CZ1345" s="316"/>
      <c r="DA1345" s="828"/>
      <c r="DB1345" s="361"/>
      <c r="DC1345" s="361"/>
      <c r="DD1345" s="835"/>
      <c r="DE1345" s="316"/>
      <c r="DF1345" s="828"/>
      <c r="DG1345" s="361"/>
      <c r="DH1345" s="361"/>
      <c r="DI1345" s="835"/>
      <c r="DJ1345" s="316"/>
      <c r="DK1345" s="316"/>
      <c r="DL1345" s="316"/>
      <c r="DM1345" s="316"/>
      <c r="DN1345" s="316"/>
      <c r="DO1345" s="316"/>
      <c r="DP1345" s="316"/>
      <c r="DQ1345" s="316"/>
      <c r="DR1345" s="316"/>
      <c r="DS1345" s="828"/>
      <c r="DT1345" s="316"/>
      <c r="DU1345" s="361"/>
      <c r="DV1345" s="316"/>
      <c r="DW1345" s="316"/>
      <c r="DX1345" s="316"/>
      <c r="DY1345" s="316"/>
      <c r="DZ1345" s="361"/>
      <c r="EA1345" s="361"/>
      <c r="EB1345" s="835"/>
      <c r="EC1345" s="1238"/>
      <c r="ED1345" s="316"/>
      <c r="EE1345" s="361"/>
      <c r="EF1345" s="361"/>
      <c r="EG1345" s="361"/>
      <c r="EH1345" s="828"/>
      <c r="EI1345" s="828"/>
      <c r="EJ1345" s="828"/>
      <c r="EK1345" s="316"/>
      <c r="EL1345" s="316"/>
      <c r="EM1345" s="316"/>
      <c r="EN1345" s="316"/>
      <c r="EO1345" s="316"/>
      <c r="EP1345" s="316"/>
      <c r="EQ1345" s="316"/>
      <c r="ER1345" s="316"/>
      <c r="ES1345" s="316"/>
      <c r="ET1345" s="316"/>
      <c r="EU1345" s="316"/>
      <c r="EV1345" s="316"/>
      <c r="EW1345" s="316"/>
      <c r="EX1345" s="316"/>
    </row>
    <row r="1346" spans="1:154" ht="12.75" hidden="1" customHeight="1">
      <c r="B1346" s="341" t="s">
        <v>413</v>
      </c>
      <c r="C1346" s="1577"/>
      <c r="D1346" s="933"/>
      <c r="E1346" s="933"/>
      <c r="F1346" s="933"/>
      <c r="G1346" s="933"/>
      <c r="H1346" s="933"/>
      <c r="I1346" s="926">
        <f t="shared" ref="I1346:BB1346" si="2677">IF(D1340="NM","NM",IF(I1340="NM","NM",IF(D1340&lt;=0,"NM",IF(I1340=0,"NM",IF(ABS(I1340/D1340-1)&gt;2.5,"NM",IF((ABS(I1340-D1340)=ABS(ABS(I1340)-ABS(D1340))),(I1340/D1340-1),"NM"))))))</f>
      </c>
      <c r="J1346" s="926">
        <f t="shared" si="2677"/>
      </c>
      <c r="K1346" s="926" t="str">
        <f t="shared" si="2677"/>
      </c>
      <c r="L1346" s="926">
        <f t="shared" si="2677"/>
      </c>
      <c r="M1346" s="926">
        <f t="shared" si="2677"/>
      </c>
      <c r="N1346" s="926">
        <f t="shared" si="2677"/>
      </c>
      <c r="O1346" s="926">
        <f t="shared" si="2677"/>
      </c>
      <c r="P1346" s="926">
        <f t="shared" si="2677"/>
      </c>
      <c r="Q1346" s="926">
        <f t="shared" si="2677"/>
      </c>
      <c r="R1346" s="926">
        <f t="shared" si="2677"/>
      </c>
      <c r="S1346" s="926">
        <f t="shared" si="2677"/>
      </c>
      <c r="T1346" s="926">
        <f t="shared" si="2677"/>
      </c>
      <c r="U1346" s="926">
        <f t="shared" si="2677"/>
      </c>
      <c r="V1346" s="926">
        <f t="shared" si="2677"/>
      </c>
      <c r="W1346" s="926">
        <f t="shared" si="2677"/>
      </c>
      <c r="X1346" s="1060">
        <f t="shared" si="2677"/>
      </c>
      <c r="Y1346" s="926">
        <f t="shared" si="2677"/>
      </c>
      <c r="Z1346" s="926">
        <f t="shared" si="2677"/>
      </c>
      <c r="AA1346" s="926">
        <f t="shared" si="2677"/>
      </c>
      <c r="AB1346" s="926">
        <f t="shared" si="2677"/>
      </c>
      <c r="AC1346" s="1060">
        <f t="shared" si="2677"/>
      </c>
      <c r="AD1346" s="926">
        <f t="shared" si="2677"/>
      </c>
      <c r="AE1346" s="926">
        <f t="shared" si="2677"/>
      </c>
      <c r="AF1346" s="926">
        <f t="shared" si="2677"/>
      </c>
      <c r="AG1346" s="926">
        <f t="shared" si="2677"/>
      </c>
      <c r="AH1346" s="1060">
        <f t="shared" si="2677"/>
      </c>
      <c r="AI1346" s="926">
        <f t="shared" si="2677"/>
      </c>
      <c r="AJ1346" s="926">
        <f t="shared" si="2677"/>
      </c>
      <c r="AK1346" s="926">
        <f t="shared" si="2677"/>
      </c>
      <c r="AL1346" s="926">
        <f t="shared" si="2677"/>
      </c>
      <c r="AM1346" s="1060">
        <f t="shared" si="2677"/>
      </c>
      <c r="AN1346" s="926">
        <f t="shared" si="2677"/>
      </c>
      <c r="AO1346" s="926">
        <f t="shared" si="2677"/>
      </c>
      <c r="AP1346" s="926">
        <f t="shared" si="2677"/>
      </c>
      <c r="AQ1346" s="926">
        <f t="shared" si="2677"/>
      </c>
      <c r="AR1346" s="1060">
        <f t="shared" si="2677"/>
      </c>
      <c r="AS1346" s="926" t="str">
        <f t="shared" si="2677"/>
      </c>
      <c r="AT1346" s="926" t="str">
        <f t="shared" si="2677"/>
      </c>
      <c r="AU1346" s="926" t="str">
        <f t="shared" si="2677"/>
      </c>
      <c r="AV1346" s="926">
        <f t="shared" si="2677"/>
      </c>
      <c r="AW1346" s="1060">
        <f t="shared" si="2677"/>
      </c>
      <c r="AX1346" s="926" t="str">
        <f t="shared" si="2677"/>
      </c>
      <c r="AY1346" s="926" t="str">
        <f t="shared" si="2677"/>
      </c>
      <c r="AZ1346" s="926" t="str">
        <f t="shared" si="2677"/>
      </c>
      <c r="BA1346" s="926" t="str">
        <f t="shared" si="2677"/>
      </c>
      <c r="BB1346" s="1060" t="str">
        <f t="shared" si="2677"/>
      </c>
      <c r="BC1346" s="926"/>
      <c r="BD1346" s="926"/>
      <c r="BE1346" s="926"/>
      <c r="BF1346" s="926"/>
      <c r="BG1346" s="1060"/>
      <c r="BH1346" s="926"/>
      <c r="BI1346" s="2392"/>
      <c r="BJ1346" s="1405"/>
      <c r="BK1346" s="926"/>
      <c r="BL1346" s="1060"/>
      <c r="BM1346" s="1405"/>
      <c r="BN1346" s="1405"/>
      <c r="BO1346" s="1405"/>
      <c r="BP1346" s="926" t="str">
        <f>IF(BK1340="NM","NM",IF(BP1340="NM","NM",IF(BK1340&lt;=0,"NM",IF(BP1340=0,"NM",IF(ABS(BP1340/BK1340-1)&gt;2.5,"NM",IF((ABS(BP1340-BK1340)=ABS(ABS(BP1340)-ABS(BK1340))),(BP1340/BK1340-1),"NM"))))))</f>
      </c>
      <c r="BQ1346" s="1060"/>
      <c r="BR1346" s="1405"/>
      <c r="BS1346" s="1405"/>
      <c r="BT1346" s="1405"/>
      <c r="BU1346" s="926" t="str">
        <f>IF(BP1340="NM","NM",IF(BU1340="NM","NM",IF(BP1340&lt;=0,"NM",IF(BU1340=0,"NM",IF(ABS(BU1340/BP1340-1)&gt;2.5,"NM",IF((ABS(BU1340-BP1340)=ABS(ABS(BU1340)-ABS(BP1340))),(BU1340/BP1340-1),"NM"))))))</f>
      </c>
      <c r="BV1346" s="1060"/>
      <c r="BW1346" s="1405"/>
      <c r="BX1346" s="1405"/>
      <c r="BY1346" s="1405"/>
      <c r="BZ1346" s="1405"/>
      <c r="CA1346" s="1060"/>
      <c r="CB1346" s="1405"/>
      <c r="CC1346" s="1405"/>
      <c r="CD1346" s="1405"/>
      <c r="CE1346" s="1405"/>
      <c r="CF1346" s="1060"/>
      <c r="CG1346" s="1405"/>
      <c r="CH1346" s="1405"/>
      <c r="CI1346" s="1405"/>
      <c r="CJ1346" s="1405"/>
      <c r="CK1346" s="1060"/>
      <c r="CL1346" s="1405"/>
      <c r="CM1346" s="1405"/>
      <c r="CN1346" s="1405"/>
      <c r="CO1346" s="1405"/>
      <c r="CP1346" s="1060"/>
      <c r="CQ1346" s="1405"/>
      <c r="CR1346" s="1405"/>
      <c r="CS1346" s="1405"/>
      <c r="CT1346" s="1405"/>
      <c r="CU1346" s="1060"/>
      <c r="CV1346" s="1405"/>
      <c r="CW1346" s="1405"/>
      <c r="CX1346" s="1405"/>
      <c r="CY1346" s="1405"/>
      <c r="CZ1346" s="1060"/>
      <c r="DA1346" s="958"/>
      <c r="DB1346" s="926"/>
      <c r="DC1346" s="926"/>
      <c r="DD1346" s="928"/>
      <c r="DE1346" s="1060"/>
      <c r="DF1346" s="958"/>
      <c r="DG1346" s="926"/>
      <c r="DH1346" s="926"/>
      <c r="DI1346" s="928"/>
      <c r="DJ1346" s="1060"/>
      <c r="DK1346" s="1060"/>
      <c r="DL1346" s="1060"/>
      <c r="DM1346" s="1060"/>
      <c r="DN1346" s="1060"/>
      <c r="DO1346" s="1060"/>
      <c r="DP1346" s="1060"/>
      <c r="DQ1346" s="1060"/>
      <c r="DR1346" s="1060"/>
      <c r="DS1346" s="958"/>
      <c r="DT1346" s="1060"/>
      <c r="DU1346" s="926"/>
      <c r="DV1346" s="1060"/>
      <c r="DW1346" s="1060"/>
      <c r="DX1346" s="1060"/>
      <c r="DY1346" s="1060"/>
      <c r="DZ1346" s="926"/>
      <c r="EA1346" s="926"/>
      <c r="EB1346" s="928"/>
      <c r="EC1346" s="1536"/>
      <c r="ED1346" s="1060"/>
      <c r="EE1346" s="926"/>
      <c r="EF1346" s="926"/>
      <c r="EG1346" s="926"/>
      <c r="EH1346" s="958"/>
      <c r="EI1346" s="958"/>
      <c r="EJ1346" s="958"/>
      <c r="EK1346" s="1060"/>
      <c r="EL1346" s="1060"/>
      <c r="EM1346" s="1060"/>
      <c r="EN1346" s="1060"/>
      <c r="EO1346" s="1060"/>
      <c r="EP1346" s="1060"/>
      <c r="EQ1346" s="1060"/>
      <c r="ER1346" s="1060"/>
      <c r="ES1346" s="1060"/>
      <c r="ET1346" s="1060"/>
      <c r="EU1346" s="1060"/>
      <c r="EV1346" s="1060"/>
      <c r="EW1346" s="1060"/>
      <c r="EX1346" s="1060"/>
    </row>
    <row r="1347" spans="1:154">
      <c r="B1347" s="2228" t="s">
        <v>840</v>
      </c>
      <c r="C1347" s="1978"/>
      <c r="D1347" s="2969"/>
      <c r="E1347" s="2970"/>
      <c r="F1347" s="2970"/>
      <c r="G1347" s="2970"/>
      <c r="H1347" s="2970"/>
      <c r="I1347" s="2969"/>
      <c r="J1347" s="2969"/>
      <c r="K1347" s="2969"/>
      <c r="L1347" s="2970"/>
      <c r="M1347" s="2970"/>
      <c r="N1347" s="2969"/>
      <c r="O1347" s="2970"/>
      <c r="P1347" s="2970"/>
      <c r="Q1347" s="2970"/>
      <c r="R1347" s="2970"/>
      <c r="S1347" s="2971"/>
      <c r="T1347" s="2970"/>
      <c r="U1347" s="2970"/>
      <c r="V1347" s="2970"/>
      <c r="W1347" s="2970"/>
      <c r="X1347" s="2229"/>
      <c r="Y1347" s="2970"/>
      <c r="Z1347" s="2970"/>
      <c r="AA1347" s="2970"/>
      <c r="AB1347" s="2972"/>
      <c r="AC1347" s="2229"/>
      <c r="AD1347" s="2972"/>
      <c r="AE1347" s="2972"/>
      <c r="AF1347" s="2972"/>
      <c r="AG1347" s="2972"/>
      <c r="AH1347" s="2229"/>
      <c r="AI1347" s="2972"/>
      <c r="AJ1347" s="2972"/>
      <c r="AK1347" s="2972"/>
      <c r="AL1347" s="2972"/>
      <c r="AM1347" s="2229"/>
      <c r="AN1347" s="2972"/>
      <c r="AO1347" s="2972"/>
      <c r="AP1347" s="2972"/>
      <c r="AQ1347" s="2972"/>
      <c r="AR1347" s="2229"/>
      <c r="AS1347" s="2970"/>
      <c r="AT1347" s="2972"/>
      <c r="AU1347" s="2970"/>
      <c r="AV1347" s="2973"/>
      <c r="AW1347" s="2229"/>
      <c r="AX1347" s="2970"/>
      <c r="AY1347" s="2972"/>
      <c r="AZ1347" s="2970"/>
      <c r="BA1347" s="2973"/>
      <c r="BB1347" s="2229"/>
      <c r="BC1347" s="2971"/>
      <c r="BD1347" s="2971"/>
      <c r="BE1347" s="2971"/>
      <c r="BF1347" s="2971"/>
      <c r="BG1347" s="2229"/>
      <c r="BH1347" s="2971"/>
      <c r="BI1347" s="2971"/>
      <c r="BJ1347" s="2971"/>
      <c r="BK1347" s="2971"/>
      <c r="BL1347" s="2229"/>
      <c r="BM1347" s="2971"/>
      <c r="BN1347" s="2971"/>
      <c r="BO1347" s="2971"/>
      <c r="BP1347" s="2971"/>
      <c r="BQ1347" s="2229"/>
      <c r="BR1347" s="2971"/>
      <c r="BS1347" s="2971"/>
      <c r="BT1347" s="2971"/>
      <c r="BU1347" s="2971"/>
      <c r="BV1347" s="2229"/>
      <c r="BW1347" s="2971"/>
      <c r="BX1347" s="2971"/>
      <c r="BY1347" s="2971"/>
      <c r="BZ1347" s="2971"/>
      <c r="CA1347" s="2229"/>
      <c r="CB1347" s="2971"/>
      <c r="CC1347" s="2971"/>
      <c r="CD1347" s="2971"/>
      <c r="CE1347" s="2971"/>
      <c r="CF1347" s="2229"/>
      <c r="CG1347" s="2971"/>
      <c r="CH1347" s="2971"/>
      <c r="CI1347" s="2971"/>
      <c r="CJ1347" s="2971"/>
      <c r="CK1347" s="2229"/>
      <c r="CL1347" s="2971"/>
      <c r="CM1347" s="2971"/>
      <c r="CN1347" s="2971"/>
      <c r="CO1347" s="2971"/>
      <c r="CP1347" s="2229"/>
      <c r="CQ1347" s="2971"/>
      <c r="CR1347" s="2971"/>
      <c r="CS1347" s="2971"/>
      <c r="CT1347" s="2971"/>
      <c r="CU1347" s="2229"/>
      <c r="CV1347" s="2971"/>
      <c r="CW1347" s="2971"/>
      <c r="CX1347" s="2971"/>
      <c r="CY1347" s="2971"/>
      <c r="CZ1347" s="2229"/>
      <c r="DA1347" s="2230"/>
      <c r="DB1347" s="2971"/>
      <c r="DC1347" s="2971"/>
      <c r="DD1347" s="2231"/>
      <c r="DE1347" s="1907"/>
      <c r="DF1347" s="1905"/>
      <c r="DG1347" s="2974"/>
      <c r="DH1347" s="2974"/>
      <c r="DI1347" s="1906"/>
      <c r="DJ1347" s="1907"/>
      <c r="DK1347" s="1905"/>
      <c r="DL1347" s="2974"/>
      <c r="DM1347" s="2974"/>
      <c r="DN1347" s="1906"/>
      <c r="DO1347" s="1907"/>
      <c r="DP1347" s="2974"/>
      <c r="DQ1347" s="2974"/>
      <c r="DR1347" s="2974"/>
      <c r="DS1347" s="2974"/>
      <c r="DT1347" s="1907"/>
      <c r="DU1347" s="2974"/>
      <c r="DV1347" s="2974"/>
      <c r="DW1347" s="2974"/>
      <c r="DX1347" s="1906"/>
      <c r="DY1347" s="1907"/>
      <c r="DZ1347" s="2974"/>
      <c r="EA1347" s="2974"/>
      <c r="EB1347" s="2974"/>
      <c r="EC1347" s="1906"/>
      <c r="ED1347" s="1907"/>
      <c r="EE1347" s="2974"/>
      <c r="EF1347" s="2974"/>
      <c r="EG1347" s="2974"/>
      <c r="EH1347" s="2974"/>
      <c r="EI1347" s="1905"/>
      <c r="EJ1347" s="1907"/>
      <c r="EK1347" s="1907"/>
      <c r="EL1347" s="1907"/>
      <c r="EM1347" s="1907"/>
      <c r="EN1347" s="1907"/>
      <c r="EO1347" s="2202"/>
      <c r="EP1347" s="2202"/>
      <c r="EQ1347" s="2202"/>
      <c r="ER1347" s="2202"/>
      <c r="ES1347" s="2202"/>
      <c r="ET1347" s="2202"/>
      <c r="EU1347" s="2202"/>
      <c r="EV1347" s="2202"/>
      <c r="EW1347" s="2202"/>
      <c r="EX1347" s="2202"/>
    </row>
    <row r="1348" spans="1:154">
      <c r="A1348" s="3275" t="str">
        <f>+A1350&amp;" - US"</f>
      </c>
      <c r="B1348" s="337" t="s">
        <v>951</v>
      </c>
      <c r="C1348" s="1990"/>
      <c r="D1348" s="26">
        <f t="shared" ref="D1348:AI1348" si="2678">+D1338+D898+D909+D1194+D1035+D1068+D1079+D1325</f>
      </c>
      <c r="E1348" s="26">
        <f t="shared" si="2678"/>
      </c>
      <c r="F1348" s="26">
        <f t="shared" si="2678"/>
      </c>
      <c r="G1348" s="26">
        <f t="shared" si="2678"/>
      </c>
      <c r="H1348" s="26">
        <f t="shared" si="2678"/>
      </c>
      <c r="I1348" s="26">
        <f t="shared" si="2678"/>
      </c>
      <c r="J1348" s="26">
        <f t="shared" si="2678"/>
      </c>
      <c r="K1348" s="26">
        <f t="shared" si="2678"/>
      </c>
      <c r="L1348" s="26">
        <f t="shared" si="2678"/>
      </c>
      <c r="M1348" s="26">
        <f t="shared" si="2678"/>
      </c>
      <c r="N1348" s="26">
        <f t="shared" si="2678"/>
      </c>
      <c r="O1348" s="26">
        <f t="shared" si="2678"/>
      </c>
      <c r="P1348" s="26">
        <f t="shared" si="2678"/>
      </c>
      <c r="Q1348" s="26">
        <f t="shared" si="2678"/>
      </c>
      <c r="R1348" s="26">
        <f t="shared" si="2678"/>
      </c>
      <c r="S1348" s="26">
        <f t="shared" si="2678"/>
      </c>
      <c r="T1348" s="26">
        <f t="shared" si="2678"/>
      </c>
      <c r="U1348" s="26">
        <f t="shared" si="2678"/>
      </c>
      <c r="V1348" s="26">
        <f t="shared" si="2678"/>
      </c>
      <c r="W1348" s="26">
        <f t="shared" si="2678"/>
      </c>
      <c r="X1348" s="323">
        <f t="shared" si="2678"/>
      </c>
      <c r="Y1348" s="26">
        <f t="shared" si="2678"/>
      </c>
      <c r="Z1348" s="26">
        <f t="shared" si="2678"/>
      </c>
      <c r="AA1348" s="26">
        <f t="shared" si="2678"/>
      </c>
      <c r="AB1348" s="26">
        <f t="shared" si="2678"/>
      </c>
      <c r="AC1348" s="323">
        <f t="shared" si="2678"/>
      </c>
      <c r="AD1348" s="26">
        <f t="shared" si="2678"/>
      </c>
      <c r="AE1348" s="26">
        <f t="shared" si="2678"/>
      </c>
      <c r="AF1348" s="26">
        <f t="shared" si="2678"/>
      </c>
      <c r="AG1348" s="26">
        <f t="shared" si="2678"/>
      </c>
      <c r="AH1348" s="323">
        <f t="shared" si="2678"/>
      </c>
      <c r="AI1348" s="26">
        <f t="shared" si="2678"/>
      </c>
      <c r="AJ1348" s="26">
        <f t="shared" ref="AJ1348:BB1348" si="2679">+AJ1338+AJ898+AJ909+AJ1194+AJ1035+AJ1068+AJ1079+AJ1325</f>
      </c>
      <c r="AK1348" s="26">
        <f t="shared" si="2679"/>
      </c>
      <c r="AL1348" s="26">
        <f t="shared" si="2679"/>
      </c>
      <c r="AM1348" s="323">
        <f t="shared" si="2679"/>
      </c>
      <c r="AN1348" s="26">
        <f t="shared" si="2679"/>
      </c>
      <c r="AO1348" s="26">
        <f t="shared" si="2679"/>
      </c>
      <c r="AP1348" s="26">
        <f t="shared" si="2679"/>
      </c>
      <c r="AQ1348" s="26">
        <f t="shared" si="2679"/>
      </c>
      <c r="AR1348" s="323">
        <f t="shared" si="2679"/>
      </c>
      <c r="AS1348" s="26">
        <f t="shared" si="2679"/>
      </c>
      <c r="AT1348" s="26">
        <f t="shared" si="2679"/>
      </c>
      <c r="AU1348" s="26">
        <f t="shared" si="2679"/>
      </c>
      <c r="AV1348" s="26">
        <f t="shared" si="2679"/>
      </c>
      <c r="AW1348" s="323">
        <f t="shared" si="2679"/>
      </c>
      <c r="AX1348" s="26">
        <f t="shared" si="2679"/>
      </c>
      <c r="AY1348" s="26">
        <f t="shared" si="2679"/>
      </c>
      <c r="AZ1348" s="26">
        <f t="shared" si="2679"/>
      </c>
      <c r="BA1348" s="26">
        <f t="shared" si="2679"/>
      </c>
      <c r="BB1348" s="323">
        <f t="shared" si="2679"/>
      </c>
      <c r="BC1348" s="26">
        <f t="shared" ref="BC1348:BL1348" si="2680">+BC898+BC909+BC1194+BC1035+BC1068+BC1079+BC1325+BC1338</f>
      </c>
      <c r="BD1348" s="26">
        <f t="shared" si="2680"/>
      </c>
      <c r="BE1348" s="26">
        <f t="shared" si="2680"/>
      </c>
      <c r="BF1348" s="26">
        <f t="shared" si="2680"/>
      </c>
      <c r="BG1348" s="323">
        <f t="shared" si="2680"/>
      </c>
      <c r="BH1348" s="26">
        <f t="shared" si="2680"/>
      </c>
      <c r="BI1348" s="26">
        <f t="shared" si="2680"/>
      </c>
      <c r="BJ1348" s="26">
        <f t="shared" si="2680"/>
      </c>
      <c r="BK1348" s="26">
        <f t="shared" si="2680"/>
      </c>
      <c r="BL1348" s="327">
        <f t="shared" si="2680"/>
      </c>
      <c r="BM1348" s="15">
        <f t="shared" ref="BM1348:BU1348" si="2681">+BM898+BM909+BM1194+BM990+BM979+BM1079+BM1325+BM1338+BM968</f>
      </c>
      <c r="BN1348" s="15">
        <f t="shared" si="2681"/>
      </c>
      <c r="BO1348" s="15">
        <f t="shared" si="2681"/>
      </c>
      <c r="BP1348" s="15">
        <f t="shared" si="2681"/>
      </c>
      <c r="BQ1348" s="327">
        <f t="shared" si="2681"/>
      </c>
      <c r="BR1348" s="15">
        <f t="shared" si="2681"/>
      </c>
      <c r="BS1348" s="15">
        <f t="shared" si="2681"/>
      </c>
      <c r="BT1348" s="15">
        <f t="shared" si="2681"/>
      </c>
      <c r="BU1348" s="15">
        <f t="shared" si="2681"/>
      </c>
      <c r="BV1348" s="327">
        <f>SUM(BR1348:BU1348)</f>
      </c>
      <c r="BW1348" s="15">
        <f t="shared" ref="BW1348:BZ1350" si="2682">+BW898+BW909+BW1194+BW990+BW979+BW1079+BW1325+BW1338+BW968</f>
      </c>
      <c r="BX1348" s="15">
        <f t="shared" si="2682"/>
      </c>
      <c r="BY1348" s="15">
        <f t="shared" si="2682"/>
      </c>
      <c r="BZ1348" s="15">
        <f t="shared" si="2682"/>
      </c>
      <c r="CA1348" s="327">
        <f>SUM(BW1348:BZ1348)</f>
      </c>
      <c r="CB1348" s="15">
        <f t="shared" ref="CB1348:CE1350" si="2683">CB1325+CB1194+CB1079+CB920+CB909+CB898</f>
      </c>
      <c r="CC1348" s="15">
        <f t="shared" si="2683"/>
      </c>
      <c r="CD1348" s="15">
        <f t="shared" si="2683"/>
      </c>
      <c r="CE1348" s="15">
        <f t="shared" si="2683"/>
      </c>
      <c r="CF1348" s="327">
        <f>SUM(CB1348:CE1348)</f>
      </c>
      <c r="CG1348" s="15">
        <f t="shared" ref="CG1348:DO1348" si="2684">CG1325+CG1194+CG1079+CG920+CG909+CG898</f>
      </c>
      <c r="CH1348" s="15">
        <f t="shared" si="2684"/>
      </c>
      <c r="CI1348" s="15">
        <f t="shared" si="2684"/>
      </c>
      <c r="CJ1348" s="15">
        <f t="shared" si="2684"/>
      </c>
      <c r="CK1348" s="327">
        <f t="shared" si="2684"/>
      </c>
      <c r="CL1348" s="15">
        <f t="shared" si="2684"/>
      </c>
      <c r="CM1348" s="15">
        <f t="shared" si="2684"/>
      </c>
      <c r="CN1348" s="15">
        <f t="shared" si="2684"/>
      </c>
      <c r="CO1348" s="15">
        <f t="shared" si="2684"/>
      </c>
      <c r="CP1348" s="327">
        <f t="shared" si="2684"/>
      </c>
      <c r="CQ1348" s="15">
        <f t="shared" si="2684"/>
      </c>
      <c r="CR1348" s="15">
        <f t="shared" si="2684"/>
      </c>
      <c r="CS1348" s="15">
        <f t="shared" si="2684"/>
      </c>
      <c r="CT1348" s="15">
        <f t="shared" si="2684"/>
      </c>
      <c r="CU1348" s="327">
        <f t="shared" si="2684"/>
      </c>
      <c r="CV1348" s="15">
        <f t="shared" si="2684"/>
      </c>
      <c r="CW1348" s="15">
        <f t="shared" si="2684"/>
      </c>
      <c r="CX1348" s="15">
        <f t="shared" si="2684"/>
      </c>
      <c r="CY1348" s="15">
        <f t="shared" si="2684"/>
      </c>
      <c r="CZ1348" s="327">
        <f t="shared" si="2684"/>
      </c>
      <c r="DA1348" s="15">
        <f t="shared" si="2684"/>
      </c>
      <c r="DB1348" s="15">
        <f t="shared" si="2684"/>
      </c>
      <c r="DC1348" s="15">
        <f t="shared" si="2684"/>
      </c>
      <c r="DD1348" s="15">
        <f t="shared" si="2684"/>
      </c>
      <c r="DE1348" s="1851">
        <f t="shared" si="2684"/>
      </c>
      <c r="DF1348" s="1777">
        <f t="shared" si="2684"/>
      </c>
      <c r="DG1348" s="1777">
        <f t="shared" si="2684"/>
      </c>
      <c r="DH1348" s="1777">
        <f t="shared" si="2684"/>
      </c>
      <c r="DI1348" s="1777">
        <f t="shared" si="2684"/>
      </c>
      <c r="DJ1348" s="1851">
        <f t="shared" si="2684"/>
      </c>
      <c r="DK1348" s="1777">
        <f t="shared" si="2684"/>
      </c>
      <c r="DL1348" s="1777">
        <f t="shared" si="2684"/>
      </c>
      <c r="DM1348" s="1777">
        <f t="shared" si="2684"/>
      </c>
      <c r="DN1348" s="1777">
        <f t="shared" si="2684"/>
      </c>
      <c r="DO1348" s="1851">
        <f t="shared" si="2684"/>
      </c>
      <c r="DP1348" s="1777">
        <f t="shared" ref="DP1348:DS1349" si="2685">DP1325+DP1194+DP1079+DP920</f>
      </c>
      <c r="DQ1348" s="1777">
        <f t="shared" si="2685"/>
      </c>
      <c r="DR1348" s="1777">
        <f t="shared" si="2685"/>
      </c>
      <c r="DS1348" s="1777">
        <f t="shared" si="2685"/>
      </c>
      <c r="DT1348" s="1851">
        <f>SUM(DP1348:DS1348)</f>
      </c>
      <c r="DU1348" s="1777">
        <f t="shared" ref="DU1348:DX1349" si="2686">DU1325+DU1194+DU1079+DU920</f>
      </c>
      <c r="DV1348" s="1777">
        <f t="shared" si="2686"/>
      </c>
      <c r="DW1348" s="1777">
        <f t="shared" si="2686"/>
      </c>
      <c r="DX1348" s="1777">
        <f t="shared" si="2686"/>
      </c>
      <c r="DY1348" s="1851">
        <f>SUM(DU1348:DX1348)</f>
      </c>
      <c r="DZ1348" s="1858">
        <f t="shared" ref="DZ1348:EA1349" si="2687">DZ1325+DZ1194+DZ1079+DZ920</f>
      </c>
      <c r="EA1348" s="1858">
        <f>EA1325+EA1194+EA1079+EA920</f>
      </c>
      <c r="EB1348" s="1858">
        <f>EB1325+EB1194+EB1079+EB920</f>
      </c>
      <c r="EC1348" s="1858">
        <f t="shared" ref="EC1348:EE1348" si="2688">EC1325+EC1194+EC1079+EC920</f>
      </c>
      <c r="ED1348" s="1851">
        <f>SUM(DZ1348:EC1348)</f>
      </c>
      <c r="EE1348" s="1858">
        <f t="shared" si="2688"/>
      </c>
      <c r="EF1348" s="1858">
        <f t="shared" ref="EF1348" si="2689">EF1325+EF1194+EF1079+EF920</f>
      </c>
      <c r="EG1348" s="1777">
        <f t="shared" ref="EG1348:EH1349" si="2690">EG1325+EG1194+EG1079+EG920</f>
      </c>
      <c r="EH1348" s="1858">
        <f t="shared" si="2690"/>
      </c>
      <c r="EI1348" s="1941">
        <f t="shared" ref="EI1348:EN1349" si="2691">EI1325+EI1194+EI1079+EI920</f>
      </c>
      <c r="EJ1348" s="1851">
        <f t="shared" si="2691"/>
      </c>
      <c r="EK1348" s="2354">
        <f t="shared" si="2691"/>
      </c>
      <c r="EL1348" s="2354">
        <f t="shared" si="2691"/>
      </c>
      <c r="EM1348" s="2354">
        <f t="shared" si="2691"/>
      </c>
      <c r="EN1348" s="2354">
        <f t="shared" si="2691"/>
      </c>
      <c r="EO1348" s="1851"/>
      <c r="EP1348" s="1851"/>
      <c r="EQ1348" s="1851"/>
      <c r="ER1348" s="1851"/>
      <c r="ES1348" s="1851"/>
      <c r="ET1348" s="1851"/>
      <c r="EU1348" s="1851"/>
      <c r="EV1348" s="1851"/>
      <c r="EW1348" s="1851"/>
      <c r="EX1348" s="1851"/>
    </row>
    <row r="1349" spans="1:154">
      <c r="A1349" s="3275" t="str">
        <f>+A1350&amp;" - OUS"</f>
      </c>
      <c r="B1349" s="337" t="s">
        <v>184</v>
      </c>
      <c r="C1349" s="1990"/>
      <c r="D1349" s="26">
        <f t="shared" ref="D1349:AI1349" si="2692">+D1339+D899+D910+D1195+D1036+D1069+D1080+D1326</f>
      </c>
      <c r="E1349" s="26">
        <f t="shared" si="2692"/>
      </c>
      <c r="F1349" s="26">
        <f t="shared" si="2692"/>
      </c>
      <c r="G1349" s="26">
        <f t="shared" si="2692"/>
      </c>
      <c r="H1349" s="26">
        <f t="shared" si="2692"/>
      </c>
      <c r="I1349" s="26">
        <f t="shared" si="2692"/>
      </c>
      <c r="J1349" s="26">
        <f t="shared" si="2692"/>
      </c>
      <c r="K1349" s="26">
        <f t="shared" si="2692"/>
      </c>
      <c r="L1349" s="26">
        <f t="shared" si="2692"/>
      </c>
      <c r="M1349" s="26">
        <f t="shared" si="2692"/>
      </c>
      <c r="N1349" s="26">
        <f t="shared" si="2692"/>
      </c>
      <c r="O1349" s="26">
        <f t="shared" si="2692"/>
      </c>
      <c r="P1349" s="26">
        <f t="shared" si="2692"/>
      </c>
      <c r="Q1349" s="26">
        <f t="shared" si="2692"/>
      </c>
      <c r="R1349" s="26">
        <f t="shared" si="2692"/>
      </c>
      <c r="S1349" s="26">
        <f t="shared" si="2692"/>
      </c>
      <c r="T1349" s="26">
        <f t="shared" si="2692"/>
      </c>
      <c r="U1349" s="26">
        <f t="shared" si="2692"/>
      </c>
      <c r="V1349" s="26">
        <f t="shared" si="2692"/>
      </c>
      <c r="W1349" s="26">
        <f t="shared" si="2692"/>
      </c>
      <c r="X1349" s="323">
        <f t="shared" si="2692"/>
      </c>
      <c r="Y1349" s="26">
        <f t="shared" si="2692"/>
      </c>
      <c r="Z1349" s="26">
        <f t="shared" si="2692"/>
      </c>
      <c r="AA1349" s="26">
        <f t="shared" si="2692"/>
      </c>
      <c r="AB1349" s="26">
        <f t="shared" si="2692"/>
      </c>
      <c r="AC1349" s="323">
        <f t="shared" si="2692"/>
      </c>
      <c r="AD1349" s="26">
        <f t="shared" si="2692"/>
      </c>
      <c r="AE1349" s="26">
        <f t="shared" si="2692"/>
      </c>
      <c r="AF1349" s="26">
        <f t="shared" si="2692"/>
      </c>
      <c r="AG1349" s="26">
        <f t="shared" si="2692"/>
      </c>
      <c r="AH1349" s="323">
        <f t="shared" si="2692"/>
      </c>
      <c r="AI1349" s="26">
        <f t="shared" si="2692"/>
      </c>
      <c r="AJ1349" s="26">
        <f t="shared" ref="AJ1349:BB1349" si="2693">+AJ1339+AJ899+AJ910+AJ1195+AJ1036+AJ1069+AJ1080+AJ1326</f>
      </c>
      <c r="AK1349" s="26">
        <f t="shared" si="2693"/>
      </c>
      <c r="AL1349" s="26">
        <f t="shared" si="2693"/>
      </c>
      <c r="AM1349" s="323">
        <f t="shared" si="2693"/>
      </c>
      <c r="AN1349" s="26">
        <f t="shared" si="2693"/>
      </c>
      <c r="AO1349" s="26">
        <f t="shared" si="2693"/>
      </c>
      <c r="AP1349" s="26">
        <f t="shared" si="2693"/>
      </c>
      <c r="AQ1349" s="26">
        <f t="shared" si="2693"/>
      </c>
      <c r="AR1349" s="323">
        <f t="shared" si="2693"/>
      </c>
      <c r="AS1349" s="26">
        <f t="shared" si="2693"/>
      </c>
      <c r="AT1349" s="26">
        <f t="shared" si="2693"/>
      </c>
      <c r="AU1349" s="26">
        <f t="shared" si="2693"/>
      </c>
      <c r="AV1349" s="26">
        <f t="shared" si="2693"/>
      </c>
      <c r="AW1349" s="323">
        <f t="shared" si="2693"/>
      </c>
      <c r="AX1349" s="26">
        <f t="shared" si="2693"/>
      </c>
      <c r="AY1349" s="26">
        <f t="shared" si="2693"/>
      </c>
      <c r="AZ1349" s="26">
        <f t="shared" si="2693"/>
      </c>
      <c r="BA1349" s="26">
        <f t="shared" si="2693"/>
      </c>
      <c r="BB1349" s="323">
        <f t="shared" si="2693"/>
      </c>
      <c r="BC1349" s="26">
        <f t="shared" ref="BC1349:BL1349" si="2694">+BC899+BC910+BC1195+BC1036+BC1069+BC1080+BC1326+BC1339</f>
      </c>
      <c r="BD1349" s="26">
        <f t="shared" si="2694"/>
      </c>
      <c r="BE1349" s="26">
        <f t="shared" si="2694"/>
      </c>
      <c r="BF1349" s="26">
        <f t="shared" si="2694"/>
      </c>
      <c r="BG1349" s="323">
        <f t="shared" si="2694"/>
      </c>
      <c r="BH1349" s="26">
        <f t="shared" si="2694"/>
      </c>
      <c r="BI1349" s="26">
        <f t="shared" si="2694"/>
      </c>
      <c r="BJ1349" s="26">
        <f t="shared" si="2694"/>
      </c>
      <c r="BK1349" s="26">
        <f t="shared" si="2694"/>
      </c>
      <c r="BL1349" s="327">
        <f t="shared" si="2694"/>
      </c>
      <c r="BM1349" s="15">
        <f t="shared" ref="BM1349:BU1349" si="2695">+BM899+BM910+BM1195+BM991+BM980+BM1080+BM1326+BM1339+BM969</f>
      </c>
      <c r="BN1349" s="15">
        <f t="shared" si="2695"/>
      </c>
      <c r="BO1349" s="15">
        <f t="shared" si="2695"/>
      </c>
      <c r="BP1349" s="15">
        <f t="shared" si="2695"/>
      </c>
      <c r="BQ1349" s="327">
        <f t="shared" si="2695"/>
      </c>
      <c r="BR1349" s="15">
        <f t="shared" si="2695"/>
      </c>
      <c r="BS1349" s="15">
        <f t="shared" si="2695"/>
      </c>
      <c r="BT1349" s="15">
        <f t="shared" si="2695"/>
      </c>
      <c r="BU1349" s="15">
        <f t="shared" si="2695"/>
      </c>
      <c r="BV1349" s="327">
        <f>SUM(BR1349:BU1349)</f>
      </c>
      <c r="BW1349" s="15">
        <f t="shared" si="2682"/>
      </c>
      <c r="BX1349" s="15">
        <f t="shared" si="2682"/>
      </c>
      <c r="BY1349" s="15">
        <f t="shared" si="2682"/>
      </c>
      <c r="BZ1349" s="15">
        <f t="shared" si="2682"/>
      </c>
      <c r="CA1349" s="327">
        <f>SUM(BW1349:BZ1349)</f>
      </c>
      <c r="CB1349" s="15">
        <f t="shared" si="2683"/>
      </c>
      <c r="CC1349" s="15">
        <f t="shared" si="2683"/>
      </c>
      <c r="CD1349" s="15">
        <f t="shared" si="2683"/>
      </c>
      <c r="CE1349" s="15">
        <f t="shared" si="2683"/>
      </c>
      <c r="CF1349" s="327">
        <f>SUM(CB1349:CE1349)</f>
      </c>
      <c r="CG1349" s="15">
        <f t="shared" ref="CG1349:DO1349" si="2696">CG1326+CG1195+CG1080+CG921+CG910+CG899</f>
      </c>
      <c r="CH1349" s="15">
        <f t="shared" si="2696"/>
      </c>
      <c r="CI1349" s="15">
        <f t="shared" si="2696"/>
      </c>
      <c r="CJ1349" s="15">
        <f t="shared" si="2696"/>
      </c>
      <c r="CK1349" s="327">
        <f t="shared" si="2696"/>
      </c>
      <c r="CL1349" s="15">
        <f t="shared" si="2696"/>
      </c>
      <c r="CM1349" s="15">
        <f t="shared" si="2696"/>
      </c>
      <c r="CN1349" s="15">
        <f t="shared" si="2696"/>
      </c>
      <c r="CO1349" s="15">
        <f t="shared" si="2696"/>
      </c>
      <c r="CP1349" s="327">
        <f t="shared" si="2696"/>
      </c>
      <c r="CQ1349" s="15">
        <f t="shared" si="2696"/>
      </c>
      <c r="CR1349" s="15">
        <f t="shared" si="2696"/>
      </c>
      <c r="CS1349" s="15">
        <f t="shared" si="2696"/>
      </c>
      <c r="CT1349" s="15">
        <f t="shared" si="2696"/>
      </c>
      <c r="CU1349" s="327">
        <f t="shared" si="2696"/>
      </c>
      <c r="CV1349" s="15">
        <f t="shared" si="2696"/>
      </c>
      <c r="CW1349" s="15">
        <f t="shared" si="2696"/>
      </c>
      <c r="CX1349" s="15">
        <f t="shared" si="2696"/>
      </c>
      <c r="CY1349" s="15">
        <f t="shared" si="2696"/>
      </c>
      <c r="CZ1349" s="327">
        <f t="shared" si="2696"/>
      </c>
      <c r="DA1349" s="15">
        <f t="shared" si="2696"/>
      </c>
      <c r="DB1349" s="15">
        <f t="shared" si="2696"/>
      </c>
      <c r="DC1349" s="15">
        <f t="shared" si="2696"/>
      </c>
      <c r="DD1349" s="15">
        <f t="shared" si="2696"/>
      </c>
      <c r="DE1349" s="1851">
        <f t="shared" si="2696"/>
      </c>
      <c r="DF1349" s="1777">
        <f t="shared" si="2696"/>
      </c>
      <c r="DG1349" s="1777">
        <f t="shared" si="2696"/>
      </c>
      <c r="DH1349" s="1777">
        <f t="shared" si="2696"/>
      </c>
      <c r="DI1349" s="1777">
        <f t="shared" si="2696"/>
      </c>
      <c r="DJ1349" s="1851">
        <f t="shared" si="2696"/>
      </c>
      <c r="DK1349" s="1777">
        <f t="shared" si="2696"/>
      </c>
      <c r="DL1349" s="1777">
        <f t="shared" si="2696"/>
      </c>
      <c r="DM1349" s="1777">
        <f t="shared" si="2696"/>
      </c>
      <c r="DN1349" s="1777">
        <f t="shared" si="2696"/>
      </c>
      <c r="DO1349" s="1851">
        <f t="shared" si="2696"/>
      </c>
      <c r="DP1349" s="1777">
        <f t="shared" si="2685"/>
      </c>
      <c r="DQ1349" s="1777">
        <f t="shared" si="2685"/>
      </c>
      <c r="DR1349" s="1777">
        <f t="shared" si="2685"/>
      </c>
      <c r="DS1349" s="1777">
        <f t="shared" si="2685"/>
      </c>
      <c r="DT1349" s="1851">
        <f>SUM(DP1349:DS1349)</f>
      </c>
      <c r="DU1349" s="1777">
        <f t="shared" si="2686"/>
      </c>
      <c r="DV1349" s="1777">
        <f t="shared" si="2686"/>
      </c>
      <c r="DW1349" s="1777">
        <f t="shared" si="2686"/>
      </c>
      <c r="DX1349" s="1777">
        <f t="shared" si="2686"/>
      </c>
      <c r="DY1349" s="1851">
        <f>SUM(DU1349:DX1349)</f>
      </c>
      <c r="DZ1349" s="1777">
        <f t="shared" si="2687"/>
      </c>
      <c r="EA1349" s="1777">
        <f t="shared" si="2687"/>
      </c>
      <c r="EB1349" s="1777">
        <f t="shared" ref="EB1349:EC1349" si="2697">EB1326+EB1195+EB1080+EB921</f>
      </c>
      <c r="EC1349" s="1858">
        <f t="shared" si="2697"/>
      </c>
      <c r="ED1349" s="1851">
        <f>SUM(DZ1349:EC1349)</f>
      </c>
      <c r="EE1349" s="1777">
        <f t="shared" ref="EE1349:EF1349" si="2698">EE1326+EE1195+EE1080+EE921</f>
      </c>
      <c r="EF1349" s="1777">
        <f t="shared" si="2698"/>
      </c>
      <c r="EG1349" s="1777">
        <f t="shared" si="2690"/>
      </c>
      <c r="EH1349" s="1777">
        <f t="shared" si="2690"/>
      </c>
      <c r="EI1349" s="1941">
        <f t="shared" si="2691"/>
      </c>
      <c r="EJ1349" s="1851">
        <f t="shared" si="2691"/>
      </c>
      <c r="EK1349" s="2354">
        <f t="shared" si="2691"/>
      </c>
      <c r="EL1349" s="2354">
        <f t="shared" si="2691"/>
      </c>
      <c r="EM1349" s="2354">
        <f t="shared" si="2691"/>
      </c>
      <c r="EN1349" s="2354">
        <f t="shared" si="2691"/>
      </c>
      <c r="EO1349" s="1851"/>
      <c r="EP1349" s="1851"/>
      <c r="EQ1349" s="1851"/>
      <c r="ER1349" s="1851"/>
      <c r="ES1349" s="1851"/>
      <c r="ET1349" s="1851"/>
      <c r="EU1349" s="1851"/>
      <c r="EV1349" s="1851"/>
      <c r="EW1349" s="1851"/>
      <c r="EX1349" s="1851"/>
    </row>
    <row r="1350" spans="1:154">
      <c r="A1350" s="3275" t="s">
        <v>422</v>
      </c>
      <c r="B1350" s="3119" t="s">
        <v>452</v>
      </c>
      <c r="C1350" s="2024"/>
      <c r="D1350" s="3120">
        <f t="shared" ref="D1350:BL1350" si="2699">+D1348+D1349</f>
      </c>
      <c r="E1350" s="3120">
        <f t="shared" si="2699"/>
      </c>
      <c r="F1350" s="3120">
        <f t="shared" si="2699"/>
      </c>
      <c r="G1350" s="3120">
        <f t="shared" si="2699"/>
      </c>
      <c r="H1350" s="3120">
        <f t="shared" si="2699"/>
      </c>
      <c r="I1350" s="3121">
        <f t="shared" si="2699"/>
      </c>
      <c r="J1350" s="3120">
        <f t="shared" si="2699"/>
      </c>
      <c r="K1350" s="3120">
        <f t="shared" si="2699"/>
      </c>
      <c r="L1350" s="3120">
        <f t="shared" si="2699"/>
      </c>
      <c r="M1350" s="3120">
        <f t="shared" si="2699"/>
      </c>
      <c r="N1350" s="3121">
        <f t="shared" si="2699"/>
      </c>
      <c r="O1350" s="3121">
        <f t="shared" si="2699"/>
      </c>
      <c r="P1350" s="3121">
        <f t="shared" si="2699"/>
      </c>
      <c r="Q1350" s="3121">
        <f t="shared" si="2699"/>
      </c>
      <c r="R1350" s="3121">
        <f t="shared" si="2699"/>
      </c>
      <c r="S1350" s="3121">
        <f>+S1348+S1349</f>
      </c>
      <c r="T1350" s="3121">
        <f t="shared" si="2699"/>
      </c>
      <c r="U1350" s="3121">
        <f t="shared" si="2699"/>
      </c>
      <c r="V1350" s="3121">
        <f t="shared" si="2699"/>
      </c>
      <c r="W1350" s="3121">
        <f t="shared" si="2699"/>
      </c>
      <c r="X1350" s="3122">
        <f t="shared" si="2699"/>
      </c>
      <c r="Y1350" s="3121">
        <f t="shared" si="2699"/>
      </c>
      <c r="Z1350" s="3121">
        <f t="shared" si="2699"/>
      </c>
      <c r="AA1350" s="3121">
        <f t="shared" si="2699"/>
      </c>
      <c r="AB1350" s="3121">
        <f t="shared" si="2699"/>
      </c>
      <c r="AC1350" s="3122">
        <f t="shared" si="2699"/>
      </c>
      <c r="AD1350" s="3121">
        <f t="shared" si="2699"/>
      </c>
      <c r="AE1350" s="3121">
        <f t="shared" si="2699"/>
      </c>
      <c r="AF1350" s="3121">
        <f t="shared" si="2699"/>
      </c>
      <c r="AG1350" s="3121">
        <f t="shared" si="2699"/>
      </c>
      <c r="AH1350" s="3122">
        <f t="shared" si="2699"/>
      </c>
      <c r="AI1350" s="3120">
        <f t="shared" si="2699"/>
      </c>
      <c r="AJ1350" s="3120">
        <f t="shared" si="2699"/>
      </c>
      <c r="AK1350" s="3120">
        <f t="shared" si="2699"/>
      </c>
      <c r="AL1350" s="3121">
        <f t="shared" si="2699"/>
      </c>
      <c r="AM1350" s="3122">
        <f t="shared" si="2699"/>
      </c>
      <c r="AN1350" s="3120">
        <f t="shared" si="2699"/>
      </c>
      <c r="AO1350" s="3120">
        <f t="shared" si="2699"/>
      </c>
      <c r="AP1350" s="3120">
        <f t="shared" si="2699"/>
      </c>
      <c r="AQ1350" s="3121">
        <f t="shared" si="2699"/>
      </c>
      <c r="AR1350" s="3122">
        <f t="shared" si="2699"/>
      </c>
      <c r="AS1350" s="3120">
        <f t="shared" si="2699"/>
      </c>
      <c r="AT1350" s="3120">
        <f t="shared" si="2699"/>
      </c>
      <c r="AU1350" s="3120">
        <f t="shared" si="2699"/>
      </c>
      <c r="AV1350" s="3121">
        <f t="shared" si="2699"/>
      </c>
      <c r="AW1350" s="3122">
        <f t="shared" si="2699"/>
      </c>
      <c r="AX1350" s="3120">
        <f t="shared" si="2699"/>
      </c>
      <c r="AY1350" s="3120">
        <f t="shared" si="2699"/>
      </c>
      <c r="AZ1350" s="3120">
        <f t="shared" si="2699"/>
      </c>
      <c r="BA1350" s="3120">
        <f t="shared" si="2699"/>
      </c>
      <c r="BB1350" s="3122">
        <f t="shared" si="2699"/>
      </c>
      <c r="BC1350" s="3121">
        <f t="shared" si="2699"/>
      </c>
      <c r="BD1350" s="3121">
        <f t="shared" si="2699"/>
      </c>
      <c r="BE1350" s="3121">
        <f t="shared" si="2699"/>
      </c>
      <c r="BF1350" s="3121">
        <f t="shared" si="2699"/>
      </c>
      <c r="BG1350" s="3122">
        <f t="shared" si="2699"/>
      </c>
      <c r="BH1350" s="3121">
        <f>+BH1348+BH1349</f>
      </c>
      <c r="BI1350" s="3121">
        <f>+BI1348+BI1349</f>
      </c>
      <c r="BJ1350" s="3121">
        <f>+BJ1348+BJ1349</f>
      </c>
      <c r="BK1350" s="3121">
        <f>+BK1348+BK1349</f>
      </c>
      <c r="BL1350" s="3123">
        <f t="shared" si="2699"/>
      </c>
      <c r="BM1350" s="3124">
        <f t="shared" ref="BM1350:BU1350" si="2700">+BM900+BM911+BM1196+BM992+BM981+BM1081+BM1327+BM1340+BM970</f>
      </c>
      <c r="BN1350" s="3124">
        <f t="shared" si="2700"/>
      </c>
      <c r="BO1350" s="3124">
        <f t="shared" si="2700"/>
      </c>
      <c r="BP1350" s="3124">
        <f t="shared" si="2700"/>
      </c>
      <c r="BQ1350" s="3123">
        <f t="shared" si="2700"/>
      </c>
      <c r="BR1350" s="3124">
        <f t="shared" si="2700"/>
      </c>
      <c r="BS1350" s="3124">
        <f t="shared" si="2700"/>
      </c>
      <c r="BT1350" s="3124">
        <f t="shared" si="2700"/>
      </c>
      <c r="BU1350" s="3124">
        <f t="shared" si="2700"/>
      </c>
      <c r="BV1350" s="3125">
        <f>SUM(BR1350:BU1350)</f>
      </c>
      <c r="BW1350" s="3124">
        <f t="shared" si="2682"/>
      </c>
      <c r="BX1350" s="3124">
        <f t="shared" si="2682"/>
      </c>
      <c r="BY1350" s="3124">
        <f t="shared" si="2682"/>
      </c>
      <c r="BZ1350" s="3124">
        <f t="shared" si="2682"/>
      </c>
      <c r="CA1350" s="3125">
        <f>SUM(BW1350:BZ1350)</f>
      </c>
      <c r="CB1350" s="3124">
        <f t="shared" si="2683"/>
      </c>
      <c r="CC1350" s="3124">
        <f t="shared" si="2683"/>
      </c>
      <c r="CD1350" s="3124">
        <f t="shared" si="2683"/>
      </c>
      <c r="CE1350" s="3124">
        <f t="shared" si="2683"/>
      </c>
      <c r="CF1350" s="3125">
        <f>SUM(CB1350:CE1350)</f>
      </c>
      <c r="CG1350" s="3124">
        <f t="shared" ref="CG1350:DO1350" si="2701">CG1327+CG1196+CG1081+CG922+CG911+CG900</f>
      </c>
      <c r="CH1350" s="3124">
        <f t="shared" si="2701"/>
      </c>
      <c r="CI1350" s="3124">
        <f t="shared" si="2701"/>
      </c>
      <c r="CJ1350" s="3124">
        <f t="shared" si="2701"/>
      </c>
      <c r="CK1350" s="3125">
        <f t="shared" si="2701"/>
      </c>
      <c r="CL1350" s="3124">
        <f t="shared" si="2701"/>
      </c>
      <c r="CM1350" s="3124">
        <f t="shared" si="2701"/>
      </c>
      <c r="CN1350" s="3124">
        <f t="shared" si="2701"/>
      </c>
      <c r="CO1350" s="3124">
        <f t="shared" si="2701"/>
      </c>
      <c r="CP1350" s="3123">
        <f t="shared" si="2701"/>
      </c>
      <c r="CQ1350" s="3124">
        <f t="shared" si="2701"/>
      </c>
      <c r="CR1350" s="3124">
        <f t="shared" si="2701"/>
      </c>
      <c r="CS1350" s="3124">
        <f t="shared" si="2701"/>
      </c>
      <c r="CT1350" s="3124">
        <f t="shared" si="2701"/>
      </c>
      <c r="CU1350" s="3123">
        <f t="shared" si="2701"/>
      </c>
      <c r="CV1350" s="3124">
        <f t="shared" si="2701"/>
      </c>
      <c r="CW1350" s="3124">
        <f t="shared" si="2701"/>
      </c>
      <c r="CX1350" s="3124">
        <f t="shared" si="2701"/>
      </c>
      <c r="CY1350" s="3124">
        <f t="shared" si="2701"/>
      </c>
      <c r="CZ1350" s="3123">
        <f t="shared" si="2701"/>
      </c>
      <c r="DA1350" s="3124">
        <f t="shared" si="2701"/>
      </c>
      <c r="DB1350" s="3124">
        <f t="shared" si="2701"/>
      </c>
      <c r="DC1350" s="3124">
        <f t="shared" si="2701"/>
      </c>
      <c r="DD1350" s="3124">
        <f t="shared" si="2701"/>
      </c>
      <c r="DE1350" s="3126">
        <f t="shared" si="2701"/>
      </c>
      <c r="DF1350" s="3127">
        <f t="shared" si="2701"/>
      </c>
      <c r="DG1350" s="3127">
        <f t="shared" si="2701"/>
      </c>
      <c r="DH1350" s="3127">
        <f t="shared" si="2701"/>
      </c>
      <c r="DI1350" s="3127">
        <f t="shared" si="2701"/>
      </c>
      <c r="DJ1350" s="3126">
        <f t="shared" si="2701"/>
      </c>
      <c r="DK1350" s="3127">
        <f t="shared" si="2701"/>
      </c>
      <c r="DL1350" s="3127">
        <f t="shared" si="2701"/>
      </c>
      <c r="DM1350" s="3127">
        <f t="shared" si="2701"/>
      </c>
      <c r="DN1350" s="3127">
        <f t="shared" si="2701"/>
      </c>
      <c r="DO1350" s="3126">
        <f t="shared" si="2701"/>
      </c>
      <c r="DP1350" s="3127">
        <f>+DP1348+DP1349</f>
      </c>
      <c r="DQ1350" s="3127">
        <f>+DQ1348+DQ1349</f>
      </c>
      <c r="DR1350" s="3127">
        <f>+DR1348+DR1349</f>
      </c>
      <c r="DS1350" s="3127">
        <f>+DS1348+DS1349</f>
      </c>
      <c r="DT1350" s="3128">
        <f>SUM(DP1350:DS1350)</f>
      </c>
      <c r="DU1350" s="3127">
        <f t="shared" ref="DU1350:DX1350" si="2702">+DU1348+DU1349</f>
      </c>
      <c r="DV1350" s="3127">
        <f t="shared" si="2702"/>
      </c>
      <c r="DW1350" s="3127">
        <f t="shared" si="2702"/>
      </c>
      <c r="DX1350" s="3127">
        <f t="shared" si="2702"/>
      </c>
      <c r="DY1350" s="3128">
        <f>SUM(DU1350:DX1350)</f>
      </c>
      <c r="DZ1350" s="3127">
        <f>+DZ1348+DZ1349</f>
      </c>
      <c r="EA1350" s="3519">
        <f>+EA1348+EA1349</f>
      </c>
      <c r="EB1350" s="3519">
        <f>+EB1348+EB1349</f>
      </c>
      <c r="EC1350" s="3619">
        <f t="shared" ref="EC1350:EE1350" si="2703">+EC1348+EC1349</f>
      </c>
      <c r="ED1350" s="3128">
        <f>SUM(DZ1350:EC1350)</f>
      </c>
      <c r="EE1350" s="3127">
        <f t="shared" si="2703"/>
      </c>
      <c r="EF1350" s="3519">
        <f t="shared" ref="EF1350" si="2704">+EF1348+EF1349</f>
      </c>
      <c r="EG1350" s="3555">
        <f>+EG1348+EG1349</f>
      </c>
      <c r="EH1350" s="3519">
        <f>+EH1348+EH1349</f>
      </c>
      <c r="EI1350" s="3486">
        <f t="shared" ref="EI1350:EL1350" si="2705">+EI1348+EI1349</f>
      </c>
      <c r="EJ1350" s="3126">
        <f t="shared" si="2705"/>
      </c>
      <c r="EK1350" s="3487">
        <f t="shared" si="2705"/>
      </c>
      <c r="EL1350" s="3487">
        <f t="shared" si="2705"/>
      </c>
      <c r="EM1350" s="3487">
        <f>+EM1348+EM1349</f>
      </c>
      <c r="EN1350" s="3487">
        <f>+EN1348+EN1349</f>
      </c>
      <c r="EO1350" s="3126"/>
      <c r="EP1350" s="3126"/>
      <c r="EQ1350" s="3126"/>
      <c r="ER1350" s="3126"/>
      <c r="ES1350" s="3126"/>
      <c r="ET1350" s="3126"/>
      <c r="EU1350" s="3126"/>
      <c r="EV1350" s="3126"/>
      <c r="EW1350" s="3126"/>
      <c r="EX1350" s="3126"/>
    </row>
    <row r="1351" spans="1:154" ht="3.75" customHeight="1">
      <c r="B1351" s="3146"/>
      <c r="C1351" s="3147"/>
      <c r="D1351" s="3148"/>
      <c r="E1351" s="3148"/>
      <c r="F1351" s="3148"/>
      <c r="G1351" s="3148"/>
      <c r="H1351" s="3148"/>
      <c r="I1351" s="3148"/>
      <c r="J1351" s="3148"/>
      <c r="K1351" s="3148"/>
      <c r="L1351" s="3148"/>
      <c r="M1351" s="3148"/>
      <c r="N1351" s="3148"/>
      <c r="O1351" s="3148"/>
      <c r="P1351" s="3148"/>
      <c r="Q1351" s="3148"/>
      <c r="R1351" s="3148"/>
      <c r="S1351" s="3148"/>
      <c r="T1351" s="3148"/>
      <c r="U1351" s="3148"/>
      <c r="V1351" s="3148"/>
      <c r="W1351" s="3148"/>
      <c r="X1351" s="3149"/>
      <c r="Y1351" s="3148"/>
      <c r="Z1351" s="3148"/>
      <c r="AA1351" s="3148"/>
      <c r="AB1351" s="3148"/>
      <c r="AC1351" s="3149"/>
      <c r="AD1351" s="3148"/>
      <c r="AE1351" s="3148"/>
      <c r="AF1351" s="3148"/>
      <c r="AG1351" s="3148"/>
      <c r="AH1351" s="3149"/>
      <c r="AI1351" s="3148"/>
      <c r="AJ1351" s="3148"/>
      <c r="AK1351" s="3148"/>
      <c r="AL1351" s="3148"/>
      <c r="AM1351" s="3149"/>
      <c r="AN1351" s="3148"/>
      <c r="AO1351" s="3148"/>
      <c r="AP1351" s="3148"/>
      <c r="AQ1351" s="3148"/>
      <c r="AR1351" s="3149"/>
      <c r="AS1351" s="3148"/>
      <c r="AT1351" s="3148"/>
      <c r="AU1351" s="3148"/>
      <c r="AV1351" s="3148"/>
      <c r="AW1351" s="3149"/>
      <c r="AX1351" s="3148"/>
      <c r="AY1351" s="3148"/>
      <c r="AZ1351" s="3148"/>
      <c r="BA1351" s="3148"/>
      <c r="BB1351" s="3149"/>
      <c r="BC1351" s="3148"/>
      <c r="BD1351" s="3148"/>
      <c r="BE1351" s="3148"/>
      <c r="BF1351" s="3148"/>
      <c r="BG1351" s="3149"/>
      <c r="BH1351" s="3148"/>
      <c r="BI1351" s="3148"/>
      <c r="BJ1351" s="3148"/>
      <c r="BK1351" s="3148"/>
      <c r="BL1351" s="3149"/>
      <c r="BM1351" s="3148"/>
      <c r="BN1351" s="3148"/>
      <c r="BO1351" s="3148"/>
      <c r="BP1351" s="3148"/>
      <c r="BQ1351" s="3149"/>
      <c r="BR1351" s="3148"/>
      <c r="BS1351" s="3148"/>
      <c r="BT1351" s="3148"/>
      <c r="BU1351" s="3148"/>
      <c r="BV1351" s="3149"/>
      <c r="BW1351" s="3148"/>
      <c r="BX1351" s="3148"/>
      <c r="BY1351" s="3148"/>
      <c r="BZ1351" s="3148"/>
      <c r="CA1351" s="3149"/>
      <c r="CB1351" s="3148"/>
      <c r="CC1351" s="3148"/>
      <c r="CD1351" s="3148"/>
      <c r="CE1351" s="3148"/>
      <c r="CF1351" s="3149"/>
      <c r="CG1351" s="3148"/>
      <c r="CH1351" s="3148"/>
      <c r="CI1351" s="3148"/>
      <c r="CJ1351" s="3148"/>
      <c r="CK1351" s="3149"/>
      <c r="CL1351" s="3148"/>
      <c r="CM1351" s="3148"/>
      <c r="CN1351" s="3148"/>
      <c r="CO1351" s="3148"/>
      <c r="CP1351" s="3149"/>
      <c r="CQ1351" s="3148"/>
      <c r="CR1351" s="3148"/>
      <c r="CS1351" s="3148"/>
      <c r="CT1351" s="3148"/>
      <c r="CU1351" s="3149"/>
      <c r="CV1351" s="3148"/>
      <c r="CW1351" s="3148"/>
      <c r="CX1351" s="3148"/>
      <c r="CY1351" s="3148"/>
      <c r="CZ1351" s="3149"/>
      <c r="DA1351" s="3148"/>
      <c r="DB1351" s="3148"/>
      <c r="DC1351" s="3148"/>
      <c r="DD1351" s="3148"/>
      <c r="DE1351" s="3150"/>
      <c r="DF1351" s="3151"/>
      <c r="DG1351" s="3151"/>
      <c r="DH1351" s="3151"/>
      <c r="DI1351" s="3151"/>
      <c r="DJ1351" s="3150"/>
      <c r="DK1351" s="3151"/>
      <c r="DL1351" s="3151"/>
      <c r="DM1351" s="3151"/>
      <c r="DN1351" s="3151"/>
      <c r="DO1351" s="3150"/>
      <c r="DP1351" s="3151"/>
      <c r="DQ1351" s="3151"/>
      <c r="DR1351" s="3151"/>
      <c r="DS1351" s="3152"/>
      <c r="DT1351" s="3150"/>
      <c r="DU1351" s="3152"/>
      <c r="DV1351" s="3151"/>
      <c r="DW1351" s="3151"/>
      <c r="DX1351" s="3151"/>
      <c r="DY1351" s="3150"/>
      <c r="DZ1351" s="3151"/>
      <c r="EA1351" s="3151"/>
      <c r="EB1351" s="3151"/>
      <c r="EC1351" s="3620"/>
      <c r="ED1351" s="3150"/>
      <c r="EE1351" s="3151"/>
      <c r="EF1351" s="3151"/>
      <c r="EG1351" s="982"/>
      <c r="EH1351" s="3151"/>
      <c r="EI1351" s="3489"/>
      <c r="EJ1351" s="3488"/>
      <c r="EK1351" s="3490"/>
      <c r="EL1351" s="3490"/>
      <c r="EM1351" s="3490"/>
      <c r="EN1351" s="3490"/>
      <c r="EO1351" s="3150"/>
      <c r="EP1351" s="3150"/>
      <c r="EQ1351" s="3150"/>
      <c r="ER1351" s="3150"/>
      <c r="ES1351" s="3150"/>
      <c r="ET1351" s="3150"/>
      <c r="EU1351" s="3150"/>
      <c r="EV1351" s="3150"/>
      <c r="EW1351" s="3150"/>
      <c r="EX1351" s="3150"/>
    </row>
    <row r="1352" spans="1:154">
      <c r="B1352" s="343" t="s">
        <v>962</v>
      </c>
      <c r="C1352" s="1990"/>
      <c r="D1352" s="25"/>
      <c r="E1352" s="25"/>
      <c r="F1352" s="25"/>
      <c r="G1352" s="25"/>
      <c r="H1352" s="25"/>
      <c r="I1352" s="261">
        <f t="shared" ref="I1352:AL1352" si="2706">IF(D1348="NM","NM",IF(I1348="NM","NM",IF(D1348&lt;=0,"NM",IF(I1348=0,"NM",IF(ABS(I1348/D1348-1)&gt;2.5,"NM",IF((ABS(I1348-D1348)=ABS(ABS(I1348)-ABS(D1348))),(I1348/D1348-1),"NM"))))))</f>
      </c>
      <c r="J1352" s="261">
        <f t="shared" si="2706"/>
      </c>
      <c r="K1352" s="261">
        <f t="shared" si="2706"/>
      </c>
      <c r="L1352" s="261">
        <f t="shared" si="2706"/>
      </c>
      <c r="M1352" s="261">
        <f t="shared" si="2706"/>
      </c>
      <c r="N1352" s="261">
        <f t="shared" si="2706"/>
      </c>
      <c r="O1352" s="261">
        <f t="shared" si="2706"/>
      </c>
      <c r="P1352" s="261">
        <f t="shared" si="2706"/>
      </c>
      <c r="Q1352" s="261">
        <f t="shared" si="2706"/>
      </c>
      <c r="R1352" s="261">
        <f t="shared" si="2706"/>
      </c>
      <c r="S1352" s="261">
        <f t="shared" si="2706"/>
      </c>
      <c r="T1352" s="261">
        <f t="shared" si="2706"/>
      </c>
      <c r="U1352" s="261">
        <f t="shared" si="2706"/>
      </c>
      <c r="V1352" s="261">
        <f t="shared" si="2706"/>
      </c>
      <c r="W1352" s="261">
        <f t="shared" si="2706"/>
      </c>
      <c r="X1352" s="325">
        <f t="shared" si="2706"/>
      </c>
      <c r="Y1352" s="261">
        <f t="shared" si="2706"/>
      </c>
      <c r="Z1352" s="261">
        <f t="shared" si="2706"/>
      </c>
      <c r="AA1352" s="261">
        <f t="shared" si="2706"/>
      </c>
      <c r="AB1352" s="261">
        <f t="shared" si="2706"/>
      </c>
      <c r="AC1352" s="325">
        <f t="shared" si="2706"/>
      </c>
      <c r="AD1352" s="261">
        <f t="shared" si="2706"/>
      </c>
      <c r="AE1352" s="261">
        <f t="shared" si="2706"/>
      </c>
      <c r="AF1352" s="261">
        <f t="shared" si="2706"/>
      </c>
      <c r="AG1352" s="261">
        <f t="shared" si="2706"/>
      </c>
      <c r="AH1352" s="325">
        <f t="shared" si="2706"/>
      </c>
      <c r="AI1352" s="261">
        <f t="shared" si="2706"/>
      </c>
      <c r="AJ1352" s="261">
        <f t="shared" si="2706"/>
      </c>
      <c r="AK1352" s="261">
        <f t="shared" si="2706"/>
      </c>
      <c r="AL1352" s="261">
        <f t="shared" si="2706"/>
      </c>
      <c r="AM1352" s="325">
        <f>IF(AH1348="NM","NM",IF(AM1348="NM","NM",IF(AH1348&lt;=0,"NM",IF(AM1348=0,"NM",IF(ABS(AM1348/AH1348-1)&gt;2.5,"NM",IF((ABS(AM1348-AH1348)=ABS(ABS(AM1348)-ABS(AH1348))),(AM1348/AH1348-1),"NM"))))))</f>
      </c>
      <c r="AN1352" s="261">
        <f t="shared" ref="AN1352:CA1352" si="2707">IF(AI1348="NM","NM",IF(AN1348="NM","NM",IF(AI1348&lt;=0,"NM",IF(AN1348=0,"NM",IF(ABS(AN1348/AI1348-1)&gt;2.5,"NM",IF((ABS(AN1348-AI1348)=ABS(ABS(AN1348)-ABS(AI1348))),(AN1348/AI1348-1),"NM"))))))</f>
      </c>
      <c r="AO1352" s="261">
        <f t="shared" si="2707"/>
      </c>
      <c r="AP1352" s="261">
        <f t="shared" si="2707"/>
      </c>
      <c r="AQ1352" s="261">
        <f t="shared" si="2707"/>
      </c>
      <c r="AR1352" s="325">
        <f t="shared" si="2707"/>
      </c>
      <c r="AS1352" s="261">
        <f t="shared" si="2707"/>
      </c>
      <c r="AT1352" s="261">
        <f t="shared" si="2707"/>
      </c>
      <c r="AU1352" s="261">
        <f t="shared" si="2707"/>
      </c>
      <c r="AV1352" s="261">
        <f t="shared" si="2707"/>
      </c>
      <c r="AW1352" s="325">
        <f t="shared" si="2707"/>
      </c>
      <c r="AX1352" s="261">
        <f t="shared" si="2707"/>
      </c>
      <c r="AY1352" s="261">
        <f t="shared" si="2707"/>
      </c>
      <c r="AZ1352" s="261">
        <f t="shared" si="2707"/>
      </c>
      <c r="BA1352" s="261">
        <f t="shared" si="2707"/>
      </c>
      <c r="BB1352" s="325">
        <f t="shared" si="2707"/>
      </c>
      <c r="BC1352" s="261">
        <f t="shared" si="2707"/>
      </c>
      <c r="BD1352" s="261">
        <f t="shared" si="2707"/>
      </c>
      <c r="BE1352" s="261">
        <f t="shared" si="2707"/>
      </c>
      <c r="BF1352" s="261">
        <f t="shared" si="2707"/>
      </c>
      <c r="BG1352" s="325">
        <f t="shared" si="2707"/>
      </c>
      <c r="BH1352" s="261">
        <f t="shared" si="2707"/>
      </c>
      <c r="BI1352" s="261">
        <f t="shared" si="2707"/>
      </c>
      <c r="BJ1352" s="261">
        <f t="shared" si="2707"/>
      </c>
      <c r="BK1352" s="261">
        <f t="shared" si="2707"/>
      </c>
      <c r="BL1352" s="325">
        <f t="shared" si="2707"/>
      </c>
      <c r="BM1352" s="261">
        <f t="shared" si="2707"/>
      </c>
      <c r="BN1352" s="261">
        <f t="shared" si="2707"/>
      </c>
      <c r="BO1352" s="261">
        <f t="shared" si="2707"/>
      </c>
      <c r="BP1352" s="261">
        <f t="shared" si="2707"/>
      </c>
      <c r="BQ1352" s="325">
        <f t="shared" si="2707"/>
      </c>
      <c r="BR1352" s="261">
        <f t="shared" si="2707"/>
      </c>
      <c r="BS1352" s="261">
        <f t="shared" si="2707"/>
      </c>
      <c r="BT1352" s="261">
        <f t="shared" si="2707"/>
      </c>
      <c r="BU1352" s="261">
        <f t="shared" si="2707"/>
      </c>
      <c r="BV1352" s="325">
        <f t="shared" si="2707"/>
      </c>
      <c r="BW1352" s="261">
        <f t="shared" si="2707"/>
      </c>
      <c r="BX1352" s="261">
        <f t="shared" si="2707"/>
      </c>
      <c r="BY1352" s="261">
        <f t="shared" si="2707"/>
      </c>
      <c r="BZ1352" s="261">
        <f t="shared" si="2707"/>
      </c>
      <c r="CA1352" s="325">
        <f t="shared" si="2707"/>
      </c>
      <c r="CB1352" s="261">
        <f>IF(BW1348="NM","NM",IF(CB1348="NM","NM",IF(BW1348&lt;=0,"NM",IF(CB1348=0,"NM",IF(ABS(CB1348/BW1348-1)&gt;2.5,"NM",IF((ABS(CB1348-BW1348)=ABS(ABS(CB1348)-ABS(BW1348))),(CB1348/BW1348-1),"NM"))))))</f>
      </c>
      <c r="CC1352" s="261">
        <f>IF(BX1348="NM","NM",IF(CC1348="NM","NM",IF(BX1348&lt;=0,"NM",IF(CC1348=0,"NM",IF(ABS(CC1348/BX1348-1)&gt;2.5,"NM",IF((ABS(CC1348-BX1348)=ABS(ABS(CC1348)-ABS(BX1348))),(CC1348/BX1348-1),"NM"))))))</f>
      </c>
      <c r="CD1352" s="261">
        <f>IF(BY1348="NM","NM",IF(CD1348="NM","NM",IF(BY1348&lt;=0,"NM",IF(CD1348=0,"NM",IF(ABS(CD1348/BY1348-1)&gt;2.5,"NM",IF((ABS(CD1348-BY1348)=ABS(ABS(CD1348)-ABS(BY1348))),(CD1348/BY1348-1),"NM"))))))</f>
      </c>
      <c r="CE1352" s="261">
        <f>IF(BZ1348="NM","NM",IF(CE1348="NM","NM",IF(BZ1348&lt;=0,"NM",IF(CE1348=0,"NM",IF(ABS(CE1348/BZ1348-1)&gt;2.5,"NM",IF((ABS(CE1348-BZ1348)=ABS(ABS(CE1348)-ABS(BZ1348))),(CE1348/BZ1348-1),"NM"))))))</f>
      </c>
      <c r="CF1352" s="325">
        <f>IF(CA1348="NM","NM",IF(CF1348="NM","NM",IF(CA1348&lt;=0,"NM",IF(CF1348=0,"NM",IF(ABS(CF1348/CA1348-1)&gt;2.5,"NM",IF((ABS(CF1348-CA1348)=ABS(ABS(CF1348)-ABS(CA1348))),(CF1348/CA1348-1),"NM"))))))</f>
      </c>
      <c r="CG1352" s="261">
        <f t="shared" ref="CG1352:CN1352" si="2708">IF(CB1348=0, "NA", CG1348/CB1348-1)</f>
      </c>
      <c r="CH1352" s="261">
        <f t="shared" si="2708"/>
      </c>
      <c r="CI1352" s="261">
        <f t="shared" si="2708"/>
      </c>
      <c r="CJ1352" s="261">
        <f t="shared" si="2708"/>
      </c>
      <c r="CK1352" s="325">
        <f t="shared" si="2708"/>
      </c>
      <c r="CL1352" s="261">
        <f t="shared" si="2708"/>
      </c>
      <c r="CM1352" s="261">
        <f t="shared" si="2708"/>
      </c>
      <c r="CN1352" s="261">
        <f t="shared" si="2708"/>
      </c>
      <c r="CO1352" s="261">
        <f>IF(CJ1348=0, "NA", CO1348/CJ1348-1)</f>
      </c>
      <c r="CP1352" s="325">
        <f t="shared" ref="CP1352:DY1352" si="2709">IF(CK1348=0, "NA", CP1348/CK1348-1)</f>
      </c>
      <c r="CQ1352" s="261">
        <f t="shared" si="2709"/>
      </c>
      <c r="CR1352" s="261">
        <f t="shared" si="2709"/>
      </c>
      <c r="CS1352" s="261">
        <f t="shared" si="2709"/>
      </c>
      <c r="CT1352" s="261">
        <f t="shared" si="2709"/>
      </c>
      <c r="CU1352" s="325">
        <f t="shared" si="2709"/>
      </c>
      <c r="CV1352" s="261">
        <f t="shared" si="2709"/>
      </c>
      <c r="CW1352" s="261">
        <f t="shared" si="2709"/>
      </c>
      <c r="CX1352" s="261">
        <f t="shared" si="2709"/>
      </c>
      <c r="CY1352" s="261">
        <f t="shared" si="2709"/>
      </c>
      <c r="CZ1352" s="325">
        <f t="shared" si="2709"/>
      </c>
      <c r="DA1352" s="261">
        <f t="shared" si="2709"/>
      </c>
      <c r="DB1352" s="261">
        <f t="shared" si="2709"/>
      </c>
      <c r="DC1352" s="261">
        <f t="shared" si="2709"/>
      </c>
      <c r="DD1352" s="261">
        <f t="shared" si="2709"/>
      </c>
      <c r="DE1352" s="325">
        <f t="shared" si="2709"/>
      </c>
      <c r="DF1352" s="261">
        <f t="shared" si="2709"/>
      </c>
      <c r="DG1352" s="261">
        <f t="shared" si="2709"/>
      </c>
      <c r="DH1352" s="261">
        <f t="shared" si="2709"/>
      </c>
      <c r="DI1352" s="261">
        <f t="shared" si="2709"/>
      </c>
      <c r="DJ1352" s="325">
        <f t="shared" si="2709"/>
      </c>
      <c r="DK1352" s="261">
        <f t="shared" si="2709"/>
      </c>
      <c r="DL1352" s="261">
        <f t="shared" si="2709"/>
      </c>
      <c r="DM1352" s="261">
        <f t="shared" si="2709"/>
      </c>
      <c r="DN1352" s="261">
        <f t="shared" si="2709"/>
      </c>
      <c r="DO1352" s="325">
        <f t="shared" si="2709"/>
      </c>
      <c r="DP1352" s="261">
        <f t="shared" si="2709"/>
      </c>
      <c r="DQ1352" s="261">
        <f t="shared" si="2709"/>
      </c>
      <c r="DR1352" s="261">
        <f t="shared" si="2709"/>
      </c>
      <c r="DS1352" s="261">
        <f t="shared" si="2709"/>
      </c>
      <c r="DT1352" s="325">
        <f t="shared" si="2709"/>
      </c>
      <c r="DU1352" s="261">
        <f>IF(DP1348=0, "NA", DU1348/DP1348-1)</f>
      </c>
      <c r="DV1352" s="261">
        <f t="shared" si="2709"/>
      </c>
      <c r="DW1352" s="261">
        <f t="shared" si="2709"/>
      </c>
      <c r="DX1352" s="261">
        <f t="shared" si="2709"/>
      </c>
      <c r="DY1352" s="325">
        <f t="shared" si="2709"/>
      </c>
      <c r="DZ1352" s="261">
        <f>IF(DU1348=0, "NA", DZ1348/DU1348-1)</f>
      </c>
      <c r="EA1352" s="261">
        <f>IF(DV1348=0, "NA", EA1348/DV1348-1)</f>
      </c>
      <c r="EB1352" s="261">
        <f>IF(DW1348=0, "NA", EB1348/DW1348-1)</f>
      </c>
      <c r="EC1352" s="3162">
        <f t="shared" ref="EC1352:EF1352" si="2710">IF(DX1348=0, "NA", EC1348/DX1348-1)</f>
      </c>
      <c r="ED1352" s="3625">
        <f t="shared" si="2710"/>
      </c>
      <c r="EE1352" s="261">
        <f t="shared" si="2710"/>
      </c>
      <c r="EF1352" s="261">
        <f t="shared" si="2710"/>
      </c>
      <c r="EG1352" s="261">
        <f t="shared" ref="EG1352:EH1352" si="2711">IF(EB1348=0, "NA", EG1348/EB1348-1)</f>
      </c>
      <c r="EH1352" s="261">
        <f t="shared" si="2711"/>
      </c>
      <c r="EI1352" s="1001">
        <f>IF(ED1348=0, "NA", EI1348/ED1348-1)</f>
      </c>
      <c r="EJ1352" s="325">
        <f t="shared" ref="EJ1352:EN1352" si="2712">IF(EI1348=0, "NA", EJ1348/EI1348-1)</f>
      </c>
      <c r="EK1352" s="992">
        <f t="shared" si="2712"/>
      </c>
      <c r="EL1352" s="992">
        <f t="shared" si="2712"/>
      </c>
      <c r="EM1352" s="992">
        <f t="shared" si="2712"/>
      </c>
      <c r="EN1352" s="992">
        <f t="shared" si="2712"/>
      </c>
      <c r="EO1352" s="325"/>
      <c r="EP1352" s="325"/>
      <c r="EQ1352" s="325"/>
      <c r="ER1352" s="325"/>
      <c r="ES1352" s="325"/>
      <c r="ET1352" s="325"/>
      <c r="EU1352" s="325"/>
      <c r="EV1352" s="325"/>
      <c r="EW1352" s="325"/>
      <c r="EX1352" s="325"/>
    </row>
    <row r="1353" spans="1:154">
      <c r="B1353" s="343" t="s">
        <v>963</v>
      </c>
      <c r="C1353" s="1990"/>
      <c r="D1353" s="25"/>
      <c r="E1353" s="25"/>
      <c r="F1353" s="25"/>
      <c r="G1353" s="25"/>
      <c r="H1353" s="25"/>
      <c r="I1353" s="261"/>
      <c r="J1353" s="261"/>
      <c r="K1353" s="261"/>
      <c r="L1353" s="261"/>
      <c r="M1353" s="261"/>
      <c r="N1353" s="261"/>
      <c r="O1353" s="261"/>
      <c r="P1353" s="261"/>
      <c r="Q1353" s="261"/>
      <c r="R1353" s="261"/>
      <c r="S1353" s="261"/>
      <c r="T1353" s="261"/>
      <c r="U1353" s="261"/>
      <c r="V1353" s="261"/>
      <c r="W1353" s="261"/>
      <c r="X1353" s="325"/>
      <c r="Y1353" s="261"/>
      <c r="Z1353" s="261"/>
      <c r="AA1353" s="261"/>
      <c r="AB1353" s="261"/>
      <c r="AC1353" s="325"/>
      <c r="AD1353" s="261"/>
      <c r="AE1353" s="261"/>
      <c r="AF1353" s="261"/>
      <c r="AG1353" s="261"/>
      <c r="AH1353" s="325"/>
      <c r="AI1353" s="261"/>
      <c r="AJ1353" s="261"/>
      <c r="AK1353" s="261"/>
      <c r="AL1353" s="261"/>
      <c r="AM1353" s="325"/>
      <c r="AN1353" s="261"/>
      <c r="AO1353" s="261"/>
      <c r="AP1353" s="261"/>
      <c r="AQ1353" s="261"/>
      <c r="AR1353" s="325"/>
      <c r="AS1353" s="261"/>
      <c r="AT1353" s="261"/>
      <c r="AU1353" s="261"/>
      <c r="AV1353" s="261"/>
      <c r="AW1353" s="325"/>
      <c r="AX1353" s="261"/>
      <c r="AY1353" s="261"/>
      <c r="AZ1353" s="261"/>
      <c r="BA1353" s="261"/>
      <c r="BB1353" s="325"/>
      <c r="BC1353" s="261"/>
      <c r="BD1353" s="261"/>
      <c r="BE1353" s="261"/>
      <c r="BF1353" s="261"/>
      <c r="BG1353" s="325"/>
      <c r="BH1353" s="261"/>
      <c r="BI1353" s="261"/>
      <c r="BJ1353" s="261"/>
      <c r="BK1353" s="261"/>
      <c r="BL1353" s="325"/>
      <c r="BM1353" s="261"/>
      <c r="BN1353" s="261"/>
      <c r="BO1353" s="261"/>
      <c r="BP1353" s="261"/>
      <c r="BQ1353" s="325"/>
      <c r="BR1353" s="261"/>
      <c r="BS1353" s="261"/>
      <c r="BT1353" s="261"/>
      <c r="BU1353" s="261"/>
      <c r="BV1353" s="325"/>
      <c r="BW1353" s="261"/>
      <c r="BX1353" s="261"/>
      <c r="BY1353" s="261"/>
      <c r="BZ1353" s="261"/>
      <c r="CA1353" s="325"/>
      <c r="CB1353" s="261"/>
      <c r="CC1353" s="261"/>
      <c r="CD1353" s="261"/>
      <c r="CE1353" s="261"/>
      <c r="CF1353" s="325"/>
      <c r="CG1353" s="261"/>
      <c r="CH1353" s="261"/>
      <c r="CI1353" s="261"/>
      <c r="CJ1353" s="261"/>
      <c r="CK1353" s="325"/>
      <c r="CL1353" s="261"/>
      <c r="CM1353" s="261"/>
      <c r="CN1353" s="261"/>
      <c r="CO1353" s="261"/>
      <c r="CP1353" s="2774"/>
      <c r="CQ1353" s="1955">
        <v>-2E-3</v>
      </c>
      <c r="CR1353" s="1955">
        <v>8.0000000000000002E-3</v>
      </c>
      <c r="CS1353" s="1955">
        <v>-8.0000000000000002E-3</v>
      </c>
      <c r="CT1353" s="1955">
        <v>3.0000000000000001E-3</v>
      </c>
      <c r="CU1353" s="2774">
        <v>0</v>
      </c>
      <c r="CV1353" s="1955">
        <v>-2E-3</v>
      </c>
      <c r="CW1353" s="1955">
        <v>1.7000000000000001E-2</v>
      </c>
      <c r="CX1353" s="1955">
        <v>1.2E-2</v>
      </c>
      <c r="CY1353" s="1955">
        <v>0.01</v>
      </c>
      <c r="CZ1353" s="2774">
        <v>0.01</v>
      </c>
      <c r="DA1353" s="1955">
        <v>2.5000000000000001E-2</v>
      </c>
      <c r="DB1353" s="1955">
        <v>1.6E-2</v>
      </c>
      <c r="DC1353" s="1955">
        <v>2.5000000000000001E-2</v>
      </c>
      <c r="DD1353" s="1955">
        <v>6.0000000000000001E-3</v>
      </c>
      <c r="DE1353" s="2774">
        <v>1.7999999999999999E-2</v>
      </c>
      <c r="DF1353" s="1955">
        <v>-4.2999999999999997E-2</v>
      </c>
      <c r="DG1353" s="1955">
        <v>-0.39500000000000002</v>
      </c>
      <c r="DH1353" s="1955">
        <v>1.2999999999999999E-2</v>
      </c>
      <c r="DI1353" s="1955">
        <v>1.7000000000000001E-2</v>
      </c>
      <c r="DJ1353" s="2774">
        <v>-0.10199999999999999</v>
      </c>
      <c r="DK1353" s="1955">
        <v>5.6000000000000001E-2</v>
      </c>
      <c r="DL1353" s="1955">
        <v>0.77900000000000003</v>
      </c>
      <c r="DM1353" s="1955">
        <v>1.0999999999999999E-2</v>
      </c>
      <c r="DN1353" s="1955">
        <v>1.2E-2</v>
      </c>
      <c r="DO1353" s="2774">
        <v>0.153</v>
      </c>
      <c r="DP1353" s="1955">
        <v>5.7000000000000002E-2</v>
      </c>
      <c r="DQ1353" s="1955">
        <v>1.4E-2</v>
      </c>
      <c r="DR1353" s="1955">
        <v>7.4999999999999997E-2</v>
      </c>
      <c r="DS1353" s="1955">
        <v>5.8999999999999997E-2</v>
      </c>
      <c r="DT1353" s="2774">
        <v>0.05</v>
      </c>
      <c r="DU1353" s="1955">
        <v>8.4000000000000005E-2</v>
      </c>
      <c r="DV1353" s="1955">
        <v>6.5000000000000002E-2</v>
      </c>
      <c r="DW1353" s="1955">
        <v>4.2999999999999997E-2</v>
      </c>
      <c r="DX1353" s="1955">
        <v>7.1999999999999995E-2</v>
      </c>
      <c r="DY1353" s="2774">
        <v>6.6000000000000003E-2</v>
      </c>
      <c r="DZ1353" s="1955">
        <v>6.8000000000000005E-2</v>
      </c>
      <c r="EA1353" s="1955">
        <v>4.7E-2</v>
      </c>
      <c r="EB1353" s="1955">
        <v>4.2000000000000003E-2</v>
      </c>
      <c r="EC1353" s="3621">
        <v>3.3000000000000002E-2</v>
      </c>
      <c r="ED1353" s="3626">
        <f>SUMPRODUCT(DZ1353:EC1353,DU1348:DX1348)/DY1348</f>
      </c>
      <c r="EE1353" s="1955">
        <v>8.9999999999999993E-3</v>
      </c>
      <c r="EF1353" s="1955">
        <v>4.7E-2</v>
      </c>
      <c r="EG1353" s="1955"/>
      <c r="EH1353" s="1955"/>
      <c r="EI1353" s="3556"/>
      <c r="EJ1353" s="2774"/>
      <c r="EK1353" s="2773"/>
      <c r="EL1353" s="2773"/>
      <c r="EM1353" s="2773"/>
      <c r="EN1353" s="2773"/>
      <c r="EO1353" s="325"/>
      <c r="EP1353" s="325"/>
      <c r="EQ1353" s="325"/>
      <c r="ER1353" s="325"/>
      <c r="ES1353" s="325"/>
      <c r="ET1353" s="325"/>
      <c r="EU1353" s="325"/>
      <c r="EV1353" s="325"/>
      <c r="EW1353" s="325"/>
      <c r="EX1353" s="325"/>
    </row>
    <row r="1354" spans="1:154">
      <c r="B1354" s="343" t="s">
        <v>964</v>
      </c>
      <c r="C1354" s="1990"/>
      <c r="D1354" s="25"/>
      <c r="E1354" s="25"/>
      <c r="F1354" s="25"/>
      <c r="G1354" s="25"/>
      <c r="H1354" s="25"/>
      <c r="I1354" s="261">
        <f t="shared" ref="I1354:BT1354" si="2713">IF(D1349="NM","NM",IF(I1349="NM","NM",IF(D1349&lt;=0,"NM",IF(I1349=0,"NM",IF(ABS(I1349/D1349-1)&gt;2.5,"NM",IF((ABS(I1349-D1349)=ABS(ABS(I1349)-ABS(D1349))),(I1349/D1349-1),"NM"))))))</f>
      </c>
      <c r="J1354" s="261">
        <f t="shared" si="2713"/>
      </c>
      <c r="K1354" s="261">
        <f t="shared" si="2713"/>
      </c>
      <c r="L1354" s="261">
        <f t="shared" si="2713"/>
      </c>
      <c r="M1354" s="261">
        <f t="shared" si="2713"/>
      </c>
      <c r="N1354" s="261">
        <f t="shared" si="2713"/>
      </c>
      <c r="O1354" s="261">
        <f t="shared" si="2713"/>
      </c>
      <c r="P1354" s="261">
        <f t="shared" si="2713"/>
      </c>
      <c r="Q1354" s="261">
        <f t="shared" si="2713"/>
      </c>
      <c r="R1354" s="261">
        <f t="shared" si="2713"/>
      </c>
      <c r="S1354" s="261">
        <f t="shared" si="2713"/>
      </c>
      <c r="T1354" s="261">
        <f t="shared" si="2713"/>
      </c>
      <c r="U1354" s="261">
        <f t="shared" si="2713"/>
      </c>
      <c r="V1354" s="261">
        <f t="shared" si="2713"/>
      </c>
      <c r="W1354" s="261">
        <f t="shared" si="2713"/>
      </c>
      <c r="X1354" s="325">
        <f t="shared" si="2713"/>
      </c>
      <c r="Y1354" s="261">
        <f t="shared" si="2713"/>
      </c>
      <c r="Z1354" s="261">
        <f t="shared" si="2713"/>
      </c>
      <c r="AA1354" s="261">
        <f t="shared" si="2713"/>
      </c>
      <c r="AB1354" s="261">
        <f t="shared" si="2713"/>
      </c>
      <c r="AC1354" s="325">
        <f t="shared" si="2713"/>
      </c>
      <c r="AD1354" s="261">
        <f t="shared" si="2713"/>
      </c>
      <c r="AE1354" s="261">
        <f t="shared" si="2713"/>
      </c>
      <c r="AF1354" s="261">
        <f t="shared" si="2713"/>
      </c>
      <c r="AG1354" s="261">
        <f t="shared" si="2713"/>
      </c>
      <c r="AH1354" s="325">
        <f t="shared" si="2713"/>
      </c>
      <c r="AI1354" s="261">
        <f t="shared" si="2713"/>
      </c>
      <c r="AJ1354" s="261">
        <f t="shared" si="2713"/>
      </c>
      <c r="AK1354" s="261">
        <f t="shared" si="2713"/>
      </c>
      <c r="AL1354" s="261">
        <f t="shared" si="2713"/>
      </c>
      <c r="AM1354" s="325">
        <f t="shared" si="2713"/>
      </c>
      <c r="AN1354" s="261">
        <f t="shared" si="2713"/>
      </c>
      <c r="AO1354" s="261">
        <f t="shared" si="2713"/>
      </c>
      <c r="AP1354" s="261">
        <f t="shared" si="2713"/>
      </c>
      <c r="AQ1354" s="261">
        <f t="shared" si="2713"/>
      </c>
      <c r="AR1354" s="325">
        <f t="shared" si="2713"/>
      </c>
      <c r="AS1354" s="261">
        <f t="shared" si="2713"/>
      </c>
      <c r="AT1354" s="261">
        <f t="shared" si="2713"/>
      </c>
      <c r="AU1354" s="261">
        <f t="shared" si="2713"/>
      </c>
      <c r="AV1354" s="261">
        <f t="shared" si="2713"/>
      </c>
      <c r="AW1354" s="325">
        <f t="shared" si="2713"/>
      </c>
      <c r="AX1354" s="261">
        <f t="shared" si="2713"/>
      </c>
      <c r="AY1354" s="261">
        <f t="shared" si="2713"/>
      </c>
      <c r="AZ1354" s="261">
        <f t="shared" si="2713"/>
      </c>
      <c r="BA1354" s="261">
        <f t="shared" si="2713"/>
      </c>
      <c r="BB1354" s="325">
        <f t="shared" si="2713"/>
      </c>
      <c r="BC1354" s="261">
        <f t="shared" si="2713"/>
      </c>
      <c r="BD1354" s="261">
        <f t="shared" si="2713"/>
      </c>
      <c r="BE1354" s="261">
        <f t="shared" si="2713"/>
      </c>
      <c r="BF1354" s="261">
        <f t="shared" si="2713"/>
      </c>
      <c r="BG1354" s="325">
        <f t="shared" si="2713"/>
      </c>
      <c r="BH1354" s="261">
        <f t="shared" si="2713"/>
      </c>
      <c r="BI1354" s="261">
        <f t="shared" si="2713"/>
      </c>
      <c r="BJ1354" s="261">
        <f t="shared" si="2713"/>
      </c>
      <c r="BK1354" s="261">
        <f t="shared" si="2713"/>
      </c>
      <c r="BL1354" s="325">
        <f t="shared" si="2713"/>
      </c>
      <c r="BM1354" s="261">
        <f t="shared" si="2713"/>
      </c>
      <c r="BN1354" s="261">
        <f t="shared" si="2713"/>
      </c>
      <c r="BO1354" s="261">
        <f t="shared" si="2713"/>
      </c>
      <c r="BP1354" s="261">
        <f t="shared" si="2713"/>
      </c>
      <c r="BQ1354" s="325">
        <f t="shared" si="2713"/>
      </c>
      <c r="BR1354" s="261">
        <f t="shared" si="2713"/>
      </c>
      <c r="BS1354" s="261">
        <f t="shared" si="2713"/>
      </c>
      <c r="BT1354" s="261">
        <f t="shared" si="2713"/>
      </c>
      <c r="BU1354" s="261">
        <f t="shared" ref="BU1354:CF1354" si="2714">IF(BP1349="NM","NM",IF(BU1349="NM","NM",IF(BP1349&lt;=0,"NM",IF(BU1349=0,"NM",IF(ABS(BU1349/BP1349-1)&gt;2.5,"NM",IF((ABS(BU1349-BP1349)=ABS(ABS(BU1349)-ABS(BP1349))),(BU1349/BP1349-1),"NM"))))))</f>
      </c>
      <c r="BV1354" s="325">
        <f t="shared" si="2714"/>
      </c>
      <c r="BW1354" s="261">
        <f t="shared" si="2714"/>
      </c>
      <c r="BX1354" s="261">
        <f t="shared" si="2714"/>
      </c>
      <c r="BY1354" s="261">
        <f t="shared" si="2714"/>
      </c>
      <c r="BZ1354" s="261">
        <f t="shared" si="2714"/>
      </c>
      <c r="CA1354" s="325">
        <f t="shared" si="2714"/>
      </c>
      <c r="CB1354" s="261">
        <f t="shared" si="2714"/>
      </c>
      <c r="CC1354" s="261">
        <f t="shared" si="2714"/>
      </c>
      <c r="CD1354" s="261">
        <f t="shared" si="2714"/>
      </c>
      <c r="CE1354" s="261">
        <f t="shared" si="2714"/>
      </c>
      <c r="CF1354" s="325">
        <f t="shared" si="2714"/>
      </c>
      <c r="CG1354" s="261">
        <f t="shared" ref="CG1354:EH1354" si="2715">IF(CB1349=0, "NA", CG1349/CB1349-1)</f>
      </c>
      <c r="CH1354" s="261">
        <f t="shared" si="2715"/>
      </c>
      <c r="CI1354" s="261">
        <f t="shared" si="2715"/>
      </c>
      <c r="CJ1354" s="261">
        <f t="shared" si="2715"/>
      </c>
      <c r="CK1354" s="325">
        <f t="shared" si="2715"/>
      </c>
      <c r="CL1354" s="261">
        <f t="shared" si="2715"/>
      </c>
      <c r="CM1354" s="261">
        <f t="shared" si="2715"/>
      </c>
      <c r="CN1354" s="261">
        <f t="shared" si="2715"/>
      </c>
      <c r="CO1354" s="261">
        <f t="shared" si="2715"/>
      </c>
      <c r="CP1354" s="325">
        <f t="shared" si="2715"/>
      </c>
      <c r="CQ1354" s="261">
        <f t="shared" si="2715"/>
      </c>
      <c r="CR1354" s="261">
        <f t="shared" si="2715"/>
      </c>
      <c r="CS1354" s="261">
        <f t="shared" si="2715"/>
      </c>
      <c r="CT1354" s="261">
        <f t="shared" si="2715"/>
      </c>
      <c r="CU1354" s="325">
        <f t="shared" si="2715"/>
      </c>
      <c r="CV1354" s="261">
        <f t="shared" si="2715"/>
      </c>
      <c r="CW1354" s="261">
        <f t="shared" si="2715"/>
      </c>
      <c r="CX1354" s="261">
        <f t="shared" si="2715"/>
      </c>
      <c r="CY1354" s="261">
        <f t="shared" si="2715"/>
      </c>
      <c r="CZ1354" s="325">
        <f t="shared" si="2715"/>
      </c>
      <c r="DA1354" s="261">
        <f t="shared" si="2715"/>
      </c>
      <c r="DB1354" s="261">
        <f t="shared" si="2715"/>
      </c>
      <c r="DC1354" s="261">
        <f t="shared" si="2715"/>
      </c>
      <c r="DD1354" s="261">
        <f t="shared" si="2715"/>
      </c>
      <c r="DE1354" s="325">
        <f t="shared" si="2715"/>
      </c>
      <c r="DF1354" s="261">
        <f t="shared" si="2715"/>
      </c>
      <c r="DG1354" s="261">
        <f t="shared" si="2715"/>
      </c>
      <c r="DH1354" s="261">
        <f t="shared" si="2715"/>
      </c>
      <c r="DI1354" s="261">
        <f t="shared" si="2715"/>
      </c>
      <c r="DJ1354" s="325">
        <f t="shared" si="2715"/>
      </c>
      <c r="DK1354" s="261">
        <f t="shared" si="2715"/>
      </c>
      <c r="DL1354" s="261">
        <f t="shared" si="2715"/>
      </c>
      <c r="DM1354" s="261">
        <f t="shared" si="2715"/>
      </c>
      <c r="DN1354" s="261">
        <f t="shared" si="2715"/>
      </c>
      <c r="DO1354" s="325">
        <f t="shared" si="2715"/>
      </c>
      <c r="DP1354" s="261">
        <f t="shared" si="2715"/>
      </c>
      <c r="DQ1354" s="261">
        <f t="shared" si="2715"/>
      </c>
      <c r="DR1354" s="261">
        <f t="shared" si="2715"/>
      </c>
      <c r="DS1354" s="261">
        <f t="shared" si="2715"/>
      </c>
      <c r="DT1354" s="325">
        <f t="shared" si="2715"/>
      </c>
      <c r="DU1354" s="261">
        <f t="shared" si="2715"/>
      </c>
      <c r="DV1354" s="261">
        <f t="shared" si="2715"/>
      </c>
      <c r="DW1354" s="261">
        <f t="shared" si="2715"/>
      </c>
      <c r="DX1354" s="261">
        <f t="shared" si="2715"/>
      </c>
      <c r="DY1354" s="325">
        <f t="shared" si="2715"/>
      </c>
      <c r="DZ1354" s="261">
        <f t="shared" si="2715"/>
      </c>
      <c r="EA1354" s="261">
        <f t="shared" si="2715"/>
      </c>
      <c r="EB1354" s="261">
        <f t="shared" si="2715"/>
      </c>
      <c r="EC1354" s="3162">
        <f t="shared" si="2715"/>
      </c>
      <c r="ED1354" s="3625">
        <f t="shared" si="2715"/>
      </c>
      <c r="EE1354" s="261">
        <f t="shared" si="2715"/>
      </c>
      <c r="EF1354" s="261">
        <f t="shared" si="2715"/>
      </c>
      <c r="EG1354" s="261">
        <f t="shared" si="2715"/>
      </c>
      <c r="EH1354" s="261">
        <f t="shared" si="2715"/>
      </c>
      <c r="EI1354" s="325">
        <f>IF(ED1349=0, "NA", EI1349/ED1349-1)</f>
      </c>
      <c r="EJ1354" s="992">
        <f t="shared" ref="EJ1354:EN1354" si="2716">IF(EI1349=0, "NA", EJ1349/EI1349-1)</f>
      </c>
      <c r="EK1354" s="992">
        <f t="shared" si="2716"/>
      </c>
      <c r="EL1354" s="992">
        <f t="shared" si="2716"/>
      </c>
      <c r="EM1354" s="992">
        <f t="shared" si="2716"/>
      </c>
      <c r="EN1354" s="992">
        <f t="shared" si="2716"/>
      </c>
      <c r="EO1354" s="325"/>
      <c r="EP1354" s="325"/>
      <c r="EQ1354" s="325"/>
      <c r="ER1354" s="325"/>
      <c r="ES1354" s="325"/>
      <c r="ET1354" s="325"/>
      <c r="EU1354" s="325"/>
      <c r="EV1354" s="325"/>
      <c r="EW1354" s="325"/>
      <c r="EX1354" s="325"/>
    </row>
    <row r="1355" spans="1:154">
      <c r="B1355" s="343" t="s">
        <v>965</v>
      </c>
      <c r="C1355" s="1990"/>
      <c r="D1355" s="25"/>
      <c r="E1355" s="25"/>
      <c r="F1355" s="25"/>
      <c r="G1355" s="25"/>
      <c r="H1355" s="25"/>
      <c r="I1355" s="261"/>
      <c r="J1355" s="261"/>
      <c r="K1355" s="261"/>
      <c r="L1355" s="261"/>
      <c r="M1355" s="261"/>
      <c r="N1355" s="261"/>
      <c r="O1355" s="261"/>
      <c r="P1355" s="261"/>
      <c r="Q1355" s="261"/>
      <c r="R1355" s="261"/>
      <c r="S1355" s="261"/>
      <c r="T1355" s="261"/>
      <c r="U1355" s="261"/>
      <c r="V1355" s="261"/>
      <c r="W1355" s="261"/>
      <c r="X1355" s="325"/>
      <c r="Y1355" s="261"/>
      <c r="Z1355" s="261"/>
      <c r="AA1355" s="261"/>
      <c r="AB1355" s="261"/>
      <c r="AC1355" s="325"/>
      <c r="AD1355" s="261"/>
      <c r="AE1355" s="261"/>
      <c r="AF1355" s="261"/>
      <c r="AG1355" s="261"/>
      <c r="AH1355" s="325"/>
      <c r="AI1355" s="261">
        <f t="shared" ref="AI1355:CF1355" si="2717">IF(ISNUMBER(AI1354),(1+AI1354)/(1+AI$21)-1,"NM")</f>
      </c>
      <c r="AJ1355" s="261">
        <f t="shared" si="2717"/>
      </c>
      <c r="AK1355" s="261">
        <f t="shared" si="2717"/>
      </c>
      <c r="AL1355" s="261">
        <f t="shared" si="2717"/>
      </c>
      <c r="AM1355" s="325">
        <f t="shared" si="2717"/>
      </c>
      <c r="AN1355" s="261">
        <f t="shared" si="2717"/>
      </c>
      <c r="AO1355" s="261">
        <f t="shared" si="2717"/>
      </c>
      <c r="AP1355" s="261">
        <f t="shared" si="2717"/>
      </c>
      <c r="AQ1355" s="261">
        <f t="shared" si="2717"/>
      </c>
      <c r="AR1355" s="325">
        <f t="shared" si="2717"/>
      </c>
      <c r="AS1355" s="261">
        <f t="shared" si="2717"/>
      </c>
      <c r="AT1355" s="261">
        <f t="shared" si="2717"/>
      </c>
      <c r="AU1355" s="261">
        <f t="shared" si="2717"/>
      </c>
      <c r="AV1355" s="261">
        <f t="shared" si="2717"/>
      </c>
      <c r="AW1355" s="325">
        <f t="shared" si="2717"/>
      </c>
      <c r="AX1355" s="261">
        <f t="shared" si="2717"/>
      </c>
      <c r="AY1355" s="261">
        <f t="shared" si="2717"/>
      </c>
      <c r="AZ1355" s="261">
        <f t="shared" si="2717"/>
      </c>
      <c r="BA1355" s="261">
        <f t="shared" si="2717"/>
      </c>
      <c r="BB1355" s="325">
        <f t="shared" si="2717"/>
      </c>
      <c r="BC1355" s="261">
        <f t="shared" si="2717"/>
      </c>
      <c r="BD1355" s="261">
        <f t="shared" si="2717"/>
      </c>
      <c r="BE1355" s="261">
        <f t="shared" si="2717"/>
      </c>
      <c r="BF1355" s="261">
        <f t="shared" si="2717"/>
      </c>
      <c r="BG1355" s="325">
        <f t="shared" si="2717"/>
      </c>
      <c r="BH1355" s="261">
        <f t="shared" si="2717"/>
      </c>
      <c r="BI1355" s="261">
        <f t="shared" si="2717"/>
      </c>
      <c r="BJ1355" s="261">
        <f t="shared" si="2717"/>
      </c>
      <c r="BK1355" s="261">
        <f t="shared" si="2717"/>
      </c>
      <c r="BL1355" s="325">
        <f t="shared" si="2717"/>
      </c>
      <c r="BM1355" s="261">
        <f t="shared" si="2717"/>
      </c>
      <c r="BN1355" s="261">
        <f t="shared" si="2717"/>
      </c>
      <c r="BO1355" s="261">
        <f t="shared" si="2717"/>
      </c>
      <c r="BP1355" s="261">
        <f t="shared" si="2717"/>
      </c>
      <c r="BQ1355" s="325">
        <f t="shared" si="2717"/>
      </c>
      <c r="BR1355" s="261">
        <f t="shared" si="2717"/>
      </c>
      <c r="BS1355" s="261">
        <f t="shared" si="2717"/>
      </c>
      <c r="BT1355" s="261">
        <f t="shared" si="2717"/>
      </c>
      <c r="BU1355" s="261">
        <f t="shared" si="2717"/>
      </c>
      <c r="BV1355" s="325">
        <f t="shared" si="2717"/>
      </c>
      <c r="BW1355" s="261">
        <f t="shared" si="2717"/>
      </c>
      <c r="BX1355" s="261">
        <f t="shared" si="2717"/>
      </c>
      <c r="BY1355" s="261">
        <f t="shared" si="2717"/>
      </c>
      <c r="BZ1355" s="261">
        <f t="shared" si="2717"/>
      </c>
      <c r="CA1355" s="325">
        <f t="shared" si="2717"/>
      </c>
      <c r="CB1355" s="261">
        <f t="shared" si="2717"/>
      </c>
      <c r="CC1355" s="261">
        <f t="shared" si="2717"/>
      </c>
      <c r="CD1355" s="261">
        <f t="shared" si="2717"/>
      </c>
      <c r="CE1355" s="261">
        <f t="shared" si="2717"/>
      </c>
      <c r="CF1355" s="325">
        <f t="shared" si="2717"/>
      </c>
      <c r="CG1355" s="261">
        <f t="shared" ref="CG1355:CN1355" si="2718">CG1354-CG$21</f>
      </c>
      <c r="CH1355" s="261">
        <f t="shared" si="2718"/>
      </c>
      <c r="CI1355" s="261">
        <f t="shared" si="2718"/>
      </c>
      <c r="CJ1355" s="261">
        <f t="shared" si="2718"/>
      </c>
      <c r="CK1355" s="325">
        <f t="shared" si="2718"/>
      </c>
      <c r="CL1355" s="261">
        <f t="shared" si="2718"/>
      </c>
      <c r="CM1355" s="261">
        <f t="shared" si="2718"/>
      </c>
      <c r="CN1355" s="261">
        <f t="shared" si="2718"/>
      </c>
      <c r="CO1355" s="261">
        <f>CO1354-CO$21</f>
      </c>
      <c r="CP1355" s="325">
        <f>CP1354-CP$21</f>
      </c>
      <c r="CQ1355" s="1955">
        <v>4.7E-2</v>
      </c>
      <c r="CR1355" s="1955">
        <v>5.8000000000000003E-2</v>
      </c>
      <c r="CS1355" s="1955">
        <v>8.5999999999999993E-2</v>
      </c>
      <c r="CT1355" s="1955">
        <v>7.4999999999999997E-2</v>
      </c>
      <c r="CU1355" s="2774">
        <v>6.7000000000000004E-2</v>
      </c>
      <c r="CV1355" s="1955">
        <v>4.2000000000000003E-2</v>
      </c>
      <c r="CW1355" s="1955">
        <v>2.5000000000000001E-2</v>
      </c>
      <c r="CX1355" s="1955">
        <v>0.03</v>
      </c>
      <c r="CY1355" s="1955">
        <v>-1.4E-2</v>
      </c>
      <c r="CZ1355" s="2774">
        <v>1.9E-2</v>
      </c>
      <c r="DA1355" s="1955">
        <v>-3.0000000000000001E-3</v>
      </c>
      <c r="DB1355" s="1955">
        <v>-2.9000000000000001E-2</v>
      </c>
      <c r="DC1355" s="1955">
        <v>3.0000000000000001E-3</v>
      </c>
      <c r="DD1355" s="1955">
        <v>2.7E-2</v>
      </c>
      <c r="DE1355" s="2774">
        <v>-1E-3</v>
      </c>
      <c r="DF1355" s="1955">
        <v>-6.9000000000000006E-2</v>
      </c>
      <c r="DG1355" s="1955">
        <v>-0.26400000000000001</v>
      </c>
      <c r="DH1355" s="1955">
        <v>-8.5000000000000006E-2</v>
      </c>
      <c r="DI1355" s="1955">
        <v>-5.5E-2</v>
      </c>
      <c r="DJ1355" s="2774">
        <v>-0.11799999999999999</v>
      </c>
      <c r="DK1355" s="1955">
        <v>0.105</v>
      </c>
      <c r="DL1355" s="1955">
        <v>0.41899999999999998</v>
      </c>
      <c r="DM1355" s="1955">
        <v>0.13300000000000001</v>
      </c>
      <c r="DN1355" s="1955">
        <v>9.2999999999999999E-2</v>
      </c>
      <c r="DO1355" s="2774">
        <v>0.17299999999999999</v>
      </c>
      <c r="DP1355" s="1955">
        <v>0.111</v>
      </c>
      <c r="DQ1355" s="1955">
        <v>5.0999999999999997E-2</v>
      </c>
      <c r="DR1355" s="1955">
        <v>8.5000000000000006E-2</v>
      </c>
      <c r="DS1355" s="1955">
        <v>2.9000000000000001E-2</v>
      </c>
      <c r="DT1355" s="2774">
        <v>6.9000000000000006E-2</v>
      </c>
      <c r="DU1355" s="1955">
        <v>6.2E-2</v>
      </c>
      <c r="DV1355" s="1955">
        <v>0.14699999999999999</v>
      </c>
      <c r="DW1355" s="1955">
        <v>9.1999999999999998E-2</v>
      </c>
      <c r="DX1355" s="1955">
        <v>0.128</v>
      </c>
      <c r="DY1355" s="2774">
        <v>0.106</v>
      </c>
      <c r="DZ1355" s="1955">
        <v>6.0999999999999999E-2</v>
      </c>
      <c r="EA1355" s="1955">
        <v>3.2000000000000001E-2</v>
      </c>
      <c r="EB1355" s="1955">
        <v>0.05</v>
      </c>
      <c r="EC1355" s="3621">
        <v>7.5999999999999998E-2</v>
      </c>
      <c r="ED1355" s="3626">
        <v>5.3999999999999999E-2</v>
      </c>
      <c r="EE1355" s="1955">
        <v>0.03</v>
      </c>
      <c r="EF1355" s="1955">
        <v>4.1000000000000002E-2</v>
      </c>
      <c r="EG1355" s="261">
        <f t="shared" ref="EG1355:EN1355" si="2719">EG1354-EG$1370</f>
      </c>
      <c r="EH1355" s="261">
        <f t="shared" si="2719"/>
      </c>
      <c r="EI1355" s="325">
        <f t="shared" si="2719"/>
      </c>
      <c r="EJ1355" s="325">
        <f t="shared" si="2719"/>
      </c>
      <c r="EK1355" s="325">
        <f t="shared" si="2719"/>
      </c>
      <c r="EL1355" s="325">
        <f t="shared" si="2719"/>
      </c>
      <c r="EM1355" s="325">
        <f t="shared" si="2719"/>
      </c>
      <c r="EN1355" s="325">
        <f t="shared" si="2719"/>
      </c>
      <c r="EO1355" s="325"/>
      <c r="EP1355" s="325"/>
      <c r="EQ1355" s="325"/>
      <c r="ER1355" s="325"/>
      <c r="ES1355" s="325"/>
      <c r="ET1355" s="325"/>
      <c r="EU1355" s="325"/>
      <c r="EV1355" s="325"/>
      <c r="EW1355" s="325"/>
      <c r="EX1355" s="325"/>
    </row>
    <row r="1356" spans="1:154">
      <c r="B1356" s="343" t="s">
        <v>987</v>
      </c>
      <c r="C1356" s="1990"/>
      <c r="D1356" s="25"/>
      <c r="E1356" s="25"/>
      <c r="F1356" s="25"/>
      <c r="G1356" s="25"/>
      <c r="H1356" s="25"/>
      <c r="I1356" s="261"/>
      <c r="J1356" s="261"/>
      <c r="K1356" s="261"/>
      <c r="L1356" s="261"/>
      <c r="M1356" s="261"/>
      <c r="N1356" s="261"/>
      <c r="O1356" s="261"/>
      <c r="P1356" s="261"/>
      <c r="Q1356" s="261"/>
      <c r="R1356" s="261"/>
      <c r="S1356" s="261"/>
      <c r="T1356" s="261"/>
      <c r="U1356" s="261"/>
      <c r="V1356" s="261"/>
      <c r="W1356" s="261"/>
      <c r="X1356" s="325"/>
      <c r="Y1356" s="261"/>
      <c r="Z1356" s="261"/>
      <c r="AA1356" s="261"/>
      <c r="AB1356" s="261"/>
      <c r="AC1356" s="325"/>
      <c r="AD1356" s="261"/>
      <c r="AE1356" s="261"/>
      <c r="AF1356" s="261"/>
      <c r="AG1356" s="261"/>
      <c r="AH1356" s="325"/>
      <c r="AI1356" s="261"/>
      <c r="AJ1356" s="261"/>
      <c r="AK1356" s="261"/>
      <c r="AL1356" s="261"/>
      <c r="AM1356" s="325"/>
      <c r="AN1356" s="261"/>
      <c r="AO1356" s="261"/>
      <c r="AP1356" s="261"/>
      <c r="AQ1356" s="261"/>
      <c r="AR1356" s="325"/>
      <c r="AS1356" s="261"/>
      <c r="AT1356" s="261"/>
      <c r="AU1356" s="261"/>
      <c r="AV1356" s="261"/>
      <c r="AW1356" s="325"/>
      <c r="AX1356" s="261"/>
      <c r="AY1356" s="261"/>
      <c r="AZ1356" s="261"/>
      <c r="BA1356" s="261"/>
      <c r="BB1356" s="325"/>
      <c r="BC1356" s="261"/>
      <c r="BD1356" s="261"/>
      <c r="BE1356" s="261"/>
      <c r="BF1356" s="261"/>
      <c r="BG1356" s="325"/>
      <c r="BH1356" s="261"/>
      <c r="BI1356" s="261"/>
      <c r="BJ1356" s="261"/>
      <c r="BK1356" s="261"/>
      <c r="BL1356" s="325"/>
      <c r="BM1356" s="261"/>
      <c r="BN1356" s="261"/>
      <c r="BO1356" s="261"/>
      <c r="BP1356" s="261"/>
      <c r="BQ1356" s="325"/>
      <c r="BR1356" s="261"/>
      <c r="BS1356" s="261"/>
      <c r="BT1356" s="261"/>
      <c r="BU1356" s="261"/>
      <c r="BV1356" s="325"/>
      <c r="BW1356" s="261"/>
      <c r="BX1356" s="261"/>
      <c r="BY1356" s="261"/>
      <c r="BZ1356" s="261"/>
      <c r="CA1356" s="325"/>
      <c r="CB1356" s="261"/>
      <c r="CC1356" s="261"/>
      <c r="CD1356" s="261"/>
      <c r="CE1356" s="261"/>
      <c r="CF1356" s="325"/>
      <c r="CG1356" s="261"/>
      <c r="CH1356" s="261"/>
      <c r="CI1356" s="261"/>
      <c r="CJ1356" s="261"/>
      <c r="CK1356" s="325"/>
      <c r="CL1356" s="261"/>
      <c r="CM1356" s="261"/>
      <c r="CN1356" s="261"/>
      <c r="CO1356" s="261"/>
      <c r="CP1356" s="325"/>
      <c r="CQ1356" s="1955">
        <v>3.6999999999999998E-2</v>
      </c>
      <c r="CR1356" s="1955">
        <v>1.4E-2</v>
      </c>
      <c r="CS1356" s="1955">
        <v>3.2000000000000001E-2</v>
      </c>
      <c r="CT1356" s="1955">
        <v>3.5999999999999997E-2</v>
      </c>
      <c r="CU1356" s="2774">
        <v>0.03</v>
      </c>
      <c r="CV1356" s="1955">
        <v>2.4E-2</v>
      </c>
      <c r="CW1356" s="1955">
        <v>4.1000000000000002E-2</v>
      </c>
      <c r="CX1356" s="1955">
        <v>4.3999999999999997E-2</v>
      </c>
      <c r="CY1356" s="1955">
        <v>5.3999999999999999E-2</v>
      </c>
      <c r="CZ1356" s="2774">
        <v>0.04</v>
      </c>
      <c r="DA1356" s="1955">
        <v>5.8999999999999997E-2</v>
      </c>
      <c r="DB1356" s="1955">
        <v>4.7E-2</v>
      </c>
      <c r="DC1356" s="1955">
        <v>0.08</v>
      </c>
      <c r="DD1356" s="1955">
        <v>4.7E-2</v>
      </c>
      <c r="DE1356" s="2774">
        <v>5.7000000000000002E-2</v>
      </c>
      <c r="DF1356" s="1955">
        <v>-5.2999999999999999E-2</v>
      </c>
      <c r="DG1356" s="1955">
        <v>-0.26100000000000001</v>
      </c>
      <c r="DH1356" s="1955">
        <v>-7.5999999999999998E-2</v>
      </c>
      <c r="DI1356" s="1955">
        <v>-4.3999999999999997E-2</v>
      </c>
      <c r="DJ1356" s="2774">
        <v>-0.109</v>
      </c>
      <c r="DK1356" s="1955">
        <v>0.11799999999999999</v>
      </c>
      <c r="DL1356" s="1955">
        <v>0.438</v>
      </c>
      <c r="DM1356" s="1955">
        <v>0.14099999999999999</v>
      </c>
      <c r="DN1356" s="1955">
        <v>9.8000000000000004E-2</v>
      </c>
      <c r="DO1356" s="2774">
        <v>0.183</v>
      </c>
      <c r="DP1356" s="1955">
        <v>0.112</v>
      </c>
      <c r="DQ1356" s="1955">
        <v>5.2999999999999999E-2</v>
      </c>
      <c r="DR1356" s="1955">
        <v>8.6999999999999994E-2</v>
      </c>
      <c r="DS1356" s="1955">
        <v>0.03</v>
      </c>
      <c r="DT1356" s="2774">
        <v>7.0000000000000007E-2</v>
      </c>
      <c r="DU1356" s="1955">
        <v>4.5999999999999999E-2</v>
      </c>
      <c r="DV1356" s="1955">
        <v>0.13</v>
      </c>
      <c r="DW1356" s="1955">
        <v>7.5999999999999998E-2</v>
      </c>
      <c r="DX1356" s="1955">
        <v>0.11</v>
      </c>
      <c r="DY1356" s="2774">
        <v>0.09</v>
      </c>
      <c r="DZ1356" s="1955">
        <v>6.2E-2</v>
      </c>
      <c r="EA1356" s="1955">
        <v>3.3000000000000002E-2</v>
      </c>
      <c r="EB1356" s="1955">
        <v>3.2000000000000001E-2</v>
      </c>
      <c r="EC1356" s="3621">
        <v>6.0999999999999999E-2</v>
      </c>
      <c r="ED1356" s="3626">
        <f>SUMPRODUCT(DZ1356:EC1356,DU1349:DX1349)/DY1349</f>
      </c>
      <c r="EE1356" s="1955">
        <v>1.7999999999999999E-2</v>
      </c>
      <c r="EF1356" s="1955">
        <v>3.4000000000000002E-2</v>
      </c>
      <c r="EG1356" s="1955"/>
      <c r="EH1356" s="1955"/>
      <c r="EI1356" s="2774"/>
      <c r="EJ1356" s="2774"/>
      <c r="EK1356" s="2774"/>
      <c r="EL1356" s="2774"/>
      <c r="EM1356" s="2774"/>
      <c r="EN1356" s="2774"/>
      <c r="EO1356" s="325"/>
      <c r="EP1356" s="325"/>
      <c r="EQ1356" s="325"/>
      <c r="ER1356" s="325"/>
      <c r="ES1356" s="325"/>
      <c r="ET1356" s="325"/>
      <c r="EU1356" s="325"/>
      <c r="EV1356" s="325"/>
      <c r="EW1356" s="325"/>
      <c r="EX1356" s="325"/>
    </row>
    <row r="1357" spans="1:154">
      <c r="B1357" s="343" t="s">
        <v>966</v>
      </c>
      <c r="C1357" s="1990"/>
      <c r="D1357" s="25"/>
      <c r="E1357" s="25"/>
      <c r="F1357" s="25"/>
      <c r="G1357" s="25"/>
      <c r="H1357" s="25"/>
      <c r="I1357" s="261">
        <f t="shared" ref="I1357:BT1357" si="2720">IF(D1350="NM","NM",IF(I1350="NM","NM",IF(D1350&lt;=0,"NM",IF(I1350=0,"NM",IF(ABS(I1350/D1350-1)&gt;2.5,"NM",IF((ABS(I1350-D1350)=ABS(ABS(I1350)-ABS(D1350))),(I1350/D1350-1),"NM"))))))</f>
      </c>
      <c r="J1357" s="261">
        <f t="shared" si="2720"/>
      </c>
      <c r="K1357" s="261">
        <f t="shared" si="2720"/>
      </c>
      <c r="L1357" s="261">
        <f t="shared" si="2720"/>
      </c>
      <c r="M1357" s="261">
        <f t="shared" si="2720"/>
      </c>
      <c r="N1357" s="261">
        <f t="shared" si="2720"/>
      </c>
      <c r="O1357" s="261">
        <f t="shared" si="2720"/>
      </c>
      <c r="P1357" s="261">
        <f t="shared" si="2720"/>
      </c>
      <c r="Q1357" s="261">
        <f t="shared" si="2720"/>
      </c>
      <c r="R1357" s="261">
        <f t="shared" si="2720"/>
      </c>
      <c r="S1357" s="261">
        <f t="shared" si="2720"/>
      </c>
      <c r="T1357" s="261">
        <f t="shared" si="2720"/>
      </c>
      <c r="U1357" s="261">
        <f t="shared" si="2720"/>
      </c>
      <c r="V1357" s="261">
        <f t="shared" si="2720"/>
      </c>
      <c r="W1357" s="261">
        <f t="shared" si="2720"/>
      </c>
      <c r="X1357" s="325">
        <f t="shared" si="2720"/>
      </c>
      <c r="Y1357" s="261">
        <f t="shared" si="2720"/>
      </c>
      <c r="Z1357" s="261">
        <f t="shared" si="2720"/>
      </c>
      <c r="AA1357" s="261">
        <f t="shared" si="2720"/>
      </c>
      <c r="AB1357" s="261">
        <f t="shared" si="2720"/>
      </c>
      <c r="AC1357" s="325">
        <f t="shared" si="2720"/>
      </c>
      <c r="AD1357" s="261">
        <f t="shared" si="2720"/>
      </c>
      <c r="AE1357" s="261">
        <f t="shared" si="2720"/>
      </c>
      <c r="AF1357" s="261">
        <f t="shared" si="2720"/>
      </c>
      <c r="AG1357" s="261">
        <f t="shared" si="2720"/>
      </c>
      <c r="AH1357" s="325">
        <f t="shared" si="2720"/>
      </c>
      <c r="AI1357" s="261">
        <f t="shared" si="2720"/>
      </c>
      <c r="AJ1357" s="261">
        <f t="shared" si="2720"/>
      </c>
      <c r="AK1357" s="261">
        <f t="shared" si="2720"/>
      </c>
      <c r="AL1357" s="261">
        <f t="shared" si="2720"/>
      </c>
      <c r="AM1357" s="325">
        <f t="shared" si="2720"/>
      </c>
      <c r="AN1357" s="261">
        <f t="shared" si="2720"/>
      </c>
      <c r="AO1357" s="261">
        <f t="shared" si="2720"/>
      </c>
      <c r="AP1357" s="261">
        <f t="shared" si="2720"/>
      </c>
      <c r="AQ1357" s="261">
        <f t="shared" si="2720"/>
      </c>
      <c r="AR1357" s="325">
        <f t="shared" si="2720"/>
      </c>
      <c r="AS1357" s="261">
        <f t="shared" si="2720"/>
      </c>
      <c r="AT1357" s="261">
        <f t="shared" si="2720"/>
      </c>
      <c r="AU1357" s="261">
        <f t="shared" si="2720"/>
      </c>
      <c r="AV1357" s="261">
        <f t="shared" si="2720"/>
      </c>
      <c r="AW1357" s="325">
        <f t="shared" si="2720"/>
      </c>
      <c r="AX1357" s="261">
        <f t="shared" si="2720"/>
      </c>
      <c r="AY1357" s="261">
        <f t="shared" si="2720"/>
      </c>
      <c r="AZ1357" s="261">
        <f t="shared" si="2720"/>
      </c>
      <c r="BA1357" s="261">
        <f t="shared" si="2720"/>
      </c>
      <c r="BB1357" s="325">
        <f t="shared" si="2720"/>
      </c>
      <c r="BC1357" s="261">
        <f t="shared" si="2720"/>
      </c>
      <c r="BD1357" s="261">
        <f t="shared" si="2720"/>
      </c>
      <c r="BE1357" s="261">
        <f t="shared" si="2720"/>
      </c>
      <c r="BF1357" s="261">
        <f t="shared" si="2720"/>
      </c>
      <c r="BG1357" s="325">
        <f t="shared" si="2720"/>
      </c>
      <c r="BH1357" s="261">
        <f t="shared" si="2720"/>
      </c>
      <c r="BI1357" s="261">
        <f t="shared" si="2720"/>
      </c>
      <c r="BJ1357" s="261">
        <f t="shared" si="2720"/>
      </c>
      <c r="BK1357" s="261">
        <f t="shared" si="2720"/>
      </c>
      <c r="BL1357" s="325">
        <f t="shared" si="2720"/>
      </c>
      <c r="BM1357" s="261">
        <f t="shared" si="2720"/>
      </c>
      <c r="BN1357" s="261">
        <f t="shared" si="2720"/>
      </c>
      <c r="BO1357" s="261">
        <f t="shared" si="2720"/>
      </c>
      <c r="BP1357" s="261">
        <f t="shared" si="2720"/>
      </c>
      <c r="BQ1357" s="325">
        <f t="shared" si="2720"/>
      </c>
      <c r="BR1357" s="261">
        <f t="shared" si="2720"/>
      </c>
      <c r="BS1357" s="261">
        <f t="shared" si="2720"/>
      </c>
      <c r="BT1357" s="261">
        <f t="shared" si="2720"/>
      </c>
      <c r="BU1357" s="261">
        <f t="shared" ref="BU1357:CF1357" si="2721">IF(BP1350="NM","NM",IF(BU1350="NM","NM",IF(BP1350&lt;=0,"NM",IF(BU1350=0,"NM",IF(ABS(BU1350/BP1350-1)&gt;2.5,"NM",IF((ABS(BU1350-BP1350)=ABS(ABS(BU1350)-ABS(BP1350))),(BU1350/BP1350-1),"NM"))))))</f>
      </c>
      <c r="BV1357" s="325">
        <f t="shared" si="2721"/>
      </c>
      <c r="BW1357" s="261">
        <f t="shared" si="2721"/>
      </c>
      <c r="BX1357" s="261">
        <f t="shared" si="2721"/>
      </c>
      <c r="BY1357" s="261">
        <f t="shared" si="2721"/>
      </c>
      <c r="BZ1357" s="261">
        <f t="shared" si="2721"/>
      </c>
      <c r="CA1357" s="325">
        <f t="shared" si="2721"/>
      </c>
      <c r="CB1357" s="261">
        <f t="shared" si="2721"/>
      </c>
      <c r="CC1357" s="261">
        <f t="shared" si="2721"/>
      </c>
      <c r="CD1357" s="261">
        <f t="shared" si="2721"/>
      </c>
      <c r="CE1357" s="261">
        <f t="shared" si="2721"/>
      </c>
      <c r="CF1357" s="325">
        <f t="shared" si="2721"/>
      </c>
      <c r="CG1357" s="261">
        <f t="shared" ref="CG1357:EH1357" si="2722">IF(CB1350=0, "NA", CG1350/CB1350-1)</f>
      </c>
      <c r="CH1357" s="261">
        <f t="shared" si="2722"/>
      </c>
      <c r="CI1357" s="261">
        <f t="shared" si="2722"/>
      </c>
      <c r="CJ1357" s="261">
        <f t="shared" si="2722"/>
      </c>
      <c r="CK1357" s="325">
        <f t="shared" si="2722"/>
      </c>
      <c r="CL1357" s="261">
        <f t="shared" si="2722"/>
      </c>
      <c r="CM1357" s="261">
        <f t="shared" si="2722"/>
      </c>
      <c r="CN1357" s="261">
        <f t="shared" si="2722"/>
      </c>
      <c r="CO1357" s="261">
        <f t="shared" si="2722"/>
      </c>
      <c r="CP1357" s="325">
        <f t="shared" si="2722"/>
      </c>
      <c r="CQ1357" s="261">
        <f t="shared" si="2722"/>
      </c>
      <c r="CR1357" s="261">
        <f t="shared" si="2722"/>
      </c>
      <c r="CS1357" s="261">
        <f t="shared" si="2722"/>
      </c>
      <c r="CT1357" s="261">
        <f t="shared" si="2722"/>
      </c>
      <c r="CU1357" s="325">
        <f t="shared" si="2722"/>
      </c>
      <c r="CV1357" s="261">
        <f t="shared" si="2722"/>
      </c>
      <c r="CW1357" s="261">
        <f t="shared" si="2722"/>
      </c>
      <c r="CX1357" s="261">
        <f t="shared" si="2722"/>
      </c>
      <c r="CY1357" s="261">
        <f t="shared" si="2722"/>
      </c>
      <c r="CZ1357" s="325">
        <f t="shared" si="2722"/>
      </c>
      <c r="DA1357" s="261">
        <f t="shared" si="2722"/>
      </c>
      <c r="DB1357" s="261">
        <f t="shared" si="2722"/>
      </c>
      <c r="DC1357" s="261">
        <f t="shared" si="2722"/>
      </c>
      <c r="DD1357" s="261">
        <f t="shared" si="2722"/>
      </c>
      <c r="DE1357" s="325">
        <f t="shared" si="2722"/>
      </c>
      <c r="DF1357" s="261">
        <f t="shared" si="2722"/>
      </c>
      <c r="DG1357" s="261">
        <f t="shared" si="2722"/>
      </c>
      <c r="DH1357" s="261">
        <f t="shared" si="2722"/>
      </c>
      <c r="DI1357" s="261">
        <f t="shared" si="2722"/>
      </c>
      <c r="DJ1357" s="325">
        <f t="shared" si="2722"/>
      </c>
      <c r="DK1357" s="261">
        <f t="shared" si="2722"/>
      </c>
      <c r="DL1357" s="261">
        <f t="shared" si="2722"/>
      </c>
      <c r="DM1357" s="261">
        <f t="shared" si="2722"/>
      </c>
      <c r="DN1357" s="261">
        <f t="shared" si="2722"/>
      </c>
      <c r="DO1357" s="325">
        <f t="shared" si="2722"/>
      </c>
      <c r="DP1357" s="261">
        <f t="shared" si="2722"/>
      </c>
      <c r="DQ1357" s="261">
        <f t="shared" si="2722"/>
      </c>
      <c r="DR1357" s="261">
        <f t="shared" si="2722"/>
      </c>
      <c r="DS1357" s="261">
        <f t="shared" si="2722"/>
      </c>
      <c r="DT1357" s="325">
        <f t="shared" si="2722"/>
      </c>
      <c r="DU1357" s="261">
        <f t="shared" si="2722"/>
      </c>
      <c r="DV1357" s="261">
        <f t="shared" si="2722"/>
      </c>
      <c r="DW1357" s="261">
        <f t="shared" si="2722"/>
      </c>
      <c r="DX1357" s="261">
        <f t="shared" si="2722"/>
      </c>
      <c r="DY1357" s="325">
        <f t="shared" si="2722"/>
      </c>
      <c r="DZ1357" s="261">
        <f t="shared" si="2722"/>
      </c>
      <c r="EA1357" s="261">
        <f t="shared" si="2722"/>
      </c>
      <c r="EB1357" s="261">
        <f t="shared" si="2722"/>
      </c>
      <c r="EC1357" s="3162">
        <f t="shared" si="2722"/>
      </c>
      <c r="ED1357" s="3625">
        <f t="shared" si="2722"/>
      </c>
      <c r="EE1357" s="261">
        <f t="shared" si="2722"/>
      </c>
      <c r="EF1357" s="261">
        <f t="shared" si="2722"/>
      </c>
      <c r="EG1357" s="261">
        <f t="shared" si="2722"/>
      </c>
      <c r="EH1357" s="261">
        <f t="shared" si="2722"/>
      </c>
      <c r="EI1357" s="325">
        <f>IF(ED1350=0, "NA", EI1350/ED1350-1)</f>
      </c>
      <c r="EJ1357" s="325">
        <f t="shared" ref="EJ1357:EN1357" si="2723">IF(EI1350=0, "NA", EJ1350/EI1350-1)</f>
      </c>
      <c r="EK1357" s="325">
        <f t="shared" si="2723"/>
      </c>
      <c r="EL1357" s="325">
        <f t="shared" si="2723"/>
      </c>
      <c r="EM1357" s="325">
        <f t="shared" si="2723"/>
      </c>
      <c r="EN1357" s="325">
        <f t="shared" si="2723"/>
      </c>
      <c r="EO1357" s="325"/>
      <c r="EP1357" s="325"/>
      <c r="EQ1357" s="325"/>
      <c r="ER1357" s="325"/>
      <c r="ES1357" s="325"/>
      <c r="ET1357" s="325"/>
      <c r="EU1357" s="325"/>
      <c r="EV1357" s="325"/>
      <c r="EW1357" s="325"/>
      <c r="EX1357" s="325"/>
    </row>
    <row r="1358" spans="1:154" ht="13.2" thickBot="1">
      <c r="B1358" s="3063" t="s">
        <v>967</v>
      </c>
      <c r="C1358" s="3064"/>
      <c r="D1358" s="3153"/>
      <c r="E1358" s="3153"/>
      <c r="F1358" s="3153"/>
      <c r="G1358" s="3153"/>
      <c r="H1358" s="3153"/>
      <c r="I1358" s="1955"/>
      <c r="J1358" s="1955"/>
      <c r="K1358" s="1955"/>
      <c r="L1358" s="1955"/>
      <c r="M1358" s="1955"/>
      <c r="N1358" s="1955"/>
      <c r="O1358" s="1955"/>
      <c r="P1358" s="1955"/>
      <c r="Q1358" s="1955"/>
      <c r="R1358" s="1955"/>
      <c r="S1358" s="1955"/>
      <c r="T1358" s="1955"/>
      <c r="U1358" s="1955"/>
      <c r="V1358" s="1955"/>
      <c r="W1358" s="1955"/>
      <c r="X1358" s="2774"/>
      <c r="Y1358" s="1955"/>
      <c r="Z1358" s="1955"/>
      <c r="AA1358" s="1955"/>
      <c r="AB1358" s="1955"/>
      <c r="AC1358" s="2774"/>
      <c r="AD1358" s="1955"/>
      <c r="AE1358" s="1955"/>
      <c r="AF1358" s="1955"/>
      <c r="AG1358" s="1955"/>
      <c r="AH1358" s="2774"/>
      <c r="AI1358" s="1955"/>
      <c r="AJ1358" s="1955"/>
      <c r="AK1358" s="1955"/>
      <c r="AL1358" s="1955"/>
      <c r="AM1358" s="2774"/>
      <c r="AN1358" s="1955"/>
      <c r="AO1358" s="1955"/>
      <c r="AP1358" s="1955"/>
      <c r="AQ1358" s="1955"/>
      <c r="AR1358" s="2774"/>
      <c r="AS1358" s="1955"/>
      <c r="AT1358" s="1955"/>
      <c r="AU1358" s="1955"/>
      <c r="AV1358" s="1955"/>
      <c r="AW1358" s="2774"/>
      <c r="AX1358" s="1955"/>
      <c r="AY1358" s="1955"/>
      <c r="AZ1358" s="1955"/>
      <c r="BA1358" s="1955"/>
      <c r="BB1358" s="2774"/>
      <c r="BC1358" s="1955"/>
      <c r="BD1358" s="1955"/>
      <c r="BE1358" s="1955"/>
      <c r="BF1358" s="1955"/>
      <c r="BG1358" s="2774"/>
      <c r="BH1358" s="1955"/>
      <c r="BI1358" s="1955"/>
      <c r="BJ1358" s="1955"/>
      <c r="BK1358" s="1955"/>
      <c r="BL1358" s="2774"/>
      <c r="BM1358" s="1955"/>
      <c r="BN1358" s="1955"/>
      <c r="BO1358" s="1955"/>
      <c r="BP1358" s="1955"/>
      <c r="BQ1358" s="2774"/>
      <c r="BR1358" s="1955"/>
      <c r="BS1358" s="1955"/>
      <c r="BT1358" s="1955"/>
      <c r="BU1358" s="1955"/>
      <c r="BV1358" s="2774"/>
      <c r="BW1358" s="1955"/>
      <c r="BX1358" s="1955"/>
      <c r="BY1358" s="1955"/>
      <c r="BZ1358" s="1955"/>
      <c r="CA1358" s="2774"/>
      <c r="CB1358" s="1955"/>
      <c r="CC1358" s="1955"/>
      <c r="CD1358" s="1955"/>
      <c r="CE1358" s="1955"/>
      <c r="CF1358" s="2774"/>
      <c r="CG1358" s="1955"/>
      <c r="CH1358" s="1955"/>
      <c r="CI1358" s="1955"/>
      <c r="CJ1358" s="1955"/>
      <c r="CK1358" s="2774"/>
      <c r="CL1358" s="1955"/>
      <c r="CM1358" s="1955"/>
      <c r="CN1358" s="1955"/>
      <c r="CO1358" s="1955"/>
      <c r="CP1358" s="2774"/>
      <c r="CQ1358" s="1955">
        <v>3.4000000000000002E-2</v>
      </c>
      <c r="CR1358" s="1955">
        <v>5.8999999999999997E-2</v>
      </c>
      <c r="CS1358" s="1955">
        <v>6.6000000000000003E-2</v>
      </c>
      <c r="CT1358" s="1955">
        <v>6.5000000000000002E-2</v>
      </c>
      <c r="CU1358" s="2774">
        <v>5.7000000000000002E-2</v>
      </c>
      <c r="CV1358" s="1955">
        <v>3.2000000000000001E-2</v>
      </c>
      <c r="CW1358" s="1955">
        <v>1.9E-2</v>
      </c>
      <c r="CX1358" s="1955">
        <v>1.7000000000000001E-2</v>
      </c>
      <c r="CY1358" s="1955">
        <v>-2.1999999999999999E-2</v>
      </c>
      <c r="CZ1358" s="2774">
        <v>1.0999999999999999E-2</v>
      </c>
      <c r="DA1358" s="1955">
        <v>-0.01</v>
      </c>
      <c r="DB1358" s="1955">
        <v>-4.1000000000000002E-2</v>
      </c>
      <c r="DC1358" s="1955">
        <v>-0.02</v>
      </c>
      <c r="DD1358" s="1955">
        <v>2E-3</v>
      </c>
      <c r="DE1358" s="2774">
        <v>-1.7000000000000001E-2</v>
      </c>
      <c r="DF1358" s="1955">
        <v>-6.9000000000000006E-2</v>
      </c>
      <c r="DG1358" s="1955">
        <v>-0.32700000000000001</v>
      </c>
      <c r="DH1358" s="1955">
        <v>-3.9E-2</v>
      </c>
      <c r="DI1358" s="1955">
        <v>-2.1999999999999999E-2</v>
      </c>
      <c r="DJ1358" s="2774">
        <v>-0.114</v>
      </c>
      <c r="DK1358" s="1955">
        <v>0.08</v>
      </c>
      <c r="DL1358" s="1955">
        <v>0.57199999999999995</v>
      </c>
      <c r="DM1358" s="1955">
        <v>7.0000000000000007E-2</v>
      </c>
      <c r="DN1358" s="1955">
        <v>5.2999999999999999E-2</v>
      </c>
      <c r="DO1358" s="2774">
        <v>0.16200000000000001</v>
      </c>
      <c r="DP1358" s="1955">
        <v>8.5000000000000006E-2</v>
      </c>
      <c r="DQ1358" s="1955">
        <v>3.4000000000000002E-2</v>
      </c>
      <c r="DR1358" s="1955">
        <v>8.1000000000000003E-2</v>
      </c>
      <c r="DS1358" s="1955">
        <v>4.9000000000000002E-2</v>
      </c>
      <c r="DT1358" s="2774">
        <v>6.2E-2</v>
      </c>
      <c r="DU1358" s="1955">
        <v>0.11</v>
      </c>
      <c r="DV1358" s="1955">
        <v>0.14699999999999999</v>
      </c>
      <c r="DW1358" s="1955">
        <v>0.104</v>
      </c>
      <c r="DX1358" s="1955">
        <v>0.13400000000000001</v>
      </c>
      <c r="DY1358" s="2774">
        <v>0.124</v>
      </c>
      <c r="DZ1358" s="1955">
        <v>6.3E-2</v>
      </c>
      <c r="EA1358" s="1955">
        <v>4.3999999999999997E-2</v>
      </c>
      <c r="EB1358" s="1955">
        <v>6.4000000000000001E-2</v>
      </c>
      <c r="EC1358" s="3621">
        <v>7.5999999999999998E-2</v>
      </c>
      <c r="ED1358" s="3626">
        <v>6.2E-2</v>
      </c>
      <c r="EE1358" s="1955">
        <v>4.1000000000000002E-2</v>
      </c>
      <c r="EF1358" s="1955">
        <v>6.0999999999999999E-2</v>
      </c>
      <c r="EG1358" s="261">
        <f>EG1357-EG1373</f>
      </c>
      <c r="EH1358" s="261">
        <f>EH1357-EH1373</f>
      </c>
      <c r="EI1358" s="325">
        <f>EI1357-EI1374</f>
      </c>
      <c r="EJ1358" s="325" t="e">
        <f>EJ1357-EJ1373</f>
      </c>
      <c r="EK1358" s="325" t="e">
        <f>EK1357-EK1373</f>
      </c>
      <c r="EL1358" s="325">
        <f>EL1357-EL1373</f>
      </c>
      <c r="EM1358" s="325">
        <f>EM1357-EM1373</f>
      </c>
      <c r="EN1358" s="325">
        <f>EN1357-EN1373</f>
      </c>
      <c r="EO1358" s="325"/>
      <c r="EP1358" s="325"/>
      <c r="EQ1358" s="325"/>
      <c r="ER1358" s="325"/>
      <c r="ES1358" s="325"/>
      <c r="ET1358" s="325"/>
      <c r="EU1358" s="325"/>
      <c r="EV1358" s="325"/>
      <c r="EW1358" s="325"/>
      <c r="EX1358" s="325"/>
    </row>
    <row r="1359" spans="1:154" ht="13.2" thickBot="1">
      <c r="B1359" s="3696" t="s">
        <v>968</v>
      </c>
      <c r="C1359" s="3697"/>
      <c r="D1359" s="3698"/>
      <c r="E1359" s="3698"/>
      <c r="F1359" s="3698"/>
      <c r="G1359" s="3698"/>
      <c r="H1359" s="3698"/>
      <c r="I1359" s="3699"/>
      <c r="J1359" s="3699"/>
      <c r="K1359" s="3699"/>
      <c r="L1359" s="3699"/>
      <c r="M1359" s="3699"/>
      <c r="N1359" s="3699"/>
      <c r="O1359" s="3699"/>
      <c r="P1359" s="3699"/>
      <c r="Q1359" s="3699"/>
      <c r="R1359" s="3699"/>
      <c r="S1359" s="3699"/>
      <c r="T1359" s="3699"/>
      <c r="U1359" s="3699"/>
      <c r="V1359" s="3699"/>
      <c r="W1359" s="3699"/>
      <c r="X1359" s="3700"/>
      <c r="Y1359" s="3699"/>
      <c r="Z1359" s="3699"/>
      <c r="AA1359" s="3699"/>
      <c r="AB1359" s="3699"/>
      <c r="AC1359" s="3700"/>
      <c r="AD1359" s="3699"/>
      <c r="AE1359" s="3699"/>
      <c r="AF1359" s="3699"/>
      <c r="AG1359" s="3699"/>
      <c r="AH1359" s="3700"/>
      <c r="AI1359" s="3699"/>
      <c r="AJ1359" s="3699"/>
      <c r="AK1359" s="3699"/>
      <c r="AL1359" s="3699"/>
      <c r="AM1359" s="3700"/>
      <c r="AN1359" s="3699"/>
      <c r="AO1359" s="3699"/>
      <c r="AP1359" s="3699"/>
      <c r="AQ1359" s="3699"/>
      <c r="AR1359" s="3700"/>
      <c r="AS1359" s="3699"/>
      <c r="AT1359" s="3699"/>
      <c r="AU1359" s="3699"/>
      <c r="AV1359" s="3699"/>
      <c r="AW1359" s="3700"/>
      <c r="AX1359" s="3699"/>
      <c r="AY1359" s="3699"/>
      <c r="AZ1359" s="3699"/>
      <c r="BA1359" s="3699"/>
      <c r="BB1359" s="3700"/>
      <c r="BC1359" s="3699"/>
      <c r="BD1359" s="3699"/>
      <c r="BE1359" s="3699"/>
      <c r="BF1359" s="3699"/>
      <c r="BG1359" s="3700"/>
      <c r="BH1359" s="3699"/>
      <c r="BI1359" s="3699"/>
      <c r="BJ1359" s="3699"/>
      <c r="BK1359" s="3699"/>
      <c r="BL1359" s="3700"/>
      <c r="BM1359" s="3699"/>
      <c r="BN1359" s="3699"/>
      <c r="BO1359" s="3699"/>
      <c r="BP1359" s="3699"/>
      <c r="BQ1359" s="3700"/>
      <c r="BR1359" s="3699"/>
      <c r="BS1359" s="3699"/>
      <c r="BT1359" s="3699"/>
      <c r="BU1359" s="3699"/>
      <c r="BV1359" s="3700"/>
      <c r="BW1359" s="3699"/>
      <c r="BX1359" s="3699"/>
      <c r="BY1359" s="3699"/>
      <c r="BZ1359" s="3699"/>
      <c r="CA1359" s="3700"/>
      <c r="CB1359" s="3699"/>
      <c r="CC1359" s="3699"/>
      <c r="CD1359" s="3699"/>
      <c r="CE1359" s="3699"/>
      <c r="CF1359" s="3700"/>
      <c r="CG1359" s="3699"/>
      <c r="CH1359" s="3699"/>
      <c r="CI1359" s="3699"/>
      <c r="CJ1359" s="3699"/>
      <c r="CK1359" s="3700"/>
      <c r="CL1359" s="3699"/>
      <c r="CM1359" s="3699"/>
      <c r="CN1359" s="3699"/>
      <c r="CO1359" s="3699"/>
      <c r="CP1359" s="3700"/>
      <c r="CQ1359" s="3699">
        <v>1.7000000000000001E-2</v>
      </c>
      <c r="CR1359" s="3699">
        <v>1.0999999999999999E-2</v>
      </c>
      <c r="CS1359" s="3699">
        <v>1.2E-2</v>
      </c>
      <c r="CT1359" s="3699">
        <v>0.02</v>
      </c>
      <c r="CU1359" s="3700">
        <v>1.4999999999999999E-2</v>
      </c>
      <c r="CV1359" s="3699">
        <v>1.0999999999999999E-2</v>
      </c>
      <c r="CW1359" s="3699">
        <v>2.9000000000000001E-2</v>
      </c>
      <c r="CX1359" s="3699">
        <v>2.9000000000000001E-2</v>
      </c>
      <c r="CY1359" s="3699">
        <v>3.3000000000000002E-2</v>
      </c>
      <c r="CZ1359" s="3700">
        <v>2.5999999999999999E-2</v>
      </c>
      <c r="DA1359" s="3699">
        <v>4.2999999999999997E-2</v>
      </c>
      <c r="DB1359" s="3699">
        <v>3.2000000000000001E-2</v>
      </c>
      <c r="DC1359" s="3699">
        <v>5.2999999999999999E-2</v>
      </c>
      <c r="DD1359" s="3699">
        <v>2.7E-2</v>
      </c>
      <c r="DE1359" s="3700">
        <v>3.9E-2</v>
      </c>
      <c r="DF1359" s="3699">
        <v>-4.8000000000000001E-2</v>
      </c>
      <c r="DG1359" s="3699">
        <v>-0.32500000000000001</v>
      </c>
      <c r="DH1359" s="3699">
        <v>-3.3000000000000002E-2</v>
      </c>
      <c r="DI1359" s="3699">
        <v>-1.4999999999999999E-2</v>
      </c>
      <c r="DJ1359" s="3700">
        <v>-0.105</v>
      </c>
      <c r="DK1359" s="3699">
        <v>8.7999999999999995E-2</v>
      </c>
      <c r="DL1359" s="3699">
        <v>0.58699999999999997</v>
      </c>
      <c r="DM1359" s="3699">
        <v>7.5999999999999998E-2</v>
      </c>
      <c r="DN1359" s="3699">
        <v>5.6000000000000001E-2</v>
      </c>
      <c r="DO1359" s="3700">
        <v>0.16800000000000001</v>
      </c>
      <c r="DP1359" s="3699">
        <v>8.5999999999999993E-2</v>
      </c>
      <c r="DQ1359" s="3699">
        <v>3.4000000000000002E-2</v>
      </c>
      <c r="DR1359" s="3699">
        <v>8.1000000000000003E-2</v>
      </c>
      <c r="DS1359" s="3699">
        <v>4.3999999999999997E-2</v>
      </c>
      <c r="DT1359" s="3700">
        <v>6.0999999999999999E-2</v>
      </c>
      <c r="DU1359" s="3699">
        <v>6.4000000000000001E-2</v>
      </c>
      <c r="DV1359" s="3699">
        <v>9.9000000000000005E-2</v>
      </c>
      <c r="DW1359" s="3699">
        <v>0.06</v>
      </c>
      <c r="DX1359" s="3699">
        <v>9.0999999999999998E-2</v>
      </c>
      <c r="DY1359" s="3700">
        <v>7.8E-2</v>
      </c>
      <c r="DZ1359" s="3699">
        <v>6.5000000000000002E-2</v>
      </c>
      <c r="EA1359" s="3699">
        <v>0.04</v>
      </c>
      <c r="EB1359" s="3699">
        <v>3.6999999999999998E-2</v>
      </c>
      <c r="EC1359" s="3701">
        <v>4.5999999999999999E-2</v>
      </c>
      <c r="ED1359" s="3702">
        <f>SUMPRODUCT(DU1350:DX1350,DZ1359:EC1359)/DY1350</f>
      </c>
      <c r="EE1359" s="3699">
        <v>1.2999999999999999E-2</v>
      </c>
      <c r="EF1359" s="3699">
        <v>4.1000000000000002E-2</v>
      </c>
      <c r="EG1359" s="3703">
        <f t="shared" ref="EG1359" si="2724">EG1358-(EG1361/EB1350)</f>
      </c>
      <c r="EH1359" s="3703">
        <f t="shared" ref="EH1359" si="2725">EH1358-(EH1361/EC1350)</f>
      </c>
      <c r="EI1359" s="3704">
        <f t="shared" ref="EI1359" si="2726">EI1358-(EI1361/ED1350)</f>
      </c>
      <c r="EJ1359" s="3704" t="e">
        <f t="shared" ref="EJ1359:EL1359" si="2727">EJ1358</f>
      </c>
      <c r="EK1359" s="3704" t="e">
        <f t="shared" si="2727"/>
      </c>
      <c r="EL1359" s="3704">
        <f t="shared" si="2727"/>
      </c>
      <c r="EM1359" s="3704">
        <f>EM1358</f>
      </c>
      <c r="EN1359" s="3705">
        <f>EN1358</f>
      </c>
      <c r="EO1359" s="992"/>
      <c r="EP1359" s="325"/>
      <c r="EQ1359" s="325"/>
      <c r="ER1359" s="325"/>
      <c r="ES1359" s="325"/>
      <c r="ET1359" s="325"/>
      <c r="EU1359" s="325"/>
      <c r="EV1359" s="325"/>
      <c r="EW1359" s="325"/>
      <c r="EX1359" s="325"/>
    </row>
    <row r="1360" spans="1:154">
      <c r="B1360" s="3063"/>
      <c r="C1360" s="3064"/>
      <c r="D1360" s="3153"/>
      <c r="E1360" s="3153"/>
      <c r="F1360" s="3153"/>
      <c r="G1360" s="3153"/>
      <c r="H1360" s="3153"/>
      <c r="I1360" s="1955"/>
      <c r="J1360" s="1955"/>
      <c r="K1360" s="1955"/>
      <c r="L1360" s="1955"/>
      <c r="M1360" s="1955"/>
      <c r="N1360" s="1955"/>
      <c r="O1360" s="1955"/>
      <c r="P1360" s="1955"/>
      <c r="Q1360" s="1955"/>
      <c r="R1360" s="1955"/>
      <c r="S1360" s="1955"/>
      <c r="T1360" s="1955"/>
      <c r="U1360" s="1955"/>
      <c r="V1360" s="1955"/>
      <c r="W1360" s="1955"/>
      <c r="X1360" s="2774"/>
      <c r="Y1360" s="1955"/>
      <c r="Z1360" s="1955"/>
      <c r="AA1360" s="1955"/>
      <c r="AB1360" s="1955"/>
      <c r="AC1360" s="2774"/>
      <c r="AD1360" s="1955"/>
      <c r="AE1360" s="1955"/>
      <c r="AF1360" s="1955"/>
      <c r="AG1360" s="1955"/>
      <c r="AH1360" s="2774"/>
      <c r="AI1360" s="1955"/>
      <c r="AJ1360" s="1955"/>
      <c r="AK1360" s="1955"/>
      <c r="AL1360" s="1955"/>
      <c r="AM1360" s="2774"/>
      <c r="AN1360" s="1955"/>
      <c r="AO1360" s="1955"/>
      <c r="AP1360" s="1955"/>
      <c r="AQ1360" s="1955"/>
      <c r="AR1360" s="2774"/>
      <c r="AS1360" s="1955"/>
      <c r="AT1360" s="1955"/>
      <c r="AU1360" s="1955"/>
      <c r="AV1360" s="1955"/>
      <c r="AW1360" s="2774"/>
      <c r="AX1360" s="1955"/>
      <c r="AY1360" s="1955"/>
      <c r="AZ1360" s="1955"/>
      <c r="BA1360" s="1955"/>
      <c r="BB1360" s="2774"/>
      <c r="BC1360" s="1955"/>
      <c r="BD1360" s="1955"/>
      <c r="BE1360" s="1955"/>
      <c r="BF1360" s="1955"/>
      <c r="BG1360" s="2774"/>
      <c r="BH1360" s="1955"/>
      <c r="BI1360" s="1955"/>
      <c r="BJ1360" s="1955"/>
      <c r="BK1360" s="1955"/>
      <c r="BL1360" s="2774"/>
      <c r="BM1360" s="1955"/>
      <c r="BN1360" s="1955"/>
      <c r="BO1360" s="1955"/>
      <c r="BP1360" s="1955"/>
      <c r="BQ1360" s="2774"/>
      <c r="BR1360" s="1955"/>
      <c r="BS1360" s="1955"/>
      <c r="BT1360" s="1955"/>
      <c r="BU1360" s="1955"/>
      <c r="BV1360" s="2774"/>
      <c r="BW1360" s="1955"/>
      <c r="BX1360" s="1955"/>
      <c r="BY1360" s="1955"/>
      <c r="BZ1360" s="1955"/>
      <c r="CA1360" s="2774"/>
      <c r="CB1360" s="1955"/>
      <c r="CC1360" s="1955"/>
      <c r="CD1360" s="1955"/>
      <c r="CE1360" s="1955"/>
      <c r="CF1360" s="2774"/>
      <c r="CG1360" s="1955"/>
      <c r="CH1360" s="1955"/>
      <c r="CI1360" s="1955"/>
      <c r="CJ1360" s="1955"/>
      <c r="CK1360" s="2774"/>
      <c r="CL1360" s="1955"/>
      <c r="CM1360" s="1955"/>
      <c r="CN1360" s="1955"/>
      <c r="CO1360" s="1955"/>
      <c r="CP1360" s="2774"/>
      <c r="CQ1360" s="1955"/>
      <c r="CR1360" s="1955"/>
      <c r="CS1360" s="1955"/>
      <c r="CT1360" s="1955"/>
      <c r="CU1360" s="2774"/>
      <c r="CV1360" s="1955"/>
      <c r="CW1360" s="1955"/>
      <c r="CX1360" s="1955"/>
      <c r="CY1360" s="1955"/>
      <c r="CZ1360" s="2774"/>
      <c r="DA1360" s="3154"/>
      <c r="DB1360" s="3154"/>
      <c r="DC1360" s="3154"/>
      <c r="DD1360" s="3154"/>
      <c r="DE1360" s="3065"/>
      <c r="DF1360" s="3154"/>
      <c r="DG1360" s="3154"/>
      <c r="DH1360" s="3154"/>
      <c r="DI1360" s="3154"/>
      <c r="DJ1360" s="3065"/>
      <c r="DK1360" s="3154"/>
      <c r="DL1360" s="3154"/>
      <c r="DM1360" s="3154"/>
      <c r="DN1360" s="3154"/>
      <c r="DO1360" s="3065"/>
      <c r="DP1360" s="3154"/>
      <c r="DQ1360" s="3154"/>
      <c r="DR1360" s="3154"/>
      <c r="DS1360" s="3154"/>
      <c r="DT1360" s="3065"/>
      <c r="DU1360" s="3154"/>
      <c r="DV1360" s="3154">
        <f>+(DV1358-DV1359)*DQ1350</f>
      </c>
      <c r="DW1360" s="3154"/>
      <c r="DX1360" s="3155"/>
      <c r="DY1360" s="3107"/>
      <c r="DZ1360" s="3154"/>
      <c r="EA1360" s="3154"/>
      <c r="EB1360" s="3154"/>
      <c r="EC1360" s="3622"/>
      <c r="ED1360" s="3627"/>
      <c r="EE1360" s="3622"/>
      <c r="EF1360" s="3622"/>
      <c r="EG1360" s="3155"/>
      <c r="EH1360" s="3155"/>
      <c r="EI1360" s="3368"/>
      <c r="EJ1360" s="3368"/>
      <c r="EK1360" s="3368"/>
      <c r="EL1360" s="3107"/>
      <c r="EM1360" s="3107"/>
      <c r="EN1360" s="3107"/>
      <c r="EO1360" s="325"/>
      <c r="EP1360" s="325"/>
      <c r="EQ1360" s="325"/>
      <c r="ER1360" s="325"/>
      <c r="ES1360" s="325"/>
      <c r="ET1360" s="325"/>
      <c r="EU1360" s="325"/>
      <c r="EV1360" s="325"/>
      <c r="EW1360" s="325"/>
      <c r="EX1360" s="325"/>
    </row>
    <row r="1361" spans="2:154">
      <c r="B1361" s="3063" t="s">
        <v>976</v>
      </c>
      <c r="C1361" s="3064"/>
      <c r="D1361" s="3153"/>
      <c r="E1361" s="3153"/>
      <c r="F1361" s="3153"/>
      <c r="G1361" s="3153"/>
      <c r="H1361" s="3153"/>
      <c r="I1361" s="1955"/>
      <c r="J1361" s="1955"/>
      <c r="K1361" s="1955"/>
      <c r="L1361" s="1955"/>
      <c r="M1361" s="1955"/>
      <c r="N1361" s="1955"/>
      <c r="O1361" s="1955"/>
      <c r="P1361" s="1955"/>
      <c r="Q1361" s="1955"/>
      <c r="R1361" s="1955"/>
      <c r="S1361" s="1955"/>
      <c r="T1361" s="1955"/>
      <c r="U1361" s="1955"/>
      <c r="V1361" s="1955"/>
      <c r="W1361" s="1955"/>
      <c r="X1361" s="2774"/>
      <c r="Y1361" s="1955"/>
      <c r="Z1361" s="1955"/>
      <c r="AA1361" s="1955"/>
      <c r="AB1361" s="1955"/>
      <c r="AC1361" s="2774"/>
      <c r="AD1361" s="1955"/>
      <c r="AE1361" s="1955"/>
      <c r="AF1361" s="1955"/>
      <c r="AG1361" s="1955"/>
      <c r="AH1361" s="2774"/>
      <c r="AI1361" s="1955"/>
      <c r="AJ1361" s="1955"/>
      <c r="AK1361" s="1955"/>
      <c r="AL1361" s="1955"/>
      <c r="AM1361" s="2774"/>
      <c r="AN1361" s="1955"/>
      <c r="AO1361" s="1955"/>
      <c r="AP1361" s="1955"/>
      <c r="AQ1361" s="1955"/>
      <c r="AR1361" s="2774"/>
      <c r="AS1361" s="1955"/>
      <c r="AT1361" s="1955"/>
      <c r="AU1361" s="1955"/>
      <c r="AV1361" s="1955"/>
      <c r="AW1361" s="2774"/>
      <c r="AX1361" s="1955"/>
      <c r="AY1361" s="1955"/>
      <c r="AZ1361" s="1955"/>
      <c r="BA1361" s="1955"/>
      <c r="BB1361" s="2774"/>
      <c r="BC1361" s="1955"/>
      <c r="BD1361" s="1955"/>
      <c r="BE1361" s="1955"/>
      <c r="BF1361" s="1955"/>
      <c r="BG1361" s="2774"/>
      <c r="BH1361" s="1955"/>
      <c r="BI1361" s="1955"/>
      <c r="BJ1361" s="1955"/>
      <c r="BK1361" s="1955"/>
      <c r="BL1361" s="2774"/>
      <c r="BM1361" s="1955"/>
      <c r="BN1361" s="1955"/>
      <c r="BO1361" s="1955"/>
      <c r="BP1361" s="1955"/>
      <c r="BQ1361" s="2774"/>
      <c r="BR1361" s="1955"/>
      <c r="BS1361" s="1955"/>
      <c r="BT1361" s="1955"/>
      <c r="BU1361" s="1955"/>
      <c r="BV1361" s="2774"/>
      <c r="BW1361" s="1955"/>
      <c r="BX1361" s="1955"/>
      <c r="BY1361" s="1955"/>
      <c r="BZ1361" s="1955"/>
      <c r="CA1361" s="2774"/>
      <c r="CB1361" s="1955"/>
      <c r="CC1361" s="1955"/>
      <c r="CD1361" s="1955"/>
      <c r="CE1361" s="1955"/>
      <c r="CF1361" s="2774"/>
      <c r="CG1361" s="1955"/>
      <c r="CH1361" s="1955"/>
      <c r="CI1361" s="1955"/>
      <c r="CJ1361" s="1955"/>
      <c r="CK1361" s="2774"/>
      <c r="CL1361" s="1955"/>
      <c r="CM1361" s="1955"/>
      <c r="CN1361" s="1955"/>
      <c r="CO1361" s="1955"/>
      <c r="CP1361" s="2774"/>
      <c r="CQ1361" s="1955"/>
      <c r="CR1361" s="1955"/>
      <c r="CS1361" s="1955"/>
      <c r="CT1361" s="1955"/>
      <c r="CU1361" s="3065"/>
      <c r="CV1361" s="3154"/>
      <c r="CW1361" s="3154"/>
      <c r="CX1361" s="3154"/>
      <c r="CY1361" s="3154"/>
      <c r="CZ1361" s="3065"/>
      <c r="DA1361" s="3156"/>
      <c r="DB1361" s="3156"/>
      <c r="DC1361" s="3156"/>
      <c r="DD1361" s="3156"/>
      <c r="DE1361" s="3066"/>
      <c r="DF1361" s="3156"/>
      <c r="DG1361" s="3156"/>
      <c r="DH1361" s="3156"/>
      <c r="DI1361" s="3156"/>
      <c r="DJ1361" s="3066"/>
      <c r="DK1361" s="3156"/>
      <c r="DL1361" s="3156"/>
      <c r="DM1361" s="3156"/>
      <c r="DN1361" s="3156"/>
      <c r="DO1361" s="3066"/>
      <c r="DP1361" s="3405"/>
      <c r="DQ1361" s="3405"/>
      <c r="DR1361" s="3405"/>
      <c r="DS1361" s="3405">
        <v>31</v>
      </c>
      <c r="DT1361" s="3406">
        <f>SUM(DP1361:DS1361)</f>
      </c>
      <c r="DU1361" s="3407">
        <f>+(DU1358-DU1359)*DP1350</f>
      </c>
      <c r="DV1361" s="3407">
        <f>+(DV1358-DV1359)*DQ1350</f>
      </c>
      <c r="DW1361" s="3407">
        <f>+(DW1358-DW1359)*DR1350</f>
      </c>
      <c r="DX1361" s="3407">
        <f>+(DX1358-DX1359)*DS1350</f>
      </c>
      <c r="DY1361" s="3408">
        <f>SUM(DU1361:DX1361)</f>
      </c>
      <c r="DZ1361" s="3407">
        <f>+(DZ1358-DZ1359)*DU1350</f>
      </c>
      <c r="EA1361" s="3407">
        <f>+(EA1358-EA1359)*DV1350</f>
      </c>
      <c r="EB1361" s="3407">
        <f>+(EB1358-EB1359)*DW1350</f>
      </c>
      <c r="EC1361" s="3407">
        <f>+(EC1358-EC1359)*DX1350</f>
      </c>
      <c r="ED1361" s="3628">
        <f>SUM(DZ1361:EC1361)</f>
      </c>
      <c r="EE1361" s="3407">
        <f>+(EE1358-EE1359)*DZ1350</f>
      </c>
      <c r="EF1361" s="3407">
        <f>+(EF1358-EF1359)*EA1350</f>
      </c>
      <c r="EG1361" s="3409">
        <v>25</v>
      </c>
      <c r="EH1361" s="3409">
        <v>0</v>
      </c>
      <c r="EI1361" s="3408">
        <f>SUM(EE1361:EH1361)</f>
      </c>
      <c r="EJ1361" s="3410">
        <v>0</v>
      </c>
      <c r="EK1361" s="3410">
        <v>0</v>
      </c>
      <c r="EL1361" s="3410">
        <v>0</v>
      </c>
      <c r="EM1361" s="3410">
        <v>0</v>
      </c>
      <c r="EN1361" s="3410">
        <v>0</v>
      </c>
      <c r="EO1361" s="325"/>
      <c r="EP1361" s="325"/>
      <c r="EQ1361" s="325"/>
      <c r="ER1361" s="325"/>
      <c r="ES1361" s="325"/>
      <c r="ET1361" s="325"/>
      <c r="EU1361" s="325"/>
      <c r="EV1361" s="325"/>
      <c r="EW1361" s="325"/>
      <c r="EX1361" s="325"/>
    </row>
    <row r="1362" spans="2:154">
      <c r="B1362" s="3063"/>
      <c r="C1362" s="3064"/>
      <c r="D1362" s="3153"/>
      <c r="E1362" s="3153"/>
      <c r="F1362" s="3153"/>
      <c r="G1362" s="3153"/>
      <c r="H1362" s="3153"/>
      <c r="I1362" s="1955"/>
      <c r="J1362" s="1955"/>
      <c r="K1362" s="1955"/>
      <c r="L1362" s="1955"/>
      <c r="M1362" s="1955"/>
      <c r="N1362" s="1955"/>
      <c r="O1362" s="1955"/>
      <c r="P1362" s="1955"/>
      <c r="Q1362" s="1955"/>
      <c r="R1362" s="1955"/>
      <c r="S1362" s="1955"/>
      <c r="T1362" s="1955"/>
      <c r="U1362" s="1955"/>
      <c r="V1362" s="1955"/>
      <c r="W1362" s="1955"/>
      <c r="X1362" s="2774"/>
      <c r="Y1362" s="1955"/>
      <c r="Z1362" s="1955"/>
      <c r="AA1362" s="1955"/>
      <c r="AB1362" s="1955"/>
      <c r="AC1362" s="2774"/>
      <c r="AD1362" s="1955"/>
      <c r="AE1362" s="1955"/>
      <c r="AF1362" s="1955"/>
      <c r="AG1362" s="1955"/>
      <c r="AH1362" s="2774"/>
      <c r="AI1362" s="1955"/>
      <c r="AJ1362" s="1955"/>
      <c r="AK1362" s="1955"/>
      <c r="AL1362" s="1955"/>
      <c r="AM1362" s="2774"/>
      <c r="AN1362" s="1955"/>
      <c r="AO1362" s="1955"/>
      <c r="AP1362" s="1955"/>
      <c r="AQ1362" s="1955"/>
      <c r="AR1362" s="2774"/>
      <c r="AS1362" s="1955"/>
      <c r="AT1362" s="1955"/>
      <c r="AU1362" s="1955"/>
      <c r="AV1362" s="1955"/>
      <c r="AW1362" s="2774"/>
      <c r="AX1362" s="1955"/>
      <c r="AY1362" s="1955"/>
      <c r="AZ1362" s="1955"/>
      <c r="BA1362" s="1955"/>
      <c r="BB1362" s="2774"/>
      <c r="BC1362" s="1955"/>
      <c r="BD1362" s="1955"/>
      <c r="BE1362" s="1955"/>
      <c r="BF1362" s="1955"/>
      <c r="BG1362" s="2774"/>
      <c r="BH1362" s="1955"/>
      <c r="BI1362" s="1955"/>
      <c r="BJ1362" s="1955"/>
      <c r="BK1362" s="1955"/>
      <c r="BL1362" s="2774"/>
      <c r="BM1362" s="1955"/>
      <c r="BN1362" s="1955"/>
      <c r="BO1362" s="1955"/>
      <c r="BP1362" s="1955"/>
      <c r="BQ1362" s="2774"/>
      <c r="BR1362" s="1955"/>
      <c r="BS1362" s="1955"/>
      <c r="BT1362" s="1955"/>
      <c r="BU1362" s="1955"/>
      <c r="BV1362" s="2774"/>
      <c r="BW1362" s="1955"/>
      <c r="BX1362" s="1955"/>
      <c r="BY1362" s="1955"/>
      <c r="BZ1362" s="1955"/>
      <c r="CA1362" s="2774"/>
      <c r="CB1362" s="1955"/>
      <c r="CC1362" s="1955"/>
      <c r="CD1362" s="1955"/>
      <c r="CE1362" s="1955"/>
      <c r="CF1362" s="2774"/>
      <c r="CG1362" s="1955"/>
      <c r="CH1362" s="1955"/>
      <c r="CI1362" s="1955"/>
      <c r="CJ1362" s="1955"/>
      <c r="CK1362" s="2774"/>
      <c r="CL1362" s="1955"/>
      <c r="CM1362" s="1955"/>
      <c r="CN1362" s="1955"/>
      <c r="CO1362" s="1955"/>
      <c r="CP1362" s="2774"/>
      <c r="CQ1362" s="1955"/>
      <c r="CR1362" s="1955"/>
      <c r="CS1362" s="1955"/>
      <c r="CT1362" s="1955"/>
      <c r="CU1362" s="2774"/>
      <c r="CV1362" s="1955"/>
      <c r="CW1362" s="1955"/>
      <c r="CX1362" s="1955"/>
      <c r="CY1362" s="1955"/>
      <c r="CZ1362" s="2774"/>
      <c r="DA1362" s="1955"/>
      <c r="DB1362" s="1955"/>
      <c r="DC1362" s="1955"/>
      <c r="DD1362" s="1955"/>
      <c r="DE1362" s="2774"/>
      <c r="DF1362" s="1955"/>
      <c r="DG1362" s="1955"/>
      <c r="DH1362" s="1955"/>
      <c r="DI1362" s="1955"/>
      <c r="DJ1362" s="2774"/>
      <c r="DK1362" s="1955"/>
      <c r="DL1362" s="1955"/>
      <c r="DM1362" s="1955"/>
      <c r="DN1362" s="1955"/>
      <c r="DO1362" s="2774"/>
      <c r="DP1362" s="3157"/>
      <c r="DQ1362" s="3157"/>
      <c r="DR1362" s="3157"/>
      <c r="DS1362" s="3157"/>
      <c r="DT1362" s="3067"/>
      <c r="DU1362" s="3157"/>
      <c r="DV1362" s="3157"/>
      <c r="DW1362" s="3157"/>
      <c r="DX1362" s="3158"/>
      <c r="DY1362" s="3108"/>
      <c r="DZ1362" s="3158"/>
      <c r="EA1362" s="3449"/>
      <c r="EB1362" s="3449"/>
      <c r="EC1362" s="3158"/>
      <c r="ED1362" s="3108"/>
      <c r="EE1362" s="3158"/>
      <c r="EF1362" s="3158"/>
      <c r="EG1362" s="3409"/>
      <c r="EH1362" s="3409"/>
      <c r="EI1362" s="1851"/>
      <c r="EJ1362" s="3108"/>
      <c r="EK1362" s="3108"/>
      <c r="EL1362" s="3108"/>
      <c r="EM1362" s="3108"/>
      <c r="EN1362" s="3108"/>
      <c r="EO1362" s="325"/>
      <c r="EP1362" s="325"/>
      <c r="EQ1362" s="325"/>
      <c r="ER1362" s="325"/>
      <c r="ES1362" s="325"/>
      <c r="ET1362" s="325"/>
      <c r="EU1362" s="325"/>
      <c r="EV1362" s="325"/>
      <c r="EW1362" s="325"/>
      <c r="EX1362" s="325"/>
    </row>
    <row r="1363" spans="2:154">
      <c r="B1363" s="3063" t="s">
        <v>851</v>
      </c>
      <c r="C1363" s="3064"/>
      <c r="D1363" s="3153"/>
      <c r="E1363" s="3153"/>
      <c r="F1363" s="3153"/>
      <c r="G1363" s="3153"/>
      <c r="H1363" s="3153"/>
      <c r="I1363" s="1955"/>
      <c r="J1363" s="1955"/>
      <c r="K1363" s="1955"/>
      <c r="L1363" s="1955"/>
      <c r="M1363" s="1955"/>
      <c r="N1363" s="1955"/>
      <c r="O1363" s="1955"/>
      <c r="P1363" s="1955"/>
      <c r="Q1363" s="1955"/>
      <c r="R1363" s="1955"/>
      <c r="S1363" s="1955"/>
      <c r="T1363" s="1955"/>
      <c r="U1363" s="1955"/>
      <c r="V1363" s="1955"/>
      <c r="W1363" s="1955"/>
      <c r="X1363" s="2774"/>
      <c r="Y1363" s="1955"/>
      <c r="Z1363" s="1955"/>
      <c r="AA1363" s="1955"/>
      <c r="AB1363" s="1955"/>
      <c r="AC1363" s="2774"/>
      <c r="AD1363" s="1955"/>
      <c r="AE1363" s="1955"/>
      <c r="AF1363" s="1955"/>
      <c r="AG1363" s="1955"/>
      <c r="AH1363" s="2774"/>
      <c r="AI1363" s="1955"/>
      <c r="AJ1363" s="1955"/>
      <c r="AK1363" s="1955"/>
      <c r="AL1363" s="1955"/>
      <c r="AM1363" s="2774"/>
      <c r="AN1363" s="1955"/>
      <c r="AO1363" s="1955"/>
      <c r="AP1363" s="1955"/>
      <c r="AQ1363" s="1955"/>
      <c r="AR1363" s="2774"/>
      <c r="AS1363" s="1955"/>
      <c r="AT1363" s="1955"/>
      <c r="AU1363" s="1955"/>
      <c r="AV1363" s="1955"/>
      <c r="AW1363" s="2774"/>
      <c r="AX1363" s="1955"/>
      <c r="AY1363" s="1955"/>
      <c r="AZ1363" s="1955"/>
      <c r="BA1363" s="1955"/>
      <c r="BB1363" s="2774"/>
      <c r="BC1363" s="1955"/>
      <c r="BD1363" s="1955"/>
      <c r="BE1363" s="1955"/>
      <c r="BF1363" s="1955"/>
      <c r="BG1363" s="2774"/>
      <c r="BH1363" s="1955"/>
      <c r="BI1363" s="1955"/>
      <c r="BJ1363" s="1955"/>
      <c r="BK1363" s="1955"/>
      <c r="BL1363" s="2774"/>
      <c r="BM1363" s="1955"/>
      <c r="BN1363" s="1955"/>
      <c r="BO1363" s="1955"/>
      <c r="BP1363" s="1955"/>
      <c r="BQ1363" s="2774"/>
      <c r="BR1363" s="1955"/>
      <c r="BS1363" s="1955"/>
      <c r="BT1363" s="1955"/>
      <c r="BU1363" s="1955"/>
      <c r="BV1363" s="2774"/>
      <c r="BW1363" s="1955"/>
      <c r="BX1363" s="1955"/>
      <c r="BY1363" s="1955"/>
      <c r="BZ1363" s="1955"/>
      <c r="CA1363" s="2774"/>
      <c r="CB1363" s="1955"/>
      <c r="CC1363" s="1955"/>
      <c r="CD1363" s="1955"/>
      <c r="CE1363" s="1955"/>
      <c r="CF1363" s="2774"/>
      <c r="CG1363" s="1955"/>
      <c r="CH1363" s="1955"/>
      <c r="CI1363" s="1955"/>
      <c r="CJ1363" s="1955"/>
      <c r="CK1363" s="2774"/>
      <c r="CL1363" s="1955"/>
      <c r="CM1363" s="1955"/>
      <c r="CN1363" s="1955"/>
      <c r="CO1363" s="1955"/>
      <c r="CP1363" s="2774"/>
      <c r="CQ1363" s="1955"/>
      <c r="CR1363" s="1955"/>
      <c r="CS1363" s="1955"/>
      <c r="CT1363" s="1955"/>
      <c r="CU1363" s="2774"/>
      <c r="CV1363" s="1955"/>
      <c r="CW1363" s="1955"/>
      <c r="CX1363" s="1955"/>
      <c r="CY1363" s="1955"/>
      <c r="CZ1363" s="2774"/>
      <c r="DA1363" s="1955"/>
      <c r="DB1363" s="1955"/>
      <c r="DC1363" s="1955"/>
      <c r="DD1363" s="1955"/>
      <c r="DE1363" s="2774"/>
      <c r="DF1363" s="1955"/>
      <c r="DG1363" s="1955"/>
      <c r="DH1363" s="1955"/>
      <c r="DI1363" s="1955"/>
      <c r="DJ1363" s="2724"/>
      <c r="DK1363" s="946"/>
      <c r="DL1363" s="946"/>
      <c r="DM1363" s="946"/>
      <c r="DN1363" s="946"/>
      <c r="DO1363" s="2724"/>
      <c r="DP1363" s="946"/>
      <c r="DQ1363" s="946"/>
      <c r="DR1363" s="946"/>
      <c r="DS1363" s="946"/>
      <c r="DT1363" s="2724"/>
      <c r="DU1363" s="946"/>
      <c r="DV1363" s="959"/>
      <c r="DW1363" s="946"/>
      <c r="DX1363" s="946"/>
      <c r="DY1363" s="2724"/>
      <c r="DZ1363" s="946"/>
      <c r="EA1363" s="946"/>
      <c r="EB1363" s="946"/>
      <c r="EC1363" s="946"/>
      <c r="ED1363" s="2724"/>
      <c r="EE1363" s="946"/>
      <c r="EF1363" s="946"/>
      <c r="EG1363" s="946"/>
      <c r="EH1363" s="946"/>
      <c r="EI1363" s="2724"/>
      <c r="EJ1363" s="2724"/>
      <c r="EK1363" s="2724"/>
      <c r="EL1363" s="2724"/>
      <c r="EM1363" s="2724"/>
      <c r="EN1363" s="2724"/>
      <c r="EO1363" s="325"/>
      <c r="EP1363" s="325"/>
      <c r="EQ1363" s="325"/>
      <c r="ER1363" s="325"/>
      <c r="ES1363" s="325"/>
      <c r="ET1363" s="325"/>
      <c r="EU1363" s="325"/>
      <c r="EV1363" s="325"/>
      <c r="EW1363" s="325"/>
      <c r="EX1363" s="325"/>
    </row>
    <row r="1364" spans="2:154">
      <c r="B1364" s="3063" t="s">
        <v>852</v>
      </c>
      <c r="C1364" s="3064"/>
      <c r="D1364" s="3153"/>
      <c r="E1364" s="3153"/>
      <c r="F1364" s="3153"/>
      <c r="G1364" s="3153"/>
      <c r="H1364" s="3153"/>
      <c r="I1364" s="1955"/>
      <c r="J1364" s="1955"/>
      <c r="K1364" s="1955"/>
      <c r="L1364" s="1955"/>
      <c r="M1364" s="1955"/>
      <c r="N1364" s="1955"/>
      <c r="O1364" s="1955"/>
      <c r="P1364" s="1955"/>
      <c r="Q1364" s="1955"/>
      <c r="R1364" s="1955"/>
      <c r="S1364" s="1955"/>
      <c r="T1364" s="1955"/>
      <c r="U1364" s="1955"/>
      <c r="V1364" s="1955"/>
      <c r="W1364" s="1955"/>
      <c r="X1364" s="2774"/>
      <c r="Y1364" s="1955"/>
      <c r="Z1364" s="1955"/>
      <c r="AA1364" s="1955"/>
      <c r="AB1364" s="1955"/>
      <c r="AC1364" s="2774"/>
      <c r="AD1364" s="1955"/>
      <c r="AE1364" s="1955"/>
      <c r="AF1364" s="1955"/>
      <c r="AG1364" s="1955"/>
      <c r="AH1364" s="2774"/>
      <c r="AI1364" s="1955"/>
      <c r="AJ1364" s="1955"/>
      <c r="AK1364" s="1955"/>
      <c r="AL1364" s="1955"/>
      <c r="AM1364" s="2774"/>
      <c r="AN1364" s="1955"/>
      <c r="AO1364" s="1955"/>
      <c r="AP1364" s="1955"/>
      <c r="AQ1364" s="1955"/>
      <c r="AR1364" s="2774"/>
      <c r="AS1364" s="1955"/>
      <c r="AT1364" s="1955"/>
      <c r="AU1364" s="1955"/>
      <c r="AV1364" s="1955"/>
      <c r="AW1364" s="2774"/>
      <c r="AX1364" s="1955"/>
      <c r="AY1364" s="1955"/>
      <c r="AZ1364" s="1955"/>
      <c r="BA1364" s="1955"/>
      <c r="BB1364" s="2774"/>
      <c r="BC1364" s="1955"/>
      <c r="BD1364" s="1955"/>
      <c r="BE1364" s="1955"/>
      <c r="BF1364" s="1955"/>
      <c r="BG1364" s="2774"/>
      <c r="BH1364" s="1955"/>
      <c r="BI1364" s="1955"/>
      <c r="BJ1364" s="1955"/>
      <c r="BK1364" s="1955"/>
      <c r="BL1364" s="2774"/>
      <c r="BM1364" s="1955"/>
      <c r="BN1364" s="1955"/>
      <c r="BO1364" s="1955"/>
      <c r="BP1364" s="1955"/>
      <c r="BQ1364" s="2774"/>
      <c r="BR1364" s="1955"/>
      <c r="BS1364" s="1955"/>
      <c r="BT1364" s="1955"/>
      <c r="BU1364" s="1955"/>
      <c r="BV1364" s="2774"/>
      <c r="BW1364" s="1955"/>
      <c r="BX1364" s="1955"/>
      <c r="BY1364" s="1955"/>
      <c r="BZ1364" s="1955"/>
      <c r="CA1364" s="2774"/>
      <c r="CB1364" s="1955"/>
      <c r="CC1364" s="1955"/>
      <c r="CD1364" s="1955"/>
      <c r="CE1364" s="1955"/>
      <c r="CF1364" s="2774"/>
      <c r="CG1364" s="1955"/>
      <c r="CH1364" s="1955"/>
      <c r="CI1364" s="1955"/>
      <c r="CJ1364" s="1955"/>
      <c r="CK1364" s="2774"/>
      <c r="CL1364" s="1955"/>
      <c r="CM1364" s="1955"/>
      <c r="CN1364" s="1955"/>
      <c r="CO1364" s="1955"/>
      <c r="CP1364" s="2774"/>
      <c r="CQ1364" s="1955"/>
      <c r="CR1364" s="1955"/>
      <c r="CS1364" s="1955"/>
      <c r="CT1364" s="1955"/>
      <c r="CU1364" s="2774"/>
      <c r="CV1364" s="1955"/>
      <c r="CW1364" s="1955"/>
      <c r="CX1364" s="1955"/>
      <c r="CY1364" s="1955"/>
      <c r="CZ1364" s="2774"/>
      <c r="DA1364" s="261">
        <f>DA1348/DA$1350</f>
      </c>
      <c r="DB1364" s="261">
        <f t="shared" ref="DB1364:EL1365" si="2728">DB1348/DB$1350</f>
      </c>
      <c r="DC1364" s="261">
        <f t="shared" si="2728"/>
      </c>
      <c r="DD1364" s="261">
        <f t="shared" si="2728"/>
      </c>
      <c r="DE1364" s="325">
        <f t="shared" si="2728"/>
      </c>
      <c r="DF1364" s="261">
        <f t="shared" si="2728"/>
      </c>
      <c r="DG1364" s="261">
        <f t="shared" si="2728"/>
      </c>
      <c r="DH1364" s="261">
        <f t="shared" si="2728"/>
      </c>
      <c r="DI1364" s="261">
        <f t="shared" si="2728"/>
      </c>
      <c r="DJ1364" s="325">
        <f t="shared" si="2728"/>
      </c>
      <c r="DK1364" s="261">
        <f t="shared" si="2728"/>
      </c>
      <c r="DL1364" s="261">
        <f t="shared" si="2728"/>
      </c>
      <c r="DM1364" s="261">
        <f t="shared" si="2728"/>
      </c>
      <c r="DN1364" s="261">
        <f t="shared" si="2728"/>
      </c>
      <c r="DO1364" s="325">
        <f t="shared" si="2728"/>
      </c>
      <c r="DP1364" s="261">
        <f t="shared" si="2728"/>
      </c>
      <c r="DQ1364" s="261">
        <f t="shared" si="2728"/>
      </c>
      <c r="DR1364" s="261">
        <f t="shared" si="2728"/>
      </c>
      <c r="DS1364" s="261">
        <f t="shared" si="2728"/>
      </c>
      <c r="DT1364" s="325">
        <f t="shared" si="2728"/>
      </c>
      <c r="DU1364" s="261">
        <f t="shared" si="2728"/>
      </c>
      <c r="DV1364" s="261">
        <f t="shared" si="2728"/>
      </c>
      <c r="DW1364" s="261">
        <f>DW1348/DW$1350</f>
      </c>
      <c r="DX1364" s="261">
        <f t="shared" si="2728"/>
      </c>
      <c r="DY1364" s="325">
        <f t="shared" si="2728"/>
      </c>
      <c r="DZ1364" s="261">
        <f t="shared" si="2728"/>
      </c>
      <c r="EA1364" s="261">
        <f t="shared" si="2728"/>
      </c>
      <c r="EB1364" s="261">
        <f t="shared" ref="EB1364:ED1364" si="2729">EB1348/EB$1350</f>
      </c>
      <c r="EC1364" s="261">
        <f t="shared" si="2729"/>
      </c>
      <c r="ED1364" s="325">
        <f t="shared" si="2729"/>
      </c>
      <c r="EE1364" s="261">
        <f t="shared" ref="EE1364:EF1364" si="2730">EE1348/EE$1350</f>
      </c>
      <c r="EF1364" s="261">
        <f t="shared" si="2730"/>
      </c>
      <c r="EG1364" s="261">
        <f t="shared" si="2728"/>
      </c>
      <c r="EH1364" s="261">
        <f t="shared" si="2728"/>
      </c>
      <c r="EI1364" s="325">
        <f t="shared" si="2728"/>
      </c>
      <c r="EJ1364" s="325">
        <f t="shared" si="2728"/>
      </c>
      <c r="EK1364" s="325">
        <f t="shared" si="2728"/>
      </c>
      <c r="EL1364" s="325">
        <f t="shared" si="2728"/>
      </c>
      <c r="EM1364" s="325">
        <f>EM1348/EM$1350</f>
      </c>
      <c r="EN1364" s="325">
        <f>EN1348/EN$1350</f>
      </c>
      <c r="EO1364" s="325"/>
      <c r="EP1364" s="325"/>
      <c r="EQ1364" s="325"/>
      <c r="ER1364" s="325"/>
      <c r="ES1364" s="325"/>
      <c r="ET1364" s="325"/>
      <c r="EU1364" s="325"/>
      <c r="EV1364" s="325"/>
      <c r="EW1364" s="325"/>
      <c r="EX1364" s="325"/>
    </row>
    <row r="1365" spans="2:154">
      <c r="B1365" s="3063" t="s">
        <v>853</v>
      </c>
      <c r="C1365" s="3064"/>
      <c r="D1365" s="3153"/>
      <c r="E1365" s="3153"/>
      <c r="F1365" s="3153"/>
      <c r="G1365" s="3153"/>
      <c r="H1365" s="3153"/>
      <c r="I1365" s="1955"/>
      <c r="J1365" s="1955"/>
      <c r="K1365" s="1955"/>
      <c r="L1365" s="1955"/>
      <c r="M1365" s="1955"/>
      <c r="N1365" s="1955"/>
      <c r="O1365" s="1955"/>
      <c r="P1365" s="1955"/>
      <c r="Q1365" s="1955"/>
      <c r="R1365" s="1955"/>
      <c r="S1365" s="1955"/>
      <c r="T1365" s="1955"/>
      <c r="U1365" s="1955"/>
      <c r="V1365" s="1955"/>
      <c r="W1365" s="1955"/>
      <c r="X1365" s="2774"/>
      <c r="Y1365" s="1955"/>
      <c r="Z1365" s="1955"/>
      <c r="AA1365" s="1955"/>
      <c r="AB1365" s="1955"/>
      <c r="AC1365" s="2774"/>
      <c r="AD1365" s="1955"/>
      <c r="AE1365" s="1955"/>
      <c r="AF1365" s="1955"/>
      <c r="AG1365" s="1955"/>
      <c r="AH1365" s="2774"/>
      <c r="AI1365" s="1955"/>
      <c r="AJ1365" s="1955"/>
      <c r="AK1365" s="1955"/>
      <c r="AL1365" s="1955"/>
      <c r="AM1365" s="2774"/>
      <c r="AN1365" s="1955"/>
      <c r="AO1365" s="1955"/>
      <c r="AP1365" s="1955"/>
      <c r="AQ1365" s="1955"/>
      <c r="AR1365" s="2774"/>
      <c r="AS1365" s="1955"/>
      <c r="AT1365" s="1955"/>
      <c r="AU1365" s="1955"/>
      <c r="AV1365" s="1955"/>
      <c r="AW1365" s="2774"/>
      <c r="AX1365" s="1955"/>
      <c r="AY1365" s="1955"/>
      <c r="AZ1365" s="1955"/>
      <c r="BA1365" s="1955"/>
      <c r="BB1365" s="2774"/>
      <c r="BC1365" s="1955"/>
      <c r="BD1365" s="1955"/>
      <c r="BE1365" s="1955"/>
      <c r="BF1365" s="1955"/>
      <c r="BG1365" s="2774"/>
      <c r="BH1365" s="1955"/>
      <c r="BI1365" s="1955"/>
      <c r="BJ1365" s="1955"/>
      <c r="BK1365" s="1955"/>
      <c r="BL1365" s="2774"/>
      <c r="BM1365" s="1955"/>
      <c r="BN1365" s="1955"/>
      <c r="BO1365" s="1955"/>
      <c r="BP1365" s="1955"/>
      <c r="BQ1365" s="2774"/>
      <c r="BR1365" s="1955"/>
      <c r="BS1365" s="1955"/>
      <c r="BT1365" s="1955"/>
      <c r="BU1365" s="1955"/>
      <c r="BV1365" s="2774"/>
      <c r="BW1365" s="1955"/>
      <c r="BX1365" s="1955"/>
      <c r="BY1365" s="1955"/>
      <c r="BZ1365" s="1955"/>
      <c r="CA1365" s="2774"/>
      <c r="CB1365" s="1955"/>
      <c r="CC1365" s="1955"/>
      <c r="CD1365" s="1955"/>
      <c r="CE1365" s="1955"/>
      <c r="CF1365" s="2774"/>
      <c r="CG1365" s="1955"/>
      <c r="CH1365" s="1955"/>
      <c r="CI1365" s="1955"/>
      <c r="CJ1365" s="1955"/>
      <c r="CK1365" s="2774"/>
      <c r="CL1365" s="1955"/>
      <c r="CM1365" s="1955"/>
      <c r="CN1365" s="1955"/>
      <c r="CO1365" s="1955"/>
      <c r="CP1365" s="2774"/>
      <c r="CQ1365" s="1955"/>
      <c r="CR1365" s="1955"/>
      <c r="CS1365" s="1955"/>
      <c r="CT1365" s="1955"/>
      <c r="CU1365" s="2774"/>
      <c r="CV1365" s="1955"/>
      <c r="CW1365" s="1955"/>
      <c r="CX1365" s="1955"/>
      <c r="CY1365" s="1955"/>
      <c r="CZ1365" s="2774"/>
      <c r="DA1365" s="261">
        <f>DA1349/DA$1350</f>
      </c>
      <c r="DB1365" s="261">
        <f t="shared" ref="DB1365:DY1365" si="2731">DB1349/DB$1350</f>
      </c>
      <c r="DC1365" s="261">
        <f t="shared" si="2731"/>
      </c>
      <c r="DD1365" s="261">
        <f t="shared" si="2731"/>
      </c>
      <c r="DE1365" s="325">
        <f t="shared" si="2731"/>
      </c>
      <c r="DF1365" s="261">
        <f t="shared" si="2731"/>
      </c>
      <c r="DG1365" s="261">
        <f t="shared" si="2731"/>
      </c>
      <c r="DH1365" s="261">
        <f t="shared" si="2731"/>
      </c>
      <c r="DI1365" s="261">
        <f t="shared" si="2731"/>
      </c>
      <c r="DJ1365" s="325">
        <f t="shared" si="2731"/>
      </c>
      <c r="DK1365" s="261">
        <f t="shared" si="2731"/>
      </c>
      <c r="DL1365" s="261">
        <f t="shared" si="2731"/>
      </c>
      <c r="DM1365" s="261">
        <f t="shared" si="2731"/>
      </c>
      <c r="DN1365" s="261">
        <f t="shared" si="2731"/>
      </c>
      <c r="DO1365" s="325">
        <f t="shared" si="2731"/>
      </c>
      <c r="DP1365" s="261">
        <f t="shared" si="2731"/>
      </c>
      <c r="DQ1365" s="261">
        <f t="shared" si="2731"/>
      </c>
      <c r="DR1365" s="261">
        <f t="shared" si="2731"/>
      </c>
      <c r="DS1365" s="261">
        <f t="shared" si="2731"/>
      </c>
      <c r="DT1365" s="325">
        <f t="shared" si="2731"/>
      </c>
      <c r="DU1365" s="261">
        <f t="shared" si="2731"/>
      </c>
      <c r="DV1365" s="261">
        <f t="shared" si="2731"/>
      </c>
      <c r="DW1365" s="261">
        <f>DW1349/DW$1350</f>
      </c>
      <c r="DX1365" s="261">
        <f t="shared" si="2731"/>
      </c>
      <c r="DY1365" s="325">
        <f t="shared" si="2731"/>
      </c>
      <c r="DZ1365" s="261">
        <f t="shared" si="2728"/>
      </c>
      <c r="EA1365" s="261">
        <f t="shared" si="2728"/>
      </c>
      <c r="EB1365" s="261">
        <f t="shared" ref="EB1365:ED1365" si="2732">EB1349/EB$1350</f>
      </c>
      <c r="EC1365" s="261">
        <f t="shared" si="2732"/>
      </c>
      <c r="ED1365" s="325">
        <f t="shared" si="2732"/>
      </c>
      <c r="EE1365" s="261">
        <f t="shared" ref="EE1365:EF1365" si="2733">EE1349/EE$1350</f>
      </c>
      <c r="EF1365" s="261">
        <f t="shared" si="2733"/>
      </c>
      <c r="EG1365" s="261">
        <f t="shared" si="2728"/>
      </c>
      <c r="EH1365" s="261">
        <f t="shared" si="2728"/>
      </c>
      <c r="EI1365" s="325">
        <f t="shared" si="2728"/>
      </c>
      <c r="EJ1365" s="325">
        <f t="shared" si="2728"/>
      </c>
      <c r="EK1365" s="325">
        <f t="shared" si="2728"/>
      </c>
      <c r="EL1365" s="325">
        <f t="shared" si="2728"/>
      </c>
      <c r="EM1365" s="325">
        <f>EM1349/EM$1350</f>
      </c>
      <c r="EN1365" s="325">
        <f>EN1349/EN$1350</f>
      </c>
      <c r="EO1365" s="325"/>
      <c r="EP1365" s="325"/>
      <c r="EQ1365" s="325"/>
      <c r="ER1365" s="325"/>
      <c r="ES1365" s="325"/>
      <c r="ET1365" s="325"/>
      <c r="EU1365" s="325"/>
      <c r="EV1365" s="325"/>
      <c r="EW1365" s="325"/>
      <c r="EX1365" s="325"/>
    </row>
    <row r="1366" spans="2:154">
      <c r="B1366" s="3360" t="s">
        <v>188</v>
      </c>
      <c r="C1366" s="3404"/>
      <c r="D1366" s="2578"/>
      <c r="E1366" s="2578"/>
      <c r="F1366" s="2578"/>
      <c r="G1366" s="2578"/>
      <c r="H1366" s="2578"/>
      <c r="I1366" s="649"/>
      <c r="J1366" s="649"/>
      <c r="K1366" s="649"/>
      <c r="L1366" s="649"/>
      <c r="M1366" s="649"/>
      <c r="N1366" s="649"/>
      <c r="O1366" s="649"/>
      <c r="P1366" s="649"/>
      <c r="Q1366" s="649"/>
      <c r="R1366" s="649"/>
      <c r="S1366" s="649"/>
      <c r="T1366" s="649"/>
      <c r="U1366" s="649"/>
      <c r="V1366" s="649"/>
      <c r="W1366" s="649"/>
      <c r="X1366" s="448"/>
      <c r="Y1366" s="649"/>
      <c r="Z1366" s="649"/>
      <c r="AA1366" s="649"/>
      <c r="AB1366" s="649"/>
      <c r="AC1366" s="448"/>
      <c r="AD1366" s="649"/>
      <c r="AE1366" s="649"/>
      <c r="AF1366" s="649"/>
      <c r="AG1366" s="649"/>
      <c r="AH1366" s="448"/>
      <c r="AI1366" s="649"/>
      <c r="AJ1366" s="649"/>
      <c r="AK1366" s="649"/>
      <c r="AL1366" s="649"/>
      <c r="AM1366" s="448"/>
      <c r="AN1366" s="649"/>
      <c r="AO1366" s="649"/>
      <c r="AP1366" s="649"/>
      <c r="AQ1366" s="649"/>
      <c r="AR1366" s="448"/>
      <c r="AS1366" s="649"/>
      <c r="AT1366" s="649"/>
      <c r="AU1366" s="649"/>
      <c r="AV1366" s="649"/>
      <c r="AW1366" s="448"/>
      <c r="AX1366" s="649"/>
      <c r="AY1366" s="649"/>
      <c r="AZ1366" s="649"/>
      <c r="BA1366" s="649"/>
      <c r="BB1366" s="448"/>
      <c r="BC1366" s="649"/>
      <c r="BD1366" s="649"/>
      <c r="BE1366" s="649"/>
      <c r="BF1366" s="649"/>
      <c r="BG1366" s="448"/>
      <c r="BH1366" s="649"/>
      <c r="BI1366" s="649"/>
      <c r="BJ1366" s="649"/>
      <c r="BK1366" s="649"/>
      <c r="BL1366" s="448"/>
      <c r="BM1366" s="649"/>
      <c r="BN1366" s="649"/>
      <c r="BO1366" s="649"/>
      <c r="BP1366" s="649"/>
      <c r="BQ1366" s="448"/>
      <c r="BR1366" s="649"/>
      <c r="BS1366" s="649"/>
      <c r="BT1366" s="649"/>
      <c r="BU1366" s="649"/>
      <c r="BV1366" s="448"/>
      <c r="BW1366" s="649"/>
      <c r="BX1366" s="649"/>
      <c r="BY1366" s="649"/>
      <c r="BZ1366" s="649"/>
      <c r="CA1366" s="448"/>
      <c r="CB1366" s="649"/>
      <c r="CC1366" s="649"/>
      <c r="CD1366" s="649"/>
      <c r="CE1366" s="649"/>
      <c r="CF1366" s="448"/>
      <c r="CG1366" s="649"/>
      <c r="CH1366" s="649"/>
      <c r="CI1366" s="649"/>
      <c r="CJ1366" s="649"/>
      <c r="CK1366" s="448"/>
      <c r="CL1366" s="649"/>
      <c r="CM1366" s="649"/>
      <c r="CN1366" s="649"/>
      <c r="CO1366" s="649"/>
      <c r="CP1366" s="448"/>
      <c r="CQ1366" s="649"/>
      <c r="CR1366" s="649"/>
      <c r="CS1366" s="649"/>
      <c r="CT1366" s="649"/>
      <c r="CU1366" s="448"/>
      <c r="CV1366" s="649"/>
      <c r="CW1366" s="649"/>
      <c r="CX1366" s="649"/>
      <c r="CY1366" s="649"/>
      <c r="CZ1366" s="448"/>
      <c r="DA1366" s="925">
        <f t="shared" ref="DA1366:DI1366" si="2734">SUM(DA1364:DA1365)</f>
      </c>
      <c r="DB1366" s="925">
        <f t="shared" si="2734"/>
      </c>
      <c r="DC1366" s="925">
        <f t="shared" si="2734"/>
      </c>
      <c r="DD1366" s="925">
        <f t="shared" si="2734"/>
      </c>
      <c r="DE1366" s="1066">
        <f t="shared" si="2734"/>
      </c>
      <c r="DF1366" s="925">
        <f t="shared" si="2734"/>
      </c>
      <c r="DG1366" s="925">
        <f t="shared" si="2734"/>
      </c>
      <c r="DH1366" s="925">
        <f t="shared" si="2734"/>
      </c>
      <c r="DI1366" s="925">
        <f t="shared" si="2734"/>
      </c>
      <c r="DJ1366" s="1066">
        <f>SUM(DJ1364:DJ1365)</f>
      </c>
      <c r="DK1366" s="925">
        <f t="shared" ref="DK1366:EL1366" si="2735">SUM(DK1364:DK1365)</f>
      </c>
      <c r="DL1366" s="925">
        <f t="shared" si="2735"/>
      </c>
      <c r="DM1366" s="925">
        <f t="shared" si="2735"/>
      </c>
      <c r="DN1366" s="925">
        <f t="shared" si="2735"/>
      </c>
      <c r="DO1366" s="1066">
        <f t="shared" si="2735"/>
      </c>
      <c r="DP1366" s="925">
        <f t="shared" si="2735"/>
      </c>
      <c r="DQ1366" s="925">
        <f t="shared" si="2735"/>
      </c>
      <c r="DR1366" s="925">
        <f t="shared" si="2735"/>
      </c>
      <c r="DS1366" s="925">
        <f t="shared" si="2735"/>
      </c>
      <c r="DT1366" s="1066">
        <f t="shared" si="2735"/>
      </c>
      <c r="DU1366" s="925">
        <f t="shared" si="2735"/>
      </c>
      <c r="DV1366" s="925">
        <f t="shared" si="2735"/>
      </c>
      <c r="DW1366" s="925">
        <f>SUM(DW1364:DW1365)</f>
      </c>
      <c r="DX1366" s="925">
        <f t="shared" si="2735"/>
      </c>
      <c r="DY1366" s="1066">
        <f t="shared" si="2735"/>
      </c>
      <c r="DZ1366" s="925">
        <f t="shared" si="2735"/>
      </c>
      <c r="EA1366" s="925">
        <f t="shared" si="2735"/>
      </c>
      <c r="EB1366" s="925">
        <f t="shared" ref="EB1366:ED1366" si="2736">SUM(EB1364:EB1365)</f>
      </c>
      <c r="EC1366" s="925">
        <f t="shared" si="2736"/>
      </c>
      <c r="ED1366" s="1066">
        <f t="shared" si="2736"/>
      </c>
      <c r="EE1366" s="925">
        <f t="shared" ref="EE1366:EF1366" si="2737">SUM(EE1364:EE1365)</f>
      </c>
      <c r="EF1366" s="925">
        <f t="shared" si="2737"/>
      </c>
      <c r="EG1366" s="925">
        <f t="shared" si="2735"/>
      </c>
      <c r="EH1366" s="925">
        <f t="shared" si="2735"/>
      </c>
      <c r="EI1366" s="1066">
        <f t="shared" si="2735"/>
      </c>
      <c r="EJ1366" s="1066">
        <f t="shared" si="2735"/>
      </c>
      <c r="EK1366" s="1066">
        <f t="shared" si="2735"/>
      </c>
      <c r="EL1366" s="1066">
        <f t="shared" si="2735"/>
      </c>
      <c r="EM1366" s="1066">
        <f>SUM(EM1364:EM1365)</f>
      </c>
      <c r="EN1366" s="1066">
        <f>SUM(EN1364:EN1365)</f>
      </c>
      <c r="EO1366" s="1060"/>
      <c r="EP1366" s="1060"/>
      <c r="EQ1366" s="1060"/>
      <c r="ER1366" s="1060"/>
      <c r="ES1366" s="1060"/>
      <c r="ET1366" s="1060"/>
      <c r="EU1366" s="1060"/>
      <c r="EV1366" s="1060"/>
      <c r="EW1366" s="1060"/>
      <c r="EX1366" s="1060"/>
    </row>
    <row r="1367" spans="2:154">
      <c r="B1367" s="343"/>
      <c r="C1367" s="1990"/>
      <c r="D1367" s="25"/>
      <c r="E1367" s="25"/>
      <c r="F1367" s="25"/>
      <c r="G1367" s="25"/>
      <c r="H1367" s="25"/>
      <c r="I1367" s="261"/>
      <c r="J1367" s="261"/>
      <c r="K1367" s="261"/>
      <c r="L1367" s="261"/>
      <c r="M1367" s="261"/>
      <c r="N1367" s="261"/>
      <c r="O1367" s="261"/>
      <c r="P1367" s="261"/>
      <c r="Q1367" s="261"/>
      <c r="R1367" s="261"/>
      <c r="S1367" s="261"/>
      <c r="T1367" s="261"/>
      <c r="U1367" s="261"/>
      <c r="V1367" s="261"/>
      <c r="W1367" s="261"/>
      <c r="X1367" s="325"/>
      <c r="Y1367" s="261"/>
      <c r="Z1367" s="261"/>
      <c r="AA1367" s="261"/>
      <c r="AB1367" s="261"/>
      <c r="AC1367" s="325"/>
      <c r="AD1367" s="261"/>
      <c r="AE1367" s="261"/>
      <c r="AF1367" s="261"/>
      <c r="AG1367" s="261"/>
      <c r="AH1367" s="325"/>
      <c r="AI1367" s="261"/>
      <c r="AJ1367" s="261"/>
      <c r="AK1367" s="261"/>
      <c r="AL1367" s="261"/>
      <c r="AM1367" s="325"/>
      <c r="AN1367" s="261"/>
      <c r="AO1367" s="261"/>
      <c r="AP1367" s="261"/>
      <c r="AQ1367" s="261"/>
      <c r="AR1367" s="325"/>
      <c r="AS1367" s="261"/>
      <c r="AT1367" s="261"/>
      <c r="AU1367" s="261"/>
      <c r="AV1367" s="261"/>
      <c r="AW1367" s="325"/>
      <c r="AX1367" s="261"/>
      <c r="AY1367" s="261"/>
      <c r="AZ1367" s="261"/>
      <c r="BA1367" s="261"/>
      <c r="BB1367" s="325"/>
      <c r="BC1367" s="261"/>
      <c r="BD1367" s="261"/>
      <c r="BE1367" s="261"/>
      <c r="BF1367" s="261"/>
      <c r="BG1367" s="325"/>
      <c r="BH1367" s="261"/>
      <c r="BI1367" s="261"/>
      <c r="BJ1367" s="261"/>
      <c r="BK1367" s="261"/>
      <c r="BL1367" s="325"/>
      <c r="BM1367" s="261"/>
      <c r="BN1367" s="261"/>
      <c r="BO1367" s="261"/>
      <c r="BP1367" s="261"/>
      <c r="BQ1367" s="325"/>
      <c r="BR1367" s="261"/>
      <c r="BS1367" s="261"/>
      <c r="BT1367" s="261"/>
      <c r="BU1367" s="261"/>
      <c r="BV1367" s="325"/>
      <c r="BW1367" s="261"/>
      <c r="BX1367" s="261"/>
      <c r="BY1367" s="261"/>
      <c r="BZ1367" s="261"/>
      <c r="CA1367" s="325"/>
      <c r="CB1367" s="261"/>
      <c r="CC1367" s="261"/>
      <c r="CD1367" s="261"/>
      <c r="CE1367" s="261"/>
      <c r="CF1367" s="325"/>
      <c r="CG1367" s="261"/>
      <c r="CH1367" s="261"/>
      <c r="CI1367" s="261"/>
      <c r="CJ1367" s="261"/>
      <c r="CK1367" s="325"/>
      <c r="CL1367" s="261"/>
      <c r="CM1367" s="261"/>
      <c r="CN1367" s="261"/>
      <c r="CO1367" s="261"/>
      <c r="CP1367" s="325"/>
      <c r="CQ1367" s="3159"/>
      <c r="CR1367" s="3159"/>
      <c r="CS1367" s="3159"/>
      <c r="CT1367" s="3159"/>
      <c r="CU1367" s="3068"/>
      <c r="CV1367" s="3159"/>
      <c r="CW1367" s="3159"/>
      <c r="CX1367" s="3159"/>
      <c r="CY1367" s="3159"/>
      <c r="CZ1367" s="3068"/>
      <c r="DA1367" s="3159"/>
      <c r="DB1367" s="3159"/>
      <c r="DC1367" s="3159"/>
      <c r="DD1367" s="3159"/>
      <c r="DE1367" s="3068"/>
      <c r="DF1367" s="3159"/>
      <c r="DG1367" s="3159"/>
      <c r="DH1367" s="3159"/>
      <c r="DI1367" s="3159"/>
      <c r="DJ1367" s="3068"/>
      <c r="DK1367" s="3159"/>
      <c r="DL1367" s="3159"/>
      <c r="DM1367" s="3159"/>
      <c r="DN1367" s="3159"/>
      <c r="DO1367" s="3068"/>
      <c r="DP1367" s="3159"/>
      <c r="DQ1367" s="3159"/>
      <c r="DR1367" s="3159"/>
      <c r="DS1367" s="3159"/>
      <c r="DT1367" s="3068"/>
      <c r="DU1367" s="3159"/>
      <c r="DV1367" s="3159"/>
      <c r="DW1367" s="3159"/>
      <c r="DX1367" s="261"/>
      <c r="DY1367" s="325"/>
      <c r="DZ1367" s="261"/>
      <c r="EA1367" s="261"/>
      <c r="EB1367" s="261"/>
      <c r="EC1367" s="261"/>
      <c r="ED1367" s="325"/>
      <c r="EE1367" s="261"/>
      <c r="EF1367" s="261"/>
      <c r="EG1367" s="261"/>
      <c r="EH1367" s="261"/>
      <c r="EI1367" s="325"/>
      <c r="EJ1367" s="325"/>
      <c r="EK1367" s="325"/>
      <c r="EL1367" s="325"/>
      <c r="EM1367" s="325"/>
      <c r="EN1367" s="325"/>
      <c r="EO1367" s="325"/>
      <c r="EP1367" s="325"/>
      <c r="EQ1367" s="325"/>
      <c r="ER1367" s="325"/>
      <c r="ES1367" s="325"/>
      <c r="ET1367" s="325"/>
      <c r="EU1367" s="325"/>
      <c r="EV1367" s="325"/>
      <c r="EW1367" s="325"/>
      <c r="EX1367" s="325"/>
    </row>
    <row r="1368" spans="2:154">
      <c r="B1368" s="3311" t="s">
        <v>854</v>
      </c>
      <c r="C1368" s="3414"/>
      <c r="D1368" s="2660"/>
      <c r="E1368" s="2660"/>
      <c r="F1368" s="2660"/>
      <c r="G1368" s="2660"/>
      <c r="H1368" s="2660"/>
      <c r="I1368" s="831"/>
      <c r="J1368" s="831"/>
      <c r="K1368" s="831"/>
      <c r="L1368" s="831"/>
      <c r="M1368" s="831"/>
      <c r="N1368" s="831"/>
      <c r="O1368" s="831"/>
      <c r="P1368" s="831"/>
      <c r="Q1368" s="831"/>
      <c r="R1368" s="831"/>
      <c r="S1368" s="831"/>
      <c r="T1368" s="831"/>
      <c r="U1368" s="831"/>
      <c r="V1368" s="831"/>
      <c r="W1368" s="831"/>
      <c r="X1368" s="2224"/>
      <c r="Y1368" s="831"/>
      <c r="Z1368" s="831"/>
      <c r="AA1368" s="831"/>
      <c r="AB1368" s="831"/>
      <c r="AC1368" s="2224"/>
      <c r="AD1368" s="831"/>
      <c r="AE1368" s="831"/>
      <c r="AF1368" s="831"/>
      <c r="AG1368" s="831"/>
      <c r="AH1368" s="2224"/>
      <c r="AI1368" s="831"/>
      <c r="AJ1368" s="831"/>
      <c r="AK1368" s="831"/>
      <c r="AL1368" s="831"/>
      <c r="AM1368" s="2224"/>
      <c r="AN1368" s="831"/>
      <c r="AO1368" s="831"/>
      <c r="AP1368" s="831"/>
      <c r="AQ1368" s="831"/>
      <c r="AR1368" s="2224"/>
      <c r="AS1368" s="831"/>
      <c r="AT1368" s="831"/>
      <c r="AU1368" s="831"/>
      <c r="AV1368" s="831"/>
      <c r="AW1368" s="2224"/>
      <c r="AX1368" s="831"/>
      <c r="AY1368" s="831"/>
      <c r="AZ1368" s="831"/>
      <c r="BA1368" s="831"/>
      <c r="BB1368" s="2224"/>
      <c r="BC1368" s="831"/>
      <c r="BD1368" s="831"/>
      <c r="BE1368" s="831"/>
      <c r="BF1368" s="831"/>
      <c r="BG1368" s="2224"/>
      <c r="BH1368" s="831"/>
      <c r="BI1368" s="831"/>
      <c r="BJ1368" s="831"/>
      <c r="BK1368" s="831"/>
      <c r="BL1368" s="2224"/>
      <c r="BM1368" s="831"/>
      <c r="BN1368" s="831"/>
      <c r="BO1368" s="831"/>
      <c r="BP1368" s="831"/>
      <c r="BQ1368" s="2224"/>
      <c r="BR1368" s="831"/>
      <c r="BS1368" s="831"/>
      <c r="BT1368" s="831"/>
      <c r="BU1368" s="831"/>
      <c r="BV1368" s="2224"/>
      <c r="BW1368" s="831"/>
      <c r="BX1368" s="831"/>
      <c r="BY1368" s="831"/>
      <c r="BZ1368" s="831"/>
      <c r="CA1368" s="2224"/>
      <c r="CB1368" s="831"/>
      <c r="CC1368" s="831"/>
      <c r="CD1368" s="831"/>
      <c r="CE1368" s="831"/>
      <c r="CF1368" s="2224"/>
      <c r="CG1368" s="831"/>
      <c r="CH1368" s="831"/>
      <c r="CI1368" s="831"/>
      <c r="CJ1368" s="831"/>
      <c r="CK1368" s="2224"/>
      <c r="CL1368" s="831"/>
      <c r="CM1368" s="831"/>
      <c r="CN1368" s="831"/>
      <c r="CO1368" s="831"/>
      <c r="CP1368" s="2224"/>
      <c r="CQ1368" s="3415"/>
      <c r="CR1368" s="3415"/>
      <c r="CS1368" s="3415"/>
      <c r="CT1368" s="3415"/>
      <c r="CU1368" s="3416"/>
      <c r="CV1368" s="3415"/>
      <c r="CW1368" s="3415"/>
      <c r="CX1368" s="3415"/>
      <c r="CY1368" s="3415"/>
      <c r="CZ1368" s="3416"/>
      <c r="DA1368" s="3415"/>
      <c r="DB1368" s="3415"/>
      <c r="DC1368" s="3415"/>
      <c r="DD1368" s="3415"/>
      <c r="DE1368" s="3416"/>
      <c r="DF1368" s="3415"/>
      <c r="DG1368" s="3415"/>
      <c r="DH1368" s="3415"/>
      <c r="DI1368" s="3415"/>
      <c r="DJ1368" s="3416"/>
      <c r="DK1368" s="3415"/>
      <c r="DL1368" s="3415"/>
      <c r="DM1368" s="3415"/>
      <c r="DN1368" s="3415"/>
      <c r="DO1368" s="3416"/>
      <c r="DP1368" s="3415"/>
      <c r="DQ1368" s="3415"/>
      <c r="DR1368" s="3415"/>
      <c r="DS1368" s="3415"/>
      <c r="DT1368" s="3416"/>
      <c r="DU1368" s="3415"/>
      <c r="DV1368" s="3415"/>
      <c r="DW1368" s="3415"/>
      <c r="DX1368" s="831"/>
      <c r="DY1368" s="2224"/>
      <c r="DZ1368" s="831"/>
      <c r="EA1368" s="333"/>
      <c r="EB1368" s="333"/>
      <c r="EC1368" s="333"/>
      <c r="ED1368" s="2224"/>
      <c r="EE1368" s="333"/>
      <c r="EF1368" s="333"/>
      <c r="EG1368" s="333"/>
      <c r="EH1368" s="333"/>
      <c r="EI1368" s="2224"/>
      <c r="EJ1368" s="2224"/>
      <c r="EK1368" s="2224"/>
      <c r="EL1368" s="2224"/>
      <c r="EM1368" s="2224"/>
      <c r="EN1368" s="2224"/>
      <c r="EO1368" s="325"/>
      <c r="EP1368" s="325"/>
      <c r="EQ1368" s="325"/>
      <c r="ER1368" s="325"/>
      <c r="ES1368" s="325"/>
      <c r="ET1368" s="325"/>
      <c r="EU1368" s="325"/>
      <c r="EV1368" s="325"/>
      <c r="EW1368" s="325"/>
      <c r="EX1368" s="325"/>
    </row>
    <row r="1369" spans="2:154" outlineLevel="1">
      <c r="B1369" s="3312"/>
      <c r="C1369" s="1990"/>
      <c r="D1369" s="25"/>
      <c r="E1369" s="25"/>
      <c r="F1369" s="25"/>
      <c r="G1369" s="25"/>
      <c r="H1369" s="25"/>
      <c r="I1369" s="261"/>
      <c r="J1369" s="261"/>
      <c r="K1369" s="261"/>
      <c r="L1369" s="261"/>
      <c r="M1369" s="261"/>
      <c r="N1369" s="261"/>
      <c r="O1369" s="261"/>
      <c r="P1369" s="261"/>
      <c r="Q1369" s="261"/>
      <c r="R1369" s="261"/>
      <c r="S1369" s="261"/>
      <c r="T1369" s="261"/>
      <c r="U1369" s="261"/>
      <c r="V1369" s="261"/>
      <c r="W1369" s="261"/>
      <c r="X1369" s="325"/>
      <c r="Y1369" s="261"/>
      <c r="Z1369" s="261"/>
      <c r="AA1369" s="261"/>
      <c r="AB1369" s="261"/>
      <c r="AC1369" s="325"/>
      <c r="AD1369" s="261"/>
      <c r="AE1369" s="261"/>
      <c r="AF1369" s="261"/>
      <c r="AG1369" s="261"/>
      <c r="AH1369" s="325"/>
      <c r="AI1369" s="261"/>
      <c r="AJ1369" s="261"/>
      <c r="AK1369" s="261"/>
      <c r="AL1369" s="261"/>
      <c r="AM1369" s="325"/>
      <c r="AN1369" s="261"/>
      <c r="AO1369" s="261"/>
      <c r="AP1369" s="261"/>
      <c r="AQ1369" s="261"/>
      <c r="AR1369" s="325"/>
      <c r="AS1369" s="261"/>
      <c r="AT1369" s="261"/>
      <c r="AU1369" s="261"/>
      <c r="AV1369" s="261"/>
      <c r="AW1369" s="325"/>
      <c r="AX1369" s="261"/>
      <c r="AY1369" s="261"/>
      <c r="AZ1369" s="261"/>
      <c r="BA1369" s="261"/>
      <c r="BB1369" s="325"/>
      <c r="BC1369" s="261"/>
      <c r="BD1369" s="261"/>
      <c r="BE1369" s="261"/>
      <c r="BF1369" s="261"/>
      <c r="BG1369" s="325"/>
      <c r="BH1369" s="261"/>
      <c r="BI1369" s="261"/>
      <c r="BJ1369" s="261"/>
      <c r="BK1369" s="261"/>
      <c r="BL1369" s="325"/>
      <c r="BM1369" s="261"/>
      <c r="BN1369" s="261"/>
      <c r="BO1369" s="261"/>
      <c r="BP1369" s="261"/>
      <c r="BQ1369" s="325"/>
      <c r="BR1369" s="261"/>
      <c r="BS1369" s="261"/>
      <c r="BT1369" s="261"/>
      <c r="BU1369" s="261"/>
      <c r="BV1369" s="325"/>
      <c r="BW1369" s="261"/>
      <c r="BX1369" s="261"/>
      <c r="BY1369" s="261"/>
      <c r="BZ1369" s="261"/>
      <c r="CA1369" s="325"/>
      <c r="CB1369" s="261"/>
      <c r="CC1369" s="261"/>
      <c r="CD1369" s="261"/>
      <c r="CE1369" s="261"/>
      <c r="CF1369" s="325"/>
      <c r="CG1369" s="261"/>
      <c r="CH1369" s="261"/>
      <c r="CI1369" s="261"/>
      <c r="CJ1369" s="261"/>
      <c r="CK1369" s="325"/>
      <c r="CL1369" s="261"/>
      <c r="CM1369" s="261"/>
      <c r="CN1369" s="261"/>
      <c r="CO1369" s="261"/>
      <c r="CP1369" s="325"/>
      <c r="CQ1369" s="261"/>
      <c r="CR1369" s="261"/>
      <c r="CS1369" s="261"/>
      <c r="CT1369" s="261"/>
      <c r="CU1369" s="325"/>
      <c r="CV1369" s="261"/>
      <c r="CW1369" s="261"/>
      <c r="CX1369" s="261"/>
      <c r="CY1369" s="261"/>
      <c r="CZ1369" s="325"/>
      <c r="DA1369" s="946"/>
      <c r="DB1369" s="946"/>
      <c r="DC1369" s="946"/>
      <c r="DD1369" s="946"/>
      <c r="DE1369" s="2724"/>
      <c r="DF1369" s="946"/>
      <c r="DG1369" s="946"/>
      <c r="DH1369" s="946"/>
      <c r="DI1369" s="946"/>
      <c r="DJ1369" s="2724"/>
      <c r="DK1369" s="946"/>
      <c r="DL1369" s="946"/>
      <c r="DM1369" s="946"/>
      <c r="DN1369" s="946"/>
      <c r="DO1369" s="2724"/>
      <c r="DP1369" s="3160"/>
      <c r="DQ1369" s="3160"/>
      <c r="DR1369" s="3160"/>
      <c r="DS1369" s="3160"/>
      <c r="DT1369" s="3032"/>
      <c r="DU1369" s="3161"/>
      <c r="DV1369" s="3161"/>
      <c r="DW1369" s="3160"/>
      <c r="DX1369" s="946"/>
      <c r="DY1369" s="2724"/>
      <c r="DZ1369" s="946"/>
      <c r="EA1369" s="946"/>
      <c r="EB1369" s="946"/>
      <c r="EC1369" s="946"/>
      <c r="ED1369" s="2724"/>
      <c r="EE1369" s="946"/>
      <c r="EF1369" s="946"/>
      <c r="EG1369" s="946"/>
      <c r="EH1369" s="1098"/>
      <c r="EI1369" s="946"/>
      <c r="EJ1369" s="2724"/>
      <c r="EK1369" s="946"/>
      <c r="EL1369" s="325"/>
      <c r="EM1369" s="325"/>
      <c r="EN1369" s="325"/>
      <c r="EO1369" s="325"/>
      <c r="EP1369" s="325"/>
      <c r="EQ1369" s="325"/>
      <c r="ER1369" s="325"/>
      <c r="ES1369" s="325"/>
      <c r="ET1369" s="325"/>
      <c r="EU1369" s="325"/>
      <c r="EV1369" s="325"/>
      <c r="EW1369" s="325"/>
      <c r="EX1369" s="325"/>
    </row>
    <row r="1370" spans="2:154" outlineLevel="1">
      <c r="B1370" s="306" t="s">
        <v>855</v>
      </c>
      <c r="C1370" s="1990"/>
      <c r="D1370" s="25"/>
      <c r="E1370" s="25"/>
      <c r="F1370" s="25"/>
      <c r="G1370" s="25"/>
      <c r="H1370" s="25"/>
      <c r="I1370" s="261"/>
      <c r="J1370" s="261"/>
      <c r="K1370" s="261"/>
      <c r="L1370" s="261"/>
      <c r="M1370" s="261"/>
      <c r="N1370" s="261"/>
      <c r="O1370" s="261"/>
      <c r="P1370" s="261"/>
      <c r="Q1370" s="261"/>
      <c r="R1370" s="261"/>
      <c r="S1370" s="261"/>
      <c r="T1370" s="261"/>
      <c r="U1370" s="261"/>
      <c r="V1370" s="261"/>
      <c r="W1370" s="261"/>
      <c r="X1370" s="325"/>
      <c r="Y1370" s="261"/>
      <c r="Z1370" s="261"/>
      <c r="AA1370" s="261"/>
      <c r="AB1370" s="261"/>
      <c r="AC1370" s="325"/>
      <c r="AD1370" s="261"/>
      <c r="AE1370" s="261"/>
      <c r="AF1370" s="261"/>
      <c r="AG1370" s="261"/>
      <c r="AH1370" s="325"/>
      <c r="AI1370" s="261"/>
      <c r="AJ1370" s="261"/>
      <c r="AK1370" s="261"/>
      <c r="AL1370" s="261"/>
      <c r="AM1370" s="325"/>
      <c r="AN1370" s="261"/>
      <c r="AO1370" s="261"/>
      <c r="AP1370" s="261"/>
      <c r="AQ1370" s="261"/>
      <c r="AR1370" s="325"/>
      <c r="AS1370" s="261"/>
      <c r="AT1370" s="261"/>
      <c r="AU1370" s="261"/>
      <c r="AV1370" s="261"/>
      <c r="AW1370" s="325"/>
      <c r="AX1370" s="261"/>
      <c r="AY1370" s="261"/>
      <c r="AZ1370" s="261"/>
      <c r="BA1370" s="261"/>
      <c r="BB1370" s="325"/>
      <c r="BC1370" s="261"/>
      <c r="BD1370" s="261"/>
      <c r="BE1370" s="261"/>
      <c r="BF1370" s="261"/>
      <c r="BG1370" s="325"/>
      <c r="BH1370" s="261"/>
      <c r="BI1370" s="261"/>
      <c r="BJ1370" s="261"/>
      <c r="BK1370" s="261"/>
      <c r="BL1370" s="325"/>
      <c r="BM1370" s="261"/>
      <c r="BN1370" s="261"/>
      <c r="BO1370" s="261"/>
      <c r="BP1370" s="261"/>
      <c r="BQ1370" s="325"/>
      <c r="BR1370" s="261"/>
      <c r="BS1370" s="261"/>
      <c r="BT1370" s="261"/>
      <c r="BU1370" s="261"/>
      <c r="BV1370" s="325"/>
      <c r="BW1370" s="261"/>
      <c r="BX1370" s="261"/>
      <c r="BY1370" s="261"/>
      <c r="BZ1370" s="261"/>
      <c r="CA1370" s="325"/>
      <c r="CB1370" s="261"/>
      <c r="CC1370" s="261"/>
      <c r="CD1370" s="261"/>
      <c r="CE1370" s="261"/>
      <c r="CF1370" s="325"/>
      <c r="CG1370" s="261"/>
      <c r="CH1370" s="261"/>
      <c r="CI1370" s="261"/>
      <c r="CJ1370" s="261"/>
      <c r="CK1370" s="325"/>
      <c r="CL1370" s="261"/>
      <c r="CM1370" s="261"/>
      <c r="CN1370" s="261"/>
      <c r="CO1370" s="261"/>
      <c r="CP1370" s="325"/>
      <c r="CQ1370" s="261"/>
      <c r="CR1370" s="261"/>
      <c r="CS1370" s="261"/>
      <c r="CT1370" s="261"/>
      <c r="CU1370" s="325"/>
      <c r="CV1370" s="261"/>
      <c r="CW1370" s="261"/>
      <c r="CX1370" s="261"/>
      <c r="CY1370" s="261"/>
      <c r="CZ1370" s="325"/>
      <c r="DA1370" s="261">
        <f t="shared" ref="DA1370:DW1370" si="2738">DA1354-DA1355</f>
      </c>
      <c r="DB1370" s="261">
        <f t="shared" si="2738"/>
      </c>
      <c r="DC1370" s="261">
        <f t="shared" si="2738"/>
      </c>
      <c r="DD1370" s="261">
        <f t="shared" si="2738"/>
      </c>
      <c r="DE1370" s="325">
        <f t="shared" si="2738"/>
      </c>
      <c r="DF1370" s="261">
        <f t="shared" si="2738"/>
      </c>
      <c r="DG1370" s="261">
        <f t="shared" si="2738"/>
      </c>
      <c r="DH1370" s="261">
        <f t="shared" si="2738"/>
      </c>
      <c r="DI1370" s="261">
        <f t="shared" si="2738"/>
      </c>
      <c r="DJ1370" s="325">
        <f t="shared" si="2738"/>
      </c>
      <c r="DK1370" s="261">
        <f t="shared" si="2738"/>
      </c>
      <c r="DL1370" s="261">
        <f t="shared" si="2738"/>
      </c>
      <c r="DM1370" s="261">
        <f t="shared" si="2738"/>
      </c>
      <c r="DN1370" s="261">
        <f t="shared" si="2738"/>
      </c>
      <c r="DO1370" s="325">
        <f t="shared" si="2738"/>
      </c>
      <c r="DP1370" s="261">
        <f t="shared" si="2738"/>
      </c>
      <c r="DQ1370" s="261">
        <f t="shared" si="2738"/>
      </c>
      <c r="DR1370" s="261">
        <f t="shared" si="2738"/>
      </c>
      <c r="DS1370" s="261">
        <f t="shared" si="2738"/>
      </c>
      <c r="DT1370" s="325">
        <f t="shared" si="2738"/>
      </c>
      <c r="DU1370" s="261">
        <f t="shared" si="2738"/>
      </c>
      <c r="DV1370" s="261">
        <f t="shared" si="2738"/>
      </c>
      <c r="DW1370" s="261">
        <f t="shared" si="2738"/>
      </c>
      <c r="DX1370" s="261">
        <f t="shared" ref="DX1370" si="2739">DX1406</f>
      </c>
      <c r="DY1370" s="325">
        <f>SUMPRODUCT(DU$1370:DX$1370,DP1349:DS1349)/DT1349</f>
      </c>
      <c r="DZ1370" s="261">
        <f>+DZ1354-DZ1355</f>
      </c>
      <c r="EA1370" s="261">
        <f>+EA1354-EA1355</f>
      </c>
      <c r="EB1370" s="261">
        <f>+EB1354-EB1355</f>
      </c>
      <c r="EC1370" s="261">
        <f t="shared" ref="EC1370" si="2740">EC1406</f>
      </c>
      <c r="ED1370" s="325">
        <f>SUMPRODUCT(DZ$1370:EC$1370,DU1349:DX1349)/DY1349</f>
      </c>
      <c r="EE1370" s="261">
        <f t="shared" ref="EE1370:EG1370" si="2741">EE1406</f>
      </c>
      <c r="EF1370" s="261">
        <f t="shared" si="2741"/>
      </c>
      <c r="EG1370" s="261">
        <f t="shared" si="2741"/>
      </c>
      <c r="EH1370" s="992">
        <f>EH1406</f>
      </c>
      <c r="EI1370" s="261">
        <f>SUMPRODUCT(EE$1370:EH$1370,DZ1349:EC1349)/ED1349</f>
      </c>
      <c r="EJ1370" s="325"/>
      <c r="EK1370" s="261"/>
      <c r="EL1370" s="325"/>
      <c r="EM1370" s="325"/>
      <c r="EN1370" s="325"/>
      <c r="EO1370" s="325"/>
      <c r="EP1370" s="325"/>
      <c r="EQ1370" s="325"/>
      <c r="ER1370" s="325"/>
      <c r="ES1370" s="325"/>
      <c r="ET1370" s="325"/>
      <c r="EU1370" s="325"/>
      <c r="EV1370" s="325"/>
      <c r="EW1370" s="325"/>
      <c r="EX1370" s="325"/>
    </row>
    <row r="1371" spans="2:154" outlineLevel="1">
      <c r="B1371" s="3312"/>
      <c r="C1371" s="1990"/>
      <c r="D1371" s="25"/>
      <c r="E1371" s="25"/>
      <c r="F1371" s="25"/>
      <c r="G1371" s="25"/>
      <c r="H1371" s="25"/>
      <c r="I1371" s="261"/>
      <c r="J1371" s="261"/>
      <c r="K1371" s="261"/>
      <c r="L1371" s="261"/>
      <c r="M1371" s="261"/>
      <c r="N1371" s="261"/>
      <c r="O1371" s="261"/>
      <c r="P1371" s="261"/>
      <c r="Q1371" s="261"/>
      <c r="R1371" s="261"/>
      <c r="S1371" s="261"/>
      <c r="T1371" s="261"/>
      <c r="U1371" s="261"/>
      <c r="V1371" s="261"/>
      <c r="W1371" s="261"/>
      <c r="X1371" s="325"/>
      <c r="Y1371" s="261"/>
      <c r="Z1371" s="261"/>
      <c r="AA1371" s="261"/>
      <c r="AB1371" s="261"/>
      <c r="AC1371" s="325"/>
      <c r="AD1371" s="261"/>
      <c r="AE1371" s="261"/>
      <c r="AF1371" s="261"/>
      <c r="AG1371" s="261"/>
      <c r="AH1371" s="325"/>
      <c r="AI1371" s="261"/>
      <c r="AJ1371" s="261"/>
      <c r="AK1371" s="261"/>
      <c r="AL1371" s="261"/>
      <c r="AM1371" s="325"/>
      <c r="AN1371" s="261"/>
      <c r="AO1371" s="261"/>
      <c r="AP1371" s="261"/>
      <c r="AQ1371" s="261"/>
      <c r="AR1371" s="325"/>
      <c r="AS1371" s="261"/>
      <c r="AT1371" s="261"/>
      <c r="AU1371" s="261"/>
      <c r="AV1371" s="261"/>
      <c r="AW1371" s="325"/>
      <c r="AX1371" s="261"/>
      <c r="AY1371" s="261"/>
      <c r="AZ1371" s="261"/>
      <c r="BA1371" s="261"/>
      <c r="BB1371" s="325"/>
      <c r="BC1371" s="261"/>
      <c r="BD1371" s="261"/>
      <c r="BE1371" s="261"/>
      <c r="BF1371" s="261"/>
      <c r="BG1371" s="325"/>
      <c r="BH1371" s="261"/>
      <c r="BI1371" s="261"/>
      <c r="BJ1371" s="261"/>
      <c r="BK1371" s="261"/>
      <c r="BL1371" s="325"/>
      <c r="BM1371" s="261"/>
      <c r="BN1371" s="261"/>
      <c r="BO1371" s="261"/>
      <c r="BP1371" s="261"/>
      <c r="BQ1371" s="325"/>
      <c r="BR1371" s="261"/>
      <c r="BS1371" s="261"/>
      <c r="BT1371" s="261"/>
      <c r="BU1371" s="261"/>
      <c r="BV1371" s="325"/>
      <c r="BW1371" s="261"/>
      <c r="BX1371" s="261"/>
      <c r="BY1371" s="261"/>
      <c r="BZ1371" s="261"/>
      <c r="CA1371" s="325"/>
      <c r="CB1371" s="261"/>
      <c r="CC1371" s="261"/>
      <c r="CD1371" s="261"/>
      <c r="CE1371" s="261"/>
      <c r="CF1371" s="325"/>
      <c r="CG1371" s="261"/>
      <c r="CH1371" s="261"/>
      <c r="CI1371" s="261"/>
      <c r="CJ1371" s="261"/>
      <c r="CK1371" s="325"/>
      <c r="CL1371" s="261"/>
      <c r="CM1371" s="261"/>
      <c r="CN1371" s="261"/>
      <c r="CO1371" s="261"/>
      <c r="CP1371" s="325"/>
      <c r="CQ1371" s="261"/>
      <c r="CR1371" s="261"/>
      <c r="CS1371" s="261"/>
      <c r="CT1371" s="261"/>
      <c r="CU1371" s="325"/>
      <c r="CV1371" s="261"/>
      <c r="CW1371" s="261"/>
      <c r="CX1371" s="261"/>
      <c r="CY1371" s="261"/>
      <c r="CZ1371" s="325"/>
      <c r="DA1371" s="261"/>
      <c r="DB1371" s="261"/>
      <c r="DC1371" s="261"/>
      <c r="DD1371" s="261"/>
      <c r="DE1371" s="325"/>
      <c r="DF1371" s="261"/>
      <c r="DG1371" s="261"/>
      <c r="DH1371" s="261"/>
      <c r="DI1371" s="3162"/>
      <c r="DJ1371" s="325"/>
      <c r="DK1371" s="261"/>
      <c r="DL1371" s="261"/>
      <c r="DM1371" s="261"/>
      <c r="DN1371" s="261"/>
      <c r="DO1371" s="325"/>
      <c r="DP1371" s="261"/>
      <c r="DQ1371" s="261"/>
      <c r="DR1371" s="261"/>
      <c r="DS1371" s="261"/>
      <c r="DT1371" s="325"/>
      <c r="DU1371" s="261"/>
      <c r="DV1371" s="261"/>
      <c r="DW1371" s="261"/>
      <c r="DX1371" s="261"/>
      <c r="DY1371" s="325"/>
      <c r="DZ1371" s="261"/>
      <c r="EA1371" s="261"/>
      <c r="EB1371" s="261"/>
      <c r="EC1371" s="261"/>
      <c r="ED1371" s="325"/>
      <c r="EE1371" s="261"/>
      <c r="EF1371" s="261"/>
      <c r="EG1371" s="261"/>
      <c r="EH1371" s="992"/>
      <c r="EI1371" s="261"/>
      <c r="EJ1371" s="325"/>
      <c r="EK1371" s="992"/>
      <c r="EL1371" s="325"/>
      <c r="EM1371" s="325"/>
      <c r="EN1371" s="325"/>
      <c r="EO1371" s="325"/>
      <c r="EP1371" s="325"/>
      <c r="EQ1371" s="325"/>
      <c r="ER1371" s="325"/>
      <c r="ES1371" s="325"/>
      <c r="ET1371" s="325"/>
      <c r="EU1371" s="325"/>
      <c r="EV1371" s="325"/>
      <c r="EW1371" s="325"/>
      <c r="EX1371" s="325"/>
    </row>
    <row r="1372" spans="2:154" outlineLevel="1">
      <c r="B1372" s="306" t="s">
        <v>856</v>
      </c>
      <c r="C1372" s="1990"/>
      <c r="D1372" s="25"/>
      <c r="E1372" s="25"/>
      <c r="F1372" s="25"/>
      <c r="G1372" s="25"/>
      <c r="H1372" s="25"/>
      <c r="I1372" s="261"/>
      <c r="J1372" s="261"/>
      <c r="K1372" s="261"/>
      <c r="L1372" s="261"/>
      <c r="M1372" s="261"/>
      <c r="N1372" s="261"/>
      <c r="O1372" s="261"/>
      <c r="P1372" s="261"/>
      <c r="Q1372" s="261"/>
      <c r="R1372" s="261"/>
      <c r="S1372" s="261"/>
      <c r="T1372" s="261"/>
      <c r="U1372" s="261"/>
      <c r="V1372" s="261"/>
      <c r="W1372" s="261"/>
      <c r="X1372" s="325"/>
      <c r="Y1372" s="261"/>
      <c r="Z1372" s="261"/>
      <c r="AA1372" s="261"/>
      <c r="AB1372" s="261"/>
      <c r="AC1372" s="325"/>
      <c r="AD1372" s="261"/>
      <c r="AE1372" s="261"/>
      <c r="AF1372" s="261"/>
      <c r="AG1372" s="261"/>
      <c r="AH1372" s="325"/>
      <c r="AI1372" s="261"/>
      <c r="AJ1372" s="261"/>
      <c r="AK1372" s="261"/>
      <c r="AL1372" s="261"/>
      <c r="AM1372" s="325"/>
      <c r="AN1372" s="261"/>
      <c r="AO1372" s="261"/>
      <c r="AP1372" s="261"/>
      <c r="AQ1372" s="261"/>
      <c r="AR1372" s="325"/>
      <c r="AS1372" s="261"/>
      <c r="AT1372" s="261"/>
      <c r="AU1372" s="261"/>
      <c r="AV1372" s="261"/>
      <c r="AW1372" s="325"/>
      <c r="AX1372" s="261"/>
      <c r="AY1372" s="261"/>
      <c r="AZ1372" s="261"/>
      <c r="BA1372" s="261"/>
      <c r="BB1372" s="325"/>
      <c r="BC1372" s="261"/>
      <c r="BD1372" s="261"/>
      <c r="BE1372" s="261"/>
      <c r="BF1372" s="261"/>
      <c r="BG1372" s="325"/>
      <c r="BH1372" s="261"/>
      <c r="BI1372" s="261"/>
      <c r="BJ1372" s="261"/>
      <c r="BK1372" s="261"/>
      <c r="BL1372" s="325"/>
      <c r="BM1372" s="261"/>
      <c r="BN1372" s="261"/>
      <c r="BO1372" s="261"/>
      <c r="BP1372" s="261"/>
      <c r="BQ1372" s="325"/>
      <c r="BR1372" s="261"/>
      <c r="BS1372" s="261"/>
      <c r="BT1372" s="261"/>
      <c r="BU1372" s="261"/>
      <c r="BV1372" s="325"/>
      <c r="BW1372" s="261"/>
      <c r="BX1372" s="261"/>
      <c r="BY1372" s="261"/>
      <c r="BZ1372" s="261"/>
      <c r="CA1372" s="325"/>
      <c r="CB1372" s="261"/>
      <c r="CC1372" s="261"/>
      <c r="CD1372" s="261"/>
      <c r="CE1372" s="261"/>
      <c r="CF1372" s="325"/>
      <c r="CG1372" s="261"/>
      <c r="CH1372" s="261"/>
      <c r="CI1372" s="261"/>
      <c r="CJ1372" s="261"/>
      <c r="CK1372" s="325"/>
      <c r="CL1372" s="261"/>
      <c r="CM1372" s="261"/>
      <c r="CN1372" s="261"/>
      <c r="CO1372" s="261"/>
      <c r="CP1372" s="325"/>
      <c r="CQ1372" s="261"/>
      <c r="CR1372" s="261"/>
      <c r="CS1372" s="261"/>
      <c r="CT1372" s="261"/>
      <c r="CU1372" s="325"/>
      <c r="CV1372" s="261"/>
      <c r="CW1372" s="261"/>
      <c r="CX1372" s="261"/>
      <c r="CY1372" s="261"/>
      <c r="CZ1372" s="325"/>
      <c r="DA1372" s="261"/>
      <c r="DB1372" s="261"/>
      <c r="DC1372" s="261"/>
      <c r="DD1372" s="261"/>
      <c r="DE1372" s="325"/>
      <c r="DF1372" s="261"/>
      <c r="DG1372" s="261"/>
      <c r="DH1372" s="261"/>
      <c r="DI1372" s="3162"/>
      <c r="DJ1372" s="325"/>
      <c r="DK1372" s="261"/>
      <c r="DL1372" s="261"/>
      <c r="DM1372" s="261"/>
      <c r="DN1372" s="261"/>
      <c r="DO1372" s="325"/>
      <c r="DP1372" s="261"/>
      <c r="DQ1372" s="261"/>
      <c r="DR1372" s="261"/>
      <c r="DS1372" s="261"/>
      <c r="DT1372" s="325"/>
      <c r="DU1372" s="261"/>
      <c r="DV1372" s="261"/>
      <c r="DW1372" s="261"/>
      <c r="DX1372" s="261"/>
      <c r="DY1372" s="325"/>
      <c r="DZ1372" s="261"/>
      <c r="EA1372" s="261"/>
      <c r="EB1372" s="261"/>
      <c r="EC1372" s="261"/>
      <c r="ED1372" s="325"/>
      <c r="EE1372" s="261"/>
      <c r="EF1372" s="261"/>
      <c r="EG1372" s="261"/>
      <c r="EH1372" s="992"/>
      <c r="EI1372" s="261"/>
      <c r="EJ1372" s="325"/>
      <c r="EK1372" s="992"/>
      <c r="EL1372" s="325"/>
      <c r="EM1372" s="325"/>
      <c r="EN1372" s="325"/>
      <c r="EO1372" s="325"/>
      <c r="EP1372" s="325"/>
      <c r="EQ1372" s="325"/>
      <c r="ER1372" s="325"/>
      <c r="ES1372" s="325"/>
      <c r="ET1372" s="325"/>
      <c r="EU1372" s="325"/>
      <c r="EV1372" s="325"/>
      <c r="EW1372" s="325"/>
      <c r="EX1372" s="325"/>
    </row>
    <row r="1373" spans="2:154" outlineLevel="1">
      <c r="B1373" s="2724" t="s">
        <v>857</v>
      </c>
      <c r="C1373" s="1990"/>
      <c r="D1373" s="25"/>
      <c r="E1373" s="25"/>
      <c r="F1373" s="25"/>
      <c r="G1373" s="25"/>
      <c r="H1373" s="25"/>
      <c r="I1373" s="261"/>
      <c r="J1373" s="261"/>
      <c r="K1373" s="261"/>
      <c r="L1373" s="261"/>
      <c r="M1373" s="261"/>
      <c r="N1373" s="261"/>
      <c r="O1373" s="261"/>
      <c r="P1373" s="261"/>
      <c r="Q1373" s="261"/>
      <c r="R1373" s="261"/>
      <c r="S1373" s="261"/>
      <c r="T1373" s="261"/>
      <c r="U1373" s="261"/>
      <c r="V1373" s="261"/>
      <c r="W1373" s="261"/>
      <c r="X1373" s="325"/>
      <c r="Y1373" s="261"/>
      <c r="Z1373" s="261"/>
      <c r="AA1373" s="261"/>
      <c r="AB1373" s="261"/>
      <c r="AC1373" s="325"/>
      <c r="AD1373" s="261"/>
      <c r="AE1373" s="261"/>
      <c r="AF1373" s="261"/>
      <c r="AG1373" s="261"/>
      <c r="AH1373" s="325"/>
      <c r="AI1373" s="261"/>
      <c r="AJ1373" s="261"/>
      <c r="AK1373" s="261"/>
      <c r="AL1373" s="261"/>
      <c r="AM1373" s="325"/>
      <c r="AN1373" s="261"/>
      <c r="AO1373" s="261"/>
      <c r="AP1373" s="261"/>
      <c r="AQ1373" s="261"/>
      <c r="AR1373" s="325"/>
      <c r="AS1373" s="261"/>
      <c r="AT1373" s="261"/>
      <c r="AU1373" s="261"/>
      <c r="AV1373" s="261"/>
      <c r="AW1373" s="325"/>
      <c r="AX1373" s="261"/>
      <c r="AY1373" s="261"/>
      <c r="AZ1373" s="261"/>
      <c r="BA1373" s="261"/>
      <c r="BB1373" s="325"/>
      <c r="BC1373" s="261"/>
      <c r="BD1373" s="261"/>
      <c r="BE1373" s="261"/>
      <c r="BF1373" s="261"/>
      <c r="BG1373" s="325"/>
      <c r="BH1373" s="261"/>
      <c r="BI1373" s="261"/>
      <c r="BJ1373" s="261"/>
      <c r="BK1373" s="261"/>
      <c r="BL1373" s="325"/>
      <c r="BM1373" s="261"/>
      <c r="BN1373" s="261"/>
      <c r="BO1373" s="261"/>
      <c r="BP1373" s="261"/>
      <c r="BQ1373" s="325"/>
      <c r="BR1373" s="261"/>
      <c r="BS1373" s="261"/>
      <c r="BT1373" s="261"/>
      <c r="BU1373" s="261"/>
      <c r="BV1373" s="325"/>
      <c r="BW1373" s="261"/>
      <c r="BX1373" s="261"/>
      <c r="BY1373" s="261"/>
      <c r="BZ1373" s="261"/>
      <c r="CA1373" s="325"/>
      <c r="CB1373" s="261"/>
      <c r="CC1373" s="261"/>
      <c r="CD1373" s="261"/>
      <c r="CE1373" s="261"/>
      <c r="CF1373" s="325"/>
      <c r="CG1373" s="261"/>
      <c r="CH1373" s="261"/>
      <c r="CI1373" s="261"/>
      <c r="CJ1373" s="261"/>
      <c r="CK1373" s="325"/>
      <c r="CL1373" s="261"/>
      <c r="CM1373" s="261"/>
      <c r="CN1373" s="261"/>
      <c r="CO1373" s="261"/>
      <c r="CP1373" s="325"/>
      <c r="CQ1373" s="261"/>
      <c r="CR1373" s="261"/>
      <c r="CS1373" s="261"/>
      <c r="CT1373" s="261"/>
      <c r="CU1373" s="325"/>
      <c r="CV1373" s="261"/>
      <c r="CW1373" s="261"/>
      <c r="CX1373" s="261"/>
      <c r="CY1373" s="261"/>
      <c r="CZ1373" s="325"/>
      <c r="DA1373" s="261"/>
      <c r="DB1373" s="261"/>
      <c r="DC1373" s="261"/>
      <c r="DD1373" s="261"/>
      <c r="DE1373" s="325"/>
      <c r="DF1373" s="261">
        <f t="shared" ref="DF1373:DX1373" si="2742">DF1407</f>
      </c>
      <c r="DG1373" s="261">
        <f t="shared" si="2742"/>
      </c>
      <c r="DH1373" s="261">
        <f t="shared" si="2742"/>
      </c>
      <c r="DI1373" s="261">
        <f t="shared" si="2742"/>
      </c>
      <c r="DJ1373" s="325">
        <f t="shared" si="2742"/>
      </c>
      <c r="DK1373" s="261">
        <f t="shared" si="2742"/>
      </c>
      <c r="DL1373" s="261">
        <f t="shared" si="2742"/>
      </c>
      <c r="DM1373" s="261">
        <f t="shared" si="2742"/>
      </c>
      <c r="DN1373" s="261">
        <f t="shared" si="2742"/>
      </c>
      <c r="DO1373" s="325">
        <f t="shared" si="2742"/>
      </c>
      <c r="DP1373" s="261">
        <f t="shared" si="2742"/>
      </c>
      <c r="DQ1373" s="261">
        <f t="shared" si="2742"/>
      </c>
      <c r="DR1373" s="261">
        <f t="shared" si="2742"/>
      </c>
      <c r="DS1373" s="261">
        <f t="shared" si="2742"/>
      </c>
      <c r="DT1373" s="325">
        <f t="shared" si="2742"/>
      </c>
      <c r="DU1373" s="261">
        <f t="shared" si="2742"/>
      </c>
      <c r="DV1373" s="261">
        <f t="shared" si="2742"/>
      </c>
      <c r="DW1373" s="261">
        <f>DW1407</f>
      </c>
      <c r="DX1373" s="261">
        <f t="shared" si="2742"/>
      </c>
      <c r="DY1373" s="325">
        <f>DY$1370*(DT1349/DT1350)</f>
      </c>
      <c r="DZ1373" s="261">
        <f t="shared" ref="DZ1373:EC1373" si="2743">DZ1407</f>
      </c>
      <c r="EA1373" s="261">
        <f t="shared" si="2743"/>
      </c>
      <c r="EB1373" s="261">
        <f t="shared" si="2743"/>
      </c>
      <c r="EC1373" s="261">
        <f t="shared" si="2743"/>
      </c>
      <c r="ED1373" s="325">
        <f>ED$1370*(DY1349/DY1350)</f>
      </c>
      <c r="EE1373" s="261">
        <f t="shared" ref="EE1373:EI1373" si="2744">EE1407</f>
      </c>
      <c r="EF1373" s="261">
        <f t="shared" si="2744"/>
      </c>
      <c r="EG1373" s="261">
        <f t="shared" si="2744"/>
      </c>
      <c r="EH1373" s="992">
        <f t="shared" si="2744"/>
      </c>
      <c r="EI1373" s="261">
        <f t="shared" si="2744"/>
      </c>
      <c r="EJ1373" s="325" t="e">
        <f>IF(#REF!=1,EJ1407,0)</f>
      </c>
      <c r="EK1373" s="261" t="e">
        <f>IF(#REF!=1,EK1407,0)</f>
      </c>
      <c r="EL1373" s="325"/>
      <c r="EM1373" s="325"/>
      <c r="EN1373" s="325"/>
      <c r="EO1373" s="325"/>
      <c r="EP1373" s="325"/>
      <c r="EQ1373" s="325"/>
      <c r="ER1373" s="325"/>
      <c r="ES1373" s="325"/>
      <c r="ET1373" s="325"/>
      <c r="EU1373" s="325"/>
      <c r="EV1373" s="325"/>
      <c r="EW1373" s="325"/>
      <c r="EX1373" s="325"/>
    </row>
    <row r="1374" spans="2:154" outlineLevel="1">
      <c r="B1374" s="2724" t="s">
        <v>858</v>
      </c>
      <c r="C1374" s="1990"/>
      <c r="D1374" s="25"/>
      <c r="E1374" s="25"/>
      <c r="F1374" s="25"/>
      <c r="G1374" s="25"/>
      <c r="H1374" s="25"/>
      <c r="I1374" s="261"/>
      <c r="J1374" s="261"/>
      <c r="K1374" s="261"/>
      <c r="L1374" s="261"/>
      <c r="M1374" s="261"/>
      <c r="N1374" s="261"/>
      <c r="O1374" s="261"/>
      <c r="P1374" s="261"/>
      <c r="Q1374" s="261"/>
      <c r="R1374" s="261"/>
      <c r="S1374" s="261"/>
      <c r="T1374" s="261"/>
      <c r="U1374" s="261"/>
      <c r="V1374" s="261"/>
      <c r="W1374" s="261"/>
      <c r="X1374" s="325"/>
      <c r="Y1374" s="261"/>
      <c r="Z1374" s="261"/>
      <c r="AA1374" s="261"/>
      <c r="AB1374" s="261"/>
      <c r="AC1374" s="325"/>
      <c r="AD1374" s="261"/>
      <c r="AE1374" s="261"/>
      <c r="AF1374" s="261"/>
      <c r="AG1374" s="261"/>
      <c r="AH1374" s="325"/>
      <c r="AI1374" s="261"/>
      <c r="AJ1374" s="261"/>
      <c r="AK1374" s="261"/>
      <c r="AL1374" s="261"/>
      <c r="AM1374" s="325"/>
      <c r="AN1374" s="261"/>
      <c r="AO1374" s="261"/>
      <c r="AP1374" s="261"/>
      <c r="AQ1374" s="261"/>
      <c r="AR1374" s="325"/>
      <c r="AS1374" s="261"/>
      <c r="AT1374" s="261"/>
      <c r="AU1374" s="261"/>
      <c r="AV1374" s="261"/>
      <c r="AW1374" s="325"/>
      <c r="AX1374" s="261"/>
      <c r="AY1374" s="261"/>
      <c r="AZ1374" s="261"/>
      <c r="BA1374" s="261"/>
      <c r="BB1374" s="325"/>
      <c r="BC1374" s="261"/>
      <c r="BD1374" s="261"/>
      <c r="BE1374" s="261"/>
      <c r="BF1374" s="261"/>
      <c r="BG1374" s="325"/>
      <c r="BH1374" s="261"/>
      <c r="BI1374" s="261"/>
      <c r="BJ1374" s="261"/>
      <c r="BK1374" s="261"/>
      <c r="BL1374" s="325"/>
      <c r="BM1374" s="261"/>
      <c r="BN1374" s="261"/>
      <c r="BO1374" s="261"/>
      <c r="BP1374" s="261"/>
      <c r="BQ1374" s="325"/>
      <c r="BR1374" s="261"/>
      <c r="BS1374" s="261"/>
      <c r="BT1374" s="261"/>
      <c r="BU1374" s="261"/>
      <c r="BV1374" s="325"/>
      <c r="BW1374" s="261"/>
      <c r="BX1374" s="261"/>
      <c r="BY1374" s="261"/>
      <c r="BZ1374" s="261"/>
      <c r="CA1374" s="325"/>
      <c r="CB1374" s="261"/>
      <c r="CC1374" s="261"/>
      <c r="CD1374" s="261"/>
      <c r="CE1374" s="261"/>
      <c r="CF1374" s="325"/>
      <c r="CG1374" s="261"/>
      <c r="CH1374" s="261"/>
      <c r="CI1374" s="261"/>
      <c r="CJ1374" s="261"/>
      <c r="CK1374" s="325"/>
      <c r="CL1374" s="261"/>
      <c r="CM1374" s="261"/>
      <c r="CN1374" s="261"/>
      <c r="CO1374" s="261"/>
      <c r="CP1374" s="325"/>
      <c r="CQ1374" s="261"/>
      <c r="CR1374" s="261"/>
      <c r="CS1374" s="261"/>
      <c r="CT1374" s="261"/>
      <c r="CU1374" s="325"/>
      <c r="CV1374" s="261"/>
      <c r="CW1374" s="261"/>
      <c r="CX1374" s="261"/>
      <c r="CY1374" s="261"/>
      <c r="CZ1374" s="325"/>
      <c r="DA1374" s="261"/>
      <c r="DB1374" s="261"/>
      <c r="DC1374" s="261"/>
      <c r="DD1374" s="261"/>
      <c r="DE1374" s="325"/>
      <c r="DF1374" s="261">
        <f t="shared" ref="DF1374:EC1374" si="2745">DF1357-DF1358</f>
      </c>
      <c r="DG1374" s="261">
        <f t="shared" si="2745"/>
      </c>
      <c r="DH1374" s="261">
        <f t="shared" si="2745"/>
      </c>
      <c r="DI1374" s="261">
        <f t="shared" si="2745"/>
      </c>
      <c r="DJ1374" s="325">
        <f t="shared" si="2745"/>
      </c>
      <c r="DK1374" s="261">
        <f t="shared" si="2745"/>
      </c>
      <c r="DL1374" s="261">
        <f t="shared" si="2745"/>
      </c>
      <c r="DM1374" s="261">
        <f t="shared" si="2745"/>
      </c>
      <c r="DN1374" s="261">
        <f t="shared" si="2745"/>
      </c>
      <c r="DO1374" s="325">
        <f t="shared" si="2745"/>
      </c>
      <c r="DP1374" s="261">
        <f t="shared" si="2745"/>
      </c>
      <c r="DQ1374" s="261">
        <f t="shared" si="2745"/>
      </c>
      <c r="DR1374" s="261">
        <f t="shared" si="2745"/>
      </c>
      <c r="DS1374" s="261">
        <f t="shared" si="2745"/>
      </c>
      <c r="DT1374" s="325">
        <f t="shared" si="2745"/>
      </c>
      <c r="DU1374" s="261">
        <f t="shared" si="2745"/>
      </c>
      <c r="DV1374" s="261">
        <f t="shared" si="2745"/>
      </c>
      <c r="DW1374" s="261">
        <f t="shared" si="2745"/>
      </c>
      <c r="DX1374" s="261">
        <f t="shared" si="2745"/>
      </c>
      <c r="DY1374" s="325">
        <f t="shared" si="2745"/>
      </c>
      <c r="DZ1374" s="261">
        <f t="shared" si="2745"/>
      </c>
      <c r="EA1374" s="261">
        <f t="shared" si="2745"/>
      </c>
      <c r="EB1374" s="261">
        <f t="shared" si="2745"/>
      </c>
      <c r="EC1374" s="261">
        <f t="shared" si="2745"/>
      </c>
      <c r="ED1374" s="325">
        <f>SUMPRODUCT(DZ1374:EC1374,DU1350:DX1350)/DY1350</f>
      </c>
      <c r="EE1374" s="261">
        <f>EE1357-EE1358</f>
      </c>
      <c r="EF1374" s="261">
        <f>EF1357-EF1358</f>
      </c>
      <c r="EG1374" s="261">
        <f>EG1357-EG1358</f>
      </c>
      <c r="EH1374" s="261">
        <f>EH1357-EH1358</f>
      </c>
      <c r="EI1374" s="325">
        <f>SUMPRODUCT(EE1374:EH1374,DZ1350:EC1350)/ED1350</f>
      </c>
      <c r="EJ1374" s="2724"/>
      <c r="EK1374" s="946"/>
      <c r="EL1374" s="325"/>
      <c r="EM1374" s="325"/>
      <c r="EN1374" s="325"/>
      <c r="EO1374" s="325"/>
      <c r="EP1374" s="325"/>
      <c r="EQ1374" s="325"/>
      <c r="ER1374" s="325"/>
      <c r="ES1374" s="325"/>
      <c r="ET1374" s="325"/>
      <c r="EU1374" s="325"/>
      <c r="EV1374" s="325"/>
      <c r="EW1374" s="325"/>
      <c r="EX1374" s="325"/>
    </row>
    <row r="1375" spans="2:154" outlineLevel="1">
      <c r="B1375" s="3063"/>
      <c r="C1375" s="1990"/>
      <c r="D1375" s="25"/>
      <c r="E1375" s="25"/>
      <c r="F1375" s="25"/>
      <c r="G1375" s="25"/>
      <c r="H1375" s="25"/>
      <c r="I1375" s="261"/>
      <c r="J1375" s="261"/>
      <c r="K1375" s="261"/>
      <c r="L1375" s="261"/>
      <c r="M1375" s="261"/>
      <c r="N1375" s="261"/>
      <c r="O1375" s="261"/>
      <c r="P1375" s="261"/>
      <c r="Q1375" s="261"/>
      <c r="R1375" s="261"/>
      <c r="S1375" s="261"/>
      <c r="T1375" s="261"/>
      <c r="U1375" s="261"/>
      <c r="V1375" s="261"/>
      <c r="W1375" s="261"/>
      <c r="X1375" s="325"/>
      <c r="Y1375" s="261"/>
      <c r="Z1375" s="261"/>
      <c r="AA1375" s="261"/>
      <c r="AB1375" s="261"/>
      <c r="AC1375" s="325"/>
      <c r="AD1375" s="261"/>
      <c r="AE1375" s="261"/>
      <c r="AF1375" s="261"/>
      <c r="AG1375" s="261"/>
      <c r="AH1375" s="325"/>
      <c r="AI1375" s="261"/>
      <c r="AJ1375" s="261"/>
      <c r="AK1375" s="261"/>
      <c r="AL1375" s="261"/>
      <c r="AM1375" s="325"/>
      <c r="AN1375" s="261"/>
      <c r="AO1375" s="261"/>
      <c r="AP1375" s="261"/>
      <c r="AQ1375" s="261"/>
      <c r="AR1375" s="325"/>
      <c r="AS1375" s="261"/>
      <c r="AT1375" s="261"/>
      <c r="AU1375" s="261"/>
      <c r="AV1375" s="261"/>
      <c r="AW1375" s="325"/>
      <c r="AX1375" s="261"/>
      <c r="AY1375" s="261"/>
      <c r="AZ1375" s="261"/>
      <c r="BA1375" s="261"/>
      <c r="BB1375" s="325"/>
      <c r="BC1375" s="261"/>
      <c r="BD1375" s="261"/>
      <c r="BE1375" s="261"/>
      <c r="BF1375" s="261"/>
      <c r="BG1375" s="325"/>
      <c r="BH1375" s="261"/>
      <c r="BI1375" s="261"/>
      <c r="BJ1375" s="261"/>
      <c r="BK1375" s="261"/>
      <c r="BL1375" s="325"/>
      <c r="BM1375" s="261"/>
      <c r="BN1375" s="261"/>
      <c r="BO1375" s="261"/>
      <c r="BP1375" s="261"/>
      <c r="BQ1375" s="325"/>
      <c r="BR1375" s="261"/>
      <c r="BS1375" s="261"/>
      <c r="BT1375" s="261"/>
      <c r="BU1375" s="261"/>
      <c r="BV1375" s="325"/>
      <c r="BW1375" s="261"/>
      <c r="BX1375" s="261"/>
      <c r="BY1375" s="261"/>
      <c r="BZ1375" s="261"/>
      <c r="CA1375" s="325"/>
      <c r="CB1375" s="261"/>
      <c r="CC1375" s="261"/>
      <c r="CD1375" s="261"/>
      <c r="CE1375" s="261"/>
      <c r="CF1375" s="325"/>
      <c r="CG1375" s="261"/>
      <c r="CH1375" s="261"/>
      <c r="CI1375" s="261"/>
      <c r="CJ1375" s="261"/>
      <c r="CK1375" s="325"/>
      <c r="CL1375" s="261"/>
      <c r="CM1375" s="261"/>
      <c r="CN1375" s="261"/>
      <c r="CO1375" s="261"/>
      <c r="CP1375" s="325"/>
      <c r="CQ1375" s="261"/>
      <c r="CR1375" s="261"/>
      <c r="CS1375" s="261"/>
      <c r="CT1375" s="261"/>
      <c r="CU1375" s="325"/>
      <c r="CV1375" s="261"/>
      <c r="CW1375" s="261"/>
      <c r="CX1375" s="261"/>
      <c r="CY1375" s="261"/>
      <c r="CZ1375" s="325"/>
      <c r="DA1375" s="261"/>
      <c r="DB1375" s="261"/>
      <c r="DC1375" s="261"/>
      <c r="DD1375" s="261"/>
      <c r="DE1375" s="325"/>
      <c r="DF1375" s="261"/>
      <c r="DG1375" s="261"/>
      <c r="DH1375" s="261"/>
      <c r="DI1375" s="3162"/>
      <c r="DJ1375" s="325"/>
      <c r="DK1375" s="261"/>
      <c r="DL1375" s="261"/>
      <c r="DM1375" s="261"/>
      <c r="DN1375" s="261"/>
      <c r="DO1375" s="325"/>
      <c r="DP1375" s="261"/>
      <c r="DQ1375" s="261"/>
      <c r="DR1375" s="261"/>
      <c r="DS1375" s="261"/>
      <c r="DT1375" s="325"/>
      <c r="DU1375" s="261"/>
      <c r="DV1375" s="261"/>
      <c r="DW1375" s="261"/>
      <c r="DX1375" s="261"/>
      <c r="DY1375" s="325"/>
      <c r="DZ1375" s="261"/>
      <c r="EA1375" s="261"/>
      <c r="EB1375" s="261"/>
      <c r="EC1375" s="261"/>
      <c r="ED1375" s="325"/>
      <c r="EE1375" s="1001"/>
      <c r="EF1375" s="261"/>
      <c r="EG1375" s="261"/>
      <c r="EH1375" s="261"/>
      <c r="EI1375" s="1001"/>
      <c r="EJ1375" s="325"/>
      <c r="EK1375" s="992"/>
      <c r="EL1375" s="325"/>
      <c r="EM1375" s="325"/>
      <c r="EN1375" s="325"/>
      <c r="EO1375" s="325"/>
      <c r="EP1375" s="325"/>
      <c r="EQ1375" s="325"/>
      <c r="ER1375" s="325"/>
      <c r="ES1375" s="325"/>
      <c r="ET1375" s="325"/>
      <c r="EU1375" s="325"/>
      <c r="EV1375" s="325"/>
      <c r="EW1375" s="325"/>
      <c r="EX1375" s="325"/>
    </row>
    <row r="1376" spans="2:154" outlineLevel="1">
      <c r="B1376" s="343" t="s">
        <v>859</v>
      </c>
      <c r="C1376" s="1990"/>
      <c r="D1376" s="25"/>
      <c r="E1376" s="25"/>
      <c r="F1376" s="25"/>
      <c r="G1376" s="25"/>
      <c r="H1376" s="25"/>
      <c r="I1376" s="261"/>
      <c r="J1376" s="261"/>
      <c r="K1376" s="261"/>
      <c r="L1376" s="261"/>
      <c r="M1376" s="261"/>
      <c r="N1376" s="261"/>
      <c r="O1376" s="261"/>
      <c r="P1376" s="261"/>
      <c r="Q1376" s="261"/>
      <c r="R1376" s="261"/>
      <c r="S1376" s="261"/>
      <c r="T1376" s="261"/>
      <c r="U1376" s="261"/>
      <c r="V1376" s="261"/>
      <c r="W1376" s="261"/>
      <c r="X1376" s="325"/>
      <c r="Y1376" s="261"/>
      <c r="Z1376" s="261"/>
      <c r="AA1376" s="261"/>
      <c r="AB1376" s="261"/>
      <c r="AC1376" s="325"/>
      <c r="AD1376" s="261"/>
      <c r="AE1376" s="261"/>
      <c r="AF1376" s="261"/>
      <c r="AG1376" s="261"/>
      <c r="AH1376" s="325"/>
      <c r="AI1376" s="261"/>
      <c r="AJ1376" s="261"/>
      <c r="AK1376" s="261"/>
      <c r="AL1376" s="261"/>
      <c r="AM1376" s="325"/>
      <c r="AN1376" s="261"/>
      <c r="AO1376" s="261"/>
      <c r="AP1376" s="261"/>
      <c r="AQ1376" s="261"/>
      <c r="AR1376" s="325"/>
      <c r="AS1376" s="261"/>
      <c r="AT1376" s="261"/>
      <c r="AU1376" s="261"/>
      <c r="AV1376" s="261"/>
      <c r="AW1376" s="325"/>
      <c r="AX1376" s="261"/>
      <c r="AY1376" s="261"/>
      <c r="AZ1376" s="261"/>
      <c r="BA1376" s="261"/>
      <c r="BB1376" s="325"/>
      <c r="BC1376" s="261"/>
      <c r="BD1376" s="261"/>
      <c r="BE1376" s="261"/>
      <c r="BF1376" s="261"/>
      <c r="BG1376" s="325"/>
      <c r="BH1376" s="261"/>
      <c r="BI1376" s="261"/>
      <c r="BJ1376" s="261"/>
      <c r="BK1376" s="261"/>
      <c r="BL1376" s="325"/>
      <c r="BM1376" s="261"/>
      <c r="BN1376" s="261"/>
      <c r="BO1376" s="261"/>
      <c r="BP1376" s="261"/>
      <c r="BQ1376" s="325"/>
      <c r="BR1376" s="261"/>
      <c r="BS1376" s="261"/>
      <c r="BT1376" s="261"/>
      <c r="BU1376" s="261"/>
      <c r="BV1376" s="325"/>
      <c r="BW1376" s="261"/>
      <c r="BX1376" s="261"/>
      <c r="BY1376" s="261"/>
      <c r="BZ1376" s="261"/>
      <c r="CA1376" s="325"/>
      <c r="CB1376" s="261"/>
      <c r="CC1376" s="261"/>
      <c r="CD1376" s="261"/>
      <c r="CE1376" s="261"/>
      <c r="CF1376" s="325"/>
      <c r="CG1376" s="261"/>
      <c r="CH1376" s="261"/>
      <c r="CI1376" s="261"/>
      <c r="CJ1376" s="261"/>
      <c r="CK1376" s="325"/>
      <c r="CL1376" s="261"/>
      <c r="CM1376" s="261"/>
      <c r="CN1376" s="261"/>
      <c r="CO1376" s="261"/>
      <c r="CP1376" s="325"/>
      <c r="CQ1376" s="261"/>
      <c r="CR1376" s="261"/>
      <c r="CS1376" s="261"/>
      <c r="CT1376" s="261"/>
      <c r="CU1376" s="325"/>
      <c r="CV1376" s="261"/>
      <c r="CW1376" s="261"/>
      <c r="CX1376" s="261"/>
      <c r="CY1376" s="261"/>
      <c r="CZ1376" s="325"/>
      <c r="DA1376" s="261"/>
      <c r="DB1376" s="261"/>
      <c r="DC1376" s="261"/>
      <c r="DD1376" s="261"/>
      <c r="DE1376" s="325"/>
      <c r="DF1376" s="261"/>
      <c r="DG1376" s="261"/>
      <c r="DH1376" s="261"/>
      <c r="DI1376" s="3162"/>
      <c r="DJ1376" s="325"/>
      <c r="DK1376" s="261"/>
      <c r="DL1376" s="261"/>
      <c r="DM1376" s="261"/>
      <c r="DN1376" s="261"/>
      <c r="DO1376" s="325"/>
      <c r="DP1376" s="261"/>
      <c r="DQ1376" s="261"/>
      <c r="DR1376" s="261"/>
      <c r="DS1376" s="261"/>
      <c r="DT1376" s="325"/>
      <c r="DU1376" s="261"/>
      <c r="DV1376" s="261"/>
      <c r="DW1376" s="261"/>
      <c r="DX1376" s="261"/>
      <c r="DY1376" s="325"/>
      <c r="DZ1376" s="261"/>
      <c r="EA1376" s="261"/>
      <c r="EB1376" s="261"/>
      <c r="EC1376" s="261"/>
      <c r="ED1376" s="325"/>
      <c r="EE1376" s="1001"/>
      <c r="EF1376" s="261"/>
      <c r="EG1376" s="261"/>
      <c r="EH1376" s="261"/>
      <c r="EI1376" s="1001"/>
      <c r="EJ1376" s="325"/>
      <c r="EK1376" s="992"/>
      <c r="EL1376" s="325"/>
      <c r="EM1376" s="325"/>
      <c r="EN1376" s="325"/>
      <c r="EO1376" s="325"/>
      <c r="EP1376" s="325"/>
      <c r="EQ1376" s="325"/>
      <c r="ER1376" s="325"/>
      <c r="ES1376" s="325"/>
      <c r="ET1376" s="325"/>
      <c r="EU1376" s="325"/>
      <c r="EV1376" s="325"/>
      <c r="EW1376" s="325"/>
      <c r="EX1376" s="325"/>
    </row>
    <row r="1377" spans="2:154" outlineLevel="1">
      <c r="B1377" s="338" t="s">
        <v>565</v>
      </c>
      <c r="C1377" s="1990"/>
      <c r="D1377" s="25"/>
      <c r="E1377" s="25"/>
      <c r="F1377" s="25"/>
      <c r="G1377" s="25"/>
      <c r="H1377" s="25"/>
      <c r="I1377" s="261"/>
      <c r="J1377" s="261"/>
      <c r="K1377" s="261"/>
      <c r="L1377" s="261"/>
      <c r="M1377" s="261"/>
      <c r="N1377" s="261"/>
      <c r="O1377" s="261"/>
      <c r="P1377" s="261"/>
      <c r="Q1377" s="261"/>
      <c r="R1377" s="261"/>
      <c r="S1377" s="261"/>
      <c r="T1377" s="261"/>
      <c r="U1377" s="261"/>
      <c r="V1377" s="261"/>
      <c r="W1377" s="261"/>
      <c r="X1377" s="325"/>
      <c r="Y1377" s="261"/>
      <c r="Z1377" s="261"/>
      <c r="AA1377" s="261"/>
      <c r="AB1377" s="261"/>
      <c r="AC1377" s="325"/>
      <c r="AD1377" s="261"/>
      <c r="AE1377" s="261"/>
      <c r="AF1377" s="261"/>
      <c r="AG1377" s="261"/>
      <c r="AH1377" s="325"/>
      <c r="AI1377" s="261"/>
      <c r="AJ1377" s="261"/>
      <c r="AK1377" s="261"/>
      <c r="AL1377" s="261"/>
      <c r="AM1377" s="325"/>
      <c r="AN1377" s="261"/>
      <c r="AO1377" s="261"/>
      <c r="AP1377" s="261"/>
      <c r="AQ1377" s="261"/>
      <c r="AR1377" s="325"/>
      <c r="AS1377" s="261"/>
      <c r="AT1377" s="261"/>
      <c r="AU1377" s="261"/>
      <c r="AV1377" s="261"/>
      <c r="AW1377" s="325"/>
      <c r="AX1377" s="261"/>
      <c r="AY1377" s="261"/>
      <c r="AZ1377" s="261"/>
      <c r="BA1377" s="261"/>
      <c r="BB1377" s="325"/>
      <c r="BC1377" s="261"/>
      <c r="BD1377" s="261"/>
      <c r="BE1377" s="261"/>
      <c r="BF1377" s="261"/>
      <c r="BG1377" s="325"/>
      <c r="BH1377" s="261"/>
      <c r="BI1377" s="261"/>
      <c r="BJ1377" s="261"/>
      <c r="BK1377" s="261"/>
      <c r="BL1377" s="325"/>
      <c r="BM1377" s="261"/>
      <c r="BN1377" s="261"/>
      <c r="BO1377" s="261"/>
      <c r="BP1377" s="261"/>
      <c r="BQ1377" s="325"/>
      <c r="BR1377" s="261"/>
      <c r="BS1377" s="261"/>
      <c r="BT1377" s="261"/>
      <c r="BU1377" s="261"/>
      <c r="BV1377" s="325"/>
      <c r="BW1377" s="261"/>
      <c r="BX1377" s="261"/>
      <c r="BY1377" s="261"/>
      <c r="BZ1377" s="261"/>
      <c r="CA1377" s="325"/>
      <c r="CB1377" s="261"/>
      <c r="CC1377" s="261"/>
      <c r="CD1377" s="261"/>
      <c r="CE1377" s="261"/>
      <c r="CF1377" s="325"/>
      <c r="CG1377" s="261"/>
      <c r="CH1377" s="261"/>
      <c r="CI1377" s="261"/>
      <c r="CJ1377" s="261"/>
      <c r="CK1377" s="325"/>
      <c r="CL1377" s="261"/>
      <c r="CM1377" s="261"/>
      <c r="CN1377" s="261"/>
      <c r="CO1377" s="261"/>
      <c r="CP1377" s="325"/>
      <c r="CQ1377" s="261"/>
      <c r="CR1377" s="261"/>
      <c r="CS1377" s="261"/>
      <c r="CT1377" s="261"/>
      <c r="CU1377" s="325"/>
      <c r="CV1377" s="261">
        <f t="shared" ref="CV1377:DX1377" si="2746">1-SUM(CV1378:CV1383)</f>
      </c>
      <c r="CW1377" s="261">
        <f t="shared" si="2746"/>
      </c>
      <c r="CX1377" s="261">
        <f t="shared" si="2746"/>
      </c>
      <c r="CY1377" s="261">
        <f t="shared" si="2746"/>
      </c>
      <c r="CZ1377" s="325">
        <f t="shared" si="2746"/>
      </c>
      <c r="DA1377" s="261">
        <f t="shared" si="2746"/>
      </c>
      <c r="DB1377" s="261">
        <f t="shared" si="2746"/>
      </c>
      <c r="DC1377" s="261">
        <f t="shared" si="2746"/>
      </c>
      <c r="DD1377" s="261">
        <f t="shared" si="2746"/>
      </c>
      <c r="DE1377" s="325">
        <f t="shared" si="2746"/>
      </c>
      <c r="DF1377" s="261">
        <f t="shared" si="2746"/>
      </c>
      <c r="DG1377" s="261">
        <f t="shared" si="2746"/>
      </c>
      <c r="DH1377" s="261">
        <f t="shared" si="2746"/>
      </c>
      <c r="DI1377" s="261">
        <f t="shared" si="2746"/>
      </c>
      <c r="DJ1377" s="325">
        <f t="shared" si="2746"/>
      </c>
      <c r="DK1377" s="261">
        <f t="shared" si="2746"/>
      </c>
      <c r="DL1377" s="261">
        <f t="shared" si="2746"/>
      </c>
      <c r="DM1377" s="261">
        <f t="shared" si="2746"/>
      </c>
      <c r="DN1377" s="261">
        <f t="shared" si="2746"/>
      </c>
      <c r="DO1377" s="325">
        <f t="shared" si="2746"/>
      </c>
      <c r="DP1377" s="261">
        <f t="shared" si="2746"/>
      </c>
      <c r="DQ1377" s="261">
        <f t="shared" si="2746"/>
      </c>
      <c r="DR1377" s="261">
        <f t="shared" si="2746"/>
      </c>
      <c r="DS1377" s="261">
        <f t="shared" si="2746"/>
      </c>
      <c r="DT1377" s="325">
        <f t="shared" si="2746"/>
      </c>
      <c r="DU1377" s="261">
        <f t="shared" si="2746"/>
      </c>
      <c r="DV1377" s="261">
        <f t="shared" si="2746"/>
      </c>
      <c r="DW1377" s="261">
        <f>1-SUM(DW1378:DW1383)</f>
      </c>
      <c r="DX1377" s="261">
        <f t="shared" si="2746"/>
      </c>
      <c r="DY1377" s="325">
        <f>DY1386/DY$1393</f>
      </c>
      <c r="DZ1377" s="261">
        <f>1-SUM(DZ1378:DZ1383)</f>
      </c>
      <c r="EA1377" s="261">
        <f>1-SUM(EA1378:EA1383)</f>
      </c>
      <c r="EB1377" s="261">
        <f>1-SUM(EB1378:EB1383)</f>
      </c>
      <c r="EC1377" s="261">
        <f>1-SUM(EC1378:EC1383)</f>
      </c>
      <c r="ED1377" s="325">
        <f>ED1386/ED$1393</f>
      </c>
      <c r="EE1377" s="261">
        <f>1-SUM(EE1378:EE1383)</f>
      </c>
      <c r="EF1377" s="261">
        <f>1-SUM(EF1378:EF1383)</f>
      </c>
      <c r="EG1377" s="261">
        <f>1-SUM(EG1378:EG1383)</f>
      </c>
      <c r="EH1377" s="261">
        <f>1-SUM(EH1378:EH1383)</f>
      </c>
      <c r="EI1377" s="325">
        <f>EI1386/EI$1393</f>
      </c>
      <c r="EJ1377" s="325"/>
      <c r="EK1377" s="992"/>
      <c r="EL1377" s="325"/>
      <c r="EM1377" s="325"/>
      <c r="EN1377" s="325"/>
      <c r="EO1377" s="325"/>
      <c r="EP1377" s="325"/>
      <c r="EQ1377" s="325"/>
      <c r="ER1377" s="325"/>
      <c r="ES1377" s="325"/>
      <c r="ET1377" s="325"/>
      <c r="EU1377" s="325"/>
      <c r="EV1377" s="325"/>
      <c r="EW1377" s="325"/>
      <c r="EX1377" s="325"/>
    </row>
    <row r="1378" spans="2:154" outlineLevel="1">
      <c r="B1378" s="338" t="s">
        <v>860</v>
      </c>
      <c r="C1378" s="1990"/>
      <c r="D1378" s="25"/>
      <c r="E1378" s="25"/>
      <c r="F1378" s="25"/>
      <c r="G1378" s="25"/>
      <c r="H1378" s="25"/>
      <c r="I1378" s="261"/>
      <c r="J1378" s="261"/>
      <c r="K1378" s="261"/>
      <c r="L1378" s="261"/>
      <c r="M1378" s="261"/>
      <c r="N1378" s="261"/>
      <c r="O1378" s="261"/>
      <c r="P1378" s="261"/>
      <c r="Q1378" s="261"/>
      <c r="R1378" s="261"/>
      <c r="S1378" s="261"/>
      <c r="T1378" s="261"/>
      <c r="U1378" s="261"/>
      <c r="V1378" s="261"/>
      <c r="W1378" s="261"/>
      <c r="X1378" s="325"/>
      <c r="Y1378" s="261"/>
      <c r="Z1378" s="261"/>
      <c r="AA1378" s="261"/>
      <c r="AB1378" s="261"/>
      <c r="AC1378" s="325"/>
      <c r="AD1378" s="261"/>
      <c r="AE1378" s="261"/>
      <c r="AF1378" s="261"/>
      <c r="AG1378" s="261"/>
      <c r="AH1378" s="325"/>
      <c r="AI1378" s="261"/>
      <c r="AJ1378" s="261"/>
      <c r="AK1378" s="261"/>
      <c r="AL1378" s="261"/>
      <c r="AM1378" s="325"/>
      <c r="AN1378" s="261"/>
      <c r="AO1378" s="261"/>
      <c r="AP1378" s="261"/>
      <c r="AQ1378" s="261"/>
      <c r="AR1378" s="325"/>
      <c r="AS1378" s="261"/>
      <c r="AT1378" s="261"/>
      <c r="AU1378" s="261"/>
      <c r="AV1378" s="261"/>
      <c r="AW1378" s="325"/>
      <c r="AX1378" s="261"/>
      <c r="AY1378" s="261"/>
      <c r="AZ1378" s="261"/>
      <c r="BA1378" s="261"/>
      <c r="BB1378" s="325"/>
      <c r="BC1378" s="261"/>
      <c r="BD1378" s="261"/>
      <c r="BE1378" s="261"/>
      <c r="BF1378" s="261"/>
      <c r="BG1378" s="325"/>
      <c r="BH1378" s="261"/>
      <c r="BI1378" s="261"/>
      <c r="BJ1378" s="261"/>
      <c r="BK1378" s="261"/>
      <c r="BL1378" s="325"/>
      <c r="BM1378" s="261"/>
      <c r="BN1378" s="261"/>
      <c r="BO1378" s="261"/>
      <c r="BP1378" s="261"/>
      <c r="BQ1378" s="325"/>
      <c r="BR1378" s="261"/>
      <c r="BS1378" s="261"/>
      <c r="BT1378" s="261"/>
      <c r="BU1378" s="261"/>
      <c r="BV1378" s="325"/>
      <c r="BW1378" s="261"/>
      <c r="BX1378" s="261"/>
      <c r="BY1378" s="261"/>
      <c r="BZ1378" s="261"/>
      <c r="CA1378" s="325"/>
      <c r="CB1378" s="261"/>
      <c r="CC1378" s="261"/>
      <c r="CD1378" s="261"/>
      <c r="CE1378" s="261"/>
      <c r="CF1378" s="325"/>
      <c r="CG1378" s="261"/>
      <c r="CH1378" s="261"/>
      <c r="CI1378" s="261"/>
      <c r="CJ1378" s="261"/>
      <c r="CK1378" s="325"/>
      <c r="CL1378" s="261"/>
      <c r="CM1378" s="261"/>
      <c r="CN1378" s="261"/>
      <c r="CO1378" s="261"/>
      <c r="CP1378" s="325"/>
      <c r="CQ1378" s="261"/>
      <c r="CR1378" s="261"/>
      <c r="CS1378" s="261"/>
      <c r="CT1378" s="261"/>
      <c r="CU1378" s="325"/>
      <c r="CV1378" s="1955">
        <v>0.2</v>
      </c>
      <c r="CW1378" s="1955">
        <v>0.2</v>
      </c>
      <c r="CX1378" s="1955">
        <v>0.2</v>
      </c>
      <c r="CY1378" s="1955">
        <v>0.2</v>
      </c>
      <c r="CZ1378" s="2774">
        <v>0.2</v>
      </c>
      <c r="DA1378" s="1955">
        <v>0.2</v>
      </c>
      <c r="DB1378" s="1955">
        <v>0.2</v>
      </c>
      <c r="DC1378" s="1955">
        <v>0.2</v>
      </c>
      <c r="DD1378" s="1955">
        <v>0.2</v>
      </c>
      <c r="DE1378" s="2774">
        <v>0.2</v>
      </c>
      <c r="DF1378" s="1955">
        <v>0.2</v>
      </c>
      <c r="DG1378" s="1955">
        <v>0.2</v>
      </c>
      <c r="DH1378" s="1955">
        <v>0.2</v>
      </c>
      <c r="DI1378" s="1955">
        <v>0.2</v>
      </c>
      <c r="DJ1378" s="2774">
        <v>0.2</v>
      </c>
      <c r="DK1378" s="1955">
        <v>0.2</v>
      </c>
      <c r="DL1378" s="1955">
        <v>0.2</v>
      </c>
      <c r="DM1378" s="1955">
        <v>0.2</v>
      </c>
      <c r="DN1378" s="1955">
        <v>0.2</v>
      </c>
      <c r="DO1378" s="2774">
        <v>0.2</v>
      </c>
      <c r="DP1378" s="1955">
        <v>0.2</v>
      </c>
      <c r="DQ1378" s="1955">
        <v>0.2</v>
      </c>
      <c r="DR1378" s="1955">
        <v>0.2</v>
      </c>
      <c r="DS1378" s="1955">
        <v>0.2</v>
      </c>
      <c r="DT1378" s="2774">
        <f t="shared" ref="DT1378:DT1383" si="2747">AVERAGE(DP1378:DS1378)</f>
      </c>
      <c r="DU1378" s="1955">
        <v>0.2</v>
      </c>
      <c r="DV1378" s="1955">
        <v>0.2</v>
      </c>
      <c r="DW1378" s="1955">
        <v>0.2</v>
      </c>
      <c r="DX1378" s="1955">
        <v>0.2</v>
      </c>
      <c r="DY1378" s="325">
        <f t="shared" ref="DY1378:DY1383" si="2748">DY1387/DY$1393</f>
      </c>
      <c r="DZ1378" s="1955">
        <v>0.2</v>
      </c>
      <c r="EA1378" s="1955">
        <v>0.2</v>
      </c>
      <c r="EB1378" s="1955">
        <v>0.2</v>
      </c>
      <c r="EC1378" s="1955">
        <v>0.2</v>
      </c>
      <c r="ED1378" s="325">
        <f t="shared" ref="ED1378:ED1383" si="2749">ED1387/ED$1393</f>
      </c>
      <c r="EE1378" s="1955">
        <v>0.2</v>
      </c>
      <c r="EF1378" s="1955">
        <v>0.2</v>
      </c>
      <c r="EG1378" s="1955">
        <v>0.2</v>
      </c>
      <c r="EH1378" s="1955">
        <v>0.2</v>
      </c>
      <c r="EI1378" s="325">
        <f t="shared" ref="EI1378:EI1383" si="2750">EI1387/EI$1393</f>
      </c>
      <c r="EJ1378" s="325"/>
      <c r="EK1378" s="992"/>
      <c r="EL1378" s="325"/>
      <c r="EM1378" s="325"/>
      <c r="EN1378" s="325"/>
      <c r="EO1378" s="325"/>
      <c r="EP1378" s="325"/>
      <c r="EQ1378" s="325"/>
      <c r="ER1378" s="325"/>
      <c r="ES1378" s="325"/>
      <c r="ET1378" s="325"/>
      <c r="EU1378" s="325"/>
      <c r="EV1378" s="325"/>
      <c r="EW1378" s="325"/>
      <c r="EX1378" s="325"/>
    </row>
    <row r="1379" spans="2:154" outlineLevel="1">
      <c r="B1379" s="338" t="s">
        <v>861</v>
      </c>
      <c r="C1379" s="1990"/>
      <c r="D1379" s="25"/>
      <c r="E1379" s="25"/>
      <c r="F1379" s="25"/>
      <c r="G1379" s="25"/>
      <c r="H1379" s="25"/>
      <c r="I1379" s="261"/>
      <c r="J1379" s="261"/>
      <c r="K1379" s="261"/>
      <c r="L1379" s="261"/>
      <c r="M1379" s="261"/>
      <c r="N1379" s="261"/>
      <c r="O1379" s="261"/>
      <c r="P1379" s="261"/>
      <c r="Q1379" s="261"/>
      <c r="R1379" s="261"/>
      <c r="S1379" s="261"/>
      <c r="T1379" s="261"/>
      <c r="U1379" s="261"/>
      <c r="V1379" s="261"/>
      <c r="W1379" s="261"/>
      <c r="X1379" s="325"/>
      <c r="Y1379" s="261"/>
      <c r="Z1379" s="261"/>
      <c r="AA1379" s="261"/>
      <c r="AB1379" s="261"/>
      <c r="AC1379" s="325"/>
      <c r="AD1379" s="261"/>
      <c r="AE1379" s="261"/>
      <c r="AF1379" s="261"/>
      <c r="AG1379" s="261"/>
      <c r="AH1379" s="325"/>
      <c r="AI1379" s="261"/>
      <c r="AJ1379" s="261"/>
      <c r="AK1379" s="261"/>
      <c r="AL1379" s="261"/>
      <c r="AM1379" s="325"/>
      <c r="AN1379" s="261"/>
      <c r="AO1379" s="261"/>
      <c r="AP1379" s="261"/>
      <c r="AQ1379" s="261"/>
      <c r="AR1379" s="325"/>
      <c r="AS1379" s="261"/>
      <c r="AT1379" s="261"/>
      <c r="AU1379" s="261"/>
      <c r="AV1379" s="261"/>
      <c r="AW1379" s="325"/>
      <c r="AX1379" s="261"/>
      <c r="AY1379" s="261"/>
      <c r="AZ1379" s="261"/>
      <c r="BA1379" s="261"/>
      <c r="BB1379" s="325"/>
      <c r="BC1379" s="261"/>
      <c r="BD1379" s="261"/>
      <c r="BE1379" s="261"/>
      <c r="BF1379" s="261"/>
      <c r="BG1379" s="325"/>
      <c r="BH1379" s="261"/>
      <c r="BI1379" s="261"/>
      <c r="BJ1379" s="261"/>
      <c r="BK1379" s="261"/>
      <c r="BL1379" s="325"/>
      <c r="BM1379" s="261"/>
      <c r="BN1379" s="261"/>
      <c r="BO1379" s="261"/>
      <c r="BP1379" s="261"/>
      <c r="BQ1379" s="325"/>
      <c r="BR1379" s="261"/>
      <c r="BS1379" s="261"/>
      <c r="BT1379" s="261"/>
      <c r="BU1379" s="261"/>
      <c r="BV1379" s="325"/>
      <c r="BW1379" s="261"/>
      <c r="BX1379" s="261"/>
      <c r="BY1379" s="261"/>
      <c r="BZ1379" s="261"/>
      <c r="CA1379" s="325"/>
      <c r="CB1379" s="261"/>
      <c r="CC1379" s="261"/>
      <c r="CD1379" s="261"/>
      <c r="CE1379" s="261"/>
      <c r="CF1379" s="325"/>
      <c r="CG1379" s="261"/>
      <c r="CH1379" s="261"/>
      <c r="CI1379" s="261"/>
      <c r="CJ1379" s="261"/>
      <c r="CK1379" s="325"/>
      <c r="CL1379" s="261"/>
      <c r="CM1379" s="261"/>
      <c r="CN1379" s="261"/>
      <c r="CO1379" s="261"/>
      <c r="CP1379" s="325"/>
      <c r="CQ1379" s="261"/>
      <c r="CR1379" s="261"/>
      <c r="CS1379" s="261"/>
      <c r="CT1379" s="261"/>
      <c r="CU1379" s="325"/>
      <c r="CV1379" s="1955">
        <v>0.12</v>
      </c>
      <c r="CW1379" s="1955">
        <v>0.12</v>
      </c>
      <c r="CX1379" s="1955">
        <v>0.12</v>
      </c>
      <c r="CY1379" s="1955">
        <v>0.12</v>
      </c>
      <c r="CZ1379" s="2774">
        <v>0.12</v>
      </c>
      <c r="DA1379" s="1955">
        <v>0.12</v>
      </c>
      <c r="DB1379" s="1955">
        <v>0.12</v>
      </c>
      <c r="DC1379" s="1955">
        <v>0.12</v>
      </c>
      <c r="DD1379" s="1955">
        <v>0.12</v>
      </c>
      <c r="DE1379" s="2774">
        <v>0.12</v>
      </c>
      <c r="DF1379" s="1955">
        <v>0.12</v>
      </c>
      <c r="DG1379" s="1955">
        <v>0.12</v>
      </c>
      <c r="DH1379" s="1955">
        <v>0.12</v>
      </c>
      <c r="DI1379" s="1955">
        <v>0.12</v>
      </c>
      <c r="DJ1379" s="2774">
        <v>0.12</v>
      </c>
      <c r="DK1379" s="1955">
        <v>0.12</v>
      </c>
      <c r="DL1379" s="1955">
        <v>0.12</v>
      </c>
      <c r="DM1379" s="1955">
        <v>0.12</v>
      </c>
      <c r="DN1379" s="1955">
        <v>0.12</v>
      </c>
      <c r="DO1379" s="2774">
        <v>0.12</v>
      </c>
      <c r="DP1379" s="1955">
        <v>0.12</v>
      </c>
      <c r="DQ1379" s="1955">
        <v>0.12</v>
      </c>
      <c r="DR1379" s="1955">
        <v>0.12</v>
      </c>
      <c r="DS1379" s="1955">
        <v>0.12</v>
      </c>
      <c r="DT1379" s="2774">
        <f t="shared" si="2747"/>
      </c>
      <c r="DU1379" s="1955">
        <v>0.12</v>
      </c>
      <c r="DV1379" s="1955">
        <v>0.12</v>
      </c>
      <c r="DW1379" s="1955">
        <v>0.12</v>
      </c>
      <c r="DX1379" s="1955">
        <v>0.12</v>
      </c>
      <c r="DY1379" s="325">
        <f t="shared" si="2748"/>
      </c>
      <c r="DZ1379" s="1955">
        <v>0.12</v>
      </c>
      <c r="EA1379" s="1955">
        <v>0.12</v>
      </c>
      <c r="EB1379" s="1955">
        <v>0.12</v>
      </c>
      <c r="EC1379" s="1955">
        <v>0.12</v>
      </c>
      <c r="ED1379" s="325">
        <f t="shared" si="2749"/>
      </c>
      <c r="EE1379" s="1955">
        <v>0.12</v>
      </c>
      <c r="EF1379" s="1955">
        <v>0.12</v>
      </c>
      <c r="EG1379" s="1955">
        <v>0.12</v>
      </c>
      <c r="EH1379" s="1955">
        <v>0.12</v>
      </c>
      <c r="EI1379" s="325">
        <f t="shared" si="2750"/>
      </c>
      <c r="EJ1379" s="325"/>
      <c r="EK1379" s="992"/>
      <c r="EL1379" s="325"/>
      <c r="EM1379" s="325"/>
      <c r="EN1379" s="325"/>
      <c r="EO1379" s="325"/>
      <c r="EP1379" s="325"/>
      <c r="EQ1379" s="325"/>
      <c r="ER1379" s="325"/>
      <c r="ES1379" s="325"/>
      <c r="ET1379" s="325"/>
      <c r="EU1379" s="325"/>
      <c r="EV1379" s="325"/>
      <c r="EW1379" s="325"/>
      <c r="EX1379" s="325"/>
    </row>
    <row r="1380" spans="2:154" outlineLevel="1">
      <c r="B1380" s="343" t="s">
        <v>862</v>
      </c>
      <c r="C1380" s="1990"/>
      <c r="D1380" s="25"/>
      <c r="E1380" s="25"/>
      <c r="F1380" s="25"/>
      <c r="G1380" s="25"/>
      <c r="H1380" s="25"/>
      <c r="I1380" s="261"/>
      <c r="J1380" s="261"/>
      <c r="K1380" s="261"/>
      <c r="L1380" s="261"/>
      <c r="M1380" s="261"/>
      <c r="N1380" s="261"/>
      <c r="O1380" s="261"/>
      <c r="P1380" s="261"/>
      <c r="Q1380" s="261"/>
      <c r="R1380" s="261"/>
      <c r="S1380" s="261"/>
      <c r="T1380" s="261"/>
      <c r="U1380" s="261"/>
      <c r="V1380" s="261"/>
      <c r="W1380" s="261"/>
      <c r="X1380" s="325"/>
      <c r="Y1380" s="261"/>
      <c r="Z1380" s="261"/>
      <c r="AA1380" s="261"/>
      <c r="AB1380" s="261"/>
      <c r="AC1380" s="325"/>
      <c r="AD1380" s="261"/>
      <c r="AE1380" s="261"/>
      <c r="AF1380" s="261"/>
      <c r="AG1380" s="261"/>
      <c r="AH1380" s="325"/>
      <c r="AI1380" s="261"/>
      <c r="AJ1380" s="261"/>
      <c r="AK1380" s="261"/>
      <c r="AL1380" s="261"/>
      <c r="AM1380" s="325"/>
      <c r="AN1380" s="261"/>
      <c r="AO1380" s="261"/>
      <c r="AP1380" s="261"/>
      <c r="AQ1380" s="261"/>
      <c r="AR1380" s="325"/>
      <c r="AS1380" s="261"/>
      <c r="AT1380" s="261"/>
      <c r="AU1380" s="261"/>
      <c r="AV1380" s="261"/>
      <c r="AW1380" s="325"/>
      <c r="AX1380" s="261"/>
      <c r="AY1380" s="261"/>
      <c r="AZ1380" s="261"/>
      <c r="BA1380" s="261"/>
      <c r="BB1380" s="325"/>
      <c r="BC1380" s="261"/>
      <c r="BD1380" s="261"/>
      <c r="BE1380" s="261"/>
      <c r="BF1380" s="261"/>
      <c r="BG1380" s="325"/>
      <c r="BH1380" s="261"/>
      <c r="BI1380" s="261"/>
      <c r="BJ1380" s="261"/>
      <c r="BK1380" s="261"/>
      <c r="BL1380" s="325"/>
      <c r="BM1380" s="261"/>
      <c r="BN1380" s="261"/>
      <c r="BO1380" s="261"/>
      <c r="BP1380" s="261"/>
      <c r="BQ1380" s="325"/>
      <c r="BR1380" s="261"/>
      <c r="BS1380" s="261"/>
      <c r="BT1380" s="261"/>
      <c r="BU1380" s="261"/>
      <c r="BV1380" s="325"/>
      <c r="BW1380" s="261"/>
      <c r="BX1380" s="261"/>
      <c r="BY1380" s="261"/>
      <c r="BZ1380" s="261"/>
      <c r="CA1380" s="325"/>
      <c r="CB1380" s="261"/>
      <c r="CC1380" s="261"/>
      <c r="CD1380" s="261"/>
      <c r="CE1380" s="261"/>
      <c r="CF1380" s="325"/>
      <c r="CG1380" s="261"/>
      <c r="CH1380" s="261"/>
      <c r="CI1380" s="261"/>
      <c r="CJ1380" s="261"/>
      <c r="CK1380" s="325"/>
      <c r="CL1380" s="261"/>
      <c r="CM1380" s="261"/>
      <c r="CN1380" s="261"/>
      <c r="CO1380" s="261"/>
      <c r="CP1380" s="325"/>
      <c r="CQ1380" s="261"/>
      <c r="CR1380" s="261"/>
      <c r="CS1380" s="261"/>
      <c r="CT1380" s="261"/>
      <c r="CU1380" s="325"/>
      <c r="CV1380" s="1955">
        <v>0.17399999999999999</v>
      </c>
      <c r="CW1380" s="1955">
        <v>0.17399999999999999</v>
      </c>
      <c r="CX1380" s="1955">
        <v>0.17399999999999999</v>
      </c>
      <c r="CY1380" s="1955">
        <v>0.17399999999999999</v>
      </c>
      <c r="CZ1380" s="2774">
        <v>0.17399999999999999</v>
      </c>
      <c r="DA1380" s="1955">
        <v>0.17399999999999999</v>
      </c>
      <c r="DB1380" s="1955">
        <v>0.17399999999999999</v>
      </c>
      <c r="DC1380" s="1955">
        <v>0.17399999999999999</v>
      </c>
      <c r="DD1380" s="1955">
        <v>0.17399999999999999</v>
      </c>
      <c r="DE1380" s="2774">
        <v>0.17399999999999999</v>
      </c>
      <c r="DF1380" s="1955">
        <v>0.17399999999999999</v>
      </c>
      <c r="DG1380" s="1955">
        <v>0.17399999999999999</v>
      </c>
      <c r="DH1380" s="1955">
        <v>0.17399999999999999</v>
      </c>
      <c r="DI1380" s="1955">
        <v>0.17399999999999999</v>
      </c>
      <c r="DJ1380" s="2774">
        <v>0.17399999999999999</v>
      </c>
      <c r="DK1380" s="1955">
        <v>0.17399999999999999</v>
      </c>
      <c r="DL1380" s="1955">
        <v>0.17399999999999999</v>
      </c>
      <c r="DM1380" s="1955">
        <v>0.17399999999999999</v>
      </c>
      <c r="DN1380" s="1955">
        <v>0.17399999999999999</v>
      </c>
      <c r="DO1380" s="2774">
        <v>0.17399999999999999</v>
      </c>
      <c r="DP1380" s="1955">
        <v>0.17499999999999999</v>
      </c>
      <c r="DQ1380" s="1955">
        <v>0.17499999999999999</v>
      </c>
      <c r="DR1380" s="1955">
        <v>0.17499999999999999</v>
      </c>
      <c r="DS1380" s="1955">
        <v>0.17499999999999999</v>
      </c>
      <c r="DT1380" s="2774">
        <f t="shared" si="2747"/>
      </c>
      <c r="DU1380" s="1955">
        <v>0.17499999999999999</v>
      </c>
      <c r="DV1380" s="1955">
        <v>0.17499999999999999</v>
      </c>
      <c r="DW1380" s="1955">
        <v>0.17499999999999999</v>
      </c>
      <c r="DX1380" s="1955">
        <v>0.17499999999999999</v>
      </c>
      <c r="DY1380" s="325">
        <f t="shared" si="2748"/>
      </c>
      <c r="DZ1380" s="261">
        <f>DX1380+0.2%</f>
      </c>
      <c r="EA1380" s="261">
        <f>DZ1380+0.2%</f>
      </c>
      <c r="EB1380" s="261">
        <f>EA1380+0.2%</f>
      </c>
      <c r="EC1380" s="261">
        <f>EB1380+0.2%</f>
      </c>
      <c r="ED1380" s="325">
        <f t="shared" si="2749"/>
      </c>
      <c r="EE1380" s="1955">
        <v>0.18</v>
      </c>
      <c r="EF1380" s="1955">
        <v>0.17499999999999999</v>
      </c>
      <c r="EG1380" s="1955">
        <v>0.17</v>
      </c>
      <c r="EH1380" s="1955">
        <v>0.16500000000000001</v>
      </c>
      <c r="EI1380" s="325">
        <f t="shared" si="2750"/>
      </c>
      <c r="EJ1380" s="325"/>
      <c r="EK1380" s="992"/>
      <c r="EL1380" s="325"/>
      <c r="EM1380" s="325"/>
      <c r="EN1380" s="325"/>
      <c r="EO1380" s="325"/>
      <c r="EP1380" s="325"/>
      <c r="EQ1380" s="325"/>
      <c r="ER1380" s="325"/>
      <c r="ES1380" s="325"/>
      <c r="ET1380" s="325"/>
      <c r="EU1380" s="325"/>
      <c r="EV1380" s="325"/>
      <c r="EW1380" s="325"/>
      <c r="EX1380" s="325"/>
    </row>
    <row r="1381" spans="2:154" outlineLevel="1">
      <c r="B1381" s="343" t="s">
        <v>863</v>
      </c>
      <c r="C1381" s="1990"/>
      <c r="D1381" s="25"/>
      <c r="E1381" s="25"/>
      <c r="F1381" s="25"/>
      <c r="G1381" s="25"/>
      <c r="H1381" s="25"/>
      <c r="I1381" s="261"/>
      <c r="J1381" s="261"/>
      <c r="K1381" s="261"/>
      <c r="L1381" s="261"/>
      <c r="M1381" s="261"/>
      <c r="N1381" s="261"/>
      <c r="O1381" s="261"/>
      <c r="P1381" s="261"/>
      <c r="Q1381" s="261"/>
      <c r="R1381" s="261"/>
      <c r="S1381" s="261"/>
      <c r="T1381" s="261"/>
      <c r="U1381" s="261"/>
      <c r="V1381" s="261"/>
      <c r="W1381" s="261"/>
      <c r="X1381" s="325"/>
      <c r="Y1381" s="261"/>
      <c r="Z1381" s="261"/>
      <c r="AA1381" s="261"/>
      <c r="AB1381" s="261"/>
      <c r="AC1381" s="325"/>
      <c r="AD1381" s="261"/>
      <c r="AE1381" s="261"/>
      <c r="AF1381" s="261"/>
      <c r="AG1381" s="261"/>
      <c r="AH1381" s="325"/>
      <c r="AI1381" s="261"/>
      <c r="AJ1381" s="261"/>
      <c r="AK1381" s="261"/>
      <c r="AL1381" s="261"/>
      <c r="AM1381" s="325"/>
      <c r="AN1381" s="261"/>
      <c r="AO1381" s="261"/>
      <c r="AP1381" s="261"/>
      <c r="AQ1381" s="261"/>
      <c r="AR1381" s="325"/>
      <c r="AS1381" s="261"/>
      <c r="AT1381" s="261"/>
      <c r="AU1381" s="261"/>
      <c r="AV1381" s="261"/>
      <c r="AW1381" s="325"/>
      <c r="AX1381" s="261"/>
      <c r="AY1381" s="261"/>
      <c r="AZ1381" s="261"/>
      <c r="BA1381" s="261"/>
      <c r="BB1381" s="325"/>
      <c r="BC1381" s="261"/>
      <c r="BD1381" s="261"/>
      <c r="BE1381" s="261"/>
      <c r="BF1381" s="261"/>
      <c r="BG1381" s="325"/>
      <c r="BH1381" s="261"/>
      <c r="BI1381" s="261"/>
      <c r="BJ1381" s="261"/>
      <c r="BK1381" s="261"/>
      <c r="BL1381" s="325"/>
      <c r="BM1381" s="261"/>
      <c r="BN1381" s="261"/>
      <c r="BO1381" s="261"/>
      <c r="BP1381" s="261"/>
      <c r="BQ1381" s="325"/>
      <c r="BR1381" s="261"/>
      <c r="BS1381" s="261"/>
      <c r="BT1381" s="261"/>
      <c r="BU1381" s="261"/>
      <c r="BV1381" s="325"/>
      <c r="BW1381" s="261"/>
      <c r="BX1381" s="261"/>
      <c r="BY1381" s="261"/>
      <c r="BZ1381" s="261"/>
      <c r="CA1381" s="325"/>
      <c r="CB1381" s="261"/>
      <c r="CC1381" s="261"/>
      <c r="CD1381" s="261"/>
      <c r="CE1381" s="261"/>
      <c r="CF1381" s="325"/>
      <c r="CG1381" s="261"/>
      <c r="CH1381" s="261"/>
      <c r="CI1381" s="261"/>
      <c r="CJ1381" s="261"/>
      <c r="CK1381" s="325"/>
      <c r="CL1381" s="261"/>
      <c r="CM1381" s="261"/>
      <c r="CN1381" s="261"/>
      <c r="CO1381" s="261"/>
      <c r="CP1381" s="325"/>
      <c r="CQ1381" s="261"/>
      <c r="CR1381" s="261"/>
      <c r="CS1381" s="261"/>
      <c r="CT1381" s="261"/>
      <c r="CU1381" s="325"/>
      <c r="CV1381" s="1955">
        <v>0.08</v>
      </c>
      <c r="CW1381" s="1955">
        <v>0.08</v>
      </c>
      <c r="CX1381" s="1955">
        <v>0.08</v>
      </c>
      <c r="CY1381" s="1955">
        <v>0.08</v>
      </c>
      <c r="CZ1381" s="2774">
        <v>0.08</v>
      </c>
      <c r="DA1381" s="1955">
        <v>0.08</v>
      </c>
      <c r="DB1381" s="1955">
        <v>0.08</v>
      </c>
      <c r="DC1381" s="1955">
        <v>0.08</v>
      </c>
      <c r="DD1381" s="1955">
        <v>0.08</v>
      </c>
      <c r="DE1381" s="2774">
        <v>0.08</v>
      </c>
      <c r="DF1381" s="1955">
        <v>0.08</v>
      </c>
      <c r="DG1381" s="1955">
        <v>0.08</v>
      </c>
      <c r="DH1381" s="1955">
        <v>0.08</v>
      </c>
      <c r="DI1381" s="1955">
        <v>0.08</v>
      </c>
      <c r="DJ1381" s="2774">
        <v>0.08</v>
      </c>
      <c r="DK1381" s="1955">
        <v>0.08</v>
      </c>
      <c r="DL1381" s="1955">
        <v>0.08</v>
      </c>
      <c r="DM1381" s="1955">
        <v>0.08</v>
      </c>
      <c r="DN1381" s="1955">
        <v>0.08</v>
      </c>
      <c r="DO1381" s="2774">
        <v>0.08</v>
      </c>
      <c r="DP1381" s="1955">
        <v>0.08</v>
      </c>
      <c r="DQ1381" s="1955">
        <v>0.08</v>
      </c>
      <c r="DR1381" s="1955">
        <v>0.08</v>
      </c>
      <c r="DS1381" s="1955">
        <v>0.08</v>
      </c>
      <c r="DT1381" s="2774">
        <f t="shared" si="2747"/>
      </c>
      <c r="DU1381" s="1955">
        <v>0.08</v>
      </c>
      <c r="DV1381" s="1955">
        <v>0.08</v>
      </c>
      <c r="DW1381" s="1955">
        <v>0.08</v>
      </c>
      <c r="DX1381" s="1955">
        <v>0.08</v>
      </c>
      <c r="DY1381" s="325">
        <f t="shared" si="2748"/>
      </c>
      <c r="DZ1381" s="1955">
        <v>0.08</v>
      </c>
      <c r="EA1381" s="1955">
        <v>0.08</v>
      </c>
      <c r="EB1381" s="1955">
        <v>0.08</v>
      </c>
      <c r="EC1381" s="1955">
        <v>0.08</v>
      </c>
      <c r="ED1381" s="325">
        <f t="shared" si="2749"/>
      </c>
      <c r="EE1381" s="1955">
        <v>0.08</v>
      </c>
      <c r="EF1381" s="1955">
        <v>0.08</v>
      </c>
      <c r="EG1381" s="1955">
        <v>0.08</v>
      </c>
      <c r="EH1381" s="1955">
        <v>0.08</v>
      </c>
      <c r="EI1381" s="325">
        <f t="shared" si="2750"/>
      </c>
      <c r="EJ1381" s="325"/>
      <c r="EK1381" s="325"/>
      <c r="EL1381" s="325"/>
      <c r="EM1381" s="325"/>
      <c r="EN1381" s="325"/>
      <c r="EO1381" s="325"/>
      <c r="EP1381" s="325"/>
      <c r="EQ1381" s="325"/>
      <c r="ER1381" s="325"/>
      <c r="ES1381" s="325"/>
      <c r="ET1381" s="325"/>
      <c r="EU1381" s="325"/>
      <c r="EV1381" s="325"/>
      <c r="EW1381" s="325"/>
      <c r="EX1381" s="325"/>
    </row>
    <row r="1382" spans="2:154" outlineLevel="1">
      <c r="B1382" s="343" t="s">
        <v>864</v>
      </c>
      <c r="C1382" s="1990"/>
      <c r="D1382" s="25"/>
      <c r="E1382" s="25"/>
      <c r="F1382" s="25"/>
      <c r="G1382" s="25"/>
      <c r="H1382" s="25"/>
      <c r="I1382" s="261"/>
      <c r="J1382" s="261"/>
      <c r="K1382" s="261"/>
      <c r="L1382" s="261"/>
      <c r="M1382" s="261"/>
      <c r="N1382" s="261"/>
      <c r="O1382" s="261"/>
      <c r="P1382" s="261"/>
      <c r="Q1382" s="261"/>
      <c r="R1382" s="261"/>
      <c r="S1382" s="261"/>
      <c r="T1382" s="261"/>
      <c r="U1382" s="261"/>
      <c r="V1382" s="261"/>
      <c r="W1382" s="261"/>
      <c r="X1382" s="325"/>
      <c r="Y1382" s="261"/>
      <c r="Z1382" s="261"/>
      <c r="AA1382" s="261"/>
      <c r="AB1382" s="261"/>
      <c r="AC1382" s="325"/>
      <c r="AD1382" s="261"/>
      <c r="AE1382" s="261"/>
      <c r="AF1382" s="261"/>
      <c r="AG1382" s="261"/>
      <c r="AH1382" s="325"/>
      <c r="AI1382" s="261"/>
      <c r="AJ1382" s="261"/>
      <c r="AK1382" s="261"/>
      <c r="AL1382" s="261"/>
      <c r="AM1382" s="325"/>
      <c r="AN1382" s="261"/>
      <c r="AO1382" s="261"/>
      <c r="AP1382" s="261"/>
      <c r="AQ1382" s="261"/>
      <c r="AR1382" s="325"/>
      <c r="AS1382" s="261"/>
      <c r="AT1382" s="261"/>
      <c r="AU1382" s="261"/>
      <c r="AV1382" s="261"/>
      <c r="AW1382" s="325"/>
      <c r="AX1382" s="261"/>
      <c r="AY1382" s="261"/>
      <c r="AZ1382" s="261"/>
      <c r="BA1382" s="261"/>
      <c r="BB1382" s="325"/>
      <c r="BC1382" s="261"/>
      <c r="BD1382" s="261"/>
      <c r="BE1382" s="261"/>
      <c r="BF1382" s="261"/>
      <c r="BG1382" s="325"/>
      <c r="BH1382" s="261"/>
      <c r="BI1382" s="261"/>
      <c r="BJ1382" s="261"/>
      <c r="BK1382" s="261"/>
      <c r="BL1382" s="325"/>
      <c r="BM1382" s="261"/>
      <c r="BN1382" s="261"/>
      <c r="BO1382" s="261"/>
      <c r="BP1382" s="261"/>
      <c r="BQ1382" s="325"/>
      <c r="BR1382" s="261"/>
      <c r="BS1382" s="261"/>
      <c r="BT1382" s="261"/>
      <c r="BU1382" s="261"/>
      <c r="BV1382" s="325"/>
      <c r="BW1382" s="261"/>
      <c r="BX1382" s="261"/>
      <c r="BY1382" s="261"/>
      <c r="BZ1382" s="261"/>
      <c r="CA1382" s="325"/>
      <c r="CB1382" s="261"/>
      <c r="CC1382" s="261"/>
      <c r="CD1382" s="261"/>
      <c r="CE1382" s="261"/>
      <c r="CF1382" s="325"/>
      <c r="CG1382" s="261"/>
      <c r="CH1382" s="261"/>
      <c r="CI1382" s="261"/>
      <c r="CJ1382" s="261"/>
      <c r="CK1382" s="325"/>
      <c r="CL1382" s="261"/>
      <c r="CM1382" s="261"/>
      <c r="CN1382" s="261"/>
      <c r="CO1382" s="261"/>
      <c r="CP1382" s="325"/>
      <c r="CQ1382" s="261"/>
      <c r="CR1382" s="261"/>
      <c r="CS1382" s="261"/>
      <c r="CT1382" s="261"/>
      <c r="CU1382" s="325"/>
      <c r="CV1382" s="1955">
        <v>0.03</v>
      </c>
      <c r="CW1382" s="1955">
        <v>0.03</v>
      </c>
      <c r="CX1382" s="1955">
        <v>0.03</v>
      </c>
      <c r="CY1382" s="1955">
        <v>0.03</v>
      </c>
      <c r="CZ1382" s="2774">
        <v>0.03</v>
      </c>
      <c r="DA1382" s="1955">
        <v>0.03</v>
      </c>
      <c r="DB1382" s="1955">
        <v>0.03</v>
      </c>
      <c r="DC1382" s="1955">
        <v>0.03</v>
      </c>
      <c r="DD1382" s="1955">
        <v>0.03</v>
      </c>
      <c r="DE1382" s="2774">
        <v>0.03</v>
      </c>
      <c r="DF1382" s="1955">
        <v>0.03</v>
      </c>
      <c r="DG1382" s="1955">
        <v>0.03</v>
      </c>
      <c r="DH1382" s="1955">
        <v>0.03</v>
      </c>
      <c r="DI1382" s="1955">
        <v>0.03</v>
      </c>
      <c r="DJ1382" s="2774">
        <v>0.03</v>
      </c>
      <c r="DK1382" s="1955">
        <v>0.03</v>
      </c>
      <c r="DL1382" s="1955">
        <v>0.03</v>
      </c>
      <c r="DM1382" s="1955">
        <v>0.03</v>
      </c>
      <c r="DN1382" s="1955">
        <v>0.03</v>
      </c>
      <c r="DO1382" s="2774">
        <v>0.03</v>
      </c>
      <c r="DP1382" s="1955">
        <v>0.03</v>
      </c>
      <c r="DQ1382" s="1955">
        <v>0.03</v>
      </c>
      <c r="DR1382" s="1955">
        <v>0.03</v>
      </c>
      <c r="DS1382" s="1955">
        <v>0.03</v>
      </c>
      <c r="DT1382" s="2774">
        <f t="shared" si="2747"/>
      </c>
      <c r="DU1382" s="1955">
        <v>0.03</v>
      </c>
      <c r="DV1382" s="1955">
        <v>0.03</v>
      </c>
      <c r="DW1382" s="1955">
        <v>0.03</v>
      </c>
      <c r="DX1382" s="1955">
        <v>0.03</v>
      </c>
      <c r="DY1382" s="325">
        <f t="shared" si="2748"/>
      </c>
      <c r="DZ1382" s="1955">
        <v>0.03</v>
      </c>
      <c r="EA1382" s="1955">
        <v>0.03</v>
      </c>
      <c r="EB1382" s="1955">
        <v>0.03</v>
      </c>
      <c r="EC1382" s="1955">
        <v>0.03</v>
      </c>
      <c r="ED1382" s="325">
        <f t="shared" si="2749"/>
      </c>
      <c r="EE1382" s="1955">
        <v>0.03</v>
      </c>
      <c r="EF1382" s="1955">
        <v>0.03</v>
      </c>
      <c r="EG1382" s="1955">
        <v>0.03</v>
      </c>
      <c r="EH1382" s="1955">
        <v>0.03</v>
      </c>
      <c r="EI1382" s="325">
        <f t="shared" si="2750"/>
      </c>
      <c r="EJ1382" s="325"/>
      <c r="EK1382" s="325"/>
      <c r="EL1382" s="325"/>
      <c r="EM1382" s="325"/>
      <c r="EN1382" s="325"/>
      <c r="EO1382" s="325"/>
      <c r="EP1382" s="325"/>
      <c r="EQ1382" s="325"/>
      <c r="ER1382" s="325"/>
      <c r="ES1382" s="325"/>
      <c r="ET1382" s="325"/>
      <c r="EU1382" s="325"/>
      <c r="EV1382" s="325"/>
      <c r="EW1382" s="325"/>
      <c r="EX1382" s="325"/>
    </row>
    <row r="1383" spans="2:154" outlineLevel="1">
      <c r="B1383" s="343" t="s">
        <v>865</v>
      </c>
      <c r="C1383" s="1990"/>
      <c r="D1383" s="25"/>
      <c r="E1383" s="25"/>
      <c r="F1383" s="25"/>
      <c r="G1383" s="25"/>
      <c r="H1383" s="25"/>
      <c r="I1383" s="261"/>
      <c r="J1383" s="261"/>
      <c r="K1383" s="261"/>
      <c r="L1383" s="261"/>
      <c r="M1383" s="261"/>
      <c r="N1383" s="261"/>
      <c r="O1383" s="261"/>
      <c r="P1383" s="261"/>
      <c r="Q1383" s="261"/>
      <c r="R1383" s="261"/>
      <c r="S1383" s="261"/>
      <c r="T1383" s="261"/>
      <c r="U1383" s="261"/>
      <c r="V1383" s="261"/>
      <c r="W1383" s="261"/>
      <c r="X1383" s="325"/>
      <c r="Y1383" s="261"/>
      <c r="Z1383" s="261"/>
      <c r="AA1383" s="261"/>
      <c r="AB1383" s="261"/>
      <c r="AC1383" s="325"/>
      <c r="AD1383" s="261"/>
      <c r="AE1383" s="261"/>
      <c r="AF1383" s="261"/>
      <c r="AG1383" s="261"/>
      <c r="AH1383" s="325"/>
      <c r="AI1383" s="261"/>
      <c r="AJ1383" s="261"/>
      <c r="AK1383" s="261"/>
      <c r="AL1383" s="261"/>
      <c r="AM1383" s="325"/>
      <c r="AN1383" s="261"/>
      <c r="AO1383" s="261"/>
      <c r="AP1383" s="261"/>
      <c r="AQ1383" s="261"/>
      <c r="AR1383" s="325"/>
      <c r="AS1383" s="261"/>
      <c r="AT1383" s="261"/>
      <c r="AU1383" s="261"/>
      <c r="AV1383" s="261"/>
      <c r="AW1383" s="325"/>
      <c r="AX1383" s="261"/>
      <c r="AY1383" s="261"/>
      <c r="AZ1383" s="261"/>
      <c r="BA1383" s="261"/>
      <c r="BB1383" s="325"/>
      <c r="BC1383" s="261"/>
      <c r="BD1383" s="261"/>
      <c r="BE1383" s="261"/>
      <c r="BF1383" s="261"/>
      <c r="BG1383" s="325"/>
      <c r="BH1383" s="261"/>
      <c r="BI1383" s="261"/>
      <c r="BJ1383" s="261"/>
      <c r="BK1383" s="261"/>
      <c r="BL1383" s="325"/>
      <c r="BM1383" s="261"/>
      <c r="BN1383" s="261"/>
      <c r="BO1383" s="261"/>
      <c r="BP1383" s="261"/>
      <c r="BQ1383" s="325"/>
      <c r="BR1383" s="261"/>
      <c r="BS1383" s="261"/>
      <c r="BT1383" s="261"/>
      <c r="BU1383" s="261"/>
      <c r="BV1383" s="325"/>
      <c r="BW1383" s="261"/>
      <c r="BX1383" s="261"/>
      <c r="BY1383" s="261"/>
      <c r="BZ1383" s="261"/>
      <c r="CA1383" s="325"/>
      <c r="CB1383" s="261"/>
      <c r="CC1383" s="261"/>
      <c r="CD1383" s="261"/>
      <c r="CE1383" s="261"/>
      <c r="CF1383" s="325"/>
      <c r="CG1383" s="261"/>
      <c r="CH1383" s="261"/>
      <c r="CI1383" s="261"/>
      <c r="CJ1383" s="261"/>
      <c r="CK1383" s="325"/>
      <c r="CL1383" s="261"/>
      <c r="CM1383" s="261"/>
      <c r="CN1383" s="261"/>
      <c r="CO1383" s="261"/>
      <c r="CP1383" s="325"/>
      <c r="CQ1383" s="261"/>
      <c r="CR1383" s="261"/>
      <c r="CS1383" s="261"/>
      <c r="CT1383" s="261"/>
      <c r="CU1383" s="325"/>
      <c r="CV1383" s="1955">
        <v>0.1</v>
      </c>
      <c r="CW1383" s="1955">
        <v>0.1</v>
      </c>
      <c r="CX1383" s="1955">
        <v>0.1</v>
      </c>
      <c r="CY1383" s="1955">
        <v>0.1</v>
      </c>
      <c r="CZ1383" s="2774">
        <v>0.1</v>
      </c>
      <c r="DA1383" s="1955">
        <v>0.1</v>
      </c>
      <c r="DB1383" s="1955">
        <v>0.1</v>
      </c>
      <c r="DC1383" s="1955">
        <v>0.1</v>
      </c>
      <c r="DD1383" s="1955">
        <v>0.1</v>
      </c>
      <c r="DE1383" s="2774">
        <v>0.1</v>
      </c>
      <c r="DF1383" s="1955">
        <v>0.1</v>
      </c>
      <c r="DG1383" s="1955">
        <v>0.1</v>
      </c>
      <c r="DH1383" s="1955">
        <v>0.1</v>
      </c>
      <c r="DI1383" s="1955">
        <v>0.1</v>
      </c>
      <c r="DJ1383" s="2774">
        <v>0.1</v>
      </c>
      <c r="DK1383" s="1955">
        <v>0.1</v>
      </c>
      <c r="DL1383" s="1955">
        <v>0.1</v>
      </c>
      <c r="DM1383" s="1955">
        <v>0.1</v>
      </c>
      <c r="DN1383" s="1955">
        <v>0.1</v>
      </c>
      <c r="DO1383" s="2774">
        <v>0.1</v>
      </c>
      <c r="DP1383" s="1955">
        <v>0.1</v>
      </c>
      <c r="DQ1383" s="1955">
        <v>0.1</v>
      </c>
      <c r="DR1383" s="1955">
        <v>0.1</v>
      </c>
      <c r="DS1383" s="1955">
        <v>0.1</v>
      </c>
      <c r="DT1383" s="2774">
        <f t="shared" si="2747"/>
      </c>
      <c r="DU1383" s="1955">
        <v>0.1</v>
      </c>
      <c r="DV1383" s="1955">
        <v>0.1</v>
      </c>
      <c r="DW1383" s="1955">
        <v>0.1</v>
      </c>
      <c r="DX1383" s="1955">
        <v>0.1</v>
      </c>
      <c r="DY1383" s="325">
        <f t="shared" si="2748"/>
      </c>
      <c r="DZ1383" s="1955">
        <v>0.1</v>
      </c>
      <c r="EA1383" s="1955">
        <v>0.1</v>
      </c>
      <c r="EB1383" s="1955">
        <v>0.1</v>
      </c>
      <c r="EC1383" s="1955">
        <v>0.1</v>
      </c>
      <c r="ED1383" s="325">
        <f t="shared" si="2749"/>
      </c>
      <c r="EE1383" s="1955">
        <v>0.11</v>
      </c>
      <c r="EF1383" s="1955">
        <v>0.115</v>
      </c>
      <c r="EG1383" s="1955">
        <v>0.12</v>
      </c>
      <c r="EH1383" s="1955">
        <v>0.125</v>
      </c>
      <c r="EI1383" s="325">
        <f t="shared" si="2750"/>
      </c>
      <c r="EJ1383" s="325"/>
      <c r="EK1383" s="325"/>
      <c r="EL1383" s="325"/>
      <c r="EM1383" s="325"/>
      <c r="EN1383" s="325"/>
      <c r="EO1383" s="325"/>
      <c r="EP1383" s="325"/>
      <c r="EQ1383" s="325"/>
      <c r="ER1383" s="325"/>
      <c r="ES1383" s="325"/>
      <c r="ET1383" s="325"/>
      <c r="EU1383" s="325"/>
      <c r="EV1383" s="325"/>
      <c r="EW1383" s="325"/>
      <c r="EX1383" s="325"/>
    </row>
    <row r="1384" spans="2:154" outlineLevel="1">
      <c r="B1384" s="343"/>
      <c r="C1384" s="1990"/>
      <c r="D1384" s="25"/>
      <c r="E1384" s="25"/>
      <c r="F1384" s="25"/>
      <c r="G1384" s="25"/>
      <c r="H1384" s="25"/>
      <c r="I1384" s="261"/>
      <c r="J1384" s="261"/>
      <c r="K1384" s="261"/>
      <c r="L1384" s="261"/>
      <c r="M1384" s="261"/>
      <c r="N1384" s="261"/>
      <c r="O1384" s="261"/>
      <c r="P1384" s="261"/>
      <c r="Q1384" s="261"/>
      <c r="R1384" s="261"/>
      <c r="S1384" s="261"/>
      <c r="T1384" s="261"/>
      <c r="U1384" s="261"/>
      <c r="V1384" s="261"/>
      <c r="W1384" s="261"/>
      <c r="X1384" s="325"/>
      <c r="Y1384" s="261"/>
      <c r="Z1384" s="261"/>
      <c r="AA1384" s="261"/>
      <c r="AB1384" s="261"/>
      <c r="AC1384" s="325"/>
      <c r="AD1384" s="261"/>
      <c r="AE1384" s="261"/>
      <c r="AF1384" s="261"/>
      <c r="AG1384" s="261"/>
      <c r="AH1384" s="325"/>
      <c r="AI1384" s="261"/>
      <c r="AJ1384" s="261"/>
      <c r="AK1384" s="261"/>
      <c r="AL1384" s="261"/>
      <c r="AM1384" s="325"/>
      <c r="AN1384" s="261"/>
      <c r="AO1384" s="261"/>
      <c r="AP1384" s="261"/>
      <c r="AQ1384" s="261"/>
      <c r="AR1384" s="325"/>
      <c r="AS1384" s="261"/>
      <c r="AT1384" s="261"/>
      <c r="AU1384" s="261"/>
      <c r="AV1384" s="261"/>
      <c r="AW1384" s="325"/>
      <c r="AX1384" s="261"/>
      <c r="AY1384" s="261"/>
      <c r="AZ1384" s="261"/>
      <c r="BA1384" s="261"/>
      <c r="BB1384" s="325"/>
      <c r="BC1384" s="261"/>
      <c r="BD1384" s="261"/>
      <c r="BE1384" s="261"/>
      <c r="BF1384" s="261"/>
      <c r="BG1384" s="325"/>
      <c r="BH1384" s="261"/>
      <c r="BI1384" s="261"/>
      <c r="BJ1384" s="261"/>
      <c r="BK1384" s="261"/>
      <c r="BL1384" s="325"/>
      <c r="BM1384" s="261"/>
      <c r="BN1384" s="261"/>
      <c r="BO1384" s="261"/>
      <c r="BP1384" s="261"/>
      <c r="BQ1384" s="325"/>
      <c r="BR1384" s="261"/>
      <c r="BS1384" s="261"/>
      <c r="BT1384" s="261"/>
      <c r="BU1384" s="261"/>
      <c r="BV1384" s="325"/>
      <c r="BW1384" s="261"/>
      <c r="BX1384" s="261"/>
      <c r="BY1384" s="261"/>
      <c r="BZ1384" s="261"/>
      <c r="CA1384" s="325"/>
      <c r="CB1384" s="261"/>
      <c r="CC1384" s="261"/>
      <c r="CD1384" s="261"/>
      <c r="CE1384" s="261"/>
      <c r="CF1384" s="325"/>
      <c r="CG1384" s="261"/>
      <c r="CH1384" s="261"/>
      <c r="CI1384" s="261"/>
      <c r="CJ1384" s="261"/>
      <c r="CK1384" s="325"/>
      <c r="CL1384" s="261"/>
      <c r="CM1384" s="261"/>
      <c r="CN1384" s="261"/>
      <c r="CO1384" s="261"/>
      <c r="CP1384" s="325"/>
      <c r="CQ1384" s="261"/>
      <c r="CR1384" s="261"/>
      <c r="CS1384" s="261"/>
      <c r="CT1384" s="261"/>
      <c r="CU1384" s="325"/>
      <c r="CV1384" s="261"/>
      <c r="CW1384" s="261"/>
      <c r="CX1384" s="261"/>
      <c r="CY1384" s="261"/>
      <c r="CZ1384" s="325"/>
      <c r="DA1384" s="261"/>
      <c r="DB1384" s="261"/>
      <c r="DC1384" s="261"/>
      <c r="DD1384" s="261"/>
      <c r="DE1384" s="325"/>
      <c r="DF1384" s="261"/>
      <c r="DG1384" s="261"/>
      <c r="DH1384" s="261"/>
      <c r="DI1384" s="3162"/>
      <c r="DJ1384" s="325"/>
      <c r="DK1384" s="261"/>
      <c r="DL1384" s="261"/>
      <c r="DM1384" s="261"/>
      <c r="DN1384" s="261"/>
      <c r="DO1384" s="325"/>
      <c r="DP1384" s="261"/>
      <c r="DQ1384" s="261"/>
      <c r="DR1384" s="261"/>
      <c r="DS1384" s="261"/>
      <c r="DT1384" s="325"/>
      <c r="DU1384" s="261"/>
      <c r="DV1384" s="261"/>
      <c r="DW1384" s="261"/>
      <c r="DX1384" s="261"/>
      <c r="DY1384" s="325"/>
      <c r="DZ1384" s="261"/>
      <c r="EA1384" s="261"/>
      <c r="EB1384" s="261"/>
      <c r="EC1384" s="261"/>
      <c r="ED1384" s="325"/>
      <c r="EE1384" s="261"/>
      <c r="EF1384" s="261"/>
      <c r="EG1384" s="261"/>
      <c r="EH1384" s="992"/>
      <c r="EI1384" s="261"/>
      <c r="EJ1384" s="325"/>
      <c r="EK1384" s="325"/>
      <c r="EL1384" s="325"/>
      <c r="EM1384" s="325"/>
      <c r="EN1384" s="325"/>
      <c r="EO1384" s="325"/>
      <c r="EP1384" s="325"/>
      <c r="EQ1384" s="325"/>
      <c r="ER1384" s="325"/>
      <c r="ES1384" s="325"/>
      <c r="ET1384" s="325"/>
      <c r="EU1384" s="325"/>
      <c r="EV1384" s="325"/>
      <c r="EW1384" s="325"/>
      <c r="EX1384" s="325"/>
    </row>
    <row r="1385" spans="2:154" outlineLevel="1">
      <c r="B1385" s="343" t="s">
        <v>866</v>
      </c>
      <c r="C1385" s="1990"/>
      <c r="D1385" s="25"/>
      <c r="E1385" s="25"/>
      <c r="F1385" s="25"/>
      <c r="G1385" s="25"/>
      <c r="H1385" s="25"/>
      <c r="I1385" s="261"/>
      <c r="J1385" s="261"/>
      <c r="K1385" s="261"/>
      <c r="L1385" s="261"/>
      <c r="M1385" s="261"/>
      <c r="N1385" s="261"/>
      <c r="O1385" s="261"/>
      <c r="P1385" s="261"/>
      <c r="Q1385" s="261"/>
      <c r="R1385" s="261"/>
      <c r="S1385" s="261"/>
      <c r="T1385" s="261"/>
      <c r="U1385" s="261"/>
      <c r="V1385" s="261"/>
      <c r="W1385" s="261"/>
      <c r="X1385" s="325"/>
      <c r="Y1385" s="261"/>
      <c r="Z1385" s="261"/>
      <c r="AA1385" s="261"/>
      <c r="AB1385" s="261"/>
      <c r="AC1385" s="325"/>
      <c r="AD1385" s="261"/>
      <c r="AE1385" s="261"/>
      <c r="AF1385" s="261"/>
      <c r="AG1385" s="261"/>
      <c r="AH1385" s="325"/>
      <c r="AI1385" s="261"/>
      <c r="AJ1385" s="261"/>
      <c r="AK1385" s="261"/>
      <c r="AL1385" s="261"/>
      <c r="AM1385" s="325"/>
      <c r="AN1385" s="261"/>
      <c r="AO1385" s="261"/>
      <c r="AP1385" s="261"/>
      <c r="AQ1385" s="261"/>
      <c r="AR1385" s="325"/>
      <c r="AS1385" s="261"/>
      <c r="AT1385" s="261"/>
      <c r="AU1385" s="261"/>
      <c r="AV1385" s="261"/>
      <c r="AW1385" s="325"/>
      <c r="AX1385" s="261"/>
      <c r="AY1385" s="261"/>
      <c r="AZ1385" s="261"/>
      <c r="BA1385" s="261"/>
      <c r="BB1385" s="325"/>
      <c r="BC1385" s="261"/>
      <c r="BD1385" s="261"/>
      <c r="BE1385" s="261"/>
      <c r="BF1385" s="261"/>
      <c r="BG1385" s="325"/>
      <c r="BH1385" s="261"/>
      <c r="BI1385" s="261"/>
      <c r="BJ1385" s="261"/>
      <c r="BK1385" s="261"/>
      <c r="BL1385" s="325"/>
      <c r="BM1385" s="261"/>
      <c r="BN1385" s="261"/>
      <c r="BO1385" s="261"/>
      <c r="BP1385" s="261"/>
      <c r="BQ1385" s="325"/>
      <c r="BR1385" s="261"/>
      <c r="BS1385" s="261"/>
      <c r="BT1385" s="261"/>
      <c r="BU1385" s="261"/>
      <c r="BV1385" s="325"/>
      <c r="BW1385" s="261"/>
      <c r="BX1385" s="261"/>
      <c r="BY1385" s="261"/>
      <c r="BZ1385" s="261"/>
      <c r="CA1385" s="325"/>
      <c r="CB1385" s="261"/>
      <c r="CC1385" s="261"/>
      <c r="CD1385" s="261"/>
      <c r="CE1385" s="261"/>
      <c r="CF1385" s="325"/>
      <c r="CG1385" s="261"/>
      <c r="CH1385" s="261"/>
      <c r="CI1385" s="261"/>
      <c r="CJ1385" s="261"/>
      <c r="CK1385" s="325"/>
      <c r="CL1385" s="261"/>
      <c r="CM1385" s="261"/>
      <c r="CN1385" s="261"/>
      <c r="CO1385" s="261"/>
      <c r="CP1385" s="325"/>
      <c r="CQ1385" s="261"/>
      <c r="CR1385" s="261"/>
      <c r="CS1385" s="261"/>
      <c r="CT1385" s="261"/>
      <c r="CU1385" s="325"/>
      <c r="CV1385" s="261"/>
      <c r="CW1385" s="261"/>
      <c r="CX1385" s="261"/>
      <c r="CY1385" s="261"/>
      <c r="CZ1385" s="325"/>
      <c r="DA1385" s="261"/>
      <c r="DB1385" s="261"/>
      <c r="DC1385" s="261"/>
      <c r="DD1385" s="261"/>
      <c r="DE1385" s="325"/>
      <c r="DF1385" s="261"/>
      <c r="DG1385" s="261"/>
      <c r="DH1385" s="261"/>
      <c r="DI1385" s="3162"/>
      <c r="DJ1385" s="325"/>
      <c r="DK1385" s="261"/>
      <c r="DL1385" s="261"/>
      <c r="DM1385" s="261"/>
      <c r="DN1385" s="261"/>
      <c r="DO1385" s="325"/>
      <c r="DP1385" s="261"/>
      <c r="DQ1385" s="261"/>
      <c r="DR1385" s="261"/>
      <c r="DS1385" s="261"/>
      <c r="DT1385" s="325"/>
      <c r="DU1385" s="261"/>
      <c r="DV1385" s="261"/>
      <c r="DW1385" s="261"/>
      <c r="DX1385" s="261"/>
      <c r="DY1385" s="325"/>
      <c r="DZ1385" s="261"/>
      <c r="EA1385" s="261"/>
      <c r="EB1385" s="261"/>
      <c r="EC1385" s="261"/>
      <c r="ED1385" s="325"/>
      <c r="EE1385" s="261"/>
      <c r="EF1385" s="261"/>
      <c r="EG1385" s="261"/>
      <c r="EH1385" s="992"/>
      <c r="EI1385" s="261"/>
      <c r="EJ1385" s="325"/>
      <c r="EK1385" s="325"/>
      <c r="EL1385" s="325"/>
      <c r="EM1385" s="325"/>
      <c r="EN1385" s="325"/>
      <c r="EO1385" s="325"/>
      <c r="EP1385" s="325"/>
      <c r="EQ1385" s="325"/>
      <c r="ER1385" s="325"/>
      <c r="ES1385" s="325"/>
      <c r="ET1385" s="325"/>
      <c r="EU1385" s="325"/>
      <c r="EV1385" s="325"/>
      <c r="EW1385" s="325"/>
      <c r="EX1385" s="325"/>
    </row>
    <row r="1386" spans="2:154" outlineLevel="1">
      <c r="B1386" s="3313" t="s">
        <v>755</v>
      </c>
      <c r="C1386" s="1990"/>
      <c r="D1386" s="25"/>
      <c r="E1386" s="25"/>
      <c r="F1386" s="25"/>
      <c r="G1386" s="25"/>
      <c r="H1386" s="25"/>
      <c r="I1386" s="261"/>
      <c r="J1386" s="261"/>
      <c r="K1386" s="261"/>
      <c r="L1386" s="261"/>
      <c r="M1386" s="261"/>
      <c r="N1386" s="261"/>
      <c r="O1386" s="261"/>
      <c r="P1386" s="261"/>
      <c r="Q1386" s="261"/>
      <c r="R1386" s="261"/>
      <c r="S1386" s="261"/>
      <c r="T1386" s="261"/>
      <c r="U1386" s="261"/>
      <c r="V1386" s="261"/>
      <c r="W1386" s="261"/>
      <c r="X1386" s="325"/>
      <c r="Y1386" s="261"/>
      <c r="Z1386" s="261"/>
      <c r="AA1386" s="261"/>
      <c r="AB1386" s="261"/>
      <c r="AC1386" s="325"/>
      <c r="AD1386" s="261"/>
      <c r="AE1386" s="261"/>
      <c r="AF1386" s="261"/>
      <c r="AG1386" s="261"/>
      <c r="AH1386" s="325"/>
      <c r="AI1386" s="261"/>
      <c r="AJ1386" s="261"/>
      <c r="AK1386" s="261"/>
      <c r="AL1386" s="261"/>
      <c r="AM1386" s="325"/>
      <c r="AN1386" s="261"/>
      <c r="AO1386" s="261"/>
      <c r="AP1386" s="261"/>
      <c r="AQ1386" s="261"/>
      <c r="AR1386" s="325"/>
      <c r="AS1386" s="261"/>
      <c r="AT1386" s="261"/>
      <c r="AU1386" s="261"/>
      <c r="AV1386" s="261"/>
      <c r="AW1386" s="325"/>
      <c r="AX1386" s="261"/>
      <c r="AY1386" s="261"/>
      <c r="AZ1386" s="261"/>
      <c r="BA1386" s="261"/>
      <c r="BB1386" s="325"/>
      <c r="BC1386" s="261"/>
      <c r="BD1386" s="261"/>
      <c r="BE1386" s="261"/>
      <c r="BF1386" s="261"/>
      <c r="BG1386" s="325"/>
      <c r="BH1386" s="261"/>
      <c r="BI1386" s="261"/>
      <c r="BJ1386" s="261"/>
      <c r="BK1386" s="261"/>
      <c r="BL1386" s="325"/>
      <c r="BM1386" s="261"/>
      <c r="BN1386" s="261"/>
      <c r="BO1386" s="261"/>
      <c r="BP1386" s="261"/>
      <c r="BQ1386" s="325"/>
      <c r="BR1386" s="261"/>
      <c r="BS1386" s="261"/>
      <c r="BT1386" s="261"/>
      <c r="BU1386" s="261"/>
      <c r="BV1386" s="325"/>
      <c r="BW1386" s="261"/>
      <c r="BX1386" s="261"/>
      <c r="BY1386" s="261"/>
      <c r="BZ1386" s="261"/>
      <c r="CA1386" s="325"/>
      <c r="CB1386" s="261"/>
      <c r="CC1386" s="261"/>
      <c r="CD1386" s="261"/>
      <c r="CE1386" s="261"/>
      <c r="CF1386" s="325"/>
      <c r="CG1386" s="261"/>
      <c r="CH1386" s="261"/>
      <c r="CI1386" s="261"/>
      <c r="CJ1386" s="261"/>
      <c r="CK1386" s="325"/>
      <c r="CL1386" s="261"/>
      <c r="CM1386" s="261"/>
      <c r="CN1386" s="261"/>
      <c r="CO1386" s="261"/>
      <c r="CP1386" s="325"/>
      <c r="CQ1386" s="261"/>
      <c r="CR1386" s="261"/>
      <c r="CS1386" s="261"/>
      <c r="CT1386" s="261"/>
      <c r="CU1386" s="325"/>
      <c r="CV1386" s="948">
        <f t="shared" ref="CV1386:CV1392" si="2751">CV1377*CV$1393</f>
      </c>
      <c r="CW1386" s="948">
        <f t="shared" ref="CW1386:DX1392" si="2752">CW1377*CW$1393</f>
      </c>
      <c r="CX1386" s="948">
        <f t="shared" si="2752"/>
      </c>
      <c r="CY1386" s="948">
        <f t="shared" si="2752"/>
      </c>
      <c r="CZ1386" s="948">
        <f t="shared" si="2752"/>
      </c>
      <c r="DA1386" s="948">
        <f t="shared" si="2752"/>
      </c>
      <c r="DB1386" s="948">
        <f t="shared" si="2752"/>
      </c>
      <c r="DC1386" s="948">
        <f t="shared" si="2752"/>
      </c>
      <c r="DD1386" s="948">
        <f t="shared" si="2752"/>
      </c>
      <c r="DE1386" s="1505">
        <f t="shared" si="2752"/>
      </c>
      <c r="DF1386" s="948">
        <f t="shared" si="2752"/>
      </c>
      <c r="DG1386" s="948">
        <f t="shared" si="2752"/>
      </c>
      <c r="DH1386" s="948">
        <f t="shared" si="2752"/>
      </c>
      <c r="DI1386" s="948">
        <f t="shared" si="2752"/>
      </c>
      <c r="DJ1386" s="1505">
        <f t="shared" si="2752"/>
      </c>
      <c r="DK1386" s="948">
        <f t="shared" si="2752"/>
      </c>
      <c r="DL1386" s="948">
        <f t="shared" si="2752"/>
      </c>
      <c r="DM1386" s="948">
        <f t="shared" si="2752"/>
      </c>
      <c r="DN1386" s="948">
        <f t="shared" si="2752"/>
      </c>
      <c r="DO1386" s="1505">
        <f t="shared" si="2752"/>
      </c>
      <c r="DP1386" s="948">
        <f t="shared" si="2752"/>
      </c>
      <c r="DQ1386" s="948">
        <f t="shared" si="2752"/>
      </c>
      <c r="DR1386" s="948">
        <f t="shared" si="2752"/>
      </c>
      <c r="DS1386" s="948">
        <f t="shared" si="2752"/>
      </c>
      <c r="DT1386" s="1505">
        <f t="shared" si="2752"/>
      </c>
      <c r="DU1386" s="948">
        <f t="shared" si="2752"/>
      </c>
      <c r="DV1386" s="948">
        <f t="shared" si="2752"/>
      </c>
      <c r="DW1386" s="948">
        <f t="shared" ref="DW1386:DW1392" si="2753">DW1377*DW$1393</f>
      </c>
      <c r="DX1386" s="948">
        <f t="shared" si="2752"/>
      </c>
      <c r="DY1386" s="2060">
        <f t="shared" ref="DY1386:DY1392" si="2754">SUM(DU1386:DX1386)</f>
      </c>
      <c r="DZ1386" s="948">
        <f t="shared" ref="DZ1386:EC1392" si="2755">DZ1377*DZ$1393</f>
      </c>
      <c r="EA1386" s="948">
        <f t="shared" si="2755"/>
      </c>
      <c r="EB1386" s="948">
        <f t="shared" si="2755"/>
      </c>
      <c r="EC1386" s="948">
        <f t="shared" si="2755"/>
      </c>
      <c r="ED1386" s="1505">
        <f>SUM(DZ1386:EC1386)</f>
      </c>
      <c r="EE1386" s="948">
        <f t="shared" ref="EE1386:EH1392" si="2756">EE1377*EE$1393</f>
      </c>
      <c r="EF1386" s="948">
        <f t="shared" si="2756"/>
      </c>
      <c r="EG1386" s="948">
        <f t="shared" si="2756"/>
      </c>
      <c r="EH1386" s="1291">
        <f>EH1377*EH$1393</f>
      </c>
      <c r="EI1386" s="1505">
        <f>SUM(EE1386:EH1386)</f>
      </c>
      <c r="EJ1386" s="1854"/>
      <c r="EK1386" s="1854"/>
      <c r="EL1386" s="325"/>
      <c r="EM1386" s="325"/>
      <c r="EN1386" s="325"/>
      <c r="EO1386" s="325"/>
      <c r="EP1386" s="325"/>
      <c r="EQ1386" s="325"/>
      <c r="ER1386" s="325"/>
      <c r="ES1386" s="325"/>
      <c r="ET1386" s="325"/>
      <c r="EU1386" s="325"/>
      <c r="EV1386" s="325"/>
      <c r="EW1386" s="325"/>
      <c r="EX1386" s="325"/>
    </row>
    <row r="1387" spans="2:154" outlineLevel="1">
      <c r="B1387" s="3313" t="s">
        <v>570</v>
      </c>
      <c r="C1387" s="1990"/>
      <c r="D1387" s="25"/>
      <c r="E1387" s="25"/>
      <c r="F1387" s="25"/>
      <c r="G1387" s="25"/>
      <c r="H1387" s="25"/>
      <c r="I1387" s="261"/>
      <c r="J1387" s="261"/>
      <c r="K1387" s="261"/>
      <c r="L1387" s="261"/>
      <c r="M1387" s="261"/>
      <c r="N1387" s="261"/>
      <c r="O1387" s="261"/>
      <c r="P1387" s="261"/>
      <c r="Q1387" s="261"/>
      <c r="R1387" s="261"/>
      <c r="S1387" s="261"/>
      <c r="T1387" s="261"/>
      <c r="U1387" s="261"/>
      <c r="V1387" s="261"/>
      <c r="W1387" s="261"/>
      <c r="X1387" s="325"/>
      <c r="Y1387" s="261"/>
      <c r="Z1387" s="261"/>
      <c r="AA1387" s="261"/>
      <c r="AB1387" s="261"/>
      <c r="AC1387" s="325"/>
      <c r="AD1387" s="261"/>
      <c r="AE1387" s="261"/>
      <c r="AF1387" s="261"/>
      <c r="AG1387" s="261"/>
      <c r="AH1387" s="325"/>
      <c r="AI1387" s="261"/>
      <c r="AJ1387" s="261"/>
      <c r="AK1387" s="261"/>
      <c r="AL1387" s="261"/>
      <c r="AM1387" s="325"/>
      <c r="AN1387" s="261"/>
      <c r="AO1387" s="261"/>
      <c r="AP1387" s="261"/>
      <c r="AQ1387" s="261"/>
      <c r="AR1387" s="325"/>
      <c r="AS1387" s="261"/>
      <c r="AT1387" s="261"/>
      <c r="AU1387" s="261"/>
      <c r="AV1387" s="261"/>
      <c r="AW1387" s="325"/>
      <c r="AX1387" s="261"/>
      <c r="AY1387" s="261"/>
      <c r="AZ1387" s="261"/>
      <c r="BA1387" s="261"/>
      <c r="BB1387" s="325"/>
      <c r="BC1387" s="261"/>
      <c r="BD1387" s="261"/>
      <c r="BE1387" s="261"/>
      <c r="BF1387" s="261"/>
      <c r="BG1387" s="325"/>
      <c r="BH1387" s="261"/>
      <c r="BI1387" s="261"/>
      <c r="BJ1387" s="261"/>
      <c r="BK1387" s="261"/>
      <c r="BL1387" s="325"/>
      <c r="BM1387" s="261"/>
      <c r="BN1387" s="261"/>
      <c r="BO1387" s="261"/>
      <c r="BP1387" s="261"/>
      <c r="BQ1387" s="325"/>
      <c r="BR1387" s="261"/>
      <c r="BS1387" s="261"/>
      <c r="BT1387" s="261"/>
      <c r="BU1387" s="261"/>
      <c r="BV1387" s="325"/>
      <c r="BW1387" s="261"/>
      <c r="BX1387" s="261"/>
      <c r="BY1387" s="261"/>
      <c r="BZ1387" s="261"/>
      <c r="CA1387" s="325"/>
      <c r="CB1387" s="261"/>
      <c r="CC1387" s="261"/>
      <c r="CD1387" s="261"/>
      <c r="CE1387" s="261"/>
      <c r="CF1387" s="325"/>
      <c r="CG1387" s="261"/>
      <c r="CH1387" s="261"/>
      <c r="CI1387" s="261"/>
      <c r="CJ1387" s="261"/>
      <c r="CK1387" s="325"/>
      <c r="CL1387" s="261"/>
      <c r="CM1387" s="261"/>
      <c r="CN1387" s="261"/>
      <c r="CO1387" s="261"/>
      <c r="CP1387" s="325"/>
      <c r="CQ1387" s="261"/>
      <c r="CR1387" s="261"/>
      <c r="CS1387" s="261"/>
      <c r="CT1387" s="261"/>
      <c r="CU1387" s="325"/>
      <c r="CV1387" s="948">
        <f t="shared" si="2751"/>
      </c>
      <c r="CW1387" s="948">
        <f t="shared" ref="CW1387:DK1387" si="2757">CW1378*CW$1393</f>
      </c>
      <c r="CX1387" s="948">
        <f t="shared" si="2757"/>
      </c>
      <c r="CY1387" s="948">
        <f t="shared" si="2757"/>
      </c>
      <c r="CZ1387" s="948">
        <f t="shared" si="2757"/>
      </c>
      <c r="DA1387" s="948">
        <f t="shared" si="2757"/>
      </c>
      <c r="DB1387" s="948">
        <f t="shared" si="2757"/>
      </c>
      <c r="DC1387" s="948">
        <f t="shared" si="2757"/>
      </c>
      <c r="DD1387" s="948">
        <f t="shared" si="2757"/>
      </c>
      <c r="DE1387" s="1505">
        <f t="shared" si="2757"/>
      </c>
      <c r="DF1387" s="948">
        <f t="shared" si="2757"/>
      </c>
      <c r="DG1387" s="948">
        <f t="shared" si="2757"/>
      </c>
      <c r="DH1387" s="948">
        <f t="shared" si="2757"/>
      </c>
      <c r="DI1387" s="948">
        <f t="shared" si="2757"/>
      </c>
      <c r="DJ1387" s="1505">
        <f t="shared" si="2757"/>
      </c>
      <c r="DK1387" s="948">
        <f t="shared" si="2757"/>
      </c>
      <c r="DL1387" s="948">
        <f t="shared" si="2752"/>
      </c>
      <c r="DM1387" s="948">
        <f t="shared" si="2752"/>
      </c>
      <c r="DN1387" s="948">
        <f t="shared" si="2752"/>
      </c>
      <c r="DO1387" s="1505">
        <f t="shared" si="2752"/>
      </c>
      <c r="DP1387" s="948">
        <f t="shared" si="2752"/>
      </c>
      <c r="DQ1387" s="948">
        <f t="shared" si="2752"/>
      </c>
      <c r="DR1387" s="948">
        <f t="shared" si="2752"/>
      </c>
      <c r="DS1387" s="948">
        <f t="shared" si="2752"/>
      </c>
      <c r="DT1387" s="1505">
        <f t="shared" si="2752"/>
      </c>
      <c r="DU1387" s="948">
        <f t="shared" si="2752"/>
      </c>
      <c r="DV1387" s="948">
        <f t="shared" si="2752"/>
      </c>
      <c r="DW1387" s="948">
        <f t="shared" si="2753"/>
      </c>
      <c r="DX1387" s="948">
        <f t="shared" si="2752"/>
      </c>
      <c r="DY1387" s="3022">
        <f t="shared" si="2754"/>
      </c>
      <c r="DZ1387" s="948">
        <f t="shared" si="2755"/>
      </c>
      <c r="EA1387" s="948">
        <f t="shared" si="2755"/>
      </c>
      <c r="EB1387" s="948">
        <f t="shared" si="2755"/>
      </c>
      <c r="EC1387" s="948">
        <f t="shared" si="2755"/>
      </c>
      <c r="ED1387" s="1505">
        <f t="shared" ref="ED1387:ED1392" si="2758">SUM(DZ1387:EC1387)</f>
      </c>
      <c r="EE1387" s="948">
        <f t="shared" si="2756"/>
      </c>
      <c r="EF1387" s="948">
        <f t="shared" si="2756"/>
      </c>
      <c r="EG1387" s="948">
        <f t="shared" si="2756"/>
      </c>
      <c r="EH1387" s="1291">
        <f t="shared" si="2756"/>
      </c>
      <c r="EI1387" s="1505">
        <f t="shared" ref="EI1387:EI1392" si="2759">SUM(EE1387:EH1387)</f>
      </c>
      <c r="EJ1387" s="325"/>
      <c r="EK1387" s="325"/>
      <c r="EL1387" s="325"/>
      <c r="EM1387" s="325"/>
      <c r="EN1387" s="325"/>
      <c r="EO1387" s="325"/>
      <c r="EP1387" s="325"/>
      <c r="EQ1387" s="325"/>
      <c r="ER1387" s="325"/>
      <c r="ES1387" s="325"/>
      <c r="ET1387" s="325"/>
      <c r="EU1387" s="325"/>
      <c r="EV1387" s="325"/>
      <c r="EW1387" s="325"/>
      <c r="EX1387" s="325"/>
    </row>
    <row r="1388" spans="2:154" outlineLevel="1">
      <c r="B1388" s="3313" t="s">
        <v>569</v>
      </c>
      <c r="C1388" s="1990"/>
      <c r="D1388" s="25"/>
      <c r="E1388" s="25"/>
      <c r="F1388" s="25"/>
      <c r="G1388" s="25"/>
      <c r="H1388" s="25"/>
      <c r="I1388" s="261"/>
      <c r="J1388" s="261"/>
      <c r="K1388" s="261"/>
      <c r="L1388" s="261"/>
      <c r="M1388" s="261"/>
      <c r="N1388" s="261"/>
      <c r="O1388" s="261"/>
      <c r="P1388" s="261"/>
      <c r="Q1388" s="261"/>
      <c r="R1388" s="261"/>
      <c r="S1388" s="261"/>
      <c r="T1388" s="261"/>
      <c r="U1388" s="261"/>
      <c r="V1388" s="261"/>
      <c r="W1388" s="261"/>
      <c r="X1388" s="325"/>
      <c r="Y1388" s="261"/>
      <c r="Z1388" s="261"/>
      <c r="AA1388" s="261"/>
      <c r="AB1388" s="261"/>
      <c r="AC1388" s="325"/>
      <c r="AD1388" s="261"/>
      <c r="AE1388" s="261"/>
      <c r="AF1388" s="261"/>
      <c r="AG1388" s="261"/>
      <c r="AH1388" s="325"/>
      <c r="AI1388" s="261"/>
      <c r="AJ1388" s="261"/>
      <c r="AK1388" s="261"/>
      <c r="AL1388" s="261"/>
      <c r="AM1388" s="325"/>
      <c r="AN1388" s="261"/>
      <c r="AO1388" s="261"/>
      <c r="AP1388" s="261"/>
      <c r="AQ1388" s="261"/>
      <c r="AR1388" s="325"/>
      <c r="AS1388" s="261"/>
      <c r="AT1388" s="261"/>
      <c r="AU1388" s="261"/>
      <c r="AV1388" s="261"/>
      <c r="AW1388" s="325"/>
      <c r="AX1388" s="261"/>
      <c r="AY1388" s="261"/>
      <c r="AZ1388" s="261"/>
      <c r="BA1388" s="261"/>
      <c r="BB1388" s="325"/>
      <c r="BC1388" s="261"/>
      <c r="BD1388" s="261"/>
      <c r="BE1388" s="261"/>
      <c r="BF1388" s="261"/>
      <c r="BG1388" s="325"/>
      <c r="BH1388" s="261"/>
      <c r="BI1388" s="261"/>
      <c r="BJ1388" s="261"/>
      <c r="BK1388" s="261"/>
      <c r="BL1388" s="325"/>
      <c r="BM1388" s="261"/>
      <c r="BN1388" s="261"/>
      <c r="BO1388" s="261"/>
      <c r="BP1388" s="261"/>
      <c r="BQ1388" s="325"/>
      <c r="BR1388" s="261"/>
      <c r="BS1388" s="261"/>
      <c r="BT1388" s="261"/>
      <c r="BU1388" s="261"/>
      <c r="BV1388" s="325"/>
      <c r="BW1388" s="261"/>
      <c r="BX1388" s="261"/>
      <c r="BY1388" s="261"/>
      <c r="BZ1388" s="261"/>
      <c r="CA1388" s="325"/>
      <c r="CB1388" s="261"/>
      <c r="CC1388" s="261"/>
      <c r="CD1388" s="261"/>
      <c r="CE1388" s="261"/>
      <c r="CF1388" s="325"/>
      <c r="CG1388" s="261"/>
      <c r="CH1388" s="261"/>
      <c r="CI1388" s="261"/>
      <c r="CJ1388" s="261"/>
      <c r="CK1388" s="325"/>
      <c r="CL1388" s="261"/>
      <c r="CM1388" s="261"/>
      <c r="CN1388" s="261"/>
      <c r="CO1388" s="261"/>
      <c r="CP1388" s="325"/>
      <c r="CQ1388" s="261"/>
      <c r="CR1388" s="261"/>
      <c r="CS1388" s="261"/>
      <c r="CT1388" s="261"/>
      <c r="CU1388" s="325"/>
      <c r="CV1388" s="948">
        <f t="shared" si="2751"/>
      </c>
      <c r="CW1388" s="948">
        <f t="shared" si="2752"/>
      </c>
      <c r="CX1388" s="948">
        <f t="shared" si="2752"/>
      </c>
      <c r="CY1388" s="948">
        <f t="shared" si="2752"/>
      </c>
      <c r="CZ1388" s="948">
        <f t="shared" si="2752"/>
      </c>
      <c r="DA1388" s="948">
        <f t="shared" si="2752"/>
      </c>
      <c r="DB1388" s="948">
        <f t="shared" si="2752"/>
      </c>
      <c r="DC1388" s="948">
        <f t="shared" si="2752"/>
      </c>
      <c r="DD1388" s="948">
        <f t="shared" si="2752"/>
      </c>
      <c r="DE1388" s="1505">
        <f t="shared" si="2752"/>
      </c>
      <c r="DF1388" s="948">
        <f t="shared" si="2752"/>
      </c>
      <c r="DG1388" s="948">
        <f t="shared" si="2752"/>
      </c>
      <c r="DH1388" s="948">
        <f t="shared" si="2752"/>
      </c>
      <c r="DI1388" s="948">
        <f t="shared" si="2752"/>
      </c>
      <c r="DJ1388" s="1505">
        <f t="shared" si="2752"/>
      </c>
      <c r="DK1388" s="948">
        <f t="shared" si="2752"/>
      </c>
      <c r="DL1388" s="948">
        <f t="shared" si="2752"/>
      </c>
      <c r="DM1388" s="948">
        <f t="shared" si="2752"/>
      </c>
      <c r="DN1388" s="948">
        <f t="shared" si="2752"/>
      </c>
      <c r="DO1388" s="1505">
        <f t="shared" si="2752"/>
      </c>
      <c r="DP1388" s="948">
        <f t="shared" si="2752"/>
      </c>
      <c r="DQ1388" s="948">
        <f t="shared" si="2752"/>
      </c>
      <c r="DR1388" s="948">
        <f t="shared" si="2752"/>
      </c>
      <c r="DS1388" s="948">
        <f t="shared" si="2752"/>
      </c>
      <c r="DT1388" s="1505">
        <f t="shared" si="2752"/>
      </c>
      <c r="DU1388" s="948">
        <f t="shared" si="2752"/>
      </c>
      <c r="DV1388" s="948">
        <f t="shared" si="2752"/>
      </c>
      <c r="DW1388" s="948">
        <f t="shared" si="2753"/>
      </c>
      <c r="DX1388" s="948">
        <f t="shared" si="2752"/>
      </c>
      <c r="DY1388" s="3022">
        <f t="shared" si="2754"/>
      </c>
      <c r="DZ1388" s="948">
        <f t="shared" si="2755"/>
      </c>
      <c r="EA1388" s="948">
        <f t="shared" si="2755"/>
      </c>
      <c r="EB1388" s="948">
        <f t="shared" si="2755"/>
      </c>
      <c r="EC1388" s="948">
        <f t="shared" si="2755"/>
      </c>
      <c r="ED1388" s="1505">
        <f t="shared" si="2758"/>
      </c>
      <c r="EE1388" s="948">
        <f t="shared" si="2756"/>
      </c>
      <c r="EF1388" s="948">
        <f t="shared" si="2756"/>
      </c>
      <c r="EG1388" s="948">
        <f t="shared" si="2756"/>
      </c>
      <c r="EH1388" s="1291">
        <f t="shared" si="2756"/>
      </c>
      <c r="EI1388" s="1505">
        <f t="shared" si="2759"/>
      </c>
      <c r="EJ1388" s="325"/>
      <c r="EK1388" s="325"/>
      <c r="EL1388" s="325"/>
      <c r="EM1388" s="325"/>
      <c r="EN1388" s="325"/>
      <c r="EO1388" s="325"/>
      <c r="EP1388" s="325"/>
      <c r="EQ1388" s="325"/>
      <c r="ER1388" s="325"/>
      <c r="ES1388" s="325"/>
      <c r="ET1388" s="325"/>
      <c r="EU1388" s="325"/>
      <c r="EV1388" s="325"/>
      <c r="EW1388" s="325"/>
      <c r="EX1388" s="325"/>
    </row>
    <row r="1389" spans="2:154" outlineLevel="1">
      <c r="B1389" s="3313" t="s">
        <v>756</v>
      </c>
      <c r="C1389" s="946"/>
      <c r="D1389" s="946"/>
      <c r="E1389" s="946"/>
      <c r="F1389" s="946"/>
      <c r="G1389" s="946"/>
      <c r="H1389" s="946"/>
      <c r="I1389" s="946"/>
      <c r="J1389" s="946"/>
      <c r="K1389" s="946"/>
      <c r="L1389" s="946"/>
      <c r="M1389" s="946"/>
      <c r="N1389" s="946"/>
      <c r="O1389" s="946"/>
      <c r="P1389" s="946"/>
      <c r="Q1389" s="946"/>
      <c r="R1389" s="946"/>
      <c r="S1389" s="946"/>
      <c r="T1389" s="946"/>
      <c r="U1389" s="946"/>
      <c r="V1389" s="946"/>
      <c r="W1389" s="946"/>
      <c r="X1389" s="946"/>
      <c r="Y1389" s="946"/>
      <c r="Z1389" s="946"/>
      <c r="AA1389" s="946"/>
      <c r="AB1389" s="946"/>
      <c r="AC1389" s="946"/>
      <c r="AD1389" s="946"/>
      <c r="AE1389" s="946"/>
      <c r="AF1389" s="946"/>
      <c r="AG1389" s="946"/>
      <c r="AH1389" s="946"/>
      <c r="AI1389" s="946"/>
      <c r="AJ1389" s="946"/>
      <c r="AK1389" s="946"/>
      <c r="AL1389" s="946"/>
      <c r="AM1389" s="946"/>
      <c r="AN1389" s="946"/>
      <c r="AO1389" s="946"/>
      <c r="AP1389" s="946"/>
      <c r="AQ1389" s="946"/>
      <c r="AR1389" s="946"/>
      <c r="AS1389" s="946"/>
      <c r="AT1389" s="946"/>
      <c r="AU1389" s="946"/>
      <c r="AV1389" s="946"/>
      <c r="AW1389" s="946"/>
      <c r="AX1389" s="946"/>
      <c r="AY1389" s="946"/>
      <c r="AZ1389" s="946"/>
      <c r="BA1389" s="946"/>
      <c r="BB1389" s="946"/>
      <c r="BC1389" s="946"/>
      <c r="BD1389" s="946"/>
      <c r="BE1389" s="946"/>
      <c r="BF1389" s="946"/>
      <c r="BG1389" s="946"/>
      <c r="BH1389" s="946"/>
      <c r="BI1389" s="946"/>
      <c r="BJ1389" s="946"/>
      <c r="BK1389" s="946"/>
      <c r="BL1389" s="946"/>
      <c r="BM1389" s="946"/>
      <c r="BN1389" s="946"/>
      <c r="BO1389" s="946"/>
      <c r="BP1389" s="946"/>
      <c r="BQ1389" s="946"/>
      <c r="BR1389" s="946"/>
      <c r="BS1389" s="946"/>
      <c r="BT1389" s="946"/>
      <c r="BU1389" s="946"/>
      <c r="BV1389" s="946"/>
      <c r="BW1389" s="946"/>
      <c r="BX1389" s="946"/>
      <c r="BY1389" s="946"/>
      <c r="BZ1389" s="946"/>
      <c r="CA1389" s="946"/>
      <c r="CB1389" s="946"/>
      <c r="CC1389" s="946"/>
      <c r="CD1389" s="946"/>
      <c r="CE1389" s="946"/>
      <c r="CF1389" s="2724"/>
      <c r="CG1389" s="946"/>
      <c r="CH1389" s="946"/>
      <c r="CI1389" s="946"/>
      <c r="CJ1389" s="946"/>
      <c r="CK1389" s="2724"/>
      <c r="CL1389" s="946"/>
      <c r="CM1389" s="946"/>
      <c r="CN1389" s="946"/>
      <c r="CO1389" s="946"/>
      <c r="CP1389" s="2724"/>
      <c r="CQ1389" s="946"/>
      <c r="CR1389" s="946"/>
      <c r="CS1389" s="946"/>
      <c r="CT1389" s="946"/>
      <c r="CU1389" s="2724"/>
      <c r="CV1389" s="948">
        <f t="shared" si="2751"/>
      </c>
      <c r="CW1389" s="948">
        <f t="shared" si="2752"/>
      </c>
      <c r="CX1389" s="948">
        <f t="shared" si="2752"/>
      </c>
      <c r="CY1389" s="948">
        <f t="shared" si="2752"/>
      </c>
      <c r="CZ1389" s="948">
        <f t="shared" si="2752"/>
      </c>
      <c r="DA1389" s="948">
        <f t="shared" si="2752"/>
      </c>
      <c r="DB1389" s="948">
        <f t="shared" si="2752"/>
      </c>
      <c r="DC1389" s="948">
        <f t="shared" si="2752"/>
      </c>
      <c r="DD1389" s="948">
        <f t="shared" si="2752"/>
      </c>
      <c r="DE1389" s="1505">
        <f t="shared" si="2752"/>
      </c>
      <c r="DF1389" s="948">
        <f t="shared" si="2752"/>
      </c>
      <c r="DG1389" s="948">
        <f t="shared" si="2752"/>
      </c>
      <c r="DH1389" s="948">
        <f t="shared" si="2752"/>
      </c>
      <c r="DI1389" s="948">
        <f t="shared" si="2752"/>
      </c>
      <c r="DJ1389" s="1505">
        <f t="shared" si="2752"/>
      </c>
      <c r="DK1389" s="948">
        <f t="shared" si="2752"/>
      </c>
      <c r="DL1389" s="948">
        <f t="shared" si="2752"/>
      </c>
      <c r="DM1389" s="948">
        <f t="shared" si="2752"/>
      </c>
      <c r="DN1389" s="948">
        <f t="shared" si="2752"/>
      </c>
      <c r="DO1389" s="1505">
        <f t="shared" si="2752"/>
      </c>
      <c r="DP1389" s="948">
        <f t="shared" si="2752"/>
      </c>
      <c r="DQ1389" s="948">
        <f t="shared" si="2752"/>
      </c>
      <c r="DR1389" s="948">
        <f t="shared" si="2752"/>
      </c>
      <c r="DS1389" s="948">
        <f t="shared" si="2752"/>
      </c>
      <c r="DT1389" s="1505">
        <f t="shared" si="2752"/>
      </c>
      <c r="DU1389" s="948">
        <f t="shared" si="2752"/>
      </c>
      <c r="DV1389" s="948">
        <f t="shared" si="2752"/>
      </c>
      <c r="DW1389" s="948">
        <f t="shared" si="2753"/>
      </c>
      <c r="DX1389" s="948">
        <f t="shared" si="2752"/>
      </c>
      <c r="DY1389" s="3022">
        <f t="shared" si="2754"/>
      </c>
      <c r="DZ1389" s="948">
        <f t="shared" si="2755"/>
      </c>
      <c r="EA1389" s="948">
        <f t="shared" si="2755"/>
      </c>
      <c r="EB1389" s="948">
        <f t="shared" si="2755"/>
      </c>
      <c r="EC1389" s="948">
        <f t="shared" si="2755"/>
      </c>
      <c r="ED1389" s="1505">
        <f t="shared" si="2758"/>
      </c>
      <c r="EE1389" s="948">
        <f t="shared" si="2756"/>
      </c>
      <c r="EF1389" s="948">
        <f t="shared" si="2756"/>
      </c>
      <c r="EG1389" s="948">
        <f t="shared" si="2756"/>
      </c>
      <c r="EH1389" s="1291">
        <f t="shared" si="2756"/>
      </c>
      <c r="EI1389" s="1505">
        <f t="shared" si="2759"/>
      </c>
      <c r="EJ1389" s="325"/>
      <c r="EK1389" s="325"/>
      <c r="EL1389" s="325"/>
      <c r="EM1389" s="325"/>
      <c r="EN1389" s="325"/>
      <c r="EO1389" s="325"/>
      <c r="EP1389" s="325"/>
      <c r="EQ1389" s="325"/>
      <c r="ER1389" s="325"/>
      <c r="ES1389" s="325"/>
      <c r="ET1389" s="325"/>
      <c r="EU1389" s="325"/>
      <c r="EV1389" s="325"/>
      <c r="EW1389" s="325"/>
      <c r="EX1389" s="325"/>
    </row>
    <row r="1390" spans="2:154" outlineLevel="1">
      <c r="B1390" s="3313" t="s">
        <v>867</v>
      </c>
      <c r="C1390" s="946"/>
      <c r="D1390" s="946"/>
      <c r="E1390" s="946"/>
      <c r="F1390" s="946"/>
      <c r="G1390" s="946"/>
      <c r="H1390" s="946"/>
      <c r="I1390" s="946"/>
      <c r="J1390" s="946"/>
      <c r="K1390" s="946"/>
      <c r="L1390" s="946"/>
      <c r="M1390" s="946"/>
      <c r="N1390" s="946"/>
      <c r="O1390" s="946"/>
      <c r="P1390" s="946"/>
      <c r="Q1390" s="946"/>
      <c r="R1390" s="946"/>
      <c r="S1390" s="946"/>
      <c r="T1390" s="946"/>
      <c r="U1390" s="946"/>
      <c r="V1390" s="946"/>
      <c r="W1390" s="946"/>
      <c r="X1390" s="946"/>
      <c r="Y1390" s="946"/>
      <c r="Z1390" s="946"/>
      <c r="AA1390" s="946"/>
      <c r="AB1390" s="946"/>
      <c r="AC1390" s="946"/>
      <c r="AD1390" s="946"/>
      <c r="AE1390" s="946"/>
      <c r="AF1390" s="946"/>
      <c r="AG1390" s="946"/>
      <c r="AH1390" s="946"/>
      <c r="AI1390" s="946"/>
      <c r="AJ1390" s="946"/>
      <c r="AK1390" s="946"/>
      <c r="AL1390" s="946"/>
      <c r="AM1390" s="946"/>
      <c r="AN1390" s="946"/>
      <c r="AO1390" s="946"/>
      <c r="AP1390" s="946"/>
      <c r="AQ1390" s="946"/>
      <c r="AR1390" s="946"/>
      <c r="AS1390" s="946"/>
      <c r="AT1390" s="946"/>
      <c r="AU1390" s="946"/>
      <c r="AV1390" s="946"/>
      <c r="AW1390" s="946"/>
      <c r="AX1390" s="946"/>
      <c r="AY1390" s="946"/>
      <c r="AZ1390" s="946"/>
      <c r="BA1390" s="946"/>
      <c r="BB1390" s="946"/>
      <c r="BC1390" s="946"/>
      <c r="BD1390" s="946"/>
      <c r="BE1390" s="946"/>
      <c r="BF1390" s="946"/>
      <c r="BG1390" s="946"/>
      <c r="BH1390" s="946"/>
      <c r="BI1390" s="946"/>
      <c r="BJ1390" s="946"/>
      <c r="BK1390" s="946"/>
      <c r="BL1390" s="946"/>
      <c r="BM1390" s="946"/>
      <c r="BN1390" s="946"/>
      <c r="BO1390" s="946"/>
      <c r="BP1390" s="946"/>
      <c r="BQ1390" s="946"/>
      <c r="BR1390" s="946"/>
      <c r="BS1390" s="946"/>
      <c r="BT1390" s="946"/>
      <c r="BU1390" s="946"/>
      <c r="BV1390" s="946"/>
      <c r="BW1390" s="946"/>
      <c r="BX1390" s="946"/>
      <c r="BY1390" s="946"/>
      <c r="BZ1390" s="946"/>
      <c r="CA1390" s="946"/>
      <c r="CB1390" s="946"/>
      <c r="CC1390" s="946"/>
      <c r="CD1390" s="946"/>
      <c r="CE1390" s="946"/>
      <c r="CF1390" s="2724"/>
      <c r="CG1390" s="946"/>
      <c r="CH1390" s="946"/>
      <c r="CI1390" s="946"/>
      <c r="CJ1390" s="946"/>
      <c r="CK1390" s="2724"/>
      <c r="CL1390" s="946"/>
      <c r="CM1390" s="946"/>
      <c r="CN1390" s="946"/>
      <c r="CO1390" s="946"/>
      <c r="CP1390" s="2724"/>
      <c r="CQ1390" s="946"/>
      <c r="CR1390" s="946"/>
      <c r="CS1390" s="946"/>
      <c r="CT1390" s="946"/>
      <c r="CU1390" s="2724"/>
      <c r="CV1390" s="948">
        <f t="shared" si="2751"/>
      </c>
      <c r="CW1390" s="948">
        <f t="shared" si="2752"/>
      </c>
      <c r="CX1390" s="948">
        <f t="shared" si="2752"/>
      </c>
      <c r="CY1390" s="948">
        <f t="shared" si="2752"/>
      </c>
      <c r="CZ1390" s="948">
        <f t="shared" si="2752"/>
      </c>
      <c r="DA1390" s="948">
        <f t="shared" si="2752"/>
      </c>
      <c r="DB1390" s="948">
        <f t="shared" si="2752"/>
      </c>
      <c r="DC1390" s="948">
        <f t="shared" si="2752"/>
      </c>
      <c r="DD1390" s="948">
        <f t="shared" si="2752"/>
      </c>
      <c r="DE1390" s="1505">
        <f t="shared" si="2752"/>
      </c>
      <c r="DF1390" s="948">
        <f t="shared" si="2752"/>
      </c>
      <c r="DG1390" s="948">
        <f t="shared" si="2752"/>
      </c>
      <c r="DH1390" s="948">
        <f t="shared" si="2752"/>
      </c>
      <c r="DI1390" s="948">
        <f t="shared" si="2752"/>
      </c>
      <c r="DJ1390" s="1505">
        <f t="shared" si="2752"/>
      </c>
      <c r="DK1390" s="948">
        <f t="shared" si="2752"/>
      </c>
      <c r="DL1390" s="948">
        <f t="shared" si="2752"/>
      </c>
      <c r="DM1390" s="948">
        <f t="shared" si="2752"/>
      </c>
      <c r="DN1390" s="948">
        <f t="shared" si="2752"/>
      </c>
      <c r="DO1390" s="1505">
        <f t="shared" si="2752"/>
      </c>
      <c r="DP1390" s="948">
        <f t="shared" si="2752"/>
      </c>
      <c r="DQ1390" s="948">
        <f t="shared" si="2752"/>
      </c>
      <c r="DR1390" s="948">
        <f t="shared" si="2752"/>
      </c>
      <c r="DS1390" s="948">
        <f t="shared" si="2752"/>
      </c>
      <c r="DT1390" s="1505">
        <f t="shared" si="2752"/>
      </c>
      <c r="DU1390" s="948">
        <f t="shared" si="2752"/>
      </c>
      <c r="DV1390" s="948">
        <f t="shared" si="2752"/>
      </c>
      <c r="DW1390" s="948">
        <f t="shared" si="2753"/>
      </c>
      <c r="DX1390" s="948">
        <f t="shared" si="2752"/>
      </c>
      <c r="DY1390" s="3022">
        <f t="shared" si="2754"/>
      </c>
      <c r="DZ1390" s="948">
        <f t="shared" si="2755"/>
      </c>
      <c r="EA1390" s="948">
        <f t="shared" si="2755"/>
      </c>
      <c r="EB1390" s="948">
        <f t="shared" si="2755"/>
      </c>
      <c r="EC1390" s="948">
        <f t="shared" si="2755"/>
      </c>
      <c r="ED1390" s="1505">
        <f t="shared" si="2758"/>
      </c>
      <c r="EE1390" s="948">
        <f t="shared" si="2756"/>
      </c>
      <c r="EF1390" s="948">
        <f t="shared" si="2756"/>
      </c>
      <c r="EG1390" s="948">
        <f t="shared" si="2756"/>
      </c>
      <c r="EH1390" s="1291">
        <f t="shared" si="2756"/>
      </c>
      <c r="EI1390" s="1505">
        <f t="shared" si="2759"/>
      </c>
      <c r="EJ1390" s="325"/>
      <c r="EK1390" s="325"/>
      <c r="EL1390" s="325"/>
      <c r="EM1390" s="325"/>
      <c r="EN1390" s="325"/>
      <c r="EO1390" s="325"/>
      <c r="EP1390" s="325"/>
      <c r="EQ1390" s="325"/>
      <c r="ER1390" s="325"/>
      <c r="ES1390" s="325"/>
      <c r="ET1390" s="325"/>
      <c r="EU1390" s="325"/>
      <c r="EV1390" s="325"/>
      <c r="EW1390" s="325"/>
      <c r="EX1390" s="325"/>
    </row>
    <row r="1391" spans="2:154" outlineLevel="1">
      <c r="B1391" s="3313" t="s">
        <v>868</v>
      </c>
      <c r="C1391" s="946"/>
      <c r="D1391" s="946"/>
      <c r="E1391" s="946"/>
      <c r="F1391" s="946"/>
      <c r="G1391" s="946"/>
      <c r="H1391" s="946"/>
      <c r="I1391" s="946"/>
      <c r="J1391" s="946"/>
      <c r="K1391" s="946"/>
      <c r="L1391" s="946"/>
      <c r="M1391" s="946"/>
      <c r="N1391" s="946"/>
      <c r="O1391" s="946"/>
      <c r="P1391" s="946"/>
      <c r="Q1391" s="946"/>
      <c r="R1391" s="946"/>
      <c r="S1391" s="946"/>
      <c r="T1391" s="946"/>
      <c r="U1391" s="946"/>
      <c r="V1391" s="946"/>
      <c r="W1391" s="946"/>
      <c r="X1391" s="946"/>
      <c r="Y1391" s="946"/>
      <c r="Z1391" s="946"/>
      <c r="AA1391" s="946"/>
      <c r="AB1391" s="946"/>
      <c r="AC1391" s="946"/>
      <c r="AD1391" s="946"/>
      <c r="AE1391" s="946"/>
      <c r="AF1391" s="946"/>
      <c r="AG1391" s="946"/>
      <c r="AH1391" s="946"/>
      <c r="AI1391" s="946"/>
      <c r="AJ1391" s="946"/>
      <c r="AK1391" s="946"/>
      <c r="AL1391" s="946"/>
      <c r="AM1391" s="946"/>
      <c r="AN1391" s="946"/>
      <c r="AO1391" s="946"/>
      <c r="AP1391" s="946"/>
      <c r="AQ1391" s="946"/>
      <c r="AR1391" s="946"/>
      <c r="AS1391" s="946"/>
      <c r="AT1391" s="946"/>
      <c r="AU1391" s="946"/>
      <c r="AV1391" s="946"/>
      <c r="AW1391" s="946"/>
      <c r="AX1391" s="946"/>
      <c r="AY1391" s="946"/>
      <c r="AZ1391" s="946"/>
      <c r="BA1391" s="946"/>
      <c r="BB1391" s="946"/>
      <c r="BC1391" s="946"/>
      <c r="BD1391" s="946"/>
      <c r="BE1391" s="946"/>
      <c r="BF1391" s="946"/>
      <c r="BG1391" s="946"/>
      <c r="BH1391" s="946"/>
      <c r="BI1391" s="946"/>
      <c r="BJ1391" s="946"/>
      <c r="BK1391" s="946"/>
      <c r="BL1391" s="946"/>
      <c r="BM1391" s="946"/>
      <c r="BN1391" s="946"/>
      <c r="BO1391" s="946"/>
      <c r="BP1391" s="946"/>
      <c r="BQ1391" s="946"/>
      <c r="BR1391" s="946"/>
      <c r="BS1391" s="946"/>
      <c r="BT1391" s="946"/>
      <c r="BU1391" s="946"/>
      <c r="BV1391" s="946"/>
      <c r="BW1391" s="946"/>
      <c r="BX1391" s="946"/>
      <c r="BY1391" s="946"/>
      <c r="BZ1391" s="946"/>
      <c r="CA1391" s="946"/>
      <c r="CB1391" s="946"/>
      <c r="CC1391" s="946"/>
      <c r="CD1391" s="946"/>
      <c r="CE1391" s="946"/>
      <c r="CF1391" s="2724"/>
      <c r="CG1391" s="946"/>
      <c r="CH1391" s="946"/>
      <c r="CI1391" s="946"/>
      <c r="CJ1391" s="946"/>
      <c r="CK1391" s="2724"/>
      <c r="CL1391" s="946"/>
      <c r="CM1391" s="946"/>
      <c r="CN1391" s="946"/>
      <c r="CO1391" s="946"/>
      <c r="CP1391" s="2724"/>
      <c r="CQ1391" s="946"/>
      <c r="CR1391" s="946"/>
      <c r="CS1391" s="946"/>
      <c r="CT1391" s="946"/>
      <c r="CU1391" s="2724"/>
      <c r="CV1391" s="948">
        <f t="shared" si="2751"/>
      </c>
      <c r="CW1391" s="948">
        <f t="shared" si="2752"/>
      </c>
      <c r="CX1391" s="948">
        <f t="shared" si="2752"/>
      </c>
      <c r="CY1391" s="948">
        <f t="shared" si="2752"/>
      </c>
      <c r="CZ1391" s="948">
        <f t="shared" si="2752"/>
      </c>
      <c r="DA1391" s="948">
        <f t="shared" si="2752"/>
      </c>
      <c r="DB1391" s="948">
        <f t="shared" si="2752"/>
      </c>
      <c r="DC1391" s="948">
        <f t="shared" si="2752"/>
      </c>
      <c r="DD1391" s="948">
        <f t="shared" si="2752"/>
      </c>
      <c r="DE1391" s="1505">
        <f t="shared" si="2752"/>
      </c>
      <c r="DF1391" s="948">
        <f t="shared" si="2752"/>
      </c>
      <c r="DG1391" s="948">
        <f t="shared" si="2752"/>
      </c>
      <c r="DH1391" s="948">
        <f t="shared" si="2752"/>
      </c>
      <c r="DI1391" s="948">
        <f t="shared" si="2752"/>
      </c>
      <c r="DJ1391" s="1505">
        <f t="shared" si="2752"/>
      </c>
      <c r="DK1391" s="948">
        <f t="shared" si="2752"/>
      </c>
      <c r="DL1391" s="948">
        <f t="shared" si="2752"/>
      </c>
      <c r="DM1391" s="948">
        <f t="shared" si="2752"/>
      </c>
      <c r="DN1391" s="948">
        <f t="shared" si="2752"/>
      </c>
      <c r="DO1391" s="1505">
        <f t="shared" si="2752"/>
      </c>
      <c r="DP1391" s="948">
        <f t="shared" si="2752"/>
      </c>
      <c r="DQ1391" s="948">
        <f t="shared" si="2752"/>
      </c>
      <c r="DR1391" s="948">
        <f t="shared" si="2752"/>
      </c>
      <c r="DS1391" s="948">
        <f t="shared" si="2752"/>
      </c>
      <c r="DT1391" s="1505">
        <f t="shared" si="2752"/>
      </c>
      <c r="DU1391" s="948">
        <f t="shared" si="2752"/>
      </c>
      <c r="DV1391" s="948">
        <f t="shared" si="2752"/>
      </c>
      <c r="DW1391" s="948">
        <f t="shared" si="2753"/>
      </c>
      <c r="DX1391" s="948">
        <f t="shared" si="2752"/>
      </c>
      <c r="DY1391" s="3022">
        <f t="shared" si="2754"/>
      </c>
      <c r="DZ1391" s="948">
        <f t="shared" si="2755"/>
      </c>
      <c r="EA1391" s="948">
        <f t="shared" si="2755"/>
      </c>
      <c r="EB1391" s="948">
        <f t="shared" si="2755"/>
      </c>
      <c r="EC1391" s="948">
        <f t="shared" si="2755"/>
      </c>
      <c r="ED1391" s="1505">
        <f t="shared" si="2758"/>
      </c>
      <c r="EE1391" s="948">
        <f t="shared" si="2756"/>
      </c>
      <c r="EF1391" s="948">
        <f t="shared" si="2756"/>
      </c>
      <c r="EG1391" s="948">
        <f t="shared" si="2756"/>
      </c>
      <c r="EH1391" s="1291">
        <f t="shared" si="2756"/>
      </c>
      <c r="EI1391" s="1505">
        <f t="shared" si="2759"/>
      </c>
      <c r="EJ1391" s="325"/>
      <c r="EK1391" s="325"/>
      <c r="EL1391" s="325"/>
      <c r="EM1391" s="325"/>
      <c r="EN1391" s="325"/>
      <c r="EO1391" s="325"/>
      <c r="EP1391" s="325"/>
      <c r="EQ1391" s="325"/>
      <c r="ER1391" s="325"/>
      <c r="ES1391" s="325"/>
      <c r="ET1391" s="325"/>
      <c r="EU1391" s="325"/>
      <c r="EV1391" s="325"/>
      <c r="EW1391" s="325"/>
      <c r="EX1391" s="325"/>
    </row>
    <row r="1392" spans="2:154" outlineLevel="1">
      <c r="B1392" s="3313" t="s">
        <v>20</v>
      </c>
      <c r="C1392" s="946"/>
      <c r="D1392" s="946"/>
      <c r="E1392" s="946"/>
      <c r="F1392" s="946"/>
      <c r="G1392" s="946"/>
      <c r="H1392" s="946"/>
      <c r="I1392" s="946"/>
      <c r="J1392" s="946"/>
      <c r="K1392" s="946"/>
      <c r="L1392" s="946"/>
      <c r="M1392" s="946"/>
      <c r="N1392" s="946"/>
      <c r="O1392" s="946"/>
      <c r="P1392" s="946"/>
      <c r="Q1392" s="946"/>
      <c r="R1392" s="946"/>
      <c r="S1392" s="946"/>
      <c r="T1392" s="946"/>
      <c r="U1392" s="946"/>
      <c r="V1392" s="946"/>
      <c r="W1392" s="946"/>
      <c r="X1392" s="946"/>
      <c r="Y1392" s="946"/>
      <c r="Z1392" s="946"/>
      <c r="AA1392" s="946"/>
      <c r="AB1392" s="946"/>
      <c r="AC1392" s="946"/>
      <c r="AD1392" s="946"/>
      <c r="AE1392" s="946"/>
      <c r="AF1392" s="946"/>
      <c r="AG1392" s="946"/>
      <c r="AH1392" s="946"/>
      <c r="AI1392" s="946"/>
      <c r="AJ1392" s="946"/>
      <c r="AK1392" s="946"/>
      <c r="AL1392" s="946"/>
      <c r="AM1392" s="946"/>
      <c r="AN1392" s="946"/>
      <c r="AO1392" s="946"/>
      <c r="AP1392" s="946"/>
      <c r="AQ1392" s="946"/>
      <c r="AR1392" s="946"/>
      <c r="AS1392" s="946"/>
      <c r="AT1392" s="946"/>
      <c r="AU1392" s="946"/>
      <c r="AV1392" s="946"/>
      <c r="AW1392" s="946"/>
      <c r="AX1392" s="946"/>
      <c r="AY1392" s="946"/>
      <c r="AZ1392" s="946"/>
      <c r="BA1392" s="946"/>
      <c r="BB1392" s="946"/>
      <c r="BC1392" s="946"/>
      <c r="BD1392" s="946"/>
      <c r="BE1392" s="946"/>
      <c r="BF1392" s="946"/>
      <c r="BG1392" s="946"/>
      <c r="BH1392" s="946"/>
      <c r="BI1392" s="946"/>
      <c r="BJ1392" s="946"/>
      <c r="BK1392" s="946"/>
      <c r="BL1392" s="946"/>
      <c r="BM1392" s="946"/>
      <c r="BN1392" s="946"/>
      <c r="BO1392" s="946"/>
      <c r="BP1392" s="946"/>
      <c r="BQ1392" s="946"/>
      <c r="BR1392" s="946"/>
      <c r="BS1392" s="946"/>
      <c r="BT1392" s="946"/>
      <c r="BU1392" s="946"/>
      <c r="BV1392" s="946"/>
      <c r="BW1392" s="946"/>
      <c r="BX1392" s="946"/>
      <c r="BY1392" s="946"/>
      <c r="BZ1392" s="946"/>
      <c r="CA1392" s="946"/>
      <c r="CB1392" s="946"/>
      <c r="CC1392" s="946"/>
      <c r="CD1392" s="946"/>
      <c r="CE1392" s="946"/>
      <c r="CF1392" s="2724"/>
      <c r="CG1392" s="946"/>
      <c r="CH1392" s="946"/>
      <c r="CI1392" s="946"/>
      <c r="CJ1392" s="946"/>
      <c r="CK1392" s="2724"/>
      <c r="CL1392" s="946"/>
      <c r="CM1392" s="946"/>
      <c r="CN1392" s="946"/>
      <c r="CO1392" s="946"/>
      <c r="CP1392" s="2724"/>
      <c r="CQ1392" s="946"/>
      <c r="CR1392" s="946"/>
      <c r="CS1392" s="946"/>
      <c r="CT1392" s="946"/>
      <c r="CU1392" s="2724"/>
      <c r="CV1392" s="948">
        <f t="shared" si="2751"/>
      </c>
      <c r="CW1392" s="948">
        <f t="shared" si="2752"/>
      </c>
      <c r="CX1392" s="948">
        <f t="shared" si="2752"/>
      </c>
      <c r="CY1392" s="948">
        <f t="shared" si="2752"/>
      </c>
      <c r="CZ1392" s="948">
        <f t="shared" si="2752"/>
      </c>
      <c r="DA1392" s="948">
        <f t="shared" si="2752"/>
      </c>
      <c r="DB1392" s="948">
        <f t="shared" si="2752"/>
      </c>
      <c r="DC1392" s="948">
        <f t="shared" si="2752"/>
      </c>
      <c r="DD1392" s="948">
        <f t="shared" si="2752"/>
      </c>
      <c r="DE1392" s="1505">
        <f t="shared" si="2752"/>
      </c>
      <c r="DF1392" s="948">
        <f t="shared" si="2752"/>
      </c>
      <c r="DG1392" s="948">
        <f t="shared" si="2752"/>
      </c>
      <c r="DH1392" s="948">
        <f t="shared" si="2752"/>
      </c>
      <c r="DI1392" s="948">
        <f t="shared" si="2752"/>
      </c>
      <c r="DJ1392" s="1505">
        <f t="shared" si="2752"/>
      </c>
      <c r="DK1392" s="948">
        <f t="shared" si="2752"/>
      </c>
      <c r="DL1392" s="948">
        <f t="shared" si="2752"/>
      </c>
      <c r="DM1392" s="948">
        <f t="shared" si="2752"/>
      </c>
      <c r="DN1392" s="948">
        <f t="shared" si="2752"/>
      </c>
      <c r="DO1392" s="1505">
        <f t="shared" si="2752"/>
      </c>
      <c r="DP1392" s="948">
        <f t="shared" si="2752"/>
      </c>
      <c r="DQ1392" s="948">
        <f t="shared" si="2752"/>
      </c>
      <c r="DR1392" s="948">
        <f t="shared" si="2752"/>
      </c>
      <c r="DS1392" s="948">
        <f t="shared" si="2752"/>
      </c>
      <c r="DT1392" s="1505">
        <f t="shared" si="2752"/>
      </c>
      <c r="DU1392" s="948">
        <f t="shared" si="2752"/>
      </c>
      <c r="DV1392" s="948">
        <f t="shared" si="2752"/>
      </c>
      <c r="DW1392" s="948">
        <f t="shared" si="2753"/>
      </c>
      <c r="DX1392" s="948">
        <f t="shared" si="2752"/>
      </c>
      <c r="DY1392" s="3022">
        <f t="shared" si="2754"/>
      </c>
      <c r="DZ1392" s="948">
        <f t="shared" si="2755"/>
      </c>
      <c r="EA1392" s="948">
        <f t="shared" si="2755"/>
      </c>
      <c r="EB1392" s="948">
        <f t="shared" si="2755"/>
      </c>
      <c r="EC1392" s="948">
        <f t="shared" si="2755"/>
      </c>
      <c r="ED1392" s="1505">
        <f t="shared" si="2758"/>
      </c>
      <c r="EE1392" s="948">
        <f t="shared" si="2756"/>
      </c>
      <c r="EF1392" s="948">
        <f t="shared" si="2756"/>
      </c>
      <c r="EG1392" s="948">
        <f t="shared" si="2756"/>
      </c>
      <c r="EH1392" s="1291">
        <f t="shared" si="2756"/>
      </c>
      <c r="EI1392" s="1505">
        <f t="shared" si="2759"/>
      </c>
      <c r="EJ1392" s="325"/>
      <c r="EK1392" s="325"/>
      <c r="EL1392" s="325"/>
      <c r="EM1392" s="325"/>
      <c r="EN1392" s="325"/>
      <c r="EO1392" s="325"/>
      <c r="EP1392" s="325"/>
      <c r="EQ1392" s="325"/>
      <c r="ER1392" s="325"/>
      <c r="ES1392" s="325"/>
      <c r="ET1392" s="325"/>
      <c r="EU1392" s="325"/>
      <c r="EV1392" s="325"/>
      <c r="EW1392" s="325"/>
      <c r="EX1392" s="325"/>
    </row>
    <row r="1393" spans="2:154" outlineLevel="1">
      <c r="B1393" s="3314" t="s">
        <v>869</v>
      </c>
      <c r="C1393" s="946"/>
      <c r="D1393" s="946"/>
      <c r="E1393" s="946"/>
      <c r="F1393" s="946"/>
      <c r="G1393" s="946"/>
      <c r="H1393" s="946"/>
      <c r="I1393" s="946"/>
      <c r="J1393" s="946"/>
      <c r="K1393" s="946"/>
      <c r="L1393" s="946"/>
      <c r="M1393" s="946"/>
      <c r="N1393" s="946"/>
      <c r="O1393" s="946"/>
      <c r="P1393" s="946"/>
      <c r="Q1393" s="946"/>
      <c r="R1393" s="946"/>
      <c r="S1393" s="946"/>
      <c r="T1393" s="946"/>
      <c r="U1393" s="946"/>
      <c r="V1393" s="946"/>
      <c r="W1393" s="946"/>
      <c r="X1393" s="946"/>
      <c r="Y1393" s="946"/>
      <c r="Z1393" s="946"/>
      <c r="AA1393" s="946"/>
      <c r="AB1393" s="946"/>
      <c r="AC1393" s="946"/>
      <c r="AD1393" s="946"/>
      <c r="AE1393" s="946"/>
      <c r="AF1393" s="946"/>
      <c r="AG1393" s="946"/>
      <c r="AH1393" s="946"/>
      <c r="AI1393" s="946"/>
      <c r="AJ1393" s="946"/>
      <c r="AK1393" s="946"/>
      <c r="AL1393" s="946"/>
      <c r="AM1393" s="946"/>
      <c r="AN1393" s="946"/>
      <c r="AO1393" s="946"/>
      <c r="AP1393" s="946"/>
      <c r="AQ1393" s="946"/>
      <c r="AR1393" s="946"/>
      <c r="AS1393" s="946"/>
      <c r="AT1393" s="946"/>
      <c r="AU1393" s="946"/>
      <c r="AV1393" s="946"/>
      <c r="AW1393" s="946"/>
      <c r="AX1393" s="946"/>
      <c r="AY1393" s="946"/>
      <c r="AZ1393" s="946"/>
      <c r="BA1393" s="946"/>
      <c r="BB1393" s="946"/>
      <c r="BC1393" s="946"/>
      <c r="BD1393" s="946"/>
      <c r="BE1393" s="946"/>
      <c r="BF1393" s="946"/>
      <c r="BG1393" s="946"/>
      <c r="BH1393" s="946"/>
      <c r="BI1393" s="946"/>
      <c r="BJ1393" s="946"/>
      <c r="BK1393" s="946"/>
      <c r="BL1393" s="946"/>
      <c r="BM1393" s="946"/>
      <c r="BN1393" s="946"/>
      <c r="BO1393" s="946"/>
      <c r="BP1393" s="946"/>
      <c r="BQ1393" s="946"/>
      <c r="BR1393" s="946"/>
      <c r="BS1393" s="946"/>
      <c r="BT1393" s="946"/>
      <c r="BU1393" s="946"/>
      <c r="BV1393" s="946"/>
      <c r="BW1393" s="946"/>
      <c r="BX1393" s="946"/>
      <c r="BY1393" s="946"/>
      <c r="BZ1393" s="946"/>
      <c r="CA1393" s="946"/>
      <c r="CB1393" s="946"/>
      <c r="CC1393" s="946"/>
      <c r="CD1393" s="946"/>
      <c r="CE1393" s="946"/>
      <c r="CF1393" s="2724"/>
      <c r="CG1393" s="946"/>
      <c r="CH1393" s="946"/>
      <c r="CI1393" s="946"/>
      <c r="CJ1393" s="946"/>
      <c r="CK1393" s="2724"/>
      <c r="CL1393" s="946"/>
      <c r="CM1393" s="946"/>
      <c r="CN1393" s="946"/>
      <c r="CO1393" s="946"/>
      <c r="CP1393" s="2724"/>
      <c r="CQ1393" s="946"/>
      <c r="CR1393" s="946"/>
      <c r="CS1393" s="946"/>
      <c r="CT1393" s="946"/>
      <c r="CU1393" s="2724"/>
      <c r="CV1393" s="1733">
        <f t="shared" ref="CV1393:EK1393" si="2760">CV1349</f>
      </c>
      <c r="CW1393" s="1733">
        <f t="shared" si="2760"/>
      </c>
      <c r="CX1393" s="1733">
        <f t="shared" si="2760"/>
      </c>
      <c r="CY1393" s="1733">
        <f t="shared" si="2760"/>
      </c>
      <c r="CZ1393" s="1732">
        <f t="shared" si="2760"/>
      </c>
      <c r="DA1393" s="2862">
        <f t="shared" si="2760"/>
      </c>
      <c r="DB1393" s="1733">
        <f t="shared" si="2760"/>
      </c>
      <c r="DC1393" s="1733">
        <f t="shared" si="2760"/>
      </c>
      <c r="DD1393" s="1733">
        <f t="shared" si="2760"/>
      </c>
      <c r="DE1393" s="1732">
        <f t="shared" si="2760"/>
      </c>
      <c r="DF1393" s="1733">
        <f t="shared" si="2760"/>
      </c>
      <c r="DG1393" s="1733">
        <f t="shared" si="2760"/>
      </c>
      <c r="DH1393" s="1733">
        <f t="shared" si="2760"/>
      </c>
      <c r="DI1393" s="1733">
        <f t="shared" si="2760"/>
      </c>
      <c r="DJ1393" s="1732">
        <f t="shared" si="2760"/>
      </c>
      <c r="DK1393" s="1733">
        <f t="shared" si="2760"/>
      </c>
      <c r="DL1393" s="1733">
        <f t="shared" si="2760"/>
      </c>
      <c r="DM1393" s="1733">
        <f t="shared" si="2760"/>
      </c>
      <c r="DN1393" s="1733">
        <f t="shared" si="2760"/>
      </c>
      <c r="DO1393" s="1732">
        <f t="shared" si="2760"/>
      </c>
      <c r="DP1393" s="1733">
        <f t="shared" si="2760"/>
      </c>
      <c r="DQ1393" s="1733">
        <f t="shared" si="2760"/>
      </c>
      <c r="DR1393" s="1733">
        <f t="shared" si="2760"/>
      </c>
      <c r="DS1393" s="1733">
        <f t="shared" si="2760"/>
      </c>
      <c r="DT1393" s="1732">
        <f t="shared" si="2760"/>
      </c>
      <c r="DU1393" s="1733">
        <f t="shared" si="2760"/>
      </c>
      <c r="DV1393" s="1733">
        <f t="shared" si="2760"/>
      </c>
      <c r="DW1393" s="1733">
        <f t="shared" si="2760"/>
      </c>
      <c r="DX1393" s="1733">
        <f t="shared" si="2760"/>
      </c>
      <c r="DY1393" s="1732">
        <f t="shared" si="2760"/>
      </c>
      <c r="DZ1393" s="1733">
        <f t="shared" si="2760"/>
      </c>
      <c r="EA1393" s="1733">
        <f t="shared" si="2760"/>
      </c>
      <c r="EB1393" s="1733">
        <f t="shared" si="2760"/>
      </c>
      <c r="EC1393" s="1733">
        <f t="shared" si="2760"/>
      </c>
      <c r="ED1393" s="1732">
        <f t="shared" si="2760"/>
      </c>
      <c r="EE1393" s="1733">
        <f t="shared" si="2760"/>
      </c>
      <c r="EF1393" s="1733">
        <f t="shared" si="2760"/>
      </c>
      <c r="EG1393" s="1733">
        <f t="shared" si="2760"/>
      </c>
      <c r="EH1393" s="2863">
        <f t="shared" si="2760"/>
      </c>
      <c r="EI1393" s="1732">
        <f t="shared" si="2760"/>
      </c>
      <c r="EJ1393" s="1732">
        <f t="shared" si="2760"/>
      </c>
      <c r="EK1393" s="1732">
        <f t="shared" si="2760"/>
      </c>
      <c r="EL1393" s="1732"/>
      <c r="EM1393" s="325"/>
      <c r="EN1393" s="325"/>
      <c r="EO1393" s="325"/>
      <c r="EP1393" s="325"/>
      <c r="EQ1393" s="325"/>
      <c r="ER1393" s="325"/>
      <c r="ES1393" s="325"/>
      <c r="ET1393" s="325"/>
      <c r="EU1393" s="325"/>
      <c r="EV1393" s="325"/>
      <c r="EW1393" s="325"/>
      <c r="EX1393" s="325"/>
    </row>
    <row r="1394" spans="2:154" outlineLevel="1">
      <c r="B1394" s="3314" t="s">
        <v>545</v>
      </c>
      <c r="C1394" s="946"/>
      <c r="D1394" s="946"/>
      <c r="E1394" s="946"/>
      <c r="F1394" s="946"/>
      <c r="G1394" s="946"/>
      <c r="H1394" s="946"/>
      <c r="I1394" s="946"/>
      <c r="J1394" s="946"/>
      <c r="K1394" s="946"/>
      <c r="L1394" s="946"/>
      <c r="M1394" s="946"/>
      <c r="N1394" s="946"/>
      <c r="O1394" s="946"/>
      <c r="P1394" s="946"/>
      <c r="Q1394" s="946"/>
      <c r="R1394" s="946"/>
      <c r="S1394" s="946"/>
      <c r="T1394" s="946"/>
      <c r="U1394" s="946"/>
      <c r="V1394" s="946"/>
      <c r="W1394" s="946"/>
      <c r="X1394" s="946"/>
      <c r="Y1394" s="946"/>
      <c r="Z1394" s="946"/>
      <c r="AA1394" s="946"/>
      <c r="AB1394" s="946"/>
      <c r="AC1394" s="946"/>
      <c r="AD1394" s="946"/>
      <c r="AE1394" s="946"/>
      <c r="AF1394" s="946"/>
      <c r="AG1394" s="946"/>
      <c r="AH1394" s="946"/>
      <c r="AI1394" s="946"/>
      <c r="AJ1394" s="946"/>
      <c r="AK1394" s="946"/>
      <c r="AL1394" s="946"/>
      <c r="AM1394" s="946"/>
      <c r="AN1394" s="946"/>
      <c r="AO1394" s="946"/>
      <c r="AP1394" s="946"/>
      <c r="AQ1394" s="946"/>
      <c r="AR1394" s="946"/>
      <c r="AS1394" s="946"/>
      <c r="AT1394" s="946"/>
      <c r="AU1394" s="946"/>
      <c r="AV1394" s="946"/>
      <c r="AW1394" s="946"/>
      <c r="AX1394" s="946"/>
      <c r="AY1394" s="946"/>
      <c r="AZ1394" s="946"/>
      <c r="BA1394" s="946"/>
      <c r="BB1394" s="946"/>
      <c r="BC1394" s="946"/>
      <c r="BD1394" s="946"/>
      <c r="BE1394" s="946"/>
      <c r="BF1394" s="946"/>
      <c r="BG1394" s="946"/>
      <c r="BH1394" s="946"/>
      <c r="BI1394" s="946"/>
      <c r="BJ1394" s="946"/>
      <c r="BK1394" s="946"/>
      <c r="BL1394" s="946"/>
      <c r="BM1394" s="946"/>
      <c r="BN1394" s="946"/>
      <c r="BO1394" s="946"/>
      <c r="BP1394" s="946"/>
      <c r="BQ1394" s="946"/>
      <c r="BR1394" s="946"/>
      <c r="BS1394" s="946"/>
      <c r="BT1394" s="946"/>
      <c r="BU1394" s="946"/>
      <c r="BV1394" s="946"/>
      <c r="BW1394" s="946"/>
      <c r="BX1394" s="946"/>
      <c r="BY1394" s="946"/>
      <c r="BZ1394" s="946"/>
      <c r="CA1394" s="946"/>
      <c r="CB1394" s="946"/>
      <c r="CC1394" s="946"/>
      <c r="CD1394" s="946"/>
      <c r="CE1394" s="946"/>
      <c r="CF1394" s="2724"/>
      <c r="CG1394" s="946"/>
      <c r="CH1394" s="946"/>
      <c r="CI1394" s="946"/>
      <c r="CJ1394" s="946"/>
      <c r="CK1394" s="2724"/>
      <c r="CL1394" s="946"/>
      <c r="CM1394" s="946"/>
      <c r="CN1394" s="946"/>
      <c r="CO1394" s="946"/>
      <c r="CP1394" s="2724"/>
      <c r="CQ1394" s="946"/>
      <c r="CR1394" s="946"/>
      <c r="CS1394" s="946"/>
      <c r="CT1394" s="946"/>
      <c r="CU1394" s="2724"/>
      <c r="CV1394" s="3163">
        <f t="shared" ref="CV1394:EI1394" si="2761">CV1393/CV1350</f>
      </c>
      <c r="CW1394" s="3163">
        <f t="shared" si="2761"/>
      </c>
      <c r="CX1394" s="3163">
        <f t="shared" si="2761"/>
      </c>
      <c r="CY1394" s="3163">
        <f t="shared" si="2761"/>
      </c>
      <c r="CZ1394" s="3070">
        <f t="shared" si="2761"/>
      </c>
      <c r="DA1394" s="3163">
        <f t="shared" si="2761"/>
      </c>
      <c r="DB1394" s="3163">
        <f t="shared" si="2761"/>
      </c>
      <c r="DC1394" s="3163">
        <f t="shared" si="2761"/>
      </c>
      <c r="DD1394" s="3163">
        <f t="shared" si="2761"/>
      </c>
      <c r="DE1394" s="3070">
        <f t="shared" si="2761"/>
      </c>
      <c r="DF1394" s="3163">
        <f t="shared" si="2761"/>
      </c>
      <c r="DG1394" s="3163">
        <f t="shared" si="2761"/>
      </c>
      <c r="DH1394" s="3163">
        <f t="shared" si="2761"/>
      </c>
      <c r="DI1394" s="3163">
        <f t="shared" si="2761"/>
      </c>
      <c r="DJ1394" s="3070">
        <f t="shared" si="2761"/>
      </c>
      <c r="DK1394" s="3163">
        <f t="shared" si="2761"/>
      </c>
      <c r="DL1394" s="3163">
        <f t="shared" si="2761"/>
      </c>
      <c r="DM1394" s="3163">
        <f t="shared" si="2761"/>
      </c>
      <c r="DN1394" s="3163">
        <f t="shared" si="2761"/>
      </c>
      <c r="DO1394" s="3070">
        <f t="shared" si="2761"/>
      </c>
      <c r="DP1394" s="3163">
        <f t="shared" si="2761"/>
      </c>
      <c r="DQ1394" s="3163">
        <f t="shared" si="2761"/>
      </c>
      <c r="DR1394" s="3163">
        <f t="shared" si="2761"/>
      </c>
      <c r="DS1394" s="3163">
        <f t="shared" si="2761"/>
      </c>
      <c r="DT1394" s="3070">
        <f t="shared" si="2761"/>
      </c>
      <c r="DU1394" s="3163">
        <f t="shared" si="2761"/>
      </c>
      <c r="DV1394" s="3163">
        <f t="shared" si="2761"/>
      </c>
      <c r="DW1394" s="3163">
        <f t="shared" si="2761"/>
      </c>
      <c r="DX1394" s="3163">
        <f t="shared" si="2761"/>
      </c>
      <c r="DY1394" s="3070">
        <f t="shared" si="2761"/>
      </c>
      <c r="DZ1394" s="3163">
        <f t="shared" si="2761"/>
      </c>
      <c r="EA1394" s="3163">
        <f t="shared" si="2761"/>
      </c>
      <c r="EB1394" s="3163">
        <f t="shared" si="2761"/>
      </c>
      <c r="EC1394" s="3163">
        <f t="shared" si="2761"/>
      </c>
      <c r="ED1394" s="3070">
        <f t="shared" si="2761"/>
      </c>
      <c r="EE1394" s="3163">
        <f t="shared" si="2761"/>
      </c>
      <c r="EF1394" s="3163">
        <f t="shared" si="2761"/>
      </c>
      <c r="EG1394" s="3163">
        <f t="shared" si="2761"/>
      </c>
      <c r="EH1394" s="3163">
        <f t="shared" si="2761"/>
      </c>
      <c r="EI1394" s="3070">
        <f t="shared" si="2761"/>
      </c>
      <c r="EJ1394" s="325"/>
      <c r="EK1394" s="325"/>
      <c r="EL1394" s="325"/>
      <c r="EM1394" s="325"/>
      <c r="EN1394" s="325"/>
      <c r="EO1394" s="325"/>
      <c r="EP1394" s="325"/>
      <c r="EQ1394" s="325"/>
      <c r="ER1394" s="325"/>
      <c r="ES1394" s="325"/>
      <c r="ET1394" s="325"/>
      <c r="EU1394" s="325"/>
      <c r="EV1394" s="325"/>
      <c r="EW1394" s="325"/>
      <c r="EX1394" s="325"/>
    </row>
    <row r="1395" spans="2:154" outlineLevel="1">
      <c r="B1395" s="3314"/>
      <c r="C1395" s="946"/>
      <c r="D1395" s="946"/>
      <c r="E1395" s="946"/>
      <c r="F1395" s="946"/>
      <c r="G1395" s="946"/>
      <c r="H1395" s="946"/>
      <c r="I1395" s="946"/>
      <c r="J1395" s="946"/>
      <c r="K1395" s="946"/>
      <c r="L1395" s="946"/>
      <c r="M1395" s="946"/>
      <c r="N1395" s="946"/>
      <c r="O1395" s="946"/>
      <c r="P1395" s="946"/>
      <c r="Q1395" s="946"/>
      <c r="R1395" s="946"/>
      <c r="S1395" s="946"/>
      <c r="T1395" s="946"/>
      <c r="U1395" s="946"/>
      <c r="V1395" s="946"/>
      <c r="W1395" s="946"/>
      <c r="X1395" s="946"/>
      <c r="Y1395" s="946"/>
      <c r="Z1395" s="946"/>
      <c r="AA1395" s="946"/>
      <c r="AB1395" s="946"/>
      <c r="AC1395" s="946"/>
      <c r="AD1395" s="946"/>
      <c r="AE1395" s="946"/>
      <c r="AF1395" s="946"/>
      <c r="AG1395" s="946"/>
      <c r="AH1395" s="946"/>
      <c r="AI1395" s="946"/>
      <c r="AJ1395" s="946"/>
      <c r="AK1395" s="946"/>
      <c r="AL1395" s="946"/>
      <c r="AM1395" s="946"/>
      <c r="AN1395" s="946"/>
      <c r="AO1395" s="946"/>
      <c r="AP1395" s="946"/>
      <c r="AQ1395" s="946"/>
      <c r="AR1395" s="946"/>
      <c r="AS1395" s="946"/>
      <c r="AT1395" s="946"/>
      <c r="AU1395" s="946"/>
      <c r="AV1395" s="946"/>
      <c r="AW1395" s="946"/>
      <c r="AX1395" s="946"/>
      <c r="AY1395" s="946"/>
      <c r="AZ1395" s="946"/>
      <c r="BA1395" s="946"/>
      <c r="BB1395" s="946"/>
      <c r="BC1395" s="946"/>
      <c r="BD1395" s="946"/>
      <c r="BE1395" s="946"/>
      <c r="BF1395" s="946"/>
      <c r="BG1395" s="946"/>
      <c r="BH1395" s="946"/>
      <c r="BI1395" s="946"/>
      <c r="BJ1395" s="946"/>
      <c r="BK1395" s="946"/>
      <c r="BL1395" s="946"/>
      <c r="BM1395" s="946"/>
      <c r="BN1395" s="946"/>
      <c r="BO1395" s="946"/>
      <c r="BP1395" s="946"/>
      <c r="BQ1395" s="946"/>
      <c r="BR1395" s="946"/>
      <c r="BS1395" s="946"/>
      <c r="BT1395" s="946"/>
      <c r="BU1395" s="946"/>
      <c r="BV1395" s="946"/>
      <c r="BW1395" s="946"/>
      <c r="BX1395" s="946"/>
      <c r="BY1395" s="946"/>
      <c r="BZ1395" s="946"/>
      <c r="CA1395" s="946"/>
      <c r="CB1395" s="946"/>
      <c r="CC1395" s="946"/>
      <c r="CD1395" s="946"/>
      <c r="CE1395" s="946"/>
      <c r="CF1395" s="2724"/>
      <c r="CG1395" s="946"/>
      <c r="CH1395" s="946"/>
      <c r="CI1395" s="946"/>
      <c r="CJ1395" s="946"/>
      <c r="CK1395" s="2724"/>
      <c r="CL1395" s="946"/>
      <c r="CM1395" s="946"/>
      <c r="CN1395" s="946"/>
      <c r="CO1395" s="946"/>
      <c r="CP1395" s="2724"/>
      <c r="CQ1395" s="946"/>
      <c r="CR1395" s="946"/>
      <c r="CS1395" s="946"/>
      <c r="CT1395" s="946"/>
      <c r="CU1395" s="2724"/>
      <c r="CV1395" s="946"/>
      <c r="CW1395" s="946"/>
      <c r="CX1395" s="946"/>
      <c r="CY1395" s="946"/>
      <c r="CZ1395" s="2724"/>
      <c r="DA1395" s="261"/>
      <c r="DB1395" s="261"/>
      <c r="DC1395" s="261"/>
      <c r="DD1395" s="261"/>
      <c r="DE1395" s="325"/>
      <c r="DF1395" s="261"/>
      <c r="DG1395" s="261"/>
      <c r="DH1395" s="261"/>
      <c r="DI1395" s="261"/>
      <c r="DJ1395" s="325"/>
      <c r="DK1395" s="261"/>
      <c r="DL1395" s="261"/>
      <c r="DM1395" s="261"/>
      <c r="DN1395" s="261"/>
      <c r="DO1395" s="325"/>
      <c r="DP1395" s="261"/>
      <c r="DQ1395" s="261"/>
      <c r="DR1395" s="261"/>
      <c r="DS1395" s="261"/>
      <c r="DT1395" s="325"/>
      <c r="DU1395" s="261"/>
      <c r="DV1395" s="261"/>
      <c r="DW1395" s="261"/>
      <c r="DX1395" s="261"/>
      <c r="DY1395" s="325"/>
      <c r="DZ1395" s="261"/>
      <c r="EA1395" s="261"/>
      <c r="EB1395" s="261"/>
      <c r="EC1395" s="1733">
        <v>3977.518837203374</v>
      </c>
      <c r="ED1395" s="1732">
        <v>15542.218837203374</v>
      </c>
      <c r="EE1395" s="1733">
        <v>4030.2402797801442</v>
      </c>
      <c r="EF1395" s="1733">
        <v>4178.4169341737761</v>
      </c>
      <c r="EG1395" s="1733">
        <v>4007.7723389318016</v>
      </c>
      <c r="EH1395" s="2863">
        <v>4098.5002761510705</v>
      </c>
      <c r="EI1395" s="1732">
        <v>16314.929829036791</v>
      </c>
      <c r="EJ1395" s="1732">
        <v>17078.325961416722</v>
      </c>
      <c r="EK1395" s="1732">
        <v>17965.850612913491</v>
      </c>
      <c r="EL1395" s="325"/>
      <c r="EM1395" s="325"/>
      <c r="EN1395" s="325"/>
      <c r="EO1395" s="325"/>
      <c r="EP1395" s="325"/>
      <c r="EQ1395" s="325"/>
      <c r="ER1395" s="325"/>
      <c r="ES1395" s="325"/>
      <c r="ET1395" s="325"/>
      <c r="EU1395" s="325"/>
      <c r="EV1395" s="325"/>
      <c r="EW1395" s="325"/>
      <c r="EX1395" s="325"/>
    </row>
    <row r="1396" spans="2:154" outlineLevel="1">
      <c r="B1396" s="343"/>
      <c r="C1396" s="1990"/>
      <c r="D1396" s="25"/>
      <c r="E1396" s="25"/>
      <c r="F1396" s="25"/>
      <c r="G1396" s="25"/>
      <c r="H1396" s="25"/>
      <c r="I1396" s="261"/>
      <c r="J1396" s="261"/>
      <c r="K1396" s="261"/>
      <c r="L1396" s="261"/>
      <c r="M1396" s="261"/>
      <c r="N1396" s="261"/>
      <c r="O1396" s="261"/>
      <c r="P1396" s="261"/>
      <c r="Q1396" s="261"/>
      <c r="R1396" s="261"/>
      <c r="S1396" s="261"/>
      <c r="T1396" s="261"/>
      <c r="U1396" s="261"/>
      <c r="V1396" s="261"/>
      <c r="W1396" s="261"/>
      <c r="X1396" s="325"/>
      <c r="Y1396" s="261"/>
      <c r="Z1396" s="261"/>
      <c r="AA1396" s="261"/>
      <c r="AB1396" s="261"/>
      <c r="AC1396" s="325"/>
      <c r="AD1396" s="261"/>
      <c r="AE1396" s="261"/>
      <c r="AF1396" s="261"/>
      <c r="AG1396" s="261"/>
      <c r="AH1396" s="325"/>
      <c r="AI1396" s="261"/>
      <c r="AJ1396" s="261"/>
      <c r="AK1396" s="261"/>
      <c r="AL1396" s="261"/>
      <c r="AM1396" s="325"/>
      <c r="AN1396" s="261"/>
      <c r="AO1396" s="261"/>
      <c r="AP1396" s="261"/>
      <c r="AQ1396" s="261"/>
      <c r="AR1396" s="325"/>
      <c r="AS1396" s="261"/>
      <c r="AT1396" s="261"/>
      <c r="AU1396" s="261"/>
      <c r="AV1396" s="261"/>
      <c r="AW1396" s="325"/>
      <c r="AX1396" s="261"/>
      <c r="AY1396" s="261"/>
      <c r="AZ1396" s="261"/>
      <c r="BA1396" s="261"/>
      <c r="BB1396" s="325"/>
      <c r="BC1396" s="261"/>
      <c r="BD1396" s="261"/>
      <c r="BE1396" s="261"/>
      <c r="BF1396" s="261"/>
      <c r="BG1396" s="325"/>
      <c r="BH1396" s="261"/>
      <c r="BI1396" s="261"/>
      <c r="BJ1396" s="261"/>
      <c r="BK1396" s="261"/>
      <c r="BL1396" s="325"/>
      <c r="BM1396" s="261"/>
      <c r="BN1396" s="261"/>
      <c r="BO1396" s="261"/>
      <c r="BP1396" s="261"/>
      <c r="BQ1396" s="325"/>
      <c r="BR1396" s="261"/>
      <c r="BS1396" s="261"/>
      <c r="BT1396" s="261"/>
      <c r="BU1396" s="261"/>
      <c r="BV1396" s="325"/>
      <c r="BW1396" s="261"/>
      <c r="BX1396" s="261"/>
      <c r="BY1396" s="261"/>
      <c r="BZ1396" s="261"/>
      <c r="CA1396" s="325"/>
      <c r="CB1396" s="261"/>
      <c r="CC1396" s="261"/>
      <c r="CD1396" s="261"/>
      <c r="CE1396" s="261"/>
      <c r="CF1396" s="325"/>
      <c r="CG1396" s="261"/>
      <c r="CH1396" s="261"/>
      <c r="CI1396" s="261"/>
      <c r="CJ1396" s="261"/>
      <c r="CK1396" s="325"/>
      <c r="CL1396" s="261"/>
      <c r="CM1396" s="261"/>
      <c r="CN1396" s="261"/>
      <c r="CO1396" s="261"/>
      <c r="CP1396" s="325"/>
      <c r="CQ1396" s="261"/>
      <c r="CR1396" s="261"/>
      <c r="CS1396" s="261"/>
      <c r="CT1396" s="261"/>
      <c r="CU1396" s="325"/>
      <c r="CV1396" s="261"/>
      <c r="CW1396" s="261"/>
      <c r="CX1396" s="261"/>
      <c r="CY1396" s="261"/>
      <c r="CZ1396" s="325"/>
      <c r="DA1396" s="261"/>
      <c r="DB1396" s="261"/>
      <c r="DC1396" s="261"/>
      <c r="DD1396" s="261"/>
      <c r="DE1396" s="325"/>
      <c r="DF1396" s="261"/>
      <c r="DG1396" s="261"/>
      <c r="DH1396" s="261"/>
      <c r="DI1396" s="261"/>
      <c r="DJ1396" s="325"/>
      <c r="DK1396" s="261"/>
      <c r="DL1396" s="261"/>
      <c r="DM1396" s="261"/>
      <c r="DN1396" s="261"/>
      <c r="DO1396" s="2724"/>
      <c r="DP1396" s="261"/>
      <c r="DQ1396" s="261"/>
      <c r="DR1396" s="261"/>
      <c r="DS1396" s="261"/>
      <c r="DT1396" s="325"/>
      <c r="DU1396" s="261"/>
      <c r="DV1396" s="261"/>
      <c r="DW1396" s="261"/>
      <c r="DX1396" s="261"/>
      <c r="DY1396" s="325"/>
      <c r="DZ1396" s="261"/>
      <c r="EA1396" s="261"/>
      <c r="EB1396" s="261"/>
      <c r="EC1396" s="261"/>
      <c r="ED1396" s="1732"/>
      <c r="EE1396" s="261"/>
      <c r="EF1396" s="261"/>
      <c r="EG1396" s="261"/>
      <c r="EH1396" s="992"/>
      <c r="EI1396" s="1732"/>
      <c r="EJ1396" s="325"/>
      <c r="EK1396" s="325"/>
      <c r="EL1396" s="325"/>
      <c r="EM1396" s="325"/>
      <c r="EN1396" s="325"/>
      <c r="EO1396" s="325"/>
      <c r="EP1396" s="325"/>
      <c r="EQ1396" s="325"/>
      <c r="ER1396" s="325"/>
      <c r="ES1396" s="325"/>
      <c r="ET1396" s="325"/>
      <c r="EU1396" s="325"/>
      <c r="EV1396" s="325"/>
      <c r="EW1396" s="325"/>
      <c r="EX1396" s="325"/>
    </row>
    <row r="1397" spans="2:154" outlineLevel="1">
      <c r="B1397" s="343" t="s">
        <v>870</v>
      </c>
      <c r="C1397" s="1990"/>
      <c r="D1397" s="25"/>
      <c r="E1397" s="25"/>
      <c r="F1397" s="25"/>
      <c r="G1397" s="25"/>
      <c r="H1397" s="25"/>
      <c r="I1397" s="261"/>
      <c r="J1397" s="261"/>
      <c r="K1397" s="261"/>
      <c r="L1397" s="261"/>
      <c r="M1397" s="261"/>
      <c r="N1397" s="261"/>
      <c r="O1397" s="261"/>
      <c r="P1397" s="261"/>
      <c r="Q1397" s="261"/>
      <c r="R1397" s="261"/>
      <c r="S1397" s="261"/>
      <c r="T1397" s="261"/>
      <c r="U1397" s="261"/>
      <c r="V1397" s="261"/>
      <c r="W1397" s="261"/>
      <c r="X1397" s="325"/>
      <c r="Y1397" s="261"/>
      <c r="Z1397" s="261"/>
      <c r="AA1397" s="261"/>
      <c r="AB1397" s="261"/>
      <c r="AC1397" s="325"/>
      <c r="AD1397" s="261"/>
      <c r="AE1397" s="261"/>
      <c r="AF1397" s="261"/>
      <c r="AG1397" s="261"/>
      <c r="AH1397" s="325"/>
      <c r="AI1397" s="261"/>
      <c r="AJ1397" s="261"/>
      <c r="AK1397" s="261"/>
      <c r="AL1397" s="261"/>
      <c r="AM1397" s="325"/>
      <c r="AN1397" s="261"/>
      <c r="AO1397" s="261"/>
      <c r="AP1397" s="261"/>
      <c r="AQ1397" s="261"/>
      <c r="AR1397" s="325"/>
      <c r="AS1397" s="261"/>
      <c r="AT1397" s="261"/>
      <c r="AU1397" s="261"/>
      <c r="AV1397" s="261"/>
      <c r="AW1397" s="325"/>
      <c r="AX1397" s="261"/>
      <c r="AY1397" s="261"/>
      <c r="AZ1397" s="261"/>
      <c r="BA1397" s="261"/>
      <c r="BB1397" s="325"/>
      <c r="BC1397" s="261"/>
      <c r="BD1397" s="261"/>
      <c r="BE1397" s="261"/>
      <c r="BF1397" s="261"/>
      <c r="BG1397" s="325"/>
      <c r="BH1397" s="261"/>
      <c r="BI1397" s="261"/>
      <c r="BJ1397" s="261"/>
      <c r="BK1397" s="261"/>
      <c r="BL1397" s="325"/>
      <c r="BM1397" s="261"/>
      <c r="BN1397" s="261"/>
      <c r="BO1397" s="261"/>
      <c r="BP1397" s="261"/>
      <c r="BQ1397" s="325"/>
      <c r="BR1397" s="261"/>
      <c r="BS1397" s="261"/>
      <c r="BT1397" s="261"/>
      <c r="BU1397" s="261"/>
      <c r="BV1397" s="325"/>
      <c r="BW1397" s="261"/>
      <c r="BX1397" s="261"/>
      <c r="BY1397" s="261"/>
      <c r="BZ1397" s="261"/>
      <c r="CA1397" s="325"/>
      <c r="CB1397" s="261"/>
      <c r="CC1397" s="261"/>
      <c r="CD1397" s="261"/>
      <c r="CE1397" s="261"/>
      <c r="CF1397" s="325"/>
      <c r="CG1397" s="261"/>
      <c r="CH1397" s="261"/>
      <c r="CI1397" s="261"/>
      <c r="CJ1397" s="261"/>
      <c r="CK1397" s="325"/>
      <c r="CL1397" s="261"/>
      <c r="CM1397" s="261"/>
      <c r="CN1397" s="261"/>
      <c r="CO1397" s="261"/>
      <c r="CP1397" s="325"/>
      <c r="CQ1397" s="261"/>
      <c r="CR1397" s="261"/>
      <c r="CS1397" s="261"/>
      <c r="CT1397" s="261"/>
      <c r="CU1397" s="325"/>
      <c r="CV1397" s="261"/>
      <c r="CW1397" s="261"/>
      <c r="CX1397" s="261"/>
      <c r="CY1397" s="261"/>
      <c r="CZ1397" s="325"/>
      <c r="DA1397" s="261"/>
      <c r="DB1397" s="261"/>
      <c r="DC1397" s="261"/>
      <c r="DD1397" s="261"/>
      <c r="DE1397" s="325"/>
      <c r="DF1397" s="261"/>
      <c r="DG1397" s="261"/>
      <c r="DH1397" s="261"/>
      <c r="DI1397" s="261"/>
      <c r="DJ1397" s="325"/>
      <c r="DK1397" s="261"/>
      <c r="DL1397" s="261"/>
      <c r="DM1397" s="261"/>
      <c r="DN1397" s="261"/>
      <c r="DO1397" s="1060"/>
      <c r="DP1397" s="261"/>
      <c r="DQ1397" s="261"/>
      <c r="DR1397" s="261"/>
      <c r="DS1397" s="261"/>
      <c r="DT1397" s="325"/>
      <c r="DU1397" s="261"/>
      <c r="DV1397" s="261"/>
      <c r="DW1397" s="261"/>
      <c r="DX1397" s="261"/>
      <c r="DY1397" s="325"/>
      <c r="DZ1397" s="261"/>
      <c r="EA1397" s="261"/>
      <c r="EB1397" s="261"/>
      <c r="EC1397" s="261"/>
      <c r="ED1397" s="325"/>
      <c r="EE1397" s="261"/>
      <c r="EF1397" s="261"/>
      <c r="EG1397" s="261"/>
      <c r="EH1397" s="992"/>
      <c r="EI1397" s="261"/>
      <c r="EJ1397" s="325"/>
      <c r="EK1397" s="325"/>
      <c r="EL1397" s="325"/>
      <c r="EM1397" s="325"/>
      <c r="EN1397" s="325"/>
      <c r="EO1397" s="325"/>
      <c r="EP1397" s="325"/>
      <c r="EQ1397" s="325"/>
      <c r="ER1397" s="325"/>
      <c r="ES1397" s="325"/>
      <c r="ET1397" s="325"/>
      <c r="EU1397" s="325"/>
      <c r="EV1397" s="325"/>
      <c r="EW1397" s="325"/>
      <c r="EX1397" s="325"/>
    </row>
    <row r="1398" spans="2:154" outlineLevel="1">
      <c r="B1398" s="338" t="s">
        <v>565</v>
      </c>
      <c r="C1398" s="1990"/>
      <c r="D1398" s="25"/>
      <c r="E1398" s="25"/>
      <c r="F1398" s="25"/>
      <c r="G1398" s="25"/>
      <c r="H1398" s="25"/>
      <c r="I1398" s="261"/>
      <c r="J1398" s="261"/>
      <c r="K1398" s="261"/>
      <c r="L1398" s="261"/>
      <c r="M1398" s="261"/>
      <c r="N1398" s="261"/>
      <c r="O1398" s="261"/>
      <c r="P1398" s="261"/>
      <c r="Q1398" s="261"/>
      <c r="R1398" s="261"/>
      <c r="S1398" s="261"/>
      <c r="T1398" s="261"/>
      <c r="U1398" s="261"/>
      <c r="V1398" s="261"/>
      <c r="W1398" s="261"/>
      <c r="X1398" s="325"/>
      <c r="Y1398" s="261"/>
      <c r="Z1398" s="261"/>
      <c r="AA1398" s="261"/>
      <c r="AB1398" s="261"/>
      <c r="AC1398" s="325"/>
      <c r="AD1398" s="261"/>
      <c r="AE1398" s="261"/>
      <c r="AF1398" s="261"/>
      <c r="AG1398" s="261"/>
      <c r="AH1398" s="325"/>
      <c r="AI1398" s="261"/>
      <c r="AJ1398" s="261"/>
      <c r="AK1398" s="261"/>
      <c r="AL1398" s="261"/>
      <c r="AM1398" s="325"/>
      <c r="AN1398" s="261"/>
      <c r="AO1398" s="261"/>
      <c r="AP1398" s="261"/>
      <c r="AQ1398" s="261"/>
      <c r="AR1398" s="325"/>
      <c r="AS1398" s="261"/>
      <c r="AT1398" s="261"/>
      <c r="AU1398" s="261"/>
      <c r="AV1398" s="261"/>
      <c r="AW1398" s="325"/>
      <c r="AX1398" s="261"/>
      <c r="AY1398" s="261"/>
      <c r="AZ1398" s="261"/>
      <c r="BA1398" s="261"/>
      <c r="BB1398" s="325"/>
      <c r="BC1398" s="261"/>
      <c r="BD1398" s="261"/>
      <c r="BE1398" s="261"/>
      <c r="BF1398" s="261"/>
      <c r="BG1398" s="325"/>
      <c r="BH1398" s="261"/>
      <c r="BI1398" s="261"/>
      <c r="BJ1398" s="261"/>
      <c r="BK1398" s="261"/>
      <c r="BL1398" s="325"/>
      <c r="BM1398" s="261"/>
      <c r="BN1398" s="261"/>
      <c r="BO1398" s="261"/>
      <c r="BP1398" s="261"/>
      <c r="BQ1398" s="325"/>
      <c r="BR1398" s="261"/>
      <c r="BS1398" s="261"/>
      <c r="BT1398" s="261"/>
      <c r="BU1398" s="261"/>
      <c r="BV1398" s="325"/>
      <c r="BW1398" s="261"/>
      <c r="BX1398" s="261"/>
      <c r="BY1398" s="261"/>
      <c r="BZ1398" s="261"/>
      <c r="CA1398" s="325"/>
      <c r="CB1398" s="261"/>
      <c r="CC1398" s="261"/>
      <c r="CD1398" s="261"/>
      <c r="CE1398" s="261"/>
      <c r="CF1398" s="325"/>
      <c r="CG1398" s="261"/>
      <c r="CH1398" s="261"/>
      <c r="CI1398" s="261"/>
      <c r="CJ1398" s="261"/>
      <c r="CK1398" s="325"/>
      <c r="CL1398" s="261"/>
      <c r="CM1398" s="261"/>
      <c r="CN1398" s="261"/>
      <c r="CO1398" s="261"/>
      <c r="CP1398" s="325"/>
      <c r="CQ1398" s="261"/>
      <c r="CR1398" s="261"/>
      <c r="CS1398" s="261"/>
      <c r="CT1398" s="261"/>
      <c r="CU1398" s="325"/>
      <c r="CV1398" s="261"/>
      <c r="CW1398" s="261"/>
      <c r="CX1398" s="261"/>
      <c r="CY1398" s="261"/>
      <c r="CZ1398" s="325"/>
      <c r="DA1398" s="3164">
        <v>-7.5763361979178212E-2</v>
      </c>
      <c r="DB1398" s="3164">
        <v>-5.7349552490292277E-2</v>
      </c>
      <c r="DC1398" s="3164">
        <v>-4.4149973339454696E-2</v>
      </c>
      <c r="DD1398" s="3164">
        <v>-2.972867234879828E-2</v>
      </c>
      <c r="DE1398" s="3143">
        <v>-5.1747890039430866E-2</v>
      </c>
      <c r="DF1398" s="3164">
        <v>-2.943492839440276E-2</v>
      </c>
      <c r="DG1398" s="3164">
        <v>-1.9781367390163118E-2</v>
      </c>
      <c r="DH1398" s="3164">
        <v>5.1471473727302763E-2</v>
      </c>
      <c r="DI1398" s="3164">
        <v>7.737207436767779E-2</v>
      </c>
      <c r="DJ1398" s="3143">
        <v>1.9906813077603669E-2</v>
      </c>
      <c r="DK1398" s="3164">
        <v>9.3212229871320496E-2</v>
      </c>
      <c r="DL1398" s="3164">
        <v>9.4262912201712679E-2</v>
      </c>
      <c r="DM1398" s="3164">
        <v>8.2097244392265178E-3</v>
      </c>
      <c r="DN1398" s="3164">
        <v>-4.163239535559915E-2</v>
      </c>
      <c r="DO1398" s="3143">
        <v>3.8513117789165136E-2</v>
      </c>
      <c r="DP1398" s="3164">
        <v>-6.8566330451478419E-2</v>
      </c>
      <c r="DQ1398" s="3164">
        <v>-0.11665376887127121</v>
      </c>
      <c r="DR1398" s="3164">
        <v>-0.1456924980062333</v>
      </c>
      <c r="DS1398" s="3164">
        <v>-0.10679871735555457</v>
      </c>
      <c r="DT1398" s="3143">
        <v>-0.10942782867113438</v>
      </c>
      <c r="DU1398" s="3164">
        <v>-4.4051271957024629E-2</v>
      </c>
      <c r="DV1398" s="3164">
        <v>2.2332544641666896E-2</v>
      </c>
      <c r="DW1398" s="3166">
        <v>8.0583319804484521E-2</v>
      </c>
      <c r="DX1398" s="3164">
        <v>5.359997313661391E-2</v>
      </c>
      <c r="DY1398" s="3143">
        <v>2.8116141406435174E-2</v>
      </c>
      <c r="DZ1398" s="3164">
        <v>1.186001480598331E-2</v>
      </c>
      <c r="EA1398" s="3164">
        <v>-1.0917727584496162E-2</v>
      </c>
      <c r="EB1398" s="3164">
        <v>9.6756696062407777E-3</v>
      </c>
      <c r="EC1398" s="3164">
        <v>-8.5372376068675315E-3</v>
      </c>
      <c r="ED1398" s="3143">
        <v>5.2017980521509855E-4</v>
      </c>
      <c r="EE1398" s="3164">
        <v>-3.0363668583687775E-2</v>
      </c>
      <c r="EF1398" s="3164">
        <v>5.393860848486054E-2</v>
      </c>
      <c r="EG1398" s="3164">
        <v>5.874462459620422E-2</v>
      </c>
      <c r="EH1398" s="3602">
        <v>8.8936373371470978E-2</v>
      </c>
      <c r="EI1398" s="3143">
        <v>4.2813984467211991E-2</v>
      </c>
      <c r="EJ1398" s="325"/>
      <c r="EK1398" s="325"/>
      <c r="EL1398" s="325"/>
      <c r="EM1398" s="325"/>
      <c r="EN1398" s="325"/>
      <c r="EO1398" s="325"/>
      <c r="EP1398" s="325"/>
      <c r="EQ1398" s="325"/>
      <c r="ER1398" s="325"/>
      <c r="ES1398" s="325"/>
      <c r="ET1398" s="325"/>
      <c r="EU1398" s="325"/>
      <c r="EV1398" s="325"/>
      <c r="EW1398" s="325"/>
      <c r="EX1398" s="325"/>
    </row>
    <row r="1399" spans="2:154" outlineLevel="1">
      <c r="B1399" s="338" t="s">
        <v>860</v>
      </c>
      <c r="C1399" s="1990"/>
      <c r="D1399" s="25"/>
      <c r="E1399" s="25"/>
      <c r="F1399" s="25"/>
      <c r="G1399" s="25"/>
      <c r="H1399" s="25"/>
      <c r="I1399" s="261"/>
      <c r="J1399" s="261"/>
      <c r="K1399" s="261"/>
      <c r="L1399" s="261"/>
      <c r="M1399" s="261"/>
      <c r="N1399" s="261"/>
      <c r="O1399" s="261"/>
      <c r="P1399" s="261"/>
      <c r="Q1399" s="261"/>
      <c r="R1399" s="261"/>
      <c r="S1399" s="261"/>
      <c r="T1399" s="261"/>
      <c r="U1399" s="261"/>
      <c r="V1399" s="261"/>
      <c r="W1399" s="261"/>
      <c r="X1399" s="325"/>
      <c r="Y1399" s="261"/>
      <c r="Z1399" s="261"/>
      <c r="AA1399" s="261"/>
      <c r="AB1399" s="261"/>
      <c r="AC1399" s="325"/>
      <c r="AD1399" s="261"/>
      <c r="AE1399" s="261"/>
      <c r="AF1399" s="261"/>
      <c r="AG1399" s="261"/>
      <c r="AH1399" s="325"/>
      <c r="AI1399" s="261"/>
      <c r="AJ1399" s="261"/>
      <c r="AK1399" s="261"/>
      <c r="AL1399" s="261"/>
      <c r="AM1399" s="325"/>
      <c r="AN1399" s="261"/>
      <c r="AO1399" s="261"/>
      <c r="AP1399" s="261"/>
      <c r="AQ1399" s="261"/>
      <c r="AR1399" s="325"/>
      <c r="AS1399" s="261"/>
      <c r="AT1399" s="261"/>
      <c r="AU1399" s="261"/>
      <c r="AV1399" s="261"/>
      <c r="AW1399" s="325"/>
      <c r="AX1399" s="261"/>
      <c r="AY1399" s="261"/>
      <c r="AZ1399" s="261"/>
      <c r="BA1399" s="261"/>
      <c r="BB1399" s="325"/>
      <c r="BC1399" s="261"/>
      <c r="BD1399" s="261"/>
      <c r="BE1399" s="261"/>
      <c r="BF1399" s="261"/>
      <c r="BG1399" s="325"/>
      <c r="BH1399" s="261"/>
      <c r="BI1399" s="261"/>
      <c r="BJ1399" s="261"/>
      <c r="BK1399" s="261"/>
      <c r="BL1399" s="325"/>
      <c r="BM1399" s="261"/>
      <c r="BN1399" s="261"/>
      <c r="BO1399" s="261"/>
      <c r="BP1399" s="261"/>
      <c r="BQ1399" s="325"/>
      <c r="BR1399" s="261"/>
      <c r="BS1399" s="261"/>
      <c r="BT1399" s="261"/>
      <c r="BU1399" s="261"/>
      <c r="BV1399" s="325"/>
      <c r="BW1399" s="261"/>
      <c r="BX1399" s="261"/>
      <c r="BY1399" s="261"/>
      <c r="BZ1399" s="261"/>
      <c r="CA1399" s="325"/>
      <c r="CB1399" s="261"/>
      <c r="CC1399" s="261"/>
      <c r="CD1399" s="261"/>
      <c r="CE1399" s="261"/>
      <c r="CF1399" s="325"/>
      <c r="CG1399" s="261"/>
      <c r="CH1399" s="261"/>
      <c r="CI1399" s="261"/>
      <c r="CJ1399" s="261"/>
      <c r="CK1399" s="325"/>
      <c r="CL1399" s="261"/>
      <c r="CM1399" s="261"/>
      <c r="CN1399" s="261"/>
      <c r="CO1399" s="261"/>
      <c r="CP1399" s="325"/>
      <c r="CQ1399" s="261"/>
      <c r="CR1399" s="261"/>
      <c r="CS1399" s="261"/>
      <c r="CT1399" s="261"/>
      <c r="CU1399" s="325"/>
      <c r="CV1399" s="261"/>
      <c r="CW1399" s="261"/>
      <c r="CX1399" s="261"/>
      <c r="CY1399" s="261"/>
      <c r="CZ1399" s="325"/>
      <c r="DA1399" s="3164">
        <v>-1.6762849242395572E-2</v>
      </c>
      <c r="DB1399" s="3164">
        <v>-7.5483807023128957E-3</v>
      </c>
      <c r="DC1399" s="3164">
        <v>3.8476190112061603E-2</v>
      </c>
      <c r="DD1399" s="3164">
        <v>3.6929286042398646E-2</v>
      </c>
      <c r="DE1399" s="3143">
        <v>1.2773561552437945E-2</v>
      </c>
      <c r="DF1399" s="3164">
        <v>1.0917984981234641E-2</v>
      </c>
      <c r="DG1399" s="3164">
        <v>2.2277226588291343E-2</v>
      </c>
      <c r="DH1399" s="3164">
        <v>1.125425292859461E-2</v>
      </c>
      <c r="DI1399" s="3164">
        <v>4.065789334691372E-2</v>
      </c>
      <c r="DJ1399" s="3143">
        <v>2.1276839461258579E-2</v>
      </c>
      <c r="DK1399" s="3164">
        <v>2.7650065048320682E-2</v>
      </c>
      <c r="DL1399" s="3164">
        <v>-1.7139069882820213E-2</v>
      </c>
      <c r="DM1399" s="3164">
        <v>-3.5860075917690915E-2</v>
      </c>
      <c r="DN1399" s="3164">
        <v>-8.1331019336164267E-2</v>
      </c>
      <c r="DO1399" s="3143">
        <v>-2.6670025022088678E-2</v>
      </c>
      <c r="DP1399" s="3164">
        <v>-8.8056453469821938E-2</v>
      </c>
      <c r="DQ1399" s="3164">
        <v>-0.15624077741217768</v>
      </c>
      <c r="DR1399" s="3164">
        <v>-0.20359842720159016</v>
      </c>
      <c r="DS1399" s="3164">
        <v>-0.19414991311267915</v>
      </c>
      <c r="DT1399" s="3143">
        <v>-0.16051139279906723</v>
      </c>
      <c r="DU1399" s="3164">
        <v>-0.12160565453860928</v>
      </c>
      <c r="DV1399" s="3164">
        <v>-5.542964284695584E-2</v>
      </c>
      <c r="DW1399" s="3166">
        <v>-4.3394724266406448E-2</v>
      </c>
      <c r="DX1399" s="3164">
        <v>-4.506041650904713E-2</v>
      </c>
      <c r="DY1399" s="3143">
        <v>-6.6372609540254673E-2</v>
      </c>
      <c r="DZ1399" s="3164">
        <v>-0.10801494780972698</v>
      </c>
      <c r="EA1399" s="3164">
        <v>-0.1188357526121272</v>
      </c>
      <c r="EB1399" s="3164">
        <v>-2.9872489195848173E-2</v>
      </c>
      <c r="EC1399" s="3164">
        <v>-3.0332671535298505E-2</v>
      </c>
      <c r="ED1399" s="3143">
        <v>-7.1763965288250214E-2</v>
      </c>
      <c r="EE1399" s="3164">
        <v>-2.6501190117395712E-2</v>
      </c>
      <c r="EF1399" s="3164">
        <v>7.8648891582579816E-2</v>
      </c>
      <c r="EG1399" s="3164">
        <v>4.5527617787126662E-3</v>
      </c>
      <c r="EH1399" s="3602">
        <v>2.4672353439755268E-2</v>
      </c>
      <c r="EI1399" s="3143">
        <v>2.034320417091301E-2</v>
      </c>
      <c r="EJ1399" s="325"/>
      <c r="EK1399" s="325"/>
      <c r="EL1399" s="325"/>
      <c r="EM1399" s="325"/>
      <c r="EN1399" s="325"/>
      <c r="EO1399" s="325"/>
      <c r="EP1399" s="325"/>
      <c r="EQ1399" s="325"/>
      <c r="ER1399" s="325"/>
      <c r="ES1399" s="325"/>
      <c r="ET1399" s="325"/>
      <c r="EU1399" s="325"/>
      <c r="EV1399" s="325"/>
      <c r="EW1399" s="325"/>
      <c r="EX1399" s="325"/>
    </row>
    <row r="1400" spans="2:154" outlineLevel="1">
      <c r="B1400" s="338" t="s">
        <v>861</v>
      </c>
      <c r="C1400" s="1990"/>
      <c r="D1400" s="25"/>
      <c r="E1400" s="25"/>
      <c r="F1400" s="25"/>
      <c r="G1400" s="25"/>
      <c r="H1400" s="25"/>
      <c r="I1400" s="261"/>
      <c r="J1400" s="261"/>
      <c r="K1400" s="261"/>
      <c r="L1400" s="261"/>
      <c r="M1400" s="261"/>
      <c r="N1400" s="261"/>
      <c r="O1400" s="261"/>
      <c r="P1400" s="261"/>
      <c r="Q1400" s="261"/>
      <c r="R1400" s="261"/>
      <c r="S1400" s="261"/>
      <c r="T1400" s="261"/>
      <c r="U1400" s="261"/>
      <c r="V1400" s="261"/>
      <c r="W1400" s="261"/>
      <c r="X1400" s="325"/>
      <c r="Y1400" s="261"/>
      <c r="Z1400" s="261"/>
      <c r="AA1400" s="261"/>
      <c r="AB1400" s="261"/>
      <c r="AC1400" s="325"/>
      <c r="AD1400" s="261"/>
      <c r="AE1400" s="261"/>
      <c r="AF1400" s="261"/>
      <c r="AG1400" s="261"/>
      <c r="AH1400" s="325"/>
      <c r="AI1400" s="261"/>
      <c r="AJ1400" s="261"/>
      <c r="AK1400" s="261"/>
      <c r="AL1400" s="261"/>
      <c r="AM1400" s="325"/>
      <c r="AN1400" s="261"/>
      <c r="AO1400" s="261"/>
      <c r="AP1400" s="261"/>
      <c r="AQ1400" s="261"/>
      <c r="AR1400" s="325"/>
      <c r="AS1400" s="261"/>
      <c r="AT1400" s="261"/>
      <c r="AU1400" s="261"/>
      <c r="AV1400" s="261"/>
      <c r="AW1400" s="325"/>
      <c r="AX1400" s="261"/>
      <c r="AY1400" s="261"/>
      <c r="AZ1400" s="261"/>
      <c r="BA1400" s="261"/>
      <c r="BB1400" s="325"/>
      <c r="BC1400" s="261"/>
      <c r="BD1400" s="261"/>
      <c r="BE1400" s="261"/>
      <c r="BF1400" s="261"/>
      <c r="BG1400" s="325"/>
      <c r="BH1400" s="261"/>
      <c r="BI1400" s="261"/>
      <c r="BJ1400" s="261"/>
      <c r="BK1400" s="261"/>
      <c r="BL1400" s="325"/>
      <c r="BM1400" s="261"/>
      <c r="BN1400" s="261"/>
      <c r="BO1400" s="261"/>
      <c r="BP1400" s="261"/>
      <c r="BQ1400" s="325"/>
      <c r="BR1400" s="261"/>
      <c r="BS1400" s="261"/>
      <c r="BT1400" s="261"/>
      <c r="BU1400" s="261"/>
      <c r="BV1400" s="325"/>
      <c r="BW1400" s="261"/>
      <c r="BX1400" s="261"/>
      <c r="BY1400" s="261"/>
      <c r="BZ1400" s="261"/>
      <c r="CA1400" s="325"/>
      <c r="CB1400" s="261"/>
      <c r="CC1400" s="261"/>
      <c r="CD1400" s="261"/>
      <c r="CE1400" s="261"/>
      <c r="CF1400" s="325"/>
      <c r="CG1400" s="261"/>
      <c r="CH1400" s="261"/>
      <c r="CI1400" s="261"/>
      <c r="CJ1400" s="261"/>
      <c r="CK1400" s="325"/>
      <c r="CL1400" s="261"/>
      <c r="CM1400" s="261"/>
      <c r="CN1400" s="261"/>
      <c r="CO1400" s="261"/>
      <c r="CP1400" s="325"/>
      <c r="CQ1400" s="261"/>
      <c r="CR1400" s="261"/>
      <c r="CS1400" s="261"/>
      <c r="CT1400" s="261"/>
      <c r="CU1400" s="325"/>
      <c r="CV1400" s="261"/>
      <c r="CW1400" s="261"/>
      <c r="CX1400" s="261"/>
      <c r="CY1400" s="261"/>
      <c r="CZ1400" s="325"/>
      <c r="DA1400" s="3164">
        <v>-6.4163135864788168E-2</v>
      </c>
      <c r="DB1400" s="3164">
        <v>-5.5323585993724222E-2</v>
      </c>
      <c r="DC1400" s="3164">
        <v>-5.4318661840578208E-2</v>
      </c>
      <c r="DD1400" s="3164">
        <v>6.3069309750551916E-4</v>
      </c>
      <c r="DE1400" s="3143">
        <v>-4.329367265039627E-2</v>
      </c>
      <c r="DF1400" s="3164">
        <v>-1.7068238502329192E-2</v>
      </c>
      <c r="DG1400" s="3164">
        <v>-3.4308749762576252E-2</v>
      </c>
      <c r="DH1400" s="3164">
        <v>4.8064340536045691E-2</v>
      </c>
      <c r="DI1400" s="3164">
        <v>2.6395564974865726E-2</v>
      </c>
      <c r="DJ1400" s="3143">
        <v>5.7707293115014935E-3</v>
      </c>
      <c r="DK1400" s="3164">
        <v>7.7314819862528639E-2</v>
      </c>
      <c r="DL1400" s="3164">
        <v>0.12630883163960416</v>
      </c>
      <c r="DM1400" s="3164">
        <v>6.6438982411457959E-2</v>
      </c>
      <c r="DN1400" s="3164">
        <v>2.0234189108698564E-2</v>
      </c>
      <c r="DO1400" s="3143">
        <v>7.257420575557233E-2</v>
      </c>
      <c r="DP1400" s="3164">
        <v>-2.7089818721130476E-2</v>
      </c>
      <c r="DQ1400" s="3164">
        <v>-0.10197463765074966</v>
      </c>
      <c r="DR1400" s="3164">
        <v>-0.14592195957384857</v>
      </c>
      <c r="DS1400" s="3164">
        <v>-0.129150424298758</v>
      </c>
      <c r="DT1400" s="3143">
        <v>-0.10103421006112168</v>
      </c>
      <c r="DU1400" s="3164">
        <v>-9.441826539999687E-2</v>
      </c>
      <c r="DV1400" s="3164">
        <v>-3.3757552193480755E-3</v>
      </c>
      <c r="DW1400" s="3166">
        <v>7.5731330293622445E-2</v>
      </c>
      <c r="DX1400" s="3164">
        <v>5.7297527863035436E-2</v>
      </c>
      <c r="DY1400" s="3143">
        <v>8.8087093843282338E-3</v>
      </c>
      <c r="DZ1400" s="3164">
        <v>4.3755192401440546E-2</v>
      </c>
      <c r="EA1400" s="3164">
        <v>8.1723923146685973E-3</v>
      </c>
      <c r="EB1400" s="3164">
        <v>2.7145868844162591E-2</v>
      </c>
      <c r="EC1400" s="3164">
        <v>3.2489453009676428E-2</v>
      </c>
      <c r="ED1400" s="3143">
        <v>2.789072664248704E-2</v>
      </c>
      <c r="EE1400" s="3164">
        <v>-6.5492437053181751E-3</v>
      </c>
      <c r="EF1400" s="3164">
        <v>5.8696154721938676E-2</v>
      </c>
      <c r="EG1400" s="3164">
        <v>3.2460093667427081E-2</v>
      </c>
      <c r="EH1400" s="3602">
        <v>4.5378982622858111E-2</v>
      </c>
      <c r="EI1400" s="3143">
        <v>3.2496496826726423E-2</v>
      </c>
      <c r="EJ1400" s="325"/>
      <c r="EK1400" s="325"/>
      <c r="EL1400" s="325"/>
      <c r="EM1400" s="325"/>
      <c r="EN1400" s="325"/>
      <c r="EO1400" s="325"/>
      <c r="EP1400" s="325"/>
      <c r="EQ1400" s="325"/>
      <c r="ER1400" s="325"/>
      <c r="ES1400" s="325"/>
      <c r="ET1400" s="325"/>
      <c r="EU1400" s="325"/>
      <c r="EV1400" s="325"/>
      <c r="EW1400" s="325"/>
      <c r="EX1400" s="325"/>
    </row>
    <row r="1401" spans="2:154" outlineLevel="1">
      <c r="B1401" s="343" t="s">
        <v>862</v>
      </c>
      <c r="C1401" s="1990"/>
      <c r="D1401" s="25"/>
      <c r="E1401" s="25"/>
      <c r="F1401" s="25"/>
      <c r="G1401" s="25"/>
      <c r="H1401" s="25"/>
      <c r="I1401" s="261"/>
      <c r="J1401" s="261"/>
      <c r="K1401" s="261"/>
      <c r="L1401" s="261"/>
      <c r="M1401" s="261"/>
      <c r="N1401" s="261"/>
      <c r="O1401" s="261"/>
      <c r="P1401" s="261"/>
      <c r="Q1401" s="261"/>
      <c r="R1401" s="261"/>
      <c r="S1401" s="261"/>
      <c r="T1401" s="261"/>
      <c r="U1401" s="261"/>
      <c r="V1401" s="261"/>
      <c r="W1401" s="261"/>
      <c r="X1401" s="325"/>
      <c r="Y1401" s="261"/>
      <c r="Z1401" s="261"/>
      <c r="AA1401" s="261"/>
      <c r="AB1401" s="261"/>
      <c r="AC1401" s="325"/>
      <c r="AD1401" s="261"/>
      <c r="AE1401" s="261"/>
      <c r="AF1401" s="261"/>
      <c r="AG1401" s="261"/>
      <c r="AH1401" s="325"/>
      <c r="AI1401" s="261"/>
      <c r="AJ1401" s="261"/>
      <c r="AK1401" s="261"/>
      <c r="AL1401" s="261"/>
      <c r="AM1401" s="325"/>
      <c r="AN1401" s="261"/>
      <c r="AO1401" s="261"/>
      <c r="AP1401" s="261"/>
      <c r="AQ1401" s="261"/>
      <c r="AR1401" s="325"/>
      <c r="AS1401" s="261"/>
      <c r="AT1401" s="261"/>
      <c r="AU1401" s="261"/>
      <c r="AV1401" s="261"/>
      <c r="AW1401" s="325"/>
      <c r="AX1401" s="261"/>
      <c r="AY1401" s="261"/>
      <c r="AZ1401" s="261"/>
      <c r="BA1401" s="261"/>
      <c r="BB1401" s="325"/>
      <c r="BC1401" s="261"/>
      <c r="BD1401" s="261"/>
      <c r="BE1401" s="261"/>
      <c r="BF1401" s="261"/>
      <c r="BG1401" s="325"/>
      <c r="BH1401" s="261"/>
      <c r="BI1401" s="261"/>
      <c r="BJ1401" s="261"/>
      <c r="BK1401" s="261"/>
      <c r="BL1401" s="325"/>
      <c r="BM1401" s="261"/>
      <c r="BN1401" s="261"/>
      <c r="BO1401" s="261"/>
      <c r="BP1401" s="261"/>
      <c r="BQ1401" s="325"/>
      <c r="BR1401" s="261"/>
      <c r="BS1401" s="261"/>
      <c r="BT1401" s="261"/>
      <c r="BU1401" s="261"/>
      <c r="BV1401" s="325"/>
      <c r="BW1401" s="261"/>
      <c r="BX1401" s="261"/>
      <c r="BY1401" s="261"/>
      <c r="BZ1401" s="261"/>
      <c r="CA1401" s="325"/>
      <c r="CB1401" s="261"/>
      <c r="CC1401" s="261"/>
      <c r="CD1401" s="261"/>
      <c r="CE1401" s="261"/>
      <c r="CF1401" s="325"/>
      <c r="CG1401" s="261"/>
      <c r="CH1401" s="261"/>
      <c r="CI1401" s="261"/>
      <c r="CJ1401" s="261"/>
      <c r="CK1401" s="325"/>
      <c r="CL1401" s="261"/>
      <c r="CM1401" s="261"/>
      <c r="CN1401" s="261"/>
      <c r="CO1401" s="261"/>
      <c r="CP1401" s="325"/>
      <c r="CQ1401" s="261"/>
      <c r="CR1401" s="261"/>
      <c r="CS1401" s="261"/>
      <c r="CT1401" s="261"/>
      <c r="CU1401" s="325"/>
      <c r="CV1401" s="261"/>
      <c r="CW1401" s="261"/>
      <c r="CX1401" s="261"/>
      <c r="CY1401" s="261"/>
      <c r="CZ1401" s="325"/>
      <c r="DA1401" s="3164">
        <v>-5.7471289153893212E-2</v>
      </c>
      <c r="DB1401" s="3164">
        <v>-6.5274281622479835E-2</v>
      </c>
      <c r="DC1401" s="3164">
        <v>-3.0290300709020834E-2</v>
      </c>
      <c r="DD1401" s="3164">
        <v>-1.812831973532103E-2</v>
      </c>
      <c r="DE1401" s="3143">
        <v>-4.2791047805178728E-2</v>
      </c>
      <c r="DF1401" s="3164">
        <v>-3.3089721713965292E-2</v>
      </c>
      <c r="DG1401" s="3164">
        <v>-3.7590762976195791E-2</v>
      </c>
      <c r="DH1401" s="3164">
        <v>1.3989930019592034E-2</v>
      </c>
      <c r="DI1401" s="3164">
        <v>6.3437106446932789E-2</v>
      </c>
      <c r="DJ1401" s="3143">
        <v>1.6866379440909351E-3</v>
      </c>
      <c r="DK1401" s="3164">
        <v>7.686390408501742E-2</v>
      </c>
      <c r="DL1401" s="3164">
        <v>9.7418956224992304E-2</v>
      </c>
      <c r="DM1401" s="3164">
        <v>6.9328722962820333E-2</v>
      </c>
      <c r="DN1401" s="3164">
        <v>3.612640495770858E-2</v>
      </c>
      <c r="DO1401" s="3143">
        <v>6.9934497057634659E-2</v>
      </c>
      <c r="DP1401" s="3164">
        <v>2.064984740130682E-2</v>
      </c>
      <c r="DQ1401" s="3164">
        <v>-2.2322918268420922E-2</v>
      </c>
      <c r="DR1401" s="3164">
        <v>-5.5695124699036369E-2</v>
      </c>
      <c r="DS1401" s="3164">
        <v>-0.10107791581270664</v>
      </c>
      <c r="DT1401" s="3143">
        <v>-3.9611527844714278E-2</v>
      </c>
      <c r="DU1401" s="3164">
        <v>-7.2411778738724286E-2</v>
      </c>
      <c r="DV1401" s="3164">
        <v>-5.8100568680590214E-2</v>
      </c>
      <c r="DW1401" s="3166">
        <v>-5.4667831300254432E-2</v>
      </c>
      <c r="DX1401" s="3164">
        <v>-1.595780646372047E-2</v>
      </c>
      <c r="DY1401" s="3143">
        <v>-5.0284496295822351E-2</v>
      </c>
      <c r="DZ1401" s="3164">
        <v>-4.7679158067983507E-2</v>
      </c>
      <c r="EA1401" s="3164">
        <v>-3.1582740619020444E-2</v>
      </c>
      <c r="EB1401" s="3164">
        <v>1.1143004586627425E-2</v>
      </c>
      <c r="EC1401" s="3164">
        <v>5.2605228353013178E-3</v>
      </c>
      <c r="ED1401" s="3143">
        <v>-1.5714592816268802E-2</v>
      </c>
      <c r="EE1401" s="3164">
        <v>-1.2319997020978746E-2</v>
      </c>
      <c r="EF1401" s="3164">
        <v>1.1977527951532174E-3</v>
      </c>
      <c r="EG1401" s="3164">
        <v>-1.3519887020185806E-3</v>
      </c>
      <c r="EH1401" s="3602">
        <v>1.6753573995280657E-3</v>
      </c>
      <c r="EI1401" s="3143">
        <v>-2.6997188820790108E-3</v>
      </c>
      <c r="EJ1401" s="325"/>
      <c r="EK1401" s="325"/>
      <c r="EL1401" s="325"/>
      <c r="EM1401" s="992"/>
      <c r="EN1401" s="325"/>
      <c r="EO1401" s="325"/>
      <c r="EP1401" s="325"/>
      <c r="EQ1401" s="325"/>
      <c r="ER1401" s="325"/>
      <c r="ES1401" s="325"/>
      <c r="ET1401" s="325"/>
      <c r="EU1401" s="325"/>
      <c r="EV1401" s="325"/>
      <c r="EW1401" s="325"/>
      <c r="EX1401" s="325"/>
    </row>
    <row r="1402" spans="2:154" outlineLevel="1">
      <c r="B1402" s="343" t="s">
        <v>863</v>
      </c>
      <c r="C1402" s="1990"/>
      <c r="D1402" s="25"/>
      <c r="E1402" s="25"/>
      <c r="F1402" s="25"/>
      <c r="G1402" s="25"/>
      <c r="H1402" s="25"/>
      <c r="I1402" s="261"/>
      <c r="J1402" s="261"/>
      <c r="K1402" s="261"/>
      <c r="L1402" s="261"/>
      <c r="M1402" s="261"/>
      <c r="N1402" s="261"/>
      <c r="O1402" s="261"/>
      <c r="P1402" s="261"/>
      <c r="Q1402" s="261"/>
      <c r="R1402" s="261"/>
      <c r="S1402" s="261"/>
      <c r="T1402" s="261"/>
      <c r="U1402" s="261"/>
      <c r="V1402" s="261"/>
      <c r="W1402" s="261"/>
      <c r="X1402" s="325"/>
      <c r="Y1402" s="261"/>
      <c r="Z1402" s="261"/>
      <c r="AA1402" s="261"/>
      <c r="AB1402" s="261"/>
      <c r="AC1402" s="325"/>
      <c r="AD1402" s="261"/>
      <c r="AE1402" s="261"/>
      <c r="AF1402" s="261"/>
      <c r="AG1402" s="261"/>
      <c r="AH1402" s="325"/>
      <c r="AI1402" s="261"/>
      <c r="AJ1402" s="261"/>
      <c r="AK1402" s="261"/>
      <c r="AL1402" s="261"/>
      <c r="AM1402" s="325"/>
      <c r="AN1402" s="261"/>
      <c r="AO1402" s="261"/>
      <c r="AP1402" s="261"/>
      <c r="AQ1402" s="261"/>
      <c r="AR1402" s="325"/>
      <c r="AS1402" s="261"/>
      <c r="AT1402" s="261"/>
      <c r="AU1402" s="261"/>
      <c r="AV1402" s="261"/>
      <c r="AW1402" s="325"/>
      <c r="AX1402" s="261"/>
      <c r="AY1402" s="261"/>
      <c r="AZ1402" s="261"/>
      <c r="BA1402" s="261"/>
      <c r="BB1402" s="325"/>
      <c r="BC1402" s="261"/>
      <c r="BD1402" s="261"/>
      <c r="BE1402" s="261"/>
      <c r="BF1402" s="261"/>
      <c r="BG1402" s="325"/>
      <c r="BH1402" s="261"/>
      <c r="BI1402" s="261"/>
      <c r="BJ1402" s="261"/>
      <c r="BK1402" s="261"/>
      <c r="BL1402" s="325"/>
      <c r="BM1402" s="261"/>
      <c r="BN1402" s="261"/>
      <c r="BO1402" s="261"/>
      <c r="BP1402" s="261"/>
      <c r="BQ1402" s="325"/>
      <c r="BR1402" s="261"/>
      <c r="BS1402" s="261"/>
      <c r="BT1402" s="261"/>
      <c r="BU1402" s="261"/>
      <c r="BV1402" s="325"/>
      <c r="BW1402" s="261"/>
      <c r="BX1402" s="261"/>
      <c r="BY1402" s="261"/>
      <c r="BZ1402" s="261"/>
      <c r="CA1402" s="325"/>
      <c r="CB1402" s="261"/>
      <c r="CC1402" s="261"/>
      <c r="CD1402" s="261"/>
      <c r="CE1402" s="261"/>
      <c r="CF1402" s="325"/>
      <c r="CG1402" s="261"/>
      <c r="CH1402" s="261"/>
      <c r="CI1402" s="261"/>
      <c r="CJ1402" s="261"/>
      <c r="CK1402" s="325"/>
      <c r="CL1402" s="261"/>
      <c r="CM1402" s="261"/>
      <c r="CN1402" s="261"/>
      <c r="CO1402" s="261"/>
      <c r="CP1402" s="325"/>
      <c r="CQ1402" s="261"/>
      <c r="CR1402" s="261"/>
      <c r="CS1402" s="261"/>
      <c r="CT1402" s="261"/>
      <c r="CU1402" s="325"/>
      <c r="CV1402" s="261"/>
      <c r="CW1402" s="261"/>
      <c r="CX1402" s="261"/>
      <c r="CY1402" s="261"/>
      <c r="CZ1402" s="325"/>
      <c r="DA1402" s="3164">
        <v>-4.9097326843001943E-2</v>
      </c>
      <c r="DB1402" s="3164">
        <v>-3.5136699084658884E-2</v>
      </c>
      <c r="DC1402" s="3164">
        <v>-1.0188839001720518E-2</v>
      </c>
      <c r="DD1402" s="3164">
        <v>7.4340598242694789E-4</v>
      </c>
      <c r="DE1402" s="3143">
        <v>-2.3419864736738599E-2</v>
      </c>
      <c r="DF1402" s="3164">
        <v>-9.667558709373969E-3</v>
      </c>
      <c r="DG1402" s="3164">
        <v>-3.4175742594467873E-2</v>
      </c>
      <c r="DH1402" s="3164">
        <v>-8.8411026586135977E-3</v>
      </c>
      <c r="DI1402" s="3164">
        <v>1.334709783004473E-2</v>
      </c>
      <c r="DJ1402" s="3143">
        <v>-9.8343265331026775E-3</v>
      </c>
      <c r="DK1402" s="3164">
        <v>6.0457887924565634E-2</v>
      </c>
      <c r="DL1402" s="3164">
        <v>0.12803430336555244</v>
      </c>
      <c r="DM1402" s="3164">
        <v>5.7419311997996214E-2</v>
      </c>
      <c r="DN1402" s="3164">
        <v>3.3472183045456072E-2</v>
      </c>
      <c r="DO1402" s="3143">
        <v>6.9845921583392589E-2</v>
      </c>
      <c r="DP1402" s="3164">
        <v>-1.5966514758425365E-4</v>
      </c>
      <c r="DQ1402" s="3164">
        <v>-3.8000600233884851E-2</v>
      </c>
      <c r="DR1402" s="3164">
        <v>-3.4998065907117404E-2</v>
      </c>
      <c r="DS1402" s="3164">
        <v>-7.172364300812728E-2</v>
      </c>
      <c r="DT1402" s="3143">
        <v>-3.6220493574178447E-2</v>
      </c>
      <c r="DU1402" s="3164">
        <v>-6.3576342609208192E-2</v>
      </c>
      <c r="DV1402" s="3164">
        <v>-4.9640985213276867E-2</v>
      </c>
      <c r="DW1402" s="3166">
        <v>-2.6191240621919576E-2</v>
      </c>
      <c r="DX1402" s="3164">
        <v>-2.4788596532751006E-3</v>
      </c>
      <c r="DY1402" s="3143">
        <v>-3.5471857024419934E-2</v>
      </c>
      <c r="DZ1402" s="3164">
        <v>3.1970174946835961E-3</v>
      </c>
      <c r="EA1402" s="3164">
        <v>-1.8344154598673668E-2</v>
      </c>
      <c r="EB1402" s="3164">
        <v>-1.6920215941490624E-2</v>
      </c>
      <c r="EC1402" s="3164">
        <v>-2.685513428104247E-2</v>
      </c>
      <c r="ED1402" s="3143">
        <v>-1.4730621831630791E-2</v>
      </c>
      <c r="EE1402" s="3164">
        <v>-6.0409679938737915E-2</v>
      </c>
      <c r="EF1402" s="3164">
        <v>-1.1209252435080752E-2</v>
      </c>
      <c r="EG1402" s="3164">
        <v>-5.4664544764060352E-3</v>
      </c>
      <c r="EH1402" s="3602">
        <v>1.9148136051704068E-2</v>
      </c>
      <c r="EI1402" s="3143">
        <v>-1.4484312699630159E-2</v>
      </c>
      <c r="EJ1402" s="325"/>
      <c r="EK1402" s="325"/>
      <c r="EL1402" s="325"/>
      <c r="EM1402" s="992"/>
      <c r="EN1402" s="325"/>
      <c r="EO1402" s="325"/>
      <c r="EP1402" s="325"/>
      <c r="EQ1402" s="325"/>
      <c r="ER1402" s="325"/>
      <c r="ES1402" s="325"/>
      <c r="ET1402" s="325"/>
      <c r="EU1402" s="325"/>
      <c r="EV1402" s="325"/>
      <c r="EW1402" s="325"/>
      <c r="EX1402" s="325"/>
    </row>
    <row r="1403" spans="2:154" outlineLevel="1">
      <c r="B1403" s="343" t="s">
        <v>986</v>
      </c>
      <c r="C1403" s="1990"/>
      <c r="D1403" s="25"/>
      <c r="E1403" s="25"/>
      <c r="F1403" s="25"/>
      <c r="G1403" s="25"/>
      <c r="H1403" s="25"/>
      <c r="I1403" s="261"/>
      <c r="J1403" s="261"/>
      <c r="K1403" s="261"/>
      <c r="L1403" s="261"/>
      <c r="M1403" s="261"/>
      <c r="N1403" s="261"/>
      <c r="O1403" s="261"/>
      <c r="P1403" s="261"/>
      <c r="Q1403" s="261"/>
      <c r="R1403" s="261"/>
      <c r="S1403" s="261"/>
      <c r="T1403" s="261"/>
      <c r="U1403" s="261"/>
      <c r="V1403" s="261"/>
      <c r="W1403" s="261"/>
      <c r="X1403" s="325"/>
      <c r="Y1403" s="261"/>
      <c r="Z1403" s="261"/>
      <c r="AA1403" s="261"/>
      <c r="AB1403" s="261"/>
      <c r="AC1403" s="325"/>
      <c r="AD1403" s="261"/>
      <c r="AE1403" s="261"/>
      <c r="AF1403" s="261"/>
      <c r="AG1403" s="261"/>
      <c r="AH1403" s="325"/>
      <c r="AI1403" s="261"/>
      <c r="AJ1403" s="261"/>
      <c r="AK1403" s="261"/>
      <c r="AL1403" s="261"/>
      <c r="AM1403" s="325"/>
      <c r="AN1403" s="261"/>
      <c r="AO1403" s="261"/>
      <c r="AP1403" s="261"/>
      <c r="AQ1403" s="261"/>
      <c r="AR1403" s="325"/>
      <c r="AS1403" s="261"/>
      <c r="AT1403" s="261"/>
      <c r="AU1403" s="261"/>
      <c r="AV1403" s="261"/>
      <c r="AW1403" s="325"/>
      <c r="AX1403" s="261"/>
      <c r="AY1403" s="261"/>
      <c r="AZ1403" s="261"/>
      <c r="BA1403" s="261"/>
      <c r="BB1403" s="325"/>
      <c r="BC1403" s="261"/>
      <c r="BD1403" s="261"/>
      <c r="BE1403" s="261"/>
      <c r="BF1403" s="261"/>
      <c r="BG1403" s="325"/>
      <c r="BH1403" s="261"/>
      <c r="BI1403" s="261"/>
      <c r="BJ1403" s="261"/>
      <c r="BK1403" s="261"/>
      <c r="BL1403" s="325"/>
      <c r="BM1403" s="261"/>
      <c r="BN1403" s="261"/>
      <c r="BO1403" s="261"/>
      <c r="BP1403" s="261"/>
      <c r="BQ1403" s="325"/>
      <c r="BR1403" s="261"/>
      <c r="BS1403" s="261"/>
      <c r="BT1403" s="261"/>
      <c r="BU1403" s="261"/>
      <c r="BV1403" s="325"/>
      <c r="BW1403" s="261"/>
      <c r="BX1403" s="261"/>
      <c r="BY1403" s="261"/>
      <c r="BZ1403" s="261"/>
      <c r="CA1403" s="325"/>
      <c r="CB1403" s="261"/>
      <c r="CC1403" s="261"/>
      <c r="CD1403" s="261"/>
      <c r="CE1403" s="261"/>
      <c r="CF1403" s="325"/>
      <c r="CG1403" s="261"/>
      <c r="CH1403" s="261"/>
      <c r="CI1403" s="261"/>
      <c r="CJ1403" s="261"/>
      <c r="CK1403" s="325"/>
      <c r="CL1403" s="261"/>
      <c r="CM1403" s="261"/>
      <c r="CN1403" s="261"/>
      <c r="CO1403" s="261"/>
      <c r="CP1403" s="325"/>
      <c r="CQ1403" s="261"/>
      <c r="CR1403" s="261"/>
      <c r="CS1403" s="261"/>
      <c r="CT1403" s="261"/>
      <c r="CU1403" s="325"/>
      <c r="CV1403" s="261"/>
      <c r="CW1403" s="261"/>
      <c r="CX1403" s="261"/>
      <c r="CY1403" s="261"/>
      <c r="CZ1403" s="325"/>
      <c r="DA1403" s="3164">
        <v>-9.3729187149880322E-2</v>
      </c>
      <c r="DB1403" s="3164">
        <v>-7.4834238760046912E-2</v>
      </c>
      <c r="DC1403" s="3164">
        <v>-6.2730976188030696E-2</v>
      </c>
      <c r="DD1403" s="3164">
        <v>-4.6845370790698282E-2</v>
      </c>
      <c r="DE1403" s="3143">
        <v>-6.9534943222164053E-2</v>
      </c>
      <c r="DF1403" s="3164">
        <v>-7.583134815604442E-2</v>
      </c>
      <c r="DG1403" s="3164">
        <v>-6.0628517812154392E-2</v>
      </c>
      <c r="DH1403" s="3164">
        <v>4.3001268975026763E-2</v>
      </c>
      <c r="DI1403" s="3164">
        <v>7.0403125394580046E-2</v>
      </c>
      <c r="DJ1403" s="3143">
        <v>-5.7638678996480008E-3</v>
      </c>
      <c r="DK1403" s="3164">
        <v>0.1736931058825899</v>
      </c>
      <c r="DL1403" s="3164">
        <v>0.17097695963103843</v>
      </c>
      <c r="DM1403" s="3164">
        <v>2.7140297061985397E-2</v>
      </c>
      <c r="DN1403" s="3164">
        <v>-3.9922311845336234E-3</v>
      </c>
      <c r="DO1403" s="3143">
        <v>9.1954532847770026E-2</v>
      </c>
      <c r="DP1403" s="3164">
        <v>-6.2213904253153984E-2</v>
      </c>
      <c r="DQ1403" s="3164">
        <v>-7.2693523719442266E-2</v>
      </c>
      <c r="DR1403" s="3164">
        <v>-6.9986741504753147E-2</v>
      </c>
      <c r="DS1403" s="3164">
        <v>-9.803610506285354E-2</v>
      </c>
      <c r="DT1403" s="3143">
        <v>-7.5732568635050734E-2</v>
      </c>
      <c r="DU1403" s="3164">
        <v>-5.6701803982232457E-2</v>
      </c>
      <c r="DV1403" s="3164">
        <v>-6.4662049120736476E-2</v>
      </c>
      <c r="DW1403" s="3166">
        <v>-4.1331214577772002E-2</v>
      </c>
      <c r="DX1403" s="3164">
        <v>-9.4260833372878938E-3</v>
      </c>
      <c r="DY1403" s="3143">
        <v>-4.3030287754507207E-2</v>
      </c>
      <c r="DZ1403" s="3164">
        <v>-3.7704730952277887E-2</v>
      </c>
      <c r="EA1403" s="3164">
        <v>-1.3522081705179656E-2</v>
      </c>
      <c r="EB1403" s="3164">
        <v>2.2880868672076282E-2</v>
      </c>
      <c r="EC1403" s="3164">
        <v>1.7662783656104963E-3</v>
      </c>
      <c r="ED1403" s="3143">
        <v>-6.6449164049426912E-3</v>
      </c>
      <c r="EE1403" s="3164">
        <v>-4.5827890748052602E-2</v>
      </c>
      <c r="EF1403" s="3164">
        <v>-2.6904271443035643E-2</v>
      </c>
      <c r="EG1403" s="3164">
        <v>-2.5994283586049716E-2</v>
      </c>
      <c r="EH1403" s="3602">
        <v>-2.5396241159381105E-4</v>
      </c>
      <c r="EI1403" s="3143">
        <v>-2.4745102047182943E-2</v>
      </c>
      <c r="EJ1403" s="325"/>
      <c r="EK1403" s="325"/>
      <c r="EL1403" s="325"/>
      <c r="EM1403" s="992"/>
      <c r="EN1403" s="325"/>
      <c r="EO1403" s="325"/>
      <c r="EP1403" s="325"/>
      <c r="EQ1403" s="325"/>
      <c r="ER1403" s="325"/>
      <c r="ES1403" s="325"/>
      <c r="ET1403" s="325"/>
      <c r="EU1403" s="325"/>
      <c r="EV1403" s="325"/>
      <c r="EW1403" s="325"/>
      <c r="EX1403" s="325"/>
    </row>
    <row r="1404" spans="2:154" outlineLevel="1">
      <c r="B1404" s="343" t="s">
        <v>865</v>
      </c>
      <c r="C1404" s="1990"/>
      <c r="D1404" s="25"/>
      <c r="E1404" s="25"/>
      <c r="F1404" s="25"/>
      <c r="G1404" s="25"/>
      <c r="H1404" s="25"/>
      <c r="I1404" s="261"/>
      <c r="J1404" s="261"/>
      <c r="K1404" s="261"/>
      <c r="L1404" s="261"/>
      <c r="M1404" s="261"/>
      <c r="N1404" s="261"/>
      <c r="O1404" s="261"/>
      <c r="P1404" s="261"/>
      <c r="Q1404" s="261"/>
      <c r="R1404" s="261"/>
      <c r="S1404" s="261"/>
      <c r="T1404" s="261"/>
      <c r="U1404" s="261"/>
      <c r="V1404" s="261"/>
      <c r="W1404" s="261"/>
      <c r="X1404" s="325"/>
      <c r="Y1404" s="261"/>
      <c r="Z1404" s="261"/>
      <c r="AA1404" s="261"/>
      <c r="AB1404" s="261"/>
      <c r="AC1404" s="325"/>
      <c r="AD1404" s="261"/>
      <c r="AE1404" s="261"/>
      <c r="AF1404" s="261"/>
      <c r="AG1404" s="261"/>
      <c r="AH1404" s="325"/>
      <c r="AI1404" s="261"/>
      <c r="AJ1404" s="261"/>
      <c r="AK1404" s="261"/>
      <c r="AL1404" s="261"/>
      <c r="AM1404" s="325"/>
      <c r="AN1404" s="261"/>
      <c r="AO1404" s="261"/>
      <c r="AP1404" s="261"/>
      <c r="AQ1404" s="261"/>
      <c r="AR1404" s="325"/>
      <c r="AS1404" s="261"/>
      <c r="AT1404" s="261"/>
      <c r="AU1404" s="261"/>
      <c r="AV1404" s="261"/>
      <c r="AW1404" s="325"/>
      <c r="AX1404" s="261"/>
      <c r="AY1404" s="261"/>
      <c r="AZ1404" s="261"/>
      <c r="BA1404" s="261"/>
      <c r="BB1404" s="325"/>
      <c r="BC1404" s="261"/>
      <c r="BD1404" s="261"/>
      <c r="BE1404" s="261"/>
      <c r="BF1404" s="261"/>
      <c r="BG1404" s="325"/>
      <c r="BH1404" s="261"/>
      <c r="BI1404" s="261"/>
      <c r="BJ1404" s="261"/>
      <c r="BK1404" s="261"/>
      <c r="BL1404" s="325"/>
      <c r="BM1404" s="261"/>
      <c r="BN1404" s="261"/>
      <c r="BO1404" s="261"/>
      <c r="BP1404" s="261"/>
      <c r="BQ1404" s="325"/>
      <c r="BR1404" s="261"/>
      <c r="BS1404" s="261"/>
      <c r="BT1404" s="261"/>
      <c r="BU1404" s="261"/>
      <c r="BV1404" s="325"/>
      <c r="BW1404" s="261"/>
      <c r="BX1404" s="261"/>
      <c r="BY1404" s="261"/>
      <c r="BZ1404" s="261"/>
      <c r="CA1404" s="325"/>
      <c r="CB1404" s="261"/>
      <c r="CC1404" s="261"/>
      <c r="CD1404" s="261"/>
      <c r="CE1404" s="261"/>
      <c r="CF1404" s="325"/>
      <c r="CG1404" s="261"/>
      <c r="CH1404" s="261"/>
      <c r="CI1404" s="261"/>
      <c r="CJ1404" s="261"/>
      <c r="CK1404" s="325"/>
      <c r="CL1404" s="261"/>
      <c r="CM1404" s="261"/>
      <c r="CN1404" s="261"/>
      <c r="CO1404" s="261"/>
      <c r="CP1404" s="325"/>
      <c r="CQ1404" s="261"/>
      <c r="CR1404" s="261"/>
      <c r="CS1404" s="261"/>
      <c r="CT1404" s="261"/>
      <c r="CU1404" s="325"/>
      <c r="CV1404" s="261"/>
      <c r="CW1404" s="261"/>
      <c r="CX1404" s="261"/>
      <c r="CY1404" s="261"/>
      <c r="CZ1404" s="325"/>
      <c r="DA1404" s="3164">
        <v>-0.05</v>
      </c>
      <c r="DB1404" s="3164">
        <v>-0.05</v>
      </c>
      <c r="DC1404" s="3164">
        <v>-0.05</v>
      </c>
      <c r="DD1404" s="3164">
        <v>-0.05</v>
      </c>
      <c r="DE1404" s="3143">
        <v>-0.05</v>
      </c>
      <c r="DF1404" s="3164">
        <v>-0.06</v>
      </c>
      <c r="DG1404" s="3164">
        <v>-7.0000000000000007E-2</v>
      </c>
      <c r="DH1404" s="3164">
        <v>-0.04</v>
      </c>
      <c r="DI1404" s="3164">
        <v>0.03</v>
      </c>
      <c r="DJ1404" s="3143">
        <v>-3.5000000000000003E-2</v>
      </c>
      <c r="DK1404" s="3164">
        <v>0.01</v>
      </c>
      <c r="DL1404" s="3164">
        <v>0.05</v>
      </c>
      <c r="DM1404" s="3164">
        <v>0.05</v>
      </c>
      <c r="DN1404" s="3164">
        <v>0.02</v>
      </c>
      <c r="DO1404" s="3143">
        <v>3.2500000000000001E-2</v>
      </c>
      <c r="DP1404" s="3164">
        <v>0.01</v>
      </c>
      <c r="DQ1404" s="3164">
        <v>-0.02</v>
      </c>
      <c r="DR1404" s="3164">
        <v>-0.02</v>
      </c>
      <c r="DS1404" s="3164">
        <v>-0.01</v>
      </c>
      <c r="DT1404" s="3143">
        <v>-0.01</v>
      </c>
      <c r="DU1404" s="3187">
        <v>-0.02</v>
      </c>
      <c r="DV1404" s="3188">
        <v>-0.08</v>
      </c>
      <c r="DW1404" s="3188">
        <v>-0.06</v>
      </c>
      <c r="DX1404" s="3188">
        <v>-0.02</v>
      </c>
      <c r="DY1404" s="3143">
        <f t="shared" ref="DY1404" si="2762">AVERAGE(DU1404:DX1404)</f>
      </c>
      <c r="DZ1404" s="3188">
        <v>-0.04</v>
      </c>
      <c r="EA1404" s="3188">
        <v>-0.04</v>
      </c>
      <c r="EB1404" s="3188">
        <v>-0.01</v>
      </c>
      <c r="EC1404" s="3189">
        <v>-5.0000000000000001E-3</v>
      </c>
      <c r="ED1404" s="3143">
        <f t="shared" ref="ED1404" si="2763">AVERAGE(DZ1404:EC1404)</f>
      </c>
      <c r="EE1404" s="3188">
        <v>-7.0000000000000007E-2</v>
      </c>
      <c r="EF1404" s="3188">
        <v>-0.05</v>
      </c>
      <c r="EG1404" s="3188">
        <v>-0.03</v>
      </c>
      <c r="EH1404" s="3188">
        <v>-0.01</v>
      </c>
      <c r="EI1404" s="3143">
        <f>AVERAGE(EE1404:EH1404)</f>
      </c>
      <c r="EJ1404" s="325"/>
      <c r="EK1404" s="325"/>
      <c r="EL1404" s="325"/>
      <c r="EM1404" s="325"/>
      <c r="EN1404" s="992"/>
      <c r="EO1404" s="325"/>
      <c r="EP1404" s="325"/>
      <c r="EQ1404" s="325"/>
      <c r="ER1404" s="325"/>
      <c r="ES1404" s="325"/>
      <c r="ET1404" s="325"/>
      <c r="EU1404" s="325"/>
      <c r="EV1404" s="325"/>
      <c r="EW1404" s="325"/>
      <c r="EX1404" s="325"/>
    </row>
    <row r="1405" spans="2:154" outlineLevel="1">
      <c r="B1405" s="343"/>
      <c r="C1405" s="1990"/>
      <c r="D1405" s="25"/>
      <c r="E1405" s="25"/>
      <c r="F1405" s="25"/>
      <c r="G1405" s="25"/>
      <c r="H1405" s="25"/>
      <c r="I1405" s="261"/>
      <c r="J1405" s="261"/>
      <c r="K1405" s="261"/>
      <c r="L1405" s="261"/>
      <c r="M1405" s="261"/>
      <c r="N1405" s="261"/>
      <c r="O1405" s="261"/>
      <c r="P1405" s="261"/>
      <c r="Q1405" s="261"/>
      <c r="R1405" s="261"/>
      <c r="S1405" s="261"/>
      <c r="T1405" s="261"/>
      <c r="U1405" s="261"/>
      <c r="V1405" s="261"/>
      <c r="W1405" s="261"/>
      <c r="X1405" s="325"/>
      <c r="Y1405" s="261"/>
      <c r="Z1405" s="261"/>
      <c r="AA1405" s="261"/>
      <c r="AB1405" s="261"/>
      <c r="AC1405" s="325"/>
      <c r="AD1405" s="261"/>
      <c r="AE1405" s="261"/>
      <c r="AF1405" s="261"/>
      <c r="AG1405" s="261"/>
      <c r="AH1405" s="325"/>
      <c r="AI1405" s="261"/>
      <c r="AJ1405" s="261"/>
      <c r="AK1405" s="261"/>
      <c r="AL1405" s="261"/>
      <c r="AM1405" s="325"/>
      <c r="AN1405" s="261"/>
      <c r="AO1405" s="261"/>
      <c r="AP1405" s="261"/>
      <c r="AQ1405" s="261"/>
      <c r="AR1405" s="325"/>
      <c r="AS1405" s="261"/>
      <c r="AT1405" s="261"/>
      <c r="AU1405" s="261"/>
      <c r="AV1405" s="261"/>
      <c r="AW1405" s="325"/>
      <c r="AX1405" s="261"/>
      <c r="AY1405" s="261"/>
      <c r="AZ1405" s="261"/>
      <c r="BA1405" s="261"/>
      <c r="BB1405" s="325"/>
      <c r="BC1405" s="261"/>
      <c r="BD1405" s="261"/>
      <c r="BE1405" s="261"/>
      <c r="BF1405" s="261"/>
      <c r="BG1405" s="325"/>
      <c r="BH1405" s="261"/>
      <c r="BI1405" s="261"/>
      <c r="BJ1405" s="261"/>
      <c r="BK1405" s="261"/>
      <c r="BL1405" s="325"/>
      <c r="BM1405" s="261"/>
      <c r="BN1405" s="261"/>
      <c r="BO1405" s="261"/>
      <c r="BP1405" s="261"/>
      <c r="BQ1405" s="325"/>
      <c r="BR1405" s="261"/>
      <c r="BS1405" s="261"/>
      <c r="BT1405" s="261"/>
      <c r="BU1405" s="261"/>
      <c r="BV1405" s="325"/>
      <c r="BW1405" s="261"/>
      <c r="BX1405" s="261"/>
      <c r="BY1405" s="261"/>
      <c r="BZ1405" s="261"/>
      <c r="CA1405" s="325"/>
      <c r="CB1405" s="261"/>
      <c r="CC1405" s="261"/>
      <c r="CD1405" s="261"/>
      <c r="CE1405" s="261"/>
      <c r="CF1405" s="325"/>
      <c r="CG1405" s="261"/>
      <c r="CH1405" s="261"/>
      <c r="CI1405" s="261"/>
      <c r="CJ1405" s="261"/>
      <c r="CK1405" s="325"/>
      <c r="CL1405" s="261"/>
      <c r="CM1405" s="261"/>
      <c r="CN1405" s="261"/>
      <c r="CO1405" s="261"/>
      <c r="CP1405" s="325"/>
      <c r="CQ1405" s="261"/>
      <c r="CR1405" s="261"/>
      <c r="CS1405" s="261"/>
      <c r="CT1405" s="261"/>
      <c r="CU1405" s="325"/>
      <c r="CV1405" s="261"/>
      <c r="CW1405" s="261"/>
      <c r="CX1405" s="261"/>
      <c r="CY1405" s="261"/>
      <c r="CZ1405" s="325"/>
      <c r="DA1405" s="261"/>
      <c r="DB1405" s="261"/>
      <c r="DC1405" s="261"/>
      <c r="DD1405" s="261"/>
      <c r="DE1405" s="325"/>
      <c r="DF1405" s="261"/>
      <c r="DG1405" s="261"/>
      <c r="DH1405" s="261"/>
      <c r="DI1405" s="261"/>
      <c r="DJ1405" s="325"/>
      <c r="DK1405" s="261"/>
      <c r="DL1405" s="261"/>
      <c r="DM1405" s="261"/>
      <c r="DN1405" s="261"/>
      <c r="DO1405" s="1060"/>
      <c r="DP1405" s="261"/>
      <c r="DQ1405" s="261"/>
      <c r="DR1405" s="261"/>
      <c r="DS1405" s="261"/>
      <c r="DT1405" s="325"/>
      <c r="DU1405" s="946"/>
      <c r="DV1405" s="261"/>
      <c r="DW1405" s="261"/>
      <c r="DX1405" s="261"/>
      <c r="DY1405" s="325"/>
      <c r="DZ1405" s="261"/>
      <c r="EA1405" s="261"/>
      <c r="EB1405" s="261"/>
      <c r="EC1405" s="261"/>
      <c r="ED1405" s="325"/>
      <c r="EE1405" s="261"/>
      <c r="EF1405" s="261"/>
      <c r="EG1405" s="261"/>
      <c r="EH1405" s="992"/>
      <c r="EI1405" s="261"/>
      <c r="EJ1405" s="325"/>
      <c r="EK1405" s="325"/>
      <c r="EL1405" s="325"/>
      <c r="EM1405" s="325"/>
      <c r="EN1405" s="992"/>
      <c r="EO1405" s="325"/>
      <c r="EP1405" s="325"/>
      <c r="EQ1405" s="325"/>
      <c r="ER1405" s="325"/>
      <c r="ES1405" s="325"/>
      <c r="ET1405" s="325"/>
      <c r="EU1405" s="325"/>
      <c r="EV1405" s="325"/>
      <c r="EW1405" s="325"/>
      <c r="EX1405" s="325"/>
    </row>
    <row r="1406" spans="2:154" outlineLevel="1">
      <c r="B1406" s="343" t="s">
        <v>871</v>
      </c>
      <c r="C1406" s="1990"/>
      <c r="D1406" s="25"/>
      <c r="E1406" s="25"/>
      <c r="F1406" s="25"/>
      <c r="G1406" s="25"/>
      <c r="H1406" s="25"/>
      <c r="I1406" s="261"/>
      <c r="J1406" s="261"/>
      <c r="K1406" s="261"/>
      <c r="L1406" s="261"/>
      <c r="M1406" s="261"/>
      <c r="N1406" s="261"/>
      <c r="O1406" s="261"/>
      <c r="P1406" s="261"/>
      <c r="Q1406" s="261"/>
      <c r="R1406" s="261"/>
      <c r="S1406" s="261"/>
      <c r="T1406" s="261"/>
      <c r="U1406" s="261"/>
      <c r="V1406" s="261"/>
      <c r="W1406" s="261"/>
      <c r="X1406" s="325"/>
      <c r="Y1406" s="261"/>
      <c r="Z1406" s="261"/>
      <c r="AA1406" s="261"/>
      <c r="AB1406" s="261"/>
      <c r="AC1406" s="325"/>
      <c r="AD1406" s="261"/>
      <c r="AE1406" s="261"/>
      <c r="AF1406" s="261"/>
      <c r="AG1406" s="261"/>
      <c r="AH1406" s="325"/>
      <c r="AI1406" s="261"/>
      <c r="AJ1406" s="261"/>
      <c r="AK1406" s="261"/>
      <c r="AL1406" s="261"/>
      <c r="AM1406" s="325"/>
      <c r="AN1406" s="261"/>
      <c r="AO1406" s="261"/>
      <c r="AP1406" s="261"/>
      <c r="AQ1406" s="261"/>
      <c r="AR1406" s="325"/>
      <c r="AS1406" s="261"/>
      <c r="AT1406" s="261"/>
      <c r="AU1406" s="261"/>
      <c r="AV1406" s="261"/>
      <c r="AW1406" s="325"/>
      <c r="AX1406" s="261"/>
      <c r="AY1406" s="261"/>
      <c r="AZ1406" s="261"/>
      <c r="BA1406" s="261"/>
      <c r="BB1406" s="325"/>
      <c r="BC1406" s="261"/>
      <c r="BD1406" s="261"/>
      <c r="BE1406" s="261"/>
      <c r="BF1406" s="261"/>
      <c r="BG1406" s="325"/>
      <c r="BH1406" s="261"/>
      <c r="BI1406" s="261"/>
      <c r="BJ1406" s="261"/>
      <c r="BK1406" s="261"/>
      <c r="BL1406" s="325"/>
      <c r="BM1406" s="261"/>
      <c r="BN1406" s="261"/>
      <c r="BO1406" s="261"/>
      <c r="BP1406" s="261"/>
      <c r="BQ1406" s="325"/>
      <c r="BR1406" s="261"/>
      <c r="BS1406" s="261"/>
      <c r="BT1406" s="261"/>
      <c r="BU1406" s="261"/>
      <c r="BV1406" s="325"/>
      <c r="BW1406" s="261"/>
      <c r="BX1406" s="261"/>
      <c r="BY1406" s="261"/>
      <c r="BZ1406" s="261"/>
      <c r="CA1406" s="325"/>
      <c r="CB1406" s="261"/>
      <c r="CC1406" s="261"/>
      <c r="CD1406" s="261"/>
      <c r="CE1406" s="261"/>
      <c r="CF1406" s="325"/>
      <c r="CG1406" s="261"/>
      <c r="CH1406" s="261"/>
      <c r="CI1406" s="261"/>
      <c r="CJ1406" s="261"/>
      <c r="CK1406" s="325"/>
      <c r="CL1406" s="261"/>
      <c r="CM1406" s="261"/>
      <c r="CN1406" s="261"/>
      <c r="CO1406" s="261"/>
      <c r="CP1406" s="325"/>
      <c r="CQ1406" s="261"/>
      <c r="CR1406" s="261"/>
      <c r="CS1406" s="261"/>
      <c r="CT1406" s="261"/>
      <c r="CU1406" s="325"/>
      <c r="CV1406" s="261"/>
      <c r="CW1406" s="261"/>
      <c r="CX1406" s="261"/>
      <c r="CY1406" s="261"/>
      <c r="CZ1406" s="325"/>
      <c r="DA1406" s="3165">
        <f t="shared" ref="DA1406:EH1406" si="2764">SUMPRODUCT(DA1377:DA1383,DA1398:DA1404)</f>
      </c>
      <c r="DB1406" s="3165">
        <f t="shared" si="2764"/>
      </c>
      <c r="DC1406" s="3165">
        <f t="shared" si="2764"/>
      </c>
      <c r="DD1406" s="3165">
        <f t="shared" si="2764"/>
      </c>
      <c r="DE1406" s="3144">
        <f t="shared" si="2764"/>
      </c>
      <c r="DF1406" s="3166">
        <f t="shared" si="2764"/>
      </c>
      <c r="DG1406" s="3166">
        <f t="shared" si="2764"/>
      </c>
      <c r="DH1406" s="3166">
        <f t="shared" si="2764"/>
      </c>
      <c r="DI1406" s="3166">
        <f t="shared" si="2764"/>
      </c>
      <c r="DJ1406" s="3144">
        <f t="shared" si="2764"/>
      </c>
      <c r="DK1406" s="3166">
        <f t="shared" si="2764"/>
      </c>
      <c r="DL1406" s="3166">
        <f t="shared" si="2764"/>
      </c>
      <c r="DM1406" s="3166">
        <f t="shared" si="2764"/>
      </c>
      <c r="DN1406" s="3166">
        <f t="shared" si="2764"/>
      </c>
      <c r="DO1406" s="3144">
        <f t="shared" si="2764"/>
      </c>
      <c r="DP1406" s="3166">
        <f t="shared" si="2764"/>
      </c>
      <c r="DQ1406" s="3166">
        <f t="shared" si="2764"/>
      </c>
      <c r="DR1406" s="3166">
        <f t="shared" si="2764"/>
      </c>
      <c r="DS1406" s="3166">
        <f t="shared" si="2764"/>
      </c>
      <c r="DT1406" s="3144">
        <f t="shared" si="2764"/>
      </c>
      <c r="DU1406" s="3166">
        <f t="shared" si="2764"/>
      </c>
      <c r="DV1406" s="3166">
        <f t="shared" si="2764"/>
      </c>
      <c r="DW1406" s="3166">
        <f t="shared" si="2764"/>
      </c>
      <c r="DX1406" s="3166">
        <f t="shared" si="2764"/>
      </c>
      <c r="DY1406" s="3144">
        <f t="shared" si="2764"/>
      </c>
      <c r="DZ1406" s="3166">
        <f t="shared" si="2764"/>
      </c>
      <c r="EA1406" s="3166">
        <f t="shared" si="2764"/>
      </c>
      <c r="EB1406" s="3166">
        <f t="shared" si="2764"/>
      </c>
      <c r="EC1406" s="3166">
        <f>SUMPRODUCT(EC1377:EC1383,EC1398:EC1404)</f>
      </c>
      <c r="ED1406" s="3144">
        <f t="shared" si="2764"/>
      </c>
      <c r="EE1406" s="3165">
        <f t="shared" si="2764"/>
      </c>
      <c r="EF1406" s="3165">
        <f t="shared" si="2764"/>
      </c>
      <c r="EG1406" s="3165">
        <f t="shared" si="2764"/>
      </c>
      <c r="EH1406" s="3165">
        <f t="shared" si="2764"/>
      </c>
      <c r="EI1406" s="3144">
        <f t="shared" ref="EI1406" si="2765">SUMPRODUCT(EI1377:EI1383,EI1398:EI1404)</f>
      </c>
      <c r="EJ1406" s="3144"/>
      <c r="EK1406" s="3144"/>
      <c r="EL1406" s="3144"/>
      <c r="EM1406" s="3145"/>
      <c r="EN1406" s="992"/>
      <c r="EO1406" s="325"/>
      <c r="EP1406" s="325"/>
      <c r="EQ1406" s="325"/>
      <c r="ER1406" s="325"/>
      <c r="ES1406" s="325"/>
      <c r="ET1406" s="325"/>
      <c r="EU1406" s="325"/>
      <c r="EV1406" s="325"/>
      <c r="EW1406" s="325"/>
      <c r="EX1406" s="325"/>
    </row>
    <row r="1407" spans="2:154" outlineLevel="1">
      <c r="B1407" s="343" t="s">
        <v>872</v>
      </c>
      <c r="C1407" s="1990"/>
      <c r="D1407" s="25"/>
      <c r="E1407" s="25"/>
      <c r="F1407" s="25"/>
      <c r="G1407" s="25"/>
      <c r="H1407" s="25"/>
      <c r="I1407" s="261"/>
      <c r="J1407" s="261"/>
      <c r="K1407" s="261"/>
      <c r="L1407" s="261"/>
      <c r="M1407" s="261"/>
      <c r="N1407" s="261"/>
      <c r="O1407" s="261"/>
      <c r="P1407" s="261"/>
      <c r="Q1407" s="261"/>
      <c r="R1407" s="261"/>
      <c r="S1407" s="261"/>
      <c r="T1407" s="261"/>
      <c r="U1407" s="261"/>
      <c r="V1407" s="261"/>
      <c r="W1407" s="261"/>
      <c r="X1407" s="325"/>
      <c r="Y1407" s="261"/>
      <c r="Z1407" s="261"/>
      <c r="AA1407" s="261"/>
      <c r="AB1407" s="261"/>
      <c r="AC1407" s="325"/>
      <c r="AD1407" s="261"/>
      <c r="AE1407" s="261"/>
      <c r="AF1407" s="261"/>
      <c r="AG1407" s="261"/>
      <c r="AH1407" s="325"/>
      <c r="AI1407" s="261"/>
      <c r="AJ1407" s="261"/>
      <c r="AK1407" s="261"/>
      <c r="AL1407" s="261"/>
      <c r="AM1407" s="325"/>
      <c r="AN1407" s="261"/>
      <c r="AO1407" s="261"/>
      <c r="AP1407" s="261"/>
      <c r="AQ1407" s="261"/>
      <c r="AR1407" s="325"/>
      <c r="AS1407" s="261"/>
      <c r="AT1407" s="261"/>
      <c r="AU1407" s="261"/>
      <c r="AV1407" s="261"/>
      <c r="AW1407" s="325"/>
      <c r="AX1407" s="261"/>
      <c r="AY1407" s="261"/>
      <c r="AZ1407" s="261"/>
      <c r="BA1407" s="261"/>
      <c r="BB1407" s="325"/>
      <c r="BC1407" s="261"/>
      <c r="BD1407" s="261"/>
      <c r="BE1407" s="261"/>
      <c r="BF1407" s="261"/>
      <c r="BG1407" s="325"/>
      <c r="BH1407" s="261"/>
      <c r="BI1407" s="261"/>
      <c r="BJ1407" s="261"/>
      <c r="BK1407" s="261"/>
      <c r="BL1407" s="325"/>
      <c r="BM1407" s="261"/>
      <c r="BN1407" s="261"/>
      <c r="BO1407" s="261"/>
      <c r="BP1407" s="261"/>
      <c r="BQ1407" s="325"/>
      <c r="BR1407" s="261"/>
      <c r="BS1407" s="261"/>
      <c r="BT1407" s="261"/>
      <c r="BU1407" s="261"/>
      <c r="BV1407" s="325"/>
      <c r="BW1407" s="261"/>
      <c r="BX1407" s="261"/>
      <c r="BY1407" s="261"/>
      <c r="BZ1407" s="261"/>
      <c r="CA1407" s="325"/>
      <c r="CB1407" s="261"/>
      <c r="CC1407" s="261"/>
      <c r="CD1407" s="261"/>
      <c r="CE1407" s="261"/>
      <c r="CF1407" s="325"/>
      <c r="CG1407" s="261"/>
      <c r="CH1407" s="261"/>
      <c r="CI1407" s="261"/>
      <c r="CJ1407" s="261"/>
      <c r="CK1407" s="325"/>
      <c r="CL1407" s="261"/>
      <c r="CM1407" s="261"/>
      <c r="CN1407" s="261"/>
      <c r="CO1407" s="261"/>
      <c r="CP1407" s="325"/>
      <c r="CQ1407" s="261"/>
      <c r="CR1407" s="261"/>
      <c r="CS1407" s="261"/>
      <c r="CT1407" s="261"/>
      <c r="CU1407" s="325"/>
      <c r="CV1407" s="261"/>
      <c r="CW1407" s="261"/>
      <c r="CX1407" s="261"/>
      <c r="CY1407" s="261"/>
      <c r="CZ1407" s="325"/>
      <c r="DA1407" s="3165">
        <f t="shared" ref="DA1407:EI1407" si="2766">CV1394*DA1406</f>
      </c>
      <c r="DB1407" s="3165">
        <f t="shared" si="2766"/>
      </c>
      <c r="DC1407" s="3165">
        <f t="shared" si="2766"/>
      </c>
      <c r="DD1407" s="3165">
        <f t="shared" si="2766"/>
      </c>
      <c r="DE1407" s="3144">
        <f t="shared" si="2766"/>
      </c>
      <c r="DF1407" s="3166">
        <f t="shared" si="2766"/>
      </c>
      <c r="DG1407" s="3166">
        <f t="shared" si="2766"/>
      </c>
      <c r="DH1407" s="3166">
        <f t="shared" si="2766"/>
      </c>
      <c r="DI1407" s="3166">
        <f t="shared" si="2766"/>
      </c>
      <c r="DJ1407" s="3144">
        <f t="shared" si="2766"/>
      </c>
      <c r="DK1407" s="3166">
        <f t="shared" si="2766"/>
      </c>
      <c r="DL1407" s="3166">
        <f t="shared" si="2766"/>
      </c>
      <c r="DM1407" s="3166">
        <f t="shared" si="2766"/>
      </c>
      <c r="DN1407" s="3166">
        <f t="shared" si="2766"/>
      </c>
      <c r="DO1407" s="3144">
        <f t="shared" si="2766"/>
      </c>
      <c r="DP1407" s="3166">
        <f t="shared" si="2766"/>
      </c>
      <c r="DQ1407" s="3166">
        <f t="shared" si="2766"/>
      </c>
      <c r="DR1407" s="3166">
        <f t="shared" si="2766"/>
      </c>
      <c r="DS1407" s="3166">
        <f t="shared" si="2766"/>
      </c>
      <c r="DT1407" s="3144">
        <f t="shared" si="2766"/>
      </c>
      <c r="DU1407" s="3166">
        <f t="shared" si="2766"/>
      </c>
      <c r="DV1407" s="3166">
        <f t="shared" si="2766"/>
      </c>
      <c r="DW1407" s="3166">
        <f t="shared" si="2766"/>
      </c>
      <c r="DX1407" s="3166">
        <f t="shared" si="2766"/>
      </c>
      <c r="DY1407" s="3144">
        <f t="shared" si="2766"/>
      </c>
      <c r="DZ1407" s="3166">
        <f t="shared" si="2766"/>
      </c>
      <c r="EA1407" s="3166">
        <f t="shared" si="2766"/>
      </c>
      <c r="EB1407" s="3166">
        <f t="shared" si="2766"/>
      </c>
      <c r="EC1407" s="3166">
        <f>DX1394*EC1406</f>
      </c>
      <c r="ED1407" s="3144">
        <f t="shared" si="2766"/>
      </c>
      <c r="EE1407" s="3165">
        <f t="shared" si="2766"/>
      </c>
      <c r="EF1407" s="3165">
        <f t="shared" si="2766"/>
      </c>
      <c r="EG1407" s="3165">
        <f t="shared" si="2766"/>
      </c>
      <c r="EH1407" s="3165">
        <f t="shared" si="2766"/>
      </c>
      <c r="EI1407" s="3144">
        <f t="shared" si="2766"/>
      </c>
      <c r="EJ1407" s="3144"/>
      <c r="EK1407" s="3144"/>
      <c r="EL1407" s="3144"/>
      <c r="EM1407" s="3144"/>
      <c r="EN1407" s="992"/>
      <c r="EO1407" s="325"/>
      <c r="EP1407" s="325"/>
      <c r="EQ1407" s="325"/>
      <c r="ER1407" s="325"/>
      <c r="ES1407" s="325"/>
      <c r="ET1407" s="325"/>
      <c r="EU1407" s="325"/>
      <c r="EV1407" s="325"/>
      <c r="EW1407" s="325"/>
      <c r="EX1407" s="325"/>
    </row>
    <row r="1408" spans="2:154" outlineLevel="1">
      <c r="B1408" s="343"/>
      <c r="C1408" s="1990"/>
      <c r="D1408" s="25"/>
      <c r="E1408" s="25"/>
      <c r="F1408" s="25"/>
      <c r="G1408" s="25"/>
      <c r="H1408" s="25"/>
      <c r="I1408" s="261"/>
      <c r="J1408" s="261"/>
      <c r="K1408" s="261"/>
      <c r="L1408" s="261"/>
      <c r="M1408" s="261"/>
      <c r="N1408" s="261"/>
      <c r="O1408" s="261"/>
      <c r="P1408" s="261"/>
      <c r="Q1408" s="261"/>
      <c r="R1408" s="261"/>
      <c r="S1408" s="261"/>
      <c r="T1408" s="261"/>
      <c r="U1408" s="261"/>
      <c r="V1408" s="261"/>
      <c r="W1408" s="261"/>
      <c r="X1408" s="325"/>
      <c r="Y1408" s="261"/>
      <c r="Z1408" s="261"/>
      <c r="AA1408" s="261"/>
      <c r="AB1408" s="261"/>
      <c r="AC1408" s="325"/>
      <c r="AD1408" s="261"/>
      <c r="AE1408" s="261"/>
      <c r="AF1408" s="261"/>
      <c r="AG1408" s="261"/>
      <c r="AH1408" s="325"/>
      <c r="AI1408" s="261"/>
      <c r="AJ1408" s="261"/>
      <c r="AK1408" s="261"/>
      <c r="AL1408" s="261"/>
      <c r="AM1408" s="325"/>
      <c r="AN1408" s="261"/>
      <c r="AO1408" s="261"/>
      <c r="AP1408" s="261"/>
      <c r="AQ1408" s="261"/>
      <c r="AR1408" s="325"/>
      <c r="AS1408" s="261"/>
      <c r="AT1408" s="261"/>
      <c r="AU1408" s="261"/>
      <c r="AV1408" s="261"/>
      <c r="AW1408" s="325"/>
      <c r="AX1408" s="261"/>
      <c r="AY1408" s="261"/>
      <c r="AZ1408" s="261"/>
      <c r="BA1408" s="261"/>
      <c r="BB1408" s="325"/>
      <c r="BC1408" s="261"/>
      <c r="BD1408" s="261"/>
      <c r="BE1408" s="261"/>
      <c r="BF1408" s="261"/>
      <c r="BG1408" s="325"/>
      <c r="BH1408" s="261"/>
      <c r="BI1408" s="261"/>
      <c r="BJ1408" s="261"/>
      <c r="BK1408" s="261"/>
      <c r="BL1408" s="325"/>
      <c r="BM1408" s="261"/>
      <c r="BN1408" s="261"/>
      <c r="BO1408" s="261"/>
      <c r="BP1408" s="261"/>
      <c r="BQ1408" s="325"/>
      <c r="BR1408" s="261"/>
      <c r="BS1408" s="261"/>
      <c r="BT1408" s="261"/>
      <c r="BU1408" s="261"/>
      <c r="BV1408" s="325"/>
      <c r="BW1408" s="261"/>
      <c r="BX1408" s="261"/>
      <c r="BY1408" s="261"/>
      <c r="BZ1408" s="261"/>
      <c r="CA1408" s="325"/>
      <c r="CB1408" s="261"/>
      <c r="CC1408" s="261"/>
      <c r="CD1408" s="261"/>
      <c r="CE1408" s="261"/>
      <c r="CF1408" s="325"/>
      <c r="CG1408" s="261"/>
      <c r="CH1408" s="261"/>
      <c r="CI1408" s="261"/>
      <c r="CJ1408" s="261"/>
      <c r="CK1408" s="325"/>
      <c r="CL1408" s="261"/>
      <c r="CM1408" s="261"/>
      <c r="CN1408" s="261"/>
      <c r="CO1408" s="261"/>
      <c r="CP1408" s="325"/>
      <c r="CQ1408" s="261"/>
      <c r="CR1408" s="261"/>
      <c r="CS1408" s="261"/>
      <c r="CT1408" s="261"/>
      <c r="CU1408" s="325"/>
      <c r="CV1408" s="261"/>
      <c r="CW1408" s="261"/>
      <c r="CX1408" s="261"/>
      <c r="CY1408" s="261"/>
      <c r="CZ1408" s="325"/>
      <c r="DA1408" s="1001"/>
      <c r="DB1408" s="261"/>
      <c r="DC1408" s="261"/>
      <c r="DD1408" s="261"/>
      <c r="DE1408" s="325"/>
      <c r="DF1408" s="261"/>
      <c r="DG1408" s="261"/>
      <c r="DH1408" s="261"/>
      <c r="DI1408" s="261"/>
      <c r="DJ1408" s="325"/>
      <c r="DK1408" s="261"/>
      <c r="DL1408" s="261"/>
      <c r="DM1408" s="261"/>
      <c r="DN1408" s="261"/>
      <c r="DO1408" s="1060"/>
      <c r="DP1408" s="261"/>
      <c r="DQ1408" s="261"/>
      <c r="DR1408" s="261"/>
      <c r="DS1408" s="261"/>
      <c r="DT1408" s="325"/>
      <c r="DU1408" s="946"/>
      <c r="DV1408" s="261"/>
      <c r="DW1408" s="261"/>
      <c r="DX1408" s="261"/>
      <c r="DY1408" s="325"/>
      <c r="DZ1408" s="261"/>
      <c r="EA1408" s="261"/>
      <c r="EB1408" s="261"/>
      <c r="EC1408" s="261"/>
      <c r="ED1408" s="325"/>
      <c r="EE1408" s="261"/>
      <c r="EF1408" s="261"/>
      <c r="EG1408" s="261"/>
      <c r="EH1408" s="992"/>
      <c r="EI1408" s="261"/>
      <c r="EJ1408" s="325"/>
      <c r="EK1408" s="325"/>
      <c r="EL1408" s="325"/>
      <c r="EM1408" s="325"/>
      <c r="EN1408" s="992"/>
      <c r="EO1408" s="325"/>
      <c r="EP1408" s="325"/>
      <c r="EQ1408" s="325"/>
      <c r="ER1408" s="325"/>
      <c r="ES1408" s="325"/>
      <c r="ET1408" s="325"/>
      <c r="EU1408" s="325"/>
      <c r="EV1408" s="325"/>
      <c r="EW1408" s="325"/>
      <c r="EX1408" s="325"/>
    </row>
    <row r="1409" spans="2:154" outlineLevel="1">
      <c r="B1409" s="343" t="s">
        <v>873</v>
      </c>
      <c r="C1409" s="1990"/>
      <c r="D1409" s="25"/>
      <c r="E1409" s="25"/>
      <c r="F1409" s="25"/>
      <c r="G1409" s="25"/>
      <c r="H1409" s="25"/>
      <c r="I1409" s="261"/>
      <c r="J1409" s="261"/>
      <c r="K1409" s="261"/>
      <c r="L1409" s="261"/>
      <c r="M1409" s="261"/>
      <c r="N1409" s="261"/>
      <c r="O1409" s="261"/>
      <c r="P1409" s="261"/>
      <c r="Q1409" s="261"/>
      <c r="R1409" s="261"/>
      <c r="S1409" s="261"/>
      <c r="T1409" s="261"/>
      <c r="U1409" s="261"/>
      <c r="V1409" s="261"/>
      <c r="W1409" s="261"/>
      <c r="X1409" s="325"/>
      <c r="Y1409" s="261"/>
      <c r="Z1409" s="261"/>
      <c r="AA1409" s="261"/>
      <c r="AB1409" s="261"/>
      <c r="AC1409" s="325"/>
      <c r="AD1409" s="261"/>
      <c r="AE1409" s="261"/>
      <c r="AF1409" s="261"/>
      <c r="AG1409" s="261"/>
      <c r="AH1409" s="325"/>
      <c r="AI1409" s="261"/>
      <c r="AJ1409" s="261"/>
      <c r="AK1409" s="261"/>
      <c r="AL1409" s="261"/>
      <c r="AM1409" s="325"/>
      <c r="AN1409" s="261"/>
      <c r="AO1409" s="261"/>
      <c r="AP1409" s="261"/>
      <c r="AQ1409" s="261"/>
      <c r="AR1409" s="325"/>
      <c r="AS1409" s="261"/>
      <c r="AT1409" s="261"/>
      <c r="AU1409" s="261"/>
      <c r="AV1409" s="261"/>
      <c r="AW1409" s="325"/>
      <c r="AX1409" s="261"/>
      <c r="AY1409" s="261"/>
      <c r="AZ1409" s="261"/>
      <c r="BA1409" s="261"/>
      <c r="BB1409" s="325"/>
      <c r="BC1409" s="261"/>
      <c r="BD1409" s="261"/>
      <c r="BE1409" s="261"/>
      <c r="BF1409" s="261"/>
      <c r="BG1409" s="325"/>
      <c r="BH1409" s="261"/>
      <c r="BI1409" s="261"/>
      <c r="BJ1409" s="261"/>
      <c r="BK1409" s="261"/>
      <c r="BL1409" s="325"/>
      <c r="BM1409" s="261"/>
      <c r="BN1409" s="261"/>
      <c r="BO1409" s="261"/>
      <c r="BP1409" s="261"/>
      <c r="BQ1409" s="325"/>
      <c r="BR1409" s="261"/>
      <c r="BS1409" s="261"/>
      <c r="BT1409" s="261"/>
      <c r="BU1409" s="261"/>
      <c r="BV1409" s="325"/>
      <c r="BW1409" s="261"/>
      <c r="BX1409" s="261"/>
      <c r="BY1409" s="261"/>
      <c r="BZ1409" s="261"/>
      <c r="CA1409" s="325"/>
      <c r="CB1409" s="261"/>
      <c r="CC1409" s="261"/>
      <c r="CD1409" s="261"/>
      <c r="CE1409" s="261"/>
      <c r="CF1409" s="325"/>
      <c r="CG1409" s="261"/>
      <c r="CH1409" s="261"/>
      <c r="CI1409" s="261"/>
      <c r="CJ1409" s="261"/>
      <c r="CK1409" s="325"/>
      <c r="CL1409" s="261"/>
      <c r="CM1409" s="261"/>
      <c r="CN1409" s="261"/>
      <c r="CO1409" s="261"/>
      <c r="CP1409" s="325"/>
      <c r="CQ1409" s="261"/>
      <c r="CR1409" s="261"/>
      <c r="CS1409" s="261"/>
      <c r="CT1409" s="261"/>
      <c r="CU1409" s="325"/>
      <c r="CV1409" s="261"/>
      <c r="CW1409" s="261"/>
      <c r="CX1409" s="261"/>
      <c r="CY1409" s="261"/>
      <c r="CZ1409" s="325"/>
      <c r="DA1409" s="1001"/>
      <c r="DB1409" s="261"/>
      <c r="DC1409" s="261"/>
      <c r="DD1409" s="261"/>
      <c r="DE1409" s="325"/>
      <c r="DF1409" s="261"/>
      <c r="DG1409" s="261"/>
      <c r="DH1409" s="261"/>
      <c r="DI1409" s="261"/>
      <c r="DJ1409" s="325"/>
      <c r="DK1409" s="261"/>
      <c r="DL1409" s="261"/>
      <c r="DM1409" s="261"/>
      <c r="DN1409" s="261"/>
      <c r="DO1409" s="1060"/>
      <c r="DP1409" s="261"/>
      <c r="DQ1409" s="261"/>
      <c r="DR1409" s="261"/>
      <c r="DS1409" s="261"/>
      <c r="DT1409" s="325"/>
      <c r="DU1409" s="261"/>
      <c r="DV1409" s="261"/>
      <c r="DW1409" s="261"/>
      <c r="DX1409" s="261"/>
      <c r="DY1409" s="325"/>
      <c r="DZ1409" s="261"/>
      <c r="EA1409" s="261"/>
      <c r="EB1409" s="261"/>
      <c r="EC1409" s="992"/>
      <c r="ED1409" s="325"/>
      <c r="EE1409" s="1001"/>
      <c r="EF1409" s="261"/>
      <c r="EG1409" s="261"/>
      <c r="EH1409" s="992"/>
      <c r="EI1409" s="261"/>
      <c r="EJ1409" s="325"/>
      <c r="EK1409" s="325"/>
      <c r="EL1409" s="325"/>
      <c r="EM1409" s="325"/>
      <c r="EN1409" s="992"/>
      <c r="EO1409" s="325"/>
      <c r="EP1409" s="325"/>
      <c r="EQ1409" s="325"/>
      <c r="ER1409" s="325"/>
      <c r="ES1409" s="325"/>
      <c r="ET1409" s="325"/>
      <c r="EU1409" s="325"/>
      <c r="EV1409" s="325"/>
      <c r="EW1409" s="325"/>
      <c r="EX1409" s="325"/>
    </row>
    <row r="1410" spans="2:154" outlineLevel="1">
      <c r="B1410" s="338" t="s">
        <v>565</v>
      </c>
      <c r="C1410" s="1990"/>
      <c r="D1410" s="25"/>
      <c r="E1410" s="25"/>
      <c r="F1410" s="25"/>
      <c r="G1410" s="25"/>
      <c r="H1410" s="25"/>
      <c r="I1410" s="261"/>
      <c r="J1410" s="261"/>
      <c r="K1410" s="261"/>
      <c r="L1410" s="261"/>
      <c r="M1410" s="261"/>
      <c r="N1410" s="261"/>
      <c r="O1410" s="261"/>
      <c r="P1410" s="261"/>
      <c r="Q1410" s="261"/>
      <c r="R1410" s="261"/>
      <c r="S1410" s="261"/>
      <c r="T1410" s="261"/>
      <c r="U1410" s="261"/>
      <c r="V1410" s="261"/>
      <c r="W1410" s="261"/>
      <c r="X1410" s="325"/>
      <c r="Y1410" s="261"/>
      <c r="Z1410" s="261"/>
      <c r="AA1410" s="261"/>
      <c r="AB1410" s="261"/>
      <c r="AC1410" s="325"/>
      <c r="AD1410" s="261"/>
      <c r="AE1410" s="261"/>
      <c r="AF1410" s="261"/>
      <c r="AG1410" s="261"/>
      <c r="AH1410" s="325"/>
      <c r="AI1410" s="261"/>
      <c r="AJ1410" s="261"/>
      <c r="AK1410" s="261"/>
      <c r="AL1410" s="261"/>
      <c r="AM1410" s="325"/>
      <c r="AN1410" s="261"/>
      <c r="AO1410" s="261"/>
      <c r="AP1410" s="261"/>
      <c r="AQ1410" s="261"/>
      <c r="AR1410" s="325"/>
      <c r="AS1410" s="261"/>
      <c r="AT1410" s="261"/>
      <c r="AU1410" s="261"/>
      <c r="AV1410" s="261"/>
      <c r="AW1410" s="325"/>
      <c r="AX1410" s="261"/>
      <c r="AY1410" s="261"/>
      <c r="AZ1410" s="261"/>
      <c r="BA1410" s="261"/>
      <c r="BB1410" s="325"/>
      <c r="BC1410" s="261"/>
      <c r="BD1410" s="261"/>
      <c r="BE1410" s="261"/>
      <c r="BF1410" s="261"/>
      <c r="BG1410" s="325"/>
      <c r="BH1410" s="261"/>
      <c r="BI1410" s="261"/>
      <c r="BJ1410" s="261"/>
      <c r="BK1410" s="261"/>
      <c r="BL1410" s="325"/>
      <c r="BM1410" s="261"/>
      <c r="BN1410" s="261"/>
      <c r="BO1410" s="261"/>
      <c r="BP1410" s="261"/>
      <c r="BQ1410" s="325"/>
      <c r="BR1410" s="261"/>
      <c r="BS1410" s="261"/>
      <c r="BT1410" s="261"/>
      <c r="BU1410" s="261"/>
      <c r="BV1410" s="325"/>
      <c r="BW1410" s="261"/>
      <c r="BX1410" s="261"/>
      <c r="BY1410" s="261"/>
      <c r="BZ1410" s="261"/>
      <c r="CA1410" s="325"/>
      <c r="CB1410" s="261"/>
      <c r="CC1410" s="261"/>
      <c r="CD1410" s="261"/>
      <c r="CE1410" s="261"/>
      <c r="CF1410" s="325"/>
      <c r="CG1410" s="261"/>
      <c r="CH1410" s="261"/>
      <c r="CI1410" s="261"/>
      <c r="CJ1410" s="261"/>
      <c r="CK1410" s="325"/>
      <c r="CL1410" s="261"/>
      <c r="CM1410" s="261"/>
      <c r="CN1410" s="261"/>
      <c r="CO1410" s="261"/>
      <c r="CP1410" s="325"/>
      <c r="CQ1410" s="261"/>
      <c r="CR1410" s="261"/>
      <c r="CS1410" s="261"/>
      <c r="CT1410" s="261"/>
      <c r="CU1410" s="325"/>
      <c r="CV1410" s="261"/>
      <c r="CW1410" s="261"/>
      <c r="CX1410" s="261"/>
      <c r="CY1410" s="261"/>
      <c r="CZ1410" s="325"/>
      <c r="DA1410" s="3164">
        <v>-7.5763361979178212E-2</v>
      </c>
      <c r="DB1410" s="3164">
        <v>-5.7349552490292277E-2</v>
      </c>
      <c r="DC1410" s="3164">
        <v>-4.4149973339454696E-2</v>
      </c>
      <c r="DD1410" s="3164">
        <v>-2.972867234879828E-2</v>
      </c>
      <c r="DE1410" s="2724"/>
      <c r="DF1410" s="3164">
        <v>-2.943492839440276E-2</v>
      </c>
      <c r="DG1410" s="3164">
        <v>-1.9781367390163118E-2</v>
      </c>
      <c r="DH1410" s="3164">
        <v>5.1471473727302763E-2</v>
      </c>
      <c r="DI1410" s="3164">
        <v>7.737207436767779E-2</v>
      </c>
      <c r="DJ1410" s="2724"/>
      <c r="DK1410" s="3164"/>
      <c r="DL1410" s="3164"/>
      <c r="DM1410" s="3164"/>
      <c r="DN1410" s="3164"/>
      <c r="DO1410" s="2724"/>
      <c r="DP1410" s="3164"/>
      <c r="DQ1410" s="3164"/>
      <c r="DR1410" s="3164"/>
      <c r="DS1410" s="3164"/>
      <c r="DT1410" s="325"/>
      <c r="DU1410" s="3164"/>
      <c r="DV1410" s="3164"/>
      <c r="DW1410" s="3164"/>
      <c r="DX1410" s="3164"/>
      <c r="DY1410" s="3143"/>
      <c r="DZ1410" s="3164"/>
      <c r="EA1410" s="3164"/>
      <c r="EB1410" s="3164"/>
      <c r="EC1410" s="3164"/>
      <c r="ED1410" s="3143"/>
      <c r="EE1410" s="3541">
        <v>-3.0363668583687775E-2</v>
      </c>
      <c r="EF1410" s="3164">
        <v>5.393860848486054E-2</v>
      </c>
      <c r="EG1410" s="3164">
        <v>6.1747860507764152E-2</v>
      </c>
      <c r="EH1410" s="3164">
        <v>9.4299354271974334E-2</v>
      </c>
      <c r="EI1410" s="3143">
        <f t="shared" ref="EI1410:EI1415" si="2767">AVERAGE(EE1410:EH1410)</f>
      </c>
      <c r="EJ1410" s="325"/>
      <c r="EK1410" s="325"/>
      <c r="EL1410" s="325"/>
      <c r="EM1410" s="325"/>
      <c r="EN1410" s="325"/>
      <c r="EO1410" s="325"/>
      <c r="EP1410" s="325"/>
      <c r="EQ1410" s="325"/>
      <c r="ER1410" s="325"/>
      <c r="ES1410" s="325"/>
      <c r="ET1410" s="325"/>
      <c r="EU1410" s="325"/>
      <c r="EV1410" s="325"/>
      <c r="EW1410" s="325"/>
      <c r="EX1410" s="325"/>
    </row>
    <row r="1411" spans="2:154" outlineLevel="1">
      <c r="B1411" s="338" t="s">
        <v>860</v>
      </c>
      <c r="C1411" s="1990"/>
      <c r="D1411" s="25"/>
      <c r="E1411" s="25"/>
      <c r="F1411" s="25"/>
      <c r="G1411" s="25"/>
      <c r="H1411" s="25"/>
      <c r="I1411" s="261"/>
      <c r="J1411" s="261"/>
      <c r="K1411" s="261"/>
      <c r="L1411" s="261"/>
      <c r="M1411" s="261"/>
      <c r="N1411" s="261"/>
      <c r="O1411" s="261"/>
      <c r="P1411" s="261"/>
      <c r="Q1411" s="261"/>
      <c r="R1411" s="261"/>
      <c r="S1411" s="261"/>
      <c r="T1411" s="261"/>
      <c r="U1411" s="261"/>
      <c r="V1411" s="261"/>
      <c r="W1411" s="261"/>
      <c r="X1411" s="325"/>
      <c r="Y1411" s="261"/>
      <c r="Z1411" s="261"/>
      <c r="AA1411" s="261"/>
      <c r="AB1411" s="261"/>
      <c r="AC1411" s="325"/>
      <c r="AD1411" s="261"/>
      <c r="AE1411" s="261"/>
      <c r="AF1411" s="261"/>
      <c r="AG1411" s="261"/>
      <c r="AH1411" s="325"/>
      <c r="AI1411" s="261"/>
      <c r="AJ1411" s="261"/>
      <c r="AK1411" s="261"/>
      <c r="AL1411" s="261"/>
      <c r="AM1411" s="325"/>
      <c r="AN1411" s="261"/>
      <c r="AO1411" s="261"/>
      <c r="AP1411" s="261"/>
      <c r="AQ1411" s="261"/>
      <c r="AR1411" s="325"/>
      <c r="AS1411" s="261"/>
      <c r="AT1411" s="261"/>
      <c r="AU1411" s="261"/>
      <c r="AV1411" s="261"/>
      <c r="AW1411" s="325"/>
      <c r="AX1411" s="261"/>
      <c r="AY1411" s="261"/>
      <c r="AZ1411" s="261"/>
      <c r="BA1411" s="261"/>
      <c r="BB1411" s="325"/>
      <c r="BC1411" s="261"/>
      <c r="BD1411" s="261"/>
      <c r="BE1411" s="261"/>
      <c r="BF1411" s="261"/>
      <c r="BG1411" s="325"/>
      <c r="BH1411" s="261"/>
      <c r="BI1411" s="261"/>
      <c r="BJ1411" s="261"/>
      <c r="BK1411" s="261"/>
      <c r="BL1411" s="325"/>
      <c r="BM1411" s="261"/>
      <c r="BN1411" s="261"/>
      <c r="BO1411" s="261"/>
      <c r="BP1411" s="261"/>
      <c r="BQ1411" s="325"/>
      <c r="BR1411" s="261"/>
      <c r="BS1411" s="261"/>
      <c r="BT1411" s="261"/>
      <c r="BU1411" s="261"/>
      <c r="BV1411" s="325"/>
      <c r="BW1411" s="261"/>
      <c r="BX1411" s="261"/>
      <c r="BY1411" s="261"/>
      <c r="BZ1411" s="261"/>
      <c r="CA1411" s="325"/>
      <c r="CB1411" s="261"/>
      <c r="CC1411" s="261"/>
      <c r="CD1411" s="261"/>
      <c r="CE1411" s="261"/>
      <c r="CF1411" s="325"/>
      <c r="CG1411" s="261"/>
      <c r="CH1411" s="261"/>
      <c r="CI1411" s="261"/>
      <c r="CJ1411" s="261"/>
      <c r="CK1411" s="325"/>
      <c r="CL1411" s="261"/>
      <c r="CM1411" s="261"/>
      <c r="CN1411" s="261"/>
      <c r="CO1411" s="261"/>
      <c r="CP1411" s="325"/>
      <c r="CQ1411" s="261"/>
      <c r="CR1411" s="261"/>
      <c r="CS1411" s="261"/>
      <c r="CT1411" s="261"/>
      <c r="CU1411" s="325"/>
      <c r="CV1411" s="261"/>
      <c r="CW1411" s="261"/>
      <c r="CX1411" s="261"/>
      <c r="CY1411" s="261"/>
      <c r="CZ1411" s="325"/>
      <c r="DA1411" s="3164">
        <v>-1.6762849242395572E-2</v>
      </c>
      <c r="DB1411" s="3164">
        <v>-7.5483807023128957E-3</v>
      </c>
      <c r="DC1411" s="3164">
        <v>3.8476190112061603E-2</v>
      </c>
      <c r="DD1411" s="3164">
        <v>3.6929286042398646E-2</v>
      </c>
      <c r="DE1411" s="2724"/>
      <c r="DF1411" s="3164">
        <v>1.0917984981234641E-2</v>
      </c>
      <c r="DG1411" s="3164">
        <v>2.2277226588291343E-2</v>
      </c>
      <c r="DH1411" s="3164">
        <v>1.125425292859461E-2</v>
      </c>
      <c r="DI1411" s="3164">
        <v>4.065789334691372E-2</v>
      </c>
      <c r="DJ1411" s="2724"/>
      <c r="DK1411" s="3164"/>
      <c r="DL1411" s="3164"/>
      <c r="DM1411" s="3164"/>
      <c r="DN1411" s="3164"/>
      <c r="DO1411" s="2724"/>
      <c r="DP1411" s="3164"/>
      <c r="DQ1411" s="3164"/>
      <c r="DR1411" s="3164"/>
      <c r="DS1411" s="3164"/>
      <c r="DT1411" s="325"/>
      <c r="DU1411" s="3164"/>
      <c r="DV1411" s="3164"/>
      <c r="DW1411" s="3164"/>
      <c r="DX1411" s="3164"/>
      <c r="DY1411" s="3143"/>
      <c r="DZ1411" s="3164"/>
      <c r="EA1411" s="3164"/>
      <c r="EB1411" s="3164"/>
      <c r="EC1411" s="3164"/>
      <c r="ED1411" s="3143"/>
      <c r="EE1411" s="3541">
        <v>-2.6501190117395712E-2</v>
      </c>
      <c r="EF1411" s="3164">
        <v>7.8648891582579816E-2</v>
      </c>
      <c r="EG1411" s="3164">
        <v>9.9474917985344913E-3</v>
      </c>
      <c r="EH1411" s="3164">
        <v>3.1538894537836759E-2</v>
      </c>
      <c r="EI1411" s="3143">
        <f t="shared" si="2767"/>
      </c>
      <c r="EJ1411" s="325"/>
      <c r="EK1411" s="325"/>
      <c r="EL1411" s="325"/>
      <c r="EM1411" s="325"/>
      <c r="EN1411" s="325"/>
      <c r="EO1411" s="325"/>
      <c r="EP1411" s="325"/>
      <c r="EQ1411" s="325"/>
      <c r="ER1411" s="325"/>
      <c r="ES1411" s="325"/>
      <c r="ET1411" s="325"/>
      <c r="EU1411" s="325"/>
      <c r="EV1411" s="325"/>
      <c r="EW1411" s="325"/>
      <c r="EX1411" s="325"/>
    </row>
    <row r="1412" spans="2:154" outlineLevel="1">
      <c r="B1412" s="338" t="s">
        <v>861</v>
      </c>
      <c r="C1412" s="1990"/>
      <c r="D1412" s="25"/>
      <c r="E1412" s="25"/>
      <c r="F1412" s="25"/>
      <c r="G1412" s="25"/>
      <c r="H1412" s="25"/>
      <c r="I1412" s="261"/>
      <c r="J1412" s="261"/>
      <c r="K1412" s="261"/>
      <c r="L1412" s="261"/>
      <c r="M1412" s="261"/>
      <c r="N1412" s="261"/>
      <c r="O1412" s="261"/>
      <c r="P1412" s="261"/>
      <c r="Q1412" s="261"/>
      <c r="R1412" s="261"/>
      <c r="S1412" s="261"/>
      <c r="T1412" s="261"/>
      <c r="U1412" s="261"/>
      <c r="V1412" s="261"/>
      <c r="W1412" s="261"/>
      <c r="X1412" s="325"/>
      <c r="Y1412" s="261"/>
      <c r="Z1412" s="261"/>
      <c r="AA1412" s="261"/>
      <c r="AB1412" s="261"/>
      <c r="AC1412" s="325"/>
      <c r="AD1412" s="261"/>
      <c r="AE1412" s="261"/>
      <c r="AF1412" s="261"/>
      <c r="AG1412" s="261"/>
      <c r="AH1412" s="325"/>
      <c r="AI1412" s="261"/>
      <c r="AJ1412" s="261"/>
      <c r="AK1412" s="261"/>
      <c r="AL1412" s="261"/>
      <c r="AM1412" s="325"/>
      <c r="AN1412" s="261"/>
      <c r="AO1412" s="261"/>
      <c r="AP1412" s="261"/>
      <c r="AQ1412" s="261"/>
      <c r="AR1412" s="325"/>
      <c r="AS1412" s="261"/>
      <c r="AT1412" s="261"/>
      <c r="AU1412" s="261"/>
      <c r="AV1412" s="261"/>
      <c r="AW1412" s="325"/>
      <c r="AX1412" s="261"/>
      <c r="AY1412" s="261"/>
      <c r="AZ1412" s="261"/>
      <c r="BA1412" s="261"/>
      <c r="BB1412" s="325"/>
      <c r="BC1412" s="261"/>
      <c r="BD1412" s="261"/>
      <c r="BE1412" s="261"/>
      <c r="BF1412" s="261"/>
      <c r="BG1412" s="325"/>
      <c r="BH1412" s="261"/>
      <c r="BI1412" s="261"/>
      <c r="BJ1412" s="261"/>
      <c r="BK1412" s="261"/>
      <c r="BL1412" s="325"/>
      <c r="BM1412" s="261"/>
      <c r="BN1412" s="261"/>
      <c r="BO1412" s="261"/>
      <c r="BP1412" s="261"/>
      <c r="BQ1412" s="325"/>
      <c r="BR1412" s="261"/>
      <c r="BS1412" s="261"/>
      <c r="BT1412" s="261"/>
      <c r="BU1412" s="261"/>
      <c r="BV1412" s="325"/>
      <c r="BW1412" s="261"/>
      <c r="BX1412" s="261"/>
      <c r="BY1412" s="261"/>
      <c r="BZ1412" s="261"/>
      <c r="CA1412" s="325"/>
      <c r="CB1412" s="261"/>
      <c r="CC1412" s="261"/>
      <c r="CD1412" s="261"/>
      <c r="CE1412" s="261"/>
      <c r="CF1412" s="325"/>
      <c r="CG1412" s="261"/>
      <c r="CH1412" s="261"/>
      <c r="CI1412" s="261"/>
      <c r="CJ1412" s="261"/>
      <c r="CK1412" s="325"/>
      <c r="CL1412" s="261"/>
      <c r="CM1412" s="261"/>
      <c r="CN1412" s="261"/>
      <c r="CO1412" s="261"/>
      <c r="CP1412" s="325"/>
      <c r="CQ1412" s="261"/>
      <c r="CR1412" s="261"/>
      <c r="CS1412" s="261"/>
      <c r="CT1412" s="261"/>
      <c r="CU1412" s="325"/>
      <c r="CV1412" s="261"/>
      <c r="CW1412" s="261"/>
      <c r="CX1412" s="261"/>
      <c r="CY1412" s="261"/>
      <c r="CZ1412" s="325"/>
      <c r="DA1412" s="3164">
        <v>-6.4163135864788168E-2</v>
      </c>
      <c r="DB1412" s="3164">
        <v>-5.5323585993724222E-2</v>
      </c>
      <c r="DC1412" s="3164">
        <v>-5.4318661840578208E-2</v>
      </c>
      <c r="DD1412" s="3164">
        <v>6.3069309750551916E-4</v>
      </c>
      <c r="DE1412" s="2724"/>
      <c r="DF1412" s="3164">
        <v>-1.7068238502329192E-2</v>
      </c>
      <c r="DG1412" s="3164">
        <v>-3.4308749762576252E-2</v>
      </c>
      <c r="DH1412" s="3164">
        <v>4.8064340536045691E-2</v>
      </c>
      <c r="DI1412" s="3164">
        <v>2.6395564974865726E-2</v>
      </c>
      <c r="DJ1412" s="2724"/>
      <c r="DK1412" s="3164"/>
      <c r="DL1412" s="3164"/>
      <c r="DM1412" s="3164"/>
      <c r="DN1412" s="3164"/>
      <c r="DO1412" s="2724"/>
      <c r="DP1412" s="3164"/>
      <c r="DQ1412" s="3164"/>
      <c r="DR1412" s="3164"/>
      <c r="DS1412" s="3164"/>
      <c r="DT1412" s="325"/>
      <c r="DU1412" s="3164"/>
      <c r="DV1412" s="3164"/>
      <c r="DW1412" s="3164"/>
      <c r="DX1412" s="3164"/>
      <c r="DY1412" s="3143"/>
      <c r="DZ1412" s="3164"/>
      <c r="EA1412" s="3164"/>
      <c r="EB1412" s="3164"/>
      <c r="EC1412" s="3164"/>
      <c r="ED1412" s="3143"/>
      <c r="EE1412" s="3541">
        <v>-6.5492437053181751E-3</v>
      </c>
      <c r="EF1412" s="3164">
        <v>5.8696154721938676E-2</v>
      </c>
      <c r="EG1412" s="3164">
        <v>3.7037575272348633E-2</v>
      </c>
      <c r="EH1412" s="3164">
        <v>5.3650558941898296E-2</v>
      </c>
      <c r="EI1412" s="3143">
        <f t="shared" si="2767"/>
      </c>
      <c r="EJ1412" s="325"/>
      <c r="EK1412" s="325"/>
      <c r="EL1412" s="325"/>
      <c r="EM1412" s="325"/>
      <c r="EN1412" s="325"/>
      <c r="EO1412" s="325"/>
      <c r="EP1412" s="325"/>
      <c r="EQ1412" s="325"/>
      <c r="ER1412" s="325"/>
      <c r="ES1412" s="325"/>
      <c r="ET1412" s="325"/>
      <c r="EU1412" s="325"/>
      <c r="EV1412" s="325"/>
      <c r="EW1412" s="325"/>
      <c r="EX1412" s="325"/>
    </row>
    <row r="1413" spans="2:154" outlineLevel="1">
      <c r="B1413" s="343" t="s">
        <v>862</v>
      </c>
      <c r="C1413" s="1990"/>
      <c r="D1413" s="25"/>
      <c r="E1413" s="25"/>
      <c r="F1413" s="25"/>
      <c r="G1413" s="25"/>
      <c r="H1413" s="25"/>
      <c r="I1413" s="261"/>
      <c r="J1413" s="261"/>
      <c r="K1413" s="261"/>
      <c r="L1413" s="261"/>
      <c r="M1413" s="261"/>
      <c r="N1413" s="261"/>
      <c r="O1413" s="261"/>
      <c r="P1413" s="261"/>
      <c r="Q1413" s="261"/>
      <c r="R1413" s="261"/>
      <c r="S1413" s="261"/>
      <c r="T1413" s="261"/>
      <c r="U1413" s="261"/>
      <c r="V1413" s="261"/>
      <c r="W1413" s="261"/>
      <c r="X1413" s="325"/>
      <c r="Y1413" s="261"/>
      <c r="Z1413" s="261"/>
      <c r="AA1413" s="261"/>
      <c r="AB1413" s="261"/>
      <c r="AC1413" s="325"/>
      <c r="AD1413" s="261"/>
      <c r="AE1413" s="261"/>
      <c r="AF1413" s="261"/>
      <c r="AG1413" s="261"/>
      <c r="AH1413" s="325"/>
      <c r="AI1413" s="261"/>
      <c r="AJ1413" s="261"/>
      <c r="AK1413" s="261"/>
      <c r="AL1413" s="261"/>
      <c r="AM1413" s="325"/>
      <c r="AN1413" s="261"/>
      <c r="AO1413" s="261"/>
      <c r="AP1413" s="261"/>
      <c r="AQ1413" s="261"/>
      <c r="AR1413" s="325"/>
      <c r="AS1413" s="261"/>
      <c r="AT1413" s="261"/>
      <c r="AU1413" s="261"/>
      <c r="AV1413" s="261"/>
      <c r="AW1413" s="325"/>
      <c r="AX1413" s="261"/>
      <c r="AY1413" s="261"/>
      <c r="AZ1413" s="261"/>
      <c r="BA1413" s="261"/>
      <c r="BB1413" s="325"/>
      <c r="BC1413" s="261"/>
      <c r="BD1413" s="261"/>
      <c r="BE1413" s="261"/>
      <c r="BF1413" s="261"/>
      <c r="BG1413" s="325"/>
      <c r="BH1413" s="261"/>
      <c r="BI1413" s="261"/>
      <c r="BJ1413" s="261"/>
      <c r="BK1413" s="261"/>
      <c r="BL1413" s="325"/>
      <c r="BM1413" s="261"/>
      <c r="BN1413" s="261"/>
      <c r="BO1413" s="261"/>
      <c r="BP1413" s="261"/>
      <c r="BQ1413" s="325"/>
      <c r="BR1413" s="261"/>
      <c r="BS1413" s="261"/>
      <c r="BT1413" s="261"/>
      <c r="BU1413" s="261"/>
      <c r="BV1413" s="325"/>
      <c r="BW1413" s="261"/>
      <c r="BX1413" s="261"/>
      <c r="BY1413" s="261"/>
      <c r="BZ1413" s="261"/>
      <c r="CA1413" s="325"/>
      <c r="CB1413" s="261"/>
      <c r="CC1413" s="261"/>
      <c r="CD1413" s="261"/>
      <c r="CE1413" s="261"/>
      <c r="CF1413" s="325"/>
      <c r="CG1413" s="261"/>
      <c r="CH1413" s="261"/>
      <c r="CI1413" s="261"/>
      <c r="CJ1413" s="261"/>
      <c r="CK1413" s="325"/>
      <c r="CL1413" s="261"/>
      <c r="CM1413" s="261"/>
      <c r="CN1413" s="261"/>
      <c r="CO1413" s="261"/>
      <c r="CP1413" s="325"/>
      <c r="CQ1413" s="261"/>
      <c r="CR1413" s="261"/>
      <c r="CS1413" s="261"/>
      <c r="CT1413" s="261"/>
      <c r="CU1413" s="325"/>
      <c r="CV1413" s="261"/>
      <c r="CW1413" s="261"/>
      <c r="CX1413" s="261"/>
      <c r="CY1413" s="261"/>
      <c r="CZ1413" s="325"/>
      <c r="DA1413" s="3164">
        <v>-5.7471289153893212E-2</v>
      </c>
      <c r="DB1413" s="3164">
        <v>-6.5274281622479835E-2</v>
      </c>
      <c r="DC1413" s="3164">
        <v>-3.0290300709020834E-2</v>
      </c>
      <c r="DD1413" s="3164">
        <v>-1.812831973532103E-2</v>
      </c>
      <c r="DE1413" s="2724"/>
      <c r="DF1413" s="3164">
        <v>-3.3089721713965292E-2</v>
      </c>
      <c r="DG1413" s="3164">
        <v>-3.7590762976195791E-2</v>
      </c>
      <c r="DH1413" s="3164">
        <v>1.3989930019592034E-2</v>
      </c>
      <c r="DI1413" s="3164">
        <v>6.3437106446932789E-2</v>
      </c>
      <c r="DJ1413" s="2724"/>
      <c r="DK1413" s="3164"/>
      <c r="DL1413" s="3164"/>
      <c r="DM1413" s="3164"/>
      <c r="DN1413" s="3164"/>
      <c r="DO1413" s="2724"/>
      <c r="DP1413" s="3164"/>
      <c r="DQ1413" s="3164"/>
      <c r="DR1413" s="3164"/>
      <c r="DS1413" s="3164"/>
      <c r="DT1413" s="325"/>
      <c r="DU1413" s="3164"/>
      <c r="DV1413" s="3164"/>
      <c r="DW1413" s="3164"/>
      <c r="DX1413" s="3164"/>
      <c r="DY1413" s="3143"/>
      <c r="DZ1413" s="3164"/>
      <c r="EA1413" s="3164"/>
      <c r="EB1413" s="3164"/>
      <c r="EC1413" s="3164"/>
      <c r="ED1413" s="3143"/>
      <c r="EE1413" s="3541">
        <v>-1.2319997020978746E-2</v>
      </c>
      <c r="EF1413" s="3164">
        <v>1.1977527951532174E-3</v>
      </c>
      <c r="EG1413" s="3164">
        <v>-1.7110152287167502E-3</v>
      </c>
      <c r="EH1413" s="3164">
        <v>1.083718372272946E-3</v>
      </c>
      <c r="EI1413" s="3143">
        <f t="shared" si="2767"/>
      </c>
      <c r="EJ1413" s="325"/>
      <c r="EK1413" s="325"/>
      <c r="EL1413" s="325"/>
      <c r="EM1413" s="325"/>
      <c r="EN1413" s="325"/>
      <c r="EO1413" s="325"/>
      <c r="EP1413" s="325"/>
      <c r="EQ1413" s="325"/>
      <c r="ER1413" s="325"/>
      <c r="ES1413" s="325"/>
      <c r="ET1413" s="325"/>
      <c r="EU1413" s="325"/>
      <c r="EV1413" s="325"/>
      <c r="EW1413" s="325"/>
      <c r="EX1413" s="325"/>
    </row>
    <row r="1414" spans="2:154" outlineLevel="1">
      <c r="B1414" s="343" t="s">
        <v>863</v>
      </c>
      <c r="C1414" s="1990"/>
      <c r="D1414" s="25"/>
      <c r="E1414" s="25"/>
      <c r="F1414" s="25"/>
      <c r="G1414" s="25"/>
      <c r="H1414" s="25"/>
      <c r="I1414" s="261"/>
      <c r="J1414" s="261"/>
      <c r="K1414" s="261"/>
      <c r="L1414" s="261"/>
      <c r="M1414" s="261"/>
      <c r="N1414" s="261"/>
      <c r="O1414" s="261"/>
      <c r="P1414" s="261"/>
      <c r="Q1414" s="261"/>
      <c r="R1414" s="261"/>
      <c r="S1414" s="261"/>
      <c r="T1414" s="261"/>
      <c r="U1414" s="261"/>
      <c r="V1414" s="261"/>
      <c r="W1414" s="261"/>
      <c r="X1414" s="325"/>
      <c r="Y1414" s="261"/>
      <c r="Z1414" s="261"/>
      <c r="AA1414" s="261"/>
      <c r="AB1414" s="261"/>
      <c r="AC1414" s="325"/>
      <c r="AD1414" s="261"/>
      <c r="AE1414" s="261"/>
      <c r="AF1414" s="261"/>
      <c r="AG1414" s="261"/>
      <c r="AH1414" s="325"/>
      <c r="AI1414" s="261"/>
      <c r="AJ1414" s="261"/>
      <c r="AK1414" s="261"/>
      <c r="AL1414" s="261"/>
      <c r="AM1414" s="325"/>
      <c r="AN1414" s="261"/>
      <c r="AO1414" s="261"/>
      <c r="AP1414" s="261"/>
      <c r="AQ1414" s="261"/>
      <c r="AR1414" s="325"/>
      <c r="AS1414" s="261"/>
      <c r="AT1414" s="261"/>
      <c r="AU1414" s="261"/>
      <c r="AV1414" s="261"/>
      <c r="AW1414" s="325"/>
      <c r="AX1414" s="261"/>
      <c r="AY1414" s="261"/>
      <c r="AZ1414" s="261"/>
      <c r="BA1414" s="261"/>
      <c r="BB1414" s="325"/>
      <c r="BC1414" s="261"/>
      <c r="BD1414" s="261"/>
      <c r="BE1414" s="261"/>
      <c r="BF1414" s="261"/>
      <c r="BG1414" s="325"/>
      <c r="BH1414" s="261"/>
      <c r="BI1414" s="261"/>
      <c r="BJ1414" s="261"/>
      <c r="BK1414" s="261"/>
      <c r="BL1414" s="325"/>
      <c r="BM1414" s="261"/>
      <c r="BN1414" s="261"/>
      <c r="BO1414" s="261"/>
      <c r="BP1414" s="261"/>
      <c r="BQ1414" s="325"/>
      <c r="BR1414" s="261"/>
      <c r="BS1414" s="261"/>
      <c r="BT1414" s="261"/>
      <c r="BU1414" s="261"/>
      <c r="BV1414" s="325"/>
      <c r="BW1414" s="261"/>
      <c r="BX1414" s="261"/>
      <c r="BY1414" s="261"/>
      <c r="BZ1414" s="261"/>
      <c r="CA1414" s="325"/>
      <c r="CB1414" s="261"/>
      <c r="CC1414" s="261"/>
      <c r="CD1414" s="261"/>
      <c r="CE1414" s="261"/>
      <c r="CF1414" s="325"/>
      <c r="CG1414" s="261"/>
      <c r="CH1414" s="261"/>
      <c r="CI1414" s="261"/>
      <c r="CJ1414" s="261"/>
      <c r="CK1414" s="325"/>
      <c r="CL1414" s="261"/>
      <c r="CM1414" s="261"/>
      <c r="CN1414" s="261"/>
      <c r="CO1414" s="261"/>
      <c r="CP1414" s="325"/>
      <c r="CQ1414" s="261"/>
      <c r="CR1414" s="261"/>
      <c r="CS1414" s="261"/>
      <c r="CT1414" s="261"/>
      <c r="CU1414" s="325"/>
      <c r="CV1414" s="261"/>
      <c r="CW1414" s="261"/>
      <c r="CX1414" s="261"/>
      <c r="CY1414" s="261"/>
      <c r="CZ1414" s="325"/>
      <c r="DA1414" s="3164">
        <v>-4.9097326843001943E-2</v>
      </c>
      <c r="DB1414" s="3164">
        <v>-3.5136699084658884E-2</v>
      </c>
      <c r="DC1414" s="3164">
        <v>-1.0188839001720518E-2</v>
      </c>
      <c r="DD1414" s="3164">
        <v>7.4340598242694789E-4</v>
      </c>
      <c r="DE1414" s="2724"/>
      <c r="DF1414" s="3164">
        <v>-9.667558709373969E-3</v>
      </c>
      <c r="DG1414" s="3164">
        <v>-3.4175742594467873E-2</v>
      </c>
      <c r="DH1414" s="3164">
        <v>-8.8411026586135977E-3</v>
      </c>
      <c r="DI1414" s="3164">
        <v>1.334709783004473E-2</v>
      </c>
      <c r="DJ1414" s="2724"/>
      <c r="DK1414" s="3164"/>
      <c r="DL1414" s="3164"/>
      <c r="DM1414" s="3164"/>
      <c r="DN1414" s="3164"/>
      <c r="DO1414" s="2724"/>
      <c r="DP1414" s="3164"/>
      <c r="DQ1414" s="3164"/>
      <c r="DR1414" s="3164"/>
      <c r="DS1414" s="3164"/>
      <c r="DT1414" s="325"/>
      <c r="DU1414" s="3164"/>
      <c r="DV1414" s="3164"/>
      <c r="DW1414" s="3164"/>
      <c r="DX1414" s="3164"/>
      <c r="DY1414" s="3143"/>
      <c r="DZ1414" s="3164"/>
      <c r="EA1414" s="3164"/>
      <c r="EB1414" s="3164"/>
      <c r="EC1414" s="3164"/>
      <c r="ED1414" s="3143"/>
      <c r="EE1414" s="3541">
        <v>-6.0409679938737915E-2</v>
      </c>
      <c r="EF1414" s="3164">
        <v>-1.1209252435080752E-2</v>
      </c>
      <c r="EG1414" s="3164">
        <v>-1.0564597003947296E-2</v>
      </c>
      <c r="EH1414" s="3164">
        <v>9.4924040366257678E-3</v>
      </c>
      <c r="EI1414" s="3143">
        <f t="shared" si="2767"/>
      </c>
      <c r="EJ1414" s="325"/>
      <c r="EK1414" s="325"/>
      <c r="EL1414" s="325"/>
      <c r="EM1414" s="325"/>
      <c r="EN1414" s="325"/>
      <c r="EO1414" s="325"/>
      <c r="EP1414" s="325"/>
      <c r="EQ1414" s="325"/>
      <c r="ER1414" s="325"/>
      <c r="ES1414" s="325"/>
      <c r="ET1414" s="325"/>
      <c r="EU1414" s="325"/>
      <c r="EV1414" s="325"/>
      <c r="EW1414" s="325"/>
      <c r="EX1414" s="325"/>
    </row>
    <row r="1415" spans="2:154" outlineLevel="1">
      <c r="B1415" s="343" t="s">
        <v>986</v>
      </c>
      <c r="C1415" s="1990"/>
      <c r="D1415" s="25"/>
      <c r="E1415" s="25"/>
      <c r="F1415" s="25"/>
      <c r="G1415" s="25"/>
      <c r="H1415" s="25"/>
      <c r="I1415" s="261"/>
      <c r="J1415" s="261"/>
      <c r="K1415" s="261"/>
      <c r="L1415" s="261"/>
      <c r="M1415" s="261"/>
      <c r="N1415" s="261"/>
      <c r="O1415" s="261"/>
      <c r="P1415" s="261"/>
      <c r="Q1415" s="261"/>
      <c r="R1415" s="261"/>
      <c r="S1415" s="261"/>
      <c r="T1415" s="261"/>
      <c r="U1415" s="261"/>
      <c r="V1415" s="261"/>
      <c r="W1415" s="261"/>
      <c r="X1415" s="325"/>
      <c r="Y1415" s="261"/>
      <c r="Z1415" s="261"/>
      <c r="AA1415" s="261"/>
      <c r="AB1415" s="261"/>
      <c r="AC1415" s="325"/>
      <c r="AD1415" s="261"/>
      <c r="AE1415" s="261"/>
      <c r="AF1415" s="261"/>
      <c r="AG1415" s="261"/>
      <c r="AH1415" s="325"/>
      <c r="AI1415" s="261"/>
      <c r="AJ1415" s="261"/>
      <c r="AK1415" s="261"/>
      <c r="AL1415" s="261"/>
      <c r="AM1415" s="325"/>
      <c r="AN1415" s="261"/>
      <c r="AO1415" s="261"/>
      <c r="AP1415" s="261"/>
      <c r="AQ1415" s="261"/>
      <c r="AR1415" s="325"/>
      <c r="AS1415" s="261"/>
      <c r="AT1415" s="261"/>
      <c r="AU1415" s="261"/>
      <c r="AV1415" s="261"/>
      <c r="AW1415" s="325"/>
      <c r="AX1415" s="261"/>
      <c r="AY1415" s="261"/>
      <c r="AZ1415" s="261"/>
      <c r="BA1415" s="261"/>
      <c r="BB1415" s="325"/>
      <c r="BC1415" s="261"/>
      <c r="BD1415" s="261"/>
      <c r="BE1415" s="261"/>
      <c r="BF1415" s="261"/>
      <c r="BG1415" s="325"/>
      <c r="BH1415" s="261"/>
      <c r="BI1415" s="261"/>
      <c r="BJ1415" s="261"/>
      <c r="BK1415" s="261"/>
      <c r="BL1415" s="325"/>
      <c r="BM1415" s="261"/>
      <c r="BN1415" s="261"/>
      <c r="BO1415" s="261"/>
      <c r="BP1415" s="261"/>
      <c r="BQ1415" s="325"/>
      <c r="BR1415" s="261"/>
      <c r="BS1415" s="261"/>
      <c r="BT1415" s="261"/>
      <c r="BU1415" s="261"/>
      <c r="BV1415" s="325"/>
      <c r="BW1415" s="261"/>
      <c r="BX1415" s="261"/>
      <c r="BY1415" s="261"/>
      <c r="BZ1415" s="261"/>
      <c r="CA1415" s="325"/>
      <c r="CB1415" s="261"/>
      <c r="CC1415" s="261"/>
      <c r="CD1415" s="261"/>
      <c r="CE1415" s="261"/>
      <c r="CF1415" s="325"/>
      <c r="CG1415" s="261"/>
      <c r="CH1415" s="261"/>
      <c r="CI1415" s="261"/>
      <c r="CJ1415" s="261"/>
      <c r="CK1415" s="325"/>
      <c r="CL1415" s="261"/>
      <c r="CM1415" s="261"/>
      <c r="CN1415" s="261"/>
      <c r="CO1415" s="261"/>
      <c r="CP1415" s="325"/>
      <c r="CQ1415" s="261"/>
      <c r="CR1415" s="261"/>
      <c r="CS1415" s="261"/>
      <c r="CT1415" s="261"/>
      <c r="CU1415" s="325"/>
      <c r="CV1415" s="261"/>
      <c r="CW1415" s="261"/>
      <c r="CX1415" s="261"/>
      <c r="CY1415" s="261"/>
      <c r="CZ1415" s="325"/>
      <c r="DA1415" s="3164">
        <v>-9.3729187149880322E-2</v>
      </c>
      <c r="DB1415" s="3164">
        <v>-7.4834238760046912E-2</v>
      </c>
      <c r="DC1415" s="3164">
        <v>-6.2730976188030696E-2</v>
      </c>
      <c r="DD1415" s="3164">
        <v>-4.6845370790698282E-2</v>
      </c>
      <c r="DE1415" s="2724"/>
      <c r="DF1415" s="3164">
        <v>-7.583134815604442E-2</v>
      </c>
      <c r="DG1415" s="3164">
        <v>-6.0628517812154392E-2</v>
      </c>
      <c r="DH1415" s="3164">
        <v>4.3001268975026763E-2</v>
      </c>
      <c r="DI1415" s="3164">
        <v>7.0403125394580046E-2</v>
      </c>
      <c r="DJ1415" s="2724"/>
      <c r="DK1415" s="3164"/>
      <c r="DL1415" s="3164"/>
      <c r="DM1415" s="3164"/>
      <c r="DN1415" s="3164"/>
      <c r="DO1415" s="2724"/>
      <c r="DP1415" s="3164"/>
      <c r="DQ1415" s="3164"/>
      <c r="DR1415" s="3164"/>
      <c r="DS1415" s="3164"/>
      <c r="DT1415" s="325"/>
      <c r="DU1415" s="3164"/>
      <c r="DV1415" s="3164"/>
      <c r="DW1415" s="3164"/>
      <c r="DX1415" s="3164"/>
      <c r="DY1415" s="3143"/>
      <c r="DZ1415" s="3164"/>
      <c r="EA1415" s="3164"/>
      <c r="EB1415" s="3164"/>
      <c r="EC1415" s="3164"/>
      <c r="ED1415" s="3143"/>
      <c r="EE1415" s="3541">
        <v>-4.5827890748052602E-2</v>
      </c>
      <c r="EF1415" s="3164">
        <v>-2.6904271443035643E-2</v>
      </c>
      <c r="EG1415" s="3164">
        <v>-3.0561113649541616E-2</v>
      </c>
      <c r="EH1415" s="3164">
        <v>-8.994646492486047E-3</v>
      </c>
      <c r="EI1415" s="3143">
        <f t="shared" si="2767"/>
      </c>
      <c r="EJ1415" s="325"/>
      <c r="EK1415" s="325"/>
      <c r="EL1415" s="325"/>
      <c r="EM1415" s="325"/>
      <c r="EN1415" s="325"/>
      <c r="EO1415" s="325"/>
      <c r="EP1415" s="325"/>
      <c r="EQ1415" s="325"/>
      <c r="ER1415" s="325"/>
      <c r="ES1415" s="325"/>
      <c r="ET1415" s="325"/>
      <c r="EU1415" s="325"/>
      <c r="EV1415" s="325"/>
      <c r="EW1415" s="325"/>
      <c r="EX1415" s="325"/>
    </row>
    <row r="1416" spans="2:154" outlineLevel="1">
      <c r="B1416" s="2786"/>
      <c r="C1416" s="2024"/>
      <c r="D1416" s="2660"/>
      <c r="E1416" s="2660"/>
      <c r="F1416" s="2660"/>
      <c r="G1416" s="2660"/>
      <c r="H1416" s="2660"/>
      <c r="I1416" s="831"/>
      <c r="J1416" s="831"/>
      <c r="K1416" s="831"/>
      <c r="L1416" s="831"/>
      <c r="M1416" s="831"/>
      <c r="N1416" s="831"/>
      <c r="O1416" s="831"/>
      <c r="P1416" s="831"/>
      <c r="Q1416" s="831"/>
      <c r="R1416" s="831"/>
      <c r="S1416" s="831"/>
      <c r="T1416" s="831"/>
      <c r="U1416" s="831"/>
      <c r="V1416" s="831"/>
      <c r="W1416" s="831"/>
      <c r="X1416" s="2224"/>
      <c r="Y1416" s="831"/>
      <c r="Z1416" s="831"/>
      <c r="AA1416" s="831"/>
      <c r="AB1416" s="831"/>
      <c r="AC1416" s="2224"/>
      <c r="AD1416" s="831"/>
      <c r="AE1416" s="831"/>
      <c r="AF1416" s="831"/>
      <c r="AG1416" s="831"/>
      <c r="AH1416" s="2224"/>
      <c r="AI1416" s="831"/>
      <c r="AJ1416" s="831"/>
      <c r="AK1416" s="831"/>
      <c r="AL1416" s="831"/>
      <c r="AM1416" s="2224"/>
      <c r="AN1416" s="831"/>
      <c r="AO1416" s="831"/>
      <c r="AP1416" s="831"/>
      <c r="AQ1416" s="831"/>
      <c r="AR1416" s="2224"/>
      <c r="AS1416" s="831"/>
      <c r="AT1416" s="831"/>
      <c r="AU1416" s="831"/>
      <c r="AV1416" s="831"/>
      <c r="AW1416" s="2224"/>
      <c r="AX1416" s="831"/>
      <c r="AY1416" s="831"/>
      <c r="AZ1416" s="831"/>
      <c r="BA1416" s="831"/>
      <c r="BB1416" s="2224"/>
      <c r="BC1416" s="831"/>
      <c r="BD1416" s="831"/>
      <c r="BE1416" s="831"/>
      <c r="BF1416" s="831"/>
      <c r="BG1416" s="2224"/>
      <c r="BH1416" s="831"/>
      <c r="BI1416" s="831"/>
      <c r="BJ1416" s="831"/>
      <c r="BK1416" s="831"/>
      <c r="BL1416" s="2224"/>
      <c r="BM1416" s="831"/>
      <c r="BN1416" s="831"/>
      <c r="BO1416" s="831"/>
      <c r="BP1416" s="831"/>
      <c r="BQ1416" s="2224"/>
      <c r="BR1416" s="831"/>
      <c r="BS1416" s="831"/>
      <c r="BT1416" s="831"/>
      <c r="BU1416" s="831"/>
      <c r="BV1416" s="2224"/>
      <c r="BW1416" s="831"/>
      <c r="BX1416" s="831"/>
      <c r="BY1416" s="831"/>
      <c r="BZ1416" s="831"/>
      <c r="CA1416" s="2224"/>
      <c r="CB1416" s="831"/>
      <c r="CC1416" s="831"/>
      <c r="CD1416" s="831"/>
      <c r="CE1416" s="831"/>
      <c r="CF1416" s="2224"/>
      <c r="CG1416" s="831"/>
      <c r="CH1416" s="831"/>
      <c r="CI1416" s="831"/>
      <c r="CJ1416" s="831"/>
      <c r="CK1416" s="2224"/>
      <c r="CL1416" s="831"/>
      <c r="CM1416" s="831"/>
      <c r="CN1416" s="831"/>
      <c r="CO1416" s="831"/>
      <c r="CP1416" s="2224"/>
      <c r="CQ1416" s="831"/>
      <c r="CR1416" s="831"/>
      <c r="CS1416" s="831"/>
      <c r="CT1416" s="831"/>
      <c r="CU1416" s="2224"/>
      <c r="CV1416" s="831"/>
      <c r="CW1416" s="831"/>
      <c r="CX1416" s="831"/>
      <c r="CY1416" s="831"/>
      <c r="CZ1416" s="2224"/>
      <c r="DA1416" s="3167"/>
      <c r="DB1416" s="3167"/>
      <c r="DC1416" s="3167"/>
      <c r="DD1416" s="3167"/>
      <c r="DE1416" s="3190"/>
      <c r="DF1416" s="3191">
        <v>-6.0628517812154392E-2</v>
      </c>
      <c r="DG1416" s="3191">
        <v>4.3001268975026763E-2</v>
      </c>
      <c r="DH1416" s="3191">
        <v>7.0403125394580046E-2</v>
      </c>
      <c r="DI1416" s="3191">
        <v>0.1736931058825899</v>
      </c>
      <c r="DJ1416" s="3190"/>
      <c r="DK1416" s="3191"/>
      <c r="DL1416" s="3191"/>
      <c r="DM1416" s="3191"/>
      <c r="DN1416" s="3191"/>
      <c r="DO1416" s="3190"/>
      <c r="DP1416" s="3191"/>
      <c r="DQ1416" s="3191"/>
      <c r="DR1416" s="3191"/>
      <c r="DS1416" s="3191"/>
      <c r="DT1416" s="2224"/>
      <c r="DU1416" s="3167"/>
      <c r="DV1416" s="3167"/>
      <c r="DW1416" s="3167"/>
      <c r="DX1416" s="3167"/>
      <c r="DY1416" s="3168"/>
      <c r="DZ1416" s="3167"/>
      <c r="EA1416" s="3520"/>
      <c r="EB1416" s="3520"/>
      <c r="EC1416" s="3520"/>
      <c r="ED1416" s="2224"/>
      <c r="EE1416" s="2787"/>
      <c r="EF1416" s="333"/>
      <c r="EG1416" s="333"/>
      <c r="EH1416" s="3520"/>
      <c r="EI1416" s="2787"/>
      <c r="EJ1416" s="2224"/>
      <c r="EK1416" s="2224"/>
      <c r="EL1416" s="2224"/>
      <c r="EM1416" s="2224"/>
      <c r="EN1416" s="2224"/>
      <c r="EO1416" s="2224"/>
      <c r="EP1416" s="2224"/>
      <c r="EQ1416" s="2224"/>
      <c r="ER1416" s="2224"/>
      <c r="ES1416" s="2224"/>
      <c r="ET1416" s="2224"/>
      <c r="EU1416" s="2224"/>
      <c r="EV1416" s="2224"/>
      <c r="EW1416" s="2224"/>
      <c r="EX1416" s="2224"/>
    </row>
    <row r="1417" spans="2:154" ht="6" customHeight="1">
      <c r="B1417" s="3129"/>
      <c r="C1417" s="25"/>
      <c r="D1417" s="25"/>
      <c r="E1417" s="25"/>
      <c r="F1417" s="25"/>
      <c r="G1417" s="25"/>
      <c r="H1417" s="25"/>
      <c r="I1417" s="261"/>
      <c r="J1417" s="261"/>
      <c r="K1417" s="261"/>
      <c r="L1417" s="261"/>
      <c r="M1417" s="261"/>
      <c r="N1417" s="261"/>
      <c r="O1417" s="261"/>
      <c r="P1417" s="261"/>
      <c r="Q1417" s="261"/>
      <c r="R1417" s="261"/>
      <c r="S1417" s="261"/>
      <c r="T1417" s="261"/>
      <c r="U1417" s="261"/>
      <c r="V1417" s="261"/>
      <c r="W1417" s="261"/>
      <c r="X1417" s="261"/>
      <c r="Y1417" s="261"/>
      <c r="Z1417" s="261"/>
      <c r="AA1417" s="261"/>
      <c r="AB1417" s="261"/>
      <c r="AC1417" s="261"/>
      <c r="AD1417" s="261"/>
      <c r="AE1417" s="261"/>
      <c r="AF1417" s="261"/>
      <c r="AG1417" s="261"/>
      <c r="AH1417" s="261"/>
      <c r="AI1417" s="261"/>
      <c r="AJ1417" s="261"/>
      <c r="AK1417" s="261"/>
      <c r="AL1417" s="261"/>
      <c r="AM1417" s="261"/>
      <c r="AN1417" s="261"/>
      <c r="AO1417" s="261"/>
      <c r="AP1417" s="261"/>
      <c r="AQ1417" s="261"/>
      <c r="AR1417" s="261"/>
      <c r="AS1417" s="261"/>
      <c r="AT1417" s="261"/>
      <c r="AU1417" s="261"/>
      <c r="AV1417" s="261"/>
      <c r="AW1417" s="261"/>
      <c r="AX1417" s="261"/>
      <c r="AY1417" s="261"/>
      <c r="AZ1417" s="261"/>
      <c r="BA1417" s="261"/>
      <c r="BB1417" s="261"/>
      <c r="BC1417" s="261"/>
      <c r="BD1417" s="261"/>
      <c r="BE1417" s="261"/>
      <c r="BF1417" s="261"/>
      <c r="BG1417" s="261"/>
      <c r="BH1417" s="261"/>
      <c r="BI1417" s="261"/>
      <c r="BJ1417" s="261"/>
      <c r="BK1417" s="261"/>
      <c r="BL1417" s="261"/>
      <c r="BM1417" s="261"/>
      <c r="BN1417" s="261"/>
      <c r="BO1417" s="261"/>
      <c r="BP1417" s="261"/>
      <c r="BQ1417" s="261"/>
      <c r="BR1417" s="261"/>
      <c r="BS1417" s="261"/>
      <c r="BT1417" s="261"/>
      <c r="BU1417" s="261"/>
      <c r="BV1417" s="261"/>
      <c r="BW1417" s="261"/>
      <c r="BX1417" s="261"/>
      <c r="BY1417" s="261"/>
      <c r="BZ1417" s="261"/>
      <c r="CA1417" s="261"/>
      <c r="CB1417" s="261"/>
      <c r="CC1417" s="261"/>
      <c r="CD1417" s="261"/>
      <c r="CE1417" s="261"/>
      <c r="CF1417" s="261"/>
      <c r="CG1417" s="261"/>
      <c r="CH1417" s="261"/>
      <c r="CI1417" s="261"/>
      <c r="CJ1417" s="261"/>
      <c r="CK1417" s="261"/>
      <c r="CL1417" s="261"/>
      <c r="CM1417" s="261"/>
      <c r="CN1417" s="261"/>
      <c r="CO1417" s="261"/>
      <c r="CP1417" s="261"/>
      <c r="CQ1417" s="261"/>
      <c r="CR1417" s="261"/>
      <c r="CS1417" s="261"/>
      <c r="CT1417" s="261"/>
      <c r="CU1417" s="261"/>
      <c r="CV1417" s="261"/>
      <c r="CW1417" s="261"/>
      <c r="CX1417" s="261"/>
      <c r="CY1417" s="261"/>
      <c r="CZ1417" s="261"/>
      <c r="DA1417" s="261"/>
      <c r="DB1417" s="261"/>
      <c r="DC1417" s="261"/>
      <c r="DD1417" s="261"/>
      <c r="DE1417" s="261"/>
      <c r="DF1417" s="261"/>
      <c r="DG1417" s="261"/>
      <c r="DH1417" s="261"/>
      <c r="DI1417" s="261"/>
      <c r="DJ1417" s="261"/>
      <c r="DK1417" s="261"/>
      <c r="DL1417" s="261"/>
      <c r="DM1417" s="261"/>
      <c r="DN1417" s="261"/>
      <c r="DO1417" s="926"/>
      <c r="DP1417" s="261"/>
      <c r="DQ1417" s="261"/>
      <c r="DR1417" s="261"/>
      <c r="DS1417" s="261"/>
      <c r="DT1417" s="261"/>
      <c r="DU1417" s="261"/>
      <c r="DV1417" s="261"/>
      <c r="DW1417" s="261"/>
      <c r="DX1417" s="261"/>
      <c r="DY1417" s="261"/>
      <c r="DZ1417" s="261"/>
      <c r="EA1417" s="261"/>
      <c r="EB1417" s="261"/>
      <c r="EC1417" s="261"/>
      <c r="ED1417" s="261"/>
      <c r="EE1417" s="261"/>
      <c r="EF1417" s="261"/>
      <c r="EG1417" s="261"/>
      <c r="EH1417" s="261"/>
      <c r="EI1417" s="261"/>
      <c r="EJ1417" s="261"/>
      <c r="EK1417" s="261"/>
      <c r="EL1417" s="261"/>
      <c r="EM1417" s="261"/>
      <c r="EN1417" s="261"/>
      <c r="EO1417" s="261"/>
      <c r="EP1417" s="261"/>
      <c r="EQ1417" s="261"/>
      <c r="ER1417" s="261"/>
      <c r="ES1417" s="261"/>
      <c r="ET1417" s="261"/>
      <c r="EU1417" s="261"/>
      <c r="EV1417" s="261"/>
      <c r="EW1417" s="261"/>
      <c r="EX1417" s="261"/>
    </row>
    <row r="1418" spans="2:154" hidden="1" outlineLevel="1">
      <c r="B1418" s="497" t="s">
        <v>175</v>
      </c>
      <c r="C1418" s="1978"/>
      <c r="D1418" s="1979"/>
      <c r="E1418" s="499"/>
      <c r="F1418" s="499"/>
      <c r="G1418" s="499"/>
      <c r="H1418" s="499"/>
      <c r="I1418" s="499"/>
      <c r="J1418" s="499"/>
      <c r="K1418" s="499"/>
      <c r="L1418" s="499"/>
      <c r="M1418" s="499"/>
      <c r="N1418" s="499"/>
      <c r="O1418" s="499"/>
      <c r="P1418" s="499"/>
      <c r="Q1418" s="499"/>
      <c r="R1418" s="499"/>
      <c r="S1418" s="499"/>
      <c r="T1418" s="499"/>
      <c r="U1418" s="499"/>
      <c r="V1418" s="499"/>
      <c r="W1418" s="499"/>
      <c r="X1418" s="504"/>
      <c r="Y1418" s="499"/>
      <c r="Z1418" s="499"/>
      <c r="AA1418" s="499"/>
      <c r="AB1418" s="499"/>
      <c r="AC1418" s="504"/>
      <c r="AD1418" s="499"/>
      <c r="AE1418" s="499"/>
      <c r="AF1418" s="499"/>
      <c r="AG1418" s="499"/>
      <c r="AH1418" s="504"/>
      <c r="AI1418" s="499"/>
      <c r="AJ1418" s="499"/>
      <c r="AK1418" s="499"/>
      <c r="AL1418" s="499"/>
      <c r="AM1418" s="504"/>
      <c r="AN1418" s="499"/>
      <c r="AO1418" s="499"/>
      <c r="AP1418" s="499"/>
      <c r="AQ1418" s="499"/>
      <c r="AR1418" s="504"/>
      <c r="AS1418" s="499"/>
      <c r="AT1418" s="499"/>
      <c r="AU1418" s="499"/>
      <c r="AV1418" s="499"/>
      <c r="AW1418" s="504"/>
      <c r="AX1418" s="499"/>
      <c r="AY1418" s="499"/>
      <c r="AZ1418" s="499"/>
      <c r="BA1418" s="499"/>
      <c r="BB1418" s="504"/>
      <c r="BC1418" s="499"/>
      <c r="BD1418" s="499"/>
      <c r="BE1418" s="499"/>
      <c r="BF1418" s="499"/>
      <c r="BG1418" s="504"/>
      <c r="BH1418" s="499"/>
      <c r="BI1418" s="499"/>
      <c r="BJ1418" s="499"/>
      <c r="BK1418" s="499"/>
      <c r="BL1418" s="504"/>
      <c r="BM1418" s="499"/>
      <c r="BN1418" s="499"/>
      <c r="BO1418" s="499"/>
      <c r="BP1418" s="499"/>
      <c r="BQ1418" s="504"/>
      <c r="BR1418" s="499"/>
      <c r="BS1418" s="499"/>
      <c r="BT1418" s="499"/>
      <c r="BU1418" s="499"/>
      <c r="BV1418" s="504"/>
      <c r="BW1418" s="499"/>
      <c r="BX1418" s="499"/>
      <c r="BY1418" s="499"/>
      <c r="BZ1418" s="499"/>
      <c r="CA1418" s="504"/>
      <c r="CB1418" s="499"/>
      <c r="CC1418" s="499"/>
      <c r="CD1418" s="499"/>
      <c r="CE1418" s="499"/>
      <c r="CF1418" s="504"/>
      <c r="CG1418" s="499"/>
      <c r="CH1418" s="499"/>
      <c r="CI1418" s="499"/>
      <c r="CJ1418" s="499"/>
      <c r="CK1418" s="504"/>
      <c r="CL1418" s="499"/>
      <c r="CM1418" s="499"/>
      <c r="CN1418" s="499"/>
      <c r="CO1418" s="1371"/>
      <c r="CP1418" s="504"/>
      <c r="CQ1418" s="499"/>
      <c r="CR1418" s="499"/>
      <c r="CS1418" s="499"/>
      <c r="CT1418" s="1135"/>
      <c r="CU1418" s="504"/>
      <c r="CV1418" s="499"/>
      <c r="CW1418" s="499"/>
      <c r="CX1418" s="499"/>
      <c r="CY1418" s="1135"/>
      <c r="CZ1418" s="504"/>
      <c r="DA1418" s="1320"/>
      <c r="DB1418" s="1371"/>
      <c r="DC1418" s="1371"/>
      <c r="DD1418" s="1193"/>
      <c r="DE1418" s="1789"/>
      <c r="DF1418" s="1950"/>
      <c r="DG1418" s="1791"/>
      <c r="DH1418" s="1791"/>
      <c r="DI1418" s="1792"/>
      <c r="DJ1418" s="1789"/>
      <c r="DK1418" s="1950"/>
      <c r="DL1418" s="1791"/>
      <c r="DM1418" s="1791"/>
      <c r="DN1418" s="1792"/>
      <c r="DO1418" s="1951"/>
      <c r="DP1418" s="1791"/>
      <c r="DQ1418" s="1791"/>
      <c r="DR1418" s="1791"/>
      <c r="DS1418" s="1792"/>
      <c r="DT1418" s="1789"/>
      <c r="DU1418" s="2108"/>
      <c r="DV1418" s="2108"/>
      <c r="DW1418" s="2108"/>
      <c r="DX1418" s="2109"/>
      <c r="DY1418" s="1789"/>
      <c r="DZ1418" s="2108"/>
      <c r="EA1418" s="3505"/>
      <c r="EB1418" s="3505"/>
      <c r="EC1418" s="2109"/>
      <c r="ED1418" s="1793"/>
      <c r="EE1418" s="3130"/>
      <c r="EF1418" s="3557"/>
      <c r="EG1418" s="3557"/>
      <c r="EH1418" s="2109"/>
      <c r="EI1418" s="3130"/>
      <c r="EJ1418" s="1793"/>
      <c r="EK1418" s="1793"/>
      <c r="EL1418" s="1793"/>
      <c r="EM1418" s="1793"/>
      <c r="EN1418" s="1793"/>
      <c r="EO1418" s="2687"/>
      <c r="EP1418" s="1793"/>
      <c r="EQ1418" s="1793"/>
      <c r="ER1418" s="1793"/>
      <c r="ES1418" s="1793"/>
      <c r="ET1418" s="1793"/>
      <c r="EU1418" s="1793"/>
      <c r="EV1418" s="1793"/>
      <c r="EW1418" s="1793"/>
      <c r="EX1418" s="1793"/>
    </row>
    <row r="1419" spans="2:154" ht="6.75" hidden="1" customHeight="1" outlineLevel="1">
      <c r="B1419" s="335"/>
      <c r="C1419" s="1990"/>
      <c r="D1419" s="26"/>
      <c r="E1419" s="26"/>
      <c r="F1419" s="26"/>
      <c r="G1419" s="26"/>
      <c r="H1419" s="26"/>
      <c r="I1419" s="26"/>
      <c r="J1419" s="26"/>
      <c r="K1419" s="26"/>
      <c r="L1419" s="26"/>
      <c r="M1419" s="26"/>
      <c r="N1419" s="26"/>
      <c r="O1419" s="26"/>
      <c r="P1419" s="26"/>
      <c r="Q1419" s="26"/>
      <c r="R1419" s="26"/>
      <c r="S1419" s="26"/>
      <c r="T1419" s="26"/>
      <c r="U1419" s="26"/>
      <c r="V1419" s="26"/>
      <c r="W1419" s="26"/>
      <c r="X1419" s="323"/>
      <c r="Y1419" s="26"/>
      <c r="Z1419" s="26"/>
      <c r="AA1419" s="26"/>
      <c r="AB1419" s="26"/>
      <c r="AC1419" s="323"/>
      <c r="AD1419" s="26"/>
      <c r="AE1419" s="26"/>
      <c r="AF1419" s="26"/>
      <c r="AG1419" s="26"/>
      <c r="AH1419" s="323"/>
      <c r="AI1419" s="26"/>
      <c r="AJ1419" s="26"/>
      <c r="AK1419" s="26"/>
      <c r="AL1419" s="26"/>
      <c r="AM1419" s="323"/>
      <c r="AN1419" s="26"/>
      <c r="AO1419" s="26"/>
      <c r="AP1419" s="26"/>
      <c r="AQ1419" s="26"/>
      <c r="AR1419" s="323"/>
      <c r="AS1419" s="26"/>
      <c r="AT1419" s="26"/>
      <c r="AU1419" s="26"/>
      <c r="AV1419" s="26"/>
      <c r="AW1419" s="323"/>
      <c r="AX1419" s="26"/>
      <c r="AY1419" s="26"/>
      <c r="AZ1419" s="26"/>
      <c r="BA1419" s="26"/>
      <c r="BB1419" s="323"/>
      <c r="BC1419" s="26"/>
      <c r="BD1419" s="26"/>
      <c r="BE1419" s="26"/>
      <c r="BF1419" s="26"/>
      <c r="BG1419" s="323"/>
      <c r="BH1419" s="26"/>
      <c r="BI1419" s="26"/>
      <c r="BJ1419" s="26"/>
      <c r="BK1419" s="26"/>
      <c r="BL1419" s="323"/>
      <c r="BM1419" s="26"/>
      <c r="BN1419" s="26"/>
      <c r="BO1419" s="26"/>
      <c r="BP1419" s="26"/>
      <c r="BQ1419" s="323"/>
      <c r="BR1419" s="26"/>
      <c r="BS1419" s="26"/>
      <c r="BT1419" s="26"/>
      <c r="BU1419" s="26"/>
      <c r="BV1419" s="323"/>
      <c r="BW1419" s="26"/>
      <c r="BX1419" s="26"/>
      <c r="BY1419" s="26"/>
      <c r="BZ1419" s="26"/>
      <c r="CA1419" s="323"/>
      <c r="CB1419" s="26"/>
      <c r="CC1419" s="26"/>
      <c r="CD1419" s="26"/>
      <c r="CE1419" s="26"/>
      <c r="CF1419" s="323"/>
      <c r="CG1419" s="26"/>
      <c r="CH1419" s="26"/>
      <c r="CI1419" s="26"/>
      <c r="CJ1419" s="26"/>
      <c r="CK1419" s="323"/>
      <c r="CL1419" s="26"/>
      <c r="CM1419" s="26"/>
      <c r="CN1419" s="26"/>
      <c r="CO1419" s="26"/>
      <c r="CP1419" s="323"/>
      <c r="CQ1419" s="26"/>
      <c r="CR1419" s="26"/>
      <c r="CS1419" s="26"/>
      <c r="CT1419" s="26"/>
      <c r="CU1419" s="323"/>
      <c r="CV1419" s="26"/>
      <c r="CW1419" s="26"/>
      <c r="CX1419" s="26"/>
      <c r="CY1419" s="26"/>
      <c r="CZ1419" s="323"/>
      <c r="DA1419" s="970"/>
      <c r="DB1419" s="26"/>
      <c r="DC1419" s="26"/>
      <c r="DD1419" s="877"/>
      <c r="DE1419" s="1815"/>
      <c r="DF1419" s="1816"/>
      <c r="DG1419" s="1783"/>
      <c r="DH1419" s="1783"/>
      <c r="DI1419" s="1817"/>
      <c r="DJ1419" s="1815"/>
      <c r="DK1419" s="1816"/>
      <c r="DL1419" s="1783"/>
      <c r="DM1419" s="1783"/>
      <c r="DN1419" s="1817"/>
      <c r="DO1419" s="1815"/>
      <c r="DP1419" s="1783"/>
      <c r="DQ1419" s="1783"/>
      <c r="DR1419" s="1783"/>
      <c r="DS1419" s="1817"/>
      <c r="DT1419" s="1815"/>
      <c r="DU1419" s="1783"/>
      <c r="DV1419" s="1783"/>
      <c r="DW1419" s="1783"/>
      <c r="DX1419" s="1817"/>
      <c r="DY1419" s="1815"/>
      <c r="DZ1419" s="1783"/>
      <c r="EA1419" s="1783"/>
      <c r="EB1419" s="1783"/>
      <c r="EC1419" s="1817"/>
      <c r="ED1419" s="1815"/>
      <c r="EE1419" s="1816"/>
      <c r="EF1419" s="1783"/>
      <c r="EG1419" s="1783"/>
      <c r="EH1419" s="1817"/>
      <c r="EI1419" s="1816"/>
      <c r="EJ1419" s="1815"/>
      <c r="EK1419" s="1815"/>
      <c r="EL1419" s="1815"/>
      <c r="EM1419" s="1815"/>
      <c r="EN1419" s="1815"/>
      <c r="EO1419" s="1817"/>
      <c r="EP1419" s="1815"/>
      <c r="EQ1419" s="1815"/>
      <c r="ER1419" s="1815"/>
      <c r="ES1419" s="1815"/>
      <c r="ET1419" s="1815"/>
      <c r="EU1419" s="1815"/>
      <c r="EV1419" s="1815"/>
      <c r="EW1419" s="1815"/>
      <c r="EX1419" s="1815"/>
    </row>
    <row r="1420" spans="2:154" hidden="1" outlineLevel="1">
      <c r="B1420" s="509" t="s">
        <v>621</v>
      </c>
      <c r="C1420" s="2019"/>
      <c r="D1420" s="1984"/>
      <c r="E1420" s="486"/>
      <c r="F1420" s="486"/>
      <c r="G1420" s="486"/>
      <c r="H1420" s="486"/>
      <c r="I1420" s="487"/>
      <c r="J1420" s="486"/>
      <c r="K1420" s="486"/>
      <c r="L1420" s="486"/>
      <c r="M1420" s="486"/>
      <c r="N1420" s="487"/>
      <c r="O1420" s="487"/>
      <c r="P1420" s="487"/>
      <c r="Q1420" s="487"/>
      <c r="R1420" s="487"/>
      <c r="S1420" s="488"/>
      <c r="T1420" s="487"/>
      <c r="U1420" s="487"/>
      <c r="V1420" s="487"/>
      <c r="W1420" s="487"/>
      <c r="X1420" s="489"/>
      <c r="Y1420" s="487"/>
      <c r="Z1420" s="487"/>
      <c r="AA1420" s="487"/>
      <c r="AB1420" s="487"/>
      <c r="AC1420" s="489"/>
      <c r="AD1420" s="487"/>
      <c r="AE1420" s="487"/>
      <c r="AF1420" s="487"/>
      <c r="AG1420" s="487"/>
      <c r="AH1420" s="489"/>
      <c r="AI1420" s="486"/>
      <c r="AJ1420" s="486"/>
      <c r="AK1420" s="486"/>
      <c r="AL1420" s="487"/>
      <c r="AM1420" s="489"/>
      <c r="AN1420" s="486"/>
      <c r="AO1420" s="486"/>
      <c r="AP1420" s="486"/>
      <c r="AQ1420" s="487"/>
      <c r="AR1420" s="489"/>
      <c r="AS1420" s="486"/>
      <c r="AT1420" s="486"/>
      <c r="AU1420" s="486"/>
      <c r="AV1420" s="487"/>
      <c r="AW1420" s="489"/>
      <c r="AX1420" s="486"/>
      <c r="AY1420" s="486"/>
      <c r="AZ1420" s="486"/>
      <c r="BA1420" s="486"/>
      <c r="BB1420" s="489"/>
      <c r="BC1420" s="486"/>
      <c r="BD1420" s="486"/>
      <c r="BE1420" s="486"/>
      <c r="BF1420" s="486"/>
      <c r="BG1420" s="489"/>
      <c r="BH1420" s="486"/>
      <c r="BI1420" s="486"/>
      <c r="BJ1420" s="486"/>
      <c r="BK1420" s="486"/>
      <c r="BL1420" s="489"/>
      <c r="BM1420" s="486"/>
      <c r="BN1420" s="486"/>
      <c r="BO1420" s="486"/>
      <c r="BP1420" s="486"/>
      <c r="BQ1420" s="489"/>
      <c r="BR1420" s="486"/>
      <c r="BS1420" s="486"/>
      <c r="BT1420" s="486"/>
      <c r="BU1420" s="486"/>
      <c r="BV1420" s="489"/>
      <c r="BW1420" s="486"/>
      <c r="BX1420" s="486"/>
      <c r="BY1420" s="486"/>
      <c r="BZ1420" s="486"/>
      <c r="CA1420" s="489"/>
      <c r="CB1420" s="486"/>
      <c r="CC1420" s="486"/>
      <c r="CD1420" s="486"/>
      <c r="CE1420" s="486"/>
      <c r="CF1420" s="489"/>
      <c r="CG1420" s="486"/>
      <c r="CH1420" s="486"/>
      <c r="CI1420" s="486"/>
      <c r="CJ1420" s="486"/>
      <c r="CK1420" s="489"/>
      <c r="CL1420" s="486"/>
      <c r="CM1420" s="486"/>
      <c r="CN1420" s="486"/>
      <c r="CO1420" s="1403"/>
      <c r="CP1420" s="489"/>
      <c r="CQ1420" s="486"/>
      <c r="CR1420" s="486"/>
      <c r="CS1420" s="486"/>
      <c r="CT1420" s="1136"/>
      <c r="CU1420" s="489"/>
      <c r="CV1420" s="486"/>
      <c r="CW1420" s="486"/>
      <c r="CX1420" s="486"/>
      <c r="CY1420" s="1136"/>
      <c r="CZ1420" s="489"/>
      <c r="DA1420" s="1335"/>
      <c r="DB1420" s="1323"/>
      <c r="DC1420" s="1323"/>
      <c r="DD1420" s="1199"/>
      <c r="DE1420" s="1908"/>
      <c r="DF1420" s="1952"/>
      <c r="DG1420" s="1909"/>
      <c r="DH1420" s="1909"/>
      <c r="DI1420" s="1910"/>
      <c r="DJ1420" s="1908"/>
      <c r="DK1420" s="1952"/>
      <c r="DL1420" s="1909"/>
      <c r="DM1420" s="1909"/>
      <c r="DN1420" s="1910"/>
      <c r="DO1420" s="1908"/>
      <c r="DP1420" s="1909"/>
      <c r="DQ1420" s="1909"/>
      <c r="DR1420" s="1909"/>
      <c r="DS1420" s="1910"/>
      <c r="DT1420" s="1908"/>
      <c r="DU1420" s="2126"/>
      <c r="DV1420" s="2126"/>
      <c r="DW1420" s="2126"/>
      <c r="DX1420" s="2127"/>
      <c r="DY1420" s="1908"/>
      <c r="DZ1420" s="2126"/>
      <c r="EA1420" s="2961"/>
      <c r="EB1420" s="2961"/>
      <c r="EC1420" s="2127"/>
      <c r="ED1420" s="2200"/>
      <c r="EE1420" s="3131"/>
      <c r="EF1420" s="2250"/>
      <c r="EG1420" s="2250"/>
      <c r="EH1420" s="2127"/>
      <c r="EI1420" s="3131"/>
      <c r="EJ1420" s="3131"/>
      <c r="EK1420" s="3131"/>
      <c r="EL1420" s="3131"/>
      <c r="EM1420" s="3131"/>
      <c r="EN1420" s="2200"/>
      <c r="EO1420" s="3132"/>
      <c r="EP1420" s="2200"/>
      <c r="EQ1420" s="2205"/>
      <c r="ER1420" s="2205"/>
      <c r="ES1420" s="2205"/>
      <c r="ET1420" s="2205"/>
      <c r="EU1420" s="2205"/>
      <c r="EV1420" s="2205"/>
      <c r="EW1420" s="2205"/>
      <c r="EX1420" s="2205"/>
    </row>
    <row r="1421" spans="2:154" hidden="1" outlineLevel="1">
      <c r="B1421" s="345" t="s">
        <v>187</v>
      </c>
      <c r="C1421" s="1989"/>
      <c r="D1421" s="33">
        <v>442.56756756756755</v>
      </c>
      <c r="E1421" s="33">
        <v>164</v>
      </c>
      <c r="F1421" s="33">
        <v>172</v>
      </c>
      <c r="G1421" s="33">
        <v>169</v>
      </c>
      <c r="H1421" s="33">
        <v>150</v>
      </c>
      <c r="I1421" s="31">
        <f>+SUM(E1421:H1421)</f>
      </c>
      <c r="J1421" s="33">
        <v>189</v>
      </c>
      <c r="K1421" s="33">
        <v>200</v>
      </c>
      <c r="L1421" s="33">
        <v>176</v>
      </c>
      <c r="M1421" s="33">
        <v>174</v>
      </c>
      <c r="N1421" s="31">
        <f>+SUM(J1421:M1421)</f>
      </c>
      <c r="O1421" s="33">
        <v>194</v>
      </c>
      <c r="P1421" s="33">
        <v>187</v>
      </c>
      <c r="Q1421" s="33">
        <v>170</v>
      </c>
      <c r="R1421" s="33">
        <v>146</v>
      </c>
      <c r="S1421" s="31">
        <f>SUM(O1421:R1421)</f>
      </c>
      <c r="T1421" s="33">
        <v>211</v>
      </c>
      <c r="U1421" s="33">
        <v>206</v>
      </c>
      <c r="V1421" s="33">
        <v>191</v>
      </c>
      <c r="W1421" s="33">
        <v>170</v>
      </c>
      <c r="X1421" s="313">
        <f>SUM(T1421:W1421)</f>
      </c>
      <c r="Y1421" s="33">
        <v>238</v>
      </c>
      <c r="Z1421" s="33">
        <v>206</v>
      </c>
      <c r="AA1421" s="33">
        <v>198</v>
      </c>
      <c r="AB1421" s="33">
        <v>200</v>
      </c>
      <c r="AC1421" s="313">
        <f>SUM(Y1421:AB1421)</f>
      </c>
      <c r="AD1421" s="33">
        <v>268.8</v>
      </c>
      <c r="AE1421" s="33">
        <v>231</v>
      </c>
      <c r="AF1421" s="33">
        <v>239</v>
      </c>
      <c r="AG1421" s="33">
        <v>238</v>
      </c>
      <c r="AH1421" s="313">
        <f>SUM(AD1421:AG1421)</f>
      </c>
      <c r="AI1421" s="33">
        <v>283</v>
      </c>
      <c r="AJ1421" s="33">
        <v>268</v>
      </c>
      <c r="AK1421" s="33">
        <v>271</v>
      </c>
      <c r="AL1421" s="33">
        <v>256</v>
      </c>
      <c r="AM1421" s="313">
        <f>+SUM(AI1421:AL1421)</f>
      </c>
      <c r="AN1421" s="33">
        <v>318</v>
      </c>
      <c r="AO1421" s="33">
        <v>281</v>
      </c>
      <c r="AP1421" s="33">
        <v>265</v>
      </c>
      <c r="AQ1421" s="33">
        <v>281</v>
      </c>
      <c r="AR1421" s="313">
        <f>+SUM(AN1421:AQ1421)</f>
      </c>
      <c r="AS1421" s="33">
        <v>357</v>
      </c>
      <c r="AT1421" s="33">
        <v>338</v>
      </c>
      <c r="AU1421" s="33">
        <v>311</v>
      </c>
      <c r="AV1421" s="33">
        <v>323</v>
      </c>
      <c r="AW1421" s="313">
        <f>+SUM(AS1421:AV1421)</f>
      </c>
      <c r="AX1421" s="33">
        <v>382</v>
      </c>
      <c r="AY1421" s="33">
        <v>379</v>
      </c>
      <c r="AZ1421" s="33">
        <v>358</v>
      </c>
      <c r="BA1421" s="33">
        <v>343</v>
      </c>
      <c r="BB1421" s="313">
        <f>SUM(AX1421:BA1421)</f>
      </c>
      <c r="BC1421" s="33">
        <v>423</v>
      </c>
      <c r="BD1421" s="33">
        <v>411</v>
      </c>
      <c r="BE1421" s="33">
        <v>370</v>
      </c>
      <c r="BF1421" s="33">
        <v>378</v>
      </c>
      <c r="BG1421" s="313">
        <f>SUM(BC1421:BF1421)</f>
      </c>
      <c r="BH1421" s="33">
        <v>452</v>
      </c>
      <c r="BI1421" s="33">
        <v>422</v>
      </c>
      <c r="BJ1421" s="33">
        <v>311</v>
      </c>
      <c r="BK1421" s="33">
        <v>352</v>
      </c>
      <c r="BL1421" s="313">
        <f>SUM(BH1421:BK1421)</f>
      </c>
      <c r="BM1421" s="33">
        <v>426</v>
      </c>
      <c r="BN1421" s="352">
        <v>449</v>
      </c>
      <c r="BO1421" s="352">
        <v>376</v>
      </c>
      <c r="BP1421" s="33">
        <v>403</v>
      </c>
      <c r="BQ1421" s="313">
        <f>SUM(BM1421:BP1421)</f>
      </c>
      <c r="BR1421" s="352">
        <v>453</v>
      </c>
      <c r="BS1421" s="352">
        <v>471</v>
      </c>
      <c r="BT1421" s="352">
        <v>390</v>
      </c>
      <c r="BU1421" s="352">
        <v>385</v>
      </c>
      <c r="BV1421" s="313">
        <f>SUM(BR1421:BU1421)</f>
      </c>
      <c r="BW1421" s="352">
        <v>453</v>
      </c>
      <c r="BX1421" s="352">
        <v>463</v>
      </c>
      <c r="BY1421" s="352">
        <v>404</v>
      </c>
      <c r="BZ1421" s="352">
        <v>432</v>
      </c>
      <c r="CA1421" s="313">
        <f>SUM(BW1421:BZ1421)</f>
      </c>
      <c r="CB1421" s="352">
        <v>457</v>
      </c>
      <c r="CC1421" s="352">
        <v>506</v>
      </c>
      <c r="CD1421" s="352">
        <v>400</v>
      </c>
      <c r="CE1421" s="352">
        <v>471</v>
      </c>
      <c r="CF1421" s="312">
        <f>SUM(CB1421:CE1421)</f>
      </c>
      <c r="CG1421" s="352">
        <v>492</v>
      </c>
      <c r="CH1421" s="352">
        <v>491</v>
      </c>
      <c r="CI1421" s="352">
        <v>435</v>
      </c>
      <c r="CJ1421" s="352">
        <v>442</v>
      </c>
      <c r="CK1421" s="312">
        <f>SUM(CG1421:CJ1421)</f>
      </c>
      <c r="CL1421" s="352">
        <v>488</v>
      </c>
      <c r="CM1421" s="352">
        <v>555</v>
      </c>
      <c r="CN1421" s="352">
        <v>517</v>
      </c>
      <c r="CO1421" s="352">
        <v>580</v>
      </c>
      <c r="CP1421" s="312">
        <f>SUM(CL1421:CO1421)</f>
      </c>
      <c r="CQ1421" s="352">
        <v>567</v>
      </c>
      <c r="CR1421" s="352">
        <v>649</v>
      </c>
      <c r="CS1421" s="352">
        <v>523</v>
      </c>
      <c r="CT1421" s="352">
        <v>596</v>
      </c>
      <c r="CU1421" s="312">
        <f>SUM(CQ1421:CT1421)</f>
      </c>
      <c r="CV1421" s="352">
        <v>611</v>
      </c>
      <c r="CW1421" s="352">
        <v>637</v>
      </c>
      <c r="CX1421" s="352">
        <v>543</v>
      </c>
      <c r="CY1421" s="352">
        <v>612</v>
      </c>
      <c r="CZ1421" s="312">
        <f>SUM(CV1421:CY1421)</f>
      </c>
      <c r="DA1421" s="352">
        <v>588</v>
      </c>
      <c r="DB1421" s="352">
        <v>663</v>
      </c>
      <c r="DC1421" s="352">
        <v>559</v>
      </c>
      <c r="DD1421" s="1205">
        <v>582</v>
      </c>
      <c r="DE1421" s="1835">
        <f>SUM(DA1421:DD1421)</f>
      </c>
      <c r="DF1421" s="710">
        <v>659</v>
      </c>
      <c r="DG1421" s="710">
        <v>536</v>
      </c>
      <c r="DH1421" s="710">
        <v>572</v>
      </c>
      <c r="DI1421" s="1839">
        <v>583</v>
      </c>
      <c r="DJ1421" s="1835">
        <f>SUM(DF1421:DI1421)</f>
      </c>
      <c r="DK1421" s="710">
        <v>634</v>
      </c>
      <c r="DL1421" s="1544">
        <v>659</v>
      </c>
      <c r="DM1421" s="710">
        <v>569</v>
      </c>
      <c r="DN1421" s="1839">
        <v>538</v>
      </c>
      <c r="DO1421" s="1835">
        <f>SUM(DK1421:DN1421)</f>
      </c>
      <c r="DP1421" s="710">
        <v>544</v>
      </c>
      <c r="DQ1421" s="710">
        <v>629</v>
      </c>
      <c r="DR1421" s="710">
        <v>591</v>
      </c>
      <c r="DS1421" s="1839">
        <v>573</v>
      </c>
      <c r="DT1421" s="1835">
        <f>SUM(DP1421:DS1421)</f>
      </c>
      <c r="DU1421" s="710">
        <v>617</v>
      </c>
      <c r="DV1421" s="710">
        <v>650</v>
      </c>
      <c r="DW1421" s="1542"/>
      <c r="DX1421" s="1556"/>
      <c r="DY1421" s="1835"/>
      <c r="DZ1421" s="1542"/>
      <c r="EA1421" s="1542"/>
      <c r="EB1421" s="1542"/>
      <c r="EC1421" s="1556"/>
      <c r="ED1421" s="1835"/>
      <c r="EE1421" s="1877"/>
      <c r="EF1421" s="1542"/>
      <c r="EG1421" s="1542"/>
      <c r="EH1421" s="1556"/>
      <c r="EI1421" s="1835"/>
      <c r="EJ1421" s="1835"/>
      <c r="EK1421" s="1835"/>
      <c r="EL1421" s="477"/>
      <c r="EM1421" s="477"/>
      <c r="EN1421" s="477"/>
      <c r="EO1421" s="1798"/>
      <c r="EP1421" s="477"/>
      <c r="EQ1421" s="477"/>
      <c r="ER1421" s="477"/>
      <c r="ES1421" s="477"/>
      <c r="ET1421" s="477"/>
      <c r="EU1421" s="477"/>
      <c r="EV1421" s="477"/>
      <c r="EW1421" s="477"/>
      <c r="EX1421" s="477"/>
    </row>
    <row r="1422" spans="2:154" hidden="1" outlineLevel="1">
      <c r="B1422" s="345" t="s">
        <v>412</v>
      </c>
      <c r="C1422" s="1989"/>
      <c r="D1422" s="33">
        <v>644.9152542372882</v>
      </c>
      <c r="E1422" s="33">
        <v>199</v>
      </c>
      <c r="F1422" s="33">
        <v>198</v>
      </c>
      <c r="G1422" s="33">
        <v>177</v>
      </c>
      <c r="H1422" s="33">
        <v>187</v>
      </c>
      <c r="I1422" s="31">
        <f>+SUM(E1422:H1422)</f>
      </c>
      <c r="J1422" s="33">
        <v>205</v>
      </c>
      <c r="K1422" s="33">
        <v>198</v>
      </c>
      <c r="L1422" s="33">
        <v>183</v>
      </c>
      <c r="M1422" s="33">
        <v>182</v>
      </c>
      <c r="N1422" s="31">
        <f>+SUM(J1422:M1422)</f>
      </c>
      <c r="O1422" s="33">
        <v>175</v>
      </c>
      <c r="P1422" s="33">
        <v>174</v>
      </c>
      <c r="Q1422" s="33">
        <v>169</v>
      </c>
      <c r="R1422" s="33">
        <v>178</v>
      </c>
      <c r="S1422" s="31">
        <f>SUM(O1422:R1422)</f>
      </c>
      <c r="T1422" s="33">
        <v>188</v>
      </c>
      <c r="U1422" s="33">
        <v>194</v>
      </c>
      <c r="V1422" s="33">
        <v>198</v>
      </c>
      <c r="W1422" s="33">
        <v>213</v>
      </c>
      <c r="X1422" s="313">
        <f>SUM(T1422:W1422)</f>
      </c>
      <c r="Y1422" s="33">
        <v>227</v>
      </c>
      <c r="Z1422" s="33">
        <v>242</v>
      </c>
      <c r="AA1422" s="33">
        <v>223</v>
      </c>
      <c r="AB1422" s="33">
        <v>263</v>
      </c>
      <c r="AC1422" s="313">
        <f>SUM(Y1422:AB1422)</f>
      </c>
      <c r="AD1422" s="33">
        <v>293.60000000000002</v>
      </c>
      <c r="AE1422" s="33">
        <v>278</v>
      </c>
      <c r="AF1422" s="33">
        <v>270</v>
      </c>
      <c r="AG1422" s="33">
        <v>322</v>
      </c>
      <c r="AH1422" s="313">
        <f>SUM(AD1422:AG1422)</f>
      </c>
      <c r="AI1422" s="33">
        <v>337</v>
      </c>
      <c r="AJ1422" s="33">
        <v>334</v>
      </c>
      <c r="AK1422" s="33">
        <v>311</v>
      </c>
      <c r="AL1422" s="33">
        <v>340</v>
      </c>
      <c r="AM1422" s="313">
        <f>+SUM(AI1422:AL1422)</f>
      </c>
      <c r="AN1422" s="33">
        <v>341</v>
      </c>
      <c r="AO1422" s="33">
        <v>373</v>
      </c>
      <c r="AP1422" s="33">
        <v>370</v>
      </c>
      <c r="AQ1422" s="33">
        <v>404</v>
      </c>
      <c r="AR1422" s="313">
        <f>+SUM(AN1422:AQ1422)</f>
      </c>
      <c r="AS1422" s="33">
        <v>407</v>
      </c>
      <c r="AT1422" s="33">
        <v>419</v>
      </c>
      <c r="AU1422" s="33">
        <v>426</v>
      </c>
      <c r="AV1422" s="33">
        <v>470</v>
      </c>
      <c r="AW1422" s="313">
        <f>+SUM(AS1422:AV1422)</f>
      </c>
      <c r="AX1422" s="33">
        <v>458</v>
      </c>
      <c r="AY1422" s="33">
        <v>460</v>
      </c>
      <c r="AZ1422" s="33">
        <v>500</v>
      </c>
      <c r="BA1422" s="33">
        <v>501</v>
      </c>
      <c r="BB1422" s="313">
        <f>SUM(AX1422:BA1422)</f>
      </c>
      <c r="BC1422" s="33">
        <v>419</v>
      </c>
      <c r="BD1422" s="33">
        <v>422</v>
      </c>
      <c r="BE1422" s="33">
        <v>472</v>
      </c>
      <c r="BF1422" s="33">
        <v>572</v>
      </c>
      <c r="BG1422" s="313">
        <f>SUM(BC1422:BF1422)</f>
      </c>
      <c r="BH1422" s="33">
        <v>468</v>
      </c>
      <c r="BI1422" s="33">
        <v>421</v>
      </c>
      <c r="BJ1422" s="33">
        <v>489</v>
      </c>
      <c r="BK1422" s="33">
        <v>537</v>
      </c>
      <c r="BL1422" s="313">
        <f>SUM(BH1422:BK1422)</f>
      </c>
      <c r="BM1422" s="33">
        <v>473</v>
      </c>
      <c r="BN1422" s="352">
        <v>480</v>
      </c>
      <c r="BO1422" s="352">
        <v>567</v>
      </c>
      <c r="BP1422" s="33">
        <v>541</v>
      </c>
      <c r="BQ1422" s="313">
        <f>SUM(BM1422:BP1422)</f>
      </c>
      <c r="BR1422" s="352">
        <v>454</v>
      </c>
      <c r="BS1422" s="352">
        <v>442</v>
      </c>
      <c r="BT1422" s="352">
        <v>514</v>
      </c>
      <c r="BU1422" s="352">
        <v>509</v>
      </c>
      <c r="BV1422" s="313">
        <f>SUM(BR1422:BU1422)</f>
      </c>
      <c r="BW1422" s="352">
        <v>449</v>
      </c>
      <c r="BX1422" s="352">
        <v>445</v>
      </c>
      <c r="BY1422" s="352">
        <v>520</v>
      </c>
      <c r="BZ1422" s="352">
        <v>538</v>
      </c>
      <c r="CA1422" s="313">
        <f>SUM(BW1422:BZ1422)</f>
      </c>
      <c r="CB1422" s="352">
        <v>457</v>
      </c>
      <c r="CC1422" s="352">
        <v>462</v>
      </c>
      <c r="CD1422" s="352">
        <v>520</v>
      </c>
      <c r="CE1422" s="352">
        <v>485</v>
      </c>
      <c r="CF1422" s="312">
        <f>SUM(CB1422:CE1422)</f>
      </c>
      <c r="CG1422" s="352">
        <v>411</v>
      </c>
      <c r="CH1422" s="352">
        <v>403</v>
      </c>
      <c r="CI1422" s="352">
        <v>428</v>
      </c>
      <c r="CJ1422" s="352">
        <v>461</v>
      </c>
      <c r="CK1422" s="312">
        <f>SUM(CG1422:CJ1422)</f>
      </c>
      <c r="CL1422" s="352">
        <v>374</v>
      </c>
      <c r="CM1422" s="352">
        <v>398</v>
      </c>
      <c r="CN1422" s="352">
        <v>438</v>
      </c>
      <c r="CO1422" s="352">
        <v>483</v>
      </c>
      <c r="CP1422" s="312">
        <f>SUM(CL1422:CO1422)</f>
      </c>
      <c r="CQ1422" s="352">
        <v>414</v>
      </c>
      <c r="CR1422" s="352">
        <v>427</v>
      </c>
      <c r="CS1422" s="352">
        <v>510</v>
      </c>
      <c r="CT1422" s="352">
        <v>514</v>
      </c>
      <c r="CU1422" s="312">
        <f>SUM(CQ1422:CT1422)</f>
      </c>
      <c r="CV1422" s="352">
        <v>473</v>
      </c>
      <c r="CW1422" s="352">
        <v>472</v>
      </c>
      <c r="CX1422" s="352">
        <v>535</v>
      </c>
      <c r="CY1422" s="352">
        <v>499</v>
      </c>
      <c r="CZ1422" s="312">
        <f>SUM(CV1422:CY1422)</f>
      </c>
      <c r="DA1422" s="352">
        <v>502</v>
      </c>
      <c r="DB1422" s="352">
        <v>539</v>
      </c>
      <c r="DC1422" s="352">
        <v>592</v>
      </c>
      <c r="DD1422" s="1205">
        <v>568</v>
      </c>
      <c r="DE1422" s="1835">
        <f>SUM(DA1422:DD1422)</f>
      </c>
      <c r="DF1422" s="710">
        <v>458</v>
      </c>
      <c r="DG1422" s="710">
        <v>471</v>
      </c>
      <c r="DH1422" s="710">
        <v>577</v>
      </c>
      <c r="DI1422" s="1839">
        <v>594</v>
      </c>
      <c r="DJ1422" s="1835">
        <f>SUM(DF1422:DI1422)</f>
      </c>
      <c r="DK1422" s="710">
        <v>529</v>
      </c>
      <c r="DL1422" s="710">
        <v>511</v>
      </c>
      <c r="DM1422" s="710">
        <v>555</v>
      </c>
      <c r="DN1422" s="1839">
        <v>546</v>
      </c>
      <c r="DO1422" s="1835">
        <f>SUM(DK1422:DN1422)</f>
      </c>
      <c r="DP1422" s="710">
        <v>468</v>
      </c>
      <c r="DQ1422" s="710">
        <v>497</v>
      </c>
      <c r="DR1422" s="710">
        <v>535</v>
      </c>
      <c r="DS1422" s="1839">
        <v>515</v>
      </c>
      <c r="DT1422" s="1835">
        <f>SUM(DP1422:DS1422)</f>
      </c>
      <c r="DU1422" s="710">
        <v>493</v>
      </c>
      <c r="DV1422" s="710">
        <v>498</v>
      </c>
      <c r="DW1422" s="1542"/>
      <c r="DX1422" s="1556"/>
      <c r="DY1422" s="1835"/>
      <c r="DZ1422" s="1542"/>
      <c r="EA1422" s="1542"/>
      <c r="EB1422" s="1542"/>
      <c r="EC1422" s="1556"/>
      <c r="ED1422" s="1835"/>
      <c r="EE1422" s="1877"/>
      <c r="EF1422" s="1542"/>
      <c r="EG1422" s="1542"/>
      <c r="EH1422" s="1556"/>
      <c r="EI1422" s="1835"/>
      <c r="EJ1422" s="1835"/>
      <c r="EK1422" s="1835"/>
      <c r="EL1422" s="477"/>
      <c r="EM1422" s="477"/>
      <c r="EN1422" s="477"/>
      <c r="EO1422" s="1798"/>
      <c r="EP1422" s="477"/>
      <c r="EQ1422" s="477"/>
      <c r="ER1422" s="477"/>
      <c r="ES1422" s="477"/>
      <c r="ET1422" s="477"/>
      <c r="EU1422" s="477"/>
      <c r="EV1422" s="477"/>
      <c r="EW1422" s="477"/>
      <c r="EX1422" s="477"/>
    </row>
    <row r="1423" spans="2:154" hidden="1" outlineLevel="1">
      <c r="B1423" s="345" t="s">
        <v>413</v>
      </c>
      <c r="C1423" s="1989"/>
      <c r="D1423" s="28">
        <f t="shared" ref="D1423:AV1423" si="2768">+D1421+D1422</f>
      </c>
      <c r="E1423" s="28">
        <f t="shared" si="2768"/>
      </c>
      <c r="F1423" s="28">
        <f t="shared" si="2768"/>
      </c>
      <c r="G1423" s="28">
        <f t="shared" si="2768"/>
      </c>
      <c r="H1423" s="28">
        <f t="shared" si="2768"/>
      </c>
      <c r="I1423" s="31">
        <f t="shared" si="2768"/>
      </c>
      <c r="J1423" s="28">
        <f t="shared" si="2768"/>
      </c>
      <c r="K1423" s="28">
        <f t="shared" si="2768"/>
      </c>
      <c r="L1423" s="28">
        <f t="shared" si="2768"/>
      </c>
      <c r="M1423" s="28">
        <f t="shared" si="2768"/>
      </c>
      <c r="N1423" s="31">
        <f t="shared" si="2768"/>
      </c>
      <c r="O1423" s="31">
        <f t="shared" si="2768"/>
      </c>
      <c r="P1423" s="31">
        <f t="shared" si="2768"/>
      </c>
      <c r="Q1423" s="31">
        <f t="shared" si="2768"/>
      </c>
      <c r="R1423" s="31">
        <f t="shared" si="2768"/>
      </c>
      <c r="S1423" s="31">
        <f t="shared" si="2768"/>
      </c>
      <c r="T1423" s="31">
        <f t="shared" si="2768"/>
      </c>
      <c r="U1423" s="31">
        <f t="shared" si="2768"/>
      </c>
      <c r="V1423" s="31">
        <f t="shared" si="2768"/>
      </c>
      <c r="W1423" s="31">
        <f t="shared" si="2768"/>
      </c>
      <c r="X1423" s="313">
        <f t="shared" si="2768"/>
      </c>
      <c r="Y1423" s="31">
        <f t="shared" si="2768"/>
      </c>
      <c r="Z1423" s="31">
        <f t="shared" si="2768"/>
      </c>
      <c r="AA1423" s="31">
        <f t="shared" si="2768"/>
      </c>
      <c r="AB1423" s="31">
        <f t="shared" si="2768"/>
      </c>
      <c r="AC1423" s="313">
        <f t="shared" si="2768"/>
      </c>
      <c r="AD1423" s="31">
        <f t="shared" si="2768"/>
      </c>
      <c r="AE1423" s="31">
        <f t="shared" si="2768"/>
      </c>
      <c r="AF1423" s="31">
        <f t="shared" si="2768"/>
      </c>
      <c r="AG1423" s="31">
        <f t="shared" si="2768"/>
      </c>
      <c r="AH1423" s="313">
        <f t="shared" si="2768"/>
      </c>
      <c r="AI1423" s="28">
        <f t="shared" si="2768"/>
      </c>
      <c r="AJ1423" s="28">
        <f t="shared" si="2768"/>
      </c>
      <c r="AK1423" s="28">
        <f t="shared" si="2768"/>
      </c>
      <c r="AL1423" s="31">
        <f t="shared" si="2768"/>
      </c>
      <c r="AM1423" s="313">
        <f t="shared" si="2768"/>
      </c>
      <c r="AN1423" s="28">
        <f t="shared" si="2768"/>
      </c>
      <c r="AO1423" s="28">
        <f t="shared" si="2768"/>
      </c>
      <c r="AP1423" s="28">
        <f t="shared" si="2768"/>
      </c>
      <c r="AQ1423" s="28">
        <f t="shared" si="2768"/>
      </c>
      <c r="AR1423" s="313">
        <f t="shared" si="2768"/>
      </c>
      <c r="AS1423" s="28">
        <f t="shared" si="2768"/>
      </c>
      <c r="AT1423" s="28">
        <f t="shared" si="2768"/>
      </c>
      <c r="AU1423" s="28">
        <f t="shared" si="2768"/>
      </c>
      <c r="AV1423" s="28">
        <f t="shared" si="2768"/>
      </c>
      <c r="AW1423" s="313">
        <f>+AW1421+AW1422</f>
      </c>
      <c r="AX1423" s="28">
        <f t="shared" ref="AX1423:BF1423" si="2769">+AX1421+AX1422</f>
      </c>
      <c r="AY1423" s="28">
        <f t="shared" si="2769"/>
      </c>
      <c r="AZ1423" s="28">
        <f t="shared" si="2769"/>
      </c>
      <c r="BA1423" s="28">
        <f t="shared" si="2769"/>
      </c>
      <c r="BB1423" s="313">
        <f t="shared" si="2769"/>
      </c>
      <c r="BC1423" s="28">
        <f t="shared" si="2769"/>
      </c>
      <c r="BD1423" s="28">
        <f t="shared" si="2769"/>
      </c>
      <c r="BE1423" s="28">
        <f t="shared" si="2769"/>
      </c>
      <c r="BF1423" s="28">
        <f t="shared" si="2769"/>
      </c>
      <c r="BG1423" s="313">
        <f t="shared" ref="BG1423:BT1423" si="2770">+BG1421+BG1422</f>
      </c>
      <c r="BH1423" s="28">
        <f t="shared" si="2770"/>
      </c>
      <c r="BI1423" s="28">
        <f t="shared" si="2770"/>
      </c>
      <c r="BJ1423" s="28">
        <f t="shared" si="2770"/>
      </c>
      <c r="BK1423" s="28">
        <f t="shared" si="2770"/>
      </c>
      <c r="BL1423" s="313">
        <f>SUM(BH1423:BK1423)</f>
      </c>
      <c r="BM1423" s="28">
        <f>+BM1421+BM1422</f>
      </c>
      <c r="BN1423" s="28">
        <f>+BN1421+BN1422</f>
      </c>
      <c r="BO1423" s="28">
        <f>+BO1421+BO1422</f>
      </c>
      <c r="BP1423" s="28">
        <f>+BP1421+BP1422</f>
      </c>
      <c r="BQ1423" s="313">
        <f>SUM(BM1423:BP1423)</f>
      </c>
      <c r="BR1423" s="28">
        <f t="shared" si="2770"/>
      </c>
      <c r="BS1423" s="28">
        <f>+BS1421+BS1422</f>
      </c>
      <c r="BT1423" s="28">
        <f t="shared" si="2770"/>
      </c>
      <c r="BU1423" s="28">
        <f>+BU1421+BU1422</f>
      </c>
      <c r="BV1423" s="313">
        <f>SUM(BR1423:BU1423)</f>
      </c>
      <c r="BW1423" s="28">
        <f>+BW1421+BW1422</f>
      </c>
      <c r="BX1423" s="28">
        <f>+BX1421+BX1422</f>
      </c>
      <c r="BY1423" s="28">
        <f>+BY1421+BY1422</f>
      </c>
      <c r="BZ1423" s="28">
        <f>+BZ1421+BZ1422</f>
      </c>
      <c r="CA1423" s="313">
        <f>SUM(BW1423:BZ1423)</f>
      </c>
      <c r="CB1423" s="28">
        <f>+CB1421+CB1422</f>
      </c>
      <c r="CC1423" s="28">
        <f>+CC1421+CC1422</f>
      </c>
      <c r="CD1423" s="28">
        <f>+CD1421+CD1422</f>
      </c>
      <c r="CE1423" s="28">
        <f>+CE1421+CE1422</f>
      </c>
      <c r="CF1423" s="312">
        <f>SUM(CB1423:CE1423)</f>
      </c>
      <c r="CG1423" s="28">
        <f>+CG1421+CG1422</f>
      </c>
      <c r="CH1423" s="28">
        <f>+CH1421+CH1422</f>
      </c>
      <c r="CI1423" s="28">
        <f>+CI1421+CI1422</f>
      </c>
      <c r="CJ1423" s="28">
        <f>+CJ1421+CJ1422</f>
      </c>
      <c r="CK1423" s="312">
        <f>SUM(CG1423:CJ1423)</f>
      </c>
      <c r="CL1423" s="28">
        <f>+CL1421+CL1422</f>
      </c>
      <c r="CM1423" s="28">
        <f>+CM1421+CM1422</f>
      </c>
      <c r="CN1423" s="28">
        <f>+CN1421+CN1422</f>
      </c>
      <c r="CO1423" s="28">
        <f>+CO1421+CO1422</f>
      </c>
      <c r="CP1423" s="312">
        <f>SUM(CL1423:CO1423)</f>
      </c>
      <c r="CQ1423" s="933">
        <f>+CQ1421+CQ1422</f>
      </c>
      <c r="CR1423" s="933">
        <f>+CR1421+CR1422</f>
      </c>
      <c r="CS1423" s="933">
        <f>+CS1421+CS1422</f>
      </c>
      <c r="CT1423" s="933">
        <f>+CT1421+CT1422</f>
      </c>
      <c r="CU1423" s="312">
        <f>SUM(CQ1423:CT1423)</f>
      </c>
      <c r="CV1423" s="933">
        <f>+CV1421+CV1422</f>
      </c>
      <c r="CW1423" s="933">
        <f>+CW1421+CW1422</f>
      </c>
      <c r="CX1423" s="933">
        <f>+CX1421+CX1422</f>
      </c>
      <c r="CY1423" s="933">
        <f>+CY1421+CY1422</f>
      </c>
      <c r="CZ1423" s="312">
        <f>SUM(CV1423:CY1423)</f>
      </c>
      <c r="DA1423" s="933">
        <f>+DA1421+DA1422</f>
      </c>
      <c r="DB1423" s="933">
        <f>SUM(DB1421:DB1422)</f>
      </c>
      <c r="DC1423" s="31">
        <f>SUM(DC1421:DC1422)</f>
      </c>
      <c r="DD1423" s="984">
        <f>+DD1421+DD1422</f>
      </c>
      <c r="DE1423" s="1835">
        <f>SUM(DA1423:DD1423)</f>
      </c>
      <c r="DF1423" s="1542">
        <f>SUM(DF1421:DF1422)</f>
      </c>
      <c r="DG1423" s="1542">
        <f>SUM(DG1421:DG1422)</f>
      </c>
      <c r="DH1423" s="1542">
        <f>SUM(DH1421:DH1422)</f>
      </c>
      <c r="DI1423" s="1556">
        <f>+DI1421+DI1422</f>
      </c>
      <c r="DJ1423" s="1835">
        <f>SUM(DF1423:DI1423)</f>
      </c>
      <c r="DK1423" s="1542">
        <f>SUM(DK1421:DK1422)</f>
      </c>
      <c r="DL1423" s="1542">
        <f>SUM(DL1421:DL1422)</f>
      </c>
      <c r="DM1423" s="1542">
        <f>SUM(DM1421:DM1422)</f>
      </c>
      <c r="DN1423" s="1556">
        <f>+DN1421+DN1422</f>
      </c>
      <c r="DO1423" s="1835">
        <f>+DO1421+DO1422</f>
      </c>
      <c r="DP1423" s="1542">
        <f>SUM(DP1421:DP1422)</f>
      </c>
      <c r="DQ1423" s="1542">
        <f>SUM(DQ1421:DQ1422)</f>
      </c>
      <c r="DR1423" s="1542">
        <f>SUM(DR1421:DR1422)</f>
      </c>
      <c r="DS1423" s="1556">
        <f>+DS1421+DS1422</f>
      </c>
      <c r="DT1423" s="1835">
        <f>+DT1421+DT1422</f>
      </c>
      <c r="DU1423" s="1542">
        <f>SUM(DU1421:DU1422)</f>
      </c>
      <c r="DV1423" s="1542">
        <f>SUM(DV1421:DV1422)</f>
      </c>
      <c r="DW1423" s="1542"/>
      <c r="DX1423" s="1556"/>
      <c r="DY1423" s="1835"/>
      <c r="DZ1423" s="1542"/>
      <c r="EA1423" s="1542"/>
      <c r="EB1423" s="1542"/>
      <c r="EC1423" s="1556"/>
      <c r="ED1423" s="1835"/>
      <c r="EE1423" s="1877"/>
      <c r="EF1423" s="1542"/>
      <c r="EG1423" s="1542"/>
      <c r="EH1423" s="1556"/>
      <c r="EI1423" s="1835"/>
      <c r="EJ1423" s="1835"/>
      <c r="EK1423" s="1835"/>
      <c r="EL1423" s="477"/>
      <c r="EM1423" s="477"/>
      <c r="EN1423" s="477"/>
      <c r="EO1423" s="1798"/>
      <c r="EP1423" s="477"/>
      <c r="EQ1423" s="477"/>
      <c r="ER1423" s="477"/>
      <c r="ES1423" s="477"/>
      <c r="ET1423" s="477"/>
      <c r="EU1423" s="477"/>
      <c r="EV1423" s="477"/>
      <c r="EW1423" s="477"/>
      <c r="EX1423" s="477"/>
    </row>
    <row r="1424" spans="2:154" hidden="1" outlineLevel="1">
      <c r="B1424" s="345"/>
      <c r="C1424" s="1989"/>
      <c r="D1424" s="28"/>
      <c r="E1424" s="28"/>
      <c r="F1424" s="28"/>
      <c r="G1424" s="28"/>
      <c r="H1424" s="28"/>
      <c r="I1424" s="31"/>
      <c r="J1424" s="28"/>
      <c r="K1424" s="28"/>
      <c r="L1424" s="28"/>
      <c r="M1424" s="28"/>
      <c r="N1424" s="31"/>
      <c r="O1424" s="31"/>
      <c r="P1424" s="31"/>
      <c r="Q1424" s="31"/>
      <c r="R1424" s="31"/>
      <c r="S1424" s="31"/>
      <c r="T1424" s="31"/>
      <c r="U1424" s="31"/>
      <c r="V1424" s="31"/>
      <c r="W1424" s="31"/>
      <c r="X1424" s="313"/>
      <c r="Y1424" s="31"/>
      <c r="Z1424" s="31"/>
      <c r="AA1424" s="31"/>
      <c r="AB1424" s="31"/>
      <c r="AC1424" s="313"/>
      <c r="AD1424" s="31"/>
      <c r="AE1424" s="31"/>
      <c r="AF1424" s="31"/>
      <c r="AG1424" s="31"/>
      <c r="AH1424" s="313"/>
      <c r="AI1424" s="28"/>
      <c r="AJ1424" s="28"/>
      <c r="AK1424" s="28"/>
      <c r="AL1424" s="31"/>
      <c r="AM1424" s="313"/>
      <c r="AN1424" s="28"/>
      <c r="AO1424" s="28"/>
      <c r="AP1424" s="28"/>
      <c r="AQ1424" s="31"/>
      <c r="AR1424" s="313"/>
      <c r="AS1424" s="28"/>
      <c r="AT1424" s="28"/>
      <c r="AU1424" s="28"/>
      <c r="AV1424" s="31"/>
      <c r="AW1424" s="313"/>
      <c r="AX1424" s="28"/>
      <c r="AY1424" s="28"/>
      <c r="AZ1424" s="28"/>
      <c r="BA1424" s="28"/>
      <c r="BB1424" s="313"/>
      <c r="BC1424" s="28"/>
      <c r="BD1424" s="28"/>
      <c r="BE1424" s="28"/>
      <c r="BF1424" s="28"/>
      <c r="BG1424" s="313"/>
      <c r="BH1424" s="28"/>
      <c r="BI1424" s="28"/>
      <c r="BJ1424" s="28"/>
      <c r="BK1424" s="28"/>
      <c r="BL1424" s="313"/>
      <c r="BM1424" s="28"/>
      <c r="BN1424" s="28"/>
      <c r="BO1424" s="28"/>
      <c r="BP1424" s="28"/>
      <c r="BQ1424" s="313"/>
      <c r="BR1424" s="28"/>
      <c r="BS1424" s="28"/>
      <c r="BT1424" s="28"/>
      <c r="BU1424" s="28"/>
      <c r="BV1424" s="313"/>
      <c r="BW1424" s="28"/>
      <c r="BX1424" s="28"/>
      <c r="BY1424" s="28"/>
      <c r="BZ1424" s="28"/>
      <c r="CA1424" s="313"/>
      <c r="CB1424" s="28"/>
      <c r="CC1424" s="28"/>
      <c r="CD1424" s="28"/>
      <c r="CE1424" s="28"/>
      <c r="CF1424" s="313"/>
      <c r="CG1424" s="28"/>
      <c r="CH1424" s="28"/>
      <c r="CI1424" s="28"/>
      <c r="CJ1424" s="28"/>
      <c r="CK1424" s="313"/>
      <c r="CL1424" s="28"/>
      <c r="CM1424" s="28"/>
      <c r="CN1424" s="28"/>
      <c r="CO1424" s="28"/>
      <c r="CP1424" s="313"/>
      <c r="CQ1424" s="933"/>
      <c r="CR1424" s="933"/>
      <c r="CS1424" s="933"/>
      <c r="CT1424" s="933"/>
      <c r="CU1424" s="313"/>
      <c r="CV1424" s="933"/>
      <c r="CW1424" s="933"/>
      <c r="CX1424" s="933"/>
      <c r="CY1424" s="933"/>
      <c r="CZ1424" s="313"/>
      <c r="DA1424" s="933"/>
      <c r="DB1424" s="31"/>
      <c r="DC1424" s="31"/>
      <c r="DD1424" s="955"/>
      <c r="DE1424" s="477"/>
      <c r="DF1424" s="982"/>
      <c r="DG1424" s="603"/>
      <c r="DH1424" s="603"/>
      <c r="DI1424" s="1798"/>
      <c r="DJ1424" s="477"/>
      <c r="DK1424" s="982"/>
      <c r="DL1424" s="603"/>
      <c r="DM1424" s="603"/>
      <c r="DN1424" s="1798"/>
      <c r="DO1424" s="477"/>
      <c r="DP1424" s="603"/>
      <c r="DQ1424" s="603"/>
      <c r="DR1424" s="603"/>
      <c r="DS1424" s="1798"/>
      <c r="DT1424" s="477"/>
      <c r="DU1424" s="603"/>
      <c r="DV1424" s="603"/>
      <c r="DW1424" s="603"/>
      <c r="DX1424" s="1798"/>
      <c r="DY1424" s="477"/>
      <c r="DZ1424" s="603"/>
      <c r="EA1424" s="603"/>
      <c r="EB1424" s="603"/>
      <c r="EC1424" s="1798"/>
      <c r="ED1424" s="477"/>
      <c r="EE1424" s="1799"/>
      <c r="EF1424" s="603"/>
      <c r="EG1424" s="603"/>
      <c r="EH1424" s="1798"/>
      <c r="EI1424" s="477"/>
      <c r="EJ1424" s="477"/>
      <c r="EK1424" s="477"/>
      <c r="EL1424" s="477"/>
      <c r="EM1424" s="477"/>
      <c r="EN1424" s="477"/>
      <c r="EO1424" s="1798"/>
      <c r="EP1424" s="477"/>
      <c r="EQ1424" s="477"/>
      <c r="ER1424" s="477"/>
      <c r="ES1424" s="477"/>
      <c r="ET1424" s="477"/>
      <c r="EU1424" s="477"/>
      <c r="EV1424" s="477"/>
      <c r="EW1424" s="477"/>
      <c r="EX1424" s="477"/>
    </row>
    <row r="1425" spans="2:154" hidden="1" outlineLevel="1">
      <c r="B1425" s="343" t="s">
        <v>368</v>
      </c>
      <c r="C1425" s="1989"/>
      <c r="D1425" s="28"/>
      <c r="E1425" s="28"/>
      <c r="F1425" s="28"/>
      <c r="G1425" s="28"/>
      <c r="H1425" s="28"/>
      <c r="I1425" s="31"/>
      <c r="J1425" s="28"/>
      <c r="K1425" s="28"/>
      <c r="L1425" s="28"/>
      <c r="M1425" s="28"/>
      <c r="N1425" s="31"/>
      <c r="O1425" s="31"/>
      <c r="P1425" s="31"/>
      <c r="Q1425" s="31"/>
      <c r="R1425" s="31"/>
      <c r="S1425" s="31"/>
      <c r="T1425" s="31"/>
      <c r="U1425" s="31"/>
      <c r="V1425" s="31"/>
      <c r="W1425" s="31"/>
      <c r="X1425" s="313"/>
      <c r="Y1425" s="31"/>
      <c r="Z1425" s="31"/>
      <c r="AA1425" s="31"/>
      <c r="AB1425" s="31"/>
      <c r="AC1425" s="313"/>
      <c r="AD1425" s="31"/>
      <c r="AE1425" s="31"/>
      <c r="AF1425" s="31"/>
      <c r="AG1425" s="31"/>
      <c r="AH1425" s="313"/>
      <c r="AI1425" s="28"/>
      <c r="AJ1425" s="28"/>
      <c r="AK1425" s="28"/>
      <c r="AL1425" s="31"/>
      <c r="AM1425" s="313"/>
      <c r="AN1425" s="28"/>
      <c r="AO1425" s="28"/>
      <c r="AP1425" s="28"/>
      <c r="AQ1425" s="28"/>
      <c r="AR1425" s="313"/>
      <c r="AS1425" s="28"/>
      <c r="AT1425" s="28"/>
      <c r="AU1425" s="28"/>
      <c r="AV1425" s="28"/>
      <c r="AW1425" s="313"/>
      <c r="AX1425" s="28"/>
      <c r="AY1425" s="28"/>
      <c r="AZ1425" s="28"/>
      <c r="BA1425" s="28"/>
      <c r="BB1425" s="313"/>
      <c r="BC1425" s="28"/>
      <c r="BD1425" s="28"/>
      <c r="BE1425" s="28"/>
      <c r="BF1425" s="28"/>
      <c r="BG1425" s="313"/>
      <c r="BH1425" s="28"/>
      <c r="BI1425" s="28"/>
      <c r="BJ1425" s="28"/>
      <c r="BK1425" s="28"/>
      <c r="BL1425" s="313"/>
      <c r="BM1425" s="28"/>
      <c r="BN1425" s="28"/>
      <c r="BO1425" s="28"/>
      <c r="BP1425" s="28"/>
      <c r="BQ1425" s="313"/>
      <c r="BR1425" s="28"/>
      <c r="BS1425" s="28"/>
      <c r="BT1425" s="28"/>
      <c r="BU1425" s="28"/>
      <c r="BV1425" s="313"/>
      <c r="BW1425" s="28"/>
      <c r="BX1425" s="28"/>
      <c r="BY1425" s="28"/>
      <c r="BZ1425" s="28"/>
      <c r="CA1425" s="313"/>
      <c r="CB1425" s="28"/>
      <c r="CC1425" s="28"/>
      <c r="CD1425" s="28"/>
      <c r="CE1425" s="28"/>
      <c r="CF1425" s="313"/>
      <c r="CG1425" s="28"/>
      <c r="CH1425" s="28"/>
      <c r="CI1425" s="28"/>
      <c r="CJ1425" s="28"/>
      <c r="CK1425" s="313"/>
      <c r="CL1425" s="28"/>
      <c r="CM1425" s="28"/>
      <c r="CN1425" s="28"/>
      <c r="CO1425" s="28"/>
      <c r="CP1425" s="313"/>
      <c r="CQ1425" s="933"/>
      <c r="CR1425" s="933"/>
      <c r="CS1425" s="933"/>
      <c r="CT1425" s="933"/>
      <c r="CU1425" s="313"/>
      <c r="CV1425" s="933"/>
      <c r="CW1425" s="933"/>
      <c r="CX1425" s="933"/>
      <c r="CY1425" s="933"/>
      <c r="CZ1425" s="313"/>
      <c r="DA1425" s="933"/>
      <c r="DB1425" s="31"/>
      <c r="DC1425" s="31"/>
      <c r="DD1425" s="955"/>
      <c r="DE1425" s="477"/>
      <c r="DF1425" s="982"/>
      <c r="DG1425" s="603"/>
      <c r="DH1425" s="603"/>
      <c r="DI1425" s="1798"/>
      <c r="DJ1425" s="477"/>
      <c r="DK1425" s="982"/>
      <c r="DL1425" s="603"/>
      <c r="DM1425" s="603"/>
      <c r="DN1425" s="1798"/>
      <c r="DO1425" s="477"/>
      <c r="DP1425" s="603"/>
      <c r="DQ1425" s="603"/>
      <c r="DR1425" s="603"/>
      <c r="DS1425" s="1798"/>
      <c r="DT1425" s="477"/>
      <c r="DU1425" s="603"/>
      <c r="DV1425" s="603"/>
      <c r="DW1425" s="603"/>
      <c r="DX1425" s="1798"/>
      <c r="DY1425" s="477"/>
      <c r="DZ1425" s="603"/>
      <c r="EA1425" s="603"/>
      <c r="EB1425" s="603"/>
      <c r="EC1425" s="1798"/>
      <c r="ED1425" s="477"/>
      <c r="EE1425" s="1799"/>
      <c r="EF1425" s="603"/>
      <c r="EG1425" s="603"/>
      <c r="EH1425" s="1798"/>
      <c r="EI1425" s="477"/>
      <c r="EJ1425" s="477"/>
      <c r="EK1425" s="477"/>
      <c r="EL1425" s="477"/>
      <c r="EM1425" s="477"/>
      <c r="EN1425" s="477"/>
      <c r="EO1425" s="1798"/>
      <c r="EP1425" s="477"/>
      <c r="EQ1425" s="477"/>
      <c r="ER1425" s="477"/>
      <c r="ES1425" s="477"/>
      <c r="ET1425" s="477"/>
      <c r="EU1425" s="477"/>
      <c r="EV1425" s="477"/>
      <c r="EW1425" s="477"/>
      <c r="EX1425" s="477"/>
    </row>
    <row r="1426" spans="2:154" hidden="1" outlineLevel="1">
      <c r="B1426" s="510" t="s">
        <v>187</v>
      </c>
      <c r="C1426" s="1989"/>
      <c r="D1426" s="28"/>
      <c r="E1426" s="28"/>
      <c r="F1426" s="28"/>
      <c r="G1426" s="28"/>
      <c r="H1426" s="28"/>
      <c r="I1426" s="30">
        <f t="shared" ref="I1426:R1427" si="2771">IF(D1421="NM","NM",IF(I1421="NM","NM",IF(D1421&lt;=0,"NM",IF(I1421=0,"NM",IF(ABS(I1421/D1421-1)&gt;2.5,"NM",IF((ABS(I1421-D1421)=ABS(ABS(I1421)-ABS(D1421))),(I1421/D1421-1),"NM"))))))</f>
      </c>
      <c r="J1426" s="30">
        <f t="shared" si="2771"/>
      </c>
      <c r="K1426" s="30">
        <f t="shared" si="2771"/>
      </c>
      <c r="L1426" s="30">
        <f t="shared" si="2771"/>
      </c>
      <c r="M1426" s="30">
        <f t="shared" si="2771"/>
      </c>
      <c r="N1426" s="30">
        <f t="shared" si="2771"/>
      </c>
      <c r="O1426" s="30">
        <f t="shared" si="2771"/>
      </c>
      <c r="P1426" s="30">
        <f t="shared" si="2771"/>
      </c>
      <c r="Q1426" s="30">
        <f t="shared" si="2771"/>
      </c>
      <c r="R1426" s="30">
        <f t="shared" si="2771"/>
      </c>
      <c r="S1426" s="30">
        <f t="shared" ref="S1426:AB1427" si="2772">IF(N1421="NM","NM",IF(S1421="NM","NM",IF(N1421&lt;=0,"NM",IF(S1421=0,"NM",IF(ABS(S1421/N1421-1)&gt;2.5,"NM",IF((ABS(S1421-N1421)=ABS(ABS(S1421)-ABS(N1421))),(S1421/N1421-1),"NM"))))))</f>
      </c>
      <c r="T1426" s="30">
        <f t="shared" si="2772"/>
      </c>
      <c r="U1426" s="30">
        <f t="shared" si="2772"/>
      </c>
      <c r="V1426" s="30">
        <f t="shared" si="2772"/>
      </c>
      <c r="W1426" s="30">
        <f t="shared" si="2772"/>
      </c>
      <c r="X1426" s="308">
        <f t="shared" si="2772"/>
      </c>
      <c r="Y1426" s="30">
        <f t="shared" si="2772"/>
      </c>
      <c r="Z1426" s="30">
        <f t="shared" si="2772"/>
      </c>
      <c r="AA1426" s="30">
        <f t="shared" si="2772"/>
      </c>
      <c r="AB1426" s="30">
        <f t="shared" si="2772"/>
      </c>
      <c r="AC1426" s="308">
        <f t="shared" ref="AC1426:AL1427" si="2773">IF(X1421="NM","NM",IF(AC1421="NM","NM",IF(X1421&lt;=0,"NM",IF(AC1421=0,"NM",IF(ABS(AC1421/X1421-1)&gt;2.5,"NM",IF((ABS(AC1421-X1421)=ABS(ABS(AC1421)-ABS(X1421))),(AC1421/X1421-1),"NM"))))))</f>
      </c>
      <c r="AD1426" s="30">
        <f t="shared" si="2773"/>
      </c>
      <c r="AE1426" s="30">
        <f t="shared" si="2773"/>
      </c>
      <c r="AF1426" s="30">
        <f t="shared" si="2773"/>
      </c>
      <c r="AG1426" s="30">
        <f t="shared" si="2773"/>
      </c>
      <c r="AH1426" s="308">
        <f t="shared" si="2773"/>
      </c>
      <c r="AI1426" s="30">
        <f t="shared" si="2773"/>
      </c>
      <c r="AJ1426" s="30">
        <f t="shared" si="2773"/>
      </c>
      <c r="AK1426" s="30">
        <f t="shared" si="2773"/>
      </c>
      <c r="AL1426" s="30">
        <f t="shared" si="2773"/>
      </c>
      <c r="AM1426" s="308">
        <f t="shared" ref="AM1426:AV1427" si="2774">IF(AH1421="NM","NM",IF(AM1421="NM","NM",IF(AH1421&lt;=0,"NM",IF(AM1421=0,"NM",IF(ABS(AM1421/AH1421-1)&gt;2.5,"NM",IF((ABS(AM1421-AH1421)=ABS(ABS(AM1421)-ABS(AH1421))),(AM1421/AH1421-1),"NM"))))))</f>
      </c>
      <c r="AN1426" s="30">
        <f t="shared" si="2774"/>
      </c>
      <c r="AO1426" s="30">
        <f t="shared" si="2774"/>
      </c>
      <c r="AP1426" s="30">
        <f t="shared" si="2774"/>
      </c>
      <c r="AQ1426" s="30">
        <f t="shared" si="2774"/>
      </c>
      <c r="AR1426" s="308">
        <f t="shared" si="2774"/>
      </c>
      <c r="AS1426" s="30">
        <f t="shared" si="2774"/>
      </c>
      <c r="AT1426" s="30">
        <f t="shared" si="2774"/>
      </c>
      <c r="AU1426" s="30">
        <f t="shared" si="2774"/>
      </c>
      <c r="AV1426" s="30">
        <f t="shared" si="2774"/>
      </c>
      <c r="AW1426" s="308">
        <f t="shared" ref="AW1426:BO1427" si="2775">IF(AR1421="NM","NM",IF(AW1421="NM","NM",IF(AR1421&lt;=0,"NM",IF(AW1421=0,"NM",IF(ABS(AW1421/AR1421-1)&gt;2.5,"NM",IF((ABS(AW1421-AR1421)=ABS(ABS(AW1421)-ABS(AR1421))),(AW1421/AR1421-1),"NM"))))))</f>
      </c>
      <c r="AX1426" s="30">
        <f t="shared" si="2775"/>
      </c>
      <c r="AY1426" s="30">
        <f t="shared" si="2775"/>
      </c>
      <c r="AZ1426" s="30">
        <f t="shared" si="2775"/>
      </c>
      <c r="BA1426" s="30">
        <f t="shared" si="2775"/>
      </c>
      <c r="BB1426" s="308">
        <f t="shared" si="2775"/>
      </c>
      <c r="BC1426" s="30">
        <f t="shared" si="2775"/>
      </c>
      <c r="BD1426" s="30">
        <f t="shared" si="2775"/>
      </c>
      <c r="BE1426" s="30">
        <f t="shared" si="2775"/>
      </c>
      <c r="BF1426" s="30">
        <f t="shared" si="2775"/>
      </c>
      <c r="BG1426" s="308">
        <f>IF(BB1421="NM","NM",IF(BG1421="NM","NM",IF(BB1421&lt;=0,"NM",IF(BG1421=0,"NM",IF(ABS(BG1421/BB1421-1)&gt;2.5,"NM",IF((ABS(BG1421-BB1421)=ABS(ABS(BG1421)-ABS(BB1421))),(BG1421/BB1421-1),"NM"))))))</f>
      </c>
      <c r="BH1426" s="30">
        <f t="shared" si="2775"/>
      </c>
      <c r="BI1426" s="30">
        <f t="shared" si="2775"/>
      </c>
      <c r="BJ1426" s="30">
        <f t="shared" si="2775"/>
      </c>
      <c r="BK1426" s="30">
        <f t="shared" si="2775"/>
      </c>
      <c r="BL1426" s="308">
        <f>IF(BG1421="NM","NM",IF(BL1421="NM","NM",IF(BG1421&lt;=0,"NM",IF(BL1421=0,"NM",IF(ABS(BL1421/BG1421-1)&gt;2.5,"NM",IF((ABS(BL1421-BG1421)=ABS(ABS(BL1421)-ABS(BG1421))),(BL1421/BG1421-1),"NM"))))))</f>
      </c>
      <c r="BM1426" s="30">
        <f t="shared" si="2775"/>
      </c>
      <c r="BN1426" s="30">
        <f t="shared" si="2775"/>
      </c>
      <c r="BO1426" s="30">
        <f t="shared" si="2775"/>
      </c>
      <c r="BP1426" s="30">
        <f t="shared" ref="BP1426:BY1427" si="2776">IF(BK1421="NM","NM",IF(BP1421="NM","NM",IF(BK1421&lt;=0,"NM",IF(BP1421=0,"NM",IF(ABS(BP1421/BK1421-1)&gt;2.5,"NM",IF((ABS(BP1421-BK1421)=ABS(ABS(BP1421)-ABS(BK1421))),(BP1421/BK1421-1),"NM"))))))</f>
      </c>
      <c r="BQ1426" s="308">
        <f t="shared" si="2776"/>
      </c>
      <c r="BR1426" s="30">
        <f t="shared" si="2776"/>
      </c>
      <c r="BS1426" s="30">
        <f t="shared" si="2776"/>
      </c>
      <c r="BT1426" s="30">
        <f t="shared" si="2776"/>
      </c>
      <c r="BU1426" s="30">
        <f>IF(BP1421="NM","NM",IF(BU1421="NM","NM",IF(BP1421&lt;=0,"NM",IF(BU1421=0,"NM",IF(ABS(BU1421/BP1421-1)&gt;2.5,"NM",IF((ABS(BU1421-BP1421)=ABS(ABS(BU1421)-ABS(BP1421))),(BU1421/BP1421-1),"NM"))))))</f>
      </c>
      <c r="BV1426" s="308">
        <f t="shared" si="2776"/>
      </c>
      <c r="BW1426" s="30">
        <f t="shared" si="2776"/>
      </c>
      <c r="BX1426" s="30">
        <f t="shared" si="2776"/>
      </c>
      <c r="BY1426" s="30">
        <f t="shared" si="2776"/>
      </c>
      <c r="BZ1426" s="30">
        <f>IF(BU1421="NM","NM",IF(BZ1421="NM","NM",IF(BU1421&lt;=0,"NM",IF(BZ1421=0,"NM",IF(ABS(BZ1421/BU1421-1)&gt;2.5,"NM",IF((ABS(BZ1421-BU1421)=ABS(ABS(BZ1421)-ABS(BU1421))),(BZ1421/BU1421-1),"NM"))))))</f>
      </c>
      <c r="CA1426" s="315">
        <f>IF(BV1421="NM","NM",IF(CA1421="NM","NM",IF(BV1421&lt;=0,"NM",IF(CA1421=0,"NM",IF(ABS(CA1421/BV1421-1)&gt;2.5,"NM",IF((ABS(CA1421-BV1421)=ABS(ABS(CA1421)-ABS(BV1421))),(CA1421/BV1421-1),"NM"))))))</f>
      </c>
      <c r="CB1426" s="30">
        <f t="shared" ref="CB1426:CD1427" si="2777">IF(BW1421="NM","NM",IF(CB1421="NM","NM",IF(BW1421&lt;=0,"NM",IF(CB1421=0,"NM",IF(ABS(CB1421/BW1421-1)&gt;2.5,"NM",IF((ABS(CB1421-BW1421)=ABS(ABS(CB1421)-ABS(BW1421))),(CB1421/BW1421-1),"NM"))))))</f>
      </c>
      <c r="CC1426" s="30">
        <f t="shared" si="2777"/>
      </c>
      <c r="CD1426" s="30">
        <f t="shared" si="2777"/>
      </c>
      <c r="CE1426" s="30">
        <f>IF(BZ1421="NM","NM",IF(CE1421="NM","NM",IF(BZ1421&lt;=0,"NM",IF(CE1421=0,"NM",IF(ABS(CE1421/BZ1421-1)&gt;2.5,"NM",IF((ABS(CE1421-BZ1421)=ABS(ABS(CE1421)-ABS(BZ1421))),(CE1421/BZ1421-1),"NM"))))))</f>
      </c>
      <c r="CF1426" s="315">
        <f>IF(CA1421="NM","NM",IF(CF1421="NM","NM",IF(CA1421&lt;=0,"NM",IF(CF1421=0,"NM",IF(ABS(CF1421/CA1421-1)&gt;2.5,"NM",IF((ABS(CF1421-CA1421)=ABS(ABS(CF1421)-ABS(CA1421))),(CF1421/CA1421-1),"NM"))))))</f>
      </c>
      <c r="CG1426" s="30">
        <f t="shared" ref="CG1426:CI1427" si="2778">IF(CB1421="NM","NM",IF(CG1421="NM","NM",IF(CB1421&lt;=0,"NM",IF(CG1421=0,"NM",IF(ABS(CG1421/CB1421-1)&gt;2.5,"NM",IF((ABS(CG1421-CB1421)=ABS(ABS(CG1421)-ABS(CB1421))),(CG1421/CB1421-1),"NM"))))))</f>
      </c>
      <c r="CH1426" s="30">
        <f t="shared" si="2778"/>
      </c>
      <c r="CI1426" s="30">
        <f t="shared" si="2778"/>
      </c>
      <c r="CJ1426" s="30">
        <f>IF(CE1421="NM","NM",IF(CJ1421="NM","NM",IF(CE1421&lt;=0,"NM",IF(CJ1421=0,"NM",IF(ABS(CJ1421/CE1421-1)&gt;2.5,"NM",IF((ABS(CJ1421-CE1421)=ABS(ABS(CJ1421)-ABS(CE1421))),(CJ1421/CE1421-1),"NM"))))))</f>
      </c>
      <c r="CK1426" s="308">
        <f>IF(CF1421=0, 0, CK1421/CF1421-1)</f>
      </c>
      <c r="CL1426" s="30">
        <f t="shared" ref="CL1426:CN1427" si="2779">IF(CG1421="NM","NM",IF(CL1421="NM","NM",IF(CG1421&lt;=0,"NM",IF(CL1421=0,"NM",IF(ABS(CL1421/CG1421-1)&gt;2.5,"NM",IF((ABS(CL1421-CG1421)=ABS(ABS(CL1421)-ABS(CG1421))),(CL1421/CG1421-1),"NM"))))))</f>
      </c>
      <c r="CM1426" s="30">
        <f t="shared" si="2779"/>
      </c>
      <c r="CN1426" s="30">
        <f t="shared" si="2779"/>
      </c>
      <c r="CO1426" s="30">
        <f>IF(CJ1421="NM","NM",IF(CO1421="NM","NM",IF(CJ1421&lt;=0,"NM",IF(CO1421=0,"NM",IF(ABS(CO1421/CJ1421-1)&gt;2.5,"NM",IF((ABS(CO1421-CJ1421)=ABS(ABS(CO1421)-ABS(CJ1421))),(CO1421/CJ1421-1),"NM"))))))</f>
      </c>
      <c r="CP1426" s="308">
        <f>IF(CK1421=0, 0, CP1421/CK1421-1)</f>
      </c>
      <c r="CQ1426" s="30">
        <f t="shared" ref="CQ1426:CX1427" si="2780">IF(CL1421="NM","NM",IF(CQ1421="NM","NM",IF(CL1421&lt;=0,"NM",IF(CQ1421=0,"NM",IF(ABS(CQ1421/CL1421-1)&gt;2.5,"NM",IF((ABS(CQ1421-CL1421)=ABS(ABS(CQ1421)-ABS(CL1421))),(CQ1421/CL1421-1),"NM"))))))</f>
      </c>
      <c r="CR1426" s="30">
        <f t="shared" si="2780"/>
      </c>
      <c r="CS1426" s="30">
        <f t="shared" si="2780"/>
      </c>
      <c r="CT1426" s="30">
        <f t="shared" si="2780"/>
      </c>
      <c r="CU1426" s="308">
        <f>IF(CP1421=0, 0, CU1421/CP1421-1)</f>
      </c>
      <c r="CV1426" s="30">
        <f t="shared" si="2780"/>
      </c>
      <c r="CW1426" s="30">
        <f t="shared" si="2780"/>
      </c>
      <c r="CX1426" s="30">
        <f t="shared" si="2780"/>
      </c>
      <c r="CY1426" s="30">
        <f>IF(CT1421="NM","NM",IF(CY1421="NM","NM",IF(CT1421&lt;=0,"NM",IF(CY1421=0,"NM",IF(ABS(CY1421/CT1421-1)&gt;2.5,"NM",IF((ABS(CY1421-CT1421)=ABS(ABS(CY1421)-ABS(CT1421))),(CY1421/CT1421-1),"NM"))))))</f>
      </c>
      <c r="CZ1426" s="308">
        <f>IF(CU1421=0, 0, CZ1421/CU1421-1)</f>
      </c>
      <c r="DA1426" s="30">
        <f t="shared" ref="DA1426:DD1427" si="2781">IF(CV1421="NM","NM",IF(DA1421="NM","NM",IF(CV1421&lt;=0,"NM",IF(DA1421=0,"NM",IF(ABS(DA1421/CV1421-1)&gt;2.5,"NM",IF((ABS(DA1421-CV1421)=ABS(ABS(DA1421)-ABS(CV1421))),(DA1421/CV1421-1),"NM"))))))</f>
      </c>
      <c r="DB1426" s="30">
        <f t="shared" si="2781"/>
      </c>
      <c r="DC1426" s="30">
        <f t="shared" si="2781"/>
      </c>
      <c r="DD1426" s="30">
        <f t="shared" si="2781"/>
      </c>
      <c r="DE1426" s="308">
        <f>IF(CZ1421=0, 0, DE1421/CZ1421-1)</f>
      </c>
      <c r="DF1426" s="926">
        <f t="shared" ref="DF1426:DI1427" si="2782">IF(DA1421="NM","NM",IF(DF1421="NM","NM",IF(DA1421&lt;=0,"NM",IF(DF1421=0,"NM",IF(ABS(DF1421/DA1421-1)&gt;2.5,"NM",IF((ABS(DF1421-DA1421)=ABS(ABS(DF1421)-ABS(DA1421))),(DF1421/DA1421-1),"NM"))))))</f>
      </c>
      <c r="DG1426" s="30">
        <f t="shared" si="2782"/>
      </c>
      <c r="DH1426" s="30">
        <f t="shared" si="2782"/>
      </c>
      <c r="DI1426" s="30">
        <f t="shared" si="2782"/>
      </c>
      <c r="DJ1426" s="308">
        <f>IF(DE1421=0, 0, DJ1421/DE1421-1)</f>
      </c>
      <c r="DK1426" s="926">
        <f t="shared" ref="DK1426:DN1427" si="2783">IF(DF1421="NM","NM",IF(DK1421="NM","NM",IF(DF1421&lt;=0,"NM",IF(DK1421=0,"NM",IF(ABS(DK1421/DF1421-1)&gt;2.5,"NM",IF((ABS(DK1421-DF1421)=ABS(ABS(DK1421)-ABS(DF1421))),(DK1421/DF1421-1),"NM"))))))</f>
      </c>
      <c r="DL1426" s="30">
        <f t="shared" si="2783"/>
      </c>
      <c r="DM1426" s="30">
        <f t="shared" si="2783"/>
      </c>
      <c r="DN1426" s="409">
        <f t="shared" si="2783"/>
      </c>
      <c r="DO1426" s="308">
        <f>IF(DJ1421=0, 0, DO1421/DJ1421-1)</f>
      </c>
      <c r="DP1426" s="926">
        <f t="shared" ref="DP1426:DR1427" si="2784">IF(DK1421="NM","NM",IF(DP1421="NM","NM",IF(DK1421&lt;=0,"NM",IF(DP1421=0,"NM",IF(ABS(DP1421/DK1421-1)&gt;2.5,"NM",IF((ABS(DP1421-DK1421)=ABS(ABS(DP1421)-ABS(DK1421))),(DP1421/DK1421-1),"NM"))))))</f>
      </c>
      <c r="DQ1426" s="926">
        <f t="shared" si="2784"/>
      </c>
      <c r="DR1426" s="926">
        <f t="shared" si="2784"/>
      </c>
      <c r="DS1426" s="928">
        <f>IF(DS1421=0,"NM",+DS1421/DN1421-1)</f>
      </c>
      <c r="DT1426" s="308">
        <f>IF(DO1421=0, 0, DT1421/DO1421-1)</f>
      </c>
      <c r="DU1426" s="926">
        <f>IF(DP1421="NM","NM",IF(DU1421="NM","NM",IF(DP1421&lt;=0,"NM",IF(DU1421=0,"NM",IF(ABS(DU1421/DP1421-1)&gt;2.5,"NM",IF((ABS(DU1421-DP1421)=ABS(ABS(DU1421)-ABS(DP1421))),(DU1421/DP1421-1),"NM"))))))</f>
      </c>
      <c r="DV1426" s="926">
        <f>IF(DQ1421="NM","NM",IF(DV1421="NM","NM",IF(DQ1421&lt;=0,"NM",IF(DV1421=0,"NM",IF(ABS(DV1421/DQ1421-1)&gt;2.5,"NM",IF((ABS(DV1421-DQ1421)=ABS(ABS(DV1421)-ABS(DQ1421))),(DV1421/DQ1421-1),"NM"))))))</f>
      </c>
      <c r="DW1426" s="29"/>
      <c r="DX1426" s="928"/>
      <c r="DY1426" s="836"/>
      <c r="DZ1426" s="29"/>
      <c r="EA1426" s="29"/>
      <c r="EB1426" s="29"/>
      <c r="EC1426" s="928"/>
      <c r="ED1426" s="2773"/>
      <c r="EE1426" s="1955"/>
      <c r="EF1426" s="1955"/>
      <c r="EG1426" s="1955"/>
      <c r="EH1426" s="928"/>
      <c r="EI1426" s="2774"/>
      <c r="EJ1426" s="2774"/>
      <c r="EK1426" s="2774"/>
      <c r="EL1426" s="317"/>
      <c r="EM1426" s="317"/>
      <c r="EN1426" s="317"/>
      <c r="EO1426" s="836"/>
      <c r="EP1426" s="317"/>
      <c r="EQ1426" s="317"/>
      <c r="ER1426" s="317"/>
      <c r="ES1426" s="317"/>
      <c r="ET1426" s="317"/>
      <c r="EU1426" s="317"/>
      <c r="EV1426" s="317"/>
      <c r="EW1426" s="317"/>
      <c r="EX1426" s="317"/>
    </row>
    <row r="1427" spans="2:154" hidden="1" outlineLevel="1">
      <c r="B1427" s="510" t="s">
        <v>412</v>
      </c>
      <c r="C1427" s="1989"/>
      <c r="D1427" s="28"/>
      <c r="E1427" s="28"/>
      <c r="F1427" s="28"/>
      <c r="G1427" s="28"/>
      <c r="H1427" s="28"/>
      <c r="I1427" s="30">
        <f t="shared" si="2771"/>
      </c>
      <c r="J1427" s="30">
        <f t="shared" si="2771"/>
      </c>
      <c r="K1427" s="30">
        <f t="shared" si="2771"/>
      </c>
      <c r="L1427" s="30">
        <f t="shared" si="2771"/>
      </c>
      <c r="M1427" s="30">
        <f t="shared" si="2771"/>
      </c>
      <c r="N1427" s="30">
        <f t="shared" si="2771"/>
      </c>
      <c r="O1427" s="30">
        <f t="shared" si="2771"/>
      </c>
      <c r="P1427" s="30">
        <f t="shared" si="2771"/>
      </c>
      <c r="Q1427" s="30">
        <f t="shared" si="2771"/>
      </c>
      <c r="R1427" s="30">
        <f t="shared" si="2771"/>
      </c>
      <c r="S1427" s="30">
        <f t="shared" si="2772"/>
      </c>
      <c r="T1427" s="30">
        <f t="shared" si="2772"/>
      </c>
      <c r="U1427" s="30">
        <f t="shared" si="2772"/>
      </c>
      <c r="V1427" s="30">
        <f t="shared" si="2772"/>
      </c>
      <c r="W1427" s="30">
        <f t="shared" si="2772"/>
      </c>
      <c r="X1427" s="308">
        <f t="shared" si="2772"/>
      </c>
      <c r="Y1427" s="30">
        <f t="shared" si="2772"/>
      </c>
      <c r="Z1427" s="30">
        <f t="shared" si="2772"/>
      </c>
      <c r="AA1427" s="30">
        <f t="shared" si="2772"/>
      </c>
      <c r="AB1427" s="30">
        <f t="shared" si="2772"/>
      </c>
      <c r="AC1427" s="308">
        <f t="shared" si="2773"/>
      </c>
      <c r="AD1427" s="30">
        <f t="shared" si="2773"/>
      </c>
      <c r="AE1427" s="30">
        <f t="shared" si="2773"/>
      </c>
      <c r="AF1427" s="30">
        <f t="shared" si="2773"/>
      </c>
      <c r="AG1427" s="30">
        <f t="shared" si="2773"/>
      </c>
      <c r="AH1427" s="308">
        <f t="shared" si="2773"/>
      </c>
      <c r="AI1427" s="30">
        <f t="shared" si="2773"/>
      </c>
      <c r="AJ1427" s="30">
        <f t="shared" si="2773"/>
      </c>
      <c r="AK1427" s="30">
        <f t="shared" si="2773"/>
      </c>
      <c r="AL1427" s="30">
        <f t="shared" si="2773"/>
      </c>
      <c r="AM1427" s="308">
        <f t="shared" si="2774"/>
      </c>
      <c r="AN1427" s="30">
        <f t="shared" si="2774"/>
      </c>
      <c r="AO1427" s="30">
        <f t="shared" si="2774"/>
      </c>
      <c r="AP1427" s="30">
        <f t="shared" si="2774"/>
      </c>
      <c r="AQ1427" s="30">
        <f t="shared" si="2774"/>
      </c>
      <c r="AR1427" s="308">
        <f t="shared" si="2774"/>
      </c>
      <c r="AS1427" s="30">
        <f t="shared" si="2774"/>
      </c>
      <c r="AT1427" s="30">
        <f t="shared" si="2774"/>
      </c>
      <c r="AU1427" s="30">
        <f t="shared" si="2774"/>
      </c>
      <c r="AV1427" s="30">
        <f t="shared" si="2774"/>
      </c>
      <c r="AW1427" s="308">
        <f t="shared" si="2775"/>
      </c>
      <c r="AX1427" s="30">
        <f t="shared" si="2775"/>
      </c>
      <c r="AY1427" s="30">
        <f t="shared" si="2775"/>
      </c>
      <c r="AZ1427" s="30">
        <f t="shared" si="2775"/>
      </c>
      <c r="BA1427" s="30">
        <f t="shared" si="2775"/>
      </c>
      <c r="BB1427" s="308">
        <f t="shared" si="2775"/>
      </c>
      <c r="BC1427" s="30">
        <f t="shared" si="2775"/>
      </c>
      <c r="BD1427" s="30">
        <f t="shared" si="2775"/>
      </c>
      <c r="BE1427" s="30">
        <f t="shared" si="2775"/>
      </c>
      <c r="BF1427" s="30">
        <f t="shared" si="2775"/>
      </c>
      <c r="BG1427" s="308">
        <f>IF(BB1422="NM","NM",IF(BG1422="NM","NM",IF(BB1422&lt;=0,"NM",IF(BG1422=0,"NM",IF(ABS(BG1422/BB1422-1)&gt;2.5,"NM",IF((ABS(BG1422-BB1422)=ABS(ABS(BG1422)-ABS(BB1422))),(BG1422/BB1422-1),"NM"))))))</f>
      </c>
      <c r="BH1427" s="30">
        <f t="shared" si="2775"/>
      </c>
      <c r="BI1427" s="30">
        <f t="shared" si="2775"/>
      </c>
      <c r="BJ1427" s="30">
        <f t="shared" si="2775"/>
      </c>
      <c r="BK1427" s="30">
        <f t="shared" si="2775"/>
      </c>
      <c r="BL1427" s="308">
        <f>IF(BG1422="NM","NM",IF(BL1422="NM","NM",IF(BG1422&lt;=0,"NM",IF(BL1422=0,"NM",IF(ABS(BL1422/BG1422-1)&gt;2.5,"NM",IF((ABS(BL1422-BG1422)=ABS(ABS(BL1422)-ABS(BG1422))),(BL1422/BG1422-1),"NM"))))))</f>
      </c>
      <c r="BM1427" s="30">
        <f t="shared" si="2775"/>
      </c>
      <c r="BN1427" s="30">
        <f t="shared" si="2775"/>
      </c>
      <c r="BO1427" s="30">
        <f t="shared" si="2775"/>
      </c>
      <c r="BP1427" s="30">
        <f t="shared" si="2776"/>
      </c>
      <c r="BQ1427" s="308">
        <f t="shared" si="2776"/>
      </c>
      <c r="BR1427" s="30">
        <f t="shared" si="2776"/>
      </c>
      <c r="BS1427" s="30">
        <f t="shared" si="2776"/>
      </c>
      <c r="BT1427" s="30">
        <f t="shared" si="2776"/>
      </c>
      <c r="BU1427" s="30">
        <f>IF(BP1422="NM","NM",IF(BU1422="NM","NM",IF(BP1422&lt;=0,"NM",IF(BU1422=0,"NM",IF(ABS(BU1422/BP1422-1)&gt;2.5,"NM",IF((ABS(BU1422-BP1422)=ABS(ABS(BU1422)-ABS(BP1422))),(BU1422/BP1422-1),"NM"))))))</f>
      </c>
      <c r="BV1427" s="308">
        <f t="shared" si="2776"/>
      </c>
      <c r="BW1427" s="30">
        <f t="shared" si="2776"/>
      </c>
      <c r="BX1427" s="30">
        <f t="shared" si="2776"/>
      </c>
      <c r="BY1427" s="30">
        <f t="shared" si="2776"/>
      </c>
      <c r="BZ1427" s="30">
        <f>IF(BU1422="NM","NM",IF(BZ1422="NM","NM",IF(BU1422&lt;=0,"NM",IF(BZ1422=0,"NM",IF(ABS(BZ1422/BU1422-1)&gt;2.5,"NM",IF((ABS(BZ1422-BU1422)=ABS(ABS(BZ1422)-ABS(BU1422))),(BZ1422/BU1422-1),"NM"))))))</f>
      </c>
      <c r="CA1427" s="308">
        <f>IF(BV1422="NM","NM",IF(CA1422="NM","NM",IF(BV1422&lt;=0,"NM",IF(CA1422=0,"NM",IF(ABS(CA1422/BV1422-1)&gt;2.5,"NM",IF((ABS(CA1422-BV1422)=ABS(ABS(CA1422)-ABS(BV1422))),(CA1422/BV1422-1),"NM"))))))</f>
      </c>
      <c r="CB1427" s="30">
        <f t="shared" si="2777"/>
      </c>
      <c r="CC1427" s="30">
        <f t="shared" si="2777"/>
      </c>
      <c r="CD1427" s="30">
        <f t="shared" si="2777"/>
      </c>
      <c r="CE1427" s="30">
        <f>IF(BZ1422="NM","NM",IF(CE1422="NM","NM",IF(BZ1422&lt;=0,"NM",IF(CE1422=0,"NM",IF(ABS(CE1422/BZ1422-1)&gt;2.5,"NM",IF((ABS(CE1422-BZ1422)=ABS(ABS(CE1422)-ABS(BZ1422))),(CE1422/BZ1422-1),"NM"))))))</f>
      </c>
      <c r="CF1427" s="308">
        <f>IF(CA1422="NM","NM",IF(CF1422="NM","NM",IF(CA1422&lt;=0,"NM",IF(CF1422=0,"NM",IF(ABS(CF1422/CA1422-1)&gt;2.5,"NM",IF((ABS(CF1422-CA1422)=ABS(ABS(CF1422)-ABS(CA1422))),(CF1422/CA1422-1),"NM"))))))</f>
      </c>
      <c r="CG1427" s="30">
        <f t="shared" si="2778"/>
      </c>
      <c r="CH1427" s="30">
        <f t="shared" si="2778"/>
      </c>
      <c r="CI1427" s="30">
        <f t="shared" si="2778"/>
      </c>
      <c r="CJ1427" s="30">
        <f>IF(CE1422="NM","NM",IF(CJ1422="NM","NM",IF(CE1422&lt;=0,"NM",IF(CJ1422=0,"NM",IF(ABS(CJ1422/CE1422-1)&gt;2.5,"NM",IF((ABS(CJ1422-CE1422)=ABS(ABS(CJ1422)-ABS(CE1422))),(CJ1422/CE1422-1),"NM"))))))</f>
      </c>
      <c r="CK1427" s="308">
        <f>IF(CF1422=0, "NA", CK1422/CF1422-1)</f>
      </c>
      <c r="CL1427" s="30">
        <f t="shared" si="2779"/>
      </c>
      <c r="CM1427" s="30">
        <f t="shared" si="2779"/>
      </c>
      <c r="CN1427" s="30">
        <f t="shared" si="2779"/>
      </c>
      <c r="CO1427" s="30">
        <f>IF(CJ1422="NM","NM",IF(CO1422="NM","NM",IF(CJ1422&lt;=0,"NM",IF(CO1422=0,"NM",IF(ABS(CO1422/CJ1422-1)&gt;2.5,"NM",IF((ABS(CO1422-CJ1422)=ABS(ABS(CO1422)-ABS(CJ1422))),(CO1422/CJ1422-1),"NM"))))))</f>
      </c>
      <c r="CP1427" s="308">
        <f>IF(CK1422=0, "NA", CP1422/CK1422-1)</f>
      </c>
      <c r="CQ1427" s="30">
        <f t="shared" si="2780"/>
      </c>
      <c r="CR1427" s="30">
        <f t="shared" si="2780"/>
      </c>
      <c r="CS1427" s="30">
        <f t="shared" si="2780"/>
      </c>
      <c r="CT1427" s="30">
        <f t="shared" si="2780"/>
      </c>
      <c r="CU1427" s="308">
        <f>IF(CP1422=0, "NA", CU1422/CP1422-1)</f>
      </c>
      <c r="CV1427" s="30">
        <f t="shared" si="2780"/>
      </c>
      <c r="CW1427" s="30">
        <f t="shared" si="2780"/>
      </c>
      <c r="CX1427" s="30">
        <f t="shared" si="2780"/>
      </c>
      <c r="CY1427" s="30">
        <f>IF(CT1422="NM","NM",IF(CY1422="NM","NM",IF(CT1422&lt;=0,"NM",IF(CY1422=0,"NM",IF(ABS(CY1422/CT1422-1)&gt;2.5,"NM",IF((ABS(CY1422-CT1422)=ABS(ABS(CY1422)-ABS(CT1422))),(CY1422/CT1422-1),"NM"))))))</f>
      </c>
      <c r="CZ1427" s="308">
        <f>IF(CU1422=0, "NA", CZ1422/CU1422-1)</f>
      </c>
      <c r="DA1427" s="30">
        <f t="shared" si="2781"/>
      </c>
      <c r="DB1427" s="30">
        <f t="shared" si="2781"/>
      </c>
      <c r="DC1427" s="30">
        <f t="shared" si="2781"/>
      </c>
      <c r="DD1427" s="30">
        <f t="shared" si="2781"/>
      </c>
      <c r="DE1427" s="308">
        <f>IF(CZ1422=0, "NA", DE1422/CZ1422-1)</f>
      </c>
      <c r="DF1427" s="926">
        <f t="shared" si="2782"/>
      </c>
      <c r="DG1427" s="30">
        <f t="shared" si="2782"/>
      </c>
      <c r="DH1427" s="30">
        <f t="shared" si="2782"/>
      </c>
      <c r="DI1427" s="30">
        <f t="shared" si="2782"/>
      </c>
      <c r="DJ1427" s="308">
        <f>IF(DE1422=0, "NA", DJ1422/DE1422-1)</f>
      </c>
      <c r="DK1427" s="926">
        <f t="shared" si="2783"/>
      </c>
      <c r="DL1427" s="30">
        <f t="shared" si="2783"/>
      </c>
      <c r="DM1427" s="30">
        <f t="shared" si="2783"/>
      </c>
      <c r="DN1427" s="30">
        <f t="shared" si="2783"/>
      </c>
      <c r="DO1427" s="308">
        <f>IF(DJ1422=0, "NA", DO1422/DJ1422-1)</f>
      </c>
      <c r="DP1427" s="926">
        <f t="shared" si="2784"/>
      </c>
      <c r="DQ1427" s="926">
        <f t="shared" si="2784"/>
      </c>
      <c r="DR1427" s="926">
        <f t="shared" si="2784"/>
      </c>
      <c r="DS1427" s="928">
        <f>IF(DS1422=0, "NM", DS1422/DN1422-1)</f>
      </c>
      <c r="DT1427" s="308">
        <f>IF(DO1422=0, "NA", DT1422/DO1422-1)</f>
      </c>
      <c r="DU1427" s="926">
        <f>IF(DP1422="NM","NM",IF(DU1422="NM","NM",IF(DP1422&lt;=0,"NM",IF(DU1422=0,"NM",IF(ABS(DU1422/DP1422-1)&gt;2.5,"NM",IF((ABS(DU1422-DP1422)=ABS(ABS(DU1422)-ABS(DP1422))),(DU1422/DP1422-1),"NM"))))))</f>
      </c>
      <c r="DV1427" s="926">
        <f>IF(DQ1422="NM","NM",IF(DV1422="NM","NM",IF(DQ1422&lt;=0,"NM",IF(DV1422=0,"NM",IF(ABS(DV1422/DQ1422-1)&gt;2.5,"NM",IF((ABS(DV1422-DQ1422)=ABS(ABS(DV1422)-ABS(DQ1422))),(DV1422/DQ1422-1),"NM"))))))</f>
      </c>
      <c r="DW1427" s="926"/>
      <c r="DX1427" s="928"/>
      <c r="DY1427" s="1060"/>
      <c r="DZ1427" s="926"/>
      <c r="EA1427" s="926"/>
      <c r="EB1427" s="926"/>
      <c r="EC1427" s="928"/>
      <c r="ED1427" s="1060"/>
      <c r="EE1427" s="958"/>
      <c r="EF1427" s="926"/>
      <c r="EG1427" s="926"/>
      <c r="EH1427" s="928"/>
      <c r="EI1427" s="1060"/>
      <c r="EJ1427" s="1060"/>
      <c r="EK1427" s="1060"/>
      <c r="EL1427" s="308"/>
      <c r="EM1427" s="308"/>
      <c r="EN1427" s="308"/>
      <c r="EO1427" s="409"/>
      <c r="EP1427" s="308"/>
      <c r="EQ1427" s="308"/>
      <c r="ER1427" s="308"/>
      <c r="ES1427" s="308"/>
      <c r="ET1427" s="308"/>
      <c r="EU1427" s="308"/>
      <c r="EV1427" s="308"/>
      <c r="EW1427" s="308"/>
      <c r="EX1427" s="308"/>
    </row>
    <row r="1428" spans="2:154" hidden="1" outlineLevel="1">
      <c r="B1428" s="510" t="s">
        <v>256</v>
      </c>
      <c r="C1428" s="1989"/>
      <c r="D1428" s="28"/>
      <c r="E1428" s="28"/>
      <c r="F1428" s="28"/>
      <c r="G1428" s="28"/>
      <c r="H1428" s="28"/>
      <c r="I1428" s="24"/>
      <c r="J1428" s="1"/>
      <c r="K1428" s="1"/>
      <c r="L1428" s="1"/>
      <c r="M1428" s="1"/>
      <c r="N1428" s="24"/>
      <c r="O1428" s="24"/>
      <c r="P1428" s="24"/>
      <c r="Q1428" s="24"/>
      <c r="R1428" s="24"/>
      <c r="S1428" s="1"/>
      <c r="T1428" s="24"/>
      <c r="U1428" s="24"/>
      <c r="V1428" s="24"/>
      <c r="W1428" s="24"/>
      <c r="X1428" s="315"/>
      <c r="Y1428" s="24"/>
      <c r="Z1428" s="24"/>
      <c r="AA1428" s="24"/>
      <c r="AB1428" s="24"/>
      <c r="AC1428" s="315"/>
      <c r="AD1428" s="24"/>
      <c r="AE1428" s="24"/>
      <c r="AF1428" s="24"/>
      <c r="AG1428" s="24"/>
      <c r="AH1428" s="315"/>
      <c r="AI1428" s="8">
        <f t="shared" ref="AI1428:BM1428" si="2785">IF(ISNUMBER(AI1427),(1+AI1427)/(1+AI$21)-1,"NM")</f>
      </c>
      <c r="AJ1428" s="8">
        <f t="shared" si="2785"/>
      </c>
      <c r="AK1428" s="8">
        <f t="shared" si="2785"/>
      </c>
      <c r="AL1428" s="43">
        <f t="shared" si="2785"/>
      </c>
      <c r="AM1428" s="315">
        <f t="shared" si="2785"/>
      </c>
      <c r="AN1428" s="8">
        <f t="shared" si="2785"/>
      </c>
      <c r="AO1428" s="8">
        <f t="shared" si="2785"/>
      </c>
      <c r="AP1428" s="8">
        <f t="shared" si="2785"/>
      </c>
      <c r="AQ1428" s="43">
        <f t="shared" si="2785"/>
      </c>
      <c r="AR1428" s="315">
        <f t="shared" si="2785"/>
      </c>
      <c r="AS1428" s="8">
        <f t="shared" si="2785"/>
      </c>
      <c r="AT1428" s="8">
        <f t="shared" si="2785"/>
      </c>
      <c r="AU1428" s="8">
        <f t="shared" si="2785"/>
      </c>
      <c r="AV1428" s="43">
        <f t="shared" si="2785"/>
      </c>
      <c r="AW1428" s="315">
        <f t="shared" si="2785"/>
      </c>
      <c r="AX1428" s="8">
        <f t="shared" si="2785"/>
      </c>
      <c r="AY1428" s="8">
        <f t="shared" si="2785"/>
      </c>
      <c r="AZ1428" s="8">
        <f t="shared" si="2785"/>
      </c>
      <c r="BA1428" s="8">
        <f t="shared" si="2785"/>
      </c>
      <c r="BB1428" s="315">
        <f t="shared" si="2785"/>
      </c>
      <c r="BC1428" s="8">
        <f t="shared" si="2785"/>
      </c>
      <c r="BD1428" s="8">
        <f t="shared" si="2785"/>
      </c>
      <c r="BE1428" s="8">
        <f t="shared" si="2785"/>
      </c>
      <c r="BF1428" s="8">
        <f t="shared" si="2785"/>
      </c>
      <c r="BG1428" s="309">
        <f t="shared" si="2785"/>
      </c>
      <c r="BH1428" s="8">
        <f t="shared" si="2785"/>
      </c>
      <c r="BI1428" s="8">
        <f t="shared" si="2785"/>
      </c>
      <c r="BJ1428" s="8">
        <f t="shared" si="2785"/>
      </c>
      <c r="BK1428" s="8">
        <f t="shared" si="2785"/>
      </c>
      <c r="BL1428" s="315">
        <f t="shared" si="2785"/>
      </c>
      <c r="BM1428" s="407">
        <f t="shared" si="2785"/>
      </c>
      <c r="BN1428" s="407">
        <v>4.2999999999999997E-2</v>
      </c>
      <c r="BO1428" s="407">
        <v>8.4000000000000005E-2</v>
      </c>
      <c r="BP1428" s="649">
        <v>1.2999999999999999E-2</v>
      </c>
      <c r="BQ1428" s="406">
        <v>0.03</v>
      </c>
      <c r="BR1428" s="407">
        <v>4.2999999999999997E-2</v>
      </c>
      <c r="BS1428" s="407">
        <v>-3.0000000000000001E-3</v>
      </c>
      <c r="BT1428" s="407">
        <v>-2.1999999999999999E-2</v>
      </c>
      <c r="BU1428" s="649">
        <v>-3.4000000000000002E-2</v>
      </c>
      <c r="BV1428" s="406">
        <v>-0.02</v>
      </c>
      <c r="BW1428" s="407">
        <v>-4.0000000000000001E-3</v>
      </c>
      <c r="BX1428" s="407">
        <v>0.01</v>
      </c>
      <c r="BY1428" s="407">
        <v>2.1000000000000001E-2</v>
      </c>
      <c r="BZ1428" s="836">
        <v>7.3999999999999996E-2</v>
      </c>
      <c r="CA1428" s="448">
        <v>2.5999999999999999E-2</v>
      </c>
      <c r="CB1428" s="29">
        <v>4.4999999999999998E-2</v>
      </c>
      <c r="CC1428" s="407">
        <v>4.2000000000000003E-2</v>
      </c>
      <c r="CD1428" s="407">
        <v>8.0000000000000002E-3</v>
      </c>
      <c r="CE1428" s="836">
        <v>-3.6999999999999998E-2</v>
      </c>
      <c r="CF1428" s="448">
        <v>1.2E-2</v>
      </c>
      <c r="CG1428" s="29">
        <v>1.4999999999999999E-2</v>
      </c>
      <c r="CH1428" s="29">
        <v>1.2E-2</v>
      </c>
      <c r="CI1428" s="29">
        <v>-2.3E-2</v>
      </c>
      <c r="CJ1428" s="29">
        <v>4.5999999999999999E-2</v>
      </c>
      <c r="CK1428" s="315">
        <f>CK1427-CK$21</f>
      </c>
      <c r="CL1428" s="29">
        <v>-7.0000000000000001E-3</v>
      </c>
      <c r="CM1428" s="29">
        <v>3.5000000000000003E-2</v>
      </c>
      <c r="CN1428" s="29">
        <v>5.2999999999999999E-2</v>
      </c>
      <c r="CO1428" s="29">
        <v>6.7000000000000004E-2</v>
      </c>
      <c r="CP1428" s="315">
        <f>CP1427-CP$21</f>
      </c>
      <c r="CQ1428" s="29">
        <v>0.05</v>
      </c>
      <c r="CR1428" s="29">
        <v>3.1E-2</v>
      </c>
      <c r="CS1428" s="407">
        <v>0.08</v>
      </c>
      <c r="CT1428" s="407">
        <v>0.02</v>
      </c>
      <c r="CU1428" s="315">
        <f>CU1427-CU$21</f>
      </c>
      <c r="CV1428" s="29">
        <v>6.2E-2</v>
      </c>
      <c r="CW1428" s="29">
        <v>7.2999999999999995E-2</v>
      </c>
      <c r="CX1428" s="29">
        <v>9.1999999999999998E-2</v>
      </c>
      <c r="CY1428" s="407">
        <v>2.4E-2</v>
      </c>
      <c r="CZ1428" s="315">
        <f>CZ1427-CZ$21</f>
      </c>
      <c r="DA1428" s="29">
        <v>0.13100000000000001</v>
      </c>
      <c r="DB1428" s="29">
        <v>0.19500000000000001</v>
      </c>
      <c r="DC1428" s="361">
        <v>0.13500000000000001</v>
      </c>
      <c r="DD1428" s="1479">
        <v>0.156</v>
      </c>
      <c r="DE1428" s="308">
        <f>DE1427-DE$21</f>
      </c>
      <c r="DF1428" s="1208">
        <v>0.08</v>
      </c>
      <c r="DG1428" s="1109">
        <v>0.08</v>
      </c>
      <c r="DH1428" s="1109">
        <v>0.06</v>
      </c>
      <c r="DI1428" s="927">
        <f>IF(DI1422=0, "NM",DI1427-DI$21)</f>
      </c>
      <c r="DJ1428" s="308">
        <f>DJ1427-DJ$21</f>
      </c>
      <c r="DK1428" s="1208">
        <v>0.08</v>
      </c>
      <c r="DL1428" s="1109">
        <v>0.08</v>
      </c>
      <c r="DM1428" s="1109">
        <v>0.08</v>
      </c>
      <c r="DN1428" s="927">
        <f>IF(DN1422=0, "NM",DN1427-DN$21)</f>
      </c>
      <c r="DO1428" s="308">
        <f>DO1427-DO$21</f>
      </c>
      <c r="DP1428" s="926">
        <f>DP1427-DP$21</f>
      </c>
      <c r="DQ1428" s="2185">
        <f>DQ1427-DQ$21</f>
      </c>
      <c r="DR1428" s="2185">
        <f>DR1427-DR$21</f>
      </c>
      <c r="DS1428" s="928">
        <f>IF(DS1422=0, "NM",DS1427-DS$21)</f>
      </c>
      <c r="DT1428" s="308">
        <f>DT1427-DT$21</f>
      </c>
      <c r="DU1428" s="926">
        <f>DU1427-(-7.3%)</f>
      </c>
      <c r="DV1428" s="926">
        <f>DV1427-(-3.3%)</f>
      </c>
      <c r="DW1428" s="1741"/>
      <c r="DX1428" s="928"/>
      <c r="DY1428" s="317"/>
      <c r="DZ1428" s="1741"/>
      <c r="EA1428" s="1741"/>
      <c r="EB1428" s="1741"/>
      <c r="EC1428" s="928"/>
      <c r="ED1428" s="2773"/>
      <c r="EE1428" s="1955"/>
      <c r="EF1428" s="1955"/>
      <c r="EG1428" s="1955"/>
      <c r="EH1428" s="928"/>
      <c r="EI1428" s="2774"/>
      <c r="EJ1428" s="2774"/>
      <c r="EK1428" s="2774"/>
      <c r="EL1428" s="317"/>
      <c r="EM1428" s="317"/>
      <c r="EN1428" s="317"/>
      <c r="EO1428" s="836"/>
      <c r="EP1428" s="317"/>
      <c r="EQ1428" s="317"/>
      <c r="ER1428" s="317"/>
      <c r="ES1428" s="317"/>
      <c r="ET1428" s="317"/>
      <c r="EU1428" s="317"/>
      <c r="EV1428" s="317"/>
      <c r="EW1428" s="317"/>
      <c r="EX1428" s="317"/>
    </row>
    <row r="1429" spans="2:154" hidden="1" outlineLevel="1">
      <c r="B1429" s="510" t="s">
        <v>413</v>
      </c>
      <c r="C1429" s="1989"/>
      <c r="D1429" s="28"/>
      <c r="E1429" s="28"/>
      <c r="F1429" s="28"/>
      <c r="G1429" s="28"/>
      <c r="H1429" s="28"/>
      <c r="I1429" s="30">
        <f t="shared" ref="I1429:AN1429" si="2786">IF(D1423="NM","NM",IF(I1423="NM","NM",IF(D1423&lt;=0,"NM",IF(I1423=0,"NM",IF(ABS(I1423/D1423-1)&gt;2.5,"NM",IF((ABS(I1423-D1423)=ABS(ABS(I1423)-ABS(D1423))),(I1423/D1423-1),"NM"))))))</f>
      </c>
      <c r="J1429" s="30">
        <f t="shared" si="2786"/>
      </c>
      <c r="K1429" s="30">
        <f t="shared" si="2786"/>
      </c>
      <c r="L1429" s="30">
        <f t="shared" si="2786"/>
      </c>
      <c r="M1429" s="30">
        <f t="shared" si="2786"/>
      </c>
      <c r="N1429" s="30">
        <f t="shared" si="2786"/>
      </c>
      <c r="O1429" s="30">
        <f t="shared" si="2786"/>
      </c>
      <c r="P1429" s="30">
        <f t="shared" si="2786"/>
      </c>
      <c r="Q1429" s="30">
        <f t="shared" si="2786"/>
      </c>
      <c r="R1429" s="30">
        <f t="shared" si="2786"/>
      </c>
      <c r="S1429" s="30">
        <f t="shared" si="2786"/>
      </c>
      <c r="T1429" s="30">
        <f t="shared" si="2786"/>
      </c>
      <c r="U1429" s="30">
        <f t="shared" si="2786"/>
      </c>
      <c r="V1429" s="30">
        <f t="shared" si="2786"/>
      </c>
      <c r="W1429" s="30">
        <f t="shared" si="2786"/>
      </c>
      <c r="X1429" s="308">
        <f t="shared" si="2786"/>
      </c>
      <c r="Y1429" s="30">
        <f t="shared" si="2786"/>
      </c>
      <c r="Z1429" s="30">
        <f t="shared" si="2786"/>
      </c>
      <c r="AA1429" s="30">
        <f t="shared" si="2786"/>
      </c>
      <c r="AB1429" s="30">
        <f t="shared" si="2786"/>
      </c>
      <c r="AC1429" s="308">
        <f t="shared" si="2786"/>
      </c>
      <c r="AD1429" s="30">
        <f t="shared" si="2786"/>
      </c>
      <c r="AE1429" s="30">
        <f t="shared" si="2786"/>
      </c>
      <c r="AF1429" s="30">
        <f t="shared" si="2786"/>
      </c>
      <c r="AG1429" s="30">
        <f t="shared" si="2786"/>
      </c>
      <c r="AH1429" s="308">
        <f t="shared" si="2786"/>
      </c>
      <c r="AI1429" s="30">
        <f t="shared" si="2786"/>
      </c>
      <c r="AJ1429" s="30">
        <f t="shared" si="2786"/>
      </c>
      <c r="AK1429" s="30">
        <f t="shared" si="2786"/>
      </c>
      <c r="AL1429" s="30">
        <f t="shared" si="2786"/>
      </c>
      <c r="AM1429" s="308">
        <f t="shared" si="2786"/>
      </c>
      <c r="AN1429" s="30">
        <f t="shared" si="2786"/>
      </c>
      <c r="AO1429" s="30">
        <f t="shared" ref="AO1429:BH1429" si="2787">IF(AJ1423="NM","NM",IF(AO1423="NM","NM",IF(AJ1423&lt;=0,"NM",IF(AO1423=0,"NM",IF(ABS(AO1423/AJ1423-1)&gt;2.5,"NM",IF((ABS(AO1423-AJ1423)=ABS(ABS(AO1423)-ABS(AJ1423))),(AO1423/AJ1423-1),"NM"))))))</f>
      </c>
      <c r="AP1429" s="30">
        <f t="shared" si="2787"/>
      </c>
      <c r="AQ1429" s="30">
        <f t="shared" si="2787"/>
      </c>
      <c r="AR1429" s="308">
        <f t="shared" si="2787"/>
      </c>
      <c r="AS1429" s="30">
        <f t="shared" si="2787"/>
      </c>
      <c r="AT1429" s="30">
        <f t="shared" si="2787"/>
      </c>
      <c r="AU1429" s="30">
        <f t="shared" si="2787"/>
      </c>
      <c r="AV1429" s="30">
        <f t="shared" si="2787"/>
      </c>
      <c r="AW1429" s="308">
        <f t="shared" si="2787"/>
      </c>
      <c r="AX1429" s="30">
        <f t="shared" si="2787"/>
      </c>
      <c r="AY1429" s="30">
        <f t="shared" si="2787"/>
      </c>
      <c r="AZ1429" s="30">
        <f t="shared" si="2787"/>
      </c>
      <c r="BA1429" s="30">
        <f t="shared" si="2787"/>
      </c>
      <c r="BB1429" s="308">
        <f t="shared" si="2787"/>
      </c>
      <c r="BC1429" s="30">
        <f t="shared" si="2787"/>
      </c>
      <c r="BD1429" s="30">
        <f t="shared" si="2787"/>
      </c>
      <c r="BE1429" s="30">
        <f t="shared" si="2787"/>
      </c>
      <c r="BF1429" s="30">
        <f t="shared" si="2787"/>
      </c>
      <c r="BG1429" s="308">
        <f t="shared" si="2787"/>
      </c>
      <c r="BH1429" s="30">
        <f t="shared" si="2787"/>
      </c>
      <c r="BI1429" s="30">
        <f t="shared" ref="BI1429:BR1429" si="2788">IF(BD1423="NM","NM",IF(BI1423="NM","NM",IF(BD1423&lt;=0,"NM",IF(BI1423=0,"NM",IF(ABS(BI1423/BD1423-1)&gt;2.5,"NM",IF((ABS(BI1423-BD1423)=ABS(ABS(BI1423)-ABS(BD1423))),(BI1423/BD1423-1),"NM"))))))</f>
      </c>
      <c r="BJ1429" s="30">
        <f t="shared" si="2788"/>
      </c>
      <c r="BK1429" s="30">
        <f t="shared" si="2788"/>
      </c>
      <c r="BL1429" s="308">
        <f t="shared" si="2788"/>
      </c>
      <c r="BM1429" s="30">
        <f t="shared" si="2788"/>
      </c>
      <c r="BN1429" s="30">
        <f t="shared" si="2788"/>
      </c>
      <c r="BO1429" s="30">
        <f t="shared" si="2788"/>
      </c>
      <c r="BP1429" s="30">
        <f t="shared" si="2788"/>
      </c>
      <c r="BQ1429" s="308">
        <f t="shared" si="2788"/>
      </c>
      <c r="BR1429" s="30">
        <f t="shared" si="2788"/>
      </c>
      <c r="BS1429" s="30">
        <f t="shared" ref="BS1429:CI1429" si="2789">IF(BN1423="NM","NM",IF(BS1423="NM","NM",IF(BN1423&lt;=0,"NM",IF(BS1423=0,"NM",IF(ABS(BS1423/BN1423-1)&gt;2.5,"NM",IF((ABS(BS1423-BN1423)=ABS(ABS(BS1423)-ABS(BN1423))),(BS1423/BN1423-1),"NM"))))))</f>
      </c>
      <c r="BT1429" s="30">
        <f t="shared" si="2789"/>
      </c>
      <c r="BU1429" s="30">
        <f t="shared" si="2789"/>
      </c>
      <c r="BV1429" s="308">
        <f t="shared" si="2789"/>
      </c>
      <c r="BW1429" s="30">
        <f t="shared" si="2789"/>
      </c>
      <c r="BX1429" s="30">
        <f t="shared" si="2789"/>
      </c>
      <c r="BY1429" s="30">
        <f t="shared" si="2789"/>
      </c>
      <c r="BZ1429" s="30">
        <f t="shared" si="2789"/>
      </c>
      <c r="CA1429" s="308">
        <f t="shared" si="2789"/>
      </c>
      <c r="CB1429" s="30">
        <f t="shared" si="2789"/>
      </c>
      <c r="CC1429" s="30">
        <f t="shared" si="2789"/>
      </c>
      <c r="CD1429" s="30">
        <f t="shared" si="2789"/>
      </c>
      <c r="CE1429" s="30">
        <f t="shared" si="2789"/>
      </c>
      <c r="CF1429" s="308">
        <f t="shared" si="2789"/>
      </c>
      <c r="CG1429" s="30">
        <f t="shared" si="2789"/>
      </c>
      <c r="CH1429" s="30">
        <f t="shared" si="2789"/>
      </c>
      <c r="CI1429" s="30">
        <f t="shared" si="2789"/>
      </c>
      <c r="CJ1429" s="30">
        <f>IF(CJ1423&lt;=0,0,(CJ1423/CE1423-1))</f>
      </c>
      <c r="CK1429" s="308">
        <f>IF(CF1423=0, "NA", CK1423/CF1423-1)</f>
      </c>
      <c r="CL1429" s="30">
        <f>IF(CG1423="NM","NM",IF(CL1423="NM","NM",IF(CG1423&lt;=0,"NM",IF(CL1423=0,"NM",IF(ABS(CL1423/CG1423-1)&gt;2.5,"NM",IF((ABS(CL1423-CG1423)=ABS(ABS(CL1423)-ABS(CG1423))),(CL1423/CG1423-1),"NM"))))))</f>
      </c>
      <c r="CM1429" s="30">
        <f>IF(CH1423="NM","NM",IF(CM1423="NM","NM",IF(CH1423&lt;=0,"NM",IF(CM1423=0,"NM",IF(ABS(CM1423/CH1423-1)&gt;2.5,"NM",IF((ABS(CM1423-CH1423)=ABS(ABS(CM1423)-ABS(CH1423))),(CM1423/CH1423-1),"NM"))))))</f>
      </c>
      <c r="CN1429" s="30">
        <f>IF(CI1423="NM","NM",IF(CN1423="NM","NM",IF(CI1423&lt;=0,"NM",IF(CN1423=0,"NM",IF(ABS(CN1423/CI1423-1)&gt;2.5,"NM",IF((ABS(CN1423-CI1423)=ABS(ABS(CN1423)-ABS(CI1423))),(CN1423/CI1423-1),"NM"))))))</f>
      </c>
      <c r="CO1429" s="30">
        <f>IF(CO1423&lt;=0,0,(CO1423/CJ1423-1))</f>
      </c>
      <c r="CP1429" s="308">
        <f>IF(CK1423=0, "NA", CP1423/CK1423-1)</f>
      </c>
      <c r="CQ1429" s="30">
        <f>IF(CL1423="NM","NM",IF(CQ1423="NM","NM",IF(CL1423&lt;=0,"NM",IF(CQ1423=0,"NM",IF(ABS(CQ1423/CL1423-1)&gt;2.5,"NM",IF((ABS(CQ1423-CL1423)=ABS(ABS(CQ1423)-ABS(CL1423))),(CQ1423/CL1423-1),"NM"))))))</f>
      </c>
      <c r="CR1429" s="30">
        <f>IF(CM1423="NM","NM",IF(CR1423="NM","NM",IF(CM1423&lt;=0,"NM",IF(CR1423=0,"NM",IF(ABS(CR1423/CM1423-1)&gt;2.5,"NM",IF((ABS(CR1423-CM1423)=ABS(ABS(CR1423)-ABS(CM1423))),(CR1423/CM1423-1),"NM"))))))</f>
      </c>
      <c r="CS1429" s="30">
        <f>IF(CN1423="NM","NM",IF(CS1423="NM","NM",IF(CN1423&lt;=0,"NM",IF(CS1423=0,"NM",IF(ABS(CS1423/CN1423-1)&gt;2.5,"NM",IF((ABS(CS1423-CN1423)=ABS(ABS(CS1423)-ABS(CN1423))),(CS1423/CN1423-1),"NM"))))))</f>
      </c>
      <c r="CT1429" s="30">
        <f>IF(CO1423="NM","NM",IF(CT1423="NM","NM",IF(CO1423&lt;=0,"NM",IF(CT1423=0,"NM",IF(ABS(CT1423/CO1423-1)&gt;2.5,"NM",IF((ABS(CT1423-CO1423)=ABS(ABS(CT1423)-ABS(CO1423))),(CT1423/CO1423-1),"NM"))))))</f>
      </c>
      <c r="CU1429" s="308">
        <f>IF(CP1423=0, "NA", CU1423/CP1423-1)</f>
      </c>
      <c r="CV1429" s="30">
        <f>IF(CQ1423="NM","NM",IF(CV1423="NM","NM",IF(CQ1423&lt;=0,"NM",IF(CV1423=0,"NM",IF(ABS(CV1423/CQ1423-1)&gt;2.5,"NM",IF((ABS(CV1423-CQ1423)=ABS(ABS(CV1423)-ABS(CQ1423))),(CV1423/CQ1423-1),"NM"))))))</f>
      </c>
      <c r="CW1429" s="30">
        <f>IF(CR1423="NM","NM",IF(CW1423="NM","NM",IF(CR1423&lt;=0,"NM",IF(CW1423=0,"NM",IF(ABS(CW1423/CR1423-1)&gt;2.5,"NM",IF((ABS(CW1423-CR1423)=ABS(ABS(CW1423)-ABS(CR1423))),(CW1423/CR1423-1),"NM"))))))</f>
      </c>
      <c r="CX1429" s="30">
        <f>IF(CS1423="NM","NM",IF(CX1423="NM","NM",IF(CS1423&lt;=0,"NM",IF(CX1423=0,"NM",IF(ABS(CX1423/CS1423-1)&gt;2.5,"NM",IF((ABS(CX1423-CS1423)=ABS(ABS(CX1423)-ABS(CS1423))),(CX1423/CS1423-1),"NM"))))))</f>
      </c>
      <c r="CY1429" s="30">
        <f>IF(CT1423="NM","NM",IF(CY1423="NM","NM",IF(CT1423&lt;=0,"NM",IF(CY1423=0,"NM",IF(ABS(CY1423/CT1423-1)&gt;2.5,"NM",IF((ABS(CY1423-CT1423)=ABS(ABS(CY1423)-ABS(CT1423))),(CY1423/CT1423-1),"NM"))))))</f>
      </c>
      <c r="CZ1429" s="308">
        <f>IF(CU1423=0, "NA", CZ1423/CU1423-1)</f>
      </c>
      <c r="DA1429" s="30">
        <f>IF(CV1423="NM","NM",IF(DA1423="NM","NM",IF(CV1423&lt;=0,"NM",IF(DA1423=0,"NM",IF(ABS(DA1423/CV1423-1)&gt;2.5,"NM",IF((ABS(DA1423-CV1423)=ABS(ABS(DA1423)-ABS(CV1423))),(DA1423/CV1423-1),"NM"))))))</f>
      </c>
      <c r="DB1429" s="30">
        <f>IF(CW1423="NM","NM",IF(DB1423="NM","NM",IF(CW1423&lt;=0,"NM",IF(DB1423=0,"NM",IF(ABS(DB1423/CW1423-1)&gt;2.5,"NM",IF((ABS(DB1423-CW1423)=ABS(ABS(DB1423)-ABS(CW1423))),(DB1423/CW1423-1),"NM"))))))</f>
      </c>
      <c r="DC1429" s="30">
        <f>IF(CX1423="NM","NM",IF(DC1423="NM","NM",IF(CX1423&lt;=0,"NM",IF(DC1423=0,"NM",IF(ABS(DC1423/CX1423-1)&gt;2.5,"NM",IF((ABS(DC1423-CX1423)=ABS(ABS(DC1423)-ABS(CX1423))),(DC1423/CX1423-1),"NM"))))))</f>
      </c>
      <c r="DD1429" s="928">
        <f>IF(CY1423=0, "NM", DD1423/CY1423-1)</f>
      </c>
      <c r="DE1429" s="308">
        <f>IF(CZ1423=0, "NA", DE1423/CZ1423-1)</f>
      </c>
      <c r="DF1429" s="926">
        <f>IF(DA1423=0, "NA", DF1423/DA1423-1)</f>
      </c>
      <c r="DG1429" s="926">
        <f>IF(DB1423=0, "NA", DG1423/DB1423-1)</f>
      </c>
      <c r="DH1429" s="926">
        <f>IF(DC1423=0, "NA", DH1423/DC1423-1)</f>
      </c>
      <c r="DI1429" s="928">
        <f>IF(DD1423=0, "NM", DI1423/DD1423-1)</f>
      </c>
      <c r="DJ1429" s="308">
        <f>IF(DE1423=0, "NA", DJ1423/DE1423-1)</f>
      </c>
      <c r="DK1429" s="926">
        <f>IF(DF1423=0, "NA", DK1423/DF1423-1)</f>
      </c>
      <c r="DL1429" s="926">
        <f>IF(DG1423=0, "NA", DL1423/DG1423-1)</f>
      </c>
      <c r="DM1429" s="926">
        <f>IF(DH1423=0, "NA", DM1423/DH1423-1)</f>
      </c>
      <c r="DN1429" s="928">
        <f>IF(DI1423=0, "NM", DN1423/DI1423-1)</f>
      </c>
      <c r="DO1429" s="308">
        <f>IF(DJ1423=0, "NA", DO1423/DJ1423-1)</f>
      </c>
      <c r="DP1429" s="926">
        <f>IF(DK1423=0, "NA", DP1423/DK1423-1)</f>
      </c>
      <c r="DQ1429" s="926">
        <f>IF(DL1423=0, "NA", DQ1423/DL1423-1)</f>
      </c>
      <c r="DR1429" s="926">
        <f>IF(DM1423=0, "NA", DR1423/DM1423-1)</f>
      </c>
      <c r="DS1429" s="928">
        <f>IF(DN1423=0, "NM", DS1423/DN1423-1)</f>
      </c>
      <c r="DT1429" s="1060">
        <f>IF(DO1423=0, "NA", DT1423/DO1423-1)</f>
      </c>
      <c r="DU1429" s="926">
        <f>IF(DP1423=0, "NA", DU1423/DP1423-1)</f>
      </c>
      <c r="DV1429" s="926">
        <f>IF(DQ1423=0, "NA", DV1423/DQ1423-1)</f>
      </c>
      <c r="DW1429" s="926"/>
      <c r="DX1429" s="928"/>
      <c r="DY1429" s="1060"/>
      <c r="DZ1429" s="926"/>
      <c r="EA1429" s="926"/>
      <c r="EB1429" s="926"/>
      <c r="EC1429" s="928"/>
      <c r="ED1429" s="1060"/>
      <c r="EE1429" s="958"/>
      <c r="EF1429" s="926"/>
      <c r="EG1429" s="926"/>
      <c r="EH1429" s="928"/>
      <c r="EI1429" s="1060"/>
      <c r="EJ1429" s="1060"/>
      <c r="EK1429" s="1060"/>
      <c r="EL1429" s="308"/>
      <c r="EM1429" s="308"/>
      <c r="EN1429" s="308"/>
      <c r="EO1429" s="409"/>
      <c r="EP1429" s="308"/>
      <c r="EQ1429" s="308"/>
      <c r="ER1429" s="308"/>
      <c r="ES1429" s="308"/>
      <c r="ET1429" s="308"/>
      <c r="EU1429" s="308"/>
      <c r="EV1429" s="308"/>
      <c r="EW1429" s="308"/>
      <c r="EX1429" s="308"/>
    </row>
    <row r="1430" spans="2:154" hidden="1" outlineLevel="1">
      <c r="B1430" s="510"/>
      <c r="C1430" s="1989"/>
      <c r="D1430" s="28"/>
      <c r="E1430" s="28"/>
      <c r="F1430" s="28"/>
      <c r="G1430" s="28"/>
      <c r="H1430" s="28"/>
      <c r="I1430" s="30"/>
      <c r="J1430" s="30"/>
      <c r="K1430" s="30"/>
      <c r="L1430" s="30"/>
      <c r="M1430" s="30"/>
      <c r="N1430" s="30"/>
      <c r="O1430" s="30"/>
      <c r="P1430" s="30"/>
      <c r="Q1430" s="30"/>
      <c r="R1430" s="30"/>
      <c r="S1430" s="30"/>
      <c r="T1430" s="30"/>
      <c r="U1430" s="30"/>
      <c r="V1430" s="30"/>
      <c r="W1430" s="30"/>
      <c r="X1430" s="308"/>
      <c r="Y1430" s="30"/>
      <c r="Z1430" s="30"/>
      <c r="AA1430" s="30"/>
      <c r="AB1430" s="30"/>
      <c r="AC1430" s="308"/>
      <c r="AD1430" s="30"/>
      <c r="AE1430" s="30"/>
      <c r="AF1430" s="30"/>
      <c r="AG1430" s="30"/>
      <c r="AH1430" s="308"/>
      <c r="AI1430" s="30"/>
      <c r="AJ1430" s="30"/>
      <c r="AK1430" s="30"/>
      <c r="AL1430" s="30"/>
      <c r="AM1430" s="308"/>
      <c r="AN1430" s="30"/>
      <c r="AO1430" s="30"/>
      <c r="AP1430" s="30"/>
      <c r="AQ1430" s="30"/>
      <c r="AR1430" s="308"/>
      <c r="AS1430" s="30"/>
      <c r="AT1430" s="30"/>
      <c r="AU1430" s="30"/>
      <c r="AV1430" s="30"/>
      <c r="AW1430" s="308"/>
      <c r="AX1430" s="30"/>
      <c r="AY1430" s="30"/>
      <c r="AZ1430" s="30"/>
      <c r="BA1430" s="30"/>
      <c r="BB1430" s="308"/>
      <c r="BC1430" s="30"/>
      <c r="BD1430" s="30"/>
      <c r="BE1430" s="30"/>
      <c r="BF1430" s="30"/>
      <c r="BG1430" s="308"/>
      <c r="BH1430" s="30"/>
      <c r="BI1430" s="30"/>
      <c r="BJ1430" s="30"/>
      <c r="BK1430" s="30"/>
      <c r="BL1430" s="308"/>
      <c r="BM1430" s="30"/>
      <c r="BN1430" s="30"/>
      <c r="BO1430" s="30"/>
      <c r="BP1430" s="30"/>
      <c r="BQ1430" s="308"/>
      <c r="BR1430" s="30"/>
      <c r="BS1430" s="30"/>
      <c r="BT1430" s="30"/>
      <c r="BU1430" s="30"/>
      <c r="BV1430" s="308"/>
      <c r="BW1430" s="30"/>
      <c r="BX1430" s="30"/>
      <c r="BY1430" s="30"/>
      <c r="BZ1430" s="30"/>
      <c r="CA1430" s="308"/>
      <c r="CB1430" s="30"/>
      <c r="CC1430" s="30"/>
      <c r="CD1430" s="30"/>
      <c r="CE1430" s="30"/>
      <c r="CF1430" s="308"/>
      <c r="CG1430" s="30"/>
      <c r="CH1430" s="30"/>
      <c r="CI1430" s="30"/>
      <c r="CJ1430" s="30"/>
      <c r="CK1430" s="308"/>
      <c r="CL1430" s="926"/>
      <c r="CM1430" s="926"/>
      <c r="CN1430" s="926"/>
      <c r="CO1430" s="30"/>
      <c r="CP1430" s="308"/>
      <c r="CQ1430" s="926"/>
      <c r="CR1430" s="926"/>
      <c r="CS1430" s="926"/>
      <c r="CT1430" s="926"/>
      <c r="CU1430" s="308"/>
      <c r="CV1430" s="926"/>
      <c r="CW1430" s="926"/>
      <c r="CX1430" s="926"/>
      <c r="CY1430" s="926"/>
      <c r="CZ1430" s="308"/>
      <c r="DA1430" s="830"/>
      <c r="DB1430" s="30"/>
      <c r="DC1430" s="30"/>
      <c r="DD1430" s="409"/>
      <c r="DE1430" s="308"/>
      <c r="DF1430" s="830"/>
      <c r="DG1430" s="30"/>
      <c r="DH1430" s="30"/>
      <c r="DI1430" s="409"/>
      <c r="DJ1430" s="308"/>
      <c r="DK1430" s="830"/>
      <c r="DL1430" s="30"/>
      <c r="DM1430" s="30"/>
      <c r="DN1430" s="409"/>
      <c r="DO1430" s="308"/>
      <c r="DP1430" s="30"/>
      <c r="DQ1430" s="30"/>
      <c r="DR1430" s="30"/>
      <c r="DS1430" s="409"/>
      <c r="DT1430" s="308"/>
      <c r="DU1430" s="1064"/>
      <c r="DV1430" s="1064"/>
      <c r="DW1430" s="1064"/>
      <c r="DX1430" s="2187"/>
      <c r="DY1430" s="2186"/>
      <c r="DZ1430" s="1064"/>
      <c r="EA1430" s="1064"/>
      <c r="EB1430" s="1064"/>
      <c r="EC1430" s="2187"/>
      <c r="ED1430" s="3535"/>
      <c r="EE1430" s="3558"/>
      <c r="EF1430" s="1064"/>
      <c r="EG1430" s="1064"/>
      <c r="EH1430" s="2187"/>
      <c r="EI1430" s="2186"/>
      <c r="EJ1430" s="2186"/>
      <c r="EK1430" s="2186"/>
      <c r="EL1430" s="308"/>
      <c r="EM1430" s="308"/>
      <c r="EN1430" s="308"/>
      <c r="EO1430" s="409"/>
      <c r="EP1430" s="308"/>
      <c r="EQ1430" s="308"/>
      <c r="ER1430" s="308"/>
      <c r="ES1430" s="308"/>
      <c r="ET1430" s="308"/>
      <c r="EU1430" s="308"/>
      <c r="EV1430" s="308"/>
      <c r="EW1430" s="308"/>
      <c r="EX1430" s="308"/>
    </row>
    <row r="1431" spans="2:154" hidden="1" outlineLevel="1">
      <c r="B1431" s="509" t="s">
        <v>121</v>
      </c>
      <c r="C1431" s="2019"/>
      <c r="D1431" s="1984"/>
      <c r="E1431" s="486"/>
      <c r="F1431" s="486"/>
      <c r="G1431" s="486"/>
      <c r="H1431" s="486"/>
      <c r="I1431" s="487"/>
      <c r="J1431" s="486"/>
      <c r="K1431" s="486"/>
      <c r="L1431" s="486"/>
      <c r="M1431" s="486"/>
      <c r="N1431" s="487"/>
      <c r="O1431" s="487"/>
      <c r="P1431" s="487"/>
      <c r="Q1431" s="487"/>
      <c r="R1431" s="487"/>
      <c r="S1431" s="488"/>
      <c r="T1431" s="487"/>
      <c r="U1431" s="487"/>
      <c r="V1431" s="487"/>
      <c r="W1431" s="487"/>
      <c r="X1431" s="489"/>
      <c r="Y1431" s="487"/>
      <c r="Z1431" s="487"/>
      <c r="AA1431" s="487"/>
      <c r="AB1431" s="487"/>
      <c r="AC1431" s="489"/>
      <c r="AD1431" s="487"/>
      <c r="AE1431" s="487"/>
      <c r="AF1431" s="487"/>
      <c r="AG1431" s="487"/>
      <c r="AH1431" s="489"/>
      <c r="AI1431" s="486"/>
      <c r="AJ1431" s="486"/>
      <c r="AK1431" s="486"/>
      <c r="AL1431" s="487"/>
      <c r="AM1431" s="489"/>
      <c r="AN1431" s="486"/>
      <c r="AO1431" s="486"/>
      <c r="AP1431" s="486"/>
      <c r="AQ1431" s="487"/>
      <c r="AR1431" s="489"/>
      <c r="AS1431" s="486"/>
      <c r="AT1431" s="486"/>
      <c r="AU1431" s="486"/>
      <c r="AV1431" s="487"/>
      <c r="AW1431" s="489"/>
      <c r="AX1431" s="486"/>
      <c r="AY1431" s="486"/>
      <c r="AZ1431" s="486"/>
      <c r="BA1431" s="486"/>
      <c r="BB1431" s="489"/>
      <c r="BC1431" s="486"/>
      <c r="BD1431" s="486"/>
      <c r="BE1431" s="486"/>
      <c r="BF1431" s="486"/>
      <c r="BG1431" s="489"/>
      <c r="BH1431" s="486"/>
      <c r="BI1431" s="486"/>
      <c r="BJ1431" s="486"/>
      <c r="BK1431" s="486"/>
      <c r="BL1431" s="489"/>
      <c r="BM1431" s="486"/>
      <c r="BN1431" s="486"/>
      <c r="BO1431" s="486"/>
      <c r="BP1431" s="486"/>
      <c r="BQ1431" s="489"/>
      <c r="BR1431" s="486"/>
      <c r="BS1431" s="486"/>
      <c r="BT1431" s="486"/>
      <c r="BU1431" s="486"/>
      <c r="BV1431" s="489"/>
      <c r="BW1431" s="486"/>
      <c r="BX1431" s="486"/>
      <c r="BY1431" s="486"/>
      <c r="BZ1431" s="486"/>
      <c r="CA1431" s="489"/>
      <c r="CB1431" s="486"/>
      <c r="CC1431" s="486"/>
      <c r="CD1431" s="486"/>
      <c r="CE1431" s="486"/>
      <c r="CF1431" s="489"/>
      <c r="CG1431" s="486"/>
      <c r="CH1431" s="486"/>
      <c r="CI1431" s="486"/>
      <c r="CJ1431" s="486"/>
      <c r="CK1431" s="489"/>
      <c r="CL1431" s="486"/>
      <c r="CM1431" s="486"/>
      <c r="CN1431" s="486"/>
      <c r="CO1431" s="1403"/>
      <c r="CP1431" s="489"/>
      <c r="CQ1431" s="486"/>
      <c r="CR1431" s="486"/>
      <c r="CS1431" s="486"/>
      <c r="CT1431" s="1136"/>
      <c r="CU1431" s="489"/>
      <c r="CV1431" s="486"/>
      <c r="CW1431" s="486"/>
      <c r="CX1431" s="486"/>
      <c r="CY1431" s="1136"/>
      <c r="CZ1431" s="489"/>
      <c r="DA1431" s="1335"/>
      <c r="DB1431" s="1323"/>
      <c r="DC1431" s="1323"/>
      <c r="DD1431" s="1199"/>
      <c r="DE1431" s="1908"/>
      <c r="DF1431" s="1952"/>
      <c r="DG1431" s="1909"/>
      <c r="DH1431" s="1909"/>
      <c r="DI1431" s="1910"/>
      <c r="DJ1431" s="1908"/>
      <c r="DK1431" s="1952"/>
      <c r="DL1431" s="1909"/>
      <c r="DM1431" s="1909"/>
      <c r="DN1431" s="1910"/>
      <c r="DO1431" s="1908"/>
      <c r="DP1431" s="1952"/>
      <c r="DQ1431" s="1909"/>
      <c r="DR1431" s="1909"/>
      <c r="DS1431" s="1910"/>
      <c r="DT1431" s="1908"/>
      <c r="DU1431" s="2188"/>
      <c r="DV1431" s="2189"/>
      <c r="DW1431" s="2775"/>
      <c r="DX1431" s="2776"/>
      <c r="DY1431" s="2777"/>
      <c r="DZ1431" s="2775"/>
      <c r="EA1431" s="3521"/>
      <c r="EB1431" s="3521"/>
      <c r="EC1431" s="2776"/>
      <c r="ED1431" s="2657"/>
      <c r="EE1431" s="2656"/>
      <c r="EF1431" s="2447"/>
      <c r="EG1431" s="2447"/>
      <c r="EH1431" s="2776"/>
      <c r="EI1431" s="2657"/>
      <c r="EJ1431" s="2657"/>
      <c r="EK1431" s="2657"/>
      <c r="EL1431" s="3133"/>
      <c r="EM1431" s="3133"/>
      <c r="EN1431" s="3134"/>
      <c r="EO1431" s="3135"/>
      <c r="EP1431" s="3134"/>
      <c r="EQ1431" s="2206"/>
      <c r="ER1431" s="2206"/>
      <c r="ES1431" s="2206"/>
      <c r="ET1431" s="2206"/>
      <c r="EU1431" s="2206"/>
      <c r="EV1431" s="2206"/>
      <c r="EW1431" s="2206"/>
      <c r="EX1431" s="2206"/>
    </row>
    <row r="1432" spans="2:154" hidden="1" outlineLevel="1">
      <c r="B1432" s="345" t="s">
        <v>187</v>
      </c>
      <c r="C1432" s="1989"/>
      <c r="D1432" s="31">
        <v>300</v>
      </c>
      <c r="E1432" s="33">
        <v>74</v>
      </c>
      <c r="F1432" s="33">
        <v>75</v>
      </c>
      <c r="G1432" s="33">
        <v>70</v>
      </c>
      <c r="H1432" s="33">
        <v>71</v>
      </c>
      <c r="I1432" s="31">
        <f>+SUM(E1432:H1432)</f>
      </c>
      <c r="J1432" s="33">
        <v>82</v>
      </c>
      <c r="K1432" s="33">
        <v>81</v>
      </c>
      <c r="L1432" s="33">
        <v>79</v>
      </c>
      <c r="M1432" s="33">
        <v>79</v>
      </c>
      <c r="N1432" s="31">
        <f>+SUM(J1432:M1432)</f>
      </c>
      <c r="O1432" s="33">
        <v>72</v>
      </c>
      <c r="P1432" s="33">
        <v>75</v>
      </c>
      <c r="Q1432" s="33">
        <v>80</v>
      </c>
      <c r="R1432" s="33">
        <v>72</v>
      </c>
      <c r="S1432" s="31">
        <f>SUM(O1432:R1432)</f>
      </c>
      <c r="T1432" s="33">
        <v>78</v>
      </c>
      <c r="U1432" s="33">
        <v>76</v>
      </c>
      <c r="V1432" s="33">
        <v>78</v>
      </c>
      <c r="W1432" s="33">
        <v>64</v>
      </c>
      <c r="X1432" s="313">
        <f>SUM(T1432:W1432)</f>
      </c>
      <c r="Y1432" s="33">
        <v>78</v>
      </c>
      <c r="Z1432" s="33">
        <v>77</v>
      </c>
      <c r="AA1432" s="33">
        <v>82</v>
      </c>
      <c r="AB1432" s="33">
        <v>78</v>
      </c>
      <c r="AC1432" s="313">
        <f>SUM(Y1432:AB1432)</f>
      </c>
      <c r="AD1432" s="33">
        <v>90</v>
      </c>
      <c r="AE1432" s="33">
        <v>89</v>
      </c>
      <c r="AF1432" s="33">
        <v>88.5</v>
      </c>
      <c r="AG1432" s="33">
        <v>92</v>
      </c>
      <c r="AH1432" s="313">
        <f>SUM(AD1432:AG1432)</f>
      </c>
      <c r="AI1432" s="33">
        <v>95</v>
      </c>
      <c r="AJ1432" s="33">
        <v>98</v>
      </c>
      <c r="AK1432" s="33">
        <v>92</v>
      </c>
      <c r="AL1432" s="33">
        <v>94</v>
      </c>
      <c r="AM1432" s="313">
        <f>+SUM(AI1432:AL1432)</f>
      </c>
      <c r="AN1432" s="33">
        <v>103</v>
      </c>
      <c r="AO1432" s="33">
        <v>96</v>
      </c>
      <c r="AP1432" s="33">
        <v>102</v>
      </c>
      <c r="AQ1432" s="33">
        <v>102</v>
      </c>
      <c r="AR1432" s="313">
        <f>+SUM(AN1432:AQ1432)</f>
      </c>
      <c r="AS1432" s="33">
        <v>109</v>
      </c>
      <c r="AT1432" s="33">
        <v>106</v>
      </c>
      <c r="AU1432" s="33">
        <v>113</v>
      </c>
      <c r="AV1432" s="33">
        <v>116</v>
      </c>
      <c r="AW1432" s="313">
        <f>+SUM(AS1432:AV1432)</f>
      </c>
      <c r="AX1432" s="33">
        <v>115</v>
      </c>
      <c r="AY1432" s="33">
        <v>111</v>
      </c>
      <c r="AZ1432" s="33">
        <v>114</v>
      </c>
      <c r="BA1432" s="33">
        <v>109</v>
      </c>
      <c r="BB1432" s="313">
        <f>SUM(AX1432:BA1432)</f>
      </c>
      <c r="BC1432" s="33">
        <v>102</v>
      </c>
      <c r="BD1432" s="33">
        <v>104</v>
      </c>
      <c r="BE1432" s="33">
        <v>102</v>
      </c>
      <c r="BF1432" s="33">
        <v>106</v>
      </c>
      <c r="BG1432" s="313">
        <f>SUM(BC1432:BF1432)</f>
      </c>
      <c r="BH1432" s="33">
        <v>103</v>
      </c>
      <c r="BI1432" s="33">
        <v>99</v>
      </c>
      <c r="BJ1432" s="33">
        <v>104</v>
      </c>
      <c r="BK1432" s="33">
        <v>103</v>
      </c>
      <c r="BL1432" s="313">
        <f>SUM(BH1432:BK1432)</f>
      </c>
      <c r="BM1432" s="33">
        <v>105</v>
      </c>
      <c r="BN1432" s="33">
        <v>105</v>
      </c>
      <c r="BO1432" s="33">
        <v>105</v>
      </c>
      <c r="BP1432" s="33">
        <v>103</v>
      </c>
      <c r="BQ1432" s="313">
        <f>SUM(BM1432:BP1432)</f>
      </c>
      <c r="BR1432" s="33">
        <v>99</v>
      </c>
      <c r="BS1432" s="352">
        <v>106</v>
      </c>
      <c r="BT1432" s="352">
        <v>104</v>
      </c>
      <c r="BU1432" s="352">
        <v>103</v>
      </c>
      <c r="BV1432" s="313">
        <f>SUM(BR1432:BU1432)</f>
      </c>
      <c r="BW1432" s="352">
        <v>103</v>
      </c>
      <c r="BX1432" s="352">
        <v>106</v>
      </c>
      <c r="BY1432" s="352">
        <v>99</v>
      </c>
      <c r="BZ1432" s="352">
        <v>105</v>
      </c>
      <c r="CA1432" s="313">
        <f>SUM(BW1432:BZ1432)</f>
      </c>
      <c r="CB1432" s="352">
        <v>102</v>
      </c>
      <c r="CC1432" s="352">
        <v>107</v>
      </c>
      <c r="CD1432" s="352">
        <v>102</v>
      </c>
      <c r="CE1432" s="352">
        <v>96</v>
      </c>
      <c r="CF1432" s="312">
        <f>SUM(CB1432:CE1432)</f>
      </c>
      <c r="CG1432" s="352">
        <v>111</v>
      </c>
      <c r="CH1432" s="352">
        <v>104</v>
      </c>
      <c r="CI1432" s="352">
        <v>103</v>
      </c>
      <c r="CJ1432" s="352">
        <v>126</v>
      </c>
      <c r="CK1432" s="312">
        <f>SUM(CG1432:CJ1432)</f>
      </c>
      <c r="CL1432" s="352">
        <v>95</v>
      </c>
      <c r="CM1432" s="352">
        <v>102</v>
      </c>
      <c r="CN1432" s="352">
        <v>96</v>
      </c>
      <c r="CO1432" s="352">
        <v>123</v>
      </c>
      <c r="CP1432" s="312">
        <f>SUM(CL1432:CO1432)</f>
      </c>
      <c r="CQ1432" s="352">
        <v>113</v>
      </c>
      <c r="CR1432" s="352">
        <v>113</v>
      </c>
      <c r="CS1432" s="352">
        <v>100</v>
      </c>
      <c r="CT1432" s="352">
        <v>123</v>
      </c>
      <c r="CU1432" s="312">
        <f>SUM(CQ1432:CT1432)</f>
      </c>
      <c r="CV1432" s="352">
        <v>97</v>
      </c>
      <c r="CW1432" s="352">
        <v>89</v>
      </c>
      <c r="CX1432" s="352">
        <v>120</v>
      </c>
      <c r="CY1432" s="352">
        <v>116</v>
      </c>
      <c r="CZ1432" s="312">
        <f>SUM(CV1432:CY1432)</f>
      </c>
      <c r="DA1432" s="352">
        <v>87</v>
      </c>
      <c r="DB1432" s="352">
        <v>99</v>
      </c>
      <c r="DC1432" s="352">
        <v>91</v>
      </c>
      <c r="DD1432" s="1205">
        <v>85</v>
      </c>
      <c r="DE1432" s="1835">
        <f>SUM(DA1432:DD1432)</f>
      </c>
      <c r="DF1432" s="710">
        <v>92</v>
      </c>
      <c r="DG1432" s="710">
        <v>96</v>
      </c>
      <c r="DH1432" s="710">
        <v>91</v>
      </c>
      <c r="DI1432" s="1839">
        <v>97</v>
      </c>
      <c r="DJ1432" s="1835">
        <f>SUM(DF1432:DI1432)</f>
      </c>
      <c r="DK1432" s="710">
        <v>96</v>
      </c>
      <c r="DL1432" s="1544">
        <f>97-1</f>
      </c>
      <c r="DM1432" s="710">
        <v>95</v>
      </c>
      <c r="DN1432" s="1839">
        <f>90-1</f>
      </c>
      <c r="DO1432" s="1835">
        <f>SUM(DK1432:DN1432)</f>
      </c>
      <c r="DP1432" s="710">
        <v>85</v>
      </c>
      <c r="DQ1432" s="710">
        <v>88</v>
      </c>
      <c r="DR1432" s="710">
        <v>91</v>
      </c>
      <c r="DS1432" s="1839">
        <f>93</f>
      </c>
      <c r="DT1432" s="1835">
        <f>SUM(DP1432:DS1432)</f>
      </c>
      <c r="DU1432" s="710">
        <v>96</v>
      </c>
      <c r="DV1432" s="710">
        <v>99</v>
      </c>
      <c r="DW1432" s="1542"/>
      <c r="DX1432" s="1556"/>
      <c r="DY1432" s="1835"/>
      <c r="DZ1432" s="1542"/>
      <c r="EA1432" s="1542"/>
      <c r="EB1432" s="1542"/>
      <c r="EC1432" s="1556"/>
      <c r="ED1432" s="1835"/>
      <c r="EE1432" s="1877"/>
      <c r="EF1432" s="1542"/>
      <c r="EG1432" s="1542"/>
      <c r="EH1432" s="1556"/>
      <c r="EI1432" s="1835"/>
      <c r="EJ1432" s="1835"/>
      <c r="EK1432" s="1835"/>
      <c r="EL1432" s="477"/>
      <c r="EM1432" s="477"/>
      <c r="EN1432" s="477"/>
      <c r="EO1432" s="1798"/>
      <c r="EP1432" s="477"/>
      <c r="EQ1432" s="477"/>
      <c r="ER1432" s="477"/>
      <c r="ES1432" s="477"/>
      <c r="ET1432" s="477"/>
      <c r="EU1432" s="477"/>
      <c r="EV1432" s="477"/>
      <c r="EW1432" s="477"/>
      <c r="EX1432" s="477"/>
    </row>
    <row r="1433" spans="2:154" hidden="1" outlineLevel="1">
      <c r="B1433" s="345" t="s">
        <v>412</v>
      </c>
      <c r="C1433" s="1989"/>
      <c r="D1433" s="31">
        <v>950</v>
      </c>
      <c r="E1433" s="33">
        <v>228</v>
      </c>
      <c r="F1433" s="33">
        <v>235</v>
      </c>
      <c r="G1433" s="33">
        <v>234</v>
      </c>
      <c r="H1433" s="33">
        <v>230</v>
      </c>
      <c r="I1433" s="31">
        <f>+SUM(E1433:H1433)</f>
      </c>
      <c r="J1433" s="33">
        <v>227</v>
      </c>
      <c r="K1433" s="33">
        <v>232</v>
      </c>
      <c r="L1433" s="33">
        <v>235</v>
      </c>
      <c r="M1433" s="33">
        <v>219</v>
      </c>
      <c r="N1433" s="31">
        <f>+SUM(J1433:M1433)</f>
      </c>
      <c r="O1433" s="33">
        <v>204</v>
      </c>
      <c r="P1433" s="33">
        <v>217</v>
      </c>
      <c r="Q1433" s="33">
        <v>210</v>
      </c>
      <c r="R1433" s="33">
        <v>202</v>
      </c>
      <c r="S1433" s="31">
        <f>SUM(O1433:R1433)</f>
      </c>
      <c r="T1433" s="33">
        <v>204</v>
      </c>
      <c r="U1433" s="33">
        <v>219</v>
      </c>
      <c r="V1433" s="33">
        <v>223</v>
      </c>
      <c r="W1433" s="33">
        <v>221</v>
      </c>
      <c r="X1433" s="313">
        <f>SUM(T1433:W1433)</f>
      </c>
      <c r="Y1433" s="33">
        <v>226</v>
      </c>
      <c r="Z1433" s="33">
        <v>253</v>
      </c>
      <c r="AA1433" s="33">
        <v>254</v>
      </c>
      <c r="AB1433" s="33">
        <v>260</v>
      </c>
      <c r="AC1433" s="313">
        <f>SUM(Y1433:AB1433)</f>
      </c>
      <c r="AD1433" s="33">
        <v>253</v>
      </c>
      <c r="AE1433" s="33">
        <v>271</v>
      </c>
      <c r="AF1433" s="33">
        <v>272.5</v>
      </c>
      <c r="AG1433" s="33">
        <v>290</v>
      </c>
      <c r="AH1433" s="313">
        <f>SUM(AD1433:AG1433)</f>
      </c>
      <c r="AI1433" s="33">
        <v>284</v>
      </c>
      <c r="AJ1433" s="33">
        <v>295</v>
      </c>
      <c r="AK1433" s="33">
        <v>304</v>
      </c>
      <c r="AL1433" s="33">
        <v>299</v>
      </c>
      <c r="AM1433" s="313">
        <f>+SUM(AI1433:AL1433)</f>
      </c>
      <c r="AN1433" s="33">
        <v>303</v>
      </c>
      <c r="AO1433" s="33">
        <v>325</v>
      </c>
      <c r="AP1433" s="33">
        <v>349</v>
      </c>
      <c r="AQ1433" s="33">
        <v>359</v>
      </c>
      <c r="AR1433" s="313">
        <f>+SUM(AN1433:AQ1433)</f>
      </c>
      <c r="AS1433" s="33">
        <v>338</v>
      </c>
      <c r="AT1433" s="33">
        <v>381</v>
      </c>
      <c r="AU1433" s="33">
        <v>398</v>
      </c>
      <c r="AV1433" s="33">
        <v>421</v>
      </c>
      <c r="AW1433" s="313">
        <f>+SUM(AS1433:AV1433)</f>
      </c>
      <c r="AX1433" s="33">
        <v>418</v>
      </c>
      <c r="AY1433" s="33">
        <v>461</v>
      </c>
      <c r="AZ1433" s="33">
        <v>472</v>
      </c>
      <c r="BA1433" s="33">
        <v>414</v>
      </c>
      <c r="BB1433" s="313">
        <f>SUM(AX1433:BA1433)</f>
      </c>
      <c r="BC1433" s="33">
        <v>387</v>
      </c>
      <c r="BD1433" s="33">
        <v>404</v>
      </c>
      <c r="BE1433" s="33">
        <v>442</v>
      </c>
      <c r="BF1433" s="33">
        <v>468</v>
      </c>
      <c r="BG1433" s="313">
        <f>SUM(BC1433:BF1433)</f>
      </c>
      <c r="BH1433" s="33">
        <v>426</v>
      </c>
      <c r="BI1433" s="33">
        <v>438</v>
      </c>
      <c r="BJ1433" s="33">
        <v>462</v>
      </c>
      <c r="BK1433" s="33">
        <v>474</v>
      </c>
      <c r="BL1433" s="313">
        <f>SUM(BH1433:BK1433)</f>
      </c>
      <c r="BM1433" s="33">
        <v>456</v>
      </c>
      <c r="BN1433" s="33">
        <v>493</v>
      </c>
      <c r="BO1433" s="33">
        <v>508</v>
      </c>
      <c r="BP1433" s="33">
        <v>465</v>
      </c>
      <c r="BQ1433" s="313">
        <f>SUM(BM1433:BP1433)</f>
      </c>
      <c r="BR1433" s="33">
        <v>441</v>
      </c>
      <c r="BS1433" s="352">
        <v>472</v>
      </c>
      <c r="BT1433" s="352">
        <v>460</v>
      </c>
      <c r="BU1433" s="352">
        <v>469</v>
      </c>
      <c r="BV1433" s="313">
        <f>SUM(BR1433:BU1433)</f>
      </c>
      <c r="BW1433" s="352">
        <v>461</v>
      </c>
      <c r="BX1433" s="352">
        <v>480</v>
      </c>
      <c r="BY1433" s="352">
        <v>461</v>
      </c>
      <c r="BZ1433" s="352">
        <v>480</v>
      </c>
      <c r="CA1433" s="313">
        <f>SUM(BW1433:BZ1433)</f>
      </c>
      <c r="CB1433" s="352">
        <v>443</v>
      </c>
      <c r="CC1433" s="352">
        <v>500</v>
      </c>
      <c r="CD1433" s="352">
        <v>461</v>
      </c>
      <c r="CE1433" s="352">
        <v>428</v>
      </c>
      <c r="CF1433" s="312">
        <f>SUM(CB1433:CE1433)</f>
      </c>
      <c r="CG1433" s="352">
        <v>400</v>
      </c>
      <c r="CH1433" s="352">
        <v>439</v>
      </c>
      <c r="CI1433" s="352">
        <v>403</v>
      </c>
      <c r="CJ1433" s="352">
        <v>387</v>
      </c>
      <c r="CK1433" s="312">
        <f>SUM(CG1433:CJ1433)</f>
      </c>
      <c r="CL1433" s="352">
        <v>356</v>
      </c>
      <c r="CM1433" s="352">
        <v>398</v>
      </c>
      <c r="CN1433" s="352">
        <v>370</v>
      </c>
      <c r="CO1433" s="352">
        <v>370</v>
      </c>
      <c r="CP1433" s="312">
        <f>SUM(CL1433:CO1433)</f>
      </c>
      <c r="CQ1433" s="352">
        <v>342</v>
      </c>
      <c r="CR1433" s="352">
        <v>381</v>
      </c>
      <c r="CS1433" s="352">
        <v>377</v>
      </c>
      <c r="CT1433" s="352">
        <v>367</v>
      </c>
      <c r="CU1433" s="312">
        <f>SUM(CQ1433:CT1433)</f>
      </c>
      <c r="CV1433" s="352">
        <v>360</v>
      </c>
      <c r="CW1433" s="352">
        <v>367</v>
      </c>
      <c r="CX1433" s="352">
        <v>352</v>
      </c>
      <c r="CY1433" s="352">
        <v>357</v>
      </c>
      <c r="CZ1433" s="312">
        <f>SUM(CV1433:CY1433)</f>
      </c>
      <c r="DA1433" s="352">
        <v>307</v>
      </c>
      <c r="DB1433" s="352">
        <v>344</v>
      </c>
      <c r="DC1433" s="352">
        <v>326</v>
      </c>
      <c r="DD1433" s="1205">
        <v>336</v>
      </c>
      <c r="DE1433" s="1835">
        <f>SUM(DA1433:DD1433)</f>
      </c>
      <c r="DF1433" s="710">
        <v>269</v>
      </c>
      <c r="DG1433" s="710">
        <v>260</v>
      </c>
      <c r="DH1433" s="710">
        <v>302</v>
      </c>
      <c r="DI1433" s="1839">
        <v>310</v>
      </c>
      <c r="DJ1433" s="1835">
        <f>SUM(DF1433:DI1433)</f>
      </c>
      <c r="DK1433" s="710">
        <v>293</v>
      </c>
      <c r="DL1433" s="1544">
        <v>290</v>
      </c>
      <c r="DM1433" s="710">
        <v>296</v>
      </c>
      <c r="DN1433" s="1839">
        <v>309</v>
      </c>
      <c r="DO1433" s="1835">
        <f>SUM(DK1433:DN1433)</f>
      </c>
      <c r="DP1433" s="710">
        <v>270</v>
      </c>
      <c r="DQ1433" s="710">
        <v>287</v>
      </c>
      <c r="DR1433" s="710">
        <v>283</v>
      </c>
      <c r="DS1433" s="1839">
        <v>264</v>
      </c>
      <c r="DT1433" s="1835">
        <f>SUM(DP1433:DS1433)</f>
      </c>
      <c r="DU1433" s="710">
        <v>263</v>
      </c>
      <c r="DV1433" s="710">
        <v>261</v>
      </c>
      <c r="DW1433" s="1542"/>
      <c r="DX1433" s="1556"/>
      <c r="DY1433" s="1835"/>
      <c r="DZ1433" s="1542"/>
      <c r="EA1433" s="1542"/>
      <c r="EB1433" s="1542"/>
      <c r="EC1433" s="1556"/>
      <c r="ED1433" s="1835"/>
      <c r="EE1433" s="1877"/>
      <c r="EF1433" s="1542"/>
      <c r="EG1433" s="1542"/>
      <c r="EH1433" s="1556"/>
      <c r="EI1433" s="1835"/>
      <c r="EJ1433" s="1835"/>
      <c r="EK1433" s="1835"/>
      <c r="EL1433" s="477"/>
      <c r="EM1433" s="477"/>
      <c r="EN1433" s="477"/>
      <c r="EO1433" s="1798"/>
      <c r="EP1433" s="477"/>
      <c r="EQ1433" s="477"/>
      <c r="ER1433" s="477"/>
      <c r="ES1433" s="477"/>
      <c r="ET1433" s="477"/>
      <c r="EU1433" s="477"/>
      <c r="EV1433" s="477"/>
      <c r="EW1433" s="477"/>
      <c r="EX1433" s="477"/>
    </row>
    <row r="1434" spans="2:154" hidden="1" outlineLevel="1">
      <c r="B1434" s="345" t="s">
        <v>413</v>
      </c>
      <c r="C1434" s="1989"/>
      <c r="D1434" s="28">
        <f t="shared" ref="D1434:AV1434" si="2790">+D1432+D1433</f>
      </c>
      <c r="E1434" s="28">
        <f t="shared" si="2790"/>
      </c>
      <c r="F1434" s="28">
        <f t="shared" si="2790"/>
      </c>
      <c r="G1434" s="28">
        <f t="shared" si="2790"/>
      </c>
      <c r="H1434" s="28">
        <f t="shared" si="2790"/>
      </c>
      <c r="I1434" s="31">
        <f t="shared" si="2790"/>
      </c>
      <c r="J1434" s="28">
        <f t="shared" si="2790"/>
      </c>
      <c r="K1434" s="28">
        <f t="shared" si="2790"/>
      </c>
      <c r="L1434" s="28">
        <f t="shared" si="2790"/>
      </c>
      <c r="M1434" s="28">
        <f t="shared" si="2790"/>
      </c>
      <c r="N1434" s="31">
        <f t="shared" si="2790"/>
      </c>
      <c r="O1434" s="31">
        <f t="shared" si="2790"/>
      </c>
      <c r="P1434" s="31">
        <f t="shared" si="2790"/>
      </c>
      <c r="Q1434" s="31">
        <f t="shared" si="2790"/>
      </c>
      <c r="R1434" s="31">
        <f t="shared" si="2790"/>
      </c>
      <c r="S1434" s="31">
        <f t="shared" si="2790"/>
      </c>
      <c r="T1434" s="31">
        <f t="shared" si="2790"/>
      </c>
      <c r="U1434" s="31">
        <f t="shared" si="2790"/>
      </c>
      <c r="V1434" s="31">
        <f t="shared" si="2790"/>
      </c>
      <c r="W1434" s="31">
        <f t="shared" si="2790"/>
      </c>
      <c r="X1434" s="313">
        <f t="shared" si="2790"/>
      </c>
      <c r="Y1434" s="31">
        <f t="shared" si="2790"/>
      </c>
      <c r="Z1434" s="31">
        <f t="shared" si="2790"/>
      </c>
      <c r="AA1434" s="31">
        <f t="shared" si="2790"/>
      </c>
      <c r="AB1434" s="31">
        <f t="shared" si="2790"/>
      </c>
      <c r="AC1434" s="313">
        <f t="shared" si="2790"/>
      </c>
      <c r="AD1434" s="31">
        <f t="shared" si="2790"/>
      </c>
      <c r="AE1434" s="31">
        <f t="shared" si="2790"/>
      </c>
      <c r="AF1434" s="31">
        <f t="shared" si="2790"/>
      </c>
      <c r="AG1434" s="31">
        <f t="shared" si="2790"/>
      </c>
      <c r="AH1434" s="313">
        <f t="shared" si="2790"/>
      </c>
      <c r="AI1434" s="28">
        <f t="shared" si="2790"/>
      </c>
      <c r="AJ1434" s="28">
        <f t="shared" si="2790"/>
      </c>
      <c r="AK1434" s="28">
        <f t="shared" si="2790"/>
      </c>
      <c r="AL1434" s="31">
        <f t="shared" si="2790"/>
      </c>
      <c r="AM1434" s="313">
        <f t="shared" si="2790"/>
      </c>
      <c r="AN1434" s="28">
        <f t="shared" si="2790"/>
      </c>
      <c r="AO1434" s="28">
        <f t="shared" si="2790"/>
      </c>
      <c r="AP1434" s="28">
        <f t="shared" si="2790"/>
      </c>
      <c r="AQ1434" s="28">
        <f t="shared" si="2790"/>
      </c>
      <c r="AR1434" s="313">
        <f t="shared" si="2790"/>
      </c>
      <c r="AS1434" s="28">
        <f t="shared" si="2790"/>
      </c>
      <c r="AT1434" s="28">
        <f t="shared" si="2790"/>
      </c>
      <c r="AU1434" s="28">
        <f t="shared" si="2790"/>
      </c>
      <c r="AV1434" s="28">
        <f t="shared" si="2790"/>
      </c>
      <c r="AW1434" s="313">
        <f>+AW1432+AW1433</f>
      </c>
      <c r="AX1434" s="28">
        <f t="shared" ref="AX1434:BF1434" si="2791">+AX1432+AX1433</f>
      </c>
      <c r="AY1434" s="28">
        <f t="shared" si="2791"/>
      </c>
      <c r="AZ1434" s="28">
        <f t="shared" si="2791"/>
      </c>
      <c r="BA1434" s="28">
        <f t="shared" si="2791"/>
      </c>
      <c r="BB1434" s="313">
        <f t="shared" si="2791"/>
      </c>
      <c r="BC1434" s="28">
        <f t="shared" si="2791"/>
      </c>
      <c r="BD1434" s="28">
        <f t="shared" si="2791"/>
      </c>
      <c r="BE1434" s="28">
        <f t="shared" si="2791"/>
      </c>
      <c r="BF1434" s="28">
        <f t="shared" si="2791"/>
      </c>
      <c r="BG1434" s="313">
        <f t="shared" ref="BG1434:BR1434" si="2792">+BG1432+BG1433</f>
      </c>
      <c r="BH1434" s="28">
        <f t="shared" si="2792"/>
      </c>
      <c r="BI1434" s="28">
        <f t="shared" si="2792"/>
      </c>
      <c r="BJ1434" s="28">
        <f t="shared" si="2792"/>
      </c>
      <c r="BK1434" s="28">
        <f t="shared" si="2792"/>
      </c>
      <c r="BL1434" s="313">
        <f>SUM(BH1434:BK1434)</f>
      </c>
      <c r="BM1434" s="28">
        <f>+BM1432+BM1433</f>
      </c>
      <c r="BN1434" s="28">
        <f>+BN1432+BN1433</f>
      </c>
      <c r="BO1434" s="28">
        <f>+BO1432+BO1433</f>
      </c>
      <c r="BP1434" s="28">
        <f>+BP1432+BP1433</f>
      </c>
      <c r="BQ1434" s="313">
        <f>SUM(BM1434:BP1434)</f>
      </c>
      <c r="BR1434" s="28">
        <f t="shared" si="2792"/>
      </c>
      <c r="BS1434" s="28">
        <f>+BS1432+BS1433</f>
      </c>
      <c r="BT1434" s="28">
        <f>+BT1432+BT1433</f>
      </c>
      <c r="BU1434" s="28">
        <f>+BU1432+BU1433</f>
      </c>
      <c r="BV1434" s="313">
        <f>SUM(BR1434:BU1434)</f>
      </c>
      <c r="BW1434" s="28">
        <f>+BW1432+BW1433</f>
      </c>
      <c r="BX1434" s="28">
        <f>+BX1432+BX1433</f>
      </c>
      <c r="BY1434" s="28">
        <f>+BY1432+BY1433</f>
      </c>
      <c r="BZ1434" s="28">
        <f>+BZ1432+BZ1433</f>
      </c>
      <c r="CA1434" s="313">
        <f>SUM(BW1434:BZ1434)</f>
      </c>
      <c r="CB1434" s="28">
        <f>+CB1432+CB1433</f>
      </c>
      <c r="CC1434" s="28">
        <f>+CC1432+CC1433</f>
      </c>
      <c r="CD1434" s="28">
        <f>+CD1432+CD1433</f>
      </c>
      <c r="CE1434" s="28">
        <f>+CE1432+CE1433</f>
      </c>
      <c r="CF1434" s="312">
        <f>SUM(CB1434:CE1434)</f>
      </c>
      <c r="CG1434" s="28">
        <f>+CG1432+CG1433</f>
      </c>
      <c r="CH1434" s="28">
        <f>+CH1432+CH1433</f>
      </c>
      <c r="CI1434" s="28">
        <f>+CI1432+CI1433</f>
      </c>
      <c r="CJ1434" s="28">
        <f>+CJ1432+CJ1433</f>
      </c>
      <c r="CK1434" s="312">
        <f>SUM(CG1434:CJ1434)</f>
      </c>
      <c r="CL1434" s="28">
        <f>+CL1432+CL1433</f>
      </c>
      <c r="CM1434" s="28">
        <f>+CM1432+CM1433</f>
      </c>
      <c r="CN1434" s="28">
        <f>+CN1432+CN1433</f>
      </c>
      <c r="CO1434" s="28">
        <f>+CO1432+CO1433</f>
      </c>
      <c r="CP1434" s="312">
        <f>SUM(CL1434:CO1434)</f>
      </c>
      <c r="CQ1434" s="933">
        <f>+CQ1432+CQ1433</f>
      </c>
      <c r="CR1434" s="933">
        <f>+CR1432+CR1433</f>
      </c>
      <c r="CS1434" s="933">
        <f>+CS1432+CS1433</f>
      </c>
      <c r="CT1434" s="933">
        <f>+CT1432+CT1433</f>
      </c>
      <c r="CU1434" s="312">
        <f>SUM(CQ1434:CT1434)</f>
      </c>
      <c r="CV1434" s="933">
        <f>+CV1432+CV1433</f>
      </c>
      <c r="CW1434" s="933">
        <f>+CW1432+CW1433</f>
      </c>
      <c r="CX1434" s="933">
        <f>+CX1432+CX1433</f>
      </c>
      <c r="CY1434" s="933">
        <f>+CY1432+CY1433</f>
      </c>
      <c r="CZ1434" s="312">
        <f>SUM(CV1434:CY1434)</f>
      </c>
      <c r="DA1434" s="933">
        <f>+DA1432+DA1433</f>
      </c>
      <c r="DB1434" s="933">
        <f>SUM(DB1432:DB1433)</f>
      </c>
      <c r="DC1434" s="31">
        <f>SUM(DC1432:DC1433)</f>
      </c>
      <c r="DD1434" s="984">
        <f>+DD1432+DD1433</f>
      </c>
      <c r="DE1434" s="1835">
        <f>SUM(DA1434:DD1434)</f>
      </c>
      <c r="DF1434" s="1542">
        <f>SUM(DF1432:DF1433)</f>
      </c>
      <c r="DG1434" s="1542">
        <f>SUM(DG1432:DG1433)</f>
      </c>
      <c r="DH1434" s="1542">
        <f>SUM(DH1432:DH1433)</f>
      </c>
      <c r="DI1434" s="1556">
        <f>+DI1432+DI1433</f>
      </c>
      <c r="DJ1434" s="1835">
        <f>SUM(DF1434:DI1434)</f>
      </c>
      <c r="DK1434" s="1542">
        <f>SUM(DK1432:DK1433)</f>
      </c>
      <c r="DL1434" s="1542">
        <f>SUM(DL1432:DL1433)</f>
      </c>
      <c r="DM1434" s="1542">
        <f>SUM(DM1432:DM1433)</f>
      </c>
      <c r="DN1434" s="1556">
        <f>+DN1432+DN1433</f>
      </c>
      <c r="DO1434" s="1835">
        <f>+DO1432+DO1433</f>
      </c>
      <c r="DP1434" s="1542">
        <f>SUM(DP1432:DP1433)</f>
      </c>
      <c r="DQ1434" s="1542">
        <f>SUM(DQ1432:DQ1433)</f>
      </c>
      <c r="DR1434" s="1542">
        <f>SUM(DR1432:DR1433)</f>
      </c>
      <c r="DS1434" s="1556">
        <f>+DS1432+DS1433</f>
      </c>
      <c r="DT1434" s="1835">
        <f>+DT1432+DT1433</f>
      </c>
      <c r="DU1434" s="1542">
        <f>SUM(DU1432:DU1433)</f>
      </c>
      <c r="DV1434" s="1542">
        <f>SUM(DV1432:DV1433)</f>
      </c>
      <c r="DW1434" s="1542"/>
      <c r="DX1434" s="1556"/>
      <c r="DY1434" s="1835"/>
      <c r="DZ1434" s="1542"/>
      <c r="EA1434" s="1542"/>
      <c r="EB1434" s="1542"/>
      <c r="EC1434" s="1556"/>
      <c r="ED1434" s="1835"/>
      <c r="EE1434" s="1877"/>
      <c r="EF1434" s="1542"/>
      <c r="EG1434" s="1542"/>
      <c r="EH1434" s="1556"/>
      <c r="EI1434" s="1835"/>
      <c r="EJ1434" s="1835"/>
      <c r="EK1434" s="1835"/>
      <c r="EL1434" s="477"/>
      <c r="EM1434" s="477"/>
      <c r="EN1434" s="477"/>
      <c r="EO1434" s="1798"/>
      <c r="EP1434" s="477"/>
      <c r="EQ1434" s="477"/>
      <c r="ER1434" s="477"/>
      <c r="ES1434" s="477"/>
      <c r="ET1434" s="477"/>
      <c r="EU1434" s="477"/>
      <c r="EV1434" s="477"/>
      <c r="EW1434" s="477"/>
      <c r="EX1434" s="477"/>
    </row>
    <row r="1435" spans="2:154" hidden="1" outlineLevel="1">
      <c r="B1435" s="345"/>
      <c r="C1435" s="1989"/>
      <c r="D1435" s="28"/>
      <c r="E1435" s="28"/>
      <c r="F1435" s="28"/>
      <c r="G1435" s="28"/>
      <c r="H1435" s="28"/>
      <c r="I1435" s="31"/>
      <c r="J1435" s="28"/>
      <c r="K1435" s="28"/>
      <c r="L1435" s="28"/>
      <c r="M1435" s="28"/>
      <c r="N1435" s="31"/>
      <c r="O1435" s="31"/>
      <c r="P1435" s="31"/>
      <c r="Q1435" s="31"/>
      <c r="R1435" s="31"/>
      <c r="S1435" s="31"/>
      <c r="T1435" s="31"/>
      <c r="U1435" s="31"/>
      <c r="V1435" s="31"/>
      <c r="W1435" s="31"/>
      <c r="X1435" s="313"/>
      <c r="Y1435" s="31"/>
      <c r="Z1435" s="31"/>
      <c r="AA1435" s="31"/>
      <c r="AB1435" s="31"/>
      <c r="AC1435" s="313"/>
      <c r="AD1435" s="31"/>
      <c r="AE1435" s="31"/>
      <c r="AF1435" s="31"/>
      <c r="AG1435" s="31"/>
      <c r="AH1435" s="313"/>
      <c r="AI1435" s="28"/>
      <c r="AJ1435" s="28"/>
      <c r="AK1435" s="28"/>
      <c r="AL1435" s="31"/>
      <c r="AM1435" s="313"/>
      <c r="AN1435" s="28"/>
      <c r="AO1435" s="28"/>
      <c r="AP1435" s="28"/>
      <c r="AQ1435" s="31"/>
      <c r="AR1435" s="313"/>
      <c r="AS1435" s="28"/>
      <c r="AT1435" s="28"/>
      <c r="AU1435" s="28"/>
      <c r="AV1435" s="31"/>
      <c r="AW1435" s="313"/>
      <c r="AX1435" s="28"/>
      <c r="AY1435" s="28"/>
      <c r="AZ1435" s="28"/>
      <c r="BA1435" s="28"/>
      <c r="BB1435" s="313"/>
      <c r="BC1435" s="28"/>
      <c r="BD1435" s="28"/>
      <c r="BE1435" s="28"/>
      <c r="BF1435" s="28"/>
      <c r="BG1435" s="313"/>
      <c r="BH1435" s="28"/>
      <c r="BI1435" s="28"/>
      <c r="BJ1435" s="28"/>
      <c r="BK1435" s="28"/>
      <c r="BL1435" s="313"/>
      <c r="BM1435" s="28"/>
      <c r="BN1435" s="28"/>
      <c r="BO1435" s="28"/>
      <c r="BP1435" s="28"/>
      <c r="BQ1435" s="313"/>
      <c r="BR1435" s="28"/>
      <c r="BS1435" s="28"/>
      <c r="BT1435" s="28"/>
      <c r="BU1435" s="28"/>
      <c r="BV1435" s="313"/>
      <c r="BW1435" s="28"/>
      <c r="BX1435" s="28"/>
      <c r="BY1435" s="28"/>
      <c r="BZ1435" s="28"/>
      <c r="CA1435" s="313"/>
      <c r="CB1435" s="28"/>
      <c r="CC1435" s="28"/>
      <c r="CD1435" s="28"/>
      <c r="CE1435" s="28"/>
      <c r="CF1435" s="313"/>
      <c r="CG1435" s="28"/>
      <c r="CH1435" s="28"/>
      <c r="CI1435" s="28"/>
      <c r="CJ1435" s="28"/>
      <c r="CK1435" s="313"/>
      <c r="CL1435" s="28"/>
      <c r="CM1435" s="933"/>
      <c r="CN1435" s="28"/>
      <c r="CO1435" s="28"/>
      <c r="CP1435" s="313"/>
      <c r="CQ1435" s="933"/>
      <c r="CR1435" s="933"/>
      <c r="CS1435" s="933"/>
      <c r="CT1435" s="933"/>
      <c r="CU1435" s="313"/>
      <c r="CV1435" s="933"/>
      <c r="CW1435" s="933"/>
      <c r="CX1435" s="933"/>
      <c r="CY1435" s="933"/>
      <c r="CZ1435" s="313"/>
      <c r="DA1435" s="933"/>
      <c r="DB1435" s="31"/>
      <c r="DC1435" s="31"/>
      <c r="DD1435" s="955"/>
      <c r="DE1435" s="477"/>
      <c r="DF1435" s="982"/>
      <c r="DG1435" s="603"/>
      <c r="DH1435" s="603"/>
      <c r="DI1435" s="1798"/>
      <c r="DJ1435" s="477"/>
      <c r="DK1435" s="982"/>
      <c r="DL1435" s="603"/>
      <c r="DM1435" s="603"/>
      <c r="DN1435" s="1798"/>
      <c r="DO1435" s="477"/>
      <c r="DP1435" s="603"/>
      <c r="DQ1435" s="603"/>
      <c r="DR1435" s="603"/>
      <c r="DS1435" s="1798"/>
      <c r="DT1435" s="477"/>
      <c r="DU1435" s="603"/>
      <c r="DV1435" s="603"/>
      <c r="DW1435" s="603"/>
      <c r="DX1435" s="1798"/>
      <c r="DY1435" s="477"/>
      <c r="DZ1435" s="603"/>
      <c r="EA1435" s="603"/>
      <c r="EB1435" s="603"/>
      <c r="EC1435" s="1798"/>
      <c r="ED1435" s="477"/>
      <c r="EE1435" s="1799"/>
      <c r="EF1435" s="603"/>
      <c r="EG1435" s="603"/>
      <c r="EH1435" s="1798"/>
      <c r="EI1435" s="477"/>
      <c r="EJ1435" s="477"/>
      <c r="EK1435" s="477"/>
      <c r="EL1435" s="477"/>
      <c r="EM1435" s="477"/>
      <c r="EN1435" s="477"/>
      <c r="EO1435" s="1798"/>
      <c r="EP1435" s="477"/>
      <c r="EQ1435" s="477"/>
      <c r="ER1435" s="477"/>
      <c r="ES1435" s="477"/>
      <c r="ET1435" s="477"/>
      <c r="EU1435" s="477"/>
      <c r="EV1435" s="477"/>
      <c r="EW1435" s="477"/>
      <c r="EX1435" s="477"/>
    </row>
    <row r="1436" spans="2:154" hidden="1" outlineLevel="1">
      <c r="B1436" s="343" t="s">
        <v>369</v>
      </c>
      <c r="C1436" s="1989"/>
      <c r="D1436" s="28"/>
      <c r="E1436" s="28"/>
      <c r="F1436" s="28"/>
      <c r="G1436" s="28"/>
      <c r="H1436" s="28"/>
      <c r="I1436" s="31"/>
      <c r="J1436" s="28"/>
      <c r="K1436" s="28"/>
      <c r="L1436" s="28"/>
      <c r="M1436" s="28"/>
      <c r="N1436" s="31"/>
      <c r="O1436" s="31"/>
      <c r="P1436" s="31"/>
      <c r="Q1436" s="31"/>
      <c r="R1436" s="31"/>
      <c r="S1436" s="31"/>
      <c r="T1436" s="31"/>
      <c r="U1436" s="31"/>
      <c r="V1436" s="31"/>
      <c r="W1436" s="31"/>
      <c r="X1436" s="313"/>
      <c r="Y1436" s="31"/>
      <c r="Z1436" s="31"/>
      <c r="AA1436" s="31"/>
      <c r="AB1436" s="31"/>
      <c r="AC1436" s="313"/>
      <c r="AD1436" s="31"/>
      <c r="AE1436" s="31"/>
      <c r="AF1436" s="31"/>
      <c r="AG1436" s="31"/>
      <c r="AH1436" s="313"/>
      <c r="AI1436" s="28"/>
      <c r="AJ1436" s="28"/>
      <c r="AK1436" s="28"/>
      <c r="AL1436" s="31"/>
      <c r="AM1436" s="313"/>
      <c r="AN1436" s="28"/>
      <c r="AO1436" s="28"/>
      <c r="AP1436" s="28"/>
      <c r="AQ1436" s="28"/>
      <c r="AR1436" s="313"/>
      <c r="AS1436" s="28"/>
      <c r="AT1436" s="28"/>
      <c r="AU1436" s="28"/>
      <c r="AV1436" s="28"/>
      <c r="AW1436" s="313"/>
      <c r="AX1436" s="28"/>
      <c r="AY1436" s="28"/>
      <c r="AZ1436" s="28"/>
      <c r="BA1436" s="28"/>
      <c r="BB1436" s="313"/>
      <c r="BC1436" s="28"/>
      <c r="BD1436" s="28"/>
      <c r="BE1436" s="28"/>
      <c r="BF1436" s="28"/>
      <c r="BG1436" s="313"/>
      <c r="BH1436" s="28"/>
      <c r="BI1436" s="28"/>
      <c r="BJ1436" s="28"/>
      <c r="BK1436" s="28"/>
      <c r="BL1436" s="313"/>
      <c r="BM1436" s="28"/>
      <c r="BN1436" s="28"/>
      <c r="BO1436" s="28"/>
      <c r="BP1436" s="28"/>
      <c r="BQ1436" s="313"/>
      <c r="BR1436" s="28"/>
      <c r="BS1436" s="28"/>
      <c r="BT1436" s="28"/>
      <c r="BU1436" s="28"/>
      <c r="BV1436" s="313"/>
      <c r="BW1436" s="28"/>
      <c r="BX1436" s="28"/>
      <c r="BY1436" s="28"/>
      <c r="BZ1436" s="28"/>
      <c r="CA1436" s="313"/>
      <c r="CB1436" s="28"/>
      <c r="CC1436" s="28"/>
      <c r="CD1436" s="28"/>
      <c r="CE1436" s="28"/>
      <c r="CF1436" s="313"/>
      <c r="CG1436" s="28"/>
      <c r="CH1436" s="28"/>
      <c r="CI1436" s="28"/>
      <c r="CJ1436" s="28"/>
      <c r="CK1436" s="313"/>
      <c r="CL1436" s="28"/>
      <c r="CM1436" s="933"/>
      <c r="CN1436" s="28"/>
      <c r="CO1436" s="28"/>
      <c r="CP1436" s="313"/>
      <c r="CQ1436" s="933"/>
      <c r="CR1436" s="933"/>
      <c r="CS1436" s="933"/>
      <c r="CT1436" s="933"/>
      <c r="CU1436" s="313"/>
      <c r="CV1436" s="933"/>
      <c r="CW1436" s="933"/>
      <c r="CX1436" s="933"/>
      <c r="CY1436" s="933"/>
      <c r="CZ1436" s="313"/>
      <c r="DA1436" s="933"/>
      <c r="DB1436" s="31"/>
      <c r="DC1436" s="31"/>
      <c r="DD1436" s="955"/>
      <c r="DE1436" s="477"/>
      <c r="DF1436" s="982"/>
      <c r="DG1436" s="603"/>
      <c r="DH1436" s="603"/>
      <c r="DI1436" s="1798"/>
      <c r="DJ1436" s="477"/>
      <c r="DK1436" s="982"/>
      <c r="DL1436" s="603"/>
      <c r="DM1436" s="603"/>
      <c r="DN1436" s="1798"/>
      <c r="DO1436" s="477"/>
      <c r="DP1436" s="603"/>
      <c r="DQ1436" s="603"/>
      <c r="DR1436" s="603"/>
      <c r="DS1436" s="1798"/>
      <c r="DT1436" s="477"/>
      <c r="DU1436" s="603"/>
      <c r="DV1436" s="603"/>
      <c r="DW1436" s="603"/>
      <c r="DX1436" s="1798"/>
      <c r="DY1436" s="477"/>
      <c r="DZ1436" s="603"/>
      <c r="EA1436" s="603"/>
      <c r="EB1436" s="603"/>
      <c r="EC1436" s="1798"/>
      <c r="ED1436" s="477"/>
      <c r="EE1436" s="1799"/>
      <c r="EF1436" s="603"/>
      <c r="EG1436" s="603"/>
      <c r="EH1436" s="1798"/>
      <c r="EI1436" s="477"/>
      <c r="EJ1436" s="477"/>
      <c r="EK1436" s="477"/>
      <c r="EL1436" s="477"/>
      <c r="EM1436" s="477"/>
      <c r="EN1436" s="477"/>
      <c r="EO1436" s="1798"/>
      <c r="EP1436" s="477"/>
      <c r="EQ1436" s="477"/>
      <c r="ER1436" s="477"/>
      <c r="ES1436" s="477"/>
      <c r="ET1436" s="477"/>
      <c r="EU1436" s="477"/>
      <c r="EV1436" s="477"/>
      <c r="EW1436" s="477"/>
      <c r="EX1436" s="477"/>
    </row>
    <row r="1437" spans="2:154" hidden="1" outlineLevel="1">
      <c r="B1437" s="510" t="s">
        <v>187</v>
      </c>
      <c r="C1437" s="1989"/>
      <c r="D1437" s="28"/>
      <c r="E1437" s="28"/>
      <c r="F1437" s="28"/>
      <c r="G1437" s="28"/>
      <c r="H1437" s="28"/>
      <c r="I1437" s="30">
        <f t="shared" ref="I1437:R1438" si="2793">IF(D1432="NM","NM",IF(I1432="NM","NM",IF(D1432&lt;=0,"NM",IF(I1432=0,"NM",IF(ABS(I1432/D1432-1)&gt;2.5,"NM",IF((ABS(I1432-D1432)=ABS(ABS(I1432)-ABS(D1432))),(I1432/D1432-1),"NM"))))))</f>
      </c>
      <c r="J1437" s="30">
        <f t="shared" si="2793"/>
      </c>
      <c r="K1437" s="30">
        <f t="shared" si="2793"/>
      </c>
      <c r="L1437" s="30">
        <f t="shared" si="2793"/>
      </c>
      <c r="M1437" s="30">
        <f t="shared" si="2793"/>
      </c>
      <c r="N1437" s="30">
        <f t="shared" si="2793"/>
      </c>
      <c r="O1437" s="30">
        <f t="shared" si="2793"/>
      </c>
      <c r="P1437" s="30">
        <f t="shared" si="2793"/>
      </c>
      <c r="Q1437" s="30">
        <f t="shared" si="2793"/>
      </c>
      <c r="R1437" s="30">
        <f t="shared" si="2793"/>
      </c>
      <c r="S1437" s="30">
        <f t="shared" ref="S1437:AB1438" si="2794">IF(N1432="NM","NM",IF(S1432="NM","NM",IF(N1432&lt;=0,"NM",IF(S1432=0,"NM",IF(ABS(S1432/N1432-1)&gt;2.5,"NM",IF((ABS(S1432-N1432)=ABS(ABS(S1432)-ABS(N1432))),(S1432/N1432-1),"NM"))))))</f>
      </c>
      <c r="T1437" s="30">
        <f t="shared" si="2794"/>
      </c>
      <c r="U1437" s="30">
        <f t="shared" si="2794"/>
      </c>
      <c r="V1437" s="30">
        <f t="shared" si="2794"/>
      </c>
      <c r="W1437" s="30">
        <f t="shared" si="2794"/>
      </c>
      <c r="X1437" s="308">
        <f t="shared" si="2794"/>
      </c>
      <c r="Y1437" s="30">
        <f t="shared" si="2794"/>
      </c>
      <c r="Z1437" s="30">
        <f t="shared" si="2794"/>
      </c>
      <c r="AA1437" s="30">
        <f t="shared" si="2794"/>
      </c>
      <c r="AB1437" s="30">
        <f t="shared" si="2794"/>
      </c>
      <c r="AC1437" s="308">
        <f t="shared" ref="AC1437:AL1438" si="2795">IF(X1432="NM","NM",IF(AC1432="NM","NM",IF(X1432&lt;=0,"NM",IF(AC1432=0,"NM",IF(ABS(AC1432/X1432-1)&gt;2.5,"NM",IF((ABS(AC1432-X1432)=ABS(ABS(AC1432)-ABS(X1432))),(AC1432/X1432-1),"NM"))))))</f>
      </c>
      <c r="AD1437" s="30">
        <f t="shared" si="2795"/>
      </c>
      <c r="AE1437" s="30">
        <f t="shared" si="2795"/>
      </c>
      <c r="AF1437" s="30">
        <f t="shared" si="2795"/>
      </c>
      <c r="AG1437" s="30">
        <f t="shared" si="2795"/>
      </c>
      <c r="AH1437" s="308">
        <f t="shared" si="2795"/>
      </c>
      <c r="AI1437" s="30">
        <f t="shared" si="2795"/>
      </c>
      <c r="AJ1437" s="30">
        <f t="shared" si="2795"/>
      </c>
      <c r="AK1437" s="30">
        <f t="shared" si="2795"/>
      </c>
      <c r="AL1437" s="30">
        <f t="shared" si="2795"/>
      </c>
      <c r="AM1437" s="308">
        <f t="shared" ref="AM1437:AV1438" si="2796">IF(AH1432="NM","NM",IF(AM1432="NM","NM",IF(AH1432&lt;=0,"NM",IF(AM1432=0,"NM",IF(ABS(AM1432/AH1432-1)&gt;2.5,"NM",IF((ABS(AM1432-AH1432)=ABS(ABS(AM1432)-ABS(AH1432))),(AM1432/AH1432-1),"NM"))))))</f>
      </c>
      <c r="AN1437" s="30">
        <f t="shared" si="2796"/>
      </c>
      <c r="AO1437" s="30">
        <f t="shared" si="2796"/>
      </c>
      <c r="AP1437" s="30">
        <f t="shared" si="2796"/>
      </c>
      <c r="AQ1437" s="30">
        <f t="shared" si="2796"/>
      </c>
      <c r="AR1437" s="308">
        <f t="shared" si="2796"/>
      </c>
      <c r="AS1437" s="30">
        <f t="shared" si="2796"/>
      </c>
      <c r="AT1437" s="30">
        <f t="shared" si="2796"/>
      </c>
      <c r="AU1437" s="30">
        <f t="shared" si="2796"/>
      </c>
      <c r="AV1437" s="30">
        <f t="shared" si="2796"/>
      </c>
      <c r="AW1437" s="308">
        <f t="shared" ref="AW1437:BO1438" si="2797">IF(AR1432="NM","NM",IF(AW1432="NM","NM",IF(AR1432&lt;=0,"NM",IF(AW1432=0,"NM",IF(ABS(AW1432/AR1432-1)&gt;2.5,"NM",IF((ABS(AW1432-AR1432)=ABS(ABS(AW1432)-ABS(AR1432))),(AW1432/AR1432-1),"NM"))))))</f>
      </c>
      <c r="AX1437" s="30">
        <f t="shared" si="2797"/>
      </c>
      <c r="AY1437" s="30">
        <f t="shared" si="2797"/>
      </c>
      <c r="AZ1437" s="30">
        <f t="shared" si="2797"/>
      </c>
      <c r="BA1437" s="30">
        <f t="shared" si="2797"/>
      </c>
      <c r="BB1437" s="308">
        <f t="shared" si="2797"/>
      </c>
      <c r="BC1437" s="30">
        <f t="shared" si="2797"/>
      </c>
      <c r="BD1437" s="30">
        <f t="shared" si="2797"/>
      </c>
      <c r="BE1437" s="30">
        <f t="shared" si="2797"/>
      </c>
      <c r="BF1437" s="30">
        <f t="shared" si="2797"/>
      </c>
      <c r="BG1437" s="308">
        <f>IF(BB1432="NM","NM",IF(BG1432="NM","NM",IF(BB1432&lt;=0,"NM",IF(BG1432=0,"NM",IF(ABS(BG1432/BB1432-1)&gt;2.5,"NM",IF((ABS(BG1432-BB1432)=ABS(ABS(BG1432)-ABS(BB1432))),(BG1432/BB1432-1),"NM"))))))</f>
      </c>
      <c r="BH1437" s="30">
        <f t="shared" si="2797"/>
      </c>
      <c r="BI1437" s="30">
        <f t="shared" si="2797"/>
      </c>
      <c r="BJ1437" s="30">
        <f t="shared" si="2797"/>
      </c>
      <c r="BK1437" s="30">
        <f t="shared" si="2797"/>
      </c>
      <c r="BL1437" s="308">
        <f>IF(BG1432="NM","NM",IF(BL1432="NM","NM",IF(BG1432&lt;=0,"NM",IF(BL1432=0,"NM",IF(ABS(BL1432/BG1432-1)&gt;2.5,"NM",IF((ABS(BL1432-BG1432)=ABS(ABS(BL1432)-ABS(BG1432))),(BL1432/BG1432-1),"NM"))))))</f>
      </c>
      <c r="BM1437" s="30">
        <f t="shared" si="2797"/>
      </c>
      <c r="BN1437" s="30">
        <f t="shared" si="2797"/>
      </c>
      <c r="BO1437" s="30">
        <f t="shared" si="2797"/>
      </c>
      <c r="BP1437" s="30">
        <f t="shared" ref="BP1437:BY1438" si="2798">IF(BK1432="NM","NM",IF(BP1432="NM","NM",IF(BK1432&lt;=0,"NM",IF(BP1432=0,"NM",IF(ABS(BP1432/BK1432-1)&gt;2.5,"NM",IF((ABS(BP1432-BK1432)=ABS(ABS(BP1432)-ABS(BK1432))),(BP1432/BK1432-1),"NM"))))))</f>
      </c>
      <c r="BQ1437" s="308">
        <f t="shared" si="2798"/>
      </c>
      <c r="BR1437" s="30">
        <f t="shared" si="2798"/>
      </c>
      <c r="BS1437" s="30">
        <f t="shared" si="2798"/>
      </c>
      <c r="BT1437" s="30">
        <f t="shared" si="2798"/>
      </c>
      <c r="BU1437" s="30">
        <f>IF(BP1432="NM","NM",IF(BU1432="NM","NM",IF(BP1432&lt;=0,"NM",IF(BU1432=0,"NM",IF(ABS(BU1432/BP1432-1)&gt;2.5,"NM",IF((ABS(BU1432-BP1432)=ABS(ABS(BU1432)-ABS(BP1432))),(BU1432/BP1432-1),"NM"))))))</f>
      </c>
      <c r="BV1437" s="308">
        <f t="shared" si="2798"/>
      </c>
      <c r="BW1437" s="30">
        <f t="shared" si="2798"/>
      </c>
      <c r="BX1437" s="30">
        <f t="shared" si="2798"/>
      </c>
      <c r="BY1437" s="30">
        <f t="shared" si="2798"/>
      </c>
      <c r="BZ1437" s="30">
        <f>IF(BU1432="NM","NM",IF(BZ1432="NM","NM",IF(BU1432&lt;=0,"NM",IF(BZ1432=0,"NM",IF(ABS(BZ1432/BU1432-1)&gt;2.5,"NM",IF((ABS(BZ1432-BU1432)=ABS(ABS(BZ1432)-ABS(BU1432))),(BZ1432/BU1432-1),"NM"))))))</f>
      </c>
      <c r="CA1437" s="315">
        <f>IF(BV1432="NM","NM",IF(CA1432="NM","NM",IF(BV1432&lt;=0,"NM",IF(CA1432=0,"NM",IF(ABS(CA1432/BV1432-1)&gt;2.5,"NM",IF((ABS(CA1432-BV1432)=ABS(ABS(CA1432)-ABS(BV1432))),(CA1432/BV1432-1),"NM"))))))</f>
      </c>
      <c r="CB1437" s="30">
        <f t="shared" ref="CB1437:CD1438" si="2799">IF(BW1432="NM","NM",IF(CB1432="NM","NM",IF(BW1432&lt;=0,"NM",IF(CB1432=0,"NM",IF(ABS(CB1432/BW1432-1)&gt;2.5,"NM",IF((ABS(CB1432-BW1432)=ABS(ABS(CB1432)-ABS(BW1432))),(CB1432/BW1432-1),"NM"))))))</f>
      </c>
      <c r="CC1437" s="30">
        <f t="shared" si="2799"/>
      </c>
      <c r="CD1437" s="30">
        <f t="shared" si="2799"/>
      </c>
      <c r="CE1437" s="30">
        <f>IF(BZ1432="NM","NM",IF(CE1432="NM","NM",IF(BZ1432&lt;=0,"NM",IF(CE1432=0,"NM",IF(ABS(CE1432/BZ1432-1)&gt;2.5,"NM",IF((ABS(CE1432-BZ1432)=ABS(ABS(CE1432)-ABS(BZ1432))),(CE1432/BZ1432-1),"NM"))))))</f>
      </c>
      <c r="CF1437" s="315">
        <f>IF(CA1432="NM","NM",IF(CF1432="NM","NM",IF(CA1432&lt;=0,"NM",IF(CF1432=0,"NM",IF(ABS(CF1432/CA1432-1)&gt;2.5,"NM",IF((ABS(CF1432-CA1432)=ABS(ABS(CF1432)-ABS(CA1432))),(CF1432/CA1432-1),"NM"))))))</f>
      </c>
      <c r="CG1437" s="30">
        <f t="shared" ref="CG1437:CX1438" si="2800">IF(CB1432="NM","NM",IF(CG1432="NM","NM",IF(CB1432&lt;=0,"NM",IF(CG1432=0,"NM",IF(ABS(CG1432/CB1432-1)&gt;2.5,"NM",IF((ABS(CG1432-CB1432)=ABS(ABS(CG1432)-ABS(CB1432))),(CG1432/CB1432-1),"NM"))))))</f>
      </c>
      <c r="CH1437" s="30">
        <f t="shared" si="2800"/>
      </c>
      <c r="CI1437" s="30">
        <f t="shared" si="2800"/>
      </c>
      <c r="CJ1437" s="30">
        <f t="shared" si="2800"/>
      </c>
      <c r="CK1437" s="308">
        <f>IF(CF1432=0, 0, CK1432/CF1432-1)</f>
      </c>
      <c r="CL1437" s="30">
        <f t="shared" si="2800"/>
      </c>
      <c r="CM1437" s="30">
        <f t="shared" si="2800"/>
      </c>
      <c r="CN1437" s="30">
        <f t="shared" si="2800"/>
      </c>
      <c r="CO1437" s="30">
        <f t="shared" si="2800"/>
      </c>
      <c r="CP1437" s="308">
        <f>IF(CK1432=0, 0, CP1432/CK1432-1)</f>
      </c>
      <c r="CQ1437" s="30">
        <f t="shared" si="2800"/>
      </c>
      <c r="CR1437" s="30">
        <f t="shared" si="2800"/>
      </c>
      <c r="CS1437" s="30">
        <f t="shared" si="2800"/>
      </c>
      <c r="CT1437" s="30">
        <f t="shared" si="2800"/>
      </c>
      <c r="CU1437" s="308">
        <f>IF(CP1432=0, 0, CU1432/CP1432-1)</f>
      </c>
      <c r="CV1437" s="30">
        <f t="shared" si="2800"/>
      </c>
      <c r="CW1437" s="30">
        <f t="shared" si="2800"/>
      </c>
      <c r="CX1437" s="30">
        <f t="shared" si="2800"/>
      </c>
      <c r="CY1437" s="30">
        <f>IF(CT1432="NM","NM",IF(CY1432="NM","NM",IF(CT1432&lt;=0,"NM",IF(CY1432=0,"NM",IF(ABS(CY1432/CT1432-1)&gt;2.5,"NM",IF((ABS(CY1432-CT1432)=ABS(ABS(CY1432)-ABS(CT1432))),(CY1432/CT1432-1),"NM"))))))</f>
      </c>
      <c r="CZ1437" s="308">
        <f>IF(CU1432=0, 0, CZ1432/CU1432-1)</f>
      </c>
      <c r="DA1437" s="30">
        <f t="shared" ref="DA1437:DD1438" si="2801">IF(CV1432="NM","NM",IF(DA1432="NM","NM",IF(CV1432&lt;=0,"NM",IF(DA1432=0,"NM",IF(ABS(DA1432/CV1432-1)&gt;2.5,"NM",IF((ABS(DA1432-CV1432)=ABS(ABS(DA1432)-ABS(CV1432))),(DA1432/CV1432-1),"NM"))))))</f>
      </c>
      <c r="DB1437" s="30">
        <f t="shared" si="2801"/>
      </c>
      <c r="DC1437" s="30">
        <f t="shared" si="2801"/>
      </c>
      <c r="DD1437" s="30">
        <f t="shared" si="2801"/>
      </c>
      <c r="DE1437" s="308">
        <f>IF(CZ1432=0, 0, DE1432/CZ1432-1)</f>
      </c>
      <c r="DF1437" s="926">
        <f t="shared" ref="DF1437:DI1438" si="2802">IF(DA1432="NM","NM",IF(DF1432="NM","NM",IF(DA1432&lt;=0,"NM",IF(DF1432=0,"NM",IF(ABS(DF1432/DA1432-1)&gt;2.5,"NM",IF((ABS(DF1432-DA1432)=ABS(ABS(DF1432)-ABS(DA1432))),(DF1432/DA1432-1),"NM"))))))</f>
      </c>
      <c r="DG1437" s="30">
        <f t="shared" si="2802"/>
      </c>
      <c r="DH1437" s="30">
        <f t="shared" si="2802"/>
      </c>
      <c r="DI1437" s="30">
        <f t="shared" si="2802"/>
      </c>
      <c r="DJ1437" s="308">
        <f>IF(DE1432=0, 0, DJ1432/DE1432-1)</f>
      </c>
      <c r="DK1437" s="926">
        <f t="shared" ref="DK1437:DV1438" si="2803">IF(DF1432="NM","NM",IF(DK1432="NM","NM",IF(DF1432&lt;=0,"NM",IF(DK1432=0,"NM",IF(ABS(DK1432/DF1432-1)&gt;2.5,"NM",IF((ABS(DK1432-DF1432)=ABS(ABS(DK1432)-ABS(DF1432))),(DK1432/DF1432-1),"NM"))))))</f>
      </c>
      <c r="DL1437" s="30">
        <f t="shared" si="2803"/>
      </c>
      <c r="DM1437" s="30">
        <f t="shared" si="2803"/>
      </c>
      <c r="DN1437" s="409">
        <f t="shared" si="2803"/>
      </c>
      <c r="DO1437" s="308">
        <f>IF(DJ1432=0, 0, DO1432/DJ1432-1)</f>
      </c>
      <c r="DP1437" s="926">
        <f t="shared" si="2803"/>
      </c>
      <c r="DQ1437" s="926">
        <f t="shared" si="2803"/>
      </c>
      <c r="DR1437" s="926">
        <f t="shared" si="2803"/>
      </c>
      <c r="DS1437" s="926">
        <f t="shared" si="2803"/>
      </c>
      <c r="DT1437" s="308">
        <f>IF(DO1432=0, 0, DT1432/DO1432-1)</f>
      </c>
      <c r="DU1437" s="926">
        <f t="shared" si="2803"/>
      </c>
      <c r="DV1437" s="926">
        <f t="shared" si="2803"/>
      </c>
      <c r="DW1437" s="1741"/>
      <c r="DX1437" s="928"/>
      <c r="DY1437" s="836"/>
      <c r="DZ1437" s="1741"/>
      <c r="EA1437" s="1741"/>
      <c r="EB1437" s="1741"/>
      <c r="EC1437" s="928"/>
      <c r="ED1437" s="2773"/>
      <c r="EE1437" s="1955"/>
      <c r="EF1437" s="1955"/>
      <c r="EG1437" s="1955"/>
      <c r="EH1437" s="928"/>
      <c r="EI1437" s="2774"/>
      <c r="EJ1437" s="2774"/>
      <c r="EK1437" s="2774"/>
      <c r="EL1437" s="317"/>
      <c r="EM1437" s="317"/>
      <c r="EN1437" s="317"/>
      <c r="EO1437" s="836"/>
      <c r="EP1437" s="317"/>
      <c r="EQ1437" s="317"/>
      <c r="ER1437" s="317"/>
      <c r="ES1437" s="317"/>
      <c r="ET1437" s="317"/>
      <c r="EU1437" s="317"/>
      <c r="EV1437" s="317"/>
      <c r="EW1437" s="317"/>
      <c r="EX1437" s="317"/>
    </row>
    <row r="1438" spans="2:154" hidden="1" outlineLevel="1">
      <c r="B1438" s="510" t="s">
        <v>412</v>
      </c>
      <c r="C1438" s="1989"/>
      <c r="D1438" s="28"/>
      <c r="E1438" s="28"/>
      <c r="F1438" s="28"/>
      <c r="G1438" s="28"/>
      <c r="H1438" s="28"/>
      <c r="I1438" s="30">
        <f t="shared" si="2793"/>
      </c>
      <c r="J1438" s="30">
        <f t="shared" si="2793"/>
      </c>
      <c r="K1438" s="30">
        <f t="shared" si="2793"/>
      </c>
      <c r="L1438" s="30">
        <f t="shared" si="2793"/>
      </c>
      <c r="M1438" s="30">
        <f t="shared" si="2793"/>
      </c>
      <c r="N1438" s="30">
        <f t="shared" si="2793"/>
      </c>
      <c r="O1438" s="30">
        <f t="shared" si="2793"/>
      </c>
      <c r="P1438" s="30">
        <f t="shared" si="2793"/>
      </c>
      <c r="Q1438" s="30">
        <f t="shared" si="2793"/>
      </c>
      <c r="R1438" s="30">
        <f t="shared" si="2793"/>
      </c>
      <c r="S1438" s="30">
        <f t="shared" si="2794"/>
      </c>
      <c r="T1438" s="30">
        <f t="shared" si="2794"/>
      </c>
      <c r="U1438" s="30">
        <f t="shared" si="2794"/>
      </c>
      <c r="V1438" s="30">
        <f t="shared" si="2794"/>
      </c>
      <c r="W1438" s="30">
        <f t="shared" si="2794"/>
      </c>
      <c r="X1438" s="308">
        <f t="shared" si="2794"/>
      </c>
      <c r="Y1438" s="30">
        <f t="shared" si="2794"/>
      </c>
      <c r="Z1438" s="30">
        <f t="shared" si="2794"/>
      </c>
      <c r="AA1438" s="30">
        <f t="shared" si="2794"/>
      </c>
      <c r="AB1438" s="30">
        <f t="shared" si="2794"/>
      </c>
      <c r="AC1438" s="308">
        <f t="shared" si="2795"/>
      </c>
      <c r="AD1438" s="30">
        <f t="shared" si="2795"/>
      </c>
      <c r="AE1438" s="30">
        <f t="shared" si="2795"/>
      </c>
      <c r="AF1438" s="30">
        <f t="shared" si="2795"/>
      </c>
      <c r="AG1438" s="30">
        <f t="shared" si="2795"/>
      </c>
      <c r="AH1438" s="308">
        <f t="shared" si="2795"/>
      </c>
      <c r="AI1438" s="30">
        <f t="shared" si="2795"/>
      </c>
      <c r="AJ1438" s="30">
        <f t="shared" si="2795"/>
      </c>
      <c r="AK1438" s="30">
        <f t="shared" si="2795"/>
      </c>
      <c r="AL1438" s="30">
        <f t="shared" si="2795"/>
      </c>
      <c r="AM1438" s="308">
        <f t="shared" si="2796"/>
      </c>
      <c r="AN1438" s="30">
        <f t="shared" si="2796"/>
      </c>
      <c r="AO1438" s="30">
        <f t="shared" si="2796"/>
      </c>
      <c r="AP1438" s="30">
        <f t="shared" si="2796"/>
      </c>
      <c r="AQ1438" s="30">
        <f t="shared" si="2796"/>
      </c>
      <c r="AR1438" s="308">
        <f t="shared" si="2796"/>
      </c>
      <c r="AS1438" s="30">
        <f t="shared" si="2796"/>
      </c>
      <c r="AT1438" s="30">
        <f t="shared" si="2796"/>
      </c>
      <c r="AU1438" s="30">
        <f t="shared" si="2796"/>
      </c>
      <c r="AV1438" s="30">
        <f t="shared" si="2796"/>
      </c>
      <c r="AW1438" s="308">
        <f t="shared" si="2797"/>
      </c>
      <c r="AX1438" s="30">
        <f t="shared" si="2797"/>
      </c>
      <c r="AY1438" s="30">
        <f t="shared" si="2797"/>
      </c>
      <c r="AZ1438" s="30">
        <f t="shared" si="2797"/>
      </c>
      <c r="BA1438" s="30">
        <f t="shared" si="2797"/>
      </c>
      <c r="BB1438" s="308">
        <f t="shared" si="2797"/>
      </c>
      <c r="BC1438" s="30">
        <f t="shared" si="2797"/>
      </c>
      <c r="BD1438" s="30">
        <f t="shared" si="2797"/>
      </c>
      <c r="BE1438" s="30">
        <f t="shared" si="2797"/>
      </c>
      <c r="BF1438" s="30">
        <f t="shared" si="2797"/>
      </c>
      <c r="BG1438" s="308">
        <f>IF(BB1433="NM","NM",IF(BG1433="NM","NM",IF(BB1433&lt;=0,"NM",IF(BG1433=0,"NM",IF(ABS(BG1433/BB1433-1)&gt;2.5,"NM",IF((ABS(BG1433-BB1433)=ABS(ABS(BG1433)-ABS(BB1433))),(BG1433/BB1433-1),"NM"))))))</f>
      </c>
      <c r="BH1438" s="30">
        <f t="shared" si="2797"/>
      </c>
      <c r="BI1438" s="30">
        <f t="shared" si="2797"/>
      </c>
      <c r="BJ1438" s="30">
        <f t="shared" si="2797"/>
      </c>
      <c r="BK1438" s="30">
        <f t="shared" si="2797"/>
      </c>
      <c r="BL1438" s="308">
        <f>IF(BG1433="NM","NM",IF(BL1433="NM","NM",IF(BG1433&lt;=0,"NM",IF(BL1433=0,"NM",IF(ABS(BL1433/BG1433-1)&gt;2.5,"NM",IF((ABS(BL1433-BG1433)=ABS(ABS(BL1433)-ABS(BG1433))),(BL1433/BG1433-1),"NM"))))))</f>
      </c>
      <c r="BM1438" s="30">
        <f t="shared" si="2797"/>
      </c>
      <c r="BN1438" s="30">
        <f t="shared" si="2797"/>
      </c>
      <c r="BO1438" s="30">
        <f t="shared" si="2797"/>
      </c>
      <c r="BP1438" s="30">
        <f t="shared" si="2798"/>
      </c>
      <c r="BQ1438" s="308">
        <f t="shared" si="2798"/>
      </c>
      <c r="BR1438" s="30">
        <f t="shared" si="2798"/>
      </c>
      <c r="BS1438" s="30">
        <f t="shared" si="2798"/>
      </c>
      <c r="BT1438" s="30">
        <f t="shared" si="2798"/>
      </c>
      <c r="BU1438" s="30">
        <f>IF(BP1433="NM","NM",IF(BU1433="NM","NM",IF(BP1433&lt;=0,"NM",IF(BU1433=0,"NM",IF(ABS(BU1433/BP1433-1)&gt;2.5,"NM",IF((ABS(BU1433-BP1433)=ABS(ABS(BU1433)-ABS(BP1433))),(BU1433/BP1433-1),"NM"))))))</f>
      </c>
      <c r="BV1438" s="308">
        <f t="shared" si="2798"/>
      </c>
      <c r="BW1438" s="30">
        <f t="shared" si="2798"/>
      </c>
      <c r="BX1438" s="30">
        <f t="shared" si="2798"/>
      </c>
      <c r="BY1438" s="30">
        <f t="shared" si="2798"/>
      </c>
      <c r="BZ1438" s="30">
        <f>IF(BU1433="NM","NM",IF(BZ1433="NM","NM",IF(BU1433&lt;=0,"NM",IF(BZ1433=0,"NM",IF(ABS(BZ1433/BU1433-1)&gt;2.5,"NM",IF((ABS(BZ1433-BU1433)=ABS(ABS(BZ1433)-ABS(BU1433))),(BZ1433/BU1433-1),"NM"))))))</f>
      </c>
      <c r="CA1438" s="308">
        <f>IF(BV1433="NM","NM",IF(CA1433="NM","NM",IF(BV1433&lt;=0,"NM",IF(CA1433=0,"NM",IF(ABS(CA1433/BV1433-1)&gt;2.5,"NM",IF((ABS(CA1433-BV1433)=ABS(ABS(CA1433)-ABS(BV1433))),(CA1433/BV1433-1),"NM"))))))</f>
      </c>
      <c r="CB1438" s="30">
        <f t="shared" si="2799"/>
      </c>
      <c r="CC1438" s="30">
        <f t="shared" si="2799"/>
      </c>
      <c r="CD1438" s="30">
        <f t="shared" si="2799"/>
      </c>
      <c r="CE1438" s="30">
        <f>IF(BZ1433="NM","NM",IF(CE1433="NM","NM",IF(BZ1433&lt;=0,"NM",IF(CE1433=0,"NM",IF(ABS(CE1433/BZ1433-1)&gt;2.5,"NM",IF((ABS(CE1433-BZ1433)=ABS(ABS(CE1433)-ABS(BZ1433))),(CE1433/BZ1433-1),"NM"))))))</f>
      </c>
      <c r="CF1438" s="308">
        <f>IF(CA1433="NM","NM",IF(CF1433="NM","NM",IF(CA1433&lt;=0,"NM",IF(CF1433=0,"NM",IF(ABS(CF1433/CA1433-1)&gt;2.5,"NM",IF((ABS(CF1433-CA1433)=ABS(ABS(CF1433)-ABS(CA1433))),(CF1433/CA1433-1),"NM"))))))</f>
      </c>
      <c r="CG1438" s="30">
        <f t="shared" si="2800"/>
      </c>
      <c r="CH1438" s="30">
        <f t="shared" si="2800"/>
      </c>
      <c r="CI1438" s="30">
        <f t="shared" si="2800"/>
      </c>
      <c r="CJ1438" s="30">
        <f t="shared" si="2800"/>
      </c>
      <c r="CK1438" s="308">
        <f>IF(CF1433=0, "NA", CK1433/CF1433-1)</f>
      </c>
      <c r="CL1438" s="30">
        <f t="shared" si="2800"/>
      </c>
      <c r="CM1438" s="30">
        <f t="shared" si="2800"/>
      </c>
      <c r="CN1438" s="30">
        <f t="shared" si="2800"/>
      </c>
      <c r="CO1438" s="30">
        <f t="shared" si="2800"/>
      </c>
      <c r="CP1438" s="308">
        <f>IF(CK1433=0, "NA", CP1433/CK1433-1)</f>
      </c>
      <c r="CQ1438" s="30">
        <f t="shared" si="2800"/>
      </c>
      <c r="CR1438" s="30">
        <f t="shared" si="2800"/>
      </c>
      <c r="CS1438" s="30">
        <f t="shared" si="2800"/>
      </c>
      <c r="CT1438" s="30">
        <f t="shared" si="2800"/>
      </c>
      <c r="CU1438" s="308">
        <f>IF(CP1433=0, "NA", CU1433/CP1433-1)</f>
      </c>
      <c r="CV1438" s="30">
        <f t="shared" si="2800"/>
      </c>
      <c r="CW1438" s="30">
        <f t="shared" si="2800"/>
      </c>
      <c r="CX1438" s="30">
        <f t="shared" si="2800"/>
      </c>
      <c r="CY1438" s="30">
        <f>IF(CT1433="NM","NM",IF(CY1433="NM","NM",IF(CT1433&lt;=0,"NM",IF(CY1433=0,"NM",IF(ABS(CY1433/CT1433-1)&gt;2.5,"NM",IF((ABS(CY1433-CT1433)=ABS(ABS(CY1433)-ABS(CT1433))),(CY1433/CT1433-1),"NM"))))))</f>
      </c>
      <c r="CZ1438" s="308">
        <f>IF(CU1433=0, "NA", CZ1433/CU1433-1)</f>
      </c>
      <c r="DA1438" s="30">
        <f t="shared" si="2801"/>
      </c>
      <c r="DB1438" s="30">
        <f t="shared" si="2801"/>
      </c>
      <c r="DC1438" s="30">
        <f t="shared" si="2801"/>
      </c>
      <c r="DD1438" s="30">
        <f t="shared" si="2801"/>
      </c>
      <c r="DE1438" s="308">
        <f>IF(CZ1433=0, "NA", DE1433/CZ1433-1)</f>
      </c>
      <c r="DF1438" s="926">
        <f t="shared" si="2802"/>
      </c>
      <c r="DG1438" s="30">
        <f t="shared" si="2802"/>
      </c>
      <c r="DH1438" s="30">
        <f t="shared" si="2802"/>
      </c>
      <c r="DI1438" s="30">
        <f t="shared" si="2802"/>
      </c>
      <c r="DJ1438" s="308">
        <f>IF(DE1433=0, "NA", DJ1433/DE1433-1)</f>
      </c>
      <c r="DK1438" s="926">
        <f t="shared" si="2803"/>
      </c>
      <c r="DL1438" s="30">
        <f t="shared" si="2803"/>
      </c>
      <c r="DM1438" s="30">
        <f t="shared" si="2803"/>
      </c>
      <c r="DN1438" s="30">
        <f t="shared" si="2803"/>
      </c>
      <c r="DO1438" s="308">
        <f>IF(DJ1433=0, "NA", DO1433/DJ1433-1)</f>
      </c>
      <c r="DP1438" s="926">
        <f t="shared" si="2803"/>
      </c>
      <c r="DQ1438" s="926">
        <f t="shared" si="2803"/>
      </c>
      <c r="DR1438" s="926">
        <f t="shared" si="2803"/>
      </c>
      <c r="DS1438" s="926">
        <f t="shared" si="2803"/>
      </c>
      <c r="DT1438" s="308">
        <f>IF(DO1433=0, "NA", DT1433/DO1433-1)</f>
      </c>
      <c r="DU1438" s="926">
        <f t="shared" si="2803"/>
      </c>
      <c r="DV1438" s="926">
        <f t="shared" si="2803"/>
      </c>
      <c r="DW1438" s="926"/>
      <c r="DX1438" s="928"/>
      <c r="DY1438" s="1060"/>
      <c r="DZ1438" s="926"/>
      <c r="EA1438" s="926"/>
      <c r="EB1438" s="926"/>
      <c r="EC1438" s="928"/>
      <c r="ED1438" s="1060"/>
      <c r="EE1438" s="958"/>
      <c r="EF1438" s="926"/>
      <c r="EG1438" s="926"/>
      <c r="EH1438" s="928"/>
      <c r="EI1438" s="1060"/>
      <c r="EJ1438" s="1060"/>
      <c r="EK1438" s="1060"/>
      <c r="EL1438" s="308"/>
      <c r="EM1438" s="308"/>
      <c r="EN1438" s="308"/>
      <c r="EO1438" s="409"/>
      <c r="EP1438" s="308"/>
      <c r="EQ1438" s="308"/>
      <c r="ER1438" s="308"/>
      <c r="ES1438" s="308"/>
      <c r="ET1438" s="308"/>
      <c r="EU1438" s="308"/>
      <c r="EV1438" s="308"/>
      <c r="EW1438" s="308"/>
      <c r="EX1438" s="308"/>
    </row>
    <row r="1439" spans="2:154" hidden="1" outlineLevel="1">
      <c r="B1439" s="510" t="s">
        <v>256</v>
      </c>
      <c r="C1439" s="1989"/>
      <c r="D1439" s="28"/>
      <c r="E1439" s="28"/>
      <c r="F1439" s="28"/>
      <c r="G1439" s="28"/>
      <c r="H1439" s="28"/>
      <c r="I1439" s="24"/>
      <c r="J1439" s="1"/>
      <c r="K1439" s="1"/>
      <c r="L1439" s="1"/>
      <c r="M1439" s="1"/>
      <c r="N1439" s="24"/>
      <c r="O1439" s="24"/>
      <c r="P1439" s="24"/>
      <c r="Q1439" s="24"/>
      <c r="R1439" s="24"/>
      <c r="S1439" s="1"/>
      <c r="T1439" s="24"/>
      <c r="U1439" s="24"/>
      <c r="V1439" s="24"/>
      <c r="W1439" s="24"/>
      <c r="X1439" s="315"/>
      <c r="Y1439" s="24"/>
      <c r="Z1439" s="24"/>
      <c r="AA1439" s="24"/>
      <c r="AB1439" s="24"/>
      <c r="AC1439" s="315"/>
      <c r="AD1439" s="24"/>
      <c r="AE1439" s="24"/>
      <c r="AF1439" s="24"/>
      <c r="AG1439" s="24"/>
      <c r="AH1439" s="315"/>
      <c r="AI1439" s="8">
        <f t="shared" ref="AI1439:BM1439" si="2804">IF(ISNUMBER(AI1438),(1+AI1438)/(1+AI$21)-1,"NM")</f>
      </c>
      <c r="AJ1439" s="8">
        <f t="shared" si="2804"/>
      </c>
      <c r="AK1439" s="8">
        <f t="shared" si="2804"/>
      </c>
      <c r="AL1439" s="43">
        <f t="shared" si="2804"/>
      </c>
      <c r="AM1439" s="315">
        <f t="shared" si="2804"/>
      </c>
      <c r="AN1439" s="8">
        <f t="shared" si="2804"/>
      </c>
      <c r="AO1439" s="8">
        <f t="shared" si="2804"/>
      </c>
      <c r="AP1439" s="8">
        <f t="shared" si="2804"/>
      </c>
      <c r="AQ1439" s="43">
        <f t="shared" si="2804"/>
      </c>
      <c r="AR1439" s="315">
        <f t="shared" si="2804"/>
      </c>
      <c r="AS1439" s="8">
        <f t="shared" si="2804"/>
      </c>
      <c r="AT1439" s="8">
        <f t="shared" si="2804"/>
      </c>
      <c r="AU1439" s="8">
        <f t="shared" si="2804"/>
      </c>
      <c r="AV1439" s="43">
        <f t="shared" si="2804"/>
      </c>
      <c r="AW1439" s="315">
        <f t="shared" si="2804"/>
      </c>
      <c r="AX1439" s="8">
        <f t="shared" si="2804"/>
      </c>
      <c r="AY1439" s="8">
        <f t="shared" si="2804"/>
      </c>
      <c r="AZ1439" s="8">
        <f t="shared" si="2804"/>
      </c>
      <c r="BA1439" s="8">
        <f t="shared" si="2804"/>
      </c>
      <c r="BB1439" s="315">
        <f t="shared" si="2804"/>
      </c>
      <c r="BC1439" s="8">
        <f t="shared" si="2804"/>
      </c>
      <c r="BD1439" s="8">
        <f t="shared" si="2804"/>
      </c>
      <c r="BE1439" s="8">
        <f t="shared" si="2804"/>
      </c>
      <c r="BF1439" s="8">
        <f t="shared" si="2804"/>
      </c>
      <c r="BG1439" s="309">
        <f t="shared" si="2804"/>
      </c>
      <c r="BH1439" s="8">
        <f t="shared" si="2804"/>
      </c>
      <c r="BI1439" s="8">
        <f t="shared" si="2804"/>
      </c>
      <c r="BJ1439" s="8">
        <f t="shared" si="2804"/>
      </c>
      <c r="BK1439" s="8">
        <f t="shared" si="2804"/>
      </c>
      <c r="BL1439" s="315">
        <f t="shared" si="2804"/>
      </c>
      <c r="BM1439" s="407">
        <f t="shared" si="2804"/>
      </c>
      <c r="BN1439" s="407">
        <v>0.05</v>
      </c>
      <c r="BO1439" s="407">
        <v>4.8000000000000001E-2</v>
      </c>
      <c r="BP1439" s="649">
        <v>7.0000000000000001E-3</v>
      </c>
      <c r="BQ1439" s="406">
        <v>3.4000000000000002E-2</v>
      </c>
      <c r="BR1439" s="407">
        <v>4.8000000000000001E-2</v>
      </c>
      <c r="BS1439" s="407">
        <v>3.5000000000000003E-2</v>
      </c>
      <c r="BT1439" s="407">
        <v>-2.1000000000000001E-2</v>
      </c>
      <c r="BU1439" s="649">
        <v>3.5000000000000003E-2</v>
      </c>
      <c r="BV1439" s="406">
        <v>1.0999999999999999E-2</v>
      </c>
      <c r="BW1439" s="407">
        <v>7.6999999999999999E-2</v>
      </c>
      <c r="BX1439" s="407">
        <v>3.7999999999999999E-2</v>
      </c>
      <c r="BY1439" s="407">
        <v>4.2999999999999997E-2</v>
      </c>
      <c r="BZ1439" s="836">
        <v>7.0999999999999994E-2</v>
      </c>
      <c r="CA1439" s="448">
        <v>5.7000000000000002E-2</v>
      </c>
      <c r="CB1439" s="29">
        <v>2.4E-2</v>
      </c>
      <c r="CC1439" s="407">
        <v>8.5999999999999993E-2</v>
      </c>
      <c r="CD1439" s="407">
        <v>1.4E-2</v>
      </c>
      <c r="CE1439" s="836">
        <v>-4.8000000000000001E-2</v>
      </c>
      <c r="CF1439" s="448">
        <v>1.7999999999999999E-2</v>
      </c>
      <c r="CG1439" s="29">
        <v>-8.9999999999999993E-3</v>
      </c>
      <c r="CH1439" s="29">
        <v>-0.01</v>
      </c>
      <c r="CI1439" s="29">
        <v>2.1000000000000001E-2</v>
      </c>
      <c r="CJ1439" s="29">
        <v>2.8000000000000001E-2</v>
      </c>
      <c r="CK1439" s="315">
        <f>CK1438-CK$21</f>
      </c>
      <c r="CL1439" s="29">
        <v>1E-3</v>
      </c>
      <c r="CM1439" s="29">
        <v>-2.1999999999999999E-2</v>
      </c>
      <c r="CN1439" s="29">
        <v>2.1000000000000001E-2</v>
      </c>
      <c r="CO1439" s="29">
        <v>2.8000000000000001E-2</v>
      </c>
      <c r="CP1439" s="315">
        <f>CP1438-CP$21</f>
      </c>
      <c r="CQ1439" s="29">
        <v>-6.0999999999999999E-2</v>
      </c>
      <c r="CR1439" s="29">
        <v>-5.2999999999999999E-2</v>
      </c>
      <c r="CS1439" s="407">
        <v>0</v>
      </c>
      <c r="CT1439" s="407">
        <v>-3.2000000000000001E-2</v>
      </c>
      <c r="CU1439" s="315">
        <f>CU1438-CU$21</f>
      </c>
      <c r="CV1439" s="29">
        <v>1.2999999999999999E-2</v>
      </c>
      <c r="CW1439" s="29">
        <v>-2.7E-2</v>
      </c>
      <c r="CX1439" s="29">
        <v>1E-3</v>
      </c>
      <c r="CY1439" s="407">
        <v>4.8000000000000001E-2</v>
      </c>
      <c r="CZ1439" s="315">
        <f>CZ1438-CZ$21</f>
      </c>
      <c r="DA1439" s="29">
        <v>-6.4000000000000001E-2</v>
      </c>
      <c r="DB1439" s="29">
        <v>0</v>
      </c>
      <c r="DC1439" s="361">
        <v>-4.9000000000000002E-2</v>
      </c>
      <c r="DD1439" s="927">
        <v>-3.6999999999999998E-2</v>
      </c>
      <c r="DE1439" s="308">
        <f>DE1438-DE$21</f>
      </c>
      <c r="DF1439" s="29">
        <v>-0.02</v>
      </c>
      <c r="DG1439" s="29">
        <v>-0.02</v>
      </c>
      <c r="DH1439" s="29">
        <v>-0.02</v>
      </c>
      <c r="DI1439" s="927">
        <f>IF(DI1433=0, "NM",DI1438-DI$21)</f>
      </c>
      <c r="DJ1439" s="308">
        <f>DJ1438-DJ$21</f>
      </c>
      <c r="DK1439" s="29">
        <v>-0.02</v>
      </c>
      <c r="DL1439" s="29">
        <v>-0.02</v>
      </c>
      <c r="DM1439" s="29">
        <v>-0.02</v>
      </c>
      <c r="DN1439" s="927">
        <f>IF(DN1433=0, "NM",DN1438-DN$21)</f>
      </c>
      <c r="DO1439" s="308">
        <f t="shared" ref="DO1439:DT1439" si="2805">DO1438-DO$21</f>
      </c>
      <c r="DP1439" s="926">
        <f t="shared" si="2805"/>
      </c>
      <c r="DQ1439" s="410">
        <f t="shared" si="2805"/>
      </c>
      <c r="DR1439" s="410">
        <f t="shared" si="2805"/>
      </c>
      <c r="DS1439" s="410">
        <f t="shared" si="2805"/>
      </c>
      <c r="DT1439" s="308">
        <f t="shared" si="2805"/>
      </c>
      <c r="DU1439" s="926">
        <f>DU1438-(-7.3%)</f>
      </c>
      <c r="DV1439" s="926">
        <f>DV1438-(-5.1%)</f>
      </c>
      <c r="DW1439" s="1741"/>
      <c r="DX1439" s="928"/>
      <c r="DY1439" s="836"/>
      <c r="DZ1439" s="1741"/>
      <c r="EA1439" s="1741"/>
      <c r="EB1439" s="1741"/>
      <c r="EC1439" s="928"/>
      <c r="ED1439" s="2773"/>
      <c r="EE1439" s="1955"/>
      <c r="EF1439" s="1955"/>
      <c r="EG1439" s="1955"/>
      <c r="EH1439" s="928"/>
      <c r="EI1439" s="2774"/>
      <c r="EJ1439" s="2774"/>
      <c r="EK1439" s="2774"/>
      <c r="EL1439" s="317"/>
      <c r="EM1439" s="317"/>
      <c r="EN1439" s="317"/>
      <c r="EO1439" s="836"/>
      <c r="EP1439" s="317"/>
      <c r="EQ1439" s="317"/>
      <c r="ER1439" s="317"/>
      <c r="ES1439" s="317"/>
      <c r="ET1439" s="317"/>
      <c r="EU1439" s="317"/>
      <c r="EV1439" s="317"/>
      <c r="EW1439" s="317"/>
      <c r="EX1439" s="317"/>
    </row>
    <row r="1440" spans="2:154" hidden="1" outlineLevel="1">
      <c r="B1440" s="510" t="s">
        <v>413</v>
      </c>
      <c r="C1440" s="1989"/>
      <c r="D1440" s="28"/>
      <c r="E1440" s="28"/>
      <c r="F1440" s="28"/>
      <c r="G1440" s="28"/>
      <c r="H1440" s="28"/>
      <c r="I1440" s="30">
        <f t="shared" ref="I1440:AN1440" si="2806">IF(D1434="NM","NM",IF(I1434="NM","NM",IF(D1434&lt;=0,"NM",IF(I1434=0,"NM",IF(ABS(I1434/D1434-1)&gt;2.5,"NM",IF((ABS(I1434-D1434)=ABS(ABS(I1434)-ABS(D1434))),(I1434/D1434-1),"NM"))))))</f>
      </c>
      <c r="J1440" s="30">
        <f t="shared" si="2806"/>
      </c>
      <c r="K1440" s="30">
        <f t="shared" si="2806"/>
      </c>
      <c r="L1440" s="30">
        <f t="shared" si="2806"/>
      </c>
      <c r="M1440" s="30">
        <f t="shared" si="2806"/>
      </c>
      <c r="N1440" s="30">
        <f t="shared" si="2806"/>
      </c>
      <c r="O1440" s="30">
        <f t="shared" si="2806"/>
      </c>
      <c r="P1440" s="30">
        <f t="shared" si="2806"/>
      </c>
      <c r="Q1440" s="30">
        <f t="shared" si="2806"/>
      </c>
      <c r="R1440" s="30">
        <f t="shared" si="2806"/>
      </c>
      <c r="S1440" s="30">
        <f t="shared" si="2806"/>
      </c>
      <c r="T1440" s="30">
        <f t="shared" si="2806"/>
      </c>
      <c r="U1440" s="30">
        <f t="shared" si="2806"/>
      </c>
      <c r="V1440" s="30">
        <f t="shared" si="2806"/>
      </c>
      <c r="W1440" s="30">
        <f t="shared" si="2806"/>
      </c>
      <c r="X1440" s="308">
        <f t="shared" si="2806"/>
      </c>
      <c r="Y1440" s="30">
        <f t="shared" si="2806"/>
      </c>
      <c r="Z1440" s="30">
        <f t="shared" si="2806"/>
      </c>
      <c r="AA1440" s="30">
        <f t="shared" si="2806"/>
      </c>
      <c r="AB1440" s="30">
        <f t="shared" si="2806"/>
      </c>
      <c r="AC1440" s="308">
        <f t="shared" si="2806"/>
      </c>
      <c r="AD1440" s="30">
        <f t="shared" si="2806"/>
      </c>
      <c r="AE1440" s="30">
        <f t="shared" si="2806"/>
      </c>
      <c r="AF1440" s="30">
        <f t="shared" si="2806"/>
      </c>
      <c r="AG1440" s="30">
        <f t="shared" si="2806"/>
      </c>
      <c r="AH1440" s="308">
        <f t="shared" si="2806"/>
      </c>
      <c r="AI1440" s="30">
        <f t="shared" si="2806"/>
      </c>
      <c r="AJ1440" s="30">
        <f t="shared" si="2806"/>
      </c>
      <c r="AK1440" s="30">
        <f t="shared" si="2806"/>
      </c>
      <c r="AL1440" s="30">
        <f t="shared" si="2806"/>
      </c>
      <c r="AM1440" s="308">
        <f t="shared" si="2806"/>
      </c>
      <c r="AN1440" s="30">
        <f t="shared" si="2806"/>
      </c>
      <c r="AO1440" s="30">
        <f t="shared" ref="AO1440:BH1440" si="2807">IF(AJ1434="NM","NM",IF(AO1434="NM","NM",IF(AJ1434&lt;=0,"NM",IF(AO1434=0,"NM",IF(ABS(AO1434/AJ1434-1)&gt;2.5,"NM",IF((ABS(AO1434-AJ1434)=ABS(ABS(AO1434)-ABS(AJ1434))),(AO1434/AJ1434-1),"NM"))))))</f>
      </c>
      <c r="AP1440" s="30">
        <f t="shared" si="2807"/>
      </c>
      <c r="AQ1440" s="30">
        <f t="shared" si="2807"/>
      </c>
      <c r="AR1440" s="308">
        <f t="shared" si="2807"/>
      </c>
      <c r="AS1440" s="30">
        <f t="shared" si="2807"/>
      </c>
      <c r="AT1440" s="30">
        <f t="shared" si="2807"/>
      </c>
      <c r="AU1440" s="30">
        <f t="shared" si="2807"/>
      </c>
      <c r="AV1440" s="30">
        <f t="shared" si="2807"/>
      </c>
      <c r="AW1440" s="308">
        <f t="shared" si="2807"/>
      </c>
      <c r="AX1440" s="30">
        <f t="shared" si="2807"/>
      </c>
      <c r="AY1440" s="30">
        <f t="shared" si="2807"/>
      </c>
      <c r="AZ1440" s="30">
        <f t="shared" si="2807"/>
      </c>
      <c r="BA1440" s="30">
        <f t="shared" si="2807"/>
      </c>
      <c r="BB1440" s="308">
        <f t="shared" si="2807"/>
      </c>
      <c r="BC1440" s="30">
        <f t="shared" si="2807"/>
      </c>
      <c r="BD1440" s="30">
        <f t="shared" si="2807"/>
      </c>
      <c r="BE1440" s="30">
        <f t="shared" si="2807"/>
      </c>
      <c r="BF1440" s="30">
        <f t="shared" si="2807"/>
      </c>
      <c r="BG1440" s="308">
        <f t="shared" si="2807"/>
      </c>
      <c r="BH1440" s="30">
        <f t="shared" si="2807"/>
      </c>
      <c r="BI1440" s="30">
        <f t="shared" ref="BI1440:BR1440" si="2808">IF(BD1434="NM","NM",IF(BI1434="NM","NM",IF(BD1434&lt;=0,"NM",IF(BI1434=0,"NM",IF(ABS(BI1434/BD1434-1)&gt;2.5,"NM",IF((ABS(BI1434-BD1434)=ABS(ABS(BI1434)-ABS(BD1434))),(BI1434/BD1434-1),"NM"))))))</f>
      </c>
      <c r="BJ1440" s="30">
        <f t="shared" si="2808"/>
      </c>
      <c r="BK1440" s="30">
        <f t="shared" si="2808"/>
      </c>
      <c r="BL1440" s="308">
        <f t="shared" si="2808"/>
      </c>
      <c r="BM1440" s="30">
        <f t="shared" si="2808"/>
      </c>
      <c r="BN1440" s="30">
        <f t="shared" si="2808"/>
      </c>
      <c r="BO1440" s="30">
        <f t="shared" si="2808"/>
      </c>
      <c r="BP1440" s="30">
        <f t="shared" si="2808"/>
      </c>
      <c r="BQ1440" s="308">
        <f t="shared" si="2808"/>
      </c>
      <c r="BR1440" s="30">
        <f t="shared" si="2808"/>
      </c>
      <c r="BS1440" s="30">
        <f t="shared" ref="BS1440:CF1440" si="2809">IF(BN1434="NM","NM",IF(BS1434="NM","NM",IF(BN1434&lt;=0,"NM",IF(BS1434=0,"NM",IF(ABS(BS1434/BN1434-1)&gt;2.5,"NM",IF((ABS(BS1434-BN1434)=ABS(ABS(BS1434)-ABS(BN1434))),(BS1434/BN1434-1),"NM"))))))</f>
      </c>
      <c r="BT1440" s="30">
        <f t="shared" si="2809"/>
      </c>
      <c r="BU1440" s="30">
        <f t="shared" si="2809"/>
      </c>
      <c r="BV1440" s="308">
        <f t="shared" si="2809"/>
      </c>
      <c r="BW1440" s="30">
        <f t="shared" si="2809"/>
      </c>
      <c r="BX1440" s="30">
        <f t="shared" si="2809"/>
      </c>
      <c r="BY1440" s="30">
        <f t="shared" si="2809"/>
      </c>
      <c r="BZ1440" s="30">
        <f t="shared" si="2809"/>
      </c>
      <c r="CA1440" s="308">
        <f t="shared" si="2809"/>
      </c>
      <c r="CB1440" s="30">
        <f t="shared" si="2809"/>
      </c>
      <c r="CC1440" s="30">
        <f t="shared" si="2809"/>
      </c>
      <c r="CD1440" s="30">
        <f t="shared" si="2809"/>
      </c>
      <c r="CE1440" s="30">
        <f t="shared" si="2809"/>
      </c>
      <c r="CF1440" s="308">
        <f t="shared" si="2809"/>
      </c>
      <c r="CG1440" s="30">
        <f>IF(CB1434="NM","NM",IF(CG1434="NM","NM",IF(CB1434&lt;=0,"NM",IF(CG1434=0,"NM",IF(ABS(CG1434/CB1434-1)&gt;2.5,"NM",IF((ABS(CG1434-CB1434)=ABS(ABS(CG1434)-ABS(CB1434))),(CG1434/CB1434-1),"NM"))))))</f>
      </c>
      <c r="CH1440" s="30">
        <f>IF(CC1434="NM","NM",IF(CH1434="NM","NM",IF(CC1434&lt;=0,"NM",IF(CH1434=0,"NM",IF(ABS(CH1434/CC1434-1)&gt;2.5,"NM",IF((ABS(CH1434-CC1434)=ABS(ABS(CH1434)-ABS(CC1434))),(CH1434/CC1434-1),"NM"))))))</f>
      </c>
      <c r="CI1440" s="30">
        <f>IF(CD1434="NM","NM",IF(CI1434="NM","NM",IF(CD1434&lt;=0,"NM",IF(CI1434=0,"NM",IF(ABS(CI1434/CD1434-1)&gt;2.5,"NM",IF((ABS(CI1434-CD1434)=ABS(ABS(CI1434)-ABS(CD1434))),(CI1434/CD1434-1),"NM"))))))</f>
      </c>
      <c r="CJ1440" s="30">
        <f>IF(CJ1434&lt;=0,0,(CJ1434/CE1434-1))</f>
      </c>
      <c r="CK1440" s="308">
        <f>IF(CF1434=0, "NA", CK1434/CF1434-1)</f>
      </c>
      <c r="CL1440" s="30">
        <f>IF(CG1434="NM","NM",IF(CL1434="NM","NM",IF(CG1434&lt;=0,"NM",IF(CL1434=0,"NM",IF(ABS(CL1434/CG1434-1)&gt;2.5,"NM",IF((ABS(CL1434-CG1434)=ABS(ABS(CL1434)-ABS(CG1434))),(CL1434/CG1434-1),"NM"))))))</f>
      </c>
      <c r="CM1440" s="30">
        <f>IF(CH1434="NM","NM",IF(CM1434="NM","NM",IF(CH1434&lt;=0,"NM",IF(CM1434=0,"NM",IF(ABS(CM1434/CH1434-1)&gt;2.5,"NM",IF((ABS(CM1434-CH1434)=ABS(ABS(CM1434)-ABS(CH1434))),(CM1434/CH1434-1),"NM"))))))</f>
      </c>
      <c r="CN1440" s="30">
        <f>IF(CI1434="NM","NM",IF(CN1434="NM","NM",IF(CI1434&lt;=0,"NM",IF(CN1434=0,"NM",IF(ABS(CN1434/CI1434-1)&gt;2.5,"NM",IF((ABS(CN1434-CI1434)=ABS(ABS(CN1434)-ABS(CI1434))),(CN1434/CI1434-1),"NM"))))))</f>
      </c>
      <c r="CO1440" s="30">
        <f>IF(CO1434&lt;=0,0,(CO1434/CJ1434-1))</f>
      </c>
      <c r="CP1440" s="308">
        <f>IF(CK1434=0, "NA", CP1434/CK1434-1)</f>
      </c>
      <c r="CQ1440" s="30">
        <f>IF(CL1434="NM","NM",IF(CQ1434="NM","NM",IF(CL1434&lt;=0,"NM",IF(CQ1434=0,"NM",IF(ABS(CQ1434/CL1434-1)&gt;2.5,"NM",IF((ABS(CQ1434-CL1434)=ABS(ABS(CQ1434)-ABS(CL1434))),(CQ1434/CL1434-1),"NM"))))))</f>
      </c>
      <c r="CR1440" s="30">
        <f>IF(CM1434="NM","NM",IF(CR1434="NM","NM",IF(CM1434&lt;=0,"NM",IF(CR1434=0,"NM",IF(ABS(CR1434/CM1434-1)&gt;2.5,"NM",IF((ABS(CR1434-CM1434)=ABS(ABS(CR1434)-ABS(CM1434))),(CR1434/CM1434-1),"NM"))))))</f>
      </c>
      <c r="CS1440" s="30">
        <f>IF(CN1434="NM","NM",IF(CS1434="NM","NM",IF(CN1434&lt;=0,"NM",IF(CS1434=0,"NM",IF(ABS(CS1434/CN1434-1)&gt;2.5,"NM",IF((ABS(CS1434-CN1434)=ABS(ABS(CS1434)-ABS(CN1434))),(CS1434/CN1434-1),"NM"))))))</f>
      </c>
      <c r="CT1440" s="30">
        <f>IF(CO1434="NM","NM",IF(CT1434="NM","NM",IF(CO1434&lt;=0,"NM",IF(CT1434=0,"NM",IF(ABS(CT1434/CO1434-1)&gt;2.5,"NM",IF((ABS(CT1434-CO1434)=ABS(ABS(CT1434)-ABS(CO1434))),(CT1434/CO1434-1),"NM"))))))</f>
      </c>
      <c r="CU1440" s="308">
        <f>IF(CP1434=0, "NA", CU1434/CP1434-1)</f>
      </c>
      <c r="CV1440" s="30">
        <f>IF(CQ1434="NM","NM",IF(CV1434="NM","NM",IF(CQ1434&lt;=0,"NM",IF(CV1434=0,"NM",IF(ABS(CV1434/CQ1434-1)&gt;2.5,"NM",IF((ABS(CV1434-CQ1434)=ABS(ABS(CV1434)-ABS(CQ1434))),(CV1434/CQ1434-1),"NM"))))))</f>
      </c>
      <c r="CW1440" s="30">
        <f>IF(CR1434="NM","NM",IF(CW1434="NM","NM",IF(CR1434&lt;=0,"NM",IF(CW1434=0,"NM",IF(ABS(CW1434/CR1434-1)&gt;2.5,"NM",IF((ABS(CW1434-CR1434)=ABS(ABS(CW1434)-ABS(CR1434))),(CW1434/CR1434-1),"NM"))))))</f>
      </c>
      <c r="CX1440" s="30">
        <f>IF(CS1434="NM","NM",IF(CX1434="NM","NM",IF(CS1434&lt;=0,"NM",IF(CX1434=0,"NM",IF(ABS(CX1434/CS1434-1)&gt;2.5,"NM",IF((ABS(CX1434-CS1434)=ABS(ABS(CX1434)-ABS(CS1434))),(CX1434/CS1434-1),"NM"))))))</f>
      </c>
      <c r="CY1440" s="30">
        <f>IF(CT1434="NM","NM",IF(CY1434="NM","NM",IF(CT1434&lt;=0,"NM",IF(CY1434=0,"NM",IF(ABS(CY1434/CT1434-1)&gt;2.5,"NM",IF((ABS(CY1434-CT1434)=ABS(ABS(CY1434)-ABS(CT1434))),(CY1434/CT1434-1),"NM"))))))</f>
      </c>
      <c r="CZ1440" s="308">
        <f>IF(CU1434=0, "NA", CZ1434/CU1434-1)</f>
      </c>
      <c r="DA1440" s="30">
        <f>IF(CV1434="NM","NM",IF(DA1434="NM","NM",IF(CV1434&lt;=0,"NM",IF(DA1434=0,"NM",IF(ABS(DA1434/CV1434-1)&gt;2.5,"NM",IF((ABS(DA1434-CV1434)=ABS(ABS(DA1434)-ABS(CV1434))),(DA1434/CV1434-1),"NM"))))))</f>
      </c>
      <c r="DB1440" s="30">
        <f>IF(CW1434="NM","NM",IF(DB1434="NM","NM",IF(CW1434&lt;=0,"NM",IF(DB1434=0,"NM",IF(ABS(DB1434/CW1434-1)&gt;2.5,"NM",IF((ABS(DB1434-CW1434)=ABS(ABS(DB1434)-ABS(CW1434))),(DB1434/CW1434-1),"NM"))))))</f>
      </c>
      <c r="DC1440" s="926">
        <f>IF(CX1434=0, "NA", DC1434/CX1434-1)</f>
      </c>
      <c r="DD1440" s="928">
        <f>IF(CY1434=0, "NM", DD1434/CY1434-1)</f>
      </c>
      <c r="DE1440" s="308">
        <f>IF(CZ1434=0, "NA", DE1434/CZ1434-1)</f>
      </c>
      <c r="DF1440" s="926">
        <f>IF(DA1434=0, "NA", DF1434/DA1434-1)</f>
      </c>
      <c r="DG1440" s="926">
        <f>IF(DB1434=0, "NA", DG1434/DB1434-1)</f>
      </c>
      <c r="DH1440" s="926">
        <f>IF(DC1434=0, "NA", DH1434/DC1434-1)</f>
      </c>
      <c r="DI1440" s="928">
        <f>IF(DD1434=0, "NM", DI1434/DD1434-1)</f>
      </c>
      <c r="DJ1440" s="308">
        <f>IF(DE1434=0, "NA", DJ1434/DE1434-1)</f>
      </c>
      <c r="DK1440" s="926">
        <f>IF(DF1434=0, "NA", DK1434/DF1434-1)</f>
      </c>
      <c r="DL1440" s="926">
        <f>IF(DG1434=0, "NA", DL1434/DG1434-1)</f>
      </c>
      <c r="DM1440" s="926">
        <f>IF(DH1434=0, "NA", DM1434/DH1434-1)</f>
      </c>
      <c r="DN1440" s="928">
        <f>IF(DI1434=0, "NM", DN1434/DI1434-1)</f>
      </c>
      <c r="DO1440" s="308">
        <f>IF(DJ1434=0, "NA", DO1434/DJ1434-1)</f>
      </c>
      <c r="DP1440" s="926">
        <f>IF(DK1434=0, "NA", DP1434/DK1434-1)</f>
      </c>
      <c r="DQ1440" s="926">
        <f>IF(DL1434=0, "NA", DQ1434/DL1434-1)</f>
      </c>
      <c r="DR1440" s="926">
        <f>IF(DM1434=0, "NA", DR1434/DM1434-1)</f>
      </c>
      <c r="DS1440" s="928">
        <f>IF(DN1434=0, "NM", DS1434/DN1434-1)</f>
      </c>
      <c r="DT1440" s="1060">
        <f>IF(DO1434=0, "NA", DT1434/DO1434-1)</f>
      </c>
      <c r="DU1440" s="926">
        <f>IF(DP1434=0, "NA", DU1434/DP1434-1)</f>
      </c>
      <c r="DV1440" s="926">
        <f>IF(DQ1434=0, "NA", DV1434/DQ1434-1)</f>
      </c>
      <c r="DW1440" s="926"/>
      <c r="DX1440" s="928"/>
      <c r="DY1440" s="1060"/>
      <c r="DZ1440" s="926"/>
      <c r="EA1440" s="926"/>
      <c r="EB1440" s="926"/>
      <c r="EC1440" s="928"/>
      <c r="ED1440" s="1060"/>
      <c r="EE1440" s="958"/>
      <c r="EF1440" s="926"/>
      <c r="EG1440" s="926"/>
      <c r="EH1440" s="928"/>
      <c r="EI1440" s="1060"/>
      <c r="EJ1440" s="1060"/>
      <c r="EK1440" s="1060"/>
      <c r="EL1440" s="308"/>
      <c r="EM1440" s="308"/>
      <c r="EN1440" s="308"/>
      <c r="EO1440" s="409"/>
      <c r="EP1440" s="308"/>
      <c r="EQ1440" s="308"/>
      <c r="ER1440" s="308"/>
      <c r="ES1440" s="308"/>
      <c r="ET1440" s="308"/>
      <c r="EU1440" s="308"/>
      <c r="EV1440" s="308"/>
      <c r="EW1440" s="308"/>
      <c r="EX1440" s="308"/>
    </row>
    <row r="1441" spans="2:154" hidden="1" outlineLevel="1">
      <c r="B1441" s="510"/>
      <c r="C1441" s="1989"/>
      <c r="D1441" s="28"/>
      <c r="E1441" s="28"/>
      <c r="F1441" s="28"/>
      <c r="G1441" s="28"/>
      <c r="H1441" s="28"/>
      <c r="I1441" s="30"/>
      <c r="J1441" s="30"/>
      <c r="K1441" s="30"/>
      <c r="L1441" s="30"/>
      <c r="M1441" s="30"/>
      <c r="N1441" s="30"/>
      <c r="O1441" s="30"/>
      <c r="P1441" s="30"/>
      <c r="Q1441" s="30"/>
      <c r="R1441" s="30"/>
      <c r="S1441" s="30"/>
      <c r="T1441" s="30"/>
      <c r="U1441" s="30"/>
      <c r="V1441" s="30"/>
      <c r="W1441" s="30"/>
      <c r="X1441" s="308"/>
      <c r="Y1441" s="30"/>
      <c r="Z1441" s="30"/>
      <c r="AA1441" s="30"/>
      <c r="AB1441" s="30"/>
      <c r="AC1441" s="308"/>
      <c r="AD1441" s="30"/>
      <c r="AE1441" s="30"/>
      <c r="AF1441" s="30"/>
      <c r="AG1441" s="30"/>
      <c r="AH1441" s="308"/>
      <c r="AI1441" s="30"/>
      <c r="AJ1441" s="30"/>
      <c r="AK1441" s="30"/>
      <c r="AL1441" s="30"/>
      <c r="AM1441" s="308"/>
      <c r="AN1441" s="30"/>
      <c r="AO1441" s="30"/>
      <c r="AP1441" s="30"/>
      <c r="AQ1441" s="30"/>
      <c r="AR1441" s="308"/>
      <c r="AS1441" s="30"/>
      <c r="AT1441" s="30"/>
      <c r="AU1441" s="30"/>
      <c r="AV1441" s="30"/>
      <c r="AW1441" s="308"/>
      <c r="AX1441" s="30"/>
      <c r="AY1441" s="30"/>
      <c r="AZ1441" s="30"/>
      <c r="BA1441" s="30"/>
      <c r="BB1441" s="308"/>
      <c r="BC1441" s="30"/>
      <c r="BD1441" s="30"/>
      <c r="BE1441" s="30"/>
      <c r="BF1441" s="30"/>
      <c r="BG1441" s="308"/>
      <c r="BH1441" s="30"/>
      <c r="BI1441" s="30"/>
      <c r="BJ1441" s="30"/>
      <c r="BK1441" s="30"/>
      <c r="BL1441" s="308"/>
      <c r="BM1441" s="30"/>
      <c r="BN1441" s="30"/>
      <c r="BO1441" s="30"/>
      <c r="BP1441" s="30"/>
      <c r="BQ1441" s="308"/>
      <c r="BR1441" s="30"/>
      <c r="BS1441" s="30"/>
      <c r="BT1441" s="30"/>
      <c r="BU1441" s="30"/>
      <c r="BV1441" s="308"/>
      <c r="BW1441" s="30"/>
      <c r="BX1441" s="30"/>
      <c r="BY1441" s="30"/>
      <c r="BZ1441" s="30"/>
      <c r="CA1441" s="308"/>
      <c r="CB1441" s="30"/>
      <c r="CC1441" s="30"/>
      <c r="CD1441" s="30"/>
      <c r="CE1441" s="30"/>
      <c r="CF1441" s="308"/>
      <c r="CG1441" s="30"/>
      <c r="CH1441" s="30"/>
      <c r="CI1441" s="30"/>
      <c r="CJ1441" s="30"/>
      <c r="CK1441" s="308"/>
      <c r="CL1441" s="926"/>
      <c r="CM1441" s="926"/>
      <c r="CN1441" s="926"/>
      <c r="CO1441" s="30"/>
      <c r="CP1441" s="308"/>
      <c r="CQ1441" s="926"/>
      <c r="CR1441" s="926"/>
      <c r="CS1441" s="926"/>
      <c r="CT1441" s="926"/>
      <c r="CU1441" s="308"/>
      <c r="CV1441" s="926"/>
      <c r="CW1441" s="926"/>
      <c r="CX1441" s="926"/>
      <c r="CY1441" s="926"/>
      <c r="CZ1441" s="308"/>
      <c r="DA1441" s="830"/>
      <c r="DB1441" s="30"/>
      <c r="DC1441" s="30"/>
      <c r="DD1441" s="409"/>
      <c r="DE1441" s="308"/>
      <c r="DF1441" s="830"/>
      <c r="DG1441" s="30"/>
      <c r="DH1441" s="30"/>
      <c r="DI1441" s="409"/>
      <c r="DJ1441" s="308"/>
      <c r="DK1441" s="830"/>
      <c r="DL1441" s="30"/>
      <c r="DM1441" s="30"/>
      <c r="DN1441" s="409"/>
      <c r="DO1441" s="308"/>
      <c r="DP1441" s="30"/>
      <c r="DQ1441" s="30"/>
      <c r="DR1441" s="30"/>
      <c r="DS1441" s="409"/>
      <c r="DT1441" s="308"/>
      <c r="DU1441" s="926"/>
      <c r="DV1441" s="926"/>
      <c r="DW1441" s="926"/>
      <c r="DX1441" s="928"/>
      <c r="DY1441" s="308"/>
      <c r="DZ1441" s="926"/>
      <c r="EA1441" s="926"/>
      <c r="EB1441" s="926"/>
      <c r="EC1441" s="928"/>
      <c r="ED1441" s="1060"/>
      <c r="EE1441" s="958"/>
      <c r="EF1441" s="926"/>
      <c r="EG1441" s="926"/>
      <c r="EH1441" s="928"/>
      <c r="EI1441" s="308"/>
      <c r="EJ1441" s="308"/>
      <c r="EK1441" s="308"/>
      <c r="EL1441" s="308"/>
      <c r="EM1441" s="308"/>
      <c r="EN1441" s="308"/>
      <c r="EO1441" s="409"/>
      <c r="EP1441" s="308"/>
      <c r="EQ1441" s="308"/>
      <c r="ER1441" s="308"/>
      <c r="ES1441" s="308"/>
      <c r="ET1441" s="308"/>
      <c r="EU1441" s="308"/>
      <c r="EV1441" s="308"/>
      <c r="EW1441" s="308"/>
      <c r="EX1441" s="308"/>
    </row>
    <row r="1442" spans="2:154" hidden="1" outlineLevel="1">
      <c r="B1442" s="509" t="s">
        <v>119</v>
      </c>
      <c r="C1442" s="2019"/>
      <c r="D1442" s="1984"/>
      <c r="E1442" s="486"/>
      <c r="F1442" s="486"/>
      <c r="G1442" s="486"/>
      <c r="H1442" s="486"/>
      <c r="I1442" s="487"/>
      <c r="J1442" s="486"/>
      <c r="K1442" s="486"/>
      <c r="L1442" s="486"/>
      <c r="M1442" s="486"/>
      <c r="N1442" s="487"/>
      <c r="O1442" s="487"/>
      <c r="P1442" s="487"/>
      <c r="Q1442" s="487"/>
      <c r="R1442" s="487"/>
      <c r="S1442" s="488"/>
      <c r="T1442" s="487"/>
      <c r="U1442" s="487"/>
      <c r="V1442" s="487"/>
      <c r="W1442" s="487"/>
      <c r="X1442" s="489"/>
      <c r="Y1442" s="487"/>
      <c r="Z1442" s="487"/>
      <c r="AA1442" s="487"/>
      <c r="AB1442" s="487"/>
      <c r="AC1442" s="489"/>
      <c r="AD1442" s="487"/>
      <c r="AE1442" s="487"/>
      <c r="AF1442" s="487"/>
      <c r="AG1442" s="487"/>
      <c r="AH1442" s="489"/>
      <c r="AI1442" s="486"/>
      <c r="AJ1442" s="486"/>
      <c r="AK1442" s="486"/>
      <c r="AL1442" s="487"/>
      <c r="AM1442" s="489"/>
      <c r="AN1442" s="486"/>
      <c r="AO1442" s="486"/>
      <c r="AP1442" s="486"/>
      <c r="AQ1442" s="487"/>
      <c r="AR1442" s="489"/>
      <c r="AS1442" s="486"/>
      <c r="AT1442" s="486"/>
      <c r="AU1442" s="486"/>
      <c r="AV1442" s="487"/>
      <c r="AW1442" s="489"/>
      <c r="AX1442" s="486"/>
      <c r="AY1442" s="486"/>
      <c r="AZ1442" s="486"/>
      <c r="BA1442" s="486"/>
      <c r="BB1442" s="489"/>
      <c r="BC1442" s="486"/>
      <c r="BD1442" s="486"/>
      <c r="BE1442" s="486"/>
      <c r="BF1442" s="486"/>
      <c r="BG1442" s="508"/>
      <c r="BH1442" s="495"/>
      <c r="BI1442" s="495"/>
      <c r="BJ1442" s="495"/>
      <c r="BK1442" s="495"/>
      <c r="BL1442" s="508"/>
      <c r="BM1442" s="495"/>
      <c r="BN1442" s="495"/>
      <c r="BO1442" s="495"/>
      <c r="BP1442" s="495"/>
      <c r="BQ1442" s="508"/>
      <c r="BR1442" s="495"/>
      <c r="BS1442" s="495"/>
      <c r="BT1442" s="495"/>
      <c r="BU1442" s="495"/>
      <c r="BV1442" s="508"/>
      <c r="BW1442" s="495"/>
      <c r="BX1442" s="495"/>
      <c r="BY1442" s="495"/>
      <c r="BZ1442" s="495"/>
      <c r="CA1442" s="508"/>
      <c r="CB1442" s="495"/>
      <c r="CC1442" s="495"/>
      <c r="CD1442" s="495"/>
      <c r="CE1442" s="495"/>
      <c r="CF1442" s="508"/>
      <c r="CG1442" s="495"/>
      <c r="CH1442" s="495"/>
      <c r="CI1442" s="495"/>
      <c r="CJ1442" s="495"/>
      <c r="CK1442" s="508"/>
      <c r="CL1442" s="954"/>
      <c r="CM1442" s="954"/>
      <c r="CN1442" s="954"/>
      <c r="CO1442" s="1406"/>
      <c r="CP1442" s="508"/>
      <c r="CQ1442" s="954"/>
      <c r="CR1442" s="954"/>
      <c r="CS1442" s="954"/>
      <c r="CT1442" s="1137"/>
      <c r="CU1442" s="508"/>
      <c r="CV1442" s="954"/>
      <c r="CW1442" s="954"/>
      <c r="CX1442" s="954"/>
      <c r="CY1442" s="1137"/>
      <c r="CZ1442" s="508"/>
      <c r="DA1442" s="1339"/>
      <c r="DB1442" s="1366"/>
      <c r="DC1442" s="1366"/>
      <c r="DD1442" s="1202"/>
      <c r="DE1442" s="508"/>
      <c r="DF1442" s="1339"/>
      <c r="DG1442" s="1366"/>
      <c r="DH1442" s="1366"/>
      <c r="DI1442" s="1202"/>
      <c r="DJ1442" s="508"/>
      <c r="DK1442" s="1952"/>
      <c r="DL1442" s="1909"/>
      <c r="DM1442" s="1909"/>
      <c r="DN1442" s="1910"/>
      <c r="DO1442" s="1908"/>
      <c r="DP1442" s="1952"/>
      <c r="DQ1442" s="1909"/>
      <c r="DR1442" s="1909"/>
      <c r="DS1442" s="1910"/>
      <c r="DT1442" s="1908"/>
      <c r="DU1442" s="2133"/>
      <c r="DV1442" s="2126"/>
      <c r="DW1442" s="2778"/>
      <c r="DX1442" s="2779"/>
      <c r="DY1442" s="2780"/>
      <c r="DZ1442" s="2778"/>
      <c r="EA1442" s="3522"/>
      <c r="EB1442" s="3522"/>
      <c r="EC1442" s="2779"/>
      <c r="ED1442" s="1060"/>
      <c r="EE1442" s="958"/>
      <c r="EF1442" s="926"/>
      <c r="EG1442" s="926"/>
      <c r="EH1442" s="2779"/>
      <c r="EI1442" s="308"/>
      <c r="EJ1442" s="308"/>
      <c r="EK1442" s="308"/>
      <c r="EL1442" s="3136"/>
      <c r="EM1442" s="3136"/>
      <c r="EN1442" s="3137"/>
      <c r="EO1442" s="3138"/>
      <c r="EP1442" s="3137"/>
      <c r="EQ1442" s="2207"/>
      <c r="ER1442" s="2207"/>
      <c r="ES1442" s="2207"/>
      <c r="ET1442" s="2207"/>
      <c r="EU1442" s="2207"/>
      <c r="EV1442" s="2207"/>
      <c r="EW1442" s="2207"/>
      <c r="EX1442" s="2207"/>
    </row>
    <row r="1443" spans="2:154" hidden="1" outlineLevel="1">
      <c r="B1443" s="345" t="s">
        <v>187</v>
      </c>
      <c r="C1443" s="1989"/>
      <c r="D1443" s="33">
        <v>490.99099099099095</v>
      </c>
      <c r="E1443" s="33">
        <v>131</v>
      </c>
      <c r="F1443" s="33">
        <v>134</v>
      </c>
      <c r="G1443" s="33">
        <v>139</v>
      </c>
      <c r="H1443" s="33">
        <v>141</v>
      </c>
      <c r="I1443" s="31">
        <f>+SUM(E1443:H1443)</f>
      </c>
      <c r="J1443" s="33">
        <v>137</v>
      </c>
      <c r="K1443" s="33">
        <v>135</v>
      </c>
      <c r="L1443" s="33">
        <v>137</v>
      </c>
      <c r="M1443" s="33">
        <v>130</v>
      </c>
      <c r="N1443" s="31">
        <f>+SUM(J1443:M1443)</f>
      </c>
      <c r="O1443" s="33">
        <v>124</v>
      </c>
      <c r="P1443" s="33">
        <v>122</v>
      </c>
      <c r="Q1443" s="33">
        <v>138</v>
      </c>
      <c r="R1443" s="33">
        <v>118</v>
      </c>
      <c r="S1443" s="31">
        <f>SUM(O1443:R1443)</f>
      </c>
      <c r="T1443" s="33">
        <v>127</v>
      </c>
      <c r="U1443" s="33">
        <v>129</v>
      </c>
      <c r="V1443" s="33">
        <v>135</v>
      </c>
      <c r="W1443" s="33">
        <v>132</v>
      </c>
      <c r="X1443" s="313">
        <f>SUM(T1443:W1443)</f>
      </c>
      <c r="Y1443" s="33">
        <v>129.4</v>
      </c>
      <c r="Z1443" s="33">
        <v>128</v>
      </c>
      <c r="AA1443" s="33">
        <v>141</v>
      </c>
      <c r="AB1443" s="33">
        <v>128</v>
      </c>
      <c r="AC1443" s="313">
        <f>SUM(Y1443:AB1443)</f>
      </c>
      <c r="AD1443" s="33">
        <v>129.6</v>
      </c>
      <c r="AE1443" s="33">
        <v>135</v>
      </c>
      <c r="AF1443" s="33">
        <v>135</v>
      </c>
      <c r="AG1443" s="33">
        <v>133</v>
      </c>
      <c r="AH1443" s="313">
        <f>SUM(AD1443:AG1443)</f>
      </c>
      <c r="AI1443" s="33">
        <v>139</v>
      </c>
      <c r="AJ1443" s="33">
        <v>151</v>
      </c>
      <c r="AK1443" s="33">
        <v>140</v>
      </c>
      <c r="AL1443" s="33">
        <v>136</v>
      </c>
      <c r="AM1443" s="313">
        <f>+SUM(AI1443:AL1443)</f>
      </c>
      <c r="AN1443" s="33">
        <v>148</v>
      </c>
      <c r="AO1443" s="33">
        <v>149</v>
      </c>
      <c r="AP1443" s="33">
        <v>151</v>
      </c>
      <c r="AQ1443" s="33">
        <v>140</v>
      </c>
      <c r="AR1443" s="313">
        <f>+SUM(AN1443:AQ1443)</f>
      </c>
      <c r="AS1443" s="33">
        <v>163</v>
      </c>
      <c r="AT1443" s="33">
        <v>164</v>
      </c>
      <c r="AU1443" s="33">
        <v>149</v>
      </c>
      <c r="AV1443" s="33">
        <v>148</v>
      </c>
      <c r="AW1443" s="313">
        <f>+SUM(AS1443:AV1443)</f>
      </c>
      <c r="AX1443" s="33">
        <v>148</v>
      </c>
      <c r="AY1443" s="33">
        <v>158</v>
      </c>
      <c r="AZ1443" s="33">
        <v>164</v>
      </c>
      <c r="BA1443" s="33">
        <v>148</v>
      </c>
      <c r="BB1443" s="313">
        <f>SUM(AX1443:BA1443)</f>
      </c>
      <c r="BC1443" s="33">
        <v>149</v>
      </c>
      <c r="BD1443" s="33">
        <v>152</v>
      </c>
      <c r="BE1443" s="33">
        <v>142</v>
      </c>
      <c r="BF1443" s="33">
        <v>135</v>
      </c>
      <c r="BG1443" s="313">
        <f>SUM(BC1443:BF1443)</f>
      </c>
      <c r="BH1443" s="33">
        <v>146</v>
      </c>
      <c r="BI1443" s="33">
        <v>137</v>
      </c>
      <c r="BJ1443" s="33">
        <v>121</v>
      </c>
      <c r="BK1443" s="33">
        <v>118</v>
      </c>
      <c r="BL1443" s="313">
        <f>SUM(BH1443:BK1443)</f>
      </c>
      <c r="BM1443" s="33">
        <v>125</v>
      </c>
      <c r="BN1443" s="352">
        <v>121</v>
      </c>
      <c r="BO1443" s="352">
        <v>104</v>
      </c>
      <c r="BP1443" s="33">
        <v>89</v>
      </c>
      <c r="BQ1443" s="313">
        <f>SUM(BM1443:BP1443)</f>
      </c>
      <c r="BR1443" s="33">
        <v>93</v>
      </c>
      <c r="BS1443" s="352">
        <v>80</v>
      </c>
      <c r="BT1443" s="352">
        <v>81</v>
      </c>
      <c r="BU1443" s="352">
        <v>82</v>
      </c>
      <c r="BV1443" s="313">
        <f>SUM(BR1443:BU1443)</f>
      </c>
      <c r="BW1443" s="352">
        <v>81</v>
      </c>
      <c r="BX1443" s="352">
        <v>84</v>
      </c>
      <c r="BY1443" s="352">
        <v>77</v>
      </c>
      <c r="BZ1443" s="352">
        <v>38</v>
      </c>
      <c r="CA1443" s="313">
        <f>SUM(BW1443:BZ1443)</f>
      </c>
      <c r="CB1443" s="352">
        <v>24</v>
      </c>
      <c r="CC1443" s="352">
        <v>11</v>
      </c>
      <c r="CD1443" s="352">
        <v>8</v>
      </c>
      <c r="CE1443" s="352">
        <v>7</v>
      </c>
      <c r="CF1443" s="312">
        <f>SUM(CB1443:CE1443)</f>
      </c>
      <c r="CG1443" s="352">
        <v>6</v>
      </c>
      <c r="CH1443" s="352">
        <v>7</v>
      </c>
      <c r="CI1443" s="352">
        <v>6</v>
      </c>
      <c r="CJ1443" s="352">
        <v>7</v>
      </c>
      <c r="CK1443" s="312">
        <f>SUM(CG1443:CJ1443)</f>
      </c>
      <c r="CL1443" s="352">
        <v>6</v>
      </c>
      <c r="CM1443" s="352">
        <v>7</v>
      </c>
      <c r="CN1443" s="352">
        <v>3</v>
      </c>
      <c r="CO1443" s="352">
        <v>3</v>
      </c>
      <c r="CP1443" s="312">
        <f>SUM(CL1443:CO1443)</f>
      </c>
      <c r="CQ1443" s="352">
        <v>3</v>
      </c>
      <c r="CR1443" s="352">
        <v>3</v>
      </c>
      <c r="CS1443" s="352">
        <v>3</v>
      </c>
      <c r="CT1443" s="352">
        <v>3</v>
      </c>
      <c r="CU1443" s="312">
        <f>SUM(CQ1443:CT1443)</f>
      </c>
      <c r="CV1443" s="352">
        <v>3</v>
      </c>
      <c r="CW1443" s="352">
        <v>4</v>
      </c>
      <c r="CX1443" s="352">
        <v>3</v>
      </c>
      <c r="CY1443" s="352">
        <v>3</v>
      </c>
      <c r="CZ1443" s="312">
        <f>SUM(CV1443:CY1443)</f>
      </c>
      <c r="DA1443" s="352">
        <v>3</v>
      </c>
      <c r="DB1443" s="352">
        <v>3</v>
      </c>
      <c r="DC1443" s="352">
        <v>3</v>
      </c>
      <c r="DD1443" s="1205">
        <v>3</v>
      </c>
      <c r="DE1443" s="1835">
        <f>SUM(DA1443:DD1443)</f>
      </c>
      <c r="DF1443" s="710">
        <v>4</v>
      </c>
      <c r="DG1443" s="710">
        <v>3</v>
      </c>
      <c r="DH1443" s="710">
        <v>3</v>
      </c>
      <c r="DI1443" s="1839">
        <v>3</v>
      </c>
      <c r="DJ1443" s="1835">
        <f>SUM(DF1443:DI1443)</f>
      </c>
      <c r="DK1443" s="710">
        <v>3</v>
      </c>
      <c r="DL1443" s="710">
        <v>3</v>
      </c>
      <c r="DM1443" s="710">
        <v>3</v>
      </c>
      <c r="DN1443" s="1839">
        <v>4</v>
      </c>
      <c r="DO1443" s="1835">
        <f>SUM(DK1443:DN1443)</f>
      </c>
      <c r="DP1443" s="710">
        <v>3</v>
      </c>
      <c r="DQ1443" s="710">
        <v>3</v>
      </c>
      <c r="DR1443" s="710">
        <v>2</v>
      </c>
      <c r="DS1443" s="1839">
        <v>4</v>
      </c>
      <c r="DT1443" s="1835">
        <f>SUM(DP1443:DS1443)</f>
      </c>
      <c r="DU1443" s="710">
        <v>3</v>
      </c>
      <c r="DV1443" s="710">
        <v>4</v>
      </c>
      <c r="DW1443" s="1542"/>
      <c r="DX1443" s="1556"/>
      <c r="DY1443" s="1835"/>
      <c r="DZ1443" s="1542"/>
      <c r="EA1443" s="1542"/>
      <c r="EB1443" s="1542"/>
      <c r="EC1443" s="1556"/>
      <c r="ED1443" s="1835"/>
      <c r="EE1443" s="1877"/>
      <c r="EF1443" s="1542"/>
      <c r="EG1443" s="1542"/>
      <c r="EH1443" s="1556"/>
      <c r="EI1443" s="1835"/>
      <c r="EJ1443" s="1835"/>
      <c r="EK1443" s="1835"/>
      <c r="EL1443" s="477"/>
      <c r="EM1443" s="477"/>
      <c r="EN1443" s="477"/>
      <c r="EO1443" s="1798"/>
      <c r="EP1443" s="477"/>
      <c r="EQ1443" s="477"/>
      <c r="ER1443" s="477"/>
      <c r="ES1443" s="477"/>
      <c r="ET1443" s="477"/>
      <c r="EU1443" s="477"/>
      <c r="EV1443" s="477"/>
      <c r="EW1443" s="477"/>
      <c r="EX1443" s="477"/>
    </row>
    <row r="1444" spans="2:154" hidden="1" outlineLevel="1">
      <c r="B1444" s="345" t="s">
        <v>412</v>
      </c>
      <c r="C1444" s="1989"/>
      <c r="D1444" s="33">
        <v>929.78723404255322</v>
      </c>
      <c r="E1444" s="33">
        <v>216</v>
      </c>
      <c r="F1444" s="33">
        <v>220</v>
      </c>
      <c r="G1444" s="33">
        <v>221</v>
      </c>
      <c r="H1444" s="33">
        <v>217</v>
      </c>
      <c r="I1444" s="31">
        <f>+SUM(E1444:H1444)</f>
      </c>
      <c r="J1444" s="33">
        <v>203</v>
      </c>
      <c r="K1444" s="33">
        <v>215</v>
      </c>
      <c r="L1444" s="33">
        <v>203</v>
      </c>
      <c r="M1444" s="33">
        <v>184</v>
      </c>
      <c r="N1444" s="31">
        <f>+SUM(J1444:M1444)</f>
      </c>
      <c r="O1444" s="33">
        <v>188</v>
      </c>
      <c r="P1444" s="33">
        <v>182</v>
      </c>
      <c r="Q1444" s="33">
        <v>187</v>
      </c>
      <c r="R1444" s="33">
        <v>170</v>
      </c>
      <c r="S1444" s="31">
        <f>SUM(O1444:R1444)</f>
      </c>
      <c r="T1444" s="33">
        <v>170</v>
      </c>
      <c r="U1444" s="33">
        <v>192</v>
      </c>
      <c r="V1444" s="33">
        <v>186</v>
      </c>
      <c r="W1444" s="33">
        <v>179</v>
      </c>
      <c r="X1444" s="313">
        <f>SUM(T1444:W1444)</f>
      </c>
      <c r="Y1444" s="33">
        <v>183.2</v>
      </c>
      <c r="Z1444" s="33">
        <v>216</v>
      </c>
      <c r="AA1444" s="33">
        <v>217</v>
      </c>
      <c r="AB1444" s="33">
        <v>227</v>
      </c>
      <c r="AC1444" s="313">
        <f>SUM(Y1444:AB1444)</f>
      </c>
      <c r="AD1444" s="33">
        <v>218.6</v>
      </c>
      <c r="AE1444" s="33">
        <v>233</v>
      </c>
      <c r="AF1444" s="33">
        <v>236</v>
      </c>
      <c r="AG1444" s="33">
        <v>249</v>
      </c>
      <c r="AH1444" s="313">
        <f>SUM(AD1444:AG1444)</f>
      </c>
      <c r="AI1444" s="33">
        <v>238</v>
      </c>
      <c r="AJ1444" s="33">
        <v>255</v>
      </c>
      <c r="AK1444" s="33">
        <v>258</v>
      </c>
      <c r="AL1444" s="33">
        <v>252</v>
      </c>
      <c r="AM1444" s="313">
        <f>+SUM(AI1444:AL1444)</f>
      </c>
      <c r="AN1444" s="33">
        <v>251</v>
      </c>
      <c r="AO1444" s="33">
        <v>266</v>
      </c>
      <c r="AP1444" s="33">
        <v>281</v>
      </c>
      <c r="AQ1444" s="33">
        <v>280</v>
      </c>
      <c r="AR1444" s="313">
        <f>+SUM(AN1444:AQ1444)</f>
      </c>
      <c r="AS1444" s="33">
        <v>258</v>
      </c>
      <c r="AT1444" s="33">
        <v>299</v>
      </c>
      <c r="AU1444" s="33">
        <v>312</v>
      </c>
      <c r="AV1444" s="33">
        <v>313</v>
      </c>
      <c r="AW1444" s="313">
        <f>+SUM(AS1444:AV1444)</f>
      </c>
      <c r="AX1444" s="33">
        <v>313</v>
      </c>
      <c r="AY1444" s="33">
        <v>346</v>
      </c>
      <c r="AZ1444" s="33">
        <v>346</v>
      </c>
      <c r="BA1444" s="33">
        <v>288</v>
      </c>
      <c r="BB1444" s="313">
        <f>SUM(AX1444:BA1444)</f>
      </c>
      <c r="BC1444" s="33">
        <v>274</v>
      </c>
      <c r="BD1444" s="33">
        <v>329</v>
      </c>
      <c r="BE1444" s="33">
        <v>360</v>
      </c>
      <c r="BF1444" s="33">
        <v>354</v>
      </c>
      <c r="BG1444" s="313">
        <f>SUM(BC1444:BF1444)</f>
      </c>
      <c r="BH1444" s="33">
        <v>323</v>
      </c>
      <c r="BI1444" s="33">
        <v>329</v>
      </c>
      <c r="BJ1444" s="33">
        <v>338</v>
      </c>
      <c r="BK1444" s="33">
        <v>332</v>
      </c>
      <c r="BL1444" s="313">
        <f>SUM(BH1444:BK1444)</f>
      </c>
      <c r="BM1444" s="33">
        <v>334</v>
      </c>
      <c r="BN1444" s="352">
        <v>356</v>
      </c>
      <c r="BO1444" s="352">
        <v>354</v>
      </c>
      <c r="BP1444" s="33">
        <v>309</v>
      </c>
      <c r="BQ1444" s="313">
        <f>SUM(BM1444:BP1444)</f>
      </c>
      <c r="BR1444" s="33">
        <v>316</v>
      </c>
      <c r="BS1444" s="352">
        <v>322</v>
      </c>
      <c r="BT1444" s="352">
        <v>326</v>
      </c>
      <c r="BU1444" s="352">
        <v>325</v>
      </c>
      <c r="BV1444" s="313">
        <f>SUM(BR1444:BU1444)</f>
      </c>
      <c r="BW1444" s="352">
        <v>320</v>
      </c>
      <c r="BX1444" s="352">
        <v>327</v>
      </c>
      <c r="BY1444" s="352">
        <v>331</v>
      </c>
      <c r="BZ1444" s="352">
        <v>310</v>
      </c>
      <c r="CA1444" s="313">
        <f>SUM(BW1444:BZ1444)</f>
      </c>
      <c r="CB1444" s="352">
        <v>303</v>
      </c>
      <c r="CC1444" s="352">
        <v>331</v>
      </c>
      <c r="CD1444" s="352">
        <v>317</v>
      </c>
      <c r="CE1444" s="352">
        <v>301</v>
      </c>
      <c r="CF1444" s="312">
        <f>SUM(CB1444:CE1444)</f>
      </c>
      <c r="CG1444" s="352">
        <v>281</v>
      </c>
      <c r="CH1444" s="352">
        <v>313</v>
      </c>
      <c r="CI1444" s="352">
        <v>304</v>
      </c>
      <c r="CJ1444" s="352">
        <v>276</v>
      </c>
      <c r="CK1444" s="312">
        <f>SUM(CG1444:CJ1444)</f>
      </c>
      <c r="CL1444" s="352">
        <v>245</v>
      </c>
      <c r="CM1444" s="352">
        <v>276</v>
      </c>
      <c r="CN1444" s="352">
        <v>266</v>
      </c>
      <c r="CO1444" s="352">
        <v>261</v>
      </c>
      <c r="CP1444" s="312">
        <f>SUM(CL1444:CO1444)</f>
      </c>
      <c r="CQ1444" s="352">
        <v>239</v>
      </c>
      <c r="CR1444" s="352">
        <v>273</v>
      </c>
      <c r="CS1444" s="352">
        <v>267</v>
      </c>
      <c r="CT1444" s="352">
        <v>259</v>
      </c>
      <c r="CU1444" s="312">
        <f>SUM(CQ1444:CT1444)</f>
      </c>
      <c r="CV1444" s="352">
        <v>240</v>
      </c>
      <c r="CW1444" s="352">
        <v>276</v>
      </c>
      <c r="CX1444" s="352">
        <v>266</v>
      </c>
      <c r="CY1444" s="352">
        <v>254</v>
      </c>
      <c r="CZ1444" s="312">
        <f>SUM(CV1444:CY1444)</f>
      </c>
      <c r="DA1444" s="352">
        <v>222</v>
      </c>
      <c r="DB1444" s="352">
        <v>250</v>
      </c>
      <c r="DC1444" s="352">
        <v>252</v>
      </c>
      <c r="DD1444" s="1205">
        <v>250</v>
      </c>
      <c r="DE1444" s="1835">
        <f>SUM(DA1444:DD1444)</f>
      </c>
      <c r="DF1444" s="710">
        <v>228</v>
      </c>
      <c r="DG1444" s="710">
        <v>199</v>
      </c>
      <c r="DH1444" s="710">
        <v>227</v>
      </c>
      <c r="DI1444" s="1839">
        <v>234</v>
      </c>
      <c r="DJ1444" s="1835">
        <f>SUM(DF1444:DI1444)</f>
      </c>
      <c r="DK1444" s="710">
        <v>219</v>
      </c>
      <c r="DL1444" s="710">
        <v>227</v>
      </c>
      <c r="DM1444" s="710">
        <v>229</v>
      </c>
      <c r="DN1444" s="1839">
        <v>230</v>
      </c>
      <c r="DO1444" s="1835">
        <f>SUM(DK1444:DN1444)</f>
      </c>
      <c r="DP1444" s="710">
        <v>224</v>
      </c>
      <c r="DQ1444" s="710">
        <v>228</v>
      </c>
      <c r="DR1444" s="710">
        <v>222</v>
      </c>
      <c r="DS1444" s="1839">
        <v>217</v>
      </c>
      <c r="DT1444" s="1835">
        <f>SUM(DP1444:DS1444)</f>
      </c>
      <c r="DU1444" s="710">
        <v>214</v>
      </c>
      <c r="DV1444" s="710">
        <v>235</v>
      </c>
      <c r="DW1444" s="1542"/>
      <c r="DX1444" s="1556"/>
      <c r="DY1444" s="1835"/>
      <c r="DZ1444" s="1542"/>
      <c r="EA1444" s="1542"/>
      <c r="EB1444" s="1542"/>
      <c r="EC1444" s="1556"/>
      <c r="ED1444" s="1835"/>
      <c r="EE1444" s="1877"/>
      <c r="EF1444" s="1542"/>
      <c r="EG1444" s="1542"/>
      <c r="EH1444" s="1556"/>
      <c r="EI1444" s="1835"/>
      <c r="EJ1444" s="1835"/>
      <c r="EK1444" s="1835"/>
      <c r="EL1444" s="477"/>
      <c r="EM1444" s="477"/>
      <c r="EN1444" s="477"/>
      <c r="EO1444" s="1798"/>
      <c r="EP1444" s="477"/>
      <c r="EQ1444" s="477"/>
      <c r="ER1444" s="477"/>
      <c r="ES1444" s="477"/>
      <c r="ET1444" s="477"/>
      <c r="EU1444" s="477"/>
      <c r="EV1444" s="477"/>
      <c r="EW1444" s="477"/>
      <c r="EX1444" s="477"/>
    </row>
    <row r="1445" spans="2:154" hidden="1" outlineLevel="1">
      <c r="B1445" s="345" t="s">
        <v>413</v>
      </c>
      <c r="C1445" s="1989"/>
      <c r="D1445" s="28">
        <f t="shared" ref="D1445:AV1445" si="2810">+D1443+D1444</f>
      </c>
      <c r="E1445" s="28">
        <f t="shared" si="2810"/>
      </c>
      <c r="F1445" s="28">
        <f t="shared" si="2810"/>
      </c>
      <c r="G1445" s="28">
        <f t="shared" si="2810"/>
      </c>
      <c r="H1445" s="28">
        <f t="shared" si="2810"/>
      </c>
      <c r="I1445" s="31">
        <f t="shared" si="2810"/>
      </c>
      <c r="J1445" s="28">
        <f t="shared" si="2810"/>
      </c>
      <c r="K1445" s="28">
        <f t="shared" si="2810"/>
      </c>
      <c r="L1445" s="28">
        <f t="shared" si="2810"/>
      </c>
      <c r="M1445" s="28">
        <f t="shared" si="2810"/>
      </c>
      <c r="N1445" s="31">
        <f t="shared" si="2810"/>
      </c>
      <c r="O1445" s="31">
        <f t="shared" si="2810"/>
      </c>
      <c r="P1445" s="31">
        <f t="shared" si="2810"/>
      </c>
      <c r="Q1445" s="31">
        <f t="shared" si="2810"/>
      </c>
      <c r="R1445" s="31">
        <f t="shared" si="2810"/>
      </c>
      <c r="S1445" s="31">
        <f t="shared" si="2810"/>
      </c>
      <c r="T1445" s="31">
        <f t="shared" si="2810"/>
      </c>
      <c r="U1445" s="31">
        <f t="shared" si="2810"/>
      </c>
      <c r="V1445" s="31">
        <f t="shared" si="2810"/>
      </c>
      <c r="W1445" s="31">
        <f t="shared" si="2810"/>
      </c>
      <c r="X1445" s="313">
        <f t="shared" si="2810"/>
      </c>
      <c r="Y1445" s="31">
        <f t="shared" si="2810"/>
      </c>
      <c r="Z1445" s="31">
        <f t="shared" si="2810"/>
      </c>
      <c r="AA1445" s="31">
        <f t="shared" si="2810"/>
      </c>
      <c r="AB1445" s="31">
        <f t="shared" si="2810"/>
      </c>
      <c r="AC1445" s="313">
        <f t="shared" si="2810"/>
      </c>
      <c r="AD1445" s="31">
        <f t="shared" si="2810"/>
      </c>
      <c r="AE1445" s="31">
        <f t="shared" si="2810"/>
      </c>
      <c r="AF1445" s="31">
        <f t="shared" si="2810"/>
      </c>
      <c r="AG1445" s="31">
        <f t="shared" si="2810"/>
      </c>
      <c r="AH1445" s="313">
        <f t="shared" si="2810"/>
      </c>
      <c r="AI1445" s="28">
        <f t="shared" si="2810"/>
      </c>
      <c r="AJ1445" s="28">
        <f t="shared" si="2810"/>
      </c>
      <c r="AK1445" s="28">
        <f t="shared" si="2810"/>
      </c>
      <c r="AL1445" s="31">
        <f t="shared" si="2810"/>
      </c>
      <c r="AM1445" s="313">
        <f t="shared" si="2810"/>
      </c>
      <c r="AN1445" s="28">
        <f t="shared" si="2810"/>
      </c>
      <c r="AO1445" s="28">
        <f t="shared" si="2810"/>
      </c>
      <c r="AP1445" s="28">
        <f t="shared" si="2810"/>
      </c>
      <c r="AQ1445" s="28">
        <f t="shared" si="2810"/>
      </c>
      <c r="AR1445" s="313">
        <f t="shared" si="2810"/>
      </c>
      <c r="AS1445" s="28">
        <f t="shared" si="2810"/>
      </c>
      <c r="AT1445" s="28">
        <f t="shared" si="2810"/>
      </c>
      <c r="AU1445" s="28">
        <f t="shared" si="2810"/>
      </c>
      <c r="AV1445" s="28">
        <f t="shared" si="2810"/>
      </c>
      <c r="AW1445" s="313">
        <f>+AW1443+AW1444</f>
      </c>
      <c r="AX1445" s="28">
        <f t="shared" ref="AX1445:BF1445" si="2811">+AX1443+AX1444</f>
      </c>
      <c r="AY1445" s="28">
        <f t="shared" si="2811"/>
      </c>
      <c r="AZ1445" s="28">
        <f t="shared" si="2811"/>
      </c>
      <c r="BA1445" s="28">
        <f t="shared" si="2811"/>
      </c>
      <c r="BB1445" s="313">
        <f t="shared" si="2811"/>
      </c>
      <c r="BC1445" s="28">
        <f t="shared" si="2811"/>
      </c>
      <c r="BD1445" s="28">
        <f t="shared" si="2811"/>
      </c>
      <c r="BE1445" s="28">
        <f t="shared" si="2811"/>
      </c>
      <c r="BF1445" s="28">
        <f t="shared" si="2811"/>
      </c>
      <c r="BG1445" s="313">
        <f t="shared" ref="BG1445:BT1445" si="2812">+BG1443+BG1444</f>
      </c>
      <c r="BH1445" s="28">
        <f t="shared" si="2812"/>
      </c>
      <c r="BI1445" s="28">
        <f t="shared" si="2812"/>
      </c>
      <c r="BJ1445" s="28">
        <f t="shared" si="2812"/>
      </c>
      <c r="BK1445" s="28">
        <f t="shared" si="2812"/>
      </c>
      <c r="BL1445" s="313">
        <f>SUM(BH1445:BK1445)</f>
      </c>
      <c r="BM1445" s="28">
        <f>+BM1443+BM1444</f>
      </c>
      <c r="BN1445" s="28">
        <f>+BN1443+BN1444</f>
      </c>
      <c r="BO1445" s="28">
        <f>+BO1443+BO1444</f>
      </c>
      <c r="BP1445" s="28">
        <f>+BP1443+BP1444</f>
      </c>
      <c r="BQ1445" s="313">
        <f>SUM(BM1445:BP1445)</f>
      </c>
      <c r="BR1445" s="28">
        <f t="shared" si="2812"/>
      </c>
      <c r="BS1445" s="28">
        <f>+BS1443+BS1444</f>
      </c>
      <c r="BT1445" s="28">
        <f t="shared" si="2812"/>
      </c>
      <c r="BU1445" s="28">
        <f>+BU1443+BU1444</f>
      </c>
      <c r="BV1445" s="313">
        <f>SUM(BR1445:BU1445)</f>
      </c>
      <c r="BW1445" s="28">
        <f>+BW1443+BW1444</f>
      </c>
      <c r="BX1445" s="28">
        <f>+BX1443+BX1444</f>
      </c>
      <c r="BY1445" s="28">
        <f>+BY1443+BY1444</f>
      </c>
      <c r="BZ1445" s="28">
        <f>+BZ1443+BZ1444</f>
      </c>
      <c r="CA1445" s="313">
        <f>SUM(BW1445:BZ1445)</f>
      </c>
      <c r="CB1445" s="28">
        <f>+CB1443+CB1444</f>
      </c>
      <c r="CC1445" s="28">
        <f>+CC1443+CC1444</f>
      </c>
      <c r="CD1445" s="28">
        <f>+CD1443+CD1444</f>
      </c>
      <c r="CE1445" s="28">
        <f>+CE1443+CE1444</f>
      </c>
      <c r="CF1445" s="312">
        <f>SUM(CB1445:CE1445)</f>
      </c>
      <c r="CG1445" s="28">
        <f>+CG1443+CG1444</f>
      </c>
      <c r="CH1445" s="28">
        <f>+CH1443+CH1444</f>
      </c>
      <c r="CI1445" s="28">
        <f>+CI1443+CI1444</f>
      </c>
      <c r="CJ1445" s="28">
        <f>+CJ1443+CJ1444</f>
      </c>
      <c r="CK1445" s="312">
        <f>SUM(CG1445:CJ1445)</f>
      </c>
      <c r="CL1445" s="28">
        <f>+CL1443+CL1444</f>
      </c>
      <c r="CM1445" s="28">
        <f>+CM1443+CM1444</f>
      </c>
      <c r="CN1445" s="28">
        <f>+CN1443+CN1444</f>
      </c>
      <c r="CO1445" s="28">
        <f>+CO1443+CO1444</f>
      </c>
      <c r="CP1445" s="312">
        <f>SUM(CL1445:CO1445)</f>
      </c>
      <c r="CQ1445" s="933">
        <f>+CQ1443+CQ1444</f>
      </c>
      <c r="CR1445" s="933">
        <f>+CR1443+CR1444</f>
      </c>
      <c r="CS1445" s="933">
        <f>+CS1443+CS1444</f>
      </c>
      <c r="CT1445" s="933">
        <f>+CT1443+CT1444</f>
      </c>
      <c r="CU1445" s="312">
        <f>SUM(CQ1445:CT1445)</f>
      </c>
      <c r="CV1445" s="933">
        <f>+CV1443+CV1444</f>
      </c>
      <c r="CW1445" s="933">
        <f>+CW1443+CW1444</f>
      </c>
      <c r="CX1445" s="933">
        <f>+CX1443+CX1444</f>
      </c>
      <c r="CY1445" s="933">
        <f>+CY1443+CY1444</f>
      </c>
      <c r="CZ1445" s="312">
        <f>SUM(CV1445:CY1445)</f>
      </c>
      <c r="DA1445" s="933">
        <f>+DA1443+DA1444</f>
      </c>
      <c r="DB1445" s="933">
        <f>SUM(DB1443:DB1444)</f>
      </c>
      <c r="DC1445" s="31">
        <f>SUM(DC1443:DC1444)</f>
      </c>
      <c r="DD1445" s="984">
        <f>+DD1443+DD1444</f>
      </c>
      <c r="DE1445" s="1835">
        <f>SUM(DA1445:DD1445)</f>
      </c>
      <c r="DF1445" s="1542">
        <f>SUM(DF1443:DF1444)</f>
      </c>
      <c r="DG1445" s="1542">
        <f>SUM(DG1443:DG1444)</f>
      </c>
      <c r="DH1445" s="1542">
        <f>SUM(DH1443:DH1444)</f>
      </c>
      <c r="DI1445" s="1556">
        <f>+DI1443+DI1444</f>
      </c>
      <c r="DJ1445" s="1835">
        <f>SUM(DF1445:DI1445)</f>
      </c>
      <c r="DK1445" s="1542">
        <f>SUM(DK1443:DK1444)</f>
      </c>
      <c r="DL1445" s="1542">
        <f>SUM(DL1443:DL1444)</f>
      </c>
      <c r="DM1445" s="1542">
        <f>SUM(DM1443:DM1444)</f>
      </c>
      <c r="DN1445" s="1556">
        <f>+DN1443+DN1444</f>
      </c>
      <c r="DO1445" s="1835">
        <f>+DO1443+DO1444</f>
      </c>
      <c r="DP1445" s="1542">
        <f>SUM(DP1443:DP1444)</f>
      </c>
      <c r="DQ1445" s="1542">
        <f>SUM(DQ1443:DQ1444)</f>
      </c>
      <c r="DR1445" s="1542">
        <f>SUM(DR1443:DR1444)</f>
      </c>
      <c r="DS1445" s="1556">
        <f>+DS1443+DS1444</f>
      </c>
      <c r="DT1445" s="1835">
        <f>+DT1443+DT1444</f>
      </c>
      <c r="DU1445" s="1542">
        <f>SUM(DU1443:DU1444)</f>
      </c>
      <c r="DV1445" s="1542">
        <f>SUM(DV1443:DV1444)</f>
      </c>
      <c r="DW1445" s="1542"/>
      <c r="DX1445" s="1556"/>
      <c r="DY1445" s="1835"/>
      <c r="DZ1445" s="1542"/>
      <c r="EA1445" s="1542"/>
      <c r="EB1445" s="1542"/>
      <c r="EC1445" s="1556"/>
      <c r="ED1445" s="1835"/>
      <c r="EE1445" s="1877"/>
      <c r="EF1445" s="1542"/>
      <c r="EG1445" s="1542"/>
      <c r="EH1445" s="1556"/>
      <c r="EI1445" s="1835"/>
      <c r="EJ1445" s="1835"/>
      <c r="EK1445" s="1835"/>
      <c r="EL1445" s="477"/>
      <c r="EM1445" s="477"/>
      <c r="EN1445" s="477"/>
      <c r="EO1445" s="1798"/>
      <c r="EP1445" s="477"/>
      <c r="EQ1445" s="477"/>
      <c r="ER1445" s="477"/>
      <c r="ES1445" s="477"/>
      <c r="ET1445" s="477"/>
      <c r="EU1445" s="477"/>
      <c r="EV1445" s="477"/>
      <c r="EW1445" s="477"/>
      <c r="EX1445" s="477"/>
    </row>
    <row r="1446" spans="2:154" hidden="1" outlineLevel="1">
      <c r="B1446" s="345"/>
      <c r="C1446" s="1989"/>
      <c r="D1446" s="28"/>
      <c r="E1446" s="28"/>
      <c r="F1446" s="28"/>
      <c r="G1446" s="28"/>
      <c r="H1446" s="28"/>
      <c r="I1446" s="31"/>
      <c r="J1446" s="28"/>
      <c r="K1446" s="28"/>
      <c r="L1446" s="28"/>
      <c r="M1446" s="28"/>
      <c r="N1446" s="31"/>
      <c r="O1446" s="31"/>
      <c r="P1446" s="31"/>
      <c r="Q1446" s="31"/>
      <c r="R1446" s="31"/>
      <c r="S1446" s="31"/>
      <c r="T1446" s="31"/>
      <c r="U1446" s="31"/>
      <c r="V1446" s="31"/>
      <c r="W1446" s="31"/>
      <c r="X1446" s="313"/>
      <c r="Y1446" s="31"/>
      <c r="Z1446" s="31"/>
      <c r="AA1446" s="31"/>
      <c r="AB1446" s="31"/>
      <c r="AC1446" s="313"/>
      <c r="AD1446" s="31"/>
      <c r="AE1446" s="31"/>
      <c r="AF1446" s="31"/>
      <c r="AG1446" s="31"/>
      <c r="AH1446" s="313"/>
      <c r="AI1446" s="28"/>
      <c r="AJ1446" s="28"/>
      <c r="AK1446" s="28"/>
      <c r="AL1446" s="31"/>
      <c r="AM1446" s="313"/>
      <c r="AN1446" s="28"/>
      <c r="AO1446" s="28"/>
      <c r="AP1446" s="28"/>
      <c r="AQ1446" s="31"/>
      <c r="AR1446" s="313"/>
      <c r="AS1446" s="28"/>
      <c r="AT1446" s="28"/>
      <c r="AU1446" s="28"/>
      <c r="AV1446" s="31"/>
      <c r="AW1446" s="313"/>
      <c r="AX1446" s="28"/>
      <c r="AY1446" s="28"/>
      <c r="AZ1446" s="28"/>
      <c r="BA1446" s="28"/>
      <c r="BB1446" s="313"/>
      <c r="BC1446" s="28"/>
      <c r="BD1446" s="28"/>
      <c r="BE1446" s="28"/>
      <c r="BF1446" s="28"/>
      <c r="BG1446" s="313"/>
      <c r="BH1446" s="28"/>
      <c r="BI1446" s="28"/>
      <c r="BJ1446" s="28"/>
      <c r="BK1446" s="28"/>
      <c r="BL1446" s="313"/>
      <c r="BM1446" s="28"/>
      <c r="BN1446" s="28"/>
      <c r="BO1446" s="28"/>
      <c r="BP1446" s="28"/>
      <c r="BQ1446" s="313"/>
      <c r="BR1446" s="28"/>
      <c r="BS1446" s="28"/>
      <c r="BT1446" s="28"/>
      <c r="BU1446" s="28"/>
      <c r="BV1446" s="313"/>
      <c r="BW1446" s="28"/>
      <c r="BX1446" s="28"/>
      <c r="BY1446" s="28"/>
      <c r="BZ1446" s="28"/>
      <c r="CA1446" s="313"/>
      <c r="CB1446" s="28"/>
      <c r="CC1446" s="28"/>
      <c r="CD1446" s="28"/>
      <c r="CE1446" s="28"/>
      <c r="CF1446" s="313"/>
      <c r="CG1446" s="28"/>
      <c r="CH1446" s="28"/>
      <c r="CI1446" s="28"/>
      <c r="CJ1446" s="28"/>
      <c r="CK1446" s="313"/>
      <c r="CL1446" s="28"/>
      <c r="CM1446" s="28"/>
      <c r="CN1446" s="28"/>
      <c r="CO1446" s="28"/>
      <c r="CP1446" s="313"/>
      <c r="CQ1446" s="933"/>
      <c r="CR1446" s="933"/>
      <c r="CS1446" s="933"/>
      <c r="CT1446" s="933"/>
      <c r="CU1446" s="313"/>
      <c r="CV1446" s="933"/>
      <c r="CW1446" s="933"/>
      <c r="CX1446" s="933"/>
      <c r="CY1446" s="933"/>
      <c r="CZ1446" s="313"/>
      <c r="DA1446" s="933"/>
      <c r="DB1446" s="31"/>
      <c r="DC1446" s="31"/>
      <c r="DD1446" s="955"/>
      <c r="DE1446" s="477"/>
      <c r="DF1446" s="982"/>
      <c r="DG1446" s="603"/>
      <c r="DH1446" s="603"/>
      <c r="DI1446" s="1798"/>
      <c r="DJ1446" s="477"/>
      <c r="DK1446" s="982"/>
      <c r="DL1446" s="603"/>
      <c r="DM1446" s="603"/>
      <c r="DN1446" s="1798"/>
      <c r="DO1446" s="477"/>
      <c r="DP1446" s="603"/>
      <c r="DQ1446" s="603"/>
      <c r="DR1446" s="603"/>
      <c r="DS1446" s="1798"/>
      <c r="DT1446" s="477"/>
      <c r="DU1446" s="603"/>
      <c r="DV1446" s="603"/>
      <c r="DW1446" s="603"/>
      <c r="DX1446" s="1798"/>
      <c r="DY1446" s="477"/>
      <c r="DZ1446" s="603"/>
      <c r="EA1446" s="603"/>
      <c r="EB1446" s="603"/>
      <c r="EC1446" s="1798"/>
      <c r="ED1446" s="477"/>
      <c r="EE1446" s="1799"/>
      <c r="EF1446" s="603"/>
      <c r="EG1446" s="603"/>
      <c r="EH1446" s="1798"/>
      <c r="EI1446" s="477"/>
      <c r="EJ1446" s="477"/>
      <c r="EK1446" s="477"/>
      <c r="EL1446" s="477"/>
      <c r="EM1446" s="477"/>
      <c r="EN1446" s="477"/>
      <c r="EO1446" s="1798"/>
      <c r="EP1446" s="477"/>
      <c r="EQ1446" s="477"/>
      <c r="ER1446" s="477"/>
      <c r="ES1446" s="477"/>
      <c r="ET1446" s="477"/>
      <c r="EU1446" s="477"/>
      <c r="EV1446" s="477"/>
      <c r="EW1446" s="477"/>
      <c r="EX1446" s="477"/>
    </row>
    <row r="1447" spans="2:154" hidden="1" outlineLevel="1">
      <c r="B1447" s="343" t="s">
        <v>370</v>
      </c>
      <c r="C1447" s="1989"/>
      <c r="D1447" s="28"/>
      <c r="E1447" s="28"/>
      <c r="F1447" s="28"/>
      <c r="G1447" s="28"/>
      <c r="H1447" s="28"/>
      <c r="I1447" s="31"/>
      <c r="J1447" s="28"/>
      <c r="K1447" s="28"/>
      <c r="L1447" s="28"/>
      <c r="M1447" s="28"/>
      <c r="N1447" s="31"/>
      <c r="O1447" s="31"/>
      <c r="P1447" s="31"/>
      <c r="Q1447" s="31"/>
      <c r="R1447" s="31"/>
      <c r="S1447" s="31"/>
      <c r="T1447" s="31"/>
      <c r="U1447" s="31"/>
      <c r="V1447" s="31"/>
      <c r="W1447" s="31"/>
      <c r="X1447" s="313"/>
      <c r="Y1447" s="31"/>
      <c r="Z1447" s="31"/>
      <c r="AA1447" s="31"/>
      <c r="AB1447" s="31"/>
      <c r="AC1447" s="313"/>
      <c r="AD1447" s="31"/>
      <c r="AE1447" s="31"/>
      <c r="AF1447" s="31"/>
      <c r="AG1447" s="31"/>
      <c r="AH1447" s="313"/>
      <c r="AI1447" s="28"/>
      <c r="AJ1447" s="28"/>
      <c r="AK1447" s="28"/>
      <c r="AL1447" s="31"/>
      <c r="AM1447" s="313"/>
      <c r="AN1447" s="28"/>
      <c r="AO1447" s="28"/>
      <c r="AP1447" s="28"/>
      <c r="AQ1447" s="28"/>
      <c r="AR1447" s="313"/>
      <c r="AS1447" s="28"/>
      <c r="AT1447" s="28"/>
      <c r="AU1447" s="28"/>
      <c r="AV1447" s="28"/>
      <c r="AW1447" s="313"/>
      <c r="AX1447" s="28"/>
      <c r="AY1447" s="28"/>
      <c r="AZ1447" s="28"/>
      <c r="BA1447" s="28"/>
      <c r="BB1447" s="313"/>
      <c r="BC1447" s="28"/>
      <c r="BD1447" s="28"/>
      <c r="BE1447" s="28"/>
      <c r="BF1447" s="28"/>
      <c r="BG1447" s="313"/>
      <c r="BH1447" s="28"/>
      <c r="BI1447" s="28"/>
      <c r="BJ1447" s="28"/>
      <c r="BK1447" s="28"/>
      <c r="BL1447" s="313"/>
      <c r="BM1447" s="28"/>
      <c r="BN1447" s="28"/>
      <c r="BO1447" s="28"/>
      <c r="BP1447" s="28"/>
      <c r="BQ1447" s="313"/>
      <c r="BR1447" s="28"/>
      <c r="BS1447" s="28"/>
      <c r="BT1447" s="28"/>
      <c r="BU1447" s="28"/>
      <c r="BV1447" s="313"/>
      <c r="BW1447" s="28"/>
      <c r="BX1447" s="28"/>
      <c r="BY1447" s="28"/>
      <c r="BZ1447" s="28"/>
      <c r="CA1447" s="313"/>
      <c r="CB1447" s="28"/>
      <c r="CC1447" s="28"/>
      <c r="CD1447" s="28"/>
      <c r="CE1447" s="28"/>
      <c r="CF1447" s="313"/>
      <c r="CG1447" s="28"/>
      <c r="CH1447" s="28"/>
      <c r="CI1447" s="28"/>
      <c r="CJ1447" s="28"/>
      <c r="CK1447" s="313"/>
      <c r="CL1447" s="28"/>
      <c r="CM1447" s="28"/>
      <c r="CN1447" s="28"/>
      <c r="CO1447" s="28"/>
      <c r="CP1447" s="313"/>
      <c r="CQ1447" s="933"/>
      <c r="CR1447" s="933"/>
      <c r="CS1447" s="933"/>
      <c r="CT1447" s="933"/>
      <c r="CU1447" s="313"/>
      <c r="CV1447" s="933"/>
      <c r="CW1447" s="933"/>
      <c r="CX1447" s="933"/>
      <c r="CY1447" s="933"/>
      <c r="CZ1447" s="313"/>
      <c r="DA1447" s="933"/>
      <c r="DB1447" s="31"/>
      <c r="DC1447" s="31"/>
      <c r="DD1447" s="955"/>
      <c r="DE1447" s="477"/>
      <c r="DF1447" s="982"/>
      <c r="DG1447" s="603"/>
      <c r="DH1447" s="603"/>
      <c r="DI1447" s="1798"/>
      <c r="DJ1447" s="477"/>
      <c r="DK1447" s="982"/>
      <c r="DL1447" s="603"/>
      <c r="DM1447" s="603"/>
      <c r="DN1447" s="1798"/>
      <c r="DO1447" s="477"/>
      <c r="DP1447" s="603"/>
      <c r="DQ1447" s="603"/>
      <c r="DR1447" s="603"/>
      <c r="DS1447" s="1798"/>
      <c r="DT1447" s="477"/>
      <c r="DU1447" s="603"/>
      <c r="DV1447" s="603"/>
      <c r="DW1447" s="603"/>
      <c r="DX1447" s="1798"/>
      <c r="DY1447" s="477"/>
      <c r="DZ1447" s="603"/>
      <c r="EA1447" s="603"/>
      <c r="EB1447" s="603"/>
      <c r="EC1447" s="1798"/>
      <c r="ED1447" s="477"/>
      <c r="EE1447" s="1799"/>
      <c r="EF1447" s="603"/>
      <c r="EG1447" s="603"/>
      <c r="EH1447" s="1798"/>
      <c r="EI1447" s="477"/>
      <c r="EJ1447" s="477"/>
      <c r="EK1447" s="477"/>
      <c r="EL1447" s="477"/>
      <c r="EM1447" s="477"/>
      <c r="EN1447" s="477"/>
      <c r="EO1447" s="1798"/>
      <c r="EP1447" s="477"/>
      <c r="EQ1447" s="477"/>
      <c r="ER1447" s="477"/>
      <c r="ES1447" s="477"/>
      <c r="ET1447" s="477"/>
      <c r="EU1447" s="477"/>
      <c r="EV1447" s="477"/>
      <c r="EW1447" s="477"/>
      <c r="EX1447" s="477"/>
    </row>
    <row r="1448" spans="2:154" hidden="1" outlineLevel="1">
      <c r="B1448" s="510" t="s">
        <v>187</v>
      </c>
      <c r="C1448" s="1989"/>
      <c r="D1448" s="28"/>
      <c r="E1448" s="28"/>
      <c r="F1448" s="28"/>
      <c r="G1448" s="28"/>
      <c r="H1448" s="28"/>
      <c r="I1448" s="30">
        <f t="shared" ref="I1448:R1449" si="2813">IF(D1443="NM","NM",IF(I1443="NM","NM",IF(D1443&lt;=0,"NM",IF(I1443=0,"NM",IF(ABS(I1443/D1443-1)&gt;2.5,"NM",IF((ABS(I1443-D1443)=ABS(ABS(I1443)-ABS(D1443))),(I1443/D1443-1),"NM"))))))</f>
      </c>
      <c r="J1448" s="30">
        <f t="shared" si="2813"/>
      </c>
      <c r="K1448" s="30">
        <f t="shared" si="2813"/>
      </c>
      <c r="L1448" s="30">
        <f t="shared" si="2813"/>
      </c>
      <c r="M1448" s="30">
        <f t="shared" si="2813"/>
      </c>
      <c r="N1448" s="30">
        <f t="shared" si="2813"/>
      </c>
      <c r="O1448" s="30">
        <f t="shared" si="2813"/>
      </c>
      <c r="P1448" s="30">
        <f t="shared" si="2813"/>
      </c>
      <c r="Q1448" s="30">
        <f t="shared" si="2813"/>
      </c>
      <c r="R1448" s="30">
        <f t="shared" si="2813"/>
      </c>
      <c r="S1448" s="30">
        <f t="shared" ref="S1448:AB1449" si="2814">IF(N1443="NM","NM",IF(S1443="NM","NM",IF(N1443&lt;=0,"NM",IF(S1443=0,"NM",IF(ABS(S1443/N1443-1)&gt;2.5,"NM",IF((ABS(S1443-N1443)=ABS(ABS(S1443)-ABS(N1443))),(S1443/N1443-1),"NM"))))))</f>
      </c>
      <c r="T1448" s="30">
        <f t="shared" si="2814"/>
      </c>
      <c r="U1448" s="30">
        <f t="shared" si="2814"/>
      </c>
      <c r="V1448" s="30">
        <f t="shared" si="2814"/>
      </c>
      <c r="W1448" s="30">
        <f t="shared" si="2814"/>
      </c>
      <c r="X1448" s="308">
        <f t="shared" si="2814"/>
      </c>
      <c r="Y1448" s="30">
        <f t="shared" si="2814"/>
      </c>
      <c r="Z1448" s="30">
        <f t="shared" si="2814"/>
      </c>
      <c r="AA1448" s="30">
        <f t="shared" si="2814"/>
      </c>
      <c r="AB1448" s="30">
        <f t="shared" si="2814"/>
      </c>
      <c r="AC1448" s="308">
        <f t="shared" ref="AC1448:AL1449" si="2815">IF(X1443="NM","NM",IF(AC1443="NM","NM",IF(X1443&lt;=0,"NM",IF(AC1443=0,"NM",IF(ABS(AC1443/X1443-1)&gt;2.5,"NM",IF((ABS(AC1443-X1443)=ABS(ABS(AC1443)-ABS(X1443))),(AC1443/X1443-1),"NM"))))))</f>
      </c>
      <c r="AD1448" s="30">
        <f t="shared" si="2815"/>
      </c>
      <c r="AE1448" s="30">
        <f t="shared" si="2815"/>
      </c>
      <c r="AF1448" s="30">
        <f t="shared" si="2815"/>
      </c>
      <c r="AG1448" s="30">
        <f t="shared" si="2815"/>
      </c>
      <c r="AH1448" s="308">
        <f t="shared" si="2815"/>
      </c>
      <c r="AI1448" s="30">
        <f t="shared" si="2815"/>
      </c>
      <c r="AJ1448" s="30">
        <f t="shared" si="2815"/>
      </c>
      <c r="AK1448" s="30">
        <f t="shared" si="2815"/>
      </c>
      <c r="AL1448" s="30">
        <f t="shared" si="2815"/>
      </c>
      <c r="AM1448" s="308">
        <f t="shared" ref="AM1448:AV1449" si="2816">IF(AH1443="NM","NM",IF(AM1443="NM","NM",IF(AH1443&lt;=0,"NM",IF(AM1443=0,"NM",IF(ABS(AM1443/AH1443-1)&gt;2.5,"NM",IF((ABS(AM1443-AH1443)=ABS(ABS(AM1443)-ABS(AH1443))),(AM1443/AH1443-1),"NM"))))))</f>
      </c>
      <c r="AN1448" s="30">
        <f t="shared" si="2816"/>
      </c>
      <c r="AO1448" s="30">
        <f t="shared" si="2816"/>
      </c>
      <c r="AP1448" s="30">
        <f t="shared" si="2816"/>
      </c>
      <c r="AQ1448" s="30">
        <f t="shared" si="2816"/>
      </c>
      <c r="AR1448" s="308">
        <f t="shared" si="2816"/>
      </c>
      <c r="AS1448" s="30">
        <f t="shared" si="2816"/>
      </c>
      <c r="AT1448" s="30">
        <f t="shared" si="2816"/>
      </c>
      <c r="AU1448" s="30">
        <f t="shared" si="2816"/>
      </c>
      <c r="AV1448" s="30">
        <f t="shared" si="2816"/>
      </c>
      <c r="AW1448" s="308">
        <f t="shared" ref="AW1448:BO1449" si="2817">IF(AR1443="NM","NM",IF(AW1443="NM","NM",IF(AR1443&lt;=0,"NM",IF(AW1443=0,"NM",IF(ABS(AW1443/AR1443-1)&gt;2.5,"NM",IF((ABS(AW1443-AR1443)=ABS(ABS(AW1443)-ABS(AR1443))),(AW1443/AR1443-1),"NM"))))))</f>
      </c>
      <c r="AX1448" s="30">
        <f t="shared" si="2817"/>
      </c>
      <c r="AY1448" s="30">
        <f t="shared" si="2817"/>
      </c>
      <c r="AZ1448" s="30">
        <f t="shared" si="2817"/>
      </c>
      <c r="BA1448" s="30">
        <f t="shared" si="2817"/>
      </c>
      <c r="BB1448" s="308">
        <f t="shared" si="2817"/>
      </c>
      <c r="BC1448" s="30">
        <f t="shared" si="2817"/>
      </c>
      <c r="BD1448" s="30">
        <f t="shared" si="2817"/>
      </c>
      <c r="BE1448" s="30">
        <f t="shared" si="2817"/>
      </c>
      <c r="BF1448" s="30">
        <f t="shared" si="2817"/>
      </c>
      <c r="BG1448" s="308">
        <f>IF(BB1443="NM","NM",IF(BG1443="NM","NM",IF(BB1443&lt;=0,"NM",IF(BG1443=0,"NM",IF(ABS(BG1443/BB1443-1)&gt;2.5,"NM",IF((ABS(BG1443-BB1443)=ABS(ABS(BG1443)-ABS(BB1443))),(BG1443/BB1443-1),"NM"))))))</f>
      </c>
      <c r="BH1448" s="30">
        <f t="shared" si="2817"/>
      </c>
      <c r="BI1448" s="30">
        <f t="shared" si="2817"/>
      </c>
      <c r="BJ1448" s="30">
        <f t="shared" si="2817"/>
      </c>
      <c r="BK1448" s="30">
        <f t="shared" si="2817"/>
      </c>
      <c r="BL1448" s="308">
        <f>IF(BG1443="NM","NM",IF(BL1443="NM","NM",IF(BG1443&lt;=0,"NM",IF(BL1443=0,"NM",IF(ABS(BL1443/BG1443-1)&gt;2.5,"NM",IF((ABS(BL1443-BG1443)=ABS(ABS(BL1443)-ABS(BG1443))),(BL1443/BG1443-1),"NM"))))))</f>
      </c>
      <c r="BM1448" s="30">
        <f t="shared" si="2817"/>
      </c>
      <c r="BN1448" s="30">
        <f t="shared" si="2817"/>
      </c>
      <c r="BO1448" s="30">
        <f t="shared" si="2817"/>
      </c>
      <c r="BP1448" s="30">
        <f t="shared" ref="BP1448:BY1449" si="2818">IF(BK1443="NM","NM",IF(BP1443="NM","NM",IF(BK1443&lt;=0,"NM",IF(BP1443=0,"NM",IF(ABS(BP1443/BK1443-1)&gt;2.5,"NM",IF((ABS(BP1443-BK1443)=ABS(ABS(BP1443)-ABS(BK1443))),(BP1443/BK1443-1),"NM"))))))</f>
      </c>
      <c r="BQ1448" s="308">
        <f t="shared" si="2818"/>
      </c>
      <c r="BR1448" s="30">
        <f t="shared" si="2818"/>
      </c>
      <c r="BS1448" s="30">
        <f t="shared" si="2818"/>
      </c>
      <c r="BT1448" s="30">
        <f t="shared" si="2818"/>
      </c>
      <c r="BU1448" s="30">
        <f>IF(BP1443="NM","NM",IF(BU1443="NM","NM",IF(BP1443&lt;=0,"NM",IF(BU1443=0,"NM",IF(ABS(BU1443/BP1443-1)&gt;2.5,"NM",IF((ABS(BU1443-BP1443)=ABS(ABS(BU1443)-ABS(BP1443))),(BU1443/BP1443-1),"NM"))))))</f>
      </c>
      <c r="BV1448" s="308">
        <f t="shared" si="2818"/>
      </c>
      <c r="BW1448" s="30">
        <f t="shared" si="2818"/>
      </c>
      <c r="BX1448" s="30">
        <f t="shared" si="2818"/>
      </c>
      <c r="BY1448" s="30">
        <f t="shared" si="2818"/>
      </c>
      <c r="BZ1448" s="30">
        <f>IF(BU1443="NM","NM",IF(BZ1443="NM","NM",IF(BU1443&lt;=0,"NM",IF(BZ1443=0,"NM",IF(ABS(BZ1443/BU1443-1)&gt;2.5,"NM",IF((ABS(BZ1443-BU1443)=ABS(ABS(BZ1443)-ABS(BU1443))),(BZ1443/BU1443-1),"NM"))))))</f>
      </c>
      <c r="CA1448" s="315">
        <f>IF(BV1443="NM","NM",IF(CA1443="NM","NM",IF(BV1443&lt;=0,"NM",IF(CA1443=0,"NM",IF(ABS(CA1443/BV1443-1)&gt;2.5,"NM",IF((ABS(CA1443-BV1443)=ABS(ABS(CA1443)-ABS(BV1443))),(CA1443/BV1443-1),"NM"))))))</f>
      </c>
      <c r="CB1448" s="30">
        <f t="shared" ref="CB1448:CD1449" si="2819">IF(BW1443="NM","NM",IF(CB1443="NM","NM",IF(BW1443&lt;=0,"NM",IF(CB1443=0,"NM",IF(ABS(CB1443/BW1443-1)&gt;2.5,"NM",IF((ABS(CB1443-BW1443)=ABS(ABS(CB1443)-ABS(BW1443))),(CB1443/BW1443-1),"NM"))))))</f>
      </c>
      <c r="CC1448" s="30">
        <f t="shared" si="2819"/>
      </c>
      <c r="CD1448" s="30">
        <f t="shared" si="2819"/>
      </c>
      <c r="CE1448" s="30">
        <f>IF(BZ1443="NM","NM",IF(CE1443="NM","NM",IF(BZ1443&lt;=0,"NM",IF(CE1443=0,"NM",IF(ABS(CE1443/BZ1443-1)&gt;2.5,"NM",IF((ABS(CE1443-BZ1443)=ABS(ABS(CE1443)-ABS(BZ1443))),(CE1443/BZ1443-1),"NM"))))))</f>
      </c>
      <c r="CF1448" s="315">
        <f>IF(CA1443="NM","NM",IF(CF1443="NM","NM",IF(CA1443&lt;=0,"NM",IF(CF1443=0,"NM",IF(ABS(CF1443/CA1443-1)&gt;2.5,"NM",IF((ABS(CF1443-CA1443)=ABS(ABS(CF1443)-ABS(CA1443))),(CF1443/CA1443-1),"NM"))))))</f>
      </c>
      <c r="CG1448" s="30">
        <f t="shared" ref="CG1448:CI1449" si="2820">IF(CB1443="NM","NM",IF(CG1443="NM","NM",IF(CB1443&lt;=0,"NM",IF(CG1443=0,"NM",IF(ABS(CG1443/CB1443-1)&gt;2.5,"NM",IF((ABS(CG1443-CB1443)=ABS(ABS(CG1443)-ABS(CB1443))),(CG1443/CB1443-1),"NM"))))))</f>
      </c>
      <c r="CH1448" s="30">
        <f t="shared" si="2820"/>
      </c>
      <c r="CI1448" s="30">
        <f t="shared" si="2820"/>
      </c>
      <c r="CJ1448" s="30">
        <f>IF(CE1443="NM","NM",IF(CJ1443="NM","NM",IF(CE1443&lt;=0,"NM",IF(CJ1443=0,"NM",IF(ABS(CJ1443/CE1443-1)&gt;2.5,"NM",IF((ABS(CJ1443-CE1443)=ABS(ABS(CJ1443)-ABS(CE1443))),(CJ1443/CE1443-1),"NM"))))))</f>
      </c>
      <c r="CK1448" s="308">
        <f>IF(CF1443=0, 0, CK1443/CF1443-1)</f>
      </c>
      <c r="CL1448" s="30">
        <f t="shared" ref="CL1448:CN1449" si="2821">IF(CG1443="NM","NM",IF(CL1443="NM","NM",IF(CG1443&lt;=0,"NM",IF(CL1443=0,"NM",IF(ABS(CL1443/CG1443-1)&gt;2.5,"NM",IF((ABS(CL1443-CG1443)=ABS(ABS(CL1443)-ABS(CG1443))),(CL1443/CG1443-1),"NM"))))))</f>
      </c>
      <c r="CM1448" s="30">
        <f t="shared" si="2821"/>
      </c>
      <c r="CN1448" s="30">
        <f t="shared" si="2821"/>
      </c>
      <c r="CO1448" s="30">
        <f>IF(CJ1443="NM","NM",IF(CO1443="NM","NM",IF(CJ1443&lt;=0,"NM",IF(CO1443=0,"NM",IF(ABS(CO1443/CJ1443-1)&gt;2.5,"NM",IF((ABS(CO1443-CJ1443)=ABS(ABS(CO1443)-ABS(CJ1443))),(CO1443/CJ1443-1),"NM"))))))</f>
      </c>
      <c r="CP1448" s="308">
        <f>IF(CK1443=0, 0, CP1443/CK1443-1)</f>
      </c>
      <c r="CQ1448" s="1219">
        <f>IF(CL1443="NM","NM",IF(CQ1443="NM","NM",IF(CL1443&lt;=0,"NM",IF(CQ1443=0,"NM",IF(ABS(CQ1443/CL1443-1)&gt;2.5,"NM",IF((ABS(CQ1443-CL1443)=ABS(ABS(CQ1443)-ABS(CL1443))),(CQ1443/CL1443-1),"NM"))))))</f>
      </c>
      <c r="CR1448" s="1219">
        <f t="shared" ref="CR1448:CT1449" si="2822">IF(CM1443="NM","NM",IF(CR1443="NM","NM",IF(CM1443&lt;=0,"NM",IF(CR1443=0,"NM",IF(ABS(CR1443/CM1443-1)&gt;2.5,"NM",IF((ABS(CR1443-CM1443)=ABS(ABS(CR1443)-ABS(CM1443))),(CR1443/CM1443-1),"NM"))))))</f>
      </c>
      <c r="CS1448" s="1219">
        <f t="shared" si="2822"/>
      </c>
      <c r="CT1448" s="1219">
        <f t="shared" si="2822"/>
      </c>
      <c r="CU1448" s="308">
        <f>IF(CP1443=0, 0, CU1443/CP1443-1)</f>
      </c>
      <c r="CV1448" s="1219">
        <f t="shared" ref="CV1448:CX1449" si="2823">IF(CQ1443="NM","NM",IF(CV1443="NM","NM",IF(CQ1443&lt;=0,"NM",IF(CV1443=0,"NM",IF(ABS(CV1443/CQ1443-1)&gt;2.5,"NM",IF((ABS(CV1443-CQ1443)=ABS(ABS(CV1443)-ABS(CQ1443))),(CV1443/CQ1443-1),"NM"))))))</f>
      </c>
      <c r="CW1448" s="1219">
        <f t="shared" si="2823"/>
      </c>
      <c r="CX1448" s="1219">
        <f t="shared" si="2823"/>
      </c>
      <c r="CY1448" s="1219">
        <f>IF(CT1443="NM","NM",IF(CY1443="NM","NM",IF(CT1443&lt;=0,"NM",IF(CY1443=0,"NM",IF(ABS(CY1443/CT1443-1)&gt;2.5,"NM",IF((ABS(CY1443-CT1443)=ABS(ABS(CY1443)-ABS(CT1443))),(CY1443/CT1443-1),"NM"))))))</f>
      </c>
      <c r="CZ1448" s="308">
        <f>IF(CU1443=0, 0, CZ1443/CU1443-1)</f>
      </c>
      <c r="DA1448" s="1219">
        <f t="shared" ref="DA1448:DD1449" si="2824">IF(CV1443="NM","NM",IF(DA1443="NM","NM",IF(CV1443&lt;=0,"NM",IF(DA1443=0,"NM",IF(ABS(DA1443/CV1443-1)&gt;2.5,"NM",IF((ABS(DA1443-CV1443)=ABS(ABS(DA1443)-ABS(CV1443))),(DA1443/CV1443-1),"NM"))))))</f>
      </c>
      <c r="DB1448" s="1219">
        <f t="shared" si="2824"/>
      </c>
      <c r="DC1448" s="1219">
        <f t="shared" si="2824"/>
      </c>
      <c r="DD1448" s="1219">
        <f t="shared" si="2824"/>
      </c>
      <c r="DE1448" s="308">
        <f>IF(CZ1443=0, 0, DE1443/CZ1443-1)</f>
      </c>
      <c r="DF1448" s="925">
        <f t="shared" ref="DF1448:DI1449" si="2825">IF(DA1443="NM","NM",IF(DF1443="NM","NM",IF(DA1443&lt;=0,"NM",IF(DF1443=0,"NM",IF(ABS(DF1443/DA1443-1)&gt;2.5,"NM",IF((ABS(DF1443-DA1443)=ABS(ABS(DF1443)-ABS(DA1443))),(DF1443/DA1443-1),"NM"))))))</f>
      </c>
      <c r="DG1448" s="1219">
        <f t="shared" si="2825"/>
      </c>
      <c r="DH1448" s="1219">
        <f t="shared" si="2825"/>
      </c>
      <c r="DI1448" s="1219">
        <f t="shared" si="2825"/>
      </c>
      <c r="DJ1448" s="308">
        <f>IF(DE1443=0, 0, DJ1443/DE1443-1)</f>
      </c>
      <c r="DK1448" s="925">
        <f t="shared" ref="DK1448:DM1449" si="2826">IF(DF1443="NM","NM",IF(DK1443="NM","NM",IF(DF1443&lt;=0,"NM",IF(DK1443=0,"NM",IF(ABS(DK1443/DF1443-1)&gt;2.5,"NM",IF((ABS(DK1443-DF1443)=ABS(ABS(DK1443)-ABS(DF1443))),(DK1443/DF1443-1),"NM"))))))</f>
      </c>
      <c r="DL1448" s="1219">
        <f t="shared" si="2826"/>
      </c>
      <c r="DM1448" s="1219">
        <f t="shared" si="2826"/>
      </c>
      <c r="DN1448" s="927">
        <f>IF(DN1443=0,"NM",+DN1443/DI1443-1)</f>
      </c>
      <c r="DO1448" s="308">
        <f>IF(DJ1443=0, 0, DO1443/DJ1443-1)</f>
      </c>
      <c r="DP1448" s="926">
        <f t="shared" ref="DP1448:DR1449" si="2827">IF(DK1443="NM","NM",IF(DP1443="NM","NM",IF(DK1443&lt;=0,"NM",IF(DP1443=0,"NM",IF(ABS(DP1443/DK1443-1)&gt;2.5,"NM",IF((ABS(DP1443-DK1443)=ABS(ABS(DP1443)-ABS(DK1443))),(DP1443/DK1443-1),"NM"))))))</f>
      </c>
      <c r="DQ1448" s="1219">
        <f t="shared" si="2827"/>
      </c>
      <c r="DR1448" s="1219">
        <f t="shared" si="2827"/>
      </c>
      <c r="DS1448" s="928">
        <f>IF(DS1443=0,"NM",+DS1443/DN1443-1)</f>
      </c>
      <c r="DT1448" s="308">
        <f>IF(DO1443=0, 0, DT1443/DO1443-1)</f>
      </c>
      <c r="DU1448" s="926">
        <f>IF(DP1443="NM","NM",IF(DU1443="NM","NM",IF(DP1443&lt;=0,"NM",IF(DU1443=0,"NM",IF(ABS(DU1443/DP1443-1)&gt;2.5,"NM",IF((ABS(DU1443-DP1443)=ABS(ABS(DU1443)-ABS(DP1443))),(DU1443/DP1443-1),"NM"))))))</f>
      </c>
      <c r="DV1448" s="926">
        <f>IF(DQ1443="NM","NM",IF(DV1443="NM","NM",IF(DQ1443&lt;=0,"NM",IF(DV1443=0,"NM",IF(ABS(DV1443/DQ1443-1)&gt;2.5,"NM",IF((ABS(DV1443-DQ1443)=ABS(ABS(DV1443)-ABS(DQ1443))),(DV1443/DQ1443-1),"NM"))))))</f>
      </c>
      <c r="DW1448" s="1741"/>
      <c r="DX1448" s="928"/>
      <c r="DY1448" s="836"/>
      <c r="DZ1448" s="1741"/>
      <c r="EA1448" s="1741"/>
      <c r="EB1448" s="1741"/>
      <c r="EC1448" s="928"/>
      <c r="ED1448" s="2773"/>
      <c r="EE1448" s="1955"/>
      <c r="EF1448" s="1955"/>
      <c r="EG1448" s="1955"/>
      <c r="EH1448" s="928"/>
      <c r="EI1448" s="2774"/>
      <c r="EJ1448" s="2774"/>
      <c r="EK1448" s="2774"/>
      <c r="EL1448" s="317"/>
      <c r="EM1448" s="317"/>
      <c r="EN1448" s="317"/>
      <c r="EO1448" s="836"/>
      <c r="EP1448" s="317"/>
      <c r="EQ1448" s="317"/>
      <c r="ER1448" s="317"/>
      <c r="ES1448" s="317"/>
      <c r="ET1448" s="317"/>
      <c r="EU1448" s="317"/>
      <c r="EV1448" s="317"/>
      <c r="EW1448" s="317"/>
      <c r="EX1448" s="317"/>
    </row>
    <row r="1449" spans="2:154" hidden="1" outlineLevel="1">
      <c r="B1449" s="510" t="s">
        <v>412</v>
      </c>
      <c r="C1449" s="1989"/>
      <c r="D1449" s="28"/>
      <c r="E1449" s="28"/>
      <c r="F1449" s="28"/>
      <c r="G1449" s="28"/>
      <c r="H1449" s="28"/>
      <c r="I1449" s="30">
        <f t="shared" si="2813"/>
      </c>
      <c r="J1449" s="30">
        <f t="shared" si="2813"/>
      </c>
      <c r="K1449" s="30">
        <f t="shared" si="2813"/>
      </c>
      <c r="L1449" s="30">
        <f t="shared" si="2813"/>
      </c>
      <c r="M1449" s="30">
        <f t="shared" si="2813"/>
      </c>
      <c r="N1449" s="30">
        <f t="shared" si="2813"/>
      </c>
      <c r="O1449" s="30">
        <f t="shared" si="2813"/>
      </c>
      <c r="P1449" s="30">
        <f t="shared" si="2813"/>
      </c>
      <c r="Q1449" s="30">
        <f t="shared" si="2813"/>
      </c>
      <c r="R1449" s="30">
        <f t="shared" si="2813"/>
      </c>
      <c r="S1449" s="30">
        <f t="shared" si="2814"/>
      </c>
      <c r="T1449" s="30">
        <f t="shared" si="2814"/>
      </c>
      <c r="U1449" s="30">
        <f t="shared" si="2814"/>
      </c>
      <c r="V1449" s="30">
        <f t="shared" si="2814"/>
      </c>
      <c r="W1449" s="30">
        <f t="shared" si="2814"/>
      </c>
      <c r="X1449" s="308">
        <f t="shared" si="2814"/>
      </c>
      <c r="Y1449" s="30">
        <f t="shared" si="2814"/>
      </c>
      <c r="Z1449" s="30">
        <f t="shared" si="2814"/>
      </c>
      <c r="AA1449" s="30">
        <f t="shared" si="2814"/>
      </c>
      <c r="AB1449" s="30">
        <f t="shared" si="2814"/>
      </c>
      <c r="AC1449" s="308">
        <f t="shared" si="2815"/>
      </c>
      <c r="AD1449" s="30">
        <f t="shared" si="2815"/>
      </c>
      <c r="AE1449" s="30">
        <f t="shared" si="2815"/>
      </c>
      <c r="AF1449" s="30">
        <f t="shared" si="2815"/>
      </c>
      <c r="AG1449" s="30">
        <f t="shared" si="2815"/>
      </c>
      <c r="AH1449" s="308">
        <f t="shared" si="2815"/>
      </c>
      <c r="AI1449" s="30">
        <f t="shared" si="2815"/>
      </c>
      <c r="AJ1449" s="30">
        <f t="shared" si="2815"/>
      </c>
      <c r="AK1449" s="30">
        <f t="shared" si="2815"/>
      </c>
      <c r="AL1449" s="30">
        <f t="shared" si="2815"/>
      </c>
      <c r="AM1449" s="308">
        <f t="shared" si="2816"/>
      </c>
      <c r="AN1449" s="30">
        <f t="shared" si="2816"/>
      </c>
      <c r="AO1449" s="30">
        <f t="shared" si="2816"/>
      </c>
      <c r="AP1449" s="30">
        <f t="shared" si="2816"/>
      </c>
      <c r="AQ1449" s="30">
        <f t="shared" si="2816"/>
      </c>
      <c r="AR1449" s="308">
        <f t="shared" si="2816"/>
      </c>
      <c r="AS1449" s="30">
        <f t="shared" si="2816"/>
      </c>
      <c r="AT1449" s="30">
        <f t="shared" si="2816"/>
      </c>
      <c r="AU1449" s="30">
        <f t="shared" si="2816"/>
      </c>
      <c r="AV1449" s="30">
        <f t="shared" si="2816"/>
      </c>
      <c r="AW1449" s="308">
        <f t="shared" si="2817"/>
      </c>
      <c r="AX1449" s="30">
        <f t="shared" si="2817"/>
      </c>
      <c r="AY1449" s="30">
        <f t="shared" si="2817"/>
      </c>
      <c r="AZ1449" s="30">
        <f t="shared" si="2817"/>
      </c>
      <c r="BA1449" s="30">
        <f t="shared" si="2817"/>
      </c>
      <c r="BB1449" s="308">
        <f t="shared" si="2817"/>
      </c>
      <c r="BC1449" s="30">
        <f t="shared" si="2817"/>
      </c>
      <c r="BD1449" s="30">
        <f t="shared" si="2817"/>
      </c>
      <c r="BE1449" s="30">
        <f t="shared" si="2817"/>
      </c>
      <c r="BF1449" s="30">
        <f t="shared" si="2817"/>
      </c>
      <c r="BG1449" s="308">
        <f>IF(BB1444="NM","NM",IF(BG1444="NM","NM",IF(BB1444&lt;=0,"NM",IF(BG1444=0,"NM",IF(ABS(BG1444/BB1444-1)&gt;2.5,"NM",IF((ABS(BG1444-BB1444)=ABS(ABS(BG1444)-ABS(BB1444))),(BG1444/BB1444-1),"NM"))))))</f>
      </c>
      <c r="BH1449" s="30">
        <f t="shared" si="2817"/>
      </c>
      <c r="BI1449" s="30">
        <f t="shared" si="2817"/>
      </c>
      <c r="BJ1449" s="30">
        <f t="shared" si="2817"/>
      </c>
      <c r="BK1449" s="30">
        <f t="shared" si="2817"/>
      </c>
      <c r="BL1449" s="308">
        <f>IF(BG1444="NM","NM",IF(BL1444="NM","NM",IF(BG1444&lt;=0,"NM",IF(BL1444=0,"NM",IF(ABS(BL1444/BG1444-1)&gt;2.5,"NM",IF((ABS(BL1444-BG1444)=ABS(ABS(BL1444)-ABS(BG1444))),(BL1444/BG1444-1),"NM"))))))</f>
      </c>
      <c r="BM1449" s="30">
        <f t="shared" si="2817"/>
      </c>
      <c r="BN1449" s="30">
        <f t="shared" si="2817"/>
      </c>
      <c r="BO1449" s="30">
        <f t="shared" si="2817"/>
      </c>
      <c r="BP1449" s="30">
        <f t="shared" si="2818"/>
      </c>
      <c r="BQ1449" s="308">
        <f t="shared" si="2818"/>
      </c>
      <c r="BR1449" s="30">
        <f t="shared" si="2818"/>
      </c>
      <c r="BS1449" s="30">
        <f t="shared" si="2818"/>
      </c>
      <c r="BT1449" s="30">
        <f t="shared" si="2818"/>
      </c>
      <c r="BU1449" s="30">
        <f>IF(BP1444="NM","NM",IF(BU1444="NM","NM",IF(BP1444&lt;=0,"NM",IF(BU1444=0,"NM",IF(ABS(BU1444/BP1444-1)&gt;2.5,"NM",IF((ABS(BU1444-BP1444)=ABS(ABS(BU1444)-ABS(BP1444))),(BU1444/BP1444-1),"NM"))))))</f>
      </c>
      <c r="BV1449" s="308">
        <f t="shared" si="2818"/>
      </c>
      <c r="BW1449" s="30">
        <f t="shared" si="2818"/>
      </c>
      <c r="BX1449" s="30">
        <f t="shared" si="2818"/>
      </c>
      <c r="BY1449" s="30">
        <f t="shared" si="2818"/>
      </c>
      <c r="BZ1449" s="30">
        <f>IF(BU1444="NM","NM",IF(BZ1444="NM","NM",IF(BU1444&lt;=0,"NM",IF(BZ1444=0,"NM",IF(ABS(BZ1444/BU1444-1)&gt;2.5,"NM",IF((ABS(BZ1444-BU1444)=ABS(ABS(BZ1444)-ABS(BU1444))),(BZ1444/BU1444-1),"NM"))))))</f>
      </c>
      <c r="CA1449" s="308">
        <f>IF(BV1444="NM","NM",IF(CA1444="NM","NM",IF(BV1444&lt;=0,"NM",IF(CA1444=0,"NM",IF(ABS(CA1444/BV1444-1)&gt;2.5,"NM",IF((ABS(CA1444-BV1444)=ABS(ABS(CA1444)-ABS(BV1444))),(CA1444/BV1444-1),"NM"))))))</f>
      </c>
      <c r="CB1449" s="30">
        <f t="shared" si="2819"/>
      </c>
      <c r="CC1449" s="30">
        <f t="shared" si="2819"/>
      </c>
      <c r="CD1449" s="30">
        <f t="shared" si="2819"/>
      </c>
      <c r="CE1449" s="30">
        <f>IF(BZ1444="NM","NM",IF(CE1444="NM","NM",IF(BZ1444&lt;=0,"NM",IF(CE1444=0,"NM",IF(ABS(CE1444/BZ1444-1)&gt;2.5,"NM",IF((ABS(CE1444-BZ1444)=ABS(ABS(CE1444)-ABS(BZ1444))),(CE1444/BZ1444-1),"NM"))))))</f>
      </c>
      <c r="CF1449" s="308">
        <f>IF(CA1444="NM","NM",IF(CF1444="NM","NM",IF(CA1444&lt;=0,"NM",IF(CF1444=0,"NM",IF(ABS(CF1444/CA1444-1)&gt;2.5,"NM",IF((ABS(CF1444-CA1444)=ABS(ABS(CF1444)-ABS(CA1444))),(CF1444/CA1444-1),"NM"))))))</f>
      </c>
      <c r="CG1449" s="30">
        <f t="shared" si="2820"/>
      </c>
      <c r="CH1449" s="30">
        <f t="shared" si="2820"/>
      </c>
      <c r="CI1449" s="30">
        <f t="shared" si="2820"/>
      </c>
      <c r="CJ1449" s="30">
        <f>IF(CE1444="NM","NM",IF(CJ1444="NM","NM",IF(CE1444&lt;=0,"NM",IF(CJ1444=0,"NM",IF(ABS(CJ1444/CE1444-1)&gt;2.5,"NM",IF((ABS(CJ1444-CE1444)=ABS(ABS(CJ1444)-ABS(CE1444))),(CJ1444/CE1444-1),"NM"))))))</f>
      </c>
      <c r="CK1449" s="308">
        <f>IF(CF1444=0, "NA", CK1444/CF1444-1)</f>
      </c>
      <c r="CL1449" s="30">
        <f t="shared" si="2821"/>
      </c>
      <c r="CM1449" s="30">
        <f t="shared" si="2821"/>
      </c>
      <c r="CN1449" s="30">
        <f t="shared" si="2821"/>
      </c>
      <c r="CO1449" s="30">
        <f>IF(CJ1444="NM","NM",IF(CO1444="NM","NM",IF(CJ1444&lt;=0,"NM",IF(CO1444=0,"NM",IF(ABS(CO1444/CJ1444-1)&gt;2.5,"NM",IF((ABS(CO1444-CJ1444)=ABS(ABS(CO1444)-ABS(CJ1444))),(CO1444/CJ1444-1),"NM"))))))</f>
      </c>
      <c r="CP1449" s="308">
        <f>IF(CK1444=0, "NA", CP1444/CK1444-1)</f>
      </c>
      <c r="CQ1449" s="1219">
        <f>IF(CL1444="NM","NM",IF(CQ1444="NM","NM",IF(CL1444&lt;=0,"NM",IF(CQ1444=0,"NM",IF(ABS(CQ1444/CL1444-1)&gt;2.5,"NM",IF((ABS(CQ1444-CL1444)=ABS(ABS(CQ1444)-ABS(CL1444))),(CQ1444/CL1444-1),"NM"))))))</f>
      </c>
      <c r="CR1449" s="1219">
        <f t="shared" si="2822"/>
      </c>
      <c r="CS1449" s="1219">
        <f t="shared" si="2822"/>
      </c>
      <c r="CT1449" s="1219">
        <f t="shared" si="2822"/>
      </c>
      <c r="CU1449" s="308">
        <f>IF(CP1444=0, "NA", CU1444/CP1444-1)</f>
      </c>
      <c r="CV1449" s="1219">
        <f t="shared" si="2823"/>
      </c>
      <c r="CW1449" s="1219">
        <f t="shared" si="2823"/>
      </c>
      <c r="CX1449" s="1219">
        <f t="shared" si="2823"/>
      </c>
      <c r="CY1449" s="1219">
        <f>IF(CT1444="NM","NM",IF(CY1444="NM","NM",IF(CT1444&lt;=0,"NM",IF(CY1444=0,"NM",IF(ABS(CY1444/CT1444-1)&gt;2.5,"NM",IF((ABS(CY1444-CT1444)=ABS(ABS(CY1444)-ABS(CT1444))),(CY1444/CT1444-1),"NM"))))))</f>
      </c>
      <c r="CZ1449" s="308">
        <f>IF(CU1444=0, "NA", CZ1444/CU1444-1)</f>
      </c>
      <c r="DA1449" s="1219">
        <f t="shared" si="2824"/>
      </c>
      <c r="DB1449" s="1219">
        <f t="shared" si="2824"/>
      </c>
      <c r="DC1449" s="1219">
        <f t="shared" si="2824"/>
      </c>
      <c r="DD1449" s="1219">
        <f t="shared" si="2824"/>
      </c>
      <c r="DE1449" s="308">
        <f>IF(CZ1444=0, "NA", DE1444/CZ1444-1)</f>
      </c>
      <c r="DF1449" s="926">
        <f t="shared" si="2825"/>
      </c>
      <c r="DG1449" s="1219">
        <f t="shared" si="2825"/>
      </c>
      <c r="DH1449" s="1219">
        <f t="shared" si="2825"/>
      </c>
      <c r="DI1449" s="1219">
        <f t="shared" si="2825"/>
      </c>
      <c r="DJ1449" s="308">
        <f>IF(DE1444=0, "NA", DJ1444/DE1444-1)</f>
      </c>
      <c r="DK1449" s="926">
        <f t="shared" si="2826"/>
      </c>
      <c r="DL1449" s="1219">
        <f t="shared" si="2826"/>
      </c>
      <c r="DM1449" s="1219">
        <f t="shared" si="2826"/>
      </c>
      <c r="DN1449" s="928">
        <f>IF(DN1444=0, "NM", DN1444/DI1444-1)</f>
      </c>
      <c r="DO1449" s="308">
        <f>IF(DJ1444=0, "NA", DO1444/DJ1444-1)</f>
      </c>
      <c r="DP1449" s="926">
        <f t="shared" si="2827"/>
      </c>
      <c r="DQ1449" s="1219">
        <f t="shared" si="2827"/>
      </c>
      <c r="DR1449" s="1219">
        <f t="shared" si="2827"/>
      </c>
      <c r="DS1449" s="928">
        <f>IF(DS1444=0, "NM", DS1444/DN1444-1)</f>
      </c>
      <c r="DT1449" s="308">
        <f>IF(DO1444=0, "NA", DT1444/DO1444-1)</f>
      </c>
      <c r="DU1449" s="926">
        <f>IF(DP1444="NM","NM",IF(DU1444="NM","NM",IF(DP1444&lt;=0,"NM",IF(DU1444=0,"NM",IF(ABS(DU1444/DP1444-1)&gt;2.5,"NM",IF((ABS(DU1444-DP1444)=ABS(ABS(DU1444)-ABS(DP1444))),(DU1444/DP1444-1),"NM"))))))</f>
      </c>
      <c r="DV1449" s="926">
        <f>IF(DQ1444="NM","NM",IF(DV1444="NM","NM",IF(DQ1444&lt;=0,"NM",IF(DV1444=0,"NM",IF(ABS(DV1444/DQ1444-1)&gt;2.5,"NM",IF((ABS(DV1444-DQ1444)=ABS(ABS(DV1444)-ABS(DQ1444))),(DV1444/DQ1444-1),"NM"))))))</f>
      </c>
      <c r="DW1449" s="926"/>
      <c r="DX1449" s="928"/>
      <c r="DY1449" s="1060"/>
      <c r="DZ1449" s="926"/>
      <c r="EA1449" s="926"/>
      <c r="EB1449" s="926"/>
      <c r="EC1449" s="928"/>
      <c r="ED1449" s="1060"/>
      <c r="EE1449" s="958"/>
      <c r="EF1449" s="926"/>
      <c r="EG1449" s="926"/>
      <c r="EH1449" s="928"/>
      <c r="EI1449" s="1060"/>
      <c r="EJ1449" s="1060"/>
      <c r="EK1449" s="1060"/>
      <c r="EL1449" s="308"/>
      <c r="EM1449" s="308"/>
      <c r="EN1449" s="308"/>
      <c r="EO1449" s="409"/>
      <c r="EP1449" s="308"/>
      <c r="EQ1449" s="308"/>
      <c r="ER1449" s="308"/>
      <c r="ES1449" s="308"/>
      <c r="ET1449" s="308"/>
      <c r="EU1449" s="308"/>
      <c r="EV1449" s="308"/>
      <c r="EW1449" s="308"/>
      <c r="EX1449" s="308"/>
    </row>
    <row r="1450" spans="2:154" hidden="1" outlineLevel="1">
      <c r="B1450" s="510" t="s">
        <v>256</v>
      </c>
      <c r="C1450" s="1989"/>
      <c r="D1450" s="28"/>
      <c r="E1450" s="28"/>
      <c r="F1450" s="28"/>
      <c r="G1450" s="28"/>
      <c r="H1450" s="28"/>
      <c r="I1450" s="24"/>
      <c r="J1450" s="1"/>
      <c r="K1450" s="1"/>
      <c r="L1450" s="1"/>
      <c r="M1450" s="1"/>
      <c r="N1450" s="24"/>
      <c r="O1450" s="24"/>
      <c r="P1450" s="24"/>
      <c r="Q1450" s="24"/>
      <c r="R1450" s="24"/>
      <c r="S1450" s="1"/>
      <c r="T1450" s="24"/>
      <c r="U1450" s="24"/>
      <c r="V1450" s="24"/>
      <c r="W1450" s="24"/>
      <c r="X1450" s="315"/>
      <c r="Y1450" s="24"/>
      <c r="Z1450" s="24"/>
      <c r="AA1450" s="24"/>
      <c r="AB1450" s="24"/>
      <c r="AC1450" s="315"/>
      <c r="AD1450" s="24"/>
      <c r="AE1450" s="24"/>
      <c r="AF1450" s="24"/>
      <c r="AG1450" s="24"/>
      <c r="AH1450" s="315"/>
      <c r="AI1450" s="8">
        <f t="shared" ref="AI1450:BM1450" si="2828">IF(ISNUMBER(AI1449),(1+AI1449)/(1+AI$21)-1,"NM")</f>
      </c>
      <c r="AJ1450" s="8">
        <f t="shared" si="2828"/>
      </c>
      <c r="AK1450" s="8">
        <f t="shared" si="2828"/>
      </c>
      <c r="AL1450" s="43">
        <f t="shared" si="2828"/>
      </c>
      <c r="AM1450" s="315">
        <f t="shared" si="2828"/>
      </c>
      <c r="AN1450" s="8">
        <f t="shared" si="2828"/>
      </c>
      <c r="AO1450" s="8">
        <f t="shared" si="2828"/>
      </c>
      <c r="AP1450" s="8">
        <f t="shared" si="2828"/>
      </c>
      <c r="AQ1450" s="43">
        <f t="shared" si="2828"/>
      </c>
      <c r="AR1450" s="315">
        <f t="shared" si="2828"/>
      </c>
      <c r="AS1450" s="8">
        <f t="shared" si="2828"/>
      </c>
      <c r="AT1450" s="8">
        <f t="shared" si="2828"/>
      </c>
      <c r="AU1450" s="8">
        <f t="shared" si="2828"/>
      </c>
      <c r="AV1450" s="43">
        <f t="shared" si="2828"/>
      </c>
      <c r="AW1450" s="315">
        <f t="shared" si="2828"/>
      </c>
      <c r="AX1450" s="8">
        <f t="shared" si="2828"/>
      </c>
      <c r="AY1450" s="8">
        <f t="shared" si="2828"/>
      </c>
      <c r="AZ1450" s="8">
        <f t="shared" si="2828"/>
      </c>
      <c r="BA1450" s="8">
        <f t="shared" si="2828"/>
      </c>
      <c r="BB1450" s="315">
        <f t="shared" si="2828"/>
      </c>
      <c r="BC1450" s="8">
        <f t="shared" si="2828"/>
      </c>
      <c r="BD1450" s="8">
        <f t="shared" si="2828"/>
      </c>
      <c r="BE1450" s="8">
        <f t="shared" si="2828"/>
      </c>
      <c r="BF1450" s="8">
        <f t="shared" si="2828"/>
      </c>
      <c r="BG1450" s="309">
        <f t="shared" si="2828"/>
      </c>
      <c r="BH1450" s="8">
        <f t="shared" si="2828"/>
      </c>
      <c r="BI1450" s="8">
        <f t="shared" si="2828"/>
      </c>
      <c r="BJ1450" s="8">
        <f t="shared" si="2828"/>
      </c>
      <c r="BK1450" s="8">
        <f t="shared" si="2828"/>
      </c>
      <c r="BL1450" s="315">
        <f t="shared" si="2828"/>
      </c>
      <c r="BM1450" s="407">
        <f t="shared" si="2828"/>
      </c>
      <c r="BN1450" s="407">
        <v>-8.9999999999999993E-3</v>
      </c>
      <c r="BO1450" s="407">
        <v>-1.6E-2</v>
      </c>
      <c r="BP1450" s="649">
        <v>-0.04</v>
      </c>
      <c r="BQ1450" s="406">
        <v>-1.4999999999999999E-2</v>
      </c>
      <c r="BR1450" s="407">
        <v>-8.9999999999999993E-3</v>
      </c>
      <c r="BS1450" s="407">
        <v>-2E-3</v>
      </c>
      <c r="BT1450" s="407">
        <v>2.3E-2</v>
      </c>
      <c r="BU1450" s="649">
        <v>9.4E-2</v>
      </c>
      <c r="BV1450" s="406">
        <v>2.3E-2</v>
      </c>
      <c r="BW1450" s="407">
        <v>4.9000000000000002E-2</v>
      </c>
      <c r="BX1450" s="407">
        <v>3.4000000000000002E-2</v>
      </c>
      <c r="BY1450" s="407">
        <v>4.2999999999999997E-2</v>
      </c>
      <c r="BZ1450" s="836">
        <v>-8.0000000000000002E-3</v>
      </c>
      <c r="CA1450" s="448">
        <v>2.9000000000000001E-2</v>
      </c>
      <c r="CB1450" s="407">
        <v>0.01</v>
      </c>
      <c r="CC1450" s="407">
        <v>5.3999999999999999E-2</v>
      </c>
      <c r="CD1450" s="407">
        <v>-1.7000000000000001E-2</v>
      </c>
      <c r="CE1450" s="836">
        <v>0.06</v>
      </c>
      <c r="CF1450" s="448">
        <v>2.5999999999999999E-2</v>
      </c>
      <c r="CG1450" s="407">
        <v>5.5E-2</v>
      </c>
      <c r="CH1450" s="407">
        <v>0.114</v>
      </c>
      <c r="CI1450" s="407">
        <v>0.14199999999999999</v>
      </c>
      <c r="CJ1450" s="29">
        <v>7.4999999999999997E-2</v>
      </c>
      <c r="CK1450" s="315">
        <f>CK1449-CK$21</f>
      </c>
      <c r="CL1450" s="407">
        <v>-8.9999999999999993E-3</v>
      </c>
      <c r="CM1450" s="407">
        <v>-4.8000000000000001E-2</v>
      </c>
      <c r="CN1450" s="407">
        <v>-9.0999999999999998E-2</v>
      </c>
      <c r="CO1450" s="29">
        <v>-3.1E-2</v>
      </c>
      <c r="CP1450" s="315">
        <f>CP1449-CP$21</f>
      </c>
      <c r="CQ1450" s="1220">
        <v>-4.2000000000000003E-2</v>
      </c>
      <c r="CR1450" s="1220">
        <v>-1.9E-2</v>
      </c>
      <c r="CS1450" s="407">
        <v>-1.9E-2</v>
      </c>
      <c r="CT1450" s="407">
        <v>-4.4999999999999998E-2</v>
      </c>
      <c r="CU1450" s="315">
        <f>CU1449-CU$21</f>
      </c>
      <c r="CV1450" s="1220">
        <v>-4.5999999999999999E-2</v>
      </c>
      <c r="CW1450" s="1220">
        <v>1.9E-2</v>
      </c>
      <c r="CX1450" s="1220">
        <v>0.08</v>
      </c>
      <c r="CY1450" s="407">
        <v>7.9000000000000001E-2</v>
      </c>
      <c r="CZ1450" s="315">
        <f>CZ1449-CZ$21</f>
      </c>
      <c r="DA1450" s="1220">
        <v>4.2999999999999997E-2</v>
      </c>
      <c r="DB1450" s="1220">
        <v>-1.2999999999999999E-2</v>
      </c>
      <c r="DC1450" s="29">
        <v>-1.2999999999999999E-2</v>
      </c>
      <c r="DD1450" s="1482">
        <v>3.1E-2</v>
      </c>
      <c r="DE1450" s="308">
        <f>DE1449-DE$21</f>
      </c>
      <c r="DF1450" s="1220">
        <v>0</v>
      </c>
      <c r="DG1450" s="1109">
        <v>0</v>
      </c>
      <c r="DH1450" s="1109">
        <v>-0.05</v>
      </c>
      <c r="DI1450" s="927">
        <f>IF(DI1444=0, "NM",DI1449-DI$21)</f>
      </c>
      <c r="DJ1450" s="308">
        <f>DJ1449-DJ$21</f>
      </c>
      <c r="DK1450" s="1220">
        <v>0</v>
      </c>
      <c r="DL1450" s="1109">
        <v>0</v>
      </c>
      <c r="DM1450" s="1109">
        <v>0</v>
      </c>
      <c r="DN1450" s="927">
        <f>IF(DN1444=0, "NM",DN1449-DN$21)</f>
      </c>
      <c r="DO1450" s="308">
        <f>DO1449-DO$21</f>
      </c>
      <c r="DP1450" s="926">
        <f>DP1449-DP$21</f>
      </c>
      <c r="DQ1450" s="2185">
        <f>DQ1449-DQ$21</f>
      </c>
      <c r="DR1450" s="2185">
        <f>DR1449-DR$21</f>
      </c>
      <c r="DS1450" s="928">
        <f>IF(DS1444=0, "NM",DS1449-DS$21)</f>
      </c>
      <c r="DT1450" s="308">
        <f>DT1449-DT$21</f>
      </c>
      <c r="DU1450" s="926">
        <f>DU1449-(-9%)</f>
      </c>
      <c r="DV1450" s="926">
        <f>DV1449-(-6.7%)</f>
      </c>
      <c r="DW1450" s="1741"/>
      <c r="DX1450" s="928"/>
      <c r="DY1450" s="836"/>
      <c r="DZ1450" s="1741"/>
      <c r="EA1450" s="1741"/>
      <c r="EB1450" s="1741"/>
      <c r="EC1450" s="928"/>
      <c r="ED1450" s="2773"/>
      <c r="EE1450" s="1955"/>
      <c r="EF1450" s="1955"/>
      <c r="EG1450" s="1955"/>
      <c r="EH1450" s="928"/>
      <c r="EI1450" s="2774"/>
      <c r="EJ1450" s="2774"/>
      <c r="EK1450" s="2774"/>
      <c r="EL1450" s="317"/>
      <c r="EM1450" s="317"/>
      <c r="EN1450" s="317"/>
      <c r="EO1450" s="836"/>
      <c r="EP1450" s="317"/>
      <c r="EQ1450" s="317"/>
      <c r="ER1450" s="317"/>
      <c r="ES1450" s="317"/>
      <c r="ET1450" s="317"/>
      <c r="EU1450" s="317"/>
      <c r="EV1450" s="317"/>
      <c r="EW1450" s="317"/>
      <c r="EX1450" s="317"/>
    </row>
    <row r="1451" spans="2:154" hidden="1" outlineLevel="1">
      <c r="B1451" s="510" t="s">
        <v>413</v>
      </c>
      <c r="C1451" s="1989"/>
      <c r="D1451" s="28"/>
      <c r="E1451" s="28"/>
      <c r="F1451" s="28"/>
      <c r="G1451" s="28"/>
      <c r="H1451" s="28"/>
      <c r="I1451" s="30">
        <f t="shared" ref="I1451:AN1451" si="2829">IF(D1445="NM","NM",IF(I1445="NM","NM",IF(D1445&lt;=0,"NM",IF(I1445=0,"NM",IF(ABS(I1445/D1445-1)&gt;2.5,"NM",IF((ABS(I1445-D1445)=ABS(ABS(I1445)-ABS(D1445))),(I1445/D1445-1),"NM"))))))</f>
      </c>
      <c r="J1451" s="30">
        <f t="shared" si="2829"/>
      </c>
      <c r="K1451" s="30">
        <f t="shared" si="2829"/>
      </c>
      <c r="L1451" s="30">
        <f t="shared" si="2829"/>
      </c>
      <c r="M1451" s="30">
        <f t="shared" si="2829"/>
      </c>
      <c r="N1451" s="30">
        <f t="shared" si="2829"/>
      </c>
      <c r="O1451" s="30">
        <f t="shared" si="2829"/>
      </c>
      <c r="P1451" s="30">
        <f t="shared" si="2829"/>
      </c>
      <c r="Q1451" s="30">
        <f t="shared" si="2829"/>
      </c>
      <c r="R1451" s="30">
        <f t="shared" si="2829"/>
      </c>
      <c r="S1451" s="30">
        <f t="shared" si="2829"/>
      </c>
      <c r="T1451" s="30">
        <f t="shared" si="2829"/>
      </c>
      <c r="U1451" s="30">
        <f t="shared" si="2829"/>
      </c>
      <c r="V1451" s="30">
        <f t="shared" si="2829"/>
      </c>
      <c r="W1451" s="30">
        <f t="shared" si="2829"/>
      </c>
      <c r="X1451" s="308">
        <f t="shared" si="2829"/>
      </c>
      <c r="Y1451" s="30">
        <f t="shared" si="2829"/>
      </c>
      <c r="Z1451" s="30">
        <f t="shared" si="2829"/>
      </c>
      <c r="AA1451" s="30">
        <f t="shared" si="2829"/>
      </c>
      <c r="AB1451" s="30">
        <f t="shared" si="2829"/>
      </c>
      <c r="AC1451" s="308">
        <f t="shared" si="2829"/>
      </c>
      <c r="AD1451" s="30">
        <f t="shared" si="2829"/>
      </c>
      <c r="AE1451" s="30">
        <f t="shared" si="2829"/>
      </c>
      <c r="AF1451" s="30">
        <f t="shared" si="2829"/>
      </c>
      <c r="AG1451" s="30">
        <f t="shared" si="2829"/>
      </c>
      <c r="AH1451" s="308">
        <f t="shared" si="2829"/>
      </c>
      <c r="AI1451" s="30">
        <f t="shared" si="2829"/>
      </c>
      <c r="AJ1451" s="30">
        <f t="shared" si="2829"/>
      </c>
      <c r="AK1451" s="30">
        <f t="shared" si="2829"/>
      </c>
      <c r="AL1451" s="30">
        <f t="shared" si="2829"/>
      </c>
      <c r="AM1451" s="308">
        <f t="shared" si="2829"/>
      </c>
      <c r="AN1451" s="30">
        <f t="shared" si="2829"/>
      </c>
      <c r="AO1451" s="30">
        <f t="shared" ref="AO1451:BH1451" si="2830">IF(AJ1445="NM","NM",IF(AO1445="NM","NM",IF(AJ1445&lt;=0,"NM",IF(AO1445=0,"NM",IF(ABS(AO1445/AJ1445-1)&gt;2.5,"NM",IF((ABS(AO1445-AJ1445)=ABS(ABS(AO1445)-ABS(AJ1445))),(AO1445/AJ1445-1),"NM"))))))</f>
      </c>
      <c r="AP1451" s="30">
        <f t="shared" si="2830"/>
      </c>
      <c r="AQ1451" s="30">
        <f t="shared" si="2830"/>
      </c>
      <c r="AR1451" s="308">
        <f t="shared" si="2830"/>
      </c>
      <c r="AS1451" s="30">
        <f t="shared" si="2830"/>
      </c>
      <c r="AT1451" s="30">
        <f t="shared" si="2830"/>
      </c>
      <c r="AU1451" s="30">
        <f t="shared" si="2830"/>
      </c>
      <c r="AV1451" s="30">
        <f t="shared" si="2830"/>
      </c>
      <c r="AW1451" s="308">
        <f t="shared" si="2830"/>
      </c>
      <c r="AX1451" s="30">
        <f t="shared" si="2830"/>
      </c>
      <c r="AY1451" s="30">
        <f t="shared" si="2830"/>
      </c>
      <c r="AZ1451" s="30">
        <f t="shared" si="2830"/>
      </c>
      <c r="BA1451" s="30">
        <f t="shared" si="2830"/>
      </c>
      <c r="BB1451" s="308">
        <f t="shared" si="2830"/>
      </c>
      <c r="BC1451" s="30">
        <f t="shared" si="2830"/>
      </c>
      <c r="BD1451" s="30">
        <f t="shared" si="2830"/>
      </c>
      <c r="BE1451" s="30">
        <f t="shared" si="2830"/>
      </c>
      <c r="BF1451" s="30">
        <f t="shared" si="2830"/>
      </c>
      <c r="BG1451" s="308">
        <f t="shared" si="2830"/>
      </c>
      <c r="BH1451" s="30">
        <f t="shared" si="2830"/>
      </c>
      <c r="BI1451" s="30">
        <f t="shared" ref="BI1451:BR1451" si="2831">IF(BD1445="NM","NM",IF(BI1445="NM","NM",IF(BD1445&lt;=0,"NM",IF(BI1445=0,"NM",IF(ABS(BI1445/BD1445-1)&gt;2.5,"NM",IF((ABS(BI1445-BD1445)=ABS(ABS(BI1445)-ABS(BD1445))),(BI1445/BD1445-1),"NM"))))))</f>
      </c>
      <c r="BJ1451" s="30">
        <f t="shared" si="2831"/>
      </c>
      <c r="BK1451" s="30">
        <f t="shared" si="2831"/>
      </c>
      <c r="BL1451" s="308">
        <f t="shared" si="2831"/>
      </c>
      <c r="BM1451" s="30">
        <f t="shared" si="2831"/>
      </c>
      <c r="BN1451" s="30">
        <f t="shared" si="2831"/>
      </c>
      <c r="BO1451" s="30">
        <f t="shared" si="2831"/>
      </c>
      <c r="BP1451" s="30">
        <f t="shared" si="2831"/>
      </c>
      <c r="BQ1451" s="308">
        <f t="shared" si="2831"/>
      </c>
      <c r="BR1451" s="30">
        <f t="shared" si="2831"/>
      </c>
      <c r="BS1451" s="30">
        <f t="shared" ref="BS1451:CI1451" si="2832">IF(BN1445="NM","NM",IF(BS1445="NM","NM",IF(BN1445&lt;=0,"NM",IF(BS1445=0,"NM",IF(ABS(BS1445/BN1445-1)&gt;2.5,"NM",IF((ABS(BS1445-BN1445)=ABS(ABS(BS1445)-ABS(BN1445))),(BS1445/BN1445-1),"NM"))))))</f>
      </c>
      <c r="BT1451" s="30">
        <f t="shared" si="2832"/>
      </c>
      <c r="BU1451" s="30">
        <f t="shared" si="2832"/>
      </c>
      <c r="BV1451" s="308">
        <f t="shared" si="2832"/>
      </c>
      <c r="BW1451" s="30">
        <f t="shared" si="2832"/>
      </c>
      <c r="BX1451" s="30">
        <f t="shared" si="2832"/>
      </c>
      <c r="BY1451" s="30">
        <f t="shared" si="2832"/>
      </c>
      <c r="BZ1451" s="30">
        <f t="shared" si="2832"/>
      </c>
      <c r="CA1451" s="308">
        <f t="shared" si="2832"/>
      </c>
      <c r="CB1451" s="30">
        <f t="shared" si="2832"/>
      </c>
      <c r="CC1451" s="30">
        <f t="shared" si="2832"/>
      </c>
      <c r="CD1451" s="30">
        <f t="shared" si="2832"/>
      </c>
      <c r="CE1451" s="30">
        <f t="shared" si="2832"/>
      </c>
      <c r="CF1451" s="308">
        <f t="shared" si="2832"/>
      </c>
      <c r="CG1451" s="30">
        <f t="shared" si="2832"/>
      </c>
      <c r="CH1451" s="30">
        <f t="shared" si="2832"/>
      </c>
      <c r="CI1451" s="30">
        <f t="shared" si="2832"/>
      </c>
      <c r="CJ1451" s="30">
        <f>IF(CJ1445&lt;=0,0,(CJ1445/CE1445-1))</f>
      </c>
      <c r="CK1451" s="308">
        <f>IF(CF1445=0, "NA", CK1445/CF1445-1)</f>
      </c>
      <c r="CL1451" s="30">
        <f>IF(CG1445="NM","NM",IF(CL1445="NM","NM",IF(CG1445&lt;=0,"NM",IF(CL1445=0,"NM",IF(ABS(CL1445/CG1445-1)&gt;2.5,"NM",IF((ABS(CL1445-CG1445)=ABS(ABS(CL1445)-ABS(CG1445))),(CL1445/CG1445-1),"NM"))))))</f>
      </c>
      <c r="CM1451" s="30">
        <f>IF(CH1445="NM","NM",IF(CM1445="NM","NM",IF(CH1445&lt;=0,"NM",IF(CM1445=0,"NM",IF(ABS(CM1445/CH1445-1)&gt;2.5,"NM",IF((ABS(CM1445-CH1445)=ABS(ABS(CM1445)-ABS(CH1445))),(CM1445/CH1445-1),"NM"))))))</f>
      </c>
      <c r="CN1451" s="30">
        <f>IF(CI1445="NM","NM",IF(CN1445="NM","NM",IF(CI1445&lt;=0,"NM",IF(CN1445=0,"NM",IF(ABS(CN1445/CI1445-1)&gt;2.5,"NM",IF((ABS(CN1445-CI1445)=ABS(ABS(CN1445)-ABS(CI1445))),(CN1445/CI1445-1),"NM"))))))</f>
      </c>
      <c r="CO1451" s="30">
        <f>IF(CO1445&lt;=0,0,(CO1445/CJ1445-1))</f>
      </c>
      <c r="CP1451" s="308">
        <f>IF(CK1445=0, "NA", CP1445/CK1445-1)</f>
      </c>
      <c r="CQ1451" s="1219">
        <f>IF(CL1445="NM","NM",IF(CQ1445="NM","NM",IF(CL1445&lt;=0,"NM",IF(CQ1445=0,"NM",IF(ABS(CQ1445/CL1445-1)&gt;2.5,"NM",IF((ABS(CQ1445-CL1445)=ABS(ABS(CQ1445)-ABS(CL1445))),(CQ1445/CL1445-1),"NM"))))))</f>
      </c>
      <c r="CR1451" s="1219">
        <f>IF(CM1445="NM","NM",IF(CR1445="NM","NM",IF(CM1445&lt;=0,"NM",IF(CR1445=0,"NM",IF(ABS(CR1445/CM1445-1)&gt;2.5,"NM",IF((ABS(CR1445-CM1445)=ABS(ABS(CR1445)-ABS(CM1445))),(CR1445/CM1445-1),"NM"))))))</f>
      </c>
      <c r="CS1451" s="1219">
        <f>IF(CN1445="NM","NM",IF(CS1445="NM","NM",IF(CN1445&lt;=0,"NM",IF(CS1445=0,"NM",IF(ABS(CS1445/CN1445-1)&gt;2.5,"NM",IF((ABS(CS1445-CN1445)=ABS(ABS(CS1445)-ABS(CN1445))),(CS1445/CN1445-1),"NM"))))))</f>
      </c>
      <c r="CT1451" s="1219">
        <f>IF(CO1445="NM","NM",IF(CT1445="NM","NM",IF(CO1445&lt;=0,"NM",IF(CT1445=0,"NM",IF(ABS(CT1445/CO1445-1)&gt;2.5,"NM",IF((ABS(CT1445-CO1445)=ABS(ABS(CT1445)-ABS(CO1445))),(CT1445/CO1445-1),"NM"))))))</f>
      </c>
      <c r="CU1451" s="308">
        <f>IF(CP1445=0, "NA", CU1445/CP1445-1)</f>
      </c>
      <c r="CV1451" s="1219">
        <f>IF(CQ1445="NM","NM",IF(CV1445="NM","NM",IF(CQ1445&lt;=0,"NM",IF(CV1445=0,"NM",IF(ABS(CV1445/CQ1445-1)&gt;2.5,"NM",IF((ABS(CV1445-CQ1445)=ABS(ABS(CV1445)-ABS(CQ1445))),(CV1445/CQ1445-1),"NM"))))))</f>
      </c>
      <c r="CW1451" s="1219">
        <f>IF(CR1445="NM","NM",IF(CW1445="NM","NM",IF(CR1445&lt;=0,"NM",IF(CW1445=0,"NM",IF(ABS(CW1445/CR1445-1)&gt;2.5,"NM",IF((ABS(CW1445-CR1445)=ABS(ABS(CW1445)-ABS(CR1445))),(CW1445/CR1445-1),"NM"))))))</f>
      </c>
      <c r="CX1451" s="1219">
        <f>IF(CS1445="NM","NM",IF(CX1445="NM","NM",IF(CS1445&lt;=0,"NM",IF(CX1445=0,"NM",IF(ABS(CX1445/CS1445-1)&gt;2.5,"NM",IF((ABS(CX1445-CS1445)=ABS(ABS(CX1445)-ABS(CS1445))),(CX1445/CS1445-1),"NM"))))))</f>
      </c>
      <c r="CY1451" s="1219">
        <f>IF(CT1445="NM","NM",IF(CY1445="NM","NM",IF(CT1445&lt;=0,"NM",IF(CY1445=0,"NM",IF(ABS(CY1445/CT1445-1)&gt;2.5,"NM",IF((ABS(CY1445-CT1445)=ABS(ABS(CY1445)-ABS(CT1445))),(CY1445/CT1445-1),"NM"))))))</f>
      </c>
      <c r="CZ1451" s="308">
        <f>IF(CU1445=0, "NA", CZ1445/CU1445-1)</f>
      </c>
      <c r="DA1451" s="1219">
        <f>IF(CV1445="NM","NM",IF(DA1445="NM","NM",IF(CV1445&lt;=0,"NM",IF(DA1445=0,"NM",IF(ABS(DA1445/CV1445-1)&gt;2.5,"NM",IF((ABS(DA1445-CV1445)=ABS(ABS(DA1445)-ABS(CV1445))),(DA1445/CV1445-1),"NM"))))))</f>
      </c>
      <c r="DB1451" s="1219">
        <f>IF(CW1445="NM","NM",IF(DB1445="NM","NM",IF(CW1445&lt;=0,"NM",IF(DB1445=0,"NM",IF(ABS(DB1445/CW1445-1)&gt;2.5,"NM",IF((ABS(DB1445-CW1445)=ABS(ABS(DB1445)-ABS(CW1445))),(DB1445/CW1445-1),"NM"))))))</f>
      </c>
      <c r="DC1451" s="1219">
        <f>IF(CX1445="NM","NM",IF(DC1445="NM","NM",IF(CX1445&lt;=0,"NM",IF(DC1445=0,"NM",IF(ABS(DC1445/CX1445-1)&gt;2.5,"NM",IF((ABS(DC1445-CX1445)=ABS(ABS(DC1445)-ABS(CX1445))),(DC1445/CX1445-1),"NM"))))))</f>
      </c>
      <c r="DD1451" s="928">
        <f>IF(CY1445=0, "NM", DD1445/CY1445-1)</f>
      </c>
      <c r="DE1451" s="308">
        <f>IF(CZ1445=0, "NA", DE1445/CZ1445-1)</f>
      </c>
      <c r="DF1451" s="926">
        <f>IF(DA1445=0, "NA", DF1445/DA1445-1)</f>
      </c>
      <c r="DG1451" s="926">
        <f>IF(DB1445=0, "NA", DG1445/DB1445-1)</f>
      </c>
      <c r="DH1451" s="926">
        <f>IF(DC1445=0, "NA", DH1445/DC1445-1)</f>
      </c>
      <c r="DI1451" s="928">
        <f>IF(DD1445=0, "NM", DI1445/DD1445-1)</f>
      </c>
      <c r="DJ1451" s="308">
        <f>IF(DE1445=0, "NA", DJ1445/DE1445-1)</f>
      </c>
      <c r="DK1451" s="926">
        <f>IF(DF1445=0, "NA", DK1445/DF1445-1)</f>
      </c>
      <c r="DL1451" s="926">
        <f>IF(DG1445=0, "NA", DL1445/DG1445-1)</f>
      </c>
      <c r="DM1451" s="926">
        <f>IF(DH1445=0, "NA", DM1445/DH1445-1)</f>
      </c>
      <c r="DN1451" s="928">
        <f>IF(DI1445=0, "NM", DN1445/DI1445-1)</f>
      </c>
      <c r="DO1451" s="308">
        <f>IF(DJ1445=0, "NA", DO1445/DJ1445-1)</f>
      </c>
      <c r="DP1451" s="926">
        <f>IF(DK1445=0, "NA", DP1445/DK1445-1)</f>
      </c>
      <c r="DQ1451" s="926">
        <f>IF(DL1445=0, "NA", DQ1445/DL1445-1)</f>
      </c>
      <c r="DR1451" s="926">
        <f>IF(DM1445=0, "NA", DR1445/DM1445-1)</f>
      </c>
      <c r="DS1451" s="928">
        <f>IF(DN1445=0, "NM", DS1445/DN1445-1)</f>
      </c>
      <c r="DT1451" s="1060">
        <f>IF(DO1445=0, "NA", DT1445/DO1445-1)</f>
      </c>
      <c r="DU1451" s="926">
        <f>IF(DP1445=0, "NA", DU1445/DP1445-1)</f>
      </c>
      <c r="DV1451" s="926">
        <f>IF(DQ1445=0, "NA", DV1445/DQ1445-1)</f>
      </c>
      <c r="DW1451" s="926"/>
      <c r="DX1451" s="928"/>
      <c r="DY1451" s="1060"/>
      <c r="DZ1451" s="926"/>
      <c r="EA1451" s="926"/>
      <c r="EB1451" s="926"/>
      <c r="EC1451" s="928"/>
      <c r="ED1451" s="1060"/>
      <c r="EE1451" s="958"/>
      <c r="EF1451" s="926"/>
      <c r="EG1451" s="926"/>
      <c r="EH1451" s="928"/>
      <c r="EI1451" s="1060"/>
      <c r="EJ1451" s="1060"/>
      <c r="EK1451" s="1060"/>
      <c r="EL1451" s="308"/>
      <c r="EM1451" s="308"/>
      <c r="EN1451" s="308"/>
      <c r="EO1451" s="409"/>
      <c r="EP1451" s="308"/>
      <c r="EQ1451" s="308"/>
      <c r="ER1451" s="308"/>
      <c r="ES1451" s="308"/>
      <c r="ET1451" s="308"/>
      <c r="EU1451" s="308"/>
      <c r="EV1451" s="308"/>
      <c r="EW1451" s="308"/>
      <c r="EX1451" s="308"/>
    </row>
    <row r="1452" spans="2:154" hidden="1" outlineLevel="1">
      <c r="B1452" s="510"/>
      <c r="C1452" s="1989"/>
      <c r="D1452" s="28"/>
      <c r="E1452" s="28"/>
      <c r="F1452" s="28"/>
      <c r="G1452" s="28"/>
      <c r="H1452" s="28"/>
      <c r="I1452" s="30"/>
      <c r="J1452" s="30"/>
      <c r="K1452" s="30"/>
      <c r="L1452" s="30"/>
      <c r="M1452" s="30"/>
      <c r="N1452" s="30"/>
      <c r="O1452" s="30"/>
      <c r="P1452" s="30"/>
      <c r="Q1452" s="30"/>
      <c r="R1452" s="30"/>
      <c r="S1452" s="30"/>
      <c r="T1452" s="30"/>
      <c r="U1452" s="30"/>
      <c r="V1452" s="30"/>
      <c r="W1452" s="30"/>
      <c r="X1452" s="308"/>
      <c r="Y1452" s="30"/>
      <c r="Z1452" s="30"/>
      <c r="AA1452" s="30"/>
      <c r="AB1452" s="30"/>
      <c r="AC1452" s="308"/>
      <c r="AD1452" s="30"/>
      <c r="AE1452" s="30"/>
      <c r="AF1452" s="30"/>
      <c r="AG1452" s="30"/>
      <c r="AH1452" s="308"/>
      <c r="AI1452" s="30"/>
      <c r="AJ1452" s="30"/>
      <c r="AK1452" s="30"/>
      <c r="AL1452" s="30"/>
      <c r="AM1452" s="308"/>
      <c r="AN1452" s="30"/>
      <c r="AO1452" s="30"/>
      <c r="AP1452" s="30"/>
      <c r="AQ1452" s="30"/>
      <c r="AR1452" s="308"/>
      <c r="AS1452" s="30"/>
      <c r="AT1452" s="30"/>
      <c r="AU1452" s="30"/>
      <c r="AV1452" s="30"/>
      <c r="AW1452" s="308"/>
      <c r="AX1452" s="30"/>
      <c r="AY1452" s="30"/>
      <c r="AZ1452" s="30"/>
      <c r="BA1452" s="30"/>
      <c r="BB1452" s="308"/>
      <c r="BC1452" s="30"/>
      <c r="BD1452" s="30"/>
      <c r="BE1452" s="30"/>
      <c r="BF1452" s="30"/>
      <c r="BG1452" s="308"/>
      <c r="BH1452" s="30"/>
      <c r="BI1452" s="30"/>
      <c r="BJ1452" s="30"/>
      <c r="BK1452" s="30"/>
      <c r="BL1452" s="308"/>
      <c r="BM1452" s="30"/>
      <c r="BN1452" s="30"/>
      <c r="BO1452" s="30"/>
      <c r="BP1452" s="30"/>
      <c r="BQ1452" s="308"/>
      <c r="BR1452" s="30"/>
      <c r="BS1452" s="30"/>
      <c r="BT1452" s="30"/>
      <c r="BU1452" s="30"/>
      <c r="BV1452" s="308"/>
      <c r="BW1452" s="30"/>
      <c r="BX1452" s="30"/>
      <c r="BY1452" s="30"/>
      <c r="BZ1452" s="30"/>
      <c r="CA1452" s="308"/>
      <c r="CB1452" s="30"/>
      <c r="CC1452" s="30"/>
      <c r="CD1452" s="30"/>
      <c r="CE1452" s="30"/>
      <c r="CF1452" s="308"/>
      <c r="CG1452" s="30"/>
      <c r="CH1452" s="30"/>
      <c r="CI1452" s="30"/>
      <c r="CJ1452" s="30"/>
      <c r="CK1452" s="308"/>
      <c r="CL1452" s="926"/>
      <c r="CM1452" s="926"/>
      <c r="CN1452" s="926"/>
      <c r="CO1452" s="30"/>
      <c r="CP1452" s="308"/>
      <c r="CQ1452" s="926"/>
      <c r="CR1452" s="926"/>
      <c r="CS1452" s="926"/>
      <c r="CT1452" s="926"/>
      <c r="CU1452" s="308"/>
      <c r="CV1452" s="926"/>
      <c r="CW1452" s="926"/>
      <c r="CX1452" s="926"/>
      <c r="CY1452" s="926"/>
      <c r="CZ1452" s="308"/>
      <c r="DA1452" s="830"/>
      <c r="DB1452" s="30"/>
      <c r="DC1452" s="30"/>
      <c r="DD1452" s="409"/>
      <c r="DE1452" s="308"/>
      <c r="DF1452" s="830"/>
      <c r="DG1452" s="30"/>
      <c r="DH1452" s="30"/>
      <c r="DI1452" s="409"/>
      <c r="DJ1452" s="308"/>
      <c r="DK1452" s="830"/>
      <c r="DL1452" s="30"/>
      <c r="DM1452" s="30"/>
      <c r="DN1452" s="409"/>
      <c r="DO1452" s="308"/>
      <c r="DP1452" s="30"/>
      <c r="DQ1452" s="30"/>
      <c r="DR1452" s="30"/>
      <c r="DS1452" s="409"/>
      <c r="DT1452" s="308"/>
      <c r="DU1452" s="926"/>
      <c r="DV1452" s="926"/>
      <c r="DW1452" s="926"/>
      <c r="DX1452" s="928"/>
      <c r="DY1452" s="308"/>
      <c r="DZ1452" s="926"/>
      <c r="EA1452" s="926"/>
      <c r="EB1452" s="926"/>
      <c r="EC1452" s="928"/>
      <c r="ED1452" s="1060"/>
      <c r="EE1452" s="958"/>
      <c r="EF1452" s="926"/>
      <c r="EG1452" s="926"/>
      <c r="EH1452" s="928"/>
      <c r="EI1452" s="308"/>
      <c r="EJ1452" s="308"/>
      <c r="EK1452" s="308"/>
      <c r="EL1452" s="308"/>
      <c r="EM1452" s="308"/>
      <c r="EN1452" s="308"/>
      <c r="EO1452" s="409"/>
      <c r="EP1452" s="308"/>
      <c r="EQ1452" s="308"/>
      <c r="ER1452" s="308"/>
      <c r="ES1452" s="308"/>
      <c r="ET1452" s="308"/>
      <c r="EU1452" s="308"/>
      <c r="EV1452" s="308"/>
      <c r="EW1452" s="308"/>
      <c r="EX1452" s="308"/>
    </row>
    <row r="1453" spans="2:154" hidden="1" outlineLevel="1">
      <c r="B1453" s="509" t="s">
        <v>420</v>
      </c>
      <c r="C1453" s="2020"/>
      <c r="D1453" s="1985"/>
      <c r="E1453" s="492"/>
      <c r="F1453" s="492"/>
      <c r="G1453" s="492"/>
      <c r="H1453" s="492"/>
      <c r="I1453" s="493"/>
      <c r="J1453" s="492"/>
      <c r="K1453" s="492"/>
      <c r="L1453" s="492"/>
      <c r="M1453" s="492"/>
      <c r="N1453" s="493"/>
      <c r="O1453" s="493"/>
      <c r="P1453" s="493"/>
      <c r="Q1453" s="493"/>
      <c r="R1453" s="493"/>
      <c r="S1453" s="493"/>
      <c r="T1453" s="493"/>
      <c r="U1453" s="493"/>
      <c r="V1453" s="493"/>
      <c r="W1453" s="493"/>
      <c r="X1453" s="494"/>
      <c r="Y1453" s="493"/>
      <c r="Z1453" s="493"/>
      <c r="AA1453" s="493"/>
      <c r="AB1453" s="493"/>
      <c r="AC1453" s="494"/>
      <c r="AD1453" s="493"/>
      <c r="AE1453" s="493"/>
      <c r="AF1453" s="493"/>
      <c r="AG1453" s="493"/>
      <c r="AH1453" s="494"/>
      <c r="AI1453" s="492"/>
      <c r="AJ1453" s="492"/>
      <c r="AK1453" s="492"/>
      <c r="AL1453" s="493"/>
      <c r="AM1453" s="494"/>
      <c r="AN1453" s="492"/>
      <c r="AO1453" s="492"/>
      <c r="AP1453" s="492"/>
      <c r="AQ1453" s="493"/>
      <c r="AR1453" s="494"/>
      <c r="AS1453" s="492"/>
      <c r="AT1453" s="492"/>
      <c r="AU1453" s="492"/>
      <c r="AV1453" s="493"/>
      <c r="AW1453" s="494"/>
      <c r="AX1453" s="492"/>
      <c r="AY1453" s="492"/>
      <c r="AZ1453" s="492"/>
      <c r="BA1453" s="492"/>
      <c r="BB1453" s="494"/>
      <c r="BC1453" s="492"/>
      <c r="BD1453" s="492"/>
      <c r="BE1453" s="492"/>
      <c r="BF1453" s="492"/>
      <c r="BG1453" s="494"/>
      <c r="BH1453" s="492"/>
      <c r="BI1453" s="492"/>
      <c r="BJ1453" s="492"/>
      <c r="BK1453" s="492"/>
      <c r="BL1453" s="494"/>
      <c r="BM1453" s="492"/>
      <c r="BN1453" s="492"/>
      <c r="BO1453" s="492"/>
      <c r="BP1453" s="492"/>
      <c r="BQ1453" s="494"/>
      <c r="BR1453" s="492"/>
      <c r="BS1453" s="492"/>
      <c r="BT1453" s="492"/>
      <c r="BU1453" s="492"/>
      <c r="BV1453" s="494"/>
      <c r="BW1453" s="492"/>
      <c r="BX1453" s="492"/>
      <c r="BY1453" s="492"/>
      <c r="BZ1453" s="492"/>
      <c r="CA1453" s="494"/>
      <c r="CB1453" s="492"/>
      <c r="CC1453" s="492"/>
      <c r="CD1453" s="492"/>
      <c r="CE1453" s="492"/>
      <c r="CF1453" s="494"/>
      <c r="CG1453" s="492"/>
      <c r="CH1453" s="492"/>
      <c r="CI1453" s="492"/>
      <c r="CJ1453" s="492"/>
      <c r="CK1453" s="494"/>
      <c r="CL1453" s="952"/>
      <c r="CM1453" s="952"/>
      <c r="CN1453" s="952"/>
      <c r="CO1453" s="1404"/>
      <c r="CP1453" s="494"/>
      <c r="CQ1453" s="952"/>
      <c r="CR1453" s="952"/>
      <c r="CS1453" s="952"/>
      <c r="CT1453" s="1134"/>
      <c r="CU1453" s="494"/>
      <c r="CV1453" s="952"/>
      <c r="CW1453" s="952"/>
      <c r="CX1453" s="952"/>
      <c r="CY1453" s="1134"/>
      <c r="CZ1453" s="494"/>
      <c r="DA1453" s="1324"/>
      <c r="DB1453" s="1325"/>
      <c r="DC1453" s="1325"/>
      <c r="DD1453" s="1200"/>
      <c r="DE1453" s="1911"/>
      <c r="DF1453" s="1912"/>
      <c r="DG1453" s="1913"/>
      <c r="DH1453" s="1913"/>
      <c r="DI1453" s="1914"/>
      <c r="DJ1453" s="1911"/>
      <c r="DK1453" s="1952"/>
      <c r="DL1453" s="1909"/>
      <c r="DM1453" s="1909"/>
      <c r="DN1453" s="1910"/>
      <c r="DO1453" s="1908"/>
      <c r="DP1453" s="1952"/>
      <c r="DQ1453" s="1909"/>
      <c r="DR1453" s="1909"/>
      <c r="DS1453" s="1910"/>
      <c r="DT1453" s="1908"/>
      <c r="DU1453" s="2133"/>
      <c r="DV1453" s="2126"/>
      <c r="DW1453" s="2778"/>
      <c r="DX1453" s="2779"/>
      <c r="DY1453" s="2781"/>
      <c r="DZ1453" s="2778"/>
      <c r="EA1453" s="3522"/>
      <c r="EB1453" s="3522"/>
      <c r="EC1453" s="2779"/>
      <c r="ED1453" s="477"/>
      <c r="EE1453" s="1799"/>
      <c r="EF1453" s="603"/>
      <c r="EG1453" s="603"/>
      <c r="EH1453" s="2779"/>
      <c r="EI1453" s="477"/>
      <c r="EJ1453" s="477"/>
      <c r="EK1453" s="477"/>
      <c r="EL1453" s="3139"/>
      <c r="EM1453" s="3139"/>
      <c r="EN1453" s="2201"/>
      <c r="EO1453" s="3140"/>
      <c r="EP1453" s="2201"/>
      <c r="EQ1453" s="2208"/>
      <c r="ER1453" s="2208"/>
      <c r="ES1453" s="2208"/>
      <c r="ET1453" s="2208"/>
      <c r="EU1453" s="2208"/>
      <c r="EV1453" s="2208"/>
      <c r="EW1453" s="2208"/>
      <c r="EX1453" s="2208"/>
    </row>
    <row r="1454" spans="2:154" hidden="1" outlineLevel="1">
      <c r="B1454" s="345" t="s">
        <v>187</v>
      </c>
      <c r="C1454" s="1989"/>
      <c r="D1454" s="33">
        <v>1305.217391304348</v>
      </c>
      <c r="E1454" s="33">
        <v>384</v>
      </c>
      <c r="F1454" s="33">
        <v>326</v>
      </c>
      <c r="G1454" s="33">
        <v>366</v>
      </c>
      <c r="H1454" s="33">
        <v>425</v>
      </c>
      <c r="I1454" s="31">
        <f>+SUM(E1454:H1454)</f>
      </c>
      <c r="J1454" s="33">
        <v>380</v>
      </c>
      <c r="K1454" s="33">
        <v>312</v>
      </c>
      <c r="L1454" s="33">
        <v>378</v>
      </c>
      <c r="M1454" s="33">
        <v>421</v>
      </c>
      <c r="N1454" s="31">
        <f>+SUM(J1454:M1454)</f>
      </c>
      <c r="O1454" s="33">
        <v>372</v>
      </c>
      <c r="P1454" s="33">
        <v>303</v>
      </c>
      <c r="Q1454" s="33">
        <v>376</v>
      </c>
      <c r="R1454" s="33">
        <v>398</v>
      </c>
      <c r="S1454" s="31">
        <f>SUM(O1454:R1454)</f>
      </c>
      <c r="T1454" s="33">
        <v>368</v>
      </c>
      <c r="U1454" s="33">
        <v>359</v>
      </c>
      <c r="V1454" s="33">
        <v>387</v>
      </c>
      <c r="W1454" s="33">
        <v>423</v>
      </c>
      <c r="X1454" s="313">
        <f>SUM(T1454:W1454)</f>
      </c>
      <c r="Y1454" s="33">
        <v>417</v>
      </c>
      <c r="Z1454" s="33">
        <v>377</v>
      </c>
      <c r="AA1454" s="33">
        <v>427</v>
      </c>
      <c r="AB1454" s="33">
        <v>530</v>
      </c>
      <c r="AC1454" s="313">
        <f>SUM(Y1454:AB1454)</f>
      </c>
      <c r="AD1454" s="33">
        <v>473.2</v>
      </c>
      <c r="AE1454" s="33">
        <v>398</v>
      </c>
      <c r="AF1454" s="33">
        <v>433.6</v>
      </c>
      <c r="AG1454" s="33">
        <v>559</v>
      </c>
      <c r="AH1454" s="313">
        <f>SUM(AD1454:AG1454)</f>
      </c>
      <c r="AI1454" s="33">
        <v>477</v>
      </c>
      <c r="AJ1454" s="33">
        <v>427</v>
      </c>
      <c r="AK1454" s="33">
        <v>449</v>
      </c>
      <c r="AL1454" s="33">
        <v>531</v>
      </c>
      <c r="AM1454" s="313">
        <f>+SUM(AI1454:AL1454)</f>
      </c>
      <c r="AN1454" s="33">
        <v>445</v>
      </c>
      <c r="AO1454" s="33">
        <v>414</v>
      </c>
      <c r="AP1454" s="33">
        <v>481</v>
      </c>
      <c r="AQ1454" s="33">
        <v>530</v>
      </c>
      <c r="AR1454" s="313">
        <f>+SUM(AN1454:AQ1454)</f>
      </c>
      <c r="AS1454" s="33">
        <v>655</v>
      </c>
      <c r="AT1454" s="33">
        <v>584</v>
      </c>
      <c r="AU1454" s="33">
        <v>653</v>
      </c>
      <c r="AV1454" s="33">
        <v>728</v>
      </c>
      <c r="AW1454" s="313">
        <f>+SUM(AS1454:AV1454)</f>
      </c>
      <c r="AX1454" s="33">
        <v>842</v>
      </c>
      <c r="AY1454" s="33">
        <v>679</v>
      </c>
      <c r="AZ1454" s="33">
        <v>778</v>
      </c>
      <c r="BA1454" s="33">
        <v>762</v>
      </c>
      <c r="BB1454" s="313">
        <f>SUM(AX1454:BA1454)</f>
      </c>
      <c r="BC1454" s="33">
        <v>726</v>
      </c>
      <c r="BD1454" s="33">
        <v>679</v>
      </c>
      <c r="BE1454" s="33">
        <v>732</v>
      </c>
      <c r="BF1454" s="33">
        <v>807</v>
      </c>
      <c r="BG1454" s="313">
        <f>SUM(BC1454:BF1454)</f>
      </c>
      <c r="BH1454" s="33">
        <v>542</v>
      </c>
      <c r="BI1454" s="33">
        <v>492</v>
      </c>
      <c r="BJ1454" s="33">
        <v>438</v>
      </c>
      <c r="BK1454" s="33">
        <v>381</v>
      </c>
      <c r="BL1454" s="313">
        <f>SUM(BH1454:BK1454)</f>
      </c>
      <c r="BM1454" s="33">
        <v>397</v>
      </c>
      <c r="BN1454" s="352">
        <v>330</v>
      </c>
      <c r="BO1454" s="352">
        <v>332</v>
      </c>
      <c r="BP1454" s="33">
        <v>370</v>
      </c>
      <c r="BQ1454" s="313">
        <f>SUM(BM1454:BP1454)</f>
      </c>
      <c r="BR1454" s="33">
        <v>291</v>
      </c>
      <c r="BS1454" s="352">
        <v>247</v>
      </c>
      <c r="BT1454" s="352">
        <v>263</v>
      </c>
      <c r="BU1454" s="352">
        <v>273</v>
      </c>
      <c r="BV1454" s="313">
        <f>SUM(BR1454:BU1454)</f>
      </c>
      <c r="BW1454" s="352">
        <v>354</v>
      </c>
      <c r="BX1454" s="352">
        <v>290</v>
      </c>
      <c r="BY1454" s="352">
        <v>310</v>
      </c>
      <c r="BZ1454" s="352">
        <v>332</v>
      </c>
      <c r="CA1454" s="312">
        <f>SUM(BW1454:BZ1454)</f>
      </c>
      <c r="CB1454" s="352">
        <v>366</v>
      </c>
      <c r="CC1454" s="352">
        <v>316</v>
      </c>
      <c r="CD1454" s="352">
        <v>313</v>
      </c>
      <c r="CE1454" s="352">
        <v>362</v>
      </c>
      <c r="CF1454" s="312">
        <f>SUM(CB1454:CE1454)</f>
      </c>
      <c r="CG1454" s="352">
        <v>405</v>
      </c>
      <c r="CH1454" s="352">
        <v>366</v>
      </c>
      <c r="CI1454" s="352">
        <v>383</v>
      </c>
      <c r="CJ1454" s="352">
        <v>386</v>
      </c>
      <c r="CK1454" s="312">
        <f>SUM(CG1454:CJ1454)</f>
      </c>
      <c r="CL1454" s="352">
        <v>461</v>
      </c>
      <c r="CM1454" s="352">
        <v>389</v>
      </c>
      <c r="CN1454" s="352">
        <v>380</v>
      </c>
      <c r="CO1454" s="352">
        <v>418</v>
      </c>
      <c r="CP1454" s="312">
        <f>SUM(CL1454:CO1454)</f>
      </c>
      <c r="CQ1454" s="352">
        <v>477</v>
      </c>
      <c r="CR1454" s="352">
        <v>432</v>
      </c>
      <c r="CS1454" s="352">
        <v>401</v>
      </c>
      <c r="CT1454" s="352">
        <v>406</v>
      </c>
      <c r="CU1454" s="312">
        <f>SUM(CQ1454:CT1454)</f>
      </c>
      <c r="CV1454" s="352">
        <v>465</v>
      </c>
      <c r="CW1454" s="352">
        <v>454</v>
      </c>
      <c r="CX1454" s="352">
        <v>440</v>
      </c>
      <c r="CY1454" s="352">
        <v>491</v>
      </c>
      <c r="CZ1454" s="312">
        <f>SUM(CV1454:CY1454)</f>
      </c>
      <c r="DA1454" s="352">
        <v>507</v>
      </c>
      <c r="DB1454" s="352">
        <v>484</v>
      </c>
      <c r="DC1454" s="352">
        <v>477</v>
      </c>
      <c r="DD1454" s="1205">
        <v>542</v>
      </c>
      <c r="DE1454" s="1835">
        <f>SUM(DA1454:DD1454)</f>
      </c>
      <c r="DF1454" s="710">
        <v>689</v>
      </c>
      <c r="DG1454" s="710">
        <v>627</v>
      </c>
      <c r="DH1454" s="710">
        <v>601</v>
      </c>
      <c r="DI1454" s="1839">
        <v>543</v>
      </c>
      <c r="DJ1454" s="1835">
        <f>SUM(DF1454:DI1454)</f>
      </c>
      <c r="DK1454" s="710">
        <v>599.4</v>
      </c>
      <c r="DL1454" s="1544">
        <v>675</v>
      </c>
      <c r="DM1454" s="710">
        <v>686</v>
      </c>
      <c r="DN1454" s="1839">
        <v>633</v>
      </c>
      <c r="DO1454" s="1835">
        <f>SUM(DK1454:DN1454)</f>
      </c>
      <c r="DP1454" s="710">
        <v>670</v>
      </c>
      <c r="DQ1454" s="710">
        <v>663</v>
      </c>
      <c r="DR1454" s="710">
        <v>695</v>
      </c>
      <c r="DS1454" s="1839">
        <v>754</v>
      </c>
      <c r="DT1454" s="1835">
        <f>SUM(DP1454:DS1454)</f>
      </c>
      <c r="DU1454" s="710">
        <v>745</v>
      </c>
      <c r="DV1454" s="710">
        <v>712</v>
      </c>
      <c r="DW1454" s="1542"/>
      <c r="DX1454" s="1556"/>
      <c r="DY1454" s="1835"/>
      <c r="DZ1454" s="1542"/>
      <c r="EA1454" s="1542"/>
      <c r="EB1454" s="1542"/>
      <c r="EC1454" s="1556"/>
      <c r="ED1454" s="1835"/>
      <c r="EE1454" s="1877"/>
      <c r="EF1454" s="1542"/>
      <c r="EG1454" s="1542"/>
      <c r="EH1454" s="1556"/>
      <c r="EI1454" s="1835"/>
      <c r="EJ1454" s="1835"/>
      <c r="EK1454" s="1835"/>
      <c r="EL1454" s="477"/>
      <c r="EM1454" s="477"/>
      <c r="EN1454" s="477"/>
      <c r="EO1454" s="1798"/>
      <c r="EP1454" s="477"/>
      <c r="EQ1454" s="477"/>
      <c r="ER1454" s="477"/>
      <c r="ES1454" s="477"/>
      <c r="ET1454" s="477"/>
      <c r="EU1454" s="477"/>
      <c r="EV1454" s="477"/>
      <c r="EW1454" s="477"/>
      <c r="EX1454" s="477"/>
    </row>
    <row r="1455" spans="2:154" hidden="1" outlineLevel="1">
      <c r="B1455" s="345" t="s">
        <v>412</v>
      </c>
      <c r="C1455" s="1989"/>
      <c r="D1455" s="33">
        <v>228.84615384615384</v>
      </c>
      <c r="E1455" s="33">
        <v>52</v>
      </c>
      <c r="F1455" s="33">
        <v>60</v>
      </c>
      <c r="G1455" s="33">
        <v>52</v>
      </c>
      <c r="H1455" s="33">
        <v>74</v>
      </c>
      <c r="I1455" s="31">
        <f>+SUM(E1455:H1455)</f>
      </c>
      <c r="J1455" s="33">
        <v>72</v>
      </c>
      <c r="K1455" s="33">
        <v>63</v>
      </c>
      <c r="L1455" s="33">
        <v>67</v>
      </c>
      <c r="M1455" s="33">
        <v>75</v>
      </c>
      <c r="N1455" s="31">
        <f>+SUM(J1455:M1455)</f>
      </c>
      <c r="O1455" s="33">
        <v>82</v>
      </c>
      <c r="P1455" s="33">
        <v>70</v>
      </c>
      <c r="Q1455" s="33">
        <v>69</v>
      </c>
      <c r="R1455" s="33">
        <v>73</v>
      </c>
      <c r="S1455" s="31">
        <f>SUM(O1455:R1455)</f>
      </c>
      <c r="T1455" s="33">
        <v>71</v>
      </c>
      <c r="U1455" s="33">
        <v>65</v>
      </c>
      <c r="V1455" s="33">
        <v>61</v>
      </c>
      <c r="W1455" s="33">
        <v>67</v>
      </c>
      <c r="X1455" s="313">
        <f>SUM(T1455:W1455)</f>
      </c>
      <c r="Y1455" s="33">
        <v>70</v>
      </c>
      <c r="Z1455" s="33">
        <v>71</v>
      </c>
      <c r="AA1455" s="33">
        <v>72</v>
      </c>
      <c r="AB1455" s="33">
        <v>81</v>
      </c>
      <c r="AC1455" s="313">
        <f>SUM(Y1455:AB1455)</f>
      </c>
      <c r="AD1455" s="33">
        <v>89.8</v>
      </c>
      <c r="AE1455" s="33">
        <v>134</v>
      </c>
      <c r="AF1455" s="33">
        <v>132.80000000000001</v>
      </c>
      <c r="AG1455" s="33">
        <v>174</v>
      </c>
      <c r="AH1455" s="313">
        <f>SUM(AD1455:AG1455)</f>
      </c>
      <c r="AI1455" s="33">
        <v>208</v>
      </c>
      <c r="AJ1455" s="33">
        <v>201</v>
      </c>
      <c r="AK1455" s="33">
        <v>185</v>
      </c>
      <c r="AL1455" s="33">
        <v>200</v>
      </c>
      <c r="AM1455" s="313">
        <f>+SUM(AI1455:AL1455)</f>
      </c>
      <c r="AN1455" s="33">
        <v>208</v>
      </c>
      <c r="AO1455" s="33">
        <v>219</v>
      </c>
      <c r="AP1455" s="33">
        <v>218</v>
      </c>
      <c r="AQ1455" s="33">
        <v>227</v>
      </c>
      <c r="AR1455" s="313">
        <f>+SUM(AN1455:AQ1455)</f>
      </c>
      <c r="AS1455" s="33">
        <v>602</v>
      </c>
      <c r="AT1455" s="33">
        <v>622</v>
      </c>
      <c r="AU1455" s="33">
        <v>611</v>
      </c>
      <c r="AV1455" s="33">
        <v>687</v>
      </c>
      <c r="AW1455" s="313">
        <f>+SUM(AS1455:AV1455)</f>
      </c>
      <c r="AX1455" s="33">
        <v>752</v>
      </c>
      <c r="AY1455" s="33">
        <v>726</v>
      </c>
      <c r="AZ1455" s="33">
        <v>661</v>
      </c>
      <c r="BA1455" s="33">
        <v>694</v>
      </c>
      <c r="BB1455" s="313">
        <f>SUM(AX1455:BA1455)</f>
      </c>
      <c r="BC1455" s="33">
        <v>622</v>
      </c>
      <c r="BD1455" s="33">
        <v>631</v>
      </c>
      <c r="BE1455" s="33">
        <v>666</v>
      </c>
      <c r="BF1455" s="33">
        <v>767</v>
      </c>
      <c r="BG1455" s="313">
        <f>SUM(BC1455:BF1455)</f>
      </c>
      <c r="BH1455" s="33">
        <v>665</v>
      </c>
      <c r="BI1455" s="33">
        <v>649</v>
      </c>
      <c r="BJ1455" s="33">
        <v>671</v>
      </c>
      <c r="BK1455" s="33">
        <v>711</v>
      </c>
      <c r="BL1455" s="313">
        <f>SUM(BH1455:BK1455)</f>
      </c>
      <c r="BM1455" s="33">
        <v>732</v>
      </c>
      <c r="BN1455" s="352">
        <v>753</v>
      </c>
      <c r="BO1455" s="352">
        <v>722</v>
      </c>
      <c r="BP1455" s="33">
        <v>766</v>
      </c>
      <c r="BQ1455" s="313">
        <f>SUM(BM1455:BP1455)</f>
      </c>
      <c r="BR1455" s="33">
        <v>660</v>
      </c>
      <c r="BS1455" s="352">
        <v>636</v>
      </c>
      <c r="BT1455" s="352">
        <v>653</v>
      </c>
      <c r="BU1455" s="352">
        <v>743</v>
      </c>
      <c r="BV1455" s="313">
        <f>SUM(BR1455:BU1455)</f>
      </c>
      <c r="BW1455" s="352">
        <v>689</v>
      </c>
      <c r="BX1455" s="352">
        <v>641</v>
      </c>
      <c r="BY1455" s="352">
        <v>665</v>
      </c>
      <c r="BZ1455" s="352">
        <v>747</v>
      </c>
      <c r="CA1455" s="312">
        <f>SUM(BW1455:BZ1455)</f>
      </c>
      <c r="CB1455" s="352">
        <v>645</v>
      </c>
      <c r="CC1455" s="352">
        <v>687</v>
      </c>
      <c r="CD1455" s="352">
        <v>706</v>
      </c>
      <c r="CE1455" s="352">
        <v>711</v>
      </c>
      <c r="CF1455" s="312">
        <f>SUM(CB1455:CE1455)</f>
      </c>
      <c r="CG1455" s="352">
        <v>588</v>
      </c>
      <c r="CH1455" s="352">
        <v>608</v>
      </c>
      <c r="CI1455" s="352">
        <v>580</v>
      </c>
      <c r="CJ1455" s="352">
        <v>632</v>
      </c>
      <c r="CK1455" s="312">
        <f>SUM(CG1455:CJ1455)</f>
      </c>
      <c r="CL1455" s="352">
        <v>558</v>
      </c>
      <c r="CM1455" s="352">
        <v>619</v>
      </c>
      <c r="CN1455" s="352">
        <v>584</v>
      </c>
      <c r="CO1455" s="352">
        <v>621</v>
      </c>
      <c r="CP1455" s="312">
        <f>SUM(CL1455:CO1455)</f>
      </c>
      <c r="CQ1455" s="352">
        <v>536</v>
      </c>
      <c r="CR1455" s="352">
        <v>574</v>
      </c>
      <c r="CS1455" s="352">
        <v>601</v>
      </c>
      <c r="CT1455" s="352">
        <v>699</v>
      </c>
      <c r="CU1455" s="312">
        <f>SUM(CQ1455:CT1455)</f>
      </c>
      <c r="CV1455" s="352">
        <v>607</v>
      </c>
      <c r="CW1455" s="352">
        <v>612</v>
      </c>
      <c r="CX1455" s="352">
        <v>608</v>
      </c>
      <c r="CY1455" s="352">
        <v>657</v>
      </c>
      <c r="CZ1455" s="312">
        <f>SUM(CV1455:CY1455)</f>
      </c>
      <c r="DA1455" s="352">
        <v>580</v>
      </c>
      <c r="DB1455" s="352">
        <v>580</v>
      </c>
      <c r="DC1455" s="352">
        <v>621</v>
      </c>
      <c r="DD1455" s="1205">
        <v>653</v>
      </c>
      <c r="DE1455" s="1835">
        <f>SUM(DA1455:DD1455)</f>
      </c>
      <c r="DF1455" s="710">
        <v>659</v>
      </c>
      <c r="DG1455" s="710">
        <v>522</v>
      </c>
      <c r="DH1455" s="710">
        <v>541</v>
      </c>
      <c r="DI1455" s="1839">
        <v>642</v>
      </c>
      <c r="DJ1455" s="1835">
        <f>SUM(DF1455:DI1455)</f>
      </c>
      <c r="DK1455" s="710">
        <v>575.4</v>
      </c>
      <c r="DL1455" s="1544">
        <v>633</v>
      </c>
      <c r="DM1455" s="710">
        <v>686</v>
      </c>
      <c r="DN1455" s="1839">
        <v>740</v>
      </c>
      <c r="DO1455" s="1835">
        <f>SUM(DK1455:DN1455)</f>
      </c>
      <c r="DP1455" s="710">
        <v>791</v>
      </c>
      <c r="DQ1455" s="710">
        <v>818</v>
      </c>
      <c r="DR1455" s="710">
        <v>825</v>
      </c>
      <c r="DS1455" s="1839">
        <v>815</v>
      </c>
      <c r="DT1455" s="1835">
        <f>SUM(DP1455:DS1455)</f>
      </c>
      <c r="DU1455" s="710">
        <v>897</v>
      </c>
      <c r="DV1455" s="710">
        <v>947</v>
      </c>
      <c r="DW1455" s="1542"/>
      <c r="DX1455" s="1556"/>
      <c r="DY1455" s="1835"/>
      <c r="DZ1455" s="1542"/>
      <c r="EA1455" s="1542"/>
      <c r="EB1455" s="1542"/>
      <c r="EC1455" s="1556"/>
      <c r="ED1455" s="1835"/>
      <c r="EE1455" s="1877"/>
      <c r="EF1455" s="1542"/>
      <c r="EG1455" s="1542"/>
      <c r="EH1455" s="1556"/>
      <c r="EI1455" s="1835"/>
      <c r="EJ1455" s="1835"/>
      <c r="EK1455" s="1835"/>
      <c r="EL1455" s="477"/>
      <c r="EM1455" s="477"/>
      <c r="EN1455" s="477"/>
      <c r="EO1455" s="1798"/>
      <c r="EP1455" s="477"/>
      <c r="EQ1455" s="477"/>
      <c r="ER1455" s="477"/>
      <c r="ES1455" s="477"/>
      <c r="ET1455" s="477"/>
      <c r="EU1455" s="477"/>
      <c r="EV1455" s="477"/>
      <c r="EW1455" s="477"/>
      <c r="EX1455" s="477"/>
    </row>
    <row r="1456" spans="2:154" hidden="1" outlineLevel="1">
      <c r="B1456" s="345" t="s">
        <v>413</v>
      </c>
      <c r="C1456" s="1989"/>
      <c r="D1456" s="28">
        <f t="shared" ref="D1456:AV1456" si="2833">+D1454+D1455</f>
      </c>
      <c r="E1456" s="28">
        <f t="shared" si="2833"/>
      </c>
      <c r="F1456" s="28">
        <f t="shared" si="2833"/>
      </c>
      <c r="G1456" s="28">
        <f t="shared" si="2833"/>
      </c>
      <c r="H1456" s="28">
        <f t="shared" si="2833"/>
      </c>
      <c r="I1456" s="31">
        <f t="shared" si="2833"/>
      </c>
      <c r="J1456" s="28">
        <f t="shared" si="2833"/>
      </c>
      <c r="K1456" s="28">
        <f t="shared" si="2833"/>
      </c>
      <c r="L1456" s="28">
        <f t="shared" si="2833"/>
      </c>
      <c r="M1456" s="28">
        <f t="shared" si="2833"/>
      </c>
      <c r="N1456" s="31">
        <f t="shared" si="2833"/>
      </c>
      <c r="O1456" s="31">
        <f t="shared" si="2833"/>
      </c>
      <c r="P1456" s="31">
        <f t="shared" si="2833"/>
      </c>
      <c r="Q1456" s="31">
        <f t="shared" si="2833"/>
      </c>
      <c r="R1456" s="31">
        <f t="shared" si="2833"/>
      </c>
      <c r="S1456" s="31">
        <f t="shared" si="2833"/>
      </c>
      <c r="T1456" s="31">
        <f t="shared" si="2833"/>
      </c>
      <c r="U1456" s="31">
        <f t="shared" si="2833"/>
      </c>
      <c r="V1456" s="31">
        <f t="shared" si="2833"/>
      </c>
      <c r="W1456" s="31">
        <f t="shared" si="2833"/>
      </c>
      <c r="X1456" s="313">
        <f t="shared" si="2833"/>
      </c>
      <c r="Y1456" s="31">
        <f t="shared" si="2833"/>
      </c>
      <c r="Z1456" s="31">
        <f t="shared" si="2833"/>
      </c>
      <c r="AA1456" s="31">
        <f t="shared" si="2833"/>
      </c>
      <c r="AB1456" s="31">
        <f t="shared" si="2833"/>
      </c>
      <c r="AC1456" s="313">
        <f t="shared" si="2833"/>
      </c>
      <c r="AD1456" s="31">
        <f t="shared" si="2833"/>
      </c>
      <c r="AE1456" s="31">
        <f t="shared" si="2833"/>
      </c>
      <c r="AF1456" s="31">
        <f t="shared" si="2833"/>
      </c>
      <c r="AG1456" s="31">
        <f t="shared" si="2833"/>
      </c>
      <c r="AH1456" s="313">
        <f t="shared" si="2833"/>
      </c>
      <c r="AI1456" s="28">
        <f t="shared" si="2833"/>
      </c>
      <c r="AJ1456" s="28">
        <f t="shared" si="2833"/>
      </c>
      <c r="AK1456" s="28">
        <f t="shared" si="2833"/>
      </c>
      <c r="AL1456" s="31">
        <f t="shared" si="2833"/>
      </c>
      <c r="AM1456" s="313">
        <f t="shared" si="2833"/>
      </c>
      <c r="AN1456" s="28">
        <f t="shared" si="2833"/>
      </c>
      <c r="AO1456" s="28">
        <f t="shared" si="2833"/>
      </c>
      <c r="AP1456" s="28">
        <f t="shared" si="2833"/>
      </c>
      <c r="AQ1456" s="28">
        <f t="shared" si="2833"/>
      </c>
      <c r="AR1456" s="313">
        <f t="shared" si="2833"/>
      </c>
      <c r="AS1456" s="28">
        <f t="shared" si="2833"/>
      </c>
      <c r="AT1456" s="28">
        <f t="shared" si="2833"/>
      </c>
      <c r="AU1456" s="28">
        <f t="shared" si="2833"/>
      </c>
      <c r="AV1456" s="28">
        <f t="shared" si="2833"/>
      </c>
      <c r="AW1456" s="313">
        <f>+AW1454+AW1455</f>
      </c>
      <c r="AX1456" s="28">
        <f t="shared" ref="AX1456:BF1456" si="2834">+AX1454+AX1455</f>
      </c>
      <c r="AY1456" s="28">
        <f t="shared" si="2834"/>
      </c>
      <c r="AZ1456" s="28">
        <f t="shared" si="2834"/>
      </c>
      <c r="BA1456" s="28">
        <f t="shared" si="2834"/>
      </c>
      <c r="BB1456" s="313">
        <f t="shared" si="2834"/>
      </c>
      <c r="BC1456" s="28">
        <f t="shared" si="2834"/>
      </c>
      <c r="BD1456" s="28">
        <f t="shared" si="2834"/>
      </c>
      <c r="BE1456" s="28">
        <f t="shared" si="2834"/>
      </c>
      <c r="BF1456" s="28">
        <f t="shared" si="2834"/>
      </c>
      <c r="BG1456" s="313">
        <f t="shared" ref="BG1456:BT1456" si="2835">+BG1454+BG1455</f>
      </c>
      <c r="BH1456" s="28">
        <f t="shared" si="2835"/>
      </c>
      <c r="BI1456" s="28">
        <f t="shared" si="2835"/>
      </c>
      <c r="BJ1456" s="28">
        <f t="shared" si="2835"/>
      </c>
      <c r="BK1456" s="28">
        <f t="shared" si="2835"/>
      </c>
      <c r="BL1456" s="313">
        <f t="shared" si="2835"/>
      </c>
      <c r="BM1456" s="28">
        <f>+BM1454+BM1455</f>
      </c>
      <c r="BN1456" s="28">
        <f>+BN1454+BN1455</f>
      </c>
      <c r="BO1456" s="28">
        <f>+BO1454+BO1455</f>
      </c>
      <c r="BP1456" s="28">
        <f>+BP1454+BP1455</f>
      </c>
      <c r="BQ1456" s="313">
        <f>+BQ1454+BQ1455</f>
      </c>
      <c r="BR1456" s="28">
        <f t="shared" si="2835"/>
      </c>
      <c r="BS1456" s="28">
        <f>+BS1454+BS1455</f>
      </c>
      <c r="BT1456" s="28">
        <f t="shared" si="2835"/>
      </c>
      <c r="BU1456" s="28">
        <f t="shared" ref="BU1456:BZ1456" si="2836">+BU1454+BU1455</f>
      </c>
      <c r="BV1456" s="313">
        <f t="shared" si="2836"/>
      </c>
      <c r="BW1456" s="28">
        <f t="shared" si="2836"/>
      </c>
      <c r="BX1456" s="28">
        <f t="shared" si="2836"/>
      </c>
      <c r="BY1456" s="28">
        <f t="shared" si="2836"/>
      </c>
      <c r="BZ1456" s="28">
        <f t="shared" si="2836"/>
      </c>
      <c r="CA1456" s="312">
        <f>SUM(BW1456:BZ1456)</f>
      </c>
      <c r="CB1456" s="28">
        <f>+CB1454+CB1455</f>
      </c>
      <c r="CC1456" s="28">
        <f>+CC1454+CC1455</f>
      </c>
      <c r="CD1456" s="28">
        <f>+CD1454+CD1455</f>
      </c>
      <c r="CE1456" s="28">
        <f>+CE1454+CE1455</f>
      </c>
      <c r="CF1456" s="312">
        <f>SUM(CB1456:CE1456)</f>
      </c>
      <c r="CG1456" s="28">
        <f>+CG1454+CG1455</f>
      </c>
      <c r="CH1456" s="28">
        <f>+CH1454+CH1455</f>
      </c>
      <c r="CI1456" s="28">
        <f>+CI1454+CI1455</f>
      </c>
      <c r="CJ1456" s="28">
        <f>+CJ1454+CJ1455</f>
      </c>
      <c r="CK1456" s="312">
        <f>SUM(CG1456:CJ1456)</f>
      </c>
      <c r="CL1456" s="28">
        <f>+CL1454+CL1455</f>
      </c>
      <c r="CM1456" s="28">
        <f>+CM1454+CM1455</f>
      </c>
      <c r="CN1456" s="28">
        <f>+CN1454+CN1455</f>
      </c>
      <c r="CO1456" s="28">
        <f>+CO1454+CO1455</f>
      </c>
      <c r="CP1456" s="312">
        <f>SUM(CL1456:CO1456)</f>
      </c>
      <c r="CQ1456" s="933">
        <f>+CQ1454+CQ1455</f>
      </c>
      <c r="CR1456" s="933">
        <f>+CR1454+CR1455</f>
      </c>
      <c r="CS1456" s="933">
        <f>+CS1454+CS1455</f>
      </c>
      <c r="CT1456" s="933">
        <f>+CT1454+CT1455</f>
      </c>
      <c r="CU1456" s="312">
        <f>SUM(CQ1456:CT1456)</f>
      </c>
      <c r="CV1456" s="933">
        <f>+CV1454+CV1455</f>
      </c>
      <c r="CW1456" s="933">
        <f>+CW1454+CW1455</f>
      </c>
      <c r="CX1456" s="933">
        <f>+CX1454+CX1455</f>
      </c>
      <c r="CY1456" s="933">
        <f>+CY1454+CY1455</f>
      </c>
      <c r="CZ1456" s="312">
        <f>SUM(CV1456:CY1456)</f>
      </c>
      <c r="DA1456" s="933">
        <f>+DA1454+DA1455</f>
      </c>
      <c r="DB1456" s="933">
        <f>SUM(DB1454:DB1455)</f>
      </c>
      <c r="DC1456" s="31">
        <f>SUM(DC1454:DC1455)</f>
      </c>
      <c r="DD1456" s="984">
        <f>+DD1454+DD1455</f>
      </c>
      <c r="DE1456" s="1835">
        <f>SUM(DA1456:DD1456)</f>
      </c>
      <c r="DF1456" s="1542">
        <f>SUM(DF1454:DF1455)</f>
      </c>
      <c r="DG1456" s="1542">
        <f>SUM(DG1454:DG1455)</f>
      </c>
      <c r="DH1456" s="1542">
        <f>SUM(DH1454:DH1455)</f>
      </c>
      <c r="DI1456" s="1556">
        <f>+DI1454+DI1455</f>
      </c>
      <c r="DJ1456" s="1835">
        <f>SUM(DF1456:DI1456)</f>
      </c>
      <c r="DK1456" s="1542">
        <f>SUM(DK1454:DK1455)</f>
      </c>
      <c r="DL1456" s="1542">
        <f>SUM(DL1454:DL1455)</f>
      </c>
      <c r="DM1456" s="1542">
        <f>SUM(DM1454:DM1455)</f>
      </c>
      <c r="DN1456" s="1542">
        <f>SUM(DN1454:DN1455)</f>
      </c>
      <c r="DO1456" s="1835">
        <f>+DO1454+DO1455</f>
      </c>
      <c r="DP1456" s="1542">
        <f>SUM(DP1454:DP1455)</f>
      </c>
      <c r="DQ1456" s="1542">
        <f>SUM(DQ1454:DQ1455)</f>
      </c>
      <c r="DR1456" s="1542">
        <f>SUM(DR1454:DR1455)</f>
      </c>
      <c r="DS1456" s="1556">
        <f>SUM(DS1454:DS1455)</f>
      </c>
      <c r="DT1456" s="1835">
        <f>+DT1454+DT1455</f>
      </c>
      <c r="DU1456" s="1542">
        <f>SUM(DU1454:DU1455)</f>
      </c>
      <c r="DV1456" s="1542">
        <f>SUM(DV1454:DV1455)</f>
      </c>
      <c r="DW1456" s="1542"/>
      <c r="DX1456" s="1556"/>
      <c r="DY1456" s="1835"/>
      <c r="DZ1456" s="1542"/>
      <c r="EA1456" s="1542"/>
      <c r="EB1456" s="1542"/>
      <c r="EC1456" s="1556"/>
      <c r="ED1456" s="1835"/>
      <c r="EE1456" s="1877"/>
      <c r="EF1456" s="1542"/>
      <c r="EG1456" s="1542"/>
      <c r="EH1456" s="1556"/>
      <c r="EI1456" s="1835"/>
      <c r="EJ1456" s="1835"/>
      <c r="EK1456" s="1835"/>
      <c r="EL1456" s="477"/>
      <c r="EM1456" s="477"/>
      <c r="EN1456" s="477"/>
      <c r="EO1456" s="1798"/>
      <c r="EP1456" s="477"/>
      <c r="EQ1456" s="477"/>
      <c r="ER1456" s="477"/>
      <c r="ES1456" s="477"/>
      <c r="ET1456" s="477"/>
      <c r="EU1456" s="477"/>
      <c r="EV1456" s="477"/>
      <c r="EW1456" s="477"/>
      <c r="EX1456" s="477"/>
    </row>
    <row r="1457" spans="2:154" hidden="1" outlineLevel="1">
      <c r="B1457" s="345"/>
      <c r="C1457" s="1989"/>
      <c r="D1457" s="28"/>
      <c r="E1457" s="28"/>
      <c r="F1457" s="28"/>
      <c r="G1457" s="28"/>
      <c r="H1457" s="28"/>
      <c r="I1457" s="31"/>
      <c r="J1457" s="28"/>
      <c r="K1457" s="28"/>
      <c r="L1457" s="28"/>
      <c r="M1457" s="28"/>
      <c r="N1457" s="31"/>
      <c r="O1457" s="31"/>
      <c r="P1457" s="31"/>
      <c r="Q1457" s="31"/>
      <c r="R1457" s="31"/>
      <c r="S1457" s="31"/>
      <c r="T1457" s="31"/>
      <c r="U1457" s="31"/>
      <c r="V1457" s="31"/>
      <c r="W1457" s="31"/>
      <c r="X1457" s="313"/>
      <c r="Y1457" s="31"/>
      <c r="Z1457" s="31"/>
      <c r="AA1457" s="31"/>
      <c r="AB1457" s="31"/>
      <c r="AC1457" s="313"/>
      <c r="AD1457" s="31"/>
      <c r="AE1457" s="31"/>
      <c r="AF1457" s="31"/>
      <c r="AG1457" s="31"/>
      <c r="AH1457" s="313"/>
      <c r="AI1457" s="28"/>
      <c r="AJ1457" s="28"/>
      <c r="AK1457" s="28"/>
      <c r="AL1457" s="31"/>
      <c r="AM1457" s="313"/>
      <c r="AN1457" s="28"/>
      <c r="AO1457" s="28"/>
      <c r="AP1457" s="28"/>
      <c r="AQ1457" s="31"/>
      <c r="AR1457" s="313"/>
      <c r="AS1457" s="28"/>
      <c r="AT1457" s="28"/>
      <c r="AU1457" s="28"/>
      <c r="AV1457" s="31"/>
      <c r="AW1457" s="313"/>
      <c r="AX1457" s="28"/>
      <c r="AY1457" s="28"/>
      <c r="AZ1457" s="28"/>
      <c r="BA1457" s="28"/>
      <c r="BB1457" s="313"/>
      <c r="BC1457" s="28"/>
      <c r="BD1457" s="28"/>
      <c r="BE1457" s="28"/>
      <c r="BF1457" s="28"/>
      <c r="BG1457" s="313"/>
      <c r="BH1457" s="28"/>
      <c r="BI1457" s="28"/>
      <c r="BJ1457" s="28"/>
      <c r="BK1457" s="28"/>
      <c r="BL1457" s="313"/>
      <c r="BM1457" s="277"/>
      <c r="BN1457" s="277"/>
      <c r="BO1457" s="277"/>
      <c r="BP1457" s="277"/>
      <c r="BQ1457" s="322"/>
      <c r="BR1457" s="277"/>
      <c r="BS1457" s="277"/>
      <c r="BT1457" s="277"/>
      <c r="BU1457" s="277"/>
      <c r="BV1457" s="322"/>
      <c r="BW1457" s="277"/>
      <c r="BX1457" s="277"/>
      <c r="BY1457" s="277"/>
      <c r="BZ1457" s="277"/>
      <c r="CA1457" s="312"/>
      <c r="CB1457" s="277"/>
      <c r="CC1457" s="277"/>
      <c r="CD1457" s="277"/>
      <c r="CE1457" s="277"/>
      <c r="CF1457" s="322"/>
      <c r="CG1457" s="277"/>
      <c r="CH1457" s="277"/>
      <c r="CI1457" s="277"/>
      <c r="CJ1457" s="277"/>
      <c r="CK1457" s="322"/>
      <c r="CL1457" s="277"/>
      <c r="CM1457" s="277"/>
      <c r="CN1457" s="277"/>
      <c r="CO1457" s="277"/>
      <c r="CP1457" s="322"/>
      <c r="CQ1457" s="277"/>
      <c r="CR1457" s="277"/>
      <c r="CS1457" s="277"/>
      <c r="CT1457" s="277"/>
      <c r="CU1457" s="322"/>
      <c r="CV1457" s="277"/>
      <c r="CW1457" s="277"/>
      <c r="CX1457" s="277"/>
      <c r="CY1457" s="277"/>
      <c r="CZ1457" s="322"/>
      <c r="DA1457" s="277"/>
      <c r="DB1457" s="31"/>
      <c r="DC1457" s="31"/>
      <c r="DD1457" s="955"/>
      <c r="DE1457" s="2498"/>
      <c r="DF1457" s="1880"/>
      <c r="DG1457" s="1542"/>
      <c r="DH1457" s="1542"/>
      <c r="DI1457" s="1556"/>
      <c r="DJ1457" s="2498"/>
      <c r="DK1457" s="1880"/>
      <c r="DL1457" s="1542"/>
      <c r="DM1457" s="1542"/>
      <c r="DN1457" s="1556"/>
      <c r="DO1457" s="2498"/>
      <c r="DP1457" s="1542"/>
      <c r="DQ1457" s="1542"/>
      <c r="DR1457" s="1542"/>
      <c r="DS1457" s="1556"/>
      <c r="DT1457" s="2498"/>
      <c r="DU1457" s="1542"/>
      <c r="DV1457" s="1542"/>
      <c r="DW1457" s="1542"/>
      <c r="DX1457" s="1556"/>
      <c r="DY1457" s="2498"/>
      <c r="DZ1457" s="1542"/>
      <c r="EA1457" s="1542"/>
      <c r="EB1457" s="1542"/>
      <c r="EC1457" s="1556"/>
      <c r="ED1457" s="2498"/>
      <c r="EE1457" s="3553"/>
      <c r="EF1457" s="1880"/>
      <c r="EG1457" s="1880"/>
      <c r="EH1457" s="1556"/>
      <c r="EI1457" s="2498"/>
      <c r="EJ1457" s="2498"/>
      <c r="EK1457" s="2498"/>
      <c r="EL1457" s="1953"/>
      <c r="EM1457" s="1953"/>
      <c r="EN1457" s="1953"/>
      <c r="EO1457" s="2261"/>
      <c r="EP1457" s="1953"/>
      <c r="EQ1457" s="1953"/>
      <c r="ER1457" s="1953"/>
      <c r="ES1457" s="1953"/>
      <c r="ET1457" s="1953"/>
      <c r="EU1457" s="1953"/>
      <c r="EV1457" s="1953"/>
      <c r="EW1457" s="1953"/>
      <c r="EX1457" s="1953"/>
    </row>
    <row r="1458" spans="2:154" hidden="1" outlineLevel="1">
      <c r="B1458" s="343" t="s">
        <v>371</v>
      </c>
      <c r="C1458" s="1989"/>
      <c r="D1458" s="28"/>
      <c r="E1458" s="28"/>
      <c r="F1458" s="28"/>
      <c r="G1458" s="28"/>
      <c r="H1458" s="28"/>
      <c r="I1458" s="31"/>
      <c r="J1458" s="28"/>
      <c r="K1458" s="28"/>
      <c r="L1458" s="28"/>
      <c r="M1458" s="28"/>
      <c r="N1458" s="31"/>
      <c r="O1458" s="31"/>
      <c r="P1458" s="31"/>
      <c r="Q1458" s="31"/>
      <c r="R1458" s="31"/>
      <c r="S1458" s="31"/>
      <c r="T1458" s="31"/>
      <c r="U1458" s="31"/>
      <c r="V1458" s="31"/>
      <c r="W1458" s="31"/>
      <c r="X1458" s="313"/>
      <c r="Y1458" s="31"/>
      <c r="Z1458" s="31"/>
      <c r="AA1458" s="31"/>
      <c r="AB1458" s="31"/>
      <c r="AC1458" s="313"/>
      <c r="AD1458" s="31"/>
      <c r="AE1458" s="31"/>
      <c r="AF1458" s="31"/>
      <c r="AG1458" s="31"/>
      <c r="AH1458" s="313"/>
      <c r="AI1458" s="28"/>
      <c r="AJ1458" s="28"/>
      <c r="AK1458" s="28"/>
      <c r="AL1458" s="31"/>
      <c r="AM1458" s="313"/>
      <c r="AN1458" s="28"/>
      <c r="AO1458" s="28"/>
      <c r="AP1458" s="28"/>
      <c r="AQ1458" s="28"/>
      <c r="AR1458" s="313"/>
      <c r="AS1458" s="28"/>
      <c r="AT1458" s="28"/>
      <c r="AU1458" s="28"/>
      <c r="AV1458" s="28"/>
      <c r="AW1458" s="313"/>
      <c r="AX1458" s="28"/>
      <c r="AY1458" s="28"/>
      <c r="AZ1458" s="28"/>
      <c r="BA1458" s="28"/>
      <c r="BB1458" s="313"/>
      <c r="BC1458" s="28"/>
      <c r="BD1458" s="28"/>
      <c r="BE1458" s="28"/>
      <c r="BF1458" s="28"/>
      <c r="BG1458" s="313"/>
      <c r="BH1458" s="28"/>
      <c r="BI1458" s="28"/>
      <c r="BJ1458" s="28"/>
      <c r="BK1458" s="28"/>
      <c r="BL1458" s="313"/>
      <c r="BM1458" s="28"/>
      <c r="BN1458" s="28"/>
      <c r="BO1458" s="28"/>
      <c r="BP1458" s="28"/>
      <c r="BQ1458" s="313"/>
      <c r="BR1458" s="28"/>
      <c r="BS1458" s="28"/>
      <c r="BT1458" s="28"/>
      <c r="BU1458" s="28"/>
      <c r="BV1458" s="313"/>
      <c r="BW1458" s="28"/>
      <c r="BX1458" s="28"/>
      <c r="BY1458" s="28"/>
      <c r="BZ1458" s="28"/>
      <c r="CA1458" s="312"/>
      <c r="CB1458" s="28"/>
      <c r="CC1458" s="28"/>
      <c r="CD1458" s="28"/>
      <c r="CE1458" s="28"/>
      <c r="CF1458" s="313"/>
      <c r="CG1458" s="28"/>
      <c r="CH1458" s="28"/>
      <c r="CI1458" s="28"/>
      <c r="CJ1458" s="28"/>
      <c r="CK1458" s="313"/>
      <c r="CL1458" s="28"/>
      <c r="CM1458" s="28"/>
      <c r="CN1458" s="28"/>
      <c r="CO1458" s="28"/>
      <c r="CP1458" s="313"/>
      <c r="CQ1458" s="933"/>
      <c r="CR1458" s="933"/>
      <c r="CS1458" s="933"/>
      <c r="CT1458" s="933"/>
      <c r="CU1458" s="313"/>
      <c r="CV1458" s="933"/>
      <c r="CW1458" s="933"/>
      <c r="CX1458" s="933"/>
      <c r="CY1458" s="933"/>
      <c r="CZ1458" s="313"/>
      <c r="DA1458" s="933"/>
      <c r="DB1458" s="31"/>
      <c r="DC1458" s="31"/>
      <c r="DD1458" s="955"/>
      <c r="DE1458" s="477"/>
      <c r="DF1458" s="982"/>
      <c r="DG1458" s="603"/>
      <c r="DH1458" s="603"/>
      <c r="DI1458" s="1798"/>
      <c r="DJ1458" s="477"/>
      <c r="DK1458" s="982"/>
      <c r="DL1458" s="603"/>
      <c r="DM1458" s="603"/>
      <c r="DN1458" s="1798"/>
      <c r="DO1458" s="477"/>
      <c r="DP1458" s="603"/>
      <c r="DQ1458" s="603"/>
      <c r="DR1458" s="603"/>
      <c r="DS1458" s="1798"/>
      <c r="DT1458" s="477"/>
      <c r="DU1458" s="603"/>
      <c r="DV1458" s="603"/>
      <c r="DW1458" s="603"/>
      <c r="DX1458" s="1798"/>
      <c r="DY1458" s="477"/>
      <c r="DZ1458" s="603"/>
      <c r="EA1458" s="603"/>
      <c r="EB1458" s="603"/>
      <c r="EC1458" s="1798"/>
      <c r="ED1458" s="477"/>
      <c r="EE1458" s="1799"/>
      <c r="EF1458" s="603"/>
      <c r="EG1458" s="603"/>
      <c r="EH1458" s="1798"/>
      <c r="EI1458" s="477"/>
      <c r="EJ1458" s="477"/>
      <c r="EK1458" s="477"/>
      <c r="EL1458" s="477"/>
      <c r="EM1458" s="477"/>
      <c r="EN1458" s="477"/>
      <c r="EO1458" s="1798"/>
      <c r="EP1458" s="477"/>
      <c r="EQ1458" s="477"/>
      <c r="ER1458" s="477"/>
      <c r="ES1458" s="477"/>
      <c r="ET1458" s="477"/>
      <c r="EU1458" s="477"/>
      <c r="EV1458" s="477"/>
      <c r="EW1458" s="477"/>
      <c r="EX1458" s="477"/>
    </row>
    <row r="1459" spans="2:154" hidden="1" outlineLevel="1">
      <c r="B1459" s="510" t="s">
        <v>187</v>
      </c>
      <c r="C1459" s="1989"/>
      <c r="D1459" s="28"/>
      <c r="E1459" s="28"/>
      <c r="F1459" s="28"/>
      <c r="G1459" s="28"/>
      <c r="H1459" s="28"/>
      <c r="I1459" s="30">
        <f t="shared" ref="I1459:R1460" si="2837">IF(D1454="NM","NM",IF(I1454="NM","NM",IF(D1454&lt;=0,"NM",IF(I1454=0,"NM",IF(ABS(I1454/D1454-1)&gt;2.5,"NM",IF((ABS(I1454-D1454)=ABS(ABS(I1454)-ABS(D1454))),(I1454/D1454-1),"NM"))))))</f>
      </c>
      <c r="J1459" s="30">
        <f t="shared" si="2837"/>
      </c>
      <c r="K1459" s="30">
        <f t="shared" si="2837"/>
      </c>
      <c r="L1459" s="30">
        <f t="shared" si="2837"/>
      </c>
      <c r="M1459" s="30">
        <f t="shared" si="2837"/>
      </c>
      <c r="N1459" s="30">
        <f t="shared" si="2837"/>
      </c>
      <c r="O1459" s="30">
        <f t="shared" si="2837"/>
      </c>
      <c r="P1459" s="30">
        <f t="shared" si="2837"/>
      </c>
      <c r="Q1459" s="30">
        <f t="shared" si="2837"/>
      </c>
      <c r="R1459" s="30">
        <f t="shared" si="2837"/>
      </c>
      <c r="S1459" s="30">
        <f t="shared" ref="S1459:AB1460" si="2838">IF(N1454="NM","NM",IF(S1454="NM","NM",IF(N1454&lt;=0,"NM",IF(S1454=0,"NM",IF(ABS(S1454/N1454-1)&gt;2.5,"NM",IF((ABS(S1454-N1454)=ABS(ABS(S1454)-ABS(N1454))),(S1454/N1454-1),"NM"))))))</f>
      </c>
      <c r="T1459" s="30">
        <f t="shared" si="2838"/>
      </c>
      <c r="U1459" s="30">
        <f t="shared" si="2838"/>
      </c>
      <c r="V1459" s="30">
        <f t="shared" si="2838"/>
      </c>
      <c r="W1459" s="30">
        <f t="shared" si="2838"/>
      </c>
      <c r="X1459" s="308">
        <f t="shared" si="2838"/>
      </c>
      <c r="Y1459" s="30">
        <f t="shared" si="2838"/>
      </c>
      <c r="Z1459" s="30">
        <f t="shared" si="2838"/>
      </c>
      <c r="AA1459" s="30">
        <f t="shared" si="2838"/>
      </c>
      <c r="AB1459" s="30">
        <f t="shared" si="2838"/>
      </c>
      <c r="AC1459" s="308">
        <f t="shared" ref="AC1459:AL1460" si="2839">IF(X1454="NM","NM",IF(AC1454="NM","NM",IF(X1454&lt;=0,"NM",IF(AC1454=0,"NM",IF(ABS(AC1454/X1454-1)&gt;2.5,"NM",IF((ABS(AC1454-X1454)=ABS(ABS(AC1454)-ABS(X1454))),(AC1454/X1454-1),"NM"))))))</f>
      </c>
      <c r="AD1459" s="30">
        <f t="shared" si="2839"/>
      </c>
      <c r="AE1459" s="30">
        <f t="shared" si="2839"/>
      </c>
      <c r="AF1459" s="30">
        <f t="shared" si="2839"/>
      </c>
      <c r="AG1459" s="30">
        <f t="shared" si="2839"/>
      </c>
      <c r="AH1459" s="308">
        <f t="shared" si="2839"/>
      </c>
      <c r="AI1459" s="30">
        <f t="shared" si="2839"/>
      </c>
      <c r="AJ1459" s="30">
        <f t="shared" si="2839"/>
      </c>
      <c r="AK1459" s="30">
        <f t="shared" si="2839"/>
      </c>
      <c r="AL1459" s="30">
        <f t="shared" si="2839"/>
      </c>
      <c r="AM1459" s="308">
        <f t="shared" ref="AM1459:AV1460" si="2840">IF(AH1454="NM","NM",IF(AM1454="NM","NM",IF(AH1454&lt;=0,"NM",IF(AM1454=0,"NM",IF(ABS(AM1454/AH1454-1)&gt;2.5,"NM",IF((ABS(AM1454-AH1454)=ABS(ABS(AM1454)-ABS(AH1454))),(AM1454/AH1454-1),"NM"))))))</f>
      </c>
      <c r="AN1459" s="30">
        <f t="shared" si="2840"/>
      </c>
      <c r="AO1459" s="30">
        <f t="shared" si="2840"/>
      </c>
      <c r="AP1459" s="30">
        <f t="shared" si="2840"/>
      </c>
      <c r="AQ1459" s="30">
        <f t="shared" si="2840"/>
      </c>
      <c r="AR1459" s="308">
        <f t="shared" si="2840"/>
      </c>
      <c r="AS1459" s="30">
        <f t="shared" si="2840"/>
      </c>
      <c r="AT1459" s="30">
        <f t="shared" si="2840"/>
      </c>
      <c r="AU1459" s="30">
        <f t="shared" si="2840"/>
      </c>
      <c r="AV1459" s="30">
        <f t="shared" si="2840"/>
      </c>
      <c r="AW1459" s="308">
        <f t="shared" ref="AW1459:BO1460" si="2841">IF(AR1454="NM","NM",IF(AW1454="NM","NM",IF(AR1454&lt;=0,"NM",IF(AW1454=0,"NM",IF(ABS(AW1454/AR1454-1)&gt;2.5,"NM",IF((ABS(AW1454-AR1454)=ABS(ABS(AW1454)-ABS(AR1454))),(AW1454/AR1454-1),"NM"))))))</f>
      </c>
      <c r="AX1459" s="30">
        <f t="shared" si="2841"/>
      </c>
      <c r="AY1459" s="30">
        <f t="shared" si="2841"/>
      </c>
      <c r="AZ1459" s="30">
        <f t="shared" si="2841"/>
      </c>
      <c r="BA1459" s="30">
        <f t="shared" si="2841"/>
      </c>
      <c r="BB1459" s="308">
        <f t="shared" si="2841"/>
      </c>
      <c r="BC1459" s="30">
        <f t="shared" si="2841"/>
      </c>
      <c r="BD1459" s="30">
        <f t="shared" si="2841"/>
      </c>
      <c r="BE1459" s="30">
        <f t="shared" si="2841"/>
      </c>
      <c r="BF1459" s="30">
        <f t="shared" si="2841"/>
      </c>
      <c r="BG1459" s="308">
        <f>IF(BB1454="NM","NM",IF(BG1454="NM","NM",IF(BB1454&lt;=0,"NM",IF(BG1454=0,"NM",IF(ABS(BG1454/BB1454-1)&gt;2.5,"NM",IF((ABS(BG1454-BB1454)=ABS(ABS(BG1454)-ABS(BB1454))),(BG1454/BB1454-1),"NM"))))))</f>
      </c>
      <c r="BH1459" s="30">
        <f t="shared" si="2841"/>
      </c>
      <c r="BI1459" s="30">
        <f t="shared" si="2841"/>
      </c>
      <c r="BJ1459" s="30">
        <f t="shared" si="2841"/>
      </c>
      <c r="BK1459" s="30">
        <f t="shared" si="2841"/>
      </c>
      <c r="BL1459" s="308">
        <f>IF(BG1454="NM","NM",IF(BL1454="NM","NM",IF(BG1454&lt;=0,"NM",IF(BL1454=0,"NM",IF(ABS(BL1454/BG1454-1)&gt;2.5,"NM",IF((ABS(BL1454-BG1454)=ABS(ABS(BL1454)-ABS(BG1454))),(BL1454/BG1454-1),"NM"))))))</f>
      </c>
      <c r="BM1459" s="30">
        <f t="shared" si="2841"/>
      </c>
      <c r="BN1459" s="30">
        <f t="shared" si="2841"/>
      </c>
      <c r="BO1459" s="30">
        <f t="shared" si="2841"/>
      </c>
      <c r="BP1459" s="30">
        <f t="shared" ref="BP1459:BY1460" si="2842">IF(BK1454="NM","NM",IF(BP1454="NM","NM",IF(BK1454&lt;=0,"NM",IF(BP1454=0,"NM",IF(ABS(BP1454/BK1454-1)&gt;2.5,"NM",IF((ABS(BP1454-BK1454)=ABS(ABS(BP1454)-ABS(BK1454))),(BP1454/BK1454-1),"NM"))))))</f>
      </c>
      <c r="BQ1459" s="308">
        <f t="shared" si="2842"/>
      </c>
      <c r="BR1459" s="30">
        <f t="shared" si="2842"/>
      </c>
      <c r="BS1459" s="30">
        <f t="shared" si="2842"/>
      </c>
      <c r="BT1459" s="30">
        <f t="shared" si="2842"/>
      </c>
      <c r="BU1459" s="30">
        <f>IF(BP1454="NM","NM",IF(BU1454="NM","NM",IF(BP1454&lt;=0,"NM",IF(BU1454=0,"NM",IF(ABS(BU1454/BP1454-1)&gt;2.5,"NM",IF((ABS(BU1454-BP1454)=ABS(ABS(BU1454)-ABS(BP1454))),(BU1454/BP1454-1),"NM"))))))</f>
      </c>
      <c r="BV1459" s="308">
        <f t="shared" si="2842"/>
      </c>
      <c r="BW1459" s="30">
        <f t="shared" si="2842"/>
      </c>
      <c r="BX1459" s="30">
        <f t="shared" si="2842"/>
      </c>
      <c r="BY1459" s="30">
        <f t="shared" si="2842"/>
      </c>
      <c r="BZ1459" s="30">
        <f>IF(BU1454="NM","NM",IF(BZ1454="NM","NM",IF(BU1454&lt;=0,"NM",IF(BZ1454=0,"NM",IF(ABS(BZ1454/BU1454-1)&gt;2.5,"NM",IF((ABS(BZ1454-BU1454)=ABS(ABS(BZ1454)-ABS(BU1454))),(BZ1454/BU1454-1),"NM"))))))</f>
      </c>
      <c r="CA1459" s="315">
        <f>IF(BV1454="NM","NM",IF(CA1454="NM","NM",IF(BV1454&lt;=0,"NM",IF(CA1454=0,"NM",IF(ABS(CA1454/BV1454-1)&gt;2.5,"NM",IF((ABS(CA1454-BV1454)=ABS(ABS(CA1454)-ABS(BV1454))),(CA1454/BV1454-1),"NM"))))))</f>
      </c>
      <c r="CB1459" s="30">
        <f t="shared" ref="CB1459:CD1460" si="2843">IF(BW1454="NM","NM",IF(CB1454="NM","NM",IF(BW1454&lt;=0,"NM",IF(CB1454=0,"NM",IF(ABS(CB1454/BW1454-1)&gt;2.5,"NM",IF((ABS(CB1454-BW1454)=ABS(ABS(CB1454)-ABS(BW1454))),(CB1454/BW1454-1),"NM"))))))</f>
      </c>
      <c r="CC1459" s="30">
        <f t="shared" si="2843"/>
      </c>
      <c r="CD1459" s="30">
        <f t="shared" si="2843"/>
      </c>
      <c r="CE1459" s="30">
        <f>IF(BZ1454="NM","NM",IF(CE1454="NM","NM",IF(BZ1454&lt;=0,"NM",IF(CE1454=0,"NM",IF(ABS(CE1454/BZ1454-1)&gt;2.5,"NM",IF((ABS(CE1454-BZ1454)=ABS(ABS(CE1454)-ABS(BZ1454))),(CE1454/BZ1454-1),"NM"))))))</f>
      </c>
      <c r="CF1459" s="315">
        <f>IF(CA1454="NM","NM",IF(CF1454="NM","NM",IF(CA1454&lt;=0,"NM",IF(CF1454=0,"NM",IF(ABS(CF1454/CA1454-1)&gt;2.5,"NM",IF((ABS(CF1454-CA1454)=ABS(ABS(CF1454)-ABS(CA1454))),(CF1454/CA1454-1),"NM"))))))</f>
      </c>
      <c r="CG1459" s="30">
        <f t="shared" ref="CG1459:CX1460" si="2844">IF(CB1454="NM","NM",IF(CG1454="NM","NM",IF(CB1454&lt;=0,"NM",IF(CG1454=0,"NM",IF(ABS(CG1454/CB1454-1)&gt;2.5,"NM",IF((ABS(CG1454-CB1454)=ABS(ABS(CG1454)-ABS(CB1454))),(CG1454/CB1454-1),"NM"))))))</f>
      </c>
      <c r="CH1459" s="30">
        <f t="shared" si="2844"/>
      </c>
      <c r="CI1459" s="30">
        <f t="shared" si="2844"/>
      </c>
      <c r="CJ1459" s="30">
        <f t="shared" si="2844"/>
      </c>
      <c r="CK1459" s="308">
        <f>IF(CF1454=0, 0, CK1454/CF1454-1)</f>
      </c>
      <c r="CL1459" s="30">
        <f t="shared" si="2844"/>
      </c>
      <c r="CM1459" s="30">
        <f t="shared" si="2844"/>
      </c>
      <c r="CN1459" s="30">
        <f t="shared" si="2844"/>
      </c>
      <c r="CO1459" s="30">
        <f t="shared" si="2844"/>
      </c>
      <c r="CP1459" s="308">
        <f>IF(CK1454=0, 0, CP1454/CK1454-1)</f>
      </c>
      <c r="CQ1459" s="30">
        <f t="shared" si="2844"/>
      </c>
      <c r="CR1459" s="30">
        <f t="shared" si="2844"/>
      </c>
      <c r="CS1459" s="30">
        <f t="shared" si="2844"/>
      </c>
      <c r="CT1459" s="30">
        <f t="shared" si="2844"/>
      </c>
      <c r="CU1459" s="308">
        <f>IF(CP1454=0, 0, CU1454/CP1454-1)</f>
      </c>
      <c r="CV1459" s="30">
        <f t="shared" si="2844"/>
      </c>
      <c r="CW1459" s="30">
        <f t="shared" si="2844"/>
      </c>
      <c r="CX1459" s="30">
        <f t="shared" si="2844"/>
      </c>
      <c r="CY1459" s="30">
        <f>IF(CT1454="NM","NM",IF(CY1454="NM","NM",IF(CT1454&lt;=0,"NM",IF(CY1454=0,"NM",IF(ABS(CY1454/CT1454-1)&gt;2.5,"NM",IF((ABS(CY1454-CT1454)=ABS(ABS(CY1454)-ABS(CT1454))),(CY1454/CT1454-1),"NM"))))))</f>
      </c>
      <c r="CZ1459" s="308">
        <f>IF(CU1454=0, 0, CZ1454/CU1454-1)</f>
      </c>
      <c r="DA1459" s="30">
        <f t="shared" ref="DA1459:DD1460" si="2845">IF(CV1454="NM","NM",IF(DA1454="NM","NM",IF(CV1454&lt;=0,"NM",IF(DA1454=0,"NM",IF(ABS(DA1454/CV1454-1)&gt;2.5,"NM",IF((ABS(DA1454-CV1454)=ABS(ABS(DA1454)-ABS(CV1454))),(DA1454/CV1454-1),"NM"))))))</f>
      </c>
      <c r="DB1459" s="30">
        <f t="shared" si="2845"/>
      </c>
      <c r="DC1459" s="30">
        <f t="shared" si="2845"/>
      </c>
      <c r="DD1459" s="30">
        <f t="shared" si="2845"/>
      </c>
      <c r="DE1459" s="308">
        <f>IF(CZ1454=0, 0, DE1454/CZ1454-1)</f>
      </c>
      <c r="DF1459" s="926">
        <f t="shared" ref="DF1459:DI1460" si="2846">IF(DA1454="NM","NM",IF(DF1454="NM","NM",IF(DA1454&lt;=0,"NM",IF(DF1454=0,"NM",IF(ABS(DF1454/DA1454-1)&gt;2.5,"NM",IF((ABS(DF1454-DA1454)=ABS(ABS(DF1454)-ABS(DA1454))),(DF1454/DA1454-1),"NM"))))))</f>
      </c>
      <c r="DG1459" s="30">
        <f t="shared" si="2846"/>
      </c>
      <c r="DH1459" s="30">
        <f t="shared" si="2846"/>
      </c>
      <c r="DI1459" s="30">
        <f t="shared" si="2846"/>
      </c>
      <c r="DJ1459" s="308">
        <f>IF(DE1454=0, 0, DJ1454/DE1454-1)</f>
      </c>
      <c r="DK1459" s="926">
        <f t="shared" ref="DK1459:DM1460" si="2847">IF(DF1454="NM","NM",IF(DK1454="NM","NM",IF(DF1454&lt;=0,"NM",IF(DK1454=0,"NM",IF(ABS(DK1454/DF1454-1)&gt;2.5,"NM",IF((ABS(DK1454-DF1454)=ABS(ABS(DK1454)-ABS(DF1454))),(DK1454/DF1454-1),"NM"))))))</f>
      </c>
      <c r="DL1459" s="30">
        <f t="shared" si="2847"/>
      </c>
      <c r="DM1459" s="30">
        <f t="shared" si="2847"/>
      </c>
      <c r="DN1459" s="927">
        <f>IF(DN1454=0,"NM",+DN1454/DI1454-1)</f>
      </c>
      <c r="DO1459" s="308">
        <f>IF(DJ1454=0, 0, DO1454/DJ1454-1)</f>
      </c>
      <c r="DP1459" s="926">
        <f t="shared" ref="DP1459:DR1460" si="2848">IF(DK1454="NM","NM",IF(DP1454="NM","NM",IF(DK1454&lt;=0,"NM",IF(DP1454=0,"NM",IF(ABS(DP1454/DK1454-1)&gt;2.5,"NM",IF((ABS(DP1454-DK1454)=ABS(ABS(DP1454)-ABS(DK1454))),(DP1454/DK1454-1),"NM"))))))</f>
      </c>
      <c r="DQ1459" s="926">
        <f t="shared" si="2848"/>
      </c>
      <c r="DR1459" s="926">
        <f t="shared" si="2848"/>
      </c>
      <c r="DS1459" s="928">
        <f>IF(DS1454=0,"NM",+DS1454/DN1454-1)</f>
      </c>
      <c r="DT1459" s="308">
        <f>IF(DO1454=0, 0, DT1454/DO1454-1)</f>
      </c>
      <c r="DU1459" s="926">
        <f>IF(DP1454="NM","NM",IF(DU1454="NM","NM",IF(DP1454&lt;=0,"NM",IF(DU1454=0,"NM",IF(ABS(DU1454/DP1454-1)&gt;2.5,"NM",IF((ABS(DU1454-DP1454)=ABS(ABS(DU1454)-ABS(DP1454))),(DU1454/DP1454-1),"NM"))))))</f>
      </c>
      <c r="DV1459" s="926">
        <f>IF(DQ1454="NM","NM",IF(DV1454="NM","NM",IF(DQ1454&lt;=0,"NM",IF(DV1454=0,"NM",IF(ABS(DV1454/DQ1454-1)&gt;2.5,"NM",IF((ABS(DV1454-DQ1454)=ABS(ABS(DV1454)-ABS(DQ1454))),(DV1454/DQ1454-1),"NM"))))))</f>
      </c>
      <c r="DW1459" s="1741"/>
      <c r="DX1459" s="928"/>
      <c r="DY1459" s="317"/>
      <c r="DZ1459" s="1741"/>
      <c r="EA1459" s="1741"/>
      <c r="EB1459" s="1741"/>
      <c r="EC1459" s="928"/>
      <c r="ED1459" s="2773"/>
      <c r="EE1459" s="1955"/>
      <c r="EF1459" s="1955"/>
      <c r="EG1459" s="1955"/>
      <c r="EH1459" s="928"/>
      <c r="EI1459" s="2774"/>
      <c r="EJ1459" s="2774"/>
      <c r="EK1459" s="2774"/>
      <c r="EL1459" s="317"/>
      <c r="EM1459" s="317"/>
      <c r="EN1459" s="317"/>
      <c r="EO1459" s="836"/>
      <c r="EP1459" s="317"/>
      <c r="EQ1459" s="317"/>
      <c r="ER1459" s="317"/>
      <c r="ES1459" s="317"/>
      <c r="ET1459" s="317"/>
      <c r="EU1459" s="317"/>
      <c r="EV1459" s="317"/>
      <c r="EW1459" s="317"/>
      <c r="EX1459" s="317"/>
    </row>
    <row r="1460" spans="2:154" hidden="1" outlineLevel="1">
      <c r="B1460" s="510" t="s">
        <v>412</v>
      </c>
      <c r="C1460" s="1989"/>
      <c r="D1460" s="28"/>
      <c r="E1460" s="28"/>
      <c r="F1460" s="28"/>
      <c r="G1460" s="28"/>
      <c r="H1460" s="28"/>
      <c r="I1460" s="30">
        <f t="shared" si="2837"/>
      </c>
      <c r="J1460" s="30">
        <f t="shared" si="2837"/>
      </c>
      <c r="K1460" s="30">
        <f t="shared" si="2837"/>
      </c>
      <c r="L1460" s="30">
        <f t="shared" si="2837"/>
      </c>
      <c r="M1460" s="30">
        <f t="shared" si="2837"/>
      </c>
      <c r="N1460" s="30">
        <f t="shared" si="2837"/>
      </c>
      <c r="O1460" s="30">
        <f t="shared" si="2837"/>
      </c>
      <c r="P1460" s="30">
        <f t="shared" si="2837"/>
      </c>
      <c r="Q1460" s="30">
        <f t="shared" si="2837"/>
      </c>
      <c r="R1460" s="30">
        <f t="shared" si="2837"/>
      </c>
      <c r="S1460" s="30">
        <f t="shared" si="2838"/>
      </c>
      <c r="T1460" s="30">
        <f t="shared" si="2838"/>
      </c>
      <c r="U1460" s="30">
        <f t="shared" si="2838"/>
      </c>
      <c r="V1460" s="30">
        <f t="shared" si="2838"/>
      </c>
      <c r="W1460" s="30">
        <f t="shared" si="2838"/>
      </c>
      <c r="X1460" s="308">
        <f t="shared" si="2838"/>
      </c>
      <c r="Y1460" s="30">
        <f t="shared" si="2838"/>
      </c>
      <c r="Z1460" s="30">
        <f t="shared" si="2838"/>
      </c>
      <c r="AA1460" s="30">
        <f t="shared" si="2838"/>
      </c>
      <c r="AB1460" s="30">
        <f t="shared" si="2838"/>
      </c>
      <c r="AC1460" s="308">
        <f t="shared" si="2839"/>
      </c>
      <c r="AD1460" s="30">
        <f t="shared" si="2839"/>
      </c>
      <c r="AE1460" s="30">
        <f t="shared" si="2839"/>
      </c>
      <c r="AF1460" s="30">
        <f t="shared" si="2839"/>
      </c>
      <c r="AG1460" s="30">
        <f t="shared" si="2839"/>
      </c>
      <c r="AH1460" s="308">
        <f t="shared" si="2839"/>
      </c>
      <c r="AI1460" s="30">
        <f t="shared" si="2839"/>
      </c>
      <c r="AJ1460" s="30">
        <f t="shared" si="2839"/>
      </c>
      <c r="AK1460" s="30">
        <f t="shared" si="2839"/>
      </c>
      <c r="AL1460" s="30">
        <f t="shared" si="2839"/>
      </c>
      <c r="AM1460" s="308">
        <f t="shared" si="2840"/>
      </c>
      <c r="AN1460" s="30">
        <f t="shared" si="2840"/>
      </c>
      <c r="AO1460" s="30">
        <f t="shared" si="2840"/>
      </c>
      <c r="AP1460" s="30">
        <f t="shared" si="2840"/>
      </c>
      <c r="AQ1460" s="30">
        <f t="shared" si="2840"/>
      </c>
      <c r="AR1460" s="308">
        <f t="shared" si="2840"/>
      </c>
      <c r="AS1460" s="30">
        <f t="shared" si="2840"/>
      </c>
      <c r="AT1460" s="30">
        <f t="shared" si="2840"/>
      </c>
      <c r="AU1460" s="30">
        <f t="shared" si="2840"/>
      </c>
      <c r="AV1460" s="30">
        <f t="shared" si="2840"/>
      </c>
      <c r="AW1460" s="308">
        <f t="shared" si="2841"/>
      </c>
      <c r="AX1460" s="30">
        <f t="shared" si="2841"/>
      </c>
      <c r="AY1460" s="30">
        <f t="shared" si="2841"/>
      </c>
      <c r="AZ1460" s="30">
        <f t="shared" si="2841"/>
      </c>
      <c r="BA1460" s="30">
        <f t="shared" si="2841"/>
      </c>
      <c r="BB1460" s="308">
        <f t="shared" si="2841"/>
      </c>
      <c r="BC1460" s="30">
        <f t="shared" si="2841"/>
      </c>
      <c r="BD1460" s="30">
        <f t="shared" si="2841"/>
      </c>
      <c r="BE1460" s="30">
        <f t="shared" si="2841"/>
      </c>
      <c r="BF1460" s="30">
        <f t="shared" si="2841"/>
      </c>
      <c r="BG1460" s="308">
        <f>IF(BB1455="NM","NM",IF(BG1455="NM","NM",IF(BB1455&lt;=0,"NM",IF(BG1455=0,"NM",IF(ABS(BG1455/BB1455-1)&gt;2.5,"NM",IF((ABS(BG1455-BB1455)=ABS(ABS(BG1455)-ABS(BB1455))),(BG1455/BB1455-1),"NM"))))))</f>
      </c>
      <c r="BH1460" s="30">
        <f t="shared" si="2841"/>
      </c>
      <c r="BI1460" s="30">
        <f t="shared" si="2841"/>
      </c>
      <c r="BJ1460" s="30">
        <f t="shared" si="2841"/>
      </c>
      <c r="BK1460" s="30">
        <f t="shared" si="2841"/>
      </c>
      <c r="BL1460" s="308">
        <f>IF(BG1455="NM","NM",IF(BL1455="NM","NM",IF(BG1455&lt;=0,"NM",IF(BL1455=0,"NM",IF(ABS(BL1455/BG1455-1)&gt;2.5,"NM",IF((ABS(BL1455-BG1455)=ABS(ABS(BL1455)-ABS(BG1455))),(BL1455/BG1455-1),"NM"))))))</f>
      </c>
      <c r="BM1460" s="30">
        <f t="shared" si="2841"/>
      </c>
      <c r="BN1460" s="30">
        <f t="shared" si="2841"/>
      </c>
      <c r="BO1460" s="30">
        <f t="shared" si="2841"/>
      </c>
      <c r="BP1460" s="30">
        <f t="shared" si="2842"/>
      </c>
      <c r="BQ1460" s="308">
        <f t="shared" si="2842"/>
      </c>
      <c r="BR1460" s="30">
        <f t="shared" si="2842"/>
      </c>
      <c r="BS1460" s="30">
        <f t="shared" si="2842"/>
      </c>
      <c r="BT1460" s="30">
        <f t="shared" si="2842"/>
      </c>
      <c r="BU1460" s="30">
        <f>IF(BP1455="NM","NM",IF(BU1455="NM","NM",IF(BP1455&lt;=0,"NM",IF(BU1455=0,"NM",IF(ABS(BU1455/BP1455-1)&gt;2.5,"NM",IF((ABS(BU1455-BP1455)=ABS(ABS(BU1455)-ABS(BP1455))),(BU1455/BP1455-1),"NM"))))))</f>
      </c>
      <c r="BV1460" s="308">
        <f t="shared" si="2842"/>
      </c>
      <c r="BW1460" s="30">
        <f t="shared" si="2842"/>
      </c>
      <c r="BX1460" s="30">
        <f t="shared" si="2842"/>
      </c>
      <c r="BY1460" s="30">
        <f t="shared" si="2842"/>
      </c>
      <c r="BZ1460" s="30">
        <f>IF(BU1455="NM","NM",IF(BZ1455="NM","NM",IF(BU1455&lt;=0,"NM",IF(BZ1455=0,"NM",IF(ABS(BZ1455/BU1455-1)&gt;2.5,"NM",IF((ABS(BZ1455-BU1455)=ABS(ABS(BZ1455)-ABS(BU1455))),(BZ1455/BU1455-1),"NM"))))))</f>
      </c>
      <c r="CA1460" s="308">
        <f>IF(BV1455="NM","NM",IF(CA1455="NM","NM",IF(BV1455&lt;=0,"NM",IF(CA1455=0,"NM",IF(ABS(CA1455/BV1455-1)&gt;2.5,"NM",IF((ABS(CA1455-BV1455)=ABS(ABS(CA1455)-ABS(BV1455))),(CA1455/BV1455-1),"NM"))))))</f>
      </c>
      <c r="CB1460" s="30">
        <f t="shared" si="2843"/>
      </c>
      <c r="CC1460" s="30">
        <f t="shared" si="2843"/>
      </c>
      <c r="CD1460" s="30">
        <f t="shared" si="2843"/>
      </c>
      <c r="CE1460" s="30">
        <f>IF(BZ1455="NM","NM",IF(CE1455="NM","NM",IF(BZ1455&lt;=0,"NM",IF(CE1455=0,"NM",IF(ABS(CE1455/BZ1455-1)&gt;2.5,"NM",IF((ABS(CE1455-BZ1455)=ABS(ABS(CE1455)-ABS(BZ1455))),(CE1455/BZ1455-1),"NM"))))))</f>
      </c>
      <c r="CF1460" s="308">
        <f>IF(CA1455="NM","NM",IF(CF1455="NM","NM",IF(CA1455&lt;=0,"NM",IF(CF1455=0,"NM",IF(ABS(CF1455/CA1455-1)&gt;2.5,"NM",IF((ABS(CF1455-CA1455)=ABS(ABS(CF1455)-ABS(CA1455))),(CF1455/CA1455-1),"NM"))))))</f>
      </c>
      <c r="CG1460" s="30">
        <f t="shared" si="2844"/>
      </c>
      <c r="CH1460" s="30">
        <f t="shared" si="2844"/>
      </c>
      <c r="CI1460" s="30">
        <f t="shared" si="2844"/>
      </c>
      <c r="CJ1460" s="30">
        <f t="shared" si="2844"/>
      </c>
      <c r="CK1460" s="308">
        <f>IF(CF1455=0, "NA", CK1455/CF1455-1)</f>
      </c>
      <c r="CL1460" s="30">
        <f t="shared" si="2844"/>
      </c>
      <c r="CM1460" s="30">
        <f t="shared" si="2844"/>
      </c>
      <c r="CN1460" s="30">
        <f t="shared" si="2844"/>
      </c>
      <c r="CO1460" s="30">
        <f t="shared" si="2844"/>
      </c>
      <c r="CP1460" s="308">
        <f>IF(CK1455=0, "NA", CP1455/CK1455-1)</f>
      </c>
      <c r="CQ1460" s="30">
        <f t="shared" si="2844"/>
      </c>
      <c r="CR1460" s="30">
        <f t="shared" si="2844"/>
      </c>
      <c r="CS1460" s="30">
        <f t="shared" si="2844"/>
      </c>
      <c r="CT1460" s="30">
        <f t="shared" si="2844"/>
      </c>
      <c r="CU1460" s="308">
        <f>IF(CP1455=0, "NA", CU1455/CP1455-1)</f>
      </c>
      <c r="CV1460" s="30">
        <f t="shared" si="2844"/>
      </c>
      <c r="CW1460" s="30">
        <f t="shared" si="2844"/>
      </c>
      <c r="CX1460" s="30">
        <f t="shared" si="2844"/>
      </c>
      <c r="CY1460" s="30">
        <f>IF(CT1455="NM","NM",IF(CY1455="NM","NM",IF(CT1455&lt;=0,"NM",IF(CY1455=0,"NM",IF(ABS(CY1455/CT1455-1)&gt;2.5,"NM",IF((ABS(CY1455-CT1455)=ABS(ABS(CY1455)-ABS(CT1455))),(CY1455/CT1455-1),"NM"))))))</f>
      </c>
      <c r="CZ1460" s="308">
        <f>IF(CU1455=0, "NA", CZ1455/CU1455-1)</f>
      </c>
      <c r="DA1460" s="30">
        <f t="shared" si="2845"/>
      </c>
      <c r="DB1460" s="30">
        <f t="shared" si="2845"/>
      </c>
      <c r="DC1460" s="30">
        <f t="shared" si="2845"/>
      </c>
      <c r="DD1460" s="30">
        <f t="shared" si="2845"/>
      </c>
      <c r="DE1460" s="308">
        <f>IF(CZ1455=0, "NA", DE1455/CZ1455-1)</f>
      </c>
      <c r="DF1460" s="926">
        <f t="shared" si="2846"/>
      </c>
      <c r="DG1460" s="30">
        <f t="shared" si="2846"/>
      </c>
      <c r="DH1460" s="30">
        <f t="shared" si="2846"/>
      </c>
      <c r="DI1460" s="30">
        <f t="shared" si="2846"/>
      </c>
      <c r="DJ1460" s="308">
        <f>IF(DE1455=0, "NA", DJ1455/DE1455-1)</f>
      </c>
      <c r="DK1460" s="926">
        <f t="shared" si="2847"/>
      </c>
      <c r="DL1460" s="30">
        <f t="shared" si="2847"/>
      </c>
      <c r="DM1460" s="30">
        <f t="shared" si="2847"/>
      </c>
      <c r="DN1460" s="928">
        <f>IF(DN1455=0, "NM", DN1455/DI1455-1)</f>
      </c>
      <c r="DO1460" s="308">
        <f>IF(DJ1455=0, "NA", DO1455/DJ1455-1)</f>
      </c>
      <c r="DP1460" s="926">
        <f t="shared" si="2848"/>
      </c>
      <c r="DQ1460" s="926">
        <f t="shared" si="2848"/>
      </c>
      <c r="DR1460" s="926">
        <f t="shared" si="2848"/>
      </c>
      <c r="DS1460" s="928">
        <f>IF(DS1455=0, "NM", DS1455/DN1455-1)</f>
      </c>
      <c r="DT1460" s="308">
        <f>IF(DO1455=0, "NA", DT1455/DO1455-1)</f>
      </c>
      <c r="DU1460" s="926">
        <f>IF(DP1455="NM","NM",IF(DU1455="NM","NM",IF(DP1455&lt;=0,"NM",IF(DU1455=0,"NM",IF(ABS(DU1455/DP1455-1)&gt;2.5,"NM",IF((ABS(DU1455-DP1455)=ABS(ABS(DU1455)-ABS(DP1455))),(DU1455/DP1455-1),"NM"))))))</f>
      </c>
      <c r="DV1460" s="926">
        <f>IF(DQ1455="NM","NM",IF(DV1455="NM","NM",IF(DQ1455&lt;=0,"NM",IF(DV1455=0,"NM",IF(ABS(DV1455/DQ1455-1)&gt;2.5,"NM",IF((ABS(DV1455-DQ1455)=ABS(ABS(DV1455)-ABS(DQ1455))),(DV1455/DQ1455-1),"NM"))))))</f>
      </c>
      <c r="DW1460" s="926"/>
      <c r="DX1460" s="928"/>
      <c r="DY1460" s="1060"/>
      <c r="DZ1460" s="926"/>
      <c r="EA1460" s="926"/>
      <c r="EB1460" s="926"/>
      <c r="EC1460" s="928"/>
      <c r="ED1460" s="1060"/>
      <c r="EE1460" s="958"/>
      <c r="EF1460" s="926"/>
      <c r="EG1460" s="926"/>
      <c r="EH1460" s="928"/>
      <c r="EI1460" s="1060"/>
      <c r="EJ1460" s="1060"/>
      <c r="EK1460" s="1060"/>
      <c r="EL1460" s="308"/>
      <c r="EM1460" s="308"/>
      <c r="EN1460" s="308"/>
      <c r="EO1460" s="409"/>
      <c r="EP1460" s="308"/>
      <c r="EQ1460" s="308"/>
      <c r="ER1460" s="308"/>
      <c r="ES1460" s="308"/>
      <c r="ET1460" s="308"/>
      <c r="EU1460" s="308"/>
      <c r="EV1460" s="308"/>
      <c r="EW1460" s="308"/>
      <c r="EX1460" s="308"/>
    </row>
    <row r="1461" spans="2:154" hidden="1" outlineLevel="1">
      <c r="B1461" s="510" t="s">
        <v>256</v>
      </c>
      <c r="C1461" s="1989"/>
      <c r="D1461" s="28"/>
      <c r="E1461" s="28"/>
      <c r="F1461" s="28"/>
      <c r="G1461" s="28"/>
      <c r="H1461" s="28"/>
      <c r="I1461" s="24"/>
      <c r="J1461" s="1"/>
      <c r="K1461" s="1"/>
      <c r="L1461" s="1"/>
      <c r="M1461" s="1"/>
      <c r="N1461" s="24"/>
      <c r="O1461" s="24"/>
      <c r="P1461" s="24"/>
      <c r="Q1461" s="24"/>
      <c r="R1461" s="24"/>
      <c r="S1461" s="1"/>
      <c r="T1461" s="24"/>
      <c r="U1461" s="24"/>
      <c r="V1461" s="24"/>
      <c r="W1461" s="24"/>
      <c r="X1461" s="315"/>
      <c r="Y1461" s="24"/>
      <c r="Z1461" s="24"/>
      <c r="AA1461" s="24"/>
      <c r="AB1461" s="24"/>
      <c r="AC1461" s="315"/>
      <c r="AD1461" s="24"/>
      <c r="AE1461" s="24"/>
      <c r="AF1461" s="24"/>
      <c r="AG1461" s="24"/>
      <c r="AH1461" s="315"/>
      <c r="AI1461" s="8">
        <f t="shared" ref="AI1461:BH1461" si="2849">IF(ISNUMBER(AI1460),(1+AI1460)/(1+AI$21)-1,"NM")</f>
      </c>
      <c r="AJ1461" s="8">
        <f t="shared" si="2849"/>
      </c>
      <c r="AK1461" s="8">
        <f t="shared" si="2849"/>
      </c>
      <c r="AL1461" s="43">
        <f t="shared" si="2849"/>
      </c>
      <c r="AM1461" s="315">
        <f t="shared" si="2849"/>
      </c>
      <c r="AN1461" s="8">
        <f t="shared" si="2849"/>
      </c>
      <c r="AO1461" s="8">
        <f t="shared" si="2849"/>
      </c>
      <c r="AP1461" s="8">
        <f t="shared" si="2849"/>
      </c>
      <c r="AQ1461" s="43">
        <f t="shared" si="2849"/>
      </c>
      <c r="AR1461" s="315">
        <f t="shared" si="2849"/>
      </c>
      <c r="AS1461" s="8">
        <f t="shared" si="2849"/>
      </c>
      <c r="AT1461" s="8">
        <f t="shared" si="2849"/>
      </c>
      <c r="AU1461" s="8">
        <f t="shared" si="2849"/>
      </c>
      <c r="AV1461" s="43">
        <f t="shared" si="2849"/>
      </c>
      <c r="AW1461" s="315">
        <f t="shared" si="2849"/>
      </c>
      <c r="AX1461" s="8">
        <f t="shared" si="2849"/>
      </c>
      <c r="AY1461" s="8">
        <f t="shared" si="2849"/>
      </c>
      <c r="AZ1461" s="8">
        <f t="shared" si="2849"/>
      </c>
      <c r="BA1461" s="8">
        <f t="shared" si="2849"/>
      </c>
      <c r="BB1461" s="315">
        <f t="shared" si="2849"/>
      </c>
      <c r="BC1461" s="8">
        <f t="shared" si="2849"/>
      </c>
      <c r="BD1461" s="8">
        <f t="shared" si="2849"/>
      </c>
      <c r="BE1461" s="8">
        <f t="shared" si="2849"/>
      </c>
      <c r="BF1461" s="8">
        <f t="shared" si="2849"/>
      </c>
      <c r="BG1461" s="309">
        <f t="shared" si="2849"/>
      </c>
      <c r="BH1461" s="8">
        <f t="shared" si="2849"/>
      </c>
      <c r="BI1461" s="8">
        <f>IF(ISNUMBER(BI1460),(1+BI1460)/(1+BI$21)-1,"NM")</f>
      </c>
      <c r="BJ1461" s="8">
        <f t="shared" ref="BJ1461:BR1461" si="2850">IF(ISNUMBER(BJ1460),(1+BJ1460)/(1+BJ$21)-1,"NM")</f>
      </c>
      <c r="BK1461" s="8">
        <f t="shared" si="2850"/>
      </c>
      <c r="BL1461" s="315">
        <f t="shared" si="2850"/>
      </c>
      <c r="BM1461" s="407">
        <f t="shared" si="2850"/>
      </c>
      <c r="BN1461" s="407">
        <f t="shared" si="2850"/>
      </c>
      <c r="BO1461" s="407">
        <f t="shared" si="2850"/>
      </c>
      <c r="BP1461" s="649">
        <f t="shared" si="2850"/>
      </c>
      <c r="BQ1461" s="406">
        <f t="shared" si="2850"/>
      </c>
      <c r="BR1461" s="649">
        <f t="shared" si="2850"/>
      </c>
      <c r="BS1461" s="649">
        <v>1E-3</v>
      </c>
      <c r="BT1461" s="649">
        <v>0.06</v>
      </c>
      <c r="BU1461" s="649">
        <v>5.7000000000000002E-2</v>
      </c>
      <c r="BV1461" s="406">
        <v>3.4000000000000002E-2</v>
      </c>
      <c r="BW1461" s="407">
        <v>3.9E-2</v>
      </c>
      <c r="BX1461" s="407">
        <v>8.9999999999999993E-3</v>
      </c>
      <c r="BY1461" s="407">
        <v>0.02</v>
      </c>
      <c r="BZ1461" s="836">
        <v>1.0999999999999999E-2</v>
      </c>
      <c r="CA1461" s="448">
        <v>2.3E-2</v>
      </c>
      <c r="CB1461" s="29">
        <v>-3.5999999999999997E-2</v>
      </c>
      <c r="CC1461" s="407">
        <v>7.3999999999999996E-2</v>
      </c>
      <c r="CD1461" s="407">
        <v>7.9000000000000001E-2</v>
      </c>
      <c r="CE1461" s="836">
        <v>1.0999999999999999E-2</v>
      </c>
      <c r="CF1461" s="448">
        <v>3.6999999999999998E-2</v>
      </c>
      <c r="CG1461" s="29">
        <v>9.0999999999999998E-2</v>
      </c>
      <c r="CH1461" s="29">
        <v>4.7E-2</v>
      </c>
      <c r="CI1461" s="29">
        <v>-7.0000000000000001E-3</v>
      </c>
      <c r="CJ1461" s="29">
        <v>9.4E-2</v>
      </c>
      <c r="CK1461" s="315">
        <f>CK1460-CK$21</f>
      </c>
      <c r="CL1461" s="29">
        <v>2.8000000000000001E-2</v>
      </c>
      <c r="CM1461" s="29">
        <v>6.0999999999999999E-2</v>
      </c>
      <c r="CN1461" s="29">
        <v>3.5000000000000003E-2</v>
      </c>
      <c r="CO1461" s="29">
        <v>1.4999999999999999E-2</v>
      </c>
      <c r="CP1461" s="315">
        <f>CP1460-CP$21</f>
      </c>
      <c r="CQ1461" s="29">
        <v>7.0000000000000001E-3</v>
      </c>
      <c r="CR1461" s="29">
        <v>-1.0999999999999999E-2</v>
      </c>
      <c r="CS1461" s="407">
        <v>4.7E-2</v>
      </c>
      <c r="CT1461" s="407">
        <v>6.3E-2</v>
      </c>
      <c r="CU1461" s="315">
        <f>CU1460-CU$21</f>
      </c>
      <c r="CV1461" s="29">
        <v>3.9E-2</v>
      </c>
      <c r="CW1461" s="29">
        <v>2.5000000000000001E-2</v>
      </c>
      <c r="CX1461" s="29">
        <v>4.8000000000000001E-2</v>
      </c>
      <c r="CY1461" s="407">
        <v>-0.02</v>
      </c>
      <c r="CZ1461" s="315">
        <f>CZ1460-CZ$21</f>
      </c>
      <c r="DA1461" s="29">
        <v>2.8000000000000001E-2</v>
      </c>
      <c r="DB1461" s="29">
        <v>0</v>
      </c>
      <c r="DC1461" s="361">
        <v>5.1999999999999998E-2</v>
      </c>
      <c r="DD1461" s="1479">
        <v>8.0000000000000002E-3</v>
      </c>
      <c r="DE1461" s="308">
        <f>DE1460-DE$21</f>
      </c>
      <c r="DF1461" s="29">
        <v>0.03</v>
      </c>
      <c r="DG1461" s="1109">
        <v>0</v>
      </c>
      <c r="DH1461" s="1109">
        <v>0.03</v>
      </c>
      <c r="DI1461" s="927">
        <f>IF(DI1455=0, "NM",DI1460-DI$21)</f>
      </c>
      <c r="DJ1461" s="308">
        <f>DJ1460-DJ$21</f>
      </c>
      <c r="DK1461" s="29">
        <v>0.03</v>
      </c>
      <c r="DL1461" s="1109">
        <v>0</v>
      </c>
      <c r="DM1461" s="1109">
        <v>0</v>
      </c>
      <c r="DN1461" s="927">
        <f>IF(DN1455=0, "NM",DN1460-DN$21)</f>
      </c>
      <c r="DO1461" s="308">
        <f>DO1460-DO$21</f>
      </c>
      <c r="DP1461" s="925">
        <f>DP1460-DP$21</f>
      </c>
      <c r="DQ1461" s="2183">
        <f>DQ1460-DQ$21</f>
      </c>
      <c r="DR1461" s="2183">
        <f>DR1460-DR$21</f>
      </c>
      <c r="DS1461" s="928">
        <f>IF(DS1455=0, "NM",DS1460-DS$21)</f>
      </c>
      <c r="DT1461" s="308">
        <f>DT1460-DT$21</f>
      </c>
      <c r="DU1461" s="925">
        <f>DU1460-(-6.3%)</f>
      </c>
      <c r="DV1461" s="925">
        <f>DV1460-(-3.3%)</f>
      </c>
      <c r="DW1461" s="1741"/>
      <c r="DX1461" s="928"/>
      <c r="DY1461" s="836"/>
      <c r="DZ1461" s="1741"/>
      <c r="EA1461" s="1741"/>
      <c r="EB1461" s="1741"/>
      <c r="EC1461" s="928"/>
      <c r="ED1461" s="2773"/>
      <c r="EE1461" s="1955"/>
      <c r="EF1461" s="1955"/>
      <c r="EG1461" s="1955"/>
      <c r="EH1461" s="928"/>
      <c r="EI1461" s="2774"/>
      <c r="EJ1461" s="2774"/>
      <c r="EK1461" s="2774"/>
      <c r="EL1461" s="317"/>
      <c r="EM1461" s="317"/>
      <c r="EN1461" s="317"/>
      <c r="EO1461" s="836"/>
      <c r="EP1461" s="317"/>
      <c r="EQ1461" s="317"/>
      <c r="ER1461" s="317"/>
      <c r="ES1461" s="317"/>
      <c r="ET1461" s="317"/>
      <c r="EU1461" s="317"/>
      <c r="EV1461" s="317"/>
      <c r="EW1461" s="317"/>
      <c r="EX1461" s="317"/>
    </row>
    <row r="1462" spans="2:154" hidden="1" outlineLevel="1">
      <c r="B1462" s="510" t="s">
        <v>413</v>
      </c>
      <c r="C1462" s="1989"/>
      <c r="D1462" s="28"/>
      <c r="E1462" s="28"/>
      <c r="F1462" s="28"/>
      <c r="G1462" s="28"/>
      <c r="H1462" s="28"/>
      <c r="I1462" s="30">
        <f t="shared" ref="I1462:AN1462" si="2851">IF(D1456="NM","NM",IF(I1456="NM","NM",IF(D1456&lt;=0,"NM",IF(I1456=0,"NM",IF(ABS(I1456/D1456-1)&gt;2.5,"NM",IF((ABS(I1456-D1456)=ABS(ABS(I1456)-ABS(D1456))),(I1456/D1456-1),"NM"))))))</f>
      </c>
      <c r="J1462" s="30">
        <f t="shared" si="2851"/>
      </c>
      <c r="K1462" s="30">
        <f t="shared" si="2851"/>
      </c>
      <c r="L1462" s="30">
        <f t="shared" si="2851"/>
      </c>
      <c r="M1462" s="30">
        <f t="shared" si="2851"/>
      </c>
      <c r="N1462" s="30">
        <f t="shared" si="2851"/>
      </c>
      <c r="O1462" s="30">
        <f t="shared" si="2851"/>
      </c>
      <c r="P1462" s="30">
        <f t="shared" si="2851"/>
      </c>
      <c r="Q1462" s="30">
        <f t="shared" si="2851"/>
      </c>
      <c r="R1462" s="30">
        <f t="shared" si="2851"/>
      </c>
      <c r="S1462" s="30">
        <f t="shared" si="2851"/>
      </c>
      <c r="T1462" s="30">
        <f t="shared" si="2851"/>
      </c>
      <c r="U1462" s="30">
        <f t="shared" si="2851"/>
      </c>
      <c r="V1462" s="30">
        <f t="shared" si="2851"/>
      </c>
      <c r="W1462" s="30">
        <f t="shared" si="2851"/>
      </c>
      <c r="X1462" s="308">
        <f t="shared" si="2851"/>
      </c>
      <c r="Y1462" s="30">
        <f t="shared" si="2851"/>
      </c>
      <c r="Z1462" s="30">
        <f t="shared" si="2851"/>
      </c>
      <c r="AA1462" s="30">
        <f t="shared" si="2851"/>
      </c>
      <c r="AB1462" s="30">
        <f t="shared" si="2851"/>
      </c>
      <c r="AC1462" s="308">
        <f t="shared" si="2851"/>
      </c>
      <c r="AD1462" s="30">
        <f t="shared" si="2851"/>
      </c>
      <c r="AE1462" s="30">
        <f t="shared" si="2851"/>
      </c>
      <c r="AF1462" s="30">
        <f t="shared" si="2851"/>
      </c>
      <c r="AG1462" s="30">
        <f t="shared" si="2851"/>
      </c>
      <c r="AH1462" s="308">
        <f t="shared" si="2851"/>
      </c>
      <c r="AI1462" s="30">
        <f t="shared" si="2851"/>
      </c>
      <c r="AJ1462" s="30">
        <f t="shared" si="2851"/>
      </c>
      <c r="AK1462" s="30">
        <f t="shared" si="2851"/>
      </c>
      <c r="AL1462" s="30">
        <f t="shared" si="2851"/>
      </c>
      <c r="AM1462" s="308">
        <f t="shared" si="2851"/>
      </c>
      <c r="AN1462" s="30">
        <f t="shared" si="2851"/>
      </c>
      <c r="AO1462" s="30">
        <f t="shared" ref="AO1462:BH1462" si="2852">IF(AJ1456="NM","NM",IF(AO1456="NM","NM",IF(AJ1456&lt;=0,"NM",IF(AO1456=0,"NM",IF(ABS(AO1456/AJ1456-1)&gt;2.5,"NM",IF((ABS(AO1456-AJ1456)=ABS(ABS(AO1456)-ABS(AJ1456))),(AO1456/AJ1456-1),"NM"))))))</f>
      </c>
      <c r="AP1462" s="30">
        <f t="shared" si="2852"/>
      </c>
      <c r="AQ1462" s="30">
        <f t="shared" si="2852"/>
      </c>
      <c r="AR1462" s="308">
        <f t="shared" si="2852"/>
      </c>
      <c r="AS1462" s="30">
        <f t="shared" si="2852"/>
      </c>
      <c r="AT1462" s="30">
        <f t="shared" si="2852"/>
      </c>
      <c r="AU1462" s="30">
        <f t="shared" si="2852"/>
      </c>
      <c r="AV1462" s="30">
        <f t="shared" si="2852"/>
      </c>
      <c r="AW1462" s="308">
        <f t="shared" si="2852"/>
      </c>
      <c r="AX1462" s="30">
        <f t="shared" si="2852"/>
      </c>
      <c r="AY1462" s="30">
        <f t="shared" si="2852"/>
      </c>
      <c r="AZ1462" s="30">
        <f t="shared" si="2852"/>
      </c>
      <c r="BA1462" s="30">
        <f t="shared" si="2852"/>
      </c>
      <c r="BB1462" s="308">
        <f t="shared" si="2852"/>
      </c>
      <c r="BC1462" s="30">
        <f t="shared" si="2852"/>
      </c>
      <c r="BD1462" s="30">
        <f t="shared" si="2852"/>
      </c>
      <c r="BE1462" s="30">
        <f t="shared" si="2852"/>
      </c>
      <c r="BF1462" s="30">
        <f t="shared" si="2852"/>
      </c>
      <c r="BG1462" s="308">
        <f t="shared" si="2852"/>
      </c>
      <c r="BH1462" s="30">
        <f t="shared" si="2852"/>
      </c>
      <c r="BI1462" s="30">
        <f t="shared" ref="BI1462:BR1462" si="2853">IF(BD1456="NM","NM",IF(BI1456="NM","NM",IF(BD1456&lt;=0,"NM",IF(BI1456=0,"NM",IF(ABS(BI1456/BD1456-1)&gt;2.5,"NM",IF((ABS(BI1456-BD1456)=ABS(ABS(BI1456)-ABS(BD1456))),(BI1456/BD1456-1),"NM"))))))</f>
      </c>
      <c r="BJ1462" s="30">
        <f t="shared" si="2853"/>
      </c>
      <c r="BK1462" s="30">
        <f t="shared" si="2853"/>
      </c>
      <c r="BL1462" s="308">
        <f t="shared" si="2853"/>
      </c>
      <c r="BM1462" s="30">
        <f t="shared" si="2853"/>
      </c>
      <c r="BN1462" s="30">
        <f t="shared" si="2853"/>
      </c>
      <c r="BO1462" s="30">
        <f t="shared" si="2853"/>
      </c>
      <c r="BP1462" s="30">
        <f t="shared" si="2853"/>
      </c>
      <c r="BQ1462" s="308">
        <f t="shared" si="2853"/>
      </c>
      <c r="BR1462" s="30">
        <f t="shared" si="2853"/>
      </c>
      <c r="BS1462" s="30">
        <f t="shared" ref="BS1462:CI1462" si="2854">IF(BN1456="NM","NM",IF(BS1456="NM","NM",IF(BN1456&lt;=0,"NM",IF(BS1456=0,"NM",IF(ABS(BS1456/BN1456-1)&gt;2.5,"NM",IF((ABS(BS1456-BN1456)=ABS(ABS(BS1456)-ABS(BN1456))),(BS1456/BN1456-1),"NM"))))))</f>
      </c>
      <c r="BT1462" s="30">
        <f t="shared" si="2854"/>
      </c>
      <c r="BU1462" s="30">
        <f t="shared" si="2854"/>
      </c>
      <c r="BV1462" s="308">
        <f t="shared" si="2854"/>
      </c>
      <c r="BW1462" s="30">
        <f t="shared" si="2854"/>
      </c>
      <c r="BX1462" s="30">
        <f t="shared" si="2854"/>
      </c>
      <c r="BY1462" s="30">
        <f t="shared" si="2854"/>
      </c>
      <c r="BZ1462" s="30">
        <f t="shared" si="2854"/>
      </c>
      <c r="CA1462" s="308">
        <f t="shared" si="2854"/>
      </c>
      <c r="CB1462" s="30">
        <f t="shared" si="2854"/>
      </c>
      <c r="CC1462" s="30">
        <f t="shared" si="2854"/>
      </c>
      <c r="CD1462" s="30">
        <f t="shared" si="2854"/>
      </c>
      <c r="CE1462" s="30">
        <f t="shared" si="2854"/>
      </c>
      <c r="CF1462" s="308">
        <f t="shared" si="2854"/>
      </c>
      <c r="CG1462" s="30">
        <f t="shared" si="2854"/>
      </c>
      <c r="CH1462" s="30">
        <f t="shared" si="2854"/>
      </c>
      <c r="CI1462" s="30">
        <f t="shared" si="2854"/>
      </c>
      <c r="CJ1462" s="30">
        <f>IF(CJ1456&lt;=0,0,(CJ1456/CE1456-1))</f>
      </c>
      <c r="CK1462" s="308">
        <f>IF(CF1456=0, "NA", CK1456/CF1456-1)</f>
      </c>
      <c r="CL1462" s="30">
        <f>IF(CG1456="NM","NM",IF(CL1456="NM","NM",IF(CG1456&lt;=0,"NM",IF(CL1456=0,"NM",IF(ABS(CL1456/CG1456-1)&gt;2.5,"NM",IF((ABS(CL1456-CG1456)=ABS(ABS(CL1456)-ABS(CG1456))),(CL1456/CG1456-1),"NM"))))))</f>
      </c>
      <c r="CM1462" s="30">
        <f>IF(CH1456="NM","NM",IF(CM1456="NM","NM",IF(CH1456&lt;=0,"NM",IF(CM1456=0,"NM",IF(ABS(CM1456/CH1456-1)&gt;2.5,"NM",IF((ABS(CM1456-CH1456)=ABS(ABS(CM1456)-ABS(CH1456))),(CM1456/CH1456-1),"NM"))))))</f>
      </c>
      <c r="CN1462" s="30">
        <f>IF(CI1456="NM","NM",IF(CN1456="NM","NM",IF(CI1456&lt;=0,"NM",IF(CN1456=0,"NM",IF(ABS(CN1456/CI1456-1)&gt;2.5,"NM",IF((ABS(CN1456-CI1456)=ABS(ABS(CN1456)-ABS(CI1456))),(CN1456/CI1456-1),"NM"))))))</f>
      </c>
      <c r="CO1462" s="30">
        <f>IF(CO1456&lt;=0,0,(CO1456/CJ1456-1))</f>
      </c>
      <c r="CP1462" s="308">
        <f>IF(CK1456=0, "NA", CP1456/CK1456-1)</f>
      </c>
      <c r="CQ1462" s="30">
        <f>IF(CL1456="NM","NM",IF(CQ1456="NM","NM",IF(CL1456&lt;=0,"NM",IF(CQ1456=0,"NM",IF(ABS(CQ1456/CL1456-1)&gt;2.5,"NM",IF((ABS(CQ1456-CL1456)=ABS(ABS(CQ1456)-ABS(CL1456))),(CQ1456/CL1456-1),"NM"))))))</f>
      </c>
      <c r="CR1462" s="30">
        <f>IF(CM1456="NM","NM",IF(CR1456="NM","NM",IF(CM1456&lt;=0,"NM",IF(CR1456=0,"NM",IF(ABS(CR1456/CM1456-1)&gt;2.5,"NM",IF((ABS(CR1456-CM1456)=ABS(ABS(CR1456)-ABS(CM1456))),(CR1456/CM1456-1),"NM"))))))</f>
      </c>
      <c r="CS1462" s="30">
        <f>IF(CN1456="NM","NM",IF(CS1456="NM","NM",IF(CN1456&lt;=0,"NM",IF(CS1456=0,"NM",IF(ABS(CS1456/CN1456-1)&gt;2.5,"NM",IF((ABS(CS1456-CN1456)=ABS(ABS(CS1456)-ABS(CN1456))),(CS1456/CN1456-1),"NM"))))))</f>
      </c>
      <c r="CT1462" s="30">
        <f>IF(CO1456="NM","NM",IF(CT1456="NM","NM",IF(CO1456&lt;=0,"NM",IF(CT1456=0,"NM",IF(ABS(CT1456/CO1456-1)&gt;2.5,"NM",IF((ABS(CT1456-CO1456)=ABS(ABS(CT1456)-ABS(CO1456))),(CT1456/CO1456-1),"NM"))))))</f>
      </c>
      <c r="CU1462" s="308">
        <f>IF(CP1456=0, "NA", CU1456/CP1456-1)</f>
      </c>
      <c r="CV1462" s="30">
        <f>IF(CQ1456="NM","NM",IF(CV1456="NM","NM",IF(CQ1456&lt;=0,"NM",IF(CV1456=0,"NM",IF(ABS(CV1456/CQ1456-1)&gt;2.5,"NM",IF((ABS(CV1456-CQ1456)=ABS(ABS(CV1456)-ABS(CQ1456))),(CV1456/CQ1456-1),"NM"))))))</f>
      </c>
      <c r="CW1462" s="30">
        <f>IF(CR1456="NM","NM",IF(CW1456="NM","NM",IF(CR1456&lt;=0,"NM",IF(CW1456=0,"NM",IF(ABS(CW1456/CR1456-1)&gt;2.5,"NM",IF((ABS(CW1456-CR1456)=ABS(ABS(CW1456)-ABS(CR1456))),(CW1456/CR1456-1),"NM"))))))</f>
      </c>
      <c r="CX1462" s="30">
        <f>IF(CS1456="NM","NM",IF(CX1456="NM","NM",IF(CS1456&lt;=0,"NM",IF(CX1456=0,"NM",IF(ABS(CX1456/CS1456-1)&gt;2.5,"NM",IF((ABS(CX1456-CS1456)=ABS(ABS(CX1456)-ABS(CS1456))),(CX1456/CS1456-1),"NM"))))))</f>
      </c>
      <c r="CY1462" s="30">
        <f>IF(CT1456="NM","NM",IF(CY1456="NM","NM",IF(CT1456&lt;=0,"NM",IF(CY1456=0,"NM",IF(ABS(CY1456/CT1456-1)&gt;2.5,"NM",IF((ABS(CY1456-CT1456)=ABS(ABS(CY1456)-ABS(CT1456))),(CY1456/CT1456-1),"NM"))))))</f>
      </c>
      <c r="CZ1462" s="308">
        <f>IF(CU1456=0, "NA", CZ1456/CU1456-1)</f>
      </c>
      <c r="DA1462" s="30">
        <f>IF(CV1456="NM","NM",IF(DA1456="NM","NM",IF(CV1456&lt;=0,"NM",IF(DA1456=0,"NM",IF(ABS(DA1456/CV1456-1)&gt;2.5,"NM",IF((ABS(DA1456-CV1456)=ABS(ABS(DA1456)-ABS(CV1456))),(DA1456/CV1456-1),"NM"))))))</f>
      </c>
      <c r="DB1462" s="30">
        <f>IF(CW1456="NM","NM",IF(DB1456="NM","NM",IF(CW1456&lt;=0,"NM",IF(DB1456=0,"NM",IF(ABS(DB1456/CW1456-1)&gt;2.5,"NM",IF((ABS(DB1456-CW1456)=ABS(ABS(DB1456)-ABS(CW1456))),(DB1456/CW1456-1),"NM"))))))</f>
      </c>
      <c r="DC1462" s="926">
        <f>IF(CX1456=0, "NA", DC1456/CX1456-1)</f>
      </c>
      <c r="DD1462" s="928">
        <f>IF(CY1456=0, "NM", DD1456/CY1456-1)</f>
      </c>
      <c r="DE1462" s="308">
        <f>IF(CZ1456=0, "NA", DE1456/CZ1456-1)</f>
      </c>
      <c r="DF1462" s="926">
        <f>IF(DA1456=0, "NA", DF1456/DA1456-1)</f>
      </c>
      <c r="DG1462" s="926">
        <f>IF(DB1456=0, "NA", DG1456/DB1456-1)</f>
      </c>
      <c r="DH1462" s="926">
        <f>IF(DC1456=0, "NA", DH1456/DC1456-1)</f>
      </c>
      <c r="DI1462" s="928">
        <f>IF(DD1456=0, "NM", DI1456/DD1456-1)</f>
      </c>
      <c r="DJ1462" s="308">
        <f>IF(DE1456=0, "NA", DJ1456/DE1456-1)</f>
      </c>
      <c r="DK1462" s="926">
        <f>IF(DF1456=0, "NA", DK1456/DF1456-1)</f>
      </c>
      <c r="DL1462" s="926">
        <f>IF(DG1456=0, "NA", DL1456/DG1456-1)</f>
      </c>
      <c r="DM1462" s="926">
        <f>IF(DH1456=0, "NA", DM1456/DH1456-1)</f>
      </c>
      <c r="DN1462" s="928">
        <f>IF(DI1456=0, "NM", DN1456/DI1456-1)</f>
      </c>
      <c r="DO1462" s="308">
        <f>IF(DJ1456=0, "NA", DO1456/DJ1456-1)</f>
      </c>
      <c r="DP1462" s="926">
        <f>IF(DK1456=0, "NA", DP1456/DK1456-1)</f>
      </c>
      <c r="DQ1462" s="926">
        <f>IF(DL1456=0, "NA", DQ1456/DL1456-1)</f>
      </c>
      <c r="DR1462" s="926">
        <f>IF(DM1456=0, "NA", DR1456/DM1456-1)</f>
      </c>
      <c r="DS1462" s="928">
        <f>IF(DN1456=0, "NM", DS1456/DN1456-1)</f>
      </c>
      <c r="DT1462" s="1060">
        <f>IF(DO1456=0, "NA", DT1456/DO1456-1)</f>
      </c>
      <c r="DU1462" s="926">
        <f>IF(DP1456=0, "NA", DU1456/DP1456-1)</f>
      </c>
      <c r="DV1462" s="926">
        <f>IF(DQ1456=0, "NA", DV1456/DQ1456-1)</f>
      </c>
      <c r="DW1462" s="926"/>
      <c r="DX1462" s="928"/>
      <c r="DY1462" s="1060"/>
      <c r="DZ1462" s="926"/>
      <c r="EA1462" s="926"/>
      <c r="EB1462" s="926"/>
      <c r="EC1462" s="928"/>
      <c r="ED1462" s="1060"/>
      <c r="EE1462" s="958"/>
      <c r="EF1462" s="926"/>
      <c r="EG1462" s="926"/>
      <c r="EH1462" s="928"/>
      <c r="EI1462" s="1060"/>
      <c r="EJ1462" s="1060"/>
      <c r="EK1462" s="1060"/>
      <c r="EL1462" s="308"/>
      <c r="EM1462" s="308"/>
      <c r="EN1462" s="308"/>
      <c r="EO1462" s="409"/>
      <c r="EP1462" s="308"/>
      <c r="EQ1462" s="308"/>
      <c r="ER1462" s="308"/>
      <c r="ES1462" s="308"/>
      <c r="ET1462" s="308"/>
      <c r="EU1462" s="308"/>
      <c r="EV1462" s="308"/>
      <c r="EW1462" s="308"/>
      <c r="EX1462" s="308"/>
    </row>
    <row r="1463" spans="2:154" hidden="1" outlineLevel="1">
      <c r="B1463" s="510"/>
      <c r="C1463" s="1989"/>
      <c r="D1463" s="28"/>
      <c r="E1463" s="28"/>
      <c r="F1463" s="28"/>
      <c r="G1463" s="28"/>
      <c r="H1463" s="28"/>
      <c r="I1463" s="30"/>
      <c r="J1463" s="30"/>
      <c r="K1463" s="30"/>
      <c r="L1463" s="30"/>
      <c r="M1463" s="30"/>
      <c r="N1463" s="30"/>
      <c r="O1463" s="30"/>
      <c r="P1463" s="30"/>
      <c r="Q1463" s="30"/>
      <c r="R1463" s="30"/>
      <c r="S1463" s="30"/>
      <c r="T1463" s="30"/>
      <c r="U1463" s="30"/>
      <c r="V1463" s="30"/>
      <c r="W1463" s="30"/>
      <c r="X1463" s="308"/>
      <c r="Y1463" s="30"/>
      <c r="Z1463" s="30"/>
      <c r="AA1463" s="30"/>
      <c r="AB1463" s="30"/>
      <c r="AC1463" s="308"/>
      <c r="AD1463" s="30"/>
      <c r="AE1463" s="30"/>
      <c r="AF1463" s="30"/>
      <c r="AG1463" s="30"/>
      <c r="AH1463" s="308"/>
      <c r="AI1463" s="30"/>
      <c r="AJ1463" s="30"/>
      <c r="AK1463" s="30"/>
      <c r="AL1463" s="30"/>
      <c r="AM1463" s="308"/>
      <c r="AN1463" s="30"/>
      <c r="AO1463" s="30"/>
      <c r="AP1463" s="30"/>
      <c r="AQ1463" s="30"/>
      <c r="AR1463" s="308"/>
      <c r="AS1463" s="30"/>
      <c r="AT1463" s="30"/>
      <c r="AU1463" s="30"/>
      <c r="AV1463" s="30"/>
      <c r="AW1463" s="308"/>
      <c r="AX1463" s="30"/>
      <c r="AY1463" s="30"/>
      <c r="AZ1463" s="30"/>
      <c r="BA1463" s="30"/>
      <c r="BB1463" s="308"/>
      <c r="BC1463" s="30"/>
      <c r="BD1463" s="30"/>
      <c r="BE1463" s="30"/>
      <c r="BF1463" s="30"/>
      <c r="BG1463" s="308"/>
      <c r="BH1463" s="30"/>
      <c r="BI1463" s="30"/>
      <c r="BJ1463" s="30"/>
      <c r="BK1463" s="30"/>
      <c r="BL1463" s="308"/>
      <c r="BM1463" s="30"/>
      <c r="BN1463" s="30"/>
      <c r="BO1463" s="30"/>
      <c r="BP1463" s="30"/>
      <c r="BQ1463" s="308"/>
      <c r="BR1463" s="30"/>
      <c r="BS1463" s="30"/>
      <c r="BT1463" s="30"/>
      <c r="BU1463" s="30"/>
      <c r="BV1463" s="308"/>
      <c r="BW1463" s="30"/>
      <c r="BX1463" s="30"/>
      <c r="BY1463" s="30"/>
      <c r="BZ1463" s="30"/>
      <c r="CA1463" s="308"/>
      <c r="CB1463" s="30"/>
      <c r="CC1463" s="30"/>
      <c r="CD1463" s="30"/>
      <c r="CE1463" s="30"/>
      <c r="CF1463" s="308"/>
      <c r="CG1463" s="30"/>
      <c r="CH1463" s="30"/>
      <c r="CI1463" s="30"/>
      <c r="CJ1463" s="30"/>
      <c r="CK1463" s="308"/>
      <c r="CL1463" s="926"/>
      <c r="CM1463" s="926"/>
      <c r="CN1463" s="926"/>
      <c r="CO1463" s="30"/>
      <c r="CP1463" s="308"/>
      <c r="CQ1463" s="926"/>
      <c r="CR1463" s="926"/>
      <c r="CS1463" s="926"/>
      <c r="CT1463" s="926"/>
      <c r="CU1463" s="308"/>
      <c r="CV1463" s="926"/>
      <c r="CW1463" s="926"/>
      <c r="CX1463" s="926"/>
      <c r="CY1463" s="926"/>
      <c r="CZ1463" s="308"/>
      <c r="DA1463" s="830"/>
      <c r="DB1463" s="1364"/>
      <c r="DC1463" s="1364"/>
      <c r="DD1463" s="1364"/>
      <c r="DE1463" s="1365"/>
      <c r="DF1463" s="830"/>
      <c r="DG1463" s="1364"/>
      <c r="DH1463" s="1364"/>
      <c r="DI1463" s="1364"/>
      <c r="DJ1463" s="308"/>
      <c r="DK1463" s="830"/>
      <c r="DL1463" s="1364"/>
      <c r="DM1463" s="1364"/>
      <c r="DN1463" s="1364"/>
      <c r="DO1463" s="308"/>
      <c r="DP1463" s="1364"/>
      <c r="DQ1463" s="1364"/>
      <c r="DR1463" s="1364"/>
      <c r="DS1463" s="1364"/>
      <c r="DT1463" s="308"/>
      <c r="DU1463" s="2122"/>
      <c r="DV1463" s="2122"/>
      <c r="DW1463" s="2122"/>
      <c r="DX1463" s="2122"/>
      <c r="DY1463" s="308"/>
      <c r="DZ1463" s="2122"/>
      <c r="EA1463" s="1691"/>
      <c r="EB1463" s="1691"/>
      <c r="EC1463" s="1691"/>
      <c r="ED1463" s="1060"/>
      <c r="EE1463" s="958"/>
      <c r="EF1463" s="926"/>
      <c r="EG1463" s="926"/>
      <c r="EH1463" s="1691"/>
      <c r="EI1463" s="308"/>
      <c r="EJ1463" s="308"/>
      <c r="EK1463" s="308"/>
      <c r="EL1463" s="308"/>
      <c r="EM1463" s="308"/>
      <c r="EN1463" s="308"/>
      <c r="EO1463" s="409"/>
      <c r="EP1463" s="308"/>
      <c r="EQ1463" s="308"/>
      <c r="ER1463" s="308"/>
      <c r="ES1463" s="308"/>
      <c r="ET1463" s="308"/>
      <c r="EU1463" s="308"/>
      <c r="EV1463" s="308"/>
      <c r="EW1463" s="308"/>
      <c r="EX1463" s="308"/>
    </row>
    <row r="1464" spans="2:154" hidden="1" outlineLevel="1">
      <c r="B1464" s="509" t="s">
        <v>419</v>
      </c>
      <c r="C1464" s="2019"/>
      <c r="D1464" s="1984"/>
      <c r="E1464" s="486"/>
      <c r="F1464" s="486"/>
      <c r="G1464" s="486"/>
      <c r="H1464" s="486"/>
      <c r="I1464" s="487"/>
      <c r="J1464" s="486"/>
      <c r="K1464" s="486"/>
      <c r="L1464" s="486"/>
      <c r="M1464" s="486"/>
      <c r="N1464" s="487"/>
      <c r="O1464" s="487"/>
      <c r="P1464" s="487"/>
      <c r="Q1464" s="487"/>
      <c r="R1464" s="487"/>
      <c r="S1464" s="488"/>
      <c r="T1464" s="487"/>
      <c r="U1464" s="487"/>
      <c r="V1464" s="487"/>
      <c r="W1464" s="487"/>
      <c r="X1464" s="489"/>
      <c r="Y1464" s="487"/>
      <c r="Z1464" s="487"/>
      <c r="AA1464" s="487"/>
      <c r="AB1464" s="487"/>
      <c r="AC1464" s="489"/>
      <c r="AD1464" s="487"/>
      <c r="AE1464" s="487"/>
      <c r="AF1464" s="487"/>
      <c r="AG1464" s="487"/>
      <c r="AH1464" s="489"/>
      <c r="AI1464" s="486"/>
      <c r="AJ1464" s="486"/>
      <c r="AK1464" s="486"/>
      <c r="AL1464" s="487"/>
      <c r="AM1464" s="489"/>
      <c r="AN1464" s="486"/>
      <c r="AO1464" s="486"/>
      <c r="AP1464" s="486"/>
      <c r="AQ1464" s="487"/>
      <c r="AR1464" s="489"/>
      <c r="AS1464" s="486"/>
      <c r="AT1464" s="486"/>
      <c r="AU1464" s="486"/>
      <c r="AV1464" s="487"/>
      <c r="AW1464" s="489"/>
      <c r="AX1464" s="486"/>
      <c r="AY1464" s="486"/>
      <c r="AZ1464" s="486"/>
      <c r="BA1464" s="486"/>
      <c r="BB1464" s="489"/>
      <c r="BC1464" s="486"/>
      <c r="BD1464" s="486"/>
      <c r="BE1464" s="486"/>
      <c r="BF1464" s="486"/>
      <c r="BG1464" s="489"/>
      <c r="BH1464" s="486"/>
      <c r="BI1464" s="486"/>
      <c r="BJ1464" s="486"/>
      <c r="BK1464" s="486"/>
      <c r="BL1464" s="489"/>
      <c r="BM1464" s="486"/>
      <c r="BN1464" s="486"/>
      <c r="BO1464" s="486"/>
      <c r="BP1464" s="486"/>
      <c r="BQ1464" s="489"/>
      <c r="BR1464" s="486"/>
      <c r="BS1464" s="486"/>
      <c r="BT1464" s="486"/>
      <c r="BU1464" s="486"/>
      <c r="BV1464" s="489"/>
      <c r="BW1464" s="486"/>
      <c r="BX1464" s="486"/>
      <c r="BY1464" s="486"/>
      <c r="BZ1464" s="486"/>
      <c r="CA1464" s="489"/>
      <c r="CB1464" s="486"/>
      <c r="CC1464" s="486"/>
      <c r="CD1464" s="486"/>
      <c r="CE1464" s="486"/>
      <c r="CF1464" s="489"/>
      <c r="CG1464" s="486"/>
      <c r="CH1464" s="486"/>
      <c r="CI1464" s="486"/>
      <c r="CJ1464" s="486"/>
      <c r="CK1464" s="489"/>
      <c r="CL1464" s="486"/>
      <c r="CM1464" s="486"/>
      <c r="CN1464" s="486"/>
      <c r="CO1464" s="1403"/>
      <c r="CP1464" s="489"/>
      <c r="CQ1464" s="486"/>
      <c r="CR1464" s="486"/>
      <c r="CS1464" s="486"/>
      <c r="CT1464" s="486"/>
      <c r="CU1464" s="489"/>
      <c r="CV1464" s="486"/>
      <c r="CW1464" s="486"/>
      <c r="CX1464" s="486"/>
      <c r="CY1464" s="486"/>
      <c r="CZ1464" s="489"/>
      <c r="DA1464" s="1335"/>
      <c r="DB1464" s="1363"/>
      <c r="DC1464" s="1363"/>
      <c r="DD1464" s="1363"/>
      <c r="DE1464" s="1910"/>
      <c r="DF1464" s="1952"/>
      <c r="DG1464" s="1954"/>
      <c r="DH1464" s="1954"/>
      <c r="DI1464" s="1954"/>
      <c r="DJ1464" s="1908"/>
      <c r="DK1464" s="1952"/>
      <c r="DL1464" s="1909"/>
      <c r="DM1464" s="1909"/>
      <c r="DN1464" s="1910"/>
      <c r="DO1464" s="1908"/>
      <c r="DP1464" s="1952"/>
      <c r="DQ1464" s="1909"/>
      <c r="DR1464" s="1909"/>
      <c r="DS1464" s="1910"/>
      <c r="DT1464" s="1908"/>
      <c r="DU1464" s="2133"/>
      <c r="DV1464" s="2126"/>
      <c r="DW1464" s="2778"/>
      <c r="DX1464" s="2779"/>
      <c r="DY1464" s="2782"/>
      <c r="DZ1464" s="2778"/>
      <c r="EA1464" s="3522"/>
      <c r="EB1464" s="3522"/>
      <c r="EC1464" s="2779"/>
      <c r="ED1464" s="1851"/>
      <c r="EE1464" s="1941"/>
      <c r="EF1464" s="1777"/>
      <c r="EG1464" s="1777"/>
      <c r="EH1464" s="2779"/>
      <c r="EI1464" s="1851"/>
      <c r="EJ1464" s="1851"/>
      <c r="EK1464" s="1851"/>
      <c r="EL1464" s="3131"/>
      <c r="EM1464" s="3131"/>
      <c r="EN1464" s="2200"/>
      <c r="EO1464" s="3132"/>
      <c r="EP1464" s="2200"/>
      <c r="EQ1464" s="2205"/>
      <c r="ER1464" s="2205"/>
      <c r="ES1464" s="2205"/>
      <c r="ET1464" s="2205"/>
      <c r="EU1464" s="2205"/>
      <c r="EV1464" s="2205"/>
      <c r="EW1464" s="2205"/>
      <c r="EX1464" s="2205"/>
    </row>
    <row r="1465" spans="2:154" hidden="1" outlineLevel="1">
      <c r="B1465" s="345" t="s">
        <v>187</v>
      </c>
      <c r="C1465" s="1989"/>
      <c r="D1465" s="28"/>
      <c r="E1465" s="28"/>
      <c r="F1465" s="28"/>
      <c r="G1465" s="28"/>
      <c r="H1465" s="28"/>
      <c r="I1465" s="31"/>
      <c r="J1465" s="28"/>
      <c r="K1465" s="28"/>
      <c r="L1465" s="28"/>
      <c r="M1465" s="28"/>
      <c r="N1465" s="31"/>
      <c r="O1465" s="31"/>
      <c r="P1465" s="31"/>
      <c r="Q1465" s="31"/>
      <c r="R1465" s="31"/>
      <c r="S1465" s="31"/>
      <c r="T1465" s="31"/>
      <c r="U1465" s="31"/>
      <c r="V1465" s="31"/>
      <c r="W1465" s="31"/>
      <c r="X1465" s="313"/>
      <c r="Y1465" s="31"/>
      <c r="Z1465" s="31"/>
      <c r="AA1465" s="31"/>
      <c r="AB1465" s="31"/>
      <c r="AC1465" s="313"/>
      <c r="AD1465" s="31"/>
      <c r="AE1465" s="31"/>
      <c r="AF1465" s="31"/>
      <c r="AG1465" s="31"/>
      <c r="AH1465" s="313"/>
      <c r="AI1465" s="31"/>
      <c r="AJ1465" s="31"/>
      <c r="AK1465" s="31"/>
      <c r="AL1465" s="31"/>
      <c r="AM1465" s="313"/>
      <c r="AN1465" s="31"/>
      <c r="AO1465" s="31"/>
      <c r="AP1465" s="31"/>
      <c r="AQ1465" s="31"/>
      <c r="AR1465" s="313"/>
      <c r="AS1465" s="33">
        <v>203</v>
      </c>
      <c r="AT1465" s="33">
        <v>186</v>
      </c>
      <c r="AU1465" s="33">
        <v>211</v>
      </c>
      <c r="AV1465" s="33">
        <v>189</v>
      </c>
      <c r="AW1465" s="313">
        <f>+SUM(AS1465:AV1465)</f>
      </c>
      <c r="AX1465" s="33">
        <v>199</v>
      </c>
      <c r="AY1465" s="33">
        <v>185</v>
      </c>
      <c r="AZ1465" s="33">
        <v>204</v>
      </c>
      <c r="BA1465" s="33">
        <v>192</v>
      </c>
      <c r="BB1465" s="313">
        <f>SUM(AX1465:BA1465)</f>
      </c>
      <c r="BC1465" s="33">
        <v>188</v>
      </c>
      <c r="BD1465" s="33">
        <v>174</v>
      </c>
      <c r="BE1465" s="33">
        <v>187</v>
      </c>
      <c r="BF1465" s="33">
        <v>167</v>
      </c>
      <c r="BG1465" s="313">
        <f>SUM(BC1465:BF1465)</f>
      </c>
      <c r="BH1465" s="33">
        <v>174</v>
      </c>
      <c r="BI1465" s="33">
        <v>148</v>
      </c>
      <c r="BJ1465" s="33">
        <v>164</v>
      </c>
      <c r="BK1465" s="33">
        <v>149</v>
      </c>
      <c r="BL1465" s="313">
        <f>SUM(BH1465:BK1465)</f>
      </c>
      <c r="BM1465" s="33">
        <v>163</v>
      </c>
      <c r="BN1465" s="352">
        <v>158</v>
      </c>
      <c r="BO1465" s="352">
        <v>162</v>
      </c>
      <c r="BP1465" s="33">
        <v>173</v>
      </c>
      <c r="BQ1465" s="313">
        <f>SUM(BM1465:BP1465)</f>
      </c>
      <c r="BR1465" s="33">
        <v>155</v>
      </c>
      <c r="BS1465" s="352">
        <v>159</v>
      </c>
      <c r="BT1465" s="352">
        <v>162</v>
      </c>
      <c r="BU1465" s="352">
        <v>165</v>
      </c>
      <c r="BV1465" s="313">
        <f>SUM(BR1465:BU1465)</f>
      </c>
      <c r="BW1465" s="352">
        <v>158</v>
      </c>
      <c r="BX1465" s="352">
        <v>149</v>
      </c>
      <c r="BY1465" s="352">
        <v>142</v>
      </c>
      <c r="BZ1465" s="352">
        <v>153</v>
      </c>
      <c r="CA1465" s="313">
        <f>SUM(BW1465:BZ1465)</f>
      </c>
      <c r="CB1465" s="352">
        <v>160</v>
      </c>
      <c r="CC1465" s="352">
        <v>142</v>
      </c>
      <c r="CD1465" s="352">
        <v>148</v>
      </c>
      <c r="CE1465" s="352">
        <v>150</v>
      </c>
      <c r="CF1465" s="312">
        <f>SUM(CB1465:CE1465)</f>
      </c>
      <c r="CG1465" s="352">
        <v>158</v>
      </c>
      <c r="CH1465" s="352">
        <v>147</v>
      </c>
      <c r="CI1465" s="352">
        <v>154</v>
      </c>
      <c r="CJ1465" s="352">
        <v>170</v>
      </c>
      <c r="CK1465" s="312">
        <f>SUM(CG1465:CJ1465)</f>
      </c>
      <c r="CL1465" s="352">
        <v>170</v>
      </c>
      <c r="CM1465" s="352">
        <v>159</v>
      </c>
      <c r="CN1465" s="352">
        <v>156</v>
      </c>
      <c r="CO1465" s="352">
        <v>163</v>
      </c>
      <c r="CP1465" s="312">
        <f>SUM(CL1465:CO1465)</f>
      </c>
      <c r="CQ1465" s="352">
        <v>156</v>
      </c>
      <c r="CR1465" s="352">
        <v>150</v>
      </c>
      <c r="CS1465" s="352">
        <v>154</v>
      </c>
      <c r="CT1465" s="352">
        <v>156</v>
      </c>
      <c r="CU1465" s="312">
        <f>SUM(CQ1465:CT1465)</f>
      </c>
      <c r="CV1465" s="352">
        <v>157</v>
      </c>
      <c r="CW1465" s="352">
        <v>157</v>
      </c>
      <c r="CX1465" s="352">
        <v>158</v>
      </c>
      <c r="CY1465" s="352">
        <v>165</v>
      </c>
      <c r="CZ1465" s="312">
        <f>SUM(CV1465:CY1465)</f>
      </c>
      <c r="DA1465" s="352">
        <v>151</v>
      </c>
      <c r="DB1465" s="352">
        <v>155</v>
      </c>
      <c r="DC1465" s="352">
        <v>156</v>
      </c>
      <c r="DD1465" s="956">
        <v>159</v>
      </c>
      <c r="DE1465" s="1835">
        <f>SUM(DA1465:DD1465)</f>
      </c>
      <c r="DF1465" s="710">
        <v>176</v>
      </c>
      <c r="DG1465" s="710">
        <v>170</v>
      </c>
      <c r="DH1465" s="710">
        <v>164</v>
      </c>
      <c r="DI1465" s="1839">
        <v>173</v>
      </c>
      <c r="DJ1465" s="1835">
        <f>SUM(DF1465:DI1465)</f>
      </c>
      <c r="DK1465" s="710">
        <v>163</v>
      </c>
      <c r="DL1465" s="1544">
        <v>165</v>
      </c>
      <c r="DM1465" s="710">
        <v>150</v>
      </c>
      <c r="DN1465" s="1839">
        <v>159</v>
      </c>
      <c r="DO1465" s="1835">
        <f>SUM(DK1465:DN1465)</f>
      </c>
      <c r="DP1465" s="710">
        <v>143</v>
      </c>
      <c r="DQ1465" s="710">
        <v>170</v>
      </c>
      <c r="DR1465" s="710">
        <v>158</v>
      </c>
      <c r="DS1465" s="1839">
        <v>164</v>
      </c>
      <c r="DT1465" s="1835">
        <f>SUM(DP1465:DS1465)</f>
      </c>
      <c r="DU1465" s="710">
        <v>159</v>
      </c>
      <c r="DV1465" s="710">
        <v>173</v>
      </c>
      <c r="DW1465" s="1542"/>
      <c r="DX1465" s="1556"/>
      <c r="DY1465" s="1835"/>
      <c r="DZ1465" s="1542"/>
      <c r="EA1465" s="1542"/>
      <c r="EB1465" s="1542"/>
      <c r="EC1465" s="1556"/>
      <c r="ED1465" s="1835"/>
      <c r="EE1465" s="1877"/>
      <c r="EF1465" s="1542"/>
      <c r="EG1465" s="1542"/>
      <c r="EH1465" s="1556"/>
      <c r="EI1465" s="1835"/>
      <c r="EJ1465" s="1835"/>
      <c r="EK1465" s="1835"/>
      <c r="EL1465" s="477"/>
      <c r="EM1465" s="477"/>
      <c r="EN1465" s="477"/>
      <c r="EO1465" s="1798"/>
      <c r="EP1465" s="477"/>
      <c r="EQ1465" s="477"/>
      <c r="ER1465" s="477"/>
      <c r="ES1465" s="477"/>
      <c r="ET1465" s="477"/>
      <c r="EU1465" s="477"/>
      <c r="EV1465" s="477"/>
      <c r="EW1465" s="477"/>
      <c r="EX1465" s="477"/>
    </row>
    <row r="1466" spans="2:154" hidden="1" outlineLevel="1">
      <c r="B1466" s="345" t="s">
        <v>412</v>
      </c>
      <c r="C1466" s="1989"/>
      <c r="D1466" s="28"/>
      <c r="E1466" s="28"/>
      <c r="F1466" s="28"/>
      <c r="G1466" s="28"/>
      <c r="H1466" s="28"/>
      <c r="I1466" s="31"/>
      <c r="J1466" s="28"/>
      <c r="K1466" s="28"/>
      <c r="L1466" s="28"/>
      <c r="M1466" s="28"/>
      <c r="N1466" s="31"/>
      <c r="O1466" s="31"/>
      <c r="P1466" s="31"/>
      <c r="Q1466" s="31"/>
      <c r="R1466" s="31"/>
      <c r="S1466" s="31"/>
      <c r="T1466" s="31"/>
      <c r="U1466" s="31"/>
      <c r="V1466" s="31"/>
      <c r="W1466" s="31"/>
      <c r="X1466" s="313"/>
      <c r="Y1466" s="31"/>
      <c r="Z1466" s="31"/>
      <c r="AA1466" s="31"/>
      <c r="AB1466" s="31"/>
      <c r="AC1466" s="313"/>
      <c r="AD1466" s="31"/>
      <c r="AE1466" s="31"/>
      <c r="AF1466" s="31"/>
      <c r="AG1466" s="31"/>
      <c r="AH1466" s="313"/>
      <c r="AI1466" s="31"/>
      <c r="AJ1466" s="31"/>
      <c r="AK1466" s="31"/>
      <c r="AL1466" s="31"/>
      <c r="AM1466" s="313"/>
      <c r="AN1466" s="31"/>
      <c r="AO1466" s="31"/>
      <c r="AP1466" s="31"/>
      <c r="AQ1466" s="31"/>
      <c r="AR1466" s="313"/>
      <c r="AS1466" s="33">
        <v>156</v>
      </c>
      <c r="AT1466" s="33">
        <v>167</v>
      </c>
      <c r="AU1466" s="33">
        <v>185</v>
      </c>
      <c r="AV1466" s="33">
        <v>190</v>
      </c>
      <c r="AW1466" s="313">
        <f>+SUM(AS1466:AV1466)</f>
      </c>
      <c r="AX1466" s="33">
        <v>187</v>
      </c>
      <c r="AY1466" s="33">
        <v>223</v>
      </c>
      <c r="AZ1466" s="33">
        <v>230</v>
      </c>
      <c r="BA1466" s="33">
        <v>204</v>
      </c>
      <c r="BB1466" s="313">
        <f>SUM(AX1466:BA1466)</f>
      </c>
      <c r="BC1466" s="33">
        <v>177</v>
      </c>
      <c r="BD1466" s="33">
        <v>212</v>
      </c>
      <c r="BE1466" s="33">
        <v>223</v>
      </c>
      <c r="BF1466" s="33">
        <v>241</v>
      </c>
      <c r="BG1466" s="313">
        <f>SUM(BC1466:BF1466)</f>
      </c>
      <c r="BH1466" s="33">
        <v>207</v>
      </c>
      <c r="BI1466" s="33">
        <v>224</v>
      </c>
      <c r="BJ1466" s="33">
        <v>220</v>
      </c>
      <c r="BK1466" s="33">
        <v>240</v>
      </c>
      <c r="BL1466" s="313">
        <f>SUM(BH1466:BK1466)</f>
      </c>
      <c r="BM1466" s="33">
        <v>228</v>
      </c>
      <c r="BN1466" s="352">
        <v>241</v>
      </c>
      <c r="BO1466" s="352">
        <v>260</v>
      </c>
      <c r="BP1466" s="33">
        <v>239</v>
      </c>
      <c r="BQ1466" s="313">
        <f>SUM(BM1466:BP1466)</f>
      </c>
      <c r="BR1466" s="33">
        <v>232</v>
      </c>
      <c r="BS1466" s="352">
        <v>249</v>
      </c>
      <c r="BT1466" s="352">
        <v>251</v>
      </c>
      <c r="BU1466" s="352">
        <v>251</v>
      </c>
      <c r="BV1466" s="313">
        <f>SUM(BR1466:BU1466)</f>
      </c>
      <c r="BW1466" s="352">
        <v>245</v>
      </c>
      <c r="BX1466" s="352">
        <v>257</v>
      </c>
      <c r="BY1466" s="352">
        <v>253</v>
      </c>
      <c r="BZ1466" s="352">
        <v>265</v>
      </c>
      <c r="CA1466" s="313">
        <f>SUM(BW1466:BZ1466)</f>
      </c>
      <c r="CB1466" s="352">
        <v>251</v>
      </c>
      <c r="CC1466" s="352">
        <v>271</v>
      </c>
      <c r="CD1466" s="352">
        <v>261</v>
      </c>
      <c r="CE1466" s="352">
        <v>264</v>
      </c>
      <c r="CF1466" s="312">
        <f>SUM(CB1466:CE1466)</f>
      </c>
      <c r="CG1466" s="352">
        <v>245</v>
      </c>
      <c r="CH1466" s="352">
        <v>244</v>
      </c>
      <c r="CI1466" s="352">
        <v>224</v>
      </c>
      <c r="CJ1466" s="352">
        <v>238</v>
      </c>
      <c r="CK1466" s="312">
        <f>SUM(CG1466:CJ1466)</f>
      </c>
      <c r="CL1466" s="352">
        <v>215</v>
      </c>
      <c r="CM1466" s="352">
        <v>244</v>
      </c>
      <c r="CN1466" s="352">
        <v>227</v>
      </c>
      <c r="CO1466" s="352">
        <v>234</v>
      </c>
      <c r="CP1466" s="312">
        <f>SUM(CL1466:CO1466)</f>
      </c>
      <c r="CQ1466" s="352">
        <v>206</v>
      </c>
      <c r="CR1466" s="352">
        <v>244</v>
      </c>
      <c r="CS1466" s="352">
        <v>228</v>
      </c>
      <c r="CT1466" s="352">
        <v>237</v>
      </c>
      <c r="CU1466" s="312">
        <f>SUM(CQ1466:CT1466)</f>
      </c>
      <c r="CV1466" s="352">
        <v>222</v>
      </c>
      <c r="CW1466" s="352">
        <v>236</v>
      </c>
      <c r="CX1466" s="352">
        <v>226</v>
      </c>
      <c r="CY1466" s="352">
        <v>234</v>
      </c>
      <c r="CZ1466" s="312">
        <f>SUM(CV1466:CY1466)</f>
      </c>
      <c r="DA1466" s="352">
        <v>216</v>
      </c>
      <c r="DB1466" s="352">
        <v>234</v>
      </c>
      <c r="DC1466" s="352">
        <v>223</v>
      </c>
      <c r="DD1466" s="956">
        <v>233</v>
      </c>
      <c r="DE1466" s="1835">
        <f>SUM(DA1466:DD1466)</f>
      </c>
      <c r="DF1466" s="710">
        <v>219</v>
      </c>
      <c r="DG1466" s="710">
        <v>227</v>
      </c>
      <c r="DH1466" s="710">
        <v>248</v>
      </c>
      <c r="DI1466" s="1839">
        <v>264</v>
      </c>
      <c r="DJ1466" s="1835">
        <f>SUM(DF1466:DI1466)</f>
      </c>
      <c r="DK1466" s="710">
        <v>254</v>
      </c>
      <c r="DL1466" s="1544">
        <v>260</v>
      </c>
      <c r="DM1466" s="710">
        <v>248</v>
      </c>
      <c r="DN1466" s="1839">
        <v>246</v>
      </c>
      <c r="DO1466" s="1835">
        <f>SUM(DK1466:DN1466)</f>
      </c>
      <c r="DP1466" s="710">
        <v>223</v>
      </c>
      <c r="DQ1466" s="710">
        <v>224</v>
      </c>
      <c r="DR1466" s="710">
        <v>217</v>
      </c>
      <c r="DS1466" s="1839">
        <v>207</v>
      </c>
      <c r="DT1466" s="1835">
        <f>SUM(DP1466:DS1466)</f>
      </c>
      <c r="DU1466" s="710">
        <v>201.5</v>
      </c>
      <c r="DV1466" s="710">
        <v>225</v>
      </c>
      <c r="DW1466" s="1542"/>
      <c r="DX1466" s="1556"/>
      <c r="DY1466" s="1835"/>
      <c r="DZ1466" s="1542"/>
      <c r="EA1466" s="1542"/>
      <c r="EB1466" s="1542"/>
      <c r="EC1466" s="1556"/>
      <c r="ED1466" s="1835"/>
      <c r="EE1466" s="1877"/>
      <c r="EF1466" s="1542"/>
      <c r="EG1466" s="1542"/>
      <c r="EH1466" s="1556"/>
      <c r="EI1466" s="1835"/>
      <c r="EJ1466" s="1835"/>
      <c r="EK1466" s="1835"/>
      <c r="EL1466" s="477"/>
      <c r="EM1466" s="477"/>
      <c r="EN1466" s="477"/>
      <c r="EO1466" s="1798"/>
      <c r="EP1466" s="477"/>
      <c r="EQ1466" s="477"/>
      <c r="ER1466" s="477"/>
      <c r="ES1466" s="477"/>
      <c r="ET1466" s="477"/>
      <c r="EU1466" s="477"/>
      <c r="EV1466" s="477"/>
      <c r="EW1466" s="477"/>
      <c r="EX1466" s="477"/>
    </row>
    <row r="1467" spans="2:154" hidden="1" outlineLevel="1">
      <c r="B1467" s="345" t="s">
        <v>413</v>
      </c>
      <c r="C1467" s="1989"/>
      <c r="D1467" s="28"/>
      <c r="E1467" s="28"/>
      <c r="F1467" s="28"/>
      <c r="G1467" s="28"/>
      <c r="H1467" s="28"/>
      <c r="I1467" s="31"/>
      <c r="J1467" s="28"/>
      <c r="K1467" s="28"/>
      <c r="L1467" s="28"/>
      <c r="M1467" s="28"/>
      <c r="N1467" s="31"/>
      <c r="O1467" s="31"/>
      <c r="P1467" s="31"/>
      <c r="Q1467" s="31"/>
      <c r="R1467" s="31"/>
      <c r="S1467" s="31"/>
      <c r="T1467" s="31"/>
      <c r="U1467" s="31"/>
      <c r="V1467" s="31"/>
      <c r="W1467" s="31"/>
      <c r="X1467" s="313"/>
      <c r="Y1467" s="31"/>
      <c r="Z1467" s="31"/>
      <c r="AA1467" s="31"/>
      <c r="AB1467" s="31"/>
      <c r="AC1467" s="313"/>
      <c r="AD1467" s="31"/>
      <c r="AE1467" s="31"/>
      <c r="AF1467" s="31"/>
      <c r="AG1467" s="31"/>
      <c r="AH1467" s="313"/>
      <c r="AI1467" s="31"/>
      <c r="AJ1467" s="31"/>
      <c r="AK1467" s="31"/>
      <c r="AL1467" s="31"/>
      <c r="AM1467" s="313"/>
      <c r="AN1467" s="31"/>
      <c r="AO1467" s="31"/>
      <c r="AP1467" s="31"/>
      <c r="AQ1467" s="31"/>
      <c r="AR1467" s="313"/>
      <c r="AS1467" s="28">
        <f>+AS1465+AS1466</f>
      </c>
      <c r="AT1467" s="28">
        <f>+AT1465+AT1466</f>
      </c>
      <c r="AU1467" s="28">
        <f>+AU1465+AU1466</f>
      </c>
      <c r="AV1467" s="28">
        <f>+AV1465+AV1466</f>
      </c>
      <c r="AW1467" s="313">
        <f>+AW1465+AW1466</f>
      </c>
      <c r="AX1467" s="28">
        <f t="shared" ref="AX1467:BF1467" si="2855">+AX1465+AX1466</f>
      </c>
      <c r="AY1467" s="28">
        <f t="shared" si="2855"/>
      </c>
      <c r="AZ1467" s="28">
        <f t="shared" si="2855"/>
      </c>
      <c r="BA1467" s="28">
        <f t="shared" si="2855"/>
      </c>
      <c r="BB1467" s="313">
        <f t="shared" si="2855"/>
      </c>
      <c r="BC1467" s="28">
        <f t="shared" si="2855"/>
      </c>
      <c r="BD1467" s="28">
        <f t="shared" si="2855"/>
      </c>
      <c r="BE1467" s="28">
        <f t="shared" si="2855"/>
      </c>
      <c r="BF1467" s="28">
        <f t="shared" si="2855"/>
      </c>
      <c r="BG1467" s="313">
        <f t="shared" ref="BG1467:BT1467" si="2856">+BG1465+BG1466</f>
      </c>
      <c r="BH1467" s="28">
        <f t="shared" si="2856"/>
      </c>
      <c r="BI1467" s="28">
        <f t="shared" si="2856"/>
      </c>
      <c r="BJ1467" s="28">
        <f t="shared" si="2856"/>
      </c>
      <c r="BK1467" s="28">
        <f t="shared" si="2856"/>
      </c>
      <c r="BL1467" s="313">
        <f>SUM(BH1467:BK1467)</f>
      </c>
      <c r="BM1467" s="28">
        <f>+BM1465+BM1466</f>
      </c>
      <c r="BN1467" s="28">
        <f>+BN1465+BN1466</f>
      </c>
      <c r="BO1467" s="28">
        <f>+BO1465+BO1466</f>
      </c>
      <c r="BP1467" s="28">
        <f>+BP1465+BP1466</f>
      </c>
      <c r="BQ1467" s="313">
        <f>SUM(BM1467:BP1467)</f>
      </c>
      <c r="BR1467" s="28">
        <f t="shared" si="2856"/>
      </c>
      <c r="BS1467" s="28">
        <f>+BS1465+BS1466</f>
      </c>
      <c r="BT1467" s="28">
        <f t="shared" si="2856"/>
      </c>
      <c r="BU1467" s="28">
        <f>+BU1465+BU1466</f>
      </c>
      <c r="BV1467" s="313">
        <f>SUM(BR1467:BU1467)</f>
      </c>
      <c r="BW1467" s="28">
        <f>+BW1465+BW1466</f>
      </c>
      <c r="BX1467" s="28">
        <f>+BX1465+BX1466</f>
      </c>
      <c r="BY1467" s="28">
        <f>+BY1465+BY1466</f>
      </c>
      <c r="BZ1467" s="28">
        <f>+BZ1465+BZ1466</f>
      </c>
      <c r="CA1467" s="313">
        <f>SUM(BW1467:BZ1467)</f>
      </c>
      <c r="CB1467" s="28">
        <f>+CB1465+CB1466</f>
      </c>
      <c r="CC1467" s="28">
        <f>+CC1465+CC1466</f>
      </c>
      <c r="CD1467" s="28">
        <f>+CD1465+CD1466</f>
      </c>
      <c r="CE1467" s="28">
        <f>+CE1465+CE1466</f>
      </c>
      <c r="CF1467" s="312">
        <f>SUM(CB1467:CE1467)</f>
      </c>
      <c r="CG1467" s="28">
        <f>+CG1465+CG1466</f>
      </c>
      <c r="CH1467" s="28">
        <f>+CH1465+CH1466</f>
      </c>
      <c r="CI1467" s="28">
        <f>+CI1465+CI1466</f>
      </c>
      <c r="CJ1467" s="28">
        <f>+CJ1465+CJ1466</f>
      </c>
      <c r="CK1467" s="312">
        <f>SUM(CG1467:CJ1467)</f>
      </c>
      <c r="CL1467" s="28">
        <f>+CL1465+CL1466</f>
      </c>
      <c r="CM1467" s="28">
        <f>+CM1465+CM1466</f>
      </c>
      <c r="CN1467" s="28">
        <f>+CN1465+CN1466</f>
      </c>
      <c r="CO1467" s="28">
        <f>+CO1465+CO1466</f>
      </c>
      <c r="CP1467" s="312">
        <f>SUM(CL1467:CO1467)</f>
      </c>
      <c r="CQ1467" s="933">
        <f>+CQ1465+CQ1466</f>
      </c>
      <c r="CR1467" s="933">
        <f>+CR1465+CR1466</f>
      </c>
      <c r="CS1467" s="933">
        <f>+CS1465+CS1466</f>
      </c>
      <c r="CT1467" s="933">
        <f>+CT1465+CT1466</f>
      </c>
      <c r="CU1467" s="312">
        <f>SUM(CQ1467:CT1467)</f>
      </c>
      <c r="CV1467" s="933">
        <f>+CV1465+CV1466</f>
      </c>
      <c r="CW1467" s="933">
        <f>+CW1465+CW1466</f>
      </c>
      <c r="CX1467" s="933">
        <f>+CX1465+CX1466</f>
      </c>
      <c r="CY1467" s="933">
        <f>+CY1465+CY1466</f>
      </c>
      <c r="CZ1467" s="312">
        <f>SUM(CV1467:CY1467)</f>
      </c>
      <c r="DA1467" s="933">
        <f>+DA1465+DA1466</f>
      </c>
      <c r="DB1467" s="933">
        <f>SUM(DB1465:DB1466)</f>
      </c>
      <c r="DC1467" s="36">
        <f>SUM(DC1465:DC1466)</f>
      </c>
      <c r="DD1467" s="984">
        <f>+DD1465+DD1466</f>
      </c>
      <c r="DE1467" s="1835">
        <f>SUM(DA1467:DD1467)</f>
      </c>
      <c r="DF1467" s="1542">
        <f>SUM(DF1465:DF1466)</f>
      </c>
      <c r="DG1467" s="1542">
        <f>SUM(DG1465:DG1466)</f>
      </c>
      <c r="DH1467" s="1542">
        <f>SUM(DH1465:DH1466)</f>
      </c>
      <c r="DI1467" s="1556">
        <f>+DI1465+DI1466</f>
      </c>
      <c r="DJ1467" s="1835">
        <f>SUM(DF1467:DI1467)</f>
      </c>
      <c r="DK1467" s="1542">
        <f>SUM(DK1465:DK1466)</f>
      </c>
      <c r="DL1467" s="1542">
        <f>SUM(DL1465:DL1466)</f>
      </c>
      <c r="DM1467" s="1542">
        <f>SUM(DM1465:DM1466)</f>
      </c>
      <c r="DN1467" s="1556">
        <f>+DN1465+DN1466</f>
      </c>
      <c r="DO1467" s="1835">
        <f>+DO1465+DO1466</f>
      </c>
      <c r="DP1467" s="1542">
        <f>SUM(DP1465:DP1466)</f>
      </c>
      <c r="DQ1467" s="1542">
        <f>SUM(DQ1465:DQ1466)</f>
      </c>
      <c r="DR1467" s="1542">
        <f>SUM(DR1465:DR1466)</f>
      </c>
      <c r="DS1467" s="1556">
        <f>+DS1465+DS1466</f>
      </c>
      <c r="DT1467" s="1835">
        <f>+DT1465+DT1466</f>
      </c>
      <c r="DU1467" s="1542">
        <f>SUM(DU1465:DU1466)</f>
      </c>
      <c r="DV1467" s="1542">
        <f>SUM(DV1465:DV1466)</f>
      </c>
      <c r="DW1467" s="1542"/>
      <c r="DX1467" s="1556"/>
      <c r="DY1467" s="1835"/>
      <c r="DZ1467" s="1542"/>
      <c r="EA1467" s="1542"/>
      <c r="EB1467" s="1542"/>
      <c r="EC1467" s="1556"/>
      <c r="ED1467" s="1835"/>
      <c r="EE1467" s="1877"/>
      <c r="EF1467" s="1542"/>
      <c r="EG1467" s="1542"/>
      <c r="EH1467" s="1556"/>
      <c r="EI1467" s="1835"/>
      <c r="EJ1467" s="1835"/>
      <c r="EK1467" s="1835"/>
      <c r="EL1467" s="477"/>
      <c r="EM1467" s="477"/>
      <c r="EN1467" s="477"/>
      <c r="EO1467" s="1798"/>
      <c r="EP1467" s="477"/>
      <c r="EQ1467" s="477"/>
      <c r="ER1467" s="477"/>
      <c r="ES1467" s="477"/>
      <c r="ET1467" s="477"/>
      <c r="EU1467" s="477"/>
      <c r="EV1467" s="477"/>
      <c r="EW1467" s="477"/>
      <c r="EX1467" s="477"/>
    </row>
    <row r="1468" spans="2:154" hidden="1" outlineLevel="1">
      <c r="B1468" s="345"/>
      <c r="C1468" s="1989"/>
      <c r="D1468" s="28"/>
      <c r="E1468" s="28"/>
      <c r="F1468" s="28"/>
      <c r="G1468" s="28"/>
      <c r="H1468" s="28"/>
      <c r="I1468" s="31"/>
      <c r="J1468" s="28"/>
      <c r="K1468" s="28"/>
      <c r="L1468" s="28"/>
      <c r="M1468" s="28"/>
      <c r="N1468" s="31"/>
      <c r="O1468" s="31"/>
      <c r="P1468" s="31"/>
      <c r="Q1468" s="31"/>
      <c r="R1468" s="31"/>
      <c r="S1468" s="31"/>
      <c r="T1468" s="31"/>
      <c r="U1468" s="31"/>
      <c r="V1468" s="31"/>
      <c r="W1468" s="31"/>
      <c r="X1468" s="313"/>
      <c r="Y1468" s="31"/>
      <c r="Z1468" s="31"/>
      <c r="AA1468" s="31"/>
      <c r="AB1468" s="31"/>
      <c r="AC1468" s="313"/>
      <c r="AD1468" s="31"/>
      <c r="AE1468" s="31"/>
      <c r="AF1468" s="31"/>
      <c r="AG1468" s="31"/>
      <c r="AH1468" s="313"/>
      <c r="AI1468" s="28"/>
      <c r="AJ1468" s="28"/>
      <c r="AK1468" s="28"/>
      <c r="AL1468" s="31"/>
      <c r="AM1468" s="313"/>
      <c r="AN1468" s="28"/>
      <c r="AO1468" s="28"/>
      <c r="AP1468" s="28"/>
      <c r="AQ1468" s="31"/>
      <c r="AR1468" s="313"/>
      <c r="AS1468" s="28"/>
      <c r="AT1468" s="28"/>
      <c r="AU1468" s="28"/>
      <c r="AV1468" s="31"/>
      <c r="AW1468" s="313"/>
      <c r="AX1468" s="28"/>
      <c r="AY1468" s="28"/>
      <c r="AZ1468" s="28"/>
      <c r="BA1468" s="28"/>
      <c r="BB1468" s="313"/>
      <c r="BC1468" s="28"/>
      <c r="BD1468" s="28"/>
      <c r="BE1468" s="28"/>
      <c r="BF1468" s="28"/>
      <c r="BG1468" s="313"/>
      <c r="BH1468" s="28"/>
      <c r="BI1468" s="28"/>
      <c r="BJ1468" s="28"/>
      <c r="BK1468" s="28"/>
      <c r="BL1468" s="313"/>
      <c r="BM1468" s="28"/>
      <c r="BN1468" s="28"/>
      <c r="BO1468" s="28"/>
      <c r="BP1468" s="28"/>
      <c r="BQ1468" s="313"/>
      <c r="BR1468" s="28"/>
      <c r="BS1468" s="28"/>
      <c r="BT1468" s="28"/>
      <c r="BU1468" s="28"/>
      <c r="BV1468" s="313"/>
      <c r="BW1468" s="28"/>
      <c r="BX1468" s="28"/>
      <c r="BY1468" s="28"/>
      <c r="BZ1468" s="28"/>
      <c r="CA1468" s="313"/>
      <c r="CB1468" s="28"/>
      <c r="CC1468" s="28"/>
      <c r="CD1468" s="28"/>
      <c r="CE1468" s="28"/>
      <c r="CF1468" s="313"/>
      <c r="CG1468" s="28"/>
      <c r="CH1468" s="28"/>
      <c r="CI1468" s="28"/>
      <c r="CJ1468" s="28"/>
      <c r="CK1468" s="313"/>
      <c r="CL1468" s="28"/>
      <c r="CM1468" s="28"/>
      <c r="CN1468" s="28"/>
      <c r="CO1468" s="28"/>
      <c r="CP1468" s="313"/>
      <c r="CQ1468" s="933"/>
      <c r="CR1468" s="933"/>
      <c r="CS1468" s="933"/>
      <c r="CT1468" s="933"/>
      <c r="CU1468" s="313"/>
      <c r="CV1468" s="933"/>
      <c r="CW1468" s="933"/>
      <c r="CX1468" s="933"/>
      <c r="CY1468" s="933"/>
      <c r="CZ1468" s="313"/>
      <c r="DA1468" s="933"/>
      <c r="DB1468" s="31"/>
      <c r="DC1468" s="31"/>
      <c r="DD1468" s="955"/>
      <c r="DE1468" s="477"/>
      <c r="DF1468" s="982"/>
      <c r="DG1468" s="603"/>
      <c r="DH1468" s="603"/>
      <c r="DI1468" s="1798"/>
      <c r="DJ1468" s="477"/>
      <c r="DK1468" s="982"/>
      <c r="DL1468" s="603"/>
      <c r="DM1468" s="603"/>
      <c r="DN1468" s="1798"/>
      <c r="DO1468" s="477"/>
      <c r="DP1468" s="603"/>
      <c r="DQ1468" s="603"/>
      <c r="DR1468" s="603"/>
      <c r="DS1468" s="1798"/>
      <c r="DT1468" s="477"/>
      <c r="DU1468" s="603"/>
      <c r="DV1468" s="603"/>
      <c r="DW1468" s="603"/>
      <c r="DX1468" s="1798"/>
      <c r="DY1468" s="477"/>
      <c r="DZ1468" s="603"/>
      <c r="EA1468" s="603"/>
      <c r="EB1468" s="603"/>
      <c r="EC1468" s="1798"/>
      <c r="ED1468" s="477"/>
      <c r="EE1468" s="1799"/>
      <c r="EF1468" s="603"/>
      <c r="EG1468" s="603"/>
      <c r="EH1468" s="1798"/>
      <c r="EI1468" s="477"/>
      <c r="EJ1468" s="477"/>
      <c r="EK1468" s="477"/>
      <c r="EL1468" s="477"/>
      <c r="EM1468" s="477"/>
      <c r="EN1468" s="477"/>
      <c r="EO1468" s="1798"/>
      <c r="EP1468" s="477"/>
      <c r="EQ1468" s="477"/>
      <c r="ER1468" s="477"/>
      <c r="ES1468" s="477"/>
      <c r="ET1468" s="477"/>
      <c r="EU1468" s="477"/>
      <c r="EV1468" s="477"/>
      <c r="EW1468" s="477"/>
      <c r="EX1468" s="477"/>
    </row>
    <row r="1469" spans="2:154" hidden="1" outlineLevel="1">
      <c r="B1469" s="343" t="s">
        <v>372</v>
      </c>
      <c r="C1469" s="1989"/>
      <c r="D1469" s="28"/>
      <c r="E1469" s="28"/>
      <c r="F1469" s="28"/>
      <c r="G1469" s="28"/>
      <c r="H1469" s="28"/>
      <c r="I1469" s="31"/>
      <c r="J1469" s="28"/>
      <c r="K1469" s="28"/>
      <c r="L1469" s="28"/>
      <c r="M1469" s="28"/>
      <c r="N1469" s="31"/>
      <c r="O1469" s="31"/>
      <c r="P1469" s="31"/>
      <c r="Q1469" s="31"/>
      <c r="R1469" s="31"/>
      <c r="S1469" s="31"/>
      <c r="T1469" s="31"/>
      <c r="U1469" s="31"/>
      <c r="V1469" s="31"/>
      <c r="W1469" s="31"/>
      <c r="X1469" s="313"/>
      <c r="Y1469" s="31"/>
      <c r="Z1469" s="31"/>
      <c r="AA1469" s="31"/>
      <c r="AB1469" s="31"/>
      <c r="AC1469" s="313"/>
      <c r="AD1469" s="31"/>
      <c r="AE1469" s="31"/>
      <c r="AF1469" s="31"/>
      <c r="AG1469" s="31"/>
      <c r="AH1469" s="313"/>
      <c r="AI1469" s="28"/>
      <c r="AJ1469" s="28"/>
      <c r="AK1469" s="28"/>
      <c r="AL1469" s="31"/>
      <c r="AM1469" s="313"/>
      <c r="AN1469" s="28"/>
      <c r="AO1469" s="28"/>
      <c r="AP1469" s="28"/>
      <c r="AQ1469" s="28"/>
      <c r="AR1469" s="313"/>
      <c r="AS1469" s="28"/>
      <c r="AT1469" s="28"/>
      <c r="AU1469" s="28"/>
      <c r="AV1469" s="28"/>
      <c r="AW1469" s="313"/>
      <c r="AX1469" s="28"/>
      <c r="AY1469" s="28"/>
      <c r="AZ1469" s="28"/>
      <c r="BA1469" s="28"/>
      <c r="BB1469" s="313"/>
      <c r="BC1469" s="28"/>
      <c r="BD1469" s="28"/>
      <c r="BE1469" s="28"/>
      <c r="BF1469" s="28"/>
      <c r="BG1469" s="313"/>
      <c r="BH1469" s="28"/>
      <c r="BI1469" s="28"/>
      <c r="BJ1469" s="28"/>
      <c r="BK1469" s="28"/>
      <c r="BL1469" s="313"/>
      <c r="BM1469" s="28"/>
      <c r="BN1469" s="28"/>
      <c r="BO1469" s="28"/>
      <c r="BP1469" s="28"/>
      <c r="BQ1469" s="313"/>
      <c r="BR1469" s="28"/>
      <c r="BS1469" s="28"/>
      <c r="BT1469" s="28"/>
      <c r="BU1469" s="28"/>
      <c r="BV1469" s="313"/>
      <c r="BW1469" s="28"/>
      <c r="BX1469" s="28"/>
      <c r="BY1469" s="28"/>
      <c r="BZ1469" s="28"/>
      <c r="CA1469" s="313"/>
      <c r="CB1469" s="28"/>
      <c r="CC1469" s="28"/>
      <c r="CD1469" s="28"/>
      <c r="CE1469" s="28"/>
      <c r="CF1469" s="313"/>
      <c r="CG1469" s="28"/>
      <c r="CH1469" s="28"/>
      <c r="CI1469" s="28"/>
      <c r="CJ1469" s="28"/>
      <c r="CK1469" s="313"/>
      <c r="CL1469" s="28"/>
      <c r="CM1469" s="28"/>
      <c r="CN1469" s="28"/>
      <c r="CO1469" s="28"/>
      <c r="CP1469" s="313"/>
      <c r="CQ1469" s="933"/>
      <c r="CR1469" s="933"/>
      <c r="CS1469" s="933"/>
      <c r="CT1469" s="933"/>
      <c r="CU1469" s="313"/>
      <c r="CV1469" s="933"/>
      <c r="CW1469" s="933"/>
      <c r="CX1469" s="933"/>
      <c r="CY1469" s="933"/>
      <c r="CZ1469" s="313"/>
      <c r="DA1469" s="933"/>
      <c r="DB1469" s="31"/>
      <c r="DC1469" s="31"/>
      <c r="DD1469" s="955"/>
      <c r="DE1469" s="477"/>
      <c r="DF1469" s="982"/>
      <c r="DG1469" s="603"/>
      <c r="DH1469" s="603"/>
      <c r="DI1469" s="1798"/>
      <c r="DJ1469" s="477"/>
      <c r="DK1469" s="982"/>
      <c r="DL1469" s="603"/>
      <c r="DM1469" s="603"/>
      <c r="DN1469" s="1798"/>
      <c r="DO1469" s="477"/>
      <c r="DP1469" s="603"/>
      <c r="DQ1469" s="603"/>
      <c r="DR1469" s="603"/>
      <c r="DS1469" s="1798"/>
      <c r="DT1469" s="477"/>
      <c r="DU1469" s="603"/>
      <c r="DV1469" s="603"/>
      <c r="DW1469" s="603"/>
      <c r="DX1469" s="1798"/>
      <c r="DY1469" s="477"/>
      <c r="DZ1469" s="603"/>
      <c r="EA1469" s="603"/>
      <c r="EB1469" s="603"/>
      <c r="EC1469" s="1798"/>
      <c r="ED1469" s="477"/>
      <c r="EE1469" s="1799"/>
      <c r="EF1469" s="603"/>
      <c r="EG1469" s="603"/>
      <c r="EH1469" s="1798"/>
      <c r="EI1469" s="477"/>
      <c r="EJ1469" s="477"/>
      <c r="EK1469" s="477"/>
      <c r="EL1469" s="477"/>
      <c r="EM1469" s="477"/>
      <c r="EN1469" s="477"/>
      <c r="EO1469" s="1798"/>
      <c r="EP1469" s="477"/>
      <c r="EQ1469" s="477"/>
      <c r="ER1469" s="477"/>
      <c r="ES1469" s="477"/>
      <c r="ET1469" s="477"/>
      <c r="EU1469" s="477"/>
      <c r="EV1469" s="477"/>
      <c r="EW1469" s="477"/>
      <c r="EX1469" s="477"/>
    </row>
    <row r="1470" spans="2:154" hidden="1" outlineLevel="1">
      <c r="B1470" s="510" t="s">
        <v>187</v>
      </c>
      <c r="C1470" s="1989"/>
      <c r="D1470" s="28"/>
      <c r="E1470" s="28"/>
      <c r="F1470" s="28"/>
      <c r="G1470" s="28"/>
      <c r="H1470" s="28"/>
      <c r="I1470" s="30"/>
      <c r="J1470" s="30"/>
      <c r="K1470" s="30"/>
      <c r="L1470" s="30"/>
      <c r="M1470" s="30"/>
      <c r="N1470" s="30"/>
      <c r="O1470" s="30"/>
      <c r="P1470" s="30"/>
      <c r="Q1470" s="30"/>
      <c r="R1470" s="30"/>
      <c r="S1470" s="30"/>
      <c r="T1470" s="30"/>
      <c r="U1470" s="30"/>
      <c r="V1470" s="30"/>
      <c r="W1470" s="30"/>
      <c r="X1470" s="308"/>
      <c r="Y1470" s="30"/>
      <c r="Z1470" s="30"/>
      <c r="AA1470" s="30"/>
      <c r="AB1470" s="30"/>
      <c r="AC1470" s="308"/>
      <c r="AD1470" s="30"/>
      <c r="AE1470" s="30"/>
      <c r="AF1470" s="30"/>
      <c r="AG1470" s="30"/>
      <c r="AH1470" s="308"/>
      <c r="AI1470" s="30"/>
      <c r="AJ1470" s="30"/>
      <c r="AK1470" s="30"/>
      <c r="AL1470" s="30"/>
      <c r="AM1470" s="308"/>
      <c r="AN1470" s="30"/>
      <c r="AO1470" s="30"/>
      <c r="AP1470" s="30"/>
      <c r="AQ1470" s="30"/>
      <c r="AR1470" s="308"/>
      <c r="AS1470" s="30"/>
      <c r="AT1470" s="30"/>
      <c r="AU1470" s="30"/>
      <c r="AV1470" s="30"/>
      <c r="AW1470" s="308"/>
      <c r="AX1470" s="30">
        <f t="shared" ref="AX1470:BO1471" si="2857">IF(AS1465="NM","NM",IF(AX1465="NM","NM",IF(AS1465&lt;=0,"NM",IF(AX1465=0,"NM",IF(ABS(AX1465/AS1465-1)&gt;2.5,"NM",IF((ABS(AX1465-AS1465)=ABS(ABS(AX1465)-ABS(AS1465))),(AX1465/AS1465-1),"NM"))))))</f>
      </c>
      <c r="AY1470" s="30">
        <f t="shared" si="2857"/>
      </c>
      <c r="AZ1470" s="30">
        <f t="shared" si="2857"/>
      </c>
      <c r="BA1470" s="30">
        <f t="shared" si="2857"/>
      </c>
      <c r="BB1470" s="308">
        <f t="shared" si="2857"/>
      </c>
      <c r="BC1470" s="30">
        <f t="shared" si="2857"/>
      </c>
      <c r="BD1470" s="30">
        <f t="shared" si="2857"/>
      </c>
      <c r="BE1470" s="30">
        <f t="shared" si="2857"/>
      </c>
      <c r="BF1470" s="30">
        <f t="shared" si="2857"/>
      </c>
      <c r="BG1470" s="308">
        <f>IF(BB1465="NM","NM",IF(BG1465="NM","NM",IF(BB1465&lt;=0,"NM",IF(BG1465=0,"NM",IF(ABS(BG1465/BB1465-1)&gt;2.5,"NM",IF((ABS(BG1465-BB1465)=ABS(ABS(BG1465)-ABS(BB1465))),(BG1465/BB1465-1),"NM"))))))</f>
      </c>
      <c r="BH1470" s="30">
        <f t="shared" si="2857"/>
      </c>
      <c r="BI1470" s="30">
        <f t="shared" si="2857"/>
      </c>
      <c r="BJ1470" s="30">
        <f t="shared" si="2857"/>
      </c>
      <c r="BK1470" s="30">
        <f t="shared" si="2857"/>
      </c>
      <c r="BL1470" s="308">
        <f>IF(BG1465="NM","NM",IF(BL1465="NM","NM",IF(BG1465&lt;=0,"NM",IF(BL1465=0,"NM",IF(ABS(BL1465/BG1465-1)&gt;2.5,"NM",IF((ABS(BL1465-BG1465)=ABS(ABS(BL1465)-ABS(BG1465))),(BL1465/BG1465-1),"NM"))))))</f>
      </c>
      <c r="BM1470" s="30">
        <f t="shared" si="2857"/>
      </c>
      <c r="BN1470" s="30">
        <f t="shared" si="2857"/>
      </c>
      <c r="BO1470" s="30">
        <f t="shared" si="2857"/>
      </c>
      <c r="BP1470" s="30">
        <f t="shared" ref="BP1470:BY1471" si="2858">IF(BK1465="NM","NM",IF(BP1465="NM","NM",IF(BK1465&lt;=0,"NM",IF(BP1465=0,"NM",IF(ABS(BP1465/BK1465-1)&gt;2.5,"NM",IF((ABS(BP1465-BK1465)=ABS(ABS(BP1465)-ABS(BK1465))),(BP1465/BK1465-1),"NM"))))))</f>
      </c>
      <c r="BQ1470" s="308">
        <f t="shared" si="2858"/>
      </c>
      <c r="BR1470" s="30">
        <f t="shared" si="2858"/>
      </c>
      <c r="BS1470" s="30">
        <f t="shared" si="2858"/>
      </c>
      <c r="BT1470" s="30">
        <f t="shared" si="2858"/>
      </c>
      <c r="BU1470" s="30">
        <f>IF(BP1465="NM","NM",IF(BU1465="NM","NM",IF(BP1465&lt;=0,"NM",IF(BU1465=0,"NM",IF(ABS(BU1465/BP1465-1)&gt;2.5,"NM",IF((ABS(BU1465-BP1465)=ABS(ABS(BU1465)-ABS(BP1465))),(BU1465/BP1465-1),"NM"))))))</f>
      </c>
      <c r="BV1470" s="308">
        <f t="shared" si="2858"/>
      </c>
      <c r="BW1470" s="30">
        <f t="shared" si="2858"/>
      </c>
      <c r="BX1470" s="30">
        <f t="shared" si="2858"/>
      </c>
      <c r="BY1470" s="30">
        <f t="shared" si="2858"/>
      </c>
      <c r="BZ1470" s="30">
        <f>IF(BU1465="NM","NM",IF(BZ1465="NM","NM",IF(BU1465&lt;=0,"NM",IF(BZ1465=0,"NM",IF(ABS(BZ1465/BU1465-1)&gt;2.5,"NM",IF((ABS(BZ1465-BU1465)=ABS(ABS(BZ1465)-ABS(BU1465))),(BZ1465/BU1465-1),"NM"))))))</f>
      </c>
      <c r="CA1470" s="315">
        <f>IF(BV1465="NM","NM",IF(CA1465="NM","NM",IF(BV1465&lt;=0,"NM",IF(CA1465=0,"NM",IF(ABS(CA1465/BV1465-1)&gt;2.5,"NM",IF((ABS(CA1465-BV1465)=ABS(ABS(CA1465)-ABS(BV1465))),(CA1465/BV1465-1),"NM"))))))</f>
      </c>
      <c r="CB1470" s="30">
        <f t="shared" ref="CB1470:CD1471" si="2859">IF(BW1465="NM","NM",IF(CB1465="NM","NM",IF(BW1465&lt;=0,"NM",IF(CB1465=0,"NM",IF(ABS(CB1465/BW1465-1)&gt;2.5,"NM",IF((ABS(CB1465-BW1465)=ABS(ABS(CB1465)-ABS(BW1465))),(CB1465/BW1465-1),"NM"))))))</f>
      </c>
      <c r="CC1470" s="30">
        <f t="shared" si="2859"/>
      </c>
      <c r="CD1470" s="30">
        <f t="shared" si="2859"/>
      </c>
      <c r="CE1470" s="30">
        <f>IF(BZ1465="NM","NM",IF(CE1465="NM","NM",IF(BZ1465&lt;=0,"NM",IF(CE1465=0,"NM",IF(ABS(CE1465/BZ1465-1)&gt;2.5,"NM",IF((ABS(CE1465-BZ1465)=ABS(ABS(CE1465)-ABS(BZ1465))),(CE1465/BZ1465-1),"NM"))))))</f>
      </c>
      <c r="CF1470" s="315">
        <f>IF(CA1465="NM","NM",IF(CF1465="NM","NM",IF(CA1465&lt;=0,"NM",IF(CF1465=0,"NM",IF(ABS(CF1465/CA1465-1)&gt;2.5,"NM",IF((ABS(CF1465-CA1465)=ABS(ABS(CF1465)-ABS(CA1465))),(CF1465/CA1465-1),"NM"))))))</f>
      </c>
      <c r="CG1470" s="30">
        <f t="shared" ref="CG1470:CX1471" si="2860">IF(CB1465="NM","NM",IF(CG1465="NM","NM",IF(CB1465&lt;=0,"NM",IF(CG1465=0,"NM",IF(ABS(CG1465/CB1465-1)&gt;2.5,"NM",IF((ABS(CG1465-CB1465)=ABS(ABS(CG1465)-ABS(CB1465))),(CG1465/CB1465-1),"NM"))))))</f>
      </c>
      <c r="CH1470" s="30">
        <f t="shared" si="2860"/>
      </c>
      <c r="CI1470" s="30">
        <f t="shared" si="2860"/>
      </c>
      <c r="CJ1470" s="30">
        <f t="shared" si="2860"/>
      </c>
      <c r="CK1470" s="308">
        <f>IF(CF1465=0, 0, CK1465/CF1465-1)</f>
      </c>
      <c r="CL1470" s="30">
        <f t="shared" si="2860"/>
      </c>
      <c r="CM1470" s="30">
        <f t="shared" si="2860"/>
      </c>
      <c r="CN1470" s="30">
        <f t="shared" si="2860"/>
      </c>
      <c r="CO1470" s="30">
        <f t="shared" si="2860"/>
      </c>
      <c r="CP1470" s="308">
        <f>IF(CK1465=0, 0, CP1465/CK1465-1)</f>
      </c>
      <c r="CQ1470" s="30">
        <f t="shared" si="2860"/>
      </c>
      <c r="CR1470" s="30">
        <f t="shared" si="2860"/>
      </c>
      <c r="CS1470" s="30">
        <f t="shared" si="2860"/>
      </c>
      <c r="CT1470" s="30">
        <f t="shared" si="2860"/>
      </c>
      <c r="CU1470" s="308">
        <f>IF(CP1465=0, 0, CU1465/CP1465-1)</f>
      </c>
      <c r="CV1470" s="30">
        <f t="shared" si="2860"/>
      </c>
      <c r="CW1470" s="30">
        <f t="shared" si="2860"/>
      </c>
      <c r="CX1470" s="30">
        <f t="shared" si="2860"/>
      </c>
      <c r="CY1470" s="30">
        <f>IF(CT1465="NM","NM",IF(CY1465="NM","NM",IF(CT1465&lt;=0,"NM",IF(CY1465=0,"NM",IF(ABS(CY1465/CT1465-1)&gt;2.5,"NM",IF((ABS(CY1465-CT1465)=ABS(ABS(CY1465)-ABS(CT1465))),(CY1465/CT1465-1),"NM"))))))</f>
      </c>
      <c r="CZ1470" s="308">
        <f>IF(CU1465=0, 0, CZ1465/CU1465-1)</f>
      </c>
      <c r="DA1470" s="30">
        <f t="shared" ref="DA1470:DD1471" si="2861">IF(CV1465="NM","NM",IF(DA1465="NM","NM",IF(CV1465&lt;=0,"NM",IF(DA1465=0,"NM",IF(ABS(DA1465/CV1465-1)&gt;2.5,"NM",IF((ABS(DA1465-CV1465)=ABS(ABS(DA1465)-ABS(CV1465))),(DA1465/CV1465-1),"NM"))))))</f>
      </c>
      <c r="DB1470" s="30">
        <f t="shared" si="2861"/>
      </c>
      <c r="DC1470" s="30">
        <f t="shared" si="2861"/>
      </c>
      <c r="DD1470" s="30">
        <f t="shared" si="2861"/>
      </c>
      <c r="DE1470" s="308">
        <f>IF(CZ1465=0, 0, DE1465/CZ1465-1)</f>
      </c>
      <c r="DF1470" s="926">
        <f t="shared" ref="DF1470:DI1471" si="2862">IF(DA1465="NM","NM",IF(DF1465="NM","NM",IF(DA1465&lt;=0,"NM",IF(DF1465=0,"NM",IF(ABS(DF1465/DA1465-1)&gt;2.5,"NM",IF((ABS(DF1465-DA1465)=ABS(ABS(DF1465)-ABS(DA1465))),(DF1465/DA1465-1),"NM"))))))</f>
      </c>
      <c r="DG1470" s="30">
        <f t="shared" si="2862"/>
      </c>
      <c r="DH1470" s="30">
        <f t="shared" si="2862"/>
      </c>
      <c r="DI1470" s="30">
        <f t="shared" si="2862"/>
      </c>
      <c r="DJ1470" s="308">
        <f>IF(DE1465=0, 0, DJ1465/DE1465-1)</f>
      </c>
      <c r="DK1470" s="926">
        <v>0.01</v>
      </c>
      <c r="DL1470" s="30">
        <f>IF(DG1465="NM","NM",IF(DL1465="NM","NM",IF(DG1465&lt;=0,"NM",IF(DL1465=0,"NM",IF(ABS(DL1465/DG1465-1)&gt;2.5,"NM",IF((ABS(DL1465-DG1465)=ABS(ABS(DL1465)-ABS(DG1465))),(DL1465/DG1465-1),"NM"))))))</f>
      </c>
      <c r="DM1470" s="30">
        <f>IF(DH1465="NM","NM",IF(DM1465="NM","NM",IF(DH1465&lt;=0,"NM",IF(DM1465=0,"NM",IF(ABS(DM1465/DH1465-1)&gt;2.5,"NM",IF((ABS(DM1465-DH1465)=ABS(ABS(DM1465)-ABS(DH1465))),(DM1465/DH1465-1),"NM"))))))</f>
      </c>
      <c r="DN1470" s="927">
        <f>IF(DN1465=0,"NM",+DN1465/DI1465-1)</f>
      </c>
      <c r="DO1470" s="308">
        <f>IF(DJ1465=0, 0, DO1465/DJ1465-1)</f>
      </c>
      <c r="DP1470" s="926">
        <v>0.01</v>
      </c>
      <c r="DQ1470" s="926">
        <f>IF(DL1465="NM","NM",IF(DQ1465="NM","NM",IF(DL1465&lt;=0,"NM",IF(DQ1465=0,"NM",IF(ABS(DQ1465/DL1465-1)&gt;2.5,"NM",IF((ABS(DQ1465-DL1465)=ABS(ABS(DQ1465)-ABS(DL1465))),(DQ1465/DL1465-1),"NM"))))))</f>
      </c>
      <c r="DR1470" s="926">
        <f>IF(DM1465="NM","NM",IF(DR1465="NM","NM",IF(DM1465&lt;=0,"NM",IF(DR1465=0,"NM",IF(ABS(DR1465/DM1465-1)&gt;2.5,"NM",IF((ABS(DR1465-DM1465)=ABS(ABS(DR1465)-ABS(DM1465))),(DR1465/DM1465-1),"NM"))))))</f>
      </c>
      <c r="DS1470" s="928">
        <f>IF(DS1465=0,"NM",+DS1465/DN1465-1)</f>
      </c>
      <c r="DT1470" s="308">
        <f>IF(DO1465=0, 0, DT1465/DO1465-1)</f>
      </c>
      <c r="DU1470" s="926">
        <f>IF(DP1465="NM","NM",IF(DU1465="NM","NM",IF(DP1465&lt;=0,"NM",IF(DU1465=0,"NM",IF(ABS(DU1465/DP1465-1)&gt;2.5,"NM",IF((ABS(DU1465-DP1465)=ABS(ABS(DU1465)-ABS(DP1465))),(DU1465/DP1465-1),"NM"))))))</f>
      </c>
      <c r="DV1470" s="926">
        <f>IF(DQ1465="NM","NM",IF(DV1465="NM","NM",IF(DQ1465&lt;=0,"NM",IF(DV1465=0,"NM",IF(ABS(DV1465/DQ1465-1)&gt;2.5,"NM",IF((ABS(DV1465-DQ1465)=ABS(ABS(DV1465)-ABS(DQ1465))),(DV1465/DQ1465-1),"NM"))))))</f>
      </c>
      <c r="DW1470" s="1741"/>
      <c r="DX1470" s="928"/>
      <c r="DY1470" s="317"/>
      <c r="DZ1470" s="1741"/>
      <c r="EA1470" s="1741"/>
      <c r="EB1470" s="1741"/>
      <c r="EC1470" s="928"/>
      <c r="ED1470" s="317"/>
      <c r="EE1470" s="400"/>
      <c r="EF1470" s="29"/>
      <c r="EG1470" s="29"/>
      <c r="EH1470" s="928"/>
      <c r="EI1470" s="317"/>
      <c r="EJ1470" s="317"/>
      <c r="EK1470" s="317"/>
      <c r="EL1470" s="317"/>
      <c r="EM1470" s="317"/>
      <c r="EN1470" s="317"/>
      <c r="EO1470" s="836"/>
      <c r="EP1470" s="317"/>
      <c r="EQ1470" s="317"/>
      <c r="ER1470" s="317"/>
      <c r="ES1470" s="317"/>
      <c r="ET1470" s="317"/>
      <c r="EU1470" s="317"/>
      <c r="EV1470" s="317"/>
      <c r="EW1470" s="317"/>
      <c r="EX1470" s="317"/>
    </row>
    <row r="1471" spans="2:154" hidden="1" outlineLevel="1">
      <c r="B1471" s="510" t="s">
        <v>412</v>
      </c>
      <c r="C1471" s="1989"/>
      <c r="D1471" s="28"/>
      <c r="E1471" s="28"/>
      <c r="F1471" s="28"/>
      <c r="G1471" s="28"/>
      <c r="H1471" s="28"/>
      <c r="I1471" s="30"/>
      <c r="J1471" s="30"/>
      <c r="K1471" s="30"/>
      <c r="L1471" s="30"/>
      <c r="M1471" s="30"/>
      <c r="N1471" s="30"/>
      <c r="O1471" s="30"/>
      <c r="P1471" s="30"/>
      <c r="Q1471" s="30"/>
      <c r="R1471" s="30"/>
      <c r="S1471" s="30"/>
      <c r="T1471" s="30"/>
      <c r="U1471" s="30"/>
      <c r="V1471" s="30"/>
      <c r="W1471" s="30"/>
      <c r="X1471" s="308"/>
      <c r="Y1471" s="30"/>
      <c r="Z1471" s="30"/>
      <c r="AA1471" s="30"/>
      <c r="AB1471" s="30"/>
      <c r="AC1471" s="308"/>
      <c r="AD1471" s="30"/>
      <c r="AE1471" s="30"/>
      <c r="AF1471" s="30"/>
      <c r="AG1471" s="30"/>
      <c r="AH1471" s="308"/>
      <c r="AI1471" s="30"/>
      <c r="AJ1471" s="30"/>
      <c r="AK1471" s="30"/>
      <c r="AL1471" s="30"/>
      <c r="AM1471" s="308"/>
      <c r="AN1471" s="30"/>
      <c r="AO1471" s="30"/>
      <c r="AP1471" s="30"/>
      <c r="AQ1471" s="30"/>
      <c r="AR1471" s="308"/>
      <c r="AS1471" s="30"/>
      <c r="AT1471" s="30"/>
      <c r="AU1471" s="30"/>
      <c r="AV1471" s="30"/>
      <c r="AW1471" s="308"/>
      <c r="AX1471" s="30">
        <f t="shared" si="2857"/>
      </c>
      <c r="AY1471" s="30">
        <f t="shared" si="2857"/>
      </c>
      <c r="AZ1471" s="30">
        <f t="shared" si="2857"/>
      </c>
      <c r="BA1471" s="30">
        <f t="shared" si="2857"/>
      </c>
      <c r="BB1471" s="308">
        <f t="shared" si="2857"/>
      </c>
      <c r="BC1471" s="30">
        <f t="shared" si="2857"/>
      </c>
      <c r="BD1471" s="30">
        <f t="shared" si="2857"/>
      </c>
      <c r="BE1471" s="30">
        <f t="shared" si="2857"/>
      </c>
      <c r="BF1471" s="30">
        <f t="shared" si="2857"/>
      </c>
      <c r="BG1471" s="308">
        <f>IF(BB1466="NM","NM",IF(BG1466="NM","NM",IF(BB1466&lt;=0,"NM",IF(BG1466=0,"NM",IF(ABS(BG1466/BB1466-1)&gt;2.5,"NM",IF((ABS(BG1466-BB1466)=ABS(ABS(BG1466)-ABS(BB1466))),(BG1466/BB1466-1),"NM"))))))</f>
      </c>
      <c r="BH1471" s="30">
        <f t="shared" si="2857"/>
      </c>
      <c r="BI1471" s="30">
        <f t="shared" si="2857"/>
      </c>
      <c r="BJ1471" s="30">
        <f t="shared" si="2857"/>
      </c>
      <c r="BK1471" s="30">
        <f t="shared" si="2857"/>
      </c>
      <c r="BL1471" s="308">
        <f>IF(BG1466="NM","NM",IF(BL1466="NM","NM",IF(BG1466&lt;=0,"NM",IF(BL1466=0,"NM",IF(ABS(BL1466/BG1466-1)&gt;2.5,"NM",IF((ABS(BL1466-BG1466)=ABS(ABS(BL1466)-ABS(BG1466))),(BL1466/BG1466-1),"NM"))))))</f>
      </c>
      <c r="BM1471" s="30">
        <f t="shared" si="2857"/>
      </c>
      <c r="BN1471" s="30">
        <f t="shared" si="2857"/>
      </c>
      <c r="BO1471" s="30">
        <f t="shared" si="2857"/>
      </c>
      <c r="BP1471" s="30">
        <f t="shared" si="2858"/>
      </c>
      <c r="BQ1471" s="308">
        <f t="shared" si="2858"/>
      </c>
      <c r="BR1471" s="30">
        <f t="shared" si="2858"/>
      </c>
      <c r="BS1471" s="30">
        <f t="shared" si="2858"/>
      </c>
      <c r="BT1471" s="30">
        <f t="shared" si="2858"/>
      </c>
      <c r="BU1471" s="30">
        <f>IF(BP1466="NM","NM",IF(BU1466="NM","NM",IF(BP1466&lt;=0,"NM",IF(BU1466=0,"NM",IF(ABS(BU1466/BP1466-1)&gt;2.5,"NM",IF((ABS(BU1466-BP1466)=ABS(ABS(BU1466)-ABS(BP1466))),(BU1466/BP1466-1),"NM"))))))</f>
      </c>
      <c r="BV1471" s="308">
        <f t="shared" si="2858"/>
      </c>
      <c r="BW1471" s="30">
        <f t="shared" si="2858"/>
      </c>
      <c r="BX1471" s="30">
        <f t="shared" si="2858"/>
      </c>
      <c r="BY1471" s="30">
        <f t="shared" si="2858"/>
      </c>
      <c r="BZ1471" s="30">
        <f>IF(BU1466="NM","NM",IF(BZ1466="NM","NM",IF(BU1466&lt;=0,"NM",IF(BZ1466=0,"NM",IF(ABS(BZ1466/BU1466-1)&gt;2.5,"NM",IF((ABS(BZ1466-BU1466)=ABS(ABS(BZ1466)-ABS(BU1466))),(BZ1466/BU1466-1),"NM"))))))</f>
      </c>
      <c r="CA1471" s="308">
        <f>IF(BV1466="NM","NM",IF(CA1466="NM","NM",IF(BV1466&lt;=0,"NM",IF(CA1466=0,"NM",IF(ABS(CA1466/BV1466-1)&gt;2.5,"NM",IF((ABS(CA1466-BV1466)=ABS(ABS(CA1466)-ABS(BV1466))),(CA1466/BV1466-1),"NM"))))))</f>
      </c>
      <c r="CB1471" s="30">
        <f t="shared" si="2859"/>
      </c>
      <c r="CC1471" s="30">
        <f t="shared" si="2859"/>
      </c>
      <c r="CD1471" s="30">
        <f t="shared" si="2859"/>
      </c>
      <c r="CE1471" s="30">
        <f>IF(BZ1466="NM","NM",IF(CE1466="NM","NM",IF(BZ1466&lt;=0,"NM",IF(CE1466=0,"NM",IF(ABS(CE1466/BZ1466-1)&gt;2.5,"NM",IF((ABS(CE1466-BZ1466)=ABS(ABS(CE1466)-ABS(BZ1466))),(CE1466/BZ1466-1),"NM"))))))</f>
      </c>
      <c r="CF1471" s="308">
        <f>IF(CA1466="NM","NM",IF(CF1466="NM","NM",IF(CA1466&lt;=0,"NM",IF(CF1466=0,"NM",IF(ABS(CF1466/CA1466-1)&gt;2.5,"NM",IF((ABS(CF1466-CA1466)=ABS(ABS(CF1466)-ABS(CA1466))),(CF1466/CA1466-1),"NM"))))))</f>
      </c>
      <c r="CG1471" s="30">
        <f t="shared" si="2860"/>
      </c>
      <c r="CH1471" s="30">
        <f t="shared" si="2860"/>
      </c>
      <c r="CI1471" s="30">
        <f t="shared" si="2860"/>
      </c>
      <c r="CJ1471" s="30">
        <f t="shared" si="2860"/>
      </c>
      <c r="CK1471" s="308">
        <f>IF(CF1466=0, "NA", CK1466/CF1466-1)</f>
      </c>
      <c r="CL1471" s="30">
        <f t="shared" si="2860"/>
      </c>
      <c r="CM1471" s="30">
        <f t="shared" si="2860"/>
      </c>
      <c r="CN1471" s="30">
        <f t="shared" si="2860"/>
      </c>
      <c r="CO1471" s="30">
        <f t="shared" si="2860"/>
      </c>
      <c r="CP1471" s="308">
        <f>IF(CK1466=0, "NA", CP1466/CK1466-1)</f>
      </c>
      <c r="CQ1471" s="30">
        <f t="shared" si="2860"/>
      </c>
      <c r="CR1471" s="30">
        <f t="shared" si="2860"/>
      </c>
      <c r="CS1471" s="30">
        <f t="shared" si="2860"/>
      </c>
      <c r="CT1471" s="30">
        <f t="shared" si="2860"/>
      </c>
      <c r="CU1471" s="308">
        <f>IF(CP1466=0, "NA", CU1466/CP1466-1)</f>
      </c>
      <c r="CV1471" s="30">
        <f t="shared" si="2860"/>
      </c>
      <c r="CW1471" s="30">
        <f t="shared" si="2860"/>
      </c>
      <c r="CX1471" s="30">
        <f t="shared" si="2860"/>
      </c>
      <c r="CY1471" s="30">
        <f>IF(CT1466="NM","NM",IF(CY1466="NM","NM",IF(CT1466&lt;=0,"NM",IF(CY1466=0,"NM",IF(ABS(CY1466/CT1466-1)&gt;2.5,"NM",IF((ABS(CY1466-CT1466)=ABS(ABS(CY1466)-ABS(CT1466))),(CY1466/CT1466-1),"NM"))))))</f>
      </c>
      <c r="CZ1471" s="308">
        <f>IF(CU1466=0, "NA", CZ1466/CU1466-1)</f>
      </c>
      <c r="DA1471" s="30">
        <f t="shared" si="2861"/>
      </c>
      <c r="DB1471" s="30">
        <f t="shared" si="2861"/>
      </c>
      <c r="DC1471" s="30">
        <f t="shared" si="2861"/>
      </c>
      <c r="DD1471" s="30">
        <f t="shared" si="2861"/>
      </c>
      <c r="DE1471" s="308">
        <f>IF(CZ1466=0, "NA", DE1466/CZ1466-1)</f>
      </c>
      <c r="DF1471" s="926">
        <f t="shared" si="2862"/>
      </c>
      <c r="DG1471" s="30">
        <f t="shared" si="2862"/>
      </c>
      <c r="DH1471" s="30">
        <f t="shared" si="2862"/>
      </c>
      <c r="DI1471" s="30">
        <f t="shared" si="2862"/>
      </c>
      <c r="DJ1471" s="308">
        <f>IF(DE1466=0, "NA", DJ1466/DE1466-1)</f>
      </c>
      <c r="DK1471" s="926">
        <f>DK1472+DK$21</f>
      </c>
      <c r="DL1471" s="30">
        <f>IF(DG1466="NM","NM",IF(DL1466="NM","NM",IF(DG1466&lt;=0,"NM",IF(DL1466=0,"NM",IF(ABS(DL1466/DG1466-1)&gt;2.5,"NM",IF((ABS(DL1466-DG1466)=ABS(ABS(DL1466)-ABS(DG1466))),(DL1466/DG1466-1),"NM"))))))</f>
      </c>
      <c r="DM1471" s="30">
        <f>IF(DH1466="NM","NM",IF(DM1466="NM","NM",IF(DH1466&lt;=0,"NM",IF(DM1466=0,"NM",IF(ABS(DM1466/DH1466-1)&gt;2.5,"NM",IF((ABS(DM1466-DH1466)=ABS(ABS(DM1466)-ABS(DH1466))),(DM1466/DH1466-1),"NM"))))))</f>
      </c>
      <c r="DN1471" s="928">
        <f>IF(DN1466=0, "NM", DN1466/DI1466-1)</f>
      </c>
      <c r="DO1471" s="308">
        <f>IF(DJ1466=0, "NA", DO1466/DJ1466-1)</f>
      </c>
      <c r="DP1471" s="926">
        <f>DP1466/DK1466-1</f>
      </c>
      <c r="DQ1471" s="926">
        <f>IF(DL1466="NM","NM",IF(DQ1466="NM","NM",IF(DL1466&lt;=0,"NM",IF(DQ1466=0,"NM",IF(ABS(DQ1466/DL1466-1)&gt;2.5,"NM",IF((ABS(DQ1466-DL1466)=ABS(ABS(DQ1466)-ABS(DL1466))),(DQ1466/DL1466-1),"NM"))))))</f>
      </c>
      <c r="DR1471" s="926">
        <f>IF(DM1466="NM","NM",IF(DR1466="NM","NM",IF(DM1466&lt;=0,"NM",IF(DR1466=0,"NM",IF(ABS(DR1466/DM1466-1)&gt;2.5,"NM",IF((ABS(DR1466-DM1466)=ABS(ABS(DR1466)-ABS(DM1466))),(DR1466/DM1466-1),"NM"))))))</f>
      </c>
      <c r="DS1471" s="928">
        <f>IF(DS1466=0, "NM", DS1466/DN1466-1)</f>
      </c>
      <c r="DT1471" s="308">
        <f>IF(DO1466=0, "NA", DT1466/DO1466-1)</f>
      </c>
      <c r="DU1471" s="926">
        <f>DU1466/DP1466-1</f>
      </c>
      <c r="DV1471" s="926">
        <f>DV1466/DQ1466-1</f>
      </c>
      <c r="DW1471" s="926"/>
      <c r="DX1471" s="928"/>
      <c r="DY1471" s="1060"/>
      <c r="DZ1471" s="926"/>
      <c r="EA1471" s="926"/>
      <c r="EB1471" s="926"/>
      <c r="EC1471" s="928"/>
      <c r="ED1471" s="1060"/>
      <c r="EE1471" s="958"/>
      <c r="EF1471" s="926"/>
      <c r="EG1471" s="926"/>
      <c r="EH1471" s="928"/>
      <c r="EI1471" s="1060"/>
      <c r="EJ1471" s="1060"/>
      <c r="EK1471" s="1060"/>
      <c r="EL1471" s="308"/>
      <c r="EM1471" s="308"/>
      <c r="EN1471" s="308"/>
      <c r="EO1471" s="409"/>
      <c r="EP1471" s="308"/>
      <c r="EQ1471" s="308"/>
      <c r="ER1471" s="308"/>
      <c r="ES1471" s="308"/>
      <c r="ET1471" s="308"/>
      <c r="EU1471" s="308"/>
      <c r="EV1471" s="308"/>
      <c r="EW1471" s="308"/>
      <c r="EX1471" s="308"/>
    </row>
    <row r="1472" spans="2:154" hidden="1" outlineLevel="1">
      <c r="B1472" s="510" t="s">
        <v>256</v>
      </c>
      <c r="C1472" s="1989"/>
      <c r="D1472" s="28"/>
      <c r="E1472" s="28"/>
      <c r="F1472" s="28"/>
      <c r="G1472" s="28"/>
      <c r="H1472" s="28"/>
      <c r="I1472" s="24"/>
      <c r="J1472" s="1"/>
      <c r="K1472" s="1"/>
      <c r="L1472" s="1"/>
      <c r="M1472" s="1"/>
      <c r="N1472" s="24"/>
      <c r="O1472" s="24"/>
      <c r="P1472" s="24"/>
      <c r="Q1472" s="24"/>
      <c r="R1472" s="24"/>
      <c r="S1472" s="1"/>
      <c r="T1472" s="24"/>
      <c r="U1472" s="24"/>
      <c r="V1472" s="24"/>
      <c r="W1472" s="24"/>
      <c r="X1472" s="315"/>
      <c r="Y1472" s="24"/>
      <c r="Z1472" s="24"/>
      <c r="AA1472" s="24"/>
      <c r="AB1472" s="24"/>
      <c r="AC1472" s="315"/>
      <c r="AD1472" s="24"/>
      <c r="AE1472" s="24"/>
      <c r="AF1472" s="24"/>
      <c r="AG1472" s="24"/>
      <c r="AH1472" s="315"/>
      <c r="AI1472" s="1"/>
      <c r="AJ1472" s="1"/>
      <c r="AK1472" s="1"/>
      <c r="AL1472" s="24"/>
      <c r="AM1472" s="315"/>
      <c r="AN1472" s="1"/>
      <c r="AO1472" s="1"/>
      <c r="AP1472" s="1"/>
      <c r="AQ1472" s="24"/>
      <c r="AR1472" s="315"/>
      <c r="AS1472" s="1"/>
      <c r="AT1472" s="1"/>
      <c r="AU1472" s="1"/>
      <c r="AV1472" s="24"/>
      <c r="AW1472" s="315"/>
      <c r="AX1472" s="8">
        <f t="shared" ref="AX1472:BM1472" si="2863">IF(ISNUMBER(AX1471),(1+AX1471)/(1+AX$21)-1,"NM")</f>
      </c>
      <c r="AY1472" s="8">
        <f t="shared" si="2863"/>
      </c>
      <c r="AZ1472" s="8">
        <f t="shared" si="2863"/>
      </c>
      <c r="BA1472" s="8">
        <f t="shared" si="2863"/>
      </c>
      <c r="BB1472" s="315">
        <f t="shared" si="2863"/>
      </c>
      <c r="BC1472" s="8">
        <f t="shared" si="2863"/>
      </c>
      <c r="BD1472" s="8">
        <f t="shared" si="2863"/>
      </c>
      <c r="BE1472" s="8">
        <f t="shared" si="2863"/>
      </c>
      <c r="BF1472" s="8">
        <f t="shared" si="2863"/>
      </c>
      <c r="BG1472" s="309">
        <f t="shared" si="2863"/>
      </c>
      <c r="BH1472" s="8">
        <f t="shared" si="2863"/>
      </c>
      <c r="BI1472" s="8">
        <f t="shared" si="2863"/>
      </c>
      <c r="BJ1472" s="8">
        <f t="shared" si="2863"/>
      </c>
      <c r="BK1472" s="8">
        <f t="shared" si="2863"/>
      </c>
      <c r="BL1472" s="315">
        <f t="shared" si="2863"/>
      </c>
      <c r="BM1472" s="407">
        <f t="shared" si="2863"/>
      </c>
      <c r="BN1472" s="407">
        <v>-2.1000000000000001E-2</v>
      </c>
      <c r="BO1472" s="407">
        <v>0.111</v>
      </c>
      <c r="BP1472" s="649">
        <v>1.4E-2</v>
      </c>
      <c r="BQ1472" s="406">
        <v>3.9E-2</v>
      </c>
      <c r="BR1472" s="407">
        <v>-2.1000000000000001E-2</v>
      </c>
      <c r="BS1472" s="407">
        <v>0.11899999999999999</v>
      </c>
      <c r="BT1472" s="407">
        <v>4.7E-2</v>
      </c>
      <c r="BU1472" s="649">
        <v>6.6000000000000003E-2</v>
      </c>
      <c r="BV1472" s="406">
        <v>6.9000000000000006E-2</v>
      </c>
      <c r="BW1472" s="407">
        <v>7.2999999999999995E-2</v>
      </c>
      <c r="BX1472" s="407">
        <v>4.2999999999999997E-2</v>
      </c>
      <c r="BY1472" s="407">
        <v>3.2000000000000001E-2</v>
      </c>
      <c r="BZ1472" s="836">
        <v>8.5999999999999993E-2</v>
      </c>
      <c r="CA1472" s="448">
        <v>5.8999999999999997E-2</v>
      </c>
      <c r="CB1472" s="29">
        <v>6.9000000000000006E-2</v>
      </c>
      <c r="CC1472" s="407">
        <v>7.2999999999999995E-2</v>
      </c>
      <c r="CD1472" s="407">
        <v>3.5999999999999997E-2</v>
      </c>
      <c r="CE1472" s="836">
        <v>6.0999999999999999E-2</v>
      </c>
      <c r="CF1472" s="448">
        <v>5.8999999999999997E-2</v>
      </c>
      <c r="CG1472" s="29">
        <v>8.7999999999999995E-2</v>
      </c>
      <c r="CH1472" s="29">
        <v>0.05</v>
      </c>
      <c r="CI1472" s="29">
        <v>3.2000000000000001E-2</v>
      </c>
      <c r="CJ1472" s="29">
        <v>5.1999999999999998E-2</v>
      </c>
      <c r="CK1472" s="315">
        <f>CK1471-CK$21</f>
      </c>
      <c r="CL1472" s="29">
        <v>-2.9000000000000001E-2</v>
      </c>
      <c r="CM1472" s="29">
        <v>5.6000000000000001E-2</v>
      </c>
      <c r="CN1472" s="29">
        <v>3.1E-2</v>
      </c>
      <c r="CO1472" s="29">
        <v>2E-3</v>
      </c>
      <c r="CP1472" s="315">
        <f>CP1471-CP$21</f>
      </c>
      <c r="CQ1472" s="29">
        <v>-4.4999999999999998E-2</v>
      </c>
      <c r="CR1472" s="29">
        <v>8.0000000000000002E-3</v>
      </c>
      <c r="CS1472" s="407">
        <v>-1.4E-2</v>
      </c>
      <c r="CT1472" s="407">
        <v>-2.5999999999999999E-2</v>
      </c>
      <c r="CU1472" s="315">
        <f>CU1471-CU$21</f>
      </c>
      <c r="CV1472" s="29">
        <v>7.0000000000000001E-3</v>
      </c>
      <c r="CW1472" s="29">
        <v>-5.5E-2</v>
      </c>
      <c r="CX1472" s="29">
        <v>3.5999999999999997E-2</v>
      </c>
      <c r="CY1472" s="407">
        <v>3.5000000000000003E-2</v>
      </c>
      <c r="CZ1472" s="315">
        <f>CZ1471-CZ$21</f>
      </c>
      <c r="DA1472" s="29">
        <v>4.5999999999999999E-2</v>
      </c>
      <c r="DB1472" s="29">
        <v>5.2999999999999999E-2</v>
      </c>
      <c r="DC1472" s="29">
        <v>1.0999999999999999E-2</v>
      </c>
      <c r="DD1472" s="1482">
        <v>2.1999999999999999E-2</v>
      </c>
      <c r="DE1472" s="308">
        <f>DE1471-DE$21</f>
      </c>
      <c r="DF1472" s="29">
        <v>0.02</v>
      </c>
      <c r="DG1472" s="1109">
        <v>0.02</v>
      </c>
      <c r="DH1472" s="1109">
        <v>0.02</v>
      </c>
      <c r="DI1472" s="927">
        <f>IF(DI1466=0, "NM",DI1471-DI$21)</f>
      </c>
      <c r="DJ1472" s="308">
        <f>DJ1471-DJ$21</f>
      </c>
      <c r="DK1472" s="29">
        <v>0.1</v>
      </c>
      <c r="DL1472" s="1109">
        <v>0.02</v>
      </c>
      <c r="DM1472" s="1109">
        <v>0.02</v>
      </c>
      <c r="DN1472" s="927">
        <f>IF(DN1466=0, "NM",DN1471-DN$21)</f>
      </c>
      <c r="DO1472" s="308">
        <f>DO1471-DO$21</f>
      </c>
      <c r="DP1472" s="926">
        <f>DP1471-DP$21</f>
      </c>
      <c r="DQ1472" s="2185">
        <f>DQ1471-DQ$21</f>
      </c>
      <c r="DR1472" s="2185">
        <f>DR1471-DR$21</f>
      </c>
      <c r="DS1472" s="928">
        <f>IF(DS1466=0, "NM",DS1471-DS$21)</f>
      </c>
      <c r="DT1472" s="308">
        <f>DT1471-DT$21</f>
      </c>
      <c r="DU1472" s="926">
        <f>DU1471-(-5.6%)</f>
      </c>
      <c r="DV1472" s="926">
        <f>DV1471-(-3.1%)</f>
      </c>
      <c r="DW1472" s="1741"/>
      <c r="DX1472" s="928"/>
      <c r="DY1472" s="836"/>
      <c r="DZ1472" s="1741"/>
      <c r="EA1472" s="1741"/>
      <c r="EB1472" s="1741"/>
      <c r="EC1472" s="928"/>
      <c r="ED1472" s="836"/>
      <c r="EE1472" s="29"/>
      <c r="EF1472" s="29"/>
      <c r="EG1472" s="29"/>
      <c r="EH1472" s="928"/>
      <c r="EI1472" s="317"/>
      <c r="EJ1472" s="317"/>
      <c r="EK1472" s="317"/>
      <c r="EL1472" s="317"/>
      <c r="EM1472" s="317"/>
      <c r="EN1472" s="317"/>
      <c r="EO1472" s="836"/>
      <c r="EP1472" s="317"/>
      <c r="EQ1472" s="317"/>
      <c r="ER1472" s="317"/>
      <c r="ES1472" s="317"/>
      <c r="ET1472" s="317"/>
      <c r="EU1472" s="317"/>
      <c r="EV1472" s="317"/>
      <c r="EW1472" s="317"/>
      <c r="EX1472" s="317"/>
    </row>
    <row r="1473" spans="1:154" hidden="1" outlineLevel="1">
      <c r="B1473" s="510" t="s">
        <v>413</v>
      </c>
      <c r="C1473" s="1989"/>
      <c r="D1473" s="28"/>
      <c r="E1473" s="28"/>
      <c r="F1473" s="28"/>
      <c r="G1473" s="28"/>
      <c r="H1473" s="28"/>
      <c r="I1473" s="30"/>
      <c r="J1473" s="30"/>
      <c r="K1473" s="30"/>
      <c r="L1473" s="30"/>
      <c r="M1473" s="30"/>
      <c r="N1473" s="30"/>
      <c r="O1473" s="30"/>
      <c r="P1473" s="30"/>
      <c r="Q1473" s="30"/>
      <c r="R1473" s="30"/>
      <c r="S1473" s="30"/>
      <c r="T1473" s="30"/>
      <c r="U1473" s="30"/>
      <c r="V1473" s="30"/>
      <c r="W1473" s="30"/>
      <c r="X1473" s="308"/>
      <c r="Y1473" s="30"/>
      <c r="Z1473" s="30"/>
      <c r="AA1473" s="30"/>
      <c r="AB1473" s="30"/>
      <c r="AC1473" s="308"/>
      <c r="AD1473" s="30"/>
      <c r="AE1473" s="30"/>
      <c r="AF1473" s="30"/>
      <c r="AG1473" s="30"/>
      <c r="AH1473" s="308"/>
      <c r="AI1473" s="30"/>
      <c r="AJ1473" s="30"/>
      <c r="AK1473" s="30"/>
      <c r="AL1473" s="30"/>
      <c r="AM1473" s="308"/>
      <c r="AN1473" s="30"/>
      <c r="AO1473" s="30"/>
      <c r="AP1473" s="30"/>
      <c r="AQ1473" s="30"/>
      <c r="AR1473" s="308"/>
      <c r="AS1473" s="30"/>
      <c r="AT1473" s="30"/>
      <c r="AU1473" s="30"/>
      <c r="AV1473" s="30"/>
      <c r="AW1473" s="308"/>
      <c r="AX1473" s="30">
        <f t="shared" ref="AX1473:BH1473" si="2864">IF(AS1467="NM","NM",IF(AX1467="NM","NM",IF(AS1467&lt;=0,"NM",IF(AX1467=0,"NM",IF(ABS(AX1467/AS1467-1)&gt;2.5,"NM",IF((ABS(AX1467-AS1467)=ABS(ABS(AX1467)-ABS(AS1467))),(AX1467/AS1467-1),"NM"))))))</f>
      </c>
      <c r="AY1473" s="30">
        <f t="shared" si="2864"/>
      </c>
      <c r="AZ1473" s="30">
        <f t="shared" si="2864"/>
      </c>
      <c r="BA1473" s="30">
        <f t="shared" si="2864"/>
      </c>
      <c r="BB1473" s="308">
        <f t="shared" si="2864"/>
      </c>
      <c r="BC1473" s="30">
        <f t="shared" si="2864"/>
      </c>
      <c r="BD1473" s="30">
        <f t="shared" si="2864"/>
      </c>
      <c r="BE1473" s="30">
        <f t="shared" si="2864"/>
      </c>
      <c r="BF1473" s="30">
        <f t="shared" si="2864"/>
      </c>
      <c r="BG1473" s="308">
        <f t="shared" si="2864"/>
      </c>
      <c r="BH1473" s="30">
        <f t="shared" si="2864"/>
      </c>
      <c r="BI1473" s="30">
        <f t="shared" ref="BI1473:BR1473" si="2865">IF(BD1467="NM","NM",IF(BI1467="NM","NM",IF(BD1467&lt;=0,"NM",IF(BI1467=0,"NM",IF(ABS(BI1467/BD1467-1)&gt;2.5,"NM",IF((ABS(BI1467-BD1467)=ABS(ABS(BI1467)-ABS(BD1467))),(BI1467/BD1467-1),"NM"))))))</f>
      </c>
      <c r="BJ1473" s="30">
        <f t="shared" si="2865"/>
      </c>
      <c r="BK1473" s="30">
        <f t="shared" si="2865"/>
      </c>
      <c r="BL1473" s="308">
        <f t="shared" si="2865"/>
      </c>
      <c r="BM1473" s="30">
        <f t="shared" si="2865"/>
      </c>
      <c r="BN1473" s="30">
        <f t="shared" si="2865"/>
      </c>
      <c r="BO1473" s="30">
        <f t="shared" si="2865"/>
      </c>
      <c r="BP1473" s="30">
        <f t="shared" si="2865"/>
      </c>
      <c r="BQ1473" s="308">
        <f t="shared" si="2865"/>
      </c>
      <c r="BR1473" s="30">
        <f t="shared" si="2865"/>
      </c>
      <c r="BS1473" s="30">
        <f t="shared" ref="BS1473:CI1473" si="2866">IF(BN1467="NM","NM",IF(BS1467="NM","NM",IF(BN1467&lt;=0,"NM",IF(BS1467=0,"NM",IF(ABS(BS1467/BN1467-1)&gt;2.5,"NM",IF((ABS(BS1467-BN1467)=ABS(ABS(BS1467)-ABS(BN1467))),(BS1467/BN1467-1),"NM"))))))</f>
      </c>
      <c r="BT1473" s="30">
        <f t="shared" si="2866"/>
      </c>
      <c r="BU1473" s="30">
        <f t="shared" si="2866"/>
      </c>
      <c r="BV1473" s="308">
        <f t="shared" si="2866"/>
      </c>
      <c r="BW1473" s="30">
        <f t="shared" si="2866"/>
      </c>
      <c r="BX1473" s="30">
        <f t="shared" si="2866"/>
      </c>
      <c r="BY1473" s="30">
        <f t="shared" si="2866"/>
      </c>
      <c r="BZ1473" s="30">
        <f t="shared" si="2866"/>
      </c>
      <c r="CA1473" s="308">
        <f t="shared" si="2866"/>
      </c>
      <c r="CB1473" s="30">
        <f t="shared" si="2866"/>
      </c>
      <c r="CC1473" s="30">
        <f t="shared" si="2866"/>
      </c>
      <c r="CD1473" s="30">
        <f t="shared" si="2866"/>
      </c>
      <c r="CE1473" s="30">
        <f t="shared" si="2866"/>
      </c>
      <c r="CF1473" s="308">
        <f t="shared" si="2866"/>
      </c>
      <c r="CG1473" s="30">
        <f t="shared" si="2866"/>
      </c>
      <c r="CH1473" s="30">
        <f t="shared" si="2866"/>
      </c>
      <c r="CI1473" s="30">
        <f t="shared" si="2866"/>
      </c>
      <c r="CJ1473" s="30">
        <f>IF(CJ1467&lt;=0,0,(CJ1467/CE1467-1))</f>
      </c>
      <c r="CK1473" s="308">
        <f>IF(CF1467=0, "NA", CK1467/CF1467-1)</f>
      </c>
      <c r="CL1473" s="30">
        <f>IF(CG1467="NM","NM",IF(CL1467="NM","NM",IF(CG1467&lt;=0,"NM",IF(CL1467=0,"NM",IF(ABS(CL1467/CG1467-1)&gt;2.5,"NM",IF((ABS(CL1467-CG1467)=ABS(ABS(CL1467)-ABS(CG1467))),(CL1467/CG1467-1),"NM"))))))</f>
      </c>
      <c r="CM1473" s="30">
        <f>IF(CH1467="NM","NM",IF(CM1467="NM","NM",IF(CH1467&lt;=0,"NM",IF(CM1467=0,"NM",IF(ABS(CM1467/CH1467-1)&gt;2.5,"NM",IF((ABS(CM1467-CH1467)=ABS(ABS(CM1467)-ABS(CH1467))),(CM1467/CH1467-1),"NM"))))))</f>
      </c>
      <c r="CN1473" s="30">
        <f>IF(CI1467="NM","NM",IF(CN1467="NM","NM",IF(CI1467&lt;=0,"NM",IF(CN1467=0,"NM",IF(ABS(CN1467/CI1467-1)&gt;2.5,"NM",IF((ABS(CN1467-CI1467)=ABS(ABS(CN1467)-ABS(CI1467))),(CN1467/CI1467-1),"NM"))))))</f>
      </c>
      <c r="CO1473" s="30">
        <f>IF(CO1467&lt;=0,0,(CO1467/CJ1467-1))</f>
      </c>
      <c r="CP1473" s="308">
        <f>IF(CK1467=0, "NA", CP1467/CK1467-1)</f>
      </c>
      <c r="CQ1473" s="30">
        <f>IF(CL1467="NM","NM",IF(CQ1467="NM","NM",IF(CL1467&lt;=0,"NM",IF(CQ1467=0,"NM",IF(ABS(CQ1467/CL1467-1)&gt;2.5,"NM",IF((ABS(CQ1467-CL1467)=ABS(ABS(CQ1467)-ABS(CL1467))),(CQ1467/CL1467-1),"NM"))))))</f>
      </c>
      <c r="CR1473" s="30">
        <f>IF(CM1467="NM","NM",IF(CR1467="NM","NM",IF(CM1467&lt;=0,"NM",IF(CR1467=0,"NM",IF(ABS(CR1467/CM1467-1)&gt;2.5,"NM",IF((ABS(CR1467-CM1467)=ABS(ABS(CR1467)-ABS(CM1467))),(CR1467/CM1467-1),"NM"))))))</f>
      </c>
      <c r="CS1473" s="30">
        <f>IF(CN1467="NM","NM",IF(CS1467="NM","NM",IF(CN1467&lt;=0,"NM",IF(CS1467=0,"NM",IF(ABS(CS1467/CN1467-1)&gt;2.5,"NM",IF((ABS(CS1467-CN1467)=ABS(ABS(CS1467)-ABS(CN1467))),(CS1467/CN1467-1),"NM"))))))</f>
      </c>
      <c r="CT1473" s="30">
        <f>IF(CO1467="NM","NM",IF(CT1467="NM","NM",IF(CO1467&lt;=0,"NM",IF(CT1467=0,"NM",IF(ABS(CT1467/CO1467-1)&gt;2.5,"NM",IF((ABS(CT1467-CO1467)=ABS(ABS(CT1467)-ABS(CO1467))),(CT1467/CO1467-1),"NM"))))))</f>
      </c>
      <c r="CU1473" s="308">
        <f>IF(CP1467=0, "NA", CU1467/CP1467-1)</f>
      </c>
      <c r="CV1473" s="30">
        <f>IF(CQ1467="NM","NM",IF(CV1467="NM","NM",IF(CQ1467&lt;=0,"NM",IF(CV1467=0,"NM",IF(ABS(CV1467/CQ1467-1)&gt;2.5,"NM",IF((ABS(CV1467-CQ1467)=ABS(ABS(CV1467)-ABS(CQ1467))),(CV1467/CQ1467-1),"NM"))))))</f>
      </c>
      <c r="CW1473" s="30">
        <f>IF(CR1467="NM","NM",IF(CW1467="NM","NM",IF(CR1467&lt;=0,"NM",IF(CW1467=0,"NM",IF(ABS(CW1467/CR1467-1)&gt;2.5,"NM",IF((ABS(CW1467-CR1467)=ABS(ABS(CW1467)-ABS(CR1467))),(CW1467/CR1467-1),"NM"))))))</f>
      </c>
      <c r="CX1473" s="30">
        <f>IF(CS1467="NM","NM",IF(CX1467="NM","NM",IF(CS1467&lt;=0,"NM",IF(CX1467=0,"NM",IF(ABS(CX1467/CS1467-1)&gt;2.5,"NM",IF((ABS(CX1467-CS1467)=ABS(ABS(CX1467)-ABS(CS1467))),(CX1467/CS1467-1),"NM"))))))</f>
      </c>
      <c r="CY1473" s="30">
        <f>IF(CT1467="NM","NM",IF(CY1467="NM","NM",IF(CT1467&lt;=0,"NM",IF(CY1467=0,"NM",IF(ABS(CY1467/CT1467-1)&gt;2.5,"NM",IF((ABS(CY1467-CT1467)=ABS(ABS(CY1467)-ABS(CT1467))),(CY1467/CT1467-1),"NM"))))))</f>
      </c>
      <c r="CZ1473" s="308">
        <f>IF(CU1467=0, "NA", CZ1467/CU1467-1)</f>
      </c>
      <c r="DA1473" s="30">
        <f>IF(CV1467="NM","NM",IF(DA1467="NM","NM",IF(CV1467&lt;=0,"NM",IF(DA1467=0,"NM",IF(ABS(DA1467/CV1467-1)&gt;2.5,"NM",IF((ABS(DA1467-CV1467)=ABS(ABS(DA1467)-ABS(CV1467))),(DA1467/CV1467-1),"NM"))))))</f>
      </c>
      <c r="DB1473" s="30">
        <f>IF(CW1467="NM","NM",IF(DB1467="NM","NM",IF(CW1467&lt;=0,"NM",IF(DB1467=0,"NM",IF(ABS(DB1467/CW1467-1)&gt;2.5,"NM",IF((ABS(DB1467-CW1467)=ABS(ABS(DB1467)-ABS(CW1467))),(DB1467/CW1467-1),"NM"))))))</f>
      </c>
      <c r="DC1473" s="926">
        <f>IF(CX1467=0, "NA", DC1467/CX1467-1)</f>
      </c>
      <c r="DD1473" s="928">
        <f>IF(CY1467=0, "NM", DD1467/CY1467-1)</f>
      </c>
      <c r="DE1473" s="308">
        <f>IF(CZ1467=0, "NA", DE1467/CZ1467-1)</f>
      </c>
      <c r="DF1473" s="926">
        <f>IF(DA1467=0, "NA", DF1467/DA1467-1)</f>
      </c>
      <c r="DG1473" s="926">
        <f>IF(DB1467=0, "NA", DG1467/DB1467-1)</f>
      </c>
      <c r="DH1473" s="926">
        <f>IF(DC1467=0, "NA", DH1467/DC1467-1)</f>
      </c>
      <c r="DI1473" s="928">
        <f>IF(DD1467=0, "NM", DI1467/DD1467-1)</f>
      </c>
      <c r="DJ1473" s="308">
        <f>IF(DE1467=0, "NA", DJ1467/DE1467-1)</f>
      </c>
      <c r="DK1473" s="926">
        <f>IF(DF1467=0, "NA", DK1467/DF1467-1)</f>
      </c>
      <c r="DL1473" s="926">
        <f>IF(DG1467=0, "NA", DL1467/DG1467-1)</f>
      </c>
      <c r="DM1473" s="926">
        <f>IF(DH1467=0, "NA", DM1467/DH1467-1)</f>
      </c>
      <c r="DN1473" s="928">
        <f>IF(DI1467=0, "NM", DN1467/DI1467-1)</f>
      </c>
      <c r="DO1473" s="308">
        <f>IF(DJ1467=0, "NA", DO1467/DJ1467-1)</f>
      </c>
      <c r="DP1473" s="926">
        <f>IF(DK1467=0, "NA", DP1467/DK1467-1)</f>
      </c>
      <c r="DQ1473" s="926">
        <f>IF(DL1467=0, "NA", DQ1467/DL1467-1)</f>
      </c>
      <c r="DR1473" s="926">
        <f>IF(DM1467=0, "NA", DR1467/DM1467-1)</f>
      </c>
      <c r="DS1473" s="928">
        <f>IF(DN1467=0, "NM", DS1467/DN1467-1)</f>
      </c>
      <c r="DT1473" s="1060">
        <f>IF(DO1467=0, "NA", DT1467/DO1467-1)</f>
      </c>
      <c r="DU1473" s="926">
        <f>IF(DP1467=0, "NA", DU1467/DP1467-1)</f>
      </c>
      <c r="DV1473" s="926">
        <f>IF(DQ1467=0, "NA", DV1467/DQ1467-1)</f>
      </c>
      <c r="DW1473" s="926"/>
      <c r="DX1473" s="928"/>
      <c r="DY1473" s="1060"/>
      <c r="DZ1473" s="926"/>
      <c r="EA1473" s="926"/>
      <c r="EB1473" s="926"/>
      <c r="EC1473" s="928"/>
      <c r="ED1473" s="1060"/>
      <c r="EE1473" s="958"/>
      <c r="EF1473" s="926"/>
      <c r="EG1473" s="926"/>
      <c r="EH1473" s="928"/>
      <c r="EI1473" s="1060"/>
      <c r="EJ1473" s="1060"/>
      <c r="EK1473" s="1060"/>
      <c r="EL1473" s="308"/>
      <c r="EM1473" s="308"/>
      <c r="EN1473" s="308"/>
      <c r="EO1473" s="409"/>
      <c r="EP1473" s="308"/>
      <c r="EQ1473" s="308"/>
      <c r="ER1473" s="308"/>
      <c r="ES1473" s="308"/>
      <c r="ET1473" s="308"/>
      <c r="EU1473" s="308"/>
      <c r="EV1473" s="308"/>
      <c r="EW1473" s="308"/>
      <c r="EX1473" s="308"/>
    </row>
    <row r="1474" spans="1:154" hidden="1" outlineLevel="1">
      <c r="B1474" s="510"/>
      <c r="C1474" s="1989"/>
      <c r="D1474" s="28"/>
      <c r="E1474" s="28"/>
      <c r="F1474" s="28"/>
      <c r="G1474" s="28"/>
      <c r="H1474" s="28"/>
      <c r="I1474" s="30"/>
      <c r="J1474" s="30"/>
      <c r="K1474" s="30"/>
      <c r="L1474" s="30"/>
      <c r="M1474" s="30"/>
      <c r="N1474" s="30"/>
      <c r="O1474" s="30"/>
      <c r="P1474" s="30"/>
      <c r="Q1474" s="30"/>
      <c r="R1474" s="30"/>
      <c r="S1474" s="30"/>
      <c r="T1474" s="30"/>
      <c r="U1474" s="30"/>
      <c r="V1474" s="30"/>
      <c r="W1474" s="30"/>
      <c r="X1474" s="308"/>
      <c r="Y1474" s="30"/>
      <c r="Z1474" s="30"/>
      <c r="AA1474" s="30"/>
      <c r="AB1474" s="30"/>
      <c r="AC1474" s="308"/>
      <c r="AD1474" s="30"/>
      <c r="AE1474" s="30"/>
      <c r="AF1474" s="30"/>
      <c r="AG1474" s="30"/>
      <c r="AH1474" s="308"/>
      <c r="AI1474" s="30"/>
      <c r="AJ1474" s="30"/>
      <c r="AK1474" s="30"/>
      <c r="AL1474" s="30"/>
      <c r="AM1474" s="308"/>
      <c r="AN1474" s="30"/>
      <c r="AO1474" s="30"/>
      <c r="AP1474" s="30"/>
      <c r="AQ1474" s="30"/>
      <c r="AR1474" s="308"/>
      <c r="AS1474" s="30"/>
      <c r="AT1474" s="30"/>
      <c r="AU1474" s="30"/>
      <c r="AV1474" s="30"/>
      <c r="AW1474" s="308"/>
      <c r="AX1474" s="30"/>
      <c r="AY1474" s="30"/>
      <c r="AZ1474" s="30"/>
      <c r="BA1474" s="30"/>
      <c r="BB1474" s="308"/>
      <c r="BC1474" s="30"/>
      <c r="BD1474" s="30"/>
      <c r="BE1474" s="30"/>
      <c r="BF1474" s="30"/>
      <c r="BG1474" s="308"/>
      <c r="BH1474" s="30"/>
      <c r="BI1474" s="30"/>
      <c r="BJ1474" s="30"/>
      <c r="BK1474" s="30"/>
      <c r="BL1474" s="308"/>
      <c r="BM1474" s="30"/>
      <c r="BN1474" s="30"/>
      <c r="BO1474" s="30"/>
      <c r="BP1474" s="30"/>
      <c r="BQ1474" s="308"/>
      <c r="BR1474" s="30"/>
      <c r="BS1474" s="30"/>
      <c r="BT1474" s="30"/>
      <c r="BU1474" s="30"/>
      <c r="BV1474" s="308"/>
      <c r="BW1474" s="30"/>
      <c r="BX1474" s="30"/>
      <c r="BY1474" s="30"/>
      <c r="BZ1474" s="30"/>
      <c r="CA1474" s="308"/>
      <c r="CB1474" s="30"/>
      <c r="CC1474" s="30"/>
      <c r="CD1474" s="30"/>
      <c r="CE1474" s="30"/>
      <c r="CF1474" s="308"/>
      <c r="CG1474" s="30"/>
      <c r="CH1474" s="30"/>
      <c r="CI1474" s="30"/>
      <c r="CJ1474" s="30"/>
      <c r="CK1474" s="308"/>
      <c r="CL1474" s="926"/>
      <c r="CM1474" s="926"/>
      <c r="CN1474" s="30"/>
      <c r="CO1474" s="30"/>
      <c r="CP1474" s="308"/>
      <c r="CQ1474" s="926"/>
      <c r="CR1474" s="926"/>
      <c r="CS1474" s="926"/>
      <c r="CT1474" s="926"/>
      <c r="CU1474" s="308"/>
      <c r="CV1474" s="926"/>
      <c r="CW1474" s="926"/>
      <c r="CX1474" s="926"/>
      <c r="CY1474" s="926"/>
      <c r="CZ1474" s="308"/>
      <c r="DA1474" s="830"/>
      <c r="DB1474" s="1364"/>
      <c r="DC1474" s="1364"/>
      <c r="DD1474" s="409"/>
      <c r="DE1474" s="308"/>
      <c r="DF1474" s="830"/>
      <c r="DG1474" s="1364"/>
      <c r="DH1474" s="1364"/>
      <c r="DI1474" s="409"/>
      <c r="DJ1474" s="308"/>
      <c r="DK1474" s="830"/>
      <c r="DL1474" s="1364"/>
      <c r="DM1474" s="1364"/>
      <c r="DN1474" s="409"/>
      <c r="DO1474" s="308"/>
      <c r="DP1474" s="1364"/>
      <c r="DQ1474" s="1364"/>
      <c r="DR1474" s="1364"/>
      <c r="DS1474" s="409"/>
      <c r="DT1474" s="308"/>
      <c r="DU1474" s="2122"/>
      <c r="DV1474" s="2122"/>
      <c r="DW1474" s="2122"/>
      <c r="DX1474" s="928"/>
      <c r="DY1474" s="308"/>
      <c r="DZ1474" s="2122"/>
      <c r="EA1474" s="1691"/>
      <c r="EB1474" s="1691"/>
      <c r="EC1474" s="928"/>
      <c r="ED1474" s="1060"/>
      <c r="EE1474" s="958"/>
      <c r="EF1474" s="926"/>
      <c r="EG1474" s="926"/>
      <c r="EH1474" s="928"/>
      <c r="EI1474" s="308"/>
      <c r="EJ1474" s="308"/>
      <c r="EK1474" s="308"/>
      <c r="EL1474" s="308"/>
      <c r="EM1474" s="308"/>
      <c r="EN1474" s="308"/>
      <c r="EO1474" s="409"/>
      <c r="EP1474" s="308"/>
      <c r="EQ1474" s="308"/>
      <c r="ER1474" s="308"/>
      <c r="ES1474" s="308"/>
      <c r="ET1474" s="308"/>
      <c r="EU1474" s="308"/>
      <c r="EV1474" s="308"/>
      <c r="EW1474" s="308"/>
      <c r="EX1474" s="308"/>
    </row>
    <row r="1475" spans="1:154" hidden="1" outlineLevel="1">
      <c r="B1475" s="509" t="s">
        <v>146</v>
      </c>
      <c r="C1475" s="2019"/>
      <c r="D1475" s="1984"/>
      <c r="E1475" s="486"/>
      <c r="F1475" s="486"/>
      <c r="G1475" s="486"/>
      <c r="H1475" s="486"/>
      <c r="I1475" s="487"/>
      <c r="J1475" s="486"/>
      <c r="K1475" s="486"/>
      <c r="L1475" s="486"/>
      <c r="M1475" s="486"/>
      <c r="N1475" s="487"/>
      <c r="O1475" s="487"/>
      <c r="P1475" s="487"/>
      <c r="Q1475" s="487"/>
      <c r="R1475" s="487"/>
      <c r="S1475" s="488"/>
      <c r="T1475" s="487"/>
      <c r="U1475" s="487"/>
      <c r="V1475" s="487"/>
      <c r="W1475" s="487"/>
      <c r="X1475" s="489"/>
      <c r="Y1475" s="487"/>
      <c r="Z1475" s="487"/>
      <c r="AA1475" s="487"/>
      <c r="AB1475" s="487"/>
      <c r="AC1475" s="489"/>
      <c r="AD1475" s="487"/>
      <c r="AE1475" s="487"/>
      <c r="AF1475" s="487"/>
      <c r="AG1475" s="487"/>
      <c r="AH1475" s="489"/>
      <c r="AI1475" s="486"/>
      <c r="AJ1475" s="486"/>
      <c r="AK1475" s="486"/>
      <c r="AL1475" s="487"/>
      <c r="AM1475" s="489"/>
      <c r="AN1475" s="486"/>
      <c r="AO1475" s="486"/>
      <c r="AP1475" s="486"/>
      <c r="AQ1475" s="487"/>
      <c r="AR1475" s="489"/>
      <c r="AS1475" s="486"/>
      <c r="AT1475" s="486"/>
      <c r="AU1475" s="486"/>
      <c r="AV1475" s="487"/>
      <c r="AW1475" s="489"/>
      <c r="AX1475" s="486"/>
      <c r="AY1475" s="486"/>
      <c r="AZ1475" s="486"/>
      <c r="BA1475" s="486"/>
      <c r="BB1475" s="489"/>
      <c r="BC1475" s="486"/>
      <c r="BD1475" s="486"/>
      <c r="BE1475" s="486"/>
      <c r="BF1475" s="486"/>
      <c r="BG1475" s="489"/>
      <c r="BH1475" s="486"/>
      <c r="BI1475" s="486"/>
      <c r="BJ1475" s="486"/>
      <c r="BK1475" s="486"/>
      <c r="BL1475" s="489"/>
      <c r="BM1475" s="486"/>
      <c r="BN1475" s="486"/>
      <c r="BO1475" s="486"/>
      <c r="BP1475" s="486"/>
      <c r="BQ1475" s="489"/>
      <c r="BR1475" s="486"/>
      <c r="BS1475" s="486"/>
      <c r="BT1475" s="486"/>
      <c r="BU1475" s="486"/>
      <c r="BV1475" s="489"/>
      <c r="BW1475" s="486"/>
      <c r="BX1475" s="486"/>
      <c r="BY1475" s="486"/>
      <c r="BZ1475" s="486"/>
      <c r="CA1475" s="489"/>
      <c r="CB1475" s="486"/>
      <c r="CC1475" s="486"/>
      <c r="CD1475" s="486"/>
      <c r="CE1475" s="486"/>
      <c r="CF1475" s="489"/>
      <c r="CG1475" s="486"/>
      <c r="CH1475" s="486"/>
      <c r="CI1475" s="486"/>
      <c r="CJ1475" s="486"/>
      <c r="CK1475" s="489"/>
      <c r="CL1475" s="486"/>
      <c r="CM1475" s="486"/>
      <c r="CN1475" s="486"/>
      <c r="CO1475" s="1403"/>
      <c r="CP1475" s="489"/>
      <c r="CQ1475" s="486"/>
      <c r="CR1475" s="486"/>
      <c r="CS1475" s="486"/>
      <c r="CT1475" s="486"/>
      <c r="CU1475" s="489"/>
      <c r="CV1475" s="486"/>
      <c r="CW1475" s="486"/>
      <c r="CX1475" s="486"/>
      <c r="CY1475" s="486"/>
      <c r="CZ1475" s="489"/>
      <c r="DA1475" s="1335"/>
      <c r="DB1475" s="1363"/>
      <c r="DC1475" s="1363"/>
      <c r="DD1475" s="1199"/>
      <c r="DE1475" s="1908"/>
      <c r="DF1475" s="1952"/>
      <c r="DG1475" s="1954"/>
      <c r="DH1475" s="1954"/>
      <c r="DI1475" s="1910"/>
      <c r="DJ1475" s="1908"/>
      <c r="DK1475" s="1952"/>
      <c r="DL1475" s="1909"/>
      <c r="DM1475" s="1909"/>
      <c r="DN1475" s="1910"/>
      <c r="DO1475" s="1908"/>
      <c r="DP1475" s="1952"/>
      <c r="DQ1475" s="1909"/>
      <c r="DR1475" s="1909"/>
      <c r="DS1475" s="1910"/>
      <c r="DT1475" s="1908"/>
      <c r="DU1475" s="2133"/>
      <c r="DV1475" s="2126"/>
      <c r="DW1475" s="2778"/>
      <c r="DX1475" s="2779"/>
      <c r="DY1475" s="2782"/>
      <c r="DZ1475" s="2778"/>
      <c r="EA1475" s="3522"/>
      <c r="EB1475" s="3522"/>
      <c r="EC1475" s="2779"/>
      <c r="ED1475" s="1851"/>
      <c r="EE1475" s="1941"/>
      <c r="EF1475" s="1777"/>
      <c r="EG1475" s="1777"/>
      <c r="EH1475" s="2779"/>
      <c r="EI1475" s="1851"/>
      <c r="EJ1475" s="1851"/>
      <c r="EK1475" s="1851"/>
      <c r="EL1475" s="3131"/>
      <c r="EM1475" s="3131"/>
      <c r="EN1475" s="2200"/>
      <c r="EO1475" s="3132"/>
      <c r="EP1475" s="2200"/>
      <c r="EQ1475" s="2205"/>
      <c r="ER1475" s="2205"/>
      <c r="ES1475" s="2205"/>
      <c r="ET1475" s="2205"/>
      <c r="EU1475" s="2205"/>
      <c r="EV1475" s="2205"/>
      <c r="EW1475" s="2205"/>
      <c r="EX1475" s="2205"/>
    </row>
    <row r="1476" spans="1:154" hidden="1" outlineLevel="1">
      <c r="B1476" s="345" t="s">
        <v>187</v>
      </c>
      <c r="C1476" s="1989"/>
      <c r="D1476" s="33">
        <f>1086.22405013709-300</f>
      </c>
      <c r="E1476" s="33">
        <v>174</v>
      </c>
      <c r="F1476" s="33">
        <v>166</v>
      </c>
      <c r="G1476" s="33">
        <v>177</v>
      </c>
      <c r="H1476" s="33">
        <v>161</v>
      </c>
      <c r="I1476" s="31">
        <f>+SUM(E1476:H1476)</f>
      </c>
      <c r="J1476" s="33">
        <v>155</v>
      </c>
      <c r="K1476" s="33">
        <v>174</v>
      </c>
      <c r="L1476" s="33">
        <v>169</v>
      </c>
      <c r="M1476" s="33">
        <v>172</v>
      </c>
      <c r="N1476" s="31">
        <f>+SUM(J1476:M1476)</f>
      </c>
      <c r="O1476" s="33">
        <v>134</v>
      </c>
      <c r="P1476" s="33">
        <v>120</v>
      </c>
      <c r="Q1476" s="33">
        <v>132</v>
      </c>
      <c r="R1476" s="33">
        <v>116</v>
      </c>
      <c r="S1476" s="31">
        <f>SUM(O1476:R1476)</f>
      </c>
      <c r="T1476" s="33">
        <v>116</v>
      </c>
      <c r="U1476" s="33">
        <v>137</v>
      </c>
      <c r="V1476" s="33">
        <v>119</v>
      </c>
      <c r="W1476" s="33">
        <v>99</v>
      </c>
      <c r="X1476" s="313">
        <f>SUM(T1476:W1476)</f>
      </c>
      <c r="Y1476" s="28">
        <v>138</v>
      </c>
      <c r="Z1476" s="33">
        <v>143</v>
      </c>
      <c r="AA1476" s="33">
        <v>136</v>
      </c>
      <c r="AB1476" s="28">
        <v>117</v>
      </c>
      <c r="AC1476" s="313">
        <f>SUM(Y1476:AB1476)</f>
      </c>
      <c r="AD1476" s="33">
        <v>119.4</v>
      </c>
      <c r="AE1476" s="33">
        <v>134</v>
      </c>
      <c r="AF1476" s="33">
        <v>126.9</v>
      </c>
      <c r="AG1476" s="33">
        <v>112</v>
      </c>
      <c r="AH1476" s="313">
        <f>SUM(AD1476:AG1476)</f>
      </c>
      <c r="AI1476" s="33">
        <v>120</v>
      </c>
      <c r="AJ1476" s="33">
        <v>148</v>
      </c>
      <c r="AK1476" s="33">
        <v>123</v>
      </c>
      <c r="AL1476" s="33">
        <v>107</v>
      </c>
      <c r="AM1476" s="313">
        <f>+SUM(AI1476:AL1476)</f>
      </c>
      <c r="AN1476" s="33">
        <v>136</v>
      </c>
      <c r="AO1476" s="33">
        <v>163</v>
      </c>
      <c r="AP1476" s="33">
        <v>139</v>
      </c>
      <c r="AQ1476" s="33">
        <v>129</v>
      </c>
      <c r="AR1476" s="313">
        <f>+SUM(AN1476:AQ1476)</f>
      </c>
      <c r="AS1476" s="33">
        <v>142</v>
      </c>
      <c r="AT1476" s="33">
        <v>184</v>
      </c>
      <c r="AU1476" s="33">
        <v>154</v>
      </c>
      <c r="AV1476" s="33">
        <v>122</v>
      </c>
      <c r="AW1476" s="313">
        <f>+SUM(AS1476:AV1476)</f>
      </c>
      <c r="AX1476" s="33">
        <v>133</v>
      </c>
      <c r="AY1476" s="33">
        <v>182</v>
      </c>
      <c r="AZ1476" s="33">
        <v>151</v>
      </c>
      <c r="BA1476" s="33">
        <v>101</v>
      </c>
      <c r="BB1476" s="313">
        <f>SUM(AX1476:BA1476)</f>
      </c>
      <c r="BC1476" s="33">
        <v>138</v>
      </c>
      <c r="BD1476" s="33">
        <v>188</v>
      </c>
      <c r="BE1476" s="33">
        <v>158</v>
      </c>
      <c r="BF1476" s="33">
        <v>119</v>
      </c>
      <c r="BG1476" s="313">
        <f>SUM(BC1476:BF1476)</f>
      </c>
      <c r="BH1476" s="33">
        <v>143</v>
      </c>
      <c r="BI1476" s="33">
        <v>165</v>
      </c>
      <c r="BJ1476" s="33">
        <v>139</v>
      </c>
      <c r="BK1476" s="33">
        <v>116</v>
      </c>
      <c r="BL1476" s="313">
        <f>SUM(BH1476:BK1476)</f>
      </c>
      <c r="BM1476" s="33">
        <v>129</v>
      </c>
      <c r="BN1476" s="352">
        <v>176</v>
      </c>
      <c r="BO1476" s="352">
        <v>140</v>
      </c>
      <c r="BP1476" s="33">
        <v>110</v>
      </c>
      <c r="BQ1476" s="313">
        <f>SUM(BM1476:BP1476)</f>
      </c>
      <c r="BR1476" s="33">
        <v>225</v>
      </c>
      <c r="BS1476" s="352">
        <v>250</v>
      </c>
      <c r="BT1476" s="352">
        <v>214</v>
      </c>
      <c r="BU1476" s="352">
        <v>195</v>
      </c>
      <c r="BV1476" s="313">
        <f>SUM(BR1476:BU1476)</f>
      </c>
      <c r="BW1476" s="352">
        <v>199</v>
      </c>
      <c r="BX1476" s="352">
        <v>234</v>
      </c>
      <c r="BY1476" s="352">
        <v>193</v>
      </c>
      <c r="BZ1476" s="352">
        <v>203</v>
      </c>
      <c r="CA1476" s="313">
        <f>SUM(BW1476:BZ1476)</f>
      </c>
      <c r="CB1476" s="352">
        <v>200</v>
      </c>
      <c r="CC1476" s="352">
        <v>238</v>
      </c>
      <c r="CD1476" s="352">
        <v>202</v>
      </c>
      <c r="CE1476" s="352">
        <v>208</v>
      </c>
      <c r="CF1476" s="312">
        <f>SUM(CB1476:CE1476)</f>
      </c>
      <c r="CG1476" s="352">
        <v>187</v>
      </c>
      <c r="CH1476" s="352">
        <v>240</v>
      </c>
      <c r="CI1476" s="352">
        <v>196</v>
      </c>
      <c r="CJ1476" s="352">
        <v>100</v>
      </c>
      <c r="CK1476" s="312">
        <f>SUM(CG1476:CJ1476)</f>
      </c>
      <c r="CL1476" s="352">
        <v>138</v>
      </c>
      <c r="CM1476" s="352">
        <v>172</v>
      </c>
      <c r="CN1476" s="352">
        <v>139</v>
      </c>
      <c r="CO1476" s="352">
        <v>100</v>
      </c>
      <c r="CP1476" s="312">
        <f>SUM(CL1476:CO1476)</f>
      </c>
      <c r="CQ1476" s="352">
        <v>98</v>
      </c>
      <c r="CR1476" s="352">
        <v>140</v>
      </c>
      <c r="CS1476" s="352">
        <v>104</v>
      </c>
      <c r="CT1476" s="352">
        <v>95</v>
      </c>
      <c r="CU1476" s="312">
        <f>SUM(CQ1476:CT1476)</f>
      </c>
      <c r="CV1476" s="352">
        <v>103</v>
      </c>
      <c r="CW1476" s="352">
        <v>135</v>
      </c>
      <c r="CX1476" s="352">
        <v>106</v>
      </c>
      <c r="CY1476" s="352">
        <v>92</v>
      </c>
      <c r="CZ1476" s="312">
        <f>SUM(CV1476:CY1476)</f>
      </c>
      <c r="DA1476" s="352">
        <v>102</v>
      </c>
      <c r="DB1476" s="352">
        <v>132</v>
      </c>
      <c r="DC1476" s="352">
        <v>109</v>
      </c>
      <c r="DD1476" s="956">
        <v>98</v>
      </c>
      <c r="DE1476" s="1835">
        <f>SUM(DA1476:DD1476)</f>
      </c>
      <c r="DF1476" s="710">
        <v>119</v>
      </c>
      <c r="DG1476" s="710">
        <v>126</v>
      </c>
      <c r="DH1476" s="710">
        <v>125</v>
      </c>
      <c r="DI1476" s="1839">
        <v>110</v>
      </c>
      <c r="DJ1476" s="1835">
        <f>SUM(DF1476:DI1476)</f>
      </c>
      <c r="DK1476" s="710">
        <v>115.4</v>
      </c>
      <c r="DL1476" s="1544">
        <v>153</v>
      </c>
      <c r="DM1476" s="710">
        <v>122</v>
      </c>
      <c r="DN1476" s="1839">
        <v>106</v>
      </c>
      <c r="DO1476" s="1835">
        <f>SUM(DK1476:DN1476)</f>
      </c>
      <c r="DP1476" s="710">
        <v>112</v>
      </c>
      <c r="DQ1476" s="710">
        <f>133+1</f>
      </c>
      <c r="DR1476" s="710">
        <v>122</v>
      </c>
      <c r="DS1476" s="1839">
        <v>109</v>
      </c>
      <c r="DT1476" s="1835">
        <f>SUM(DP1476:DS1476)</f>
      </c>
      <c r="DU1476" s="710">
        <v>115</v>
      </c>
      <c r="DV1476" s="710">
        <v>149</v>
      </c>
      <c r="DW1476" s="1542"/>
      <c r="DX1476" s="1556"/>
      <c r="DY1476" s="1835"/>
      <c r="DZ1476" s="1542"/>
      <c r="EA1476" s="1542"/>
      <c r="EB1476" s="1542"/>
      <c r="EC1476" s="1556"/>
      <c r="ED1476" s="1835"/>
      <c r="EE1476" s="1877"/>
      <c r="EF1476" s="1542"/>
      <c r="EG1476" s="1542"/>
      <c r="EH1476" s="1556"/>
      <c r="EI1476" s="1835"/>
      <c r="EJ1476" s="1835"/>
      <c r="EK1476" s="1835"/>
      <c r="EL1476" s="477"/>
      <c r="EM1476" s="477"/>
      <c r="EN1476" s="477"/>
      <c r="EO1476" s="1798"/>
      <c r="EP1476" s="477"/>
      <c r="EQ1476" s="477"/>
      <c r="ER1476" s="477"/>
      <c r="ES1476" s="477"/>
      <c r="ET1476" s="477"/>
      <c r="EU1476" s="477"/>
      <c r="EV1476" s="477"/>
      <c r="EW1476" s="477"/>
      <c r="EX1476" s="477"/>
    </row>
    <row r="1477" spans="1:154" hidden="1" outlineLevel="1">
      <c r="B1477" s="345" t="s">
        <v>412</v>
      </c>
      <c r="C1477" s="1989"/>
      <c r="D1477" s="33">
        <f>1397.451357874-950</f>
      </c>
      <c r="E1477" s="33">
        <v>106</v>
      </c>
      <c r="F1477" s="33">
        <v>101</v>
      </c>
      <c r="G1477" s="33">
        <v>99</v>
      </c>
      <c r="H1477" s="33">
        <v>88</v>
      </c>
      <c r="I1477" s="31">
        <f>+SUM(E1477:H1477)</f>
      </c>
      <c r="J1477" s="33">
        <v>102</v>
      </c>
      <c r="K1477" s="33">
        <v>97</v>
      </c>
      <c r="L1477" s="33">
        <v>95</v>
      </c>
      <c r="M1477" s="33">
        <v>90</v>
      </c>
      <c r="N1477" s="31">
        <f>+SUM(J1477:M1477)</f>
      </c>
      <c r="O1477" s="33">
        <v>86</v>
      </c>
      <c r="P1477" s="33">
        <v>80</v>
      </c>
      <c r="Q1477" s="33">
        <v>78</v>
      </c>
      <c r="R1477" s="33">
        <v>78</v>
      </c>
      <c r="S1477" s="31">
        <f>SUM(O1477:R1477)</f>
      </c>
      <c r="T1477" s="33">
        <v>71</v>
      </c>
      <c r="U1477" s="33">
        <v>72</v>
      </c>
      <c r="V1477" s="33">
        <v>83</v>
      </c>
      <c r="W1477" s="33">
        <v>82</v>
      </c>
      <c r="X1477" s="313">
        <f>SUM(T1477:W1477)</f>
      </c>
      <c r="Y1477" s="28">
        <v>83.6</v>
      </c>
      <c r="Z1477" s="33">
        <v>106</v>
      </c>
      <c r="AA1477" s="33">
        <v>91</v>
      </c>
      <c r="AB1477" s="28">
        <v>95</v>
      </c>
      <c r="AC1477" s="313">
        <f>SUM(Y1477:AB1477)</f>
      </c>
      <c r="AD1477" s="33">
        <v>111</v>
      </c>
      <c r="AE1477" s="33">
        <v>97</v>
      </c>
      <c r="AF1477" s="33">
        <v>89.7</v>
      </c>
      <c r="AG1477" s="33">
        <v>93</v>
      </c>
      <c r="AH1477" s="313">
        <f>SUM(AD1477:AG1477)</f>
      </c>
      <c r="AI1477" s="33">
        <v>99</v>
      </c>
      <c r="AJ1477" s="33">
        <v>101</v>
      </c>
      <c r="AK1477" s="33">
        <v>98</v>
      </c>
      <c r="AL1477" s="33">
        <v>92</v>
      </c>
      <c r="AM1477" s="313">
        <f>+SUM(AI1477:AL1477)</f>
      </c>
      <c r="AN1477" s="33">
        <v>102</v>
      </c>
      <c r="AO1477" s="33">
        <v>112</v>
      </c>
      <c r="AP1477" s="33">
        <v>100</v>
      </c>
      <c r="AQ1477" s="33">
        <v>113</v>
      </c>
      <c r="AR1477" s="313">
        <f>+SUM(AN1477:AQ1477)</f>
      </c>
      <c r="AS1477" s="33">
        <v>106</v>
      </c>
      <c r="AT1477" s="33">
        <v>114</v>
      </c>
      <c r="AU1477" s="33">
        <v>99.999999999999801</v>
      </c>
      <c r="AV1477" s="33">
        <v>103</v>
      </c>
      <c r="AW1477" s="313">
        <f>+SUM(AS1477:AV1477)</f>
      </c>
      <c r="AX1477" s="33">
        <v>117</v>
      </c>
      <c r="AY1477" s="33">
        <v>126</v>
      </c>
      <c r="AZ1477" s="33">
        <v>121</v>
      </c>
      <c r="BA1477" s="33">
        <v>99</v>
      </c>
      <c r="BB1477" s="313">
        <f>SUM(AX1477:BA1477)</f>
      </c>
      <c r="BC1477" s="33">
        <v>106</v>
      </c>
      <c r="BD1477" s="33">
        <v>148</v>
      </c>
      <c r="BE1477" s="33">
        <v>135</v>
      </c>
      <c r="BF1477" s="33">
        <v>135</v>
      </c>
      <c r="BG1477" s="313">
        <f>SUM(BC1477:BF1477)</f>
      </c>
      <c r="BH1477" s="33">
        <v>117</v>
      </c>
      <c r="BI1477" s="33">
        <v>123</v>
      </c>
      <c r="BJ1477" s="33">
        <v>110</v>
      </c>
      <c r="BK1477" s="33">
        <v>97</v>
      </c>
      <c r="BL1477" s="313">
        <f>SUM(BH1477:BK1477)</f>
      </c>
      <c r="BM1477" s="33">
        <v>114</v>
      </c>
      <c r="BN1477" s="352">
        <v>131</v>
      </c>
      <c r="BO1477" s="352">
        <v>110</v>
      </c>
      <c r="BP1477" s="33">
        <v>100</v>
      </c>
      <c r="BQ1477" s="313">
        <f>SUM(BM1477:BP1477)</f>
      </c>
      <c r="BR1477" s="33">
        <v>176</v>
      </c>
      <c r="BS1477" s="352">
        <v>185</v>
      </c>
      <c r="BT1477" s="352">
        <v>163</v>
      </c>
      <c r="BU1477" s="352">
        <v>152</v>
      </c>
      <c r="BV1477" s="313">
        <f>SUM(BR1477:BU1477)</f>
      </c>
      <c r="BW1477" s="352">
        <v>163</v>
      </c>
      <c r="BX1477" s="352">
        <v>182</v>
      </c>
      <c r="BY1477" s="352">
        <v>156</v>
      </c>
      <c r="BZ1477" s="352">
        <v>150</v>
      </c>
      <c r="CA1477" s="313">
        <f>SUM(BW1477:BZ1477)</f>
      </c>
      <c r="CB1477" s="352">
        <v>149</v>
      </c>
      <c r="CC1477" s="352">
        <v>173</v>
      </c>
      <c r="CD1477" s="352">
        <v>151</v>
      </c>
      <c r="CE1477" s="352">
        <v>123</v>
      </c>
      <c r="CF1477" s="312">
        <f>SUM(CB1477:CE1477)</f>
      </c>
      <c r="CG1477" s="352">
        <v>106</v>
      </c>
      <c r="CH1477" s="352">
        <v>121</v>
      </c>
      <c r="CI1477" s="352">
        <v>98</v>
      </c>
      <c r="CJ1477" s="352">
        <v>95</v>
      </c>
      <c r="CK1477" s="312">
        <f>SUM(CG1477:CJ1477)</f>
      </c>
      <c r="CL1477" s="352">
        <v>89</v>
      </c>
      <c r="CM1477" s="352">
        <v>100</v>
      </c>
      <c r="CN1477" s="352">
        <v>85</v>
      </c>
      <c r="CO1477" s="352">
        <v>76</v>
      </c>
      <c r="CP1477" s="312">
        <f>SUM(CL1477:CO1477)</f>
      </c>
      <c r="CQ1477" s="352">
        <v>77</v>
      </c>
      <c r="CR1477" s="352">
        <v>92</v>
      </c>
      <c r="CS1477" s="352">
        <v>88</v>
      </c>
      <c r="CT1477" s="352">
        <v>85</v>
      </c>
      <c r="CU1477" s="312">
        <f>SUM(CQ1477:CT1477)</f>
      </c>
      <c r="CV1477" s="352">
        <v>60</v>
      </c>
      <c r="CW1477" s="352">
        <v>65</v>
      </c>
      <c r="CX1477" s="352">
        <v>58</v>
      </c>
      <c r="CY1477" s="352">
        <v>56</v>
      </c>
      <c r="CZ1477" s="312">
        <f>SUM(CV1477:CY1477)</f>
      </c>
      <c r="DA1477" s="352">
        <v>53</v>
      </c>
      <c r="DB1477" s="352">
        <v>61</v>
      </c>
      <c r="DC1477" s="352">
        <v>59</v>
      </c>
      <c r="DD1477" s="956">
        <v>57</v>
      </c>
      <c r="DE1477" s="1835">
        <f>SUM(DA1477:DD1477)</f>
      </c>
      <c r="DF1477" s="710">
        <v>52</v>
      </c>
      <c r="DG1477" s="710">
        <v>59</v>
      </c>
      <c r="DH1477" s="710">
        <v>64</v>
      </c>
      <c r="DI1477" s="1839">
        <v>65</v>
      </c>
      <c r="DJ1477" s="1835">
        <f>SUM(DF1477:DI1477)</f>
      </c>
      <c r="DK1477" s="710">
        <v>61.4</v>
      </c>
      <c r="DL1477" s="1544">
        <f>64-1</f>
      </c>
      <c r="DM1477" s="710">
        <v>61</v>
      </c>
      <c r="DN1477" s="1552">
        <v>57</v>
      </c>
      <c r="DO1477" s="1835">
        <f>SUM(DK1477:DN1477)</f>
      </c>
      <c r="DP1477" s="710">
        <f>52+1</f>
      </c>
      <c r="DQ1477" s="710">
        <f>65-1</f>
      </c>
      <c r="DR1477" s="710">
        <f>53+1</f>
      </c>
      <c r="DS1477" s="1839">
        <v>54</v>
      </c>
      <c r="DT1477" s="1835">
        <f>SUM(DP1477:DS1477)</f>
      </c>
      <c r="DU1477" s="710">
        <v>48.5</v>
      </c>
      <c r="DV1477" s="710">
        <v>58</v>
      </c>
      <c r="DW1477" s="1542"/>
      <c r="DX1477" s="1556"/>
      <c r="DY1477" s="1835"/>
      <c r="DZ1477" s="1542"/>
      <c r="EA1477" s="1542"/>
      <c r="EB1477" s="1542"/>
      <c r="EC1477" s="1556"/>
      <c r="ED1477" s="1835"/>
      <c r="EE1477" s="1877"/>
      <c r="EF1477" s="1542"/>
      <c r="EG1477" s="1542"/>
      <c r="EH1477" s="1556"/>
      <c r="EI1477" s="1835"/>
      <c r="EJ1477" s="1835"/>
      <c r="EK1477" s="1835"/>
      <c r="EL1477" s="477"/>
      <c r="EM1477" s="477"/>
      <c r="EN1477" s="477"/>
      <c r="EO1477" s="1798"/>
      <c r="EP1477" s="477"/>
      <c r="EQ1477" s="477"/>
      <c r="ER1477" s="477"/>
      <c r="ES1477" s="477"/>
      <c r="ET1477" s="477"/>
      <c r="EU1477" s="477"/>
      <c r="EV1477" s="477"/>
      <c r="EW1477" s="477"/>
      <c r="EX1477" s="477"/>
    </row>
    <row r="1478" spans="1:154" hidden="1" outlineLevel="1">
      <c r="B1478" s="345" t="s">
        <v>413</v>
      </c>
      <c r="C1478" s="1989"/>
      <c r="D1478" s="28">
        <f t="shared" ref="D1478:AV1478" si="2867">+D1476+D1477</f>
      </c>
      <c r="E1478" s="28">
        <f t="shared" si="2867"/>
      </c>
      <c r="F1478" s="28">
        <f t="shared" si="2867"/>
      </c>
      <c r="G1478" s="28">
        <f t="shared" si="2867"/>
      </c>
      <c r="H1478" s="28">
        <f t="shared" si="2867"/>
      </c>
      <c r="I1478" s="31">
        <f t="shared" si="2867"/>
      </c>
      <c r="J1478" s="28">
        <f t="shared" si="2867"/>
      </c>
      <c r="K1478" s="28">
        <f t="shared" si="2867"/>
      </c>
      <c r="L1478" s="28">
        <f t="shared" si="2867"/>
      </c>
      <c r="M1478" s="28">
        <f t="shared" si="2867"/>
      </c>
      <c r="N1478" s="31">
        <f t="shared" si="2867"/>
      </c>
      <c r="O1478" s="31">
        <f t="shared" si="2867"/>
      </c>
      <c r="P1478" s="31">
        <f t="shared" si="2867"/>
      </c>
      <c r="Q1478" s="31">
        <f t="shared" si="2867"/>
      </c>
      <c r="R1478" s="31">
        <f t="shared" si="2867"/>
      </c>
      <c r="S1478" s="31">
        <f t="shared" si="2867"/>
      </c>
      <c r="T1478" s="31">
        <f t="shared" si="2867"/>
      </c>
      <c r="U1478" s="31">
        <f t="shared" si="2867"/>
      </c>
      <c r="V1478" s="31">
        <f t="shared" si="2867"/>
      </c>
      <c r="W1478" s="31">
        <f t="shared" si="2867"/>
      </c>
      <c r="X1478" s="313">
        <f t="shared" si="2867"/>
      </c>
      <c r="Y1478" s="31">
        <f t="shared" si="2867"/>
      </c>
      <c r="Z1478" s="31">
        <f t="shared" si="2867"/>
      </c>
      <c r="AA1478" s="31">
        <f t="shared" si="2867"/>
      </c>
      <c r="AB1478" s="31">
        <f t="shared" si="2867"/>
      </c>
      <c r="AC1478" s="313">
        <f t="shared" si="2867"/>
      </c>
      <c r="AD1478" s="31">
        <f t="shared" si="2867"/>
      </c>
      <c r="AE1478" s="31">
        <f t="shared" si="2867"/>
      </c>
      <c r="AF1478" s="31">
        <f t="shared" si="2867"/>
      </c>
      <c r="AG1478" s="31">
        <f t="shared" si="2867"/>
      </c>
      <c r="AH1478" s="313">
        <f t="shared" si="2867"/>
      </c>
      <c r="AI1478" s="28">
        <f t="shared" si="2867"/>
      </c>
      <c r="AJ1478" s="28">
        <f t="shared" si="2867"/>
      </c>
      <c r="AK1478" s="28">
        <f t="shared" si="2867"/>
      </c>
      <c r="AL1478" s="31">
        <f t="shared" si="2867"/>
      </c>
      <c r="AM1478" s="313">
        <f t="shared" si="2867"/>
      </c>
      <c r="AN1478" s="28">
        <f t="shared" si="2867"/>
      </c>
      <c r="AO1478" s="28">
        <f t="shared" si="2867"/>
      </c>
      <c r="AP1478" s="28">
        <f t="shared" si="2867"/>
      </c>
      <c r="AQ1478" s="28">
        <f t="shared" si="2867"/>
      </c>
      <c r="AR1478" s="313">
        <f t="shared" si="2867"/>
      </c>
      <c r="AS1478" s="28">
        <f t="shared" si="2867"/>
      </c>
      <c r="AT1478" s="28">
        <f t="shared" si="2867"/>
      </c>
      <c r="AU1478" s="28">
        <f t="shared" si="2867"/>
      </c>
      <c r="AV1478" s="31">
        <f t="shared" si="2867"/>
      </c>
      <c r="AW1478" s="313">
        <f>+AW1476+AW1477</f>
      </c>
      <c r="AX1478" s="28">
        <f t="shared" ref="AX1478:BF1478" si="2868">+AX1476+AX1477</f>
      </c>
      <c r="AY1478" s="28">
        <f t="shared" si="2868"/>
      </c>
      <c r="AZ1478" s="28">
        <f t="shared" si="2868"/>
      </c>
      <c r="BA1478" s="28">
        <f t="shared" si="2868"/>
      </c>
      <c r="BB1478" s="313">
        <f t="shared" si="2868"/>
      </c>
      <c r="BC1478" s="28">
        <f t="shared" si="2868"/>
      </c>
      <c r="BD1478" s="28">
        <f t="shared" si="2868"/>
      </c>
      <c r="BE1478" s="28">
        <f t="shared" si="2868"/>
      </c>
      <c r="BF1478" s="28">
        <f t="shared" si="2868"/>
      </c>
      <c r="BG1478" s="313">
        <f t="shared" ref="BG1478:BT1478" si="2869">+BG1476+BG1477</f>
      </c>
      <c r="BH1478" s="28">
        <f t="shared" si="2869"/>
      </c>
      <c r="BI1478" s="28">
        <f t="shared" si="2869"/>
      </c>
      <c r="BJ1478" s="28">
        <f t="shared" si="2869"/>
      </c>
      <c r="BK1478" s="28">
        <f t="shared" si="2869"/>
      </c>
      <c r="BL1478" s="313">
        <f>SUM(BH1478:BK1478)</f>
      </c>
      <c r="BM1478" s="28">
        <f>+BM1476+BM1477</f>
      </c>
      <c r="BN1478" s="28">
        <f>+BN1476+BN1477</f>
      </c>
      <c r="BO1478" s="28">
        <f>+BO1476+BO1477</f>
      </c>
      <c r="BP1478" s="28">
        <f>+BP1476+BP1477</f>
      </c>
      <c r="BQ1478" s="313">
        <f>SUM(BM1478:BP1478)</f>
      </c>
      <c r="BR1478" s="28">
        <f t="shared" si="2869"/>
      </c>
      <c r="BS1478" s="28">
        <f>+BS1476+BS1477</f>
      </c>
      <c r="BT1478" s="28">
        <f t="shared" si="2869"/>
      </c>
      <c r="BU1478" s="28">
        <f>+BU1476+BU1477</f>
      </c>
      <c r="BV1478" s="313">
        <f>SUM(BR1478:BU1478)</f>
      </c>
      <c r="BW1478" s="28">
        <f>+BW1476+BW1477</f>
      </c>
      <c r="BX1478" s="28">
        <f>+BX1476+BX1477</f>
      </c>
      <c r="BY1478" s="28">
        <f>+BY1476+BY1477</f>
      </c>
      <c r="BZ1478" s="28">
        <f>+BZ1476+BZ1477</f>
      </c>
      <c r="CA1478" s="313">
        <f>SUM(BW1478:BZ1478)</f>
      </c>
      <c r="CB1478" s="28">
        <f>+CB1476+CB1477</f>
      </c>
      <c r="CC1478" s="28">
        <f>+CC1476+CC1477</f>
      </c>
      <c r="CD1478" s="28">
        <f>+CD1476+CD1477</f>
      </c>
      <c r="CE1478" s="28">
        <f>+CE1476+CE1477</f>
      </c>
      <c r="CF1478" s="312">
        <f>SUM(CB1478:CE1478)</f>
      </c>
      <c r="CG1478" s="28">
        <f>+CG1476+CG1477</f>
      </c>
      <c r="CH1478" s="28">
        <f>+CH1476+CH1477</f>
      </c>
      <c r="CI1478" s="28">
        <f>+CI1476+CI1477</f>
      </c>
      <c r="CJ1478" s="28">
        <f>+CJ1476+CJ1477</f>
      </c>
      <c r="CK1478" s="312">
        <f>SUM(CG1478:CJ1478)</f>
      </c>
      <c r="CL1478" s="28">
        <f>+CL1476+CL1477</f>
      </c>
      <c r="CM1478" s="28">
        <f>+CM1476+CM1477</f>
      </c>
      <c r="CN1478" s="28">
        <f>+CN1476+CN1477</f>
      </c>
      <c r="CO1478" s="28">
        <f>+CO1476+CO1477</f>
      </c>
      <c r="CP1478" s="312">
        <f>SUM(CL1478:CO1478)</f>
      </c>
      <c r="CQ1478" s="933">
        <f>+CQ1476+CQ1477</f>
      </c>
      <c r="CR1478" s="933">
        <f>+CR1476+CR1477</f>
      </c>
      <c r="CS1478" s="933">
        <f>+CS1476+CS1477</f>
      </c>
      <c r="CT1478" s="933">
        <f>+CT1476+CT1477</f>
      </c>
      <c r="CU1478" s="312">
        <f>SUM(CQ1478:CT1478)</f>
      </c>
      <c r="CV1478" s="933">
        <f>+CV1476+CV1477</f>
      </c>
      <c r="CW1478" s="933">
        <f>+CW1476+CW1477</f>
      </c>
      <c r="CX1478" s="933">
        <f>+CX1476+CX1477</f>
      </c>
      <c r="CY1478" s="933">
        <f>+CY1476+CY1477</f>
      </c>
      <c r="CZ1478" s="312">
        <f>SUM(CV1478:CY1478)</f>
      </c>
      <c r="DA1478" s="933">
        <f>+DA1476+DA1477</f>
      </c>
      <c r="DB1478" s="933">
        <f>SUM(DB1476:DB1477)</f>
      </c>
      <c r="DC1478" s="31">
        <f>SUM(DC1476:DC1477)</f>
      </c>
      <c r="DD1478" s="984">
        <f>SUM(DD1476:DD1477)</f>
      </c>
      <c r="DE1478" s="1835">
        <f>SUM(DA1478:DD1478)</f>
      </c>
      <c r="DF1478" s="1542">
        <f>SUM(DF1476:DF1477)</f>
      </c>
      <c r="DG1478" s="1542">
        <f>SUM(DG1476:DG1477)</f>
      </c>
      <c r="DH1478" s="1542">
        <f>SUM(DH1476:DH1477)</f>
      </c>
      <c r="DI1478" s="1556">
        <f>+DI1476+DI1477</f>
      </c>
      <c r="DJ1478" s="1835">
        <f>SUM(DF1478:DI1478)</f>
      </c>
      <c r="DK1478" s="1542">
        <f>SUM(DK1476:DK1477)</f>
      </c>
      <c r="DL1478" s="1542">
        <f>SUM(DL1476:DL1477)</f>
      </c>
      <c r="DM1478" s="1542">
        <f>SUM(DM1476:DM1477)</f>
      </c>
      <c r="DN1478" s="1556">
        <f>+DN1476+DN1477</f>
      </c>
      <c r="DO1478" s="1835">
        <f>+DO1476+DO1477</f>
      </c>
      <c r="DP1478" s="1542">
        <f>SUM(DP1476:DP1477)</f>
      </c>
      <c r="DQ1478" s="1542">
        <f>SUM(DQ1476:DQ1477)</f>
      </c>
      <c r="DR1478" s="1542">
        <f>SUM(DR1476:DR1477)</f>
      </c>
      <c r="DS1478" s="1556">
        <f>+DS1476+DS1477</f>
      </c>
      <c r="DT1478" s="1835">
        <f>+DT1476+DT1477</f>
      </c>
      <c r="DU1478" s="1542">
        <f>SUM(DU1476:DU1477)</f>
      </c>
      <c r="DV1478" s="1542">
        <f>SUM(DV1476:DV1477)</f>
      </c>
      <c r="DW1478" s="1542"/>
      <c r="DX1478" s="1556"/>
      <c r="DY1478" s="1835"/>
      <c r="DZ1478" s="1542"/>
      <c r="EA1478" s="1542"/>
      <c r="EB1478" s="1542"/>
      <c r="EC1478" s="1556"/>
      <c r="ED1478" s="1835"/>
      <c r="EE1478" s="1877"/>
      <c r="EF1478" s="1542"/>
      <c r="EG1478" s="1542"/>
      <c r="EH1478" s="1556"/>
      <c r="EI1478" s="1835"/>
      <c r="EJ1478" s="1835"/>
      <c r="EK1478" s="1835"/>
      <c r="EL1478" s="477"/>
      <c r="EM1478" s="477"/>
      <c r="EN1478" s="477"/>
      <c r="EO1478" s="1798"/>
      <c r="EP1478" s="477"/>
      <c r="EQ1478" s="477"/>
      <c r="ER1478" s="477"/>
      <c r="ES1478" s="477"/>
      <c r="ET1478" s="477"/>
      <c r="EU1478" s="477"/>
      <c r="EV1478" s="477"/>
      <c r="EW1478" s="477"/>
      <c r="EX1478" s="477"/>
    </row>
    <row r="1479" spans="1:154" hidden="1" outlineLevel="1">
      <c r="B1479" s="345"/>
      <c r="C1479" s="1989"/>
      <c r="D1479" s="28"/>
      <c r="E1479" s="28"/>
      <c r="F1479" s="28"/>
      <c r="G1479" s="28"/>
      <c r="H1479" s="28"/>
      <c r="I1479" s="31"/>
      <c r="J1479" s="28"/>
      <c r="K1479" s="28"/>
      <c r="L1479" s="28"/>
      <c r="M1479" s="28"/>
      <c r="N1479" s="31"/>
      <c r="O1479" s="31"/>
      <c r="P1479" s="31"/>
      <c r="Q1479" s="31"/>
      <c r="R1479" s="31"/>
      <c r="S1479" s="31"/>
      <c r="T1479" s="31"/>
      <c r="U1479" s="31"/>
      <c r="V1479" s="31"/>
      <c r="W1479" s="31"/>
      <c r="X1479" s="313"/>
      <c r="Y1479" s="31"/>
      <c r="Z1479" s="31"/>
      <c r="AA1479" s="31"/>
      <c r="AB1479" s="31"/>
      <c r="AC1479" s="313"/>
      <c r="AD1479" s="31"/>
      <c r="AE1479" s="31"/>
      <c r="AF1479" s="31"/>
      <c r="AG1479" s="31"/>
      <c r="AH1479" s="313"/>
      <c r="AI1479" s="28"/>
      <c r="AJ1479" s="28"/>
      <c r="AK1479" s="28"/>
      <c r="AL1479" s="31"/>
      <c r="AM1479" s="313"/>
      <c r="AN1479" s="28"/>
      <c r="AO1479" s="28"/>
      <c r="AP1479" s="28"/>
      <c r="AQ1479" s="28"/>
      <c r="AR1479" s="313"/>
      <c r="AS1479" s="28"/>
      <c r="AT1479" s="28"/>
      <c r="AU1479" s="28"/>
      <c r="AV1479" s="31"/>
      <c r="AW1479" s="313"/>
      <c r="AX1479" s="28"/>
      <c r="AY1479" s="28"/>
      <c r="AZ1479" s="28"/>
      <c r="BA1479" s="28"/>
      <c r="BB1479" s="313"/>
      <c r="BC1479" s="28"/>
      <c r="BD1479" s="28"/>
      <c r="BE1479" s="28"/>
      <c r="BF1479" s="28"/>
      <c r="BG1479" s="313"/>
      <c r="BH1479" s="28"/>
      <c r="BI1479" s="28"/>
      <c r="BJ1479" s="28"/>
      <c r="BK1479" s="28"/>
      <c r="BL1479" s="313"/>
      <c r="BM1479" s="28"/>
      <c r="BN1479" s="28"/>
      <c r="BO1479" s="28"/>
      <c r="BP1479" s="28"/>
      <c r="BQ1479" s="313"/>
      <c r="BR1479" s="28"/>
      <c r="BS1479" s="28"/>
      <c r="BT1479" s="28"/>
      <c r="BU1479" s="28"/>
      <c r="BV1479" s="313"/>
      <c r="BW1479" s="28"/>
      <c r="BX1479" s="28"/>
      <c r="BY1479" s="28"/>
      <c r="BZ1479" s="28"/>
      <c r="CA1479" s="313"/>
      <c r="CB1479" s="28"/>
      <c r="CC1479" s="28"/>
      <c r="CD1479" s="28"/>
      <c r="CE1479" s="28"/>
      <c r="CF1479" s="313"/>
      <c r="CG1479" s="28"/>
      <c r="CH1479" s="28"/>
      <c r="CI1479" s="28"/>
      <c r="CJ1479" s="28"/>
      <c r="CK1479" s="313"/>
      <c r="CL1479" s="28"/>
      <c r="CM1479" s="28"/>
      <c r="CN1479" s="28"/>
      <c r="CO1479" s="28"/>
      <c r="CP1479" s="313"/>
      <c r="CQ1479" s="933"/>
      <c r="CR1479" s="933"/>
      <c r="CS1479" s="933"/>
      <c r="CT1479" s="933"/>
      <c r="CU1479" s="313"/>
      <c r="CV1479" s="933"/>
      <c r="CW1479" s="933"/>
      <c r="CX1479" s="933"/>
      <c r="CY1479" s="933"/>
      <c r="CZ1479" s="313"/>
      <c r="DA1479" s="933"/>
      <c r="DB1479" s="31"/>
      <c r="DC1479" s="31"/>
      <c r="DD1479" s="955"/>
      <c r="DE1479" s="477"/>
      <c r="DF1479" s="982"/>
      <c r="DG1479" s="603"/>
      <c r="DH1479" s="603"/>
      <c r="DI1479" s="1798"/>
      <c r="DJ1479" s="477"/>
      <c r="DK1479" s="982"/>
      <c r="DL1479" s="603"/>
      <c r="DM1479" s="603"/>
      <c r="DN1479" s="1798"/>
      <c r="DO1479" s="477"/>
      <c r="DP1479" s="603"/>
      <c r="DQ1479" s="603"/>
      <c r="DR1479" s="603"/>
      <c r="DS1479" s="1798"/>
      <c r="DT1479" s="477"/>
      <c r="DU1479" s="603"/>
      <c r="DV1479" s="603"/>
      <c r="DW1479" s="603"/>
      <c r="DX1479" s="1798"/>
      <c r="DY1479" s="477"/>
      <c r="DZ1479" s="603"/>
      <c r="EA1479" s="603"/>
      <c r="EB1479" s="603"/>
      <c r="EC1479" s="1798"/>
      <c r="ED1479" s="477"/>
      <c r="EE1479" s="1799"/>
      <c r="EF1479" s="603"/>
      <c r="EG1479" s="603"/>
      <c r="EH1479" s="1798"/>
      <c r="EI1479" s="477"/>
      <c r="EJ1479" s="477"/>
      <c r="EK1479" s="477"/>
      <c r="EL1479" s="477"/>
      <c r="EM1479" s="477"/>
      <c r="EN1479" s="477"/>
      <c r="EO1479" s="1798"/>
      <c r="EP1479" s="477"/>
      <c r="EQ1479" s="477"/>
      <c r="ER1479" s="477"/>
      <c r="ES1479" s="477"/>
      <c r="ET1479" s="477"/>
      <c r="EU1479" s="477"/>
      <c r="EV1479" s="477"/>
      <c r="EW1479" s="477"/>
      <c r="EX1479" s="477"/>
    </row>
    <row r="1480" spans="1:154" hidden="1" outlineLevel="1">
      <c r="B1480" s="343" t="s">
        <v>45</v>
      </c>
      <c r="C1480" s="1989"/>
      <c r="D1480" s="28"/>
      <c r="E1480" s="28"/>
      <c r="F1480" s="28"/>
      <c r="G1480" s="28"/>
      <c r="H1480" s="28"/>
      <c r="I1480" s="31"/>
      <c r="J1480" s="28"/>
      <c r="K1480" s="28"/>
      <c r="L1480" s="28"/>
      <c r="M1480" s="28"/>
      <c r="N1480" s="31"/>
      <c r="O1480" s="31"/>
      <c r="P1480" s="31"/>
      <c r="Q1480" s="31"/>
      <c r="R1480" s="31"/>
      <c r="S1480" s="31"/>
      <c r="T1480" s="31"/>
      <c r="U1480" s="31"/>
      <c r="V1480" s="31"/>
      <c r="W1480" s="31"/>
      <c r="X1480" s="313"/>
      <c r="Y1480" s="31"/>
      <c r="Z1480" s="31"/>
      <c r="AA1480" s="31"/>
      <c r="AB1480" s="31"/>
      <c r="AC1480" s="313"/>
      <c r="AD1480" s="31"/>
      <c r="AE1480" s="31"/>
      <c r="AF1480" s="31"/>
      <c r="AG1480" s="31"/>
      <c r="AH1480" s="313"/>
      <c r="AI1480" s="28"/>
      <c r="AJ1480" s="28"/>
      <c r="AK1480" s="28"/>
      <c r="AL1480" s="31"/>
      <c r="AM1480" s="313"/>
      <c r="AN1480" s="28"/>
      <c r="AO1480" s="28"/>
      <c r="AP1480" s="28"/>
      <c r="AQ1480" s="28"/>
      <c r="AR1480" s="313"/>
      <c r="AS1480" s="28"/>
      <c r="AT1480" s="28"/>
      <c r="AU1480" s="28"/>
      <c r="AV1480" s="31"/>
      <c r="AW1480" s="313"/>
      <c r="AX1480" s="28"/>
      <c r="AY1480" s="28"/>
      <c r="AZ1480" s="28"/>
      <c r="BA1480" s="28"/>
      <c r="BB1480" s="313"/>
      <c r="BC1480" s="28"/>
      <c r="BD1480" s="28"/>
      <c r="BE1480" s="28"/>
      <c r="BF1480" s="28"/>
      <c r="BG1480" s="313"/>
      <c r="BH1480" s="28"/>
      <c r="BI1480" s="28"/>
      <c r="BJ1480" s="28"/>
      <c r="BK1480" s="28"/>
      <c r="BL1480" s="313"/>
      <c r="BM1480" s="28"/>
      <c r="BN1480" s="28"/>
      <c r="BO1480" s="28"/>
      <c r="BP1480" s="28"/>
      <c r="BQ1480" s="313"/>
      <c r="BR1480" s="28"/>
      <c r="BS1480" s="28"/>
      <c r="BT1480" s="28"/>
      <c r="BU1480" s="28"/>
      <c r="BV1480" s="313"/>
      <c r="BW1480" s="28"/>
      <c r="BX1480" s="28"/>
      <c r="BY1480" s="28"/>
      <c r="BZ1480" s="28"/>
      <c r="CA1480" s="313"/>
      <c r="CB1480" s="28"/>
      <c r="CC1480" s="28"/>
      <c r="CD1480" s="28"/>
      <c r="CE1480" s="28"/>
      <c r="CF1480" s="313"/>
      <c r="CG1480" s="28"/>
      <c r="CH1480" s="28"/>
      <c r="CI1480" s="28"/>
      <c r="CJ1480" s="28"/>
      <c r="CK1480" s="313"/>
      <c r="CL1480" s="28"/>
      <c r="CM1480" s="28"/>
      <c r="CN1480" s="28"/>
      <c r="CO1480" s="28"/>
      <c r="CP1480" s="313"/>
      <c r="CQ1480" s="933"/>
      <c r="CR1480" s="933"/>
      <c r="CS1480" s="933"/>
      <c r="CT1480" s="933"/>
      <c r="CU1480" s="313"/>
      <c r="CV1480" s="933"/>
      <c r="CW1480" s="933"/>
      <c r="CX1480" s="933"/>
      <c r="CY1480" s="933"/>
      <c r="CZ1480" s="313"/>
      <c r="DA1480" s="933"/>
      <c r="DB1480" s="31"/>
      <c r="DC1480" s="31"/>
      <c r="DD1480" s="955"/>
      <c r="DE1480" s="477"/>
      <c r="DF1480" s="982"/>
      <c r="DG1480" s="603"/>
      <c r="DH1480" s="603"/>
      <c r="DI1480" s="1798"/>
      <c r="DJ1480" s="477"/>
      <c r="DK1480" s="982"/>
      <c r="DL1480" s="603"/>
      <c r="DM1480" s="603"/>
      <c r="DN1480" s="1798"/>
      <c r="DO1480" s="477"/>
      <c r="DP1480" s="603"/>
      <c r="DQ1480" s="603"/>
      <c r="DR1480" s="603"/>
      <c r="DS1480" s="1798"/>
      <c r="DT1480" s="477"/>
      <c r="DU1480" s="603"/>
      <c r="DV1480" s="603"/>
      <c r="DW1480" s="603"/>
      <c r="DX1480" s="1798"/>
      <c r="DY1480" s="477"/>
      <c r="DZ1480" s="603"/>
      <c r="EA1480" s="603"/>
      <c r="EB1480" s="603"/>
      <c r="EC1480" s="1798"/>
      <c r="ED1480" s="477"/>
      <c r="EE1480" s="1799"/>
      <c r="EF1480" s="603"/>
      <c r="EG1480" s="603"/>
      <c r="EH1480" s="1798"/>
      <c r="EI1480" s="477"/>
      <c r="EJ1480" s="477"/>
      <c r="EK1480" s="477"/>
      <c r="EL1480" s="477"/>
      <c r="EM1480" s="477"/>
      <c r="EN1480" s="477"/>
      <c r="EO1480" s="1798"/>
      <c r="EP1480" s="477"/>
      <c r="EQ1480" s="477"/>
      <c r="ER1480" s="477"/>
      <c r="ES1480" s="477"/>
      <c r="ET1480" s="477"/>
      <c r="EU1480" s="477"/>
      <c r="EV1480" s="477"/>
      <c r="EW1480" s="477"/>
      <c r="EX1480" s="477"/>
    </row>
    <row r="1481" spans="1:154" hidden="1" outlineLevel="1">
      <c r="B1481" s="510" t="s">
        <v>187</v>
      </c>
      <c r="C1481" s="1989"/>
      <c r="D1481" s="28"/>
      <c r="E1481" s="28"/>
      <c r="F1481" s="28"/>
      <c r="G1481" s="28"/>
      <c r="H1481" s="28"/>
      <c r="I1481" s="30">
        <f t="shared" ref="I1481:R1482" si="2870">IF(D1476="NM","NM",IF(I1476="NM","NM",IF(D1476&lt;=0,"NM",IF(I1476=0,"NM",IF(ABS(I1476/D1476-1)&gt;2.5,"NM",IF((ABS(I1476-D1476)=ABS(ABS(I1476)-ABS(D1476))),(I1476/D1476-1),"NM"))))))</f>
      </c>
      <c r="J1481" s="30">
        <f t="shared" si="2870"/>
      </c>
      <c r="K1481" s="30">
        <f t="shared" si="2870"/>
      </c>
      <c r="L1481" s="30">
        <f t="shared" si="2870"/>
      </c>
      <c r="M1481" s="30">
        <f t="shared" si="2870"/>
      </c>
      <c r="N1481" s="30">
        <f t="shared" si="2870"/>
      </c>
      <c r="O1481" s="30">
        <f t="shared" si="2870"/>
      </c>
      <c r="P1481" s="30">
        <f t="shared" si="2870"/>
      </c>
      <c r="Q1481" s="30">
        <f t="shared" si="2870"/>
      </c>
      <c r="R1481" s="30">
        <f t="shared" si="2870"/>
      </c>
      <c r="S1481" s="30">
        <f t="shared" ref="S1481:AB1482" si="2871">IF(N1476="NM","NM",IF(S1476="NM","NM",IF(N1476&lt;=0,"NM",IF(S1476=0,"NM",IF(ABS(S1476/N1476-1)&gt;2.5,"NM",IF((ABS(S1476-N1476)=ABS(ABS(S1476)-ABS(N1476))),(S1476/N1476-1),"NM"))))))</f>
      </c>
      <c r="T1481" s="30">
        <f t="shared" si="2871"/>
      </c>
      <c r="U1481" s="30">
        <f t="shared" si="2871"/>
      </c>
      <c r="V1481" s="30">
        <f t="shared" si="2871"/>
      </c>
      <c r="W1481" s="30">
        <f t="shared" si="2871"/>
      </c>
      <c r="X1481" s="308">
        <f t="shared" si="2871"/>
      </c>
      <c r="Y1481" s="30">
        <f t="shared" si="2871"/>
      </c>
      <c r="Z1481" s="30">
        <f t="shared" si="2871"/>
      </c>
      <c r="AA1481" s="30">
        <f t="shared" si="2871"/>
      </c>
      <c r="AB1481" s="30">
        <f t="shared" si="2871"/>
      </c>
      <c r="AC1481" s="308">
        <f t="shared" ref="AC1481:AL1482" si="2872">IF(X1476="NM","NM",IF(AC1476="NM","NM",IF(X1476&lt;=0,"NM",IF(AC1476=0,"NM",IF(ABS(AC1476/X1476-1)&gt;2.5,"NM",IF((ABS(AC1476-X1476)=ABS(ABS(AC1476)-ABS(X1476))),(AC1476/X1476-1),"NM"))))))</f>
      </c>
      <c r="AD1481" s="30">
        <f t="shared" si="2872"/>
      </c>
      <c r="AE1481" s="30">
        <f t="shared" si="2872"/>
      </c>
      <c r="AF1481" s="30">
        <f t="shared" si="2872"/>
      </c>
      <c r="AG1481" s="30">
        <f t="shared" si="2872"/>
      </c>
      <c r="AH1481" s="308">
        <f t="shared" si="2872"/>
      </c>
      <c r="AI1481" s="30">
        <f t="shared" si="2872"/>
      </c>
      <c r="AJ1481" s="30">
        <f t="shared" si="2872"/>
      </c>
      <c r="AK1481" s="30">
        <f t="shared" si="2872"/>
      </c>
      <c r="AL1481" s="30">
        <f t="shared" si="2872"/>
      </c>
      <c r="AM1481" s="308">
        <f t="shared" ref="AM1481:AV1482" si="2873">IF(AH1476="NM","NM",IF(AM1476="NM","NM",IF(AH1476&lt;=0,"NM",IF(AM1476=0,"NM",IF(ABS(AM1476/AH1476-1)&gt;2.5,"NM",IF((ABS(AM1476-AH1476)=ABS(ABS(AM1476)-ABS(AH1476))),(AM1476/AH1476-1),"NM"))))))</f>
      </c>
      <c r="AN1481" s="30">
        <f t="shared" si="2873"/>
      </c>
      <c r="AO1481" s="30">
        <f t="shared" si="2873"/>
      </c>
      <c r="AP1481" s="30">
        <f t="shared" si="2873"/>
      </c>
      <c r="AQ1481" s="30">
        <f t="shared" si="2873"/>
      </c>
      <c r="AR1481" s="308">
        <f t="shared" si="2873"/>
      </c>
      <c r="AS1481" s="30">
        <f t="shared" si="2873"/>
      </c>
      <c r="AT1481" s="30">
        <f t="shared" si="2873"/>
      </c>
      <c r="AU1481" s="30">
        <f t="shared" si="2873"/>
      </c>
      <c r="AV1481" s="30">
        <f t="shared" si="2873"/>
      </c>
      <c r="AW1481" s="308">
        <f t="shared" ref="AW1481:BO1482" si="2874">IF(AR1476="NM","NM",IF(AW1476="NM","NM",IF(AR1476&lt;=0,"NM",IF(AW1476=0,"NM",IF(ABS(AW1476/AR1476-1)&gt;2.5,"NM",IF((ABS(AW1476-AR1476)=ABS(ABS(AW1476)-ABS(AR1476))),(AW1476/AR1476-1),"NM"))))))</f>
      </c>
      <c r="AX1481" s="30">
        <f t="shared" si="2874"/>
      </c>
      <c r="AY1481" s="30">
        <f t="shared" si="2874"/>
      </c>
      <c r="AZ1481" s="30">
        <f t="shared" si="2874"/>
      </c>
      <c r="BA1481" s="30">
        <f t="shared" si="2874"/>
      </c>
      <c r="BB1481" s="308">
        <f t="shared" si="2874"/>
      </c>
      <c r="BC1481" s="30">
        <f t="shared" si="2874"/>
      </c>
      <c r="BD1481" s="30">
        <f t="shared" si="2874"/>
      </c>
      <c r="BE1481" s="30">
        <f t="shared" si="2874"/>
      </c>
      <c r="BF1481" s="30">
        <f t="shared" si="2874"/>
      </c>
      <c r="BG1481" s="308">
        <f>IF(BB1476="NM","NM",IF(BG1476="NM","NM",IF(BB1476&lt;=0,"NM",IF(BG1476=0,"NM",IF(ABS(BG1476/BB1476-1)&gt;2.5,"NM",IF((ABS(BG1476-BB1476)=ABS(ABS(BG1476)-ABS(BB1476))),(BG1476/BB1476-1),"NM"))))))</f>
      </c>
      <c r="BH1481" s="30">
        <f t="shared" si="2874"/>
      </c>
      <c r="BI1481" s="30">
        <f t="shared" si="2874"/>
      </c>
      <c r="BJ1481" s="30">
        <f t="shared" si="2874"/>
      </c>
      <c r="BK1481" s="30">
        <f t="shared" si="2874"/>
      </c>
      <c r="BL1481" s="308">
        <f>IF(BG1476="NM","NM",IF(BL1476="NM","NM",IF(BG1476&lt;=0,"NM",IF(BL1476=0,"NM",IF(ABS(BL1476/BG1476-1)&gt;2.5,"NM",IF((ABS(BL1476-BG1476)=ABS(ABS(BL1476)-ABS(BG1476))),(BL1476/BG1476-1),"NM"))))))</f>
      </c>
      <c r="BM1481" s="30">
        <f t="shared" si="2874"/>
      </c>
      <c r="BN1481" s="30">
        <f t="shared" si="2874"/>
      </c>
      <c r="BO1481" s="30">
        <f t="shared" si="2874"/>
      </c>
      <c r="BP1481" s="30">
        <f t="shared" ref="BP1481:BY1482" si="2875">IF(BK1476="NM","NM",IF(BP1476="NM","NM",IF(BK1476&lt;=0,"NM",IF(BP1476=0,"NM",IF(ABS(BP1476/BK1476-1)&gt;2.5,"NM",IF((ABS(BP1476-BK1476)=ABS(ABS(BP1476)-ABS(BK1476))),(BP1476/BK1476-1),"NM"))))))</f>
      </c>
      <c r="BQ1481" s="308">
        <f t="shared" si="2875"/>
      </c>
      <c r="BR1481" s="30">
        <f t="shared" si="2875"/>
      </c>
      <c r="BS1481" s="30">
        <f t="shared" si="2875"/>
      </c>
      <c r="BT1481" s="30">
        <f t="shared" si="2875"/>
      </c>
      <c r="BU1481" s="30">
        <f>IF(BP1476="NM","NM",IF(BU1476="NM","NM",IF(BP1476&lt;=0,"NM",IF(BU1476=0,"NM",IF(ABS(BU1476/BP1476-1)&gt;2.5,"NM",IF((ABS(BU1476-BP1476)=ABS(ABS(BU1476)-ABS(BP1476))),(BU1476/BP1476-1),"NM"))))))</f>
      </c>
      <c r="BV1481" s="308">
        <f>IF(BQ1476="NM","NM",IF(BV1476="NM","NM",IF(BQ1476&lt;=0,"NM",IF(BV1476=0,"NM",IF(ABS(BV1476/BQ1476-1)&gt;2.5,"NM",IF((ABS(BV1476-BQ1476)=ABS(ABS(BV1476)-ABS(BQ1476))),(BV1476/BQ1476-1),"NM"))))))</f>
      </c>
      <c r="BW1481" s="30">
        <f t="shared" si="2875"/>
      </c>
      <c r="BX1481" s="30">
        <f t="shared" si="2875"/>
      </c>
      <c r="BY1481" s="30">
        <f t="shared" si="2875"/>
      </c>
      <c r="BZ1481" s="30">
        <f>IF(BU1476="NM","NM",IF(BZ1476="NM","NM",IF(BU1476&lt;=0,"NM",IF(BZ1476=0,"NM",IF(ABS(BZ1476/BU1476-1)&gt;2.5,"NM",IF((ABS(BZ1476-BU1476)=ABS(ABS(BZ1476)-ABS(BU1476))),(BZ1476/BU1476-1),"NM"))))))</f>
      </c>
      <c r="CA1481" s="315">
        <f>IF(BV1476="NM","NM",IF(CA1476="NM","NM",IF(BV1476&lt;=0,"NM",IF(CA1476=0,"NM",IF(ABS(CA1476/BV1476-1)&gt;2.5,"NM",IF((ABS(CA1476-BV1476)=ABS(ABS(CA1476)-ABS(BV1476))),(CA1476/BV1476-1),"NM"))))))</f>
      </c>
      <c r="CB1481" s="30">
        <f t="shared" ref="CB1481:CD1482" si="2876">IF(BW1476="NM","NM",IF(CB1476="NM","NM",IF(BW1476&lt;=0,"NM",IF(CB1476=0,"NM",IF(ABS(CB1476/BW1476-1)&gt;2.5,"NM",IF((ABS(CB1476-BW1476)=ABS(ABS(CB1476)-ABS(BW1476))),(CB1476/BW1476-1),"NM"))))))</f>
      </c>
      <c r="CC1481" s="30">
        <f t="shared" si="2876"/>
      </c>
      <c r="CD1481" s="30">
        <f t="shared" si="2876"/>
      </c>
      <c r="CE1481" s="30">
        <f>IF(BZ1476="NM","NM",IF(CE1476="NM","NM",IF(BZ1476&lt;=0,"NM",IF(CE1476=0,"NM",IF(ABS(CE1476/BZ1476-1)&gt;2.5,"NM",IF((ABS(CE1476-BZ1476)=ABS(ABS(CE1476)-ABS(BZ1476))),(CE1476/BZ1476-1),"NM"))))))</f>
      </c>
      <c r="CF1481" s="315">
        <f>IF(CA1476="NM","NM",IF(CF1476="NM","NM",IF(CA1476&lt;=0,"NM",IF(CF1476=0,"NM",IF(ABS(CF1476/CA1476-1)&gt;2.5,"NM",IF((ABS(CF1476-CA1476)=ABS(ABS(CF1476)-ABS(CA1476))),(CF1476/CA1476-1),"NM"))))))</f>
      </c>
      <c r="CG1481" s="30">
        <f t="shared" ref="CG1481:CI1482" si="2877">IF(CB1476="NM","NM",IF(CG1476="NM","NM",IF(CB1476&lt;=0,"NM",IF(CG1476=0,"NM",IF(ABS(CG1476/CB1476-1)&gt;2.5,"NM",IF((ABS(CG1476-CB1476)=ABS(ABS(CG1476)-ABS(CB1476))),(CG1476/CB1476-1),"NM"))))))</f>
      </c>
      <c r="CH1481" s="30">
        <f t="shared" si="2877"/>
      </c>
      <c r="CI1481" s="30">
        <f t="shared" si="2877"/>
      </c>
      <c r="CJ1481" s="926">
        <f>IF(CE1476="NM","NM",IF(CJ1476="NM","NM",IF(CE1476&lt;=0,"NM",IF(CJ1476=0,"NM",IF(ABS(CJ1476/CE1476-1)&gt;2.5,"NM",IF((ABS(CJ1476-CE1476)=ABS(ABS(CJ1476)-ABS(CE1476))),(CJ1476/CE1476-1),"NM"))))))</f>
      </c>
      <c r="CK1481" s="308">
        <f>IF(CF1476=0, 0, CK1476/CF1476-1)</f>
      </c>
      <c r="CL1481" s="30">
        <f t="shared" ref="CL1481:CN1482" si="2878">IF(CG1476="NM","NM",IF(CL1476="NM","NM",IF(CG1476&lt;=0,"NM",IF(CL1476=0,"NM",IF(ABS(CL1476/CG1476-1)&gt;2.5,"NM",IF((ABS(CL1476-CG1476)=ABS(ABS(CL1476)-ABS(CG1476))),(CL1476/CG1476-1),"NM"))))))</f>
      </c>
      <c r="CM1481" s="30">
        <f t="shared" si="2878"/>
      </c>
      <c r="CN1481" s="30">
        <f t="shared" si="2878"/>
      </c>
      <c r="CO1481" s="926">
        <f>IF(CJ1476="NM","NM",IF(CO1476="NM","NM",IF(CJ1476&lt;=0,"NM",IF(CO1476=0,"NM",IF(ABS(CO1476/CJ1476-1)&gt;2.5,"NM",IF((ABS(CO1476-CJ1476)=ABS(ABS(CO1476)-ABS(CJ1476))),(CO1476/CJ1476-1),"NM"))))))</f>
      </c>
      <c r="CP1481" s="308">
        <f>IF(CK1476=0, 0, CP1476/CK1476-1)</f>
      </c>
      <c r="CQ1481" s="30">
        <f t="shared" ref="CQ1481:CX1482" si="2879">IF(CL1476="NM","NM",IF(CQ1476="NM","NM",IF(CL1476&lt;=0,"NM",IF(CQ1476=0,"NM",IF(ABS(CQ1476/CL1476-1)&gt;2.5,"NM",IF((ABS(CQ1476-CL1476)=ABS(ABS(CQ1476)-ABS(CL1476))),(CQ1476/CL1476-1),"NM"))))))</f>
      </c>
      <c r="CR1481" s="30">
        <f t="shared" si="2879"/>
      </c>
      <c r="CS1481" s="30">
        <f t="shared" si="2879"/>
      </c>
      <c r="CT1481" s="30">
        <f t="shared" si="2879"/>
      </c>
      <c r="CU1481" s="308">
        <f>IF(CP1476=0, 0, CU1476/CP1476-1)</f>
      </c>
      <c r="CV1481" s="30">
        <f t="shared" si="2879"/>
      </c>
      <c r="CW1481" s="30">
        <f t="shared" si="2879"/>
      </c>
      <c r="CX1481" s="30">
        <f t="shared" si="2879"/>
      </c>
      <c r="CY1481" s="30">
        <f>IF(CT1476="NM","NM",IF(CY1476="NM","NM",IF(CT1476&lt;=0,"NM",IF(CY1476=0,"NM",IF(ABS(CY1476/CT1476-1)&gt;2.5,"NM",IF((ABS(CY1476-CT1476)=ABS(ABS(CY1476)-ABS(CT1476))),(CY1476/CT1476-1),"NM"))))))</f>
      </c>
      <c r="CZ1481" s="308">
        <f>IF(CU1476=0, 0, CZ1476/CU1476-1)</f>
      </c>
      <c r="DA1481" s="30">
        <f t="shared" ref="DA1481:DC1482" si="2880">IF(CV1476="NM","NM",IF(DA1476="NM","NM",IF(CV1476&lt;=0,"NM",IF(DA1476=0,"NM",IF(ABS(DA1476/CV1476-1)&gt;2.5,"NM",IF((ABS(DA1476-CV1476)=ABS(ABS(DA1476)-ABS(CV1476))),(DA1476/CV1476-1),"NM"))))))</f>
      </c>
      <c r="DB1481" s="30">
        <f t="shared" si="2880"/>
      </c>
      <c r="DC1481" s="30">
        <f t="shared" si="2880"/>
      </c>
      <c r="DD1481" s="927">
        <f>IF(DD1476=0,"NM",+DD1476/CY1476-1)</f>
      </c>
      <c r="DE1481" s="308">
        <f>IF(CZ1476=0, 0, DE1476/CZ1476-1)</f>
      </c>
      <c r="DF1481" s="926">
        <f t="shared" ref="DF1481:DH1482" si="2881">IF(DA1476="NM","NM",IF(DF1476="NM","NM",IF(DA1476&lt;=0,"NM",IF(DF1476=0,"NM",IF(ABS(DF1476/DA1476-1)&gt;2.5,"NM",IF((ABS(DF1476-DA1476)=ABS(ABS(DF1476)-ABS(DA1476))),(DF1476/DA1476-1),"NM"))))))</f>
      </c>
      <c r="DG1481" s="30">
        <f t="shared" si="2881"/>
      </c>
      <c r="DH1481" s="30">
        <f t="shared" si="2881"/>
      </c>
      <c r="DI1481" s="927">
        <f>IF(DI1476=0,"NM",+DI1476/DD1476-1)</f>
      </c>
      <c r="DJ1481" s="308">
        <f>IF(DE1476=0, 0, DJ1476/DE1476-1)</f>
      </c>
      <c r="DK1481" s="926">
        <v>0</v>
      </c>
      <c r="DL1481" s="30">
        <f>IF(DG1476="NM","NM",IF(DL1476="NM","NM",IF(DG1476&lt;=0,"NM",IF(DL1476=0,"NM",IF(ABS(DL1476/DG1476-1)&gt;2.5,"NM",IF((ABS(DL1476-DG1476)=ABS(ABS(DL1476)-ABS(DG1476))),(DL1476/DG1476-1),"NM"))))))</f>
      </c>
      <c r="DM1481" s="30">
        <f>IF(DH1476="NM","NM",IF(DM1476="NM","NM",IF(DH1476&lt;=0,"NM",IF(DM1476=0,"NM",IF(ABS(DM1476/DH1476-1)&gt;2.5,"NM",IF((ABS(DM1476-DH1476)=ABS(ABS(DM1476)-ABS(DH1476))),(DM1476/DH1476-1),"NM"))))))</f>
      </c>
      <c r="DN1481" s="927">
        <f>IF(DN1476=0,"NM",+DN1476/DI1476-1)</f>
      </c>
      <c r="DO1481" s="308">
        <f>IF(DJ1476=0, 0, DO1476/DJ1476-1)</f>
      </c>
      <c r="DP1481" s="926">
        <v>0</v>
      </c>
      <c r="DQ1481" s="926">
        <f>IF(DL1476="NM","NM",IF(DQ1476="NM","NM",IF(DL1476&lt;=0,"NM",IF(DQ1476=0,"NM",IF(ABS(DQ1476/DL1476-1)&gt;2.5,"NM",IF((ABS(DQ1476-DL1476)=ABS(ABS(DQ1476)-ABS(DL1476))),(DQ1476/DL1476-1),"NM"))))))</f>
      </c>
      <c r="DR1481" s="926">
        <f>IF(DM1476="NM","NM",IF(DR1476="NM","NM",IF(DM1476&lt;=0,"NM",IF(DR1476=0,"NM",IF(ABS(DR1476/DM1476-1)&gt;2.5,"NM",IF((ABS(DR1476-DM1476)=ABS(ABS(DR1476)-ABS(DM1476))),(DR1476/DM1476-1),"NM"))))))</f>
      </c>
      <c r="DS1481" s="928">
        <f>IF(DS1476=0,"NM",+DS1476/DN1476-1)</f>
      </c>
      <c r="DT1481" s="308">
        <f>IF(DO1476=0, 0, DT1476/DO1476-1)</f>
      </c>
      <c r="DU1481" s="926">
        <f>IF(DU1476=0,"NM",+DU1476/DP1476-1)</f>
      </c>
      <c r="DV1481" s="926">
        <f>IF(DV1476=0,"NM",+DV1476/DQ1476-1)</f>
      </c>
      <c r="DW1481" s="1741"/>
      <c r="DX1481" s="928"/>
      <c r="DY1481" s="836"/>
      <c r="DZ1481" s="1741"/>
      <c r="EA1481" s="1741"/>
      <c r="EB1481" s="1741"/>
      <c r="EC1481" s="928"/>
      <c r="ED1481" s="2773"/>
      <c r="EE1481" s="1955"/>
      <c r="EF1481" s="1955"/>
      <c r="EG1481" s="1955"/>
      <c r="EH1481" s="928"/>
      <c r="EI1481" s="2774"/>
      <c r="EJ1481" s="2774"/>
      <c r="EK1481" s="2774"/>
      <c r="EL1481" s="317"/>
      <c r="EM1481" s="317"/>
      <c r="EN1481" s="317"/>
      <c r="EO1481" s="836"/>
      <c r="EP1481" s="317"/>
      <c r="EQ1481" s="317"/>
      <c r="ER1481" s="317"/>
      <c r="ES1481" s="317"/>
      <c r="ET1481" s="317"/>
      <c r="EU1481" s="317"/>
      <c r="EV1481" s="317"/>
      <c r="EW1481" s="317"/>
      <c r="EX1481" s="317"/>
    </row>
    <row r="1482" spans="1:154" hidden="1" outlineLevel="1">
      <c r="B1482" s="510" t="s">
        <v>412</v>
      </c>
      <c r="C1482" s="1989"/>
      <c r="D1482" s="28"/>
      <c r="E1482" s="28"/>
      <c r="F1482" s="28"/>
      <c r="G1482" s="28"/>
      <c r="H1482" s="28"/>
      <c r="I1482" s="30">
        <f t="shared" si="2870"/>
      </c>
      <c r="J1482" s="30">
        <f t="shared" si="2870"/>
      </c>
      <c r="K1482" s="30">
        <f t="shared" si="2870"/>
      </c>
      <c r="L1482" s="30">
        <f t="shared" si="2870"/>
      </c>
      <c r="M1482" s="30">
        <f t="shared" si="2870"/>
      </c>
      <c r="N1482" s="30">
        <f t="shared" si="2870"/>
      </c>
      <c r="O1482" s="30">
        <f t="shared" si="2870"/>
      </c>
      <c r="P1482" s="30">
        <f t="shared" si="2870"/>
      </c>
      <c r="Q1482" s="30">
        <f t="shared" si="2870"/>
      </c>
      <c r="R1482" s="30">
        <f t="shared" si="2870"/>
      </c>
      <c r="S1482" s="30">
        <f t="shared" si="2871"/>
      </c>
      <c r="T1482" s="30">
        <f t="shared" si="2871"/>
      </c>
      <c r="U1482" s="30">
        <f t="shared" si="2871"/>
      </c>
      <c r="V1482" s="30">
        <f t="shared" si="2871"/>
      </c>
      <c r="W1482" s="30">
        <f t="shared" si="2871"/>
      </c>
      <c r="X1482" s="308">
        <f t="shared" si="2871"/>
      </c>
      <c r="Y1482" s="30">
        <f t="shared" si="2871"/>
      </c>
      <c r="Z1482" s="30">
        <f t="shared" si="2871"/>
      </c>
      <c r="AA1482" s="30">
        <f t="shared" si="2871"/>
      </c>
      <c r="AB1482" s="30">
        <f t="shared" si="2871"/>
      </c>
      <c r="AC1482" s="308">
        <f t="shared" si="2872"/>
      </c>
      <c r="AD1482" s="30">
        <f t="shared" si="2872"/>
      </c>
      <c r="AE1482" s="30">
        <f t="shared" si="2872"/>
      </c>
      <c r="AF1482" s="30">
        <f t="shared" si="2872"/>
      </c>
      <c r="AG1482" s="30">
        <f t="shared" si="2872"/>
      </c>
      <c r="AH1482" s="308">
        <f t="shared" si="2872"/>
      </c>
      <c r="AI1482" s="30">
        <f t="shared" si="2872"/>
      </c>
      <c r="AJ1482" s="30">
        <f t="shared" si="2872"/>
      </c>
      <c r="AK1482" s="30">
        <f t="shared" si="2872"/>
      </c>
      <c r="AL1482" s="30">
        <f t="shared" si="2872"/>
      </c>
      <c r="AM1482" s="308">
        <f t="shared" si="2873"/>
      </c>
      <c r="AN1482" s="30">
        <f t="shared" si="2873"/>
      </c>
      <c r="AO1482" s="30">
        <f t="shared" si="2873"/>
      </c>
      <c r="AP1482" s="30">
        <f t="shared" si="2873"/>
      </c>
      <c r="AQ1482" s="30">
        <f t="shared" si="2873"/>
      </c>
      <c r="AR1482" s="308">
        <f t="shared" si="2873"/>
      </c>
      <c r="AS1482" s="30">
        <f t="shared" si="2873"/>
      </c>
      <c r="AT1482" s="30">
        <f t="shared" si="2873"/>
      </c>
      <c r="AU1482" s="30">
        <f t="shared" si="2873"/>
      </c>
      <c r="AV1482" s="30">
        <f t="shared" si="2873"/>
      </c>
      <c r="AW1482" s="308">
        <f t="shared" si="2874"/>
      </c>
      <c r="AX1482" s="30">
        <f t="shared" si="2874"/>
      </c>
      <c r="AY1482" s="30">
        <f t="shared" si="2874"/>
      </c>
      <c r="AZ1482" s="30">
        <f t="shared" si="2874"/>
      </c>
      <c r="BA1482" s="30">
        <f t="shared" si="2874"/>
      </c>
      <c r="BB1482" s="308">
        <f t="shared" si="2874"/>
      </c>
      <c r="BC1482" s="30">
        <f t="shared" si="2874"/>
      </c>
      <c r="BD1482" s="30">
        <f t="shared" si="2874"/>
      </c>
      <c r="BE1482" s="30">
        <f t="shared" si="2874"/>
      </c>
      <c r="BF1482" s="30">
        <f t="shared" si="2874"/>
      </c>
      <c r="BG1482" s="308">
        <f>IF(BB1477="NM","NM",IF(BG1477="NM","NM",IF(BB1477&lt;=0,"NM",IF(BG1477=0,"NM",IF(ABS(BG1477/BB1477-1)&gt;2.5,"NM",IF((ABS(BG1477-BB1477)=ABS(ABS(BG1477)-ABS(BB1477))),(BG1477/BB1477-1),"NM"))))))</f>
      </c>
      <c r="BH1482" s="30">
        <f t="shared" si="2874"/>
      </c>
      <c r="BI1482" s="30">
        <f t="shared" si="2874"/>
      </c>
      <c r="BJ1482" s="30">
        <f t="shared" si="2874"/>
      </c>
      <c r="BK1482" s="30">
        <f t="shared" si="2874"/>
      </c>
      <c r="BL1482" s="308">
        <f>IF(BG1477="NM","NM",IF(BL1477="NM","NM",IF(BG1477&lt;=0,"NM",IF(BL1477=0,"NM",IF(ABS(BL1477/BG1477-1)&gt;2.5,"NM",IF((ABS(BL1477-BG1477)=ABS(ABS(BL1477)-ABS(BG1477))),(BL1477/BG1477-1),"NM"))))))</f>
      </c>
      <c r="BM1482" s="30">
        <f t="shared" si="2874"/>
      </c>
      <c r="BN1482" s="30">
        <f t="shared" si="2874"/>
      </c>
      <c r="BO1482" s="30">
        <f t="shared" si="2874"/>
      </c>
      <c r="BP1482" s="30">
        <f t="shared" si="2875"/>
      </c>
      <c r="BQ1482" s="308">
        <f t="shared" si="2875"/>
      </c>
      <c r="BR1482" s="30">
        <f t="shared" si="2875"/>
      </c>
      <c r="BS1482" s="30">
        <f t="shared" si="2875"/>
      </c>
      <c r="BT1482" s="30">
        <f t="shared" si="2875"/>
      </c>
      <c r="BU1482" s="30">
        <f>IF(BP1477="NM","NM",IF(BU1477="NM","NM",IF(BP1477&lt;=0,"NM",IF(BU1477=0,"NM",IF(ABS(BU1477/BP1477-1)&gt;2.5,"NM",IF((ABS(BU1477-BP1477)=ABS(ABS(BU1477)-ABS(BP1477))),(BU1477/BP1477-1),"NM"))))))</f>
      </c>
      <c r="BV1482" s="308">
        <f>IF(BQ1477="NM","NM",IF(BV1477="NM","NM",IF(BQ1477&lt;=0,"NM",IF(BV1477=0,"NM",IF(ABS(BV1477/BQ1477-1)&gt;2.5,"NM",IF((ABS(BV1477-BQ1477)=ABS(ABS(BV1477)-ABS(BQ1477))),(BV1477/BQ1477-1),"NM"))))))</f>
      </c>
      <c r="BW1482" s="30">
        <f t="shared" si="2875"/>
      </c>
      <c r="BX1482" s="30">
        <f t="shared" si="2875"/>
      </c>
      <c r="BY1482" s="30">
        <f t="shared" si="2875"/>
      </c>
      <c r="BZ1482" s="30">
        <f>IF(BU1477="NM","NM",IF(BZ1477="NM","NM",IF(BU1477&lt;=0,"NM",IF(BZ1477=0,"NM",IF(ABS(BZ1477/BU1477-1)&gt;2.5,"NM",IF((ABS(BZ1477-BU1477)=ABS(ABS(BZ1477)-ABS(BU1477))),(BZ1477/BU1477-1),"NM"))))))</f>
      </c>
      <c r="CA1482" s="308">
        <f>IF(BV1477="NM","NM",IF(CA1477="NM","NM",IF(BV1477&lt;=0,"NM",IF(CA1477=0,"NM",IF(ABS(CA1477/BV1477-1)&gt;2.5,"NM",IF((ABS(CA1477-BV1477)=ABS(ABS(CA1477)-ABS(BV1477))),(CA1477/BV1477-1),"NM"))))))</f>
      </c>
      <c r="CB1482" s="30">
        <f t="shared" si="2876"/>
      </c>
      <c r="CC1482" s="30">
        <f t="shared" si="2876"/>
      </c>
      <c r="CD1482" s="30">
        <f t="shared" si="2876"/>
      </c>
      <c r="CE1482" s="30">
        <f>IF(BZ1477="NM","NM",IF(CE1477="NM","NM",IF(BZ1477&lt;=0,"NM",IF(CE1477=0,"NM",IF(ABS(CE1477/BZ1477-1)&gt;2.5,"NM",IF((ABS(CE1477-BZ1477)=ABS(ABS(CE1477)-ABS(BZ1477))),(CE1477/BZ1477-1),"NM"))))))</f>
      </c>
      <c r="CF1482" s="308">
        <f>IF(CA1477="NM","NM",IF(CF1477="NM","NM",IF(CA1477&lt;=0,"NM",IF(CF1477=0,"NM",IF(ABS(CF1477/CA1477-1)&gt;2.5,"NM",IF((ABS(CF1477-CA1477)=ABS(ABS(CF1477)-ABS(CA1477))),(CF1477/CA1477-1),"NM"))))))</f>
      </c>
      <c r="CG1482" s="30">
        <f t="shared" si="2877"/>
      </c>
      <c r="CH1482" s="30">
        <f t="shared" si="2877"/>
      </c>
      <c r="CI1482" s="30">
        <f t="shared" si="2877"/>
      </c>
      <c r="CJ1482" s="30">
        <f>IF(CE1477="NM","NM",IF(CJ1477="NM","NM",IF(CE1477&lt;=0,"NM",IF(CJ1477=0,"NM",IF(ABS(CJ1477/CE1477-1)&gt;2.5,"NM",IF((ABS(CJ1477-CE1477)=ABS(ABS(CJ1477)-ABS(CE1477))),(CJ1477/CE1477-1),"NM"))))))</f>
      </c>
      <c r="CK1482" s="308">
        <f>IF(CF1477=0, "NA", CK1477/CF1477-1)</f>
      </c>
      <c r="CL1482" s="30">
        <f t="shared" si="2878"/>
      </c>
      <c r="CM1482" s="30">
        <f t="shared" si="2878"/>
      </c>
      <c r="CN1482" s="30">
        <f t="shared" si="2878"/>
      </c>
      <c r="CO1482" s="30">
        <f>IF(CJ1477="NM","NM",IF(CO1477="NM","NM",IF(CJ1477&lt;=0,"NM",IF(CO1477=0,"NM",IF(ABS(CO1477/CJ1477-1)&gt;2.5,"NM",IF((ABS(CO1477-CJ1477)=ABS(ABS(CO1477)-ABS(CJ1477))),(CO1477/CJ1477-1),"NM"))))))</f>
      </c>
      <c r="CP1482" s="308">
        <f>IF(CK1477=0, "NA", CP1477/CK1477-1)</f>
      </c>
      <c r="CQ1482" s="30">
        <f t="shared" si="2879"/>
      </c>
      <c r="CR1482" s="30">
        <f t="shared" si="2879"/>
      </c>
      <c r="CS1482" s="30">
        <f t="shared" si="2879"/>
      </c>
      <c r="CT1482" s="30">
        <f t="shared" si="2879"/>
      </c>
      <c r="CU1482" s="308">
        <f>IF(CP1477=0, "NA", CU1477/CP1477-1)</f>
      </c>
      <c r="CV1482" s="30">
        <f t="shared" si="2879"/>
      </c>
      <c r="CW1482" s="30">
        <f t="shared" si="2879"/>
      </c>
      <c r="CX1482" s="30">
        <f t="shared" si="2879"/>
      </c>
      <c r="CY1482" s="30">
        <f>IF(CT1477="NM","NM",IF(CY1477="NM","NM",IF(CT1477&lt;=0,"NM",IF(CY1477=0,"NM",IF(ABS(CY1477/CT1477-1)&gt;2.5,"NM",IF((ABS(CY1477-CT1477)=ABS(ABS(CY1477)-ABS(CT1477))),(CY1477/CT1477-1),"NM"))))))</f>
      </c>
      <c r="CZ1482" s="308">
        <f>IF(CU1477=0, "NA", CZ1477/CU1477-1)</f>
      </c>
      <c r="DA1482" s="30">
        <f t="shared" si="2880"/>
      </c>
      <c r="DB1482" s="30">
        <f t="shared" si="2880"/>
      </c>
      <c r="DC1482" s="30">
        <f t="shared" si="2880"/>
      </c>
      <c r="DD1482" s="960">
        <f>IF(DD1477=0, "NM", DD1477/CY1477-1)</f>
      </c>
      <c r="DE1482" s="308">
        <f>IF(CZ1477=0, "NA", DE1477/CZ1477-1)</f>
      </c>
      <c r="DF1482" s="926">
        <f t="shared" si="2881"/>
      </c>
      <c r="DG1482" s="30">
        <f t="shared" si="2881"/>
      </c>
      <c r="DH1482" s="30">
        <f t="shared" si="2881"/>
      </c>
      <c r="DI1482" s="928">
        <f>IF(DI1477=0, "NM", DI1477/DD1477-1)</f>
      </c>
      <c r="DJ1482" s="308">
        <f>IF(DE1477=0, "NA", DJ1477/DE1477-1)</f>
      </c>
      <c r="DK1482" s="926">
        <f>DK1483+DK$21</f>
      </c>
      <c r="DL1482" s="30">
        <f>IF(DG1477="NM","NM",IF(DL1477="NM","NM",IF(DG1477&lt;=0,"NM",IF(DL1477=0,"NM",IF(ABS(DL1477/DG1477-1)&gt;2.5,"NM",IF((ABS(DL1477-DG1477)=ABS(ABS(DL1477)-ABS(DG1477))),(DL1477/DG1477-1),"NM"))))))</f>
      </c>
      <c r="DM1482" s="30">
        <f>IF(DH1477="NM","NM",IF(DM1477="NM","NM",IF(DH1477&lt;=0,"NM",IF(DM1477=0,"NM",IF(ABS(DM1477/DH1477-1)&gt;2.5,"NM",IF((ABS(DM1477-DH1477)=ABS(ABS(DM1477)-ABS(DH1477))),(DM1477/DH1477-1),"NM"))))))</f>
      </c>
      <c r="DN1482" s="928">
        <f>IF(DN1477=0, "NM", DN1477/DI1477-1)</f>
      </c>
      <c r="DO1482" s="308">
        <f>IF(DJ1477=0, "NA", DO1477/DJ1477-1)</f>
      </c>
      <c r="DP1482" s="926">
        <f>DP1477/DK1477-1</f>
      </c>
      <c r="DQ1482" s="926">
        <f>IF(DL1477="NM","NM",IF(DQ1477="NM","NM",IF(DL1477&lt;=0,"NM",IF(DQ1477=0,"NM",IF(ABS(DQ1477/DL1477-1)&gt;2.5,"NM",IF((ABS(DQ1477-DL1477)=ABS(ABS(DQ1477)-ABS(DL1477))),(DQ1477/DL1477-1),"NM"))))))</f>
      </c>
      <c r="DR1482" s="926">
        <f>IF(DM1477="NM","NM",IF(DR1477="NM","NM",IF(DM1477&lt;=0,"NM",IF(DR1477=0,"NM",IF(ABS(DR1477/DM1477-1)&gt;2.5,"NM",IF((ABS(DR1477-DM1477)=ABS(ABS(DR1477)-ABS(DM1477))),(DR1477/DM1477-1),"NM"))))))</f>
      </c>
      <c r="DS1482" s="928">
        <f>IF(DS1477=0, "NM", DS1477/DN1477-1)</f>
      </c>
      <c r="DT1482" s="308">
        <f>IF(DO1477=0, "NA", DT1477/DO1477-1)</f>
      </c>
      <c r="DU1482" s="926">
        <f>DU1477/DP1477-1</f>
      </c>
      <c r="DV1482" s="926">
        <f>DV1477/DQ1477-1</f>
      </c>
      <c r="DW1482" s="926"/>
      <c r="DX1482" s="928"/>
      <c r="DY1482" s="1060"/>
      <c r="DZ1482" s="926"/>
      <c r="EA1482" s="926"/>
      <c r="EB1482" s="926"/>
      <c r="EC1482" s="928"/>
      <c r="ED1482" s="1060"/>
      <c r="EE1482" s="958"/>
      <c r="EF1482" s="926"/>
      <c r="EG1482" s="926"/>
      <c r="EH1482" s="928"/>
      <c r="EI1482" s="1060"/>
      <c r="EJ1482" s="1060"/>
      <c r="EK1482" s="1060"/>
      <c r="EL1482" s="308"/>
      <c r="EM1482" s="308"/>
      <c r="EN1482" s="308"/>
      <c r="EO1482" s="308"/>
      <c r="EP1482" s="308"/>
      <c r="EQ1482" s="308"/>
      <c r="ER1482" s="308"/>
      <c r="ES1482" s="308"/>
      <c r="ET1482" s="308"/>
      <c r="EU1482" s="308"/>
      <c r="EV1482" s="308"/>
      <c r="EW1482" s="308"/>
      <c r="EX1482" s="308"/>
    </row>
    <row r="1483" spans="1:154" hidden="1" outlineLevel="1">
      <c r="B1483" s="510" t="s">
        <v>256</v>
      </c>
      <c r="C1483" s="1989"/>
      <c r="D1483" s="28"/>
      <c r="E1483" s="28"/>
      <c r="F1483" s="28"/>
      <c r="G1483" s="28"/>
      <c r="H1483" s="28"/>
      <c r="I1483" s="1"/>
      <c r="J1483" s="1"/>
      <c r="K1483" s="1"/>
      <c r="L1483" s="1"/>
      <c r="M1483" s="1"/>
      <c r="N1483" s="1"/>
      <c r="O1483" s="1"/>
      <c r="P1483" s="1"/>
      <c r="Q1483" s="1"/>
      <c r="R1483" s="1"/>
      <c r="S1483" s="1"/>
      <c r="T1483" s="1"/>
      <c r="U1483" s="1"/>
      <c r="V1483" s="1"/>
      <c r="W1483" s="1"/>
      <c r="X1483" s="315"/>
      <c r="Y1483" s="1"/>
      <c r="Z1483" s="1"/>
      <c r="AA1483" s="1"/>
      <c r="AB1483" s="1"/>
      <c r="AC1483" s="315"/>
      <c r="AD1483" s="1"/>
      <c r="AE1483" s="1"/>
      <c r="AF1483" s="1"/>
      <c r="AG1483" s="1"/>
      <c r="AH1483" s="315"/>
      <c r="AI1483" s="8">
        <f t="shared" ref="AI1483:BM1483" si="2882">IF(ISNUMBER(AI1482),(1+AI1482)/(1+AI$21)-1,"NM")</f>
      </c>
      <c r="AJ1483" s="8">
        <f t="shared" si="2882"/>
      </c>
      <c r="AK1483" s="8">
        <f t="shared" si="2882"/>
      </c>
      <c r="AL1483" s="8">
        <f t="shared" si="2882"/>
      </c>
      <c r="AM1483" s="315">
        <f t="shared" si="2882"/>
      </c>
      <c r="AN1483" s="8">
        <f t="shared" si="2882"/>
      </c>
      <c r="AO1483" s="8">
        <f t="shared" si="2882"/>
      </c>
      <c r="AP1483" s="8">
        <f t="shared" si="2882"/>
      </c>
      <c r="AQ1483" s="8">
        <f t="shared" si="2882"/>
      </c>
      <c r="AR1483" s="315">
        <f t="shared" si="2882"/>
      </c>
      <c r="AS1483" s="8">
        <f t="shared" si="2882"/>
      </c>
      <c r="AT1483" s="8">
        <f t="shared" si="2882"/>
      </c>
      <c r="AU1483" s="8">
        <f t="shared" si="2882"/>
      </c>
      <c r="AV1483" s="8">
        <f t="shared" si="2882"/>
      </c>
      <c r="AW1483" s="315">
        <f t="shared" si="2882"/>
      </c>
      <c r="AX1483" s="8">
        <f t="shared" si="2882"/>
      </c>
      <c r="AY1483" s="8">
        <f t="shared" si="2882"/>
      </c>
      <c r="AZ1483" s="8">
        <f t="shared" si="2882"/>
      </c>
      <c r="BA1483" s="8">
        <f t="shared" si="2882"/>
      </c>
      <c r="BB1483" s="315">
        <f t="shared" si="2882"/>
      </c>
      <c r="BC1483" s="8">
        <f t="shared" si="2882"/>
      </c>
      <c r="BD1483" s="8">
        <f t="shared" si="2882"/>
      </c>
      <c r="BE1483" s="8">
        <f t="shared" si="2882"/>
      </c>
      <c r="BF1483" s="8">
        <f t="shared" si="2882"/>
      </c>
      <c r="BG1483" s="309">
        <f t="shared" si="2882"/>
      </c>
      <c r="BH1483" s="8">
        <f t="shared" si="2882"/>
      </c>
      <c r="BI1483" s="8">
        <f t="shared" si="2882"/>
      </c>
      <c r="BJ1483" s="8">
        <f t="shared" si="2882"/>
      </c>
      <c r="BK1483" s="8">
        <f t="shared" si="2882"/>
      </c>
      <c r="BL1483" s="315">
        <f t="shared" si="2882"/>
      </c>
      <c r="BM1483" s="407">
        <f t="shared" si="2882"/>
      </c>
      <c r="BN1483" s="407">
        <v>-3.3000000000000002E-2</v>
      </c>
      <c r="BO1483" s="407">
        <v>-8.2000000000000003E-2</v>
      </c>
      <c r="BP1483" s="649">
        <v>6.2E-2</v>
      </c>
      <c r="BQ1483" s="406">
        <v>-3.3000000000000002E-2</v>
      </c>
      <c r="BR1483" s="407">
        <v>-3.3000000000000002E-2</v>
      </c>
      <c r="BS1483" s="407">
        <v>2.8000000000000001E-2</v>
      </c>
      <c r="BT1483" s="407">
        <v>4.4999999999999998E-2</v>
      </c>
      <c r="BU1483" s="649">
        <v>-0.08</v>
      </c>
      <c r="BV1483" s="406">
        <v>6.0000000000000001E-3</v>
      </c>
      <c r="BW1483" s="407">
        <v>-6.0999999999999999E-2</v>
      </c>
      <c r="BX1483" s="407">
        <v>-1.4E-2</v>
      </c>
      <c r="BY1483" s="407">
        <v>-0.03</v>
      </c>
      <c r="BZ1483" s="836">
        <v>6.0000000000000001E-3</v>
      </c>
      <c r="CA1483" s="448">
        <v>-2.8000000000000001E-2</v>
      </c>
      <c r="CB1483" s="407">
        <v>-0.03</v>
      </c>
      <c r="CC1483" s="407">
        <v>-4.3999999999999997E-2</v>
      </c>
      <c r="CD1483" s="407">
        <v>-3.3000000000000002E-2</v>
      </c>
      <c r="CE1483" s="836">
        <v>-0.11600000000000001</v>
      </c>
      <c r="CF1483" s="448">
        <v>-6.3E-2</v>
      </c>
      <c r="CG1483" s="407">
        <v>-0.19700000000000001</v>
      </c>
      <c r="CH1483" s="407">
        <v>-0.192</v>
      </c>
      <c r="CI1483" s="407">
        <v>-0.23899999999999999</v>
      </c>
      <c r="CJ1483" s="29">
        <v>-0.2</v>
      </c>
      <c r="CK1483" s="315">
        <f>CK1482-CK$21</f>
      </c>
      <c r="CL1483" s="407">
        <v>-8.4000000000000005E-2</v>
      </c>
      <c r="CM1483" s="407">
        <v>-0.14199999999999999</v>
      </c>
      <c r="CN1483" s="407">
        <v>-0.13200000000000001</v>
      </c>
      <c r="CO1483" s="29">
        <v>-0.19600000000000001</v>
      </c>
      <c r="CP1483" s="315">
        <f>CP1482-CP$21</f>
      </c>
      <c r="CQ1483" s="407">
        <v>-0.123</v>
      </c>
      <c r="CR1483" s="407">
        <v>-4.8000000000000001E-2</v>
      </c>
      <c r="CS1483" s="407">
        <v>5.8999999999999997E-2</v>
      </c>
      <c r="CT1483" s="407">
        <v>6.0999999999999999E-2</v>
      </c>
      <c r="CU1483" s="315">
        <f>CU1482-CU$21</f>
      </c>
      <c r="CV1483" s="407">
        <v>-0.26700000000000002</v>
      </c>
      <c r="CW1483" s="407">
        <v>-0.313</v>
      </c>
      <c r="CX1483" s="407">
        <v>-0.313</v>
      </c>
      <c r="CY1483" s="407">
        <v>-0.312</v>
      </c>
      <c r="CZ1483" s="315">
        <f>CZ1482-CZ$21</f>
      </c>
      <c r="DA1483" s="407">
        <v>-0.06</v>
      </c>
      <c r="DB1483" s="407">
        <v>-0.02</v>
      </c>
      <c r="DC1483" s="29">
        <v>4.9000000000000002E-2</v>
      </c>
      <c r="DD1483" s="1482">
        <v>6.0000000000000001E-3</v>
      </c>
      <c r="DE1483" s="308">
        <f>DE1482-DE$21</f>
      </c>
      <c r="DF1483" s="649">
        <v>0.01</v>
      </c>
      <c r="DG1483" s="1109">
        <v>0.01</v>
      </c>
      <c r="DH1483" s="1109">
        <v>0.01</v>
      </c>
      <c r="DI1483" s="927">
        <f>IF(DI1477=0, "NM",DI1482-DI$21)</f>
      </c>
      <c r="DJ1483" s="308">
        <f>DJ1482-DJ$21</f>
      </c>
      <c r="DK1483" s="649">
        <v>0.01</v>
      </c>
      <c r="DL1483" s="1109">
        <v>0.01</v>
      </c>
      <c r="DM1483" s="1109">
        <v>0.01</v>
      </c>
      <c r="DN1483" s="927">
        <f>IF(DN1477=0, "NM",DN1482-DN$21)</f>
      </c>
      <c r="DO1483" s="308">
        <f>DO1482-DO$21</f>
      </c>
      <c r="DP1483" s="926">
        <f>DP1482-DP$21</f>
      </c>
      <c r="DQ1483" s="2185">
        <f>DQ1482-DQ$21</f>
      </c>
      <c r="DR1483" s="2185">
        <f>DR1482-DR$21</f>
      </c>
      <c r="DS1483" s="928">
        <f>IF(DS1477=0, "NM",DS1482-DS$21)</f>
      </c>
      <c r="DT1483" s="308">
        <f>DT1482-DT$21</f>
      </c>
      <c r="DU1483" s="926">
        <f>DU1482-(-8.3%)</f>
      </c>
      <c r="DV1483" s="926">
        <f>DV1482-(-5.7%)</f>
      </c>
      <c r="DW1483" s="1741"/>
      <c r="DX1483" s="928"/>
      <c r="DY1483" s="836"/>
      <c r="DZ1483" s="1741"/>
      <c r="EA1483" s="1741"/>
      <c r="EB1483" s="1741"/>
      <c r="EC1483" s="928"/>
      <c r="ED1483" s="2773"/>
      <c r="EE1483" s="1955"/>
      <c r="EF1483" s="1955"/>
      <c r="EG1483" s="1955"/>
      <c r="EH1483" s="928"/>
      <c r="EI1483" s="2774"/>
      <c r="EJ1483" s="2774"/>
      <c r="EK1483" s="2774"/>
      <c r="EL1483" s="317"/>
      <c r="EM1483" s="317"/>
      <c r="EN1483" s="317"/>
      <c r="EO1483" s="317"/>
      <c r="EP1483" s="317"/>
      <c r="EQ1483" s="317"/>
      <c r="ER1483" s="317"/>
      <c r="ES1483" s="317"/>
      <c r="ET1483" s="317"/>
      <c r="EU1483" s="317"/>
      <c r="EV1483" s="317"/>
      <c r="EW1483" s="317"/>
      <c r="EX1483" s="317"/>
    </row>
    <row r="1484" spans="1:154" hidden="1" outlineLevel="1">
      <c r="B1484" s="510" t="s">
        <v>413</v>
      </c>
      <c r="C1484" s="1989"/>
      <c r="D1484" s="28"/>
      <c r="E1484" s="28"/>
      <c r="F1484" s="28"/>
      <c r="G1484" s="28"/>
      <c r="H1484" s="28"/>
      <c r="I1484" s="30">
        <f t="shared" ref="I1484:AN1484" si="2883">IF(D1478="NM","NM",IF(I1478="NM","NM",IF(D1478&lt;=0,"NM",IF(I1478=0,"NM",IF(ABS(I1478/D1478-1)&gt;2.5,"NM",IF((ABS(I1478-D1478)=ABS(ABS(I1478)-ABS(D1478))),(I1478/D1478-1),"NM"))))))</f>
      </c>
      <c r="J1484" s="30">
        <f t="shared" si="2883"/>
      </c>
      <c r="K1484" s="30">
        <f t="shared" si="2883"/>
      </c>
      <c r="L1484" s="30">
        <f t="shared" si="2883"/>
      </c>
      <c r="M1484" s="30">
        <f t="shared" si="2883"/>
      </c>
      <c r="N1484" s="30">
        <f t="shared" si="2883"/>
      </c>
      <c r="O1484" s="30">
        <f t="shared" si="2883"/>
      </c>
      <c r="P1484" s="30">
        <f t="shared" si="2883"/>
      </c>
      <c r="Q1484" s="30">
        <f t="shared" si="2883"/>
      </c>
      <c r="R1484" s="30">
        <f t="shared" si="2883"/>
      </c>
      <c r="S1484" s="30">
        <f t="shared" si="2883"/>
      </c>
      <c r="T1484" s="30">
        <f t="shared" si="2883"/>
      </c>
      <c r="U1484" s="30">
        <f t="shared" si="2883"/>
      </c>
      <c r="V1484" s="30">
        <f t="shared" si="2883"/>
      </c>
      <c r="W1484" s="30">
        <f t="shared" si="2883"/>
      </c>
      <c r="X1484" s="308">
        <f t="shared" si="2883"/>
      </c>
      <c r="Y1484" s="30">
        <f t="shared" si="2883"/>
      </c>
      <c r="Z1484" s="30">
        <f t="shared" si="2883"/>
      </c>
      <c r="AA1484" s="30">
        <f t="shared" si="2883"/>
      </c>
      <c r="AB1484" s="30">
        <f t="shared" si="2883"/>
      </c>
      <c r="AC1484" s="308">
        <f t="shared" si="2883"/>
      </c>
      <c r="AD1484" s="30">
        <f t="shared" si="2883"/>
      </c>
      <c r="AE1484" s="30">
        <f t="shared" si="2883"/>
      </c>
      <c r="AF1484" s="30">
        <f t="shared" si="2883"/>
      </c>
      <c r="AG1484" s="30">
        <f t="shared" si="2883"/>
      </c>
      <c r="AH1484" s="308">
        <f t="shared" si="2883"/>
      </c>
      <c r="AI1484" s="30">
        <f t="shared" si="2883"/>
      </c>
      <c r="AJ1484" s="30">
        <f t="shared" si="2883"/>
      </c>
      <c r="AK1484" s="30">
        <f t="shared" si="2883"/>
      </c>
      <c r="AL1484" s="30">
        <f t="shared" si="2883"/>
      </c>
      <c r="AM1484" s="308">
        <f t="shared" si="2883"/>
      </c>
      <c r="AN1484" s="30">
        <f t="shared" si="2883"/>
      </c>
      <c r="AO1484" s="30">
        <f t="shared" ref="AO1484:BO1484" si="2884">IF(AJ1478="NM","NM",IF(AO1478="NM","NM",IF(AJ1478&lt;=0,"NM",IF(AO1478=0,"NM",IF(ABS(AO1478/AJ1478-1)&gt;2.5,"NM",IF((ABS(AO1478-AJ1478)=ABS(ABS(AO1478)-ABS(AJ1478))),(AO1478/AJ1478-1),"NM"))))))</f>
      </c>
      <c r="AP1484" s="30">
        <f t="shared" si="2884"/>
      </c>
      <c r="AQ1484" s="30">
        <f t="shared" si="2884"/>
      </c>
      <c r="AR1484" s="308">
        <f t="shared" si="2884"/>
      </c>
      <c r="AS1484" s="30">
        <f t="shared" si="2884"/>
      </c>
      <c r="AT1484" s="30">
        <f t="shared" si="2884"/>
      </c>
      <c r="AU1484" s="30">
        <f t="shared" si="2884"/>
      </c>
      <c r="AV1484" s="30">
        <f t="shared" si="2884"/>
      </c>
      <c r="AW1484" s="308">
        <f t="shared" si="2884"/>
      </c>
      <c r="AX1484" s="30">
        <f t="shared" si="2884"/>
      </c>
      <c r="AY1484" s="30">
        <f t="shared" si="2884"/>
      </c>
      <c r="AZ1484" s="30">
        <f t="shared" si="2884"/>
      </c>
      <c r="BA1484" s="30">
        <f t="shared" si="2884"/>
      </c>
      <c r="BB1484" s="308">
        <f t="shared" si="2884"/>
      </c>
      <c r="BC1484" s="30">
        <f t="shared" si="2884"/>
      </c>
      <c r="BD1484" s="30">
        <f t="shared" si="2884"/>
      </c>
      <c r="BE1484" s="30">
        <f t="shared" si="2884"/>
      </c>
      <c r="BF1484" s="30">
        <f t="shared" si="2884"/>
      </c>
      <c r="BG1484" s="308">
        <f t="shared" si="2884"/>
      </c>
      <c r="BH1484" s="30">
        <f t="shared" si="2884"/>
      </c>
      <c r="BI1484" s="30">
        <f t="shared" si="2884"/>
      </c>
      <c r="BJ1484" s="30">
        <f t="shared" si="2884"/>
      </c>
      <c r="BK1484" s="30">
        <f t="shared" si="2884"/>
      </c>
      <c r="BL1484" s="308">
        <f t="shared" ref="BL1484:BR1484" si="2885">IF(BG1478="NM","NM",IF(BL1478="NM","NM",IF(BG1478&lt;=0,"NM",IF(BL1478=0,"NM",IF(ABS(BL1478/BG1478-1)&gt;2.5,"NM",IF((ABS(BL1478-BG1478)=ABS(ABS(BL1478)-ABS(BG1478))),(BL1478/BG1478-1),"NM"))))))</f>
      </c>
      <c r="BM1484" s="30">
        <f t="shared" si="2884"/>
      </c>
      <c r="BN1484" s="30">
        <f t="shared" si="2884"/>
      </c>
      <c r="BO1484" s="30">
        <f t="shared" si="2884"/>
      </c>
      <c r="BP1484" s="30">
        <f t="shared" si="2885"/>
      </c>
      <c r="BQ1484" s="308">
        <f t="shared" si="2885"/>
      </c>
      <c r="BR1484" s="30">
        <f t="shared" si="2885"/>
      </c>
      <c r="BS1484" s="30">
        <f t="shared" ref="BS1484:CI1484" si="2886">IF(BN1478="NM","NM",IF(BS1478="NM","NM",IF(BN1478&lt;=0,"NM",IF(BS1478=0,"NM",IF(ABS(BS1478/BN1478-1)&gt;2.5,"NM",IF((ABS(BS1478-BN1478)=ABS(ABS(BS1478)-ABS(BN1478))),(BS1478/BN1478-1),"NM"))))))</f>
      </c>
      <c r="BT1484" s="30">
        <f t="shared" si="2886"/>
      </c>
      <c r="BU1484" s="30">
        <f t="shared" si="2886"/>
      </c>
      <c r="BV1484" s="308">
        <f t="shared" si="2886"/>
      </c>
      <c r="BW1484" s="30">
        <f t="shared" si="2886"/>
      </c>
      <c r="BX1484" s="30">
        <f t="shared" si="2886"/>
      </c>
      <c r="BY1484" s="30">
        <f t="shared" si="2886"/>
      </c>
      <c r="BZ1484" s="30">
        <f t="shared" si="2886"/>
      </c>
      <c r="CA1484" s="308">
        <f t="shared" si="2886"/>
      </c>
      <c r="CB1484" s="30">
        <f t="shared" si="2886"/>
      </c>
      <c r="CC1484" s="30">
        <f t="shared" si="2886"/>
      </c>
      <c r="CD1484" s="30">
        <f t="shared" si="2886"/>
      </c>
      <c r="CE1484" s="30">
        <f t="shared" si="2886"/>
      </c>
      <c r="CF1484" s="308">
        <f t="shared" si="2886"/>
      </c>
      <c r="CG1484" s="30">
        <f t="shared" si="2886"/>
      </c>
      <c r="CH1484" s="30">
        <f t="shared" si="2886"/>
      </c>
      <c r="CI1484" s="30">
        <f t="shared" si="2886"/>
      </c>
      <c r="CJ1484" s="30">
        <f>IF(CJ1478&lt;=0,0,(CJ1478/CE1478-1))</f>
      </c>
      <c r="CK1484" s="308">
        <f>IF(CF1478=0, "NA", CK1478/CF1478-1)</f>
      </c>
      <c r="CL1484" s="30">
        <f>IF(CG1478="NM","NM",IF(CL1478="NM","NM",IF(CG1478&lt;=0,"NM",IF(CL1478=0,"NM",IF(ABS(CL1478/CG1478-1)&gt;2.5,"NM",IF((ABS(CL1478-CG1478)=ABS(ABS(CL1478)-ABS(CG1478))),(CL1478/CG1478-1),"NM"))))))</f>
      </c>
      <c r="CM1484" s="30">
        <f>IF(CH1478="NM","NM",IF(CM1478="NM","NM",IF(CH1478&lt;=0,"NM",IF(CM1478=0,"NM",IF(ABS(CM1478/CH1478-1)&gt;2.5,"NM",IF((ABS(CM1478-CH1478)=ABS(ABS(CM1478)-ABS(CH1478))),(CM1478/CH1478-1),"NM"))))))</f>
      </c>
      <c r="CN1484" s="30">
        <f>IF(CI1478="NM","NM",IF(CN1478="NM","NM",IF(CI1478&lt;=0,"NM",IF(CN1478=0,"NM",IF(ABS(CN1478/CI1478-1)&gt;2.5,"NM",IF((ABS(CN1478-CI1478)=ABS(ABS(CN1478)-ABS(CI1478))),(CN1478/CI1478-1),"NM"))))))</f>
      </c>
      <c r="CO1484" s="30">
        <f>IF(CO1478&lt;=0,0,(CO1478/CJ1478-1))</f>
      </c>
      <c r="CP1484" s="308">
        <f>IF(CK1478=0, "NA", CP1478/CK1478-1)</f>
      </c>
      <c r="CQ1484" s="30">
        <f>IF(CL1478="NM","NM",IF(CQ1478="NM","NM",IF(CL1478&lt;=0,"NM",IF(CQ1478=0,"NM",IF(ABS(CQ1478/CL1478-1)&gt;2.5,"NM",IF((ABS(CQ1478-CL1478)=ABS(ABS(CQ1478)-ABS(CL1478))),(CQ1478/CL1478-1),"NM"))))))</f>
      </c>
      <c r="CR1484" s="30">
        <f>IF(CM1478="NM","NM",IF(CR1478="NM","NM",IF(CM1478&lt;=0,"NM",IF(CR1478=0,"NM",IF(ABS(CR1478/CM1478-1)&gt;2.5,"NM",IF((ABS(CR1478-CM1478)=ABS(ABS(CR1478)-ABS(CM1478))),(CR1478/CM1478-1),"NM"))))))</f>
      </c>
      <c r="CS1484" s="30">
        <f>IF(CN1478="NM","NM",IF(CS1478="NM","NM",IF(CN1478&lt;=0,"NM",IF(CS1478=0,"NM",IF(ABS(CS1478/CN1478-1)&gt;2.5,"NM",IF((ABS(CS1478-CN1478)=ABS(ABS(CS1478)-ABS(CN1478))),(CS1478/CN1478-1),"NM"))))))</f>
      </c>
      <c r="CT1484" s="30">
        <f>IF(CO1478="NM","NM",IF(CT1478="NM","NM",IF(CO1478&lt;=0,"NM",IF(CT1478=0,"NM",IF(ABS(CT1478/CO1478-1)&gt;2.5,"NM",IF((ABS(CT1478-CO1478)=ABS(ABS(CT1478)-ABS(CO1478))),(CT1478/CO1478-1),"NM"))))))</f>
      </c>
      <c r="CU1484" s="308">
        <f>IF(CP1478=0, "NA", CU1478/CP1478-1)</f>
      </c>
      <c r="CV1484" s="30">
        <f>IF(CQ1478="NM","NM",IF(CV1478="NM","NM",IF(CQ1478&lt;=0,"NM",IF(CV1478=0,"NM",IF(ABS(CV1478/CQ1478-1)&gt;2.5,"NM",IF((ABS(CV1478-CQ1478)=ABS(ABS(CV1478)-ABS(CQ1478))),(CV1478/CQ1478-1),"NM"))))))</f>
      </c>
      <c r="CW1484" s="30">
        <f>IF(CR1478="NM","NM",IF(CW1478="NM","NM",IF(CR1478&lt;=0,"NM",IF(CW1478=0,"NM",IF(ABS(CW1478/CR1478-1)&gt;2.5,"NM",IF((ABS(CW1478-CR1478)=ABS(ABS(CW1478)-ABS(CR1478))),(CW1478/CR1478-1),"NM"))))))</f>
      </c>
      <c r="CX1484" s="30">
        <f>IF(CS1478="NM","NM",IF(CX1478="NM","NM",IF(CS1478&lt;=0,"NM",IF(CX1478=0,"NM",IF(ABS(CX1478/CS1478-1)&gt;2.5,"NM",IF((ABS(CX1478-CS1478)=ABS(ABS(CX1478)-ABS(CS1478))),(CX1478/CS1478-1),"NM"))))))</f>
      </c>
      <c r="CY1484" s="30">
        <f>IF(CT1478="NM","NM",IF(CY1478="NM","NM",IF(CT1478&lt;=0,"NM",IF(CY1478=0,"NM",IF(ABS(CY1478/CT1478-1)&gt;2.5,"NM",IF((ABS(CY1478-CT1478)=ABS(ABS(CY1478)-ABS(CT1478))),(CY1478/CT1478-1),"NM"))))))</f>
      </c>
      <c r="CZ1484" s="308">
        <f>IF(CU1478=0, "NA", CZ1478/CU1478-1)</f>
      </c>
      <c r="DA1484" s="30">
        <f>IF(CV1478="NM","NM",IF(DA1478="NM","NM",IF(CV1478&lt;=0,"NM",IF(DA1478=0,"NM",IF(ABS(DA1478/CV1478-1)&gt;2.5,"NM",IF((ABS(DA1478-CV1478)=ABS(ABS(DA1478)-ABS(CV1478))),(DA1478/CV1478-1),"NM"))))))</f>
      </c>
      <c r="DB1484" s="30">
        <f>IF(CW1478="NM","NM",IF(DB1478="NM","NM",IF(CW1478&lt;=0,"NM",IF(DB1478=0,"NM",IF(ABS(DB1478/CW1478-1)&gt;2.5,"NM",IF((ABS(DB1478-CW1478)=ABS(ABS(DB1478)-ABS(CW1478))),(DB1478/CW1478-1),"NM"))))))</f>
      </c>
      <c r="DC1484" s="926">
        <f>IF(CX1478=0, "NA", DC1478/CX1478-1)</f>
      </c>
      <c r="DD1484" s="928">
        <f>IF(CY1478=0, "NM", DD1478/CY1478-1)</f>
      </c>
      <c r="DE1484" s="308">
        <f>IF(CZ1478=0, "NA", DE1478/CZ1478-1)</f>
      </c>
      <c r="DF1484" s="926">
        <f>IF(DA1478=0, "NA", DF1478/DA1478-1)</f>
      </c>
      <c r="DG1484" s="926">
        <f>IF(DB1478=0, "NA", DG1478/DB1478-1)</f>
      </c>
      <c r="DH1484" s="926">
        <f>IF(DC1478=0, "NA", DH1478/DC1478-1)</f>
      </c>
      <c r="DI1484" s="928">
        <f>IF(DD1478=0, "NM", DI1478/DD1478-1)</f>
      </c>
      <c r="DJ1484" s="308">
        <f>IF(DE1478=0, "NA", DJ1478/DE1478-1)</f>
      </c>
      <c r="DK1484" s="926">
        <f>IF(DF1478=0, "NA", DK1478/DF1478-1)</f>
      </c>
      <c r="DL1484" s="926">
        <f>IF(DG1478=0, "NA", DL1478/DG1478-1)</f>
      </c>
      <c r="DM1484" s="926">
        <f>IF(DH1478=0, "NA", DM1478/DH1478-1)</f>
      </c>
      <c r="DN1484" s="928">
        <f>IF(DI1478=0, "NM", DN1478/DI1478-1)</f>
      </c>
      <c r="DO1484" s="308">
        <f>IF(DJ1478=0, "NA", DO1478/DJ1478-1)</f>
      </c>
      <c r="DP1484" s="926">
        <f>IF(DK1478=0, "NA", DP1478/DK1478-1)</f>
      </c>
      <c r="DQ1484" s="926">
        <f>IF(DL1478=0, "NA", DQ1478/DL1478-1)</f>
      </c>
      <c r="DR1484" s="926">
        <f>IF(DM1478=0, "NA", DR1478/DM1478-1)</f>
      </c>
      <c r="DS1484" s="928">
        <f>IF(DN1478=0, "NM", DS1478/DN1478-1)</f>
      </c>
      <c r="DT1484" s="1060">
        <f>IF(DO1478=0, "NA", DT1478/DO1478-1)</f>
      </c>
      <c r="DU1484" s="926">
        <f>IF(DP1478=0, "NA", DU1478/DP1478-1)</f>
      </c>
      <c r="DV1484" s="926">
        <f>IF(DQ1478=0, "NA", DV1478/DQ1478-1)</f>
      </c>
      <c r="DW1484" s="926"/>
      <c r="DX1484" s="928"/>
      <c r="DY1484" s="1060"/>
      <c r="DZ1484" s="926"/>
      <c r="EA1484" s="926"/>
      <c r="EB1484" s="926"/>
      <c r="EC1484" s="928"/>
      <c r="ED1484" s="1060"/>
      <c r="EE1484" s="958"/>
      <c r="EF1484" s="926"/>
      <c r="EG1484" s="926"/>
      <c r="EH1484" s="928"/>
      <c r="EI1484" s="1060"/>
      <c r="EJ1484" s="1060"/>
      <c r="EK1484" s="1060"/>
      <c r="EL1484" s="308"/>
      <c r="EM1484" s="308"/>
      <c r="EN1484" s="308"/>
      <c r="EO1484" s="308"/>
      <c r="EP1484" s="308"/>
      <c r="EQ1484" s="308"/>
      <c r="ER1484" s="308"/>
      <c r="ES1484" s="308"/>
      <c r="ET1484" s="308"/>
      <c r="EU1484" s="308"/>
      <c r="EV1484" s="308"/>
      <c r="EW1484" s="308"/>
      <c r="EX1484" s="308"/>
    </row>
    <row r="1485" spans="1:154" hidden="1" outlineLevel="1">
      <c r="B1485" s="341"/>
      <c r="C1485" s="1989"/>
      <c r="D1485" s="28"/>
      <c r="E1485" s="28"/>
      <c r="F1485" s="28"/>
      <c r="G1485" s="28"/>
      <c r="H1485" s="28"/>
      <c r="I1485" s="30"/>
      <c r="J1485" s="30"/>
      <c r="K1485" s="30"/>
      <c r="L1485" s="30"/>
      <c r="M1485" s="30"/>
      <c r="N1485" s="30"/>
      <c r="O1485" s="30"/>
      <c r="P1485" s="30"/>
      <c r="Q1485" s="30"/>
      <c r="R1485" s="30"/>
      <c r="S1485" s="30"/>
      <c r="T1485" s="30"/>
      <c r="U1485" s="30"/>
      <c r="V1485" s="30"/>
      <c r="W1485" s="30"/>
      <c r="X1485" s="308"/>
      <c r="Y1485" s="30"/>
      <c r="Z1485" s="30"/>
      <c r="AA1485" s="30"/>
      <c r="AB1485" s="30"/>
      <c r="AC1485" s="308"/>
      <c r="AD1485" s="30"/>
      <c r="AE1485" s="30"/>
      <c r="AF1485" s="30"/>
      <c r="AG1485" s="30"/>
      <c r="AH1485" s="308"/>
      <c r="AI1485" s="30"/>
      <c r="AJ1485" s="30"/>
      <c r="AK1485" s="30"/>
      <c r="AL1485" s="30"/>
      <c r="AM1485" s="308"/>
      <c r="AN1485" s="30"/>
      <c r="AO1485" s="30"/>
      <c r="AP1485" s="30"/>
      <c r="AQ1485" s="30"/>
      <c r="AR1485" s="308"/>
      <c r="AS1485" s="30"/>
      <c r="AT1485" s="30"/>
      <c r="AU1485" s="30"/>
      <c r="AV1485" s="30"/>
      <c r="AW1485" s="308"/>
      <c r="AX1485" s="30"/>
      <c r="AY1485" s="30"/>
      <c r="AZ1485" s="30"/>
      <c r="BA1485" s="30"/>
      <c r="BB1485" s="308"/>
      <c r="BC1485" s="30"/>
      <c r="BD1485" s="30"/>
      <c r="BE1485" s="30"/>
      <c r="BF1485" s="30"/>
      <c r="BG1485" s="308"/>
      <c r="BH1485" s="30"/>
      <c r="BI1485" s="30"/>
      <c r="BJ1485" s="30"/>
      <c r="BK1485" s="30"/>
      <c r="BL1485" s="308"/>
      <c r="BM1485" s="30"/>
      <c r="BN1485" s="30"/>
      <c r="BO1485" s="30"/>
      <c r="BP1485" s="30"/>
      <c r="BQ1485" s="308"/>
      <c r="BR1485" s="30"/>
      <c r="BS1485" s="30"/>
      <c r="BT1485" s="30"/>
      <c r="BU1485" s="30"/>
      <c r="BV1485" s="308"/>
      <c r="BW1485" s="30"/>
      <c r="BX1485" s="30"/>
      <c r="BY1485" s="30"/>
      <c r="BZ1485" s="30"/>
      <c r="CA1485" s="308"/>
      <c r="CB1485" s="30"/>
      <c r="CC1485" s="30"/>
      <c r="CD1485" s="30"/>
      <c r="CE1485" s="30"/>
      <c r="CF1485" s="308"/>
      <c r="CG1485" s="30"/>
      <c r="CH1485" s="30"/>
      <c r="CI1485" s="30"/>
      <c r="CJ1485" s="30"/>
      <c r="CK1485" s="308"/>
      <c r="CL1485" s="926"/>
      <c r="CM1485" s="926"/>
      <c r="CN1485" s="926"/>
      <c r="CO1485" s="30"/>
      <c r="CP1485" s="308"/>
      <c r="CQ1485" s="926"/>
      <c r="CR1485" s="926"/>
      <c r="CS1485" s="926"/>
      <c r="CT1485" s="926"/>
      <c r="CU1485" s="308"/>
      <c r="CV1485" s="926"/>
      <c r="CW1485" s="926"/>
      <c r="CX1485" s="926"/>
      <c r="CY1485" s="926"/>
      <c r="CZ1485" s="308"/>
      <c r="DA1485" s="830"/>
      <c r="DB1485" s="30"/>
      <c r="DC1485" s="30"/>
      <c r="DD1485" s="409"/>
      <c r="DE1485" s="308"/>
      <c r="DF1485" s="830"/>
      <c r="DG1485" s="30"/>
      <c r="DH1485" s="30"/>
      <c r="DI1485" s="409"/>
      <c r="DJ1485" s="308"/>
      <c r="DK1485" s="830"/>
      <c r="DL1485" s="30"/>
      <c r="DM1485" s="30"/>
      <c r="DN1485" s="409"/>
      <c r="DO1485" s="308"/>
      <c r="DP1485" s="30"/>
      <c r="DQ1485" s="30"/>
      <c r="DR1485" s="30"/>
      <c r="DS1485" s="409"/>
      <c r="DT1485" s="308"/>
      <c r="DU1485" s="926"/>
      <c r="DV1485" s="926"/>
      <c r="DW1485" s="926"/>
      <c r="DX1485" s="928"/>
      <c r="DY1485" s="308"/>
      <c r="DZ1485" s="926"/>
      <c r="EA1485" s="926"/>
      <c r="EB1485" s="926"/>
      <c r="EC1485" s="928"/>
      <c r="ED1485" s="1060"/>
      <c r="EE1485" s="958"/>
      <c r="EF1485" s="926"/>
      <c r="EG1485" s="926"/>
      <c r="EH1485" s="928"/>
      <c r="EI1485" s="308"/>
      <c r="EJ1485" s="308"/>
      <c r="EK1485" s="308"/>
      <c r="EL1485" s="308"/>
      <c r="EM1485" s="308"/>
      <c r="EN1485" s="308"/>
      <c r="EO1485" s="308"/>
      <c r="EP1485" s="308"/>
      <c r="EQ1485" s="308"/>
      <c r="ER1485" s="308"/>
      <c r="ES1485" s="308"/>
      <c r="ET1485" s="308"/>
      <c r="EU1485" s="308"/>
      <c r="EV1485" s="308"/>
      <c r="EW1485" s="308"/>
      <c r="EX1485" s="308"/>
    </row>
    <row r="1486" spans="1:154" hidden="1" outlineLevel="1">
      <c r="B1486" s="485" t="s">
        <v>352</v>
      </c>
      <c r="C1486" s="2022"/>
      <c r="D1486" s="1986"/>
      <c r="E1486" s="505"/>
      <c r="F1486" s="505"/>
      <c r="G1486" s="505"/>
      <c r="H1486" s="505"/>
      <c r="I1486" s="506"/>
      <c r="J1486" s="506"/>
      <c r="K1486" s="506"/>
      <c r="L1486" s="506"/>
      <c r="M1486" s="506"/>
      <c r="N1486" s="506"/>
      <c r="O1486" s="506"/>
      <c r="P1486" s="506"/>
      <c r="Q1486" s="506"/>
      <c r="R1486" s="506"/>
      <c r="S1486" s="506"/>
      <c r="T1486" s="506"/>
      <c r="U1486" s="506"/>
      <c r="V1486" s="506"/>
      <c r="W1486" s="506"/>
      <c r="X1486" s="507"/>
      <c r="Y1486" s="506"/>
      <c r="Z1486" s="506"/>
      <c r="AA1486" s="506"/>
      <c r="AB1486" s="506"/>
      <c r="AC1486" s="507"/>
      <c r="AD1486" s="506"/>
      <c r="AE1486" s="506"/>
      <c r="AF1486" s="506"/>
      <c r="AG1486" s="506"/>
      <c r="AH1486" s="507"/>
      <c r="AI1486" s="506"/>
      <c r="AJ1486" s="506"/>
      <c r="AK1486" s="506"/>
      <c r="AL1486" s="506"/>
      <c r="AM1486" s="507"/>
      <c r="AN1486" s="506"/>
      <c r="AO1486" s="506"/>
      <c r="AP1486" s="506"/>
      <c r="AQ1486" s="506"/>
      <c r="AR1486" s="507"/>
      <c r="AS1486" s="506"/>
      <c r="AT1486" s="506"/>
      <c r="AU1486" s="506"/>
      <c r="AV1486" s="506"/>
      <c r="AW1486" s="507"/>
      <c r="AX1486" s="506"/>
      <c r="AY1486" s="506"/>
      <c r="AZ1486" s="506"/>
      <c r="BA1486" s="506"/>
      <c r="BB1486" s="507"/>
      <c r="BC1486" s="506"/>
      <c r="BD1486" s="506"/>
      <c r="BE1486" s="506"/>
      <c r="BF1486" s="506"/>
      <c r="BG1486" s="507"/>
      <c r="BH1486" s="506"/>
      <c r="BI1486" s="506"/>
      <c r="BJ1486" s="506"/>
      <c r="BK1486" s="506"/>
      <c r="BL1486" s="507"/>
      <c r="BM1486" s="506"/>
      <c r="BN1486" s="506"/>
      <c r="BO1486" s="506"/>
      <c r="BP1486" s="506"/>
      <c r="BQ1486" s="507"/>
      <c r="BR1486" s="506"/>
      <c r="BS1486" s="506"/>
      <c r="BT1486" s="506"/>
      <c r="BU1486" s="506"/>
      <c r="BV1486" s="507"/>
      <c r="BW1486" s="506"/>
      <c r="BX1486" s="506"/>
      <c r="BY1486" s="506"/>
      <c r="BZ1486" s="506"/>
      <c r="CA1486" s="507"/>
      <c r="CB1486" s="506"/>
      <c r="CC1486" s="506"/>
      <c r="CD1486" s="506"/>
      <c r="CE1486" s="506"/>
      <c r="CF1486" s="507"/>
      <c r="CG1486" s="506"/>
      <c r="CH1486" s="506"/>
      <c r="CI1486" s="506"/>
      <c r="CJ1486" s="506"/>
      <c r="CK1486" s="507"/>
      <c r="CL1486" s="506"/>
      <c r="CM1486" s="506"/>
      <c r="CN1486" s="506"/>
      <c r="CO1486" s="1372"/>
      <c r="CP1486" s="507"/>
      <c r="CQ1486" s="506"/>
      <c r="CR1486" s="506"/>
      <c r="CS1486" s="506"/>
      <c r="CT1486" s="1138"/>
      <c r="CU1486" s="507"/>
      <c r="CV1486" s="506"/>
      <c r="CW1486" s="506"/>
      <c r="CX1486" s="506"/>
      <c r="CY1486" s="1138"/>
      <c r="CZ1486" s="507"/>
      <c r="DA1486" s="1340"/>
      <c r="DB1486" s="1372"/>
      <c r="DC1486" s="1372"/>
      <c r="DD1486" s="1203"/>
      <c r="DE1486" s="507"/>
      <c r="DF1486" s="1340"/>
      <c r="DG1486" s="1372"/>
      <c r="DH1486" s="1372"/>
      <c r="DI1486" s="1203"/>
      <c r="DJ1486" s="507"/>
      <c r="DK1486" s="1340"/>
      <c r="DL1486" s="1372"/>
      <c r="DM1486" s="1372"/>
      <c r="DN1486" s="1203"/>
      <c r="DO1486" s="507"/>
      <c r="DP1486" s="1372"/>
      <c r="DQ1486" s="1372"/>
      <c r="DR1486" s="1372"/>
      <c r="DS1486" s="1203"/>
      <c r="DT1486" s="507"/>
      <c r="DU1486" s="2134"/>
      <c r="DV1486" s="2134"/>
      <c r="DW1486" s="2783"/>
      <c r="DX1486" s="2784"/>
      <c r="DY1486" s="2785"/>
      <c r="DZ1486" s="2783"/>
      <c r="EA1486" s="3523"/>
      <c r="EB1486" s="3523"/>
      <c r="EC1486" s="2784"/>
      <c r="ED1486" s="3141"/>
      <c r="EE1486" s="3559"/>
      <c r="EF1486" s="1759"/>
      <c r="EG1486" s="1759"/>
      <c r="EH1486" s="2784"/>
      <c r="EI1486" s="3141"/>
      <c r="EJ1486" s="3141"/>
      <c r="EK1486" s="3141"/>
      <c r="EL1486" s="2203"/>
      <c r="EM1486" s="2203"/>
      <c r="EN1486" s="2203"/>
      <c r="EO1486" s="2203"/>
      <c r="EP1486" s="2203"/>
      <c r="EQ1486" s="2203"/>
      <c r="ER1486" s="2203"/>
      <c r="ES1486" s="2203"/>
      <c r="ET1486" s="2203"/>
      <c r="EU1486" s="2203"/>
      <c r="EV1486" s="2203"/>
      <c r="EW1486" s="2203"/>
      <c r="EX1486" s="2203"/>
    </row>
    <row r="1487" spans="1:154" hidden="1" outlineLevel="1">
      <c r="A1487" s="3283"/>
      <c r="B1487" s="326" t="s">
        <v>351</v>
      </c>
      <c r="C1487" s="2023"/>
      <c r="D1487" s="15">
        <f t="shared" ref="D1487:AR1487" si="2887">+D1432+D1454+D1443+D1421+D1476</f>
      </c>
      <c r="E1487" s="15">
        <f t="shared" si="2887"/>
      </c>
      <c r="F1487" s="15">
        <f t="shared" si="2887"/>
      </c>
      <c r="G1487" s="15">
        <f t="shared" si="2887"/>
      </c>
      <c r="H1487" s="15">
        <f t="shared" si="2887"/>
      </c>
      <c r="I1487" s="15">
        <f t="shared" si="2887"/>
      </c>
      <c r="J1487" s="15">
        <f t="shared" si="2887"/>
      </c>
      <c r="K1487" s="15">
        <f t="shared" si="2887"/>
      </c>
      <c r="L1487" s="15">
        <f t="shared" si="2887"/>
      </c>
      <c r="M1487" s="15">
        <f t="shared" si="2887"/>
      </c>
      <c r="N1487" s="15">
        <f t="shared" si="2887"/>
      </c>
      <c r="O1487" s="15">
        <f t="shared" si="2887"/>
      </c>
      <c r="P1487" s="15">
        <f t="shared" si="2887"/>
      </c>
      <c r="Q1487" s="15">
        <f t="shared" si="2887"/>
      </c>
      <c r="R1487" s="15">
        <f t="shared" si="2887"/>
      </c>
      <c r="S1487" s="15">
        <f t="shared" si="2887"/>
      </c>
      <c r="T1487" s="15">
        <f t="shared" si="2887"/>
      </c>
      <c r="U1487" s="15">
        <f t="shared" si="2887"/>
      </c>
      <c r="V1487" s="15">
        <f t="shared" si="2887"/>
      </c>
      <c r="W1487" s="15">
        <f t="shared" si="2887"/>
      </c>
      <c r="X1487" s="327">
        <f t="shared" si="2887"/>
      </c>
      <c r="Y1487" s="15">
        <f t="shared" si="2887"/>
      </c>
      <c r="Z1487" s="15">
        <f t="shared" si="2887"/>
      </c>
      <c r="AA1487" s="15">
        <f t="shared" si="2887"/>
      </c>
      <c r="AB1487" s="15">
        <f t="shared" si="2887"/>
      </c>
      <c r="AC1487" s="327">
        <f t="shared" si="2887"/>
      </c>
      <c r="AD1487" s="15">
        <f t="shared" si="2887"/>
      </c>
      <c r="AE1487" s="15">
        <f t="shared" si="2887"/>
      </c>
      <c r="AF1487" s="15">
        <f t="shared" si="2887"/>
      </c>
      <c r="AG1487" s="15">
        <f t="shared" si="2887"/>
      </c>
      <c r="AH1487" s="327">
        <f t="shared" si="2887"/>
      </c>
      <c r="AI1487" s="15">
        <f t="shared" si="2887"/>
      </c>
      <c r="AJ1487" s="15">
        <f t="shared" si="2887"/>
      </c>
      <c r="AK1487" s="15">
        <f t="shared" si="2887"/>
      </c>
      <c r="AL1487" s="15">
        <f t="shared" si="2887"/>
      </c>
      <c r="AM1487" s="327">
        <f t="shared" si="2887"/>
      </c>
      <c r="AN1487" s="15">
        <f t="shared" si="2887"/>
      </c>
      <c r="AO1487" s="15">
        <f t="shared" si="2887"/>
      </c>
      <c r="AP1487" s="15">
        <f t="shared" si="2887"/>
      </c>
      <c r="AQ1487" s="15">
        <f t="shared" si="2887"/>
      </c>
      <c r="AR1487" s="327">
        <f t="shared" si="2887"/>
      </c>
      <c r="AS1487" s="15">
        <f t="shared" ref="AS1487:BH1487" si="2888">+AS1432+AS1454+AS1443+AS1421+AS1476+AS1465</f>
      </c>
      <c r="AT1487" s="15">
        <f t="shared" si="2888"/>
      </c>
      <c r="AU1487" s="15">
        <f t="shared" si="2888"/>
      </c>
      <c r="AV1487" s="15">
        <f t="shared" si="2888"/>
      </c>
      <c r="AW1487" s="327">
        <f t="shared" si="2888"/>
      </c>
      <c r="AX1487" s="15">
        <f t="shared" si="2888"/>
      </c>
      <c r="AY1487" s="15">
        <f t="shared" si="2888"/>
      </c>
      <c r="AZ1487" s="15">
        <f t="shared" si="2888"/>
      </c>
      <c r="BA1487" s="15">
        <f t="shared" si="2888"/>
      </c>
      <c r="BB1487" s="327">
        <f t="shared" si="2888"/>
      </c>
      <c r="BC1487" s="15">
        <f t="shared" si="2888"/>
      </c>
      <c r="BD1487" s="15">
        <f t="shared" si="2888"/>
      </c>
      <c r="BE1487" s="15">
        <f t="shared" si="2888"/>
      </c>
      <c r="BF1487" s="15">
        <f t="shared" si="2888"/>
      </c>
      <c r="BG1487" s="327">
        <f t="shared" si="2888"/>
      </c>
      <c r="BH1487" s="15">
        <f t="shared" si="2888"/>
      </c>
      <c r="BI1487" s="15">
        <f t="shared" ref="BH1487:BK1488" si="2889">+BI1432+BI1454+BI1443+BI1421+BI1476+BI1465</f>
      </c>
      <c r="BJ1487" s="15">
        <f t="shared" si="2889"/>
      </c>
      <c r="BK1487" s="15">
        <f t="shared" si="2889"/>
      </c>
      <c r="BL1487" s="327">
        <f t="shared" ref="BL1487:BQ1487" si="2890">+BL1432+BL1454+BL1443+BL1421+BL1476+BL1465</f>
      </c>
      <c r="BM1487" s="15">
        <f t="shared" si="2890"/>
      </c>
      <c r="BN1487" s="15">
        <f t="shared" si="2890"/>
      </c>
      <c r="BO1487" s="15">
        <f t="shared" si="2890"/>
      </c>
      <c r="BP1487" s="15">
        <f t="shared" si="2890"/>
      </c>
      <c r="BQ1487" s="327">
        <f t="shared" si="2890"/>
      </c>
      <c r="BR1487" s="15">
        <f t="shared" ref="BR1487:BT1488" si="2891">+BR1432+BR1454+BR1443+BR1421+BR1476+BR1465</f>
      </c>
      <c r="BS1487" s="15">
        <f t="shared" si="2891"/>
      </c>
      <c r="BT1487" s="15">
        <f t="shared" si="2891"/>
      </c>
      <c r="BU1487" s="15">
        <f t="shared" ref="BU1487:BW1488" si="2892">+BU1432+BU1454+BU1443+BU1421+BU1476+BU1465</f>
      </c>
      <c r="BV1487" s="327">
        <f t="shared" si="2892"/>
      </c>
      <c r="BW1487" s="15">
        <f t="shared" si="2892"/>
      </c>
      <c r="BX1487" s="15">
        <f t="shared" ref="BX1487:CP1487" si="2893">+BX1432+BX1454+BX1443+BX1421+BX1476+BX1465</f>
      </c>
      <c r="BY1487" s="15">
        <f t="shared" si="2893"/>
      </c>
      <c r="BZ1487" s="15">
        <f t="shared" si="2893"/>
      </c>
      <c r="CA1487" s="327">
        <f t="shared" si="2893"/>
      </c>
      <c r="CB1487" s="15">
        <f t="shared" si="2893"/>
      </c>
      <c r="CC1487" s="15">
        <f t="shared" si="2893"/>
      </c>
      <c r="CD1487" s="15">
        <f t="shared" si="2893"/>
      </c>
      <c r="CE1487" s="15">
        <f t="shared" si="2893"/>
      </c>
      <c r="CF1487" s="327">
        <f t="shared" si="2893"/>
      </c>
      <c r="CG1487" s="15">
        <f t="shared" si="2893"/>
      </c>
      <c r="CH1487" s="15">
        <f t="shared" si="2893"/>
      </c>
      <c r="CI1487" s="15">
        <f t="shared" si="2893"/>
      </c>
      <c r="CJ1487" s="15">
        <f t="shared" si="2893"/>
      </c>
      <c r="CK1487" s="327">
        <f t="shared" si="2893"/>
      </c>
      <c r="CL1487" s="15">
        <f t="shared" si="2893"/>
      </c>
      <c r="CM1487" s="15">
        <f t="shared" si="2893"/>
      </c>
      <c r="CN1487" s="15">
        <f t="shared" si="2893"/>
      </c>
      <c r="CO1487" s="15">
        <f t="shared" si="2893"/>
      </c>
      <c r="CP1487" s="327">
        <f t="shared" si="2893"/>
      </c>
      <c r="CQ1487" s="15">
        <f t="shared" ref="CQ1487:CS1488" si="2894">+CQ1432+CQ1454+CQ1443+CQ1421+CQ1476+CQ1465</f>
      </c>
      <c r="CR1487" s="15">
        <f t="shared" si="2894"/>
      </c>
      <c r="CS1487" s="15">
        <f t="shared" si="2894"/>
      </c>
      <c r="CT1487" s="15">
        <f t="shared" ref="CT1487:CW1488" si="2895">+CT1432+CT1454+CT1443+CT1421+CT1476+CT1465</f>
      </c>
      <c r="CU1487" s="327">
        <f t="shared" si="2895"/>
      </c>
      <c r="CV1487" s="15">
        <f t="shared" si="2895"/>
      </c>
      <c r="CW1487" s="15">
        <f t="shared" si="2895"/>
      </c>
      <c r="CX1487" s="15">
        <f t="shared" ref="CX1487:CZ1488" si="2896">+CX1432+CX1454+CX1443+CX1421+CX1476+CX1465</f>
      </c>
      <c r="CY1487" s="15">
        <f t="shared" si="2896"/>
      </c>
      <c r="CZ1487" s="327">
        <f t="shared" si="2896"/>
      </c>
      <c r="DA1487" s="15">
        <f t="shared" ref="DA1487:DD1488" si="2897">+DA1432+DA1454+DA1443+DA1421+DA1476+DA1465</f>
      </c>
      <c r="DB1487" s="15">
        <f t="shared" si="2897"/>
      </c>
      <c r="DC1487" s="15">
        <f t="shared" si="2897"/>
      </c>
      <c r="DD1487" s="15">
        <f t="shared" si="2897"/>
      </c>
      <c r="DE1487" s="1851">
        <f t="shared" ref="DE1487:DJ1487" si="2898">+DE1432+DE1454+DE1443+DE1421+DE1476+DE1465</f>
      </c>
      <c r="DF1487" s="1777">
        <f t="shared" si="2898"/>
      </c>
      <c r="DG1487" s="1777">
        <f t="shared" si="2898"/>
      </c>
      <c r="DH1487" s="1777">
        <f t="shared" si="2898"/>
      </c>
      <c r="DI1487" s="1777">
        <f t="shared" si="2898"/>
      </c>
      <c r="DJ1487" s="1854">
        <f t="shared" si="2898"/>
      </c>
      <c r="DK1487" s="1777">
        <f t="shared" ref="DK1487:DN1488" si="2899">+DK1432+DK1454+DK1443+DK1421+DK1476+DK1465</f>
      </c>
      <c r="DL1487" s="1777">
        <f t="shared" si="2899"/>
      </c>
      <c r="DM1487" s="1777">
        <f t="shared" si="2899"/>
      </c>
      <c r="DN1487" s="1777">
        <f t="shared" si="2899"/>
      </c>
      <c r="DO1487" s="1851">
        <f t="shared" ref="DO1487:DV1487" si="2900">+DO1432+DO1454+DO1443+DO1421+DO1476+DO1465</f>
      </c>
      <c r="DP1487" s="1777">
        <f t="shared" si="2900"/>
      </c>
      <c r="DQ1487" s="1777">
        <f t="shared" si="2900"/>
      </c>
      <c r="DR1487" s="1777">
        <f t="shared" si="2900"/>
      </c>
      <c r="DS1487" s="1777">
        <f t="shared" si="2900"/>
      </c>
      <c r="DT1487" s="1851">
        <f t="shared" si="2900"/>
      </c>
      <c r="DU1487" s="1777">
        <f t="shared" si="2900"/>
      </c>
      <c r="DV1487" s="1777">
        <f t="shared" si="2900"/>
      </c>
      <c r="DW1487" s="1777"/>
      <c r="DX1487" s="1777"/>
      <c r="DY1487" s="1851"/>
      <c r="DZ1487" s="1777"/>
      <c r="EA1487" s="1777"/>
      <c r="EB1487" s="1777"/>
      <c r="EC1487" s="1777"/>
      <c r="ED1487" s="1851"/>
      <c r="EE1487" s="1941"/>
      <c r="EF1487" s="1777"/>
      <c r="EG1487" s="1777"/>
      <c r="EH1487" s="1777"/>
      <c r="EI1487" s="1851"/>
      <c r="EJ1487" s="1851"/>
      <c r="EK1487" s="1851"/>
      <c r="EL1487" s="1851"/>
      <c r="EM1487" s="1851"/>
      <c r="EN1487" s="1851"/>
      <c r="EO1487" s="1851"/>
      <c r="EP1487" s="1851"/>
      <c r="EQ1487" s="1851"/>
      <c r="ER1487" s="1851"/>
      <c r="ES1487" s="1851"/>
      <c r="ET1487" s="1851"/>
      <c r="EU1487" s="1851"/>
      <c r="EV1487" s="1851"/>
      <c r="EW1487" s="1851"/>
      <c r="EX1487" s="1851"/>
    </row>
    <row r="1488" spans="1:154" hidden="1" outlineLevel="1">
      <c r="A1488" s="3283"/>
      <c r="B1488" s="326" t="s">
        <v>184</v>
      </c>
      <c r="C1488" s="2023"/>
      <c r="D1488" s="15">
        <f t="shared" ref="D1488:AR1488" si="2901">+D1433+D1455+D1444+D1422+D1477</f>
      </c>
      <c r="E1488" s="15">
        <f t="shared" si="2901"/>
      </c>
      <c r="F1488" s="15">
        <f t="shared" si="2901"/>
      </c>
      <c r="G1488" s="15">
        <f t="shared" si="2901"/>
      </c>
      <c r="H1488" s="15">
        <f t="shared" si="2901"/>
      </c>
      <c r="I1488" s="15">
        <f t="shared" si="2901"/>
      </c>
      <c r="J1488" s="15">
        <f t="shared" si="2901"/>
      </c>
      <c r="K1488" s="15">
        <f t="shared" si="2901"/>
      </c>
      <c r="L1488" s="15">
        <f t="shared" si="2901"/>
      </c>
      <c r="M1488" s="15">
        <f t="shared" si="2901"/>
      </c>
      <c r="N1488" s="15">
        <f t="shared" si="2901"/>
      </c>
      <c r="O1488" s="15">
        <f t="shared" si="2901"/>
      </c>
      <c r="P1488" s="15">
        <f t="shared" si="2901"/>
      </c>
      <c r="Q1488" s="15">
        <f t="shared" si="2901"/>
      </c>
      <c r="R1488" s="15">
        <f t="shared" si="2901"/>
      </c>
      <c r="S1488" s="15">
        <f t="shared" si="2901"/>
      </c>
      <c r="T1488" s="15">
        <f t="shared" si="2901"/>
      </c>
      <c r="U1488" s="15">
        <f t="shared" si="2901"/>
      </c>
      <c r="V1488" s="15">
        <f t="shared" si="2901"/>
      </c>
      <c r="W1488" s="15">
        <f t="shared" si="2901"/>
      </c>
      <c r="X1488" s="327">
        <f t="shared" si="2901"/>
      </c>
      <c r="Y1488" s="15">
        <f t="shared" si="2901"/>
      </c>
      <c r="Z1488" s="15">
        <f t="shared" si="2901"/>
      </c>
      <c r="AA1488" s="15">
        <f t="shared" si="2901"/>
      </c>
      <c r="AB1488" s="15">
        <f t="shared" si="2901"/>
      </c>
      <c r="AC1488" s="327">
        <f t="shared" si="2901"/>
      </c>
      <c r="AD1488" s="15">
        <f t="shared" si="2901"/>
      </c>
      <c r="AE1488" s="15">
        <f t="shared" si="2901"/>
      </c>
      <c r="AF1488" s="15">
        <f t="shared" si="2901"/>
      </c>
      <c r="AG1488" s="15">
        <f t="shared" si="2901"/>
      </c>
      <c r="AH1488" s="327">
        <f t="shared" si="2901"/>
      </c>
      <c r="AI1488" s="15">
        <f t="shared" si="2901"/>
      </c>
      <c r="AJ1488" s="15">
        <f t="shared" si="2901"/>
      </c>
      <c r="AK1488" s="15">
        <f t="shared" si="2901"/>
      </c>
      <c r="AL1488" s="15">
        <f t="shared" si="2901"/>
      </c>
      <c r="AM1488" s="327">
        <f t="shared" si="2901"/>
      </c>
      <c r="AN1488" s="15">
        <f t="shared" si="2901"/>
      </c>
      <c r="AO1488" s="15">
        <f t="shared" si="2901"/>
      </c>
      <c r="AP1488" s="15">
        <f t="shared" si="2901"/>
      </c>
      <c r="AQ1488" s="15">
        <f t="shared" si="2901"/>
      </c>
      <c r="AR1488" s="327">
        <f t="shared" si="2901"/>
      </c>
      <c r="AS1488" s="15">
        <f t="shared" ref="AS1488:CG1488" si="2902">+AS1433+AS1455+AS1444+AS1422+AS1477+AS1466</f>
      </c>
      <c r="AT1488" s="15">
        <f t="shared" si="2902"/>
      </c>
      <c r="AU1488" s="15">
        <f t="shared" si="2902"/>
      </c>
      <c r="AV1488" s="15">
        <f t="shared" si="2902"/>
      </c>
      <c r="AW1488" s="327">
        <f t="shared" si="2902"/>
      </c>
      <c r="AX1488" s="15">
        <f t="shared" si="2902"/>
      </c>
      <c r="AY1488" s="15">
        <f t="shared" si="2902"/>
      </c>
      <c r="AZ1488" s="15">
        <f t="shared" si="2902"/>
      </c>
      <c r="BA1488" s="15">
        <f t="shared" si="2902"/>
      </c>
      <c r="BB1488" s="327">
        <f t="shared" si="2902"/>
      </c>
      <c r="BC1488" s="15">
        <f t="shared" si="2902"/>
      </c>
      <c r="BD1488" s="15">
        <f t="shared" si="2902"/>
      </c>
      <c r="BE1488" s="15">
        <f t="shared" si="2902"/>
      </c>
      <c r="BF1488" s="15">
        <f t="shared" si="2902"/>
      </c>
      <c r="BG1488" s="327">
        <f t="shared" si="2902"/>
      </c>
      <c r="BH1488" s="15">
        <f t="shared" si="2889"/>
      </c>
      <c r="BI1488" s="15">
        <f t="shared" si="2889"/>
      </c>
      <c r="BJ1488" s="15">
        <f t="shared" si="2889"/>
      </c>
      <c r="BK1488" s="15">
        <f t="shared" si="2889"/>
      </c>
      <c r="BL1488" s="327">
        <f t="shared" si="2902"/>
      </c>
      <c r="BM1488" s="15">
        <f t="shared" si="2902"/>
      </c>
      <c r="BN1488" s="15">
        <f t="shared" si="2902"/>
      </c>
      <c r="BO1488" s="15">
        <f t="shared" si="2902"/>
      </c>
      <c r="BP1488" s="15">
        <f>+BP1433+BP1455+BP1444+BP1422+BP1477+BP1466</f>
      </c>
      <c r="BQ1488" s="327">
        <f t="shared" si="2902"/>
      </c>
      <c r="BR1488" s="15">
        <f t="shared" si="2891"/>
      </c>
      <c r="BS1488" s="15">
        <f>+BS1433+BS1455+BS1444+BS1422+BS1477+BS1466</f>
      </c>
      <c r="BT1488" s="15">
        <f>+BT1433+BT1455+BT1444+BT1422+BT1477+BT1466</f>
      </c>
      <c r="BU1488" s="15">
        <f t="shared" si="2892"/>
      </c>
      <c r="BV1488" s="327">
        <f t="shared" si="2892"/>
      </c>
      <c r="BW1488" s="15">
        <f t="shared" si="2892"/>
      </c>
      <c r="BX1488" s="15">
        <f t="shared" si="2902"/>
      </c>
      <c r="BY1488" s="15">
        <f t="shared" si="2902"/>
      </c>
      <c r="BZ1488" s="15">
        <f t="shared" ref="BZ1488:CF1488" si="2903">+BZ1433+BZ1455+BZ1444+BZ1422+BZ1477+BZ1466</f>
      </c>
      <c r="CA1488" s="327">
        <f t="shared" si="2903"/>
      </c>
      <c r="CB1488" s="15">
        <f t="shared" si="2903"/>
      </c>
      <c r="CC1488" s="15">
        <f t="shared" si="2903"/>
      </c>
      <c r="CD1488" s="15">
        <f t="shared" si="2903"/>
      </c>
      <c r="CE1488" s="15">
        <f t="shared" si="2903"/>
      </c>
      <c r="CF1488" s="327">
        <f t="shared" si="2903"/>
      </c>
      <c r="CG1488" s="15">
        <f t="shared" si="2902"/>
      </c>
      <c r="CH1488" s="15">
        <f t="shared" ref="CH1488:CP1488" si="2904">+CH1433+CH1455+CH1444+CH1422+CH1477+CH1466</f>
      </c>
      <c r="CI1488" s="15">
        <f t="shared" si="2904"/>
      </c>
      <c r="CJ1488" s="15">
        <f t="shared" si="2904"/>
      </c>
      <c r="CK1488" s="327">
        <f t="shared" si="2904"/>
      </c>
      <c r="CL1488" s="15">
        <f t="shared" si="2904"/>
      </c>
      <c r="CM1488" s="15">
        <f t="shared" si="2904"/>
      </c>
      <c r="CN1488" s="15">
        <f t="shared" si="2904"/>
      </c>
      <c r="CO1488" s="15">
        <f t="shared" si="2904"/>
      </c>
      <c r="CP1488" s="327">
        <f t="shared" si="2904"/>
      </c>
      <c r="CQ1488" s="15">
        <f t="shared" si="2894"/>
      </c>
      <c r="CR1488" s="15">
        <f t="shared" si="2894"/>
      </c>
      <c r="CS1488" s="15">
        <f>+CS1433+CS1455+CS1444+CS1422+CS1477+CS1466</f>
      </c>
      <c r="CT1488" s="15">
        <f t="shared" si="2895"/>
      </c>
      <c r="CU1488" s="327">
        <f t="shared" si="2895"/>
      </c>
      <c r="CV1488" s="15">
        <f t="shared" si="2895"/>
      </c>
      <c r="CW1488" s="15">
        <f t="shared" si="2895"/>
      </c>
      <c r="CX1488" s="15">
        <f t="shared" si="2896"/>
      </c>
      <c r="CY1488" s="15">
        <f t="shared" si="2896"/>
      </c>
      <c r="CZ1488" s="327">
        <f t="shared" si="2896"/>
      </c>
      <c r="DA1488" s="15">
        <f t="shared" si="2897"/>
      </c>
      <c r="DB1488" s="15">
        <f t="shared" si="2897"/>
      </c>
      <c r="DC1488" s="15">
        <f t="shared" si="2897"/>
      </c>
      <c r="DD1488" s="15">
        <f t="shared" si="2897"/>
      </c>
      <c r="DE1488" s="1851">
        <f t="shared" ref="DE1488:DT1488" si="2905">+DE1433+DE1455+DE1444+DE1422+DE1477+DE1466</f>
      </c>
      <c r="DF1488" s="1777">
        <f t="shared" si="2905"/>
      </c>
      <c r="DG1488" s="1777">
        <f t="shared" si="2905"/>
      </c>
      <c r="DH1488" s="1777">
        <f t="shared" si="2905"/>
      </c>
      <c r="DI1488" s="1777">
        <f t="shared" si="2905"/>
      </c>
      <c r="DJ1488" s="1854">
        <f t="shared" si="2905"/>
      </c>
      <c r="DK1488" s="1777">
        <f t="shared" si="2899"/>
      </c>
      <c r="DL1488" s="1777">
        <f t="shared" si="2899"/>
      </c>
      <c r="DM1488" s="1777">
        <f t="shared" si="2899"/>
      </c>
      <c r="DN1488" s="1777">
        <f t="shared" si="2899"/>
      </c>
      <c r="DO1488" s="1851">
        <f t="shared" si="2905"/>
      </c>
      <c r="DP1488" s="1777">
        <f t="shared" si="2905"/>
      </c>
      <c r="DQ1488" s="1777">
        <f>+DQ1433+DQ1455+DQ1444+DQ1422+DQ1477+DQ1466</f>
      </c>
      <c r="DR1488" s="1777">
        <f>+DR1433+DR1455+DR1444+DR1422+DR1477+DR1466</f>
      </c>
      <c r="DS1488" s="1777">
        <f>+DS1433+DS1455+DS1444+DS1422+DS1477+DS1466</f>
      </c>
      <c r="DT1488" s="1851">
        <f t="shared" si="2905"/>
      </c>
      <c r="DU1488" s="1777">
        <f>+DU1433+DU1455+DU1444+DU1422+DU1477+DU1466</f>
      </c>
      <c r="DV1488" s="1777">
        <f>+DV1433+DV1455+DV1444+DV1422+DV1477+DV1466</f>
      </c>
      <c r="DW1488" s="1777"/>
      <c r="DX1488" s="1777"/>
      <c r="DY1488" s="1851"/>
      <c r="DZ1488" s="1777"/>
      <c r="EA1488" s="1777"/>
      <c r="EB1488" s="1777"/>
      <c r="EC1488" s="1777"/>
      <c r="ED1488" s="1851"/>
      <c r="EE1488" s="1941"/>
      <c r="EF1488" s="1777"/>
      <c r="EG1488" s="1777"/>
      <c r="EH1488" s="1777"/>
      <c r="EI1488" s="1851"/>
      <c r="EJ1488" s="1851"/>
      <c r="EK1488" s="1851"/>
      <c r="EL1488" s="1851"/>
      <c r="EM1488" s="1851"/>
      <c r="EN1488" s="1851"/>
      <c r="EO1488" s="1851"/>
      <c r="EP1488" s="1851"/>
      <c r="EQ1488" s="1851"/>
      <c r="ER1488" s="1851"/>
      <c r="ES1488" s="1851"/>
      <c r="ET1488" s="1851"/>
      <c r="EU1488" s="1851"/>
      <c r="EV1488" s="1851"/>
      <c r="EW1488" s="1851"/>
      <c r="EX1488" s="1851"/>
    </row>
    <row r="1489" spans="1:154" hidden="1" outlineLevel="1">
      <c r="A1489" s="3275" t="s">
        <v>186</v>
      </c>
      <c r="B1489" s="326" t="s">
        <v>352</v>
      </c>
      <c r="C1489" s="2023"/>
      <c r="D1489" s="15">
        <f t="shared" ref="D1489:AI1489" si="2906">+D1487+D1488</f>
      </c>
      <c r="E1489" s="15">
        <f t="shared" si="2906"/>
      </c>
      <c r="F1489" s="15">
        <f t="shared" si="2906"/>
      </c>
      <c r="G1489" s="15">
        <f t="shared" si="2906"/>
      </c>
      <c r="H1489" s="15">
        <f t="shared" si="2906"/>
      </c>
      <c r="I1489" s="179">
        <f t="shared" si="2906"/>
      </c>
      <c r="J1489" s="15">
        <f t="shared" si="2906"/>
      </c>
      <c r="K1489" s="15">
        <f t="shared" si="2906"/>
      </c>
      <c r="L1489" s="15">
        <f t="shared" si="2906"/>
      </c>
      <c r="M1489" s="15">
        <f t="shared" si="2906"/>
      </c>
      <c r="N1489" s="179">
        <f t="shared" si="2906"/>
      </c>
      <c r="O1489" s="15">
        <f t="shared" si="2906"/>
      </c>
      <c r="P1489" s="15">
        <f t="shared" si="2906"/>
      </c>
      <c r="Q1489" s="15">
        <f t="shared" si="2906"/>
      </c>
      <c r="R1489" s="15">
        <f t="shared" si="2906"/>
      </c>
      <c r="S1489" s="179">
        <f t="shared" si="2906"/>
      </c>
      <c r="T1489" s="15">
        <f t="shared" si="2906"/>
      </c>
      <c r="U1489" s="15">
        <f t="shared" si="2906"/>
      </c>
      <c r="V1489" s="15">
        <f t="shared" si="2906"/>
      </c>
      <c r="W1489" s="15">
        <f t="shared" si="2906"/>
      </c>
      <c r="X1489" s="327">
        <f t="shared" si="2906"/>
      </c>
      <c r="Y1489" s="15">
        <f t="shared" si="2906"/>
      </c>
      <c r="Z1489" s="15">
        <f t="shared" si="2906"/>
      </c>
      <c r="AA1489" s="15">
        <f t="shared" si="2906"/>
      </c>
      <c r="AB1489" s="15">
        <f t="shared" si="2906"/>
      </c>
      <c r="AC1489" s="327">
        <f t="shared" si="2906"/>
      </c>
      <c r="AD1489" s="15">
        <f t="shared" si="2906"/>
      </c>
      <c r="AE1489" s="15">
        <f t="shared" si="2906"/>
      </c>
      <c r="AF1489" s="15">
        <f t="shared" si="2906"/>
      </c>
      <c r="AG1489" s="15">
        <f t="shared" si="2906"/>
      </c>
      <c r="AH1489" s="327">
        <f t="shared" si="2906"/>
      </c>
      <c r="AI1489" s="15">
        <f t="shared" si="2906"/>
      </c>
      <c r="AJ1489" s="15">
        <f t="shared" ref="AJ1489:CG1489" si="2907">+AJ1487+AJ1488</f>
      </c>
      <c r="AK1489" s="15">
        <f t="shared" si="2907"/>
      </c>
      <c r="AL1489" s="15">
        <f t="shared" si="2907"/>
      </c>
      <c r="AM1489" s="327">
        <f t="shared" si="2907"/>
      </c>
      <c r="AN1489" s="15">
        <f t="shared" si="2907"/>
      </c>
      <c r="AO1489" s="15">
        <f t="shared" si="2907"/>
      </c>
      <c r="AP1489" s="15">
        <f t="shared" si="2907"/>
      </c>
      <c r="AQ1489" s="15">
        <f t="shared" si="2907"/>
      </c>
      <c r="AR1489" s="327">
        <f t="shared" si="2907"/>
      </c>
      <c r="AS1489" s="15">
        <f t="shared" si="2907"/>
      </c>
      <c r="AT1489" s="15">
        <f t="shared" si="2907"/>
      </c>
      <c r="AU1489" s="15">
        <f t="shared" si="2907"/>
      </c>
      <c r="AV1489" s="15">
        <f t="shared" si="2907"/>
      </c>
      <c r="AW1489" s="327">
        <f t="shared" si="2907"/>
      </c>
      <c r="AX1489" s="15">
        <f t="shared" si="2907"/>
      </c>
      <c r="AY1489" s="15">
        <f t="shared" si="2907"/>
      </c>
      <c r="AZ1489" s="15">
        <f t="shared" si="2907"/>
      </c>
      <c r="BA1489" s="15">
        <f t="shared" si="2907"/>
      </c>
      <c r="BB1489" s="327">
        <f t="shared" si="2907"/>
      </c>
      <c r="BC1489" s="15">
        <f t="shared" si="2907"/>
      </c>
      <c r="BD1489" s="15">
        <f t="shared" si="2907"/>
      </c>
      <c r="BE1489" s="15">
        <f t="shared" si="2907"/>
      </c>
      <c r="BF1489" s="15">
        <f t="shared" si="2907"/>
      </c>
      <c r="BG1489" s="327">
        <f t="shared" si="2907"/>
      </c>
      <c r="BH1489" s="15">
        <f>+BH1487+BH1488</f>
      </c>
      <c r="BI1489" s="15">
        <f>+BI1487+BI1488</f>
      </c>
      <c r="BJ1489" s="15">
        <f>+BJ1487+BJ1488</f>
      </c>
      <c r="BK1489" s="15">
        <f>+BK1487+BK1488</f>
      </c>
      <c r="BL1489" s="327">
        <f t="shared" si="2907"/>
      </c>
      <c r="BM1489" s="15">
        <f t="shared" si="2907"/>
      </c>
      <c r="BN1489" s="15">
        <f t="shared" si="2907"/>
      </c>
      <c r="BO1489" s="15">
        <f t="shared" si="2907"/>
      </c>
      <c r="BP1489" s="15">
        <f>+BP1487+BP1488</f>
      </c>
      <c r="BQ1489" s="327">
        <f t="shared" si="2907"/>
      </c>
      <c r="BR1489" s="15">
        <f t="shared" ref="BR1489:BW1489" si="2908">+BR1487+BR1488</f>
      </c>
      <c r="BS1489" s="15">
        <f t="shared" si="2908"/>
      </c>
      <c r="BT1489" s="15">
        <f t="shared" si="2908"/>
      </c>
      <c r="BU1489" s="15">
        <f t="shared" si="2908"/>
      </c>
      <c r="BV1489" s="327">
        <f t="shared" si="2908"/>
      </c>
      <c r="BW1489" s="15">
        <f t="shared" si="2908"/>
      </c>
      <c r="BX1489" s="15">
        <f t="shared" si="2907"/>
      </c>
      <c r="BY1489" s="15">
        <f t="shared" si="2907"/>
      </c>
      <c r="BZ1489" s="15">
        <f t="shared" ref="BZ1489:CF1489" si="2909">+BZ1487+BZ1488</f>
      </c>
      <c r="CA1489" s="327">
        <f t="shared" si="2909"/>
      </c>
      <c r="CB1489" s="15">
        <f t="shared" si="2909"/>
      </c>
      <c r="CC1489" s="15">
        <f t="shared" si="2909"/>
      </c>
      <c r="CD1489" s="15">
        <f t="shared" si="2909"/>
      </c>
      <c r="CE1489" s="15">
        <f t="shared" si="2909"/>
      </c>
      <c r="CF1489" s="327">
        <f t="shared" si="2909"/>
      </c>
      <c r="CG1489" s="15">
        <f t="shared" si="2907"/>
      </c>
      <c r="CH1489" s="15">
        <f t="shared" ref="CH1489:CO1489" si="2910">+CH1487+CH1488</f>
      </c>
      <c r="CI1489" s="15">
        <f t="shared" si="2910"/>
      </c>
      <c r="CJ1489" s="15">
        <f t="shared" si="2910"/>
      </c>
      <c r="CK1489" s="327">
        <f t="shared" si="2910"/>
      </c>
      <c r="CL1489" s="15">
        <f t="shared" si="2910"/>
      </c>
      <c r="CM1489" s="15">
        <f t="shared" si="2910"/>
      </c>
      <c r="CN1489" s="15">
        <f t="shared" si="2910"/>
      </c>
      <c r="CO1489" s="15">
        <f t="shared" si="2910"/>
      </c>
      <c r="CP1489" s="327">
        <f t="shared" ref="CP1489:DT1489" si="2911">+CP1487+CP1488</f>
      </c>
      <c r="CQ1489" s="15">
        <f t="shared" si="2911"/>
      </c>
      <c r="CR1489" s="15">
        <f t="shared" si="2911"/>
      </c>
      <c r="CS1489" s="15">
        <f t="shared" si="2911"/>
      </c>
      <c r="CT1489" s="15">
        <f t="shared" si="2911"/>
      </c>
      <c r="CU1489" s="327">
        <f t="shared" si="2911"/>
      </c>
      <c r="CV1489" s="15">
        <f>+CV1487+CV1488</f>
      </c>
      <c r="CW1489" s="15">
        <f t="shared" si="2911"/>
      </c>
      <c r="CX1489" s="15">
        <f>+CX1487+CX1488</f>
      </c>
      <c r="CY1489" s="15">
        <f>+CY1487+CY1488</f>
      </c>
      <c r="CZ1489" s="327">
        <f>+CZ1487+CZ1488</f>
      </c>
      <c r="DA1489" s="15">
        <f t="shared" si="2911"/>
      </c>
      <c r="DB1489" s="15">
        <f>+DB1487+DB1488</f>
      </c>
      <c r="DC1489" s="15">
        <f>+DC1487+DC1488</f>
      </c>
      <c r="DD1489" s="15">
        <f>+DD1487+DD1488</f>
      </c>
      <c r="DE1489" s="1851">
        <f t="shared" si="2911"/>
      </c>
      <c r="DF1489" s="1777">
        <f>+DF1487+DF1488</f>
      </c>
      <c r="DG1489" s="1777">
        <f>+DG1487+DG1488</f>
      </c>
      <c r="DH1489" s="1777">
        <f>+DH1487+DH1488</f>
      </c>
      <c r="DI1489" s="1777">
        <f>+DI1487+DI1488</f>
      </c>
      <c r="DJ1489" s="1854">
        <f t="shared" si="2911"/>
      </c>
      <c r="DK1489" s="1777">
        <f t="shared" si="2911"/>
      </c>
      <c r="DL1489" s="1777">
        <f t="shared" si="2911"/>
      </c>
      <c r="DM1489" s="1777">
        <f t="shared" si="2911"/>
      </c>
      <c r="DN1489" s="1777">
        <f t="shared" si="2911"/>
      </c>
      <c r="DO1489" s="1851">
        <f t="shared" si="2911"/>
      </c>
      <c r="DP1489" s="1777">
        <f>+DP1487+DP1488</f>
      </c>
      <c r="DQ1489" s="1777">
        <f>+DQ1487+DQ1488</f>
      </c>
      <c r="DR1489" s="1777">
        <f>+DR1487+DR1488</f>
      </c>
      <c r="DS1489" s="1777">
        <f>+DS1487+DS1488</f>
      </c>
      <c r="DT1489" s="1851">
        <f t="shared" si="2911"/>
      </c>
      <c r="DU1489" s="1777">
        <f>+DU1487+DU1488</f>
      </c>
      <c r="DV1489" s="1777">
        <f>+DV1487+DV1488</f>
      </c>
      <c r="DW1489" s="1777"/>
      <c r="DX1489" s="1777"/>
      <c r="DY1489" s="1851"/>
      <c r="DZ1489" s="1777"/>
      <c r="EA1489" s="1777"/>
      <c r="EB1489" s="1777"/>
      <c r="EC1489" s="1777"/>
      <c r="ED1489" s="1851"/>
      <c r="EE1489" s="1941"/>
      <c r="EF1489" s="1777"/>
      <c r="EG1489" s="1777"/>
      <c r="EH1489" s="1777"/>
      <c r="EI1489" s="1851"/>
      <c r="EJ1489" s="1851"/>
      <c r="EK1489" s="1851"/>
      <c r="EL1489" s="1851"/>
      <c r="EM1489" s="1851"/>
      <c r="EN1489" s="1851"/>
      <c r="EO1489" s="1851"/>
      <c r="EP1489" s="1851"/>
      <c r="EQ1489" s="1851"/>
      <c r="ER1489" s="1851"/>
      <c r="ES1489" s="1851"/>
      <c r="ET1489" s="1851"/>
      <c r="EU1489" s="1851"/>
      <c r="EV1489" s="1851"/>
      <c r="EW1489" s="1851"/>
      <c r="EX1489" s="1851"/>
    </row>
    <row r="1490" spans="1:154" hidden="1" outlineLevel="1">
      <c r="B1490" s="345"/>
      <c r="C1490" s="1989"/>
      <c r="D1490" s="28"/>
      <c r="E1490" s="28"/>
      <c r="F1490" s="28"/>
      <c r="G1490" s="28"/>
      <c r="H1490" s="28"/>
      <c r="I1490" s="31"/>
      <c r="J1490" s="28"/>
      <c r="K1490" s="28"/>
      <c r="L1490" s="28"/>
      <c r="M1490" s="28"/>
      <c r="N1490" s="31"/>
      <c r="O1490" s="31"/>
      <c r="P1490" s="31"/>
      <c r="Q1490" s="31"/>
      <c r="R1490" s="31"/>
      <c r="S1490" s="31"/>
      <c r="T1490" s="31"/>
      <c r="U1490" s="31"/>
      <c r="V1490" s="31"/>
      <c r="W1490" s="31"/>
      <c r="X1490" s="313"/>
      <c r="Y1490" s="31"/>
      <c r="Z1490" s="31"/>
      <c r="AA1490" s="31"/>
      <c r="AB1490" s="31"/>
      <c r="AC1490" s="313"/>
      <c r="AD1490" s="31"/>
      <c r="AE1490" s="31"/>
      <c r="AF1490" s="31"/>
      <c r="AG1490" s="31"/>
      <c r="AH1490" s="313"/>
      <c r="AI1490" s="28"/>
      <c r="AJ1490" s="28"/>
      <c r="AK1490" s="28"/>
      <c r="AL1490" s="31"/>
      <c r="AM1490" s="313"/>
      <c r="AN1490" s="28"/>
      <c r="AO1490" s="28"/>
      <c r="AP1490" s="28"/>
      <c r="AQ1490" s="31"/>
      <c r="AR1490" s="313"/>
      <c r="AS1490" s="28"/>
      <c r="AT1490" s="28"/>
      <c r="AU1490" s="28"/>
      <c r="AV1490" s="31"/>
      <c r="AW1490" s="313"/>
      <c r="AX1490" s="31"/>
      <c r="AY1490" s="31"/>
      <c r="AZ1490" s="31"/>
      <c r="BA1490" s="31"/>
      <c r="BB1490" s="313"/>
      <c r="BC1490" s="31"/>
      <c r="BD1490" s="31"/>
      <c r="BE1490" s="31"/>
      <c r="BF1490" s="31"/>
      <c r="BG1490" s="319"/>
      <c r="BH1490" s="31"/>
      <c r="BI1490" s="31"/>
      <c r="BJ1490" s="31"/>
      <c r="BK1490" s="31"/>
      <c r="BL1490" s="313"/>
      <c r="BM1490" s="31"/>
      <c r="BN1490" s="31"/>
      <c r="BO1490" s="31"/>
      <c r="BP1490" s="31"/>
      <c r="BQ1490" s="313"/>
      <c r="BR1490" s="31"/>
      <c r="BS1490" s="31"/>
      <c r="BT1490" s="31"/>
      <c r="BU1490" s="31"/>
      <c r="BV1490" s="313"/>
      <c r="BW1490" s="31"/>
      <c r="BX1490" s="31"/>
      <c r="BY1490" s="31"/>
      <c r="BZ1490" s="31"/>
      <c r="CA1490" s="313"/>
      <c r="CB1490" s="31"/>
      <c r="CC1490" s="31"/>
      <c r="CD1490" s="31"/>
      <c r="CE1490" s="31"/>
      <c r="CF1490" s="313"/>
      <c r="CG1490" s="31"/>
      <c r="CH1490" s="31"/>
      <c r="CI1490" s="31"/>
      <c r="CJ1490" s="31"/>
      <c r="CK1490" s="313"/>
      <c r="CL1490" s="31"/>
      <c r="CM1490" s="31"/>
      <c r="CN1490" s="31"/>
      <c r="CO1490" s="31"/>
      <c r="CP1490" s="313"/>
      <c r="CQ1490" s="31"/>
      <c r="CR1490" s="31"/>
      <c r="CS1490" s="31"/>
      <c r="CT1490" s="31"/>
      <c r="CU1490" s="313"/>
      <c r="CV1490" s="31"/>
      <c r="CW1490" s="31"/>
      <c r="CX1490" s="31"/>
      <c r="CY1490" s="31"/>
      <c r="CZ1490" s="313"/>
      <c r="DA1490" s="31"/>
      <c r="DB1490" s="31"/>
      <c r="DC1490" s="31"/>
      <c r="DD1490" s="31"/>
      <c r="DE1490" s="477"/>
      <c r="DF1490" s="603"/>
      <c r="DG1490" s="603"/>
      <c r="DH1490" s="603"/>
      <c r="DI1490" s="603"/>
      <c r="DJ1490" s="477"/>
      <c r="DK1490" s="603"/>
      <c r="DL1490" s="603"/>
      <c r="DM1490" s="603"/>
      <c r="DN1490" s="603"/>
      <c r="DO1490" s="477"/>
      <c r="DP1490" s="603"/>
      <c r="DQ1490" s="603"/>
      <c r="DR1490" s="603"/>
      <c r="DS1490" s="603"/>
      <c r="DT1490" s="477"/>
      <c r="DU1490" s="603"/>
      <c r="DV1490" s="603"/>
      <c r="DW1490" s="603"/>
      <c r="DX1490" s="603"/>
      <c r="DY1490" s="477"/>
      <c r="DZ1490" s="603"/>
      <c r="EA1490" s="603"/>
      <c r="EB1490" s="603"/>
      <c r="EC1490" s="603"/>
      <c r="ED1490" s="477"/>
      <c r="EE1490" s="1799"/>
      <c r="EF1490" s="603"/>
      <c r="EG1490" s="603"/>
      <c r="EH1490" s="603"/>
      <c r="EI1490" s="477"/>
      <c r="EJ1490" s="477"/>
      <c r="EK1490" s="477"/>
      <c r="EL1490" s="477"/>
      <c r="EM1490" s="477"/>
      <c r="EN1490" s="477"/>
      <c r="EO1490" s="477"/>
      <c r="EP1490" s="477"/>
      <c r="EQ1490" s="477"/>
      <c r="ER1490" s="477"/>
      <c r="ES1490" s="477"/>
      <c r="ET1490" s="477"/>
      <c r="EU1490" s="477"/>
      <c r="EV1490" s="477"/>
      <c r="EW1490" s="477"/>
      <c r="EX1490" s="477"/>
    </row>
    <row r="1491" spans="1:154" ht="5.25" hidden="1" customHeight="1" outlineLevel="1">
      <c r="B1491" s="345"/>
      <c r="C1491" s="1989"/>
      <c r="D1491" s="28"/>
      <c r="E1491" s="28"/>
      <c r="F1491" s="28"/>
      <c r="G1491" s="28"/>
      <c r="H1491" s="28"/>
      <c r="I1491" s="31"/>
      <c r="J1491" s="28"/>
      <c r="K1491" s="28"/>
      <c r="L1491" s="28"/>
      <c r="M1491" s="28"/>
      <c r="N1491" s="31"/>
      <c r="O1491" s="31"/>
      <c r="P1491" s="31"/>
      <c r="Q1491" s="31"/>
      <c r="R1491" s="31"/>
      <c r="S1491" s="31"/>
      <c r="T1491" s="31"/>
      <c r="U1491" s="31"/>
      <c r="V1491" s="31"/>
      <c r="W1491" s="31"/>
      <c r="X1491" s="313"/>
      <c r="Y1491" s="31"/>
      <c r="Z1491" s="31"/>
      <c r="AA1491" s="31"/>
      <c r="AB1491" s="31"/>
      <c r="AC1491" s="313"/>
      <c r="AD1491" s="31"/>
      <c r="AE1491" s="31"/>
      <c r="AF1491" s="31"/>
      <c r="AG1491" s="31"/>
      <c r="AH1491" s="313"/>
      <c r="AI1491" s="28"/>
      <c r="AJ1491" s="28"/>
      <c r="AK1491" s="28"/>
      <c r="AL1491" s="31"/>
      <c r="AM1491" s="313"/>
      <c r="AN1491" s="28"/>
      <c r="AO1491" s="28"/>
      <c r="AP1491" s="28"/>
      <c r="AQ1491" s="31"/>
      <c r="AR1491" s="313"/>
      <c r="AS1491" s="28"/>
      <c r="AT1491" s="28"/>
      <c r="AU1491" s="28"/>
      <c r="AV1491" s="31"/>
      <c r="AW1491" s="313"/>
      <c r="AX1491" s="31"/>
      <c r="AY1491" s="31"/>
      <c r="AZ1491" s="31"/>
      <c r="BA1491" s="31"/>
      <c r="BB1491" s="313"/>
      <c r="BC1491" s="31"/>
      <c r="BD1491" s="31"/>
      <c r="BE1491" s="31"/>
      <c r="BF1491" s="31"/>
      <c r="BG1491" s="319"/>
      <c r="BH1491" s="31"/>
      <c r="BI1491" s="31"/>
      <c r="BJ1491" s="31"/>
      <c r="BK1491" s="31"/>
      <c r="BL1491" s="313"/>
      <c r="BM1491" s="31"/>
      <c r="BN1491" s="31"/>
      <c r="BO1491" s="31"/>
      <c r="BP1491" s="31"/>
      <c r="BQ1491" s="313"/>
      <c r="BR1491" s="31"/>
      <c r="BS1491" s="31"/>
      <c r="BT1491" s="31"/>
      <c r="BU1491" s="31"/>
      <c r="BV1491" s="313"/>
      <c r="BW1491" s="31"/>
      <c r="BX1491" s="31"/>
      <c r="BY1491" s="31"/>
      <c r="BZ1491" s="31"/>
      <c r="CA1491" s="313"/>
      <c r="CB1491" s="31"/>
      <c r="CC1491" s="31"/>
      <c r="CD1491" s="31"/>
      <c r="CE1491" s="31"/>
      <c r="CF1491" s="313"/>
      <c r="CG1491" s="31"/>
      <c r="CH1491" s="31"/>
      <c r="CI1491" s="31"/>
      <c r="CJ1491" s="31"/>
      <c r="CK1491" s="313"/>
      <c r="CL1491" s="31"/>
      <c r="CM1491" s="31"/>
      <c r="CN1491" s="31"/>
      <c r="CO1491" s="31"/>
      <c r="CP1491" s="313"/>
      <c r="CQ1491" s="31"/>
      <c r="CR1491" s="31"/>
      <c r="CS1491" s="31"/>
      <c r="CT1491" s="31"/>
      <c r="CU1491" s="313"/>
      <c r="CV1491" s="31"/>
      <c r="CW1491" s="31"/>
      <c r="CX1491" s="31"/>
      <c r="CY1491" s="31"/>
      <c r="CZ1491" s="313"/>
      <c r="DA1491" s="31"/>
      <c r="DB1491" s="31"/>
      <c r="DC1491" s="31"/>
      <c r="DD1491" s="31"/>
      <c r="DE1491" s="477"/>
      <c r="DF1491" s="603"/>
      <c r="DG1491" s="603"/>
      <c r="DH1491" s="603"/>
      <c r="DI1491" s="603"/>
      <c r="DJ1491" s="477"/>
      <c r="DK1491" s="603"/>
      <c r="DL1491" s="603"/>
      <c r="DM1491" s="603"/>
      <c r="DN1491" s="603"/>
      <c r="DO1491" s="477"/>
      <c r="DP1491" s="603"/>
      <c r="DQ1491" s="603"/>
      <c r="DR1491" s="603"/>
      <c r="DS1491" s="603"/>
      <c r="DT1491" s="477"/>
      <c r="DU1491" s="603"/>
      <c r="DV1491" s="603"/>
      <c r="DW1491" s="603"/>
      <c r="DX1491" s="603"/>
      <c r="DY1491" s="477"/>
      <c r="DZ1491" s="603"/>
      <c r="EA1491" s="603"/>
      <c r="EB1491" s="603"/>
      <c r="EC1491" s="603"/>
      <c r="ED1491" s="477"/>
      <c r="EE1491" s="1799"/>
      <c r="EF1491" s="603"/>
      <c r="EG1491" s="603"/>
      <c r="EH1491" s="603"/>
      <c r="EI1491" s="477"/>
      <c r="EJ1491" s="477"/>
      <c r="EK1491" s="477"/>
      <c r="EL1491" s="477"/>
      <c r="EM1491" s="477"/>
      <c r="EN1491" s="477"/>
      <c r="EO1491" s="477"/>
      <c r="EP1491" s="477"/>
      <c r="EQ1491" s="477"/>
      <c r="ER1491" s="477"/>
      <c r="ES1491" s="477"/>
      <c r="ET1491" s="477"/>
      <c r="EU1491" s="477"/>
      <c r="EV1491" s="477"/>
      <c r="EW1491" s="477"/>
      <c r="EX1491" s="477"/>
    </row>
    <row r="1492" spans="1:154" hidden="1" outlineLevel="1">
      <c r="B1492" s="343" t="s">
        <v>132</v>
      </c>
      <c r="C1492" s="1990"/>
      <c r="D1492" s="25"/>
      <c r="E1492" s="25"/>
      <c r="F1492" s="25"/>
      <c r="G1492" s="25"/>
      <c r="H1492" s="25"/>
      <c r="I1492" s="261">
        <f t="shared" ref="I1492:R1493" si="2912">IF(D1487="NM","NM",IF(I1487="NM","NM",IF(D1487&lt;=0,"NM",IF(I1487=0,"NM",IF(ABS(I1487/D1487-1)&gt;2.5,"NM",IF((ABS(I1487-D1487)=ABS(ABS(I1487)-ABS(D1487))),(I1487/D1487-1),"NM"))))))</f>
      </c>
      <c r="J1492" s="261">
        <f t="shared" si="2912"/>
      </c>
      <c r="K1492" s="261">
        <f t="shared" si="2912"/>
      </c>
      <c r="L1492" s="261">
        <f t="shared" si="2912"/>
      </c>
      <c r="M1492" s="261">
        <f t="shared" si="2912"/>
      </c>
      <c r="N1492" s="261">
        <f t="shared" si="2912"/>
      </c>
      <c r="O1492" s="261">
        <f t="shared" si="2912"/>
      </c>
      <c r="P1492" s="261">
        <f t="shared" si="2912"/>
      </c>
      <c r="Q1492" s="261">
        <f t="shared" si="2912"/>
      </c>
      <c r="R1492" s="261">
        <f t="shared" si="2912"/>
      </c>
      <c r="S1492" s="261">
        <f t="shared" ref="S1492:AB1493" si="2913">IF(N1487="NM","NM",IF(S1487="NM","NM",IF(N1487&lt;=0,"NM",IF(S1487=0,"NM",IF(ABS(S1487/N1487-1)&gt;2.5,"NM",IF((ABS(S1487-N1487)=ABS(ABS(S1487)-ABS(N1487))),(S1487/N1487-1),"NM"))))))</f>
      </c>
      <c r="T1492" s="261">
        <f t="shared" si="2913"/>
      </c>
      <c r="U1492" s="261">
        <f t="shared" si="2913"/>
      </c>
      <c r="V1492" s="261">
        <f t="shared" si="2913"/>
      </c>
      <c r="W1492" s="261">
        <f t="shared" si="2913"/>
      </c>
      <c r="X1492" s="325">
        <f t="shared" si="2913"/>
      </c>
      <c r="Y1492" s="261">
        <f t="shared" si="2913"/>
      </c>
      <c r="Z1492" s="261">
        <f t="shared" si="2913"/>
      </c>
      <c r="AA1492" s="261">
        <f t="shared" si="2913"/>
      </c>
      <c r="AB1492" s="261">
        <f t="shared" si="2913"/>
      </c>
      <c r="AC1492" s="325">
        <f t="shared" ref="AC1492:AL1493" si="2914">IF(X1487="NM","NM",IF(AC1487="NM","NM",IF(X1487&lt;=0,"NM",IF(AC1487=0,"NM",IF(ABS(AC1487/X1487-1)&gt;2.5,"NM",IF((ABS(AC1487-X1487)=ABS(ABS(AC1487)-ABS(X1487))),(AC1487/X1487-1),"NM"))))))</f>
      </c>
      <c r="AD1492" s="261">
        <f t="shared" si="2914"/>
      </c>
      <c r="AE1492" s="261">
        <f t="shared" si="2914"/>
      </c>
      <c r="AF1492" s="261">
        <f t="shared" si="2914"/>
      </c>
      <c r="AG1492" s="261">
        <f t="shared" si="2914"/>
      </c>
      <c r="AH1492" s="325">
        <f t="shared" si="2914"/>
      </c>
      <c r="AI1492" s="261">
        <f t="shared" si="2914"/>
      </c>
      <c r="AJ1492" s="261">
        <f t="shared" si="2914"/>
      </c>
      <c r="AK1492" s="261">
        <f t="shared" si="2914"/>
      </c>
      <c r="AL1492" s="261">
        <f t="shared" si="2914"/>
      </c>
      <c r="AM1492" s="325">
        <f t="shared" ref="AM1492:AV1493" si="2915">IF(AH1487="NM","NM",IF(AM1487="NM","NM",IF(AH1487&lt;=0,"NM",IF(AM1487=0,"NM",IF(ABS(AM1487/AH1487-1)&gt;2.5,"NM",IF((ABS(AM1487-AH1487)=ABS(ABS(AM1487)-ABS(AH1487))),(AM1487/AH1487-1),"NM"))))))</f>
      </c>
      <c r="AN1492" s="261">
        <f t="shared" si="2915"/>
      </c>
      <c r="AO1492" s="261">
        <f t="shared" si="2915"/>
      </c>
      <c r="AP1492" s="261">
        <f t="shared" si="2915"/>
      </c>
      <c r="AQ1492" s="261">
        <f t="shared" si="2915"/>
      </c>
      <c r="AR1492" s="325">
        <f t="shared" si="2915"/>
      </c>
      <c r="AS1492" s="261">
        <f t="shared" si="2915"/>
      </c>
      <c r="AT1492" s="261">
        <f t="shared" si="2915"/>
      </c>
      <c r="AU1492" s="261">
        <f t="shared" si="2915"/>
      </c>
      <c r="AV1492" s="261">
        <f t="shared" si="2915"/>
      </c>
      <c r="AW1492" s="325">
        <f t="shared" ref="AW1492:BF1493" si="2916">IF(AR1487="NM","NM",IF(AW1487="NM","NM",IF(AR1487&lt;=0,"NM",IF(AW1487=0,"NM",IF(ABS(AW1487/AR1487-1)&gt;2.5,"NM",IF((ABS(AW1487-AR1487)=ABS(ABS(AW1487)-ABS(AR1487))),(AW1487/AR1487-1),"NM"))))))</f>
      </c>
      <c r="AX1492" s="261">
        <f t="shared" si="2916"/>
      </c>
      <c r="AY1492" s="261">
        <f t="shared" si="2916"/>
      </c>
      <c r="AZ1492" s="261">
        <f t="shared" si="2916"/>
      </c>
      <c r="BA1492" s="261">
        <f t="shared" si="2916"/>
      </c>
      <c r="BB1492" s="325">
        <f t="shared" si="2916"/>
      </c>
      <c r="BC1492" s="261">
        <f t="shared" si="2916"/>
      </c>
      <c r="BD1492" s="261">
        <f t="shared" si="2916"/>
      </c>
      <c r="BE1492" s="261">
        <f t="shared" si="2916"/>
      </c>
      <c r="BF1492" s="261">
        <f t="shared" si="2916"/>
      </c>
      <c r="BG1492" s="325">
        <f t="shared" ref="BG1492:BP1493" si="2917">IF(BB1487="NM","NM",IF(BG1487="NM","NM",IF(BB1487&lt;=0,"NM",IF(BG1487=0,"NM",IF(ABS(BG1487/BB1487-1)&gt;2.5,"NM",IF((ABS(BG1487-BB1487)=ABS(ABS(BG1487)-ABS(BB1487))),(BG1487/BB1487-1),"NM"))))))</f>
      </c>
      <c r="BH1492" s="261">
        <f t="shared" si="2917"/>
      </c>
      <c r="BI1492" s="261">
        <f t="shared" si="2917"/>
      </c>
      <c r="BJ1492" s="261">
        <f t="shared" si="2917"/>
      </c>
      <c r="BK1492" s="261">
        <f t="shared" si="2917"/>
      </c>
      <c r="BL1492" s="325">
        <f t="shared" si="2917"/>
      </c>
      <c r="BM1492" s="261">
        <f t="shared" si="2917"/>
      </c>
      <c r="BN1492" s="261">
        <f t="shared" si="2917"/>
      </c>
      <c r="BO1492" s="261">
        <f t="shared" si="2917"/>
      </c>
      <c r="BP1492" s="261">
        <f t="shared" si="2917"/>
      </c>
      <c r="BQ1492" s="325">
        <f t="shared" ref="BQ1492:BT1493" si="2918">IF(BL1487="NM","NM",IF(BQ1487="NM","NM",IF(BL1487&lt;=0,"NM",IF(BQ1487=0,"NM",IF(ABS(BQ1487/BL1487-1)&gt;2.5,"NM",IF((ABS(BQ1487-BL1487)=ABS(ABS(BQ1487)-ABS(BL1487))),(BQ1487/BL1487-1),"NM"))))))</f>
      </c>
      <c r="BR1492" s="261">
        <f t="shared" si="2918"/>
      </c>
      <c r="BS1492" s="261">
        <f t="shared" si="2918"/>
      </c>
      <c r="BT1492" s="261">
        <f t="shared" si="2918"/>
      </c>
      <c r="BU1492" s="261">
        <f t="shared" ref="BU1492:BW1493" si="2919">IF(BP1487="NM","NM",IF(BU1487="NM","NM",IF(BP1487&lt;=0,"NM",IF(BU1487=0,"NM",IF(ABS(BU1487/BP1487-1)&gt;2.5,"NM",IF((ABS(BU1487-BP1487)=ABS(ABS(BU1487)-ABS(BP1487))),(BU1487/BP1487-1),"NM"))))))</f>
      </c>
      <c r="BV1492" s="325">
        <f t="shared" si="2919"/>
      </c>
      <c r="BW1492" s="261">
        <f t="shared" si="2919"/>
      </c>
      <c r="BX1492" s="261">
        <f>IF(BS1487="NM","NM",IF(BX1487="NM","NM",IF(BS1487&lt;=0,"NM",IF(BX1487=0,"NM",IF(ABS(BX1487/BS1487-1)&gt;2.5,"NM",IF((ABS(BX1487-BS1487)=ABS(ABS(BX1487)-ABS(BS1487))),(BX1487/BS1487-1),"NM"))))))</f>
      </c>
      <c r="BY1492" s="261">
        <f>IF(BT1487="NM","NM",IF(BY1487="NM","NM",IF(BT1487&lt;=0,"NM",IF(BY1487=0,"NM",IF(ABS(BY1487/BT1487-1)&gt;2.5,"NM",IF((ABS(BY1487-BT1487)=ABS(ABS(BY1487)-ABS(BT1487))),(BY1487/BT1487-1),"NM"))))))</f>
      </c>
      <c r="BZ1492" s="261">
        <f t="shared" ref="BZ1492:CB1493" si="2920">IF(BU1487="NM","NM",IF(BZ1487="NM","NM",IF(BU1487&lt;=0,"NM",IF(BZ1487=0,"NM",IF(ABS(BZ1487/BU1487-1)&gt;2.5,"NM",IF((ABS(BZ1487-BU1487)=ABS(ABS(BZ1487)-ABS(BU1487))),(BZ1487/BU1487-1),"NM"))))))</f>
      </c>
      <c r="CA1492" s="325">
        <f t="shared" si="2920"/>
      </c>
      <c r="CB1492" s="261">
        <f t="shared" si="2920"/>
      </c>
      <c r="CC1492" s="261">
        <f>IF(BX1487="NM","NM",IF(CC1487="NM","NM",IF(BX1487&lt;=0,"NM",IF(CC1487=0,"NM",IF(ABS(CC1487/BX1487-1)&gt;2.5,"NM",IF((ABS(CC1487-BX1487)=ABS(ABS(CC1487)-ABS(BX1487))),(CC1487/BX1487-1),"NM"))))))</f>
      </c>
      <c r="CD1492" s="261">
        <f>IF(BY1487=0, "NA", CD1487/BY1487-1)</f>
      </c>
      <c r="CE1492" s="261">
        <f>IF(BZ1487=0, "NA", CE1487/BZ1487-1)</f>
      </c>
      <c r="CF1492" s="325">
        <f>IF(CA1487="NM","NM",IF(CF1487="NM","NM",IF(CA1487&lt;=0,"NM",IF(CF1487=0,"NM",IF(ABS(CF1487/CA1487-1)&gt;2.5,"NM",IF((ABS(CF1487-CA1487)=ABS(ABS(CF1487)-ABS(CA1487))),(CF1487/CA1487-1),"NM"))))))</f>
      </c>
      <c r="CG1492" s="261">
        <f t="shared" ref="CG1492:CP1493" si="2921">IF(CB1487=0, "NA", CG1487/CB1487-1)</f>
      </c>
      <c r="CH1492" s="261">
        <f t="shared" si="2921"/>
      </c>
      <c r="CI1492" s="261">
        <f t="shared" si="2921"/>
      </c>
      <c r="CJ1492" s="261">
        <f t="shared" si="2921"/>
      </c>
      <c r="CK1492" s="325">
        <f t="shared" si="2921"/>
      </c>
      <c r="CL1492" s="261">
        <f t="shared" si="2921"/>
      </c>
      <c r="CM1492" s="261">
        <f t="shared" si="2921"/>
      </c>
      <c r="CN1492" s="261">
        <f t="shared" si="2921"/>
      </c>
      <c r="CO1492" s="261">
        <f t="shared" si="2921"/>
      </c>
      <c r="CP1492" s="325">
        <f t="shared" si="2921"/>
      </c>
      <c r="CQ1492" s="261">
        <f t="shared" ref="CQ1492:CS1493" si="2922">IF(CL1487=0, "NA", CQ1487/CL1487-1)</f>
      </c>
      <c r="CR1492" s="261">
        <f t="shared" si="2922"/>
      </c>
      <c r="CS1492" s="261">
        <f t="shared" si="2922"/>
      </c>
      <c r="CT1492" s="261">
        <f t="shared" ref="CT1492:CX1493" si="2923">IF(CO1487=0, "NA", CT1487/CO1487-1)</f>
      </c>
      <c r="CU1492" s="325">
        <f t="shared" si="2923"/>
      </c>
      <c r="CV1492" s="261">
        <f t="shared" si="2923"/>
      </c>
      <c r="CW1492" s="261">
        <f t="shared" si="2923"/>
      </c>
      <c r="CX1492" s="261">
        <f t="shared" si="2923"/>
      </c>
      <c r="CY1492" s="261">
        <f t="shared" ref="CY1492:DH1493" si="2924">IF(CT1487=0, "NA", CY1487/CT1487-1)</f>
      </c>
      <c r="CZ1492" s="325">
        <f t="shared" si="2924"/>
      </c>
      <c r="DA1492" s="261">
        <f t="shared" si="2924"/>
      </c>
      <c r="DB1492" s="261">
        <f t="shared" si="2924"/>
      </c>
      <c r="DC1492" s="261">
        <f t="shared" si="2924"/>
      </c>
      <c r="DD1492" s="261">
        <f t="shared" si="2924"/>
      </c>
      <c r="DE1492" s="325">
        <f t="shared" si="2924"/>
      </c>
      <c r="DF1492" s="261">
        <f t="shared" si="2924"/>
      </c>
      <c r="DG1492" s="261">
        <f t="shared" si="2924"/>
      </c>
      <c r="DH1492" s="261">
        <f t="shared" si="2924"/>
      </c>
      <c r="DI1492" s="261">
        <f t="shared" ref="DI1492:DR1493" si="2925">IF(DD1487=0, "NA", DI1487/DD1487-1)</f>
      </c>
      <c r="DJ1492" s="325">
        <f t="shared" si="2925"/>
      </c>
      <c r="DK1492" s="261">
        <f t="shared" si="2925"/>
      </c>
      <c r="DL1492" s="261">
        <f t="shared" si="2925"/>
      </c>
      <c r="DM1492" s="261">
        <f t="shared" si="2925"/>
      </c>
      <c r="DN1492" s="261">
        <f t="shared" si="2925"/>
      </c>
      <c r="DO1492" s="325">
        <f t="shared" si="2925"/>
      </c>
      <c r="DP1492" s="261">
        <f t="shared" si="2925"/>
      </c>
      <c r="DQ1492" s="261">
        <f t="shared" si="2925"/>
      </c>
      <c r="DR1492" s="261">
        <f t="shared" si="2925"/>
      </c>
      <c r="DS1492" s="261">
        <f t="shared" ref="DS1492:DV1493" si="2926">IF(DN1487=0, "NA", DS1487/DN1487-1)</f>
      </c>
      <c r="DT1492" s="325">
        <f t="shared" si="2926"/>
      </c>
      <c r="DU1492" s="261">
        <f t="shared" si="2926"/>
      </c>
      <c r="DV1492" s="261">
        <f t="shared" si="2926"/>
      </c>
      <c r="DW1492" s="261"/>
      <c r="DX1492" s="261"/>
      <c r="DY1492" s="325"/>
      <c r="DZ1492" s="261"/>
      <c r="EA1492" s="261"/>
      <c r="EB1492" s="261"/>
      <c r="EC1492" s="261"/>
      <c r="ED1492" s="325"/>
      <c r="EE1492" s="1001"/>
      <c r="EF1492" s="261"/>
      <c r="EG1492" s="261"/>
      <c r="EH1492" s="261"/>
      <c r="EI1492" s="325"/>
      <c r="EJ1492" s="325"/>
      <c r="EK1492" s="325"/>
      <c r="EL1492" s="325"/>
      <c r="EM1492" s="325"/>
      <c r="EN1492" s="325"/>
      <c r="EO1492" s="325"/>
      <c r="EP1492" s="325"/>
      <c r="EQ1492" s="325"/>
      <c r="ER1492" s="325"/>
      <c r="ES1492" s="325"/>
      <c r="ET1492" s="325"/>
      <c r="EU1492" s="325"/>
      <c r="EV1492" s="325"/>
      <c r="EW1492" s="325"/>
      <c r="EX1492" s="325"/>
    </row>
    <row r="1493" spans="1:154" hidden="1" outlineLevel="1">
      <c r="B1493" s="343" t="s">
        <v>133</v>
      </c>
      <c r="C1493" s="1990"/>
      <c r="D1493" s="25"/>
      <c r="E1493" s="25"/>
      <c r="F1493" s="25"/>
      <c r="G1493" s="25"/>
      <c r="H1493" s="25"/>
      <c r="I1493" s="261">
        <f t="shared" si="2912"/>
      </c>
      <c r="J1493" s="261">
        <f t="shared" si="2912"/>
      </c>
      <c r="K1493" s="261">
        <f t="shared" si="2912"/>
      </c>
      <c r="L1493" s="261">
        <f t="shared" si="2912"/>
      </c>
      <c r="M1493" s="261">
        <f t="shared" si="2912"/>
      </c>
      <c r="N1493" s="261">
        <f t="shared" si="2912"/>
      </c>
      <c r="O1493" s="261">
        <f t="shared" si="2912"/>
      </c>
      <c r="P1493" s="261">
        <f t="shared" si="2912"/>
      </c>
      <c r="Q1493" s="261">
        <f t="shared" si="2912"/>
      </c>
      <c r="R1493" s="261">
        <f t="shared" si="2912"/>
      </c>
      <c r="S1493" s="261">
        <f t="shared" si="2913"/>
      </c>
      <c r="T1493" s="261">
        <f t="shared" si="2913"/>
      </c>
      <c r="U1493" s="261">
        <f t="shared" si="2913"/>
      </c>
      <c r="V1493" s="261">
        <f t="shared" si="2913"/>
      </c>
      <c r="W1493" s="261">
        <f t="shared" si="2913"/>
      </c>
      <c r="X1493" s="325">
        <f t="shared" si="2913"/>
      </c>
      <c r="Y1493" s="261">
        <f t="shared" si="2913"/>
      </c>
      <c r="Z1493" s="261">
        <f t="shared" si="2913"/>
      </c>
      <c r="AA1493" s="261">
        <f t="shared" si="2913"/>
      </c>
      <c r="AB1493" s="261">
        <f t="shared" si="2913"/>
      </c>
      <c r="AC1493" s="325">
        <f t="shared" si="2914"/>
      </c>
      <c r="AD1493" s="261">
        <f t="shared" si="2914"/>
      </c>
      <c r="AE1493" s="261">
        <f t="shared" si="2914"/>
      </c>
      <c r="AF1493" s="261">
        <f t="shared" si="2914"/>
      </c>
      <c r="AG1493" s="261">
        <f t="shared" si="2914"/>
      </c>
      <c r="AH1493" s="325">
        <f t="shared" si="2914"/>
      </c>
      <c r="AI1493" s="261">
        <f t="shared" si="2914"/>
      </c>
      <c r="AJ1493" s="261">
        <f t="shared" si="2914"/>
      </c>
      <c r="AK1493" s="261">
        <f t="shared" si="2914"/>
      </c>
      <c r="AL1493" s="261">
        <f t="shared" si="2914"/>
      </c>
      <c r="AM1493" s="325">
        <f t="shared" si="2915"/>
      </c>
      <c r="AN1493" s="261">
        <f t="shared" si="2915"/>
      </c>
      <c r="AO1493" s="261">
        <f t="shared" si="2915"/>
      </c>
      <c r="AP1493" s="261">
        <f t="shared" si="2915"/>
      </c>
      <c r="AQ1493" s="261">
        <f t="shared" si="2915"/>
      </c>
      <c r="AR1493" s="325">
        <f t="shared" si="2915"/>
      </c>
      <c r="AS1493" s="261">
        <f t="shared" si="2915"/>
      </c>
      <c r="AT1493" s="261">
        <f t="shared" si="2915"/>
      </c>
      <c r="AU1493" s="261">
        <f t="shared" si="2915"/>
      </c>
      <c r="AV1493" s="261">
        <f t="shared" si="2915"/>
      </c>
      <c r="AW1493" s="325">
        <f t="shared" si="2916"/>
      </c>
      <c r="AX1493" s="261">
        <f t="shared" si="2916"/>
      </c>
      <c r="AY1493" s="261">
        <f t="shared" si="2916"/>
      </c>
      <c r="AZ1493" s="261">
        <f t="shared" si="2916"/>
      </c>
      <c r="BA1493" s="261">
        <f t="shared" si="2916"/>
      </c>
      <c r="BB1493" s="325">
        <f t="shared" si="2916"/>
      </c>
      <c r="BC1493" s="261">
        <f t="shared" si="2916"/>
      </c>
      <c r="BD1493" s="261">
        <f t="shared" si="2916"/>
      </c>
      <c r="BE1493" s="261">
        <f t="shared" si="2916"/>
      </c>
      <c r="BF1493" s="261">
        <f t="shared" si="2916"/>
      </c>
      <c r="BG1493" s="325">
        <f t="shared" si="2917"/>
      </c>
      <c r="BH1493" s="261">
        <f t="shared" si="2917"/>
      </c>
      <c r="BI1493" s="261">
        <f t="shared" si="2917"/>
      </c>
      <c r="BJ1493" s="261">
        <f t="shared" si="2917"/>
      </c>
      <c r="BK1493" s="261">
        <f t="shared" si="2917"/>
      </c>
      <c r="BL1493" s="325">
        <f t="shared" si="2917"/>
      </c>
      <c r="BM1493" s="261">
        <f t="shared" si="2917"/>
      </c>
      <c r="BN1493" s="261">
        <f t="shared" si="2917"/>
      </c>
      <c r="BO1493" s="261">
        <f t="shared" si="2917"/>
      </c>
      <c r="BP1493" s="261">
        <f t="shared" si="2917"/>
      </c>
      <c r="BQ1493" s="325">
        <f t="shared" si="2918"/>
      </c>
      <c r="BR1493" s="261">
        <f t="shared" si="2918"/>
      </c>
      <c r="BS1493" s="261">
        <f t="shared" si="2918"/>
      </c>
      <c r="BT1493" s="261">
        <f t="shared" si="2918"/>
      </c>
      <c r="BU1493" s="261">
        <f t="shared" si="2919"/>
      </c>
      <c r="BV1493" s="325">
        <f t="shared" si="2919"/>
      </c>
      <c r="BW1493" s="261">
        <f t="shared" si="2919"/>
      </c>
      <c r="BX1493" s="261">
        <f>IF(BS1488="NM","NM",IF(BX1488="NM","NM",IF(BS1488&lt;=0,"NM",IF(BX1488=0,"NM",IF(ABS(BX1488/BS1488-1)&gt;2.5,"NM",IF((ABS(BX1488-BS1488)=ABS(ABS(BX1488)-ABS(BS1488))),(BX1488/BS1488-1),"NM"))))))</f>
      </c>
      <c r="BY1493" s="261">
        <f>IF(BT1488="NM","NM",IF(BY1488="NM","NM",IF(BT1488&lt;=0,"NM",IF(BY1488=0,"NM",IF(ABS(BY1488/BT1488-1)&gt;2.5,"NM",IF((ABS(BY1488-BT1488)=ABS(ABS(BY1488)-ABS(BT1488))),(BY1488/BT1488-1),"NM"))))))</f>
      </c>
      <c r="BZ1493" s="261">
        <f t="shared" si="2920"/>
      </c>
      <c r="CA1493" s="325">
        <f t="shared" si="2920"/>
      </c>
      <c r="CB1493" s="261">
        <f t="shared" si="2920"/>
      </c>
      <c r="CC1493" s="261">
        <f>IF(BX1488="NM","NM",IF(CC1488="NM","NM",IF(BX1488&lt;=0,"NM",IF(CC1488=0,"NM",IF(ABS(CC1488/BX1488-1)&gt;2.5,"NM",IF((ABS(CC1488-BX1488)=ABS(ABS(CC1488)-ABS(BX1488))),(CC1488/BX1488-1),"NM"))))))</f>
      </c>
      <c r="CD1493" s="261">
        <f>IF(BY1488=0, "NA", CD1488/BY1488-1)</f>
      </c>
      <c r="CE1493" s="261">
        <f>IF(BZ1488=0, "NA", CE1488/BZ1488-1)</f>
      </c>
      <c r="CF1493" s="325">
        <f>IF(CA1488="NM","NM",IF(CF1488="NM","NM",IF(CA1488&lt;=0,"NM",IF(CF1488=0,"NM",IF(ABS(CF1488/CA1488-1)&gt;2.5,"NM",IF((ABS(CF1488-CA1488)=ABS(ABS(CF1488)-ABS(CA1488))),(CF1488/CA1488-1),"NM"))))))</f>
      </c>
      <c r="CG1493" s="261">
        <f t="shared" si="2921"/>
      </c>
      <c r="CH1493" s="261">
        <f t="shared" si="2921"/>
      </c>
      <c r="CI1493" s="261">
        <f t="shared" si="2921"/>
      </c>
      <c r="CJ1493" s="261">
        <f t="shared" si="2921"/>
      </c>
      <c r="CK1493" s="325">
        <f t="shared" si="2921"/>
      </c>
      <c r="CL1493" s="261">
        <f t="shared" si="2921"/>
      </c>
      <c r="CM1493" s="261">
        <f t="shared" si="2921"/>
      </c>
      <c r="CN1493" s="261">
        <f t="shared" si="2921"/>
      </c>
      <c r="CO1493" s="261">
        <f t="shared" si="2921"/>
      </c>
      <c r="CP1493" s="325">
        <f t="shared" si="2921"/>
      </c>
      <c r="CQ1493" s="261">
        <f t="shared" si="2922"/>
      </c>
      <c r="CR1493" s="261">
        <f t="shared" si="2922"/>
      </c>
      <c r="CS1493" s="261">
        <f>IF(CN1488=0, "NA", CS1488/CN1488-1)</f>
      </c>
      <c r="CT1493" s="261">
        <f>IF(CO1488=0, "NA", CT1488/CO1488-1)</f>
      </c>
      <c r="CU1493" s="325">
        <f>IF(CP1488=0, "NA", CU1488/CP1488-1)</f>
      </c>
      <c r="CV1493" s="261">
        <f t="shared" si="2923"/>
      </c>
      <c r="CW1493" s="261">
        <f>IF(CR1488=0, "NA", CW1488/CR1488-1)</f>
      </c>
      <c r="CX1493" s="261">
        <f>IF(CS1488=0, "NA", CX1488/CS1488-1)</f>
      </c>
      <c r="CY1493" s="261">
        <f t="shared" si="2924"/>
      </c>
      <c r="CZ1493" s="325">
        <f t="shared" si="2924"/>
      </c>
      <c r="DA1493" s="261">
        <f t="shared" si="2924"/>
      </c>
      <c r="DB1493" s="261">
        <f t="shared" si="2924"/>
      </c>
      <c r="DC1493" s="261">
        <f t="shared" si="2924"/>
      </c>
      <c r="DD1493" s="261">
        <f t="shared" si="2924"/>
      </c>
      <c r="DE1493" s="325">
        <f t="shared" si="2924"/>
      </c>
      <c r="DF1493" s="261">
        <f t="shared" si="2924"/>
      </c>
      <c r="DG1493" s="261">
        <f t="shared" si="2924"/>
      </c>
      <c r="DH1493" s="261">
        <f t="shared" si="2924"/>
      </c>
      <c r="DI1493" s="261">
        <f t="shared" si="2925"/>
      </c>
      <c r="DJ1493" s="325">
        <f t="shared" si="2925"/>
      </c>
      <c r="DK1493" s="261">
        <f t="shared" si="2925"/>
      </c>
      <c r="DL1493" s="261">
        <f t="shared" si="2925"/>
      </c>
      <c r="DM1493" s="261">
        <f t="shared" si="2925"/>
      </c>
      <c r="DN1493" s="261">
        <f t="shared" si="2925"/>
      </c>
      <c r="DO1493" s="325">
        <f t="shared" si="2925"/>
      </c>
      <c r="DP1493" s="261">
        <f t="shared" si="2925"/>
      </c>
      <c r="DQ1493" s="261">
        <f t="shared" si="2925"/>
      </c>
      <c r="DR1493" s="261">
        <f t="shared" si="2925"/>
      </c>
      <c r="DS1493" s="261">
        <f t="shared" si="2926"/>
      </c>
      <c r="DT1493" s="325">
        <f t="shared" si="2926"/>
      </c>
      <c r="DU1493" s="261">
        <f t="shared" si="2926"/>
      </c>
      <c r="DV1493" s="261">
        <f t="shared" si="2926"/>
      </c>
      <c r="DW1493" s="261"/>
      <c r="DX1493" s="261"/>
      <c r="DY1493" s="325"/>
      <c r="DZ1493" s="261"/>
      <c r="EA1493" s="261"/>
      <c r="EB1493" s="261"/>
      <c r="EC1493" s="261"/>
      <c r="ED1493" s="325"/>
      <c r="EE1493" s="1001"/>
      <c r="EF1493" s="261"/>
      <c r="EG1493" s="261"/>
      <c r="EH1493" s="261"/>
      <c r="EI1493" s="325"/>
      <c r="EJ1493" s="325"/>
      <c r="EK1493" s="325"/>
      <c r="EL1493" s="325"/>
      <c r="EM1493" s="325"/>
      <c r="EN1493" s="325"/>
      <c r="EO1493" s="325"/>
      <c r="EP1493" s="325"/>
      <c r="EQ1493" s="325"/>
      <c r="ER1493" s="325"/>
      <c r="ES1493" s="325"/>
      <c r="ET1493" s="325"/>
      <c r="EU1493" s="325"/>
      <c r="EV1493" s="325"/>
      <c r="EW1493" s="325"/>
      <c r="EX1493" s="325"/>
    </row>
    <row r="1494" spans="1:154" hidden="1" outlineLevel="1">
      <c r="B1494" s="343" t="s">
        <v>125</v>
      </c>
      <c r="C1494" s="1990"/>
      <c r="D1494" s="25"/>
      <c r="E1494" s="25"/>
      <c r="F1494" s="25"/>
      <c r="G1494" s="25"/>
      <c r="H1494" s="25"/>
      <c r="I1494" s="261"/>
      <c r="J1494" s="261"/>
      <c r="K1494" s="261"/>
      <c r="L1494" s="261"/>
      <c r="M1494" s="261"/>
      <c r="N1494" s="261"/>
      <c r="O1494" s="261"/>
      <c r="P1494" s="261"/>
      <c r="Q1494" s="261"/>
      <c r="R1494" s="261"/>
      <c r="S1494" s="261"/>
      <c r="T1494" s="261"/>
      <c r="U1494" s="261"/>
      <c r="V1494" s="261"/>
      <c r="W1494" s="261"/>
      <c r="X1494" s="325"/>
      <c r="Y1494" s="261"/>
      <c r="Z1494" s="261"/>
      <c r="AA1494" s="261"/>
      <c r="AB1494" s="261"/>
      <c r="AC1494" s="325"/>
      <c r="AD1494" s="261"/>
      <c r="AE1494" s="261"/>
      <c r="AF1494" s="261"/>
      <c r="AG1494" s="261"/>
      <c r="AH1494" s="325"/>
      <c r="AI1494" s="261">
        <f t="shared" ref="AI1494:CC1494" si="2927">IF(ISNUMBER(AI1493),(1+AI1493)/(1+AI$21)-1,"NM")</f>
      </c>
      <c r="AJ1494" s="261">
        <f t="shared" si="2927"/>
      </c>
      <c r="AK1494" s="261">
        <f t="shared" si="2927"/>
      </c>
      <c r="AL1494" s="261">
        <f t="shared" si="2927"/>
      </c>
      <c r="AM1494" s="325">
        <f t="shared" si="2927"/>
      </c>
      <c r="AN1494" s="261">
        <f t="shared" si="2927"/>
      </c>
      <c r="AO1494" s="261">
        <f t="shared" si="2927"/>
      </c>
      <c r="AP1494" s="261">
        <f t="shared" si="2927"/>
      </c>
      <c r="AQ1494" s="261">
        <f t="shared" si="2927"/>
      </c>
      <c r="AR1494" s="325">
        <f t="shared" si="2927"/>
      </c>
      <c r="AS1494" s="261">
        <f t="shared" si="2927"/>
      </c>
      <c r="AT1494" s="261">
        <f t="shared" si="2927"/>
      </c>
      <c r="AU1494" s="261">
        <f t="shared" si="2927"/>
      </c>
      <c r="AV1494" s="261">
        <f t="shared" si="2927"/>
      </c>
      <c r="AW1494" s="325">
        <f t="shared" si="2927"/>
      </c>
      <c r="AX1494" s="261">
        <f t="shared" si="2927"/>
      </c>
      <c r="AY1494" s="261">
        <f t="shared" si="2927"/>
      </c>
      <c r="AZ1494" s="261">
        <f t="shared" si="2927"/>
      </c>
      <c r="BA1494" s="261">
        <f t="shared" si="2927"/>
      </c>
      <c r="BB1494" s="325">
        <f t="shared" si="2927"/>
      </c>
      <c r="BC1494" s="261">
        <f t="shared" si="2927"/>
      </c>
      <c r="BD1494" s="261">
        <f t="shared" si="2927"/>
      </c>
      <c r="BE1494" s="261">
        <f t="shared" si="2927"/>
      </c>
      <c r="BF1494" s="261">
        <f t="shared" si="2927"/>
      </c>
      <c r="BG1494" s="325">
        <f t="shared" si="2927"/>
      </c>
      <c r="BH1494" s="261">
        <f t="shared" si="2927"/>
      </c>
      <c r="BI1494" s="261">
        <f t="shared" si="2927"/>
      </c>
      <c r="BJ1494" s="261">
        <f t="shared" si="2927"/>
      </c>
      <c r="BK1494" s="261">
        <f t="shared" si="2927"/>
      </c>
      <c r="BL1494" s="325">
        <f t="shared" si="2927"/>
      </c>
      <c r="BM1494" s="261">
        <f t="shared" si="2927"/>
      </c>
      <c r="BN1494" s="261">
        <f t="shared" si="2927"/>
      </c>
      <c r="BO1494" s="261">
        <f t="shared" si="2927"/>
      </c>
      <c r="BP1494" s="261">
        <f t="shared" si="2927"/>
      </c>
      <c r="BQ1494" s="325">
        <f t="shared" si="2927"/>
      </c>
      <c r="BR1494" s="261">
        <f t="shared" si="2927"/>
      </c>
      <c r="BS1494" s="261">
        <f t="shared" si="2927"/>
      </c>
      <c r="BT1494" s="261">
        <f t="shared" si="2927"/>
      </c>
      <c r="BU1494" s="261">
        <f t="shared" si="2927"/>
      </c>
      <c r="BV1494" s="325">
        <f t="shared" si="2927"/>
      </c>
      <c r="BW1494" s="261">
        <f t="shared" si="2927"/>
      </c>
      <c r="BX1494" s="261">
        <f t="shared" si="2927"/>
      </c>
      <c r="BY1494" s="261">
        <f t="shared" si="2927"/>
      </c>
      <c r="BZ1494" s="261">
        <f t="shared" si="2927"/>
      </c>
      <c r="CA1494" s="325">
        <f t="shared" si="2927"/>
      </c>
      <c r="CB1494" s="261">
        <f t="shared" si="2927"/>
      </c>
      <c r="CC1494" s="261">
        <f t="shared" si="2927"/>
      </c>
      <c r="CD1494" s="261">
        <f>CD1493-CD$21</f>
      </c>
      <c r="CE1494" s="261">
        <f>CE1493-CE$21</f>
      </c>
      <c r="CF1494" s="325">
        <f>IF(ISNUMBER(CF1493),(1+CF1493)/(1+CF$21)-1,"NM")</f>
      </c>
      <c r="CG1494" s="261">
        <f t="shared" ref="CG1494:CZ1494" si="2928">CG1493-CG$21</f>
      </c>
      <c r="CH1494" s="261">
        <f t="shared" si="2928"/>
      </c>
      <c r="CI1494" s="261">
        <f t="shared" si="2928"/>
      </c>
      <c r="CJ1494" s="261">
        <f t="shared" si="2928"/>
      </c>
      <c r="CK1494" s="325">
        <f t="shared" si="2928"/>
      </c>
      <c r="CL1494" s="261">
        <f t="shared" si="2928"/>
      </c>
      <c r="CM1494" s="261">
        <f t="shared" si="2928"/>
      </c>
      <c r="CN1494" s="261">
        <f t="shared" si="2928"/>
      </c>
      <c r="CO1494" s="261">
        <f t="shared" si="2928"/>
      </c>
      <c r="CP1494" s="325">
        <f t="shared" si="2928"/>
      </c>
      <c r="CQ1494" s="261">
        <f t="shared" si="2928"/>
      </c>
      <c r="CR1494" s="261">
        <f t="shared" si="2928"/>
      </c>
      <c r="CS1494" s="261">
        <f t="shared" si="2928"/>
      </c>
      <c r="CT1494" s="261">
        <f t="shared" si="2928"/>
      </c>
      <c r="CU1494" s="325">
        <f t="shared" si="2928"/>
      </c>
      <c r="CV1494" s="261">
        <f t="shared" si="2928"/>
      </c>
      <c r="CW1494" s="261">
        <f t="shared" si="2928"/>
      </c>
      <c r="CX1494" s="261">
        <f t="shared" si="2928"/>
      </c>
      <c r="CY1494" s="261">
        <f t="shared" si="2928"/>
      </c>
      <c r="CZ1494" s="325">
        <f t="shared" si="2928"/>
      </c>
      <c r="DA1494" s="261">
        <f t="shared" ref="DA1494:DV1494" si="2929">DA1493-DA$21</f>
      </c>
      <c r="DB1494" s="261">
        <f t="shared" si="2929"/>
      </c>
      <c r="DC1494" s="261">
        <f t="shared" si="2929"/>
      </c>
      <c r="DD1494" s="261">
        <f t="shared" si="2929"/>
      </c>
      <c r="DE1494" s="325">
        <f t="shared" si="2929"/>
      </c>
      <c r="DF1494" s="261">
        <f t="shared" si="2929"/>
      </c>
      <c r="DG1494" s="261">
        <f t="shared" si="2929"/>
      </c>
      <c r="DH1494" s="261">
        <f t="shared" si="2929"/>
      </c>
      <c r="DI1494" s="261">
        <f t="shared" si="2929"/>
      </c>
      <c r="DJ1494" s="325">
        <f t="shared" si="2929"/>
      </c>
      <c r="DK1494" s="261">
        <f t="shared" si="2929"/>
      </c>
      <c r="DL1494" s="261">
        <f t="shared" si="2929"/>
      </c>
      <c r="DM1494" s="261">
        <f t="shared" si="2929"/>
      </c>
      <c r="DN1494" s="261">
        <f t="shared" si="2929"/>
      </c>
      <c r="DO1494" s="325">
        <f t="shared" si="2929"/>
      </c>
      <c r="DP1494" s="261">
        <f t="shared" si="2929"/>
      </c>
      <c r="DQ1494" s="261">
        <f t="shared" si="2929"/>
      </c>
      <c r="DR1494" s="261">
        <f t="shared" si="2929"/>
      </c>
      <c r="DS1494" s="261">
        <f t="shared" si="2929"/>
      </c>
      <c r="DT1494" s="325">
        <f t="shared" si="2929"/>
      </c>
      <c r="DU1494" s="261">
        <f t="shared" si="2929"/>
      </c>
      <c r="DV1494" s="261">
        <f t="shared" si="2929"/>
      </c>
      <c r="DW1494" s="261"/>
      <c r="DX1494" s="261"/>
      <c r="DY1494" s="325"/>
      <c r="DZ1494" s="261"/>
      <c r="EA1494" s="261"/>
      <c r="EB1494" s="261"/>
      <c r="EC1494" s="261"/>
      <c r="ED1494" s="325"/>
      <c r="EE1494" s="1001"/>
      <c r="EF1494" s="261"/>
      <c r="EG1494" s="261"/>
      <c r="EH1494" s="261"/>
      <c r="EI1494" s="325"/>
      <c r="EJ1494" s="325"/>
      <c r="EK1494" s="325"/>
      <c r="EL1494" s="325"/>
      <c r="EM1494" s="325"/>
      <c r="EN1494" s="325"/>
      <c r="EO1494" s="325"/>
      <c r="EP1494" s="325"/>
      <c r="EQ1494" s="325"/>
      <c r="ER1494" s="325"/>
      <c r="ES1494" s="325"/>
      <c r="ET1494" s="325"/>
      <c r="EU1494" s="325"/>
      <c r="EV1494" s="325"/>
      <c r="EW1494" s="325"/>
      <c r="EX1494" s="325"/>
    </row>
    <row r="1495" spans="1:154" hidden="1" outlineLevel="1">
      <c r="B1495" s="346" t="s">
        <v>373</v>
      </c>
      <c r="C1495" s="2024"/>
      <c r="D1495" s="1987"/>
      <c r="E1495" s="332"/>
      <c r="F1495" s="332"/>
      <c r="G1495" s="332"/>
      <c r="H1495" s="332"/>
      <c r="I1495" s="333">
        <f t="shared" ref="I1495:AN1495" si="2930">IF(D1489="NM","NM",IF(I1489="NM","NM",IF(D1489&lt;=0,"NM",IF(I1489=0,"NM",IF(ABS(I1489/D1489-1)&gt;2.5,"NM",IF((ABS(I1489-D1489)=ABS(ABS(I1489)-ABS(D1489))),(I1489/D1489-1),"NM"))))))</f>
      </c>
      <c r="J1495" s="333">
        <f t="shared" si="2930"/>
      </c>
      <c r="K1495" s="333">
        <f t="shared" si="2930"/>
      </c>
      <c r="L1495" s="333">
        <f t="shared" si="2930"/>
      </c>
      <c r="M1495" s="333">
        <f t="shared" si="2930"/>
      </c>
      <c r="N1495" s="333">
        <f t="shared" si="2930"/>
      </c>
      <c r="O1495" s="333">
        <f t="shared" si="2930"/>
      </c>
      <c r="P1495" s="333">
        <f t="shared" si="2930"/>
      </c>
      <c r="Q1495" s="333">
        <f t="shared" si="2930"/>
      </c>
      <c r="R1495" s="333">
        <f t="shared" si="2930"/>
      </c>
      <c r="S1495" s="333">
        <f t="shared" si="2930"/>
      </c>
      <c r="T1495" s="333">
        <f t="shared" si="2930"/>
      </c>
      <c r="U1495" s="333">
        <f t="shared" si="2930"/>
      </c>
      <c r="V1495" s="333">
        <f t="shared" si="2930"/>
      </c>
      <c r="W1495" s="333">
        <f t="shared" si="2930"/>
      </c>
      <c r="X1495" s="328">
        <f t="shared" si="2930"/>
      </c>
      <c r="Y1495" s="333">
        <f t="shared" si="2930"/>
      </c>
      <c r="Z1495" s="333">
        <f t="shared" si="2930"/>
      </c>
      <c r="AA1495" s="333">
        <f t="shared" si="2930"/>
      </c>
      <c r="AB1495" s="333">
        <f t="shared" si="2930"/>
      </c>
      <c r="AC1495" s="328">
        <f t="shared" si="2930"/>
      </c>
      <c r="AD1495" s="333">
        <f t="shared" si="2930"/>
      </c>
      <c r="AE1495" s="333">
        <f t="shared" si="2930"/>
      </c>
      <c r="AF1495" s="333">
        <f t="shared" si="2930"/>
      </c>
      <c r="AG1495" s="333">
        <f t="shared" si="2930"/>
      </c>
      <c r="AH1495" s="328">
        <f t="shared" si="2930"/>
      </c>
      <c r="AI1495" s="333">
        <f t="shared" si="2930"/>
      </c>
      <c r="AJ1495" s="333">
        <f t="shared" si="2930"/>
      </c>
      <c r="AK1495" s="333">
        <f t="shared" si="2930"/>
      </c>
      <c r="AL1495" s="333">
        <f t="shared" si="2930"/>
      </c>
      <c r="AM1495" s="328">
        <f t="shared" si="2930"/>
      </c>
      <c r="AN1495" s="333">
        <f t="shared" si="2930"/>
      </c>
      <c r="AO1495" s="333">
        <f t="shared" ref="AO1495:BG1495" si="2931">IF(AJ1489="NM","NM",IF(AO1489="NM","NM",IF(AJ1489&lt;=0,"NM",IF(AO1489=0,"NM",IF(ABS(AO1489/AJ1489-1)&gt;2.5,"NM",IF((ABS(AO1489-AJ1489)=ABS(ABS(AO1489)-ABS(AJ1489))),(AO1489/AJ1489-1),"NM"))))))</f>
      </c>
      <c r="AP1495" s="333">
        <f t="shared" si="2931"/>
      </c>
      <c r="AQ1495" s="333">
        <f t="shared" si="2931"/>
      </c>
      <c r="AR1495" s="328">
        <f t="shared" si="2931"/>
      </c>
      <c r="AS1495" s="333">
        <f t="shared" si="2931"/>
      </c>
      <c r="AT1495" s="333">
        <f t="shared" si="2931"/>
      </c>
      <c r="AU1495" s="333">
        <f t="shared" si="2931"/>
      </c>
      <c r="AV1495" s="333">
        <f t="shared" si="2931"/>
      </c>
      <c r="AW1495" s="328">
        <f t="shared" si="2931"/>
      </c>
      <c r="AX1495" s="333">
        <f t="shared" si="2931"/>
      </c>
      <c r="AY1495" s="333">
        <f t="shared" si="2931"/>
      </c>
      <c r="AZ1495" s="333">
        <f t="shared" si="2931"/>
      </c>
      <c r="BA1495" s="333">
        <f t="shared" si="2931"/>
      </c>
      <c r="BB1495" s="328">
        <f t="shared" si="2931"/>
      </c>
      <c r="BC1495" s="333">
        <f t="shared" si="2931"/>
      </c>
      <c r="BD1495" s="333">
        <f t="shared" si="2931"/>
      </c>
      <c r="BE1495" s="333">
        <f t="shared" si="2931"/>
      </c>
      <c r="BF1495" s="333">
        <f t="shared" si="2931"/>
      </c>
      <c r="BG1495" s="328">
        <f t="shared" si="2931"/>
      </c>
      <c r="BH1495" s="333">
        <f t="shared" ref="BH1495:BQ1495" si="2932">IF(BC1489="NM","NM",IF(BH1489="NM","NM",IF(BC1489&lt;=0,"NM",IF(BH1489=0,"NM",IF(ABS(BH1489/BC1489-1)&gt;2.5,"NM",IF((ABS(BH1489-BC1489)=ABS(ABS(BH1489)-ABS(BC1489))),(BH1489/BC1489-1),"NM"))))))</f>
      </c>
      <c r="BI1495" s="333">
        <f t="shared" si="2932"/>
      </c>
      <c r="BJ1495" s="333">
        <f t="shared" si="2932"/>
      </c>
      <c r="BK1495" s="333">
        <f t="shared" si="2932"/>
      </c>
      <c r="BL1495" s="328">
        <f t="shared" si="2932"/>
      </c>
      <c r="BM1495" s="333">
        <f t="shared" si="2932"/>
      </c>
      <c r="BN1495" s="333">
        <f t="shared" si="2932"/>
      </c>
      <c r="BO1495" s="333">
        <f t="shared" si="2932"/>
      </c>
      <c r="BP1495" s="333">
        <f t="shared" si="2932"/>
      </c>
      <c r="BQ1495" s="328">
        <f t="shared" si="2932"/>
      </c>
      <c r="BR1495" s="333">
        <f t="shared" ref="BR1495:CC1495" si="2933">IF(BM1489="NM","NM",IF(BR1489="NM","NM",IF(BM1489&lt;=0,"NM",IF(BR1489=0,"NM",IF(ABS(BR1489/BM1489-1)&gt;2.5,"NM",IF((ABS(BR1489-BM1489)=ABS(ABS(BR1489)-ABS(BM1489))),(BR1489/BM1489-1),"NM"))))))</f>
      </c>
      <c r="BS1495" s="333">
        <f t="shared" si="2933"/>
      </c>
      <c r="BT1495" s="333">
        <f t="shared" si="2933"/>
      </c>
      <c r="BU1495" s="333">
        <f t="shared" si="2933"/>
      </c>
      <c r="BV1495" s="328">
        <f t="shared" si="2933"/>
      </c>
      <c r="BW1495" s="333">
        <f t="shared" si="2933"/>
      </c>
      <c r="BX1495" s="333">
        <f t="shared" si="2933"/>
      </c>
      <c r="BY1495" s="333">
        <f t="shared" si="2933"/>
      </c>
      <c r="BZ1495" s="333">
        <f t="shared" si="2933"/>
      </c>
      <c r="CA1495" s="328">
        <f t="shared" si="2933"/>
      </c>
      <c r="CB1495" s="333">
        <f t="shared" si="2933"/>
      </c>
      <c r="CC1495" s="333">
        <f t="shared" si="2933"/>
      </c>
      <c r="CD1495" s="333">
        <f>IF(BY1489=0, "NA", CD1489/BY1489-1)</f>
      </c>
      <c r="CE1495" s="831">
        <f>IF(BZ1489=0, "NA", CE1489/BZ1489-1)</f>
      </c>
      <c r="CF1495" s="328">
        <f>IF(CA1489="NM","NM",IF(CF1489="NM","NM",IF(CA1489&lt;=0,"NM",IF(CF1489=0,"NM",IF(ABS(CF1489/CA1489-1)&gt;2.5,"NM",IF((ABS(CF1489-CA1489)=ABS(ABS(CF1489)-ABS(CA1489))),(CF1489/CA1489-1),"NM"))))))</f>
      </c>
      <c r="CG1495" s="831">
        <f t="shared" ref="CG1495:CR1495" si="2934">IF(CB1489=0, "NA", CG1489/CB1489-1)</f>
      </c>
      <c r="CH1495" s="831">
        <f t="shared" si="2934"/>
      </c>
      <c r="CI1495" s="333">
        <f t="shared" si="2934"/>
      </c>
      <c r="CJ1495" s="831">
        <f t="shared" si="2934"/>
      </c>
      <c r="CK1495" s="328">
        <f t="shared" si="2934"/>
      </c>
      <c r="CL1495" s="831">
        <f t="shared" si="2934"/>
      </c>
      <c r="CM1495" s="831">
        <f t="shared" si="2934"/>
      </c>
      <c r="CN1495" s="333">
        <f t="shared" si="2934"/>
      </c>
      <c r="CO1495" s="831">
        <f t="shared" si="2934"/>
      </c>
      <c r="CP1495" s="328">
        <f t="shared" si="2934"/>
      </c>
      <c r="CQ1495" s="831">
        <f t="shared" si="2934"/>
      </c>
      <c r="CR1495" s="831">
        <f t="shared" si="2934"/>
      </c>
      <c r="CS1495" s="831">
        <f t="shared" ref="CS1495:CX1495" si="2935">IF(CN1489=0, "NA", CS1489/CN1489-1)</f>
      </c>
      <c r="CT1495" s="831">
        <f t="shared" si="2935"/>
      </c>
      <c r="CU1495" s="328">
        <f t="shared" si="2935"/>
      </c>
      <c r="CV1495" s="831">
        <f t="shared" si="2935"/>
      </c>
      <c r="CW1495" s="831">
        <f t="shared" si="2935"/>
      </c>
      <c r="CX1495" s="831">
        <f t="shared" si="2935"/>
      </c>
      <c r="CY1495" s="831">
        <f t="shared" ref="CY1495:DV1495" si="2936">IF(CT1489=0, "NA", CY1489/CT1489-1)</f>
      </c>
      <c r="CZ1495" s="328">
        <f t="shared" si="2936"/>
      </c>
      <c r="DA1495" s="831">
        <f t="shared" si="2936"/>
      </c>
      <c r="DB1495" s="831">
        <f t="shared" si="2936"/>
      </c>
      <c r="DC1495" s="831">
        <f t="shared" si="2936"/>
      </c>
      <c r="DD1495" s="831">
        <f t="shared" si="2936"/>
      </c>
      <c r="DE1495" s="328">
        <f t="shared" si="2936"/>
      </c>
      <c r="DF1495" s="831">
        <f t="shared" si="2936"/>
      </c>
      <c r="DG1495" s="831">
        <f t="shared" si="2936"/>
      </c>
      <c r="DH1495" s="831">
        <f t="shared" si="2936"/>
      </c>
      <c r="DI1495" s="831">
        <f t="shared" si="2936"/>
      </c>
      <c r="DJ1495" s="328">
        <f t="shared" si="2936"/>
      </c>
      <c r="DK1495" s="831">
        <f t="shared" si="2936"/>
      </c>
      <c r="DL1495" s="831">
        <f t="shared" si="2936"/>
      </c>
      <c r="DM1495" s="831">
        <f t="shared" si="2936"/>
      </c>
      <c r="DN1495" s="831">
        <f t="shared" si="2936"/>
      </c>
      <c r="DO1495" s="328">
        <f t="shared" si="2936"/>
      </c>
      <c r="DP1495" s="831">
        <f t="shared" si="2936"/>
      </c>
      <c r="DQ1495" s="831">
        <f t="shared" si="2936"/>
      </c>
      <c r="DR1495" s="831">
        <f t="shared" si="2936"/>
      </c>
      <c r="DS1495" s="831">
        <f t="shared" si="2936"/>
      </c>
      <c r="DT1495" s="328">
        <f t="shared" si="2936"/>
      </c>
      <c r="DU1495" s="2135">
        <f t="shared" si="2936"/>
      </c>
      <c r="DV1495" s="2135">
        <f t="shared" si="2936"/>
      </c>
      <c r="DW1495" s="2135"/>
      <c r="DX1495" s="2135"/>
      <c r="DY1495" s="328"/>
      <c r="DZ1495" s="2135"/>
      <c r="EA1495" s="333"/>
      <c r="EB1495" s="333"/>
      <c r="EC1495" s="333"/>
      <c r="ED1495" s="325"/>
      <c r="EE1495" s="1001"/>
      <c r="EF1495" s="261"/>
      <c r="EG1495" s="261"/>
      <c r="EH1495" s="333"/>
      <c r="EI1495" s="325"/>
      <c r="EJ1495" s="325"/>
      <c r="EK1495" s="325"/>
      <c r="EL1495" s="325"/>
      <c r="EM1495" s="325"/>
      <c r="EN1495" s="325"/>
      <c r="EO1495" s="325"/>
      <c r="EP1495" s="325"/>
      <c r="EQ1495" s="2224"/>
      <c r="ER1495" s="2224"/>
      <c r="ES1495" s="2224"/>
      <c r="ET1495" s="2224"/>
      <c r="EU1495" s="2224"/>
      <c r="EV1495" s="2224"/>
      <c r="EW1495" s="2224"/>
      <c r="EX1495" s="2224"/>
    </row>
    <row r="1496" spans="1:154" ht="6" customHeight="1" collapsed="1">
      <c r="ED1496" s="3536"/>
      <c r="EE1496" s="3536"/>
      <c r="EI1496" s="3142"/>
      <c r="EJ1496" s="3142"/>
      <c r="EK1496" s="3142"/>
      <c r="EL1496" s="3142"/>
      <c r="EM1496" s="3142"/>
      <c r="EN1496" s="3142"/>
      <c r="EO1496" s="3142"/>
      <c r="EP1496" s="3142"/>
    </row>
    <row r="1497" spans="1:154">
      <c r="B1497" s="3274" t="s">
        <v>906</v>
      </c>
      <c r="C1497" s="2025"/>
      <c r="D1497" s="887"/>
      <c r="E1497" s="887"/>
      <c r="F1497" s="888"/>
      <c r="G1497" s="888"/>
      <c r="H1497" s="888"/>
      <c r="I1497" s="888"/>
      <c r="J1497" s="888"/>
      <c r="K1497" s="888"/>
      <c r="L1497" s="888"/>
      <c r="M1497" s="888"/>
      <c r="N1497" s="888"/>
      <c r="O1497" s="889"/>
      <c r="P1497" s="888"/>
      <c r="Q1497" s="888"/>
      <c r="R1497" s="888"/>
      <c r="S1497" s="888"/>
      <c r="T1497" s="889"/>
      <c r="U1497" s="888"/>
      <c r="V1497" s="888"/>
      <c r="W1497" s="888"/>
      <c r="X1497" s="891"/>
      <c r="Y1497" s="889"/>
      <c r="Z1497" s="888"/>
      <c r="AA1497" s="888"/>
      <c r="AB1497" s="888"/>
      <c r="AC1497" s="891"/>
      <c r="AD1497" s="889"/>
      <c r="AE1497" s="888"/>
      <c r="AF1497" s="888"/>
      <c r="AG1497" s="888"/>
      <c r="AH1497" s="891"/>
      <c r="AI1497" s="889"/>
      <c r="AJ1497" s="888"/>
      <c r="AK1497" s="888"/>
      <c r="AL1497" s="888"/>
      <c r="AM1497" s="891"/>
      <c r="AN1497" s="889"/>
      <c r="AO1497" s="888"/>
      <c r="AP1497" s="888"/>
      <c r="AQ1497" s="890"/>
      <c r="AR1497" s="891"/>
      <c r="AS1497" s="889"/>
      <c r="AT1497" s="888"/>
      <c r="AU1497" s="888"/>
      <c r="AV1497" s="888"/>
      <c r="AW1497" s="891"/>
      <c r="AX1497" s="889"/>
      <c r="AY1497" s="888"/>
      <c r="AZ1497" s="888"/>
      <c r="BA1497" s="888"/>
      <c r="BB1497" s="891"/>
      <c r="BC1497" s="889"/>
      <c r="BD1497" s="888"/>
      <c r="BE1497" s="888"/>
      <c r="BF1497" s="888"/>
      <c r="BG1497" s="891"/>
      <c r="BH1497" s="889"/>
      <c r="BI1497" s="888"/>
      <c r="BJ1497" s="888"/>
      <c r="BK1497" s="888"/>
      <c r="BL1497" s="891"/>
      <c r="BM1497" s="888"/>
      <c r="BN1497" s="888"/>
      <c r="BO1497" s="888"/>
      <c r="BP1497" s="888"/>
      <c r="BQ1497" s="891"/>
      <c r="BR1497" s="888"/>
      <c r="BS1497" s="888"/>
      <c r="BT1497" s="888"/>
      <c r="BU1497" s="888"/>
      <c r="BV1497" s="891"/>
      <c r="BW1497" s="888"/>
      <c r="BX1497" s="888"/>
      <c r="BY1497" s="888"/>
      <c r="BZ1497" s="888"/>
      <c r="CA1497" s="891"/>
      <c r="CB1497" s="888"/>
      <c r="CC1497" s="888"/>
      <c r="CD1497" s="888"/>
      <c r="CE1497" s="888"/>
      <c r="CF1497" s="891"/>
      <c r="CG1497" s="888"/>
      <c r="CH1497" s="888"/>
      <c r="CI1497" s="888"/>
      <c r="CJ1497" s="888"/>
      <c r="CK1497" s="892"/>
      <c r="CL1497" s="1012"/>
      <c r="CM1497" s="1013"/>
      <c r="CN1497" s="888"/>
      <c r="CO1497" s="888"/>
      <c r="CP1497" s="1410"/>
      <c r="CQ1497" s="1013"/>
      <c r="CR1497" s="1013"/>
      <c r="CS1497" s="1013"/>
      <c r="CT1497" s="1014"/>
      <c r="CU1497" s="892"/>
      <c r="CV1497" s="1013"/>
      <c r="CW1497" s="1013"/>
      <c r="CX1497" s="1013"/>
      <c r="CY1497" s="1014"/>
      <c r="CZ1497" s="892"/>
      <c r="DA1497" s="1012"/>
      <c r="DB1497" s="1362"/>
      <c r="DC1497" s="1362"/>
      <c r="DD1497" s="1204"/>
      <c r="DE1497" s="892"/>
      <c r="DF1497" s="1495"/>
      <c r="DG1497" s="1496"/>
      <c r="DH1497" s="1496"/>
      <c r="DI1497" s="1497"/>
      <c r="DJ1497" s="892"/>
      <c r="DK1497" s="1495"/>
      <c r="DL1497" s="1496"/>
      <c r="DM1497" s="1496"/>
      <c r="DN1497" s="1497"/>
      <c r="DO1497" s="892"/>
      <c r="DP1497" s="1496"/>
      <c r="DQ1497" s="1496"/>
      <c r="DR1497" s="1496"/>
      <c r="DS1497" s="1497"/>
      <c r="DT1497" s="892"/>
      <c r="DU1497" s="1496"/>
      <c r="DV1497" s="1496"/>
      <c r="DW1497" s="1496"/>
      <c r="DX1497" s="1497"/>
      <c r="DY1497" s="892"/>
      <c r="DZ1497" s="1496"/>
      <c r="EA1497" s="3524"/>
      <c r="EB1497" s="3524"/>
      <c r="EC1497" s="1497"/>
      <c r="ED1497" s="3537"/>
      <c r="EE1497" s="3524"/>
      <c r="EF1497" s="3524"/>
      <c r="EG1497" s="3524"/>
      <c r="EH1497" s="1497"/>
      <c r="EI1497" s="2196"/>
      <c r="EJ1497" s="2204"/>
      <c r="EK1497" s="2204"/>
      <c r="EL1497" s="2204"/>
      <c r="EM1497" s="2204"/>
      <c r="EN1497" s="2204"/>
      <c r="EO1497" s="2198"/>
      <c r="EP1497" s="892"/>
      <c r="EQ1497" s="892"/>
      <c r="ER1497" s="892"/>
      <c r="ES1497" s="892"/>
      <c r="ET1497" s="892"/>
      <c r="EU1497" s="892"/>
      <c r="EV1497" s="892"/>
      <c r="EW1497" s="892"/>
      <c r="EX1497" s="892"/>
    </row>
    <row r="1498" spans="1:154" hidden="1">
      <c r="B1498" s="342" t="s">
        <v>821</v>
      </c>
      <c r="C1498" s="1392"/>
      <c r="D1498" s="894"/>
      <c r="E1498" s="894"/>
      <c r="F1498" s="895"/>
      <c r="G1498" s="895"/>
      <c r="H1498" s="895"/>
      <c r="I1498" s="895"/>
      <c r="J1498" s="895"/>
      <c r="K1498" s="895"/>
      <c r="L1498" s="895"/>
      <c r="M1498" s="895"/>
      <c r="N1498" s="895"/>
      <c r="O1498" s="896"/>
      <c r="P1498" s="895"/>
      <c r="Q1498" s="895"/>
      <c r="R1498" s="895"/>
      <c r="S1498" s="895"/>
      <c r="T1498" s="896"/>
      <c r="U1498" s="895"/>
      <c r="V1498" s="895"/>
      <c r="W1498" s="895"/>
      <c r="X1498" s="898"/>
      <c r="Y1498" s="896"/>
      <c r="Z1498" s="895"/>
      <c r="AA1498" s="895"/>
      <c r="AB1498" s="895"/>
      <c r="AC1498" s="898"/>
      <c r="AD1498" s="896"/>
      <c r="AE1498" s="895"/>
      <c r="AF1498" s="895"/>
      <c r="AG1498" s="895"/>
      <c r="AH1498" s="898"/>
      <c r="AI1498" s="896"/>
      <c r="AJ1498" s="895"/>
      <c r="AK1498" s="895"/>
      <c r="AL1498" s="895"/>
      <c r="AM1498" s="898"/>
      <c r="AN1498" s="896"/>
      <c r="AO1498" s="895"/>
      <c r="AP1498" s="895"/>
      <c r="AQ1498" s="897"/>
      <c r="AR1498" s="898"/>
      <c r="AS1498" s="896"/>
      <c r="AT1498" s="895"/>
      <c r="AU1498" s="895"/>
      <c r="AV1498" s="895"/>
      <c r="AW1498" s="898"/>
      <c r="AX1498" s="896"/>
      <c r="AY1498" s="895"/>
      <c r="AZ1498" s="895"/>
      <c r="BA1498" s="895"/>
      <c r="BB1498" s="898"/>
      <c r="BC1498" s="896"/>
      <c r="BD1498" s="895"/>
      <c r="BE1498" s="895"/>
      <c r="BF1498" s="895"/>
      <c r="BG1498" s="898"/>
      <c r="BH1498" s="896"/>
      <c r="BI1498" s="895"/>
      <c r="BJ1498" s="895"/>
      <c r="BK1498" s="895"/>
      <c r="BL1498" s="898"/>
      <c r="BM1498" s="895"/>
      <c r="BN1498" s="895"/>
      <c r="BO1498" s="895"/>
      <c r="BP1498" s="895"/>
      <c r="BQ1498" s="898"/>
      <c r="BR1498" s="895"/>
      <c r="BS1498" s="895"/>
      <c r="BT1498" s="895"/>
      <c r="BU1498" s="895"/>
      <c r="BV1498" s="898"/>
      <c r="BW1498" s="895"/>
      <c r="BX1498" s="895"/>
      <c r="BY1498" s="895"/>
      <c r="BZ1498" s="895"/>
      <c r="CA1498" s="898"/>
      <c r="CB1498" s="895"/>
      <c r="CC1498" s="895"/>
      <c r="CD1498" s="895"/>
      <c r="CE1498" s="895"/>
      <c r="CF1498" s="898"/>
      <c r="CG1498" s="895"/>
      <c r="CH1498" s="895"/>
      <c r="CI1498" s="895"/>
      <c r="CJ1498" s="895"/>
      <c r="CK1498" s="899"/>
      <c r="CL1498" s="1015"/>
      <c r="CM1498" s="895"/>
      <c r="CN1498" s="895"/>
      <c r="CO1498" s="895"/>
      <c r="CP1498" s="899"/>
      <c r="CQ1498" s="895"/>
      <c r="CR1498" s="895"/>
      <c r="CS1498" s="895"/>
      <c r="CT1498" s="915"/>
      <c r="CU1498" s="899"/>
      <c r="CV1498" s="895"/>
      <c r="CW1498" s="895"/>
      <c r="CX1498" s="895"/>
      <c r="CY1498" s="915"/>
      <c r="CZ1498" s="899"/>
      <c r="DA1498" s="1015"/>
      <c r="DB1498" s="895"/>
      <c r="DC1498" s="895"/>
      <c r="DD1498" s="915"/>
      <c r="DE1498" s="899"/>
      <c r="DF1498" s="1015"/>
      <c r="DG1498" s="895"/>
      <c r="DH1498" s="895"/>
      <c r="DI1498" s="915"/>
      <c r="DJ1498" s="899"/>
      <c r="DK1498" s="1015"/>
      <c r="DL1498" s="895"/>
      <c r="DM1498" s="895"/>
      <c r="DN1498" s="915"/>
      <c r="DO1498" s="899"/>
      <c r="DP1498" s="895"/>
      <c r="DQ1498" s="895"/>
      <c r="DR1498" s="895"/>
      <c r="DS1498" s="915"/>
      <c r="DT1498" s="899">
        <f>+DT1503+DT1513+DT570+DT1523+DT1555</f>
      </c>
      <c r="DU1498" s="895">
        <f>+DU1503+DU1513+DU570+DU1523+DU1555</f>
      </c>
      <c r="DV1498" s="895"/>
      <c r="DW1498" s="895"/>
      <c r="DX1498" s="915"/>
      <c r="DY1498" s="899"/>
      <c r="DZ1498" s="895"/>
      <c r="EA1498" s="895"/>
      <c r="EB1498" s="895"/>
      <c r="EC1498" s="915"/>
      <c r="ED1498" s="899"/>
      <c r="EE1498" s="1015"/>
      <c r="EF1498" s="895"/>
      <c r="EG1498" s="895"/>
      <c r="EH1498" s="915"/>
      <c r="EI1498" s="1015"/>
      <c r="EJ1498" s="899"/>
      <c r="EK1498" s="899"/>
      <c r="EL1498" s="899"/>
      <c r="EM1498" s="899"/>
      <c r="EN1498" s="899"/>
      <c r="EO1498" s="915"/>
      <c r="EP1498" s="899"/>
      <c r="EQ1498" s="899"/>
      <c r="ER1498" s="899"/>
      <c r="ES1498" s="899"/>
      <c r="ET1498" s="915"/>
      <c r="EU1498" s="899"/>
      <c r="EV1498" s="899"/>
      <c r="EW1498" s="899"/>
      <c r="EX1498" s="899"/>
    </row>
    <row r="1499" spans="1:154" hidden="1">
      <c r="B1499" s="342" t="s">
        <v>822</v>
      </c>
      <c r="C1499" s="1392"/>
      <c r="D1499" s="894"/>
      <c r="E1499" s="894"/>
      <c r="F1499" s="895"/>
      <c r="G1499" s="895"/>
      <c r="H1499" s="895"/>
      <c r="I1499" s="895"/>
      <c r="J1499" s="895"/>
      <c r="K1499" s="895"/>
      <c r="L1499" s="895"/>
      <c r="M1499" s="895"/>
      <c r="N1499" s="895"/>
      <c r="O1499" s="896"/>
      <c r="P1499" s="895"/>
      <c r="Q1499" s="895"/>
      <c r="R1499" s="895"/>
      <c r="S1499" s="895"/>
      <c r="T1499" s="896"/>
      <c r="U1499" s="895"/>
      <c r="V1499" s="895"/>
      <c r="W1499" s="895"/>
      <c r="X1499" s="898"/>
      <c r="Y1499" s="896"/>
      <c r="Z1499" s="895"/>
      <c r="AA1499" s="895"/>
      <c r="AB1499" s="895"/>
      <c r="AC1499" s="898"/>
      <c r="AD1499" s="896"/>
      <c r="AE1499" s="895"/>
      <c r="AF1499" s="895"/>
      <c r="AG1499" s="895"/>
      <c r="AH1499" s="898"/>
      <c r="AI1499" s="896"/>
      <c r="AJ1499" s="895"/>
      <c r="AK1499" s="895"/>
      <c r="AL1499" s="895"/>
      <c r="AM1499" s="898"/>
      <c r="AN1499" s="896"/>
      <c r="AO1499" s="895"/>
      <c r="AP1499" s="895"/>
      <c r="AQ1499" s="897"/>
      <c r="AR1499" s="898"/>
      <c r="AS1499" s="896"/>
      <c r="AT1499" s="895"/>
      <c r="AU1499" s="895"/>
      <c r="AV1499" s="895"/>
      <c r="AW1499" s="898"/>
      <c r="AX1499" s="896"/>
      <c r="AY1499" s="895"/>
      <c r="AZ1499" s="895"/>
      <c r="BA1499" s="895"/>
      <c r="BB1499" s="898"/>
      <c r="BC1499" s="896"/>
      <c r="BD1499" s="895"/>
      <c r="BE1499" s="895"/>
      <c r="BF1499" s="895"/>
      <c r="BG1499" s="898"/>
      <c r="BH1499" s="896"/>
      <c r="BI1499" s="895"/>
      <c r="BJ1499" s="895"/>
      <c r="BK1499" s="895"/>
      <c r="BL1499" s="898"/>
      <c r="BM1499" s="895"/>
      <c r="BN1499" s="895"/>
      <c r="BO1499" s="895"/>
      <c r="BP1499" s="895"/>
      <c r="BQ1499" s="898"/>
      <c r="BR1499" s="895"/>
      <c r="BS1499" s="895"/>
      <c r="BT1499" s="895"/>
      <c r="BU1499" s="895"/>
      <c r="BV1499" s="898"/>
      <c r="BW1499" s="895"/>
      <c r="BX1499" s="895"/>
      <c r="BY1499" s="895"/>
      <c r="BZ1499" s="895"/>
      <c r="CA1499" s="898"/>
      <c r="CB1499" s="895"/>
      <c r="CC1499" s="895"/>
      <c r="CD1499" s="895"/>
      <c r="CE1499" s="895"/>
      <c r="CF1499" s="898"/>
      <c r="CG1499" s="895"/>
      <c r="CH1499" s="895"/>
      <c r="CI1499" s="895"/>
      <c r="CJ1499" s="895"/>
      <c r="CK1499" s="899"/>
      <c r="CL1499" s="1015"/>
      <c r="CM1499" s="895"/>
      <c r="CN1499" s="895"/>
      <c r="CO1499" s="895"/>
      <c r="CP1499" s="899"/>
      <c r="CQ1499" s="895"/>
      <c r="CR1499" s="895"/>
      <c r="CS1499" s="895"/>
      <c r="CT1499" s="915"/>
      <c r="CU1499" s="899"/>
      <c r="CV1499" s="895"/>
      <c r="CW1499" s="895"/>
      <c r="CX1499" s="895"/>
      <c r="CY1499" s="915"/>
      <c r="CZ1499" s="899"/>
      <c r="DA1499" s="1015"/>
      <c r="DB1499" s="895"/>
      <c r="DC1499" s="895"/>
      <c r="DD1499" s="915"/>
      <c r="DE1499" s="899"/>
      <c r="DF1499" s="1015"/>
      <c r="DG1499" s="895"/>
      <c r="DH1499" s="895"/>
      <c r="DI1499" s="915"/>
      <c r="DJ1499" s="899"/>
      <c r="DK1499" s="1015"/>
      <c r="DL1499" s="895"/>
      <c r="DM1499" s="895"/>
      <c r="DN1499" s="915"/>
      <c r="DO1499" s="899"/>
      <c r="DP1499" s="895"/>
      <c r="DQ1499" s="895"/>
      <c r="DR1499" s="895"/>
      <c r="DS1499" s="915"/>
      <c r="DT1499" s="899">
        <f>+DT1504+DT1514+DT571+DT1524+DT1556</f>
      </c>
      <c r="DU1499" s="895">
        <f>+DU1504+DU1514+DU571+DU1524+DU1556</f>
      </c>
      <c r="DV1499" s="895"/>
      <c r="DW1499" s="895"/>
      <c r="DX1499" s="915"/>
      <c r="DY1499" s="899"/>
      <c r="DZ1499" s="895"/>
      <c r="EA1499" s="895"/>
      <c r="EB1499" s="895"/>
      <c r="EC1499" s="915"/>
      <c r="ED1499" s="899"/>
      <c r="EE1499" s="1015"/>
      <c r="EF1499" s="895"/>
      <c r="EG1499" s="895"/>
      <c r="EH1499" s="915"/>
      <c r="EI1499" s="1015"/>
      <c r="EJ1499" s="899"/>
      <c r="EK1499" s="899"/>
      <c r="EL1499" s="899"/>
      <c r="EM1499" s="899"/>
      <c r="EN1499" s="899"/>
      <c r="EO1499" s="915"/>
      <c r="EP1499" s="899"/>
      <c r="EQ1499" s="899"/>
      <c r="ER1499" s="899"/>
      <c r="ES1499" s="899"/>
      <c r="ET1499" s="915"/>
      <c r="EU1499" s="899"/>
      <c r="EV1499" s="899"/>
      <c r="EW1499" s="899"/>
      <c r="EX1499" s="899"/>
    </row>
    <row r="1500" spans="1:154">
      <c r="B1500" s="3745" t="s">
        <v>154</v>
      </c>
      <c r="C1500" s="3746"/>
      <c r="D1500" s="3747"/>
      <c r="E1500" s="3747"/>
      <c r="F1500" s="3748"/>
      <c r="G1500" s="3748"/>
      <c r="H1500" s="3748"/>
      <c r="I1500" s="3748"/>
      <c r="J1500" s="3748"/>
      <c r="K1500" s="3748"/>
      <c r="L1500" s="3748"/>
      <c r="M1500" s="3748"/>
      <c r="N1500" s="3748"/>
      <c r="O1500" s="3749"/>
      <c r="P1500" s="3748"/>
      <c r="Q1500" s="3748"/>
      <c r="R1500" s="3748"/>
      <c r="S1500" s="3748"/>
      <c r="T1500" s="3749"/>
      <c r="U1500" s="3748"/>
      <c r="V1500" s="3748"/>
      <c r="W1500" s="3748"/>
      <c r="X1500" s="3750"/>
      <c r="Y1500" s="3749"/>
      <c r="Z1500" s="3748"/>
      <c r="AA1500" s="3748"/>
      <c r="AB1500" s="3748"/>
      <c r="AC1500" s="3750"/>
      <c r="AD1500" s="3749"/>
      <c r="AE1500" s="3748"/>
      <c r="AF1500" s="3748"/>
      <c r="AG1500" s="3748"/>
      <c r="AH1500" s="3750"/>
      <c r="AI1500" s="3749"/>
      <c r="AJ1500" s="3748"/>
      <c r="AK1500" s="3748"/>
      <c r="AL1500" s="3748"/>
      <c r="AM1500" s="3750"/>
      <c r="AN1500" s="3749"/>
      <c r="AO1500" s="3748"/>
      <c r="AP1500" s="3748"/>
      <c r="AQ1500" s="3751"/>
      <c r="AR1500" s="3750"/>
      <c r="AS1500" s="3749"/>
      <c r="AT1500" s="3748"/>
      <c r="AU1500" s="3748"/>
      <c r="AV1500" s="3748"/>
      <c r="AW1500" s="3750"/>
      <c r="AX1500" s="3749"/>
      <c r="AY1500" s="3748"/>
      <c r="AZ1500" s="3748"/>
      <c r="BA1500" s="3748"/>
      <c r="BB1500" s="3750"/>
      <c r="BC1500" s="3749"/>
      <c r="BD1500" s="3748"/>
      <c r="BE1500" s="3748"/>
      <c r="BF1500" s="3748"/>
      <c r="BG1500" s="3750"/>
      <c r="BH1500" s="3749"/>
      <c r="BI1500" s="3748"/>
      <c r="BJ1500" s="3748"/>
      <c r="BK1500" s="3748"/>
      <c r="BL1500" s="3750"/>
      <c r="BM1500" s="3748"/>
      <c r="BN1500" s="3748"/>
      <c r="BO1500" s="3748"/>
      <c r="BP1500" s="3748"/>
      <c r="BQ1500" s="3750"/>
      <c r="BR1500" s="3748"/>
      <c r="BS1500" s="3748"/>
      <c r="BT1500" s="3748"/>
      <c r="BU1500" s="3748"/>
      <c r="BV1500" s="3750"/>
      <c r="BW1500" s="3748"/>
      <c r="BX1500" s="3748"/>
      <c r="BY1500" s="3748"/>
      <c r="BZ1500" s="3748"/>
      <c r="CA1500" s="3750"/>
      <c r="CB1500" s="3748"/>
      <c r="CC1500" s="3748"/>
      <c r="CD1500" s="3748"/>
      <c r="CE1500" s="3748"/>
      <c r="CF1500" s="3750"/>
      <c r="CG1500" s="3748"/>
      <c r="CH1500" s="3748"/>
      <c r="CI1500" s="3748"/>
      <c r="CJ1500" s="3748"/>
      <c r="CK1500" s="3752"/>
      <c r="CL1500" s="3753"/>
      <c r="CM1500" s="3748"/>
      <c r="CN1500" s="3748"/>
      <c r="CO1500" s="3748"/>
      <c r="CP1500" s="3752"/>
      <c r="CQ1500" s="3748"/>
      <c r="CR1500" s="3748"/>
      <c r="CS1500" s="3748"/>
      <c r="CT1500" s="3754"/>
      <c r="CU1500" s="3752"/>
      <c r="CV1500" s="3748"/>
      <c r="CW1500" s="3748"/>
      <c r="CX1500" s="3748"/>
      <c r="CY1500" s="3754"/>
      <c r="CZ1500" s="3752"/>
      <c r="DA1500" s="3753"/>
      <c r="DB1500" s="3748"/>
      <c r="DC1500" s="3748"/>
      <c r="DD1500" s="3754"/>
      <c r="DE1500" s="3752"/>
      <c r="DF1500" s="3753"/>
      <c r="DG1500" s="3748"/>
      <c r="DH1500" s="3748"/>
      <c r="DI1500" s="3754"/>
      <c r="DJ1500" s="3752"/>
      <c r="DK1500" s="3753"/>
      <c r="DL1500" s="3748"/>
      <c r="DM1500" s="3748"/>
      <c r="DN1500" s="3754"/>
      <c r="DO1500" s="3752"/>
      <c r="DP1500" s="3748"/>
      <c r="DQ1500" s="3748"/>
      <c r="DR1500" s="3748"/>
      <c r="DS1500" s="3754"/>
      <c r="DT1500" s="3752"/>
      <c r="DU1500" s="3748"/>
      <c r="DV1500" s="3748"/>
      <c r="DW1500" s="3748"/>
      <c r="DX1500" s="3754"/>
      <c r="DY1500" s="3752"/>
      <c r="DZ1500" s="3748"/>
      <c r="EA1500" s="3748"/>
      <c r="EB1500" s="3748"/>
      <c r="EC1500" s="3754"/>
      <c r="ED1500" s="3752"/>
      <c r="EE1500" s="3753"/>
      <c r="EF1500" s="3748"/>
      <c r="EG1500" s="3748"/>
      <c r="EH1500" s="3754"/>
      <c r="EI1500" s="3753"/>
      <c r="EJ1500" s="3752"/>
      <c r="EK1500" s="3752"/>
      <c r="EL1500" s="3752"/>
      <c r="EM1500" s="3752"/>
      <c r="EN1500" s="3752"/>
      <c r="EO1500" s="3754"/>
      <c r="EP1500" s="3752"/>
      <c r="EQ1500" s="3752"/>
      <c r="ER1500" s="3752"/>
      <c r="ES1500" s="3752"/>
      <c r="ET1500" s="3754"/>
      <c r="EU1500" s="3752"/>
      <c r="EV1500" s="3752"/>
      <c r="EW1500" s="3752"/>
      <c r="EX1500" s="3752"/>
    </row>
    <row r="1501" spans="1:154" outlineLevel="1">
      <c r="B1501" s="3651" t="s">
        <v>993</v>
      </c>
      <c r="C1501" s="2026"/>
      <c r="D1501" s="900"/>
      <c r="E1501" s="900"/>
      <c r="F1501" s="901"/>
      <c r="G1501" s="901"/>
      <c r="H1501" s="901"/>
      <c r="I1501" s="901"/>
      <c r="J1501" s="901"/>
      <c r="K1501" s="901"/>
      <c r="L1501" s="901"/>
      <c r="M1501" s="901"/>
      <c r="N1501" s="901"/>
      <c r="O1501" s="902"/>
      <c r="P1501" s="901"/>
      <c r="Q1501" s="901"/>
      <c r="R1501" s="901"/>
      <c r="S1501" s="901"/>
      <c r="T1501" s="902"/>
      <c r="U1501" s="901"/>
      <c r="V1501" s="901"/>
      <c r="W1501" s="901"/>
      <c r="X1501" s="905"/>
      <c r="Y1501" s="902"/>
      <c r="Z1501" s="901"/>
      <c r="AA1501" s="901"/>
      <c r="AB1501" s="901"/>
      <c r="AC1501" s="905"/>
      <c r="AD1501" s="902"/>
      <c r="AE1501" s="901"/>
      <c r="AF1501" s="901"/>
      <c r="AG1501" s="901"/>
      <c r="AH1501" s="905"/>
      <c r="AI1501" s="902"/>
      <c r="AJ1501" s="901"/>
      <c r="AK1501" s="901"/>
      <c r="AL1501" s="901"/>
      <c r="AM1501" s="905"/>
      <c r="AN1501" s="902"/>
      <c r="AO1501" s="901"/>
      <c r="AP1501" s="901"/>
      <c r="AQ1501" s="903"/>
      <c r="AR1501" s="905"/>
      <c r="AS1501" s="902"/>
      <c r="AT1501" s="901"/>
      <c r="AU1501" s="901"/>
      <c r="AV1501" s="901"/>
      <c r="AW1501" s="905"/>
      <c r="AX1501" s="902"/>
      <c r="AY1501" s="901"/>
      <c r="AZ1501" s="901"/>
      <c r="BA1501" s="901"/>
      <c r="BB1501" s="905"/>
      <c r="BC1501" s="902"/>
      <c r="BD1501" s="901"/>
      <c r="BE1501" s="901"/>
      <c r="BF1501" s="901"/>
      <c r="BG1501" s="905"/>
      <c r="BH1501" s="902"/>
      <c r="BI1501" s="901"/>
      <c r="BJ1501" s="901"/>
      <c r="BK1501" s="901"/>
      <c r="BL1501" s="905"/>
      <c r="BM1501" s="901"/>
      <c r="BN1501" s="901"/>
      <c r="BO1501" s="901"/>
      <c r="BP1501" s="901"/>
      <c r="BQ1501" s="905"/>
      <c r="BR1501" s="901"/>
      <c r="BS1501" s="901"/>
      <c r="BT1501" s="901"/>
      <c r="BU1501" s="901"/>
      <c r="BV1501" s="905"/>
      <c r="BW1501" s="901"/>
      <c r="BX1501" s="901"/>
      <c r="BY1501" s="901"/>
      <c r="BZ1501" s="901"/>
      <c r="CA1501" s="905"/>
      <c r="CB1501" s="901"/>
      <c r="CC1501" s="901"/>
      <c r="CD1501" s="901"/>
      <c r="CE1501" s="901"/>
      <c r="CF1501" s="905"/>
      <c r="CG1501" s="901"/>
      <c r="CH1501" s="901"/>
      <c r="CI1501" s="901"/>
      <c r="CJ1501" s="901"/>
      <c r="CK1501" s="905"/>
      <c r="CL1501" s="1016"/>
      <c r="CM1501" s="901"/>
      <c r="CN1501" s="901"/>
      <c r="CO1501" s="901"/>
      <c r="CP1501" s="905"/>
      <c r="CQ1501" s="901"/>
      <c r="CR1501" s="901"/>
      <c r="CS1501" s="901"/>
      <c r="CT1501" s="1017"/>
      <c r="CU1501" s="905"/>
      <c r="CV1501" s="901"/>
      <c r="CW1501" s="901"/>
      <c r="CX1501" s="901"/>
      <c r="CY1501" s="1017"/>
      <c r="CZ1501" s="905"/>
      <c r="DA1501" s="1016"/>
      <c r="DB1501" s="901"/>
      <c r="DC1501" s="901"/>
      <c r="DD1501" s="1017"/>
      <c r="DE1501" s="905"/>
      <c r="DF1501" s="1016"/>
      <c r="DG1501" s="901"/>
      <c r="DH1501" s="901"/>
      <c r="DI1501" s="1017"/>
      <c r="DJ1501" s="905"/>
      <c r="DK1501" s="1016"/>
      <c r="DL1501" s="901"/>
      <c r="DM1501" s="901"/>
      <c r="DN1501" s="1017"/>
      <c r="DO1501" s="905"/>
      <c r="DP1501" s="901"/>
      <c r="DQ1501" s="901"/>
      <c r="DR1501" s="901"/>
      <c r="DS1501" s="1017"/>
      <c r="DT1501" s="905"/>
      <c r="DU1501" s="901"/>
      <c r="DV1501" s="901"/>
      <c r="DW1501" s="901"/>
      <c r="DX1501" s="1017"/>
      <c r="DY1501" s="905"/>
      <c r="DZ1501" s="901"/>
      <c r="EA1501" s="901"/>
      <c r="EB1501" s="901"/>
      <c r="EC1501" s="1017"/>
      <c r="ED1501" s="905"/>
      <c r="EE1501" s="1016"/>
      <c r="EF1501" s="901"/>
      <c r="EG1501" s="901"/>
      <c r="EH1501" s="1017"/>
      <c r="EI1501" s="1016"/>
      <c r="EJ1501" s="905"/>
      <c r="EK1501" s="905"/>
      <c r="EL1501" s="905"/>
      <c r="EM1501" s="905"/>
      <c r="EN1501" s="905"/>
      <c r="EO1501" s="1017"/>
      <c r="EP1501" s="905"/>
      <c r="EQ1501" s="905"/>
      <c r="ER1501" s="905"/>
      <c r="ES1501" s="905"/>
      <c r="ET1501" s="1017"/>
      <c r="EU1501" s="905"/>
      <c r="EV1501" s="905"/>
      <c r="EW1501" s="905"/>
      <c r="EX1501" s="899"/>
    </row>
    <row r="1502" spans="1:154" outlineLevel="1">
      <c r="B1502" s="3657" t="s">
        <v>808</v>
      </c>
      <c r="C1502" s="2026" t="s">
        <v>636</v>
      </c>
      <c r="D1502" s="900"/>
      <c r="E1502" s="900"/>
      <c r="F1502" s="901"/>
      <c r="G1502" s="901"/>
      <c r="H1502" s="901"/>
      <c r="I1502" s="901"/>
      <c r="J1502" s="901"/>
      <c r="K1502" s="901"/>
      <c r="L1502" s="901"/>
      <c r="M1502" s="901"/>
      <c r="N1502" s="901"/>
      <c r="O1502" s="902"/>
      <c r="P1502" s="901"/>
      <c r="Q1502" s="901"/>
      <c r="R1502" s="901"/>
      <c r="S1502" s="901"/>
      <c r="T1502" s="902"/>
      <c r="U1502" s="901"/>
      <c r="V1502" s="901"/>
      <c r="W1502" s="901"/>
      <c r="X1502" s="904"/>
      <c r="Y1502" s="902"/>
      <c r="Z1502" s="901"/>
      <c r="AA1502" s="901"/>
      <c r="AB1502" s="901"/>
      <c r="AC1502" s="904"/>
      <c r="AD1502" s="902"/>
      <c r="AE1502" s="901"/>
      <c r="AF1502" s="901"/>
      <c r="AG1502" s="901"/>
      <c r="AH1502" s="904"/>
      <c r="AI1502" s="902"/>
      <c r="AJ1502" s="901"/>
      <c r="AK1502" s="901"/>
      <c r="AL1502" s="901"/>
      <c r="AM1502" s="904"/>
      <c r="AN1502" s="902"/>
      <c r="AO1502" s="901"/>
      <c r="AP1502" s="901"/>
      <c r="AQ1502" s="903"/>
      <c r="AR1502" s="904"/>
      <c r="AS1502" s="902"/>
      <c r="AT1502" s="901"/>
      <c r="AU1502" s="901"/>
      <c r="AV1502" s="901"/>
      <c r="AW1502" s="904"/>
      <c r="AX1502" s="902"/>
      <c r="AY1502" s="901"/>
      <c r="AZ1502" s="901"/>
      <c r="BA1502" s="901"/>
      <c r="BB1502" s="904"/>
      <c r="BC1502" s="902"/>
      <c r="BD1502" s="901"/>
      <c r="BE1502" s="901"/>
      <c r="BF1502" s="901"/>
      <c r="BG1502" s="904"/>
      <c r="BH1502" s="902"/>
      <c r="BI1502" s="901"/>
      <c r="BJ1502" s="901"/>
      <c r="BK1502" s="901"/>
      <c r="BL1502" s="904"/>
      <c r="BM1502" s="901"/>
      <c r="BN1502" s="901"/>
      <c r="BO1502" s="901"/>
      <c r="BP1502" s="901"/>
      <c r="BQ1502" s="904"/>
      <c r="BR1502" s="901"/>
      <c r="BS1502" s="901"/>
      <c r="BT1502" s="901"/>
      <c r="BU1502" s="901"/>
      <c r="BV1502" s="904"/>
      <c r="BW1502" s="901"/>
      <c r="BX1502" s="901"/>
      <c r="BY1502" s="901"/>
      <c r="BZ1502" s="901"/>
      <c r="CA1502" s="904"/>
      <c r="CB1502" s="901"/>
      <c r="CC1502" s="901"/>
      <c r="CD1502" s="901"/>
      <c r="CE1502" s="901"/>
      <c r="CF1502" s="904"/>
      <c r="CG1502" s="901"/>
      <c r="CH1502" s="901"/>
      <c r="CI1502" s="901"/>
      <c r="CJ1502" s="901"/>
      <c r="CK1502" s="905"/>
      <c r="CL1502" s="1016"/>
      <c r="CM1502" s="901"/>
      <c r="CN1502" s="901"/>
      <c r="CO1502" s="901"/>
      <c r="CP1502" s="905"/>
      <c r="CQ1502" s="901"/>
      <c r="CR1502" s="901"/>
      <c r="CS1502" s="901"/>
      <c r="CT1502" s="1017"/>
      <c r="CU1502" s="905"/>
      <c r="CV1502" s="901"/>
      <c r="CW1502" s="901"/>
      <c r="CX1502" s="901"/>
      <c r="CY1502" s="1017"/>
      <c r="CZ1502" s="905"/>
      <c r="DA1502" s="1016"/>
      <c r="DB1502" s="901"/>
      <c r="DC1502" s="901"/>
      <c r="DD1502" s="1017"/>
      <c r="DE1502" s="905"/>
      <c r="DF1502" s="1016"/>
      <c r="DG1502" s="901"/>
      <c r="DH1502" s="901"/>
      <c r="DI1502" s="1017"/>
      <c r="DJ1502" s="905"/>
      <c r="DK1502" s="1016"/>
      <c r="DL1502" s="901"/>
      <c r="DM1502" s="901"/>
      <c r="DN1502" s="1017"/>
      <c r="DO1502" s="905"/>
      <c r="DP1502" s="901"/>
      <c r="DQ1502" s="901"/>
      <c r="DR1502" s="901"/>
      <c r="DS1502" s="1017"/>
      <c r="DT1502" s="905"/>
      <c r="DU1502" s="901"/>
      <c r="DV1502" s="901"/>
      <c r="DW1502" s="901"/>
      <c r="DX1502" s="1017"/>
      <c r="DY1502" s="905"/>
      <c r="DZ1502" s="901"/>
      <c r="EA1502" s="901"/>
      <c r="EB1502" s="901"/>
      <c r="EC1502" s="1017"/>
      <c r="ED1502" s="905"/>
      <c r="EE1502" s="1016"/>
      <c r="EF1502" s="901"/>
      <c r="EG1502" s="901"/>
      <c r="EH1502" s="1017"/>
      <c r="EI1502" s="1016"/>
      <c r="EJ1502" s="905"/>
      <c r="EK1502" s="905"/>
      <c r="EL1502" s="905"/>
      <c r="EM1502" s="905"/>
      <c r="EN1502" s="905"/>
      <c r="EO1502" s="1017"/>
      <c r="EP1502" s="905"/>
      <c r="EQ1502" s="905"/>
      <c r="ER1502" s="905"/>
      <c r="ES1502" s="905"/>
      <c r="ET1502" s="1017"/>
      <c r="EU1502" s="905"/>
      <c r="EV1502" s="905"/>
      <c r="EW1502" s="905"/>
      <c r="EX1502" s="899"/>
    </row>
    <row r="1503" spans="1:154" outlineLevel="1">
      <c r="B1503" s="3666" t="s">
        <v>153</v>
      </c>
      <c r="C1503" s="2026" t="s">
        <v>655</v>
      </c>
      <c r="D1503" s="900"/>
      <c r="E1503" s="900"/>
      <c r="F1503" s="901"/>
      <c r="G1503" s="901"/>
      <c r="H1503" s="901"/>
      <c r="I1503" s="901"/>
      <c r="J1503" s="901"/>
      <c r="K1503" s="901"/>
      <c r="L1503" s="901"/>
      <c r="M1503" s="901"/>
      <c r="N1503" s="901"/>
      <c r="O1503" s="902"/>
      <c r="P1503" s="901"/>
      <c r="Q1503" s="901"/>
      <c r="R1503" s="901"/>
      <c r="S1503" s="901"/>
      <c r="T1503" s="902"/>
      <c r="U1503" s="901"/>
      <c r="V1503" s="901"/>
      <c r="W1503" s="901"/>
      <c r="X1503" s="905"/>
      <c r="Y1503" s="902"/>
      <c r="Z1503" s="901"/>
      <c r="AA1503" s="901"/>
      <c r="AB1503" s="901"/>
      <c r="AC1503" s="905"/>
      <c r="AD1503" s="902"/>
      <c r="AE1503" s="901"/>
      <c r="AF1503" s="901"/>
      <c r="AG1503" s="901"/>
      <c r="AH1503" s="905"/>
      <c r="AI1503" s="902"/>
      <c r="AJ1503" s="901"/>
      <c r="AK1503" s="901"/>
      <c r="AL1503" s="901"/>
      <c r="AM1503" s="905"/>
      <c r="AN1503" s="902"/>
      <c r="AO1503" s="901"/>
      <c r="AP1503" s="901"/>
      <c r="AQ1503" s="903"/>
      <c r="AR1503" s="905"/>
      <c r="AS1503" s="902"/>
      <c r="AT1503" s="901"/>
      <c r="AU1503" s="901"/>
      <c r="AV1503" s="901"/>
      <c r="AW1503" s="905"/>
      <c r="AX1503" s="902"/>
      <c r="AY1503" s="901"/>
      <c r="AZ1503" s="901"/>
      <c r="BA1503" s="901"/>
      <c r="BB1503" s="905"/>
      <c r="BC1503" s="902"/>
      <c r="BD1503" s="901"/>
      <c r="BE1503" s="901"/>
      <c r="BF1503" s="901"/>
      <c r="BG1503" s="905"/>
      <c r="BH1503" s="902"/>
      <c r="BI1503" s="901"/>
      <c r="BJ1503" s="901"/>
      <c r="BK1503" s="901"/>
      <c r="BL1503" s="905"/>
      <c r="BM1503" s="901"/>
      <c r="BN1503" s="3652"/>
      <c r="BO1503" s="901"/>
      <c r="BP1503" s="901"/>
      <c r="BQ1503" s="905"/>
      <c r="BR1503" s="901"/>
      <c r="BS1503" s="3652"/>
      <c r="BT1503" s="901"/>
      <c r="BU1503" s="901"/>
      <c r="BV1503" s="905"/>
      <c r="BW1503" s="3652"/>
      <c r="BX1503" s="3652"/>
      <c r="BY1503" s="3652"/>
      <c r="BZ1503" s="3652"/>
      <c r="CA1503" s="905"/>
      <c r="CB1503" s="3652"/>
      <c r="CC1503" s="901"/>
      <c r="CD1503" s="3652"/>
      <c r="CE1503" s="3652"/>
      <c r="CF1503" s="905"/>
      <c r="CG1503" s="3652"/>
      <c r="CH1503" s="3652"/>
      <c r="CI1503" s="3652"/>
      <c r="CJ1503" s="3652"/>
      <c r="CK1503" s="905"/>
      <c r="CL1503" s="1016"/>
      <c r="CM1503" s="901"/>
      <c r="CN1503" s="901"/>
      <c r="CO1503" s="3652"/>
      <c r="CP1503" s="3667"/>
      <c r="CQ1503" s="901"/>
      <c r="CR1503" s="901"/>
      <c r="CS1503" s="901"/>
      <c r="CT1503" s="1017"/>
      <c r="CU1503" s="3667"/>
      <c r="CV1503" s="901"/>
      <c r="CW1503" s="901"/>
      <c r="CX1503" s="901"/>
      <c r="CY1503" s="1017"/>
      <c r="CZ1503" s="3667"/>
      <c r="DA1503" s="3733">
        <v>0</v>
      </c>
      <c r="DB1503" s="3652">
        <v>0</v>
      </c>
      <c r="DC1503" s="3652">
        <v>15</v>
      </c>
      <c r="DD1503" s="1017">
        <f>+DE1503-SUM(DA1503:DC1503)</f>
      </c>
      <c r="DE1503" s="3667">
        <v>50</v>
      </c>
      <c r="DF1503" s="3733">
        <v>10</v>
      </c>
      <c r="DG1503" s="3652">
        <v>15</v>
      </c>
      <c r="DH1503" s="3652">
        <v>15</v>
      </c>
      <c r="DI1503" s="1017">
        <f>+DJ1503-SUM(DF1503:DH1503)</f>
      </c>
      <c r="DJ1503" s="3667">
        <v>60</v>
      </c>
      <c r="DK1503" s="3733">
        <v>10</v>
      </c>
      <c r="DL1503" s="3652">
        <f>$DO1503/4</f>
      </c>
      <c r="DM1503" s="3652">
        <f>$DO1503/4</f>
      </c>
      <c r="DN1503" s="1017">
        <f>DO1503-SUM(DK1503:DM1503)</f>
      </c>
      <c r="DO1503" s="3667">
        <v>127</v>
      </c>
      <c r="DP1503" s="3734">
        <f>($DT1503*0.235)*0.5</f>
      </c>
      <c r="DQ1503" s="3734">
        <f>($DT1503*0.245)*0.5</f>
      </c>
      <c r="DR1503" s="3734">
        <f>($DT1503*0.255)*0.5</f>
      </c>
      <c r="DS1503" s="3735">
        <f>DT1503-SUM(DP1503:DR1503)</f>
      </c>
      <c r="DT1503" s="3669">
        <v>100</v>
      </c>
      <c r="DU1503" s="3674">
        <f>($DT1503*0.235)*0.5</f>
      </c>
      <c r="DV1503" s="3674">
        <f>($DT1503*0.245)*0.5</f>
      </c>
      <c r="DW1503" s="3674">
        <f>($DT1503*0.255)*0.5</f>
      </c>
      <c r="DX1503" s="3677">
        <f>DY1503-SUM(DU1503:DW1503)</f>
      </c>
      <c r="DY1503" s="3669">
        <v>80</v>
      </c>
      <c r="DZ1503" s="3674">
        <f>($ED1503*0.245)</f>
      </c>
      <c r="EA1503" s="3674">
        <f>($ED1503*0.245)</f>
      </c>
      <c r="EB1503" s="3674">
        <f>($ED1503*0.255)</f>
      </c>
      <c r="EC1503" s="3677">
        <f>ED1503-SUM(DZ1503:EB1503)</f>
      </c>
      <c r="ED1503" s="3669">
        <v>200</v>
      </c>
      <c r="EE1503" s="3670">
        <f>($ED1503*0.255)</f>
      </c>
      <c r="EF1503" s="3671">
        <f>($ED1503*0.255)</f>
      </c>
      <c r="EG1503" s="3671">
        <f>($ED1503*0.255)</f>
      </c>
      <c r="EH1503" s="3677">
        <f>EI1503-SUM(EE1503:EG1503)</f>
      </c>
      <c r="EI1503" s="3670">
        <v>225</v>
      </c>
      <c r="EJ1503" s="3669">
        <v>225</v>
      </c>
      <c r="EK1503" s="3669">
        <v>225</v>
      </c>
      <c r="EL1503" s="3669">
        <v>225</v>
      </c>
      <c r="EM1503" s="3669">
        <v>225</v>
      </c>
      <c r="EN1503" s="3669">
        <v>225</v>
      </c>
      <c r="EO1503" s="3736">
        <v>225</v>
      </c>
      <c r="EP1503" s="3736">
        <v>225</v>
      </c>
      <c r="EQ1503" s="3736">
        <v>225</v>
      </c>
      <c r="ER1503" s="3669">
        <v>225</v>
      </c>
      <c r="ES1503" s="3667"/>
      <c r="ET1503" s="3668"/>
      <c r="EU1503" s="3668"/>
      <c r="EV1503" s="3668"/>
      <c r="EW1503" s="3668"/>
      <c r="EX1503" s="1021"/>
    </row>
    <row r="1504" spans="1:154" outlineLevel="1">
      <c r="B1504" s="3666" t="s">
        <v>235</v>
      </c>
      <c r="C1504" s="2026"/>
      <c r="D1504" s="900"/>
      <c r="E1504" s="900"/>
      <c r="F1504" s="901"/>
      <c r="G1504" s="901"/>
      <c r="H1504" s="901"/>
      <c r="I1504" s="901"/>
      <c r="J1504" s="901"/>
      <c r="K1504" s="901"/>
      <c r="L1504" s="901"/>
      <c r="M1504" s="901"/>
      <c r="N1504" s="901"/>
      <c r="O1504" s="902"/>
      <c r="P1504" s="901"/>
      <c r="Q1504" s="901"/>
      <c r="R1504" s="901"/>
      <c r="S1504" s="901"/>
      <c r="T1504" s="902"/>
      <c r="U1504" s="901"/>
      <c r="V1504" s="901"/>
      <c r="W1504" s="901"/>
      <c r="X1504" s="905"/>
      <c r="Y1504" s="902"/>
      <c r="Z1504" s="901"/>
      <c r="AA1504" s="901"/>
      <c r="AB1504" s="901"/>
      <c r="AC1504" s="905"/>
      <c r="AD1504" s="902"/>
      <c r="AE1504" s="901"/>
      <c r="AF1504" s="901"/>
      <c r="AG1504" s="901"/>
      <c r="AH1504" s="905"/>
      <c r="AI1504" s="902"/>
      <c r="AJ1504" s="901"/>
      <c r="AK1504" s="901"/>
      <c r="AL1504" s="901"/>
      <c r="AM1504" s="905"/>
      <c r="AN1504" s="902"/>
      <c r="AO1504" s="901"/>
      <c r="AP1504" s="901"/>
      <c r="AQ1504" s="903"/>
      <c r="AR1504" s="905"/>
      <c r="AS1504" s="902"/>
      <c r="AT1504" s="901"/>
      <c r="AU1504" s="901"/>
      <c r="AV1504" s="901"/>
      <c r="AW1504" s="905"/>
      <c r="AX1504" s="902"/>
      <c r="AY1504" s="901"/>
      <c r="AZ1504" s="901"/>
      <c r="BA1504" s="901"/>
      <c r="BB1504" s="905"/>
      <c r="BC1504" s="902"/>
      <c r="BD1504" s="901"/>
      <c r="BE1504" s="901"/>
      <c r="BF1504" s="901"/>
      <c r="BG1504" s="905"/>
      <c r="BH1504" s="902"/>
      <c r="BI1504" s="901"/>
      <c r="BJ1504" s="901"/>
      <c r="BK1504" s="901"/>
      <c r="BL1504" s="905"/>
      <c r="BM1504" s="901"/>
      <c r="BN1504" s="3652"/>
      <c r="BO1504" s="901"/>
      <c r="BP1504" s="901"/>
      <c r="BQ1504" s="905"/>
      <c r="BR1504" s="901"/>
      <c r="BS1504" s="3652"/>
      <c r="BT1504" s="901"/>
      <c r="BU1504" s="901"/>
      <c r="BV1504" s="905"/>
      <c r="BW1504" s="3652"/>
      <c r="BX1504" s="3652"/>
      <c r="BY1504" s="3652"/>
      <c r="BZ1504" s="3652"/>
      <c r="CA1504" s="905"/>
      <c r="CB1504" s="3652"/>
      <c r="CC1504" s="901"/>
      <c r="CD1504" s="3652"/>
      <c r="CE1504" s="3652"/>
      <c r="CF1504" s="905"/>
      <c r="CG1504" s="3652"/>
      <c r="CH1504" s="3652"/>
      <c r="CI1504" s="3652"/>
      <c r="CJ1504" s="3652"/>
      <c r="CK1504" s="905"/>
      <c r="CL1504" s="1016"/>
      <c r="CM1504" s="901"/>
      <c r="CN1504" s="901"/>
      <c r="CO1504" s="3652"/>
      <c r="CP1504" s="3667"/>
      <c r="CQ1504" s="901"/>
      <c r="CR1504" s="901"/>
      <c r="CS1504" s="901"/>
      <c r="CT1504" s="1017"/>
      <c r="CU1504" s="3667"/>
      <c r="CV1504" s="901"/>
      <c r="CW1504" s="901"/>
      <c r="CX1504" s="901"/>
      <c r="CY1504" s="1017"/>
      <c r="CZ1504" s="3667"/>
      <c r="DA1504" s="3733"/>
      <c r="DB1504" s="3652"/>
      <c r="DC1504" s="3652"/>
      <c r="DD1504" s="1017">
        <f>+DE1504-SUM(DA1504:DC1504)</f>
      </c>
      <c r="DE1504" s="3667"/>
      <c r="DF1504" s="3733"/>
      <c r="DG1504" s="3652"/>
      <c r="DH1504" s="3652"/>
      <c r="DI1504" s="1017">
        <f>+DJ1504-SUM(DF1504:DH1504)</f>
      </c>
      <c r="DJ1504" s="3667">
        <v>0</v>
      </c>
      <c r="DK1504" s="3733">
        <v>0</v>
      </c>
      <c r="DL1504" s="3652">
        <f>$DO1504/4</f>
      </c>
      <c r="DM1504" s="3652">
        <f>$DO1504/4</f>
      </c>
      <c r="DN1504" s="1017">
        <f>DO1504-SUM(DK1504:DM1504)</f>
      </c>
      <c r="DO1504" s="3667">
        <v>75</v>
      </c>
      <c r="DP1504" s="3734">
        <f>($DT1504*0.235)*0.5</f>
      </c>
      <c r="DQ1504" s="3734">
        <f>($DT1504*0.245)*0.5</f>
      </c>
      <c r="DR1504" s="3734">
        <f>($DT1504*0.255)*0.5</f>
      </c>
      <c r="DS1504" s="3735">
        <f>DT1504-SUM(DP1504:DR1504)</f>
      </c>
      <c r="DT1504" s="3669">
        <v>62.5</v>
      </c>
      <c r="DU1504" s="3674">
        <f>($DT1504*0.235)*0.5</f>
      </c>
      <c r="DV1504" s="3674">
        <f>($DT1504*0.245)*0.5</f>
      </c>
      <c r="DW1504" s="3674">
        <f>($DT1504*0.255)*0.5</f>
      </c>
      <c r="DX1504" s="3677">
        <f>DY1504-SUM(DU1504:DW1504)</f>
      </c>
      <c r="DY1504" s="3669">
        <v>50</v>
      </c>
      <c r="DZ1504" s="3674">
        <f>($DT1504*0.245)*0.5</f>
      </c>
      <c r="EA1504" s="3674">
        <f>($DT1504*0.245)*0.5</f>
      </c>
      <c r="EB1504" s="3674">
        <f>($DT1504*0.255)*0.5</f>
      </c>
      <c r="EC1504" s="3677">
        <f>ED1504-SUM(DZ1504:EB1504)</f>
      </c>
      <c r="ED1504" s="3669">
        <v>100</v>
      </c>
      <c r="EE1504" s="3670">
        <f>($DT1504*0.255)*0.5</f>
      </c>
      <c r="EF1504" s="3671">
        <f>($DT1504*0.255)*0.5</f>
      </c>
      <c r="EG1504" s="3671">
        <f>($DT1504*0.255)*0.5</f>
      </c>
      <c r="EH1504" s="3677">
        <f>EI1504-SUM(EE1504:EG1504)</f>
      </c>
      <c r="EI1504" s="3670">
        <v>125</v>
      </c>
      <c r="EJ1504" s="3669">
        <v>125</v>
      </c>
      <c r="EK1504" s="3669">
        <v>125</v>
      </c>
      <c r="EL1504" s="3669">
        <v>125</v>
      </c>
      <c r="EM1504" s="3669">
        <v>125</v>
      </c>
      <c r="EN1504" s="3669">
        <v>125</v>
      </c>
      <c r="EO1504" s="3736">
        <v>125</v>
      </c>
      <c r="EP1504" s="3736">
        <v>125</v>
      </c>
      <c r="EQ1504" s="3736">
        <v>125</v>
      </c>
      <c r="ER1504" s="3669">
        <v>125</v>
      </c>
      <c r="ES1504" s="3667"/>
      <c r="ET1504" s="3668"/>
      <c r="EU1504" s="3668"/>
      <c r="EV1504" s="3668"/>
      <c r="EW1504" s="3668"/>
      <c r="EX1504" s="1021"/>
    </row>
    <row r="1505" spans="1:154" outlineLevel="1">
      <c r="B1505" s="3666" t="s">
        <v>188</v>
      </c>
      <c r="C1505" s="2026"/>
      <c r="D1505" s="900"/>
      <c r="E1505" s="900"/>
      <c r="F1505" s="901"/>
      <c r="G1505" s="901"/>
      <c r="H1505" s="901"/>
      <c r="I1505" s="901"/>
      <c r="J1505" s="901"/>
      <c r="K1505" s="901"/>
      <c r="L1505" s="901"/>
      <c r="M1505" s="901"/>
      <c r="N1505" s="901"/>
      <c r="O1505" s="902"/>
      <c r="P1505" s="901"/>
      <c r="Q1505" s="901"/>
      <c r="R1505" s="901"/>
      <c r="S1505" s="901"/>
      <c r="T1505" s="902"/>
      <c r="U1505" s="901"/>
      <c r="V1505" s="901"/>
      <c r="W1505" s="901"/>
      <c r="X1505" s="905"/>
      <c r="Y1505" s="902"/>
      <c r="Z1505" s="901"/>
      <c r="AA1505" s="901"/>
      <c r="AB1505" s="901"/>
      <c r="AC1505" s="905"/>
      <c r="AD1505" s="902"/>
      <c r="AE1505" s="901"/>
      <c r="AF1505" s="901"/>
      <c r="AG1505" s="901"/>
      <c r="AH1505" s="905"/>
      <c r="AI1505" s="902"/>
      <c r="AJ1505" s="901"/>
      <c r="AK1505" s="901"/>
      <c r="AL1505" s="901"/>
      <c r="AM1505" s="905"/>
      <c r="AN1505" s="902"/>
      <c r="AO1505" s="901"/>
      <c r="AP1505" s="901"/>
      <c r="AQ1505" s="903"/>
      <c r="AR1505" s="905"/>
      <c r="AS1505" s="902"/>
      <c r="AT1505" s="901"/>
      <c r="AU1505" s="901"/>
      <c r="AV1505" s="901"/>
      <c r="AW1505" s="905"/>
      <c r="AX1505" s="902"/>
      <c r="AY1505" s="901"/>
      <c r="AZ1505" s="901"/>
      <c r="BA1505" s="901"/>
      <c r="BB1505" s="905"/>
      <c r="BC1505" s="902"/>
      <c r="BD1505" s="901"/>
      <c r="BE1505" s="901"/>
      <c r="BF1505" s="901"/>
      <c r="BG1505" s="905"/>
      <c r="BH1505" s="902"/>
      <c r="BI1505" s="901"/>
      <c r="BJ1505" s="901"/>
      <c r="BK1505" s="901"/>
      <c r="BL1505" s="905"/>
      <c r="BM1505" s="901"/>
      <c r="BN1505" s="901"/>
      <c r="BO1505" s="901"/>
      <c r="BP1505" s="901"/>
      <c r="BQ1505" s="905"/>
      <c r="BR1505" s="901"/>
      <c r="BS1505" s="901"/>
      <c r="BT1505" s="901"/>
      <c r="BU1505" s="901"/>
      <c r="BV1505" s="905"/>
      <c r="BW1505" s="901"/>
      <c r="BX1505" s="901"/>
      <c r="BY1505" s="901"/>
      <c r="BZ1505" s="901"/>
      <c r="CA1505" s="905"/>
      <c r="CB1505" s="901"/>
      <c r="CC1505" s="901"/>
      <c r="CD1505" s="901"/>
      <c r="CE1505" s="901"/>
      <c r="CF1505" s="905"/>
      <c r="CG1505" s="901"/>
      <c r="CH1505" s="901"/>
      <c r="CI1505" s="901"/>
      <c r="CJ1505" s="901"/>
      <c r="CK1505" s="905"/>
      <c r="CL1505" s="1016"/>
      <c r="CM1505" s="901"/>
      <c r="CN1505" s="901"/>
      <c r="CO1505" s="901"/>
      <c r="CP1505" s="905"/>
      <c r="CQ1505" s="901"/>
      <c r="CR1505" s="901"/>
      <c r="CS1505" s="901"/>
      <c r="CT1505" s="1017"/>
      <c r="CU1505" s="905"/>
      <c r="CV1505" s="901"/>
      <c r="CW1505" s="901"/>
      <c r="CX1505" s="901"/>
      <c r="CY1505" s="1017"/>
      <c r="CZ1505" s="905">
        <f>CZ1503+CZ1504</f>
      </c>
      <c r="DA1505" s="901">
        <f>SUM(DA1503:DA1504)</f>
      </c>
      <c r="DB1505" s="901">
        <f>SUM(DB1503:DB1504)</f>
      </c>
      <c r="DC1505" s="901">
        <f>SUM(DC1503:DC1504)</f>
      </c>
      <c r="DD1505" s="1017">
        <f>SUM(DD1503:DD1504)</f>
      </c>
      <c r="DE1505" s="905">
        <f>DE1503+DE1504</f>
      </c>
      <c r="DF1505" s="901">
        <f>SUM(DF1503:DF1504)</f>
      </c>
      <c r="DG1505" s="901">
        <f>SUM(DG1503:DG1504)</f>
      </c>
      <c r="DH1505" s="901">
        <f>SUM(DH1503:DH1504)</f>
      </c>
      <c r="DI1505" s="1017">
        <f>SUM(DI1503:DI1504)</f>
      </c>
      <c r="DJ1505" s="905">
        <f>DJ1503+DJ1504</f>
      </c>
      <c r="DK1505" s="901">
        <f>SUM(DK1503:DK1504)</f>
      </c>
      <c r="DL1505" s="901">
        <f>SUM(DL1503:DL1504)</f>
      </c>
      <c r="DM1505" s="901">
        <f>SUM(DM1503:DM1504)</f>
      </c>
      <c r="DN1505" s="1017">
        <f>SUM(DN1503:DN1504)</f>
      </c>
      <c r="DO1505" s="905">
        <f>DO1503+DO1504</f>
      </c>
      <c r="DP1505" s="3737">
        <f>SUM(DP1503:DP1504)</f>
      </c>
      <c r="DQ1505" s="3737">
        <f>SUM(DQ1503:DQ1504)</f>
      </c>
      <c r="DR1505" s="3737">
        <f>SUM(DR1503:DR1504)</f>
      </c>
      <c r="DS1505" s="3735">
        <f>SUM(DS1503:DS1504)</f>
      </c>
      <c r="DT1505" s="3672">
        <f>DT1503+DT1504</f>
      </c>
      <c r="DU1505" s="3674">
        <f>SUM(DU1503:DU1504)</f>
      </c>
      <c r="DV1505" s="3674">
        <f>SUM(DV1503:DV1504)</f>
      </c>
      <c r="DW1505" s="3674">
        <f>SUM(DW1503:DW1504)</f>
      </c>
      <c r="DX1505" s="3677">
        <f>SUM(DX1503:DX1504)</f>
      </c>
      <c r="DY1505" s="3672">
        <f>DY1503+DY1504</f>
      </c>
      <c r="DZ1505" s="3674">
        <f>SUM(DZ1503:DZ1504)</f>
      </c>
      <c r="EA1505" s="3674">
        <f>SUM(EA1503:EA1504)</f>
      </c>
      <c r="EB1505" s="3674">
        <f>SUM(EB1503:EB1504)</f>
      </c>
      <c r="EC1505" s="3677">
        <f>SUM(EC1503:EC1504)</f>
      </c>
      <c r="ED1505" s="3672">
        <f>ED1503+ED1504</f>
      </c>
      <c r="EE1505" s="3673">
        <f>SUM(EE1503:EE1504)</f>
      </c>
      <c r="EF1505" s="3674">
        <f>SUM(EF1503:EF1504)</f>
      </c>
      <c r="EG1505" s="3674">
        <f>SUM(EG1503:EG1504)</f>
      </c>
      <c r="EH1505" s="3677">
        <f>SUM(EH1503:EH1504)</f>
      </c>
      <c r="EI1505" s="3673">
        <f>EI1503+EI1504</f>
      </c>
      <c r="EJ1505" s="3672">
        <f t="shared" ref="EJ1505:ER1505" si="2937">EJ1503+EJ1504</f>
      </c>
      <c r="EK1505" s="3672">
        <f t="shared" si="2937"/>
      </c>
      <c r="EL1505" s="3672">
        <f t="shared" si="2937"/>
      </c>
      <c r="EM1505" s="3672">
        <f t="shared" si="2937"/>
      </c>
      <c r="EN1505" s="3672">
        <f t="shared" si="2937"/>
      </c>
      <c r="EO1505" s="3677">
        <f t="shared" si="2937"/>
      </c>
      <c r="EP1505" s="3677">
        <f t="shared" si="2937"/>
      </c>
      <c r="EQ1505" s="3677">
        <f t="shared" si="2937"/>
      </c>
      <c r="ER1505" s="3672">
        <f t="shared" si="2937"/>
      </c>
      <c r="ES1505" s="905"/>
      <c r="ET1505" s="1017"/>
      <c r="EU1505" s="1017"/>
      <c r="EV1505" s="1017"/>
      <c r="EW1505" s="1017"/>
      <c r="EX1505" s="915"/>
    </row>
    <row r="1506" spans="1:154" outlineLevel="1">
      <c r="B1506" s="3666"/>
      <c r="C1506" s="2026"/>
      <c r="D1506" s="900"/>
      <c r="E1506" s="900"/>
      <c r="F1506" s="901"/>
      <c r="G1506" s="901"/>
      <c r="H1506" s="901"/>
      <c r="I1506" s="901"/>
      <c r="J1506" s="901"/>
      <c r="K1506" s="901"/>
      <c r="L1506" s="901"/>
      <c r="M1506" s="901"/>
      <c r="N1506" s="901"/>
      <c r="O1506" s="902"/>
      <c r="P1506" s="901"/>
      <c r="Q1506" s="901"/>
      <c r="R1506" s="901"/>
      <c r="S1506" s="901"/>
      <c r="T1506" s="902"/>
      <c r="U1506" s="901"/>
      <c r="V1506" s="901"/>
      <c r="W1506" s="901"/>
      <c r="X1506" s="904"/>
      <c r="Y1506" s="902"/>
      <c r="Z1506" s="901"/>
      <c r="AA1506" s="901"/>
      <c r="AB1506" s="901"/>
      <c r="AC1506" s="904"/>
      <c r="AD1506" s="902"/>
      <c r="AE1506" s="901"/>
      <c r="AF1506" s="901"/>
      <c r="AG1506" s="901"/>
      <c r="AH1506" s="904"/>
      <c r="AI1506" s="902"/>
      <c r="AJ1506" s="901"/>
      <c r="AK1506" s="901"/>
      <c r="AL1506" s="901"/>
      <c r="AM1506" s="904"/>
      <c r="AN1506" s="902"/>
      <c r="AO1506" s="901"/>
      <c r="AP1506" s="901"/>
      <c r="AQ1506" s="903"/>
      <c r="AR1506" s="904"/>
      <c r="AS1506" s="902"/>
      <c r="AT1506" s="901"/>
      <c r="AU1506" s="901"/>
      <c r="AV1506" s="901"/>
      <c r="AW1506" s="904"/>
      <c r="AX1506" s="902"/>
      <c r="AY1506" s="901"/>
      <c r="AZ1506" s="901"/>
      <c r="BA1506" s="901"/>
      <c r="BB1506" s="904"/>
      <c r="BC1506" s="902"/>
      <c r="BD1506" s="901"/>
      <c r="BE1506" s="901"/>
      <c r="BF1506" s="901"/>
      <c r="BG1506" s="904"/>
      <c r="BH1506" s="902"/>
      <c r="BI1506" s="901"/>
      <c r="BJ1506" s="901"/>
      <c r="BK1506" s="901"/>
      <c r="BL1506" s="904"/>
      <c r="BM1506" s="901"/>
      <c r="BN1506" s="901"/>
      <c r="BO1506" s="901"/>
      <c r="BP1506" s="901"/>
      <c r="BQ1506" s="904"/>
      <c r="BR1506" s="901"/>
      <c r="BS1506" s="901"/>
      <c r="BT1506" s="901"/>
      <c r="BU1506" s="901"/>
      <c r="BV1506" s="904"/>
      <c r="BW1506" s="901"/>
      <c r="BX1506" s="901"/>
      <c r="BY1506" s="901"/>
      <c r="BZ1506" s="901"/>
      <c r="CA1506" s="904"/>
      <c r="CB1506" s="901"/>
      <c r="CC1506" s="901"/>
      <c r="CD1506" s="901"/>
      <c r="CE1506" s="901"/>
      <c r="CF1506" s="904"/>
      <c r="CG1506" s="901"/>
      <c r="CH1506" s="901"/>
      <c r="CI1506" s="901"/>
      <c r="CJ1506" s="901"/>
      <c r="CK1506" s="905"/>
      <c r="CL1506" s="1016"/>
      <c r="CM1506" s="901"/>
      <c r="CN1506" s="901"/>
      <c r="CO1506" s="901"/>
      <c r="CP1506" s="905"/>
      <c r="CQ1506" s="901"/>
      <c r="CR1506" s="901"/>
      <c r="CS1506" s="901"/>
      <c r="CT1506" s="1017"/>
      <c r="CU1506" s="905"/>
      <c r="CV1506" s="901"/>
      <c r="CW1506" s="901"/>
      <c r="CX1506" s="901"/>
      <c r="CY1506" s="1017"/>
      <c r="CZ1506" s="905"/>
      <c r="DA1506" s="1016"/>
      <c r="DB1506" s="901"/>
      <c r="DC1506" s="901"/>
      <c r="DD1506" s="1017"/>
      <c r="DE1506" s="905"/>
      <c r="DF1506" s="901"/>
      <c r="DG1506" s="901"/>
      <c r="DH1506" s="901"/>
      <c r="DI1506" s="1017"/>
      <c r="DJ1506" s="905"/>
      <c r="DK1506" s="901"/>
      <c r="DL1506" s="901"/>
      <c r="DM1506" s="901"/>
      <c r="DN1506" s="1017"/>
      <c r="DO1506" s="905"/>
      <c r="DP1506" s="901"/>
      <c r="DQ1506" s="901"/>
      <c r="DR1506" s="901"/>
      <c r="DS1506" s="1017"/>
      <c r="DT1506" s="905"/>
      <c r="DU1506" s="901"/>
      <c r="DV1506" s="901"/>
      <c r="DW1506" s="901"/>
      <c r="DX1506" s="1017"/>
      <c r="DY1506" s="905"/>
      <c r="DZ1506" s="901"/>
      <c r="EA1506" s="901"/>
      <c r="EB1506" s="901"/>
      <c r="EC1506" s="1017"/>
      <c r="ED1506" s="905"/>
      <c r="EE1506" s="1016"/>
      <c r="EF1506" s="901"/>
      <c r="EG1506" s="901"/>
      <c r="EH1506" s="1017"/>
      <c r="EI1506" s="1016"/>
      <c r="EJ1506" s="905"/>
      <c r="EK1506" s="905"/>
      <c r="EL1506" s="905"/>
      <c r="EM1506" s="905"/>
      <c r="EN1506" s="905"/>
      <c r="EO1506" s="1017"/>
      <c r="EP1506" s="905"/>
      <c r="EQ1506" s="905"/>
      <c r="ER1506" s="905"/>
      <c r="ES1506" s="905"/>
      <c r="ET1506" s="905"/>
      <c r="EU1506" s="905"/>
      <c r="EV1506" s="905"/>
      <c r="EW1506" s="905"/>
      <c r="EX1506" s="899"/>
    </row>
    <row r="1507" spans="1:154" outlineLevel="1">
      <c r="B1507" s="3657" t="str">
        <f>B1502</f>
      </c>
      <c r="C1507" s="2026"/>
      <c r="D1507" s="900"/>
      <c r="E1507" s="900"/>
      <c r="F1507" s="901"/>
      <c r="G1507" s="901"/>
      <c r="H1507" s="901"/>
      <c r="I1507" s="901"/>
      <c r="J1507" s="901"/>
      <c r="K1507" s="901"/>
      <c r="L1507" s="901"/>
      <c r="M1507" s="901"/>
      <c r="N1507" s="901"/>
      <c r="O1507" s="902"/>
      <c r="P1507" s="901"/>
      <c r="Q1507" s="901"/>
      <c r="R1507" s="901"/>
      <c r="S1507" s="901"/>
      <c r="T1507" s="902"/>
      <c r="U1507" s="901"/>
      <c r="V1507" s="901"/>
      <c r="W1507" s="901"/>
      <c r="X1507" s="905"/>
      <c r="Y1507" s="902"/>
      <c r="Z1507" s="901"/>
      <c r="AA1507" s="901"/>
      <c r="AB1507" s="901"/>
      <c r="AC1507" s="905"/>
      <c r="AD1507" s="902"/>
      <c r="AE1507" s="901"/>
      <c r="AF1507" s="901"/>
      <c r="AG1507" s="901"/>
      <c r="AH1507" s="905"/>
      <c r="AI1507" s="902"/>
      <c r="AJ1507" s="901"/>
      <c r="AK1507" s="901"/>
      <c r="AL1507" s="901"/>
      <c r="AM1507" s="905"/>
      <c r="AN1507" s="902"/>
      <c r="AO1507" s="901"/>
      <c r="AP1507" s="901"/>
      <c r="AQ1507" s="903"/>
      <c r="AR1507" s="905"/>
      <c r="AS1507" s="902"/>
      <c r="AT1507" s="901"/>
      <c r="AU1507" s="901"/>
      <c r="AV1507" s="901"/>
      <c r="AW1507" s="905"/>
      <c r="AX1507" s="902"/>
      <c r="AY1507" s="901"/>
      <c r="AZ1507" s="901"/>
      <c r="BA1507" s="901"/>
      <c r="BB1507" s="905"/>
      <c r="BC1507" s="902"/>
      <c r="BD1507" s="901"/>
      <c r="BE1507" s="901"/>
      <c r="BF1507" s="901"/>
      <c r="BG1507" s="905"/>
      <c r="BH1507" s="902"/>
      <c r="BI1507" s="901"/>
      <c r="BJ1507" s="901"/>
      <c r="BK1507" s="901"/>
      <c r="BL1507" s="905"/>
      <c r="BM1507" s="901"/>
      <c r="BN1507" s="3652"/>
      <c r="BO1507" s="901"/>
      <c r="BP1507" s="901"/>
      <c r="BQ1507" s="905"/>
      <c r="BR1507" s="901"/>
      <c r="BS1507" s="3652"/>
      <c r="BT1507" s="901"/>
      <c r="BU1507" s="901"/>
      <c r="BV1507" s="905"/>
      <c r="BW1507" s="3652"/>
      <c r="BX1507" s="3652"/>
      <c r="BY1507" s="3652"/>
      <c r="BZ1507" s="3652"/>
      <c r="CA1507" s="905"/>
      <c r="CB1507" s="3652"/>
      <c r="CC1507" s="901"/>
      <c r="CD1507" s="3652"/>
      <c r="CE1507" s="3652"/>
      <c r="CF1507" s="905"/>
      <c r="CG1507" s="3652"/>
      <c r="CH1507" s="3652"/>
      <c r="CI1507" s="3652"/>
      <c r="CJ1507" s="3652"/>
      <c r="CK1507" s="905"/>
      <c r="CL1507" s="1016"/>
      <c r="CM1507" s="901"/>
      <c r="CN1507" s="901"/>
      <c r="CO1507" s="3652"/>
      <c r="CP1507" s="3667"/>
      <c r="CQ1507" s="901"/>
      <c r="CR1507" s="901"/>
      <c r="CS1507" s="901"/>
      <c r="CT1507" s="1017"/>
      <c r="CU1507" s="3667"/>
      <c r="CV1507" s="901"/>
      <c r="CW1507" s="901"/>
      <c r="CX1507" s="901"/>
      <c r="CY1507" s="1017"/>
      <c r="CZ1507" s="3667"/>
      <c r="DA1507" s="3733"/>
      <c r="DB1507" s="3652"/>
      <c r="DC1507" s="3652"/>
      <c r="DD1507" s="3668"/>
      <c r="DE1507" s="3667"/>
      <c r="DF1507" s="3652"/>
      <c r="DG1507" s="3652"/>
      <c r="DH1507" s="3652"/>
      <c r="DI1507" s="3668"/>
      <c r="DJ1507" s="3667"/>
      <c r="DK1507" s="3652"/>
      <c r="DL1507" s="3652"/>
      <c r="DM1507" s="3652"/>
      <c r="DN1507" s="3668"/>
      <c r="DO1507" s="3667"/>
      <c r="DP1507" s="3652"/>
      <c r="DQ1507" s="3652"/>
      <c r="DR1507" s="3652"/>
      <c r="DS1507" s="3668"/>
      <c r="DT1507" s="3667"/>
      <c r="DU1507" s="3652"/>
      <c r="DV1507" s="3652"/>
      <c r="DW1507" s="3652"/>
      <c r="DX1507" s="3668"/>
      <c r="DY1507" s="3667"/>
      <c r="DZ1507" s="3652"/>
      <c r="EA1507" s="3652"/>
      <c r="EB1507" s="3652"/>
      <c r="EC1507" s="3668"/>
      <c r="ED1507" s="3667"/>
      <c r="EE1507" s="3733"/>
      <c r="EF1507" s="3652"/>
      <c r="EG1507" s="3652"/>
      <c r="EH1507" s="3668"/>
      <c r="EI1507" s="3733"/>
      <c r="EJ1507" s="3667"/>
      <c r="EK1507" s="3667"/>
      <c r="EL1507" s="3667"/>
      <c r="EM1507" s="3667"/>
      <c r="EN1507" s="3667"/>
      <c r="EO1507" s="3668"/>
      <c r="EP1507" s="3667"/>
      <c r="EQ1507" s="3667"/>
      <c r="ER1507" s="3667"/>
      <c r="ES1507" s="3667"/>
      <c r="ET1507" s="3667"/>
      <c r="EU1507" s="3667"/>
      <c r="EV1507" s="3667"/>
      <c r="EW1507" s="3667"/>
      <c r="EX1507" s="909"/>
    </row>
    <row r="1508" spans="1:154" outlineLevel="1">
      <c r="B1508" s="3666" t="s">
        <v>153</v>
      </c>
      <c r="C1508" s="3738">
        <v>1</v>
      </c>
      <c r="D1508" s="900"/>
      <c r="E1508" s="900"/>
      <c r="F1508" s="901"/>
      <c r="G1508" s="901"/>
      <c r="H1508" s="901"/>
      <c r="I1508" s="901"/>
      <c r="J1508" s="901"/>
      <c r="K1508" s="901"/>
      <c r="L1508" s="901"/>
      <c r="M1508" s="901"/>
      <c r="N1508" s="901"/>
      <c r="O1508" s="902"/>
      <c r="P1508" s="901"/>
      <c r="Q1508" s="901"/>
      <c r="R1508" s="901"/>
      <c r="S1508" s="901"/>
      <c r="T1508" s="902"/>
      <c r="U1508" s="901"/>
      <c r="V1508" s="901"/>
      <c r="W1508" s="901"/>
      <c r="X1508" s="905"/>
      <c r="Y1508" s="902"/>
      <c r="Z1508" s="901"/>
      <c r="AA1508" s="901"/>
      <c r="AB1508" s="901"/>
      <c r="AC1508" s="905"/>
      <c r="AD1508" s="902"/>
      <c r="AE1508" s="901"/>
      <c r="AF1508" s="901"/>
      <c r="AG1508" s="901"/>
      <c r="AH1508" s="905"/>
      <c r="AI1508" s="902"/>
      <c r="AJ1508" s="901"/>
      <c r="AK1508" s="901"/>
      <c r="AL1508" s="901"/>
      <c r="AM1508" s="905"/>
      <c r="AN1508" s="902"/>
      <c r="AO1508" s="901"/>
      <c r="AP1508" s="901"/>
      <c r="AQ1508" s="903"/>
      <c r="AR1508" s="905"/>
      <c r="AS1508" s="902"/>
      <c r="AT1508" s="901"/>
      <c r="AU1508" s="901"/>
      <c r="AV1508" s="901"/>
      <c r="AW1508" s="905"/>
      <c r="AX1508" s="902"/>
      <c r="AY1508" s="901"/>
      <c r="AZ1508" s="901"/>
      <c r="BA1508" s="901"/>
      <c r="BB1508" s="905"/>
      <c r="BC1508" s="902"/>
      <c r="BD1508" s="901"/>
      <c r="BE1508" s="901"/>
      <c r="BF1508" s="901"/>
      <c r="BG1508" s="905"/>
      <c r="BH1508" s="902"/>
      <c r="BI1508" s="901"/>
      <c r="BJ1508" s="901"/>
      <c r="BK1508" s="901"/>
      <c r="BL1508" s="905"/>
      <c r="BM1508" s="901"/>
      <c r="BN1508" s="901"/>
      <c r="BO1508" s="901"/>
      <c r="BP1508" s="901"/>
      <c r="BQ1508" s="905"/>
      <c r="BR1508" s="901"/>
      <c r="BS1508" s="901"/>
      <c r="BT1508" s="901"/>
      <c r="BU1508" s="901"/>
      <c r="BV1508" s="905"/>
      <c r="BW1508" s="901"/>
      <c r="BX1508" s="901"/>
      <c r="BY1508" s="901"/>
      <c r="BZ1508" s="901"/>
      <c r="CA1508" s="905"/>
      <c r="CB1508" s="901"/>
      <c r="CC1508" s="901"/>
      <c r="CD1508" s="901"/>
      <c r="CE1508" s="901"/>
      <c r="CF1508" s="905"/>
      <c r="CG1508" s="901"/>
      <c r="CH1508" s="901"/>
      <c r="CI1508" s="901"/>
      <c r="CJ1508" s="901"/>
      <c r="CK1508" s="905"/>
      <c r="CL1508" s="1016"/>
      <c r="CM1508" s="901"/>
      <c r="CN1508" s="901"/>
      <c r="CO1508" s="901"/>
      <c r="CP1508" s="905"/>
      <c r="CQ1508" s="901"/>
      <c r="CR1508" s="901"/>
      <c r="CS1508" s="901"/>
      <c r="CT1508" s="1017"/>
      <c r="CU1508" s="905"/>
      <c r="CV1508" s="901"/>
      <c r="CW1508" s="901"/>
      <c r="CX1508" s="901"/>
      <c r="CY1508" s="1017"/>
      <c r="CZ1508" s="905">
        <f t="shared" ref="CZ1508:DJ1508" si="2938">$C1508*CZ1503</f>
      </c>
      <c r="DA1508" s="901">
        <f t="shared" si="2938"/>
      </c>
      <c r="DB1508" s="901">
        <f t="shared" si="2938"/>
      </c>
      <c r="DC1508" s="901">
        <f t="shared" si="2938"/>
      </c>
      <c r="DD1508" s="1017">
        <f t="shared" si="2938"/>
      </c>
      <c r="DE1508" s="905">
        <f t="shared" si="2938"/>
      </c>
      <c r="DF1508" s="901">
        <f t="shared" si="2938"/>
      </c>
      <c r="DG1508" s="901">
        <f t="shared" si="2938"/>
      </c>
      <c r="DH1508" s="901">
        <f t="shared" si="2938"/>
      </c>
      <c r="DI1508" s="1017">
        <f t="shared" si="2938"/>
      </c>
      <c r="DJ1508" s="905">
        <f t="shared" si="2938"/>
      </c>
      <c r="DK1508" s="901">
        <f>$DO1508/4</f>
      </c>
      <c r="DL1508" s="901">
        <f t="shared" ref="DL1508:DN1509" si="2939">$DO1508/4</f>
      </c>
      <c r="DM1508" s="901">
        <f t="shared" si="2939"/>
      </c>
      <c r="DN1508" s="1017">
        <f t="shared" si="2939"/>
      </c>
      <c r="DO1508" s="905">
        <f t="shared" ref="DO1508:EI1509" si="2940">$C1508*DO1503</f>
      </c>
      <c r="DP1508" s="901">
        <f t="shared" si="2940"/>
      </c>
      <c r="DQ1508" s="901">
        <f t="shared" si="2940"/>
      </c>
      <c r="DR1508" s="901">
        <f t="shared" si="2940"/>
      </c>
      <c r="DS1508" s="1017">
        <f t="shared" si="2940"/>
      </c>
      <c r="DT1508" s="3672">
        <f t="shared" si="2940"/>
      </c>
      <c r="DU1508" s="3674">
        <f t="shared" si="2940"/>
      </c>
      <c r="DV1508" s="3674">
        <f t="shared" si="2940"/>
      </c>
      <c r="DW1508" s="3674">
        <f t="shared" si="2940"/>
      </c>
      <c r="DX1508" s="3677">
        <f t="shared" si="2940"/>
      </c>
      <c r="DY1508" s="3672">
        <f t="shared" si="2940"/>
      </c>
      <c r="DZ1508" s="3674">
        <f t="shared" si="2940"/>
      </c>
      <c r="EA1508" s="3674">
        <f>$C1508*EA1503</f>
      </c>
      <c r="EB1508" s="3674">
        <f>$C1508*EB1503</f>
      </c>
      <c r="EC1508" s="3677">
        <f>$C1508*EC1503</f>
      </c>
      <c r="ED1508" s="3672">
        <f t="shared" ref="ED1508" si="2941">$C1508*ED1503</f>
      </c>
      <c r="EE1508" s="3673">
        <f>$C1508*EE1503</f>
      </c>
      <c r="EF1508" s="3674">
        <f>$C1508*EF1503</f>
      </c>
      <c r="EG1508" s="3674">
        <f>$C1508*EG1503</f>
      </c>
      <c r="EH1508" s="3677">
        <f>$C1508*EH1503</f>
      </c>
      <c r="EI1508" s="3673">
        <f t="shared" si="2940"/>
      </c>
      <c r="EJ1508" s="3672">
        <f t="shared" ref="EJ1508:ER1508" si="2942">$C1508*EJ1503</f>
      </c>
      <c r="EK1508" s="3672">
        <f t="shared" si="2942"/>
      </c>
      <c r="EL1508" s="3672">
        <f t="shared" si="2942"/>
      </c>
      <c r="EM1508" s="3672">
        <f t="shared" si="2942"/>
      </c>
      <c r="EN1508" s="3672">
        <f t="shared" si="2942"/>
      </c>
      <c r="EO1508" s="3677">
        <f t="shared" si="2942"/>
      </c>
      <c r="EP1508" s="3672">
        <f t="shared" si="2942"/>
      </c>
      <c r="EQ1508" s="3672">
        <f t="shared" si="2942"/>
      </c>
      <c r="ER1508" s="3672">
        <f t="shared" si="2942"/>
      </c>
      <c r="ES1508" s="1017"/>
      <c r="ET1508" s="1017"/>
      <c r="EU1508" s="1017"/>
      <c r="EV1508" s="1017"/>
      <c r="EW1508" s="1017"/>
      <c r="EX1508" s="915"/>
    </row>
    <row r="1509" spans="1:154" outlineLevel="1">
      <c r="B1509" s="3666" t="s">
        <v>235</v>
      </c>
      <c r="C1509" s="3738">
        <v>1</v>
      </c>
      <c r="D1509" s="900"/>
      <c r="E1509" s="900"/>
      <c r="F1509" s="901"/>
      <c r="G1509" s="901"/>
      <c r="H1509" s="901"/>
      <c r="I1509" s="901"/>
      <c r="J1509" s="901"/>
      <c r="K1509" s="901"/>
      <c r="L1509" s="901"/>
      <c r="M1509" s="901"/>
      <c r="N1509" s="901"/>
      <c r="O1509" s="902"/>
      <c r="P1509" s="901"/>
      <c r="Q1509" s="901"/>
      <c r="R1509" s="901"/>
      <c r="S1509" s="901"/>
      <c r="T1509" s="902"/>
      <c r="U1509" s="901"/>
      <c r="V1509" s="901"/>
      <c r="W1509" s="901"/>
      <c r="X1509" s="904"/>
      <c r="Y1509" s="902"/>
      <c r="Z1509" s="901"/>
      <c r="AA1509" s="901"/>
      <c r="AB1509" s="901"/>
      <c r="AC1509" s="904"/>
      <c r="AD1509" s="902"/>
      <c r="AE1509" s="901"/>
      <c r="AF1509" s="901"/>
      <c r="AG1509" s="901"/>
      <c r="AH1509" s="904"/>
      <c r="AI1509" s="902"/>
      <c r="AJ1509" s="901"/>
      <c r="AK1509" s="901"/>
      <c r="AL1509" s="901"/>
      <c r="AM1509" s="904"/>
      <c r="AN1509" s="902"/>
      <c r="AO1509" s="901"/>
      <c r="AP1509" s="901"/>
      <c r="AQ1509" s="903"/>
      <c r="AR1509" s="904"/>
      <c r="AS1509" s="902"/>
      <c r="AT1509" s="901"/>
      <c r="AU1509" s="901"/>
      <c r="AV1509" s="901"/>
      <c r="AW1509" s="904"/>
      <c r="AX1509" s="902"/>
      <c r="AY1509" s="901"/>
      <c r="AZ1509" s="901"/>
      <c r="BA1509" s="901"/>
      <c r="BB1509" s="904"/>
      <c r="BC1509" s="902"/>
      <c r="BD1509" s="901"/>
      <c r="BE1509" s="901"/>
      <c r="BF1509" s="901"/>
      <c r="BG1509" s="904"/>
      <c r="BH1509" s="902"/>
      <c r="BI1509" s="901"/>
      <c r="BJ1509" s="901"/>
      <c r="BK1509" s="901"/>
      <c r="BL1509" s="904"/>
      <c r="BM1509" s="901"/>
      <c r="BN1509" s="901"/>
      <c r="BO1509" s="901"/>
      <c r="BP1509" s="901"/>
      <c r="BQ1509" s="904"/>
      <c r="BR1509" s="901"/>
      <c r="BS1509" s="901"/>
      <c r="BT1509" s="901"/>
      <c r="BU1509" s="901"/>
      <c r="BV1509" s="904"/>
      <c r="BW1509" s="901"/>
      <c r="BX1509" s="901"/>
      <c r="BY1509" s="901"/>
      <c r="BZ1509" s="901"/>
      <c r="CA1509" s="904"/>
      <c r="CB1509" s="901"/>
      <c r="CC1509" s="901"/>
      <c r="CD1509" s="901"/>
      <c r="CE1509" s="901"/>
      <c r="CF1509" s="904"/>
      <c r="CG1509" s="901"/>
      <c r="CH1509" s="901"/>
      <c r="CI1509" s="901"/>
      <c r="CJ1509" s="901"/>
      <c r="CK1509" s="905"/>
      <c r="CL1509" s="1016"/>
      <c r="CM1509" s="901"/>
      <c r="CN1509" s="901"/>
      <c r="CO1509" s="901"/>
      <c r="CP1509" s="905"/>
      <c r="CQ1509" s="901"/>
      <c r="CR1509" s="901"/>
      <c r="CS1509" s="901"/>
      <c r="CT1509" s="1017"/>
      <c r="CU1509" s="905"/>
      <c r="CV1509" s="901"/>
      <c r="CW1509" s="901"/>
      <c r="CX1509" s="901"/>
      <c r="CY1509" s="1017"/>
      <c r="CZ1509" s="905">
        <f t="shared" ref="CZ1509:DJ1509" si="2943">$C1509*CZ1504</f>
      </c>
      <c r="DA1509" s="901">
        <f t="shared" si="2943"/>
      </c>
      <c r="DB1509" s="901">
        <f t="shared" si="2943"/>
      </c>
      <c r="DC1509" s="901">
        <f t="shared" si="2943"/>
      </c>
      <c r="DD1509" s="1017">
        <f t="shared" si="2943"/>
      </c>
      <c r="DE1509" s="905">
        <f t="shared" si="2943"/>
      </c>
      <c r="DF1509" s="901">
        <f t="shared" si="2943"/>
      </c>
      <c r="DG1509" s="901">
        <f t="shared" si="2943"/>
      </c>
      <c r="DH1509" s="901">
        <f t="shared" si="2943"/>
      </c>
      <c r="DI1509" s="1017">
        <f t="shared" si="2943"/>
      </c>
      <c r="DJ1509" s="905">
        <f t="shared" si="2943"/>
      </c>
      <c r="DK1509" s="901">
        <f>$DO1509/4</f>
      </c>
      <c r="DL1509" s="901">
        <f t="shared" si="2939"/>
      </c>
      <c r="DM1509" s="901">
        <f t="shared" si="2939"/>
      </c>
      <c r="DN1509" s="1017">
        <f t="shared" si="2939"/>
      </c>
      <c r="DO1509" s="905">
        <f t="shared" ref="DO1509:EI1509" si="2944">$C1509*DO1504</f>
      </c>
      <c r="DP1509" s="901">
        <f t="shared" si="2944"/>
      </c>
      <c r="DQ1509" s="901">
        <f t="shared" si="2944"/>
      </c>
      <c r="DR1509" s="901">
        <f t="shared" si="2944"/>
      </c>
      <c r="DS1509" s="1017">
        <f t="shared" si="2944"/>
      </c>
      <c r="DT1509" s="3672">
        <f t="shared" si="2944"/>
      </c>
      <c r="DU1509" s="3674">
        <f t="shared" si="2940"/>
      </c>
      <c r="DV1509" s="3674">
        <f t="shared" si="2940"/>
      </c>
      <c r="DW1509" s="3674">
        <f t="shared" si="2940"/>
      </c>
      <c r="DX1509" s="3677">
        <f t="shared" si="2940"/>
      </c>
      <c r="DY1509" s="3672">
        <f t="shared" si="2944"/>
      </c>
      <c r="DZ1509" s="3674">
        <f>$C1509*DZ1504</f>
      </c>
      <c r="EA1509" s="3674">
        <f t="shared" ref="EA1509:EH1509" si="2945">$C1509*EA1504</f>
      </c>
      <c r="EB1509" s="3674">
        <f t="shared" si="2945"/>
      </c>
      <c r="EC1509" s="3677">
        <f t="shared" si="2945"/>
      </c>
      <c r="ED1509" s="3672">
        <f t="shared" si="2945"/>
      </c>
      <c r="EE1509" s="3673">
        <f t="shared" si="2945"/>
      </c>
      <c r="EF1509" s="3674">
        <f t="shared" si="2945"/>
      </c>
      <c r="EG1509" s="3674">
        <f t="shared" si="2945"/>
      </c>
      <c r="EH1509" s="3677">
        <f t="shared" si="2945"/>
      </c>
      <c r="EI1509" s="3673">
        <f t="shared" si="2944"/>
      </c>
      <c r="EJ1509" s="3672">
        <f t="shared" ref="EJ1509:ER1509" si="2946">$C1509*EJ1504</f>
      </c>
      <c r="EK1509" s="3672">
        <f t="shared" si="2946"/>
      </c>
      <c r="EL1509" s="3672">
        <f t="shared" si="2946"/>
      </c>
      <c r="EM1509" s="3672">
        <f t="shared" si="2946"/>
      </c>
      <c r="EN1509" s="3672">
        <f t="shared" si="2946"/>
      </c>
      <c r="EO1509" s="3677">
        <f t="shared" si="2946"/>
      </c>
      <c r="EP1509" s="3672">
        <f t="shared" si="2946"/>
      </c>
      <c r="EQ1509" s="3672">
        <f t="shared" si="2946"/>
      </c>
      <c r="ER1509" s="3672">
        <f t="shared" si="2946"/>
      </c>
      <c r="ES1509" s="1017"/>
      <c r="ET1509" s="1017"/>
      <c r="EU1509" s="1017"/>
      <c r="EV1509" s="1017"/>
      <c r="EW1509" s="1017"/>
      <c r="EX1509" s="915"/>
    </row>
    <row r="1510" spans="1:154" outlineLevel="1">
      <c r="A1510" s="3284" t="s">
        <v>650</v>
      </c>
      <c r="B1510" s="3666" t="s">
        <v>188</v>
      </c>
      <c r="C1510" s="2026" t="s">
        <v>667</v>
      </c>
      <c r="D1510" s="900"/>
      <c r="E1510" s="900"/>
      <c r="F1510" s="901"/>
      <c r="G1510" s="901"/>
      <c r="H1510" s="901"/>
      <c r="I1510" s="901"/>
      <c r="J1510" s="901"/>
      <c r="K1510" s="901"/>
      <c r="L1510" s="901"/>
      <c r="M1510" s="901"/>
      <c r="N1510" s="901"/>
      <c r="O1510" s="902"/>
      <c r="P1510" s="901"/>
      <c r="Q1510" s="901"/>
      <c r="R1510" s="901"/>
      <c r="S1510" s="901"/>
      <c r="T1510" s="902"/>
      <c r="U1510" s="901"/>
      <c r="V1510" s="901"/>
      <c r="W1510" s="901"/>
      <c r="X1510" s="905"/>
      <c r="Y1510" s="902"/>
      <c r="Z1510" s="901"/>
      <c r="AA1510" s="901"/>
      <c r="AB1510" s="901"/>
      <c r="AC1510" s="905"/>
      <c r="AD1510" s="902"/>
      <c r="AE1510" s="901"/>
      <c r="AF1510" s="901"/>
      <c r="AG1510" s="901"/>
      <c r="AH1510" s="905"/>
      <c r="AI1510" s="902"/>
      <c r="AJ1510" s="901"/>
      <c r="AK1510" s="901"/>
      <c r="AL1510" s="901"/>
      <c r="AM1510" s="905"/>
      <c r="AN1510" s="902"/>
      <c r="AO1510" s="901"/>
      <c r="AP1510" s="901"/>
      <c r="AQ1510" s="903"/>
      <c r="AR1510" s="905"/>
      <c r="AS1510" s="902"/>
      <c r="AT1510" s="901"/>
      <c r="AU1510" s="901"/>
      <c r="AV1510" s="901"/>
      <c r="AW1510" s="905"/>
      <c r="AX1510" s="902"/>
      <c r="AY1510" s="901"/>
      <c r="AZ1510" s="901"/>
      <c r="BA1510" s="901"/>
      <c r="BB1510" s="905"/>
      <c r="BC1510" s="902"/>
      <c r="BD1510" s="901"/>
      <c r="BE1510" s="901"/>
      <c r="BF1510" s="901"/>
      <c r="BG1510" s="905"/>
      <c r="BH1510" s="902"/>
      <c r="BI1510" s="901"/>
      <c r="BJ1510" s="901"/>
      <c r="BK1510" s="901"/>
      <c r="BL1510" s="905"/>
      <c r="BM1510" s="901"/>
      <c r="BN1510" s="901"/>
      <c r="BO1510" s="901"/>
      <c r="BP1510" s="901"/>
      <c r="BQ1510" s="905"/>
      <c r="BR1510" s="901"/>
      <c r="BS1510" s="901"/>
      <c r="BT1510" s="901"/>
      <c r="BU1510" s="901"/>
      <c r="BV1510" s="905"/>
      <c r="BW1510" s="3652"/>
      <c r="BX1510" s="901"/>
      <c r="BY1510" s="901"/>
      <c r="BZ1510" s="901"/>
      <c r="CA1510" s="905"/>
      <c r="CB1510" s="901"/>
      <c r="CC1510" s="901"/>
      <c r="CD1510" s="901"/>
      <c r="CE1510" s="901"/>
      <c r="CF1510" s="905"/>
      <c r="CG1510" s="901"/>
      <c r="CH1510" s="901"/>
      <c r="CI1510" s="901"/>
      <c r="CJ1510" s="901"/>
      <c r="CK1510" s="905"/>
      <c r="CL1510" s="1016"/>
      <c r="CM1510" s="901"/>
      <c r="CN1510" s="901"/>
      <c r="CO1510" s="901"/>
      <c r="CP1510" s="905"/>
      <c r="CQ1510" s="901"/>
      <c r="CR1510" s="901"/>
      <c r="CS1510" s="901"/>
      <c r="CT1510" s="1017"/>
      <c r="CU1510" s="905"/>
      <c r="CV1510" s="901"/>
      <c r="CW1510" s="901"/>
      <c r="CX1510" s="901"/>
      <c r="CY1510" s="1017"/>
      <c r="CZ1510" s="905">
        <f t="shared" ref="CZ1510:DJ1510" si="2947">CZ1508+CZ1509</f>
      </c>
      <c r="DA1510" s="901">
        <f t="shared" si="2947"/>
      </c>
      <c r="DB1510" s="901">
        <f t="shared" si="2947"/>
      </c>
      <c r="DC1510" s="901">
        <f t="shared" si="2947"/>
      </c>
      <c r="DD1510" s="1017">
        <f t="shared" si="2947"/>
      </c>
      <c r="DE1510" s="905">
        <f t="shared" si="2947"/>
      </c>
      <c r="DF1510" s="901">
        <f t="shared" si="2947"/>
      </c>
      <c r="DG1510" s="901">
        <f t="shared" si="2947"/>
      </c>
      <c r="DH1510" s="901">
        <f t="shared" si="2947"/>
      </c>
      <c r="DI1510" s="1017">
        <f t="shared" si="2947"/>
      </c>
      <c r="DJ1510" s="905">
        <f t="shared" si="2947"/>
      </c>
      <c r="DK1510" s="901">
        <f>SUM(DK1508:DK1509)</f>
      </c>
      <c r="DL1510" s="901">
        <f>SUM(DL1508:DL1509)</f>
      </c>
      <c r="DM1510" s="901">
        <f>SUM(DM1508:DM1509)</f>
      </c>
      <c r="DN1510" s="1017">
        <f>SUM(DN1508:DN1509)</f>
      </c>
      <c r="DO1510" s="905">
        <f>DO1508+DO1509</f>
      </c>
      <c r="DP1510" s="901">
        <f>SUM(DP1508:DP1509)</f>
      </c>
      <c r="DQ1510" s="901">
        <f>SUM(DQ1508:DQ1509)</f>
      </c>
      <c r="DR1510" s="901">
        <f>SUM(DR1508:DR1509)</f>
      </c>
      <c r="DS1510" s="1017">
        <f>SUM(DS1508:DS1509)</f>
      </c>
      <c r="DT1510" s="3672">
        <f>DT1508+DT1509</f>
      </c>
      <c r="DU1510" s="3674">
        <f>SUM(DU1508:DU1509)</f>
      </c>
      <c r="DV1510" s="3674">
        <f>SUM(DV1508:DV1509)</f>
      </c>
      <c r="DW1510" s="3674">
        <f>SUM(DW1508:DW1509)</f>
      </c>
      <c r="DX1510" s="3677">
        <f>SUM(DX1508:DX1509)</f>
      </c>
      <c r="DY1510" s="3672">
        <f>DY1508+DY1509</f>
      </c>
      <c r="DZ1510" s="3674">
        <f>SUM(DZ1508:DZ1509)</f>
      </c>
      <c r="EA1510" s="3674">
        <f>SUM(EA1508:EA1509)</f>
      </c>
      <c r="EB1510" s="3674">
        <f>SUM(EB1508:EB1509)</f>
      </c>
      <c r="EC1510" s="3677">
        <f>SUM(EC1508:EC1509)</f>
      </c>
      <c r="ED1510" s="3672">
        <f>ED1508+ED1509</f>
      </c>
      <c r="EE1510" s="3673">
        <f>SUM(EE1508:EE1509)</f>
      </c>
      <c r="EF1510" s="3674">
        <f>SUM(EF1508:EF1509)</f>
      </c>
      <c r="EG1510" s="3674">
        <f>SUM(EG1508:EG1509)</f>
      </c>
      <c r="EH1510" s="3677">
        <f>SUM(EH1508:EH1509)</f>
      </c>
      <c r="EI1510" s="3673">
        <f>EI1508+EI1509</f>
      </c>
      <c r="EJ1510" s="3672">
        <f t="shared" ref="EJ1510:ER1510" si="2948">EJ1508+EJ1509</f>
      </c>
      <c r="EK1510" s="3672">
        <f t="shared" si="2948"/>
      </c>
      <c r="EL1510" s="3672">
        <f t="shared" si="2948"/>
      </c>
      <c r="EM1510" s="3672">
        <f t="shared" si="2948"/>
      </c>
      <c r="EN1510" s="3672">
        <f t="shared" si="2948"/>
      </c>
      <c r="EO1510" s="3677">
        <f t="shared" si="2948"/>
      </c>
      <c r="EP1510" s="3677">
        <f t="shared" si="2948"/>
      </c>
      <c r="EQ1510" s="3677">
        <f t="shared" si="2948"/>
      </c>
      <c r="ER1510" s="3677">
        <f t="shared" si="2948"/>
      </c>
      <c r="ES1510" s="1017"/>
      <c r="ET1510" s="1017"/>
      <c r="EU1510" s="1017"/>
      <c r="EV1510" s="1017"/>
      <c r="EW1510" s="1017"/>
      <c r="EX1510" s="915"/>
    </row>
    <row r="1511" spans="1:154" outlineLevel="1" collapsed="1">
      <c r="B1511" s="3651" t="s">
        <v>993</v>
      </c>
      <c r="C1511" s="2026"/>
      <c r="D1511" s="900"/>
      <c r="E1511" s="900"/>
      <c r="F1511" s="901"/>
      <c r="G1511" s="901"/>
      <c r="H1511" s="901"/>
      <c r="I1511" s="901"/>
      <c r="J1511" s="901"/>
      <c r="K1511" s="901"/>
      <c r="L1511" s="901"/>
      <c r="M1511" s="901"/>
      <c r="N1511" s="901"/>
      <c r="O1511" s="902"/>
      <c r="P1511" s="901"/>
      <c r="Q1511" s="901"/>
      <c r="R1511" s="901"/>
      <c r="S1511" s="901"/>
      <c r="T1511" s="902"/>
      <c r="U1511" s="901"/>
      <c r="V1511" s="901"/>
      <c r="W1511" s="901"/>
      <c r="X1511" s="905"/>
      <c r="Y1511" s="902"/>
      <c r="Z1511" s="901"/>
      <c r="AA1511" s="901"/>
      <c r="AB1511" s="901"/>
      <c r="AC1511" s="905"/>
      <c r="AD1511" s="902"/>
      <c r="AE1511" s="901"/>
      <c r="AF1511" s="901"/>
      <c r="AG1511" s="901"/>
      <c r="AH1511" s="905"/>
      <c r="AI1511" s="902"/>
      <c r="AJ1511" s="901"/>
      <c r="AK1511" s="901"/>
      <c r="AL1511" s="901"/>
      <c r="AM1511" s="905"/>
      <c r="AN1511" s="902"/>
      <c r="AO1511" s="901"/>
      <c r="AP1511" s="901"/>
      <c r="AQ1511" s="903"/>
      <c r="AR1511" s="905"/>
      <c r="AS1511" s="902"/>
      <c r="AT1511" s="901"/>
      <c r="AU1511" s="901"/>
      <c r="AV1511" s="901"/>
      <c r="AW1511" s="905"/>
      <c r="AX1511" s="902"/>
      <c r="AY1511" s="901"/>
      <c r="AZ1511" s="901"/>
      <c r="BA1511" s="901"/>
      <c r="BB1511" s="905"/>
      <c r="BC1511" s="902"/>
      <c r="BD1511" s="901"/>
      <c r="BE1511" s="901"/>
      <c r="BF1511" s="901"/>
      <c r="BG1511" s="905"/>
      <c r="BH1511" s="902"/>
      <c r="BI1511" s="901"/>
      <c r="BJ1511" s="901"/>
      <c r="BK1511" s="901"/>
      <c r="BL1511" s="905"/>
      <c r="BM1511" s="901"/>
      <c r="BN1511" s="901"/>
      <c r="BO1511" s="901"/>
      <c r="BP1511" s="901"/>
      <c r="BQ1511" s="905"/>
      <c r="BR1511" s="901"/>
      <c r="BS1511" s="901"/>
      <c r="BT1511" s="901"/>
      <c r="BU1511" s="901"/>
      <c r="BV1511" s="905"/>
      <c r="BW1511" s="901"/>
      <c r="BX1511" s="901"/>
      <c r="BY1511" s="901"/>
      <c r="BZ1511" s="901"/>
      <c r="CA1511" s="905"/>
      <c r="CB1511" s="901"/>
      <c r="CC1511" s="901"/>
      <c r="CD1511" s="901"/>
      <c r="CE1511" s="901"/>
      <c r="CF1511" s="905"/>
      <c r="CG1511" s="901"/>
      <c r="CH1511" s="901"/>
      <c r="CI1511" s="901"/>
      <c r="CJ1511" s="901"/>
      <c r="CK1511" s="905"/>
      <c r="CL1511" s="1016"/>
      <c r="CM1511" s="901"/>
      <c r="CN1511" s="901"/>
      <c r="CO1511" s="901"/>
      <c r="CP1511" s="905"/>
      <c r="CQ1511" s="901"/>
      <c r="CR1511" s="901"/>
      <c r="CS1511" s="901"/>
      <c r="CT1511" s="1017"/>
      <c r="CU1511" s="905"/>
      <c r="CV1511" s="901"/>
      <c r="CW1511" s="901"/>
      <c r="CX1511" s="901"/>
      <c r="CY1511" s="1017"/>
      <c r="CZ1511" s="905"/>
      <c r="DA1511" s="1016"/>
      <c r="DB1511" s="901"/>
      <c r="DC1511" s="901"/>
      <c r="DD1511" s="1017"/>
      <c r="DE1511" s="905"/>
      <c r="DF1511" s="901"/>
      <c r="DG1511" s="901"/>
      <c r="DH1511" s="901"/>
      <c r="DI1511" s="1017"/>
      <c r="DJ1511" s="905"/>
      <c r="DK1511" s="901"/>
      <c r="DL1511" s="901"/>
      <c r="DM1511" s="901"/>
      <c r="DN1511" s="1017"/>
      <c r="DO1511" s="905"/>
      <c r="DP1511" s="901"/>
      <c r="DQ1511" s="901"/>
      <c r="DR1511" s="901"/>
      <c r="DS1511" s="1017"/>
      <c r="DT1511" s="905"/>
      <c r="DU1511" s="901"/>
      <c r="DV1511" s="901"/>
      <c r="DW1511" s="901"/>
      <c r="DX1511" s="1017"/>
      <c r="DY1511" s="905"/>
      <c r="DZ1511" s="901"/>
      <c r="EA1511" s="901"/>
      <c r="EB1511" s="901"/>
      <c r="EC1511" s="1017"/>
      <c r="ED1511" s="905"/>
      <c r="EE1511" s="1016"/>
      <c r="EF1511" s="901"/>
      <c r="EG1511" s="901"/>
      <c r="EH1511" s="1017"/>
      <c r="EI1511" s="1016"/>
      <c r="EJ1511" s="905"/>
      <c r="EK1511" s="905"/>
      <c r="EL1511" s="905"/>
      <c r="EM1511" s="905"/>
      <c r="EN1511" s="905"/>
      <c r="EO1511" s="1017"/>
      <c r="EP1511" s="1017"/>
      <c r="EQ1511" s="1017"/>
      <c r="ER1511" s="1017"/>
      <c r="ES1511" s="905"/>
      <c r="ET1511" s="905"/>
      <c r="EU1511" s="905"/>
      <c r="EV1511" s="905"/>
      <c r="EW1511" s="905"/>
      <c r="EX1511" s="899"/>
    </row>
    <row r="1512" spans="1:154" outlineLevel="1">
      <c r="B1512" s="3657" t="s">
        <v>649</v>
      </c>
      <c r="C1512" s="2026" t="s">
        <v>637</v>
      </c>
      <c r="D1512" s="900"/>
      <c r="E1512" s="900"/>
      <c r="F1512" s="901"/>
      <c r="G1512" s="901"/>
      <c r="H1512" s="901"/>
      <c r="I1512" s="901"/>
      <c r="J1512" s="901"/>
      <c r="K1512" s="901"/>
      <c r="L1512" s="901"/>
      <c r="M1512" s="901"/>
      <c r="N1512" s="901"/>
      <c r="O1512" s="902"/>
      <c r="P1512" s="901"/>
      <c r="Q1512" s="901"/>
      <c r="R1512" s="901"/>
      <c r="S1512" s="901"/>
      <c r="T1512" s="902"/>
      <c r="U1512" s="901"/>
      <c r="V1512" s="901"/>
      <c r="W1512" s="901"/>
      <c r="X1512" s="904"/>
      <c r="Y1512" s="902"/>
      <c r="Z1512" s="901"/>
      <c r="AA1512" s="901"/>
      <c r="AB1512" s="901"/>
      <c r="AC1512" s="904"/>
      <c r="AD1512" s="902"/>
      <c r="AE1512" s="901"/>
      <c r="AF1512" s="901"/>
      <c r="AG1512" s="901"/>
      <c r="AH1512" s="904"/>
      <c r="AI1512" s="902"/>
      <c r="AJ1512" s="901"/>
      <c r="AK1512" s="901"/>
      <c r="AL1512" s="901"/>
      <c r="AM1512" s="904"/>
      <c r="AN1512" s="902"/>
      <c r="AO1512" s="901"/>
      <c r="AP1512" s="901"/>
      <c r="AQ1512" s="903"/>
      <c r="AR1512" s="904"/>
      <c r="AS1512" s="902"/>
      <c r="AT1512" s="901"/>
      <c r="AU1512" s="901"/>
      <c r="AV1512" s="901"/>
      <c r="AW1512" s="904"/>
      <c r="AX1512" s="902"/>
      <c r="AY1512" s="901"/>
      <c r="AZ1512" s="901"/>
      <c r="BA1512" s="901"/>
      <c r="BB1512" s="904"/>
      <c r="BC1512" s="902"/>
      <c r="BD1512" s="901"/>
      <c r="BE1512" s="901"/>
      <c r="BF1512" s="901"/>
      <c r="BG1512" s="904"/>
      <c r="BH1512" s="902"/>
      <c r="BI1512" s="901"/>
      <c r="BJ1512" s="901"/>
      <c r="BK1512" s="901"/>
      <c r="BL1512" s="904"/>
      <c r="BM1512" s="901"/>
      <c r="BN1512" s="901"/>
      <c r="BO1512" s="901"/>
      <c r="BP1512" s="901"/>
      <c r="BQ1512" s="904"/>
      <c r="BR1512" s="901"/>
      <c r="BS1512" s="901"/>
      <c r="BT1512" s="901"/>
      <c r="BU1512" s="901"/>
      <c r="BV1512" s="904"/>
      <c r="BW1512" s="901"/>
      <c r="BX1512" s="901"/>
      <c r="BY1512" s="901"/>
      <c r="BZ1512" s="901"/>
      <c r="CA1512" s="904"/>
      <c r="CB1512" s="901"/>
      <c r="CC1512" s="901"/>
      <c r="CD1512" s="901"/>
      <c r="CE1512" s="901"/>
      <c r="CF1512" s="904"/>
      <c r="CG1512" s="901"/>
      <c r="CH1512" s="901"/>
      <c r="CI1512" s="901"/>
      <c r="CJ1512" s="901"/>
      <c r="CK1512" s="905"/>
      <c r="CL1512" s="1016"/>
      <c r="CM1512" s="901"/>
      <c r="CN1512" s="901"/>
      <c r="CO1512" s="901"/>
      <c r="CP1512" s="905"/>
      <c r="CQ1512" s="901"/>
      <c r="CR1512" s="901"/>
      <c r="CS1512" s="901"/>
      <c r="CT1512" s="1017"/>
      <c r="CU1512" s="905"/>
      <c r="CV1512" s="901"/>
      <c r="CW1512" s="901"/>
      <c r="CX1512" s="901"/>
      <c r="CY1512" s="1017"/>
      <c r="CZ1512" s="905"/>
      <c r="DA1512" s="1016"/>
      <c r="DB1512" s="901"/>
      <c r="DC1512" s="901"/>
      <c r="DD1512" s="1017"/>
      <c r="DE1512" s="905"/>
      <c r="DF1512" s="901"/>
      <c r="DG1512" s="901"/>
      <c r="DH1512" s="901"/>
      <c r="DI1512" s="1017"/>
      <c r="DJ1512" s="905"/>
      <c r="DK1512" s="901"/>
      <c r="DL1512" s="901"/>
      <c r="DM1512" s="901"/>
      <c r="DN1512" s="1017"/>
      <c r="DO1512" s="905"/>
      <c r="DP1512" s="901"/>
      <c r="DQ1512" s="901"/>
      <c r="DR1512" s="901"/>
      <c r="DS1512" s="1017"/>
      <c r="DT1512" s="905"/>
      <c r="DU1512" s="901"/>
      <c r="DV1512" s="901"/>
      <c r="DW1512" s="901"/>
      <c r="DX1512" s="1017"/>
      <c r="DY1512" s="905"/>
      <c r="DZ1512" s="901"/>
      <c r="EA1512" s="901"/>
      <c r="EB1512" s="901"/>
      <c r="EC1512" s="1017"/>
      <c r="ED1512" s="905"/>
      <c r="EE1512" s="1016"/>
      <c r="EF1512" s="901"/>
      <c r="EG1512" s="901"/>
      <c r="EH1512" s="1017"/>
      <c r="EI1512" s="1016"/>
      <c r="EJ1512" s="905"/>
      <c r="EK1512" s="905"/>
      <c r="EL1512" s="905"/>
      <c r="EM1512" s="905"/>
      <c r="EN1512" s="905"/>
      <c r="EO1512" s="1017"/>
      <c r="EP1512" s="1017"/>
      <c r="EQ1512" s="1017"/>
      <c r="ER1512" s="1017"/>
      <c r="ES1512" s="905"/>
      <c r="ET1512" s="905"/>
      <c r="EU1512" s="905"/>
      <c r="EV1512" s="905"/>
      <c r="EW1512" s="905"/>
      <c r="EX1512" s="899"/>
    </row>
    <row r="1513" spans="1:154" outlineLevel="1">
      <c r="B1513" s="3666" t="s">
        <v>153</v>
      </c>
      <c r="C1513" s="2026" t="s">
        <v>638</v>
      </c>
      <c r="D1513" s="900"/>
      <c r="E1513" s="900"/>
      <c r="F1513" s="901"/>
      <c r="G1513" s="901"/>
      <c r="H1513" s="901"/>
      <c r="I1513" s="901"/>
      <c r="J1513" s="901"/>
      <c r="K1513" s="901"/>
      <c r="L1513" s="901"/>
      <c r="M1513" s="901"/>
      <c r="N1513" s="901"/>
      <c r="O1513" s="902"/>
      <c r="P1513" s="901"/>
      <c r="Q1513" s="901"/>
      <c r="R1513" s="901"/>
      <c r="S1513" s="901"/>
      <c r="T1513" s="902"/>
      <c r="U1513" s="901"/>
      <c r="V1513" s="901"/>
      <c r="W1513" s="901"/>
      <c r="X1513" s="905"/>
      <c r="Y1513" s="902"/>
      <c r="Z1513" s="901"/>
      <c r="AA1513" s="901"/>
      <c r="AB1513" s="901"/>
      <c r="AC1513" s="905"/>
      <c r="AD1513" s="902"/>
      <c r="AE1513" s="901"/>
      <c r="AF1513" s="901"/>
      <c r="AG1513" s="901"/>
      <c r="AH1513" s="905"/>
      <c r="AI1513" s="902"/>
      <c r="AJ1513" s="901"/>
      <c r="AK1513" s="901"/>
      <c r="AL1513" s="901"/>
      <c r="AM1513" s="905"/>
      <c r="AN1513" s="902"/>
      <c r="AO1513" s="901"/>
      <c r="AP1513" s="901"/>
      <c r="AQ1513" s="903"/>
      <c r="AR1513" s="905"/>
      <c r="AS1513" s="902"/>
      <c r="AT1513" s="901"/>
      <c r="AU1513" s="901"/>
      <c r="AV1513" s="901"/>
      <c r="AW1513" s="905"/>
      <c r="AX1513" s="902"/>
      <c r="AY1513" s="901"/>
      <c r="AZ1513" s="901"/>
      <c r="BA1513" s="901"/>
      <c r="BB1513" s="905"/>
      <c r="BC1513" s="902"/>
      <c r="BD1513" s="901"/>
      <c r="BE1513" s="901"/>
      <c r="BF1513" s="901"/>
      <c r="BG1513" s="905"/>
      <c r="BH1513" s="902"/>
      <c r="BI1513" s="901"/>
      <c r="BJ1513" s="901"/>
      <c r="BK1513" s="901"/>
      <c r="BL1513" s="905"/>
      <c r="BM1513" s="901"/>
      <c r="BN1513" s="3652"/>
      <c r="BO1513" s="901"/>
      <c r="BP1513" s="901"/>
      <c r="BQ1513" s="905"/>
      <c r="BR1513" s="901"/>
      <c r="BS1513" s="3652"/>
      <c r="BT1513" s="901"/>
      <c r="BU1513" s="901"/>
      <c r="BV1513" s="905"/>
      <c r="BW1513" s="3652"/>
      <c r="BX1513" s="3652"/>
      <c r="BY1513" s="3652"/>
      <c r="BZ1513" s="3652"/>
      <c r="CA1513" s="905"/>
      <c r="CB1513" s="3652"/>
      <c r="CC1513" s="901"/>
      <c r="CD1513" s="3652"/>
      <c r="CE1513" s="3652"/>
      <c r="CF1513" s="905"/>
      <c r="CG1513" s="3652"/>
      <c r="CH1513" s="3652"/>
      <c r="CI1513" s="3652"/>
      <c r="CJ1513" s="3652"/>
      <c r="CK1513" s="905"/>
      <c r="CL1513" s="1016"/>
      <c r="CM1513" s="901"/>
      <c r="CN1513" s="901"/>
      <c r="CO1513" s="3652"/>
      <c r="CP1513" s="3667"/>
      <c r="CQ1513" s="901"/>
      <c r="CR1513" s="901"/>
      <c r="CS1513" s="901"/>
      <c r="CT1513" s="1017"/>
      <c r="CU1513" s="3667"/>
      <c r="CV1513" s="901"/>
      <c r="CW1513" s="901"/>
      <c r="CX1513" s="901"/>
      <c r="CY1513" s="1017"/>
      <c r="CZ1513" s="3667"/>
      <c r="DA1513" s="3733"/>
      <c r="DB1513" s="3652"/>
      <c r="DC1513" s="3652"/>
      <c r="DD1513" s="1017">
        <f>+DE1513-SUM(DA1513:DC1513)</f>
      </c>
      <c r="DE1513" s="3667"/>
      <c r="DF1513" s="3652"/>
      <c r="DG1513" s="3652">
        <v>10</v>
      </c>
      <c r="DH1513" s="3652">
        <v>10</v>
      </c>
      <c r="DI1513" s="1017">
        <f>+DJ1513-SUM(DF1513:DH1513)</f>
      </c>
      <c r="DJ1513" s="3667">
        <v>32</v>
      </c>
      <c r="DK1513" s="3652">
        <v>10</v>
      </c>
      <c r="DL1513" s="3652">
        <f>$DO1513/4</f>
      </c>
      <c r="DM1513" s="3652">
        <f>$DO1513/4</f>
      </c>
      <c r="DN1513" s="1017">
        <f>DO1513-SUM(DK1513:DM1513)</f>
      </c>
      <c r="DO1513" s="3667">
        <v>73</v>
      </c>
      <c r="DP1513" s="3739">
        <f>$DT1513*0.235</f>
      </c>
      <c r="DQ1513" s="3739">
        <f>$DT1513*0.245</f>
      </c>
      <c r="DR1513" s="3739">
        <f>$DT1513*0.255</f>
      </c>
      <c r="DS1513" s="3740">
        <f>DT1513-SUM(DP1513:DR1513)</f>
      </c>
      <c r="DT1513" s="3667">
        <v>125</v>
      </c>
      <c r="DU1513" s="3652">
        <v>20</v>
      </c>
      <c r="DV1513" s="3652">
        <v>29</v>
      </c>
      <c r="DW1513" s="3652">
        <v>30</v>
      </c>
      <c r="DX1513" s="3668">
        <f>DY1513-SUM(DU1513:DW1513)</f>
      </c>
      <c r="DY1513" s="3669">
        <v>111</v>
      </c>
      <c r="DZ1513" s="3652">
        <v>29</v>
      </c>
      <c r="EA1513" s="3652">
        <v>29</v>
      </c>
      <c r="EB1513" s="3652">
        <v>30</v>
      </c>
      <c r="EC1513" s="3668">
        <f>ED1513-SUM(DZ1513:EB1513)</f>
      </c>
      <c r="ED1513" s="3669">
        <v>225</v>
      </c>
      <c r="EE1513" s="3670">
        <v>30</v>
      </c>
      <c r="EF1513" s="3671">
        <v>30</v>
      </c>
      <c r="EG1513" s="3671">
        <v>30</v>
      </c>
      <c r="EH1513" s="3668">
        <f>EI1513-SUM(EE1513:EG1513)</f>
      </c>
      <c r="EI1513" s="3670">
        <v>350</v>
      </c>
      <c r="EJ1513" s="3669">
        <f>EI1513*1.05</f>
      </c>
      <c r="EK1513" s="3669">
        <f t="shared" ref="EK1513:EQ1513" si="2949">EJ1513*1.05</f>
      </c>
      <c r="EL1513" s="3669">
        <f t="shared" si="2949"/>
      </c>
      <c r="EM1513" s="3669">
        <f t="shared" si="2949"/>
      </c>
      <c r="EN1513" s="3669">
        <f t="shared" si="2949"/>
      </c>
      <c r="EO1513" s="3736">
        <f t="shared" si="2949"/>
      </c>
      <c r="EP1513" s="3736">
        <f t="shared" si="2949"/>
      </c>
      <c r="EQ1513" s="3736">
        <f t="shared" si="2949"/>
      </c>
      <c r="ER1513" s="3668"/>
      <c r="ES1513" s="3668"/>
      <c r="ET1513" s="3668"/>
      <c r="EU1513" s="3668"/>
      <c r="EV1513" s="3668"/>
      <c r="EW1513" s="3668"/>
      <c r="EX1513" s="1021"/>
    </row>
    <row r="1514" spans="1:154" outlineLevel="1">
      <c r="B1514" s="3666" t="s">
        <v>235</v>
      </c>
      <c r="C1514" s="2026"/>
      <c r="D1514" s="900"/>
      <c r="E1514" s="900"/>
      <c r="F1514" s="901"/>
      <c r="G1514" s="901"/>
      <c r="H1514" s="901"/>
      <c r="I1514" s="901"/>
      <c r="J1514" s="901"/>
      <c r="K1514" s="901"/>
      <c r="L1514" s="901"/>
      <c r="M1514" s="901"/>
      <c r="N1514" s="901"/>
      <c r="O1514" s="902"/>
      <c r="P1514" s="901"/>
      <c r="Q1514" s="901"/>
      <c r="R1514" s="901"/>
      <c r="S1514" s="901"/>
      <c r="T1514" s="902"/>
      <c r="U1514" s="901"/>
      <c r="V1514" s="901"/>
      <c r="W1514" s="901"/>
      <c r="X1514" s="905"/>
      <c r="Y1514" s="902"/>
      <c r="Z1514" s="901"/>
      <c r="AA1514" s="901"/>
      <c r="AB1514" s="901"/>
      <c r="AC1514" s="905"/>
      <c r="AD1514" s="902"/>
      <c r="AE1514" s="901"/>
      <c r="AF1514" s="901"/>
      <c r="AG1514" s="901"/>
      <c r="AH1514" s="905"/>
      <c r="AI1514" s="902"/>
      <c r="AJ1514" s="901"/>
      <c r="AK1514" s="901"/>
      <c r="AL1514" s="901"/>
      <c r="AM1514" s="905"/>
      <c r="AN1514" s="902"/>
      <c r="AO1514" s="901"/>
      <c r="AP1514" s="901"/>
      <c r="AQ1514" s="903"/>
      <c r="AR1514" s="905"/>
      <c r="AS1514" s="902"/>
      <c r="AT1514" s="901"/>
      <c r="AU1514" s="901"/>
      <c r="AV1514" s="901"/>
      <c r="AW1514" s="905"/>
      <c r="AX1514" s="902"/>
      <c r="AY1514" s="901"/>
      <c r="AZ1514" s="901"/>
      <c r="BA1514" s="901"/>
      <c r="BB1514" s="905"/>
      <c r="BC1514" s="902"/>
      <c r="BD1514" s="901"/>
      <c r="BE1514" s="901"/>
      <c r="BF1514" s="901"/>
      <c r="BG1514" s="905"/>
      <c r="BH1514" s="902"/>
      <c r="BI1514" s="901"/>
      <c r="BJ1514" s="901"/>
      <c r="BK1514" s="901"/>
      <c r="BL1514" s="905"/>
      <c r="BM1514" s="901"/>
      <c r="BN1514" s="3652"/>
      <c r="BO1514" s="901"/>
      <c r="BP1514" s="901"/>
      <c r="BQ1514" s="905"/>
      <c r="BR1514" s="901"/>
      <c r="BS1514" s="3652"/>
      <c r="BT1514" s="901"/>
      <c r="BU1514" s="901"/>
      <c r="BV1514" s="905"/>
      <c r="BW1514" s="3652"/>
      <c r="BX1514" s="3652"/>
      <c r="BY1514" s="3652"/>
      <c r="BZ1514" s="3652"/>
      <c r="CA1514" s="905"/>
      <c r="CB1514" s="3652"/>
      <c r="CC1514" s="901"/>
      <c r="CD1514" s="3652"/>
      <c r="CE1514" s="3652"/>
      <c r="CF1514" s="905"/>
      <c r="CG1514" s="3652"/>
      <c r="CH1514" s="3652"/>
      <c r="CI1514" s="3652"/>
      <c r="CJ1514" s="3652"/>
      <c r="CK1514" s="905"/>
      <c r="CL1514" s="1016"/>
      <c r="CM1514" s="901"/>
      <c r="CN1514" s="901"/>
      <c r="CO1514" s="3652"/>
      <c r="CP1514" s="3667"/>
      <c r="CQ1514" s="901"/>
      <c r="CR1514" s="901"/>
      <c r="CS1514" s="901"/>
      <c r="CT1514" s="1017"/>
      <c r="CU1514" s="3667"/>
      <c r="CV1514" s="901"/>
      <c r="CW1514" s="901"/>
      <c r="CX1514" s="901"/>
      <c r="CY1514" s="1017"/>
      <c r="CZ1514" s="3667"/>
      <c r="DA1514" s="3733"/>
      <c r="DB1514" s="3652"/>
      <c r="DC1514" s="3652"/>
      <c r="DD1514" s="1017">
        <f>+DE1514-SUM(DA1514:DC1514)</f>
      </c>
      <c r="DE1514" s="3667"/>
      <c r="DF1514" s="3652"/>
      <c r="DG1514" s="3652">
        <v>5</v>
      </c>
      <c r="DH1514" s="3652">
        <v>5</v>
      </c>
      <c r="DI1514" s="1017">
        <f>+DJ1514-SUM(DF1514:DH1514)</f>
      </c>
      <c r="DJ1514" s="3667">
        <v>20</v>
      </c>
      <c r="DK1514" s="3652">
        <v>5</v>
      </c>
      <c r="DL1514" s="3652">
        <f>$DO1514/4</f>
      </c>
      <c r="DM1514" s="3652">
        <f>$DO1514/4</f>
      </c>
      <c r="DN1514" s="1017">
        <f>DO1514-SUM(DK1514:DM1514)</f>
      </c>
      <c r="DO1514" s="3667">
        <v>50</v>
      </c>
      <c r="DP1514" s="3739">
        <f>$DT1514*0.235</f>
      </c>
      <c r="DQ1514" s="3739">
        <f>$DT1514*0.245</f>
      </c>
      <c r="DR1514" s="3739">
        <f>$DT1514*0.255</f>
      </c>
      <c r="DS1514" s="3740">
        <f>DT1514-SUM(DP1514:DR1514)</f>
      </c>
      <c r="DT1514" s="3667">
        <v>50</v>
      </c>
      <c r="DU1514" s="3652">
        <f>$DT1514*0.235</f>
      </c>
      <c r="DV1514" s="3652">
        <f>$DT1514*0.245</f>
      </c>
      <c r="DW1514" s="3652">
        <f>$DT1514*0.255</f>
      </c>
      <c r="DX1514" s="3668">
        <f>DY1514-SUM(DU1514:DW1514)</f>
      </c>
      <c r="DY1514" s="3669">
        <v>50</v>
      </c>
      <c r="DZ1514" s="3652">
        <f>$DT1514*0.245</f>
      </c>
      <c r="EA1514" s="3652">
        <f>$DT1514*0.245</f>
      </c>
      <c r="EB1514" s="3652">
        <f>$DT1514*0.255</f>
      </c>
      <c r="EC1514" s="3668">
        <f>ED1514-SUM(DZ1514:EB1514)</f>
      </c>
      <c r="ED1514" s="3669">
        <v>65</v>
      </c>
      <c r="EE1514" s="3670">
        <f>$DT1514*0.255</f>
      </c>
      <c r="EF1514" s="3671">
        <f>$DT1514*0.255</f>
      </c>
      <c r="EG1514" s="3671">
        <f>$DT1514*0.255</f>
      </c>
      <c r="EH1514" s="3668">
        <f>EI1514-SUM(EE1514:EG1514)</f>
      </c>
      <c r="EI1514" s="3670">
        <v>150</v>
      </c>
      <c r="EJ1514" s="3669">
        <f>EI1514*1.05</f>
      </c>
      <c r="EK1514" s="3669">
        <f t="shared" ref="EK1514:EQ1514" si="2950">EJ1514*1.05</f>
      </c>
      <c r="EL1514" s="3669">
        <f t="shared" si="2950"/>
      </c>
      <c r="EM1514" s="3669">
        <f t="shared" si="2950"/>
      </c>
      <c r="EN1514" s="3669">
        <f t="shared" si="2950"/>
      </c>
      <c r="EO1514" s="3736">
        <f t="shared" si="2950"/>
      </c>
      <c r="EP1514" s="3736">
        <f t="shared" si="2950"/>
      </c>
      <c r="EQ1514" s="3736">
        <f t="shared" si="2950"/>
      </c>
      <c r="ER1514" s="3668"/>
      <c r="ES1514" s="3668"/>
      <c r="ET1514" s="3668"/>
      <c r="EU1514" s="3668"/>
      <c r="EV1514" s="3668"/>
      <c r="EW1514" s="3668"/>
      <c r="EX1514" s="1021"/>
    </row>
    <row r="1515" spans="1:154" outlineLevel="1">
      <c r="B1515" s="3666" t="s">
        <v>188</v>
      </c>
      <c r="C1515" s="2026"/>
      <c r="D1515" s="900"/>
      <c r="E1515" s="900"/>
      <c r="F1515" s="901"/>
      <c r="G1515" s="901"/>
      <c r="H1515" s="901"/>
      <c r="I1515" s="901"/>
      <c r="J1515" s="901"/>
      <c r="K1515" s="901"/>
      <c r="L1515" s="901"/>
      <c r="M1515" s="901"/>
      <c r="N1515" s="901"/>
      <c r="O1515" s="902"/>
      <c r="P1515" s="901"/>
      <c r="Q1515" s="901"/>
      <c r="R1515" s="901"/>
      <c r="S1515" s="901"/>
      <c r="T1515" s="902"/>
      <c r="U1515" s="901"/>
      <c r="V1515" s="901"/>
      <c r="W1515" s="901"/>
      <c r="X1515" s="905"/>
      <c r="Y1515" s="902"/>
      <c r="Z1515" s="901"/>
      <c r="AA1515" s="901"/>
      <c r="AB1515" s="901"/>
      <c r="AC1515" s="905"/>
      <c r="AD1515" s="902"/>
      <c r="AE1515" s="901"/>
      <c r="AF1515" s="901"/>
      <c r="AG1515" s="901"/>
      <c r="AH1515" s="905"/>
      <c r="AI1515" s="902"/>
      <c r="AJ1515" s="901"/>
      <c r="AK1515" s="901"/>
      <c r="AL1515" s="901"/>
      <c r="AM1515" s="905"/>
      <c r="AN1515" s="902"/>
      <c r="AO1515" s="901"/>
      <c r="AP1515" s="901"/>
      <c r="AQ1515" s="903"/>
      <c r="AR1515" s="905"/>
      <c r="AS1515" s="902"/>
      <c r="AT1515" s="901"/>
      <c r="AU1515" s="901"/>
      <c r="AV1515" s="901"/>
      <c r="AW1515" s="905"/>
      <c r="AX1515" s="902"/>
      <c r="AY1515" s="901"/>
      <c r="AZ1515" s="901"/>
      <c r="BA1515" s="901"/>
      <c r="BB1515" s="905"/>
      <c r="BC1515" s="902"/>
      <c r="BD1515" s="901"/>
      <c r="BE1515" s="901"/>
      <c r="BF1515" s="901"/>
      <c r="BG1515" s="905"/>
      <c r="BH1515" s="902"/>
      <c r="BI1515" s="901"/>
      <c r="BJ1515" s="901"/>
      <c r="BK1515" s="901"/>
      <c r="BL1515" s="905"/>
      <c r="BM1515" s="901"/>
      <c r="BN1515" s="901"/>
      <c r="BO1515" s="901"/>
      <c r="BP1515" s="901"/>
      <c r="BQ1515" s="905"/>
      <c r="BR1515" s="901"/>
      <c r="BS1515" s="901"/>
      <c r="BT1515" s="901"/>
      <c r="BU1515" s="901"/>
      <c r="BV1515" s="905"/>
      <c r="BW1515" s="901"/>
      <c r="BX1515" s="901"/>
      <c r="BY1515" s="901"/>
      <c r="BZ1515" s="901"/>
      <c r="CA1515" s="905"/>
      <c r="CB1515" s="901"/>
      <c r="CC1515" s="901"/>
      <c r="CD1515" s="901"/>
      <c r="CE1515" s="901"/>
      <c r="CF1515" s="905"/>
      <c r="CG1515" s="901"/>
      <c r="CH1515" s="901"/>
      <c r="CI1515" s="901"/>
      <c r="CJ1515" s="901"/>
      <c r="CK1515" s="905"/>
      <c r="CL1515" s="1016"/>
      <c r="CM1515" s="901"/>
      <c r="CN1515" s="901"/>
      <c r="CO1515" s="901"/>
      <c r="CP1515" s="905"/>
      <c r="CQ1515" s="901"/>
      <c r="CR1515" s="901"/>
      <c r="CS1515" s="901"/>
      <c r="CT1515" s="1017"/>
      <c r="CU1515" s="905"/>
      <c r="CV1515" s="901"/>
      <c r="CW1515" s="901"/>
      <c r="CX1515" s="901"/>
      <c r="CY1515" s="1017"/>
      <c r="CZ1515" s="905">
        <f>CZ1513+CZ1514</f>
      </c>
      <c r="DA1515" s="1016">
        <f t="shared" ref="DA1515:EJ1515" si="2951">SUM(DA1513:DA1514)</f>
      </c>
      <c r="DB1515" s="901">
        <f t="shared" si="2951"/>
      </c>
      <c r="DC1515" s="901">
        <f t="shared" si="2951"/>
      </c>
      <c r="DD1515" s="1017">
        <f t="shared" si="2951"/>
      </c>
      <c r="DE1515" s="905">
        <f t="shared" si="2951"/>
      </c>
      <c r="DF1515" s="901">
        <f t="shared" si="2951"/>
      </c>
      <c r="DG1515" s="901">
        <f t="shared" si="2951"/>
      </c>
      <c r="DH1515" s="901">
        <f t="shared" si="2951"/>
      </c>
      <c r="DI1515" s="1017">
        <f t="shared" si="2951"/>
      </c>
      <c r="DJ1515" s="905">
        <f t="shared" si="2951"/>
      </c>
      <c r="DK1515" s="901">
        <f t="shared" si="2951"/>
      </c>
      <c r="DL1515" s="901">
        <f t="shared" si="2951"/>
      </c>
      <c r="DM1515" s="901">
        <f t="shared" si="2951"/>
      </c>
      <c r="DN1515" s="1017">
        <f t="shared" si="2951"/>
      </c>
      <c r="DO1515" s="905">
        <f t="shared" si="2951"/>
      </c>
      <c r="DP1515" s="3741">
        <f t="shared" si="2951"/>
      </c>
      <c r="DQ1515" s="3741">
        <f t="shared" si="2951"/>
      </c>
      <c r="DR1515" s="3741">
        <f t="shared" si="2951"/>
      </c>
      <c r="DS1515" s="3742">
        <f t="shared" si="2951"/>
      </c>
      <c r="DT1515" s="905">
        <f t="shared" si="2951"/>
      </c>
      <c r="DU1515" s="901">
        <f t="shared" si="2951"/>
      </c>
      <c r="DV1515" s="901">
        <f t="shared" si="2951"/>
      </c>
      <c r="DW1515" s="901">
        <f t="shared" si="2951"/>
      </c>
      <c r="DX1515" s="1017">
        <f t="shared" si="2951"/>
      </c>
      <c r="DY1515" s="3672">
        <f t="shared" si="2951"/>
      </c>
      <c r="DZ1515" s="901">
        <f>SUM(DZ1513:DZ1514)</f>
      </c>
      <c r="EA1515" s="901">
        <f>SUM(EA1513:EA1514)</f>
      </c>
      <c r="EB1515" s="901">
        <f>SUM(EB1513:EB1514)</f>
      </c>
      <c r="EC1515" s="1017">
        <f>SUM(EC1513:EC1514)</f>
      </c>
      <c r="ED1515" s="3672">
        <f t="shared" ref="ED1515" si="2952">SUM(ED1513:ED1514)</f>
      </c>
      <c r="EE1515" s="3673">
        <f>SUM(EE1513:EE1514)</f>
      </c>
      <c r="EF1515" s="3674">
        <f>SUM(EF1513:EF1514)</f>
      </c>
      <c r="EG1515" s="3674">
        <f>SUM(EG1513:EG1514)</f>
      </c>
      <c r="EH1515" s="1017">
        <f>SUM(EH1513:EH1514)</f>
      </c>
      <c r="EI1515" s="3673">
        <f t="shared" si="2951"/>
      </c>
      <c r="EJ1515" s="3672">
        <f t="shared" si="2951"/>
      </c>
      <c r="EK1515" s="3672">
        <f t="shared" ref="EK1515:EQ1515" si="2953">SUM(EK1513:EK1514)</f>
      </c>
      <c r="EL1515" s="3672">
        <f t="shared" si="2953"/>
      </c>
      <c r="EM1515" s="3672">
        <f t="shared" si="2953"/>
      </c>
      <c r="EN1515" s="3672">
        <f t="shared" si="2953"/>
      </c>
      <c r="EO1515" s="3677">
        <f t="shared" si="2953"/>
      </c>
      <c r="EP1515" s="3677">
        <f t="shared" si="2953"/>
      </c>
      <c r="EQ1515" s="3677">
        <f t="shared" si="2953"/>
      </c>
      <c r="ER1515" s="1017"/>
      <c r="ES1515" s="1017"/>
      <c r="ET1515" s="1017"/>
      <c r="EU1515" s="1017"/>
      <c r="EV1515" s="1017"/>
      <c r="EW1515" s="1017"/>
      <c r="EX1515" s="915"/>
    </row>
    <row r="1516" spans="1:154" outlineLevel="1">
      <c r="B1516" s="3666"/>
      <c r="C1516" s="2026"/>
      <c r="D1516" s="900"/>
      <c r="E1516" s="900"/>
      <c r="F1516" s="901"/>
      <c r="G1516" s="901"/>
      <c r="H1516" s="901"/>
      <c r="I1516" s="901"/>
      <c r="J1516" s="901"/>
      <c r="K1516" s="901"/>
      <c r="L1516" s="901"/>
      <c r="M1516" s="901"/>
      <c r="N1516" s="901"/>
      <c r="O1516" s="902"/>
      <c r="P1516" s="901"/>
      <c r="Q1516" s="901"/>
      <c r="R1516" s="901"/>
      <c r="S1516" s="901"/>
      <c r="T1516" s="902"/>
      <c r="U1516" s="901"/>
      <c r="V1516" s="901"/>
      <c r="W1516" s="901"/>
      <c r="X1516" s="904"/>
      <c r="Y1516" s="902"/>
      <c r="Z1516" s="901"/>
      <c r="AA1516" s="901"/>
      <c r="AB1516" s="901"/>
      <c r="AC1516" s="904"/>
      <c r="AD1516" s="902"/>
      <c r="AE1516" s="901"/>
      <c r="AF1516" s="901"/>
      <c r="AG1516" s="901"/>
      <c r="AH1516" s="904"/>
      <c r="AI1516" s="902"/>
      <c r="AJ1516" s="901"/>
      <c r="AK1516" s="901"/>
      <c r="AL1516" s="901"/>
      <c r="AM1516" s="904"/>
      <c r="AN1516" s="902"/>
      <c r="AO1516" s="901"/>
      <c r="AP1516" s="901"/>
      <c r="AQ1516" s="903"/>
      <c r="AR1516" s="904"/>
      <c r="AS1516" s="902"/>
      <c r="AT1516" s="901"/>
      <c r="AU1516" s="901"/>
      <c r="AV1516" s="901"/>
      <c r="AW1516" s="904"/>
      <c r="AX1516" s="902"/>
      <c r="AY1516" s="901"/>
      <c r="AZ1516" s="901"/>
      <c r="BA1516" s="901"/>
      <c r="BB1516" s="904"/>
      <c r="BC1516" s="902"/>
      <c r="BD1516" s="901"/>
      <c r="BE1516" s="901"/>
      <c r="BF1516" s="901"/>
      <c r="BG1516" s="904"/>
      <c r="BH1516" s="902"/>
      <c r="BI1516" s="901"/>
      <c r="BJ1516" s="901"/>
      <c r="BK1516" s="901"/>
      <c r="BL1516" s="904"/>
      <c r="BM1516" s="901"/>
      <c r="BN1516" s="901"/>
      <c r="BO1516" s="901"/>
      <c r="BP1516" s="901"/>
      <c r="BQ1516" s="904"/>
      <c r="BR1516" s="901"/>
      <c r="BS1516" s="901"/>
      <c r="BT1516" s="901"/>
      <c r="BU1516" s="901"/>
      <c r="BV1516" s="904"/>
      <c r="BW1516" s="901"/>
      <c r="BX1516" s="901"/>
      <c r="BY1516" s="901"/>
      <c r="BZ1516" s="901"/>
      <c r="CA1516" s="904"/>
      <c r="CB1516" s="901"/>
      <c r="CC1516" s="901"/>
      <c r="CD1516" s="901"/>
      <c r="CE1516" s="901"/>
      <c r="CF1516" s="904"/>
      <c r="CG1516" s="901"/>
      <c r="CH1516" s="901"/>
      <c r="CI1516" s="901"/>
      <c r="CJ1516" s="901"/>
      <c r="CK1516" s="905"/>
      <c r="CL1516" s="1016"/>
      <c r="CM1516" s="901"/>
      <c r="CN1516" s="901"/>
      <c r="CO1516" s="901"/>
      <c r="CP1516" s="905"/>
      <c r="CQ1516" s="901"/>
      <c r="CR1516" s="901"/>
      <c r="CS1516" s="901"/>
      <c r="CT1516" s="1017"/>
      <c r="CU1516" s="905"/>
      <c r="CV1516" s="901"/>
      <c r="CW1516" s="901"/>
      <c r="CX1516" s="901"/>
      <c r="CY1516" s="1017"/>
      <c r="CZ1516" s="905"/>
      <c r="DA1516" s="1016"/>
      <c r="DB1516" s="901"/>
      <c r="DC1516" s="901"/>
      <c r="DD1516" s="1017"/>
      <c r="DE1516" s="905"/>
      <c r="DF1516" s="901"/>
      <c r="DG1516" s="901"/>
      <c r="DH1516" s="901"/>
      <c r="DI1516" s="1017"/>
      <c r="DJ1516" s="905"/>
      <c r="DK1516" s="901"/>
      <c r="DL1516" s="901"/>
      <c r="DM1516" s="901"/>
      <c r="DN1516" s="1017"/>
      <c r="DO1516" s="905"/>
      <c r="DP1516" s="901"/>
      <c r="DQ1516" s="901"/>
      <c r="DR1516" s="901"/>
      <c r="DS1516" s="1017"/>
      <c r="DT1516" s="905"/>
      <c r="DU1516" s="901"/>
      <c r="DV1516" s="901"/>
      <c r="DW1516" s="901"/>
      <c r="DX1516" s="1017"/>
      <c r="DY1516" s="905"/>
      <c r="DZ1516" s="901"/>
      <c r="EA1516" s="901"/>
      <c r="EB1516" s="901"/>
      <c r="EC1516" s="1017"/>
      <c r="ED1516" s="905"/>
      <c r="EE1516" s="1016"/>
      <c r="EF1516" s="901"/>
      <c r="EG1516" s="901"/>
      <c r="EH1516" s="1017"/>
      <c r="EI1516" s="1016"/>
      <c r="EJ1516" s="905"/>
      <c r="EK1516" s="905"/>
      <c r="EL1516" s="905"/>
      <c r="EM1516" s="905"/>
      <c r="EN1516" s="905"/>
      <c r="EO1516" s="1017"/>
      <c r="EP1516" s="1017"/>
      <c r="EQ1516" s="1017"/>
      <c r="ER1516" s="1017"/>
      <c r="ES1516" s="1017"/>
      <c r="ET1516" s="1017"/>
      <c r="EU1516" s="1017"/>
      <c r="EV1516" s="1017"/>
      <c r="EW1516" s="1017"/>
      <c r="EX1516" s="915"/>
    </row>
    <row r="1517" spans="1:154" outlineLevel="1">
      <c r="B1517" s="3657" t="str">
        <f>B1512</f>
      </c>
      <c r="C1517" s="2026"/>
      <c r="D1517" s="900"/>
      <c r="E1517" s="900"/>
      <c r="F1517" s="901"/>
      <c r="G1517" s="901"/>
      <c r="H1517" s="901"/>
      <c r="I1517" s="901"/>
      <c r="J1517" s="901"/>
      <c r="K1517" s="901"/>
      <c r="L1517" s="901"/>
      <c r="M1517" s="901"/>
      <c r="N1517" s="901"/>
      <c r="O1517" s="902"/>
      <c r="P1517" s="901"/>
      <c r="Q1517" s="901"/>
      <c r="R1517" s="901"/>
      <c r="S1517" s="901"/>
      <c r="T1517" s="902"/>
      <c r="U1517" s="901"/>
      <c r="V1517" s="901"/>
      <c r="W1517" s="901"/>
      <c r="X1517" s="905"/>
      <c r="Y1517" s="902"/>
      <c r="Z1517" s="901"/>
      <c r="AA1517" s="901"/>
      <c r="AB1517" s="901"/>
      <c r="AC1517" s="905"/>
      <c r="AD1517" s="902"/>
      <c r="AE1517" s="901"/>
      <c r="AF1517" s="901"/>
      <c r="AG1517" s="901"/>
      <c r="AH1517" s="905"/>
      <c r="AI1517" s="902"/>
      <c r="AJ1517" s="901"/>
      <c r="AK1517" s="901"/>
      <c r="AL1517" s="901"/>
      <c r="AM1517" s="905"/>
      <c r="AN1517" s="902"/>
      <c r="AO1517" s="901"/>
      <c r="AP1517" s="901"/>
      <c r="AQ1517" s="903"/>
      <c r="AR1517" s="905"/>
      <c r="AS1517" s="902"/>
      <c r="AT1517" s="901"/>
      <c r="AU1517" s="901"/>
      <c r="AV1517" s="901"/>
      <c r="AW1517" s="905"/>
      <c r="AX1517" s="902"/>
      <c r="AY1517" s="901"/>
      <c r="AZ1517" s="901"/>
      <c r="BA1517" s="901"/>
      <c r="BB1517" s="905"/>
      <c r="BC1517" s="902"/>
      <c r="BD1517" s="901"/>
      <c r="BE1517" s="901"/>
      <c r="BF1517" s="901"/>
      <c r="BG1517" s="905"/>
      <c r="BH1517" s="902"/>
      <c r="BI1517" s="901"/>
      <c r="BJ1517" s="901"/>
      <c r="BK1517" s="901"/>
      <c r="BL1517" s="905"/>
      <c r="BM1517" s="901"/>
      <c r="BN1517" s="3652"/>
      <c r="BO1517" s="901"/>
      <c r="BP1517" s="901"/>
      <c r="BQ1517" s="905"/>
      <c r="BR1517" s="901"/>
      <c r="BS1517" s="3652"/>
      <c r="BT1517" s="901"/>
      <c r="BU1517" s="901"/>
      <c r="BV1517" s="905"/>
      <c r="BW1517" s="3652"/>
      <c r="BX1517" s="3652"/>
      <c r="BY1517" s="3652"/>
      <c r="BZ1517" s="3652"/>
      <c r="CA1517" s="905"/>
      <c r="CB1517" s="3652"/>
      <c r="CC1517" s="901"/>
      <c r="CD1517" s="3652"/>
      <c r="CE1517" s="3652"/>
      <c r="CF1517" s="905"/>
      <c r="CG1517" s="3652"/>
      <c r="CH1517" s="3652"/>
      <c r="CI1517" s="3652"/>
      <c r="CJ1517" s="3652"/>
      <c r="CK1517" s="905"/>
      <c r="CL1517" s="1016"/>
      <c r="CM1517" s="901"/>
      <c r="CN1517" s="901"/>
      <c r="CO1517" s="3652"/>
      <c r="CP1517" s="3667"/>
      <c r="CQ1517" s="901"/>
      <c r="CR1517" s="901"/>
      <c r="CS1517" s="901"/>
      <c r="CT1517" s="1017"/>
      <c r="CU1517" s="3667"/>
      <c r="CV1517" s="901"/>
      <c r="CW1517" s="901"/>
      <c r="CX1517" s="901"/>
      <c r="CY1517" s="1017"/>
      <c r="CZ1517" s="3667"/>
      <c r="DA1517" s="3733"/>
      <c r="DB1517" s="3652"/>
      <c r="DC1517" s="3652"/>
      <c r="DD1517" s="3668"/>
      <c r="DE1517" s="3667"/>
      <c r="DF1517" s="3652"/>
      <c r="DG1517" s="3652"/>
      <c r="DH1517" s="3652"/>
      <c r="DI1517" s="3668"/>
      <c r="DJ1517" s="3667"/>
      <c r="DK1517" s="3652"/>
      <c r="DL1517" s="3652"/>
      <c r="DM1517" s="3652"/>
      <c r="DN1517" s="3668"/>
      <c r="DO1517" s="3667"/>
      <c r="DP1517" s="3652"/>
      <c r="DQ1517" s="3652"/>
      <c r="DR1517" s="3652"/>
      <c r="DS1517" s="3668"/>
      <c r="DT1517" s="3667"/>
      <c r="DU1517" s="3652"/>
      <c r="DV1517" s="3652"/>
      <c r="DW1517" s="3652"/>
      <c r="DX1517" s="3668"/>
      <c r="DY1517" s="3667"/>
      <c r="DZ1517" s="3652"/>
      <c r="EA1517" s="3652"/>
      <c r="EB1517" s="3652"/>
      <c r="EC1517" s="3668"/>
      <c r="ED1517" s="3667"/>
      <c r="EE1517" s="3733"/>
      <c r="EF1517" s="3652"/>
      <c r="EG1517" s="3652"/>
      <c r="EH1517" s="3668"/>
      <c r="EI1517" s="3733"/>
      <c r="EJ1517" s="3667"/>
      <c r="EK1517" s="3667"/>
      <c r="EL1517" s="3667"/>
      <c r="EM1517" s="3667"/>
      <c r="EN1517" s="3667"/>
      <c r="EO1517" s="3668"/>
      <c r="EP1517" s="3668"/>
      <c r="EQ1517" s="3668"/>
      <c r="ER1517" s="3668"/>
      <c r="ES1517" s="3668"/>
      <c r="ET1517" s="3668"/>
      <c r="EU1517" s="3668"/>
      <c r="EV1517" s="3668"/>
      <c r="EW1517" s="3668"/>
      <c r="EX1517" s="1021"/>
    </row>
    <row r="1518" spans="1:154" outlineLevel="1">
      <c r="B1518" s="3666" t="s">
        <v>153</v>
      </c>
      <c r="C1518" s="3738">
        <v>1</v>
      </c>
      <c r="D1518" s="900"/>
      <c r="E1518" s="900"/>
      <c r="F1518" s="901"/>
      <c r="G1518" s="901"/>
      <c r="H1518" s="901"/>
      <c r="I1518" s="901"/>
      <c r="J1518" s="901"/>
      <c r="K1518" s="901"/>
      <c r="L1518" s="901"/>
      <c r="M1518" s="901"/>
      <c r="N1518" s="901"/>
      <c r="O1518" s="902"/>
      <c r="P1518" s="901"/>
      <c r="Q1518" s="901"/>
      <c r="R1518" s="901"/>
      <c r="S1518" s="901"/>
      <c r="T1518" s="902"/>
      <c r="U1518" s="901"/>
      <c r="V1518" s="901"/>
      <c r="W1518" s="901"/>
      <c r="X1518" s="905"/>
      <c r="Y1518" s="902"/>
      <c r="Z1518" s="901"/>
      <c r="AA1518" s="901"/>
      <c r="AB1518" s="901"/>
      <c r="AC1518" s="905"/>
      <c r="AD1518" s="902"/>
      <c r="AE1518" s="901"/>
      <c r="AF1518" s="901"/>
      <c r="AG1518" s="901"/>
      <c r="AH1518" s="905"/>
      <c r="AI1518" s="902"/>
      <c r="AJ1518" s="901"/>
      <c r="AK1518" s="901"/>
      <c r="AL1518" s="901"/>
      <c r="AM1518" s="905"/>
      <c r="AN1518" s="902"/>
      <c r="AO1518" s="901"/>
      <c r="AP1518" s="901"/>
      <c r="AQ1518" s="903"/>
      <c r="AR1518" s="905"/>
      <c r="AS1518" s="902"/>
      <c r="AT1518" s="901"/>
      <c r="AU1518" s="901"/>
      <c r="AV1518" s="901"/>
      <c r="AW1518" s="905"/>
      <c r="AX1518" s="902"/>
      <c r="AY1518" s="901"/>
      <c r="AZ1518" s="901"/>
      <c r="BA1518" s="901"/>
      <c r="BB1518" s="905"/>
      <c r="BC1518" s="902"/>
      <c r="BD1518" s="901"/>
      <c r="BE1518" s="901"/>
      <c r="BF1518" s="901"/>
      <c r="BG1518" s="905"/>
      <c r="BH1518" s="902"/>
      <c r="BI1518" s="901"/>
      <c r="BJ1518" s="901"/>
      <c r="BK1518" s="901"/>
      <c r="BL1518" s="905"/>
      <c r="BM1518" s="901"/>
      <c r="BN1518" s="901"/>
      <c r="BO1518" s="901"/>
      <c r="BP1518" s="901"/>
      <c r="BQ1518" s="905"/>
      <c r="BR1518" s="901"/>
      <c r="BS1518" s="901"/>
      <c r="BT1518" s="901"/>
      <c r="BU1518" s="901"/>
      <c r="BV1518" s="905"/>
      <c r="BW1518" s="901"/>
      <c r="BX1518" s="901"/>
      <c r="BY1518" s="901"/>
      <c r="BZ1518" s="901"/>
      <c r="CA1518" s="905"/>
      <c r="CB1518" s="901"/>
      <c r="CC1518" s="901"/>
      <c r="CD1518" s="901"/>
      <c r="CE1518" s="901"/>
      <c r="CF1518" s="905"/>
      <c r="CG1518" s="901"/>
      <c r="CH1518" s="901"/>
      <c r="CI1518" s="901"/>
      <c r="CJ1518" s="901"/>
      <c r="CK1518" s="905"/>
      <c r="CL1518" s="1016"/>
      <c r="CM1518" s="901"/>
      <c r="CN1518" s="901"/>
      <c r="CO1518" s="901"/>
      <c r="CP1518" s="905"/>
      <c r="CQ1518" s="901"/>
      <c r="CR1518" s="901"/>
      <c r="CS1518" s="901"/>
      <c r="CT1518" s="1017"/>
      <c r="CU1518" s="905"/>
      <c r="CV1518" s="901"/>
      <c r="CW1518" s="901"/>
      <c r="CX1518" s="901"/>
      <c r="CY1518" s="1017"/>
      <c r="CZ1518" s="905">
        <f t="shared" ref="CZ1518:DK1518" si="2954">$C1518*CZ1513</f>
      </c>
      <c r="DA1518" s="1016">
        <f t="shared" si="2954"/>
      </c>
      <c r="DB1518" s="901">
        <f t="shared" si="2954"/>
      </c>
      <c r="DC1518" s="901">
        <f t="shared" si="2954"/>
      </c>
      <c r="DD1518" s="1017">
        <f t="shared" si="2954"/>
      </c>
      <c r="DE1518" s="905">
        <f t="shared" si="2954"/>
      </c>
      <c r="DF1518" s="901">
        <f t="shared" si="2954"/>
      </c>
      <c r="DG1518" s="901">
        <f t="shared" ref="DG1518:DI1519" si="2955">$C1518*DG1513</f>
      </c>
      <c r="DH1518" s="901">
        <f t="shared" si="2955"/>
      </c>
      <c r="DI1518" s="1017">
        <f t="shared" si="2955"/>
      </c>
      <c r="DJ1518" s="905">
        <f t="shared" si="2954"/>
      </c>
      <c r="DK1518" s="901">
        <f t="shared" si="2954"/>
      </c>
      <c r="DL1518" s="901">
        <f t="shared" ref="DL1518:DS1519" si="2956">$C1518*DL1513</f>
      </c>
      <c r="DM1518" s="901">
        <f t="shared" si="2956"/>
      </c>
      <c r="DN1518" s="1017">
        <f t="shared" si="2956"/>
      </c>
      <c r="DO1518" s="905">
        <f t="shared" si="2956"/>
      </c>
      <c r="DP1518" s="901">
        <f t="shared" si="2956"/>
      </c>
      <c r="DQ1518" s="901">
        <f t="shared" ref="DQ1518:EI1519" si="2957">$C1518*DQ1513</f>
      </c>
      <c r="DR1518" s="901">
        <f t="shared" si="2957"/>
      </c>
      <c r="DS1518" s="1017">
        <f t="shared" si="2957"/>
      </c>
      <c r="DT1518" s="905">
        <f t="shared" si="2957"/>
      </c>
      <c r="DU1518" s="901">
        <f t="shared" si="2957"/>
      </c>
      <c r="DV1518" s="901">
        <f t="shared" si="2957"/>
      </c>
      <c r="DW1518" s="901">
        <f t="shared" si="2957"/>
      </c>
      <c r="DX1518" s="1017">
        <f t="shared" si="2957"/>
      </c>
      <c r="DY1518" s="905">
        <f t="shared" si="2957"/>
      </c>
      <c r="DZ1518" s="901">
        <f t="shared" si="2957"/>
      </c>
      <c r="EA1518" s="901">
        <f t="shared" si="2957"/>
      </c>
      <c r="EB1518" s="901">
        <f t="shared" si="2957"/>
      </c>
      <c r="EC1518" s="1017">
        <f t="shared" si="2957"/>
      </c>
      <c r="ED1518" s="905">
        <f t="shared" si="2957"/>
      </c>
      <c r="EE1518" s="1016">
        <f t="shared" si="2957"/>
      </c>
      <c r="EF1518" s="901">
        <f t="shared" si="2957"/>
      </c>
      <c r="EG1518" s="901">
        <f t="shared" si="2957"/>
      </c>
      <c r="EH1518" s="1017">
        <f t="shared" si="2957"/>
      </c>
      <c r="EI1518" s="1016">
        <f t="shared" si="2957"/>
      </c>
      <c r="EJ1518" s="905">
        <f t="shared" ref="EJ1518:EQ1518" si="2958">$C1518*EJ1513</f>
      </c>
      <c r="EK1518" s="905">
        <f t="shared" si="2958"/>
      </c>
      <c r="EL1518" s="905">
        <f t="shared" si="2958"/>
      </c>
      <c r="EM1518" s="905">
        <f t="shared" si="2958"/>
      </c>
      <c r="EN1518" s="905">
        <f t="shared" si="2958"/>
      </c>
      <c r="EO1518" s="1017">
        <f t="shared" si="2958"/>
      </c>
      <c r="EP1518" s="1017">
        <f t="shared" si="2958"/>
      </c>
      <c r="EQ1518" s="1017">
        <f t="shared" si="2958"/>
      </c>
      <c r="ER1518" s="1017"/>
      <c r="ES1518" s="1017"/>
      <c r="ET1518" s="1017"/>
      <c r="EU1518" s="1017"/>
      <c r="EV1518" s="1017"/>
      <c r="EW1518" s="1017"/>
      <c r="EX1518" s="915"/>
    </row>
    <row r="1519" spans="1:154" outlineLevel="1">
      <c r="B1519" s="3666" t="s">
        <v>235</v>
      </c>
      <c r="C1519" s="3738">
        <v>1</v>
      </c>
      <c r="D1519" s="900"/>
      <c r="E1519" s="900"/>
      <c r="F1519" s="901"/>
      <c r="G1519" s="901"/>
      <c r="H1519" s="901"/>
      <c r="I1519" s="901"/>
      <c r="J1519" s="901"/>
      <c r="K1519" s="901"/>
      <c r="L1519" s="901"/>
      <c r="M1519" s="901"/>
      <c r="N1519" s="901"/>
      <c r="O1519" s="902"/>
      <c r="P1519" s="901"/>
      <c r="Q1519" s="901"/>
      <c r="R1519" s="901"/>
      <c r="S1519" s="901"/>
      <c r="T1519" s="902"/>
      <c r="U1519" s="901"/>
      <c r="V1519" s="901"/>
      <c r="W1519" s="901"/>
      <c r="X1519" s="904"/>
      <c r="Y1519" s="902"/>
      <c r="Z1519" s="901"/>
      <c r="AA1519" s="901"/>
      <c r="AB1519" s="901"/>
      <c r="AC1519" s="904"/>
      <c r="AD1519" s="902"/>
      <c r="AE1519" s="901"/>
      <c r="AF1519" s="901"/>
      <c r="AG1519" s="901"/>
      <c r="AH1519" s="904"/>
      <c r="AI1519" s="902"/>
      <c r="AJ1519" s="901"/>
      <c r="AK1519" s="901"/>
      <c r="AL1519" s="901"/>
      <c r="AM1519" s="904"/>
      <c r="AN1519" s="902"/>
      <c r="AO1519" s="901"/>
      <c r="AP1519" s="901"/>
      <c r="AQ1519" s="903"/>
      <c r="AR1519" s="904"/>
      <c r="AS1519" s="902"/>
      <c r="AT1519" s="901"/>
      <c r="AU1519" s="901"/>
      <c r="AV1519" s="901"/>
      <c r="AW1519" s="904"/>
      <c r="AX1519" s="902"/>
      <c r="AY1519" s="901"/>
      <c r="AZ1519" s="901"/>
      <c r="BA1519" s="901"/>
      <c r="BB1519" s="904"/>
      <c r="BC1519" s="902"/>
      <c r="BD1519" s="901"/>
      <c r="BE1519" s="901"/>
      <c r="BF1519" s="901"/>
      <c r="BG1519" s="904"/>
      <c r="BH1519" s="902"/>
      <c r="BI1519" s="901"/>
      <c r="BJ1519" s="901"/>
      <c r="BK1519" s="901"/>
      <c r="BL1519" s="904"/>
      <c r="BM1519" s="901"/>
      <c r="BN1519" s="901"/>
      <c r="BO1519" s="901"/>
      <c r="BP1519" s="901"/>
      <c r="BQ1519" s="904"/>
      <c r="BR1519" s="901"/>
      <c r="BS1519" s="901"/>
      <c r="BT1519" s="901"/>
      <c r="BU1519" s="901"/>
      <c r="BV1519" s="904"/>
      <c r="BW1519" s="901"/>
      <c r="BX1519" s="901"/>
      <c r="BY1519" s="901"/>
      <c r="BZ1519" s="901"/>
      <c r="CA1519" s="904"/>
      <c r="CB1519" s="901"/>
      <c r="CC1519" s="901"/>
      <c r="CD1519" s="901"/>
      <c r="CE1519" s="901"/>
      <c r="CF1519" s="904"/>
      <c r="CG1519" s="901"/>
      <c r="CH1519" s="901"/>
      <c r="CI1519" s="901"/>
      <c r="CJ1519" s="901"/>
      <c r="CK1519" s="905"/>
      <c r="CL1519" s="1016"/>
      <c r="CM1519" s="901"/>
      <c r="CN1519" s="901"/>
      <c r="CO1519" s="901"/>
      <c r="CP1519" s="905"/>
      <c r="CQ1519" s="901"/>
      <c r="CR1519" s="901"/>
      <c r="CS1519" s="901"/>
      <c r="CT1519" s="1017"/>
      <c r="CU1519" s="905"/>
      <c r="CV1519" s="901"/>
      <c r="CW1519" s="901"/>
      <c r="CX1519" s="901"/>
      <c r="CY1519" s="1017"/>
      <c r="CZ1519" s="905">
        <f t="shared" ref="CZ1519:DF1519" si="2959">$C1519*CZ1514</f>
      </c>
      <c r="DA1519" s="1016">
        <f t="shared" si="2959"/>
      </c>
      <c r="DB1519" s="901">
        <f t="shared" si="2959"/>
      </c>
      <c r="DC1519" s="901">
        <f t="shared" si="2959"/>
      </c>
      <c r="DD1519" s="1017">
        <f t="shared" si="2959"/>
      </c>
      <c r="DE1519" s="905">
        <f t="shared" si="2959"/>
      </c>
      <c r="DF1519" s="901">
        <f t="shared" si="2959"/>
      </c>
      <c r="DG1519" s="901">
        <f t="shared" si="2955"/>
      </c>
      <c r="DH1519" s="901">
        <f t="shared" si="2955"/>
      </c>
      <c r="DI1519" s="1017">
        <f t="shared" si="2955"/>
      </c>
      <c r="DJ1519" s="905">
        <f t="shared" ref="DJ1519:DO1519" si="2960">$C1519*DJ1514</f>
      </c>
      <c r="DK1519" s="901">
        <f t="shared" si="2960"/>
      </c>
      <c r="DL1519" s="901">
        <f t="shared" si="2960"/>
      </c>
      <c r="DM1519" s="901">
        <f t="shared" si="2960"/>
      </c>
      <c r="DN1519" s="1017">
        <f t="shared" si="2960"/>
      </c>
      <c r="DO1519" s="905">
        <f t="shared" si="2960"/>
      </c>
      <c r="DP1519" s="901">
        <f t="shared" si="2956"/>
      </c>
      <c r="DQ1519" s="901">
        <f t="shared" si="2956"/>
      </c>
      <c r="DR1519" s="901">
        <f t="shared" si="2956"/>
      </c>
      <c r="DS1519" s="1017">
        <f t="shared" si="2956"/>
      </c>
      <c r="DT1519" s="905">
        <f>$C1519*DT1514</f>
      </c>
      <c r="DU1519" s="901">
        <f t="shared" si="2957"/>
      </c>
      <c r="DV1519" s="901">
        <f t="shared" si="2957"/>
      </c>
      <c r="DW1519" s="901">
        <f t="shared" si="2957"/>
      </c>
      <c r="DX1519" s="1017">
        <f t="shared" si="2957"/>
      </c>
      <c r="DY1519" s="905">
        <f>$C1519*DY1514</f>
      </c>
      <c r="DZ1519" s="901">
        <f>$C1519*DZ1514</f>
      </c>
      <c r="EA1519" s="901">
        <f t="shared" si="2957"/>
      </c>
      <c r="EB1519" s="901">
        <f t="shared" si="2957"/>
      </c>
      <c r="EC1519" s="1017">
        <f t="shared" si="2957"/>
      </c>
      <c r="ED1519" s="905">
        <f>$C1519*ED1514</f>
      </c>
      <c r="EE1519" s="1016">
        <f t="shared" si="2957"/>
      </c>
      <c r="EF1519" s="901">
        <f t="shared" si="2957"/>
      </c>
      <c r="EG1519" s="901">
        <f t="shared" si="2957"/>
      </c>
      <c r="EH1519" s="1017">
        <f t="shared" si="2957"/>
      </c>
      <c r="EI1519" s="1016">
        <f>$C1519*EI1514</f>
      </c>
      <c r="EJ1519" s="905">
        <f t="shared" ref="EJ1519:EQ1519" si="2961">$C1519*EJ1514</f>
      </c>
      <c r="EK1519" s="905">
        <f t="shared" si="2961"/>
      </c>
      <c r="EL1519" s="905">
        <f t="shared" si="2961"/>
      </c>
      <c r="EM1519" s="905">
        <f t="shared" si="2961"/>
      </c>
      <c r="EN1519" s="905">
        <f t="shared" si="2961"/>
      </c>
      <c r="EO1519" s="1017">
        <f t="shared" si="2961"/>
      </c>
      <c r="EP1519" s="1017">
        <f t="shared" si="2961"/>
      </c>
      <c r="EQ1519" s="1017">
        <f t="shared" si="2961"/>
      </c>
      <c r="ER1519" s="1017"/>
      <c r="ES1519" s="1017"/>
      <c r="ET1519" s="1017"/>
      <c r="EU1519" s="1017"/>
      <c r="EV1519" s="1017"/>
      <c r="EW1519" s="1017"/>
      <c r="EX1519" s="915"/>
    </row>
    <row r="1520" spans="1:154" outlineLevel="1">
      <c r="A1520" s="3284" t="s">
        <v>651</v>
      </c>
      <c r="B1520" s="3666" t="s">
        <v>188</v>
      </c>
      <c r="C1520" s="2026"/>
      <c r="D1520" s="900"/>
      <c r="E1520" s="900"/>
      <c r="F1520" s="901"/>
      <c r="G1520" s="901"/>
      <c r="H1520" s="901"/>
      <c r="I1520" s="901"/>
      <c r="J1520" s="901"/>
      <c r="K1520" s="901"/>
      <c r="L1520" s="901"/>
      <c r="M1520" s="901"/>
      <c r="N1520" s="901"/>
      <c r="O1520" s="902"/>
      <c r="P1520" s="901"/>
      <c r="Q1520" s="901"/>
      <c r="R1520" s="901"/>
      <c r="S1520" s="901"/>
      <c r="T1520" s="902"/>
      <c r="U1520" s="901"/>
      <c r="V1520" s="901"/>
      <c r="W1520" s="901"/>
      <c r="X1520" s="905"/>
      <c r="Y1520" s="902"/>
      <c r="Z1520" s="901"/>
      <c r="AA1520" s="901"/>
      <c r="AB1520" s="901"/>
      <c r="AC1520" s="905"/>
      <c r="AD1520" s="902"/>
      <c r="AE1520" s="901"/>
      <c r="AF1520" s="901"/>
      <c r="AG1520" s="901"/>
      <c r="AH1520" s="905"/>
      <c r="AI1520" s="902"/>
      <c r="AJ1520" s="901"/>
      <c r="AK1520" s="901"/>
      <c r="AL1520" s="901"/>
      <c r="AM1520" s="905"/>
      <c r="AN1520" s="902"/>
      <c r="AO1520" s="901"/>
      <c r="AP1520" s="901"/>
      <c r="AQ1520" s="903"/>
      <c r="AR1520" s="905"/>
      <c r="AS1520" s="902"/>
      <c r="AT1520" s="901"/>
      <c r="AU1520" s="901"/>
      <c r="AV1520" s="901"/>
      <c r="AW1520" s="905"/>
      <c r="AX1520" s="902"/>
      <c r="AY1520" s="901"/>
      <c r="AZ1520" s="901"/>
      <c r="BA1520" s="901"/>
      <c r="BB1520" s="905"/>
      <c r="BC1520" s="902"/>
      <c r="BD1520" s="901"/>
      <c r="BE1520" s="901"/>
      <c r="BF1520" s="901"/>
      <c r="BG1520" s="905"/>
      <c r="BH1520" s="902"/>
      <c r="BI1520" s="901"/>
      <c r="BJ1520" s="901"/>
      <c r="BK1520" s="901"/>
      <c r="BL1520" s="905"/>
      <c r="BM1520" s="901"/>
      <c r="BN1520" s="901"/>
      <c r="BO1520" s="901"/>
      <c r="BP1520" s="901"/>
      <c r="BQ1520" s="905"/>
      <c r="BR1520" s="901"/>
      <c r="BS1520" s="901"/>
      <c r="BT1520" s="901"/>
      <c r="BU1520" s="901"/>
      <c r="BV1520" s="905"/>
      <c r="BW1520" s="3652"/>
      <c r="BX1520" s="901"/>
      <c r="BY1520" s="901"/>
      <c r="BZ1520" s="901"/>
      <c r="CA1520" s="905"/>
      <c r="CB1520" s="901"/>
      <c r="CC1520" s="901"/>
      <c r="CD1520" s="901"/>
      <c r="CE1520" s="901"/>
      <c r="CF1520" s="905"/>
      <c r="CG1520" s="901"/>
      <c r="CH1520" s="901"/>
      <c r="CI1520" s="901"/>
      <c r="CJ1520" s="901"/>
      <c r="CK1520" s="905"/>
      <c r="CL1520" s="1016"/>
      <c r="CM1520" s="901"/>
      <c r="CN1520" s="901"/>
      <c r="CO1520" s="901"/>
      <c r="CP1520" s="905"/>
      <c r="CQ1520" s="901"/>
      <c r="CR1520" s="901"/>
      <c r="CS1520" s="901"/>
      <c r="CT1520" s="1017"/>
      <c r="CU1520" s="905"/>
      <c r="CV1520" s="901"/>
      <c r="CW1520" s="901"/>
      <c r="CX1520" s="901"/>
      <c r="CY1520" s="1017"/>
      <c r="CZ1520" s="905">
        <f t="shared" ref="CZ1520:EI1520" si="2962">CZ1518+CZ1519</f>
      </c>
      <c r="DA1520" s="1016">
        <f t="shared" si="2962"/>
      </c>
      <c r="DB1520" s="901">
        <f t="shared" si="2962"/>
      </c>
      <c r="DC1520" s="901">
        <f t="shared" si="2962"/>
      </c>
      <c r="DD1520" s="1017">
        <f t="shared" si="2962"/>
      </c>
      <c r="DE1520" s="905">
        <f t="shared" si="2962"/>
      </c>
      <c r="DF1520" s="901">
        <f t="shared" si="2962"/>
      </c>
      <c r="DG1520" s="901">
        <f t="shared" si="2962"/>
      </c>
      <c r="DH1520" s="901">
        <f t="shared" si="2962"/>
      </c>
      <c r="DI1520" s="1017">
        <f t="shared" si="2962"/>
      </c>
      <c r="DJ1520" s="905">
        <f t="shared" si="2962"/>
      </c>
      <c r="DK1520" s="901">
        <f t="shared" si="2962"/>
      </c>
      <c r="DL1520" s="901">
        <f t="shared" si="2962"/>
      </c>
      <c r="DM1520" s="901">
        <f t="shared" si="2962"/>
      </c>
      <c r="DN1520" s="1017">
        <f t="shared" si="2962"/>
      </c>
      <c r="DO1520" s="905">
        <f t="shared" si="2962"/>
      </c>
      <c r="DP1520" s="901">
        <f t="shared" si="2962"/>
      </c>
      <c r="DQ1520" s="901">
        <f t="shared" si="2962"/>
      </c>
      <c r="DR1520" s="901">
        <f t="shared" si="2962"/>
      </c>
      <c r="DS1520" s="1017">
        <f t="shared" si="2962"/>
      </c>
      <c r="DT1520" s="905">
        <f t="shared" si="2962"/>
      </c>
      <c r="DU1520" s="901">
        <f t="shared" si="2962"/>
      </c>
      <c r="DV1520" s="901">
        <f t="shared" si="2962"/>
      </c>
      <c r="DW1520" s="901">
        <f t="shared" si="2962"/>
      </c>
      <c r="DX1520" s="1017">
        <f t="shared" si="2962"/>
      </c>
      <c r="DY1520" s="905">
        <f t="shared" si="2962"/>
      </c>
      <c r="DZ1520" s="901">
        <f t="shared" si="2962"/>
      </c>
      <c r="EA1520" s="901">
        <f>EA1518+EA1519</f>
      </c>
      <c r="EB1520" s="901">
        <f>EB1518+EB1519</f>
      </c>
      <c r="EC1520" s="1017">
        <f>EC1518+EC1519</f>
      </c>
      <c r="ED1520" s="905">
        <f t="shared" ref="ED1520" si="2963">ED1518+ED1519</f>
      </c>
      <c r="EE1520" s="1016">
        <f>EE1518+EE1519</f>
      </c>
      <c r="EF1520" s="901">
        <f>EF1518+EF1519</f>
      </c>
      <c r="EG1520" s="901">
        <f>EG1518+EG1519</f>
      </c>
      <c r="EH1520" s="1017">
        <f>EH1518+EH1519</f>
      </c>
      <c r="EI1520" s="1016">
        <f t="shared" si="2962"/>
      </c>
      <c r="EJ1520" s="905">
        <f t="shared" ref="EJ1520:EQ1520" si="2964">EJ1518+EJ1519</f>
      </c>
      <c r="EK1520" s="905">
        <f t="shared" si="2964"/>
      </c>
      <c r="EL1520" s="905">
        <f t="shared" si="2964"/>
      </c>
      <c r="EM1520" s="905">
        <f t="shared" si="2964"/>
      </c>
      <c r="EN1520" s="905">
        <f t="shared" si="2964"/>
      </c>
      <c r="EO1520" s="1017">
        <f t="shared" si="2964"/>
      </c>
      <c r="EP1520" s="1017">
        <f t="shared" si="2964"/>
      </c>
      <c r="EQ1520" s="1017">
        <f t="shared" si="2964"/>
      </c>
      <c r="ER1520" s="1017"/>
      <c r="ES1520" s="1017"/>
      <c r="ET1520" s="1017"/>
      <c r="EU1520" s="1017"/>
      <c r="EV1520" s="1017"/>
      <c r="EW1520" s="1017"/>
      <c r="EX1520" s="915"/>
    </row>
    <row r="1521" spans="1:154" outlineLevel="1">
      <c r="B1521" s="3651" t="s">
        <v>993</v>
      </c>
      <c r="C1521" s="2026"/>
      <c r="D1521" s="900"/>
      <c r="E1521" s="900"/>
      <c r="F1521" s="901"/>
      <c r="G1521" s="901"/>
      <c r="H1521" s="901"/>
      <c r="I1521" s="901"/>
      <c r="J1521" s="901"/>
      <c r="K1521" s="901"/>
      <c r="L1521" s="901"/>
      <c r="M1521" s="901"/>
      <c r="N1521" s="901"/>
      <c r="O1521" s="902"/>
      <c r="P1521" s="901"/>
      <c r="Q1521" s="901"/>
      <c r="R1521" s="901"/>
      <c r="S1521" s="901"/>
      <c r="T1521" s="902"/>
      <c r="U1521" s="901"/>
      <c r="V1521" s="901"/>
      <c r="W1521" s="901"/>
      <c r="X1521" s="905"/>
      <c r="Y1521" s="902"/>
      <c r="Z1521" s="901"/>
      <c r="AA1521" s="901"/>
      <c r="AB1521" s="901"/>
      <c r="AC1521" s="905"/>
      <c r="AD1521" s="902"/>
      <c r="AE1521" s="901"/>
      <c r="AF1521" s="901"/>
      <c r="AG1521" s="901"/>
      <c r="AH1521" s="905"/>
      <c r="AI1521" s="902"/>
      <c r="AJ1521" s="901"/>
      <c r="AK1521" s="901"/>
      <c r="AL1521" s="901"/>
      <c r="AM1521" s="905"/>
      <c r="AN1521" s="902"/>
      <c r="AO1521" s="901"/>
      <c r="AP1521" s="901"/>
      <c r="AQ1521" s="903"/>
      <c r="AR1521" s="905"/>
      <c r="AS1521" s="902"/>
      <c r="AT1521" s="901"/>
      <c r="AU1521" s="901"/>
      <c r="AV1521" s="901"/>
      <c r="AW1521" s="905"/>
      <c r="AX1521" s="902"/>
      <c r="AY1521" s="901"/>
      <c r="AZ1521" s="901"/>
      <c r="BA1521" s="901"/>
      <c r="BB1521" s="905"/>
      <c r="BC1521" s="902"/>
      <c r="BD1521" s="901"/>
      <c r="BE1521" s="901"/>
      <c r="BF1521" s="901"/>
      <c r="BG1521" s="905"/>
      <c r="BH1521" s="902"/>
      <c r="BI1521" s="901"/>
      <c r="BJ1521" s="901"/>
      <c r="BK1521" s="901"/>
      <c r="BL1521" s="905"/>
      <c r="BM1521" s="901"/>
      <c r="BN1521" s="901"/>
      <c r="BO1521" s="901"/>
      <c r="BP1521" s="901"/>
      <c r="BQ1521" s="905"/>
      <c r="BR1521" s="901"/>
      <c r="BS1521" s="901"/>
      <c r="BT1521" s="901"/>
      <c r="BU1521" s="901"/>
      <c r="BV1521" s="905"/>
      <c r="BW1521" s="3652"/>
      <c r="BX1521" s="901"/>
      <c r="BY1521" s="901"/>
      <c r="BZ1521" s="901"/>
      <c r="CA1521" s="905"/>
      <c r="CB1521" s="901"/>
      <c r="CC1521" s="901"/>
      <c r="CD1521" s="901"/>
      <c r="CE1521" s="901"/>
      <c r="CF1521" s="905"/>
      <c r="CG1521" s="901"/>
      <c r="CH1521" s="901"/>
      <c r="CI1521" s="901"/>
      <c r="CJ1521" s="901"/>
      <c r="CK1521" s="905"/>
      <c r="CL1521" s="1016"/>
      <c r="CM1521" s="901"/>
      <c r="CN1521" s="901"/>
      <c r="CO1521" s="901"/>
      <c r="CP1521" s="905"/>
      <c r="CQ1521" s="901"/>
      <c r="CR1521" s="901"/>
      <c r="CS1521" s="901"/>
      <c r="CT1521" s="1017"/>
      <c r="CU1521" s="905"/>
      <c r="CV1521" s="901"/>
      <c r="CW1521" s="901"/>
      <c r="CX1521" s="901"/>
      <c r="CY1521" s="1017"/>
      <c r="CZ1521" s="905"/>
      <c r="DA1521" s="1016"/>
      <c r="DB1521" s="901"/>
      <c r="DC1521" s="901"/>
      <c r="DD1521" s="1017"/>
      <c r="DE1521" s="905"/>
      <c r="DF1521" s="901"/>
      <c r="DG1521" s="901"/>
      <c r="DH1521" s="901"/>
      <c r="DI1521" s="1017"/>
      <c r="DJ1521" s="905"/>
      <c r="DK1521" s="901"/>
      <c r="DL1521" s="3653"/>
      <c r="DM1521" s="3653"/>
      <c r="DN1521" s="3654"/>
      <c r="DO1521" s="3655"/>
      <c r="DP1521" s="3653"/>
      <c r="DQ1521" s="3653"/>
      <c r="DR1521" s="3653"/>
      <c r="DS1521" s="3654"/>
      <c r="DT1521" s="905"/>
      <c r="DU1521" s="3653"/>
      <c r="DV1521" s="3653"/>
      <c r="DW1521" s="3653"/>
      <c r="DX1521" s="3654"/>
      <c r="DY1521" s="3655"/>
      <c r="DZ1521" s="3653"/>
      <c r="EA1521" s="3653"/>
      <c r="EB1521" s="3653"/>
      <c r="EC1521" s="3654"/>
      <c r="ED1521" s="3655"/>
      <c r="EE1521" s="3656"/>
      <c r="EF1521" s="3653"/>
      <c r="EG1521" s="3653"/>
      <c r="EH1521" s="3654"/>
      <c r="EI1521" s="3656"/>
      <c r="EJ1521" s="3655"/>
      <c r="EK1521" s="3655"/>
      <c r="EL1521" s="3655"/>
      <c r="EM1521" s="3655"/>
      <c r="EN1521" s="3655"/>
      <c r="EO1521" s="3654"/>
      <c r="EP1521" s="3654"/>
      <c r="EQ1521" s="3654"/>
      <c r="ER1521" s="3654"/>
      <c r="ES1521" s="3654"/>
      <c r="ET1521" s="3654"/>
      <c r="EU1521" s="3654"/>
      <c r="EV1521" s="3654"/>
      <c r="EW1521" s="3654"/>
      <c r="EX1521" s="1558"/>
    </row>
    <row r="1522" spans="1:154" outlineLevel="1">
      <c r="B1522" s="3657" t="s">
        <v>809</v>
      </c>
      <c r="C1522" s="2026"/>
      <c r="D1522" s="900"/>
      <c r="E1522" s="900"/>
      <c r="F1522" s="901"/>
      <c r="G1522" s="901"/>
      <c r="H1522" s="901"/>
      <c r="I1522" s="901"/>
      <c r="J1522" s="901"/>
      <c r="K1522" s="901"/>
      <c r="L1522" s="901"/>
      <c r="M1522" s="901"/>
      <c r="N1522" s="901"/>
      <c r="O1522" s="902"/>
      <c r="P1522" s="901"/>
      <c r="Q1522" s="901"/>
      <c r="R1522" s="901"/>
      <c r="S1522" s="901"/>
      <c r="T1522" s="902"/>
      <c r="U1522" s="901"/>
      <c r="V1522" s="901"/>
      <c r="W1522" s="901"/>
      <c r="X1522" s="905"/>
      <c r="Y1522" s="902"/>
      <c r="Z1522" s="901"/>
      <c r="AA1522" s="901"/>
      <c r="AB1522" s="901"/>
      <c r="AC1522" s="905"/>
      <c r="AD1522" s="902"/>
      <c r="AE1522" s="901"/>
      <c r="AF1522" s="901"/>
      <c r="AG1522" s="901"/>
      <c r="AH1522" s="905"/>
      <c r="AI1522" s="902"/>
      <c r="AJ1522" s="901"/>
      <c r="AK1522" s="901"/>
      <c r="AL1522" s="901"/>
      <c r="AM1522" s="905"/>
      <c r="AN1522" s="902"/>
      <c r="AO1522" s="901"/>
      <c r="AP1522" s="901"/>
      <c r="AQ1522" s="3658"/>
      <c r="AR1522" s="905"/>
      <c r="AS1522" s="902"/>
      <c r="AT1522" s="901"/>
      <c r="AU1522" s="901"/>
      <c r="AV1522" s="901"/>
      <c r="AW1522" s="905"/>
      <c r="AX1522" s="902"/>
      <c r="AY1522" s="901"/>
      <c r="AZ1522" s="901"/>
      <c r="BA1522" s="901"/>
      <c r="BB1522" s="905"/>
      <c r="BC1522" s="902"/>
      <c r="BD1522" s="901"/>
      <c r="BE1522" s="901"/>
      <c r="BF1522" s="901"/>
      <c r="BG1522" s="905"/>
      <c r="BH1522" s="902"/>
      <c r="BI1522" s="901"/>
      <c r="BJ1522" s="901"/>
      <c r="BK1522" s="901"/>
      <c r="BL1522" s="905"/>
      <c r="BM1522" s="901"/>
      <c r="BN1522" s="901"/>
      <c r="BO1522" s="901"/>
      <c r="BP1522" s="901"/>
      <c r="BQ1522" s="905"/>
      <c r="BR1522" s="901"/>
      <c r="BS1522" s="901"/>
      <c r="BT1522" s="901"/>
      <c r="BU1522" s="901"/>
      <c r="BV1522" s="905"/>
      <c r="BW1522" s="3652"/>
      <c r="BX1522" s="901"/>
      <c r="BY1522" s="901"/>
      <c r="BZ1522" s="901"/>
      <c r="CA1522" s="905"/>
      <c r="CB1522" s="901"/>
      <c r="CC1522" s="901"/>
      <c r="CD1522" s="901"/>
      <c r="CE1522" s="901"/>
      <c r="CF1522" s="905"/>
      <c r="CG1522" s="901"/>
      <c r="CH1522" s="901"/>
      <c r="CI1522" s="901"/>
      <c r="CJ1522" s="901"/>
      <c r="CK1522" s="905"/>
      <c r="CL1522" s="1016"/>
      <c r="CM1522" s="901"/>
      <c r="CN1522" s="901"/>
      <c r="CO1522" s="901"/>
      <c r="CP1522" s="905"/>
      <c r="CQ1522" s="901"/>
      <c r="CR1522" s="901"/>
      <c r="CS1522" s="901"/>
      <c r="CT1522" s="1017"/>
      <c r="CU1522" s="905"/>
      <c r="CV1522" s="901"/>
      <c r="CW1522" s="901"/>
      <c r="CX1522" s="901"/>
      <c r="CY1522" s="1017"/>
      <c r="CZ1522" s="905"/>
      <c r="DA1522" s="1016"/>
      <c r="DB1522" s="901"/>
      <c r="DC1522" s="901"/>
      <c r="DD1522" s="1017"/>
      <c r="DE1522" s="905"/>
      <c r="DF1522" s="901"/>
      <c r="DG1522" s="901"/>
      <c r="DH1522" s="901"/>
      <c r="DI1522" s="1017"/>
      <c r="DJ1522" s="905"/>
      <c r="DK1522" s="901"/>
      <c r="DL1522" s="901"/>
      <c r="DM1522" s="901"/>
      <c r="DN1522" s="1017"/>
      <c r="DO1522" s="905"/>
      <c r="DP1522" s="901"/>
      <c r="DQ1522" s="901"/>
      <c r="DR1522" s="901"/>
      <c r="DS1522" s="1017"/>
      <c r="DT1522" s="905"/>
      <c r="DU1522" s="3659"/>
      <c r="DV1522" s="3659"/>
      <c r="DW1522" s="3659"/>
      <c r="DX1522" s="3660"/>
      <c r="DY1522" s="3661"/>
      <c r="DZ1522" s="3659"/>
      <c r="EA1522" s="3659"/>
      <c r="EB1522" s="3659"/>
      <c r="EC1522" s="3660"/>
      <c r="ED1522" s="3662"/>
      <c r="EE1522" s="3663"/>
      <c r="EF1522" s="3664"/>
      <c r="EG1522" s="3664"/>
      <c r="EH1522" s="3660"/>
      <c r="EI1522" s="3665"/>
      <c r="EJ1522" s="3661"/>
      <c r="EK1522" s="3661"/>
      <c r="EL1522" s="3661"/>
      <c r="EM1522" s="3661"/>
      <c r="EN1522" s="905"/>
      <c r="EO1522" s="1017"/>
      <c r="EP1522" s="1017"/>
      <c r="EQ1522" s="1017"/>
      <c r="ER1522" s="1017"/>
      <c r="ES1522" s="905"/>
      <c r="ET1522" s="905"/>
      <c r="EU1522" s="1017"/>
      <c r="EV1522" s="905"/>
      <c r="EW1522" s="905"/>
      <c r="EX1522" s="899"/>
    </row>
    <row r="1523" spans="1:154" outlineLevel="1">
      <c r="B1523" s="3666" t="s">
        <v>153</v>
      </c>
      <c r="C1523" s="2026"/>
      <c r="D1523" s="900"/>
      <c r="E1523" s="900"/>
      <c r="F1523" s="901"/>
      <c r="G1523" s="901"/>
      <c r="H1523" s="901"/>
      <c r="I1523" s="901"/>
      <c r="J1523" s="901"/>
      <c r="K1523" s="901"/>
      <c r="L1523" s="901"/>
      <c r="M1523" s="901"/>
      <c r="N1523" s="901"/>
      <c r="O1523" s="902"/>
      <c r="P1523" s="901"/>
      <c r="Q1523" s="901"/>
      <c r="R1523" s="901"/>
      <c r="S1523" s="901"/>
      <c r="T1523" s="902"/>
      <c r="U1523" s="901"/>
      <c r="V1523" s="901"/>
      <c r="W1523" s="901"/>
      <c r="X1523" s="905"/>
      <c r="Y1523" s="902"/>
      <c r="Z1523" s="901"/>
      <c r="AA1523" s="901"/>
      <c r="AB1523" s="901"/>
      <c r="AC1523" s="905"/>
      <c r="AD1523" s="902"/>
      <c r="AE1523" s="901"/>
      <c r="AF1523" s="901"/>
      <c r="AG1523" s="901"/>
      <c r="AH1523" s="905"/>
      <c r="AI1523" s="902"/>
      <c r="AJ1523" s="901"/>
      <c r="AK1523" s="901"/>
      <c r="AL1523" s="901"/>
      <c r="AM1523" s="905"/>
      <c r="AN1523" s="902"/>
      <c r="AO1523" s="901"/>
      <c r="AP1523" s="901"/>
      <c r="AQ1523" s="3658"/>
      <c r="AR1523" s="905"/>
      <c r="AS1523" s="902"/>
      <c r="AT1523" s="901"/>
      <c r="AU1523" s="901"/>
      <c r="AV1523" s="901"/>
      <c r="AW1523" s="905"/>
      <c r="AX1523" s="902"/>
      <c r="AY1523" s="901"/>
      <c r="AZ1523" s="901"/>
      <c r="BA1523" s="901"/>
      <c r="BB1523" s="905"/>
      <c r="BC1523" s="902"/>
      <c r="BD1523" s="901"/>
      <c r="BE1523" s="901"/>
      <c r="BF1523" s="901"/>
      <c r="BG1523" s="905"/>
      <c r="BH1523" s="902"/>
      <c r="BI1523" s="901"/>
      <c r="BJ1523" s="901"/>
      <c r="BK1523" s="901"/>
      <c r="BL1523" s="905"/>
      <c r="BM1523" s="901"/>
      <c r="BN1523" s="901"/>
      <c r="BO1523" s="901"/>
      <c r="BP1523" s="901"/>
      <c r="BQ1523" s="905"/>
      <c r="BR1523" s="901"/>
      <c r="BS1523" s="901"/>
      <c r="BT1523" s="901"/>
      <c r="BU1523" s="901"/>
      <c r="BV1523" s="905"/>
      <c r="BW1523" s="3652"/>
      <c r="BX1523" s="901"/>
      <c r="BY1523" s="901"/>
      <c r="BZ1523" s="901"/>
      <c r="CA1523" s="905"/>
      <c r="CB1523" s="901"/>
      <c r="CC1523" s="901"/>
      <c r="CD1523" s="901"/>
      <c r="CE1523" s="901"/>
      <c r="CF1523" s="905"/>
      <c r="CG1523" s="901"/>
      <c r="CH1523" s="901"/>
      <c r="CI1523" s="901"/>
      <c r="CJ1523" s="901"/>
      <c r="CK1523" s="905"/>
      <c r="CL1523" s="1016"/>
      <c r="CM1523" s="901"/>
      <c r="CN1523" s="901"/>
      <c r="CO1523" s="901"/>
      <c r="CP1523" s="905"/>
      <c r="CQ1523" s="901"/>
      <c r="CR1523" s="901"/>
      <c r="CS1523" s="901"/>
      <c r="CT1523" s="1017"/>
      <c r="CU1523" s="905"/>
      <c r="CV1523" s="901"/>
      <c r="CW1523" s="901"/>
      <c r="CX1523" s="901"/>
      <c r="CY1523" s="1017"/>
      <c r="CZ1523" s="905"/>
      <c r="DA1523" s="1016"/>
      <c r="DB1523" s="901"/>
      <c r="DC1523" s="901"/>
      <c r="DD1523" s="1017"/>
      <c r="DE1523" s="905"/>
      <c r="DF1523" s="901"/>
      <c r="DG1523" s="901"/>
      <c r="DH1523" s="901"/>
      <c r="DI1523" s="1017"/>
      <c r="DJ1523" s="905"/>
      <c r="DK1523" s="901"/>
      <c r="DL1523" s="901"/>
      <c r="DM1523" s="901"/>
      <c r="DN1523" s="1017">
        <f>DO1523</f>
      </c>
      <c r="DO1523" s="3667"/>
      <c r="DP1523" s="3652"/>
      <c r="DQ1523" s="3652"/>
      <c r="DR1523" s="3652"/>
      <c r="DS1523" s="3668"/>
      <c r="DT1523" s="905"/>
      <c r="DU1523" s="3652"/>
      <c r="DV1523" s="3652"/>
      <c r="DW1523" s="3652"/>
      <c r="DX1523" s="3668"/>
      <c r="DY1523" s="905"/>
      <c r="DZ1523" s="3652"/>
      <c r="EA1523" s="3652"/>
      <c r="EB1523" s="3652"/>
      <c r="EC1523" s="1017"/>
      <c r="ED1523" s="3669"/>
      <c r="EE1523" s="3670">
        <v>90</v>
      </c>
      <c r="EF1523" s="3671">
        <v>100</v>
      </c>
      <c r="EG1523" s="3671">
        <v>110</v>
      </c>
      <c r="EH1523" s="1017">
        <f>EI1523-SUM(EE1523:EG1523)</f>
      </c>
      <c r="EI1523" s="3669">
        <v>420</v>
      </c>
      <c r="EJ1523" s="3669">
        <v>651</v>
      </c>
      <c r="EK1523" s="3669">
        <v>720</v>
      </c>
      <c r="EL1523" s="3669">
        <v>900</v>
      </c>
      <c r="EM1523" s="3669">
        <v>1021</v>
      </c>
      <c r="EN1523" s="3669">
        <f>EM1523*(1+0.02)</f>
      </c>
      <c r="EO1523" s="3669">
        <f>EN1523*(1+0.02)</f>
      </c>
      <c r="EP1523" s="3669">
        <f>EO1523*(1+0.02)</f>
      </c>
      <c r="EQ1523" s="3669">
        <f>EP1523*(1+0.02)</f>
      </c>
      <c r="ER1523" s="3669">
        <f>(1.03*EQ1523)*0.6</f>
      </c>
      <c r="ES1523" s="3669">
        <f t="shared" ref="ES1523:EU1524" si="2965">(ER1523*0.6)*0.6</f>
      </c>
      <c r="ET1523" s="3669">
        <f t="shared" si="2965"/>
      </c>
      <c r="EU1523" s="3669">
        <f t="shared" si="2965"/>
      </c>
      <c r="EV1523" s="3667">
        <f>EU1523*0.6</f>
      </c>
      <c r="EW1523" s="3667">
        <f>EV1523*0.6</f>
      </c>
      <c r="EX1523" s="1021"/>
    </row>
    <row r="1524" spans="1:154" outlineLevel="1">
      <c r="B1524" s="3666" t="s">
        <v>235</v>
      </c>
      <c r="C1524" s="2026"/>
      <c r="D1524" s="900"/>
      <c r="E1524" s="900"/>
      <c r="F1524" s="901"/>
      <c r="G1524" s="901"/>
      <c r="H1524" s="901"/>
      <c r="I1524" s="901"/>
      <c r="J1524" s="901"/>
      <c r="K1524" s="901"/>
      <c r="L1524" s="901"/>
      <c r="M1524" s="901"/>
      <c r="N1524" s="901"/>
      <c r="O1524" s="902"/>
      <c r="P1524" s="901"/>
      <c r="Q1524" s="901"/>
      <c r="R1524" s="901"/>
      <c r="S1524" s="901"/>
      <c r="T1524" s="902"/>
      <c r="U1524" s="901"/>
      <c r="V1524" s="901"/>
      <c r="W1524" s="901"/>
      <c r="X1524" s="905"/>
      <c r="Y1524" s="902"/>
      <c r="Z1524" s="901"/>
      <c r="AA1524" s="901"/>
      <c r="AB1524" s="901"/>
      <c r="AC1524" s="905"/>
      <c r="AD1524" s="902"/>
      <c r="AE1524" s="901"/>
      <c r="AF1524" s="901"/>
      <c r="AG1524" s="901"/>
      <c r="AH1524" s="905"/>
      <c r="AI1524" s="902"/>
      <c r="AJ1524" s="901"/>
      <c r="AK1524" s="901"/>
      <c r="AL1524" s="901"/>
      <c r="AM1524" s="905"/>
      <c r="AN1524" s="902"/>
      <c r="AO1524" s="901"/>
      <c r="AP1524" s="901"/>
      <c r="AQ1524" s="3658"/>
      <c r="AR1524" s="905"/>
      <c r="AS1524" s="902"/>
      <c r="AT1524" s="901"/>
      <c r="AU1524" s="901"/>
      <c r="AV1524" s="901"/>
      <c r="AW1524" s="905"/>
      <c r="AX1524" s="902"/>
      <c r="AY1524" s="901"/>
      <c r="AZ1524" s="901"/>
      <c r="BA1524" s="901"/>
      <c r="BB1524" s="905"/>
      <c r="BC1524" s="902"/>
      <c r="BD1524" s="901"/>
      <c r="BE1524" s="901"/>
      <c r="BF1524" s="901"/>
      <c r="BG1524" s="905"/>
      <c r="BH1524" s="902"/>
      <c r="BI1524" s="901"/>
      <c r="BJ1524" s="901"/>
      <c r="BK1524" s="901"/>
      <c r="BL1524" s="905"/>
      <c r="BM1524" s="901"/>
      <c r="BN1524" s="901"/>
      <c r="BO1524" s="901"/>
      <c r="BP1524" s="901"/>
      <c r="BQ1524" s="905"/>
      <c r="BR1524" s="901"/>
      <c r="BS1524" s="901"/>
      <c r="BT1524" s="901"/>
      <c r="BU1524" s="901"/>
      <c r="BV1524" s="905"/>
      <c r="BW1524" s="3652"/>
      <c r="BX1524" s="901"/>
      <c r="BY1524" s="901"/>
      <c r="BZ1524" s="901"/>
      <c r="CA1524" s="905"/>
      <c r="CB1524" s="901"/>
      <c r="CC1524" s="901"/>
      <c r="CD1524" s="901"/>
      <c r="CE1524" s="901"/>
      <c r="CF1524" s="905"/>
      <c r="CG1524" s="901"/>
      <c r="CH1524" s="901"/>
      <c r="CI1524" s="901"/>
      <c r="CJ1524" s="901"/>
      <c r="CK1524" s="905"/>
      <c r="CL1524" s="1016"/>
      <c r="CM1524" s="901"/>
      <c r="CN1524" s="901"/>
      <c r="CO1524" s="901"/>
      <c r="CP1524" s="905"/>
      <c r="CQ1524" s="901"/>
      <c r="CR1524" s="901"/>
      <c r="CS1524" s="901"/>
      <c r="CT1524" s="1017"/>
      <c r="CU1524" s="905"/>
      <c r="CV1524" s="901"/>
      <c r="CW1524" s="901"/>
      <c r="CX1524" s="901"/>
      <c r="CY1524" s="1017"/>
      <c r="CZ1524" s="905"/>
      <c r="DA1524" s="1016"/>
      <c r="DB1524" s="901"/>
      <c r="DC1524" s="901"/>
      <c r="DD1524" s="1017"/>
      <c r="DE1524" s="905"/>
      <c r="DF1524" s="901"/>
      <c r="DG1524" s="901"/>
      <c r="DH1524" s="901"/>
      <c r="DI1524" s="1017"/>
      <c r="DJ1524" s="905"/>
      <c r="DK1524" s="901"/>
      <c r="DL1524" s="901"/>
      <c r="DM1524" s="901"/>
      <c r="DN1524" s="1017">
        <f>DO1524</f>
      </c>
      <c r="DO1524" s="3667"/>
      <c r="DP1524" s="3652"/>
      <c r="DQ1524" s="3652"/>
      <c r="DR1524" s="3652"/>
      <c r="DS1524" s="3668"/>
      <c r="DT1524" s="905"/>
      <c r="DU1524" s="3652"/>
      <c r="DV1524" s="3652"/>
      <c r="DW1524" s="3652"/>
      <c r="DX1524" s="3668"/>
      <c r="DY1524" s="905"/>
      <c r="DZ1524" s="3652"/>
      <c r="EA1524" s="3652"/>
      <c r="EB1524" s="3652"/>
      <c r="EC1524" s="1017"/>
      <c r="ED1524" s="3669"/>
      <c r="EE1524" s="3670">
        <v>40</v>
      </c>
      <c r="EF1524" s="3671">
        <v>43</v>
      </c>
      <c r="EG1524" s="3671">
        <v>47</v>
      </c>
      <c r="EH1524" s="1017">
        <f>EI1524-SUM(EE1524:EG1524)</f>
      </c>
      <c r="EI1524" s="3669">
        <v>180</v>
      </c>
      <c r="EJ1524" s="3669">
        <v>263</v>
      </c>
      <c r="EK1524" s="3669">
        <v>346</v>
      </c>
      <c r="EL1524" s="3669">
        <v>402</v>
      </c>
      <c r="EM1524" s="3669">
        <v>481</v>
      </c>
      <c r="EN1524" s="3669">
        <v>503</v>
      </c>
      <c r="EO1524" s="3669">
        <f>EN1524*1.01</f>
      </c>
      <c r="EP1524" s="3669">
        <f>EO1524*1.01</f>
      </c>
      <c r="EQ1524" s="3669">
        <f>EP1524*1.01</f>
      </c>
      <c r="ER1524" s="3669">
        <f>(1.03*EQ1524)*0.6</f>
      </c>
      <c r="ES1524" s="3669">
        <f t="shared" si="2965"/>
      </c>
      <c r="ET1524" s="3669">
        <f t="shared" si="2965"/>
      </c>
      <c r="EU1524" s="3669">
        <f t="shared" si="2965"/>
      </c>
      <c r="EV1524" s="3667">
        <f>EU1524*0.6</f>
      </c>
      <c r="EW1524" s="3667">
        <f>EV1524*0.6</f>
      </c>
      <c r="EX1524" s="1021"/>
    </row>
    <row r="1525" spans="1:154" outlineLevel="1">
      <c r="B1525" s="3666" t="s">
        <v>188</v>
      </c>
      <c r="C1525" s="2026"/>
      <c r="D1525" s="900"/>
      <c r="E1525" s="900"/>
      <c r="F1525" s="901"/>
      <c r="G1525" s="901"/>
      <c r="H1525" s="901"/>
      <c r="I1525" s="901"/>
      <c r="J1525" s="901"/>
      <c r="K1525" s="901"/>
      <c r="L1525" s="901"/>
      <c r="M1525" s="901"/>
      <c r="N1525" s="901"/>
      <c r="O1525" s="902"/>
      <c r="P1525" s="901"/>
      <c r="Q1525" s="901"/>
      <c r="R1525" s="901"/>
      <c r="S1525" s="901"/>
      <c r="T1525" s="902"/>
      <c r="U1525" s="901"/>
      <c r="V1525" s="901"/>
      <c r="W1525" s="901"/>
      <c r="X1525" s="905"/>
      <c r="Y1525" s="902"/>
      <c r="Z1525" s="901"/>
      <c r="AA1525" s="901"/>
      <c r="AB1525" s="901"/>
      <c r="AC1525" s="905"/>
      <c r="AD1525" s="902"/>
      <c r="AE1525" s="901"/>
      <c r="AF1525" s="901"/>
      <c r="AG1525" s="901"/>
      <c r="AH1525" s="905"/>
      <c r="AI1525" s="902"/>
      <c r="AJ1525" s="901"/>
      <c r="AK1525" s="901"/>
      <c r="AL1525" s="901"/>
      <c r="AM1525" s="905"/>
      <c r="AN1525" s="902"/>
      <c r="AO1525" s="901"/>
      <c r="AP1525" s="901"/>
      <c r="AQ1525" s="3658"/>
      <c r="AR1525" s="905"/>
      <c r="AS1525" s="902"/>
      <c r="AT1525" s="901"/>
      <c r="AU1525" s="901"/>
      <c r="AV1525" s="901"/>
      <c r="AW1525" s="905"/>
      <c r="AX1525" s="902"/>
      <c r="AY1525" s="901"/>
      <c r="AZ1525" s="901"/>
      <c r="BA1525" s="901"/>
      <c r="BB1525" s="905"/>
      <c r="BC1525" s="902"/>
      <c r="BD1525" s="901"/>
      <c r="BE1525" s="901"/>
      <c r="BF1525" s="901"/>
      <c r="BG1525" s="905"/>
      <c r="BH1525" s="902"/>
      <c r="BI1525" s="901"/>
      <c r="BJ1525" s="901"/>
      <c r="BK1525" s="901"/>
      <c r="BL1525" s="905"/>
      <c r="BM1525" s="901"/>
      <c r="BN1525" s="901"/>
      <c r="BO1525" s="901"/>
      <c r="BP1525" s="901"/>
      <c r="BQ1525" s="905"/>
      <c r="BR1525" s="901"/>
      <c r="BS1525" s="901"/>
      <c r="BT1525" s="901"/>
      <c r="BU1525" s="901"/>
      <c r="BV1525" s="905"/>
      <c r="BW1525" s="3652"/>
      <c r="BX1525" s="901"/>
      <c r="BY1525" s="901"/>
      <c r="BZ1525" s="901"/>
      <c r="CA1525" s="905"/>
      <c r="CB1525" s="901"/>
      <c r="CC1525" s="901"/>
      <c r="CD1525" s="901"/>
      <c r="CE1525" s="901"/>
      <c r="CF1525" s="905"/>
      <c r="CG1525" s="901"/>
      <c r="CH1525" s="901"/>
      <c r="CI1525" s="901"/>
      <c r="CJ1525" s="901"/>
      <c r="CK1525" s="905"/>
      <c r="CL1525" s="1016"/>
      <c r="CM1525" s="901"/>
      <c r="CN1525" s="901"/>
      <c r="CO1525" s="901"/>
      <c r="CP1525" s="905"/>
      <c r="CQ1525" s="901"/>
      <c r="CR1525" s="901"/>
      <c r="CS1525" s="901"/>
      <c r="CT1525" s="1017"/>
      <c r="CU1525" s="905"/>
      <c r="CV1525" s="901"/>
      <c r="CW1525" s="901"/>
      <c r="CX1525" s="901"/>
      <c r="CY1525" s="1017"/>
      <c r="CZ1525" s="905"/>
      <c r="DA1525" s="1016"/>
      <c r="DB1525" s="901"/>
      <c r="DC1525" s="901"/>
      <c r="DD1525" s="1017"/>
      <c r="DE1525" s="905"/>
      <c r="DF1525" s="901"/>
      <c r="DG1525" s="901"/>
      <c r="DH1525" s="901"/>
      <c r="DI1525" s="1017"/>
      <c r="DJ1525" s="905"/>
      <c r="DK1525" s="901"/>
      <c r="DL1525" s="901"/>
      <c r="DM1525" s="901"/>
      <c r="DN1525" s="1017">
        <f t="shared" ref="DN1525:EN1525" si="2966">SUM(DN1523:DN1524)</f>
      </c>
      <c r="DO1525" s="905">
        <f t="shared" si="2966"/>
      </c>
      <c r="DP1525" s="901"/>
      <c r="DQ1525" s="901"/>
      <c r="DR1525" s="901"/>
      <c r="DS1525" s="1017"/>
      <c r="DT1525" s="905"/>
      <c r="DU1525" s="901"/>
      <c r="DV1525" s="901"/>
      <c r="DW1525" s="901"/>
      <c r="DX1525" s="1017"/>
      <c r="DY1525" s="905"/>
      <c r="DZ1525" s="901"/>
      <c r="EA1525" s="901"/>
      <c r="EB1525" s="901"/>
      <c r="EC1525" s="1017"/>
      <c r="ED1525" s="3672"/>
      <c r="EE1525" s="3673">
        <f t="shared" ref="EE1525:EH1525" si="2967">SUM(EE1523:EE1524)</f>
      </c>
      <c r="EF1525" s="3674">
        <f t="shared" si="2967"/>
      </c>
      <c r="EG1525" s="3674">
        <f t="shared" si="2967"/>
      </c>
      <c r="EH1525" s="1017">
        <f t="shared" si="2967"/>
      </c>
      <c r="EI1525" s="3672">
        <f t="shared" si="2966"/>
      </c>
      <c r="EJ1525" s="3672">
        <f t="shared" si="2966"/>
      </c>
      <c r="EK1525" s="3672">
        <f t="shared" si="2966"/>
      </c>
      <c r="EL1525" s="3672">
        <f t="shared" si="2966"/>
      </c>
      <c r="EM1525" s="3672">
        <f t="shared" si="2966"/>
      </c>
      <c r="EN1525" s="3672">
        <f t="shared" si="2966"/>
      </c>
      <c r="EO1525" s="3672">
        <f t="shared" ref="EO1525:EU1525" si="2968">SUM(EO1523:EO1524)</f>
      </c>
      <c r="EP1525" s="3672">
        <f t="shared" si="2968"/>
      </c>
      <c r="EQ1525" s="3672">
        <f t="shared" si="2968"/>
      </c>
      <c r="ER1525" s="3672">
        <f t="shared" si="2968"/>
      </c>
      <c r="ES1525" s="3672">
        <f t="shared" si="2968"/>
      </c>
      <c r="ET1525" s="3672">
        <f t="shared" si="2968"/>
      </c>
      <c r="EU1525" s="3672">
        <f t="shared" si="2968"/>
      </c>
      <c r="EV1525" s="905">
        <f>SUM(EV1523:EV1524)</f>
      </c>
      <c r="EW1525" s="905">
        <f>SUM(EW1523:EW1524)</f>
      </c>
      <c r="EX1525" s="915"/>
    </row>
    <row r="1526" spans="1:154" outlineLevel="1">
      <c r="B1526" s="3666"/>
      <c r="C1526" s="2026"/>
      <c r="D1526" s="900"/>
      <c r="E1526" s="900"/>
      <c r="F1526" s="901"/>
      <c r="G1526" s="901"/>
      <c r="H1526" s="901"/>
      <c r="I1526" s="901"/>
      <c r="J1526" s="901"/>
      <c r="K1526" s="901"/>
      <c r="L1526" s="901"/>
      <c r="M1526" s="901"/>
      <c r="N1526" s="901"/>
      <c r="O1526" s="902"/>
      <c r="P1526" s="901"/>
      <c r="Q1526" s="901"/>
      <c r="R1526" s="901"/>
      <c r="S1526" s="901"/>
      <c r="T1526" s="902"/>
      <c r="U1526" s="901"/>
      <c r="V1526" s="901"/>
      <c r="W1526" s="901"/>
      <c r="X1526" s="905"/>
      <c r="Y1526" s="902"/>
      <c r="Z1526" s="901"/>
      <c r="AA1526" s="901"/>
      <c r="AB1526" s="901"/>
      <c r="AC1526" s="905"/>
      <c r="AD1526" s="902"/>
      <c r="AE1526" s="901"/>
      <c r="AF1526" s="901"/>
      <c r="AG1526" s="901"/>
      <c r="AH1526" s="905"/>
      <c r="AI1526" s="902"/>
      <c r="AJ1526" s="901"/>
      <c r="AK1526" s="901"/>
      <c r="AL1526" s="901"/>
      <c r="AM1526" s="905"/>
      <c r="AN1526" s="902"/>
      <c r="AO1526" s="901"/>
      <c r="AP1526" s="901"/>
      <c r="AQ1526" s="3658"/>
      <c r="AR1526" s="905"/>
      <c r="AS1526" s="902"/>
      <c r="AT1526" s="901"/>
      <c r="AU1526" s="901"/>
      <c r="AV1526" s="901"/>
      <c r="AW1526" s="905"/>
      <c r="AX1526" s="902"/>
      <c r="AY1526" s="901"/>
      <c r="AZ1526" s="901"/>
      <c r="BA1526" s="901"/>
      <c r="BB1526" s="905"/>
      <c r="BC1526" s="902"/>
      <c r="BD1526" s="901"/>
      <c r="BE1526" s="901"/>
      <c r="BF1526" s="901"/>
      <c r="BG1526" s="905"/>
      <c r="BH1526" s="902"/>
      <c r="BI1526" s="901"/>
      <c r="BJ1526" s="901"/>
      <c r="BK1526" s="901"/>
      <c r="BL1526" s="905"/>
      <c r="BM1526" s="901"/>
      <c r="BN1526" s="901"/>
      <c r="BO1526" s="901"/>
      <c r="BP1526" s="901"/>
      <c r="BQ1526" s="905"/>
      <c r="BR1526" s="901"/>
      <c r="BS1526" s="901"/>
      <c r="BT1526" s="901"/>
      <c r="BU1526" s="901"/>
      <c r="BV1526" s="905"/>
      <c r="BW1526" s="3652"/>
      <c r="BX1526" s="901"/>
      <c r="BY1526" s="901"/>
      <c r="BZ1526" s="901"/>
      <c r="CA1526" s="905"/>
      <c r="CB1526" s="901"/>
      <c r="CC1526" s="901"/>
      <c r="CD1526" s="901"/>
      <c r="CE1526" s="901"/>
      <c r="CF1526" s="905"/>
      <c r="CG1526" s="901"/>
      <c r="CH1526" s="901"/>
      <c r="CI1526" s="901"/>
      <c r="CJ1526" s="901"/>
      <c r="CK1526" s="905"/>
      <c r="CL1526" s="1016"/>
      <c r="CM1526" s="901"/>
      <c r="CN1526" s="901"/>
      <c r="CO1526" s="901"/>
      <c r="CP1526" s="905"/>
      <c r="CQ1526" s="901"/>
      <c r="CR1526" s="901"/>
      <c r="CS1526" s="901"/>
      <c r="CT1526" s="1017"/>
      <c r="CU1526" s="905"/>
      <c r="CV1526" s="901"/>
      <c r="CW1526" s="901"/>
      <c r="CX1526" s="901"/>
      <c r="CY1526" s="1017"/>
      <c r="CZ1526" s="905"/>
      <c r="DA1526" s="1016"/>
      <c r="DB1526" s="901"/>
      <c r="DC1526" s="901"/>
      <c r="DD1526" s="1017"/>
      <c r="DE1526" s="905"/>
      <c r="DF1526" s="901"/>
      <c r="DG1526" s="901"/>
      <c r="DH1526" s="901"/>
      <c r="DI1526" s="1017"/>
      <c r="DJ1526" s="905"/>
      <c r="DK1526" s="901"/>
      <c r="DL1526" s="901"/>
      <c r="DM1526" s="901"/>
      <c r="DN1526" s="1017"/>
      <c r="DO1526" s="905"/>
      <c r="DP1526" s="901"/>
      <c r="DQ1526" s="901"/>
      <c r="DR1526" s="901"/>
      <c r="DS1526" s="1017"/>
      <c r="DT1526" s="905"/>
      <c r="DU1526" s="901"/>
      <c r="DV1526" s="901"/>
      <c r="DW1526" s="901"/>
      <c r="DX1526" s="1017"/>
      <c r="DY1526" s="905"/>
      <c r="DZ1526" s="901"/>
      <c r="EA1526" s="901"/>
      <c r="EB1526" s="901"/>
      <c r="EC1526" s="1017"/>
      <c r="ED1526" s="905"/>
      <c r="EE1526" s="1016"/>
      <c r="EF1526" s="901"/>
      <c r="EG1526" s="901"/>
      <c r="EH1526" s="1017"/>
      <c r="EI1526" s="1016"/>
      <c r="EJ1526" s="905"/>
      <c r="EK1526" s="905"/>
      <c r="EL1526" s="905"/>
      <c r="EM1526" s="905"/>
      <c r="EN1526" s="905"/>
      <c r="EO1526" s="1017"/>
      <c r="EP1526" s="1017"/>
      <c r="EQ1526" s="1017"/>
      <c r="ER1526" s="1017"/>
      <c r="ES1526" s="905"/>
      <c r="ET1526" s="905"/>
      <c r="EU1526" s="1017"/>
      <c r="EV1526" s="905"/>
      <c r="EW1526" s="905"/>
      <c r="EX1526" s="899"/>
    </row>
    <row r="1527" spans="1:154" outlineLevel="1">
      <c r="B1527" s="3657" t="str">
        <f>B1522</f>
      </c>
      <c r="C1527" s="2026"/>
      <c r="D1527" s="900"/>
      <c r="E1527" s="900"/>
      <c r="F1527" s="901"/>
      <c r="G1527" s="901"/>
      <c r="H1527" s="901"/>
      <c r="I1527" s="901"/>
      <c r="J1527" s="901"/>
      <c r="K1527" s="901"/>
      <c r="L1527" s="901"/>
      <c r="M1527" s="901"/>
      <c r="N1527" s="901"/>
      <c r="O1527" s="902"/>
      <c r="P1527" s="901"/>
      <c r="Q1527" s="901"/>
      <c r="R1527" s="901"/>
      <c r="S1527" s="901"/>
      <c r="T1527" s="902"/>
      <c r="U1527" s="901"/>
      <c r="V1527" s="901"/>
      <c r="W1527" s="901"/>
      <c r="X1527" s="905"/>
      <c r="Y1527" s="902"/>
      <c r="Z1527" s="901"/>
      <c r="AA1527" s="901"/>
      <c r="AB1527" s="901"/>
      <c r="AC1527" s="905"/>
      <c r="AD1527" s="902"/>
      <c r="AE1527" s="901"/>
      <c r="AF1527" s="901"/>
      <c r="AG1527" s="901"/>
      <c r="AH1527" s="905"/>
      <c r="AI1527" s="902"/>
      <c r="AJ1527" s="901"/>
      <c r="AK1527" s="901"/>
      <c r="AL1527" s="901"/>
      <c r="AM1527" s="905"/>
      <c r="AN1527" s="902"/>
      <c r="AO1527" s="901"/>
      <c r="AP1527" s="901"/>
      <c r="AQ1527" s="3658"/>
      <c r="AR1527" s="905"/>
      <c r="AS1527" s="902"/>
      <c r="AT1527" s="901"/>
      <c r="AU1527" s="901"/>
      <c r="AV1527" s="901"/>
      <c r="AW1527" s="905"/>
      <c r="AX1527" s="902"/>
      <c r="AY1527" s="901"/>
      <c r="AZ1527" s="901"/>
      <c r="BA1527" s="901"/>
      <c r="BB1527" s="905"/>
      <c r="BC1527" s="902"/>
      <c r="BD1527" s="901"/>
      <c r="BE1527" s="901"/>
      <c r="BF1527" s="901"/>
      <c r="BG1527" s="905"/>
      <c r="BH1527" s="902"/>
      <c r="BI1527" s="901"/>
      <c r="BJ1527" s="901"/>
      <c r="BK1527" s="901"/>
      <c r="BL1527" s="905"/>
      <c r="BM1527" s="901"/>
      <c r="BN1527" s="901"/>
      <c r="BO1527" s="901"/>
      <c r="BP1527" s="901"/>
      <c r="BQ1527" s="905"/>
      <c r="BR1527" s="901"/>
      <c r="BS1527" s="901"/>
      <c r="BT1527" s="901"/>
      <c r="BU1527" s="901"/>
      <c r="BV1527" s="905"/>
      <c r="BW1527" s="3652"/>
      <c r="BX1527" s="901"/>
      <c r="BY1527" s="901"/>
      <c r="BZ1527" s="901"/>
      <c r="CA1527" s="905"/>
      <c r="CB1527" s="901"/>
      <c r="CC1527" s="901"/>
      <c r="CD1527" s="901"/>
      <c r="CE1527" s="901"/>
      <c r="CF1527" s="905"/>
      <c r="CG1527" s="901"/>
      <c r="CH1527" s="901"/>
      <c r="CI1527" s="901"/>
      <c r="CJ1527" s="901"/>
      <c r="CK1527" s="905"/>
      <c r="CL1527" s="1016"/>
      <c r="CM1527" s="901"/>
      <c r="CN1527" s="901"/>
      <c r="CO1527" s="901"/>
      <c r="CP1527" s="905"/>
      <c r="CQ1527" s="901"/>
      <c r="CR1527" s="901"/>
      <c r="CS1527" s="901"/>
      <c r="CT1527" s="1017"/>
      <c r="CU1527" s="905"/>
      <c r="CV1527" s="901"/>
      <c r="CW1527" s="901"/>
      <c r="CX1527" s="901"/>
      <c r="CY1527" s="1017"/>
      <c r="CZ1527" s="905"/>
      <c r="DA1527" s="1016"/>
      <c r="DB1527" s="901"/>
      <c r="DC1527" s="901"/>
      <c r="DD1527" s="1017"/>
      <c r="DE1527" s="905"/>
      <c r="DF1527" s="901"/>
      <c r="DG1527" s="901"/>
      <c r="DH1527" s="901"/>
      <c r="DI1527" s="1017"/>
      <c r="DJ1527" s="905"/>
      <c r="DK1527" s="901"/>
      <c r="DL1527" s="901"/>
      <c r="DM1527" s="901"/>
      <c r="DN1527" s="1017"/>
      <c r="DO1527" s="905"/>
      <c r="DP1527" s="901"/>
      <c r="DQ1527" s="901"/>
      <c r="DR1527" s="901"/>
      <c r="DS1527" s="1017"/>
      <c r="DT1527" s="905"/>
      <c r="DU1527" s="901"/>
      <c r="DV1527" s="901"/>
      <c r="DW1527" s="901"/>
      <c r="DX1527" s="1017"/>
      <c r="DY1527" s="905"/>
      <c r="DZ1527" s="901"/>
      <c r="EA1527" s="901"/>
      <c r="EB1527" s="901"/>
      <c r="EC1527" s="1017"/>
      <c r="ED1527" s="905"/>
      <c r="EE1527" s="1016"/>
      <c r="EF1527" s="901"/>
      <c r="EG1527" s="901"/>
      <c r="EH1527" s="1017"/>
      <c r="EI1527" s="1016"/>
      <c r="EJ1527" s="905"/>
      <c r="EK1527" s="905"/>
      <c r="EL1527" s="905"/>
      <c r="EM1527" s="905"/>
      <c r="EN1527" s="905"/>
      <c r="EO1527" s="1017"/>
      <c r="EP1527" s="1017"/>
      <c r="EQ1527" s="1017"/>
      <c r="ER1527" s="1017"/>
      <c r="ES1527" s="905"/>
      <c r="ET1527" s="905"/>
      <c r="EU1527" s="1017"/>
      <c r="EV1527" s="1017"/>
      <c r="EW1527" s="1017"/>
      <c r="EX1527" s="915"/>
    </row>
    <row r="1528" spans="1:154" outlineLevel="1">
      <c r="B1528" s="3666" t="s">
        <v>153</v>
      </c>
      <c r="C1528" s="3675">
        <v>1</v>
      </c>
      <c r="D1528" s="900"/>
      <c r="E1528" s="900"/>
      <c r="F1528" s="901"/>
      <c r="G1528" s="901"/>
      <c r="H1528" s="901"/>
      <c r="I1528" s="901"/>
      <c r="J1528" s="901"/>
      <c r="K1528" s="901"/>
      <c r="L1528" s="901"/>
      <c r="M1528" s="901"/>
      <c r="N1528" s="901"/>
      <c r="O1528" s="902"/>
      <c r="P1528" s="901"/>
      <c r="Q1528" s="901"/>
      <c r="R1528" s="901"/>
      <c r="S1528" s="901"/>
      <c r="T1528" s="902"/>
      <c r="U1528" s="901"/>
      <c r="V1528" s="901"/>
      <c r="W1528" s="901"/>
      <c r="X1528" s="905"/>
      <c r="Y1528" s="902"/>
      <c r="Z1528" s="901"/>
      <c r="AA1528" s="901"/>
      <c r="AB1528" s="901"/>
      <c r="AC1528" s="905"/>
      <c r="AD1528" s="902"/>
      <c r="AE1528" s="901"/>
      <c r="AF1528" s="901"/>
      <c r="AG1528" s="901"/>
      <c r="AH1528" s="905"/>
      <c r="AI1528" s="902"/>
      <c r="AJ1528" s="901"/>
      <c r="AK1528" s="901"/>
      <c r="AL1528" s="901"/>
      <c r="AM1528" s="905"/>
      <c r="AN1528" s="902"/>
      <c r="AO1528" s="901"/>
      <c r="AP1528" s="901"/>
      <c r="AQ1528" s="3658"/>
      <c r="AR1528" s="905"/>
      <c r="AS1528" s="902"/>
      <c r="AT1528" s="901"/>
      <c r="AU1528" s="901"/>
      <c r="AV1528" s="901"/>
      <c r="AW1528" s="905"/>
      <c r="AX1528" s="902"/>
      <c r="AY1528" s="901"/>
      <c r="AZ1528" s="901"/>
      <c r="BA1528" s="901"/>
      <c r="BB1528" s="905"/>
      <c r="BC1528" s="902"/>
      <c r="BD1528" s="901"/>
      <c r="BE1528" s="901"/>
      <c r="BF1528" s="901"/>
      <c r="BG1528" s="905"/>
      <c r="BH1528" s="902"/>
      <c r="BI1528" s="901"/>
      <c r="BJ1528" s="901"/>
      <c r="BK1528" s="901"/>
      <c r="BL1528" s="905"/>
      <c r="BM1528" s="901"/>
      <c r="BN1528" s="901"/>
      <c r="BO1528" s="901"/>
      <c r="BP1528" s="901"/>
      <c r="BQ1528" s="905"/>
      <c r="BR1528" s="901"/>
      <c r="BS1528" s="901"/>
      <c r="BT1528" s="901"/>
      <c r="BU1528" s="901"/>
      <c r="BV1528" s="905"/>
      <c r="BW1528" s="3652"/>
      <c r="BX1528" s="901"/>
      <c r="BY1528" s="901"/>
      <c r="BZ1528" s="901"/>
      <c r="CA1528" s="905"/>
      <c r="CB1528" s="901"/>
      <c r="CC1528" s="901"/>
      <c r="CD1528" s="901"/>
      <c r="CE1528" s="901"/>
      <c r="CF1528" s="905"/>
      <c r="CG1528" s="901"/>
      <c r="CH1528" s="901"/>
      <c r="CI1528" s="901"/>
      <c r="CJ1528" s="901"/>
      <c r="CK1528" s="905"/>
      <c r="CL1528" s="1016"/>
      <c r="CM1528" s="901"/>
      <c r="CN1528" s="901"/>
      <c r="CO1528" s="901"/>
      <c r="CP1528" s="905"/>
      <c r="CQ1528" s="901"/>
      <c r="CR1528" s="901"/>
      <c r="CS1528" s="901"/>
      <c r="CT1528" s="1017"/>
      <c r="CU1528" s="905"/>
      <c r="CV1528" s="901"/>
      <c r="CW1528" s="901"/>
      <c r="CX1528" s="901"/>
      <c r="CY1528" s="1017"/>
      <c r="CZ1528" s="905"/>
      <c r="DA1528" s="1016"/>
      <c r="DB1528" s="901"/>
      <c r="DC1528" s="901"/>
      <c r="DD1528" s="1017"/>
      <c r="DE1528" s="905"/>
      <c r="DF1528" s="901"/>
      <c r="DG1528" s="901"/>
      <c r="DH1528" s="901"/>
      <c r="DI1528" s="1017"/>
      <c r="DJ1528" s="905"/>
      <c r="DK1528" s="901"/>
      <c r="DL1528" s="901"/>
      <c r="DM1528" s="901"/>
      <c r="DN1528" s="1017">
        <f t="shared" ref="DN1528:EU1529" si="2969">$C1528*DN1523</f>
      </c>
      <c r="DO1528" s="905">
        <f t="shared" si="2969"/>
      </c>
      <c r="DP1528" s="901"/>
      <c r="DQ1528" s="901"/>
      <c r="DR1528" s="901"/>
      <c r="DS1528" s="1017"/>
      <c r="DT1528" s="905"/>
      <c r="DU1528" s="901"/>
      <c r="DV1528" s="901"/>
      <c r="DW1528" s="901"/>
      <c r="DX1528" s="1017"/>
      <c r="DY1528" s="905"/>
      <c r="DZ1528" s="901"/>
      <c r="EA1528" s="901"/>
      <c r="EB1528" s="901"/>
      <c r="EC1528" s="1017"/>
      <c r="ED1528" s="905"/>
      <c r="EE1528" s="1016">
        <f t="shared" si="2969"/>
      </c>
      <c r="EF1528" s="901">
        <f t="shared" si="2969"/>
      </c>
      <c r="EG1528" s="901">
        <f t="shared" si="2969"/>
      </c>
      <c r="EH1528" s="1017">
        <f t="shared" si="2969"/>
      </c>
      <c r="EI1528" s="1016">
        <f t="shared" si="2969"/>
      </c>
      <c r="EJ1528" s="905">
        <f t="shared" si="2969"/>
      </c>
      <c r="EK1528" s="905">
        <f t="shared" si="2969"/>
      </c>
      <c r="EL1528" s="905">
        <f t="shared" si="2969"/>
      </c>
      <c r="EM1528" s="905">
        <f t="shared" si="2969"/>
      </c>
      <c r="EN1528" s="905">
        <f t="shared" si="2969"/>
      </c>
      <c r="EO1528" s="1017">
        <f t="shared" si="2969"/>
      </c>
      <c r="EP1528" s="1017">
        <f t="shared" si="2969"/>
      </c>
      <c r="EQ1528" s="1017">
        <f t="shared" si="2969"/>
      </c>
      <c r="ER1528" s="1017">
        <f t="shared" si="2969"/>
      </c>
      <c r="ES1528" s="1017">
        <f t="shared" si="2969"/>
      </c>
      <c r="ET1528" s="1017">
        <f t="shared" si="2969"/>
      </c>
      <c r="EU1528" s="1017">
        <f t="shared" si="2969"/>
      </c>
      <c r="EV1528" s="1017"/>
      <c r="EW1528" s="1017"/>
      <c r="EX1528" s="915"/>
    </row>
    <row r="1529" spans="1:154" s="1515" customFormat="1" outlineLevel="1">
      <c r="A1529" s="3277"/>
      <c r="B1529" s="3666" t="s">
        <v>235</v>
      </c>
      <c r="C1529" s="3675">
        <v>1</v>
      </c>
      <c r="D1529" s="900"/>
      <c r="E1529" s="900"/>
      <c r="F1529" s="901"/>
      <c r="G1529" s="901"/>
      <c r="H1529" s="901"/>
      <c r="I1529" s="901"/>
      <c r="J1529" s="901"/>
      <c r="K1529" s="901"/>
      <c r="L1529" s="901"/>
      <c r="M1529" s="901"/>
      <c r="N1529" s="901"/>
      <c r="O1529" s="902"/>
      <c r="P1529" s="901"/>
      <c r="Q1529" s="901"/>
      <c r="R1529" s="901"/>
      <c r="S1529" s="901"/>
      <c r="T1529" s="902"/>
      <c r="U1529" s="901"/>
      <c r="V1529" s="901"/>
      <c r="W1529" s="901"/>
      <c r="X1529" s="905"/>
      <c r="Y1529" s="902"/>
      <c r="Z1529" s="901"/>
      <c r="AA1529" s="901"/>
      <c r="AB1529" s="901"/>
      <c r="AC1529" s="905"/>
      <c r="AD1529" s="902"/>
      <c r="AE1529" s="901"/>
      <c r="AF1529" s="901"/>
      <c r="AG1529" s="901"/>
      <c r="AH1529" s="905"/>
      <c r="AI1529" s="902"/>
      <c r="AJ1529" s="901"/>
      <c r="AK1529" s="901"/>
      <c r="AL1529" s="901"/>
      <c r="AM1529" s="905"/>
      <c r="AN1529" s="902"/>
      <c r="AO1529" s="901"/>
      <c r="AP1529" s="901"/>
      <c r="AQ1529" s="3658"/>
      <c r="AR1529" s="905"/>
      <c r="AS1529" s="902"/>
      <c r="AT1529" s="901"/>
      <c r="AU1529" s="901"/>
      <c r="AV1529" s="901"/>
      <c r="AW1529" s="905"/>
      <c r="AX1529" s="902"/>
      <c r="AY1529" s="901"/>
      <c r="AZ1529" s="901"/>
      <c r="BA1529" s="901"/>
      <c r="BB1529" s="905"/>
      <c r="BC1529" s="902"/>
      <c r="BD1529" s="901"/>
      <c r="BE1529" s="901"/>
      <c r="BF1529" s="901"/>
      <c r="BG1529" s="905"/>
      <c r="BH1529" s="902"/>
      <c r="BI1529" s="901"/>
      <c r="BJ1529" s="901"/>
      <c r="BK1529" s="901"/>
      <c r="BL1529" s="905"/>
      <c r="BM1529" s="901"/>
      <c r="BN1529" s="901"/>
      <c r="BO1529" s="901"/>
      <c r="BP1529" s="901"/>
      <c r="BQ1529" s="905"/>
      <c r="BR1529" s="901"/>
      <c r="BS1529" s="901"/>
      <c r="BT1529" s="901"/>
      <c r="BU1529" s="901"/>
      <c r="BV1529" s="905"/>
      <c r="BW1529" s="3652"/>
      <c r="BX1529" s="901"/>
      <c r="BY1529" s="901"/>
      <c r="BZ1529" s="901"/>
      <c r="CA1529" s="905"/>
      <c r="CB1529" s="901"/>
      <c r="CC1529" s="901"/>
      <c r="CD1529" s="901"/>
      <c r="CE1529" s="901"/>
      <c r="CF1529" s="905"/>
      <c r="CG1529" s="901"/>
      <c r="CH1529" s="901"/>
      <c r="CI1529" s="901"/>
      <c r="CJ1529" s="901"/>
      <c r="CK1529" s="905"/>
      <c r="CL1529" s="1016"/>
      <c r="CM1529" s="901"/>
      <c r="CN1529" s="901"/>
      <c r="CO1529" s="901"/>
      <c r="CP1529" s="905"/>
      <c r="CQ1529" s="901"/>
      <c r="CR1529" s="901"/>
      <c r="CS1529" s="901"/>
      <c r="CT1529" s="1017"/>
      <c r="CU1529" s="905"/>
      <c r="CV1529" s="901"/>
      <c r="CW1529" s="901"/>
      <c r="CX1529" s="901"/>
      <c r="CY1529" s="1017"/>
      <c r="CZ1529" s="905"/>
      <c r="DA1529" s="1016"/>
      <c r="DB1529" s="901"/>
      <c r="DC1529" s="901"/>
      <c r="DD1529" s="1017"/>
      <c r="DE1529" s="905"/>
      <c r="DF1529" s="901"/>
      <c r="DG1529" s="901"/>
      <c r="DH1529" s="901"/>
      <c r="DI1529" s="1017"/>
      <c r="DJ1529" s="905"/>
      <c r="DK1529" s="901"/>
      <c r="DL1529" s="901"/>
      <c r="DM1529" s="901"/>
      <c r="DN1529" s="1017">
        <f t="shared" ref="DN1529:EU1529" si="2970">$C1529*DN1524</f>
      </c>
      <c r="DO1529" s="905">
        <f t="shared" si="2970"/>
      </c>
      <c r="DP1529" s="901"/>
      <c r="DQ1529" s="901"/>
      <c r="DR1529" s="901"/>
      <c r="DS1529" s="1017"/>
      <c r="DT1529" s="905"/>
      <c r="DU1529" s="901"/>
      <c r="DV1529" s="901"/>
      <c r="DW1529" s="901"/>
      <c r="DX1529" s="1017"/>
      <c r="DY1529" s="905"/>
      <c r="DZ1529" s="901"/>
      <c r="EA1529" s="901"/>
      <c r="EB1529" s="901"/>
      <c r="EC1529" s="1017"/>
      <c r="ED1529" s="905"/>
      <c r="EE1529" s="1016">
        <f t="shared" si="2969"/>
      </c>
      <c r="EF1529" s="901">
        <f t="shared" si="2969"/>
      </c>
      <c r="EG1529" s="901">
        <f t="shared" si="2969"/>
      </c>
      <c r="EH1529" s="1017">
        <f t="shared" si="2969"/>
      </c>
      <c r="EI1529" s="1016">
        <f t="shared" si="2970"/>
      </c>
      <c r="EJ1529" s="905">
        <f t="shared" si="2970"/>
      </c>
      <c r="EK1529" s="905">
        <f t="shared" si="2970"/>
      </c>
      <c r="EL1529" s="905">
        <f t="shared" si="2970"/>
      </c>
      <c r="EM1529" s="905">
        <f t="shared" si="2970"/>
      </c>
      <c r="EN1529" s="905">
        <f t="shared" si="2970"/>
      </c>
      <c r="EO1529" s="1017">
        <f t="shared" si="2970"/>
      </c>
      <c r="EP1529" s="905">
        <f t="shared" si="2970"/>
      </c>
      <c r="EQ1529" s="905">
        <f t="shared" si="2970"/>
      </c>
      <c r="ER1529" s="905">
        <f t="shared" si="2970"/>
      </c>
      <c r="ES1529" s="905">
        <f t="shared" si="2970"/>
      </c>
      <c r="ET1529" s="905">
        <f t="shared" si="2970"/>
      </c>
      <c r="EU1529" s="905">
        <f t="shared" si="2970"/>
      </c>
      <c r="EV1529" s="1017"/>
      <c r="EW1529" s="1017"/>
      <c r="EX1529" s="915"/>
    </row>
    <row r="1530" spans="1:154" s="1515" customFormat="1" outlineLevel="1">
      <c r="A1530" s="3275" t="s">
        <v>900</v>
      </c>
      <c r="B1530" s="3666" t="s">
        <v>188</v>
      </c>
      <c r="C1530" s="2026" t="s">
        <v>585</v>
      </c>
      <c r="D1530" s="900"/>
      <c r="E1530" s="900"/>
      <c r="F1530" s="901"/>
      <c r="G1530" s="901"/>
      <c r="H1530" s="901"/>
      <c r="I1530" s="901"/>
      <c r="J1530" s="901"/>
      <c r="K1530" s="901"/>
      <c r="L1530" s="901"/>
      <c r="M1530" s="901"/>
      <c r="N1530" s="901"/>
      <c r="O1530" s="902"/>
      <c r="P1530" s="901"/>
      <c r="Q1530" s="901"/>
      <c r="R1530" s="901"/>
      <c r="S1530" s="901"/>
      <c r="T1530" s="902"/>
      <c r="U1530" s="901"/>
      <c r="V1530" s="901"/>
      <c r="W1530" s="901"/>
      <c r="X1530" s="905"/>
      <c r="Y1530" s="902"/>
      <c r="Z1530" s="901"/>
      <c r="AA1530" s="901"/>
      <c r="AB1530" s="901"/>
      <c r="AC1530" s="905"/>
      <c r="AD1530" s="902"/>
      <c r="AE1530" s="901"/>
      <c r="AF1530" s="901"/>
      <c r="AG1530" s="901"/>
      <c r="AH1530" s="905"/>
      <c r="AI1530" s="902"/>
      <c r="AJ1530" s="901"/>
      <c r="AK1530" s="901"/>
      <c r="AL1530" s="901"/>
      <c r="AM1530" s="905"/>
      <c r="AN1530" s="902"/>
      <c r="AO1530" s="901"/>
      <c r="AP1530" s="901"/>
      <c r="AQ1530" s="3658"/>
      <c r="AR1530" s="905"/>
      <c r="AS1530" s="902"/>
      <c r="AT1530" s="901"/>
      <c r="AU1530" s="901"/>
      <c r="AV1530" s="901"/>
      <c r="AW1530" s="905"/>
      <c r="AX1530" s="902"/>
      <c r="AY1530" s="901"/>
      <c r="AZ1530" s="901"/>
      <c r="BA1530" s="901"/>
      <c r="BB1530" s="905"/>
      <c r="BC1530" s="902"/>
      <c r="BD1530" s="901"/>
      <c r="BE1530" s="901"/>
      <c r="BF1530" s="901"/>
      <c r="BG1530" s="905"/>
      <c r="BH1530" s="902"/>
      <c r="BI1530" s="901"/>
      <c r="BJ1530" s="901"/>
      <c r="BK1530" s="901"/>
      <c r="BL1530" s="905"/>
      <c r="BM1530" s="901"/>
      <c r="BN1530" s="901"/>
      <c r="BO1530" s="901"/>
      <c r="BP1530" s="901"/>
      <c r="BQ1530" s="905"/>
      <c r="BR1530" s="901"/>
      <c r="BS1530" s="901"/>
      <c r="BT1530" s="901"/>
      <c r="BU1530" s="901"/>
      <c r="BV1530" s="905"/>
      <c r="BW1530" s="3652"/>
      <c r="BX1530" s="901"/>
      <c r="BY1530" s="901"/>
      <c r="BZ1530" s="901"/>
      <c r="CA1530" s="905"/>
      <c r="CB1530" s="901"/>
      <c r="CC1530" s="901"/>
      <c r="CD1530" s="901"/>
      <c r="CE1530" s="901"/>
      <c r="CF1530" s="905"/>
      <c r="CG1530" s="901"/>
      <c r="CH1530" s="901"/>
      <c r="CI1530" s="901"/>
      <c r="CJ1530" s="901"/>
      <c r="CK1530" s="905"/>
      <c r="CL1530" s="1016"/>
      <c r="CM1530" s="901"/>
      <c r="CN1530" s="901"/>
      <c r="CO1530" s="901"/>
      <c r="CP1530" s="905"/>
      <c r="CQ1530" s="901"/>
      <c r="CR1530" s="901"/>
      <c r="CS1530" s="901"/>
      <c r="CT1530" s="1017"/>
      <c r="CU1530" s="905"/>
      <c r="CV1530" s="901"/>
      <c r="CW1530" s="901"/>
      <c r="CX1530" s="901"/>
      <c r="CY1530" s="1017"/>
      <c r="CZ1530" s="905"/>
      <c r="DA1530" s="1016"/>
      <c r="DB1530" s="901"/>
      <c r="DC1530" s="901"/>
      <c r="DD1530" s="1017"/>
      <c r="DE1530" s="905"/>
      <c r="DF1530" s="901"/>
      <c r="DG1530" s="901"/>
      <c r="DH1530" s="901"/>
      <c r="DI1530" s="1017"/>
      <c r="DJ1530" s="905"/>
      <c r="DK1530" s="901"/>
      <c r="DL1530" s="901"/>
      <c r="DM1530" s="901"/>
      <c r="DN1530" s="1017">
        <f t="shared" ref="DN1530:EU1530" si="2971">DN1528+DN1529</f>
      </c>
      <c r="DO1530" s="905">
        <f t="shared" si="2971"/>
      </c>
      <c r="DP1530" s="901"/>
      <c r="DQ1530" s="901"/>
      <c r="DR1530" s="901"/>
      <c r="DS1530" s="1017"/>
      <c r="DT1530" s="905"/>
      <c r="DU1530" s="901"/>
      <c r="DV1530" s="901"/>
      <c r="DW1530" s="901"/>
      <c r="DX1530" s="1017"/>
      <c r="DY1530" s="905"/>
      <c r="DZ1530" s="901"/>
      <c r="EA1530" s="901"/>
      <c r="EB1530" s="901"/>
      <c r="EC1530" s="1017"/>
      <c r="ED1530" s="905"/>
      <c r="EE1530" s="1016">
        <f>EE1528+EE1529</f>
      </c>
      <c r="EF1530" s="901">
        <f>EF1528+EF1529</f>
      </c>
      <c r="EG1530" s="901">
        <f>EG1528+EG1529</f>
      </c>
      <c r="EH1530" s="1017">
        <f>EH1528+EH1529</f>
      </c>
      <c r="EI1530" s="1016">
        <f t="shared" si="2971"/>
      </c>
      <c r="EJ1530" s="905">
        <f t="shared" si="2971"/>
      </c>
      <c r="EK1530" s="905">
        <f t="shared" si="2971"/>
      </c>
      <c r="EL1530" s="905">
        <f t="shared" si="2971"/>
      </c>
      <c r="EM1530" s="905">
        <f t="shared" si="2971"/>
      </c>
      <c r="EN1530" s="905">
        <f t="shared" si="2971"/>
      </c>
      <c r="EO1530" s="1017">
        <f t="shared" si="2971"/>
      </c>
      <c r="EP1530" s="905">
        <f t="shared" si="2971"/>
      </c>
      <c r="EQ1530" s="905">
        <f t="shared" si="2971"/>
      </c>
      <c r="ER1530" s="905">
        <f t="shared" si="2971"/>
      </c>
      <c r="ES1530" s="905">
        <f t="shared" si="2971"/>
      </c>
      <c r="ET1530" s="905">
        <f t="shared" si="2971"/>
      </c>
      <c r="EU1530" s="905">
        <f t="shared" si="2971"/>
      </c>
      <c r="EV1530" s="905"/>
      <c r="EW1530" s="905"/>
      <c r="EX1530" s="1369"/>
    </row>
    <row r="1531" spans="1:154" s="1515" customFormat="1" outlineLevel="1">
      <c r="A1531" s="3275"/>
      <c r="B1531" s="3666"/>
      <c r="C1531" s="2026"/>
      <c r="D1531" s="900"/>
      <c r="E1531" s="900"/>
      <c r="F1531" s="901"/>
      <c r="G1531" s="901"/>
      <c r="H1531" s="901"/>
      <c r="I1531" s="901"/>
      <c r="J1531" s="901"/>
      <c r="K1531" s="901"/>
      <c r="L1531" s="901"/>
      <c r="M1531" s="901"/>
      <c r="N1531" s="901"/>
      <c r="O1531" s="902"/>
      <c r="P1531" s="901"/>
      <c r="Q1531" s="901"/>
      <c r="R1531" s="901"/>
      <c r="S1531" s="901"/>
      <c r="T1531" s="902"/>
      <c r="U1531" s="901"/>
      <c r="V1531" s="901"/>
      <c r="W1531" s="901"/>
      <c r="X1531" s="905"/>
      <c r="Y1531" s="902"/>
      <c r="Z1531" s="901"/>
      <c r="AA1531" s="901"/>
      <c r="AB1531" s="901"/>
      <c r="AC1531" s="905"/>
      <c r="AD1531" s="902"/>
      <c r="AE1531" s="901"/>
      <c r="AF1531" s="901"/>
      <c r="AG1531" s="901"/>
      <c r="AH1531" s="905"/>
      <c r="AI1531" s="902"/>
      <c r="AJ1531" s="901"/>
      <c r="AK1531" s="901"/>
      <c r="AL1531" s="901"/>
      <c r="AM1531" s="905"/>
      <c r="AN1531" s="902"/>
      <c r="AO1531" s="901"/>
      <c r="AP1531" s="901"/>
      <c r="AQ1531" s="3658"/>
      <c r="AR1531" s="905"/>
      <c r="AS1531" s="902"/>
      <c r="AT1531" s="901"/>
      <c r="AU1531" s="901"/>
      <c r="AV1531" s="901"/>
      <c r="AW1531" s="905"/>
      <c r="AX1531" s="902"/>
      <c r="AY1531" s="901"/>
      <c r="AZ1531" s="901"/>
      <c r="BA1531" s="901"/>
      <c r="BB1531" s="905"/>
      <c r="BC1531" s="902"/>
      <c r="BD1531" s="901"/>
      <c r="BE1531" s="901"/>
      <c r="BF1531" s="901"/>
      <c r="BG1531" s="905"/>
      <c r="BH1531" s="902"/>
      <c r="BI1531" s="901"/>
      <c r="BJ1531" s="901"/>
      <c r="BK1531" s="901"/>
      <c r="BL1531" s="905"/>
      <c r="BM1531" s="901"/>
      <c r="BN1531" s="901"/>
      <c r="BO1531" s="901"/>
      <c r="BP1531" s="901"/>
      <c r="BQ1531" s="905"/>
      <c r="BR1531" s="901"/>
      <c r="BS1531" s="901"/>
      <c r="BT1531" s="901"/>
      <c r="BU1531" s="901"/>
      <c r="BV1531" s="905"/>
      <c r="BW1531" s="3652"/>
      <c r="BX1531" s="901"/>
      <c r="BY1531" s="901"/>
      <c r="BZ1531" s="901"/>
      <c r="CA1531" s="905"/>
      <c r="CB1531" s="901"/>
      <c r="CC1531" s="901"/>
      <c r="CD1531" s="901"/>
      <c r="CE1531" s="901"/>
      <c r="CF1531" s="905"/>
      <c r="CG1531" s="901"/>
      <c r="CH1531" s="901"/>
      <c r="CI1531" s="901"/>
      <c r="CJ1531" s="901"/>
      <c r="CK1531" s="905"/>
      <c r="CL1531" s="1016"/>
      <c r="CM1531" s="901"/>
      <c r="CN1531" s="901"/>
      <c r="CO1531" s="901"/>
      <c r="CP1531" s="905"/>
      <c r="CQ1531" s="901"/>
      <c r="CR1531" s="901"/>
      <c r="CS1531" s="901"/>
      <c r="CT1531" s="1017"/>
      <c r="CU1531" s="905"/>
      <c r="CV1531" s="901"/>
      <c r="CW1531" s="901"/>
      <c r="CX1531" s="901"/>
      <c r="CY1531" s="1017"/>
      <c r="CZ1531" s="905"/>
      <c r="DA1531" s="1016"/>
      <c r="DB1531" s="901"/>
      <c r="DC1531" s="901"/>
      <c r="DD1531" s="1017"/>
      <c r="DE1531" s="905"/>
      <c r="DF1531" s="901"/>
      <c r="DG1531" s="901"/>
      <c r="DH1531" s="901"/>
      <c r="DI1531" s="1017"/>
      <c r="DJ1531" s="905"/>
      <c r="DK1531" s="901"/>
      <c r="DL1531" s="901"/>
      <c r="DM1531" s="901"/>
      <c r="DN1531" s="1017"/>
      <c r="DO1531" s="905"/>
      <c r="DP1531" s="901"/>
      <c r="DQ1531" s="901"/>
      <c r="DR1531" s="901"/>
      <c r="DS1531" s="1017"/>
      <c r="DT1531" s="905"/>
      <c r="DU1531" s="901"/>
      <c r="DV1531" s="901"/>
      <c r="DW1531" s="901"/>
      <c r="DX1531" s="1017"/>
      <c r="DY1531" s="905"/>
      <c r="DZ1531" s="901"/>
      <c r="EA1531" s="901"/>
      <c r="EB1531" s="901"/>
      <c r="EC1531" s="1017"/>
      <c r="ED1531" s="905"/>
      <c r="EE1531" s="1016"/>
      <c r="EF1531" s="901"/>
      <c r="EG1531" s="901"/>
      <c r="EH1531" s="1017"/>
      <c r="EI1531" s="1016"/>
      <c r="EJ1531" s="905"/>
      <c r="EK1531" s="905"/>
      <c r="EL1531" s="905"/>
      <c r="EM1531" s="905"/>
      <c r="EN1531" s="905"/>
      <c r="EO1531" s="1017"/>
      <c r="EP1531" s="1017"/>
      <c r="EQ1531" s="1017"/>
      <c r="ER1531" s="1017"/>
      <c r="ES1531" s="905"/>
      <c r="ET1531" s="1017"/>
      <c r="EU1531" s="1017"/>
      <c r="EV1531" s="1017"/>
      <c r="EW1531" s="1017"/>
      <c r="EX1531" s="1369"/>
    </row>
    <row r="1532" spans="1:154" s="1515" customFormat="1" outlineLevel="1">
      <c r="A1532" s="3275"/>
      <c r="B1532" s="3666" t="s">
        <v>810</v>
      </c>
      <c r="C1532" s="2026"/>
      <c r="D1532" s="900"/>
      <c r="E1532" s="900"/>
      <c r="F1532" s="901"/>
      <c r="G1532" s="901"/>
      <c r="H1532" s="901"/>
      <c r="I1532" s="901"/>
      <c r="J1532" s="901"/>
      <c r="K1532" s="901"/>
      <c r="L1532" s="901"/>
      <c r="M1532" s="901"/>
      <c r="N1532" s="901"/>
      <c r="O1532" s="902"/>
      <c r="P1532" s="901"/>
      <c r="Q1532" s="901"/>
      <c r="R1532" s="901"/>
      <c r="S1532" s="901"/>
      <c r="T1532" s="902"/>
      <c r="U1532" s="901"/>
      <c r="V1532" s="901"/>
      <c r="W1532" s="901"/>
      <c r="X1532" s="905"/>
      <c r="Y1532" s="902"/>
      <c r="Z1532" s="901"/>
      <c r="AA1532" s="901"/>
      <c r="AB1532" s="901"/>
      <c r="AC1532" s="905"/>
      <c r="AD1532" s="902"/>
      <c r="AE1532" s="901"/>
      <c r="AF1532" s="901"/>
      <c r="AG1532" s="901"/>
      <c r="AH1532" s="905"/>
      <c r="AI1532" s="902"/>
      <c r="AJ1532" s="901"/>
      <c r="AK1532" s="901"/>
      <c r="AL1532" s="901"/>
      <c r="AM1532" s="905"/>
      <c r="AN1532" s="902"/>
      <c r="AO1532" s="901"/>
      <c r="AP1532" s="901"/>
      <c r="AQ1532" s="3658"/>
      <c r="AR1532" s="905"/>
      <c r="AS1532" s="902"/>
      <c r="AT1532" s="901"/>
      <c r="AU1532" s="901"/>
      <c r="AV1532" s="901"/>
      <c r="AW1532" s="905"/>
      <c r="AX1532" s="902"/>
      <c r="AY1532" s="901"/>
      <c r="AZ1532" s="901"/>
      <c r="BA1532" s="901"/>
      <c r="BB1532" s="905"/>
      <c r="BC1532" s="902"/>
      <c r="BD1532" s="901"/>
      <c r="BE1532" s="901"/>
      <c r="BF1532" s="901"/>
      <c r="BG1532" s="905"/>
      <c r="BH1532" s="902"/>
      <c r="BI1532" s="901"/>
      <c r="BJ1532" s="901"/>
      <c r="BK1532" s="901"/>
      <c r="BL1532" s="905"/>
      <c r="BM1532" s="901"/>
      <c r="BN1532" s="901"/>
      <c r="BO1532" s="901"/>
      <c r="BP1532" s="901"/>
      <c r="BQ1532" s="905"/>
      <c r="BR1532" s="901"/>
      <c r="BS1532" s="901"/>
      <c r="BT1532" s="901"/>
      <c r="BU1532" s="901"/>
      <c r="BV1532" s="905"/>
      <c r="BW1532" s="3652"/>
      <c r="BX1532" s="901"/>
      <c r="BY1532" s="901"/>
      <c r="BZ1532" s="901"/>
      <c r="CA1532" s="905"/>
      <c r="CB1532" s="901"/>
      <c r="CC1532" s="901"/>
      <c r="CD1532" s="901"/>
      <c r="CE1532" s="901"/>
      <c r="CF1532" s="905"/>
      <c r="CG1532" s="901"/>
      <c r="CH1532" s="901"/>
      <c r="CI1532" s="901"/>
      <c r="CJ1532" s="901"/>
      <c r="CK1532" s="905"/>
      <c r="CL1532" s="1016"/>
      <c r="CM1532" s="901"/>
      <c r="CN1532" s="901"/>
      <c r="CO1532" s="901"/>
      <c r="CP1532" s="905"/>
      <c r="CQ1532" s="901"/>
      <c r="CR1532" s="901"/>
      <c r="CS1532" s="901"/>
      <c r="CT1532" s="1017"/>
      <c r="CU1532" s="905"/>
      <c r="CV1532" s="901"/>
      <c r="CW1532" s="901"/>
      <c r="CX1532" s="901"/>
      <c r="CY1532" s="1017"/>
      <c r="CZ1532" s="905"/>
      <c r="DA1532" s="1016"/>
      <c r="DB1532" s="901"/>
      <c r="DC1532" s="901"/>
      <c r="DD1532" s="1017"/>
      <c r="DE1532" s="905"/>
      <c r="DF1532" s="901"/>
      <c r="DG1532" s="901"/>
      <c r="DH1532" s="901"/>
      <c r="DI1532" s="1017"/>
      <c r="DJ1532" s="905"/>
      <c r="DK1532" s="901"/>
      <c r="DL1532" s="901"/>
      <c r="DM1532" s="901"/>
      <c r="DN1532" s="1017"/>
      <c r="DO1532" s="905"/>
      <c r="DP1532" s="901"/>
      <c r="DQ1532" s="901"/>
      <c r="DR1532" s="901"/>
      <c r="DS1532" s="1017"/>
      <c r="DT1532" s="905"/>
      <c r="DU1532" s="901"/>
      <c r="DV1532" s="901"/>
      <c r="DW1532" s="901"/>
      <c r="DX1532" s="1017"/>
      <c r="DY1532" s="905"/>
      <c r="DZ1532" s="901"/>
      <c r="EA1532" s="901"/>
      <c r="EB1532" s="901"/>
      <c r="EC1532" s="1017"/>
      <c r="ED1532" s="904"/>
      <c r="EE1532" s="3676"/>
      <c r="EF1532" s="902"/>
      <c r="EG1532" s="902"/>
      <c r="EH1532" s="1017"/>
      <c r="EI1532" s="1016"/>
      <c r="EJ1532" s="905"/>
      <c r="EK1532" s="905"/>
      <c r="EL1532" s="905"/>
      <c r="EM1532" s="905"/>
      <c r="EN1532" s="905"/>
      <c r="EO1532" s="1017"/>
      <c r="EP1532" s="1017"/>
      <c r="EQ1532" s="1017"/>
      <c r="ER1532" s="1017"/>
      <c r="ES1532" s="905"/>
      <c r="ET1532" s="905"/>
      <c r="EU1532" s="1017"/>
      <c r="EV1532" s="1017"/>
      <c r="EW1532" s="1017"/>
      <c r="EX1532" s="1369"/>
    </row>
    <row r="1533" spans="1:154" s="1515" customFormat="1" outlineLevel="1">
      <c r="A1533" s="3275"/>
      <c r="B1533" s="3666" t="s">
        <v>153</v>
      </c>
      <c r="C1533" s="3675"/>
      <c r="D1533" s="900"/>
      <c r="E1533" s="900"/>
      <c r="F1533" s="901"/>
      <c r="G1533" s="901"/>
      <c r="H1533" s="901"/>
      <c r="I1533" s="901"/>
      <c r="J1533" s="901"/>
      <c r="K1533" s="901"/>
      <c r="L1533" s="901"/>
      <c r="M1533" s="901"/>
      <c r="N1533" s="901"/>
      <c r="O1533" s="902"/>
      <c r="P1533" s="901"/>
      <c r="Q1533" s="901"/>
      <c r="R1533" s="901"/>
      <c r="S1533" s="901"/>
      <c r="T1533" s="902"/>
      <c r="U1533" s="901"/>
      <c r="V1533" s="901"/>
      <c r="W1533" s="901"/>
      <c r="X1533" s="905"/>
      <c r="Y1533" s="902"/>
      <c r="Z1533" s="901"/>
      <c r="AA1533" s="901"/>
      <c r="AB1533" s="901"/>
      <c r="AC1533" s="905"/>
      <c r="AD1533" s="902"/>
      <c r="AE1533" s="901"/>
      <c r="AF1533" s="901"/>
      <c r="AG1533" s="901"/>
      <c r="AH1533" s="905"/>
      <c r="AI1533" s="902"/>
      <c r="AJ1533" s="901"/>
      <c r="AK1533" s="901"/>
      <c r="AL1533" s="901"/>
      <c r="AM1533" s="905"/>
      <c r="AN1533" s="902"/>
      <c r="AO1533" s="901"/>
      <c r="AP1533" s="901"/>
      <c r="AQ1533" s="3658"/>
      <c r="AR1533" s="905"/>
      <c r="AS1533" s="902"/>
      <c r="AT1533" s="901"/>
      <c r="AU1533" s="901"/>
      <c r="AV1533" s="901"/>
      <c r="AW1533" s="905"/>
      <c r="AX1533" s="902"/>
      <c r="AY1533" s="901"/>
      <c r="AZ1533" s="901"/>
      <c r="BA1533" s="901"/>
      <c r="BB1533" s="905"/>
      <c r="BC1533" s="902"/>
      <c r="BD1533" s="901"/>
      <c r="BE1533" s="901"/>
      <c r="BF1533" s="901"/>
      <c r="BG1533" s="905"/>
      <c r="BH1533" s="902"/>
      <c r="BI1533" s="901"/>
      <c r="BJ1533" s="901"/>
      <c r="BK1533" s="901"/>
      <c r="BL1533" s="905"/>
      <c r="BM1533" s="901"/>
      <c r="BN1533" s="901"/>
      <c r="BO1533" s="901"/>
      <c r="BP1533" s="901"/>
      <c r="BQ1533" s="905"/>
      <c r="BR1533" s="901"/>
      <c r="BS1533" s="901"/>
      <c r="BT1533" s="901"/>
      <c r="BU1533" s="901"/>
      <c r="BV1533" s="905"/>
      <c r="BW1533" s="3652"/>
      <c r="BX1533" s="901"/>
      <c r="BY1533" s="901"/>
      <c r="BZ1533" s="901"/>
      <c r="CA1533" s="905"/>
      <c r="CB1533" s="901"/>
      <c r="CC1533" s="901"/>
      <c r="CD1533" s="901"/>
      <c r="CE1533" s="901"/>
      <c r="CF1533" s="905"/>
      <c r="CG1533" s="901"/>
      <c r="CH1533" s="901"/>
      <c r="CI1533" s="901"/>
      <c r="CJ1533" s="901"/>
      <c r="CK1533" s="905"/>
      <c r="CL1533" s="1016"/>
      <c r="CM1533" s="901"/>
      <c r="CN1533" s="901"/>
      <c r="CO1533" s="901"/>
      <c r="CP1533" s="905"/>
      <c r="CQ1533" s="901"/>
      <c r="CR1533" s="901"/>
      <c r="CS1533" s="901"/>
      <c r="CT1533" s="1017"/>
      <c r="CU1533" s="905"/>
      <c r="CV1533" s="901"/>
      <c r="CW1533" s="901"/>
      <c r="CX1533" s="901"/>
      <c r="CY1533" s="1017"/>
      <c r="CZ1533" s="905"/>
      <c r="DA1533" s="1016"/>
      <c r="DB1533" s="901"/>
      <c r="DC1533" s="901"/>
      <c r="DD1533" s="1017"/>
      <c r="DE1533" s="905"/>
      <c r="DF1533" s="901"/>
      <c r="DG1533" s="901"/>
      <c r="DH1533" s="901"/>
      <c r="DI1533" s="1017"/>
      <c r="DJ1533" s="905"/>
      <c r="DK1533" s="901"/>
      <c r="DL1533" s="901"/>
      <c r="DM1533" s="901"/>
      <c r="DN1533" s="1017"/>
      <c r="DO1533" s="905"/>
      <c r="DP1533" s="901"/>
      <c r="DQ1533" s="901"/>
      <c r="DR1533" s="901"/>
      <c r="DS1533" s="1017"/>
      <c r="DT1533" s="905"/>
      <c r="DU1533" s="901"/>
      <c r="DV1533" s="901"/>
      <c r="DW1533" s="901"/>
      <c r="DX1533" s="1017"/>
      <c r="DY1533" s="905"/>
      <c r="DZ1533" s="901"/>
      <c r="EA1533" s="901"/>
      <c r="EB1533" s="901"/>
      <c r="EC1533" s="1017"/>
      <c r="ED1533" s="3669"/>
      <c r="EE1533" s="3670"/>
      <c r="EF1533" s="3671"/>
      <c r="EG1533" s="3671"/>
      <c r="EH1533" s="1017">
        <v>60.988026093750022</v>
      </c>
      <c r="EI1533" s="3669">
        <v>60.988026093750022</v>
      </c>
      <c r="EJ1533" s="3669">
        <v>135.30193588898442</v>
      </c>
      <c r="EK1533" s="3669">
        <v>229.47055029011881</v>
      </c>
      <c r="EL1533" s="3669">
        <v>348.93050329167795</v>
      </c>
      <c r="EM1533" s="3669">
        <v>502.02786889220386</v>
      </c>
      <c r="EN1533" s="3669">
        <v>665.07297749222948</v>
      </c>
      <c r="EO1533" s="3669">
        <v>727.95561863305988</v>
      </c>
      <c r="EP1533" s="3669">
        <v>754.18281963581114</v>
      </c>
      <c r="EQ1533" s="3669">
        <v>777.51093530748312</v>
      </c>
      <c r="ER1533" s="3669">
        <v>797.5977326488802</v>
      </c>
      <c r="ES1533" s="3669">
        <v>814.13821260756561</v>
      </c>
      <c r="ET1533" s="3669">
        <v>826.87216926629947</v>
      </c>
      <c r="EU1533" s="3669">
        <f>(ET1533*0.5)*(0.7)</f>
      </c>
      <c r="EV1533" s="1017"/>
      <c r="EW1533" s="1017"/>
      <c r="EX1533" s="1369"/>
    </row>
    <row r="1534" spans="1:154" s="1515" customFormat="1" outlineLevel="1">
      <c r="A1534" s="3275"/>
      <c r="B1534" s="3666" t="s">
        <v>235</v>
      </c>
      <c r="C1534" s="3675"/>
      <c r="D1534" s="900"/>
      <c r="E1534" s="900"/>
      <c r="F1534" s="901"/>
      <c r="G1534" s="901"/>
      <c r="H1534" s="901"/>
      <c r="I1534" s="901"/>
      <c r="J1534" s="901"/>
      <c r="K1534" s="901"/>
      <c r="L1534" s="901"/>
      <c r="M1534" s="901"/>
      <c r="N1534" s="901"/>
      <c r="O1534" s="902"/>
      <c r="P1534" s="901"/>
      <c r="Q1534" s="901"/>
      <c r="R1534" s="901"/>
      <c r="S1534" s="901"/>
      <c r="T1534" s="902"/>
      <c r="U1534" s="901"/>
      <c r="V1534" s="901"/>
      <c r="W1534" s="901"/>
      <c r="X1534" s="905"/>
      <c r="Y1534" s="902"/>
      <c r="Z1534" s="901"/>
      <c r="AA1534" s="901"/>
      <c r="AB1534" s="901"/>
      <c r="AC1534" s="905"/>
      <c r="AD1534" s="902"/>
      <c r="AE1534" s="901"/>
      <c r="AF1534" s="901"/>
      <c r="AG1534" s="901"/>
      <c r="AH1534" s="905"/>
      <c r="AI1534" s="902"/>
      <c r="AJ1534" s="901"/>
      <c r="AK1534" s="901"/>
      <c r="AL1534" s="901"/>
      <c r="AM1534" s="905"/>
      <c r="AN1534" s="902"/>
      <c r="AO1534" s="901"/>
      <c r="AP1534" s="901"/>
      <c r="AQ1534" s="3658"/>
      <c r="AR1534" s="905"/>
      <c r="AS1534" s="902"/>
      <c r="AT1534" s="901"/>
      <c r="AU1534" s="901"/>
      <c r="AV1534" s="901"/>
      <c r="AW1534" s="905"/>
      <c r="AX1534" s="902"/>
      <c r="AY1534" s="901"/>
      <c r="AZ1534" s="901"/>
      <c r="BA1534" s="901"/>
      <c r="BB1534" s="905"/>
      <c r="BC1534" s="902"/>
      <c r="BD1534" s="901"/>
      <c r="BE1534" s="901"/>
      <c r="BF1534" s="901"/>
      <c r="BG1534" s="905"/>
      <c r="BH1534" s="902"/>
      <c r="BI1534" s="901"/>
      <c r="BJ1534" s="901"/>
      <c r="BK1534" s="901"/>
      <c r="BL1534" s="905"/>
      <c r="BM1534" s="901"/>
      <c r="BN1534" s="901"/>
      <c r="BO1534" s="901"/>
      <c r="BP1534" s="901"/>
      <c r="BQ1534" s="905"/>
      <c r="BR1534" s="901"/>
      <c r="BS1534" s="901"/>
      <c r="BT1534" s="901"/>
      <c r="BU1534" s="901"/>
      <c r="BV1534" s="905"/>
      <c r="BW1534" s="3652"/>
      <c r="BX1534" s="901"/>
      <c r="BY1534" s="901"/>
      <c r="BZ1534" s="901"/>
      <c r="CA1534" s="905"/>
      <c r="CB1534" s="901"/>
      <c r="CC1534" s="901"/>
      <c r="CD1534" s="901"/>
      <c r="CE1534" s="901"/>
      <c r="CF1534" s="905"/>
      <c r="CG1534" s="901"/>
      <c r="CH1534" s="901"/>
      <c r="CI1534" s="901"/>
      <c r="CJ1534" s="901"/>
      <c r="CK1534" s="905"/>
      <c r="CL1534" s="1016"/>
      <c r="CM1534" s="901"/>
      <c r="CN1534" s="901"/>
      <c r="CO1534" s="901"/>
      <c r="CP1534" s="905"/>
      <c r="CQ1534" s="901"/>
      <c r="CR1534" s="901"/>
      <c r="CS1534" s="901"/>
      <c r="CT1534" s="1017"/>
      <c r="CU1534" s="905"/>
      <c r="CV1534" s="901"/>
      <c r="CW1534" s="901"/>
      <c r="CX1534" s="901"/>
      <c r="CY1534" s="1017"/>
      <c r="CZ1534" s="905"/>
      <c r="DA1534" s="1016"/>
      <c r="DB1534" s="901"/>
      <c r="DC1534" s="901"/>
      <c r="DD1534" s="1017"/>
      <c r="DE1534" s="905"/>
      <c r="DF1534" s="901"/>
      <c r="DG1534" s="901"/>
      <c r="DH1534" s="901"/>
      <c r="DI1534" s="1017"/>
      <c r="DJ1534" s="905"/>
      <c r="DK1534" s="901"/>
      <c r="DL1534" s="901"/>
      <c r="DM1534" s="901"/>
      <c r="DN1534" s="1017"/>
      <c r="DO1534" s="905"/>
      <c r="DP1534" s="901"/>
      <c r="DQ1534" s="901"/>
      <c r="DR1534" s="901"/>
      <c r="DS1534" s="1017"/>
      <c r="DT1534" s="905"/>
      <c r="DU1534" s="901"/>
      <c r="DV1534" s="901"/>
      <c r="DW1534" s="901"/>
      <c r="DX1534" s="1017"/>
      <c r="DY1534" s="905"/>
      <c r="DZ1534" s="901"/>
      <c r="EA1534" s="901"/>
      <c r="EB1534" s="901"/>
      <c r="EC1534" s="1017"/>
      <c r="ED1534" s="3669"/>
      <c r="EE1534" s="3670"/>
      <c r="EF1534" s="3671"/>
      <c r="EG1534" s="3671"/>
      <c r="EH1534" s="1017">
        <v>133.01484446250001</v>
      </c>
      <c r="EI1534" s="3669">
        <v>133.01484446250001</v>
      </c>
      <c r="EJ1534" s="3669">
        <v>290.87781197662684</v>
      </c>
      <c r="EK1534" s="3669">
        <v>486.24424656075894</v>
      </c>
      <c r="EL1534" s="3669">
        <v>728.7137788786489</v>
      </c>
      <c r="EM1534" s="3669">
        <v>1033.2506643825345</v>
      </c>
      <c r="EN1534" s="3669">
        <v>1348.8882963512274</v>
      </c>
      <c r="EO1534" s="3669">
        <v>1454.8194374891984</v>
      </c>
      <c r="EP1534" s="3669">
        <v>1485.0692902215633</v>
      </c>
      <c r="EQ1534" s="3669">
        <v>1515.9211347672808</v>
      </c>
      <c r="ER1534" s="3669">
        <v>1547.3861334056601</v>
      </c>
      <c r="ES1534" s="3669">
        <v>1006.5285874274722</v>
      </c>
      <c r="ET1534" s="3669">
        <v>654.70490743042808</v>
      </c>
      <c r="EU1534" s="3669">
        <f>ET1534*1.02</f>
      </c>
      <c r="EV1534" s="1017"/>
      <c r="EW1534" s="1017"/>
      <c r="EX1534" s="1369"/>
    </row>
    <row r="1535" spans="1:154" s="1515" customFormat="1" outlineLevel="1">
      <c r="A1535" s="3275"/>
      <c r="B1535" s="3666" t="s">
        <v>188</v>
      </c>
      <c r="C1535" s="2026" t="s">
        <v>585</v>
      </c>
      <c r="D1535" s="900"/>
      <c r="E1535" s="900"/>
      <c r="F1535" s="901"/>
      <c r="G1535" s="901"/>
      <c r="H1535" s="901"/>
      <c r="I1535" s="901"/>
      <c r="J1535" s="901"/>
      <c r="K1535" s="901"/>
      <c r="L1535" s="901"/>
      <c r="M1535" s="901"/>
      <c r="N1535" s="901"/>
      <c r="O1535" s="902"/>
      <c r="P1535" s="901"/>
      <c r="Q1535" s="901"/>
      <c r="R1535" s="901"/>
      <c r="S1535" s="901"/>
      <c r="T1535" s="902"/>
      <c r="U1535" s="901"/>
      <c r="V1535" s="901"/>
      <c r="W1535" s="901"/>
      <c r="X1535" s="905"/>
      <c r="Y1535" s="902"/>
      <c r="Z1535" s="901"/>
      <c r="AA1535" s="901"/>
      <c r="AB1535" s="901"/>
      <c r="AC1535" s="905"/>
      <c r="AD1535" s="902"/>
      <c r="AE1535" s="901"/>
      <c r="AF1535" s="901"/>
      <c r="AG1535" s="901"/>
      <c r="AH1535" s="905"/>
      <c r="AI1535" s="902"/>
      <c r="AJ1535" s="901"/>
      <c r="AK1535" s="901"/>
      <c r="AL1535" s="901"/>
      <c r="AM1535" s="905"/>
      <c r="AN1535" s="902"/>
      <c r="AO1535" s="901"/>
      <c r="AP1535" s="901"/>
      <c r="AQ1535" s="3658"/>
      <c r="AR1535" s="905"/>
      <c r="AS1535" s="902"/>
      <c r="AT1535" s="901"/>
      <c r="AU1535" s="901"/>
      <c r="AV1535" s="901"/>
      <c r="AW1535" s="905"/>
      <c r="AX1535" s="902"/>
      <c r="AY1535" s="901"/>
      <c r="AZ1535" s="901"/>
      <c r="BA1535" s="901"/>
      <c r="BB1535" s="905"/>
      <c r="BC1535" s="902"/>
      <c r="BD1535" s="901"/>
      <c r="BE1535" s="901"/>
      <c r="BF1535" s="901"/>
      <c r="BG1535" s="905"/>
      <c r="BH1535" s="902"/>
      <c r="BI1535" s="901"/>
      <c r="BJ1535" s="901"/>
      <c r="BK1535" s="901"/>
      <c r="BL1535" s="905"/>
      <c r="BM1535" s="901"/>
      <c r="BN1535" s="901"/>
      <c r="BO1535" s="901"/>
      <c r="BP1535" s="901"/>
      <c r="BQ1535" s="905"/>
      <c r="BR1535" s="901"/>
      <c r="BS1535" s="901"/>
      <c r="BT1535" s="901"/>
      <c r="BU1535" s="901"/>
      <c r="BV1535" s="905"/>
      <c r="BW1535" s="3652"/>
      <c r="BX1535" s="901"/>
      <c r="BY1535" s="901"/>
      <c r="BZ1535" s="901"/>
      <c r="CA1535" s="905"/>
      <c r="CB1535" s="901"/>
      <c r="CC1535" s="901"/>
      <c r="CD1535" s="901"/>
      <c r="CE1535" s="901"/>
      <c r="CF1535" s="905"/>
      <c r="CG1535" s="901"/>
      <c r="CH1535" s="901"/>
      <c r="CI1535" s="901"/>
      <c r="CJ1535" s="901"/>
      <c r="CK1535" s="905"/>
      <c r="CL1535" s="1016"/>
      <c r="CM1535" s="901"/>
      <c r="CN1535" s="901"/>
      <c r="CO1535" s="901"/>
      <c r="CP1535" s="905"/>
      <c r="CQ1535" s="901"/>
      <c r="CR1535" s="901"/>
      <c r="CS1535" s="901"/>
      <c r="CT1535" s="1017"/>
      <c r="CU1535" s="905"/>
      <c r="CV1535" s="901"/>
      <c r="CW1535" s="901"/>
      <c r="CX1535" s="901"/>
      <c r="CY1535" s="1017"/>
      <c r="CZ1535" s="905"/>
      <c r="DA1535" s="1016"/>
      <c r="DB1535" s="901"/>
      <c r="DC1535" s="901"/>
      <c r="DD1535" s="1017"/>
      <c r="DE1535" s="905"/>
      <c r="DF1535" s="901"/>
      <c r="DG1535" s="901"/>
      <c r="DH1535" s="901"/>
      <c r="DI1535" s="1017"/>
      <c r="DJ1535" s="905"/>
      <c r="DK1535" s="901"/>
      <c r="DL1535" s="901"/>
      <c r="DM1535" s="901"/>
      <c r="DN1535" s="1017"/>
      <c r="DO1535" s="905"/>
      <c r="DP1535" s="901"/>
      <c r="DQ1535" s="901"/>
      <c r="DR1535" s="901"/>
      <c r="DS1535" s="1017"/>
      <c r="DT1535" s="905"/>
      <c r="DU1535" s="901"/>
      <c r="DV1535" s="901"/>
      <c r="DW1535" s="901"/>
      <c r="DX1535" s="1017"/>
      <c r="DY1535" s="905"/>
      <c r="DZ1535" s="901"/>
      <c r="EA1535" s="901"/>
      <c r="EB1535" s="901"/>
      <c r="EC1535" s="1017"/>
      <c r="ED1535" s="3672"/>
      <c r="EE1535" s="3673"/>
      <c r="EF1535" s="3674"/>
      <c r="EG1535" s="3674"/>
      <c r="EH1535" s="1017">
        <f>SUM(EH1533:EH1534)</f>
      </c>
      <c r="EI1535" s="3672">
        <f t="shared" ref="EI1535:EN1535" si="2972">SUM(EI1533:EI1534)</f>
      </c>
      <c r="EJ1535" s="3672">
        <f t="shared" si="2972"/>
      </c>
      <c r="EK1535" s="3672">
        <f t="shared" si="2972"/>
      </c>
      <c r="EL1535" s="3672">
        <f t="shared" si="2972"/>
      </c>
      <c r="EM1535" s="3672">
        <f t="shared" si="2972"/>
      </c>
      <c r="EN1535" s="3672">
        <f t="shared" si="2972"/>
      </c>
      <c r="EO1535" s="3672">
        <f>SUM(EO1533:EO1534)</f>
      </c>
      <c r="EP1535" s="3672">
        <f t="shared" ref="EP1535:EU1535" si="2973">SUM(EP1533:EP1534)</f>
      </c>
      <c r="EQ1535" s="3672">
        <f t="shared" si="2973"/>
      </c>
      <c r="ER1535" s="3672">
        <f t="shared" si="2973"/>
      </c>
      <c r="ES1535" s="3672">
        <f t="shared" si="2973"/>
      </c>
      <c r="ET1535" s="3672">
        <f t="shared" si="2973"/>
      </c>
      <c r="EU1535" s="3672">
        <f t="shared" si="2973"/>
      </c>
      <c r="EV1535" s="1017"/>
      <c r="EW1535" s="1017"/>
      <c r="EX1535" s="1369"/>
    </row>
    <row r="1536" spans="1:154" s="1515" customFormat="1" outlineLevel="1">
      <c r="A1536" s="3275"/>
      <c r="B1536" s="3666"/>
      <c r="C1536" s="2026"/>
      <c r="D1536" s="900"/>
      <c r="E1536" s="900"/>
      <c r="F1536" s="901"/>
      <c r="G1536" s="901"/>
      <c r="H1536" s="901"/>
      <c r="I1536" s="901"/>
      <c r="J1536" s="901"/>
      <c r="K1536" s="901"/>
      <c r="L1536" s="901"/>
      <c r="M1536" s="901"/>
      <c r="N1536" s="901"/>
      <c r="O1536" s="902"/>
      <c r="P1536" s="901"/>
      <c r="Q1536" s="901"/>
      <c r="R1536" s="901"/>
      <c r="S1536" s="901"/>
      <c r="T1536" s="902"/>
      <c r="U1536" s="901"/>
      <c r="V1536" s="901"/>
      <c r="W1536" s="901"/>
      <c r="X1536" s="905"/>
      <c r="Y1536" s="902"/>
      <c r="Z1536" s="901"/>
      <c r="AA1536" s="901"/>
      <c r="AB1536" s="901"/>
      <c r="AC1536" s="905"/>
      <c r="AD1536" s="902"/>
      <c r="AE1536" s="901"/>
      <c r="AF1536" s="901"/>
      <c r="AG1536" s="901"/>
      <c r="AH1536" s="905"/>
      <c r="AI1536" s="902"/>
      <c r="AJ1536" s="901"/>
      <c r="AK1536" s="901"/>
      <c r="AL1536" s="901"/>
      <c r="AM1536" s="905"/>
      <c r="AN1536" s="902"/>
      <c r="AO1536" s="901"/>
      <c r="AP1536" s="901"/>
      <c r="AQ1536" s="3658"/>
      <c r="AR1536" s="905"/>
      <c r="AS1536" s="902"/>
      <c r="AT1536" s="901"/>
      <c r="AU1536" s="901"/>
      <c r="AV1536" s="901"/>
      <c r="AW1536" s="905"/>
      <c r="AX1536" s="902"/>
      <c r="AY1536" s="901"/>
      <c r="AZ1536" s="901"/>
      <c r="BA1536" s="901"/>
      <c r="BB1536" s="905"/>
      <c r="BC1536" s="902"/>
      <c r="BD1536" s="901"/>
      <c r="BE1536" s="901"/>
      <c r="BF1536" s="901"/>
      <c r="BG1536" s="905"/>
      <c r="BH1536" s="902"/>
      <c r="BI1536" s="901"/>
      <c r="BJ1536" s="901"/>
      <c r="BK1536" s="901"/>
      <c r="BL1536" s="905"/>
      <c r="BM1536" s="901"/>
      <c r="BN1536" s="901"/>
      <c r="BO1536" s="901"/>
      <c r="BP1536" s="901"/>
      <c r="BQ1536" s="905"/>
      <c r="BR1536" s="901"/>
      <c r="BS1536" s="901"/>
      <c r="BT1536" s="901"/>
      <c r="BU1536" s="901"/>
      <c r="BV1536" s="905"/>
      <c r="BW1536" s="3652"/>
      <c r="BX1536" s="901"/>
      <c r="BY1536" s="901"/>
      <c r="BZ1536" s="901"/>
      <c r="CA1536" s="905"/>
      <c r="CB1536" s="901"/>
      <c r="CC1536" s="901"/>
      <c r="CD1536" s="901"/>
      <c r="CE1536" s="901"/>
      <c r="CF1536" s="905"/>
      <c r="CG1536" s="901"/>
      <c r="CH1536" s="901"/>
      <c r="CI1536" s="901"/>
      <c r="CJ1536" s="901"/>
      <c r="CK1536" s="905"/>
      <c r="CL1536" s="1016"/>
      <c r="CM1536" s="901"/>
      <c r="CN1536" s="901"/>
      <c r="CO1536" s="901"/>
      <c r="CP1536" s="905"/>
      <c r="CQ1536" s="901"/>
      <c r="CR1536" s="901"/>
      <c r="CS1536" s="901"/>
      <c r="CT1536" s="1017"/>
      <c r="CU1536" s="905"/>
      <c r="CV1536" s="901"/>
      <c r="CW1536" s="901"/>
      <c r="CX1536" s="901"/>
      <c r="CY1536" s="1017"/>
      <c r="CZ1536" s="905"/>
      <c r="DA1536" s="1016"/>
      <c r="DB1536" s="901"/>
      <c r="DC1536" s="901"/>
      <c r="DD1536" s="1017"/>
      <c r="DE1536" s="905"/>
      <c r="DF1536" s="901"/>
      <c r="DG1536" s="901"/>
      <c r="DH1536" s="901"/>
      <c r="DI1536" s="1017"/>
      <c r="DJ1536" s="905"/>
      <c r="DK1536" s="901"/>
      <c r="DL1536" s="901"/>
      <c r="DM1536" s="901"/>
      <c r="DN1536" s="1017"/>
      <c r="DO1536" s="905"/>
      <c r="DP1536" s="901"/>
      <c r="DQ1536" s="901"/>
      <c r="DR1536" s="901"/>
      <c r="DS1536" s="1017"/>
      <c r="DT1536" s="905"/>
      <c r="DU1536" s="901"/>
      <c r="DV1536" s="901"/>
      <c r="DW1536" s="901"/>
      <c r="DX1536" s="1017"/>
      <c r="DY1536" s="905"/>
      <c r="DZ1536" s="901"/>
      <c r="EA1536" s="901"/>
      <c r="EB1536" s="901"/>
      <c r="EC1536" s="1017"/>
      <c r="ED1536" s="905"/>
      <c r="EE1536" s="1016"/>
      <c r="EF1536" s="901"/>
      <c r="EG1536" s="901"/>
      <c r="EH1536" s="1017"/>
      <c r="EI1536" s="1016"/>
      <c r="EJ1536" s="905"/>
      <c r="EK1536" s="905"/>
      <c r="EL1536" s="905"/>
      <c r="EM1536" s="905"/>
      <c r="EN1536" s="905"/>
      <c r="EO1536" s="1017"/>
      <c r="EP1536" s="1017"/>
      <c r="EQ1536" s="1017"/>
      <c r="ER1536" s="1017"/>
      <c r="ES1536" s="905"/>
      <c r="ET1536" s="1017"/>
      <c r="EU1536" s="1017"/>
      <c r="EV1536" s="1017"/>
      <c r="EW1536" s="1017"/>
      <c r="EX1536" s="1369"/>
    </row>
    <row r="1537" spans="1:154" s="1515" customFormat="1" outlineLevel="1">
      <c r="A1537" s="3275"/>
      <c r="B1537" s="3666" t="s">
        <v>810</v>
      </c>
      <c r="C1537" s="2026"/>
      <c r="D1537" s="900"/>
      <c r="E1537" s="900"/>
      <c r="F1537" s="901"/>
      <c r="G1537" s="901"/>
      <c r="H1537" s="901"/>
      <c r="I1537" s="901"/>
      <c r="J1537" s="901"/>
      <c r="K1537" s="901"/>
      <c r="L1537" s="901"/>
      <c r="M1537" s="901"/>
      <c r="N1537" s="901"/>
      <c r="O1537" s="902"/>
      <c r="P1537" s="901"/>
      <c r="Q1537" s="901"/>
      <c r="R1537" s="901"/>
      <c r="S1537" s="901"/>
      <c r="T1537" s="902"/>
      <c r="U1537" s="901"/>
      <c r="V1537" s="901"/>
      <c r="W1537" s="901"/>
      <c r="X1537" s="905"/>
      <c r="Y1537" s="902"/>
      <c r="Z1537" s="901"/>
      <c r="AA1537" s="901"/>
      <c r="AB1537" s="901"/>
      <c r="AC1537" s="905"/>
      <c r="AD1537" s="902"/>
      <c r="AE1537" s="901"/>
      <c r="AF1537" s="901"/>
      <c r="AG1537" s="901"/>
      <c r="AH1537" s="905"/>
      <c r="AI1537" s="902"/>
      <c r="AJ1537" s="901"/>
      <c r="AK1537" s="901"/>
      <c r="AL1537" s="901"/>
      <c r="AM1537" s="905"/>
      <c r="AN1537" s="902"/>
      <c r="AO1537" s="901"/>
      <c r="AP1537" s="901"/>
      <c r="AQ1537" s="3658"/>
      <c r="AR1537" s="905"/>
      <c r="AS1537" s="902"/>
      <c r="AT1537" s="901"/>
      <c r="AU1537" s="901"/>
      <c r="AV1537" s="901"/>
      <c r="AW1537" s="905"/>
      <c r="AX1537" s="902"/>
      <c r="AY1537" s="901"/>
      <c r="AZ1537" s="901"/>
      <c r="BA1537" s="901"/>
      <c r="BB1537" s="905"/>
      <c r="BC1537" s="902"/>
      <c r="BD1537" s="901"/>
      <c r="BE1537" s="901"/>
      <c r="BF1537" s="901"/>
      <c r="BG1537" s="905"/>
      <c r="BH1537" s="902"/>
      <c r="BI1537" s="901"/>
      <c r="BJ1537" s="901"/>
      <c r="BK1537" s="901"/>
      <c r="BL1537" s="905"/>
      <c r="BM1537" s="901"/>
      <c r="BN1537" s="901"/>
      <c r="BO1537" s="901"/>
      <c r="BP1537" s="901"/>
      <c r="BQ1537" s="905"/>
      <c r="BR1537" s="901"/>
      <c r="BS1537" s="901"/>
      <c r="BT1537" s="901"/>
      <c r="BU1537" s="901"/>
      <c r="BV1537" s="905"/>
      <c r="BW1537" s="3652"/>
      <c r="BX1537" s="901"/>
      <c r="BY1537" s="901"/>
      <c r="BZ1537" s="901"/>
      <c r="CA1537" s="905"/>
      <c r="CB1537" s="901"/>
      <c r="CC1537" s="901"/>
      <c r="CD1537" s="901"/>
      <c r="CE1537" s="901"/>
      <c r="CF1537" s="905"/>
      <c r="CG1537" s="901"/>
      <c r="CH1537" s="901"/>
      <c r="CI1537" s="901"/>
      <c r="CJ1537" s="901"/>
      <c r="CK1537" s="905"/>
      <c r="CL1537" s="1016"/>
      <c r="CM1537" s="901"/>
      <c r="CN1537" s="901"/>
      <c r="CO1537" s="901"/>
      <c r="CP1537" s="905"/>
      <c r="CQ1537" s="901"/>
      <c r="CR1537" s="901"/>
      <c r="CS1537" s="901"/>
      <c r="CT1537" s="1017"/>
      <c r="CU1537" s="905"/>
      <c r="CV1537" s="901"/>
      <c r="CW1537" s="901"/>
      <c r="CX1537" s="901"/>
      <c r="CY1537" s="1017"/>
      <c r="CZ1537" s="905"/>
      <c r="DA1537" s="1016"/>
      <c r="DB1537" s="901"/>
      <c r="DC1537" s="901"/>
      <c r="DD1537" s="1017"/>
      <c r="DE1537" s="905"/>
      <c r="DF1537" s="901"/>
      <c r="DG1537" s="901"/>
      <c r="DH1537" s="901"/>
      <c r="DI1537" s="1017"/>
      <c r="DJ1537" s="905"/>
      <c r="DK1537" s="901"/>
      <c r="DL1537" s="901"/>
      <c r="DM1537" s="901"/>
      <c r="DN1537" s="1017"/>
      <c r="DO1537" s="905"/>
      <c r="DP1537" s="901"/>
      <c r="DQ1537" s="901"/>
      <c r="DR1537" s="901"/>
      <c r="DS1537" s="1017"/>
      <c r="DT1537" s="905"/>
      <c r="DU1537" s="901"/>
      <c r="DV1537" s="901"/>
      <c r="DW1537" s="901"/>
      <c r="DX1537" s="1017"/>
      <c r="DY1537" s="905"/>
      <c r="DZ1537" s="901"/>
      <c r="EA1537" s="901"/>
      <c r="EB1537" s="901"/>
      <c r="EC1537" s="1017"/>
      <c r="ED1537" s="905"/>
      <c r="EE1537" s="1016"/>
      <c r="EF1537" s="901"/>
      <c r="EG1537" s="901"/>
      <c r="EH1537" s="1017"/>
      <c r="EI1537" s="1016"/>
      <c r="EJ1537" s="905"/>
      <c r="EK1537" s="905"/>
      <c r="EL1537" s="905"/>
      <c r="EM1537" s="905"/>
      <c r="EN1537" s="905"/>
      <c r="EO1537" s="1017"/>
      <c r="EP1537" s="1017"/>
      <c r="EQ1537" s="1017"/>
      <c r="ER1537" s="1017"/>
      <c r="ES1537" s="905"/>
      <c r="ET1537" s="1017"/>
      <c r="EU1537" s="1017"/>
      <c r="EV1537" s="1017"/>
      <c r="EW1537" s="1017"/>
      <c r="EX1537" s="1369"/>
    </row>
    <row r="1538" spans="1:154" s="1515" customFormat="1" outlineLevel="1">
      <c r="A1538" s="3275"/>
      <c r="B1538" s="3666" t="s">
        <v>153</v>
      </c>
      <c r="C1538" s="3675">
        <v>1</v>
      </c>
      <c r="D1538" s="900"/>
      <c r="E1538" s="900"/>
      <c r="F1538" s="901"/>
      <c r="G1538" s="901"/>
      <c r="H1538" s="901"/>
      <c r="I1538" s="901"/>
      <c r="J1538" s="901"/>
      <c r="K1538" s="901"/>
      <c r="L1538" s="901"/>
      <c r="M1538" s="901"/>
      <c r="N1538" s="901"/>
      <c r="O1538" s="902"/>
      <c r="P1538" s="901"/>
      <c r="Q1538" s="901"/>
      <c r="R1538" s="901"/>
      <c r="S1538" s="901"/>
      <c r="T1538" s="902"/>
      <c r="U1538" s="901"/>
      <c r="V1538" s="901"/>
      <c r="W1538" s="901"/>
      <c r="X1538" s="905"/>
      <c r="Y1538" s="902"/>
      <c r="Z1538" s="901"/>
      <c r="AA1538" s="901"/>
      <c r="AB1538" s="901"/>
      <c r="AC1538" s="905"/>
      <c r="AD1538" s="902"/>
      <c r="AE1538" s="901"/>
      <c r="AF1538" s="901"/>
      <c r="AG1538" s="901"/>
      <c r="AH1538" s="905"/>
      <c r="AI1538" s="902"/>
      <c r="AJ1538" s="901"/>
      <c r="AK1538" s="901"/>
      <c r="AL1538" s="901"/>
      <c r="AM1538" s="905"/>
      <c r="AN1538" s="902"/>
      <c r="AO1538" s="901"/>
      <c r="AP1538" s="901"/>
      <c r="AQ1538" s="3658"/>
      <c r="AR1538" s="905"/>
      <c r="AS1538" s="902"/>
      <c r="AT1538" s="901"/>
      <c r="AU1538" s="901"/>
      <c r="AV1538" s="901"/>
      <c r="AW1538" s="905"/>
      <c r="AX1538" s="902"/>
      <c r="AY1538" s="901"/>
      <c r="AZ1538" s="901"/>
      <c r="BA1538" s="901"/>
      <c r="BB1538" s="905"/>
      <c r="BC1538" s="902"/>
      <c r="BD1538" s="901"/>
      <c r="BE1538" s="901"/>
      <c r="BF1538" s="901"/>
      <c r="BG1538" s="905"/>
      <c r="BH1538" s="902"/>
      <c r="BI1538" s="901"/>
      <c r="BJ1538" s="901"/>
      <c r="BK1538" s="901"/>
      <c r="BL1538" s="905"/>
      <c r="BM1538" s="901"/>
      <c r="BN1538" s="901"/>
      <c r="BO1538" s="901"/>
      <c r="BP1538" s="901"/>
      <c r="BQ1538" s="905"/>
      <c r="BR1538" s="901"/>
      <c r="BS1538" s="901"/>
      <c r="BT1538" s="901"/>
      <c r="BU1538" s="901"/>
      <c r="BV1538" s="905"/>
      <c r="BW1538" s="3652"/>
      <c r="BX1538" s="901"/>
      <c r="BY1538" s="901"/>
      <c r="BZ1538" s="901"/>
      <c r="CA1538" s="905"/>
      <c r="CB1538" s="901"/>
      <c r="CC1538" s="901"/>
      <c r="CD1538" s="901"/>
      <c r="CE1538" s="901"/>
      <c r="CF1538" s="905"/>
      <c r="CG1538" s="901"/>
      <c r="CH1538" s="901"/>
      <c r="CI1538" s="901"/>
      <c r="CJ1538" s="901"/>
      <c r="CK1538" s="905"/>
      <c r="CL1538" s="1016"/>
      <c r="CM1538" s="901"/>
      <c r="CN1538" s="901"/>
      <c r="CO1538" s="901"/>
      <c r="CP1538" s="905"/>
      <c r="CQ1538" s="901"/>
      <c r="CR1538" s="901"/>
      <c r="CS1538" s="901"/>
      <c r="CT1538" s="1017"/>
      <c r="CU1538" s="905"/>
      <c r="CV1538" s="901"/>
      <c r="CW1538" s="901"/>
      <c r="CX1538" s="901"/>
      <c r="CY1538" s="1017"/>
      <c r="CZ1538" s="905"/>
      <c r="DA1538" s="1016"/>
      <c r="DB1538" s="901"/>
      <c r="DC1538" s="901"/>
      <c r="DD1538" s="1017"/>
      <c r="DE1538" s="905"/>
      <c r="DF1538" s="901"/>
      <c r="DG1538" s="901"/>
      <c r="DH1538" s="901"/>
      <c r="DI1538" s="1017"/>
      <c r="DJ1538" s="905"/>
      <c r="DK1538" s="901"/>
      <c r="DL1538" s="901"/>
      <c r="DM1538" s="901"/>
      <c r="DN1538" s="1017"/>
      <c r="DO1538" s="905"/>
      <c r="DP1538" s="901"/>
      <c r="DQ1538" s="901"/>
      <c r="DR1538" s="901"/>
      <c r="DS1538" s="1017"/>
      <c r="DT1538" s="905"/>
      <c r="DU1538" s="901"/>
      <c r="DV1538" s="901"/>
      <c r="DW1538" s="901"/>
      <c r="DX1538" s="1017"/>
      <c r="DY1538" s="905"/>
      <c r="DZ1538" s="901"/>
      <c r="EA1538" s="901"/>
      <c r="EB1538" s="901"/>
      <c r="EC1538" s="1017"/>
      <c r="ED1538" s="3672"/>
      <c r="EE1538" s="3673"/>
      <c r="EF1538" s="3674"/>
      <c r="EG1538" s="3674"/>
      <c r="EH1538" s="1017">
        <f>$C$1538*EH1533</f>
      </c>
      <c r="EI1538" s="3672">
        <f t="shared" ref="EI1538:EU1538" si="2974">$C$1538*EI1533</f>
      </c>
      <c r="EJ1538" s="3672">
        <f t="shared" si="2974"/>
      </c>
      <c r="EK1538" s="3672">
        <f t="shared" si="2974"/>
      </c>
      <c r="EL1538" s="3672">
        <f t="shared" si="2974"/>
      </c>
      <c r="EM1538" s="3672">
        <f t="shared" si="2974"/>
      </c>
      <c r="EN1538" s="3672">
        <f t="shared" si="2974"/>
      </c>
      <c r="EO1538" s="3672">
        <f t="shared" si="2974"/>
      </c>
      <c r="EP1538" s="3672">
        <f t="shared" si="2974"/>
      </c>
      <c r="EQ1538" s="3672">
        <f t="shared" si="2974"/>
      </c>
      <c r="ER1538" s="3672">
        <f t="shared" si="2974"/>
      </c>
      <c r="ES1538" s="3672">
        <f t="shared" si="2974"/>
      </c>
      <c r="ET1538" s="3672">
        <f t="shared" si="2974"/>
      </c>
      <c r="EU1538" s="3672">
        <f t="shared" si="2974"/>
      </c>
      <c r="EV1538" s="1017"/>
      <c r="EW1538" s="1017"/>
      <c r="EX1538" s="1369"/>
    </row>
    <row r="1539" spans="1:154" s="1515" customFormat="1" outlineLevel="1">
      <c r="A1539" s="3275"/>
      <c r="B1539" s="3666" t="s">
        <v>235</v>
      </c>
      <c r="C1539" s="3675">
        <v>1</v>
      </c>
      <c r="D1539" s="900"/>
      <c r="E1539" s="900"/>
      <c r="F1539" s="901"/>
      <c r="G1539" s="901"/>
      <c r="H1539" s="901"/>
      <c r="I1539" s="901"/>
      <c r="J1539" s="901"/>
      <c r="K1539" s="901"/>
      <c r="L1539" s="901"/>
      <c r="M1539" s="901"/>
      <c r="N1539" s="901"/>
      <c r="O1539" s="902"/>
      <c r="P1539" s="901"/>
      <c r="Q1539" s="901"/>
      <c r="R1539" s="901"/>
      <c r="S1539" s="901"/>
      <c r="T1539" s="902"/>
      <c r="U1539" s="901"/>
      <c r="V1539" s="901"/>
      <c r="W1539" s="901"/>
      <c r="X1539" s="905"/>
      <c r="Y1539" s="902"/>
      <c r="Z1539" s="901"/>
      <c r="AA1539" s="901"/>
      <c r="AB1539" s="901"/>
      <c r="AC1539" s="905"/>
      <c r="AD1539" s="902"/>
      <c r="AE1539" s="901"/>
      <c r="AF1539" s="901"/>
      <c r="AG1539" s="901"/>
      <c r="AH1539" s="905"/>
      <c r="AI1539" s="902"/>
      <c r="AJ1539" s="901"/>
      <c r="AK1539" s="901"/>
      <c r="AL1539" s="901"/>
      <c r="AM1539" s="905"/>
      <c r="AN1539" s="902"/>
      <c r="AO1539" s="901"/>
      <c r="AP1539" s="901"/>
      <c r="AQ1539" s="3658"/>
      <c r="AR1539" s="905"/>
      <c r="AS1539" s="902"/>
      <c r="AT1539" s="901"/>
      <c r="AU1539" s="901"/>
      <c r="AV1539" s="901"/>
      <c r="AW1539" s="905"/>
      <c r="AX1539" s="902"/>
      <c r="AY1539" s="901"/>
      <c r="AZ1539" s="901"/>
      <c r="BA1539" s="901"/>
      <c r="BB1539" s="905"/>
      <c r="BC1539" s="902"/>
      <c r="BD1539" s="901"/>
      <c r="BE1539" s="901"/>
      <c r="BF1539" s="901"/>
      <c r="BG1539" s="905"/>
      <c r="BH1539" s="902"/>
      <c r="BI1539" s="901"/>
      <c r="BJ1539" s="901"/>
      <c r="BK1539" s="901"/>
      <c r="BL1539" s="905"/>
      <c r="BM1539" s="901"/>
      <c r="BN1539" s="901"/>
      <c r="BO1539" s="901"/>
      <c r="BP1539" s="901"/>
      <c r="BQ1539" s="905"/>
      <c r="BR1539" s="901"/>
      <c r="BS1539" s="901"/>
      <c r="BT1539" s="901"/>
      <c r="BU1539" s="901"/>
      <c r="BV1539" s="905"/>
      <c r="BW1539" s="3652"/>
      <c r="BX1539" s="901"/>
      <c r="BY1539" s="901"/>
      <c r="BZ1539" s="901"/>
      <c r="CA1539" s="905"/>
      <c r="CB1539" s="901"/>
      <c r="CC1539" s="901"/>
      <c r="CD1539" s="901"/>
      <c r="CE1539" s="901"/>
      <c r="CF1539" s="905"/>
      <c r="CG1539" s="901"/>
      <c r="CH1539" s="901"/>
      <c r="CI1539" s="901"/>
      <c r="CJ1539" s="901"/>
      <c r="CK1539" s="905"/>
      <c r="CL1539" s="1016"/>
      <c r="CM1539" s="901"/>
      <c r="CN1539" s="901"/>
      <c r="CO1539" s="901"/>
      <c r="CP1539" s="905"/>
      <c r="CQ1539" s="901"/>
      <c r="CR1539" s="901"/>
      <c r="CS1539" s="901"/>
      <c r="CT1539" s="1017"/>
      <c r="CU1539" s="905"/>
      <c r="CV1539" s="901"/>
      <c r="CW1539" s="901"/>
      <c r="CX1539" s="901"/>
      <c r="CY1539" s="1017"/>
      <c r="CZ1539" s="905"/>
      <c r="DA1539" s="1016"/>
      <c r="DB1539" s="901"/>
      <c r="DC1539" s="901"/>
      <c r="DD1539" s="1017"/>
      <c r="DE1539" s="905"/>
      <c r="DF1539" s="901"/>
      <c r="DG1539" s="901"/>
      <c r="DH1539" s="901"/>
      <c r="DI1539" s="1017"/>
      <c r="DJ1539" s="905"/>
      <c r="DK1539" s="901"/>
      <c r="DL1539" s="901"/>
      <c r="DM1539" s="901"/>
      <c r="DN1539" s="1017"/>
      <c r="DO1539" s="905"/>
      <c r="DP1539" s="901"/>
      <c r="DQ1539" s="901"/>
      <c r="DR1539" s="901"/>
      <c r="DS1539" s="1017"/>
      <c r="DT1539" s="905"/>
      <c r="DU1539" s="901"/>
      <c r="DV1539" s="901"/>
      <c r="DW1539" s="901"/>
      <c r="DX1539" s="1017"/>
      <c r="DY1539" s="905"/>
      <c r="DZ1539" s="901"/>
      <c r="EA1539" s="901"/>
      <c r="EB1539" s="901"/>
      <c r="EC1539" s="1017"/>
      <c r="ED1539" s="3672"/>
      <c r="EE1539" s="3673"/>
      <c r="EF1539" s="3674"/>
      <c r="EG1539" s="3674"/>
      <c r="EH1539" s="1017">
        <f>$C$1538*EH1534</f>
      </c>
      <c r="EI1539" s="3672">
        <f t="shared" ref="EI1539:EU1540" si="2975">$C$1538*EI1534</f>
      </c>
      <c r="EJ1539" s="3672">
        <f t="shared" si="2975"/>
      </c>
      <c r="EK1539" s="3672">
        <f t="shared" si="2975"/>
      </c>
      <c r="EL1539" s="3672">
        <f t="shared" si="2975"/>
      </c>
      <c r="EM1539" s="3672">
        <f t="shared" si="2975"/>
      </c>
      <c r="EN1539" s="3672">
        <f t="shared" si="2975"/>
      </c>
      <c r="EO1539" s="3672">
        <f t="shared" si="2975"/>
      </c>
      <c r="EP1539" s="3672">
        <f t="shared" si="2975"/>
      </c>
      <c r="EQ1539" s="3672">
        <f t="shared" si="2975"/>
      </c>
      <c r="ER1539" s="3672">
        <f t="shared" si="2975"/>
      </c>
      <c r="ES1539" s="3672">
        <f t="shared" si="2975"/>
      </c>
      <c r="ET1539" s="3672">
        <f t="shared" si="2975"/>
      </c>
      <c r="EU1539" s="3672">
        <f t="shared" si="2975"/>
      </c>
      <c r="EV1539" s="1017"/>
      <c r="EW1539" s="1017"/>
      <c r="EX1539" s="1369"/>
    </row>
    <row r="1540" spans="1:154" s="1515" customFormat="1" outlineLevel="1">
      <c r="A1540" s="3275" t="s">
        <v>824</v>
      </c>
      <c r="B1540" s="3666" t="s">
        <v>188</v>
      </c>
      <c r="C1540" s="2026" t="s">
        <v>661</v>
      </c>
      <c r="D1540" s="900"/>
      <c r="E1540" s="900"/>
      <c r="F1540" s="901"/>
      <c r="G1540" s="901"/>
      <c r="H1540" s="901"/>
      <c r="I1540" s="901"/>
      <c r="J1540" s="901"/>
      <c r="K1540" s="901"/>
      <c r="L1540" s="901"/>
      <c r="M1540" s="901"/>
      <c r="N1540" s="901"/>
      <c r="O1540" s="902"/>
      <c r="P1540" s="901"/>
      <c r="Q1540" s="901"/>
      <c r="R1540" s="901"/>
      <c r="S1540" s="901"/>
      <c r="T1540" s="902"/>
      <c r="U1540" s="901"/>
      <c r="V1540" s="901"/>
      <c r="W1540" s="901"/>
      <c r="X1540" s="905"/>
      <c r="Y1540" s="902"/>
      <c r="Z1540" s="901"/>
      <c r="AA1540" s="901"/>
      <c r="AB1540" s="901"/>
      <c r="AC1540" s="905"/>
      <c r="AD1540" s="902"/>
      <c r="AE1540" s="901"/>
      <c r="AF1540" s="901"/>
      <c r="AG1540" s="901"/>
      <c r="AH1540" s="905"/>
      <c r="AI1540" s="902"/>
      <c r="AJ1540" s="901"/>
      <c r="AK1540" s="901"/>
      <c r="AL1540" s="901"/>
      <c r="AM1540" s="905"/>
      <c r="AN1540" s="902"/>
      <c r="AO1540" s="901"/>
      <c r="AP1540" s="901"/>
      <c r="AQ1540" s="3658"/>
      <c r="AR1540" s="905"/>
      <c r="AS1540" s="902"/>
      <c r="AT1540" s="901"/>
      <c r="AU1540" s="901"/>
      <c r="AV1540" s="901"/>
      <c r="AW1540" s="905"/>
      <c r="AX1540" s="902"/>
      <c r="AY1540" s="901"/>
      <c r="AZ1540" s="901"/>
      <c r="BA1540" s="901"/>
      <c r="BB1540" s="905"/>
      <c r="BC1540" s="902"/>
      <c r="BD1540" s="901"/>
      <c r="BE1540" s="901"/>
      <c r="BF1540" s="901"/>
      <c r="BG1540" s="905"/>
      <c r="BH1540" s="902"/>
      <c r="BI1540" s="901"/>
      <c r="BJ1540" s="901"/>
      <c r="BK1540" s="901"/>
      <c r="BL1540" s="905"/>
      <c r="BM1540" s="901"/>
      <c r="BN1540" s="901"/>
      <c r="BO1540" s="901"/>
      <c r="BP1540" s="901"/>
      <c r="BQ1540" s="905"/>
      <c r="BR1540" s="901"/>
      <c r="BS1540" s="901"/>
      <c r="BT1540" s="901"/>
      <c r="BU1540" s="901"/>
      <c r="BV1540" s="905"/>
      <c r="BW1540" s="3652"/>
      <c r="BX1540" s="901"/>
      <c r="BY1540" s="901"/>
      <c r="BZ1540" s="901"/>
      <c r="CA1540" s="905"/>
      <c r="CB1540" s="901"/>
      <c r="CC1540" s="901"/>
      <c r="CD1540" s="901"/>
      <c r="CE1540" s="901"/>
      <c r="CF1540" s="905"/>
      <c r="CG1540" s="901"/>
      <c r="CH1540" s="901"/>
      <c r="CI1540" s="901"/>
      <c r="CJ1540" s="901"/>
      <c r="CK1540" s="905"/>
      <c r="CL1540" s="1016"/>
      <c r="CM1540" s="901"/>
      <c r="CN1540" s="901"/>
      <c r="CO1540" s="901"/>
      <c r="CP1540" s="905"/>
      <c r="CQ1540" s="901"/>
      <c r="CR1540" s="901"/>
      <c r="CS1540" s="901"/>
      <c r="CT1540" s="1017"/>
      <c r="CU1540" s="905"/>
      <c r="CV1540" s="901"/>
      <c r="CW1540" s="901"/>
      <c r="CX1540" s="901"/>
      <c r="CY1540" s="1017"/>
      <c r="CZ1540" s="905"/>
      <c r="DA1540" s="1016"/>
      <c r="DB1540" s="901"/>
      <c r="DC1540" s="901"/>
      <c r="DD1540" s="1017"/>
      <c r="DE1540" s="905"/>
      <c r="DF1540" s="901"/>
      <c r="DG1540" s="901"/>
      <c r="DH1540" s="901"/>
      <c r="DI1540" s="1017"/>
      <c r="DJ1540" s="905"/>
      <c r="DK1540" s="901"/>
      <c r="DL1540" s="901"/>
      <c r="DM1540" s="901"/>
      <c r="DN1540" s="1017"/>
      <c r="DO1540" s="905"/>
      <c r="DP1540" s="901"/>
      <c r="DQ1540" s="901"/>
      <c r="DR1540" s="901"/>
      <c r="DS1540" s="1017"/>
      <c r="DT1540" s="905"/>
      <c r="DU1540" s="901"/>
      <c r="DV1540" s="901"/>
      <c r="DW1540" s="901"/>
      <c r="DX1540" s="1017"/>
      <c r="DY1540" s="905"/>
      <c r="DZ1540" s="901"/>
      <c r="EA1540" s="901"/>
      <c r="EB1540" s="901"/>
      <c r="EC1540" s="1017"/>
      <c r="ED1540" s="3672"/>
      <c r="EE1540" s="3673"/>
      <c r="EF1540" s="3674"/>
      <c r="EG1540" s="3674"/>
      <c r="EH1540" s="1017">
        <f>SUM(EH1538:EH1539)</f>
      </c>
      <c r="EI1540" s="3672">
        <f t="shared" si="2975"/>
      </c>
      <c r="EJ1540" s="3672">
        <f t="shared" si="2975"/>
      </c>
      <c r="EK1540" s="3672">
        <f t="shared" si="2975"/>
      </c>
      <c r="EL1540" s="3672">
        <f t="shared" si="2975"/>
      </c>
      <c r="EM1540" s="3672">
        <f t="shared" si="2975"/>
      </c>
      <c r="EN1540" s="3672">
        <f t="shared" si="2975"/>
      </c>
      <c r="EO1540" s="3672">
        <f t="shared" si="2975"/>
      </c>
      <c r="EP1540" s="3672">
        <f t="shared" si="2975"/>
      </c>
      <c r="EQ1540" s="3672">
        <f t="shared" si="2975"/>
      </c>
      <c r="ER1540" s="3672">
        <f t="shared" si="2975"/>
      </c>
      <c r="ES1540" s="3672">
        <f t="shared" si="2975"/>
      </c>
      <c r="ET1540" s="3672">
        <f t="shared" si="2975"/>
      </c>
      <c r="EU1540" s="3672">
        <f t="shared" si="2975"/>
      </c>
      <c r="EV1540" s="1017"/>
      <c r="EW1540" s="1017"/>
      <c r="EX1540" s="1369"/>
    </row>
    <row r="1541" spans="1:154" s="1515" customFormat="1" outlineLevel="1">
      <c r="A1541" s="3275"/>
      <c r="B1541" s="3666"/>
      <c r="C1541" s="2026"/>
      <c r="D1541" s="900"/>
      <c r="E1541" s="900"/>
      <c r="F1541" s="901"/>
      <c r="G1541" s="901"/>
      <c r="H1541" s="901"/>
      <c r="I1541" s="901"/>
      <c r="J1541" s="901"/>
      <c r="K1541" s="901"/>
      <c r="L1541" s="901"/>
      <c r="M1541" s="901"/>
      <c r="N1541" s="901"/>
      <c r="O1541" s="902"/>
      <c r="P1541" s="901"/>
      <c r="Q1541" s="901"/>
      <c r="R1541" s="901"/>
      <c r="S1541" s="901"/>
      <c r="T1541" s="902"/>
      <c r="U1541" s="901"/>
      <c r="V1541" s="901"/>
      <c r="W1541" s="901"/>
      <c r="X1541" s="905"/>
      <c r="Y1541" s="902"/>
      <c r="Z1541" s="901"/>
      <c r="AA1541" s="901"/>
      <c r="AB1541" s="901"/>
      <c r="AC1541" s="905"/>
      <c r="AD1541" s="902"/>
      <c r="AE1541" s="901"/>
      <c r="AF1541" s="901"/>
      <c r="AG1541" s="901"/>
      <c r="AH1541" s="905"/>
      <c r="AI1541" s="902"/>
      <c r="AJ1541" s="901"/>
      <c r="AK1541" s="901"/>
      <c r="AL1541" s="901"/>
      <c r="AM1541" s="905"/>
      <c r="AN1541" s="902"/>
      <c r="AO1541" s="901"/>
      <c r="AP1541" s="901"/>
      <c r="AQ1541" s="3658"/>
      <c r="AR1541" s="905"/>
      <c r="AS1541" s="902"/>
      <c r="AT1541" s="901"/>
      <c r="AU1541" s="901"/>
      <c r="AV1541" s="901"/>
      <c r="AW1541" s="905"/>
      <c r="AX1541" s="902"/>
      <c r="AY1541" s="901"/>
      <c r="AZ1541" s="901"/>
      <c r="BA1541" s="901"/>
      <c r="BB1541" s="905"/>
      <c r="BC1541" s="902"/>
      <c r="BD1541" s="901"/>
      <c r="BE1541" s="901"/>
      <c r="BF1541" s="901"/>
      <c r="BG1541" s="905"/>
      <c r="BH1541" s="902"/>
      <c r="BI1541" s="901"/>
      <c r="BJ1541" s="901"/>
      <c r="BK1541" s="901"/>
      <c r="BL1541" s="905"/>
      <c r="BM1541" s="901"/>
      <c r="BN1541" s="901"/>
      <c r="BO1541" s="901"/>
      <c r="BP1541" s="901"/>
      <c r="BQ1541" s="905"/>
      <c r="BR1541" s="901"/>
      <c r="BS1541" s="901"/>
      <c r="BT1541" s="901"/>
      <c r="BU1541" s="901"/>
      <c r="BV1541" s="905"/>
      <c r="BW1541" s="3652"/>
      <c r="BX1541" s="901"/>
      <c r="BY1541" s="901"/>
      <c r="BZ1541" s="901"/>
      <c r="CA1541" s="905"/>
      <c r="CB1541" s="901"/>
      <c r="CC1541" s="901"/>
      <c r="CD1541" s="901"/>
      <c r="CE1541" s="901"/>
      <c r="CF1541" s="905"/>
      <c r="CG1541" s="901"/>
      <c r="CH1541" s="901"/>
      <c r="CI1541" s="901"/>
      <c r="CJ1541" s="901"/>
      <c r="CK1541" s="905"/>
      <c r="CL1541" s="1016"/>
      <c r="CM1541" s="901"/>
      <c r="CN1541" s="901"/>
      <c r="CO1541" s="901"/>
      <c r="CP1541" s="905"/>
      <c r="CQ1541" s="901"/>
      <c r="CR1541" s="901"/>
      <c r="CS1541" s="901"/>
      <c r="CT1541" s="1017"/>
      <c r="CU1541" s="905"/>
      <c r="CV1541" s="901"/>
      <c r="CW1541" s="901"/>
      <c r="CX1541" s="901"/>
      <c r="CY1541" s="1017"/>
      <c r="CZ1541" s="905"/>
      <c r="DA1541" s="1016"/>
      <c r="DB1541" s="901"/>
      <c r="DC1541" s="901"/>
      <c r="DD1541" s="1017"/>
      <c r="DE1541" s="905"/>
      <c r="DF1541" s="901"/>
      <c r="DG1541" s="901"/>
      <c r="DH1541" s="901"/>
      <c r="DI1541" s="1017"/>
      <c r="DJ1541" s="905"/>
      <c r="DK1541" s="901"/>
      <c r="DL1541" s="901"/>
      <c r="DM1541" s="901"/>
      <c r="DN1541" s="1017"/>
      <c r="DO1541" s="905"/>
      <c r="DP1541" s="901"/>
      <c r="DQ1541" s="901"/>
      <c r="DR1541" s="901"/>
      <c r="DS1541" s="1017"/>
      <c r="DT1541" s="905"/>
      <c r="DU1541" s="901"/>
      <c r="DV1541" s="901"/>
      <c r="DW1541" s="901"/>
      <c r="DX1541" s="1017"/>
      <c r="DY1541" s="905"/>
      <c r="DZ1541" s="901"/>
      <c r="EA1541" s="901"/>
      <c r="EB1541" s="901"/>
      <c r="EC1541" s="1017"/>
      <c r="ED1541" s="905"/>
      <c r="EE1541" s="1016"/>
      <c r="EF1541" s="901"/>
      <c r="EG1541" s="901"/>
      <c r="EH1541" s="1017"/>
      <c r="EI1541" s="1016"/>
      <c r="EJ1541" s="905"/>
      <c r="EK1541" s="905"/>
      <c r="EL1541" s="905"/>
      <c r="EM1541" s="905"/>
      <c r="EN1541" s="905"/>
      <c r="EO1541" s="1017"/>
      <c r="EP1541" s="1017"/>
      <c r="EQ1541" s="1017"/>
      <c r="ER1541" s="1017"/>
      <c r="ES1541" s="905"/>
      <c r="ET1541" s="1017"/>
      <c r="EU1541" s="1017"/>
      <c r="EV1541" s="1017"/>
      <c r="EW1541" s="1017"/>
      <c r="EX1541" s="1369"/>
    </row>
    <row r="1542" spans="1:154" s="1515" customFormat="1" outlineLevel="1">
      <c r="A1542" s="3275"/>
      <c r="B1542" s="3666" t="s">
        <v>811</v>
      </c>
      <c r="C1542" s="2026"/>
      <c r="D1542" s="900"/>
      <c r="E1542" s="900"/>
      <c r="F1542" s="901"/>
      <c r="G1542" s="901"/>
      <c r="H1542" s="901"/>
      <c r="I1542" s="901"/>
      <c r="J1542" s="901"/>
      <c r="K1542" s="901"/>
      <c r="L1542" s="901"/>
      <c r="M1542" s="901"/>
      <c r="N1542" s="901"/>
      <c r="O1542" s="902"/>
      <c r="P1542" s="901"/>
      <c r="Q1542" s="901"/>
      <c r="R1542" s="901"/>
      <c r="S1542" s="901"/>
      <c r="T1542" s="902"/>
      <c r="U1542" s="901"/>
      <c r="V1542" s="901"/>
      <c r="W1542" s="901"/>
      <c r="X1542" s="905"/>
      <c r="Y1542" s="902"/>
      <c r="Z1542" s="901"/>
      <c r="AA1542" s="901"/>
      <c r="AB1542" s="901"/>
      <c r="AC1542" s="905"/>
      <c r="AD1542" s="902"/>
      <c r="AE1542" s="901"/>
      <c r="AF1542" s="901"/>
      <c r="AG1542" s="901"/>
      <c r="AH1542" s="905"/>
      <c r="AI1542" s="902"/>
      <c r="AJ1542" s="901"/>
      <c r="AK1542" s="901"/>
      <c r="AL1542" s="901"/>
      <c r="AM1542" s="905"/>
      <c r="AN1542" s="902"/>
      <c r="AO1542" s="901"/>
      <c r="AP1542" s="901"/>
      <c r="AQ1542" s="3658"/>
      <c r="AR1542" s="905"/>
      <c r="AS1542" s="902"/>
      <c r="AT1542" s="901"/>
      <c r="AU1542" s="901"/>
      <c r="AV1542" s="901"/>
      <c r="AW1542" s="905"/>
      <c r="AX1542" s="902"/>
      <c r="AY1542" s="901"/>
      <c r="AZ1542" s="901"/>
      <c r="BA1542" s="901"/>
      <c r="BB1542" s="905"/>
      <c r="BC1542" s="902"/>
      <c r="BD1542" s="901"/>
      <c r="BE1542" s="901"/>
      <c r="BF1542" s="901"/>
      <c r="BG1542" s="905"/>
      <c r="BH1542" s="902"/>
      <c r="BI1542" s="901"/>
      <c r="BJ1542" s="901"/>
      <c r="BK1542" s="901"/>
      <c r="BL1542" s="905"/>
      <c r="BM1542" s="901"/>
      <c r="BN1542" s="901"/>
      <c r="BO1542" s="901"/>
      <c r="BP1542" s="901"/>
      <c r="BQ1542" s="905"/>
      <c r="BR1542" s="901"/>
      <c r="BS1542" s="901"/>
      <c r="BT1542" s="901"/>
      <c r="BU1542" s="901"/>
      <c r="BV1542" s="905"/>
      <c r="BW1542" s="3652"/>
      <c r="BX1542" s="901"/>
      <c r="BY1542" s="901"/>
      <c r="BZ1542" s="901"/>
      <c r="CA1542" s="905"/>
      <c r="CB1542" s="901"/>
      <c r="CC1542" s="901"/>
      <c r="CD1542" s="901"/>
      <c r="CE1542" s="901"/>
      <c r="CF1542" s="905"/>
      <c r="CG1542" s="901"/>
      <c r="CH1542" s="901"/>
      <c r="CI1542" s="901"/>
      <c r="CJ1542" s="901"/>
      <c r="CK1542" s="905"/>
      <c r="CL1542" s="1016"/>
      <c r="CM1542" s="901"/>
      <c r="CN1542" s="901"/>
      <c r="CO1542" s="901"/>
      <c r="CP1542" s="905"/>
      <c r="CQ1542" s="901"/>
      <c r="CR1542" s="901"/>
      <c r="CS1542" s="901"/>
      <c r="CT1542" s="1017"/>
      <c r="CU1542" s="905"/>
      <c r="CV1542" s="901"/>
      <c r="CW1542" s="901"/>
      <c r="CX1542" s="901"/>
      <c r="CY1542" s="1017"/>
      <c r="CZ1542" s="905"/>
      <c r="DA1542" s="1016"/>
      <c r="DB1542" s="901"/>
      <c r="DC1542" s="901"/>
      <c r="DD1542" s="1017"/>
      <c r="DE1542" s="905"/>
      <c r="DF1542" s="901"/>
      <c r="DG1542" s="901"/>
      <c r="DH1542" s="901"/>
      <c r="DI1542" s="1017"/>
      <c r="DJ1542" s="905"/>
      <c r="DK1542" s="901"/>
      <c r="DL1542" s="901"/>
      <c r="DM1542" s="901"/>
      <c r="DN1542" s="1017"/>
      <c r="DO1542" s="905"/>
      <c r="DP1542" s="901"/>
      <c r="DQ1542" s="901"/>
      <c r="DR1542" s="901"/>
      <c r="DS1542" s="1017"/>
      <c r="DT1542" s="905"/>
      <c r="DU1542" s="901"/>
      <c r="DV1542" s="901"/>
      <c r="DW1542" s="901"/>
      <c r="DX1542" s="1017"/>
      <c r="DY1542" s="905"/>
      <c r="DZ1542" s="901"/>
      <c r="EA1542" s="901"/>
      <c r="EB1542" s="901"/>
      <c r="EC1542" s="1017"/>
      <c r="ED1542" s="905"/>
      <c r="EE1542" s="1016"/>
      <c r="EF1542" s="901"/>
      <c r="EG1542" s="901"/>
      <c r="EH1542" s="1017"/>
      <c r="EI1542" s="1016"/>
      <c r="EJ1542" s="905"/>
      <c r="EK1542" s="905"/>
      <c r="EL1542" s="905"/>
      <c r="EM1542" s="905"/>
      <c r="EN1542" s="905"/>
      <c r="EO1542" s="1017"/>
      <c r="EP1542" s="1017"/>
      <c r="EQ1542" s="1017"/>
      <c r="ER1542" s="1017"/>
      <c r="ES1542" s="905"/>
      <c r="ET1542" s="1017"/>
      <c r="EU1542" s="1017"/>
      <c r="EV1542" s="1017"/>
      <c r="EW1542" s="1017"/>
      <c r="EX1542" s="1369"/>
    </row>
    <row r="1543" spans="1:154" s="1515" customFormat="1" outlineLevel="1">
      <c r="A1543" s="3275"/>
      <c r="B1543" s="3666" t="s">
        <v>153</v>
      </c>
      <c r="C1543" s="2026"/>
      <c r="D1543" s="900"/>
      <c r="E1543" s="900"/>
      <c r="F1543" s="901"/>
      <c r="G1543" s="901"/>
      <c r="H1543" s="901"/>
      <c r="I1543" s="901"/>
      <c r="J1543" s="901"/>
      <c r="K1543" s="901"/>
      <c r="L1543" s="901"/>
      <c r="M1543" s="901"/>
      <c r="N1543" s="901"/>
      <c r="O1543" s="902"/>
      <c r="P1543" s="901"/>
      <c r="Q1543" s="901"/>
      <c r="R1543" s="901"/>
      <c r="S1543" s="901"/>
      <c r="T1543" s="902"/>
      <c r="U1543" s="901"/>
      <c r="V1543" s="901"/>
      <c r="W1543" s="901"/>
      <c r="X1543" s="905"/>
      <c r="Y1543" s="902"/>
      <c r="Z1543" s="901"/>
      <c r="AA1543" s="901"/>
      <c r="AB1543" s="901"/>
      <c r="AC1543" s="905"/>
      <c r="AD1543" s="902"/>
      <c r="AE1543" s="901"/>
      <c r="AF1543" s="901"/>
      <c r="AG1543" s="901"/>
      <c r="AH1543" s="905"/>
      <c r="AI1543" s="902"/>
      <c r="AJ1543" s="901"/>
      <c r="AK1543" s="901"/>
      <c r="AL1543" s="901"/>
      <c r="AM1543" s="905"/>
      <c r="AN1543" s="902"/>
      <c r="AO1543" s="901"/>
      <c r="AP1543" s="901"/>
      <c r="AQ1543" s="3658"/>
      <c r="AR1543" s="905"/>
      <c r="AS1543" s="902"/>
      <c r="AT1543" s="901"/>
      <c r="AU1543" s="901"/>
      <c r="AV1543" s="901"/>
      <c r="AW1543" s="905"/>
      <c r="AX1543" s="902"/>
      <c r="AY1543" s="901"/>
      <c r="AZ1543" s="901"/>
      <c r="BA1543" s="901"/>
      <c r="BB1543" s="905"/>
      <c r="BC1543" s="902"/>
      <c r="BD1543" s="901"/>
      <c r="BE1543" s="901"/>
      <c r="BF1543" s="901"/>
      <c r="BG1543" s="905"/>
      <c r="BH1543" s="902"/>
      <c r="BI1543" s="901"/>
      <c r="BJ1543" s="901"/>
      <c r="BK1543" s="901"/>
      <c r="BL1543" s="905"/>
      <c r="BM1543" s="901"/>
      <c r="BN1543" s="901"/>
      <c r="BO1543" s="901"/>
      <c r="BP1543" s="901"/>
      <c r="BQ1543" s="905"/>
      <c r="BR1543" s="901"/>
      <c r="BS1543" s="901"/>
      <c r="BT1543" s="901"/>
      <c r="BU1543" s="901"/>
      <c r="BV1543" s="905"/>
      <c r="BW1543" s="3652"/>
      <c r="BX1543" s="901"/>
      <c r="BY1543" s="901"/>
      <c r="BZ1543" s="901"/>
      <c r="CA1543" s="905"/>
      <c r="CB1543" s="901"/>
      <c r="CC1543" s="901"/>
      <c r="CD1543" s="901"/>
      <c r="CE1543" s="901"/>
      <c r="CF1543" s="905"/>
      <c r="CG1543" s="901"/>
      <c r="CH1543" s="901"/>
      <c r="CI1543" s="901"/>
      <c r="CJ1543" s="901"/>
      <c r="CK1543" s="905"/>
      <c r="CL1543" s="1016"/>
      <c r="CM1543" s="901"/>
      <c r="CN1543" s="901"/>
      <c r="CO1543" s="901"/>
      <c r="CP1543" s="905"/>
      <c r="CQ1543" s="901"/>
      <c r="CR1543" s="901"/>
      <c r="CS1543" s="901"/>
      <c r="CT1543" s="1017"/>
      <c r="CU1543" s="905"/>
      <c r="CV1543" s="901"/>
      <c r="CW1543" s="901"/>
      <c r="CX1543" s="901"/>
      <c r="CY1543" s="1017"/>
      <c r="CZ1543" s="905"/>
      <c r="DA1543" s="1016"/>
      <c r="DB1543" s="901"/>
      <c r="DC1543" s="901"/>
      <c r="DD1543" s="1017"/>
      <c r="DE1543" s="905"/>
      <c r="DF1543" s="901"/>
      <c r="DG1543" s="901"/>
      <c r="DH1543" s="901"/>
      <c r="DI1543" s="1017"/>
      <c r="DJ1543" s="905"/>
      <c r="DK1543" s="901"/>
      <c r="DL1543" s="901"/>
      <c r="DM1543" s="901"/>
      <c r="DN1543" s="3677"/>
      <c r="DO1543" s="3672"/>
      <c r="DP1543" s="3674"/>
      <c r="DQ1543" s="3674"/>
      <c r="DR1543" s="3674"/>
      <c r="DS1543" s="3677"/>
      <c r="DT1543" s="3672"/>
      <c r="DU1543" s="3674"/>
      <c r="DV1543" s="3674"/>
      <c r="DW1543" s="3674"/>
      <c r="DX1543" s="3677"/>
      <c r="DY1543" s="3672"/>
      <c r="DZ1543" s="3674"/>
      <c r="EA1543" s="3674"/>
      <c r="EB1543" s="3674"/>
      <c r="EC1543" s="3677"/>
      <c r="ED1543" s="3672"/>
      <c r="EE1543" s="3673">
        <f t="shared" ref="EE1543:EU1545" si="2976">EE1533+EE1523</f>
      </c>
      <c r="EF1543" s="3674">
        <f t="shared" si="2976"/>
      </c>
      <c r="EG1543" s="3674">
        <f t="shared" si="2976"/>
      </c>
      <c r="EH1543" s="3677">
        <f t="shared" si="2976"/>
      </c>
      <c r="EI1543" s="3673">
        <f>EI1533+EI1523</f>
      </c>
      <c r="EJ1543" s="3672">
        <f t="shared" si="2976"/>
      </c>
      <c r="EK1543" s="3672">
        <f t="shared" si="2976"/>
      </c>
      <c r="EL1543" s="3672">
        <f t="shared" si="2976"/>
      </c>
      <c r="EM1543" s="3672">
        <f t="shared" si="2976"/>
      </c>
      <c r="EN1543" s="3672">
        <f t="shared" si="2976"/>
      </c>
      <c r="EO1543" s="3677">
        <f t="shared" si="2976"/>
      </c>
      <c r="EP1543" s="3677">
        <f t="shared" si="2976"/>
      </c>
      <c r="EQ1543" s="3677">
        <f t="shared" si="2976"/>
      </c>
      <c r="ER1543" s="3672">
        <f t="shared" si="2976"/>
      </c>
      <c r="ES1543" s="3672">
        <f t="shared" si="2976"/>
      </c>
      <c r="ET1543" s="3672">
        <f t="shared" si="2976"/>
      </c>
      <c r="EU1543" s="3672">
        <f t="shared" si="2976"/>
      </c>
      <c r="EV1543" s="1017"/>
      <c r="EW1543" s="1017"/>
      <c r="EX1543" s="1369"/>
    </row>
    <row r="1544" spans="1:154" s="1515" customFormat="1" outlineLevel="1">
      <c r="A1544" s="3275"/>
      <c r="B1544" s="3666" t="s">
        <v>235</v>
      </c>
      <c r="C1544" s="2026"/>
      <c r="D1544" s="900"/>
      <c r="E1544" s="900"/>
      <c r="F1544" s="901"/>
      <c r="G1544" s="901"/>
      <c r="H1544" s="901"/>
      <c r="I1544" s="901"/>
      <c r="J1544" s="901"/>
      <c r="K1544" s="901"/>
      <c r="L1544" s="901"/>
      <c r="M1544" s="901"/>
      <c r="N1544" s="901"/>
      <c r="O1544" s="902"/>
      <c r="P1544" s="901"/>
      <c r="Q1544" s="901"/>
      <c r="R1544" s="901"/>
      <c r="S1544" s="901"/>
      <c r="T1544" s="902"/>
      <c r="U1544" s="901"/>
      <c r="V1544" s="901"/>
      <c r="W1544" s="901"/>
      <c r="X1544" s="905"/>
      <c r="Y1544" s="902"/>
      <c r="Z1544" s="901"/>
      <c r="AA1544" s="901"/>
      <c r="AB1544" s="901"/>
      <c r="AC1544" s="905"/>
      <c r="AD1544" s="902"/>
      <c r="AE1544" s="901"/>
      <c r="AF1544" s="901"/>
      <c r="AG1544" s="901"/>
      <c r="AH1544" s="905"/>
      <c r="AI1544" s="902"/>
      <c r="AJ1544" s="901"/>
      <c r="AK1544" s="901"/>
      <c r="AL1544" s="901"/>
      <c r="AM1544" s="905"/>
      <c r="AN1544" s="902"/>
      <c r="AO1544" s="901"/>
      <c r="AP1544" s="901"/>
      <c r="AQ1544" s="3658"/>
      <c r="AR1544" s="905"/>
      <c r="AS1544" s="902"/>
      <c r="AT1544" s="901"/>
      <c r="AU1544" s="901"/>
      <c r="AV1544" s="901"/>
      <c r="AW1544" s="905"/>
      <c r="AX1544" s="902"/>
      <c r="AY1544" s="901"/>
      <c r="AZ1544" s="901"/>
      <c r="BA1544" s="901"/>
      <c r="BB1544" s="905"/>
      <c r="BC1544" s="902"/>
      <c r="BD1544" s="901"/>
      <c r="BE1544" s="901"/>
      <c r="BF1544" s="901"/>
      <c r="BG1544" s="905"/>
      <c r="BH1544" s="902"/>
      <c r="BI1544" s="901"/>
      <c r="BJ1544" s="901"/>
      <c r="BK1544" s="901"/>
      <c r="BL1544" s="905"/>
      <c r="BM1544" s="901"/>
      <c r="BN1544" s="901"/>
      <c r="BO1544" s="901"/>
      <c r="BP1544" s="901"/>
      <c r="BQ1544" s="905"/>
      <c r="BR1544" s="901"/>
      <c r="BS1544" s="901"/>
      <c r="BT1544" s="901"/>
      <c r="BU1544" s="901"/>
      <c r="BV1544" s="905"/>
      <c r="BW1544" s="3652"/>
      <c r="BX1544" s="901"/>
      <c r="BY1544" s="901"/>
      <c r="BZ1544" s="901"/>
      <c r="CA1544" s="905"/>
      <c r="CB1544" s="901"/>
      <c r="CC1544" s="901"/>
      <c r="CD1544" s="901"/>
      <c r="CE1544" s="901"/>
      <c r="CF1544" s="905"/>
      <c r="CG1544" s="901"/>
      <c r="CH1544" s="901"/>
      <c r="CI1544" s="901"/>
      <c r="CJ1544" s="901"/>
      <c r="CK1544" s="905"/>
      <c r="CL1544" s="1016"/>
      <c r="CM1544" s="901"/>
      <c r="CN1544" s="901"/>
      <c r="CO1544" s="901"/>
      <c r="CP1544" s="905"/>
      <c r="CQ1544" s="901"/>
      <c r="CR1544" s="901"/>
      <c r="CS1544" s="901"/>
      <c r="CT1544" s="1017"/>
      <c r="CU1544" s="905"/>
      <c r="CV1544" s="901"/>
      <c r="CW1544" s="901"/>
      <c r="CX1544" s="901"/>
      <c r="CY1544" s="1017"/>
      <c r="CZ1544" s="905"/>
      <c r="DA1544" s="1016"/>
      <c r="DB1544" s="901"/>
      <c r="DC1544" s="901"/>
      <c r="DD1544" s="1017"/>
      <c r="DE1544" s="905"/>
      <c r="DF1544" s="901"/>
      <c r="DG1544" s="901"/>
      <c r="DH1544" s="901"/>
      <c r="DI1544" s="1017"/>
      <c r="DJ1544" s="905"/>
      <c r="DK1544" s="901"/>
      <c r="DL1544" s="901"/>
      <c r="DM1544" s="901"/>
      <c r="DN1544" s="3677"/>
      <c r="DO1544" s="3672"/>
      <c r="DP1544" s="3674"/>
      <c r="DQ1544" s="3674"/>
      <c r="DR1544" s="3674"/>
      <c r="DS1544" s="3677"/>
      <c r="DT1544" s="3672"/>
      <c r="DU1544" s="3674"/>
      <c r="DV1544" s="3674"/>
      <c r="DW1544" s="3674"/>
      <c r="DX1544" s="3677"/>
      <c r="DY1544" s="3672"/>
      <c r="DZ1544" s="3674"/>
      <c r="EA1544" s="3674"/>
      <c r="EB1544" s="3674"/>
      <c r="EC1544" s="3677"/>
      <c r="ED1544" s="3672"/>
      <c r="EE1544" s="3673">
        <f t="shared" si="2976"/>
      </c>
      <c r="EF1544" s="3674">
        <f t="shared" si="2976"/>
      </c>
      <c r="EG1544" s="3674">
        <f t="shared" si="2976"/>
      </c>
      <c r="EH1544" s="3677">
        <f t="shared" si="2976"/>
      </c>
      <c r="EI1544" s="3673">
        <f t="shared" ref="EI1544:EU1544" si="2977">EI1534+EI1524</f>
      </c>
      <c r="EJ1544" s="3672">
        <f t="shared" si="2977"/>
      </c>
      <c r="EK1544" s="3672">
        <f t="shared" si="2977"/>
      </c>
      <c r="EL1544" s="3672">
        <f t="shared" si="2977"/>
      </c>
      <c r="EM1544" s="3672">
        <f t="shared" si="2977"/>
      </c>
      <c r="EN1544" s="3672">
        <f t="shared" si="2977"/>
      </c>
      <c r="EO1544" s="3677">
        <f t="shared" si="2977"/>
      </c>
      <c r="EP1544" s="3672">
        <f t="shared" si="2977"/>
      </c>
      <c r="EQ1544" s="3672">
        <f t="shared" si="2977"/>
      </c>
      <c r="ER1544" s="3672">
        <f t="shared" si="2977"/>
      </c>
      <c r="ES1544" s="3672">
        <f t="shared" si="2977"/>
      </c>
      <c r="ET1544" s="3672">
        <f t="shared" si="2977"/>
      </c>
      <c r="EU1544" s="3672">
        <f t="shared" si="2977"/>
      </c>
      <c r="EV1544" s="1017"/>
      <c r="EW1544" s="1017"/>
      <c r="EX1544" s="1369"/>
    </row>
    <row r="1545" spans="1:154" s="1515" customFormat="1" outlineLevel="1">
      <c r="A1545" s="3275"/>
      <c r="B1545" s="3666" t="s">
        <v>188</v>
      </c>
      <c r="C1545" s="2026" t="s">
        <v>837</v>
      </c>
      <c r="D1545" s="900"/>
      <c r="E1545" s="900"/>
      <c r="F1545" s="901"/>
      <c r="G1545" s="901"/>
      <c r="H1545" s="901"/>
      <c r="I1545" s="901"/>
      <c r="J1545" s="901"/>
      <c r="K1545" s="901"/>
      <c r="L1545" s="901"/>
      <c r="M1545" s="901"/>
      <c r="N1545" s="901"/>
      <c r="O1545" s="902"/>
      <c r="P1545" s="901"/>
      <c r="Q1545" s="901"/>
      <c r="R1545" s="901"/>
      <c r="S1545" s="901"/>
      <c r="T1545" s="902"/>
      <c r="U1545" s="901"/>
      <c r="V1545" s="901"/>
      <c r="W1545" s="901"/>
      <c r="X1545" s="905"/>
      <c r="Y1545" s="902"/>
      <c r="Z1545" s="901"/>
      <c r="AA1545" s="901"/>
      <c r="AB1545" s="901"/>
      <c r="AC1545" s="905"/>
      <c r="AD1545" s="902"/>
      <c r="AE1545" s="901"/>
      <c r="AF1545" s="901"/>
      <c r="AG1545" s="901"/>
      <c r="AH1545" s="905"/>
      <c r="AI1545" s="902"/>
      <c r="AJ1545" s="901"/>
      <c r="AK1545" s="901"/>
      <c r="AL1545" s="901"/>
      <c r="AM1545" s="905"/>
      <c r="AN1545" s="902"/>
      <c r="AO1545" s="901"/>
      <c r="AP1545" s="901"/>
      <c r="AQ1545" s="3658"/>
      <c r="AR1545" s="905"/>
      <c r="AS1545" s="902"/>
      <c r="AT1545" s="901"/>
      <c r="AU1545" s="901"/>
      <c r="AV1545" s="901"/>
      <c r="AW1545" s="905"/>
      <c r="AX1545" s="902"/>
      <c r="AY1545" s="901"/>
      <c r="AZ1545" s="901"/>
      <c r="BA1545" s="901"/>
      <c r="BB1545" s="905"/>
      <c r="BC1545" s="902"/>
      <c r="BD1545" s="901"/>
      <c r="BE1545" s="901"/>
      <c r="BF1545" s="901"/>
      <c r="BG1545" s="905"/>
      <c r="BH1545" s="902"/>
      <c r="BI1545" s="901"/>
      <c r="BJ1545" s="901"/>
      <c r="BK1545" s="901"/>
      <c r="BL1545" s="905"/>
      <c r="BM1545" s="901"/>
      <c r="BN1545" s="901"/>
      <c r="BO1545" s="901"/>
      <c r="BP1545" s="901"/>
      <c r="BQ1545" s="905"/>
      <c r="BR1545" s="901"/>
      <c r="BS1545" s="901"/>
      <c r="BT1545" s="901"/>
      <c r="BU1545" s="901"/>
      <c r="BV1545" s="905"/>
      <c r="BW1545" s="3652"/>
      <c r="BX1545" s="901"/>
      <c r="BY1545" s="901"/>
      <c r="BZ1545" s="901"/>
      <c r="CA1545" s="905"/>
      <c r="CB1545" s="901"/>
      <c r="CC1545" s="901"/>
      <c r="CD1545" s="901"/>
      <c r="CE1545" s="901"/>
      <c r="CF1545" s="905"/>
      <c r="CG1545" s="901"/>
      <c r="CH1545" s="901"/>
      <c r="CI1545" s="901"/>
      <c r="CJ1545" s="901"/>
      <c r="CK1545" s="905"/>
      <c r="CL1545" s="1016"/>
      <c r="CM1545" s="901"/>
      <c r="CN1545" s="901"/>
      <c r="CO1545" s="901"/>
      <c r="CP1545" s="905"/>
      <c r="CQ1545" s="901"/>
      <c r="CR1545" s="901"/>
      <c r="CS1545" s="901"/>
      <c r="CT1545" s="1017"/>
      <c r="CU1545" s="905"/>
      <c r="CV1545" s="901"/>
      <c r="CW1545" s="901"/>
      <c r="CX1545" s="901"/>
      <c r="CY1545" s="1017"/>
      <c r="CZ1545" s="905"/>
      <c r="DA1545" s="1016"/>
      <c r="DB1545" s="901"/>
      <c r="DC1545" s="901"/>
      <c r="DD1545" s="1017"/>
      <c r="DE1545" s="905"/>
      <c r="DF1545" s="901"/>
      <c r="DG1545" s="901"/>
      <c r="DH1545" s="901"/>
      <c r="DI1545" s="1017"/>
      <c r="DJ1545" s="905"/>
      <c r="DK1545" s="901"/>
      <c r="DL1545" s="901"/>
      <c r="DM1545" s="901"/>
      <c r="DN1545" s="3677"/>
      <c r="DO1545" s="3672"/>
      <c r="DP1545" s="3674"/>
      <c r="DQ1545" s="3674"/>
      <c r="DR1545" s="3674"/>
      <c r="DS1545" s="3677"/>
      <c r="DT1545" s="3672"/>
      <c r="DU1545" s="3674"/>
      <c r="DV1545" s="3674"/>
      <c r="DW1545" s="3674"/>
      <c r="DX1545" s="3677"/>
      <c r="DY1545" s="3672"/>
      <c r="DZ1545" s="3674"/>
      <c r="EA1545" s="3674"/>
      <c r="EB1545" s="3674"/>
      <c r="EC1545" s="3677"/>
      <c r="ED1545" s="3672"/>
      <c r="EE1545" s="3673">
        <f t="shared" si="2976"/>
      </c>
      <c r="EF1545" s="3674">
        <f t="shared" si="2976"/>
      </c>
      <c r="EG1545" s="3674">
        <f t="shared" si="2976"/>
      </c>
      <c r="EH1545" s="3677">
        <f t="shared" si="2976"/>
      </c>
      <c r="EI1545" s="3673">
        <f t="shared" ref="EI1545:EU1545" si="2978">EI1535+EI1525</f>
      </c>
      <c r="EJ1545" s="3672">
        <f t="shared" si="2978"/>
      </c>
      <c r="EK1545" s="3672">
        <f t="shared" si="2978"/>
      </c>
      <c r="EL1545" s="3672">
        <f t="shared" si="2978"/>
      </c>
      <c r="EM1545" s="3672">
        <f t="shared" si="2978"/>
      </c>
      <c r="EN1545" s="3672">
        <f t="shared" si="2978"/>
      </c>
      <c r="EO1545" s="3677">
        <f t="shared" si="2978"/>
      </c>
      <c r="EP1545" s="3672">
        <f t="shared" si="2978"/>
      </c>
      <c r="EQ1545" s="3672">
        <f t="shared" si="2978"/>
      </c>
      <c r="ER1545" s="3672">
        <f t="shared" si="2978"/>
      </c>
      <c r="ES1545" s="3672">
        <f t="shared" si="2978"/>
      </c>
      <c r="ET1545" s="3672">
        <f t="shared" si="2978"/>
      </c>
      <c r="EU1545" s="3672">
        <f t="shared" si="2978"/>
      </c>
      <c r="EV1545" s="1017"/>
      <c r="EW1545" s="1017"/>
      <c r="EX1545" s="1369"/>
    </row>
    <row r="1546" spans="1:154" s="1515" customFormat="1" outlineLevel="1">
      <c r="A1546" s="3275"/>
      <c r="B1546" s="3666"/>
      <c r="C1546" s="2026"/>
      <c r="D1546" s="900"/>
      <c r="E1546" s="900"/>
      <c r="F1546" s="901"/>
      <c r="G1546" s="901"/>
      <c r="H1546" s="901"/>
      <c r="I1546" s="901"/>
      <c r="J1546" s="901"/>
      <c r="K1546" s="901"/>
      <c r="L1546" s="901"/>
      <c r="M1546" s="901"/>
      <c r="N1546" s="901"/>
      <c r="O1546" s="902"/>
      <c r="P1546" s="901"/>
      <c r="Q1546" s="901"/>
      <c r="R1546" s="901"/>
      <c r="S1546" s="901"/>
      <c r="T1546" s="902"/>
      <c r="U1546" s="901"/>
      <c r="V1546" s="901"/>
      <c r="W1546" s="901"/>
      <c r="X1546" s="905"/>
      <c r="Y1546" s="902"/>
      <c r="Z1546" s="901"/>
      <c r="AA1546" s="901"/>
      <c r="AB1546" s="901"/>
      <c r="AC1546" s="905"/>
      <c r="AD1546" s="902"/>
      <c r="AE1546" s="901"/>
      <c r="AF1546" s="901"/>
      <c r="AG1546" s="901"/>
      <c r="AH1546" s="905"/>
      <c r="AI1546" s="902"/>
      <c r="AJ1546" s="901"/>
      <c r="AK1546" s="901"/>
      <c r="AL1546" s="901"/>
      <c r="AM1546" s="905"/>
      <c r="AN1546" s="902"/>
      <c r="AO1546" s="901"/>
      <c r="AP1546" s="901"/>
      <c r="AQ1546" s="3658"/>
      <c r="AR1546" s="905"/>
      <c r="AS1546" s="902"/>
      <c r="AT1546" s="901"/>
      <c r="AU1546" s="901"/>
      <c r="AV1546" s="901"/>
      <c r="AW1546" s="905"/>
      <c r="AX1546" s="902"/>
      <c r="AY1546" s="901"/>
      <c r="AZ1546" s="901"/>
      <c r="BA1546" s="901"/>
      <c r="BB1546" s="905"/>
      <c r="BC1546" s="902"/>
      <c r="BD1546" s="901"/>
      <c r="BE1546" s="901"/>
      <c r="BF1546" s="901"/>
      <c r="BG1546" s="905"/>
      <c r="BH1546" s="902"/>
      <c r="BI1546" s="901"/>
      <c r="BJ1546" s="901"/>
      <c r="BK1546" s="901"/>
      <c r="BL1546" s="905"/>
      <c r="BM1546" s="901"/>
      <c r="BN1546" s="901"/>
      <c r="BO1546" s="901"/>
      <c r="BP1546" s="901"/>
      <c r="BQ1546" s="905"/>
      <c r="BR1546" s="901"/>
      <c r="BS1546" s="901"/>
      <c r="BT1546" s="901"/>
      <c r="BU1546" s="901"/>
      <c r="BV1546" s="905"/>
      <c r="BW1546" s="3652"/>
      <c r="BX1546" s="901"/>
      <c r="BY1546" s="901"/>
      <c r="BZ1546" s="901"/>
      <c r="CA1546" s="905"/>
      <c r="CB1546" s="901"/>
      <c r="CC1546" s="901"/>
      <c r="CD1546" s="901"/>
      <c r="CE1546" s="901"/>
      <c r="CF1546" s="905"/>
      <c r="CG1546" s="901"/>
      <c r="CH1546" s="901"/>
      <c r="CI1546" s="901"/>
      <c r="CJ1546" s="901"/>
      <c r="CK1546" s="905"/>
      <c r="CL1546" s="1016"/>
      <c r="CM1546" s="901"/>
      <c r="CN1546" s="901"/>
      <c r="CO1546" s="901"/>
      <c r="CP1546" s="905"/>
      <c r="CQ1546" s="901"/>
      <c r="CR1546" s="901"/>
      <c r="CS1546" s="901"/>
      <c r="CT1546" s="1017"/>
      <c r="CU1546" s="905"/>
      <c r="CV1546" s="901"/>
      <c r="CW1546" s="901"/>
      <c r="CX1546" s="901"/>
      <c r="CY1546" s="1017"/>
      <c r="CZ1546" s="905"/>
      <c r="DA1546" s="1016"/>
      <c r="DB1546" s="901"/>
      <c r="DC1546" s="901"/>
      <c r="DD1546" s="1017"/>
      <c r="DE1546" s="905"/>
      <c r="DF1546" s="901"/>
      <c r="DG1546" s="901"/>
      <c r="DH1546" s="901"/>
      <c r="DI1546" s="1017"/>
      <c r="DJ1546" s="905"/>
      <c r="DK1546" s="901"/>
      <c r="DL1546" s="901"/>
      <c r="DM1546" s="901"/>
      <c r="DN1546" s="3677"/>
      <c r="DO1546" s="3672"/>
      <c r="DP1546" s="3674"/>
      <c r="DQ1546" s="3674"/>
      <c r="DR1546" s="3674"/>
      <c r="DS1546" s="3677"/>
      <c r="DT1546" s="3672"/>
      <c r="DU1546" s="3674"/>
      <c r="DV1546" s="3674"/>
      <c r="DW1546" s="3674"/>
      <c r="DX1546" s="3677"/>
      <c r="DY1546" s="3672"/>
      <c r="DZ1546" s="3674"/>
      <c r="EA1546" s="3674"/>
      <c r="EB1546" s="3674"/>
      <c r="EC1546" s="3677"/>
      <c r="ED1546" s="3672"/>
      <c r="EE1546" s="3673"/>
      <c r="EF1546" s="3674"/>
      <c r="EG1546" s="3184"/>
      <c r="EH1546" s="3677"/>
      <c r="EI1546" s="3673"/>
      <c r="EJ1546" s="3672"/>
      <c r="EK1546" s="3672"/>
      <c r="EL1546" s="3672"/>
      <c r="EM1546" s="3672"/>
      <c r="EN1546" s="3672"/>
      <c r="EO1546" s="3677"/>
      <c r="EP1546" s="3677"/>
      <c r="EQ1546" s="3677"/>
      <c r="ER1546" s="3677"/>
      <c r="ES1546" s="3672"/>
      <c r="ET1546" s="3677"/>
      <c r="EU1546" s="3677"/>
      <c r="EV1546" s="1017"/>
      <c r="EW1546" s="1017"/>
      <c r="EX1546" s="1369"/>
    </row>
    <row r="1547" spans="1:154" s="1515" customFormat="1" outlineLevel="1">
      <c r="A1547" s="3275"/>
      <c r="B1547" s="3666" t="s">
        <v>811</v>
      </c>
      <c r="C1547" s="2026"/>
      <c r="D1547" s="900"/>
      <c r="E1547" s="900"/>
      <c r="F1547" s="901"/>
      <c r="G1547" s="901"/>
      <c r="H1547" s="901"/>
      <c r="I1547" s="901"/>
      <c r="J1547" s="901"/>
      <c r="K1547" s="901"/>
      <c r="L1547" s="901"/>
      <c r="M1547" s="901"/>
      <c r="N1547" s="901"/>
      <c r="O1547" s="902"/>
      <c r="P1547" s="901"/>
      <c r="Q1547" s="901"/>
      <c r="R1547" s="901"/>
      <c r="S1547" s="901"/>
      <c r="T1547" s="902"/>
      <c r="U1547" s="901"/>
      <c r="V1547" s="901"/>
      <c r="W1547" s="901"/>
      <c r="X1547" s="905"/>
      <c r="Y1547" s="902"/>
      <c r="Z1547" s="901"/>
      <c r="AA1547" s="901"/>
      <c r="AB1547" s="901"/>
      <c r="AC1547" s="905"/>
      <c r="AD1547" s="902"/>
      <c r="AE1547" s="901"/>
      <c r="AF1547" s="901"/>
      <c r="AG1547" s="901"/>
      <c r="AH1547" s="905"/>
      <c r="AI1547" s="902"/>
      <c r="AJ1547" s="901"/>
      <c r="AK1547" s="901"/>
      <c r="AL1547" s="901"/>
      <c r="AM1547" s="905"/>
      <c r="AN1547" s="902"/>
      <c r="AO1547" s="901"/>
      <c r="AP1547" s="901"/>
      <c r="AQ1547" s="3658"/>
      <c r="AR1547" s="905"/>
      <c r="AS1547" s="902"/>
      <c r="AT1547" s="901"/>
      <c r="AU1547" s="901"/>
      <c r="AV1547" s="901"/>
      <c r="AW1547" s="905"/>
      <c r="AX1547" s="902"/>
      <c r="AY1547" s="901"/>
      <c r="AZ1547" s="901"/>
      <c r="BA1547" s="901"/>
      <c r="BB1547" s="905"/>
      <c r="BC1547" s="902"/>
      <c r="BD1547" s="901"/>
      <c r="BE1547" s="901"/>
      <c r="BF1547" s="901"/>
      <c r="BG1547" s="905"/>
      <c r="BH1547" s="902"/>
      <c r="BI1547" s="901"/>
      <c r="BJ1547" s="901"/>
      <c r="BK1547" s="901"/>
      <c r="BL1547" s="905"/>
      <c r="BM1547" s="901"/>
      <c r="BN1547" s="901"/>
      <c r="BO1547" s="901"/>
      <c r="BP1547" s="901"/>
      <c r="BQ1547" s="905"/>
      <c r="BR1547" s="901"/>
      <c r="BS1547" s="901"/>
      <c r="BT1547" s="901"/>
      <c r="BU1547" s="901"/>
      <c r="BV1547" s="905"/>
      <c r="BW1547" s="3652"/>
      <c r="BX1547" s="901"/>
      <c r="BY1547" s="901"/>
      <c r="BZ1547" s="901"/>
      <c r="CA1547" s="905"/>
      <c r="CB1547" s="901"/>
      <c r="CC1547" s="901"/>
      <c r="CD1547" s="901"/>
      <c r="CE1547" s="901"/>
      <c r="CF1547" s="905"/>
      <c r="CG1547" s="901"/>
      <c r="CH1547" s="901"/>
      <c r="CI1547" s="901"/>
      <c r="CJ1547" s="901"/>
      <c r="CK1547" s="905"/>
      <c r="CL1547" s="1016"/>
      <c r="CM1547" s="901"/>
      <c r="CN1547" s="901"/>
      <c r="CO1547" s="901"/>
      <c r="CP1547" s="905"/>
      <c r="CQ1547" s="901"/>
      <c r="CR1547" s="901"/>
      <c r="CS1547" s="901"/>
      <c r="CT1547" s="1017"/>
      <c r="CU1547" s="905"/>
      <c r="CV1547" s="901"/>
      <c r="CW1547" s="901"/>
      <c r="CX1547" s="901"/>
      <c r="CY1547" s="1017"/>
      <c r="CZ1547" s="905"/>
      <c r="DA1547" s="1016"/>
      <c r="DB1547" s="901"/>
      <c r="DC1547" s="901"/>
      <c r="DD1547" s="1017"/>
      <c r="DE1547" s="905"/>
      <c r="DF1547" s="901"/>
      <c r="DG1547" s="901"/>
      <c r="DH1547" s="901"/>
      <c r="DI1547" s="1017"/>
      <c r="DJ1547" s="905"/>
      <c r="DK1547" s="901"/>
      <c r="DL1547" s="901"/>
      <c r="DM1547" s="901"/>
      <c r="DN1547" s="3677"/>
      <c r="DO1547" s="3672"/>
      <c r="DP1547" s="3674"/>
      <c r="DQ1547" s="3674"/>
      <c r="DR1547" s="3674"/>
      <c r="DS1547" s="3677"/>
      <c r="DT1547" s="3672"/>
      <c r="DU1547" s="3674"/>
      <c r="DV1547" s="3674"/>
      <c r="DW1547" s="3674"/>
      <c r="DX1547" s="3677"/>
      <c r="DY1547" s="3672"/>
      <c r="DZ1547" s="3674"/>
      <c r="EA1547" s="3674"/>
      <c r="EB1547" s="3674"/>
      <c r="EC1547" s="3677"/>
      <c r="ED1547" s="3672"/>
      <c r="EE1547" s="3673"/>
      <c r="EF1547" s="3674"/>
      <c r="EG1547" s="3674"/>
      <c r="EH1547" s="3677"/>
      <c r="EI1547" s="3673"/>
      <c r="EJ1547" s="3672"/>
      <c r="EK1547" s="3672"/>
      <c r="EL1547" s="3672"/>
      <c r="EM1547" s="3672"/>
      <c r="EN1547" s="3672"/>
      <c r="EO1547" s="3677"/>
      <c r="EP1547" s="3677"/>
      <c r="EQ1547" s="3677"/>
      <c r="ER1547" s="3677"/>
      <c r="ES1547" s="3672"/>
      <c r="ET1547" s="3677"/>
      <c r="EU1547" s="3677"/>
      <c r="EV1547" s="1017"/>
      <c r="EW1547" s="1017"/>
      <c r="EX1547" s="1369"/>
    </row>
    <row r="1548" spans="1:154" s="1515" customFormat="1" outlineLevel="1">
      <c r="A1548" s="3275"/>
      <c r="B1548" s="3666" t="s">
        <v>153</v>
      </c>
      <c r="C1548" s="2026"/>
      <c r="D1548" s="900"/>
      <c r="E1548" s="900"/>
      <c r="F1548" s="901"/>
      <c r="G1548" s="901"/>
      <c r="H1548" s="901"/>
      <c r="I1548" s="901"/>
      <c r="J1548" s="901"/>
      <c r="K1548" s="901"/>
      <c r="L1548" s="901"/>
      <c r="M1548" s="901"/>
      <c r="N1548" s="901"/>
      <c r="O1548" s="902"/>
      <c r="P1548" s="901"/>
      <c r="Q1548" s="901"/>
      <c r="R1548" s="901"/>
      <c r="S1548" s="901"/>
      <c r="T1548" s="902"/>
      <c r="U1548" s="901"/>
      <c r="V1548" s="901"/>
      <c r="W1548" s="901"/>
      <c r="X1548" s="905"/>
      <c r="Y1548" s="902"/>
      <c r="Z1548" s="901"/>
      <c r="AA1548" s="901"/>
      <c r="AB1548" s="901"/>
      <c r="AC1548" s="905"/>
      <c r="AD1548" s="902"/>
      <c r="AE1548" s="901"/>
      <c r="AF1548" s="901"/>
      <c r="AG1548" s="901"/>
      <c r="AH1548" s="905"/>
      <c r="AI1548" s="902"/>
      <c r="AJ1548" s="901"/>
      <c r="AK1548" s="901"/>
      <c r="AL1548" s="901"/>
      <c r="AM1548" s="905"/>
      <c r="AN1548" s="902"/>
      <c r="AO1548" s="901"/>
      <c r="AP1548" s="901"/>
      <c r="AQ1548" s="3658"/>
      <c r="AR1548" s="905"/>
      <c r="AS1548" s="902"/>
      <c r="AT1548" s="901"/>
      <c r="AU1548" s="901"/>
      <c r="AV1548" s="901"/>
      <c r="AW1548" s="905"/>
      <c r="AX1548" s="902"/>
      <c r="AY1548" s="901"/>
      <c r="AZ1548" s="901"/>
      <c r="BA1548" s="901"/>
      <c r="BB1548" s="905"/>
      <c r="BC1548" s="902"/>
      <c r="BD1548" s="901"/>
      <c r="BE1548" s="901"/>
      <c r="BF1548" s="901"/>
      <c r="BG1548" s="905"/>
      <c r="BH1548" s="902"/>
      <c r="BI1548" s="901"/>
      <c r="BJ1548" s="901"/>
      <c r="BK1548" s="901"/>
      <c r="BL1548" s="905"/>
      <c r="BM1548" s="901"/>
      <c r="BN1548" s="901"/>
      <c r="BO1548" s="901"/>
      <c r="BP1548" s="901"/>
      <c r="BQ1548" s="905"/>
      <c r="BR1548" s="901"/>
      <c r="BS1548" s="901"/>
      <c r="BT1548" s="901"/>
      <c r="BU1548" s="901"/>
      <c r="BV1548" s="905"/>
      <c r="BW1548" s="3652"/>
      <c r="BX1548" s="901"/>
      <c r="BY1548" s="901"/>
      <c r="BZ1548" s="901"/>
      <c r="CA1548" s="905"/>
      <c r="CB1548" s="901"/>
      <c r="CC1548" s="901"/>
      <c r="CD1548" s="901"/>
      <c r="CE1548" s="901"/>
      <c r="CF1548" s="905"/>
      <c r="CG1548" s="901"/>
      <c r="CH1548" s="901"/>
      <c r="CI1548" s="901"/>
      <c r="CJ1548" s="901"/>
      <c r="CK1548" s="905"/>
      <c r="CL1548" s="1016"/>
      <c r="CM1548" s="901"/>
      <c r="CN1548" s="901"/>
      <c r="CO1548" s="901"/>
      <c r="CP1548" s="905"/>
      <c r="CQ1548" s="901"/>
      <c r="CR1548" s="901"/>
      <c r="CS1548" s="901"/>
      <c r="CT1548" s="1017"/>
      <c r="CU1548" s="905"/>
      <c r="CV1548" s="901"/>
      <c r="CW1548" s="901"/>
      <c r="CX1548" s="901"/>
      <c r="CY1548" s="1017"/>
      <c r="CZ1548" s="905"/>
      <c r="DA1548" s="1016"/>
      <c r="DB1548" s="901"/>
      <c r="DC1548" s="901"/>
      <c r="DD1548" s="1017"/>
      <c r="DE1548" s="905"/>
      <c r="DF1548" s="901"/>
      <c r="DG1548" s="901"/>
      <c r="DH1548" s="901"/>
      <c r="DI1548" s="1017"/>
      <c r="DJ1548" s="905"/>
      <c r="DK1548" s="901"/>
      <c r="DL1548" s="901"/>
      <c r="DM1548" s="901"/>
      <c r="DN1548" s="3677"/>
      <c r="DO1548" s="3672"/>
      <c r="DP1548" s="3674"/>
      <c r="DQ1548" s="3674"/>
      <c r="DR1548" s="3674"/>
      <c r="DS1548" s="3677"/>
      <c r="DT1548" s="3672"/>
      <c r="DU1548" s="3674"/>
      <c r="DV1548" s="3674"/>
      <c r="DW1548" s="3674"/>
      <c r="DX1548" s="3677"/>
      <c r="DY1548" s="3672"/>
      <c r="DZ1548" s="3674"/>
      <c r="EA1548" s="3674"/>
      <c r="EB1548" s="3674"/>
      <c r="EC1548" s="3677"/>
      <c r="ED1548" s="3672"/>
      <c r="EE1548" s="3673">
        <f>EE1528+EE1538</f>
      </c>
      <c r="EF1548" s="3674">
        <f>EF1528+EF1538</f>
      </c>
      <c r="EG1548" s="3674">
        <f>EG1528+EG1538</f>
      </c>
      <c r="EH1548" s="3677">
        <f>EH1528+EH1538</f>
      </c>
      <c r="EI1548" s="3673">
        <f>EI1528+EI1538</f>
      </c>
      <c r="EJ1548" s="3672">
        <f t="shared" ref="EJ1548:EU1548" si="2979">EJ1528+EJ1538</f>
      </c>
      <c r="EK1548" s="3672">
        <f t="shared" si="2979"/>
      </c>
      <c r="EL1548" s="3672">
        <f t="shared" si="2979"/>
      </c>
      <c r="EM1548" s="3672">
        <f t="shared" si="2979"/>
      </c>
      <c r="EN1548" s="3672">
        <f t="shared" si="2979"/>
      </c>
      <c r="EO1548" s="3677">
        <f t="shared" si="2979"/>
      </c>
      <c r="EP1548" s="3677">
        <f t="shared" si="2979"/>
      </c>
      <c r="EQ1548" s="3677">
        <f t="shared" si="2979"/>
      </c>
      <c r="ER1548" s="3672">
        <f t="shared" si="2979"/>
      </c>
      <c r="ES1548" s="3672">
        <f t="shared" si="2979"/>
      </c>
      <c r="ET1548" s="3672">
        <f t="shared" si="2979"/>
      </c>
      <c r="EU1548" s="3672">
        <f t="shared" si="2979"/>
      </c>
      <c r="EV1548" s="1017"/>
      <c r="EW1548" s="1017"/>
      <c r="EX1548" s="1369"/>
    </row>
    <row r="1549" spans="1:154" s="1515" customFormat="1" outlineLevel="1">
      <c r="A1549" s="3275"/>
      <c r="B1549" s="3666" t="s">
        <v>235</v>
      </c>
      <c r="C1549" s="2026"/>
      <c r="D1549" s="900"/>
      <c r="E1549" s="900"/>
      <c r="F1549" s="901"/>
      <c r="G1549" s="901"/>
      <c r="H1549" s="901"/>
      <c r="I1549" s="901"/>
      <c r="J1549" s="901"/>
      <c r="K1549" s="901"/>
      <c r="L1549" s="901"/>
      <c r="M1549" s="901"/>
      <c r="N1549" s="901"/>
      <c r="O1549" s="902"/>
      <c r="P1549" s="901"/>
      <c r="Q1549" s="901"/>
      <c r="R1549" s="901"/>
      <c r="S1549" s="901"/>
      <c r="T1549" s="902"/>
      <c r="U1549" s="901"/>
      <c r="V1549" s="901"/>
      <c r="W1549" s="901"/>
      <c r="X1549" s="905"/>
      <c r="Y1549" s="902"/>
      <c r="Z1549" s="901"/>
      <c r="AA1549" s="901"/>
      <c r="AB1549" s="901"/>
      <c r="AC1549" s="905"/>
      <c r="AD1549" s="902"/>
      <c r="AE1549" s="901"/>
      <c r="AF1549" s="901"/>
      <c r="AG1549" s="901"/>
      <c r="AH1549" s="905"/>
      <c r="AI1549" s="902"/>
      <c r="AJ1549" s="901"/>
      <c r="AK1549" s="901"/>
      <c r="AL1549" s="901"/>
      <c r="AM1549" s="905"/>
      <c r="AN1549" s="902"/>
      <c r="AO1549" s="901"/>
      <c r="AP1549" s="901"/>
      <c r="AQ1549" s="3658"/>
      <c r="AR1549" s="905"/>
      <c r="AS1549" s="902"/>
      <c r="AT1549" s="901"/>
      <c r="AU1549" s="901"/>
      <c r="AV1549" s="901"/>
      <c r="AW1549" s="905"/>
      <c r="AX1549" s="902"/>
      <c r="AY1549" s="901"/>
      <c r="AZ1549" s="901"/>
      <c r="BA1549" s="901"/>
      <c r="BB1549" s="905"/>
      <c r="BC1549" s="902"/>
      <c r="BD1549" s="901"/>
      <c r="BE1549" s="901"/>
      <c r="BF1549" s="901"/>
      <c r="BG1549" s="905"/>
      <c r="BH1549" s="902"/>
      <c r="BI1549" s="901"/>
      <c r="BJ1549" s="901"/>
      <c r="BK1549" s="901"/>
      <c r="BL1549" s="905"/>
      <c r="BM1549" s="901"/>
      <c r="BN1549" s="901"/>
      <c r="BO1549" s="901"/>
      <c r="BP1549" s="901"/>
      <c r="BQ1549" s="905"/>
      <c r="BR1549" s="901"/>
      <c r="BS1549" s="901"/>
      <c r="BT1549" s="901"/>
      <c r="BU1549" s="901"/>
      <c r="BV1549" s="905"/>
      <c r="BW1549" s="3652"/>
      <c r="BX1549" s="901"/>
      <c r="BY1549" s="901"/>
      <c r="BZ1549" s="901"/>
      <c r="CA1549" s="905"/>
      <c r="CB1549" s="901"/>
      <c r="CC1549" s="901"/>
      <c r="CD1549" s="901"/>
      <c r="CE1549" s="901"/>
      <c r="CF1549" s="905"/>
      <c r="CG1549" s="901"/>
      <c r="CH1549" s="901"/>
      <c r="CI1549" s="901"/>
      <c r="CJ1549" s="901"/>
      <c r="CK1549" s="905"/>
      <c r="CL1549" s="1016"/>
      <c r="CM1549" s="901"/>
      <c r="CN1549" s="901"/>
      <c r="CO1549" s="901"/>
      <c r="CP1549" s="905"/>
      <c r="CQ1549" s="901"/>
      <c r="CR1549" s="901"/>
      <c r="CS1549" s="901"/>
      <c r="CT1549" s="1017"/>
      <c r="CU1549" s="905"/>
      <c r="CV1549" s="901"/>
      <c r="CW1549" s="901"/>
      <c r="CX1549" s="901"/>
      <c r="CY1549" s="1017"/>
      <c r="CZ1549" s="905"/>
      <c r="DA1549" s="1016"/>
      <c r="DB1549" s="901"/>
      <c r="DC1549" s="901"/>
      <c r="DD1549" s="1017"/>
      <c r="DE1549" s="905"/>
      <c r="DF1549" s="901"/>
      <c r="DG1549" s="901"/>
      <c r="DH1549" s="901"/>
      <c r="DI1549" s="1017"/>
      <c r="DJ1549" s="905"/>
      <c r="DK1549" s="901"/>
      <c r="DL1549" s="901"/>
      <c r="DM1549" s="901"/>
      <c r="DN1549" s="3677"/>
      <c r="DO1549" s="3672"/>
      <c r="DP1549" s="3674"/>
      <c r="DQ1549" s="3674"/>
      <c r="DR1549" s="3674"/>
      <c r="DS1549" s="3677"/>
      <c r="DT1549" s="3672"/>
      <c r="DU1549" s="3674"/>
      <c r="DV1549" s="3674"/>
      <c r="DW1549" s="3674"/>
      <c r="DX1549" s="3677"/>
      <c r="DY1549" s="3672"/>
      <c r="DZ1549" s="3674"/>
      <c r="EA1549" s="3674"/>
      <c r="EB1549" s="3674"/>
      <c r="EC1549" s="3677"/>
      <c r="ED1549" s="3672"/>
      <c r="EE1549" s="3673">
        <f t="shared" ref="EE1549:EH1550" si="2980">EE1529+EE1539</f>
      </c>
      <c r="EF1549" s="3674">
        <f t="shared" si="2980"/>
      </c>
      <c r="EG1549" s="3674">
        <f t="shared" si="2980"/>
      </c>
      <c r="EH1549" s="3677">
        <f t="shared" si="2980"/>
      </c>
      <c r="EI1549" s="3673">
        <f t="shared" ref="EI1549:EU1549" si="2981">EI1529+EI1539</f>
      </c>
      <c r="EJ1549" s="3672">
        <f t="shared" si="2981"/>
      </c>
      <c r="EK1549" s="3672">
        <f t="shared" si="2981"/>
      </c>
      <c r="EL1549" s="3672">
        <f t="shared" si="2981"/>
      </c>
      <c r="EM1549" s="3672">
        <f t="shared" si="2981"/>
      </c>
      <c r="EN1549" s="3672">
        <f t="shared" si="2981"/>
      </c>
      <c r="EO1549" s="3677">
        <f t="shared" si="2981"/>
      </c>
      <c r="EP1549" s="3672">
        <f t="shared" si="2981"/>
      </c>
      <c r="EQ1549" s="3672">
        <f t="shared" si="2981"/>
      </c>
      <c r="ER1549" s="3672">
        <f t="shared" si="2981"/>
      </c>
      <c r="ES1549" s="3672">
        <f t="shared" si="2981"/>
      </c>
      <c r="ET1549" s="3672">
        <f t="shared" si="2981"/>
      </c>
      <c r="EU1549" s="3672">
        <f t="shared" si="2981"/>
      </c>
      <c r="EV1549" s="1017"/>
      <c r="EW1549" s="1017"/>
      <c r="EX1549" s="1369"/>
    </row>
    <row r="1550" spans="1:154" s="1515" customFormat="1" outlineLevel="1">
      <c r="A1550" s="3275" t="s">
        <v>796</v>
      </c>
      <c r="B1550" s="3666" t="s">
        <v>188</v>
      </c>
      <c r="C1550" s="2026" t="s">
        <v>838</v>
      </c>
      <c r="D1550" s="900"/>
      <c r="E1550" s="900"/>
      <c r="F1550" s="901"/>
      <c r="G1550" s="901"/>
      <c r="H1550" s="901"/>
      <c r="I1550" s="901"/>
      <c r="J1550" s="901"/>
      <c r="K1550" s="901"/>
      <c r="L1550" s="901"/>
      <c r="M1550" s="901"/>
      <c r="N1550" s="901"/>
      <c r="O1550" s="902"/>
      <c r="P1550" s="901"/>
      <c r="Q1550" s="901"/>
      <c r="R1550" s="901"/>
      <c r="S1550" s="901"/>
      <c r="T1550" s="902"/>
      <c r="U1550" s="901"/>
      <c r="V1550" s="901"/>
      <c r="W1550" s="901"/>
      <c r="X1550" s="905"/>
      <c r="Y1550" s="902"/>
      <c r="Z1550" s="901"/>
      <c r="AA1550" s="901"/>
      <c r="AB1550" s="901"/>
      <c r="AC1550" s="905"/>
      <c r="AD1550" s="902"/>
      <c r="AE1550" s="901"/>
      <c r="AF1550" s="901"/>
      <c r="AG1550" s="901"/>
      <c r="AH1550" s="905"/>
      <c r="AI1550" s="902"/>
      <c r="AJ1550" s="901"/>
      <c r="AK1550" s="901"/>
      <c r="AL1550" s="901"/>
      <c r="AM1550" s="905"/>
      <c r="AN1550" s="902"/>
      <c r="AO1550" s="901"/>
      <c r="AP1550" s="901"/>
      <c r="AQ1550" s="3658"/>
      <c r="AR1550" s="905"/>
      <c r="AS1550" s="902"/>
      <c r="AT1550" s="901"/>
      <c r="AU1550" s="901"/>
      <c r="AV1550" s="901"/>
      <c r="AW1550" s="905"/>
      <c r="AX1550" s="902"/>
      <c r="AY1550" s="901"/>
      <c r="AZ1550" s="901"/>
      <c r="BA1550" s="901"/>
      <c r="BB1550" s="905"/>
      <c r="BC1550" s="902"/>
      <c r="BD1550" s="901"/>
      <c r="BE1550" s="901"/>
      <c r="BF1550" s="901"/>
      <c r="BG1550" s="905"/>
      <c r="BH1550" s="902"/>
      <c r="BI1550" s="901"/>
      <c r="BJ1550" s="901"/>
      <c r="BK1550" s="901"/>
      <c r="BL1550" s="905"/>
      <c r="BM1550" s="901"/>
      <c r="BN1550" s="901"/>
      <c r="BO1550" s="901"/>
      <c r="BP1550" s="901"/>
      <c r="BQ1550" s="905"/>
      <c r="BR1550" s="901"/>
      <c r="BS1550" s="901"/>
      <c r="BT1550" s="901"/>
      <c r="BU1550" s="901"/>
      <c r="BV1550" s="905"/>
      <c r="BW1550" s="3652"/>
      <c r="BX1550" s="901"/>
      <c r="BY1550" s="901"/>
      <c r="BZ1550" s="901"/>
      <c r="CA1550" s="905"/>
      <c r="CB1550" s="901"/>
      <c r="CC1550" s="901"/>
      <c r="CD1550" s="901"/>
      <c r="CE1550" s="901"/>
      <c r="CF1550" s="905"/>
      <c r="CG1550" s="901"/>
      <c r="CH1550" s="901"/>
      <c r="CI1550" s="901"/>
      <c r="CJ1550" s="901"/>
      <c r="CK1550" s="905"/>
      <c r="CL1550" s="1016"/>
      <c r="CM1550" s="901"/>
      <c r="CN1550" s="901"/>
      <c r="CO1550" s="901"/>
      <c r="CP1550" s="905"/>
      <c r="CQ1550" s="901"/>
      <c r="CR1550" s="901"/>
      <c r="CS1550" s="901"/>
      <c r="CT1550" s="1017"/>
      <c r="CU1550" s="905"/>
      <c r="CV1550" s="901"/>
      <c r="CW1550" s="901"/>
      <c r="CX1550" s="901"/>
      <c r="CY1550" s="1017"/>
      <c r="CZ1550" s="905"/>
      <c r="DA1550" s="1016"/>
      <c r="DB1550" s="901"/>
      <c r="DC1550" s="901"/>
      <c r="DD1550" s="1017"/>
      <c r="DE1550" s="905"/>
      <c r="DF1550" s="901"/>
      <c r="DG1550" s="901"/>
      <c r="DH1550" s="901"/>
      <c r="DI1550" s="1017"/>
      <c r="DJ1550" s="905"/>
      <c r="DK1550" s="901"/>
      <c r="DL1550" s="901"/>
      <c r="DM1550" s="901"/>
      <c r="DN1550" s="3677"/>
      <c r="DO1550" s="3672"/>
      <c r="DP1550" s="3674"/>
      <c r="DQ1550" s="3674"/>
      <c r="DR1550" s="3674"/>
      <c r="DS1550" s="3677"/>
      <c r="DT1550" s="3672"/>
      <c r="DU1550" s="3674"/>
      <c r="DV1550" s="3674"/>
      <c r="DW1550" s="3674"/>
      <c r="DX1550" s="3677"/>
      <c r="DY1550" s="3672"/>
      <c r="DZ1550" s="3674"/>
      <c r="EA1550" s="3674"/>
      <c r="EB1550" s="3674"/>
      <c r="EC1550" s="3677"/>
      <c r="ED1550" s="3672"/>
      <c r="EE1550" s="3673">
        <f t="shared" si="2980"/>
      </c>
      <c r="EF1550" s="3674">
        <f t="shared" si="2980"/>
      </c>
      <c r="EG1550" s="3674">
        <f t="shared" si="2980"/>
      </c>
      <c r="EH1550" s="3677">
        <f t="shared" si="2980"/>
      </c>
      <c r="EI1550" s="3673">
        <f t="shared" ref="EI1550:EU1550" si="2982">EI1530+EI1540</f>
      </c>
      <c r="EJ1550" s="3672">
        <f t="shared" si="2982"/>
      </c>
      <c r="EK1550" s="3672">
        <f t="shared" si="2982"/>
      </c>
      <c r="EL1550" s="3672">
        <f t="shared" si="2982"/>
      </c>
      <c r="EM1550" s="3672">
        <f t="shared" si="2982"/>
      </c>
      <c r="EN1550" s="3672">
        <f t="shared" si="2982"/>
      </c>
      <c r="EO1550" s="3677">
        <f t="shared" si="2982"/>
      </c>
      <c r="EP1550" s="3672">
        <f t="shared" si="2982"/>
      </c>
      <c r="EQ1550" s="3672">
        <f t="shared" si="2982"/>
      </c>
      <c r="ER1550" s="3672">
        <f t="shared" si="2982"/>
      </c>
      <c r="ES1550" s="3672">
        <f t="shared" si="2982"/>
      </c>
      <c r="ET1550" s="3672">
        <f t="shared" si="2982"/>
      </c>
      <c r="EU1550" s="3672">
        <f t="shared" si="2982"/>
      </c>
      <c r="EV1550" s="1017"/>
      <c r="EW1550" s="1017"/>
      <c r="EX1550" s="1369"/>
    </row>
    <row r="1551" spans="1:154" s="1515" customFormat="1" outlineLevel="1">
      <c r="A1551" s="3275"/>
      <c r="B1551" s="3666"/>
      <c r="C1551" s="2026"/>
      <c r="D1551" s="900"/>
      <c r="E1551" s="900"/>
      <c r="F1551" s="901"/>
      <c r="G1551" s="901"/>
      <c r="H1551" s="901"/>
      <c r="I1551" s="901"/>
      <c r="J1551" s="901"/>
      <c r="K1551" s="901"/>
      <c r="L1551" s="901"/>
      <c r="M1551" s="901"/>
      <c r="N1551" s="901"/>
      <c r="O1551" s="902"/>
      <c r="P1551" s="901"/>
      <c r="Q1551" s="901"/>
      <c r="R1551" s="901"/>
      <c r="S1551" s="901"/>
      <c r="T1551" s="902"/>
      <c r="U1551" s="901"/>
      <c r="V1551" s="901"/>
      <c r="W1551" s="901"/>
      <c r="X1551" s="905"/>
      <c r="Y1551" s="902"/>
      <c r="Z1551" s="901"/>
      <c r="AA1551" s="901"/>
      <c r="AB1551" s="901"/>
      <c r="AC1551" s="905"/>
      <c r="AD1551" s="902"/>
      <c r="AE1551" s="901"/>
      <c r="AF1551" s="901"/>
      <c r="AG1551" s="901"/>
      <c r="AH1551" s="905"/>
      <c r="AI1551" s="902"/>
      <c r="AJ1551" s="901"/>
      <c r="AK1551" s="901"/>
      <c r="AL1551" s="901"/>
      <c r="AM1551" s="905"/>
      <c r="AN1551" s="902"/>
      <c r="AO1551" s="901"/>
      <c r="AP1551" s="901"/>
      <c r="AQ1551" s="3658"/>
      <c r="AR1551" s="905"/>
      <c r="AS1551" s="902"/>
      <c r="AT1551" s="901"/>
      <c r="AU1551" s="901"/>
      <c r="AV1551" s="901"/>
      <c r="AW1551" s="905"/>
      <c r="AX1551" s="902"/>
      <c r="AY1551" s="901"/>
      <c r="AZ1551" s="901"/>
      <c r="BA1551" s="901"/>
      <c r="BB1551" s="905"/>
      <c r="BC1551" s="902"/>
      <c r="BD1551" s="901"/>
      <c r="BE1551" s="901"/>
      <c r="BF1551" s="901"/>
      <c r="BG1551" s="905"/>
      <c r="BH1551" s="902"/>
      <c r="BI1551" s="901"/>
      <c r="BJ1551" s="901"/>
      <c r="BK1551" s="901"/>
      <c r="BL1551" s="905"/>
      <c r="BM1551" s="901"/>
      <c r="BN1551" s="901"/>
      <c r="BO1551" s="901"/>
      <c r="BP1551" s="901"/>
      <c r="BQ1551" s="905"/>
      <c r="BR1551" s="901"/>
      <c r="BS1551" s="901"/>
      <c r="BT1551" s="901"/>
      <c r="BU1551" s="901"/>
      <c r="BV1551" s="905"/>
      <c r="BW1551" s="3652"/>
      <c r="BX1551" s="901"/>
      <c r="BY1551" s="901"/>
      <c r="BZ1551" s="901"/>
      <c r="CA1551" s="905"/>
      <c r="CB1551" s="901"/>
      <c r="CC1551" s="901"/>
      <c r="CD1551" s="901"/>
      <c r="CE1551" s="901"/>
      <c r="CF1551" s="905"/>
      <c r="CG1551" s="901"/>
      <c r="CH1551" s="901"/>
      <c r="CI1551" s="901"/>
      <c r="CJ1551" s="901"/>
      <c r="CK1551" s="905"/>
      <c r="CL1551" s="1016"/>
      <c r="CM1551" s="901"/>
      <c r="CN1551" s="901"/>
      <c r="CO1551" s="901"/>
      <c r="CP1551" s="905"/>
      <c r="CQ1551" s="901"/>
      <c r="CR1551" s="901"/>
      <c r="CS1551" s="901"/>
      <c r="CT1551" s="1017"/>
      <c r="CU1551" s="905"/>
      <c r="CV1551" s="901"/>
      <c r="CW1551" s="901"/>
      <c r="CX1551" s="901"/>
      <c r="CY1551" s="1017"/>
      <c r="CZ1551" s="905"/>
      <c r="DA1551" s="1016"/>
      <c r="DB1551" s="901"/>
      <c r="DC1551" s="901"/>
      <c r="DD1551" s="1017"/>
      <c r="DE1551" s="905"/>
      <c r="DF1551" s="901"/>
      <c r="DG1551" s="901"/>
      <c r="DH1551" s="901"/>
      <c r="DI1551" s="1017"/>
      <c r="DJ1551" s="905"/>
      <c r="DK1551" s="901"/>
      <c r="DL1551" s="901"/>
      <c r="DM1551" s="901"/>
      <c r="DN1551" s="3677"/>
      <c r="DO1551" s="3672"/>
      <c r="DP1551" s="3674"/>
      <c r="DQ1551" s="3674"/>
      <c r="DR1551" s="3674"/>
      <c r="DS1551" s="3677"/>
      <c r="DT1551" s="3672"/>
      <c r="DU1551" s="3674"/>
      <c r="DV1551" s="3674"/>
      <c r="DW1551" s="3674"/>
      <c r="DX1551" s="3677"/>
      <c r="DY1551" s="3672"/>
      <c r="DZ1551" s="3674"/>
      <c r="EA1551" s="3674"/>
      <c r="EB1551" s="3674"/>
      <c r="EC1551" s="3677"/>
      <c r="ED1551" s="3672"/>
      <c r="EE1551" s="3673"/>
      <c r="EF1551" s="3674"/>
      <c r="EG1551" s="3674"/>
      <c r="EH1551" s="3677"/>
      <c r="EI1551" s="3673"/>
      <c r="EJ1551" s="3672"/>
      <c r="EK1551" s="3672"/>
      <c r="EL1551" s="3672"/>
      <c r="EM1551" s="3672"/>
      <c r="EN1551" s="3672"/>
      <c r="EO1551" s="3677"/>
      <c r="EP1551" s="3677"/>
      <c r="EQ1551" s="3677"/>
      <c r="ER1551" s="3677"/>
      <c r="ES1551" s="3672"/>
      <c r="ET1551" s="3677"/>
      <c r="EU1551" s="3677"/>
      <c r="EV1551" s="1017"/>
      <c r="EW1551" s="1017"/>
      <c r="EX1551" s="1369"/>
    </row>
    <row r="1552" spans="1:154" s="1515" customFormat="1" outlineLevel="1">
      <c r="A1552" s="3275"/>
      <c r="B1552" s="907"/>
      <c r="C1552" s="1392"/>
      <c r="D1552" s="894"/>
      <c r="E1552" s="894"/>
      <c r="F1552" s="895"/>
      <c r="G1552" s="895"/>
      <c r="H1552" s="895"/>
      <c r="I1552" s="895"/>
      <c r="J1552" s="895"/>
      <c r="K1552" s="895"/>
      <c r="L1552" s="895"/>
      <c r="M1552" s="895"/>
      <c r="N1552" s="895"/>
      <c r="O1552" s="896"/>
      <c r="P1552" s="895"/>
      <c r="Q1552" s="895"/>
      <c r="R1552" s="895"/>
      <c r="S1552" s="895"/>
      <c r="T1552" s="896"/>
      <c r="U1552" s="895"/>
      <c r="V1552" s="895"/>
      <c r="W1552" s="895"/>
      <c r="X1552" s="899"/>
      <c r="Y1552" s="896"/>
      <c r="Z1552" s="895"/>
      <c r="AA1552" s="895"/>
      <c r="AB1552" s="895"/>
      <c r="AC1552" s="899"/>
      <c r="AD1552" s="896"/>
      <c r="AE1552" s="895"/>
      <c r="AF1552" s="895"/>
      <c r="AG1552" s="895"/>
      <c r="AH1552" s="899"/>
      <c r="AI1552" s="896"/>
      <c r="AJ1552" s="895"/>
      <c r="AK1552" s="895"/>
      <c r="AL1552" s="895"/>
      <c r="AM1552" s="899"/>
      <c r="AN1552" s="896"/>
      <c r="AO1552" s="895"/>
      <c r="AP1552" s="895"/>
      <c r="AQ1552" s="2399"/>
      <c r="AR1552" s="899"/>
      <c r="AS1552" s="896"/>
      <c r="AT1552" s="895"/>
      <c r="AU1552" s="895"/>
      <c r="AV1552" s="895"/>
      <c r="AW1552" s="899"/>
      <c r="AX1552" s="896"/>
      <c r="AY1552" s="895"/>
      <c r="AZ1552" s="895"/>
      <c r="BA1552" s="895"/>
      <c r="BB1552" s="899"/>
      <c r="BC1552" s="896"/>
      <c r="BD1552" s="895"/>
      <c r="BE1552" s="895"/>
      <c r="BF1552" s="895"/>
      <c r="BG1552" s="899"/>
      <c r="BH1552" s="896"/>
      <c r="BI1552" s="895"/>
      <c r="BJ1552" s="895"/>
      <c r="BK1552" s="895"/>
      <c r="BL1552" s="899"/>
      <c r="BM1552" s="895"/>
      <c r="BN1552" s="895"/>
      <c r="BO1552" s="895"/>
      <c r="BP1552" s="895"/>
      <c r="BQ1552" s="899"/>
      <c r="BR1552" s="895"/>
      <c r="BS1552" s="895"/>
      <c r="BT1552" s="895"/>
      <c r="BU1552" s="895"/>
      <c r="BV1552" s="899"/>
      <c r="BW1552" s="908"/>
      <c r="BX1552" s="895"/>
      <c r="BY1552" s="895"/>
      <c r="BZ1552" s="895"/>
      <c r="CA1552" s="899"/>
      <c r="CB1552" s="895"/>
      <c r="CC1552" s="895"/>
      <c r="CD1552" s="895"/>
      <c r="CE1552" s="895"/>
      <c r="CF1552" s="899"/>
      <c r="CG1552" s="895"/>
      <c r="CH1552" s="895"/>
      <c r="CI1552" s="895"/>
      <c r="CJ1552" s="895"/>
      <c r="CK1552" s="899"/>
      <c r="CL1552" s="1015"/>
      <c r="CM1552" s="895"/>
      <c r="CN1552" s="895"/>
      <c r="CO1552" s="895"/>
      <c r="CP1552" s="899"/>
      <c r="CQ1552" s="895"/>
      <c r="CR1552" s="895"/>
      <c r="CS1552" s="895"/>
      <c r="CT1552" s="915"/>
      <c r="CU1552" s="899"/>
      <c r="CV1552" s="895"/>
      <c r="CW1552" s="895"/>
      <c r="CX1552" s="895"/>
      <c r="CY1552" s="915"/>
      <c r="CZ1552" s="899"/>
      <c r="DA1552" s="1015"/>
      <c r="DB1552" s="895"/>
      <c r="DC1552" s="895"/>
      <c r="DD1552" s="915"/>
      <c r="DE1552" s="899"/>
      <c r="DF1552" s="895"/>
      <c r="DG1552" s="895"/>
      <c r="DH1552" s="895"/>
      <c r="DI1552" s="915"/>
      <c r="DJ1552" s="899"/>
      <c r="DK1552" s="895"/>
      <c r="DL1552" s="895"/>
      <c r="DM1552" s="895"/>
      <c r="DN1552" s="2450"/>
      <c r="DO1552" s="2449"/>
      <c r="DP1552" s="2451"/>
      <c r="DQ1552" s="2451"/>
      <c r="DR1552" s="2451"/>
      <c r="DS1552" s="2450"/>
      <c r="DT1552" s="2449"/>
      <c r="DU1552" s="2451"/>
      <c r="DV1552" s="2451"/>
      <c r="DW1552" s="2451"/>
      <c r="DX1552" s="2450"/>
      <c r="DY1552" s="2449"/>
      <c r="DZ1552" s="2451"/>
      <c r="EA1552" s="2451"/>
      <c r="EB1552" s="2451"/>
      <c r="EC1552" s="2450"/>
      <c r="ED1552" s="2449"/>
      <c r="EE1552" s="2452"/>
      <c r="EF1552" s="2451"/>
      <c r="EG1552" s="2451"/>
      <c r="EH1552" s="2450"/>
      <c r="EI1552" s="2452"/>
      <c r="EJ1552" s="2449"/>
      <c r="EK1552" s="2449"/>
      <c r="EL1552" s="2449"/>
      <c r="EM1552" s="2449"/>
      <c r="EN1552" s="2449"/>
      <c r="EO1552" s="2450"/>
      <c r="EP1552" s="2450"/>
      <c r="EQ1552" s="2450"/>
      <c r="ER1552" s="2450"/>
      <c r="ES1552" s="2449"/>
      <c r="ET1552" s="2450"/>
      <c r="EU1552" s="2450"/>
      <c r="EV1552" s="915"/>
      <c r="EW1552" s="915"/>
      <c r="EX1552" s="1369"/>
    </row>
    <row r="1553" spans="1:154" s="1515" customFormat="1" outlineLevel="1">
      <c r="A1553" s="3275"/>
      <c r="B1553" s="3651" t="s">
        <v>1018</v>
      </c>
      <c r="C1553" s="2026"/>
      <c r="D1553" s="3679"/>
      <c r="E1553" s="3679"/>
      <c r="F1553" s="3680"/>
      <c r="G1553" s="3680"/>
      <c r="H1553" s="3680"/>
      <c r="I1553" s="3680"/>
      <c r="J1553" s="3680"/>
      <c r="K1553" s="3680"/>
      <c r="L1553" s="3680"/>
      <c r="M1553" s="3680"/>
      <c r="N1553" s="3680"/>
      <c r="O1553" s="3681"/>
      <c r="P1553" s="3680"/>
      <c r="Q1553" s="3680"/>
      <c r="R1553" s="3680"/>
      <c r="S1553" s="3680"/>
      <c r="T1553" s="3681"/>
      <c r="U1553" s="3680"/>
      <c r="V1553" s="3680"/>
      <c r="W1553" s="3680"/>
      <c r="X1553" s="3682"/>
      <c r="Y1553" s="3681"/>
      <c r="Z1553" s="3680"/>
      <c r="AA1553" s="3680"/>
      <c r="AB1553" s="3680"/>
      <c r="AC1553" s="3682"/>
      <c r="AD1553" s="3681"/>
      <c r="AE1553" s="3680"/>
      <c r="AF1553" s="3680"/>
      <c r="AG1553" s="3680"/>
      <c r="AH1553" s="3682"/>
      <c r="AI1553" s="3681"/>
      <c r="AJ1553" s="3680"/>
      <c r="AK1553" s="3680"/>
      <c r="AL1553" s="3680"/>
      <c r="AM1553" s="3682"/>
      <c r="AN1553" s="3681"/>
      <c r="AO1553" s="3680"/>
      <c r="AP1553" s="3680"/>
      <c r="AQ1553" s="3683"/>
      <c r="AR1553" s="3682"/>
      <c r="AS1553" s="3681"/>
      <c r="AT1553" s="3680"/>
      <c r="AU1553" s="3680"/>
      <c r="AV1553" s="3680"/>
      <c r="AW1553" s="3682"/>
      <c r="AX1553" s="3681"/>
      <c r="AY1553" s="3680"/>
      <c r="AZ1553" s="3680"/>
      <c r="BA1553" s="3680"/>
      <c r="BB1553" s="3682"/>
      <c r="BC1553" s="3681"/>
      <c r="BD1553" s="3680"/>
      <c r="BE1553" s="3680"/>
      <c r="BF1553" s="3680"/>
      <c r="BG1553" s="3682"/>
      <c r="BH1553" s="3681"/>
      <c r="BI1553" s="3680"/>
      <c r="BJ1553" s="3680"/>
      <c r="BK1553" s="3680"/>
      <c r="BL1553" s="3682"/>
      <c r="BM1553" s="3680"/>
      <c r="BN1553" s="3680"/>
      <c r="BO1553" s="3680"/>
      <c r="BP1553" s="3680"/>
      <c r="BQ1553" s="3682"/>
      <c r="BR1553" s="3680"/>
      <c r="BS1553" s="3680"/>
      <c r="BT1553" s="3680"/>
      <c r="BU1553" s="3680"/>
      <c r="BV1553" s="3682"/>
      <c r="BW1553" s="3684"/>
      <c r="BX1553" s="3680"/>
      <c r="BY1553" s="3680"/>
      <c r="BZ1553" s="3680"/>
      <c r="CA1553" s="3682"/>
      <c r="CB1553" s="3680"/>
      <c r="CC1553" s="3680"/>
      <c r="CD1553" s="3680"/>
      <c r="CE1553" s="3680"/>
      <c r="CF1553" s="3682"/>
      <c r="CG1553" s="3680"/>
      <c r="CH1553" s="3680"/>
      <c r="CI1553" s="3680"/>
      <c r="CJ1553" s="3680"/>
      <c r="CK1553" s="3682"/>
      <c r="CL1553" s="3685"/>
      <c r="CM1553" s="3680"/>
      <c r="CN1553" s="3680"/>
      <c r="CO1553" s="3680"/>
      <c r="CP1553" s="3682"/>
      <c r="CQ1553" s="3680"/>
      <c r="CR1553" s="3680"/>
      <c r="CS1553" s="3680"/>
      <c r="CT1553" s="3686"/>
      <c r="CU1553" s="3682"/>
      <c r="CV1553" s="3680"/>
      <c r="CW1553" s="3680"/>
      <c r="CX1553" s="3680"/>
      <c r="CY1553" s="3686"/>
      <c r="CZ1553" s="3682"/>
      <c r="DA1553" s="3685"/>
      <c r="DB1553" s="3680"/>
      <c r="DC1553" s="3680"/>
      <c r="DD1553" s="3686"/>
      <c r="DE1553" s="3682"/>
      <c r="DF1553" s="3680"/>
      <c r="DG1553" s="3680"/>
      <c r="DH1553" s="3680"/>
      <c r="DI1553" s="3686"/>
      <c r="DJ1553" s="3682"/>
      <c r="DK1553" s="3680"/>
      <c r="DL1553" s="3680"/>
      <c r="DM1553" s="3680"/>
      <c r="DN1553" s="3686"/>
      <c r="DO1553" s="3682"/>
      <c r="DP1553" s="3680"/>
      <c r="DQ1553" s="3680"/>
      <c r="DR1553" s="3680"/>
      <c r="DS1553" s="3686"/>
      <c r="DT1553" s="3682"/>
      <c r="DU1553" s="3680"/>
      <c r="DV1553" s="3680"/>
      <c r="DW1553" s="3680"/>
      <c r="DX1553" s="3686"/>
      <c r="DY1553" s="3682"/>
      <c r="DZ1553" s="3680"/>
      <c r="EA1553" s="3680"/>
      <c r="EB1553" s="3680"/>
      <c r="EC1553" s="3686"/>
      <c r="ED1553" s="3682"/>
      <c r="EE1553" s="3685"/>
      <c r="EF1553" s="3680"/>
      <c r="EG1553" s="3680"/>
      <c r="EH1553" s="3686"/>
      <c r="EI1553" s="3685"/>
      <c r="EJ1553" s="3682"/>
      <c r="EK1553" s="3682"/>
      <c r="EL1553" s="3682"/>
      <c r="EM1553" s="3682"/>
      <c r="EN1553" s="3682"/>
      <c r="EO1553" s="3686"/>
      <c r="EP1553" s="3686"/>
      <c r="EQ1553" s="3686"/>
      <c r="ER1553" s="3686"/>
      <c r="ES1553" s="3682"/>
      <c r="ET1553" s="3686"/>
      <c r="EU1553" s="3686"/>
      <c r="EV1553" s="3686"/>
      <c r="EW1553" s="3686"/>
      <c r="EX1553" s="1369"/>
    </row>
    <row r="1554" spans="1:154" s="3268" customFormat="1" outlineLevel="1">
      <c r="A1554" s="3402"/>
      <c r="B1554" s="3678" t="s">
        <v>1017</v>
      </c>
      <c r="C1554" s="2026"/>
      <c r="D1554" s="3679"/>
      <c r="E1554" s="3679"/>
      <c r="F1554" s="3680"/>
      <c r="G1554" s="3680"/>
      <c r="H1554" s="3680"/>
      <c r="I1554" s="3680"/>
      <c r="J1554" s="3680"/>
      <c r="K1554" s="3680"/>
      <c r="L1554" s="3680"/>
      <c r="M1554" s="3680"/>
      <c r="N1554" s="3680"/>
      <c r="O1554" s="3681"/>
      <c r="P1554" s="3680"/>
      <c r="Q1554" s="3680"/>
      <c r="R1554" s="3680"/>
      <c r="S1554" s="3680"/>
      <c r="T1554" s="3681"/>
      <c r="U1554" s="3680"/>
      <c r="V1554" s="3680"/>
      <c r="W1554" s="3680"/>
      <c r="X1554" s="3682"/>
      <c r="Y1554" s="3681"/>
      <c r="Z1554" s="3680"/>
      <c r="AA1554" s="3680"/>
      <c r="AB1554" s="3680"/>
      <c r="AC1554" s="3682"/>
      <c r="AD1554" s="3681"/>
      <c r="AE1554" s="3680"/>
      <c r="AF1554" s="3680"/>
      <c r="AG1554" s="3680"/>
      <c r="AH1554" s="3682"/>
      <c r="AI1554" s="3681"/>
      <c r="AJ1554" s="3680"/>
      <c r="AK1554" s="3680"/>
      <c r="AL1554" s="3680"/>
      <c r="AM1554" s="3682"/>
      <c r="AN1554" s="3681"/>
      <c r="AO1554" s="3680"/>
      <c r="AP1554" s="3680"/>
      <c r="AQ1554" s="3683"/>
      <c r="AR1554" s="3682"/>
      <c r="AS1554" s="3681"/>
      <c r="AT1554" s="3680"/>
      <c r="AU1554" s="3680"/>
      <c r="AV1554" s="3680"/>
      <c r="AW1554" s="3682"/>
      <c r="AX1554" s="3681"/>
      <c r="AY1554" s="3680"/>
      <c r="AZ1554" s="3680"/>
      <c r="BA1554" s="3680"/>
      <c r="BB1554" s="3682"/>
      <c r="BC1554" s="3681"/>
      <c r="BD1554" s="3680"/>
      <c r="BE1554" s="3680"/>
      <c r="BF1554" s="3680"/>
      <c r="BG1554" s="3682"/>
      <c r="BH1554" s="3681"/>
      <c r="BI1554" s="3680"/>
      <c r="BJ1554" s="3680"/>
      <c r="BK1554" s="3680"/>
      <c r="BL1554" s="3682"/>
      <c r="BM1554" s="3680"/>
      <c r="BN1554" s="3680"/>
      <c r="BO1554" s="3680"/>
      <c r="BP1554" s="3680"/>
      <c r="BQ1554" s="3682"/>
      <c r="BR1554" s="3680"/>
      <c r="BS1554" s="3680"/>
      <c r="BT1554" s="3680"/>
      <c r="BU1554" s="3680"/>
      <c r="BV1554" s="3682"/>
      <c r="BW1554" s="3684"/>
      <c r="BX1554" s="3680"/>
      <c r="BY1554" s="3680"/>
      <c r="BZ1554" s="3680"/>
      <c r="CA1554" s="3682"/>
      <c r="CB1554" s="3680"/>
      <c r="CC1554" s="3680"/>
      <c r="CD1554" s="3680"/>
      <c r="CE1554" s="3680"/>
      <c r="CF1554" s="3682"/>
      <c r="CG1554" s="3680"/>
      <c r="CH1554" s="3680"/>
      <c r="CI1554" s="3680"/>
      <c r="CJ1554" s="3680"/>
      <c r="CK1554" s="3682"/>
      <c r="CL1554" s="3685"/>
      <c r="CM1554" s="3680"/>
      <c r="CN1554" s="3680"/>
      <c r="CO1554" s="3680"/>
      <c r="CP1554" s="3682"/>
      <c r="CQ1554" s="3680"/>
      <c r="CR1554" s="3680"/>
      <c r="CS1554" s="3680"/>
      <c r="CT1554" s="3686"/>
      <c r="CU1554" s="3682"/>
      <c r="CV1554" s="3680"/>
      <c r="CW1554" s="3680"/>
      <c r="CX1554" s="3680"/>
      <c r="CY1554" s="3686"/>
      <c r="CZ1554" s="3682"/>
      <c r="DA1554" s="3685"/>
      <c r="DB1554" s="3680"/>
      <c r="DC1554" s="3680"/>
      <c r="DD1554" s="3686"/>
      <c r="DE1554" s="3682"/>
      <c r="DF1554" s="3680"/>
      <c r="DG1554" s="3680"/>
      <c r="DH1554" s="3680"/>
      <c r="DI1554" s="3686"/>
      <c r="DJ1554" s="3682"/>
      <c r="DK1554" s="3680"/>
      <c r="DL1554" s="3680"/>
      <c r="DM1554" s="3680"/>
      <c r="DN1554" s="3686"/>
      <c r="DO1554" s="3682"/>
      <c r="DP1554" s="3680"/>
      <c r="DQ1554" s="3680"/>
      <c r="DR1554" s="3680"/>
      <c r="DS1554" s="3686"/>
      <c r="DT1554" s="3682"/>
      <c r="DU1554" s="3680"/>
      <c r="DV1554" s="3680"/>
      <c r="DW1554" s="3680"/>
      <c r="DX1554" s="3686"/>
      <c r="DY1554" s="3682"/>
      <c r="DZ1554" s="3680"/>
      <c r="EA1554" s="3680"/>
      <c r="EB1554" s="3680"/>
      <c r="EC1554" s="3686"/>
      <c r="ED1554" s="3682"/>
      <c r="EE1554" s="3685"/>
      <c r="EF1554" s="3680"/>
      <c r="EG1554" s="3680"/>
      <c r="EH1554" s="3686"/>
      <c r="EI1554" s="3685"/>
      <c r="EJ1554" s="3682"/>
      <c r="EK1554" s="3682"/>
      <c r="EL1554" s="3682"/>
      <c r="EM1554" s="3682"/>
      <c r="EN1554" s="3682"/>
      <c r="EO1554" s="3686"/>
      <c r="EP1554" s="3686"/>
      <c r="EQ1554" s="3686"/>
      <c r="ER1554" s="3686"/>
      <c r="ES1554" s="3682"/>
      <c r="ET1554" s="3686"/>
      <c r="EU1554" s="3686"/>
      <c r="EV1554" s="3686"/>
      <c r="EW1554" s="3686"/>
      <c r="EX1554" s="3693"/>
    </row>
    <row r="1555" spans="1:154" s="3268" customFormat="1" outlineLevel="1">
      <c r="A1555" s="3402"/>
      <c r="B1555" s="3687" t="s">
        <v>153</v>
      </c>
      <c r="C1555" s="2026"/>
      <c r="D1555" s="3679"/>
      <c r="E1555" s="3679"/>
      <c r="F1555" s="3680"/>
      <c r="G1555" s="3680"/>
      <c r="H1555" s="3680"/>
      <c r="I1555" s="3680"/>
      <c r="J1555" s="3680"/>
      <c r="K1555" s="3680"/>
      <c r="L1555" s="3680"/>
      <c r="M1555" s="3680"/>
      <c r="N1555" s="3680"/>
      <c r="O1555" s="3681"/>
      <c r="P1555" s="3680"/>
      <c r="Q1555" s="3680"/>
      <c r="R1555" s="3680"/>
      <c r="S1555" s="3680"/>
      <c r="T1555" s="3681"/>
      <c r="U1555" s="3680"/>
      <c r="V1555" s="3680"/>
      <c r="W1555" s="3680"/>
      <c r="X1555" s="3682"/>
      <c r="Y1555" s="3681"/>
      <c r="Z1555" s="3680"/>
      <c r="AA1555" s="3680"/>
      <c r="AB1555" s="3680"/>
      <c r="AC1555" s="3682"/>
      <c r="AD1555" s="3681"/>
      <c r="AE1555" s="3680"/>
      <c r="AF1555" s="3680"/>
      <c r="AG1555" s="3680"/>
      <c r="AH1555" s="3682"/>
      <c r="AI1555" s="3681"/>
      <c r="AJ1555" s="3680"/>
      <c r="AK1555" s="3680"/>
      <c r="AL1555" s="3680"/>
      <c r="AM1555" s="3682"/>
      <c r="AN1555" s="3681"/>
      <c r="AO1555" s="3680"/>
      <c r="AP1555" s="3680"/>
      <c r="AQ1555" s="3683"/>
      <c r="AR1555" s="3682"/>
      <c r="AS1555" s="3681"/>
      <c r="AT1555" s="3680"/>
      <c r="AU1555" s="3680"/>
      <c r="AV1555" s="3680"/>
      <c r="AW1555" s="3682"/>
      <c r="AX1555" s="3681"/>
      <c r="AY1555" s="3680"/>
      <c r="AZ1555" s="3680"/>
      <c r="BA1555" s="3680"/>
      <c r="BB1555" s="3682"/>
      <c r="BC1555" s="3681"/>
      <c r="BD1555" s="3680"/>
      <c r="BE1555" s="3680"/>
      <c r="BF1555" s="3680"/>
      <c r="BG1555" s="3682"/>
      <c r="BH1555" s="3681"/>
      <c r="BI1555" s="3680"/>
      <c r="BJ1555" s="3680"/>
      <c r="BK1555" s="3680"/>
      <c r="BL1555" s="3682"/>
      <c r="BM1555" s="3680"/>
      <c r="BN1555" s="3680"/>
      <c r="BO1555" s="3680"/>
      <c r="BP1555" s="3680"/>
      <c r="BQ1555" s="3682"/>
      <c r="BR1555" s="3680"/>
      <c r="BS1555" s="3680"/>
      <c r="BT1555" s="3680"/>
      <c r="BU1555" s="3680"/>
      <c r="BV1555" s="3682"/>
      <c r="BW1555" s="3684"/>
      <c r="BX1555" s="3680"/>
      <c r="BY1555" s="3680"/>
      <c r="BZ1555" s="3680"/>
      <c r="CA1555" s="3682"/>
      <c r="CB1555" s="3680"/>
      <c r="CC1555" s="3680"/>
      <c r="CD1555" s="3680"/>
      <c r="CE1555" s="3680"/>
      <c r="CF1555" s="3682"/>
      <c r="CG1555" s="3680"/>
      <c r="CH1555" s="3680"/>
      <c r="CI1555" s="3680"/>
      <c r="CJ1555" s="3680"/>
      <c r="CK1555" s="3682"/>
      <c r="CL1555" s="3685"/>
      <c r="CM1555" s="3680"/>
      <c r="CN1555" s="3680"/>
      <c r="CO1555" s="3680"/>
      <c r="CP1555" s="3682"/>
      <c r="CQ1555" s="3680"/>
      <c r="CR1555" s="3680"/>
      <c r="CS1555" s="3680"/>
      <c r="CT1555" s="3686"/>
      <c r="CU1555" s="3682"/>
      <c r="CV1555" s="3680"/>
      <c r="CW1555" s="3680"/>
      <c r="CX1555" s="3680"/>
      <c r="CY1555" s="3686"/>
      <c r="CZ1555" s="3682"/>
      <c r="DA1555" s="3685"/>
      <c r="DB1555" s="3680"/>
      <c r="DC1555" s="3680"/>
      <c r="DD1555" s="3686"/>
      <c r="DE1555" s="3682"/>
      <c r="DF1555" s="3680"/>
      <c r="DG1555" s="3680"/>
      <c r="DH1555" s="3680"/>
      <c r="DI1555" s="3686"/>
      <c r="DJ1555" s="3682"/>
      <c r="DK1555" s="3680"/>
      <c r="DL1555" s="3680"/>
      <c r="DM1555" s="3680"/>
      <c r="DN1555" s="3686"/>
      <c r="DO1555" s="3682"/>
      <c r="DP1555" s="3680"/>
      <c r="DQ1555" s="3680"/>
      <c r="DR1555" s="3680"/>
      <c r="DS1555" s="3686">
        <v>3</v>
      </c>
      <c r="DT1555" s="3682">
        <f>SUM(DP1555:DS1555)</f>
      </c>
      <c r="DU1555" s="3684">
        <v>20</v>
      </c>
      <c r="DV1555" s="3684">
        <v>37</v>
      </c>
      <c r="DW1555" s="3684">
        <v>67</v>
      </c>
      <c r="DX1555" s="3688">
        <f>DY1555-SUM(DU1555:DW1555)</f>
      </c>
      <c r="DY1555" s="3689">
        <v>210</v>
      </c>
      <c r="DZ1555" s="3684">
        <v>95</v>
      </c>
      <c r="EA1555" s="3684">
        <v>115</v>
      </c>
      <c r="EB1555" s="3684">
        <v>125</v>
      </c>
      <c r="EC1555" s="3688">
        <f>ED1555-SUM(DZ1555:EB1555)</f>
      </c>
      <c r="ED1555" s="3690">
        <v>465.85285990094536</v>
      </c>
      <c r="EE1555" s="3684">
        <v>150</v>
      </c>
      <c r="EF1555" s="3684">
        <v>200</v>
      </c>
      <c r="EG1555" s="3684">
        <v>245</v>
      </c>
      <c r="EH1555" s="3688">
        <f>EI1555-SUM(EE1555:EG1555)</f>
      </c>
      <c r="EI1555" s="3691">
        <v>880.50027702126351</v>
      </c>
      <c r="EJ1555" s="3690">
        <v>1245.495791298549</v>
      </c>
      <c r="EK1555" s="3690">
        <v>1630.0546667478168</v>
      </c>
      <c r="EL1555" s="3690">
        <v>2071.9931124424197</v>
      </c>
      <c r="EM1555" s="3690">
        <v>2513.1819487654834</v>
      </c>
      <c r="EN1555" s="3690">
        <v>3006.0944414625465</v>
      </c>
      <c r="EO1555" s="3689">
        <f t="shared" ref="EO1555:ES1556" si="2983">+EN1555*1.05</f>
      </c>
      <c r="EP1555" s="3689">
        <f t="shared" si="2983"/>
      </c>
      <c r="EQ1555" s="3689">
        <f t="shared" si="2983"/>
      </c>
      <c r="ER1555" s="3689">
        <f t="shared" si="2983"/>
      </c>
      <c r="ES1555" s="3689">
        <f t="shared" si="2983"/>
      </c>
      <c r="ET1555" s="3682">
        <f t="shared" ref="ET1555:EW1556" si="2984">+ES1555*0.7</f>
      </c>
      <c r="EU1555" s="3686">
        <f t="shared" si="2984"/>
      </c>
      <c r="EV1555" s="3686">
        <f t="shared" si="2984"/>
      </c>
      <c r="EW1555" s="3686">
        <f t="shared" si="2984"/>
      </c>
      <c r="EX1555" s="3694"/>
    </row>
    <row r="1556" spans="1:154" s="3268" customFormat="1" outlineLevel="1">
      <c r="A1556" s="3402"/>
      <c r="B1556" s="3687" t="s">
        <v>235</v>
      </c>
      <c r="C1556" s="2026"/>
      <c r="D1556" s="3679"/>
      <c r="E1556" s="3679"/>
      <c r="F1556" s="3680"/>
      <c r="G1556" s="3680"/>
      <c r="H1556" s="3680"/>
      <c r="I1556" s="3680"/>
      <c r="J1556" s="3680"/>
      <c r="K1556" s="3680"/>
      <c r="L1556" s="3680"/>
      <c r="M1556" s="3680"/>
      <c r="N1556" s="3680"/>
      <c r="O1556" s="3681"/>
      <c r="P1556" s="3680"/>
      <c r="Q1556" s="3680"/>
      <c r="R1556" s="3680"/>
      <c r="S1556" s="3680"/>
      <c r="T1556" s="3681"/>
      <c r="U1556" s="3680"/>
      <c r="V1556" s="3680"/>
      <c r="W1556" s="3680"/>
      <c r="X1556" s="3682"/>
      <c r="Y1556" s="3681"/>
      <c r="Z1556" s="3680"/>
      <c r="AA1556" s="3680"/>
      <c r="AB1556" s="3680"/>
      <c r="AC1556" s="3682"/>
      <c r="AD1556" s="3681"/>
      <c r="AE1556" s="3680"/>
      <c r="AF1556" s="3680"/>
      <c r="AG1556" s="3680"/>
      <c r="AH1556" s="3682"/>
      <c r="AI1556" s="3681"/>
      <c r="AJ1556" s="3680"/>
      <c r="AK1556" s="3680"/>
      <c r="AL1556" s="3680"/>
      <c r="AM1556" s="3682"/>
      <c r="AN1556" s="3681"/>
      <c r="AO1556" s="3680"/>
      <c r="AP1556" s="3680"/>
      <c r="AQ1556" s="3683"/>
      <c r="AR1556" s="3682"/>
      <c r="AS1556" s="3681"/>
      <c r="AT1556" s="3680"/>
      <c r="AU1556" s="3680"/>
      <c r="AV1556" s="3680"/>
      <c r="AW1556" s="3682"/>
      <c r="AX1556" s="3681"/>
      <c r="AY1556" s="3680"/>
      <c r="AZ1556" s="3680"/>
      <c r="BA1556" s="3680"/>
      <c r="BB1556" s="3682"/>
      <c r="BC1556" s="3681"/>
      <c r="BD1556" s="3680"/>
      <c r="BE1556" s="3680"/>
      <c r="BF1556" s="3680"/>
      <c r="BG1556" s="3682"/>
      <c r="BH1556" s="3681"/>
      <c r="BI1556" s="3680"/>
      <c r="BJ1556" s="3680"/>
      <c r="BK1556" s="3680"/>
      <c r="BL1556" s="3682"/>
      <c r="BM1556" s="3680"/>
      <c r="BN1556" s="3680"/>
      <c r="BO1556" s="3680"/>
      <c r="BP1556" s="3680"/>
      <c r="BQ1556" s="3682"/>
      <c r="BR1556" s="3680"/>
      <c r="BS1556" s="3680"/>
      <c r="BT1556" s="3680"/>
      <c r="BU1556" s="3680"/>
      <c r="BV1556" s="3682"/>
      <c r="BW1556" s="3684"/>
      <c r="BX1556" s="3680"/>
      <c r="BY1556" s="3680"/>
      <c r="BZ1556" s="3680"/>
      <c r="CA1556" s="3682"/>
      <c r="CB1556" s="3680"/>
      <c r="CC1556" s="3680"/>
      <c r="CD1556" s="3680"/>
      <c r="CE1556" s="3680"/>
      <c r="CF1556" s="3682"/>
      <c r="CG1556" s="3680"/>
      <c r="CH1556" s="3680"/>
      <c r="CI1556" s="3680"/>
      <c r="CJ1556" s="3680"/>
      <c r="CK1556" s="3682"/>
      <c r="CL1556" s="3685"/>
      <c r="CM1556" s="3680"/>
      <c r="CN1556" s="3680"/>
      <c r="CO1556" s="3680"/>
      <c r="CP1556" s="3682"/>
      <c r="CQ1556" s="3680"/>
      <c r="CR1556" s="3680"/>
      <c r="CS1556" s="3680"/>
      <c r="CT1556" s="3686"/>
      <c r="CU1556" s="3682"/>
      <c r="CV1556" s="3680"/>
      <c r="CW1556" s="3680"/>
      <c r="CX1556" s="3680"/>
      <c r="CY1556" s="3686"/>
      <c r="CZ1556" s="3682"/>
      <c r="DA1556" s="3685"/>
      <c r="DB1556" s="3680"/>
      <c r="DC1556" s="3680"/>
      <c r="DD1556" s="3686"/>
      <c r="DE1556" s="3682"/>
      <c r="DF1556" s="3680"/>
      <c r="DG1556" s="3680"/>
      <c r="DH1556" s="3680"/>
      <c r="DI1556" s="3686"/>
      <c r="DJ1556" s="3682"/>
      <c r="DK1556" s="3680"/>
      <c r="DL1556" s="3680"/>
      <c r="DM1556" s="3680"/>
      <c r="DN1556" s="3686"/>
      <c r="DO1556" s="3682"/>
      <c r="DP1556" s="3680"/>
      <c r="DQ1556" s="3680"/>
      <c r="DR1556" s="3680"/>
      <c r="DS1556" s="3686"/>
      <c r="DT1556" s="3682">
        <f>SUM(DP1556:DS1556)</f>
      </c>
      <c r="DU1556" s="3684">
        <v>5</v>
      </c>
      <c r="DV1556" s="3684">
        <v>15</v>
      </c>
      <c r="DW1556" s="3684">
        <v>30</v>
      </c>
      <c r="DX1556" s="3688">
        <f>DY1556-SUM(DU1556:DW1556)</f>
      </c>
      <c r="DY1556" s="3689">
        <v>90</v>
      </c>
      <c r="DZ1556" s="3684">
        <v>35</v>
      </c>
      <c r="EA1556" s="3684">
        <v>45</v>
      </c>
      <c r="EB1556" s="3684">
        <v>55</v>
      </c>
      <c r="EC1556" s="3688">
        <f>ED1556-SUM(DZ1556:EB1556)</f>
      </c>
      <c r="ED1556" s="3690">
        <v>199.65122567183377</v>
      </c>
      <c r="EE1556" s="3684">
        <v>75</v>
      </c>
      <c r="EF1556" s="3684">
        <v>87.5</v>
      </c>
      <c r="EG1556" s="3684">
        <v>100</v>
      </c>
      <c r="EH1556" s="3688">
        <f>EI1556-SUM(EE1556:EG1556)</f>
      </c>
      <c r="EI1556" s="3691">
        <v>377.3572615805416</v>
      </c>
      <c r="EJ1556" s="3690">
        <v>533.78391055652105</v>
      </c>
      <c r="EK1556" s="3690">
        <v>698.59485717763596</v>
      </c>
      <c r="EL1556" s="3690">
        <v>887.99704818960856</v>
      </c>
      <c r="EM1556" s="3690">
        <v>1077.0779780423504</v>
      </c>
      <c r="EN1556" s="3690">
        <v>1288.3261891982345</v>
      </c>
      <c r="EO1556" s="3692">
        <f t="shared" si="2983"/>
      </c>
      <c r="EP1556" s="3692">
        <f t="shared" si="2983"/>
      </c>
      <c r="EQ1556" s="3692">
        <f t="shared" si="2983"/>
      </c>
      <c r="ER1556" s="3692">
        <f t="shared" si="2983"/>
      </c>
      <c r="ES1556" s="3689">
        <f t="shared" si="2983"/>
      </c>
      <c r="ET1556" s="3686">
        <f t="shared" si="2984"/>
      </c>
      <c r="EU1556" s="3686">
        <f t="shared" si="2984"/>
      </c>
      <c r="EV1556" s="3686">
        <f t="shared" si="2984"/>
      </c>
      <c r="EW1556" s="3686">
        <f t="shared" si="2984"/>
      </c>
      <c r="EX1556" s="3694"/>
    </row>
    <row r="1557" spans="1:154" s="3268" customFormat="1" outlineLevel="1">
      <c r="A1557" s="3402"/>
      <c r="B1557" s="3687" t="s">
        <v>188</v>
      </c>
      <c r="C1557" s="2026"/>
      <c r="D1557" s="3679"/>
      <c r="E1557" s="3679"/>
      <c r="F1557" s="3680"/>
      <c r="G1557" s="3680"/>
      <c r="H1557" s="3680"/>
      <c r="I1557" s="3680"/>
      <c r="J1557" s="3680"/>
      <c r="K1557" s="3680"/>
      <c r="L1557" s="3680"/>
      <c r="M1557" s="3680"/>
      <c r="N1557" s="3680"/>
      <c r="O1557" s="3681"/>
      <c r="P1557" s="3680"/>
      <c r="Q1557" s="3680"/>
      <c r="R1557" s="3680"/>
      <c r="S1557" s="3680"/>
      <c r="T1557" s="3681"/>
      <c r="U1557" s="3680"/>
      <c r="V1557" s="3680"/>
      <c r="W1557" s="3680"/>
      <c r="X1557" s="3682"/>
      <c r="Y1557" s="3681"/>
      <c r="Z1557" s="3680"/>
      <c r="AA1557" s="3680"/>
      <c r="AB1557" s="3680"/>
      <c r="AC1557" s="3682"/>
      <c r="AD1557" s="3681"/>
      <c r="AE1557" s="3680"/>
      <c r="AF1557" s="3680"/>
      <c r="AG1557" s="3680"/>
      <c r="AH1557" s="3682"/>
      <c r="AI1557" s="3681"/>
      <c r="AJ1557" s="3680"/>
      <c r="AK1557" s="3680"/>
      <c r="AL1557" s="3680"/>
      <c r="AM1557" s="3682"/>
      <c r="AN1557" s="3681"/>
      <c r="AO1557" s="3680"/>
      <c r="AP1557" s="3680"/>
      <c r="AQ1557" s="3683"/>
      <c r="AR1557" s="3682"/>
      <c r="AS1557" s="3681"/>
      <c r="AT1557" s="3680"/>
      <c r="AU1557" s="3680"/>
      <c r="AV1557" s="3680"/>
      <c r="AW1557" s="3682"/>
      <c r="AX1557" s="3681"/>
      <c r="AY1557" s="3680"/>
      <c r="AZ1557" s="3680"/>
      <c r="BA1557" s="3680"/>
      <c r="BB1557" s="3682"/>
      <c r="BC1557" s="3681"/>
      <c r="BD1557" s="3680"/>
      <c r="BE1557" s="3680"/>
      <c r="BF1557" s="3680"/>
      <c r="BG1557" s="3682"/>
      <c r="BH1557" s="3681"/>
      <c r="BI1557" s="3680"/>
      <c r="BJ1557" s="3680"/>
      <c r="BK1557" s="3680"/>
      <c r="BL1557" s="3682"/>
      <c r="BM1557" s="3680"/>
      <c r="BN1557" s="3680"/>
      <c r="BO1557" s="3680"/>
      <c r="BP1557" s="3680"/>
      <c r="BQ1557" s="3682"/>
      <c r="BR1557" s="3680"/>
      <c r="BS1557" s="3680"/>
      <c r="BT1557" s="3680"/>
      <c r="BU1557" s="3680"/>
      <c r="BV1557" s="3682"/>
      <c r="BW1557" s="3684"/>
      <c r="BX1557" s="3680"/>
      <c r="BY1557" s="3680"/>
      <c r="BZ1557" s="3680"/>
      <c r="CA1557" s="3682"/>
      <c r="CB1557" s="3680"/>
      <c r="CC1557" s="3680"/>
      <c r="CD1557" s="3680"/>
      <c r="CE1557" s="3680"/>
      <c r="CF1557" s="3682"/>
      <c r="CG1557" s="3680"/>
      <c r="CH1557" s="3680"/>
      <c r="CI1557" s="3680"/>
      <c r="CJ1557" s="3680"/>
      <c r="CK1557" s="3682"/>
      <c r="CL1557" s="3685"/>
      <c r="CM1557" s="3680"/>
      <c r="CN1557" s="3680"/>
      <c r="CO1557" s="3680"/>
      <c r="CP1557" s="3682"/>
      <c r="CQ1557" s="3680"/>
      <c r="CR1557" s="3680"/>
      <c r="CS1557" s="3680"/>
      <c r="CT1557" s="3686"/>
      <c r="CU1557" s="3682"/>
      <c r="CV1557" s="3680"/>
      <c r="CW1557" s="3680"/>
      <c r="CX1557" s="3680"/>
      <c r="CY1557" s="3686"/>
      <c r="CZ1557" s="3682"/>
      <c r="DA1557" s="3685"/>
      <c r="DB1557" s="3680"/>
      <c r="DC1557" s="3680"/>
      <c r="DD1557" s="3686"/>
      <c r="DE1557" s="3682"/>
      <c r="DF1557" s="3680"/>
      <c r="DG1557" s="3680"/>
      <c r="DH1557" s="3680"/>
      <c r="DI1557" s="3686"/>
      <c r="DJ1557" s="3682"/>
      <c r="DK1557" s="3680"/>
      <c r="DL1557" s="3680"/>
      <c r="DM1557" s="3680"/>
      <c r="DN1557" s="3686"/>
      <c r="DO1557" s="3682"/>
      <c r="DP1557" s="3680"/>
      <c r="DQ1557" s="3680"/>
      <c r="DR1557" s="3680"/>
      <c r="DS1557" s="3686">
        <f>SUM(DS1555:DS1556)</f>
      </c>
      <c r="DT1557" s="3682">
        <f>SUM(DP1557:DS1557)</f>
      </c>
      <c r="DU1557" s="3680">
        <f>SUM(DU1555:DU1556)</f>
      </c>
      <c r="DV1557" s="3680">
        <f>SUM(DV1555:DV1556)</f>
      </c>
      <c r="DW1557" s="3680">
        <f>SUM(DW1555:DW1556)</f>
      </c>
      <c r="DX1557" s="3686">
        <f>SUM(DX1555:DX1556)</f>
      </c>
      <c r="DY1557" s="3682">
        <f t="shared" ref="DY1557:ET1557" si="2985">SUM(DY1555:DY1556)</f>
      </c>
      <c r="DZ1557" s="3680">
        <f>SUM(DZ1555:DZ1556)</f>
      </c>
      <c r="EA1557" s="3680">
        <f>SUM(EA1555:EA1556)</f>
      </c>
      <c r="EB1557" s="3680">
        <f>SUM(EB1555:EB1556)</f>
      </c>
      <c r="EC1557" s="3686">
        <f>SUM(EC1555:EC1556)</f>
      </c>
      <c r="ED1557" s="3682">
        <f t="shared" ref="ED1557" si="2986">SUM(ED1555:ED1556)</f>
      </c>
      <c r="EE1557" s="3685">
        <f>SUM(EE1555:EE1556)</f>
      </c>
      <c r="EF1557" s="3680">
        <f>SUM(EF1555:EF1556)</f>
      </c>
      <c r="EG1557" s="3680">
        <f>SUM(EG1555:EG1556)</f>
      </c>
      <c r="EH1557" s="3686">
        <f>SUM(EH1555:EH1556)</f>
      </c>
      <c r="EI1557" s="3685">
        <f t="shared" si="2985"/>
      </c>
      <c r="EJ1557" s="3682">
        <f t="shared" si="2985"/>
      </c>
      <c r="EK1557" s="3682">
        <f t="shared" si="2985"/>
      </c>
      <c r="EL1557" s="3682">
        <f t="shared" si="2985"/>
      </c>
      <c r="EM1557" s="3682">
        <f t="shared" si="2985"/>
      </c>
      <c r="EN1557" s="3682">
        <f t="shared" si="2985"/>
      </c>
      <c r="EO1557" s="3686">
        <f t="shared" si="2985"/>
      </c>
      <c r="EP1557" s="3686">
        <f t="shared" si="2985"/>
      </c>
      <c r="EQ1557" s="3686">
        <f t="shared" si="2985"/>
      </c>
      <c r="ER1557" s="3686">
        <f t="shared" si="2985"/>
      </c>
      <c r="ES1557" s="3682">
        <f t="shared" si="2985"/>
      </c>
      <c r="ET1557" s="3686">
        <f t="shared" si="2985"/>
      </c>
      <c r="EU1557" s="3686">
        <f>SUM(EU1555:EU1556)</f>
      </c>
      <c r="EV1557" s="3686">
        <f>SUM(EV1555:EV1556)</f>
      </c>
      <c r="EW1557" s="3686">
        <f>SUM(EW1555:EW1556)</f>
      </c>
      <c r="EX1557" s="3694"/>
    </row>
    <row r="1558" spans="1:154" s="3268" customFormat="1" outlineLevel="1">
      <c r="A1558" s="3402"/>
      <c r="B1558" s="3687"/>
      <c r="C1558" s="2026"/>
      <c r="D1558" s="3679"/>
      <c r="E1558" s="3679"/>
      <c r="F1558" s="3680"/>
      <c r="G1558" s="3680"/>
      <c r="H1558" s="3680"/>
      <c r="I1558" s="3680"/>
      <c r="J1558" s="3680"/>
      <c r="K1558" s="3680"/>
      <c r="L1558" s="3680"/>
      <c r="M1558" s="3680"/>
      <c r="N1558" s="3680"/>
      <c r="O1558" s="3681"/>
      <c r="P1558" s="3680"/>
      <c r="Q1558" s="3680"/>
      <c r="R1558" s="3680"/>
      <c r="S1558" s="3680"/>
      <c r="T1558" s="3681"/>
      <c r="U1558" s="3680"/>
      <c r="V1558" s="3680"/>
      <c r="W1558" s="3680"/>
      <c r="X1558" s="3682"/>
      <c r="Y1558" s="3681"/>
      <c r="Z1558" s="3680"/>
      <c r="AA1558" s="3680"/>
      <c r="AB1558" s="3680"/>
      <c r="AC1558" s="3682"/>
      <c r="AD1558" s="3681"/>
      <c r="AE1558" s="3680"/>
      <c r="AF1558" s="3680"/>
      <c r="AG1558" s="3680"/>
      <c r="AH1558" s="3682"/>
      <c r="AI1558" s="3681"/>
      <c r="AJ1558" s="3680"/>
      <c r="AK1558" s="3680"/>
      <c r="AL1558" s="3680"/>
      <c r="AM1558" s="3682"/>
      <c r="AN1558" s="3681"/>
      <c r="AO1558" s="3680"/>
      <c r="AP1558" s="3680"/>
      <c r="AQ1558" s="3683"/>
      <c r="AR1558" s="3682"/>
      <c r="AS1558" s="3681"/>
      <c r="AT1558" s="3680"/>
      <c r="AU1558" s="3680"/>
      <c r="AV1558" s="3680"/>
      <c r="AW1558" s="3682"/>
      <c r="AX1558" s="3681"/>
      <c r="AY1558" s="3680"/>
      <c r="AZ1558" s="3680"/>
      <c r="BA1558" s="3680"/>
      <c r="BB1558" s="3682"/>
      <c r="BC1558" s="3681"/>
      <c r="BD1558" s="3680"/>
      <c r="BE1558" s="3680"/>
      <c r="BF1558" s="3680"/>
      <c r="BG1558" s="3682"/>
      <c r="BH1558" s="3681"/>
      <c r="BI1558" s="3680"/>
      <c r="BJ1558" s="3680"/>
      <c r="BK1558" s="3680"/>
      <c r="BL1558" s="3682"/>
      <c r="BM1558" s="3680"/>
      <c r="BN1558" s="3680"/>
      <c r="BO1558" s="3680"/>
      <c r="BP1558" s="3680"/>
      <c r="BQ1558" s="3682"/>
      <c r="BR1558" s="3680"/>
      <c r="BS1558" s="3680"/>
      <c r="BT1558" s="3680"/>
      <c r="BU1558" s="3680"/>
      <c r="BV1558" s="3682"/>
      <c r="BW1558" s="3684"/>
      <c r="BX1558" s="3680"/>
      <c r="BY1558" s="3680"/>
      <c r="BZ1558" s="3680"/>
      <c r="CA1558" s="3682"/>
      <c r="CB1558" s="3680"/>
      <c r="CC1558" s="3680"/>
      <c r="CD1558" s="3680"/>
      <c r="CE1558" s="3680"/>
      <c r="CF1558" s="3682"/>
      <c r="CG1558" s="3680"/>
      <c r="CH1558" s="3680"/>
      <c r="CI1558" s="3680"/>
      <c r="CJ1558" s="3680"/>
      <c r="CK1558" s="3682"/>
      <c r="CL1558" s="3685"/>
      <c r="CM1558" s="3680"/>
      <c r="CN1558" s="3680"/>
      <c r="CO1558" s="3680"/>
      <c r="CP1558" s="3682"/>
      <c r="CQ1558" s="3680"/>
      <c r="CR1558" s="3680"/>
      <c r="CS1558" s="3680"/>
      <c r="CT1558" s="3686"/>
      <c r="CU1558" s="3682"/>
      <c r="CV1558" s="3680"/>
      <c r="CW1558" s="3680"/>
      <c r="CX1558" s="3680"/>
      <c r="CY1558" s="3686"/>
      <c r="CZ1558" s="3682"/>
      <c r="DA1558" s="3685"/>
      <c r="DB1558" s="3680"/>
      <c r="DC1558" s="3680"/>
      <c r="DD1558" s="3686"/>
      <c r="DE1558" s="3682"/>
      <c r="DF1558" s="3680"/>
      <c r="DG1558" s="3680"/>
      <c r="DH1558" s="3680"/>
      <c r="DI1558" s="3686"/>
      <c r="DJ1558" s="3682"/>
      <c r="DK1558" s="3680"/>
      <c r="DL1558" s="3680"/>
      <c r="DM1558" s="3680"/>
      <c r="DN1558" s="3686"/>
      <c r="DO1558" s="3682"/>
      <c r="DP1558" s="3680"/>
      <c r="DQ1558" s="3680"/>
      <c r="DR1558" s="3680"/>
      <c r="DS1558" s="3686"/>
      <c r="DT1558" s="3682"/>
      <c r="DU1558" s="3680"/>
      <c r="DV1558" s="3680"/>
      <c r="DW1558" s="3680"/>
      <c r="DX1558" s="3686"/>
      <c r="DY1558" s="3682"/>
      <c r="DZ1558" s="3680"/>
      <c r="EA1558" s="3680"/>
      <c r="EB1558" s="3680"/>
      <c r="EC1558" s="3686"/>
      <c r="ED1558" s="3682"/>
      <c r="EE1558" s="3685"/>
      <c r="EF1558" s="3680"/>
      <c r="EG1558" s="3680"/>
      <c r="EH1558" s="3686"/>
      <c r="EI1558" s="3685"/>
      <c r="EJ1558" s="3682"/>
      <c r="EK1558" s="3682"/>
      <c r="EL1558" s="3682"/>
      <c r="EM1558" s="3682"/>
      <c r="EN1558" s="3682"/>
      <c r="EO1558" s="3686"/>
      <c r="EP1558" s="3686"/>
      <c r="EQ1558" s="3686"/>
      <c r="ER1558" s="3686"/>
      <c r="ES1558" s="3682"/>
      <c r="ET1558" s="3686"/>
      <c r="EU1558" s="3686"/>
      <c r="EV1558" s="3686"/>
      <c r="EW1558" s="3686"/>
      <c r="EX1558" s="3694"/>
    </row>
    <row r="1559" spans="1:154" s="3268" customFormat="1" outlineLevel="1">
      <c r="A1559" s="3402"/>
      <c r="B1559" s="3678" t="str">
        <f>B1554</f>
      </c>
      <c r="C1559" s="2026"/>
      <c r="D1559" s="3679"/>
      <c r="E1559" s="3679"/>
      <c r="F1559" s="3680"/>
      <c r="G1559" s="3680"/>
      <c r="H1559" s="3680"/>
      <c r="I1559" s="3680"/>
      <c r="J1559" s="3680"/>
      <c r="K1559" s="3680"/>
      <c r="L1559" s="3680"/>
      <c r="M1559" s="3680"/>
      <c r="N1559" s="3680"/>
      <c r="O1559" s="3681"/>
      <c r="P1559" s="3680"/>
      <c r="Q1559" s="3680"/>
      <c r="R1559" s="3680"/>
      <c r="S1559" s="3680"/>
      <c r="T1559" s="3681"/>
      <c r="U1559" s="3680"/>
      <c r="V1559" s="3680"/>
      <c r="W1559" s="3680"/>
      <c r="X1559" s="3682"/>
      <c r="Y1559" s="3681"/>
      <c r="Z1559" s="3680"/>
      <c r="AA1559" s="3680"/>
      <c r="AB1559" s="3680"/>
      <c r="AC1559" s="3682"/>
      <c r="AD1559" s="3681"/>
      <c r="AE1559" s="3680"/>
      <c r="AF1559" s="3680"/>
      <c r="AG1559" s="3680"/>
      <c r="AH1559" s="3682"/>
      <c r="AI1559" s="3681"/>
      <c r="AJ1559" s="3680"/>
      <c r="AK1559" s="3680"/>
      <c r="AL1559" s="3680"/>
      <c r="AM1559" s="3682"/>
      <c r="AN1559" s="3681"/>
      <c r="AO1559" s="3680"/>
      <c r="AP1559" s="3680"/>
      <c r="AQ1559" s="3683"/>
      <c r="AR1559" s="3682"/>
      <c r="AS1559" s="3681"/>
      <c r="AT1559" s="3680"/>
      <c r="AU1559" s="3680"/>
      <c r="AV1559" s="3680"/>
      <c r="AW1559" s="3682"/>
      <c r="AX1559" s="3681"/>
      <c r="AY1559" s="3680"/>
      <c r="AZ1559" s="3680"/>
      <c r="BA1559" s="3680"/>
      <c r="BB1559" s="3682"/>
      <c r="BC1559" s="3681"/>
      <c r="BD1559" s="3680"/>
      <c r="BE1559" s="3680"/>
      <c r="BF1559" s="3680"/>
      <c r="BG1559" s="3682"/>
      <c r="BH1559" s="3681"/>
      <c r="BI1559" s="3680"/>
      <c r="BJ1559" s="3680"/>
      <c r="BK1559" s="3680"/>
      <c r="BL1559" s="3682"/>
      <c r="BM1559" s="3680"/>
      <c r="BN1559" s="3680"/>
      <c r="BO1559" s="3680"/>
      <c r="BP1559" s="3680"/>
      <c r="BQ1559" s="3682"/>
      <c r="BR1559" s="3680"/>
      <c r="BS1559" s="3680"/>
      <c r="BT1559" s="3680"/>
      <c r="BU1559" s="3680"/>
      <c r="BV1559" s="3682"/>
      <c r="BW1559" s="3684"/>
      <c r="BX1559" s="3680"/>
      <c r="BY1559" s="3680"/>
      <c r="BZ1559" s="3680"/>
      <c r="CA1559" s="3682"/>
      <c r="CB1559" s="3680"/>
      <c r="CC1559" s="3680"/>
      <c r="CD1559" s="3680"/>
      <c r="CE1559" s="3680"/>
      <c r="CF1559" s="3682"/>
      <c r="CG1559" s="3680"/>
      <c r="CH1559" s="3680"/>
      <c r="CI1559" s="3680"/>
      <c r="CJ1559" s="3680"/>
      <c r="CK1559" s="3682"/>
      <c r="CL1559" s="3685"/>
      <c r="CM1559" s="3680"/>
      <c r="CN1559" s="3680"/>
      <c r="CO1559" s="3680"/>
      <c r="CP1559" s="3682"/>
      <c r="CQ1559" s="3680"/>
      <c r="CR1559" s="3680"/>
      <c r="CS1559" s="3680"/>
      <c r="CT1559" s="3686"/>
      <c r="CU1559" s="3682"/>
      <c r="CV1559" s="3680"/>
      <c r="CW1559" s="3680"/>
      <c r="CX1559" s="3680"/>
      <c r="CY1559" s="3686"/>
      <c r="CZ1559" s="3682"/>
      <c r="DA1559" s="3685"/>
      <c r="DB1559" s="3680"/>
      <c r="DC1559" s="3680"/>
      <c r="DD1559" s="3686"/>
      <c r="DE1559" s="3682"/>
      <c r="DF1559" s="3680"/>
      <c r="DG1559" s="3680"/>
      <c r="DH1559" s="3680"/>
      <c r="DI1559" s="3686"/>
      <c r="DJ1559" s="3682"/>
      <c r="DK1559" s="3680"/>
      <c r="DL1559" s="3680"/>
      <c r="DM1559" s="3680"/>
      <c r="DN1559" s="3686"/>
      <c r="DO1559" s="3682"/>
      <c r="DP1559" s="3680"/>
      <c r="DQ1559" s="3680"/>
      <c r="DR1559" s="3680"/>
      <c r="DS1559" s="3686"/>
      <c r="DT1559" s="3682"/>
      <c r="DU1559" s="3680"/>
      <c r="DV1559" s="3680"/>
      <c r="DW1559" s="3680"/>
      <c r="DX1559" s="3686"/>
      <c r="DY1559" s="3682"/>
      <c r="DZ1559" s="3680"/>
      <c r="EA1559" s="3680"/>
      <c r="EB1559" s="3680"/>
      <c r="EC1559" s="3686"/>
      <c r="ED1559" s="3682"/>
      <c r="EE1559" s="3685"/>
      <c r="EF1559" s="3680"/>
      <c r="EG1559" s="3680"/>
      <c r="EH1559" s="3686"/>
      <c r="EI1559" s="3685"/>
      <c r="EJ1559" s="3682"/>
      <c r="EK1559" s="3682"/>
      <c r="EL1559" s="3682"/>
      <c r="EM1559" s="3682"/>
      <c r="EN1559" s="3682"/>
      <c r="EO1559" s="3686"/>
      <c r="EP1559" s="3686"/>
      <c r="EQ1559" s="3686"/>
      <c r="ER1559" s="3686"/>
      <c r="ES1559" s="3686"/>
      <c r="ET1559" s="3682"/>
      <c r="EU1559" s="3686"/>
      <c r="EV1559" s="3686"/>
      <c r="EW1559" s="3686"/>
      <c r="EX1559" s="3694"/>
    </row>
    <row r="1560" spans="1:154" s="3268" customFormat="1" outlineLevel="1">
      <c r="A1560" s="3402"/>
      <c r="B1560" s="3687" t="s">
        <v>153</v>
      </c>
      <c r="C1560" s="3675">
        <v>1</v>
      </c>
      <c r="D1560" s="3679"/>
      <c r="E1560" s="3679"/>
      <c r="F1560" s="3680"/>
      <c r="G1560" s="3680"/>
      <c r="H1560" s="3680"/>
      <c r="I1560" s="3680"/>
      <c r="J1560" s="3680"/>
      <c r="K1560" s="3680"/>
      <c r="L1560" s="3680"/>
      <c r="M1560" s="3680"/>
      <c r="N1560" s="3680"/>
      <c r="O1560" s="3681"/>
      <c r="P1560" s="3680"/>
      <c r="Q1560" s="3680"/>
      <c r="R1560" s="3680"/>
      <c r="S1560" s="3680"/>
      <c r="T1560" s="3681"/>
      <c r="U1560" s="3680"/>
      <c r="V1560" s="3680"/>
      <c r="W1560" s="3680"/>
      <c r="X1560" s="3682"/>
      <c r="Y1560" s="3681"/>
      <c r="Z1560" s="3680"/>
      <c r="AA1560" s="3680"/>
      <c r="AB1560" s="3680"/>
      <c r="AC1560" s="3682"/>
      <c r="AD1560" s="3681"/>
      <c r="AE1560" s="3680"/>
      <c r="AF1560" s="3680"/>
      <c r="AG1560" s="3680"/>
      <c r="AH1560" s="3682"/>
      <c r="AI1560" s="3681"/>
      <c r="AJ1560" s="3680"/>
      <c r="AK1560" s="3680"/>
      <c r="AL1560" s="3680"/>
      <c r="AM1560" s="3682"/>
      <c r="AN1560" s="3681"/>
      <c r="AO1560" s="3680"/>
      <c r="AP1560" s="3680"/>
      <c r="AQ1560" s="3683"/>
      <c r="AR1560" s="3682"/>
      <c r="AS1560" s="3681"/>
      <c r="AT1560" s="3680"/>
      <c r="AU1560" s="3680"/>
      <c r="AV1560" s="3680"/>
      <c r="AW1560" s="3682"/>
      <c r="AX1560" s="3681"/>
      <c r="AY1560" s="3680"/>
      <c r="AZ1560" s="3680"/>
      <c r="BA1560" s="3680"/>
      <c r="BB1560" s="3682"/>
      <c r="BC1560" s="3681"/>
      <c r="BD1560" s="3680"/>
      <c r="BE1560" s="3680"/>
      <c r="BF1560" s="3680"/>
      <c r="BG1560" s="3682"/>
      <c r="BH1560" s="3681"/>
      <c r="BI1560" s="3680"/>
      <c r="BJ1560" s="3680"/>
      <c r="BK1560" s="3680"/>
      <c r="BL1560" s="3682"/>
      <c r="BM1560" s="3680"/>
      <c r="BN1560" s="3680"/>
      <c r="BO1560" s="3680"/>
      <c r="BP1560" s="3680"/>
      <c r="BQ1560" s="3682"/>
      <c r="BR1560" s="3680"/>
      <c r="BS1560" s="3680"/>
      <c r="BT1560" s="3680"/>
      <c r="BU1560" s="3680"/>
      <c r="BV1560" s="3682"/>
      <c r="BW1560" s="3684"/>
      <c r="BX1560" s="3680"/>
      <c r="BY1560" s="3680"/>
      <c r="BZ1560" s="3680"/>
      <c r="CA1560" s="3682"/>
      <c r="CB1560" s="3680"/>
      <c r="CC1560" s="3680"/>
      <c r="CD1560" s="3680"/>
      <c r="CE1560" s="3680"/>
      <c r="CF1560" s="3682"/>
      <c r="CG1560" s="3680"/>
      <c r="CH1560" s="3680"/>
      <c r="CI1560" s="3680"/>
      <c r="CJ1560" s="3680"/>
      <c r="CK1560" s="3682"/>
      <c r="CL1560" s="3685"/>
      <c r="CM1560" s="3680"/>
      <c r="CN1560" s="3680"/>
      <c r="CO1560" s="3680"/>
      <c r="CP1560" s="3682"/>
      <c r="CQ1560" s="3680"/>
      <c r="CR1560" s="3680"/>
      <c r="CS1560" s="3680"/>
      <c r="CT1560" s="3686"/>
      <c r="CU1560" s="3682"/>
      <c r="CV1560" s="3680"/>
      <c r="CW1560" s="3680"/>
      <c r="CX1560" s="3680"/>
      <c r="CY1560" s="3686"/>
      <c r="CZ1560" s="3682"/>
      <c r="DA1560" s="3685"/>
      <c r="DB1560" s="3680"/>
      <c r="DC1560" s="3680"/>
      <c r="DD1560" s="3686"/>
      <c r="DE1560" s="3682"/>
      <c r="DF1560" s="3680"/>
      <c r="DG1560" s="3680"/>
      <c r="DH1560" s="3680"/>
      <c r="DI1560" s="3686"/>
      <c r="DJ1560" s="3682"/>
      <c r="DK1560" s="3680"/>
      <c r="DL1560" s="3680"/>
      <c r="DM1560" s="3680"/>
      <c r="DN1560" s="3686"/>
      <c r="DO1560" s="3682"/>
      <c r="DP1560" s="3680"/>
      <c r="DQ1560" s="3680"/>
      <c r="DR1560" s="3680"/>
      <c r="DS1560" s="3686">
        <f>$C1560*DS1555</f>
      </c>
      <c r="DT1560" s="3682">
        <f t="shared" ref="DT1560:DV1561" si="2987">$C1560*DT1555</f>
      </c>
      <c r="DU1560" s="3680">
        <f t="shared" si="2987"/>
      </c>
      <c r="DV1560" s="3680">
        <f t="shared" si="2987"/>
      </c>
      <c r="DW1560" s="3680">
        <f t="shared" ref="DW1560:EH1561" si="2988">$C1560*DW1555</f>
      </c>
      <c r="DX1560" s="3686">
        <f t="shared" si="2988"/>
      </c>
      <c r="DY1560" s="3682">
        <f t="shared" si="2988"/>
      </c>
      <c r="DZ1560" s="3680">
        <f t="shared" si="2988"/>
      </c>
      <c r="EA1560" s="3680">
        <f t="shared" si="2988"/>
      </c>
      <c r="EB1560" s="3680">
        <f t="shared" si="2988"/>
      </c>
      <c r="EC1560" s="3686">
        <f t="shared" si="2988"/>
      </c>
      <c r="ED1560" s="3682">
        <f t="shared" si="2988"/>
      </c>
      <c r="EE1560" s="3685">
        <f t="shared" si="2988"/>
      </c>
      <c r="EF1560" s="3680">
        <f t="shared" si="2988"/>
      </c>
      <c r="EG1560" s="3680">
        <f t="shared" si="2988"/>
      </c>
      <c r="EH1560" s="3686">
        <f t="shared" si="2988"/>
      </c>
      <c r="EI1560" s="3685">
        <f t="shared" ref="EI1560:ET1560" si="2989">$C1560*EI1555</f>
      </c>
      <c r="EJ1560" s="3682">
        <f t="shared" si="2989"/>
      </c>
      <c r="EK1560" s="3682">
        <f t="shared" si="2989"/>
      </c>
      <c r="EL1560" s="3682">
        <f t="shared" si="2989"/>
      </c>
      <c r="EM1560" s="3682">
        <f t="shared" si="2989"/>
      </c>
      <c r="EN1560" s="3682">
        <f t="shared" si="2989"/>
      </c>
      <c r="EO1560" s="3686">
        <f t="shared" si="2989"/>
      </c>
      <c r="EP1560" s="3686">
        <f t="shared" si="2989"/>
      </c>
      <c r="EQ1560" s="3686">
        <f t="shared" si="2989"/>
      </c>
      <c r="ER1560" s="3686">
        <f t="shared" si="2989"/>
      </c>
      <c r="ES1560" s="3686">
        <f t="shared" si="2989"/>
      </c>
      <c r="ET1560" s="3682">
        <f t="shared" si="2989"/>
      </c>
      <c r="EU1560" s="3686">
        <f t="shared" ref="EU1560:EW1561" si="2990">$C1560*EU1555</f>
      </c>
      <c r="EV1560" s="3686">
        <f t="shared" si="2990"/>
      </c>
      <c r="EW1560" s="3686">
        <f t="shared" si="2990"/>
      </c>
      <c r="EX1560" s="3694"/>
    </row>
    <row r="1561" spans="1:154" s="3268" customFormat="1" outlineLevel="1">
      <c r="A1561" s="3402"/>
      <c r="B1561" s="3687" t="s">
        <v>235</v>
      </c>
      <c r="C1561" s="3675">
        <v>1</v>
      </c>
      <c r="D1561" s="3679"/>
      <c r="E1561" s="3679"/>
      <c r="F1561" s="3680"/>
      <c r="G1561" s="3680"/>
      <c r="H1561" s="3680"/>
      <c r="I1561" s="3680"/>
      <c r="J1561" s="3680"/>
      <c r="K1561" s="3680"/>
      <c r="L1561" s="3680"/>
      <c r="M1561" s="3680"/>
      <c r="N1561" s="3680"/>
      <c r="O1561" s="3681"/>
      <c r="P1561" s="3680"/>
      <c r="Q1561" s="3680"/>
      <c r="R1561" s="3680"/>
      <c r="S1561" s="3680"/>
      <c r="T1561" s="3681"/>
      <c r="U1561" s="3680"/>
      <c r="V1561" s="3680"/>
      <c r="W1561" s="3680"/>
      <c r="X1561" s="3682"/>
      <c r="Y1561" s="3681"/>
      <c r="Z1561" s="3680"/>
      <c r="AA1561" s="3680"/>
      <c r="AB1561" s="3680"/>
      <c r="AC1561" s="3682"/>
      <c r="AD1561" s="3681"/>
      <c r="AE1561" s="3680"/>
      <c r="AF1561" s="3680"/>
      <c r="AG1561" s="3680"/>
      <c r="AH1561" s="3682"/>
      <c r="AI1561" s="3681"/>
      <c r="AJ1561" s="3680"/>
      <c r="AK1561" s="3680"/>
      <c r="AL1561" s="3680"/>
      <c r="AM1561" s="3682"/>
      <c r="AN1561" s="3681"/>
      <c r="AO1561" s="3680"/>
      <c r="AP1561" s="3680"/>
      <c r="AQ1561" s="3683"/>
      <c r="AR1561" s="3682"/>
      <c r="AS1561" s="3681"/>
      <c r="AT1561" s="3680"/>
      <c r="AU1561" s="3680"/>
      <c r="AV1561" s="3680"/>
      <c r="AW1561" s="3682"/>
      <c r="AX1561" s="3681"/>
      <c r="AY1561" s="3680"/>
      <c r="AZ1561" s="3680"/>
      <c r="BA1561" s="3680"/>
      <c r="BB1561" s="3682"/>
      <c r="BC1561" s="3681"/>
      <c r="BD1561" s="3680"/>
      <c r="BE1561" s="3680"/>
      <c r="BF1561" s="3680"/>
      <c r="BG1561" s="3682"/>
      <c r="BH1561" s="3681"/>
      <c r="BI1561" s="3680"/>
      <c r="BJ1561" s="3680"/>
      <c r="BK1561" s="3680"/>
      <c r="BL1561" s="3682"/>
      <c r="BM1561" s="3680"/>
      <c r="BN1561" s="3680"/>
      <c r="BO1561" s="3680"/>
      <c r="BP1561" s="3680"/>
      <c r="BQ1561" s="3682"/>
      <c r="BR1561" s="3680"/>
      <c r="BS1561" s="3680"/>
      <c r="BT1561" s="3680"/>
      <c r="BU1561" s="3680"/>
      <c r="BV1561" s="3682"/>
      <c r="BW1561" s="3684"/>
      <c r="BX1561" s="3680"/>
      <c r="BY1561" s="3680"/>
      <c r="BZ1561" s="3680"/>
      <c r="CA1561" s="3682"/>
      <c r="CB1561" s="3680"/>
      <c r="CC1561" s="3680"/>
      <c r="CD1561" s="3680"/>
      <c r="CE1561" s="3680"/>
      <c r="CF1561" s="3682"/>
      <c r="CG1561" s="3680"/>
      <c r="CH1561" s="3680"/>
      <c r="CI1561" s="3680"/>
      <c r="CJ1561" s="3680"/>
      <c r="CK1561" s="3682"/>
      <c r="CL1561" s="3685"/>
      <c r="CM1561" s="3680"/>
      <c r="CN1561" s="3680"/>
      <c r="CO1561" s="3680"/>
      <c r="CP1561" s="3682"/>
      <c r="CQ1561" s="3680"/>
      <c r="CR1561" s="3680"/>
      <c r="CS1561" s="3680"/>
      <c r="CT1561" s="3686"/>
      <c r="CU1561" s="3682"/>
      <c r="CV1561" s="3680"/>
      <c r="CW1561" s="3680"/>
      <c r="CX1561" s="3680"/>
      <c r="CY1561" s="3686"/>
      <c r="CZ1561" s="3682"/>
      <c r="DA1561" s="3685"/>
      <c r="DB1561" s="3680"/>
      <c r="DC1561" s="3680"/>
      <c r="DD1561" s="3686"/>
      <c r="DE1561" s="3682"/>
      <c r="DF1561" s="3680"/>
      <c r="DG1561" s="3680"/>
      <c r="DH1561" s="3680"/>
      <c r="DI1561" s="3686"/>
      <c r="DJ1561" s="3682"/>
      <c r="DK1561" s="3680"/>
      <c r="DL1561" s="3680"/>
      <c r="DM1561" s="3680"/>
      <c r="DN1561" s="3686"/>
      <c r="DO1561" s="3682"/>
      <c r="DP1561" s="3680"/>
      <c r="DQ1561" s="3680"/>
      <c r="DR1561" s="3680"/>
      <c r="DS1561" s="3686">
        <f>$C1561*DS1556</f>
      </c>
      <c r="DT1561" s="3682">
        <f t="shared" si="2987"/>
      </c>
      <c r="DU1561" s="3680">
        <f t="shared" si="2987"/>
      </c>
      <c r="DV1561" s="3680">
        <f t="shared" si="2987"/>
      </c>
      <c r="DW1561" s="3680">
        <f t="shared" si="2988"/>
      </c>
      <c r="DX1561" s="3686">
        <f t="shared" si="2988"/>
      </c>
      <c r="DY1561" s="3682">
        <f t="shared" si="2988"/>
      </c>
      <c r="DZ1561" s="3680">
        <f t="shared" si="2988"/>
      </c>
      <c r="EA1561" s="3680">
        <f t="shared" si="2988"/>
      </c>
      <c r="EB1561" s="3680">
        <f t="shared" si="2988"/>
      </c>
      <c r="EC1561" s="3686">
        <f t="shared" si="2988"/>
      </c>
      <c r="ED1561" s="3682">
        <f t="shared" si="2988"/>
      </c>
      <c r="EE1561" s="3685">
        <f t="shared" si="2988"/>
      </c>
      <c r="EF1561" s="3680">
        <f t="shared" si="2988"/>
      </c>
      <c r="EG1561" s="3680">
        <f t="shared" si="2988"/>
      </c>
      <c r="EH1561" s="3686">
        <f t="shared" si="2988"/>
      </c>
      <c r="EI1561" s="3685">
        <f t="shared" ref="EI1561:ET1561" si="2991">$C1561*EI1556</f>
      </c>
      <c r="EJ1561" s="3682">
        <f t="shared" si="2991"/>
      </c>
      <c r="EK1561" s="3682">
        <f t="shared" si="2991"/>
      </c>
      <c r="EL1561" s="3682">
        <f t="shared" si="2991"/>
      </c>
      <c r="EM1561" s="3682">
        <f t="shared" si="2991"/>
      </c>
      <c r="EN1561" s="3682">
        <f t="shared" si="2991"/>
      </c>
      <c r="EO1561" s="3686">
        <f t="shared" si="2991"/>
      </c>
      <c r="EP1561" s="3686">
        <f t="shared" si="2991"/>
      </c>
      <c r="EQ1561" s="3682">
        <f t="shared" si="2991"/>
      </c>
      <c r="ER1561" s="3682">
        <f t="shared" si="2991"/>
      </c>
      <c r="ES1561" s="3686">
        <f t="shared" si="2991"/>
      </c>
      <c r="ET1561" s="3682">
        <f t="shared" si="2991"/>
      </c>
      <c r="EU1561" s="3686">
        <f t="shared" si="2990"/>
      </c>
      <c r="EV1561" s="3686">
        <f t="shared" si="2990"/>
      </c>
      <c r="EW1561" s="3686">
        <f t="shared" si="2990"/>
      </c>
      <c r="EX1561" s="3694"/>
    </row>
    <row r="1562" spans="1:154" s="3268" customFormat="1" outlineLevel="1">
      <c r="A1562" s="3402" t="s">
        <v>823</v>
      </c>
      <c r="B1562" s="3687" t="s">
        <v>188</v>
      </c>
      <c r="C1562" s="2026" t="s">
        <v>661</v>
      </c>
      <c r="D1562" s="3679"/>
      <c r="E1562" s="3679"/>
      <c r="F1562" s="3680"/>
      <c r="G1562" s="3680"/>
      <c r="H1562" s="3680"/>
      <c r="I1562" s="3680"/>
      <c r="J1562" s="3680"/>
      <c r="K1562" s="3680"/>
      <c r="L1562" s="3680"/>
      <c r="M1562" s="3680"/>
      <c r="N1562" s="3680"/>
      <c r="O1562" s="3681"/>
      <c r="P1562" s="3680"/>
      <c r="Q1562" s="3680"/>
      <c r="R1562" s="3680"/>
      <c r="S1562" s="3680"/>
      <c r="T1562" s="3681"/>
      <c r="U1562" s="3680"/>
      <c r="V1562" s="3680"/>
      <c r="W1562" s="3680"/>
      <c r="X1562" s="3682"/>
      <c r="Y1562" s="3681"/>
      <c r="Z1562" s="3680"/>
      <c r="AA1562" s="3680"/>
      <c r="AB1562" s="3680"/>
      <c r="AC1562" s="3682"/>
      <c r="AD1562" s="3681"/>
      <c r="AE1562" s="3680"/>
      <c r="AF1562" s="3680"/>
      <c r="AG1562" s="3680"/>
      <c r="AH1562" s="3682"/>
      <c r="AI1562" s="3681"/>
      <c r="AJ1562" s="3680"/>
      <c r="AK1562" s="3680"/>
      <c r="AL1562" s="3680"/>
      <c r="AM1562" s="3682"/>
      <c r="AN1562" s="3681"/>
      <c r="AO1562" s="3680"/>
      <c r="AP1562" s="3680"/>
      <c r="AQ1562" s="3683"/>
      <c r="AR1562" s="3682"/>
      <c r="AS1562" s="3681"/>
      <c r="AT1562" s="3680"/>
      <c r="AU1562" s="3680"/>
      <c r="AV1562" s="3680"/>
      <c r="AW1562" s="3682"/>
      <c r="AX1562" s="3681"/>
      <c r="AY1562" s="3680"/>
      <c r="AZ1562" s="3680"/>
      <c r="BA1562" s="3680"/>
      <c r="BB1562" s="3682"/>
      <c r="BC1562" s="3681"/>
      <c r="BD1562" s="3680"/>
      <c r="BE1562" s="3680"/>
      <c r="BF1562" s="3680"/>
      <c r="BG1562" s="3682"/>
      <c r="BH1562" s="3681"/>
      <c r="BI1562" s="3680"/>
      <c r="BJ1562" s="3680"/>
      <c r="BK1562" s="3680"/>
      <c r="BL1562" s="3682"/>
      <c r="BM1562" s="3680"/>
      <c r="BN1562" s="3680"/>
      <c r="BO1562" s="3680"/>
      <c r="BP1562" s="3680"/>
      <c r="BQ1562" s="3682"/>
      <c r="BR1562" s="3680"/>
      <c r="BS1562" s="3680"/>
      <c r="BT1562" s="3680"/>
      <c r="BU1562" s="3680"/>
      <c r="BV1562" s="3682"/>
      <c r="BW1562" s="3684"/>
      <c r="BX1562" s="3680"/>
      <c r="BY1562" s="3680"/>
      <c r="BZ1562" s="3680"/>
      <c r="CA1562" s="3682"/>
      <c r="CB1562" s="3680"/>
      <c r="CC1562" s="3680"/>
      <c r="CD1562" s="3680"/>
      <c r="CE1562" s="3680"/>
      <c r="CF1562" s="3682"/>
      <c r="CG1562" s="3680"/>
      <c r="CH1562" s="3680"/>
      <c r="CI1562" s="3680"/>
      <c r="CJ1562" s="3680"/>
      <c r="CK1562" s="3682"/>
      <c r="CL1562" s="3685"/>
      <c r="CM1562" s="3680"/>
      <c r="CN1562" s="3680"/>
      <c r="CO1562" s="3680"/>
      <c r="CP1562" s="3682"/>
      <c r="CQ1562" s="3680"/>
      <c r="CR1562" s="3680"/>
      <c r="CS1562" s="3680"/>
      <c r="CT1562" s="3686"/>
      <c r="CU1562" s="3682"/>
      <c r="CV1562" s="3680"/>
      <c r="CW1562" s="3680"/>
      <c r="CX1562" s="3680"/>
      <c r="CY1562" s="3686"/>
      <c r="CZ1562" s="3682"/>
      <c r="DA1562" s="3685"/>
      <c r="DB1562" s="3680"/>
      <c r="DC1562" s="3680"/>
      <c r="DD1562" s="3686"/>
      <c r="DE1562" s="3682"/>
      <c r="DF1562" s="3680"/>
      <c r="DG1562" s="3680"/>
      <c r="DH1562" s="3680"/>
      <c r="DI1562" s="3686"/>
      <c r="DJ1562" s="3682"/>
      <c r="DK1562" s="3680"/>
      <c r="DL1562" s="3680"/>
      <c r="DM1562" s="3680"/>
      <c r="DN1562" s="3686"/>
      <c r="DO1562" s="3682"/>
      <c r="DP1562" s="3680"/>
      <c r="DQ1562" s="3680"/>
      <c r="DR1562" s="3680"/>
      <c r="DS1562" s="3686">
        <f>SUM(DS1560:DS1561)</f>
      </c>
      <c r="DT1562" s="3682">
        <f>DT1560+DT1561</f>
      </c>
      <c r="DU1562" s="3680">
        <f>SUM(DU1560:DU1561)</f>
      </c>
      <c r="DV1562" s="3680">
        <f>SUM(DV1560:DV1561)</f>
      </c>
      <c r="DW1562" s="3680">
        <f>SUM(DW1560:DW1561)</f>
      </c>
      <c r="DX1562" s="3686">
        <f>SUM(DX1560:DX1561)</f>
      </c>
      <c r="DY1562" s="3682">
        <f>DY1560+DY1561</f>
      </c>
      <c r="DZ1562" s="3680">
        <f>SUM(DZ1560:DZ1561)</f>
      </c>
      <c r="EA1562" s="3680">
        <f>SUM(EA1560:EA1561)</f>
      </c>
      <c r="EB1562" s="3680">
        <f>SUM(EB1560:EB1561)</f>
      </c>
      <c r="EC1562" s="3686">
        <f>SUM(EC1560:EC1561)</f>
      </c>
      <c r="ED1562" s="3682">
        <f>ED1560+ED1561</f>
      </c>
      <c r="EE1562" s="3685">
        <f>SUM(EE1560:EE1561)</f>
      </c>
      <c r="EF1562" s="3680">
        <f>SUM(EF1560:EF1561)</f>
      </c>
      <c r="EG1562" s="3680">
        <f>SUM(EG1560:EG1561)</f>
      </c>
      <c r="EH1562" s="3686">
        <f>SUM(EH1560:EH1561)</f>
      </c>
      <c r="EI1562" s="3685">
        <f t="shared" ref="EI1562:ET1562" si="2992">EI1560+EI1561</f>
      </c>
      <c r="EJ1562" s="3682">
        <f t="shared" si="2992"/>
      </c>
      <c r="EK1562" s="3682">
        <f t="shared" si="2992"/>
      </c>
      <c r="EL1562" s="3682">
        <f t="shared" si="2992"/>
      </c>
      <c r="EM1562" s="3682">
        <f t="shared" si="2992"/>
      </c>
      <c r="EN1562" s="3682">
        <f t="shared" si="2992"/>
      </c>
      <c r="EO1562" s="3686">
        <f t="shared" si="2992"/>
      </c>
      <c r="EP1562" s="3682">
        <f t="shared" si="2992"/>
      </c>
      <c r="EQ1562" s="3682">
        <f t="shared" si="2992"/>
      </c>
      <c r="ER1562" s="3682">
        <f t="shared" si="2992"/>
      </c>
      <c r="ES1562" s="3686">
        <f t="shared" si="2992"/>
      </c>
      <c r="ET1562" s="3682">
        <f t="shared" si="2992"/>
      </c>
      <c r="EU1562" s="3686">
        <f>EU1560+EU1561</f>
      </c>
      <c r="EV1562" s="3686">
        <f>EV1560+EV1561</f>
      </c>
      <c r="EW1562" s="3686">
        <f>EW1560+EW1561</f>
      </c>
      <c r="EX1562" s="3694"/>
    </row>
    <row r="1563" spans="1:154" s="1515" customFormat="1" outlineLevel="1">
      <c r="A1563" s="3275"/>
      <c r="B1563" s="907"/>
      <c r="C1563" s="3401"/>
      <c r="D1563" s="1508"/>
      <c r="E1563" s="1508"/>
      <c r="F1563" s="1509"/>
      <c r="G1563" s="1509"/>
      <c r="H1563" s="1509"/>
      <c r="I1563" s="1509"/>
      <c r="J1563" s="1509"/>
      <c r="K1563" s="1509"/>
      <c r="L1563" s="1509"/>
      <c r="M1563" s="1509"/>
      <c r="N1563" s="1509"/>
      <c r="O1563" s="1510"/>
      <c r="P1563" s="1509"/>
      <c r="Q1563" s="1509"/>
      <c r="R1563" s="1509"/>
      <c r="S1563" s="1509"/>
      <c r="T1563" s="1510"/>
      <c r="U1563" s="1509"/>
      <c r="V1563" s="1509"/>
      <c r="W1563" s="1509"/>
      <c r="X1563" s="1369"/>
      <c r="Y1563" s="1510"/>
      <c r="Z1563" s="1509"/>
      <c r="AA1563" s="1509"/>
      <c r="AB1563" s="1509"/>
      <c r="AC1563" s="1369"/>
      <c r="AD1563" s="1510"/>
      <c r="AE1563" s="1509"/>
      <c r="AF1563" s="1509"/>
      <c r="AG1563" s="1509"/>
      <c r="AH1563" s="1369"/>
      <c r="AI1563" s="1510"/>
      <c r="AJ1563" s="1509"/>
      <c r="AK1563" s="1509"/>
      <c r="AL1563" s="1509"/>
      <c r="AM1563" s="1369"/>
      <c r="AN1563" s="1510"/>
      <c r="AO1563" s="1509"/>
      <c r="AP1563" s="1509"/>
      <c r="AQ1563" s="1511"/>
      <c r="AR1563" s="1369"/>
      <c r="AS1563" s="1510"/>
      <c r="AT1563" s="1509"/>
      <c r="AU1563" s="1509"/>
      <c r="AV1563" s="1509"/>
      <c r="AW1563" s="1369"/>
      <c r="AX1563" s="1510"/>
      <c r="AY1563" s="1509"/>
      <c r="AZ1563" s="1509"/>
      <c r="BA1563" s="1509"/>
      <c r="BB1563" s="1369"/>
      <c r="BC1563" s="1510"/>
      <c r="BD1563" s="1509"/>
      <c r="BE1563" s="1509"/>
      <c r="BF1563" s="1509"/>
      <c r="BG1563" s="1369"/>
      <c r="BH1563" s="1510"/>
      <c r="BI1563" s="1509"/>
      <c r="BJ1563" s="1509"/>
      <c r="BK1563" s="1509"/>
      <c r="BL1563" s="1369"/>
      <c r="BM1563" s="1509"/>
      <c r="BN1563" s="1509"/>
      <c r="BO1563" s="1509"/>
      <c r="BP1563" s="1509"/>
      <c r="BQ1563" s="1369"/>
      <c r="BR1563" s="1509"/>
      <c r="BS1563" s="1509"/>
      <c r="BT1563" s="1509"/>
      <c r="BU1563" s="1509"/>
      <c r="BV1563" s="1369"/>
      <c r="BW1563" s="1512"/>
      <c r="BX1563" s="1509"/>
      <c r="BY1563" s="1509"/>
      <c r="BZ1563" s="1509"/>
      <c r="CA1563" s="1369"/>
      <c r="CB1563" s="1509"/>
      <c r="CC1563" s="1509"/>
      <c r="CD1563" s="1509"/>
      <c r="CE1563" s="1509"/>
      <c r="CF1563" s="1369"/>
      <c r="CG1563" s="1509"/>
      <c r="CH1563" s="1509"/>
      <c r="CI1563" s="1509"/>
      <c r="CJ1563" s="1509"/>
      <c r="CK1563" s="1369"/>
      <c r="CL1563" s="1513"/>
      <c r="CM1563" s="1509"/>
      <c r="CN1563" s="1509"/>
      <c r="CO1563" s="1509"/>
      <c r="CP1563" s="1369"/>
      <c r="CQ1563" s="1509"/>
      <c r="CR1563" s="1509"/>
      <c r="CS1563" s="1509"/>
      <c r="CT1563" s="1514"/>
      <c r="CU1563" s="1369"/>
      <c r="CV1563" s="1509"/>
      <c r="CW1563" s="1509"/>
      <c r="CX1563" s="1509"/>
      <c r="CY1563" s="1514"/>
      <c r="CZ1563" s="1369"/>
      <c r="DA1563" s="1513"/>
      <c r="DB1563" s="1509"/>
      <c r="DC1563" s="1509"/>
      <c r="DD1563" s="1514"/>
      <c r="DE1563" s="1369"/>
      <c r="DF1563" s="1509"/>
      <c r="DG1563" s="1509"/>
      <c r="DH1563" s="1509"/>
      <c r="DI1563" s="1514"/>
      <c r="DJ1563" s="1369"/>
      <c r="DK1563" s="1509"/>
      <c r="DL1563" s="1509"/>
      <c r="DM1563" s="1509"/>
      <c r="DN1563" s="1514"/>
      <c r="DO1563" s="1369"/>
      <c r="DP1563" s="1509"/>
      <c r="DQ1563" s="1509"/>
      <c r="DR1563" s="1509"/>
      <c r="DS1563" s="1514"/>
      <c r="DT1563" s="899"/>
      <c r="DU1563" s="1509"/>
      <c r="DV1563" s="1509"/>
      <c r="DW1563" s="1509"/>
      <c r="DX1563" s="1514"/>
      <c r="DY1563" s="899"/>
      <c r="DZ1563" s="1509"/>
      <c r="EA1563" s="1509"/>
      <c r="EB1563" s="1509"/>
      <c r="EC1563" s="1514"/>
      <c r="ED1563" s="899"/>
      <c r="EE1563" s="1015"/>
      <c r="EF1563" s="895"/>
      <c r="EG1563" s="895"/>
      <c r="EH1563" s="1514"/>
      <c r="EI1563" s="1015"/>
      <c r="EJ1563" s="899"/>
      <c r="EK1563" s="899"/>
      <c r="EL1563" s="899"/>
      <c r="EM1563" s="899"/>
      <c r="EN1563" s="899"/>
      <c r="EO1563" s="915"/>
      <c r="EP1563" s="899"/>
      <c r="EQ1563" s="899"/>
      <c r="ER1563" s="915"/>
      <c r="ES1563" s="915"/>
      <c r="ET1563" s="915"/>
      <c r="EU1563" s="1514"/>
      <c r="EV1563" s="1514"/>
      <c r="EW1563" s="1514"/>
      <c r="EX1563" s="1514"/>
    </row>
    <row r="1564" spans="1:154" s="1515" customFormat="1">
      <c r="A1564" s="3275"/>
      <c r="B1564" s="906" t="s">
        <v>1030</v>
      </c>
      <c r="C1564" s="2027"/>
      <c r="D1564" s="1508"/>
      <c r="E1564" s="1508"/>
      <c r="F1564" s="1509"/>
      <c r="G1564" s="1509"/>
      <c r="H1564" s="1509"/>
      <c r="I1564" s="1509"/>
      <c r="J1564" s="1509"/>
      <c r="K1564" s="1509"/>
      <c r="L1564" s="1509"/>
      <c r="M1564" s="1509"/>
      <c r="N1564" s="1509"/>
      <c r="O1564" s="1510"/>
      <c r="P1564" s="1509"/>
      <c r="Q1564" s="1509"/>
      <c r="R1564" s="1509"/>
      <c r="S1564" s="1509"/>
      <c r="T1564" s="1510"/>
      <c r="U1564" s="1509"/>
      <c r="V1564" s="1509"/>
      <c r="W1564" s="1509"/>
      <c r="X1564" s="1369"/>
      <c r="Y1564" s="1510"/>
      <c r="Z1564" s="1509"/>
      <c r="AA1564" s="1509"/>
      <c r="AB1564" s="1509"/>
      <c r="AC1564" s="1369"/>
      <c r="AD1564" s="1510"/>
      <c r="AE1564" s="1509"/>
      <c r="AF1564" s="1509"/>
      <c r="AG1564" s="1509"/>
      <c r="AH1564" s="1369"/>
      <c r="AI1564" s="1510"/>
      <c r="AJ1564" s="1509"/>
      <c r="AK1564" s="1509"/>
      <c r="AL1564" s="1509"/>
      <c r="AM1564" s="1369"/>
      <c r="AN1564" s="1510"/>
      <c r="AO1564" s="1509"/>
      <c r="AP1564" s="1509"/>
      <c r="AQ1564" s="1511"/>
      <c r="AR1564" s="1369"/>
      <c r="AS1564" s="1510"/>
      <c r="AT1564" s="1509"/>
      <c r="AU1564" s="1509"/>
      <c r="AV1564" s="1509"/>
      <c r="AW1564" s="1369"/>
      <c r="AX1564" s="1510"/>
      <c r="AY1564" s="1509"/>
      <c r="AZ1564" s="1509"/>
      <c r="BA1564" s="1509"/>
      <c r="BB1564" s="1369"/>
      <c r="BC1564" s="1510"/>
      <c r="BD1564" s="1509"/>
      <c r="BE1564" s="1509"/>
      <c r="BF1564" s="1509"/>
      <c r="BG1564" s="1369"/>
      <c r="BH1564" s="1510"/>
      <c r="BI1564" s="1509"/>
      <c r="BJ1564" s="1509"/>
      <c r="BK1564" s="1509"/>
      <c r="BL1564" s="1369"/>
      <c r="BM1564" s="1509"/>
      <c r="BN1564" s="1509"/>
      <c r="BO1564" s="1509"/>
      <c r="BP1564" s="1509"/>
      <c r="BQ1564" s="1369"/>
      <c r="BR1564" s="1509"/>
      <c r="BS1564" s="1509"/>
      <c r="BT1564" s="1509"/>
      <c r="BU1564" s="1509"/>
      <c r="BV1564" s="1369"/>
      <c r="BW1564" s="1512"/>
      <c r="BX1564" s="1509"/>
      <c r="BY1564" s="1509"/>
      <c r="BZ1564" s="1509"/>
      <c r="CA1564" s="1369"/>
      <c r="CB1564" s="1509"/>
      <c r="CC1564" s="1509"/>
      <c r="CD1564" s="1509"/>
      <c r="CE1564" s="1509"/>
      <c r="CF1564" s="1369"/>
      <c r="CG1564" s="1509"/>
      <c r="CH1564" s="1509"/>
      <c r="CI1564" s="1509"/>
      <c r="CJ1564" s="1509"/>
      <c r="CK1564" s="1369"/>
      <c r="CL1564" s="1513"/>
      <c r="CM1564" s="1509"/>
      <c r="CN1564" s="1509"/>
      <c r="CO1564" s="1509"/>
      <c r="CP1564" s="1369"/>
      <c r="CQ1564" s="1509"/>
      <c r="CR1564" s="1509"/>
      <c r="CS1564" s="1509"/>
      <c r="CT1564" s="1514"/>
      <c r="CU1564" s="1369"/>
      <c r="CV1564" s="1509"/>
      <c r="CW1564" s="1509"/>
      <c r="CX1564" s="1509"/>
      <c r="CY1564" s="1514"/>
      <c r="CZ1564" s="1369"/>
      <c r="DA1564" s="1513"/>
      <c r="DB1564" s="1509"/>
      <c r="DC1564" s="1509"/>
      <c r="DD1564" s="1514"/>
      <c r="DE1564" s="1369"/>
      <c r="DF1564" s="1509"/>
      <c r="DG1564" s="1509"/>
      <c r="DH1564" s="1509"/>
      <c r="DI1564" s="1514"/>
      <c r="DJ1564" s="1369"/>
      <c r="DK1564" s="1509"/>
      <c r="DL1564" s="1509"/>
      <c r="DM1564" s="1509"/>
      <c r="DN1564" s="1514"/>
      <c r="DO1564" s="1369"/>
      <c r="DP1564" s="1509"/>
      <c r="DQ1564" s="1509"/>
      <c r="DR1564" s="1509"/>
      <c r="DS1564" s="1514"/>
      <c r="DT1564" s="1369"/>
      <c r="DU1564" s="1509"/>
      <c r="DV1564" s="1509"/>
      <c r="DW1564" s="1509"/>
      <c r="DX1564" s="1514"/>
      <c r="DY1564" s="1369"/>
      <c r="DZ1564" s="1509"/>
      <c r="EA1564" s="1509"/>
      <c r="EB1564" s="1509"/>
      <c r="EC1564" s="1514"/>
      <c r="ED1564" s="1369"/>
      <c r="EE1564" s="1513"/>
      <c r="EF1564" s="1509"/>
      <c r="EG1564" s="1509"/>
      <c r="EH1564" s="1514"/>
      <c r="EI1564" s="1513"/>
      <c r="EJ1564" s="1369"/>
      <c r="EK1564" s="1369"/>
      <c r="EL1564" s="1369"/>
      <c r="EM1564" s="1369"/>
      <c r="EN1564" s="1369"/>
      <c r="EO1564" s="1514"/>
      <c r="EP1564" s="1514"/>
      <c r="EQ1564" s="1514"/>
      <c r="ER1564" s="1514"/>
      <c r="ES1564" s="1369"/>
      <c r="ET1564" s="1514"/>
      <c r="EU1564" s="1514"/>
      <c r="EV1564" s="1514"/>
      <c r="EW1564" s="1514"/>
      <c r="EX1564" s="1369"/>
    </row>
    <row r="1565" spans="1:154" s="1515" customFormat="1">
      <c r="A1565" s="3275"/>
      <c r="B1565" s="907" t="s">
        <v>153</v>
      </c>
      <c r="C1565" s="2027"/>
      <c r="D1565" s="1508"/>
      <c r="E1565" s="1508"/>
      <c r="F1565" s="1509"/>
      <c r="G1565" s="1509"/>
      <c r="H1565" s="1509"/>
      <c r="I1565" s="1509"/>
      <c r="J1565" s="1509"/>
      <c r="K1565" s="1509"/>
      <c r="L1565" s="1509"/>
      <c r="M1565" s="1509"/>
      <c r="N1565" s="1509"/>
      <c r="O1565" s="1510"/>
      <c r="P1565" s="1509"/>
      <c r="Q1565" s="1509"/>
      <c r="R1565" s="1509"/>
      <c r="S1565" s="1509"/>
      <c r="T1565" s="1510"/>
      <c r="U1565" s="1509"/>
      <c r="V1565" s="1509"/>
      <c r="W1565" s="1509"/>
      <c r="X1565" s="1369"/>
      <c r="Y1565" s="1510"/>
      <c r="Z1565" s="1509"/>
      <c r="AA1565" s="1509"/>
      <c r="AB1565" s="1509"/>
      <c r="AC1565" s="1369"/>
      <c r="AD1565" s="1510"/>
      <c r="AE1565" s="1509"/>
      <c r="AF1565" s="1509"/>
      <c r="AG1565" s="1509"/>
      <c r="AH1565" s="1369"/>
      <c r="AI1565" s="1510"/>
      <c r="AJ1565" s="1509"/>
      <c r="AK1565" s="1509"/>
      <c r="AL1565" s="1509"/>
      <c r="AM1565" s="1369"/>
      <c r="AN1565" s="1510"/>
      <c r="AO1565" s="1509"/>
      <c r="AP1565" s="1509"/>
      <c r="AQ1565" s="1511"/>
      <c r="AR1565" s="1369"/>
      <c r="AS1565" s="1510"/>
      <c r="AT1565" s="1509"/>
      <c r="AU1565" s="1509"/>
      <c r="AV1565" s="1509"/>
      <c r="AW1565" s="1369"/>
      <c r="AX1565" s="1510"/>
      <c r="AY1565" s="1509"/>
      <c r="AZ1565" s="1509"/>
      <c r="BA1565" s="1509"/>
      <c r="BB1565" s="1369"/>
      <c r="BC1565" s="1510"/>
      <c r="BD1565" s="1509"/>
      <c r="BE1565" s="1509"/>
      <c r="BF1565" s="1509"/>
      <c r="BG1565" s="1369"/>
      <c r="BH1565" s="1510"/>
      <c r="BI1565" s="1509"/>
      <c r="BJ1565" s="1509"/>
      <c r="BK1565" s="1509"/>
      <c r="BL1565" s="1369"/>
      <c r="BM1565" s="1509"/>
      <c r="BN1565" s="1509"/>
      <c r="BO1565" s="1509"/>
      <c r="BP1565" s="1509"/>
      <c r="BQ1565" s="1369"/>
      <c r="BR1565" s="1509"/>
      <c r="BS1565" s="1509"/>
      <c r="BT1565" s="1509"/>
      <c r="BU1565" s="1509"/>
      <c r="BV1565" s="1369"/>
      <c r="BW1565" s="1512"/>
      <c r="BX1565" s="1509"/>
      <c r="BY1565" s="1509"/>
      <c r="BZ1565" s="1509"/>
      <c r="CA1565" s="1369"/>
      <c r="CB1565" s="1509"/>
      <c r="CC1565" s="1509"/>
      <c r="CD1565" s="1509"/>
      <c r="CE1565" s="1509"/>
      <c r="CF1565" s="1369"/>
      <c r="CG1565" s="1509"/>
      <c r="CH1565" s="1509"/>
      <c r="CI1565" s="1509"/>
      <c r="CJ1565" s="1509"/>
      <c r="CK1565" s="1369"/>
      <c r="CL1565" s="1513"/>
      <c r="CM1565" s="1509"/>
      <c r="CN1565" s="1509"/>
      <c r="CO1565" s="1509"/>
      <c r="CP1565" s="1369"/>
      <c r="CQ1565" s="1509"/>
      <c r="CR1565" s="1509"/>
      <c r="CS1565" s="1509"/>
      <c r="CT1565" s="1514"/>
      <c r="CU1565" s="1369"/>
      <c r="CV1565" s="1509"/>
      <c r="CW1565" s="1509"/>
      <c r="CX1565" s="1509"/>
      <c r="CY1565" s="1514"/>
      <c r="CZ1565" s="1369"/>
      <c r="DA1565" s="1513"/>
      <c r="DB1565" s="1509"/>
      <c r="DC1565" s="1509"/>
      <c r="DD1565" s="1514"/>
      <c r="DE1565" s="1369"/>
      <c r="DF1565" s="1509"/>
      <c r="DG1565" s="1509"/>
      <c r="DH1565" s="1509"/>
      <c r="DI1565" s="1514"/>
      <c r="DJ1565" s="1369"/>
      <c r="DK1565" s="1509"/>
      <c r="DL1565" s="1509"/>
      <c r="DM1565" s="1509"/>
      <c r="DN1565" s="1514"/>
      <c r="DO1565" s="1369"/>
      <c r="DP1565" s="1509"/>
      <c r="DQ1565" s="1509"/>
      <c r="DR1565" s="1509"/>
      <c r="DS1565" s="1514"/>
      <c r="DT1565" s="1369"/>
      <c r="DU1565" s="1512"/>
      <c r="DV1565" s="1512"/>
      <c r="DW1565" s="1512"/>
      <c r="DX1565" s="2137"/>
      <c r="DY1565" s="1520"/>
      <c r="DZ1565" s="1512"/>
      <c r="EA1565" s="1512"/>
      <c r="EB1565" s="1512"/>
      <c r="EC1565" s="2137"/>
      <c r="ED1565" s="1520"/>
      <c r="EE1565" s="1521"/>
      <c r="EF1565" s="1512"/>
      <c r="EG1565" s="1512"/>
      <c r="EH1565" s="2137">
        <f>EI1565</f>
      </c>
      <c r="EI1565" s="2499">
        <v>25</v>
      </c>
      <c r="EJ1565" s="2499">
        <v>325.58268552235768</v>
      </c>
      <c r="EK1565" s="2499">
        <v>979.00275189898309</v>
      </c>
      <c r="EL1565" s="2499">
        <v>1947.7266158928198</v>
      </c>
      <c r="EM1565" s="2499">
        <v>2644.3834422527261</v>
      </c>
      <c r="EN1565" s="2500">
        <v>3478.4217808293702</v>
      </c>
      <c r="EO1565" s="2500">
        <v>4054.518089792035</v>
      </c>
      <c r="EP1565" s="2500">
        <v>4293.0640120442022</v>
      </c>
      <c r="EQ1565" s="2500">
        <v>4444.8195612427653</v>
      </c>
      <c r="ER1565" s="2500">
        <v>4594.2183403212566</v>
      </c>
      <c r="ES1565" s="2500">
        <v>4561.783158838588</v>
      </c>
      <c r="ET1565" s="2500">
        <v>0</v>
      </c>
      <c r="EU1565" s="2500">
        <v>0</v>
      </c>
      <c r="EV1565" s="2500">
        <v>0</v>
      </c>
      <c r="EW1565" s="2500">
        <v>0</v>
      </c>
      <c r="EX1565" s="2501"/>
    </row>
    <row r="1566" spans="1:154" s="1515" customFormat="1">
      <c r="A1566" s="3275"/>
      <c r="B1566" s="907" t="s">
        <v>235</v>
      </c>
      <c r="C1566" s="2027"/>
      <c r="D1566" s="1508"/>
      <c r="E1566" s="1508"/>
      <c r="F1566" s="1509"/>
      <c r="G1566" s="1509"/>
      <c r="H1566" s="1509"/>
      <c r="I1566" s="1509"/>
      <c r="J1566" s="1509"/>
      <c r="K1566" s="1509"/>
      <c r="L1566" s="1509"/>
      <c r="M1566" s="1509"/>
      <c r="N1566" s="1509"/>
      <c r="O1566" s="1510"/>
      <c r="P1566" s="1509"/>
      <c r="Q1566" s="1509"/>
      <c r="R1566" s="1509"/>
      <c r="S1566" s="1509"/>
      <c r="T1566" s="1510"/>
      <c r="U1566" s="1509"/>
      <c r="V1566" s="1509"/>
      <c r="W1566" s="1509"/>
      <c r="X1566" s="1369"/>
      <c r="Y1566" s="1510"/>
      <c r="Z1566" s="1509"/>
      <c r="AA1566" s="1509"/>
      <c r="AB1566" s="1509"/>
      <c r="AC1566" s="1369"/>
      <c r="AD1566" s="1510"/>
      <c r="AE1566" s="1509"/>
      <c r="AF1566" s="1509"/>
      <c r="AG1566" s="1509"/>
      <c r="AH1566" s="1369"/>
      <c r="AI1566" s="1510"/>
      <c r="AJ1566" s="1509"/>
      <c r="AK1566" s="1509"/>
      <c r="AL1566" s="1509"/>
      <c r="AM1566" s="1369"/>
      <c r="AN1566" s="1510"/>
      <c r="AO1566" s="1509"/>
      <c r="AP1566" s="1509"/>
      <c r="AQ1566" s="1511"/>
      <c r="AR1566" s="1369"/>
      <c r="AS1566" s="1510"/>
      <c r="AT1566" s="1509"/>
      <c r="AU1566" s="1509"/>
      <c r="AV1566" s="1509"/>
      <c r="AW1566" s="1369"/>
      <c r="AX1566" s="1510"/>
      <c r="AY1566" s="1509"/>
      <c r="AZ1566" s="1509"/>
      <c r="BA1566" s="1509"/>
      <c r="BB1566" s="1369"/>
      <c r="BC1566" s="1510"/>
      <c r="BD1566" s="1509"/>
      <c r="BE1566" s="1509"/>
      <c r="BF1566" s="1509"/>
      <c r="BG1566" s="1369"/>
      <c r="BH1566" s="1510"/>
      <c r="BI1566" s="1509"/>
      <c r="BJ1566" s="1509"/>
      <c r="BK1566" s="1509"/>
      <c r="BL1566" s="1369"/>
      <c r="BM1566" s="1509"/>
      <c r="BN1566" s="1509"/>
      <c r="BO1566" s="1509"/>
      <c r="BP1566" s="1509"/>
      <c r="BQ1566" s="1369"/>
      <c r="BR1566" s="1509"/>
      <c r="BS1566" s="1509"/>
      <c r="BT1566" s="1509"/>
      <c r="BU1566" s="1509"/>
      <c r="BV1566" s="1369"/>
      <c r="BW1566" s="1512"/>
      <c r="BX1566" s="1509"/>
      <c r="BY1566" s="1509"/>
      <c r="BZ1566" s="1509"/>
      <c r="CA1566" s="1369"/>
      <c r="CB1566" s="1509"/>
      <c r="CC1566" s="1509"/>
      <c r="CD1566" s="1509"/>
      <c r="CE1566" s="1509"/>
      <c r="CF1566" s="1369"/>
      <c r="CG1566" s="1509"/>
      <c r="CH1566" s="1509"/>
      <c r="CI1566" s="1509"/>
      <c r="CJ1566" s="1509"/>
      <c r="CK1566" s="1369"/>
      <c r="CL1566" s="1513"/>
      <c r="CM1566" s="1509"/>
      <c r="CN1566" s="1509"/>
      <c r="CO1566" s="1509"/>
      <c r="CP1566" s="1369"/>
      <c r="CQ1566" s="1509"/>
      <c r="CR1566" s="1509"/>
      <c r="CS1566" s="1509"/>
      <c r="CT1566" s="1514"/>
      <c r="CU1566" s="1369"/>
      <c r="CV1566" s="1509"/>
      <c r="CW1566" s="1509"/>
      <c r="CX1566" s="1509"/>
      <c r="CY1566" s="1514"/>
      <c r="CZ1566" s="1369"/>
      <c r="DA1566" s="1513"/>
      <c r="DB1566" s="1509"/>
      <c r="DC1566" s="1509"/>
      <c r="DD1566" s="1514"/>
      <c r="DE1566" s="1369"/>
      <c r="DF1566" s="1509"/>
      <c r="DG1566" s="1509"/>
      <c r="DH1566" s="1509"/>
      <c r="DI1566" s="1514"/>
      <c r="DJ1566" s="1369"/>
      <c r="DK1566" s="1509"/>
      <c r="DL1566" s="1509"/>
      <c r="DM1566" s="1509"/>
      <c r="DN1566" s="1514"/>
      <c r="DO1566" s="1369"/>
      <c r="DP1566" s="1509"/>
      <c r="DQ1566" s="1509"/>
      <c r="DR1566" s="1509"/>
      <c r="DS1566" s="1514"/>
      <c r="DT1566" s="1369"/>
      <c r="DU1566" s="1512"/>
      <c r="DV1566" s="1512"/>
      <c r="DW1566" s="1512"/>
      <c r="DX1566" s="2137"/>
      <c r="DY1566" s="1520"/>
      <c r="DZ1566" s="1512"/>
      <c r="EA1566" s="1512"/>
      <c r="EB1566" s="1512"/>
      <c r="EC1566" s="2137"/>
      <c r="ED1566" s="1520"/>
      <c r="EE1566" s="1521"/>
      <c r="EF1566" s="1512"/>
      <c r="EG1566" s="1512"/>
      <c r="EH1566" s="2137"/>
      <c r="EI1566" s="2499">
        <v>0</v>
      </c>
      <c r="EJ1566" s="2499">
        <v>0</v>
      </c>
      <c r="EK1566" s="2499">
        <v>97.900275189898309</v>
      </c>
      <c r="EL1566" s="2499">
        <v>194.772661589282</v>
      </c>
      <c r="EM1566" s="2499">
        <v>264.4383442252726</v>
      </c>
      <c r="EN1566" s="2500">
        <v>347.84217808293704</v>
      </c>
      <c r="EO1566" s="2500">
        <v>405.45180897920352</v>
      </c>
      <c r="EP1566" s="2500">
        <v>429.30640120442024</v>
      </c>
      <c r="EQ1566" s="2500">
        <v>444.48195612427656</v>
      </c>
      <c r="ER1566" s="2500">
        <v>459.42183403212567</v>
      </c>
      <c r="ES1566" s="2500">
        <v>456.17831588385883</v>
      </c>
      <c r="ET1566" s="2500">
        <v>0</v>
      </c>
      <c r="EU1566" s="2500">
        <v>0</v>
      </c>
      <c r="EV1566" s="2500">
        <v>0</v>
      </c>
      <c r="EW1566" s="2500">
        <v>0</v>
      </c>
      <c r="EX1566" s="1522"/>
    </row>
    <row r="1567" spans="1:154" s="1515" customFormat="1">
      <c r="A1567" s="3275"/>
      <c r="B1567" s="907" t="s">
        <v>188</v>
      </c>
      <c r="C1567" s="2027"/>
      <c r="D1567" s="1508"/>
      <c r="E1567" s="1508"/>
      <c r="F1567" s="1509"/>
      <c r="G1567" s="1509"/>
      <c r="H1567" s="1509"/>
      <c r="I1567" s="1509"/>
      <c r="J1567" s="1509"/>
      <c r="K1567" s="1509"/>
      <c r="L1567" s="1509"/>
      <c r="M1567" s="1509"/>
      <c r="N1567" s="1509"/>
      <c r="O1567" s="1510"/>
      <c r="P1567" s="1509"/>
      <c r="Q1567" s="1509"/>
      <c r="R1567" s="1509"/>
      <c r="S1567" s="1509"/>
      <c r="T1567" s="1510"/>
      <c r="U1567" s="1509"/>
      <c r="V1567" s="1509"/>
      <c r="W1567" s="1509"/>
      <c r="X1567" s="1369"/>
      <c r="Y1567" s="1510"/>
      <c r="Z1567" s="1509"/>
      <c r="AA1567" s="1509"/>
      <c r="AB1567" s="1509"/>
      <c r="AC1567" s="1369"/>
      <c r="AD1567" s="1510"/>
      <c r="AE1567" s="1509"/>
      <c r="AF1567" s="1509"/>
      <c r="AG1567" s="1509"/>
      <c r="AH1567" s="1369"/>
      <c r="AI1567" s="1510"/>
      <c r="AJ1567" s="1509"/>
      <c r="AK1567" s="1509"/>
      <c r="AL1567" s="1509"/>
      <c r="AM1567" s="1369"/>
      <c r="AN1567" s="1510"/>
      <c r="AO1567" s="1509"/>
      <c r="AP1567" s="1509"/>
      <c r="AQ1567" s="1511"/>
      <c r="AR1567" s="1369"/>
      <c r="AS1567" s="1510"/>
      <c r="AT1567" s="1509"/>
      <c r="AU1567" s="1509"/>
      <c r="AV1567" s="1509"/>
      <c r="AW1567" s="1369"/>
      <c r="AX1567" s="1510"/>
      <c r="AY1567" s="1509"/>
      <c r="AZ1567" s="1509"/>
      <c r="BA1567" s="1509"/>
      <c r="BB1567" s="1369"/>
      <c r="BC1567" s="1510"/>
      <c r="BD1567" s="1509"/>
      <c r="BE1567" s="1509"/>
      <c r="BF1567" s="1509"/>
      <c r="BG1567" s="1369"/>
      <c r="BH1567" s="1510"/>
      <c r="BI1567" s="1509"/>
      <c r="BJ1567" s="1509"/>
      <c r="BK1567" s="1509"/>
      <c r="BL1567" s="1369"/>
      <c r="BM1567" s="1509"/>
      <c r="BN1567" s="1509"/>
      <c r="BO1567" s="1509"/>
      <c r="BP1567" s="1509"/>
      <c r="BQ1567" s="1369"/>
      <c r="BR1567" s="1509"/>
      <c r="BS1567" s="1509"/>
      <c r="BT1567" s="1509"/>
      <c r="BU1567" s="1509"/>
      <c r="BV1567" s="1369"/>
      <c r="BW1567" s="1512"/>
      <c r="BX1567" s="1509"/>
      <c r="BY1567" s="1509"/>
      <c r="BZ1567" s="1509"/>
      <c r="CA1567" s="1369"/>
      <c r="CB1567" s="1509"/>
      <c r="CC1567" s="1509"/>
      <c r="CD1567" s="1509"/>
      <c r="CE1567" s="1509"/>
      <c r="CF1567" s="1369"/>
      <c r="CG1567" s="1509"/>
      <c r="CH1567" s="1509"/>
      <c r="CI1567" s="1509"/>
      <c r="CJ1567" s="1509"/>
      <c r="CK1567" s="1369"/>
      <c r="CL1567" s="1513"/>
      <c r="CM1567" s="1509"/>
      <c r="CN1567" s="1509"/>
      <c r="CO1567" s="1509"/>
      <c r="CP1567" s="1369"/>
      <c r="CQ1567" s="1509"/>
      <c r="CR1567" s="1509"/>
      <c r="CS1567" s="1509"/>
      <c r="CT1567" s="1514"/>
      <c r="CU1567" s="1369"/>
      <c r="CV1567" s="1509"/>
      <c r="CW1567" s="1509"/>
      <c r="CX1567" s="1509"/>
      <c r="CY1567" s="1514"/>
      <c r="CZ1567" s="1369"/>
      <c r="DA1567" s="1513"/>
      <c r="DB1567" s="1509"/>
      <c r="DC1567" s="1509"/>
      <c r="DD1567" s="1514"/>
      <c r="DE1567" s="1369"/>
      <c r="DF1567" s="1509"/>
      <c r="DG1567" s="1509"/>
      <c r="DH1567" s="1509"/>
      <c r="DI1567" s="1514"/>
      <c r="DJ1567" s="1369"/>
      <c r="DK1567" s="1509"/>
      <c r="DL1567" s="1509"/>
      <c r="DM1567" s="1509"/>
      <c r="DN1567" s="1514"/>
      <c r="DO1567" s="1369"/>
      <c r="DP1567" s="1509"/>
      <c r="DQ1567" s="1509"/>
      <c r="DR1567" s="1509"/>
      <c r="DS1567" s="1514"/>
      <c r="DT1567" s="1369"/>
      <c r="DU1567" s="1509"/>
      <c r="DV1567" s="1509"/>
      <c r="DW1567" s="1509"/>
      <c r="DX1567" s="1514"/>
      <c r="DY1567" s="1369"/>
      <c r="DZ1567" s="1509"/>
      <c r="EA1567" s="1509"/>
      <c r="EB1567" s="1509"/>
      <c r="EC1567" s="1514"/>
      <c r="ED1567" s="1369"/>
      <c r="EE1567" s="1509"/>
      <c r="EF1567" s="1509"/>
      <c r="EG1567" s="1509"/>
      <c r="EH1567" s="1514"/>
      <c r="EI1567" s="1369">
        <f t="shared" ref="EI1567" si="2993">SUM(EI1565:EI1566)</f>
      </c>
      <c r="EJ1567" s="1369">
        <f t="shared" ref="EJ1567:EN1567" si="2994">SUM(EJ1565:EJ1566)</f>
      </c>
      <c r="EK1567" s="1369">
        <f t="shared" si="2994"/>
      </c>
      <c r="EL1567" s="1369">
        <f t="shared" si="2994"/>
      </c>
      <c r="EM1567" s="1369">
        <f t="shared" si="2994"/>
      </c>
      <c r="EN1567" s="1369">
        <f t="shared" si="2994"/>
      </c>
      <c r="EO1567" s="1369">
        <f t="shared" ref="EO1567:ES1567" si="2995">SUM(EO1565:EO1566)</f>
      </c>
      <c r="EP1567" s="1369">
        <f t="shared" si="2995"/>
      </c>
      <c r="EQ1567" s="1369">
        <f t="shared" si="2995"/>
      </c>
      <c r="ER1567" s="1369">
        <f t="shared" si="2995"/>
      </c>
      <c r="ES1567" s="1369">
        <f t="shared" si="2995"/>
      </c>
      <c r="ET1567" s="1369">
        <f t="shared" ref="ET1567:EW1567" si="2996">SUM(ET1565:ET1566)</f>
      </c>
      <c r="EU1567" s="1369">
        <f t="shared" si="2996"/>
      </c>
      <c r="EV1567" s="1369">
        <f t="shared" si="2996"/>
      </c>
      <c r="EW1567" s="1369">
        <f t="shared" si="2996"/>
      </c>
      <c r="EX1567" s="1514"/>
    </row>
    <row r="1568" spans="1:154" s="1515" customFormat="1">
      <c r="A1568" s="3275"/>
      <c r="B1568" s="907"/>
      <c r="C1568" s="2027"/>
      <c r="D1568" s="1508"/>
      <c r="E1568" s="1508"/>
      <c r="F1568" s="1509"/>
      <c r="G1568" s="1509"/>
      <c r="H1568" s="1509"/>
      <c r="I1568" s="1509"/>
      <c r="J1568" s="1509"/>
      <c r="K1568" s="1509"/>
      <c r="L1568" s="1509"/>
      <c r="M1568" s="1509"/>
      <c r="N1568" s="1509"/>
      <c r="O1568" s="1510"/>
      <c r="P1568" s="1509"/>
      <c r="Q1568" s="1509"/>
      <c r="R1568" s="1509"/>
      <c r="S1568" s="1509"/>
      <c r="T1568" s="1510"/>
      <c r="U1568" s="1509"/>
      <c r="V1568" s="1509"/>
      <c r="W1568" s="1509"/>
      <c r="X1568" s="1369"/>
      <c r="Y1568" s="1510"/>
      <c r="Z1568" s="1509"/>
      <c r="AA1568" s="1509"/>
      <c r="AB1568" s="1509"/>
      <c r="AC1568" s="1369"/>
      <c r="AD1568" s="1510"/>
      <c r="AE1568" s="1509"/>
      <c r="AF1568" s="1509"/>
      <c r="AG1568" s="1509"/>
      <c r="AH1568" s="1369"/>
      <c r="AI1568" s="1510"/>
      <c r="AJ1568" s="1509"/>
      <c r="AK1568" s="1509"/>
      <c r="AL1568" s="1509"/>
      <c r="AM1568" s="1369"/>
      <c r="AN1568" s="1510"/>
      <c r="AO1568" s="1509"/>
      <c r="AP1568" s="1509"/>
      <c r="AQ1568" s="1511"/>
      <c r="AR1568" s="1369"/>
      <c r="AS1568" s="1510"/>
      <c r="AT1568" s="1509"/>
      <c r="AU1568" s="1509"/>
      <c r="AV1568" s="1509"/>
      <c r="AW1568" s="1369"/>
      <c r="AX1568" s="1510"/>
      <c r="AY1568" s="1509"/>
      <c r="AZ1568" s="1509"/>
      <c r="BA1568" s="1509"/>
      <c r="BB1568" s="1369"/>
      <c r="BC1568" s="1510"/>
      <c r="BD1568" s="1509"/>
      <c r="BE1568" s="1509"/>
      <c r="BF1568" s="1509"/>
      <c r="BG1568" s="1369"/>
      <c r="BH1568" s="1510"/>
      <c r="BI1568" s="1509"/>
      <c r="BJ1568" s="1509"/>
      <c r="BK1568" s="1509"/>
      <c r="BL1568" s="1369"/>
      <c r="BM1568" s="1509"/>
      <c r="BN1568" s="1509"/>
      <c r="BO1568" s="1509"/>
      <c r="BP1568" s="1509"/>
      <c r="BQ1568" s="1369"/>
      <c r="BR1568" s="1509"/>
      <c r="BS1568" s="1509"/>
      <c r="BT1568" s="1509"/>
      <c r="BU1568" s="1509"/>
      <c r="BV1568" s="1369"/>
      <c r="BW1568" s="1512"/>
      <c r="BX1568" s="1509"/>
      <c r="BY1568" s="1509"/>
      <c r="BZ1568" s="1509"/>
      <c r="CA1568" s="1369"/>
      <c r="CB1568" s="1509"/>
      <c r="CC1568" s="1509"/>
      <c r="CD1568" s="1509"/>
      <c r="CE1568" s="1509"/>
      <c r="CF1568" s="1369"/>
      <c r="CG1568" s="1509"/>
      <c r="CH1568" s="1509"/>
      <c r="CI1568" s="1509"/>
      <c r="CJ1568" s="1509"/>
      <c r="CK1568" s="1369"/>
      <c r="CL1568" s="1513"/>
      <c r="CM1568" s="1509"/>
      <c r="CN1568" s="1509"/>
      <c r="CO1568" s="1509"/>
      <c r="CP1568" s="1369"/>
      <c r="CQ1568" s="1509"/>
      <c r="CR1568" s="1509"/>
      <c r="CS1568" s="1509"/>
      <c r="CT1568" s="1514"/>
      <c r="CU1568" s="1369"/>
      <c r="CV1568" s="1509"/>
      <c r="CW1568" s="1509"/>
      <c r="CX1568" s="1509"/>
      <c r="CY1568" s="1514"/>
      <c r="CZ1568" s="1369"/>
      <c r="DA1568" s="1513"/>
      <c r="DB1568" s="1509"/>
      <c r="DC1568" s="1509"/>
      <c r="DD1568" s="1514"/>
      <c r="DE1568" s="1369"/>
      <c r="DF1568" s="1509"/>
      <c r="DG1568" s="1509"/>
      <c r="DH1568" s="1509"/>
      <c r="DI1568" s="1514"/>
      <c r="DJ1568" s="1369"/>
      <c r="DK1568" s="1509"/>
      <c r="DL1568" s="1509"/>
      <c r="DM1568" s="1509"/>
      <c r="DN1568" s="1514"/>
      <c r="DO1568" s="1369"/>
      <c r="DP1568" s="1509"/>
      <c r="DQ1568" s="1509"/>
      <c r="DR1568" s="1509"/>
      <c r="DS1568" s="1514"/>
      <c r="DT1568" s="1369"/>
      <c r="DU1568" s="1509"/>
      <c r="DV1568" s="1509"/>
      <c r="DW1568" s="1509"/>
      <c r="DX1568" s="1514"/>
      <c r="DY1568" s="1369"/>
      <c r="DZ1568" s="1509"/>
      <c r="EA1568" s="1509"/>
      <c r="EB1568" s="1509"/>
      <c r="EC1568" s="1514"/>
      <c r="ED1568" s="1369"/>
      <c r="EE1568" s="1513"/>
      <c r="EF1568" s="1509"/>
      <c r="EG1568" s="1509"/>
      <c r="EH1568" s="1514"/>
      <c r="EI1568" s="1513"/>
      <c r="EJ1568" s="1513"/>
      <c r="EK1568" s="1513"/>
      <c r="EL1568" s="1513"/>
      <c r="EM1568" s="1513"/>
      <c r="EN1568" s="1369"/>
      <c r="EO1568" s="1369"/>
      <c r="EP1568" s="1369"/>
      <c r="EQ1568" s="1369"/>
      <c r="ER1568" s="1369"/>
      <c r="ES1568" s="1369"/>
      <c r="ET1568" s="1369"/>
      <c r="EU1568" s="1369"/>
      <c r="EV1568" s="1369"/>
      <c r="EW1568" s="1369"/>
      <c r="EX1568" s="1514"/>
    </row>
    <row r="1569" spans="1:154" s="1515" customFormat="1">
      <c r="A1569" s="3275"/>
      <c r="B1569" s="906" t="s">
        <v>1031</v>
      </c>
      <c r="C1569" s="2027"/>
      <c r="D1569" s="1508"/>
      <c r="E1569" s="1508"/>
      <c r="F1569" s="1509"/>
      <c r="G1569" s="1509"/>
      <c r="H1569" s="1509"/>
      <c r="I1569" s="1509"/>
      <c r="J1569" s="1509"/>
      <c r="K1569" s="1509"/>
      <c r="L1569" s="1509"/>
      <c r="M1569" s="1509"/>
      <c r="N1569" s="1509"/>
      <c r="O1569" s="1510"/>
      <c r="P1569" s="1509"/>
      <c r="Q1569" s="1509"/>
      <c r="R1569" s="1509"/>
      <c r="S1569" s="1509"/>
      <c r="T1569" s="1510"/>
      <c r="U1569" s="1509"/>
      <c r="V1569" s="1509"/>
      <c r="W1569" s="1509"/>
      <c r="X1569" s="1369"/>
      <c r="Y1569" s="1510"/>
      <c r="Z1569" s="1509"/>
      <c r="AA1569" s="1509"/>
      <c r="AB1569" s="1509"/>
      <c r="AC1569" s="1369"/>
      <c r="AD1569" s="1510"/>
      <c r="AE1569" s="1509"/>
      <c r="AF1569" s="1509"/>
      <c r="AG1569" s="1509"/>
      <c r="AH1569" s="1369"/>
      <c r="AI1569" s="1510"/>
      <c r="AJ1569" s="1509"/>
      <c r="AK1569" s="1509"/>
      <c r="AL1569" s="1509"/>
      <c r="AM1569" s="1369"/>
      <c r="AN1569" s="1510"/>
      <c r="AO1569" s="1509"/>
      <c r="AP1569" s="1509"/>
      <c r="AQ1569" s="1511"/>
      <c r="AR1569" s="1369"/>
      <c r="AS1569" s="1510"/>
      <c r="AT1569" s="1509"/>
      <c r="AU1569" s="1509"/>
      <c r="AV1569" s="1509"/>
      <c r="AW1569" s="1369"/>
      <c r="AX1569" s="1510"/>
      <c r="AY1569" s="1509"/>
      <c r="AZ1569" s="1509"/>
      <c r="BA1569" s="1509"/>
      <c r="BB1569" s="1369"/>
      <c r="BC1569" s="1510"/>
      <c r="BD1569" s="1509"/>
      <c r="BE1569" s="1509"/>
      <c r="BF1569" s="1509"/>
      <c r="BG1569" s="1369"/>
      <c r="BH1569" s="1510"/>
      <c r="BI1569" s="1509"/>
      <c r="BJ1569" s="1509"/>
      <c r="BK1569" s="1509"/>
      <c r="BL1569" s="1369"/>
      <c r="BM1569" s="1509"/>
      <c r="BN1569" s="1509"/>
      <c r="BO1569" s="1509"/>
      <c r="BP1569" s="1509"/>
      <c r="BQ1569" s="1369"/>
      <c r="BR1569" s="1509"/>
      <c r="BS1569" s="1509"/>
      <c r="BT1569" s="1509"/>
      <c r="BU1569" s="1509"/>
      <c r="BV1569" s="1369"/>
      <c r="BW1569" s="1512"/>
      <c r="BX1569" s="1509"/>
      <c r="BY1569" s="1509"/>
      <c r="BZ1569" s="1509"/>
      <c r="CA1569" s="1369"/>
      <c r="CB1569" s="1509"/>
      <c r="CC1569" s="1509"/>
      <c r="CD1569" s="1509"/>
      <c r="CE1569" s="1509"/>
      <c r="CF1569" s="1369"/>
      <c r="CG1569" s="1509"/>
      <c r="CH1569" s="1509"/>
      <c r="CI1569" s="1509"/>
      <c r="CJ1569" s="1509"/>
      <c r="CK1569" s="1369"/>
      <c r="CL1569" s="1513"/>
      <c r="CM1569" s="1509"/>
      <c r="CN1569" s="1509"/>
      <c r="CO1569" s="1509"/>
      <c r="CP1569" s="1369"/>
      <c r="CQ1569" s="1509"/>
      <c r="CR1569" s="1509"/>
      <c r="CS1569" s="1509"/>
      <c r="CT1569" s="1514"/>
      <c r="CU1569" s="1369"/>
      <c r="CV1569" s="1509"/>
      <c r="CW1569" s="1509"/>
      <c r="CX1569" s="1509"/>
      <c r="CY1569" s="1514"/>
      <c r="CZ1569" s="1369"/>
      <c r="DA1569" s="1513"/>
      <c r="DB1569" s="1509"/>
      <c r="DC1569" s="1509"/>
      <c r="DD1569" s="1514"/>
      <c r="DE1569" s="1369"/>
      <c r="DF1569" s="1509"/>
      <c r="DG1569" s="1509"/>
      <c r="DH1569" s="1509"/>
      <c r="DI1569" s="1514"/>
      <c r="DJ1569" s="1369"/>
      <c r="DK1569" s="1509"/>
      <c r="DL1569" s="1509"/>
      <c r="DM1569" s="1509"/>
      <c r="DN1569" s="1514"/>
      <c r="DO1569" s="1369"/>
      <c r="DP1569" s="1509"/>
      <c r="DQ1569" s="1509"/>
      <c r="DR1569" s="1509"/>
      <c r="DS1569" s="1514"/>
      <c r="DT1569" s="1369"/>
      <c r="DU1569" s="1509"/>
      <c r="DV1569" s="1509"/>
      <c r="DW1569" s="1509"/>
      <c r="DX1569" s="1514"/>
      <c r="DY1569" s="1369"/>
      <c r="DZ1569" s="1509"/>
      <c r="EA1569" s="1509"/>
      <c r="EB1569" s="1509"/>
      <c r="EC1569" s="1514"/>
      <c r="ED1569" s="1369"/>
      <c r="EE1569" s="1513"/>
      <c r="EF1569" s="1509"/>
      <c r="EG1569" s="1509"/>
      <c r="EH1569" s="1514"/>
      <c r="EI1569" s="1513"/>
      <c r="EJ1569" s="1513"/>
      <c r="EK1569" s="1513"/>
      <c r="EL1569" s="1513"/>
      <c r="EM1569" s="1513"/>
      <c r="EN1569" s="1369"/>
      <c r="EO1569" s="1369"/>
      <c r="EP1569" s="1369"/>
      <c r="EQ1569" s="1369"/>
      <c r="ER1569" s="1369"/>
      <c r="ES1569" s="1369"/>
      <c r="ET1569" s="1369"/>
      <c r="EU1569" s="1369"/>
      <c r="EV1569" s="1369"/>
      <c r="EW1569" s="1369"/>
      <c r="EX1569" s="1514"/>
    </row>
    <row r="1570" spans="1:154" s="1515" customFormat="1">
      <c r="A1570" s="3275"/>
      <c r="B1570" s="907" t="s">
        <v>153</v>
      </c>
      <c r="C1570" s="3287" t="s">
        <v>911</v>
      </c>
      <c r="D1570" s="1508"/>
      <c r="E1570" s="1508"/>
      <c r="F1570" s="1509"/>
      <c r="G1570" s="1509"/>
      <c r="H1570" s="1509"/>
      <c r="I1570" s="1509"/>
      <c r="J1570" s="1509"/>
      <c r="K1570" s="1509"/>
      <c r="L1570" s="1509"/>
      <c r="M1570" s="1509"/>
      <c r="N1570" s="1509"/>
      <c r="O1570" s="1510"/>
      <c r="P1570" s="1509"/>
      <c r="Q1570" s="1509"/>
      <c r="R1570" s="1509"/>
      <c r="S1570" s="1509"/>
      <c r="T1570" s="1510"/>
      <c r="U1570" s="1509"/>
      <c r="V1570" s="1509"/>
      <c r="W1570" s="1509"/>
      <c r="X1570" s="1369"/>
      <c r="Y1570" s="1510"/>
      <c r="Z1570" s="1509"/>
      <c r="AA1570" s="1509"/>
      <c r="AB1570" s="1509"/>
      <c r="AC1570" s="1369"/>
      <c r="AD1570" s="1510"/>
      <c r="AE1570" s="1509"/>
      <c r="AF1570" s="1509"/>
      <c r="AG1570" s="1509"/>
      <c r="AH1570" s="1369"/>
      <c r="AI1570" s="1510"/>
      <c r="AJ1570" s="1509"/>
      <c r="AK1570" s="1509"/>
      <c r="AL1570" s="1509"/>
      <c r="AM1570" s="1369"/>
      <c r="AN1570" s="1510"/>
      <c r="AO1570" s="1509"/>
      <c r="AP1570" s="1509"/>
      <c r="AQ1570" s="1511"/>
      <c r="AR1570" s="1369"/>
      <c r="AS1570" s="1510"/>
      <c r="AT1570" s="1509"/>
      <c r="AU1570" s="1509"/>
      <c r="AV1570" s="1509"/>
      <c r="AW1570" s="1369"/>
      <c r="AX1570" s="1510"/>
      <c r="AY1570" s="1509"/>
      <c r="AZ1570" s="1509"/>
      <c r="BA1570" s="1509"/>
      <c r="BB1570" s="1369"/>
      <c r="BC1570" s="1510"/>
      <c r="BD1570" s="1509"/>
      <c r="BE1570" s="1509"/>
      <c r="BF1570" s="1509"/>
      <c r="BG1570" s="1369"/>
      <c r="BH1570" s="1510"/>
      <c r="BI1570" s="1509"/>
      <c r="BJ1570" s="1509"/>
      <c r="BK1570" s="1509"/>
      <c r="BL1570" s="1369"/>
      <c r="BM1570" s="1509"/>
      <c r="BN1570" s="1509"/>
      <c r="BO1570" s="1509"/>
      <c r="BP1570" s="1509"/>
      <c r="BQ1570" s="1369"/>
      <c r="BR1570" s="1509"/>
      <c r="BS1570" s="1509"/>
      <c r="BT1570" s="1509"/>
      <c r="BU1570" s="1509"/>
      <c r="BV1570" s="1369"/>
      <c r="BW1570" s="1512"/>
      <c r="BX1570" s="1509"/>
      <c r="BY1570" s="1509"/>
      <c r="BZ1570" s="1509"/>
      <c r="CA1570" s="1369"/>
      <c r="CB1570" s="1509"/>
      <c r="CC1570" s="1509"/>
      <c r="CD1570" s="1509"/>
      <c r="CE1570" s="1509"/>
      <c r="CF1570" s="1369"/>
      <c r="CG1570" s="1509"/>
      <c r="CH1570" s="1509"/>
      <c r="CI1570" s="1509"/>
      <c r="CJ1570" s="1509"/>
      <c r="CK1570" s="1369"/>
      <c r="CL1570" s="1513"/>
      <c r="CM1570" s="1509"/>
      <c r="CN1570" s="1509"/>
      <c r="CO1570" s="1509"/>
      <c r="CP1570" s="1369"/>
      <c r="CQ1570" s="1509"/>
      <c r="CR1570" s="1509"/>
      <c r="CS1570" s="1509"/>
      <c r="CT1570" s="1514"/>
      <c r="CU1570" s="1369"/>
      <c r="CV1570" s="1509"/>
      <c r="CW1570" s="1509"/>
      <c r="CX1570" s="1509"/>
      <c r="CY1570" s="1514"/>
      <c r="CZ1570" s="1369"/>
      <c r="DA1570" s="1513"/>
      <c r="DB1570" s="1509"/>
      <c r="DC1570" s="1509"/>
      <c r="DD1570" s="1514"/>
      <c r="DE1570" s="1369"/>
      <c r="DF1570" s="1509"/>
      <c r="DG1570" s="1509"/>
      <c r="DH1570" s="1509"/>
      <c r="DI1570" s="1514"/>
      <c r="DJ1570" s="1369"/>
      <c r="DK1570" s="1509"/>
      <c r="DL1570" s="1509"/>
      <c r="DM1570" s="1509"/>
      <c r="DN1570" s="1514"/>
      <c r="DO1570" s="1369"/>
      <c r="DP1570" s="1509"/>
      <c r="DQ1570" s="1509"/>
      <c r="DR1570" s="1509"/>
      <c r="DS1570" s="1514"/>
      <c r="DT1570" s="899"/>
      <c r="DU1570" s="1509"/>
      <c r="DV1570" s="1509"/>
      <c r="DW1570" s="1509"/>
      <c r="DX1570" s="1514"/>
      <c r="DY1570" s="899"/>
      <c r="DZ1570" s="1509"/>
      <c r="EA1570" s="1509"/>
      <c r="EB1570" s="1509"/>
      <c r="EC1570" s="1514"/>
      <c r="ED1570" s="899"/>
      <c r="EE1570" s="1521"/>
      <c r="EF1570" s="1512"/>
      <c r="EG1570" s="1509"/>
      <c r="EH1570" s="2137">
        <f t="shared" ref="EH1570" si="2997">EH1565</f>
      </c>
      <c r="EI1570" s="1015">
        <f>EI1565</f>
      </c>
      <c r="EJ1570" s="1015">
        <v>325.58268552235768</v>
      </c>
      <c r="EK1570" s="1015">
        <v>979.00275189898309</v>
      </c>
      <c r="EL1570" s="1015">
        <v>1853.8408195645516</v>
      </c>
      <c r="EM1570" s="1015">
        <v>2501.8879694043067</v>
      </c>
      <c r="EN1570" s="899">
        <v>3281.0078117324656</v>
      </c>
      <c r="EO1570" s="899">
        <v>3804.0427730014776</v>
      </c>
      <c r="EP1570" s="899">
        <v>3990.5215030769568</v>
      </c>
      <c r="EQ1570" s="899">
        <v>4089.7936280517497</v>
      </c>
      <c r="ER1570" s="899">
        <v>4187.4651286643093</v>
      </c>
      <c r="ES1570" s="899">
        <v>4157.9016248559392</v>
      </c>
      <c r="ET1570" s="2500">
        <v>0</v>
      </c>
      <c r="EU1570" s="2500">
        <v>0</v>
      </c>
      <c r="EV1570" s="2500">
        <v>0</v>
      </c>
      <c r="EW1570" s="2500">
        <v>0</v>
      </c>
      <c r="EX1570" s="3288"/>
    </row>
    <row r="1571" spans="1:154" s="1515" customFormat="1">
      <c r="A1571" s="3275"/>
      <c r="B1571" s="907" t="s">
        <v>235</v>
      </c>
      <c r="C1571" s="3287" t="s">
        <v>911</v>
      </c>
      <c r="D1571" s="1508"/>
      <c r="E1571" s="1508"/>
      <c r="F1571" s="1509"/>
      <c r="G1571" s="1509"/>
      <c r="H1571" s="1509"/>
      <c r="I1571" s="1509"/>
      <c r="J1571" s="1509"/>
      <c r="K1571" s="1509"/>
      <c r="L1571" s="1509"/>
      <c r="M1571" s="1509"/>
      <c r="N1571" s="1509"/>
      <c r="O1571" s="1510"/>
      <c r="P1571" s="1509"/>
      <c r="Q1571" s="1509"/>
      <c r="R1571" s="1509"/>
      <c r="S1571" s="1509"/>
      <c r="T1571" s="1510"/>
      <c r="U1571" s="1509"/>
      <c r="V1571" s="1509"/>
      <c r="W1571" s="1509"/>
      <c r="X1571" s="1369"/>
      <c r="Y1571" s="1510"/>
      <c r="Z1571" s="1509"/>
      <c r="AA1571" s="1509"/>
      <c r="AB1571" s="1509"/>
      <c r="AC1571" s="1369"/>
      <c r="AD1571" s="1510"/>
      <c r="AE1571" s="1509"/>
      <c r="AF1571" s="1509"/>
      <c r="AG1571" s="1509"/>
      <c r="AH1571" s="1369"/>
      <c r="AI1571" s="1510"/>
      <c r="AJ1571" s="1509"/>
      <c r="AK1571" s="1509"/>
      <c r="AL1571" s="1509"/>
      <c r="AM1571" s="1369"/>
      <c r="AN1571" s="1510"/>
      <c r="AO1571" s="1509"/>
      <c r="AP1571" s="1509"/>
      <c r="AQ1571" s="1511"/>
      <c r="AR1571" s="1369"/>
      <c r="AS1571" s="1510"/>
      <c r="AT1571" s="1509"/>
      <c r="AU1571" s="1509"/>
      <c r="AV1571" s="1509"/>
      <c r="AW1571" s="1369"/>
      <c r="AX1571" s="1510"/>
      <c r="AY1571" s="1509"/>
      <c r="AZ1571" s="1509"/>
      <c r="BA1571" s="1509"/>
      <c r="BB1571" s="1369"/>
      <c r="BC1571" s="1510"/>
      <c r="BD1571" s="1509"/>
      <c r="BE1571" s="1509"/>
      <c r="BF1571" s="1509"/>
      <c r="BG1571" s="1369"/>
      <c r="BH1571" s="1510"/>
      <c r="BI1571" s="1509"/>
      <c r="BJ1571" s="1509"/>
      <c r="BK1571" s="1509"/>
      <c r="BL1571" s="1369"/>
      <c r="BM1571" s="1509"/>
      <c r="BN1571" s="1509"/>
      <c r="BO1571" s="1509"/>
      <c r="BP1571" s="1509"/>
      <c r="BQ1571" s="1369"/>
      <c r="BR1571" s="1509"/>
      <c r="BS1571" s="1509"/>
      <c r="BT1571" s="1509"/>
      <c r="BU1571" s="1509"/>
      <c r="BV1571" s="1369"/>
      <c r="BW1571" s="1512"/>
      <c r="BX1571" s="1509"/>
      <c r="BY1571" s="1509"/>
      <c r="BZ1571" s="1509"/>
      <c r="CA1571" s="1369"/>
      <c r="CB1571" s="1509"/>
      <c r="CC1571" s="1509"/>
      <c r="CD1571" s="1509"/>
      <c r="CE1571" s="1509"/>
      <c r="CF1571" s="1369"/>
      <c r="CG1571" s="1509"/>
      <c r="CH1571" s="1509"/>
      <c r="CI1571" s="1509"/>
      <c r="CJ1571" s="1509"/>
      <c r="CK1571" s="1369"/>
      <c r="CL1571" s="1513"/>
      <c r="CM1571" s="1509"/>
      <c r="CN1571" s="1509"/>
      <c r="CO1571" s="1509"/>
      <c r="CP1571" s="1369"/>
      <c r="CQ1571" s="1509"/>
      <c r="CR1571" s="1509"/>
      <c r="CS1571" s="1509"/>
      <c r="CT1571" s="1514"/>
      <c r="CU1571" s="1369"/>
      <c r="CV1571" s="1509"/>
      <c r="CW1571" s="1509"/>
      <c r="CX1571" s="1509"/>
      <c r="CY1571" s="1514"/>
      <c r="CZ1571" s="1369"/>
      <c r="DA1571" s="1513"/>
      <c r="DB1571" s="1509"/>
      <c r="DC1571" s="1509"/>
      <c r="DD1571" s="1514"/>
      <c r="DE1571" s="1369"/>
      <c r="DF1571" s="1509"/>
      <c r="DG1571" s="1509"/>
      <c r="DH1571" s="1509"/>
      <c r="DI1571" s="1514"/>
      <c r="DJ1571" s="1369"/>
      <c r="DK1571" s="1509"/>
      <c r="DL1571" s="1509"/>
      <c r="DM1571" s="1509"/>
      <c r="DN1571" s="1514"/>
      <c r="DO1571" s="1369"/>
      <c r="DP1571" s="1509"/>
      <c r="DQ1571" s="1509"/>
      <c r="DR1571" s="1509"/>
      <c r="DS1571" s="1514"/>
      <c r="DT1571" s="899"/>
      <c r="DU1571" s="1509"/>
      <c r="DV1571" s="1509"/>
      <c r="DW1571" s="1509"/>
      <c r="DX1571" s="1514"/>
      <c r="DY1571" s="899"/>
      <c r="DZ1571" s="1509"/>
      <c r="EA1571" s="1509"/>
      <c r="EB1571" s="1509"/>
      <c r="EC1571" s="1514"/>
      <c r="ED1571" s="899"/>
      <c r="EE1571" s="1521"/>
      <c r="EF1571" s="1512"/>
      <c r="EG1571" s="1512"/>
      <c r="EH1571" s="2137"/>
      <c r="EI1571" s="1015">
        <v>0</v>
      </c>
      <c r="EJ1571" s="1015">
        <v>0</v>
      </c>
      <c r="EK1571" s="1015">
        <v>97.900275189898309</v>
      </c>
      <c r="EL1571" s="1015">
        <v>185.38408195645516</v>
      </c>
      <c r="EM1571" s="1015">
        <v>250.18879694043068</v>
      </c>
      <c r="EN1571" s="899">
        <v>328.10078117324656</v>
      </c>
      <c r="EO1571" s="899">
        <v>380.40427730014778</v>
      </c>
      <c r="EP1571" s="899">
        <v>399.05215030769568</v>
      </c>
      <c r="EQ1571" s="899">
        <v>408.97936280517501</v>
      </c>
      <c r="ER1571" s="899">
        <v>418.74651286643098</v>
      </c>
      <c r="ES1571" s="899">
        <v>415.79016248559395</v>
      </c>
      <c r="ET1571" s="2500">
        <v>0</v>
      </c>
      <c r="EU1571" s="2500">
        <v>0</v>
      </c>
      <c r="EV1571" s="2500">
        <v>0</v>
      </c>
      <c r="EW1571" s="2500">
        <v>0</v>
      </c>
      <c r="EX1571" s="1514"/>
    </row>
    <row r="1572" spans="1:154" s="1515" customFormat="1">
      <c r="A1572" s="3275" t="s">
        <v>818</v>
      </c>
      <c r="B1572" s="907" t="s">
        <v>188</v>
      </c>
      <c r="C1572" s="1392" t="s">
        <v>585</v>
      </c>
      <c r="D1572" s="1508"/>
      <c r="E1572" s="1508"/>
      <c r="F1572" s="1509"/>
      <c r="G1572" s="1509"/>
      <c r="H1572" s="1509"/>
      <c r="I1572" s="1509"/>
      <c r="J1572" s="1509"/>
      <c r="K1572" s="1509"/>
      <c r="L1572" s="1509"/>
      <c r="M1572" s="1509"/>
      <c r="N1572" s="1509"/>
      <c r="O1572" s="1510"/>
      <c r="P1572" s="1509"/>
      <c r="Q1572" s="1509"/>
      <c r="R1572" s="1509"/>
      <c r="S1572" s="1509"/>
      <c r="T1572" s="1510"/>
      <c r="U1572" s="1509"/>
      <c r="V1572" s="1509"/>
      <c r="W1572" s="1509"/>
      <c r="X1572" s="1369"/>
      <c r="Y1572" s="1510"/>
      <c r="Z1572" s="1509"/>
      <c r="AA1572" s="1509"/>
      <c r="AB1572" s="1509"/>
      <c r="AC1572" s="1369"/>
      <c r="AD1572" s="1510"/>
      <c r="AE1572" s="1509"/>
      <c r="AF1572" s="1509"/>
      <c r="AG1572" s="1509"/>
      <c r="AH1572" s="1369"/>
      <c r="AI1572" s="1510"/>
      <c r="AJ1572" s="1509"/>
      <c r="AK1572" s="1509"/>
      <c r="AL1572" s="1509"/>
      <c r="AM1572" s="1369"/>
      <c r="AN1572" s="1510"/>
      <c r="AO1572" s="1509"/>
      <c r="AP1572" s="1509"/>
      <c r="AQ1572" s="1511"/>
      <c r="AR1572" s="1369"/>
      <c r="AS1572" s="1510"/>
      <c r="AT1572" s="1509"/>
      <c r="AU1572" s="1509"/>
      <c r="AV1572" s="1509"/>
      <c r="AW1572" s="1369"/>
      <c r="AX1572" s="1510"/>
      <c r="AY1572" s="1509"/>
      <c r="AZ1572" s="1509"/>
      <c r="BA1572" s="1509"/>
      <c r="BB1572" s="1369"/>
      <c r="BC1572" s="1510"/>
      <c r="BD1572" s="1509"/>
      <c r="BE1572" s="1509"/>
      <c r="BF1572" s="1509"/>
      <c r="BG1572" s="1369"/>
      <c r="BH1572" s="1510"/>
      <c r="BI1572" s="1509"/>
      <c r="BJ1572" s="1509"/>
      <c r="BK1572" s="1509"/>
      <c r="BL1572" s="1369"/>
      <c r="BM1572" s="1509"/>
      <c r="BN1572" s="1509"/>
      <c r="BO1572" s="1509"/>
      <c r="BP1572" s="1509"/>
      <c r="BQ1572" s="1369"/>
      <c r="BR1572" s="1509"/>
      <c r="BS1572" s="1509"/>
      <c r="BT1572" s="1509"/>
      <c r="BU1572" s="1509"/>
      <c r="BV1572" s="1369"/>
      <c r="BW1572" s="1512"/>
      <c r="BX1572" s="1509"/>
      <c r="BY1572" s="1509"/>
      <c r="BZ1572" s="1509"/>
      <c r="CA1572" s="1369"/>
      <c r="CB1572" s="1509"/>
      <c r="CC1572" s="1509"/>
      <c r="CD1572" s="1509"/>
      <c r="CE1572" s="1509"/>
      <c r="CF1572" s="1369"/>
      <c r="CG1572" s="1509"/>
      <c r="CH1572" s="1509"/>
      <c r="CI1572" s="1509"/>
      <c r="CJ1572" s="1509"/>
      <c r="CK1572" s="1369"/>
      <c r="CL1572" s="1513"/>
      <c r="CM1572" s="1509"/>
      <c r="CN1572" s="1509"/>
      <c r="CO1572" s="1509"/>
      <c r="CP1572" s="1369"/>
      <c r="CQ1572" s="1509"/>
      <c r="CR1572" s="1509"/>
      <c r="CS1572" s="1509"/>
      <c r="CT1572" s="1514"/>
      <c r="CU1572" s="1369"/>
      <c r="CV1572" s="1509"/>
      <c r="CW1572" s="1509"/>
      <c r="CX1572" s="1509"/>
      <c r="CY1572" s="1514"/>
      <c r="CZ1572" s="1369"/>
      <c r="DA1572" s="1513"/>
      <c r="DB1572" s="1509"/>
      <c r="DC1572" s="1509"/>
      <c r="DD1572" s="1514"/>
      <c r="DE1572" s="1369"/>
      <c r="DF1572" s="1509"/>
      <c r="DG1572" s="1509"/>
      <c r="DH1572" s="1509"/>
      <c r="DI1572" s="1514"/>
      <c r="DJ1572" s="1369"/>
      <c r="DK1572" s="1509"/>
      <c r="DL1572" s="1509"/>
      <c r="DM1572" s="1509"/>
      <c r="DN1572" s="1514"/>
      <c r="DO1572" s="1369"/>
      <c r="DP1572" s="1509"/>
      <c r="DQ1572" s="1509"/>
      <c r="DR1572" s="1509"/>
      <c r="DS1572" s="1514"/>
      <c r="DT1572" s="899"/>
      <c r="DU1572" s="1509"/>
      <c r="DV1572" s="1509"/>
      <c r="DW1572" s="1509"/>
      <c r="DX1572" s="1514"/>
      <c r="DY1572" s="899"/>
      <c r="DZ1572" s="1509"/>
      <c r="EA1572" s="1509"/>
      <c r="EB1572" s="1509"/>
      <c r="EC1572" s="1514"/>
      <c r="ED1572" s="899"/>
      <c r="EE1572" s="1509"/>
      <c r="EF1572" s="1509"/>
      <c r="EG1572" s="1509"/>
      <c r="EH1572" s="1514">
        <f t="shared" ref="EH1572:EI1572" si="2998">EH1570+EH1571</f>
      </c>
      <c r="EI1572" s="899">
        <f t="shared" si="2998"/>
      </c>
      <c r="EJ1572" s="899">
        <f t="shared" ref="EJ1572:EN1572" si="2999">EJ1570+EJ1571</f>
      </c>
      <c r="EK1572" s="899">
        <f t="shared" si="2999"/>
      </c>
      <c r="EL1572" s="899">
        <f t="shared" si="2999"/>
      </c>
      <c r="EM1572" s="899">
        <f t="shared" si="2999"/>
      </c>
      <c r="EN1572" s="899">
        <f t="shared" si="2999"/>
      </c>
      <c r="EO1572" s="899">
        <f t="shared" ref="EO1572:ES1572" si="3000">EO1570+EO1571</f>
      </c>
      <c r="EP1572" s="899">
        <f t="shared" si="3000"/>
      </c>
      <c r="EQ1572" s="899">
        <f t="shared" si="3000"/>
      </c>
      <c r="ER1572" s="899">
        <f t="shared" si="3000"/>
      </c>
      <c r="ES1572" s="899">
        <f t="shared" si="3000"/>
      </c>
      <c r="ET1572" s="899">
        <f t="shared" ref="ET1572:EW1572" si="3001">ET1570+ET1571</f>
      </c>
      <c r="EU1572" s="899">
        <f t="shared" si="3001"/>
      </c>
      <c r="EV1572" s="899">
        <f t="shared" si="3001"/>
      </c>
      <c r="EW1572" s="899">
        <f t="shared" si="3001"/>
      </c>
      <c r="EX1572" s="1514"/>
    </row>
    <row r="1573" spans="1:154" s="1515" customFormat="1">
      <c r="A1573" s="3275"/>
      <c r="B1573" s="907"/>
      <c r="C1573" s="1392"/>
      <c r="D1573" s="1508"/>
      <c r="E1573" s="1508"/>
      <c r="F1573" s="1509"/>
      <c r="G1573" s="1509"/>
      <c r="H1573" s="1509"/>
      <c r="I1573" s="1509"/>
      <c r="J1573" s="1509"/>
      <c r="K1573" s="1509"/>
      <c r="L1573" s="1509"/>
      <c r="M1573" s="1509"/>
      <c r="N1573" s="1509"/>
      <c r="O1573" s="1510"/>
      <c r="P1573" s="1509"/>
      <c r="Q1573" s="1509"/>
      <c r="R1573" s="1509"/>
      <c r="S1573" s="1509"/>
      <c r="T1573" s="1510"/>
      <c r="U1573" s="1509"/>
      <c r="V1573" s="1509"/>
      <c r="W1573" s="1509"/>
      <c r="X1573" s="1369"/>
      <c r="Y1573" s="1510"/>
      <c r="Z1573" s="1509"/>
      <c r="AA1573" s="1509"/>
      <c r="AB1573" s="1509"/>
      <c r="AC1573" s="1369"/>
      <c r="AD1573" s="1510"/>
      <c r="AE1573" s="1509"/>
      <c r="AF1573" s="1509"/>
      <c r="AG1573" s="1509"/>
      <c r="AH1573" s="1369"/>
      <c r="AI1573" s="1510"/>
      <c r="AJ1573" s="1509"/>
      <c r="AK1573" s="1509"/>
      <c r="AL1573" s="1509"/>
      <c r="AM1573" s="1369"/>
      <c r="AN1573" s="1510"/>
      <c r="AO1573" s="1509"/>
      <c r="AP1573" s="1509"/>
      <c r="AQ1573" s="1511"/>
      <c r="AR1573" s="1369"/>
      <c r="AS1573" s="1510"/>
      <c r="AT1573" s="1509"/>
      <c r="AU1573" s="1509"/>
      <c r="AV1573" s="1509"/>
      <c r="AW1573" s="1369"/>
      <c r="AX1573" s="1510"/>
      <c r="AY1573" s="1509"/>
      <c r="AZ1573" s="1509"/>
      <c r="BA1573" s="1509"/>
      <c r="BB1573" s="1369"/>
      <c r="BC1573" s="1510"/>
      <c r="BD1573" s="1509"/>
      <c r="BE1573" s="1509"/>
      <c r="BF1573" s="1509"/>
      <c r="BG1573" s="1369"/>
      <c r="BH1573" s="1510"/>
      <c r="BI1573" s="1509"/>
      <c r="BJ1573" s="1509"/>
      <c r="BK1573" s="1509"/>
      <c r="BL1573" s="1369"/>
      <c r="BM1573" s="1509"/>
      <c r="BN1573" s="1509"/>
      <c r="BO1573" s="1509"/>
      <c r="BP1573" s="1509"/>
      <c r="BQ1573" s="1369"/>
      <c r="BR1573" s="1509"/>
      <c r="BS1573" s="1509"/>
      <c r="BT1573" s="1509"/>
      <c r="BU1573" s="1509"/>
      <c r="BV1573" s="1369"/>
      <c r="BW1573" s="1512"/>
      <c r="BX1573" s="1509"/>
      <c r="BY1573" s="1509"/>
      <c r="BZ1573" s="1509"/>
      <c r="CA1573" s="1369"/>
      <c r="CB1573" s="1509"/>
      <c r="CC1573" s="1509"/>
      <c r="CD1573" s="1509"/>
      <c r="CE1573" s="1509"/>
      <c r="CF1573" s="1369"/>
      <c r="CG1573" s="1509"/>
      <c r="CH1573" s="1509"/>
      <c r="CI1573" s="1509"/>
      <c r="CJ1573" s="1509"/>
      <c r="CK1573" s="1369"/>
      <c r="CL1573" s="1513"/>
      <c r="CM1573" s="1509"/>
      <c r="CN1573" s="1509"/>
      <c r="CO1573" s="1509"/>
      <c r="CP1573" s="1369"/>
      <c r="CQ1573" s="1509"/>
      <c r="CR1573" s="1509"/>
      <c r="CS1573" s="1509"/>
      <c r="CT1573" s="1514"/>
      <c r="CU1573" s="1369"/>
      <c r="CV1573" s="1509"/>
      <c r="CW1573" s="1509"/>
      <c r="CX1573" s="1509"/>
      <c r="CY1573" s="1514"/>
      <c r="CZ1573" s="1369"/>
      <c r="DA1573" s="1513"/>
      <c r="DB1573" s="1509"/>
      <c r="DC1573" s="1509"/>
      <c r="DD1573" s="1514"/>
      <c r="DE1573" s="1369"/>
      <c r="DF1573" s="1509"/>
      <c r="DG1573" s="1509"/>
      <c r="DH1573" s="1509"/>
      <c r="DI1573" s="1514"/>
      <c r="DJ1573" s="1369"/>
      <c r="DK1573" s="1509"/>
      <c r="DL1573" s="1509"/>
      <c r="DM1573" s="1509"/>
      <c r="DN1573" s="1514"/>
      <c r="DO1573" s="1369"/>
      <c r="DP1573" s="1509"/>
      <c r="DQ1573" s="1509"/>
      <c r="DR1573" s="1509"/>
      <c r="DS1573" s="1514"/>
      <c r="DT1573" s="899"/>
      <c r="DU1573" s="1509"/>
      <c r="DV1573" s="1509"/>
      <c r="DW1573" s="1509"/>
      <c r="DX1573" s="1514"/>
      <c r="DY1573" s="899"/>
      <c r="DZ1573" s="1509"/>
      <c r="EA1573" s="1509"/>
      <c r="EB1573" s="1509"/>
      <c r="EC1573" s="1514"/>
      <c r="ED1573" s="899"/>
      <c r="EE1573" s="1015"/>
      <c r="EF1573" s="895"/>
      <c r="EG1573" s="895"/>
      <c r="EH1573" s="1514"/>
      <c r="EI1573" s="1015"/>
      <c r="EJ1573" s="899"/>
      <c r="EK1573" s="899"/>
      <c r="EL1573" s="899"/>
      <c r="EM1573" s="899"/>
      <c r="EN1573" s="899"/>
      <c r="EO1573" s="915"/>
      <c r="EP1573" s="915"/>
      <c r="EQ1573" s="915"/>
      <c r="ER1573" s="915"/>
      <c r="ES1573" s="915"/>
      <c r="ET1573" s="915"/>
      <c r="EU1573" s="1514"/>
      <c r="EV1573" s="1514"/>
      <c r="EW1573" s="1514"/>
      <c r="EX1573" s="1514"/>
    </row>
    <row r="1574" spans="1:154">
      <c r="B1574" s="3745" t="s">
        <v>761</v>
      </c>
      <c r="C1574" s="3746"/>
      <c r="D1574" s="3747"/>
      <c r="E1574" s="3747"/>
      <c r="F1574" s="3748"/>
      <c r="G1574" s="3748"/>
      <c r="H1574" s="3748"/>
      <c r="I1574" s="3748"/>
      <c r="J1574" s="3748"/>
      <c r="K1574" s="3748"/>
      <c r="L1574" s="3748"/>
      <c r="M1574" s="3748"/>
      <c r="N1574" s="3748"/>
      <c r="O1574" s="3749"/>
      <c r="P1574" s="3748"/>
      <c r="Q1574" s="3748"/>
      <c r="R1574" s="3748"/>
      <c r="S1574" s="3748"/>
      <c r="T1574" s="3749"/>
      <c r="U1574" s="3748"/>
      <c r="V1574" s="3748"/>
      <c r="W1574" s="3748"/>
      <c r="X1574" s="3750"/>
      <c r="Y1574" s="3749"/>
      <c r="Z1574" s="3748"/>
      <c r="AA1574" s="3748"/>
      <c r="AB1574" s="3748"/>
      <c r="AC1574" s="3750"/>
      <c r="AD1574" s="3749"/>
      <c r="AE1574" s="3748"/>
      <c r="AF1574" s="3748"/>
      <c r="AG1574" s="3748"/>
      <c r="AH1574" s="3750"/>
      <c r="AI1574" s="3749"/>
      <c r="AJ1574" s="3748"/>
      <c r="AK1574" s="3748"/>
      <c r="AL1574" s="3748"/>
      <c r="AM1574" s="3750"/>
      <c r="AN1574" s="3749"/>
      <c r="AO1574" s="3748"/>
      <c r="AP1574" s="3748"/>
      <c r="AQ1574" s="3751"/>
      <c r="AR1574" s="3750"/>
      <c r="AS1574" s="3749"/>
      <c r="AT1574" s="3748"/>
      <c r="AU1574" s="3748"/>
      <c r="AV1574" s="3748"/>
      <c r="AW1574" s="3750"/>
      <c r="AX1574" s="3749"/>
      <c r="AY1574" s="3748"/>
      <c r="AZ1574" s="3748"/>
      <c r="BA1574" s="3748"/>
      <c r="BB1574" s="3750"/>
      <c r="BC1574" s="3749"/>
      <c r="BD1574" s="3748"/>
      <c r="BE1574" s="3748"/>
      <c r="BF1574" s="3748"/>
      <c r="BG1574" s="3750"/>
      <c r="BH1574" s="3749"/>
      <c r="BI1574" s="3748"/>
      <c r="BJ1574" s="3748"/>
      <c r="BK1574" s="3748"/>
      <c r="BL1574" s="3750"/>
      <c r="BM1574" s="3748"/>
      <c r="BN1574" s="3748"/>
      <c r="BO1574" s="3748"/>
      <c r="BP1574" s="3748"/>
      <c r="BQ1574" s="3750"/>
      <c r="BR1574" s="3748"/>
      <c r="BS1574" s="3748"/>
      <c r="BT1574" s="3748"/>
      <c r="BU1574" s="3748"/>
      <c r="BV1574" s="3750"/>
      <c r="BW1574" s="3748"/>
      <c r="BX1574" s="3748"/>
      <c r="BY1574" s="3748"/>
      <c r="BZ1574" s="3748"/>
      <c r="CA1574" s="3750"/>
      <c r="CB1574" s="3748"/>
      <c r="CC1574" s="3748"/>
      <c r="CD1574" s="3748"/>
      <c r="CE1574" s="3748"/>
      <c r="CF1574" s="3750"/>
      <c r="CG1574" s="3748"/>
      <c r="CH1574" s="3748"/>
      <c r="CI1574" s="3748"/>
      <c r="CJ1574" s="3748"/>
      <c r="CK1574" s="3752"/>
      <c r="CL1574" s="3753"/>
      <c r="CM1574" s="3748"/>
      <c r="CN1574" s="3748"/>
      <c r="CO1574" s="3748"/>
      <c r="CP1574" s="3752"/>
      <c r="CQ1574" s="3748"/>
      <c r="CR1574" s="3748"/>
      <c r="CS1574" s="3748"/>
      <c r="CT1574" s="3754"/>
      <c r="CU1574" s="3752"/>
      <c r="CV1574" s="3748"/>
      <c r="CW1574" s="3748"/>
      <c r="CX1574" s="3748"/>
      <c r="CY1574" s="3754"/>
      <c r="CZ1574" s="3752"/>
      <c r="DA1574" s="3753"/>
      <c r="DB1574" s="3748"/>
      <c r="DC1574" s="3748"/>
      <c r="DD1574" s="3754"/>
      <c r="DE1574" s="3752"/>
      <c r="DF1574" s="3753"/>
      <c r="DG1574" s="3748"/>
      <c r="DH1574" s="3748"/>
      <c r="DI1574" s="3754"/>
      <c r="DJ1574" s="3752"/>
      <c r="DK1574" s="3753"/>
      <c r="DL1574" s="3748"/>
      <c r="DM1574" s="3748"/>
      <c r="DN1574" s="3754"/>
      <c r="DO1574" s="3752"/>
      <c r="DP1574" s="3748"/>
      <c r="DQ1574" s="3748"/>
      <c r="DR1574" s="3748"/>
      <c r="DS1574" s="3754"/>
      <c r="DT1574" s="3752"/>
      <c r="DU1574" s="3748"/>
      <c r="DV1574" s="3748"/>
      <c r="DW1574" s="3748"/>
      <c r="DX1574" s="3754"/>
      <c r="DY1574" s="3752"/>
      <c r="DZ1574" s="3748"/>
      <c r="EA1574" s="3748"/>
      <c r="EB1574" s="3748"/>
      <c r="EC1574" s="3754"/>
      <c r="ED1574" s="3752"/>
      <c r="EE1574" s="3753"/>
      <c r="EF1574" s="3748"/>
      <c r="EG1574" s="3748"/>
      <c r="EH1574" s="3754"/>
      <c r="EI1574" s="3753"/>
      <c r="EJ1574" s="3752"/>
      <c r="EK1574" s="3752"/>
      <c r="EL1574" s="3752"/>
      <c r="EM1574" s="3752"/>
      <c r="EN1574" s="3752"/>
      <c r="EO1574" s="3754"/>
      <c r="EP1574" s="3752"/>
      <c r="EQ1574" s="3752"/>
      <c r="ER1574" s="3752"/>
      <c r="ES1574" s="3752"/>
      <c r="ET1574" s="3754"/>
      <c r="EU1574" s="3752"/>
      <c r="EV1574" s="3752"/>
      <c r="EW1574" s="3752"/>
      <c r="EX1574" s="3752"/>
    </row>
    <row r="1575" spans="1:154">
      <c r="B1575" s="906" t="s">
        <v>1032</v>
      </c>
      <c r="C1575" s="3646">
        <v>0.95</v>
      </c>
      <c r="D1575" s="894"/>
      <c r="E1575" s="894"/>
      <c r="F1575" s="895"/>
      <c r="G1575" s="895"/>
      <c r="H1575" s="895"/>
      <c r="I1575" s="895"/>
      <c r="J1575" s="895"/>
      <c r="K1575" s="895"/>
      <c r="L1575" s="895"/>
      <c r="M1575" s="895"/>
      <c r="N1575" s="895"/>
      <c r="O1575" s="896"/>
      <c r="P1575" s="895"/>
      <c r="Q1575" s="895"/>
      <c r="R1575" s="895"/>
      <c r="S1575" s="895"/>
      <c r="T1575" s="896"/>
      <c r="U1575" s="895"/>
      <c r="V1575" s="895"/>
      <c r="W1575" s="895"/>
      <c r="X1575" s="899"/>
      <c r="Y1575" s="896"/>
      <c r="Z1575" s="895"/>
      <c r="AA1575" s="895"/>
      <c r="AB1575" s="895"/>
      <c r="AC1575" s="899"/>
      <c r="AD1575" s="896"/>
      <c r="AE1575" s="895"/>
      <c r="AF1575" s="895"/>
      <c r="AG1575" s="895"/>
      <c r="AH1575" s="899"/>
      <c r="AI1575" s="896"/>
      <c r="AJ1575" s="895"/>
      <c r="AK1575" s="895"/>
      <c r="AL1575" s="895"/>
      <c r="AM1575" s="899"/>
      <c r="AN1575" s="896"/>
      <c r="AO1575" s="895"/>
      <c r="AP1575" s="895"/>
      <c r="AQ1575" s="897"/>
      <c r="AR1575" s="899"/>
      <c r="AS1575" s="896"/>
      <c r="AT1575" s="895"/>
      <c r="AU1575" s="895"/>
      <c r="AV1575" s="895"/>
      <c r="AW1575" s="899"/>
      <c r="AX1575" s="896"/>
      <c r="AY1575" s="895"/>
      <c r="AZ1575" s="895"/>
      <c r="BA1575" s="895"/>
      <c r="BB1575" s="899"/>
      <c r="BC1575" s="896"/>
      <c r="BD1575" s="895"/>
      <c r="BE1575" s="895"/>
      <c r="BF1575" s="895"/>
      <c r="BG1575" s="899"/>
      <c r="BH1575" s="896"/>
      <c r="BI1575" s="895"/>
      <c r="BJ1575" s="895"/>
      <c r="BK1575" s="895"/>
      <c r="BL1575" s="899"/>
      <c r="BM1575" s="895"/>
      <c r="BN1575" s="895"/>
      <c r="BO1575" s="895"/>
      <c r="BP1575" s="895"/>
      <c r="BQ1575" s="899"/>
      <c r="BR1575" s="895"/>
      <c r="BS1575" s="895"/>
      <c r="BT1575" s="895"/>
      <c r="BU1575" s="895"/>
      <c r="BV1575" s="899"/>
      <c r="BW1575" s="908"/>
      <c r="BX1575" s="895"/>
      <c r="BY1575" s="895"/>
      <c r="BZ1575" s="895"/>
      <c r="CA1575" s="899"/>
      <c r="CB1575" s="895"/>
      <c r="CC1575" s="895"/>
      <c r="CD1575" s="895"/>
      <c r="CE1575" s="895"/>
      <c r="CF1575" s="899"/>
      <c r="CG1575" s="895"/>
      <c r="CH1575" s="895"/>
      <c r="CI1575" s="895"/>
      <c r="CJ1575" s="895"/>
      <c r="CK1575" s="899"/>
      <c r="CL1575" s="1015"/>
      <c r="CM1575" s="895"/>
      <c r="CN1575" s="895"/>
      <c r="CO1575" s="895"/>
      <c r="CP1575" s="899"/>
      <c r="CQ1575" s="895"/>
      <c r="CR1575" s="895"/>
      <c r="CS1575" s="895"/>
      <c r="CT1575" s="915"/>
      <c r="CU1575" s="899"/>
      <c r="CV1575" s="895"/>
      <c r="CW1575" s="895"/>
      <c r="CX1575" s="895"/>
      <c r="CY1575" s="915"/>
      <c r="CZ1575" s="899"/>
      <c r="DA1575" s="1015"/>
      <c r="DB1575" s="895"/>
      <c r="DC1575" s="895"/>
      <c r="DD1575" s="915"/>
      <c r="DE1575" s="899"/>
      <c r="DF1575" s="895"/>
      <c r="DG1575" s="895"/>
      <c r="DH1575" s="895"/>
      <c r="DI1575" s="915"/>
      <c r="DJ1575" s="899"/>
      <c r="DK1575" s="895"/>
      <c r="DL1575" s="895"/>
      <c r="DM1575" s="895"/>
      <c r="DN1575" s="915"/>
      <c r="DO1575" s="899"/>
      <c r="DP1575" s="895"/>
      <c r="DQ1575" s="895"/>
      <c r="DR1575" s="895"/>
      <c r="DS1575" s="915"/>
      <c r="DT1575" s="899"/>
      <c r="DU1575" s="895"/>
      <c r="DV1575" s="895"/>
      <c r="DW1575" s="895"/>
      <c r="DX1575" s="915"/>
      <c r="DY1575" s="899"/>
      <c r="DZ1575" s="895"/>
      <c r="EA1575" s="895"/>
      <c r="EB1575" s="895"/>
      <c r="EC1575" s="915"/>
      <c r="ED1575" s="899"/>
      <c r="EE1575" s="1015"/>
      <c r="EF1575" s="895"/>
      <c r="EG1575" s="895"/>
      <c r="EH1575" s="915"/>
      <c r="EI1575" s="1015"/>
      <c r="EJ1575" s="899"/>
      <c r="EK1575" s="899"/>
      <c r="EL1575" s="899"/>
      <c r="EM1575" s="899"/>
      <c r="EN1575" s="899"/>
      <c r="EO1575" s="915"/>
      <c r="EP1575" s="915"/>
      <c r="EQ1575" s="915"/>
      <c r="ER1575" s="915"/>
      <c r="ES1575" s="915"/>
      <c r="ET1575" s="915"/>
      <c r="EU1575" s="915"/>
      <c r="EV1575" s="915"/>
      <c r="EW1575" s="899"/>
      <c r="EX1575" s="915"/>
    </row>
    <row r="1576" spans="1:154">
      <c r="B1576" s="907" t="s">
        <v>153</v>
      </c>
      <c r="C1576" s="3648" t="s">
        <v>585</v>
      </c>
      <c r="D1576" s="894"/>
      <c r="E1576" s="894"/>
      <c r="F1576" s="895"/>
      <c r="G1576" s="895"/>
      <c r="H1576" s="895"/>
      <c r="I1576" s="895"/>
      <c r="J1576" s="895"/>
      <c r="K1576" s="895"/>
      <c r="L1576" s="895"/>
      <c r="M1576" s="895"/>
      <c r="N1576" s="895"/>
      <c r="O1576" s="896"/>
      <c r="P1576" s="895"/>
      <c r="Q1576" s="895"/>
      <c r="R1576" s="895"/>
      <c r="S1576" s="895"/>
      <c r="T1576" s="896"/>
      <c r="U1576" s="895"/>
      <c r="V1576" s="895"/>
      <c r="W1576" s="895"/>
      <c r="X1576" s="899"/>
      <c r="Y1576" s="896"/>
      <c r="Z1576" s="895"/>
      <c r="AA1576" s="895"/>
      <c r="AB1576" s="895"/>
      <c r="AC1576" s="899"/>
      <c r="AD1576" s="896"/>
      <c r="AE1576" s="895"/>
      <c r="AF1576" s="895"/>
      <c r="AG1576" s="895"/>
      <c r="AH1576" s="899"/>
      <c r="AI1576" s="896"/>
      <c r="AJ1576" s="895"/>
      <c r="AK1576" s="895"/>
      <c r="AL1576" s="895"/>
      <c r="AM1576" s="899"/>
      <c r="AN1576" s="896"/>
      <c r="AO1576" s="895"/>
      <c r="AP1576" s="895"/>
      <c r="AQ1576" s="897"/>
      <c r="AR1576" s="899"/>
      <c r="AS1576" s="896"/>
      <c r="AT1576" s="895"/>
      <c r="AU1576" s="895"/>
      <c r="AV1576" s="895"/>
      <c r="AW1576" s="899"/>
      <c r="AX1576" s="896"/>
      <c r="AY1576" s="895"/>
      <c r="AZ1576" s="895"/>
      <c r="BA1576" s="895"/>
      <c r="BB1576" s="899"/>
      <c r="BC1576" s="896"/>
      <c r="BD1576" s="895"/>
      <c r="BE1576" s="895"/>
      <c r="BF1576" s="895"/>
      <c r="BG1576" s="899"/>
      <c r="BH1576" s="896"/>
      <c r="BI1576" s="895"/>
      <c r="BJ1576" s="895"/>
      <c r="BK1576" s="895"/>
      <c r="BL1576" s="899"/>
      <c r="BM1576" s="895"/>
      <c r="BN1576" s="895"/>
      <c r="BO1576" s="895"/>
      <c r="BP1576" s="895"/>
      <c r="BQ1576" s="899"/>
      <c r="BR1576" s="895"/>
      <c r="BS1576" s="895"/>
      <c r="BT1576" s="895"/>
      <c r="BU1576" s="895"/>
      <c r="BV1576" s="899"/>
      <c r="BW1576" s="908"/>
      <c r="BX1576" s="895"/>
      <c r="BY1576" s="895"/>
      <c r="BZ1576" s="895"/>
      <c r="CA1576" s="899"/>
      <c r="CB1576" s="895"/>
      <c r="CC1576" s="895"/>
      <c r="CD1576" s="895"/>
      <c r="CE1576" s="895"/>
      <c r="CF1576" s="899"/>
      <c r="CG1576" s="895"/>
      <c r="CH1576" s="895"/>
      <c r="CI1576" s="895"/>
      <c r="CJ1576" s="895"/>
      <c r="CK1576" s="899"/>
      <c r="CL1576" s="1015"/>
      <c r="CM1576" s="895"/>
      <c r="CN1576" s="895"/>
      <c r="CO1576" s="895"/>
      <c r="CP1576" s="899"/>
      <c r="CQ1576" s="895"/>
      <c r="CR1576" s="895"/>
      <c r="CS1576" s="895"/>
      <c r="CT1576" s="915"/>
      <c r="CU1576" s="899"/>
      <c r="CV1576" s="895"/>
      <c r="CW1576" s="895"/>
      <c r="CX1576" s="895"/>
      <c r="CY1576" s="915"/>
      <c r="CZ1576" s="899"/>
      <c r="DA1576" s="1015"/>
      <c r="DB1576" s="1509"/>
      <c r="DC1576" s="895"/>
      <c r="DD1576" s="915"/>
      <c r="DE1576" s="899"/>
      <c r="DF1576" s="895"/>
      <c r="DG1576" s="895"/>
      <c r="DH1576" s="895"/>
      <c r="DI1576" s="915"/>
      <c r="DJ1576" s="899"/>
      <c r="DK1576" s="895"/>
      <c r="DL1576" s="895"/>
      <c r="DM1576" s="895"/>
      <c r="DN1576" s="915"/>
      <c r="DO1576" s="899"/>
      <c r="DP1576" s="895"/>
      <c r="DQ1576" s="895"/>
      <c r="DR1576" s="895"/>
      <c r="DS1576" s="915"/>
      <c r="DT1576" s="899"/>
      <c r="DU1576" s="895"/>
      <c r="DV1576" s="895"/>
      <c r="DW1576" s="908"/>
      <c r="DX1576" s="1021"/>
      <c r="DY1576" s="899"/>
      <c r="DZ1576" s="895"/>
      <c r="EA1576" s="908"/>
      <c r="EB1576" s="908"/>
      <c r="EC1576" s="1021"/>
      <c r="ED1576" s="909"/>
      <c r="EE1576" s="1321"/>
      <c r="EF1576" s="908"/>
      <c r="EG1576" s="908"/>
      <c r="EH1576" s="1021"/>
      <c r="EI1576" s="2499">
        <v>0</v>
      </c>
      <c r="EJ1576" s="2499">
        <v>150</v>
      </c>
      <c r="EK1576" s="2499">
        <v>466.55855136567021</v>
      </c>
      <c r="EL1576" s="2499">
        <v>895.08472543503694</v>
      </c>
      <c r="EM1576" s="2499">
        <v>1268.5553599344623</v>
      </c>
      <c r="EN1576" s="2500">
        <v>1588.9540012001075</v>
      </c>
      <c r="EO1576" s="2499">
        <v>1864.2566701291009</v>
      </c>
      <c r="EP1576" s="2499">
        <v>2102.9401121689971</v>
      </c>
      <c r="EQ1576" s="2499">
        <v>2247.872167295809</v>
      </c>
      <c r="ER1576" s="2499">
        <v>2379.1918963278913</v>
      </c>
      <c r="ES1576" s="2499">
        <v>2499.724553320716</v>
      </c>
      <c r="ET1576" s="2499">
        <v>2611.7834213806209</v>
      </c>
      <c r="EU1576" s="2499">
        <v>2717.2642088870225</v>
      </c>
      <c r="EV1576" s="2499">
        <v>2817.7220815691953</v>
      </c>
      <c r="EW1576" s="2500">
        <v>2914.4345255574895</v>
      </c>
      <c r="EX1576" s="1021"/>
    </row>
    <row r="1577" spans="1:154">
      <c r="B1577" s="907" t="s">
        <v>235</v>
      </c>
      <c r="C1577" s="3646"/>
      <c r="D1577" s="894"/>
      <c r="E1577" s="894"/>
      <c r="F1577" s="895"/>
      <c r="G1577" s="895"/>
      <c r="H1577" s="895"/>
      <c r="I1577" s="895"/>
      <c r="J1577" s="895"/>
      <c r="K1577" s="895"/>
      <c r="L1577" s="895"/>
      <c r="M1577" s="895"/>
      <c r="N1577" s="895"/>
      <c r="O1577" s="896"/>
      <c r="P1577" s="895"/>
      <c r="Q1577" s="895"/>
      <c r="R1577" s="895"/>
      <c r="S1577" s="895"/>
      <c r="T1577" s="896"/>
      <c r="U1577" s="895"/>
      <c r="V1577" s="895"/>
      <c r="W1577" s="895"/>
      <c r="X1577" s="899"/>
      <c r="Y1577" s="896"/>
      <c r="Z1577" s="895"/>
      <c r="AA1577" s="895"/>
      <c r="AB1577" s="895"/>
      <c r="AC1577" s="899"/>
      <c r="AD1577" s="896"/>
      <c r="AE1577" s="895"/>
      <c r="AF1577" s="895"/>
      <c r="AG1577" s="895"/>
      <c r="AH1577" s="899"/>
      <c r="AI1577" s="896"/>
      <c r="AJ1577" s="895"/>
      <c r="AK1577" s="895"/>
      <c r="AL1577" s="895"/>
      <c r="AM1577" s="899"/>
      <c r="AN1577" s="896"/>
      <c r="AO1577" s="895"/>
      <c r="AP1577" s="895"/>
      <c r="AQ1577" s="897"/>
      <c r="AR1577" s="899"/>
      <c r="AS1577" s="896"/>
      <c r="AT1577" s="895"/>
      <c r="AU1577" s="895"/>
      <c r="AV1577" s="895"/>
      <c r="AW1577" s="899"/>
      <c r="AX1577" s="896"/>
      <c r="AY1577" s="895"/>
      <c r="AZ1577" s="895"/>
      <c r="BA1577" s="895"/>
      <c r="BB1577" s="899"/>
      <c r="BC1577" s="896"/>
      <c r="BD1577" s="895"/>
      <c r="BE1577" s="895"/>
      <c r="BF1577" s="895"/>
      <c r="BG1577" s="899"/>
      <c r="BH1577" s="896"/>
      <c r="BI1577" s="895"/>
      <c r="BJ1577" s="895"/>
      <c r="BK1577" s="895"/>
      <c r="BL1577" s="899"/>
      <c r="BM1577" s="895"/>
      <c r="BN1577" s="895"/>
      <c r="BO1577" s="895"/>
      <c r="BP1577" s="895"/>
      <c r="BQ1577" s="899"/>
      <c r="BR1577" s="895"/>
      <c r="BS1577" s="895"/>
      <c r="BT1577" s="895"/>
      <c r="BU1577" s="895"/>
      <c r="BV1577" s="899"/>
      <c r="BW1577" s="908"/>
      <c r="BX1577" s="895"/>
      <c r="BY1577" s="895"/>
      <c r="BZ1577" s="895"/>
      <c r="CA1577" s="899"/>
      <c r="CB1577" s="895"/>
      <c r="CC1577" s="895"/>
      <c r="CD1577" s="895"/>
      <c r="CE1577" s="895"/>
      <c r="CF1577" s="899"/>
      <c r="CG1577" s="895"/>
      <c r="CH1577" s="895"/>
      <c r="CI1577" s="895"/>
      <c r="CJ1577" s="895"/>
      <c r="CK1577" s="899"/>
      <c r="CL1577" s="1015"/>
      <c r="CM1577" s="895"/>
      <c r="CN1577" s="895"/>
      <c r="CO1577" s="895"/>
      <c r="CP1577" s="899"/>
      <c r="CQ1577" s="895"/>
      <c r="CR1577" s="895"/>
      <c r="CS1577" s="895"/>
      <c r="CT1577" s="915"/>
      <c r="CU1577" s="899"/>
      <c r="CV1577" s="895"/>
      <c r="CW1577" s="895"/>
      <c r="CX1577" s="895"/>
      <c r="CY1577" s="915"/>
      <c r="CZ1577" s="899"/>
      <c r="DA1577" s="1015"/>
      <c r="DB1577" s="1509"/>
      <c r="DC1577" s="895"/>
      <c r="DD1577" s="915"/>
      <c r="DE1577" s="899"/>
      <c r="DF1577" s="895"/>
      <c r="DG1577" s="895"/>
      <c r="DH1577" s="895"/>
      <c r="DI1577" s="915"/>
      <c r="DJ1577" s="899"/>
      <c r="DK1577" s="895"/>
      <c r="DL1577" s="895"/>
      <c r="DM1577" s="895"/>
      <c r="DN1577" s="915"/>
      <c r="DO1577" s="899"/>
      <c r="DP1577" s="895"/>
      <c r="DQ1577" s="895"/>
      <c r="DR1577" s="895"/>
      <c r="DS1577" s="915">
        <f>DT1577-SUM(DP1577:DR1577)</f>
      </c>
      <c r="DT1577" s="899">
        <v>0</v>
      </c>
      <c r="DU1577" s="895"/>
      <c r="DV1577" s="895"/>
      <c r="DW1577" s="895"/>
      <c r="DX1577" s="915"/>
      <c r="DY1577" s="899"/>
      <c r="DZ1577" s="895"/>
      <c r="EA1577" s="895"/>
      <c r="EB1577" s="895"/>
      <c r="EC1577" s="915"/>
      <c r="ED1577" s="909"/>
      <c r="EE1577" s="1321"/>
      <c r="EF1577" s="908"/>
      <c r="EG1577" s="908"/>
      <c r="EH1577" s="915"/>
      <c r="EI1577" s="2499">
        <v>0</v>
      </c>
      <c r="EJ1577" s="2499">
        <v>0</v>
      </c>
      <c r="EK1577" s="2499">
        <v>25</v>
      </c>
      <c r="EL1577" s="2499">
        <v>89.5084725435037</v>
      </c>
      <c r="EM1577" s="2499">
        <v>317.13883998361558</v>
      </c>
      <c r="EN1577" s="2500">
        <v>603.80252045604084</v>
      </c>
      <c r="EO1577" s="2499">
        <v>932.12833506455058</v>
      </c>
      <c r="EP1577" s="2499">
        <v>1198.6758639363284</v>
      </c>
      <c r="EQ1577" s="2499">
        <v>1416.1594653963598</v>
      </c>
      <c r="ER1577" s="2499">
        <v>1522.6828136498505</v>
      </c>
      <c r="ES1577" s="2499">
        <v>1624.8209596584654</v>
      </c>
      <c r="ET1577" s="2499">
        <v>1697.6592238974035</v>
      </c>
      <c r="EU1577" s="2499">
        <v>1766.2217357765646</v>
      </c>
      <c r="EV1577" s="2499">
        <v>1831.519353019977</v>
      </c>
      <c r="EW1577" s="2500">
        <v>1894.3824416123682</v>
      </c>
      <c r="EX1577" s="1021"/>
    </row>
    <row r="1578" spans="1:154">
      <c r="B1578" s="907" t="s">
        <v>188</v>
      </c>
      <c r="C1578" s="3646"/>
      <c r="D1578" s="894"/>
      <c r="E1578" s="894"/>
      <c r="F1578" s="895"/>
      <c r="G1578" s="895"/>
      <c r="H1578" s="895"/>
      <c r="I1578" s="895"/>
      <c r="J1578" s="895"/>
      <c r="K1578" s="895"/>
      <c r="L1578" s="895"/>
      <c r="M1578" s="895"/>
      <c r="N1578" s="895"/>
      <c r="O1578" s="896"/>
      <c r="P1578" s="895"/>
      <c r="Q1578" s="895"/>
      <c r="R1578" s="895"/>
      <c r="S1578" s="895"/>
      <c r="T1578" s="896"/>
      <c r="U1578" s="895"/>
      <c r="V1578" s="895"/>
      <c r="W1578" s="895"/>
      <c r="X1578" s="899"/>
      <c r="Y1578" s="896"/>
      <c r="Z1578" s="895"/>
      <c r="AA1578" s="895"/>
      <c r="AB1578" s="895"/>
      <c r="AC1578" s="899"/>
      <c r="AD1578" s="896"/>
      <c r="AE1578" s="895"/>
      <c r="AF1578" s="895"/>
      <c r="AG1578" s="895"/>
      <c r="AH1578" s="899"/>
      <c r="AI1578" s="896"/>
      <c r="AJ1578" s="895"/>
      <c r="AK1578" s="895"/>
      <c r="AL1578" s="895"/>
      <c r="AM1578" s="899"/>
      <c r="AN1578" s="896"/>
      <c r="AO1578" s="895"/>
      <c r="AP1578" s="895"/>
      <c r="AQ1578" s="897"/>
      <c r="AR1578" s="899"/>
      <c r="AS1578" s="896"/>
      <c r="AT1578" s="895"/>
      <c r="AU1578" s="895"/>
      <c r="AV1578" s="895"/>
      <c r="AW1578" s="899"/>
      <c r="AX1578" s="896"/>
      <c r="AY1578" s="895"/>
      <c r="AZ1578" s="895"/>
      <c r="BA1578" s="895"/>
      <c r="BB1578" s="899"/>
      <c r="BC1578" s="896"/>
      <c r="BD1578" s="895"/>
      <c r="BE1578" s="895"/>
      <c r="BF1578" s="895"/>
      <c r="BG1578" s="899"/>
      <c r="BH1578" s="896"/>
      <c r="BI1578" s="895"/>
      <c r="BJ1578" s="895"/>
      <c r="BK1578" s="895"/>
      <c r="BL1578" s="899"/>
      <c r="BM1578" s="895"/>
      <c r="BN1578" s="895"/>
      <c r="BO1578" s="895"/>
      <c r="BP1578" s="895"/>
      <c r="BQ1578" s="899"/>
      <c r="BR1578" s="895"/>
      <c r="BS1578" s="895"/>
      <c r="BT1578" s="895"/>
      <c r="BU1578" s="895"/>
      <c r="BV1578" s="899"/>
      <c r="BW1578" s="908"/>
      <c r="BX1578" s="895"/>
      <c r="BY1578" s="895"/>
      <c r="BZ1578" s="895"/>
      <c r="CA1578" s="899"/>
      <c r="CB1578" s="895"/>
      <c r="CC1578" s="895"/>
      <c r="CD1578" s="895"/>
      <c r="CE1578" s="895"/>
      <c r="CF1578" s="899"/>
      <c r="CG1578" s="895"/>
      <c r="CH1578" s="895"/>
      <c r="CI1578" s="895"/>
      <c r="CJ1578" s="895"/>
      <c r="CK1578" s="899"/>
      <c r="CL1578" s="1015"/>
      <c r="CM1578" s="895"/>
      <c r="CN1578" s="895"/>
      <c r="CO1578" s="895"/>
      <c r="CP1578" s="899"/>
      <c r="CQ1578" s="895"/>
      <c r="CR1578" s="895"/>
      <c r="CS1578" s="895"/>
      <c r="CT1578" s="915"/>
      <c r="CU1578" s="899"/>
      <c r="CV1578" s="895"/>
      <c r="CW1578" s="895"/>
      <c r="CX1578" s="895"/>
      <c r="CY1578" s="915"/>
      <c r="CZ1578" s="899"/>
      <c r="DA1578" s="1015"/>
      <c r="DB1578" s="1509"/>
      <c r="DC1578" s="895"/>
      <c r="DD1578" s="915"/>
      <c r="DE1578" s="899"/>
      <c r="DF1578" s="895"/>
      <c r="DG1578" s="895"/>
      <c r="DH1578" s="895"/>
      <c r="DI1578" s="915"/>
      <c r="DJ1578" s="899"/>
      <c r="DK1578" s="895"/>
      <c r="DL1578" s="895"/>
      <c r="DM1578" s="895"/>
      <c r="DN1578" s="915"/>
      <c r="DO1578" s="899"/>
      <c r="DP1578" s="895"/>
      <c r="DQ1578" s="895"/>
      <c r="DR1578" s="895"/>
      <c r="DS1578" s="915">
        <f>DS1576+DS1577</f>
      </c>
      <c r="DT1578" s="899">
        <f>DT1577+DT1576</f>
      </c>
      <c r="DU1578" s="895"/>
      <c r="DV1578" s="895"/>
      <c r="DW1578" s="895"/>
      <c r="DX1578" s="915"/>
      <c r="DY1578" s="899"/>
      <c r="DZ1578" s="895"/>
      <c r="EA1578" s="895"/>
      <c r="EB1578" s="895"/>
      <c r="EC1578" s="915"/>
      <c r="ED1578" s="899"/>
      <c r="EE1578" s="1015"/>
      <c r="EF1578" s="895"/>
      <c r="EG1578" s="895"/>
      <c r="EH1578" s="915"/>
      <c r="EI1578" s="1015">
        <f>SUM(EI1576:EI1577)</f>
      </c>
      <c r="EJ1578" s="899">
        <f t="shared" ref="EJ1578:EW1578" si="3002">SUM(EJ1576:EJ1577)</f>
      </c>
      <c r="EK1578" s="899">
        <f t="shared" si="3002"/>
      </c>
      <c r="EL1578" s="899">
        <f t="shared" si="3002"/>
      </c>
      <c r="EM1578" s="899">
        <f t="shared" si="3002"/>
      </c>
      <c r="EN1578" s="899">
        <f t="shared" si="3002"/>
      </c>
      <c r="EO1578" s="915">
        <f t="shared" si="3002"/>
      </c>
      <c r="EP1578" s="915">
        <f t="shared" si="3002"/>
      </c>
      <c r="EQ1578" s="915">
        <f t="shared" si="3002"/>
      </c>
      <c r="ER1578" s="915">
        <f t="shared" si="3002"/>
      </c>
      <c r="ES1578" s="915">
        <f t="shared" si="3002"/>
      </c>
      <c r="ET1578" s="915">
        <f t="shared" si="3002"/>
      </c>
      <c r="EU1578" s="915">
        <f t="shared" si="3002"/>
      </c>
      <c r="EV1578" s="915">
        <f t="shared" si="3002"/>
      </c>
      <c r="EW1578" s="899">
        <f t="shared" si="3002"/>
      </c>
      <c r="EX1578" s="915"/>
    </row>
    <row r="1579" spans="1:154">
      <c r="B1579" s="907"/>
      <c r="C1579" s="3646"/>
      <c r="D1579" s="894"/>
      <c r="E1579" s="894"/>
      <c r="F1579" s="895"/>
      <c r="G1579" s="895"/>
      <c r="H1579" s="895"/>
      <c r="I1579" s="895"/>
      <c r="J1579" s="895"/>
      <c r="K1579" s="895"/>
      <c r="L1579" s="895"/>
      <c r="M1579" s="895"/>
      <c r="N1579" s="895"/>
      <c r="O1579" s="896"/>
      <c r="P1579" s="895"/>
      <c r="Q1579" s="895"/>
      <c r="R1579" s="895"/>
      <c r="S1579" s="895"/>
      <c r="T1579" s="896"/>
      <c r="U1579" s="895"/>
      <c r="V1579" s="895"/>
      <c r="W1579" s="895"/>
      <c r="X1579" s="899"/>
      <c r="Y1579" s="896"/>
      <c r="Z1579" s="895"/>
      <c r="AA1579" s="895"/>
      <c r="AB1579" s="895"/>
      <c r="AC1579" s="899"/>
      <c r="AD1579" s="896"/>
      <c r="AE1579" s="895"/>
      <c r="AF1579" s="895"/>
      <c r="AG1579" s="895"/>
      <c r="AH1579" s="899"/>
      <c r="AI1579" s="896"/>
      <c r="AJ1579" s="895"/>
      <c r="AK1579" s="895"/>
      <c r="AL1579" s="895"/>
      <c r="AM1579" s="899"/>
      <c r="AN1579" s="896"/>
      <c r="AO1579" s="895"/>
      <c r="AP1579" s="895"/>
      <c r="AQ1579" s="897"/>
      <c r="AR1579" s="899"/>
      <c r="AS1579" s="896"/>
      <c r="AT1579" s="895"/>
      <c r="AU1579" s="895"/>
      <c r="AV1579" s="895"/>
      <c r="AW1579" s="899"/>
      <c r="AX1579" s="896"/>
      <c r="AY1579" s="895"/>
      <c r="AZ1579" s="895"/>
      <c r="BA1579" s="895"/>
      <c r="BB1579" s="899"/>
      <c r="BC1579" s="896"/>
      <c r="BD1579" s="895"/>
      <c r="BE1579" s="895"/>
      <c r="BF1579" s="895"/>
      <c r="BG1579" s="899"/>
      <c r="BH1579" s="896"/>
      <c r="BI1579" s="895"/>
      <c r="BJ1579" s="895"/>
      <c r="BK1579" s="895"/>
      <c r="BL1579" s="899"/>
      <c r="BM1579" s="895"/>
      <c r="BN1579" s="895"/>
      <c r="BO1579" s="895"/>
      <c r="BP1579" s="895"/>
      <c r="BQ1579" s="899"/>
      <c r="BR1579" s="895"/>
      <c r="BS1579" s="895"/>
      <c r="BT1579" s="895"/>
      <c r="BU1579" s="895"/>
      <c r="BV1579" s="899"/>
      <c r="BW1579" s="908"/>
      <c r="BX1579" s="895"/>
      <c r="BY1579" s="895"/>
      <c r="BZ1579" s="895"/>
      <c r="CA1579" s="899"/>
      <c r="CB1579" s="895"/>
      <c r="CC1579" s="895"/>
      <c r="CD1579" s="895"/>
      <c r="CE1579" s="895"/>
      <c r="CF1579" s="899"/>
      <c r="CG1579" s="895"/>
      <c r="CH1579" s="895"/>
      <c r="CI1579" s="895"/>
      <c r="CJ1579" s="895"/>
      <c r="CK1579" s="899"/>
      <c r="CL1579" s="1015"/>
      <c r="CM1579" s="895"/>
      <c r="CN1579" s="895"/>
      <c r="CO1579" s="895"/>
      <c r="CP1579" s="899"/>
      <c r="CQ1579" s="895"/>
      <c r="CR1579" s="895"/>
      <c r="CS1579" s="895"/>
      <c r="CT1579" s="915"/>
      <c r="CU1579" s="899"/>
      <c r="CV1579" s="895"/>
      <c r="CW1579" s="895"/>
      <c r="CX1579" s="895"/>
      <c r="CY1579" s="915"/>
      <c r="CZ1579" s="899"/>
      <c r="DA1579" s="1015"/>
      <c r="DB1579" s="1509"/>
      <c r="DC1579" s="895"/>
      <c r="DD1579" s="915"/>
      <c r="DE1579" s="899"/>
      <c r="DF1579" s="895"/>
      <c r="DG1579" s="895"/>
      <c r="DH1579" s="895"/>
      <c r="DI1579" s="915"/>
      <c r="DJ1579" s="899"/>
      <c r="DK1579" s="895"/>
      <c r="DL1579" s="895"/>
      <c r="DM1579" s="895"/>
      <c r="DN1579" s="915"/>
      <c r="DO1579" s="899"/>
      <c r="DP1579" s="895"/>
      <c r="DQ1579" s="895"/>
      <c r="DR1579" s="895"/>
      <c r="DS1579" s="915"/>
      <c r="DT1579" s="899"/>
      <c r="DU1579" s="895"/>
      <c r="DV1579" s="895"/>
      <c r="DW1579" s="895"/>
      <c r="DX1579" s="915"/>
      <c r="DY1579" s="899"/>
      <c r="DZ1579" s="895"/>
      <c r="EA1579" s="895"/>
      <c r="EB1579" s="895"/>
      <c r="EC1579" s="915"/>
      <c r="ED1579" s="899"/>
      <c r="EE1579" s="1015"/>
      <c r="EF1579" s="895"/>
      <c r="EG1579" s="895"/>
      <c r="EH1579" s="915"/>
      <c r="EI1579" s="1015"/>
      <c r="EJ1579" s="899"/>
      <c r="EK1579" s="899"/>
      <c r="EL1579" s="899"/>
      <c r="EM1579" s="899"/>
      <c r="EN1579" s="899"/>
      <c r="EO1579" s="915"/>
      <c r="EP1579" s="915"/>
      <c r="EQ1579" s="915"/>
      <c r="ER1579" s="915"/>
      <c r="ES1579" s="915"/>
      <c r="ET1579" s="915"/>
      <c r="EU1579" s="915"/>
      <c r="EV1579" s="915"/>
      <c r="EW1579" s="899"/>
      <c r="EX1579" s="915"/>
    </row>
    <row r="1580" spans="1:154">
      <c r="B1580" s="906" t="s">
        <v>1033</v>
      </c>
      <c r="C1580" s="3646">
        <v>0.7</v>
      </c>
      <c r="D1580" s="894"/>
      <c r="E1580" s="894"/>
      <c r="F1580" s="895"/>
      <c r="G1580" s="895"/>
      <c r="H1580" s="895"/>
      <c r="I1580" s="895"/>
      <c r="J1580" s="895"/>
      <c r="K1580" s="895"/>
      <c r="L1580" s="895"/>
      <c r="M1580" s="895"/>
      <c r="N1580" s="895"/>
      <c r="O1580" s="896"/>
      <c r="P1580" s="895"/>
      <c r="Q1580" s="895"/>
      <c r="R1580" s="895"/>
      <c r="S1580" s="895"/>
      <c r="T1580" s="896"/>
      <c r="U1580" s="895"/>
      <c r="V1580" s="895"/>
      <c r="W1580" s="895"/>
      <c r="X1580" s="899"/>
      <c r="Y1580" s="896"/>
      <c r="Z1580" s="895"/>
      <c r="AA1580" s="895"/>
      <c r="AB1580" s="895"/>
      <c r="AC1580" s="899"/>
      <c r="AD1580" s="896"/>
      <c r="AE1580" s="895"/>
      <c r="AF1580" s="895"/>
      <c r="AG1580" s="895"/>
      <c r="AH1580" s="899"/>
      <c r="AI1580" s="896"/>
      <c r="AJ1580" s="895"/>
      <c r="AK1580" s="895"/>
      <c r="AL1580" s="895"/>
      <c r="AM1580" s="899"/>
      <c r="AN1580" s="896"/>
      <c r="AO1580" s="895"/>
      <c r="AP1580" s="895"/>
      <c r="AQ1580" s="897"/>
      <c r="AR1580" s="899"/>
      <c r="AS1580" s="896"/>
      <c r="AT1580" s="895"/>
      <c r="AU1580" s="895"/>
      <c r="AV1580" s="895"/>
      <c r="AW1580" s="899"/>
      <c r="AX1580" s="896"/>
      <c r="AY1580" s="895"/>
      <c r="AZ1580" s="895"/>
      <c r="BA1580" s="895"/>
      <c r="BB1580" s="899"/>
      <c r="BC1580" s="896"/>
      <c r="BD1580" s="895"/>
      <c r="BE1580" s="895"/>
      <c r="BF1580" s="895"/>
      <c r="BG1580" s="899"/>
      <c r="BH1580" s="896"/>
      <c r="BI1580" s="895"/>
      <c r="BJ1580" s="895"/>
      <c r="BK1580" s="895"/>
      <c r="BL1580" s="899"/>
      <c r="BM1580" s="895"/>
      <c r="BN1580" s="895"/>
      <c r="BO1580" s="895"/>
      <c r="BP1580" s="895"/>
      <c r="BQ1580" s="899"/>
      <c r="BR1580" s="895"/>
      <c r="BS1580" s="895"/>
      <c r="BT1580" s="895"/>
      <c r="BU1580" s="895"/>
      <c r="BV1580" s="899"/>
      <c r="BW1580" s="908"/>
      <c r="BX1580" s="895"/>
      <c r="BY1580" s="895"/>
      <c r="BZ1580" s="895"/>
      <c r="CA1580" s="899"/>
      <c r="CB1580" s="895"/>
      <c r="CC1580" s="895"/>
      <c r="CD1580" s="895"/>
      <c r="CE1580" s="895"/>
      <c r="CF1580" s="899"/>
      <c r="CG1580" s="895"/>
      <c r="CH1580" s="895"/>
      <c r="CI1580" s="895"/>
      <c r="CJ1580" s="895"/>
      <c r="CK1580" s="899"/>
      <c r="CL1580" s="1015"/>
      <c r="CM1580" s="895"/>
      <c r="CN1580" s="895"/>
      <c r="CO1580" s="895"/>
      <c r="CP1580" s="899"/>
      <c r="CQ1580" s="895"/>
      <c r="CR1580" s="895"/>
      <c r="CS1580" s="895"/>
      <c r="CT1580" s="915"/>
      <c r="CU1580" s="899"/>
      <c r="CV1580" s="895"/>
      <c r="CW1580" s="895"/>
      <c r="CX1580" s="895"/>
      <c r="CY1580" s="915"/>
      <c r="CZ1580" s="899"/>
      <c r="DA1580" s="1015"/>
      <c r="DB1580" s="895"/>
      <c r="DC1580" s="895"/>
      <c r="DD1580" s="915"/>
      <c r="DE1580" s="899"/>
      <c r="DF1580" s="895"/>
      <c r="DG1580" s="895"/>
      <c r="DH1580" s="895"/>
      <c r="DI1580" s="915"/>
      <c r="DJ1580" s="899"/>
      <c r="DK1580" s="895"/>
      <c r="DL1580" s="895"/>
      <c r="DM1580" s="895"/>
      <c r="DN1580" s="915"/>
      <c r="DO1580" s="899"/>
      <c r="DP1580" s="895"/>
      <c r="DQ1580" s="895"/>
      <c r="DR1580" s="895"/>
      <c r="DS1580" s="915"/>
      <c r="DT1580" s="899"/>
      <c r="DU1580" s="895"/>
      <c r="DV1580" s="895"/>
      <c r="DW1580" s="895"/>
      <c r="DX1580" s="915"/>
      <c r="DY1580" s="899"/>
      <c r="DZ1580" s="895"/>
      <c r="EA1580" s="895"/>
      <c r="EB1580" s="895"/>
      <c r="EC1580" s="915"/>
      <c r="ED1580" s="899"/>
      <c r="EE1580" s="1015"/>
      <c r="EF1580" s="895"/>
      <c r="EG1580" s="895"/>
      <c r="EH1580" s="915"/>
      <c r="EI1580" s="1015"/>
      <c r="EJ1580" s="899"/>
      <c r="EK1580" s="899"/>
      <c r="EL1580" s="899"/>
      <c r="EM1580" s="899"/>
      <c r="EN1580" s="899"/>
      <c r="EO1580" s="2921"/>
      <c r="EP1580" s="915"/>
      <c r="EQ1580" s="915"/>
      <c r="ER1580" s="915"/>
      <c r="ES1580" s="915"/>
      <c r="ET1580" s="915"/>
      <c r="EU1580" s="915"/>
      <c r="EV1580" s="915"/>
      <c r="EW1580" s="899"/>
      <c r="EX1580" s="915"/>
    </row>
    <row r="1581" spans="1:154">
      <c r="B1581" s="907" t="s">
        <v>153</v>
      </c>
      <c r="C1581" s="3648" t="s">
        <v>992</v>
      </c>
      <c r="D1581" s="894"/>
      <c r="E1581" s="894"/>
      <c r="F1581" s="895"/>
      <c r="G1581" s="895"/>
      <c r="H1581" s="895"/>
      <c r="I1581" s="895"/>
      <c r="J1581" s="895"/>
      <c r="K1581" s="895"/>
      <c r="L1581" s="895"/>
      <c r="M1581" s="895"/>
      <c r="N1581" s="895"/>
      <c r="O1581" s="896"/>
      <c r="P1581" s="895"/>
      <c r="Q1581" s="895"/>
      <c r="R1581" s="895"/>
      <c r="S1581" s="895"/>
      <c r="T1581" s="896"/>
      <c r="U1581" s="895"/>
      <c r="V1581" s="895"/>
      <c r="W1581" s="895"/>
      <c r="X1581" s="899"/>
      <c r="Y1581" s="896"/>
      <c r="Z1581" s="895"/>
      <c r="AA1581" s="895"/>
      <c r="AB1581" s="895"/>
      <c r="AC1581" s="899"/>
      <c r="AD1581" s="896"/>
      <c r="AE1581" s="895"/>
      <c r="AF1581" s="895"/>
      <c r="AG1581" s="895"/>
      <c r="AH1581" s="899"/>
      <c r="AI1581" s="896"/>
      <c r="AJ1581" s="895"/>
      <c r="AK1581" s="895"/>
      <c r="AL1581" s="895"/>
      <c r="AM1581" s="899"/>
      <c r="AN1581" s="896"/>
      <c r="AO1581" s="895"/>
      <c r="AP1581" s="895"/>
      <c r="AQ1581" s="897"/>
      <c r="AR1581" s="899"/>
      <c r="AS1581" s="896"/>
      <c r="AT1581" s="895"/>
      <c r="AU1581" s="895"/>
      <c r="AV1581" s="895"/>
      <c r="AW1581" s="899"/>
      <c r="AX1581" s="896"/>
      <c r="AY1581" s="895"/>
      <c r="AZ1581" s="895"/>
      <c r="BA1581" s="895"/>
      <c r="BB1581" s="899"/>
      <c r="BC1581" s="896"/>
      <c r="BD1581" s="895"/>
      <c r="BE1581" s="895"/>
      <c r="BF1581" s="895"/>
      <c r="BG1581" s="899"/>
      <c r="BH1581" s="896"/>
      <c r="BI1581" s="895"/>
      <c r="BJ1581" s="895"/>
      <c r="BK1581" s="895"/>
      <c r="BL1581" s="899"/>
      <c r="BM1581" s="895"/>
      <c r="BN1581" s="895"/>
      <c r="BO1581" s="895"/>
      <c r="BP1581" s="895"/>
      <c r="BQ1581" s="899"/>
      <c r="BR1581" s="895"/>
      <c r="BS1581" s="895"/>
      <c r="BT1581" s="895"/>
      <c r="BU1581" s="895"/>
      <c r="BV1581" s="899"/>
      <c r="BW1581" s="908"/>
      <c r="BX1581" s="895"/>
      <c r="BY1581" s="895"/>
      <c r="BZ1581" s="895"/>
      <c r="CA1581" s="899"/>
      <c r="CB1581" s="895"/>
      <c r="CC1581" s="895"/>
      <c r="CD1581" s="895"/>
      <c r="CE1581" s="895"/>
      <c r="CF1581" s="899"/>
      <c r="CG1581" s="895"/>
      <c r="CH1581" s="895"/>
      <c r="CI1581" s="895"/>
      <c r="CJ1581" s="895"/>
      <c r="CK1581" s="899"/>
      <c r="CL1581" s="1015"/>
      <c r="CM1581" s="895"/>
      <c r="CN1581" s="895"/>
      <c r="CO1581" s="895"/>
      <c r="CP1581" s="899"/>
      <c r="CQ1581" s="895"/>
      <c r="CR1581" s="895"/>
      <c r="CS1581" s="895"/>
      <c r="CT1581" s="915"/>
      <c r="CU1581" s="899"/>
      <c r="CV1581" s="895"/>
      <c r="CW1581" s="895"/>
      <c r="CX1581" s="895"/>
      <c r="CY1581" s="915"/>
      <c r="CZ1581" s="899"/>
      <c r="DA1581" s="1015"/>
      <c r="DB1581" s="1509"/>
      <c r="DC1581" s="895"/>
      <c r="DD1581" s="915"/>
      <c r="DE1581" s="899"/>
      <c r="DF1581" s="895"/>
      <c r="DG1581" s="895"/>
      <c r="DH1581" s="895"/>
      <c r="DI1581" s="915"/>
      <c r="DJ1581" s="899"/>
      <c r="DK1581" s="895"/>
      <c r="DL1581" s="895"/>
      <c r="DM1581" s="895"/>
      <c r="DN1581" s="915"/>
      <c r="DO1581" s="899"/>
      <c r="DP1581" s="895"/>
      <c r="DQ1581" s="895"/>
      <c r="DR1581" s="895"/>
      <c r="DS1581" s="915"/>
      <c r="DT1581" s="899"/>
      <c r="DU1581" s="895"/>
      <c r="DV1581" s="895"/>
      <c r="DW1581" s="908"/>
      <c r="DX1581" s="1021"/>
      <c r="DY1581" s="899"/>
      <c r="DZ1581" s="895"/>
      <c r="EA1581" s="908"/>
      <c r="EB1581" s="908"/>
      <c r="EC1581" s="1021"/>
      <c r="ED1581" s="909"/>
      <c r="EE1581" s="1321"/>
      <c r="EF1581" s="908"/>
      <c r="EG1581" s="908"/>
      <c r="EH1581" s="1021"/>
      <c r="EI1581" s="1015">
        <v>0</v>
      </c>
      <c r="EJ1581" s="1015">
        <v>0</v>
      </c>
      <c r="EK1581" s="1015">
        <v>0</v>
      </c>
      <c r="EL1581" s="1015">
        <v>0</v>
      </c>
      <c r="EM1581" s="1015">
        <v>21.106235629444647</v>
      </c>
      <c r="EN1581" s="1015">
        <v>50.91581138807868</v>
      </c>
      <c r="EO1581" s="1015">
        <v>82.02453930778772</v>
      </c>
      <c r="EP1581" s="1015">
        <v>110.74925950237653</v>
      </c>
      <c r="EQ1581" s="1015">
        <v>135.71541736739363</v>
      </c>
      <c r="ER1581" s="1015">
        <v>156.78463718720931</v>
      </c>
      <c r="ES1581" s="1015">
        <v>171.52984324642262</v>
      </c>
      <c r="ET1581" s="1015">
        <v>182.45121660817892</v>
      </c>
      <c r="EU1581" s="1015">
        <v>191.0800345121686</v>
      </c>
      <c r="EV1581" s="1015">
        <v>198.35463434025505</v>
      </c>
      <c r="EW1581" s="899">
        <v>204.85050429854113</v>
      </c>
      <c r="EX1581" s="1021"/>
    </row>
    <row r="1582" spans="1:154">
      <c r="B1582" s="907" t="s">
        <v>235</v>
      </c>
      <c r="C1582" s="3647"/>
      <c r="D1582" s="894"/>
      <c r="E1582" s="894"/>
      <c r="F1582" s="895"/>
      <c r="G1582" s="895"/>
      <c r="H1582" s="895"/>
      <c r="I1582" s="895"/>
      <c r="J1582" s="895"/>
      <c r="K1582" s="895"/>
      <c r="L1582" s="895"/>
      <c r="M1582" s="895"/>
      <c r="N1582" s="895"/>
      <c r="O1582" s="896"/>
      <c r="P1582" s="895"/>
      <c r="Q1582" s="895"/>
      <c r="R1582" s="895"/>
      <c r="S1582" s="895"/>
      <c r="T1582" s="896"/>
      <c r="U1582" s="895"/>
      <c r="V1582" s="895"/>
      <c r="W1582" s="895"/>
      <c r="X1582" s="899"/>
      <c r="Y1582" s="896"/>
      <c r="Z1582" s="895"/>
      <c r="AA1582" s="895"/>
      <c r="AB1582" s="895"/>
      <c r="AC1582" s="899"/>
      <c r="AD1582" s="896"/>
      <c r="AE1582" s="895"/>
      <c r="AF1582" s="895"/>
      <c r="AG1582" s="895"/>
      <c r="AH1582" s="899"/>
      <c r="AI1582" s="896"/>
      <c r="AJ1582" s="895"/>
      <c r="AK1582" s="895"/>
      <c r="AL1582" s="895"/>
      <c r="AM1582" s="899"/>
      <c r="AN1582" s="896"/>
      <c r="AO1582" s="895"/>
      <c r="AP1582" s="895"/>
      <c r="AQ1582" s="897"/>
      <c r="AR1582" s="899"/>
      <c r="AS1582" s="896"/>
      <c r="AT1582" s="895"/>
      <c r="AU1582" s="895"/>
      <c r="AV1582" s="895"/>
      <c r="AW1582" s="899"/>
      <c r="AX1582" s="896"/>
      <c r="AY1582" s="895"/>
      <c r="AZ1582" s="895"/>
      <c r="BA1582" s="895"/>
      <c r="BB1582" s="899"/>
      <c r="BC1582" s="896"/>
      <c r="BD1582" s="895"/>
      <c r="BE1582" s="895"/>
      <c r="BF1582" s="895"/>
      <c r="BG1582" s="899"/>
      <c r="BH1582" s="896"/>
      <c r="BI1582" s="895"/>
      <c r="BJ1582" s="895"/>
      <c r="BK1582" s="895"/>
      <c r="BL1582" s="899"/>
      <c r="BM1582" s="895"/>
      <c r="BN1582" s="895"/>
      <c r="BO1582" s="895"/>
      <c r="BP1582" s="895"/>
      <c r="BQ1582" s="899"/>
      <c r="BR1582" s="895"/>
      <c r="BS1582" s="895"/>
      <c r="BT1582" s="895"/>
      <c r="BU1582" s="895"/>
      <c r="BV1582" s="899"/>
      <c r="BW1582" s="908"/>
      <c r="BX1582" s="895"/>
      <c r="BY1582" s="895"/>
      <c r="BZ1582" s="895"/>
      <c r="CA1582" s="899"/>
      <c r="CB1582" s="895"/>
      <c r="CC1582" s="895"/>
      <c r="CD1582" s="895"/>
      <c r="CE1582" s="895"/>
      <c r="CF1582" s="899"/>
      <c r="CG1582" s="895"/>
      <c r="CH1582" s="895"/>
      <c r="CI1582" s="895"/>
      <c r="CJ1582" s="895"/>
      <c r="CK1582" s="899"/>
      <c r="CL1582" s="1015"/>
      <c r="CM1582" s="895"/>
      <c r="CN1582" s="895"/>
      <c r="CO1582" s="895"/>
      <c r="CP1582" s="899"/>
      <c r="CQ1582" s="895"/>
      <c r="CR1582" s="895"/>
      <c r="CS1582" s="895"/>
      <c r="CT1582" s="915"/>
      <c r="CU1582" s="899"/>
      <c r="CV1582" s="895"/>
      <c r="CW1582" s="895"/>
      <c r="CX1582" s="895"/>
      <c r="CY1582" s="915"/>
      <c r="CZ1582" s="899"/>
      <c r="DA1582" s="1015"/>
      <c r="DB1582" s="1509"/>
      <c r="DC1582" s="895"/>
      <c r="DD1582" s="915"/>
      <c r="DE1582" s="899"/>
      <c r="DF1582" s="895"/>
      <c r="DG1582" s="895"/>
      <c r="DH1582" s="895"/>
      <c r="DI1582" s="915"/>
      <c r="DJ1582" s="899"/>
      <c r="DK1582" s="895"/>
      <c r="DL1582" s="895"/>
      <c r="DM1582" s="895"/>
      <c r="DN1582" s="915"/>
      <c r="DO1582" s="899"/>
      <c r="DP1582" s="895"/>
      <c r="DQ1582" s="895"/>
      <c r="DR1582" s="895"/>
      <c r="DS1582" s="915">
        <f>DT1582-SUM(DP1582:DR1582)</f>
      </c>
      <c r="DT1582" s="899">
        <v>0</v>
      </c>
      <c r="DU1582" s="895"/>
      <c r="DV1582" s="895"/>
      <c r="DW1582" s="895"/>
      <c r="DX1582" s="915"/>
      <c r="DY1582" s="899"/>
      <c r="DZ1582" s="895"/>
      <c r="EA1582" s="895"/>
      <c r="EB1582" s="895"/>
      <c r="EC1582" s="915"/>
      <c r="ED1582" s="909"/>
      <c r="EE1582" s="1321"/>
      <c r="EF1582" s="908"/>
      <c r="EG1582" s="908"/>
      <c r="EH1582" s="915"/>
      <c r="EI1582" s="1015">
        <v>0</v>
      </c>
      <c r="EJ1582" s="1015">
        <v>0</v>
      </c>
      <c r="EK1582" s="1015">
        <v>0</v>
      </c>
      <c r="EL1582" s="1015">
        <v>0</v>
      </c>
      <c r="EM1582" s="1015">
        <v>0</v>
      </c>
      <c r="EN1582" s="1015">
        <v>5.091581138807868</v>
      </c>
      <c r="EO1582" s="1015">
        <v>20.50613482694693</v>
      </c>
      <c r="EP1582" s="1015">
        <v>49.837166776069438</v>
      </c>
      <c r="EQ1582" s="1015">
        <v>88.215021288805858</v>
      </c>
      <c r="ER1582" s="1015">
        <v>125.42770974976746</v>
      </c>
      <c r="ES1582" s="1015">
        <v>154.37685892178035</v>
      </c>
      <c r="ET1582" s="1015">
        <v>169.67963144560642</v>
      </c>
      <c r="EU1582" s="1015">
        <v>179.61523244143848</v>
      </c>
      <c r="EV1582" s="1015">
        <v>188.4369026232423</v>
      </c>
      <c r="EW1582" s="899">
        <v>194.60797908361408</v>
      </c>
      <c r="EX1582" s="1021"/>
    </row>
    <row r="1583" spans="1:154">
      <c r="B1583" s="907" t="s">
        <v>188</v>
      </c>
      <c r="D1583" s="894"/>
      <c r="E1583" s="894"/>
      <c r="F1583" s="895"/>
      <c r="G1583" s="895"/>
      <c r="H1583" s="895"/>
      <c r="I1583" s="895"/>
      <c r="J1583" s="895"/>
      <c r="K1583" s="895"/>
      <c r="L1583" s="895"/>
      <c r="M1583" s="895"/>
      <c r="N1583" s="895"/>
      <c r="O1583" s="896"/>
      <c r="P1583" s="895"/>
      <c r="Q1583" s="895"/>
      <c r="R1583" s="895"/>
      <c r="S1583" s="895"/>
      <c r="T1583" s="896"/>
      <c r="U1583" s="895"/>
      <c r="V1583" s="895"/>
      <c r="W1583" s="895"/>
      <c r="X1583" s="899"/>
      <c r="Y1583" s="896"/>
      <c r="Z1583" s="895"/>
      <c r="AA1583" s="895"/>
      <c r="AB1583" s="895"/>
      <c r="AC1583" s="899"/>
      <c r="AD1583" s="896"/>
      <c r="AE1583" s="895"/>
      <c r="AF1583" s="895"/>
      <c r="AG1583" s="895"/>
      <c r="AH1583" s="899"/>
      <c r="AI1583" s="896"/>
      <c r="AJ1583" s="895"/>
      <c r="AK1583" s="895"/>
      <c r="AL1583" s="895"/>
      <c r="AM1583" s="899"/>
      <c r="AN1583" s="896"/>
      <c r="AO1583" s="895"/>
      <c r="AP1583" s="895"/>
      <c r="AQ1583" s="897"/>
      <c r="AR1583" s="899"/>
      <c r="AS1583" s="896"/>
      <c r="AT1583" s="895"/>
      <c r="AU1583" s="895"/>
      <c r="AV1583" s="895"/>
      <c r="AW1583" s="899"/>
      <c r="AX1583" s="896"/>
      <c r="AY1583" s="895"/>
      <c r="AZ1583" s="895"/>
      <c r="BA1583" s="895"/>
      <c r="BB1583" s="899"/>
      <c r="BC1583" s="896"/>
      <c r="BD1583" s="895"/>
      <c r="BE1583" s="895"/>
      <c r="BF1583" s="895"/>
      <c r="BG1583" s="899"/>
      <c r="BH1583" s="896"/>
      <c r="BI1583" s="895"/>
      <c r="BJ1583" s="895"/>
      <c r="BK1583" s="895"/>
      <c r="BL1583" s="899"/>
      <c r="BM1583" s="895"/>
      <c r="BN1583" s="895"/>
      <c r="BO1583" s="895"/>
      <c r="BP1583" s="895"/>
      <c r="BQ1583" s="899"/>
      <c r="BR1583" s="895"/>
      <c r="BS1583" s="895"/>
      <c r="BT1583" s="895"/>
      <c r="BU1583" s="895"/>
      <c r="BV1583" s="899"/>
      <c r="BW1583" s="908"/>
      <c r="BX1583" s="895"/>
      <c r="BY1583" s="895"/>
      <c r="BZ1583" s="895"/>
      <c r="CA1583" s="899"/>
      <c r="CB1583" s="895"/>
      <c r="CC1583" s="895"/>
      <c r="CD1583" s="895"/>
      <c r="CE1583" s="895"/>
      <c r="CF1583" s="899"/>
      <c r="CG1583" s="895"/>
      <c r="CH1583" s="895"/>
      <c r="CI1583" s="895"/>
      <c r="CJ1583" s="895"/>
      <c r="CK1583" s="899"/>
      <c r="CL1583" s="1015"/>
      <c r="CM1583" s="895"/>
      <c r="CN1583" s="895"/>
      <c r="CO1583" s="895"/>
      <c r="CP1583" s="899"/>
      <c r="CQ1583" s="895"/>
      <c r="CR1583" s="895"/>
      <c r="CS1583" s="895"/>
      <c r="CT1583" s="915"/>
      <c r="CU1583" s="899"/>
      <c r="CV1583" s="895"/>
      <c r="CW1583" s="895"/>
      <c r="CX1583" s="895"/>
      <c r="CY1583" s="915"/>
      <c r="CZ1583" s="899"/>
      <c r="DA1583" s="1015"/>
      <c r="DB1583" s="1509"/>
      <c r="DC1583" s="895"/>
      <c r="DD1583" s="915"/>
      <c r="DE1583" s="899"/>
      <c r="DF1583" s="895"/>
      <c r="DG1583" s="895"/>
      <c r="DH1583" s="895"/>
      <c r="DI1583" s="915"/>
      <c r="DJ1583" s="899"/>
      <c r="DK1583" s="895"/>
      <c r="DL1583" s="895"/>
      <c r="DM1583" s="895"/>
      <c r="DN1583" s="915"/>
      <c r="DO1583" s="899"/>
      <c r="DP1583" s="895"/>
      <c r="DQ1583" s="895"/>
      <c r="DR1583" s="895"/>
      <c r="DS1583" s="915">
        <f>DS1581+DS1582</f>
      </c>
      <c r="DT1583" s="899">
        <f>DT1582+DT1581</f>
      </c>
      <c r="DU1583" s="895"/>
      <c r="DV1583" s="895"/>
      <c r="DW1583" s="895"/>
      <c r="DX1583" s="915"/>
      <c r="DY1583" s="899"/>
      <c r="DZ1583" s="895"/>
      <c r="EA1583" s="895"/>
      <c r="EB1583" s="895"/>
      <c r="EC1583" s="915"/>
      <c r="ED1583" s="899"/>
      <c r="EE1583" s="1015"/>
      <c r="EF1583" s="895"/>
      <c r="EG1583" s="895"/>
      <c r="EH1583" s="915"/>
      <c r="EI1583" s="1015">
        <f>SUM(EI1581:EI1582)</f>
      </c>
      <c r="EJ1583" s="899">
        <f t="shared" ref="EJ1583:ES1583" si="3003">SUM(EJ1581:EJ1582)</f>
      </c>
      <c r="EK1583" s="899">
        <f t="shared" si="3003"/>
      </c>
      <c r="EL1583" s="899">
        <f t="shared" si="3003"/>
      </c>
      <c r="EM1583" s="899">
        <f t="shared" si="3003"/>
      </c>
      <c r="EN1583" s="899">
        <f t="shared" si="3003"/>
      </c>
      <c r="EO1583" s="915">
        <f t="shared" si="3003"/>
      </c>
      <c r="EP1583" s="915">
        <f t="shared" si="3003"/>
      </c>
      <c r="EQ1583" s="915">
        <f t="shared" si="3003"/>
      </c>
      <c r="ER1583" s="915">
        <f t="shared" si="3003"/>
      </c>
      <c r="ES1583" s="915">
        <f t="shared" si="3003"/>
      </c>
      <c r="ET1583" s="915">
        <f t="shared" ref="ET1583:EU1583" si="3004">ET1582+ET1581</f>
      </c>
      <c r="EU1583" s="915">
        <f t="shared" si="3004"/>
      </c>
      <c r="EV1583" s="915">
        <f>SUM(EV1581:EV1582)</f>
      </c>
      <c r="EW1583" s="899">
        <f>SUM(EW1581:EW1582)</f>
      </c>
      <c r="EX1583" s="915"/>
    </row>
    <row r="1584" spans="1:154">
      <c r="B1584" s="907"/>
      <c r="D1584" s="894"/>
      <c r="E1584" s="894"/>
      <c r="F1584" s="895"/>
      <c r="G1584" s="895"/>
      <c r="H1584" s="895"/>
      <c r="I1584" s="895"/>
      <c r="J1584" s="895"/>
      <c r="K1584" s="895"/>
      <c r="L1584" s="895"/>
      <c r="M1584" s="895"/>
      <c r="N1584" s="895"/>
      <c r="O1584" s="896"/>
      <c r="P1584" s="895"/>
      <c r="Q1584" s="895"/>
      <c r="R1584" s="895"/>
      <c r="S1584" s="895"/>
      <c r="T1584" s="896"/>
      <c r="U1584" s="895"/>
      <c r="V1584" s="895"/>
      <c r="W1584" s="895"/>
      <c r="X1584" s="899"/>
      <c r="Y1584" s="896"/>
      <c r="Z1584" s="895"/>
      <c r="AA1584" s="895"/>
      <c r="AB1584" s="895"/>
      <c r="AC1584" s="899"/>
      <c r="AD1584" s="896"/>
      <c r="AE1584" s="895"/>
      <c r="AF1584" s="895"/>
      <c r="AG1584" s="895"/>
      <c r="AH1584" s="899"/>
      <c r="AI1584" s="896"/>
      <c r="AJ1584" s="895"/>
      <c r="AK1584" s="895"/>
      <c r="AL1584" s="895"/>
      <c r="AM1584" s="899"/>
      <c r="AN1584" s="896"/>
      <c r="AO1584" s="895"/>
      <c r="AP1584" s="895"/>
      <c r="AQ1584" s="897"/>
      <c r="AR1584" s="899"/>
      <c r="AS1584" s="896"/>
      <c r="AT1584" s="895"/>
      <c r="AU1584" s="895"/>
      <c r="AV1584" s="895"/>
      <c r="AW1584" s="899"/>
      <c r="AX1584" s="896"/>
      <c r="AY1584" s="895"/>
      <c r="AZ1584" s="895"/>
      <c r="BA1584" s="895"/>
      <c r="BB1584" s="899"/>
      <c r="BC1584" s="896"/>
      <c r="BD1584" s="895"/>
      <c r="BE1584" s="895"/>
      <c r="BF1584" s="895"/>
      <c r="BG1584" s="899"/>
      <c r="BH1584" s="896"/>
      <c r="BI1584" s="895"/>
      <c r="BJ1584" s="895"/>
      <c r="BK1584" s="895"/>
      <c r="BL1584" s="899"/>
      <c r="BM1584" s="895"/>
      <c r="BN1584" s="895"/>
      <c r="BO1584" s="895"/>
      <c r="BP1584" s="895"/>
      <c r="BQ1584" s="899"/>
      <c r="BR1584" s="895"/>
      <c r="BS1584" s="895"/>
      <c r="BT1584" s="895"/>
      <c r="BU1584" s="895"/>
      <c r="BV1584" s="899"/>
      <c r="BW1584" s="908"/>
      <c r="BX1584" s="895"/>
      <c r="BY1584" s="895"/>
      <c r="BZ1584" s="895"/>
      <c r="CA1584" s="899"/>
      <c r="CB1584" s="895"/>
      <c r="CC1584" s="895"/>
      <c r="CD1584" s="895"/>
      <c r="CE1584" s="895"/>
      <c r="CF1584" s="899"/>
      <c r="CG1584" s="895"/>
      <c r="CH1584" s="895"/>
      <c r="CI1584" s="895"/>
      <c r="CJ1584" s="895"/>
      <c r="CK1584" s="899"/>
      <c r="CL1584" s="1015"/>
      <c r="CM1584" s="895"/>
      <c r="CN1584" s="895"/>
      <c r="CO1584" s="895"/>
      <c r="CP1584" s="899"/>
      <c r="CQ1584" s="895"/>
      <c r="CR1584" s="895"/>
      <c r="CS1584" s="895"/>
      <c r="CT1584" s="915"/>
      <c r="CU1584" s="899"/>
      <c r="CV1584" s="895"/>
      <c r="CW1584" s="895"/>
      <c r="CX1584" s="895"/>
      <c r="CY1584" s="915"/>
      <c r="CZ1584" s="899"/>
      <c r="DA1584" s="1015"/>
      <c r="DB1584" s="1509"/>
      <c r="DC1584" s="895"/>
      <c r="DD1584" s="915"/>
      <c r="DE1584" s="899"/>
      <c r="DF1584" s="895"/>
      <c r="DG1584" s="895"/>
      <c r="DH1584" s="895"/>
      <c r="DI1584" s="915"/>
      <c r="DJ1584" s="899"/>
      <c r="DK1584" s="895"/>
      <c r="DL1584" s="895"/>
      <c r="DM1584" s="895"/>
      <c r="DN1584" s="915"/>
      <c r="DO1584" s="899"/>
      <c r="DP1584" s="895"/>
      <c r="DQ1584" s="895"/>
      <c r="DR1584" s="895"/>
      <c r="DS1584" s="915"/>
      <c r="DT1584" s="899"/>
      <c r="DU1584" s="895"/>
      <c r="DV1584" s="895"/>
      <c r="DW1584" s="895"/>
      <c r="DX1584" s="915"/>
      <c r="DY1584" s="899"/>
      <c r="DZ1584" s="895"/>
      <c r="EA1584" s="895"/>
      <c r="EB1584" s="895"/>
      <c r="EC1584" s="915"/>
      <c r="ED1584" s="899"/>
      <c r="EE1584" s="1015"/>
      <c r="EF1584" s="895"/>
      <c r="EG1584" s="895"/>
      <c r="EH1584" s="915"/>
      <c r="EI1584" s="1015"/>
      <c r="EJ1584" s="899"/>
      <c r="EK1584" s="899"/>
      <c r="EL1584" s="899"/>
      <c r="EM1584" s="899"/>
      <c r="EN1584" s="899"/>
      <c r="EO1584" s="915"/>
      <c r="EP1584" s="915"/>
      <c r="EQ1584" s="915"/>
      <c r="ER1584" s="915"/>
      <c r="ES1584" s="915"/>
      <c r="ET1584" s="915"/>
      <c r="EU1584" s="915"/>
      <c r="EV1584" s="915"/>
      <c r="EW1584" s="899"/>
      <c r="EX1584" s="915"/>
    </row>
    <row r="1585" spans="1:154">
      <c r="B1585" s="906" t="s">
        <v>990</v>
      </c>
      <c r="C1585" s="3401" t="s">
        <v>991</v>
      </c>
      <c r="D1585" s="894"/>
      <c r="E1585" s="894"/>
      <c r="F1585" s="895"/>
      <c r="G1585" s="895"/>
      <c r="H1585" s="895"/>
      <c r="I1585" s="895"/>
      <c r="J1585" s="895"/>
      <c r="K1585" s="895"/>
      <c r="L1585" s="895"/>
      <c r="M1585" s="895"/>
      <c r="N1585" s="895"/>
      <c r="O1585" s="896"/>
      <c r="P1585" s="895"/>
      <c r="Q1585" s="895"/>
      <c r="R1585" s="895"/>
      <c r="S1585" s="895"/>
      <c r="T1585" s="896"/>
      <c r="U1585" s="895"/>
      <c r="V1585" s="895"/>
      <c r="W1585" s="895"/>
      <c r="X1585" s="899"/>
      <c r="Y1585" s="896"/>
      <c r="Z1585" s="895"/>
      <c r="AA1585" s="895"/>
      <c r="AB1585" s="895"/>
      <c r="AC1585" s="899"/>
      <c r="AD1585" s="896"/>
      <c r="AE1585" s="895"/>
      <c r="AF1585" s="895"/>
      <c r="AG1585" s="895"/>
      <c r="AH1585" s="899"/>
      <c r="AI1585" s="896"/>
      <c r="AJ1585" s="895"/>
      <c r="AK1585" s="895"/>
      <c r="AL1585" s="895"/>
      <c r="AM1585" s="899"/>
      <c r="AN1585" s="896"/>
      <c r="AO1585" s="895"/>
      <c r="AP1585" s="895"/>
      <c r="AQ1585" s="897"/>
      <c r="AR1585" s="899"/>
      <c r="AS1585" s="896"/>
      <c r="AT1585" s="895"/>
      <c r="AU1585" s="895"/>
      <c r="AV1585" s="895"/>
      <c r="AW1585" s="899"/>
      <c r="AX1585" s="896"/>
      <c r="AY1585" s="895"/>
      <c r="AZ1585" s="895"/>
      <c r="BA1585" s="895"/>
      <c r="BB1585" s="899"/>
      <c r="BC1585" s="896"/>
      <c r="BD1585" s="895"/>
      <c r="BE1585" s="895"/>
      <c r="BF1585" s="895"/>
      <c r="BG1585" s="899"/>
      <c r="BH1585" s="896"/>
      <c r="BI1585" s="895"/>
      <c r="BJ1585" s="895"/>
      <c r="BK1585" s="895"/>
      <c r="BL1585" s="899"/>
      <c r="BM1585" s="895"/>
      <c r="BN1585" s="895"/>
      <c r="BO1585" s="895"/>
      <c r="BP1585" s="895"/>
      <c r="BQ1585" s="899"/>
      <c r="BR1585" s="895"/>
      <c r="BS1585" s="895"/>
      <c r="BT1585" s="895"/>
      <c r="BU1585" s="895"/>
      <c r="BV1585" s="899"/>
      <c r="BW1585" s="908"/>
      <c r="BX1585" s="895"/>
      <c r="BY1585" s="895"/>
      <c r="BZ1585" s="895"/>
      <c r="CA1585" s="899"/>
      <c r="CB1585" s="895"/>
      <c r="CC1585" s="895"/>
      <c r="CD1585" s="895"/>
      <c r="CE1585" s="895"/>
      <c r="CF1585" s="899"/>
      <c r="CG1585" s="895"/>
      <c r="CH1585" s="895"/>
      <c r="CI1585" s="895"/>
      <c r="CJ1585" s="895"/>
      <c r="CK1585" s="899"/>
      <c r="CL1585" s="1015"/>
      <c r="CM1585" s="895"/>
      <c r="CN1585" s="895"/>
      <c r="CO1585" s="895"/>
      <c r="CP1585" s="899"/>
      <c r="CQ1585" s="895"/>
      <c r="CR1585" s="895"/>
      <c r="CS1585" s="895"/>
      <c r="CT1585" s="915"/>
      <c r="CU1585" s="899"/>
      <c r="CV1585" s="895"/>
      <c r="CW1585" s="895"/>
      <c r="CX1585" s="895"/>
      <c r="CY1585" s="915"/>
      <c r="CZ1585" s="899"/>
      <c r="DA1585" s="1015"/>
      <c r="DB1585" s="1509"/>
      <c r="DC1585" s="895"/>
      <c r="DD1585" s="915"/>
      <c r="DE1585" s="899"/>
      <c r="DF1585" s="895"/>
      <c r="DG1585" s="895"/>
      <c r="DH1585" s="895"/>
      <c r="DI1585" s="915"/>
      <c r="DJ1585" s="899"/>
      <c r="DK1585" s="895"/>
      <c r="DL1585" s="895"/>
      <c r="DM1585" s="895"/>
      <c r="DN1585" s="915"/>
      <c r="DO1585" s="899"/>
      <c r="DP1585" s="895"/>
      <c r="DQ1585" s="895"/>
      <c r="DR1585" s="895"/>
      <c r="DS1585" s="915"/>
      <c r="DT1585" s="899"/>
      <c r="DU1585" s="895"/>
      <c r="DV1585" s="895"/>
      <c r="DW1585" s="895"/>
      <c r="DX1585" s="915"/>
      <c r="DY1585" s="899"/>
      <c r="DZ1585" s="895"/>
      <c r="EA1585" s="895"/>
      <c r="EB1585" s="895"/>
      <c r="EC1585" s="915"/>
      <c r="ED1585" s="899"/>
      <c r="EE1585" s="1015"/>
      <c r="EF1585" s="895"/>
      <c r="EG1585" s="895"/>
      <c r="EH1585" s="915"/>
      <c r="EI1585" s="1015"/>
      <c r="EJ1585" s="899"/>
      <c r="EK1585" s="899"/>
      <c r="EL1585" s="899"/>
      <c r="EM1585" s="899"/>
      <c r="EN1585" s="899"/>
      <c r="EO1585" s="915"/>
      <c r="EP1585" s="915"/>
      <c r="EQ1585" s="915"/>
      <c r="ER1585" s="915"/>
      <c r="ES1585" s="915"/>
      <c r="ET1585" s="915"/>
      <c r="EU1585" s="915"/>
      <c r="EV1585" s="915"/>
      <c r="EW1585" s="899"/>
      <c r="EX1585" s="915"/>
    </row>
    <row r="1586" spans="1:154">
      <c r="B1586" s="907" t="s">
        <v>153</v>
      </c>
      <c r="C1586" s="3646">
        <v>0.08</v>
      </c>
      <c r="D1586" s="894"/>
      <c r="E1586" s="894"/>
      <c r="F1586" s="895"/>
      <c r="G1586" s="895"/>
      <c r="H1586" s="895"/>
      <c r="I1586" s="895"/>
      <c r="J1586" s="895"/>
      <c r="K1586" s="895"/>
      <c r="L1586" s="895"/>
      <c r="M1586" s="895"/>
      <c r="N1586" s="895"/>
      <c r="O1586" s="896"/>
      <c r="P1586" s="895"/>
      <c r="Q1586" s="895"/>
      <c r="R1586" s="895"/>
      <c r="S1586" s="895"/>
      <c r="T1586" s="896"/>
      <c r="U1586" s="895"/>
      <c r="V1586" s="895"/>
      <c r="W1586" s="895"/>
      <c r="X1586" s="899"/>
      <c r="Y1586" s="896"/>
      <c r="Z1586" s="895"/>
      <c r="AA1586" s="895"/>
      <c r="AB1586" s="895"/>
      <c r="AC1586" s="899"/>
      <c r="AD1586" s="896"/>
      <c r="AE1586" s="895"/>
      <c r="AF1586" s="895"/>
      <c r="AG1586" s="895"/>
      <c r="AH1586" s="899"/>
      <c r="AI1586" s="896"/>
      <c r="AJ1586" s="895"/>
      <c r="AK1586" s="895"/>
      <c r="AL1586" s="895"/>
      <c r="AM1586" s="899"/>
      <c r="AN1586" s="896"/>
      <c r="AO1586" s="895"/>
      <c r="AP1586" s="895"/>
      <c r="AQ1586" s="897"/>
      <c r="AR1586" s="899"/>
      <c r="AS1586" s="896"/>
      <c r="AT1586" s="895"/>
      <c r="AU1586" s="895"/>
      <c r="AV1586" s="895"/>
      <c r="AW1586" s="899"/>
      <c r="AX1586" s="896"/>
      <c r="AY1586" s="895"/>
      <c r="AZ1586" s="895"/>
      <c r="BA1586" s="895"/>
      <c r="BB1586" s="899"/>
      <c r="BC1586" s="896"/>
      <c r="BD1586" s="895"/>
      <c r="BE1586" s="895"/>
      <c r="BF1586" s="895"/>
      <c r="BG1586" s="899"/>
      <c r="BH1586" s="896"/>
      <c r="BI1586" s="895"/>
      <c r="BJ1586" s="895"/>
      <c r="BK1586" s="895"/>
      <c r="BL1586" s="899"/>
      <c r="BM1586" s="895"/>
      <c r="BN1586" s="895"/>
      <c r="BO1586" s="895"/>
      <c r="BP1586" s="895"/>
      <c r="BQ1586" s="899"/>
      <c r="BR1586" s="895"/>
      <c r="BS1586" s="895"/>
      <c r="BT1586" s="895"/>
      <c r="BU1586" s="895"/>
      <c r="BV1586" s="899"/>
      <c r="BW1586" s="908"/>
      <c r="BX1586" s="895"/>
      <c r="BY1586" s="895"/>
      <c r="BZ1586" s="895"/>
      <c r="CA1586" s="899"/>
      <c r="CB1586" s="895"/>
      <c r="CC1586" s="895"/>
      <c r="CD1586" s="895"/>
      <c r="CE1586" s="895"/>
      <c r="CF1586" s="899"/>
      <c r="CG1586" s="895"/>
      <c r="CH1586" s="895"/>
      <c r="CI1586" s="895"/>
      <c r="CJ1586" s="895"/>
      <c r="CK1586" s="899"/>
      <c r="CL1586" s="1015"/>
      <c r="CM1586" s="895"/>
      <c r="CN1586" s="895"/>
      <c r="CO1586" s="895"/>
      <c r="CP1586" s="899"/>
      <c r="CQ1586" s="895"/>
      <c r="CR1586" s="895"/>
      <c r="CS1586" s="895"/>
      <c r="CT1586" s="915"/>
      <c r="CU1586" s="899"/>
      <c r="CV1586" s="895"/>
      <c r="CW1586" s="895"/>
      <c r="CX1586" s="895"/>
      <c r="CY1586" s="915"/>
      <c r="CZ1586" s="899"/>
      <c r="DA1586" s="1015"/>
      <c r="DB1586" s="1509"/>
      <c r="DC1586" s="895"/>
      <c r="DD1586" s="915"/>
      <c r="DE1586" s="899"/>
      <c r="DF1586" s="895"/>
      <c r="DG1586" s="895"/>
      <c r="DH1586" s="895"/>
      <c r="DI1586" s="915"/>
      <c r="DJ1586" s="899"/>
      <c r="DK1586" s="895"/>
      <c r="DL1586" s="895"/>
      <c r="DM1586" s="895"/>
      <c r="DN1586" s="915"/>
      <c r="DO1586" s="899"/>
      <c r="DP1586" s="895"/>
      <c r="DQ1586" s="895"/>
      <c r="DR1586" s="895"/>
      <c r="DS1586" s="915"/>
      <c r="DT1586" s="899"/>
      <c r="DU1586" s="895"/>
      <c r="DV1586" s="895"/>
      <c r="DW1586" s="895"/>
      <c r="DX1586" s="915"/>
      <c r="DY1586" s="899"/>
      <c r="DZ1586" s="895"/>
      <c r="EA1586" s="895"/>
      <c r="EB1586" s="895"/>
      <c r="EC1586" s="915"/>
      <c r="ED1586" s="899"/>
      <c r="EE1586" s="1015"/>
      <c r="EF1586" s="895"/>
      <c r="EG1586" s="895"/>
      <c r="EH1586" s="915"/>
      <c r="EI1586" s="1015">
        <f t="shared" ref="EI1586" si="3005">SUM(EI1576*$C$1575+EI1581*$C$1580)*(1-$C$1586)</f>
      </c>
      <c r="EJ1586" s="1015">
        <f t="shared" ref="EJ1586:EW1586" si="3006">SUM(EJ1576*$C$1575+EJ1581*$C$1580)*(1-$C$1586)</f>
      </c>
      <c r="EK1586" s="1015">
        <f t="shared" si="3006"/>
      </c>
      <c r="EL1586" s="1015">
        <f t="shared" si="3006"/>
      </c>
      <c r="EM1586" s="1015">
        <f t="shared" si="3006"/>
      </c>
      <c r="EN1586" s="1015">
        <f t="shared" si="3006"/>
      </c>
      <c r="EO1586" s="1015">
        <f t="shared" si="3006"/>
      </c>
      <c r="EP1586" s="1015">
        <f t="shared" si="3006"/>
      </c>
      <c r="EQ1586" s="1015">
        <f t="shared" si="3006"/>
      </c>
      <c r="ER1586" s="1015">
        <f t="shared" si="3006"/>
      </c>
      <c r="ES1586" s="1015">
        <f t="shared" si="3006"/>
      </c>
      <c r="ET1586" s="1015">
        <f t="shared" si="3006"/>
      </c>
      <c r="EU1586" s="1015">
        <f t="shared" si="3006"/>
      </c>
      <c r="EV1586" s="1015">
        <f t="shared" si="3006"/>
      </c>
      <c r="EW1586" s="899">
        <f t="shared" si="3006"/>
      </c>
      <c r="EX1586" s="915"/>
    </row>
    <row r="1587" spans="1:154">
      <c r="B1587" s="907" t="s">
        <v>235</v>
      </c>
      <c r="D1587" s="894"/>
      <c r="E1587" s="894"/>
      <c r="F1587" s="895"/>
      <c r="G1587" s="895"/>
      <c r="H1587" s="895"/>
      <c r="I1587" s="895"/>
      <c r="J1587" s="895"/>
      <c r="K1587" s="895"/>
      <c r="L1587" s="895"/>
      <c r="M1587" s="895"/>
      <c r="N1587" s="895"/>
      <c r="O1587" s="896"/>
      <c r="P1587" s="895"/>
      <c r="Q1587" s="895"/>
      <c r="R1587" s="895"/>
      <c r="S1587" s="895"/>
      <c r="T1587" s="896"/>
      <c r="U1587" s="895"/>
      <c r="V1587" s="895"/>
      <c r="W1587" s="895"/>
      <c r="X1587" s="899"/>
      <c r="Y1587" s="896"/>
      <c r="Z1587" s="895"/>
      <c r="AA1587" s="895"/>
      <c r="AB1587" s="895"/>
      <c r="AC1587" s="899"/>
      <c r="AD1587" s="896"/>
      <c r="AE1587" s="895"/>
      <c r="AF1587" s="895"/>
      <c r="AG1587" s="895"/>
      <c r="AH1587" s="899"/>
      <c r="AI1587" s="896"/>
      <c r="AJ1587" s="895"/>
      <c r="AK1587" s="895"/>
      <c r="AL1587" s="895"/>
      <c r="AM1587" s="899"/>
      <c r="AN1587" s="896"/>
      <c r="AO1587" s="895"/>
      <c r="AP1587" s="895"/>
      <c r="AQ1587" s="897"/>
      <c r="AR1587" s="899"/>
      <c r="AS1587" s="896"/>
      <c r="AT1587" s="895"/>
      <c r="AU1587" s="895"/>
      <c r="AV1587" s="895"/>
      <c r="AW1587" s="899"/>
      <c r="AX1587" s="896"/>
      <c r="AY1587" s="895"/>
      <c r="AZ1587" s="895"/>
      <c r="BA1587" s="895"/>
      <c r="BB1587" s="899"/>
      <c r="BC1587" s="896"/>
      <c r="BD1587" s="895"/>
      <c r="BE1587" s="895"/>
      <c r="BF1587" s="895"/>
      <c r="BG1587" s="899"/>
      <c r="BH1587" s="896"/>
      <c r="BI1587" s="895"/>
      <c r="BJ1587" s="895"/>
      <c r="BK1587" s="895"/>
      <c r="BL1587" s="899"/>
      <c r="BM1587" s="895"/>
      <c r="BN1587" s="895"/>
      <c r="BO1587" s="895"/>
      <c r="BP1587" s="895"/>
      <c r="BQ1587" s="899"/>
      <c r="BR1587" s="895"/>
      <c r="BS1587" s="895"/>
      <c r="BT1587" s="895"/>
      <c r="BU1587" s="895"/>
      <c r="BV1587" s="899"/>
      <c r="BW1587" s="908"/>
      <c r="BX1587" s="895"/>
      <c r="BY1587" s="895"/>
      <c r="BZ1587" s="895"/>
      <c r="CA1587" s="899"/>
      <c r="CB1587" s="895"/>
      <c r="CC1587" s="895"/>
      <c r="CD1587" s="895"/>
      <c r="CE1587" s="895"/>
      <c r="CF1587" s="899"/>
      <c r="CG1587" s="895"/>
      <c r="CH1587" s="895"/>
      <c r="CI1587" s="895"/>
      <c r="CJ1587" s="895"/>
      <c r="CK1587" s="899"/>
      <c r="CL1587" s="1015"/>
      <c r="CM1587" s="895"/>
      <c r="CN1587" s="895"/>
      <c r="CO1587" s="895"/>
      <c r="CP1587" s="899"/>
      <c r="CQ1587" s="895"/>
      <c r="CR1587" s="895"/>
      <c r="CS1587" s="895"/>
      <c r="CT1587" s="915"/>
      <c r="CU1587" s="899"/>
      <c r="CV1587" s="895"/>
      <c r="CW1587" s="895"/>
      <c r="CX1587" s="895"/>
      <c r="CY1587" s="915"/>
      <c r="CZ1587" s="899"/>
      <c r="DA1587" s="1015"/>
      <c r="DB1587" s="1509"/>
      <c r="DC1587" s="895"/>
      <c r="DD1587" s="915"/>
      <c r="DE1587" s="899"/>
      <c r="DF1587" s="895"/>
      <c r="DG1587" s="895"/>
      <c r="DH1587" s="895"/>
      <c r="DI1587" s="915"/>
      <c r="DJ1587" s="899"/>
      <c r="DK1587" s="895"/>
      <c r="DL1587" s="895"/>
      <c r="DM1587" s="895"/>
      <c r="DN1587" s="915"/>
      <c r="DO1587" s="899"/>
      <c r="DP1587" s="895"/>
      <c r="DQ1587" s="895"/>
      <c r="DR1587" s="895"/>
      <c r="DS1587" s="915"/>
      <c r="DT1587" s="899"/>
      <c r="DU1587" s="895"/>
      <c r="DV1587" s="895"/>
      <c r="DW1587" s="895"/>
      <c r="DX1587" s="915"/>
      <c r="DY1587" s="899"/>
      <c r="DZ1587" s="895"/>
      <c r="EA1587" s="895"/>
      <c r="EB1587" s="895"/>
      <c r="EC1587" s="915"/>
      <c r="ED1587" s="899"/>
      <c r="EE1587" s="1015"/>
      <c r="EF1587" s="895"/>
      <c r="EG1587" s="895"/>
      <c r="EH1587" s="915"/>
      <c r="EI1587" s="1015">
        <f t="shared" ref="EI1587" si="3007">SUM(EI1577*$C$1575,EI1582*$C$1580)*(1-$C$1586)</f>
      </c>
      <c r="EJ1587" s="1015">
        <f t="shared" ref="EJ1587:EW1587" si="3008">SUM(EJ1577*$C$1575,EJ1582*$C$1580)*(1-$C$1586)</f>
      </c>
      <c r="EK1587" s="1015">
        <f t="shared" si="3008"/>
      </c>
      <c r="EL1587" s="1015">
        <f t="shared" si="3008"/>
      </c>
      <c r="EM1587" s="1015">
        <f t="shared" si="3008"/>
      </c>
      <c r="EN1587" s="1015">
        <f t="shared" si="3008"/>
      </c>
      <c r="EO1587" s="1015">
        <f t="shared" si="3008"/>
      </c>
      <c r="EP1587" s="1015">
        <f t="shared" si="3008"/>
      </c>
      <c r="EQ1587" s="1015">
        <f t="shared" si="3008"/>
      </c>
      <c r="ER1587" s="1015">
        <f t="shared" si="3008"/>
      </c>
      <c r="ES1587" s="1015">
        <f t="shared" si="3008"/>
      </c>
      <c r="ET1587" s="1015">
        <f t="shared" si="3008"/>
      </c>
      <c r="EU1587" s="1015">
        <f t="shared" si="3008"/>
      </c>
      <c r="EV1587" s="1015">
        <f t="shared" si="3008"/>
      </c>
      <c r="EW1587" s="899">
        <f t="shared" si="3008"/>
      </c>
      <c r="EX1587" s="915"/>
    </row>
    <row r="1588" spans="1:154">
      <c r="A1588" s="3275" t="s">
        <v>899</v>
      </c>
      <c r="B1588" s="907" t="s">
        <v>188</v>
      </c>
      <c r="D1588" s="894"/>
      <c r="E1588" s="894"/>
      <c r="F1588" s="895"/>
      <c r="G1588" s="895"/>
      <c r="H1588" s="895"/>
      <c r="I1588" s="895"/>
      <c r="J1588" s="895"/>
      <c r="K1588" s="895"/>
      <c r="L1588" s="895"/>
      <c r="M1588" s="895"/>
      <c r="N1588" s="895"/>
      <c r="O1588" s="896"/>
      <c r="P1588" s="895"/>
      <c r="Q1588" s="895"/>
      <c r="R1588" s="895"/>
      <c r="S1588" s="895"/>
      <c r="T1588" s="896"/>
      <c r="U1588" s="895"/>
      <c r="V1588" s="895"/>
      <c r="W1588" s="895"/>
      <c r="X1588" s="899"/>
      <c r="Y1588" s="896"/>
      <c r="Z1588" s="895"/>
      <c r="AA1588" s="895"/>
      <c r="AB1588" s="895"/>
      <c r="AC1588" s="899"/>
      <c r="AD1588" s="896"/>
      <c r="AE1588" s="895"/>
      <c r="AF1588" s="895"/>
      <c r="AG1588" s="895"/>
      <c r="AH1588" s="899"/>
      <c r="AI1588" s="896"/>
      <c r="AJ1588" s="895"/>
      <c r="AK1588" s="895"/>
      <c r="AL1588" s="895"/>
      <c r="AM1588" s="899"/>
      <c r="AN1588" s="896"/>
      <c r="AO1588" s="895"/>
      <c r="AP1588" s="895"/>
      <c r="AQ1588" s="897"/>
      <c r="AR1588" s="899"/>
      <c r="AS1588" s="896"/>
      <c r="AT1588" s="895"/>
      <c r="AU1588" s="895"/>
      <c r="AV1588" s="895"/>
      <c r="AW1588" s="899"/>
      <c r="AX1588" s="896"/>
      <c r="AY1588" s="895"/>
      <c r="AZ1588" s="895"/>
      <c r="BA1588" s="895"/>
      <c r="BB1588" s="899"/>
      <c r="BC1588" s="896"/>
      <c r="BD1588" s="895"/>
      <c r="BE1588" s="895"/>
      <c r="BF1588" s="895"/>
      <c r="BG1588" s="899"/>
      <c r="BH1588" s="896"/>
      <c r="BI1588" s="895"/>
      <c r="BJ1588" s="895"/>
      <c r="BK1588" s="895"/>
      <c r="BL1588" s="899"/>
      <c r="BM1588" s="895"/>
      <c r="BN1588" s="895"/>
      <c r="BO1588" s="895"/>
      <c r="BP1588" s="895"/>
      <c r="BQ1588" s="899"/>
      <c r="BR1588" s="895"/>
      <c r="BS1588" s="895"/>
      <c r="BT1588" s="895"/>
      <c r="BU1588" s="895"/>
      <c r="BV1588" s="899"/>
      <c r="BW1588" s="908"/>
      <c r="BX1588" s="895"/>
      <c r="BY1588" s="895"/>
      <c r="BZ1588" s="895"/>
      <c r="CA1588" s="899"/>
      <c r="CB1588" s="895"/>
      <c r="CC1588" s="895"/>
      <c r="CD1588" s="895"/>
      <c r="CE1588" s="895"/>
      <c r="CF1588" s="899"/>
      <c r="CG1588" s="895"/>
      <c r="CH1588" s="895"/>
      <c r="CI1588" s="895"/>
      <c r="CJ1588" s="895"/>
      <c r="CK1588" s="899"/>
      <c r="CL1588" s="1015"/>
      <c r="CM1588" s="895"/>
      <c r="CN1588" s="895"/>
      <c r="CO1588" s="895"/>
      <c r="CP1588" s="899"/>
      <c r="CQ1588" s="895"/>
      <c r="CR1588" s="895"/>
      <c r="CS1588" s="895"/>
      <c r="CT1588" s="915"/>
      <c r="CU1588" s="899"/>
      <c r="CV1588" s="895"/>
      <c r="CW1588" s="895"/>
      <c r="CX1588" s="895"/>
      <c r="CY1588" s="915"/>
      <c r="CZ1588" s="899"/>
      <c r="DA1588" s="1015"/>
      <c r="DB1588" s="1509"/>
      <c r="DC1588" s="895"/>
      <c r="DD1588" s="915"/>
      <c r="DE1588" s="899"/>
      <c r="DF1588" s="895"/>
      <c r="DG1588" s="895"/>
      <c r="DH1588" s="895"/>
      <c r="DI1588" s="915"/>
      <c r="DJ1588" s="899"/>
      <c r="DK1588" s="895"/>
      <c r="DL1588" s="895"/>
      <c r="DM1588" s="895"/>
      <c r="DN1588" s="915"/>
      <c r="DO1588" s="899"/>
      <c r="DP1588" s="895"/>
      <c r="DQ1588" s="895"/>
      <c r="DR1588" s="895"/>
      <c r="DS1588" s="915"/>
      <c r="DT1588" s="899"/>
      <c r="DU1588" s="895"/>
      <c r="DV1588" s="895"/>
      <c r="DW1588" s="895"/>
      <c r="DX1588" s="915"/>
      <c r="DY1588" s="899"/>
      <c r="DZ1588" s="895"/>
      <c r="EA1588" s="895"/>
      <c r="EB1588" s="895"/>
      <c r="EC1588" s="915"/>
      <c r="ED1588" s="899"/>
      <c r="EE1588" s="1015"/>
      <c r="EF1588" s="895"/>
      <c r="EG1588" s="895"/>
      <c r="EH1588" s="915"/>
      <c r="EI1588" s="1015">
        <f>SUM(EI1586:EI1587)</f>
      </c>
      <c r="EJ1588" s="1015">
        <f t="shared" ref="EJ1588:EW1588" si="3009">SUM(EJ1586:EJ1587)</f>
      </c>
      <c r="EK1588" s="1015">
        <f t="shared" si="3009"/>
      </c>
      <c r="EL1588" s="1015">
        <f t="shared" si="3009"/>
      </c>
      <c r="EM1588" s="1015">
        <f t="shared" si="3009"/>
      </c>
      <c r="EN1588" s="1015">
        <f t="shared" si="3009"/>
      </c>
      <c r="EO1588" s="1015">
        <f t="shared" si="3009"/>
      </c>
      <c r="EP1588" s="1015">
        <f t="shared" si="3009"/>
      </c>
      <c r="EQ1588" s="1015">
        <f t="shared" si="3009"/>
      </c>
      <c r="ER1588" s="1015">
        <f t="shared" si="3009"/>
      </c>
      <c r="ES1588" s="1015">
        <f t="shared" si="3009"/>
      </c>
      <c r="ET1588" s="1015">
        <f t="shared" si="3009"/>
      </c>
      <c r="EU1588" s="1015">
        <f t="shared" si="3009"/>
      </c>
      <c r="EV1588" s="1015">
        <f t="shared" si="3009"/>
      </c>
      <c r="EW1588" s="899">
        <f t="shared" si="3009"/>
      </c>
      <c r="EX1588" s="915"/>
    </row>
    <row r="1589" spans="1:154">
      <c r="B1589" s="907"/>
      <c r="C1589" s="1392"/>
      <c r="D1589" s="894"/>
      <c r="E1589" s="894"/>
      <c r="F1589" s="895"/>
      <c r="G1589" s="895"/>
      <c r="H1589" s="895"/>
      <c r="I1589" s="895"/>
      <c r="J1589" s="895"/>
      <c r="K1589" s="895"/>
      <c r="L1589" s="895"/>
      <c r="M1589" s="895"/>
      <c r="N1589" s="895"/>
      <c r="O1589" s="896"/>
      <c r="P1589" s="895"/>
      <c r="Q1589" s="895"/>
      <c r="R1589" s="895"/>
      <c r="S1589" s="895"/>
      <c r="T1589" s="896"/>
      <c r="U1589" s="895"/>
      <c r="V1589" s="895"/>
      <c r="W1589" s="895"/>
      <c r="X1589" s="899"/>
      <c r="Y1589" s="896"/>
      <c r="Z1589" s="895"/>
      <c r="AA1589" s="895"/>
      <c r="AB1589" s="895"/>
      <c r="AC1589" s="899"/>
      <c r="AD1589" s="896"/>
      <c r="AE1589" s="895"/>
      <c r="AF1589" s="895"/>
      <c r="AG1589" s="895"/>
      <c r="AH1589" s="899"/>
      <c r="AI1589" s="896"/>
      <c r="AJ1589" s="895"/>
      <c r="AK1589" s="895"/>
      <c r="AL1589" s="895"/>
      <c r="AM1589" s="899"/>
      <c r="AN1589" s="896"/>
      <c r="AO1589" s="895"/>
      <c r="AP1589" s="895"/>
      <c r="AQ1589" s="897"/>
      <c r="AR1589" s="899"/>
      <c r="AS1589" s="896"/>
      <c r="AT1589" s="895"/>
      <c r="AU1589" s="895"/>
      <c r="AV1589" s="895"/>
      <c r="AW1589" s="899"/>
      <c r="AX1589" s="896"/>
      <c r="AY1589" s="895"/>
      <c r="AZ1589" s="895"/>
      <c r="BA1589" s="895"/>
      <c r="BB1589" s="899"/>
      <c r="BC1589" s="896"/>
      <c r="BD1589" s="895"/>
      <c r="BE1589" s="895"/>
      <c r="BF1589" s="895"/>
      <c r="BG1589" s="899"/>
      <c r="BH1589" s="896"/>
      <c r="BI1589" s="895"/>
      <c r="BJ1589" s="895"/>
      <c r="BK1589" s="895"/>
      <c r="BL1589" s="899"/>
      <c r="BM1589" s="895"/>
      <c r="BN1589" s="895"/>
      <c r="BO1589" s="895"/>
      <c r="BP1589" s="895"/>
      <c r="BQ1589" s="899"/>
      <c r="BR1589" s="895"/>
      <c r="BS1589" s="895"/>
      <c r="BT1589" s="895"/>
      <c r="BU1589" s="895"/>
      <c r="BV1589" s="899"/>
      <c r="BW1589" s="895"/>
      <c r="BX1589" s="895"/>
      <c r="BY1589" s="895"/>
      <c r="BZ1589" s="895"/>
      <c r="CA1589" s="899"/>
      <c r="CB1589" s="895"/>
      <c r="CC1589" s="895"/>
      <c r="CD1589" s="895"/>
      <c r="CE1589" s="895"/>
      <c r="CF1589" s="899"/>
      <c r="CG1589" s="895"/>
      <c r="CH1589" s="895"/>
      <c r="CI1589" s="895"/>
      <c r="CJ1589" s="895"/>
      <c r="CK1589" s="899"/>
      <c r="CL1589" s="1015"/>
      <c r="CM1589" s="895"/>
      <c r="CN1589" s="895"/>
      <c r="CO1589" s="895"/>
      <c r="CP1589" s="899"/>
      <c r="CQ1589" s="895"/>
      <c r="CR1589" s="895"/>
      <c r="CS1589" s="895"/>
      <c r="CT1589" s="915"/>
      <c r="CU1589" s="899"/>
      <c r="CV1589" s="895"/>
      <c r="CW1589" s="895"/>
      <c r="CX1589" s="895"/>
      <c r="CY1589" s="915"/>
      <c r="CZ1589" s="899"/>
      <c r="DA1589" s="1513"/>
      <c r="DB1589" s="1509"/>
      <c r="DC1589" s="1509"/>
      <c r="DD1589" s="1514"/>
      <c r="DE1589" s="1369"/>
      <c r="DF1589" s="1509"/>
      <c r="DG1589" s="1509"/>
      <c r="DH1589" s="1509"/>
      <c r="DI1589" s="1514"/>
      <c r="DJ1589" s="1369"/>
      <c r="DK1589" s="1509"/>
      <c r="DL1589" s="1509"/>
      <c r="DM1589" s="1509"/>
      <c r="DN1589" s="1514"/>
      <c r="DO1589" s="1369"/>
      <c r="DP1589" s="1509"/>
      <c r="DQ1589" s="1509"/>
      <c r="DR1589" s="1509"/>
      <c r="DS1589" s="1514"/>
      <c r="DT1589" s="1523"/>
      <c r="DU1589" s="1509"/>
      <c r="DV1589" s="1509"/>
      <c r="DW1589" s="1509"/>
      <c r="DX1589" s="1514"/>
      <c r="DY1589" s="1523"/>
      <c r="DZ1589" s="1509"/>
      <c r="EA1589" s="1509"/>
      <c r="EB1589" s="1509"/>
      <c r="EC1589" s="1514"/>
      <c r="ED1589" s="1523"/>
      <c r="EE1589" s="2197"/>
      <c r="EF1589" s="3561"/>
      <c r="EG1589" s="1516"/>
      <c r="EH1589" s="1514"/>
      <c r="EI1589" s="2197"/>
      <c r="EJ1589" s="1523"/>
      <c r="EK1589" s="1523"/>
      <c r="EL1589" s="1523"/>
      <c r="EM1589" s="1523"/>
      <c r="EN1589" s="1523"/>
      <c r="EO1589" s="1761"/>
      <c r="EP1589" s="1523"/>
      <c r="EQ1589" s="1761"/>
      <c r="ER1589" s="1523"/>
      <c r="ES1589" s="1761"/>
      <c r="ET1589" s="1523"/>
      <c r="EU1589" s="1761"/>
      <c r="EV1589" s="1761"/>
      <c r="EW1589" s="1523"/>
      <c r="EX1589" s="1761"/>
    </row>
    <row r="1590" spans="1:154">
      <c r="B1590" s="906" t="s">
        <v>758</v>
      </c>
      <c r="C1590" s="1392"/>
      <c r="D1590" s="894"/>
      <c r="E1590" s="894"/>
      <c r="F1590" s="895"/>
      <c r="G1590" s="895"/>
      <c r="H1590" s="895"/>
      <c r="I1590" s="895"/>
      <c r="J1590" s="895"/>
      <c r="K1590" s="895"/>
      <c r="L1590" s="895"/>
      <c r="M1590" s="895"/>
      <c r="N1590" s="895"/>
      <c r="O1590" s="896"/>
      <c r="P1590" s="895"/>
      <c r="Q1590" s="895"/>
      <c r="R1590" s="895"/>
      <c r="S1590" s="895"/>
      <c r="T1590" s="896"/>
      <c r="U1590" s="895"/>
      <c r="V1590" s="895"/>
      <c r="W1590" s="895"/>
      <c r="X1590" s="899"/>
      <c r="Y1590" s="896"/>
      <c r="Z1590" s="895"/>
      <c r="AA1590" s="895"/>
      <c r="AB1590" s="895"/>
      <c r="AC1590" s="899"/>
      <c r="AD1590" s="896"/>
      <c r="AE1590" s="895"/>
      <c r="AF1590" s="895"/>
      <c r="AG1590" s="895"/>
      <c r="AH1590" s="899"/>
      <c r="AI1590" s="896"/>
      <c r="AJ1590" s="895"/>
      <c r="AK1590" s="895"/>
      <c r="AL1590" s="895"/>
      <c r="AM1590" s="899"/>
      <c r="AN1590" s="896"/>
      <c r="AO1590" s="895"/>
      <c r="AP1590" s="895"/>
      <c r="AQ1590" s="897"/>
      <c r="AR1590" s="899"/>
      <c r="AS1590" s="896"/>
      <c r="AT1590" s="895"/>
      <c r="AU1590" s="895"/>
      <c r="AV1590" s="895"/>
      <c r="AW1590" s="899"/>
      <c r="AX1590" s="896"/>
      <c r="AY1590" s="895"/>
      <c r="AZ1590" s="895"/>
      <c r="BA1590" s="895"/>
      <c r="BB1590" s="899"/>
      <c r="BC1590" s="896"/>
      <c r="BD1590" s="895"/>
      <c r="BE1590" s="895"/>
      <c r="BF1590" s="895"/>
      <c r="BG1590" s="899"/>
      <c r="BH1590" s="896"/>
      <c r="BI1590" s="895"/>
      <c r="BJ1590" s="895"/>
      <c r="BK1590" s="895"/>
      <c r="BL1590" s="899"/>
      <c r="BM1590" s="895"/>
      <c r="BN1590" s="895"/>
      <c r="BO1590" s="895"/>
      <c r="BP1590" s="895"/>
      <c r="BQ1590" s="899"/>
      <c r="BR1590" s="895"/>
      <c r="BS1590" s="895"/>
      <c r="BT1590" s="895"/>
      <c r="BU1590" s="895"/>
      <c r="BV1590" s="899"/>
      <c r="BW1590" s="908"/>
      <c r="BX1590" s="895"/>
      <c r="BY1590" s="895"/>
      <c r="BZ1590" s="895"/>
      <c r="CA1590" s="899"/>
      <c r="CB1590" s="895"/>
      <c r="CC1590" s="895"/>
      <c r="CD1590" s="895"/>
      <c r="CE1590" s="895"/>
      <c r="CF1590" s="899"/>
      <c r="CG1590" s="895"/>
      <c r="CH1590" s="895"/>
      <c r="CI1590" s="895"/>
      <c r="CJ1590" s="895"/>
      <c r="CK1590" s="899"/>
      <c r="CL1590" s="1015"/>
      <c r="CM1590" s="895"/>
      <c r="CN1590" s="895"/>
      <c r="CO1590" s="895"/>
      <c r="CP1590" s="899"/>
      <c r="CQ1590" s="895"/>
      <c r="CR1590" s="895"/>
      <c r="CS1590" s="895"/>
      <c r="CT1590" s="915"/>
      <c r="CU1590" s="899"/>
      <c r="CV1590" s="895"/>
      <c r="CW1590" s="895"/>
      <c r="CX1590" s="895"/>
      <c r="CY1590" s="915"/>
      <c r="CZ1590" s="899"/>
      <c r="DA1590" s="1015"/>
      <c r="DB1590" s="895"/>
      <c r="DC1590" s="895"/>
      <c r="DD1590" s="915"/>
      <c r="DE1590" s="899"/>
      <c r="DF1590" s="895"/>
      <c r="DG1590" s="895"/>
      <c r="DH1590" s="895"/>
      <c r="DI1590" s="915"/>
      <c r="DJ1590" s="899"/>
      <c r="DK1590" s="895"/>
      <c r="DL1590" s="895"/>
      <c r="DM1590" s="895"/>
      <c r="DN1590" s="915"/>
      <c r="DO1590" s="899"/>
      <c r="DP1590" s="895"/>
      <c r="DQ1590" s="895"/>
      <c r="DR1590" s="895"/>
      <c r="DS1590" s="915"/>
      <c r="DT1590" s="899"/>
      <c r="DU1590" s="895"/>
      <c r="DV1590" s="895"/>
      <c r="DW1590" s="895"/>
      <c r="DX1590" s="915"/>
      <c r="DY1590" s="899"/>
      <c r="DZ1590" s="895"/>
      <c r="EA1590" s="895"/>
      <c r="EB1590" s="895"/>
      <c r="EC1590" s="915"/>
      <c r="ED1590" s="899"/>
      <c r="EE1590" s="1015"/>
      <c r="EF1590" s="895"/>
      <c r="EG1590" s="895"/>
      <c r="EH1590" s="915"/>
      <c r="EI1590" s="1015"/>
      <c r="EJ1590" s="1587"/>
      <c r="EK1590" s="899"/>
      <c r="EL1590" s="899"/>
      <c r="EM1590" s="899"/>
      <c r="EN1590" s="899"/>
      <c r="EO1590" s="915"/>
      <c r="EP1590" s="915"/>
      <c r="EQ1590" s="915"/>
      <c r="ER1590" s="915"/>
      <c r="ES1590" s="915"/>
      <c r="ET1590" s="915"/>
      <c r="EU1590" s="915"/>
      <c r="EV1590" s="915"/>
      <c r="EW1590" s="899"/>
      <c r="EX1590" s="915"/>
    </row>
    <row r="1591" spans="1:154">
      <c r="B1591" s="907" t="s">
        <v>153</v>
      </c>
      <c r="C1591" s="1392"/>
      <c r="D1591" s="894"/>
      <c r="E1591" s="894"/>
      <c r="F1591" s="895"/>
      <c r="G1591" s="895"/>
      <c r="H1591" s="895"/>
      <c r="I1591" s="895"/>
      <c r="J1591" s="895"/>
      <c r="K1591" s="895"/>
      <c r="L1591" s="895"/>
      <c r="M1591" s="895"/>
      <c r="N1591" s="895"/>
      <c r="O1591" s="896"/>
      <c r="P1591" s="895"/>
      <c r="Q1591" s="895"/>
      <c r="R1591" s="895"/>
      <c r="S1591" s="895"/>
      <c r="T1591" s="896"/>
      <c r="U1591" s="895"/>
      <c r="V1591" s="895"/>
      <c r="W1591" s="895"/>
      <c r="X1591" s="899"/>
      <c r="Y1591" s="896"/>
      <c r="Z1591" s="895"/>
      <c r="AA1591" s="895"/>
      <c r="AB1591" s="895"/>
      <c r="AC1591" s="899"/>
      <c r="AD1591" s="896"/>
      <c r="AE1591" s="895"/>
      <c r="AF1591" s="895"/>
      <c r="AG1591" s="895"/>
      <c r="AH1591" s="899"/>
      <c r="AI1591" s="896"/>
      <c r="AJ1591" s="895"/>
      <c r="AK1591" s="895"/>
      <c r="AL1591" s="895"/>
      <c r="AM1591" s="899"/>
      <c r="AN1591" s="896"/>
      <c r="AO1591" s="895"/>
      <c r="AP1591" s="895"/>
      <c r="AQ1591" s="897"/>
      <c r="AR1591" s="899"/>
      <c r="AS1591" s="896"/>
      <c r="AT1591" s="895"/>
      <c r="AU1591" s="895"/>
      <c r="AV1591" s="895"/>
      <c r="AW1591" s="899"/>
      <c r="AX1591" s="896"/>
      <c r="AY1591" s="895"/>
      <c r="AZ1591" s="895"/>
      <c r="BA1591" s="895"/>
      <c r="BB1591" s="899"/>
      <c r="BC1591" s="896"/>
      <c r="BD1591" s="895"/>
      <c r="BE1591" s="895"/>
      <c r="BF1591" s="895"/>
      <c r="BG1591" s="899"/>
      <c r="BH1591" s="896"/>
      <c r="BI1591" s="895"/>
      <c r="BJ1591" s="895"/>
      <c r="BK1591" s="895"/>
      <c r="BL1591" s="899"/>
      <c r="BM1591" s="895"/>
      <c r="BN1591" s="895"/>
      <c r="BO1591" s="895"/>
      <c r="BP1591" s="895"/>
      <c r="BQ1591" s="899"/>
      <c r="BR1591" s="895"/>
      <c r="BS1591" s="895"/>
      <c r="BT1591" s="895"/>
      <c r="BU1591" s="895"/>
      <c r="BV1591" s="899"/>
      <c r="BW1591" s="908"/>
      <c r="BX1591" s="895"/>
      <c r="BY1591" s="895"/>
      <c r="BZ1591" s="895"/>
      <c r="CA1591" s="899"/>
      <c r="CB1591" s="895"/>
      <c r="CC1591" s="895"/>
      <c r="CD1591" s="895"/>
      <c r="CE1591" s="895"/>
      <c r="CF1591" s="899"/>
      <c r="CG1591" s="895"/>
      <c r="CH1591" s="895"/>
      <c r="CI1591" s="895"/>
      <c r="CJ1591" s="895"/>
      <c r="CK1591" s="899"/>
      <c r="CL1591" s="1015"/>
      <c r="CM1591" s="895"/>
      <c r="CN1591" s="895"/>
      <c r="CO1591" s="895"/>
      <c r="CP1591" s="899"/>
      <c r="CQ1591" s="895"/>
      <c r="CR1591" s="895"/>
      <c r="CS1591" s="895"/>
      <c r="CT1591" s="915"/>
      <c r="CU1591" s="899"/>
      <c r="CV1591" s="895"/>
      <c r="CW1591" s="895"/>
      <c r="CX1591" s="895"/>
      <c r="CY1591" s="915"/>
      <c r="CZ1591" s="899"/>
      <c r="DA1591" s="1015"/>
      <c r="DB1591" s="1509"/>
      <c r="DC1591" s="895"/>
      <c r="DD1591" s="915"/>
      <c r="DE1591" s="899"/>
      <c r="DF1591" s="895"/>
      <c r="DG1591" s="895"/>
      <c r="DH1591" s="895"/>
      <c r="DI1591" s="915"/>
      <c r="DJ1591" s="899"/>
      <c r="DK1591" s="895"/>
      <c r="DL1591" s="895"/>
      <c r="DM1591" s="895"/>
      <c r="DN1591" s="915"/>
      <c r="DO1591" s="899"/>
      <c r="DP1591" s="895"/>
      <c r="DQ1591" s="895"/>
      <c r="DR1591" s="895"/>
      <c r="DS1591" s="915"/>
      <c r="DT1591" s="899"/>
      <c r="DU1591" s="895"/>
      <c r="DV1591" s="895"/>
      <c r="DW1591" s="908"/>
      <c r="DX1591" s="1021"/>
      <c r="DY1591" s="899"/>
      <c r="DZ1591" s="895"/>
      <c r="EA1591" s="908"/>
      <c r="EB1591" s="908"/>
      <c r="EC1591" s="1021"/>
      <c r="ED1591" s="909"/>
      <c r="EE1591" s="1321"/>
      <c r="EF1591" s="908"/>
      <c r="EG1591" s="908"/>
      <c r="EH1591" s="1021"/>
      <c r="EI1591" s="1321"/>
      <c r="EJ1591" s="909"/>
      <c r="EK1591" s="909"/>
      <c r="EL1591" s="909"/>
      <c r="EM1591" s="909"/>
      <c r="EN1591" s="909"/>
      <c r="EO1591" s="1021"/>
      <c r="EP1591" s="1021"/>
      <c r="EQ1591" s="1021"/>
      <c r="ER1591" s="1021"/>
      <c r="ES1591" s="1021"/>
      <c r="ET1591" s="1021"/>
      <c r="EU1591" s="1021"/>
      <c r="EV1591" s="1021"/>
      <c r="EW1591" s="909"/>
      <c r="EX1591" s="1021"/>
    </row>
    <row r="1592" spans="1:154">
      <c r="B1592" s="907" t="s">
        <v>235</v>
      </c>
      <c r="C1592" s="1392"/>
      <c r="D1592" s="894"/>
      <c r="E1592" s="894"/>
      <c r="F1592" s="895"/>
      <c r="G1592" s="895"/>
      <c r="H1592" s="895"/>
      <c r="I1592" s="895"/>
      <c r="J1592" s="895"/>
      <c r="K1592" s="895"/>
      <c r="L1592" s="895"/>
      <c r="M1592" s="895"/>
      <c r="N1592" s="895"/>
      <c r="O1592" s="896"/>
      <c r="P1592" s="895"/>
      <c r="Q1592" s="895"/>
      <c r="R1592" s="895"/>
      <c r="S1592" s="895"/>
      <c r="T1592" s="896"/>
      <c r="U1592" s="895"/>
      <c r="V1592" s="895"/>
      <c r="W1592" s="895"/>
      <c r="X1592" s="899"/>
      <c r="Y1592" s="896"/>
      <c r="Z1592" s="895"/>
      <c r="AA1592" s="895"/>
      <c r="AB1592" s="895"/>
      <c r="AC1592" s="899"/>
      <c r="AD1592" s="896"/>
      <c r="AE1592" s="895"/>
      <c r="AF1592" s="895"/>
      <c r="AG1592" s="895"/>
      <c r="AH1592" s="899"/>
      <c r="AI1592" s="896"/>
      <c r="AJ1592" s="895"/>
      <c r="AK1592" s="895"/>
      <c r="AL1592" s="895"/>
      <c r="AM1592" s="899"/>
      <c r="AN1592" s="896"/>
      <c r="AO1592" s="895"/>
      <c r="AP1592" s="895"/>
      <c r="AQ1592" s="897"/>
      <c r="AR1592" s="899"/>
      <c r="AS1592" s="896"/>
      <c r="AT1592" s="895"/>
      <c r="AU1592" s="895"/>
      <c r="AV1592" s="895"/>
      <c r="AW1592" s="899"/>
      <c r="AX1592" s="896"/>
      <c r="AY1592" s="895"/>
      <c r="AZ1592" s="895"/>
      <c r="BA1592" s="895"/>
      <c r="BB1592" s="899"/>
      <c r="BC1592" s="896"/>
      <c r="BD1592" s="895"/>
      <c r="BE1592" s="895"/>
      <c r="BF1592" s="895"/>
      <c r="BG1592" s="899"/>
      <c r="BH1592" s="896"/>
      <c r="BI1592" s="895"/>
      <c r="BJ1592" s="895"/>
      <c r="BK1592" s="895"/>
      <c r="BL1592" s="899"/>
      <c r="BM1592" s="895"/>
      <c r="BN1592" s="895"/>
      <c r="BO1592" s="895"/>
      <c r="BP1592" s="895"/>
      <c r="BQ1592" s="899"/>
      <c r="BR1592" s="895"/>
      <c r="BS1592" s="895"/>
      <c r="BT1592" s="895"/>
      <c r="BU1592" s="895"/>
      <c r="BV1592" s="899"/>
      <c r="BW1592" s="908"/>
      <c r="BX1592" s="895"/>
      <c r="BY1592" s="895"/>
      <c r="BZ1592" s="895"/>
      <c r="CA1592" s="899"/>
      <c r="CB1592" s="895"/>
      <c r="CC1592" s="895"/>
      <c r="CD1592" s="895"/>
      <c r="CE1592" s="895"/>
      <c r="CF1592" s="899"/>
      <c r="CG1592" s="895"/>
      <c r="CH1592" s="895"/>
      <c r="CI1592" s="895"/>
      <c r="CJ1592" s="895"/>
      <c r="CK1592" s="899"/>
      <c r="CL1592" s="1015"/>
      <c r="CM1592" s="895"/>
      <c r="CN1592" s="895"/>
      <c r="CO1592" s="895"/>
      <c r="CP1592" s="899"/>
      <c r="CQ1592" s="895"/>
      <c r="CR1592" s="895"/>
      <c r="CS1592" s="895"/>
      <c r="CT1592" s="915"/>
      <c r="CU1592" s="899"/>
      <c r="CV1592" s="895"/>
      <c r="CW1592" s="895"/>
      <c r="CX1592" s="895"/>
      <c r="CY1592" s="915"/>
      <c r="CZ1592" s="899"/>
      <c r="DA1592" s="1015"/>
      <c r="DB1592" s="1509"/>
      <c r="DC1592" s="895"/>
      <c r="DD1592" s="915"/>
      <c r="DE1592" s="899"/>
      <c r="DF1592" s="895"/>
      <c r="DG1592" s="895"/>
      <c r="DH1592" s="895"/>
      <c r="DI1592" s="915"/>
      <c r="DJ1592" s="899"/>
      <c r="DK1592" s="895"/>
      <c r="DL1592" s="895"/>
      <c r="DM1592" s="895"/>
      <c r="DN1592" s="915"/>
      <c r="DO1592" s="899"/>
      <c r="DP1592" s="895"/>
      <c r="DQ1592" s="895"/>
      <c r="DR1592" s="895"/>
      <c r="DS1592" s="915">
        <f>DT1592-SUM(DP1592:DR1592)</f>
      </c>
      <c r="DT1592" s="899">
        <v>0</v>
      </c>
      <c r="DU1592" s="895"/>
      <c r="DV1592" s="895"/>
      <c r="DW1592" s="895"/>
      <c r="DX1592" s="915"/>
      <c r="DY1592" s="899"/>
      <c r="DZ1592" s="895"/>
      <c r="EA1592" s="895"/>
      <c r="EB1592" s="895"/>
      <c r="EC1592" s="915"/>
      <c r="ED1592" s="909"/>
      <c r="EE1592" s="1321"/>
      <c r="EF1592" s="908"/>
      <c r="EG1592" s="908"/>
      <c r="EH1592" s="915"/>
      <c r="EI1592" s="909"/>
      <c r="EJ1592" s="1321"/>
      <c r="EK1592" s="909"/>
      <c r="EL1592" s="909"/>
      <c r="EM1592" s="909"/>
      <c r="EN1592" s="909"/>
      <c r="EO1592" s="909"/>
      <c r="EP1592" s="1021"/>
      <c r="EQ1592" s="1021"/>
      <c r="ER1592" s="1021"/>
      <c r="ES1592" s="1021"/>
      <c r="ET1592" s="1021"/>
      <c r="EU1592" s="1021"/>
      <c r="EV1592" s="1021"/>
      <c r="EW1592" s="909"/>
      <c r="EX1592" s="1021"/>
    </row>
    <row r="1593" spans="1:154">
      <c r="B1593" s="907" t="s">
        <v>188</v>
      </c>
      <c r="C1593" s="1392"/>
      <c r="D1593" s="894"/>
      <c r="E1593" s="894"/>
      <c r="F1593" s="895"/>
      <c r="G1593" s="895"/>
      <c r="H1593" s="895"/>
      <c r="I1593" s="895"/>
      <c r="J1593" s="895"/>
      <c r="K1593" s="895"/>
      <c r="L1593" s="895"/>
      <c r="M1593" s="895"/>
      <c r="N1593" s="895"/>
      <c r="O1593" s="896"/>
      <c r="P1593" s="895"/>
      <c r="Q1593" s="895"/>
      <c r="R1593" s="895"/>
      <c r="S1593" s="895"/>
      <c r="T1593" s="896"/>
      <c r="U1593" s="895"/>
      <c r="V1593" s="895"/>
      <c r="W1593" s="895"/>
      <c r="X1593" s="899"/>
      <c r="Y1593" s="896"/>
      <c r="Z1593" s="895"/>
      <c r="AA1593" s="895"/>
      <c r="AB1593" s="895"/>
      <c r="AC1593" s="899"/>
      <c r="AD1593" s="896"/>
      <c r="AE1593" s="895"/>
      <c r="AF1593" s="895"/>
      <c r="AG1593" s="895"/>
      <c r="AH1593" s="899"/>
      <c r="AI1593" s="896"/>
      <c r="AJ1593" s="895"/>
      <c r="AK1593" s="895"/>
      <c r="AL1593" s="895"/>
      <c r="AM1593" s="899"/>
      <c r="AN1593" s="896"/>
      <c r="AO1593" s="895"/>
      <c r="AP1593" s="895"/>
      <c r="AQ1593" s="897"/>
      <c r="AR1593" s="899"/>
      <c r="AS1593" s="896"/>
      <c r="AT1593" s="895"/>
      <c r="AU1593" s="895"/>
      <c r="AV1593" s="895"/>
      <c r="AW1593" s="899"/>
      <c r="AX1593" s="896"/>
      <c r="AY1593" s="895"/>
      <c r="AZ1593" s="895"/>
      <c r="BA1593" s="895"/>
      <c r="BB1593" s="899"/>
      <c r="BC1593" s="896"/>
      <c r="BD1593" s="895"/>
      <c r="BE1593" s="895"/>
      <c r="BF1593" s="895"/>
      <c r="BG1593" s="899"/>
      <c r="BH1593" s="896"/>
      <c r="BI1593" s="895"/>
      <c r="BJ1593" s="895"/>
      <c r="BK1593" s="895"/>
      <c r="BL1593" s="899"/>
      <c r="BM1593" s="895"/>
      <c r="BN1593" s="895"/>
      <c r="BO1593" s="895"/>
      <c r="BP1593" s="895"/>
      <c r="BQ1593" s="899"/>
      <c r="BR1593" s="895"/>
      <c r="BS1593" s="895"/>
      <c r="BT1593" s="895"/>
      <c r="BU1593" s="895"/>
      <c r="BV1593" s="899"/>
      <c r="BW1593" s="908"/>
      <c r="BX1593" s="895"/>
      <c r="BY1593" s="895"/>
      <c r="BZ1593" s="895"/>
      <c r="CA1593" s="899"/>
      <c r="CB1593" s="895"/>
      <c r="CC1593" s="895"/>
      <c r="CD1593" s="895"/>
      <c r="CE1593" s="895"/>
      <c r="CF1593" s="899"/>
      <c r="CG1593" s="895"/>
      <c r="CH1593" s="895"/>
      <c r="CI1593" s="895"/>
      <c r="CJ1593" s="895"/>
      <c r="CK1593" s="899"/>
      <c r="CL1593" s="1015"/>
      <c r="CM1593" s="895"/>
      <c r="CN1593" s="895"/>
      <c r="CO1593" s="895"/>
      <c r="CP1593" s="899"/>
      <c r="CQ1593" s="895"/>
      <c r="CR1593" s="895"/>
      <c r="CS1593" s="895"/>
      <c r="CT1593" s="915"/>
      <c r="CU1593" s="899"/>
      <c r="CV1593" s="895"/>
      <c r="CW1593" s="895"/>
      <c r="CX1593" s="895"/>
      <c r="CY1593" s="915"/>
      <c r="CZ1593" s="899"/>
      <c r="DA1593" s="1015"/>
      <c r="DB1593" s="1509"/>
      <c r="DC1593" s="895"/>
      <c r="DD1593" s="915"/>
      <c r="DE1593" s="899"/>
      <c r="DF1593" s="895"/>
      <c r="DG1593" s="895"/>
      <c r="DH1593" s="895"/>
      <c r="DI1593" s="915"/>
      <c r="DJ1593" s="899"/>
      <c r="DK1593" s="895"/>
      <c r="DL1593" s="895"/>
      <c r="DM1593" s="895"/>
      <c r="DN1593" s="915"/>
      <c r="DO1593" s="899"/>
      <c r="DP1593" s="895"/>
      <c r="DQ1593" s="895"/>
      <c r="DR1593" s="895"/>
      <c r="DS1593" s="915">
        <f>DS1591+DS1592</f>
      </c>
      <c r="DT1593" s="899">
        <f>DT1592+DT1591</f>
      </c>
      <c r="DU1593" s="895"/>
      <c r="DV1593" s="895"/>
      <c r="DW1593" s="895"/>
      <c r="DX1593" s="915"/>
      <c r="DY1593" s="899"/>
      <c r="DZ1593" s="895"/>
      <c r="EA1593" s="895"/>
      <c r="EB1593" s="895"/>
      <c r="EC1593" s="915"/>
      <c r="ED1593" s="899"/>
      <c r="EE1593" s="1015">
        <f>SUM(EE1591:EE1592)</f>
      </c>
      <c r="EF1593" s="895">
        <f>SUM(EF1591:EF1592)</f>
      </c>
      <c r="EG1593" s="895">
        <f>SUM(EG1591:EG1592)</f>
      </c>
      <c r="EH1593" s="915"/>
      <c r="EI1593" s="1015"/>
      <c r="EJ1593" s="899">
        <v>245.15804122641455</v>
      </c>
      <c r="EK1593" s="899">
        <v>436.63008309503624</v>
      </c>
      <c r="EL1593" s="899">
        <v>853.97576397392413</v>
      </c>
      <c r="EM1593" s="899">
        <v>1398.478039027754</v>
      </c>
      <c r="EN1593" s="899">
        <v>2029.732186813985</v>
      </c>
      <c r="EO1593" s="915">
        <v>2615.1930226663007</v>
      </c>
      <c r="EP1593" s="915">
        <v>3310.5228025378428</v>
      </c>
      <c r="EQ1593" s="915">
        <v>3707.1765896046309</v>
      </c>
      <c r="ER1593" s="915">
        <v>3808.4081572044693</v>
      </c>
      <c r="ES1593" s="915">
        <v>3871.3434538503889</v>
      </c>
      <c r="ET1593" s="915">
        <v>0</v>
      </c>
      <c r="EU1593" s="915">
        <v>0</v>
      </c>
      <c r="EV1593" s="915">
        <v>0</v>
      </c>
      <c r="EW1593" s="915">
        <v>0</v>
      </c>
      <c r="EX1593" s="915"/>
    </row>
    <row r="1594" spans="1:154">
      <c r="B1594" s="907"/>
      <c r="C1594" s="1392"/>
      <c r="D1594" s="894"/>
      <c r="E1594" s="894"/>
      <c r="F1594" s="895"/>
      <c r="G1594" s="895"/>
      <c r="H1594" s="895"/>
      <c r="I1594" s="895"/>
      <c r="J1594" s="895"/>
      <c r="K1594" s="895"/>
      <c r="L1594" s="895"/>
      <c r="M1594" s="895"/>
      <c r="N1594" s="895"/>
      <c r="O1594" s="896"/>
      <c r="P1594" s="895"/>
      <c r="Q1594" s="895"/>
      <c r="R1594" s="895"/>
      <c r="S1594" s="895"/>
      <c r="T1594" s="896"/>
      <c r="U1594" s="895"/>
      <c r="V1594" s="895"/>
      <c r="W1594" s="895"/>
      <c r="X1594" s="899"/>
      <c r="Y1594" s="896"/>
      <c r="Z1594" s="895"/>
      <c r="AA1594" s="895"/>
      <c r="AB1594" s="895"/>
      <c r="AC1594" s="899"/>
      <c r="AD1594" s="896"/>
      <c r="AE1594" s="895"/>
      <c r="AF1594" s="895"/>
      <c r="AG1594" s="895"/>
      <c r="AH1594" s="899"/>
      <c r="AI1594" s="896"/>
      <c r="AJ1594" s="895"/>
      <c r="AK1594" s="895"/>
      <c r="AL1594" s="895"/>
      <c r="AM1594" s="899"/>
      <c r="AN1594" s="896"/>
      <c r="AO1594" s="895"/>
      <c r="AP1594" s="895"/>
      <c r="AQ1594" s="897"/>
      <c r="AR1594" s="899"/>
      <c r="AS1594" s="896"/>
      <c r="AT1594" s="895"/>
      <c r="AU1594" s="895"/>
      <c r="AV1594" s="895"/>
      <c r="AW1594" s="899"/>
      <c r="AX1594" s="896"/>
      <c r="AY1594" s="895"/>
      <c r="AZ1594" s="895"/>
      <c r="BA1594" s="895"/>
      <c r="BB1594" s="899"/>
      <c r="BC1594" s="896"/>
      <c r="BD1594" s="895"/>
      <c r="BE1594" s="895"/>
      <c r="BF1594" s="895"/>
      <c r="BG1594" s="899"/>
      <c r="BH1594" s="896"/>
      <c r="BI1594" s="895"/>
      <c r="BJ1594" s="895"/>
      <c r="BK1594" s="895"/>
      <c r="BL1594" s="899"/>
      <c r="BM1594" s="895"/>
      <c r="BN1594" s="895"/>
      <c r="BO1594" s="895"/>
      <c r="BP1594" s="895"/>
      <c r="BQ1594" s="899"/>
      <c r="BR1594" s="895"/>
      <c r="BS1594" s="895"/>
      <c r="BT1594" s="895"/>
      <c r="BU1594" s="895"/>
      <c r="BV1594" s="899"/>
      <c r="BW1594" s="908"/>
      <c r="BX1594" s="895"/>
      <c r="BY1594" s="895"/>
      <c r="BZ1594" s="895"/>
      <c r="CA1594" s="899"/>
      <c r="CB1594" s="895"/>
      <c r="CC1594" s="895"/>
      <c r="CD1594" s="895"/>
      <c r="CE1594" s="895"/>
      <c r="CF1594" s="899"/>
      <c r="CG1594" s="895"/>
      <c r="CH1594" s="895"/>
      <c r="CI1594" s="895"/>
      <c r="CJ1594" s="895"/>
      <c r="CK1594" s="899"/>
      <c r="CL1594" s="1015"/>
      <c r="CM1594" s="895"/>
      <c r="CN1594" s="895"/>
      <c r="CO1594" s="895"/>
      <c r="CP1594" s="899"/>
      <c r="CQ1594" s="895"/>
      <c r="CR1594" s="895"/>
      <c r="CS1594" s="895"/>
      <c r="CT1594" s="915"/>
      <c r="CU1594" s="899"/>
      <c r="CV1594" s="895"/>
      <c r="CW1594" s="895"/>
      <c r="CX1594" s="895"/>
      <c r="CY1594" s="915"/>
      <c r="CZ1594" s="899"/>
      <c r="DA1594" s="1015"/>
      <c r="DB1594" s="1509"/>
      <c r="DC1594" s="895"/>
      <c r="DD1594" s="915"/>
      <c r="DE1594" s="899"/>
      <c r="DF1594" s="895"/>
      <c r="DG1594" s="895"/>
      <c r="DH1594" s="895"/>
      <c r="DI1594" s="915"/>
      <c r="DJ1594" s="899"/>
      <c r="DK1594" s="895"/>
      <c r="DL1594" s="895"/>
      <c r="DM1594" s="895"/>
      <c r="DN1594" s="915"/>
      <c r="DO1594" s="899"/>
      <c r="DP1594" s="895"/>
      <c r="DQ1594" s="895"/>
      <c r="DR1594" s="895"/>
      <c r="DS1594" s="915"/>
      <c r="DT1594" s="899"/>
      <c r="DU1594" s="895"/>
      <c r="DV1594" s="895"/>
      <c r="DW1594" s="895"/>
      <c r="DX1594" s="915"/>
      <c r="DY1594" s="899"/>
      <c r="DZ1594" s="895"/>
      <c r="EA1594" s="895"/>
      <c r="EB1594" s="895"/>
      <c r="EC1594" s="915"/>
      <c r="ED1594" s="899"/>
      <c r="EE1594" s="1015"/>
      <c r="EF1594" s="895"/>
      <c r="EG1594" s="895"/>
      <c r="EH1594" s="915"/>
      <c r="EI1594" s="1015"/>
      <c r="EJ1594" s="899"/>
      <c r="EK1594" s="899"/>
      <c r="EL1594" s="899"/>
      <c r="EM1594" s="899"/>
      <c r="EN1594" s="899"/>
      <c r="EO1594" s="915"/>
      <c r="EP1594" s="915"/>
      <c r="EQ1594" s="915"/>
      <c r="ER1594" s="915"/>
      <c r="ES1594" s="915"/>
      <c r="ET1594" s="915"/>
      <c r="EU1594" s="915"/>
      <c r="EV1594" s="915"/>
      <c r="EW1594" s="915"/>
      <c r="EX1594" s="915"/>
    </row>
    <row r="1595" spans="1:154">
      <c r="B1595" s="906" t="str">
        <f>B1590</f>
      </c>
      <c r="C1595" s="1392"/>
      <c r="D1595" s="894"/>
      <c r="E1595" s="894"/>
      <c r="F1595" s="895"/>
      <c r="G1595" s="895"/>
      <c r="H1595" s="895"/>
      <c r="I1595" s="895"/>
      <c r="J1595" s="895"/>
      <c r="K1595" s="895"/>
      <c r="L1595" s="895"/>
      <c r="M1595" s="895"/>
      <c r="N1595" s="895"/>
      <c r="O1595" s="896"/>
      <c r="P1595" s="895"/>
      <c r="Q1595" s="895"/>
      <c r="R1595" s="895"/>
      <c r="S1595" s="895"/>
      <c r="T1595" s="896"/>
      <c r="U1595" s="895"/>
      <c r="V1595" s="895"/>
      <c r="W1595" s="895"/>
      <c r="X1595" s="899"/>
      <c r="Y1595" s="896"/>
      <c r="Z1595" s="895"/>
      <c r="AA1595" s="895"/>
      <c r="AB1595" s="895"/>
      <c r="AC1595" s="899"/>
      <c r="AD1595" s="896"/>
      <c r="AE1595" s="895"/>
      <c r="AF1595" s="895"/>
      <c r="AG1595" s="895"/>
      <c r="AH1595" s="899"/>
      <c r="AI1595" s="896"/>
      <c r="AJ1595" s="895"/>
      <c r="AK1595" s="895"/>
      <c r="AL1595" s="895"/>
      <c r="AM1595" s="899"/>
      <c r="AN1595" s="896"/>
      <c r="AO1595" s="895"/>
      <c r="AP1595" s="895"/>
      <c r="AQ1595" s="897"/>
      <c r="AR1595" s="899"/>
      <c r="AS1595" s="896"/>
      <c r="AT1595" s="895"/>
      <c r="AU1595" s="895"/>
      <c r="AV1595" s="895"/>
      <c r="AW1595" s="899"/>
      <c r="AX1595" s="896"/>
      <c r="AY1595" s="895"/>
      <c r="AZ1595" s="895"/>
      <c r="BA1595" s="895"/>
      <c r="BB1595" s="899"/>
      <c r="BC1595" s="896"/>
      <c r="BD1595" s="895"/>
      <c r="BE1595" s="895"/>
      <c r="BF1595" s="895"/>
      <c r="BG1595" s="899"/>
      <c r="BH1595" s="896"/>
      <c r="BI1595" s="895"/>
      <c r="BJ1595" s="895"/>
      <c r="BK1595" s="895"/>
      <c r="BL1595" s="899"/>
      <c r="BM1595" s="895"/>
      <c r="BN1595" s="895"/>
      <c r="BO1595" s="895"/>
      <c r="BP1595" s="895"/>
      <c r="BQ1595" s="899"/>
      <c r="BR1595" s="895"/>
      <c r="BS1595" s="895"/>
      <c r="BT1595" s="895"/>
      <c r="BU1595" s="895"/>
      <c r="BV1595" s="899"/>
      <c r="BW1595" s="908"/>
      <c r="BX1595" s="895"/>
      <c r="BY1595" s="895"/>
      <c r="BZ1595" s="895"/>
      <c r="CA1595" s="899"/>
      <c r="CB1595" s="895"/>
      <c r="CC1595" s="895"/>
      <c r="CD1595" s="895"/>
      <c r="CE1595" s="895"/>
      <c r="CF1595" s="899"/>
      <c r="CG1595" s="895"/>
      <c r="CH1595" s="895"/>
      <c r="CI1595" s="895"/>
      <c r="CJ1595" s="895"/>
      <c r="CK1595" s="899"/>
      <c r="CL1595" s="1015"/>
      <c r="CM1595" s="895"/>
      <c r="CN1595" s="895"/>
      <c r="CO1595" s="895"/>
      <c r="CP1595" s="899"/>
      <c r="CQ1595" s="895"/>
      <c r="CR1595" s="895"/>
      <c r="CS1595" s="895"/>
      <c r="CT1595" s="915"/>
      <c r="CU1595" s="899"/>
      <c r="CV1595" s="895"/>
      <c r="CW1595" s="895"/>
      <c r="CX1595" s="895"/>
      <c r="CY1595" s="915"/>
      <c r="CZ1595" s="899"/>
      <c r="DA1595" s="1015"/>
      <c r="DB1595" s="1509"/>
      <c r="DC1595" s="895"/>
      <c r="DD1595" s="915"/>
      <c r="DE1595" s="899"/>
      <c r="DF1595" s="895"/>
      <c r="DG1595" s="895"/>
      <c r="DH1595" s="895"/>
      <c r="DI1595" s="915"/>
      <c r="DJ1595" s="899"/>
      <c r="DK1595" s="895"/>
      <c r="DL1595" s="895"/>
      <c r="DM1595" s="895"/>
      <c r="DN1595" s="915"/>
      <c r="DO1595" s="899"/>
      <c r="DP1595" s="895"/>
      <c r="DQ1595" s="895"/>
      <c r="DR1595" s="895"/>
      <c r="DS1595" s="915"/>
      <c r="DT1595" s="899"/>
      <c r="DU1595" s="895"/>
      <c r="DV1595" s="895"/>
      <c r="DW1595" s="895"/>
      <c r="DX1595" s="915"/>
      <c r="DY1595" s="899"/>
      <c r="DZ1595" s="895"/>
      <c r="EA1595" s="895"/>
      <c r="EB1595" s="895"/>
      <c r="EC1595" s="915"/>
      <c r="ED1595" s="899"/>
      <c r="EE1595" s="1015"/>
      <c r="EF1595" s="895"/>
      <c r="EG1595" s="895"/>
      <c r="EH1595" s="915"/>
      <c r="EI1595" s="1015"/>
      <c r="EJ1595" s="899"/>
      <c r="EK1595" s="899"/>
      <c r="EL1595" s="899"/>
      <c r="EM1595" s="899"/>
      <c r="EN1595" s="899"/>
      <c r="EO1595" s="915"/>
      <c r="EP1595" s="915"/>
      <c r="EQ1595" s="915"/>
      <c r="ER1595" s="915"/>
      <c r="ES1595" s="915"/>
      <c r="ET1595" s="915"/>
      <c r="EU1595" s="915"/>
      <c r="EV1595" s="915"/>
      <c r="EW1595" s="915"/>
      <c r="EX1595" s="915"/>
    </row>
    <row r="1596" spans="1:154">
      <c r="B1596" s="907" t="s">
        <v>153</v>
      </c>
      <c r="C1596" s="1413" t="s">
        <v>1034</v>
      </c>
      <c r="D1596" s="894"/>
      <c r="E1596" s="894"/>
      <c r="F1596" s="895"/>
      <c r="G1596" s="895"/>
      <c r="H1596" s="895"/>
      <c r="I1596" s="895"/>
      <c r="J1596" s="895"/>
      <c r="K1596" s="895"/>
      <c r="L1596" s="895"/>
      <c r="M1596" s="895"/>
      <c r="N1596" s="895"/>
      <c r="O1596" s="896"/>
      <c r="P1596" s="895"/>
      <c r="Q1596" s="895"/>
      <c r="R1596" s="895"/>
      <c r="S1596" s="895"/>
      <c r="T1596" s="896"/>
      <c r="U1596" s="895"/>
      <c r="V1596" s="895"/>
      <c r="W1596" s="895"/>
      <c r="X1596" s="899"/>
      <c r="Y1596" s="896"/>
      <c r="Z1596" s="895"/>
      <c r="AA1596" s="895"/>
      <c r="AB1596" s="895"/>
      <c r="AC1596" s="899"/>
      <c r="AD1596" s="896"/>
      <c r="AE1596" s="895"/>
      <c r="AF1596" s="895"/>
      <c r="AG1596" s="895"/>
      <c r="AH1596" s="899"/>
      <c r="AI1596" s="896"/>
      <c r="AJ1596" s="895"/>
      <c r="AK1596" s="895"/>
      <c r="AL1596" s="895"/>
      <c r="AM1596" s="899"/>
      <c r="AN1596" s="896"/>
      <c r="AO1596" s="895"/>
      <c r="AP1596" s="895"/>
      <c r="AQ1596" s="897"/>
      <c r="AR1596" s="899"/>
      <c r="AS1596" s="896"/>
      <c r="AT1596" s="895"/>
      <c r="AU1596" s="895"/>
      <c r="AV1596" s="895"/>
      <c r="AW1596" s="899"/>
      <c r="AX1596" s="896"/>
      <c r="AY1596" s="895"/>
      <c r="AZ1596" s="895"/>
      <c r="BA1596" s="895"/>
      <c r="BB1596" s="899"/>
      <c r="BC1596" s="896"/>
      <c r="BD1596" s="895"/>
      <c r="BE1596" s="895"/>
      <c r="BF1596" s="895"/>
      <c r="BG1596" s="899"/>
      <c r="BH1596" s="896"/>
      <c r="BI1596" s="895"/>
      <c r="BJ1596" s="895"/>
      <c r="BK1596" s="895"/>
      <c r="BL1596" s="899"/>
      <c r="BM1596" s="895"/>
      <c r="BN1596" s="895"/>
      <c r="BO1596" s="895"/>
      <c r="BP1596" s="895"/>
      <c r="BQ1596" s="899"/>
      <c r="BR1596" s="895"/>
      <c r="BS1596" s="895"/>
      <c r="BT1596" s="895"/>
      <c r="BU1596" s="895"/>
      <c r="BV1596" s="899"/>
      <c r="BW1596" s="908"/>
      <c r="BX1596" s="895"/>
      <c r="BY1596" s="895"/>
      <c r="BZ1596" s="895"/>
      <c r="CA1596" s="899"/>
      <c r="CB1596" s="895"/>
      <c r="CC1596" s="895"/>
      <c r="CD1596" s="895"/>
      <c r="CE1596" s="895"/>
      <c r="CF1596" s="899"/>
      <c r="CG1596" s="895"/>
      <c r="CH1596" s="895"/>
      <c r="CI1596" s="895"/>
      <c r="CJ1596" s="895"/>
      <c r="CK1596" s="899"/>
      <c r="CL1596" s="1015"/>
      <c r="CM1596" s="895"/>
      <c r="CN1596" s="895"/>
      <c r="CO1596" s="895"/>
      <c r="CP1596" s="899"/>
      <c r="CQ1596" s="895"/>
      <c r="CR1596" s="895"/>
      <c r="CS1596" s="895"/>
      <c r="CT1596" s="915"/>
      <c r="CU1596" s="899"/>
      <c r="CV1596" s="895"/>
      <c r="CW1596" s="895"/>
      <c r="CX1596" s="895"/>
      <c r="CY1596" s="915"/>
      <c r="CZ1596" s="899"/>
      <c r="DA1596" s="1015"/>
      <c r="DB1596" s="1509"/>
      <c r="DC1596" s="895"/>
      <c r="DD1596" s="915"/>
      <c r="DE1596" s="899"/>
      <c r="DF1596" s="895"/>
      <c r="DG1596" s="895"/>
      <c r="DH1596" s="895"/>
      <c r="DI1596" s="915"/>
      <c r="DJ1596" s="899"/>
      <c r="DK1596" s="895"/>
      <c r="DL1596" s="895"/>
      <c r="DM1596" s="895"/>
      <c r="DN1596" s="915"/>
      <c r="DO1596" s="899"/>
      <c r="DP1596" s="895"/>
      <c r="DQ1596" s="895"/>
      <c r="DR1596" s="895"/>
      <c r="DS1596" s="915" t="e">
        <f>DT1596-SUM(DP1596:DR1596)</f>
      </c>
      <c r="DT1596" s="899" t="e">
        <f>$C1596*DT1591</f>
      </c>
      <c r="DU1596" s="895"/>
      <c r="DV1596" s="895"/>
      <c r="DW1596" s="895"/>
      <c r="DX1596" s="915"/>
      <c r="DY1596" s="899"/>
      <c r="DZ1596" s="895"/>
      <c r="EA1596" s="895"/>
      <c r="EB1596" s="895"/>
      <c r="EC1596" s="915"/>
      <c r="ED1596" s="899"/>
      <c r="EE1596" s="1015"/>
      <c r="EF1596" s="895"/>
      <c r="EG1596" s="895"/>
      <c r="EH1596" s="915"/>
      <c r="EI1596" s="1015"/>
      <c r="EJ1596" s="899"/>
      <c r="EK1596" s="899"/>
      <c r="EL1596" s="899"/>
      <c r="EM1596" s="899"/>
      <c r="EN1596" s="899"/>
      <c r="EO1596" s="915"/>
      <c r="EP1596" s="915"/>
      <c r="EQ1596" s="915"/>
      <c r="ER1596" s="915"/>
      <c r="ES1596" s="915"/>
      <c r="ET1596" s="915"/>
      <c r="EU1596" s="915"/>
      <c r="EV1596" s="915"/>
      <c r="EW1596" s="915"/>
      <c r="EX1596" s="915"/>
    </row>
    <row r="1597" spans="1:154">
      <c r="B1597" s="907" t="s">
        <v>235</v>
      </c>
      <c r="C1597" s="1413"/>
      <c r="D1597" s="894"/>
      <c r="E1597" s="894"/>
      <c r="F1597" s="895"/>
      <c r="G1597" s="895"/>
      <c r="H1597" s="895"/>
      <c r="I1597" s="895"/>
      <c r="J1597" s="895"/>
      <c r="K1597" s="895"/>
      <c r="L1597" s="895"/>
      <c r="M1597" s="895"/>
      <c r="N1597" s="895"/>
      <c r="O1597" s="896"/>
      <c r="P1597" s="895"/>
      <c r="Q1597" s="895"/>
      <c r="R1597" s="895"/>
      <c r="S1597" s="895"/>
      <c r="T1597" s="896"/>
      <c r="U1597" s="895"/>
      <c r="V1597" s="895"/>
      <c r="W1597" s="895"/>
      <c r="X1597" s="899"/>
      <c r="Y1597" s="896"/>
      <c r="Z1597" s="895"/>
      <c r="AA1597" s="895"/>
      <c r="AB1597" s="895"/>
      <c r="AC1597" s="899"/>
      <c r="AD1597" s="896"/>
      <c r="AE1597" s="895"/>
      <c r="AF1597" s="895"/>
      <c r="AG1597" s="895"/>
      <c r="AH1597" s="899"/>
      <c r="AI1597" s="896"/>
      <c r="AJ1597" s="895"/>
      <c r="AK1597" s="895"/>
      <c r="AL1597" s="895"/>
      <c r="AM1597" s="899"/>
      <c r="AN1597" s="896"/>
      <c r="AO1597" s="895"/>
      <c r="AP1597" s="895"/>
      <c r="AQ1597" s="897"/>
      <c r="AR1597" s="899"/>
      <c r="AS1597" s="896"/>
      <c r="AT1597" s="895"/>
      <c r="AU1597" s="895"/>
      <c r="AV1597" s="895"/>
      <c r="AW1597" s="899"/>
      <c r="AX1597" s="896"/>
      <c r="AY1597" s="895"/>
      <c r="AZ1597" s="895"/>
      <c r="BA1597" s="895"/>
      <c r="BB1597" s="899"/>
      <c r="BC1597" s="896"/>
      <c r="BD1597" s="895"/>
      <c r="BE1597" s="895"/>
      <c r="BF1597" s="895"/>
      <c r="BG1597" s="899"/>
      <c r="BH1597" s="896"/>
      <c r="BI1597" s="895"/>
      <c r="BJ1597" s="895"/>
      <c r="BK1597" s="895"/>
      <c r="BL1597" s="899"/>
      <c r="BM1597" s="895"/>
      <c r="BN1597" s="895"/>
      <c r="BO1597" s="895"/>
      <c r="BP1597" s="895"/>
      <c r="BQ1597" s="899"/>
      <c r="BR1597" s="895"/>
      <c r="BS1597" s="895"/>
      <c r="BT1597" s="895"/>
      <c r="BU1597" s="895"/>
      <c r="BV1597" s="899"/>
      <c r="BW1597" s="908"/>
      <c r="BX1597" s="895"/>
      <c r="BY1597" s="895"/>
      <c r="BZ1597" s="895"/>
      <c r="CA1597" s="899"/>
      <c r="CB1597" s="895"/>
      <c r="CC1597" s="895"/>
      <c r="CD1597" s="895"/>
      <c r="CE1597" s="895"/>
      <c r="CF1597" s="899"/>
      <c r="CG1597" s="895"/>
      <c r="CH1597" s="895"/>
      <c r="CI1597" s="895"/>
      <c r="CJ1597" s="895"/>
      <c r="CK1597" s="899"/>
      <c r="CL1597" s="1015"/>
      <c r="CM1597" s="895"/>
      <c r="CN1597" s="895"/>
      <c r="CO1597" s="895"/>
      <c r="CP1597" s="899"/>
      <c r="CQ1597" s="895"/>
      <c r="CR1597" s="895"/>
      <c r="CS1597" s="895"/>
      <c r="CT1597" s="915"/>
      <c r="CU1597" s="899"/>
      <c r="CV1597" s="895"/>
      <c r="CW1597" s="895"/>
      <c r="CX1597" s="895"/>
      <c r="CY1597" s="915"/>
      <c r="CZ1597" s="899"/>
      <c r="DA1597" s="1015"/>
      <c r="DB1597" s="1509"/>
      <c r="DC1597" s="895"/>
      <c r="DD1597" s="915"/>
      <c r="DE1597" s="899"/>
      <c r="DF1597" s="895"/>
      <c r="DG1597" s="895"/>
      <c r="DH1597" s="895"/>
      <c r="DI1597" s="915"/>
      <c r="DJ1597" s="899"/>
      <c r="DK1597" s="895"/>
      <c r="DL1597" s="895"/>
      <c r="DM1597" s="895"/>
      <c r="DN1597" s="915"/>
      <c r="DO1597" s="899"/>
      <c r="DP1597" s="895"/>
      <c r="DQ1597" s="895"/>
      <c r="DR1597" s="895"/>
      <c r="DS1597" s="915">
        <f>DT1597-SUM(DP1597:DR1597)</f>
      </c>
      <c r="DT1597" s="899">
        <f>$C1597*DT1592</f>
      </c>
      <c r="DU1597" s="895"/>
      <c r="DV1597" s="895"/>
      <c r="DW1597" s="895"/>
      <c r="DX1597" s="915"/>
      <c r="DY1597" s="899"/>
      <c r="DZ1597" s="895"/>
      <c r="EA1597" s="895"/>
      <c r="EB1597" s="895"/>
      <c r="EC1597" s="915"/>
      <c r="ED1597" s="899"/>
      <c r="EE1597" s="1015">
        <f t="shared" ref="EE1597:EG1597" si="3010">+EE1592*$C1597</f>
      </c>
      <c r="EF1597" s="895">
        <f t="shared" si="3010"/>
      </c>
      <c r="EG1597" s="895">
        <f t="shared" si="3010"/>
      </c>
      <c r="EH1597" s="915"/>
      <c r="EI1597" s="1015"/>
      <c r="EJ1597" s="899">
        <f t="shared" ref="EJ1597:EW1597" si="3011">$C1597*EJ1592</f>
      </c>
      <c r="EK1597" s="899">
        <f t="shared" si="3011"/>
      </c>
      <c r="EL1597" s="899">
        <f t="shared" si="3011"/>
      </c>
      <c r="EM1597" s="899">
        <f t="shared" si="3011"/>
      </c>
      <c r="EN1597" s="899">
        <f t="shared" si="3011"/>
      </c>
      <c r="EO1597" s="915">
        <f t="shared" si="3011"/>
      </c>
      <c r="EP1597" s="915">
        <f t="shared" si="3011"/>
      </c>
      <c r="EQ1597" s="915">
        <f t="shared" si="3011"/>
      </c>
      <c r="ER1597" s="915">
        <f t="shared" si="3011"/>
      </c>
      <c r="ES1597" s="915">
        <f t="shared" si="3011"/>
      </c>
      <c r="ET1597" s="915">
        <f t="shared" si="3011"/>
      </c>
      <c r="EU1597" s="915">
        <f t="shared" si="3011"/>
      </c>
      <c r="EV1597" s="915">
        <f t="shared" si="3011"/>
      </c>
      <c r="EW1597" s="915">
        <f t="shared" si="3011"/>
      </c>
      <c r="EX1597" s="915"/>
    </row>
    <row r="1598" spans="1:154">
      <c r="A1598" s="3275" t="s">
        <v>759</v>
      </c>
      <c r="B1598" s="907" t="s">
        <v>188</v>
      </c>
      <c r="C1598" s="1392" t="s">
        <v>760</v>
      </c>
      <c r="D1598" s="894"/>
      <c r="E1598" s="894"/>
      <c r="F1598" s="895"/>
      <c r="G1598" s="895"/>
      <c r="H1598" s="895"/>
      <c r="I1598" s="895"/>
      <c r="J1598" s="895"/>
      <c r="K1598" s="895"/>
      <c r="L1598" s="895"/>
      <c r="M1598" s="895"/>
      <c r="N1598" s="895"/>
      <c r="O1598" s="896"/>
      <c r="P1598" s="895"/>
      <c r="Q1598" s="895"/>
      <c r="R1598" s="895"/>
      <c r="S1598" s="895"/>
      <c r="T1598" s="896"/>
      <c r="U1598" s="895"/>
      <c r="V1598" s="895"/>
      <c r="W1598" s="895"/>
      <c r="X1598" s="899"/>
      <c r="Y1598" s="896"/>
      <c r="Z1598" s="895"/>
      <c r="AA1598" s="895"/>
      <c r="AB1598" s="895"/>
      <c r="AC1598" s="899"/>
      <c r="AD1598" s="896"/>
      <c r="AE1598" s="895"/>
      <c r="AF1598" s="895"/>
      <c r="AG1598" s="895"/>
      <c r="AH1598" s="899"/>
      <c r="AI1598" s="896"/>
      <c r="AJ1598" s="895"/>
      <c r="AK1598" s="895"/>
      <c r="AL1598" s="895"/>
      <c r="AM1598" s="899"/>
      <c r="AN1598" s="896"/>
      <c r="AO1598" s="895"/>
      <c r="AP1598" s="895"/>
      <c r="AQ1598" s="897"/>
      <c r="AR1598" s="899"/>
      <c r="AS1598" s="896"/>
      <c r="AT1598" s="895"/>
      <c r="AU1598" s="895"/>
      <c r="AV1598" s="895"/>
      <c r="AW1598" s="899"/>
      <c r="AX1598" s="896"/>
      <c r="AY1598" s="895"/>
      <c r="AZ1598" s="895"/>
      <c r="BA1598" s="895"/>
      <c r="BB1598" s="899"/>
      <c r="BC1598" s="896"/>
      <c r="BD1598" s="895"/>
      <c r="BE1598" s="895"/>
      <c r="BF1598" s="895"/>
      <c r="BG1598" s="899"/>
      <c r="BH1598" s="896"/>
      <c r="BI1598" s="895"/>
      <c r="BJ1598" s="895"/>
      <c r="BK1598" s="895"/>
      <c r="BL1598" s="899"/>
      <c r="BM1598" s="895"/>
      <c r="BN1598" s="895"/>
      <c r="BO1598" s="895"/>
      <c r="BP1598" s="895"/>
      <c r="BQ1598" s="899"/>
      <c r="BR1598" s="895"/>
      <c r="BS1598" s="895"/>
      <c r="BT1598" s="895"/>
      <c r="BU1598" s="895"/>
      <c r="BV1598" s="899"/>
      <c r="BW1598" s="908"/>
      <c r="BX1598" s="895"/>
      <c r="BY1598" s="895"/>
      <c r="BZ1598" s="895"/>
      <c r="CA1598" s="899"/>
      <c r="CB1598" s="895"/>
      <c r="CC1598" s="895"/>
      <c r="CD1598" s="895"/>
      <c r="CE1598" s="895"/>
      <c r="CF1598" s="899"/>
      <c r="CG1598" s="895"/>
      <c r="CH1598" s="895"/>
      <c r="CI1598" s="895"/>
      <c r="CJ1598" s="895"/>
      <c r="CK1598" s="899"/>
      <c r="CL1598" s="1015"/>
      <c r="CM1598" s="895"/>
      <c r="CN1598" s="895"/>
      <c r="CO1598" s="895"/>
      <c r="CP1598" s="899"/>
      <c r="CQ1598" s="895"/>
      <c r="CR1598" s="895"/>
      <c r="CS1598" s="895"/>
      <c r="CT1598" s="915"/>
      <c r="CU1598" s="899"/>
      <c r="CV1598" s="895"/>
      <c r="CW1598" s="895"/>
      <c r="CX1598" s="895"/>
      <c r="CY1598" s="915"/>
      <c r="CZ1598" s="899"/>
      <c r="DA1598" s="1015"/>
      <c r="DB1598" s="1509"/>
      <c r="DC1598" s="895"/>
      <c r="DD1598" s="915"/>
      <c r="DE1598" s="899"/>
      <c r="DF1598" s="895"/>
      <c r="DG1598" s="895"/>
      <c r="DH1598" s="895"/>
      <c r="DI1598" s="915"/>
      <c r="DJ1598" s="899"/>
      <c r="DK1598" s="895"/>
      <c r="DL1598" s="895"/>
      <c r="DM1598" s="895"/>
      <c r="DN1598" s="915"/>
      <c r="DO1598" s="899"/>
      <c r="DP1598" s="895"/>
      <c r="DQ1598" s="895"/>
      <c r="DR1598" s="895"/>
      <c r="DS1598" s="915" t="e">
        <f>DS1596+DS1597</f>
      </c>
      <c r="DT1598" s="899" t="e">
        <f>DT1596+DT1597</f>
      </c>
      <c r="DU1598" s="895"/>
      <c r="DV1598" s="895"/>
      <c r="DW1598" s="895"/>
      <c r="DX1598" s="915"/>
      <c r="DY1598" s="899"/>
      <c r="DZ1598" s="895"/>
      <c r="EA1598" s="895"/>
      <c r="EB1598" s="895"/>
      <c r="EC1598" s="915"/>
      <c r="ED1598" s="899"/>
      <c r="EE1598" s="1015"/>
      <c r="EF1598" s="895">
        <f>SUM(EF1596:EF1597)</f>
      </c>
      <c r="EG1598" s="895">
        <f>SUM(EG1596:EG1597)</f>
      </c>
      <c r="EH1598" s="1021"/>
      <c r="EI1598" s="1015"/>
      <c r="EJ1598" s="899">
        <v>220.31068163857213</v>
      </c>
      <c r="EK1598" s="899">
        <v>392.33234085850859</v>
      </c>
      <c r="EL1598" s="899">
        <v>745.19353224262841</v>
      </c>
      <c r="EM1598" s="899">
        <v>1182.56553825881</v>
      </c>
      <c r="EN1598" s="899">
        <v>1644.2739512805488</v>
      </c>
      <c r="EO1598" s="915">
        <v>2025.1439588724609</v>
      </c>
      <c r="EP1598" s="915">
        <v>2469.3269662752691</v>
      </c>
      <c r="EQ1598" s="915">
        <v>2727.8747273325212</v>
      </c>
      <c r="ER1598" s="899">
        <v>2798.8610515462815</v>
      </c>
      <c r="ES1598" s="915">
        <v>2845.0654003465934</v>
      </c>
      <c r="ET1598" s="915">
        <v>0</v>
      </c>
      <c r="EU1598" s="915">
        <v>0</v>
      </c>
      <c r="EV1598" s="915">
        <v>0</v>
      </c>
      <c r="EW1598" s="915">
        <v>0</v>
      </c>
      <c r="EX1598" s="915"/>
    </row>
    <row r="1599" spans="1:154">
      <c r="B1599" s="907"/>
      <c r="C1599" s="1392"/>
      <c r="D1599" s="894"/>
      <c r="E1599" s="894"/>
      <c r="F1599" s="895"/>
      <c r="G1599" s="895"/>
      <c r="H1599" s="895"/>
      <c r="I1599" s="895"/>
      <c r="J1599" s="895"/>
      <c r="K1599" s="895"/>
      <c r="L1599" s="895"/>
      <c r="M1599" s="895"/>
      <c r="N1599" s="895"/>
      <c r="O1599" s="896"/>
      <c r="P1599" s="895"/>
      <c r="Q1599" s="895"/>
      <c r="R1599" s="895"/>
      <c r="S1599" s="895"/>
      <c r="T1599" s="896"/>
      <c r="U1599" s="895"/>
      <c r="V1599" s="895"/>
      <c r="W1599" s="895"/>
      <c r="X1599" s="899"/>
      <c r="Y1599" s="896"/>
      <c r="Z1599" s="895"/>
      <c r="AA1599" s="895"/>
      <c r="AB1599" s="895"/>
      <c r="AC1599" s="899"/>
      <c r="AD1599" s="896"/>
      <c r="AE1599" s="895"/>
      <c r="AF1599" s="895"/>
      <c r="AG1599" s="895"/>
      <c r="AH1599" s="899"/>
      <c r="AI1599" s="896"/>
      <c r="AJ1599" s="895"/>
      <c r="AK1599" s="895"/>
      <c r="AL1599" s="895"/>
      <c r="AM1599" s="899"/>
      <c r="AN1599" s="896"/>
      <c r="AO1599" s="895"/>
      <c r="AP1599" s="895"/>
      <c r="AQ1599" s="897"/>
      <c r="AR1599" s="899"/>
      <c r="AS1599" s="896"/>
      <c r="AT1599" s="895"/>
      <c r="AU1599" s="895"/>
      <c r="AV1599" s="895"/>
      <c r="AW1599" s="899"/>
      <c r="AX1599" s="896"/>
      <c r="AY1599" s="895"/>
      <c r="AZ1599" s="895"/>
      <c r="BA1599" s="895"/>
      <c r="BB1599" s="899"/>
      <c r="BC1599" s="896"/>
      <c r="BD1599" s="895"/>
      <c r="BE1599" s="895"/>
      <c r="BF1599" s="895"/>
      <c r="BG1599" s="899"/>
      <c r="BH1599" s="896"/>
      <c r="BI1599" s="895"/>
      <c r="BJ1599" s="895"/>
      <c r="BK1599" s="895"/>
      <c r="BL1599" s="899"/>
      <c r="BM1599" s="895"/>
      <c r="BN1599" s="895"/>
      <c r="BO1599" s="895"/>
      <c r="BP1599" s="895"/>
      <c r="BQ1599" s="899"/>
      <c r="BR1599" s="895"/>
      <c r="BS1599" s="895"/>
      <c r="BT1599" s="895"/>
      <c r="BU1599" s="895"/>
      <c r="BV1599" s="899"/>
      <c r="BW1599" s="895"/>
      <c r="BX1599" s="895"/>
      <c r="BY1599" s="895"/>
      <c r="BZ1599" s="895"/>
      <c r="CA1599" s="899"/>
      <c r="CB1599" s="895"/>
      <c r="CC1599" s="895"/>
      <c r="CD1599" s="895"/>
      <c r="CE1599" s="895"/>
      <c r="CF1599" s="899"/>
      <c r="CG1599" s="895"/>
      <c r="CH1599" s="895"/>
      <c r="CI1599" s="895"/>
      <c r="CJ1599" s="895"/>
      <c r="CK1599" s="899"/>
      <c r="CL1599" s="1015"/>
      <c r="CM1599" s="895"/>
      <c r="CN1599" s="895"/>
      <c r="CO1599" s="895"/>
      <c r="CP1599" s="899"/>
      <c r="CQ1599" s="895"/>
      <c r="CR1599" s="895"/>
      <c r="CS1599" s="895"/>
      <c r="CT1599" s="915"/>
      <c r="CU1599" s="899"/>
      <c r="CV1599" s="895"/>
      <c r="CW1599" s="895"/>
      <c r="CX1599" s="895"/>
      <c r="CY1599" s="915"/>
      <c r="CZ1599" s="899"/>
      <c r="DA1599" s="1513"/>
      <c r="DB1599" s="1509"/>
      <c r="DC1599" s="1509"/>
      <c r="DD1599" s="1514"/>
      <c r="DE1599" s="1369"/>
      <c r="DF1599" s="1509"/>
      <c r="DG1599" s="1509"/>
      <c r="DH1599" s="1509"/>
      <c r="DI1599" s="1514"/>
      <c r="DJ1599" s="1369"/>
      <c r="DK1599" s="1509"/>
      <c r="DL1599" s="1509"/>
      <c r="DM1599" s="1509"/>
      <c r="DN1599" s="1514"/>
      <c r="DO1599" s="1369"/>
      <c r="DP1599" s="1509"/>
      <c r="DQ1599" s="1509"/>
      <c r="DR1599" s="1509"/>
      <c r="DS1599" s="1514"/>
      <c r="DT1599" s="1523"/>
      <c r="DU1599" s="1509"/>
      <c r="DV1599" s="1509"/>
      <c r="DW1599" s="1509"/>
      <c r="DX1599" s="1514"/>
      <c r="DY1599" s="1523"/>
      <c r="DZ1599" s="1509"/>
      <c r="EA1599" s="1509"/>
      <c r="EB1599" s="1509"/>
      <c r="EC1599" s="1514"/>
      <c r="ED1599" s="1523"/>
      <c r="EE1599" s="2197"/>
      <c r="EF1599" s="1516"/>
      <c r="EG1599" s="1516"/>
      <c r="EH1599" s="1514"/>
      <c r="EI1599" s="2197"/>
      <c r="EJ1599" s="1523"/>
      <c r="EK1599" s="1523"/>
      <c r="EL1599" s="1523"/>
      <c r="EM1599" s="1523"/>
      <c r="EN1599" s="1523"/>
      <c r="EO1599" s="1761"/>
      <c r="EP1599" s="1523"/>
      <c r="EQ1599" s="1761"/>
      <c r="ER1599" s="1523"/>
      <c r="ES1599" s="1761"/>
      <c r="ET1599" s="1523"/>
      <c r="EU1599" s="1761"/>
      <c r="EV1599" s="1761"/>
      <c r="EW1599" s="1761"/>
      <c r="EX1599" s="1761"/>
    </row>
    <row r="1600" spans="1:154">
      <c r="B1600" s="3745" t="s">
        <v>1023</v>
      </c>
      <c r="C1600" s="3746"/>
      <c r="D1600" s="3747"/>
      <c r="E1600" s="3747"/>
      <c r="F1600" s="3748"/>
      <c r="G1600" s="3748"/>
      <c r="H1600" s="3748"/>
      <c r="I1600" s="3748"/>
      <c r="J1600" s="3748"/>
      <c r="K1600" s="3748"/>
      <c r="L1600" s="3748"/>
      <c r="M1600" s="3748"/>
      <c r="N1600" s="3748"/>
      <c r="O1600" s="3749"/>
      <c r="P1600" s="3748"/>
      <c r="Q1600" s="3748"/>
      <c r="R1600" s="3748"/>
      <c r="S1600" s="3748"/>
      <c r="T1600" s="3749"/>
      <c r="U1600" s="3748"/>
      <c r="V1600" s="3748"/>
      <c r="W1600" s="3748"/>
      <c r="X1600" s="3750"/>
      <c r="Y1600" s="3749"/>
      <c r="Z1600" s="3748"/>
      <c r="AA1600" s="3748"/>
      <c r="AB1600" s="3748"/>
      <c r="AC1600" s="3750"/>
      <c r="AD1600" s="3749"/>
      <c r="AE1600" s="3748"/>
      <c r="AF1600" s="3748"/>
      <c r="AG1600" s="3748"/>
      <c r="AH1600" s="3750"/>
      <c r="AI1600" s="3749"/>
      <c r="AJ1600" s="3748"/>
      <c r="AK1600" s="3748"/>
      <c r="AL1600" s="3748"/>
      <c r="AM1600" s="3750"/>
      <c r="AN1600" s="3749"/>
      <c r="AO1600" s="3748"/>
      <c r="AP1600" s="3748"/>
      <c r="AQ1600" s="3751"/>
      <c r="AR1600" s="3750"/>
      <c r="AS1600" s="3749"/>
      <c r="AT1600" s="3748"/>
      <c r="AU1600" s="3748"/>
      <c r="AV1600" s="3748"/>
      <c r="AW1600" s="3750"/>
      <c r="AX1600" s="3749"/>
      <c r="AY1600" s="3748"/>
      <c r="AZ1600" s="3748"/>
      <c r="BA1600" s="3748"/>
      <c r="BB1600" s="3750"/>
      <c r="BC1600" s="3749"/>
      <c r="BD1600" s="3748"/>
      <c r="BE1600" s="3748"/>
      <c r="BF1600" s="3748"/>
      <c r="BG1600" s="3750"/>
      <c r="BH1600" s="3749"/>
      <c r="BI1600" s="3748"/>
      <c r="BJ1600" s="3748"/>
      <c r="BK1600" s="3748"/>
      <c r="BL1600" s="3750"/>
      <c r="BM1600" s="3748"/>
      <c r="BN1600" s="3748"/>
      <c r="BO1600" s="3748"/>
      <c r="BP1600" s="3748"/>
      <c r="BQ1600" s="3750"/>
      <c r="BR1600" s="3748"/>
      <c r="BS1600" s="3748"/>
      <c r="BT1600" s="3748"/>
      <c r="BU1600" s="3748"/>
      <c r="BV1600" s="3750"/>
      <c r="BW1600" s="3748"/>
      <c r="BX1600" s="3748"/>
      <c r="BY1600" s="3748"/>
      <c r="BZ1600" s="3748"/>
      <c r="CA1600" s="3750"/>
      <c r="CB1600" s="3748"/>
      <c r="CC1600" s="3748"/>
      <c r="CD1600" s="3748"/>
      <c r="CE1600" s="3748"/>
      <c r="CF1600" s="3750"/>
      <c r="CG1600" s="3748"/>
      <c r="CH1600" s="3748"/>
      <c r="CI1600" s="3748"/>
      <c r="CJ1600" s="3748"/>
      <c r="CK1600" s="3752"/>
      <c r="CL1600" s="3753"/>
      <c r="CM1600" s="3748"/>
      <c r="CN1600" s="3748"/>
      <c r="CO1600" s="3748"/>
      <c r="CP1600" s="3752"/>
      <c r="CQ1600" s="3748"/>
      <c r="CR1600" s="3748"/>
      <c r="CS1600" s="3748"/>
      <c r="CT1600" s="3754"/>
      <c r="CU1600" s="3752"/>
      <c r="CV1600" s="3748"/>
      <c r="CW1600" s="3748"/>
      <c r="CX1600" s="3748"/>
      <c r="CY1600" s="3754"/>
      <c r="CZ1600" s="3752"/>
      <c r="DA1600" s="3753"/>
      <c r="DB1600" s="3748"/>
      <c r="DC1600" s="3748"/>
      <c r="DD1600" s="3754"/>
      <c r="DE1600" s="3752"/>
      <c r="DF1600" s="3753"/>
      <c r="DG1600" s="3748"/>
      <c r="DH1600" s="3748"/>
      <c r="DI1600" s="3754"/>
      <c r="DJ1600" s="3752"/>
      <c r="DK1600" s="3753"/>
      <c r="DL1600" s="3748"/>
      <c r="DM1600" s="3748"/>
      <c r="DN1600" s="3754"/>
      <c r="DO1600" s="3752"/>
      <c r="DP1600" s="3748"/>
      <c r="DQ1600" s="3748"/>
      <c r="DR1600" s="3748"/>
      <c r="DS1600" s="3754"/>
      <c r="DT1600" s="3752"/>
      <c r="DU1600" s="3748"/>
      <c r="DV1600" s="3748"/>
      <c r="DW1600" s="3748"/>
      <c r="DX1600" s="3754"/>
      <c r="DY1600" s="3752"/>
      <c r="DZ1600" s="3748"/>
      <c r="EA1600" s="3748"/>
      <c r="EB1600" s="3748"/>
      <c r="EC1600" s="3754"/>
      <c r="ED1600" s="3752"/>
      <c r="EE1600" s="3753"/>
      <c r="EF1600" s="3748"/>
      <c r="EG1600" s="3748"/>
      <c r="EH1600" s="3754"/>
      <c r="EI1600" s="3753"/>
      <c r="EJ1600" s="3752"/>
      <c r="EK1600" s="3752"/>
      <c r="EL1600" s="3752"/>
      <c r="EM1600" s="3752"/>
      <c r="EN1600" s="3752"/>
      <c r="EO1600" s="3754"/>
      <c r="EP1600" s="3752"/>
      <c r="EQ1600" s="3752"/>
      <c r="ER1600" s="3752"/>
      <c r="ES1600" s="3752"/>
      <c r="ET1600" s="3754"/>
      <c r="EU1600" s="3752"/>
      <c r="EV1600" s="3752"/>
      <c r="EW1600" s="3752"/>
      <c r="EX1600" s="3752"/>
    </row>
    <row r="1601" spans="1:154" outlineLevel="1">
      <c r="B1601" s="336" t="s">
        <v>993</v>
      </c>
      <c r="C1601" s="1392"/>
      <c r="D1601" s="894"/>
      <c r="E1601" s="894"/>
      <c r="F1601" s="895"/>
      <c r="G1601" s="895"/>
      <c r="H1601" s="895"/>
      <c r="I1601" s="895"/>
      <c r="J1601" s="895"/>
      <c r="K1601" s="895"/>
      <c r="L1601" s="895"/>
      <c r="M1601" s="895"/>
      <c r="N1601" s="895"/>
      <c r="O1601" s="896"/>
      <c r="P1601" s="895"/>
      <c r="Q1601" s="895"/>
      <c r="R1601" s="895"/>
      <c r="S1601" s="895"/>
      <c r="T1601" s="896"/>
      <c r="U1601" s="895"/>
      <c r="V1601" s="895"/>
      <c r="W1601" s="895"/>
      <c r="X1601" s="898"/>
      <c r="Y1601" s="896"/>
      <c r="Z1601" s="895"/>
      <c r="AA1601" s="895"/>
      <c r="AB1601" s="895"/>
      <c r="AC1601" s="898"/>
      <c r="AD1601" s="896"/>
      <c r="AE1601" s="895"/>
      <c r="AF1601" s="895"/>
      <c r="AG1601" s="895"/>
      <c r="AH1601" s="898"/>
      <c r="AI1601" s="896"/>
      <c r="AJ1601" s="895"/>
      <c r="AK1601" s="895"/>
      <c r="AL1601" s="895"/>
      <c r="AM1601" s="898"/>
      <c r="AN1601" s="896"/>
      <c r="AO1601" s="895"/>
      <c r="AP1601" s="895"/>
      <c r="AQ1601" s="897"/>
      <c r="AR1601" s="898"/>
      <c r="AS1601" s="896"/>
      <c r="AT1601" s="895"/>
      <c r="AU1601" s="895"/>
      <c r="AV1601" s="895"/>
      <c r="AW1601" s="898"/>
      <c r="AX1601" s="896"/>
      <c r="AY1601" s="895"/>
      <c r="AZ1601" s="895"/>
      <c r="BA1601" s="895"/>
      <c r="BB1601" s="898"/>
      <c r="BC1601" s="896"/>
      <c r="BD1601" s="895"/>
      <c r="BE1601" s="895"/>
      <c r="BF1601" s="895"/>
      <c r="BG1601" s="898"/>
      <c r="BH1601" s="896"/>
      <c r="BI1601" s="895"/>
      <c r="BJ1601" s="895"/>
      <c r="BK1601" s="895"/>
      <c r="BL1601" s="898"/>
      <c r="BM1601" s="895"/>
      <c r="BN1601" s="895"/>
      <c r="BO1601" s="895"/>
      <c r="BP1601" s="895"/>
      <c r="BQ1601" s="898"/>
      <c r="BR1601" s="895"/>
      <c r="BS1601" s="895"/>
      <c r="BT1601" s="895"/>
      <c r="BU1601" s="895"/>
      <c r="BV1601" s="898"/>
      <c r="BW1601" s="895"/>
      <c r="BX1601" s="895"/>
      <c r="BY1601" s="895"/>
      <c r="BZ1601" s="895"/>
      <c r="CA1601" s="898"/>
      <c r="CB1601" s="895"/>
      <c r="CC1601" s="895"/>
      <c r="CD1601" s="895"/>
      <c r="CE1601" s="895"/>
      <c r="CF1601" s="898"/>
      <c r="CG1601" s="895"/>
      <c r="CH1601" s="895"/>
      <c r="CI1601" s="895"/>
      <c r="CJ1601" s="895"/>
      <c r="CK1601" s="899"/>
      <c r="CL1601" s="1015"/>
      <c r="CM1601" s="895"/>
      <c r="CN1601" s="895"/>
      <c r="CO1601" s="895"/>
      <c r="CP1601" s="899"/>
      <c r="CQ1601" s="895"/>
      <c r="CR1601" s="895"/>
      <c r="CS1601" s="895"/>
      <c r="CT1601" s="915"/>
      <c r="CU1601" s="899"/>
      <c r="CV1601" s="895"/>
      <c r="CW1601" s="895"/>
      <c r="CX1601" s="895"/>
      <c r="CY1601" s="915"/>
      <c r="CZ1601" s="899"/>
      <c r="DA1601" s="1015"/>
      <c r="DB1601" s="895"/>
      <c r="DC1601" s="895"/>
      <c r="DD1601" s="915"/>
      <c r="DE1601" s="899"/>
      <c r="DF1601" s="895"/>
      <c r="DG1601" s="895"/>
      <c r="DH1601" s="895"/>
      <c r="DI1601" s="915"/>
      <c r="DJ1601" s="899"/>
      <c r="DK1601" s="895"/>
      <c r="DL1601" s="895"/>
      <c r="DM1601" s="895"/>
      <c r="DN1601" s="915"/>
      <c r="DO1601" s="899"/>
      <c r="DP1601" s="895"/>
      <c r="DQ1601" s="895"/>
      <c r="DR1601" s="895"/>
      <c r="DS1601" s="915"/>
      <c r="DT1601" s="899"/>
      <c r="DU1601" s="895"/>
      <c r="DV1601" s="895"/>
      <c r="DW1601" s="895"/>
      <c r="DX1601" s="915"/>
      <c r="DY1601" s="899"/>
      <c r="DZ1601" s="895"/>
      <c r="EA1601" s="895"/>
      <c r="EB1601" s="895"/>
      <c r="EC1601" s="915"/>
      <c r="ED1601" s="899"/>
      <c r="EE1601" s="1015"/>
      <c r="EF1601" s="895"/>
      <c r="EG1601" s="895"/>
      <c r="EH1601" s="915"/>
      <c r="EI1601" s="1015"/>
      <c r="EJ1601" s="899"/>
      <c r="EK1601" s="899"/>
      <c r="EL1601" s="899"/>
      <c r="EM1601" s="899"/>
      <c r="EN1601" s="899"/>
      <c r="EO1601" s="915"/>
      <c r="EP1601" s="899"/>
      <c r="EQ1601" s="899"/>
      <c r="ER1601" s="899"/>
      <c r="ES1601" s="899"/>
      <c r="ET1601" s="899"/>
      <c r="EU1601" s="915"/>
      <c r="EV1601" s="899"/>
      <c r="EW1601" s="915"/>
      <c r="EX1601" s="915"/>
    </row>
    <row r="1602" spans="1:154" outlineLevel="1">
      <c r="B1602" s="3657" t="s">
        <v>776</v>
      </c>
      <c r="C1602" s="2026" t="s">
        <v>639</v>
      </c>
      <c r="D1602" s="900"/>
      <c r="E1602" s="900"/>
      <c r="F1602" s="901"/>
      <c r="G1602" s="901"/>
      <c r="H1602" s="901"/>
      <c r="I1602" s="901"/>
      <c r="J1602" s="901"/>
      <c r="K1602" s="901"/>
      <c r="L1602" s="901"/>
      <c r="M1602" s="901"/>
      <c r="N1602" s="901"/>
      <c r="O1602" s="902"/>
      <c r="P1602" s="901"/>
      <c r="Q1602" s="901"/>
      <c r="R1602" s="901"/>
      <c r="S1602" s="901"/>
      <c r="T1602" s="902"/>
      <c r="U1602" s="901"/>
      <c r="V1602" s="901"/>
      <c r="W1602" s="901"/>
      <c r="X1602" s="904"/>
      <c r="Y1602" s="902"/>
      <c r="Z1602" s="901"/>
      <c r="AA1602" s="901"/>
      <c r="AB1602" s="901"/>
      <c r="AC1602" s="904"/>
      <c r="AD1602" s="902"/>
      <c r="AE1602" s="901"/>
      <c r="AF1602" s="901"/>
      <c r="AG1602" s="901"/>
      <c r="AH1602" s="904"/>
      <c r="AI1602" s="902"/>
      <c r="AJ1602" s="901"/>
      <c r="AK1602" s="901"/>
      <c r="AL1602" s="901"/>
      <c r="AM1602" s="904"/>
      <c r="AN1602" s="902"/>
      <c r="AO1602" s="901"/>
      <c r="AP1602" s="901"/>
      <c r="AQ1602" s="903"/>
      <c r="AR1602" s="904"/>
      <c r="AS1602" s="902"/>
      <c r="AT1602" s="901"/>
      <c r="AU1602" s="901"/>
      <c r="AV1602" s="901"/>
      <c r="AW1602" s="904"/>
      <c r="AX1602" s="902"/>
      <c r="AY1602" s="901"/>
      <c r="AZ1602" s="901"/>
      <c r="BA1602" s="901"/>
      <c r="BB1602" s="904"/>
      <c r="BC1602" s="902"/>
      <c r="BD1602" s="901"/>
      <c r="BE1602" s="901"/>
      <c r="BF1602" s="901"/>
      <c r="BG1602" s="904"/>
      <c r="BH1602" s="902"/>
      <c r="BI1602" s="901"/>
      <c r="BJ1602" s="901"/>
      <c r="BK1602" s="901"/>
      <c r="BL1602" s="904"/>
      <c r="BM1602" s="901"/>
      <c r="BN1602" s="901"/>
      <c r="BO1602" s="901"/>
      <c r="BP1602" s="901"/>
      <c r="BQ1602" s="904"/>
      <c r="BR1602" s="901"/>
      <c r="BS1602" s="901"/>
      <c r="BT1602" s="901"/>
      <c r="BU1602" s="901"/>
      <c r="BV1602" s="904"/>
      <c r="BW1602" s="901"/>
      <c r="BX1602" s="901"/>
      <c r="BY1602" s="901"/>
      <c r="BZ1602" s="901"/>
      <c r="CA1602" s="904"/>
      <c r="CB1602" s="901"/>
      <c r="CC1602" s="901"/>
      <c r="CD1602" s="901"/>
      <c r="CE1602" s="901"/>
      <c r="CF1602" s="904"/>
      <c r="CG1602" s="901"/>
      <c r="CH1602" s="901"/>
      <c r="CI1602" s="901"/>
      <c r="CJ1602" s="901"/>
      <c r="CK1602" s="905"/>
      <c r="CL1602" s="1016"/>
      <c r="CM1602" s="901"/>
      <c r="CN1602" s="901"/>
      <c r="CO1602" s="901"/>
      <c r="CP1602" s="905"/>
      <c r="CQ1602" s="901"/>
      <c r="CR1602" s="901"/>
      <c r="CS1602" s="901"/>
      <c r="CT1602" s="1017"/>
      <c r="CU1602" s="905"/>
      <c r="CV1602" s="901"/>
      <c r="CW1602" s="901"/>
      <c r="CX1602" s="901"/>
      <c r="CY1602" s="1017"/>
      <c r="CZ1602" s="905"/>
      <c r="DA1602" s="1016"/>
      <c r="DB1602" s="901"/>
      <c r="DC1602" s="901"/>
      <c r="DD1602" s="1017"/>
      <c r="DE1602" s="905"/>
      <c r="DF1602" s="901"/>
      <c r="DG1602" s="901"/>
      <c r="DH1602" s="901"/>
      <c r="DI1602" s="1017"/>
      <c r="DJ1602" s="905"/>
      <c r="DK1602" s="901"/>
      <c r="DL1602" s="901"/>
      <c r="DM1602" s="901"/>
      <c r="DN1602" s="1017"/>
      <c r="DO1602" s="905"/>
      <c r="DP1602" s="901"/>
      <c r="DQ1602" s="901"/>
      <c r="DR1602" s="901"/>
      <c r="DS1602" s="1017"/>
      <c r="DT1602" s="905"/>
      <c r="DU1602" s="901"/>
      <c r="DV1602" s="901"/>
      <c r="DW1602" s="901"/>
      <c r="DX1602" s="1017"/>
      <c r="DY1602" s="905"/>
      <c r="DZ1602" s="901"/>
      <c r="EA1602" s="901"/>
      <c r="EB1602" s="901"/>
      <c r="EC1602" s="1017"/>
      <c r="ED1602" s="905"/>
      <c r="EE1602" s="1016"/>
      <c r="EF1602" s="901"/>
      <c r="EG1602" s="901"/>
      <c r="EH1602" s="1017"/>
      <c r="EI1602" s="1016"/>
      <c r="EJ1602" s="905"/>
      <c r="EK1602" s="905"/>
      <c r="EL1602" s="905"/>
      <c r="EM1602" s="905"/>
      <c r="EN1602" s="905"/>
      <c r="EO1602" s="1017"/>
      <c r="EP1602" s="905"/>
      <c r="EQ1602" s="905"/>
      <c r="ER1602" s="905"/>
      <c r="ES1602" s="905"/>
      <c r="ET1602" s="905"/>
      <c r="EU1602" s="905"/>
      <c r="EV1602" s="905"/>
      <c r="EW1602" s="905"/>
      <c r="EX1602" s="899"/>
    </row>
    <row r="1603" spans="1:154" outlineLevel="1">
      <c r="B1603" s="3666" t="s">
        <v>153</v>
      </c>
      <c r="C1603" s="2026" t="s">
        <v>640</v>
      </c>
      <c r="D1603" s="900"/>
      <c r="E1603" s="900"/>
      <c r="F1603" s="901"/>
      <c r="G1603" s="901"/>
      <c r="H1603" s="901"/>
      <c r="I1603" s="901"/>
      <c r="J1603" s="901"/>
      <c r="K1603" s="901"/>
      <c r="L1603" s="901"/>
      <c r="M1603" s="901"/>
      <c r="N1603" s="901"/>
      <c r="O1603" s="902"/>
      <c r="P1603" s="901"/>
      <c r="Q1603" s="901"/>
      <c r="R1603" s="901"/>
      <c r="S1603" s="901"/>
      <c r="T1603" s="902"/>
      <c r="U1603" s="901"/>
      <c r="V1603" s="901"/>
      <c r="W1603" s="901"/>
      <c r="X1603" s="905"/>
      <c r="Y1603" s="902"/>
      <c r="Z1603" s="901"/>
      <c r="AA1603" s="901"/>
      <c r="AB1603" s="901"/>
      <c r="AC1603" s="905"/>
      <c r="AD1603" s="902"/>
      <c r="AE1603" s="901"/>
      <c r="AF1603" s="901"/>
      <c r="AG1603" s="901"/>
      <c r="AH1603" s="905"/>
      <c r="AI1603" s="902"/>
      <c r="AJ1603" s="901"/>
      <c r="AK1603" s="901"/>
      <c r="AL1603" s="901"/>
      <c r="AM1603" s="905"/>
      <c r="AN1603" s="902"/>
      <c r="AO1603" s="901"/>
      <c r="AP1603" s="901"/>
      <c r="AQ1603" s="903"/>
      <c r="AR1603" s="905"/>
      <c r="AS1603" s="902"/>
      <c r="AT1603" s="901"/>
      <c r="AU1603" s="901"/>
      <c r="AV1603" s="901"/>
      <c r="AW1603" s="905"/>
      <c r="AX1603" s="902"/>
      <c r="AY1603" s="901"/>
      <c r="AZ1603" s="901"/>
      <c r="BA1603" s="901"/>
      <c r="BB1603" s="905"/>
      <c r="BC1603" s="902"/>
      <c r="BD1603" s="901"/>
      <c r="BE1603" s="901"/>
      <c r="BF1603" s="901"/>
      <c r="BG1603" s="905"/>
      <c r="BH1603" s="902"/>
      <c r="BI1603" s="901"/>
      <c r="BJ1603" s="901"/>
      <c r="BK1603" s="901"/>
      <c r="BL1603" s="905"/>
      <c r="BM1603" s="901"/>
      <c r="BN1603" s="3652"/>
      <c r="BO1603" s="901"/>
      <c r="BP1603" s="901"/>
      <c r="BQ1603" s="905"/>
      <c r="BR1603" s="901"/>
      <c r="BS1603" s="3652"/>
      <c r="BT1603" s="901"/>
      <c r="BU1603" s="901"/>
      <c r="BV1603" s="905"/>
      <c r="BW1603" s="3652"/>
      <c r="BX1603" s="3652"/>
      <c r="BY1603" s="3652"/>
      <c r="BZ1603" s="3652"/>
      <c r="CA1603" s="905"/>
      <c r="CB1603" s="3652"/>
      <c r="CC1603" s="901"/>
      <c r="CD1603" s="3652"/>
      <c r="CE1603" s="3652"/>
      <c r="CF1603" s="905"/>
      <c r="CG1603" s="3652"/>
      <c r="CH1603" s="3652"/>
      <c r="CI1603" s="3652"/>
      <c r="CJ1603" s="3652"/>
      <c r="CK1603" s="905"/>
      <c r="CL1603" s="1016"/>
      <c r="CM1603" s="901"/>
      <c r="CN1603" s="901"/>
      <c r="CO1603" s="3652"/>
      <c r="CP1603" s="3667">
        <v>0</v>
      </c>
      <c r="CQ1603" s="901"/>
      <c r="CR1603" s="901"/>
      <c r="CS1603" s="901"/>
      <c r="CT1603" s="1017"/>
      <c r="CU1603" s="3667">
        <v>0</v>
      </c>
      <c r="CV1603" s="901"/>
      <c r="CW1603" s="901"/>
      <c r="CX1603" s="901"/>
      <c r="CY1603" s="1017"/>
      <c r="CZ1603" s="3667"/>
      <c r="DA1603" s="3733"/>
      <c r="DB1603" s="3652"/>
      <c r="DC1603" s="3652"/>
      <c r="DD1603" s="1017">
        <f>+DE1603-SUM(DA1603:DC1603)</f>
      </c>
      <c r="DE1603" s="3667"/>
      <c r="DF1603" s="3652"/>
      <c r="DG1603" s="3652"/>
      <c r="DH1603" s="3652"/>
      <c r="DI1603" s="1017"/>
      <c r="DJ1603" s="3667"/>
      <c r="DK1603" s="3743"/>
      <c r="DL1603" s="3652"/>
      <c r="DM1603" s="3652"/>
      <c r="DN1603" s="901"/>
      <c r="DO1603" s="3667"/>
      <c r="DP1603" s="3652">
        <f>$DT1603*0.235</f>
      </c>
      <c r="DQ1603" s="3652">
        <f>$DT1603*0.245</f>
      </c>
      <c r="DR1603" s="3652">
        <f>$DT1603*0.255</f>
      </c>
      <c r="DS1603" s="3668">
        <f>DT1603-SUM(DP1603:DR1603)</f>
      </c>
      <c r="DT1603" s="3667">
        <v>50</v>
      </c>
      <c r="DU1603" s="3652">
        <f>$DT1603*0.235</f>
      </c>
      <c r="DV1603" s="3652">
        <f>$DT1603*0.245</f>
      </c>
      <c r="DW1603" s="3652">
        <f>$DT1603*0.255</f>
      </c>
      <c r="DX1603" s="1017">
        <f>DY1603-SUM(DU1603:DW1603)</f>
      </c>
      <c r="DY1603" s="3667">
        <v>65</v>
      </c>
      <c r="DZ1603" s="3652">
        <v>18</v>
      </c>
      <c r="EA1603" s="3652">
        <v>25</v>
      </c>
      <c r="EB1603" s="3652">
        <v>29</v>
      </c>
      <c r="EC1603" s="3668">
        <f>ED1603-SUM(DZ1603:EB1603)</f>
      </c>
      <c r="ED1603" s="3667">
        <v>105</v>
      </c>
      <c r="EE1603" s="3733">
        <v>30</v>
      </c>
      <c r="EF1603" s="3652">
        <v>32</v>
      </c>
      <c r="EG1603" s="3652">
        <v>37</v>
      </c>
      <c r="EH1603" s="3668">
        <f>EI1603-SUM(EE1603:EG1603)</f>
      </c>
      <c r="EI1603" s="3667">
        <v>145</v>
      </c>
      <c r="EJ1603" s="3667">
        <f>EI1603*1.06</f>
      </c>
      <c r="EK1603" s="3667">
        <f t="shared" ref="EK1603:ER1603" si="3012">EJ1603*1.06</f>
      </c>
      <c r="EL1603" s="3667">
        <f t="shared" si="3012"/>
      </c>
      <c r="EM1603" s="3667">
        <f t="shared" si="3012"/>
      </c>
      <c r="EN1603" s="3667">
        <f t="shared" si="3012"/>
      </c>
      <c r="EO1603" s="3667">
        <f t="shared" si="3012"/>
      </c>
      <c r="EP1603" s="3667">
        <f t="shared" si="3012"/>
      </c>
      <c r="EQ1603" s="3667">
        <f t="shared" si="3012"/>
      </c>
      <c r="ER1603" s="3667">
        <f t="shared" si="3012"/>
      </c>
      <c r="ES1603" s="3667"/>
      <c r="ET1603" s="3667"/>
      <c r="EU1603" s="3667"/>
      <c r="EV1603" s="3667"/>
      <c r="EW1603" s="3667"/>
      <c r="EX1603" s="909"/>
    </row>
    <row r="1604" spans="1:154" outlineLevel="1">
      <c r="B1604" s="3666" t="s">
        <v>235</v>
      </c>
      <c r="C1604" s="2026"/>
      <c r="D1604" s="900"/>
      <c r="E1604" s="900"/>
      <c r="F1604" s="901"/>
      <c r="G1604" s="901"/>
      <c r="H1604" s="901"/>
      <c r="I1604" s="901"/>
      <c r="J1604" s="901"/>
      <c r="K1604" s="901"/>
      <c r="L1604" s="901"/>
      <c r="M1604" s="901"/>
      <c r="N1604" s="901"/>
      <c r="O1604" s="902"/>
      <c r="P1604" s="901"/>
      <c r="Q1604" s="901"/>
      <c r="R1604" s="901"/>
      <c r="S1604" s="901"/>
      <c r="T1604" s="902"/>
      <c r="U1604" s="901"/>
      <c r="V1604" s="901"/>
      <c r="W1604" s="901"/>
      <c r="X1604" s="905"/>
      <c r="Y1604" s="902"/>
      <c r="Z1604" s="901"/>
      <c r="AA1604" s="901"/>
      <c r="AB1604" s="901"/>
      <c r="AC1604" s="905"/>
      <c r="AD1604" s="902"/>
      <c r="AE1604" s="901"/>
      <c r="AF1604" s="901"/>
      <c r="AG1604" s="901"/>
      <c r="AH1604" s="905"/>
      <c r="AI1604" s="902"/>
      <c r="AJ1604" s="901"/>
      <c r="AK1604" s="901"/>
      <c r="AL1604" s="901"/>
      <c r="AM1604" s="905"/>
      <c r="AN1604" s="902"/>
      <c r="AO1604" s="901"/>
      <c r="AP1604" s="901"/>
      <c r="AQ1604" s="903"/>
      <c r="AR1604" s="905"/>
      <c r="AS1604" s="902"/>
      <c r="AT1604" s="901"/>
      <c r="AU1604" s="901"/>
      <c r="AV1604" s="901"/>
      <c r="AW1604" s="905"/>
      <c r="AX1604" s="902"/>
      <c r="AY1604" s="901"/>
      <c r="AZ1604" s="901"/>
      <c r="BA1604" s="901"/>
      <c r="BB1604" s="905"/>
      <c r="BC1604" s="902"/>
      <c r="BD1604" s="901"/>
      <c r="BE1604" s="901"/>
      <c r="BF1604" s="901"/>
      <c r="BG1604" s="905"/>
      <c r="BH1604" s="902"/>
      <c r="BI1604" s="901"/>
      <c r="BJ1604" s="901"/>
      <c r="BK1604" s="901"/>
      <c r="BL1604" s="905"/>
      <c r="BM1604" s="901"/>
      <c r="BN1604" s="3652"/>
      <c r="BO1604" s="901"/>
      <c r="BP1604" s="901"/>
      <c r="BQ1604" s="905"/>
      <c r="BR1604" s="901"/>
      <c r="BS1604" s="3652"/>
      <c r="BT1604" s="901"/>
      <c r="BU1604" s="901"/>
      <c r="BV1604" s="905"/>
      <c r="BW1604" s="3652"/>
      <c r="BX1604" s="3652"/>
      <c r="BY1604" s="3652"/>
      <c r="BZ1604" s="3652"/>
      <c r="CA1604" s="905"/>
      <c r="CB1604" s="3652"/>
      <c r="CC1604" s="901"/>
      <c r="CD1604" s="3652"/>
      <c r="CE1604" s="3652"/>
      <c r="CF1604" s="905"/>
      <c r="CG1604" s="3652"/>
      <c r="CH1604" s="3652"/>
      <c r="CI1604" s="3652"/>
      <c r="CJ1604" s="3652"/>
      <c r="CK1604" s="905"/>
      <c r="CL1604" s="1016"/>
      <c r="CM1604" s="901"/>
      <c r="CN1604" s="901"/>
      <c r="CO1604" s="3652"/>
      <c r="CP1604" s="3667">
        <v>0</v>
      </c>
      <c r="CQ1604" s="901"/>
      <c r="CR1604" s="901"/>
      <c r="CS1604" s="901"/>
      <c r="CT1604" s="1017"/>
      <c r="CU1604" s="3667">
        <v>0</v>
      </c>
      <c r="CV1604" s="901"/>
      <c r="CW1604" s="901"/>
      <c r="CX1604" s="901"/>
      <c r="CY1604" s="1017"/>
      <c r="CZ1604" s="3667">
        <v>0</v>
      </c>
      <c r="DA1604" s="3733"/>
      <c r="DB1604" s="3652"/>
      <c r="DC1604" s="3652"/>
      <c r="DD1604" s="1017">
        <f>+DE1604-SUM(DA1604:DC1604)</f>
      </c>
      <c r="DE1604" s="3667"/>
      <c r="DF1604" s="3652"/>
      <c r="DG1604" s="3652"/>
      <c r="DH1604" s="3652"/>
      <c r="DI1604" s="1017"/>
      <c r="DJ1604" s="3667"/>
      <c r="DK1604" s="3743"/>
      <c r="DL1604" s="3743"/>
      <c r="DM1604" s="3652"/>
      <c r="DN1604" s="901"/>
      <c r="DO1604" s="3667"/>
      <c r="DP1604" s="3652">
        <f>$DT1604*0.235</f>
      </c>
      <c r="DQ1604" s="3652">
        <f>$DT1604*0.245</f>
      </c>
      <c r="DR1604" s="3652">
        <f>$DT1604*0.255</f>
      </c>
      <c r="DS1604" s="3668">
        <f>DT1604-SUM(DP1604:DR1604)</f>
      </c>
      <c r="DT1604" s="3667">
        <v>30</v>
      </c>
      <c r="DU1604" s="3652">
        <f>$DT1604*0.235</f>
      </c>
      <c r="DV1604" s="3652">
        <f>$DT1604*0.245</f>
      </c>
      <c r="DW1604" s="3652">
        <f>$DT1604*0.255</f>
      </c>
      <c r="DX1604" s="1017">
        <f>DY1604-SUM(DU1604:DW1604)</f>
      </c>
      <c r="DY1604" s="3667">
        <v>50</v>
      </c>
      <c r="DZ1604" s="3652">
        <v>10</v>
      </c>
      <c r="EA1604" s="3652">
        <v>12</v>
      </c>
      <c r="EB1604" s="3652">
        <v>18</v>
      </c>
      <c r="EC1604" s="3668">
        <f>ED1604-SUM(DZ1604:EB1604)</f>
      </c>
      <c r="ED1604" s="3667">
        <v>60</v>
      </c>
      <c r="EE1604" s="3733">
        <v>16</v>
      </c>
      <c r="EF1604" s="3652">
        <v>18</v>
      </c>
      <c r="EG1604" s="3652">
        <v>20</v>
      </c>
      <c r="EH1604" s="3668">
        <f>EI1604-SUM(EE1604:EG1604)</f>
      </c>
      <c r="EI1604" s="3667">
        <v>75</v>
      </c>
      <c r="EJ1604" s="3667">
        <f>(EI1604*1.04)*0.6</f>
      </c>
      <c r="EK1604" s="3667">
        <f>(EJ1604*1.04)*0.6</f>
      </c>
      <c r="EL1604" s="3667">
        <f>(EK1604*1.04)*0.6</f>
      </c>
      <c r="EM1604" s="3667">
        <f>(EL1604*1.04)*0.6</f>
      </c>
      <c r="EN1604" s="3667">
        <v>75</v>
      </c>
      <c r="EO1604" s="3667">
        <v>75</v>
      </c>
      <c r="EP1604" s="3667">
        <v>75</v>
      </c>
      <c r="EQ1604" s="3667">
        <v>75</v>
      </c>
      <c r="ER1604" s="3667">
        <v>75</v>
      </c>
      <c r="ES1604" s="3667"/>
      <c r="ET1604" s="3667"/>
      <c r="EU1604" s="3667"/>
      <c r="EV1604" s="3667"/>
      <c r="EW1604" s="3667"/>
      <c r="EX1604" s="909"/>
    </row>
    <row r="1605" spans="1:154" outlineLevel="1">
      <c r="B1605" s="3666" t="s">
        <v>188</v>
      </c>
      <c r="C1605" s="2026"/>
      <c r="D1605" s="900"/>
      <c r="E1605" s="900"/>
      <c r="F1605" s="901"/>
      <c r="G1605" s="901"/>
      <c r="H1605" s="901"/>
      <c r="I1605" s="901"/>
      <c r="J1605" s="901"/>
      <c r="K1605" s="901"/>
      <c r="L1605" s="901"/>
      <c r="M1605" s="901"/>
      <c r="N1605" s="901"/>
      <c r="O1605" s="902"/>
      <c r="P1605" s="901"/>
      <c r="Q1605" s="901"/>
      <c r="R1605" s="901"/>
      <c r="S1605" s="901"/>
      <c r="T1605" s="902"/>
      <c r="U1605" s="901"/>
      <c r="V1605" s="901"/>
      <c r="W1605" s="901"/>
      <c r="X1605" s="905"/>
      <c r="Y1605" s="902"/>
      <c r="Z1605" s="901"/>
      <c r="AA1605" s="901"/>
      <c r="AB1605" s="901"/>
      <c r="AC1605" s="905"/>
      <c r="AD1605" s="902"/>
      <c r="AE1605" s="901"/>
      <c r="AF1605" s="901"/>
      <c r="AG1605" s="901"/>
      <c r="AH1605" s="905"/>
      <c r="AI1605" s="902"/>
      <c r="AJ1605" s="901"/>
      <c r="AK1605" s="901"/>
      <c r="AL1605" s="901"/>
      <c r="AM1605" s="905"/>
      <c r="AN1605" s="902"/>
      <c r="AO1605" s="901"/>
      <c r="AP1605" s="901"/>
      <c r="AQ1605" s="903"/>
      <c r="AR1605" s="905"/>
      <c r="AS1605" s="902"/>
      <c r="AT1605" s="901"/>
      <c r="AU1605" s="901"/>
      <c r="AV1605" s="901"/>
      <c r="AW1605" s="905"/>
      <c r="AX1605" s="902"/>
      <c r="AY1605" s="901"/>
      <c r="AZ1605" s="901"/>
      <c r="BA1605" s="901"/>
      <c r="BB1605" s="905"/>
      <c r="BC1605" s="902"/>
      <c r="BD1605" s="901"/>
      <c r="BE1605" s="901"/>
      <c r="BF1605" s="901"/>
      <c r="BG1605" s="905"/>
      <c r="BH1605" s="902"/>
      <c r="BI1605" s="901"/>
      <c r="BJ1605" s="901"/>
      <c r="BK1605" s="901"/>
      <c r="BL1605" s="905"/>
      <c r="BM1605" s="901"/>
      <c r="BN1605" s="901"/>
      <c r="BO1605" s="901"/>
      <c r="BP1605" s="901"/>
      <c r="BQ1605" s="905"/>
      <c r="BR1605" s="901"/>
      <c r="BS1605" s="901"/>
      <c r="BT1605" s="901"/>
      <c r="BU1605" s="901"/>
      <c r="BV1605" s="905"/>
      <c r="BW1605" s="901"/>
      <c r="BX1605" s="901"/>
      <c r="BY1605" s="901"/>
      <c r="BZ1605" s="901"/>
      <c r="CA1605" s="905"/>
      <c r="CB1605" s="901"/>
      <c r="CC1605" s="901"/>
      <c r="CD1605" s="901"/>
      <c r="CE1605" s="901"/>
      <c r="CF1605" s="905"/>
      <c r="CG1605" s="901"/>
      <c r="CH1605" s="901"/>
      <c r="CI1605" s="901"/>
      <c r="CJ1605" s="901"/>
      <c r="CK1605" s="905"/>
      <c r="CL1605" s="1016"/>
      <c r="CM1605" s="901"/>
      <c r="CN1605" s="901"/>
      <c r="CO1605" s="901"/>
      <c r="CP1605" s="905">
        <f>CP1603+CP1604</f>
      </c>
      <c r="CQ1605" s="901"/>
      <c r="CR1605" s="901"/>
      <c r="CS1605" s="901"/>
      <c r="CT1605" s="1017"/>
      <c r="CU1605" s="905">
        <f>CU1603+CU1604</f>
      </c>
      <c r="CV1605" s="901"/>
      <c r="CW1605" s="901"/>
      <c r="CX1605" s="901"/>
      <c r="CY1605" s="1017"/>
      <c r="CZ1605" s="905">
        <f>CZ1603+CZ1604</f>
      </c>
      <c r="DA1605" s="901">
        <f>SUM(DA1603:DA1604)</f>
      </c>
      <c r="DB1605" s="901">
        <f>SUM(DB1603:DB1604)</f>
      </c>
      <c r="DC1605" s="901">
        <f>SUM(DC1603:DC1604)</f>
      </c>
      <c r="DD1605" s="1017">
        <f>SUM(DD1603:DD1604)</f>
      </c>
      <c r="DE1605" s="905"/>
      <c r="DF1605" s="901"/>
      <c r="DG1605" s="901"/>
      <c r="DH1605" s="901"/>
      <c r="DI1605" s="1017"/>
      <c r="DJ1605" s="905"/>
      <c r="DK1605" s="3744"/>
      <c r="DL1605" s="901"/>
      <c r="DM1605" s="901"/>
      <c r="DN1605" s="901"/>
      <c r="DO1605" s="905"/>
      <c r="DP1605" s="901">
        <f>SUM(DP1603:DP1604)</f>
      </c>
      <c r="DQ1605" s="901">
        <f>SUM(DQ1603:DQ1604)</f>
      </c>
      <c r="DR1605" s="901">
        <f>SUM(DR1603:DR1604)</f>
      </c>
      <c r="DS1605" s="1017">
        <f>SUM(DS1603:DS1604)</f>
      </c>
      <c r="DT1605" s="905">
        <f>DT1603+DT1604</f>
      </c>
      <c r="DU1605" s="901">
        <f>SUM(DU1603:DU1604)</f>
      </c>
      <c r="DV1605" s="901">
        <f>SUM(DV1603:DV1604)</f>
      </c>
      <c r="DW1605" s="901">
        <f>SUM(DW1603:DW1604)</f>
      </c>
      <c r="DX1605" s="1017">
        <f>SUM(DX1603:DX1604)</f>
      </c>
      <c r="DY1605" s="905">
        <f>DY1603+DY1604</f>
      </c>
      <c r="DZ1605" s="901">
        <f>SUM(DZ1603:DZ1604)</f>
      </c>
      <c r="EA1605" s="901">
        <f>SUM(EA1603:EA1604)</f>
      </c>
      <c r="EB1605" s="901">
        <f>SUM(EB1603:EB1604)</f>
      </c>
      <c r="EC1605" s="1017">
        <f>SUM(EC1603:EC1604)</f>
      </c>
      <c r="ED1605" s="905">
        <f>ED1603+ED1604</f>
      </c>
      <c r="EE1605" s="1016">
        <f>SUM(EE1603:EE1604)</f>
      </c>
      <c r="EF1605" s="901">
        <f>SUM(EF1603:EF1604)</f>
      </c>
      <c r="EG1605" s="901">
        <f>SUM(EG1603:EG1604)</f>
      </c>
      <c r="EH1605" s="1017">
        <f>SUM(EH1603:EH1604)</f>
      </c>
      <c r="EI1605" s="905">
        <f>EI1603+EI1604</f>
      </c>
      <c r="EJ1605" s="905">
        <f t="shared" ref="EJ1605:ER1605" si="3013">EJ1603+EJ1604</f>
      </c>
      <c r="EK1605" s="905">
        <f t="shared" si="3013"/>
      </c>
      <c r="EL1605" s="905">
        <f t="shared" si="3013"/>
      </c>
      <c r="EM1605" s="905">
        <f t="shared" si="3013"/>
      </c>
      <c r="EN1605" s="905">
        <f t="shared" si="3013"/>
      </c>
      <c r="EO1605" s="905">
        <f t="shared" si="3013"/>
      </c>
      <c r="EP1605" s="905">
        <f t="shared" si="3013"/>
      </c>
      <c r="EQ1605" s="905">
        <f t="shared" si="3013"/>
      </c>
      <c r="ER1605" s="905">
        <f t="shared" si="3013"/>
      </c>
      <c r="ES1605" s="905"/>
      <c r="ET1605" s="905"/>
      <c r="EU1605" s="905"/>
      <c r="EV1605" s="905"/>
      <c r="EW1605" s="905"/>
      <c r="EX1605" s="899"/>
    </row>
    <row r="1606" spans="1:154" outlineLevel="1">
      <c r="B1606" s="3666"/>
      <c r="C1606" s="2026"/>
      <c r="D1606" s="900"/>
      <c r="E1606" s="900"/>
      <c r="F1606" s="901"/>
      <c r="G1606" s="901"/>
      <c r="H1606" s="901"/>
      <c r="I1606" s="901"/>
      <c r="J1606" s="901"/>
      <c r="K1606" s="901"/>
      <c r="L1606" s="901"/>
      <c r="M1606" s="901"/>
      <c r="N1606" s="901"/>
      <c r="O1606" s="902"/>
      <c r="P1606" s="901"/>
      <c r="Q1606" s="901"/>
      <c r="R1606" s="901"/>
      <c r="S1606" s="901"/>
      <c r="T1606" s="902"/>
      <c r="U1606" s="901"/>
      <c r="V1606" s="901"/>
      <c r="W1606" s="901"/>
      <c r="X1606" s="904"/>
      <c r="Y1606" s="902"/>
      <c r="Z1606" s="901"/>
      <c r="AA1606" s="901"/>
      <c r="AB1606" s="901"/>
      <c r="AC1606" s="904"/>
      <c r="AD1606" s="902"/>
      <c r="AE1606" s="901"/>
      <c r="AF1606" s="901"/>
      <c r="AG1606" s="901"/>
      <c r="AH1606" s="904"/>
      <c r="AI1606" s="902"/>
      <c r="AJ1606" s="901"/>
      <c r="AK1606" s="901"/>
      <c r="AL1606" s="901"/>
      <c r="AM1606" s="904"/>
      <c r="AN1606" s="902"/>
      <c r="AO1606" s="901"/>
      <c r="AP1606" s="901"/>
      <c r="AQ1606" s="903"/>
      <c r="AR1606" s="904"/>
      <c r="AS1606" s="902"/>
      <c r="AT1606" s="901"/>
      <c r="AU1606" s="901"/>
      <c r="AV1606" s="901"/>
      <c r="AW1606" s="904"/>
      <c r="AX1606" s="902"/>
      <c r="AY1606" s="901"/>
      <c r="AZ1606" s="901"/>
      <c r="BA1606" s="901"/>
      <c r="BB1606" s="904"/>
      <c r="BC1606" s="902"/>
      <c r="BD1606" s="901"/>
      <c r="BE1606" s="901"/>
      <c r="BF1606" s="901"/>
      <c r="BG1606" s="904"/>
      <c r="BH1606" s="902"/>
      <c r="BI1606" s="901"/>
      <c r="BJ1606" s="901"/>
      <c r="BK1606" s="901"/>
      <c r="BL1606" s="904"/>
      <c r="BM1606" s="901"/>
      <c r="BN1606" s="901"/>
      <c r="BO1606" s="901"/>
      <c r="BP1606" s="901"/>
      <c r="BQ1606" s="904"/>
      <c r="BR1606" s="901"/>
      <c r="BS1606" s="901"/>
      <c r="BT1606" s="901"/>
      <c r="BU1606" s="901"/>
      <c r="BV1606" s="904"/>
      <c r="BW1606" s="901"/>
      <c r="BX1606" s="901"/>
      <c r="BY1606" s="901"/>
      <c r="BZ1606" s="901"/>
      <c r="CA1606" s="904"/>
      <c r="CB1606" s="901"/>
      <c r="CC1606" s="901"/>
      <c r="CD1606" s="901"/>
      <c r="CE1606" s="901"/>
      <c r="CF1606" s="904"/>
      <c r="CG1606" s="901"/>
      <c r="CH1606" s="901"/>
      <c r="CI1606" s="901"/>
      <c r="CJ1606" s="901"/>
      <c r="CK1606" s="905"/>
      <c r="CL1606" s="1016"/>
      <c r="CM1606" s="901"/>
      <c r="CN1606" s="901"/>
      <c r="CO1606" s="901"/>
      <c r="CP1606" s="905"/>
      <c r="CQ1606" s="901"/>
      <c r="CR1606" s="901"/>
      <c r="CS1606" s="901"/>
      <c r="CT1606" s="1017"/>
      <c r="CU1606" s="905"/>
      <c r="CV1606" s="901"/>
      <c r="CW1606" s="901"/>
      <c r="CX1606" s="901"/>
      <c r="CY1606" s="1017"/>
      <c r="CZ1606" s="905"/>
      <c r="DA1606" s="1016"/>
      <c r="DB1606" s="901"/>
      <c r="DC1606" s="901"/>
      <c r="DD1606" s="1017"/>
      <c r="DE1606" s="905"/>
      <c r="DF1606" s="901"/>
      <c r="DG1606" s="901"/>
      <c r="DH1606" s="901"/>
      <c r="DI1606" s="1017"/>
      <c r="DJ1606" s="905"/>
      <c r="DK1606" s="901"/>
      <c r="DL1606" s="901"/>
      <c r="DM1606" s="901"/>
      <c r="DN1606" s="1017"/>
      <c r="DO1606" s="905"/>
      <c r="DP1606" s="901"/>
      <c r="DQ1606" s="901"/>
      <c r="DR1606" s="901"/>
      <c r="DS1606" s="1017"/>
      <c r="DT1606" s="905"/>
      <c r="DU1606" s="901"/>
      <c r="DV1606" s="901"/>
      <c r="DW1606" s="901"/>
      <c r="DX1606" s="1017"/>
      <c r="DY1606" s="905"/>
      <c r="DZ1606" s="901"/>
      <c r="EA1606" s="901"/>
      <c r="EB1606" s="901"/>
      <c r="EC1606" s="1017"/>
      <c r="ED1606" s="905"/>
      <c r="EE1606" s="1016"/>
      <c r="EF1606" s="901"/>
      <c r="EG1606" s="901"/>
      <c r="EH1606" s="1017"/>
      <c r="EI1606" s="1016"/>
      <c r="EJ1606" s="905"/>
      <c r="EK1606" s="905"/>
      <c r="EL1606" s="905"/>
      <c r="EM1606" s="905"/>
      <c r="EN1606" s="905"/>
      <c r="EO1606" s="1017"/>
      <c r="EP1606" s="905"/>
      <c r="EQ1606" s="905"/>
      <c r="ER1606" s="905"/>
      <c r="ES1606" s="905"/>
      <c r="ET1606" s="905"/>
      <c r="EU1606" s="905"/>
      <c r="EV1606" s="905"/>
      <c r="EW1606" s="905"/>
      <c r="EX1606" s="899"/>
    </row>
    <row r="1607" spans="1:154" outlineLevel="1">
      <c r="B1607" s="3657" t="str">
        <f>B1602</f>
      </c>
      <c r="C1607" s="2026"/>
      <c r="D1607" s="900"/>
      <c r="E1607" s="900"/>
      <c r="F1607" s="901"/>
      <c r="G1607" s="901"/>
      <c r="H1607" s="901"/>
      <c r="I1607" s="901"/>
      <c r="J1607" s="901"/>
      <c r="K1607" s="901"/>
      <c r="L1607" s="901"/>
      <c r="M1607" s="901"/>
      <c r="N1607" s="901"/>
      <c r="O1607" s="902"/>
      <c r="P1607" s="901"/>
      <c r="Q1607" s="901"/>
      <c r="R1607" s="901"/>
      <c r="S1607" s="901"/>
      <c r="T1607" s="902"/>
      <c r="U1607" s="901"/>
      <c r="V1607" s="901"/>
      <c r="W1607" s="901"/>
      <c r="X1607" s="905"/>
      <c r="Y1607" s="902"/>
      <c r="Z1607" s="901"/>
      <c r="AA1607" s="901"/>
      <c r="AB1607" s="901"/>
      <c r="AC1607" s="905"/>
      <c r="AD1607" s="902"/>
      <c r="AE1607" s="901"/>
      <c r="AF1607" s="901"/>
      <c r="AG1607" s="901"/>
      <c r="AH1607" s="905"/>
      <c r="AI1607" s="902"/>
      <c r="AJ1607" s="901"/>
      <c r="AK1607" s="901"/>
      <c r="AL1607" s="901"/>
      <c r="AM1607" s="905"/>
      <c r="AN1607" s="902"/>
      <c r="AO1607" s="901"/>
      <c r="AP1607" s="901"/>
      <c r="AQ1607" s="903"/>
      <c r="AR1607" s="905"/>
      <c r="AS1607" s="902"/>
      <c r="AT1607" s="901"/>
      <c r="AU1607" s="901"/>
      <c r="AV1607" s="901"/>
      <c r="AW1607" s="905"/>
      <c r="AX1607" s="902"/>
      <c r="AY1607" s="901"/>
      <c r="AZ1607" s="901"/>
      <c r="BA1607" s="901"/>
      <c r="BB1607" s="905"/>
      <c r="BC1607" s="902"/>
      <c r="BD1607" s="901"/>
      <c r="BE1607" s="901"/>
      <c r="BF1607" s="901"/>
      <c r="BG1607" s="905"/>
      <c r="BH1607" s="902"/>
      <c r="BI1607" s="901"/>
      <c r="BJ1607" s="901"/>
      <c r="BK1607" s="901"/>
      <c r="BL1607" s="905"/>
      <c r="BM1607" s="901"/>
      <c r="BN1607" s="3652"/>
      <c r="BO1607" s="901"/>
      <c r="BP1607" s="901"/>
      <c r="BQ1607" s="905"/>
      <c r="BR1607" s="901"/>
      <c r="BS1607" s="3652"/>
      <c r="BT1607" s="901"/>
      <c r="BU1607" s="901"/>
      <c r="BV1607" s="905"/>
      <c r="BW1607" s="3652"/>
      <c r="BX1607" s="3652"/>
      <c r="BY1607" s="3652"/>
      <c r="BZ1607" s="3652"/>
      <c r="CA1607" s="905"/>
      <c r="CB1607" s="3652"/>
      <c r="CC1607" s="901"/>
      <c r="CD1607" s="3652"/>
      <c r="CE1607" s="3652"/>
      <c r="CF1607" s="905"/>
      <c r="CG1607" s="3652"/>
      <c r="CH1607" s="3652"/>
      <c r="CI1607" s="3652"/>
      <c r="CJ1607" s="3652"/>
      <c r="CK1607" s="905"/>
      <c r="CL1607" s="1016"/>
      <c r="CM1607" s="901"/>
      <c r="CN1607" s="901"/>
      <c r="CO1607" s="3652"/>
      <c r="CP1607" s="3667"/>
      <c r="CQ1607" s="901"/>
      <c r="CR1607" s="901"/>
      <c r="CS1607" s="901"/>
      <c r="CT1607" s="1017"/>
      <c r="CU1607" s="3667"/>
      <c r="CV1607" s="901"/>
      <c r="CW1607" s="901"/>
      <c r="CX1607" s="901"/>
      <c r="CY1607" s="1017"/>
      <c r="CZ1607" s="3667"/>
      <c r="DA1607" s="3733"/>
      <c r="DB1607" s="3652"/>
      <c r="DC1607" s="3652"/>
      <c r="DD1607" s="3668"/>
      <c r="DE1607" s="3667"/>
      <c r="DF1607" s="3652"/>
      <c r="DG1607" s="3652"/>
      <c r="DH1607" s="3652"/>
      <c r="DI1607" s="3668"/>
      <c r="DJ1607" s="3667"/>
      <c r="DK1607" s="3652"/>
      <c r="DL1607" s="3652"/>
      <c r="DM1607" s="3652"/>
      <c r="DN1607" s="3668"/>
      <c r="DO1607" s="3667"/>
      <c r="DP1607" s="3652"/>
      <c r="DQ1607" s="3652"/>
      <c r="DR1607" s="3652"/>
      <c r="DS1607" s="3668"/>
      <c r="DT1607" s="3667"/>
      <c r="DU1607" s="3652"/>
      <c r="DV1607" s="3652"/>
      <c r="DW1607" s="3652"/>
      <c r="DX1607" s="3668"/>
      <c r="DY1607" s="3667"/>
      <c r="DZ1607" s="3652"/>
      <c r="EA1607" s="3652"/>
      <c r="EB1607" s="3652"/>
      <c r="EC1607" s="3668"/>
      <c r="ED1607" s="3667"/>
      <c r="EE1607" s="3733"/>
      <c r="EF1607" s="3652"/>
      <c r="EG1607" s="3652"/>
      <c r="EH1607" s="3668"/>
      <c r="EI1607" s="3733"/>
      <c r="EJ1607" s="3667"/>
      <c r="EK1607" s="3667"/>
      <c r="EL1607" s="3667"/>
      <c r="EM1607" s="3667"/>
      <c r="EN1607" s="3667"/>
      <c r="EO1607" s="3668"/>
      <c r="EP1607" s="3667"/>
      <c r="EQ1607" s="3667"/>
      <c r="ER1607" s="3667"/>
      <c r="ES1607" s="3667"/>
      <c r="ET1607" s="3667"/>
      <c r="EU1607" s="3667"/>
      <c r="EV1607" s="3667"/>
      <c r="EW1607" s="3667"/>
      <c r="EX1607" s="909"/>
    </row>
    <row r="1608" spans="1:154" outlineLevel="1">
      <c r="B1608" s="3666" t="s">
        <v>153</v>
      </c>
      <c r="C1608" s="3738">
        <v>1</v>
      </c>
      <c r="D1608" s="900"/>
      <c r="E1608" s="900"/>
      <c r="F1608" s="901"/>
      <c r="G1608" s="901"/>
      <c r="H1608" s="901"/>
      <c r="I1608" s="901"/>
      <c r="J1608" s="901"/>
      <c r="K1608" s="901"/>
      <c r="L1608" s="901"/>
      <c r="M1608" s="901"/>
      <c r="N1608" s="901"/>
      <c r="O1608" s="902"/>
      <c r="P1608" s="901"/>
      <c r="Q1608" s="901"/>
      <c r="R1608" s="901"/>
      <c r="S1608" s="901"/>
      <c r="T1608" s="902"/>
      <c r="U1608" s="901"/>
      <c r="V1608" s="901"/>
      <c r="W1608" s="901"/>
      <c r="X1608" s="905"/>
      <c r="Y1608" s="902"/>
      <c r="Z1608" s="901"/>
      <c r="AA1608" s="901"/>
      <c r="AB1608" s="901"/>
      <c r="AC1608" s="905"/>
      <c r="AD1608" s="902"/>
      <c r="AE1608" s="901"/>
      <c r="AF1608" s="901"/>
      <c r="AG1608" s="901"/>
      <c r="AH1608" s="905"/>
      <c r="AI1608" s="902"/>
      <c r="AJ1608" s="901"/>
      <c r="AK1608" s="901"/>
      <c r="AL1608" s="901"/>
      <c r="AM1608" s="905"/>
      <c r="AN1608" s="902"/>
      <c r="AO1608" s="901"/>
      <c r="AP1608" s="901"/>
      <c r="AQ1608" s="903"/>
      <c r="AR1608" s="905"/>
      <c r="AS1608" s="902"/>
      <c r="AT1608" s="901"/>
      <c r="AU1608" s="901"/>
      <c r="AV1608" s="901"/>
      <c r="AW1608" s="905"/>
      <c r="AX1608" s="902"/>
      <c r="AY1608" s="901"/>
      <c r="AZ1608" s="901"/>
      <c r="BA1608" s="901"/>
      <c r="BB1608" s="905"/>
      <c r="BC1608" s="902"/>
      <c r="BD1608" s="901"/>
      <c r="BE1608" s="901"/>
      <c r="BF1608" s="901"/>
      <c r="BG1608" s="905"/>
      <c r="BH1608" s="902"/>
      <c r="BI1608" s="901"/>
      <c r="BJ1608" s="901"/>
      <c r="BK1608" s="901"/>
      <c r="BL1608" s="905"/>
      <c r="BM1608" s="901"/>
      <c r="BN1608" s="901"/>
      <c r="BO1608" s="901"/>
      <c r="BP1608" s="901"/>
      <c r="BQ1608" s="905"/>
      <c r="BR1608" s="901"/>
      <c r="BS1608" s="901"/>
      <c r="BT1608" s="901"/>
      <c r="BU1608" s="901"/>
      <c r="BV1608" s="905"/>
      <c r="BW1608" s="901"/>
      <c r="BX1608" s="901"/>
      <c r="BY1608" s="901"/>
      <c r="BZ1608" s="901"/>
      <c r="CA1608" s="905"/>
      <c r="CB1608" s="901"/>
      <c r="CC1608" s="901"/>
      <c r="CD1608" s="901"/>
      <c r="CE1608" s="901"/>
      <c r="CF1608" s="905"/>
      <c r="CG1608" s="901"/>
      <c r="CH1608" s="901"/>
      <c r="CI1608" s="901"/>
      <c r="CJ1608" s="901"/>
      <c r="CK1608" s="905"/>
      <c r="CL1608" s="1016"/>
      <c r="CM1608" s="901"/>
      <c r="CN1608" s="901"/>
      <c r="CO1608" s="901"/>
      <c r="CP1608" s="905">
        <f>$C1608*CP1603</f>
      </c>
      <c r="CQ1608" s="901"/>
      <c r="CR1608" s="901"/>
      <c r="CS1608" s="901"/>
      <c r="CT1608" s="1017"/>
      <c r="CU1608" s="905">
        <f>$C1608*CU1603</f>
      </c>
      <c r="CV1608" s="901"/>
      <c r="CW1608" s="901"/>
      <c r="CX1608" s="901"/>
      <c r="CY1608" s="1017"/>
      <c r="CZ1608" s="905">
        <f>$C1608*CZ1603</f>
      </c>
      <c r="DA1608" s="901">
        <f>$C1608*DA1603</f>
      </c>
      <c r="DB1608" s="901">
        <f>$C1608*DB1603</f>
      </c>
      <c r="DC1608" s="901">
        <f>$C1608*DC1603</f>
      </c>
      <c r="DD1608" s="1017">
        <f>$C1608*DD1603</f>
      </c>
      <c r="DE1608" s="905"/>
      <c r="DF1608" s="901"/>
      <c r="DG1608" s="901"/>
      <c r="DH1608" s="901"/>
      <c r="DI1608" s="1017"/>
      <c r="DJ1608" s="905"/>
      <c r="DK1608" s="1016"/>
      <c r="DL1608" s="901"/>
      <c r="DM1608" s="901"/>
      <c r="DN1608" s="1017"/>
      <c r="DO1608" s="905"/>
      <c r="DP1608" s="901">
        <f t="shared" ref="DP1608:EI1609" si="3014">$C1608*DP1603</f>
      </c>
      <c r="DQ1608" s="901">
        <f t="shared" si="3014"/>
      </c>
      <c r="DR1608" s="901">
        <f t="shared" si="3014"/>
      </c>
      <c r="DS1608" s="1017">
        <f t="shared" si="3014"/>
      </c>
      <c r="DT1608" s="905">
        <f t="shared" si="3014"/>
      </c>
      <c r="DU1608" s="901">
        <f t="shared" si="3014"/>
      </c>
      <c r="DV1608" s="901">
        <f t="shared" si="3014"/>
      </c>
      <c r="DW1608" s="901">
        <f t="shared" si="3014"/>
      </c>
      <c r="DX1608" s="1017">
        <f t="shared" si="3014"/>
      </c>
      <c r="DY1608" s="905">
        <f t="shared" si="3014"/>
      </c>
      <c r="DZ1608" s="901">
        <f t="shared" si="3014"/>
      </c>
      <c r="EA1608" s="901">
        <f t="shared" si="3014"/>
      </c>
      <c r="EB1608" s="901">
        <f t="shared" si="3014"/>
      </c>
      <c r="EC1608" s="1017">
        <f t="shared" si="3014"/>
      </c>
      <c r="ED1608" s="905">
        <f t="shared" si="3014"/>
      </c>
      <c r="EE1608" s="1016">
        <f t="shared" si="3014"/>
      </c>
      <c r="EF1608" s="901">
        <f t="shared" si="3014"/>
      </c>
      <c r="EG1608" s="901">
        <f t="shared" si="3014"/>
      </c>
      <c r="EH1608" s="1017">
        <f t="shared" si="3014"/>
      </c>
      <c r="EI1608" s="1016">
        <f t="shared" si="3014"/>
      </c>
      <c r="EJ1608" s="905">
        <f t="shared" ref="EJ1608:ER1608" si="3015">$C1608*EJ1603</f>
      </c>
      <c r="EK1608" s="905">
        <f t="shared" si="3015"/>
      </c>
      <c r="EL1608" s="905">
        <f t="shared" si="3015"/>
      </c>
      <c r="EM1608" s="905">
        <f t="shared" si="3015"/>
      </c>
      <c r="EN1608" s="905">
        <f t="shared" si="3015"/>
      </c>
      <c r="EO1608" s="1017">
        <f t="shared" si="3015"/>
      </c>
      <c r="EP1608" s="905">
        <f t="shared" si="3015"/>
      </c>
      <c r="EQ1608" s="905">
        <f t="shared" si="3015"/>
      </c>
      <c r="ER1608" s="905">
        <f t="shared" si="3015"/>
      </c>
      <c r="ES1608" s="905"/>
      <c r="ET1608" s="905"/>
      <c r="EU1608" s="905"/>
      <c r="EV1608" s="905"/>
      <c r="EW1608" s="905"/>
      <c r="EX1608" s="899"/>
    </row>
    <row r="1609" spans="1:154" outlineLevel="1">
      <c r="B1609" s="3666" t="s">
        <v>235</v>
      </c>
      <c r="C1609" s="3738">
        <v>1</v>
      </c>
      <c r="D1609" s="900"/>
      <c r="E1609" s="900"/>
      <c r="F1609" s="901"/>
      <c r="G1609" s="901"/>
      <c r="H1609" s="901"/>
      <c r="I1609" s="901"/>
      <c r="J1609" s="901"/>
      <c r="K1609" s="901"/>
      <c r="L1609" s="901"/>
      <c r="M1609" s="901"/>
      <c r="N1609" s="901"/>
      <c r="O1609" s="902"/>
      <c r="P1609" s="901"/>
      <c r="Q1609" s="901"/>
      <c r="R1609" s="901"/>
      <c r="S1609" s="901"/>
      <c r="T1609" s="902"/>
      <c r="U1609" s="901"/>
      <c r="V1609" s="901"/>
      <c r="W1609" s="901"/>
      <c r="X1609" s="904"/>
      <c r="Y1609" s="902"/>
      <c r="Z1609" s="901"/>
      <c r="AA1609" s="901"/>
      <c r="AB1609" s="901"/>
      <c r="AC1609" s="904"/>
      <c r="AD1609" s="902"/>
      <c r="AE1609" s="901"/>
      <c r="AF1609" s="901"/>
      <c r="AG1609" s="901"/>
      <c r="AH1609" s="904"/>
      <c r="AI1609" s="902"/>
      <c r="AJ1609" s="901"/>
      <c r="AK1609" s="901"/>
      <c r="AL1609" s="901"/>
      <c r="AM1609" s="904"/>
      <c r="AN1609" s="902"/>
      <c r="AO1609" s="901"/>
      <c r="AP1609" s="901"/>
      <c r="AQ1609" s="903"/>
      <c r="AR1609" s="904"/>
      <c r="AS1609" s="902"/>
      <c r="AT1609" s="901"/>
      <c r="AU1609" s="901"/>
      <c r="AV1609" s="901"/>
      <c r="AW1609" s="904"/>
      <c r="AX1609" s="902"/>
      <c r="AY1609" s="901"/>
      <c r="AZ1609" s="901"/>
      <c r="BA1609" s="901"/>
      <c r="BB1609" s="904"/>
      <c r="BC1609" s="902"/>
      <c r="BD1609" s="901"/>
      <c r="BE1609" s="901"/>
      <c r="BF1609" s="901"/>
      <c r="BG1609" s="904"/>
      <c r="BH1609" s="902"/>
      <c r="BI1609" s="901"/>
      <c r="BJ1609" s="901"/>
      <c r="BK1609" s="901"/>
      <c r="BL1609" s="904"/>
      <c r="BM1609" s="901"/>
      <c r="BN1609" s="901"/>
      <c r="BO1609" s="901"/>
      <c r="BP1609" s="901"/>
      <c r="BQ1609" s="904"/>
      <c r="BR1609" s="901"/>
      <c r="BS1609" s="901"/>
      <c r="BT1609" s="901"/>
      <c r="BU1609" s="901"/>
      <c r="BV1609" s="904"/>
      <c r="BW1609" s="901"/>
      <c r="BX1609" s="901"/>
      <c r="BY1609" s="901"/>
      <c r="BZ1609" s="901"/>
      <c r="CA1609" s="904"/>
      <c r="CB1609" s="901"/>
      <c r="CC1609" s="901"/>
      <c r="CD1609" s="901"/>
      <c r="CE1609" s="901"/>
      <c r="CF1609" s="904"/>
      <c r="CG1609" s="901"/>
      <c r="CH1609" s="901"/>
      <c r="CI1609" s="901"/>
      <c r="CJ1609" s="901"/>
      <c r="CK1609" s="905"/>
      <c r="CL1609" s="1016"/>
      <c r="CM1609" s="901"/>
      <c r="CN1609" s="901"/>
      <c r="CO1609" s="901"/>
      <c r="CP1609" s="905">
        <f>$C1609*CP1604</f>
      </c>
      <c r="CQ1609" s="901"/>
      <c r="CR1609" s="901"/>
      <c r="CS1609" s="901"/>
      <c r="CT1609" s="1017"/>
      <c r="CU1609" s="905">
        <f>$C1609*CU1604</f>
      </c>
      <c r="CV1609" s="901"/>
      <c r="CW1609" s="901"/>
      <c r="CX1609" s="901"/>
      <c r="CY1609" s="1017"/>
      <c r="CZ1609" s="905">
        <f t="shared" ref="CZ1609:EI1609" si="3016">$C1609*CZ1604</f>
      </c>
      <c r="DA1609" s="901">
        <f t="shared" si="3016"/>
      </c>
      <c r="DB1609" s="901">
        <f t="shared" si="3016"/>
      </c>
      <c r="DC1609" s="901">
        <f t="shared" si="3016"/>
      </c>
      <c r="DD1609" s="1017">
        <f t="shared" si="3016"/>
      </c>
      <c r="DE1609" s="905"/>
      <c r="DF1609" s="901"/>
      <c r="DG1609" s="901"/>
      <c r="DH1609" s="901"/>
      <c r="DI1609" s="1017"/>
      <c r="DJ1609" s="905"/>
      <c r="DK1609" s="1016"/>
      <c r="DL1609" s="901"/>
      <c r="DM1609" s="901"/>
      <c r="DN1609" s="1017"/>
      <c r="DO1609" s="905"/>
      <c r="DP1609" s="901">
        <f t="shared" si="3016"/>
      </c>
      <c r="DQ1609" s="901">
        <f t="shared" si="3016"/>
      </c>
      <c r="DR1609" s="901">
        <f t="shared" si="3016"/>
      </c>
      <c r="DS1609" s="1017">
        <f t="shared" si="3016"/>
      </c>
      <c r="DT1609" s="905">
        <f t="shared" si="3016"/>
      </c>
      <c r="DU1609" s="901">
        <f>$C1609*DU1604</f>
      </c>
      <c r="DV1609" s="901">
        <f>$C1609*DV1604</f>
      </c>
      <c r="DW1609" s="901">
        <f>$C1609*DW1604</f>
      </c>
      <c r="DX1609" s="1017">
        <f>$C1609*DX1604</f>
      </c>
      <c r="DY1609" s="905">
        <f t="shared" si="3016"/>
      </c>
      <c r="DZ1609" s="901">
        <f>$C1609*DZ1604</f>
      </c>
      <c r="EA1609" s="901">
        <f t="shared" si="3014"/>
      </c>
      <c r="EB1609" s="901">
        <f t="shared" si="3014"/>
      </c>
      <c r="EC1609" s="1017">
        <f t="shared" si="3014"/>
      </c>
      <c r="ED1609" s="905">
        <f t="shared" si="3014"/>
      </c>
      <c r="EE1609" s="1016">
        <f t="shared" si="3014"/>
      </c>
      <c r="EF1609" s="901">
        <f t="shared" si="3014"/>
      </c>
      <c r="EG1609" s="901">
        <f t="shared" si="3014"/>
      </c>
      <c r="EH1609" s="1017">
        <f t="shared" si="3014"/>
      </c>
      <c r="EI1609" s="1016">
        <f t="shared" si="3016"/>
      </c>
      <c r="EJ1609" s="905">
        <f t="shared" ref="EJ1609:ER1609" si="3017">$C1609*EJ1604</f>
      </c>
      <c r="EK1609" s="905">
        <f t="shared" si="3017"/>
      </c>
      <c r="EL1609" s="905">
        <f t="shared" si="3017"/>
      </c>
      <c r="EM1609" s="905">
        <f t="shared" si="3017"/>
      </c>
      <c r="EN1609" s="905">
        <f t="shared" si="3017"/>
      </c>
      <c r="EO1609" s="1017">
        <f t="shared" si="3017"/>
      </c>
      <c r="EP1609" s="905">
        <f t="shared" si="3017"/>
      </c>
      <c r="EQ1609" s="905">
        <f t="shared" si="3017"/>
      </c>
      <c r="ER1609" s="905">
        <f t="shared" si="3017"/>
      </c>
      <c r="ES1609" s="905"/>
      <c r="ET1609" s="905"/>
      <c r="EU1609" s="905"/>
      <c r="EV1609" s="905"/>
      <c r="EW1609" s="905"/>
      <c r="EX1609" s="899"/>
    </row>
    <row r="1610" spans="1:154" outlineLevel="1">
      <c r="A1610" s="3275" t="s">
        <v>652</v>
      </c>
      <c r="B1610" s="3666" t="s">
        <v>188</v>
      </c>
      <c r="C1610" s="2026"/>
      <c r="D1610" s="900"/>
      <c r="E1610" s="900"/>
      <c r="F1610" s="901"/>
      <c r="G1610" s="901"/>
      <c r="H1610" s="901"/>
      <c r="I1610" s="901"/>
      <c r="J1610" s="901"/>
      <c r="K1610" s="901"/>
      <c r="L1610" s="901"/>
      <c r="M1610" s="901"/>
      <c r="N1610" s="901"/>
      <c r="O1610" s="902"/>
      <c r="P1610" s="901"/>
      <c r="Q1610" s="901"/>
      <c r="R1610" s="901"/>
      <c r="S1610" s="901"/>
      <c r="T1610" s="902"/>
      <c r="U1610" s="901"/>
      <c r="V1610" s="901"/>
      <c r="W1610" s="901"/>
      <c r="X1610" s="905"/>
      <c r="Y1610" s="902"/>
      <c r="Z1610" s="901"/>
      <c r="AA1610" s="901"/>
      <c r="AB1610" s="901"/>
      <c r="AC1610" s="905"/>
      <c r="AD1610" s="902"/>
      <c r="AE1610" s="901"/>
      <c r="AF1610" s="901"/>
      <c r="AG1610" s="901"/>
      <c r="AH1610" s="905"/>
      <c r="AI1610" s="902"/>
      <c r="AJ1610" s="901"/>
      <c r="AK1610" s="901"/>
      <c r="AL1610" s="901"/>
      <c r="AM1610" s="905"/>
      <c r="AN1610" s="902"/>
      <c r="AO1610" s="901"/>
      <c r="AP1610" s="901"/>
      <c r="AQ1610" s="903"/>
      <c r="AR1610" s="905"/>
      <c r="AS1610" s="902"/>
      <c r="AT1610" s="901"/>
      <c r="AU1610" s="901"/>
      <c r="AV1610" s="901"/>
      <c r="AW1610" s="905"/>
      <c r="AX1610" s="902"/>
      <c r="AY1610" s="901"/>
      <c r="AZ1610" s="901"/>
      <c r="BA1610" s="901"/>
      <c r="BB1610" s="905"/>
      <c r="BC1610" s="902"/>
      <c r="BD1610" s="901"/>
      <c r="BE1610" s="901"/>
      <c r="BF1610" s="901"/>
      <c r="BG1610" s="905"/>
      <c r="BH1610" s="902"/>
      <c r="BI1610" s="901"/>
      <c r="BJ1610" s="901"/>
      <c r="BK1610" s="901"/>
      <c r="BL1610" s="905"/>
      <c r="BM1610" s="901"/>
      <c r="BN1610" s="901"/>
      <c r="BO1610" s="901"/>
      <c r="BP1610" s="901"/>
      <c r="BQ1610" s="905"/>
      <c r="BR1610" s="901"/>
      <c r="BS1610" s="901"/>
      <c r="BT1610" s="901"/>
      <c r="BU1610" s="901"/>
      <c r="BV1610" s="905"/>
      <c r="BW1610" s="3652"/>
      <c r="BX1610" s="901"/>
      <c r="BY1610" s="901"/>
      <c r="BZ1610" s="901"/>
      <c r="CA1610" s="905"/>
      <c r="CB1610" s="901"/>
      <c r="CC1610" s="901"/>
      <c r="CD1610" s="901"/>
      <c r="CE1610" s="901"/>
      <c r="CF1610" s="905"/>
      <c r="CG1610" s="901"/>
      <c r="CH1610" s="901"/>
      <c r="CI1610" s="901"/>
      <c r="CJ1610" s="901"/>
      <c r="CK1610" s="905"/>
      <c r="CL1610" s="1016"/>
      <c r="CM1610" s="901"/>
      <c r="CN1610" s="901"/>
      <c r="CO1610" s="901"/>
      <c r="CP1610" s="905">
        <f>CP1608+CP1609</f>
      </c>
      <c r="CQ1610" s="901"/>
      <c r="CR1610" s="901"/>
      <c r="CS1610" s="901"/>
      <c r="CT1610" s="1017"/>
      <c r="CU1610" s="905">
        <f>CU1608+CU1609</f>
      </c>
      <c r="CV1610" s="901"/>
      <c r="CW1610" s="901"/>
      <c r="CX1610" s="901"/>
      <c r="CY1610" s="1017"/>
      <c r="CZ1610" s="905">
        <f t="shared" ref="CZ1610:EI1610" si="3018">CZ1608+CZ1609</f>
      </c>
      <c r="DA1610" s="901">
        <f t="shared" si="3018"/>
      </c>
      <c r="DB1610" s="901">
        <f t="shared" si="3018"/>
      </c>
      <c r="DC1610" s="901">
        <f t="shared" si="3018"/>
      </c>
      <c r="DD1610" s="1017">
        <f t="shared" si="3018"/>
      </c>
      <c r="DE1610" s="905"/>
      <c r="DF1610" s="901"/>
      <c r="DG1610" s="901"/>
      <c r="DH1610" s="901"/>
      <c r="DI1610" s="1017"/>
      <c r="DJ1610" s="905"/>
      <c r="DK1610" s="1016"/>
      <c r="DL1610" s="901"/>
      <c r="DM1610" s="901"/>
      <c r="DN1610" s="1017"/>
      <c r="DO1610" s="905"/>
      <c r="DP1610" s="901">
        <f t="shared" si="3018"/>
      </c>
      <c r="DQ1610" s="901">
        <f t="shared" si="3018"/>
      </c>
      <c r="DR1610" s="901">
        <f t="shared" si="3018"/>
      </c>
      <c r="DS1610" s="1017">
        <f t="shared" si="3018"/>
      </c>
      <c r="DT1610" s="905">
        <f t="shared" si="3018"/>
      </c>
      <c r="DU1610" s="901">
        <f t="shared" si="3018"/>
      </c>
      <c r="DV1610" s="901">
        <f t="shared" si="3018"/>
      </c>
      <c r="DW1610" s="901">
        <f t="shared" si="3018"/>
      </c>
      <c r="DX1610" s="1017">
        <f t="shared" si="3018"/>
      </c>
      <c r="DY1610" s="905">
        <f t="shared" si="3018"/>
      </c>
      <c r="DZ1610" s="901">
        <f t="shared" si="3018"/>
      </c>
      <c r="EA1610" s="901">
        <f>EA1608+EA1609</f>
      </c>
      <c r="EB1610" s="901">
        <f>EB1608+EB1609</f>
      </c>
      <c r="EC1610" s="1017">
        <f>EC1608+EC1609</f>
      </c>
      <c r="ED1610" s="905">
        <f t="shared" ref="ED1610" si="3019">ED1608+ED1609</f>
      </c>
      <c r="EE1610" s="1016">
        <f>EE1608+EE1609</f>
      </c>
      <c r="EF1610" s="901">
        <f>EF1608+EF1609</f>
      </c>
      <c r="EG1610" s="901">
        <f>EG1608+EG1609</f>
      </c>
      <c r="EH1610" s="1017">
        <f>EH1608+EH1609</f>
      </c>
      <c r="EI1610" s="1016">
        <f t="shared" si="3018"/>
      </c>
      <c r="EJ1610" s="905">
        <f t="shared" ref="EJ1610:ER1610" si="3020">EJ1608+EJ1609</f>
      </c>
      <c r="EK1610" s="905">
        <f t="shared" si="3020"/>
      </c>
      <c r="EL1610" s="905">
        <f t="shared" si="3020"/>
      </c>
      <c r="EM1610" s="905">
        <f t="shared" si="3020"/>
      </c>
      <c r="EN1610" s="905">
        <f t="shared" si="3020"/>
      </c>
      <c r="EO1610" s="1017">
        <f t="shared" si="3020"/>
      </c>
      <c r="EP1610" s="905">
        <f t="shared" si="3020"/>
      </c>
      <c r="EQ1610" s="905">
        <f t="shared" si="3020"/>
      </c>
      <c r="ER1610" s="905">
        <f t="shared" si="3020"/>
      </c>
      <c r="ES1610" s="905"/>
      <c r="ET1610" s="905"/>
      <c r="EU1610" s="905"/>
      <c r="EV1610" s="905"/>
      <c r="EW1610" s="905"/>
      <c r="EX1610" s="899"/>
    </row>
    <row r="1611" spans="1:154" ht="12.75" customHeight="1" outlineLevel="1">
      <c r="B1611" s="336" t="s">
        <v>1019</v>
      </c>
      <c r="C1611" s="1392"/>
      <c r="D1611" s="894"/>
      <c r="E1611" s="894"/>
      <c r="F1611" s="895"/>
      <c r="G1611" s="895"/>
      <c r="H1611" s="895"/>
      <c r="I1611" s="895"/>
      <c r="J1611" s="895"/>
      <c r="K1611" s="895"/>
      <c r="L1611" s="895"/>
      <c r="M1611" s="895"/>
      <c r="N1611" s="895"/>
      <c r="O1611" s="896"/>
      <c r="P1611" s="895"/>
      <c r="Q1611" s="895"/>
      <c r="R1611" s="895"/>
      <c r="S1611" s="895"/>
      <c r="T1611" s="896"/>
      <c r="U1611" s="895"/>
      <c r="V1611" s="895"/>
      <c r="W1611" s="895"/>
      <c r="X1611" s="899"/>
      <c r="Y1611" s="896"/>
      <c r="Z1611" s="895"/>
      <c r="AA1611" s="895"/>
      <c r="AB1611" s="895"/>
      <c r="AC1611" s="899"/>
      <c r="AD1611" s="896"/>
      <c r="AE1611" s="895"/>
      <c r="AF1611" s="895"/>
      <c r="AG1611" s="895"/>
      <c r="AH1611" s="899"/>
      <c r="AI1611" s="896"/>
      <c r="AJ1611" s="895"/>
      <c r="AK1611" s="895"/>
      <c r="AL1611" s="895"/>
      <c r="AM1611" s="899"/>
      <c r="AN1611" s="896"/>
      <c r="AO1611" s="895"/>
      <c r="AP1611" s="895"/>
      <c r="AQ1611" s="897"/>
      <c r="AR1611" s="899"/>
      <c r="AS1611" s="896"/>
      <c r="AT1611" s="895"/>
      <c r="AU1611" s="895"/>
      <c r="AV1611" s="895"/>
      <c r="AW1611" s="899"/>
      <c r="AX1611" s="896"/>
      <c r="AY1611" s="895"/>
      <c r="AZ1611" s="895"/>
      <c r="BA1611" s="895"/>
      <c r="BB1611" s="899"/>
      <c r="BC1611" s="896"/>
      <c r="BD1611" s="895"/>
      <c r="BE1611" s="895"/>
      <c r="BF1611" s="895"/>
      <c r="BG1611" s="899"/>
      <c r="BH1611" s="896"/>
      <c r="BI1611" s="895"/>
      <c r="BJ1611" s="895"/>
      <c r="BK1611" s="895"/>
      <c r="BL1611" s="899"/>
      <c r="BM1611" s="895"/>
      <c r="BN1611" s="895"/>
      <c r="BO1611" s="895"/>
      <c r="BP1611" s="895"/>
      <c r="BQ1611" s="899"/>
      <c r="BR1611" s="895"/>
      <c r="BS1611" s="895"/>
      <c r="BT1611" s="895"/>
      <c r="BU1611" s="895"/>
      <c r="BV1611" s="899"/>
      <c r="BW1611" s="895"/>
      <c r="BX1611" s="895"/>
      <c r="BY1611" s="895"/>
      <c r="BZ1611" s="895"/>
      <c r="CA1611" s="899"/>
      <c r="CB1611" s="895"/>
      <c r="CC1611" s="895"/>
      <c r="CD1611" s="895"/>
      <c r="CE1611" s="895"/>
      <c r="CF1611" s="899"/>
      <c r="CG1611" s="895"/>
      <c r="CH1611" s="895"/>
      <c r="CI1611" s="895"/>
      <c r="CJ1611" s="895"/>
      <c r="CK1611" s="899"/>
      <c r="CL1611" s="1015"/>
      <c r="CM1611" s="895"/>
      <c r="CN1611" s="895"/>
      <c r="CO1611" s="895"/>
      <c r="CP1611" s="899"/>
      <c r="CQ1611" s="895"/>
      <c r="CR1611" s="895"/>
      <c r="CS1611" s="895"/>
      <c r="CT1611" s="915"/>
      <c r="CU1611" s="899"/>
      <c r="CV1611" s="895"/>
      <c r="CW1611" s="895"/>
      <c r="CX1611" s="895"/>
      <c r="CY1611" s="915"/>
      <c r="CZ1611" s="899"/>
      <c r="DA1611" s="1015"/>
      <c r="DB1611" s="1509"/>
      <c r="DC1611" s="895"/>
      <c r="DD1611" s="915"/>
      <c r="DE1611" s="899"/>
      <c r="DF1611" s="895"/>
      <c r="DG1611" s="895"/>
      <c r="DH1611" s="895"/>
      <c r="DI1611" s="915"/>
      <c r="DJ1611" s="899"/>
      <c r="DK1611" s="895"/>
      <c r="DL1611" s="895"/>
      <c r="DM1611" s="895"/>
      <c r="DN1611" s="915"/>
      <c r="DO1611" s="899"/>
      <c r="DP1611" s="895"/>
      <c r="DQ1611" s="895"/>
      <c r="DR1611" s="895"/>
      <c r="DS1611" s="915"/>
      <c r="DT1611" s="1587"/>
      <c r="DU1611" s="895"/>
      <c r="DV1611" s="895"/>
      <c r="DW1611" s="895"/>
      <c r="DX1611" s="915"/>
      <c r="DY1611" s="899"/>
      <c r="DZ1611" s="895"/>
      <c r="EA1611" s="895"/>
      <c r="EB1611" s="895"/>
      <c r="EC1611" s="915"/>
      <c r="ED1611" s="899"/>
      <c r="EE1611" s="1015"/>
      <c r="EF1611" s="895"/>
      <c r="EG1611" s="895"/>
      <c r="EH1611" s="915"/>
      <c r="EI1611" s="1015"/>
      <c r="EJ1611" s="899"/>
      <c r="EK1611" s="899"/>
      <c r="EL1611" s="899"/>
      <c r="EM1611" s="899"/>
      <c r="EN1611" s="899"/>
      <c r="EO1611" s="915"/>
      <c r="EP1611" s="899"/>
      <c r="EQ1611" s="899"/>
      <c r="ER1611" s="899"/>
      <c r="ES1611" s="899"/>
      <c r="ET1611" s="899"/>
      <c r="EU1611" s="899"/>
      <c r="EV1611" s="899"/>
      <c r="EW1611" s="899"/>
      <c r="EX1611" s="899"/>
    </row>
    <row r="1612" spans="1:154" ht="12.75" customHeight="1" outlineLevel="1">
      <c r="B1612" s="3657" t="s">
        <v>643</v>
      </c>
      <c r="C1612" s="2026" t="s">
        <v>645</v>
      </c>
      <c r="D1612" s="900"/>
      <c r="E1612" s="900"/>
      <c r="F1612" s="901"/>
      <c r="G1612" s="901"/>
      <c r="H1612" s="901"/>
      <c r="I1612" s="901"/>
      <c r="J1612" s="901"/>
      <c r="K1612" s="901"/>
      <c r="L1612" s="901"/>
      <c r="M1612" s="901"/>
      <c r="N1612" s="901"/>
      <c r="O1612" s="902"/>
      <c r="P1612" s="901"/>
      <c r="Q1612" s="901"/>
      <c r="R1612" s="901"/>
      <c r="S1612" s="901"/>
      <c r="T1612" s="902"/>
      <c r="U1612" s="901"/>
      <c r="V1612" s="901"/>
      <c r="W1612" s="901"/>
      <c r="X1612" s="904"/>
      <c r="Y1612" s="902"/>
      <c r="Z1612" s="901"/>
      <c r="AA1612" s="901"/>
      <c r="AB1612" s="901"/>
      <c r="AC1612" s="904"/>
      <c r="AD1612" s="902"/>
      <c r="AE1612" s="901"/>
      <c r="AF1612" s="901"/>
      <c r="AG1612" s="901"/>
      <c r="AH1612" s="904"/>
      <c r="AI1612" s="902"/>
      <c r="AJ1612" s="901"/>
      <c r="AK1612" s="901"/>
      <c r="AL1612" s="901"/>
      <c r="AM1612" s="904"/>
      <c r="AN1612" s="902"/>
      <c r="AO1612" s="901"/>
      <c r="AP1612" s="901"/>
      <c r="AQ1612" s="903"/>
      <c r="AR1612" s="904"/>
      <c r="AS1612" s="902"/>
      <c r="AT1612" s="901"/>
      <c r="AU1612" s="901"/>
      <c r="AV1612" s="901"/>
      <c r="AW1612" s="904"/>
      <c r="AX1612" s="902"/>
      <c r="AY1612" s="901"/>
      <c r="AZ1612" s="901"/>
      <c r="BA1612" s="901"/>
      <c r="BB1612" s="904"/>
      <c r="BC1612" s="902"/>
      <c r="BD1612" s="901"/>
      <c r="BE1612" s="901"/>
      <c r="BF1612" s="901"/>
      <c r="BG1612" s="904"/>
      <c r="BH1612" s="902"/>
      <c r="BI1612" s="901"/>
      <c r="BJ1612" s="901"/>
      <c r="BK1612" s="901"/>
      <c r="BL1612" s="904"/>
      <c r="BM1612" s="901"/>
      <c r="BN1612" s="901"/>
      <c r="BO1612" s="901"/>
      <c r="BP1612" s="901"/>
      <c r="BQ1612" s="904"/>
      <c r="BR1612" s="901"/>
      <c r="BS1612" s="901"/>
      <c r="BT1612" s="901"/>
      <c r="BU1612" s="901"/>
      <c r="BV1612" s="904"/>
      <c r="BW1612" s="901"/>
      <c r="BX1612" s="901"/>
      <c r="BY1612" s="901"/>
      <c r="BZ1612" s="901"/>
      <c r="CA1612" s="904"/>
      <c r="CB1612" s="901"/>
      <c r="CC1612" s="901"/>
      <c r="CD1612" s="901"/>
      <c r="CE1612" s="901"/>
      <c r="CF1612" s="904"/>
      <c r="CG1612" s="901"/>
      <c r="CH1612" s="901"/>
      <c r="CI1612" s="901"/>
      <c r="CJ1612" s="901"/>
      <c r="CK1612" s="905"/>
      <c r="CL1612" s="1016"/>
      <c r="CM1612" s="901"/>
      <c r="CN1612" s="901"/>
      <c r="CO1612" s="901"/>
      <c r="CP1612" s="905"/>
      <c r="CQ1612" s="901"/>
      <c r="CR1612" s="901"/>
      <c r="CS1612" s="901"/>
      <c r="CT1612" s="1017"/>
      <c r="CU1612" s="905"/>
      <c r="CV1612" s="901"/>
      <c r="CW1612" s="901"/>
      <c r="CX1612" s="901"/>
      <c r="CY1612" s="1017"/>
      <c r="CZ1612" s="905"/>
      <c r="DA1612" s="1016"/>
      <c r="DB1612" s="901"/>
      <c r="DC1612" s="901"/>
      <c r="DD1612" s="1017"/>
      <c r="DE1612" s="905"/>
      <c r="DF1612" s="901"/>
      <c r="DG1612" s="901"/>
      <c r="DH1612" s="901"/>
      <c r="DI1612" s="1017"/>
      <c r="DJ1612" s="905"/>
      <c r="DK1612" s="901"/>
      <c r="DL1612" s="901"/>
      <c r="DM1612" s="901"/>
      <c r="DN1612" s="1017"/>
      <c r="DO1612" s="905"/>
      <c r="DP1612" s="901"/>
      <c r="DQ1612" s="901"/>
      <c r="DR1612" s="901"/>
      <c r="DS1612" s="1017"/>
      <c r="DT1612" s="905"/>
      <c r="DU1612" s="901"/>
      <c r="DV1612" s="901"/>
      <c r="DW1612" s="901"/>
      <c r="DX1612" s="1017"/>
      <c r="DY1612" s="905"/>
      <c r="DZ1612" s="901"/>
      <c r="EA1612" s="901"/>
      <c r="EB1612" s="901"/>
      <c r="EC1612" s="1017"/>
      <c r="ED1612" s="905"/>
      <c r="EE1612" s="1016"/>
      <c r="EF1612" s="901"/>
      <c r="EG1612" s="901"/>
      <c r="EH1612" s="1017"/>
      <c r="EI1612" s="1016"/>
      <c r="EJ1612" s="905"/>
      <c r="EK1612" s="905"/>
      <c r="EL1612" s="905"/>
      <c r="EM1612" s="905"/>
      <c r="EN1612" s="905"/>
      <c r="EO1612" s="1017"/>
      <c r="EP1612" s="905"/>
      <c r="EQ1612" s="905"/>
      <c r="ER1612" s="905"/>
      <c r="ES1612" s="905"/>
      <c r="ET1612" s="905"/>
      <c r="EU1612" s="905"/>
      <c r="EV1612" s="905"/>
      <c r="EW1612" s="905"/>
      <c r="EX1612" s="899"/>
    </row>
    <row r="1613" spans="1:154" ht="12.75" customHeight="1" outlineLevel="1">
      <c r="B1613" s="3666" t="s">
        <v>153</v>
      </c>
      <c r="C1613" s="2026" t="s">
        <v>644</v>
      </c>
      <c r="D1613" s="900"/>
      <c r="E1613" s="900"/>
      <c r="F1613" s="901"/>
      <c r="G1613" s="901"/>
      <c r="H1613" s="901"/>
      <c r="I1613" s="901"/>
      <c r="J1613" s="901"/>
      <c r="K1613" s="901"/>
      <c r="L1613" s="901"/>
      <c r="M1613" s="901"/>
      <c r="N1613" s="901"/>
      <c r="O1613" s="902"/>
      <c r="P1613" s="901"/>
      <c r="Q1613" s="901"/>
      <c r="R1613" s="901"/>
      <c r="S1613" s="901"/>
      <c r="T1613" s="902"/>
      <c r="U1613" s="901"/>
      <c r="V1613" s="901"/>
      <c r="W1613" s="901"/>
      <c r="X1613" s="905"/>
      <c r="Y1613" s="902"/>
      <c r="Z1613" s="901"/>
      <c r="AA1613" s="901"/>
      <c r="AB1613" s="901"/>
      <c r="AC1613" s="905"/>
      <c r="AD1613" s="902"/>
      <c r="AE1613" s="901"/>
      <c r="AF1613" s="901"/>
      <c r="AG1613" s="901"/>
      <c r="AH1613" s="905"/>
      <c r="AI1613" s="902"/>
      <c r="AJ1613" s="901"/>
      <c r="AK1613" s="901"/>
      <c r="AL1613" s="901"/>
      <c r="AM1613" s="905"/>
      <c r="AN1613" s="902"/>
      <c r="AO1613" s="901"/>
      <c r="AP1613" s="901"/>
      <c r="AQ1613" s="903"/>
      <c r="AR1613" s="905"/>
      <c r="AS1613" s="902"/>
      <c r="AT1613" s="901"/>
      <c r="AU1613" s="901"/>
      <c r="AV1613" s="901"/>
      <c r="AW1613" s="905"/>
      <c r="AX1613" s="902"/>
      <c r="AY1613" s="901"/>
      <c r="AZ1613" s="901"/>
      <c r="BA1613" s="901"/>
      <c r="BB1613" s="905"/>
      <c r="BC1613" s="902"/>
      <c r="BD1613" s="901"/>
      <c r="BE1613" s="901"/>
      <c r="BF1613" s="901"/>
      <c r="BG1613" s="905"/>
      <c r="BH1613" s="902"/>
      <c r="BI1613" s="901"/>
      <c r="BJ1613" s="901"/>
      <c r="BK1613" s="901"/>
      <c r="BL1613" s="905"/>
      <c r="BM1613" s="901"/>
      <c r="BN1613" s="3652"/>
      <c r="BO1613" s="901"/>
      <c r="BP1613" s="901"/>
      <c r="BQ1613" s="905"/>
      <c r="BR1613" s="901"/>
      <c r="BS1613" s="3652"/>
      <c r="BT1613" s="901"/>
      <c r="BU1613" s="901"/>
      <c r="BV1613" s="905"/>
      <c r="BW1613" s="3652"/>
      <c r="BX1613" s="3652"/>
      <c r="BY1613" s="3652"/>
      <c r="BZ1613" s="3652"/>
      <c r="CA1613" s="905"/>
      <c r="CB1613" s="3652"/>
      <c r="CC1613" s="901"/>
      <c r="CD1613" s="3652"/>
      <c r="CE1613" s="3652"/>
      <c r="CF1613" s="905"/>
      <c r="CG1613" s="3652"/>
      <c r="CH1613" s="3652"/>
      <c r="CI1613" s="3652"/>
      <c r="CJ1613" s="3652"/>
      <c r="CK1613" s="905"/>
      <c r="CL1613" s="1016"/>
      <c r="CM1613" s="901"/>
      <c r="CN1613" s="901"/>
      <c r="CO1613" s="3652"/>
      <c r="CP1613" s="3667">
        <v>0</v>
      </c>
      <c r="CQ1613" s="901"/>
      <c r="CR1613" s="901"/>
      <c r="CS1613" s="901"/>
      <c r="CT1613" s="1017"/>
      <c r="CU1613" s="3667">
        <v>0</v>
      </c>
      <c r="CV1613" s="901"/>
      <c r="CW1613" s="901"/>
      <c r="CX1613" s="901"/>
      <c r="CY1613" s="1017"/>
      <c r="CZ1613" s="3667"/>
      <c r="DA1613" s="3733"/>
      <c r="DB1613" s="3652"/>
      <c r="DC1613" s="3652"/>
      <c r="DD1613" s="3668"/>
      <c r="DE1613" s="3667"/>
      <c r="DF1613" s="3652"/>
      <c r="DG1613" s="3652"/>
      <c r="DH1613" s="3652"/>
      <c r="DI1613" s="3668"/>
      <c r="DJ1613" s="3667"/>
      <c r="DK1613" s="3652"/>
      <c r="DL1613" s="3652"/>
      <c r="DM1613" s="3652"/>
      <c r="DN1613" s="3668"/>
      <c r="DO1613" s="3667"/>
      <c r="DP1613" s="3652"/>
      <c r="DQ1613" s="3652"/>
      <c r="DR1613" s="3652"/>
      <c r="DS1613" s="3668"/>
      <c r="DT1613" s="3667"/>
      <c r="DU1613" s="3652"/>
      <c r="DV1613" s="3652"/>
      <c r="DW1613" s="3652"/>
      <c r="DX1613" s="3668"/>
      <c r="DY1613" s="3667"/>
      <c r="DZ1613" s="3652"/>
      <c r="EA1613" s="3652"/>
      <c r="EB1613" s="3652"/>
      <c r="EC1613" s="3668"/>
      <c r="ED1613" s="3667"/>
      <c r="EE1613" s="3733"/>
      <c r="EF1613" s="3652"/>
      <c r="EG1613" s="3652"/>
      <c r="EH1613" s="3668"/>
      <c r="EI1613" s="3733"/>
      <c r="EJ1613" s="3667"/>
      <c r="EK1613" s="3667"/>
      <c r="EL1613" s="3667"/>
      <c r="EM1613" s="3667"/>
      <c r="EN1613" s="3667"/>
      <c r="EO1613" s="3668"/>
      <c r="EP1613" s="3667"/>
      <c r="EQ1613" s="3667"/>
      <c r="ER1613" s="3667"/>
      <c r="ES1613" s="3667"/>
      <c r="ET1613" s="3667"/>
      <c r="EU1613" s="3667"/>
      <c r="EV1613" s="3667"/>
      <c r="EW1613" s="3667"/>
      <c r="EX1613" s="909"/>
    </row>
    <row r="1614" spans="1:154" ht="12.75" customHeight="1" outlineLevel="1">
      <c r="B1614" s="3666" t="s">
        <v>235</v>
      </c>
      <c r="C1614" s="2026"/>
      <c r="D1614" s="900"/>
      <c r="E1614" s="900"/>
      <c r="F1614" s="901"/>
      <c r="G1614" s="901"/>
      <c r="H1614" s="901"/>
      <c r="I1614" s="901"/>
      <c r="J1614" s="901"/>
      <c r="K1614" s="901"/>
      <c r="L1614" s="901"/>
      <c r="M1614" s="901"/>
      <c r="N1614" s="901"/>
      <c r="O1614" s="902"/>
      <c r="P1614" s="901"/>
      <c r="Q1614" s="901"/>
      <c r="R1614" s="901"/>
      <c r="S1614" s="901"/>
      <c r="T1614" s="902"/>
      <c r="U1614" s="901"/>
      <c r="V1614" s="901"/>
      <c r="W1614" s="901"/>
      <c r="X1614" s="905"/>
      <c r="Y1614" s="902"/>
      <c r="Z1614" s="901"/>
      <c r="AA1614" s="901"/>
      <c r="AB1614" s="901"/>
      <c r="AC1614" s="905"/>
      <c r="AD1614" s="902"/>
      <c r="AE1614" s="901"/>
      <c r="AF1614" s="901"/>
      <c r="AG1614" s="901"/>
      <c r="AH1614" s="905"/>
      <c r="AI1614" s="902"/>
      <c r="AJ1614" s="901"/>
      <c r="AK1614" s="901"/>
      <c r="AL1614" s="901"/>
      <c r="AM1614" s="905"/>
      <c r="AN1614" s="902"/>
      <c r="AO1614" s="901"/>
      <c r="AP1614" s="901"/>
      <c r="AQ1614" s="903"/>
      <c r="AR1614" s="905"/>
      <c r="AS1614" s="902"/>
      <c r="AT1614" s="901"/>
      <c r="AU1614" s="901"/>
      <c r="AV1614" s="901"/>
      <c r="AW1614" s="905"/>
      <c r="AX1614" s="902"/>
      <c r="AY1614" s="901"/>
      <c r="AZ1614" s="901"/>
      <c r="BA1614" s="901"/>
      <c r="BB1614" s="905"/>
      <c r="BC1614" s="902"/>
      <c r="BD1614" s="901"/>
      <c r="BE1614" s="901"/>
      <c r="BF1614" s="901"/>
      <c r="BG1614" s="905"/>
      <c r="BH1614" s="902"/>
      <c r="BI1614" s="901"/>
      <c r="BJ1614" s="901"/>
      <c r="BK1614" s="901"/>
      <c r="BL1614" s="905"/>
      <c r="BM1614" s="901"/>
      <c r="BN1614" s="3652"/>
      <c r="BO1614" s="901"/>
      <c r="BP1614" s="901"/>
      <c r="BQ1614" s="905"/>
      <c r="BR1614" s="901"/>
      <c r="BS1614" s="3652"/>
      <c r="BT1614" s="901"/>
      <c r="BU1614" s="901"/>
      <c r="BV1614" s="905"/>
      <c r="BW1614" s="3652"/>
      <c r="BX1614" s="3652"/>
      <c r="BY1614" s="3652"/>
      <c r="BZ1614" s="3652"/>
      <c r="CA1614" s="905"/>
      <c r="CB1614" s="3652"/>
      <c r="CC1614" s="901"/>
      <c r="CD1614" s="3652"/>
      <c r="CE1614" s="3652"/>
      <c r="CF1614" s="905"/>
      <c r="CG1614" s="3652"/>
      <c r="CH1614" s="3652"/>
      <c r="CI1614" s="3652"/>
      <c r="CJ1614" s="3652"/>
      <c r="CK1614" s="905"/>
      <c r="CL1614" s="1016"/>
      <c r="CM1614" s="901"/>
      <c r="CN1614" s="901"/>
      <c r="CO1614" s="3652"/>
      <c r="CP1614" s="3667">
        <v>0</v>
      </c>
      <c r="CQ1614" s="901"/>
      <c r="CR1614" s="901"/>
      <c r="CS1614" s="901"/>
      <c r="CT1614" s="1017"/>
      <c r="CU1614" s="3667">
        <v>0</v>
      </c>
      <c r="CV1614" s="901"/>
      <c r="CW1614" s="901"/>
      <c r="CX1614" s="901"/>
      <c r="CY1614" s="1017"/>
      <c r="CZ1614" s="3667">
        <v>0</v>
      </c>
      <c r="DA1614" s="3733"/>
      <c r="DB1614" s="3652"/>
      <c r="DC1614" s="3652"/>
      <c r="DD1614" s="3668"/>
      <c r="DE1614" s="3667"/>
      <c r="DF1614" s="3652"/>
      <c r="DG1614" s="3652"/>
      <c r="DH1614" s="3652"/>
      <c r="DI1614" s="3668"/>
      <c r="DJ1614" s="3667"/>
      <c r="DK1614" s="3652"/>
      <c r="DL1614" s="3652"/>
      <c r="DM1614" s="3652"/>
      <c r="DN1614" s="3668"/>
      <c r="DO1614" s="3667"/>
      <c r="DP1614" s="3652"/>
      <c r="DQ1614" s="3652"/>
      <c r="DR1614" s="3652"/>
      <c r="DS1614" s="3668"/>
      <c r="DT1614" s="3667"/>
      <c r="DU1614" s="3652"/>
      <c r="DV1614" s="3652"/>
      <c r="DW1614" s="3652"/>
      <c r="DX1614" s="3668"/>
      <c r="DY1614" s="3667"/>
      <c r="DZ1614" s="3652"/>
      <c r="EA1614" s="3652"/>
      <c r="EB1614" s="3652"/>
      <c r="EC1614" s="3668"/>
      <c r="ED1614" s="3667"/>
      <c r="EE1614" s="3733"/>
      <c r="EF1614" s="3652"/>
      <c r="EG1614" s="3652"/>
      <c r="EH1614" s="3668"/>
      <c r="EI1614" s="3733"/>
      <c r="EJ1614" s="3667"/>
      <c r="EK1614" s="3667"/>
      <c r="EL1614" s="3667"/>
      <c r="EM1614" s="3667"/>
      <c r="EN1614" s="3667"/>
      <c r="EO1614" s="3668"/>
      <c r="EP1614" s="3667"/>
      <c r="EQ1614" s="3667"/>
      <c r="ER1614" s="3667"/>
      <c r="ES1614" s="3667"/>
      <c r="ET1614" s="3667"/>
      <c r="EU1614" s="3667"/>
      <c r="EV1614" s="3667"/>
      <c r="EW1614" s="3667"/>
      <c r="EX1614" s="909"/>
    </row>
    <row r="1615" spans="1:154" ht="12.75" customHeight="1" outlineLevel="1">
      <c r="B1615" s="3666" t="s">
        <v>188</v>
      </c>
      <c r="C1615" s="2026"/>
      <c r="D1615" s="900"/>
      <c r="E1615" s="900"/>
      <c r="F1615" s="901"/>
      <c r="G1615" s="901"/>
      <c r="H1615" s="901"/>
      <c r="I1615" s="901"/>
      <c r="J1615" s="901"/>
      <c r="K1615" s="901"/>
      <c r="L1615" s="901"/>
      <c r="M1615" s="901"/>
      <c r="N1615" s="901"/>
      <c r="O1615" s="902"/>
      <c r="P1615" s="901"/>
      <c r="Q1615" s="901"/>
      <c r="R1615" s="901"/>
      <c r="S1615" s="901"/>
      <c r="T1615" s="902"/>
      <c r="U1615" s="901"/>
      <c r="V1615" s="901"/>
      <c r="W1615" s="901"/>
      <c r="X1615" s="905"/>
      <c r="Y1615" s="902"/>
      <c r="Z1615" s="901"/>
      <c r="AA1615" s="901"/>
      <c r="AB1615" s="901"/>
      <c r="AC1615" s="905"/>
      <c r="AD1615" s="902"/>
      <c r="AE1615" s="901"/>
      <c r="AF1615" s="901"/>
      <c r="AG1615" s="901"/>
      <c r="AH1615" s="905"/>
      <c r="AI1615" s="902"/>
      <c r="AJ1615" s="901"/>
      <c r="AK1615" s="901"/>
      <c r="AL1615" s="901"/>
      <c r="AM1615" s="905"/>
      <c r="AN1615" s="902"/>
      <c r="AO1615" s="901"/>
      <c r="AP1615" s="901"/>
      <c r="AQ1615" s="903"/>
      <c r="AR1615" s="905"/>
      <c r="AS1615" s="902"/>
      <c r="AT1615" s="901"/>
      <c r="AU1615" s="901"/>
      <c r="AV1615" s="901"/>
      <c r="AW1615" s="905"/>
      <c r="AX1615" s="902"/>
      <c r="AY1615" s="901"/>
      <c r="AZ1615" s="901"/>
      <c r="BA1615" s="901"/>
      <c r="BB1615" s="905"/>
      <c r="BC1615" s="902"/>
      <c r="BD1615" s="901"/>
      <c r="BE1615" s="901"/>
      <c r="BF1615" s="901"/>
      <c r="BG1615" s="905"/>
      <c r="BH1615" s="902"/>
      <c r="BI1615" s="901"/>
      <c r="BJ1615" s="901"/>
      <c r="BK1615" s="901"/>
      <c r="BL1615" s="905"/>
      <c r="BM1615" s="901"/>
      <c r="BN1615" s="901"/>
      <c r="BO1615" s="901"/>
      <c r="BP1615" s="901"/>
      <c r="BQ1615" s="905"/>
      <c r="BR1615" s="901"/>
      <c r="BS1615" s="901"/>
      <c r="BT1615" s="901"/>
      <c r="BU1615" s="901"/>
      <c r="BV1615" s="905"/>
      <c r="BW1615" s="901"/>
      <c r="BX1615" s="901"/>
      <c r="BY1615" s="901"/>
      <c r="BZ1615" s="901"/>
      <c r="CA1615" s="905"/>
      <c r="CB1615" s="901"/>
      <c r="CC1615" s="901"/>
      <c r="CD1615" s="901"/>
      <c r="CE1615" s="901"/>
      <c r="CF1615" s="905"/>
      <c r="CG1615" s="901"/>
      <c r="CH1615" s="901"/>
      <c r="CI1615" s="901"/>
      <c r="CJ1615" s="901"/>
      <c r="CK1615" s="905"/>
      <c r="CL1615" s="1016"/>
      <c r="CM1615" s="901"/>
      <c r="CN1615" s="901"/>
      <c r="CO1615" s="901"/>
      <c r="CP1615" s="905">
        <f>CP1613+CP1614</f>
      </c>
      <c r="CQ1615" s="901"/>
      <c r="CR1615" s="901"/>
      <c r="CS1615" s="901"/>
      <c r="CT1615" s="1017"/>
      <c r="CU1615" s="905">
        <f>CU1613+CU1614</f>
      </c>
      <c r="CV1615" s="901"/>
      <c r="CW1615" s="901"/>
      <c r="CX1615" s="901"/>
      <c r="CY1615" s="1017"/>
      <c r="CZ1615" s="905">
        <f>CZ1613+CZ1614</f>
      </c>
      <c r="DA1615" s="1016"/>
      <c r="DB1615" s="901"/>
      <c r="DC1615" s="901"/>
      <c r="DD1615" s="1017"/>
      <c r="DE1615" s="905">
        <f>DE1613+DE1614</f>
      </c>
      <c r="DF1615" s="901"/>
      <c r="DG1615" s="901"/>
      <c r="DH1615" s="901"/>
      <c r="DI1615" s="1017"/>
      <c r="DJ1615" s="905">
        <f>DJ1613+DJ1614</f>
      </c>
      <c r="DK1615" s="901"/>
      <c r="DL1615" s="901"/>
      <c r="DM1615" s="901"/>
      <c r="DN1615" s="1017"/>
      <c r="DO1615" s="905">
        <f>DO1613+DO1614</f>
      </c>
      <c r="DP1615" s="901"/>
      <c r="DQ1615" s="901"/>
      <c r="DR1615" s="901"/>
      <c r="DS1615" s="1017"/>
      <c r="DT1615" s="905">
        <f>DT1613+DT1614</f>
      </c>
      <c r="DU1615" s="901"/>
      <c r="DV1615" s="901"/>
      <c r="DW1615" s="901"/>
      <c r="DX1615" s="1017"/>
      <c r="DY1615" s="905">
        <f>DY1613+DY1614</f>
      </c>
      <c r="DZ1615" s="901"/>
      <c r="EA1615" s="901"/>
      <c r="EB1615" s="901"/>
      <c r="EC1615" s="1017"/>
      <c r="ED1615" s="905">
        <f>ED1613+ED1614</f>
      </c>
      <c r="EE1615" s="1016"/>
      <c r="EF1615" s="901"/>
      <c r="EG1615" s="901"/>
      <c r="EH1615" s="1017"/>
      <c r="EI1615" s="1016">
        <f>EI1613+EI1614</f>
      </c>
      <c r="EJ1615" s="905"/>
      <c r="EK1615" s="905"/>
      <c r="EL1615" s="905"/>
      <c r="EM1615" s="905"/>
      <c r="EN1615" s="905"/>
      <c r="EO1615" s="1017"/>
      <c r="EP1615" s="905"/>
      <c r="EQ1615" s="905"/>
      <c r="ER1615" s="905"/>
      <c r="ES1615" s="905"/>
      <c r="ET1615" s="905"/>
      <c r="EU1615" s="905"/>
      <c r="EV1615" s="905"/>
      <c r="EW1615" s="905"/>
      <c r="EX1615" s="899"/>
    </row>
    <row r="1616" spans="1:154" ht="12.75" customHeight="1" outlineLevel="1">
      <c r="B1616" s="3666"/>
      <c r="C1616" s="2026"/>
      <c r="D1616" s="900"/>
      <c r="E1616" s="900"/>
      <c r="F1616" s="901"/>
      <c r="G1616" s="901"/>
      <c r="H1616" s="901"/>
      <c r="I1616" s="901"/>
      <c r="J1616" s="901"/>
      <c r="K1616" s="901"/>
      <c r="L1616" s="901"/>
      <c r="M1616" s="901"/>
      <c r="N1616" s="901"/>
      <c r="O1616" s="902"/>
      <c r="P1616" s="901"/>
      <c r="Q1616" s="901"/>
      <c r="R1616" s="901"/>
      <c r="S1616" s="901"/>
      <c r="T1616" s="902"/>
      <c r="U1616" s="901"/>
      <c r="V1616" s="901"/>
      <c r="W1616" s="901"/>
      <c r="X1616" s="904"/>
      <c r="Y1616" s="902"/>
      <c r="Z1616" s="901"/>
      <c r="AA1616" s="901"/>
      <c r="AB1616" s="901"/>
      <c r="AC1616" s="904"/>
      <c r="AD1616" s="902"/>
      <c r="AE1616" s="901"/>
      <c r="AF1616" s="901"/>
      <c r="AG1616" s="901"/>
      <c r="AH1616" s="904"/>
      <c r="AI1616" s="902"/>
      <c r="AJ1616" s="901"/>
      <c r="AK1616" s="901"/>
      <c r="AL1616" s="901"/>
      <c r="AM1616" s="904"/>
      <c r="AN1616" s="902"/>
      <c r="AO1616" s="901"/>
      <c r="AP1616" s="901"/>
      <c r="AQ1616" s="903"/>
      <c r="AR1616" s="904"/>
      <c r="AS1616" s="902"/>
      <c r="AT1616" s="901"/>
      <c r="AU1616" s="901"/>
      <c r="AV1616" s="901"/>
      <c r="AW1616" s="904"/>
      <c r="AX1616" s="902"/>
      <c r="AY1616" s="901"/>
      <c r="AZ1616" s="901"/>
      <c r="BA1616" s="901"/>
      <c r="BB1616" s="904"/>
      <c r="BC1616" s="902"/>
      <c r="BD1616" s="901"/>
      <c r="BE1616" s="901"/>
      <c r="BF1616" s="901"/>
      <c r="BG1616" s="904"/>
      <c r="BH1616" s="902"/>
      <c r="BI1616" s="901"/>
      <c r="BJ1616" s="901"/>
      <c r="BK1616" s="901"/>
      <c r="BL1616" s="904"/>
      <c r="BM1616" s="901"/>
      <c r="BN1616" s="901"/>
      <c r="BO1616" s="901"/>
      <c r="BP1616" s="901"/>
      <c r="BQ1616" s="904"/>
      <c r="BR1616" s="901"/>
      <c r="BS1616" s="901"/>
      <c r="BT1616" s="901"/>
      <c r="BU1616" s="901"/>
      <c r="BV1616" s="904"/>
      <c r="BW1616" s="901"/>
      <c r="BX1616" s="901"/>
      <c r="BY1616" s="901"/>
      <c r="BZ1616" s="901"/>
      <c r="CA1616" s="904"/>
      <c r="CB1616" s="901"/>
      <c r="CC1616" s="901"/>
      <c r="CD1616" s="901"/>
      <c r="CE1616" s="901"/>
      <c r="CF1616" s="904"/>
      <c r="CG1616" s="901"/>
      <c r="CH1616" s="901"/>
      <c r="CI1616" s="901"/>
      <c r="CJ1616" s="901"/>
      <c r="CK1616" s="905"/>
      <c r="CL1616" s="1016"/>
      <c r="CM1616" s="901"/>
      <c r="CN1616" s="901"/>
      <c r="CO1616" s="901"/>
      <c r="CP1616" s="905"/>
      <c r="CQ1616" s="901"/>
      <c r="CR1616" s="901"/>
      <c r="CS1616" s="901"/>
      <c r="CT1616" s="1017"/>
      <c r="CU1616" s="905"/>
      <c r="CV1616" s="901"/>
      <c r="CW1616" s="901"/>
      <c r="CX1616" s="901"/>
      <c r="CY1616" s="1017"/>
      <c r="CZ1616" s="905"/>
      <c r="DA1616" s="1016"/>
      <c r="DB1616" s="901"/>
      <c r="DC1616" s="901"/>
      <c r="DD1616" s="1017"/>
      <c r="DE1616" s="905"/>
      <c r="DF1616" s="901"/>
      <c r="DG1616" s="901"/>
      <c r="DH1616" s="901"/>
      <c r="DI1616" s="1017"/>
      <c r="DJ1616" s="905"/>
      <c r="DK1616" s="901"/>
      <c r="DL1616" s="901"/>
      <c r="DM1616" s="901"/>
      <c r="DN1616" s="1017"/>
      <c r="DO1616" s="905"/>
      <c r="DP1616" s="901"/>
      <c r="DQ1616" s="901"/>
      <c r="DR1616" s="901"/>
      <c r="DS1616" s="1017"/>
      <c r="DT1616" s="905"/>
      <c r="DU1616" s="901"/>
      <c r="DV1616" s="901"/>
      <c r="DW1616" s="901"/>
      <c r="DX1616" s="1017"/>
      <c r="DY1616" s="905"/>
      <c r="DZ1616" s="901"/>
      <c r="EA1616" s="901"/>
      <c r="EB1616" s="901"/>
      <c r="EC1616" s="1017"/>
      <c r="ED1616" s="905"/>
      <c r="EE1616" s="1016"/>
      <c r="EF1616" s="901"/>
      <c r="EG1616" s="901"/>
      <c r="EH1616" s="1017"/>
      <c r="EI1616" s="1016"/>
      <c r="EJ1616" s="905"/>
      <c r="EK1616" s="905"/>
      <c r="EL1616" s="905"/>
      <c r="EM1616" s="905"/>
      <c r="EN1616" s="905"/>
      <c r="EO1616" s="1017"/>
      <c r="EP1616" s="905"/>
      <c r="EQ1616" s="905"/>
      <c r="ER1616" s="905"/>
      <c r="ES1616" s="905"/>
      <c r="ET1616" s="905"/>
      <c r="EU1616" s="905"/>
      <c r="EV1616" s="905"/>
      <c r="EW1616" s="905"/>
      <c r="EX1616" s="899"/>
    </row>
    <row r="1617" spans="1:154" ht="12.75" customHeight="1" outlineLevel="1">
      <c r="B1617" s="3657" t="str">
        <f>B1612</f>
      </c>
      <c r="C1617" s="2026"/>
      <c r="D1617" s="900"/>
      <c r="E1617" s="900"/>
      <c r="F1617" s="901"/>
      <c r="G1617" s="901"/>
      <c r="H1617" s="901"/>
      <c r="I1617" s="901"/>
      <c r="J1617" s="901"/>
      <c r="K1617" s="901"/>
      <c r="L1617" s="901"/>
      <c r="M1617" s="901"/>
      <c r="N1617" s="901"/>
      <c r="O1617" s="902"/>
      <c r="P1617" s="901"/>
      <c r="Q1617" s="901"/>
      <c r="R1617" s="901"/>
      <c r="S1617" s="901"/>
      <c r="T1617" s="902"/>
      <c r="U1617" s="901"/>
      <c r="V1617" s="901"/>
      <c r="W1617" s="901"/>
      <c r="X1617" s="905"/>
      <c r="Y1617" s="902"/>
      <c r="Z1617" s="901"/>
      <c r="AA1617" s="901"/>
      <c r="AB1617" s="901"/>
      <c r="AC1617" s="905"/>
      <c r="AD1617" s="902"/>
      <c r="AE1617" s="901"/>
      <c r="AF1617" s="901"/>
      <c r="AG1617" s="901"/>
      <c r="AH1617" s="905"/>
      <c r="AI1617" s="902"/>
      <c r="AJ1617" s="901"/>
      <c r="AK1617" s="901"/>
      <c r="AL1617" s="901"/>
      <c r="AM1617" s="905"/>
      <c r="AN1617" s="902"/>
      <c r="AO1617" s="901"/>
      <c r="AP1617" s="901"/>
      <c r="AQ1617" s="903"/>
      <c r="AR1617" s="905"/>
      <c r="AS1617" s="902"/>
      <c r="AT1617" s="901"/>
      <c r="AU1617" s="901"/>
      <c r="AV1617" s="901"/>
      <c r="AW1617" s="905"/>
      <c r="AX1617" s="902"/>
      <c r="AY1617" s="901"/>
      <c r="AZ1617" s="901"/>
      <c r="BA1617" s="901"/>
      <c r="BB1617" s="905"/>
      <c r="BC1617" s="902"/>
      <c r="BD1617" s="901"/>
      <c r="BE1617" s="901"/>
      <c r="BF1617" s="901"/>
      <c r="BG1617" s="905"/>
      <c r="BH1617" s="902"/>
      <c r="BI1617" s="901"/>
      <c r="BJ1617" s="901"/>
      <c r="BK1617" s="901"/>
      <c r="BL1617" s="905"/>
      <c r="BM1617" s="901"/>
      <c r="BN1617" s="3652"/>
      <c r="BO1617" s="901"/>
      <c r="BP1617" s="901"/>
      <c r="BQ1617" s="905"/>
      <c r="BR1617" s="901"/>
      <c r="BS1617" s="3652"/>
      <c r="BT1617" s="901"/>
      <c r="BU1617" s="901"/>
      <c r="BV1617" s="905"/>
      <c r="BW1617" s="3652"/>
      <c r="BX1617" s="3652"/>
      <c r="BY1617" s="3652"/>
      <c r="BZ1617" s="3652"/>
      <c r="CA1617" s="905"/>
      <c r="CB1617" s="3652"/>
      <c r="CC1617" s="901"/>
      <c r="CD1617" s="3652"/>
      <c r="CE1617" s="3652"/>
      <c r="CF1617" s="905"/>
      <c r="CG1617" s="3652"/>
      <c r="CH1617" s="3652"/>
      <c r="CI1617" s="3652"/>
      <c r="CJ1617" s="3652"/>
      <c r="CK1617" s="905"/>
      <c r="CL1617" s="1016"/>
      <c r="CM1617" s="901"/>
      <c r="CN1617" s="901"/>
      <c r="CO1617" s="3652"/>
      <c r="CP1617" s="3667"/>
      <c r="CQ1617" s="901"/>
      <c r="CR1617" s="901"/>
      <c r="CS1617" s="901"/>
      <c r="CT1617" s="1017"/>
      <c r="CU1617" s="3667"/>
      <c r="CV1617" s="901"/>
      <c r="CW1617" s="901"/>
      <c r="CX1617" s="901"/>
      <c r="CY1617" s="1017"/>
      <c r="CZ1617" s="3667"/>
      <c r="DA1617" s="3733"/>
      <c r="DB1617" s="3652"/>
      <c r="DC1617" s="3652"/>
      <c r="DD1617" s="3668"/>
      <c r="DE1617" s="3667"/>
      <c r="DF1617" s="3652"/>
      <c r="DG1617" s="3652"/>
      <c r="DH1617" s="3652"/>
      <c r="DI1617" s="3668"/>
      <c r="DJ1617" s="3667"/>
      <c r="DK1617" s="3652"/>
      <c r="DL1617" s="3652"/>
      <c r="DM1617" s="3652"/>
      <c r="DN1617" s="3668"/>
      <c r="DO1617" s="3667"/>
      <c r="DP1617" s="3652"/>
      <c r="DQ1617" s="3652"/>
      <c r="DR1617" s="3652"/>
      <c r="DS1617" s="3668"/>
      <c r="DT1617" s="3667"/>
      <c r="DU1617" s="3652"/>
      <c r="DV1617" s="3652"/>
      <c r="DW1617" s="3652"/>
      <c r="DX1617" s="3668"/>
      <c r="DY1617" s="3667"/>
      <c r="DZ1617" s="3652"/>
      <c r="EA1617" s="3652"/>
      <c r="EB1617" s="3652"/>
      <c r="EC1617" s="3668"/>
      <c r="ED1617" s="3667"/>
      <c r="EE1617" s="3733"/>
      <c r="EF1617" s="3652"/>
      <c r="EG1617" s="3652"/>
      <c r="EH1617" s="3668"/>
      <c r="EI1617" s="3733"/>
      <c r="EJ1617" s="3667"/>
      <c r="EK1617" s="3667"/>
      <c r="EL1617" s="3667"/>
      <c r="EM1617" s="3667"/>
      <c r="EN1617" s="3667"/>
      <c r="EO1617" s="3668"/>
      <c r="EP1617" s="3667"/>
      <c r="EQ1617" s="3667"/>
      <c r="ER1617" s="3667"/>
      <c r="ES1617" s="3667"/>
      <c r="ET1617" s="3667"/>
      <c r="EU1617" s="3667"/>
      <c r="EV1617" s="3667"/>
      <c r="EW1617" s="3667"/>
      <c r="EX1617" s="909"/>
    </row>
    <row r="1618" spans="1:154" ht="12.75" customHeight="1" outlineLevel="1">
      <c r="B1618" s="3666" t="s">
        <v>153</v>
      </c>
      <c r="C1618" s="3738"/>
      <c r="D1618" s="900"/>
      <c r="E1618" s="900"/>
      <c r="F1618" s="901"/>
      <c r="G1618" s="901"/>
      <c r="H1618" s="901"/>
      <c r="I1618" s="901"/>
      <c r="J1618" s="901"/>
      <c r="K1618" s="901"/>
      <c r="L1618" s="901"/>
      <c r="M1618" s="901"/>
      <c r="N1618" s="901"/>
      <c r="O1618" s="902"/>
      <c r="P1618" s="901"/>
      <c r="Q1618" s="901"/>
      <c r="R1618" s="901"/>
      <c r="S1618" s="901"/>
      <c r="T1618" s="902"/>
      <c r="U1618" s="901"/>
      <c r="V1618" s="901"/>
      <c r="W1618" s="901"/>
      <c r="X1618" s="905"/>
      <c r="Y1618" s="902"/>
      <c r="Z1618" s="901"/>
      <c r="AA1618" s="901"/>
      <c r="AB1618" s="901"/>
      <c r="AC1618" s="905"/>
      <c r="AD1618" s="902"/>
      <c r="AE1618" s="901"/>
      <c r="AF1618" s="901"/>
      <c r="AG1618" s="901"/>
      <c r="AH1618" s="905"/>
      <c r="AI1618" s="902"/>
      <c r="AJ1618" s="901"/>
      <c r="AK1618" s="901"/>
      <c r="AL1618" s="901"/>
      <c r="AM1618" s="905"/>
      <c r="AN1618" s="902"/>
      <c r="AO1618" s="901"/>
      <c r="AP1618" s="901"/>
      <c r="AQ1618" s="903"/>
      <c r="AR1618" s="905"/>
      <c r="AS1618" s="902"/>
      <c r="AT1618" s="901"/>
      <c r="AU1618" s="901"/>
      <c r="AV1618" s="901"/>
      <c r="AW1618" s="905"/>
      <c r="AX1618" s="902"/>
      <c r="AY1618" s="901"/>
      <c r="AZ1618" s="901"/>
      <c r="BA1618" s="901"/>
      <c r="BB1618" s="905"/>
      <c r="BC1618" s="902"/>
      <c r="BD1618" s="901"/>
      <c r="BE1618" s="901"/>
      <c r="BF1618" s="901"/>
      <c r="BG1618" s="905"/>
      <c r="BH1618" s="902"/>
      <c r="BI1618" s="901"/>
      <c r="BJ1618" s="901"/>
      <c r="BK1618" s="901"/>
      <c r="BL1618" s="905"/>
      <c r="BM1618" s="901"/>
      <c r="BN1618" s="901"/>
      <c r="BO1618" s="901"/>
      <c r="BP1618" s="901"/>
      <c r="BQ1618" s="905"/>
      <c r="BR1618" s="901"/>
      <c r="BS1618" s="901"/>
      <c r="BT1618" s="901"/>
      <c r="BU1618" s="901"/>
      <c r="BV1618" s="905"/>
      <c r="BW1618" s="901"/>
      <c r="BX1618" s="901"/>
      <c r="BY1618" s="901"/>
      <c r="BZ1618" s="901"/>
      <c r="CA1618" s="905"/>
      <c r="CB1618" s="901"/>
      <c r="CC1618" s="901"/>
      <c r="CD1618" s="901"/>
      <c r="CE1618" s="901"/>
      <c r="CF1618" s="905"/>
      <c r="CG1618" s="901"/>
      <c r="CH1618" s="901"/>
      <c r="CI1618" s="901"/>
      <c r="CJ1618" s="901"/>
      <c r="CK1618" s="905"/>
      <c r="CL1618" s="1016"/>
      <c r="CM1618" s="901"/>
      <c r="CN1618" s="901"/>
      <c r="CO1618" s="901"/>
      <c r="CP1618" s="905">
        <f>$C1618*CP1613</f>
      </c>
      <c r="CQ1618" s="901"/>
      <c r="CR1618" s="901"/>
      <c r="CS1618" s="901"/>
      <c r="CT1618" s="1017"/>
      <c r="CU1618" s="905">
        <f>$C1618*CU1613</f>
      </c>
      <c r="CV1618" s="901"/>
      <c r="CW1618" s="901"/>
      <c r="CX1618" s="901"/>
      <c r="CY1618" s="1017"/>
      <c r="CZ1618" s="905">
        <f>$C1618*CZ1613</f>
      </c>
      <c r="DA1618" s="1016"/>
      <c r="DB1618" s="901"/>
      <c r="DC1618" s="901"/>
      <c r="DD1618" s="1017"/>
      <c r="DE1618" s="905">
        <f>$C1618*DE1613</f>
      </c>
      <c r="DF1618" s="901"/>
      <c r="DG1618" s="901"/>
      <c r="DH1618" s="901"/>
      <c r="DI1618" s="1017"/>
      <c r="DJ1618" s="905">
        <f>$C1618*DJ1613</f>
      </c>
      <c r="DK1618" s="901"/>
      <c r="DL1618" s="901"/>
      <c r="DM1618" s="901"/>
      <c r="DN1618" s="1017"/>
      <c r="DO1618" s="905">
        <f>$C1618*DO1613</f>
      </c>
      <c r="DP1618" s="901"/>
      <c r="DQ1618" s="901"/>
      <c r="DR1618" s="901"/>
      <c r="DS1618" s="1017"/>
      <c r="DT1618" s="905">
        <f>$C1618*DT1613</f>
      </c>
      <c r="DU1618" s="901"/>
      <c r="DV1618" s="901"/>
      <c r="DW1618" s="901"/>
      <c r="DX1618" s="1017"/>
      <c r="DY1618" s="905">
        <f>$C1618*DY1613</f>
      </c>
      <c r="DZ1618" s="901"/>
      <c r="EA1618" s="901"/>
      <c r="EB1618" s="901"/>
      <c r="EC1618" s="1017"/>
      <c r="ED1618" s="905">
        <f>$C1618*ED1613</f>
      </c>
      <c r="EE1618" s="1016"/>
      <c r="EF1618" s="901"/>
      <c r="EG1618" s="901"/>
      <c r="EH1618" s="1017"/>
      <c r="EI1618" s="1016">
        <f>$C1618*EI1613</f>
      </c>
      <c r="EJ1618" s="905"/>
      <c r="EK1618" s="905"/>
      <c r="EL1618" s="905"/>
      <c r="EM1618" s="905"/>
      <c r="EN1618" s="905"/>
      <c r="EO1618" s="1017"/>
      <c r="EP1618" s="905"/>
      <c r="EQ1618" s="905"/>
      <c r="ER1618" s="905"/>
      <c r="ES1618" s="905"/>
      <c r="ET1618" s="905"/>
      <c r="EU1618" s="905"/>
      <c r="EV1618" s="905"/>
      <c r="EW1618" s="905"/>
      <c r="EX1618" s="899"/>
    </row>
    <row r="1619" spans="1:154" ht="12.75" customHeight="1" outlineLevel="1">
      <c r="B1619" s="3666" t="s">
        <v>235</v>
      </c>
      <c r="C1619" s="3738"/>
      <c r="D1619" s="900"/>
      <c r="E1619" s="900"/>
      <c r="F1619" s="901"/>
      <c r="G1619" s="901"/>
      <c r="H1619" s="901"/>
      <c r="I1619" s="901"/>
      <c r="J1619" s="901"/>
      <c r="K1619" s="901"/>
      <c r="L1619" s="901"/>
      <c r="M1619" s="901"/>
      <c r="N1619" s="901"/>
      <c r="O1619" s="902"/>
      <c r="P1619" s="901"/>
      <c r="Q1619" s="901"/>
      <c r="R1619" s="901"/>
      <c r="S1619" s="901"/>
      <c r="T1619" s="902"/>
      <c r="U1619" s="901"/>
      <c r="V1619" s="901"/>
      <c r="W1619" s="901"/>
      <c r="X1619" s="904"/>
      <c r="Y1619" s="902"/>
      <c r="Z1619" s="901"/>
      <c r="AA1619" s="901"/>
      <c r="AB1619" s="901"/>
      <c r="AC1619" s="904"/>
      <c r="AD1619" s="902"/>
      <c r="AE1619" s="901"/>
      <c r="AF1619" s="901"/>
      <c r="AG1619" s="901"/>
      <c r="AH1619" s="904"/>
      <c r="AI1619" s="902"/>
      <c r="AJ1619" s="901"/>
      <c r="AK1619" s="901"/>
      <c r="AL1619" s="901"/>
      <c r="AM1619" s="904"/>
      <c r="AN1619" s="902"/>
      <c r="AO1619" s="901"/>
      <c r="AP1619" s="901"/>
      <c r="AQ1619" s="903"/>
      <c r="AR1619" s="904"/>
      <c r="AS1619" s="902"/>
      <c r="AT1619" s="901"/>
      <c r="AU1619" s="901"/>
      <c r="AV1619" s="901"/>
      <c r="AW1619" s="904"/>
      <c r="AX1619" s="902"/>
      <c r="AY1619" s="901"/>
      <c r="AZ1619" s="901"/>
      <c r="BA1619" s="901"/>
      <c r="BB1619" s="904"/>
      <c r="BC1619" s="902"/>
      <c r="BD1619" s="901"/>
      <c r="BE1619" s="901"/>
      <c r="BF1619" s="901"/>
      <c r="BG1619" s="904"/>
      <c r="BH1619" s="902"/>
      <c r="BI1619" s="901"/>
      <c r="BJ1619" s="901"/>
      <c r="BK1619" s="901"/>
      <c r="BL1619" s="904"/>
      <c r="BM1619" s="901"/>
      <c r="BN1619" s="901"/>
      <c r="BO1619" s="901"/>
      <c r="BP1619" s="901"/>
      <c r="BQ1619" s="904"/>
      <c r="BR1619" s="901"/>
      <c r="BS1619" s="901"/>
      <c r="BT1619" s="901"/>
      <c r="BU1619" s="901"/>
      <c r="BV1619" s="904"/>
      <c r="BW1619" s="901"/>
      <c r="BX1619" s="901"/>
      <c r="BY1619" s="901"/>
      <c r="BZ1619" s="901"/>
      <c r="CA1619" s="904"/>
      <c r="CB1619" s="901"/>
      <c r="CC1619" s="901"/>
      <c r="CD1619" s="901"/>
      <c r="CE1619" s="901"/>
      <c r="CF1619" s="904"/>
      <c r="CG1619" s="901"/>
      <c r="CH1619" s="901"/>
      <c r="CI1619" s="901"/>
      <c r="CJ1619" s="901"/>
      <c r="CK1619" s="905"/>
      <c r="CL1619" s="1016"/>
      <c r="CM1619" s="901"/>
      <c r="CN1619" s="901"/>
      <c r="CO1619" s="901"/>
      <c r="CP1619" s="905">
        <f>$C1619*CP1614</f>
      </c>
      <c r="CQ1619" s="901"/>
      <c r="CR1619" s="901"/>
      <c r="CS1619" s="901"/>
      <c r="CT1619" s="1017"/>
      <c r="CU1619" s="905">
        <f>$C1619*CU1614</f>
      </c>
      <c r="CV1619" s="901"/>
      <c r="CW1619" s="901"/>
      <c r="CX1619" s="901"/>
      <c r="CY1619" s="1017"/>
      <c r="CZ1619" s="905">
        <f>$C1619*CZ1614</f>
      </c>
      <c r="DA1619" s="1016"/>
      <c r="DB1619" s="901"/>
      <c r="DC1619" s="901"/>
      <c r="DD1619" s="1017"/>
      <c r="DE1619" s="905">
        <f>$C1619*DE1614</f>
      </c>
      <c r="DF1619" s="901"/>
      <c r="DG1619" s="901"/>
      <c r="DH1619" s="901"/>
      <c r="DI1619" s="1017"/>
      <c r="DJ1619" s="905">
        <f>$C1619*DJ1614</f>
      </c>
      <c r="DK1619" s="901"/>
      <c r="DL1619" s="901"/>
      <c r="DM1619" s="901"/>
      <c r="DN1619" s="1017"/>
      <c r="DO1619" s="905">
        <f>$C1619*DO1614</f>
      </c>
      <c r="DP1619" s="901"/>
      <c r="DQ1619" s="901"/>
      <c r="DR1619" s="901"/>
      <c r="DS1619" s="1017"/>
      <c r="DT1619" s="905">
        <f>$C1619*DT1614</f>
      </c>
      <c r="DU1619" s="901"/>
      <c r="DV1619" s="901"/>
      <c r="DW1619" s="901"/>
      <c r="DX1619" s="1017"/>
      <c r="DY1619" s="905">
        <f>$C1619*DY1614</f>
      </c>
      <c r="DZ1619" s="901"/>
      <c r="EA1619" s="901"/>
      <c r="EB1619" s="901"/>
      <c r="EC1619" s="1017"/>
      <c r="ED1619" s="905">
        <f>$C1619*ED1614</f>
      </c>
      <c r="EE1619" s="1016"/>
      <c r="EF1619" s="901"/>
      <c r="EG1619" s="901"/>
      <c r="EH1619" s="1017"/>
      <c r="EI1619" s="1016">
        <f>$C1619*EI1614</f>
      </c>
      <c r="EJ1619" s="905"/>
      <c r="EK1619" s="905"/>
      <c r="EL1619" s="905"/>
      <c r="EM1619" s="905"/>
      <c r="EN1619" s="905"/>
      <c r="EO1619" s="1017"/>
      <c r="EP1619" s="905"/>
      <c r="EQ1619" s="905"/>
      <c r="ER1619" s="905"/>
      <c r="ES1619" s="905"/>
      <c r="ET1619" s="905"/>
      <c r="EU1619" s="905"/>
      <c r="EV1619" s="905"/>
      <c r="EW1619" s="905"/>
      <c r="EX1619" s="899"/>
    </row>
    <row r="1620" spans="1:154" ht="12.75" customHeight="1" outlineLevel="1">
      <c r="A1620" s="3275" t="s">
        <v>654</v>
      </c>
      <c r="B1620" s="3666" t="s">
        <v>188</v>
      </c>
      <c r="C1620" s="2026" t="s">
        <v>585</v>
      </c>
      <c r="D1620" s="900"/>
      <c r="E1620" s="900"/>
      <c r="F1620" s="901"/>
      <c r="G1620" s="901"/>
      <c r="H1620" s="901"/>
      <c r="I1620" s="901"/>
      <c r="J1620" s="901"/>
      <c r="K1620" s="901"/>
      <c r="L1620" s="901"/>
      <c r="M1620" s="901"/>
      <c r="N1620" s="901"/>
      <c r="O1620" s="902"/>
      <c r="P1620" s="901"/>
      <c r="Q1620" s="901"/>
      <c r="R1620" s="901"/>
      <c r="S1620" s="901"/>
      <c r="T1620" s="902"/>
      <c r="U1620" s="901"/>
      <c r="V1620" s="901"/>
      <c r="W1620" s="901"/>
      <c r="X1620" s="905"/>
      <c r="Y1620" s="902"/>
      <c r="Z1620" s="901"/>
      <c r="AA1620" s="901"/>
      <c r="AB1620" s="901"/>
      <c r="AC1620" s="905"/>
      <c r="AD1620" s="902"/>
      <c r="AE1620" s="901"/>
      <c r="AF1620" s="901"/>
      <c r="AG1620" s="901"/>
      <c r="AH1620" s="905"/>
      <c r="AI1620" s="902"/>
      <c r="AJ1620" s="901"/>
      <c r="AK1620" s="901"/>
      <c r="AL1620" s="901"/>
      <c r="AM1620" s="905"/>
      <c r="AN1620" s="902"/>
      <c r="AO1620" s="901"/>
      <c r="AP1620" s="901"/>
      <c r="AQ1620" s="903"/>
      <c r="AR1620" s="905"/>
      <c r="AS1620" s="902"/>
      <c r="AT1620" s="901"/>
      <c r="AU1620" s="901"/>
      <c r="AV1620" s="901"/>
      <c r="AW1620" s="905"/>
      <c r="AX1620" s="902"/>
      <c r="AY1620" s="901"/>
      <c r="AZ1620" s="901"/>
      <c r="BA1620" s="901"/>
      <c r="BB1620" s="905"/>
      <c r="BC1620" s="902"/>
      <c r="BD1620" s="901"/>
      <c r="BE1620" s="901"/>
      <c r="BF1620" s="901"/>
      <c r="BG1620" s="905"/>
      <c r="BH1620" s="902"/>
      <c r="BI1620" s="901"/>
      <c r="BJ1620" s="901"/>
      <c r="BK1620" s="901"/>
      <c r="BL1620" s="905"/>
      <c r="BM1620" s="901"/>
      <c r="BN1620" s="901"/>
      <c r="BO1620" s="901"/>
      <c r="BP1620" s="901"/>
      <c r="BQ1620" s="905"/>
      <c r="BR1620" s="901"/>
      <c r="BS1620" s="901"/>
      <c r="BT1620" s="901"/>
      <c r="BU1620" s="901"/>
      <c r="BV1620" s="905"/>
      <c r="BW1620" s="3652"/>
      <c r="BX1620" s="901"/>
      <c r="BY1620" s="901"/>
      <c r="BZ1620" s="901"/>
      <c r="CA1620" s="905"/>
      <c r="CB1620" s="901"/>
      <c r="CC1620" s="901"/>
      <c r="CD1620" s="901"/>
      <c r="CE1620" s="901"/>
      <c r="CF1620" s="905"/>
      <c r="CG1620" s="901"/>
      <c r="CH1620" s="901"/>
      <c r="CI1620" s="901"/>
      <c r="CJ1620" s="901"/>
      <c r="CK1620" s="905"/>
      <c r="CL1620" s="1016"/>
      <c r="CM1620" s="901"/>
      <c r="CN1620" s="901"/>
      <c r="CO1620" s="901"/>
      <c r="CP1620" s="905">
        <f>CP1618+CP1619</f>
      </c>
      <c r="CQ1620" s="901"/>
      <c r="CR1620" s="901"/>
      <c r="CS1620" s="901"/>
      <c r="CT1620" s="1017"/>
      <c r="CU1620" s="905">
        <f>CU1618+CU1619</f>
      </c>
      <c r="CV1620" s="901"/>
      <c r="CW1620" s="901"/>
      <c r="CX1620" s="901"/>
      <c r="CY1620" s="1017"/>
      <c r="CZ1620" s="905">
        <f>CZ1618+CZ1619</f>
      </c>
      <c r="DA1620" s="1016"/>
      <c r="DB1620" s="901"/>
      <c r="DC1620" s="901"/>
      <c r="DD1620" s="1017"/>
      <c r="DE1620" s="905">
        <f>DE1618+DE1619</f>
      </c>
      <c r="DF1620" s="901"/>
      <c r="DG1620" s="901"/>
      <c r="DH1620" s="901"/>
      <c r="DI1620" s="1017"/>
      <c r="DJ1620" s="905">
        <f>DJ1618+DJ1619</f>
      </c>
      <c r="DK1620" s="901"/>
      <c r="DL1620" s="901"/>
      <c r="DM1620" s="901"/>
      <c r="DN1620" s="1017"/>
      <c r="DO1620" s="905">
        <f>DO1618+DO1619</f>
      </c>
      <c r="DP1620" s="901"/>
      <c r="DQ1620" s="901"/>
      <c r="DR1620" s="901"/>
      <c r="DS1620" s="1017"/>
      <c r="DT1620" s="905">
        <f>DT1618+DT1619</f>
      </c>
      <c r="DU1620" s="901"/>
      <c r="DV1620" s="901"/>
      <c r="DW1620" s="901"/>
      <c r="DX1620" s="1017"/>
      <c r="DY1620" s="905">
        <f>DY1618+DY1619</f>
      </c>
      <c r="DZ1620" s="901"/>
      <c r="EA1620" s="901"/>
      <c r="EB1620" s="901"/>
      <c r="EC1620" s="1017"/>
      <c r="ED1620" s="905">
        <f>ED1618+ED1619</f>
      </c>
      <c r="EE1620" s="1016"/>
      <c r="EF1620" s="901"/>
      <c r="EG1620" s="901"/>
      <c r="EH1620" s="1017"/>
      <c r="EI1620" s="1016">
        <f>EI1618+EI1619</f>
      </c>
      <c r="EJ1620" s="905"/>
      <c r="EK1620" s="905"/>
      <c r="EL1620" s="905"/>
      <c r="EM1620" s="905"/>
      <c r="EN1620" s="905"/>
      <c r="EO1620" s="1017"/>
      <c r="EP1620" s="905"/>
      <c r="EQ1620" s="905"/>
      <c r="ER1620" s="905"/>
      <c r="ES1620" s="905"/>
      <c r="ET1620" s="905"/>
      <c r="EU1620" s="905"/>
      <c r="EV1620" s="905"/>
      <c r="EW1620" s="905"/>
      <c r="EX1620" s="899"/>
    </row>
    <row r="1621" spans="1:154" ht="12.75" customHeight="1" outlineLevel="1">
      <c r="B1621" s="907"/>
      <c r="C1621" s="1392"/>
      <c r="D1621" s="894"/>
      <c r="E1621" s="894"/>
      <c r="F1621" s="895"/>
      <c r="G1621" s="895"/>
      <c r="H1621" s="895"/>
      <c r="I1621" s="895"/>
      <c r="J1621" s="895"/>
      <c r="K1621" s="895"/>
      <c r="L1621" s="895"/>
      <c r="M1621" s="895"/>
      <c r="N1621" s="895"/>
      <c r="O1621" s="896"/>
      <c r="P1621" s="895"/>
      <c r="Q1621" s="895"/>
      <c r="R1621" s="895"/>
      <c r="S1621" s="895"/>
      <c r="T1621" s="896"/>
      <c r="U1621" s="895"/>
      <c r="V1621" s="895"/>
      <c r="W1621" s="895"/>
      <c r="X1621" s="899"/>
      <c r="Y1621" s="896"/>
      <c r="Z1621" s="895"/>
      <c r="AA1621" s="895"/>
      <c r="AB1621" s="895"/>
      <c r="AC1621" s="899"/>
      <c r="AD1621" s="896"/>
      <c r="AE1621" s="895"/>
      <c r="AF1621" s="895"/>
      <c r="AG1621" s="895"/>
      <c r="AH1621" s="899"/>
      <c r="AI1621" s="896"/>
      <c r="AJ1621" s="895"/>
      <c r="AK1621" s="895"/>
      <c r="AL1621" s="895"/>
      <c r="AM1621" s="899"/>
      <c r="AN1621" s="896"/>
      <c r="AO1621" s="895"/>
      <c r="AP1621" s="895"/>
      <c r="AQ1621" s="897"/>
      <c r="AR1621" s="899"/>
      <c r="AS1621" s="896"/>
      <c r="AT1621" s="895"/>
      <c r="AU1621" s="895"/>
      <c r="AV1621" s="895"/>
      <c r="AW1621" s="899"/>
      <c r="AX1621" s="896"/>
      <c r="AY1621" s="895"/>
      <c r="AZ1621" s="895"/>
      <c r="BA1621" s="895"/>
      <c r="BB1621" s="899"/>
      <c r="BC1621" s="896"/>
      <c r="BD1621" s="895"/>
      <c r="BE1621" s="895"/>
      <c r="BF1621" s="895"/>
      <c r="BG1621" s="899"/>
      <c r="BH1621" s="896"/>
      <c r="BI1621" s="895"/>
      <c r="BJ1621" s="895"/>
      <c r="BK1621" s="895"/>
      <c r="BL1621" s="899"/>
      <c r="BM1621" s="895"/>
      <c r="BN1621" s="895"/>
      <c r="BO1621" s="895"/>
      <c r="BP1621" s="895"/>
      <c r="BQ1621" s="899"/>
      <c r="BR1621" s="895"/>
      <c r="BS1621" s="895"/>
      <c r="BT1621" s="895"/>
      <c r="BU1621" s="895"/>
      <c r="BV1621" s="899"/>
      <c r="BW1621" s="895"/>
      <c r="BX1621" s="895"/>
      <c r="BY1621" s="895"/>
      <c r="BZ1621" s="895"/>
      <c r="CA1621" s="899"/>
      <c r="CB1621" s="895"/>
      <c r="CC1621" s="895"/>
      <c r="CD1621" s="895"/>
      <c r="CE1621" s="895"/>
      <c r="CF1621" s="899"/>
      <c r="CG1621" s="895"/>
      <c r="CH1621" s="895"/>
      <c r="CI1621" s="895"/>
      <c r="CJ1621" s="895"/>
      <c r="CK1621" s="899"/>
      <c r="CL1621" s="1015"/>
      <c r="CM1621" s="895"/>
      <c r="CN1621" s="895"/>
      <c r="CO1621" s="895"/>
      <c r="CP1621" s="899"/>
      <c r="CQ1621" s="895"/>
      <c r="CR1621" s="895"/>
      <c r="CS1621" s="895"/>
      <c r="CT1621" s="915"/>
      <c r="CU1621" s="899"/>
      <c r="CV1621" s="895"/>
      <c r="CW1621" s="895"/>
      <c r="CX1621" s="895"/>
      <c r="CY1621" s="915"/>
      <c r="CZ1621" s="899"/>
      <c r="DA1621" s="1513"/>
      <c r="DB1621" s="1509"/>
      <c r="DC1621" s="1509"/>
      <c r="DD1621" s="1514"/>
      <c r="DE1621" s="1369"/>
      <c r="DF1621" s="1509"/>
      <c r="DG1621" s="1509"/>
      <c r="DH1621" s="1509"/>
      <c r="DI1621" s="1514"/>
      <c r="DJ1621" s="1369"/>
      <c r="DK1621" s="1509"/>
      <c r="DL1621" s="1509"/>
      <c r="DM1621" s="1509"/>
      <c r="DN1621" s="1514"/>
      <c r="DO1621" s="1369"/>
      <c r="DP1621" s="1509"/>
      <c r="DQ1621" s="1509"/>
      <c r="DR1621" s="1509"/>
      <c r="DS1621" s="1514"/>
      <c r="DT1621" s="1369"/>
      <c r="DU1621" s="1509"/>
      <c r="DV1621" s="1509"/>
      <c r="DW1621" s="1509"/>
      <c r="DX1621" s="1514"/>
      <c r="DY1621" s="1369"/>
      <c r="DZ1621" s="1509"/>
      <c r="EA1621" s="1509"/>
      <c r="EB1621" s="1509"/>
      <c r="EC1621" s="1514"/>
      <c r="ED1621" s="1369"/>
      <c r="EE1621" s="1513"/>
      <c r="EF1621" s="1509"/>
      <c r="EG1621" s="1509"/>
      <c r="EH1621" s="1514"/>
      <c r="EI1621" s="1513"/>
      <c r="EJ1621" s="1369"/>
      <c r="EK1621" s="1369"/>
      <c r="EL1621" s="1369"/>
      <c r="EM1621" s="1369"/>
      <c r="EN1621" s="1369"/>
      <c r="EO1621" s="1514"/>
      <c r="EP1621" s="1369"/>
      <c r="EQ1621" s="1369"/>
      <c r="ER1621" s="1369"/>
      <c r="ES1621" s="1369"/>
      <c r="ET1621" s="1369"/>
      <c r="EU1621" s="1369"/>
      <c r="EV1621" s="1369"/>
      <c r="EW1621" s="1369"/>
      <c r="EX1621" s="1369"/>
    </row>
    <row r="1622" spans="1:154" ht="12.75" customHeight="1">
      <c r="B1622" s="3745" t="s">
        <v>1022</v>
      </c>
      <c r="C1622" s="3746"/>
      <c r="D1622" s="3747"/>
      <c r="E1622" s="3747"/>
      <c r="F1622" s="3748"/>
      <c r="G1622" s="3748"/>
      <c r="H1622" s="3748"/>
      <c r="I1622" s="3748"/>
      <c r="J1622" s="3748"/>
      <c r="K1622" s="3748"/>
      <c r="L1622" s="3748"/>
      <c r="M1622" s="3748"/>
      <c r="N1622" s="3748"/>
      <c r="O1622" s="3749"/>
      <c r="P1622" s="3748"/>
      <c r="Q1622" s="3748"/>
      <c r="R1622" s="3748"/>
      <c r="S1622" s="3748"/>
      <c r="T1622" s="3749"/>
      <c r="U1622" s="3748"/>
      <c r="V1622" s="3748"/>
      <c r="W1622" s="3748"/>
      <c r="X1622" s="3750"/>
      <c r="Y1622" s="3749"/>
      <c r="Z1622" s="3748"/>
      <c r="AA1622" s="3748"/>
      <c r="AB1622" s="3748"/>
      <c r="AC1622" s="3750"/>
      <c r="AD1622" s="3749"/>
      <c r="AE1622" s="3748"/>
      <c r="AF1622" s="3748"/>
      <c r="AG1622" s="3748"/>
      <c r="AH1622" s="3750"/>
      <c r="AI1622" s="3749"/>
      <c r="AJ1622" s="3748"/>
      <c r="AK1622" s="3748"/>
      <c r="AL1622" s="3748"/>
      <c r="AM1622" s="3750"/>
      <c r="AN1622" s="3749"/>
      <c r="AO1622" s="3748"/>
      <c r="AP1622" s="3748"/>
      <c r="AQ1622" s="3751"/>
      <c r="AR1622" s="3750"/>
      <c r="AS1622" s="3749"/>
      <c r="AT1622" s="3748"/>
      <c r="AU1622" s="3748"/>
      <c r="AV1622" s="3748"/>
      <c r="AW1622" s="3750"/>
      <c r="AX1622" s="3749"/>
      <c r="AY1622" s="3748"/>
      <c r="AZ1622" s="3748"/>
      <c r="BA1622" s="3748"/>
      <c r="BB1622" s="3750"/>
      <c r="BC1622" s="3749"/>
      <c r="BD1622" s="3748"/>
      <c r="BE1622" s="3748"/>
      <c r="BF1622" s="3748"/>
      <c r="BG1622" s="3750"/>
      <c r="BH1622" s="3749"/>
      <c r="BI1622" s="3748"/>
      <c r="BJ1622" s="3748"/>
      <c r="BK1622" s="3748"/>
      <c r="BL1622" s="3750"/>
      <c r="BM1622" s="3748"/>
      <c r="BN1622" s="3748"/>
      <c r="BO1622" s="3748"/>
      <c r="BP1622" s="3748"/>
      <c r="BQ1622" s="3750"/>
      <c r="BR1622" s="3748"/>
      <c r="BS1622" s="3748"/>
      <c r="BT1622" s="3748"/>
      <c r="BU1622" s="3748"/>
      <c r="BV1622" s="3750"/>
      <c r="BW1622" s="3748"/>
      <c r="BX1622" s="3748"/>
      <c r="BY1622" s="3748"/>
      <c r="BZ1622" s="3748"/>
      <c r="CA1622" s="3750"/>
      <c r="CB1622" s="3748"/>
      <c r="CC1622" s="3748"/>
      <c r="CD1622" s="3748"/>
      <c r="CE1622" s="3748"/>
      <c r="CF1622" s="3750"/>
      <c r="CG1622" s="3748"/>
      <c r="CH1622" s="3748"/>
      <c r="CI1622" s="3748"/>
      <c r="CJ1622" s="3748"/>
      <c r="CK1622" s="3752"/>
      <c r="CL1622" s="3753"/>
      <c r="CM1622" s="3748"/>
      <c r="CN1622" s="3748"/>
      <c r="CO1622" s="3748"/>
      <c r="CP1622" s="3752"/>
      <c r="CQ1622" s="3748"/>
      <c r="CR1622" s="3748"/>
      <c r="CS1622" s="3748"/>
      <c r="CT1622" s="3754"/>
      <c r="CU1622" s="3752"/>
      <c r="CV1622" s="3748"/>
      <c r="CW1622" s="3748"/>
      <c r="CX1622" s="3748"/>
      <c r="CY1622" s="3754"/>
      <c r="CZ1622" s="3752"/>
      <c r="DA1622" s="3753"/>
      <c r="DB1622" s="3748"/>
      <c r="DC1622" s="3748"/>
      <c r="DD1622" s="3754"/>
      <c r="DE1622" s="3752"/>
      <c r="DF1622" s="3753"/>
      <c r="DG1622" s="3748"/>
      <c r="DH1622" s="3748"/>
      <c r="DI1622" s="3754"/>
      <c r="DJ1622" s="3752"/>
      <c r="DK1622" s="3753"/>
      <c r="DL1622" s="3748"/>
      <c r="DM1622" s="3748"/>
      <c r="DN1622" s="3754"/>
      <c r="DO1622" s="3752"/>
      <c r="DP1622" s="3748"/>
      <c r="DQ1622" s="3748"/>
      <c r="DR1622" s="3748"/>
      <c r="DS1622" s="3754"/>
      <c r="DT1622" s="3752"/>
      <c r="DU1622" s="3748"/>
      <c r="DV1622" s="3748"/>
      <c r="DW1622" s="3748"/>
      <c r="DX1622" s="3754"/>
      <c r="DY1622" s="3752"/>
      <c r="DZ1622" s="3748"/>
      <c r="EA1622" s="3748"/>
      <c r="EB1622" s="3748"/>
      <c r="EC1622" s="3754"/>
      <c r="ED1622" s="3752"/>
      <c r="EE1622" s="3753"/>
      <c r="EF1622" s="3748"/>
      <c r="EG1622" s="3748"/>
      <c r="EH1622" s="3754"/>
      <c r="EI1622" s="3753"/>
      <c r="EJ1622" s="3752"/>
      <c r="EK1622" s="3752"/>
      <c r="EL1622" s="3752"/>
      <c r="EM1622" s="3752"/>
      <c r="EN1622" s="3752"/>
      <c r="EO1622" s="3754"/>
      <c r="EP1622" s="3752"/>
      <c r="EQ1622" s="3752"/>
      <c r="ER1622" s="3752"/>
      <c r="ES1622" s="3752"/>
      <c r="ET1622" s="3754"/>
      <c r="EU1622" s="3752"/>
      <c r="EV1622" s="3752"/>
      <c r="EW1622" s="3752"/>
      <c r="EX1622" s="3752"/>
    </row>
    <row r="1623" spans="1:154" ht="12.75" hidden="1" customHeight="1" outlineLevel="1">
      <c r="B1623" s="336" t="s">
        <v>1020</v>
      </c>
      <c r="C1623" s="1392"/>
      <c r="D1623" s="894"/>
      <c r="E1623" s="894"/>
      <c r="F1623" s="895"/>
      <c r="G1623" s="895"/>
      <c r="H1623" s="895"/>
      <c r="I1623" s="895"/>
      <c r="J1623" s="895"/>
      <c r="K1623" s="895"/>
      <c r="L1623" s="895"/>
      <c r="M1623" s="895"/>
      <c r="N1623" s="895"/>
      <c r="O1623" s="896"/>
      <c r="P1623" s="895"/>
      <c r="Q1623" s="895"/>
      <c r="R1623" s="895"/>
      <c r="S1623" s="895"/>
      <c r="T1623" s="896"/>
      <c r="U1623" s="895"/>
      <c r="V1623" s="895"/>
      <c r="W1623" s="895"/>
      <c r="X1623" s="899"/>
      <c r="Y1623" s="896"/>
      <c r="Z1623" s="895"/>
      <c r="AA1623" s="895"/>
      <c r="AB1623" s="895"/>
      <c r="AC1623" s="899"/>
      <c r="AD1623" s="896"/>
      <c r="AE1623" s="895"/>
      <c r="AF1623" s="895"/>
      <c r="AG1623" s="895"/>
      <c r="AH1623" s="899"/>
      <c r="AI1623" s="896"/>
      <c r="AJ1623" s="895"/>
      <c r="AK1623" s="895"/>
      <c r="AL1623" s="895"/>
      <c r="AM1623" s="899"/>
      <c r="AN1623" s="896"/>
      <c r="AO1623" s="895"/>
      <c r="AP1623" s="895"/>
      <c r="AQ1623" s="897"/>
      <c r="AR1623" s="899"/>
      <c r="AS1623" s="896"/>
      <c r="AT1623" s="895"/>
      <c r="AU1623" s="895"/>
      <c r="AV1623" s="895"/>
      <c r="AW1623" s="899"/>
      <c r="AX1623" s="896"/>
      <c r="AY1623" s="895"/>
      <c r="AZ1623" s="895"/>
      <c r="BA1623" s="895"/>
      <c r="BB1623" s="899"/>
      <c r="BC1623" s="896"/>
      <c r="BD1623" s="895"/>
      <c r="BE1623" s="895"/>
      <c r="BF1623" s="895"/>
      <c r="BG1623" s="899"/>
      <c r="BH1623" s="896"/>
      <c r="BI1623" s="895"/>
      <c r="BJ1623" s="895"/>
      <c r="BK1623" s="895"/>
      <c r="BL1623" s="899"/>
      <c r="BM1623" s="895"/>
      <c r="BN1623" s="895"/>
      <c r="BO1623" s="895"/>
      <c r="BP1623" s="895"/>
      <c r="BQ1623" s="899"/>
      <c r="BR1623" s="895"/>
      <c r="BS1623" s="895"/>
      <c r="BT1623" s="895"/>
      <c r="BU1623" s="895"/>
      <c r="BV1623" s="899"/>
      <c r="BW1623" s="895"/>
      <c r="BX1623" s="895"/>
      <c r="BY1623" s="895"/>
      <c r="BZ1623" s="895"/>
      <c r="CA1623" s="899"/>
      <c r="CB1623" s="895"/>
      <c r="CC1623" s="895"/>
      <c r="CD1623" s="895"/>
      <c r="CE1623" s="895"/>
      <c r="CF1623" s="899"/>
      <c r="CG1623" s="895"/>
      <c r="CH1623" s="895"/>
      <c r="CI1623" s="895"/>
      <c r="CJ1623" s="895"/>
      <c r="CK1623" s="899"/>
      <c r="CL1623" s="1015"/>
      <c r="CM1623" s="895"/>
      <c r="CN1623" s="895"/>
      <c r="CO1623" s="895"/>
      <c r="CP1623" s="899"/>
      <c r="CQ1623" s="895"/>
      <c r="CR1623" s="895"/>
      <c r="CS1623" s="895"/>
      <c r="CT1623" s="915"/>
      <c r="CU1623" s="899"/>
      <c r="CV1623" s="895"/>
      <c r="CW1623" s="895"/>
      <c r="CX1623" s="895"/>
      <c r="CY1623" s="915"/>
      <c r="CZ1623" s="899"/>
      <c r="DA1623" s="1015"/>
      <c r="DB1623" s="895"/>
      <c r="DC1623" s="895"/>
      <c r="DD1623" s="915"/>
      <c r="DE1623" s="899"/>
      <c r="DF1623" s="895"/>
      <c r="DG1623" s="895"/>
      <c r="DH1623" s="895"/>
      <c r="DI1623" s="915"/>
      <c r="DJ1623" s="899"/>
      <c r="DK1623" s="895"/>
      <c r="DL1623" s="895"/>
      <c r="DM1623" s="895"/>
      <c r="DN1623" s="915"/>
      <c r="DO1623" s="899"/>
      <c r="DP1623" s="895"/>
      <c r="DQ1623" s="895"/>
      <c r="DR1623" s="895"/>
      <c r="DS1623" s="915"/>
      <c r="DT1623" s="899"/>
      <c r="DU1623" s="895"/>
      <c r="DV1623" s="895"/>
      <c r="DW1623" s="895"/>
      <c r="DX1623" s="915"/>
      <c r="DY1623" s="899"/>
      <c r="DZ1623" s="895"/>
      <c r="EA1623" s="895"/>
      <c r="EB1623" s="895"/>
      <c r="EC1623" s="915"/>
      <c r="ED1623" s="899"/>
      <c r="EE1623" s="1015"/>
      <c r="EF1623" s="895"/>
      <c r="EG1623" s="895"/>
      <c r="EH1623" s="915"/>
      <c r="EI1623" s="899"/>
      <c r="EJ1623" s="899"/>
      <c r="EK1623" s="899"/>
      <c r="EL1623" s="899"/>
      <c r="EM1623" s="899"/>
      <c r="EN1623" s="899"/>
      <c r="EO1623" s="899"/>
      <c r="EP1623" s="899"/>
      <c r="EQ1623" s="899"/>
      <c r="ER1623" s="899"/>
      <c r="ES1623" s="899"/>
      <c r="ET1623" s="899"/>
      <c r="EU1623" s="899"/>
      <c r="EV1623" s="899"/>
      <c r="EW1623" s="899"/>
      <c r="EX1623" s="899"/>
    </row>
    <row r="1624" spans="1:154" ht="12.75" hidden="1" customHeight="1" outlineLevel="1">
      <c r="B1624" s="3657" t="s">
        <v>659</v>
      </c>
      <c r="C1624" s="2026"/>
      <c r="D1624" s="900"/>
      <c r="E1624" s="900"/>
      <c r="F1624" s="901"/>
      <c r="G1624" s="901"/>
      <c r="H1624" s="901"/>
      <c r="I1624" s="901"/>
      <c r="J1624" s="901"/>
      <c r="K1624" s="901"/>
      <c r="L1624" s="901"/>
      <c r="M1624" s="901"/>
      <c r="N1624" s="901"/>
      <c r="O1624" s="902"/>
      <c r="P1624" s="901"/>
      <c r="Q1624" s="901"/>
      <c r="R1624" s="901"/>
      <c r="S1624" s="901"/>
      <c r="T1624" s="902"/>
      <c r="U1624" s="901"/>
      <c r="V1624" s="901"/>
      <c r="W1624" s="901"/>
      <c r="X1624" s="904"/>
      <c r="Y1624" s="902"/>
      <c r="Z1624" s="901"/>
      <c r="AA1624" s="901"/>
      <c r="AB1624" s="901"/>
      <c r="AC1624" s="904"/>
      <c r="AD1624" s="902"/>
      <c r="AE1624" s="901"/>
      <c r="AF1624" s="901"/>
      <c r="AG1624" s="901"/>
      <c r="AH1624" s="904"/>
      <c r="AI1624" s="902"/>
      <c r="AJ1624" s="901"/>
      <c r="AK1624" s="901"/>
      <c r="AL1624" s="901"/>
      <c r="AM1624" s="904"/>
      <c r="AN1624" s="902"/>
      <c r="AO1624" s="901"/>
      <c r="AP1624" s="901"/>
      <c r="AQ1624" s="903"/>
      <c r="AR1624" s="904"/>
      <c r="AS1624" s="902"/>
      <c r="AT1624" s="901"/>
      <c r="AU1624" s="901"/>
      <c r="AV1624" s="901"/>
      <c r="AW1624" s="904"/>
      <c r="AX1624" s="902"/>
      <c r="AY1624" s="901"/>
      <c r="AZ1624" s="901"/>
      <c r="BA1624" s="901"/>
      <c r="BB1624" s="904"/>
      <c r="BC1624" s="902"/>
      <c r="BD1624" s="901"/>
      <c r="BE1624" s="901"/>
      <c r="BF1624" s="901"/>
      <c r="BG1624" s="904"/>
      <c r="BH1624" s="902"/>
      <c r="BI1624" s="901"/>
      <c r="BJ1624" s="901"/>
      <c r="BK1624" s="901"/>
      <c r="BL1624" s="904"/>
      <c r="BM1624" s="901"/>
      <c r="BN1624" s="901"/>
      <c r="BO1624" s="901"/>
      <c r="BP1624" s="901"/>
      <c r="BQ1624" s="904"/>
      <c r="BR1624" s="901"/>
      <c r="BS1624" s="901"/>
      <c r="BT1624" s="901"/>
      <c r="BU1624" s="901"/>
      <c r="BV1624" s="904"/>
      <c r="BW1624" s="901"/>
      <c r="BX1624" s="901"/>
      <c r="BY1624" s="901"/>
      <c r="BZ1624" s="901"/>
      <c r="CA1624" s="904"/>
      <c r="CB1624" s="901"/>
      <c r="CC1624" s="901"/>
      <c r="CD1624" s="901"/>
      <c r="CE1624" s="901"/>
      <c r="CF1624" s="904"/>
      <c r="CG1624" s="901"/>
      <c r="CH1624" s="901"/>
      <c r="CI1624" s="901"/>
      <c r="CJ1624" s="901"/>
      <c r="CK1624" s="905"/>
      <c r="CL1624" s="1016"/>
      <c r="CM1624" s="901"/>
      <c r="CN1624" s="901"/>
      <c r="CO1624" s="901"/>
      <c r="CP1624" s="905"/>
      <c r="CQ1624" s="901"/>
      <c r="CR1624" s="901"/>
      <c r="CS1624" s="901"/>
      <c r="CT1624" s="1017"/>
      <c r="CU1624" s="905"/>
      <c r="CV1624" s="901"/>
      <c r="CW1624" s="901"/>
      <c r="CX1624" s="901"/>
      <c r="CY1624" s="1017"/>
      <c r="CZ1624" s="905"/>
      <c r="DA1624" s="1016"/>
      <c r="DB1624" s="901"/>
      <c r="DC1624" s="901"/>
      <c r="DD1624" s="1017"/>
      <c r="DE1624" s="905"/>
      <c r="DF1624" s="901"/>
      <c r="DG1624" s="901"/>
      <c r="DH1624" s="901"/>
      <c r="DI1624" s="1017"/>
      <c r="DJ1624" s="905"/>
      <c r="DK1624" s="901"/>
      <c r="DL1624" s="901"/>
      <c r="DM1624" s="901"/>
      <c r="DN1624" s="1017"/>
      <c r="DO1624" s="905"/>
      <c r="DP1624" s="901"/>
      <c r="DQ1624" s="901"/>
      <c r="DR1624" s="901"/>
      <c r="DS1624" s="1017"/>
      <c r="DT1624" s="905"/>
      <c r="DU1624" s="901"/>
      <c r="DV1624" s="901"/>
      <c r="DW1624" s="901"/>
      <c r="DX1624" s="1017"/>
      <c r="DY1624" s="905"/>
      <c r="DZ1624" s="901"/>
      <c r="EA1624" s="901"/>
      <c r="EB1624" s="901"/>
      <c r="EC1624" s="1017"/>
      <c r="ED1624" s="905"/>
      <c r="EE1624" s="1016"/>
      <c r="EF1624" s="901"/>
      <c r="EG1624" s="901"/>
      <c r="EH1624" s="1017"/>
      <c r="EI1624" s="1016"/>
      <c r="EJ1624" s="905"/>
      <c r="EK1624" s="905"/>
      <c r="EL1624" s="905"/>
      <c r="EM1624" s="905"/>
      <c r="EN1624" s="905"/>
      <c r="EO1624" s="1017"/>
      <c r="EP1624" s="905"/>
      <c r="EQ1624" s="905"/>
      <c r="ER1624" s="905"/>
      <c r="ES1624" s="905"/>
      <c r="ET1624" s="905"/>
      <c r="EU1624" s="905"/>
      <c r="EV1624" s="905"/>
      <c r="EW1624" s="905"/>
      <c r="EX1624" s="899"/>
    </row>
    <row r="1625" spans="1:154" ht="13.35" hidden="1" customHeight="1" outlineLevel="1">
      <c r="B1625" s="3666" t="s">
        <v>153</v>
      </c>
      <c r="C1625" s="2026" t="s">
        <v>660</v>
      </c>
      <c r="D1625" s="900"/>
      <c r="E1625" s="900"/>
      <c r="F1625" s="901"/>
      <c r="G1625" s="901"/>
      <c r="H1625" s="901"/>
      <c r="I1625" s="901"/>
      <c r="J1625" s="901"/>
      <c r="K1625" s="901"/>
      <c r="L1625" s="901"/>
      <c r="M1625" s="901"/>
      <c r="N1625" s="901"/>
      <c r="O1625" s="902"/>
      <c r="P1625" s="901"/>
      <c r="Q1625" s="901"/>
      <c r="R1625" s="901"/>
      <c r="S1625" s="901"/>
      <c r="T1625" s="902"/>
      <c r="U1625" s="901"/>
      <c r="V1625" s="901"/>
      <c r="W1625" s="901"/>
      <c r="X1625" s="905"/>
      <c r="Y1625" s="902"/>
      <c r="Z1625" s="901"/>
      <c r="AA1625" s="901"/>
      <c r="AB1625" s="901"/>
      <c r="AC1625" s="905"/>
      <c r="AD1625" s="902"/>
      <c r="AE1625" s="901"/>
      <c r="AF1625" s="901"/>
      <c r="AG1625" s="901"/>
      <c r="AH1625" s="905"/>
      <c r="AI1625" s="902"/>
      <c r="AJ1625" s="901"/>
      <c r="AK1625" s="901"/>
      <c r="AL1625" s="901"/>
      <c r="AM1625" s="905"/>
      <c r="AN1625" s="902"/>
      <c r="AO1625" s="901"/>
      <c r="AP1625" s="901"/>
      <c r="AQ1625" s="903"/>
      <c r="AR1625" s="905"/>
      <c r="AS1625" s="902"/>
      <c r="AT1625" s="901"/>
      <c r="AU1625" s="901"/>
      <c r="AV1625" s="901"/>
      <c r="AW1625" s="905"/>
      <c r="AX1625" s="902"/>
      <c r="AY1625" s="901"/>
      <c r="AZ1625" s="901"/>
      <c r="BA1625" s="901"/>
      <c r="BB1625" s="905"/>
      <c r="BC1625" s="902"/>
      <c r="BD1625" s="901"/>
      <c r="BE1625" s="901"/>
      <c r="BF1625" s="901"/>
      <c r="BG1625" s="905"/>
      <c r="BH1625" s="902"/>
      <c r="BI1625" s="901"/>
      <c r="BJ1625" s="901"/>
      <c r="BK1625" s="901"/>
      <c r="BL1625" s="905"/>
      <c r="BM1625" s="901"/>
      <c r="BN1625" s="3652"/>
      <c r="BO1625" s="901"/>
      <c r="BP1625" s="901"/>
      <c r="BQ1625" s="905"/>
      <c r="BR1625" s="901"/>
      <c r="BS1625" s="3652"/>
      <c r="BT1625" s="901"/>
      <c r="BU1625" s="901"/>
      <c r="BV1625" s="905"/>
      <c r="BW1625" s="3652"/>
      <c r="BX1625" s="3652"/>
      <c r="BY1625" s="3652"/>
      <c r="BZ1625" s="3652"/>
      <c r="CA1625" s="905"/>
      <c r="CB1625" s="3652"/>
      <c r="CC1625" s="901"/>
      <c r="CD1625" s="3652"/>
      <c r="CE1625" s="3652"/>
      <c r="CF1625" s="905"/>
      <c r="CG1625" s="3652"/>
      <c r="CH1625" s="3652"/>
      <c r="CI1625" s="3652"/>
      <c r="CJ1625" s="3652"/>
      <c r="CK1625" s="905"/>
      <c r="CL1625" s="1016"/>
      <c r="CM1625" s="901"/>
      <c r="CN1625" s="901"/>
      <c r="CO1625" s="3652"/>
      <c r="CP1625" s="3667">
        <v>0</v>
      </c>
      <c r="CQ1625" s="901"/>
      <c r="CR1625" s="901"/>
      <c r="CS1625" s="901"/>
      <c r="CT1625" s="1017"/>
      <c r="CU1625" s="3667">
        <v>0</v>
      </c>
      <c r="CV1625" s="901"/>
      <c r="CW1625" s="901"/>
      <c r="CX1625" s="901"/>
      <c r="CY1625" s="1017"/>
      <c r="CZ1625" s="3667"/>
      <c r="DA1625" s="3733"/>
      <c r="DB1625" s="3652"/>
      <c r="DC1625" s="3652"/>
      <c r="DD1625" s="1017">
        <f>+DE1625-SUM(DA1625:DC1625)</f>
      </c>
      <c r="DE1625" s="3667"/>
      <c r="DF1625" s="3652"/>
      <c r="DG1625" s="3652"/>
      <c r="DH1625" s="3652"/>
      <c r="DI1625" s="1017"/>
      <c r="DJ1625" s="3667"/>
      <c r="DK1625" s="3652"/>
      <c r="DL1625" s="3652"/>
      <c r="DM1625" s="3652"/>
      <c r="DN1625" s="1017"/>
      <c r="DO1625" s="3667"/>
      <c r="DP1625" s="3652"/>
      <c r="DQ1625" s="3652"/>
      <c r="DR1625" s="3652"/>
      <c r="DS1625" s="1017"/>
      <c r="DT1625" s="3667"/>
      <c r="DU1625" s="3652"/>
      <c r="DV1625" s="3652"/>
      <c r="DW1625" s="3652"/>
      <c r="DX1625" s="1017"/>
      <c r="DY1625" s="3667"/>
      <c r="DZ1625" s="3652"/>
      <c r="EA1625" s="3652"/>
      <c r="EB1625" s="3652"/>
      <c r="EC1625" s="1017"/>
      <c r="ED1625" s="3667"/>
      <c r="EE1625" s="3733"/>
      <c r="EF1625" s="3652"/>
      <c r="EG1625" s="3652"/>
      <c r="EH1625" s="3668"/>
      <c r="EI1625" s="3733"/>
      <c r="EJ1625" s="3667"/>
      <c r="EK1625" s="3667"/>
      <c r="EL1625" s="3667"/>
      <c r="EM1625" s="3667"/>
      <c r="EN1625" s="3667"/>
      <c r="EO1625" s="3668"/>
      <c r="EP1625" s="3667"/>
      <c r="EQ1625" s="3667"/>
      <c r="ER1625" s="3667"/>
      <c r="ES1625" s="3667"/>
      <c r="ET1625" s="3667"/>
      <c r="EU1625" s="3667"/>
      <c r="EV1625" s="3667"/>
      <c r="EW1625" s="3667"/>
      <c r="EX1625" s="909"/>
    </row>
    <row r="1626" spans="1:154" ht="12.75" hidden="1" customHeight="1" outlineLevel="1">
      <c r="B1626" s="3666" t="s">
        <v>235</v>
      </c>
      <c r="C1626" s="2026"/>
      <c r="D1626" s="900"/>
      <c r="E1626" s="900"/>
      <c r="F1626" s="901"/>
      <c r="G1626" s="901"/>
      <c r="H1626" s="901"/>
      <c r="I1626" s="901"/>
      <c r="J1626" s="901"/>
      <c r="K1626" s="901"/>
      <c r="L1626" s="901"/>
      <c r="M1626" s="901"/>
      <c r="N1626" s="901"/>
      <c r="O1626" s="902"/>
      <c r="P1626" s="901"/>
      <c r="Q1626" s="901"/>
      <c r="R1626" s="901"/>
      <c r="S1626" s="901"/>
      <c r="T1626" s="902"/>
      <c r="U1626" s="901"/>
      <c r="V1626" s="901"/>
      <c r="W1626" s="901"/>
      <c r="X1626" s="905"/>
      <c r="Y1626" s="902"/>
      <c r="Z1626" s="901"/>
      <c r="AA1626" s="901"/>
      <c r="AB1626" s="901"/>
      <c r="AC1626" s="905"/>
      <c r="AD1626" s="902"/>
      <c r="AE1626" s="901"/>
      <c r="AF1626" s="901"/>
      <c r="AG1626" s="901"/>
      <c r="AH1626" s="905"/>
      <c r="AI1626" s="902"/>
      <c r="AJ1626" s="901"/>
      <c r="AK1626" s="901"/>
      <c r="AL1626" s="901"/>
      <c r="AM1626" s="905"/>
      <c r="AN1626" s="902"/>
      <c r="AO1626" s="901"/>
      <c r="AP1626" s="901"/>
      <c r="AQ1626" s="903"/>
      <c r="AR1626" s="905"/>
      <c r="AS1626" s="902"/>
      <c r="AT1626" s="901"/>
      <c r="AU1626" s="901"/>
      <c r="AV1626" s="901"/>
      <c r="AW1626" s="905"/>
      <c r="AX1626" s="902"/>
      <c r="AY1626" s="901"/>
      <c r="AZ1626" s="901"/>
      <c r="BA1626" s="901"/>
      <c r="BB1626" s="905"/>
      <c r="BC1626" s="902"/>
      <c r="BD1626" s="901"/>
      <c r="BE1626" s="901"/>
      <c r="BF1626" s="901"/>
      <c r="BG1626" s="905"/>
      <c r="BH1626" s="902"/>
      <c r="BI1626" s="901"/>
      <c r="BJ1626" s="901"/>
      <c r="BK1626" s="901"/>
      <c r="BL1626" s="905"/>
      <c r="BM1626" s="901"/>
      <c r="BN1626" s="3652"/>
      <c r="BO1626" s="901"/>
      <c r="BP1626" s="901"/>
      <c r="BQ1626" s="905"/>
      <c r="BR1626" s="901"/>
      <c r="BS1626" s="3652"/>
      <c r="BT1626" s="901"/>
      <c r="BU1626" s="901"/>
      <c r="BV1626" s="905"/>
      <c r="BW1626" s="3652"/>
      <c r="BX1626" s="3652"/>
      <c r="BY1626" s="3652"/>
      <c r="BZ1626" s="3652"/>
      <c r="CA1626" s="905"/>
      <c r="CB1626" s="3652"/>
      <c r="CC1626" s="901"/>
      <c r="CD1626" s="3652"/>
      <c r="CE1626" s="3652"/>
      <c r="CF1626" s="905"/>
      <c r="CG1626" s="3652"/>
      <c r="CH1626" s="3652"/>
      <c r="CI1626" s="3652"/>
      <c r="CJ1626" s="3652"/>
      <c r="CK1626" s="905"/>
      <c r="CL1626" s="1016"/>
      <c r="CM1626" s="901"/>
      <c r="CN1626" s="901"/>
      <c r="CO1626" s="3652"/>
      <c r="CP1626" s="3667">
        <v>0</v>
      </c>
      <c r="CQ1626" s="901"/>
      <c r="CR1626" s="901"/>
      <c r="CS1626" s="901"/>
      <c r="CT1626" s="1017"/>
      <c r="CU1626" s="3667">
        <v>0</v>
      </c>
      <c r="CV1626" s="901"/>
      <c r="CW1626" s="901"/>
      <c r="CX1626" s="901"/>
      <c r="CY1626" s="1017"/>
      <c r="CZ1626" s="3667">
        <v>0</v>
      </c>
      <c r="DA1626" s="3733"/>
      <c r="DB1626" s="3652"/>
      <c r="DC1626" s="3652"/>
      <c r="DD1626" s="1017">
        <f>+DE1626-SUM(DA1626:DC1626)</f>
      </c>
      <c r="DE1626" s="3667"/>
      <c r="DF1626" s="3652"/>
      <c r="DG1626" s="3652"/>
      <c r="DH1626" s="3652"/>
      <c r="DI1626" s="1017"/>
      <c r="DJ1626" s="3667"/>
      <c r="DK1626" s="3652"/>
      <c r="DL1626" s="3652"/>
      <c r="DM1626" s="3652"/>
      <c r="DN1626" s="1017"/>
      <c r="DO1626" s="3667"/>
      <c r="DP1626" s="3652"/>
      <c r="DQ1626" s="3652"/>
      <c r="DR1626" s="3652"/>
      <c r="DS1626" s="1017"/>
      <c r="DT1626" s="3667"/>
      <c r="DU1626" s="3652"/>
      <c r="DV1626" s="3652"/>
      <c r="DW1626" s="3652"/>
      <c r="DX1626" s="1017"/>
      <c r="DY1626" s="3667"/>
      <c r="DZ1626" s="3652"/>
      <c r="EA1626" s="3652"/>
      <c r="EB1626" s="3652"/>
      <c r="EC1626" s="1017"/>
      <c r="ED1626" s="3667"/>
      <c r="EE1626" s="3733"/>
      <c r="EF1626" s="3652"/>
      <c r="EG1626" s="3652"/>
      <c r="EH1626" s="3668"/>
      <c r="EI1626" s="3733"/>
      <c r="EJ1626" s="3667"/>
      <c r="EK1626" s="3667"/>
      <c r="EL1626" s="3667"/>
      <c r="EM1626" s="3667"/>
      <c r="EN1626" s="3667"/>
      <c r="EO1626" s="3668"/>
      <c r="EP1626" s="3667"/>
      <c r="EQ1626" s="3667"/>
      <c r="ER1626" s="3667"/>
      <c r="ES1626" s="3667"/>
      <c r="ET1626" s="3667"/>
      <c r="EU1626" s="3667"/>
      <c r="EV1626" s="3667"/>
      <c r="EW1626" s="3667"/>
      <c r="EX1626" s="909"/>
    </row>
    <row r="1627" spans="1:154" ht="12.75" hidden="1" customHeight="1" outlineLevel="1">
      <c r="B1627" s="3666" t="s">
        <v>188</v>
      </c>
      <c r="C1627" s="2026"/>
      <c r="D1627" s="900"/>
      <c r="E1627" s="900"/>
      <c r="F1627" s="901"/>
      <c r="G1627" s="901"/>
      <c r="H1627" s="901"/>
      <c r="I1627" s="901"/>
      <c r="J1627" s="901"/>
      <c r="K1627" s="901"/>
      <c r="L1627" s="901"/>
      <c r="M1627" s="901"/>
      <c r="N1627" s="901"/>
      <c r="O1627" s="902"/>
      <c r="P1627" s="901"/>
      <c r="Q1627" s="901"/>
      <c r="R1627" s="901"/>
      <c r="S1627" s="901"/>
      <c r="T1627" s="902"/>
      <c r="U1627" s="901"/>
      <c r="V1627" s="901"/>
      <c r="W1627" s="901"/>
      <c r="X1627" s="905"/>
      <c r="Y1627" s="902"/>
      <c r="Z1627" s="901"/>
      <c r="AA1627" s="901"/>
      <c r="AB1627" s="901"/>
      <c r="AC1627" s="905"/>
      <c r="AD1627" s="902"/>
      <c r="AE1627" s="901"/>
      <c r="AF1627" s="901"/>
      <c r="AG1627" s="901"/>
      <c r="AH1627" s="905"/>
      <c r="AI1627" s="902"/>
      <c r="AJ1627" s="901"/>
      <c r="AK1627" s="901"/>
      <c r="AL1627" s="901"/>
      <c r="AM1627" s="905"/>
      <c r="AN1627" s="902"/>
      <c r="AO1627" s="901"/>
      <c r="AP1627" s="901"/>
      <c r="AQ1627" s="903"/>
      <c r="AR1627" s="905"/>
      <c r="AS1627" s="902"/>
      <c r="AT1627" s="901"/>
      <c r="AU1627" s="901"/>
      <c r="AV1627" s="901"/>
      <c r="AW1627" s="905"/>
      <c r="AX1627" s="902"/>
      <c r="AY1627" s="901"/>
      <c r="AZ1627" s="901"/>
      <c r="BA1627" s="901"/>
      <c r="BB1627" s="905"/>
      <c r="BC1627" s="902"/>
      <c r="BD1627" s="901"/>
      <c r="BE1627" s="901"/>
      <c r="BF1627" s="901"/>
      <c r="BG1627" s="905"/>
      <c r="BH1627" s="902"/>
      <c r="BI1627" s="901"/>
      <c r="BJ1627" s="901"/>
      <c r="BK1627" s="901"/>
      <c r="BL1627" s="905"/>
      <c r="BM1627" s="901"/>
      <c r="BN1627" s="901"/>
      <c r="BO1627" s="901"/>
      <c r="BP1627" s="901"/>
      <c r="BQ1627" s="905"/>
      <c r="BR1627" s="901"/>
      <c r="BS1627" s="901"/>
      <c r="BT1627" s="901"/>
      <c r="BU1627" s="901"/>
      <c r="BV1627" s="905"/>
      <c r="BW1627" s="901"/>
      <c r="BX1627" s="901"/>
      <c r="BY1627" s="901"/>
      <c r="BZ1627" s="901"/>
      <c r="CA1627" s="905"/>
      <c r="CB1627" s="901"/>
      <c r="CC1627" s="901"/>
      <c r="CD1627" s="901"/>
      <c r="CE1627" s="901"/>
      <c r="CF1627" s="905"/>
      <c r="CG1627" s="901"/>
      <c r="CH1627" s="901"/>
      <c r="CI1627" s="901"/>
      <c r="CJ1627" s="901"/>
      <c r="CK1627" s="905"/>
      <c r="CL1627" s="1016"/>
      <c r="CM1627" s="901"/>
      <c r="CN1627" s="901"/>
      <c r="CO1627" s="901"/>
      <c r="CP1627" s="905">
        <f>CP1625+CP1626</f>
      </c>
      <c r="CQ1627" s="901"/>
      <c r="CR1627" s="901"/>
      <c r="CS1627" s="901"/>
      <c r="CT1627" s="1017"/>
      <c r="CU1627" s="905">
        <f>CU1625+CU1626</f>
      </c>
      <c r="CV1627" s="901"/>
      <c r="CW1627" s="901"/>
      <c r="CX1627" s="901"/>
      <c r="CY1627" s="1017"/>
      <c r="CZ1627" s="905">
        <f>CZ1625+CZ1626</f>
      </c>
      <c r="DA1627" s="1016">
        <f>SUM(DA1625:DA1626)</f>
      </c>
      <c r="DB1627" s="901">
        <f>SUM(DB1625:DB1626)</f>
      </c>
      <c r="DC1627" s="901">
        <f>SUM(DC1625:DC1626)</f>
      </c>
      <c r="DD1627" s="1017">
        <f>SUM(DD1625:DD1626)</f>
      </c>
      <c r="DE1627" s="905">
        <f>DE1625+DE1626</f>
      </c>
      <c r="DF1627" s="901"/>
      <c r="DG1627" s="901"/>
      <c r="DH1627" s="901"/>
      <c r="DI1627" s="1017"/>
      <c r="DJ1627" s="905">
        <f>DJ1625+DJ1626</f>
      </c>
      <c r="DK1627" s="901"/>
      <c r="DL1627" s="901"/>
      <c r="DM1627" s="901"/>
      <c r="DN1627" s="1017"/>
      <c r="DO1627" s="905">
        <f>DO1625+DO1626</f>
      </c>
      <c r="DP1627" s="901"/>
      <c r="DQ1627" s="901"/>
      <c r="DR1627" s="901"/>
      <c r="DS1627" s="1017"/>
      <c r="DT1627" s="905">
        <f>DT1625+DT1626</f>
      </c>
      <c r="DU1627" s="901"/>
      <c r="DV1627" s="901"/>
      <c r="DW1627" s="901"/>
      <c r="DX1627" s="1017"/>
      <c r="DY1627" s="905">
        <f>DY1625+DY1626</f>
      </c>
      <c r="DZ1627" s="901"/>
      <c r="EA1627" s="901"/>
      <c r="EB1627" s="901"/>
      <c r="EC1627" s="1017"/>
      <c r="ED1627" s="905">
        <f>ED1625+ED1626</f>
      </c>
      <c r="EE1627" s="1016"/>
      <c r="EF1627" s="901"/>
      <c r="EG1627" s="901"/>
      <c r="EH1627" s="1017"/>
      <c r="EI1627" s="1016">
        <f>EI1625+EI1626</f>
      </c>
      <c r="EJ1627" s="905"/>
      <c r="EK1627" s="905"/>
      <c r="EL1627" s="905"/>
      <c r="EM1627" s="905"/>
      <c r="EN1627" s="905"/>
      <c r="EO1627" s="1017"/>
      <c r="EP1627" s="905"/>
      <c r="EQ1627" s="905"/>
      <c r="ER1627" s="905"/>
      <c r="ES1627" s="905"/>
      <c r="ET1627" s="905"/>
      <c r="EU1627" s="905"/>
      <c r="EV1627" s="905"/>
      <c r="EW1627" s="905"/>
      <c r="EX1627" s="899"/>
    </row>
    <row r="1628" spans="1:154" ht="12.75" hidden="1" customHeight="1" outlineLevel="1">
      <c r="B1628" s="3666"/>
      <c r="C1628" s="2026"/>
      <c r="D1628" s="900"/>
      <c r="E1628" s="900"/>
      <c r="F1628" s="901"/>
      <c r="G1628" s="901"/>
      <c r="H1628" s="901"/>
      <c r="I1628" s="901"/>
      <c r="J1628" s="901"/>
      <c r="K1628" s="901"/>
      <c r="L1628" s="901"/>
      <c r="M1628" s="901"/>
      <c r="N1628" s="901"/>
      <c r="O1628" s="902"/>
      <c r="P1628" s="901"/>
      <c r="Q1628" s="901"/>
      <c r="R1628" s="901"/>
      <c r="S1628" s="901"/>
      <c r="T1628" s="902"/>
      <c r="U1628" s="901"/>
      <c r="V1628" s="901"/>
      <c r="W1628" s="901"/>
      <c r="X1628" s="904"/>
      <c r="Y1628" s="902"/>
      <c r="Z1628" s="901"/>
      <c r="AA1628" s="901"/>
      <c r="AB1628" s="901"/>
      <c r="AC1628" s="904"/>
      <c r="AD1628" s="902"/>
      <c r="AE1628" s="901"/>
      <c r="AF1628" s="901"/>
      <c r="AG1628" s="901"/>
      <c r="AH1628" s="904"/>
      <c r="AI1628" s="902"/>
      <c r="AJ1628" s="901"/>
      <c r="AK1628" s="901"/>
      <c r="AL1628" s="901"/>
      <c r="AM1628" s="904"/>
      <c r="AN1628" s="902"/>
      <c r="AO1628" s="901"/>
      <c r="AP1628" s="901"/>
      <c r="AQ1628" s="903"/>
      <c r="AR1628" s="904"/>
      <c r="AS1628" s="902"/>
      <c r="AT1628" s="901"/>
      <c r="AU1628" s="901"/>
      <c r="AV1628" s="901"/>
      <c r="AW1628" s="904"/>
      <c r="AX1628" s="902"/>
      <c r="AY1628" s="901"/>
      <c r="AZ1628" s="901"/>
      <c r="BA1628" s="901"/>
      <c r="BB1628" s="904"/>
      <c r="BC1628" s="902"/>
      <c r="BD1628" s="901"/>
      <c r="BE1628" s="901"/>
      <c r="BF1628" s="901"/>
      <c r="BG1628" s="904"/>
      <c r="BH1628" s="902"/>
      <c r="BI1628" s="901"/>
      <c r="BJ1628" s="901"/>
      <c r="BK1628" s="901"/>
      <c r="BL1628" s="904"/>
      <c r="BM1628" s="901"/>
      <c r="BN1628" s="901"/>
      <c r="BO1628" s="901"/>
      <c r="BP1628" s="901"/>
      <c r="BQ1628" s="904"/>
      <c r="BR1628" s="901"/>
      <c r="BS1628" s="901"/>
      <c r="BT1628" s="901"/>
      <c r="BU1628" s="901"/>
      <c r="BV1628" s="904"/>
      <c r="BW1628" s="901"/>
      <c r="BX1628" s="901"/>
      <c r="BY1628" s="901"/>
      <c r="BZ1628" s="901"/>
      <c r="CA1628" s="904"/>
      <c r="CB1628" s="901"/>
      <c r="CC1628" s="901"/>
      <c r="CD1628" s="901"/>
      <c r="CE1628" s="901"/>
      <c r="CF1628" s="904"/>
      <c r="CG1628" s="901"/>
      <c r="CH1628" s="901"/>
      <c r="CI1628" s="901"/>
      <c r="CJ1628" s="901"/>
      <c r="CK1628" s="905"/>
      <c r="CL1628" s="1016"/>
      <c r="CM1628" s="901"/>
      <c r="CN1628" s="901"/>
      <c r="CO1628" s="901"/>
      <c r="CP1628" s="905"/>
      <c r="CQ1628" s="901"/>
      <c r="CR1628" s="901"/>
      <c r="CS1628" s="901"/>
      <c r="CT1628" s="1017"/>
      <c r="CU1628" s="905"/>
      <c r="CV1628" s="901"/>
      <c r="CW1628" s="901"/>
      <c r="CX1628" s="901"/>
      <c r="CY1628" s="1017"/>
      <c r="CZ1628" s="905"/>
      <c r="DA1628" s="1016"/>
      <c r="DB1628" s="901"/>
      <c r="DC1628" s="901"/>
      <c r="DD1628" s="1017"/>
      <c r="DE1628" s="905"/>
      <c r="DF1628" s="901"/>
      <c r="DG1628" s="901"/>
      <c r="DH1628" s="901"/>
      <c r="DI1628" s="1017"/>
      <c r="DJ1628" s="905"/>
      <c r="DK1628" s="901"/>
      <c r="DL1628" s="901"/>
      <c r="DM1628" s="901"/>
      <c r="DN1628" s="1017"/>
      <c r="DO1628" s="905"/>
      <c r="DP1628" s="901"/>
      <c r="DQ1628" s="901"/>
      <c r="DR1628" s="901"/>
      <c r="DS1628" s="1017"/>
      <c r="DT1628" s="905"/>
      <c r="DU1628" s="901"/>
      <c r="DV1628" s="901"/>
      <c r="DW1628" s="901"/>
      <c r="DX1628" s="1017"/>
      <c r="DY1628" s="905"/>
      <c r="DZ1628" s="901"/>
      <c r="EA1628" s="901"/>
      <c r="EB1628" s="901"/>
      <c r="EC1628" s="1017"/>
      <c r="ED1628" s="905"/>
      <c r="EE1628" s="1016"/>
      <c r="EF1628" s="901"/>
      <c r="EG1628" s="901"/>
      <c r="EH1628" s="1017"/>
      <c r="EI1628" s="1016"/>
      <c r="EJ1628" s="905"/>
      <c r="EK1628" s="905"/>
      <c r="EL1628" s="905"/>
      <c r="EM1628" s="905"/>
      <c r="EN1628" s="905"/>
      <c r="EO1628" s="1017"/>
      <c r="EP1628" s="905"/>
      <c r="EQ1628" s="905"/>
      <c r="ER1628" s="905"/>
      <c r="ES1628" s="905"/>
      <c r="ET1628" s="905"/>
      <c r="EU1628" s="905"/>
      <c r="EV1628" s="905"/>
      <c r="EW1628" s="905"/>
      <c r="EX1628" s="899"/>
    </row>
    <row r="1629" spans="1:154" ht="12.75" hidden="1" customHeight="1" outlineLevel="1">
      <c r="B1629" s="3657" t="str">
        <f>B1624</f>
      </c>
      <c r="C1629" s="2026"/>
      <c r="D1629" s="900"/>
      <c r="E1629" s="900"/>
      <c r="F1629" s="901"/>
      <c r="G1629" s="901"/>
      <c r="H1629" s="901"/>
      <c r="I1629" s="901"/>
      <c r="J1629" s="901"/>
      <c r="K1629" s="901"/>
      <c r="L1629" s="901"/>
      <c r="M1629" s="901"/>
      <c r="N1629" s="901"/>
      <c r="O1629" s="902"/>
      <c r="P1629" s="901"/>
      <c r="Q1629" s="901"/>
      <c r="R1629" s="901"/>
      <c r="S1629" s="901"/>
      <c r="T1629" s="902"/>
      <c r="U1629" s="901"/>
      <c r="V1629" s="901"/>
      <c r="W1629" s="901"/>
      <c r="X1629" s="905"/>
      <c r="Y1629" s="902"/>
      <c r="Z1629" s="901"/>
      <c r="AA1629" s="901"/>
      <c r="AB1629" s="901"/>
      <c r="AC1629" s="905"/>
      <c r="AD1629" s="902"/>
      <c r="AE1629" s="901"/>
      <c r="AF1629" s="901"/>
      <c r="AG1629" s="901"/>
      <c r="AH1629" s="905"/>
      <c r="AI1629" s="902"/>
      <c r="AJ1629" s="901"/>
      <c r="AK1629" s="901"/>
      <c r="AL1629" s="901"/>
      <c r="AM1629" s="905"/>
      <c r="AN1629" s="902"/>
      <c r="AO1629" s="901"/>
      <c r="AP1629" s="901"/>
      <c r="AQ1629" s="903"/>
      <c r="AR1629" s="905"/>
      <c r="AS1629" s="902"/>
      <c r="AT1629" s="901"/>
      <c r="AU1629" s="901"/>
      <c r="AV1629" s="901"/>
      <c r="AW1629" s="905"/>
      <c r="AX1629" s="902"/>
      <c r="AY1629" s="901"/>
      <c r="AZ1629" s="901"/>
      <c r="BA1629" s="901"/>
      <c r="BB1629" s="905"/>
      <c r="BC1629" s="902"/>
      <c r="BD1629" s="901"/>
      <c r="BE1629" s="901"/>
      <c r="BF1629" s="901"/>
      <c r="BG1629" s="905"/>
      <c r="BH1629" s="902"/>
      <c r="BI1629" s="901"/>
      <c r="BJ1629" s="901"/>
      <c r="BK1629" s="901"/>
      <c r="BL1629" s="905"/>
      <c r="BM1629" s="901"/>
      <c r="BN1629" s="3652"/>
      <c r="BO1629" s="901"/>
      <c r="BP1629" s="901"/>
      <c r="BQ1629" s="905"/>
      <c r="BR1629" s="901"/>
      <c r="BS1629" s="3652"/>
      <c r="BT1629" s="901"/>
      <c r="BU1629" s="901"/>
      <c r="BV1629" s="905"/>
      <c r="BW1629" s="3652"/>
      <c r="BX1629" s="3652"/>
      <c r="BY1629" s="3652"/>
      <c r="BZ1629" s="3652"/>
      <c r="CA1629" s="905"/>
      <c r="CB1629" s="3652"/>
      <c r="CC1629" s="901"/>
      <c r="CD1629" s="3652"/>
      <c r="CE1629" s="3652"/>
      <c r="CF1629" s="905"/>
      <c r="CG1629" s="3652"/>
      <c r="CH1629" s="3652"/>
      <c r="CI1629" s="3652"/>
      <c r="CJ1629" s="3652"/>
      <c r="CK1629" s="905"/>
      <c r="CL1629" s="1016"/>
      <c r="CM1629" s="901"/>
      <c r="CN1629" s="901"/>
      <c r="CO1629" s="3652"/>
      <c r="CP1629" s="3667"/>
      <c r="CQ1629" s="901"/>
      <c r="CR1629" s="901"/>
      <c r="CS1629" s="901"/>
      <c r="CT1629" s="1017"/>
      <c r="CU1629" s="3667"/>
      <c r="CV1629" s="901"/>
      <c r="CW1629" s="901"/>
      <c r="CX1629" s="901"/>
      <c r="CY1629" s="1017"/>
      <c r="CZ1629" s="3667"/>
      <c r="DA1629" s="3733"/>
      <c r="DB1629" s="3652"/>
      <c r="DC1629" s="3652"/>
      <c r="DD1629" s="3668"/>
      <c r="DE1629" s="3667"/>
      <c r="DF1629" s="3652"/>
      <c r="DG1629" s="3652"/>
      <c r="DH1629" s="3652"/>
      <c r="DI1629" s="3668"/>
      <c r="DJ1629" s="3667"/>
      <c r="DK1629" s="3652"/>
      <c r="DL1629" s="3652"/>
      <c r="DM1629" s="3652"/>
      <c r="DN1629" s="3668"/>
      <c r="DO1629" s="3667"/>
      <c r="DP1629" s="3652"/>
      <c r="DQ1629" s="3652"/>
      <c r="DR1629" s="3652"/>
      <c r="DS1629" s="3668"/>
      <c r="DT1629" s="3667"/>
      <c r="DU1629" s="3652"/>
      <c r="DV1629" s="3652"/>
      <c r="DW1629" s="3652"/>
      <c r="DX1629" s="3668"/>
      <c r="DY1629" s="3667"/>
      <c r="DZ1629" s="3652"/>
      <c r="EA1629" s="3652"/>
      <c r="EB1629" s="3652"/>
      <c r="EC1629" s="3668"/>
      <c r="ED1629" s="3667"/>
      <c r="EE1629" s="3733"/>
      <c r="EF1629" s="3652"/>
      <c r="EG1629" s="3652"/>
      <c r="EH1629" s="3668"/>
      <c r="EI1629" s="3733"/>
      <c r="EJ1629" s="3667"/>
      <c r="EK1629" s="3667"/>
      <c r="EL1629" s="3667"/>
      <c r="EM1629" s="3667"/>
      <c r="EN1629" s="3667"/>
      <c r="EO1629" s="3668"/>
      <c r="EP1629" s="3667"/>
      <c r="EQ1629" s="3667"/>
      <c r="ER1629" s="3667"/>
      <c r="ES1629" s="3667"/>
      <c r="ET1629" s="3667"/>
      <c r="EU1629" s="3667"/>
      <c r="EV1629" s="3667"/>
      <c r="EW1629" s="3667"/>
      <c r="EX1629" s="909"/>
    </row>
    <row r="1630" spans="1:154" ht="12.75" hidden="1" customHeight="1" outlineLevel="1">
      <c r="B1630" s="3666" t="s">
        <v>153</v>
      </c>
      <c r="C1630" s="3738"/>
      <c r="D1630" s="900"/>
      <c r="E1630" s="900"/>
      <c r="F1630" s="901"/>
      <c r="G1630" s="901"/>
      <c r="H1630" s="901"/>
      <c r="I1630" s="901"/>
      <c r="J1630" s="901"/>
      <c r="K1630" s="901"/>
      <c r="L1630" s="901"/>
      <c r="M1630" s="901"/>
      <c r="N1630" s="901"/>
      <c r="O1630" s="902"/>
      <c r="P1630" s="901"/>
      <c r="Q1630" s="901"/>
      <c r="R1630" s="901"/>
      <c r="S1630" s="901"/>
      <c r="T1630" s="902"/>
      <c r="U1630" s="901"/>
      <c r="V1630" s="901"/>
      <c r="W1630" s="901"/>
      <c r="X1630" s="905"/>
      <c r="Y1630" s="902"/>
      <c r="Z1630" s="901"/>
      <c r="AA1630" s="901"/>
      <c r="AB1630" s="901"/>
      <c r="AC1630" s="905"/>
      <c r="AD1630" s="902"/>
      <c r="AE1630" s="901"/>
      <c r="AF1630" s="901"/>
      <c r="AG1630" s="901"/>
      <c r="AH1630" s="905"/>
      <c r="AI1630" s="902"/>
      <c r="AJ1630" s="901"/>
      <c r="AK1630" s="901"/>
      <c r="AL1630" s="901"/>
      <c r="AM1630" s="905"/>
      <c r="AN1630" s="902"/>
      <c r="AO1630" s="901"/>
      <c r="AP1630" s="901"/>
      <c r="AQ1630" s="903"/>
      <c r="AR1630" s="905"/>
      <c r="AS1630" s="902"/>
      <c r="AT1630" s="901"/>
      <c r="AU1630" s="901"/>
      <c r="AV1630" s="901"/>
      <c r="AW1630" s="905"/>
      <c r="AX1630" s="902"/>
      <c r="AY1630" s="901"/>
      <c r="AZ1630" s="901"/>
      <c r="BA1630" s="901"/>
      <c r="BB1630" s="905"/>
      <c r="BC1630" s="902"/>
      <c r="BD1630" s="901"/>
      <c r="BE1630" s="901"/>
      <c r="BF1630" s="901"/>
      <c r="BG1630" s="905"/>
      <c r="BH1630" s="902"/>
      <c r="BI1630" s="901"/>
      <c r="BJ1630" s="901"/>
      <c r="BK1630" s="901"/>
      <c r="BL1630" s="905"/>
      <c r="BM1630" s="901"/>
      <c r="BN1630" s="901"/>
      <c r="BO1630" s="901"/>
      <c r="BP1630" s="901"/>
      <c r="BQ1630" s="905"/>
      <c r="BR1630" s="901"/>
      <c r="BS1630" s="901"/>
      <c r="BT1630" s="901"/>
      <c r="BU1630" s="901"/>
      <c r="BV1630" s="905"/>
      <c r="BW1630" s="901"/>
      <c r="BX1630" s="901"/>
      <c r="BY1630" s="901"/>
      <c r="BZ1630" s="901"/>
      <c r="CA1630" s="905"/>
      <c r="CB1630" s="901"/>
      <c r="CC1630" s="901"/>
      <c r="CD1630" s="901"/>
      <c r="CE1630" s="901"/>
      <c r="CF1630" s="905"/>
      <c r="CG1630" s="901"/>
      <c r="CH1630" s="901"/>
      <c r="CI1630" s="901"/>
      <c r="CJ1630" s="901"/>
      <c r="CK1630" s="905"/>
      <c r="CL1630" s="1016"/>
      <c r="CM1630" s="901"/>
      <c r="CN1630" s="901"/>
      <c r="CO1630" s="901"/>
      <c r="CP1630" s="905">
        <f>$C1630*CP1625</f>
      </c>
      <c r="CQ1630" s="901"/>
      <c r="CR1630" s="901"/>
      <c r="CS1630" s="901"/>
      <c r="CT1630" s="1017"/>
      <c r="CU1630" s="905">
        <f>$C1630*CU1625</f>
      </c>
      <c r="CV1630" s="901"/>
      <c r="CW1630" s="901"/>
      <c r="CX1630" s="901"/>
      <c r="CY1630" s="1017"/>
      <c r="CZ1630" s="905">
        <f t="shared" ref="CZ1630:DE1631" si="3021">$C1630*CZ1625</f>
      </c>
      <c r="DA1630" s="1016">
        <f t="shared" si="3021"/>
      </c>
      <c r="DB1630" s="901">
        <f t="shared" si="3021"/>
      </c>
      <c r="DC1630" s="901">
        <f t="shared" si="3021"/>
      </c>
      <c r="DD1630" s="1017">
        <f t="shared" si="3021"/>
      </c>
      <c r="DE1630" s="905">
        <f t="shared" si="3021"/>
      </c>
      <c r="DF1630" s="901"/>
      <c r="DG1630" s="901"/>
      <c r="DH1630" s="901"/>
      <c r="DI1630" s="1017"/>
      <c r="DJ1630" s="905">
        <f>$C1630*DJ1625</f>
      </c>
      <c r="DK1630" s="901"/>
      <c r="DL1630" s="901"/>
      <c r="DM1630" s="901"/>
      <c r="DN1630" s="1017"/>
      <c r="DO1630" s="905">
        <f>$C1630*DO1625</f>
      </c>
      <c r="DP1630" s="901"/>
      <c r="DQ1630" s="901"/>
      <c r="DR1630" s="901"/>
      <c r="DS1630" s="1017"/>
      <c r="DT1630" s="905">
        <f>$C1630*DT1625</f>
      </c>
      <c r="DU1630" s="901"/>
      <c r="DV1630" s="901"/>
      <c r="DW1630" s="901"/>
      <c r="DX1630" s="1017"/>
      <c r="DY1630" s="905">
        <f>$C1630*DY1625</f>
      </c>
      <c r="DZ1630" s="901"/>
      <c r="EA1630" s="901"/>
      <c r="EB1630" s="901"/>
      <c r="EC1630" s="1017"/>
      <c r="ED1630" s="905">
        <f>$C1630*ED1625</f>
      </c>
      <c r="EE1630" s="1016"/>
      <c r="EF1630" s="901"/>
      <c r="EG1630" s="901"/>
      <c r="EH1630" s="3668"/>
      <c r="EI1630" s="1016">
        <f>$C1630*EI1625</f>
      </c>
      <c r="EJ1630" s="905"/>
      <c r="EK1630" s="905"/>
      <c r="EL1630" s="905"/>
      <c r="EM1630" s="905"/>
      <c r="EN1630" s="905"/>
      <c r="EO1630" s="1017"/>
      <c r="EP1630" s="905"/>
      <c r="EQ1630" s="905"/>
      <c r="ER1630" s="905"/>
      <c r="ES1630" s="905"/>
      <c r="ET1630" s="905"/>
      <c r="EU1630" s="905"/>
      <c r="EV1630" s="905"/>
      <c r="EW1630" s="905"/>
      <c r="EX1630" s="899"/>
    </row>
    <row r="1631" spans="1:154" ht="12.75" hidden="1" customHeight="1" outlineLevel="1">
      <c r="B1631" s="3666" t="s">
        <v>235</v>
      </c>
      <c r="C1631" s="3738"/>
      <c r="D1631" s="900"/>
      <c r="E1631" s="900"/>
      <c r="F1631" s="901"/>
      <c r="G1631" s="901"/>
      <c r="H1631" s="901"/>
      <c r="I1631" s="901"/>
      <c r="J1631" s="901"/>
      <c r="K1631" s="901"/>
      <c r="L1631" s="901"/>
      <c r="M1631" s="901"/>
      <c r="N1631" s="901"/>
      <c r="O1631" s="902"/>
      <c r="P1631" s="901"/>
      <c r="Q1631" s="901"/>
      <c r="R1631" s="901"/>
      <c r="S1631" s="901"/>
      <c r="T1631" s="902"/>
      <c r="U1631" s="901"/>
      <c r="V1631" s="901"/>
      <c r="W1631" s="901"/>
      <c r="X1631" s="904"/>
      <c r="Y1631" s="902"/>
      <c r="Z1631" s="901"/>
      <c r="AA1631" s="901"/>
      <c r="AB1631" s="901"/>
      <c r="AC1631" s="904"/>
      <c r="AD1631" s="902"/>
      <c r="AE1631" s="901"/>
      <c r="AF1631" s="901"/>
      <c r="AG1631" s="901"/>
      <c r="AH1631" s="904"/>
      <c r="AI1631" s="902"/>
      <c r="AJ1631" s="901"/>
      <c r="AK1631" s="901"/>
      <c r="AL1631" s="901"/>
      <c r="AM1631" s="904"/>
      <c r="AN1631" s="902"/>
      <c r="AO1631" s="901"/>
      <c r="AP1631" s="901"/>
      <c r="AQ1631" s="903"/>
      <c r="AR1631" s="904"/>
      <c r="AS1631" s="902"/>
      <c r="AT1631" s="901"/>
      <c r="AU1631" s="901"/>
      <c r="AV1631" s="901"/>
      <c r="AW1631" s="904"/>
      <c r="AX1631" s="902"/>
      <c r="AY1631" s="901"/>
      <c r="AZ1631" s="901"/>
      <c r="BA1631" s="901"/>
      <c r="BB1631" s="904"/>
      <c r="BC1631" s="902"/>
      <c r="BD1631" s="901"/>
      <c r="BE1631" s="901"/>
      <c r="BF1631" s="901"/>
      <c r="BG1631" s="904"/>
      <c r="BH1631" s="902"/>
      <c r="BI1631" s="901"/>
      <c r="BJ1631" s="901"/>
      <c r="BK1631" s="901"/>
      <c r="BL1631" s="904"/>
      <c r="BM1631" s="901"/>
      <c r="BN1631" s="901"/>
      <c r="BO1631" s="901"/>
      <c r="BP1631" s="901"/>
      <c r="BQ1631" s="904"/>
      <c r="BR1631" s="901"/>
      <c r="BS1631" s="901"/>
      <c r="BT1631" s="901"/>
      <c r="BU1631" s="901"/>
      <c r="BV1631" s="904"/>
      <c r="BW1631" s="901"/>
      <c r="BX1631" s="901"/>
      <c r="BY1631" s="901"/>
      <c r="BZ1631" s="901"/>
      <c r="CA1631" s="904"/>
      <c r="CB1631" s="901"/>
      <c r="CC1631" s="901"/>
      <c r="CD1631" s="901"/>
      <c r="CE1631" s="901"/>
      <c r="CF1631" s="904"/>
      <c r="CG1631" s="901"/>
      <c r="CH1631" s="901"/>
      <c r="CI1631" s="901"/>
      <c r="CJ1631" s="901"/>
      <c r="CK1631" s="905"/>
      <c r="CL1631" s="1016"/>
      <c r="CM1631" s="901"/>
      <c r="CN1631" s="901"/>
      <c r="CO1631" s="901"/>
      <c r="CP1631" s="905">
        <f>$C1631*CP1626</f>
      </c>
      <c r="CQ1631" s="901"/>
      <c r="CR1631" s="901"/>
      <c r="CS1631" s="901"/>
      <c r="CT1631" s="1017"/>
      <c r="CU1631" s="905">
        <f>$C1631*CU1626</f>
      </c>
      <c r="CV1631" s="901"/>
      <c r="CW1631" s="901"/>
      <c r="CX1631" s="901"/>
      <c r="CY1631" s="1017"/>
      <c r="CZ1631" s="905">
        <f t="shared" si="3021"/>
      </c>
      <c r="DA1631" s="1016">
        <f t="shared" si="3021"/>
      </c>
      <c r="DB1631" s="901">
        <f t="shared" si="3021"/>
      </c>
      <c r="DC1631" s="901">
        <f t="shared" si="3021"/>
      </c>
      <c r="DD1631" s="1017">
        <f t="shared" si="3021"/>
      </c>
      <c r="DE1631" s="905">
        <f t="shared" si="3021"/>
      </c>
      <c r="DF1631" s="901"/>
      <c r="DG1631" s="901"/>
      <c r="DH1631" s="901"/>
      <c r="DI1631" s="1017"/>
      <c r="DJ1631" s="905">
        <f>$C1631*DJ1626</f>
      </c>
      <c r="DK1631" s="901"/>
      <c r="DL1631" s="901"/>
      <c r="DM1631" s="901"/>
      <c r="DN1631" s="1017"/>
      <c r="DO1631" s="905">
        <f>$C1631*DO1626</f>
      </c>
      <c r="DP1631" s="901"/>
      <c r="DQ1631" s="901"/>
      <c r="DR1631" s="901"/>
      <c r="DS1631" s="1017"/>
      <c r="DT1631" s="905">
        <f>$C1631*DT1626</f>
      </c>
      <c r="DU1631" s="901"/>
      <c r="DV1631" s="901"/>
      <c r="DW1631" s="901"/>
      <c r="DX1631" s="1017"/>
      <c r="DY1631" s="905">
        <f>$C1631*DY1626</f>
      </c>
      <c r="DZ1631" s="901"/>
      <c r="EA1631" s="901"/>
      <c r="EB1631" s="901"/>
      <c r="EC1631" s="1017"/>
      <c r="ED1631" s="905">
        <f>$C1631*ED1626</f>
      </c>
      <c r="EE1631" s="1016"/>
      <c r="EF1631" s="901"/>
      <c r="EG1631" s="901"/>
      <c r="EH1631" s="3668"/>
      <c r="EI1631" s="1016">
        <f>$C1631*EI1626</f>
      </c>
      <c r="EJ1631" s="905"/>
      <c r="EK1631" s="905"/>
      <c r="EL1631" s="905"/>
      <c r="EM1631" s="905"/>
      <c r="EN1631" s="905"/>
      <c r="EO1631" s="1017"/>
      <c r="EP1631" s="905"/>
      <c r="EQ1631" s="905"/>
      <c r="ER1631" s="905"/>
      <c r="ES1631" s="905"/>
      <c r="ET1631" s="905"/>
      <c r="EU1631" s="905"/>
      <c r="EV1631" s="905"/>
      <c r="EW1631" s="905"/>
      <c r="EX1631" s="899"/>
    </row>
    <row r="1632" spans="1:154" ht="12.75" hidden="1" customHeight="1" outlineLevel="1">
      <c r="A1632" s="3275" t="s">
        <v>653</v>
      </c>
      <c r="B1632" s="3666" t="s">
        <v>188</v>
      </c>
      <c r="C1632" s="2026" t="s">
        <v>585</v>
      </c>
      <c r="D1632" s="900"/>
      <c r="E1632" s="900"/>
      <c r="F1632" s="901"/>
      <c r="G1632" s="901"/>
      <c r="H1632" s="901"/>
      <c r="I1632" s="901"/>
      <c r="J1632" s="901"/>
      <c r="K1632" s="901"/>
      <c r="L1632" s="901"/>
      <c r="M1632" s="901"/>
      <c r="N1632" s="901"/>
      <c r="O1632" s="902"/>
      <c r="P1632" s="901"/>
      <c r="Q1632" s="901"/>
      <c r="R1632" s="901"/>
      <c r="S1632" s="901"/>
      <c r="T1632" s="902"/>
      <c r="U1632" s="901"/>
      <c r="V1632" s="901"/>
      <c r="W1632" s="901"/>
      <c r="X1632" s="905"/>
      <c r="Y1632" s="902"/>
      <c r="Z1632" s="901"/>
      <c r="AA1632" s="901"/>
      <c r="AB1632" s="901"/>
      <c r="AC1632" s="905"/>
      <c r="AD1632" s="902"/>
      <c r="AE1632" s="901"/>
      <c r="AF1632" s="901"/>
      <c r="AG1632" s="901"/>
      <c r="AH1632" s="905"/>
      <c r="AI1632" s="902"/>
      <c r="AJ1632" s="901"/>
      <c r="AK1632" s="901"/>
      <c r="AL1632" s="901"/>
      <c r="AM1632" s="905"/>
      <c r="AN1632" s="902"/>
      <c r="AO1632" s="901"/>
      <c r="AP1632" s="901"/>
      <c r="AQ1632" s="903"/>
      <c r="AR1632" s="905"/>
      <c r="AS1632" s="902"/>
      <c r="AT1632" s="901"/>
      <c r="AU1632" s="901"/>
      <c r="AV1632" s="901"/>
      <c r="AW1632" s="905"/>
      <c r="AX1632" s="902"/>
      <c r="AY1632" s="901"/>
      <c r="AZ1632" s="901"/>
      <c r="BA1632" s="901"/>
      <c r="BB1632" s="905"/>
      <c r="BC1632" s="902"/>
      <c r="BD1632" s="901"/>
      <c r="BE1632" s="901"/>
      <c r="BF1632" s="901"/>
      <c r="BG1632" s="905"/>
      <c r="BH1632" s="902"/>
      <c r="BI1632" s="901"/>
      <c r="BJ1632" s="901"/>
      <c r="BK1632" s="901"/>
      <c r="BL1632" s="905"/>
      <c r="BM1632" s="901"/>
      <c r="BN1632" s="901"/>
      <c r="BO1632" s="901"/>
      <c r="BP1632" s="901"/>
      <c r="BQ1632" s="905"/>
      <c r="BR1632" s="901"/>
      <c r="BS1632" s="901"/>
      <c r="BT1632" s="901"/>
      <c r="BU1632" s="901"/>
      <c r="BV1632" s="905"/>
      <c r="BW1632" s="3652"/>
      <c r="BX1632" s="901"/>
      <c r="BY1632" s="901"/>
      <c r="BZ1632" s="901"/>
      <c r="CA1632" s="905"/>
      <c r="CB1632" s="901"/>
      <c r="CC1632" s="901"/>
      <c r="CD1632" s="901"/>
      <c r="CE1632" s="901"/>
      <c r="CF1632" s="905"/>
      <c r="CG1632" s="901"/>
      <c r="CH1632" s="901"/>
      <c r="CI1632" s="901"/>
      <c r="CJ1632" s="901"/>
      <c r="CK1632" s="905"/>
      <c r="CL1632" s="1016"/>
      <c r="CM1632" s="901"/>
      <c r="CN1632" s="901"/>
      <c r="CO1632" s="901"/>
      <c r="CP1632" s="905">
        <f>CP1630+CP1631</f>
      </c>
      <c r="CQ1632" s="901"/>
      <c r="CR1632" s="901"/>
      <c r="CS1632" s="901"/>
      <c r="CT1632" s="1017"/>
      <c r="CU1632" s="905">
        <f>CU1630+CU1631</f>
      </c>
      <c r="CV1632" s="901"/>
      <c r="CW1632" s="901"/>
      <c r="CX1632" s="901"/>
      <c r="CY1632" s="1017"/>
      <c r="CZ1632" s="905">
        <f t="shared" ref="CZ1632:DE1632" si="3022">CZ1630+CZ1631</f>
      </c>
      <c r="DA1632" s="1016">
        <f t="shared" si="3022"/>
      </c>
      <c r="DB1632" s="901">
        <f t="shared" si="3022"/>
      </c>
      <c r="DC1632" s="901">
        <f t="shared" si="3022"/>
      </c>
      <c r="DD1632" s="1017">
        <f t="shared" si="3022"/>
      </c>
      <c r="DE1632" s="905">
        <f t="shared" si="3022"/>
      </c>
      <c r="DF1632" s="901"/>
      <c r="DG1632" s="901"/>
      <c r="DH1632" s="901"/>
      <c r="DI1632" s="1017"/>
      <c r="DJ1632" s="905">
        <f>DJ1630+DJ1631</f>
      </c>
      <c r="DK1632" s="901"/>
      <c r="DL1632" s="901"/>
      <c r="DM1632" s="901"/>
      <c r="DN1632" s="1017"/>
      <c r="DO1632" s="905">
        <f>DO1630+DO1631</f>
      </c>
      <c r="DP1632" s="901"/>
      <c r="DQ1632" s="901"/>
      <c r="DR1632" s="901"/>
      <c r="DS1632" s="1017"/>
      <c r="DT1632" s="905">
        <f>DT1630+DT1631</f>
      </c>
      <c r="DU1632" s="901"/>
      <c r="DV1632" s="901"/>
      <c r="DW1632" s="901"/>
      <c r="DX1632" s="1017"/>
      <c r="DY1632" s="905">
        <f>DY1630+DY1631</f>
      </c>
      <c r="DZ1632" s="901"/>
      <c r="EA1632" s="901"/>
      <c r="EB1632" s="901"/>
      <c r="EC1632" s="1017"/>
      <c r="ED1632" s="905">
        <f>ED1630+ED1631</f>
      </c>
      <c r="EE1632" s="1016"/>
      <c r="EF1632" s="901"/>
      <c r="EG1632" s="901"/>
      <c r="EH1632" s="1017"/>
      <c r="EI1632" s="1016">
        <f>EI1630+EI1631</f>
      </c>
      <c r="EJ1632" s="905"/>
      <c r="EK1632" s="905"/>
      <c r="EL1632" s="905"/>
      <c r="EM1632" s="905"/>
      <c r="EN1632" s="905"/>
      <c r="EO1632" s="1017"/>
      <c r="EP1632" s="905"/>
      <c r="EQ1632" s="905"/>
      <c r="ER1632" s="905"/>
      <c r="ES1632" s="905"/>
      <c r="ET1632" s="905"/>
      <c r="EU1632" s="905"/>
      <c r="EV1632" s="905"/>
      <c r="EW1632" s="905"/>
      <c r="EX1632" s="899"/>
    </row>
    <row r="1633" spans="1:154" ht="12.75" hidden="1" customHeight="1" outlineLevel="1">
      <c r="B1633" s="907"/>
      <c r="C1633" s="1392"/>
      <c r="D1633" s="894"/>
      <c r="E1633" s="894"/>
      <c r="F1633" s="895"/>
      <c r="G1633" s="895"/>
      <c r="H1633" s="895"/>
      <c r="I1633" s="895"/>
      <c r="J1633" s="895"/>
      <c r="K1633" s="895"/>
      <c r="L1633" s="895"/>
      <c r="M1633" s="895"/>
      <c r="N1633" s="895"/>
      <c r="O1633" s="896"/>
      <c r="P1633" s="895"/>
      <c r="Q1633" s="895"/>
      <c r="R1633" s="895"/>
      <c r="S1633" s="895"/>
      <c r="T1633" s="896"/>
      <c r="U1633" s="895"/>
      <c r="V1633" s="895"/>
      <c r="W1633" s="895"/>
      <c r="X1633" s="899"/>
      <c r="Y1633" s="896"/>
      <c r="Z1633" s="895"/>
      <c r="AA1633" s="895"/>
      <c r="AB1633" s="895"/>
      <c r="AC1633" s="899"/>
      <c r="AD1633" s="896"/>
      <c r="AE1633" s="895"/>
      <c r="AF1633" s="895"/>
      <c r="AG1633" s="895"/>
      <c r="AH1633" s="899"/>
      <c r="AI1633" s="896"/>
      <c r="AJ1633" s="895"/>
      <c r="AK1633" s="895"/>
      <c r="AL1633" s="895"/>
      <c r="AM1633" s="899"/>
      <c r="AN1633" s="896"/>
      <c r="AO1633" s="895"/>
      <c r="AP1633" s="895"/>
      <c r="AQ1633" s="897"/>
      <c r="AR1633" s="899"/>
      <c r="AS1633" s="896"/>
      <c r="AT1633" s="895"/>
      <c r="AU1633" s="895"/>
      <c r="AV1633" s="895"/>
      <c r="AW1633" s="899"/>
      <c r="AX1633" s="896"/>
      <c r="AY1633" s="895"/>
      <c r="AZ1633" s="895"/>
      <c r="BA1633" s="895"/>
      <c r="BB1633" s="899"/>
      <c r="BC1633" s="896"/>
      <c r="BD1633" s="895"/>
      <c r="BE1633" s="895"/>
      <c r="BF1633" s="895"/>
      <c r="BG1633" s="899"/>
      <c r="BH1633" s="896"/>
      <c r="BI1633" s="895"/>
      <c r="BJ1633" s="895"/>
      <c r="BK1633" s="895"/>
      <c r="BL1633" s="899"/>
      <c r="BM1633" s="895"/>
      <c r="BN1633" s="895"/>
      <c r="BO1633" s="895"/>
      <c r="BP1633" s="895"/>
      <c r="BQ1633" s="899"/>
      <c r="BR1633" s="895"/>
      <c r="BS1633" s="895"/>
      <c r="BT1633" s="895"/>
      <c r="BU1633" s="895"/>
      <c r="BV1633" s="899"/>
      <c r="BW1633" s="895"/>
      <c r="BX1633" s="895"/>
      <c r="BY1633" s="895"/>
      <c r="BZ1633" s="895"/>
      <c r="CA1633" s="899"/>
      <c r="CB1633" s="895"/>
      <c r="CC1633" s="895"/>
      <c r="CD1633" s="895"/>
      <c r="CE1633" s="895"/>
      <c r="CF1633" s="899"/>
      <c r="CG1633" s="895"/>
      <c r="CH1633" s="895"/>
      <c r="CI1633" s="895"/>
      <c r="CJ1633" s="895"/>
      <c r="CK1633" s="899"/>
      <c r="CL1633" s="1015"/>
      <c r="CM1633" s="895"/>
      <c r="CN1633" s="895"/>
      <c r="CO1633" s="895"/>
      <c r="CP1633" s="899"/>
      <c r="CQ1633" s="895"/>
      <c r="CR1633" s="895"/>
      <c r="CS1633" s="895"/>
      <c r="CT1633" s="915"/>
      <c r="CU1633" s="899"/>
      <c r="CV1633" s="895"/>
      <c r="CW1633" s="895"/>
      <c r="CX1633" s="895"/>
      <c r="CY1633" s="915"/>
      <c r="CZ1633" s="899"/>
      <c r="DA1633" s="1513"/>
      <c r="DB1633" s="1509"/>
      <c r="DC1633" s="1509"/>
      <c r="DD1633" s="1514"/>
      <c r="DE1633" s="1369"/>
      <c r="DF1633" s="1509"/>
      <c r="DG1633" s="1509"/>
      <c r="DH1633" s="1509"/>
      <c r="DI1633" s="1514"/>
      <c r="DJ1633" s="1369"/>
      <c r="DK1633" s="1509"/>
      <c r="DL1633" s="1509"/>
      <c r="DM1633" s="1509"/>
      <c r="DN1633" s="1514"/>
      <c r="DO1633" s="1369"/>
      <c r="DP1633" s="1509"/>
      <c r="DQ1633" s="1509"/>
      <c r="DR1633" s="1509"/>
      <c r="DS1633" s="1514"/>
      <c r="DT1633" s="1369"/>
      <c r="DU1633" s="1509"/>
      <c r="DV1633" s="1509"/>
      <c r="DW1633" s="1509"/>
      <c r="DX1633" s="1514"/>
      <c r="DY1633" s="1369"/>
      <c r="DZ1633" s="1509"/>
      <c r="EA1633" s="1509"/>
      <c r="EB1633" s="1509"/>
      <c r="EC1633" s="1514"/>
      <c r="ED1633" s="1369"/>
      <c r="EE1633" s="1513"/>
      <c r="EF1633" s="1509"/>
      <c r="EG1633" s="1509"/>
      <c r="EH1633" s="1514"/>
      <c r="EI1633" s="1369"/>
      <c r="EJ1633" s="1369"/>
      <c r="EK1633" s="1369"/>
      <c r="EL1633" s="1369"/>
      <c r="EM1633" s="1369"/>
      <c r="EN1633" s="1369"/>
      <c r="EO1633" s="1369"/>
      <c r="EP1633" s="1369"/>
      <c r="EQ1633" s="1369"/>
      <c r="ER1633" s="1369"/>
      <c r="ES1633" s="1369"/>
      <c r="ET1633" s="1369"/>
      <c r="EU1633" s="1369"/>
      <c r="EV1633" s="1369"/>
      <c r="EW1633" s="1369"/>
      <c r="EX1633" s="1369"/>
    </row>
    <row r="1634" spans="1:154" ht="12.75" customHeight="1" collapsed="1">
      <c r="B1634" s="3745" t="s">
        <v>1021</v>
      </c>
      <c r="C1634" s="3746"/>
      <c r="D1634" s="3747"/>
      <c r="E1634" s="3747"/>
      <c r="F1634" s="3748"/>
      <c r="G1634" s="3748"/>
      <c r="H1634" s="3748"/>
      <c r="I1634" s="3748"/>
      <c r="J1634" s="3748"/>
      <c r="K1634" s="3748"/>
      <c r="L1634" s="3748"/>
      <c r="M1634" s="3748"/>
      <c r="N1634" s="3748"/>
      <c r="O1634" s="3749"/>
      <c r="P1634" s="3748"/>
      <c r="Q1634" s="3748"/>
      <c r="R1634" s="3748"/>
      <c r="S1634" s="3748"/>
      <c r="T1634" s="3749"/>
      <c r="U1634" s="3748"/>
      <c r="V1634" s="3748"/>
      <c r="W1634" s="3748"/>
      <c r="X1634" s="3750"/>
      <c r="Y1634" s="3749"/>
      <c r="Z1634" s="3748"/>
      <c r="AA1634" s="3748"/>
      <c r="AB1634" s="3748"/>
      <c r="AC1634" s="3750"/>
      <c r="AD1634" s="3749"/>
      <c r="AE1634" s="3748"/>
      <c r="AF1634" s="3748"/>
      <c r="AG1634" s="3748"/>
      <c r="AH1634" s="3750"/>
      <c r="AI1634" s="3749"/>
      <c r="AJ1634" s="3748"/>
      <c r="AK1634" s="3748"/>
      <c r="AL1634" s="3748"/>
      <c r="AM1634" s="3750"/>
      <c r="AN1634" s="3749"/>
      <c r="AO1634" s="3748"/>
      <c r="AP1634" s="3748"/>
      <c r="AQ1634" s="3751"/>
      <c r="AR1634" s="3750"/>
      <c r="AS1634" s="3749"/>
      <c r="AT1634" s="3748"/>
      <c r="AU1634" s="3748"/>
      <c r="AV1634" s="3748"/>
      <c r="AW1634" s="3750"/>
      <c r="AX1634" s="3749"/>
      <c r="AY1634" s="3748"/>
      <c r="AZ1634" s="3748"/>
      <c r="BA1634" s="3748"/>
      <c r="BB1634" s="3750"/>
      <c r="BC1634" s="3749"/>
      <c r="BD1634" s="3748"/>
      <c r="BE1634" s="3748"/>
      <c r="BF1634" s="3748"/>
      <c r="BG1634" s="3750"/>
      <c r="BH1634" s="3749"/>
      <c r="BI1634" s="3748"/>
      <c r="BJ1634" s="3748"/>
      <c r="BK1634" s="3748"/>
      <c r="BL1634" s="3750"/>
      <c r="BM1634" s="3748"/>
      <c r="BN1634" s="3748"/>
      <c r="BO1634" s="3748"/>
      <c r="BP1634" s="3748"/>
      <c r="BQ1634" s="3750"/>
      <c r="BR1634" s="3748"/>
      <c r="BS1634" s="3748"/>
      <c r="BT1634" s="3748"/>
      <c r="BU1634" s="3748"/>
      <c r="BV1634" s="3750"/>
      <c r="BW1634" s="3748"/>
      <c r="BX1634" s="3748"/>
      <c r="BY1634" s="3748"/>
      <c r="BZ1634" s="3748"/>
      <c r="CA1634" s="3750"/>
      <c r="CB1634" s="3748"/>
      <c r="CC1634" s="3748"/>
      <c r="CD1634" s="3748"/>
      <c r="CE1634" s="3748"/>
      <c r="CF1634" s="3750"/>
      <c r="CG1634" s="3748"/>
      <c r="CH1634" s="3748"/>
      <c r="CI1634" s="3748"/>
      <c r="CJ1634" s="3748"/>
      <c r="CK1634" s="3752"/>
      <c r="CL1634" s="3753"/>
      <c r="CM1634" s="3748"/>
      <c r="CN1634" s="3748"/>
      <c r="CO1634" s="3748"/>
      <c r="CP1634" s="3752"/>
      <c r="CQ1634" s="3748"/>
      <c r="CR1634" s="3748"/>
      <c r="CS1634" s="3748"/>
      <c r="CT1634" s="3754"/>
      <c r="CU1634" s="3752"/>
      <c r="CV1634" s="3748"/>
      <c r="CW1634" s="3748"/>
      <c r="CX1634" s="3748"/>
      <c r="CY1634" s="3754"/>
      <c r="CZ1634" s="3752"/>
      <c r="DA1634" s="3753"/>
      <c r="DB1634" s="3748"/>
      <c r="DC1634" s="3748"/>
      <c r="DD1634" s="3754"/>
      <c r="DE1634" s="3752"/>
      <c r="DF1634" s="3753"/>
      <c r="DG1634" s="3748"/>
      <c r="DH1634" s="3748"/>
      <c r="DI1634" s="3754"/>
      <c r="DJ1634" s="3752"/>
      <c r="DK1634" s="3753"/>
      <c r="DL1634" s="3748"/>
      <c r="DM1634" s="3748"/>
      <c r="DN1634" s="3754"/>
      <c r="DO1634" s="3752"/>
      <c r="DP1634" s="3748"/>
      <c r="DQ1634" s="3748"/>
      <c r="DR1634" s="3748"/>
      <c r="DS1634" s="3754"/>
      <c r="DT1634" s="3752"/>
      <c r="DU1634" s="3748"/>
      <c r="DV1634" s="3748"/>
      <c r="DW1634" s="3748"/>
      <c r="DX1634" s="3754"/>
      <c r="DY1634" s="3752"/>
      <c r="DZ1634" s="3748"/>
      <c r="EA1634" s="3748"/>
      <c r="EB1634" s="3748"/>
      <c r="EC1634" s="3754"/>
      <c r="ED1634" s="3752"/>
      <c r="EE1634" s="3753"/>
      <c r="EF1634" s="3748"/>
      <c r="EG1634" s="3748"/>
      <c r="EH1634" s="3754"/>
      <c r="EI1634" s="3753"/>
      <c r="EJ1634" s="3752"/>
      <c r="EK1634" s="3752"/>
      <c r="EL1634" s="3752"/>
      <c r="EM1634" s="3752"/>
      <c r="EN1634" s="3752"/>
      <c r="EO1634" s="3754"/>
      <c r="EP1634" s="3752"/>
      <c r="EQ1634" s="3752"/>
      <c r="ER1634" s="3752"/>
      <c r="ES1634" s="3752"/>
      <c r="ET1634" s="3754"/>
      <c r="EU1634" s="3752"/>
      <c r="EV1634" s="3752"/>
      <c r="EW1634" s="3752"/>
      <c r="EX1634" s="3752"/>
    </row>
    <row r="1635" spans="1:154" ht="12.75" hidden="1" customHeight="1">
      <c r="B1635" s="906" t="s">
        <v>631</v>
      </c>
      <c r="C1635" s="1392" t="s">
        <v>642</v>
      </c>
      <c r="D1635" s="894"/>
      <c r="E1635" s="894"/>
      <c r="F1635" s="895"/>
      <c r="G1635" s="895"/>
      <c r="H1635" s="895"/>
      <c r="I1635" s="895"/>
      <c r="J1635" s="895"/>
      <c r="K1635" s="895"/>
      <c r="L1635" s="895"/>
      <c r="M1635" s="895"/>
      <c r="N1635" s="895"/>
      <c r="O1635" s="896"/>
      <c r="P1635" s="895"/>
      <c r="Q1635" s="895"/>
      <c r="R1635" s="895"/>
      <c r="S1635" s="895"/>
      <c r="T1635" s="896"/>
      <c r="U1635" s="895"/>
      <c r="V1635" s="895"/>
      <c r="W1635" s="895"/>
      <c r="X1635" s="898"/>
      <c r="Y1635" s="896"/>
      <c r="Z1635" s="895"/>
      <c r="AA1635" s="895"/>
      <c r="AB1635" s="895"/>
      <c r="AC1635" s="898"/>
      <c r="AD1635" s="896"/>
      <c r="AE1635" s="895"/>
      <c r="AF1635" s="895"/>
      <c r="AG1635" s="895"/>
      <c r="AH1635" s="898"/>
      <c r="AI1635" s="896"/>
      <c r="AJ1635" s="895"/>
      <c r="AK1635" s="895"/>
      <c r="AL1635" s="895"/>
      <c r="AM1635" s="898"/>
      <c r="AN1635" s="896"/>
      <c r="AO1635" s="895"/>
      <c r="AP1635" s="895"/>
      <c r="AQ1635" s="897"/>
      <c r="AR1635" s="898"/>
      <c r="AS1635" s="896"/>
      <c r="AT1635" s="895"/>
      <c r="AU1635" s="895"/>
      <c r="AV1635" s="895"/>
      <c r="AW1635" s="898"/>
      <c r="AX1635" s="896"/>
      <c r="AY1635" s="895"/>
      <c r="AZ1635" s="895"/>
      <c r="BA1635" s="895"/>
      <c r="BB1635" s="898"/>
      <c r="BC1635" s="896"/>
      <c r="BD1635" s="895"/>
      <c r="BE1635" s="895"/>
      <c r="BF1635" s="895"/>
      <c r="BG1635" s="898"/>
      <c r="BH1635" s="896"/>
      <c r="BI1635" s="895"/>
      <c r="BJ1635" s="895"/>
      <c r="BK1635" s="895"/>
      <c r="BL1635" s="898"/>
      <c r="BM1635" s="895"/>
      <c r="BN1635" s="895"/>
      <c r="BO1635" s="895"/>
      <c r="BP1635" s="895"/>
      <c r="BQ1635" s="898"/>
      <c r="BR1635" s="895"/>
      <c r="BS1635" s="895"/>
      <c r="BT1635" s="895"/>
      <c r="BU1635" s="895"/>
      <c r="BV1635" s="898"/>
      <c r="BW1635" s="895"/>
      <c r="BX1635" s="895"/>
      <c r="BY1635" s="895"/>
      <c r="BZ1635" s="895"/>
      <c r="CA1635" s="898"/>
      <c r="CB1635" s="895"/>
      <c r="CC1635" s="895"/>
      <c r="CD1635" s="895"/>
      <c r="CE1635" s="895"/>
      <c r="CF1635" s="898"/>
      <c r="CG1635" s="895"/>
      <c r="CH1635" s="895"/>
      <c r="CI1635" s="895"/>
      <c r="CJ1635" s="895"/>
      <c r="CK1635" s="899"/>
      <c r="CL1635" s="1015"/>
      <c r="CM1635" s="895"/>
      <c r="CN1635" s="895"/>
      <c r="CO1635" s="895"/>
      <c r="CP1635" s="899"/>
      <c r="CQ1635" s="895"/>
      <c r="CR1635" s="895"/>
      <c r="CS1635" s="895"/>
      <c r="CT1635" s="915"/>
      <c r="CU1635" s="899"/>
      <c r="CV1635" s="895"/>
      <c r="CW1635" s="895"/>
      <c r="CX1635" s="895"/>
      <c r="CY1635" s="915"/>
      <c r="CZ1635" s="899"/>
      <c r="DA1635" s="1015"/>
      <c r="DB1635" s="1509"/>
      <c r="DC1635" s="895"/>
      <c r="DD1635" s="915"/>
      <c r="DE1635" s="899"/>
      <c r="DF1635" s="1015"/>
      <c r="DG1635" s="895"/>
      <c r="DH1635" s="895"/>
      <c r="DI1635" s="915"/>
      <c r="DJ1635" s="899"/>
      <c r="DK1635" s="1015"/>
      <c r="DL1635" s="895"/>
      <c r="DM1635" s="895"/>
      <c r="DN1635" s="915"/>
      <c r="DO1635" s="899"/>
      <c r="DP1635" s="895"/>
      <c r="DQ1635" s="895"/>
      <c r="DR1635" s="895"/>
      <c r="DS1635" s="915"/>
      <c r="DT1635" s="899"/>
      <c r="DU1635" s="895"/>
      <c r="DV1635" s="895"/>
      <c r="DW1635" s="895"/>
      <c r="DX1635" s="915"/>
      <c r="DY1635" s="899"/>
      <c r="DZ1635" s="895"/>
      <c r="EA1635" s="895"/>
      <c r="EB1635" s="895"/>
      <c r="EC1635" s="915"/>
      <c r="ED1635" s="899"/>
      <c r="EE1635" s="1015"/>
      <c r="EF1635" s="895"/>
      <c r="EG1635" s="895"/>
      <c r="EH1635" s="915"/>
      <c r="EI1635" s="899"/>
      <c r="EJ1635" s="899"/>
      <c r="EK1635" s="899"/>
      <c r="EL1635" s="899"/>
      <c r="EM1635" s="899"/>
      <c r="EN1635" s="899"/>
      <c r="EO1635" s="899"/>
      <c r="EP1635" s="899"/>
      <c r="EQ1635" s="899"/>
      <c r="ER1635" s="899"/>
      <c r="ES1635" s="899"/>
      <c r="ET1635" s="899"/>
      <c r="EU1635" s="899"/>
      <c r="EV1635" s="899"/>
      <c r="EW1635" s="899"/>
      <c r="EX1635" s="899"/>
    </row>
    <row r="1636" spans="1:154" ht="12.75" hidden="1" customHeight="1">
      <c r="B1636" s="907" t="s">
        <v>153</v>
      </c>
      <c r="C1636" s="1392" t="s">
        <v>641</v>
      </c>
      <c r="D1636" s="894"/>
      <c r="E1636" s="894"/>
      <c r="F1636" s="895"/>
      <c r="G1636" s="895"/>
      <c r="H1636" s="895"/>
      <c r="I1636" s="895"/>
      <c r="J1636" s="895"/>
      <c r="K1636" s="895"/>
      <c r="L1636" s="895"/>
      <c r="M1636" s="895"/>
      <c r="N1636" s="895"/>
      <c r="O1636" s="896"/>
      <c r="P1636" s="895"/>
      <c r="Q1636" s="895"/>
      <c r="R1636" s="895"/>
      <c r="S1636" s="895"/>
      <c r="T1636" s="896"/>
      <c r="U1636" s="895"/>
      <c r="V1636" s="895"/>
      <c r="W1636" s="895"/>
      <c r="X1636" s="899"/>
      <c r="Y1636" s="896"/>
      <c r="Z1636" s="895"/>
      <c r="AA1636" s="895"/>
      <c r="AB1636" s="895"/>
      <c r="AC1636" s="899"/>
      <c r="AD1636" s="896"/>
      <c r="AE1636" s="895"/>
      <c r="AF1636" s="895"/>
      <c r="AG1636" s="895"/>
      <c r="AH1636" s="899"/>
      <c r="AI1636" s="896"/>
      <c r="AJ1636" s="895"/>
      <c r="AK1636" s="895"/>
      <c r="AL1636" s="895"/>
      <c r="AM1636" s="899"/>
      <c r="AN1636" s="896"/>
      <c r="AO1636" s="895"/>
      <c r="AP1636" s="895"/>
      <c r="AQ1636" s="897"/>
      <c r="AR1636" s="899"/>
      <c r="AS1636" s="896"/>
      <c r="AT1636" s="895"/>
      <c r="AU1636" s="895"/>
      <c r="AV1636" s="895"/>
      <c r="AW1636" s="899"/>
      <c r="AX1636" s="896"/>
      <c r="AY1636" s="895"/>
      <c r="AZ1636" s="895"/>
      <c r="BA1636" s="895"/>
      <c r="BB1636" s="899"/>
      <c r="BC1636" s="896"/>
      <c r="BD1636" s="895"/>
      <c r="BE1636" s="895"/>
      <c r="BF1636" s="895"/>
      <c r="BG1636" s="899"/>
      <c r="BH1636" s="896"/>
      <c r="BI1636" s="895"/>
      <c r="BJ1636" s="895"/>
      <c r="BK1636" s="895"/>
      <c r="BL1636" s="899"/>
      <c r="BM1636" s="895"/>
      <c r="BN1636" s="908"/>
      <c r="BO1636" s="895"/>
      <c r="BP1636" s="895"/>
      <c r="BQ1636" s="899"/>
      <c r="BR1636" s="895"/>
      <c r="BS1636" s="908"/>
      <c r="BT1636" s="895"/>
      <c r="BU1636" s="895"/>
      <c r="BV1636" s="899"/>
      <c r="BW1636" s="908"/>
      <c r="BX1636" s="908"/>
      <c r="BY1636" s="908"/>
      <c r="BZ1636" s="908"/>
      <c r="CA1636" s="899"/>
      <c r="CB1636" s="908"/>
      <c r="CC1636" s="895"/>
      <c r="CD1636" s="908"/>
      <c r="CE1636" s="908"/>
      <c r="CF1636" s="899"/>
      <c r="CG1636" s="908"/>
      <c r="CH1636" s="908"/>
      <c r="CI1636" s="908"/>
      <c r="CJ1636" s="908"/>
      <c r="CK1636" s="899"/>
      <c r="CL1636" s="1015"/>
      <c r="CM1636" s="895"/>
      <c r="CN1636" s="895"/>
      <c r="CO1636" s="908"/>
      <c r="CP1636" s="909">
        <v>0</v>
      </c>
      <c r="CQ1636" s="895"/>
      <c r="CR1636" s="895"/>
      <c r="CS1636" s="895"/>
      <c r="CT1636" s="915"/>
      <c r="CU1636" s="909">
        <v>0</v>
      </c>
      <c r="CV1636" s="895"/>
      <c r="CW1636" s="895"/>
      <c r="CX1636" s="895"/>
      <c r="CY1636" s="915"/>
      <c r="CZ1636" s="909"/>
      <c r="DA1636" s="1321"/>
      <c r="DB1636" s="1512"/>
      <c r="DC1636" s="908"/>
      <c r="DD1636" s="915">
        <f>+DE1636-SUM(DA1636:DC1636)</f>
      </c>
      <c r="DE1636" s="909"/>
      <c r="DF1636" s="1321"/>
      <c r="DG1636" s="908"/>
      <c r="DH1636" s="908"/>
      <c r="DI1636" s="915"/>
      <c r="DJ1636" s="909"/>
      <c r="DK1636" s="1498"/>
      <c r="DL1636" s="1498"/>
      <c r="DM1636" s="1498"/>
      <c r="DN1636" s="1498"/>
      <c r="DO1636" s="909"/>
      <c r="DP1636" s="1498"/>
      <c r="DQ1636" s="1498"/>
      <c r="DR1636" s="1498"/>
      <c r="DS1636" s="1498"/>
      <c r="DT1636" s="909"/>
      <c r="DU1636" s="1498"/>
      <c r="DV1636" s="1498"/>
      <c r="DW1636" s="1498"/>
      <c r="DX1636" s="1498"/>
      <c r="DY1636" s="909"/>
      <c r="DZ1636" s="1498"/>
      <c r="EA1636" s="1498"/>
      <c r="EB1636" s="1498"/>
      <c r="EC1636" s="1498"/>
      <c r="ED1636" s="909"/>
      <c r="EE1636" s="1321"/>
      <c r="EF1636" s="908"/>
      <c r="EG1636" s="908"/>
      <c r="EH1636" s="1498"/>
      <c r="EI1636" s="909"/>
      <c r="EJ1636" s="909"/>
      <c r="EK1636" s="909"/>
      <c r="EL1636" s="909"/>
      <c r="EM1636" s="909"/>
      <c r="EN1636" s="909"/>
      <c r="EO1636" s="909"/>
      <c r="EP1636" s="909"/>
      <c r="EQ1636" s="909"/>
      <c r="ER1636" s="909"/>
      <c r="ES1636" s="909"/>
      <c r="ET1636" s="909"/>
      <c r="EU1636" s="909"/>
      <c r="EV1636" s="909"/>
      <c r="EW1636" s="909"/>
      <c r="EX1636" s="909"/>
    </row>
    <row r="1637" spans="1:154" ht="12.75" hidden="1" customHeight="1">
      <c r="B1637" s="907" t="s">
        <v>235</v>
      </c>
      <c r="C1637" s="2028" t="s">
        <v>765</v>
      </c>
      <c r="D1637" s="894"/>
      <c r="E1637" s="894"/>
      <c r="F1637" s="895"/>
      <c r="G1637" s="895"/>
      <c r="H1637" s="895"/>
      <c r="I1637" s="895"/>
      <c r="J1637" s="895"/>
      <c r="K1637" s="895"/>
      <c r="L1637" s="895"/>
      <c r="M1637" s="895"/>
      <c r="N1637" s="895"/>
      <c r="O1637" s="896"/>
      <c r="P1637" s="895"/>
      <c r="Q1637" s="895"/>
      <c r="R1637" s="895"/>
      <c r="S1637" s="895"/>
      <c r="T1637" s="896"/>
      <c r="U1637" s="895"/>
      <c r="V1637" s="895"/>
      <c r="W1637" s="895"/>
      <c r="X1637" s="899"/>
      <c r="Y1637" s="896"/>
      <c r="Z1637" s="895"/>
      <c r="AA1637" s="895"/>
      <c r="AB1637" s="895"/>
      <c r="AC1637" s="899"/>
      <c r="AD1637" s="896"/>
      <c r="AE1637" s="895"/>
      <c r="AF1637" s="895"/>
      <c r="AG1637" s="895"/>
      <c r="AH1637" s="899"/>
      <c r="AI1637" s="896"/>
      <c r="AJ1637" s="895"/>
      <c r="AK1637" s="895"/>
      <c r="AL1637" s="895"/>
      <c r="AM1637" s="899"/>
      <c r="AN1637" s="896"/>
      <c r="AO1637" s="895"/>
      <c r="AP1637" s="895"/>
      <c r="AQ1637" s="897"/>
      <c r="AR1637" s="899"/>
      <c r="AS1637" s="896"/>
      <c r="AT1637" s="895"/>
      <c r="AU1637" s="895"/>
      <c r="AV1637" s="895"/>
      <c r="AW1637" s="899"/>
      <c r="AX1637" s="896"/>
      <c r="AY1637" s="895"/>
      <c r="AZ1637" s="895"/>
      <c r="BA1637" s="895"/>
      <c r="BB1637" s="899"/>
      <c r="BC1637" s="896"/>
      <c r="BD1637" s="895"/>
      <c r="BE1637" s="895"/>
      <c r="BF1637" s="895"/>
      <c r="BG1637" s="899"/>
      <c r="BH1637" s="896"/>
      <c r="BI1637" s="895"/>
      <c r="BJ1637" s="895"/>
      <c r="BK1637" s="895"/>
      <c r="BL1637" s="899"/>
      <c r="BM1637" s="895"/>
      <c r="BN1637" s="908"/>
      <c r="BO1637" s="895"/>
      <c r="BP1637" s="895"/>
      <c r="BQ1637" s="899"/>
      <c r="BR1637" s="895"/>
      <c r="BS1637" s="908"/>
      <c r="BT1637" s="895"/>
      <c r="BU1637" s="895"/>
      <c r="BV1637" s="899"/>
      <c r="BW1637" s="908"/>
      <c r="BX1637" s="908"/>
      <c r="BY1637" s="908"/>
      <c r="BZ1637" s="908"/>
      <c r="CA1637" s="899"/>
      <c r="CB1637" s="908"/>
      <c r="CC1637" s="895"/>
      <c r="CD1637" s="908"/>
      <c r="CE1637" s="908"/>
      <c r="CF1637" s="899"/>
      <c r="CG1637" s="908"/>
      <c r="CH1637" s="908"/>
      <c r="CI1637" s="908"/>
      <c r="CJ1637" s="908"/>
      <c r="CK1637" s="899"/>
      <c r="CL1637" s="1015"/>
      <c r="CM1637" s="895"/>
      <c r="CN1637" s="895"/>
      <c r="CO1637" s="908"/>
      <c r="CP1637" s="909">
        <v>0</v>
      </c>
      <c r="CQ1637" s="895"/>
      <c r="CR1637" s="895"/>
      <c r="CS1637" s="895"/>
      <c r="CT1637" s="915"/>
      <c r="CU1637" s="909">
        <v>0</v>
      </c>
      <c r="CV1637" s="895"/>
      <c r="CW1637" s="895"/>
      <c r="CX1637" s="895"/>
      <c r="CY1637" s="915"/>
      <c r="CZ1637" s="909">
        <v>0</v>
      </c>
      <c r="DA1637" s="1321"/>
      <c r="DB1637" s="1512"/>
      <c r="DC1637" s="908"/>
      <c r="DD1637" s="915">
        <f>+DE1637-SUM(DA1637:DC1637)</f>
      </c>
      <c r="DE1637" s="909"/>
      <c r="DF1637" s="1321"/>
      <c r="DG1637" s="908"/>
      <c r="DH1637" s="908"/>
      <c r="DI1637" s="915"/>
      <c r="DJ1637" s="909"/>
      <c r="DK1637" s="1498"/>
      <c r="DL1637" s="1498"/>
      <c r="DM1637" s="1498"/>
      <c r="DN1637" s="1498"/>
      <c r="DO1637" s="909"/>
      <c r="DP1637" s="1498"/>
      <c r="DQ1637" s="1498"/>
      <c r="DR1637" s="1498"/>
      <c r="DS1637" s="1498"/>
      <c r="DT1637" s="909"/>
      <c r="DU1637" s="1498"/>
      <c r="DV1637" s="1498"/>
      <c r="DW1637" s="1498"/>
      <c r="DX1637" s="1498"/>
      <c r="DY1637" s="909"/>
      <c r="DZ1637" s="1498"/>
      <c r="EA1637" s="1498"/>
      <c r="EB1637" s="1498"/>
      <c r="EC1637" s="1498"/>
      <c r="ED1637" s="909"/>
      <c r="EE1637" s="1321"/>
      <c r="EF1637" s="908"/>
      <c r="EG1637" s="908"/>
      <c r="EH1637" s="1498"/>
      <c r="EI1637" s="909"/>
      <c r="EJ1637" s="909"/>
      <c r="EK1637" s="909"/>
      <c r="EL1637" s="909"/>
      <c r="EM1637" s="909"/>
      <c r="EN1637" s="909"/>
      <c r="EO1637" s="909"/>
      <c r="EP1637" s="909"/>
      <c r="EQ1637" s="909"/>
      <c r="ER1637" s="909"/>
      <c r="ES1637" s="909"/>
      <c r="ET1637" s="909"/>
      <c r="EU1637" s="909"/>
      <c r="EV1637" s="909"/>
      <c r="EW1637" s="909"/>
      <c r="EX1637" s="909"/>
    </row>
    <row r="1638" spans="1:154" ht="12.75" hidden="1" customHeight="1">
      <c r="B1638" s="907" t="s">
        <v>188</v>
      </c>
      <c r="C1638" s="1392"/>
      <c r="D1638" s="894"/>
      <c r="E1638" s="894"/>
      <c r="F1638" s="895"/>
      <c r="G1638" s="895"/>
      <c r="H1638" s="895"/>
      <c r="I1638" s="895"/>
      <c r="J1638" s="895"/>
      <c r="K1638" s="895"/>
      <c r="L1638" s="895"/>
      <c r="M1638" s="895"/>
      <c r="N1638" s="895"/>
      <c r="O1638" s="896"/>
      <c r="P1638" s="895"/>
      <c r="Q1638" s="895"/>
      <c r="R1638" s="895"/>
      <c r="S1638" s="895"/>
      <c r="T1638" s="896"/>
      <c r="U1638" s="895"/>
      <c r="V1638" s="895"/>
      <c r="W1638" s="895"/>
      <c r="X1638" s="899"/>
      <c r="Y1638" s="896"/>
      <c r="Z1638" s="895"/>
      <c r="AA1638" s="895"/>
      <c r="AB1638" s="895"/>
      <c r="AC1638" s="899"/>
      <c r="AD1638" s="896"/>
      <c r="AE1638" s="895"/>
      <c r="AF1638" s="895"/>
      <c r="AG1638" s="895"/>
      <c r="AH1638" s="899"/>
      <c r="AI1638" s="896"/>
      <c r="AJ1638" s="895"/>
      <c r="AK1638" s="895"/>
      <c r="AL1638" s="895"/>
      <c r="AM1638" s="899"/>
      <c r="AN1638" s="896"/>
      <c r="AO1638" s="895"/>
      <c r="AP1638" s="895"/>
      <c r="AQ1638" s="897"/>
      <c r="AR1638" s="899"/>
      <c r="AS1638" s="896"/>
      <c r="AT1638" s="895"/>
      <c r="AU1638" s="895"/>
      <c r="AV1638" s="895"/>
      <c r="AW1638" s="899"/>
      <c r="AX1638" s="896"/>
      <c r="AY1638" s="895"/>
      <c r="AZ1638" s="895"/>
      <c r="BA1638" s="895"/>
      <c r="BB1638" s="899"/>
      <c r="BC1638" s="896"/>
      <c r="BD1638" s="895"/>
      <c r="BE1638" s="895"/>
      <c r="BF1638" s="895"/>
      <c r="BG1638" s="899"/>
      <c r="BH1638" s="896"/>
      <c r="BI1638" s="895"/>
      <c r="BJ1638" s="895"/>
      <c r="BK1638" s="895"/>
      <c r="BL1638" s="899"/>
      <c r="BM1638" s="895"/>
      <c r="BN1638" s="895"/>
      <c r="BO1638" s="895"/>
      <c r="BP1638" s="895"/>
      <c r="BQ1638" s="899"/>
      <c r="BR1638" s="895"/>
      <c r="BS1638" s="895"/>
      <c r="BT1638" s="895"/>
      <c r="BU1638" s="895"/>
      <c r="BV1638" s="899"/>
      <c r="BW1638" s="895"/>
      <c r="BX1638" s="895"/>
      <c r="BY1638" s="895"/>
      <c r="BZ1638" s="895"/>
      <c r="CA1638" s="899"/>
      <c r="CB1638" s="895"/>
      <c r="CC1638" s="895"/>
      <c r="CD1638" s="895"/>
      <c r="CE1638" s="895"/>
      <c r="CF1638" s="899"/>
      <c r="CG1638" s="895"/>
      <c r="CH1638" s="895"/>
      <c r="CI1638" s="895"/>
      <c r="CJ1638" s="895"/>
      <c r="CK1638" s="899"/>
      <c r="CL1638" s="1015"/>
      <c r="CM1638" s="895"/>
      <c r="CN1638" s="895"/>
      <c r="CO1638" s="895"/>
      <c r="CP1638" s="899">
        <f>CP1636+CP1637</f>
      </c>
      <c r="CQ1638" s="895"/>
      <c r="CR1638" s="895"/>
      <c r="CS1638" s="895"/>
      <c r="CT1638" s="915"/>
      <c r="CU1638" s="899">
        <f>CU1636+CU1637</f>
      </c>
      <c r="CV1638" s="895"/>
      <c r="CW1638" s="895"/>
      <c r="CX1638" s="895"/>
      <c r="CY1638" s="915"/>
      <c r="CZ1638" s="899">
        <f>CZ1636+CZ1637</f>
      </c>
      <c r="DA1638" s="1015">
        <f>SUM(DA1636:DA1637)</f>
      </c>
      <c r="DB1638" s="1509">
        <f>SUM(DB1636:DB1637)</f>
      </c>
      <c r="DC1638" s="895">
        <f>SUM(DC1636:DC1637)</f>
      </c>
      <c r="DD1638" s="915">
        <f>SUM(DD1636:DD1637)</f>
      </c>
      <c r="DE1638" s="899">
        <f>DE1636+DE1637</f>
      </c>
      <c r="DF1638" s="1015"/>
      <c r="DG1638" s="895"/>
      <c r="DH1638" s="895"/>
      <c r="DI1638" s="915"/>
      <c r="DJ1638" s="899">
        <f>DJ1636+DJ1637</f>
      </c>
      <c r="DK1638" s="1498"/>
      <c r="DL1638" s="1498"/>
      <c r="DM1638" s="1498"/>
      <c r="DN1638" s="1498"/>
      <c r="DO1638" s="899"/>
      <c r="DP1638" s="1498"/>
      <c r="DQ1638" s="1498"/>
      <c r="DR1638" s="1498"/>
      <c r="DS1638" s="1498"/>
      <c r="DT1638" s="899"/>
      <c r="DU1638" s="1498"/>
      <c r="DV1638" s="1498"/>
      <c r="DW1638" s="1498"/>
      <c r="DX1638" s="1498"/>
      <c r="DY1638" s="899"/>
      <c r="DZ1638" s="1498"/>
      <c r="EA1638" s="1498"/>
      <c r="EB1638" s="1498"/>
      <c r="EC1638" s="1498"/>
      <c r="ED1638" s="899"/>
      <c r="EE1638" s="1015"/>
      <c r="EF1638" s="895"/>
      <c r="EG1638" s="895"/>
      <c r="EH1638" s="1498"/>
      <c r="EI1638" s="899"/>
      <c r="EJ1638" s="899"/>
      <c r="EK1638" s="899"/>
      <c r="EL1638" s="899"/>
      <c r="EM1638" s="899"/>
      <c r="EN1638" s="899"/>
      <c r="EO1638" s="899"/>
      <c r="EP1638" s="899"/>
      <c r="EQ1638" s="899"/>
      <c r="ER1638" s="899"/>
      <c r="ES1638" s="899"/>
      <c r="ET1638" s="899"/>
      <c r="EU1638" s="899"/>
      <c r="EV1638" s="899"/>
      <c r="EW1638" s="899"/>
      <c r="EX1638" s="899"/>
    </row>
    <row r="1639" spans="1:154" ht="12.75" hidden="1" customHeight="1">
      <c r="B1639" s="907"/>
      <c r="C1639" s="1392"/>
      <c r="D1639" s="894"/>
      <c r="E1639" s="894"/>
      <c r="F1639" s="895"/>
      <c r="G1639" s="895"/>
      <c r="H1639" s="895"/>
      <c r="I1639" s="895"/>
      <c r="J1639" s="895"/>
      <c r="K1639" s="895"/>
      <c r="L1639" s="895"/>
      <c r="M1639" s="895"/>
      <c r="N1639" s="895"/>
      <c r="O1639" s="896"/>
      <c r="P1639" s="895"/>
      <c r="Q1639" s="895"/>
      <c r="R1639" s="895"/>
      <c r="S1639" s="895"/>
      <c r="T1639" s="896"/>
      <c r="U1639" s="895"/>
      <c r="V1639" s="895"/>
      <c r="W1639" s="895"/>
      <c r="X1639" s="898"/>
      <c r="Y1639" s="896"/>
      <c r="Z1639" s="895"/>
      <c r="AA1639" s="895"/>
      <c r="AB1639" s="895"/>
      <c r="AC1639" s="898"/>
      <c r="AD1639" s="896"/>
      <c r="AE1639" s="895"/>
      <c r="AF1639" s="895"/>
      <c r="AG1639" s="895"/>
      <c r="AH1639" s="898"/>
      <c r="AI1639" s="896"/>
      <c r="AJ1639" s="895"/>
      <c r="AK1639" s="895"/>
      <c r="AL1639" s="895"/>
      <c r="AM1639" s="898"/>
      <c r="AN1639" s="896"/>
      <c r="AO1639" s="895"/>
      <c r="AP1639" s="895"/>
      <c r="AQ1639" s="897"/>
      <c r="AR1639" s="898"/>
      <c r="AS1639" s="896"/>
      <c r="AT1639" s="895"/>
      <c r="AU1639" s="895"/>
      <c r="AV1639" s="895"/>
      <c r="AW1639" s="898"/>
      <c r="AX1639" s="896"/>
      <c r="AY1639" s="895"/>
      <c r="AZ1639" s="895"/>
      <c r="BA1639" s="895"/>
      <c r="BB1639" s="898"/>
      <c r="BC1639" s="896"/>
      <c r="BD1639" s="895"/>
      <c r="BE1639" s="895"/>
      <c r="BF1639" s="895"/>
      <c r="BG1639" s="898"/>
      <c r="BH1639" s="896"/>
      <c r="BI1639" s="895"/>
      <c r="BJ1639" s="895"/>
      <c r="BK1639" s="895"/>
      <c r="BL1639" s="898"/>
      <c r="BM1639" s="895"/>
      <c r="BN1639" s="895"/>
      <c r="BO1639" s="895"/>
      <c r="BP1639" s="895"/>
      <c r="BQ1639" s="898"/>
      <c r="BR1639" s="895"/>
      <c r="BS1639" s="895"/>
      <c r="BT1639" s="895"/>
      <c r="BU1639" s="895"/>
      <c r="BV1639" s="898"/>
      <c r="BW1639" s="895"/>
      <c r="BX1639" s="895"/>
      <c r="BY1639" s="895"/>
      <c r="BZ1639" s="895"/>
      <c r="CA1639" s="898"/>
      <c r="CB1639" s="895"/>
      <c r="CC1639" s="895"/>
      <c r="CD1639" s="895"/>
      <c r="CE1639" s="895"/>
      <c r="CF1639" s="898"/>
      <c r="CG1639" s="895"/>
      <c r="CH1639" s="895"/>
      <c r="CI1639" s="895"/>
      <c r="CJ1639" s="895"/>
      <c r="CK1639" s="899"/>
      <c r="CL1639" s="1015"/>
      <c r="CM1639" s="895"/>
      <c r="CN1639" s="895"/>
      <c r="CO1639" s="895"/>
      <c r="CP1639" s="899"/>
      <c r="CQ1639" s="895"/>
      <c r="CR1639" s="895"/>
      <c r="CS1639" s="895"/>
      <c r="CT1639" s="915"/>
      <c r="CU1639" s="899"/>
      <c r="CV1639" s="895"/>
      <c r="CW1639" s="895"/>
      <c r="CX1639" s="895"/>
      <c r="CY1639" s="915"/>
      <c r="CZ1639" s="899"/>
      <c r="DA1639" s="1015"/>
      <c r="DB1639" s="1509"/>
      <c r="DC1639" s="895"/>
      <c r="DD1639" s="915"/>
      <c r="DE1639" s="899"/>
      <c r="DF1639" s="1015"/>
      <c r="DG1639" s="895"/>
      <c r="DH1639" s="895"/>
      <c r="DI1639" s="915"/>
      <c r="DJ1639" s="899"/>
      <c r="DK1639" s="895"/>
      <c r="DL1639" s="895"/>
      <c r="DM1639" s="895"/>
      <c r="DN1639" s="915"/>
      <c r="DO1639" s="899"/>
      <c r="DP1639" s="895"/>
      <c r="DQ1639" s="895"/>
      <c r="DR1639" s="895"/>
      <c r="DS1639" s="915"/>
      <c r="DT1639" s="899"/>
      <c r="DU1639" s="895"/>
      <c r="DV1639" s="895"/>
      <c r="DW1639" s="895"/>
      <c r="DX1639" s="915"/>
      <c r="DY1639" s="899"/>
      <c r="DZ1639" s="895"/>
      <c r="EA1639" s="895"/>
      <c r="EB1639" s="895"/>
      <c r="EC1639" s="915"/>
      <c r="ED1639" s="899"/>
      <c r="EE1639" s="1015"/>
      <c r="EF1639" s="895"/>
      <c r="EG1639" s="895"/>
      <c r="EH1639" s="915"/>
      <c r="EI1639" s="899"/>
      <c r="EJ1639" s="899"/>
      <c r="EK1639" s="899"/>
      <c r="EL1639" s="899"/>
      <c r="EM1639" s="899"/>
      <c r="EN1639" s="899"/>
      <c r="EO1639" s="899"/>
      <c r="EP1639" s="899"/>
      <c r="EQ1639" s="899"/>
      <c r="ER1639" s="899"/>
      <c r="ES1639" s="899"/>
      <c r="ET1639" s="899"/>
      <c r="EU1639" s="899"/>
      <c r="EV1639" s="899"/>
      <c r="EW1639" s="899"/>
      <c r="EX1639" s="899"/>
    </row>
    <row r="1640" spans="1:154" ht="12.75" hidden="1" customHeight="1">
      <c r="B1640" s="906" t="str">
        <f>B1635</f>
      </c>
      <c r="C1640" s="1392"/>
      <c r="D1640" s="894"/>
      <c r="E1640" s="894"/>
      <c r="F1640" s="895"/>
      <c r="G1640" s="895"/>
      <c r="H1640" s="895"/>
      <c r="I1640" s="895"/>
      <c r="J1640" s="895"/>
      <c r="K1640" s="895"/>
      <c r="L1640" s="895"/>
      <c r="M1640" s="895"/>
      <c r="N1640" s="895"/>
      <c r="O1640" s="896"/>
      <c r="P1640" s="895"/>
      <c r="Q1640" s="895"/>
      <c r="R1640" s="895"/>
      <c r="S1640" s="895"/>
      <c r="T1640" s="896"/>
      <c r="U1640" s="895"/>
      <c r="V1640" s="895"/>
      <c r="W1640" s="895"/>
      <c r="X1640" s="899"/>
      <c r="Y1640" s="896"/>
      <c r="Z1640" s="895"/>
      <c r="AA1640" s="895"/>
      <c r="AB1640" s="895"/>
      <c r="AC1640" s="899"/>
      <c r="AD1640" s="896"/>
      <c r="AE1640" s="895"/>
      <c r="AF1640" s="895"/>
      <c r="AG1640" s="895"/>
      <c r="AH1640" s="899"/>
      <c r="AI1640" s="896"/>
      <c r="AJ1640" s="895"/>
      <c r="AK1640" s="895"/>
      <c r="AL1640" s="895"/>
      <c r="AM1640" s="899"/>
      <c r="AN1640" s="896"/>
      <c r="AO1640" s="895"/>
      <c r="AP1640" s="895"/>
      <c r="AQ1640" s="897"/>
      <c r="AR1640" s="899"/>
      <c r="AS1640" s="896"/>
      <c r="AT1640" s="895"/>
      <c r="AU1640" s="895"/>
      <c r="AV1640" s="895"/>
      <c r="AW1640" s="899"/>
      <c r="AX1640" s="896"/>
      <c r="AY1640" s="895"/>
      <c r="AZ1640" s="895"/>
      <c r="BA1640" s="895"/>
      <c r="BB1640" s="899"/>
      <c r="BC1640" s="896"/>
      <c r="BD1640" s="895"/>
      <c r="BE1640" s="895"/>
      <c r="BF1640" s="895"/>
      <c r="BG1640" s="899"/>
      <c r="BH1640" s="896"/>
      <c r="BI1640" s="895"/>
      <c r="BJ1640" s="895"/>
      <c r="BK1640" s="895"/>
      <c r="BL1640" s="899"/>
      <c r="BM1640" s="895"/>
      <c r="BN1640" s="908"/>
      <c r="BO1640" s="895"/>
      <c r="BP1640" s="895"/>
      <c r="BQ1640" s="899"/>
      <c r="BR1640" s="895"/>
      <c r="BS1640" s="908"/>
      <c r="BT1640" s="895"/>
      <c r="BU1640" s="895"/>
      <c r="BV1640" s="899"/>
      <c r="BW1640" s="908"/>
      <c r="BX1640" s="908"/>
      <c r="BY1640" s="908"/>
      <c r="BZ1640" s="908"/>
      <c r="CA1640" s="899"/>
      <c r="CB1640" s="908"/>
      <c r="CC1640" s="895"/>
      <c r="CD1640" s="908"/>
      <c r="CE1640" s="908"/>
      <c r="CF1640" s="899"/>
      <c r="CG1640" s="908"/>
      <c r="CH1640" s="908"/>
      <c r="CI1640" s="908"/>
      <c r="CJ1640" s="908"/>
      <c r="CK1640" s="899"/>
      <c r="CL1640" s="1015"/>
      <c r="CM1640" s="895"/>
      <c r="CN1640" s="895"/>
      <c r="CO1640" s="908"/>
      <c r="CP1640" s="909"/>
      <c r="CQ1640" s="895"/>
      <c r="CR1640" s="895"/>
      <c r="CS1640" s="895"/>
      <c r="CT1640" s="915"/>
      <c r="CU1640" s="909"/>
      <c r="CV1640" s="895"/>
      <c r="CW1640" s="895"/>
      <c r="CX1640" s="895"/>
      <c r="CY1640" s="915"/>
      <c r="CZ1640" s="909"/>
      <c r="DA1640" s="1321"/>
      <c r="DB1640" s="1512"/>
      <c r="DC1640" s="908"/>
      <c r="DD1640" s="1021"/>
      <c r="DE1640" s="909"/>
      <c r="DF1640" s="1321"/>
      <c r="DG1640" s="908"/>
      <c r="DH1640" s="908"/>
      <c r="DI1640" s="1021"/>
      <c r="DJ1640" s="909"/>
      <c r="DK1640" s="908"/>
      <c r="DL1640" s="908"/>
      <c r="DM1640" s="908"/>
      <c r="DN1640" s="1021"/>
      <c r="DO1640" s="909"/>
      <c r="DP1640" s="908"/>
      <c r="DQ1640" s="908"/>
      <c r="DR1640" s="908"/>
      <c r="DS1640" s="1021"/>
      <c r="DT1640" s="909"/>
      <c r="DU1640" s="908"/>
      <c r="DV1640" s="908"/>
      <c r="DW1640" s="908"/>
      <c r="DX1640" s="1021"/>
      <c r="DY1640" s="909"/>
      <c r="DZ1640" s="908"/>
      <c r="EA1640" s="908"/>
      <c r="EB1640" s="908"/>
      <c r="EC1640" s="1021"/>
      <c r="ED1640" s="909"/>
      <c r="EE1640" s="1321"/>
      <c r="EF1640" s="908"/>
      <c r="EG1640" s="908"/>
      <c r="EH1640" s="1021"/>
      <c r="EI1640" s="909"/>
      <c r="EJ1640" s="909"/>
      <c r="EK1640" s="909"/>
      <c r="EL1640" s="909"/>
      <c r="EM1640" s="909"/>
      <c r="EN1640" s="909"/>
      <c r="EO1640" s="909"/>
      <c r="EP1640" s="909"/>
      <c r="EQ1640" s="909"/>
      <c r="ER1640" s="909"/>
      <c r="ES1640" s="909"/>
      <c r="ET1640" s="909"/>
      <c r="EU1640" s="909"/>
      <c r="EV1640" s="909"/>
      <c r="EW1640" s="909"/>
      <c r="EX1640" s="909"/>
    </row>
    <row r="1641" spans="1:154" ht="12.75" hidden="1" customHeight="1">
      <c r="B1641" s="907" t="s">
        <v>153</v>
      </c>
      <c r="C1641" s="1413">
        <v>0</v>
      </c>
      <c r="D1641" s="894"/>
      <c r="E1641" s="894"/>
      <c r="F1641" s="895"/>
      <c r="G1641" s="895"/>
      <c r="H1641" s="895"/>
      <c r="I1641" s="895"/>
      <c r="J1641" s="895"/>
      <c r="K1641" s="895"/>
      <c r="L1641" s="895"/>
      <c r="M1641" s="895"/>
      <c r="N1641" s="895"/>
      <c r="O1641" s="896"/>
      <c r="P1641" s="895"/>
      <c r="Q1641" s="895"/>
      <c r="R1641" s="895"/>
      <c r="S1641" s="895"/>
      <c r="T1641" s="896"/>
      <c r="U1641" s="895"/>
      <c r="V1641" s="895"/>
      <c r="W1641" s="895"/>
      <c r="X1641" s="899"/>
      <c r="Y1641" s="896"/>
      <c r="Z1641" s="895"/>
      <c r="AA1641" s="895"/>
      <c r="AB1641" s="895"/>
      <c r="AC1641" s="899"/>
      <c r="AD1641" s="896"/>
      <c r="AE1641" s="895"/>
      <c r="AF1641" s="895"/>
      <c r="AG1641" s="895"/>
      <c r="AH1641" s="899"/>
      <c r="AI1641" s="896"/>
      <c r="AJ1641" s="895"/>
      <c r="AK1641" s="895"/>
      <c r="AL1641" s="895"/>
      <c r="AM1641" s="899"/>
      <c r="AN1641" s="896"/>
      <c r="AO1641" s="895"/>
      <c r="AP1641" s="895"/>
      <c r="AQ1641" s="897"/>
      <c r="AR1641" s="899"/>
      <c r="AS1641" s="896"/>
      <c r="AT1641" s="895"/>
      <c r="AU1641" s="895"/>
      <c r="AV1641" s="895"/>
      <c r="AW1641" s="899"/>
      <c r="AX1641" s="896"/>
      <c r="AY1641" s="895"/>
      <c r="AZ1641" s="895"/>
      <c r="BA1641" s="895"/>
      <c r="BB1641" s="899"/>
      <c r="BC1641" s="896"/>
      <c r="BD1641" s="895"/>
      <c r="BE1641" s="895"/>
      <c r="BF1641" s="895"/>
      <c r="BG1641" s="899"/>
      <c r="BH1641" s="896"/>
      <c r="BI1641" s="895"/>
      <c r="BJ1641" s="895"/>
      <c r="BK1641" s="895"/>
      <c r="BL1641" s="899"/>
      <c r="BM1641" s="895"/>
      <c r="BN1641" s="895"/>
      <c r="BO1641" s="895"/>
      <c r="BP1641" s="895"/>
      <c r="BQ1641" s="899"/>
      <c r="BR1641" s="895"/>
      <c r="BS1641" s="895"/>
      <c r="BT1641" s="895"/>
      <c r="BU1641" s="895"/>
      <c r="BV1641" s="899"/>
      <c r="BW1641" s="895"/>
      <c r="BX1641" s="895"/>
      <c r="BY1641" s="895"/>
      <c r="BZ1641" s="895"/>
      <c r="CA1641" s="899"/>
      <c r="CB1641" s="895"/>
      <c r="CC1641" s="895"/>
      <c r="CD1641" s="895"/>
      <c r="CE1641" s="895"/>
      <c r="CF1641" s="899"/>
      <c r="CG1641" s="895"/>
      <c r="CH1641" s="895"/>
      <c r="CI1641" s="895"/>
      <c r="CJ1641" s="895"/>
      <c r="CK1641" s="899"/>
      <c r="CL1641" s="1015"/>
      <c r="CM1641" s="895"/>
      <c r="CN1641" s="895"/>
      <c r="CO1641" s="895"/>
      <c r="CP1641" s="899">
        <f>$C1641*CP1636</f>
      </c>
      <c r="CQ1641" s="895"/>
      <c r="CR1641" s="895"/>
      <c r="CS1641" s="895"/>
      <c r="CT1641" s="915"/>
      <c r="CU1641" s="899">
        <f t="shared" ref="CU1641:DJ1641" si="3023">$C1641*CU1636</f>
      </c>
      <c r="CV1641" s="895"/>
      <c r="CW1641" s="895"/>
      <c r="CX1641" s="895"/>
      <c r="CY1641" s="915"/>
      <c r="CZ1641" s="899">
        <f t="shared" si="3023"/>
      </c>
      <c r="DA1641" s="1015">
        <f t="shared" si="3023"/>
      </c>
      <c r="DB1641" s="1509">
        <f t="shared" si="3023"/>
      </c>
      <c r="DC1641" s="895">
        <f t="shared" si="3023"/>
      </c>
      <c r="DD1641" s="915">
        <f t="shared" si="3023"/>
      </c>
      <c r="DE1641" s="899">
        <f t="shared" si="3023"/>
      </c>
      <c r="DF1641" s="1015"/>
      <c r="DG1641" s="895"/>
      <c r="DH1641" s="895"/>
      <c r="DI1641" s="915"/>
      <c r="DJ1641" s="899">
        <f t="shared" si="3023"/>
      </c>
      <c r="DK1641" s="1015"/>
      <c r="DL1641" s="895"/>
      <c r="DM1641" s="895"/>
      <c r="DN1641" s="915"/>
      <c r="DO1641" s="899"/>
      <c r="DP1641" s="895"/>
      <c r="DQ1641" s="895"/>
      <c r="DR1641" s="895"/>
      <c r="DS1641" s="915"/>
      <c r="DT1641" s="899"/>
      <c r="DU1641" s="895"/>
      <c r="DV1641" s="895"/>
      <c r="DW1641" s="895"/>
      <c r="DX1641" s="915"/>
      <c r="DY1641" s="899"/>
      <c r="DZ1641" s="895"/>
      <c r="EA1641" s="895"/>
      <c r="EB1641" s="895"/>
      <c r="EC1641" s="915"/>
      <c r="ED1641" s="899"/>
      <c r="EE1641" s="1015"/>
      <c r="EF1641" s="895"/>
      <c r="EG1641" s="895"/>
      <c r="EH1641" s="915"/>
      <c r="EI1641" s="899"/>
      <c r="EJ1641" s="899"/>
      <c r="EK1641" s="899"/>
      <c r="EL1641" s="899"/>
      <c r="EM1641" s="899"/>
      <c r="EN1641" s="899"/>
      <c r="EO1641" s="899"/>
      <c r="EP1641" s="899"/>
      <c r="EQ1641" s="899"/>
      <c r="ER1641" s="899"/>
      <c r="ES1641" s="899"/>
      <c r="ET1641" s="899"/>
      <c r="EU1641" s="899"/>
      <c r="EV1641" s="899"/>
      <c r="EW1641" s="899"/>
      <c r="EX1641" s="899"/>
    </row>
    <row r="1642" spans="1:154" ht="12.75" hidden="1" customHeight="1">
      <c r="B1642" s="907" t="s">
        <v>235</v>
      </c>
      <c r="C1642" s="1413">
        <v>0</v>
      </c>
      <c r="D1642" s="894"/>
      <c r="E1642" s="894"/>
      <c r="F1642" s="895"/>
      <c r="G1642" s="895"/>
      <c r="H1642" s="895"/>
      <c r="I1642" s="895"/>
      <c r="J1642" s="895"/>
      <c r="K1642" s="895"/>
      <c r="L1642" s="895"/>
      <c r="M1642" s="895"/>
      <c r="N1642" s="895"/>
      <c r="O1642" s="896"/>
      <c r="P1642" s="895"/>
      <c r="Q1642" s="895"/>
      <c r="R1642" s="895"/>
      <c r="S1642" s="895"/>
      <c r="T1642" s="896"/>
      <c r="U1642" s="895"/>
      <c r="V1642" s="895"/>
      <c r="W1642" s="895"/>
      <c r="X1642" s="898"/>
      <c r="Y1642" s="896"/>
      <c r="Z1642" s="895"/>
      <c r="AA1642" s="895"/>
      <c r="AB1642" s="895"/>
      <c r="AC1642" s="898"/>
      <c r="AD1642" s="896"/>
      <c r="AE1642" s="895"/>
      <c r="AF1642" s="895"/>
      <c r="AG1642" s="895"/>
      <c r="AH1642" s="898"/>
      <c r="AI1642" s="896"/>
      <c r="AJ1642" s="895"/>
      <c r="AK1642" s="895"/>
      <c r="AL1642" s="895"/>
      <c r="AM1642" s="898"/>
      <c r="AN1642" s="896"/>
      <c r="AO1642" s="895"/>
      <c r="AP1642" s="895"/>
      <c r="AQ1642" s="897"/>
      <c r="AR1642" s="898"/>
      <c r="AS1642" s="896"/>
      <c r="AT1642" s="895"/>
      <c r="AU1642" s="895"/>
      <c r="AV1642" s="895"/>
      <c r="AW1642" s="898"/>
      <c r="AX1642" s="896"/>
      <c r="AY1642" s="895"/>
      <c r="AZ1642" s="895"/>
      <c r="BA1642" s="895"/>
      <c r="BB1642" s="898"/>
      <c r="BC1642" s="896"/>
      <c r="BD1642" s="895"/>
      <c r="BE1642" s="895"/>
      <c r="BF1642" s="895"/>
      <c r="BG1642" s="898"/>
      <c r="BH1642" s="896"/>
      <c r="BI1642" s="895"/>
      <c r="BJ1642" s="895"/>
      <c r="BK1642" s="895"/>
      <c r="BL1642" s="898"/>
      <c r="BM1642" s="895"/>
      <c r="BN1642" s="895"/>
      <c r="BO1642" s="895"/>
      <c r="BP1642" s="895"/>
      <c r="BQ1642" s="898"/>
      <c r="BR1642" s="895"/>
      <c r="BS1642" s="895"/>
      <c r="BT1642" s="895"/>
      <c r="BU1642" s="895"/>
      <c r="BV1642" s="898"/>
      <c r="BW1642" s="895"/>
      <c r="BX1642" s="895"/>
      <c r="BY1642" s="895"/>
      <c r="BZ1642" s="895"/>
      <c r="CA1642" s="898"/>
      <c r="CB1642" s="895"/>
      <c r="CC1642" s="895"/>
      <c r="CD1642" s="895"/>
      <c r="CE1642" s="895"/>
      <c r="CF1642" s="898"/>
      <c r="CG1642" s="895"/>
      <c r="CH1642" s="895"/>
      <c r="CI1642" s="895"/>
      <c r="CJ1642" s="895"/>
      <c r="CK1642" s="899"/>
      <c r="CL1642" s="1015"/>
      <c r="CM1642" s="895"/>
      <c r="CN1642" s="895"/>
      <c r="CO1642" s="895"/>
      <c r="CP1642" s="899">
        <f>$C1642*CP1637</f>
      </c>
      <c r="CQ1642" s="895"/>
      <c r="CR1642" s="895"/>
      <c r="CS1642" s="895"/>
      <c r="CT1642" s="915"/>
      <c r="CU1642" s="899">
        <f t="shared" ref="CU1642:DJ1642" si="3024">$C1642*CU1637</f>
      </c>
      <c r="CV1642" s="895"/>
      <c r="CW1642" s="895"/>
      <c r="CX1642" s="895"/>
      <c r="CY1642" s="915"/>
      <c r="CZ1642" s="899">
        <f t="shared" si="3024"/>
      </c>
      <c r="DA1642" s="1015">
        <f t="shared" si="3024"/>
      </c>
      <c r="DB1642" s="1509">
        <f t="shared" si="3024"/>
      </c>
      <c r="DC1642" s="895">
        <f t="shared" si="3024"/>
      </c>
      <c r="DD1642" s="915">
        <f t="shared" si="3024"/>
      </c>
      <c r="DE1642" s="899">
        <f t="shared" si="3024"/>
      </c>
      <c r="DF1642" s="1015"/>
      <c r="DG1642" s="895"/>
      <c r="DH1642" s="895"/>
      <c r="DI1642" s="915"/>
      <c r="DJ1642" s="899">
        <f t="shared" si="3024"/>
      </c>
      <c r="DK1642" s="1015"/>
      <c r="DL1642" s="895"/>
      <c r="DM1642" s="895"/>
      <c r="DN1642" s="915"/>
      <c r="DO1642" s="899"/>
      <c r="DP1642" s="895"/>
      <c r="DQ1642" s="895"/>
      <c r="DR1642" s="895"/>
      <c r="DS1642" s="915"/>
      <c r="DT1642" s="899"/>
      <c r="DU1642" s="895"/>
      <c r="DV1642" s="895"/>
      <c r="DW1642" s="895"/>
      <c r="DX1642" s="915"/>
      <c r="DY1642" s="899"/>
      <c r="DZ1642" s="895"/>
      <c r="EA1642" s="895"/>
      <c r="EB1642" s="895"/>
      <c r="EC1642" s="915"/>
      <c r="ED1642" s="899"/>
      <c r="EE1642" s="1015"/>
      <c r="EF1642" s="895"/>
      <c r="EG1642" s="895"/>
      <c r="EH1642" s="915"/>
      <c r="EI1642" s="899"/>
      <c r="EJ1642" s="899"/>
      <c r="EK1642" s="899"/>
      <c r="EL1642" s="899"/>
      <c r="EM1642" s="899"/>
      <c r="EN1642" s="899"/>
      <c r="EO1642" s="899"/>
      <c r="EP1642" s="899"/>
      <c r="EQ1642" s="899"/>
      <c r="ER1642" s="899"/>
      <c r="ES1642" s="899"/>
      <c r="ET1642" s="899"/>
      <c r="EU1642" s="899"/>
      <c r="EV1642" s="899"/>
      <c r="EW1642" s="899"/>
      <c r="EX1642" s="899"/>
    </row>
    <row r="1643" spans="1:154" ht="12.75" hidden="1" customHeight="1">
      <c r="A1643" s="3275" t="s">
        <v>653</v>
      </c>
      <c r="B1643" s="907" t="s">
        <v>188</v>
      </c>
      <c r="C1643" s="2028" t="s">
        <v>765</v>
      </c>
      <c r="D1643" s="894"/>
      <c r="E1643" s="894"/>
      <c r="F1643" s="895"/>
      <c r="G1643" s="895"/>
      <c r="H1643" s="895"/>
      <c r="I1643" s="895"/>
      <c r="J1643" s="895"/>
      <c r="K1643" s="895"/>
      <c r="L1643" s="895"/>
      <c r="M1643" s="895"/>
      <c r="N1643" s="895"/>
      <c r="O1643" s="896"/>
      <c r="P1643" s="895"/>
      <c r="Q1643" s="895"/>
      <c r="R1643" s="895"/>
      <c r="S1643" s="895"/>
      <c r="T1643" s="896"/>
      <c r="U1643" s="895"/>
      <c r="V1643" s="895"/>
      <c r="W1643" s="895"/>
      <c r="X1643" s="899"/>
      <c r="Y1643" s="896"/>
      <c r="Z1643" s="895"/>
      <c r="AA1643" s="895"/>
      <c r="AB1643" s="895"/>
      <c r="AC1643" s="899"/>
      <c r="AD1643" s="896"/>
      <c r="AE1643" s="895"/>
      <c r="AF1643" s="895"/>
      <c r="AG1643" s="895"/>
      <c r="AH1643" s="899"/>
      <c r="AI1643" s="896"/>
      <c r="AJ1643" s="895"/>
      <c r="AK1643" s="895"/>
      <c r="AL1643" s="895"/>
      <c r="AM1643" s="899"/>
      <c r="AN1643" s="896"/>
      <c r="AO1643" s="895"/>
      <c r="AP1643" s="895"/>
      <c r="AQ1643" s="897"/>
      <c r="AR1643" s="899"/>
      <c r="AS1643" s="896"/>
      <c r="AT1643" s="895"/>
      <c r="AU1643" s="895"/>
      <c r="AV1643" s="895"/>
      <c r="AW1643" s="899"/>
      <c r="AX1643" s="896"/>
      <c r="AY1643" s="895"/>
      <c r="AZ1643" s="895"/>
      <c r="BA1643" s="895"/>
      <c r="BB1643" s="899"/>
      <c r="BC1643" s="896"/>
      <c r="BD1643" s="895"/>
      <c r="BE1643" s="895"/>
      <c r="BF1643" s="895"/>
      <c r="BG1643" s="899"/>
      <c r="BH1643" s="896"/>
      <c r="BI1643" s="895"/>
      <c r="BJ1643" s="895"/>
      <c r="BK1643" s="895"/>
      <c r="BL1643" s="899"/>
      <c r="BM1643" s="895"/>
      <c r="BN1643" s="895"/>
      <c r="BO1643" s="895"/>
      <c r="BP1643" s="895"/>
      <c r="BQ1643" s="899"/>
      <c r="BR1643" s="895"/>
      <c r="BS1643" s="895"/>
      <c r="BT1643" s="895"/>
      <c r="BU1643" s="895"/>
      <c r="BV1643" s="899"/>
      <c r="BW1643" s="908"/>
      <c r="BX1643" s="895"/>
      <c r="BY1643" s="895"/>
      <c r="BZ1643" s="895"/>
      <c r="CA1643" s="899"/>
      <c r="CB1643" s="895"/>
      <c r="CC1643" s="895"/>
      <c r="CD1643" s="895"/>
      <c r="CE1643" s="895"/>
      <c r="CF1643" s="899"/>
      <c r="CG1643" s="895"/>
      <c r="CH1643" s="895"/>
      <c r="CI1643" s="895"/>
      <c r="CJ1643" s="895"/>
      <c r="CK1643" s="899"/>
      <c r="CL1643" s="1015"/>
      <c r="CM1643" s="895"/>
      <c r="CN1643" s="895"/>
      <c r="CO1643" s="895"/>
      <c r="CP1643" s="899">
        <f>CP1641+CP1642</f>
      </c>
      <c r="CQ1643" s="895"/>
      <c r="CR1643" s="895"/>
      <c r="CS1643" s="895"/>
      <c r="CT1643" s="915"/>
      <c r="CU1643" s="899">
        <f>CU1641+CU1642</f>
      </c>
      <c r="CV1643" s="895"/>
      <c r="CW1643" s="895"/>
      <c r="CX1643" s="895"/>
      <c r="CY1643" s="915"/>
      <c r="CZ1643" s="899">
        <f t="shared" ref="CZ1643:DE1643" si="3025">CZ1641+CZ1642</f>
      </c>
      <c r="DA1643" s="1015">
        <f t="shared" si="3025"/>
      </c>
      <c r="DB1643" s="1509">
        <f t="shared" si="3025"/>
      </c>
      <c r="DC1643" s="895">
        <f t="shared" si="3025"/>
      </c>
      <c r="DD1643" s="915">
        <f t="shared" si="3025"/>
      </c>
      <c r="DE1643" s="899">
        <f t="shared" si="3025"/>
      </c>
      <c r="DF1643" s="1015"/>
      <c r="DG1643" s="895"/>
      <c r="DH1643" s="895"/>
      <c r="DI1643" s="915"/>
      <c r="DJ1643" s="899">
        <f t="shared" ref="DJ1643:EI1643" si="3026">DJ1641+DJ1642</f>
      </c>
      <c r="DK1643" s="1015">
        <f t="shared" si="3026"/>
      </c>
      <c r="DL1643" s="895">
        <f t="shared" si="3026"/>
      </c>
      <c r="DM1643" s="895">
        <f t="shared" si="3026"/>
      </c>
      <c r="DN1643" s="915">
        <f t="shared" si="3026"/>
      </c>
      <c r="DO1643" s="899">
        <f t="shared" si="3026"/>
      </c>
      <c r="DP1643" s="895">
        <f t="shared" si="3026"/>
      </c>
      <c r="DQ1643" s="895">
        <f t="shared" si="3026"/>
      </c>
      <c r="DR1643" s="895">
        <f t="shared" si="3026"/>
      </c>
      <c r="DS1643" s="915">
        <f t="shared" si="3026"/>
      </c>
      <c r="DT1643" s="899">
        <f t="shared" si="3026"/>
      </c>
      <c r="DU1643" s="895">
        <f t="shared" si="3026"/>
      </c>
      <c r="DV1643" s="895">
        <f t="shared" si="3026"/>
      </c>
      <c r="DW1643" s="895">
        <f t="shared" si="3026"/>
      </c>
      <c r="DX1643" s="915">
        <f t="shared" si="3026"/>
      </c>
      <c r="DY1643" s="899">
        <f t="shared" si="3026"/>
      </c>
      <c r="DZ1643" s="895">
        <f t="shared" si="3026"/>
      </c>
      <c r="EA1643" s="895">
        <f>EA1641+EA1642</f>
      </c>
      <c r="EB1643" s="895">
        <f>EB1641+EB1642</f>
      </c>
      <c r="EC1643" s="915">
        <f>EC1641+EC1642</f>
      </c>
      <c r="ED1643" s="899">
        <f t="shared" ref="ED1643" si="3027">ED1641+ED1642</f>
      </c>
      <c r="EE1643" s="1015">
        <f>EE1641+EE1642</f>
      </c>
      <c r="EF1643" s="895">
        <f>EF1641+EF1642</f>
      </c>
      <c r="EG1643" s="895">
        <f>EG1641+EG1642</f>
      </c>
      <c r="EH1643" s="915">
        <f>EH1641+EH1642</f>
      </c>
      <c r="EI1643" s="899">
        <f t="shared" si="3026"/>
      </c>
      <c r="EJ1643" s="899"/>
      <c r="EK1643" s="899"/>
      <c r="EL1643" s="899"/>
      <c r="EM1643" s="899"/>
      <c r="EN1643" s="899"/>
      <c r="EO1643" s="899"/>
      <c r="EP1643" s="899"/>
      <c r="EQ1643" s="899"/>
      <c r="ER1643" s="899"/>
      <c r="ES1643" s="899"/>
      <c r="ET1643" s="899"/>
      <c r="EU1643" s="899"/>
      <c r="EV1643" s="899"/>
      <c r="EW1643" s="899"/>
      <c r="EX1643" s="899"/>
    </row>
    <row r="1644" spans="1:154" ht="12.75" hidden="1" customHeight="1">
      <c r="B1644" s="907"/>
      <c r="C1644" s="1392"/>
      <c r="D1644" s="894"/>
      <c r="E1644" s="894"/>
      <c r="F1644" s="895"/>
      <c r="G1644" s="895"/>
      <c r="H1644" s="895"/>
      <c r="I1644" s="895"/>
      <c r="J1644" s="895"/>
      <c r="K1644" s="895"/>
      <c r="L1644" s="895"/>
      <c r="M1644" s="895"/>
      <c r="N1644" s="895"/>
      <c r="O1644" s="896"/>
      <c r="P1644" s="895"/>
      <c r="Q1644" s="895"/>
      <c r="R1644" s="895"/>
      <c r="S1644" s="895"/>
      <c r="T1644" s="896"/>
      <c r="U1644" s="895"/>
      <c r="V1644" s="895"/>
      <c r="W1644" s="895"/>
      <c r="X1644" s="899"/>
      <c r="Y1644" s="896"/>
      <c r="Z1644" s="895"/>
      <c r="AA1644" s="895"/>
      <c r="AB1644" s="895"/>
      <c r="AC1644" s="899"/>
      <c r="AD1644" s="896"/>
      <c r="AE1644" s="895"/>
      <c r="AF1644" s="895"/>
      <c r="AG1644" s="895"/>
      <c r="AH1644" s="899"/>
      <c r="AI1644" s="896"/>
      <c r="AJ1644" s="895"/>
      <c r="AK1644" s="895"/>
      <c r="AL1644" s="895"/>
      <c r="AM1644" s="899"/>
      <c r="AN1644" s="896"/>
      <c r="AO1644" s="895"/>
      <c r="AP1644" s="895"/>
      <c r="AQ1644" s="897"/>
      <c r="AR1644" s="899"/>
      <c r="AS1644" s="896"/>
      <c r="AT1644" s="895"/>
      <c r="AU1644" s="895"/>
      <c r="AV1644" s="895"/>
      <c r="AW1644" s="899"/>
      <c r="AX1644" s="896"/>
      <c r="AY1644" s="895"/>
      <c r="AZ1644" s="895"/>
      <c r="BA1644" s="895"/>
      <c r="BB1644" s="899"/>
      <c r="BC1644" s="896"/>
      <c r="BD1644" s="895"/>
      <c r="BE1644" s="895"/>
      <c r="BF1644" s="895"/>
      <c r="BG1644" s="899"/>
      <c r="BH1644" s="896"/>
      <c r="BI1644" s="895"/>
      <c r="BJ1644" s="895"/>
      <c r="BK1644" s="895"/>
      <c r="BL1644" s="899"/>
      <c r="BM1644" s="895"/>
      <c r="BN1644" s="895"/>
      <c r="BO1644" s="895"/>
      <c r="BP1644" s="895"/>
      <c r="BQ1644" s="899"/>
      <c r="BR1644" s="895"/>
      <c r="BS1644" s="895"/>
      <c r="BT1644" s="895"/>
      <c r="BU1644" s="895"/>
      <c r="BV1644" s="899"/>
      <c r="BW1644" s="895"/>
      <c r="BX1644" s="895"/>
      <c r="BY1644" s="895"/>
      <c r="BZ1644" s="895"/>
      <c r="CA1644" s="899"/>
      <c r="CB1644" s="895"/>
      <c r="CC1644" s="895"/>
      <c r="CD1644" s="895"/>
      <c r="CE1644" s="895"/>
      <c r="CF1644" s="899"/>
      <c r="CG1644" s="895"/>
      <c r="CH1644" s="895"/>
      <c r="CI1644" s="895"/>
      <c r="CJ1644" s="895"/>
      <c r="CK1644" s="899"/>
      <c r="CL1644" s="1015"/>
      <c r="CM1644" s="895"/>
      <c r="CN1644" s="895"/>
      <c r="CO1644" s="895"/>
      <c r="CP1644" s="899"/>
      <c r="CQ1644" s="895"/>
      <c r="CR1644" s="895"/>
      <c r="CS1644" s="895"/>
      <c r="CT1644" s="915"/>
      <c r="CU1644" s="899"/>
      <c r="CV1644" s="895"/>
      <c r="CW1644" s="895"/>
      <c r="CX1644" s="895"/>
      <c r="CY1644" s="915"/>
      <c r="CZ1644" s="899"/>
      <c r="DA1644" s="1015"/>
      <c r="DB1644" s="895"/>
      <c r="DC1644" s="895"/>
      <c r="DD1644" s="915"/>
      <c r="DE1644" s="899"/>
      <c r="DF1644" s="895"/>
      <c r="DG1644" s="895"/>
      <c r="DH1644" s="895"/>
      <c r="DI1644" s="915"/>
      <c r="DJ1644" s="899"/>
      <c r="DK1644" s="895"/>
      <c r="DL1644" s="895"/>
      <c r="DM1644" s="895"/>
      <c r="DN1644" s="915"/>
      <c r="DO1644" s="899"/>
      <c r="DP1644" s="895"/>
      <c r="DQ1644" s="895"/>
      <c r="DR1644" s="895"/>
      <c r="DS1644" s="915"/>
      <c r="DT1644" s="899"/>
      <c r="DU1644" s="895"/>
      <c r="DV1644" s="895"/>
      <c r="DW1644" s="895"/>
      <c r="DX1644" s="915"/>
      <c r="DY1644" s="899"/>
      <c r="DZ1644" s="895"/>
      <c r="EA1644" s="895"/>
      <c r="EB1644" s="895"/>
      <c r="EC1644" s="915"/>
      <c r="ED1644" s="899"/>
      <c r="EE1644" s="1015"/>
      <c r="EF1644" s="895"/>
      <c r="EG1644" s="895"/>
      <c r="EH1644" s="915"/>
      <c r="EI1644" s="899"/>
      <c r="EJ1644" s="899"/>
      <c r="EK1644" s="899"/>
      <c r="EL1644" s="899"/>
      <c r="EM1644" s="899"/>
      <c r="EN1644" s="899"/>
      <c r="EO1644" s="899"/>
      <c r="EP1644" s="899"/>
      <c r="EQ1644" s="899"/>
      <c r="ER1644" s="899"/>
      <c r="ES1644" s="899"/>
      <c r="ET1644" s="899"/>
      <c r="EU1644" s="899"/>
      <c r="EV1644" s="899"/>
      <c r="EW1644" s="899"/>
      <c r="EX1644" s="899"/>
    </row>
    <row r="1645" spans="1:154" s="1515" customFormat="1" ht="12.75" hidden="1" customHeight="1" collapsed="1">
      <c r="A1645" s="3277"/>
      <c r="B1645" s="1518" t="s">
        <v>764</v>
      </c>
      <c r="C1645" s="2027" t="s">
        <v>763</v>
      </c>
      <c r="D1645" s="1508"/>
      <c r="E1645" s="1508"/>
      <c r="F1645" s="1509"/>
      <c r="G1645" s="1509"/>
      <c r="H1645" s="1509"/>
      <c r="I1645" s="1509"/>
      <c r="J1645" s="1509"/>
      <c r="K1645" s="1509"/>
      <c r="L1645" s="1509"/>
      <c r="M1645" s="1509"/>
      <c r="N1645" s="1509"/>
      <c r="O1645" s="1510"/>
      <c r="P1645" s="1509"/>
      <c r="Q1645" s="1509"/>
      <c r="R1645" s="1509"/>
      <c r="S1645" s="1509"/>
      <c r="T1645" s="1510"/>
      <c r="U1645" s="1509"/>
      <c r="V1645" s="1509"/>
      <c r="W1645" s="1509"/>
      <c r="X1645" s="1519"/>
      <c r="Y1645" s="1510"/>
      <c r="Z1645" s="1509"/>
      <c r="AA1645" s="1509"/>
      <c r="AB1645" s="1509"/>
      <c r="AC1645" s="1519"/>
      <c r="AD1645" s="1510"/>
      <c r="AE1645" s="1509"/>
      <c r="AF1645" s="1509"/>
      <c r="AG1645" s="1509"/>
      <c r="AH1645" s="1519"/>
      <c r="AI1645" s="1510"/>
      <c r="AJ1645" s="1509"/>
      <c r="AK1645" s="1509"/>
      <c r="AL1645" s="1509"/>
      <c r="AM1645" s="1519"/>
      <c r="AN1645" s="1510"/>
      <c r="AO1645" s="1509"/>
      <c r="AP1645" s="1509"/>
      <c r="AQ1645" s="1511"/>
      <c r="AR1645" s="1519"/>
      <c r="AS1645" s="1510"/>
      <c r="AT1645" s="1509"/>
      <c r="AU1645" s="1509"/>
      <c r="AV1645" s="1509"/>
      <c r="AW1645" s="1519"/>
      <c r="AX1645" s="1510"/>
      <c r="AY1645" s="1509"/>
      <c r="AZ1645" s="1509"/>
      <c r="BA1645" s="1509"/>
      <c r="BB1645" s="1519"/>
      <c r="BC1645" s="1510"/>
      <c r="BD1645" s="1509"/>
      <c r="BE1645" s="1509"/>
      <c r="BF1645" s="1509"/>
      <c r="BG1645" s="1519"/>
      <c r="BH1645" s="1510"/>
      <c r="BI1645" s="1509"/>
      <c r="BJ1645" s="1509"/>
      <c r="BK1645" s="1509"/>
      <c r="BL1645" s="1519"/>
      <c r="BM1645" s="1509"/>
      <c r="BN1645" s="1509"/>
      <c r="BO1645" s="1509"/>
      <c r="BP1645" s="1509"/>
      <c r="BQ1645" s="1519"/>
      <c r="BR1645" s="1509"/>
      <c r="BS1645" s="1509"/>
      <c r="BT1645" s="1509"/>
      <c r="BU1645" s="1509"/>
      <c r="BV1645" s="1519"/>
      <c r="BW1645" s="1509"/>
      <c r="BX1645" s="1509"/>
      <c r="BY1645" s="1509"/>
      <c r="BZ1645" s="1509"/>
      <c r="CA1645" s="1519"/>
      <c r="CB1645" s="1509"/>
      <c r="CC1645" s="1509"/>
      <c r="CD1645" s="1509"/>
      <c r="CE1645" s="1509"/>
      <c r="CF1645" s="1519"/>
      <c r="CG1645" s="1509"/>
      <c r="CH1645" s="1509"/>
      <c r="CI1645" s="1509"/>
      <c r="CJ1645" s="1509"/>
      <c r="CK1645" s="1369"/>
      <c r="CL1645" s="1513"/>
      <c r="CM1645" s="1509"/>
      <c r="CN1645" s="1509"/>
      <c r="CO1645" s="1509"/>
      <c r="CP1645" s="1369"/>
      <c r="CQ1645" s="1509"/>
      <c r="CR1645" s="1509"/>
      <c r="CS1645" s="1509"/>
      <c r="CT1645" s="1514"/>
      <c r="CU1645" s="1369"/>
      <c r="CV1645" s="1509"/>
      <c r="CW1645" s="1509"/>
      <c r="CX1645" s="1509"/>
      <c r="CY1645" s="1514"/>
      <c r="CZ1645" s="1369"/>
      <c r="DA1645" s="1513"/>
      <c r="DB1645" s="1509"/>
      <c r="DC1645" s="1509"/>
      <c r="DD1645" s="1514"/>
      <c r="DE1645" s="1369"/>
      <c r="DF1645" s="1513"/>
      <c r="DG1645" s="1509"/>
      <c r="DH1645" s="1509"/>
      <c r="DI1645" s="1514"/>
      <c r="DJ1645" s="1369"/>
      <c r="DK1645" s="1513"/>
      <c r="DL1645" s="1509"/>
      <c r="DM1645" s="1509"/>
      <c r="DN1645" s="1514"/>
      <c r="DO1645" s="1369"/>
      <c r="DP1645" s="1509"/>
      <c r="DQ1645" s="1509"/>
      <c r="DR1645" s="1509"/>
      <c r="DS1645" s="1514"/>
      <c r="DT1645" s="1369"/>
      <c r="DU1645" s="1509"/>
      <c r="DV1645" s="1509"/>
      <c r="DW1645" s="1509"/>
      <c r="DX1645" s="1514"/>
      <c r="DY1645" s="1369"/>
      <c r="DZ1645" s="1509"/>
      <c r="EA1645" s="1509"/>
      <c r="EB1645" s="1509"/>
      <c r="EC1645" s="1514"/>
      <c r="ED1645" s="1369"/>
      <c r="EE1645" s="1513"/>
      <c r="EF1645" s="1509"/>
      <c r="EG1645" s="1509"/>
      <c r="EH1645" s="1514"/>
      <c r="EI1645" s="1369"/>
      <c r="EJ1645" s="1369"/>
      <c r="EK1645" s="1369"/>
      <c r="EL1645" s="1369"/>
      <c r="EM1645" s="1369"/>
      <c r="EN1645" s="1369"/>
      <c r="EO1645" s="1369"/>
      <c r="EP1645" s="1369"/>
      <c r="EQ1645" s="1369"/>
      <c r="ER1645" s="1369"/>
      <c r="ES1645" s="1369"/>
      <c r="ET1645" s="1369"/>
      <c r="EU1645" s="1369"/>
      <c r="EV1645" s="1369"/>
      <c r="EW1645" s="1369"/>
      <c r="EX1645" s="1369"/>
    </row>
    <row r="1646" spans="1:154" s="1515" customFormat="1" hidden="1">
      <c r="A1646" s="3277"/>
      <c r="B1646" s="1507" t="s">
        <v>153</v>
      </c>
      <c r="C1646" s="2029"/>
      <c r="D1646" s="1508"/>
      <c r="E1646" s="1508"/>
      <c r="F1646" s="1509"/>
      <c r="G1646" s="1509"/>
      <c r="H1646" s="1509"/>
      <c r="I1646" s="1509"/>
      <c r="J1646" s="1509"/>
      <c r="K1646" s="1509"/>
      <c r="L1646" s="1509"/>
      <c r="M1646" s="1509"/>
      <c r="N1646" s="1509"/>
      <c r="O1646" s="1510"/>
      <c r="P1646" s="1509"/>
      <c r="Q1646" s="1509"/>
      <c r="R1646" s="1509"/>
      <c r="S1646" s="1509"/>
      <c r="T1646" s="1510"/>
      <c r="U1646" s="1509"/>
      <c r="V1646" s="1509"/>
      <c r="W1646" s="1509"/>
      <c r="X1646" s="1369"/>
      <c r="Y1646" s="1510"/>
      <c r="Z1646" s="1509"/>
      <c r="AA1646" s="1509"/>
      <c r="AB1646" s="1509"/>
      <c r="AC1646" s="1369"/>
      <c r="AD1646" s="1510"/>
      <c r="AE1646" s="1509"/>
      <c r="AF1646" s="1509"/>
      <c r="AG1646" s="1509"/>
      <c r="AH1646" s="1369"/>
      <c r="AI1646" s="1510"/>
      <c r="AJ1646" s="1509"/>
      <c r="AK1646" s="1509"/>
      <c r="AL1646" s="1509"/>
      <c r="AM1646" s="1369"/>
      <c r="AN1646" s="1510"/>
      <c r="AO1646" s="1509"/>
      <c r="AP1646" s="1509"/>
      <c r="AQ1646" s="1511"/>
      <c r="AR1646" s="1369"/>
      <c r="AS1646" s="1510"/>
      <c r="AT1646" s="1509"/>
      <c r="AU1646" s="1509"/>
      <c r="AV1646" s="1509"/>
      <c r="AW1646" s="1369"/>
      <c r="AX1646" s="1510"/>
      <c r="AY1646" s="1509"/>
      <c r="AZ1646" s="1509"/>
      <c r="BA1646" s="1509"/>
      <c r="BB1646" s="1369"/>
      <c r="BC1646" s="1510"/>
      <c r="BD1646" s="1509"/>
      <c r="BE1646" s="1509"/>
      <c r="BF1646" s="1509"/>
      <c r="BG1646" s="1369"/>
      <c r="BH1646" s="1510"/>
      <c r="BI1646" s="1509"/>
      <c r="BJ1646" s="1509"/>
      <c r="BK1646" s="1509"/>
      <c r="BL1646" s="1369"/>
      <c r="BM1646" s="1509"/>
      <c r="BN1646" s="1512"/>
      <c r="BO1646" s="1509"/>
      <c r="BP1646" s="1509"/>
      <c r="BQ1646" s="1369"/>
      <c r="BR1646" s="1509"/>
      <c r="BS1646" s="1512"/>
      <c r="BT1646" s="1509"/>
      <c r="BU1646" s="1509"/>
      <c r="BV1646" s="1369"/>
      <c r="BW1646" s="1512"/>
      <c r="BX1646" s="1512"/>
      <c r="BY1646" s="1512"/>
      <c r="BZ1646" s="1512"/>
      <c r="CA1646" s="1369"/>
      <c r="CB1646" s="1512"/>
      <c r="CC1646" s="1509"/>
      <c r="CD1646" s="1512"/>
      <c r="CE1646" s="1512"/>
      <c r="CF1646" s="1369"/>
      <c r="CG1646" s="1512"/>
      <c r="CH1646" s="1512"/>
      <c r="CI1646" s="1512"/>
      <c r="CJ1646" s="1512"/>
      <c r="CK1646" s="1369"/>
      <c r="CL1646" s="1513"/>
      <c r="CM1646" s="1509"/>
      <c r="CN1646" s="1509"/>
      <c r="CO1646" s="1512"/>
      <c r="CP1646" s="1520">
        <v>0</v>
      </c>
      <c r="CQ1646" s="1509"/>
      <c r="CR1646" s="1509"/>
      <c r="CS1646" s="1509"/>
      <c r="CT1646" s="1514"/>
      <c r="CU1646" s="1520">
        <v>0</v>
      </c>
      <c r="CV1646" s="1509"/>
      <c r="CW1646" s="1509"/>
      <c r="CX1646" s="1509"/>
      <c r="CY1646" s="1514"/>
      <c r="CZ1646" s="1520"/>
      <c r="DA1646" s="1521"/>
      <c r="DB1646" s="1512"/>
      <c r="DC1646" s="1512"/>
      <c r="DD1646" s="1514">
        <f>+DE1646-SUM(DA1646:DC1646)</f>
      </c>
      <c r="DE1646" s="1520"/>
      <c r="DF1646" s="1521"/>
      <c r="DG1646" s="1512"/>
      <c r="DH1646" s="1512"/>
      <c r="DI1646" s="1514"/>
      <c r="DJ1646" s="1520"/>
      <c r="DK1646" s="1512">
        <v>100</v>
      </c>
      <c r="DL1646" s="1512">
        <v>51</v>
      </c>
      <c r="DM1646" s="908">
        <v>270</v>
      </c>
      <c r="DN1646" s="908">
        <v>213</v>
      </c>
      <c r="DO1646" s="899">
        <f>SUM(DK1646:DN1646)</f>
      </c>
      <c r="DP1646" s="908">
        <v>75</v>
      </c>
      <c r="DQ1646" s="908">
        <v>45</v>
      </c>
      <c r="DR1646" s="908">
        <v>0</v>
      </c>
      <c r="DS1646" s="1021">
        <v>0</v>
      </c>
      <c r="DT1646" s="2032">
        <f>SUM(DP1646:DS1646)</f>
      </c>
      <c r="DU1646" s="908">
        <v>0</v>
      </c>
      <c r="DV1646" s="908">
        <v>0</v>
      </c>
      <c r="DW1646" s="908">
        <v>0</v>
      </c>
      <c r="DX1646" s="1021">
        <v>0</v>
      </c>
      <c r="DY1646" s="1520">
        <f>SUM(DU1646:DX1646)</f>
      </c>
      <c r="DZ1646" s="908">
        <v>0</v>
      </c>
      <c r="EA1646" s="908">
        <v>0</v>
      </c>
      <c r="EB1646" s="908">
        <v>0</v>
      </c>
      <c r="EC1646" s="1021">
        <v>0</v>
      </c>
      <c r="ED1646" s="1520">
        <v>0</v>
      </c>
      <c r="EE1646" s="1521">
        <v>0</v>
      </c>
      <c r="EF1646" s="1512">
        <v>0</v>
      </c>
      <c r="EG1646" s="1512">
        <v>0</v>
      </c>
      <c r="EH1646" s="1021">
        <v>0</v>
      </c>
      <c r="EI1646" s="1520">
        <v>0</v>
      </c>
      <c r="EJ1646" s="1520"/>
      <c r="EK1646" s="1520"/>
      <c r="EL1646" s="1520"/>
      <c r="EM1646" s="1520"/>
      <c r="EN1646" s="1520"/>
      <c r="EO1646" s="1520"/>
      <c r="EP1646" s="1520"/>
      <c r="EQ1646" s="1520"/>
      <c r="ER1646" s="1520"/>
      <c r="ES1646" s="1520"/>
      <c r="ET1646" s="1520"/>
      <c r="EU1646" s="1520"/>
      <c r="EV1646" s="1520"/>
      <c r="EW1646" s="1520"/>
      <c r="EX1646" s="1520"/>
    </row>
    <row r="1647" spans="1:154" s="1515" customFormat="1" hidden="1">
      <c r="A1647" s="3277"/>
      <c r="B1647" s="1507" t="s">
        <v>235</v>
      </c>
      <c r="C1647" s="2027"/>
      <c r="D1647" s="1508"/>
      <c r="E1647" s="1508"/>
      <c r="F1647" s="1509"/>
      <c r="G1647" s="1509"/>
      <c r="H1647" s="1509"/>
      <c r="I1647" s="1509"/>
      <c r="J1647" s="1509"/>
      <c r="K1647" s="1509"/>
      <c r="L1647" s="1509"/>
      <c r="M1647" s="1509"/>
      <c r="N1647" s="1509"/>
      <c r="O1647" s="1510"/>
      <c r="P1647" s="1509"/>
      <c r="Q1647" s="1509"/>
      <c r="R1647" s="1509"/>
      <c r="S1647" s="1509"/>
      <c r="T1647" s="1510"/>
      <c r="U1647" s="1509"/>
      <c r="V1647" s="1509"/>
      <c r="W1647" s="1509"/>
      <c r="X1647" s="1369"/>
      <c r="Y1647" s="1510"/>
      <c r="Z1647" s="1509"/>
      <c r="AA1647" s="1509"/>
      <c r="AB1647" s="1509"/>
      <c r="AC1647" s="1369"/>
      <c r="AD1647" s="1510"/>
      <c r="AE1647" s="1509"/>
      <c r="AF1647" s="1509"/>
      <c r="AG1647" s="1509"/>
      <c r="AH1647" s="1369"/>
      <c r="AI1647" s="1510"/>
      <c r="AJ1647" s="1509"/>
      <c r="AK1647" s="1509"/>
      <c r="AL1647" s="1509"/>
      <c r="AM1647" s="1369"/>
      <c r="AN1647" s="1510"/>
      <c r="AO1647" s="1509"/>
      <c r="AP1647" s="1509"/>
      <c r="AQ1647" s="1511"/>
      <c r="AR1647" s="1369"/>
      <c r="AS1647" s="1510"/>
      <c r="AT1647" s="1509"/>
      <c r="AU1647" s="1509"/>
      <c r="AV1647" s="1509"/>
      <c r="AW1647" s="1369"/>
      <c r="AX1647" s="1510"/>
      <c r="AY1647" s="1509"/>
      <c r="AZ1647" s="1509"/>
      <c r="BA1647" s="1509"/>
      <c r="BB1647" s="1369"/>
      <c r="BC1647" s="1510"/>
      <c r="BD1647" s="1509"/>
      <c r="BE1647" s="1509"/>
      <c r="BF1647" s="1509"/>
      <c r="BG1647" s="1369"/>
      <c r="BH1647" s="1510"/>
      <c r="BI1647" s="1509"/>
      <c r="BJ1647" s="1509"/>
      <c r="BK1647" s="1509"/>
      <c r="BL1647" s="1369"/>
      <c r="BM1647" s="1509"/>
      <c r="BN1647" s="1512"/>
      <c r="BO1647" s="1509"/>
      <c r="BP1647" s="1509"/>
      <c r="BQ1647" s="1369"/>
      <c r="BR1647" s="1509"/>
      <c r="BS1647" s="1512"/>
      <c r="BT1647" s="1509"/>
      <c r="BU1647" s="1509"/>
      <c r="BV1647" s="1369"/>
      <c r="BW1647" s="1512"/>
      <c r="BX1647" s="1512"/>
      <c r="BY1647" s="1512"/>
      <c r="BZ1647" s="1512"/>
      <c r="CA1647" s="1369"/>
      <c r="CB1647" s="1512"/>
      <c r="CC1647" s="1509"/>
      <c r="CD1647" s="1512"/>
      <c r="CE1647" s="1512"/>
      <c r="CF1647" s="1369"/>
      <c r="CG1647" s="1512"/>
      <c r="CH1647" s="1512"/>
      <c r="CI1647" s="1512"/>
      <c r="CJ1647" s="1512"/>
      <c r="CK1647" s="1369"/>
      <c r="CL1647" s="1513"/>
      <c r="CM1647" s="1509"/>
      <c r="CN1647" s="1509"/>
      <c r="CO1647" s="1512"/>
      <c r="CP1647" s="1520">
        <v>0</v>
      </c>
      <c r="CQ1647" s="1509"/>
      <c r="CR1647" s="1509"/>
      <c r="CS1647" s="1509"/>
      <c r="CT1647" s="1514"/>
      <c r="CU1647" s="1520">
        <v>0</v>
      </c>
      <c r="CV1647" s="1509"/>
      <c r="CW1647" s="1509"/>
      <c r="CX1647" s="1509"/>
      <c r="CY1647" s="1514"/>
      <c r="CZ1647" s="1520">
        <v>0</v>
      </c>
      <c r="DA1647" s="1521"/>
      <c r="DB1647" s="1512"/>
      <c r="DC1647" s="1512"/>
      <c r="DD1647" s="1514">
        <f>+DE1647-SUM(DA1647:DC1647)</f>
      </c>
      <c r="DE1647" s="1520"/>
      <c r="DF1647" s="1521"/>
      <c r="DG1647" s="1512"/>
      <c r="DH1647" s="1512"/>
      <c r="DI1647" s="1514"/>
      <c r="DJ1647" s="1520"/>
      <c r="DK1647" s="1512">
        <v>0</v>
      </c>
      <c r="DL1647" s="1512">
        <v>113</v>
      </c>
      <c r="DM1647" s="908">
        <v>233</v>
      </c>
      <c r="DN1647" s="908">
        <v>1405</v>
      </c>
      <c r="DO1647" s="899">
        <f>SUM(DK1647:DN1647)</f>
      </c>
      <c r="DP1647" s="908">
        <v>382</v>
      </c>
      <c r="DQ1647" s="908">
        <v>901</v>
      </c>
      <c r="DR1647" s="908">
        <v>489</v>
      </c>
      <c r="DS1647" s="1021">
        <v>689</v>
      </c>
      <c r="DT1647" s="2032">
        <f>SUM(DP1647:DS1647)</f>
      </c>
      <c r="DU1647" s="908">
        <v>747</v>
      </c>
      <c r="DV1647" s="908">
        <v>285</v>
      </c>
      <c r="DW1647" s="908">
        <v>41</v>
      </c>
      <c r="DX1647" s="2396">
        <v>0</v>
      </c>
      <c r="DY1647" s="909">
        <f>SUM(DU1647:DX1647)</f>
      </c>
      <c r="DZ1647" s="908">
        <v>0</v>
      </c>
      <c r="EA1647" s="908">
        <v>0</v>
      </c>
      <c r="EB1647" s="908">
        <v>0</v>
      </c>
      <c r="EC1647" s="2396">
        <v>0</v>
      </c>
      <c r="ED1647" s="1520"/>
      <c r="EE1647" s="1521">
        <v>0</v>
      </c>
      <c r="EF1647" s="1512">
        <v>0</v>
      </c>
      <c r="EG1647" s="1512">
        <v>0</v>
      </c>
      <c r="EH1647" s="2396">
        <v>0</v>
      </c>
      <c r="EI1647" s="1520"/>
      <c r="EJ1647" s="1520"/>
      <c r="EK1647" s="1520"/>
      <c r="EL1647" s="1520"/>
      <c r="EM1647" s="1520"/>
      <c r="EN1647" s="1520"/>
      <c r="EO1647" s="1520"/>
      <c r="EP1647" s="1520"/>
      <c r="EQ1647" s="1520"/>
      <c r="ER1647" s="1520"/>
      <c r="ES1647" s="1520"/>
      <c r="ET1647" s="1520"/>
      <c r="EU1647" s="1520"/>
      <c r="EV1647" s="1520"/>
      <c r="EW1647" s="1520"/>
      <c r="EX1647" s="1520"/>
    </row>
    <row r="1648" spans="1:154" s="1515" customFormat="1" hidden="1">
      <c r="A1648" s="3277"/>
      <c r="B1648" s="1507" t="s">
        <v>188</v>
      </c>
      <c r="C1648" s="2027"/>
      <c r="D1648" s="1508"/>
      <c r="E1648" s="1508"/>
      <c r="F1648" s="1509"/>
      <c r="G1648" s="1509"/>
      <c r="H1648" s="1509"/>
      <c r="I1648" s="1509"/>
      <c r="J1648" s="1509"/>
      <c r="K1648" s="1509"/>
      <c r="L1648" s="1509"/>
      <c r="M1648" s="1509"/>
      <c r="N1648" s="1509"/>
      <c r="O1648" s="1510"/>
      <c r="P1648" s="1509"/>
      <c r="Q1648" s="1509"/>
      <c r="R1648" s="1509"/>
      <c r="S1648" s="1509"/>
      <c r="T1648" s="1510"/>
      <c r="U1648" s="1509"/>
      <c r="V1648" s="1509"/>
      <c r="W1648" s="1509"/>
      <c r="X1648" s="1369"/>
      <c r="Y1648" s="1510"/>
      <c r="Z1648" s="1509"/>
      <c r="AA1648" s="1509"/>
      <c r="AB1648" s="1509"/>
      <c r="AC1648" s="1369"/>
      <c r="AD1648" s="1510"/>
      <c r="AE1648" s="1509"/>
      <c r="AF1648" s="1509"/>
      <c r="AG1648" s="1509"/>
      <c r="AH1648" s="1369"/>
      <c r="AI1648" s="1510"/>
      <c r="AJ1648" s="1509"/>
      <c r="AK1648" s="1509"/>
      <c r="AL1648" s="1509"/>
      <c r="AM1648" s="1369"/>
      <c r="AN1648" s="1510"/>
      <c r="AO1648" s="1509"/>
      <c r="AP1648" s="1509"/>
      <c r="AQ1648" s="1511"/>
      <c r="AR1648" s="1369"/>
      <c r="AS1648" s="1510"/>
      <c r="AT1648" s="1509"/>
      <c r="AU1648" s="1509"/>
      <c r="AV1648" s="1509"/>
      <c r="AW1648" s="1369"/>
      <c r="AX1648" s="1510"/>
      <c r="AY1648" s="1509"/>
      <c r="AZ1648" s="1509"/>
      <c r="BA1648" s="1509"/>
      <c r="BB1648" s="1369"/>
      <c r="BC1648" s="1510"/>
      <c r="BD1648" s="1509"/>
      <c r="BE1648" s="1509"/>
      <c r="BF1648" s="1509"/>
      <c r="BG1648" s="1369"/>
      <c r="BH1648" s="1510"/>
      <c r="BI1648" s="1509"/>
      <c r="BJ1648" s="1509"/>
      <c r="BK1648" s="1509"/>
      <c r="BL1648" s="1369"/>
      <c r="BM1648" s="1509"/>
      <c r="BN1648" s="1509"/>
      <c r="BO1648" s="1509"/>
      <c r="BP1648" s="1509"/>
      <c r="BQ1648" s="1369"/>
      <c r="BR1648" s="1509"/>
      <c r="BS1648" s="1509"/>
      <c r="BT1648" s="1509"/>
      <c r="BU1648" s="1509"/>
      <c r="BV1648" s="1369"/>
      <c r="BW1648" s="1509"/>
      <c r="BX1648" s="1509"/>
      <c r="BY1648" s="1509"/>
      <c r="BZ1648" s="1509"/>
      <c r="CA1648" s="1369"/>
      <c r="CB1648" s="1509"/>
      <c r="CC1648" s="1509"/>
      <c r="CD1648" s="1509"/>
      <c r="CE1648" s="1509"/>
      <c r="CF1648" s="1369"/>
      <c r="CG1648" s="1509"/>
      <c r="CH1648" s="1509"/>
      <c r="CI1648" s="1509"/>
      <c r="CJ1648" s="1509"/>
      <c r="CK1648" s="1369"/>
      <c r="CL1648" s="1513"/>
      <c r="CM1648" s="1509"/>
      <c r="CN1648" s="1509"/>
      <c r="CO1648" s="1509"/>
      <c r="CP1648" s="1369">
        <f>CP1646+CP1647</f>
      </c>
      <c r="CQ1648" s="1509"/>
      <c r="CR1648" s="1509"/>
      <c r="CS1648" s="1509"/>
      <c r="CT1648" s="1514"/>
      <c r="CU1648" s="1369">
        <f>CU1646+CU1647</f>
      </c>
      <c r="CV1648" s="1509"/>
      <c r="CW1648" s="1509"/>
      <c r="CX1648" s="1509"/>
      <c r="CY1648" s="1514"/>
      <c r="CZ1648" s="1369">
        <f>CZ1646+CZ1647</f>
      </c>
      <c r="DA1648" s="1513">
        <f>SUM(DA1646:DA1647)</f>
      </c>
      <c r="DB1648" s="1509">
        <f>SUM(DB1646:DB1647)</f>
      </c>
      <c r="DC1648" s="1509">
        <f>SUM(DC1646:DC1647)</f>
      </c>
      <c r="DD1648" s="1514">
        <f>SUM(DD1646:DD1647)</f>
      </c>
      <c r="DE1648" s="1369">
        <f>DE1646+DE1647</f>
      </c>
      <c r="DF1648" s="1513"/>
      <c r="DG1648" s="1509"/>
      <c r="DH1648" s="1509"/>
      <c r="DI1648" s="1514"/>
      <c r="DJ1648" s="1369">
        <f>DJ1646+DJ1647</f>
      </c>
      <c r="DK1648" s="1509">
        <f>SUM(DK1646:DK1647)</f>
      </c>
      <c r="DL1648" s="1509">
        <f>DL1647+DL1646</f>
      </c>
      <c r="DM1648" s="895">
        <f>DM1647+DM1646</f>
      </c>
      <c r="DN1648" s="1509">
        <f>DN1647+DN1646</f>
      </c>
      <c r="DO1648" s="899">
        <f>DO1646+DO1647</f>
      </c>
      <c r="DP1648" s="1509">
        <f>SUM(DP1646:DP1647)</f>
      </c>
      <c r="DQ1648" s="1509">
        <f>DQ1647+DQ1646</f>
      </c>
      <c r="DR1648" s="895">
        <f>DR1647+DR1646</f>
      </c>
      <c r="DS1648" s="1509">
        <f>DS1647+DS1646</f>
      </c>
      <c r="DT1648" s="1369">
        <f>DT1646+DT1647</f>
      </c>
      <c r="DU1648" s="1509">
        <f>SUM(DU1646:DU1647)</f>
      </c>
      <c r="DV1648" s="1509">
        <f>DV1647+DV1646</f>
      </c>
      <c r="DW1648" s="895">
        <f>DW1647+DW1646</f>
      </c>
      <c r="DX1648" s="1509">
        <f>DX1647+DX1646</f>
      </c>
      <c r="DY1648" s="1369">
        <f>DY1646+DY1647</f>
      </c>
      <c r="DZ1648" s="1509">
        <f>DZ1647+DZ1646</f>
      </c>
      <c r="EA1648" s="1509">
        <f>EA1647+EA1646</f>
      </c>
      <c r="EB1648" s="895">
        <f>EB1647+EB1646</f>
      </c>
      <c r="EC1648" s="1509">
        <f>EC1647+EC1646</f>
      </c>
      <c r="ED1648" s="1369">
        <f>ED1646+ED1647</f>
      </c>
      <c r="EE1648" s="1513">
        <f>EE1647+EE1646</f>
      </c>
      <c r="EF1648" s="1509">
        <f>EF1647+EF1646</f>
      </c>
      <c r="EG1648" s="1509">
        <f>EG1647+EG1646</f>
      </c>
      <c r="EH1648" s="1509">
        <f>EH1647+EH1646</f>
      </c>
      <c r="EI1648" s="1369">
        <f>EI1646+EI1647</f>
      </c>
      <c r="EJ1648" s="1369"/>
      <c r="EK1648" s="1369"/>
      <c r="EL1648" s="1369"/>
      <c r="EM1648" s="1369"/>
      <c r="EN1648" s="1369"/>
      <c r="EO1648" s="1369"/>
      <c r="EP1648" s="1369"/>
      <c r="EQ1648" s="1369"/>
      <c r="ER1648" s="1369"/>
      <c r="ES1648" s="1369"/>
      <c r="ET1648" s="1369"/>
      <c r="EU1648" s="1369"/>
      <c r="EV1648" s="1369"/>
      <c r="EW1648" s="1369"/>
      <c r="EX1648" s="1369"/>
    </row>
    <row r="1649" spans="1:154" s="1515" customFormat="1" hidden="1">
      <c r="A1649" s="3277"/>
      <c r="B1649" s="1507"/>
      <c r="C1649" s="2027"/>
      <c r="D1649" s="1508"/>
      <c r="E1649" s="1508"/>
      <c r="F1649" s="1509"/>
      <c r="G1649" s="1509"/>
      <c r="H1649" s="1509"/>
      <c r="I1649" s="1509"/>
      <c r="J1649" s="1509"/>
      <c r="K1649" s="1509"/>
      <c r="L1649" s="1509"/>
      <c r="M1649" s="1509"/>
      <c r="N1649" s="1509"/>
      <c r="O1649" s="1510"/>
      <c r="P1649" s="1509"/>
      <c r="Q1649" s="1509"/>
      <c r="R1649" s="1509"/>
      <c r="S1649" s="1509"/>
      <c r="T1649" s="1510"/>
      <c r="U1649" s="1509"/>
      <c r="V1649" s="1509"/>
      <c r="W1649" s="1509"/>
      <c r="X1649" s="1519"/>
      <c r="Y1649" s="1510"/>
      <c r="Z1649" s="1509"/>
      <c r="AA1649" s="1509"/>
      <c r="AB1649" s="1509"/>
      <c r="AC1649" s="1519"/>
      <c r="AD1649" s="1510"/>
      <c r="AE1649" s="1509"/>
      <c r="AF1649" s="1509"/>
      <c r="AG1649" s="1509"/>
      <c r="AH1649" s="1519"/>
      <c r="AI1649" s="1510"/>
      <c r="AJ1649" s="1509"/>
      <c r="AK1649" s="1509"/>
      <c r="AL1649" s="1509"/>
      <c r="AM1649" s="1519"/>
      <c r="AN1649" s="1510"/>
      <c r="AO1649" s="1509"/>
      <c r="AP1649" s="1509"/>
      <c r="AQ1649" s="1511"/>
      <c r="AR1649" s="1519"/>
      <c r="AS1649" s="1510"/>
      <c r="AT1649" s="1509"/>
      <c r="AU1649" s="1509"/>
      <c r="AV1649" s="1509"/>
      <c r="AW1649" s="1519"/>
      <c r="AX1649" s="1510"/>
      <c r="AY1649" s="1509"/>
      <c r="AZ1649" s="1509"/>
      <c r="BA1649" s="1509"/>
      <c r="BB1649" s="1519"/>
      <c r="BC1649" s="1510"/>
      <c r="BD1649" s="1509"/>
      <c r="BE1649" s="1509"/>
      <c r="BF1649" s="1509"/>
      <c r="BG1649" s="1519"/>
      <c r="BH1649" s="1510"/>
      <c r="BI1649" s="1509"/>
      <c r="BJ1649" s="1509"/>
      <c r="BK1649" s="1509"/>
      <c r="BL1649" s="1519"/>
      <c r="BM1649" s="1509"/>
      <c r="BN1649" s="1509"/>
      <c r="BO1649" s="1509"/>
      <c r="BP1649" s="1509"/>
      <c r="BQ1649" s="1519"/>
      <c r="BR1649" s="1509"/>
      <c r="BS1649" s="1509"/>
      <c r="BT1649" s="1509"/>
      <c r="BU1649" s="1509"/>
      <c r="BV1649" s="1519"/>
      <c r="BW1649" s="1509"/>
      <c r="BX1649" s="1509"/>
      <c r="BY1649" s="1509"/>
      <c r="BZ1649" s="1509"/>
      <c r="CA1649" s="1519"/>
      <c r="CB1649" s="1509"/>
      <c r="CC1649" s="1509"/>
      <c r="CD1649" s="1509"/>
      <c r="CE1649" s="1509"/>
      <c r="CF1649" s="1519"/>
      <c r="CG1649" s="1509"/>
      <c r="CH1649" s="1509"/>
      <c r="CI1649" s="1509"/>
      <c r="CJ1649" s="1509"/>
      <c r="CK1649" s="1369"/>
      <c r="CL1649" s="1513"/>
      <c r="CM1649" s="1509"/>
      <c r="CN1649" s="1509"/>
      <c r="CO1649" s="1509"/>
      <c r="CP1649" s="1369"/>
      <c r="CQ1649" s="1509"/>
      <c r="CR1649" s="1509"/>
      <c r="CS1649" s="1509"/>
      <c r="CT1649" s="1514"/>
      <c r="CU1649" s="1369"/>
      <c r="CV1649" s="1509"/>
      <c r="CW1649" s="1509"/>
      <c r="CX1649" s="1509"/>
      <c r="CY1649" s="1514"/>
      <c r="CZ1649" s="1369"/>
      <c r="DA1649" s="1513"/>
      <c r="DB1649" s="1509"/>
      <c r="DC1649" s="1509"/>
      <c r="DD1649" s="1514"/>
      <c r="DE1649" s="1369"/>
      <c r="DF1649" s="1513"/>
      <c r="DG1649" s="1509"/>
      <c r="DH1649" s="1509"/>
      <c r="DI1649" s="1514"/>
      <c r="DJ1649" s="1369"/>
      <c r="DK1649" s="1509"/>
      <c r="DL1649" s="1509"/>
      <c r="DM1649" s="1509"/>
      <c r="DN1649" s="1514"/>
      <c r="DO1649" s="1369"/>
      <c r="DP1649" s="1509"/>
      <c r="DQ1649" s="2034"/>
      <c r="DR1649" s="1509"/>
      <c r="DS1649" s="1514"/>
      <c r="DT1649" s="1369"/>
      <c r="DU1649" s="1509"/>
      <c r="DV1649" s="2034"/>
      <c r="DW1649" s="1509"/>
      <c r="DX1649" s="1514"/>
      <c r="DY1649" s="1369"/>
      <c r="DZ1649" s="2034"/>
      <c r="EA1649" s="2034"/>
      <c r="EB1649" s="1509"/>
      <c r="EC1649" s="1514"/>
      <c r="ED1649" s="1369"/>
      <c r="EE1649" s="1513"/>
      <c r="EF1649" s="1509"/>
      <c r="EG1649" s="1509"/>
      <c r="EH1649" s="1514"/>
      <c r="EI1649" s="1369"/>
      <c r="EJ1649" s="1369"/>
      <c r="EK1649" s="1369"/>
      <c r="EL1649" s="1369"/>
      <c r="EM1649" s="1369"/>
      <c r="EN1649" s="1369"/>
      <c r="EO1649" s="1369"/>
      <c r="EP1649" s="1369"/>
      <c r="EQ1649" s="1369"/>
      <c r="ER1649" s="1369"/>
      <c r="ES1649" s="1369"/>
      <c r="ET1649" s="1369"/>
      <c r="EU1649" s="1369"/>
      <c r="EV1649" s="1369"/>
      <c r="EW1649" s="1369"/>
      <c r="EX1649" s="1369"/>
    </row>
    <row r="1650" spans="1:154" s="1515" customFormat="1" hidden="1">
      <c r="A1650" s="3277"/>
      <c r="B1650" s="1518" t="str">
        <f>B1645</f>
      </c>
      <c r="C1650" s="2027"/>
      <c r="D1650" s="1508"/>
      <c r="E1650" s="1508"/>
      <c r="F1650" s="1509"/>
      <c r="G1650" s="1509"/>
      <c r="H1650" s="1509"/>
      <c r="I1650" s="1509"/>
      <c r="J1650" s="1509"/>
      <c r="K1650" s="1509"/>
      <c r="L1650" s="1509"/>
      <c r="M1650" s="1509"/>
      <c r="N1650" s="1509"/>
      <c r="O1650" s="1510"/>
      <c r="P1650" s="1509"/>
      <c r="Q1650" s="1509"/>
      <c r="R1650" s="1509"/>
      <c r="S1650" s="1509"/>
      <c r="T1650" s="1510"/>
      <c r="U1650" s="1509"/>
      <c r="V1650" s="1509"/>
      <c r="W1650" s="1509"/>
      <c r="X1650" s="1369"/>
      <c r="Y1650" s="1510"/>
      <c r="Z1650" s="1509"/>
      <c r="AA1650" s="1509"/>
      <c r="AB1650" s="1509"/>
      <c r="AC1650" s="1369"/>
      <c r="AD1650" s="1510"/>
      <c r="AE1650" s="1509"/>
      <c r="AF1650" s="1509"/>
      <c r="AG1650" s="1509"/>
      <c r="AH1650" s="1369"/>
      <c r="AI1650" s="1510"/>
      <c r="AJ1650" s="1509"/>
      <c r="AK1650" s="1509"/>
      <c r="AL1650" s="1509"/>
      <c r="AM1650" s="1369"/>
      <c r="AN1650" s="1510"/>
      <c r="AO1650" s="1509"/>
      <c r="AP1650" s="1509"/>
      <c r="AQ1650" s="1511"/>
      <c r="AR1650" s="1369"/>
      <c r="AS1650" s="1510"/>
      <c r="AT1650" s="1509"/>
      <c r="AU1650" s="1509"/>
      <c r="AV1650" s="1509"/>
      <c r="AW1650" s="1369"/>
      <c r="AX1650" s="1510"/>
      <c r="AY1650" s="1509"/>
      <c r="AZ1650" s="1509"/>
      <c r="BA1650" s="1509"/>
      <c r="BB1650" s="1369"/>
      <c r="BC1650" s="1510"/>
      <c r="BD1650" s="1509"/>
      <c r="BE1650" s="1509"/>
      <c r="BF1650" s="1509"/>
      <c r="BG1650" s="1369"/>
      <c r="BH1650" s="1510"/>
      <c r="BI1650" s="1509"/>
      <c r="BJ1650" s="1509"/>
      <c r="BK1650" s="1509"/>
      <c r="BL1650" s="1369"/>
      <c r="BM1650" s="1509"/>
      <c r="BN1650" s="1512"/>
      <c r="BO1650" s="1509"/>
      <c r="BP1650" s="1509"/>
      <c r="BQ1650" s="1369"/>
      <c r="BR1650" s="1509"/>
      <c r="BS1650" s="1512"/>
      <c r="BT1650" s="1509"/>
      <c r="BU1650" s="1509"/>
      <c r="BV1650" s="1369"/>
      <c r="BW1650" s="1512"/>
      <c r="BX1650" s="1512"/>
      <c r="BY1650" s="1512"/>
      <c r="BZ1650" s="1512"/>
      <c r="CA1650" s="1369"/>
      <c r="CB1650" s="1512"/>
      <c r="CC1650" s="1509"/>
      <c r="CD1650" s="1512"/>
      <c r="CE1650" s="1512"/>
      <c r="CF1650" s="1369"/>
      <c r="CG1650" s="1512"/>
      <c r="CH1650" s="1512"/>
      <c r="CI1650" s="1512"/>
      <c r="CJ1650" s="1512"/>
      <c r="CK1650" s="1369"/>
      <c r="CL1650" s="1513"/>
      <c r="CM1650" s="1509"/>
      <c r="CN1650" s="1509"/>
      <c r="CO1650" s="1512"/>
      <c r="CP1650" s="1520"/>
      <c r="CQ1650" s="1509"/>
      <c r="CR1650" s="1509"/>
      <c r="CS1650" s="1509"/>
      <c r="CT1650" s="1514"/>
      <c r="CU1650" s="1520"/>
      <c r="CV1650" s="1509"/>
      <c r="CW1650" s="1509"/>
      <c r="CX1650" s="1509"/>
      <c r="CY1650" s="1514"/>
      <c r="CZ1650" s="1520"/>
      <c r="DA1650" s="1521"/>
      <c r="DB1650" s="1512"/>
      <c r="DC1650" s="1512"/>
      <c r="DD1650" s="1522"/>
      <c r="DE1650" s="1520"/>
      <c r="DF1650" s="1521"/>
      <c r="DG1650" s="1512"/>
      <c r="DH1650" s="1512"/>
      <c r="DI1650" s="1522"/>
      <c r="DJ1650" s="1520"/>
      <c r="DK1650" s="1512"/>
      <c r="DL1650" s="1512"/>
      <c r="DM1650" s="1512"/>
      <c r="DN1650" s="1522"/>
      <c r="DO1650" s="1520"/>
      <c r="DP1650" s="1512"/>
      <c r="DQ1650" s="1512"/>
      <c r="DR1650" s="1512"/>
      <c r="DS1650" s="1522"/>
      <c r="DT1650" s="1520"/>
      <c r="DU1650" s="1512"/>
      <c r="DV1650" s="1512"/>
      <c r="DW1650" s="1512"/>
      <c r="DX1650" s="1522"/>
      <c r="DY1650" s="1520"/>
      <c r="DZ1650" s="1512"/>
      <c r="EA1650" s="1512"/>
      <c r="EB1650" s="1512"/>
      <c r="EC1650" s="1522"/>
      <c r="ED1650" s="1520"/>
      <c r="EE1650" s="1521"/>
      <c r="EF1650" s="1512"/>
      <c r="EG1650" s="1512"/>
      <c r="EH1650" s="1522"/>
      <c r="EI1650" s="1520"/>
      <c r="EJ1650" s="1520"/>
      <c r="EK1650" s="1520"/>
      <c r="EL1650" s="1520"/>
      <c r="EM1650" s="1520"/>
      <c r="EN1650" s="1520"/>
      <c r="EO1650" s="1520"/>
      <c r="EP1650" s="1520"/>
      <c r="EQ1650" s="1520"/>
      <c r="ER1650" s="1520"/>
      <c r="ES1650" s="1520"/>
      <c r="ET1650" s="1520"/>
      <c r="EU1650" s="1520"/>
      <c r="EV1650" s="1520"/>
      <c r="EW1650" s="1520"/>
      <c r="EX1650" s="1520"/>
    </row>
    <row r="1651" spans="1:154" s="1515" customFormat="1" hidden="1">
      <c r="A1651" s="3277"/>
      <c r="B1651" s="1507" t="s">
        <v>153</v>
      </c>
      <c r="C1651" s="2030">
        <v>1</v>
      </c>
      <c r="D1651" s="1508"/>
      <c r="E1651" s="1508"/>
      <c r="F1651" s="1509"/>
      <c r="G1651" s="1509"/>
      <c r="H1651" s="1509"/>
      <c r="I1651" s="1509"/>
      <c r="J1651" s="1509"/>
      <c r="K1651" s="1509"/>
      <c r="L1651" s="1509"/>
      <c r="M1651" s="1509"/>
      <c r="N1651" s="1509"/>
      <c r="O1651" s="1510"/>
      <c r="P1651" s="1509"/>
      <c r="Q1651" s="1509"/>
      <c r="R1651" s="1509"/>
      <c r="S1651" s="1509"/>
      <c r="T1651" s="1510"/>
      <c r="U1651" s="1509"/>
      <c r="V1651" s="1509"/>
      <c r="W1651" s="1509"/>
      <c r="X1651" s="1369"/>
      <c r="Y1651" s="1510"/>
      <c r="Z1651" s="1509"/>
      <c r="AA1651" s="1509"/>
      <c r="AB1651" s="1509"/>
      <c r="AC1651" s="1369"/>
      <c r="AD1651" s="1510"/>
      <c r="AE1651" s="1509"/>
      <c r="AF1651" s="1509"/>
      <c r="AG1651" s="1509"/>
      <c r="AH1651" s="1369"/>
      <c r="AI1651" s="1510"/>
      <c r="AJ1651" s="1509"/>
      <c r="AK1651" s="1509"/>
      <c r="AL1651" s="1509"/>
      <c r="AM1651" s="1369"/>
      <c r="AN1651" s="1510"/>
      <c r="AO1651" s="1509"/>
      <c r="AP1651" s="1509"/>
      <c r="AQ1651" s="1511"/>
      <c r="AR1651" s="1369"/>
      <c r="AS1651" s="1510"/>
      <c r="AT1651" s="1509"/>
      <c r="AU1651" s="1509"/>
      <c r="AV1651" s="1509"/>
      <c r="AW1651" s="1369"/>
      <c r="AX1651" s="1510"/>
      <c r="AY1651" s="1509"/>
      <c r="AZ1651" s="1509"/>
      <c r="BA1651" s="1509"/>
      <c r="BB1651" s="1369"/>
      <c r="BC1651" s="1510"/>
      <c r="BD1651" s="1509"/>
      <c r="BE1651" s="1509"/>
      <c r="BF1651" s="1509"/>
      <c r="BG1651" s="1369"/>
      <c r="BH1651" s="1510"/>
      <c r="BI1651" s="1509"/>
      <c r="BJ1651" s="1509"/>
      <c r="BK1651" s="1509"/>
      <c r="BL1651" s="1369"/>
      <c r="BM1651" s="1509"/>
      <c r="BN1651" s="1509"/>
      <c r="BO1651" s="1509"/>
      <c r="BP1651" s="1509"/>
      <c r="BQ1651" s="1369"/>
      <c r="BR1651" s="1509"/>
      <c r="BS1651" s="1509"/>
      <c r="BT1651" s="1509"/>
      <c r="BU1651" s="1509"/>
      <c r="BV1651" s="1369"/>
      <c r="BW1651" s="1509"/>
      <c r="BX1651" s="1509"/>
      <c r="BY1651" s="1509"/>
      <c r="BZ1651" s="1509"/>
      <c r="CA1651" s="1369"/>
      <c r="CB1651" s="1509"/>
      <c r="CC1651" s="1509"/>
      <c r="CD1651" s="1509"/>
      <c r="CE1651" s="1509"/>
      <c r="CF1651" s="1369"/>
      <c r="CG1651" s="1509"/>
      <c r="CH1651" s="1509"/>
      <c r="CI1651" s="1509"/>
      <c r="CJ1651" s="1509"/>
      <c r="CK1651" s="1369"/>
      <c r="CL1651" s="1513"/>
      <c r="CM1651" s="1509"/>
      <c r="CN1651" s="1509"/>
      <c r="CO1651" s="1509"/>
      <c r="CP1651" s="1369">
        <f>$C1651*CP1646</f>
      </c>
      <c r="CQ1651" s="1509"/>
      <c r="CR1651" s="1509"/>
      <c r="CS1651" s="1509"/>
      <c r="CT1651" s="1514"/>
      <c r="CU1651" s="1369">
        <f>$C1651*CU1646</f>
      </c>
      <c r="CV1651" s="1509"/>
      <c r="CW1651" s="1509"/>
      <c r="CX1651" s="1509"/>
      <c r="CY1651" s="1514"/>
      <c r="CZ1651" s="1369">
        <f t="shared" ref="CZ1651:DE1651" si="3028">$C1651*CZ1646</f>
      </c>
      <c r="DA1651" s="1513">
        <f t="shared" si="3028"/>
      </c>
      <c r="DB1651" s="1509">
        <f t="shared" si="3028"/>
      </c>
      <c r="DC1651" s="1509">
        <f t="shared" si="3028"/>
      </c>
      <c r="DD1651" s="1514">
        <f t="shared" si="3028"/>
      </c>
      <c r="DE1651" s="1369">
        <f t="shared" si="3028"/>
      </c>
      <c r="DF1651" s="1513"/>
      <c r="DG1651" s="1509"/>
      <c r="DH1651" s="1509"/>
      <c r="DI1651" s="1514"/>
      <c r="DJ1651" s="1369">
        <f t="shared" ref="DJ1651:DO1652" si="3029">$C1651*DJ1646</f>
      </c>
      <c r="DK1651" s="1513">
        <f t="shared" si="3029"/>
      </c>
      <c r="DL1651" s="1509">
        <f t="shared" si="3029"/>
      </c>
      <c r="DM1651" s="1509">
        <f t="shared" si="3029"/>
      </c>
      <c r="DN1651" s="1514">
        <f t="shared" si="3029"/>
      </c>
      <c r="DO1651" s="1369">
        <f t="shared" si="3029"/>
      </c>
      <c r="DP1651" s="1509">
        <f t="shared" ref="DP1651:DS1652" si="3030">$C1651*DP1646</f>
      </c>
      <c r="DQ1651" s="1509">
        <f t="shared" si="3030"/>
      </c>
      <c r="DR1651" s="1509">
        <f t="shared" si="3030"/>
      </c>
      <c r="DS1651" s="1514">
        <f t="shared" si="3030"/>
      </c>
      <c r="DT1651" s="1369">
        <f t="shared" ref="DT1651:EI1652" si="3031">$C1651*DT1646</f>
      </c>
      <c r="DU1651" s="1509">
        <f t="shared" si="3031"/>
      </c>
      <c r="DV1651" s="1509">
        <f t="shared" si="3031"/>
      </c>
      <c r="DW1651" s="1509">
        <f t="shared" si="3031"/>
      </c>
      <c r="DX1651" s="1514">
        <f t="shared" si="3031"/>
      </c>
      <c r="DY1651" s="1369">
        <f t="shared" si="3031"/>
      </c>
      <c r="DZ1651" s="1509">
        <f t="shared" si="3031"/>
      </c>
      <c r="EA1651" s="1509">
        <f t="shared" si="3031"/>
      </c>
      <c r="EB1651" s="1509">
        <f t="shared" si="3031"/>
      </c>
      <c r="EC1651" s="1514">
        <f t="shared" si="3031"/>
      </c>
      <c r="ED1651" s="1369">
        <f t="shared" si="3031"/>
      </c>
      <c r="EE1651" s="1513">
        <f t="shared" si="3031"/>
      </c>
      <c r="EF1651" s="1509">
        <f t="shared" si="3031"/>
      </c>
      <c r="EG1651" s="1509">
        <f t="shared" si="3031"/>
      </c>
      <c r="EH1651" s="1514">
        <f t="shared" si="3031"/>
      </c>
      <c r="EI1651" s="1369">
        <f t="shared" si="3031"/>
      </c>
      <c r="EJ1651" s="1369"/>
      <c r="EK1651" s="1369"/>
      <c r="EL1651" s="1369"/>
      <c r="EM1651" s="1369"/>
      <c r="EN1651" s="1369"/>
      <c r="EO1651" s="1369"/>
      <c r="EP1651" s="1369"/>
      <c r="EQ1651" s="1369"/>
      <c r="ER1651" s="1369"/>
      <c r="ES1651" s="1369"/>
      <c r="ET1651" s="1369"/>
      <c r="EU1651" s="1369"/>
      <c r="EV1651" s="1369"/>
      <c r="EW1651" s="1369"/>
      <c r="EX1651" s="1369"/>
    </row>
    <row r="1652" spans="1:154" s="1515" customFormat="1" hidden="1">
      <c r="A1652" s="3277"/>
      <c r="B1652" s="1507" t="s">
        <v>235</v>
      </c>
      <c r="C1652" s="2030">
        <v>1</v>
      </c>
      <c r="D1652" s="1508"/>
      <c r="E1652" s="1508"/>
      <c r="F1652" s="1509"/>
      <c r="G1652" s="1509"/>
      <c r="H1652" s="1509"/>
      <c r="I1652" s="1509"/>
      <c r="J1652" s="1509"/>
      <c r="K1652" s="1509"/>
      <c r="L1652" s="1509"/>
      <c r="M1652" s="1509"/>
      <c r="N1652" s="1509"/>
      <c r="O1652" s="1510"/>
      <c r="P1652" s="1509"/>
      <c r="Q1652" s="1509"/>
      <c r="R1652" s="1509"/>
      <c r="S1652" s="1509"/>
      <c r="T1652" s="1510"/>
      <c r="U1652" s="1509"/>
      <c r="V1652" s="1509"/>
      <c r="W1652" s="1509"/>
      <c r="X1652" s="1519"/>
      <c r="Y1652" s="1510"/>
      <c r="Z1652" s="1509"/>
      <c r="AA1652" s="1509"/>
      <c r="AB1652" s="1509"/>
      <c r="AC1652" s="1519"/>
      <c r="AD1652" s="1510"/>
      <c r="AE1652" s="1509"/>
      <c r="AF1652" s="1509"/>
      <c r="AG1652" s="1509"/>
      <c r="AH1652" s="1519"/>
      <c r="AI1652" s="1510"/>
      <c r="AJ1652" s="1509"/>
      <c r="AK1652" s="1509"/>
      <c r="AL1652" s="1509"/>
      <c r="AM1652" s="1519"/>
      <c r="AN1652" s="1510"/>
      <c r="AO1652" s="1509"/>
      <c r="AP1652" s="1509"/>
      <c r="AQ1652" s="1511"/>
      <c r="AR1652" s="1519"/>
      <c r="AS1652" s="1510"/>
      <c r="AT1652" s="1509"/>
      <c r="AU1652" s="1509"/>
      <c r="AV1652" s="1509"/>
      <c r="AW1652" s="1519"/>
      <c r="AX1652" s="1510"/>
      <c r="AY1652" s="1509"/>
      <c r="AZ1652" s="1509"/>
      <c r="BA1652" s="1509"/>
      <c r="BB1652" s="1519"/>
      <c r="BC1652" s="1510"/>
      <c r="BD1652" s="1509"/>
      <c r="BE1652" s="1509"/>
      <c r="BF1652" s="1509"/>
      <c r="BG1652" s="1519"/>
      <c r="BH1652" s="1510"/>
      <c r="BI1652" s="1509"/>
      <c r="BJ1652" s="1509"/>
      <c r="BK1652" s="1509"/>
      <c r="BL1652" s="1519"/>
      <c r="BM1652" s="1509"/>
      <c r="BN1652" s="1509"/>
      <c r="BO1652" s="1509"/>
      <c r="BP1652" s="1509"/>
      <c r="BQ1652" s="1519"/>
      <c r="BR1652" s="1509"/>
      <c r="BS1652" s="1509"/>
      <c r="BT1652" s="1509"/>
      <c r="BU1652" s="1509"/>
      <c r="BV1652" s="1519"/>
      <c r="BW1652" s="1509"/>
      <c r="BX1652" s="1509"/>
      <c r="BY1652" s="1509"/>
      <c r="BZ1652" s="1509"/>
      <c r="CA1652" s="1519"/>
      <c r="CB1652" s="1509"/>
      <c r="CC1652" s="1509"/>
      <c r="CD1652" s="1509"/>
      <c r="CE1652" s="1509"/>
      <c r="CF1652" s="1519"/>
      <c r="CG1652" s="1509"/>
      <c r="CH1652" s="1509"/>
      <c r="CI1652" s="1509"/>
      <c r="CJ1652" s="1509"/>
      <c r="CK1652" s="1369"/>
      <c r="CL1652" s="1513"/>
      <c r="CM1652" s="1509"/>
      <c r="CN1652" s="1509"/>
      <c r="CO1652" s="1509"/>
      <c r="CP1652" s="1369">
        <f>$C1652*CP1647</f>
      </c>
      <c r="CQ1652" s="1509"/>
      <c r="CR1652" s="1509"/>
      <c r="CS1652" s="1509"/>
      <c r="CT1652" s="1514"/>
      <c r="CU1652" s="1369">
        <f>$C1652*CU1647</f>
      </c>
      <c r="CV1652" s="1509"/>
      <c r="CW1652" s="1509"/>
      <c r="CX1652" s="1509"/>
      <c r="CY1652" s="1514"/>
      <c r="CZ1652" s="1369">
        <f t="shared" ref="CZ1652:DE1652" si="3032">$C1652*CZ1647</f>
      </c>
      <c r="DA1652" s="1513">
        <f t="shared" si="3032"/>
      </c>
      <c r="DB1652" s="1509">
        <f t="shared" si="3032"/>
      </c>
      <c r="DC1652" s="1509">
        <f t="shared" si="3032"/>
      </c>
      <c r="DD1652" s="1514">
        <f t="shared" si="3032"/>
      </c>
      <c r="DE1652" s="1369">
        <f t="shared" si="3032"/>
      </c>
      <c r="DF1652" s="1513"/>
      <c r="DG1652" s="1509"/>
      <c r="DH1652" s="1509"/>
      <c r="DI1652" s="1514"/>
      <c r="DJ1652" s="1369">
        <f t="shared" si="3029"/>
      </c>
      <c r="DK1652" s="1513">
        <f t="shared" si="3029"/>
      </c>
      <c r="DL1652" s="1509">
        <f t="shared" si="3029"/>
      </c>
      <c r="DM1652" s="1509">
        <f t="shared" si="3029"/>
      </c>
      <c r="DN1652" s="1514">
        <f t="shared" si="3029"/>
      </c>
      <c r="DO1652" s="1369">
        <f t="shared" si="3029"/>
      </c>
      <c r="DP1652" s="1509">
        <f t="shared" si="3030"/>
      </c>
      <c r="DQ1652" s="1509">
        <f t="shared" si="3030"/>
      </c>
      <c r="DR1652" s="1509">
        <f t="shared" si="3030"/>
      </c>
      <c r="DS1652" s="1514">
        <f t="shared" si="3030"/>
      </c>
      <c r="DT1652" s="1369">
        <f t="shared" ref="DT1652:EI1652" si="3033">$C1652*DT1647</f>
      </c>
      <c r="DU1652" s="1509">
        <f t="shared" si="3033"/>
      </c>
      <c r="DV1652" s="1509">
        <f t="shared" si="3033"/>
      </c>
      <c r="DW1652" s="1509">
        <f t="shared" si="3033"/>
      </c>
      <c r="DX1652" s="1514">
        <f t="shared" si="3033"/>
      </c>
      <c r="DY1652" s="1369">
        <f t="shared" si="3033"/>
      </c>
      <c r="DZ1652" s="1509">
        <f t="shared" si="3033"/>
      </c>
      <c r="EA1652" s="1509">
        <f t="shared" si="3031"/>
      </c>
      <c r="EB1652" s="1509">
        <f t="shared" si="3031"/>
      </c>
      <c r="EC1652" s="1514">
        <f t="shared" si="3031"/>
      </c>
      <c r="ED1652" s="1369">
        <f t="shared" si="3031"/>
      </c>
      <c r="EE1652" s="1513">
        <f t="shared" si="3031"/>
      </c>
      <c r="EF1652" s="1509">
        <f t="shared" si="3031"/>
      </c>
      <c r="EG1652" s="1509">
        <f t="shared" si="3031"/>
      </c>
      <c r="EH1652" s="1514">
        <f t="shared" si="3031"/>
      </c>
      <c r="EI1652" s="1369">
        <f t="shared" si="3033"/>
      </c>
      <c r="EJ1652" s="1369"/>
      <c r="EK1652" s="1369"/>
      <c r="EL1652" s="1369"/>
      <c r="EM1652" s="1369"/>
      <c r="EN1652" s="1369"/>
      <c r="EO1652" s="1369"/>
      <c r="EP1652" s="1369"/>
      <c r="EQ1652" s="1369"/>
      <c r="ER1652" s="1369"/>
      <c r="ES1652" s="1369"/>
      <c r="ET1652" s="1369"/>
      <c r="EU1652" s="1369"/>
      <c r="EV1652" s="1369"/>
      <c r="EW1652" s="1369"/>
      <c r="EX1652" s="1369"/>
    </row>
    <row r="1653" spans="1:154" s="1515" customFormat="1" hidden="1">
      <c r="A1653" s="3277" t="s">
        <v>762</v>
      </c>
      <c r="B1653" s="1507" t="s">
        <v>188</v>
      </c>
      <c r="C1653" s="2027" t="s">
        <v>585</v>
      </c>
      <c r="D1653" s="1508"/>
      <c r="E1653" s="1508"/>
      <c r="F1653" s="1509"/>
      <c r="G1653" s="1509"/>
      <c r="H1653" s="1509"/>
      <c r="I1653" s="1509"/>
      <c r="J1653" s="1509"/>
      <c r="K1653" s="1509"/>
      <c r="L1653" s="1509"/>
      <c r="M1653" s="1509"/>
      <c r="N1653" s="1509"/>
      <c r="O1653" s="1510"/>
      <c r="P1653" s="1509"/>
      <c r="Q1653" s="1509"/>
      <c r="R1653" s="1509"/>
      <c r="S1653" s="1509"/>
      <c r="T1653" s="1510"/>
      <c r="U1653" s="1509"/>
      <c r="V1653" s="1509"/>
      <c r="W1653" s="1509"/>
      <c r="X1653" s="1369"/>
      <c r="Y1653" s="1510"/>
      <c r="Z1653" s="1509"/>
      <c r="AA1653" s="1509"/>
      <c r="AB1653" s="1509"/>
      <c r="AC1653" s="1369"/>
      <c r="AD1653" s="1510"/>
      <c r="AE1653" s="1509"/>
      <c r="AF1653" s="1509"/>
      <c r="AG1653" s="1509"/>
      <c r="AH1653" s="1369"/>
      <c r="AI1653" s="1510"/>
      <c r="AJ1653" s="1509"/>
      <c r="AK1653" s="1509"/>
      <c r="AL1653" s="1509"/>
      <c r="AM1653" s="1369"/>
      <c r="AN1653" s="1510"/>
      <c r="AO1653" s="1509"/>
      <c r="AP1653" s="1509"/>
      <c r="AQ1653" s="1511"/>
      <c r="AR1653" s="1369"/>
      <c r="AS1653" s="1510"/>
      <c r="AT1653" s="1509"/>
      <c r="AU1653" s="1509"/>
      <c r="AV1653" s="1509"/>
      <c r="AW1653" s="1369"/>
      <c r="AX1653" s="1510"/>
      <c r="AY1653" s="1509"/>
      <c r="AZ1653" s="1509"/>
      <c r="BA1653" s="1509"/>
      <c r="BB1653" s="1369"/>
      <c r="BC1653" s="1510"/>
      <c r="BD1653" s="1509"/>
      <c r="BE1653" s="1509"/>
      <c r="BF1653" s="1509"/>
      <c r="BG1653" s="1369"/>
      <c r="BH1653" s="1510"/>
      <c r="BI1653" s="1509"/>
      <c r="BJ1653" s="1509"/>
      <c r="BK1653" s="1509"/>
      <c r="BL1653" s="1369"/>
      <c r="BM1653" s="1509"/>
      <c r="BN1653" s="1509"/>
      <c r="BO1653" s="1509"/>
      <c r="BP1653" s="1509"/>
      <c r="BQ1653" s="1369"/>
      <c r="BR1653" s="1509"/>
      <c r="BS1653" s="1509"/>
      <c r="BT1653" s="1509"/>
      <c r="BU1653" s="1509"/>
      <c r="BV1653" s="1369"/>
      <c r="BW1653" s="1512"/>
      <c r="BX1653" s="1509"/>
      <c r="BY1653" s="1509"/>
      <c r="BZ1653" s="1509"/>
      <c r="CA1653" s="1369"/>
      <c r="CB1653" s="1509"/>
      <c r="CC1653" s="1509"/>
      <c r="CD1653" s="1509"/>
      <c r="CE1653" s="1509"/>
      <c r="CF1653" s="1369"/>
      <c r="CG1653" s="1509"/>
      <c r="CH1653" s="1509"/>
      <c r="CI1653" s="1509"/>
      <c r="CJ1653" s="1509"/>
      <c r="CK1653" s="1369"/>
      <c r="CL1653" s="1513"/>
      <c r="CM1653" s="1509"/>
      <c r="CN1653" s="1509"/>
      <c r="CO1653" s="1509"/>
      <c r="CP1653" s="1369">
        <f>CP1651+CP1652</f>
      </c>
      <c r="CQ1653" s="1509"/>
      <c r="CR1653" s="1509"/>
      <c r="CS1653" s="1509"/>
      <c r="CT1653" s="1514"/>
      <c r="CU1653" s="1369">
        <f>CU1651+CU1652</f>
      </c>
      <c r="CV1653" s="1509"/>
      <c r="CW1653" s="1509"/>
      <c r="CX1653" s="1509"/>
      <c r="CY1653" s="1514"/>
      <c r="CZ1653" s="1369">
        <f t="shared" ref="CZ1653:DE1653" si="3034">CZ1651+CZ1652</f>
      </c>
      <c r="DA1653" s="1513">
        <f t="shared" si="3034"/>
      </c>
      <c r="DB1653" s="1509">
        <f t="shared" si="3034"/>
      </c>
      <c r="DC1653" s="1509">
        <f t="shared" si="3034"/>
      </c>
      <c r="DD1653" s="1514">
        <f t="shared" si="3034"/>
      </c>
      <c r="DE1653" s="1369">
        <f t="shared" si="3034"/>
      </c>
      <c r="DF1653" s="1513"/>
      <c r="DG1653" s="1509"/>
      <c r="DH1653" s="1509"/>
      <c r="DI1653" s="1514"/>
      <c r="DJ1653" s="1369">
        <f t="shared" ref="DJ1653:EI1653" si="3035">DJ1651+DJ1652</f>
      </c>
      <c r="DK1653" s="1513">
        <f t="shared" si="3035"/>
      </c>
      <c r="DL1653" s="1509">
        <f t="shared" si="3035"/>
      </c>
      <c r="DM1653" s="1509">
        <f t="shared" si="3035"/>
      </c>
      <c r="DN1653" s="1514">
        <f t="shared" si="3035"/>
      </c>
      <c r="DO1653" s="1369">
        <f t="shared" si="3035"/>
      </c>
      <c r="DP1653" s="1509">
        <f t="shared" si="3035"/>
      </c>
      <c r="DQ1653" s="1509">
        <f t="shared" si="3035"/>
      </c>
      <c r="DR1653" s="1509">
        <f t="shared" si="3035"/>
      </c>
      <c r="DS1653" s="1514">
        <f t="shared" si="3035"/>
      </c>
      <c r="DT1653" s="1369">
        <f t="shared" si="3035"/>
      </c>
      <c r="DU1653" s="1509">
        <f t="shared" si="3035"/>
      </c>
      <c r="DV1653" s="1509">
        <f t="shared" si="3035"/>
      </c>
      <c r="DW1653" s="1509">
        <f t="shared" si="3035"/>
      </c>
      <c r="DX1653" s="1514">
        <f t="shared" si="3035"/>
      </c>
      <c r="DY1653" s="1369">
        <f>DY1651+DY1652</f>
      </c>
      <c r="DZ1653" s="1509">
        <f>DZ1651+DZ1652</f>
      </c>
      <c r="EA1653" s="1509">
        <f>EA1651+EA1652</f>
      </c>
      <c r="EB1653" s="1509">
        <f>EB1651+EB1652</f>
      </c>
      <c r="EC1653" s="1514">
        <f>EC1651+EC1652</f>
      </c>
      <c r="ED1653" s="1369">
        <f t="shared" ref="ED1653" si="3036">ED1651+ED1652</f>
      </c>
      <c r="EE1653" s="1513">
        <f>EE1651+EE1652</f>
      </c>
      <c r="EF1653" s="1509">
        <f>EF1651+EF1652</f>
      </c>
      <c r="EG1653" s="1509">
        <f>EG1651+EG1652</f>
      </c>
      <c r="EH1653" s="1514">
        <f>EH1651+EH1652</f>
      </c>
      <c r="EI1653" s="1369">
        <f t="shared" si="3035"/>
      </c>
      <c r="EJ1653" s="1369"/>
      <c r="EK1653" s="1369"/>
      <c r="EL1653" s="1369"/>
      <c r="EM1653" s="1369"/>
      <c r="EN1653" s="1369"/>
      <c r="EO1653" s="1369"/>
      <c r="EP1653" s="1369"/>
      <c r="EQ1653" s="1369"/>
      <c r="ER1653" s="1369"/>
      <c r="ES1653" s="1369"/>
      <c r="ET1653" s="1369"/>
      <c r="EU1653" s="1369"/>
      <c r="EV1653" s="1369"/>
      <c r="EW1653" s="1369"/>
      <c r="EX1653" s="1369"/>
    </row>
    <row r="1654" spans="1:154" s="1515" customFormat="1" hidden="1">
      <c r="A1654" s="3277"/>
      <c r="B1654" s="1507"/>
      <c r="C1654" s="2027"/>
      <c r="D1654" s="1508"/>
      <c r="E1654" s="1508"/>
      <c r="F1654" s="1509"/>
      <c r="G1654" s="1509"/>
      <c r="H1654" s="1509"/>
      <c r="I1654" s="1509"/>
      <c r="J1654" s="1509"/>
      <c r="K1654" s="1509"/>
      <c r="L1654" s="1509"/>
      <c r="M1654" s="1509"/>
      <c r="N1654" s="1509"/>
      <c r="O1654" s="1510"/>
      <c r="P1654" s="1509"/>
      <c r="Q1654" s="1509"/>
      <c r="R1654" s="1509"/>
      <c r="S1654" s="1509"/>
      <c r="T1654" s="1510"/>
      <c r="U1654" s="1509"/>
      <c r="V1654" s="1509"/>
      <c r="W1654" s="1509"/>
      <c r="X1654" s="1369"/>
      <c r="Y1654" s="1510"/>
      <c r="Z1654" s="1509"/>
      <c r="AA1654" s="1509"/>
      <c r="AB1654" s="1509"/>
      <c r="AC1654" s="1369"/>
      <c r="AD1654" s="1510"/>
      <c r="AE1654" s="1509"/>
      <c r="AF1654" s="1509"/>
      <c r="AG1654" s="1509"/>
      <c r="AH1654" s="1369"/>
      <c r="AI1654" s="1510"/>
      <c r="AJ1654" s="1509"/>
      <c r="AK1654" s="1509"/>
      <c r="AL1654" s="1509"/>
      <c r="AM1654" s="1369"/>
      <c r="AN1654" s="1510"/>
      <c r="AO1654" s="1509"/>
      <c r="AP1654" s="1509"/>
      <c r="AQ1654" s="1511"/>
      <c r="AR1654" s="1369"/>
      <c r="AS1654" s="1510"/>
      <c r="AT1654" s="1509"/>
      <c r="AU1654" s="1509"/>
      <c r="AV1654" s="1509"/>
      <c r="AW1654" s="1369"/>
      <c r="AX1654" s="1510"/>
      <c r="AY1654" s="1509"/>
      <c r="AZ1654" s="1509"/>
      <c r="BA1654" s="1509"/>
      <c r="BB1654" s="1369"/>
      <c r="BC1654" s="1510"/>
      <c r="BD1654" s="1509"/>
      <c r="BE1654" s="1509"/>
      <c r="BF1654" s="1509"/>
      <c r="BG1654" s="1369"/>
      <c r="BH1654" s="1510"/>
      <c r="BI1654" s="1509"/>
      <c r="BJ1654" s="1509"/>
      <c r="BK1654" s="1509"/>
      <c r="BL1654" s="1369"/>
      <c r="BM1654" s="1509"/>
      <c r="BN1654" s="1509"/>
      <c r="BO1654" s="1509"/>
      <c r="BP1654" s="1509"/>
      <c r="BQ1654" s="1369"/>
      <c r="BR1654" s="1509"/>
      <c r="BS1654" s="1509"/>
      <c r="BT1654" s="1509"/>
      <c r="BU1654" s="1509"/>
      <c r="BV1654" s="1369"/>
      <c r="BW1654" s="1512"/>
      <c r="BX1654" s="1509"/>
      <c r="BY1654" s="1509"/>
      <c r="BZ1654" s="1509"/>
      <c r="CA1654" s="1369"/>
      <c r="CB1654" s="1509"/>
      <c r="CC1654" s="1509"/>
      <c r="CD1654" s="1509"/>
      <c r="CE1654" s="1509"/>
      <c r="CF1654" s="1369"/>
      <c r="CG1654" s="1509"/>
      <c r="CH1654" s="1509"/>
      <c r="CI1654" s="1509"/>
      <c r="CJ1654" s="1509"/>
      <c r="CK1654" s="1369"/>
      <c r="CL1654" s="1513"/>
      <c r="CM1654" s="1509"/>
      <c r="CN1654" s="1509"/>
      <c r="CO1654" s="1509"/>
      <c r="CP1654" s="1369"/>
      <c r="CQ1654" s="1509"/>
      <c r="CR1654" s="1509"/>
      <c r="CS1654" s="1509"/>
      <c r="CT1654" s="1514"/>
      <c r="CU1654" s="1369"/>
      <c r="CV1654" s="1509"/>
      <c r="CW1654" s="1509"/>
      <c r="CX1654" s="1509"/>
      <c r="CY1654" s="1514"/>
      <c r="CZ1654" s="1369"/>
      <c r="DA1654" s="1513"/>
      <c r="DB1654" s="1509"/>
      <c r="DC1654" s="1509"/>
      <c r="DD1654" s="1514"/>
      <c r="DE1654" s="1369"/>
      <c r="DF1654" s="1509"/>
      <c r="DG1654" s="1509"/>
      <c r="DH1654" s="1509"/>
      <c r="DI1654" s="1514"/>
      <c r="DJ1654" s="1369"/>
      <c r="DK1654" s="1509"/>
      <c r="DL1654" s="1509"/>
      <c r="DM1654" s="1509"/>
      <c r="DN1654" s="1514"/>
      <c r="DO1654" s="1369"/>
      <c r="DP1654" s="1509"/>
      <c r="DQ1654" s="1509"/>
      <c r="DR1654" s="1509"/>
      <c r="DS1654" s="1514"/>
      <c r="DT1654" s="1369"/>
      <c r="DU1654" s="1509"/>
      <c r="DV1654" s="1509"/>
      <c r="DW1654" s="1509"/>
      <c r="DX1654" s="1514"/>
      <c r="DY1654" s="1369"/>
      <c r="DZ1654" s="1509"/>
      <c r="EA1654" s="1509"/>
      <c r="EB1654" s="1509"/>
      <c r="EC1654" s="1514"/>
      <c r="ED1654" s="1369"/>
      <c r="EE1654" s="1513"/>
      <c r="EF1654" s="1509"/>
      <c r="EG1654" s="1509"/>
      <c r="EH1654" s="1514"/>
      <c r="EI1654" s="1369"/>
      <c r="EJ1654" s="1369"/>
      <c r="EK1654" s="1369"/>
      <c r="EL1654" s="1369"/>
      <c r="EM1654" s="1369"/>
      <c r="EN1654" s="1369"/>
      <c r="EO1654" s="1369"/>
      <c r="EP1654" s="1369"/>
      <c r="EQ1654" s="1369"/>
      <c r="ER1654" s="1369"/>
      <c r="ES1654" s="1369"/>
      <c r="ET1654" s="1369"/>
      <c r="EU1654" s="1369"/>
      <c r="EV1654" s="1369"/>
      <c r="EW1654" s="1369"/>
      <c r="EX1654" s="1369"/>
    </row>
    <row r="1655" spans="1:154" s="1515" customFormat="1" hidden="1">
      <c r="A1655" s="3277"/>
      <c r="B1655" s="1518" t="s">
        <v>803</v>
      </c>
      <c r="C1655" s="2027"/>
      <c r="D1655" s="1508"/>
      <c r="E1655" s="1508"/>
      <c r="F1655" s="1509"/>
      <c r="G1655" s="1509"/>
      <c r="H1655" s="1509"/>
      <c r="I1655" s="1509"/>
      <c r="J1655" s="1509"/>
      <c r="K1655" s="1509"/>
      <c r="L1655" s="1509"/>
      <c r="M1655" s="1509"/>
      <c r="N1655" s="1509"/>
      <c r="O1655" s="1510"/>
      <c r="P1655" s="1509"/>
      <c r="Q1655" s="1509"/>
      <c r="R1655" s="1509"/>
      <c r="S1655" s="1509"/>
      <c r="T1655" s="1510"/>
      <c r="U1655" s="1509"/>
      <c r="V1655" s="1509"/>
      <c r="W1655" s="1509"/>
      <c r="X1655" s="1369"/>
      <c r="Y1655" s="1510"/>
      <c r="Z1655" s="1509"/>
      <c r="AA1655" s="1509"/>
      <c r="AB1655" s="1509"/>
      <c r="AC1655" s="1369"/>
      <c r="AD1655" s="1510"/>
      <c r="AE1655" s="1509"/>
      <c r="AF1655" s="1509"/>
      <c r="AG1655" s="1509"/>
      <c r="AH1655" s="1369"/>
      <c r="AI1655" s="1510"/>
      <c r="AJ1655" s="1509"/>
      <c r="AK1655" s="1509"/>
      <c r="AL1655" s="1509"/>
      <c r="AM1655" s="1369"/>
      <c r="AN1655" s="1510"/>
      <c r="AO1655" s="1509"/>
      <c r="AP1655" s="1509"/>
      <c r="AQ1655" s="1511"/>
      <c r="AR1655" s="1369"/>
      <c r="AS1655" s="1510"/>
      <c r="AT1655" s="1509"/>
      <c r="AU1655" s="1509"/>
      <c r="AV1655" s="1509"/>
      <c r="AW1655" s="1369"/>
      <c r="AX1655" s="1510"/>
      <c r="AY1655" s="1509"/>
      <c r="AZ1655" s="1509"/>
      <c r="BA1655" s="1509"/>
      <c r="BB1655" s="1369"/>
      <c r="BC1655" s="1510"/>
      <c r="BD1655" s="1509"/>
      <c r="BE1655" s="1509"/>
      <c r="BF1655" s="1509"/>
      <c r="BG1655" s="1369"/>
      <c r="BH1655" s="1510"/>
      <c r="BI1655" s="1509"/>
      <c r="BJ1655" s="1509"/>
      <c r="BK1655" s="1509"/>
      <c r="BL1655" s="1369"/>
      <c r="BM1655" s="1509"/>
      <c r="BN1655" s="1509"/>
      <c r="BO1655" s="1509"/>
      <c r="BP1655" s="1509"/>
      <c r="BQ1655" s="1369"/>
      <c r="BR1655" s="1509"/>
      <c r="BS1655" s="1509"/>
      <c r="BT1655" s="1509"/>
      <c r="BU1655" s="1509"/>
      <c r="BV1655" s="1369"/>
      <c r="BW1655" s="1512"/>
      <c r="BX1655" s="1509"/>
      <c r="BY1655" s="1509"/>
      <c r="BZ1655" s="1509"/>
      <c r="CA1655" s="1369"/>
      <c r="CB1655" s="1509"/>
      <c r="CC1655" s="1509"/>
      <c r="CD1655" s="1509"/>
      <c r="CE1655" s="1509"/>
      <c r="CF1655" s="1369"/>
      <c r="CG1655" s="1509"/>
      <c r="CH1655" s="1509"/>
      <c r="CI1655" s="1509"/>
      <c r="CJ1655" s="1509"/>
      <c r="CK1655" s="1369"/>
      <c r="CL1655" s="1513"/>
      <c r="CM1655" s="1509"/>
      <c r="CN1655" s="1509"/>
      <c r="CO1655" s="1509"/>
      <c r="CP1655" s="1369"/>
      <c r="CQ1655" s="1509"/>
      <c r="CR1655" s="1509"/>
      <c r="CS1655" s="1509"/>
      <c r="CT1655" s="1514"/>
      <c r="CU1655" s="1369"/>
      <c r="CV1655" s="1509"/>
      <c r="CW1655" s="1509"/>
      <c r="CX1655" s="1509"/>
      <c r="CY1655" s="1514"/>
      <c r="CZ1655" s="1369"/>
      <c r="DA1655" s="1513"/>
      <c r="DB1655" s="1509"/>
      <c r="DC1655" s="1509"/>
      <c r="DD1655" s="1514"/>
      <c r="DE1655" s="1369"/>
      <c r="DF1655" s="1509"/>
      <c r="DG1655" s="1509"/>
      <c r="DH1655" s="1509"/>
      <c r="DI1655" s="1514"/>
      <c r="DJ1655" s="1369"/>
      <c r="DK1655" s="1509"/>
      <c r="DL1655" s="1509"/>
      <c r="DM1655" s="1509"/>
      <c r="DN1655" s="1514"/>
      <c r="DO1655" s="1369"/>
      <c r="DP1655" s="1509"/>
      <c r="DQ1655" s="1509"/>
      <c r="DR1655" s="1509"/>
      <c r="DS1655" s="1514"/>
      <c r="DT1655" s="1369"/>
      <c r="DU1655" s="1509"/>
      <c r="DV1655" s="1509"/>
      <c r="DW1655" s="1509"/>
      <c r="DX1655" s="1514"/>
      <c r="DY1655" s="1369"/>
      <c r="DZ1655" s="1509"/>
      <c r="EA1655" s="1509"/>
      <c r="EB1655" s="1509"/>
      <c r="EC1655" s="1514"/>
      <c r="ED1655" s="1369"/>
      <c r="EE1655" s="1513"/>
      <c r="EF1655" s="1509"/>
      <c r="EG1655" s="1509"/>
      <c r="EH1655" s="1514"/>
      <c r="EI1655" s="1369"/>
      <c r="EJ1655" s="1369"/>
      <c r="EK1655" s="1369"/>
      <c r="EL1655" s="1369"/>
      <c r="EM1655" s="1369"/>
      <c r="EN1655" s="1369"/>
      <c r="EO1655" s="1369"/>
      <c r="EP1655" s="1369"/>
      <c r="EQ1655" s="1369"/>
      <c r="ER1655" s="1369"/>
      <c r="ES1655" s="1369"/>
      <c r="ET1655" s="1369"/>
      <c r="EU1655" s="1369"/>
      <c r="EV1655" s="1369"/>
      <c r="EW1655" s="1369"/>
      <c r="EX1655" s="1369"/>
    </row>
    <row r="1656" spans="1:154" s="1515" customFormat="1" hidden="1">
      <c r="A1656" s="3277"/>
      <c r="B1656" s="1507" t="s">
        <v>153</v>
      </c>
      <c r="C1656" s="2027"/>
      <c r="D1656" s="1508"/>
      <c r="E1656" s="1508"/>
      <c r="F1656" s="1509"/>
      <c r="G1656" s="1509"/>
      <c r="H1656" s="1509"/>
      <c r="I1656" s="1509"/>
      <c r="J1656" s="1509"/>
      <c r="K1656" s="1509"/>
      <c r="L1656" s="1509"/>
      <c r="M1656" s="1509"/>
      <c r="N1656" s="1509"/>
      <c r="O1656" s="1510"/>
      <c r="P1656" s="1509"/>
      <c r="Q1656" s="1509"/>
      <c r="R1656" s="1509"/>
      <c r="S1656" s="1509"/>
      <c r="T1656" s="1510"/>
      <c r="U1656" s="1509"/>
      <c r="V1656" s="1509"/>
      <c r="W1656" s="1509"/>
      <c r="X1656" s="1369"/>
      <c r="Y1656" s="1510"/>
      <c r="Z1656" s="1509"/>
      <c r="AA1656" s="1509"/>
      <c r="AB1656" s="1509"/>
      <c r="AC1656" s="1369"/>
      <c r="AD1656" s="1510"/>
      <c r="AE1656" s="1509"/>
      <c r="AF1656" s="1509"/>
      <c r="AG1656" s="1509"/>
      <c r="AH1656" s="1369"/>
      <c r="AI1656" s="1510"/>
      <c r="AJ1656" s="1509"/>
      <c r="AK1656" s="1509"/>
      <c r="AL1656" s="1509"/>
      <c r="AM1656" s="1369"/>
      <c r="AN1656" s="1510"/>
      <c r="AO1656" s="1509"/>
      <c r="AP1656" s="1509"/>
      <c r="AQ1656" s="1511"/>
      <c r="AR1656" s="1369"/>
      <c r="AS1656" s="1510"/>
      <c r="AT1656" s="1509"/>
      <c r="AU1656" s="1509"/>
      <c r="AV1656" s="1509"/>
      <c r="AW1656" s="1369"/>
      <c r="AX1656" s="1510"/>
      <c r="AY1656" s="1509"/>
      <c r="AZ1656" s="1509"/>
      <c r="BA1656" s="1509"/>
      <c r="BB1656" s="1369"/>
      <c r="BC1656" s="1510"/>
      <c r="BD1656" s="1509"/>
      <c r="BE1656" s="1509"/>
      <c r="BF1656" s="1509"/>
      <c r="BG1656" s="1369"/>
      <c r="BH1656" s="1510"/>
      <c r="BI1656" s="1509"/>
      <c r="BJ1656" s="1509"/>
      <c r="BK1656" s="1509"/>
      <c r="BL1656" s="1369"/>
      <c r="BM1656" s="1509"/>
      <c r="BN1656" s="1509"/>
      <c r="BO1656" s="1509"/>
      <c r="BP1656" s="1509"/>
      <c r="BQ1656" s="1369"/>
      <c r="BR1656" s="1509"/>
      <c r="BS1656" s="1509"/>
      <c r="BT1656" s="1509"/>
      <c r="BU1656" s="1509"/>
      <c r="BV1656" s="1369"/>
      <c r="BW1656" s="1512"/>
      <c r="BX1656" s="1509"/>
      <c r="BY1656" s="1509"/>
      <c r="BZ1656" s="1509"/>
      <c r="CA1656" s="1369"/>
      <c r="CB1656" s="1509"/>
      <c r="CC1656" s="1509"/>
      <c r="CD1656" s="1509"/>
      <c r="CE1656" s="1509"/>
      <c r="CF1656" s="1369"/>
      <c r="CG1656" s="1509"/>
      <c r="CH1656" s="1509"/>
      <c r="CI1656" s="1509"/>
      <c r="CJ1656" s="1509"/>
      <c r="CK1656" s="1369"/>
      <c r="CL1656" s="1513"/>
      <c r="CM1656" s="1509"/>
      <c r="CN1656" s="1509"/>
      <c r="CO1656" s="1509"/>
      <c r="CP1656" s="1369"/>
      <c r="CQ1656" s="1509"/>
      <c r="CR1656" s="1509"/>
      <c r="CS1656" s="1509"/>
      <c r="CT1656" s="1514"/>
      <c r="CU1656" s="1369"/>
      <c r="CV1656" s="1509"/>
      <c r="CW1656" s="1509"/>
      <c r="CX1656" s="1509"/>
      <c r="CY1656" s="1514"/>
      <c r="CZ1656" s="1369"/>
      <c r="DA1656" s="1513"/>
      <c r="DB1656" s="1509"/>
      <c r="DC1656" s="1509"/>
      <c r="DD1656" s="1514"/>
      <c r="DE1656" s="1369"/>
      <c r="DF1656" s="1509"/>
      <c r="DG1656" s="1509"/>
      <c r="DH1656" s="1509"/>
      <c r="DI1656" s="1514"/>
      <c r="DJ1656" s="1369"/>
      <c r="DK1656" s="1509"/>
      <c r="DL1656" s="1509"/>
      <c r="DM1656" s="1509"/>
      <c r="DN1656" s="1514"/>
      <c r="DO1656" s="1369"/>
      <c r="DP1656" s="1509"/>
      <c r="DQ1656" s="1509"/>
      <c r="DR1656" s="1509"/>
      <c r="DS1656" s="1514"/>
      <c r="DT1656" s="1369"/>
      <c r="DU1656" s="1509"/>
      <c r="DV1656" s="1509"/>
      <c r="DW1656" s="1509"/>
      <c r="DX1656" s="1514"/>
      <c r="DY1656" s="1520">
        <v>0</v>
      </c>
      <c r="DZ1656" s="1509"/>
      <c r="EA1656" s="1509"/>
      <c r="EB1656" s="1509"/>
      <c r="EC1656" s="1514"/>
      <c r="ED1656" s="1520"/>
      <c r="EE1656" s="1521"/>
      <c r="EF1656" s="1512"/>
      <c r="EG1656" s="1512"/>
      <c r="EH1656" s="1514"/>
      <c r="EI1656" s="1520"/>
      <c r="EJ1656" s="1520"/>
      <c r="EK1656" s="1520"/>
      <c r="EL1656" s="1520"/>
      <c r="EM1656" s="1520"/>
      <c r="EN1656" s="1520"/>
      <c r="EO1656" s="1520"/>
      <c r="EP1656" s="1520"/>
      <c r="EQ1656" s="1520"/>
      <c r="ER1656" s="1520"/>
      <c r="ES1656" s="1520"/>
      <c r="ET1656" s="1520"/>
      <c r="EU1656" s="1520"/>
      <c r="EV1656" s="1520"/>
      <c r="EW1656" s="1520"/>
      <c r="EX1656" s="1520"/>
    </row>
    <row r="1657" spans="1:154" s="1515" customFormat="1" hidden="1">
      <c r="A1657" s="3277"/>
      <c r="B1657" s="1507" t="s">
        <v>235</v>
      </c>
      <c r="C1657" s="2027"/>
      <c r="D1657" s="1508"/>
      <c r="E1657" s="1508"/>
      <c r="F1657" s="1509"/>
      <c r="G1657" s="1509"/>
      <c r="H1657" s="1509"/>
      <c r="I1657" s="1509"/>
      <c r="J1657" s="1509"/>
      <c r="K1657" s="1509"/>
      <c r="L1657" s="1509"/>
      <c r="M1657" s="1509"/>
      <c r="N1657" s="1509"/>
      <c r="O1657" s="1510"/>
      <c r="P1657" s="1509"/>
      <c r="Q1657" s="1509"/>
      <c r="R1657" s="1509"/>
      <c r="S1657" s="1509"/>
      <c r="T1657" s="1510"/>
      <c r="U1657" s="1509"/>
      <c r="V1657" s="1509"/>
      <c r="W1657" s="1509"/>
      <c r="X1657" s="1369"/>
      <c r="Y1657" s="1510"/>
      <c r="Z1657" s="1509"/>
      <c r="AA1657" s="1509"/>
      <c r="AB1657" s="1509"/>
      <c r="AC1657" s="1369"/>
      <c r="AD1657" s="1510"/>
      <c r="AE1657" s="1509"/>
      <c r="AF1657" s="1509"/>
      <c r="AG1657" s="1509"/>
      <c r="AH1657" s="1369"/>
      <c r="AI1657" s="1510"/>
      <c r="AJ1657" s="1509"/>
      <c r="AK1657" s="1509"/>
      <c r="AL1657" s="1509"/>
      <c r="AM1657" s="1369"/>
      <c r="AN1657" s="1510"/>
      <c r="AO1657" s="1509"/>
      <c r="AP1657" s="1509"/>
      <c r="AQ1657" s="1511"/>
      <c r="AR1657" s="1369"/>
      <c r="AS1657" s="1510"/>
      <c r="AT1657" s="1509"/>
      <c r="AU1657" s="1509"/>
      <c r="AV1657" s="1509"/>
      <c r="AW1657" s="1369"/>
      <c r="AX1657" s="1510"/>
      <c r="AY1657" s="1509"/>
      <c r="AZ1657" s="1509"/>
      <c r="BA1657" s="1509"/>
      <c r="BB1657" s="1369"/>
      <c r="BC1657" s="1510"/>
      <c r="BD1657" s="1509"/>
      <c r="BE1657" s="1509"/>
      <c r="BF1657" s="1509"/>
      <c r="BG1657" s="1369"/>
      <c r="BH1657" s="1510"/>
      <c r="BI1657" s="1509"/>
      <c r="BJ1657" s="1509"/>
      <c r="BK1657" s="1509"/>
      <c r="BL1657" s="1369"/>
      <c r="BM1657" s="1509"/>
      <c r="BN1657" s="1509"/>
      <c r="BO1657" s="1509"/>
      <c r="BP1657" s="1509"/>
      <c r="BQ1657" s="1369"/>
      <c r="BR1657" s="1509"/>
      <c r="BS1657" s="1509"/>
      <c r="BT1657" s="1509"/>
      <c r="BU1657" s="1509"/>
      <c r="BV1657" s="1369"/>
      <c r="BW1657" s="1512"/>
      <c r="BX1657" s="1509"/>
      <c r="BY1657" s="1509"/>
      <c r="BZ1657" s="1509"/>
      <c r="CA1657" s="1369"/>
      <c r="CB1657" s="1509"/>
      <c r="CC1657" s="1509"/>
      <c r="CD1657" s="1509"/>
      <c r="CE1657" s="1509"/>
      <c r="CF1657" s="1369"/>
      <c r="CG1657" s="1509"/>
      <c r="CH1657" s="1509"/>
      <c r="CI1657" s="1509"/>
      <c r="CJ1657" s="1509"/>
      <c r="CK1657" s="1369"/>
      <c r="CL1657" s="1513"/>
      <c r="CM1657" s="1509"/>
      <c r="CN1657" s="1509"/>
      <c r="CO1657" s="1509"/>
      <c r="CP1657" s="1369"/>
      <c r="CQ1657" s="1509"/>
      <c r="CR1657" s="1509"/>
      <c r="CS1657" s="1509"/>
      <c r="CT1657" s="1514"/>
      <c r="CU1657" s="1369"/>
      <c r="CV1657" s="1509"/>
      <c r="CW1657" s="1509"/>
      <c r="CX1657" s="1509"/>
      <c r="CY1657" s="1514"/>
      <c r="CZ1657" s="1369"/>
      <c r="DA1657" s="1513"/>
      <c r="DB1657" s="1509"/>
      <c r="DC1657" s="1509"/>
      <c r="DD1657" s="1514"/>
      <c r="DE1657" s="1369"/>
      <c r="DF1657" s="1509"/>
      <c r="DG1657" s="1509"/>
      <c r="DH1657" s="1509"/>
      <c r="DI1657" s="1514"/>
      <c r="DJ1657" s="1369"/>
      <c r="DK1657" s="1509"/>
      <c r="DL1657" s="1509"/>
      <c r="DM1657" s="1509"/>
      <c r="DN1657" s="1514"/>
      <c r="DO1657" s="1369"/>
      <c r="DP1657" s="1509"/>
      <c r="DQ1657" s="1509"/>
      <c r="DR1657" s="1509"/>
      <c r="DS1657" s="1514"/>
      <c r="DT1657" s="1369"/>
      <c r="DU1657" s="1509"/>
      <c r="DV1657" s="1509"/>
      <c r="DW1657" s="1509"/>
      <c r="DX1657" s="1514"/>
      <c r="DY1657" s="1369">
        <v>0</v>
      </c>
      <c r="DZ1657" s="1509"/>
      <c r="EA1657" s="1509"/>
      <c r="EB1657" s="1509"/>
      <c r="EC1657" s="1514"/>
      <c r="ED1657" s="1520"/>
      <c r="EE1657" s="1521"/>
      <c r="EF1657" s="1512"/>
      <c r="EG1657" s="1512"/>
      <c r="EH1657" s="1514"/>
      <c r="EI1657" s="1520"/>
      <c r="EJ1657" s="1520"/>
      <c r="EK1657" s="1520"/>
      <c r="EL1657" s="1520"/>
      <c r="EM1657" s="1520"/>
      <c r="EN1657" s="1520"/>
      <c r="EO1657" s="1520"/>
      <c r="EP1657" s="1520"/>
      <c r="EQ1657" s="1520"/>
      <c r="ER1657" s="1520"/>
      <c r="ES1657" s="1520"/>
      <c r="ET1657" s="1520"/>
      <c r="EU1657" s="1520"/>
      <c r="EV1657" s="1520"/>
      <c r="EW1657" s="1520"/>
      <c r="EX1657" s="1520"/>
    </row>
    <row r="1658" spans="1:154" s="1515" customFormat="1" hidden="1">
      <c r="A1658" s="3277"/>
      <c r="B1658" s="1507" t="s">
        <v>188</v>
      </c>
      <c r="C1658" s="2027"/>
      <c r="D1658" s="1508"/>
      <c r="E1658" s="1508"/>
      <c r="F1658" s="1509"/>
      <c r="G1658" s="1509"/>
      <c r="H1658" s="1509"/>
      <c r="I1658" s="1509"/>
      <c r="J1658" s="1509"/>
      <c r="K1658" s="1509"/>
      <c r="L1658" s="1509"/>
      <c r="M1658" s="1509"/>
      <c r="N1658" s="1509"/>
      <c r="O1658" s="1510"/>
      <c r="P1658" s="1509"/>
      <c r="Q1658" s="1509"/>
      <c r="R1658" s="1509"/>
      <c r="S1658" s="1509"/>
      <c r="T1658" s="1510"/>
      <c r="U1658" s="1509"/>
      <c r="V1658" s="1509"/>
      <c r="W1658" s="1509"/>
      <c r="X1658" s="1369"/>
      <c r="Y1658" s="1510"/>
      <c r="Z1658" s="1509"/>
      <c r="AA1658" s="1509"/>
      <c r="AB1658" s="1509"/>
      <c r="AC1658" s="1369"/>
      <c r="AD1658" s="1510"/>
      <c r="AE1658" s="1509"/>
      <c r="AF1658" s="1509"/>
      <c r="AG1658" s="1509"/>
      <c r="AH1658" s="1369"/>
      <c r="AI1658" s="1510"/>
      <c r="AJ1658" s="1509"/>
      <c r="AK1658" s="1509"/>
      <c r="AL1658" s="1509"/>
      <c r="AM1658" s="1369"/>
      <c r="AN1658" s="1510"/>
      <c r="AO1658" s="1509"/>
      <c r="AP1658" s="1509"/>
      <c r="AQ1658" s="1511"/>
      <c r="AR1658" s="1369"/>
      <c r="AS1658" s="1510"/>
      <c r="AT1658" s="1509"/>
      <c r="AU1658" s="1509"/>
      <c r="AV1658" s="1509"/>
      <c r="AW1658" s="1369"/>
      <c r="AX1658" s="1510"/>
      <c r="AY1658" s="1509"/>
      <c r="AZ1658" s="1509"/>
      <c r="BA1658" s="1509"/>
      <c r="BB1658" s="1369"/>
      <c r="BC1658" s="1510"/>
      <c r="BD1658" s="1509"/>
      <c r="BE1658" s="1509"/>
      <c r="BF1658" s="1509"/>
      <c r="BG1658" s="1369"/>
      <c r="BH1658" s="1510"/>
      <c r="BI1658" s="1509"/>
      <c r="BJ1658" s="1509"/>
      <c r="BK1658" s="1509"/>
      <c r="BL1658" s="1369"/>
      <c r="BM1658" s="1509"/>
      <c r="BN1658" s="1509"/>
      <c r="BO1658" s="1509"/>
      <c r="BP1658" s="1509"/>
      <c r="BQ1658" s="1369"/>
      <c r="BR1658" s="1509"/>
      <c r="BS1658" s="1509"/>
      <c r="BT1658" s="1509"/>
      <c r="BU1658" s="1509"/>
      <c r="BV1658" s="1369"/>
      <c r="BW1658" s="1512"/>
      <c r="BX1658" s="1509"/>
      <c r="BY1658" s="1509"/>
      <c r="BZ1658" s="1509"/>
      <c r="CA1658" s="1369"/>
      <c r="CB1658" s="1509"/>
      <c r="CC1658" s="1509"/>
      <c r="CD1658" s="1509"/>
      <c r="CE1658" s="1509"/>
      <c r="CF1658" s="1369"/>
      <c r="CG1658" s="1509"/>
      <c r="CH1658" s="1509"/>
      <c r="CI1658" s="1509"/>
      <c r="CJ1658" s="1509"/>
      <c r="CK1658" s="1369"/>
      <c r="CL1658" s="1513"/>
      <c r="CM1658" s="1509"/>
      <c r="CN1658" s="1509"/>
      <c r="CO1658" s="1509"/>
      <c r="CP1658" s="1369"/>
      <c r="CQ1658" s="1509"/>
      <c r="CR1658" s="1509"/>
      <c r="CS1658" s="1509"/>
      <c r="CT1658" s="1514"/>
      <c r="CU1658" s="1369"/>
      <c r="CV1658" s="1509"/>
      <c r="CW1658" s="1509"/>
      <c r="CX1658" s="1509"/>
      <c r="CY1658" s="1514"/>
      <c r="CZ1658" s="1369"/>
      <c r="DA1658" s="1513"/>
      <c r="DB1658" s="1509"/>
      <c r="DC1658" s="1509"/>
      <c r="DD1658" s="1514"/>
      <c r="DE1658" s="1369"/>
      <c r="DF1658" s="1509"/>
      <c r="DG1658" s="1509"/>
      <c r="DH1658" s="1509"/>
      <c r="DI1658" s="1514"/>
      <c r="DJ1658" s="1369"/>
      <c r="DK1658" s="1509"/>
      <c r="DL1658" s="1509"/>
      <c r="DM1658" s="1509"/>
      <c r="DN1658" s="1514"/>
      <c r="DO1658" s="1369"/>
      <c r="DP1658" s="1509"/>
      <c r="DQ1658" s="1509"/>
      <c r="DR1658" s="1509"/>
      <c r="DS1658" s="1514"/>
      <c r="DT1658" s="1369"/>
      <c r="DU1658" s="1509"/>
      <c r="DV1658" s="1509"/>
      <c r="DW1658" s="1509"/>
      <c r="DX1658" s="1514">
        <f>SUM(DX1656:DX1657)</f>
      </c>
      <c r="DY1658" s="1369">
        <f>SUM(DY1656:DY1657)</f>
      </c>
      <c r="DZ1658" s="1509"/>
      <c r="EA1658" s="1509"/>
      <c r="EB1658" s="1509"/>
      <c r="EC1658" s="1514">
        <f>SUM(EC1656:EC1657)</f>
      </c>
      <c r="ED1658" s="1369"/>
      <c r="EE1658" s="1513"/>
      <c r="EF1658" s="1509"/>
      <c r="EG1658" s="1509"/>
      <c r="EH1658" s="1514">
        <f>SUM(EH1656:EH1657)</f>
      </c>
      <c r="EI1658" s="1369"/>
      <c r="EJ1658" s="1369"/>
      <c r="EK1658" s="1369"/>
      <c r="EL1658" s="1369"/>
      <c r="EM1658" s="1369"/>
      <c r="EN1658" s="1369"/>
      <c r="EO1658" s="1369"/>
      <c r="EP1658" s="1369"/>
      <c r="EQ1658" s="1369"/>
      <c r="ER1658" s="1369"/>
      <c r="ES1658" s="1369"/>
      <c r="ET1658" s="1369"/>
      <c r="EU1658" s="1369"/>
      <c r="EV1658" s="1369"/>
      <c r="EW1658" s="1369"/>
      <c r="EX1658" s="1369"/>
    </row>
    <row r="1659" spans="1:154" s="1515" customFormat="1" hidden="1">
      <c r="A1659" s="3277"/>
      <c r="B1659" s="1507"/>
      <c r="C1659" s="2027"/>
      <c r="D1659" s="1508"/>
      <c r="E1659" s="1508"/>
      <c r="F1659" s="1509"/>
      <c r="G1659" s="1509"/>
      <c r="H1659" s="1509"/>
      <c r="I1659" s="1509"/>
      <c r="J1659" s="1509"/>
      <c r="K1659" s="1509"/>
      <c r="L1659" s="1509"/>
      <c r="M1659" s="1509"/>
      <c r="N1659" s="1509"/>
      <c r="O1659" s="1510"/>
      <c r="P1659" s="1509"/>
      <c r="Q1659" s="1509"/>
      <c r="R1659" s="1509"/>
      <c r="S1659" s="1509"/>
      <c r="T1659" s="1510"/>
      <c r="U1659" s="1509"/>
      <c r="V1659" s="1509"/>
      <c r="W1659" s="1509"/>
      <c r="X1659" s="1369"/>
      <c r="Y1659" s="1510"/>
      <c r="Z1659" s="1509"/>
      <c r="AA1659" s="1509"/>
      <c r="AB1659" s="1509"/>
      <c r="AC1659" s="1369"/>
      <c r="AD1659" s="1510"/>
      <c r="AE1659" s="1509"/>
      <c r="AF1659" s="1509"/>
      <c r="AG1659" s="1509"/>
      <c r="AH1659" s="1369"/>
      <c r="AI1659" s="1510"/>
      <c r="AJ1659" s="1509"/>
      <c r="AK1659" s="1509"/>
      <c r="AL1659" s="1509"/>
      <c r="AM1659" s="1369"/>
      <c r="AN1659" s="1510"/>
      <c r="AO1659" s="1509"/>
      <c r="AP1659" s="1509"/>
      <c r="AQ1659" s="1511"/>
      <c r="AR1659" s="1369"/>
      <c r="AS1659" s="1510"/>
      <c r="AT1659" s="1509"/>
      <c r="AU1659" s="1509"/>
      <c r="AV1659" s="1509"/>
      <c r="AW1659" s="1369"/>
      <c r="AX1659" s="1510"/>
      <c r="AY1659" s="1509"/>
      <c r="AZ1659" s="1509"/>
      <c r="BA1659" s="1509"/>
      <c r="BB1659" s="1369"/>
      <c r="BC1659" s="1510"/>
      <c r="BD1659" s="1509"/>
      <c r="BE1659" s="1509"/>
      <c r="BF1659" s="1509"/>
      <c r="BG1659" s="1369"/>
      <c r="BH1659" s="1510"/>
      <c r="BI1659" s="1509"/>
      <c r="BJ1659" s="1509"/>
      <c r="BK1659" s="1509"/>
      <c r="BL1659" s="1369"/>
      <c r="BM1659" s="1509"/>
      <c r="BN1659" s="1509"/>
      <c r="BO1659" s="1509"/>
      <c r="BP1659" s="1509"/>
      <c r="BQ1659" s="1369"/>
      <c r="BR1659" s="1509"/>
      <c r="BS1659" s="1509"/>
      <c r="BT1659" s="1509"/>
      <c r="BU1659" s="1509"/>
      <c r="BV1659" s="1369"/>
      <c r="BW1659" s="1512"/>
      <c r="BX1659" s="1509"/>
      <c r="BY1659" s="1509"/>
      <c r="BZ1659" s="1509"/>
      <c r="CA1659" s="1369"/>
      <c r="CB1659" s="1509"/>
      <c r="CC1659" s="1509"/>
      <c r="CD1659" s="1509"/>
      <c r="CE1659" s="1509"/>
      <c r="CF1659" s="1369"/>
      <c r="CG1659" s="1509"/>
      <c r="CH1659" s="1509"/>
      <c r="CI1659" s="1509"/>
      <c r="CJ1659" s="1509"/>
      <c r="CK1659" s="1369"/>
      <c r="CL1659" s="1513"/>
      <c r="CM1659" s="1509"/>
      <c r="CN1659" s="1509"/>
      <c r="CO1659" s="1509"/>
      <c r="CP1659" s="1369"/>
      <c r="CQ1659" s="1509"/>
      <c r="CR1659" s="1509"/>
      <c r="CS1659" s="1509"/>
      <c r="CT1659" s="1514"/>
      <c r="CU1659" s="1369"/>
      <c r="CV1659" s="1509"/>
      <c r="CW1659" s="1509"/>
      <c r="CX1659" s="1509"/>
      <c r="CY1659" s="1514"/>
      <c r="CZ1659" s="1369"/>
      <c r="DA1659" s="1513"/>
      <c r="DB1659" s="1509"/>
      <c r="DC1659" s="1509"/>
      <c r="DD1659" s="1514"/>
      <c r="DE1659" s="1369"/>
      <c r="DF1659" s="1509"/>
      <c r="DG1659" s="1509"/>
      <c r="DH1659" s="1509"/>
      <c r="DI1659" s="1514"/>
      <c r="DJ1659" s="1369"/>
      <c r="DK1659" s="1509"/>
      <c r="DL1659" s="1509"/>
      <c r="DM1659" s="1509"/>
      <c r="DN1659" s="1514"/>
      <c r="DO1659" s="1369"/>
      <c r="DP1659" s="1509"/>
      <c r="DQ1659" s="1509"/>
      <c r="DR1659" s="1509"/>
      <c r="DS1659" s="1514"/>
      <c r="DT1659" s="1369"/>
      <c r="DU1659" s="1509"/>
      <c r="DV1659" s="1509"/>
      <c r="DW1659" s="1509"/>
      <c r="DX1659" s="1514"/>
      <c r="DY1659" s="1369"/>
      <c r="DZ1659" s="1509"/>
      <c r="EA1659" s="1509"/>
      <c r="EB1659" s="1509"/>
      <c r="EC1659" s="1514"/>
      <c r="ED1659" s="1369"/>
      <c r="EE1659" s="1513"/>
      <c r="EF1659" s="1509"/>
      <c r="EG1659" s="1509"/>
      <c r="EH1659" s="1514"/>
      <c r="EI1659" s="1369"/>
      <c r="EJ1659" s="1369"/>
      <c r="EK1659" s="1369"/>
      <c r="EL1659" s="1369"/>
      <c r="EM1659" s="1369"/>
      <c r="EN1659" s="1369"/>
      <c r="EO1659" s="1369"/>
      <c r="EP1659" s="1369"/>
      <c r="EQ1659" s="1369"/>
      <c r="ER1659" s="1369"/>
      <c r="ES1659" s="1369"/>
      <c r="ET1659" s="1369"/>
      <c r="EU1659" s="1369"/>
      <c r="EV1659" s="1369"/>
      <c r="EW1659" s="1369"/>
      <c r="EX1659" s="1369"/>
    </row>
    <row r="1660" spans="1:154" s="1515" customFormat="1" hidden="1">
      <c r="A1660" s="3277"/>
      <c r="B1660" s="1518" t="s">
        <v>803</v>
      </c>
      <c r="C1660" s="2027"/>
      <c r="D1660" s="1508"/>
      <c r="E1660" s="1508"/>
      <c r="F1660" s="1509"/>
      <c r="G1660" s="1509"/>
      <c r="H1660" s="1509"/>
      <c r="I1660" s="1509"/>
      <c r="J1660" s="1509"/>
      <c r="K1660" s="1509"/>
      <c r="L1660" s="1509"/>
      <c r="M1660" s="1509"/>
      <c r="N1660" s="1509"/>
      <c r="O1660" s="1510"/>
      <c r="P1660" s="1509"/>
      <c r="Q1660" s="1509"/>
      <c r="R1660" s="1509"/>
      <c r="S1660" s="1509"/>
      <c r="T1660" s="1510"/>
      <c r="U1660" s="1509"/>
      <c r="V1660" s="1509"/>
      <c r="W1660" s="1509"/>
      <c r="X1660" s="1369"/>
      <c r="Y1660" s="1510"/>
      <c r="Z1660" s="1509"/>
      <c r="AA1660" s="1509"/>
      <c r="AB1660" s="1509"/>
      <c r="AC1660" s="1369"/>
      <c r="AD1660" s="1510"/>
      <c r="AE1660" s="1509"/>
      <c r="AF1660" s="1509"/>
      <c r="AG1660" s="1509"/>
      <c r="AH1660" s="1369"/>
      <c r="AI1660" s="1510"/>
      <c r="AJ1660" s="1509"/>
      <c r="AK1660" s="1509"/>
      <c r="AL1660" s="1509"/>
      <c r="AM1660" s="1369"/>
      <c r="AN1660" s="1510"/>
      <c r="AO1660" s="1509"/>
      <c r="AP1660" s="1509"/>
      <c r="AQ1660" s="1511"/>
      <c r="AR1660" s="1369"/>
      <c r="AS1660" s="1510"/>
      <c r="AT1660" s="1509"/>
      <c r="AU1660" s="1509"/>
      <c r="AV1660" s="1509"/>
      <c r="AW1660" s="1369"/>
      <c r="AX1660" s="1510"/>
      <c r="AY1660" s="1509"/>
      <c r="AZ1660" s="1509"/>
      <c r="BA1660" s="1509"/>
      <c r="BB1660" s="1369"/>
      <c r="BC1660" s="1510"/>
      <c r="BD1660" s="1509"/>
      <c r="BE1660" s="1509"/>
      <c r="BF1660" s="1509"/>
      <c r="BG1660" s="1369"/>
      <c r="BH1660" s="1510"/>
      <c r="BI1660" s="1509"/>
      <c r="BJ1660" s="1509"/>
      <c r="BK1660" s="1509"/>
      <c r="BL1660" s="1369"/>
      <c r="BM1660" s="1509"/>
      <c r="BN1660" s="1509"/>
      <c r="BO1660" s="1509"/>
      <c r="BP1660" s="1509"/>
      <c r="BQ1660" s="1369"/>
      <c r="BR1660" s="1509"/>
      <c r="BS1660" s="1509"/>
      <c r="BT1660" s="1509"/>
      <c r="BU1660" s="1509"/>
      <c r="BV1660" s="1369"/>
      <c r="BW1660" s="1512"/>
      <c r="BX1660" s="1509"/>
      <c r="BY1660" s="1509"/>
      <c r="BZ1660" s="1509"/>
      <c r="CA1660" s="1369"/>
      <c r="CB1660" s="1509"/>
      <c r="CC1660" s="1509"/>
      <c r="CD1660" s="1509"/>
      <c r="CE1660" s="1509"/>
      <c r="CF1660" s="1369"/>
      <c r="CG1660" s="1509"/>
      <c r="CH1660" s="1509"/>
      <c r="CI1660" s="1509"/>
      <c r="CJ1660" s="1509"/>
      <c r="CK1660" s="1369"/>
      <c r="CL1660" s="1513"/>
      <c r="CM1660" s="1509"/>
      <c r="CN1660" s="1509"/>
      <c r="CO1660" s="1509"/>
      <c r="CP1660" s="1369"/>
      <c r="CQ1660" s="1509"/>
      <c r="CR1660" s="1509"/>
      <c r="CS1660" s="1509"/>
      <c r="CT1660" s="1514"/>
      <c r="CU1660" s="1369"/>
      <c r="CV1660" s="1509"/>
      <c r="CW1660" s="1509"/>
      <c r="CX1660" s="1509"/>
      <c r="CY1660" s="1514"/>
      <c r="CZ1660" s="1369"/>
      <c r="DA1660" s="1513"/>
      <c r="DB1660" s="1509"/>
      <c r="DC1660" s="1509"/>
      <c r="DD1660" s="1514"/>
      <c r="DE1660" s="1369"/>
      <c r="DF1660" s="1509"/>
      <c r="DG1660" s="1509"/>
      <c r="DH1660" s="1509"/>
      <c r="DI1660" s="1514"/>
      <c r="DJ1660" s="1369"/>
      <c r="DK1660" s="1509"/>
      <c r="DL1660" s="1509"/>
      <c r="DM1660" s="1509"/>
      <c r="DN1660" s="1514"/>
      <c r="DO1660" s="1369"/>
      <c r="DP1660" s="1509"/>
      <c r="DQ1660" s="1509"/>
      <c r="DR1660" s="1509"/>
      <c r="DS1660" s="1514"/>
      <c r="DT1660" s="1369"/>
      <c r="DU1660" s="1509"/>
      <c r="DV1660" s="1509"/>
      <c r="DW1660" s="1509"/>
      <c r="DX1660" s="1514"/>
      <c r="DY1660" s="1369"/>
      <c r="DZ1660" s="1509"/>
      <c r="EA1660" s="1509"/>
      <c r="EB1660" s="1509"/>
      <c r="EC1660" s="1514"/>
      <c r="ED1660" s="1369"/>
      <c r="EE1660" s="1513"/>
      <c r="EF1660" s="1509"/>
      <c r="EG1660" s="1509"/>
      <c r="EH1660" s="1514"/>
      <c r="EI1660" s="1369"/>
      <c r="EJ1660" s="1369"/>
      <c r="EK1660" s="1369"/>
      <c r="EL1660" s="1369"/>
      <c r="EM1660" s="1369"/>
      <c r="EN1660" s="1369"/>
      <c r="EO1660" s="1369"/>
      <c r="EP1660" s="1369"/>
      <c r="EQ1660" s="1369"/>
      <c r="ER1660" s="1369"/>
      <c r="ES1660" s="1369"/>
      <c r="ET1660" s="1369"/>
      <c r="EU1660" s="1369"/>
      <c r="EV1660" s="1369"/>
      <c r="EW1660" s="1369"/>
      <c r="EX1660" s="1369"/>
    </row>
    <row r="1661" spans="1:154" s="1515" customFormat="1" hidden="1">
      <c r="A1661" s="3277"/>
      <c r="B1661" s="1507" t="s">
        <v>153</v>
      </c>
      <c r="C1661" s="2030">
        <v>0</v>
      </c>
      <c r="D1661" s="1508"/>
      <c r="E1661" s="1508"/>
      <c r="F1661" s="1509"/>
      <c r="G1661" s="1509"/>
      <c r="H1661" s="1509"/>
      <c r="I1661" s="1509"/>
      <c r="J1661" s="1509"/>
      <c r="K1661" s="1509"/>
      <c r="L1661" s="1509"/>
      <c r="M1661" s="1509"/>
      <c r="N1661" s="1509"/>
      <c r="O1661" s="1510"/>
      <c r="P1661" s="1509"/>
      <c r="Q1661" s="1509"/>
      <c r="R1661" s="1509"/>
      <c r="S1661" s="1509"/>
      <c r="T1661" s="1510"/>
      <c r="U1661" s="1509"/>
      <c r="V1661" s="1509"/>
      <c r="W1661" s="1509"/>
      <c r="X1661" s="1369"/>
      <c r="Y1661" s="1510"/>
      <c r="Z1661" s="1509"/>
      <c r="AA1661" s="1509"/>
      <c r="AB1661" s="1509"/>
      <c r="AC1661" s="1369"/>
      <c r="AD1661" s="1510"/>
      <c r="AE1661" s="1509"/>
      <c r="AF1661" s="1509"/>
      <c r="AG1661" s="1509"/>
      <c r="AH1661" s="1369"/>
      <c r="AI1661" s="1510"/>
      <c r="AJ1661" s="1509"/>
      <c r="AK1661" s="1509"/>
      <c r="AL1661" s="1509"/>
      <c r="AM1661" s="1369"/>
      <c r="AN1661" s="1510"/>
      <c r="AO1661" s="1509"/>
      <c r="AP1661" s="1509"/>
      <c r="AQ1661" s="1511"/>
      <c r="AR1661" s="1369"/>
      <c r="AS1661" s="1510"/>
      <c r="AT1661" s="1509"/>
      <c r="AU1661" s="1509"/>
      <c r="AV1661" s="1509"/>
      <c r="AW1661" s="1369"/>
      <c r="AX1661" s="1510"/>
      <c r="AY1661" s="1509"/>
      <c r="AZ1661" s="1509"/>
      <c r="BA1661" s="1509"/>
      <c r="BB1661" s="1369"/>
      <c r="BC1661" s="1510"/>
      <c r="BD1661" s="1509"/>
      <c r="BE1661" s="1509"/>
      <c r="BF1661" s="1509"/>
      <c r="BG1661" s="1369"/>
      <c r="BH1661" s="1510"/>
      <c r="BI1661" s="1509"/>
      <c r="BJ1661" s="1509"/>
      <c r="BK1661" s="1509"/>
      <c r="BL1661" s="1369"/>
      <c r="BM1661" s="1509"/>
      <c r="BN1661" s="1509"/>
      <c r="BO1661" s="1509"/>
      <c r="BP1661" s="1509"/>
      <c r="BQ1661" s="1369"/>
      <c r="BR1661" s="1509"/>
      <c r="BS1661" s="1509"/>
      <c r="BT1661" s="1509"/>
      <c r="BU1661" s="1509"/>
      <c r="BV1661" s="1369"/>
      <c r="BW1661" s="1512"/>
      <c r="BX1661" s="1509"/>
      <c r="BY1661" s="1509"/>
      <c r="BZ1661" s="1509"/>
      <c r="CA1661" s="1369"/>
      <c r="CB1661" s="1509"/>
      <c r="CC1661" s="1509"/>
      <c r="CD1661" s="1509"/>
      <c r="CE1661" s="1509"/>
      <c r="CF1661" s="1369"/>
      <c r="CG1661" s="1509"/>
      <c r="CH1661" s="1509"/>
      <c r="CI1661" s="1509"/>
      <c r="CJ1661" s="1509"/>
      <c r="CK1661" s="1369"/>
      <c r="CL1661" s="1513"/>
      <c r="CM1661" s="1509"/>
      <c r="CN1661" s="1509"/>
      <c r="CO1661" s="1509"/>
      <c r="CP1661" s="1369"/>
      <c r="CQ1661" s="1509"/>
      <c r="CR1661" s="1509"/>
      <c r="CS1661" s="1509"/>
      <c r="CT1661" s="1514"/>
      <c r="CU1661" s="1369"/>
      <c r="CV1661" s="1509"/>
      <c r="CW1661" s="1509"/>
      <c r="CX1661" s="1509"/>
      <c r="CY1661" s="1514"/>
      <c r="CZ1661" s="1369"/>
      <c r="DA1661" s="1513"/>
      <c r="DB1661" s="1509"/>
      <c r="DC1661" s="1509"/>
      <c r="DD1661" s="1514"/>
      <c r="DE1661" s="1369"/>
      <c r="DF1661" s="1509"/>
      <c r="DG1661" s="1509"/>
      <c r="DH1661" s="1509"/>
      <c r="DI1661" s="1514"/>
      <c r="DJ1661" s="1369"/>
      <c r="DK1661" s="1509"/>
      <c r="DL1661" s="1509"/>
      <c r="DM1661" s="1509"/>
      <c r="DN1661" s="1514"/>
      <c r="DO1661" s="1369"/>
      <c r="DP1661" s="1509"/>
      <c r="DQ1661" s="1509"/>
      <c r="DR1661" s="1509"/>
      <c r="DS1661" s="1514"/>
      <c r="DT1661" s="1369"/>
      <c r="DU1661" s="1509"/>
      <c r="DV1661" s="1509"/>
      <c r="DW1661" s="1509"/>
      <c r="DX1661" s="1514" t="e">
        <f>DX1656*#REF!</f>
      </c>
      <c r="DY1661" s="1369" t="e">
        <f>DY1656*#REF!</f>
      </c>
      <c r="DZ1661" s="1509"/>
      <c r="EA1661" s="1509"/>
      <c r="EB1661" s="1509"/>
      <c r="EC1661" s="1514" t="e">
        <f>EC1656*#REF!</f>
      </c>
      <c r="ED1661" s="1369"/>
      <c r="EE1661" s="1513"/>
      <c r="EF1661" s="1509"/>
      <c r="EG1661" s="1509"/>
      <c r="EH1661" s="1514" t="e">
        <f>EH1656*#REF!</f>
      </c>
      <c r="EI1661" s="1369"/>
      <c r="EJ1661" s="1369"/>
      <c r="EK1661" s="1369"/>
      <c r="EL1661" s="1369"/>
      <c r="EM1661" s="1369"/>
      <c r="EN1661" s="1369"/>
      <c r="EO1661" s="1369"/>
      <c r="EP1661" s="1369"/>
      <c r="EQ1661" s="1369"/>
      <c r="ER1661" s="1369"/>
      <c r="ES1661" s="1369"/>
      <c r="ET1661" s="1369"/>
      <c r="EU1661" s="1369"/>
      <c r="EV1661" s="1369"/>
      <c r="EW1661" s="1369"/>
      <c r="EX1661" s="1369"/>
    </row>
    <row r="1662" spans="1:154" s="1515" customFormat="1" hidden="1">
      <c r="A1662" s="3277"/>
      <c r="B1662" s="1507" t="s">
        <v>235</v>
      </c>
      <c r="C1662" s="2030">
        <v>0</v>
      </c>
      <c r="D1662" s="1508"/>
      <c r="E1662" s="1508"/>
      <c r="F1662" s="1509"/>
      <c r="G1662" s="1509"/>
      <c r="H1662" s="1509"/>
      <c r="I1662" s="1509"/>
      <c r="J1662" s="1509"/>
      <c r="K1662" s="1509"/>
      <c r="L1662" s="1509"/>
      <c r="M1662" s="1509"/>
      <c r="N1662" s="1509"/>
      <c r="O1662" s="1510"/>
      <c r="P1662" s="1509"/>
      <c r="Q1662" s="1509"/>
      <c r="R1662" s="1509"/>
      <c r="S1662" s="1509"/>
      <c r="T1662" s="1510"/>
      <c r="U1662" s="1509"/>
      <c r="V1662" s="1509"/>
      <c r="W1662" s="1509"/>
      <c r="X1662" s="1369"/>
      <c r="Y1662" s="1510"/>
      <c r="Z1662" s="1509"/>
      <c r="AA1662" s="1509"/>
      <c r="AB1662" s="1509"/>
      <c r="AC1662" s="1369"/>
      <c r="AD1662" s="1510"/>
      <c r="AE1662" s="1509"/>
      <c r="AF1662" s="1509"/>
      <c r="AG1662" s="1509"/>
      <c r="AH1662" s="1369"/>
      <c r="AI1662" s="1510"/>
      <c r="AJ1662" s="1509"/>
      <c r="AK1662" s="1509"/>
      <c r="AL1662" s="1509"/>
      <c r="AM1662" s="1369"/>
      <c r="AN1662" s="1510"/>
      <c r="AO1662" s="1509"/>
      <c r="AP1662" s="1509"/>
      <c r="AQ1662" s="1511"/>
      <c r="AR1662" s="1369"/>
      <c r="AS1662" s="1510"/>
      <c r="AT1662" s="1509"/>
      <c r="AU1662" s="1509"/>
      <c r="AV1662" s="1509"/>
      <c r="AW1662" s="1369"/>
      <c r="AX1662" s="1510"/>
      <c r="AY1662" s="1509"/>
      <c r="AZ1662" s="1509"/>
      <c r="BA1662" s="1509"/>
      <c r="BB1662" s="1369"/>
      <c r="BC1662" s="1510"/>
      <c r="BD1662" s="1509"/>
      <c r="BE1662" s="1509"/>
      <c r="BF1662" s="1509"/>
      <c r="BG1662" s="1369"/>
      <c r="BH1662" s="1510"/>
      <c r="BI1662" s="1509"/>
      <c r="BJ1662" s="1509"/>
      <c r="BK1662" s="1509"/>
      <c r="BL1662" s="1369"/>
      <c r="BM1662" s="1509"/>
      <c r="BN1662" s="1509"/>
      <c r="BO1662" s="1509"/>
      <c r="BP1662" s="1509"/>
      <c r="BQ1662" s="1369"/>
      <c r="BR1662" s="1509"/>
      <c r="BS1662" s="1509"/>
      <c r="BT1662" s="1509"/>
      <c r="BU1662" s="1509"/>
      <c r="BV1662" s="1369"/>
      <c r="BW1662" s="1512"/>
      <c r="BX1662" s="1509"/>
      <c r="BY1662" s="1509"/>
      <c r="BZ1662" s="1509"/>
      <c r="CA1662" s="1369"/>
      <c r="CB1662" s="1509"/>
      <c r="CC1662" s="1509"/>
      <c r="CD1662" s="1509"/>
      <c r="CE1662" s="1509"/>
      <c r="CF1662" s="1369"/>
      <c r="CG1662" s="1509"/>
      <c r="CH1662" s="1509"/>
      <c r="CI1662" s="1509"/>
      <c r="CJ1662" s="1509"/>
      <c r="CK1662" s="1369"/>
      <c r="CL1662" s="1513"/>
      <c r="CM1662" s="1509"/>
      <c r="CN1662" s="1509"/>
      <c r="CO1662" s="1509"/>
      <c r="CP1662" s="1369"/>
      <c r="CQ1662" s="1509"/>
      <c r="CR1662" s="1509"/>
      <c r="CS1662" s="1509"/>
      <c r="CT1662" s="1514"/>
      <c r="CU1662" s="1369"/>
      <c r="CV1662" s="1509"/>
      <c r="CW1662" s="1509"/>
      <c r="CX1662" s="1509"/>
      <c r="CY1662" s="1514"/>
      <c r="CZ1662" s="1369"/>
      <c r="DA1662" s="1513"/>
      <c r="DB1662" s="1509"/>
      <c r="DC1662" s="1509"/>
      <c r="DD1662" s="1514"/>
      <c r="DE1662" s="1369"/>
      <c r="DF1662" s="1509"/>
      <c r="DG1662" s="1509"/>
      <c r="DH1662" s="1509"/>
      <c r="DI1662" s="1514"/>
      <c r="DJ1662" s="1369"/>
      <c r="DK1662" s="1509"/>
      <c r="DL1662" s="1509"/>
      <c r="DM1662" s="1509"/>
      <c r="DN1662" s="1514"/>
      <c r="DO1662" s="1369"/>
      <c r="DP1662" s="1509"/>
      <c r="DQ1662" s="1509"/>
      <c r="DR1662" s="1509"/>
      <c r="DS1662" s="1514"/>
      <c r="DT1662" s="1369"/>
      <c r="DU1662" s="1509"/>
      <c r="DV1662" s="1509"/>
      <c r="DW1662" s="1509"/>
      <c r="DX1662" s="1514" t="e">
        <f>DX1657*#REF!</f>
      </c>
      <c r="DY1662" s="1369" t="e">
        <f>DY1657*#REF!</f>
      </c>
      <c r="DZ1662" s="1509"/>
      <c r="EA1662" s="1509"/>
      <c r="EB1662" s="1509"/>
      <c r="EC1662" s="1514" t="e">
        <f>EC1657*#REF!</f>
      </c>
      <c r="ED1662" s="1369"/>
      <c r="EE1662" s="1513"/>
      <c r="EF1662" s="1509"/>
      <c r="EG1662" s="1509"/>
      <c r="EH1662" s="1514" t="e">
        <f>EH1657*#REF!</f>
      </c>
      <c r="EI1662" s="1369"/>
      <c r="EJ1662" s="1369"/>
      <c r="EK1662" s="1369"/>
      <c r="EL1662" s="1369"/>
      <c r="EM1662" s="1369"/>
      <c r="EN1662" s="1369"/>
      <c r="EO1662" s="1369"/>
      <c r="EP1662" s="1369"/>
      <c r="EQ1662" s="1369"/>
      <c r="ER1662" s="1369"/>
      <c r="ES1662" s="1369"/>
      <c r="ET1662" s="1369"/>
      <c r="EU1662" s="1369"/>
      <c r="EV1662" s="1369"/>
      <c r="EW1662" s="1369"/>
      <c r="EX1662" s="1369"/>
    </row>
    <row r="1663" spans="1:154" s="1515" customFormat="1" hidden="1">
      <c r="A1663" s="3277" t="s">
        <v>813</v>
      </c>
      <c r="B1663" s="1507" t="s">
        <v>188</v>
      </c>
      <c r="C1663" s="2027" t="s">
        <v>585</v>
      </c>
      <c r="D1663" s="1508"/>
      <c r="E1663" s="1508"/>
      <c r="F1663" s="1509"/>
      <c r="G1663" s="1509"/>
      <c r="H1663" s="1509"/>
      <c r="I1663" s="1509"/>
      <c r="J1663" s="1509"/>
      <c r="K1663" s="1509"/>
      <c r="L1663" s="1509"/>
      <c r="M1663" s="1509"/>
      <c r="N1663" s="1509"/>
      <c r="O1663" s="1510"/>
      <c r="P1663" s="1509"/>
      <c r="Q1663" s="1509"/>
      <c r="R1663" s="1509"/>
      <c r="S1663" s="1509"/>
      <c r="T1663" s="1510"/>
      <c r="U1663" s="1509"/>
      <c r="V1663" s="1509"/>
      <c r="W1663" s="1509"/>
      <c r="X1663" s="1369"/>
      <c r="Y1663" s="1510"/>
      <c r="Z1663" s="1509"/>
      <c r="AA1663" s="1509"/>
      <c r="AB1663" s="1509"/>
      <c r="AC1663" s="1369"/>
      <c r="AD1663" s="1510"/>
      <c r="AE1663" s="1509"/>
      <c r="AF1663" s="1509"/>
      <c r="AG1663" s="1509"/>
      <c r="AH1663" s="1369"/>
      <c r="AI1663" s="1510"/>
      <c r="AJ1663" s="1509"/>
      <c r="AK1663" s="1509"/>
      <c r="AL1663" s="1509"/>
      <c r="AM1663" s="1369"/>
      <c r="AN1663" s="1510"/>
      <c r="AO1663" s="1509"/>
      <c r="AP1663" s="1509"/>
      <c r="AQ1663" s="1511"/>
      <c r="AR1663" s="1369"/>
      <c r="AS1663" s="1510"/>
      <c r="AT1663" s="1509"/>
      <c r="AU1663" s="1509"/>
      <c r="AV1663" s="1509"/>
      <c r="AW1663" s="1369"/>
      <c r="AX1663" s="1510"/>
      <c r="AY1663" s="1509"/>
      <c r="AZ1663" s="1509"/>
      <c r="BA1663" s="1509"/>
      <c r="BB1663" s="1369"/>
      <c r="BC1663" s="1510"/>
      <c r="BD1663" s="1509"/>
      <c r="BE1663" s="1509"/>
      <c r="BF1663" s="1509"/>
      <c r="BG1663" s="1369"/>
      <c r="BH1663" s="1510"/>
      <c r="BI1663" s="1509"/>
      <c r="BJ1663" s="1509"/>
      <c r="BK1663" s="1509"/>
      <c r="BL1663" s="1369"/>
      <c r="BM1663" s="1509"/>
      <c r="BN1663" s="1509"/>
      <c r="BO1663" s="1509"/>
      <c r="BP1663" s="1509"/>
      <c r="BQ1663" s="1369"/>
      <c r="BR1663" s="1509"/>
      <c r="BS1663" s="1509"/>
      <c r="BT1663" s="1509"/>
      <c r="BU1663" s="1509"/>
      <c r="BV1663" s="1369"/>
      <c r="BW1663" s="1512"/>
      <c r="BX1663" s="1509"/>
      <c r="BY1663" s="1509"/>
      <c r="BZ1663" s="1509"/>
      <c r="CA1663" s="1369"/>
      <c r="CB1663" s="1509"/>
      <c r="CC1663" s="1509"/>
      <c r="CD1663" s="1509"/>
      <c r="CE1663" s="1509"/>
      <c r="CF1663" s="1369"/>
      <c r="CG1663" s="1509"/>
      <c r="CH1663" s="1509"/>
      <c r="CI1663" s="1509"/>
      <c r="CJ1663" s="1509"/>
      <c r="CK1663" s="1369"/>
      <c r="CL1663" s="1513"/>
      <c r="CM1663" s="1509"/>
      <c r="CN1663" s="1509"/>
      <c r="CO1663" s="1509"/>
      <c r="CP1663" s="1369"/>
      <c r="CQ1663" s="1509"/>
      <c r="CR1663" s="1509"/>
      <c r="CS1663" s="1509"/>
      <c r="CT1663" s="1514"/>
      <c r="CU1663" s="1369"/>
      <c r="CV1663" s="1509"/>
      <c r="CW1663" s="1509"/>
      <c r="CX1663" s="1509"/>
      <c r="CY1663" s="1514"/>
      <c r="CZ1663" s="1369"/>
      <c r="DA1663" s="1513"/>
      <c r="DB1663" s="1509"/>
      <c r="DC1663" s="1509"/>
      <c r="DD1663" s="1514"/>
      <c r="DE1663" s="1369"/>
      <c r="DF1663" s="1509"/>
      <c r="DG1663" s="1509"/>
      <c r="DH1663" s="1509"/>
      <c r="DI1663" s="1514"/>
      <c r="DJ1663" s="1369"/>
      <c r="DK1663" s="1509"/>
      <c r="DL1663" s="1509"/>
      <c r="DM1663" s="1509"/>
      <c r="DN1663" s="1514"/>
      <c r="DO1663" s="1369"/>
      <c r="DP1663" s="1509"/>
      <c r="DQ1663" s="1509"/>
      <c r="DR1663" s="1509"/>
      <c r="DS1663" s="1514"/>
      <c r="DT1663" s="1369"/>
      <c r="DU1663" s="1509"/>
      <c r="DV1663" s="1509"/>
      <c r="DW1663" s="1509"/>
      <c r="DX1663" s="1514" t="e">
        <f>SUM(DX1661:DX1662)</f>
      </c>
      <c r="DY1663" s="1369" t="e">
        <f>SUM(DY1661:DY1662)</f>
      </c>
      <c r="DZ1663" s="1509"/>
      <c r="EA1663" s="1509"/>
      <c r="EB1663" s="1509"/>
      <c r="EC1663" s="1514" t="e">
        <f>SUM(EC1661:EC1662)</f>
      </c>
      <c r="ED1663" s="1369"/>
      <c r="EE1663" s="1513"/>
      <c r="EF1663" s="1509"/>
      <c r="EG1663" s="1509"/>
      <c r="EH1663" s="1514" t="e">
        <f>SUM(EH1661:EH1662)</f>
      </c>
      <c r="EI1663" s="1369"/>
      <c r="EJ1663" s="1369"/>
      <c r="EK1663" s="1369"/>
      <c r="EL1663" s="1369"/>
      <c r="EM1663" s="1369"/>
      <c r="EN1663" s="1369"/>
      <c r="EO1663" s="1369"/>
      <c r="EP1663" s="1369"/>
      <c r="EQ1663" s="1369"/>
      <c r="ER1663" s="1369"/>
      <c r="ES1663" s="1369"/>
      <c r="ET1663" s="1369"/>
      <c r="EU1663" s="1369"/>
      <c r="EV1663" s="1369"/>
      <c r="EW1663" s="1369"/>
      <c r="EX1663" s="1369"/>
    </row>
    <row r="1664" spans="1:154">
      <c r="B1664" s="3745" t="s">
        <v>1024</v>
      </c>
      <c r="C1664" s="3746"/>
      <c r="D1664" s="3747"/>
      <c r="E1664" s="3747"/>
      <c r="F1664" s="3748"/>
      <c r="G1664" s="3748"/>
      <c r="H1664" s="3748"/>
      <c r="I1664" s="3748"/>
      <c r="J1664" s="3748"/>
      <c r="K1664" s="3748"/>
      <c r="L1664" s="3748"/>
      <c r="M1664" s="3748"/>
      <c r="N1664" s="3748"/>
      <c r="O1664" s="3749"/>
      <c r="P1664" s="3748"/>
      <c r="Q1664" s="3748"/>
      <c r="R1664" s="3748"/>
      <c r="S1664" s="3748"/>
      <c r="T1664" s="3749"/>
      <c r="U1664" s="3748"/>
      <c r="V1664" s="3748"/>
      <c r="W1664" s="3748"/>
      <c r="X1664" s="3750"/>
      <c r="Y1664" s="3749"/>
      <c r="Z1664" s="3748"/>
      <c r="AA1664" s="3748"/>
      <c r="AB1664" s="3748"/>
      <c r="AC1664" s="3750"/>
      <c r="AD1664" s="3749"/>
      <c r="AE1664" s="3748"/>
      <c r="AF1664" s="3748"/>
      <c r="AG1664" s="3748"/>
      <c r="AH1664" s="3750"/>
      <c r="AI1664" s="3749"/>
      <c r="AJ1664" s="3748"/>
      <c r="AK1664" s="3748"/>
      <c r="AL1664" s="3748"/>
      <c r="AM1664" s="3750"/>
      <c r="AN1664" s="3749"/>
      <c r="AO1664" s="3748"/>
      <c r="AP1664" s="3748"/>
      <c r="AQ1664" s="3751"/>
      <c r="AR1664" s="3750"/>
      <c r="AS1664" s="3749"/>
      <c r="AT1664" s="3748"/>
      <c r="AU1664" s="3748"/>
      <c r="AV1664" s="3748"/>
      <c r="AW1664" s="3750"/>
      <c r="AX1664" s="3749"/>
      <c r="AY1664" s="3748"/>
      <c r="AZ1664" s="3748"/>
      <c r="BA1664" s="3748"/>
      <c r="BB1664" s="3750"/>
      <c r="BC1664" s="3749"/>
      <c r="BD1664" s="3748"/>
      <c r="BE1664" s="3748"/>
      <c r="BF1664" s="3748"/>
      <c r="BG1664" s="3750"/>
      <c r="BH1664" s="3749"/>
      <c r="BI1664" s="3748"/>
      <c r="BJ1664" s="3748"/>
      <c r="BK1664" s="3748"/>
      <c r="BL1664" s="3750"/>
      <c r="BM1664" s="3748"/>
      <c r="BN1664" s="3748"/>
      <c r="BO1664" s="3748"/>
      <c r="BP1664" s="3748"/>
      <c r="BQ1664" s="3750"/>
      <c r="BR1664" s="3748"/>
      <c r="BS1664" s="3748"/>
      <c r="BT1664" s="3748"/>
      <c r="BU1664" s="3748"/>
      <c r="BV1664" s="3750"/>
      <c r="BW1664" s="3748"/>
      <c r="BX1664" s="3748"/>
      <c r="BY1664" s="3748"/>
      <c r="BZ1664" s="3748"/>
      <c r="CA1664" s="3750"/>
      <c r="CB1664" s="3748"/>
      <c r="CC1664" s="3748"/>
      <c r="CD1664" s="3748"/>
      <c r="CE1664" s="3748"/>
      <c r="CF1664" s="3750"/>
      <c r="CG1664" s="3748"/>
      <c r="CH1664" s="3748"/>
      <c r="CI1664" s="3748"/>
      <c r="CJ1664" s="3748"/>
      <c r="CK1664" s="3752"/>
      <c r="CL1664" s="3753"/>
      <c r="CM1664" s="3748"/>
      <c r="CN1664" s="3748"/>
      <c r="CO1664" s="3748"/>
      <c r="CP1664" s="3752"/>
      <c r="CQ1664" s="3748"/>
      <c r="CR1664" s="3748"/>
      <c r="CS1664" s="3748"/>
      <c r="CT1664" s="3754"/>
      <c r="CU1664" s="3752"/>
      <c r="CV1664" s="3748"/>
      <c r="CW1664" s="3748"/>
      <c r="CX1664" s="3748"/>
      <c r="CY1664" s="3754"/>
      <c r="CZ1664" s="3752"/>
      <c r="DA1664" s="3753"/>
      <c r="DB1664" s="3748"/>
      <c r="DC1664" s="3748"/>
      <c r="DD1664" s="3754"/>
      <c r="DE1664" s="3752"/>
      <c r="DF1664" s="3753"/>
      <c r="DG1664" s="3748"/>
      <c r="DH1664" s="3748"/>
      <c r="DI1664" s="3754"/>
      <c r="DJ1664" s="3752"/>
      <c r="DK1664" s="3753"/>
      <c r="DL1664" s="3748"/>
      <c r="DM1664" s="3748"/>
      <c r="DN1664" s="3754"/>
      <c r="DO1664" s="3752"/>
      <c r="DP1664" s="3748"/>
      <c r="DQ1664" s="3748"/>
      <c r="DR1664" s="3748"/>
      <c r="DS1664" s="3754"/>
      <c r="DT1664" s="3752"/>
      <c r="DU1664" s="3748"/>
      <c r="DV1664" s="3748"/>
      <c r="DW1664" s="3748"/>
      <c r="DX1664" s="3754"/>
      <c r="DY1664" s="3752"/>
      <c r="DZ1664" s="3748"/>
      <c r="EA1664" s="3748"/>
      <c r="EB1664" s="3748"/>
      <c r="EC1664" s="3754"/>
      <c r="ED1664" s="3752"/>
      <c r="EE1664" s="3753"/>
      <c r="EF1664" s="3748"/>
      <c r="EG1664" s="3748"/>
      <c r="EH1664" s="3754"/>
      <c r="EI1664" s="3753"/>
      <c r="EJ1664" s="3752"/>
      <c r="EK1664" s="3752"/>
      <c r="EL1664" s="3752"/>
      <c r="EM1664" s="3752"/>
      <c r="EN1664" s="3752"/>
      <c r="EO1664" s="3754"/>
      <c r="EP1664" s="3752"/>
      <c r="EQ1664" s="3752"/>
      <c r="ER1664" s="3752"/>
      <c r="ES1664" s="3752"/>
      <c r="ET1664" s="3754"/>
      <c r="EU1664" s="3752"/>
      <c r="EV1664" s="3752"/>
      <c r="EW1664" s="3752"/>
      <c r="EX1664" s="3752"/>
    </row>
    <row r="1665" spans="1:154">
      <c r="B1665" s="907"/>
      <c r="C1665" s="1392"/>
      <c r="D1665" s="894"/>
      <c r="E1665" s="894"/>
      <c r="F1665" s="895"/>
      <c r="G1665" s="895"/>
      <c r="H1665" s="895"/>
      <c r="I1665" s="895"/>
      <c r="J1665" s="895"/>
      <c r="K1665" s="895"/>
      <c r="L1665" s="895"/>
      <c r="M1665" s="895"/>
      <c r="N1665" s="895"/>
      <c r="O1665" s="896"/>
      <c r="P1665" s="895"/>
      <c r="Q1665" s="895"/>
      <c r="R1665" s="895"/>
      <c r="S1665" s="895"/>
      <c r="T1665" s="896"/>
      <c r="U1665" s="895"/>
      <c r="V1665" s="895"/>
      <c r="W1665" s="895"/>
      <c r="X1665" s="899"/>
      <c r="Y1665" s="896"/>
      <c r="Z1665" s="895"/>
      <c r="AA1665" s="895"/>
      <c r="AB1665" s="895"/>
      <c r="AC1665" s="899"/>
      <c r="AD1665" s="896"/>
      <c r="AE1665" s="895"/>
      <c r="AF1665" s="895"/>
      <c r="AG1665" s="895"/>
      <c r="AH1665" s="899"/>
      <c r="AI1665" s="896"/>
      <c r="AJ1665" s="895"/>
      <c r="AK1665" s="895"/>
      <c r="AL1665" s="895"/>
      <c r="AM1665" s="899"/>
      <c r="AN1665" s="896"/>
      <c r="AO1665" s="895"/>
      <c r="AP1665" s="895"/>
      <c r="AQ1665" s="897"/>
      <c r="AR1665" s="899"/>
      <c r="AS1665" s="896"/>
      <c r="AT1665" s="895"/>
      <c r="AU1665" s="895"/>
      <c r="AV1665" s="895"/>
      <c r="AW1665" s="899"/>
      <c r="AX1665" s="896"/>
      <c r="AY1665" s="895"/>
      <c r="AZ1665" s="895"/>
      <c r="BA1665" s="895"/>
      <c r="BB1665" s="899"/>
      <c r="BC1665" s="896"/>
      <c r="BD1665" s="895"/>
      <c r="BE1665" s="895"/>
      <c r="BF1665" s="895"/>
      <c r="BG1665" s="899"/>
      <c r="BH1665" s="896"/>
      <c r="BI1665" s="895"/>
      <c r="BJ1665" s="895"/>
      <c r="BK1665" s="895"/>
      <c r="BL1665" s="899"/>
      <c r="BM1665" s="895"/>
      <c r="BN1665" s="895"/>
      <c r="BO1665" s="895"/>
      <c r="BP1665" s="895"/>
      <c r="BQ1665" s="899"/>
      <c r="BR1665" s="895"/>
      <c r="BS1665" s="895"/>
      <c r="BT1665" s="895"/>
      <c r="BU1665" s="895"/>
      <c r="BV1665" s="899"/>
      <c r="BW1665" s="895"/>
      <c r="BX1665" s="895"/>
      <c r="BY1665" s="895"/>
      <c r="BZ1665" s="895"/>
      <c r="CA1665" s="899"/>
      <c r="CB1665" s="895"/>
      <c r="CC1665" s="895"/>
      <c r="CD1665" s="895"/>
      <c r="CE1665" s="895"/>
      <c r="CF1665" s="899"/>
      <c r="CG1665" s="895"/>
      <c r="CH1665" s="895"/>
      <c r="CI1665" s="895"/>
      <c r="CJ1665" s="895"/>
      <c r="CK1665" s="899"/>
      <c r="CL1665" s="1015"/>
      <c r="CM1665" s="895"/>
      <c r="CN1665" s="895"/>
      <c r="CO1665" s="895"/>
      <c r="CP1665" s="899"/>
      <c r="CQ1665" s="895"/>
      <c r="CR1665" s="895"/>
      <c r="CS1665" s="895"/>
      <c r="CT1665" s="915"/>
      <c r="CU1665" s="899"/>
      <c r="CV1665" s="895"/>
      <c r="CW1665" s="895"/>
      <c r="CX1665" s="895"/>
      <c r="CY1665" s="915"/>
      <c r="CZ1665" s="899"/>
      <c r="DA1665" s="1015"/>
      <c r="DB1665" s="895"/>
      <c r="DC1665" s="895"/>
      <c r="DD1665" s="915"/>
      <c r="DE1665" s="899"/>
      <c r="DF1665" s="895"/>
      <c r="DG1665" s="895"/>
      <c r="DH1665" s="895"/>
      <c r="DI1665" s="915"/>
      <c r="DJ1665" s="899"/>
      <c r="DK1665" s="895"/>
      <c r="DL1665" s="895"/>
      <c r="DM1665" s="895"/>
      <c r="DN1665" s="915"/>
      <c r="DO1665" s="899"/>
      <c r="DP1665" s="895"/>
      <c r="DQ1665" s="895"/>
      <c r="DR1665" s="895"/>
      <c r="DS1665" s="915"/>
      <c r="DT1665" s="899"/>
      <c r="DU1665" s="895"/>
      <c r="DV1665" s="895"/>
      <c r="DW1665" s="895"/>
      <c r="DX1665" s="915"/>
      <c r="DY1665" s="899"/>
      <c r="DZ1665" s="895"/>
      <c r="EA1665" s="895"/>
      <c r="EB1665" s="895"/>
      <c r="EC1665" s="915"/>
      <c r="ED1665" s="899"/>
      <c r="EE1665" s="1015"/>
      <c r="EF1665" s="895"/>
      <c r="EG1665" s="895"/>
      <c r="EH1665" s="915"/>
      <c r="EI1665" s="899"/>
      <c r="EJ1665" s="899"/>
      <c r="EK1665" s="899"/>
      <c r="EL1665" s="899"/>
      <c r="EM1665" s="899"/>
      <c r="EN1665" s="899"/>
      <c r="EO1665" s="899"/>
      <c r="EP1665" s="899"/>
      <c r="EQ1665" s="899"/>
      <c r="ER1665" s="899"/>
      <c r="ES1665" s="899"/>
      <c r="ET1665" s="899"/>
      <c r="EU1665" s="899"/>
      <c r="EV1665" s="899"/>
      <c r="EW1665" s="899"/>
      <c r="EX1665" s="899"/>
    </row>
    <row r="1666" spans="1:154">
      <c r="B1666" s="906" t="s">
        <v>662</v>
      </c>
      <c r="C1666" s="1392"/>
      <c r="D1666" s="894"/>
      <c r="E1666" s="894"/>
      <c r="F1666" s="895"/>
      <c r="G1666" s="895"/>
      <c r="H1666" s="895"/>
      <c r="I1666" s="895"/>
      <c r="J1666" s="895"/>
      <c r="K1666" s="895"/>
      <c r="L1666" s="895"/>
      <c r="M1666" s="895"/>
      <c r="N1666" s="895"/>
      <c r="O1666" s="896"/>
      <c r="P1666" s="895"/>
      <c r="Q1666" s="895"/>
      <c r="R1666" s="895"/>
      <c r="S1666" s="895"/>
      <c r="T1666" s="896"/>
      <c r="U1666" s="895"/>
      <c r="V1666" s="895"/>
      <c r="W1666" s="895"/>
      <c r="X1666" s="898"/>
      <c r="Y1666" s="896"/>
      <c r="Z1666" s="895"/>
      <c r="AA1666" s="895"/>
      <c r="AB1666" s="895"/>
      <c r="AC1666" s="898"/>
      <c r="AD1666" s="896"/>
      <c r="AE1666" s="895"/>
      <c r="AF1666" s="895"/>
      <c r="AG1666" s="895"/>
      <c r="AH1666" s="898"/>
      <c r="AI1666" s="896"/>
      <c r="AJ1666" s="895"/>
      <c r="AK1666" s="895"/>
      <c r="AL1666" s="895"/>
      <c r="AM1666" s="898"/>
      <c r="AN1666" s="896"/>
      <c r="AO1666" s="895"/>
      <c r="AP1666" s="895"/>
      <c r="AQ1666" s="897"/>
      <c r="AR1666" s="898"/>
      <c r="AS1666" s="896"/>
      <c r="AT1666" s="895"/>
      <c r="AU1666" s="895"/>
      <c r="AV1666" s="895"/>
      <c r="AW1666" s="898"/>
      <c r="AX1666" s="896"/>
      <c r="AY1666" s="895"/>
      <c r="AZ1666" s="895"/>
      <c r="BA1666" s="895"/>
      <c r="BB1666" s="898"/>
      <c r="BC1666" s="896"/>
      <c r="BD1666" s="895"/>
      <c r="BE1666" s="895"/>
      <c r="BF1666" s="895"/>
      <c r="BG1666" s="898"/>
      <c r="BH1666" s="896"/>
      <c r="BI1666" s="895"/>
      <c r="BJ1666" s="895"/>
      <c r="BK1666" s="895"/>
      <c r="BL1666" s="898"/>
      <c r="BM1666" s="895"/>
      <c r="BN1666" s="895"/>
      <c r="BO1666" s="895"/>
      <c r="BP1666" s="895"/>
      <c r="BQ1666" s="898"/>
      <c r="BR1666" s="895"/>
      <c r="BS1666" s="895"/>
      <c r="BT1666" s="895"/>
      <c r="BU1666" s="895"/>
      <c r="BV1666" s="898"/>
      <c r="BW1666" s="895"/>
      <c r="BX1666" s="895"/>
      <c r="BY1666" s="895"/>
      <c r="BZ1666" s="895"/>
      <c r="CA1666" s="898"/>
      <c r="CB1666" s="895"/>
      <c r="CC1666" s="895"/>
      <c r="CD1666" s="895"/>
      <c r="CE1666" s="895"/>
      <c r="CF1666" s="898"/>
      <c r="CG1666" s="895"/>
      <c r="CH1666" s="895"/>
      <c r="CI1666" s="895"/>
      <c r="CJ1666" s="895"/>
      <c r="CK1666" s="899"/>
      <c r="CL1666" s="1015"/>
      <c r="CM1666" s="895"/>
      <c r="CN1666" s="895"/>
      <c r="CO1666" s="895"/>
      <c r="CP1666" s="899"/>
      <c r="CQ1666" s="895"/>
      <c r="CR1666" s="895"/>
      <c r="CS1666" s="895"/>
      <c r="CT1666" s="915"/>
      <c r="CU1666" s="899"/>
      <c r="CV1666" s="895"/>
      <c r="CW1666" s="895"/>
      <c r="CX1666" s="895"/>
      <c r="CY1666" s="915"/>
      <c r="CZ1666" s="899"/>
      <c r="DA1666" s="1015"/>
      <c r="DB1666" s="1509"/>
      <c r="DC1666" s="895"/>
      <c r="DD1666" s="915"/>
      <c r="DE1666" s="899"/>
      <c r="DF1666" s="1015"/>
      <c r="DG1666" s="895"/>
      <c r="DH1666" s="895"/>
      <c r="DI1666" s="915"/>
      <c r="DJ1666" s="899"/>
      <c r="DK1666" s="1015"/>
      <c r="DL1666" s="895"/>
      <c r="DM1666" s="895"/>
      <c r="DN1666" s="915"/>
      <c r="DO1666" s="899"/>
      <c r="DP1666" s="895"/>
      <c r="DQ1666" s="895"/>
      <c r="DR1666" s="895"/>
      <c r="DS1666" s="915"/>
      <c r="DT1666" s="899"/>
      <c r="DU1666" s="895"/>
      <c r="DV1666" s="895"/>
      <c r="DW1666" s="895"/>
      <c r="DX1666" s="915"/>
      <c r="DY1666" s="899"/>
      <c r="DZ1666" s="895"/>
      <c r="EA1666" s="895"/>
      <c r="EB1666" s="895"/>
      <c r="EC1666" s="915"/>
      <c r="ED1666" s="899"/>
      <c r="EE1666" s="1015"/>
      <c r="EF1666" s="895"/>
      <c r="EG1666" s="895"/>
      <c r="EH1666" s="915"/>
      <c r="EI1666" s="899"/>
      <c r="EJ1666" s="899"/>
      <c r="EK1666" s="899"/>
      <c r="EL1666" s="899"/>
      <c r="EM1666" s="899"/>
      <c r="EN1666" s="899"/>
      <c r="EO1666" s="899"/>
      <c r="EP1666" s="899"/>
      <c r="EQ1666" s="899"/>
      <c r="ER1666" s="899"/>
      <c r="ES1666" s="899"/>
      <c r="ET1666" s="899"/>
      <c r="EU1666" s="899"/>
      <c r="EV1666" s="899"/>
      <c r="EW1666" s="899"/>
      <c r="EX1666" s="899"/>
    </row>
    <row r="1667" spans="1:154">
      <c r="B1667" s="907" t="s">
        <v>153</v>
      </c>
      <c r="C1667" s="1392" t="s">
        <v>663</v>
      </c>
      <c r="D1667" s="894"/>
      <c r="E1667" s="894"/>
      <c r="F1667" s="895"/>
      <c r="G1667" s="895"/>
      <c r="H1667" s="895"/>
      <c r="I1667" s="895"/>
      <c r="J1667" s="895"/>
      <c r="K1667" s="895"/>
      <c r="L1667" s="895"/>
      <c r="M1667" s="895"/>
      <c r="N1667" s="895"/>
      <c r="O1667" s="896"/>
      <c r="P1667" s="895"/>
      <c r="Q1667" s="895"/>
      <c r="R1667" s="895"/>
      <c r="S1667" s="895"/>
      <c r="T1667" s="896"/>
      <c r="U1667" s="895"/>
      <c r="V1667" s="895"/>
      <c r="W1667" s="895"/>
      <c r="X1667" s="899"/>
      <c r="Y1667" s="896"/>
      <c r="Z1667" s="895"/>
      <c r="AA1667" s="895"/>
      <c r="AB1667" s="895"/>
      <c r="AC1667" s="899"/>
      <c r="AD1667" s="896"/>
      <c r="AE1667" s="895"/>
      <c r="AF1667" s="895"/>
      <c r="AG1667" s="895"/>
      <c r="AH1667" s="899"/>
      <c r="AI1667" s="896"/>
      <c r="AJ1667" s="895"/>
      <c r="AK1667" s="895"/>
      <c r="AL1667" s="895"/>
      <c r="AM1667" s="899"/>
      <c r="AN1667" s="896"/>
      <c r="AO1667" s="895"/>
      <c r="AP1667" s="895"/>
      <c r="AQ1667" s="897"/>
      <c r="AR1667" s="899"/>
      <c r="AS1667" s="896"/>
      <c r="AT1667" s="895"/>
      <c r="AU1667" s="895"/>
      <c r="AV1667" s="895"/>
      <c r="AW1667" s="899"/>
      <c r="AX1667" s="896"/>
      <c r="AY1667" s="895"/>
      <c r="AZ1667" s="895"/>
      <c r="BA1667" s="895"/>
      <c r="BB1667" s="899"/>
      <c r="BC1667" s="896"/>
      <c r="BD1667" s="895"/>
      <c r="BE1667" s="895"/>
      <c r="BF1667" s="895"/>
      <c r="BG1667" s="899"/>
      <c r="BH1667" s="896"/>
      <c r="BI1667" s="895"/>
      <c r="BJ1667" s="895"/>
      <c r="BK1667" s="895"/>
      <c r="BL1667" s="899"/>
      <c r="BM1667" s="895"/>
      <c r="BN1667" s="908"/>
      <c r="BO1667" s="895"/>
      <c r="BP1667" s="895"/>
      <c r="BQ1667" s="899"/>
      <c r="BR1667" s="895"/>
      <c r="BS1667" s="908"/>
      <c r="BT1667" s="895"/>
      <c r="BU1667" s="895"/>
      <c r="BV1667" s="899"/>
      <c r="BW1667" s="908"/>
      <c r="BX1667" s="908"/>
      <c r="BY1667" s="908"/>
      <c r="BZ1667" s="908"/>
      <c r="CA1667" s="899"/>
      <c r="CB1667" s="908"/>
      <c r="CC1667" s="895"/>
      <c r="CD1667" s="908"/>
      <c r="CE1667" s="908"/>
      <c r="CF1667" s="899"/>
      <c r="CG1667" s="908"/>
      <c r="CH1667" s="908"/>
      <c r="CI1667" s="908"/>
      <c r="CJ1667" s="908"/>
      <c r="CK1667" s="899"/>
      <c r="CL1667" s="1015"/>
      <c r="CM1667" s="895"/>
      <c r="CN1667" s="895"/>
      <c r="CO1667" s="908"/>
      <c r="CP1667" s="909">
        <v>0</v>
      </c>
      <c r="CQ1667" s="895"/>
      <c r="CR1667" s="895"/>
      <c r="CS1667" s="895"/>
      <c r="CT1667" s="915"/>
      <c r="CU1667" s="909">
        <v>0</v>
      </c>
      <c r="CV1667" s="895"/>
      <c r="CW1667" s="895"/>
      <c r="CX1667" s="895"/>
      <c r="CY1667" s="915"/>
      <c r="CZ1667" s="909"/>
      <c r="DA1667" s="1321"/>
      <c r="DB1667" s="1512"/>
      <c r="DC1667" s="908"/>
      <c r="DD1667" s="915">
        <f>+DE1667-SUM(DA1667:DC1667)</f>
      </c>
      <c r="DE1667" s="909"/>
      <c r="DF1667" s="1321"/>
      <c r="DG1667" s="908"/>
      <c r="DH1667" s="908"/>
      <c r="DI1667" s="915"/>
      <c r="DJ1667" s="909"/>
      <c r="DK1667" s="1498">
        <f>$DO1667/4</f>
      </c>
      <c r="DL1667" s="1498">
        <f t="shared" ref="DL1667:DN1669" si="3037">$DO1667/4</f>
      </c>
      <c r="DM1667" s="1498">
        <f t="shared" si="3037"/>
      </c>
      <c r="DN1667" s="1498">
        <f t="shared" si="3037"/>
      </c>
      <c r="DO1667" s="909"/>
      <c r="DP1667" s="908">
        <v>0</v>
      </c>
      <c r="DQ1667" s="908">
        <v>0</v>
      </c>
      <c r="DR1667" s="908">
        <f>$DT1667*0.255</f>
      </c>
      <c r="DS1667" s="1021">
        <f>DT1667-SUM(DP1667:DR1667)</f>
      </c>
      <c r="DT1667" s="909">
        <v>0</v>
      </c>
      <c r="DU1667" s="908">
        <v>0</v>
      </c>
      <c r="DV1667" s="908">
        <v>0</v>
      </c>
      <c r="DW1667" s="908">
        <f>$DT1667*0.255</f>
      </c>
      <c r="DX1667" s="1021">
        <f>DY1667-SUM(DU1667:DW1667)</f>
      </c>
      <c r="DY1667" s="909">
        <v>0</v>
      </c>
      <c r="DZ1667" s="908">
        <v>0</v>
      </c>
      <c r="EA1667" s="908">
        <v>0</v>
      </c>
      <c r="EB1667" s="908">
        <f>$DT1667*0.255</f>
      </c>
      <c r="EC1667" s="1021">
        <f>ED1667-SUM(DZ1667:EB1667)</f>
      </c>
      <c r="ED1667" s="909">
        <v>0</v>
      </c>
      <c r="EE1667" s="1321">
        <f>$DT1667*0.255</f>
      </c>
      <c r="EF1667" s="908">
        <f>$DT1667*0.255</f>
      </c>
      <c r="EG1667" s="908">
        <f>$DT1667*0.255</f>
      </c>
      <c r="EH1667" s="1021">
        <f>EI1667-SUM(EE1667:EG1667)</f>
      </c>
      <c r="EI1667" s="909">
        <v>0</v>
      </c>
      <c r="EJ1667" s="909"/>
      <c r="EK1667" s="909"/>
      <c r="EL1667" s="909"/>
      <c r="EM1667" s="909"/>
      <c r="EN1667" s="909"/>
      <c r="EO1667" s="909"/>
      <c r="EP1667" s="909"/>
      <c r="EQ1667" s="909"/>
      <c r="ER1667" s="909"/>
      <c r="ES1667" s="909"/>
      <c r="ET1667" s="909"/>
      <c r="EU1667" s="909"/>
      <c r="EV1667" s="909"/>
      <c r="EW1667" s="909"/>
      <c r="EX1667" s="909"/>
    </row>
    <row r="1668" spans="1:154">
      <c r="B1668" s="907" t="s">
        <v>235</v>
      </c>
      <c r="C1668" s="1392" t="s">
        <v>664</v>
      </c>
      <c r="D1668" s="894"/>
      <c r="E1668" s="894"/>
      <c r="F1668" s="895"/>
      <c r="G1668" s="895"/>
      <c r="H1668" s="895"/>
      <c r="I1668" s="895"/>
      <c r="J1668" s="895"/>
      <c r="K1668" s="895"/>
      <c r="L1668" s="895"/>
      <c r="M1668" s="895"/>
      <c r="N1668" s="895"/>
      <c r="O1668" s="896"/>
      <c r="P1668" s="895"/>
      <c r="Q1668" s="895"/>
      <c r="R1668" s="895"/>
      <c r="S1668" s="895"/>
      <c r="T1668" s="896"/>
      <c r="U1668" s="895"/>
      <c r="V1668" s="895"/>
      <c r="W1668" s="895"/>
      <c r="X1668" s="899"/>
      <c r="Y1668" s="896"/>
      <c r="Z1668" s="895"/>
      <c r="AA1668" s="895"/>
      <c r="AB1668" s="895"/>
      <c r="AC1668" s="899"/>
      <c r="AD1668" s="896"/>
      <c r="AE1668" s="895"/>
      <c r="AF1668" s="895"/>
      <c r="AG1668" s="895"/>
      <c r="AH1668" s="899"/>
      <c r="AI1668" s="896"/>
      <c r="AJ1668" s="895"/>
      <c r="AK1668" s="895"/>
      <c r="AL1668" s="895"/>
      <c r="AM1668" s="899"/>
      <c r="AN1668" s="896"/>
      <c r="AO1668" s="895"/>
      <c r="AP1668" s="895"/>
      <c r="AQ1668" s="897"/>
      <c r="AR1668" s="899"/>
      <c r="AS1668" s="896"/>
      <c r="AT1668" s="895"/>
      <c r="AU1668" s="895"/>
      <c r="AV1668" s="895"/>
      <c r="AW1668" s="899"/>
      <c r="AX1668" s="896"/>
      <c r="AY1668" s="895"/>
      <c r="AZ1668" s="895"/>
      <c r="BA1668" s="895"/>
      <c r="BB1668" s="899"/>
      <c r="BC1668" s="896"/>
      <c r="BD1668" s="895"/>
      <c r="BE1668" s="895"/>
      <c r="BF1668" s="895"/>
      <c r="BG1668" s="899"/>
      <c r="BH1668" s="896"/>
      <c r="BI1668" s="895"/>
      <c r="BJ1668" s="895"/>
      <c r="BK1668" s="895"/>
      <c r="BL1668" s="899"/>
      <c r="BM1668" s="895"/>
      <c r="BN1668" s="908"/>
      <c r="BO1668" s="895"/>
      <c r="BP1668" s="895"/>
      <c r="BQ1668" s="899"/>
      <c r="BR1668" s="895"/>
      <c r="BS1668" s="908"/>
      <c r="BT1668" s="895"/>
      <c r="BU1668" s="895"/>
      <c r="BV1668" s="899"/>
      <c r="BW1668" s="908"/>
      <c r="BX1668" s="908"/>
      <c r="BY1668" s="908"/>
      <c r="BZ1668" s="908"/>
      <c r="CA1668" s="899"/>
      <c r="CB1668" s="908"/>
      <c r="CC1668" s="895"/>
      <c r="CD1668" s="908"/>
      <c r="CE1668" s="908"/>
      <c r="CF1668" s="899"/>
      <c r="CG1668" s="908"/>
      <c r="CH1668" s="908"/>
      <c r="CI1668" s="908"/>
      <c r="CJ1668" s="908"/>
      <c r="CK1668" s="899"/>
      <c r="CL1668" s="1015"/>
      <c r="CM1668" s="895"/>
      <c r="CN1668" s="895"/>
      <c r="CO1668" s="908"/>
      <c r="CP1668" s="909">
        <v>0</v>
      </c>
      <c r="CQ1668" s="895"/>
      <c r="CR1668" s="895"/>
      <c r="CS1668" s="895"/>
      <c r="CT1668" s="915"/>
      <c r="CU1668" s="909">
        <v>0</v>
      </c>
      <c r="CV1668" s="895"/>
      <c r="CW1668" s="895"/>
      <c r="CX1668" s="895"/>
      <c r="CY1668" s="915"/>
      <c r="CZ1668" s="909">
        <v>0</v>
      </c>
      <c r="DA1668" s="1321"/>
      <c r="DB1668" s="1512"/>
      <c r="DC1668" s="908"/>
      <c r="DD1668" s="915">
        <f>+DE1668-SUM(DA1668:DC1668)</f>
      </c>
      <c r="DE1668" s="909"/>
      <c r="DF1668" s="1321"/>
      <c r="DG1668" s="908"/>
      <c r="DH1668" s="908"/>
      <c r="DI1668" s="915"/>
      <c r="DJ1668" s="909"/>
      <c r="DK1668" s="1498">
        <f>$DO1668/4</f>
      </c>
      <c r="DL1668" s="1498">
        <f t="shared" si="3037"/>
      </c>
      <c r="DM1668" s="1498">
        <f t="shared" si="3037"/>
      </c>
      <c r="DN1668" s="1498">
        <f t="shared" si="3037"/>
      </c>
      <c r="DO1668" s="909"/>
      <c r="DP1668" s="908">
        <v>0</v>
      </c>
      <c r="DQ1668" s="908">
        <v>0</v>
      </c>
      <c r="DR1668" s="908">
        <f>$DT1668*0.23</f>
      </c>
      <c r="DS1668" s="1021">
        <f>DT1668-SUM(DP1668:DR1668)</f>
      </c>
      <c r="DT1668" s="909">
        <v>0</v>
      </c>
      <c r="DU1668" s="908">
        <v>0</v>
      </c>
      <c r="DV1668" s="908">
        <v>0</v>
      </c>
      <c r="DW1668" s="908">
        <f>$DT1668*0.23</f>
      </c>
      <c r="DX1668" s="1021">
        <f>DY1668-SUM(DU1668:DW1668)</f>
      </c>
      <c r="DY1668" s="909">
        <v>0</v>
      </c>
      <c r="DZ1668" s="908">
        <v>0</v>
      </c>
      <c r="EA1668" s="908">
        <v>0</v>
      </c>
      <c r="EB1668" s="908">
        <f>$DT1668*0.23</f>
      </c>
      <c r="EC1668" s="1021">
        <f>ED1668-SUM(DZ1668:EB1668)</f>
      </c>
      <c r="ED1668" s="909">
        <v>0</v>
      </c>
      <c r="EE1668" s="1321">
        <f>$DT1668*0.23</f>
      </c>
      <c r="EF1668" s="908">
        <f>$DT1668*0.23</f>
      </c>
      <c r="EG1668" s="908">
        <f>$DT1668*0.23</f>
      </c>
      <c r="EH1668" s="1021">
        <f>EI1668-SUM(EE1668:EG1668)</f>
      </c>
      <c r="EI1668" s="909">
        <v>0</v>
      </c>
      <c r="EJ1668" s="909"/>
      <c r="EK1668" s="909"/>
      <c r="EL1668" s="909"/>
      <c r="EM1668" s="909"/>
      <c r="EN1668" s="909"/>
      <c r="EO1668" s="909"/>
      <c r="EP1668" s="909"/>
      <c r="EQ1668" s="909"/>
      <c r="ER1668" s="909"/>
      <c r="ES1668" s="909"/>
      <c r="ET1668" s="909"/>
      <c r="EU1668" s="909"/>
      <c r="EV1668" s="909"/>
      <c r="EW1668" s="909"/>
      <c r="EX1668" s="909"/>
    </row>
    <row r="1669" spans="1:154">
      <c r="B1669" s="907" t="s">
        <v>188</v>
      </c>
      <c r="C1669" s="1392"/>
      <c r="D1669" s="894"/>
      <c r="E1669" s="894"/>
      <c r="F1669" s="895"/>
      <c r="G1669" s="895"/>
      <c r="H1669" s="895"/>
      <c r="I1669" s="895"/>
      <c r="J1669" s="895"/>
      <c r="K1669" s="895"/>
      <c r="L1669" s="895"/>
      <c r="M1669" s="895"/>
      <c r="N1669" s="895"/>
      <c r="O1669" s="896"/>
      <c r="P1669" s="895"/>
      <c r="Q1669" s="895"/>
      <c r="R1669" s="895"/>
      <c r="S1669" s="895"/>
      <c r="T1669" s="896"/>
      <c r="U1669" s="895"/>
      <c r="V1669" s="895"/>
      <c r="W1669" s="895"/>
      <c r="X1669" s="899"/>
      <c r="Y1669" s="896"/>
      <c r="Z1669" s="895"/>
      <c r="AA1669" s="895"/>
      <c r="AB1669" s="895"/>
      <c r="AC1669" s="899"/>
      <c r="AD1669" s="896"/>
      <c r="AE1669" s="895"/>
      <c r="AF1669" s="895"/>
      <c r="AG1669" s="895"/>
      <c r="AH1669" s="899"/>
      <c r="AI1669" s="896"/>
      <c r="AJ1669" s="895"/>
      <c r="AK1669" s="895"/>
      <c r="AL1669" s="895"/>
      <c r="AM1669" s="899"/>
      <c r="AN1669" s="896"/>
      <c r="AO1669" s="895"/>
      <c r="AP1669" s="895"/>
      <c r="AQ1669" s="897"/>
      <c r="AR1669" s="899"/>
      <c r="AS1669" s="896"/>
      <c r="AT1669" s="895"/>
      <c r="AU1669" s="895"/>
      <c r="AV1669" s="895"/>
      <c r="AW1669" s="899"/>
      <c r="AX1669" s="896"/>
      <c r="AY1669" s="895"/>
      <c r="AZ1669" s="895"/>
      <c r="BA1669" s="895"/>
      <c r="BB1669" s="899"/>
      <c r="BC1669" s="896"/>
      <c r="BD1669" s="895"/>
      <c r="BE1669" s="895"/>
      <c r="BF1669" s="895"/>
      <c r="BG1669" s="899"/>
      <c r="BH1669" s="896"/>
      <c r="BI1669" s="895"/>
      <c r="BJ1669" s="895"/>
      <c r="BK1669" s="895"/>
      <c r="BL1669" s="899"/>
      <c r="BM1669" s="895"/>
      <c r="BN1669" s="895"/>
      <c r="BO1669" s="895"/>
      <c r="BP1669" s="895"/>
      <c r="BQ1669" s="899"/>
      <c r="BR1669" s="895"/>
      <c r="BS1669" s="895"/>
      <c r="BT1669" s="895"/>
      <c r="BU1669" s="895"/>
      <c r="BV1669" s="899"/>
      <c r="BW1669" s="895"/>
      <c r="BX1669" s="895"/>
      <c r="BY1669" s="895"/>
      <c r="BZ1669" s="895"/>
      <c r="CA1669" s="899"/>
      <c r="CB1669" s="895"/>
      <c r="CC1669" s="895"/>
      <c r="CD1669" s="895"/>
      <c r="CE1669" s="895"/>
      <c r="CF1669" s="899"/>
      <c r="CG1669" s="895"/>
      <c r="CH1669" s="895"/>
      <c r="CI1669" s="895"/>
      <c r="CJ1669" s="895"/>
      <c r="CK1669" s="899"/>
      <c r="CL1669" s="1015"/>
      <c r="CM1669" s="895"/>
      <c r="CN1669" s="895"/>
      <c r="CO1669" s="895"/>
      <c r="CP1669" s="899">
        <f>CP1667+CP1668</f>
      </c>
      <c r="CQ1669" s="895"/>
      <c r="CR1669" s="895"/>
      <c r="CS1669" s="895"/>
      <c r="CT1669" s="915"/>
      <c r="CU1669" s="899">
        <f>CU1667+CU1668</f>
      </c>
      <c r="CV1669" s="895"/>
      <c r="CW1669" s="895"/>
      <c r="CX1669" s="895"/>
      <c r="CY1669" s="915"/>
      <c r="CZ1669" s="899">
        <f>CZ1667+CZ1668</f>
      </c>
      <c r="DA1669" s="1015">
        <f>SUM(DA1667:DA1668)</f>
      </c>
      <c r="DB1669" s="1509">
        <f>SUM(DB1667:DB1668)</f>
      </c>
      <c r="DC1669" s="895">
        <f>SUM(DC1667:DC1668)</f>
      </c>
      <c r="DD1669" s="915">
        <f>SUM(DD1667:DD1668)</f>
      </c>
      <c r="DE1669" s="899">
        <f>DE1667+DE1668</f>
      </c>
      <c r="DF1669" s="1015"/>
      <c r="DG1669" s="895"/>
      <c r="DH1669" s="895"/>
      <c r="DI1669" s="915"/>
      <c r="DJ1669" s="899">
        <f>DJ1667+DJ1668</f>
      </c>
      <c r="DK1669" s="1498">
        <f>$DO1669/4</f>
      </c>
      <c r="DL1669" s="1498">
        <f t="shared" si="3037"/>
      </c>
      <c r="DM1669" s="1498">
        <f t="shared" si="3037"/>
      </c>
      <c r="DN1669" s="1498">
        <f t="shared" si="3037"/>
      </c>
      <c r="DO1669" s="899">
        <f>DO1667+DO1668</f>
      </c>
      <c r="DP1669" s="1509">
        <f>SUM(DP1667:DP1668)</f>
      </c>
      <c r="DQ1669" s="1509">
        <f>DQ1668+DQ1667</f>
      </c>
      <c r="DR1669" s="895">
        <f>DR1668+DR1667</f>
      </c>
      <c r="DS1669" s="1509">
        <f>DS1668+DS1667</f>
      </c>
      <c r="DT1669" s="899">
        <f>DT1667+DT1668</f>
      </c>
      <c r="DU1669" s="1509">
        <f>SUM(DU1667:DU1668)</f>
      </c>
      <c r="DV1669" s="1509">
        <f>DV1668+DV1667</f>
      </c>
      <c r="DW1669" s="895">
        <f>DW1668+DW1667</f>
      </c>
      <c r="DX1669" s="1509">
        <f>DX1668+DX1667</f>
      </c>
      <c r="DY1669" s="899">
        <f>DY1667+DY1668</f>
      </c>
      <c r="DZ1669" s="1509">
        <f>DZ1668+DZ1667</f>
      </c>
      <c r="EA1669" s="1509">
        <f>EA1668+EA1667</f>
      </c>
      <c r="EB1669" s="895">
        <f>EB1668+EB1667</f>
      </c>
      <c r="EC1669" s="1509">
        <f>EC1668+EC1667</f>
      </c>
      <c r="ED1669" s="899">
        <f>ED1667+ED1668</f>
      </c>
      <c r="EE1669" s="1015">
        <f>EE1668+EE1667</f>
      </c>
      <c r="EF1669" s="895">
        <f>EF1668+EF1667</f>
      </c>
      <c r="EG1669" s="895">
        <f>EG1668+EG1667</f>
      </c>
      <c r="EH1669" s="1509">
        <f>EH1668+EH1667</f>
      </c>
      <c r="EI1669" s="899">
        <f>EI1667+EI1668</f>
      </c>
      <c r="EJ1669" s="899"/>
      <c r="EK1669" s="899"/>
      <c r="EL1669" s="899"/>
      <c r="EM1669" s="899"/>
      <c r="EN1669" s="899"/>
      <c r="EO1669" s="899"/>
      <c r="EP1669" s="899"/>
      <c r="EQ1669" s="899"/>
      <c r="ER1669" s="899"/>
      <c r="ES1669" s="899"/>
      <c r="ET1669" s="899"/>
      <c r="EU1669" s="899"/>
      <c r="EV1669" s="899"/>
      <c r="EW1669" s="899"/>
      <c r="EX1669" s="899"/>
    </row>
    <row r="1670" spans="1:154">
      <c r="B1670" s="907"/>
      <c r="C1670" s="1392"/>
      <c r="D1670" s="894"/>
      <c r="E1670" s="894"/>
      <c r="F1670" s="895"/>
      <c r="G1670" s="895"/>
      <c r="H1670" s="895"/>
      <c r="I1670" s="895"/>
      <c r="J1670" s="895"/>
      <c r="K1670" s="895"/>
      <c r="L1670" s="895"/>
      <c r="M1670" s="895"/>
      <c r="N1670" s="895"/>
      <c r="O1670" s="896"/>
      <c r="P1670" s="895"/>
      <c r="Q1670" s="895"/>
      <c r="R1670" s="895"/>
      <c r="S1670" s="895"/>
      <c r="T1670" s="896"/>
      <c r="U1670" s="895"/>
      <c r="V1670" s="895"/>
      <c r="W1670" s="895"/>
      <c r="X1670" s="898"/>
      <c r="Y1670" s="896"/>
      <c r="Z1670" s="895"/>
      <c r="AA1670" s="895"/>
      <c r="AB1670" s="895"/>
      <c r="AC1670" s="898"/>
      <c r="AD1670" s="896"/>
      <c r="AE1670" s="895"/>
      <c r="AF1670" s="895"/>
      <c r="AG1670" s="895"/>
      <c r="AH1670" s="898"/>
      <c r="AI1670" s="896"/>
      <c r="AJ1670" s="895"/>
      <c r="AK1670" s="895"/>
      <c r="AL1670" s="895"/>
      <c r="AM1670" s="898"/>
      <c r="AN1670" s="896"/>
      <c r="AO1670" s="895"/>
      <c r="AP1670" s="895"/>
      <c r="AQ1670" s="897"/>
      <c r="AR1670" s="898"/>
      <c r="AS1670" s="896"/>
      <c r="AT1670" s="895"/>
      <c r="AU1670" s="895"/>
      <c r="AV1670" s="895"/>
      <c r="AW1670" s="898"/>
      <c r="AX1670" s="896"/>
      <c r="AY1670" s="895"/>
      <c r="AZ1670" s="895"/>
      <c r="BA1670" s="895"/>
      <c r="BB1670" s="898"/>
      <c r="BC1670" s="896"/>
      <c r="BD1670" s="895"/>
      <c r="BE1670" s="895"/>
      <c r="BF1670" s="895"/>
      <c r="BG1670" s="898"/>
      <c r="BH1670" s="896"/>
      <c r="BI1670" s="895"/>
      <c r="BJ1670" s="895"/>
      <c r="BK1670" s="895"/>
      <c r="BL1670" s="898"/>
      <c r="BM1670" s="895"/>
      <c r="BN1670" s="895"/>
      <c r="BO1670" s="895"/>
      <c r="BP1670" s="895"/>
      <c r="BQ1670" s="898"/>
      <c r="BR1670" s="895"/>
      <c r="BS1670" s="895"/>
      <c r="BT1670" s="895"/>
      <c r="BU1670" s="895"/>
      <c r="BV1670" s="898"/>
      <c r="BW1670" s="895"/>
      <c r="BX1670" s="895"/>
      <c r="BY1670" s="895"/>
      <c r="BZ1670" s="895"/>
      <c r="CA1670" s="898"/>
      <c r="CB1670" s="895"/>
      <c r="CC1670" s="895"/>
      <c r="CD1670" s="895"/>
      <c r="CE1670" s="895"/>
      <c r="CF1670" s="898"/>
      <c r="CG1670" s="895"/>
      <c r="CH1670" s="895"/>
      <c r="CI1670" s="895"/>
      <c r="CJ1670" s="895"/>
      <c r="CK1670" s="899"/>
      <c r="CL1670" s="1015"/>
      <c r="CM1670" s="895"/>
      <c r="CN1670" s="895"/>
      <c r="CO1670" s="895"/>
      <c r="CP1670" s="899"/>
      <c r="CQ1670" s="895"/>
      <c r="CR1670" s="895"/>
      <c r="CS1670" s="895"/>
      <c r="CT1670" s="915"/>
      <c r="CU1670" s="899"/>
      <c r="CV1670" s="895"/>
      <c r="CW1670" s="895"/>
      <c r="CX1670" s="895"/>
      <c r="CY1670" s="915"/>
      <c r="CZ1670" s="899"/>
      <c r="DA1670" s="1015"/>
      <c r="DB1670" s="1509"/>
      <c r="DC1670" s="895"/>
      <c r="DD1670" s="915"/>
      <c r="DE1670" s="899"/>
      <c r="DF1670" s="1015"/>
      <c r="DG1670" s="895"/>
      <c r="DH1670" s="895"/>
      <c r="DI1670" s="915"/>
      <c r="DJ1670" s="899"/>
      <c r="DK1670" s="895"/>
      <c r="DL1670" s="895"/>
      <c r="DM1670" s="895"/>
      <c r="DN1670" s="915"/>
      <c r="DO1670" s="899"/>
      <c r="DP1670" s="895"/>
      <c r="DQ1670" s="895"/>
      <c r="DR1670" s="895"/>
      <c r="DS1670" s="915"/>
      <c r="DT1670" s="899"/>
      <c r="DU1670" s="895"/>
      <c r="DV1670" s="895"/>
      <c r="DW1670" s="895"/>
      <c r="DX1670" s="915"/>
      <c r="DY1670" s="899"/>
      <c r="DZ1670" s="895"/>
      <c r="EA1670" s="895"/>
      <c r="EB1670" s="895"/>
      <c r="EC1670" s="915"/>
      <c r="ED1670" s="899"/>
      <c r="EE1670" s="1015"/>
      <c r="EF1670" s="895"/>
      <c r="EG1670" s="895"/>
      <c r="EH1670" s="915"/>
      <c r="EI1670" s="899"/>
      <c r="EJ1670" s="899"/>
      <c r="EK1670" s="899"/>
      <c r="EL1670" s="899"/>
      <c r="EM1670" s="899"/>
      <c r="EN1670" s="899"/>
      <c r="EO1670" s="899"/>
      <c r="EP1670" s="899"/>
      <c r="EQ1670" s="899"/>
      <c r="ER1670" s="899"/>
      <c r="ES1670" s="899"/>
      <c r="ET1670" s="899"/>
      <c r="EU1670" s="899"/>
      <c r="EV1670" s="899"/>
      <c r="EW1670" s="899"/>
      <c r="EX1670" s="899"/>
    </row>
    <row r="1671" spans="1:154">
      <c r="B1671" s="906" t="str">
        <f>B1666</f>
      </c>
      <c r="C1671" s="1392"/>
      <c r="D1671" s="894"/>
      <c r="E1671" s="894"/>
      <c r="F1671" s="895"/>
      <c r="G1671" s="895"/>
      <c r="H1671" s="895"/>
      <c r="I1671" s="895"/>
      <c r="J1671" s="895"/>
      <c r="K1671" s="895"/>
      <c r="L1671" s="895"/>
      <c r="M1671" s="895"/>
      <c r="N1671" s="895"/>
      <c r="O1671" s="896"/>
      <c r="P1671" s="895"/>
      <c r="Q1671" s="895"/>
      <c r="R1671" s="895"/>
      <c r="S1671" s="895"/>
      <c r="T1671" s="896"/>
      <c r="U1671" s="895"/>
      <c r="V1671" s="895"/>
      <c r="W1671" s="895"/>
      <c r="X1671" s="899"/>
      <c r="Y1671" s="896"/>
      <c r="Z1671" s="895"/>
      <c r="AA1671" s="895"/>
      <c r="AB1671" s="895"/>
      <c r="AC1671" s="899"/>
      <c r="AD1671" s="896"/>
      <c r="AE1671" s="895"/>
      <c r="AF1671" s="895"/>
      <c r="AG1671" s="895"/>
      <c r="AH1671" s="899"/>
      <c r="AI1671" s="896"/>
      <c r="AJ1671" s="895"/>
      <c r="AK1671" s="895"/>
      <c r="AL1671" s="895"/>
      <c r="AM1671" s="899"/>
      <c r="AN1671" s="896"/>
      <c r="AO1671" s="895"/>
      <c r="AP1671" s="895"/>
      <c r="AQ1671" s="897"/>
      <c r="AR1671" s="899"/>
      <c r="AS1671" s="896"/>
      <c r="AT1671" s="895"/>
      <c r="AU1671" s="895"/>
      <c r="AV1671" s="895"/>
      <c r="AW1671" s="899"/>
      <c r="AX1671" s="896"/>
      <c r="AY1671" s="895"/>
      <c r="AZ1671" s="895"/>
      <c r="BA1671" s="895"/>
      <c r="BB1671" s="899"/>
      <c r="BC1671" s="896"/>
      <c r="BD1671" s="895"/>
      <c r="BE1671" s="895"/>
      <c r="BF1671" s="895"/>
      <c r="BG1671" s="899"/>
      <c r="BH1671" s="896"/>
      <c r="BI1671" s="895"/>
      <c r="BJ1671" s="895"/>
      <c r="BK1671" s="895"/>
      <c r="BL1671" s="899"/>
      <c r="BM1671" s="895"/>
      <c r="BN1671" s="908"/>
      <c r="BO1671" s="895"/>
      <c r="BP1671" s="895"/>
      <c r="BQ1671" s="899"/>
      <c r="BR1671" s="895"/>
      <c r="BS1671" s="908"/>
      <c r="BT1671" s="895"/>
      <c r="BU1671" s="895"/>
      <c r="BV1671" s="899"/>
      <c r="BW1671" s="908"/>
      <c r="BX1671" s="908"/>
      <c r="BY1671" s="908"/>
      <c r="BZ1671" s="908"/>
      <c r="CA1671" s="899"/>
      <c r="CB1671" s="908"/>
      <c r="CC1671" s="895"/>
      <c r="CD1671" s="908"/>
      <c r="CE1671" s="908"/>
      <c r="CF1671" s="899"/>
      <c r="CG1671" s="908"/>
      <c r="CH1671" s="908"/>
      <c r="CI1671" s="908"/>
      <c r="CJ1671" s="908"/>
      <c r="CK1671" s="899"/>
      <c r="CL1671" s="1015"/>
      <c r="CM1671" s="895"/>
      <c r="CN1671" s="895"/>
      <c r="CO1671" s="908"/>
      <c r="CP1671" s="909"/>
      <c r="CQ1671" s="895"/>
      <c r="CR1671" s="895"/>
      <c r="CS1671" s="895"/>
      <c r="CT1671" s="915"/>
      <c r="CU1671" s="909"/>
      <c r="CV1671" s="895"/>
      <c r="CW1671" s="895"/>
      <c r="CX1671" s="895"/>
      <c r="CY1671" s="915"/>
      <c r="CZ1671" s="909"/>
      <c r="DA1671" s="1321"/>
      <c r="DB1671" s="1512"/>
      <c r="DC1671" s="908"/>
      <c r="DD1671" s="1021"/>
      <c r="DE1671" s="909"/>
      <c r="DF1671" s="1321"/>
      <c r="DG1671" s="908"/>
      <c r="DH1671" s="908"/>
      <c r="DI1671" s="1021"/>
      <c r="DJ1671" s="909"/>
      <c r="DK1671" s="908"/>
      <c r="DL1671" s="908"/>
      <c r="DM1671" s="908"/>
      <c r="DN1671" s="1021"/>
      <c r="DO1671" s="909"/>
      <c r="DP1671" s="908"/>
      <c r="DQ1671" s="908"/>
      <c r="DR1671" s="908"/>
      <c r="DS1671" s="1021"/>
      <c r="DT1671" s="909"/>
      <c r="DU1671" s="908"/>
      <c r="DV1671" s="908"/>
      <c r="DW1671" s="908"/>
      <c r="DX1671" s="1021"/>
      <c r="DY1671" s="909"/>
      <c r="DZ1671" s="908"/>
      <c r="EA1671" s="908"/>
      <c r="EB1671" s="908"/>
      <c r="EC1671" s="1021"/>
      <c r="ED1671" s="909"/>
      <c r="EE1671" s="1321"/>
      <c r="EF1671" s="908"/>
      <c r="EG1671" s="908"/>
      <c r="EH1671" s="1021"/>
      <c r="EI1671" s="909"/>
      <c r="EJ1671" s="909"/>
      <c r="EK1671" s="909"/>
      <c r="EL1671" s="909"/>
      <c r="EM1671" s="909"/>
      <c r="EN1671" s="909"/>
      <c r="EO1671" s="909"/>
      <c r="EP1671" s="909"/>
      <c r="EQ1671" s="909"/>
      <c r="ER1671" s="909"/>
      <c r="ES1671" s="909"/>
      <c r="ET1671" s="909"/>
      <c r="EU1671" s="909"/>
      <c r="EV1671" s="909"/>
      <c r="EW1671" s="909"/>
      <c r="EX1671" s="909"/>
    </row>
    <row r="1672" spans="1:154">
      <c r="B1672" s="907" t="s">
        <v>153</v>
      </c>
      <c r="C1672" s="1413">
        <v>0.7</v>
      </c>
      <c r="D1672" s="894"/>
      <c r="E1672" s="894"/>
      <c r="F1672" s="895"/>
      <c r="G1672" s="895"/>
      <c r="H1672" s="895"/>
      <c r="I1672" s="895"/>
      <c r="J1672" s="895"/>
      <c r="K1672" s="895"/>
      <c r="L1672" s="895"/>
      <c r="M1672" s="895"/>
      <c r="N1672" s="895"/>
      <c r="O1672" s="896"/>
      <c r="P1672" s="895"/>
      <c r="Q1672" s="895"/>
      <c r="R1672" s="895"/>
      <c r="S1672" s="895"/>
      <c r="T1672" s="896"/>
      <c r="U1672" s="895"/>
      <c r="V1672" s="895"/>
      <c r="W1672" s="895"/>
      <c r="X1672" s="899"/>
      <c r="Y1672" s="896"/>
      <c r="Z1672" s="895"/>
      <c r="AA1672" s="895"/>
      <c r="AB1672" s="895"/>
      <c r="AC1672" s="899"/>
      <c r="AD1672" s="896"/>
      <c r="AE1672" s="895"/>
      <c r="AF1672" s="895"/>
      <c r="AG1672" s="895"/>
      <c r="AH1672" s="899"/>
      <c r="AI1672" s="896"/>
      <c r="AJ1672" s="895"/>
      <c r="AK1672" s="895"/>
      <c r="AL1672" s="895"/>
      <c r="AM1672" s="899"/>
      <c r="AN1672" s="896"/>
      <c r="AO1672" s="895"/>
      <c r="AP1672" s="895"/>
      <c r="AQ1672" s="897"/>
      <c r="AR1672" s="899"/>
      <c r="AS1672" s="896"/>
      <c r="AT1672" s="895"/>
      <c r="AU1672" s="895"/>
      <c r="AV1672" s="895"/>
      <c r="AW1672" s="899"/>
      <c r="AX1672" s="896"/>
      <c r="AY1672" s="895"/>
      <c r="AZ1672" s="895"/>
      <c r="BA1672" s="895"/>
      <c r="BB1672" s="899"/>
      <c r="BC1672" s="896"/>
      <c r="BD1672" s="895"/>
      <c r="BE1672" s="895"/>
      <c r="BF1672" s="895"/>
      <c r="BG1672" s="899"/>
      <c r="BH1672" s="896"/>
      <c r="BI1672" s="895"/>
      <c r="BJ1672" s="895"/>
      <c r="BK1672" s="895"/>
      <c r="BL1672" s="899"/>
      <c r="BM1672" s="895"/>
      <c r="BN1672" s="895"/>
      <c r="BO1672" s="895"/>
      <c r="BP1672" s="895"/>
      <c r="BQ1672" s="899"/>
      <c r="BR1672" s="895"/>
      <c r="BS1672" s="895"/>
      <c r="BT1672" s="895"/>
      <c r="BU1672" s="895"/>
      <c r="BV1672" s="899"/>
      <c r="BW1672" s="895"/>
      <c r="BX1672" s="895"/>
      <c r="BY1672" s="895"/>
      <c r="BZ1672" s="895"/>
      <c r="CA1672" s="899"/>
      <c r="CB1672" s="895"/>
      <c r="CC1672" s="895"/>
      <c r="CD1672" s="895"/>
      <c r="CE1672" s="895"/>
      <c r="CF1672" s="899"/>
      <c r="CG1672" s="895"/>
      <c r="CH1672" s="895"/>
      <c r="CI1672" s="895"/>
      <c r="CJ1672" s="895"/>
      <c r="CK1672" s="899"/>
      <c r="CL1672" s="1015"/>
      <c r="CM1672" s="895"/>
      <c r="CN1672" s="895"/>
      <c r="CO1672" s="895"/>
      <c r="CP1672" s="899">
        <f>$C1672*CP1667</f>
      </c>
      <c r="CQ1672" s="895"/>
      <c r="CR1672" s="895"/>
      <c r="CS1672" s="895"/>
      <c r="CT1672" s="915"/>
      <c r="CU1672" s="899">
        <f>$C1672*CU1667</f>
      </c>
      <c r="CV1672" s="895"/>
      <c r="CW1672" s="895"/>
      <c r="CX1672" s="895"/>
      <c r="CY1672" s="915"/>
      <c r="CZ1672" s="899">
        <f t="shared" ref="CZ1672:DE1672" si="3038">$C1672*CZ1667</f>
      </c>
      <c r="DA1672" s="1015">
        <f t="shared" si="3038"/>
      </c>
      <c r="DB1672" s="1509">
        <f t="shared" si="3038"/>
      </c>
      <c r="DC1672" s="895">
        <f t="shared" si="3038"/>
      </c>
      <c r="DD1672" s="915">
        <f t="shared" si="3038"/>
      </c>
      <c r="DE1672" s="899">
        <f t="shared" si="3038"/>
      </c>
      <c r="DF1672" s="1015"/>
      <c r="DG1672" s="895"/>
      <c r="DH1672" s="895"/>
      <c r="DI1672" s="915"/>
      <c r="DJ1672" s="899">
        <f t="shared" ref="DJ1672:EI1673" si="3039">$C1672*DJ1667</f>
      </c>
      <c r="DK1672" s="1015">
        <f t="shared" si="3039"/>
      </c>
      <c r="DL1672" s="895">
        <f t="shared" si="3039"/>
      </c>
      <c r="DM1672" s="895">
        <f t="shared" si="3039"/>
      </c>
      <c r="DN1672" s="915">
        <f t="shared" si="3039"/>
      </c>
      <c r="DO1672" s="899">
        <f t="shared" si="3039"/>
      </c>
      <c r="DP1672" s="895">
        <f t="shared" si="3039"/>
      </c>
      <c r="DQ1672" s="895">
        <f t="shared" si="3039"/>
      </c>
      <c r="DR1672" s="895">
        <f t="shared" si="3039"/>
      </c>
      <c r="DS1672" s="915">
        <f t="shared" si="3039"/>
      </c>
      <c r="DT1672" s="899">
        <f t="shared" si="3039"/>
      </c>
      <c r="DU1672" s="895">
        <f t="shared" si="3039"/>
      </c>
      <c r="DV1672" s="895">
        <f t="shared" si="3039"/>
      </c>
      <c r="DW1672" s="895">
        <f t="shared" si="3039"/>
      </c>
      <c r="DX1672" s="915">
        <f t="shared" si="3039"/>
      </c>
      <c r="DY1672" s="899">
        <f t="shared" si="3039"/>
      </c>
      <c r="DZ1672" s="895">
        <f t="shared" si="3039"/>
      </c>
      <c r="EA1672" s="895">
        <f t="shared" si="3039"/>
      </c>
      <c r="EB1672" s="895">
        <f t="shared" si="3039"/>
      </c>
      <c r="EC1672" s="915">
        <f t="shared" si="3039"/>
      </c>
      <c r="ED1672" s="899">
        <f t="shared" si="3039"/>
      </c>
      <c r="EE1672" s="1015">
        <f t="shared" si="3039"/>
      </c>
      <c r="EF1672" s="895">
        <f t="shared" si="3039"/>
      </c>
      <c r="EG1672" s="895">
        <f t="shared" si="3039"/>
      </c>
      <c r="EH1672" s="915">
        <f t="shared" si="3039"/>
      </c>
      <c r="EI1672" s="899">
        <f t="shared" si="3039"/>
      </c>
      <c r="EJ1672" s="899"/>
      <c r="EK1672" s="899"/>
      <c r="EL1672" s="899"/>
      <c r="EM1672" s="899"/>
      <c r="EN1672" s="899"/>
      <c r="EO1672" s="899"/>
      <c r="EP1672" s="899"/>
      <c r="EQ1672" s="899"/>
      <c r="ER1672" s="899"/>
      <c r="ES1672" s="899"/>
      <c r="ET1672" s="899"/>
      <c r="EU1672" s="899"/>
      <c r="EV1672" s="899"/>
      <c r="EW1672" s="899"/>
      <c r="EX1672" s="899"/>
    </row>
    <row r="1673" spans="1:154">
      <c r="B1673" s="907" t="s">
        <v>235</v>
      </c>
      <c r="C1673" s="1413">
        <v>0.7</v>
      </c>
      <c r="D1673" s="894"/>
      <c r="E1673" s="894"/>
      <c r="F1673" s="895"/>
      <c r="G1673" s="895"/>
      <c r="H1673" s="895"/>
      <c r="I1673" s="895"/>
      <c r="J1673" s="895"/>
      <c r="K1673" s="895"/>
      <c r="L1673" s="895"/>
      <c r="M1673" s="895"/>
      <c r="N1673" s="895"/>
      <c r="O1673" s="896"/>
      <c r="P1673" s="895"/>
      <c r="Q1673" s="895"/>
      <c r="R1673" s="895"/>
      <c r="S1673" s="895"/>
      <c r="T1673" s="896"/>
      <c r="U1673" s="895"/>
      <c r="V1673" s="895"/>
      <c r="W1673" s="895"/>
      <c r="X1673" s="898"/>
      <c r="Y1673" s="896"/>
      <c r="Z1673" s="895"/>
      <c r="AA1673" s="895"/>
      <c r="AB1673" s="895"/>
      <c r="AC1673" s="898"/>
      <c r="AD1673" s="896"/>
      <c r="AE1673" s="895"/>
      <c r="AF1673" s="895"/>
      <c r="AG1673" s="895"/>
      <c r="AH1673" s="898"/>
      <c r="AI1673" s="896"/>
      <c r="AJ1673" s="895"/>
      <c r="AK1673" s="895"/>
      <c r="AL1673" s="895"/>
      <c r="AM1673" s="898"/>
      <c r="AN1673" s="896"/>
      <c r="AO1673" s="895"/>
      <c r="AP1673" s="895"/>
      <c r="AQ1673" s="897"/>
      <c r="AR1673" s="898"/>
      <c r="AS1673" s="896"/>
      <c r="AT1673" s="895"/>
      <c r="AU1673" s="895"/>
      <c r="AV1673" s="895"/>
      <c r="AW1673" s="898"/>
      <c r="AX1673" s="896"/>
      <c r="AY1673" s="895"/>
      <c r="AZ1673" s="895"/>
      <c r="BA1673" s="895"/>
      <c r="BB1673" s="898"/>
      <c r="BC1673" s="896"/>
      <c r="BD1673" s="895"/>
      <c r="BE1673" s="895"/>
      <c r="BF1673" s="895"/>
      <c r="BG1673" s="898"/>
      <c r="BH1673" s="896"/>
      <c r="BI1673" s="895"/>
      <c r="BJ1673" s="895"/>
      <c r="BK1673" s="895"/>
      <c r="BL1673" s="898"/>
      <c r="BM1673" s="895"/>
      <c r="BN1673" s="895"/>
      <c r="BO1673" s="895"/>
      <c r="BP1673" s="895"/>
      <c r="BQ1673" s="898"/>
      <c r="BR1673" s="895"/>
      <c r="BS1673" s="895"/>
      <c r="BT1673" s="895"/>
      <c r="BU1673" s="895"/>
      <c r="BV1673" s="898"/>
      <c r="BW1673" s="895"/>
      <c r="BX1673" s="895"/>
      <c r="BY1673" s="895"/>
      <c r="BZ1673" s="895"/>
      <c r="CA1673" s="898"/>
      <c r="CB1673" s="895"/>
      <c r="CC1673" s="895"/>
      <c r="CD1673" s="895"/>
      <c r="CE1673" s="895"/>
      <c r="CF1673" s="898"/>
      <c r="CG1673" s="895"/>
      <c r="CH1673" s="895"/>
      <c r="CI1673" s="895"/>
      <c r="CJ1673" s="895"/>
      <c r="CK1673" s="899"/>
      <c r="CL1673" s="1015"/>
      <c r="CM1673" s="895"/>
      <c r="CN1673" s="895"/>
      <c r="CO1673" s="895"/>
      <c r="CP1673" s="899">
        <f>$C1673*CP1668</f>
      </c>
      <c r="CQ1673" s="895"/>
      <c r="CR1673" s="895"/>
      <c r="CS1673" s="895"/>
      <c r="CT1673" s="915"/>
      <c r="CU1673" s="899">
        <f>$C1673*CU1668</f>
      </c>
      <c r="CV1673" s="895"/>
      <c r="CW1673" s="895"/>
      <c r="CX1673" s="895"/>
      <c r="CY1673" s="915"/>
      <c r="CZ1673" s="899">
        <f t="shared" ref="CZ1673:DE1673" si="3040">$C1673*CZ1668</f>
      </c>
      <c r="DA1673" s="1015">
        <f t="shared" si="3040"/>
      </c>
      <c r="DB1673" s="1509">
        <f t="shared" si="3040"/>
      </c>
      <c r="DC1673" s="895">
        <f t="shared" si="3040"/>
      </c>
      <c r="DD1673" s="915">
        <f t="shared" si="3040"/>
      </c>
      <c r="DE1673" s="899">
        <f t="shared" si="3040"/>
      </c>
      <c r="DF1673" s="1015"/>
      <c r="DG1673" s="895"/>
      <c r="DH1673" s="895"/>
      <c r="DI1673" s="915"/>
      <c r="DJ1673" s="899">
        <f t="shared" ref="DJ1673:DY1673" si="3041">$C1673*DJ1668</f>
      </c>
      <c r="DK1673" s="1015">
        <f t="shared" si="3041"/>
      </c>
      <c r="DL1673" s="895">
        <f t="shared" si="3041"/>
      </c>
      <c r="DM1673" s="895">
        <f t="shared" si="3041"/>
      </c>
      <c r="DN1673" s="915">
        <f t="shared" si="3041"/>
      </c>
      <c r="DO1673" s="899">
        <f t="shared" si="3041"/>
      </c>
      <c r="DP1673" s="895">
        <f t="shared" si="3041"/>
      </c>
      <c r="DQ1673" s="895">
        <f t="shared" si="3041"/>
      </c>
      <c r="DR1673" s="895">
        <f t="shared" si="3041"/>
      </c>
      <c r="DS1673" s="915">
        <f t="shared" si="3041"/>
      </c>
      <c r="DT1673" s="899">
        <f t="shared" si="3041"/>
      </c>
      <c r="DU1673" s="895">
        <f t="shared" si="3041"/>
      </c>
      <c r="DV1673" s="895">
        <f t="shared" si="3041"/>
      </c>
      <c r="DW1673" s="895">
        <f t="shared" si="3041"/>
      </c>
      <c r="DX1673" s="915">
        <f t="shared" si="3041"/>
      </c>
      <c r="DY1673" s="899">
        <f t="shared" si="3041"/>
      </c>
      <c r="DZ1673" s="895">
        <f t="shared" si="3039"/>
      </c>
      <c r="EA1673" s="895">
        <f t="shared" si="3039"/>
      </c>
      <c r="EB1673" s="895">
        <f t="shared" si="3039"/>
      </c>
      <c r="EC1673" s="915">
        <f t="shared" si="3039"/>
      </c>
      <c r="ED1673" s="899">
        <f t="shared" si="3039"/>
      </c>
      <c r="EE1673" s="1015">
        <f t="shared" si="3039"/>
      </c>
      <c r="EF1673" s="895">
        <f t="shared" si="3039"/>
      </c>
      <c r="EG1673" s="895">
        <f t="shared" si="3039"/>
      </c>
      <c r="EH1673" s="915">
        <f t="shared" si="3039"/>
      </c>
      <c r="EI1673" s="899">
        <f t="shared" si="3039"/>
      </c>
      <c r="EJ1673" s="899"/>
      <c r="EK1673" s="899"/>
      <c r="EL1673" s="899"/>
      <c r="EM1673" s="899"/>
      <c r="EN1673" s="899"/>
      <c r="EO1673" s="899"/>
      <c r="EP1673" s="899"/>
      <c r="EQ1673" s="899"/>
      <c r="ER1673" s="899"/>
      <c r="ES1673" s="899"/>
      <c r="ET1673" s="899"/>
      <c r="EU1673" s="899"/>
      <c r="EV1673" s="899"/>
      <c r="EW1673" s="899"/>
      <c r="EX1673" s="899"/>
    </row>
    <row r="1674" spans="1:154">
      <c r="A1674" s="3275" t="s">
        <v>653</v>
      </c>
      <c r="B1674" s="907" t="s">
        <v>188</v>
      </c>
      <c r="C1674" s="1392" t="s">
        <v>585</v>
      </c>
      <c r="D1674" s="894"/>
      <c r="E1674" s="894"/>
      <c r="F1674" s="895"/>
      <c r="G1674" s="895"/>
      <c r="H1674" s="895"/>
      <c r="I1674" s="895"/>
      <c r="J1674" s="895"/>
      <c r="K1674" s="895"/>
      <c r="L1674" s="895"/>
      <c r="M1674" s="895"/>
      <c r="N1674" s="895"/>
      <c r="O1674" s="896"/>
      <c r="P1674" s="895"/>
      <c r="Q1674" s="895"/>
      <c r="R1674" s="895"/>
      <c r="S1674" s="895"/>
      <c r="T1674" s="896"/>
      <c r="U1674" s="895"/>
      <c r="V1674" s="895"/>
      <c r="W1674" s="895"/>
      <c r="X1674" s="899"/>
      <c r="Y1674" s="896"/>
      <c r="Z1674" s="895"/>
      <c r="AA1674" s="895"/>
      <c r="AB1674" s="895"/>
      <c r="AC1674" s="899"/>
      <c r="AD1674" s="896"/>
      <c r="AE1674" s="895"/>
      <c r="AF1674" s="895"/>
      <c r="AG1674" s="895"/>
      <c r="AH1674" s="899"/>
      <c r="AI1674" s="896"/>
      <c r="AJ1674" s="895"/>
      <c r="AK1674" s="895"/>
      <c r="AL1674" s="895"/>
      <c r="AM1674" s="899"/>
      <c r="AN1674" s="896"/>
      <c r="AO1674" s="895"/>
      <c r="AP1674" s="895"/>
      <c r="AQ1674" s="897"/>
      <c r="AR1674" s="899"/>
      <c r="AS1674" s="896"/>
      <c r="AT1674" s="895"/>
      <c r="AU1674" s="895"/>
      <c r="AV1674" s="895"/>
      <c r="AW1674" s="899"/>
      <c r="AX1674" s="896"/>
      <c r="AY1674" s="895"/>
      <c r="AZ1674" s="895"/>
      <c r="BA1674" s="895"/>
      <c r="BB1674" s="899"/>
      <c r="BC1674" s="896"/>
      <c r="BD1674" s="895"/>
      <c r="BE1674" s="895"/>
      <c r="BF1674" s="895"/>
      <c r="BG1674" s="899"/>
      <c r="BH1674" s="896"/>
      <c r="BI1674" s="895"/>
      <c r="BJ1674" s="895"/>
      <c r="BK1674" s="895"/>
      <c r="BL1674" s="899"/>
      <c r="BM1674" s="895"/>
      <c r="BN1674" s="895"/>
      <c r="BO1674" s="895"/>
      <c r="BP1674" s="895"/>
      <c r="BQ1674" s="899"/>
      <c r="BR1674" s="895"/>
      <c r="BS1674" s="895"/>
      <c r="BT1674" s="895"/>
      <c r="BU1674" s="895"/>
      <c r="BV1674" s="899"/>
      <c r="BW1674" s="908"/>
      <c r="BX1674" s="895"/>
      <c r="BY1674" s="895"/>
      <c r="BZ1674" s="895"/>
      <c r="CA1674" s="899"/>
      <c r="CB1674" s="895"/>
      <c r="CC1674" s="895"/>
      <c r="CD1674" s="895"/>
      <c r="CE1674" s="895"/>
      <c r="CF1674" s="899"/>
      <c r="CG1674" s="895"/>
      <c r="CH1674" s="895"/>
      <c r="CI1674" s="895"/>
      <c r="CJ1674" s="895"/>
      <c r="CK1674" s="899"/>
      <c r="CL1674" s="1015"/>
      <c r="CM1674" s="895"/>
      <c r="CN1674" s="895"/>
      <c r="CO1674" s="895"/>
      <c r="CP1674" s="899">
        <f>CP1672+CP1673</f>
      </c>
      <c r="CQ1674" s="895"/>
      <c r="CR1674" s="895"/>
      <c r="CS1674" s="895"/>
      <c r="CT1674" s="915"/>
      <c r="CU1674" s="899">
        <f>CU1672+CU1673</f>
      </c>
      <c r="CV1674" s="895"/>
      <c r="CW1674" s="895"/>
      <c r="CX1674" s="895"/>
      <c r="CY1674" s="915"/>
      <c r="CZ1674" s="899">
        <f t="shared" ref="CZ1674:DE1674" si="3042">CZ1672+CZ1673</f>
      </c>
      <c r="DA1674" s="1015">
        <f t="shared" si="3042"/>
      </c>
      <c r="DB1674" s="1509">
        <f t="shared" si="3042"/>
      </c>
      <c r="DC1674" s="895">
        <f t="shared" si="3042"/>
      </c>
      <c r="DD1674" s="915">
        <f t="shared" si="3042"/>
      </c>
      <c r="DE1674" s="899">
        <f t="shared" si="3042"/>
      </c>
      <c r="DF1674" s="1015"/>
      <c r="DG1674" s="895"/>
      <c r="DH1674" s="895"/>
      <c r="DI1674" s="915"/>
      <c r="DJ1674" s="899">
        <f t="shared" ref="DJ1674:EI1674" si="3043">DJ1672+DJ1673</f>
      </c>
      <c r="DK1674" s="1015">
        <f t="shared" si="3043"/>
      </c>
      <c r="DL1674" s="895">
        <f t="shared" si="3043"/>
      </c>
      <c r="DM1674" s="895">
        <f t="shared" si="3043"/>
      </c>
      <c r="DN1674" s="915">
        <f t="shared" si="3043"/>
      </c>
      <c r="DO1674" s="899">
        <f t="shared" si="3043"/>
      </c>
      <c r="DP1674" s="895">
        <f t="shared" si="3043"/>
      </c>
      <c r="DQ1674" s="895">
        <f t="shared" si="3043"/>
      </c>
      <c r="DR1674" s="895">
        <f t="shared" si="3043"/>
      </c>
      <c r="DS1674" s="915">
        <f t="shared" si="3043"/>
      </c>
      <c r="DT1674" s="899">
        <f t="shared" si="3043"/>
      </c>
      <c r="DU1674" s="895">
        <f t="shared" si="3043"/>
      </c>
      <c r="DV1674" s="895">
        <f t="shared" si="3043"/>
      </c>
      <c r="DW1674" s="895">
        <f t="shared" si="3043"/>
      </c>
      <c r="DX1674" s="915">
        <f t="shared" si="3043"/>
      </c>
      <c r="DY1674" s="899">
        <f t="shared" si="3043"/>
      </c>
      <c r="DZ1674" s="895">
        <f t="shared" si="3043"/>
      </c>
      <c r="EA1674" s="895">
        <f t="shared" si="3043"/>
      </c>
      <c r="EB1674" s="895">
        <f t="shared" si="3043"/>
      </c>
      <c r="EC1674" s="915">
        <f t="shared" si="3043"/>
      </c>
      <c r="ED1674" s="899">
        <f t="shared" si="3043"/>
      </c>
      <c r="EE1674" s="1015">
        <f t="shared" si="3043"/>
      </c>
      <c r="EF1674" s="895">
        <f t="shared" si="3043"/>
      </c>
      <c r="EG1674" s="895">
        <f t="shared" si="3043"/>
      </c>
      <c r="EH1674" s="915">
        <f t="shared" si="3043"/>
      </c>
      <c r="EI1674" s="899">
        <f t="shared" si="3043"/>
      </c>
      <c r="EJ1674" s="899"/>
      <c r="EK1674" s="899"/>
      <c r="EL1674" s="899"/>
      <c r="EM1674" s="899"/>
      <c r="EN1674" s="899"/>
      <c r="EO1674" s="899"/>
      <c r="EP1674" s="899"/>
      <c r="EQ1674" s="899"/>
      <c r="ER1674" s="899"/>
      <c r="ES1674" s="899"/>
      <c r="ET1674" s="899"/>
      <c r="EU1674" s="899"/>
      <c r="EV1674" s="899"/>
      <c r="EW1674" s="899"/>
      <c r="EX1674" s="899"/>
    </row>
    <row r="1675" spans="1:154" ht="14.4" customHeight="1">
      <c r="B1675" s="907"/>
      <c r="C1675" s="1392"/>
      <c r="D1675" s="894"/>
      <c r="E1675" s="894"/>
      <c r="F1675" s="895"/>
      <c r="G1675" s="895"/>
      <c r="H1675" s="895"/>
      <c r="I1675" s="895"/>
      <c r="J1675" s="895"/>
      <c r="K1675" s="895"/>
      <c r="L1675" s="895"/>
      <c r="M1675" s="895"/>
      <c r="N1675" s="895"/>
      <c r="O1675" s="896"/>
      <c r="P1675" s="895"/>
      <c r="Q1675" s="895"/>
      <c r="R1675" s="895"/>
      <c r="S1675" s="895"/>
      <c r="T1675" s="896"/>
      <c r="U1675" s="895"/>
      <c r="V1675" s="895"/>
      <c r="W1675" s="895"/>
      <c r="X1675" s="899"/>
      <c r="Y1675" s="896"/>
      <c r="Z1675" s="895"/>
      <c r="AA1675" s="895"/>
      <c r="AB1675" s="895"/>
      <c r="AC1675" s="899"/>
      <c r="AD1675" s="896"/>
      <c r="AE1675" s="895"/>
      <c r="AF1675" s="895"/>
      <c r="AG1675" s="895"/>
      <c r="AH1675" s="899"/>
      <c r="AI1675" s="896"/>
      <c r="AJ1675" s="895"/>
      <c r="AK1675" s="895"/>
      <c r="AL1675" s="895"/>
      <c r="AM1675" s="899"/>
      <c r="AN1675" s="896"/>
      <c r="AO1675" s="895"/>
      <c r="AP1675" s="895"/>
      <c r="AQ1675" s="897"/>
      <c r="AR1675" s="899"/>
      <c r="AS1675" s="896"/>
      <c r="AT1675" s="895"/>
      <c r="AU1675" s="895"/>
      <c r="AV1675" s="895"/>
      <c r="AW1675" s="899"/>
      <c r="AX1675" s="896"/>
      <c r="AY1675" s="895"/>
      <c r="AZ1675" s="895"/>
      <c r="BA1675" s="895"/>
      <c r="BB1675" s="899"/>
      <c r="BC1675" s="896"/>
      <c r="BD1675" s="895"/>
      <c r="BE1675" s="895"/>
      <c r="BF1675" s="895"/>
      <c r="BG1675" s="899"/>
      <c r="BH1675" s="896"/>
      <c r="BI1675" s="895"/>
      <c r="BJ1675" s="895"/>
      <c r="BK1675" s="895"/>
      <c r="BL1675" s="899"/>
      <c r="BM1675" s="895"/>
      <c r="BN1675" s="895"/>
      <c r="BO1675" s="895"/>
      <c r="BP1675" s="895"/>
      <c r="BQ1675" s="899"/>
      <c r="BR1675" s="895"/>
      <c r="BS1675" s="895"/>
      <c r="BT1675" s="895"/>
      <c r="BU1675" s="895"/>
      <c r="BV1675" s="899"/>
      <c r="BW1675" s="895"/>
      <c r="BX1675" s="895"/>
      <c r="BY1675" s="895"/>
      <c r="BZ1675" s="895"/>
      <c r="CA1675" s="899"/>
      <c r="CB1675" s="895"/>
      <c r="CC1675" s="895"/>
      <c r="CD1675" s="895"/>
      <c r="CE1675" s="895"/>
      <c r="CF1675" s="899"/>
      <c r="CG1675" s="895"/>
      <c r="CH1675" s="895"/>
      <c r="CI1675" s="895"/>
      <c r="CJ1675" s="895"/>
      <c r="CK1675" s="899"/>
      <c r="CL1675" s="1015"/>
      <c r="CM1675" s="895"/>
      <c r="CN1675" s="895"/>
      <c r="CO1675" s="895"/>
      <c r="CP1675" s="899"/>
      <c r="CQ1675" s="895"/>
      <c r="CR1675" s="895"/>
      <c r="CS1675" s="895"/>
      <c r="CT1675" s="915"/>
      <c r="CU1675" s="899"/>
      <c r="CV1675" s="895"/>
      <c r="CW1675" s="895"/>
      <c r="CX1675" s="895"/>
      <c r="CY1675" s="915"/>
      <c r="CZ1675" s="899"/>
      <c r="DA1675" s="1015"/>
      <c r="DB1675" s="895"/>
      <c r="DC1675" s="895"/>
      <c r="DD1675" s="915"/>
      <c r="DE1675" s="899"/>
      <c r="DF1675" s="1015"/>
      <c r="DG1675" s="895"/>
      <c r="DH1675" s="895"/>
      <c r="DI1675" s="915"/>
      <c r="DJ1675" s="899"/>
      <c r="DK1675" s="1015"/>
      <c r="DL1675" s="895"/>
      <c r="DM1675" s="895"/>
      <c r="DN1675" s="915"/>
      <c r="DO1675" s="899"/>
      <c r="DP1675" s="895"/>
      <c r="DQ1675" s="895"/>
      <c r="DR1675" s="895"/>
      <c r="DS1675" s="915"/>
      <c r="DT1675" s="899"/>
      <c r="DU1675" s="895"/>
      <c r="DV1675" s="895"/>
      <c r="DW1675" s="895"/>
      <c r="DX1675" s="915"/>
      <c r="DY1675" s="899"/>
      <c r="DZ1675" s="895"/>
      <c r="EA1675" s="895"/>
      <c r="EB1675" s="895"/>
      <c r="EC1675" s="915"/>
      <c r="ED1675" s="899"/>
      <c r="EE1675" s="1015"/>
      <c r="EF1675" s="895"/>
      <c r="EG1675" s="895"/>
      <c r="EH1675" s="915"/>
      <c r="EI1675" s="899"/>
      <c r="EJ1675" s="899"/>
      <c r="EK1675" s="899"/>
      <c r="EL1675" s="899"/>
      <c r="EM1675" s="899"/>
      <c r="EN1675" s="899"/>
      <c r="EO1675" s="899"/>
      <c r="EP1675" s="899"/>
      <c r="EQ1675" s="899"/>
      <c r="ER1675" s="899"/>
      <c r="ES1675" s="899"/>
      <c r="ET1675" s="899"/>
      <c r="EU1675" s="899"/>
      <c r="EV1675" s="899"/>
      <c r="EW1675" s="899"/>
      <c r="EX1675" s="899"/>
    </row>
    <row r="1676" spans="1:154">
      <c r="B1676" s="3745" t="s">
        <v>1025</v>
      </c>
      <c r="C1676" s="3746"/>
      <c r="D1676" s="3747"/>
      <c r="E1676" s="3747"/>
      <c r="F1676" s="3748"/>
      <c r="G1676" s="3748"/>
      <c r="H1676" s="3748"/>
      <c r="I1676" s="3748"/>
      <c r="J1676" s="3748"/>
      <c r="K1676" s="3748"/>
      <c r="L1676" s="3748"/>
      <c r="M1676" s="3748"/>
      <c r="N1676" s="3748"/>
      <c r="O1676" s="3749"/>
      <c r="P1676" s="3748"/>
      <c r="Q1676" s="3748"/>
      <c r="R1676" s="3748"/>
      <c r="S1676" s="3748"/>
      <c r="T1676" s="3749"/>
      <c r="U1676" s="3748"/>
      <c r="V1676" s="3748"/>
      <c r="W1676" s="3748"/>
      <c r="X1676" s="3750"/>
      <c r="Y1676" s="3749"/>
      <c r="Z1676" s="3748"/>
      <c r="AA1676" s="3748"/>
      <c r="AB1676" s="3748"/>
      <c r="AC1676" s="3750"/>
      <c r="AD1676" s="3749"/>
      <c r="AE1676" s="3748"/>
      <c r="AF1676" s="3748"/>
      <c r="AG1676" s="3748"/>
      <c r="AH1676" s="3750"/>
      <c r="AI1676" s="3749"/>
      <c r="AJ1676" s="3748"/>
      <c r="AK1676" s="3748"/>
      <c r="AL1676" s="3748"/>
      <c r="AM1676" s="3750"/>
      <c r="AN1676" s="3749"/>
      <c r="AO1676" s="3748"/>
      <c r="AP1676" s="3748"/>
      <c r="AQ1676" s="3751"/>
      <c r="AR1676" s="3750"/>
      <c r="AS1676" s="3749"/>
      <c r="AT1676" s="3748"/>
      <c r="AU1676" s="3748"/>
      <c r="AV1676" s="3748"/>
      <c r="AW1676" s="3750"/>
      <c r="AX1676" s="3749"/>
      <c r="AY1676" s="3748"/>
      <c r="AZ1676" s="3748"/>
      <c r="BA1676" s="3748"/>
      <c r="BB1676" s="3750"/>
      <c r="BC1676" s="3749"/>
      <c r="BD1676" s="3748"/>
      <c r="BE1676" s="3748"/>
      <c r="BF1676" s="3748"/>
      <c r="BG1676" s="3750"/>
      <c r="BH1676" s="3749"/>
      <c r="BI1676" s="3748"/>
      <c r="BJ1676" s="3748"/>
      <c r="BK1676" s="3748"/>
      <c r="BL1676" s="3750"/>
      <c r="BM1676" s="3748"/>
      <c r="BN1676" s="3748"/>
      <c r="BO1676" s="3748"/>
      <c r="BP1676" s="3748"/>
      <c r="BQ1676" s="3750"/>
      <c r="BR1676" s="3748"/>
      <c r="BS1676" s="3748"/>
      <c r="BT1676" s="3748"/>
      <c r="BU1676" s="3748"/>
      <c r="BV1676" s="3750"/>
      <c r="BW1676" s="3748"/>
      <c r="BX1676" s="3748"/>
      <c r="BY1676" s="3748"/>
      <c r="BZ1676" s="3748"/>
      <c r="CA1676" s="3750"/>
      <c r="CB1676" s="3748"/>
      <c r="CC1676" s="3748"/>
      <c r="CD1676" s="3748"/>
      <c r="CE1676" s="3748"/>
      <c r="CF1676" s="3750"/>
      <c r="CG1676" s="3748"/>
      <c r="CH1676" s="3748"/>
      <c r="CI1676" s="3748"/>
      <c r="CJ1676" s="3748"/>
      <c r="CK1676" s="3752"/>
      <c r="CL1676" s="3753"/>
      <c r="CM1676" s="3748"/>
      <c r="CN1676" s="3748"/>
      <c r="CO1676" s="3748"/>
      <c r="CP1676" s="3752"/>
      <c r="CQ1676" s="3748"/>
      <c r="CR1676" s="3748"/>
      <c r="CS1676" s="3748"/>
      <c r="CT1676" s="3754"/>
      <c r="CU1676" s="3752"/>
      <c r="CV1676" s="3748"/>
      <c r="CW1676" s="3748"/>
      <c r="CX1676" s="3748"/>
      <c r="CY1676" s="3754"/>
      <c r="CZ1676" s="3752"/>
      <c r="DA1676" s="3753"/>
      <c r="DB1676" s="3748"/>
      <c r="DC1676" s="3748"/>
      <c r="DD1676" s="3754"/>
      <c r="DE1676" s="3752"/>
      <c r="DF1676" s="3753"/>
      <c r="DG1676" s="3748"/>
      <c r="DH1676" s="3748"/>
      <c r="DI1676" s="3754"/>
      <c r="DJ1676" s="3752"/>
      <c r="DK1676" s="3753"/>
      <c r="DL1676" s="3748"/>
      <c r="DM1676" s="3748"/>
      <c r="DN1676" s="3754"/>
      <c r="DO1676" s="3752"/>
      <c r="DP1676" s="3748"/>
      <c r="DQ1676" s="3748"/>
      <c r="DR1676" s="3748"/>
      <c r="DS1676" s="3754"/>
      <c r="DT1676" s="3752"/>
      <c r="DU1676" s="3748"/>
      <c r="DV1676" s="3748"/>
      <c r="DW1676" s="3748"/>
      <c r="DX1676" s="3754"/>
      <c r="DY1676" s="3752"/>
      <c r="DZ1676" s="3748"/>
      <c r="EA1676" s="3748"/>
      <c r="EB1676" s="3748"/>
      <c r="EC1676" s="3754"/>
      <c r="ED1676" s="3752"/>
      <c r="EE1676" s="3753"/>
      <c r="EF1676" s="3748"/>
      <c r="EG1676" s="3748"/>
      <c r="EH1676" s="3754"/>
      <c r="EI1676" s="3753"/>
      <c r="EJ1676" s="3752"/>
      <c r="EK1676" s="3752"/>
      <c r="EL1676" s="3752"/>
      <c r="EM1676" s="3752"/>
      <c r="EN1676" s="3752"/>
      <c r="EO1676" s="3754"/>
      <c r="EP1676" s="3752"/>
      <c r="EQ1676" s="3752"/>
      <c r="ER1676" s="3752"/>
      <c r="ES1676" s="3752"/>
      <c r="ET1676" s="3754"/>
      <c r="EU1676" s="3752"/>
      <c r="EV1676" s="3752"/>
      <c r="EW1676" s="3752"/>
      <c r="EX1676" s="3752"/>
    </row>
    <row r="1677" spans="1:154">
      <c r="B1677" s="910" t="s">
        <v>578</v>
      </c>
      <c r="C1677" s="1392"/>
      <c r="D1677" s="894"/>
      <c r="E1677" s="894"/>
      <c r="F1677" s="895"/>
      <c r="G1677" s="895"/>
      <c r="H1677" s="895"/>
      <c r="I1677" s="895"/>
      <c r="J1677" s="895"/>
      <c r="K1677" s="895"/>
      <c r="L1677" s="895"/>
      <c r="M1677" s="895"/>
      <c r="N1677" s="895"/>
      <c r="O1677" s="896"/>
      <c r="P1677" s="895"/>
      <c r="Q1677" s="895"/>
      <c r="R1677" s="895"/>
      <c r="S1677" s="895"/>
      <c r="T1677" s="896"/>
      <c r="U1677" s="895"/>
      <c r="V1677" s="895"/>
      <c r="W1677" s="895"/>
      <c r="X1677" s="899"/>
      <c r="Y1677" s="896"/>
      <c r="Z1677" s="895"/>
      <c r="AA1677" s="895"/>
      <c r="AB1677" s="895"/>
      <c r="AC1677" s="899"/>
      <c r="AD1677" s="896"/>
      <c r="AE1677" s="895"/>
      <c r="AF1677" s="895"/>
      <c r="AG1677" s="895"/>
      <c r="AH1677" s="899"/>
      <c r="AI1677" s="896"/>
      <c r="AJ1677" s="895"/>
      <c r="AK1677" s="895"/>
      <c r="AL1677" s="895"/>
      <c r="AM1677" s="899"/>
      <c r="AN1677" s="896"/>
      <c r="AO1677" s="895"/>
      <c r="AP1677" s="895"/>
      <c r="AQ1677" s="897"/>
      <c r="AR1677" s="899"/>
      <c r="AS1677" s="896"/>
      <c r="AT1677" s="895"/>
      <c r="AU1677" s="895"/>
      <c r="AV1677" s="895"/>
      <c r="AW1677" s="899"/>
      <c r="AX1677" s="896"/>
      <c r="AY1677" s="895"/>
      <c r="AZ1677" s="895"/>
      <c r="BA1677" s="895"/>
      <c r="BB1677" s="899"/>
      <c r="BC1677" s="896"/>
      <c r="BD1677" s="895"/>
      <c r="BE1677" s="895"/>
      <c r="BF1677" s="895"/>
      <c r="BG1677" s="899"/>
      <c r="BH1677" s="896"/>
      <c r="BI1677" s="895"/>
      <c r="BJ1677" s="895"/>
      <c r="BK1677" s="895"/>
      <c r="BL1677" s="899"/>
      <c r="BM1677" s="895"/>
      <c r="BN1677" s="895"/>
      <c r="BO1677" s="895"/>
      <c r="BP1677" s="895"/>
      <c r="BQ1677" s="899"/>
      <c r="BR1677" s="895"/>
      <c r="BS1677" s="895"/>
      <c r="BT1677" s="895"/>
      <c r="BU1677" s="895"/>
      <c r="BV1677" s="899"/>
      <c r="BW1677" s="895"/>
      <c r="BX1677" s="895"/>
      <c r="BY1677" s="895"/>
      <c r="BZ1677" s="895"/>
      <c r="CA1677" s="899"/>
      <c r="CB1677" s="895"/>
      <c r="CC1677" s="895"/>
      <c r="CD1677" s="895"/>
      <c r="CE1677" s="895"/>
      <c r="CF1677" s="899"/>
      <c r="CG1677" s="895"/>
      <c r="CH1677" s="895"/>
      <c r="CI1677" s="895"/>
      <c r="CJ1677" s="895"/>
      <c r="CK1677" s="899"/>
      <c r="CL1677" s="1015"/>
      <c r="CM1677" s="895"/>
      <c r="CN1677" s="895"/>
      <c r="CO1677" s="895"/>
      <c r="CP1677" s="899"/>
      <c r="CQ1677" s="895"/>
      <c r="CR1677" s="895"/>
      <c r="CS1677" s="895"/>
      <c r="CT1677" s="915"/>
      <c r="CU1677" s="899"/>
      <c r="CV1677" s="895"/>
      <c r="CW1677" s="895"/>
      <c r="CX1677" s="895"/>
      <c r="CY1677" s="915"/>
      <c r="CZ1677" s="899"/>
      <c r="DA1677" s="895"/>
      <c r="DB1677" s="895"/>
      <c r="DC1677" s="895"/>
      <c r="DD1677" s="895"/>
      <c r="DE1677" s="899"/>
      <c r="DF1677" s="895"/>
      <c r="DG1677" s="895"/>
      <c r="DH1677" s="895"/>
      <c r="DI1677" s="895"/>
      <c r="DJ1677" s="899"/>
      <c r="DK1677" s="895"/>
      <c r="DL1677" s="895"/>
      <c r="DM1677" s="895"/>
      <c r="DN1677" s="895"/>
      <c r="DO1677" s="899"/>
      <c r="DP1677" s="895"/>
      <c r="DQ1677" s="895"/>
      <c r="DR1677" s="895"/>
      <c r="DS1677" s="895"/>
      <c r="DT1677" s="899"/>
      <c r="DU1677" s="895"/>
      <c r="DV1677" s="895"/>
      <c r="DW1677" s="895"/>
      <c r="DX1677" s="895"/>
      <c r="DY1677" s="2404"/>
      <c r="DZ1677" s="895"/>
      <c r="EA1677" s="895"/>
      <c r="EB1677" s="895"/>
      <c r="EC1677" s="895"/>
      <c r="ED1677" s="2404"/>
      <c r="EE1677" s="3562">
        <f t="shared" ref="EE1677:EW1677" si="3044">SUM(EE1565,EE1576/$C$1575+EE1581/$C$1580,EE1591)</f>
      </c>
      <c r="EF1677" s="2403">
        <f t="shared" si="3044"/>
      </c>
      <c r="EG1677" s="2403">
        <f t="shared" si="3044"/>
      </c>
      <c r="EH1677" s="895">
        <f t="shared" si="3044"/>
      </c>
      <c r="EI1677" s="2404">
        <f t="shared" si="3044"/>
      </c>
      <c r="EJ1677" s="2404">
        <f t="shared" si="3044"/>
      </c>
      <c r="EK1677" s="2404">
        <f t="shared" si="3044"/>
      </c>
      <c r="EL1677" s="2404">
        <f t="shared" si="3044"/>
      </c>
      <c r="EM1677" s="2404">
        <f t="shared" si="3044"/>
      </c>
      <c r="EN1677" s="2404">
        <f t="shared" si="3044"/>
      </c>
      <c r="EO1677" s="2404">
        <f t="shared" si="3044"/>
      </c>
      <c r="EP1677" s="2404">
        <f t="shared" si="3044"/>
      </c>
      <c r="EQ1677" s="2404">
        <f t="shared" si="3044"/>
      </c>
      <c r="ER1677" s="2404">
        <f t="shared" si="3044"/>
      </c>
      <c r="ES1677" s="2404">
        <f t="shared" si="3044"/>
      </c>
      <c r="ET1677" s="2404">
        <f t="shared" si="3044"/>
      </c>
      <c r="EU1677" s="2404">
        <f t="shared" si="3044"/>
      </c>
      <c r="EV1677" s="2404">
        <f t="shared" si="3044"/>
      </c>
      <c r="EW1677" s="2404">
        <f t="shared" si="3044"/>
      </c>
      <c r="EX1677" s="2404"/>
    </row>
    <row r="1678" spans="1:154">
      <c r="B1678" s="910" t="s">
        <v>579</v>
      </c>
      <c r="C1678" s="1392"/>
      <c r="D1678" s="894"/>
      <c r="E1678" s="894"/>
      <c r="F1678" s="895"/>
      <c r="G1678" s="895"/>
      <c r="H1678" s="895"/>
      <c r="I1678" s="895"/>
      <c r="J1678" s="895"/>
      <c r="K1678" s="895"/>
      <c r="L1678" s="895"/>
      <c r="M1678" s="895"/>
      <c r="N1678" s="895"/>
      <c r="O1678" s="896"/>
      <c r="P1678" s="895"/>
      <c r="Q1678" s="895"/>
      <c r="R1678" s="895"/>
      <c r="S1678" s="895"/>
      <c r="T1678" s="896"/>
      <c r="U1678" s="895"/>
      <c r="V1678" s="895"/>
      <c r="W1678" s="895"/>
      <c r="X1678" s="899"/>
      <c r="Y1678" s="896"/>
      <c r="Z1678" s="895"/>
      <c r="AA1678" s="895"/>
      <c r="AB1678" s="895"/>
      <c r="AC1678" s="899"/>
      <c r="AD1678" s="896"/>
      <c r="AE1678" s="895"/>
      <c r="AF1678" s="895"/>
      <c r="AG1678" s="895"/>
      <c r="AH1678" s="899"/>
      <c r="AI1678" s="896"/>
      <c r="AJ1678" s="895"/>
      <c r="AK1678" s="895"/>
      <c r="AL1678" s="895"/>
      <c r="AM1678" s="899"/>
      <c r="AN1678" s="896"/>
      <c r="AO1678" s="895"/>
      <c r="AP1678" s="895"/>
      <c r="AQ1678" s="897"/>
      <c r="AR1678" s="899"/>
      <c r="AS1678" s="896"/>
      <c r="AT1678" s="895"/>
      <c r="AU1678" s="895"/>
      <c r="AV1678" s="895"/>
      <c r="AW1678" s="899"/>
      <c r="AX1678" s="896"/>
      <c r="AY1678" s="895"/>
      <c r="AZ1678" s="895"/>
      <c r="BA1678" s="895"/>
      <c r="BB1678" s="899"/>
      <c r="BC1678" s="896"/>
      <c r="BD1678" s="895"/>
      <c r="BE1678" s="895"/>
      <c r="BF1678" s="895"/>
      <c r="BG1678" s="899"/>
      <c r="BH1678" s="896"/>
      <c r="BI1678" s="895"/>
      <c r="BJ1678" s="895"/>
      <c r="BK1678" s="895"/>
      <c r="BL1678" s="899"/>
      <c r="BM1678" s="895"/>
      <c r="BN1678" s="895"/>
      <c r="BO1678" s="895"/>
      <c r="BP1678" s="895"/>
      <c r="BQ1678" s="899"/>
      <c r="BR1678" s="895"/>
      <c r="BS1678" s="895"/>
      <c r="BT1678" s="895"/>
      <c r="BU1678" s="895"/>
      <c r="BV1678" s="899"/>
      <c r="BW1678" s="895"/>
      <c r="BX1678" s="895"/>
      <c r="BY1678" s="895"/>
      <c r="BZ1678" s="895"/>
      <c r="CA1678" s="899"/>
      <c r="CB1678" s="895"/>
      <c r="CC1678" s="895"/>
      <c r="CD1678" s="895"/>
      <c r="CE1678" s="895"/>
      <c r="CF1678" s="899"/>
      <c r="CG1678" s="895"/>
      <c r="CH1678" s="895"/>
      <c r="CI1678" s="895"/>
      <c r="CJ1678" s="895"/>
      <c r="CK1678" s="899"/>
      <c r="CL1678" s="1015"/>
      <c r="CM1678" s="895"/>
      <c r="CN1678" s="895"/>
      <c r="CO1678" s="895"/>
      <c r="CP1678" s="899"/>
      <c r="CQ1678" s="895"/>
      <c r="CR1678" s="895"/>
      <c r="CS1678" s="895"/>
      <c r="CT1678" s="915"/>
      <c r="CU1678" s="899"/>
      <c r="CV1678" s="895"/>
      <c r="CW1678" s="895"/>
      <c r="CX1678" s="895"/>
      <c r="CY1678" s="915"/>
      <c r="CZ1678" s="899"/>
      <c r="DA1678" s="895"/>
      <c r="DB1678" s="895"/>
      <c r="DC1678" s="895"/>
      <c r="DD1678" s="895"/>
      <c r="DE1678" s="899"/>
      <c r="DF1678" s="895"/>
      <c r="DG1678" s="895"/>
      <c r="DH1678" s="895"/>
      <c r="DI1678" s="895"/>
      <c r="DJ1678" s="899"/>
      <c r="DK1678" s="895"/>
      <c r="DL1678" s="895"/>
      <c r="DM1678" s="895"/>
      <c r="DN1678" s="895"/>
      <c r="DO1678" s="899"/>
      <c r="DP1678" s="895"/>
      <c r="DQ1678" s="895"/>
      <c r="DR1678" s="895"/>
      <c r="DS1678" s="895"/>
      <c r="DT1678" s="899"/>
      <c r="DU1678" s="895"/>
      <c r="DV1678" s="895"/>
      <c r="DW1678" s="895"/>
      <c r="DX1678" s="895"/>
      <c r="DY1678" s="2404"/>
      <c r="DZ1678" s="895"/>
      <c r="EA1678" s="895"/>
      <c r="EB1678" s="895"/>
      <c r="EC1678" s="895"/>
      <c r="ED1678" s="2404"/>
      <c r="EE1678" s="3562">
        <f t="shared" ref="EE1678:EW1678" si="3045">SUM(EE1566,EE1577/$C$1575+EE1582/$C$1580,EE1592)</f>
      </c>
      <c r="EF1678" s="2403">
        <f t="shared" si="3045"/>
      </c>
      <c r="EG1678" s="2403">
        <f t="shared" si="3045"/>
      </c>
      <c r="EH1678" s="895">
        <f t="shared" si="3045"/>
      </c>
      <c r="EI1678" s="2404">
        <f t="shared" si="3045"/>
      </c>
      <c r="EJ1678" s="2404">
        <f t="shared" si="3045"/>
      </c>
      <c r="EK1678" s="2404">
        <f t="shared" si="3045"/>
      </c>
      <c r="EL1678" s="2404">
        <f t="shared" si="3045"/>
      </c>
      <c r="EM1678" s="2404">
        <f t="shared" si="3045"/>
      </c>
      <c r="EN1678" s="2404">
        <f t="shared" si="3045"/>
      </c>
      <c r="EO1678" s="2404">
        <f t="shared" si="3045"/>
      </c>
      <c r="EP1678" s="2404">
        <f t="shared" si="3045"/>
      </c>
      <c r="EQ1678" s="2404">
        <f t="shared" si="3045"/>
      </c>
      <c r="ER1678" s="2404">
        <f t="shared" si="3045"/>
      </c>
      <c r="ES1678" s="2404">
        <f t="shared" si="3045"/>
      </c>
      <c r="ET1678" s="2404">
        <f t="shared" si="3045"/>
      </c>
      <c r="EU1678" s="2404">
        <f t="shared" si="3045"/>
      </c>
      <c r="EV1678" s="2404">
        <f t="shared" si="3045"/>
      </c>
      <c r="EW1678" s="2404">
        <f t="shared" si="3045"/>
      </c>
      <c r="EX1678" s="2404"/>
    </row>
    <row r="1679" spans="1:154">
      <c r="B1679" s="910" t="s">
        <v>580</v>
      </c>
      <c r="C1679" s="1392"/>
      <c r="D1679" s="894"/>
      <c r="E1679" s="894"/>
      <c r="F1679" s="895"/>
      <c r="G1679" s="895"/>
      <c r="H1679" s="895"/>
      <c r="I1679" s="895"/>
      <c r="J1679" s="895"/>
      <c r="K1679" s="895"/>
      <c r="L1679" s="895"/>
      <c r="M1679" s="895"/>
      <c r="N1679" s="895"/>
      <c r="O1679" s="896"/>
      <c r="P1679" s="895"/>
      <c r="Q1679" s="895"/>
      <c r="R1679" s="895"/>
      <c r="S1679" s="895"/>
      <c r="T1679" s="896"/>
      <c r="U1679" s="895"/>
      <c r="V1679" s="895"/>
      <c r="W1679" s="895"/>
      <c r="X1679" s="899"/>
      <c r="Y1679" s="896"/>
      <c r="Z1679" s="895"/>
      <c r="AA1679" s="895"/>
      <c r="AB1679" s="895"/>
      <c r="AC1679" s="899"/>
      <c r="AD1679" s="896"/>
      <c r="AE1679" s="895"/>
      <c r="AF1679" s="895"/>
      <c r="AG1679" s="895"/>
      <c r="AH1679" s="899"/>
      <c r="AI1679" s="896"/>
      <c r="AJ1679" s="895"/>
      <c r="AK1679" s="895"/>
      <c r="AL1679" s="895"/>
      <c r="AM1679" s="899"/>
      <c r="AN1679" s="896"/>
      <c r="AO1679" s="895"/>
      <c r="AP1679" s="895"/>
      <c r="AQ1679" s="897"/>
      <c r="AR1679" s="899"/>
      <c r="AS1679" s="896"/>
      <c r="AT1679" s="895"/>
      <c r="AU1679" s="895"/>
      <c r="AV1679" s="895"/>
      <c r="AW1679" s="899"/>
      <c r="AX1679" s="896"/>
      <c r="AY1679" s="895"/>
      <c r="AZ1679" s="895"/>
      <c r="BA1679" s="895"/>
      <c r="BB1679" s="899"/>
      <c r="BC1679" s="896"/>
      <c r="BD1679" s="895"/>
      <c r="BE1679" s="895"/>
      <c r="BF1679" s="895"/>
      <c r="BG1679" s="899"/>
      <c r="BH1679" s="896"/>
      <c r="BI1679" s="895"/>
      <c r="BJ1679" s="895"/>
      <c r="BK1679" s="895"/>
      <c r="BL1679" s="899"/>
      <c r="BM1679" s="895"/>
      <c r="BN1679" s="895"/>
      <c r="BO1679" s="895"/>
      <c r="BP1679" s="895"/>
      <c r="BQ1679" s="899"/>
      <c r="BR1679" s="895"/>
      <c r="BS1679" s="895"/>
      <c r="BT1679" s="895"/>
      <c r="BU1679" s="895"/>
      <c r="BV1679" s="899"/>
      <c r="BW1679" s="895"/>
      <c r="BX1679" s="895"/>
      <c r="BY1679" s="895"/>
      <c r="BZ1679" s="895"/>
      <c r="CA1679" s="899"/>
      <c r="CB1679" s="895"/>
      <c r="CC1679" s="895"/>
      <c r="CD1679" s="895"/>
      <c r="CE1679" s="895"/>
      <c r="CF1679" s="899"/>
      <c r="CG1679" s="895"/>
      <c r="CH1679" s="895"/>
      <c r="CI1679" s="895"/>
      <c r="CJ1679" s="895"/>
      <c r="CK1679" s="899"/>
      <c r="CL1679" s="1015"/>
      <c r="CM1679" s="895"/>
      <c r="CN1679" s="895"/>
      <c r="CO1679" s="895"/>
      <c r="CP1679" s="899"/>
      <c r="CQ1679" s="895"/>
      <c r="CR1679" s="895"/>
      <c r="CS1679" s="895"/>
      <c r="CT1679" s="915"/>
      <c r="CU1679" s="899"/>
      <c r="CV1679" s="895"/>
      <c r="CW1679" s="895"/>
      <c r="CX1679" s="895"/>
      <c r="CY1679" s="915"/>
      <c r="CZ1679" s="899"/>
      <c r="DA1679" s="895"/>
      <c r="DB1679" s="895"/>
      <c r="DC1679" s="895"/>
      <c r="DD1679" s="895"/>
      <c r="DE1679" s="899"/>
      <c r="DF1679" s="895"/>
      <c r="DG1679" s="895"/>
      <c r="DH1679" s="895"/>
      <c r="DI1679" s="895"/>
      <c r="DJ1679" s="899"/>
      <c r="DK1679" s="895"/>
      <c r="DL1679" s="895"/>
      <c r="DM1679" s="895"/>
      <c r="DN1679" s="895"/>
      <c r="DO1679" s="899"/>
      <c r="DP1679" s="895"/>
      <c r="DQ1679" s="895"/>
      <c r="DR1679" s="895"/>
      <c r="DS1679" s="915"/>
      <c r="DT1679" s="899"/>
      <c r="DU1679" s="895"/>
      <c r="DV1679" s="895"/>
      <c r="DW1679" s="895"/>
      <c r="DX1679" s="895"/>
      <c r="DY1679" s="2404"/>
      <c r="DZ1679" s="895"/>
      <c r="EA1679" s="895"/>
      <c r="EB1679" s="895"/>
      <c r="EC1679" s="895"/>
      <c r="ED1679" s="2404"/>
      <c r="EE1679" s="3562">
        <f>SUM(EE1677:EE1678)</f>
      </c>
      <c r="EF1679" s="2403">
        <f t="shared" ref="EF1679:EW1679" si="3046">SUM(EF1677:EF1678)</f>
      </c>
      <c r="EG1679" s="2403">
        <f t="shared" si="3046"/>
      </c>
      <c r="EH1679" s="895">
        <f t="shared" si="3046"/>
      </c>
      <c r="EI1679" s="2404">
        <f t="shared" si="3046"/>
      </c>
      <c r="EJ1679" s="2404">
        <f t="shared" si="3046"/>
      </c>
      <c r="EK1679" s="2404">
        <f t="shared" si="3046"/>
      </c>
      <c r="EL1679" s="2404">
        <f t="shared" si="3046"/>
      </c>
      <c r="EM1679" s="2404">
        <f t="shared" si="3046"/>
      </c>
      <c r="EN1679" s="2404">
        <f t="shared" si="3046"/>
      </c>
      <c r="EO1679" s="2404">
        <f t="shared" si="3046"/>
      </c>
      <c r="EP1679" s="2404">
        <f t="shared" si="3046"/>
      </c>
      <c r="EQ1679" s="2404">
        <f t="shared" si="3046"/>
      </c>
      <c r="ER1679" s="2404">
        <f t="shared" si="3046"/>
      </c>
      <c r="ES1679" s="2404">
        <f t="shared" si="3046"/>
      </c>
      <c r="ET1679" s="2404">
        <f t="shared" si="3046"/>
      </c>
      <c r="EU1679" s="2404">
        <f t="shared" si="3046"/>
      </c>
      <c r="EV1679" s="2404">
        <f t="shared" si="3046"/>
      </c>
      <c r="EW1679" s="2404">
        <f t="shared" si="3046"/>
      </c>
      <c r="EX1679" s="2404"/>
    </row>
    <row r="1680" spans="1:154">
      <c r="B1680" s="910"/>
      <c r="C1680" s="1392"/>
      <c r="D1680" s="894"/>
      <c r="E1680" s="894"/>
      <c r="F1680" s="895"/>
      <c r="G1680" s="895"/>
      <c r="H1680" s="895"/>
      <c r="I1680" s="895"/>
      <c r="J1680" s="895"/>
      <c r="K1680" s="895"/>
      <c r="L1680" s="895"/>
      <c r="M1680" s="895"/>
      <c r="N1680" s="895"/>
      <c r="O1680" s="896"/>
      <c r="P1680" s="895"/>
      <c r="Q1680" s="895"/>
      <c r="R1680" s="895"/>
      <c r="S1680" s="895"/>
      <c r="T1680" s="896"/>
      <c r="U1680" s="895"/>
      <c r="V1680" s="895"/>
      <c r="W1680" s="895"/>
      <c r="X1680" s="899"/>
      <c r="Y1680" s="896"/>
      <c r="Z1680" s="895"/>
      <c r="AA1680" s="895"/>
      <c r="AB1680" s="895"/>
      <c r="AC1680" s="899"/>
      <c r="AD1680" s="896"/>
      <c r="AE1680" s="895"/>
      <c r="AF1680" s="895"/>
      <c r="AG1680" s="895"/>
      <c r="AH1680" s="899"/>
      <c r="AI1680" s="896"/>
      <c r="AJ1680" s="895"/>
      <c r="AK1680" s="895"/>
      <c r="AL1680" s="895"/>
      <c r="AM1680" s="899"/>
      <c r="AN1680" s="896"/>
      <c r="AO1680" s="895"/>
      <c r="AP1680" s="895"/>
      <c r="AQ1680" s="897"/>
      <c r="AR1680" s="899"/>
      <c r="AS1680" s="896"/>
      <c r="AT1680" s="895"/>
      <c r="AU1680" s="895"/>
      <c r="AV1680" s="895"/>
      <c r="AW1680" s="899"/>
      <c r="AX1680" s="896"/>
      <c r="AY1680" s="895"/>
      <c r="AZ1680" s="895"/>
      <c r="BA1680" s="895"/>
      <c r="BB1680" s="899"/>
      <c r="BC1680" s="896"/>
      <c r="BD1680" s="895"/>
      <c r="BE1680" s="895"/>
      <c r="BF1680" s="895"/>
      <c r="BG1680" s="899"/>
      <c r="BH1680" s="896"/>
      <c r="BI1680" s="895"/>
      <c r="BJ1680" s="895"/>
      <c r="BK1680" s="895"/>
      <c r="BL1680" s="899"/>
      <c r="BM1680" s="895"/>
      <c r="BN1680" s="895"/>
      <c r="BO1680" s="895"/>
      <c r="BP1680" s="895"/>
      <c r="BQ1680" s="899"/>
      <c r="BR1680" s="895"/>
      <c r="BS1680" s="895"/>
      <c r="BT1680" s="895"/>
      <c r="BU1680" s="895"/>
      <c r="BV1680" s="899"/>
      <c r="BW1680" s="895"/>
      <c r="BX1680" s="895"/>
      <c r="BY1680" s="895"/>
      <c r="BZ1680" s="895"/>
      <c r="CA1680" s="899"/>
      <c r="CB1680" s="895"/>
      <c r="CC1680" s="895"/>
      <c r="CD1680" s="895"/>
      <c r="CE1680" s="895"/>
      <c r="CF1680" s="899"/>
      <c r="CG1680" s="895"/>
      <c r="CH1680" s="895"/>
      <c r="CI1680" s="895"/>
      <c r="CJ1680" s="895"/>
      <c r="CK1680" s="899"/>
      <c r="CL1680" s="1015"/>
      <c r="CM1680" s="895"/>
      <c r="CN1680" s="895"/>
      <c r="CO1680" s="895"/>
      <c r="CP1680" s="899"/>
      <c r="CQ1680" s="895"/>
      <c r="CR1680" s="895"/>
      <c r="CS1680" s="895"/>
      <c r="CT1680" s="915"/>
      <c r="CU1680" s="899"/>
      <c r="CV1680" s="895"/>
      <c r="CW1680" s="895"/>
      <c r="CX1680" s="895"/>
      <c r="CY1680" s="915"/>
      <c r="CZ1680" s="899"/>
      <c r="DA1680" s="895"/>
      <c r="DB1680" s="895"/>
      <c r="DC1680" s="895"/>
      <c r="DD1680" s="895"/>
      <c r="DE1680" s="899"/>
      <c r="DF1680" s="895"/>
      <c r="DG1680" s="895"/>
      <c r="DH1680" s="895"/>
      <c r="DI1680" s="895"/>
      <c r="DJ1680" s="899"/>
      <c r="DK1680" s="895"/>
      <c r="DL1680" s="895"/>
      <c r="DM1680" s="895"/>
      <c r="DN1680" s="895"/>
      <c r="DO1680" s="899"/>
      <c r="DP1680" s="895"/>
      <c r="DQ1680" s="895"/>
      <c r="DR1680" s="895"/>
      <c r="DS1680" s="915"/>
      <c r="DT1680" s="899"/>
      <c r="DU1680" s="895"/>
      <c r="DV1680" s="895"/>
      <c r="DW1680" s="895"/>
      <c r="DX1680" s="895"/>
      <c r="DY1680" s="2404"/>
      <c r="DZ1680" s="895"/>
      <c r="EA1680" s="895"/>
      <c r="EB1680" s="895"/>
      <c r="EC1680" s="895"/>
      <c r="ED1680" s="2404"/>
      <c r="EE1680" s="3562"/>
      <c r="EF1680" s="2403"/>
      <c r="EG1680" s="2403"/>
      <c r="EH1680" s="895"/>
      <c r="EI1680" s="2404"/>
      <c r="EJ1680" s="2404"/>
      <c r="EK1680" s="2404"/>
      <c r="EL1680" s="2404"/>
      <c r="EM1680" s="2404"/>
      <c r="EN1680" s="2404"/>
      <c r="EO1680" s="2404"/>
      <c r="EP1680" s="2404"/>
      <c r="EQ1680" s="2404"/>
      <c r="ER1680" s="2404"/>
      <c r="ES1680" s="2404"/>
      <c r="ET1680" s="2404"/>
      <c r="EU1680" s="2404"/>
      <c r="EV1680" s="2404"/>
      <c r="EW1680" s="2404"/>
      <c r="EX1680" s="2404"/>
    </row>
    <row r="1681" spans="2:154">
      <c r="B1681" s="910"/>
      <c r="C1681" s="1392"/>
      <c r="D1681" s="894"/>
      <c r="E1681" s="894"/>
      <c r="F1681" s="895"/>
      <c r="G1681" s="895"/>
      <c r="H1681" s="895"/>
      <c r="I1681" s="895"/>
      <c r="J1681" s="895"/>
      <c r="K1681" s="895"/>
      <c r="L1681" s="895"/>
      <c r="M1681" s="895"/>
      <c r="N1681" s="895"/>
      <c r="O1681" s="896"/>
      <c r="P1681" s="895"/>
      <c r="Q1681" s="895"/>
      <c r="R1681" s="895"/>
      <c r="S1681" s="895"/>
      <c r="T1681" s="896"/>
      <c r="U1681" s="895"/>
      <c r="V1681" s="895"/>
      <c r="W1681" s="895"/>
      <c r="X1681" s="899"/>
      <c r="Y1681" s="896"/>
      <c r="Z1681" s="895"/>
      <c r="AA1681" s="895"/>
      <c r="AB1681" s="895"/>
      <c r="AC1681" s="899"/>
      <c r="AD1681" s="896"/>
      <c r="AE1681" s="895"/>
      <c r="AF1681" s="895"/>
      <c r="AG1681" s="895"/>
      <c r="AH1681" s="899"/>
      <c r="AI1681" s="896"/>
      <c r="AJ1681" s="895"/>
      <c r="AK1681" s="895"/>
      <c r="AL1681" s="895"/>
      <c r="AM1681" s="899"/>
      <c r="AN1681" s="896"/>
      <c r="AO1681" s="895"/>
      <c r="AP1681" s="895"/>
      <c r="AQ1681" s="897"/>
      <c r="AR1681" s="899"/>
      <c r="AS1681" s="896"/>
      <c r="AT1681" s="895"/>
      <c r="AU1681" s="895"/>
      <c r="AV1681" s="895"/>
      <c r="AW1681" s="899"/>
      <c r="AX1681" s="896"/>
      <c r="AY1681" s="895"/>
      <c r="AZ1681" s="895"/>
      <c r="BA1681" s="895"/>
      <c r="BB1681" s="899"/>
      <c r="BC1681" s="896"/>
      <c r="BD1681" s="895"/>
      <c r="BE1681" s="895"/>
      <c r="BF1681" s="895"/>
      <c r="BG1681" s="899"/>
      <c r="BH1681" s="896"/>
      <c r="BI1681" s="895"/>
      <c r="BJ1681" s="895"/>
      <c r="BK1681" s="895"/>
      <c r="BL1681" s="899"/>
      <c r="BM1681" s="895"/>
      <c r="BN1681" s="895"/>
      <c r="BO1681" s="895"/>
      <c r="BP1681" s="895"/>
      <c r="BQ1681" s="899"/>
      <c r="BR1681" s="895"/>
      <c r="BS1681" s="895"/>
      <c r="BT1681" s="895"/>
      <c r="BU1681" s="895"/>
      <c r="BV1681" s="899"/>
      <c r="BW1681" s="895"/>
      <c r="BX1681" s="895"/>
      <c r="BY1681" s="895"/>
      <c r="BZ1681" s="895"/>
      <c r="CA1681" s="899"/>
      <c r="CB1681" s="895"/>
      <c r="CC1681" s="895"/>
      <c r="CD1681" s="895"/>
      <c r="CE1681" s="895"/>
      <c r="CF1681" s="899"/>
      <c r="CG1681" s="895"/>
      <c r="CH1681" s="895"/>
      <c r="CI1681" s="895"/>
      <c r="CJ1681" s="895"/>
      <c r="CK1681" s="899"/>
      <c r="CL1681" s="1015"/>
      <c r="CM1681" s="895"/>
      <c r="CN1681" s="895"/>
      <c r="CO1681" s="895"/>
      <c r="CP1681" s="899"/>
      <c r="CQ1681" s="895"/>
      <c r="CR1681" s="895"/>
      <c r="CS1681" s="895"/>
      <c r="CT1681" s="915"/>
      <c r="CU1681" s="899"/>
      <c r="CV1681" s="895"/>
      <c r="CW1681" s="895"/>
      <c r="CX1681" s="895"/>
      <c r="CY1681" s="915"/>
      <c r="CZ1681" s="899"/>
      <c r="DA1681" s="895"/>
      <c r="DB1681" s="895"/>
      <c r="DC1681" s="895"/>
      <c r="DD1681" s="895"/>
      <c r="DE1681" s="899"/>
      <c r="DF1681" s="895"/>
      <c r="DG1681" s="895"/>
      <c r="DH1681" s="895"/>
      <c r="DI1681" s="895"/>
      <c r="DJ1681" s="899"/>
      <c r="DK1681" s="895"/>
      <c r="DL1681" s="895"/>
      <c r="DM1681" s="895"/>
      <c r="DN1681" s="895"/>
      <c r="DO1681" s="899"/>
      <c r="DP1681" s="895"/>
      <c r="DQ1681" s="895"/>
      <c r="DR1681" s="895"/>
      <c r="DS1681" s="915"/>
      <c r="DT1681" s="899"/>
      <c r="DU1681" s="895"/>
      <c r="DV1681" s="895"/>
      <c r="DW1681" s="895"/>
      <c r="DX1681" s="895"/>
      <c r="DY1681" s="2404"/>
      <c r="DZ1681" s="895"/>
      <c r="EA1681" s="895"/>
      <c r="EB1681" s="895"/>
      <c r="EC1681" s="895"/>
      <c r="ED1681" s="2404"/>
      <c r="EE1681" s="3562"/>
      <c r="EF1681" s="2403"/>
      <c r="EG1681" s="2403"/>
      <c r="EH1681" s="895"/>
      <c r="EI1681" s="2404"/>
      <c r="EJ1681" s="2404"/>
      <c r="EK1681" s="2404"/>
      <c r="EL1681" s="2404"/>
      <c r="EM1681" s="2404"/>
      <c r="EN1681" s="2404"/>
      <c r="EO1681" s="2404"/>
      <c r="EP1681" s="2404"/>
      <c r="EQ1681" s="2404"/>
      <c r="ER1681" s="2404"/>
      <c r="ES1681" s="2404"/>
      <c r="ET1681" s="2404"/>
      <c r="EU1681" s="2404"/>
      <c r="EV1681" s="2404"/>
      <c r="EW1681" s="2404"/>
      <c r="EX1681" s="2404"/>
    </row>
    <row r="1682" spans="2:154">
      <c r="B1682" s="910" t="s">
        <v>581</v>
      </c>
      <c r="C1682" s="1392"/>
      <c r="D1682" s="894"/>
      <c r="E1682" s="894"/>
      <c r="F1682" s="895"/>
      <c r="G1682" s="895"/>
      <c r="H1682" s="895"/>
      <c r="I1682" s="895"/>
      <c r="J1682" s="895"/>
      <c r="K1682" s="895"/>
      <c r="L1682" s="895"/>
      <c r="M1682" s="895"/>
      <c r="N1682" s="895"/>
      <c r="O1682" s="896"/>
      <c r="P1682" s="895"/>
      <c r="Q1682" s="895"/>
      <c r="R1682" s="895"/>
      <c r="S1682" s="895"/>
      <c r="T1682" s="896"/>
      <c r="U1682" s="895"/>
      <c r="V1682" s="895"/>
      <c r="W1682" s="895"/>
      <c r="X1682" s="899"/>
      <c r="Y1682" s="896"/>
      <c r="Z1682" s="895"/>
      <c r="AA1682" s="895"/>
      <c r="AB1682" s="895"/>
      <c r="AC1682" s="899"/>
      <c r="AD1682" s="896"/>
      <c r="AE1682" s="895"/>
      <c r="AF1682" s="895"/>
      <c r="AG1682" s="895"/>
      <c r="AH1682" s="899"/>
      <c r="AI1682" s="896"/>
      <c r="AJ1682" s="895"/>
      <c r="AK1682" s="895"/>
      <c r="AL1682" s="895"/>
      <c r="AM1682" s="899"/>
      <c r="AN1682" s="896"/>
      <c r="AO1682" s="895"/>
      <c r="AP1682" s="895"/>
      <c r="AQ1682" s="897"/>
      <c r="AR1682" s="899"/>
      <c r="AS1682" s="896"/>
      <c r="AT1682" s="895"/>
      <c r="AU1682" s="895"/>
      <c r="AV1682" s="895"/>
      <c r="AW1682" s="899"/>
      <c r="AX1682" s="896"/>
      <c r="AY1682" s="895"/>
      <c r="AZ1682" s="895"/>
      <c r="BA1682" s="895"/>
      <c r="BB1682" s="899"/>
      <c r="BC1682" s="896"/>
      <c r="BD1682" s="895"/>
      <c r="BE1682" s="895"/>
      <c r="BF1682" s="895"/>
      <c r="BG1682" s="899"/>
      <c r="BH1682" s="896"/>
      <c r="BI1682" s="895"/>
      <c r="BJ1682" s="895"/>
      <c r="BK1682" s="895"/>
      <c r="BL1682" s="899"/>
      <c r="BM1682" s="895"/>
      <c r="BN1682" s="895"/>
      <c r="BO1682" s="895"/>
      <c r="BP1682" s="895"/>
      <c r="BQ1682" s="899"/>
      <c r="BR1682" s="895"/>
      <c r="BS1682" s="895"/>
      <c r="BT1682" s="895"/>
      <c r="BU1682" s="895"/>
      <c r="BV1682" s="899"/>
      <c r="BW1682" s="895"/>
      <c r="BX1682" s="895"/>
      <c r="BY1682" s="895"/>
      <c r="BZ1682" s="895"/>
      <c r="CA1682" s="899"/>
      <c r="CB1682" s="895"/>
      <c r="CC1682" s="895"/>
      <c r="CD1682" s="895"/>
      <c r="CE1682" s="895"/>
      <c r="CF1682" s="899"/>
      <c r="CG1682" s="895"/>
      <c r="CH1682" s="895"/>
      <c r="CI1682" s="895"/>
      <c r="CJ1682" s="895"/>
      <c r="CK1682" s="899"/>
      <c r="CL1682" s="1015"/>
      <c r="CM1682" s="895"/>
      <c r="CN1682" s="895"/>
      <c r="CO1682" s="895"/>
      <c r="CP1682" s="899"/>
      <c r="CQ1682" s="895"/>
      <c r="CR1682" s="895"/>
      <c r="CS1682" s="895"/>
      <c r="CT1682" s="915"/>
      <c r="CU1682" s="899"/>
      <c r="CV1682" s="895"/>
      <c r="CW1682" s="895"/>
      <c r="CX1682" s="895"/>
      <c r="CY1682" s="915"/>
      <c r="CZ1682" s="899"/>
      <c r="DA1682" s="895"/>
      <c r="DB1682" s="1509"/>
      <c r="DC1682" s="895"/>
      <c r="DD1682" s="895"/>
      <c r="DE1682" s="899"/>
      <c r="DF1682" s="895"/>
      <c r="DG1682" s="895"/>
      <c r="DH1682" s="895"/>
      <c r="DI1682" s="895"/>
      <c r="DJ1682" s="899"/>
      <c r="DK1682" s="1015"/>
      <c r="DL1682" s="895"/>
      <c r="DM1682" s="895"/>
      <c r="DN1682" s="915"/>
      <c r="DO1682" s="915"/>
      <c r="DP1682" s="895"/>
      <c r="DQ1682" s="895"/>
      <c r="DR1682" s="895"/>
      <c r="DS1682" s="915"/>
      <c r="DT1682" s="915"/>
      <c r="DU1682" s="895"/>
      <c r="DV1682" s="895"/>
      <c r="DW1682" s="895"/>
      <c r="DX1682" s="895"/>
      <c r="DY1682" s="2404"/>
      <c r="DZ1682" s="895"/>
      <c r="EA1682" s="895"/>
      <c r="EB1682" s="895"/>
      <c r="EC1682" s="915"/>
      <c r="ED1682" s="2404"/>
      <c r="EE1682" s="2403">
        <f t="shared" ref="EE1682:EW1682" si="3047">SUM(EE1570,EE1586,EE1596)</f>
      </c>
      <c r="EF1682" s="2403">
        <f t="shared" si="3047"/>
      </c>
      <c r="EG1682" s="2403">
        <f t="shared" si="3047"/>
      </c>
      <c r="EH1682" s="915">
        <f t="shared" si="3047"/>
      </c>
      <c r="EI1682" s="2406">
        <f t="shared" si="3047"/>
      </c>
      <c r="EJ1682" s="2406">
        <f t="shared" si="3047"/>
      </c>
      <c r="EK1682" s="2406">
        <f t="shared" si="3047"/>
      </c>
      <c r="EL1682" s="2406">
        <f t="shared" si="3047"/>
      </c>
      <c r="EM1682" s="2406">
        <f t="shared" si="3047"/>
      </c>
      <c r="EN1682" s="2406">
        <f t="shared" si="3047"/>
      </c>
      <c r="EO1682" s="2406">
        <f t="shared" si="3047"/>
      </c>
      <c r="EP1682" s="2406">
        <f t="shared" si="3047"/>
      </c>
      <c r="EQ1682" s="2406">
        <f t="shared" si="3047"/>
      </c>
      <c r="ER1682" s="2406">
        <f t="shared" si="3047"/>
      </c>
      <c r="ES1682" s="2406">
        <f t="shared" si="3047"/>
      </c>
      <c r="ET1682" s="2406">
        <f t="shared" si="3047"/>
      </c>
      <c r="EU1682" s="2406">
        <f t="shared" si="3047"/>
      </c>
      <c r="EV1682" s="2406">
        <f t="shared" si="3047"/>
      </c>
      <c r="EW1682" s="2406">
        <f t="shared" si="3047"/>
      </c>
      <c r="EX1682" s="2406"/>
    </row>
    <row r="1683" spans="2:154">
      <c r="B1683" s="910" t="s">
        <v>582</v>
      </c>
      <c r="C1683" s="1392"/>
      <c r="D1683" s="894"/>
      <c r="E1683" s="894"/>
      <c r="F1683" s="895"/>
      <c r="G1683" s="895"/>
      <c r="H1683" s="895"/>
      <c r="I1683" s="895"/>
      <c r="J1683" s="895"/>
      <c r="K1683" s="895"/>
      <c r="L1683" s="895"/>
      <c r="M1683" s="895"/>
      <c r="N1683" s="895"/>
      <c r="O1683" s="896"/>
      <c r="P1683" s="895"/>
      <c r="Q1683" s="895"/>
      <c r="R1683" s="895"/>
      <c r="S1683" s="895"/>
      <c r="T1683" s="896"/>
      <c r="U1683" s="895"/>
      <c r="V1683" s="895"/>
      <c r="W1683" s="895"/>
      <c r="X1683" s="899"/>
      <c r="Y1683" s="896"/>
      <c r="Z1683" s="895"/>
      <c r="AA1683" s="895"/>
      <c r="AB1683" s="895"/>
      <c r="AC1683" s="899"/>
      <c r="AD1683" s="896"/>
      <c r="AE1683" s="895"/>
      <c r="AF1683" s="895"/>
      <c r="AG1683" s="895"/>
      <c r="AH1683" s="899"/>
      <c r="AI1683" s="896"/>
      <c r="AJ1683" s="895"/>
      <c r="AK1683" s="895"/>
      <c r="AL1683" s="895"/>
      <c r="AM1683" s="899"/>
      <c r="AN1683" s="896"/>
      <c r="AO1683" s="895"/>
      <c r="AP1683" s="895"/>
      <c r="AQ1683" s="897"/>
      <c r="AR1683" s="899"/>
      <c r="AS1683" s="896"/>
      <c r="AT1683" s="895"/>
      <c r="AU1683" s="895"/>
      <c r="AV1683" s="895"/>
      <c r="AW1683" s="899"/>
      <c r="AX1683" s="896"/>
      <c r="AY1683" s="895"/>
      <c r="AZ1683" s="895"/>
      <c r="BA1683" s="895"/>
      <c r="BB1683" s="899"/>
      <c r="BC1683" s="896"/>
      <c r="BD1683" s="895"/>
      <c r="BE1683" s="895"/>
      <c r="BF1683" s="895"/>
      <c r="BG1683" s="899"/>
      <c r="BH1683" s="896"/>
      <c r="BI1683" s="895"/>
      <c r="BJ1683" s="895"/>
      <c r="BK1683" s="895"/>
      <c r="BL1683" s="899"/>
      <c r="BM1683" s="895"/>
      <c r="BN1683" s="895"/>
      <c r="BO1683" s="895"/>
      <c r="BP1683" s="895"/>
      <c r="BQ1683" s="899"/>
      <c r="BR1683" s="895"/>
      <c r="BS1683" s="895"/>
      <c r="BT1683" s="895"/>
      <c r="BU1683" s="895"/>
      <c r="BV1683" s="899"/>
      <c r="BW1683" s="895"/>
      <c r="BX1683" s="895"/>
      <c r="BY1683" s="895"/>
      <c r="BZ1683" s="895"/>
      <c r="CA1683" s="899"/>
      <c r="CB1683" s="895"/>
      <c r="CC1683" s="895"/>
      <c r="CD1683" s="895"/>
      <c r="CE1683" s="895"/>
      <c r="CF1683" s="899"/>
      <c r="CG1683" s="895"/>
      <c r="CH1683" s="895"/>
      <c r="CI1683" s="895"/>
      <c r="CJ1683" s="895"/>
      <c r="CK1683" s="899"/>
      <c r="CL1683" s="1015"/>
      <c r="CM1683" s="895"/>
      <c r="CN1683" s="895"/>
      <c r="CO1683" s="895"/>
      <c r="CP1683" s="899"/>
      <c r="CQ1683" s="895"/>
      <c r="CR1683" s="895"/>
      <c r="CS1683" s="895"/>
      <c r="CT1683" s="915"/>
      <c r="CU1683" s="899"/>
      <c r="CV1683" s="1015"/>
      <c r="CW1683" s="895"/>
      <c r="CX1683" s="895"/>
      <c r="CY1683" s="915"/>
      <c r="CZ1683" s="899"/>
      <c r="DA1683" s="895"/>
      <c r="DB1683" s="1509"/>
      <c r="DC1683" s="895"/>
      <c r="DD1683" s="895"/>
      <c r="DE1683" s="899"/>
      <c r="DF1683" s="895"/>
      <c r="DG1683" s="895"/>
      <c r="DH1683" s="895"/>
      <c r="DI1683" s="895"/>
      <c r="DJ1683" s="899"/>
      <c r="DK1683" s="1015"/>
      <c r="DL1683" s="895"/>
      <c r="DM1683" s="895"/>
      <c r="DN1683" s="915"/>
      <c r="DO1683" s="915"/>
      <c r="DP1683" s="895"/>
      <c r="DQ1683" s="895"/>
      <c r="DR1683" s="895"/>
      <c r="DS1683" s="915"/>
      <c r="DT1683" s="915"/>
      <c r="DU1683" s="895"/>
      <c r="DV1683" s="895"/>
      <c r="DW1683" s="895"/>
      <c r="DX1683" s="895"/>
      <c r="DY1683" s="2404"/>
      <c r="DZ1683" s="895"/>
      <c r="EA1683" s="895"/>
      <c r="EB1683" s="895"/>
      <c r="EC1683" s="915"/>
      <c r="ED1683" s="2404"/>
      <c r="EE1683" s="2403">
        <f t="shared" ref="EE1683:EW1683" si="3048">SUM(EE1571,EE1587,EE1597)</f>
      </c>
      <c r="EF1683" s="2403">
        <f t="shared" si="3048"/>
      </c>
      <c r="EG1683" s="2403">
        <f t="shared" si="3048"/>
      </c>
      <c r="EH1683" s="915">
        <f t="shared" si="3048"/>
      </c>
      <c r="EI1683" s="2406">
        <f t="shared" si="3048"/>
      </c>
      <c r="EJ1683" s="2406">
        <f t="shared" si="3048"/>
      </c>
      <c r="EK1683" s="2406">
        <f t="shared" si="3048"/>
      </c>
      <c r="EL1683" s="2406">
        <f t="shared" si="3048"/>
      </c>
      <c r="EM1683" s="2406">
        <f t="shared" si="3048"/>
      </c>
      <c r="EN1683" s="2406">
        <f t="shared" si="3048"/>
      </c>
      <c r="EO1683" s="2406">
        <f t="shared" si="3048"/>
      </c>
      <c r="EP1683" s="2406">
        <f t="shared" si="3048"/>
      </c>
      <c r="EQ1683" s="2406">
        <f t="shared" si="3048"/>
      </c>
      <c r="ER1683" s="2406">
        <f t="shared" si="3048"/>
      </c>
      <c r="ES1683" s="2406">
        <f t="shared" si="3048"/>
      </c>
      <c r="ET1683" s="2406">
        <f t="shared" si="3048"/>
      </c>
      <c r="EU1683" s="2406">
        <f t="shared" si="3048"/>
      </c>
      <c r="EV1683" s="2406">
        <f t="shared" si="3048"/>
      </c>
      <c r="EW1683" s="2406">
        <f t="shared" si="3048"/>
      </c>
      <c r="EX1683" s="2406"/>
    </row>
    <row r="1684" spans="2:154">
      <c r="B1684" s="910" t="s">
        <v>583</v>
      </c>
      <c r="C1684" s="1392"/>
      <c r="D1684" s="894"/>
      <c r="E1684" s="894"/>
      <c r="F1684" s="895"/>
      <c r="G1684" s="895"/>
      <c r="H1684" s="895"/>
      <c r="I1684" s="895"/>
      <c r="J1684" s="895"/>
      <c r="K1684" s="895"/>
      <c r="L1684" s="895"/>
      <c r="M1684" s="895"/>
      <c r="N1684" s="895"/>
      <c r="O1684" s="896"/>
      <c r="P1684" s="895"/>
      <c r="Q1684" s="895"/>
      <c r="R1684" s="895"/>
      <c r="S1684" s="895"/>
      <c r="T1684" s="896"/>
      <c r="U1684" s="895"/>
      <c r="V1684" s="895"/>
      <c r="W1684" s="895"/>
      <c r="X1684" s="899"/>
      <c r="Y1684" s="896"/>
      <c r="Z1684" s="895"/>
      <c r="AA1684" s="895"/>
      <c r="AB1684" s="895"/>
      <c r="AC1684" s="899"/>
      <c r="AD1684" s="896"/>
      <c r="AE1684" s="895"/>
      <c r="AF1684" s="895"/>
      <c r="AG1684" s="895"/>
      <c r="AH1684" s="899"/>
      <c r="AI1684" s="896"/>
      <c r="AJ1684" s="895"/>
      <c r="AK1684" s="895"/>
      <c r="AL1684" s="895"/>
      <c r="AM1684" s="899"/>
      <c r="AN1684" s="896"/>
      <c r="AO1684" s="895"/>
      <c r="AP1684" s="895"/>
      <c r="AQ1684" s="897"/>
      <c r="AR1684" s="899"/>
      <c r="AS1684" s="896"/>
      <c r="AT1684" s="895"/>
      <c r="AU1684" s="895"/>
      <c r="AV1684" s="895"/>
      <c r="AW1684" s="899"/>
      <c r="AX1684" s="896"/>
      <c r="AY1684" s="895"/>
      <c r="AZ1684" s="895"/>
      <c r="BA1684" s="895"/>
      <c r="BB1684" s="899"/>
      <c r="BC1684" s="896"/>
      <c r="BD1684" s="895"/>
      <c r="BE1684" s="895"/>
      <c r="BF1684" s="895"/>
      <c r="BG1684" s="899"/>
      <c r="BH1684" s="896"/>
      <c r="BI1684" s="895"/>
      <c r="BJ1684" s="895"/>
      <c r="BK1684" s="895"/>
      <c r="BL1684" s="899"/>
      <c r="BM1684" s="895"/>
      <c r="BN1684" s="895"/>
      <c r="BO1684" s="895"/>
      <c r="BP1684" s="895"/>
      <c r="BQ1684" s="899"/>
      <c r="BR1684" s="895"/>
      <c r="BS1684" s="895"/>
      <c r="BT1684" s="895"/>
      <c r="BU1684" s="895"/>
      <c r="BV1684" s="899"/>
      <c r="BW1684" s="895"/>
      <c r="BX1684" s="895"/>
      <c r="BY1684" s="895"/>
      <c r="BZ1684" s="895"/>
      <c r="CA1684" s="899"/>
      <c r="CB1684" s="895"/>
      <c r="CC1684" s="895"/>
      <c r="CD1684" s="895"/>
      <c r="CE1684" s="895"/>
      <c r="CF1684" s="899"/>
      <c r="CG1684" s="895"/>
      <c r="CH1684" s="895"/>
      <c r="CI1684" s="895"/>
      <c r="CJ1684" s="895"/>
      <c r="CK1684" s="899"/>
      <c r="CL1684" s="1015"/>
      <c r="CM1684" s="895"/>
      <c r="CN1684" s="895"/>
      <c r="CO1684" s="895"/>
      <c r="CP1684" s="899"/>
      <c r="CQ1684" s="895"/>
      <c r="CR1684" s="895"/>
      <c r="CS1684" s="895"/>
      <c r="CT1684" s="915"/>
      <c r="CU1684" s="899"/>
      <c r="CV1684" s="895"/>
      <c r="CW1684" s="895"/>
      <c r="CX1684" s="895"/>
      <c r="CY1684" s="915"/>
      <c r="CZ1684" s="899"/>
      <c r="DA1684" s="895"/>
      <c r="DB1684" s="1509"/>
      <c r="DC1684" s="895"/>
      <c r="DD1684" s="895"/>
      <c r="DE1684" s="899"/>
      <c r="DF1684" s="895"/>
      <c r="DG1684" s="895"/>
      <c r="DH1684" s="895"/>
      <c r="DI1684" s="895"/>
      <c r="DJ1684" s="899"/>
      <c r="DK1684" s="1015"/>
      <c r="DL1684" s="895"/>
      <c r="DM1684" s="895"/>
      <c r="DN1684" s="915"/>
      <c r="DO1684" s="915"/>
      <c r="DP1684" s="895"/>
      <c r="DQ1684" s="895"/>
      <c r="DR1684" s="895"/>
      <c r="DS1684" s="915"/>
      <c r="DT1684" s="915"/>
      <c r="DU1684" s="895"/>
      <c r="DV1684" s="895"/>
      <c r="DW1684" s="895"/>
      <c r="DX1684" s="895"/>
      <c r="DY1684" s="2404"/>
      <c r="DZ1684" s="895"/>
      <c r="EA1684" s="895"/>
      <c r="EB1684" s="895"/>
      <c r="EC1684" s="915"/>
      <c r="ED1684" s="2404"/>
      <c r="EE1684" s="3562">
        <f>SUM(EE1682:EE1683)</f>
      </c>
      <c r="EF1684" s="2403">
        <f t="shared" ref="EF1684:EW1684" si="3049">SUM(EF1682:EF1683)</f>
      </c>
      <c r="EG1684" s="2403">
        <f t="shared" si="3049"/>
      </c>
      <c r="EH1684" s="895">
        <f t="shared" si="3049"/>
      </c>
      <c r="EI1684" s="2404">
        <f t="shared" si="3049"/>
      </c>
      <c r="EJ1684" s="2404">
        <f t="shared" si="3049"/>
      </c>
      <c r="EK1684" s="2404">
        <f t="shared" si="3049"/>
      </c>
      <c r="EL1684" s="2404">
        <f t="shared" si="3049"/>
      </c>
      <c r="EM1684" s="2404">
        <f t="shared" si="3049"/>
      </c>
      <c r="EN1684" s="2404">
        <f t="shared" si="3049"/>
      </c>
      <c r="EO1684" s="2404">
        <f t="shared" si="3049"/>
      </c>
      <c r="EP1684" s="2404">
        <f t="shared" si="3049"/>
      </c>
      <c r="EQ1684" s="2404">
        <f t="shared" si="3049"/>
      </c>
      <c r="ER1684" s="2404">
        <f t="shared" si="3049"/>
      </c>
      <c r="ES1684" s="2404">
        <f t="shared" si="3049"/>
      </c>
      <c r="ET1684" s="2404">
        <f t="shared" si="3049"/>
      </c>
      <c r="EU1684" s="2404">
        <f t="shared" si="3049"/>
      </c>
      <c r="EV1684" s="2404">
        <f t="shared" si="3049"/>
      </c>
      <c r="EW1684" s="2404">
        <f t="shared" si="3049"/>
      </c>
      <c r="EX1684" s="2406"/>
    </row>
    <row r="1685" spans="2:154">
      <c r="B1685" s="910"/>
      <c r="C1685" s="1392"/>
      <c r="D1685" s="894"/>
      <c r="E1685" s="894"/>
      <c r="F1685" s="895"/>
      <c r="G1685" s="895"/>
      <c r="H1685" s="895"/>
      <c r="I1685" s="895"/>
      <c r="J1685" s="895"/>
      <c r="K1685" s="895"/>
      <c r="L1685" s="895"/>
      <c r="M1685" s="895"/>
      <c r="N1685" s="895"/>
      <c r="O1685" s="896"/>
      <c r="P1685" s="895"/>
      <c r="Q1685" s="895"/>
      <c r="R1685" s="895"/>
      <c r="S1685" s="895"/>
      <c r="T1685" s="896"/>
      <c r="U1685" s="895"/>
      <c r="V1685" s="895"/>
      <c r="W1685" s="895"/>
      <c r="X1685" s="899"/>
      <c r="Y1685" s="896"/>
      <c r="Z1685" s="895"/>
      <c r="AA1685" s="895"/>
      <c r="AB1685" s="895"/>
      <c r="AC1685" s="899"/>
      <c r="AD1685" s="896"/>
      <c r="AE1685" s="895"/>
      <c r="AF1685" s="895"/>
      <c r="AG1685" s="895"/>
      <c r="AH1685" s="899"/>
      <c r="AI1685" s="896"/>
      <c r="AJ1685" s="895"/>
      <c r="AK1685" s="895"/>
      <c r="AL1685" s="895"/>
      <c r="AM1685" s="899"/>
      <c r="AN1685" s="896"/>
      <c r="AO1685" s="895"/>
      <c r="AP1685" s="895"/>
      <c r="AQ1685" s="897"/>
      <c r="AR1685" s="899"/>
      <c r="AS1685" s="896"/>
      <c r="AT1685" s="895"/>
      <c r="AU1685" s="895"/>
      <c r="AV1685" s="895"/>
      <c r="AW1685" s="899"/>
      <c r="AX1685" s="896"/>
      <c r="AY1685" s="895"/>
      <c r="AZ1685" s="895"/>
      <c r="BA1685" s="895"/>
      <c r="BB1685" s="899"/>
      <c r="BC1685" s="896"/>
      <c r="BD1685" s="895"/>
      <c r="BE1685" s="895"/>
      <c r="BF1685" s="895"/>
      <c r="BG1685" s="899"/>
      <c r="BH1685" s="896"/>
      <c r="BI1685" s="895"/>
      <c r="BJ1685" s="895"/>
      <c r="BK1685" s="895"/>
      <c r="BL1685" s="899"/>
      <c r="BM1685" s="895"/>
      <c r="BN1685" s="895"/>
      <c r="BO1685" s="895"/>
      <c r="BP1685" s="895"/>
      <c r="BQ1685" s="899"/>
      <c r="BR1685" s="895"/>
      <c r="BS1685" s="895"/>
      <c r="BT1685" s="895"/>
      <c r="BU1685" s="895"/>
      <c r="BV1685" s="899"/>
      <c r="BW1685" s="895"/>
      <c r="BX1685" s="895"/>
      <c r="BY1685" s="895"/>
      <c r="BZ1685" s="895"/>
      <c r="CA1685" s="899"/>
      <c r="CB1685" s="895"/>
      <c r="CC1685" s="895"/>
      <c r="CD1685" s="895"/>
      <c r="CE1685" s="895"/>
      <c r="CF1685" s="899"/>
      <c r="CG1685" s="895"/>
      <c r="CH1685" s="895"/>
      <c r="CI1685" s="895"/>
      <c r="CJ1685" s="895"/>
      <c r="CK1685" s="899"/>
      <c r="CL1685" s="1015"/>
      <c r="CM1685" s="895"/>
      <c r="CN1685" s="895"/>
      <c r="CO1685" s="895"/>
      <c r="CP1685" s="899"/>
      <c r="CQ1685" s="895"/>
      <c r="CR1685" s="895"/>
      <c r="CS1685" s="895"/>
      <c r="CT1685" s="915"/>
      <c r="CU1685" s="899"/>
      <c r="CV1685" s="895"/>
      <c r="CW1685" s="895"/>
      <c r="CX1685" s="895"/>
      <c r="CY1685" s="915"/>
      <c r="CZ1685" s="899"/>
      <c r="DA1685" s="1015"/>
      <c r="DB1685" s="1509"/>
      <c r="DC1685" s="895"/>
      <c r="DD1685" s="915"/>
      <c r="DE1685" s="899"/>
      <c r="DF1685" s="1015"/>
      <c r="DG1685" s="895"/>
      <c r="DH1685" s="895"/>
      <c r="DI1685" s="915"/>
      <c r="DJ1685" s="915"/>
      <c r="DK1685" s="1015"/>
      <c r="DL1685" s="895"/>
      <c r="DM1685" s="895"/>
      <c r="DN1685" s="915"/>
      <c r="DO1685" s="915"/>
      <c r="DP1685" s="895"/>
      <c r="DQ1685" s="895"/>
      <c r="DR1685" s="895"/>
      <c r="DS1685" s="915"/>
      <c r="DT1685" s="915"/>
      <c r="DU1685" s="895"/>
      <c r="DV1685" s="895"/>
      <c r="DW1685" s="895"/>
      <c r="DX1685" s="915"/>
      <c r="DY1685" s="915"/>
      <c r="DZ1685" s="895"/>
      <c r="EA1685" s="895"/>
      <c r="EB1685" s="895"/>
      <c r="EC1685" s="915"/>
      <c r="ED1685" s="915"/>
      <c r="EE1685" s="895"/>
      <c r="EF1685" s="895"/>
      <c r="EG1685" s="895"/>
      <c r="EH1685" s="915"/>
      <c r="EI1685" s="915"/>
      <c r="EJ1685" s="899"/>
      <c r="EK1685" s="899"/>
      <c r="EL1685" s="899"/>
      <c r="EM1685" s="899"/>
      <c r="EN1685" s="899"/>
      <c r="EO1685" s="899"/>
      <c r="EP1685" s="899"/>
      <c r="EQ1685" s="899"/>
      <c r="ER1685" s="899"/>
      <c r="ES1685" s="899"/>
      <c r="ET1685" s="899"/>
      <c r="EU1685" s="899"/>
      <c r="EV1685" s="899"/>
      <c r="EW1685" s="899"/>
      <c r="EX1685" s="899"/>
    </row>
    <row r="1686" spans="2:154">
      <c r="B1686" s="910" t="s">
        <v>1027</v>
      </c>
      <c r="C1686" s="1392"/>
      <c r="D1686" s="894"/>
      <c r="E1686" s="894"/>
      <c r="F1686" s="895"/>
      <c r="G1686" s="895"/>
      <c r="H1686" s="895"/>
      <c r="I1686" s="895"/>
      <c r="J1686" s="895"/>
      <c r="K1686" s="895"/>
      <c r="L1686" s="895"/>
      <c r="M1686" s="895"/>
      <c r="N1686" s="895"/>
      <c r="O1686" s="896"/>
      <c r="P1686" s="895"/>
      <c r="Q1686" s="895"/>
      <c r="R1686" s="895"/>
      <c r="S1686" s="895"/>
      <c r="T1686" s="896"/>
      <c r="U1686" s="895"/>
      <c r="V1686" s="895"/>
      <c r="W1686" s="895"/>
      <c r="X1686" s="899"/>
      <c r="Y1686" s="896"/>
      <c r="Z1686" s="895"/>
      <c r="AA1686" s="895"/>
      <c r="AB1686" s="895"/>
      <c r="AC1686" s="899"/>
      <c r="AD1686" s="896"/>
      <c r="AE1686" s="895"/>
      <c r="AF1686" s="895"/>
      <c r="AG1686" s="895"/>
      <c r="AH1686" s="899"/>
      <c r="AI1686" s="896"/>
      <c r="AJ1686" s="895"/>
      <c r="AK1686" s="895"/>
      <c r="AL1686" s="895"/>
      <c r="AM1686" s="899"/>
      <c r="AN1686" s="896"/>
      <c r="AO1686" s="895"/>
      <c r="AP1686" s="895"/>
      <c r="AQ1686" s="897"/>
      <c r="AR1686" s="899"/>
      <c r="AS1686" s="896"/>
      <c r="AT1686" s="895"/>
      <c r="AU1686" s="895"/>
      <c r="AV1686" s="895"/>
      <c r="AW1686" s="899"/>
      <c r="AX1686" s="896"/>
      <c r="AY1686" s="895"/>
      <c r="AZ1686" s="895"/>
      <c r="BA1686" s="895"/>
      <c r="BB1686" s="899"/>
      <c r="BC1686" s="896"/>
      <c r="BD1686" s="895"/>
      <c r="BE1686" s="895"/>
      <c r="BF1686" s="895"/>
      <c r="BG1686" s="899"/>
      <c r="BH1686" s="896"/>
      <c r="BI1686" s="895"/>
      <c r="BJ1686" s="895"/>
      <c r="BK1686" s="895"/>
      <c r="BL1686" s="899"/>
      <c r="BM1686" s="895"/>
      <c r="BN1686" s="895"/>
      <c r="BO1686" s="895"/>
      <c r="BP1686" s="895"/>
      <c r="BQ1686" s="899"/>
      <c r="BR1686" s="895"/>
      <c r="BS1686" s="895"/>
      <c r="BT1686" s="895"/>
      <c r="BU1686" s="895"/>
      <c r="BV1686" s="899"/>
      <c r="BW1686" s="895"/>
      <c r="BX1686" s="895"/>
      <c r="BY1686" s="895"/>
      <c r="BZ1686" s="895"/>
      <c r="CA1686" s="899"/>
      <c r="CB1686" s="895"/>
      <c r="CC1686" s="895"/>
      <c r="CD1686" s="895"/>
      <c r="CE1686" s="895"/>
      <c r="CF1686" s="899"/>
      <c r="CG1686" s="895"/>
      <c r="CH1686" s="895"/>
      <c r="CI1686" s="895"/>
      <c r="CJ1686" s="895"/>
      <c r="CK1686" s="899"/>
      <c r="CL1686" s="1015"/>
      <c r="CM1686" s="895"/>
      <c r="CN1686" s="895"/>
      <c r="CO1686" s="895"/>
      <c r="CP1686" s="899"/>
      <c r="CQ1686" s="895"/>
      <c r="CR1686" s="895"/>
      <c r="CS1686" s="895"/>
      <c r="CT1686" s="915"/>
      <c r="CU1686" s="899"/>
      <c r="CV1686" s="895"/>
      <c r="CW1686" s="895"/>
      <c r="CX1686" s="895"/>
      <c r="CY1686" s="915"/>
      <c r="CZ1686" s="899"/>
      <c r="DA1686" s="1015"/>
      <c r="DB1686" s="1509"/>
      <c r="DC1686" s="895"/>
      <c r="DD1686" s="915"/>
      <c r="DE1686" s="899"/>
      <c r="DF1686" s="1015"/>
      <c r="DG1686" s="895"/>
      <c r="DH1686" s="895"/>
      <c r="DI1686" s="915"/>
      <c r="DJ1686" s="915"/>
      <c r="DK1686" s="1015"/>
      <c r="DL1686" s="895"/>
      <c r="DM1686" s="895"/>
      <c r="DN1686" s="915"/>
      <c r="DO1686" s="915"/>
      <c r="DP1686" s="895"/>
      <c r="DQ1686" s="895"/>
      <c r="DR1686" s="895"/>
      <c r="DS1686" s="915"/>
      <c r="DT1686" s="915"/>
      <c r="DU1686" s="895"/>
      <c r="DV1686" s="895"/>
      <c r="DW1686" s="895"/>
      <c r="DX1686" s="915"/>
      <c r="DY1686" s="915"/>
      <c r="DZ1686" s="895"/>
      <c r="EA1686" s="895"/>
      <c r="EB1686" s="895"/>
      <c r="EC1686" s="915"/>
      <c r="ED1686" s="915"/>
      <c r="EE1686" s="3756" t="e">
        <f>EE1684/EE1679</f>
      </c>
      <c r="EF1686" s="3756" t="e">
        <f t="shared" ref="EF1686:EW1686" si="3050">EF1684/EF1679</f>
      </c>
      <c r="EG1686" s="3756" t="e">
        <f t="shared" si="3050"/>
      </c>
      <c r="EH1686" s="3757">
        <f t="shared" si="3050"/>
      </c>
      <c r="EI1686" s="3757">
        <f t="shared" si="3050"/>
      </c>
      <c r="EJ1686" s="3695">
        <f t="shared" si="3050"/>
      </c>
      <c r="EK1686" s="3695">
        <f t="shared" si="3050"/>
      </c>
      <c r="EL1686" s="3695">
        <f t="shared" si="3050"/>
      </c>
      <c r="EM1686" s="3695">
        <f t="shared" si="3050"/>
      </c>
      <c r="EN1686" s="3695">
        <f t="shared" si="3050"/>
      </c>
      <c r="EO1686" s="3695">
        <f t="shared" si="3050"/>
      </c>
      <c r="EP1686" s="3695">
        <f t="shared" si="3050"/>
      </c>
      <c r="EQ1686" s="3695">
        <f t="shared" si="3050"/>
      </c>
      <c r="ER1686" s="3695">
        <f t="shared" si="3050"/>
      </c>
      <c r="ES1686" s="3695">
        <f t="shared" si="3050"/>
      </c>
      <c r="ET1686" s="3695">
        <f t="shared" si="3050"/>
      </c>
      <c r="EU1686" s="3695">
        <f t="shared" si="3050"/>
      </c>
      <c r="EV1686" s="3695">
        <f t="shared" si="3050"/>
      </c>
      <c r="EW1686" s="3695">
        <f t="shared" si="3050"/>
      </c>
      <c r="EX1686" s="899"/>
    </row>
    <row r="1687" spans="2:154">
      <c r="B1687" s="911"/>
      <c r="C1687" s="1392"/>
      <c r="D1687" s="894"/>
      <c r="E1687" s="894"/>
      <c r="F1687" s="895"/>
      <c r="G1687" s="895"/>
      <c r="H1687" s="895"/>
      <c r="I1687" s="895"/>
      <c r="J1687" s="895"/>
      <c r="K1687" s="895"/>
      <c r="L1687" s="895"/>
      <c r="M1687" s="895"/>
      <c r="N1687" s="895"/>
      <c r="O1687" s="896"/>
      <c r="P1687" s="895"/>
      <c r="Q1687" s="895"/>
      <c r="R1687" s="895"/>
      <c r="S1687" s="895"/>
      <c r="T1687" s="896"/>
      <c r="U1687" s="895"/>
      <c r="V1687" s="895"/>
      <c r="W1687" s="895"/>
      <c r="X1687" s="899"/>
      <c r="Y1687" s="896"/>
      <c r="Z1687" s="895"/>
      <c r="AA1687" s="895"/>
      <c r="AB1687" s="895"/>
      <c r="AC1687" s="899"/>
      <c r="AD1687" s="896"/>
      <c r="AE1687" s="895"/>
      <c r="AF1687" s="895"/>
      <c r="AG1687" s="895"/>
      <c r="AH1687" s="899"/>
      <c r="AI1687" s="896"/>
      <c r="AJ1687" s="895"/>
      <c r="AK1687" s="895"/>
      <c r="AL1687" s="895"/>
      <c r="AM1687" s="899"/>
      <c r="AN1687" s="896"/>
      <c r="AO1687" s="895"/>
      <c r="AP1687" s="895"/>
      <c r="AQ1687" s="897"/>
      <c r="AR1687" s="899"/>
      <c r="AS1687" s="896"/>
      <c r="AT1687" s="895"/>
      <c r="AU1687" s="895"/>
      <c r="AV1687" s="895"/>
      <c r="AW1687" s="899"/>
      <c r="AX1687" s="896"/>
      <c r="AY1687" s="895"/>
      <c r="AZ1687" s="895"/>
      <c r="BA1687" s="895"/>
      <c r="BB1687" s="899"/>
      <c r="BC1687" s="896"/>
      <c r="BD1687" s="895"/>
      <c r="BE1687" s="895"/>
      <c r="BF1687" s="895"/>
      <c r="BG1687" s="899"/>
      <c r="BH1687" s="896"/>
      <c r="BI1687" s="895"/>
      <c r="BJ1687" s="895"/>
      <c r="BK1687" s="895"/>
      <c r="BL1687" s="899"/>
      <c r="BM1687" s="895"/>
      <c r="BN1687" s="895"/>
      <c r="BO1687" s="895"/>
      <c r="BP1687" s="895"/>
      <c r="BQ1687" s="899"/>
      <c r="BR1687" s="895"/>
      <c r="BS1687" s="895"/>
      <c r="BT1687" s="895"/>
      <c r="BU1687" s="895"/>
      <c r="BV1687" s="899"/>
      <c r="BW1687" s="895"/>
      <c r="BX1687" s="895"/>
      <c r="BY1687" s="895"/>
      <c r="BZ1687" s="895"/>
      <c r="CA1687" s="899"/>
      <c r="CB1687" s="895"/>
      <c r="CC1687" s="895"/>
      <c r="CD1687" s="895"/>
      <c r="CE1687" s="895"/>
      <c r="CF1687" s="899"/>
      <c r="CG1687" s="895"/>
      <c r="CH1687" s="895"/>
      <c r="CI1687" s="895"/>
      <c r="CJ1687" s="895"/>
      <c r="CK1687" s="899"/>
      <c r="CL1687" s="1015"/>
      <c r="CM1687" s="895"/>
      <c r="CN1687" s="895"/>
      <c r="CO1687" s="895"/>
      <c r="CP1687" s="899"/>
      <c r="CQ1687" s="895"/>
      <c r="CR1687" s="895"/>
      <c r="CS1687" s="895"/>
      <c r="CT1687" s="915"/>
      <c r="CU1687" s="899"/>
      <c r="CV1687" s="895"/>
      <c r="CW1687" s="895"/>
      <c r="CX1687" s="895"/>
      <c r="CY1687" s="915"/>
      <c r="CZ1687" s="899"/>
      <c r="DA1687" s="1015"/>
      <c r="DB1687" s="1509"/>
      <c r="DC1687" s="895"/>
      <c r="DD1687" s="915"/>
      <c r="DE1687" s="899"/>
      <c r="DF1687" s="1015"/>
      <c r="DG1687" s="895"/>
      <c r="DH1687" s="895"/>
      <c r="DI1687" s="915"/>
      <c r="DJ1687" s="915"/>
      <c r="DK1687" s="1015"/>
      <c r="DL1687" s="895"/>
      <c r="DM1687" s="895"/>
      <c r="DN1687" s="915"/>
      <c r="DO1687" s="915"/>
      <c r="DP1687" s="895"/>
      <c r="DQ1687" s="895"/>
      <c r="DR1687" s="895"/>
      <c r="DS1687" s="915"/>
      <c r="DT1687" s="915"/>
      <c r="DU1687" s="895"/>
      <c r="DV1687" s="895"/>
      <c r="DW1687" s="895"/>
      <c r="DX1687" s="915"/>
      <c r="DY1687" s="915"/>
      <c r="DZ1687" s="895"/>
      <c r="EA1687" s="895"/>
      <c r="EB1687" s="895"/>
      <c r="EC1687" s="915"/>
      <c r="ED1687" s="915"/>
      <c r="EE1687" s="895"/>
      <c r="EF1687" s="895"/>
      <c r="EG1687" s="895"/>
      <c r="EH1687" s="915"/>
      <c r="EI1687" s="915"/>
      <c r="EJ1687" s="899"/>
      <c r="EK1687" s="899"/>
      <c r="EL1687" s="899"/>
      <c r="EM1687" s="899"/>
      <c r="EN1687" s="899"/>
      <c r="EO1687" s="899"/>
      <c r="EP1687" s="899"/>
      <c r="EQ1687" s="899"/>
      <c r="ER1687" s="899"/>
      <c r="ES1687" s="899"/>
      <c r="ET1687" s="899"/>
      <c r="EU1687" s="899"/>
      <c r="EV1687" s="899"/>
      <c r="EW1687" s="899"/>
      <c r="EX1687" s="899"/>
    </row>
    <row r="1688" spans="2:154">
      <c r="B1688" s="912" t="s">
        <v>969</v>
      </c>
      <c r="C1688" s="1392"/>
      <c r="D1688" s="894"/>
      <c r="E1688" s="894"/>
      <c r="F1688" s="895"/>
      <c r="G1688" s="895"/>
      <c r="H1688" s="895"/>
      <c r="I1688" s="895"/>
      <c r="J1688" s="895"/>
      <c r="K1688" s="895"/>
      <c r="L1688" s="895"/>
      <c r="M1688" s="895"/>
      <c r="N1688" s="895"/>
      <c r="O1688" s="896"/>
      <c r="P1688" s="895"/>
      <c r="Q1688" s="895"/>
      <c r="R1688" s="895"/>
      <c r="S1688" s="895"/>
      <c r="T1688" s="896"/>
      <c r="U1688" s="895"/>
      <c r="V1688" s="895"/>
      <c r="W1688" s="895"/>
      <c r="X1688" s="899"/>
      <c r="Y1688" s="896"/>
      <c r="Z1688" s="895"/>
      <c r="AA1688" s="895"/>
      <c r="AB1688" s="895"/>
      <c r="AC1688" s="899"/>
      <c r="AD1688" s="896"/>
      <c r="AE1688" s="895"/>
      <c r="AF1688" s="895"/>
      <c r="AG1688" s="895"/>
      <c r="AH1688" s="899"/>
      <c r="AI1688" s="896"/>
      <c r="AJ1688" s="895"/>
      <c r="AK1688" s="895"/>
      <c r="AL1688" s="895"/>
      <c r="AM1688" s="899"/>
      <c r="AN1688" s="896"/>
      <c r="AO1688" s="895"/>
      <c r="AP1688" s="895"/>
      <c r="AQ1688" s="897"/>
      <c r="AR1688" s="899"/>
      <c r="AS1688" s="896"/>
      <c r="AT1688" s="895"/>
      <c r="AU1688" s="895"/>
      <c r="AV1688" s="895"/>
      <c r="AW1688" s="899"/>
      <c r="AX1688" s="896"/>
      <c r="AY1688" s="895"/>
      <c r="AZ1688" s="895"/>
      <c r="BA1688" s="895"/>
      <c r="BB1688" s="899"/>
      <c r="BC1688" s="896"/>
      <c r="BD1688" s="895"/>
      <c r="BE1688" s="895"/>
      <c r="BF1688" s="895"/>
      <c r="BG1688" s="899"/>
      <c r="BH1688" s="896"/>
      <c r="BI1688" s="895"/>
      <c r="BJ1688" s="895"/>
      <c r="BK1688" s="895"/>
      <c r="BL1688" s="899"/>
      <c r="BM1688" s="895"/>
      <c r="BN1688" s="895"/>
      <c r="BO1688" s="895"/>
      <c r="BP1688" s="895"/>
      <c r="BQ1688" s="899"/>
      <c r="BR1688" s="895"/>
      <c r="BS1688" s="895"/>
      <c r="BT1688" s="895"/>
      <c r="BU1688" s="895"/>
      <c r="BV1688" s="899"/>
      <c r="BW1688" s="895"/>
      <c r="BX1688" s="895"/>
      <c r="BY1688" s="895"/>
      <c r="BZ1688" s="895"/>
      <c r="CA1688" s="899"/>
      <c r="CB1688" s="895"/>
      <c r="CC1688" s="895"/>
      <c r="CD1688" s="895"/>
      <c r="CE1688" s="895"/>
      <c r="CF1688" s="899"/>
      <c r="CG1688" s="895"/>
      <c r="CH1688" s="895"/>
      <c r="CI1688" s="895"/>
      <c r="CJ1688" s="895"/>
      <c r="CK1688" s="899"/>
      <c r="CL1688" s="1015"/>
      <c r="CM1688" s="895"/>
      <c r="CN1688" s="895"/>
      <c r="CO1688" s="895"/>
      <c r="CP1688" s="899"/>
      <c r="CQ1688" s="895"/>
      <c r="CR1688" s="895"/>
      <c r="CS1688" s="895"/>
      <c r="CT1688" s="915"/>
      <c r="CU1688" s="899"/>
      <c r="CV1688" s="895"/>
      <c r="CW1688" s="895"/>
      <c r="CX1688" s="895"/>
      <c r="CY1688" s="915"/>
      <c r="CZ1688" s="899"/>
      <c r="DA1688" s="1015"/>
      <c r="DB1688" s="1509"/>
      <c r="DC1688" s="895"/>
      <c r="DD1688" s="915"/>
      <c r="DE1688" s="899"/>
      <c r="DF1688" s="1015"/>
      <c r="DG1688" s="895"/>
      <c r="DH1688" s="895"/>
      <c r="DI1688" s="915"/>
      <c r="DJ1688" s="915"/>
      <c r="DK1688" s="1015"/>
      <c r="DL1688" s="895"/>
      <c r="DM1688" s="895"/>
      <c r="DN1688" s="915"/>
      <c r="DO1688" s="915"/>
      <c r="DP1688" s="895"/>
      <c r="DQ1688" s="895"/>
      <c r="DR1688" s="895"/>
      <c r="DS1688" s="915"/>
      <c r="DT1688" s="915"/>
      <c r="DU1688" s="895"/>
      <c r="DV1688" s="895"/>
      <c r="DW1688" s="895"/>
      <c r="DX1688" s="915"/>
      <c r="DY1688" s="915"/>
      <c r="DZ1688" s="895"/>
      <c r="EA1688" s="895"/>
      <c r="EB1688" s="895"/>
      <c r="EC1688" s="915"/>
      <c r="ED1688" s="915"/>
      <c r="EE1688" s="895"/>
      <c r="EF1688" s="895"/>
      <c r="EG1688" s="895"/>
      <c r="EH1688" s="915"/>
      <c r="EI1688" s="915"/>
      <c r="EJ1688" s="899"/>
      <c r="EK1688" s="899"/>
      <c r="EL1688" s="899"/>
      <c r="EM1688" s="899"/>
      <c r="EN1688" s="899"/>
      <c r="EO1688" s="899"/>
      <c r="EP1688" s="899"/>
      <c r="EQ1688" s="899"/>
      <c r="ER1688" s="899"/>
      <c r="ES1688" s="899"/>
      <c r="ET1688" s="899"/>
      <c r="EU1688" s="899"/>
      <c r="EV1688" s="899"/>
      <c r="EW1688" s="899"/>
      <c r="EX1688" s="899"/>
    </row>
    <row r="1689" spans="2:154">
      <c r="B1689" s="913" t="s">
        <v>421</v>
      </c>
      <c r="C1689" s="1392"/>
      <c r="D1689" s="894"/>
      <c r="E1689" s="894"/>
      <c r="F1689" s="895"/>
      <c r="G1689" s="895"/>
      <c r="H1689" s="895"/>
      <c r="I1689" s="895"/>
      <c r="J1689" s="895"/>
      <c r="K1689" s="895"/>
      <c r="L1689" s="895"/>
      <c r="M1689" s="895"/>
      <c r="N1689" s="895"/>
      <c r="O1689" s="896"/>
      <c r="P1689" s="895"/>
      <c r="Q1689" s="895"/>
      <c r="R1689" s="895"/>
      <c r="S1689" s="895"/>
      <c r="T1689" s="896"/>
      <c r="U1689" s="895"/>
      <c r="V1689" s="895"/>
      <c r="W1689" s="895"/>
      <c r="X1689" s="899"/>
      <c r="Y1689" s="896"/>
      <c r="Z1689" s="895"/>
      <c r="AA1689" s="895"/>
      <c r="AB1689" s="895"/>
      <c r="AC1689" s="899"/>
      <c r="AD1689" s="896"/>
      <c r="AE1689" s="895"/>
      <c r="AF1689" s="895"/>
      <c r="AG1689" s="895"/>
      <c r="AH1689" s="899"/>
      <c r="AI1689" s="896"/>
      <c r="AJ1689" s="895"/>
      <c r="AK1689" s="895"/>
      <c r="AL1689" s="895"/>
      <c r="AM1689" s="899"/>
      <c r="AN1689" s="896"/>
      <c r="AO1689" s="895"/>
      <c r="AP1689" s="895"/>
      <c r="AQ1689" s="897"/>
      <c r="AR1689" s="899"/>
      <c r="AS1689" s="896"/>
      <c r="AT1689" s="895"/>
      <c r="AU1689" s="895"/>
      <c r="AV1689" s="895"/>
      <c r="AW1689" s="899"/>
      <c r="AX1689" s="896"/>
      <c r="AY1689" s="895"/>
      <c r="AZ1689" s="895"/>
      <c r="BA1689" s="895"/>
      <c r="BB1689" s="899"/>
      <c r="BC1689" s="896"/>
      <c r="BD1689" s="895"/>
      <c r="BE1689" s="895"/>
      <c r="BF1689" s="895"/>
      <c r="BG1689" s="899"/>
      <c r="BH1689" s="896"/>
      <c r="BI1689" s="895"/>
      <c r="BJ1689" s="895"/>
      <c r="BK1689" s="895"/>
      <c r="BL1689" s="899"/>
      <c r="BM1689" s="895"/>
      <c r="BN1689" s="895"/>
      <c r="BO1689" s="895"/>
      <c r="BP1689" s="895"/>
      <c r="BQ1689" s="899"/>
      <c r="BR1689" s="895"/>
      <c r="BS1689" s="895"/>
      <c r="BT1689" s="895"/>
      <c r="BU1689" s="895"/>
      <c r="BV1689" s="899"/>
      <c r="BW1689" s="895"/>
      <c r="BX1689" s="895"/>
      <c r="BY1689" s="895"/>
      <c r="BZ1689" s="895"/>
      <c r="CA1689" s="899"/>
      <c r="CB1689" s="895"/>
      <c r="CC1689" s="895"/>
      <c r="CD1689" s="895"/>
      <c r="CE1689" s="895"/>
      <c r="CF1689" s="899"/>
      <c r="CG1689" s="895"/>
      <c r="CH1689" s="895"/>
      <c r="CI1689" s="895"/>
      <c r="CJ1689" s="895"/>
      <c r="CK1689" s="899"/>
      <c r="CL1689" s="1015"/>
      <c r="CM1689" s="895"/>
      <c r="CN1689" s="895"/>
      <c r="CO1689" s="895"/>
      <c r="CP1689" s="923"/>
      <c r="CQ1689" s="895"/>
      <c r="CR1689" s="895"/>
      <c r="CS1689" s="895"/>
      <c r="CT1689" s="915"/>
      <c r="CU1689" s="922"/>
      <c r="CV1689" s="895"/>
      <c r="CW1689" s="895"/>
      <c r="CX1689" s="895"/>
      <c r="CY1689" s="915"/>
      <c r="CZ1689" s="922"/>
      <c r="DA1689" s="1341"/>
      <c r="DB1689" s="1516"/>
      <c r="DC1689" s="1341"/>
      <c r="DD1689" s="922"/>
      <c r="DE1689" s="922"/>
      <c r="DF1689" s="1341"/>
      <c r="DG1689" s="1341"/>
      <c r="DH1689" s="1341"/>
      <c r="DI1689" s="922"/>
      <c r="DJ1689" s="922"/>
      <c r="DK1689" s="1341"/>
      <c r="DL1689" s="1341"/>
      <c r="DM1689" s="1341"/>
      <c r="DN1689" s="922"/>
      <c r="DO1689" s="922"/>
      <c r="DP1689" s="1341"/>
      <c r="DQ1689" s="1341"/>
      <c r="DR1689" s="1341"/>
      <c r="DS1689" s="922"/>
      <c r="DT1689" s="922"/>
      <c r="DU1689" s="1341"/>
      <c r="DV1689" s="1341"/>
      <c r="DW1689" s="1341"/>
      <c r="DX1689" s="922"/>
      <c r="DY1689" s="922"/>
      <c r="DZ1689" s="1341"/>
      <c r="EA1689" s="1341"/>
      <c r="EB1689" s="1341"/>
      <c r="EC1689" s="922"/>
      <c r="ED1689" s="922"/>
      <c r="EE1689" s="1341"/>
      <c r="EF1689" s="1341"/>
      <c r="EG1689" s="1341"/>
      <c r="EH1689" s="922"/>
      <c r="EI1689" s="922"/>
      <c r="EJ1689" s="923">
        <f>EJ1682/EI1682-1</f>
      </c>
      <c r="EK1689" s="923">
        <f t="shared" ref="EK1689:EW1689" si="3051">EK1682/EJ1682-1</f>
      </c>
      <c r="EL1689" s="923">
        <f t="shared" si="3051"/>
      </c>
      <c r="EM1689" s="923">
        <f t="shared" si="3051"/>
      </c>
      <c r="EN1689" s="923">
        <f t="shared" si="3051"/>
      </c>
      <c r="EO1689" s="923">
        <f t="shared" si="3051"/>
      </c>
      <c r="EP1689" s="923">
        <f t="shared" si="3051"/>
      </c>
      <c r="EQ1689" s="923">
        <f t="shared" si="3051"/>
      </c>
      <c r="ER1689" s="923">
        <f t="shared" si="3051"/>
      </c>
      <c r="ES1689" s="923">
        <f t="shared" si="3051"/>
      </c>
      <c r="ET1689" s="923">
        <f t="shared" si="3051"/>
      </c>
      <c r="EU1689" s="923">
        <f t="shared" si="3051"/>
      </c>
      <c r="EV1689" s="923">
        <f t="shared" si="3051"/>
      </c>
      <c r="EW1689" s="923">
        <f t="shared" si="3051"/>
      </c>
      <c r="EX1689" s="923"/>
    </row>
    <row r="1690" spans="2:154">
      <c r="B1690" s="913" t="s">
        <v>584</v>
      </c>
      <c r="C1690" s="1392"/>
      <c r="D1690" s="894"/>
      <c r="E1690" s="894"/>
      <c r="F1690" s="895"/>
      <c r="G1690" s="895"/>
      <c r="H1690" s="895"/>
      <c r="I1690" s="895"/>
      <c r="J1690" s="895"/>
      <c r="K1690" s="895"/>
      <c r="L1690" s="895"/>
      <c r="M1690" s="895"/>
      <c r="N1690" s="895"/>
      <c r="O1690" s="896"/>
      <c r="P1690" s="895"/>
      <c r="Q1690" s="895"/>
      <c r="R1690" s="895"/>
      <c r="S1690" s="895"/>
      <c r="T1690" s="896"/>
      <c r="U1690" s="895"/>
      <c r="V1690" s="895"/>
      <c r="W1690" s="895"/>
      <c r="X1690" s="899"/>
      <c r="Y1690" s="896"/>
      <c r="Z1690" s="895"/>
      <c r="AA1690" s="895"/>
      <c r="AB1690" s="895"/>
      <c r="AC1690" s="899"/>
      <c r="AD1690" s="896"/>
      <c r="AE1690" s="895"/>
      <c r="AF1690" s="895"/>
      <c r="AG1690" s="895"/>
      <c r="AH1690" s="899"/>
      <c r="AI1690" s="896"/>
      <c r="AJ1690" s="895"/>
      <c r="AK1690" s="895"/>
      <c r="AL1690" s="895"/>
      <c r="AM1690" s="899"/>
      <c r="AN1690" s="896"/>
      <c r="AO1690" s="895"/>
      <c r="AP1690" s="895"/>
      <c r="AQ1690" s="897"/>
      <c r="AR1690" s="899"/>
      <c r="AS1690" s="896"/>
      <c r="AT1690" s="895"/>
      <c r="AU1690" s="895"/>
      <c r="AV1690" s="895"/>
      <c r="AW1690" s="899"/>
      <c r="AX1690" s="896"/>
      <c r="AY1690" s="895"/>
      <c r="AZ1690" s="895"/>
      <c r="BA1690" s="895"/>
      <c r="BB1690" s="899"/>
      <c r="BC1690" s="896"/>
      <c r="BD1690" s="895"/>
      <c r="BE1690" s="895"/>
      <c r="BF1690" s="895"/>
      <c r="BG1690" s="899"/>
      <c r="BH1690" s="896"/>
      <c r="BI1690" s="895"/>
      <c r="BJ1690" s="895"/>
      <c r="BK1690" s="895"/>
      <c r="BL1690" s="899"/>
      <c r="BM1690" s="895"/>
      <c r="BN1690" s="895"/>
      <c r="BO1690" s="895"/>
      <c r="BP1690" s="895"/>
      <c r="BQ1690" s="899"/>
      <c r="BR1690" s="895"/>
      <c r="BS1690" s="895"/>
      <c r="BT1690" s="895"/>
      <c r="BU1690" s="895"/>
      <c r="BV1690" s="899"/>
      <c r="BW1690" s="895"/>
      <c r="BX1690" s="895"/>
      <c r="BY1690" s="895"/>
      <c r="BZ1690" s="895"/>
      <c r="CA1690" s="899"/>
      <c r="CB1690" s="895"/>
      <c r="CC1690" s="895"/>
      <c r="CD1690" s="895"/>
      <c r="CE1690" s="895"/>
      <c r="CF1690" s="899"/>
      <c r="CG1690" s="895"/>
      <c r="CH1690" s="895"/>
      <c r="CI1690" s="895"/>
      <c r="CJ1690" s="895"/>
      <c r="CK1690" s="899"/>
      <c r="CL1690" s="1015"/>
      <c r="CM1690" s="895"/>
      <c r="CN1690" s="895"/>
      <c r="CO1690" s="895"/>
      <c r="CP1690" s="923"/>
      <c r="CQ1690" s="895"/>
      <c r="CR1690" s="895"/>
      <c r="CS1690" s="895"/>
      <c r="CT1690" s="915"/>
      <c r="CU1690" s="922"/>
      <c r="CV1690" s="895"/>
      <c r="CW1690" s="895"/>
      <c r="CX1690" s="895"/>
      <c r="CY1690" s="915"/>
      <c r="CZ1690" s="922"/>
      <c r="DA1690" s="1341"/>
      <c r="DB1690" s="1516"/>
      <c r="DC1690" s="1341"/>
      <c r="DD1690" s="922"/>
      <c r="DE1690" s="922"/>
      <c r="DF1690" s="1341"/>
      <c r="DG1690" s="1341"/>
      <c r="DH1690" s="1341"/>
      <c r="DI1690" s="922"/>
      <c r="DJ1690" s="922"/>
      <c r="DK1690" s="1341"/>
      <c r="DL1690" s="1341"/>
      <c r="DM1690" s="1341"/>
      <c r="DN1690" s="922"/>
      <c r="DO1690" s="922"/>
      <c r="DP1690" s="1341"/>
      <c r="DQ1690" s="1341"/>
      <c r="DR1690" s="1341"/>
      <c r="DS1690" s="922"/>
      <c r="DT1690" s="922"/>
      <c r="DU1690" s="1341"/>
      <c r="DV1690" s="1341"/>
      <c r="DW1690" s="1341"/>
      <c r="DX1690" s="922"/>
      <c r="DY1690" s="922"/>
      <c r="DZ1690" s="1341"/>
      <c r="EA1690" s="1341"/>
      <c r="EB1690" s="1341"/>
      <c r="EC1690" s="922"/>
      <c r="ED1690" s="922"/>
      <c r="EE1690" s="1341"/>
      <c r="EF1690" s="1341"/>
      <c r="EG1690" s="1341"/>
      <c r="EH1690" s="922"/>
      <c r="EI1690" s="922"/>
      <c r="EJ1690" s="923" t="e">
        <f t="shared" ref="EJ1690:EW1691" si="3052">EJ1683/EI1683-1</f>
      </c>
      <c r="EK1690" s="923" t="e">
        <f t="shared" si="3052"/>
      </c>
      <c r="EL1690" s="923">
        <f t="shared" si="3052"/>
      </c>
      <c r="EM1690" s="923">
        <f t="shared" si="3052"/>
      </c>
      <c r="EN1690" s="923">
        <f t="shared" si="3052"/>
      </c>
      <c r="EO1690" s="923">
        <f t="shared" si="3052"/>
      </c>
      <c r="EP1690" s="923">
        <f t="shared" si="3052"/>
      </c>
      <c r="EQ1690" s="923">
        <f t="shared" si="3052"/>
      </c>
      <c r="ER1690" s="923">
        <f t="shared" si="3052"/>
      </c>
      <c r="ES1690" s="923">
        <f t="shared" si="3052"/>
      </c>
      <c r="ET1690" s="923">
        <f t="shared" si="3052"/>
      </c>
      <c r="EU1690" s="923">
        <f t="shared" si="3052"/>
      </c>
      <c r="EV1690" s="923">
        <f t="shared" si="3052"/>
      </c>
      <c r="EW1690" s="923">
        <f t="shared" si="3052"/>
      </c>
      <c r="EX1690" s="923"/>
    </row>
    <row r="1691" spans="2:154">
      <c r="B1691" s="913" t="s">
        <v>188</v>
      </c>
      <c r="C1691" s="1392"/>
      <c r="D1691" s="894"/>
      <c r="E1691" s="894"/>
      <c r="F1691" s="895"/>
      <c r="G1691" s="895"/>
      <c r="H1691" s="895"/>
      <c r="I1691" s="895"/>
      <c r="J1691" s="895"/>
      <c r="K1691" s="895"/>
      <c r="L1691" s="895"/>
      <c r="M1691" s="895"/>
      <c r="N1691" s="895"/>
      <c r="O1691" s="896"/>
      <c r="P1691" s="895"/>
      <c r="Q1691" s="895"/>
      <c r="R1691" s="895"/>
      <c r="S1691" s="895"/>
      <c r="T1691" s="896"/>
      <c r="U1691" s="895"/>
      <c r="V1691" s="895"/>
      <c r="W1691" s="895"/>
      <c r="X1691" s="899"/>
      <c r="Y1691" s="896"/>
      <c r="Z1691" s="895"/>
      <c r="AA1691" s="895"/>
      <c r="AB1691" s="895"/>
      <c r="AC1691" s="899"/>
      <c r="AD1691" s="896"/>
      <c r="AE1691" s="895"/>
      <c r="AF1691" s="895"/>
      <c r="AG1691" s="895"/>
      <c r="AH1691" s="899"/>
      <c r="AI1691" s="896"/>
      <c r="AJ1691" s="895"/>
      <c r="AK1691" s="895"/>
      <c r="AL1691" s="895"/>
      <c r="AM1691" s="899"/>
      <c r="AN1691" s="896"/>
      <c r="AO1691" s="895"/>
      <c r="AP1691" s="895"/>
      <c r="AQ1691" s="897"/>
      <c r="AR1691" s="899"/>
      <c r="AS1691" s="896"/>
      <c r="AT1691" s="895"/>
      <c r="AU1691" s="895"/>
      <c r="AV1691" s="895"/>
      <c r="AW1691" s="899"/>
      <c r="AX1691" s="896"/>
      <c r="AY1691" s="895"/>
      <c r="AZ1691" s="895"/>
      <c r="BA1691" s="895"/>
      <c r="BB1691" s="899"/>
      <c r="BC1691" s="896"/>
      <c r="BD1691" s="895"/>
      <c r="BE1691" s="895"/>
      <c r="BF1691" s="895"/>
      <c r="BG1691" s="899"/>
      <c r="BH1691" s="896"/>
      <c r="BI1691" s="895"/>
      <c r="BJ1691" s="895"/>
      <c r="BK1691" s="895"/>
      <c r="BL1691" s="899"/>
      <c r="BM1691" s="895"/>
      <c r="BN1691" s="895"/>
      <c r="BO1691" s="895"/>
      <c r="BP1691" s="895"/>
      <c r="BQ1691" s="899"/>
      <c r="BR1691" s="895"/>
      <c r="BS1691" s="895"/>
      <c r="BT1691" s="895"/>
      <c r="BU1691" s="895"/>
      <c r="BV1691" s="899"/>
      <c r="BW1691" s="895"/>
      <c r="BX1691" s="895"/>
      <c r="BY1691" s="895"/>
      <c r="BZ1691" s="895"/>
      <c r="CA1691" s="899"/>
      <c r="CB1691" s="895"/>
      <c r="CC1691" s="895"/>
      <c r="CD1691" s="895"/>
      <c r="CE1691" s="895"/>
      <c r="CF1691" s="899"/>
      <c r="CG1691" s="895"/>
      <c r="CH1691" s="895"/>
      <c r="CI1691" s="895"/>
      <c r="CJ1691" s="895"/>
      <c r="CK1691" s="899"/>
      <c r="CL1691" s="1015"/>
      <c r="CM1691" s="895"/>
      <c r="CN1691" s="895"/>
      <c r="CO1691" s="895"/>
      <c r="CP1691" s="899"/>
      <c r="CQ1691" s="895"/>
      <c r="CR1691" s="895"/>
      <c r="CS1691" s="895"/>
      <c r="CT1691" s="915"/>
      <c r="CU1691" s="899"/>
      <c r="CV1691" s="895"/>
      <c r="CW1691" s="895"/>
      <c r="CX1691" s="895"/>
      <c r="CY1691" s="915"/>
      <c r="CZ1691" s="923"/>
      <c r="DA1691" s="1342"/>
      <c r="DB1691" s="1516"/>
      <c r="DC1691" s="1341"/>
      <c r="DD1691" s="922"/>
      <c r="DE1691" s="923"/>
      <c r="DF1691" s="1342"/>
      <c r="DG1691" s="1341"/>
      <c r="DH1691" s="1341"/>
      <c r="DI1691" s="922"/>
      <c r="DJ1691" s="922"/>
      <c r="DK1691" s="1341"/>
      <c r="DL1691" s="1341"/>
      <c r="DM1691" s="1341"/>
      <c r="DN1691" s="922"/>
      <c r="DO1691" s="922"/>
      <c r="DP1691" s="1341"/>
      <c r="DQ1691" s="1341"/>
      <c r="DR1691" s="1341"/>
      <c r="DS1691" s="922"/>
      <c r="DT1691" s="922"/>
      <c r="DU1691" s="1341"/>
      <c r="DV1691" s="1341"/>
      <c r="DW1691" s="1341"/>
      <c r="DX1691" s="922"/>
      <c r="DY1691" s="922"/>
      <c r="DZ1691" s="1341"/>
      <c r="EA1691" s="1341"/>
      <c r="EB1691" s="1341"/>
      <c r="EC1691" s="922"/>
      <c r="ED1691" s="922"/>
      <c r="EE1691" s="1341"/>
      <c r="EF1691" s="1341"/>
      <c r="EG1691" s="1341"/>
      <c r="EH1691" s="922"/>
      <c r="EI1691" s="922"/>
      <c r="EJ1691" s="923">
        <f t="shared" si="3052"/>
      </c>
      <c r="EK1691" s="923">
        <f t="shared" si="3052"/>
      </c>
      <c r="EL1691" s="923">
        <f t="shared" si="3052"/>
      </c>
      <c r="EM1691" s="923">
        <f t="shared" si="3052"/>
      </c>
      <c r="EN1691" s="923">
        <f t="shared" si="3052"/>
      </c>
      <c r="EO1691" s="923">
        <f t="shared" si="3052"/>
      </c>
      <c r="EP1691" s="923">
        <f t="shared" si="3052"/>
      </c>
      <c r="EQ1691" s="923">
        <f t="shared" si="3052"/>
      </c>
      <c r="ER1691" s="923">
        <f t="shared" si="3052"/>
      </c>
      <c r="ES1691" s="923">
        <f t="shared" si="3052"/>
      </c>
      <c r="ET1691" s="923">
        <f t="shared" si="3052"/>
      </c>
      <c r="EU1691" s="923">
        <f t="shared" si="3052"/>
      </c>
      <c r="EV1691" s="923">
        <f t="shared" si="3052"/>
      </c>
      <c r="EW1691" s="923">
        <f t="shared" si="3052"/>
      </c>
      <c r="EX1691" s="923"/>
    </row>
    <row r="1692" spans="2:154">
      <c r="B1692" s="914"/>
      <c r="C1692" s="2031"/>
      <c r="D1692" s="916"/>
      <c r="E1692" s="916"/>
      <c r="F1692" s="917"/>
      <c r="G1692" s="917"/>
      <c r="H1692" s="917"/>
      <c r="I1692" s="917"/>
      <c r="J1692" s="917"/>
      <c r="K1692" s="917"/>
      <c r="L1692" s="917"/>
      <c r="M1692" s="917"/>
      <c r="N1692" s="917"/>
      <c r="O1692" s="918"/>
      <c r="P1692" s="917"/>
      <c r="Q1692" s="917"/>
      <c r="R1692" s="917"/>
      <c r="S1692" s="917"/>
      <c r="T1692" s="918"/>
      <c r="U1692" s="917"/>
      <c r="V1692" s="917"/>
      <c r="W1692" s="917"/>
      <c r="X1692" s="921"/>
      <c r="Y1692" s="918"/>
      <c r="Z1692" s="917"/>
      <c r="AA1692" s="917"/>
      <c r="AB1692" s="917"/>
      <c r="AC1692" s="921"/>
      <c r="AD1692" s="918"/>
      <c r="AE1692" s="917"/>
      <c r="AF1692" s="917"/>
      <c r="AG1692" s="917"/>
      <c r="AH1692" s="921"/>
      <c r="AI1692" s="918"/>
      <c r="AJ1692" s="917"/>
      <c r="AK1692" s="917"/>
      <c r="AL1692" s="917"/>
      <c r="AM1692" s="921"/>
      <c r="AN1692" s="918"/>
      <c r="AO1692" s="917"/>
      <c r="AP1692" s="917"/>
      <c r="AQ1692" s="919"/>
      <c r="AR1692" s="921"/>
      <c r="AS1692" s="918"/>
      <c r="AT1692" s="917"/>
      <c r="AU1692" s="917"/>
      <c r="AV1692" s="917"/>
      <c r="AW1692" s="921"/>
      <c r="AX1692" s="918"/>
      <c r="AY1692" s="917"/>
      <c r="AZ1692" s="917"/>
      <c r="BA1692" s="917"/>
      <c r="BB1692" s="921"/>
      <c r="BC1692" s="918"/>
      <c r="BD1692" s="917"/>
      <c r="BE1692" s="917"/>
      <c r="BF1692" s="917"/>
      <c r="BG1692" s="921"/>
      <c r="BH1692" s="918"/>
      <c r="BI1692" s="917"/>
      <c r="BJ1692" s="917"/>
      <c r="BK1692" s="917"/>
      <c r="BL1692" s="921"/>
      <c r="BM1692" s="917"/>
      <c r="BN1692" s="917"/>
      <c r="BO1692" s="917"/>
      <c r="BP1692" s="917"/>
      <c r="BQ1692" s="921"/>
      <c r="BR1692" s="917"/>
      <c r="BS1692" s="917"/>
      <c r="BT1692" s="917"/>
      <c r="BU1692" s="917"/>
      <c r="BV1692" s="921"/>
      <c r="BW1692" s="917"/>
      <c r="BX1692" s="917"/>
      <c r="BY1692" s="917"/>
      <c r="BZ1692" s="917"/>
      <c r="CA1692" s="921"/>
      <c r="CB1692" s="917"/>
      <c r="CC1692" s="917"/>
      <c r="CD1692" s="917"/>
      <c r="CE1692" s="917"/>
      <c r="CF1692" s="921"/>
      <c r="CG1692" s="917"/>
      <c r="CH1692" s="917"/>
      <c r="CI1692" s="917"/>
      <c r="CJ1692" s="917"/>
      <c r="CK1692" s="921"/>
      <c r="CL1692" s="1018"/>
      <c r="CM1692" s="1019"/>
      <c r="CN1692" s="1019"/>
      <c r="CO1692" s="917"/>
      <c r="CP1692" s="921"/>
      <c r="CQ1692" s="1019"/>
      <c r="CR1692" s="1019"/>
      <c r="CS1692" s="1019"/>
      <c r="CT1692" s="1020"/>
      <c r="CU1692" s="921"/>
      <c r="CV1692" s="1019"/>
      <c r="CW1692" s="1019"/>
      <c r="CX1692" s="1019"/>
      <c r="CY1692" s="1020"/>
      <c r="CZ1692" s="921"/>
      <c r="DA1692" s="1018"/>
      <c r="DB1692" s="1517"/>
      <c r="DC1692" s="917"/>
      <c r="DD1692" s="1020"/>
      <c r="DE1692" s="921"/>
      <c r="DF1692" s="1018"/>
      <c r="DG1692" s="917"/>
      <c r="DH1692" s="917"/>
      <c r="DI1692" s="1020"/>
      <c r="DJ1692" s="920"/>
      <c r="DK1692" s="1018"/>
      <c r="DL1692" s="917"/>
      <c r="DM1692" s="917"/>
      <c r="DN1692" s="1020"/>
      <c r="DO1692" s="920"/>
      <c r="DP1692" s="917"/>
      <c r="DQ1692" s="917"/>
      <c r="DR1692" s="917"/>
      <c r="DS1692" s="1020"/>
      <c r="DT1692" s="920"/>
      <c r="DU1692" s="2136"/>
      <c r="DV1692" s="2136"/>
      <c r="DW1692" s="2136"/>
      <c r="DX1692" s="2105"/>
      <c r="DY1692" s="920"/>
      <c r="DZ1692" s="2136"/>
      <c r="EA1692" s="3525"/>
      <c r="EB1692" s="3525"/>
      <c r="EC1692" s="3526"/>
      <c r="ED1692" s="3526"/>
      <c r="EE1692" s="3563"/>
      <c r="EF1692" s="3525"/>
      <c r="EG1692" s="3525"/>
      <c r="EH1692" s="3526"/>
      <c r="EI1692" s="920"/>
      <c r="EJ1692" s="920"/>
      <c r="EK1692" s="920"/>
      <c r="EL1692" s="920"/>
      <c r="EM1692" s="920"/>
      <c r="EN1692" s="920"/>
      <c r="EO1692" s="920"/>
      <c r="EP1692" s="920"/>
      <c r="EQ1692" s="920"/>
      <c r="ER1692" s="920"/>
      <c r="ES1692" s="920"/>
      <c r="ET1692" s="920"/>
      <c r="EU1692" s="920"/>
      <c r="EV1692" s="920"/>
      <c r="EW1692" s="920"/>
      <c r="EX1692" s="920"/>
    </row>
    <row r="1693" spans="2:154">
      <c r="B1693" s="1"/>
      <c r="C1693" s="893"/>
      <c r="D1693" s="894"/>
      <c r="E1693" s="894"/>
      <c r="F1693" s="895"/>
      <c r="G1693" s="895"/>
      <c r="H1693" s="895"/>
      <c r="I1693" s="895"/>
      <c r="J1693" s="895"/>
      <c r="K1693" s="895"/>
      <c r="L1693" s="895"/>
      <c r="M1693" s="895"/>
      <c r="N1693" s="895"/>
      <c r="O1693" s="896"/>
      <c r="P1693" s="895"/>
      <c r="Q1693" s="895"/>
      <c r="R1693" s="895"/>
      <c r="S1693" s="895"/>
      <c r="T1693" s="896"/>
      <c r="U1693" s="895"/>
      <c r="V1693" s="895"/>
      <c r="W1693" s="895"/>
      <c r="X1693" s="895"/>
      <c r="Y1693" s="896"/>
      <c r="Z1693" s="895"/>
      <c r="AA1693" s="895"/>
      <c r="AB1693" s="895"/>
      <c r="AC1693" s="895"/>
      <c r="AD1693" s="896"/>
      <c r="AE1693" s="895"/>
      <c r="AF1693" s="895"/>
      <c r="AG1693" s="895"/>
      <c r="AH1693" s="895"/>
      <c r="AI1693" s="896"/>
      <c r="AJ1693" s="895"/>
      <c r="AK1693" s="895"/>
      <c r="AL1693" s="895"/>
      <c r="AM1693" s="895"/>
      <c r="AN1693" s="896"/>
      <c r="AO1693" s="895"/>
      <c r="AP1693" s="895"/>
      <c r="AQ1693" s="897"/>
      <c r="AR1693" s="895"/>
      <c r="AS1693" s="896"/>
      <c r="AT1693" s="895"/>
      <c r="AU1693" s="895"/>
      <c r="AV1693" s="895"/>
      <c r="AW1693" s="895"/>
      <c r="AX1693" s="896"/>
      <c r="AY1693" s="895"/>
      <c r="AZ1693" s="895"/>
      <c r="BA1693" s="895"/>
      <c r="BB1693" s="895"/>
      <c r="BC1693" s="896"/>
      <c r="BD1693" s="895"/>
      <c r="BE1693" s="895"/>
      <c r="BF1693" s="895"/>
      <c r="BG1693" s="895"/>
      <c r="BH1693" s="896"/>
      <c r="BI1693" s="895"/>
      <c r="BJ1693" s="895"/>
      <c r="BK1693" s="895"/>
      <c r="BL1693" s="895"/>
      <c r="BM1693" s="895"/>
      <c r="BN1693" s="895"/>
      <c r="BO1693" s="895"/>
      <c r="BP1693" s="895"/>
      <c r="BQ1693" s="895"/>
      <c r="BR1693" s="895"/>
      <c r="BS1693" s="895"/>
      <c r="BT1693" s="895"/>
      <c r="BU1693" s="895"/>
      <c r="BV1693" s="895"/>
      <c r="BW1693" s="895"/>
      <c r="BX1693" s="895"/>
      <c r="BY1693" s="895"/>
      <c r="BZ1693" s="895"/>
      <c r="CA1693" s="895"/>
      <c r="CB1693" s="895"/>
      <c r="CC1693" s="895"/>
      <c r="CD1693" s="895"/>
      <c r="CE1693" s="895"/>
      <c r="CF1693" s="895"/>
      <c r="CG1693" s="895"/>
      <c r="CH1693" s="895"/>
      <c r="CI1693" s="895"/>
      <c r="CJ1693" s="895"/>
      <c r="CK1693" s="895"/>
      <c r="CL1693" s="895"/>
      <c r="CM1693" s="895"/>
      <c r="CN1693" s="895"/>
      <c r="CO1693" s="895"/>
      <c r="CP1693" s="1015"/>
      <c r="CQ1693" s="895"/>
      <c r="CR1693" s="895"/>
      <c r="CS1693" s="895"/>
      <c r="CT1693" s="895"/>
      <c r="CU1693" s="895"/>
      <c r="CV1693" s="895"/>
      <c r="CW1693" s="895"/>
      <c r="CX1693" s="895"/>
      <c r="CY1693" s="895"/>
      <c r="CZ1693" s="895"/>
      <c r="DA1693" s="895"/>
      <c r="DB1693" s="895"/>
      <c r="DC1693" s="895"/>
      <c r="DD1693" s="895"/>
      <c r="DE1693" s="895"/>
      <c r="DF1693" s="895"/>
      <c r="DG1693" s="895"/>
      <c r="DH1693" s="895"/>
      <c r="DI1693" s="895"/>
      <c r="DJ1693" s="895"/>
      <c r="DK1693" s="895"/>
      <c r="DL1693" s="895"/>
      <c r="DM1693" s="895"/>
      <c r="DN1693" s="895"/>
      <c r="DO1693" s="895"/>
      <c r="DP1693" s="895"/>
      <c r="DQ1693" s="895"/>
      <c r="DR1693" s="895"/>
      <c r="DS1693" s="895"/>
      <c r="DT1693" s="895"/>
      <c r="DU1693" s="895"/>
      <c r="DV1693" s="895"/>
      <c r="DW1693" s="895"/>
      <c r="DX1693" s="895"/>
      <c r="DY1693" s="895"/>
      <c r="DZ1693" s="895"/>
      <c r="EA1693" s="895"/>
      <c r="EB1693" s="895"/>
      <c r="EC1693" s="895"/>
      <c r="ED1693" s="895"/>
      <c r="EE1693" s="895"/>
      <c r="EF1693" s="895"/>
      <c r="EG1693" s="895"/>
      <c r="EH1693" s="895"/>
      <c r="EI1693" s="895"/>
      <c r="EJ1693" s="895"/>
      <c r="EK1693" s="895"/>
      <c r="EL1693" s="895"/>
      <c r="EM1693" s="895"/>
      <c r="EN1693" s="895"/>
      <c r="EO1693" s="895"/>
      <c r="EP1693" s="895"/>
      <c r="EQ1693" s="895"/>
      <c r="ER1693" s="895"/>
      <c r="ES1693" s="895"/>
      <c r="ET1693" s="895"/>
      <c r="EU1693" s="895"/>
      <c r="EV1693" s="895"/>
      <c r="EW1693" s="895"/>
      <c r="EX1693" s="895"/>
    </row>
    <row r="1694" spans="2:154">
      <c r="B1694" s="3745" t="s">
        <v>1026</v>
      </c>
      <c r="C1694" s="3746"/>
      <c r="D1694" s="3747"/>
      <c r="E1694" s="3747"/>
      <c r="F1694" s="3748"/>
      <c r="G1694" s="3748"/>
      <c r="H1694" s="3748"/>
      <c r="I1694" s="3748"/>
      <c r="J1694" s="3748"/>
      <c r="K1694" s="3748"/>
      <c r="L1694" s="3748"/>
      <c r="M1694" s="3748"/>
      <c r="N1694" s="3748"/>
      <c r="O1694" s="3749"/>
      <c r="P1694" s="3748"/>
      <c r="Q1694" s="3748"/>
      <c r="R1694" s="3748"/>
      <c r="S1694" s="3748"/>
      <c r="T1694" s="3749"/>
      <c r="U1694" s="3748"/>
      <c r="V1694" s="3748"/>
      <c r="W1694" s="3748"/>
      <c r="X1694" s="3750"/>
      <c r="Y1694" s="3749"/>
      <c r="Z1694" s="3748"/>
      <c r="AA1694" s="3748"/>
      <c r="AB1694" s="3748"/>
      <c r="AC1694" s="3750"/>
      <c r="AD1694" s="3749"/>
      <c r="AE1694" s="3748"/>
      <c r="AF1694" s="3748"/>
      <c r="AG1694" s="3748"/>
      <c r="AH1694" s="3750"/>
      <c r="AI1694" s="3749"/>
      <c r="AJ1694" s="3748"/>
      <c r="AK1694" s="3748"/>
      <c r="AL1694" s="3748"/>
      <c r="AM1694" s="3750"/>
      <c r="AN1694" s="3749"/>
      <c r="AO1694" s="3748"/>
      <c r="AP1694" s="3748"/>
      <c r="AQ1694" s="3751"/>
      <c r="AR1694" s="3750"/>
      <c r="AS1694" s="3749"/>
      <c r="AT1694" s="3748"/>
      <c r="AU1694" s="3748"/>
      <c r="AV1694" s="3748"/>
      <c r="AW1694" s="3750"/>
      <c r="AX1694" s="3749"/>
      <c r="AY1694" s="3748"/>
      <c r="AZ1694" s="3748"/>
      <c r="BA1694" s="3748"/>
      <c r="BB1694" s="3750"/>
      <c r="BC1694" s="3749"/>
      <c r="BD1694" s="3748"/>
      <c r="BE1694" s="3748"/>
      <c r="BF1694" s="3748"/>
      <c r="BG1694" s="3750"/>
      <c r="BH1694" s="3749"/>
      <c r="BI1694" s="3748"/>
      <c r="BJ1694" s="3748"/>
      <c r="BK1694" s="3748"/>
      <c r="BL1694" s="3750"/>
      <c r="BM1694" s="3748"/>
      <c r="BN1694" s="3748"/>
      <c r="BO1694" s="3748"/>
      <c r="BP1694" s="3748"/>
      <c r="BQ1694" s="3750"/>
      <c r="BR1694" s="3748"/>
      <c r="BS1694" s="3748"/>
      <c r="BT1694" s="3748"/>
      <c r="BU1694" s="3748"/>
      <c r="BV1694" s="3750"/>
      <c r="BW1694" s="3748"/>
      <c r="BX1694" s="3748"/>
      <c r="BY1694" s="3748"/>
      <c r="BZ1694" s="3748"/>
      <c r="CA1694" s="3750"/>
      <c r="CB1694" s="3748"/>
      <c r="CC1694" s="3748"/>
      <c r="CD1694" s="3748"/>
      <c r="CE1694" s="3748"/>
      <c r="CF1694" s="3750"/>
      <c r="CG1694" s="3748"/>
      <c r="CH1694" s="3748"/>
      <c r="CI1694" s="3748"/>
      <c r="CJ1694" s="3748"/>
      <c r="CK1694" s="3752"/>
      <c r="CL1694" s="3753"/>
      <c r="CM1694" s="3748"/>
      <c r="CN1694" s="3748"/>
      <c r="CO1694" s="3748"/>
      <c r="CP1694" s="3752"/>
      <c r="CQ1694" s="3748"/>
      <c r="CR1694" s="3748"/>
      <c r="CS1694" s="3748"/>
      <c r="CT1694" s="3754"/>
      <c r="CU1694" s="3752"/>
      <c r="CV1694" s="3748"/>
      <c r="CW1694" s="3748"/>
      <c r="CX1694" s="3748"/>
      <c r="CY1694" s="3754"/>
      <c r="CZ1694" s="3752"/>
      <c r="DA1694" s="3753"/>
      <c r="DB1694" s="3748"/>
      <c r="DC1694" s="3748"/>
      <c r="DD1694" s="3754"/>
      <c r="DE1694" s="3752"/>
      <c r="DF1694" s="3753"/>
      <c r="DG1694" s="3748"/>
      <c r="DH1694" s="3748"/>
      <c r="DI1694" s="3754"/>
      <c r="DJ1694" s="3752"/>
      <c r="DK1694" s="3753"/>
      <c r="DL1694" s="3748"/>
      <c r="DM1694" s="3748"/>
      <c r="DN1694" s="3754"/>
      <c r="DO1694" s="3752"/>
      <c r="DP1694" s="3748"/>
      <c r="DQ1694" s="3748"/>
      <c r="DR1694" s="3748"/>
      <c r="DS1694" s="3754"/>
      <c r="DT1694" s="3752"/>
      <c r="DU1694" s="3748"/>
      <c r="DV1694" s="3748"/>
      <c r="DW1694" s="3748"/>
      <c r="DX1694" s="3754"/>
      <c r="DY1694" s="3752"/>
      <c r="DZ1694" s="3748"/>
      <c r="EA1694" s="3748"/>
      <c r="EB1694" s="3748"/>
      <c r="EC1694" s="3754"/>
      <c r="ED1694" s="3752"/>
      <c r="EE1694" s="3753"/>
      <c r="EF1694" s="3748"/>
      <c r="EG1694" s="3748"/>
      <c r="EH1694" s="3754"/>
      <c r="EI1694" s="3753"/>
      <c r="EJ1694" s="3752"/>
      <c r="EK1694" s="3752"/>
      <c r="EL1694" s="3752"/>
      <c r="EM1694" s="3752"/>
      <c r="EN1694" s="3752"/>
      <c r="EO1694" s="3754"/>
      <c r="EP1694" s="3752"/>
      <c r="EQ1694" s="3752"/>
      <c r="ER1694" s="3752"/>
      <c r="ES1694" s="3752"/>
      <c r="ET1694" s="3754"/>
      <c r="EU1694" s="3752"/>
      <c r="EV1694" s="3752"/>
      <c r="EW1694" s="3752"/>
      <c r="EX1694" s="3752"/>
    </row>
    <row r="1695" spans="2:154">
      <c r="B1695" s="910" t="s">
        <v>578</v>
      </c>
      <c r="C1695" s="1392"/>
      <c r="D1695" s="894"/>
      <c r="E1695" s="894"/>
      <c r="F1695" s="895"/>
      <c r="G1695" s="895"/>
      <c r="H1695" s="895"/>
      <c r="I1695" s="895"/>
      <c r="J1695" s="895"/>
      <c r="K1695" s="895"/>
      <c r="L1695" s="895"/>
      <c r="M1695" s="895"/>
      <c r="N1695" s="895"/>
      <c r="O1695" s="896"/>
      <c r="P1695" s="895"/>
      <c r="Q1695" s="895"/>
      <c r="R1695" s="895"/>
      <c r="S1695" s="895"/>
      <c r="T1695" s="896"/>
      <c r="U1695" s="895"/>
      <c r="V1695" s="895"/>
      <c r="W1695" s="895"/>
      <c r="X1695" s="899"/>
      <c r="Y1695" s="896"/>
      <c r="Z1695" s="895"/>
      <c r="AA1695" s="895"/>
      <c r="AB1695" s="895"/>
      <c r="AC1695" s="899"/>
      <c r="AD1695" s="896"/>
      <c r="AE1695" s="895"/>
      <c r="AF1695" s="895"/>
      <c r="AG1695" s="895"/>
      <c r="AH1695" s="899"/>
      <c r="AI1695" s="896"/>
      <c r="AJ1695" s="895"/>
      <c r="AK1695" s="895"/>
      <c r="AL1695" s="895"/>
      <c r="AM1695" s="899"/>
      <c r="AN1695" s="896"/>
      <c r="AO1695" s="895"/>
      <c r="AP1695" s="895"/>
      <c r="AQ1695" s="897"/>
      <c r="AR1695" s="899"/>
      <c r="AS1695" s="896"/>
      <c r="AT1695" s="895"/>
      <c r="AU1695" s="895"/>
      <c r="AV1695" s="895"/>
      <c r="AW1695" s="899"/>
      <c r="AX1695" s="896"/>
      <c r="AY1695" s="895"/>
      <c r="AZ1695" s="895"/>
      <c r="BA1695" s="895"/>
      <c r="BB1695" s="899"/>
      <c r="BC1695" s="896"/>
      <c r="BD1695" s="895"/>
      <c r="BE1695" s="895"/>
      <c r="BF1695" s="895"/>
      <c r="BG1695" s="899"/>
      <c r="BH1695" s="896"/>
      <c r="BI1695" s="895"/>
      <c r="BJ1695" s="895"/>
      <c r="BK1695" s="895"/>
      <c r="BL1695" s="899"/>
      <c r="BM1695" s="895"/>
      <c r="BN1695" s="895"/>
      <c r="BO1695" s="895"/>
      <c r="BP1695" s="895"/>
      <c r="BQ1695" s="899"/>
      <c r="BR1695" s="895"/>
      <c r="BS1695" s="895"/>
      <c r="BT1695" s="895"/>
      <c r="BU1695" s="895"/>
      <c r="BV1695" s="899"/>
      <c r="BW1695" s="895"/>
      <c r="BX1695" s="895"/>
      <c r="BY1695" s="895"/>
      <c r="BZ1695" s="895"/>
      <c r="CA1695" s="899"/>
      <c r="CB1695" s="895"/>
      <c r="CC1695" s="895"/>
      <c r="CD1695" s="895"/>
      <c r="CE1695" s="895"/>
      <c r="CF1695" s="899"/>
      <c r="CG1695" s="895"/>
      <c r="CH1695" s="895"/>
      <c r="CI1695" s="895"/>
      <c r="CJ1695" s="895"/>
      <c r="CK1695" s="899"/>
      <c r="CL1695" s="1015"/>
      <c r="CM1695" s="895"/>
      <c r="CN1695" s="895"/>
      <c r="CO1695" s="895"/>
      <c r="CP1695" s="899"/>
      <c r="CQ1695" s="895"/>
      <c r="CR1695" s="895"/>
      <c r="CS1695" s="895"/>
      <c r="CT1695" s="915"/>
      <c r="CU1695" s="899"/>
      <c r="CV1695" s="895"/>
      <c r="CW1695" s="895"/>
      <c r="CX1695" s="895"/>
      <c r="CY1695" s="915"/>
      <c r="CZ1695" s="899"/>
      <c r="DA1695" s="895"/>
      <c r="DB1695" s="895"/>
      <c r="DC1695" s="895"/>
      <c r="DD1695" s="895"/>
      <c r="DE1695" s="899"/>
      <c r="DF1695" s="895"/>
      <c r="DG1695" s="895"/>
      <c r="DH1695" s="895"/>
      <c r="DI1695" s="895"/>
      <c r="DJ1695" s="899"/>
      <c r="DK1695" s="895"/>
      <c r="DL1695" s="895"/>
      <c r="DM1695" s="895"/>
      <c r="DN1695" s="895"/>
      <c r="DO1695" s="899"/>
      <c r="DP1695" s="895"/>
      <c r="DQ1695" s="895"/>
      <c r="DR1695" s="895"/>
      <c r="DS1695" s="895"/>
      <c r="DT1695" s="899"/>
      <c r="DU1695" s="895"/>
      <c r="DV1695" s="895"/>
      <c r="DW1695" s="895"/>
      <c r="DX1695" s="895"/>
      <c r="DY1695" s="2404"/>
      <c r="DZ1695" s="895"/>
      <c r="EA1695" s="895"/>
      <c r="EB1695" s="895"/>
      <c r="EC1695" s="895"/>
      <c r="ED1695" s="2404"/>
      <c r="EE1695" s="3562"/>
      <c r="EF1695" s="2403"/>
      <c r="EG1695" s="2403"/>
      <c r="EH1695" s="895"/>
      <c r="EI1695" s="2404"/>
      <c r="EJ1695" s="2404"/>
      <c r="EK1695" s="2404"/>
      <c r="EL1695" s="3758">
        <v>500</v>
      </c>
      <c r="EM1695" s="3758">
        <v>1500</v>
      </c>
      <c r="EN1695" s="3758">
        <v>2500</v>
      </c>
      <c r="EO1695" s="3758">
        <v>3500</v>
      </c>
      <c r="EP1695" s="3758">
        <v>5000</v>
      </c>
      <c r="EQ1695" s="3758">
        <v>6500</v>
      </c>
      <c r="ER1695" s="3758">
        <v>8000</v>
      </c>
      <c r="ES1695" s="3755">
        <f>'Other Phase III and II Pipeline'!C56</f>
      </c>
      <c r="ET1695" s="2404"/>
      <c r="EU1695" s="2404"/>
      <c r="EV1695" s="2404"/>
      <c r="EW1695" s="2404"/>
      <c r="EX1695" s="2404"/>
    </row>
    <row r="1696" spans="2:154">
      <c r="B1696" s="910" t="s">
        <v>579</v>
      </c>
      <c r="C1696" s="1392"/>
      <c r="D1696" s="894"/>
      <c r="E1696" s="894"/>
      <c r="F1696" s="895"/>
      <c r="G1696" s="895"/>
      <c r="H1696" s="895"/>
      <c r="I1696" s="895"/>
      <c r="J1696" s="895"/>
      <c r="K1696" s="895"/>
      <c r="L1696" s="895"/>
      <c r="M1696" s="895"/>
      <c r="N1696" s="895"/>
      <c r="O1696" s="896"/>
      <c r="P1696" s="895"/>
      <c r="Q1696" s="895"/>
      <c r="R1696" s="895"/>
      <c r="S1696" s="895"/>
      <c r="T1696" s="896"/>
      <c r="U1696" s="895"/>
      <c r="V1696" s="895"/>
      <c r="W1696" s="895"/>
      <c r="X1696" s="899"/>
      <c r="Y1696" s="896"/>
      <c r="Z1696" s="895"/>
      <c r="AA1696" s="895"/>
      <c r="AB1696" s="895"/>
      <c r="AC1696" s="899"/>
      <c r="AD1696" s="896"/>
      <c r="AE1696" s="895"/>
      <c r="AF1696" s="895"/>
      <c r="AG1696" s="895"/>
      <c r="AH1696" s="899"/>
      <c r="AI1696" s="896"/>
      <c r="AJ1696" s="895"/>
      <c r="AK1696" s="895"/>
      <c r="AL1696" s="895"/>
      <c r="AM1696" s="899"/>
      <c r="AN1696" s="896"/>
      <c r="AO1696" s="895"/>
      <c r="AP1696" s="895"/>
      <c r="AQ1696" s="897"/>
      <c r="AR1696" s="899"/>
      <c r="AS1696" s="896"/>
      <c r="AT1696" s="895"/>
      <c r="AU1696" s="895"/>
      <c r="AV1696" s="895"/>
      <c r="AW1696" s="899"/>
      <c r="AX1696" s="896"/>
      <c r="AY1696" s="895"/>
      <c r="AZ1696" s="895"/>
      <c r="BA1696" s="895"/>
      <c r="BB1696" s="899"/>
      <c r="BC1696" s="896"/>
      <c r="BD1696" s="895"/>
      <c r="BE1696" s="895"/>
      <c r="BF1696" s="895"/>
      <c r="BG1696" s="899"/>
      <c r="BH1696" s="896"/>
      <c r="BI1696" s="895"/>
      <c r="BJ1696" s="895"/>
      <c r="BK1696" s="895"/>
      <c r="BL1696" s="899"/>
      <c r="BM1696" s="895"/>
      <c r="BN1696" s="895"/>
      <c r="BO1696" s="895"/>
      <c r="BP1696" s="895"/>
      <c r="BQ1696" s="899"/>
      <c r="BR1696" s="895"/>
      <c r="BS1696" s="895"/>
      <c r="BT1696" s="895"/>
      <c r="BU1696" s="895"/>
      <c r="BV1696" s="899"/>
      <c r="BW1696" s="895"/>
      <c r="BX1696" s="895"/>
      <c r="BY1696" s="895"/>
      <c r="BZ1696" s="895"/>
      <c r="CA1696" s="899"/>
      <c r="CB1696" s="895"/>
      <c r="CC1696" s="895"/>
      <c r="CD1696" s="895"/>
      <c r="CE1696" s="895"/>
      <c r="CF1696" s="899"/>
      <c r="CG1696" s="895"/>
      <c r="CH1696" s="895"/>
      <c r="CI1696" s="895"/>
      <c r="CJ1696" s="895"/>
      <c r="CK1696" s="899"/>
      <c r="CL1696" s="1015"/>
      <c r="CM1696" s="895"/>
      <c r="CN1696" s="895"/>
      <c r="CO1696" s="895"/>
      <c r="CP1696" s="899"/>
      <c r="CQ1696" s="895"/>
      <c r="CR1696" s="895"/>
      <c r="CS1696" s="895"/>
      <c r="CT1696" s="915"/>
      <c r="CU1696" s="899"/>
      <c r="CV1696" s="895"/>
      <c r="CW1696" s="895"/>
      <c r="CX1696" s="895"/>
      <c r="CY1696" s="915"/>
      <c r="CZ1696" s="899"/>
      <c r="DA1696" s="895"/>
      <c r="DB1696" s="895"/>
      <c r="DC1696" s="895"/>
      <c r="DD1696" s="895"/>
      <c r="DE1696" s="899"/>
      <c r="DF1696" s="895"/>
      <c r="DG1696" s="895"/>
      <c r="DH1696" s="895"/>
      <c r="DI1696" s="895"/>
      <c r="DJ1696" s="899"/>
      <c r="DK1696" s="895"/>
      <c r="DL1696" s="895"/>
      <c r="DM1696" s="895"/>
      <c r="DN1696" s="895"/>
      <c r="DO1696" s="899"/>
      <c r="DP1696" s="895"/>
      <c r="DQ1696" s="895"/>
      <c r="DR1696" s="895"/>
      <c r="DS1696" s="895"/>
      <c r="DT1696" s="899"/>
      <c r="DU1696" s="895"/>
      <c r="DV1696" s="895"/>
      <c r="DW1696" s="895"/>
      <c r="DX1696" s="895"/>
      <c r="DY1696" s="2404"/>
      <c r="DZ1696" s="895"/>
      <c r="EA1696" s="895"/>
      <c r="EB1696" s="895"/>
      <c r="EC1696" s="895"/>
      <c r="ED1696" s="2404"/>
      <c r="EE1696" s="3562"/>
      <c r="EF1696" s="2403"/>
      <c r="EG1696" s="2403"/>
      <c r="EH1696" s="895"/>
      <c r="EI1696" s="2404"/>
      <c r="EJ1696" s="2404"/>
      <c r="EK1696" s="2404"/>
      <c r="EL1696" s="2404">
        <f t="shared" ref="EL1696:EQ1696" si="3053">EL1695*($ES$1696/$ES$1695)</f>
      </c>
      <c r="EM1696" s="2404">
        <f t="shared" si="3053"/>
      </c>
      <c r="EN1696" s="2404">
        <f t="shared" si="3053"/>
      </c>
      <c r="EO1696" s="2404">
        <f t="shared" si="3053"/>
      </c>
      <c r="EP1696" s="2404">
        <f t="shared" si="3053"/>
      </c>
      <c r="EQ1696" s="2404">
        <f t="shared" si="3053"/>
      </c>
      <c r="ER1696" s="2404">
        <f>ER1695*($ES$1696/$ES$1695)</f>
      </c>
      <c r="ES1696" s="3755">
        <f>'Other Phase III and II Pipeline'!C62</f>
      </c>
      <c r="ET1696" s="2404"/>
      <c r="EU1696" s="2404"/>
      <c r="EV1696" s="2404"/>
      <c r="EW1696" s="2404"/>
      <c r="EX1696" s="2404"/>
    </row>
    <row r="1697" spans="2:154">
      <c r="B1697" s="910" t="s">
        <v>580</v>
      </c>
      <c r="C1697" s="1392"/>
      <c r="D1697" s="894"/>
      <c r="E1697" s="894"/>
      <c r="F1697" s="895"/>
      <c r="G1697" s="895"/>
      <c r="H1697" s="895"/>
      <c r="I1697" s="895"/>
      <c r="J1697" s="895"/>
      <c r="K1697" s="895"/>
      <c r="L1697" s="895"/>
      <c r="M1697" s="895"/>
      <c r="N1697" s="895"/>
      <c r="O1697" s="896"/>
      <c r="P1697" s="895"/>
      <c r="Q1697" s="895"/>
      <c r="R1697" s="895"/>
      <c r="S1697" s="895"/>
      <c r="T1697" s="896"/>
      <c r="U1697" s="895"/>
      <c r="V1697" s="895"/>
      <c r="W1697" s="895"/>
      <c r="X1697" s="899"/>
      <c r="Y1697" s="896"/>
      <c r="Z1697" s="895"/>
      <c r="AA1697" s="895"/>
      <c r="AB1697" s="895"/>
      <c r="AC1697" s="899"/>
      <c r="AD1697" s="896"/>
      <c r="AE1697" s="895"/>
      <c r="AF1697" s="895"/>
      <c r="AG1697" s="895"/>
      <c r="AH1697" s="899"/>
      <c r="AI1697" s="896"/>
      <c r="AJ1697" s="895"/>
      <c r="AK1697" s="895"/>
      <c r="AL1697" s="895"/>
      <c r="AM1697" s="899"/>
      <c r="AN1697" s="896"/>
      <c r="AO1697" s="895"/>
      <c r="AP1697" s="895"/>
      <c r="AQ1697" s="897"/>
      <c r="AR1697" s="899"/>
      <c r="AS1697" s="896"/>
      <c r="AT1697" s="895"/>
      <c r="AU1697" s="895"/>
      <c r="AV1697" s="895"/>
      <c r="AW1697" s="899"/>
      <c r="AX1697" s="896"/>
      <c r="AY1697" s="895"/>
      <c r="AZ1697" s="895"/>
      <c r="BA1697" s="895"/>
      <c r="BB1697" s="899"/>
      <c r="BC1697" s="896"/>
      <c r="BD1697" s="895"/>
      <c r="BE1697" s="895"/>
      <c r="BF1697" s="895"/>
      <c r="BG1697" s="899"/>
      <c r="BH1697" s="896"/>
      <c r="BI1697" s="895"/>
      <c r="BJ1697" s="895"/>
      <c r="BK1697" s="895"/>
      <c r="BL1697" s="899"/>
      <c r="BM1697" s="895"/>
      <c r="BN1697" s="895"/>
      <c r="BO1697" s="895"/>
      <c r="BP1697" s="895"/>
      <c r="BQ1697" s="899"/>
      <c r="BR1697" s="895"/>
      <c r="BS1697" s="895"/>
      <c r="BT1697" s="895"/>
      <c r="BU1697" s="895"/>
      <c r="BV1697" s="899"/>
      <c r="BW1697" s="895"/>
      <c r="BX1697" s="895"/>
      <c r="BY1697" s="895"/>
      <c r="BZ1697" s="895"/>
      <c r="CA1697" s="899"/>
      <c r="CB1697" s="895"/>
      <c r="CC1697" s="895"/>
      <c r="CD1697" s="895"/>
      <c r="CE1697" s="895"/>
      <c r="CF1697" s="899"/>
      <c r="CG1697" s="895"/>
      <c r="CH1697" s="895"/>
      <c r="CI1697" s="895"/>
      <c r="CJ1697" s="895"/>
      <c r="CK1697" s="899"/>
      <c r="CL1697" s="1015"/>
      <c r="CM1697" s="895"/>
      <c r="CN1697" s="895"/>
      <c r="CO1697" s="895"/>
      <c r="CP1697" s="899"/>
      <c r="CQ1697" s="895"/>
      <c r="CR1697" s="895"/>
      <c r="CS1697" s="895"/>
      <c r="CT1697" s="915"/>
      <c r="CU1697" s="899"/>
      <c r="CV1697" s="895"/>
      <c r="CW1697" s="895"/>
      <c r="CX1697" s="895"/>
      <c r="CY1697" s="915"/>
      <c r="CZ1697" s="899"/>
      <c r="DA1697" s="895"/>
      <c r="DB1697" s="895"/>
      <c r="DC1697" s="895"/>
      <c r="DD1697" s="895"/>
      <c r="DE1697" s="899"/>
      <c r="DF1697" s="895"/>
      <c r="DG1697" s="895"/>
      <c r="DH1697" s="895"/>
      <c r="DI1697" s="895"/>
      <c r="DJ1697" s="899"/>
      <c r="DK1697" s="895"/>
      <c r="DL1697" s="895"/>
      <c r="DM1697" s="895"/>
      <c r="DN1697" s="895"/>
      <c r="DO1697" s="899"/>
      <c r="DP1697" s="895"/>
      <c r="DQ1697" s="895"/>
      <c r="DR1697" s="895"/>
      <c r="DS1697" s="915"/>
      <c r="DT1697" s="899"/>
      <c r="DU1697" s="895"/>
      <c r="DV1697" s="895"/>
      <c r="DW1697" s="895"/>
      <c r="DX1697" s="895"/>
      <c r="DY1697" s="2404"/>
      <c r="DZ1697" s="895"/>
      <c r="EA1697" s="895"/>
      <c r="EB1697" s="895"/>
      <c r="EC1697" s="895"/>
      <c r="ED1697" s="2404"/>
      <c r="EE1697" s="3562"/>
      <c r="EF1697" s="2403"/>
      <c r="EG1697" s="2403"/>
      <c r="EH1697" s="895"/>
      <c r="EI1697" s="2404"/>
      <c r="EJ1697" s="2404"/>
      <c r="EK1697" s="2404"/>
      <c r="EL1697" s="2404">
        <f t="shared" ref="EL1697" si="3054">SUM(EL1695:EL1696)</f>
      </c>
      <c r="EM1697" s="2404">
        <f t="shared" ref="EM1697" si="3055">SUM(EM1695:EM1696)</f>
      </c>
      <c r="EN1697" s="2404">
        <f t="shared" ref="EN1697" si="3056">SUM(EN1695:EN1696)</f>
      </c>
      <c r="EO1697" s="2404">
        <f t="shared" ref="EO1697" si="3057">SUM(EO1695:EO1696)</f>
      </c>
      <c r="EP1697" s="2404">
        <f t="shared" ref="EP1697" si="3058">SUM(EP1695:EP1696)</f>
      </c>
      <c r="EQ1697" s="2404">
        <f t="shared" ref="EQ1697" si="3059">SUM(EQ1695:EQ1696)</f>
      </c>
      <c r="ER1697" s="2404">
        <f t="shared" ref="ER1697" si="3060">SUM(ER1695:ER1696)</f>
      </c>
      <c r="ES1697" s="2404">
        <f t="shared" ref="ES1697" si="3061">SUM(ES1695:ES1696)</f>
      </c>
      <c r="ET1697" s="2404"/>
      <c r="EU1697" s="2404"/>
      <c r="EV1697" s="2404"/>
      <c r="EW1697" s="2404"/>
      <c r="EX1697" s="2404"/>
    </row>
    <row r="1698" spans="2:154">
      <c r="B1698" s="910"/>
      <c r="C1698" s="1392"/>
      <c r="D1698" s="894"/>
      <c r="E1698" s="894"/>
      <c r="F1698" s="895"/>
      <c r="G1698" s="895"/>
      <c r="H1698" s="895"/>
      <c r="I1698" s="895"/>
      <c r="J1698" s="895"/>
      <c r="K1698" s="895"/>
      <c r="L1698" s="895"/>
      <c r="M1698" s="895"/>
      <c r="N1698" s="895"/>
      <c r="O1698" s="896"/>
      <c r="P1698" s="895"/>
      <c r="Q1698" s="895"/>
      <c r="R1698" s="895"/>
      <c r="S1698" s="895"/>
      <c r="T1698" s="896"/>
      <c r="U1698" s="895"/>
      <c r="V1698" s="895"/>
      <c r="W1698" s="895"/>
      <c r="X1698" s="899"/>
      <c r="Y1698" s="896"/>
      <c r="Z1698" s="895"/>
      <c r="AA1698" s="895"/>
      <c r="AB1698" s="895"/>
      <c r="AC1698" s="899"/>
      <c r="AD1698" s="896"/>
      <c r="AE1698" s="895"/>
      <c r="AF1698" s="895"/>
      <c r="AG1698" s="895"/>
      <c r="AH1698" s="899"/>
      <c r="AI1698" s="896"/>
      <c r="AJ1698" s="895"/>
      <c r="AK1698" s="895"/>
      <c r="AL1698" s="895"/>
      <c r="AM1698" s="899"/>
      <c r="AN1698" s="896"/>
      <c r="AO1698" s="895"/>
      <c r="AP1698" s="895"/>
      <c r="AQ1698" s="897"/>
      <c r="AR1698" s="899"/>
      <c r="AS1698" s="896"/>
      <c r="AT1698" s="895"/>
      <c r="AU1698" s="895"/>
      <c r="AV1698" s="895"/>
      <c r="AW1698" s="899"/>
      <c r="AX1698" s="896"/>
      <c r="AY1698" s="895"/>
      <c r="AZ1698" s="895"/>
      <c r="BA1698" s="895"/>
      <c r="BB1698" s="899"/>
      <c r="BC1698" s="896"/>
      <c r="BD1698" s="895"/>
      <c r="BE1698" s="895"/>
      <c r="BF1698" s="895"/>
      <c r="BG1698" s="899"/>
      <c r="BH1698" s="896"/>
      <c r="BI1698" s="895"/>
      <c r="BJ1698" s="895"/>
      <c r="BK1698" s="895"/>
      <c r="BL1698" s="899"/>
      <c r="BM1698" s="895"/>
      <c r="BN1698" s="895"/>
      <c r="BO1698" s="895"/>
      <c r="BP1698" s="895"/>
      <c r="BQ1698" s="899"/>
      <c r="BR1698" s="895"/>
      <c r="BS1698" s="895"/>
      <c r="BT1698" s="895"/>
      <c r="BU1698" s="895"/>
      <c r="BV1698" s="899"/>
      <c r="BW1698" s="895"/>
      <c r="BX1698" s="895"/>
      <c r="BY1698" s="895"/>
      <c r="BZ1698" s="895"/>
      <c r="CA1698" s="899"/>
      <c r="CB1698" s="895"/>
      <c r="CC1698" s="895"/>
      <c r="CD1698" s="895"/>
      <c r="CE1698" s="895"/>
      <c r="CF1698" s="899"/>
      <c r="CG1698" s="895"/>
      <c r="CH1698" s="895"/>
      <c r="CI1698" s="895"/>
      <c r="CJ1698" s="895"/>
      <c r="CK1698" s="899"/>
      <c r="CL1698" s="1015"/>
      <c r="CM1698" s="895"/>
      <c r="CN1698" s="895"/>
      <c r="CO1698" s="895"/>
      <c r="CP1698" s="899"/>
      <c r="CQ1698" s="895"/>
      <c r="CR1698" s="895"/>
      <c r="CS1698" s="895"/>
      <c r="CT1698" s="915"/>
      <c r="CU1698" s="899"/>
      <c r="CV1698" s="895"/>
      <c r="CW1698" s="895"/>
      <c r="CX1698" s="895"/>
      <c r="CY1698" s="915"/>
      <c r="CZ1698" s="899"/>
      <c r="DA1698" s="895"/>
      <c r="DB1698" s="895"/>
      <c r="DC1698" s="895"/>
      <c r="DD1698" s="895"/>
      <c r="DE1698" s="899"/>
      <c r="DF1698" s="895"/>
      <c r="DG1698" s="895"/>
      <c r="DH1698" s="895"/>
      <c r="DI1698" s="895"/>
      <c r="DJ1698" s="899"/>
      <c r="DK1698" s="895"/>
      <c r="DL1698" s="895"/>
      <c r="DM1698" s="895"/>
      <c r="DN1698" s="895"/>
      <c r="DO1698" s="899"/>
      <c r="DP1698" s="895"/>
      <c r="DQ1698" s="895"/>
      <c r="DR1698" s="895"/>
      <c r="DS1698" s="915"/>
      <c r="DT1698" s="899"/>
      <c r="DU1698" s="895"/>
      <c r="DV1698" s="895"/>
      <c r="DW1698" s="895"/>
      <c r="DX1698" s="895"/>
      <c r="DY1698" s="2404"/>
      <c r="DZ1698" s="895"/>
      <c r="EA1698" s="895"/>
      <c r="EB1698" s="895"/>
      <c r="EC1698" s="895"/>
      <c r="ED1698" s="2404"/>
      <c r="EE1698" s="3562"/>
      <c r="EF1698" s="2403"/>
      <c r="EG1698" s="2403"/>
      <c r="EH1698" s="895"/>
      <c r="EI1698" s="2404"/>
      <c r="EJ1698" s="2404"/>
      <c r="EK1698" s="2404"/>
      <c r="EL1698" s="2404"/>
      <c r="EM1698" s="2404"/>
      <c r="EN1698" s="2404"/>
      <c r="EO1698" s="2404"/>
      <c r="EP1698" s="2404"/>
      <c r="EQ1698" s="2404"/>
      <c r="ER1698" s="2404"/>
      <c r="ES1698" s="2404"/>
      <c r="ET1698" s="2404"/>
      <c r="EU1698" s="2404"/>
      <c r="EV1698" s="2404"/>
      <c r="EW1698" s="2404"/>
      <c r="EX1698" s="2404"/>
    </row>
    <row r="1699" spans="2:154">
      <c r="B1699" s="910"/>
      <c r="C1699" s="1392"/>
      <c r="D1699" s="894"/>
      <c r="E1699" s="894"/>
      <c r="F1699" s="895"/>
      <c r="G1699" s="895"/>
      <c r="H1699" s="895"/>
      <c r="I1699" s="895"/>
      <c r="J1699" s="895"/>
      <c r="K1699" s="895"/>
      <c r="L1699" s="895"/>
      <c r="M1699" s="895"/>
      <c r="N1699" s="895"/>
      <c r="O1699" s="896"/>
      <c r="P1699" s="895"/>
      <c r="Q1699" s="895"/>
      <c r="R1699" s="895"/>
      <c r="S1699" s="895"/>
      <c r="T1699" s="896"/>
      <c r="U1699" s="895"/>
      <c r="V1699" s="895"/>
      <c r="W1699" s="895"/>
      <c r="X1699" s="899"/>
      <c r="Y1699" s="896"/>
      <c r="Z1699" s="895"/>
      <c r="AA1699" s="895"/>
      <c r="AB1699" s="895"/>
      <c r="AC1699" s="899"/>
      <c r="AD1699" s="896"/>
      <c r="AE1699" s="895"/>
      <c r="AF1699" s="895"/>
      <c r="AG1699" s="895"/>
      <c r="AH1699" s="899"/>
      <c r="AI1699" s="896"/>
      <c r="AJ1699" s="895"/>
      <c r="AK1699" s="895"/>
      <c r="AL1699" s="895"/>
      <c r="AM1699" s="899"/>
      <c r="AN1699" s="896"/>
      <c r="AO1699" s="895"/>
      <c r="AP1699" s="895"/>
      <c r="AQ1699" s="897"/>
      <c r="AR1699" s="899"/>
      <c r="AS1699" s="896"/>
      <c r="AT1699" s="895"/>
      <c r="AU1699" s="895"/>
      <c r="AV1699" s="895"/>
      <c r="AW1699" s="899"/>
      <c r="AX1699" s="896"/>
      <c r="AY1699" s="895"/>
      <c r="AZ1699" s="895"/>
      <c r="BA1699" s="895"/>
      <c r="BB1699" s="899"/>
      <c r="BC1699" s="896"/>
      <c r="BD1699" s="895"/>
      <c r="BE1699" s="895"/>
      <c r="BF1699" s="895"/>
      <c r="BG1699" s="899"/>
      <c r="BH1699" s="896"/>
      <c r="BI1699" s="895"/>
      <c r="BJ1699" s="895"/>
      <c r="BK1699" s="895"/>
      <c r="BL1699" s="899"/>
      <c r="BM1699" s="895"/>
      <c r="BN1699" s="895"/>
      <c r="BO1699" s="895"/>
      <c r="BP1699" s="895"/>
      <c r="BQ1699" s="899"/>
      <c r="BR1699" s="895"/>
      <c r="BS1699" s="895"/>
      <c r="BT1699" s="895"/>
      <c r="BU1699" s="895"/>
      <c r="BV1699" s="899"/>
      <c r="BW1699" s="895"/>
      <c r="BX1699" s="895"/>
      <c r="BY1699" s="895"/>
      <c r="BZ1699" s="895"/>
      <c r="CA1699" s="899"/>
      <c r="CB1699" s="895"/>
      <c r="CC1699" s="895"/>
      <c r="CD1699" s="895"/>
      <c r="CE1699" s="895"/>
      <c r="CF1699" s="899"/>
      <c r="CG1699" s="895"/>
      <c r="CH1699" s="895"/>
      <c r="CI1699" s="895"/>
      <c r="CJ1699" s="895"/>
      <c r="CK1699" s="899"/>
      <c r="CL1699" s="1015"/>
      <c r="CM1699" s="895"/>
      <c r="CN1699" s="895"/>
      <c r="CO1699" s="895"/>
      <c r="CP1699" s="899"/>
      <c r="CQ1699" s="895"/>
      <c r="CR1699" s="895"/>
      <c r="CS1699" s="895"/>
      <c r="CT1699" s="915"/>
      <c r="CU1699" s="899"/>
      <c r="CV1699" s="895"/>
      <c r="CW1699" s="895"/>
      <c r="CX1699" s="895"/>
      <c r="CY1699" s="915"/>
      <c r="CZ1699" s="899"/>
      <c r="DA1699" s="895"/>
      <c r="DB1699" s="895"/>
      <c r="DC1699" s="895"/>
      <c r="DD1699" s="895"/>
      <c r="DE1699" s="899"/>
      <c r="DF1699" s="895"/>
      <c r="DG1699" s="895"/>
      <c r="DH1699" s="895"/>
      <c r="DI1699" s="895"/>
      <c r="DJ1699" s="899"/>
      <c r="DK1699" s="895"/>
      <c r="DL1699" s="895"/>
      <c r="DM1699" s="895"/>
      <c r="DN1699" s="895"/>
      <c r="DO1699" s="899"/>
      <c r="DP1699" s="895"/>
      <c r="DQ1699" s="895"/>
      <c r="DR1699" s="895"/>
      <c r="DS1699" s="915"/>
      <c r="DT1699" s="899"/>
      <c r="DU1699" s="895"/>
      <c r="DV1699" s="895"/>
      <c r="DW1699" s="895"/>
      <c r="DX1699" s="895"/>
      <c r="DY1699" s="2404"/>
      <c r="DZ1699" s="895"/>
      <c r="EA1699" s="895"/>
      <c r="EB1699" s="895"/>
      <c r="EC1699" s="895"/>
      <c r="ED1699" s="2404"/>
      <c r="EE1699" s="3562"/>
      <c r="EF1699" s="2403"/>
      <c r="EG1699" s="2403"/>
      <c r="EH1699" s="895"/>
      <c r="EI1699" s="2404"/>
      <c r="EJ1699" s="2404"/>
      <c r="EK1699" s="2404"/>
      <c r="EL1699" s="2404"/>
      <c r="EM1699" s="2404"/>
      <c r="EN1699" s="2404"/>
      <c r="EO1699" s="2404"/>
      <c r="EP1699" s="2404"/>
      <c r="EQ1699" s="2404"/>
      <c r="ER1699" s="2404"/>
      <c r="ES1699" s="2404"/>
      <c r="ET1699" s="2404"/>
      <c r="EU1699" s="2404"/>
      <c r="EV1699" s="2404"/>
      <c r="EW1699" s="2404"/>
      <c r="EX1699" s="2404"/>
    </row>
    <row r="1700" spans="2:154">
      <c r="B1700" s="910" t="s">
        <v>581</v>
      </c>
      <c r="C1700" s="1392"/>
      <c r="D1700" s="894"/>
      <c r="E1700" s="894"/>
      <c r="F1700" s="895"/>
      <c r="G1700" s="895"/>
      <c r="H1700" s="895"/>
      <c r="I1700" s="895"/>
      <c r="J1700" s="895"/>
      <c r="K1700" s="895"/>
      <c r="L1700" s="895"/>
      <c r="M1700" s="895"/>
      <c r="N1700" s="895"/>
      <c r="O1700" s="896"/>
      <c r="P1700" s="895"/>
      <c r="Q1700" s="895"/>
      <c r="R1700" s="895"/>
      <c r="S1700" s="895"/>
      <c r="T1700" s="896"/>
      <c r="U1700" s="895"/>
      <c r="V1700" s="895"/>
      <c r="W1700" s="895"/>
      <c r="X1700" s="899"/>
      <c r="Y1700" s="896"/>
      <c r="Z1700" s="895"/>
      <c r="AA1700" s="895"/>
      <c r="AB1700" s="895"/>
      <c r="AC1700" s="899"/>
      <c r="AD1700" s="896"/>
      <c r="AE1700" s="895"/>
      <c r="AF1700" s="895"/>
      <c r="AG1700" s="895"/>
      <c r="AH1700" s="899"/>
      <c r="AI1700" s="896"/>
      <c r="AJ1700" s="895"/>
      <c r="AK1700" s="895"/>
      <c r="AL1700" s="895"/>
      <c r="AM1700" s="899"/>
      <c r="AN1700" s="896"/>
      <c r="AO1700" s="895"/>
      <c r="AP1700" s="895"/>
      <c r="AQ1700" s="897"/>
      <c r="AR1700" s="899"/>
      <c r="AS1700" s="896"/>
      <c r="AT1700" s="895"/>
      <c r="AU1700" s="895"/>
      <c r="AV1700" s="895"/>
      <c r="AW1700" s="899"/>
      <c r="AX1700" s="896"/>
      <c r="AY1700" s="895"/>
      <c r="AZ1700" s="895"/>
      <c r="BA1700" s="895"/>
      <c r="BB1700" s="899"/>
      <c r="BC1700" s="896"/>
      <c r="BD1700" s="895"/>
      <c r="BE1700" s="895"/>
      <c r="BF1700" s="895"/>
      <c r="BG1700" s="899"/>
      <c r="BH1700" s="896"/>
      <c r="BI1700" s="895"/>
      <c r="BJ1700" s="895"/>
      <c r="BK1700" s="895"/>
      <c r="BL1700" s="899"/>
      <c r="BM1700" s="895"/>
      <c r="BN1700" s="895"/>
      <c r="BO1700" s="895"/>
      <c r="BP1700" s="895"/>
      <c r="BQ1700" s="899"/>
      <c r="BR1700" s="895"/>
      <c r="BS1700" s="895"/>
      <c r="BT1700" s="895"/>
      <c r="BU1700" s="895"/>
      <c r="BV1700" s="899"/>
      <c r="BW1700" s="895"/>
      <c r="BX1700" s="895"/>
      <c r="BY1700" s="895"/>
      <c r="BZ1700" s="895"/>
      <c r="CA1700" s="899"/>
      <c r="CB1700" s="895"/>
      <c r="CC1700" s="895"/>
      <c r="CD1700" s="895"/>
      <c r="CE1700" s="895"/>
      <c r="CF1700" s="899"/>
      <c r="CG1700" s="895"/>
      <c r="CH1700" s="895"/>
      <c r="CI1700" s="895"/>
      <c r="CJ1700" s="895"/>
      <c r="CK1700" s="899"/>
      <c r="CL1700" s="1015"/>
      <c r="CM1700" s="895"/>
      <c r="CN1700" s="895"/>
      <c r="CO1700" s="895"/>
      <c r="CP1700" s="899"/>
      <c r="CQ1700" s="895"/>
      <c r="CR1700" s="895"/>
      <c r="CS1700" s="895"/>
      <c r="CT1700" s="915"/>
      <c r="CU1700" s="899"/>
      <c r="CV1700" s="895"/>
      <c r="CW1700" s="895"/>
      <c r="CX1700" s="895"/>
      <c r="CY1700" s="915"/>
      <c r="CZ1700" s="899"/>
      <c r="DA1700" s="895"/>
      <c r="DB1700" s="1509"/>
      <c r="DC1700" s="895"/>
      <c r="DD1700" s="895"/>
      <c r="DE1700" s="899"/>
      <c r="DF1700" s="895"/>
      <c r="DG1700" s="895"/>
      <c r="DH1700" s="895"/>
      <c r="DI1700" s="895"/>
      <c r="DJ1700" s="899"/>
      <c r="DK1700" s="1015"/>
      <c r="DL1700" s="895"/>
      <c r="DM1700" s="895"/>
      <c r="DN1700" s="915"/>
      <c r="DO1700" s="915"/>
      <c r="DP1700" s="895"/>
      <c r="DQ1700" s="895"/>
      <c r="DR1700" s="895"/>
      <c r="DS1700" s="915"/>
      <c r="DT1700" s="915"/>
      <c r="DU1700" s="895"/>
      <c r="DV1700" s="895"/>
      <c r="DW1700" s="895"/>
      <c r="DX1700" s="895"/>
      <c r="DY1700" s="2404"/>
      <c r="DZ1700" s="895"/>
      <c r="EA1700" s="895"/>
      <c r="EB1700" s="895"/>
      <c r="EC1700" s="915"/>
      <c r="ED1700" s="2404"/>
      <c r="EE1700" s="2403"/>
      <c r="EF1700" s="2403"/>
      <c r="EG1700" s="2403"/>
      <c r="EH1700" s="915"/>
      <c r="EI1700" s="2406"/>
      <c r="EJ1700" s="2406"/>
      <c r="EK1700" s="2406"/>
      <c r="EL1700" s="2406">
        <f>EL1695*($ES$1700/$ES$1695)</f>
      </c>
      <c r="EM1700" s="2406">
        <f t="shared" ref="EM1700:ER1700" si="3062">EM1695*($ES$1700/$ES$1695)</f>
      </c>
      <c r="EN1700" s="2406">
        <f t="shared" si="3062"/>
      </c>
      <c r="EO1700" s="2406">
        <f t="shared" si="3062"/>
      </c>
      <c r="EP1700" s="2406">
        <f t="shared" si="3062"/>
      </c>
      <c r="EQ1700" s="2406">
        <f t="shared" si="3062"/>
      </c>
      <c r="ER1700" s="2406">
        <f t="shared" si="3062"/>
      </c>
      <c r="ES1700" s="3755">
        <f>'Other Phase III and II Pipeline'!C40</f>
      </c>
      <c r="ET1700" s="2406"/>
      <c r="EU1700" s="2406"/>
      <c r="EV1700" s="2406"/>
      <c r="EW1700" s="2406"/>
      <c r="EX1700" s="2406"/>
    </row>
    <row r="1701" spans="2:154">
      <c r="B1701" s="910" t="s">
        <v>582</v>
      </c>
      <c r="C1701" s="1392"/>
      <c r="D1701" s="894"/>
      <c r="E1701" s="894"/>
      <c r="F1701" s="895"/>
      <c r="G1701" s="895"/>
      <c r="H1701" s="895"/>
      <c r="I1701" s="895"/>
      <c r="J1701" s="895"/>
      <c r="K1701" s="895"/>
      <c r="L1701" s="895"/>
      <c r="M1701" s="895"/>
      <c r="N1701" s="895"/>
      <c r="O1701" s="896"/>
      <c r="P1701" s="895"/>
      <c r="Q1701" s="895"/>
      <c r="R1701" s="895"/>
      <c r="S1701" s="895"/>
      <c r="T1701" s="896"/>
      <c r="U1701" s="895"/>
      <c r="V1701" s="895"/>
      <c r="W1701" s="895"/>
      <c r="X1701" s="899"/>
      <c r="Y1701" s="896"/>
      <c r="Z1701" s="895"/>
      <c r="AA1701" s="895"/>
      <c r="AB1701" s="895"/>
      <c r="AC1701" s="899"/>
      <c r="AD1701" s="896"/>
      <c r="AE1701" s="895"/>
      <c r="AF1701" s="895"/>
      <c r="AG1701" s="895"/>
      <c r="AH1701" s="899"/>
      <c r="AI1701" s="896"/>
      <c r="AJ1701" s="895"/>
      <c r="AK1701" s="895"/>
      <c r="AL1701" s="895"/>
      <c r="AM1701" s="899"/>
      <c r="AN1701" s="896"/>
      <c r="AO1701" s="895"/>
      <c r="AP1701" s="895"/>
      <c r="AQ1701" s="897"/>
      <c r="AR1701" s="899"/>
      <c r="AS1701" s="896"/>
      <c r="AT1701" s="895"/>
      <c r="AU1701" s="895"/>
      <c r="AV1701" s="895"/>
      <c r="AW1701" s="899"/>
      <c r="AX1701" s="896"/>
      <c r="AY1701" s="895"/>
      <c r="AZ1701" s="895"/>
      <c r="BA1701" s="895"/>
      <c r="BB1701" s="899"/>
      <c r="BC1701" s="896"/>
      <c r="BD1701" s="895"/>
      <c r="BE1701" s="895"/>
      <c r="BF1701" s="895"/>
      <c r="BG1701" s="899"/>
      <c r="BH1701" s="896"/>
      <c r="BI1701" s="895"/>
      <c r="BJ1701" s="895"/>
      <c r="BK1701" s="895"/>
      <c r="BL1701" s="899"/>
      <c r="BM1701" s="895"/>
      <c r="BN1701" s="895"/>
      <c r="BO1701" s="895"/>
      <c r="BP1701" s="895"/>
      <c r="BQ1701" s="899"/>
      <c r="BR1701" s="895"/>
      <c r="BS1701" s="895"/>
      <c r="BT1701" s="895"/>
      <c r="BU1701" s="895"/>
      <c r="BV1701" s="899"/>
      <c r="BW1701" s="895"/>
      <c r="BX1701" s="895"/>
      <c r="BY1701" s="895"/>
      <c r="BZ1701" s="895"/>
      <c r="CA1701" s="899"/>
      <c r="CB1701" s="895"/>
      <c r="CC1701" s="895"/>
      <c r="CD1701" s="895"/>
      <c r="CE1701" s="895"/>
      <c r="CF1701" s="899"/>
      <c r="CG1701" s="895"/>
      <c r="CH1701" s="895"/>
      <c r="CI1701" s="895"/>
      <c r="CJ1701" s="895"/>
      <c r="CK1701" s="899"/>
      <c r="CL1701" s="1015"/>
      <c r="CM1701" s="895"/>
      <c r="CN1701" s="895"/>
      <c r="CO1701" s="895"/>
      <c r="CP1701" s="899"/>
      <c r="CQ1701" s="895"/>
      <c r="CR1701" s="895"/>
      <c r="CS1701" s="895"/>
      <c r="CT1701" s="915"/>
      <c r="CU1701" s="899"/>
      <c r="CV1701" s="1015"/>
      <c r="CW1701" s="895"/>
      <c r="CX1701" s="895"/>
      <c r="CY1701" s="915"/>
      <c r="CZ1701" s="899"/>
      <c r="DA1701" s="895"/>
      <c r="DB1701" s="1509"/>
      <c r="DC1701" s="895"/>
      <c r="DD1701" s="895"/>
      <c r="DE1701" s="899"/>
      <c r="DF1701" s="895"/>
      <c r="DG1701" s="895"/>
      <c r="DH1701" s="895"/>
      <c r="DI1701" s="895"/>
      <c r="DJ1701" s="899"/>
      <c r="DK1701" s="1015"/>
      <c r="DL1701" s="895"/>
      <c r="DM1701" s="895"/>
      <c r="DN1701" s="915"/>
      <c r="DO1701" s="915"/>
      <c r="DP1701" s="895"/>
      <c r="DQ1701" s="895"/>
      <c r="DR1701" s="895"/>
      <c r="DS1701" s="915"/>
      <c r="DT1701" s="915"/>
      <c r="DU1701" s="895"/>
      <c r="DV1701" s="895"/>
      <c r="DW1701" s="895"/>
      <c r="DX1701" s="895"/>
      <c r="DY1701" s="2404"/>
      <c r="DZ1701" s="895"/>
      <c r="EA1701" s="895"/>
      <c r="EB1701" s="895"/>
      <c r="EC1701" s="915"/>
      <c r="ED1701" s="2404"/>
      <c r="EE1701" s="2403"/>
      <c r="EF1701" s="2403"/>
      <c r="EG1701" s="2403"/>
      <c r="EH1701" s="915"/>
      <c r="EI1701" s="2406"/>
      <c r="EJ1701" s="2406"/>
      <c r="EK1701" s="2406"/>
      <c r="EL1701" s="2406">
        <f>EL1696*($ES$1701/$ES$1696)</f>
      </c>
      <c r="EM1701" s="2406">
        <f t="shared" ref="EM1701:ER1701" si="3063">EM1696*($ES$1701/$ES$1696)</f>
      </c>
      <c r="EN1701" s="2406">
        <f t="shared" si="3063"/>
      </c>
      <c r="EO1701" s="2406">
        <f t="shared" si="3063"/>
      </c>
      <c r="EP1701" s="2406">
        <f t="shared" si="3063"/>
      </c>
      <c r="EQ1701" s="2406">
        <f t="shared" si="3063"/>
      </c>
      <c r="ER1701" s="2406">
        <f t="shared" si="3063"/>
      </c>
      <c r="ES1701" s="3755">
        <f>'Other Phase III and II Pipeline'!C46</f>
      </c>
      <c r="ET1701" s="2406"/>
      <c r="EU1701" s="2406"/>
      <c r="EV1701" s="2406"/>
      <c r="EW1701" s="2406"/>
      <c r="EX1701" s="2406"/>
    </row>
    <row r="1702" spans="2:154">
      <c r="B1702" s="910" t="s">
        <v>583</v>
      </c>
      <c r="C1702" s="1392"/>
      <c r="D1702" s="894"/>
      <c r="E1702" s="894"/>
      <c r="F1702" s="895"/>
      <c r="G1702" s="895"/>
      <c r="H1702" s="895"/>
      <c r="I1702" s="895"/>
      <c r="J1702" s="895"/>
      <c r="K1702" s="895"/>
      <c r="L1702" s="895"/>
      <c r="M1702" s="895"/>
      <c r="N1702" s="895"/>
      <c r="O1702" s="896"/>
      <c r="P1702" s="895"/>
      <c r="Q1702" s="895"/>
      <c r="R1702" s="895"/>
      <c r="S1702" s="895"/>
      <c r="T1702" s="896"/>
      <c r="U1702" s="895"/>
      <c r="V1702" s="895"/>
      <c r="W1702" s="895"/>
      <c r="X1702" s="899"/>
      <c r="Y1702" s="896"/>
      <c r="Z1702" s="895"/>
      <c r="AA1702" s="895"/>
      <c r="AB1702" s="895"/>
      <c r="AC1702" s="899"/>
      <c r="AD1702" s="896"/>
      <c r="AE1702" s="895"/>
      <c r="AF1702" s="895"/>
      <c r="AG1702" s="895"/>
      <c r="AH1702" s="899"/>
      <c r="AI1702" s="896"/>
      <c r="AJ1702" s="895"/>
      <c r="AK1702" s="895"/>
      <c r="AL1702" s="895"/>
      <c r="AM1702" s="899"/>
      <c r="AN1702" s="896"/>
      <c r="AO1702" s="895"/>
      <c r="AP1702" s="895"/>
      <c r="AQ1702" s="897"/>
      <c r="AR1702" s="899"/>
      <c r="AS1702" s="896"/>
      <c r="AT1702" s="895"/>
      <c r="AU1702" s="895"/>
      <c r="AV1702" s="895"/>
      <c r="AW1702" s="899"/>
      <c r="AX1702" s="896"/>
      <c r="AY1702" s="895"/>
      <c r="AZ1702" s="895"/>
      <c r="BA1702" s="895"/>
      <c r="BB1702" s="899"/>
      <c r="BC1702" s="896"/>
      <c r="BD1702" s="895"/>
      <c r="BE1702" s="895"/>
      <c r="BF1702" s="895"/>
      <c r="BG1702" s="899"/>
      <c r="BH1702" s="896"/>
      <c r="BI1702" s="895"/>
      <c r="BJ1702" s="895"/>
      <c r="BK1702" s="895"/>
      <c r="BL1702" s="899"/>
      <c r="BM1702" s="895"/>
      <c r="BN1702" s="895"/>
      <c r="BO1702" s="895"/>
      <c r="BP1702" s="895"/>
      <c r="BQ1702" s="899"/>
      <c r="BR1702" s="895"/>
      <c r="BS1702" s="895"/>
      <c r="BT1702" s="895"/>
      <c r="BU1702" s="895"/>
      <c r="BV1702" s="899"/>
      <c r="BW1702" s="895"/>
      <c r="BX1702" s="895"/>
      <c r="BY1702" s="895"/>
      <c r="BZ1702" s="895"/>
      <c r="CA1702" s="899"/>
      <c r="CB1702" s="895"/>
      <c r="CC1702" s="895"/>
      <c r="CD1702" s="895"/>
      <c r="CE1702" s="895"/>
      <c r="CF1702" s="899"/>
      <c r="CG1702" s="895"/>
      <c r="CH1702" s="895"/>
      <c r="CI1702" s="895"/>
      <c r="CJ1702" s="895"/>
      <c r="CK1702" s="899"/>
      <c r="CL1702" s="1015"/>
      <c r="CM1702" s="895"/>
      <c r="CN1702" s="895"/>
      <c r="CO1702" s="895"/>
      <c r="CP1702" s="899"/>
      <c r="CQ1702" s="895"/>
      <c r="CR1702" s="895"/>
      <c r="CS1702" s="895"/>
      <c r="CT1702" s="915"/>
      <c r="CU1702" s="899"/>
      <c r="CV1702" s="895"/>
      <c r="CW1702" s="895"/>
      <c r="CX1702" s="895"/>
      <c r="CY1702" s="915"/>
      <c r="CZ1702" s="899"/>
      <c r="DA1702" s="895"/>
      <c r="DB1702" s="1509"/>
      <c r="DC1702" s="895"/>
      <c r="DD1702" s="895"/>
      <c r="DE1702" s="899"/>
      <c r="DF1702" s="895"/>
      <c r="DG1702" s="895"/>
      <c r="DH1702" s="895"/>
      <c r="DI1702" s="895"/>
      <c r="DJ1702" s="899"/>
      <c r="DK1702" s="1015"/>
      <c r="DL1702" s="895"/>
      <c r="DM1702" s="895"/>
      <c r="DN1702" s="915"/>
      <c r="DO1702" s="915"/>
      <c r="DP1702" s="895"/>
      <c r="DQ1702" s="895"/>
      <c r="DR1702" s="895"/>
      <c r="DS1702" s="915"/>
      <c r="DT1702" s="915"/>
      <c r="DU1702" s="895"/>
      <c r="DV1702" s="895"/>
      <c r="DW1702" s="895"/>
      <c r="DX1702" s="895"/>
      <c r="DY1702" s="2404"/>
      <c r="DZ1702" s="895"/>
      <c r="EA1702" s="895"/>
      <c r="EB1702" s="895"/>
      <c r="EC1702" s="915"/>
      <c r="ED1702" s="2404"/>
      <c r="EE1702" s="3562"/>
      <c r="EF1702" s="2403"/>
      <c r="EG1702" s="2403"/>
      <c r="EH1702" s="895"/>
      <c r="EI1702" s="2404"/>
      <c r="EJ1702" s="2404"/>
      <c r="EK1702" s="2404"/>
      <c r="EL1702" s="2404">
        <f t="shared" ref="EL1702" si="3064">SUM(EL1700:EL1701)</f>
      </c>
      <c r="EM1702" s="2404">
        <f t="shared" ref="EM1702" si="3065">SUM(EM1700:EM1701)</f>
      </c>
      <c r="EN1702" s="2404">
        <f t="shared" ref="EN1702" si="3066">SUM(EN1700:EN1701)</f>
      </c>
      <c r="EO1702" s="2404">
        <f t="shared" ref="EO1702" si="3067">SUM(EO1700:EO1701)</f>
      </c>
      <c r="EP1702" s="2404">
        <f t="shared" ref="EP1702" si="3068">SUM(EP1700:EP1701)</f>
      </c>
      <c r="EQ1702" s="2404">
        <f t="shared" ref="EQ1702" si="3069">SUM(EQ1700:EQ1701)</f>
      </c>
      <c r="ER1702" s="2404">
        <f t="shared" ref="ER1702" si="3070">SUM(ER1700:ER1701)</f>
      </c>
      <c r="ES1702" s="2404">
        <f t="shared" ref="ES1702" si="3071">SUM(ES1700:ES1701)</f>
      </c>
      <c r="ET1702" s="2404"/>
      <c r="EU1702" s="2404"/>
      <c r="EV1702" s="2404"/>
      <c r="EW1702" s="2404"/>
      <c r="EX1702" s="2406"/>
    </row>
    <row r="1703" spans="2:154">
      <c r="B1703" s="910"/>
      <c r="C1703" s="1392"/>
      <c r="D1703" s="894"/>
      <c r="E1703" s="894"/>
      <c r="F1703" s="895"/>
      <c r="G1703" s="895"/>
      <c r="H1703" s="895"/>
      <c r="I1703" s="895"/>
      <c r="J1703" s="895"/>
      <c r="K1703" s="895"/>
      <c r="L1703" s="895"/>
      <c r="M1703" s="895"/>
      <c r="N1703" s="895"/>
      <c r="O1703" s="896"/>
      <c r="P1703" s="895"/>
      <c r="Q1703" s="895"/>
      <c r="R1703" s="895"/>
      <c r="S1703" s="895"/>
      <c r="T1703" s="896"/>
      <c r="U1703" s="895"/>
      <c r="V1703" s="895"/>
      <c r="W1703" s="895"/>
      <c r="X1703" s="899"/>
      <c r="Y1703" s="896"/>
      <c r="Z1703" s="895"/>
      <c r="AA1703" s="895"/>
      <c r="AB1703" s="895"/>
      <c r="AC1703" s="899"/>
      <c r="AD1703" s="896"/>
      <c r="AE1703" s="895"/>
      <c r="AF1703" s="895"/>
      <c r="AG1703" s="895"/>
      <c r="AH1703" s="899"/>
      <c r="AI1703" s="896"/>
      <c r="AJ1703" s="895"/>
      <c r="AK1703" s="895"/>
      <c r="AL1703" s="895"/>
      <c r="AM1703" s="899"/>
      <c r="AN1703" s="896"/>
      <c r="AO1703" s="895"/>
      <c r="AP1703" s="895"/>
      <c r="AQ1703" s="897"/>
      <c r="AR1703" s="899"/>
      <c r="AS1703" s="896"/>
      <c r="AT1703" s="895"/>
      <c r="AU1703" s="895"/>
      <c r="AV1703" s="895"/>
      <c r="AW1703" s="899"/>
      <c r="AX1703" s="896"/>
      <c r="AY1703" s="895"/>
      <c r="AZ1703" s="895"/>
      <c r="BA1703" s="895"/>
      <c r="BB1703" s="899"/>
      <c r="BC1703" s="896"/>
      <c r="BD1703" s="895"/>
      <c r="BE1703" s="895"/>
      <c r="BF1703" s="895"/>
      <c r="BG1703" s="899"/>
      <c r="BH1703" s="896"/>
      <c r="BI1703" s="895"/>
      <c r="BJ1703" s="895"/>
      <c r="BK1703" s="895"/>
      <c r="BL1703" s="899"/>
      <c r="BM1703" s="895"/>
      <c r="BN1703" s="895"/>
      <c r="BO1703" s="895"/>
      <c r="BP1703" s="895"/>
      <c r="BQ1703" s="899"/>
      <c r="BR1703" s="895"/>
      <c r="BS1703" s="895"/>
      <c r="BT1703" s="895"/>
      <c r="BU1703" s="895"/>
      <c r="BV1703" s="899"/>
      <c r="BW1703" s="895"/>
      <c r="BX1703" s="895"/>
      <c r="BY1703" s="895"/>
      <c r="BZ1703" s="895"/>
      <c r="CA1703" s="899"/>
      <c r="CB1703" s="895"/>
      <c r="CC1703" s="895"/>
      <c r="CD1703" s="895"/>
      <c r="CE1703" s="895"/>
      <c r="CF1703" s="899"/>
      <c r="CG1703" s="895"/>
      <c r="CH1703" s="895"/>
      <c r="CI1703" s="895"/>
      <c r="CJ1703" s="895"/>
      <c r="CK1703" s="899"/>
      <c r="CL1703" s="1015"/>
      <c r="CM1703" s="895"/>
      <c r="CN1703" s="895"/>
      <c r="CO1703" s="895"/>
      <c r="CP1703" s="899"/>
      <c r="CQ1703" s="895"/>
      <c r="CR1703" s="895"/>
      <c r="CS1703" s="895"/>
      <c r="CT1703" s="915"/>
      <c r="CU1703" s="899"/>
      <c r="CV1703" s="895"/>
      <c r="CW1703" s="895"/>
      <c r="CX1703" s="895"/>
      <c r="CY1703" s="915"/>
      <c r="CZ1703" s="899"/>
      <c r="DA1703" s="1015"/>
      <c r="DB1703" s="1509"/>
      <c r="DC1703" s="895"/>
      <c r="DD1703" s="915"/>
      <c r="DE1703" s="899"/>
      <c r="DF1703" s="1015"/>
      <c r="DG1703" s="895"/>
      <c r="DH1703" s="895"/>
      <c r="DI1703" s="915"/>
      <c r="DJ1703" s="915"/>
      <c r="DK1703" s="1015"/>
      <c r="DL1703" s="895"/>
      <c r="DM1703" s="895"/>
      <c r="DN1703" s="915"/>
      <c r="DO1703" s="915"/>
      <c r="DP1703" s="895"/>
      <c r="DQ1703" s="895"/>
      <c r="DR1703" s="895"/>
      <c r="DS1703" s="915"/>
      <c r="DT1703" s="915"/>
      <c r="DU1703" s="895"/>
      <c r="DV1703" s="895"/>
      <c r="DW1703" s="895"/>
      <c r="DX1703" s="915"/>
      <c r="DY1703" s="915"/>
      <c r="DZ1703" s="895"/>
      <c r="EA1703" s="895"/>
      <c r="EB1703" s="895"/>
      <c r="EC1703" s="915"/>
      <c r="ED1703" s="915"/>
      <c r="EE1703" s="895"/>
      <c r="EF1703" s="895"/>
      <c r="EG1703" s="895"/>
      <c r="EH1703" s="915"/>
      <c r="EI1703" s="915"/>
      <c r="EJ1703" s="899"/>
      <c r="EK1703" s="899"/>
      <c r="EL1703" s="899"/>
      <c r="EM1703" s="899"/>
      <c r="EN1703" s="899"/>
      <c r="EO1703" s="899"/>
      <c r="EP1703" s="899"/>
      <c r="EQ1703" s="899"/>
      <c r="ER1703" s="899"/>
      <c r="ES1703" s="899"/>
      <c r="ET1703" s="899"/>
      <c r="EU1703" s="899"/>
      <c r="EV1703" s="899"/>
      <c r="EW1703" s="899"/>
      <c r="EX1703" s="899"/>
    </row>
    <row r="1704" spans="2:154">
      <c r="B1704" s="910" t="s">
        <v>1027</v>
      </c>
      <c r="C1704" s="1392"/>
      <c r="D1704" s="894"/>
      <c r="E1704" s="894"/>
      <c r="F1704" s="895"/>
      <c r="G1704" s="895"/>
      <c r="H1704" s="895"/>
      <c r="I1704" s="895"/>
      <c r="J1704" s="895"/>
      <c r="K1704" s="895"/>
      <c r="L1704" s="895"/>
      <c r="M1704" s="895"/>
      <c r="N1704" s="895"/>
      <c r="O1704" s="896"/>
      <c r="P1704" s="895"/>
      <c r="Q1704" s="895"/>
      <c r="R1704" s="895"/>
      <c r="S1704" s="895"/>
      <c r="T1704" s="896"/>
      <c r="U1704" s="895"/>
      <c r="V1704" s="895"/>
      <c r="W1704" s="895"/>
      <c r="X1704" s="899"/>
      <c r="Y1704" s="896"/>
      <c r="Z1704" s="895"/>
      <c r="AA1704" s="895"/>
      <c r="AB1704" s="895"/>
      <c r="AC1704" s="899"/>
      <c r="AD1704" s="896"/>
      <c r="AE1704" s="895"/>
      <c r="AF1704" s="895"/>
      <c r="AG1704" s="895"/>
      <c r="AH1704" s="899"/>
      <c r="AI1704" s="896"/>
      <c r="AJ1704" s="895"/>
      <c r="AK1704" s="895"/>
      <c r="AL1704" s="895"/>
      <c r="AM1704" s="899"/>
      <c r="AN1704" s="896"/>
      <c r="AO1704" s="895"/>
      <c r="AP1704" s="895"/>
      <c r="AQ1704" s="897"/>
      <c r="AR1704" s="899"/>
      <c r="AS1704" s="896"/>
      <c r="AT1704" s="895"/>
      <c r="AU1704" s="895"/>
      <c r="AV1704" s="895"/>
      <c r="AW1704" s="899"/>
      <c r="AX1704" s="896"/>
      <c r="AY1704" s="895"/>
      <c r="AZ1704" s="895"/>
      <c r="BA1704" s="895"/>
      <c r="BB1704" s="899"/>
      <c r="BC1704" s="896"/>
      <c r="BD1704" s="895"/>
      <c r="BE1704" s="895"/>
      <c r="BF1704" s="895"/>
      <c r="BG1704" s="899"/>
      <c r="BH1704" s="896"/>
      <c r="BI1704" s="895"/>
      <c r="BJ1704" s="895"/>
      <c r="BK1704" s="895"/>
      <c r="BL1704" s="899"/>
      <c r="BM1704" s="895"/>
      <c r="BN1704" s="895"/>
      <c r="BO1704" s="895"/>
      <c r="BP1704" s="895"/>
      <c r="BQ1704" s="899"/>
      <c r="BR1704" s="895"/>
      <c r="BS1704" s="895"/>
      <c r="BT1704" s="895"/>
      <c r="BU1704" s="895"/>
      <c r="BV1704" s="899"/>
      <c r="BW1704" s="895"/>
      <c r="BX1704" s="895"/>
      <c r="BY1704" s="895"/>
      <c r="BZ1704" s="895"/>
      <c r="CA1704" s="899"/>
      <c r="CB1704" s="895"/>
      <c r="CC1704" s="895"/>
      <c r="CD1704" s="895"/>
      <c r="CE1704" s="895"/>
      <c r="CF1704" s="899"/>
      <c r="CG1704" s="895"/>
      <c r="CH1704" s="895"/>
      <c r="CI1704" s="895"/>
      <c r="CJ1704" s="895"/>
      <c r="CK1704" s="899"/>
      <c r="CL1704" s="1015"/>
      <c r="CM1704" s="895"/>
      <c r="CN1704" s="895"/>
      <c r="CO1704" s="895"/>
      <c r="CP1704" s="899"/>
      <c r="CQ1704" s="895"/>
      <c r="CR1704" s="895"/>
      <c r="CS1704" s="895"/>
      <c r="CT1704" s="915"/>
      <c r="CU1704" s="899"/>
      <c r="CV1704" s="895"/>
      <c r="CW1704" s="895"/>
      <c r="CX1704" s="895"/>
      <c r="CY1704" s="915"/>
      <c r="CZ1704" s="899"/>
      <c r="DA1704" s="1015"/>
      <c r="DB1704" s="1509"/>
      <c r="DC1704" s="895"/>
      <c r="DD1704" s="915"/>
      <c r="DE1704" s="899"/>
      <c r="DF1704" s="1015"/>
      <c r="DG1704" s="895"/>
      <c r="DH1704" s="895"/>
      <c r="DI1704" s="915"/>
      <c r="DJ1704" s="915"/>
      <c r="DK1704" s="1015"/>
      <c r="DL1704" s="895"/>
      <c r="DM1704" s="895"/>
      <c r="DN1704" s="915"/>
      <c r="DO1704" s="915"/>
      <c r="DP1704" s="895"/>
      <c r="DQ1704" s="895"/>
      <c r="DR1704" s="895"/>
      <c r="DS1704" s="915"/>
      <c r="DT1704" s="915"/>
      <c r="DU1704" s="895"/>
      <c r="DV1704" s="895"/>
      <c r="DW1704" s="895"/>
      <c r="DX1704" s="915"/>
      <c r="DY1704" s="915"/>
      <c r="DZ1704" s="895"/>
      <c r="EA1704" s="895"/>
      <c r="EB1704" s="895"/>
      <c r="EC1704" s="915"/>
      <c r="ED1704" s="915"/>
      <c r="EE1704" s="3756"/>
      <c r="EF1704" s="3756"/>
      <c r="EG1704" s="3756"/>
      <c r="EH1704" s="3757"/>
      <c r="EI1704" s="3757"/>
      <c r="EJ1704" s="3695"/>
      <c r="EK1704" s="3695"/>
      <c r="EL1704" s="3695">
        <f t="shared" ref="EL1704:ES1704" si="3072">EL1702/EL1697</f>
      </c>
      <c r="EM1704" s="3695">
        <f t="shared" si="3072"/>
      </c>
      <c r="EN1704" s="3695">
        <f t="shared" si="3072"/>
      </c>
      <c r="EO1704" s="3695">
        <f t="shared" si="3072"/>
      </c>
      <c r="EP1704" s="3695">
        <f t="shared" si="3072"/>
      </c>
      <c r="EQ1704" s="3695">
        <f t="shared" si="3072"/>
      </c>
      <c r="ER1704" s="3695">
        <f t="shared" si="3072"/>
      </c>
      <c r="ES1704" s="3695">
        <f t="shared" si="3072"/>
      </c>
      <c r="ET1704" s="3695"/>
      <c r="EU1704" s="3695"/>
      <c r="EV1704" s="3695"/>
      <c r="EW1704" s="3695"/>
      <c r="EX1704" s="899"/>
    </row>
    <row r="1705" spans="2:154">
      <c r="B1705" s="911"/>
      <c r="C1705" s="1392"/>
      <c r="D1705" s="894"/>
      <c r="E1705" s="894"/>
      <c r="F1705" s="895"/>
      <c r="G1705" s="895"/>
      <c r="H1705" s="895"/>
      <c r="I1705" s="895"/>
      <c r="J1705" s="895"/>
      <c r="K1705" s="895"/>
      <c r="L1705" s="895"/>
      <c r="M1705" s="895"/>
      <c r="N1705" s="895"/>
      <c r="O1705" s="896"/>
      <c r="P1705" s="895"/>
      <c r="Q1705" s="895"/>
      <c r="R1705" s="895"/>
      <c r="S1705" s="895"/>
      <c r="T1705" s="896"/>
      <c r="U1705" s="895"/>
      <c r="V1705" s="895"/>
      <c r="W1705" s="895"/>
      <c r="X1705" s="899"/>
      <c r="Y1705" s="896"/>
      <c r="Z1705" s="895"/>
      <c r="AA1705" s="895"/>
      <c r="AB1705" s="895"/>
      <c r="AC1705" s="899"/>
      <c r="AD1705" s="896"/>
      <c r="AE1705" s="895"/>
      <c r="AF1705" s="895"/>
      <c r="AG1705" s="895"/>
      <c r="AH1705" s="899"/>
      <c r="AI1705" s="896"/>
      <c r="AJ1705" s="895"/>
      <c r="AK1705" s="895"/>
      <c r="AL1705" s="895"/>
      <c r="AM1705" s="899"/>
      <c r="AN1705" s="896"/>
      <c r="AO1705" s="895"/>
      <c r="AP1705" s="895"/>
      <c r="AQ1705" s="897"/>
      <c r="AR1705" s="899"/>
      <c r="AS1705" s="896"/>
      <c r="AT1705" s="895"/>
      <c r="AU1705" s="895"/>
      <c r="AV1705" s="895"/>
      <c r="AW1705" s="899"/>
      <c r="AX1705" s="896"/>
      <c r="AY1705" s="895"/>
      <c r="AZ1705" s="895"/>
      <c r="BA1705" s="895"/>
      <c r="BB1705" s="899"/>
      <c r="BC1705" s="896"/>
      <c r="BD1705" s="895"/>
      <c r="BE1705" s="895"/>
      <c r="BF1705" s="895"/>
      <c r="BG1705" s="899"/>
      <c r="BH1705" s="896"/>
      <c r="BI1705" s="895"/>
      <c r="BJ1705" s="895"/>
      <c r="BK1705" s="895"/>
      <c r="BL1705" s="899"/>
      <c r="BM1705" s="895"/>
      <c r="BN1705" s="895"/>
      <c r="BO1705" s="895"/>
      <c r="BP1705" s="895"/>
      <c r="BQ1705" s="899"/>
      <c r="BR1705" s="895"/>
      <c r="BS1705" s="895"/>
      <c r="BT1705" s="895"/>
      <c r="BU1705" s="895"/>
      <c r="BV1705" s="899"/>
      <c r="BW1705" s="895"/>
      <c r="BX1705" s="895"/>
      <c r="BY1705" s="895"/>
      <c r="BZ1705" s="895"/>
      <c r="CA1705" s="899"/>
      <c r="CB1705" s="895"/>
      <c r="CC1705" s="895"/>
      <c r="CD1705" s="895"/>
      <c r="CE1705" s="895"/>
      <c r="CF1705" s="899"/>
      <c r="CG1705" s="895"/>
      <c r="CH1705" s="895"/>
      <c r="CI1705" s="895"/>
      <c r="CJ1705" s="895"/>
      <c r="CK1705" s="899"/>
      <c r="CL1705" s="1015"/>
      <c r="CM1705" s="895"/>
      <c r="CN1705" s="895"/>
      <c r="CO1705" s="895"/>
      <c r="CP1705" s="899"/>
      <c r="CQ1705" s="895"/>
      <c r="CR1705" s="895"/>
      <c r="CS1705" s="895"/>
      <c r="CT1705" s="915"/>
      <c r="CU1705" s="899"/>
      <c r="CV1705" s="895"/>
      <c r="CW1705" s="895"/>
      <c r="CX1705" s="895"/>
      <c r="CY1705" s="915"/>
      <c r="CZ1705" s="899"/>
      <c r="DA1705" s="1015"/>
      <c r="DB1705" s="1509"/>
      <c r="DC1705" s="895"/>
      <c r="DD1705" s="915"/>
      <c r="DE1705" s="899"/>
      <c r="DF1705" s="1015"/>
      <c r="DG1705" s="895"/>
      <c r="DH1705" s="895"/>
      <c r="DI1705" s="915"/>
      <c r="DJ1705" s="915"/>
      <c r="DK1705" s="1015"/>
      <c r="DL1705" s="895"/>
      <c r="DM1705" s="895"/>
      <c r="DN1705" s="915"/>
      <c r="DO1705" s="915"/>
      <c r="DP1705" s="895"/>
      <c r="DQ1705" s="895"/>
      <c r="DR1705" s="895"/>
      <c r="DS1705" s="915"/>
      <c r="DT1705" s="915"/>
      <c r="DU1705" s="895"/>
      <c r="DV1705" s="895"/>
      <c r="DW1705" s="895"/>
      <c r="DX1705" s="915"/>
      <c r="DY1705" s="915"/>
      <c r="DZ1705" s="895"/>
      <c r="EA1705" s="895"/>
      <c r="EB1705" s="895"/>
      <c r="EC1705" s="915"/>
      <c r="ED1705" s="915"/>
      <c r="EE1705" s="895"/>
      <c r="EF1705" s="895"/>
      <c r="EG1705" s="895"/>
      <c r="EH1705" s="915"/>
      <c r="EI1705" s="915"/>
      <c r="EJ1705" s="899"/>
      <c r="EK1705" s="899"/>
      <c r="EL1705" s="899"/>
      <c r="EM1705" s="899"/>
      <c r="EN1705" s="899"/>
      <c r="EO1705" s="899"/>
      <c r="EP1705" s="899"/>
      <c r="EQ1705" s="899"/>
      <c r="ER1705" s="899"/>
      <c r="ES1705" s="899"/>
      <c r="ET1705" s="899"/>
      <c r="EU1705" s="899"/>
      <c r="EV1705" s="899"/>
      <c r="EW1705" s="899"/>
      <c r="EX1705" s="899"/>
    </row>
    <row r="1706" spans="2:154">
      <c r="B1706" s="912" t="s">
        <v>969</v>
      </c>
      <c r="C1706" s="1392"/>
      <c r="D1706" s="894"/>
      <c r="E1706" s="894"/>
      <c r="F1706" s="895"/>
      <c r="G1706" s="895"/>
      <c r="H1706" s="895"/>
      <c r="I1706" s="895"/>
      <c r="J1706" s="895"/>
      <c r="K1706" s="895"/>
      <c r="L1706" s="895"/>
      <c r="M1706" s="895"/>
      <c r="N1706" s="895"/>
      <c r="O1706" s="896"/>
      <c r="P1706" s="895"/>
      <c r="Q1706" s="895"/>
      <c r="R1706" s="895"/>
      <c r="S1706" s="895"/>
      <c r="T1706" s="896"/>
      <c r="U1706" s="895"/>
      <c r="V1706" s="895"/>
      <c r="W1706" s="895"/>
      <c r="X1706" s="899"/>
      <c r="Y1706" s="896"/>
      <c r="Z1706" s="895"/>
      <c r="AA1706" s="895"/>
      <c r="AB1706" s="895"/>
      <c r="AC1706" s="899"/>
      <c r="AD1706" s="896"/>
      <c r="AE1706" s="895"/>
      <c r="AF1706" s="895"/>
      <c r="AG1706" s="895"/>
      <c r="AH1706" s="899"/>
      <c r="AI1706" s="896"/>
      <c r="AJ1706" s="895"/>
      <c r="AK1706" s="895"/>
      <c r="AL1706" s="895"/>
      <c r="AM1706" s="899"/>
      <c r="AN1706" s="896"/>
      <c r="AO1706" s="895"/>
      <c r="AP1706" s="895"/>
      <c r="AQ1706" s="897"/>
      <c r="AR1706" s="899"/>
      <c r="AS1706" s="896"/>
      <c r="AT1706" s="895"/>
      <c r="AU1706" s="895"/>
      <c r="AV1706" s="895"/>
      <c r="AW1706" s="899"/>
      <c r="AX1706" s="896"/>
      <c r="AY1706" s="895"/>
      <c r="AZ1706" s="895"/>
      <c r="BA1706" s="895"/>
      <c r="BB1706" s="899"/>
      <c r="BC1706" s="896"/>
      <c r="BD1706" s="895"/>
      <c r="BE1706" s="895"/>
      <c r="BF1706" s="895"/>
      <c r="BG1706" s="899"/>
      <c r="BH1706" s="896"/>
      <c r="BI1706" s="895"/>
      <c r="BJ1706" s="895"/>
      <c r="BK1706" s="895"/>
      <c r="BL1706" s="899"/>
      <c r="BM1706" s="895"/>
      <c r="BN1706" s="895"/>
      <c r="BO1706" s="895"/>
      <c r="BP1706" s="895"/>
      <c r="BQ1706" s="899"/>
      <c r="BR1706" s="895"/>
      <c r="BS1706" s="895"/>
      <c r="BT1706" s="895"/>
      <c r="BU1706" s="895"/>
      <c r="BV1706" s="899"/>
      <c r="BW1706" s="895"/>
      <c r="BX1706" s="895"/>
      <c r="BY1706" s="895"/>
      <c r="BZ1706" s="895"/>
      <c r="CA1706" s="899"/>
      <c r="CB1706" s="895"/>
      <c r="CC1706" s="895"/>
      <c r="CD1706" s="895"/>
      <c r="CE1706" s="895"/>
      <c r="CF1706" s="899"/>
      <c r="CG1706" s="895"/>
      <c r="CH1706" s="895"/>
      <c r="CI1706" s="895"/>
      <c r="CJ1706" s="895"/>
      <c r="CK1706" s="899"/>
      <c r="CL1706" s="1015"/>
      <c r="CM1706" s="895"/>
      <c r="CN1706" s="895"/>
      <c r="CO1706" s="895"/>
      <c r="CP1706" s="899"/>
      <c r="CQ1706" s="895"/>
      <c r="CR1706" s="895"/>
      <c r="CS1706" s="895"/>
      <c r="CT1706" s="915"/>
      <c r="CU1706" s="899"/>
      <c r="CV1706" s="895"/>
      <c r="CW1706" s="895"/>
      <c r="CX1706" s="895"/>
      <c r="CY1706" s="915"/>
      <c r="CZ1706" s="899"/>
      <c r="DA1706" s="1015"/>
      <c r="DB1706" s="1509"/>
      <c r="DC1706" s="895"/>
      <c r="DD1706" s="915"/>
      <c r="DE1706" s="899"/>
      <c r="DF1706" s="1015"/>
      <c r="DG1706" s="895"/>
      <c r="DH1706" s="895"/>
      <c r="DI1706" s="915"/>
      <c r="DJ1706" s="915"/>
      <c r="DK1706" s="1015"/>
      <c r="DL1706" s="895"/>
      <c r="DM1706" s="895"/>
      <c r="DN1706" s="915"/>
      <c r="DO1706" s="915"/>
      <c r="DP1706" s="895"/>
      <c r="DQ1706" s="895"/>
      <c r="DR1706" s="895"/>
      <c r="DS1706" s="915"/>
      <c r="DT1706" s="915"/>
      <c r="DU1706" s="895"/>
      <c r="DV1706" s="895"/>
      <c r="DW1706" s="895"/>
      <c r="DX1706" s="915"/>
      <c r="DY1706" s="915"/>
      <c r="DZ1706" s="895"/>
      <c r="EA1706" s="895"/>
      <c r="EB1706" s="895"/>
      <c r="EC1706" s="915"/>
      <c r="ED1706" s="915"/>
      <c r="EE1706" s="895"/>
      <c r="EF1706" s="895"/>
      <c r="EG1706" s="895"/>
      <c r="EH1706" s="915"/>
      <c r="EI1706" s="915"/>
      <c r="EJ1706" s="899"/>
      <c r="EK1706" s="899"/>
      <c r="EL1706" s="899"/>
      <c r="EM1706" s="899"/>
      <c r="EN1706" s="899"/>
      <c r="EO1706" s="899"/>
      <c r="EP1706" s="899"/>
      <c r="EQ1706" s="899"/>
      <c r="ER1706" s="899"/>
      <c r="ES1706" s="899"/>
      <c r="ET1706" s="899"/>
      <c r="EU1706" s="899"/>
      <c r="EV1706" s="899"/>
      <c r="EW1706" s="899"/>
      <c r="EX1706" s="899"/>
    </row>
    <row r="1707" spans="2:154">
      <c r="B1707" s="913" t="s">
        <v>421</v>
      </c>
      <c r="C1707" s="1392"/>
      <c r="D1707" s="894"/>
      <c r="E1707" s="894"/>
      <c r="F1707" s="895"/>
      <c r="G1707" s="895"/>
      <c r="H1707" s="895"/>
      <c r="I1707" s="895"/>
      <c r="J1707" s="895"/>
      <c r="K1707" s="895"/>
      <c r="L1707" s="895"/>
      <c r="M1707" s="895"/>
      <c r="N1707" s="895"/>
      <c r="O1707" s="896"/>
      <c r="P1707" s="895"/>
      <c r="Q1707" s="895"/>
      <c r="R1707" s="895"/>
      <c r="S1707" s="895"/>
      <c r="T1707" s="896"/>
      <c r="U1707" s="895"/>
      <c r="V1707" s="895"/>
      <c r="W1707" s="895"/>
      <c r="X1707" s="899"/>
      <c r="Y1707" s="896"/>
      <c r="Z1707" s="895"/>
      <c r="AA1707" s="895"/>
      <c r="AB1707" s="895"/>
      <c r="AC1707" s="899"/>
      <c r="AD1707" s="896"/>
      <c r="AE1707" s="895"/>
      <c r="AF1707" s="895"/>
      <c r="AG1707" s="895"/>
      <c r="AH1707" s="899"/>
      <c r="AI1707" s="896"/>
      <c r="AJ1707" s="895"/>
      <c r="AK1707" s="895"/>
      <c r="AL1707" s="895"/>
      <c r="AM1707" s="899"/>
      <c r="AN1707" s="896"/>
      <c r="AO1707" s="895"/>
      <c r="AP1707" s="895"/>
      <c r="AQ1707" s="897"/>
      <c r="AR1707" s="899"/>
      <c r="AS1707" s="896"/>
      <c r="AT1707" s="895"/>
      <c r="AU1707" s="895"/>
      <c r="AV1707" s="895"/>
      <c r="AW1707" s="899"/>
      <c r="AX1707" s="896"/>
      <c r="AY1707" s="895"/>
      <c r="AZ1707" s="895"/>
      <c r="BA1707" s="895"/>
      <c r="BB1707" s="899"/>
      <c r="BC1707" s="896"/>
      <c r="BD1707" s="895"/>
      <c r="BE1707" s="895"/>
      <c r="BF1707" s="895"/>
      <c r="BG1707" s="899"/>
      <c r="BH1707" s="896"/>
      <c r="BI1707" s="895"/>
      <c r="BJ1707" s="895"/>
      <c r="BK1707" s="895"/>
      <c r="BL1707" s="899"/>
      <c r="BM1707" s="895"/>
      <c r="BN1707" s="895"/>
      <c r="BO1707" s="895"/>
      <c r="BP1707" s="895"/>
      <c r="BQ1707" s="899"/>
      <c r="BR1707" s="895"/>
      <c r="BS1707" s="895"/>
      <c r="BT1707" s="895"/>
      <c r="BU1707" s="895"/>
      <c r="BV1707" s="899"/>
      <c r="BW1707" s="895"/>
      <c r="BX1707" s="895"/>
      <c r="BY1707" s="895"/>
      <c r="BZ1707" s="895"/>
      <c r="CA1707" s="899"/>
      <c r="CB1707" s="895"/>
      <c r="CC1707" s="895"/>
      <c r="CD1707" s="895"/>
      <c r="CE1707" s="895"/>
      <c r="CF1707" s="899"/>
      <c r="CG1707" s="895"/>
      <c r="CH1707" s="895"/>
      <c r="CI1707" s="895"/>
      <c r="CJ1707" s="895"/>
      <c r="CK1707" s="899"/>
      <c r="CL1707" s="1015"/>
      <c r="CM1707" s="895"/>
      <c r="CN1707" s="895"/>
      <c r="CO1707" s="895"/>
      <c r="CP1707" s="923"/>
      <c r="CQ1707" s="895"/>
      <c r="CR1707" s="895"/>
      <c r="CS1707" s="895"/>
      <c r="CT1707" s="915"/>
      <c r="CU1707" s="922"/>
      <c r="CV1707" s="895"/>
      <c r="CW1707" s="895"/>
      <c r="CX1707" s="895"/>
      <c r="CY1707" s="915"/>
      <c r="CZ1707" s="922"/>
      <c r="DA1707" s="1341"/>
      <c r="DB1707" s="1516"/>
      <c r="DC1707" s="1341"/>
      <c r="DD1707" s="922"/>
      <c r="DE1707" s="922"/>
      <c r="DF1707" s="1341"/>
      <c r="DG1707" s="1341"/>
      <c r="DH1707" s="1341"/>
      <c r="DI1707" s="922"/>
      <c r="DJ1707" s="922"/>
      <c r="DK1707" s="1341"/>
      <c r="DL1707" s="1341"/>
      <c r="DM1707" s="1341"/>
      <c r="DN1707" s="922"/>
      <c r="DO1707" s="922"/>
      <c r="DP1707" s="1341"/>
      <c r="DQ1707" s="1341"/>
      <c r="DR1707" s="1341"/>
      <c r="DS1707" s="922"/>
      <c r="DT1707" s="922"/>
      <c r="DU1707" s="1341"/>
      <c r="DV1707" s="1341"/>
      <c r="DW1707" s="1341"/>
      <c r="DX1707" s="922"/>
      <c r="DY1707" s="922"/>
      <c r="DZ1707" s="1341"/>
      <c r="EA1707" s="1341"/>
      <c r="EB1707" s="1341"/>
      <c r="EC1707" s="922"/>
      <c r="ED1707" s="922"/>
      <c r="EE1707" s="1341"/>
      <c r="EF1707" s="1341"/>
      <c r="EG1707" s="1341"/>
      <c r="EH1707" s="922"/>
      <c r="EI1707" s="922"/>
      <c r="EJ1707" s="923"/>
      <c r="EK1707" s="923"/>
      <c r="EL1707" s="923"/>
      <c r="EM1707" s="923">
        <f t="shared" ref="EM1707:EM1709" si="3073">EM1700/EL1700-1</f>
      </c>
      <c r="EN1707" s="923">
        <f t="shared" ref="EN1707:EN1709" si="3074">EN1700/EM1700-1</f>
      </c>
      <c r="EO1707" s="923">
        <f t="shared" ref="EO1707:EO1709" si="3075">EO1700/EN1700-1</f>
      </c>
      <c r="EP1707" s="923">
        <f t="shared" ref="EP1707:EP1709" si="3076">EP1700/EO1700-1</f>
      </c>
      <c r="EQ1707" s="923">
        <f t="shared" ref="EQ1707:EQ1709" si="3077">EQ1700/EP1700-1</f>
      </c>
      <c r="ER1707" s="923">
        <f t="shared" ref="ER1707:ER1709" si="3078">ER1700/EQ1700-1</f>
      </c>
      <c r="ES1707" s="923">
        <f t="shared" ref="ES1707:ES1709" si="3079">ES1700/ER1700-1</f>
      </c>
      <c r="ET1707" s="923"/>
      <c r="EU1707" s="923"/>
      <c r="EV1707" s="923"/>
      <c r="EW1707" s="923"/>
      <c r="EX1707" s="923"/>
    </row>
    <row r="1708" spans="2:154">
      <c r="B1708" s="913" t="s">
        <v>584</v>
      </c>
      <c r="C1708" s="1392"/>
      <c r="D1708" s="894"/>
      <c r="E1708" s="894"/>
      <c r="F1708" s="895"/>
      <c r="G1708" s="895"/>
      <c r="H1708" s="895"/>
      <c r="I1708" s="895"/>
      <c r="J1708" s="895"/>
      <c r="K1708" s="895"/>
      <c r="L1708" s="895"/>
      <c r="M1708" s="895"/>
      <c r="N1708" s="895"/>
      <c r="O1708" s="896"/>
      <c r="P1708" s="895"/>
      <c r="Q1708" s="895"/>
      <c r="R1708" s="895"/>
      <c r="S1708" s="895"/>
      <c r="T1708" s="896"/>
      <c r="U1708" s="895"/>
      <c r="V1708" s="895"/>
      <c r="W1708" s="895"/>
      <c r="X1708" s="899"/>
      <c r="Y1708" s="896"/>
      <c r="Z1708" s="895"/>
      <c r="AA1708" s="895"/>
      <c r="AB1708" s="895"/>
      <c r="AC1708" s="899"/>
      <c r="AD1708" s="896"/>
      <c r="AE1708" s="895"/>
      <c r="AF1708" s="895"/>
      <c r="AG1708" s="895"/>
      <c r="AH1708" s="899"/>
      <c r="AI1708" s="896"/>
      <c r="AJ1708" s="895"/>
      <c r="AK1708" s="895"/>
      <c r="AL1708" s="895"/>
      <c r="AM1708" s="899"/>
      <c r="AN1708" s="896"/>
      <c r="AO1708" s="895"/>
      <c r="AP1708" s="895"/>
      <c r="AQ1708" s="897"/>
      <c r="AR1708" s="899"/>
      <c r="AS1708" s="896"/>
      <c r="AT1708" s="895"/>
      <c r="AU1708" s="895"/>
      <c r="AV1708" s="895"/>
      <c r="AW1708" s="899"/>
      <c r="AX1708" s="896"/>
      <c r="AY1708" s="895"/>
      <c r="AZ1708" s="895"/>
      <c r="BA1708" s="895"/>
      <c r="BB1708" s="899"/>
      <c r="BC1708" s="896"/>
      <c r="BD1708" s="895"/>
      <c r="BE1708" s="895"/>
      <c r="BF1708" s="895"/>
      <c r="BG1708" s="899"/>
      <c r="BH1708" s="896"/>
      <c r="BI1708" s="895"/>
      <c r="BJ1708" s="895"/>
      <c r="BK1708" s="895"/>
      <c r="BL1708" s="899"/>
      <c r="BM1708" s="895"/>
      <c r="BN1708" s="895"/>
      <c r="BO1708" s="895"/>
      <c r="BP1708" s="895"/>
      <c r="BQ1708" s="899"/>
      <c r="BR1708" s="895"/>
      <c r="BS1708" s="895"/>
      <c r="BT1708" s="895"/>
      <c r="BU1708" s="895"/>
      <c r="BV1708" s="899"/>
      <c r="BW1708" s="895"/>
      <c r="BX1708" s="895"/>
      <c r="BY1708" s="895"/>
      <c r="BZ1708" s="895"/>
      <c r="CA1708" s="899"/>
      <c r="CB1708" s="895"/>
      <c r="CC1708" s="895"/>
      <c r="CD1708" s="895"/>
      <c r="CE1708" s="895"/>
      <c r="CF1708" s="899"/>
      <c r="CG1708" s="895"/>
      <c r="CH1708" s="895"/>
      <c r="CI1708" s="895"/>
      <c r="CJ1708" s="895"/>
      <c r="CK1708" s="899"/>
      <c r="CL1708" s="1015"/>
      <c r="CM1708" s="895"/>
      <c r="CN1708" s="895"/>
      <c r="CO1708" s="895"/>
      <c r="CP1708" s="923"/>
      <c r="CQ1708" s="895"/>
      <c r="CR1708" s="895"/>
      <c r="CS1708" s="895"/>
      <c r="CT1708" s="915"/>
      <c r="CU1708" s="922"/>
      <c r="CV1708" s="895"/>
      <c r="CW1708" s="895"/>
      <c r="CX1708" s="895"/>
      <c r="CY1708" s="915"/>
      <c r="CZ1708" s="922"/>
      <c r="DA1708" s="1341"/>
      <c r="DB1708" s="1516"/>
      <c r="DC1708" s="1341"/>
      <c r="DD1708" s="922"/>
      <c r="DE1708" s="922"/>
      <c r="DF1708" s="1341"/>
      <c r="DG1708" s="1341"/>
      <c r="DH1708" s="1341"/>
      <c r="DI1708" s="922"/>
      <c r="DJ1708" s="922"/>
      <c r="DK1708" s="1341"/>
      <c r="DL1708" s="1341"/>
      <c r="DM1708" s="1341"/>
      <c r="DN1708" s="922"/>
      <c r="DO1708" s="922"/>
      <c r="DP1708" s="1341"/>
      <c r="DQ1708" s="1341"/>
      <c r="DR1708" s="1341"/>
      <c r="DS1708" s="922"/>
      <c r="DT1708" s="922"/>
      <c r="DU1708" s="1341"/>
      <c r="DV1708" s="1341"/>
      <c r="DW1708" s="1341"/>
      <c r="DX1708" s="922"/>
      <c r="DY1708" s="922"/>
      <c r="DZ1708" s="1341"/>
      <c r="EA1708" s="1341"/>
      <c r="EB1708" s="1341"/>
      <c r="EC1708" s="922"/>
      <c r="ED1708" s="922"/>
      <c r="EE1708" s="1341"/>
      <c r="EF1708" s="1341"/>
      <c r="EG1708" s="1341"/>
      <c r="EH1708" s="922"/>
      <c r="EI1708" s="922"/>
      <c r="EJ1708" s="923"/>
      <c r="EK1708" s="923"/>
      <c r="EL1708" s="923"/>
      <c r="EM1708" s="923">
        <f t="shared" si="3073"/>
      </c>
      <c r="EN1708" s="923">
        <f t="shared" si="3074"/>
      </c>
      <c r="EO1708" s="923">
        <f t="shared" si="3075"/>
      </c>
      <c r="EP1708" s="923">
        <f t="shared" si="3076"/>
      </c>
      <c r="EQ1708" s="923">
        <f t="shared" si="3077"/>
      </c>
      <c r="ER1708" s="923">
        <f t="shared" si="3078"/>
      </c>
      <c r="ES1708" s="923">
        <f t="shared" si="3079"/>
      </c>
      <c r="ET1708" s="923"/>
      <c r="EU1708" s="923"/>
      <c r="EV1708" s="923"/>
      <c r="EW1708" s="923"/>
      <c r="EX1708" s="923"/>
    </row>
    <row r="1709" spans="2:154">
      <c r="B1709" s="913" t="s">
        <v>188</v>
      </c>
      <c r="C1709" s="1392"/>
      <c r="D1709" s="894"/>
      <c r="E1709" s="894"/>
      <c r="F1709" s="895"/>
      <c r="G1709" s="895"/>
      <c r="H1709" s="895"/>
      <c r="I1709" s="895"/>
      <c r="J1709" s="895"/>
      <c r="K1709" s="895"/>
      <c r="L1709" s="895"/>
      <c r="M1709" s="895"/>
      <c r="N1709" s="895"/>
      <c r="O1709" s="896"/>
      <c r="P1709" s="895"/>
      <c r="Q1709" s="895"/>
      <c r="R1709" s="895"/>
      <c r="S1709" s="895"/>
      <c r="T1709" s="896"/>
      <c r="U1709" s="895"/>
      <c r="V1709" s="895"/>
      <c r="W1709" s="895"/>
      <c r="X1709" s="899"/>
      <c r="Y1709" s="896"/>
      <c r="Z1709" s="895"/>
      <c r="AA1709" s="895"/>
      <c r="AB1709" s="895"/>
      <c r="AC1709" s="899"/>
      <c r="AD1709" s="896"/>
      <c r="AE1709" s="895"/>
      <c r="AF1709" s="895"/>
      <c r="AG1709" s="895"/>
      <c r="AH1709" s="899"/>
      <c r="AI1709" s="896"/>
      <c r="AJ1709" s="895"/>
      <c r="AK1709" s="895"/>
      <c r="AL1709" s="895"/>
      <c r="AM1709" s="899"/>
      <c r="AN1709" s="896"/>
      <c r="AO1709" s="895"/>
      <c r="AP1709" s="895"/>
      <c r="AQ1709" s="897"/>
      <c r="AR1709" s="899"/>
      <c r="AS1709" s="896"/>
      <c r="AT1709" s="895"/>
      <c r="AU1709" s="895"/>
      <c r="AV1709" s="895"/>
      <c r="AW1709" s="899"/>
      <c r="AX1709" s="896"/>
      <c r="AY1709" s="895"/>
      <c r="AZ1709" s="895"/>
      <c r="BA1709" s="895"/>
      <c r="BB1709" s="899"/>
      <c r="BC1709" s="896"/>
      <c r="BD1709" s="895"/>
      <c r="BE1709" s="895"/>
      <c r="BF1709" s="895"/>
      <c r="BG1709" s="899"/>
      <c r="BH1709" s="896"/>
      <c r="BI1709" s="895"/>
      <c r="BJ1709" s="895"/>
      <c r="BK1709" s="895"/>
      <c r="BL1709" s="899"/>
      <c r="BM1709" s="895"/>
      <c r="BN1709" s="895"/>
      <c r="BO1709" s="895"/>
      <c r="BP1709" s="895"/>
      <c r="BQ1709" s="899"/>
      <c r="BR1709" s="895"/>
      <c r="BS1709" s="895"/>
      <c r="BT1709" s="895"/>
      <c r="BU1709" s="895"/>
      <c r="BV1709" s="899"/>
      <c r="BW1709" s="895"/>
      <c r="BX1709" s="895"/>
      <c r="BY1709" s="895"/>
      <c r="BZ1709" s="895"/>
      <c r="CA1709" s="899"/>
      <c r="CB1709" s="895"/>
      <c r="CC1709" s="895"/>
      <c r="CD1709" s="895"/>
      <c r="CE1709" s="895"/>
      <c r="CF1709" s="899"/>
      <c r="CG1709" s="895"/>
      <c r="CH1709" s="895"/>
      <c r="CI1709" s="895"/>
      <c r="CJ1709" s="895"/>
      <c r="CK1709" s="899"/>
      <c r="CL1709" s="1015"/>
      <c r="CM1709" s="895"/>
      <c r="CN1709" s="895"/>
      <c r="CO1709" s="895"/>
      <c r="CP1709" s="899"/>
      <c r="CQ1709" s="895"/>
      <c r="CR1709" s="895"/>
      <c r="CS1709" s="895"/>
      <c r="CT1709" s="915"/>
      <c r="CU1709" s="899"/>
      <c r="CV1709" s="895"/>
      <c r="CW1709" s="895"/>
      <c r="CX1709" s="895"/>
      <c r="CY1709" s="915"/>
      <c r="CZ1709" s="923"/>
      <c r="DA1709" s="1342"/>
      <c r="DB1709" s="1516"/>
      <c r="DC1709" s="1341"/>
      <c r="DD1709" s="922"/>
      <c r="DE1709" s="923"/>
      <c r="DF1709" s="1342"/>
      <c r="DG1709" s="1341"/>
      <c r="DH1709" s="1341"/>
      <c r="DI1709" s="922"/>
      <c r="DJ1709" s="922"/>
      <c r="DK1709" s="1341"/>
      <c r="DL1709" s="1341"/>
      <c r="DM1709" s="1341"/>
      <c r="DN1709" s="922"/>
      <c r="DO1709" s="922"/>
      <c r="DP1709" s="1341"/>
      <c r="DQ1709" s="1341"/>
      <c r="DR1709" s="1341"/>
      <c r="DS1709" s="922"/>
      <c r="DT1709" s="922"/>
      <c r="DU1709" s="1341"/>
      <c r="DV1709" s="1341"/>
      <c r="DW1709" s="1341"/>
      <c r="DX1709" s="922"/>
      <c r="DY1709" s="922"/>
      <c r="DZ1709" s="1341"/>
      <c r="EA1709" s="1341"/>
      <c r="EB1709" s="1341"/>
      <c r="EC1709" s="922"/>
      <c r="ED1709" s="922"/>
      <c r="EE1709" s="1341"/>
      <c r="EF1709" s="1341"/>
      <c r="EG1709" s="1341"/>
      <c r="EH1709" s="922"/>
      <c r="EI1709" s="922"/>
      <c r="EJ1709" s="923"/>
      <c r="EK1709" s="923"/>
      <c r="EL1709" s="923"/>
      <c r="EM1709" s="923">
        <f t="shared" si="3073"/>
      </c>
      <c r="EN1709" s="923">
        <f t="shared" si="3074"/>
      </c>
      <c r="EO1709" s="923">
        <f t="shared" si="3075"/>
      </c>
      <c r="EP1709" s="923">
        <f t="shared" si="3076"/>
      </c>
      <c r="EQ1709" s="923">
        <f t="shared" si="3077"/>
      </c>
      <c r="ER1709" s="923">
        <f t="shared" si="3078"/>
      </c>
      <c r="ES1709" s="923">
        <f t="shared" si="3079"/>
      </c>
      <c r="ET1709" s="923"/>
      <c r="EU1709" s="923"/>
      <c r="EV1709" s="923"/>
      <c r="EW1709" s="923"/>
      <c r="EX1709" s="923"/>
    </row>
    <row r="1710" spans="2:154">
      <c r="B1710" s="914"/>
      <c r="C1710" s="2031"/>
      <c r="D1710" s="916"/>
      <c r="E1710" s="916"/>
      <c r="F1710" s="917"/>
      <c r="G1710" s="917"/>
      <c r="H1710" s="917"/>
      <c r="I1710" s="917"/>
      <c r="J1710" s="917"/>
      <c r="K1710" s="917"/>
      <c r="L1710" s="917"/>
      <c r="M1710" s="917"/>
      <c r="N1710" s="917"/>
      <c r="O1710" s="918"/>
      <c r="P1710" s="917"/>
      <c r="Q1710" s="917"/>
      <c r="R1710" s="917"/>
      <c r="S1710" s="917"/>
      <c r="T1710" s="918"/>
      <c r="U1710" s="917"/>
      <c r="V1710" s="917"/>
      <c r="W1710" s="917"/>
      <c r="X1710" s="921"/>
      <c r="Y1710" s="918"/>
      <c r="Z1710" s="917"/>
      <c r="AA1710" s="917"/>
      <c r="AB1710" s="917"/>
      <c r="AC1710" s="921"/>
      <c r="AD1710" s="918"/>
      <c r="AE1710" s="917"/>
      <c r="AF1710" s="917"/>
      <c r="AG1710" s="917"/>
      <c r="AH1710" s="921"/>
      <c r="AI1710" s="918"/>
      <c r="AJ1710" s="917"/>
      <c r="AK1710" s="917"/>
      <c r="AL1710" s="917"/>
      <c r="AM1710" s="921"/>
      <c r="AN1710" s="918"/>
      <c r="AO1710" s="917"/>
      <c r="AP1710" s="917"/>
      <c r="AQ1710" s="919"/>
      <c r="AR1710" s="921"/>
      <c r="AS1710" s="918"/>
      <c r="AT1710" s="917"/>
      <c r="AU1710" s="917"/>
      <c r="AV1710" s="917"/>
      <c r="AW1710" s="921"/>
      <c r="AX1710" s="918"/>
      <c r="AY1710" s="917"/>
      <c r="AZ1710" s="917"/>
      <c r="BA1710" s="917"/>
      <c r="BB1710" s="921"/>
      <c r="BC1710" s="918"/>
      <c r="BD1710" s="917"/>
      <c r="BE1710" s="917"/>
      <c r="BF1710" s="917"/>
      <c r="BG1710" s="921"/>
      <c r="BH1710" s="918"/>
      <c r="BI1710" s="917"/>
      <c r="BJ1710" s="917"/>
      <c r="BK1710" s="917"/>
      <c r="BL1710" s="921"/>
      <c r="BM1710" s="917"/>
      <c r="BN1710" s="917"/>
      <c r="BO1710" s="917"/>
      <c r="BP1710" s="917"/>
      <c r="BQ1710" s="921"/>
      <c r="BR1710" s="917"/>
      <c r="BS1710" s="917"/>
      <c r="BT1710" s="917"/>
      <c r="BU1710" s="917"/>
      <c r="BV1710" s="921"/>
      <c r="BW1710" s="917"/>
      <c r="BX1710" s="917"/>
      <c r="BY1710" s="917"/>
      <c r="BZ1710" s="917"/>
      <c r="CA1710" s="921"/>
      <c r="CB1710" s="917"/>
      <c r="CC1710" s="917"/>
      <c r="CD1710" s="917"/>
      <c r="CE1710" s="917"/>
      <c r="CF1710" s="921"/>
      <c r="CG1710" s="917"/>
      <c r="CH1710" s="917"/>
      <c r="CI1710" s="917"/>
      <c r="CJ1710" s="917"/>
      <c r="CK1710" s="921"/>
      <c r="CL1710" s="1018"/>
      <c r="CM1710" s="1019"/>
      <c r="CN1710" s="1019"/>
      <c r="CO1710" s="917"/>
      <c r="CP1710" s="921"/>
      <c r="CQ1710" s="1019"/>
      <c r="CR1710" s="1019"/>
      <c r="CS1710" s="1019"/>
      <c r="CT1710" s="1020"/>
      <c r="CU1710" s="921"/>
      <c r="CV1710" s="1019"/>
      <c r="CW1710" s="1019"/>
      <c r="CX1710" s="1019"/>
      <c r="CY1710" s="1020"/>
      <c r="CZ1710" s="921"/>
      <c r="DA1710" s="1018"/>
      <c r="DB1710" s="1517"/>
      <c r="DC1710" s="917"/>
      <c r="DD1710" s="1020"/>
      <c r="DE1710" s="921"/>
      <c r="DF1710" s="1018"/>
      <c r="DG1710" s="917"/>
      <c r="DH1710" s="917"/>
      <c r="DI1710" s="1020"/>
      <c r="DJ1710" s="920"/>
      <c r="DK1710" s="1018"/>
      <c r="DL1710" s="917"/>
      <c r="DM1710" s="917"/>
      <c r="DN1710" s="1020"/>
      <c r="DO1710" s="920"/>
      <c r="DP1710" s="917"/>
      <c r="DQ1710" s="917"/>
      <c r="DR1710" s="917"/>
      <c r="DS1710" s="1020"/>
      <c r="DT1710" s="920"/>
      <c r="DU1710" s="2136"/>
      <c r="DV1710" s="2136"/>
      <c r="DW1710" s="2136"/>
      <c r="DX1710" s="2105"/>
      <c r="DY1710" s="920"/>
      <c r="DZ1710" s="2136"/>
      <c r="EA1710" s="3525"/>
      <c r="EB1710" s="3525"/>
      <c r="EC1710" s="3526"/>
      <c r="ED1710" s="3526"/>
      <c r="EE1710" s="3563"/>
      <c r="EF1710" s="3525"/>
      <c r="EG1710" s="3525"/>
      <c r="EH1710" s="3526"/>
      <c r="EI1710" s="920"/>
      <c r="EJ1710" s="920"/>
      <c r="EK1710" s="920"/>
      <c r="EL1710" s="920"/>
      <c r="EM1710" s="920"/>
      <c r="EN1710" s="920"/>
      <c r="EO1710" s="920"/>
      <c r="EP1710" s="920"/>
      <c r="EQ1710" s="920"/>
      <c r="ER1710" s="920"/>
      <c r="ES1710" s="920"/>
      <c r="ET1710" s="920"/>
      <c r="EU1710" s="920"/>
      <c r="EV1710" s="920"/>
      <c r="EW1710" s="920"/>
      <c r="EX1710" s="920"/>
    </row>
  </sheetData>
  <dataConsolidate link="1"/>
  <phoneticPr fontId="0" type="noConversion"/>
  <conditionalFormatting sqref="CB626:CD628">
    <cfRule type="cellIs" dxfId="78" priority="1641" operator="lessThan">
      <formula>0</formula>
    </cfRule>
  </conditionalFormatting>
  <conditionalFormatting sqref="DA970:DD970">
    <cfRule type="cellIs" dxfId="77" priority="224" operator="lessThan">
      <formula>0</formula>
    </cfRule>
  </conditionalFormatting>
  <conditionalFormatting sqref="DA992:DD992">
    <cfRule type="cellIs" dxfId="76" priority="222" operator="lessThan">
      <formula>0</formula>
    </cfRule>
  </conditionalFormatting>
  <conditionalFormatting sqref="DA1003:DD1003">
    <cfRule type="cellIs" dxfId="75" priority="221" operator="lessThan">
      <formula>0</formula>
    </cfRule>
  </conditionalFormatting>
  <conditionalFormatting sqref="DA1014:DD1014">
    <cfRule type="cellIs" dxfId="74" priority="220" operator="lessThan">
      <formula>0</formula>
    </cfRule>
  </conditionalFormatting>
  <conditionalFormatting sqref="DA1037:DD1037">
    <cfRule type="cellIs" dxfId="73" priority="223" operator="lessThan">
      <formula>0</formula>
    </cfRule>
  </conditionalFormatting>
  <conditionalFormatting sqref="DA1048:DD1048">
    <cfRule type="cellIs" dxfId="72" priority="219" operator="lessThan">
      <formula>0</formula>
    </cfRule>
  </conditionalFormatting>
  <conditionalFormatting sqref="DA1059:DD1059">
    <cfRule type="cellIs" dxfId="71" priority="218" operator="lessThan">
      <formula>0</formula>
    </cfRule>
  </conditionalFormatting>
  <conditionalFormatting sqref="DA1070:DD1070">
    <cfRule type="cellIs" dxfId="70" priority="217" operator="lessThan">
      <formula>0</formula>
    </cfRule>
  </conditionalFormatting>
  <conditionalFormatting sqref="DB705:DD705">
    <cfRule type="cellIs" dxfId="69" priority="1347" operator="lessThan">
      <formula>0</formula>
    </cfRule>
  </conditionalFormatting>
  <conditionalFormatting sqref="DB727:DD727">
    <cfRule type="cellIs" dxfId="68" priority="1345" operator="lessThan">
      <formula>0</formula>
    </cfRule>
  </conditionalFormatting>
  <conditionalFormatting sqref="DC626:DD627 CF626:DB628">
    <cfRule type="cellIs" dxfId="67" priority="1264" operator="lessThan">
      <formula>0</formula>
    </cfRule>
  </conditionalFormatting>
  <conditionalFormatting sqref="DE626:DE628">
    <cfRule type="cellIs" dxfId="66" priority="1234" operator="lessThan">
      <formula>0</formula>
    </cfRule>
  </conditionalFormatting>
  <conditionalFormatting sqref="DF626:DI627 DG626:DG628">
    <cfRule type="cellIs" dxfId="65" priority="1149" operator="lessThan">
      <formula>0</formula>
    </cfRule>
  </conditionalFormatting>
  <conditionalFormatting sqref="DF970:DI970">
    <cfRule type="cellIs" dxfId="64" priority="216" operator="lessThan">
      <formula>0</formula>
    </cfRule>
  </conditionalFormatting>
  <conditionalFormatting sqref="DF992:DI992">
    <cfRule type="cellIs" dxfId="63" priority="214" operator="lessThan">
      <formula>0</formula>
    </cfRule>
  </conditionalFormatting>
  <conditionalFormatting sqref="DF1003:DI1003">
    <cfRule type="cellIs" dxfId="62" priority="213" operator="lessThan">
      <formula>0</formula>
    </cfRule>
  </conditionalFormatting>
  <conditionalFormatting sqref="DF1014:DI1014">
    <cfRule type="cellIs" dxfId="61" priority="212" operator="lessThan">
      <formula>0</formula>
    </cfRule>
  </conditionalFormatting>
  <conditionalFormatting sqref="DF1037:DI1037">
    <cfRule type="cellIs" dxfId="60" priority="215" operator="lessThan">
      <formula>0</formula>
    </cfRule>
  </conditionalFormatting>
  <conditionalFormatting sqref="DF1048:DI1048">
    <cfRule type="cellIs" dxfId="59" priority="211" operator="lessThan">
      <formula>0</formula>
    </cfRule>
  </conditionalFormatting>
  <conditionalFormatting sqref="DF1059:DI1059">
    <cfRule type="cellIs" dxfId="58" priority="210" operator="lessThan">
      <formula>0</formula>
    </cfRule>
  </conditionalFormatting>
  <conditionalFormatting sqref="DF1070:DI1070">
    <cfRule type="cellIs" dxfId="57" priority="209" operator="lessThan">
      <formula>0</formula>
    </cfRule>
  </conditionalFormatting>
  <conditionalFormatting sqref="DG705:DI705">
    <cfRule type="cellIs" dxfId="56" priority="1263" operator="lessThan">
      <formula>0</formula>
    </cfRule>
  </conditionalFormatting>
  <conditionalFormatting sqref="DG727:DI727">
    <cfRule type="cellIs" dxfId="55" priority="1262" operator="lessThan">
      <formula>0</formula>
    </cfRule>
  </conditionalFormatting>
  <conditionalFormatting sqref="DJ626:DJ628">
    <cfRule type="cellIs" dxfId="54" priority="1142" operator="lessThan">
      <formula>0</formula>
    </cfRule>
  </conditionalFormatting>
  <conditionalFormatting sqref="DK626:DK627">
    <cfRule type="cellIs" dxfId="53" priority="1139" operator="lessThan">
      <formula>0</formula>
    </cfRule>
  </conditionalFormatting>
  <conditionalFormatting sqref="DK970:DN970">
    <cfRule type="cellIs" dxfId="52" priority="208" operator="lessThan">
      <formula>0</formula>
    </cfRule>
  </conditionalFormatting>
  <conditionalFormatting sqref="DK992:DN992">
    <cfRule type="cellIs" dxfId="51" priority="206" operator="lessThan">
      <formula>0</formula>
    </cfRule>
  </conditionalFormatting>
  <conditionalFormatting sqref="DK1003:DN1003">
    <cfRule type="cellIs" dxfId="50" priority="205" operator="lessThan">
      <formula>0</formula>
    </cfRule>
  </conditionalFormatting>
  <conditionalFormatting sqref="DK1014:DN1014">
    <cfRule type="cellIs" dxfId="49" priority="204" operator="lessThan">
      <formula>0</formula>
    </cfRule>
  </conditionalFormatting>
  <conditionalFormatting sqref="DK1037:DN1037">
    <cfRule type="cellIs" dxfId="48" priority="207" operator="lessThan">
      <formula>0</formula>
    </cfRule>
  </conditionalFormatting>
  <conditionalFormatting sqref="DK1048:DN1048">
    <cfRule type="cellIs" dxfId="47" priority="203" operator="lessThan">
      <formula>0</formula>
    </cfRule>
  </conditionalFormatting>
  <conditionalFormatting sqref="DK1059:DN1059">
    <cfRule type="cellIs" dxfId="46" priority="202" operator="lessThan">
      <formula>0</formula>
    </cfRule>
  </conditionalFormatting>
  <conditionalFormatting sqref="DK1070:DN1070">
    <cfRule type="cellIs" dxfId="45" priority="201" operator="lessThan">
      <formula>0</formula>
    </cfRule>
  </conditionalFormatting>
  <conditionalFormatting sqref="DL626:DL628">
    <cfRule type="cellIs" dxfId="44" priority="1121" operator="lessThan">
      <formula>0</formula>
    </cfRule>
  </conditionalFormatting>
  <conditionalFormatting sqref="DM626:DQ627">
    <cfRule type="cellIs" dxfId="43" priority="796" operator="lessThan">
      <formula>0</formula>
    </cfRule>
  </conditionalFormatting>
  <conditionalFormatting sqref="DP970:DS970">
    <cfRule type="cellIs" dxfId="42" priority="192" operator="lessThan">
      <formula>0</formula>
    </cfRule>
  </conditionalFormatting>
  <conditionalFormatting sqref="DP992:DS992">
    <cfRule type="cellIs" dxfId="41" priority="190" operator="lessThan">
      <formula>0</formula>
    </cfRule>
  </conditionalFormatting>
  <conditionalFormatting sqref="DP1003:DS1003">
    <cfRule type="cellIs" dxfId="40" priority="189" operator="lessThan">
      <formula>0</formula>
    </cfRule>
  </conditionalFormatting>
  <conditionalFormatting sqref="DP1014:DS1014">
    <cfRule type="cellIs" dxfId="39" priority="188" operator="lessThan">
      <formula>0</formula>
    </cfRule>
  </conditionalFormatting>
  <conditionalFormatting sqref="DP1037:DS1037">
    <cfRule type="cellIs" dxfId="38" priority="191" operator="lessThan">
      <formula>0</formula>
    </cfRule>
  </conditionalFormatting>
  <conditionalFormatting sqref="DP1048:DS1048">
    <cfRule type="cellIs" dxfId="37" priority="187" operator="lessThan">
      <formula>0</formula>
    </cfRule>
  </conditionalFormatting>
  <conditionalFormatting sqref="DP1059:DS1059">
    <cfRule type="cellIs" dxfId="36" priority="186" operator="lessThan">
      <formula>0</formula>
    </cfRule>
  </conditionalFormatting>
  <conditionalFormatting sqref="DP1070:DS1070">
    <cfRule type="cellIs" dxfId="35" priority="185" operator="lessThan">
      <formula>0</formula>
    </cfRule>
  </conditionalFormatting>
  <conditionalFormatting sqref="DT626:DT627">
    <cfRule type="cellIs" dxfId="34" priority="711" operator="lessThan">
      <formula>0</formula>
    </cfRule>
  </conditionalFormatting>
  <conditionalFormatting sqref="DU970:DX970">
    <cfRule type="cellIs" dxfId="33" priority="75" operator="lessThan">
      <formula>0</formula>
    </cfRule>
  </conditionalFormatting>
  <conditionalFormatting sqref="DU992:DX992">
    <cfRule type="cellIs" dxfId="32" priority="73" operator="lessThan">
      <formula>0</formula>
    </cfRule>
  </conditionalFormatting>
  <conditionalFormatting sqref="DU1003:DX1003">
    <cfRule type="cellIs" dxfId="31" priority="72" operator="lessThan">
      <formula>0</formula>
    </cfRule>
  </conditionalFormatting>
  <conditionalFormatting sqref="DU1014:DX1014">
    <cfRule type="cellIs" dxfId="30" priority="71" operator="lessThan">
      <formula>0</formula>
    </cfRule>
  </conditionalFormatting>
  <conditionalFormatting sqref="DU1037:DX1037">
    <cfRule type="cellIs" dxfId="29" priority="74" operator="lessThan">
      <formula>0</formula>
    </cfRule>
  </conditionalFormatting>
  <conditionalFormatting sqref="DU1048:DX1048">
    <cfRule type="cellIs" dxfId="28" priority="70" operator="lessThan">
      <formula>0</formula>
    </cfRule>
  </conditionalFormatting>
  <conditionalFormatting sqref="DU1059:DX1059">
    <cfRule type="cellIs" dxfId="27" priority="69" operator="lessThan">
      <formula>0</formula>
    </cfRule>
  </conditionalFormatting>
  <conditionalFormatting sqref="DU1070:DX1070">
    <cfRule type="cellIs" dxfId="26" priority="68" operator="lessThan">
      <formula>0</formula>
    </cfRule>
  </conditionalFormatting>
  <conditionalFormatting sqref="DY626:DY627">
    <cfRule type="cellIs" dxfId="25" priority="76" operator="lessThan">
      <formula>0</formula>
    </cfRule>
  </conditionalFormatting>
  <conditionalFormatting sqref="DZ970:EC970">
    <cfRule type="cellIs" dxfId="24" priority="33" operator="lessThan">
      <formula>0</formula>
    </cfRule>
  </conditionalFormatting>
  <conditionalFormatting sqref="DZ992:EC992">
    <cfRule type="cellIs" dxfId="23" priority="31" operator="lessThan">
      <formula>0</formula>
    </cfRule>
  </conditionalFormatting>
  <conditionalFormatting sqref="DZ1003:EC1003">
    <cfRule type="cellIs" dxfId="22" priority="30" operator="lessThan">
      <formula>0</formula>
    </cfRule>
  </conditionalFormatting>
  <conditionalFormatting sqref="DZ1014:EC1014">
    <cfRule type="cellIs" dxfId="21" priority="29" operator="lessThan">
      <formula>0</formula>
    </cfRule>
  </conditionalFormatting>
  <conditionalFormatting sqref="DZ1037:EC1037">
    <cfRule type="cellIs" dxfId="20" priority="32" operator="lessThan">
      <formula>0</formula>
    </cfRule>
  </conditionalFormatting>
  <conditionalFormatting sqref="DZ1048:EC1048">
    <cfRule type="cellIs" dxfId="19" priority="28" operator="lessThan">
      <formula>0</formula>
    </cfRule>
  </conditionalFormatting>
  <conditionalFormatting sqref="DZ1059:EC1059">
    <cfRule type="cellIs" dxfId="18" priority="27" operator="lessThan">
      <formula>0</formula>
    </cfRule>
  </conditionalFormatting>
  <conditionalFormatting sqref="DZ1070:EC1070">
    <cfRule type="cellIs" dxfId="17" priority="26" operator="lessThan">
      <formula>0</formula>
    </cfRule>
  </conditionalFormatting>
  <conditionalFormatting sqref="ED626:ED627">
    <cfRule type="cellIs" dxfId="16" priority="24" operator="lessThan">
      <formula>0</formula>
    </cfRule>
  </conditionalFormatting>
  <conditionalFormatting sqref="EE970:EF970">
    <cfRule type="cellIs" dxfId="15" priority="8" operator="lessThan">
      <formula>0</formula>
    </cfRule>
  </conditionalFormatting>
  <conditionalFormatting sqref="EE992:EF992">
    <cfRule type="cellIs" dxfId="14" priority="6" operator="lessThan">
      <formula>0</formula>
    </cfRule>
  </conditionalFormatting>
  <conditionalFormatting sqref="EE1003:EF1003">
    <cfRule type="cellIs" dxfId="13" priority="5" operator="lessThan">
      <formula>0</formula>
    </cfRule>
  </conditionalFormatting>
  <conditionalFormatting sqref="EE1014:EF1014">
    <cfRule type="cellIs" dxfId="12" priority="4" operator="lessThan">
      <formula>0</formula>
    </cfRule>
  </conditionalFormatting>
  <conditionalFormatting sqref="EE1037:EF1037">
    <cfRule type="cellIs" dxfId="11" priority="7" operator="lessThan">
      <formula>0</formula>
    </cfRule>
  </conditionalFormatting>
  <conditionalFormatting sqref="EE1048:EF1048">
    <cfRule type="cellIs" dxfId="10" priority="3" operator="lessThan">
      <formula>0</formula>
    </cfRule>
  </conditionalFormatting>
  <conditionalFormatting sqref="EE1059:EF1059">
    <cfRule type="cellIs" dxfId="9" priority="2" operator="lessThan">
      <formula>0</formula>
    </cfRule>
  </conditionalFormatting>
  <conditionalFormatting sqref="EE1070:EF1070">
    <cfRule type="cellIs" dxfId="8" priority="1" operator="lessThan">
      <formula>0</formula>
    </cfRule>
  </conditionalFormatting>
  <conditionalFormatting sqref="EH970">
    <cfRule type="cellIs" dxfId="7" priority="41" operator="lessThan">
      <formula>0</formula>
    </cfRule>
  </conditionalFormatting>
  <conditionalFormatting sqref="EH992">
    <cfRule type="cellIs" dxfId="6" priority="39" operator="lessThan">
      <formula>0</formula>
    </cfRule>
  </conditionalFormatting>
  <conditionalFormatting sqref="EH1003">
    <cfRule type="cellIs" dxfId="5" priority="38" operator="lessThan">
      <formula>0</formula>
    </cfRule>
  </conditionalFormatting>
  <conditionalFormatting sqref="EH1014">
    <cfRule type="cellIs" dxfId="4" priority="37" operator="lessThan">
      <formula>0</formula>
    </cfRule>
  </conditionalFormatting>
  <conditionalFormatting sqref="EH1037">
    <cfRule type="cellIs" dxfId="3" priority="40" operator="lessThan">
      <formula>0</formula>
    </cfRule>
  </conditionalFormatting>
  <conditionalFormatting sqref="EH1048">
    <cfRule type="cellIs" dxfId="2" priority="36" operator="lessThan">
      <formula>0</formula>
    </cfRule>
  </conditionalFormatting>
  <conditionalFormatting sqref="EH1059">
    <cfRule type="cellIs" dxfId="1" priority="35" operator="lessThan">
      <formula>0</formula>
    </cfRule>
  </conditionalFormatting>
  <conditionalFormatting sqref="EH1070">
    <cfRule type="cellIs" dxfId="0" priority="34" operator="lessThan">
      <formula>0</formula>
    </cfRule>
  </conditionalFormatting>
  <pageMargins left="0.5" right="0.5" top="0.75" bottom="0.75" header="0.5" footer="0.5"/>
  <pageSetup paperSize="9" scale="61" fitToHeight="0" orientation="landscape" r:id="rId1"/>
  <headerFooter differentFirst="1" alignWithMargins="0">
    <oddHeader>&amp;LJNJ &amp;RSales Model</oddHeader>
    <oddFooter>&amp;L&amp;D&amp;R&amp;P of &amp;N</oddFooter>
  </headerFooter>
  <rowBreaks count="8" manualBreakCount="8">
    <brk id="112" min="1" max="114" man="1"/>
    <brk id="200" min="1" max="114" man="1"/>
    <brk id="337" min="1" max="114" man="1"/>
    <brk id="485" min="1" max="114" man="1"/>
    <brk id="722" min="1" max="114" man="1"/>
    <brk id="912" min="1" max="114" man="1"/>
    <brk id="1183" min="1" max="114" man="1"/>
    <brk id="1282" min="1" max="114" man="1"/>
  </rowBreaks>
  <customProperties>
    <customPr name="Qube.Worksheet.ID" r:id="rId2"/>
    <customPr name="Qube.Worksheet.Visibility" r:id="rId3"/>
    <customPr name="SHEET_UNIQUE_ID" r:id="rId4"/>
  </customProperties>
  <cellWatches>
    <cellWatch r="B802"/>
  </cellWatches>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theme="4"/>
    <outlinePr showOutlineSymbols="0"/>
    <pageSetUpPr autoPageBreaks="0" fitToPage="1"/>
  </sheetPr>
  <dimension ref="A1:GN213"/>
  <sheetViews>
    <sheetView showGridLines="0" showOutlineSymbols="0" zoomScale="99" zoomScaleNormal="99" zoomScaleSheetLayoutView="115" workbookViewId="0">
      <pane xSplit="4" ySplit="20" topLeftCell="FX21" activePane="bottomRight" state="frozen"/>
      <selection activeCell="I10" sqref="I10"/>
      <selection pane="topRight" activeCell="I10" sqref="I10"/>
      <selection pane="bottomLeft" activeCell="I10" sqref="I10"/>
      <selection pane="bottomRight" activeCell="A10" sqref="A10"/>
    </sheetView>
  </sheetViews>
  <sheetFormatPr defaultColWidth="9.109375" defaultRowHeight="10.199999999999999" outlineLevelRow="1" outlineLevelCol="3"/>
  <cols>
    <col min="1" max="1" width="3.88671875" style="1" customWidth="1"/>
    <col min="2" max="2" width="35" style="1" customWidth="1"/>
    <col min="3" max="3" width="1.109375" style="1" customWidth="1"/>
    <col min="4" max="4" width="5.88671875" style="1" hidden="1" customWidth="1" outlineLevel="1"/>
    <col min="5" max="7" width="6.88671875" style="1" hidden="1" customWidth="1" outlineLevel="1"/>
    <col min="8" max="8" width="5.88671875" style="1" hidden="1" customWidth="1" outlineLevel="1"/>
    <col min="9" max="12" width="7.88671875" style="1" hidden="1" customWidth="1" outlineLevel="1"/>
    <col min="13" max="13" width="5.88671875" style="1" hidden="1" customWidth="1" outlineLevel="1"/>
    <col min="14" max="17" width="7.88671875" style="1" hidden="1" customWidth="1" outlineLevel="1"/>
    <col min="18" max="18" width="11.109375" style="1" hidden="1" customWidth="1" outlineLevel="1"/>
    <col min="19" max="22" width="7.88671875" style="1" hidden="1" customWidth="1" outlineLevel="1"/>
    <col min="23" max="23" width="11.88671875" style="1" hidden="1" customWidth="1" outlineLevel="1"/>
    <col min="24" max="27" width="7.88671875" style="1" hidden="1" customWidth="1" outlineLevel="1"/>
    <col min="28" max="28" width="11.88671875" style="1" hidden="1" customWidth="1" outlineLevel="1"/>
    <col min="29" max="32" width="7.88671875" style="1" hidden="1" customWidth="1" outlineLevel="2"/>
    <col min="33" max="33" width="11.88671875" style="1" hidden="1" customWidth="1" outlineLevel="1"/>
    <col min="34" max="37" width="7.88671875" style="1" hidden="1" customWidth="1" outlineLevel="2"/>
    <col min="38" max="38" width="11.88671875" style="1" hidden="1" customWidth="1" outlineLevel="1"/>
    <col min="39" max="42" width="7.88671875" style="1" hidden="1" customWidth="1" outlineLevel="2"/>
    <col min="43" max="43" width="11.88671875" style="1" hidden="1" customWidth="1" outlineLevel="1"/>
    <col min="44" max="44" width="7.5546875" style="1" hidden="1" customWidth="1" outlineLevel="2"/>
    <col min="45" max="45" width="8" style="1" hidden="1" customWidth="1" outlineLevel="2"/>
    <col min="46" max="46" width="7.5546875" style="1" hidden="1" customWidth="1" outlineLevel="2"/>
    <col min="47" max="47" width="7.44140625" style="1" hidden="1" customWidth="1" outlineLevel="2"/>
    <col min="48" max="48" width="7.88671875" style="1" hidden="1" customWidth="1" outlineLevel="1"/>
    <col min="49" max="52" width="7.88671875" style="1" hidden="1" customWidth="1" outlineLevel="2"/>
    <col min="53" max="53" width="7.88671875" style="1" hidden="1" customWidth="1" outlineLevel="1"/>
    <col min="54" max="57" width="7.88671875" style="1" hidden="1" customWidth="1" outlineLevel="2"/>
    <col min="58" max="58" width="7.88671875" style="1" hidden="1" customWidth="1" outlineLevel="1"/>
    <col min="59" max="59" width="7.88671875" style="1" hidden="1" customWidth="1" outlineLevel="2" collapsed="1"/>
    <col min="60" max="62" width="7.88671875" style="1" hidden="1" customWidth="1" outlineLevel="2"/>
    <col min="63" max="63" width="7.88671875" style="1" hidden="1" customWidth="1" outlineLevel="1"/>
    <col min="64" max="64" width="7.88671875" style="1" hidden="1" customWidth="1" outlineLevel="2" collapsed="1"/>
    <col min="65" max="67" width="7.88671875" style="1" hidden="1" customWidth="1" outlineLevel="2"/>
    <col min="68" max="68" width="7.88671875" style="1" hidden="1" customWidth="1" outlineLevel="1"/>
    <col min="69" max="72" width="7.88671875" style="1" hidden="1" customWidth="1" outlineLevel="2"/>
    <col min="73" max="73" width="7.88671875" style="1" hidden="1" customWidth="1" outlineLevel="1"/>
    <col min="74" max="77" width="7.88671875" style="1" hidden="1" customWidth="1" outlineLevel="2"/>
    <col min="78" max="78" width="7.88671875" style="1" hidden="1" customWidth="1" outlineLevel="1"/>
    <col min="79" max="82" width="7.88671875" style="1" hidden="1" customWidth="1" outlineLevel="2"/>
    <col min="83" max="83" width="7.88671875" style="1" hidden="1" customWidth="1" outlineLevel="1"/>
    <col min="84" max="87" width="7.88671875" style="1" hidden="1" customWidth="1" outlineLevel="2"/>
    <col min="88" max="88" width="7.88671875" style="1" hidden="1" customWidth="1" outlineLevel="1"/>
    <col min="89" max="92" width="7.88671875" style="1" hidden="1" customWidth="1" outlineLevel="2"/>
    <col min="93" max="93" width="7.88671875" style="1" hidden="1" customWidth="1" outlineLevel="1"/>
    <col min="94" max="97" width="7.88671875" style="1" hidden="1" customWidth="1" outlineLevel="2"/>
    <col min="98" max="98" width="7.88671875" style="1" hidden="1" customWidth="1" outlineLevel="1"/>
    <col min="99" max="99" width="7.88671875" style="1" hidden="1" customWidth="1" outlineLevel="2"/>
    <col min="100" max="101" width="9.88671875" style="1" hidden="1" customWidth="1" outlineLevel="2"/>
    <col min="102" max="102" width="7.88671875" style="1" hidden="1" customWidth="1" outlineLevel="2"/>
    <col min="103" max="107" width="7.88671875" style="1" hidden="1" customWidth="1" outlineLevel="1"/>
    <col min="108" max="108" width="7.88671875" style="1" hidden="1" customWidth="1" outlineLevel="2" collapsed="1"/>
    <col min="109" max="112" width="7.88671875" style="1" hidden="1" customWidth="1" outlineLevel="3"/>
    <col min="113" max="113" width="7.88671875" style="1" hidden="1" customWidth="1" outlineLevel="2"/>
    <col min="114" max="117" width="7.88671875" style="1" hidden="1" customWidth="1" outlineLevel="3"/>
    <col min="118" max="118" width="7.88671875" style="1" hidden="1" customWidth="1" outlineLevel="2"/>
    <col min="119" max="122" width="7.88671875" style="1" hidden="1" customWidth="1" outlineLevel="3"/>
    <col min="123" max="123" width="8.44140625" style="1" hidden="1" customWidth="1" outlineLevel="2"/>
    <col min="124" max="127" width="7.88671875" style="1" hidden="1" customWidth="1" outlineLevel="3"/>
    <col min="128" max="128" width="8.88671875" style="1" hidden="1" customWidth="1" outlineLevel="2"/>
    <col min="129" max="132" width="7.88671875" style="1" hidden="1" customWidth="1" outlineLevel="3"/>
    <col min="133" max="133" width="8.88671875" style="1" hidden="1" customWidth="1" outlineLevel="2"/>
    <col min="134" max="137" width="7.88671875" style="1" hidden="1" customWidth="1" outlineLevel="1"/>
    <col min="138" max="138" width="8.88671875" style="1" hidden="1" customWidth="1" outlineLevel="1"/>
    <col min="139" max="142" width="7.88671875" style="1" hidden="1" customWidth="1" outlineLevel="1"/>
    <col min="143" max="143" width="9.5546875" style="1" hidden="1" customWidth="1" outlineLevel="1"/>
    <col min="144" max="147" width="7.88671875" style="1" hidden="1" customWidth="1" outlineLevel="1"/>
    <col min="148" max="148" width="8.5546875" style="1" hidden="1" customWidth="1" outlineLevel="1"/>
    <col min="149" max="152" width="8.88671875" style="1" hidden="1" customWidth="1" outlineLevel="1"/>
    <col min="153" max="153" width="9.88671875" style="73" customWidth="1" collapsed="1"/>
    <col min="154" max="157" width="8.88671875" style="73" hidden="1" customWidth="1" outlineLevel="1"/>
    <col min="158" max="158" width="9.88671875" style="73" customWidth="1" collapsed="1"/>
    <col min="159" max="162" width="8.88671875" style="73" customWidth="1" outlineLevel="1"/>
    <col min="163" max="163" width="9.88671875" style="73" customWidth="1"/>
    <col min="164" max="167" width="8.88671875" style="5" customWidth="1" outlineLevel="1"/>
    <col min="168" max="168" width="9.88671875" style="5" customWidth="1"/>
    <col min="169" max="170" width="8.88671875" style="1036" customWidth="1" outlineLevel="1"/>
    <col min="171" max="174" width="8.88671875" style="5" hidden="1" customWidth="1" outlineLevel="2"/>
    <col min="175" max="175" width="9.88671875" style="5" hidden="1" customWidth="1" outlineLevel="2"/>
    <col min="176" max="177" width="8.88671875" style="1036" hidden="1" customWidth="1" outlineLevel="2"/>
    <col min="178" max="178" width="8.88671875" style="1036" customWidth="1" outlineLevel="1" collapsed="1"/>
    <col min="179" max="179" width="8.88671875" style="1036" customWidth="1" outlineLevel="1"/>
    <col min="180" max="180" width="9.88671875" style="5" customWidth="1"/>
    <col min="181" max="184" width="8.88671875" style="1036" customWidth="1" outlineLevel="1"/>
    <col min="185" max="187" width="9.88671875" style="5" customWidth="1"/>
    <col min="188" max="188" width="8.88671875" style="1036" customWidth="1" outlineLevel="1"/>
    <col min="189" max="195" width="9.88671875" style="5" customWidth="1"/>
    <col min="196" max="16384" width="9.109375" style="1"/>
  </cols>
  <sheetData>
    <row r="1" spans="2:195" hidden="1" outlineLevel="1">
      <c r="B1" s="398" t="s">
        <v>487</v>
      </c>
      <c r="DF1" s="232"/>
      <c r="DG1" s="232"/>
      <c r="DH1" s="232"/>
      <c r="DI1" s="1" t="s">
        <v>479</v>
      </c>
      <c r="DJ1" s="232"/>
      <c r="DK1" s="232"/>
      <c r="DL1" s="232">
        <v>17080.278209997778</v>
      </c>
      <c r="DM1" s="232">
        <v>17886.258252641746</v>
      </c>
      <c r="DN1" s="232">
        <v>67580.536462639531</v>
      </c>
      <c r="DO1" s="232">
        <v>17711.229806871401</v>
      </c>
      <c r="DP1" s="232">
        <v>17923.249767816116</v>
      </c>
      <c r="DQ1" s="232">
        <v>17713.758422779385</v>
      </c>
      <c r="DR1" s="232">
        <v>18614.339196584733</v>
      </c>
      <c r="DS1" s="232">
        <v>71962.577194051642</v>
      </c>
      <c r="DT1" s="232"/>
      <c r="DU1" s="232"/>
      <c r="DV1" s="232"/>
      <c r="DW1" s="232"/>
      <c r="DX1" s="232">
        <v>74345.445893383847</v>
      </c>
      <c r="DY1" s="232"/>
      <c r="DZ1" s="232"/>
      <c r="EA1" s="232"/>
      <c r="EB1" s="232"/>
      <c r="EC1" s="232">
        <v>77094.753076999303</v>
      </c>
      <c r="ED1" s="232"/>
      <c r="EE1" s="232"/>
      <c r="EF1" s="232"/>
      <c r="EG1" s="232"/>
      <c r="EH1" s="232">
        <v>77094.753076999303</v>
      </c>
      <c r="EI1" s="232"/>
      <c r="EJ1" s="232"/>
      <c r="EK1" s="232"/>
      <c r="EL1" s="232"/>
      <c r="EM1" s="232">
        <v>82418.119411192994</v>
      </c>
      <c r="EN1" s="232"/>
      <c r="EO1" s="232"/>
      <c r="EP1" s="232"/>
      <c r="EQ1" s="232"/>
      <c r="ER1" s="715">
        <v>82418.119411193009</v>
      </c>
      <c r="ES1" s="715"/>
      <c r="ET1" s="715"/>
      <c r="EU1" s="715"/>
      <c r="EV1" s="715"/>
      <c r="EW1" s="1614">
        <v>82418.119411192994</v>
      </c>
      <c r="EX1" s="1614"/>
      <c r="EY1" s="1614"/>
      <c r="EZ1" s="1614"/>
      <c r="FA1" s="1614"/>
      <c r="FB1" s="1614">
        <v>82418.119411193009</v>
      </c>
      <c r="FC1" s="1614"/>
      <c r="FD1" s="1614"/>
      <c r="FE1" s="1614"/>
      <c r="FF1" s="1614"/>
      <c r="FG1" s="1614">
        <v>82418.119411193009</v>
      </c>
      <c r="FH1" s="2414"/>
      <c r="FI1" s="2414"/>
      <c r="FJ1" s="2414"/>
      <c r="FK1" s="2414"/>
      <c r="FL1" s="2414">
        <v>82418.119411193009</v>
      </c>
      <c r="FM1" s="2413"/>
      <c r="FN1" s="2413"/>
      <c r="FO1" s="2414"/>
      <c r="FP1" s="2414"/>
      <c r="FQ1" s="2414"/>
      <c r="FR1" s="2414"/>
      <c r="FS1" s="2414">
        <v>82418.119411193009</v>
      </c>
      <c r="FT1" s="2413"/>
      <c r="FU1" s="2413"/>
      <c r="FV1" s="2413"/>
      <c r="FW1" s="2413"/>
      <c r="FX1" s="2414">
        <v>82418.119411193009</v>
      </c>
      <c r="FY1" s="2413"/>
      <c r="FZ1" s="2413"/>
      <c r="GA1" s="2413"/>
      <c r="GB1" s="2413"/>
      <c r="GC1" s="2414">
        <v>82418.119411193009</v>
      </c>
      <c r="GD1" s="2414"/>
      <c r="GE1" s="2414"/>
      <c r="GF1" s="2413"/>
      <c r="GG1" s="2414"/>
      <c r="GH1" s="2414">
        <v>82418.119411193009</v>
      </c>
      <c r="GI1" s="2414">
        <v>82418.119411193009</v>
      </c>
      <c r="GJ1" s="2414">
        <v>82418.119411193009</v>
      </c>
      <c r="GK1" s="2414">
        <v>82418.119411193009</v>
      </c>
      <c r="GL1" s="2414">
        <v>82418.119411193009</v>
      </c>
      <c r="GM1" s="2414">
        <v>82418.119411193009</v>
      </c>
    </row>
    <row r="2" spans="2:195" hidden="1" outlineLevel="1">
      <c r="DF2" s="232"/>
      <c r="DG2" s="232"/>
      <c r="DH2" s="232"/>
      <c r="DI2" s="1" t="s">
        <v>480</v>
      </c>
      <c r="DJ2" s="232"/>
      <c r="DK2" s="232"/>
      <c r="DL2" s="232">
        <f t="shared" ref="DL2:DS2" si="0">+DL24-DL1</f>
      </c>
      <c r="DM2" s="232">
        <f t="shared" si="0"/>
      </c>
      <c r="DN2" s="232">
        <f t="shared" si="0"/>
      </c>
      <c r="DO2" s="232">
        <f t="shared" si="0"/>
      </c>
      <c r="DP2" s="232">
        <f t="shared" si="0"/>
      </c>
      <c r="DQ2" s="232">
        <f t="shared" si="0"/>
      </c>
      <c r="DR2" s="232">
        <f t="shared" si="0"/>
      </c>
      <c r="DS2" s="232">
        <f t="shared" si="0"/>
      </c>
      <c r="DT2" s="232"/>
      <c r="DU2" s="232"/>
      <c r="DV2" s="232"/>
      <c r="DW2" s="232"/>
      <c r="DX2" s="232">
        <f>+DX24-DX1</f>
      </c>
      <c r="DY2" s="232"/>
      <c r="DZ2" s="232"/>
      <c r="EA2" s="232"/>
      <c r="EB2" s="232"/>
      <c r="EC2" s="232">
        <f>+EC24-EC1</f>
      </c>
      <c r="ED2" s="232"/>
      <c r="EE2" s="232"/>
      <c r="EF2" s="232"/>
      <c r="EG2" s="232"/>
      <c r="EH2" s="232">
        <f>+EH24-EH1</f>
      </c>
      <c r="EI2" s="232"/>
      <c r="EJ2" s="232"/>
      <c r="EK2" s="232"/>
      <c r="EL2" s="232"/>
      <c r="EM2" s="232">
        <f>+EM24-EM1</f>
      </c>
      <c r="EN2" s="232"/>
      <c r="EO2" s="232"/>
      <c r="EP2" s="232"/>
      <c r="EQ2" s="232"/>
      <c r="ER2" s="715">
        <f>+ER24-ER1</f>
      </c>
      <c r="ES2" s="715"/>
      <c r="ET2" s="715"/>
      <c r="EU2" s="715"/>
      <c r="EV2" s="715"/>
      <c r="EW2" s="1614">
        <f>+EW24-EW1</f>
      </c>
      <c r="EX2" s="1614"/>
      <c r="EY2" s="1614"/>
      <c r="EZ2" s="1614"/>
      <c r="FA2" s="1614"/>
      <c r="FB2" s="1614">
        <f>+FB24-FB1</f>
      </c>
      <c r="FC2" s="1614"/>
      <c r="FD2" s="1614"/>
      <c r="FE2" s="1614"/>
      <c r="FF2" s="1614"/>
      <c r="FG2" s="1614">
        <f>+FG24-FG1</f>
      </c>
      <c r="FH2" s="2414"/>
      <c r="FI2" s="2414"/>
      <c r="FJ2" s="2414"/>
      <c r="FK2" s="2414"/>
      <c r="FL2" s="2414">
        <f>+FL24-FL1</f>
      </c>
      <c r="FM2" s="2413"/>
      <c r="FN2" s="2413"/>
      <c r="FO2" s="2414"/>
      <c r="FP2" s="2414"/>
      <c r="FQ2" s="2414"/>
      <c r="FR2" s="2414"/>
      <c r="FS2" s="2414">
        <f>+FS24-FS1</f>
      </c>
      <c r="FT2" s="2413"/>
      <c r="FU2" s="2413"/>
      <c r="FV2" s="2413"/>
      <c r="FW2" s="2413"/>
      <c r="FX2" s="2414">
        <f>+FX24-FX1</f>
      </c>
      <c r="FY2" s="2413"/>
      <c r="FZ2" s="2413"/>
      <c r="GA2" s="2413"/>
      <c r="GB2" s="2413"/>
      <c r="GC2" s="2414">
        <f t="shared" ref="GC2:GL2" si="1">+GC24-GC1</f>
      </c>
      <c r="GD2" s="2414"/>
      <c r="GE2" s="2414"/>
      <c r="GF2" s="2413"/>
      <c r="GG2" s="2414"/>
      <c r="GH2" s="2414">
        <f t="shared" si="1"/>
      </c>
      <c r="GI2" s="2414">
        <f t="shared" si="1"/>
      </c>
      <c r="GJ2" s="2414">
        <f t="shared" si="1"/>
      </c>
      <c r="GK2" s="2414">
        <f t="shared" si="1"/>
      </c>
      <c r="GL2" s="2414">
        <f t="shared" si="1"/>
      </c>
      <c r="GM2" s="2414">
        <f>+GM24-GM1</f>
      </c>
    </row>
    <row r="3" spans="2:195" hidden="1" outlineLevel="1">
      <c r="DF3" s="232"/>
      <c r="DG3" s="232"/>
      <c r="DH3" s="232"/>
      <c r="DI3" s="1" t="s">
        <v>481</v>
      </c>
      <c r="DJ3" s="232"/>
      <c r="DK3" s="232"/>
      <c r="DL3" s="232">
        <v>3402.2047786053522</v>
      </c>
      <c r="DM3" s="232">
        <v>3269.7013025519268</v>
      </c>
      <c r="DN3" s="232">
        <v>14119.906081157285</v>
      </c>
      <c r="DO3" s="232">
        <v>3731.3550593343416</v>
      </c>
      <c r="DP3" s="232">
        <v>3775.3481440227893</v>
      </c>
      <c r="DQ3" s="232">
        <v>3734.8601986027547</v>
      </c>
      <c r="DR3" s="232">
        <v>3926.0754394463647</v>
      </c>
      <c r="DS3" s="232">
        <v>15167.638841406249</v>
      </c>
      <c r="DT3" s="232"/>
      <c r="DU3" s="232"/>
      <c r="DV3" s="232"/>
      <c r="DW3" s="232"/>
      <c r="DX3" s="232">
        <v>16137.893286257513</v>
      </c>
      <c r="DY3" s="232"/>
      <c r="DZ3" s="232"/>
      <c r="EA3" s="232"/>
      <c r="EB3" s="232"/>
      <c r="EC3" s="232">
        <v>17195.503912066051</v>
      </c>
      <c r="ED3" s="232"/>
      <c r="EE3" s="232"/>
      <c r="EF3" s="232"/>
      <c r="EG3" s="232"/>
      <c r="EH3" s="232">
        <v>17195.503912066051</v>
      </c>
      <c r="EI3" s="232"/>
      <c r="EJ3" s="232"/>
      <c r="EK3" s="232"/>
      <c r="EL3" s="232"/>
      <c r="EM3" s="232">
        <v>19271.5073730156</v>
      </c>
      <c r="EN3" s="232"/>
      <c r="EO3" s="232"/>
      <c r="EP3" s="232"/>
      <c r="EQ3" s="232"/>
      <c r="ER3" s="715">
        <v>19271.507373015582</v>
      </c>
      <c r="ES3" s="715"/>
      <c r="ET3" s="715"/>
      <c r="EU3" s="715"/>
      <c r="EV3" s="715"/>
      <c r="EW3" s="1614">
        <v>19271.507373015582</v>
      </c>
      <c r="EX3" s="1614"/>
      <c r="EY3" s="1614"/>
      <c r="EZ3" s="1614"/>
      <c r="FA3" s="1614"/>
      <c r="FB3" s="1614">
        <v>19271.507373015582</v>
      </c>
      <c r="FC3" s="1614"/>
      <c r="FD3" s="1614"/>
      <c r="FE3" s="1614"/>
      <c r="FF3" s="1614"/>
      <c r="FG3" s="1614">
        <v>19271.507373015582</v>
      </c>
      <c r="FH3" s="2414"/>
      <c r="FI3" s="2414"/>
      <c r="FJ3" s="2414"/>
      <c r="FK3" s="2414"/>
      <c r="FL3" s="2414">
        <v>19271.507373015582</v>
      </c>
      <c r="FM3" s="2413"/>
      <c r="FN3" s="2413"/>
      <c r="FO3" s="2414"/>
      <c r="FP3" s="2414"/>
      <c r="FQ3" s="2414"/>
      <c r="FR3" s="2414"/>
      <c r="FS3" s="2414">
        <v>19271.507373015582</v>
      </c>
      <c r="FT3" s="2413"/>
      <c r="FU3" s="2413"/>
      <c r="FV3" s="2413"/>
      <c r="FW3" s="2413"/>
      <c r="FX3" s="2414">
        <v>19271.507373015582</v>
      </c>
      <c r="FY3" s="2413"/>
      <c r="FZ3" s="2413"/>
      <c r="GA3" s="2413"/>
      <c r="GB3" s="2413"/>
      <c r="GC3" s="2414">
        <v>19271.507373015582</v>
      </c>
      <c r="GD3" s="2414"/>
      <c r="GE3" s="2414"/>
      <c r="GF3" s="2413"/>
      <c r="GG3" s="2414"/>
      <c r="GH3" s="2414">
        <v>19271.507373015582</v>
      </c>
      <c r="GI3" s="2414">
        <v>19271.507373015582</v>
      </c>
      <c r="GJ3" s="2414">
        <v>19271.507373015582</v>
      </c>
      <c r="GK3" s="2414">
        <v>19271.507373015582</v>
      </c>
      <c r="GL3" s="2414">
        <v>19271.507373015582</v>
      </c>
      <c r="GM3" s="2414">
        <v>19271.507373015582</v>
      </c>
    </row>
    <row r="4" spans="2:195" hidden="1" outlineLevel="1">
      <c r="DF4" s="232"/>
      <c r="DG4" s="232"/>
      <c r="DH4" s="232"/>
      <c r="DI4" s="1" t="s">
        <v>482</v>
      </c>
      <c r="DJ4" s="232"/>
      <c r="DK4" s="232"/>
      <c r="DL4" s="232">
        <f t="shared" ref="DL4:DS4" si="2">+DL2*30%</f>
      </c>
      <c r="DM4" s="232">
        <f t="shared" si="2"/>
      </c>
      <c r="DN4" s="232">
        <f t="shared" si="2"/>
      </c>
      <c r="DO4" s="232">
        <f t="shared" si="2"/>
      </c>
      <c r="DP4" s="232">
        <f t="shared" si="2"/>
      </c>
      <c r="DQ4" s="232">
        <f t="shared" si="2"/>
      </c>
      <c r="DR4" s="232">
        <f t="shared" si="2"/>
      </c>
      <c r="DS4" s="232">
        <f t="shared" si="2"/>
      </c>
      <c r="DT4" s="232"/>
      <c r="DU4" s="232"/>
      <c r="DV4" s="232"/>
      <c r="DW4" s="232"/>
      <c r="DX4" s="232">
        <f>+DX2*30%</f>
      </c>
      <c r="DY4" s="232"/>
      <c r="DZ4" s="232"/>
      <c r="EA4" s="232"/>
      <c r="EB4" s="232"/>
      <c r="EC4" s="232">
        <f>+EC2*30%</f>
      </c>
      <c r="ED4" s="232"/>
      <c r="EE4" s="232"/>
      <c r="EF4" s="232"/>
      <c r="EG4" s="232"/>
      <c r="EH4" s="232">
        <f>+EH2*30%</f>
      </c>
      <c r="EI4" s="232"/>
      <c r="EJ4" s="232"/>
      <c r="EK4" s="232"/>
      <c r="EL4" s="232"/>
      <c r="EM4" s="232">
        <f>+EM2*30%</f>
      </c>
      <c r="EN4" s="232"/>
      <c r="EO4" s="232"/>
      <c r="EP4" s="232"/>
      <c r="EQ4" s="232"/>
      <c r="ER4" s="715">
        <f>+ER2*30%</f>
      </c>
      <c r="ES4" s="715"/>
      <c r="ET4" s="715"/>
      <c r="EU4" s="715"/>
      <c r="EV4" s="715"/>
      <c r="EW4" s="1614">
        <f>+EW2*30%</f>
      </c>
      <c r="EX4" s="1614"/>
      <c r="EY4" s="1614"/>
      <c r="EZ4" s="1614"/>
      <c r="FA4" s="1614"/>
      <c r="FB4" s="1614">
        <f>+FB2*30%</f>
      </c>
      <c r="FC4" s="1614"/>
      <c r="FD4" s="1614"/>
      <c r="FE4" s="1614"/>
      <c r="FF4" s="1614"/>
      <c r="FG4" s="1614">
        <f>+FG2*30%</f>
      </c>
      <c r="FH4" s="2414"/>
      <c r="FI4" s="2414"/>
      <c r="FJ4" s="2414"/>
      <c r="FK4" s="2414"/>
      <c r="FL4" s="2414">
        <f>+FL2*30%</f>
      </c>
      <c r="FM4" s="2413"/>
      <c r="FN4" s="2413"/>
      <c r="FO4" s="2414"/>
      <c r="FP4" s="2414"/>
      <c r="FQ4" s="2414"/>
      <c r="FR4" s="2414"/>
      <c r="FS4" s="2414">
        <f>+FS2*30%</f>
      </c>
      <c r="FT4" s="2413"/>
      <c r="FU4" s="2413"/>
      <c r="FV4" s="2413"/>
      <c r="FW4" s="2413"/>
      <c r="FX4" s="2414">
        <f>+FX2*30%</f>
      </c>
      <c r="FY4" s="2413"/>
      <c r="FZ4" s="2413"/>
      <c r="GA4" s="2413"/>
      <c r="GB4" s="2413"/>
      <c r="GC4" s="2414">
        <f t="shared" ref="GC4:GL4" si="3">+GC2*30%</f>
      </c>
      <c r="GD4" s="2414"/>
      <c r="GE4" s="2414"/>
      <c r="GF4" s="2413"/>
      <c r="GG4" s="2414"/>
      <c r="GH4" s="2414">
        <f t="shared" si="3"/>
      </c>
      <c r="GI4" s="2414">
        <f t="shared" si="3"/>
      </c>
      <c r="GJ4" s="2414">
        <f t="shared" si="3"/>
      </c>
      <c r="GK4" s="2414">
        <f t="shared" si="3"/>
      </c>
      <c r="GL4" s="2414">
        <f t="shared" si="3"/>
      </c>
      <c r="GM4" s="2414">
        <f>+GM2*30%</f>
      </c>
    </row>
    <row r="5" spans="2:195" hidden="1" outlineLevel="1">
      <c r="DF5" s="232"/>
      <c r="DG5" s="232"/>
      <c r="DH5" s="232"/>
      <c r="DI5" s="1" t="s">
        <v>483</v>
      </c>
      <c r="DJ5" s="232"/>
      <c r="DK5" s="232"/>
      <c r="DL5" s="232">
        <f t="shared" ref="DL5:DS5" si="4">+DL43-DL3</f>
      </c>
      <c r="DM5" s="232">
        <f t="shared" si="4"/>
      </c>
      <c r="DN5" s="232">
        <f t="shared" si="4"/>
      </c>
      <c r="DO5" s="232">
        <f t="shared" si="4"/>
      </c>
      <c r="DP5" s="232">
        <f t="shared" si="4"/>
      </c>
      <c r="DQ5" s="232">
        <f t="shared" si="4"/>
      </c>
      <c r="DR5" s="232">
        <f t="shared" si="4"/>
      </c>
      <c r="DS5" s="232">
        <f t="shared" si="4"/>
      </c>
      <c r="DT5" s="232"/>
      <c r="DU5" s="232"/>
      <c r="DV5" s="232"/>
      <c r="DW5" s="232"/>
      <c r="DX5" s="232">
        <f>+DX43-DX3</f>
      </c>
      <c r="DY5" s="232"/>
      <c r="DZ5" s="232"/>
      <c r="EA5" s="232"/>
      <c r="EB5" s="232"/>
      <c r="EC5" s="232">
        <f>+EC43-EC3</f>
      </c>
      <c r="ED5" s="232"/>
      <c r="EE5" s="232"/>
      <c r="EF5" s="232"/>
      <c r="EG5" s="232"/>
      <c r="EH5" s="1416">
        <f>+EH43-EH3</f>
      </c>
      <c r="EI5" s="232"/>
      <c r="EJ5" s="232"/>
      <c r="EK5" s="232"/>
      <c r="EL5" s="232"/>
      <c r="EM5" s="254">
        <f>+EM43-EM3</f>
      </c>
      <c r="EN5" s="232"/>
      <c r="EO5" s="232"/>
      <c r="EP5" s="232"/>
      <c r="EQ5" s="232"/>
      <c r="ER5" s="715">
        <f>+ER43-ER3</f>
      </c>
      <c r="ES5" s="715"/>
      <c r="ET5" s="715"/>
      <c r="EU5" s="715"/>
      <c r="EV5" s="715"/>
      <c r="EW5" s="1614">
        <f>+EW43-EW3</f>
      </c>
      <c r="EX5" s="1614"/>
      <c r="EY5" s="1614"/>
      <c r="EZ5" s="1614"/>
      <c r="FA5" s="1614"/>
      <c r="FB5" s="1614">
        <f>+FB43-FB3</f>
      </c>
      <c r="FC5" s="1614"/>
      <c r="FD5" s="1614"/>
      <c r="FE5" s="1614"/>
      <c r="FF5" s="1614"/>
      <c r="FG5" s="1614">
        <f>+FG43-FG3</f>
      </c>
      <c r="FH5" s="2414"/>
      <c r="FI5" s="2414"/>
      <c r="FJ5" s="2414"/>
      <c r="FK5" s="2414"/>
      <c r="FL5" s="2414">
        <f>+FL43-FL3</f>
      </c>
      <c r="FM5" s="2413"/>
      <c r="FN5" s="2413"/>
      <c r="FO5" s="2414"/>
      <c r="FP5" s="2414"/>
      <c r="FQ5" s="2414"/>
      <c r="FR5" s="2414"/>
      <c r="FS5" s="2414">
        <f>+FS43-FS3</f>
      </c>
      <c r="FT5" s="2413"/>
      <c r="FU5" s="2413"/>
      <c r="FV5" s="2413"/>
      <c r="FW5" s="2413"/>
      <c r="FX5" s="2414">
        <f>+FX43-FX3</f>
      </c>
      <c r="FY5" s="2413"/>
      <c r="FZ5" s="2413"/>
      <c r="GA5" s="2413"/>
      <c r="GB5" s="2413"/>
      <c r="GC5" s="2414">
        <f t="shared" ref="GC5:GL5" si="5">+GC43-GC3</f>
      </c>
      <c r="GD5" s="2414"/>
      <c r="GE5" s="2414"/>
      <c r="GF5" s="2413"/>
      <c r="GG5" s="2414"/>
      <c r="GH5" s="2414">
        <f t="shared" si="5"/>
      </c>
      <c r="GI5" s="2414">
        <f t="shared" ca="1" si="5"/>
      </c>
      <c r="GJ5" s="2414">
        <f t="shared" ca="1" si="5"/>
      </c>
      <c r="GK5" s="2414">
        <f t="shared" ca="1" si="5"/>
      </c>
      <c r="GL5" s="2414">
        <f t="shared" ca="1" si="5"/>
      </c>
      <c r="GM5" s="2414">
        <f ca="1">+GM43-GM3</f>
      </c>
    </row>
    <row r="6" spans="2:195" hidden="1" outlineLevel="1">
      <c r="DF6" s="255"/>
      <c r="DG6" s="77"/>
      <c r="DH6" s="255"/>
      <c r="DI6" s="1" t="s">
        <v>484</v>
      </c>
      <c r="DJ6" s="255"/>
      <c r="DK6" s="255"/>
      <c r="DL6" s="255">
        <v>1.2217959444112862</v>
      </c>
      <c r="DM6" s="255">
        <v>1.1763553864340075</v>
      </c>
      <c r="DN6" s="255">
        <v>5.0712536079196822</v>
      </c>
      <c r="DO6" s="255">
        <v>1.3449022669656265</v>
      </c>
      <c r="DP6" s="255">
        <v>1.3632524676327833</v>
      </c>
      <c r="DQ6" s="255">
        <v>1.3511085177244466</v>
      </c>
      <c r="DR6" s="255">
        <v>1.422894109271738</v>
      </c>
      <c r="DS6" s="255">
        <v>5.4819539166891973</v>
      </c>
      <c r="DT6" s="255"/>
      <c r="DU6" s="255"/>
      <c r="DV6" s="255"/>
      <c r="DW6" s="255"/>
      <c r="DX6" s="255">
        <v>5.8757372729527626</v>
      </c>
      <c r="DY6" s="255"/>
      <c r="DZ6" s="255"/>
      <c r="EA6" s="255"/>
      <c r="EB6" s="255"/>
      <c r="EC6" s="255">
        <v>6.3074278327844917</v>
      </c>
      <c r="ED6" s="255"/>
      <c r="EE6" s="255"/>
      <c r="EF6" s="255"/>
      <c r="EG6" s="255"/>
      <c r="EH6" s="255">
        <v>6.3074278327844917</v>
      </c>
      <c r="EI6" s="255"/>
      <c r="EJ6" s="255"/>
      <c r="EK6" s="255"/>
      <c r="EL6" s="255"/>
      <c r="EM6" s="255">
        <v>7.1757843644108501</v>
      </c>
      <c r="EN6" s="255"/>
      <c r="EO6" s="255"/>
      <c r="EP6" s="255"/>
      <c r="EQ6" s="255"/>
      <c r="ER6" s="716">
        <v>7.1757843644108465</v>
      </c>
      <c r="ES6" s="716"/>
      <c r="ET6" s="716"/>
      <c r="EU6" s="716"/>
      <c r="EV6" s="716"/>
      <c r="EW6" s="1615">
        <v>7.1757843644108465</v>
      </c>
      <c r="EX6" s="1615"/>
      <c r="EY6" s="1615"/>
      <c r="EZ6" s="1615"/>
      <c r="FA6" s="1615"/>
      <c r="FB6" s="1615">
        <v>7.1757843644108465</v>
      </c>
      <c r="FC6" s="1615"/>
      <c r="FD6" s="1615"/>
      <c r="FE6" s="1615"/>
      <c r="FF6" s="1615"/>
      <c r="FG6" s="1615">
        <v>7.1757843644108465</v>
      </c>
      <c r="FH6" s="2416"/>
      <c r="FI6" s="2416"/>
      <c r="FJ6" s="2416"/>
      <c r="FK6" s="2416"/>
      <c r="FL6" s="2416">
        <v>7.1757843644108465</v>
      </c>
      <c r="FM6" s="2415"/>
      <c r="FN6" s="2415"/>
      <c r="FO6" s="2416"/>
      <c r="FP6" s="2416"/>
      <c r="FQ6" s="2416"/>
      <c r="FR6" s="2416"/>
      <c r="FS6" s="2416">
        <v>7.1757843644108465</v>
      </c>
      <c r="FT6" s="2415"/>
      <c r="FU6" s="2415"/>
      <c r="FV6" s="2415"/>
      <c r="FW6" s="2415"/>
      <c r="FX6" s="2416">
        <v>7.1757843644108465</v>
      </c>
      <c r="FY6" s="2415"/>
      <c r="FZ6" s="2415"/>
      <c r="GA6" s="2415"/>
      <c r="GB6" s="2415"/>
      <c r="GC6" s="2416">
        <v>7.1757843644108465</v>
      </c>
      <c r="GD6" s="2416"/>
      <c r="GE6" s="2416"/>
      <c r="GF6" s="2415"/>
      <c r="GG6" s="2416"/>
      <c r="GH6" s="2416">
        <v>7.1757843644108465</v>
      </c>
      <c r="GI6" s="2416">
        <v>7.1757843644108465</v>
      </c>
      <c r="GJ6" s="2416">
        <v>7.1757843644108465</v>
      </c>
      <c r="GK6" s="2416">
        <v>7.1757843644108465</v>
      </c>
      <c r="GL6" s="2416">
        <v>7.1757843644108465</v>
      </c>
      <c r="GM6" s="2416">
        <v>7.1757843644108465</v>
      </c>
    </row>
    <row r="7" spans="2:195" s="365" customFormat="1" hidden="1" outlineLevel="1">
      <c r="DF7" s="255"/>
      <c r="DG7" s="186"/>
      <c r="DH7" s="255"/>
      <c r="DI7" s="365" t="s">
        <v>485</v>
      </c>
      <c r="DJ7" s="255"/>
      <c r="DK7" s="255"/>
      <c r="DL7" s="255">
        <f t="shared" ref="DL7:DS7" si="6">+DL4/DL61</f>
      </c>
      <c r="DM7" s="255">
        <f t="shared" si="6"/>
      </c>
      <c r="DN7" s="255">
        <f t="shared" si="6"/>
      </c>
      <c r="DO7" s="255">
        <f t="shared" si="6"/>
      </c>
      <c r="DP7" s="255">
        <f t="shared" si="6"/>
      </c>
      <c r="DQ7" s="255">
        <f t="shared" si="6"/>
      </c>
      <c r="DR7" s="255">
        <f t="shared" si="6"/>
      </c>
      <c r="DS7" s="255">
        <f t="shared" si="6"/>
      </c>
      <c r="DT7" s="255"/>
      <c r="DU7" s="255"/>
      <c r="DV7" s="255"/>
      <c r="DW7" s="255"/>
      <c r="DX7" s="255">
        <f>+DX4/DX61</f>
      </c>
      <c r="DY7" s="255"/>
      <c r="DZ7" s="255"/>
      <c r="EA7" s="255"/>
      <c r="EB7" s="255"/>
      <c r="EC7" s="255">
        <f>+EC4/EC61</f>
      </c>
      <c r="ED7" s="255"/>
      <c r="EE7" s="255"/>
      <c r="EF7" s="255"/>
      <c r="EG7" s="255"/>
      <c r="EH7" s="255">
        <f>+EH4/EH61</f>
      </c>
      <c r="EI7" s="255"/>
      <c r="EJ7" s="255"/>
      <c r="EK7" s="255"/>
      <c r="EL7" s="255"/>
      <c r="EM7" s="255">
        <f>+EM4/EM61</f>
      </c>
      <c r="EN7" s="255"/>
      <c r="EO7" s="255"/>
      <c r="EP7" s="255"/>
      <c r="EQ7" s="255"/>
      <c r="ER7" s="716">
        <f>+ER4/ER61</f>
      </c>
      <c r="ES7" s="716"/>
      <c r="ET7" s="716"/>
      <c r="EU7" s="716"/>
      <c r="EV7" s="716"/>
      <c r="EW7" s="1615">
        <f>+EW4/EW61</f>
      </c>
      <c r="EX7" s="1615"/>
      <c r="EY7" s="1615"/>
      <c r="EZ7" s="1615"/>
      <c r="FA7" s="1615"/>
      <c r="FB7" s="1615">
        <f>+FB4/FB61</f>
      </c>
      <c r="FC7" s="1615"/>
      <c r="FD7" s="1615"/>
      <c r="FE7" s="1615"/>
      <c r="FF7" s="1615"/>
      <c r="FG7" s="1615">
        <f>+FG4/FG61</f>
      </c>
      <c r="FH7" s="2416"/>
      <c r="FI7" s="2416"/>
      <c r="FJ7" s="2416"/>
      <c r="FK7" s="2416"/>
      <c r="FL7" s="2416">
        <f>+FL4/FL61</f>
      </c>
      <c r="FM7" s="2415"/>
      <c r="FN7" s="2415"/>
      <c r="FO7" s="2416"/>
      <c r="FP7" s="2416"/>
      <c r="FQ7" s="2416"/>
      <c r="FR7" s="2416"/>
      <c r="FS7" s="2416">
        <f>+FS4/FS61</f>
      </c>
      <c r="FT7" s="2415"/>
      <c r="FU7" s="2415"/>
      <c r="FV7" s="2415"/>
      <c r="FW7" s="2415"/>
      <c r="FX7" s="2416">
        <f>+FX4/FX61</f>
      </c>
      <c r="FY7" s="2415"/>
      <c r="FZ7" s="2415"/>
      <c r="GA7" s="2415"/>
      <c r="GB7" s="2415"/>
      <c r="GC7" s="2416">
        <f t="shared" ref="GC7:GL7" si="7">+GC4/GC61</f>
      </c>
      <c r="GD7" s="2416"/>
      <c r="GE7" s="2416"/>
      <c r="GF7" s="2415"/>
      <c r="GG7" s="2416"/>
      <c r="GH7" s="2416">
        <f t="shared" si="7"/>
      </c>
      <c r="GI7" s="2416">
        <f t="shared" si="7"/>
      </c>
      <c r="GJ7" s="2416">
        <f t="shared" si="7"/>
      </c>
      <c r="GK7" s="2416">
        <f t="shared" si="7"/>
      </c>
      <c r="GL7" s="2416">
        <f t="shared" si="7"/>
      </c>
      <c r="GM7" s="2416">
        <f>+GM4/GM61</f>
      </c>
    </row>
    <row r="8" spans="2:195" s="365" customFormat="1" hidden="1" outlineLevel="1">
      <c r="DF8" s="255"/>
      <c r="DG8" s="255"/>
      <c r="DH8" s="255"/>
      <c r="DI8" s="365" t="s">
        <v>486</v>
      </c>
      <c r="DJ8" s="255"/>
      <c r="DK8" s="255"/>
      <c r="DL8" s="255">
        <f t="shared" ref="DL8:DS8" si="8">+DL55-DL6</f>
      </c>
      <c r="DM8" s="255">
        <f t="shared" si="8"/>
      </c>
      <c r="DN8" s="255">
        <f t="shared" si="8"/>
      </c>
      <c r="DO8" s="255">
        <f t="shared" si="8"/>
      </c>
      <c r="DP8" s="255">
        <f t="shared" si="8"/>
      </c>
      <c r="DQ8" s="255">
        <f t="shared" si="8"/>
      </c>
      <c r="DR8" s="255">
        <f t="shared" si="8"/>
      </c>
      <c r="DS8" s="255">
        <f t="shared" si="8"/>
      </c>
      <c r="DT8" s="255"/>
      <c r="DU8" s="255"/>
      <c r="DV8" s="255"/>
      <c r="DW8" s="255"/>
      <c r="DX8" s="255">
        <f>+DX55-DX6</f>
      </c>
      <c r="DY8" s="255"/>
      <c r="DZ8" s="255"/>
      <c r="EA8" s="255"/>
      <c r="EB8" s="255"/>
      <c r="EC8" s="255">
        <f>+EC55-EC6</f>
      </c>
      <c r="ED8" s="255"/>
      <c r="EE8" s="255"/>
      <c r="EF8" s="255"/>
      <c r="EG8" s="255"/>
      <c r="EH8" s="255">
        <f>+EH55-EH6</f>
      </c>
      <c r="EI8" s="255"/>
      <c r="EJ8" s="255"/>
      <c r="EK8" s="255"/>
      <c r="EL8" s="255"/>
      <c r="EM8" s="255">
        <f>+EM55-EM6</f>
      </c>
      <c r="EN8" s="255"/>
      <c r="EO8" s="255"/>
      <c r="EP8" s="255"/>
      <c r="EQ8" s="255"/>
      <c r="ER8" s="716">
        <f>+ER55-ER6</f>
      </c>
      <c r="ES8" s="716"/>
      <c r="ET8" s="716"/>
      <c r="EU8" s="716"/>
      <c r="EV8" s="716"/>
      <c r="EW8" s="1615">
        <f>+EW55-EW6</f>
      </c>
      <c r="EX8" s="1615"/>
      <c r="EY8" s="1615"/>
      <c r="EZ8" s="1615"/>
      <c r="FA8" s="1615"/>
      <c r="FB8" s="1615">
        <f>+FB55-FB6</f>
      </c>
      <c r="FC8" s="1615"/>
      <c r="FD8" s="1615"/>
      <c r="FE8" s="1615"/>
      <c r="FF8" s="1615"/>
      <c r="FG8" s="1615">
        <f>+FG55-FG6</f>
      </c>
      <c r="FH8" s="2416"/>
      <c r="FI8" s="2416"/>
      <c r="FJ8" s="2416"/>
      <c r="FK8" s="2416"/>
      <c r="FL8" s="2416">
        <f>+FL55-FL6</f>
      </c>
      <c r="FM8" s="2415"/>
      <c r="FN8" s="2415"/>
      <c r="FO8" s="2416"/>
      <c r="FP8" s="2416"/>
      <c r="FQ8" s="2416"/>
      <c r="FR8" s="2416"/>
      <c r="FS8" s="2416">
        <f>+FS55-FS6</f>
      </c>
      <c r="FT8" s="2415"/>
      <c r="FU8" s="2415"/>
      <c r="FV8" s="2415"/>
      <c r="FW8" s="2415"/>
      <c r="FX8" s="2416">
        <f>+FX55-FX6</f>
      </c>
      <c r="FY8" s="2415"/>
      <c r="FZ8" s="2415"/>
      <c r="GA8" s="2415"/>
      <c r="GB8" s="2415"/>
      <c r="GC8" s="2416">
        <f t="shared" ref="GC8:GL8" si="9">+GC55-GC6</f>
      </c>
      <c r="GD8" s="2416"/>
      <c r="GE8" s="2416"/>
      <c r="GF8" s="2415"/>
      <c r="GG8" s="2416"/>
      <c r="GH8" s="2416">
        <f t="shared" si="9"/>
      </c>
      <c r="GI8" s="2416">
        <f t="shared" ca="1" si="9"/>
      </c>
      <c r="GJ8" s="2416">
        <f t="shared" ca="1" si="9"/>
      </c>
      <c r="GK8" s="2416">
        <f t="shared" ca="1" si="9"/>
      </c>
      <c r="GL8" s="2416">
        <f t="shared" ca="1" si="9"/>
      </c>
      <c r="GM8" s="2416">
        <f ca="1">+GM55-GM6</f>
      </c>
    </row>
    <row r="9" spans="2:195" s="365" customFormat="1" hidden="1" outlineLevel="1">
      <c r="DF9" s="255"/>
      <c r="DG9" s="255"/>
      <c r="DH9" s="255"/>
      <c r="DI9" s="255" t="s">
        <v>478</v>
      </c>
      <c r="DJ9" s="255"/>
      <c r="DK9" s="638"/>
      <c r="DL9" s="638"/>
      <c r="DM9" s="638"/>
      <c r="DN9" s="638"/>
      <c r="DO9" s="665"/>
      <c r="DP9" s="665"/>
      <c r="DQ9" s="665"/>
      <c r="DR9" s="665"/>
      <c r="DS9" s="255"/>
      <c r="DT9" s="255"/>
      <c r="DU9" s="255"/>
      <c r="DV9" s="255"/>
      <c r="DW9" s="255"/>
      <c r="DX9" s="255"/>
      <c r="DY9" s="255"/>
      <c r="DZ9" s="255"/>
      <c r="EA9" s="255"/>
      <c r="EB9" s="255"/>
      <c r="EC9" s="255"/>
      <c r="ED9" s="255"/>
      <c r="EE9" s="255"/>
      <c r="EF9" s="255"/>
      <c r="EG9" s="255"/>
      <c r="EH9" s="255"/>
      <c r="EI9" s="255"/>
      <c r="EJ9" s="255"/>
      <c r="EK9" s="255"/>
      <c r="EL9" s="255"/>
      <c r="EM9" s="255"/>
      <c r="EN9" s="255"/>
      <c r="EO9" s="255"/>
      <c r="EP9" s="255"/>
      <c r="EQ9" s="255"/>
      <c r="ER9" s="255"/>
      <c r="ES9" s="255"/>
      <c r="ET9" s="255"/>
      <c r="EU9" s="255"/>
      <c r="EV9" s="255"/>
      <c r="EW9" s="1616"/>
      <c r="EX9" s="1616"/>
      <c r="EY9" s="1616"/>
      <c r="EZ9" s="1616"/>
      <c r="FA9" s="1616"/>
      <c r="FB9" s="1616"/>
      <c r="FC9" s="1616"/>
      <c r="FD9" s="1616"/>
      <c r="FE9" s="1616"/>
      <c r="FF9" s="1616"/>
      <c r="FG9" s="1616"/>
      <c r="FH9" s="2417"/>
      <c r="FI9" s="2417"/>
      <c r="FJ9" s="2417"/>
      <c r="FK9" s="2417"/>
      <c r="FL9" s="2417"/>
      <c r="FM9" s="1465"/>
      <c r="FN9" s="1465"/>
      <c r="FO9" s="2417"/>
      <c r="FP9" s="2417"/>
      <c r="FQ9" s="2417"/>
      <c r="FR9" s="2417"/>
      <c r="FS9" s="2417"/>
      <c r="FT9" s="1465"/>
      <c r="FU9" s="1465"/>
      <c r="FV9" s="1465"/>
      <c r="FW9" s="1465"/>
      <c r="FX9" s="2417"/>
      <c r="FY9" s="1465"/>
      <c r="FZ9" s="1465"/>
      <c r="GA9" s="1465"/>
      <c r="GB9" s="1465"/>
      <c r="GC9" s="2417"/>
      <c r="GD9" s="2417"/>
      <c r="GE9" s="2417"/>
      <c r="GF9" s="1465"/>
      <c r="GG9" s="2417"/>
      <c r="GH9" s="2417"/>
      <c r="GI9" s="2417"/>
      <c r="GJ9" s="2417"/>
      <c r="GK9" s="2417"/>
      <c r="GL9" s="2417"/>
      <c r="GM9" s="2417"/>
    </row>
    <row r="10" spans="2:195" s="365" customFormat="1" collapsed="1">
      <c r="DF10" s="255"/>
      <c r="DG10" s="255"/>
      <c r="DH10" s="255"/>
      <c r="DI10" s="255"/>
      <c r="DJ10" s="255"/>
      <c r="DK10" s="255"/>
      <c r="DL10" s="668"/>
      <c r="DM10" s="668"/>
      <c r="DN10" s="668"/>
      <c r="DO10" s="668"/>
      <c r="DP10" s="668"/>
      <c r="DQ10" s="668"/>
      <c r="DR10" s="668"/>
      <c r="DS10" s="668"/>
      <c r="DT10" s="668"/>
      <c r="DU10" s="668"/>
      <c r="DV10" s="668"/>
      <c r="DW10" s="668"/>
      <c r="DX10" s="668"/>
      <c r="DY10" s="668"/>
      <c r="DZ10" s="668"/>
      <c r="EA10" s="668"/>
      <c r="EB10" s="668"/>
      <c r="EC10" s="668"/>
      <c r="ED10" s="668"/>
      <c r="EE10" s="668"/>
      <c r="EF10" s="668"/>
      <c r="EG10" s="668"/>
      <c r="EH10" s="668"/>
      <c r="EI10" s="668"/>
      <c r="EJ10" s="668"/>
      <c r="EK10" s="668"/>
      <c r="EL10" s="668"/>
      <c r="EM10" s="668"/>
      <c r="EN10" s="668"/>
      <c r="EO10" s="668"/>
      <c r="EP10" s="668"/>
      <c r="EQ10" s="668"/>
      <c r="ER10" s="668"/>
      <c r="ES10" s="668"/>
      <c r="ET10" s="668"/>
      <c r="EU10" s="668"/>
      <c r="EV10" s="668"/>
      <c r="EW10" s="1617"/>
      <c r="EX10" s="1618"/>
      <c r="EY10" s="1618"/>
      <c r="EZ10" s="1618"/>
      <c r="FA10" s="1618"/>
      <c r="FB10" s="1617"/>
      <c r="FC10" s="1617"/>
      <c r="FD10" s="1617"/>
      <c r="FE10" s="1617"/>
      <c r="FF10" s="1619"/>
      <c r="FG10" s="1617"/>
      <c r="FH10" s="2426"/>
      <c r="FI10" s="2426"/>
      <c r="FJ10" s="2426"/>
      <c r="FK10" s="2418"/>
      <c r="FL10" s="2426"/>
      <c r="FM10" s="2418"/>
      <c r="FN10" s="2418"/>
      <c r="FO10" s="2426"/>
      <c r="FP10" s="2426"/>
      <c r="FQ10" s="2426"/>
      <c r="FR10" s="2418"/>
      <c r="FS10" s="2426"/>
      <c r="FT10" s="2418"/>
      <c r="FU10" s="2418"/>
      <c r="FV10" s="2418"/>
      <c r="FW10" s="2418"/>
      <c r="FX10" s="2419"/>
      <c r="FY10" s="2418"/>
      <c r="FZ10" s="3316"/>
      <c r="GA10" s="2418"/>
      <c r="GB10" s="3316"/>
      <c r="GC10" s="2419"/>
      <c r="GD10" s="2419"/>
      <c r="GE10" s="2419"/>
      <c r="GF10" s="2418"/>
      <c r="GG10" s="2419"/>
      <c r="GH10" s="2419"/>
      <c r="GI10" s="2419"/>
      <c r="GJ10" s="2419"/>
      <c r="GK10" s="2419"/>
      <c r="GL10" s="2419"/>
      <c r="GM10" s="2419"/>
    </row>
    <row r="11" spans="2:195" s="365" customFormat="1" ht="12.6">
      <c r="DG11" s="684"/>
      <c r="DH11" s="684"/>
      <c r="DL11" s="669"/>
      <c r="DM11" s="669"/>
      <c r="DN11" s="669"/>
      <c r="DO11" s="669"/>
      <c r="DP11" s="669"/>
      <c r="DQ11" s="669"/>
      <c r="DR11" s="669"/>
      <c r="DS11" s="669"/>
      <c r="DT11" s="669"/>
      <c r="DU11" s="669"/>
      <c r="DV11" s="669"/>
      <c r="DW11" s="669"/>
      <c r="DX11" s="669"/>
      <c r="DY11" s="669"/>
      <c r="DZ11" s="669"/>
      <c r="EA11" s="669"/>
      <c r="EB11" s="669"/>
      <c r="EC11" s="669"/>
      <c r="ED11" s="669"/>
      <c r="EE11" s="669"/>
      <c r="EF11" s="669"/>
      <c r="EG11" s="669"/>
      <c r="EH11" s="669"/>
      <c r="EI11" s="669"/>
      <c r="EJ11" s="669"/>
      <c r="EK11" s="669"/>
      <c r="EL11" s="668"/>
      <c r="EM11" s="1264"/>
      <c r="EN11" s="669"/>
      <c r="EO11" s="669"/>
      <c r="EP11" s="669"/>
      <c r="EQ11" s="669"/>
      <c r="ER11" s="669"/>
      <c r="ES11" s="669"/>
      <c r="ET11" s="669"/>
      <c r="EU11" s="669"/>
      <c r="EV11" s="669"/>
      <c r="EW11" s="1620"/>
      <c r="EX11" s="1621"/>
      <c r="EY11" s="1621"/>
      <c r="EZ11" s="1622"/>
      <c r="FA11" s="1620"/>
      <c r="FB11" s="1621"/>
      <c r="FC11" s="1620"/>
      <c r="FD11" s="1620"/>
      <c r="FE11" s="1620"/>
      <c r="FF11" s="1623"/>
      <c r="FG11" s="1620"/>
      <c r="FH11" s="2427"/>
      <c r="FI11" s="2427"/>
      <c r="FJ11" s="2427"/>
      <c r="FK11" s="2420"/>
      <c r="FL11"/>
      <c r="FM11"/>
      <c r="FN11"/>
      <c r="FO11"/>
      <c r="FP11"/>
      <c r="FQ11"/>
      <c r="FR11"/>
      <c r="FS11"/>
      <c r="FT11"/>
      <c r="FU11"/>
      <c r="FV11"/>
      <c r="FW11"/>
      <c r="FX11"/>
      <c r="FY11"/>
      <c r="FZ11"/>
      <c r="GA11"/>
      <c r="GB11"/>
      <c r="GC11"/>
      <c r="GD11"/>
      <c r="GE11"/>
      <c r="GF11"/>
      <c r="GG11"/>
      <c r="GH11" s="1257"/>
      <c r="GI11"/>
      <c r="GJ11" s="1257"/>
      <c r="GK11"/>
      <c r="GL11"/>
      <c r="GM11"/>
    </row>
    <row r="12" spans="2:195" ht="17.399999999999999">
      <c r="B12" s="1956" t="str">
        <f>Cover!D11</f>
      </c>
      <c r="FL12"/>
      <c r="FM12"/>
      <c r="FN12"/>
      <c r="FO12"/>
      <c r="FP12"/>
      <c r="FQ12"/>
      <c r="FR12"/>
      <c r="FS12"/>
      <c r="FT12"/>
      <c r="FU12"/>
      <c r="FV12"/>
      <c r="FW12"/>
      <c r="FX12"/>
      <c r="FY12"/>
      <c r="FZ12"/>
      <c r="GA12"/>
      <c r="GB12"/>
      <c r="GC12"/>
      <c r="GD12"/>
      <c r="GE12"/>
      <c r="GF12"/>
      <c r="GG12"/>
      <c r="GH12"/>
      <c r="GI12"/>
      <c r="GJ12"/>
      <c r="GK12" s="1257"/>
      <c r="GL12"/>
      <c r="GM12"/>
    </row>
    <row r="13" spans="2:195" ht="12.6">
      <c r="EZ13" s="408"/>
      <c r="FH13" s="2190"/>
      <c r="FI13" s="2190"/>
      <c r="FJ13" s="2190"/>
      <c r="FK13" s="2190"/>
      <c r="FL13"/>
      <c r="FM13"/>
      <c r="FN13"/>
      <c r="FO13"/>
      <c r="FP13"/>
      <c r="FQ13"/>
      <c r="FR13"/>
      <c r="FS13"/>
      <c r="FT13"/>
      <c r="FU13"/>
      <c r="FV13"/>
      <c r="FW13"/>
      <c r="FX13"/>
      <c r="FY13"/>
      <c r="FZ13"/>
      <c r="GA13"/>
      <c r="GB13"/>
      <c r="GC13"/>
      <c r="GD13"/>
      <c r="GE13"/>
      <c r="GF13"/>
      <c r="GG13"/>
      <c r="GH13"/>
      <c r="GI13"/>
      <c r="GJ13" s="1257"/>
      <c r="GK13"/>
      <c r="GL13"/>
      <c r="GM13"/>
    </row>
    <row r="14" spans="2:195" ht="13.2">
      <c r="B14" s="1957" t="s">
        <v>155</v>
      </c>
      <c r="FL14"/>
      <c r="FM14"/>
      <c r="FN14"/>
      <c r="FO14"/>
      <c r="FP14"/>
      <c r="FQ14"/>
      <c r="FR14"/>
      <c r="FS14"/>
      <c r="FT14"/>
      <c r="FU14"/>
      <c r="FV14"/>
      <c r="FW14"/>
      <c r="FX14"/>
      <c r="FY14"/>
      <c r="FZ14"/>
      <c r="GA14"/>
      <c r="GB14"/>
      <c r="GC14"/>
      <c r="GD14"/>
      <c r="GE14"/>
      <c r="GF14"/>
      <c r="GG14"/>
      <c r="GH14"/>
      <c r="GI14"/>
      <c r="GJ14"/>
      <c r="GK14"/>
      <c r="GL14"/>
      <c r="GM14"/>
    </row>
    <row r="15" spans="2:195" ht="13.2" thickBot="1">
      <c r="B15" s="1415"/>
      <c r="C15" s="1415"/>
      <c r="D15" s="1415"/>
      <c r="E15" s="1415"/>
      <c r="F15" s="1415"/>
      <c r="G15" s="1415"/>
      <c r="H15" s="1415"/>
      <c r="I15" s="1415"/>
      <c r="J15" s="1415"/>
      <c r="K15" s="1415"/>
      <c r="L15" s="1415"/>
      <c r="M15" s="1415"/>
      <c r="N15" s="1415"/>
      <c r="O15" s="1415"/>
      <c r="P15" s="1415"/>
      <c r="Q15" s="1415"/>
      <c r="R15" s="1415"/>
      <c r="S15" s="1415"/>
      <c r="T15" s="1415"/>
      <c r="U15" s="1415"/>
      <c r="V15" s="1415"/>
      <c r="W15" s="1415"/>
      <c r="X15" s="1415"/>
      <c r="Y15" s="1415"/>
      <c r="Z15" s="1415"/>
      <c r="AA15" s="1415"/>
      <c r="AB15" s="1415"/>
      <c r="AC15" s="1415"/>
      <c r="AD15" s="1415"/>
      <c r="AE15" s="1415"/>
      <c r="AF15" s="1415"/>
      <c r="AG15" s="1415"/>
      <c r="AH15" s="1415"/>
      <c r="AI15" s="1415"/>
      <c r="AJ15" s="1415"/>
      <c r="AK15" s="1415"/>
      <c r="AL15" s="1415"/>
      <c r="AM15" s="1415"/>
      <c r="AN15" s="1415"/>
      <c r="AO15" s="1415"/>
      <c r="AP15" s="1415"/>
      <c r="AQ15" s="1415"/>
      <c r="AR15" s="1415"/>
      <c r="AS15" s="1415"/>
      <c r="AT15" s="1415"/>
      <c r="AU15" s="1415"/>
      <c r="AV15" s="1415"/>
      <c r="AW15" s="1415"/>
      <c r="AX15" s="1415"/>
      <c r="AY15" s="1415"/>
      <c r="AZ15" s="1415"/>
      <c r="BA15" s="1415"/>
      <c r="BB15" s="1415"/>
      <c r="BC15" s="1415"/>
      <c r="BD15" s="1415"/>
      <c r="BE15" s="1415"/>
      <c r="BF15" s="1415"/>
      <c r="BG15" s="1415"/>
      <c r="BH15" s="1415"/>
      <c r="BI15" s="1415"/>
      <c r="BJ15" s="1415"/>
      <c r="BK15" s="1415"/>
      <c r="BL15" s="1415"/>
      <c r="BM15" s="1415"/>
      <c r="BN15" s="1415"/>
      <c r="BO15" s="1415"/>
      <c r="BP15" s="1415"/>
      <c r="BQ15" s="1415"/>
      <c r="BR15" s="1415"/>
      <c r="BS15" s="1415"/>
      <c r="BT15" s="1415"/>
      <c r="BU15" s="1415"/>
      <c r="BV15" s="1415"/>
      <c r="BW15" s="1415"/>
      <c r="BX15" s="1415"/>
      <c r="BY15" s="1415"/>
      <c r="BZ15" s="1415"/>
      <c r="CA15" s="1415"/>
      <c r="CB15" s="1415"/>
      <c r="CC15" s="1415"/>
      <c r="CD15" s="1415"/>
      <c r="CE15" s="1415"/>
      <c r="CF15" s="1415"/>
      <c r="CG15" s="1415"/>
      <c r="CH15" s="1415"/>
      <c r="CI15" s="1415"/>
      <c r="CJ15" s="1415"/>
      <c r="CK15" s="1415"/>
      <c r="CL15" s="1415"/>
      <c r="CM15" s="1415"/>
      <c r="CN15" s="1415"/>
      <c r="CO15" s="1415"/>
      <c r="CP15" s="1415"/>
      <c r="CQ15" s="1415"/>
      <c r="CR15" s="1415"/>
      <c r="CS15" s="1415"/>
      <c r="CT15" s="1415"/>
      <c r="CU15" s="1415"/>
      <c r="CV15" s="1415"/>
      <c r="CW15" s="1415"/>
      <c r="CX15" s="1415"/>
      <c r="CY15" s="1415"/>
      <c r="CZ15" s="1415"/>
      <c r="DA15" s="1415"/>
      <c r="DB15" s="1415"/>
      <c r="DC15" s="1415"/>
      <c r="DD15" s="1415"/>
      <c r="DE15" s="1415"/>
      <c r="DF15" s="1415"/>
      <c r="DG15" s="1415"/>
      <c r="DH15" s="1415"/>
      <c r="DI15" s="1415"/>
      <c r="DJ15" s="1415"/>
      <c r="DK15" s="1415"/>
      <c r="DL15" s="1415"/>
      <c r="DM15" s="1415"/>
      <c r="DN15" s="1415"/>
      <c r="DO15" s="1415"/>
      <c r="DP15" s="1415"/>
      <c r="DQ15" s="1415"/>
      <c r="DR15" s="1415"/>
      <c r="DS15" s="1415"/>
      <c r="DT15" s="1415"/>
      <c r="DU15" s="1415"/>
      <c r="DV15" s="1415"/>
      <c r="DW15" s="1415"/>
      <c r="DX15" s="1415"/>
      <c r="DY15" s="1415"/>
      <c r="DZ15" s="1415"/>
      <c r="EA15" s="1415"/>
      <c r="EB15" s="1415"/>
      <c r="EC15" s="1415"/>
      <c r="ED15" s="1415"/>
      <c r="EE15" s="1415"/>
      <c r="EF15" s="1415"/>
      <c r="EG15" s="1415"/>
      <c r="EH15" s="1415"/>
      <c r="EI15" s="1415"/>
      <c r="EJ15" s="1415"/>
      <c r="EK15" s="1415"/>
      <c r="EL15" s="1415"/>
      <c r="EM15" s="1415"/>
      <c r="EN15" s="1415"/>
      <c r="EO15" s="1415"/>
      <c r="EP15" s="1415"/>
      <c r="EQ15" s="1415"/>
      <c r="ER15" s="1415"/>
      <c r="ES15" s="1415"/>
      <c r="ET15" s="1415"/>
      <c r="EU15" s="1415"/>
      <c r="EV15" s="1415"/>
      <c r="EW15" s="1962"/>
      <c r="EX15" s="1962"/>
      <c r="EY15" s="1962"/>
      <c r="EZ15" s="1962"/>
      <c r="FA15" s="1962"/>
      <c r="FB15" s="3431"/>
      <c r="FL15"/>
      <c r="FM15"/>
      <c r="FN15"/>
      <c r="FO15"/>
      <c r="FP15"/>
      <c r="FQ15"/>
      <c r="FR15"/>
      <c r="FS15"/>
      <c r="FT15"/>
      <c r="FU15"/>
      <c r="FV15"/>
      <c r="FW15"/>
      <c r="FX15"/>
      <c r="FY15"/>
      <c r="FZ15"/>
      <c r="GA15"/>
      <c r="GB15"/>
      <c r="GC15"/>
      <c r="GD15"/>
      <c r="GE15" s="1483"/>
      <c r="GF15"/>
      <c r="GG15"/>
      <c r="GH15"/>
      <c r="GI15" s="3948"/>
      <c r="GJ15" s="3948"/>
      <c r="GK15" s="3948"/>
      <c r="GL15"/>
      <c r="GM15"/>
    </row>
    <row r="16" spans="2:195">
      <c r="B16" s="11" t="s">
        <v>792</v>
      </c>
      <c r="FB16" s="1045"/>
      <c r="FC16" s="2033"/>
      <c r="FD16" s="2033"/>
      <c r="FE16" s="2033"/>
      <c r="FF16" s="2033"/>
      <c r="FG16" s="3431"/>
      <c r="FH16" s="3431"/>
      <c r="FI16" s="3431"/>
      <c r="FJ16" s="3431"/>
      <c r="FK16" s="3431"/>
      <c r="FL16" s="3431"/>
      <c r="FM16" s="3431"/>
      <c r="FN16" s="3431"/>
      <c r="FO16" s="3431"/>
      <c r="FP16" s="3431"/>
      <c r="FQ16" s="3431"/>
      <c r="FR16" s="3431"/>
      <c r="FS16" s="3431"/>
      <c r="FT16" s="3431"/>
      <c r="FU16" s="3431"/>
      <c r="FV16" s="3431"/>
      <c r="FW16" s="3431"/>
      <c r="FX16" s="3431"/>
      <c r="FY16" s="3431"/>
      <c r="FZ16" s="3431"/>
      <c r="GA16" s="3431"/>
      <c r="GB16" s="3431"/>
      <c r="GC16" s="73"/>
      <c r="GD16" s="1045"/>
      <c r="GE16" s="73"/>
      <c r="GF16" s="3431"/>
      <c r="GG16" s="73"/>
      <c r="GH16" s="3947"/>
      <c r="GI16" s="73"/>
      <c r="GJ16" s="73"/>
      <c r="GK16" s="73"/>
      <c r="GL16" s="73"/>
      <c r="GM16" s="73"/>
    </row>
    <row r="17" spans="2:195">
      <c r="FB17" s="1045"/>
      <c r="FC17" s="1974"/>
      <c r="FD17" s="1974"/>
      <c r="FE17" s="1974"/>
      <c r="FF17" s="1974"/>
      <c r="FG17" s="1974"/>
      <c r="FH17" s="1974"/>
      <c r="FI17" s="1974"/>
      <c r="FJ17" s="1974"/>
      <c r="FK17" s="1974"/>
      <c r="FL17" s="1974"/>
      <c r="FM17" s="1974"/>
      <c r="FN17" s="1974"/>
      <c r="FO17" s="1974"/>
      <c r="FP17" s="1974"/>
      <c r="FQ17" s="1974"/>
      <c r="FR17" s="1974"/>
      <c r="FS17" s="1974"/>
      <c r="FT17" s="1974"/>
      <c r="FU17" s="1974"/>
      <c r="FV17" s="1974"/>
      <c r="FW17" s="1974"/>
      <c r="FX17" s="1974"/>
      <c r="FY17" s="1974"/>
      <c r="FZ17" s="1974"/>
      <c r="GA17" s="1974"/>
      <c r="GB17" s="1974"/>
      <c r="GC17" s="73"/>
      <c r="GD17" s="73"/>
      <c r="GE17" s="73"/>
      <c r="GF17" s="1974"/>
      <c r="GG17" s="73"/>
      <c r="GH17" s="73"/>
      <c r="GI17" s="73"/>
      <c r="GJ17" s="73"/>
      <c r="GK17" s="73"/>
      <c r="GL17" s="73"/>
      <c r="GM17" s="73"/>
    </row>
    <row r="18" spans="2:195" s="365" customFormat="1">
      <c r="B18" s="1174"/>
      <c r="D18" s="387"/>
      <c r="E18" s="387"/>
      <c r="F18" s="387"/>
      <c r="G18" s="387"/>
      <c r="H18" s="387"/>
      <c r="M18" s="387"/>
      <c r="R18" s="387"/>
      <c r="W18" s="387"/>
      <c r="AA18" s="388"/>
      <c r="AB18" s="387"/>
      <c r="AF18" s="388"/>
      <c r="AG18" s="387"/>
      <c r="AK18" s="388"/>
      <c r="AL18" s="387"/>
      <c r="AP18" s="388"/>
      <c r="AQ18" s="387"/>
      <c r="AT18" s="389"/>
      <c r="AU18" s="390"/>
      <c r="AW18" s="390"/>
      <c r="AX18" s="390"/>
      <c r="BA18" s="391"/>
      <c r="BF18" s="391"/>
      <c r="BK18" s="391"/>
      <c r="BP18" s="391"/>
      <c r="BU18" s="391"/>
      <c r="BZ18" s="391"/>
      <c r="CE18" s="391"/>
      <c r="CJ18" s="391"/>
      <c r="CO18" s="391"/>
      <c r="CT18" s="391"/>
      <c r="CY18" s="391"/>
      <c r="DA18" s="392"/>
      <c r="DB18" s="392"/>
      <c r="DC18" s="393"/>
      <c r="DD18" s="391"/>
      <c r="DE18" s="392"/>
      <c r="DF18" s="392"/>
      <c r="DG18" s="392"/>
      <c r="DH18" s="392"/>
      <c r="DI18" s="391"/>
      <c r="DJ18" s="392"/>
      <c r="DK18" s="639"/>
      <c r="DL18" s="639"/>
      <c r="DM18" s="639"/>
      <c r="DN18" s="639"/>
      <c r="DO18" s="639"/>
      <c r="DP18" s="639"/>
      <c r="DQ18" s="639"/>
      <c r="DR18" s="639"/>
      <c r="DS18" s="608"/>
      <c r="DT18" s="608"/>
      <c r="DU18" s="608"/>
      <c r="DV18" s="391"/>
      <c r="DW18" s="885"/>
      <c r="DX18" s="608"/>
      <c r="DY18" s="608"/>
      <c r="DZ18" s="608"/>
      <c r="EA18" s="608"/>
      <c r="EB18" s="391"/>
      <c r="EC18" s="391"/>
      <c r="ED18" s="391"/>
      <c r="EE18" s="391"/>
      <c r="EF18" s="391"/>
      <c r="EG18" s="391"/>
      <c r="EH18" s="391"/>
      <c r="EI18" s="399">
        <f>EI28/EM28</f>
      </c>
      <c r="EJ18" s="885"/>
      <c r="EK18" s="391"/>
      <c r="EL18" s="1269"/>
      <c r="EM18" s="1262"/>
      <c r="EN18" s="399"/>
      <c r="EO18" s="885"/>
      <c r="EP18" s="391"/>
      <c r="EQ18" s="391"/>
      <c r="ER18" s="608"/>
      <c r="ES18" s="399"/>
      <c r="ET18" s="608"/>
      <c r="EU18" s="1485"/>
      <c r="EV18" s="399"/>
      <c r="EW18" s="1624"/>
      <c r="EX18" s="1621"/>
      <c r="EY18" s="1621"/>
      <c r="EZ18" s="1621"/>
      <c r="FA18" s="1624"/>
      <c r="FB18" s="1625"/>
      <c r="FC18" s="2059"/>
      <c r="FD18" s="2059"/>
      <c r="FE18" s="2059"/>
      <c r="FF18" s="2059"/>
      <c r="FG18" s="3432"/>
      <c r="FH18" s="3432"/>
      <c r="FI18" s="3432"/>
      <c r="FJ18" s="3432"/>
      <c r="FK18" s="3432"/>
      <c r="FL18" s="3432"/>
      <c r="FM18" s="3432"/>
      <c r="FN18" s="3432"/>
      <c r="FO18" s="3432"/>
      <c r="FP18" s="3432"/>
      <c r="FQ18" s="3432"/>
      <c r="FR18" s="3432"/>
      <c r="FS18" s="3432"/>
      <c r="FT18" s="3432"/>
      <c r="FU18" s="3432"/>
      <c r="FV18" s="3432"/>
      <c r="FW18" s="3432"/>
      <c r="FX18" s="3432"/>
      <c r="FY18" s="3432"/>
      <c r="FZ18" s="3432"/>
      <c r="GA18" s="3432"/>
      <c r="GB18" s="3432"/>
      <c r="GC18" s="3777"/>
      <c r="GD18" s="3777"/>
      <c r="GE18" s="3447"/>
      <c r="GF18" s="3432"/>
      <c r="GG18" s="3447"/>
      <c r="GH18" s="3944"/>
      <c r="GI18" s="3944"/>
      <c r="GJ18" s="3944"/>
      <c r="GK18" s="3944"/>
      <c r="GL18" s="3431"/>
      <c r="GM18" s="3431"/>
    </row>
    <row r="19" spans="2:195" s="365" customFormat="1">
      <c r="B19" s="386"/>
      <c r="D19" s="387"/>
      <c r="E19" s="387"/>
      <c r="F19" s="387"/>
      <c r="G19" s="387"/>
      <c r="H19" s="387"/>
      <c r="M19" s="387"/>
      <c r="R19" s="387"/>
      <c r="W19" s="387"/>
      <c r="AA19" s="388"/>
      <c r="AB19" s="387"/>
      <c r="AF19" s="388"/>
      <c r="AG19" s="387"/>
      <c r="AK19" s="388"/>
      <c r="AL19" s="387"/>
      <c r="AP19" s="388"/>
      <c r="AQ19" s="655"/>
      <c r="AR19" s="656"/>
      <c r="AT19" s="389"/>
      <c r="AU19" s="390"/>
      <c r="AW19" s="390"/>
      <c r="AX19" s="390"/>
      <c r="BA19" s="394"/>
      <c r="BF19" s="394"/>
      <c r="BK19" s="394"/>
      <c r="BP19" s="394"/>
      <c r="BU19" s="394"/>
      <c r="BZ19" s="394"/>
      <c r="CE19" s="394"/>
      <c r="CJ19" s="394"/>
      <c r="CO19" s="394"/>
      <c r="CP19" s="395"/>
      <c r="CQ19" s="395"/>
      <c r="CR19" s="395"/>
      <c r="CS19" s="395"/>
      <c r="CT19" s="394"/>
      <c r="CU19" s="395"/>
      <c r="CV19" s="395"/>
      <c r="CW19" s="395"/>
      <c r="CX19" s="395"/>
      <c r="CY19" s="394"/>
      <c r="CZ19" s="395"/>
      <c r="DA19" s="396"/>
      <c r="DB19" s="396"/>
      <c r="DC19" s="397"/>
      <c r="DD19" s="394"/>
      <c r="DE19" s="396"/>
      <c r="DF19" s="396"/>
      <c r="DG19" s="396"/>
      <c r="DH19" s="396"/>
      <c r="DI19" s="394"/>
      <c r="DJ19" s="396"/>
      <c r="DK19" s="396"/>
      <c r="DL19" s="396"/>
      <c r="DM19" s="396"/>
      <c r="DN19" s="396"/>
      <c r="DO19" s="396"/>
      <c r="DP19" s="396"/>
      <c r="DQ19" s="396"/>
      <c r="DR19" s="396"/>
      <c r="DS19" s="396"/>
      <c r="DT19" s="832"/>
      <c r="DU19" s="832"/>
      <c r="DV19" s="832"/>
      <c r="DW19" s="1103"/>
      <c r="DX19" s="886"/>
      <c r="DY19" s="941">
        <v>312</v>
      </c>
      <c r="DZ19" s="832">
        <v>307</v>
      </c>
      <c r="EA19" s="832">
        <v>293</v>
      </c>
      <c r="EB19" s="939">
        <v>288</v>
      </c>
      <c r="EC19" s="394"/>
      <c r="ED19" s="1059"/>
      <c r="EE19" s="1059"/>
      <c r="EF19" s="1059"/>
      <c r="EG19" s="939"/>
      <c r="EH19" s="394"/>
      <c r="EI19" s="1059"/>
      <c r="EJ19" s="1059"/>
      <c r="EK19" s="1059"/>
      <c r="EL19" s="1059"/>
      <c r="EM19" s="394"/>
      <c r="EN19" s="1059"/>
      <c r="EO19" s="1059"/>
      <c r="EP19" s="1059"/>
      <c r="EQ19" s="1059"/>
      <c r="ER19" s="1256"/>
      <c r="ES19" s="1378"/>
      <c r="ET19" s="1461"/>
      <c r="EU19" s="1378"/>
      <c r="EV19" s="1378"/>
      <c r="EW19" s="1626"/>
      <c r="EX19" s="1621"/>
      <c r="EY19" s="1622"/>
      <c r="EZ19" s="1621"/>
      <c r="FA19" s="1627"/>
      <c r="FB19" s="1621"/>
      <c r="FC19" s="3434"/>
      <c r="FD19" s="3434"/>
      <c r="FE19" s="3434"/>
      <c r="FF19" s="3434"/>
      <c r="FG19" s="3434"/>
      <c r="FH19" s="3435"/>
      <c r="FI19" s="3435"/>
      <c r="FJ19" s="3435"/>
      <c r="FK19" s="3435"/>
      <c r="FL19" s="3435"/>
      <c r="FM19" s="3435"/>
      <c r="FN19" s="3435"/>
      <c r="FO19" s="3436" t="s">
        <v>836</v>
      </c>
      <c r="FP19" s="3437"/>
      <c r="FQ19" s="3437"/>
      <c r="FR19" s="3437"/>
      <c r="FS19" s="3438"/>
      <c r="FT19" s="3436"/>
      <c r="FU19" s="3439"/>
      <c r="FV19" s="3435"/>
      <c r="FW19" s="3435"/>
      <c r="FX19" s="3435"/>
      <c r="FY19" s="3435"/>
      <c r="FZ19" s="3435"/>
      <c r="GA19" s="3435"/>
      <c r="GB19" s="3435"/>
      <c r="GC19" s="3445"/>
      <c r="GD19" s="3564"/>
      <c r="GE19" s="3564"/>
      <c r="GF19" s="3435"/>
      <c r="GG19" s="3564"/>
      <c r="GH19" s="3608"/>
      <c r="GI19" s="2421"/>
      <c r="GJ19" s="2421"/>
      <c r="GK19" s="2421"/>
      <c r="GL19" s="2421"/>
      <c r="GM19" s="2421"/>
    </row>
    <row r="20" spans="2:195" s="19" customFormat="1">
      <c r="B20" s="404" t="s">
        <v>829</v>
      </c>
      <c r="C20" s="256" t="e">
        <f>+#REF!</f>
      </c>
      <c r="D20" s="228"/>
      <c r="E20" s="229">
        <v>1987</v>
      </c>
      <c r="F20" s="229">
        <v>1988</v>
      </c>
      <c r="G20" s="229">
        <v>1989</v>
      </c>
      <c r="H20" s="229">
        <v>1990</v>
      </c>
      <c r="I20" s="257" t="s">
        <v>451</v>
      </c>
      <c r="J20" s="258" t="s">
        <v>382</v>
      </c>
      <c r="K20" s="258" t="s">
        <v>383</v>
      </c>
      <c r="L20" s="259" t="s">
        <v>384</v>
      </c>
      <c r="M20" s="259">
        <v>1991</v>
      </c>
      <c r="N20" s="257" t="s">
        <v>449</v>
      </c>
      <c r="O20" s="258" t="s">
        <v>450</v>
      </c>
      <c r="P20" s="258" t="s">
        <v>385</v>
      </c>
      <c r="Q20" s="259" t="s">
        <v>386</v>
      </c>
      <c r="R20" s="259">
        <v>1992</v>
      </c>
      <c r="S20" s="257" t="s">
        <v>446</v>
      </c>
      <c r="T20" s="258" t="s">
        <v>447</v>
      </c>
      <c r="U20" s="258" t="s">
        <v>448</v>
      </c>
      <c r="V20" s="259" t="s">
        <v>196</v>
      </c>
      <c r="W20" s="259">
        <v>1993</v>
      </c>
      <c r="X20" s="257" t="s">
        <v>442</v>
      </c>
      <c r="Y20" s="258" t="s">
        <v>443</v>
      </c>
      <c r="Z20" s="258" t="s">
        <v>444</v>
      </c>
      <c r="AA20" s="259" t="s">
        <v>445</v>
      </c>
      <c r="AB20" s="259">
        <v>1994</v>
      </c>
      <c r="AC20" s="257" t="s">
        <v>438</v>
      </c>
      <c r="AD20" s="258" t="s">
        <v>439</v>
      </c>
      <c r="AE20" s="258" t="s">
        <v>440</v>
      </c>
      <c r="AF20" s="259" t="s">
        <v>441</v>
      </c>
      <c r="AG20" s="259">
        <v>1995</v>
      </c>
      <c r="AH20" s="257" t="s">
        <v>434</v>
      </c>
      <c r="AI20" s="258" t="s">
        <v>435</v>
      </c>
      <c r="AJ20" s="258" t="s">
        <v>436</v>
      </c>
      <c r="AK20" s="259" t="s">
        <v>437</v>
      </c>
      <c r="AL20" s="259">
        <v>1996</v>
      </c>
      <c r="AM20" s="257" t="s">
        <v>430</v>
      </c>
      <c r="AN20" s="258" t="s">
        <v>431</v>
      </c>
      <c r="AO20" s="258" t="s">
        <v>432</v>
      </c>
      <c r="AP20" s="259" t="s">
        <v>433</v>
      </c>
      <c r="AQ20" s="259">
        <v>1997</v>
      </c>
      <c r="AR20" s="257" t="s">
        <v>426</v>
      </c>
      <c r="AS20" s="258" t="s">
        <v>427</v>
      </c>
      <c r="AT20" s="258" t="s">
        <v>428</v>
      </c>
      <c r="AU20" s="259" t="s">
        <v>429</v>
      </c>
      <c r="AV20" s="256">
        <v>1998</v>
      </c>
      <c r="AW20" s="257" t="s">
        <v>159</v>
      </c>
      <c r="AX20" s="258" t="s">
        <v>160</v>
      </c>
      <c r="AY20" s="258" t="s">
        <v>161</v>
      </c>
      <c r="AZ20" s="259" t="s">
        <v>162</v>
      </c>
      <c r="BA20" s="258">
        <v>1999</v>
      </c>
      <c r="BB20" s="257" t="s">
        <v>163</v>
      </c>
      <c r="BC20" s="258" t="s">
        <v>164</v>
      </c>
      <c r="BD20" s="258" t="s">
        <v>165</v>
      </c>
      <c r="BE20" s="259" t="s">
        <v>166</v>
      </c>
      <c r="BF20" s="258">
        <v>2000</v>
      </c>
      <c r="BG20" s="257" t="s">
        <v>167</v>
      </c>
      <c r="BH20" s="258" t="s">
        <v>168</v>
      </c>
      <c r="BI20" s="258" t="s">
        <v>169</v>
      </c>
      <c r="BJ20" s="259" t="s">
        <v>170</v>
      </c>
      <c r="BK20" s="258">
        <v>2001</v>
      </c>
      <c r="BL20" s="257" t="s">
        <v>317</v>
      </c>
      <c r="BM20" s="258" t="s">
        <v>318</v>
      </c>
      <c r="BN20" s="258" t="s">
        <v>173</v>
      </c>
      <c r="BO20" s="259" t="s">
        <v>174</v>
      </c>
      <c r="BP20" s="258">
        <v>2002</v>
      </c>
      <c r="BQ20" s="257" t="s">
        <v>176</v>
      </c>
      <c r="BR20" s="258" t="s">
        <v>15</v>
      </c>
      <c r="BS20" s="258" t="s">
        <v>16</v>
      </c>
      <c r="BT20" s="259" t="s">
        <v>147</v>
      </c>
      <c r="BU20" s="258">
        <v>2003</v>
      </c>
      <c r="BV20" s="257" t="s">
        <v>267</v>
      </c>
      <c r="BW20" s="258" t="s">
        <v>392</v>
      </c>
      <c r="BX20" s="258" t="s">
        <v>46</v>
      </c>
      <c r="BY20" s="259" t="s">
        <v>47</v>
      </c>
      <c r="BZ20" s="258">
        <v>2004</v>
      </c>
      <c r="CA20" s="257" t="s">
        <v>12</v>
      </c>
      <c r="CB20" s="258" t="s">
        <v>42</v>
      </c>
      <c r="CC20" s="258" t="s">
        <v>190</v>
      </c>
      <c r="CD20" s="259" t="s">
        <v>357</v>
      </c>
      <c r="CE20" s="258">
        <v>2005</v>
      </c>
      <c r="CF20" s="257" t="s">
        <v>354</v>
      </c>
      <c r="CG20" s="258" t="s">
        <v>355</v>
      </c>
      <c r="CH20" s="258" t="s">
        <v>356</v>
      </c>
      <c r="CI20" s="259" t="s">
        <v>224</v>
      </c>
      <c r="CJ20" s="258">
        <v>2006</v>
      </c>
      <c r="CK20" s="257" t="s">
        <v>11</v>
      </c>
      <c r="CL20" s="258" t="s">
        <v>40</v>
      </c>
      <c r="CM20" s="258" t="s">
        <v>265</v>
      </c>
      <c r="CN20" s="259" t="s">
        <v>144</v>
      </c>
      <c r="CO20" s="258">
        <v>2007</v>
      </c>
      <c r="CP20" s="257" t="s">
        <v>145</v>
      </c>
      <c r="CQ20" s="258" t="s">
        <v>122</v>
      </c>
      <c r="CR20" s="258" t="s">
        <v>454</v>
      </c>
      <c r="CS20" s="259" t="s">
        <v>171</v>
      </c>
      <c r="CT20" s="258">
        <v>2008</v>
      </c>
      <c r="CU20" s="257" t="s">
        <v>275</v>
      </c>
      <c r="CV20" s="258" t="s">
        <v>274</v>
      </c>
      <c r="CW20" s="258" t="s">
        <v>140</v>
      </c>
      <c r="CX20" s="258" t="s">
        <v>141</v>
      </c>
      <c r="CY20" s="258">
        <v>2009</v>
      </c>
      <c r="CZ20" s="258" t="str">
        <f>+'Sales Model'!BH19</f>
      </c>
      <c r="DA20" s="258" t="str">
        <f>+'Sales Model'!BI19</f>
      </c>
      <c r="DB20" s="258" t="str">
        <f>+'Sales Model'!BJ19</f>
      </c>
      <c r="DC20" s="258" t="str">
        <f>+'Sales Model'!BK19</f>
      </c>
      <c r="DD20" s="256">
        <v>2010</v>
      </c>
      <c r="DE20" s="258" t="str">
        <f>+'Sales Model'!BM19</f>
      </c>
      <c r="DF20" s="258" t="str">
        <f>+'Sales Model'!BN19</f>
      </c>
      <c r="DG20" s="258" t="str">
        <f>+'Sales Model'!BO19</f>
      </c>
      <c r="DH20" s="258" t="str">
        <f>+'Sales Model'!BP19</f>
      </c>
      <c r="DI20" s="256">
        <v>2011</v>
      </c>
      <c r="DJ20" s="258" t="str">
        <f>+'Sales Model'!BR19</f>
      </c>
      <c r="DK20" s="258" t="str">
        <f>+'Sales Model'!BS19</f>
      </c>
      <c r="DL20" s="258" t="str">
        <f>+'Sales Model'!BT19</f>
      </c>
      <c r="DM20" s="258" t="str">
        <f>+'Sales Model'!BU19</f>
      </c>
      <c r="DN20" s="256">
        <v>2012</v>
      </c>
      <c r="DO20" s="258" t="s">
        <v>566</v>
      </c>
      <c r="DP20" s="258" t="s">
        <v>567</v>
      </c>
      <c r="DQ20" s="258" t="s">
        <v>568</v>
      </c>
      <c r="DR20" s="258" t="s">
        <v>571</v>
      </c>
      <c r="DS20" s="256">
        <v>2013</v>
      </c>
      <c r="DT20" s="258" t="s">
        <v>575</v>
      </c>
      <c r="DU20" s="258" t="s">
        <v>576</v>
      </c>
      <c r="DV20" s="258" t="s">
        <v>577</v>
      </c>
      <c r="DW20" s="258" t="s">
        <v>587</v>
      </c>
      <c r="DX20" s="256">
        <v>2014</v>
      </c>
      <c r="DY20" s="258" t="s">
        <v>588</v>
      </c>
      <c r="DZ20" s="258" t="s">
        <v>595</v>
      </c>
      <c r="EA20" s="258" t="s">
        <v>596</v>
      </c>
      <c r="EB20" s="258" t="s">
        <v>606</v>
      </c>
      <c r="EC20" s="256">
        <v>2015</v>
      </c>
      <c r="ED20" s="258" t="s">
        <v>609</v>
      </c>
      <c r="EE20" s="258" t="s">
        <v>613</v>
      </c>
      <c r="EF20" s="258" t="s">
        <v>614</v>
      </c>
      <c r="EG20" s="258" t="s">
        <v>620</v>
      </c>
      <c r="EH20" s="256">
        <v>2016</v>
      </c>
      <c r="EI20" s="258" t="s">
        <v>622</v>
      </c>
      <c r="EJ20" s="258" t="s">
        <v>623</v>
      </c>
      <c r="EK20" s="258" t="s">
        <v>629</v>
      </c>
      <c r="EL20" s="258" t="s">
        <v>635</v>
      </c>
      <c r="EM20" s="256">
        <v>2017</v>
      </c>
      <c r="EN20" s="258" t="s">
        <v>646</v>
      </c>
      <c r="EO20" s="258" t="s">
        <v>647</v>
      </c>
      <c r="EP20" s="258" t="s">
        <v>656</v>
      </c>
      <c r="EQ20" s="258" t="s">
        <v>665</v>
      </c>
      <c r="ER20" s="256">
        <v>2018</v>
      </c>
      <c r="ES20" s="258" t="s">
        <v>741</v>
      </c>
      <c r="ET20" s="1462" t="s">
        <v>746</v>
      </c>
      <c r="EU20" s="1462" t="s">
        <v>748</v>
      </c>
      <c r="EV20" s="258" t="s">
        <v>752</v>
      </c>
      <c r="EW20" s="256">
        <v>2019</v>
      </c>
      <c r="EX20" s="1547" t="s">
        <v>753</v>
      </c>
      <c r="EY20" s="1548" t="s">
        <v>754</v>
      </c>
      <c r="EZ20" s="1548" t="s">
        <v>766</v>
      </c>
      <c r="FA20" s="1548" t="s">
        <v>767</v>
      </c>
      <c r="FB20" s="1549">
        <v>2020</v>
      </c>
      <c r="FC20" s="1547" t="s">
        <v>768</v>
      </c>
      <c r="FD20" s="1548" t="s">
        <v>769</v>
      </c>
      <c r="FE20" s="1548" t="s">
        <v>770</v>
      </c>
      <c r="FF20" s="1548" t="s">
        <v>771</v>
      </c>
      <c r="FG20" s="1549">
        <v>2021</v>
      </c>
      <c r="FH20" s="1547" t="s">
        <v>799</v>
      </c>
      <c r="FI20" s="1548" t="s">
        <v>800</v>
      </c>
      <c r="FJ20" s="1548" t="s">
        <v>801</v>
      </c>
      <c r="FK20" s="1548" t="s">
        <v>802</v>
      </c>
      <c r="FL20" s="1549">
        <v>2022</v>
      </c>
      <c r="FM20" s="1547" t="s">
        <v>804</v>
      </c>
      <c r="FN20" s="1462" t="s">
        <v>805</v>
      </c>
      <c r="FO20" s="2882" t="s">
        <v>799</v>
      </c>
      <c r="FP20" s="2883" t="s">
        <v>800</v>
      </c>
      <c r="FQ20" s="2883" t="s">
        <v>801</v>
      </c>
      <c r="FR20" s="2883" t="s">
        <v>802</v>
      </c>
      <c r="FS20" s="2884">
        <v>2022</v>
      </c>
      <c r="FT20" s="2882" t="s">
        <v>804</v>
      </c>
      <c r="FU20" s="2885" t="s">
        <v>805</v>
      </c>
      <c r="FV20" s="1462" t="s">
        <v>806</v>
      </c>
      <c r="FW20" s="1462" t="s">
        <v>807</v>
      </c>
      <c r="FX20" s="1462">
        <v>2023</v>
      </c>
      <c r="FY20" s="1462" t="s">
        <v>877</v>
      </c>
      <c r="FZ20" s="1462" t="s">
        <v>878</v>
      </c>
      <c r="GA20" s="1462" t="s">
        <v>879</v>
      </c>
      <c r="GB20" s="1462" t="s">
        <v>880</v>
      </c>
      <c r="GC20" s="1462">
        <v>2024</v>
      </c>
      <c r="GD20" s="1462" t="s">
        <v>1051</v>
      </c>
      <c r="GE20" s="1462" t="s">
        <v>1107</v>
      </c>
      <c r="GF20" s="1462" t="s">
        <v>1108</v>
      </c>
      <c r="GG20" s="2106" t="s">
        <v>983</v>
      </c>
      <c r="GH20" s="260" t="s">
        <v>630</v>
      </c>
      <c r="GI20" s="260" t="s">
        <v>826</v>
      </c>
      <c r="GJ20" s="260" t="s">
        <v>827</v>
      </c>
      <c r="GK20" s="260" t="s">
        <v>901</v>
      </c>
      <c r="GL20" s="260" t="s">
        <v>907</v>
      </c>
      <c r="GM20" s="260" t="s">
        <v>910</v>
      </c>
    </row>
    <row r="21" spans="2:195" ht="4.5" customHeight="1">
      <c r="B21" s="20"/>
      <c r="BA21" s="214"/>
      <c r="BF21" s="214"/>
      <c r="BK21" s="214"/>
      <c r="BL21" s="684"/>
      <c r="BM21" s="684"/>
      <c r="BN21" s="684"/>
      <c r="BO21" s="684"/>
      <c r="BP21" s="214"/>
      <c r="BU21" s="214"/>
      <c r="BZ21" s="214"/>
      <c r="CE21" s="214"/>
      <c r="CJ21" s="214"/>
      <c r="CO21" s="214"/>
      <c r="CT21" s="214"/>
      <c r="CY21" s="214"/>
      <c r="DD21" s="214"/>
      <c r="DI21" s="214"/>
      <c r="DN21" s="214"/>
      <c r="DS21" s="214"/>
      <c r="DX21" s="214"/>
      <c r="EC21" s="214"/>
      <c r="EE21" s="946"/>
      <c r="EF21" s="946"/>
      <c r="EH21" s="214"/>
      <c r="EI21" s="946"/>
      <c r="EJ21" s="946"/>
      <c r="EK21" s="946"/>
      <c r="EL21" s="946"/>
      <c r="EM21" s="214"/>
      <c r="EN21" s="946"/>
      <c r="EO21" s="946"/>
      <c r="EP21" s="946"/>
      <c r="EQ21" s="946"/>
      <c r="ER21" s="214"/>
      <c r="ES21" s="20"/>
      <c r="EV21" s="79"/>
      <c r="EW21" s="1628"/>
      <c r="FA21" s="1629"/>
      <c r="FB21" s="1630"/>
      <c r="FC21" s="1631"/>
      <c r="FD21" s="1632"/>
      <c r="FE21" s="1632"/>
      <c r="FF21" s="1633"/>
      <c r="FG21" s="1629"/>
      <c r="FH21" s="2428"/>
      <c r="FI21" s="2429"/>
      <c r="FJ21" s="2429"/>
      <c r="FK21" s="2430"/>
      <c r="FL21" s="1971"/>
      <c r="FM21" s="2422"/>
      <c r="FN21" s="2797"/>
      <c r="FO21" s="2804"/>
      <c r="FP21" s="2805"/>
      <c r="FQ21" s="2805"/>
      <c r="FR21" s="2806"/>
      <c r="FS21" s="1971"/>
      <c r="FT21" s="2807"/>
      <c r="FU21" s="2808"/>
      <c r="FV21" s="3175"/>
      <c r="FW21" s="2424"/>
      <c r="FX21" s="1971"/>
      <c r="FY21" s="2423"/>
      <c r="FZ21" s="2423"/>
      <c r="GA21" s="2423"/>
      <c r="GB21" s="2424"/>
      <c r="GC21" s="1971"/>
      <c r="GD21" s="2423"/>
      <c r="GE21" s="2423"/>
      <c r="GF21" s="2423"/>
      <c r="GG21" s="1577"/>
      <c r="GH21" s="1971"/>
      <c r="GI21" s="1971"/>
      <c r="GJ21" s="1971"/>
      <c r="GK21" s="1971"/>
      <c r="GL21" s="1971"/>
      <c r="GM21" s="1971"/>
    </row>
    <row r="22" spans="2:195" ht="12.75" customHeight="1" outlineLevel="1">
      <c r="B22" s="20" t="s">
        <v>287</v>
      </c>
      <c r="E22" s="230">
        <v>4167</v>
      </c>
      <c r="F22" s="230">
        <v>4576</v>
      </c>
      <c r="G22" s="230">
        <v>4881</v>
      </c>
      <c r="H22" s="230" t="e">
        <f>#REF!</f>
      </c>
      <c r="I22" s="230" t="e">
        <f>#REF!</f>
      </c>
      <c r="J22" s="230" t="e">
        <f>#REF!</f>
      </c>
      <c r="K22" s="230" t="e">
        <f>#REF!</f>
      </c>
      <c r="L22" s="230"/>
      <c r="M22" s="230" t="e">
        <f>#REF!</f>
      </c>
      <c r="N22" s="230"/>
      <c r="O22" s="230"/>
      <c r="P22" s="230"/>
      <c r="Q22" s="6"/>
      <c r="R22" s="230" t="e">
        <f>#REF!</f>
      </c>
      <c r="S22" s="230" t="e">
        <f>#REF!</f>
      </c>
      <c r="T22" s="230" t="e">
        <f>#REF!</f>
      </c>
      <c r="U22" s="230" t="e">
        <f>#REF!</f>
      </c>
      <c r="V22" s="230" t="e">
        <f>#REF!</f>
      </c>
      <c r="W22" s="6" t="e">
        <f>S22+T22+U22+V22</f>
      </c>
      <c r="X22" s="230" t="e">
        <f>#REF!</f>
      </c>
      <c r="Y22" s="230" t="e">
        <f>#REF!</f>
      </c>
      <c r="Z22" s="230">
        <v>2002</v>
      </c>
      <c r="AA22" s="230">
        <v>2054</v>
      </c>
      <c r="AB22" s="230" t="e">
        <f>X22+Y22+Z22+AA22</f>
      </c>
      <c r="AC22" s="692">
        <v>2176</v>
      </c>
      <c r="AD22" s="692">
        <v>2230</v>
      </c>
      <c r="AE22" s="692">
        <v>2335</v>
      </c>
      <c r="AF22" s="692">
        <v>2449</v>
      </c>
      <c r="AG22" s="230">
        <f>AC22+AD22+AE22+AF22</f>
      </c>
      <c r="AH22" s="692">
        <v>2652</v>
      </c>
      <c r="AI22" s="692">
        <v>2637</v>
      </c>
      <c r="AJ22" s="692">
        <v>2790</v>
      </c>
      <c r="AK22" s="692">
        <v>2820</v>
      </c>
      <c r="AL22" s="692">
        <v>10899</v>
      </c>
      <c r="AM22" s="694">
        <v>2947</v>
      </c>
      <c r="AN22" s="692">
        <v>2881</v>
      </c>
      <c r="AO22" s="692">
        <v>2962</v>
      </c>
      <c r="AP22" s="692">
        <v>2967</v>
      </c>
      <c r="AQ22" s="692">
        <v>11757</v>
      </c>
      <c r="AR22" s="694">
        <v>3152</v>
      </c>
      <c r="AS22" s="694">
        <v>3093</v>
      </c>
      <c r="AT22" s="694">
        <v>3149</v>
      </c>
      <c r="AU22" s="694">
        <v>3492</v>
      </c>
      <c r="AV22" s="12">
        <f>'Sales Model'!D23</f>
      </c>
      <c r="AW22" s="12">
        <f>'Sales Model'!E23</f>
      </c>
      <c r="AX22" s="12">
        <f>'Sales Model'!F23</f>
      </c>
      <c r="AY22" s="12">
        <f>'Sales Model'!G23</f>
      </c>
      <c r="AZ22" s="12">
        <f>'Sales Model'!H23</f>
      </c>
      <c r="BA22" s="284">
        <f>'Sales Model'!I23</f>
      </c>
      <c r="BB22" s="9">
        <f>'Sales Model'!J23</f>
      </c>
      <c r="BC22" s="9">
        <f>'Sales Model'!K23</f>
      </c>
      <c r="BD22" s="9">
        <f>'Sales Model'!L23</f>
      </c>
      <c r="BE22" s="9">
        <f>'Sales Model'!M23</f>
      </c>
      <c r="BF22" s="284">
        <f>SUM(BB22:BE22)</f>
      </c>
      <c r="BG22" s="9">
        <f>'Sales Model'!O23</f>
      </c>
      <c r="BH22" s="9">
        <f>'Sales Model'!P23</f>
      </c>
      <c r="BI22" s="9">
        <f>'Sales Model'!Q23</f>
      </c>
      <c r="BJ22" s="9">
        <f>'Sales Model'!R23</f>
      </c>
      <c r="BK22" s="284">
        <f>SUM(BG22:BJ22)</f>
      </c>
      <c r="BL22" s="9">
        <f>'Sales Model'!T23</f>
      </c>
      <c r="BM22" s="9">
        <f>'Sales Model'!U23</f>
      </c>
      <c r="BN22" s="9">
        <f>'Sales Model'!V23</f>
      </c>
      <c r="BO22" s="9">
        <f>'Sales Model'!W23</f>
      </c>
      <c r="BP22" s="284">
        <f>SUM(BL22:BO22)</f>
      </c>
      <c r="BQ22" s="9">
        <f>'Sales Model'!Y23</f>
      </c>
      <c r="BR22" s="9">
        <f>'Sales Model'!Z23</f>
      </c>
      <c r="BS22" s="9">
        <f>'Sales Model'!AA23</f>
      </c>
      <c r="BT22" s="9">
        <f>'Sales Model'!AB23</f>
      </c>
      <c r="BU22" s="284">
        <f>SUM(BQ22:BT22)</f>
      </c>
      <c r="BV22" s="9">
        <f>'Sales Model'!AD23</f>
      </c>
      <c r="BW22" s="9">
        <f>'Sales Model'!AE23</f>
      </c>
      <c r="BX22" s="9">
        <f>'Sales Model'!AF23</f>
      </c>
      <c r="BY22" s="9">
        <f>'Sales Model'!AG23</f>
      </c>
      <c r="BZ22" s="284">
        <f>'Sales Model'!AH23</f>
      </c>
      <c r="CA22" s="9">
        <f>'Sales Model'!AI23</f>
      </c>
      <c r="CB22" s="9">
        <f>'Sales Model'!AJ23</f>
      </c>
      <c r="CC22" s="9">
        <f>'Sales Model'!AK23</f>
      </c>
      <c r="CD22" s="9">
        <f>'Sales Model'!AL23</f>
      </c>
      <c r="CE22" s="284">
        <f>'Sales Model'!AM23</f>
      </c>
      <c r="CF22" s="9">
        <f>'Sales Model'!AN23</f>
      </c>
      <c r="CG22" s="9">
        <f>'Sales Model'!AO23</f>
      </c>
      <c r="CH22" s="9">
        <f>'Sales Model'!AP23</f>
      </c>
      <c r="CI22" s="9">
        <f>'Sales Model'!AQ23</f>
      </c>
      <c r="CJ22" s="284">
        <f>'Sales Model'!AR23</f>
      </c>
      <c r="CK22" s="9">
        <f>'Sales Model'!AS23</f>
      </c>
      <c r="CL22" s="9">
        <f>'Sales Model'!AT23</f>
      </c>
      <c r="CM22" s="9">
        <f>'Sales Model'!AU23</f>
      </c>
      <c r="CN22" s="9">
        <f>'Sales Model'!AV23</f>
      </c>
      <c r="CO22" s="284">
        <f>'Sales Model'!AW23</f>
      </c>
      <c r="CP22" s="9">
        <f>'Sales Model'!AX23</f>
      </c>
      <c r="CQ22" s="9">
        <f>'Sales Model'!AY23</f>
      </c>
      <c r="CR22" s="9">
        <f>'Sales Model'!AZ23</f>
      </c>
      <c r="CS22" s="9">
        <f>'Sales Model'!BA23</f>
      </c>
      <c r="CT22" s="284">
        <f>'Sales Model'!BB23</f>
      </c>
      <c r="CU22" s="9">
        <f>'Sales Model'!BC23</f>
      </c>
      <c r="CV22" s="9">
        <f>'Sales Model'!BD23</f>
      </c>
      <c r="CW22" s="9">
        <f>'Sales Model'!BE23</f>
      </c>
      <c r="CX22" s="9">
        <f>'Sales Model'!BF23</f>
      </c>
      <c r="CY22" s="284">
        <f>'Sales Model'!BG23</f>
      </c>
      <c r="CZ22" s="9">
        <f>'Sales Model'!BH23</f>
      </c>
      <c r="DA22" s="9">
        <f>'Sales Model'!BI23</f>
      </c>
      <c r="DB22" s="9">
        <f>'Sales Model'!BJ23</f>
      </c>
      <c r="DC22" s="9">
        <f>'Sales Model'!BK23</f>
      </c>
      <c r="DD22" s="284">
        <f>SUM(CZ22,DA22,DB22,DC22)</f>
      </c>
      <c r="DE22" s="640">
        <f>'Sales Model'!BM23</f>
      </c>
      <c r="DF22" s="640">
        <v>7447</v>
      </c>
      <c r="DG22" s="640">
        <v>6868</v>
      </c>
      <c r="DH22" s="640">
        <v>6985</v>
      </c>
      <c r="DI22" s="284">
        <f>SUM(DE22:DH22)</f>
      </c>
      <c r="DJ22" s="640">
        <v>7219</v>
      </c>
      <c r="DK22" s="640">
        <v>7360</v>
      </c>
      <c r="DL22" s="640">
        <v>7791</v>
      </c>
      <c r="DM22" s="640">
        <v>7460</v>
      </c>
      <c r="DN22" s="284">
        <f>SUM(DJ22:DM22)</f>
      </c>
      <c r="DO22" s="640">
        <v>8025</v>
      </c>
      <c r="DP22" s="640">
        <v>7946</v>
      </c>
      <c r="DQ22" s="640">
        <v>7925</v>
      </c>
      <c r="DR22" s="640">
        <v>8014</v>
      </c>
      <c r="DS22" s="284">
        <f>SUM(DO22:DR22)</f>
      </c>
      <c r="DT22" s="640">
        <v>8204</v>
      </c>
      <c r="DU22" s="640">
        <v>9132</v>
      </c>
      <c r="DV22" s="640">
        <v>8842</v>
      </c>
      <c r="DW22" s="640">
        <v>8604</v>
      </c>
      <c r="DX22" s="284">
        <f>SUM(DT22:DW22)</f>
      </c>
      <c r="DY22" s="640">
        <v>8692</v>
      </c>
      <c r="DZ22" s="640">
        <v>8911</v>
      </c>
      <c r="EA22" s="640">
        <v>8791</v>
      </c>
      <c r="EB22" s="640">
        <v>9293</v>
      </c>
      <c r="EC22" s="284">
        <f>SUM(DY22:EB22)</f>
      </c>
      <c r="ED22" s="640">
        <v>9321</v>
      </c>
      <c r="EE22" s="640">
        <v>9572</v>
      </c>
      <c r="EF22" s="640">
        <v>9381</v>
      </c>
      <c r="EG22" s="640">
        <v>9537</v>
      </c>
      <c r="EH22" s="284">
        <f>SUM(ED22:EG22)</f>
      </c>
      <c r="EI22" s="640">
        <v>9378</v>
      </c>
      <c r="EJ22" s="640">
        <v>9726</v>
      </c>
      <c r="EK22" s="640">
        <v>10290</v>
      </c>
      <c r="EL22" s="640">
        <v>10469</v>
      </c>
      <c r="EM22" s="284">
        <f>SUM(EI22:EL22)</f>
      </c>
      <c r="EN22" s="640">
        <v>9951</v>
      </c>
      <c r="EO22" s="640">
        <v>10640</v>
      </c>
      <c r="EP22" s="1022">
        <f>+'Sales Model'!CX23</f>
      </c>
      <c r="EQ22" s="1022">
        <f>+'Sales Model'!CY23</f>
      </c>
      <c r="ER22" s="284">
        <f>SUM(EN22:EQ22)</f>
      </c>
      <c r="ES22" s="640">
        <v>10129</v>
      </c>
      <c r="ET22" s="640">
        <v>10403</v>
      </c>
      <c r="EU22" s="640">
        <v>10791</v>
      </c>
      <c r="EV22" s="640">
        <v>10774</v>
      </c>
      <c r="EW22" s="2895">
        <f>SUM(ES22:EV22)</f>
      </c>
      <c r="EX22" s="3071">
        <v>10699</v>
      </c>
      <c r="EY22" s="3071">
        <f>'Sales Model'!DG23</f>
      </c>
      <c r="EZ22" s="3071">
        <f>'Sales Model'!DH23</f>
      </c>
      <c r="FA22" s="2894">
        <f>'Sales Model'!DI23</f>
      </c>
      <c r="FB22" s="3072">
        <f>SUM(EX22:FA22)</f>
      </c>
      <c r="FC22" s="3073">
        <f>'Sales Model'!DK23</f>
      </c>
      <c r="FD22" s="2894">
        <f>'Sales Model'!DL23</f>
      </c>
      <c r="FE22" s="2894">
        <f>'Sales Model'!DM23</f>
      </c>
      <c r="FF22" s="3074">
        <f>'Sales Model'!DN23</f>
      </c>
      <c r="FG22" s="3072">
        <f>'Sales Model'!DO23</f>
      </c>
      <c r="FH22" s="3073">
        <f>'Sales Model'!DP23</f>
      </c>
      <c r="FI22" s="2894">
        <f>'Sales Model'!DQ23</f>
      </c>
      <c r="FJ22" s="2894">
        <f>'Sales Model'!DR23</f>
      </c>
      <c r="FK22" s="3074">
        <f>'Sales Model'!DS23</f>
      </c>
      <c r="FL22" s="2895">
        <f>'Sales Model'!DT23</f>
      </c>
      <c r="FM22" s="3073">
        <f>'Sales Model'!DU23</f>
      </c>
      <c r="FN22" s="2894">
        <f>'Sales Model'!DV23</f>
      </c>
      <c r="FO22" s="2818">
        <v>9857</v>
      </c>
      <c r="FP22" s="1674">
        <v>10510</v>
      </c>
      <c r="FQ22" s="1674">
        <v>10794</v>
      </c>
      <c r="FR22" s="2819">
        <v>10820</v>
      </c>
      <c r="FS22" s="2893">
        <v>41981</v>
      </c>
      <c r="FT22" s="2818">
        <v>10782.3</v>
      </c>
      <c r="FU22" s="2819">
        <v>11656.7</v>
      </c>
      <c r="FV22" s="2818">
        <v>11996</v>
      </c>
      <c r="FW22" s="2819">
        <v>12009</v>
      </c>
      <c r="FX22" s="2819">
        <v>46444</v>
      </c>
      <c r="FY22" s="1674">
        <v>11620</v>
      </c>
      <c r="FZ22" s="1674">
        <v>12569</v>
      </c>
      <c r="GA22" s="1674">
        <v>12909</v>
      </c>
      <c r="GB22" s="1674">
        <v>13204</v>
      </c>
      <c r="GC22" s="3446">
        <f>SUM(FY22:GB22)</f>
      </c>
      <c r="GD22" s="1674">
        <v>12305</v>
      </c>
      <c r="GE22" s="1674">
        <v>13544</v>
      </c>
      <c r="GF22" s="1674">
        <v>13708</v>
      </c>
      <c r="GG22" s="2894">
        <f>'Sales Model'!EH23</f>
      </c>
      <c r="GH22" s="2895">
        <f>'Sales Model'!EI23</f>
      </c>
      <c r="GI22" s="2895">
        <f>'Sales Model'!EJ23</f>
      </c>
      <c r="GJ22" s="2895">
        <f>'Sales Model'!EK23</f>
      </c>
      <c r="GK22" s="2895">
        <f>'Sales Model'!EL23</f>
      </c>
      <c r="GL22" s="2895">
        <f>'Sales Model'!EM23</f>
      </c>
      <c r="GM22" s="2895">
        <f>'Sales Model'!EN23</f>
      </c>
    </row>
    <row r="23" spans="2:195" ht="12.75" customHeight="1" outlineLevel="1">
      <c r="B23" s="20" t="s">
        <v>235</v>
      </c>
      <c r="E23" s="6">
        <v>3845</v>
      </c>
      <c r="F23" s="6">
        <v>4424</v>
      </c>
      <c r="G23" s="6">
        <v>4876</v>
      </c>
      <c r="H23" s="6" t="e">
        <f>#REF!</f>
      </c>
      <c r="I23" s="6" t="e">
        <f>#REF!</f>
      </c>
      <c r="J23" s="6" t="e">
        <f>#REF!</f>
      </c>
      <c r="K23" s="6" t="e">
        <f>#REF!</f>
      </c>
      <c r="L23" s="6" t="e">
        <f>#REF!</f>
      </c>
      <c r="M23" s="6" t="e">
        <f>#REF!</f>
      </c>
      <c r="N23" s="6" t="e">
        <f>#REF!</f>
      </c>
      <c r="O23" s="6" t="e">
        <f>#REF!</f>
      </c>
      <c r="P23" s="6" t="e">
        <f>#REF!</f>
      </c>
      <c r="Q23" s="6" t="e">
        <f>R23-N23-O23-P23</f>
      </c>
      <c r="R23" s="6" t="e">
        <f>#REF!</f>
      </c>
      <c r="S23" s="6" t="e">
        <f>#REF!</f>
      </c>
      <c r="T23" s="6" t="e">
        <f>#REF!</f>
      </c>
      <c r="U23" s="6" t="e">
        <f>#REF!</f>
      </c>
      <c r="V23" s="6">
        <v>125</v>
      </c>
      <c r="W23" s="6" t="e">
        <f>S23+T23+U23+V23</f>
      </c>
      <c r="X23" s="6" t="e">
        <f>#REF!</f>
      </c>
      <c r="Y23" s="6" t="e">
        <f>#REF!</f>
      </c>
      <c r="Z23" s="6">
        <v>2036</v>
      </c>
      <c r="AA23" s="6">
        <v>2036</v>
      </c>
      <c r="AB23" s="6" t="e">
        <f>X23+Y23+Z23+AA23</f>
      </c>
      <c r="AC23" s="695">
        <v>2320</v>
      </c>
      <c r="AD23" s="695">
        <v>2532</v>
      </c>
      <c r="AE23" s="695">
        <v>2403</v>
      </c>
      <c r="AF23" s="695">
        <v>2397</v>
      </c>
      <c r="AG23" s="6">
        <f>AC23+AD23+AE23+AF23</f>
      </c>
      <c r="AH23" s="695">
        <v>2682</v>
      </c>
      <c r="AI23" s="695">
        <v>2745</v>
      </c>
      <c r="AJ23" s="695">
        <v>2612</v>
      </c>
      <c r="AK23" s="695">
        <v>2682</v>
      </c>
      <c r="AL23" s="692">
        <v>10721</v>
      </c>
      <c r="AM23" s="688">
        <v>2768</v>
      </c>
      <c r="AN23" s="695">
        <v>2817</v>
      </c>
      <c r="AO23" s="695">
        <v>2624</v>
      </c>
      <c r="AP23" s="695">
        <v>2663</v>
      </c>
      <c r="AQ23" s="692">
        <v>10872</v>
      </c>
      <c r="AR23" s="688">
        <v>2688</v>
      </c>
      <c r="AS23" s="688">
        <v>2781</v>
      </c>
      <c r="AT23" s="688">
        <v>2662</v>
      </c>
      <c r="AU23" s="688">
        <v>2978</v>
      </c>
      <c r="AV23" s="12">
        <f>'Sales Model'!D24</f>
      </c>
      <c r="AW23" s="12">
        <f>'Sales Model'!E24</f>
      </c>
      <c r="AX23" s="12">
        <f>'Sales Model'!F24</f>
      </c>
      <c r="AY23" s="12">
        <f>'Sales Model'!G24</f>
      </c>
      <c r="AZ23" s="12">
        <f>'Sales Model'!H24</f>
      </c>
      <c r="BA23" s="284">
        <f>'Sales Model'!I24</f>
      </c>
      <c r="BB23" s="9">
        <f>'Sales Model'!J24</f>
      </c>
      <c r="BC23" s="9">
        <f>'Sales Model'!K24</f>
      </c>
      <c r="BD23" s="9">
        <f>'Sales Model'!L24</f>
      </c>
      <c r="BE23" s="9">
        <f>'Sales Model'!M24</f>
      </c>
      <c r="BF23" s="284">
        <f>SUM(BB23:BE23)</f>
      </c>
      <c r="BG23" s="9">
        <f>'Sales Model'!O24</f>
      </c>
      <c r="BH23" s="9">
        <f>'Sales Model'!P24</f>
      </c>
      <c r="BI23" s="9">
        <f>'Sales Model'!Q24</f>
      </c>
      <c r="BJ23" s="9">
        <f>'Sales Model'!R24</f>
      </c>
      <c r="BK23" s="284">
        <f>SUM(BG23:BJ23)</f>
      </c>
      <c r="BL23" s="9">
        <f>'Sales Model'!T24</f>
      </c>
      <c r="BM23" s="9">
        <f>'Sales Model'!U24</f>
      </c>
      <c r="BN23" s="9">
        <f>'Sales Model'!V24</f>
      </c>
      <c r="BO23" s="9">
        <f>'Sales Model'!W24</f>
      </c>
      <c r="BP23" s="284">
        <f>SUM(BL23:BO23)</f>
      </c>
      <c r="BQ23" s="9">
        <f>'Sales Model'!Y24</f>
      </c>
      <c r="BR23" s="9">
        <f>'Sales Model'!Z24</f>
      </c>
      <c r="BS23" s="9">
        <f>'Sales Model'!AA24</f>
      </c>
      <c r="BT23" s="9">
        <f>'Sales Model'!AB24</f>
      </c>
      <c r="BU23" s="284">
        <f>SUM(BQ23:BT23)</f>
      </c>
      <c r="BV23" s="9">
        <f>'Sales Model'!AD24</f>
      </c>
      <c r="BW23" s="9">
        <f>'Sales Model'!AE24</f>
      </c>
      <c r="BX23" s="9">
        <f>'Sales Model'!AF24</f>
      </c>
      <c r="BY23" s="9">
        <f>'Sales Model'!AG24</f>
      </c>
      <c r="BZ23" s="284">
        <f>'Sales Model'!AH24</f>
      </c>
      <c r="CA23" s="9">
        <f>'Sales Model'!AI24</f>
      </c>
      <c r="CB23" s="9">
        <f>'Sales Model'!AJ24</f>
      </c>
      <c r="CC23" s="9">
        <f>'Sales Model'!AK24</f>
      </c>
      <c r="CD23" s="9">
        <f>'Sales Model'!AL24</f>
      </c>
      <c r="CE23" s="284">
        <f>'Sales Model'!AM24</f>
      </c>
      <c r="CF23" s="9">
        <f>'Sales Model'!AN24</f>
      </c>
      <c r="CG23" s="9">
        <f>'Sales Model'!AO24</f>
      </c>
      <c r="CH23" s="9">
        <f>'Sales Model'!AP24</f>
      </c>
      <c r="CI23" s="9">
        <f>'Sales Model'!AQ24</f>
      </c>
      <c r="CJ23" s="284">
        <f>'Sales Model'!AR24</f>
      </c>
      <c r="CK23" s="9">
        <f>'Sales Model'!AS24</f>
      </c>
      <c r="CL23" s="9">
        <f>'Sales Model'!AT24</f>
      </c>
      <c r="CM23" s="9">
        <f>'Sales Model'!AU24</f>
      </c>
      <c r="CN23" s="9">
        <f>'Sales Model'!AV24</f>
      </c>
      <c r="CO23" s="284">
        <f>'Sales Model'!AW24</f>
      </c>
      <c r="CP23" s="9">
        <f>'Sales Model'!AX24</f>
      </c>
      <c r="CQ23" s="9">
        <f>'Sales Model'!AY24</f>
      </c>
      <c r="CR23" s="9">
        <f>'Sales Model'!AZ24</f>
      </c>
      <c r="CS23" s="9">
        <f>'Sales Model'!BA24</f>
      </c>
      <c r="CT23" s="284">
        <f>'Sales Model'!BB24</f>
      </c>
      <c r="CU23" s="9">
        <f>'Sales Model'!BC24</f>
      </c>
      <c r="CV23" s="9">
        <f>'Sales Model'!BD24</f>
      </c>
      <c r="CW23" s="9">
        <f>'Sales Model'!BE24</f>
      </c>
      <c r="CX23" s="9">
        <f>'Sales Model'!BF24</f>
      </c>
      <c r="CY23" s="284">
        <f>'Sales Model'!BG24</f>
      </c>
      <c r="CZ23" s="9">
        <f>'Sales Model'!BH24</f>
      </c>
      <c r="DA23" s="9">
        <f>'Sales Model'!BI24</f>
      </c>
      <c r="DB23" s="9">
        <f>'Sales Model'!BJ24</f>
      </c>
      <c r="DC23" s="9">
        <f>'Sales Model'!BK24</f>
      </c>
      <c r="DD23" s="284">
        <f>SUM(CZ23,DA23,DB23,DC23)</f>
      </c>
      <c r="DE23" s="640">
        <f>'Sales Model'!BM24</f>
      </c>
      <c r="DF23" s="640">
        <v>9150</v>
      </c>
      <c r="DG23" s="640">
        <v>9137</v>
      </c>
      <c r="DH23" s="640">
        <v>9270</v>
      </c>
      <c r="DI23" s="284">
        <f>SUM(DE23:DH23)</f>
      </c>
      <c r="DJ23" s="640">
        <v>8920</v>
      </c>
      <c r="DK23" s="640">
        <v>9115</v>
      </c>
      <c r="DL23" s="640">
        <v>9261</v>
      </c>
      <c r="DM23" s="640">
        <v>10098</v>
      </c>
      <c r="DN23" s="284">
        <f>SUM(DJ23:DM23)</f>
      </c>
      <c r="DO23" s="640">
        <v>9480</v>
      </c>
      <c r="DP23" s="640">
        <v>9931</v>
      </c>
      <c r="DQ23" s="640">
        <v>9650</v>
      </c>
      <c r="DR23" s="640">
        <v>10341</v>
      </c>
      <c r="DS23" s="284">
        <f>SUM(DO23:DR23)</f>
      </c>
      <c r="DT23" s="640">
        <v>9911</v>
      </c>
      <c r="DU23" s="640">
        <v>10363</v>
      </c>
      <c r="DV23" s="640">
        <v>9625</v>
      </c>
      <c r="DW23" s="640">
        <v>9650</v>
      </c>
      <c r="DX23" s="284">
        <f>SUM(DT23:DW23)</f>
      </c>
      <c r="DY23" s="640">
        <v>8682</v>
      </c>
      <c r="DZ23" s="640">
        <v>8876</v>
      </c>
      <c r="EA23" s="640">
        <v>8311</v>
      </c>
      <c r="EB23" s="640">
        <v>8518</v>
      </c>
      <c r="EC23" s="284">
        <f>SUM(DY23:EB23)</f>
      </c>
      <c r="ED23" s="640">
        <v>8161</v>
      </c>
      <c r="EE23" s="640">
        <v>8910</v>
      </c>
      <c r="EF23" s="640">
        <v>8439</v>
      </c>
      <c r="EG23" s="640">
        <v>8569</v>
      </c>
      <c r="EH23" s="284">
        <f>SUM(ED23:EG23)</f>
      </c>
      <c r="EI23" s="640">
        <v>8388</v>
      </c>
      <c r="EJ23" s="640">
        <v>9113</v>
      </c>
      <c r="EK23" s="640">
        <v>9360</v>
      </c>
      <c r="EL23" s="640">
        <v>9726</v>
      </c>
      <c r="EM23" s="284">
        <f>SUM(EI23:EL23)</f>
      </c>
      <c r="EN23" s="640">
        <v>10058</v>
      </c>
      <c r="EO23" s="640">
        <v>10190</v>
      </c>
      <c r="EP23" s="1022">
        <f>+'Sales Model'!CX24</f>
      </c>
      <c r="EQ23" s="1022">
        <f>+'Sales Model'!CY24</f>
      </c>
      <c r="ER23" s="284">
        <f>SUM(EN23:EQ23)</f>
      </c>
      <c r="ES23" s="640">
        <v>9892</v>
      </c>
      <c r="ET23" s="640">
        <v>10159</v>
      </c>
      <c r="EU23" s="640">
        <v>9938</v>
      </c>
      <c r="EV23" s="640">
        <v>9973</v>
      </c>
      <c r="EW23" s="2895">
        <f>SUM(ES23:EV23)</f>
      </c>
      <c r="EX23" s="3071">
        <v>9992</v>
      </c>
      <c r="EY23" s="3071">
        <f>'Sales Model'!DG24</f>
      </c>
      <c r="EZ23" s="3071">
        <f>'Sales Model'!DH24</f>
      </c>
      <c r="FA23" s="2894">
        <f>'Sales Model'!DI24</f>
      </c>
      <c r="FB23" s="3072">
        <f>SUM(EX23:FA23)</f>
      </c>
      <c r="FC23" s="3073">
        <f>'Sales Model'!DK24</f>
      </c>
      <c r="FD23" s="2894">
        <f>'Sales Model'!DL24</f>
      </c>
      <c r="FE23" s="2894">
        <f>'Sales Model'!DM24</f>
      </c>
      <c r="FF23" s="3074">
        <f>'Sales Model'!DN24</f>
      </c>
      <c r="FG23" s="3072">
        <f>'Sales Model'!DO24</f>
      </c>
      <c r="FH23" s="3073">
        <f>'Sales Model'!DP24</f>
      </c>
      <c r="FI23" s="2894">
        <f>'Sales Model'!DQ24</f>
      </c>
      <c r="FJ23" s="2894">
        <f>'Sales Model'!DR24</f>
      </c>
      <c r="FK23" s="3074">
        <f>'Sales Model'!DS24</f>
      </c>
      <c r="FL23" s="2895">
        <f>'Sales Model'!DT24</f>
      </c>
      <c r="FM23" s="3073">
        <f>'Sales Model'!DU24</f>
      </c>
      <c r="FN23" s="2894">
        <f>'Sales Model'!DV24</f>
      </c>
      <c r="FO23" s="2818">
        <v>9983</v>
      </c>
      <c r="FP23" s="1674">
        <v>9705</v>
      </c>
      <c r="FQ23" s="1674">
        <v>9202</v>
      </c>
      <c r="FR23" s="2819">
        <v>9119</v>
      </c>
      <c r="FS23" s="2893">
        <v>38009</v>
      </c>
      <c r="FT23" s="2818">
        <v>10112</v>
      </c>
      <c r="FU23" s="2819">
        <v>9862</v>
      </c>
      <c r="FV23" s="2818">
        <v>9355</v>
      </c>
      <c r="FW23" s="2819">
        <v>9386</v>
      </c>
      <c r="FX23" s="2819">
        <v>38715</v>
      </c>
      <c r="FY23" s="1674">
        <v>9763</v>
      </c>
      <c r="FZ23" s="1674">
        <v>9878</v>
      </c>
      <c r="GA23" s="1674">
        <v>9562</v>
      </c>
      <c r="GB23" s="1674">
        <v>9316</v>
      </c>
      <c r="GC23" s="3446">
        <f>SUM(FY23:GB23)</f>
      </c>
      <c r="GD23" s="1674">
        <v>9588</v>
      </c>
      <c r="GE23" s="1674">
        <v>10199</v>
      </c>
      <c r="GF23" s="1674">
        <v>10285</v>
      </c>
      <c r="GG23" s="2894">
        <f>'Sales Model'!EH24</f>
      </c>
      <c r="GH23" s="2895">
        <f>'Sales Model'!EI24</f>
      </c>
      <c r="GI23" s="2895">
        <f>'Sales Model'!EJ24</f>
      </c>
      <c r="GJ23" s="2895">
        <f>'Sales Model'!EK24</f>
      </c>
      <c r="GK23" s="2895">
        <f>'Sales Model'!EL24</f>
      </c>
      <c r="GL23" s="2895">
        <f>'Sales Model'!EM24</f>
      </c>
      <c r="GM23" s="2895">
        <f>'Sales Model'!EN24</f>
      </c>
    </row>
    <row r="24" spans="2:195" s="3" customFormat="1" ht="12.75" customHeight="1">
      <c r="B24" s="177" t="s">
        <v>13</v>
      </c>
      <c r="E24" s="231">
        <f t="shared" ref="E24:K24" si="10">SUM(E22:E23)</f>
      </c>
      <c r="F24" s="231">
        <f t="shared" si="10"/>
      </c>
      <c r="G24" s="231">
        <f t="shared" si="10"/>
      </c>
      <c r="H24" s="231" t="e">
        <f t="shared" si="10"/>
      </c>
      <c r="I24" s="231" t="e">
        <f t="shared" si="10"/>
      </c>
      <c r="J24" s="231" t="e">
        <f t="shared" si="10"/>
      </c>
      <c r="K24" s="231" t="e">
        <f t="shared" si="10"/>
      </c>
      <c r="L24" s="231">
        <v>1586</v>
      </c>
      <c r="M24" s="231" t="e">
        <f>M22+M23</f>
      </c>
      <c r="N24" s="231">
        <v>1668</v>
      </c>
      <c r="O24" s="231">
        <v>1767</v>
      </c>
      <c r="P24" s="231">
        <v>1733</v>
      </c>
      <c r="Q24" s="231">
        <v>1682</v>
      </c>
      <c r="R24" s="231" t="e">
        <f>R22+R23</f>
      </c>
      <c r="S24" s="9" t="e">
        <f>SUM(S22:S23)</f>
      </c>
      <c r="T24" s="231" t="e">
        <f>SUM(T22:T23)</f>
      </c>
      <c r="U24" s="231" t="e">
        <f>SUM(U22:U23)</f>
      </c>
      <c r="V24" s="231">
        <v>85</v>
      </c>
      <c r="W24" s="231" t="e">
        <f>W22+W23</f>
      </c>
      <c r="X24" s="9" t="e">
        <f>SUM(X22:X23)</f>
      </c>
      <c r="Y24" s="231" t="e">
        <f>SUM(Y22:Y23)</f>
      </c>
      <c r="Z24" s="231">
        <f>SUM(Z22:Z23)</f>
      </c>
      <c r="AA24" s="231">
        <f>SUM(AA22:AA23)</f>
      </c>
      <c r="AB24" s="231" t="e">
        <f>AB22+AB23</f>
      </c>
      <c r="AC24" s="231">
        <f>SUM(AC22:AC23)</f>
      </c>
      <c r="AD24" s="231">
        <f>SUM(AD22:AD23)</f>
      </c>
      <c r="AE24" s="231">
        <f>SUM(AE22:AE23)</f>
      </c>
      <c r="AF24" s="231">
        <f>SUM(AF22:AF23)</f>
      </c>
      <c r="AG24" s="231">
        <f>AG22+AG23</f>
      </c>
      <c r="AH24" s="231">
        <f>SUM(AH22:AH23)</f>
      </c>
      <c r="AI24" s="231">
        <f>SUM(AI22:AI23)</f>
      </c>
      <c r="AJ24" s="231">
        <f>SUM(AJ22:AJ23)</f>
      </c>
      <c r="AK24" s="231">
        <f>SUM(AK22:AK23)</f>
      </c>
      <c r="AL24" s="231">
        <f>AL22+AL23</f>
      </c>
      <c r="AM24" s="49">
        <f>SUM(AM22:AM23)</f>
      </c>
      <c r="AN24" s="231">
        <f>SUM(AN22:AN23)</f>
      </c>
      <c r="AO24" s="231">
        <f>SUM(AO22:AO23)</f>
      </c>
      <c r="AP24" s="231">
        <f>SUM(AP22:AP23)</f>
      </c>
      <c r="AQ24" s="231">
        <f>AQ22+AQ23</f>
      </c>
      <c r="AR24" s="49">
        <f>SUM(AR22:AR23)</f>
      </c>
      <c r="AS24" s="49">
        <f>SUM(AS22:AS23)</f>
      </c>
      <c r="AT24" s="49">
        <f>SUM(AT22:AT23)</f>
      </c>
      <c r="AU24" s="49">
        <f>SUM(AU22:AU23)</f>
      </c>
      <c r="AV24" s="231">
        <f>AV22+AV23</f>
      </c>
      <c r="AW24" s="49">
        <f>SUM(AW22:AW23)</f>
      </c>
      <c r="AX24" s="49">
        <f>SUM(AX22:AX23)</f>
      </c>
      <c r="AY24" s="49">
        <f>SUM(AY22:AY23)</f>
      </c>
      <c r="AZ24" s="49">
        <f>SUM(AZ22:AZ23)</f>
      </c>
      <c r="BA24" s="285">
        <f>BA23+BA22</f>
      </c>
      <c r="BB24" s="49">
        <f>BB22+BB23</f>
      </c>
      <c r="BC24" s="49">
        <f>BC22+BC23</f>
      </c>
      <c r="BD24" s="49">
        <f>BD22+BD23</f>
      </c>
      <c r="BE24" s="49">
        <f>BE22+BE23</f>
      </c>
      <c r="BF24" s="285">
        <f>BF23+BF22</f>
      </c>
      <c r="BG24" s="49">
        <f>BG22+BG23</f>
      </c>
      <c r="BH24" s="49">
        <f>BH22+BH23</f>
      </c>
      <c r="BI24" s="49">
        <f>BI22+BI23</f>
      </c>
      <c r="BJ24" s="49">
        <f>BJ22+BJ23</f>
      </c>
      <c r="BK24" s="285">
        <f>BK23+BK22</f>
      </c>
      <c r="BL24" s="49">
        <f>BL22+BL23</f>
      </c>
      <c r="BM24" s="49">
        <f>BM22+BM23</f>
      </c>
      <c r="BN24" s="49">
        <f>BN22+BN23</f>
      </c>
      <c r="BO24" s="49">
        <f>BO22+BO23</f>
      </c>
      <c r="BP24" s="285">
        <f>BP23+BP22</f>
      </c>
      <c r="BQ24" s="49">
        <f>BQ22+BQ23</f>
      </c>
      <c r="BR24" s="49">
        <f>BR22+BR23</f>
      </c>
      <c r="BS24" s="49">
        <f>BS22+BS23</f>
      </c>
      <c r="BT24" s="49">
        <f>BT22+BT23</f>
      </c>
      <c r="BU24" s="285">
        <f>BU23+BU22</f>
      </c>
      <c r="BV24" s="49">
        <f>BV22+BV23</f>
      </c>
      <c r="BW24" s="49">
        <f>BW22+BW23</f>
      </c>
      <c r="BX24" s="49">
        <f>BX22+BX23</f>
      </c>
      <c r="BY24" s="49">
        <f>BY22+BY23</f>
      </c>
      <c r="BZ24" s="285">
        <f>BZ23+BZ22</f>
      </c>
      <c r="CA24" s="49">
        <f>CA22+CA23</f>
      </c>
      <c r="CB24" s="49">
        <f>CB22+CB23</f>
      </c>
      <c r="CC24" s="49">
        <f>CC22+CC23</f>
      </c>
      <c r="CD24" s="49">
        <f>CD22+CD23</f>
      </c>
      <c r="CE24" s="285">
        <f>CE23+CE22</f>
      </c>
      <c r="CF24" s="49">
        <f>CF22+CF23</f>
      </c>
      <c r="CG24" s="49">
        <f>CG22+CG23</f>
      </c>
      <c r="CH24" s="49">
        <f>CH22+CH23</f>
      </c>
      <c r="CI24" s="49">
        <f>CI22+CI23</f>
      </c>
      <c r="CJ24" s="285">
        <f>CJ23+CJ22</f>
      </c>
      <c r="CK24" s="49">
        <f>CK22+CK23</f>
      </c>
      <c r="CL24" s="49">
        <f>CL22+CL23</f>
      </c>
      <c r="CM24" s="49">
        <f>CM22+CM23</f>
      </c>
      <c r="CN24" s="49">
        <f>CN22+CN23</f>
      </c>
      <c r="CO24" s="285">
        <f>CO23+CO22</f>
      </c>
      <c r="CP24" s="49">
        <f>CP22+CP23</f>
      </c>
      <c r="CQ24" s="49">
        <f>CQ22+CQ23</f>
      </c>
      <c r="CR24" s="49">
        <f>CR22+CR23</f>
      </c>
      <c r="CS24" s="49">
        <f>CS22+CS23</f>
      </c>
      <c r="CT24" s="285">
        <f>CT23+CT22</f>
      </c>
      <c r="CU24" s="49">
        <f>CU22+CU23</f>
      </c>
      <c r="CV24" s="49">
        <f>CV22+CV23</f>
      </c>
      <c r="CW24" s="49">
        <f>CW22+CW23</f>
      </c>
      <c r="CX24" s="49">
        <f>CX22+CX23</f>
      </c>
      <c r="CY24" s="285">
        <f>CY23+CY22</f>
      </c>
      <c r="CZ24" s="231">
        <f>CZ23+CZ22</f>
      </c>
      <c r="DA24" s="231">
        <f>DA23+DA22</f>
      </c>
      <c r="DB24" s="231">
        <f>DB23+DB22</f>
      </c>
      <c r="DC24" s="49">
        <f>DC22+DC23</f>
      </c>
      <c r="DD24" s="285">
        <f>DD23+DD22</f>
      </c>
      <c r="DE24" s="49">
        <f>DE22+DE23</f>
      </c>
      <c r="DF24" s="49">
        <f>DF22+DF23</f>
      </c>
      <c r="DG24" s="49">
        <f>DG22+DG23</f>
      </c>
      <c r="DH24" s="49">
        <f>DH22+DH23</f>
      </c>
      <c r="DI24" s="285">
        <f>SUM(DE24:DH24)</f>
      </c>
      <c r="DJ24" s="231">
        <f>DJ22+DJ23</f>
      </c>
      <c r="DK24" s="49">
        <f>DK22+DK23</f>
      </c>
      <c r="DL24" s="49">
        <f>DL22+DL23</f>
      </c>
      <c r="DM24" s="49">
        <f>DM22+DM23</f>
      </c>
      <c r="DN24" s="285">
        <f>DN23+DN22</f>
      </c>
      <c r="DO24" s="49">
        <f>DO22+DO23</f>
      </c>
      <c r="DP24" s="49">
        <f>DP22+DP23</f>
      </c>
      <c r="DQ24" s="49">
        <f>DQ22+DQ23</f>
      </c>
      <c r="DR24" s="49">
        <f>DR22+DR23</f>
      </c>
      <c r="DS24" s="285">
        <f>DS23+DS22</f>
      </c>
      <c r="DT24" s="49">
        <f>DT22+DT23</f>
      </c>
      <c r="DU24" s="49">
        <f>DU22+DU23</f>
      </c>
      <c r="DV24" s="49">
        <f>DV22+DV23</f>
      </c>
      <c r="DW24" s="49">
        <f>DW22+DW23</f>
      </c>
      <c r="DX24" s="285">
        <f>DX23+DX22</f>
      </c>
      <c r="DY24" s="49">
        <f>DY22+DY23</f>
      </c>
      <c r="DZ24" s="49">
        <f>DZ22+DZ23</f>
      </c>
      <c r="EA24" s="49">
        <f>EA22+EA23</f>
      </c>
      <c r="EB24" s="49">
        <f>EB22+EB23</f>
      </c>
      <c r="EC24" s="285">
        <f>EC23+EC22</f>
      </c>
      <c r="ED24" s="49">
        <f>ED22+ED23</f>
      </c>
      <c r="EE24" s="49">
        <f>EE22+EE23</f>
      </c>
      <c r="EF24" s="49">
        <f>EF22+EF23</f>
      </c>
      <c r="EG24" s="49">
        <f>EG22+EG23</f>
      </c>
      <c r="EH24" s="285">
        <f>EH23+EH22</f>
      </c>
      <c r="EI24" s="49">
        <f>EI22+EI23</f>
      </c>
      <c r="EJ24" s="49">
        <f>EJ22+EJ23</f>
      </c>
      <c r="EK24" s="49">
        <f>EK22+EK23</f>
      </c>
      <c r="EL24" s="49">
        <f>EL22+EL23</f>
      </c>
      <c r="EM24" s="285">
        <f>EM23+EM22</f>
      </c>
      <c r="EN24" s="49">
        <f>EN22+EN23</f>
      </c>
      <c r="EO24" s="49">
        <f>EO22+EO23</f>
      </c>
      <c r="EP24" s="49">
        <f>EP22+EP23</f>
      </c>
      <c r="EQ24" s="49">
        <f>EQ22+EQ23</f>
      </c>
      <c r="ER24" s="285">
        <f>ER23+ER22</f>
      </c>
      <c r="ES24" s="49">
        <f>ES22+ES23</f>
      </c>
      <c r="ET24" s="49">
        <f>ET22+ET23</f>
      </c>
      <c r="EU24" s="49">
        <f>EU22+EU23</f>
      </c>
      <c r="EV24" s="49">
        <f>EV22+EV23</f>
      </c>
      <c r="EW24" s="1639">
        <f>EW23+EW22</f>
      </c>
      <c r="EX24" s="1640">
        <f>EX22+EX23</f>
      </c>
      <c r="EY24" s="1640">
        <f>EY22+EY23</f>
      </c>
      <c r="EZ24" s="1640">
        <f>EZ22+EZ23</f>
      </c>
      <c r="FA24" s="1640">
        <f>FA22+FA23</f>
      </c>
      <c r="FB24" s="1641">
        <f>SUM(EX24:FA24)</f>
      </c>
      <c r="FC24" s="1642">
        <f>FC22+FC23</f>
      </c>
      <c r="FD24" s="1640">
        <f>FD22+FD23</f>
      </c>
      <c r="FE24" s="1640">
        <f>FE22+FE23</f>
      </c>
      <c r="FF24" s="1643">
        <f>FF22+FF23</f>
      </c>
      <c r="FG24" s="1641">
        <f>SUM(FC24:FF24)</f>
      </c>
      <c r="FH24" s="1642">
        <f>FH22+FH23</f>
      </c>
      <c r="FI24" s="1640">
        <f>FI22+FI23</f>
      </c>
      <c r="FJ24" s="1640">
        <f>FJ22+FJ23</f>
      </c>
      <c r="FK24" s="1643">
        <f>FK22+FK23</f>
      </c>
      <c r="FL24" s="1639">
        <f>SUM(FH24:FK24)</f>
      </c>
      <c r="FM24" s="1642">
        <f t="shared" ref="FM24:FR24" si="11">FM22+FM23</f>
      </c>
      <c r="FN24" s="1640">
        <f t="shared" si="11"/>
      </c>
      <c r="FO24" s="1642">
        <f t="shared" si="11"/>
      </c>
      <c r="FP24" s="1640">
        <f t="shared" si="11"/>
      </c>
      <c r="FQ24" s="1640">
        <f t="shared" si="11"/>
      </c>
      <c r="FR24" s="1643">
        <f t="shared" si="11"/>
      </c>
      <c r="FS24" s="1639">
        <f>SUM(FO24:FR24)</f>
      </c>
      <c r="FT24" s="1642">
        <f>FT22+FT23</f>
      </c>
      <c r="FU24" s="1643">
        <f>FU22+FU23</f>
      </c>
      <c r="FV24" s="1642">
        <f>FV22+FV23</f>
      </c>
      <c r="FW24" s="1643">
        <f>FW22+FW23</f>
      </c>
      <c r="FX24" s="1639">
        <f>FX23+FX22</f>
      </c>
      <c r="FY24" s="1640">
        <f>FY22+FY23</f>
      </c>
      <c r="FZ24" s="1640">
        <f>FZ22+FZ23</f>
      </c>
      <c r="GA24" s="1640">
        <f>GA22+GA23</f>
      </c>
      <c r="GB24" s="1643">
        <f>GB22+GB23</f>
      </c>
      <c r="GC24" s="1639">
        <f t="shared" ref="GC24:GL24" si="12">GC23+GC22</f>
      </c>
      <c r="GD24" s="1640">
        <f>GD22+GD23</f>
      </c>
      <c r="GE24" s="1640">
        <f>GE22+GE23</f>
      </c>
      <c r="GF24" s="1640">
        <f>GF22+GF23</f>
      </c>
      <c r="GG24" s="1643">
        <f>GG22+GG23</f>
      </c>
      <c r="GH24" s="1639">
        <f t="shared" si="12"/>
      </c>
      <c r="GI24" s="1639">
        <f t="shared" si="12"/>
      </c>
      <c r="GJ24" s="1639">
        <f t="shared" si="12"/>
      </c>
      <c r="GK24" s="1639">
        <f t="shared" si="12"/>
      </c>
      <c r="GL24" s="1639">
        <f t="shared" si="12"/>
      </c>
      <c r="GM24" s="1639">
        <f>GM23+GM22</f>
      </c>
    </row>
    <row r="25" spans="2:195" ht="9.9" customHeight="1">
      <c r="B25" s="20"/>
      <c r="BA25" s="214"/>
      <c r="BF25" s="214"/>
      <c r="BK25" s="214"/>
      <c r="BL25" s="684"/>
      <c r="BM25" s="684"/>
      <c r="BN25" s="684"/>
      <c r="BO25" s="684"/>
      <c r="BP25" s="214"/>
      <c r="BU25" s="214"/>
      <c r="BZ25" s="214"/>
      <c r="CE25" s="214"/>
      <c r="CJ25" s="214"/>
      <c r="CO25" s="214"/>
      <c r="CT25" s="214"/>
      <c r="CY25" s="214"/>
      <c r="DD25" s="214"/>
      <c r="DI25" s="214"/>
      <c r="DN25" s="214"/>
      <c r="DS25" s="214"/>
      <c r="DX25" s="214"/>
      <c r="EC25" s="214"/>
      <c r="EF25" s="946"/>
      <c r="EH25" s="214"/>
      <c r="EI25" s="946"/>
      <c r="EJ25" s="946"/>
      <c r="EK25" s="946"/>
      <c r="EL25" s="946"/>
      <c r="EM25" s="214"/>
      <c r="EN25" s="946"/>
      <c r="EO25" s="946"/>
      <c r="EP25" s="946"/>
      <c r="EQ25" s="946"/>
      <c r="ER25" s="214"/>
      <c r="ES25" s="946"/>
      <c r="ET25" s="946"/>
      <c r="EU25" s="946"/>
      <c r="EV25" s="946"/>
      <c r="EW25" s="1628"/>
      <c r="EX25" s="1045"/>
      <c r="EY25" s="1045"/>
      <c r="EZ25" s="1045"/>
      <c r="FA25" s="1045"/>
      <c r="FB25" s="1630"/>
      <c r="FC25" s="1630"/>
      <c r="FF25" s="1629"/>
      <c r="FG25" s="1630"/>
      <c r="FH25" s="1630"/>
      <c r="FI25" s="73"/>
      <c r="FJ25" s="73"/>
      <c r="FK25" s="1629"/>
      <c r="FL25" s="1628"/>
      <c r="FM25" s="2344"/>
      <c r="FN25" s="1045"/>
      <c r="FO25" s="1630"/>
      <c r="FP25" s="73"/>
      <c r="FQ25" s="73"/>
      <c r="FR25" s="1629"/>
      <c r="FS25" s="1628"/>
      <c r="FT25" s="2344"/>
      <c r="FU25" s="2051"/>
      <c r="FV25" s="2344"/>
      <c r="FW25" s="2051"/>
      <c r="FX25" s="1628"/>
      <c r="FY25" s="1045"/>
      <c r="FZ25" s="1045"/>
      <c r="GA25" s="1045"/>
      <c r="GB25" s="2855"/>
      <c r="GC25" s="2744"/>
      <c r="GD25" s="1045"/>
      <c r="GE25" s="1045"/>
      <c r="GF25" s="1045"/>
      <c r="GG25" s="2051"/>
      <c r="GH25" s="1628"/>
      <c r="GI25" s="1628"/>
      <c r="GJ25" s="1628"/>
      <c r="GK25" s="1628"/>
      <c r="GL25" s="1628"/>
      <c r="GM25" s="1628"/>
    </row>
    <row r="26" spans="2:195" ht="12.75" customHeight="1">
      <c r="B26" s="20" t="s">
        <v>236</v>
      </c>
      <c r="D26" s="684"/>
      <c r="E26" s="695">
        <v>2958</v>
      </c>
      <c r="F26" s="695">
        <v>3292</v>
      </c>
      <c r="G26" s="695">
        <v>3480</v>
      </c>
      <c r="H26" s="695">
        <v>3937</v>
      </c>
      <c r="I26" s="695">
        <v>1039</v>
      </c>
      <c r="J26" s="695">
        <v>984</v>
      </c>
      <c r="K26" s="695">
        <v>1079</v>
      </c>
      <c r="L26" s="695">
        <f>M26-SUM(I26:K26)</f>
      </c>
      <c r="M26" s="695">
        <v>4204</v>
      </c>
      <c r="N26" s="695">
        <v>1127</v>
      </c>
      <c r="O26" s="695">
        <v>1119</v>
      </c>
      <c r="P26" s="695">
        <v>1198</v>
      </c>
      <c r="Q26" s="695">
        <f>R26-N26-O26-P26</f>
      </c>
      <c r="R26" s="695">
        <v>4678</v>
      </c>
      <c r="S26" s="695">
        <v>1163</v>
      </c>
      <c r="T26" s="695">
        <v>1148</v>
      </c>
      <c r="U26" s="695">
        <v>1188</v>
      </c>
      <c r="V26" s="695">
        <v>1292</v>
      </c>
      <c r="W26" s="695">
        <f>S26+T26+U26+V26</f>
      </c>
      <c r="X26" s="695">
        <v>1181</v>
      </c>
      <c r="Y26" s="695">
        <v>1287</v>
      </c>
      <c r="Z26" s="695">
        <v>1364</v>
      </c>
      <c r="AA26" s="695">
        <v>1467</v>
      </c>
      <c r="AB26" s="695">
        <f>X26+Y26+Z26+AA26</f>
      </c>
      <c r="AC26" s="695">
        <v>1447</v>
      </c>
      <c r="AD26" s="695">
        <v>1562</v>
      </c>
      <c r="AE26" s="695">
        <v>1543</v>
      </c>
      <c r="AF26" s="695">
        <v>1683</v>
      </c>
      <c r="AG26" s="6">
        <f>AC26+AD26+AE26+AF26</f>
      </c>
      <c r="AH26" s="695">
        <v>1719</v>
      </c>
      <c r="AI26" s="695">
        <v>1732</v>
      </c>
      <c r="AJ26" s="696">
        <v>1715</v>
      </c>
      <c r="AK26" s="695">
        <v>1852</v>
      </c>
      <c r="AL26" s="695">
        <v>7018</v>
      </c>
      <c r="AM26" s="688">
        <v>1772</v>
      </c>
      <c r="AN26" s="688">
        <v>1749</v>
      </c>
      <c r="AO26" s="688">
        <v>1750</v>
      </c>
      <c r="AP26" s="688">
        <v>1881</v>
      </c>
      <c r="AQ26" s="695">
        <v>7152</v>
      </c>
      <c r="AR26" s="688">
        <v>1798</v>
      </c>
      <c r="AS26" s="688">
        <v>1827</v>
      </c>
      <c r="AT26" s="688">
        <v>1790</v>
      </c>
      <c r="AU26" s="688">
        <v>2189</v>
      </c>
      <c r="AV26" s="6">
        <v>7604</v>
      </c>
      <c r="AW26" s="688">
        <v>2070</v>
      </c>
      <c r="AX26" s="688">
        <v>2123</v>
      </c>
      <c r="AY26" s="688">
        <v>2068</v>
      </c>
      <c r="AZ26" s="688">
        <v>2181</v>
      </c>
      <c r="BA26" s="287">
        <f>SUM(AW26:AZ26)</f>
      </c>
      <c r="BB26" s="688">
        <v>2242</v>
      </c>
      <c r="BC26" s="688">
        <v>2261</v>
      </c>
      <c r="BD26" s="688">
        <v>2191</v>
      </c>
      <c r="BE26" s="688">
        <v>2214</v>
      </c>
      <c r="BF26" s="287">
        <f>SUM(BB26:BE26)</f>
      </c>
      <c r="BG26" s="688">
        <v>2311</v>
      </c>
      <c r="BH26" s="688">
        <v>2372</v>
      </c>
      <c r="BI26" s="688">
        <v>2396</v>
      </c>
      <c r="BJ26" s="688">
        <v>2502</v>
      </c>
      <c r="BK26" s="287">
        <f>SUM(BG26:BJ26)</f>
      </c>
      <c r="BL26" s="688">
        <v>2457</v>
      </c>
      <c r="BM26" s="688">
        <v>2582</v>
      </c>
      <c r="BN26" s="688">
        <v>2611</v>
      </c>
      <c r="BO26" s="688">
        <v>2797</v>
      </c>
      <c r="BP26" s="287">
        <f>SUM(BL26:BO26)</f>
      </c>
      <c r="BQ26" s="688">
        <v>2722</v>
      </c>
      <c r="BR26" s="688">
        <v>2966</v>
      </c>
      <c r="BS26" s="688">
        <v>2980</v>
      </c>
      <c r="BT26" s="688">
        <v>3508</v>
      </c>
      <c r="BU26" s="287">
        <f>SUM(BQ26:BT26)</f>
      </c>
      <c r="BV26" s="688">
        <v>3367</v>
      </c>
      <c r="BW26" s="688">
        <v>3162</v>
      </c>
      <c r="BX26" s="688">
        <v>3187</v>
      </c>
      <c r="BY26" s="688">
        <v>3706</v>
      </c>
      <c r="BZ26" s="287">
        <f>SUM(BV26:BY26)</f>
      </c>
      <c r="CA26" s="641">
        <v>3482</v>
      </c>
      <c r="CB26" s="641">
        <v>3508</v>
      </c>
      <c r="CC26" s="641">
        <v>3340</v>
      </c>
      <c r="CD26" s="688">
        <v>3624</v>
      </c>
      <c r="CE26" s="287">
        <f>SUM(CA26:CD26)</f>
      </c>
      <c r="CF26" s="641">
        <v>3612</v>
      </c>
      <c r="CG26" s="641">
        <v>3788</v>
      </c>
      <c r="CH26" s="641">
        <v>3650</v>
      </c>
      <c r="CI26" s="688">
        <v>4007</v>
      </c>
      <c r="CJ26" s="287">
        <f>+SUM(CF26:CI26)</f>
      </c>
      <c r="CK26" s="688">
        <v>4385</v>
      </c>
      <c r="CL26" s="641">
        <v>4358</v>
      </c>
      <c r="CM26" s="641">
        <v>4274</v>
      </c>
      <c r="CN26" s="688">
        <v>4734</v>
      </c>
      <c r="CO26" s="287">
        <f>+SUM(CK26:CN26)</f>
      </c>
      <c r="CP26" s="232">
        <v>4614</v>
      </c>
      <c r="CQ26" s="232">
        <v>4751</v>
      </c>
      <c r="CR26" s="232">
        <v>4774</v>
      </c>
      <c r="CS26" s="14">
        <v>4372</v>
      </c>
      <c r="CT26" s="287">
        <f>SUM(CP26:CS26)</f>
      </c>
      <c r="CU26" s="232">
        <v>4251</v>
      </c>
      <c r="CV26" s="232">
        <v>4450</v>
      </c>
      <c r="CW26" s="232">
        <v>4434</v>
      </c>
      <c r="CX26" s="14">
        <f>5312-113</f>
      </c>
      <c r="CY26" s="287">
        <f>SUM(CU26:CX26)</f>
      </c>
      <c r="CZ26" s="232">
        <f>4528</f>
      </c>
      <c r="DA26" s="232">
        <v>4630</v>
      </c>
      <c r="DB26" s="232">
        <v>4594</v>
      </c>
      <c r="DC26" s="232">
        <v>5040</v>
      </c>
      <c r="DD26" s="287">
        <f>SUM(CZ26:DC26)</f>
      </c>
      <c r="DE26" s="641">
        <v>4778</v>
      </c>
      <c r="DF26" s="641">
        <v>5172</v>
      </c>
      <c r="DG26" s="641">
        <v>5072</v>
      </c>
      <c r="DH26" s="641">
        <v>5338</v>
      </c>
      <c r="DI26" s="287">
        <f>SUM(DE26:DH26)</f>
      </c>
      <c r="DJ26" s="641">
        <v>4915</v>
      </c>
      <c r="DK26" s="641">
        <v>5143</v>
      </c>
      <c r="DL26" s="641">
        <f>5597-165</f>
      </c>
      <c r="DM26" s="641">
        <f>6003-221</f>
      </c>
      <c r="DN26" s="287">
        <f>SUM(DJ26:DM26)</f>
      </c>
      <c r="DO26" s="641">
        <f>5554-147</f>
      </c>
      <c r="DP26" s="641">
        <v>5489</v>
      </c>
      <c r="DQ26" s="641">
        <v>5344</v>
      </c>
      <c r="DR26" s="641">
        <v>5955</v>
      </c>
      <c r="DS26" s="287">
        <f>SUM(DO26:DR26)</f>
      </c>
      <c r="DT26" s="641">
        <f>5455-351</f>
      </c>
      <c r="DU26" s="641">
        <f>6039-348</f>
      </c>
      <c r="DV26" s="641">
        <f>5399-334</f>
      </c>
      <c r="DW26" s="641">
        <f>5853-344</f>
      </c>
      <c r="DX26" s="287">
        <f>SUM(DT26:DW26)</f>
      </c>
      <c r="DY26" s="641">
        <f>5282-312</f>
      </c>
      <c r="DZ26" s="641">
        <f>5357-307</f>
      </c>
      <c r="EA26" s="641">
        <f>5224-293</f>
      </c>
      <c r="EB26" s="641">
        <f>5673-288</f>
      </c>
      <c r="EC26" s="287">
        <f>SUM(DY26:EB26)</f>
      </c>
      <c r="ED26" s="641">
        <f>5329-282</f>
      </c>
      <c r="EE26" s="641">
        <f>5336-326</f>
      </c>
      <c r="EF26" s="641">
        <f>5486-319</f>
      </c>
      <c r="EG26" s="641">
        <f>5534-344</f>
      </c>
      <c r="EH26" s="287">
        <f>SUM(ED26:EG26)</f>
      </c>
      <c r="EI26" s="641">
        <v>5057</v>
      </c>
      <c r="EJ26" s="641">
        <f>5823-370</f>
      </c>
      <c r="EK26" s="641">
        <v>5463</v>
      </c>
      <c r="EL26" s="641">
        <v>5943</v>
      </c>
      <c r="EM26" s="287">
        <f>SUM(EI26:EL26)</f>
      </c>
      <c r="EN26" s="641">
        <v>5416</v>
      </c>
      <c r="EO26" s="641">
        <v>5768</v>
      </c>
      <c r="EP26" s="641">
        <v>5481</v>
      </c>
      <c r="EQ26" s="641">
        <v>5856</v>
      </c>
      <c r="ER26" s="287">
        <f>SUM(EN26:EQ26)</f>
      </c>
      <c r="ES26" s="641">
        <v>5462</v>
      </c>
      <c r="ET26" s="641">
        <v>5822</v>
      </c>
      <c r="EU26" s="641">
        <v>5709</v>
      </c>
      <c r="EV26" s="641">
        <v>5940</v>
      </c>
      <c r="EW26" s="1644">
        <f>SUM(ES26:EV26)</f>
      </c>
      <c r="EX26" s="1645">
        <v>5915</v>
      </c>
      <c r="EY26" s="1645">
        <v>5422</v>
      </c>
      <c r="EZ26" s="1645">
        <v>5741</v>
      </c>
      <c r="FA26" s="1645">
        <v>6550</v>
      </c>
      <c r="FB26" s="1644">
        <f>SUM(EX26:FA26)</f>
      </c>
      <c r="FC26" s="1646">
        <v>5804</v>
      </c>
      <c r="FD26" s="1646">
        <v>6345</v>
      </c>
      <c r="FE26" s="1646">
        <v>6077</v>
      </c>
      <c r="FF26" s="1645">
        <v>6797</v>
      </c>
      <c r="FG26" s="1644">
        <f>SUM(FC26:FF26)</f>
      </c>
      <c r="FH26" s="1646">
        <v>6452</v>
      </c>
      <c r="FI26" s="1646">
        <v>6600</v>
      </c>
      <c r="FJ26" s="1646">
        <v>6622</v>
      </c>
      <c r="FK26" s="1645">
        <v>6472</v>
      </c>
      <c r="FL26" s="1644">
        <f>SUM(FH26:FK26)</f>
      </c>
      <c r="FM26" s="1646">
        <v>6954</v>
      </c>
      <c r="FN26" s="1646">
        <v>6991</v>
      </c>
      <c r="FO26" s="1662">
        <v>4968</v>
      </c>
      <c r="FP26" s="1646">
        <v>5094</v>
      </c>
      <c r="FQ26" s="1646">
        <v>5074</v>
      </c>
      <c r="FR26" s="1645">
        <v>4889</v>
      </c>
      <c r="FS26" s="1690">
        <f>SUM(FO26:FR26)</f>
      </c>
      <c r="FT26" s="1646">
        <v>5340</v>
      </c>
      <c r="FU26" s="2809">
        <v>5336</v>
      </c>
      <c r="FV26" s="1662">
        <v>5205</v>
      </c>
      <c r="FW26" s="2809">
        <v>5530</v>
      </c>
      <c r="FX26" s="1690">
        <v>21411</v>
      </c>
      <c r="FY26" s="1646">
        <v>5404</v>
      </c>
      <c r="FZ26" s="1646">
        <v>5677</v>
      </c>
      <c r="GA26" s="1646">
        <v>5612</v>
      </c>
      <c r="GB26" s="1646">
        <v>5775</v>
      </c>
      <c r="GC26" s="3348">
        <f>SUM(FY26:GB26)</f>
      </c>
      <c r="GD26" s="1646">
        <v>6177</v>
      </c>
      <c r="GE26" s="1646">
        <v>6334</v>
      </c>
      <c r="GF26" s="1646">
        <v>6231</v>
      </c>
      <c r="GG26" s="2614">
        <f t="shared" ref="GG26" si="13">GG24*(1-GG65)</f>
      </c>
      <c r="GH26" s="1644">
        <f>SUM(GD26:GG26)</f>
      </c>
      <c r="GI26" s="1644">
        <f t="shared" ref="GI26:GL26" si="14">GI24*(1-GI65)</f>
      </c>
      <c r="GJ26" s="1644">
        <f t="shared" si="14"/>
      </c>
      <c r="GK26" s="1644">
        <f t="shared" si="14"/>
      </c>
      <c r="GL26" s="1644">
        <f t="shared" si="14"/>
      </c>
      <c r="GM26" s="1644">
        <f>GM24*(1-GM65)</f>
      </c>
    </row>
    <row r="27" spans="2:195" ht="12.75" customHeight="1">
      <c r="B27" s="20" t="s">
        <v>32</v>
      </c>
      <c r="D27" s="684"/>
      <c r="E27" s="695">
        <v>3228</v>
      </c>
      <c r="F27" s="695">
        <v>3630</v>
      </c>
      <c r="G27" s="695">
        <v>3897</v>
      </c>
      <c r="H27" s="695">
        <v>4469</v>
      </c>
      <c r="I27" s="695">
        <v>1269</v>
      </c>
      <c r="J27" s="695">
        <v>1216</v>
      </c>
      <c r="K27" s="695">
        <v>1272</v>
      </c>
      <c r="L27" s="695">
        <f>M27-SUM(I27:K27)</f>
      </c>
      <c r="M27" s="695">
        <v>5099</v>
      </c>
      <c r="N27" s="695">
        <v>1355</v>
      </c>
      <c r="O27" s="695">
        <v>1389</v>
      </c>
      <c r="P27" s="695">
        <v>1431</v>
      </c>
      <c r="Q27" s="695">
        <f>R27-N27-O27-P27</f>
      </c>
      <c r="R27" s="695">
        <v>5671</v>
      </c>
      <c r="S27" s="695">
        <v>1436</v>
      </c>
      <c r="T27" s="695">
        <v>1432</v>
      </c>
      <c r="U27" s="695">
        <v>1445</v>
      </c>
      <c r="V27" s="695">
        <v>742</v>
      </c>
      <c r="W27" s="695">
        <f>S27+T27+U27+V27</f>
      </c>
      <c r="X27" s="695">
        <v>1480</v>
      </c>
      <c r="Y27" s="695">
        <v>1558</v>
      </c>
      <c r="Z27" s="695">
        <v>1601</v>
      </c>
      <c r="AA27" s="695">
        <v>1711</v>
      </c>
      <c r="AB27" s="695">
        <f>X27+Y27+Z27+AA27</f>
      </c>
      <c r="AC27" s="695">
        <v>1720</v>
      </c>
      <c r="AD27" s="695">
        <v>1857</v>
      </c>
      <c r="AE27" s="695">
        <v>1857</v>
      </c>
      <c r="AF27" s="695">
        <v>2028</v>
      </c>
      <c r="AG27" s="6">
        <f>AC27+AD27+AE27+AF27</f>
      </c>
      <c r="AH27" s="695">
        <v>1996</v>
      </c>
      <c r="AI27" s="695">
        <v>2027</v>
      </c>
      <c r="AJ27" s="696">
        <v>2092</v>
      </c>
      <c r="AK27" s="695">
        <v>2279</v>
      </c>
      <c r="AL27" s="695">
        <v>8394</v>
      </c>
      <c r="AM27" s="688">
        <v>2138</v>
      </c>
      <c r="AN27" s="688">
        <v>2142</v>
      </c>
      <c r="AO27" s="688">
        <v>2149</v>
      </c>
      <c r="AP27" s="688">
        <v>2286</v>
      </c>
      <c r="AQ27" s="695">
        <v>8715</v>
      </c>
      <c r="AR27" s="688">
        <v>2116</v>
      </c>
      <c r="AS27" s="688">
        <v>2140</v>
      </c>
      <c r="AT27" s="688">
        <v>2187</v>
      </c>
      <c r="AU27" s="688">
        <v>2584</v>
      </c>
      <c r="AV27" s="6">
        <f>SUM(AR27:AU27)</f>
      </c>
      <c r="AW27" s="688">
        <v>2437</v>
      </c>
      <c r="AX27" s="688">
        <v>2588</v>
      </c>
      <c r="AY27" s="688">
        <v>2617</v>
      </c>
      <c r="AZ27" s="688">
        <v>2861</v>
      </c>
      <c r="BA27" s="287">
        <f>SUM(AW27:AZ27)</f>
      </c>
      <c r="BB27" s="688">
        <v>2679</v>
      </c>
      <c r="BC27" s="688">
        <v>2829</v>
      </c>
      <c r="BD27" s="688">
        <v>2767</v>
      </c>
      <c r="BE27" s="688">
        <v>2943</v>
      </c>
      <c r="BF27" s="287">
        <f>SUM(BB27:BE27)</f>
      </c>
      <c r="BG27" s="688">
        <v>2666</v>
      </c>
      <c r="BH27" s="688">
        <v>2802</v>
      </c>
      <c r="BI27" s="688">
        <v>2703</v>
      </c>
      <c r="BJ27" s="688">
        <v>3089</v>
      </c>
      <c r="BK27" s="287">
        <f>SUM(BG27:BJ27)</f>
      </c>
      <c r="BL27" s="688">
        <v>2843</v>
      </c>
      <c r="BM27" s="688">
        <v>3017</v>
      </c>
      <c r="BN27" s="688">
        <v>3006</v>
      </c>
      <c r="BO27" s="688">
        <v>3350</v>
      </c>
      <c r="BP27" s="287">
        <f>SUM(BL27:BO27)</f>
      </c>
      <c r="BQ27" s="688">
        <v>3253</v>
      </c>
      <c r="BR27" s="688">
        <v>3396</v>
      </c>
      <c r="BS27" s="688">
        <v>3428</v>
      </c>
      <c r="BT27" s="688">
        <v>4054</v>
      </c>
      <c r="BU27" s="287">
        <f>SUM(BQ27:BT27)</f>
      </c>
      <c r="BV27" s="688">
        <v>3640</v>
      </c>
      <c r="BW27" s="688">
        <v>3711</v>
      </c>
      <c r="BX27" s="688">
        <v>3854</v>
      </c>
      <c r="BY27" s="688">
        <v>4655</v>
      </c>
      <c r="BZ27" s="287">
        <f>SUM(BV27:BY27)</f>
      </c>
      <c r="CA27" s="641">
        <v>4043</v>
      </c>
      <c r="CB27" s="641">
        <v>4194</v>
      </c>
      <c r="CC27" s="641">
        <v>4078</v>
      </c>
      <c r="CD27" s="688">
        <v>4562</v>
      </c>
      <c r="CE27" s="287">
        <f>SUM(CA27:CD27)</f>
      </c>
      <c r="CF27" s="641">
        <v>4095</v>
      </c>
      <c r="CG27" s="641">
        <v>4351</v>
      </c>
      <c r="CH27" s="641">
        <v>4291</v>
      </c>
      <c r="CI27" s="688">
        <v>4696</v>
      </c>
      <c r="CJ27" s="287">
        <f>+SUM(CF27:CI27)</f>
      </c>
      <c r="CK27" s="688">
        <v>4802</v>
      </c>
      <c r="CL27" s="641">
        <v>5029</v>
      </c>
      <c r="CM27" s="641">
        <v>4899</v>
      </c>
      <c r="CN27" s="688">
        <v>5721</v>
      </c>
      <c r="CO27" s="287">
        <f>+SUM(CK27:CN27)</f>
      </c>
      <c r="CP27" s="232">
        <v>5123</v>
      </c>
      <c r="CQ27" s="232">
        <v>5507</v>
      </c>
      <c r="CR27" s="232">
        <v>5195</v>
      </c>
      <c r="CS27" s="14">
        <v>5665</v>
      </c>
      <c r="CT27" s="287">
        <f>SUM(CP27:CS27)</f>
      </c>
      <c r="CU27" s="232">
        <v>4608</v>
      </c>
      <c r="CV27" s="232">
        <v>4797</v>
      </c>
      <c r="CW27" s="232">
        <v>4767</v>
      </c>
      <c r="CX27" s="14">
        <v>5629</v>
      </c>
      <c r="CY27" s="287">
        <f>SUM(CU27:CX27)</f>
      </c>
      <c r="CZ27" s="232">
        <v>4779</v>
      </c>
      <c r="DA27" s="232">
        <v>4756</v>
      </c>
      <c r="DB27" s="232">
        <v>4709</v>
      </c>
      <c r="DC27" s="232">
        <v>5180</v>
      </c>
      <c r="DD27" s="287">
        <f>SUM(CZ27:DC27)</f>
      </c>
      <c r="DE27" s="641">
        <v>5056</v>
      </c>
      <c r="DF27" s="641">
        <v>5215</v>
      </c>
      <c r="DG27" s="641">
        <v>5240</v>
      </c>
      <c r="DH27" s="641">
        <v>5458</v>
      </c>
      <c r="DI27" s="287">
        <f>SUM(DE27:DH27)</f>
      </c>
      <c r="DJ27" s="641">
        <v>5015</v>
      </c>
      <c r="DK27" s="641">
        <v>4965</v>
      </c>
      <c r="DL27" s="641">
        <v>5228</v>
      </c>
      <c r="DM27" s="641">
        <v>5661</v>
      </c>
      <c r="DN27" s="287">
        <f>SUM(DJ27:DM27)</f>
      </c>
      <c r="DO27" s="641">
        <v>5223</v>
      </c>
      <c r="DP27" s="641">
        <v>5376</v>
      </c>
      <c r="DQ27" s="641">
        <v>5314</v>
      </c>
      <c r="DR27" s="641">
        <v>5917</v>
      </c>
      <c r="DS27" s="287">
        <f>SUM(DO27:DR27)</f>
      </c>
      <c r="DT27" s="641">
        <v>5183</v>
      </c>
      <c r="DU27" s="641">
        <v>5481</v>
      </c>
      <c r="DV27" s="641">
        <f>5468-220</f>
      </c>
      <c r="DW27" s="641">
        <v>5822</v>
      </c>
      <c r="DX27" s="287">
        <f>SUM(DT27:DW27)</f>
      </c>
      <c r="DY27" s="641">
        <v>4847</v>
      </c>
      <c r="DZ27" s="641">
        <v>5384</v>
      </c>
      <c r="EA27" s="641">
        <v>5081</v>
      </c>
      <c r="EB27" s="641">
        <v>5891</v>
      </c>
      <c r="EC27" s="287">
        <f>SUM(DY27:EB27)</f>
      </c>
      <c r="ED27" s="641">
        <v>4688</v>
      </c>
      <c r="EE27" s="641">
        <f>5176</f>
      </c>
      <c r="EF27" s="641">
        <v>4772</v>
      </c>
      <c r="EG27" s="641">
        <v>5309</v>
      </c>
      <c r="EH27" s="287">
        <f>SUM(ED27:EG27)</f>
      </c>
      <c r="EI27" s="641">
        <v>4737</v>
      </c>
      <c r="EJ27" s="641">
        <v>5262</v>
      </c>
      <c r="EK27" s="641">
        <v>5396</v>
      </c>
      <c r="EL27" s="641">
        <v>6025</v>
      </c>
      <c r="EM27" s="287">
        <f>SUM(EI27:EL27)</f>
      </c>
      <c r="EN27" s="641">
        <v>5263</v>
      </c>
      <c r="EO27" s="641">
        <v>5743</v>
      </c>
      <c r="EP27" s="641">
        <v>5543</v>
      </c>
      <c r="EQ27" s="641">
        <v>5991</v>
      </c>
      <c r="ER27" s="287">
        <f>SUM(EN27:EQ27)</f>
      </c>
      <c r="ES27" s="641">
        <v>5219</v>
      </c>
      <c r="ET27" s="641">
        <v>5546</v>
      </c>
      <c r="EU27" s="641">
        <v>5374</v>
      </c>
      <c r="EV27" s="641">
        <v>6039</v>
      </c>
      <c r="EW27" s="1644">
        <f>SUM(ES27:EV27)</f>
      </c>
      <c r="EX27" s="1645">
        <v>5203</v>
      </c>
      <c r="EY27" s="1645">
        <v>4987</v>
      </c>
      <c r="EZ27" s="1645">
        <v>5427</v>
      </c>
      <c r="FA27" s="1645">
        <v>6450</v>
      </c>
      <c r="FB27" s="1644">
        <f>SUM(EX27:FA27)</f>
      </c>
      <c r="FC27" s="1646">
        <v>5427</v>
      </c>
      <c r="FD27" s="1646">
        <v>6067</v>
      </c>
      <c r="FE27" s="1646">
        <v>5994</v>
      </c>
      <c r="FF27" s="1645">
        <v>7147</v>
      </c>
      <c r="FG27" s="1644">
        <f>SUM(FC27:FF27)</f>
      </c>
      <c r="FH27" s="1646">
        <v>5932</v>
      </c>
      <c r="FI27" s="1646">
        <v>6220</v>
      </c>
      <c r="FJ27" s="1646">
        <v>6080</v>
      </c>
      <c r="FK27" s="1645">
        <v>6460</v>
      </c>
      <c r="FL27" s="1644">
        <f>SUM(FH27:FK27)</f>
      </c>
      <c r="FM27" s="1646">
        <v>6093</v>
      </c>
      <c r="FN27" s="1646">
        <v>6613</v>
      </c>
      <c r="FO27" s="1662">
        <v>4806</v>
      </c>
      <c r="FP27" s="1646">
        <v>5114</v>
      </c>
      <c r="FQ27" s="1646">
        <v>4968</v>
      </c>
      <c r="FR27" s="1645">
        <v>5330</v>
      </c>
      <c r="FS27" s="1690">
        <f>SUM(FO27:FR27)</f>
      </c>
      <c r="FT27" s="1646">
        <v>4899</v>
      </c>
      <c r="FU27" s="2809">
        <v>5388</v>
      </c>
      <c r="FV27" s="1662">
        <v>5394</v>
      </c>
      <c r="FW27" s="2809">
        <v>5802</v>
      </c>
      <c r="FX27" s="1690">
        <v>21483</v>
      </c>
      <c r="FY27" s="1646">
        <v>5253</v>
      </c>
      <c r="FZ27" s="1646">
        <v>5676</v>
      </c>
      <c r="GA27" s="1646">
        <v>5475</v>
      </c>
      <c r="GB27" s="1646">
        <v>6449</v>
      </c>
      <c r="GC27" s="3348">
        <f>SUM(FY27:GB27)</f>
      </c>
      <c r="GD27" s="1646">
        <v>5112</v>
      </c>
      <c r="GE27" s="1646">
        <v>5889</v>
      </c>
      <c r="GF27" s="1646">
        <v>5922</v>
      </c>
      <c r="GG27" s="2614">
        <f>GH27-SUM(GD27:GF27)</f>
      </c>
      <c r="GH27" s="1644">
        <f t="shared" ref="GH27:GL27" si="15">GH24*GH66</f>
      </c>
      <c r="GI27" s="1644">
        <f t="shared" si="15"/>
      </c>
      <c r="GJ27" s="1644">
        <f t="shared" si="15"/>
      </c>
      <c r="GK27" s="1644">
        <f t="shared" si="15"/>
      </c>
      <c r="GL27" s="1644">
        <f t="shared" si="15"/>
      </c>
      <c r="GM27" s="1644">
        <f>GM24*GM66</f>
      </c>
    </row>
    <row r="28" spans="2:195" ht="12.75" customHeight="1">
      <c r="B28" s="20" t="s">
        <v>33</v>
      </c>
      <c r="D28" s="684"/>
      <c r="E28" s="695">
        <v>617</v>
      </c>
      <c r="F28" s="695">
        <v>674</v>
      </c>
      <c r="G28" s="695">
        <v>719</v>
      </c>
      <c r="H28" s="695">
        <v>834</v>
      </c>
      <c r="I28" s="695">
        <v>219</v>
      </c>
      <c r="J28" s="695">
        <v>225</v>
      </c>
      <c r="K28" s="695">
        <v>242</v>
      </c>
      <c r="L28" s="695">
        <v>294</v>
      </c>
      <c r="M28" s="695">
        <v>980</v>
      </c>
      <c r="N28" s="695">
        <v>262</v>
      </c>
      <c r="O28" s="695">
        <v>268</v>
      </c>
      <c r="P28" s="695">
        <v>277</v>
      </c>
      <c r="Q28" s="695">
        <f>R28-N28-O28-P28</f>
      </c>
      <c r="R28" s="695">
        <v>1127</v>
      </c>
      <c r="S28" s="695">
        <v>281</v>
      </c>
      <c r="T28" s="695">
        <v>286</v>
      </c>
      <c r="U28" s="695">
        <v>277</v>
      </c>
      <c r="V28" s="695">
        <v>286</v>
      </c>
      <c r="W28" s="695">
        <f>S28+T28+U28+V28</f>
      </c>
      <c r="X28" s="695">
        <v>289</v>
      </c>
      <c r="Y28" s="695">
        <v>313</v>
      </c>
      <c r="Z28" s="695">
        <v>316</v>
      </c>
      <c r="AA28" s="695">
        <v>360</v>
      </c>
      <c r="AB28" s="695">
        <f>X28+Y28+Z28+AA28</f>
      </c>
      <c r="AC28" s="695">
        <v>353</v>
      </c>
      <c r="AD28" s="695">
        <v>380</v>
      </c>
      <c r="AE28" s="695">
        <v>395</v>
      </c>
      <c r="AF28" s="695">
        <v>506</v>
      </c>
      <c r="AG28" s="6">
        <f>AC28+AD28+AE28+AF28</f>
      </c>
      <c r="AH28" s="695">
        <v>428</v>
      </c>
      <c r="AI28" s="695">
        <v>448</v>
      </c>
      <c r="AJ28" s="696">
        <v>441</v>
      </c>
      <c r="AK28" s="695">
        <v>588</v>
      </c>
      <c r="AL28" s="695">
        <v>1905</v>
      </c>
      <c r="AM28" s="688">
        <v>478</v>
      </c>
      <c r="AN28" s="688">
        <v>520</v>
      </c>
      <c r="AO28" s="688">
        <v>516</v>
      </c>
      <c r="AP28" s="688">
        <v>626</v>
      </c>
      <c r="AQ28" s="695">
        <v>2140</v>
      </c>
      <c r="AR28" s="688">
        <v>514</v>
      </c>
      <c r="AS28" s="688">
        <v>548</v>
      </c>
      <c r="AT28" s="688">
        <v>524</v>
      </c>
      <c r="AU28" s="688">
        <v>750</v>
      </c>
      <c r="AV28" s="6">
        <f>SUM(AR28:AU28)</f>
      </c>
      <c r="AW28" s="688">
        <v>557</v>
      </c>
      <c r="AX28" s="688">
        <v>596</v>
      </c>
      <c r="AY28" s="688">
        <v>635</v>
      </c>
      <c r="AZ28" s="688">
        <v>812</v>
      </c>
      <c r="BA28" s="287">
        <f>SUM(AW28:AZ28)</f>
      </c>
      <c r="BB28" s="688">
        <v>677</v>
      </c>
      <c r="BC28" s="688">
        <v>713</v>
      </c>
      <c r="BD28" s="688">
        <v>739</v>
      </c>
      <c r="BE28" s="688">
        <v>976</v>
      </c>
      <c r="BF28" s="287">
        <f>SUM(BB28:BE28)</f>
      </c>
      <c r="BG28" s="688">
        <v>759</v>
      </c>
      <c r="BH28" s="688">
        <v>829</v>
      </c>
      <c r="BI28" s="688">
        <v>899</v>
      </c>
      <c r="BJ28" s="688">
        <v>1104</v>
      </c>
      <c r="BK28" s="287">
        <f>SUM(BG28:BJ28)</f>
      </c>
      <c r="BL28" s="688">
        <v>831</v>
      </c>
      <c r="BM28" s="688">
        <v>932</v>
      </c>
      <c r="BN28" s="688">
        <v>952</v>
      </c>
      <c r="BO28" s="688">
        <v>1242</v>
      </c>
      <c r="BP28" s="287">
        <f>SUM(BL28:BO28)</f>
      </c>
      <c r="BQ28" s="688">
        <v>936</v>
      </c>
      <c r="BR28" s="688">
        <v>1082</v>
      </c>
      <c r="BS28" s="688">
        <v>1177</v>
      </c>
      <c r="BT28" s="688">
        <v>1489</v>
      </c>
      <c r="BU28" s="287">
        <f>SUM(BQ28:BT28)</f>
      </c>
      <c r="BV28" s="688">
        <v>1095</v>
      </c>
      <c r="BW28" s="688">
        <v>1182</v>
      </c>
      <c r="BX28" s="688">
        <v>1198</v>
      </c>
      <c r="BY28" s="688">
        <v>1727</v>
      </c>
      <c r="BZ28" s="287">
        <f>SUM(BV28:BY28)</f>
      </c>
      <c r="CA28" s="641">
        <v>1347</v>
      </c>
      <c r="CB28" s="641">
        <v>1487</v>
      </c>
      <c r="CC28" s="641">
        <v>1502</v>
      </c>
      <c r="CD28" s="688">
        <v>1976</v>
      </c>
      <c r="CE28" s="287">
        <f>SUM(CA28:CD28)</f>
      </c>
      <c r="CF28" s="641">
        <v>1532</v>
      </c>
      <c r="CG28" s="641">
        <v>1828</v>
      </c>
      <c r="CH28" s="641">
        <v>1719</v>
      </c>
      <c r="CI28" s="688">
        <v>2046</v>
      </c>
      <c r="CJ28" s="287">
        <f>+SUM(CF28:CI28)</f>
      </c>
      <c r="CK28" s="688">
        <v>1652</v>
      </c>
      <c r="CL28" s="641">
        <v>1866</v>
      </c>
      <c r="CM28" s="641">
        <v>1834</v>
      </c>
      <c r="CN28" s="688">
        <v>2328</v>
      </c>
      <c r="CO28" s="287">
        <f>+SUM(CK28:CN28)</f>
      </c>
      <c r="CP28" s="641">
        <v>1712</v>
      </c>
      <c r="CQ28" s="641">
        <v>1896</v>
      </c>
      <c r="CR28" s="641">
        <v>1861</v>
      </c>
      <c r="CS28" s="641">
        <v>2108</v>
      </c>
      <c r="CT28" s="287">
        <f>SUM(CP28:CS28)</f>
      </c>
      <c r="CU28" s="232">
        <v>1518</v>
      </c>
      <c r="CV28" s="232">
        <v>1638</v>
      </c>
      <c r="CW28" s="232">
        <v>1617</v>
      </c>
      <c r="CX28" s="14">
        <v>2213</v>
      </c>
      <c r="CY28" s="287">
        <f>SUM(CU28:CX28)</f>
      </c>
      <c r="CZ28" s="232">
        <v>1557</v>
      </c>
      <c r="DA28" s="232">
        <v>1648</v>
      </c>
      <c r="DB28" s="232">
        <v>1657</v>
      </c>
      <c r="DC28" s="232">
        <v>1982</v>
      </c>
      <c r="DD28" s="287">
        <f>SUM(CZ28:DC28)</f>
      </c>
      <c r="DE28" s="641">
        <v>1738</v>
      </c>
      <c r="DF28" s="641">
        <v>1882</v>
      </c>
      <c r="DG28" s="641">
        <v>1773</v>
      </c>
      <c r="DH28" s="641">
        <v>2155</v>
      </c>
      <c r="DI28" s="287">
        <f>SUM(DE28:DH28)</f>
      </c>
      <c r="DJ28" s="641">
        <v>1645</v>
      </c>
      <c r="DK28" s="641">
        <v>1766</v>
      </c>
      <c r="DL28" s="641">
        <v>1923</v>
      </c>
      <c r="DM28" s="641">
        <v>2331</v>
      </c>
      <c r="DN28" s="287">
        <f>SUM(DJ28:DM28)</f>
      </c>
      <c r="DO28" s="641">
        <v>1784</v>
      </c>
      <c r="DP28" s="641">
        <v>1946</v>
      </c>
      <c r="DQ28" s="641">
        <v>2042</v>
      </c>
      <c r="DR28" s="641">
        <v>2411</v>
      </c>
      <c r="DS28" s="287">
        <f>SUM(DO28:DR28)</f>
      </c>
      <c r="DT28" s="641">
        <v>1831</v>
      </c>
      <c r="DU28" s="641">
        <v>2005</v>
      </c>
      <c r="DV28" s="641">
        <v>2023</v>
      </c>
      <c r="DW28" s="641">
        <v>2635</v>
      </c>
      <c r="DX28" s="287">
        <f>SUM(DT28:DW28)</f>
      </c>
      <c r="DY28" s="641">
        <v>1899</v>
      </c>
      <c r="DZ28" s="641">
        <v>2129</v>
      </c>
      <c r="EA28" s="641">
        <v>2154</v>
      </c>
      <c r="EB28" s="641">
        <v>2864</v>
      </c>
      <c r="EC28" s="287">
        <f>SUM(DY28:EB28)</f>
      </c>
      <c r="ED28" s="641">
        <v>2013</v>
      </c>
      <c r="EE28" s="641">
        <v>2264</v>
      </c>
      <c r="EF28" s="641">
        <v>2178</v>
      </c>
      <c r="EG28" s="641">
        <v>2640</v>
      </c>
      <c r="EH28" s="287">
        <f>SUM(ED28:EG28)</f>
      </c>
      <c r="EI28" s="641">
        <v>2060</v>
      </c>
      <c r="EJ28" s="641">
        <v>2285</v>
      </c>
      <c r="EK28" s="641">
        <v>2574</v>
      </c>
      <c r="EL28" s="641">
        <v>3635</v>
      </c>
      <c r="EM28" s="287">
        <f>SUM(EI28:EL28)</f>
      </c>
      <c r="EN28" s="641">
        <v>2404</v>
      </c>
      <c r="EO28" s="641">
        <v>2639</v>
      </c>
      <c r="EP28" s="641">
        <v>2508</v>
      </c>
      <c r="EQ28" s="641">
        <v>3224</v>
      </c>
      <c r="ER28" s="287">
        <f>SUM(EN28:EQ28)</f>
      </c>
      <c r="ES28" s="641">
        <v>2858</v>
      </c>
      <c r="ET28" s="641">
        <v>2666</v>
      </c>
      <c r="EU28" s="641">
        <v>2599</v>
      </c>
      <c r="EV28" s="641">
        <v>3185</v>
      </c>
      <c r="EW28" s="1644">
        <f>SUM(ES28:EV28)</f>
      </c>
      <c r="EX28" s="1645">
        <v>2580</v>
      </c>
      <c r="EY28" s="1645">
        <v>2679</v>
      </c>
      <c r="EZ28" s="1645">
        <v>2829</v>
      </c>
      <c r="FA28" s="1645">
        <v>4003</v>
      </c>
      <c r="FB28" s="1644">
        <f>SUM(EX28:FA28)</f>
      </c>
      <c r="FC28" s="1646">
        <v>3154</v>
      </c>
      <c r="FD28" s="1646">
        <v>3364</v>
      </c>
      <c r="FE28" s="1646">
        <v>3391</v>
      </c>
      <c r="FF28" s="1645">
        <v>4680</v>
      </c>
      <c r="FG28" s="1644">
        <f>SUM(FC28:FF28)</f>
      </c>
      <c r="FH28" s="1646">
        <v>3430</v>
      </c>
      <c r="FI28" s="1646">
        <v>3554</v>
      </c>
      <c r="FJ28" s="1646">
        <v>3475</v>
      </c>
      <c r="FK28" s="1645">
        <v>3681</v>
      </c>
      <c r="FL28" s="1644">
        <f>SUM(FH28:FK28)</f>
      </c>
      <c r="FM28" s="1646">
        <v>3495</v>
      </c>
      <c r="FN28" s="1646">
        <v>3737</v>
      </c>
      <c r="FO28" s="1662">
        <v>3323</v>
      </c>
      <c r="FP28" s="1646">
        <v>3436</v>
      </c>
      <c r="FQ28" s="1646">
        <v>3363</v>
      </c>
      <c r="FR28" s="1645">
        <v>3550</v>
      </c>
      <c r="FS28" s="1690">
        <f>SUM(FO28:FR28)</f>
      </c>
      <c r="FT28" s="1646">
        <v>3389</v>
      </c>
      <c r="FU28" s="2809">
        <v>3613</v>
      </c>
      <c r="FV28" s="1662">
        <v>3378</v>
      </c>
      <c r="FW28" s="2809">
        <v>4425</v>
      </c>
      <c r="FX28" s="1690">
        <v>14805</v>
      </c>
      <c r="FY28" s="1646">
        <v>3490</v>
      </c>
      <c r="FZ28" s="1646">
        <v>3382</v>
      </c>
      <c r="GA28" s="1646">
        <v>4895</v>
      </c>
      <c r="GB28" s="1646">
        <v>5267</v>
      </c>
      <c r="GC28" s="3348">
        <f>SUM(FY28:GB28)</f>
      </c>
      <c r="GD28" s="1646">
        <v>3219</v>
      </c>
      <c r="GE28" s="1646">
        <v>3559</v>
      </c>
      <c r="GF28" s="1646">
        <v>3672</v>
      </c>
      <c r="GG28" s="2614">
        <f>GH28-SUM(GD28:GF28)</f>
      </c>
      <c r="GH28" s="1644">
        <f t="shared" ref="GH28:GL28" si="16">GH24*GH67</f>
      </c>
      <c r="GI28" s="1644">
        <f t="shared" si="16"/>
      </c>
      <c r="GJ28" s="1644">
        <f t="shared" si="16"/>
      </c>
      <c r="GK28" s="1644">
        <f t="shared" si="16"/>
      </c>
      <c r="GL28" s="1644">
        <f t="shared" si="16"/>
      </c>
      <c r="GM28" s="1644">
        <f>GM24*GM67</f>
      </c>
    </row>
    <row r="29" spans="2:195" s="3" customFormat="1" ht="12.75" customHeight="1">
      <c r="B29" s="177" t="s">
        <v>362</v>
      </c>
      <c r="E29" s="231">
        <f t="shared" ref="E29:AF29" si="17">E24-E26-E27-E28</f>
      </c>
      <c r="F29" s="231">
        <f t="shared" si="17"/>
      </c>
      <c r="G29" s="231">
        <f t="shared" si="17"/>
      </c>
      <c r="H29" s="231" t="e">
        <f t="shared" si="17"/>
      </c>
      <c r="I29" s="231" t="e">
        <f t="shared" si="17"/>
      </c>
      <c r="J29" s="231" t="e">
        <f t="shared" si="17"/>
      </c>
      <c r="K29" s="231" t="e">
        <f t="shared" si="17"/>
      </c>
      <c r="L29" s="231">
        <f t="shared" si="17"/>
      </c>
      <c r="M29" s="231" t="e">
        <f t="shared" si="17"/>
      </c>
      <c r="N29" s="231">
        <f t="shared" si="17"/>
      </c>
      <c r="O29" s="231">
        <f t="shared" si="17"/>
      </c>
      <c r="P29" s="231">
        <f t="shared" si="17"/>
      </c>
      <c r="Q29" s="231">
        <f t="shared" si="17"/>
      </c>
      <c r="R29" s="231" t="e">
        <f t="shared" si="17"/>
      </c>
      <c r="S29" s="9" t="e">
        <f t="shared" si="17"/>
      </c>
      <c r="T29" s="231" t="e">
        <f t="shared" si="17"/>
      </c>
      <c r="U29" s="231" t="e">
        <f t="shared" si="17"/>
      </c>
      <c r="V29" s="231">
        <f t="shared" si="17"/>
      </c>
      <c r="W29" s="231" t="e">
        <f t="shared" si="17"/>
      </c>
      <c r="X29" s="9" t="e">
        <f t="shared" si="17"/>
      </c>
      <c r="Y29" s="231" t="e">
        <f t="shared" si="17"/>
      </c>
      <c r="Z29" s="231">
        <f t="shared" si="17"/>
      </c>
      <c r="AA29" s="231">
        <f t="shared" si="17"/>
      </c>
      <c r="AB29" s="231" t="e">
        <f t="shared" si="17"/>
      </c>
      <c r="AC29" s="231">
        <f t="shared" si="17"/>
      </c>
      <c r="AD29" s="231">
        <f t="shared" si="17"/>
      </c>
      <c r="AE29" s="231">
        <f t="shared" si="17"/>
      </c>
      <c r="AF29" s="231">
        <f t="shared" si="17"/>
      </c>
      <c r="AG29" s="231">
        <f>AC29+AD29+AE29+AF29</f>
      </c>
      <c r="AH29" s="231">
        <f t="shared" ref="AH29:BM29" si="18">AH24-AH26-AH27-AH28</f>
      </c>
      <c r="AI29" s="231">
        <f t="shared" si="18"/>
      </c>
      <c r="AJ29" s="231">
        <f t="shared" si="18"/>
      </c>
      <c r="AK29" s="231">
        <f t="shared" si="18"/>
      </c>
      <c r="AL29" s="231">
        <f t="shared" si="18"/>
      </c>
      <c r="AM29" s="231">
        <f t="shared" si="18"/>
      </c>
      <c r="AN29" s="231">
        <f t="shared" si="18"/>
      </c>
      <c r="AO29" s="231">
        <f t="shared" si="18"/>
      </c>
      <c r="AP29" s="231">
        <f t="shared" si="18"/>
      </c>
      <c r="AQ29" s="231">
        <f t="shared" si="18"/>
      </c>
      <c r="AR29" s="231">
        <f t="shared" si="18"/>
      </c>
      <c r="AS29" s="231">
        <f t="shared" si="18"/>
      </c>
      <c r="AT29" s="231">
        <f t="shared" si="18"/>
      </c>
      <c r="AU29" s="231">
        <f t="shared" si="18"/>
      </c>
      <c r="AV29" s="231">
        <f t="shared" si="18"/>
      </c>
      <c r="AW29" s="231">
        <f t="shared" si="18"/>
      </c>
      <c r="AX29" s="231">
        <f t="shared" si="18"/>
      </c>
      <c r="AY29" s="231">
        <f t="shared" si="18"/>
      </c>
      <c r="AZ29" s="231">
        <f t="shared" si="18"/>
      </c>
      <c r="BA29" s="285">
        <f t="shared" si="18"/>
      </c>
      <c r="BB29" s="231">
        <f t="shared" si="18"/>
      </c>
      <c r="BC29" s="231">
        <f t="shared" si="18"/>
      </c>
      <c r="BD29" s="231">
        <f t="shared" si="18"/>
      </c>
      <c r="BE29" s="231">
        <f t="shared" si="18"/>
      </c>
      <c r="BF29" s="285">
        <f t="shared" si="18"/>
      </c>
      <c r="BG29" s="231">
        <f t="shared" si="18"/>
      </c>
      <c r="BH29" s="231">
        <f t="shared" si="18"/>
      </c>
      <c r="BI29" s="231">
        <f t="shared" si="18"/>
      </c>
      <c r="BJ29" s="231">
        <f t="shared" si="18"/>
      </c>
      <c r="BK29" s="285">
        <f t="shared" si="18"/>
      </c>
      <c r="BL29" s="231">
        <f t="shared" si="18"/>
      </c>
      <c r="BM29" s="231">
        <f t="shared" si="18"/>
      </c>
      <c r="BN29" s="231">
        <f t="shared" ref="BN29:CS29" si="19">BN24-BN26-BN27-BN28</f>
      </c>
      <c r="BO29" s="231">
        <f t="shared" si="19"/>
      </c>
      <c r="BP29" s="285">
        <f t="shared" si="19"/>
      </c>
      <c r="BQ29" s="231">
        <f t="shared" si="19"/>
      </c>
      <c r="BR29" s="231">
        <f t="shared" si="19"/>
      </c>
      <c r="BS29" s="231">
        <f t="shared" si="19"/>
      </c>
      <c r="BT29" s="231">
        <f t="shared" si="19"/>
      </c>
      <c r="BU29" s="285">
        <f t="shared" si="19"/>
      </c>
      <c r="BV29" s="231">
        <f t="shared" si="19"/>
      </c>
      <c r="BW29" s="231">
        <f t="shared" si="19"/>
      </c>
      <c r="BX29" s="231">
        <f t="shared" si="19"/>
      </c>
      <c r="BY29" s="231">
        <f t="shared" si="19"/>
      </c>
      <c r="BZ29" s="285">
        <f t="shared" si="19"/>
      </c>
      <c r="CA29" s="231">
        <f t="shared" si="19"/>
      </c>
      <c r="CB29" s="231">
        <f t="shared" si="19"/>
      </c>
      <c r="CC29" s="231">
        <f t="shared" si="19"/>
      </c>
      <c r="CD29" s="231">
        <f t="shared" si="19"/>
      </c>
      <c r="CE29" s="285">
        <f t="shared" si="19"/>
      </c>
      <c r="CF29" s="231">
        <f t="shared" si="19"/>
      </c>
      <c r="CG29" s="231">
        <f t="shared" si="19"/>
      </c>
      <c r="CH29" s="231">
        <f t="shared" si="19"/>
      </c>
      <c r="CI29" s="231">
        <f t="shared" si="19"/>
      </c>
      <c r="CJ29" s="285">
        <f t="shared" si="19"/>
      </c>
      <c r="CK29" s="231">
        <f t="shared" si="19"/>
      </c>
      <c r="CL29" s="231">
        <f t="shared" si="19"/>
      </c>
      <c r="CM29" s="231">
        <f t="shared" si="19"/>
      </c>
      <c r="CN29" s="231">
        <f t="shared" si="19"/>
      </c>
      <c r="CO29" s="285">
        <f t="shared" si="19"/>
      </c>
      <c r="CP29" s="231">
        <f t="shared" si="19"/>
      </c>
      <c r="CQ29" s="231">
        <f t="shared" si="19"/>
      </c>
      <c r="CR29" s="231">
        <f t="shared" si="19"/>
      </c>
      <c r="CS29" s="231">
        <f t="shared" si="19"/>
      </c>
      <c r="CT29" s="285">
        <f t="shared" ref="CT29:DY29" si="20">CT24-CT26-CT27-CT28</f>
      </c>
      <c r="CU29" s="231">
        <f t="shared" si="20"/>
      </c>
      <c r="CV29" s="231">
        <f t="shared" si="20"/>
      </c>
      <c r="CW29" s="231">
        <f t="shared" si="20"/>
      </c>
      <c r="CX29" s="231">
        <f t="shared" si="20"/>
      </c>
      <c r="CY29" s="285">
        <f t="shared" si="20"/>
      </c>
      <c r="CZ29" s="231">
        <f t="shared" si="20"/>
      </c>
      <c r="DA29" s="231">
        <f t="shared" si="20"/>
      </c>
      <c r="DB29" s="231">
        <f t="shared" si="20"/>
      </c>
      <c r="DC29" s="231">
        <f t="shared" si="20"/>
      </c>
      <c r="DD29" s="285">
        <f t="shared" si="20"/>
      </c>
      <c r="DE29" s="231">
        <f t="shared" si="20"/>
      </c>
      <c r="DF29" s="231">
        <f t="shared" si="20"/>
      </c>
      <c r="DG29" s="231">
        <f t="shared" si="20"/>
      </c>
      <c r="DH29" s="231">
        <f t="shared" si="20"/>
      </c>
      <c r="DI29" s="285">
        <f t="shared" si="20"/>
      </c>
      <c r="DJ29" s="231">
        <f t="shared" si="20"/>
      </c>
      <c r="DK29" s="231">
        <f t="shared" si="20"/>
      </c>
      <c r="DL29" s="231">
        <f t="shared" si="20"/>
      </c>
      <c r="DM29" s="231">
        <f t="shared" si="20"/>
      </c>
      <c r="DN29" s="285">
        <f t="shared" si="20"/>
      </c>
      <c r="DO29" s="231">
        <f t="shared" si="20"/>
      </c>
      <c r="DP29" s="231">
        <f t="shared" si="20"/>
      </c>
      <c r="DQ29" s="231">
        <f t="shared" si="20"/>
      </c>
      <c r="DR29" s="231">
        <f t="shared" si="20"/>
      </c>
      <c r="DS29" s="285">
        <f t="shared" si="20"/>
      </c>
      <c r="DT29" s="231">
        <f t="shared" si="20"/>
      </c>
      <c r="DU29" s="231">
        <f t="shared" si="20"/>
      </c>
      <c r="DV29" s="231">
        <f t="shared" si="20"/>
      </c>
      <c r="DW29" s="231">
        <f t="shared" si="20"/>
      </c>
      <c r="DX29" s="285">
        <f t="shared" si="20"/>
      </c>
      <c r="DY29" s="231">
        <f t="shared" si="20"/>
      </c>
      <c r="DZ29" s="231">
        <f t="shared" ref="DZ29:FE29" si="21">DZ24-DZ26-DZ27-DZ28</f>
      </c>
      <c r="EA29" s="231">
        <f t="shared" si="21"/>
      </c>
      <c r="EB29" s="231">
        <f t="shared" si="21"/>
      </c>
      <c r="EC29" s="285">
        <f t="shared" si="21"/>
      </c>
      <c r="ED29" s="231">
        <f t="shared" si="21"/>
      </c>
      <c r="EE29" s="231">
        <f t="shared" si="21"/>
      </c>
      <c r="EF29" s="231">
        <f t="shared" si="21"/>
      </c>
      <c r="EG29" s="231">
        <f t="shared" si="21"/>
      </c>
      <c r="EH29" s="285">
        <f t="shared" si="21"/>
      </c>
      <c r="EI29" s="231">
        <f t="shared" si="21"/>
      </c>
      <c r="EJ29" s="231">
        <f t="shared" si="21"/>
      </c>
      <c r="EK29" s="231">
        <f t="shared" si="21"/>
      </c>
      <c r="EL29" s="231">
        <f t="shared" si="21"/>
      </c>
      <c r="EM29" s="285">
        <f t="shared" si="21"/>
      </c>
      <c r="EN29" s="231">
        <f t="shared" si="21"/>
      </c>
      <c r="EO29" s="231">
        <f t="shared" si="21"/>
      </c>
      <c r="EP29" s="231">
        <f t="shared" si="21"/>
      </c>
      <c r="EQ29" s="231">
        <f t="shared" si="21"/>
      </c>
      <c r="ER29" s="285">
        <f t="shared" si="21"/>
      </c>
      <c r="ES29" s="231">
        <f t="shared" si="21"/>
      </c>
      <c r="ET29" s="231">
        <f t="shared" si="21"/>
      </c>
      <c r="EU29" s="231">
        <f t="shared" si="21"/>
      </c>
      <c r="EV29" s="231">
        <f t="shared" si="21"/>
      </c>
      <c r="EW29" s="1639">
        <f t="shared" si="21"/>
      </c>
      <c r="EX29" s="1647">
        <f t="shared" si="21"/>
      </c>
      <c r="EY29" s="1647">
        <f t="shared" si="21"/>
      </c>
      <c r="EZ29" s="1647">
        <f t="shared" si="21"/>
      </c>
      <c r="FA29" s="1647">
        <f t="shared" si="21"/>
      </c>
      <c r="FB29" s="1648">
        <f t="shared" si="21"/>
      </c>
      <c r="FC29" s="1649">
        <f t="shared" si="21"/>
      </c>
      <c r="FD29" s="1649">
        <f t="shared" si="21"/>
      </c>
      <c r="FE29" s="1649">
        <f t="shared" si="21"/>
      </c>
      <c r="FF29" s="1649">
        <f t="shared" ref="FF29:GH29" si="22">FF24-FF26-FF27-FF28</f>
      </c>
      <c r="FG29" s="1648">
        <f t="shared" si="22"/>
      </c>
      <c r="FH29" s="1649">
        <f t="shared" si="22"/>
      </c>
      <c r="FI29" s="1649">
        <f t="shared" si="22"/>
      </c>
      <c r="FJ29" s="1649">
        <f t="shared" si="22"/>
      </c>
      <c r="FK29" s="1649">
        <f t="shared" si="22"/>
      </c>
      <c r="FL29" s="1639">
        <f t="shared" si="22"/>
      </c>
      <c r="FM29" s="1649">
        <f t="shared" si="22"/>
      </c>
      <c r="FN29" s="1649">
        <f t="shared" ref="FN29:FT29" si="23">FN24-FN26-FN27-FN28</f>
      </c>
      <c r="FO29" s="2810">
        <f t="shared" si="23"/>
      </c>
      <c r="FP29" s="1649">
        <f t="shared" si="23"/>
      </c>
      <c r="FQ29" s="1649">
        <f t="shared" si="23"/>
      </c>
      <c r="FR29" s="1649">
        <f t="shared" si="23"/>
      </c>
      <c r="FS29" s="1639">
        <f t="shared" si="23"/>
      </c>
      <c r="FT29" s="1649">
        <f t="shared" si="23"/>
      </c>
      <c r="FU29" s="2811">
        <f>FU24-FU26-FU27-FU28</f>
      </c>
      <c r="FV29" s="2810">
        <f>FV24-FV26-FV27-FV28</f>
      </c>
      <c r="FW29" s="2811">
        <f>FW24-FW26-FW27-FW28</f>
      </c>
      <c r="FX29" s="1639">
        <f t="shared" si="22"/>
      </c>
      <c r="FY29" s="1649">
        <f t="shared" si="22"/>
      </c>
      <c r="FZ29" s="1649">
        <f>FZ24-FZ26-FZ27-FZ28</f>
      </c>
      <c r="GA29" s="1649">
        <f>GA24-GA26-GA27-GA28</f>
      </c>
      <c r="GB29" s="1649">
        <f>GB24-GB26-GB27-GB28</f>
      </c>
      <c r="GC29" s="1639">
        <f>GC24-GC26-GC27-GC28-GC33</f>
      </c>
      <c r="GD29" s="1649">
        <f t="shared" ref="GD29" si="24">GD24-GD26-GD27-GD28</f>
      </c>
      <c r="GE29" s="1649">
        <f>GE24-GE26-GE27-GE28</f>
      </c>
      <c r="GF29" s="1649">
        <f>GF24-GF26-GF27-GF28</f>
      </c>
      <c r="GG29" s="1649">
        <f>+GH29-SUM(GD29:GF29)</f>
      </c>
      <c r="GH29" s="1639">
        <f t="shared" si="22"/>
      </c>
      <c r="GI29" s="1639">
        <f>GI24-GI26-GI27-GI28</f>
      </c>
      <c r="GJ29" s="1639">
        <f>GJ24-GJ26-GJ27-GJ28</f>
      </c>
      <c r="GK29" s="1639">
        <f>GK24-GK26-GK27-GK28</f>
      </c>
      <c r="GL29" s="1639">
        <f>GL24-GL26-GL27-GL28</f>
      </c>
      <c r="GM29" s="1639">
        <f>GM24-GM26-GM27-GM28</f>
      </c>
    </row>
    <row r="30" spans="2:195" ht="8.25" customHeight="1">
      <c r="B30" s="20"/>
      <c r="BA30" s="214"/>
      <c r="BF30" s="214"/>
      <c r="BK30" s="214"/>
      <c r="BL30" s="684"/>
      <c r="BM30" s="684"/>
      <c r="BN30" s="684"/>
      <c r="BO30" s="684"/>
      <c r="BP30" s="214"/>
      <c r="BU30" s="214"/>
      <c r="BZ30" s="214"/>
      <c r="CE30" s="214"/>
      <c r="CJ30" s="214"/>
      <c r="CO30" s="214"/>
      <c r="CT30" s="214"/>
      <c r="CY30" s="214"/>
      <c r="DD30" s="214"/>
      <c r="DI30" s="214"/>
      <c r="DN30" s="214"/>
      <c r="DS30" s="214"/>
      <c r="DX30" s="214"/>
      <c r="EC30" s="214"/>
      <c r="EH30" s="214"/>
      <c r="EI30" s="946"/>
      <c r="EJ30" s="946"/>
      <c r="EK30" s="946"/>
      <c r="EL30" s="946"/>
      <c r="EM30" s="214"/>
      <c r="EN30" s="946"/>
      <c r="EO30" s="946"/>
      <c r="EP30" s="946"/>
      <c r="EQ30" s="946"/>
      <c r="ER30" s="214"/>
      <c r="ES30" s="20"/>
      <c r="EV30" s="79"/>
      <c r="EW30" s="1628"/>
      <c r="FA30" s="1629"/>
      <c r="FB30" s="1650"/>
      <c r="FC30" s="1650"/>
      <c r="FD30" s="1651"/>
      <c r="FE30" s="1651"/>
      <c r="FF30" s="1649"/>
      <c r="FG30" s="1650"/>
      <c r="FH30" s="1650"/>
      <c r="FI30" s="1651"/>
      <c r="FJ30" s="1651"/>
      <c r="FK30" s="2615"/>
      <c r="FL30" s="1628"/>
      <c r="FM30" s="2616"/>
      <c r="FN30" s="1555"/>
      <c r="FO30" s="1650"/>
      <c r="FP30" s="1651"/>
      <c r="FQ30" s="1651"/>
      <c r="FR30" s="2615"/>
      <c r="FS30" s="1628"/>
      <c r="FT30" s="2616"/>
      <c r="FU30" s="2617"/>
      <c r="FV30" s="2616"/>
      <c r="FW30" s="2617"/>
      <c r="FX30" s="1628"/>
      <c r="FY30" s="1555"/>
      <c r="FZ30" s="2614"/>
      <c r="GA30" s="1555"/>
      <c r="GB30" s="1555"/>
      <c r="GC30" s="1729"/>
      <c r="GD30" s="1555"/>
      <c r="GE30" s="2614"/>
      <c r="GF30" s="1555"/>
      <c r="GG30" s="2617"/>
      <c r="GH30" s="1628"/>
      <c r="GI30" s="1628"/>
      <c r="GJ30" s="1628"/>
      <c r="GK30" s="1628"/>
      <c r="GL30" s="1628"/>
      <c r="GM30" s="1628"/>
    </row>
    <row r="31" spans="2:195" ht="12" customHeight="1" outlineLevel="1">
      <c r="B31" s="20" t="s">
        <v>238</v>
      </c>
      <c r="G31" s="6"/>
      <c r="H31" s="6">
        <v>-104</v>
      </c>
      <c r="V31" s="1">
        <v>220</v>
      </c>
      <c r="AX31" s="47"/>
      <c r="BA31" s="214"/>
      <c r="BF31" s="214"/>
      <c r="BK31" s="214"/>
      <c r="BP31" s="214"/>
      <c r="BU31" s="214"/>
      <c r="BZ31" s="214"/>
      <c r="CE31" s="214"/>
      <c r="CJ31" s="214"/>
      <c r="CO31" s="214"/>
      <c r="CT31" s="214"/>
      <c r="CY31" s="214"/>
      <c r="DD31" s="214"/>
      <c r="DI31" s="214"/>
      <c r="DN31" s="214"/>
      <c r="DS31" s="289"/>
      <c r="DX31" s="214"/>
      <c r="EC31" s="214"/>
      <c r="EH31" s="214"/>
      <c r="EI31" s="946"/>
      <c r="EJ31" s="946"/>
      <c r="EK31" s="946"/>
      <c r="EL31" s="946"/>
      <c r="EM31" s="214"/>
      <c r="EN31" s="946"/>
      <c r="EO31" s="946"/>
      <c r="EP31" s="946"/>
      <c r="EQ31" s="946"/>
      <c r="ER31" s="214"/>
      <c r="ES31" s="20"/>
      <c r="EV31" s="79"/>
      <c r="EW31" s="1628"/>
      <c r="FA31" s="1629"/>
      <c r="FB31" s="1650"/>
      <c r="FC31" s="1652"/>
      <c r="FF31" s="1629"/>
      <c r="FG31" s="1630"/>
      <c r="FH31" s="1652"/>
      <c r="FI31" s="73"/>
      <c r="FJ31" s="73"/>
      <c r="FK31" s="1629"/>
      <c r="FL31" s="1630"/>
      <c r="FM31" s="1637"/>
      <c r="FN31" s="1636"/>
      <c r="FO31" s="1652"/>
      <c r="FP31" s="73"/>
      <c r="FQ31" s="73"/>
      <c r="FR31" s="1629"/>
      <c r="FS31" s="1630"/>
      <c r="FT31" s="1637"/>
      <c r="FU31" s="1638"/>
      <c r="FV31" s="1637"/>
      <c r="FW31" s="1638"/>
      <c r="FX31" s="1628"/>
      <c r="FY31" s="1045"/>
      <c r="FZ31" s="1045"/>
      <c r="GA31" s="1045"/>
      <c r="GB31" s="1045"/>
      <c r="GC31" s="2734"/>
      <c r="GD31" s="1045"/>
      <c r="GE31" s="1045"/>
      <c r="GF31" s="1045"/>
      <c r="GG31" s="2051"/>
      <c r="GH31" s="1628"/>
      <c r="GI31" s="1628"/>
      <c r="GJ31" s="1628"/>
      <c r="GK31" s="1628"/>
      <c r="GL31" s="1628"/>
      <c r="GM31" s="1628"/>
    </row>
    <row r="32" spans="2:195" ht="12" customHeight="1" outlineLevel="1">
      <c r="B32" s="54" t="s">
        <v>360</v>
      </c>
      <c r="E32" s="1" t="s">
        <v>29</v>
      </c>
      <c r="F32" s="1" t="s">
        <v>29</v>
      </c>
      <c r="G32" s="1" t="s">
        <v>29</v>
      </c>
      <c r="H32" s="1" t="s">
        <v>29</v>
      </c>
      <c r="M32" s="1" t="s">
        <v>29</v>
      </c>
      <c r="R32" s="1" t="s">
        <v>29</v>
      </c>
      <c r="V32" s="1">
        <v>15</v>
      </c>
      <c r="AW32" s="684"/>
      <c r="AX32" s="697"/>
      <c r="AY32" s="684"/>
      <c r="AZ32" s="684"/>
      <c r="BA32" s="214"/>
      <c r="BF32" s="214"/>
      <c r="BK32" s="214"/>
      <c r="BP32" s="214"/>
      <c r="BU32" s="214"/>
      <c r="BZ32" s="214"/>
      <c r="CE32" s="214"/>
      <c r="CJ32" s="214"/>
      <c r="CO32" s="214"/>
      <c r="CT32" s="214"/>
      <c r="CY32" s="214"/>
      <c r="DA32" s="9"/>
      <c r="DD32" s="214"/>
      <c r="DI32" s="214"/>
      <c r="DN32" s="214"/>
      <c r="DS32" s="214"/>
      <c r="DX32" s="214"/>
      <c r="EC32" s="214"/>
      <c r="EH32" s="214"/>
      <c r="EI32" s="946"/>
      <c r="EJ32" s="946"/>
      <c r="EK32" s="946"/>
      <c r="EL32" s="946"/>
      <c r="EM32" s="214"/>
      <c r="EN32" s="946"/>
      <c r="EO32" s="946"/>
      <c r="EP32" s="946"/>
      <c r="EQ32" s="946"/>
      <c r="ER32" s="214"/>
      <c r="ES32" s="20"/>
      <c r="EV32" s="79"/>
      <c r="EW32" s="1628"/>
      <c r="FA32" s="1629"/>
      <c r="FB32" s="1650"/>
      <c r="FC32" s="1630"/>
      <c r="FF32" s="1629"/>
      <c r="FG32" s="1630"/>
      <c r="FH32" s="1630"/>
      <c r="FI32" s="73"/>
      <c r="FJ32" s="73"/>
      <c r="FK32" s="1629"/>
      <c r="FL32" s="1630"/>
      <c r="FM32" s="2344"/>
      <c r="FN32" s="1045"/>
      <c r="FO32" s="1630"/>
      <c r="FP32" s="73"/>
      <c r="FQ32" s="73"/>
      <c r="FR32" s="1629"/>
      <c r="FS32" s="1630"/>
      <c r="FT32" s="2344"/>
      <c r="FU32" s="2051"/>
      <c r="FV32" s="2344"/>
      <c r="FW32" s="2051"/>
      <c r="FX32" s="1628"/>
      <c r="FY32" s="1045"/>
      <c r="FZ32" s="1045"/>
      <c r="GA32" s="1045"/>
      <c r="GB32" s="1045"/>
      <c r="GC32" s="2734"/>
      <c r="GD32" s="1045"/>
      <c r="GE32" s="1045"/>
      <c r="GF32" s="1045"/>
      <c r="GG32" s="2051"/>
      <c r="GH32" s="1628"/>
      <c r="GI32" s="1628"/>
      <c r="GJ32" s="1628"/>
      <c r="GK32" s="1628"/>
      <c r="GL32" s="1628"/>
      <c r="GM32" s="1628"/>
    </row>
    <row r="33" spans="1:195" outlineLevel="1">
      <c r="B33" s="192" t="s">
        <v>7</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95">
        <v>0</v>
      </c>
      <c r="AD33" s="695">
        <v>0</v>
      </c>
      <c r="AE33" s="695">
        <v>0</v>
      </c>
      <c r="AF33" s="695">
        <v>0</v>
      </c>
      <c r="AG33" s="695">
        <v>0</v>
      </c>
      <c r="AH33" s="695">
        <v>0</v>
      </c>
      <c r="AI33" s="695">
        <v>0</v>
      </c>
      <c r="AJ33" s="695">
        <v>0</v>
      </c>
      <c r="AK33" s="695">
        <v>0</v>
      </c>
      <c r="AL33" s="695">
        <v>0</v>
      </c>
      <c r="AM33" s="695">
        <v>0</v>
      </c>
      <c r="AN33" s="695">
        <v>0</v>
      </c>
      <c r="AO33" s="695">
        <v>0</v>
      </c>
      <c r="AP33" s="695">
        <v>0</v>
      </c>
      <c r="AQ33" s="695">
        <v>0</v>
      </c>
      <c r="AR33" s="695">
        <v>134</v>
      </c>
      <c r="AS33" s="695">
        <v>0</v>
      </c>
      <c r="AT33" s="695">
        <v>0</v>
      </c>
      <c r="AU33" s="695">
        <v>164</v>
      </c>
      <c r="AV33" s="6">
        <f>SUM(AR33:AU33)</f>
      </c>
      <c r="AW33" s="695">
        <v>0</v>
      </c>
      <c r="AX33" s="695">
        <v>0</v>
      </c>
      <c r="AY33" s="695">
        <v>0</v>
      </c>
      <c r="AZ33" s="695">
        <v>0</v>
      </c>
      <c r="BA33" s="288">
        <f>SUM(AW33:AZ33)</f>
      </c>
      <c r="BB33" s="698">
        <v>0</v>
      </c>
      <c r="BC33" s="698">
        <v>0</v>
      </c>
      <c r="BD33" s="698">
        <v>0</v>
      </c>
      <c r="BE33" s="698">
        <v>66</v>
      </c>
      <c r="BF33" s="288">
        <f>SUM(BB33:BE33)</f>
      </c>
      <c r="BG33" s="577">
        <v>0</v>
      </c>
      <c r="BH33" s="577">
        <v>0</v>
      </c>
      <c r="BI33" s="577">
        <v>0</v>
      </c>
      <c r="BJ33" s="577">
        <v>0</v>
      </c>
      <c r="BK33" s="288">
        <f>SUM(BG33:BJ33)</f>
      </c>
      <c r="BL33" s="577">
        <v>0</v>
      </c>
      <c r="BM33" s="577">
        <v>0</v>
      </c>
      <c r="BN33" s="577">
        <v>0</v>
      </c>
      <c r="BO33" s="688">
        <v>0</v>
      </c>
      <c r="BP33" s="288">
        <f>SUM(BL33:BO33)</f>
      </c>
      <c r="BQ33" s="577">
        <v>18</v>
      </c>
      <c r="BR33" s="577">
        <v>900</v>
      </c>
      <c r="BS33" s="577">
        <v>0</v>
      </c>
      <c r="BT33" s="688">
        <v>0</v>
      </c>
      <c r="BU33" s="288">
        <f>SUM(BQ33:BT33)</f>
      </c>
      <c r="BV33" s="577">
        <v>0</v>
      </c>
      <c r="BW33" s="577">
        <v>0</v>
      </c>
      <c r="BX33" s="577">
        <v>0</v>
      </c>
      <c r="BY33" s="688">
        <v>15</v>
      </c>
      <c r="BZ33" s="288">
        <f>SUM(BV33:BY33)</f>
      </c>
      <c r="CA33" s="577">
        <v>0</v>
      </c>
      <c r="CB33" s="577">
        <v>353</v>
      </c>
      <c r="CC33" s="10"/>
      <c r="CD33" s="688">
        <v>9</v>
      </c>
      <c r="CE33" s="288">
        <f>SUM(CA33:CD33)</f>
      </c>
      <c r="CF33" s="577">
        <v>37</v>
      </c>
      <c r="CG33" s="577">
        <v>87</v>
      </c>
      <c r="CH33" s="577">
        <v>115</v>
      </c>
      <c r="CI33" s="577">
        <v>320</v>
      </c>
      <c r="CJ33" s="288">
        <f>+SUM(CF33:CI33)</f>
      </c>
      <c r="CK33" s="577">
        <v>807</v>
      </c>
      <c r="CL33" s="577">
        <v>0</v>
      </c>
      <c r="CM33" s="577">
        <v>0</v>
      </c>
      <c r="CN33" s="688">
        <v>0</v>
      </c>
      <c r="CO33" s="288">
        <f>+SUM(CK33:CN33)</f>
      </c>
      <c r="CP33" s="695">
        <v>0</v>
      </c>
      <c r="CQ33" s="695">
        <v>0</v>
      </c>
      <c r="CR33" s="695">
        <v>0</v>
      </c>
      <c r="CS33" s="688">
        <v>0</v>
      </c>
      <c r="CT33" s="678">
        <v>0</v>
      </c>
      <c r="CU33" s="642">
        <v>0</v>
      </c>
      <c r="CV33" s="642">
        <v>0</v>
      </c>
      <c r="CW33" s="642">
        <v>0</v>
      </c>
      <c r="CX33" s="642">
        <v>0</v>
      </c>
      <c r="CY33" s="678">
        <v>0</v>
      </c>
      <c r="CZ33" s="642">
        <v>0</v>
      </c>
      <c r="DA33" s="642">
        <v>0</v>
      </c>
      <c r="DB33" s="642">
        <v>0</v>
      </c>
      <c r="DC33" s="642">
        <v>0</v>
      </c>
      <c r="DD33" s="678">
        <v>0</v>
      </c>
      <c r="DE33" s="642">
        <v>0</v>
      </c>
      <c r="DF33" s="642">
        <v>0</v>
      </c>
      <c r="DG33" s="642">
        <v>0</v>
      </c>
      <c r="DH33" s="642">
        <v>0</v>
      </c>
      <c r="DI33" s="678">
        <v>0</v>
      </c>
      <c r="DJ33" s="642">
        <v>0</v>
      </c>
      <c r="DK33" s="642">
        <v>0</v>
      </c>
      <c r="DL33" s="642">
        <v>0</v>
      </c>
      <c r="DM33" s="642">
        <v>0</v>
      </c>
      <c r="DN33" s="678">
        <v>0</v>
      </c>
      <c r="DO33" s="110">
        <v>0</v>
      </c>
      <c r="DP33" s="110">
        <v>0</v>
      </c>
      <c r="DQ33" s="110">
        <v>0</v>
      </c>
      <c r="DR33" s="110">
        <v>0</v>
      </c>
      <c r="DS33" s="288">
        <f>SUM(DO33:DR33)</f>
      </c>
      <c r="DT33" s="110">
        <v>0</v>
      </c>
      <c r="DU33" s="110">
        <v>0</v>
      </c>
      <c r="DV33" s="110">
        <v>0</v>
      </c>
      <c r="DW33" s="110">
        <v>0</v>
      </c>
      <c r="DX33" s="678">
        <v>0</v>
      </c>
      <c r="DY33" s="110">
        <v>0</v>
      </c>
      <c r="DZ33" s="110">
        <v>0</v>
      </c>
      <c r="EA33" s="110">
        <v>0</v>
      </c>
      <c r="EB33" s="110">
        <v>0</v>
      </c>
      <c r="EC33" s="678">
        <v>0</v>
      </c>
      <c r="ED33" s="110">
        <v>0</v>
      </c>
      <c r="EE33" s="110">
        <v>0</v>
      </c>
      <c r="EF33" s="110">
        <v>0</v>
      </c>
      <c r="EG33" s="110">
        <v>0</v>
      </c>
      <c r="EH33" s="678">
        <v>0</v>
      </c>
      <c r="EI33" s="1024">
        <v>0</v>
      </c>
      <c r="EJ33" s="1024">
        <v>0</v>
      </c>
      <c r="EK33" s="1024">
        <v>0</v>
      </c>
      <c r="EL33" s="1024">
        <v>0</v>
      </c>
      <c r="EM33" s="678">
        <v>0</v>
      </c>
      <c r="EN33" s="1024">
        <v>0</v>
      </c>
      <c r="EO33" s="1024">
        <v>0</v>
      </c>
      <c r="EP33" s="1024">
        <v>0</v>
      </c>
      <c r="EQ33" s="1024">
        <v>0</v>
      </c>
      <c r="ER33" s="678">
        <v>0</v>
      </c>
      <c r="ES33" s="1024">
        <v>0</v>
      </c>
      <c r="ET33" s="1024">
        <v>0</v>
      </c>
      <c r="EU33" s="1024">
        <v>0</v>
      </c>
      <c r="EV33" s="1024">
        <v>0</v>
      </c>
      <c r="EW33" s="1653">
        <v>0</v>
      </c>
      <c r="EX33" s="1099">
        <v>0</v>
      </c>
      <c r="EY33" s="1099">
        <v>0</v>
      </c>
      <c r="EZ33" s="1099">
        <v>0</v>
      </c>
      <c r="FA33" s="1099">
        <v>0</v>
      </c>
      <c r="FB33" s="1654">
        <v>0</v>
      </c>
      <c r="FC33" s="1655">
        <v>0</v>
      </c>
      <c r="FD33" s="1656">
        <v>0</v>
      </c>
      <c r="FE33" s="1656">
        <v>0</v>
      </c>
      <c r="FF33" s="1656">
        <v>0</v>
      </c>
      <c r="FG33" s="1655">
        <v>0</v>
      </c>
      <c r="FH33" s="1655">
        <v>0</v>
      </c>
      <c r="FI33" s="1656">
        <v>0</v>
      </c>
      <c r="FJ33" s="1656">
        <v>0</v>
      </c>
      <c r="FK33" s="1656">
        <v>0</v>
      </c>
      <c r="FL33" s="1653">
        <v>0</v>
      </c>
      <c r="FM33" s="1655">
        <v>0</v>
      </c>
      <c r="FN33" s="1656">
        <v>0</v>
      </c>
      <c r="FO33" s="1655">
        <v>0</v>
      </c>
      <c r="FP33" s="1656">
        <v>0</v>
      </c>
      <c r="FQ33" s="1656">
        <v>0</v>
      </c>
      <c r="FR33" s="1656">
        <v>0</v>
      </c>
      <c r="FS33" s="1653">
        <v>0</v>
      </c>
      <c r="FT33" s="1655">
        <v>0</v>
      </c>
      <c r="FU33" s="2812">
        <v>0</v>
      </c>
      <c r="FV33" s="1655">
        <v>0</v>
      </c>
      <c r="FW33" s="2812">
        <v>0</v>
      </c>
      <c r="FX33" s="1653">
        <v>0</v>
      </c>
      <c r="FY33" s="1656">
        <v>0</v>
      </c>
      <c r="FZ33" s="1656">
        <v>0</v>
      </c>
      <c r="GA33" s="1656">
        <v>0</v>
      </c>
      <c r="GB33" s="1656">
        <v>0</v>
      </c>
      <c r="GC33" s="3605">
        <f>SUM(FY33:GB33)</f>
      </c>
      <c r="GD33" s="1656">
        <v>0</v>
      </c>
      <c r="GE33" s="1656">
        <v>0</v>
      </c>
      <c r="GF33" s="1656">
        <v>0</v>
      </c>
      <c r="GG33" s="1656">
        <v>0</v>
      </c>
      <c r="GH33" s="1653">
        <v>0</v>
      </c>
      <c r="GI33" s="1653">
        <v>0</v>
      </c>
      <c r="GJ33" s="1653">
        <v>0</v>
      </c>
      <c r="GK33" s="1653">
        <v>0</v>
      </c>
      <c r="GL33" s="1653">
        <v>0</v>
      </c>
      <c r="GM33" s="1653">
        <v>0</v>
      </c>
    </row>
    <row r="34" spans="1:195" outlineLevel="1">
      <c r="B34" s="192" t="s">
        <v>272</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95">
        <v>0</v>
      </c>
      <c r="AD34" s="695">
        <v>0</v>
      </c>
      <c r="AE34" s="695">
        <v>0</v>
      </c>
      <c r="AF34" s="695">
        <v>0</v>
      </c>
      <c r="AG34" s="695">
        <v>0</v>
      </c>
      <c r="AH34" s="695">
        <v>0</v>
      </c>
      <c r="AI34" s="695">
        <v>0</v>
      </c>
      <c r="AJ34" s="695">
        <v>0</v>
      </c>
      <c r="AK34" s="695">
        <v>0</v>
      </c>
      <c r="AL34" s="695">
        <v>0</v>
      </c>
      <c r="AM34" s="695">
        <v>0</v>
      </c>
      <c r="AN34" s="695">
        <v>0</v>
      </c>
      <c r="AO34" s="695">
        <v>0</v>
      </c>
      <c r="AP34" s="695">
        <v>0</v>
      </c>
      <c r="AQ34" s="695">
        <v>0</v>
      </c>
      <c r="AR34" s="695">
        <v>0</v>
      </c>
      <c r="AS34" s="695">
        <v>0</v>
      </c>
      <c r="AT34" s="695">
        <v>0</v>
      </c>
      <c r="AU34" s="695">
        <v>553</v>
      </c>
      <c r="AV34" s="6">
        <f>SUM(AR34:AU34)</f>
      </c>
      <c r="AW34" s="695">
        <v>0</v>
      </c>
      <c r="AX34" s="695">
        <v>0</v>
      </c>
      <c r="AY34" s="695">
        <v>0</v>
      </c>
      <c r="AZ34" s="695">
        <v>0</v>
      </c>
      <c r="BA34" s="288">
        <f>+-BA44+11.76</f>
      </c>
      <c r="BB34" s="698">
        <v>0</v>
      </c>
      <c r="BC34" s="698">
        <v>0</v>
      </c>
      <c r="BD34" s="698">
        <v>0</v>
      </c>
      <c r="BE34" s="698">
        <v>-33</v>
      </c>
      <c r="BF34" s="288">
        <f>SUM(BB34:BE34)</f>
      </c>
      <c r="BG34" s="577">
        <v>0</v>
      </c>
      <c r="BH34" s="577">
        <v>0</v>
      </c>
      <c r="BI34" s="577">
        <v>0</v>
      </c>
      <c r="BJ34" s="577">
        <v>0</v>
      </c>
      <c r="BK34" s="288">
        <f>SUM(BG34:BJ34)</f>
      </c>
      <c r="BL34" s="577">
        <v>0</v>
      </c>
      <c r="BM34" s="577">
        <v>0</v>
      </c>
      <c r="BN34" s="577">
        <v>0</v>
      </c>
      <c r="BO34" s="688">
        <v>0</v>
      </c>
      <c r="BP34" s="288">
        <f>SUM(BL34:BO34)</f>
      </c>
      <c r="BQ34" s="577">
        <v>0</v>
      </c>
      <c r="BR34" s="577">
        <v>0</v>
      </c>
      <c r="BS34" s="577">
        <v>0</v>
      </c>
      <c r="BT34" s="688">
        <v>0</v>
      </c>
      <c r="BU34" s="288">
        <f>SUM(BQ34:BT34)</f>
      </c>
      <c r="BV34" s="577">
        <v>0</v>
      </c>
      <c r="BW34" s="577">
        <v>0</v>
      </c>
      <c r="BX34" s="577">
        <v>0</v>
      </c>
      <c r="BY34" s="688">
        <v>1007</v>
      </c>
      <c r="BZ34" s="288">
        <f>SUM(BV34:BY34)</f>
      </c>
      <c r="CA34" s="577">
        <v>0</v>
      </c>
      <c r="CB34" s="577">
        <v>0</v>
      </c>
      <c r="CC34" s="577">
        <v>0</v>
      </c>
      <c r="CD34" s="14">
        <f>CE34-SUM(CA34:CC34)</f>
      </c>
      <c r="CE34" s="288">
        <v>0</v>
      </c>
      <c r="CF34" s="577"/>
      <c r="CG34" s="577"/>
      <c r="CH34" s="577"/>
      <c r="CI34" s="688"/>
      <c r="CJ34" s="288">
        <f>+SUM(CF34:CI34)</f>
      </c>
      <c r="CK34" s="577"/>
      <c r="CL34" s="577"/>
      <c r="CM34" s="577">
        <v>745</v>
      </c>
      <c r="CN34" s="688">
        <v>0</v>
      </c>
      <c r="CO34" s="288">
        <f>+SUM(CK34:CN34)</f>
      </c>
      <c r="CP34" s="695">
        <v>0</v>
      </c>
      <c r="CQ34" s="695">
        <v>0</v>
      </c>
      <c r="CR34" s="695">
        <v>0</v>
      </c>
      <c r="CS34" s="688">
        <v>0</v>
      </c>
      <c r="CT34" s="678">
        <v>0</v>
      </c>
      <c r="CU34" s="642">
        <v>0</v>
      </c>
      <c r="CV34" s="642">
        <v>0</v>
      </c>
      <c r="CW34" s="642">
        <v>0</v>
      </c>
      <c r="CX34" s="642">
        <v>0</v>
      </c>
      <c r="CY34" s="678">
        <v>0</v>
      </c>
      <c r="CZ34" s="642">
        <v>0</v>
      </c>
      <c r="DA34" s="642">
        <v>0</v>
      </c>
      <c r="DB34" s="642">
        <v>0</v>
      </c>
      <c r="DC34" s="642">
        <v>0</v>
      </c>
      <c r="DD34" s="678">
        <v>0</v>
      </c>
      <c r="DE34" s="642">
        <v>0</v>
      </c>
      <c r="DF34" s="642">
        <v>0</v>
      </c>
      <c r="DG34" s="642">
        <v>0</v>
      </c>
      <c r="DH34" s="642">
        <v>0</v>
      </c>
      <c r="DI34" s="678">
        <v>0</v>
      </c>
      <c r="DJ34" s="642">
        <v>0</v>
      </c>
      <c r="DK34" s="642">
        <v>0</v>
      </c>
      <c r="DL34" s="642">
        <v>0</v>
      </c>
      <c r="DM34" s="642">
        <v>0</v>
      </c>
      <c r="DN34" s="678">
        <v>0</v>
      </c>
      <c r="DO34" s="110">
        <v>0</v>
      </c>
      <c r="DP34" s="110">
        <v>0</v>
      </c>
      <c r="DQ34" s="110">
        <v>0</v>
      </c>
      <c r="DR34" s="110">
        <v>0</v>
      </c>
      <c r="DS34" s="288">
        <f>SUM(DO34:DR34)</f>
      </c>
      <c r="DT34" s="110">
        <v>0</v>
      </c>
      <c r="DU34" s="110">
        <v>0</v>
      </c>
      <c r="DV34" s="110">
        <v>0</v>
      </c>
      <c r="DW34" s="110">
        <v>0</v>
      </c>
      <c r="DX34" s="678">
        <v>0</v>
      </c>
      <c r="DY34" s="110">
        <v>0</v>
      </c>
      <c r="DZ34" s="110">
        <v>0</v>
      </c>
      <c r="EA34" s="110">
        <v>0</v>
      </c>
      <c r="EB34" s="110">
        <v>0</v>
      </c>
      <c r="EC34" s="678">
        <v>0</v>
      </c>
      <c r="ED34" s="110">
        <v>0</v>
      </c>
      <c r="EE34" s="110">
        <v>0</v>
      </c>
      <c r="EF34" s="110"/>
      <c r="EG34" s="110">
        <v>0</v>
      </c>
      <c r="EH34" s="678">
        <v>0</v>
      </c>
      <c r="EI34" s="1024">
        <v>0</v>
      </c>
      <c r="EJ34" s="1024">
        <v>0</v>
      </c>
      <c r="EK34" s="1024">
        <v>0</v>
      </c>
      <c r="EL34" s="1024">
        <v>0</v>
      </c>
      <c r="EM34" s="678">
        <v>0</v>
      </c>
      <c r="EN34" s="1024">
        <v>0</v>
      </c>
      <c r="EO34" s="1024">
        <v>0</v>
      </c>
      <c r="EP34" s="1024">
        <v>0</v>
      </c>
      <c r="EQ34" s="1024">
        <v>0</v>
      </c>
      <c r="ER34" s="678">
        <v>0</v>
      </c>
      <c r="ES34" s="1024">
        <v>0</v>
      </c>
      <c r="ET34" s="1024">
        <v>0</v>
      </c>
      <c r="EU34" s="1024">
        <v>0</v>
      </c>
      <c r="EV34" s="1024">
        <v>0</v>
      </c>
      <c r="EW34" s="1653">
        <v>0</v>
      </c>
      <c r="EX34" s="1099">
        <v>0</v>
      </c>
      <c r="EY34" s="1099">
        <v>0</v>
      </c>
      <c r="EZ34" s="1099">
        <v>0</v>
      </c>
      <c r="FA34" s="1099">
        <v>0</v>
      </c>
      <c r="FB34" s="1654">
        <v>0</v>
      </c>
      <c r="FC34" s="1655">
        <v>0</v>
      </c>
      <c r="FD34" s="1656">
        <v>0</v>
      </c>
      <c r="FE34" s="1656">
        <v>0</v>
      </c>
      <c r="FF34" s="1656">
        <v>0</v>
      </c>
      <c r="FG34" s="1655">
        <v>0</v>
      </c>
      <c r="FH34" s="1655">
        <v>0</v>
      </c>
      <c r="FI34" s="1656">
        <v>0</v>
      </c>
      <c r="FJ34" s="1656">
        <v>0</v>
      </c>
      <c r="FK34" s="1656">
        <v>0</v>
      </c>
      <c r="FL34" s="1653">
        <v>0</v>
      </c>
      <c r="FM34" s="1655">
        <v>0</v>
      </c>
      <c r="FN34" s="1656">
        <v>0</v>
      </c>
      <c r="FO34" s="1655">
        <v>0</v>
      </c>
      <c r="FP34" s="1656">
        <v>0</v>
      </c>
      <c r="FQ34" s="1656">
        <v>0</v>
      </c>
      <c r="FR34" s="1656">
        <v>0</v>
      </c>
      <c r="FS34" s="1653">
        <v>0</v>
      </c>
      <c r="FT34" s="1655">
        <v>0</v>
      </c>
      <c r="FU34" s="2812">
        <v>0</v>
      </c>
      <c r="FV34" s="1655">
        <v>0</v>
      </c>
      <c r="FW34" s="2812">
        <v>0</v>
      </c>
      <c r="FX34" s="1653">
        <v>0</v>
      </c>
      <c r="FY34" s="1656">
        <v>0</v>
      </c>
      <c r="FZ34" s="1656">
        <v>0</v>
      </c>
      <c r="GA34" s="1656">
        <v>0</v>
      </c>
      <c r="GB34" s="1656">
        <v>0</v>
      </c>
      <c r="GC34" s="2736">
        <f>SUM(FY34:GB34)</f>
      </c>
      <c r="GD34" s="1656">
        <v>0</v>
      </c>
      <c r="GE34" s="1656">
        <v>0</v>
      </c>
      <c r="GF34" s="1656">
        <v>0</v>
      </c>
      <c r="GG34" s="1656">
        <v>0</v>
      </c>
      <c r="GH34" s="1653">
        <v>0</v>
      </c>
      <c r="GI34" s="1653">
        <v>0</v>
      </c>
      <c r="GJ34" s="1653">
        <v>0</v>
      </c>
      <c r="GK34" s="1653">
        <v>0</v>
      </c>
      <c r="GL34" s="1653">
        <v>0</v>
      </c>
      <c r="GM34" s="1653">
        <v>0</v>
      </c>
    </row>
    <row r="35" spans="1:195" ht="5.25" customHeight="1" outlineLevel="1">
      <c r="B35" s="20"/>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95"/>
      <c r="AX35" s="695"/>
      <c r="AY35" s="695"/>
      <c r="AZ35" s="695"/>
      <c r="BA35" s="288"/>
      <c r="BB35" s="698"/>
      <c r="BC35" s="698"/>
      <c r="BD35" s="698"/>
      <c r="BE35" s="698"/>
      <c r="BF35" s="288"/>
      <c r="BG35" s="577"/>
      <c r="BH35" s="577"/>
      <c r="BI35" s="577"/>
      <c r="BJ35" s="577"/>
      <c r="BK35" s="288"/>
      <c r="BL35" s="577"/>
      <c r="BM35" s="577"/>
      <c r="BN35" s="577"/>
      <c r="BO35" s="577"/>
      <c r="BP35" s="288"/>
      <c r="BQ35" s="577"/>
      <c r="BR35" s="577"/>
      <c r="BS35" s="577"/>
      <c r="BT35" s="577"/>
      <c r="BU35" s="288"/>
      <c r="BV35" s="577"/>
      <c r="BW35" s="577"/>
      <c r="BX35" s="577"/>
      <c r="BY35" s="577"/>
      <c r="BZ35" s="288"/>
      <c r="CA35" s="577"/>
      <c r="CB35" s="577"/>
      <c r="CC35" s="577"/>
      <c r="CD35" s="10"/>
      <c r="CE35" s="288"/>
      <c r="CF35" s="577"/>
      <c r="CG35" s="577"/>
      <c r="CH35" s="577"/>
      <c r="CI35" s="577"/>
      <c r="CJ35" s="288"/>
      <c r="CK35" s="577"/>
      <c r="CL35" s="577"/>
      <c r="CM35" s="577"/>
      <c r="CN35" s="577"/>
      <c r="CO35" s="288"/>
      <c r="CP35" s="695"/>
      <c r="CQ35" s="695"/>
      <c r="CR35" s="695"/>
      <c r="CS35" s="577"/>
      <c r="CT35" s="678"/>
      <c r="CU35" s="642"/>
      <c r="CV35" s="642"/>
      <c r="CW35" s="642"/>
      <c r="CX35" s="642"/>
      <c r="CY35" s="678"/>
      <c r="CZ35" s="642"/>
      <c r="DA35" s="642"/>
      <c r="DB35" s="642"/>
      <c r="DC35" s="642"/>
      <c r="DD35" s="288"/>
      <c r="DE35" s="110"/>
      <c r="DF35" s="110"/>
      <c r="DG35" s="110"/>
      <c r="DH35" s="110"/>
      <c r="DI35" s="288"/>
      <c r="DJ35" s="642"/>
      <c r="DK35" s="642"/>
      <c r="DL35" s="642"/>
      <c r="DM35" s="642"/>
      <c r="DN35" s="678"/>
      <c r="DO35" s="110"/>
      <c r="DP35" s="110"/>
      <c r="DQ35" s="110"/>
      <c r="DR35" s="110"/>
      <c r="DS35" s="288"/>
      <c r="DT35" s="110"/>
      <c r="DU35" s="110"/>
      <c r="DV35" s="110"/>
      <c r="DW35" s="110"/>
      <c r="DX35" s="288"/>
      <c r="DY35" s="110"/>
      <c r="DZ35" s="110"/>
      <c r="EA35" s="110"/>
      <c r="EB35" s="110"/>
      <c r="EC35" s="288"/>
      <c r="ED35" s="110"/>
      <c r="EE35" s="110"/>
      <c r="EF35" s="110"/>
      <c r="EG35" s="110"/>
      <c r="EH35" s="288"/>
      <c r="EI35" s="1024"/>
      <c r="EJ35" s="1024"/>
      <c r="EK35" s="1024"/>
      <c r="EL35" s="1024"/>
      <c r="EM35" s="288"/>
      <c r="EN35" s="1024"/>
      <c r="EO35" s="1024"/>
      <c r="EP35" s="1024"/>
      <c r="EQ35" s="1024"/>
      <c r="ER35" s="288"/>
      <c r="ES35" s="1024"/>
      <c r="ET35" s="1024"/>
      <c r="EU35" s="1024"/>
      <c r="EV35" s="1024"/>
      <c r="EW35" s="1657"/>
      <c r="EX35" s="1099"/>
      <c r="EY35" s="1099"/>
      <c r="EZ35" s="1099"/>
      <c r="FA35" s="1099"/>
      <c r="FB35" s="1658"/>
      <c r="FC35" s="1659"/>
      <c r="FD35" s="408"/>
      <c r="FE35" s="408"/>
      <c r="FF35" s="1660"/>
      <c r="FG35" s="1659"/>
      <c r="FH35" s="1659"/>
      <c r="FI35" s="408"/>
      <c r="FJ35" s="408"/>
      <c r="FK35" s="1660"/>
      <c r="FL35" s="1657"/>
      <c r="FM35" s="2535"/>
      <c r="FN35" s="1099"/>
      <c r="FO35" s="1659"/>
      <c r="FP35" s="408"/>
      <c r="FQ35" s="408"/>
      <c r="FR35" s="1660"/>
      <c r="FS35" s="1657"/>
      <c r="FT35" s="2535"/>
      <c r="FU35" s="1100"/>
      <c r="FV35" s="2535"/>
      <c r="FW35" s="1100"/>
      <c r="FX35" s="1657"/>
      <c r="FY35" s="1099"/>
      <c r="FZ35" s="1099"/>
      <c r="GA35" s="1099"/>
      <c r="GB35" s="1099"/>
      <c r="GC35" s="2736"/>
      <c r="GD35" s="1099"/>
      <c r="GE35" s="1099"/>
      <c r="GF35" s="1099"/>
      <c r="GG35" s="1100"/>
      <c r="GH35" s="1657"/>
      <c r="GI35" s="1657"/>
      <c r="GJ35" s="1657"/>
      <c r="GK35" s="1657"/>
      <c r="GL35" s="1657"/>
      <c r="GM35" s="1657"/>
    </row>
    <row r="36" spans="1:195" ht="12.75" customHeight="1">
      <c r="B36" s="20" t="s">
        <v>460</v>
      </c>
      <c r="D36" s="684"/>
      <c r="E36" s="695">
        <v>-21</v>
      </c>
      <c r="F36" s="695">
        <v>-32</v>
      </c>
      <c r="G36" s="695">
        <v>-54</v>
      </c>
      <c r="H36" s="695">
        <v>-103</v>
      </c>
      <c r="I36" s="695">
        <v>-18</v>
      </c>
      <c r="J36" s="695">
        <v>-13</v>
      </c>
      <c r="K36" s="695">
        <v>-10</v>
      </c>
      <c r="L36" s="695"/>
      <c r="M36" s="695">
        <v>-41</v>
      </c>
      <c r="N36" s="695"/>
      <c r="O36" s="695"/>
      <c r="P36" s="695"/>
      <c r="Q36" s="695"/>
      <c r="R36" s="695">
        <v>-31</v>
      </c>
      <c r="S36" s="695">
        <v>-11</v>
      </c>
      <c r="T36" s="695">
        <v>-18</v>
      </c>
      <c r="U36" s="695">
        <v>-11</v>
      </c>
      <c r="V36" s="695">
        <v>29</v>
      </c>
      <c r="W36" s="695">
        <f>80-126</f>
      </c>
      <c r="X36" s="695">
        <v>-26</v>
      </c>
      <c r="Y36" s="695">
        <v>-24</v>
      </c>
      <c r="Z36" s="695">
        <v>-12</v>
      </c>
      <c r="AA36" s="695">
        <v>-20</v>
      </c>
      <c r="AB36" s="695">
        <f>60-142</f>
      </c>
      <c r="AC36" s="695">
        <f>18-45</f>
      </c>
      <c r="AD36" s="695">
        <f>33-38</f>
      </c>
      <c r="AE36" s="695">
        <v>-9</v>
      </c>
      <c r="AF36" s="695">
        <v>13</v>
      </c>
      <c r="AG36" s="6">
        <f>115-143</f>
      </c>
      <c r="AH36" s="695">
        <f>30-35</f>
      </c>
      <c r="AI36" s="695">
        <f>33-30</f>
      </c>
      <c r="AJ36" s="696">
        <v>4</v>
      </c>
      <c r="AK36" s="695">
        <v>12</v>
      </c>
      <c r="AL36" s="695">
        <v>14</v>
      </c>
      <c r="AM36" s="688">
        <v>-3</v>
      </c>
      <c r="AN36" s="688">
        <v>22</v>
      </c>
      <c r="AO36" s="688">
        <v>22</v>
      </c>
      <c r="AP36" s="688">
        <v>36</v>
      </c>
      <c r="AQ36" s="695">
        <v>83</v>
      </c>
      <c r="AR36" s="688">
        <v>34</v>
      </c>
      <c r="AS36" s="688">
        <v>36</v>
      </c>
      <c r="AT36" s="688">
        <f>70-32</f>
      </c>
      <c r="AU36" s="688">
        <v>21</v>
      </c>
      <c r="AV36" s="6">
        <f>SUM(AR36:AU36)</f>
      </c>
      <c r="AW36" s="688">
        <f>54-54</f>
      </c>
      <c r="AX36" s="688">
        <v>0</v>
      </c>
      <c r="AY36" s="688">
        <f>63-46</f>
      </c>
      <c r="AZ36" s="688">
        <v>32</v>
      </c>
      <c r="BA36" s="287">
        <f>SUM(AW36:AZ36)</f>
      </c>
      <c r="BB36" s="688">
        <v>22</v>
      </c>
      <c r="BC36" s="688">
        <v>35</v>
      </c>
      <c r="BD36" s="688">
        <v>79.400000000000006</v>
      </c>
      <c r="BE36" s="688">
        <v>89</v>
      </c>
      <c r="BF36" s="287">
        <f>SUM(BB36:BE36)</f>
      </c>
      <c r="BG36" s="688">
        <v>92</v>
      </c>
      <c r="BH36" s="688">
        <v>70</v>
      </c>
      <c r="BI36" s="688">
        <v>67</v>
      </c>
      <c r="BJ36" s="688">
        <v>74</v>
      </c>
      <c r="BK36" s="287">
        <f>SUM(BG36:BJ36)</f>
      </c>
      <c r="BL36" s="688">
        <v>42</v>
      </c>
      <c r="BM36" s="688">
        <v>30</v>
      </c>
      <c r="BN36" s="688">
        <v>12</v>
      </c>
      <c r="BO36" s="688">
        <v>12</v>
      </c>
      <c r="BP36" s="287">
        <f>SUM(BL36:BO36)</f>
      </c>
      <c r="BQ36" s="688">
        <v>0</v>
      </c>
      <c r="BR36" s="688">
        <v>-7</v>
      </c>
      <c r="BS36" s="688">
        <v>-12</v>
      </c>
      <c r="BT36" s="688">
        <v>-11</v>
      </c>
      <c r="BU36" s="287">
        <f>SUM(BQ36:BT36)</f>
      </c>
      <c r="BV36" s="688">
        <v>-6</v>
      </c>
      <c r="BW36" s="688">
        <v>-17</v>
      </c>
      <c r="BX36" s="688">
        <v>19</v>
      </c>
      <c r="BY36" s="688">
        <v>12</v>
      </c>
      <c r="BZ36" s="287">
        <f>SUM(BV36:BY36)</f>
      </c>
      <c r="CA36" s="641">
        <v>69</v>
      </c>
      <c r="CB36" s="641">
        <v>94</v>
      </c>
      <c r="CC36" s="641">
        <v>101</v>
      </c>
      <c r="CD36" s="688">
        <v>169</v>
      </c>
      <c r="CE36" s="287">
        <f>SUM(CA36:CD36)</f>
      </c>
      <c r="CF36" s="641">
        <v>181</v>
      </c>
      <c r="CG36" s="641">
        <v>196</v>
      </c>
      <c r="CH36" s="641">
        <v>194</v>
      </c>
      <c r="CI36" s="688">
        <v>195</v>
      </c>
      <c r="CJ36" s="287">
        <f>+SUM(CF36:CI36)</f>
      </c>
      <c r="CK36" s="688">
        <v>33</v>
      </c>
      <c r="CL36" s="641">
        <v>36</v>
      </c>
      <c r="CM36" s="641">
        <v>52</v>
      </c>
      <c r="CN36" s="688">
        <v>35</v>
      </c>
      <c r="CO36" s="287">
        <f>+SUM(CK36:CN36)</f>
      </c>
      <c r="CP36" s="641">
        <v>-16</v>
      </c>
      <c r="CQ36" s="641">
        <v>-16</v>
      </c>
      <c r="CR36" s="641">
        <v>-25</v>
      </c>
      <c r="CS36" s="641">
        <v>-17</v>
      </c>
      <c r="CT36" s="287">
        <f>SUM(CP36:CS36)</f>
      </c>
      <c r="CU36" s="232">
        <v>-81</v>
      </c>
      <c r="CV36" s="232">
        <v>-85</v>
      </c>
      <c r="CW36" s="232">
        <v>-114</v>
      </c>
      <c r="CX36" s="14">
        <v>-81</v>
      </c>
      <c r="CY36" s="287">
        <f>SUM(CU36:CX36)</f>
      </c>
      <c r="CZ36" s="232">
        <v>-81</v>
      </c>
      <c r="DA36" s="232">
        <v>-58</v>
      </c>
      <c r="DB36" s="232">
        <v>-95</v>
      </c>
      <c r="DC36" s="232">
        <v>-114</v>
      </c>
      <c r="DD36" s="827">
        <f>SUM(CZ36:DC36)</f>
      </c>
      <c r="DE36" s="641">
        <v>-104</v>
      </c>
      <c r="DF36" s="641">
        <v>-111</v>
      </c>
      <c r="DG36" s="641">
        <v>-117</v>
      </c>
      <c r="DH36" s="641">
        <v>-148</v>
      </c>
      <c r="DI36" s="827">
        <f>SUM(DE36:DH36)</f>
      </c>
      <c r="DJ36" s="641">
        <v>-130</v>
      </c>
      <c r="DK36" s="641">
        <v>-129</v>
      </c>
      <c r="DL36" s="641">
        <v>-120</v>
      </c>
      <c r="DM36" s="232">
        <v>-89</v>
      </c>
      <c r="DN36" s="827">
        <f>SUM(DJ36:DM36)</f>
      </c>
      <c r="DO36" s="232">
        <v>-104</v>
      </c>
      <c r="DP36" s="232">
        <v>-101</v>
      </c>
      <c r="DQ36" s="232">
        <v>-87</v>
      </c>
      <c r="DR36" s="232">
        <v>-115.445785738189</v>
      </c>
      <c r="DS36" s="827">
        <f>SUM(DO36:DR36)</f>
      </c>
      <c r="DT36" s="232">
        <v>-118</v>
      </c>
      <c r="DU36" s="232">
        <v>-114</v>
      </c>
      <c r="DV36" s="232">
        <v>-112</v>
      </c>
      <c r="DW36" s="884">
        <v>-122</v>
      </c>
      <c r="DX36" s="303">
        <f>SUM(DT36:DW36)</f>
      </c>
      <c r="DY36" s="232">
        <v>-119</v>
      </c>
      <c r="DZ36" s="232">
        <v>-107</v>
      </c>
      <c r="EA36" s="232">
        <v>-91</v>
      </c>
      <c r="EB36" s="1097">
        <v>-107</v>
      </c>
      <c r="EC36" s="303">
        <v>-424</v>
      </c>
      <c r="ED36" s="232">
        <v>-77</v>
      </c>
      <c r="EE36" s="232">
        <v>-102</v>
      </c>
      <c r="EF36" s="1023">
        <v>-95</v>
      </c>
      <c r="EG36" s="1097">
        <v>-84</v>
      </c>
      <c r="EH36" s="303">
        <f>SUM(ED36:EG36)</f>
      </c>
      <c r="EI36" s="1097">
        <v>-84</v>
      </c>
      <c r="EJ36" s="1097">
        <v>-122</v>
      </c>
      <c r="EK36" s="1097">
        <v>-155</v>
      </c>
      <c r="EL36" s="1097">
        <v>-189</v>
      </c>
      <c r="EM36" s="303">
        <f>SUM(EI36:EL36)</f>
      </c>
      <c r="EN36" s="1097">
        <v>-145</v>
      </c>
      <c r="EO36" s="1097">
        <v>-127</v>
      </c>
      <c r="EP36" s="1097">
        <v>-68</v>
      </c>
      <c r="EQ36" s="1097">
        <v>-54</v>
      </c>
      <c r="ER36" s="303">
        <f>SUM(EN36:EQ36)</f>
      </c>
      <c r="ES36" s="1097">
        <v>-3</v>
      </c>
      <c r="ET36" s="641">
        <v>5</v>
      </c>
      <c r="EU36" s="641">
        <v>41</v>
      </c>
      <c r="EV36" s="641">
        <v>4</v>
      </c>
      <c r="EW36" s="573">
        <f>SUM(ES36:EV36)</f>
      </c>
      <c r="EX36" s="1645">
        <v>42</v>
      </c>
      <c r="EY36" s="1645">
        <v>-26</v>
      </c>
      <c r="EZ36" s="1645">
        <v>-32</v>
      </c>
      <c r="FA36" s="1646">
        <v>74</v>
      </c>
      <c r="FB36" s="1661">
        <f>SUM(EX36:FA36)</f>
      </c>
      <c r="FC36" s="1662">
        <v>-48</v>
      </c>
      <c r="FD36" s="1645">
        <v>-28</v>
      </c>
      <c r="FE36" s="1645">
        <v>-7</v>
      </c>
      <c r="FF36" s="1663">
        <v>-47</v>
      </c>
      <c r="FG36" s="2410">
        <f>SUM(FC36:FF36)</f>
      </c>
      <c r="FH36" s="2618">
        <v>12</v>
      </c>
      <c r="FI36" s="1645">
        <v>26</v>
      </c>
      <c r="FJ36" s="1645">
        <v>99</v>
      </c>
      <c r="FK36" s="1645">
        <v>77</v>
      </c>
      <c r="FL36" s="2410">
        <f>SUM(FH36:FK36)</f>
      </c>
      <c r="FM36" s="2618">
        <v>-17</v>
      </c>
      <c r="FN36" s="1645">
        <v>24</v>
      </c>
      <c r="FO36" s="2618">
        <v>12</v>
      </c>
      <c r="FP36" s="1645">
        <v>26</v>
      </c>
      <c r="FQ36" s="1645">
        <v>99</v>
      </c>
      <c r="FR36" s="1645">
        <v>77</v>
      </c>
      <c r="FS36" s="2618">
        <f>SUM(FO36:FR36)</f>
      </c>
      <c r="FT36" s="2618">
        <v>-14</v>
      </c>
      <c r="FU36" s="2813">
        <v>109</v>
      </c>
      <c r="FV36" s="2618">
        <v>182.2</v>
      </c>
      <c r="FW36" s="2813">
        <v>211.8</v>
      </c>
      <c r="FX36" s="1690">
        <v>489</v>
      </c>
      <c r="FY36" s="1645">
        <v>209</v>
      </c>
      <c r="FZ36" s="1645">
        <v>125</v>
      </c>
      <c r="GA36" s="1645">
        <v>99</v>
      </c>
      <c r="GB36" s="1645">
        <v>144</v>
      </c>
      <c r="GC36" s="3348">
        <f>SUM(FY36:GB36)</f>
      </c>
      <c r="GD36" s="1645">
        <v>128</v>
      </c>
      <c r="GE36" s="1645">
        <v>-48</v>
      </c>
      <c r="GF36" s="1645">
        <v>-18</v>
      </c>
      <c r="GG36" s="3766">
        <f t="shared" ref="GG36:GG37" si="25">GH36-SUM(GD36:GF36)</f>
      </c>
      <c r="GH36" s="1690">
        <v>-25</v>
      </c>
      <c r="GI36" s="3348">
        <f t="shared" ref="GI36:GM36" ca="1" si="26">GI136+GI142</f>
      </c>
      <c r="GJ36" s="3348">
        <f t="shared" ca="1" si="26"/>
      </c>
      <c r="GK36" s="3348">
        <f t="shared" ca="1" si="26"/>
      </c>
      <c r="GL36" s="3348">
        <f t="shared" ca="1" si="26"/>
      </c>
      <c r="GM36" s="3348">
        <f t="shared" ca="1" si="26"/>
      </c>
    </row>
    <row r="37" spans="1:195" ht="12.75" customHeight="1">
      <c r="B37" s="20" t="s">
        <v>239</v>
      </c>
      <c r="D37" s="684"/>
      <c r="E37" s="695">
        <v>5</v>
      </c>
      <c r="F37" s="695">
        <v>24</v>
      </c>
      <c r="G37" s="695">
        <v>-93</v>
      </c>
      <c r="H37" s="695">
        <v>-162</v>
      </c>
      <c r="I37" s="695">
        <v>5</v>
      </c>
      <c r="J37" s="695">
        <v>-14</v>
      </c>
      <c r="K37" s="695">
        <v>5</v>
      </c>
      <c r="L37" s="695">
        <v>-81</v>
      </c>
      <c r="M37" s="695">
        <v>-85</v>
      </c>
      <c r="N37" s="695">
        <v>32</v>
      </c>
      <c r="O37" s="695">
        <v>-8</v>
      </c>
      <c r="P37" s="695">
        <v>14</v>
      </c>
      <c r="Q37" s="695"/>
      <c r="R37" s="695">
        <v>-39</v>
      </c>
      <c r="S37" s="695">
        <v>31</v>
      </c>
      <c r="T37" s="695">
        <v>13</v>
      </c>
      <c r="U37" s="695">
        <v>-3</v>
      </c>
      <c r="V37" s="695">
        <v>-57</v>
      </c>
      <c r="W37" s="695">
        <f>S37+T37+U37+V37</f>
      </c>
      <c r="X37" s="695">
        <v>22</v>
      </c>
      <c r="Y37" s="695">
        <v>28</v>
      </c>
      <c r="Z37" s="695">
        <v>-32</v>
      </c>
      <c r="AA37" s="695">
        <v>-62</v>
      </c>
      <c r="AB37" s="695">
        <f>X37+Y37+Z37+AA37</f>
      </c>
      <c r="AC37" s="695">
        <v>-28</v>
      </c>
      <c r="AD37" s="695">
        <v>-27</v>
      </c>
      <c r="AE37" s="695">
        <v>-62</v>
      </c>
      <c r="AF37" s="695">
        <v>-49</v>
      </c>
      <c r="AG37" s="6">
        <f>AC37+AD37+AE37+AF37</f>
      </c>
      <c r="AH37" s="695">
        <v>-62</v>
      </c>
      <c r="AI37" s="695">
        <v>-59</v>
      </c>
      <c r="AJ37" s="696">
        <v>-99</v>
      </c>
      <c r="AK37" s="695">
        <v>-64</v>
      </c>
      <c r="AL37" s="695">
        <v>-284</v>
      </c>
      <c r="AM37" s="688">
        <v>-28</v>
      </c>
      <c r="AN37" s="688">
        <v>-15</v>
      </c>
      <c r="AO37" s="688">
        <v>4</v>
      </c>
      <c r="AP37" s="688">
        <v>-90</v>
      </c>
      <c r="AQ37" s="695">
        <v>-129</v>
      </c>
      <c r="AR37" s="688">
        <v>-18</v>
      </c>
      <c r="AS37" s="688">
        <v>-4</v>
      </c>
      <c r="AT37" s="688">
        <v>-27</v>
      </c>
      <c r="AU37" s="688">
        <v>-14.99870680044439</v>
      </c>
      <c r="AV37" s="6">
        <f>SUM(AR37:AU37)</f>
      </c>
      <c r="AW37" s="688">
        <v>-53</v>
      </c>
      <c r="AX37" s="688">
        <v>-35</v>
      </c>
      <c r="AY37" s="688">
        <v>-50</v>
      </c>
      <c r="AZ37" s="688">
        <v>-53.741095835188396</v>
      </c>
      <c r="BA37" s="287">
        <f>SUM(AW37:AZ37)</f>
      </c>
      <c r="BB37" s="688">
        <v>50</v>
      </c>
      <c r="BC37" s="688">
        <v>11</v>
      </c>
      <c r="BD37" s="688">
        <v>14</v>
      </c>
      <c r="BE37" s="688">
        <v>-2.3999999999990718</v>
      </c>
      <c r="BF37" s="287">
        <f>SUM(BB37:BE37)</f>
      </c>
      <c r="BG37" s="688">
        <v>6</v>
      </c>
      <c r="BH37" s="688">
        <v>-8</v>
      </c>
      <c r="BI37" s="688">
        <f>-19+38</f>
      </c>
      <c r="BJ37" s="688">
        <v>-54.999999999999659</v>
      </c>
      <c r="BK37" s="287">
        <f>SUM(BG37:BJ37)</f>
      </c>
      <c r="BL37" s="688">
        <v>-33</v>
      </c>
      <c r="BM37" s="688">
        <v>45</v>
      </c>
      <c r="BN37" s="688">
        <v>-129</v>
      </c>
      <c r="BO37" s="688">
        <v>-177</v>
      </c>
      <c r="BP37" s="287">
        <f>SUM(BL37:BO37)</f>
      </c>
      <c r="BQ37" s="688">
        <v>37</v>
      </c>
      <c r="BR37" s="688">
        <v>75</v>
      </c>
      <c r="BS37" s="688">
        <v>91</v>
      </c>
      <c r="BT37" s="688">
        <v>-311.5</v>
      </c>
      <c r="BU37" s="287">
        <f>SUM(BQ37:BT37)</f>
      </c>
      <c r="BV37" s="688">
        <v>53</v>
      </c>
      <c r="BW37" s="688">
        <v>23</v>
      </c>
      <c r="BX37" s="688">
        <v>-41</v>
      </c>
      <c r="BY37" s="688">
        <v>-51</v>
      </c>
      <c r="BZ37" s="287">
        <f>SUM(BV37:BY37)</f>
      </c>
      <c r="CA37" s="641">
        <v>33</v>
      </c>
      <c r="CB37" s="641">
        <v>88</v>
      </c>
      <c r="CC37" s="641">
        <v>63</v>
      </c>
      <c r="CD37" s="688">
        <v>30</v>
      </c>
      <c r="CE37" s="287">
        <f>SUM(CA37:CD37)</f>
      </c>
      <c r="CF37" s="641">
        <f>718-622</f>
      </c>
      <c r="CG37" s="641">
        <v>98</v>
      </c>
      <c r="CH37" s="641">
        <v>-45</v>
      </c>
      <c r="CI37" s="688">
        <v>-100</v>
      </c>
      <c r="CJ37" s="287">
        <f>+SUM(CF37:CI37)</f>
      </c>
      <c r="CK37" s="688">
        <v>228</v>
      </c>
      <c r="CL37" s="641">
        <v>117</v>
      </c>
      <c r="CM37" s="641">
        <v>-2</v>
      </c>
      <c r="CN37" s="688">
        <f>-877+678</f>
      </c>
      <c r="CO37" s="287">
        <f>+SUM(CK37:CN37)</f>
      </c>
      <c r="CP37" s="641">
        <v>18</v>
      </c>
      <c r="CQ37" s="641">
        <v>135</v>
      </c>
      <c r="CR37" s="641">
        <v>224</v>
      </c>
      <c r="CS37" s="641">
        <f>638-379</f>
      </c>
      <c r="CT37" s="287">
        <f>SUM(CP37:CS37)</f>
      </c>
      <c r="CU37" s="232">
        <v>75</v>
      </c>
      <c r="CV37" s="232">
        <v>-6</v>
      </c>
      <c r="CW37" s="232">
        <v>96</v>
      </c>
      <c r="CX37" s="14">
        <f>361-386</f>
      </c>
      <c r="CY37" s="287">
        <f>SUM(CU37:CX37)</f>
      </c>
      <c r="CZ37" s="232">
        <f>1594-1497</f>
      </c>
      <c r="DA37" s="232">
        <f>-18+157</f>
      </c>
      <c r="DB37" s="232">
        <f>292</f>
      </c>
      <c r="DC37" s="232">
        <f>-1100+(374+569+280)</f>
      </c>
      <c r="DD37" s="287">
        <f>SUM(CZ37:DC37)</f>
      </c>
      <c r="DE37" s="641">
        <f>13+346</f>
      </c>
      <c r="DF37" s="641">
        <f>402-206</f>
      </c>
      <c r="DG37" s="641">
        <f>308+316</f>
      </c>
      <c r="DH37" s="641">
        <f>-2858+20+1134+1522-20+412+277+14</f>
      </c>
      <c r="DI37" s="287">
        <f>SUM(DE37:DH37)</f>
      </c>
      <c r="DJ37" s="641">
        <f>611-(5045-4928)</f>
      </c>
      <c r="DK37" s="641">
        <v>174</v>
      </c>
      <c r="DL37" s="641">
        <f>-30+116+90</f>
      </c>
      <c r="DM37" s="641">
        <f>-319+471+406+83-221</f>
      </c>
      <c r="DN37" s="287">
        <f>SUM(DJ37:DM37)</f>
      </c>
      <c r="DO37" s="641">
        <f>-515+529+258-42-147</f>
      </c>
      <c r="DP37" s="641">
        <f>-172+375+122+69</f>
      </c>
      <c r="DQ37" s="641">
        <f>-943+872+122+35-43</f>
      </c>
      <c r="DR37" s="641">
        <f>+-868+506+181+134</f>
      </c>
      <c r="DS37" s="826">
        <f>SUM(DO37:DR37)</f>
      </c>
      <c r="DT37" s="641">
        <f>-18-86+18+118+17</f>
      </c>
      <c r="DU37" s="641">
        <f>-4-226+276+144+4+126</f>
      </c>
      <c r="DV37" s="641">
        <f>1345+285+167+126-1948+83</f>
      </c>
      <c r="DW37" s="641">
        <f>-963-156+156+325+692+49+371-344</f>
      </c>
      <c r="DX37" s="303">
        <f>SUM(DT37:DW37)</f>
      </c>
      <c r="DY37" s="641">
        <f>348-402+139+32-26</f>
      </c>
      <c r="DZ37" s="641">
        <f>931+134+49+9-3+11</f>
      </c>
      <c r="EA37" s="641">
        <f>-420+409+32+346</f>
      </c>
      <c r="EB37" s="641">
        <f>1205-509+301+590+83-33-288</f>
      </c>
      <c r="EC37" s="303">
        <f>SUM(DY37:EB37)</f>
      </c>
      <c r="ED37" s="641">
        <f>39-120+(137+66+22)</f>
      </c>
      <c r="EE37" s="641">
        <f>-557-29-114+141+600+29+24</f>
      </c>
      <c r="EF37" s="641">
        <f>54-62+109+55+67</f>
      </c>
      <c r="EG37" s="641">
        <f>-20-195+298+96+9+32</f>
      </c>
      <c r="EH37" s="303">
        <f>SUM(ED37:EG37)</f>
      </c>
      <c r="EI37" s="641">
        <v>275</v>
      </c>
      <c r="EJ37" s="1023">
        <f>EJ38-EJ29-EJ36</f>
      </c>
      <c r="EK37" s="1023">
        <f>EK38-EK29-EK36</f>
      </c>
      <c r="EL37" s="1023">
        <f>EL38-EL29-EL36</f>
      </c>
      <c r="EM37" s="303">
        <f>SUM(EI37:EL37)</f>
      </c>
      <c r="EN37" s="1023">
        <f>EN38-EN29-EN36</f>
      </c>
      <c r="EO37" s="1023">
        <v>461</v>
      </c>
      <c r="EP37" s="1023">
        <f>EP38-EP29-EP36</f>
      </c>
      <c r="EQ37" s="1023">
        <f>EQ38-EQ29-EQ36</f>
      </c>
      <c r="ER37" s="303">
        <f>SUM(EN37:EQ37)</f>
      </c>
      <c r="ES37" s="1023">
        <f>ES38-ES29-ES36</f>
      </c>
      <c r="ET37" s="1023">
        <f>ET38-ET29-ET36</f>
      </c>
      <c r="EU37" s="1023">
        <f>EU38-EU29-EU36</f>
      </c>
      <c r="EV37" s="1023">
        <f>EV38-EV29-EV36</f>
      </c>
      <c r="EW37" s="573">
        <f>SUM(ES37:EV37)</f>
      </c>
      <c r="EX37" s="1663">
        <f>EX38-EX29-EX36</f>
      </c>
      <c r="EY37" s="1663">
        <f>EY38-EY29-EY36</f>
      </c>
      <c r="EZ37" s="1663">
        <f>EZ38-EZ29-EZ36</f>
      </c>
      <c r="FA37" s="1663">
        <f>FA38-FA29-FA36</f>
      </c>
      <c r="FB37" s="1664">
        <f>SUM(EX37:FA37)</f>
      </c>
      <c r="FC37" s="1662">
        <v>403</v>
      </c>
      <c r="FD37" s="1663">
        <f>FD38-FD29-FD36</f>
      </c>
      <c r="FE37" s="1663">
        <f>FE38-FE29-FE36</f>
      </c>
      <c r="FF37" s="1969">
        <f>FF38-FF29-FF36</f>
      </c>
      <c r="FG37" s="1970">
        <f>SUM(FC37:FF37)</f>
      </c>
      <c r="FH37" s="2619">
        <f>FH38-FH29-FH36</f>
      </c>
      <c r="FI37" s="1663">
        <f>FI38-FI29-FI36</f>
      </c>
      <c r="FJ37" s="1969">
        <f>FJ38-FJ29-FJ36</f>
      </c>
      <c r="FK37" s="1969">
        <f>FK38-FK29-FK36</f>
      </c>
      <c r="FL37" s="2534">
        <f>SUM(FH37:FK37)</f>
      </c>
      <c r="FM37" s="2619">
        <f>FM38-FM29-FM36</f>
      </c>
      <c r="FN37" s="1663">
        <f>FN38-FN29-FN36</f>
      </c>
      <c r="FO37" s="2619">
        <v>594</v>
      </c>
      <c r="FP37" s="1663">
        <v>485</v>
      </c>
      <c r="FQ37" s="1969">
        <v>370</v>
      </c>
      <c r="FR37" s="1969">
        <v>235</v>
      </c>
      <c r="FS37" s="1876">
        <f>SUM(FO37:FR37)</f>
      </c>
      <c r="FT37" s="2619">
        <v>284</v>
      </c>
      <c r="FU37" s="2814">
        <v>714</v>
      </c>
      <c r="FV37" s="2410">
        <v>477</v>
      </c>
      <c r="FW37" s="2814">
        <v>387</v>
      </c>
      <c r="FX37" s="1977">
        <v>1862</v>
      </c>
      <c r="FY37" s="1645">
        <v>432</v>
      </c>
      <c r="FZ37" s="1645">
        <v>567</v>
      </c>
      <c r="GA37" s="1645">
        <v>689</v>
      </c>
      <c r="GB37" s="1645">
        <v>248</v>
      </c>
      <c r="GC37" s="2060">
        <f>SUM(FY37:GB37)</f>
      </c>
      <c r="GD37" s="1645">
        <v>498</v>
      </c>
      <c r="GE37" s="1645">
        <v>275</v>
      </c>
      <c r="GF37" s="1645">
        <v>286</v>
      </c>
      <c r="GG37" s="3766">
        <f t="shared" si="25"/>
      </c>
      <c r="GH37" s="1977">
        <v>1200</v>
      </c>
      <c r="GI37" s="1977">
        <v>800</v>
      </c>
      <c r="GJ37" s="1977">
        <v>800</v>
      </c>
      <c r="GK37" s="1977">
        <v>800</v>
      </c>
      <c r="GL37" s="1977">
        <v>800</v>
      </c>
      <c r="GM37" s="1977">
        <v>800</v>
      </c>
    </row>
    <row r="38" spans="1:195" s="3" customFormat="1" ht="12.75" customHeight="1">
      <c r="B38" s="177" t="s">
        <v>8</v>
      </c>
      <c r="E38" s="231">
        <f t="shared" ref="E38:K38" si="27">E29+E36+E37</f>
      </c>
      <c r="F38" s="231">
        <f t="shared" si="27"/>
      </c>
      <c r="G38" s="231">
        <f t="shared" si="27"/>
      </c>
      <c r="H38" s="231" t="e">
        <f t="shared" si="27"/>
      </c>
      <c r="I38" s="231" t="e">
        <f t="shared" si="27"/>
      </c>
      <c r="J38" s="231" t="e">
        <f t="shared" si="27"/>
      </c>
      <c r="K38" s="231" t="e">
        <f t="shared" si="27"/>
      </c>
      <c r="L38" s="231"/>
      <c r="M38" s="231" t="e">
        <f t="shared" ref="M38:AY38" si="28">M29+M36+M37</f>
      </c>
      <c r="N38" s="231">
        <f t="shared" si="28"/>
      </c>
      <c r="O38" s="231">
        <f t="shared" si="28"/>
      </c>
      <c r="P38" s="231">
        <f t="shared" si="28"/>
      </c>
      <c r="Q38" s="231">
        <f t="shared" si="28"/>
      </c>
      <c r="R38" s="231" t="e">
        <f t="shared" si="28"/>
      </c>
      <c r="S38" s="231" t="e">
        <f t="shared" si="28"/>
      </c>
      <c r="T38" s="231" t="e">
        <f t="shared" si="28"/>
      </c>
      <c r="U38" s="231" t="e">
        <f t="shared" si="28"/>
      </c>
      <c r="V38" s="231">
        <f t="shared" si="28"/>
      </c>
      <c r="W38" s="231" t="e">
        <f t="shared" si="28"/>
      </c>
      <c r="X38" s="231" t="e">
        <f t="shared" si="28"/>
      </c>
      <c r="Y38" s="231" t="e">
        <f t="shared" si="28"/>
      </c>
      <c r="Z38" s="231">
        <f t="shared" si="28"/>
      </c>
      <c r="AA38" s="231">
        <f t="shared" si="28"/>
      </c>
      <c r="AB38" s="231" t="e">
        <f t="shared" si="28"/>
      </c>
      <c r="AC38" s="231">
        <f t="shared" si="28"/>
      </c>
      <c r="AD38" s="231">
        <f t="shared" si="28"/>
      </c>
      <c r="AE38" s="231">
        <f t="shared" si="28"/>
      </c>
      <c r="AF38" s="231">
        <f t="shared" si="28"/>
      </c>
      <c r="AG38" s="231">
        <f t="shared" si="28"/>
      </c>
      <c r="AH38" s="231">
        <f t="shared" si="28"/>
      </c>
      <c r="AI38" s="231">
        <f t="shared" si="28"/>
      </c>
      <c r="AJ38" s="231">
        <f t="shared" si="28"/>
      </c>
      <c r="AK38" s="231">
        <f t="shared" si="28"/>
      </c>
      <c r="AL38" s="231">
        <f t="shared" si="28"/>
      </c>
      <c r="AM38" s="231">
        <f t="shared" si="28"/>
      </c>
      <c r="AN38" s="231">
        <f t="shared" si="28"/>
      </c>
      <c r="AO38" s="231">
        <f t="shared" si="28"/>
      </c>
      <c r="AP38" s="231">
        <f t="shared" si="28"/>
      </c>
      <c r="AQ38" s="231">
        <f t="shared" si="28"/>
      </c>
      <c r="AR38" s="231">
        <f t="shared" si="28"/>
      </c>
      <c r="AS38" s="231">
        <f t="shared" si="28"/>
      </c>
      <c r="AT38" s="231">
        <f t="shared" si="28"/>
      </c>
      <c r="AU38" s="231">
        <f t="shared" si="28"/>
      </c>
      <c r="AV38" s="231">
        <f t="shared" si="28"/>
      </c>
      <c r="AW38" s="231">
        <f t="shared" si="28"/>
      </c>
      <c r="AX38" s="231">
        <f t="shared" si="28"/>
      </c>
      <c r="AY38" s="231">
        <f t="shared" si="28"/>
      </c>
      <c r="AZ38" s="231">
        <v>1020</v>
      </c>
      <c r="BA38" s="285">
        <f t="shared" ref="BA38:CF38" si="29">BA29+BA36+BA37</f>
      </c>
      <c r="BB38" s="231">
        <f t="shared" si="29"/>
      </c>
      <c r="BC38" s="231">
        <f t="shared" si="29"/>
      </c>
      <c r="BD38" s="231">
        <f t="shared" si="29"/>
      </c>
      <c r="BE38" s="231">
        <f t="shared" si="29"/>
      </c>
      <c r="BF38" s="285">
        <f t="shared" si="29"/>
      </c>
      <c r="BG38" s="231">
        <f t="shared" si="29"/>
      </c>
      <c r="BH38" s="231">
        <f t="shared" si="29"/>
      </c>
      <c r="BI38" s="231">
        <f t="shared" si="29"/>
      </c>
      <c r="BJ38" s="231">
        <f t="shared" si="29"/>
      </c>
      <c r="BK38" s="285">
        <f t="shared" si="29"/>
      </c>
      <c r="BL38" s="231">
        <f t="shared" si="29"/>
      </c>
      <c r="BM38" s="231">
        <f t="shared" si="29"/>
      </c>
      <c r="BN38" s="231">
        <f t="shared" si="29"/>
      </c>
      <c r="BO38" s="231">
        <f t="shared" si="29"/>
      </c>
      <c r="BP38" s="285">
        <f t="shared" si="29"/>
      </c>
      <c r="BQ38" s="231">
        <f t="shared" si="29"/>
      </c>
      <c r="BR38" s="231">
        <f t="shared" si="29"/>
      </c>
      <c r="BS38" s="231">
        <f t="shared" si="29"/>
      </c>
      <c r="BT38" s="231">
        <f t="shared" si="29"/>
      </c>
      <c r="BU38" s="285">
        <f t="shared" si="29"/>
      </c>
      <c r="BV38" s="231">
        <f t="shared" si="29"/>
      </c>
      <c r="BW38" s="231">
        <f t="shared" si="29"/>
      </c>
      <c r="BX38" s="231">
        <f t="shared" si="29"/>
      </c>
      <c r="BY38" s="231">
        <f t="shared" si="29"/>
      </c>
      <c r="BZ38" s="285">
        <f t="shared" si="29"/>
      </c>
      <c r="CA38" s="231">
        <f t="shared" si="29"/>
      </c>
      <c r="CB38" s="231">
        <f t="shared" si="29"/>
      </c>
      <c r="CC38" s="231">
        <f t="shared" si="29"/>
      </c>
      <c r="CD38" s="231">
        <f t="shared" si="29"/>
      </c>
      <c r="CE38" s="285">
        <f t="shared" si="29"/>
      </c>
      <c r="CF38" s="231">
        <f t="shared" si="29"/>
      </c>
      <c r="CG38" s="231">
        <f t="shared" ref="CG38:DL38" si="30">CG29+CG36+CG37</f>
      </c>
      <c r="CH38" s="231">
        <f t="shared" si="30"/>
      </c>
      <c r="CI38" s="231">
        <f t="shared" si="30"/>
      </c>
      <c r="CJ38" s="285">
        <f t="shared" si="30"/>
      </c>
      <c r="CK38" s="231">
        <f t="shared" si="30"/>
      </c>
      <c r="CL38" s="231">
        <f t="shared" si="30"/>
      </c>
      <c r="CM38" s="231">
        <f t="shared" si="30"/>
      </c>
      <c r="CN38" s="231">
        <f t="shared" si="30"/>
      </c>
      <c r="CO38" s="285">
        <f t="shared" si="30"/>
      </c>
      <c r="CP38" s="231">
        <f t="shared" si="30"/>
      </c>
      <c r="CQ38" s="231">
        <f t="shared" si="30"/>
      </c>
      <c r="CR38" s="231">
        <f t="shared" si="30"/>
      </c>
      <c r="CS38" s="231">
        <f t="shared" si="30"/>
      </c>
      <c r="CT38" s="285">
        <f t="shared" si="30"/>
      </c>
      <c r="CU38" s="231">
        <f t="shared" si="30"/>
      </c>
      <c r="CV38" s="231">
        <f t="shared" si="30"/>
      </c>
      <c r="CW38" s="231">
        <f t="shared" si="30"/>
      </c>
      <c r="CX38" s="231">
        <f t="shared" si="30"/>
      </c>
      <c r="CY38" s="285">
        <f t="shared" si="30"/>
      </c>
      <c r="CZ38" s="231">
        <f t="shared" si="30"/>
      </c>
      <c r="DA38" s="231">
        <f t="shared" si="30"/>
      </c>
      <c r="DB38" s="231">
        <f t="shared" si="30"/>
      </c>
      <c r="DC38" s="231">
        <f t="shared" si="30"/>
      </c>
      <c r="DD38" s="285">
        <f t="shared" si="30"/>
      </c>
      <c r="DE38" s="231">
        <f t="shared" si="30"/>
      </c>
      <c r="DF38" s="231">
        <f t="shared" si="30"/>
      </c>
      <c r="DG38" s="231">
        <f t="shared" si="30"/>
      </c>
      <c r="DH38" s="231">
        <f t="shared" si="30"/>
      </c>
      <c r="DI38" s="285">
        <f t="shared" si="30"/>
      </c>
      <c r="DJ38" s="231">
        <f t="shared" si="30"/>
      </c>
      <c r="DK38" s="231">
        <f t="shared" si="30"/>
      </c>
      <c r="DL38" s="231">
        <f t="shared" si="30"/>
      </c>
      <c r="DM38" s="231">
        <f t="shared" ref="DM38:EI38" si="31">DM29+DM36+DM37</f>
      </c>
      <c r="DN38" s="285">
        <f t="shared" si="31"/>
      </c>
      <c r="DO38" s="231">
        <f t="shared" si="31"/>
      </c>
      <c r="DP38" s="231">
        <f t="shared" si="31"/>
      </c>
      <c r="DQ38" s="231">
        <f t="shared" si="31"/>
      </c>
      <c r="DR38" s="231">
        <f t="shared" si="31"/>
      </c>
      <c r="DS38" s="285">
        <f t="shared" si="31"/>
      </c>
      <c r="DT38" s="231">
        <f t="shared" si="31"/>
      </c>
      <c r="DU38" s="231">
        <f t="shared" si="31"/>
      </c>
      <c r="DV38" s="231">
        <f t="shared" si="31"/>
      </c>
      <c r="DW38" s="231">
        <f t="shared" si="31"/>
      </c>
      <c r="DX38" s="285">
        <f t="shared" si="31"/>
      </c>
      <c r="DY38" s="231">
        <f t="shared" si="31"/>
      </c>
      <c r="DZ38" s="231">
        <f t="shared" si="31"/>
      </c>
      <c r="EA38" s="231">
        <f t="shared" si="31"/>
      </c>
      <c r="EB38" s="231">
        <f t="shared" si="31"/>
      </c>
      <c r="EC38" s="285">
        <f t="shared" si="31"/>
      </c>
      <c r="ED38" s="231">
        <f t="shared" si="31"/>
      </c>
      <c r="EE38" s="231">
        <f t="shared" si="31"/>
      </c>
      <c r="EF38" s="231">
        <f t="shared" si="31"/>
      </c>
      <c r="EG38" s="231">
        <f t="shared" si="31"/>
      </c>
      <c r="EH38" s="285">
        <f t="shared" si="31"/>
      </c>
      <c r="EI38" s="231">
        <f t="shared" si="31"/>
      </c>
      <c r="EJ38" s="1240">
        <v>6285</v>
      </c>
      <c r="EK38" s="1240">
        <v>6573</v>
      </c>
      <c r="EL38" s="1240">
        <v>5251</v>
      </c>
      <c r="EM38" s="285">
        <f>EM29+EM36+EM37</f>
      </c>
      <c r="EN38" s="1240">
        <v>6858</v>
      </c>
      <c r="EO38" s="1240">
        <v>7014</v>
      </c>
      <c r="EP38" s="1240">
        <v>6780</v>
      </c>
      <c r="EQ38" s="1240">
        <v>6046</v>
      </c>
      <c r="ER38" s="285">
        <f>ER29+ER36+ER37</f>
      </c>
      <c r="ES38" s="1240">
        <v>6867</v>
      </c>
      <c r="ET38" s="1240">
        <v>8614</v>
      </c>
      <c r="EU38" s="1240">
        <v>7116</v>
      </c>
      <c r="EV38" s="1240">
        <v>5628</v>
      </c>
      <c r="EW38" s="1639">
        <f>SUM(ES38:EV38)</f>
      </c>
      <c r="EX38" s="1665">
        <v>7244</v>
      </c>
      <c r="EY38" s="1665">
        <v>5337</v>
      </c>
      <c r="EZ38" s="1665">
        <v>7246</v>
      </c>
      <c r="FA38" s="1665">
        <v>5601</v>
      </c>
      <c r="FB38" s="1639">
        <f>SUM(EX38:FA38)</f>
      </c>
      <c r="FC38" s="1666">
        <f>FC29+FC36+FC37</f>
      </c>
      <c r="FD38" s="1665">
        <v>7776</v>
      </c>
      <c r="FE38" s="1665">
        <v>8058</v>
      </c>
      <c r="FF38" s="1665">
        <v>6339</v>
      </c>
      <c r="FG38" s="1639">
        <f>SUM(FC38:FF38)</f>
      </c>
      <c r="FH38" s="1666">
        <v>8218</v>
      </c>
      <c r="FI38" s="1665">
        <v>8171</v>
      </c>
      <c r="FJ38" s="1665">
        <v>8073</v>
      </c>
      <c r="FK38" s="1665">
        <v>7418</v>
      </c>
      <c r="FL38" s="1639">
        <f>SUM(FH38:FK38)</f>
      </c>
      <c r="FM38" s="1666">
        <v>8468</v>
      </c>
      <c r="FN38" s="1665">
        <f>+FN43+FN41</f>
      </c>
      <c r="FO38" s="1666">
        <f>+FO43+FO41</f>
      </c>
      <c r="FP38" s="1665">
        <f>+FP43+FP41</f>
      </c>
      <c r="FQ38" s="1665">
        <f>+FQ43+FQ41</f>
      </c>
      <c r="FR38" s="1665">
        <f>+FR43+FR41</f>
      </c>
      <c r="FS38" s="1639">
        <f>SUM(FO38:FR38)</f>
      </c>
      <c r="FT38" s="1666">
        <f>+FT43+FT41</f>
      </c>
      <c r="FU38" s="1665">
        <f>+FU43+FU41</f>
      </c>
      <c r="FV38" s="1666">
        <f t="shared" ref="FV38:GH38" si="32">FV29+FV36+FV37</f>
      </c>
      <c r="FW38" s="2815">
        <f t="shared" si="32"/>
      </c>
      <c r="FX38" s="1639">
        <f t="shared" si="32"/>
      </c>
      <c r="FY38" s="1647">
        <f t="shared" si="32"/>
      </c>
      <c r="FZ38" s="1647">
        <f t="shared" si="32"/>
      </c>
      <c r="GA38" s="1647">
        <f>GA29+GA36+GA37+GA34</f>
      </c>
      <c r="GB38" s="1647">
        <f>GB29+GB36+GB37</f>
      </c>
      <c r="GC38" s="1648">
        <f>GC29+GC36+GC37-GC33</f>
      </c>
      <c r="GD38" s="1647">
        <f t="shared" ref="GD38:GE38" si="33">GD29+GD36+GD37</f>
      </c>
      <c r="GE38" s="1647">
        <f t="shared" si="33"/>
      </c>
      <c r="GF38" s="1647">
        <f>GF29+GF36+GF37+GF34</f>
      </c>
      <c r="GG38" s="1647">
        <f>GG29+GG36+GG37</f>
      </c>
      <c r="GH38" s="1639">
        <f t="shared" si="32"/>
      </c>
      <c r="GI38" s="1639">
        <f ca="1">GI29+GI36+GI37</f>
      </c>
      <c r="GJ38" s="1639">
        <f ca="1">GJ29+GJ36+GJ37</f>
      </c>
      <c r="GK38" s="1639">
        <f ca="1">GK29+GK36+GK37</f>
      </c>
      <c r="GL38" s="1639">
        <f ca="1">GL29+GL36+GL37</f>
      </c>
      <c r="GM38" s="1639">
        <f ca="1">GM29+GM36+GM37</f>
      </c>
    </row>
    <row r="39" spans="1:195" outlineLevel="1">
      <c r="B39" s="54" t="s">
        <v>359</v>
      </c>
      <c r="E39" s="9">
        <f>E29+E36+E37-E33-E34</f>
      </c>
      <c r="F39" s="9">
        <f>F29+F36+F37-F33-F34</f>
      </c>
      <c r="G39" s="9">
        <f>G29+G36+G37-G33-G34</f>
      </c>
      <c r="H39" s="9" t="e">
        <f>H29+H31+H35+H36+H37</f>
      </c>
      <c r="I39" s="9" t="e">
        <f>I29+I36+I37-I33-I34</f>
      </c>
      <c r="J39" s="9">
        <v>579</v>
      </c>
      <c r="K39" s="9">
        <v>521</v>
      </c>
      <c r="L39" s="9">
        <f t="shared" ref="L39:U39" si="34">L29+L36+L37-L33-L34</f>
      </c>
      <c r="M39" s="9" t="e">
        <f t="shared" si="34"/>
      </c>
      <c r="N39" s="9">
        <f t="shared" si="34"/>
      </c>
      <c r="O39" s="9">
        <f t="shared" si="34"/>
      </c>
      <c r="P39" s="9">
        <f t="shared" si="34"/>
      </c>
      <c r="Q39" s="9">
        <f t="shared" si="34"/>
      </c>
      <c r="R39" s="9" t="e">
        <f t="shared" si="34"/>
      </c>
      <c r="S39" s="9" t="e">
        <f t="shared" si="34"/>
      </c>
      <c r="T39" s="9" t="e">
        <f t="shared" si="34"/>
      </c>
      <c r="U39" s="9" t="e">
        <f t="shared" si="34"/>
      </c>
      <c r="V39" s="9">
        <v>16</v>
      </c>
      <c r="W39" s="9" t="e">
        <f t="shared" ref="W39:BB39" si="35">W29+W36+W37-W33-W34</f>
      </c>
      <c r="X39" s="9" t="e">
        <f t="shared" si="35"/>
      </c>
      <c r="Y39" s="9" t="e">
        <f t="shared" si="35"/>
      </c>
      <c r="Z39" s="9">
        <f t="shared" si="35"/>
      </c>
      <c r="AA39" s="9">
        <f t="shared" si="35"/>
      </c>
      <c r="AB39" s="9" t="e">
        <f t="shared" si="35"/>
      </c>
      <c r="AC39" s="9">
        <f t="shared" si="35"/>
      </c>
      <c r="AD39" s="9">
        <f t="shared" si="35"/>
      </c>
      <c r="AE39" s="9">
        <f t="shared" si="35"/>
      </c>
      <c r="AF39" s="9">
        <f t="shared" si="35"/>
      </c>
      <c r="AG39" s="9">
        <f t="shared" si="35"/>
      </c>
      <c r="AH39" s="9">
        <f t="shared" si="35"/>
      </c>
      <c r="AI39" s="9">
        <f t="shared" si="35"/>
      </c>
      <c r="AJ39" s="9">
        <f t="shared" si="35"/>
      </c>
      <c r="AK39" s="9">
        <f t="shared" si="35"/>
      </c>
      <c r="AL39" s="9">
        <f t="shared" si="35"/>
      </c>
      <c r="AM39" s="9">
        <f t="shared" si="35"/>
      </c>
      <c r="AN39" s="9">
        <f t="shared" si="35"/>
      </c>
      <c r="AO39" s="9">
        <f t="shared" si="35"/>
      </c>
      <c r="AP39" s="9">
        <f t="shared" si="35"/>
      </c>
      <c r="AQ39" s="9">
        <f t="shared" si="35"/>
      </c>
      <c r="AR39" s="9">
        <f t="shared" si="35"/>
      </c>
      <c r="AS39" s="9">
        <f t="shared" si="35"/>
      </c>
      <c r="AT39" s="9">
        <f t="shared" si="35"/>
      </c>
      <c r="AU39" s="9">
        <f t="shared" si="35"/>
      </c>
      <c r="AV39" s="9">
        <f t="shared" si="35"/>
      </c>
      <c r="AW39" s="9">
        <f t="shared" si="35"/>
      </c>
      <c r="AX39" s="9">
        <f t="shared" si="35"/>
      </c>
      <c r="AY39" s="9">
        <f t="shared" si="35"/>
      </c>
      <c r="AZ39" s="9">
        <f t="shared" si="35"/>
      </c>
      <c r="BA39" s="289">
        <f t="shared" si="35"/>
      </c>
      <c r="BB39" s="9">
        <f t="shared" si="35"/>
      </c>
      <c r="BC39" s="9">
        <f t="shared" ref="BC39:CH39" si="36">BC29+BC36+BC37-BC33-BC34</f>
      </c>
      <c r="BD39" s="9">
        <f t="shared" si="36"/>
      </c>
      <c r="BE39" s="9">
        <f t="shared" si="36"/>
      </c>
      <c r="BF39" s="289">
        <f t="shared" si="36"/>
      </c>
      <c r="BG39" s="9">
        <f t="shared" si="36"/>
      </c>
      <c r="BH39" s="9">
        <f t="shared" si="36"/>
      </c>
      <c r="BI39" s="9">
        <f t="shared" si="36"/>
      </c>
      <c r="BJ39" s="9">
        <f t="shared" si="36"/>
      </c>
      <c r="BK39" s="289">
        <f t="shared" si="36"/>
      </c>
      <c r="BL39" s="9">
        <f t="shared" si="36"/>
      </c>
      <c r="BM39" s="9">
        <f t="shared" si="36"/>
      </c>
      <c r="BN39" s="9">
        <f t="shared" si="36"/>
      </c>
      <c r="BO39" s="9">
        <f t="shared" si="36"/>
      </c>
      <c r="BP39" s="289">
        <f t="shared" si="36"/>
      </c>
      <c r="BQ39" s="9">
        <f t="shared" si="36"/>
      </c>
      <c r="BR39" s="9">
        <f t="shared" si="36"/>
      </c>
      <c r="BS39" s="9">
        <f t="shared" si="36"/>
      </c>
      <c r="BT39" s="9">
        <f t="shared" si="36"/>
      </c>
      <c r="BU39" s="289">
        <f t="shared" si="36"/>
      </c>
      <c r="BV39" s="9">
        <f t="shared" si="36"/>
      </c>
      <c r="BW39" s="9">
        <f t="shared" si="36"/>
      </c>
      <c r="BX39" s="9">
        <f t="shared" si="36"/>
      </c>
      <c r="BY39" s="9">
        <f t="shared" si="36"/>
      </c>
      <c r="BZ39" s="289">
        <f t="shared" si="36"/>
      </c>
      <c r="CA39" s="9">
        <f t="shared" si="36"/>
      </c>
      <c r="CB39" s="9">
        <f t="shared" si="36"/>
      </c>
      <c r="CC39" s="9">
        <f t="shared" si="36"/>
      </c>
      <c r="CD39" s="9">
        <f t="shared" si="36"/>
      </c>
      <c r="CE39" s="289">
        <f t="shared" si="36"/>
      </c>
      <c r="CF39" s="9">
        <f t="shared" si="36"/>
      </c>
      <c r="CG39" s="9">
        <f t="shared" si="36"/>
      </c>
      <c r="CH39" s="9">
        <f t="shared" si="36"/>
      </c>
      <c r="CI39" s="9">
        <f t="shared" ref="CI39:DN39" si="37">CI29+CI36+CI37-CI33-CI34</f>
      </c>
      <c r="CJ39" s="289">
        <f t="shared" si="37"/>
      </c>
      <c r="CK39" s="9">
        <f t="shared" si="37"/>
      </c>
      <c r="CL39" s="9">
        <f t="shared" si="37"/>
      </c>
      <c r="CM39" s="9">
        <f t="shared" si="37"/>
      </c>
      <c r="CN39" s="9">
        <f t="shared" si="37"/>
      </c>
      <c r="CO39" s="289">
        <f t="shared" si="37"/>
      </c>
      <c r="CP39" s="9">
        <f t="shared" si="37"/>
      </c>
      <c r="CQ39" s="9">
        <f t="shared" si="37"/>
      </c>
      <c r="CR39" s="9">
        <f t="shared" si="37"/>
      </c>
      <c r="CS39" s="9">
        <f t="shared" si="37"/>
      </c>
      <c r="CT39" s="289">
        <f t="shared" si="37"/>
      </c>
      <c r="CU39" s="9">
        <f t="shared" si="37"/>
      </c>
      <c r="CV39" s="9">
        <f t="shared" si="37"/>
      </c>
      <c r="CW39" s="9">
        <f t="shared" si="37"/>
      </c>
      <c r="CX39" s="9">
        <f t="shared" si="37"/>
      </c>
      <c r="CY39" s="289">
        <f t="shared" si="37"/>
      </c>
      <c r="CZ39" s="9">
        <f t="shared" si="37"/>
      </c>
      <c r="DA39" s="9">
        <f t="shared" si="37"/>
      </c>
      <c r="DB39" s="9">
        <f t="shared" si="37"/>
      </c>
      <c r="DC39" s="9">
        <f t="shared" si="37"/>
      </c>
      <c r="DD39" s="289">
        <f t="shared" si="37"/>
      </c>
      <c r="DE39" s="9">
        <f t="shared" si="37"/>
      </c>
      <c r="DF39" s="9">
        <f t="shared" si="37"/>
      </c>
      <c r="DG39" s="9">
        <f t="shared" si="37"/>
      </c>
      <c r="DH39" s="9">
        <f t="shared" si="37"/>
      </c>
      <c r="DI39" s="289">
        <f t="shared" si="37"/>
      </c>
      <c r="DJ39" s="9">
        <f t="shared" si="37"/>
      </c>
      <c r="DK39" s="9">
        <f t="shared" si="37"/>
      </c>
      <c r="DL39" s="9">
        <f t="shared" si="37"/>
      </c>
      <c r="DM39" s="9">
        <f t="shared" si="37"/>
      </c>
      <c r="DN39" s="289">
        <f t="shared" si="37"/>
      </c>
      <c r="DO39" s="9">
        <f t="shared" ref="DO39:EW39" si="38">DO29+DO36+DO37-DO33-DO34</f>
      </c>
      <c r="DP39" s="9">
        <f t="shared" si="38"/>
      </c>
      <c r="DQ39" s="9">
        <f t="shared" si="38"/>
      </c>
      <c r="DR39" s="9">
        <f t="shared" si="38"/>
      </c>
      <c r="DS39" s="289">
        <f t="shared" si="38"/>
      </c>
      <c r="DT39" s="9">
        <f t="shared" si="38"/>
      </c>
      <c r="DU39" s="9">
        <f t="shared" si="38"/>
      </c>
      <c r="DV39" s="9">
        <f t="shared" si="38"/>
      </c>
      <c r="DW39" s="9">
        <f t="shared" si="38"/>
      </c>
      <c r="DX39" s="289">
        <f t="shared" si="38"/>
      </c>
      <c r="DY39" s="9">
        <f t="shared" si="38"/>
      </c>
      <c r="DZ39" s="9">
        <f t="shared" si="38"/>
      </c>
      <c r="EA39" s="9">
        <f t="shared" si="38"/>
      </c>
      <c r="EB39" s="9">
        <f t="shared" si="38"/>
      </c>
      <c r="EC39" s="289">
        <f t="shared" si="38"/>
      </c>
      <c r="ED39" s="9">
        <f t="shared" si="38"/>
      </c>
      <c r="EE39" s="9">
        <f t="shared" si="38"/>
      </c>
      <c r="EF39" s="9">
        <f t="shared" si="38"/>
      </c>
      <c r="EG39" s="9">
        <f t="shared" si="38"/>
      </c>
      <c r="EH39" s="289">
        <f t="shared" si="38"/>
      </c>
      <c r="EI39" s="1022">
        <f t="shared" si="38"/>
      </c>
      <c r="EJ39" s="1022">
        <f t="shared" si="38"/>
      </c>
      <c r="EK39" s="1022">
        <f t="shared" si="38"/>
      </c>
      <c r="EL39" s="1022">
        <f t="shared" si="38"/>
      </c>
      <c r="EM39" s="289">
        <f t="shared" si="38"/>
      </c>
      <c r="EN39" s="1022">
        <f t="shared" si="38"/>
      </c>
      <c r="EO39" s="1022">
        <f t="shared" si="38"/>
      </c>
      <c r="EP39" s="1022">
        <f t="shared" si="38"/>
      </c>
      <c r="EQ39" s="1022">
        <f t="shared" si="38"/>
      </c>
      <c r="ER39" s="289">
        <f t="shared" si="38"/>
      </c>
      <c r="ES39" s="1022">
        <f t="shared" si="38"/>
      </c>
      <c r="ET39" s="1022">
        <f t="shared" si="38"/>
      </c>
      <c r="EU39" s="1022">
        <f t="shared" si="38"/>
      </c>
      <c r="EV39" s="1022">
        <f t="shared" si="38"/>
      </c>
      <c r="EW39" s="1668">
        <f t="shared" si="38"/>
      </c>
      <c r="EX39" s="1636"/>
      <c r="EY39" s="1636"/>
      <c r="EZ39" s="1636"/>
      <c r="FA39" s="1636"/>
      <c r="FB39" s="1652">
        <f>FB29+FB36+FB37-FB33-FB34</f>
      </c>
      <c r="FC39" s="1652"/>
      <c r="FD39" s="1669"/>
      <c r="FE39" s="1669"/>
      <c r="FF39" s="1670"/>
      <c r="FG39" s="1652">
        <f>FG29+FG36+FG37-FG33-FG34</f>
      </c>
      <c r="FH39" s="1652"/>
      <c r="FI39" s="1669"/>
      <c r="FJ39" s="1669"/>
      <c r="FK39" s="1670"/>
      <c r="FL39" s="1668">
        <f>FL29+FL36+FL37-FL33-FL34</f>
      </c>
      <c r="FM39" s="1637"/>
      <c r="FN39" s="1636"/>
      <c r="FO39" s="1652"/>
      <c r="FP39" s="1669"/>
      <c r="FQ39" s="1669"/>
      <c r="FR39" s="1670"/>
      <c r="FS39" s="1668">
        <f>FS29+FS36+FS37-FS33-FS34</f>
      </c>
      <c r="FT39" s="1637"/>
      <c r="FU39" s="1638"/>
      <c r="FV39" s="1637"/>
      <c r="FW39" s="1638"/>
      <c r="FX39" s="1668">
        <f>FX29+FX36+FX37-FX33-FX34</f>
      </c>
      <c r="FY39" s="1636"/>
      <c r="FZ39" s="1636"/>
      <c r="GA39" s="1636"/>
      <c r="GB39" s="1638"/>
      <c r="GC39" s="1668">
        <f t="shared" ref="GC39:GL39" si="39">GC29+GC36+GC37-GC33-GC34</f>
      </c>
      <c r="GD39" s="1636"/>
      <c r="GE39" s="1636"/>
      <c r="GF39" s="1636"/>
      <c r="GG39" s="1638"/>
      <c r="GH39" s="1668">
        <f t="shared" si="39"/>
      </c>
      <c r="GI39" s="1668">
        <f t="shared" ca="1" si="39"/>
      </c>
      <c r="GJ39" s="1668">
        <f t="shared" ca="1" si="39"/>
      </c>
      <c r="GK39" s="1668">
        <f t="shared" ca="1" si="39"/>
      </c>
      <c r="GL39" s="1668">
        <f t="shared" ca="1" si="39"/>
      </c>
      <c r="GM39" s="1668">
        <f ca="1">GM29+GM36+GM37-GM33-GM34</f>
      </c>
    </row>
    <row r="40" spans="1:195" ht="5.25" customHeight="1">
      <c r="B40" s="20"/>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289"/>
      <c r="BB40" s="9"/>
      <c r="BC40" s="9"/>
      <c r="BD40" s="9"/>
      <c r="BE40" s="9"/>
      <c r="BF40" s="289"/>
      <c r="BG40" s="9"/>
      <c r="BH40" s="9"/>
      <c r="BI40" s="9"/>
      <c r="BJ40" s="9"/>
      <c r="BK40" s="289"/>
      <c r="BL40" s="9"/>
      <c r="BM40" s="9"/>
      <c r="BN40" s="9"/>
      <c r="BO40" s="9"/>
      <c r="BP40" s="289"/>
      <c r="BQ40" s="9"/>
      <c r="BR40" s="9"/>
      <c r="BS40" s="9"/>
      <c r="BT40" s="9"/>
      <c r="BU40" s="289"/>
      <c r="BV40" s="9"/>
      <c r="BW40" s="9"/>
      <c r="BX40" s="9"/>
      <c r="BY40" s="9"/>
      <c r="BZ40" s="289"/>
      <c r="CA40" s="9"/>
      <c r="CB40" s="9"/>
      <c r="CC40" s="9"/>
      <c r="CD40" s="9"/>
      <c r="CE40" s="289"/>
      <c r="CF40" s="9"/>
      <c r="CG40" s="9"/>
      <c r="CH40" s="9"/>
      <c r="CI40" s="9"/>
      <c r="CJ40" s="289"/>
      <c r="CK40" s="9"/>
      <c r="CL40" s="9"/>
      <c r="CM40" s="9"/>
      <c r="CN40" s="9"/>
      <c r="CO40" s="289"/>
      <c r="CP40" s="9"/>
      <c r="CQ40" s="9"/>
      <c r="CR40" s="9"/>
      <c r="CS40" s="9"/>
      <c r="CT40" s="289"/>
      <c r="CU40" s="9"/>
      <c r="CV40" s="9"/>
      <c r="CW40" s="9"/>
      <c r="CX40" s="9"/>
      <c r="CY40" s="289"/>
      <c r="CZ40" s="640"/>
      <c r="DA40" s="640"/>
      <c r="DB40" s="640"/>
      <c r="DC40" s="640"/>
      <c r="DD40" s="289"/>
      <c r="DE40" s="9"/>
      <c r="DF40" s="9"/>
      <c r="DG40" s="9"/>
      <c r="DH40" s="9"/>
      <c r="DI40" s="289"/>
      <c r="DJ40" s="9"/>
      <c r="DK40" s="9"/>
      <c r="DL40" s="9"/>
      <c r="DM40" s="9"/>
      <c r="DN40" s="289"/>
      <c r="DO40" s="9"/>
      <c r="DP40" s="9"/>
      <c r="DQ40" s="9"/>
      <c r="DR40" s="9"/>
      <c r="DS40" s="289"/>
      <c r="DT40" s="9"/>
      <c r="DU40" s="9"/>
      <c r="DV40" s="9"/>
      <c r="DW40" s="9"/>
      <c r="DX40" s="289"/>
      <c r="DY40" s="9"/>
      <c r="DZ40" s="9"/>
      <c r="EA40" s="9"/>
      <c r="EB40" s="9"/>
      <c r="EC40" s="289"/>
      <c r="ED40" s="9"/>
      <c r="EE40" s="9"/>
      <c r="EF40" s="9"/>
      <c r="EG40" s="9"/>
      <c r="EH40" s="289"/>
      <c r="EI40" s="1022"/>
      <c r="EJ40" s="1022"/>
      <c r="EK40" s="1022"/>
      <c r="EL40" s="1022"/>
      <c r="EM40" s="289"/>
      <c r="EN40" s="1022"/>
      <c r="EO40" s="1022"/>
      <c r="EP40" s="1022"/>
      <c r="EQ40" s="1022"/>
      <c r="ER40" s="289"/>
      <c r="ES40" s="1022"/>
      <c r="ET40" s="1022"/>
      <c r="EU40" s="1022"/>
      <c r="EV40" s="1022"/>
      <c r="EW40" s="1668"/>
      <c r="EX40" s="1636"/>
      <c r="EY40" s="1636"/>
      <c r="EZ40" s="1636"/>
      <c r="FA40" s="1636"/>
      <c r="FB40" s="1652"/>
      <c r="FC40" s="1652"/>
      <c r="FD40" s="1669"/>
      <c r="FE40" s="1669"/>
      <c r="FF40" s="1670"/>
      <c r="FG40" s="1652"/>
      <c r="FH40" s="1652"/>
      <c r="FI40" s="1669"/>
      <c r="FJ40" s="1669"/>
      <c r="FK40" s="1670"/>
      <c r="FL40" s="1668"/>
      <c r="FM40" s="1637"/>
      <c r="FN40" s="1636"/>
      <c r="FO40" s="1652"/>
      <c r="FP40" s="1669"/>
      <c r="FQ40" s="1669"/>
      <c r="FR40" s="1670"/>
      <c r="FS40" s="1668"/>
      <c r="FT40" s="1637"/>
      <c r="FU40" s="1638"/>
      <c r="FV40" s="1637"/>
      <c r="FW40" s="1638"/>
      <c r="FX40" s="1668"/>
      <c r="FY40" s="1636"/>
      <c r="FZ40" s="1636"/>
      <c r="GA40" s="1636"/>
      <c r="GB40" s="1638"/>
      <c r="GC40" s="1668"/>
      <c r="GD40" s="1636"/>
      <c r="GE40" s="1636"/>
      <c r="GF40" s="1636"/>
      <c r="GG40" s="1638"/>
      <c r="GH40" s="1668"/>
      <c r="GI40" s="1668"/>
      <c r="GJ40" s="1668"/>
      <c r="GK40" s="1668"/>
      <c r="GL40" s="1668"/>
      <c r="GM40" s="1668"/>
    </row>
    <row r="41" spans="1:195" ht="12.75" customHeight="1">
      <c r="A41" s="946"/>
      <c r="B41" s="971" t="s">
        <v>361</v>
      </c>
      <c r="C41" s="946"/>
      <c r="D41" s="946"/>
      <c r="E41" s="3346">
        <v>360</v>
      </c>
      <c r="F41" s="3346">
        <v>422</v>
      </c>
      <c r="G41" s="3346">
        <v>432</v>
      </c>
      <c r="H41" s="3346">
        <v>480</v>
      </c>
      <c r="I41" s="3346">
        <v>191</v>
      </c>
      <c r="J41" s="3346">
        <v>173</v>
      </c>
      <c r="K41" s="3346">
        <v>158</v>
      </c>
      <c r="L41" s="3346">
        <v>55</v>
      </c>
      <c r="M41" s="3346">
        <v>577</v>
      </c>
      <c r="N41" s="3346">
        <v>192</v>
      </c>
      <c r="O41" s="3346">
        <v>184</v>
      </c>
      <c r="P41" s="3346">
        <v>154</v>
      </c>
      <c r="Q41" s="3346">
        <f>R41-N41-O41-P41</f>
      </c>
      <c r="R41" s="3346">
        <v>582</v>
      </c>
      <c r="S41" s="3346">
        <v>197</v>
      </c>
      <c r="T41" s="3346">
        <v>175</v>
      </c>
      <c r="U41" s="3346">
        <v>128</v>
      </c>
      <c r="V41" s="3346">
        <v>45</v>
      </c>
      <c r="W41" s="3346">
        <f>S41+T41+U41+V41</f>
      </c>
      <c r="X41" s="3346">
        <v>192</v>
      </c>
      <c r="Y41" s="3346">
        <v>203</v>
      </c>
      <c r="Z41" s="3346">
        <v>188</v>
      </c>
      <c r="AA41" s="3346">
        <v>92</v>
      </c>
      <c r="AB41" s="3346">
        <f>X41+Y41+Z41+AA41</f>
      </c>
      <c r="AC41" s="695">
        <v>267</v>
      </c>
      <c r="AD41" s="695">
        <v>270</v>
      </c>
      <c r="AE41" s="695">
        <v>249</v>
      </c>
      <c r="AF41" s="695">
        <v>128</v>
      </c>
      <c r="AG41" s="3346">
        <f>AC41+AD41+AE41+AF41</f>
      </c>
      <c r="AH41" s="695">
        <v>334</v>
      </c>
      <c r="AI41" s="695">
        <v>328</v>
      </c>
      <c r="AJ41" s="696">
        <v>309</v>
      </c>
      <c r="AK41" s="695">
        <v>175</v>
      </c>
      <c r="AL41" s="695">
        <v>1146</v>
      </c>
      <c r="AM41" s="695">
        <v>393</v>
      </c>
      <c r="AN41" s="695">
        <v>385</v>
      </c>
      <c r="AO41" s="695">
        <v>342</v>
      </c>
      <c r="AP41" s="695">
        <v>153</v>
      </c>
      <c r="AQ41" s="695">
        <v>1273</v>
      </c>
      <c r="AR41" s="695">
        <v>375</v>
      </c>
      <c r="AS41" s="695">
        <v>373</v>
      </c>
      <c r="AT41" s="695">
        <v>357</v>
      </c>
      <c r="AU41" s="695">
        <v>74</v>
      </c>
      <c r="AV41" s="3346">
        <f>SUM(AR41:AU41)</f>
      </c>
      <c r="AW41" s="695">
        <v>484</v>
      </c>
      <c r="AX41" s="695">
        <v>465</v>
      </c>
      <c r="AY41" s="695">
        <v>420</v>
      </c>
      <c r="AZ41" s="695">
        <v>217</v>
      </c>
      <c r="BA41" s="3347">
        <f>SUM(AW41:AZ41)</f>
      </c>
      <c r="BB41" s="688">
        <v>583</v>
      </c>
      <c r="BC41" s="688">
        <v>550</v>
      </c>
      <c r="BD41" s="688">
        <v>511</v>
      </c>
      <c r="BE41" s="688">
        <v>271</v>
      </c>
      <c r="BF41" s="3347">
        <f>SUM(BB41:BE41)</f>
      </c>
      <c r="BG41" s="688">
        <v>665</v>
      </c>
      <c r="BH41" s="688">
        <v>654</v>
      </c>
      <c r="BI41" s="688">
        <f>579+14</f>
      </c>
      <c r="BJ41" s="688">
        <v>339</v>
      </c>
      <c r="BK41" s="3347">
        <f>SUM(BG41:BJ41)</f>
      </c>
      <c r="BL41" s="688">
        <v>787</v>
      </c>
      <c r="BM41" s="688">
        <v>774</v>
      </c>
      <c r="BN41" s="688">
        <v>668</v>
      </c>
      <c r="BO41" s="688">
        <v>465</v>
      </c>
      <c r="BP41" s="3347">
        <f>SUM(BL41:BO41)</f>
      </c>
      <c r="BQ41" s="688">
        <v>859</v>
      </c>
      <c r="BR41" s="688">
        <v>846</v>
      </c>
      <c r="BS41" s="688">
        <v>877</v>
      </c>
      <c r="BT41" s="688">
        <v>529</v>
      </c>
      <c r="BU41" s="3347">
        <f>SUM(BQ41:BT41)</f>
      </c>
      <c r="BV41" s="1037">
        <v>1010.6</v>
      </c>
      <c r="BW41" s="1037">
        <v>977.4</v>
      </c>
      <c r="BX41" s="1037">
        <v>939</v>
      </c>
      <c r="BY41" s="1037">
        <f>1408-789</f>
      </c>
      <c r="BZ41" s="3347">
        <f>SUM(BV41:BY41)</f>
      </c>
      <c r="CA41" s="1023">
        <v>1135</v>
      </c>
      <c r="CB41" s="1023">
        <f>726+225</f>
      </c>
      <c r="CC41" s="641">
        <v>929</v>
      </c>
      <c r="CD41" s="688">
        <v>458</v>
      </c>
      <c r="CE41" s="3347">
        <f>SUM(CA41:CD41)</f>
      </c>
      <c r="CF41" s="641">
        <v>1064</v>
      </c>
      <c r="CG41" s="641">
        <v>783</v>
      </c>
      <c r="CH41" s="641">
        <v>901</v>
      </c>
      <c r="CI41" s="688">
        <v>643</v>
      </c>
      <c r="CJ41" s="3347">
        <f>+SUM(CF41:CI41)</f>
      </c>
      <c r="CK41" s="641">
        <v>1079</v>
      </c>
      <c r="CL41" s="641">
        <v>950</v>
      </c>
      <c r="CM41" s="641">
        <v>935</v>
      </c>
      <c r="CN41" s="688">
        <v>462</v>
      </c>
      <c r="CO41" s="3347">
        <f>+SUM(CK41:CN41)</f>
      </c>
      <c r="CP41" s="641">
        <v>1148.7739999999999</v>
      </c>
      <c r="CQ41" s="641">
        <v>1048</v>
      </c>
      <c r="CR41" s="641">
        <v>980</v>
      </c>
      <c r="CS41" s="641">
        <f>803-150</f>
      </c>
      <c r="CT41" s="3347">
        <f>SUM(CP41:CS41)</f>
      </c>
      <c r="CU41" s="641">
        <v>1136</v>
      </c>
      <c r="CV41" s="641">
        <v>1055</v>
      </c>
      <c r="CW41" s="641">
        <v>900</v>
      </c>
      <c r="CX41" s="688">
        <v>558</v>
      </c>
      <c r="CY41" s="3347">
        <f>SUM(CU41:CX41)</f>
      </c>
      <c r="CZ41" s="641">
        <v>1167</v>
      </c>
      <c r="DA41" s="641">
        <v>995</v>
      </c>
      <c r="DB41" s="641">
        <v>802</v>
      </c>
      <c r="DC41" s="688">
        <v>586.67000000000007</v>
      </c>
      <c r="DD41" s="3347">
        <f>SUM(CZ41,DA41,DB41,DC41)</f>
      </c>
      <c r="DE41" s="641">
        <v>1109</v>
      </c>
      <c r="DF41" s="641">
        <v>865</v>
      </c>
      <c r="DG41" s="641">
        <v>984</v>
      </c>
      <c r="DH41" s="688">
        <v>528</v>
      </c>
      <c r="DI41" s="3347">
        <f>SUM(DE41:DH41)</f>
      </c>
      <c r="DJ41" s="641">
        <f>4928-3804</f>
      </c>
      <c r="DK41" s="641">
        <f>4646-3644</f>
      </c>
      <c r="DL41" s="641">
        <f>4525-3521</f>
      </c>
      <c r="DM41" s="688">
        <f>4115-3376</f>
      </c>
      <c r="DN41" s="3347">
        <f>SUM(DJ41:DM41)</f>
      </c>
      <c r="DO41" s="1023">
        <f>5070-4107</f>
      </c>
      <c r="DP41" s="1023">
        <f>5359-4289</f>
      </c>
      <c r="DQ41" s="1023">
        <f>4831-3919</f>
      </c>
      <c r="DR41" s="1037">
        <f>3909-3561</f>
      </c>
      <c r="DS41" s="3347">
        <f>SUM(DO41:DR41)</f>
      </c>
      <c r="DT41" s="1023">
        <f>DT38-4693</f>
      </c>
      <c r="DU41" s="1023">
        <f>6524-5133</f>
      </c>
      <c r="DV41" s="1023">
        <f>DV38-4292</f>
      </c>
      <c r="DW41" s="1037">
        <f>DW38-3887</f>
      </c>
      <c r="DX41" s="3347">
        <f>SUM(DT41:DW41)</f>
      </c>
      <c r="DY41" s="1023">
        <f>1255-43</f>
      </c>
      <c r="DZ41" s="1023">
        <f>1225+211</f>
      </c>
      <c r="EA41" s="1023">
        <f>5212-4172</f>
      </c>
      <c r="EB41" s="1037">
        <f>EB38-4043</f>
      </c>
      <c r="EC41" s="3347">
        <f>SUM(DY41:EB41)</f>
      </c>
      <c r="ED41" s="1023">
        <f>1744+608+278+666+29+46-(443+217+549+23+34)-EE41</f>
      </c>
      <c r="EE41" s="1023">
        <f>907+326+141+600+29+24-(238+97+493+23+18)</f>
      </c>
      <c r="EF41" s="1023">
        <f>1*(5831-4683)</f>
      </c>
      <c r="EG41" s="1037">
        <v>742</v>
      </c>
      <c r="EH41" s="3347">
        <f>SUM(ED41:EG41)</f>
      </c>
      <c r="EI41" s="641">
        <v>1065</v>
      </c>
      <c r="EJ41" s="1023">
        <f>EJ38-EJ43</f>
      </c>
      <c r="EK41" s="1023">
        <f>EK38-EK43</f>
      </c>
      <c r="EL41" s="1023">
        <f>EL38-EL43</f>
      </c>
      <c r="EM41" s="3347">
        <f>SUM(EI41:EL41)</f>
      </c>
      <c r="EN41" s="1023">
        <f>EN38-EN43</f>
      </c>
      <c r="EO41" s="1023">
        <f>EO38-EO43</f>
      </c>
      <c r="EP41" s="1023">
        <f>EP38-EP43</f>
      </c>
      <c r="EQ41" s="1023">
        <f>EQ38-EQ43</f>
      </c>
      <c r="ER41" s="3347">
        <f>SUM(EN41:EQ41)</f>
      </c>
      <c r="ES41" s="1023">
        <f>ES38-ES43</f>
      </c>
      <c r="ET41" s="1023">
        <f>ET38-ET43</f>
      </c>
      <c r="EU41" s="1023">
        <f>EU38-EU43</f>
      </c>
      <c r="EV41" s="1023">
        <f>EV38-EV43</f>
      </c>
      <c r="EW41" s="3348">
        <f>SUM(ES41:EV41)</f>
      </c>
      <c r="EX41" s="1663">
        <f>EX38-EX43</f>
      </c>
      <c r="EY41" s="1663">
        <f>EY38-EY43</f>
      </c>
      <c r="EZ41" s="1663">
        <f>EZ38-EZ43</f>
      </c>
      <c r="FA41" s="1663">
        <f>FA38-FA43</f>
      </c>
      <c r="FB41" s="3348">
        <f>SUM(EX41:FA41)</f>
      </c>
      <c r="FC41" s="1663">
        <f>FC38-FC43</f>
      </c>
      <c r="FD41" s="1663">
        <f>FD38-FD43</f>
      </c>
      <c r="FE41" s="1663">
        <f>FE38-FE43</f>
      </c>
      <c r="FF41" s="1663">
        <f>FF38-FF43</f>
      </c>
      <c r="FG41" s="3348">
        <f>SUM(FC41:FF41)</f>
      </c>
      <c r="FH41" s="1663">
        <f>FH38-FH43</f>
      </c>
      <c r="FI41" s="1663">
        <f>FI38-FI43</f>
      </c>
      <c r="FJ41" s="1663">
        <f>FJ38-FJ43</f>
      </c>
      <c r="FK41" s="1663">
        <f>FK38-FK43</f>
      </c>
      <c r="FL41" s="3348">
        <f>SUM(FH41:FK41)</f>
      </c>
      <c r="FM41" s="2410">
        <f>FM38-FM43</f>
      </c>
      <c r="FN41" s="1663">
        <v>1465.5</v>
      </c>
      <c r="FO41" s="2410">
        <v>961</v>
      </c>
      <c r="FP41" s="1663">
        <v>1044</v>
      </c>
      <c r="FQ41" s="1663">
        <v>1122</v>
      </c>
      <c r="FR41" s="1663">
        <v>1050</v>
      </c>
      <c r="FS41" s="3348">
        <f>SUM(FO41:FR41)</f>
      </c>
      <c r="FT41" s="2410">
        <v>1196</v>
      </c>
      <c r="FU41" s="2814">
        <v>1275</v>
      </c>
      <c r="FV41" s="2410">
        <v>1256</v>
      </c>
      <c r="FW41" s="2814">
        <v>675</v>
      </c>
      <c r="FX41" s="3348">
        <v>4402</v>
      </c>
      <c r="FY41" s="1645">
        <v>1297</v>
      </c>
      <c r="FZ41" s="1645">
        <v>1564</v>
      </c>
      <c r="GA41" s="1645">
        <v>1401</v>
      </c>
      <c r="GB41" s="2446">
        <v>475</v>
      </c>
      <c r="GC41" s="3348">
        <f>SUM(FY41:GB41)</f>
      </c>
      <c r="GD41" s="1645">
        <v>1305</v>
      </c>
      <c r="GE41" s="1645">
        <v>1489</v>
      </c>
      <c r="GF41" s="1645">
        <v>1635</v>
      </c>
      <c r="GG41" s="1728">
        <f>+GH41-SUM(GD41:GF41)</f>
      </c>
      <c r="GH41" s="3348">
        <f t="shared" ref="GH41:GL41" si="40">GH38*GH71</f>
      </c>
      <c r="GI41" s="3348">
        <f t="shared" ca="1" si="40"/>
      </c>
      <c r="GJ41" s="3348">
        <f t="shared" ca="1" si="40"/>
      </c>
      <c r="GK41" s="3348">
        <f t="shared" ca="1" si="40"/>
      </c>
      <c r="GL41" s="3348">
        <f t="shared" ca="1" si="40"/>
      </c>
      <c r="GM41" s="3348">
        <f ca="1">GM38*GM71</f>
      </c>
    </row>
    <row r="42" spans="1:195" ht="4.5" customHeight="1">
      <c r="B42" s="20"/>
      <c r="BA42" s="214"/>
      <c r="BF42" s="214"/>
      <c r="BK42" s="214"/>
      <c r="BL42" s="684"/>
      <c r="BM42" s="684"/>
      <c r="BN42" s="684"/>
      <c r="BO42" s="684"/>
      <c r="BP42" s="214"/>
      <c r="BU42" s="214"/>
      <c r="BZ42" s="214"/>
      <c r="CE42" s="214"/>
      <c r="CJ42" s="214"/>
      <c r="CO42" s="214"/>
      <c r="CT42" s="214"/>
      <c r="CY42" s="214"/>
      <c r="DD42" s="214"/>
      <c r="DI42" s="214"/>
      <c r="DN42" s="214"/>
      <c r="DS42" s="214"/>
      <c r="DX42" s="214"/>
      <c r="EC42" s="214"/>
      <c r="EF42" s="946"/>
      <c r="EH42" s="214"/>
      <c r="EI42" s="946"/>
      <c r="EJ42" s="946"/>
      <c r="EK42" s="946"/>
      <c r="EL42" s="946"/>
      <c r="EM42" s="214"/>
      <c r="EN42" s="946"/>
      <c r="EO42" s="946"/>
      <c r="EP42" s="946"/>
      <c r="EQ42" s="946"/>
      <c r="ER42" s="214"/>
      <c r="ES42" s="946"/>
      <c r="ET42" s="946"/>
      <c r="EU42" s="946"/>
      <c r="EV42" s="946"/>
      <c r="EW42" s="1628"/>
      <c r="EX42" s="1045"/>
      <c r="EY42" s="1045"/>
      <c r="EZ42" s="1045"/>
      <c r="FA42" s="1045"/>
      <c r="FB42" s="1667"/>
      <c r="FC42" s="1671"/>
      <c r="FD42" s="1045"/>
      <c r="FE42" s="1045"/>
      <c r="FF42" s="1045"/>
      <c r="FG42" s="1630"/>
      <c r="FH42" s="1671"/>
      <c r="FI42" s="1045"/>
      <c r="FJ42" s="1045"/>
      <c r="FK42" s="1045"/>
      <c r="FL42" s="1628"/>
      <c r="FM42" s="1671"/>
      <c r="FN42" s="2676"/>
      <c r="FO42" s="1671"/>
      <c r="FP42" s="1045"/>
      <c r="FQ42" s="1045"/>
      <c r="FR42" s="1045"/>
      <c r="FS42" s="1628"/>
      <c r="FT42" s="1671"/>
      <c r="FU42" s="2816"/>
      <c r="FV42" s="2344"/>
      <c r="FW42" s="3293"/>
      <c r="FX42" s="1628"/>
      <c r="FY42" s="1045"/>
      <c r="FZ42" s="1045"/>
      <c r="GA42" s="1045"/>
      <c r="GB42" s="1045"/>
      <c r="GC42" s="1628"/>
      <c r="GD42" s="1045"/>
      <c r="GE42" s="1045"/>
      <c r="GF42" s="1045"/>
      <c r="GG42" s="1045"/>
      <c r="GH42" s="1628"/>
      <c r="GI42" s="1628"/>
      <c r="GJ42" s="1628"/>
      <c r="GK42" s="1628"/>
      <c r="GL42" s="1628"/>
      <c r="GM42" s="1628"/>
    </row>
    <row r="43" spans="1:195" s="18" customFormat="1" ht="12.75" customHeight="1">
      <c r="B43" s="369" t="s">
        <v>271</v>
      </c>
      <c r="C43" s="370"/>
      <c r="D43" s="370"/>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c r="AO43" s="370"/>
      <c r="AP43" s="370"/>
      <c r="AQ43" s="370"/>
      <c r="AR43" s="371">
        <f t="shared" ref="AR43:BW43" si="41">+AR38-AR41</f>
      </c>
      <c r="AS43" s="371">
        <f t="shared" si="41"/>
      </c>
      <c r="AT43" s="371">
        <f t="shared" si="41"/>
      </c>
      <c r="AU43" s="371">
        <f t="shared" si="41"/>
      </c>
      <c r="AV43" s="371">
        <f t="shared" si="41"/>
      </c>
      <c r="AW43" s="371">
        <f t="shared" si="41"/>
      </c>
      <c r="AX43" s="371">
        <f t="shared" si="41"/>
      </c>
      <c r="AY43" s="371">
        <f t="shared" si="41"/>
      </c>
      <c r="AZ43" s="371">
        <f t="shared" si="41"/>
      </c>
      <c r="BA43" s="372">
        <f t="shared" si="41"/>
      </c>
      <c r="BB43" s="371">
        <f t="shared" si="41"/>
      </c>
      <c r="BC43" s="371">
        <f t="shared" si="41"/>
      </c>
      <c r="BD43" s="371">
        <f t="shared" si="41"/>
      </c>
      <c r="BE43" s="371">
        <f t="shared" si="41"/>
      </c>
      <c r="BF43" s="372">
        <f t="shared" si="41"/>
      </c>
      <c r="BG43" s="371">
        <f t="shared" si="41"/>
      </c>
      <c r="BH43" s="371">
        <f t="shared" si="41"/>
      </c>
      <c r="BI43" s="371">
        <f t="shared" si="41"/>
      </c>
      <c r="BJ43" s="371">
        <f t="shared" si="41"/>
      </c>
      <c r="BK43" s="372">
        <f t="shared" si="41"/>
      </c>
      <c r="BL43" s="371">
        <f t="shared" si="41"/>
      </c>
      <c r="BM43" s="371">
        <f t="shared" si="41"/>
      </c>
      <c r="BN43" s="371">
        <f t="shared" si="41"/>
      </c>
      <c r="BO43" s="371">
        <f t="shared" si="41"/>
      </c>
      <c r="BP43" s="372">
        <f t="shared" si="41"/>
      </c>
      <c r="BQ43" s="371">
        <f t="shared" si="41"/>
      </c>
      <c r="BR43" s="371">
        <f t="shared" si="41"/>
      </c>
      <c r="BS43" s="371">
        <f t="shared" si="41"/>
      </c>
      <c r="BT43" s="371">
        <f t="shared" si="41"/>
      </c>
      <c r="BU43" s="372">
        <f t="shared" si="41"/>
      </c>
      <c r="BV43" s="371">
        <f t="shared" si="41"/>
      </c>
      <c r="BW43" s="371">
        <f t="shared" si="41"/>
      </c>
      <c r="BX43" s="371">
        <f t="shared" ref="BX43:DC43" si="42">+BX38-BX41</f>
      </c>
      <c r="BY43" s="371">
        <f t="shared" si="42"/>
      </c>
      <c r="BZ43" s="372">
        <f t="shared" si="42"/>
      </c>
      <c r="CA43" s="371">
        <f t="shared" si="42"/>
      </c>
      <c r="CB43" s="371">
        <f t="shared" si="42"/>
      </c>
      <c r="CC43" s="371">
        <f t="shared" si="42"/>
      </c>
      <c r="CD43" s="371">
        <f t="shared" si="42"/>
      </c>
      <c r="CE43" s="372">
        <f t="shared" si="42"/>
      </c>
      <c r="CF43" s="371">
        <f t="shared" si="42"/>
      </c>
      <c r="CG43" s="371">
        <f t="shared" si="42"/>
      </c>
      <c r="CH43" s="371">
        <f t="shared" si="42"/>
      </c>
      <c r="CI43" s="371">
        <f t="shared" si="42"/>
      </c>
      <c r="CJ43" s="372">
        <f t="shared" si="42"/>
      </c>
      <c r="CK43" s="371">
        <f t="shared" si="42"/>
      </c>
      <c r="CL43" s="371">
        <f t="shared" si="42"/>
      </c>
      <c r="CM43" s="371">
        <f t="shared" si="42"/>
      </c>
      <c r="CN43" s="371">
        <f t="shared" si="42"/>
      </c>
      <c r="CO43" s="372">
        <f t="shared" si="42"/>
      </c>
      <c r="CP43" s="371">
        <f t="shared" si="42"/>
      </c>
      <c r="CQ43" s="371">
        <f t="shared" si="42"/>
      </c>
      <c r="CR43" s="371">
        <f t="shared" si="42"/>
      </c>
      <c r="CS43" s="371">
        <f t="shared" si="42"/>
      </c>
      <c r="CT43" s="372">
        <f t="shared" si="42"/>
      </c>
      <c r="CU43" s="371">
        <f t="shared" si="42"/>
      </c>
      <c r="CV43" s="371">
        <f t="shared" si="42"/>
      </c>
      <c r="CW43" s="371">
        <f t="shared" si="42"/>
      </c>
      <c r="CX43" s="371">
        <f t="shared" si="42"/>
      </c>
      <c r="CY43" s="372">
        <f t="shared" si="42"/>
      </c>
      <c r="CZ43" s="371">
        <f t="shared" si="42"/>
      </c>
      <c r="DA43" s="371">
        <f t="shared" si="42"/>
      </c>
      <c r="DB43" s="371">
        <f t="shared" si="42"/>
      </c>
      <c r="DC43" s="371">
        <f t="shared" si="42"/>
      </c>
      <c r="DD43" s="372">
        <f t="shared" ref="DD43:DR43" si="43">+DD38-DD41</f>
      </c>
      <c r="DE43" s="371">
        <f t="shared" si="43"/>
      </c>
      <c r="DF43" s="371">
        <f t="shared" si="43"/>
      </c>
      <c r="DG43" s="371">
        <f t="shared" si="43"/>
      </c>
      <c r="DH43" s="371">
        <f t="shared" si="43"/>
      </c>
      <c r="DI43" s="372">
        <f t="shared" si="43"/>
      </c>
      <c r="DJ43" s="371">
        <f t="shared" si="43"/>
      </c>
      <c r="DK43" s="371">
        <f t="shared" si="43"/>
      </c>
      <c r="DL43" s="371">
        <f t="shared" si="43"/>
      </c>
      <c r="DM43" s="371">
        <f t="shared" si="43"/>
      </c>
      <c r="DN43" s="372">
        <f t="shared" si="43"/>
      </c>
      <c r="DO43" s="371">
        <f t="shared" si="43"/>
      </c>
      <c r="DP43" s="371">
        <f t="shared" si="43"/>
      </c>
      <c r="DQ43" s="371">
        <f t="shared" si="43"/>
      </c>
      <c r="DR43" s="371">
        <f t="shared" si="43"/>
      </c>
      <c r="DS43" s="372">
        <f>SUM(DO43:DR43)</f>
      </c>
      <c r="DT43" s="371">
        <f>+DT38-DT41</f>
      </c>
      <c r="DU43" s="371">
        <f>+DU38-DU41</f>
      </c>
      <c r="DV43" s="371">
        <f>+DV38-DV41</f>
      </c>
      <c r="DW43" s="371">
        <f>+DW38-DW41</f>
      </c>
      <c r="DX43" s="372">
        <f>SUM(DT43:DW43)</f>
      </c>
      <c r="DY43" s="371">
        <f t="shared" ref="DY43:EI43" si="44">+DY38-DY41</f>
      </c>
      <c r="DZ43" s="371">
        <f t="shared" si="44"/>
      </c>
      <c r="EA43" s="371">
        <f t="shared" si="44"/>
      </c>
      <c r="EB43" s="371">
        <f t="shared" si="44"/>
      </c>
      <c r="EC43" s="372">
        <f t="shared" si="44"/>
      </c>
      <c r="ED43" s="371">
        <f t="shared" si="44"/>
      </c>
      <c r="EE43" s="371">
        <f t="shared" si="44"/>
      </c>
      <c r="EF43" s="371">
        <f t="shared" si="44"/>
      </c>
      <c r="EG43" s="371">
        <f t="shared" si="44"/>
      </c>
      <c r="EH43" s="372">
        <f t="shared" si="44"/>
      </c>
      <c r="EI43" s="371">
        <f t="shared" si="44"/>
      </c>
      <c r="EJ43" s="1241">
        <v>5017</v>
      </c>
      <c r="EK43" s="1241">
        <v>5208</v>
      </c>
      <c r="EL43" s="1241">
        <v>4777</v>
      </c>
      <c r="EM43" s="372">
        <f>+EM38-EM41</f>
      </c>
      <c r="EN43" s="1241">
        <v>5635</v>
      </c>
      <c r="EO43" s="1241">
        <v>5718</v>
      </c>
      <c r="EP43" s="1241">
        <v>5590</v>
      </c>
      <c r="EQ43" s="1241">
        <v>5372</v>
      </c>
      <c r="ER43" s="372">
        <f>+ER38-ER41</f>
      </c>
      <c r="ES43" s="1241">
        <v>5661</v>
      </c>
      <c r="ET43" s="1241">
        <v>6950</v>
      </c>
      <c r="EU43" s="1241">
        <v>5672</v>
      </c>
      <c r="EV43" s="1241">
        <v>5027</v>
      </c>
      <c r="EW43" s="1672">
        <f>+EW38-EW41</f>
      </c>
      <c r="EX43" s="1673">
        <v>6154</v>
      </c>
      <c r="EY43" s="1673">
        <v>4446</v>
      </c>
      <c r="EZ43" s="1673">
        <v>5868</v>
      </c>
      <c r="FA43" s="1673">
        <v>4965</v>
      </c>
      <c r="FB43" s="1672">
        <f>+FB38-FB41</f>
      </c>
      <c r="FC43" s="1673">
        <v>6924</v>
      </c>
      <c r="FD43" s="1673">
        <v>6625</v>
      </c>
      <c r="FE43" s="1673">
        <v>6968</v>
      </c>
      <c r="FF43" s="1673">
        <v>5678</v>
      </c>
      <c r="FG43" s="1672">
        <f>+FG38-FG41</f>
      </c>
      <c r="FH43" s="1673">
        <v>7129</v>
      </c>
      <c r="FI43" s="1673">
        <v>6912</v>
      </c>
      <c r="FJ43" s="1673">
        <v>6779</v>
      </c>
      <c r="FK43" s="1673">
        <v>6218</v>
      </c>
      <c r="FL43" s="1672">
        <f>+FL38-FL41</f>
      </c>
      <c r="FM43" s="1673">
        <v>7068</v>
      </c>
      <c r="FN43" s="2798">
        <v>7358</v>
      </c>
      <c r="FO43" s="2817">
        <v>6388</v>
      </c>
      <c r="FP43" s="2798">
        <v>6038</v>
      </c>
      <c r="FQ43" s="2798">
        <v>5938</v>
      </c>
      <c r="FR43" s="2798">
        <v>5432</v>
      </c>
      <c r="FS43" s="1672">
        <f>+FS38-FS41</f>
      </c>
      <c r="FT43" s="2798">
        <v>6339.9</v>
      </c>
      <c r="FU43" s="3479">
        <v>6730.3</v>
      </c>
      <c r="FV43" s="3176">
        <f t="shared" ref="FV43:GJ43" si="45">+FV38-FV41</f>
      </c>
      <c r="FW43" s="3294">
        <f t="shared" si="45"/>
      </c>
      <c r="FX43" s="1672">
        <f t="shared" si="45"/>
      </c>
      <c r="FY43" s="2620">
        <f t="shared" si="45"/>
      </c>
      <c r="FZ43" s="3566">
        <f t="shared" si="45"/>
      </c>
      <c r="GA43" s="3566">
        <f t="shared" si="45"/>
      </c>
      <c r="GB43" s="2620">
        <f t="shared" si="45"/>
      </c>
      <c r="GC43" s="1672">
        <f t="shared" si="45"/>
      </c>
      <c r="GD43" s="2620">
        <f t="shared" ref="GD43:GF43" si="46">+GD38-GD41</f>
      </c>
      <c r="GE43" s="3566">
        <f t="shared" si="46"/>
      </c>
      <c r="GF43" s="3566">
        <f t="shared" si="46"/>
      </c>
      <c r="GG43" s="3566">
        <f t="shared" si="45"/>
      </c>
      <c r="GH43" s="1672">
        <f t="shared" si="45"/>
      </c>
      <c r="GI43" s="1672">
        <f t="shared" ca="1" si="45"/>
      </c>
      <c r="GJ43" s="1672">
        <f t="shared" ca="1" si="45"/>
      </c>
      <c r="GK43" s="1672">
        <f ca="1">+GK38-GK41</f>
      </c>
      <c r="GL43" s="1672">
        <f ca="1">+GL38-GL41</f>
      </c>
      <c r="GM43" s="1672">
        <f ca="1">+GM38-GM41</f>
      </c>
    </row>
    <row r="44" spans="1:195" s="154" customFormat="1" ht="12.75" customHeight="1">
      <c r="B44" s="192" t="s">
        <v>240</v>
      </c>
      <c r="AR44" s="9">
        <f t="shared" ref="AR44:BW44" si="47">+AR43-AR45</f>
      </c>
      <c r="AS44" s="9">
        <f t="shared" si="47"/>
      </c>
      <c r="AT44" s="9">
        <f t="shared" si="47"/>
      </c>
      <c r="AU44" s="9">
        <f t="shared" si="47"/>
      </c>
      <c r="AV44" s="9">
        <f t="shared" si="47"/>
      </c>
      <c r="AW44" s="9">
        <f t="shared" si="47"/>
      </c>
      <c r="AX44" s="9">
        <f t="shared" si="47"/>
      </c>
      <c r="AY44" s="9">
        <f t="shared" si="47"/>
      </c>
      <c r="AZ44" s="9">
        <f t="shared" si="47"/>
      </c>
      <c r="BA44" s="289">
        <f t="shared" si="47"/>
      </c>
      <c r="BB44" s="9">
        <f t="shared" si="47"/>
      </c>
      <c r="BC44" s="9">
        <f t="shared" si="47"/>
      </c>
      <c r="BD44" s="9">
        <f t="shared" si="47"/>
      </c>
      <c r="BE44" s="9">
        <f t="shared" si="47"/>
      </c>
      <c r="BF44" s="289">
        <f t="shared" si="47"/>
      </c>
      <c r="BG44" s="9">
        <f t="shared" si="47"/>
      </c>
      <c r="BH44" s="9">
        <f t="shared" si="47"/>
      </c>
      <c r="BI44" s="9">
        <f t="shared" si="47"/>
      </c>
      <c r="BJ44" s="9">
        <f t="shared" si="47"/>
      </c>
      <c r="BK44" s="289">
        <f t="shared" si="47"/>
      </c>
      <c r="BL44" s="9">
        <f t="shared" si="47"/>
      </c>
      <c r="BM44" s="9">
        <f t="shared" si="47"/>
      </c>
      <c r="BN44" s="9">
        <f t="shared" si="47"/>
      </c>
      <c r="BO44" s="9">
        <f t="shared" si="47"/>
      </c>
      <c r="BP44" s="289">
        <f t="shared" si="47"/>
      </c>
      <c r="BQ44" s="9">
        <f t="shared" si="47"/>
      </c>
      <c r="BR44" s="9">
        <f t="shared" si="47"/>
      </c>
      <c r="BS44" s="9">
        <f t="shared" si="47"/>
      </c>
      <c r="BT44" s="9">
        <f t="shared" si="47"/>
      </c>
      <c r="BU44" s="289">
        <f t="shared" si="47"/>
      </c>
      <c r="BV44" s="9">
        <f t="shared" si="47"/>
      </c>
      <c r="BW44" s="9">
        <f t="shared" si="47"/>
      </c>
      <c r="BX44" s="9">
        <f t="shared" ref="BX44:CT44" si="48">+BX43-BX45</f>
      </c>
      <c r="BY44" s="9">
        <f t="shared" si="48"/>
      </c>
      <c r="BZ44" s="289">
        <f t="shared" si="48"/>
      </c>
      <c r="CA44" s="9">
        <f t="shared" si="48"/>
      </c>
      <c r="CB44" s="9">
        <f t="shared" si="48"/>
      </c>
      <c r="CC44" s="9">
        <f t="shared" si="48"/>
      </c>
      <c r="CD44" s="9">
        <f t="shared" si="48"/>
      </c>
      <c r="CE44" s="289">
        <f t="shared" si="48"/>
      </c>
      <c r="CF44" s="9">
        <f t="shared" si="48"/>
      </c>
      <c r="CG44" s="9">
        <f t="shared" si="48"/>
      </c>
      <c r="CH44" s="9">
        <f t="shared" si="48"/>
      </c>
      <c r="CI44" s="9">
        <f t="shared" si="48"/>
      </c>
      <c r="CJ44" s="289">
        <f t="shared" si="48"/>
      </c>
      <c r="CK44" s="9">
        <f t="shared" si="48"/>
      </c>
      <c r="CL44" s="9">
        <f t="shared" si="48"/>
      </c>
      <c r="CM44" s="9">
        <f t="shared" si="48"/>
      </c>
      <c r="CN44" s="9">
        <f t="shared" si="48"/>
      </c>
      <c r="CO44" s="289">
        <f t="shared" si="48"/>
      </c>
      <c r="CP44" s="9">
        <f t="shared" si="48"/>
      </c>
      <c r="CQ44" s="9">
        <f t="shared" si="48"/>
      </c>
      <c r="CR44" s="9">
        <f t="shared" si="48"/>
      </c>
      <c r="CS44" s="9">
        <f t="shared" si="48"/>
      </c>
      <c r="CT44" s="289">
        <f t="shared" si="48"/>
      </c>
      <c r="CU44" s="640">
        <v>0</v>
      </c>
      <c r="CV44" s="640">
        <v>0</v>
      </c>
      <c r="CW44" s="640">
        <v>0</v>
      </c>
      <c r="CX44" s="9">
        <v>640.00400799999966</v>
      </c>
      <c r="CY44" s="289">
        <f>SUM(CU44:CX44)</f>
      </c>
      <c r="CZ44" s="9">
        <v>-910</v>
      </c>
      <c r="DA44" s="9">
        <f>-67</f>
      </c>
      <c r="DB44" s="9">
        <v>0</v>
      </c>
      <c r="DC44" s="9">
        <f>279+404+239</f>
      </c>
      <c r="DD44" s="289">
        <f>SUM(CZ44:DC44)</f>
      </c>
      <c r="DE44" s="640">
        <f>271</f>
      </c>
      <c r="DF44" s="640">
        <v>772</v>
      </c>
      <c r="DG44" s="640">
        <v>241</v>
      </c>
      <c r="DH44" s="640">
        <v>2911</v>
      </c>
      <c r="DI44" s="289">
        <f>SUM(DE44:DH44)</f>
      </c>
      <c r="DJ44" s="640">
        <f>3804-3910</f>
      </c>
      <c r="DK44" s="640">
        <f>3644-1408</f>
      </c>
      <c r="DL44" s="640">
        <f>3521-2968</f>
      </c>
      <c r="DM44" s="640">
        <f>3376-2567</f>
      </c>
      <c r="DN44" s="289">
        <f>SUM(DJ44:DM44)</f>
      </c>
      <c r="DO44" s="640">
        <f>4107-3497</f>
      </c>
      <c r="DP44" s="640">
        <f>4289-3833</f>
      </c>
      <c r="DQ44" s="640">
        <f>3919-2982</f>
      </c>
      <c r="DR44" s="640">
        <f>227+294+110+118-707</f>
      </c>
      <c r="DS44" s="289">
        <f>SUM(DO44:DR44)</f>
      </c>
      <c r="DT44" s="640">
        <f>84+13-398</f>
      </c>
      <c r="DU44" s="640">
        <f>342+104+3</f>
      </c>
      <c r="DV44" s="640">
        <f>-1149+231+220+130+111</f>
      </c>
      <c r="DW44" s="640">
        <f>87+652+237+115</f>
      </c>
      <c r="DX44" s="289">
        <f>SUM(DT44:DW44)</f>
      </c>
      <c r="DY44" s="640">
        <f>226-253+122+25-22</f>
      </c>
      <c r="DZ44" s="640">
        <f>230+23+37+8-2</f>
      </c>
      <c r="EA44" s="640">
        <f>437+348+23+6</f>
      </c>
      <c r="EB44" s="640">
        <f>301+590+214+83-33-220-415-156-59+22</f>
      </c>
      <c r="EC44" s="289">
        <f>SUM(DY44:EB44)</f>
      </c>
      <c r="ED44" s="1022">
        <f>ED43-ED45</f>
      </c>
      <c r="EE44" s="1022">
        <f>EE43-EE45</f>
      </c>
      <c r="EF44" s="1022">
        <f>EF43-EF45</f>
      </c>
      <c r="EG44" s="1022">
        <f>EG43-EG45</f>
      </c>
      <c r="EH44" s="289">
        <f>SUM(ED44:EG44)</f>
      </c>
      <c r="EI44" s="1022">
        <f>EI43-EI45</f>
      </c>
      <c r="EJ44" s="1022">
        <f>EJ43-EJ45</f>
      </c>
      <c r="EK44" s="1022">
        <f>EK43-EK45</f>
      </c>
      <c r="EL44" s="1022">
        <f>EL43-EL45</f>
      </c>
      <c r="EM44" s="289">
        <f>SUM(EI44:EL44)</f>
      </c>
      <c r="EN44" s="1022">
        <f>EN43-EN45</f>
      </c>
      <c r="EO44" s="1022">
        <f>EO43-EO45</f>
      </c>
      <c r="EP44" s="1022">
        <f>EP43-EP45</f>
      </c>
      <c r="EQ44" s="1022">
        <f>EQ43-EQ45</f>
      </c>
      <c r="ER44" s="289">
        <f>SUM(EN44:EQ44)</f>
      </c>
      <c r="ES44" s="1022">
        <f>ES43-ES45</f>
      </c>
      <c r="ET44" s="1022">
        <f>ET43-ET45</f>
      </c>
      <c r="EU44" s="1022">
        <f>EU43-EU45</f>
      </c>
      <c r="EV44" s="1022">
        <f>EV43-EV45</f>
      </c>
      <c r="EW44" s="1668">
        <f>SUM(ES44:EV44)</f>
      </c>
      <c r="EX44" s="1636">
        <f>EX43-EX45</f>
      </c>
      <c r="EY44" s="1636">
        <f>EY43-EY45</f>
      </c>
      <c r="EZ44" s="1636">
        <f>EZ43-EZ45</f>
      </c>
      <c r="FA44" s="1636">
        <f>FA43-FA45</f>
      </c>
      <c r="FB44" s="1668">
        <f>SUM(EX44:FA44)</f>
      </c>
      <c r="FC44" s="1636">
        <f>FC43-FC45</f>
      </c>
      <c r="FD44" s="1636">
        <f>FD43-FD45</f>
      </c>
      <c r="FE44" s="1636">
        <f>FE43-FE45</f>
      </c>
      <c r="FF44" s="1636">
        <f>FF43-FF45</f>
      </c>
      <c r="FG44" s="1668">
        <f>SUM(FC44:FF44)</f>
      </c>
      <c r="FH44" s="1636">
        <f>FH43-FH45</f>
      </c>
      <c r="FI44" s="1636">
        <f>FI43-FI45</f>
      </c>
      <c r="FJ44" s="1636">
        <f>FJ43-FJ45</f>
      </c>
      <c r="FK44" s="1636">
        <f>FK43-FK45</f>
      </c>
      <c r="FL44" s="1668">
        <f>SUM(FH44:FK44)</f>
      </c>
      <c r="FM44" s="1636">
        <f t="shared" ref="FM44:FR44" si="49">FM43-FM45</f>
      </c>
      <c r="FN44" s="1636">
        <f t="shared" si="49"/>
      </c>
      <c r="FO44" s="1637">
        <f t="shared" si="49"/>
      </c>
      <c r="FP44" s="1636">
        <f t="shared" si="49"/>
      </c>
      <c r="FQ44" s="1636">
        <f t="shared" si="49"/>
      </c>
      <c r="FR44" s="1636">
        <f t="shared" si="49"/>
      </c>
      <c r="FS44" s="1668">
        <f>SUM(FO44:FR44)</f>
      </c>
      <c r="FT44" s="1636">
        <f>FT43-FT45</f>
      </c>
      <c r="FU44" s="1638">
        <f>FU43-FU45</f>
      </c>
      <c r="FV44" s="1637">
        <f>FV43-FV45</f>
      </c>
      <c r="FW44" s="1638">
        <f>FW43-FW45</f>
      </c>
      <c r="FX44" s="1668">
        <f>SUM(FT44:FW44)</f>
      </c>
      <c r="FY44" s="1674">
        <v>1500</v>
      </c>
      <c r="FZ44" s="1636">
        <f>FZ43-FZ45</f>
      </c>
      <c r="GA44" s="1636">
        <f>GA43-GA45</f>
      </c>
      <c r="GB44" s="1636">
        <f>GB43-GB45</f>
      </c>
      <c r="GC44" s="2621">
        <f>SUM(FY44:GB44)</f>
      </c>
      <c r="GD44" s="1674">
        <f>(932-5413+44+102+30+12)</f>
      </c>
      <c r="GE44" s="1636">
        <f>GE43-GE45</f>
      </c>
      <c r="GF44" s="1636">
        <f>GF43-GF45</f>
      </c>
      <c r="GG44" s="1636">
        <f>GF44</f>
      </c>
      <c r="GH44" s="2621">
        <f>SUM(GD44:GG44)</f>
      </c>
      <c r="GI44" s="2621">
        <v>5000</v>
      </c>
      <c r="GJ44" s="2621">
        <f>+GI44-500</f>
      </c>
      <c r="GK44" s="2621">
        <f>+GJ44-500</f>
      </c>
      <c r="GL44" s="2621">
        <f>+GK44</f>
      </c>
      <c r="GM44" s="2621">
        <f>+GL44</f>
      </c>
    </row>
    <row r="45" spans="1:195" s="154" customFormat="1" ht="12.75" customHeight="1">
      <c r="B45" s="54" t="s">
        <v>112</v>
      </c>
      <c r="AR45" s="12">
        <f>+'Cash Flows'!U12</f>
      </c>
      <c r="AS45" s="12">
        <f>+'Cash Flows'!V12</f>
      </c>
      <c r="AT45" s="12">
        <f>+'Cash Flows'!W12</f>
      </c>
      <c r="AU45" s="12">
        <f>+'Cash Flows'!X12</f>
      </c>
      <c r="AV45" s="12">
        <f>+'Cash Flows'!Y12</f>
      </c>
      <c r="AW45" s="12">
        <f>+'Cash Flows'!Z12</f>
      </c>
      <c r="AX45" s="12">
        <f>+'Cash Flows'!AA12</f>
      </c>
      <c r="AY45" s="12">
        <f>+'Cash Flows'!AB12</f>
      </c>
      <c r="AZ45" s="12">
        <f>+'Cash Flows'!AC12</f>
      </c>
      <c r="BA45" s="289">
        <f>+'Cash Flows'!AD12</f>
      </c>
      <c r="BB45" s="12">
        <f>+'Cash Flows'!AE12</f>
      </c>
      <c r="BC45" s="12">
        <f>+'Cash Flows'!AF12</f>
      </c>
      <c r="BD45" s="12">
        <f>+'Cash Flows'!AG12</f>
      </c>
      <c r="BE45" s="12">
        <f>+'Cash Flows'!AH12</f>
      </c>
      <c r="BF45" s="289">
        <f>+'Cash Flows'!AI12</f>
      </c>
      <c r="BG45" s="12">
        <f>+'Cash Flows'!AJ12</f>
      </c>
      <c r="BH45" s="12">
        <f>+'Cash Flows'!AK12</f>
      </c>
      <c r="BI45" s="12">
        <f>+'Cash Flows'!AL12</f>
      </c>
      <c r="BJ45" s="12">
        <f>+'Cash Flows'!AM12</f>
      </c>
      <c r="BK45" s="289">
        <f>+'Cash Flows'!AN12</f>
      </c>
      <c r="BL45" s="12">
        <f>+'Cash Flows'!AO12</f>
      </c>
      <c r="BM45" s="12">
        <f>+'Cash Flows'!AP12</f>
      </c>
      <c r="BN45" s="12">
        <f>+'Cash Flows'!AQ12</f>
      </c>
      <c r="BO45" s="12">
        <f>+'Cash Flows'!AR12</f>
      </c>
      <c r="BP45" s="289">
        <f>+'Cash Flows'!AS12</f>
      </c>
      <c r="BQ45" s="12">
        <f>+'Cash Flows'!AT12</f>
      </c>
      <c r="BR45" s="12">
        <f>+'Cash Flows'!AU12</f>
      </c>
      <c r="BS45" s="12">
        <f>+'Cash Flows'!AV12</f>
      </c>
      <c r="BT45" s="12">
        <f>+'Cash Flows'!AW12</f>
      </c>
      <c r="BU45" s="289">
        <f>+'Cash Flows'!AX12</f>
      </c>
      <c r="BV45" s="12">
        <f>+'Cash Flows'!AY12</f>
      </c>
      <c r="BW45" s="12">
        <f>+'Cash Flows'!AZ12</f>
      </c>
      <c r="BX45" s="12">
        <f>+'Cash Flows'!BA12</f>
      </c>
      <c r="BY45" s="12">
        <f>+'Cash Flows'!BB12</f>
      </c>
      <c r="BZ45" s="289">
        <f>+'Cash Flows'!BC12</f>
      </c>
      <c r="CA45" s="12">
        <f>+'Cash Flows'!BD12</f>
      </c>
      <c r="CB45" s="12">
        <f>+'Cash Flows'!BE12</f>
      </c>
      <c r="CC45" s="12">
        <f>+'Cash Flows'!BF12</f>
      </c>
      <c r="CD45" s="12">
        <f>+'Cash Flows'!BG12</f>
      </c>
      <c r="CE45" s="289">
        <f>+'Cash Flows'!BH12</f>
      </c>
      <c r="CF45" s="12">
        <f>+'Cash Flows'!BI12</f>
      </c>
      <c r="CG45" s="12">
        <f>+'Cash Flows'!BJ12</f>
      </c>
      <c r="CH45" s="12">
        <f>+'Cash Flows'!BK12</f>
      </c>
      <c r="CI45" s="12">
        <f>+'Cash Flows'!BL12</f>
      </c>
      <c r="CJ45" s="289">
        <f>+'Cash Flows'!BM12</f>
      </c>
      <c r="CK45" s="12">
        <f>+'Cash Flows'!BN12</f>
      </c>
      <c r="CL45" s="12">
        <f>+'Cash Flows'!BO12</f>
      </c>
      <c r="CM45" s="12">
        <f>+'Cash Flows'!BP12</f>
      </c>
      <c r="CN45" s="12">
        <f>+'Cash Flows'!BQ12</f>
      </c>
      <c r="CO45" s="289">
        <f>+'Cash Flows'!BR12</f>
      </c>
      <c r="CP45" s="12">
        <f>+'Cash Flows'!BS12</f>
      </c>
      <c r="CQ45" s="12">
        <f>+'Cash Flows'!BT12</f>
      </c>
      <c r="CR45" s="12">
        <f>+'Cash Flows'!BU12</f>
      </c>
      <c r="CS45" s="12">
        <f>+'Cash Flows'!BV12</f>
      </c>
      <c r="CT45" s="289">
        <f>+'Cash Flows'!BW12</f>
      </c>
      <c r="CU45" s="9">
        <f t="shared" ref="CU45:DR45" si="50">+CU43-CU44</f>
      </c>
      <c r="CV45" s="9">
        <f t="shared" si="50"/>
      </c>
      <c r="CW45" s="9">
        <f t="shared" si="50"/>
      </c>
      <c r="CX45" s="9">
        <f t="shared" si="50"/>
      </c>
      <c r="CY45" s="289">
        <f t="shared" si="50"/>
      </c>
      <c r="CZ45" s="9">
        <f t="shared" si="50"/>
      </c>
      <c r="DA45" s="9">
        <f t="shared" si="50"/>
      </c>
      <c r="DB45" s="9">
        <f t="shared" si="50"/>
      </c>
      <c r="DC45" s="9">
        <f t="shared" si="50"/>
      </c>
      <c r="DD45" s="289">
        <f t="shared" si="50"/>
      </c>
      <c r="DE45" s="9">
        <f t="shared" si="50"/>
      </c>
      <c r="DF45" s="9">
        <f t="shared" si="50"/>
      </c>
      <c r="DG45" s="9">
        <f t="shared" si="50"/>
      </c>
      <c r="DH45" s="9">
        <f t="shared" si="50"/>
      </c>
      <c r="DI45" s="289">
        <f t="shared" si="50"/>
      </c>
      <c r="DJ45" s="9">
        <f t="shared" si="50"/>
      </c>
      <c r="DK45" s="9">
        <f t="shared" si="50"/>
      </c>
      <c r="DL45" s="9">
        <f t="shared" si="50"/>
      </c>
      <c r="DM45" s="9">
        <f t="shared" si="50"/>
      </c>
      <c r="DN45" s="289">
        <f t="shared" si="50"/>
      </c>
      <c r="DO45" s="9">
        <f t="shared" si="50"/>
      </c>
      <c r="DP45" s="9">
        <f t="shared" si="50"/>
      </c>
      <c r="DQ45" s="9">
        <f t="shared" si="50"/>
      </c>
      <c r="DR45" s="9">
        <f t="shared" si="50"/>
      </c>
      <c r="DS45" s="289">
        <f>SUM(DO45:DR45)</f>
      </c>
      <c r="DT45" s="9">
        <f>+DT43-DT44</f>
      </c>
      <c r="DU45" s="9">
        <f>+DU43-DU44</f>
      </c>
      <c r="DV45" s="9">
        <f>+DV43-DV44</f>
      </c>
      <c r="DW45" s="9">
        <f>+DW43-DW44</f>
      </c>
      <c r="DX45" s="289">
        <f>SUM(DT45:DW45)</f>
      </c>
      <c r="DY45" s="9">
        <f>+DY43-DY44</f>
      </c>
      <c r="DZ45" s="9">
        <f>+DZ43-DZ44</f>
      </c>
      <c r="EA45" s="9">
        <f>+EA43-EA44</f>
      </c>
      <c r="EB45" s="9">
        <f>+EB43-EB44</f>
      </c>
      <c r="EC45" s="289">
        <f>+EC43-EC44</f>
      </c>
      <c r="ED45" s="640">
        <f>4292</f>
      </c>
      <c r="EE45" s="640">
        <f>8454-ED45</f>
      </c>
      <c r="EF45" s="640">
        <v>4272</v>
      </c>
      <c r="EG45" s="640">
        <v>3814</v>
      </c>
      <c r="EH45" s="289">
        <f>+EH43-EH44</f>
      </c>
      <c r="EI45" s="640">
        <v>4422</v>
      </c>
      <c r="EJ45" s="640">
        <f>8249-EI45</f>
      </c>
      <c r="EK45" s="640">
        <v>3764</v>
      </c>
      <c r="EL45" s="640">
        <v>-10713</v>
      </c>
      <c r="EM45" s="289">
        <f>+EM43-EM44</f>
      </c>
      <c r="EN45" s="640">
        <v>4367</v>
      </c>
      <c r="EO45" s="640">
        <v>3954</v>
      </c>
      <c r="EP45" s="640">
        <v>3934</v>
      </c>
      <c r="EQ45" s="640">
        <v>3042</v>
      </c>
      <c r="ER45" s="289">
        <f>+ER43-ER44</f>
      </c>
      <c r="ES45" s="640">
        <v>3749</v>
      </c>
      <c r="ET45" s="640">
        <v>5607</v>
      </c>
      <c r="EU45" s="640">
        <v>4833</v>
      </c>
      <c r="EV45" s="640">
        <v>4010</v>
      </c>
      <c r="EW45" s="1668">
        <f>+EW43-EW44</f>
      </c>
      <c r="EX45" s="1674">
        <v>5796</v>
      </c>
      <c r="EY45" s="1674">
        <v>3626</v>
      </c>
      <c r="EZ45" s="1635">
        <v>3554</v>
      </c>
      <c r="FA45" s="1635">
        <v>1738</v>
      </c>
      <c r="FB45" s="1668">
        <f>+FB43-FB44</f>
      </c>
      <c r="FC45" s="1674">
        <v>6197</v>
      </c>
      <c r="FD45" s="1674">
        <v>6278</v>
      </c>
      <c r="FE45" s="1674">
        <v>3667</v>
      </c>
      <c r="FF45" s="1674">
        <v>4736</v>
      </c>
      <c r="FG45" s="1668">
        <f>+FG43-FG44</f>
      </c>
      <c r="FH45" s="1674">
        <v>5149</v>
      </c>
      <c r="FI45" s="1674">
        <v>4814</v>
      </c>
      <c r="FJ45" s="1674">
        <v>4458</v>
      </c>
      <c r="FK45" s="1674">
        <v>3520</v>
      </c>
      <c r="FL45" s="1668">
        <f>+FL43-FL44</f>
      </c>
      <c r="FM45" s="1674">
        <v>-68</v>
      </c>
      <c r="FN45" s="1674">
        <v>5144</v>
      </c>
      <c r="FO45" s="2818">
        <v>4571</v>
      </c>
      <c r="FP45" s="1674">
        <v>4262</v>
      </c>
      <c r="FQ45" s="1674">
        <v>4310</v>
      </c>
      <c r="FR45" s="1674">
        <v>3227</v>
      </c>
      <c r="FS45" s="1668">
        <f>+FS43-FS44</f>
      </c>
      <c r="FT45" s="1674">
        <v>-491</v>
      </c>
      <c r="FU45" s="2819">
        <v>5376</v>
      </c>
      <c r="FV45" s="2818">
        <v>4309</v>
      </c>
      <c r="FW45" s="2819">
        <v>4132</v>
      </c>
      <c r="FX45" s="1668">
        <f t="shared" ref="FX45:GJ45" si="51">+FX43-FX44</f>
      </c>
      <c r="FY45" s="1636">
        <f t="shared" si="51"/>
      </c>
      <c r="FZ45" s="1674">
        <v>4686</v>
      </c>
      <c r="GA45" s="1674">
        <v>2694</v>
      </c>
      <c r="GB45" s="1674">
        <v>3431</v>
      </c>
      <c r="GC45" s="1668">
        <f t="shared" si="51"/>
      </c>
      <c r="GD45" s="1636">
        <f t="shared" ref="GD45" si="52">+GD43-GD44</f>
      </c>
      <c r="GE45" s="1674">
        <v>5537</v>
      </c>
      <c r="GF45" s="1674">
        <v>5152</v>
      </c>
      <c r="GG45" s="1636">
        <f t="shared" si="51"/>
      </c>
      <c r="GH45" s="1668">
        <f t="shared" si="51"/>
      </c>
      <c r="GI45" s="1668">
        <f t="shared" ca="1" si="51"/>
      </c>
      <c r="GJ45" s="1668">
        <f t="shared" ca="1" si="51"/>
      </c>
      <c r="GK45" s="1668">
        <f ca="1">+GK43-GK44</f>
      </c>
      <c r="GL45" s="1668">
        <f ca="1">+GL43-GL44</f>
      </c>
      <c r="GM45" s="1668">
        <f ca="1">+GM43-GM44</f>
      </c>
    </row>
    <row r="46" spans="1:195" s="154" customFormat="1" ht="12.75" customHeight="1">
      <c r="B46" s="2655" t="s">
        <v>884</v>
      </c>
      <c r="AR46" s="12"/>
      <c r="AS46" s="12"/>
      <c r="AT46" s="12"/>
      <c r="AU46" s="12"/>
      <c r="AV46" s="12"/>
      <c r="AW46" s="12"/>
      <c r="AX46" s="12"/>
      <c r="AY46" s="12"/>
      <c r="AZ46" s="12"/>
      <c r="BA46" s="289"/>
      <c r="BB46" s="12"/>
      <c r="BC46" s="12"/>
      <c r="BD46" s="12"/>
      <c r="BE46" s="12"/>
      <c r="BF46" s="289"/>
      <c r="BG46" s="12"/>
      <c r="BH46" s="12"/>
      <c r="BI46" s="12"/>
      <c r="BJ46" s="12"/>
      <c r="BK46" s="289"/>
      <c r="BL46" s="12"/>
      <c r="BM46" s="12"/>
      <c r="BN46" s="12"/>
      <c r="BO46" s="12"/>
      <c r="BP46" s="289"/>
      <c r="BQ46" s="12"/>
      <c r="BR46" s="12"/>
      <c r="BS46" s="12"/>
      <c r="BT46" s="12"/>
      <c r="BU46" s="289"/>
      <c r="BV46" s="12"/>
      <c r="BW46" s="12"/>
      <c r="BX46" s="12"/>
      <c r="BY46" s="12"/>
      <c r="BZ46" s="289"/>
      <c r="CA46" s="12"/>
      <c r="CB46" s="12"/>
      <c r="CC46" s="12"/>
      <c r="CD46" s="12"/>
      <c r="CE46" s="289"/>
      <c r="CF46" s="12"/>
      <c r="CG46" s="12"/>
      <c r="CH46" s="12"/>
      <c r="CI46" s="12"/>
      <c r="CJ46" s="289"/>
      <c r="CK46" s="12"/>
      <c r="CL46" s="12"/>
      <c r="CM46" s="12"/>
      <c r="CN46" s="12"/>
      <c r="CO46" s="289"/>
      <c r="CP46" s="12"/>
      <c r="CQ46" s="12"/>
      <c r="CR46" s="12"/>
      <c r="CS46" s="12"/>
      <c r="CT46" s="289"/>
      <c r="CU46" s="9"/>
      <c r="CV46" s="9"/>
      <c r="CW46" s="9"/>
      <c r="CX46" s="9"/>
      <c r="CY46" s="289"/>
      <c r="CZ46" s="9"/>
      <c r="DA46" s="9"/>
      <c r="DB46" s="9"/>
      <c r="DC46" s="9"/>
      <c r="DD46" s="289"/>
      <c r="DE46" s="9"/>
      <c r="DF46" s="9"/>
      <c r="DG46" s="9"/>
      <c r="DH46" s="9"/>
      <c r="DI46" s="289"/>
      <c r="DJ46" s="9"/>
      <c r="DK46" s="9"/>
      <c r="DL46" s="9"/>
      <c r="DM46" s="9"/>
      <c r="DN46" s="289"/>
      <c r="DO46" s="9"/>
      <c r="DP46" s="9"/>
      <c r="DQ46" s="9"/>
      <c r="DR46" s="9"/>
      <c r="DS46" s="289"/>
      <c r="DT46" s="9"/>
      <c r="DU46" s="9"/>
      <c r="DV46" s="9"/>
      <c r="DW46" s="9"/>
      <c r="DX46" s="289"/>
      <c r="DY46" s="9"/>
      <c r="DZ46" s="9"/>
      <c r="EA46" s="9"/>
      <c r="EB46" s="9"/>
      <c r="EC46" s="289"/>
      <c r="ED46" s="640"/>
      <c r="EE46" s="640"/>
      <c r="EF46" s="640"/>
      <c r="EG46" s="640"/>
      <c r="EH46" s="289"/>
      <c r="EI46" s="640"/>
      <c r="EJ46" s="640"/>
      <c r="EK46" s="640"/>
      <c r="EL46" s="640"/>
      <c r="EM46" s="289"/>
      <c r="EN46" s="640"/>
      <c r="EO46" s="640"/>
      <c r="EP46" s="640"/>
      <c r="EQ46" s="640"/>
      <c r="ER46" s="289"/>
      <c r="ES46" s="640"/>
      <c r="ET46" s="640"/>
      <c r="EU46" s="640"/>
      <c r="EV46" s="640"/>
      <c r="EW46" s="1668"/>
      <c r="EX46" s="1674"/>
      <c r="EY46" s="1674"/>
      <c r="EZ46" s="1635"/>
      <c r="FA46" s="1635"/>
      <c r="FB46" s="1668"/>
      <c r="FC46" s="1674"/>
      <c r="FD46" s="1674"/>
      <c r="FE46" s="1674"/>
      <c r="FF46" s="1674"/>
      <c r="FG46" s="1668"/>
      <c r="FH46" s="1674"/>
      <c r="FI46" s="1674"/>
      <c r="FJ46" s="1674"/>
      <c r="FK46" s="1674"/>
      <c r="FL46" s="1668"/>
      <c r="FM46" s="1674"/>
      <c r="FN46" s="1674"/>
      <c r="FO46" s="2818"/>
      <c r="FP46" s="1674"/>
      <c r="FQ46" s="1674"/>
      <c r="FR46" s="1674"/>
      <c r="FS46" s="1668"/>
      <c r="FT46" s="1674">
        <v>423</v>
      </c>
      <c r="FU46" s="2819">
        <v>-232</v>
      </c>
      <c r="FV46" s="2818">
        <v>21719</v>
      </c>
      <c r="FW46" s="2819">
        <v>-83</v>
      </c>
      <c r="FX46" s="1668">
        <f>SUM(FT46:FW46)</f>
      </c>
      <c r="FY46" s="1636"/>
      <c r="FZ46" s="1674">
        <v>0</v>
      </c>
      <c r="GA46" s="1636"/>
      <c r="GB46" s="1636"/>
      <c r="GC46" s="1668"/>
      <c r="GD46" s="1636"/>
      <c r="GE46" s="1674"/>
      <c r="GF46" s="1636"/>
      <c r="GG46" s="1636"/>
      <c r="GH46" s="1668"/>
      <c r="GI46" s="1668"/>
      <c r="GJ46" s="1668"/>
      <c r="GK46" s="1668"/>
      <c r="GL46" s="1668"/>
      <c r="GM46" s="1668"/>
    </row>
    <row r="47" spans="1:195" s="154" customFormat="1" ht="12.75" customHeight="1">
      <c r="B47" s="2688" t="s">
        <v>885</v>
      </c>
      <c r="AR47" s="12"/>
      <c r="AS47" s="12"/>
      <c r="AT47" s="12"/>
      <c r="AU47" s="12"/>
      <c r="AV47" s="12"/>
      <c r="AW47" s="12"/>
      <c r="AX47" s="12"/>
      <c r="AY47" s="12"/>
      <c r="AZ47" s="12"/>
      <c r="BA47" s="289"/>
      <c r="BB47" s="12"/>
      <c r="BC47" s="12"/>
      <c r="BD47" s="12"/>
      <c r="BE47" s="12"/>
      <c r="BF47" s="289"/>
      <c r="BG47" s="12"/>
      <c r="BH47" s="12"/>
      <c r="BI47" s="12"/>
      <c r="BJ47" s="12"/>
      <c r="BK47" s="289"/>
      <c r="BL47" s="12"/>
      <c r="BM47" s="12"/>
      <c r="BN47" s="12"/>
      <c r="BO47" s="12"/>
      <c r="BP47" s="289"/>
      <c r="BQ47" s="12"/>
      <c r="BR47" s="12"/>
      <c r="BS47" s="12"/>
      <c r="BT47" s="12"/>
      <c r="BU47" s="289"/>
      <c r="BV47" s="12"/>
      <c r="BW47" s="12"/>
      <c r="BX47" s="12"/>
      <c r="BY47" s="12"/>
      <c r="BZ47" s="289"/>
      <c r="CA47" s="12"/>
      <c r="CB47" s="12"/>
      <c r="CC47" s="12"/>
      <c r="CD47" s="12"/>
      <c r="CE47" s="289"/>
      <c r="CF47" s="12"/>
      <c r="CG47" s="12"/>
      <c r="CH47" s="12"/>
      <c r="CI47" s="12"/>
      <c r="CJ47" s="289"/>
      <c r="CK47" s="12"/>
      <c r="CL47" s="12"/>
      <c r="CM47" s="12"/>
      <c r="CN47" s="12"/>
      <c r="CO47" s="289"/>
      <c r="CP47" s="12"/>
      <c r="CQ47" s="12"/>
      <c r="CR47" s="12"/>
      <c r="CS47" s="12"/>
      <c r="CT47" s="289"/>
      <c r="CU47" s="9"/>
      <c r="CV47" s="9"/>
      <c r="CW47" s="9"/>
      <c r="CX47" s="9"/>
      <c r="CY47" s="289"/>
      <c r="CZ47" s="9"/>
      <c r="DA47" s="9"/>
      <c r="DB47" s="9"/>
      <c r="DC47" s="9"/>
      <c r="DD47" s="289"/>
      <c r="DE47" s="9"/>
      <c r="DF47" s="9"/>
      <c r="DG47" s="9"/>
      <c r="DH47" s="9"/>
      <c r="DI47" s="289"/>
      <c r="DJ47" s="9"/>
      <c r="DK47" s="9"/>
      <c r="DL47" s="9"/>
      <c r="DM47" s="9"/>
      <c r="DN47" s="289"/>
      <c r="DO47" s="9"/>
      <c r="DP47" s="9"/>
      <c r="DQ47" s="9"/>
      <c r="DR47" s="9"/>
      <c r="DS47" s="289"/>
      <c r="DT47" s="9"/>
      <c r="DU47" s="9"/>
      <c r="DV47" s="9"/>
      <c r="DW47" s="9"/>
      <c r="DX47" s="289"/>
      <c r="DY47" s="9"/>
      <c r="DZ47" s="9"/>
      <c r="EA47" s="9"/>
      <c r="EB47" s="9"/>
      <c r="EC47" s="289"/>
      <c r="ED47" s="640"/>
      <c r="EE47" s="640"/>
      <c r="EF47" s="640"/>
      <c r="EG47" s="640"/>
      <c r="EH47" s="289"/>
      <c r="EI47" s="640"/>
      <c r="EJ47" s="640"/>
      <c r="EK47" s="640"/>
      <c r="EL47" s="640"/>
      <c r="EM47" s="289"/>
      <c r="EN47" s="640"/>
      <c r="EO47" s="640"/>
      <c r="EP47" s="640"/>
      <c r="EQ47" s="640"/>
      <c r="ER47" s="289"/>
      <c r="ES47" s="640"/>
      <c r="ET47" s="640"/>
      <c r="EU47" s="640"/>
      <c r="EV47" s="640"/>
      <c r="EW47" s="1668"/>
      <c r="EX47" s="1674"/>
      <c r="EY47" s="1674"/>
      <c r="EZ47" s="1635"/>
      <c r="FA47" s="1635"/>
      <c r="FB47" s="1668"/>
      <c r="FC47" s="1674"/>
      <c r="FD47" s="1674"/>
      <c r="FE47" s="1674"/>
      <c r="FF47" s="1674"/>
      <c r="FG47" s="1668"/>
      <c r="FH47" s="1674"/>
      <c r="FI47" s="1674"/>
      <c r="FJ47" s="1674"/>
      <c r="FK47" s="1674"/>
      <c r="FL47" s="1668"/>
      <c r="FM47" s="1674"/>
      <c r="FN47" s="1674"/>
      <c r="FO47" s="2818"/>
      <c r="FP47" s="1674"/>
      <c r="FQ47" s="1674"/>
      <c r="FR47" s="1674"/>
      <c r="FS47" s="1668"/>
      <c r="FT47" s="1636">
        <f>+FT45+FT46</f>
      </c>
      <c r="FU47" s="1638">
        <f>+FU45+FU46</f>
      </c>
      <c r="FV47" s="1637">
        <f>+FV45+FV46</f>
      </c>
      <c r="FW47" s="1638">
        <f>+FW45+FW46</f>
      </c>
      <c r="FX47" s="1668">
        <f>SUM(FT47:FW47)</f>
      </c>
      <c r="FY47" s="1636">
        <f>+FY45+FY46</f>
      </c>
      <c r="FZ47" s="1636">
        <f>+FZ45+FZ46</f>
      </c>
      <c r="GA47" s="1636">
        <f>+GA45+GA46</f>
      </c>
      <c r="GB47" s="1636">
        <f>+GB45+GB46</f>
      </c>
      <c r="GC47" s="1668">
        <f>SUM(FY47:GB47)</f>
      </c>
      <c r="GD47" s="1636">
        <f>+GD45+GD46</f>
      </c>
      <c r="GE47" s="1636">
        <f>+GE45+GE46</f>
      </c>
      <c r="GF47" s="1636">
        <f>+GF45+GF46</f>
      </c>
      <c r="GG47" s="1636">
        <f>+GG45+GG46</f>
      </c>
      <c r="GH47" s="1668">
        <f t="shared" ref="GH47:GM47" si="53">+GH45+GH46</f>
      </c>
      <c r="GI47" s="1668">
        <f t="shared" ca="1" si="53"/>
      </c>
      <c r="GJ47" s="1668">
        <f t="shared" ca="1" si="53"/>
      </c>
      <c r="GK47" s="1668">
        <f t="shared" ca="1" si="53"/>
      </c>
      <c r="GL47" s="1668">
        <f t="shared" ca="1" si="53"/>
      </c>
      <c r="GM47" s="1668">
        <f t="shared" ca="1" si="53"/>
      </c>
    </row>
    <row r="48" spans="1:195" ht="3" customHeight="1">
      <c r="B48" s="20"/>
      <c r="BA48" s="214"/>
      <c r="BF48" s="214"/>
      <c r="BK48" s="214"/>
      <c r="BL48" s="684"/>
      <c r="BM48" s="684"/>
      <c r="BN48" s="684"/>
      <c r="BO48" s="684"/>
      <c r="BP48" s="214"/>
      <c r="BU48" s="214"/>
      <c r="BZ48" s="214"/>
      <c r="CE48" s="214"/>
      <c r="CJ48" s="214"/>
      <c r="CO48" s="214"/>
      <c r="CT48" s="214"/>
      <c r="CY48" s="214"/>
      <c r="DD48" s="214"/>
      <c r="DI48" s="214"/>
      <c r="DN48" s="214"/>
      <c r="DS48" s="214"/>
      <c r="DX48" s="214"/>
      <c r="EC48" s="214"/>
      <c r="EE48" s="946"/>
      <c r="EF48" s="946"/>
      <c r="EH48" s="214"/>
      <c r="EI48" s="946"/>
      <c r="EJ48" s="946"/>
      <c r="EK48" s="946"/>
      <c r="EL48" s="946"/>
      <c r="EM48" s="214"/>
      <c r="EN48" s="946"/>
      <c r="EO48" s="946"/>
      <c r="EP48" s="946"/>
      <c r="EQ48" s="946"/>
      <c r="ER48" s="214"/>
      <c r="ES48" s="946"/>
      <c r="ET48" s="946"/>
      <c r="EU48" s="946"/>
      <c r="EV48" s="946"/>
      <c r="EW48" s="1628"/>
      <c r="EX48" s="1045"/>
      <c r="EY48" s="1045"/>
      <c r="EZ48" s="1045"/>
      <c r="FA48" s="1045"/>
      <c r="FB48" s="1628"/>
      <c r="FC48" s="1045"/>
      <c r="FD48" s="1045"/>
      <c r="FE48" s="1045"/>
      <c r="FF48" s="1045"/>
      <c r="FG48" s="1628"/>
      <c r="FH48" s="1045"/>
      <c r="FI48" s="1045"/>
      <c r="FJ48" s="1045"/>
      <c r="FK48" s="1045"/>
      <c r="FL48" s="1628"/>
      <c r="FM48" s="1045"/>
      <c r="FN48" s="1045"/>
      <c r="FO48" s="2344"/>
      <c r="FP48" s="1045"/>
      <c r="FQ48" s="1045"/>
      <c r="FR48" s="1045"/>
      <c r="FS48" s="1628"/>
      <c r="FT48" s="1045"/>
      <c r="FU48" s="2051"/>
      <c r="FV48" s="2344"/>
      <c r="FW48" s="2051"/>
      <c r="FX48" s="1628"/>
      <c r="FY48" s="1045"/>
      <c r="FZ48" s="1045"/>
      <c r="GA48" s="1045"/>
      <c r="GB48" s="1045"/>
      <c r="GC48" s="1628"/>
      <c r="GD48" s="1045"/>
      <c r="GE48" s="1045"/>
      <c r="GF48" s="1045"/>
      <c r="GG48" s="1045"/>
      <c r="GH48" s="1628"/>
      <c r="GI48" s="1628"/>
      <c r="GJ48" s="1628"/>
      <c r="GK48" s="1628"/>
      <c r="GL48" s="1628"/>
      <c r="GM48" s="1628"/>
    </row>
    <row r="49" spans="2:195" s="3" customFormat="1" ht="32.25" customHeight="1" outlineLevel="1">
      <c r="B49" s="177" t="s">
        <v>110</v>
      </c>
      <c r="E49" s="231">
        <f t="shared" ref="E49:K49" si="54">E39-E41</f>
      </c>
      <c r="F49" s="231">
        <f t="shared" si="54"/>
      </c>
      <c r="G49" s="231">
        <f t="shared" si="54"/>
      </c>
      <c r="H49" s="231" t="e">
        <f t="shared" si="54"/>
      </c>
      <c r="I49" s="231" t="e">
        <f t="shared" si="54"/>
      </c>
      <c r="J49" s="231">
        <f t="shared" si="54"/>
      </c>
      <c r="K49" s="231">
        <f t="shared" si="54"/>
      </c>
      <c r="L49" s="56" t="e">
        <f>M49-SUM(I49:K49)</f>
      </c>
      <c r="M49" s="231" t="e">
        <f>M39-M41</f>
      </c>
      <c r="N49" s="231">
        <f>N39-N41</f>
      </c>
      <c r="O49" s="231">
        <f>O39-O41</f>
      </c>
      <c r="P49" s="231">
        <f>P39-P41</f>
      </c>
      <c r="Q49" s="56" t="e">
        <f>R49-N49-O49-P49</f>
      </c>
      <c r="R49" s="231" t="e">
        <f>R39-R41</f>
      </c>
      <c r="S49" s="231" t="e">
        <f>S39-S41</f>
      </c>
      <c r="T49" s="231" t="e">
        <f>T39-T41</f>
      </c>
      <c r="U49" s="231" t="e">
        <f>U39-U41</f>
      </c>
      <c r="V49" s="231">
        <v>202</v>
      </c>
      <c r="W49" s="231" t="e">
        <f t="shared" ref="W49:AQ49" si="55">W39-W41</f>
      </c>
      <c r="X49" s="231" t="e">
        <f t="shared" si="55"/>
      </c>
      <c r="Y49" s="231" t="e">
        <f t="shared" si="55"/>
      </c>
      <c r="Z49" s="231">
        <f t="shared" si="55"/>
      </c>
      <c r="AA49" s="231">
        <f t="shared" si="55"/>
      </c>
      <c r="AB49" s="231" t="e">
        <f t="shared" si="55"/>
      </c>
      <c r="AC49" s="231">
        <f t="shared" si="55"/>
      </c>
      <c r="AD49" s="231">
        <f t="shared" si="55"/>
      </c>
      <c r="AE49" s="231">
        <f t="shared" si="55"/>
      </c>
      <c r="AF49" s="231">
        <f t="shared" si="55"/>
      </c>
      <c r="AG49" s="231">
        <f t="shared" si="55"/>
      </c>
      <c r="AH49" s="231">
        <f t="shared" si="55"/>
      </c>
      <c r="AI49" s="231">
        <f t="shared" si="55"/>
      </c>
      <c r="AJ49" s="231">
        <f t="shared" si="55"/>
      </c>
      <c r="AK49" s="231">
        <f t="shared" si="55"/>
      </c>
      <c r="AL49" s="231">
        <f t="shared" si="55"/>
      </c>
      <c r="AM49" s="231">
        <f t="shared" si="55"/>
      </c>
      <c r="AN49" s="231">
        <f t="shared" si="55"/>
      </c>
      <c r="AO49" s="231">
        <f t="shared" si="55"/>
      </c>
      <c r="AP49" s="231">
        <f t="shared" si="55"/>
      </c>
      <c r="AQ49" s="231">
        <f t="shared" si="55"/>
      </c>
      <c r="AR49" s="231">
        <f t="shared" ref="AR49:BW49" si="56">AR38-AR41+AR51</f>
      </c>
      <c r="AS49" s="231">
        <f t="shared" si="56"/>
      </c>
      <c r="AT49" s="231">
        <f t="shared" si="56"/>
      </c>
      <c r="AU49" s="231">
        <f t="shared" si="56"/>
      </c>
      <c r="AV49" s="231">
        <f t="shared" si="56"/>
      </c>
      <c r="AW49" s="231">
        <f t="shared" si="56"/>
      </c>
      <c r="AX49" s="231">
        <f t="shared" si="56"/>
      </c>
      <c r="AY49" s="231">
        <f t="shared" si="56"/>
      </c>
      <c r="AZ49" s="231">
        <f t="shared" si="56"/>
      </c>
      <c r="BA49" s="285">
        <f t="shared" si="56"/>
      </c>
      <c r="BB49" s="231">
        <f t="shared" si="56"/>
      </c>
      <c r="BC49" s="231">
        <f t="shared" si="56"/>
      </c>
      <c r="BD49" s="231">
        <f t="shared" si="56"/>
      </c>
      <c r="BE49" s="231">
        <f t="shared" si="56"/>
      </c>
      <c r="BF49" s="285">
        <f t="shared" si="56"/>
      </c>
      <c r="BG49" s="231">
        <f t="shared" si="56"/>
      </c>
      <c r="BH49" s="231">
        <f t="shared" si="56"/>
      </c>
      <c r="BI49" s="231">
        <f t="shared" si="56"/>
      </c>
      <c r="BJ49" s="231">
        <f t="shared" si="56"/>
      </c>
      <c r="BK49" s="285">
        <f t="shared" si="56"/>
      </c>
      <c r="BL49" s="231">
        <f t="shared" si="56"/>
      </c>
      <c r="BM49" s="231">
        <f t="shared" si="56"/>
      </c>
      <c r="BN49" s="231">
        <f t="shared" si="56"/>
      </c>
      <c r="BO49" s="231">
        <f t="shared" si="56"/>
      </c>
      <c r="BP49" s="285">
        <f t="shared" si="56"/>
      </c>
      <c r="BQ49" s="231">
        <f t="shared" si="56"/>
      </c>
      <c r="BR49" s="231">
        <f t="shared" si="56"/>
      </c>
      <c r="BS49" s="231">
        <f t="shared" si="56"/>
      </c>
      <c r="BT49" s="231">
        <f t="shared" si="56"/>
      </c>
      <c r="BU49" s="285">
        <f t="shared" si="56"/>
      </c>
      <c r="BV49" s="231">
        <f t="shared" si="56"/>
      </c>
      <c r="BW49" s="231">
        <f t="shared" si="56"/>
      </c>
      <c r="BX49" s="231">
        <f t="shared" ref="BX49:DC49" si="57">BX38-BX41+BX51</f>
      </c>
      <c r="BY49" s="231">
        <f t="shared" si="57"/>
      </c>
      <c r="BZ49" s="285">
        <f t="shared" si="57"/>
      </c>
      <c r="CA49" s="231">
        <f t="shared" si="57"/>
      </c>
      <c r="CB49" s="231">
        <f t="shared" si="57"/>
      </c>
      <c r="CC49" s="231">
        <f t="shared" si="57"/>
      </c>
      <c r="CD49" s="231">
        <f t="shared" si="57"/>
      </c>
      <c r="CE49" s="285">
        <f t="shared" si="57"/>
      </c>
      <c r="CF49" s="231">
        <f t="shared" si="57"/>
      </c>
      <c r="CG49" s="231">
        <f t="shared" si="57"/>
      </c>
      <c r="CH49" s="231">
        <f t="shared" si="57"/>
      </c>
      <c r="CI49" s="231">
        <f t="shared" si="57"/>
      </c>
      <c r="CJ49" s="285">
        <f t="shared" si="57"/>
      </c>
      <c r="CK49" s="231">
        <f t="shared" si="57"/>
      </c>
      <c r="CL49" s="231">
        <f t="shared" si="57"/>
      </c>
      <c r="CM49" s="231">
        <f t="shared" si="57"/>
      </c>
      <c r="CN49" s="231">
        <f t="shared" si="57"/>
      </c>
      <c r="CO49" s="285">
        <f t="shared" si="57"/>
      </c>
      <c r="CP49" s="231">
        <f t="shared" si="57"/>
      </c>
      <c r="CQ49" s="231">
        <f t="shared" si="57"/>
      </c>
      <c r="CR49" s="231">
        <f t="shared" si="57"/>
      </c>
      <c r="CS49" s="231">
        <f t="shared" si="57"/>
      </c>
      <c r="CT49" s="285">
        <f t="shared" si="57"/>
      </c>
      <c r="CU49" s="231">
        <f t="shared" si="57"/>
      </c>
      <c r="CV49" s="231">
        <f t="shared" si="57"/>
      </c>
      <c r="CW49" s="231">
        <f t="shared" si="57"/>
      </c>
      <c r="CX49" s="231">
        <f t="shared" si="57"/>
      </c>
      <c r="CY49" s="285">
        <f t="shared" si="57"/>
      </c>
      <c r="CZ49" s="231">
        <f t="shared" si="57"/>
      </c>
      <c r="DA49" s="231">
        <f t="shared" si="57"/>
      </c>
      <c r="DB49" s="231">
        <f t="shared" si="57"/>
      </c>
      <c r="DC49" s="231">
        <f t="shared" si="57"/>
      </c>
      <c r="DD49" s="285">
        <f t="shared" ref="DD49:DR49" si="58">DD38-DD41+DD51</f>
      </c>
      <c r="DE49" s="231">
        <f t="shared" si="58"/>
      </c>
      <c r="DF49" s="231">
        <f t="shared" si="58"/>
      </c>
      <c r="DG49" s="231">
        <f t="shared" si="58"/>
      </c>
      <c r="DH49" s="231">
        <f t="shared" si="58"/>
      </c>
      <c r="DI49" s="285">
        <f t="shared" si="58"/>
      </c>
      <c r="DJ49" s="231">
        <f t="shared" si="58"/>
      </c>
      <c r="DK49" s="231">
        <f t="shared" si="58"/>
      </c>
      <c r="DL49" s="231">
        <f t="shared" si="58"/>
      </c>
      <c r="DM49" s="231">
        <f t="shared" si="58"/>
      </c>
      <c r="DN49" s="285">
        <f t="shared" si="58"/>
      </c>
      <c r="DO49" s="231">
        <f t="shared" si="58"/>
      </c>
      <c r="DP49" s="231">
        <f t="shared" si="58"/>
      </c>
      <c r="DQ49" s="231">
        <f t="shared" si="58"/>
      </c>
      <c r="DR49" s="231">
        <f t="shared" si="58"/>
      </c>
      <c r="DS49" s="285">
        <f>SUM(DO49:DR49)</f>
      </c>
      <c r="DT49" s="231">
        <f>DT38-DT41+DT51</f>
      </c>
      <c r="DU49" s="231">
        <f>DU38-DU41+DU51</f>
      </c>
      <c r="DV49" s="231">
        <f>DV38-DV41+DV51</f>
      </c>
      <c r="DW49" s="231">
        <f>DW38-DW41+DW51</f>
      </c>
      <c r="DX49" s="285">
        <f>SUM(DT49:DW49)</f>
      </c>
      <c r="DY49" s="231">
        <f t="shared" ref="DY49:FD49" si="59">DY38-DY41+DY51</f>
      </c>
      <c r="DZ49" s="231">
        <f t="shared" si="59"/>
      </c>
      <c r="EA49" s="231">
        <f t="shared" si="59"/>
      </c>
      <c r="EB49" s="231">
        <f t="shared" si="59"/>
      </c>
      <c r="EC49" s="285">
        <f t="shared" si="59"/>
      </c>
      <c r="ED49" s="231">
        <f t="shared" si="59"/>
      </c>
      <c r="EE49" s="231">
        <f t="shared" si="59"/>
      </c>
      <c r="EF49" s="231">
        <f t="shared" si="59"/>
      </c>
      <c r="EG49" s="231">
        <f t="shared" si="59"/>
      </c>
      <c r="EH49" s="285">
        <f t="shared" si="59"/>
      </c>
      <c r="EI49" s="231">
        <f t="shared" si="59"/>
      </c>
      <c r="EJ49" s="231">
        <f t="shared" si="59"/>
      </c>
      <c r="EK49" s="231">
        <f t="shared" si="59"/>
      </c>
      <c r="EL49" s="231">
        <f t="shared" si="59"/>
      </c>
      <c r="EM49" s="285">
        <f t="shared" si="59"/>
      </c>
      <c r="EN49" s="231">
        <f t="shared" si="59"/>
      </c>
      <c r="EO49" s="231">
        <f t="shared" si="59"/>
      </c>
      <c r="EP49" s="231">
        <f t="shared" si="59"/>
      </c>
      <c r="EQ49" s="231">
        <f t="shared" si="59"/>
      </c>
      <c r="ER49" s="285">
        <f t="shared" si="59"/>
      </c>
      <c r="ES49" s="231">
        <f t="shared" si="59"/>
      </c>
      <c r="ET49" s="231">
        <f t="shared" si="59"/>
      </c>
      <c r="EU49" s="231">
        <f t="shared" si="59"/>
      </c>
      <c r="EV49" s="231">
        <f t="shared" si="59"/>
      </c>
      <c r="EW49" s="1639">
        <f t="shared" si="59"/>
      </c>
      <c r="EX49" s="1647">
        <f t="shared" si="59"/>
      </c>
      <c r="EY49" s="1647">
        <f t="shared" si="59"/>
      </c>
      <c r="EZ49" s="1647">
        <f t="shared" si="59"/>
      </c>
      <c r="FA49" s="1647">
        <f t="shared" si="59"/>
      </c>
      <c r="FB49" s="1639">
        <f t="shared" si="59"/>
      </c>
      <c r="FC49" s="1647">
        <f t="shared" si="59"/>
      </c>
      <c r="FD49" s="1647">
        <f t="shared" si="59"/>
      </c>
      <c r="FE49" s="1647">
        <f t="shared" ref="FE49:GJ49" si="60">FE38-FE41+FE51</f>
      </c>
      <c r="FF49" s="1647">
        <f t="shared" si="60"/>
      </c>
      <c r="FG49" s="1639">
        <f t="shared" si="60"/>
      </c>
      <c r="FH49" s="1647">
        <f t="shared" si="60"/>
      </c>
      <c r="FI49" s="1647">
        <f t="shared" si="60"/>
      </c>
      <c r="FJ49" s="1647">
        <f t="shared" si="60"/>
      </c>
      <c r="FK49" s="1647">
        <f t="shared" si="60"/>
      </c>
      <c r="FL49" s="1639">
        <f t="shared" si="60"/>
      </c>
      <c r="FM49" s="1647">
        <f t="shared" si="60"/>
      </c>
      <c r="FN49" s="1647">
        <f t="shared" si="60"/>
      </c>
      <c r="FO49" s="1667">
        <f t="shared" si="60"/>
      </c>
      <c r="FP49" s="1647">
        <f t="shared" si="60"/>
      </c>
      <c r="FQ49" s="1647">
        <f t="shared" si="60"/>
      </c>
      <c r="FR49" s="1647">
        <f t="shared" si="60"/>
      </c>
      <c r="FS49" s="1639">
        <f t="shared" si="60"/>
      </c>
      <c r="FT49" s="1647">
        <f t="shared" si="60"/>
      </c>
      <c r="FU49" s="2820">
        <f t="shared" si="60"/>
      </c>
      <c r="FV49" s="1667">
        <f t="shared" si="60"/>
      </c>
      <c r="FW49" s="2820">
        <f t="shared" si="60"/>
      </c>
      <c r="FX49" s="1639">
        <f t="shared" si="60"/>
      </c>
      <c r="FY49" s="1647">
        <f t="shared" si="60"/>
      </c>
      <c r="FZ49" s="1647">
        <f t="shared" si="60"/>
      </c>
      <c r="GA49" s="1647">
        <f t="shared" si="60"/>
      </c>
      <c r="GB49" s="1647">
        <f t="shared" si="60"/>
      </c>
      <c r="GC49" s="1639">
        <f>GC38-GC41+GC51</f>
      </c>
      <c r="GD49" s="1647">
        <f t="shared" ref="GD49:GF49" si="61">GD38-GD41+GD51</f>
      </c>
      <c r="GE49" s="1647">
        <f t="shared" si="61"/>
      </c>
      <c r="GF49" s="1647">
        <f t="shared" si="61"/>
      </c>
      <c r="GG49" s="1647">
        <f t="shared" ref="GG49" si="62">GG38-GG41+GG51</f>
      </c>
      <c r="GH49" s="1639">
        <f t="shared" si="60"/>
      </c>
      <c r="GI49" s="1639">
        <f t="shared" ca="1" si="60"/>
      </c>
      <c r="GJ49" s="1639">
        <f t="shared" ca="1" si="60"/>
      </c>
      <c r="GK49" s="1639">
        <f ca="1">GK38-GK41+GK51</f>
      </c>
      <c r="GL49" s="1639">
        <f ca="1">GL38-GL41+GL51</f>
      </c>
      <c r="GM49" s="1639">
        <f ca="1">GM38-GM41+GM51</f>
      </c>
    </row>
    <row r="50" spans="2:195" s="23" customFormat="1" ht="20.25" customHeight="1" outlineLevel="1">
      <c r="B50" s="54" t="s">
        <v>142</v>
      </c>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5"/>
      <c r="AQ50" s="164"/>
      <c r="AR50" s="164"/>
      <c r="AS50" s="166"/>
      <c r="AT50" s="166"/>
      <c r="AU50" s="166"/>
      <c r="AV50" s="233"/>
      <c r="AW50" s="166"/>
      <c r="AX50" s="166"/>
      <c r="AY50" s="164"/>
      <c r="AZ50" s="164"/>
      <c r="BA50" s="356"/>
      <c r="BB50" s="164"/>
      <c r="BC50" s="164"/>
      <c r="BD50" s="164"/>
      <c r="BE50" s="164"/>
      <c r="BF50" s="356"/>
      <c r="BG50" s="164"/>
      <c r="BH50" s="164"/>
      <c r="BI50" s="164"/>
      <c r="BJ50" s="164"/>
      <c r="BK50" s="356"/>
      <c r="BL50" s="164"/>
      <c r="BM50" s="164"/>
      <c r="BN50" s="164"/>
      <c r="BO50" s="164"/>
      <c r="BP50" s="356"/>
      <c r="BQ50" s="164"/>
      <c r="BR50" s="164"/>
      <c r="BS50" s="164"/>
      <c r="BT50" s="164"/>
      <c r="BU50" s="356">
        <f t="shared" ref="BU50:DC50" si="63">+BU51/(1-BU71)</f>
      </c>
      <c r="BV50" s="234">
        <f t="shared" si="63"/>
      </c>
      <c r="BW50" s="234">
        <f t="shared" si="63"/>
      </c>
      <c r="BX50" s="234">
        <f t="shared" si="63"/>
      </c>
      <c r="BY50" s="234">
        <f t="shared" si="63"/>
      </c>
      <c r="BZ50" s="356">
        <f t="shared" si="63"/>
      </c>
      <c r="CA50" s="234">
        <f t="shared" si="63"/>
      </c>
      <c r="CB50" s="234">
        <f t="shared" si="63"/>
      </c>
      <c r="CC50" s="234">
        <f t="shared" si="63"/>
      </c>
      <c r="CD50" s="234">
        <f t="shared" si="63"/>
      </c>
      <c r="CE50" s="356">
        <f t="shared" si="63"/>
      </c>
      <c r="CF50" s="234">
        <f t="shared" si="63"/>
      </c>
      <c r="CG50" s="234">
        <f t="shared" si="63"/>
      </c>
      <c r="CH50" s="234">
        <f t="shared" si="63"/>
      </c>
      <c r="CI50" s="234">
        <f t="shared" si="63"/>
      </c>
      <c r="CJ50" s="356">
        <f t="shared" si="63"/>
      </c>
      <c r="CK50" s="234">
        <f t="shared" si="63"/>
      </c>
      <c r="CL50" s="234">
        <f t="shared" si="63"/>
      </c>
      <c r="CM50" s="234">
        <f t="shared" si="63"/>
      </c>
      <c r="CN50" s="234">
        <f t="shared" si="63"/>
      </c>
      <c r="CO50" s="356">
        <f t="shared" si="63"/>
      </c>
      <c r="CP50" s="234">
        <f t="shared" si="63"/>
      </c>
      <c r="CQ50" s="234">
        <f t="shared" si="63"/>
      </c>
      <c r="CR50" s="234">
        <f t="shared" si="63"/>
      </c>
      <c r="CS50" s="234">
        <f t="shared" si="63"/>
      </c>
      <c r="CT50" s="356">
        <f t="shared" si="63"/>
      </c>
      <c r="CU50" s="234">
        <f t="shared" si="63"/>
      </c>
      <c r="CV50" s="234">
        <f t="shared" si="63"/>
      </c>
      <c r="CW50" s="234">
        <f t="shared" si="63"/>
      </c>
      <c r="CX50" s="355">
        <f t="shared" si="63"/>
      </c>
      <c r="CY50" s="356">
        <f t="shared" si="63"/>
      </c>
      <c r="CZ50" s="355">
        <f t="shared" si="63"/>
      </c>
      <c r="DA50" s="355">
        <f t="shared" si="63"/>
      </c>
      <c r="DB50" s="355">
        <f t="shared" si="63"/>
      </c>
      <c r="DC50" s="355">
        <f t="shared" si="63"/>
      </c>
      <c r="DD50" s="356">
        <f>SUM(CZ50:DC50)</f>
      </c>
      <c r="DE50" s="355">
        <f>+DE51/(1-DE71)</f>
      </c>
      <c r="DF50" s="355">
        <f>+DF51/(1-DF71)</f>
      </c>
      <c r="DG50" s="355">
        <f>+DG51/(1-DG71)</f>
      </c>
      <c r="DH50" s="355">
        <f>+DH51/(1-DH71)</f>
      </c>
      <c r="DI50" s="356">
        <f>SUM(DE50:DH50)</f>
      </c>
      <c r="DJ50" s="355">
        <f>+DJ51/(1-DJ71)</f>
      </c>
      <c r="DK50" s="355">
        <f>+DK51/(1-DK71)</f>
      </c>
      <c r="DL50" s="355">
        <f>+DL51/(1-DL71)</f>
      </c>
      <c r="DM50" s="355">
        <f>+DM51/(1-DM71)</f>
      </c>
      <c r="DN50" s="356">
        <f>SUM(DJ50:DM50)</f>
      </c>
      <c r="DO50" s="355">
        <f>+DO51/(1-DO71)</f>
      </c>
      <c r="DP50" s="355">
        <f>+DP51/(1-DP71)</f>
      </c>
      <c r="DQ50" s="355">
        <f>+DQ51/(1-DQ71)</f>
      </c>
      <c r="DR50" s="355">
        <f>+DR51/(1-DR71)</f>
      </c>
      <c r="DS50" s="356">
        <f>SUM(DO50:DR50)</f>
      </c>
      <c r="DT50" s="355">
        <f>+DT51/(1-DT71)</f>
      </c>
      <c r="DU50" s="355">
        <f>+DU51/(1-DU71)</f>
      </c>
      <c r="DV50" s="355">
        <f>+DV51/(1-DV71)</f>
      </c>
      <c r="DW50" s="355">
        <f>+DW51/(1-DW71)</f>
      </c>
      <c r="DX50" s="356">
        <f>SUM(DT50:DW50)</f>
      </c>
      <c r="DY50" s="355">
        <f>+DY51/(1-DY71)</f>
      </c>
      <c r="DZ50" s="355">
        <f>+DZ51/(1-DZ71)</f>
      </c>
      <c r="EA50" s="355">
        <f>+EA51/(1-EA71)</f>
      </c>
      <c r="EB50" s="355">
        <f>+EB51/(1-EB71)</f>
      </c>
      <c r="EC50" s="356">
        <f>SUM(DY50:EB50)</f>
      </c>
      <c r="ED50" s="355">
        <f>+ED51/(1-ED71)</f>
      </c>
      <c r="EE50" s="1025">
        <f>+EE51/(1-EE71)</f>
      </c>
      <c r="EF50" s="1025">
        <f>+EF51/(1-EF71)</f>
      </c>
      <c r="EG50" s="355">
        <f>+EG51/(1-EG71)</f>
      </c>
      <c r="EH50" s="356">
        <f>SUM(ED50:EG50)</f>
      </c>
      <c r="EI50" s="1025">
        <f>+EI51/(1-EI71)</f>
      </c>
      <c r="EJ50" s="1025">
        <f>+EJ51/(1-EJ71)</f>
      </c>
      <c r="EK50" s="1025">
        <f>+EK51/(1-EK71)</f>
      </c>
      <c r="EL50" s="1025">
        <f>+EL51/(1-EL71)</f>
      </c>
      <c r="EM50" s="356">
        <f>SUM(EI50:EL50)</f>
      </c>
      <c r="EN50" s="1025">
        <f>+EN51/(1-EN71)</f>
      </c>
      <c r="EO50" s="1025">
        <f>+EO51/(1-EO71)</f>
      </c>
      <c r="EP50" s="1025">
        <f>+EP51/(1-EP71)</f>
      </c>
      <c r="EQ50" s="1025">
        <f>+EQ51/(1-EQ71)</f>
      </c>
      <c r="ER50" s="356">
        <f>SUM(EN50:EQ50)</f>
      </c>
      <c r="ES50" s="1025">
        <f t="shared" ref="ES50:EZ50" si="64">+ES51/(1-ES71)</f>
      </c>
      <c r="ET50" s="1025">
        <f t="shared" si="64"/>
      </c>
      <c r="EU50" s="1025">
        <f t="shared" si="64"/>
      </c>
      <c r="EV50" s="1025">
        <f t="shared" si="64"/>
      </c>
      <c r="EW50" s="356">
        <f t="shared" si="64"/>
      </c>
      <c r="EX50" s="1025">
        <f t="shared" si="64"/>
      </c>
      <c r="EY50" s="1025">
        <f t="shared" si="64"/>
      </c>
      <c r="EZ50" s="1025">
        <f t="shared" si="64"/>
      </c>
      <c r="FA50" s="1506">
        <f>FB50-SUM(EX50:EZ50)</f>
      </c>
      <c r="FB50" s="356">
        <f t="shared" ref="FB50:GH50" si="65">+FB51/(1-FB71)</f>
      </c>
      <c r="FC50" s="1099">
        <f t="shared" si="65"/>
      </c>
      <c r="FD50" s="1099">
        <f t="shared" si="65"/>
      </c>
      <c r="FE50" s="1099">
        <f t="shared" si="65"/>
      </c>
      <c r="FF50" s="1099">
        <f t="shared" si="65"/>
      </c>
      <c r="FG50" s="1657">
        <f t="shared" si="65"/>
      </c>
      <c r="FH50" s="1099">
        <f>+FH51/(1-FH71)</f>
      </c>
      <c r="FI50" s="1099">
        <f t="shared" si="65"/>
      </c>
      <c r="FJ50" s="1099">
        <f t="shared" si="65"/>
      </c>
      <c r="FK50" s="1099">
        <f t="shared" si="65"/>
      </c>
      <c r="FL50" s="1657">
        <f t="shared" si="65"/>
      </c>
      <c r="FM50" s="1099">
        <f t="shared" si="65"/>
      </c>
      <c r="FN50" s="1099">
        <f>+FN51/(1-FN71)</f>
      </c>
      <c r="FO50" s="2535">
        <f>+FO51/(1-FO71)</f>
      </c>
      <c r="FP50" s="1099">
        <f t="shared" ref="FP50:FU50" si="66">+FP51/(1-FP71)</f>
      </c>
      <c r="FQ50" s="1099">
        <f t="shared" si="66"/>
      </c>
      <c r="FR50" s="1099">
        <f t="shared" si="66"/>
      </c>
      <c r="FS50" s="1657">
        <f t="shared" si="66"/>
      </c>
      <c r="FT50" s="1099">
        <f t="shared" si="66"/>
      </c>
      <c r="FU50" s="1100">
        <f t="shared" si="66"/>
      </c>
      <c r="FV50" s="2535">
        <f>+FV51/(1-FV71)</f>
      </c>
      <c r="FW50" s="1100">
        <f t="shared" si="65"/>
      </c>
      <c r="FX50" s="1657">
        <f t="shared" si="65"/>
      </c>
      <c r="FY50" s="1099">
        <f t="shared" si="65"/>
      </c>
      <c r="FZ50" s="1099">
        <f>+FZ51/(1-FZ71)</f>
      </c>
      <c r="GA50" s="1099">
        <f>+GA51/(1-GA71)</f>
      </c>
      <c r="GB50" s="1099">
        <f>+GB51/(1-GB71)</f>
      </c>
      <c r="GC50" s="1657">
        <f t="shared" si="65"/>
      </c>
      <c r="GD50" s="1099">
        <f t="shared" ref="GD50" si="67">+GD51/(1-GD71)</f>
      </c>
      <c r="GE50" s="1099">
        <f>+GE51/(1-GE71)</f>
      </c>
      <c r="GF50" s="1099">
        <f>+GF51/(1-GF71)</f>
      </c>
      <c r="GG50" s="1099">
        <f>+GG51/(1-GG71)</f>
      </c>
      <c r="GH50" s="1657">
        <f t="shared" si="65"/>
      </c>
      <c r="GI50" s="1657">
        <f>+GI51/(1-GI71)</f>
      </c>
      <c r="GJ50" s="1657">
        <f>+GJ51/(1-GJ71)</f>
      </c>
      <c r="GK50" s="1657">
        <f>+GK51/(1-GK71)</f>
      </c>
      <c r="GL50" s="1657">
        <f>+GL51/(1-GL71)</f>
      </c>
      <c r="GM50" s="1657">
        <f>+GM51/(1-GM71)</f>
      </c>
    </row>
    <row r="51" spans="2:195" s="23" customFormat="1" ht="33.75" customHeight="1" outlineLevel="1">
      <c r="B51" s="54" t="s">
        <v>143</v>
      </c>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5"/>
      <c r="AQ51" s="164"/>
      <c r="AR51" s="164"/>
      <c r="AS51" s="166"/>
      <c r="AT51" s="166"/>
      <c r="AU51" s="166"/>
      <c r="AV51" s="164"/>
      <c r="AW51" s="166"/>
      <c r="AX51" s="166"/>
      <c r="AY51" s="164"/>
      <c r="AZ51" s="164"/>
      <c r="BA51" s="359"/>
      <c r="BB51" s="164"/>
      <c r="BC51" s="164"/>
      <c r="BD51" s="164"/>
      <c r="BE51" s="164"/>
      <c r="BF51" s="359"/>
      <c r="BG51" s="164"/>
      <c r="BH51" s="164"/>
      <c r="BI51" s="164"/>
      <c r="BJ51" s="164"/>
      <c r="BK51" s="359"/>
      <c r="BL51" s="164"/>
      <c r="BM51" s="164"/>
      <c r="BN51" s="164"/>
      <c r="BO51" s="164"/>
      <c r="BP51" s="359"/>
      <c r="BQ51" s="164"/>
      <c r="BR51" s="164"/>
      <c r="BS51" s="164"/>
      <c r="BT51" s="164"/>
      <c r="BU51" s="359">
        <v>349</v>
      </c>
      <c r="BV51" s="689">
        <v>80</v>
      </c>
      <c r="BW51" s="689">
        <v>88</v>
      </c>
      <c r="BX51" s="689">
        <v>88</v>
      </c>
      <c r="BY51" s="690">
        <v>73</v>
      </c>
      <c r="BZ51" s="359">
        <f>+SUM(BV51:BY51)</f>
      </c>
      <c r="CA51" s="689">
        <v>88</v>
      </c>
      <c r="CB51" s="689">
        <v>88</v>
      </c>
      <c r="CC51" s="689">
        <v>87</v>
      </c>
      <c r="CD51" s="690">
        <v>87</v>
      </c>
      <c r="CE51" s="359">
        <f>+SUM(CA51:CD51)</f>
      </c>
      <c r="CF51" s="689">
        <v>95</v>
      </c>
      <c r="CG51" s="689">
        <v>95</v>
      </c>
      <c r="CH51" s="689">
        <v>95</v>
      </c>
      <c r="CI51" s="690">
        <v>95</v>
      </c>
      <c r="CJ51" s="359">
        <f>+SUM(CF51:CI51)</f>
      </c>
      <c r="CK51" s="689">
        <v>95</v>
      </c>
      <c r="CL51" s="689">
        <v>95</v>
      </c>
      <c r="CM51" s="689">
        <v>95</v>
      </c>
      <c r="CN51" s="691">
        <v>95</v>
      </c>
      <c r="CO51" s="359">
        <f>+SUM(CK51:CN51)</f>
      </c>
      <c r="CP51" s="689">
        <v>95</v>
      </c>
      <c r="CQ51" s="689">
        <v>95</v>
      </c>
      <c r="CR51" s="689">
        <v>95</v>
      </c>
      <c r="CS51" s="689">
        <v>95</v>
      </c>
      <c r="CT51" s="359">
        <f>SUM(CP51:CS51)</f>
      </c>
      <c r="CU51" s="129">
        <f>+$CY51/4</f>
      </c>
      <c r="CV51" s="129">
        <f>+$CY51/4</f>
      </c>
      <c r="CW51" s="129">
        <f>+$CY51/4</f>
      </c>
      <c r="CX51" s="357">
        <f>+CY51-SUM(CU51:CW51)</f>
      </c>
      <c r="CY51" s="711">
        <v>385</v>
      </c>
      <c r="CZ51" s="713">
        <v>97.5</v>
      </c>
      <c r="DA51" s="713">
        <v>97.5</v>
      </c>
      <c r="DB51" s="713">
        <v>97.5</v>
      </c>
      <c r="DC51" s="679">
        <v>97.5</v>
      </c>
      <c r="DD51" s="359">
        <f>SUM(CZ51:DC51)</f>
      </c>
      <c r="DE51" s="713">
        <v>97.5</v>
      </c>
      <c r="DF51" s="713">
        <v>97.5</v>
      </c>
      <c r="DG51" s="713">
        <v>97.5</v>
      </c>
      <c r="DH51" s="679">
        <v>97.5</v>
      </c>
      <c r="DI51" s="358">
        <f>SUM(DE51:DH51)</f>
      </c>
      <c r="DJ51" s="714">
        <f>+$DN$51/4</f>
      </c>
      <c r="DK51" s="714">
        <f>+$DN$51/4</f>
      </c>
      <c r="DL51" s="714">
        <f>+$DN$51/4</f>
      </c>
      <c r="DM51" s="357">
        <f>+DN51-SUM(DJ51:DL51)</f>
      </c>
      <c r="DN51" s="358">
        <v>390</v>
      </c>
      <c r="DO51" s="714">
        <f>+$DN$51/4</f>
      </c>
      <c r="DP51" s="714">
        <f>+$DN$51/4</f>
      </c>
      <c r="DQ51" s="714">
        <f>+$DN$51/4</f>
      </c>
      <c r="DR51" s="357">
        <f>+DS51-SUM(DO51:DQ51)</f>
      </c>
      <c r="DS51" s="358">
        <v>390</v>
      </c>
      <c r="DT51" s="714">
        <f>+$DX$51/4</f>
      </c>
      <c r="DU51" s="714">
        <f>+$DX$51/4</f>
      </c>
      <c r="DV51" s="714">
        <f>+$DX$51/4</f>
      </c>
      <c r="DW51" s="357">
        <f>+$DX$51/4</f>
      </c>
      <c r="DX51" s="358">
        <v>390</v>
      </c>
      <c r="DY51" s="714">
        <f>+$DX$51/4</f>
      </c>
      <c r="DZ51" s="714">
        <f>+$DX$51/4</f>
      </c>
      <c r="EA51" s="714">
        <f>+$DX$51/4</f>
      </c>
      <c r="EB51" s="357">
        <f>+$DX$51/4</f>
      </c>
      <c r="EC51" s="358">
        <v>390</v>
      </c>
      <c r="ED51" s="1026">
        <f>+$EH$51/4</f>
      </c>
      <c r="EE51" s="1026">
        <f>+$EH$51/4</f>
      </c>
      <c r="EF51" s="1026">
        <f>+$EH$51/4</f>
      </c>
      <c r="EG51" s="1026">
        <f>+$EH$51/4</f>
      </c>
      <c r="EH51" s="358">
        <v>390</v>
      </c>
      <c r="EI51" s="1026">
        <f>+EJ51</f>
      </c>
      <c r="EJ51" s="1026">
        <f>+EK51</f>
      </c>
      <c r="EK51" s="1026">
        <f>+EL51</f>
      </c>
      <c r="EL51" s="1026">
        <v>90</v>
      </c>
      <c r="EM51" s="358">
        <f>+SUM(EI51:EL51)</f>
      </c>
      <c r="EN51" s="1026">
        <f>+EO51</f>
      </c>
      <c r="EO51" s="1026">
        <f>+EP51</f>
      </c>
      <c r="EP51" s="1026">
        <f>+EQ51</f>
      </c>
      <c r="EQ51" s="1026">
        <v>90</v>
      </c>
      <c r="ER51" s="358">
        <f>+SUM(EN51:EQ51)</f>
      </c>
      <c r="ES51" s="1026">
        <f>+ET51</f>
      </c>
      <c r="ET51" s="1026">
        <f>+EU51</f>
      </c>
      <c r="EU51" s="1026">
        <f>+EV51</f>
      </c>
      <c r="EV51" s="1027">
        <f>+$EM$51/4</f>
      </c>
      <c r="EW51" s="358">
        <v>360</v>
      </c>
      <c r="EX51" s="1026">
        <f>+EY51</f>
      </c>
      <c r="EY51" s="1026">
        <f>+EZ51</f>
      </c>
      <c r="EZ51" s="1026">
        <f>+FA51</f>
      </c>
      <c r="FA51" s="1027">
        <f>+$EM$51/4</f>
      </c>
      <c r="FB51" s="358">
        <v>360</v>
      </c>
      <c r="FC51" s="1284">
        <f>$FG$51/4</f>
      </c>
      <c r="FD51" s="1284">
        <f>$FG$51/4</f>
      </c>
      <c r="FE51" s="1284">
        <f>$FG$51/4</f>
      </c>
      <c r="FF51" s="1284">
        <f>$FG$51/4</f>
      </c>
      <c r="FG51" s="1675">
        <v>360</v>
      </c>
      <c r="FH51" s="1284">
        <f>$FL$51/4</f>
      </c>
      <c r="FI51" s="1284">
        <f>$FL$51/4</f>
      </c>
      <c r="FJ51" s="1284">
        <f>$FL$51/4</f>
      </c>
      <c r="FK51" s="1284">
        <f>$FL$51/4</f>
      </c>
      <c r="FL51" s="1675">
        <v>390</v>
      </c>
      <c r="FM51" s="1284">
        <f>$FX$51/4</f>
      </c>
      <c r="FN51" s="1284">
        <f>$FX$51/4</f>
      </c>
      <c r="FO51" s="2534">
        <f>$FL$51/4</f>
      </c>
      <c r="FP51" s="1284">
        <f>$FL$51/4</f>
      </c>
      <c r="FQ51" s="1284">
        <f>$FL$51/4</f>
      </c>
      <c r="FR51" s="1284">
        <f>$FL$51/4</f>
      </c>
      <c r="FS51" s="1675">
        <v>390</v>
      </c>
      <c r="FT51" s="1284">
        <f>$FX$51/4</f>
      </c>
      <c r="FU51" s="1313">
        <f>$FX$51/4</f>
      </c>
      <c r="FV51" s="2534">
        <f>$FX$51/4</f>
      </c>
      <c r="FW51" s="1313">
        <f>$FX$51/4</f>
      </c>
      <c r="FX51" s="1675">
        <v>390</v>
      </c>
      <c r="FY51" s="1284">
        <f>$FX$51/4</f>
      </c>
      <c r="FZ51" s="1284">
        <f>$FX$51/4</f>
      </c>
      <c r="GA51" s="1284">
        <f>$FX$51/4</f>
      </c>
      <c r="GB51" s="1284">
        <f>$FX$51/4</f>
      </c>
      <c r="GC51" s="1675">
        <v>390</v>
      </c>
      <c r="GD51" s="1284">
        <f>$GH$51/4</f>
      </c>
      <c r="GE51" s="1284">
        <f>$FX$51/4</f>
      </c>
      <c r="GF51" s="1284">
        <f>$FX$51/4</f>
      </c>
      <c r="GG51" s="1284">
        <f>$GH$51/4</f>
      </c>
      <c r="GH51" s="1675">
        <v>390</v>
      </c>
      <c r="GI51" s="1675">
        <v>390</v>
      </c>
      <c r="GJ51" s="1675">
        <v>390</v>
      </c>
      <c r="GK51" s="1675">
        <v>390</v>
      </c>
      <c r="GL51" s="1675">
        <v>390</v>
      </c>
      <c r="GM51" s="1675">
        <v>390</v>
      </c>
    </row>
    <row r="52" spans="2:195" s="23" customFormat="1" ht="14.25" customHeight="1" outlineLevel="1">
      <c r="B52" s="189" t="s">
        <v>113</v>
      </c>
      <c r="C52" s="160"/>
      <c r="D52" s="160"/>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2"/>
      <c r="AQ52" s="161"/>
      <c r="AR52" s="161"/>
      <c r="AS52" s="163"/>
      <c r="AT52" s="163"/>
      <c r="AU52" s="163"/>
      <c r="AV52" s="52">
        <f t="shared" ref="AV52:CA52" si="68">+AV43/AV60</f>
      </c>
      <c r="AW52" s="52">
        <f t="shared" si="68"/>
      </c>
      <c r="AX52" s="52">
        <f t="shared" si="68"/>
      </c>
      <c r="AY52" s="52">
        <f t="shared" si="68"/>
      </c>
      <c r="AZ52" s="52">
        <f t="shared" si="68"/>
      </c>
      <c r="BA52" s="291">
        <f t="shared" si="68"/>
      </c>
      <c r="BB52" s="52">
        <f t="shared" si="68"/>
      </c>
      <c r="BC52" s="52">
        <f t="shared" si="68"/>
      </c>
      <c r="BD52" s="52">
        <f t="shared" si="68"/>
      </c>
      <c r="BE52" s="52">
        <f t="shared" si="68"/>
      </c>
      <c r="BF52" s="291">
        <f t="shared" si="68"/>
      </c>
      <c r="BG52" s="52">
        <f t="shared" si="68"/>
      </c>
      <c r="BH52" s="52">
        <f t="shared" si="68"/>
      </c>
      <c r="BI52" s="52">
        <f t="shared" si="68"/>
      </c>
      <c r="BJ52" s="52">
        <f t="shared" si="68"/>
      </c>
      <c r="BK52" s="291">
        <f t="shared" si="68"/>
      </c>
      <c r="BL52" s="52">
        <f t="shared" si="68"/>
      </c>
      <c r="BM52" s="52">
        <f t="shared" si="68"/>
      </c>
      <c r="BN52" s="52">
        <f t="shared" si="68"/>
      </c>
      <c r="BO52" s="52">
        <f t="shared" si="68"/>
      </c>
      <c r="BP52" s="291">
        <f t="shared" si="68"/>
      </c>
      <c r="BQ52" s="52">
        <f t="shared" si="68"/>
      </c>
      <c r="BR52" s="52">
        <f t="shared" si="68"/>
      </c>
      <c r="BS52" s="52">
        <f t="shared" si="68"/>
      </c>
      <c r="BT52" s="52">
        <f t="shared" si="68"/>
      </c>
      <c r="BU52" s="291">
        <f t="shared" si="68"/>
      </c>
      <c r="BV52" s="52">
        <f t="shared" si="68"/>
      </c>
      <c r="BW52" s="52">
        <f t="shared" si="68"/>
      </c>
      <c r="BX52" s="52">
        <f t="shared" si="68"/>
      </c>
      <c r="BY52" s="52">
        <f t="shared" si="68"/>
      </c>
      <c r="BZ52" s="291">
        <f t="shared" si="68"/>
      </c>
      <c r="CA52" s="52">
        <f t="shared" si="68"/>
      </c>
      <c r="CB52" s="52">
        <f t="shared" ref="CB52:DG52" si="69">+CB43/CB60</f>
      </c>
      <c r="CC52" s="52">
        <f t="shared" si="69"/>
      </c>
      <c r="CD52" s="52">
        <f t="shared" si="69"/>
      </c>
      <c r="CE52" s="291">
        <f t="shared" si="69"/>
      </c>
      <c r="CF52" s="52">
        <f t="shared" si="69"/>
      </c>
      <c r="CG52" s="52">
        <f t="shared" si="69"/>
      </c>
      <c r="CH52" s="52">
        <f t="shared" si="69"/>
      </c>
      <c r="CI52" s="52">
        <f t="shared" si="69"/>
      </c>
      <c r="CJ52" s="291">
        <f t="shared" si="69"/>
      </c>
      <c r="CK52" s="52">
        <f t="shared" si="69"/>
      </c>
      <c r="CL52" s="52">
        <f t="shared" si="69"/>
      </c>
      <c r="CM52" s="52">
        <f t="shared" si="69"/>
      </c>
      <c r="CN52" s="52">
        <f t="shared" si="69"/>
      </c>
      <c r="CO52" s="291">
        <f t="shared" si="69"/>
      </c>
      <c r="CP52" s="52">
        <f t="shared" si="69"/>
      </c>
      <c r="CQ52" s="52">
        <f t="shared" si="69"/>
      </c>
      <c r="CR52" s="52">
        <f t="shared" si="69"/>
      </c>
      <c r="CS52" s="52">
        <f t="shared" si="69"/>
      </c>
      <c r="CT52" s="291">
        <f t="shared" si="69"/>
      </c>
      <c r="CU52" s="52">
        <f t="shared" si="69"/>
      </c>
      <c r="CV52" s="52">
        <f t="shared" si="69"/>
      </c>
      <c r="CW52" s="52">
        <f t="shared" si="69"/>
      </c>
      <c r="CX52" s="52">
        <f t="shared" si="69"/>
      </c>
      <c r="CY52" s="291">
        <f t="shared" si="69"/>
      </c>
      <c r="CZ52" s="52">
        <f t="shared" si="69"/>
      </c>
      <c r="DA52" s="52">
        <f t="shared" si="69"/>
      </c>
      <c r="DB52" s="52">
        <f t="shared" si="69"/>
      </c>
      <c r="DC52" s="281">
        <f t="shared" si="69"/>
      </c>
      <c r="DD52" s="291">
        <f t="shared" si="69"/>
      </c>
      <c r="DE52" s="52">
        <f t="shared" si="69"/>
      </c>
      <c r="DF52" s="52">
        <f t="shared" si="69"/>
      </c>
      <c r="DG52" s="52">
        <f t="shared" si="69"/>
      </c>
      <c r="DH52" s="281">
        <f t="shared" ref="DH52:EM52" si="70">+DH43/DH60</f>
      </c>
      <c r="DI52" s="291">
        <f t="shared" si="70"/>
      </c>
      <c r="DJ52" s="52">
        <f t="shared" si="70"/>
      </c>
      <c r="DK52" s="52">
        <f t="shared" si="70"/>
      </c>
      <c r="DL52" s="52">
        <f t="shared" si="70"/>
      </c>
      <c r="DM52" s="281">
        <f t="shared" si="70"/>
      </c>
      <c r="DN52" s="291">
        <f t="shared" si="70"/>
      </c>
      <c r="DO52" s="52">
        <f t="shared" si="70"/>
      </c>
      <c r="DP52" s="52">
        <f t="shared" si="70"/>
      </c>
      <c r="DQ52" s="52">
        <f t="shared" si="70"/>
      </c>
      <c r="DR52" s="281">
        <f t="shared" si="70"/>
      </c>
      <c r="DS52" s="291">
        <f t="shared" si="70"/>
      </c>
      <c r="DT52" s="52">
        <f t="shared" si="70"/>
      </c>
      <c r="DU52" s="281">
        <f t="shared" si="70"/>
      </c>
      <c r="DV52" s="52">
        <f t="shared" si="70"/>
      </c>
      <c r="DW52" s="281">
        <f t="shared" si="70"/>
      </c>
      <c r="DX52" s="291">
        <f t="shared" si="70"/>
      </c>
      <c r="DY52" s="281">
        <f t="shared" si="70"/>
      </c>
      <c r="DZ52" s="281">
        <f t="shared" si="70"/>
      </c>
      <c r="EA52" s="52">
        <f t="shared" si="70"/>
      </c>
      <c r="EB52" s="281">
        <f t="shared" si="70"/>
      </c>
      <c r="EC52" s="291">
        <f t="shared" si="70"/>
      </c>
      <c r="ED52" s="281">
        <f t="shared" si="70"/>
      </c>
      <c r="EE52" s="1028">
        <f t="shared" si="70"/>
      </c>
      <c r="EF52" s="1028">
        <f t="shared" si="70"/>
      </c>
      <c r="EG52" s="281">
        <f t="shared" si="70"/>
      </c>
      <c r="EH52" s="291">
        <f t="shared" si="70"/>
      </c>
      <c r="EI52" s="1028">
        <f t="shared" si="70"/>
      </c>
      <c r="EJ52" s="1028">
        <f t="shared" si="70"/>
      </c>
      <c r="EK52" s="1028">
        <f t="shared" si="70"/>
      </c>
      <c r="EL52" s="1028">
        <f t="shared" si="70"/>
      </c>
      <c r="EM52" s="291">
        <f t="shared" si="70"/>
      </c>
      <c r="EN52" s="1028">
        <f t="shared" ref="EN52:FS52" si="71">+EN43/EN60</f>
      </c>
      <c r="EO52" s="1028">
        <f t="shared" si="71"/>
      </c>
      <c r="EP52" s="1028">
        <f t="shared" si="71"/>
      </c>
      <c r="EQ52" s="1028">
        <f t="shared" si="71"/>
      </c>
      <c r="ER52" s="291">
        <f t="shared" si="71"/>
      </c>
      <c r="ES52" s="1028">
        <f t="shared" si="71"/>
      </c>
      <c r="ET52" s="1028">
        <f t="shared" si="71"/>
      </c>
      <c r="EU52" s="1028">
        <f t="shared" si="71"/>
      </c>
      <c r="EV52" s="1028">
        <f t="shared" si="71"/>
      </c>
      <c r="EW52" s="1676">
        <f t="shared" si="71"/>
      </c>
      <c r="EX52" s="1677">
        <f t="shared" si="71"/>
      </c>
      <c r="EY52" s="1677">
        <f t="shared" si="71"/>
      </c>
      <c r="EZ52" s="1677">
        <f t="shared" si="71"/>
      </c>
      <c r="FA52" s="1677">
        <f t="shared" si="71"/>
      </c>
      <c r="FB52" s="1676">
        <f t="shared" si="71"/>
      </c>
      <c r="FC52" s="1677">
        <f t="shared" si="71"/>
      </c>
      <c r="FD52" s="1677">
        <f t="shared" si="71"/>
      </c>
      <c r="FE52" s="1677">
        <f t="shared" si="71"/>
      </c>
      <c r="FF52" s="1677">
        <f t="shared" si="71"/>
      </c>
      <c r="FG52" s="1676">
        <f t="shared" si="71"/>
      </c>
      <c r="FH52" s="1677">
        <f t="shared" si="71"/>
      </c>
      <c r="FI52" s="1677">
        <f t="shared" si="71"/>
      </c>
      <c r="FJ52" s="1677">
        <f t="shared" si="71"/>
      </c>
      <c r="FK52" s="1677">
        <f t="shared" si="71"/>
      </c>
      <c r="FL52" s="1676">
        <f t="shared" si="71"/>
      </c>
      <c r="FM52" s="2622">
        <f t="shared" si="71"/>
      </c>
      <c r="FN52" s="2799">
        <f t="shared" si="71"/>
      </c>
      <c r="FO52" s="2821">
        <f t="shared" si="71"/>
      </c>
      <c r="FP52" s="2799">
        <f t="shared" si="71"/>
      </c>
      <c r="FQ52" s="2799">
        <f t="shared" si="71"/>
      </c>
      <c r="FR52" s="2799">
        <f t="shared" si="71"/>
      </c>
      <c r="FS52" s="2822">
        <f t="shared" si="71"/>
      </c>
      <c r="FT52" s="2799">
        <f t="shared" ref="FT52:GJ52" si="72">+FT43/FT60</f>
      </c>
      <c r="FU52" s="2823">
        <f t="shared" si="72"/>
      </c>
      <c r="FV52" s="3177">
        <f t="shared" si="72"/>
      </c>
      <c r="FW52" s="3295">
        <f t="shared" si="72"/>
      </c>
      <c r="FX52" s="1676">
        <f t="shared" si="72"/>
      </c>
      <c r="FY52" s="2622">
        <f t="shared" si="72"/>
      </c>
      <c r="FZ52" s="2622">
        <f t="shared" si="72"/>
      </c>
      <c r="GA52" s="2622">
        <f t="shared" si="72"/>
      </c>
      <c r="GB52" s="2622">
        <f t="shared" si="72"/>
      </c>
      <c r="GC52" s="1676">
        <f t="shared" si="72"/>
      </c>
      <c r="GD52" s="2622">
        <f t="shared" ref="GD52:GF52" si="73">+GD43/GD60</f>
      </c>
      <c r="GE52" s="2622">
        <f t="shared" si="73"/>
      </c>
      <c r="GF52" s="2622">
        <f t="shared" si="73"/>
      </c>
      <c r="GG52" s="3567">
        <f t="shared" si="72"/>
      </c>
      <c r="GH52" s="1676">
        <f t="shared" si="72"/>
      </c>
      <c r="GI52" s="1676">
        <f t="shared" ca="1" si="72"/>
      </c>
      <c r="GJ52" s="1676">
        <f t="shared" ca="1" si="72"/>
      </c>
      <c r="GK52" s="1676">
        <f ca="1">+GK43/GK60</f>
      </c>
      <c r="GL52" s="1676">
        <f ca="1">+GL43/GL60</f>
      </c>
      <c r="GM52" s="1676">
        <f ca="1">+GM43/GM60</f>
      </c>
    </row>
    <row r="53" spans="2:195" s="23" customFormat="1" outlineLevel="1">
      <c r="B53" s="54" t="s">
        <v>115</v>
      </c>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5"/>
      <c r="AQ53" s="164"/>
      <c r="AR53" s="164"/>
      <c r="AS53" s="166"/>
      <c r="AT53" s="166"/>
      <c r="AU53" s="166"/>
      <c r="AV53" s="48">
        <f t="shared" ref="AV53:CA53" si="74">+AV49/AV60</f>
      </c>
      <c r="AW53" s="48">
        <f t="shared" si="74"/>
      </c>
      <c r="AX53" s="48">
        <f t="shared" si="74"/>
      </c>
      <c r="AY53" s="48">
        <f t="shared" si="74"/>
      </c>
      <c r="AZ53" s="48">
        <f t="shared" si="74"/>
      </c>
      <c r="BA53" s="286">
        <f t="shared" si="74"/>
      </c>
      <c r="BB53" s="48">
        <f t="shared" si="74"/>
      </c>
      <c r="BC53" s="48">
        <f t="shared" si="74"/>
      </c>
      <c r="BD53" s="48">
        <f t="shared" si="74"/>
      </c>
      <c r="BE53" s="48">
        <f t="shared" si="74"/>
      </c>
      <c r="BF53" s="286">
        <f t="shared" si="74"/>
      </c>
      <c r="BG53" s="48">
        <f t="shared" si="74"/>
      </c>
      <c r="BH53" s="48">
        <f t="shared" si="74"/>
      </c>
      <c r="BI53" s="48">
        <f t="shared" si="74"/>
      </c>
      <c r="BJ53" s="48">
        <f t="shared" si="74"/>
      </c>
      <c r="BK53" s="286">
        <f t="shared" si="74"/>
      </c>
      <c r="BL53" s="48">
        <f t="shared" si="74"/>
      </c>
      <c r="BM53" s="48">
        <f t="shared" si="74"/>
      </c>
      <c r="BN53" s="48">
        <f t="shared" si="74"/>
      </c>
      <c r="BO53" s="48">
        <f t="shared" si="74"/>
      </c>
      <c r="BP53" s="286">
        <f t="shared" si="74"/>
      </c>
      <c r="BQ53" s="48">
        <f t="shared" si="74"/>
      </c>
      <c r="BR53" s="48">
        <f t="shared" si="74"/>
      </c>
      <c r="BS53" s="48">
        <f t="shared" si="74"/>
      </c>
      <c r="BT53" s="48">
        <f t="shared" si="74"/>
      </c>
      <c r="BU53" s="286">
        <f t="shared" si="74"/>
      </c>
      <c r="BV53" s="48">
        <f t="shared" si="74"/>
      </c>
      <c r="BW53" s="48">
        <f t="shared" si="74"/>
      </c>
      <c r="BX53" s="48">
        <f t="shared" si="74"/>
      </c>
      <c r="BY53" s="48">
        <f t="shared" si="74"/>
      </c>
      <c r="BZ53" s="286">
        <f t="shared" si="74"/>
      </c>
      <c r="CA53" s="48">
        <f t="shared" si="74"/>
      </c>
      <c r="CB53" s="48">
        <f t="shared" ref="CB53:DG53" si="75">+CB49/CB60</f>
      </c>
      <c r="CC53" s="48">
        <f t="shared" si="75"/>
      </c>
      <c r="CD53" s="48">
        <f t="shared" si="75"/>
      </c>
      <c r="CE53" s="286">
        <f t="shared" si="75"/>
      </c>
      <c r="CF53" s="48">
        <f t="shared" si="75"/>
      </c>
      <c r="CG53" s="48">
        <f t="shared" si="75"/>
      </c>
      <c r="CH53" s="48">
        <f t="shared" si="75"/>
      </c>
      <c r="CI53" s="48">
        <f t="shared" si="75"/>
      </c>
      <c r="CJ53" s="286">
        <f t="shared" si="75"/>
      </c>
      <c r="CK53" s="48">
        <f t="shared" si="75"/>
      </c>
      <c r="CL53" s="48">
        <f t="shared" si="75"/>
      </c>
      <c r="CM53" s="48">
        <f t="shared" si="75"/>
      </c>
      <c r="CN53" s="48">
        <f t="shared" si="75"/>
      </c>
      <c r="CO53" s="286">
        <f t="shared" si="75"/>
      </c>
      <c r="CP53" s="48">
        <f t="shared" si="75"/>
      </c>
      <c r="CQ53" s="48">
        <f t="shared" si="75"/>
      </c>
      <c r="CR53" s="48">
        <f t="shared" si="75"/>
      </c>
      <c r="CS53" s="48">
        <f t="shared" si="75"/>
      </c>
      <c r="CT53" s="286">
        <f t="shared" si="75"/>
      </c>
      <c r="CU53" s="48">
        <f t="shared" si="75"/>
      </c>
      <c r="CV53" s="48">
        <f t="shared" si="75"/>
      </c>
      <c r="CW53" s="48">
        <f t="shared" si="75"/>
      </c>
      <c r="CX53" s="48">
        <f t="shared" si="75"/>
      </c>
      <c r="CY53" s="286">
        <f t="shared" si="75"/>
      </c>
      <c r="CZ53" s="48">
        <f t="shared" si="75"/>
      </c>
      <c r="DA53" s="48">
        <f t="shared" si="75"/>
      </c>
      <c r="DB53" s="48">
        <f t="shared" si="75"/>
      </c>
      <c r="DC53" s="48">
        <f t="shared" si="75"/>
      </c>
      <c r="DD53" s="286">
        <f t="shared" si="75"/>
      </c>
      <c r="DE53" s="48">
        <f t="shared" si="75"/>
      </c>
      <c r="DF53" s="48">
        <f t="shared" si="75"/>
      </c>
      <c r="DG53" s="48">
        <f t="shared" si="75"/>
      </c>
      <c r="DH53" s="48">
        <f t="shared" ref="DH53:EM53" si="76">+DH49/DH60</f>
      </c>
      <c r="DI53" s="286">
        <f t="shared" si="76"/>
      </c>
      <c r="DJ53" s="48">
        <f t="shared" si="76"/>
      </c>
      <c r="DK53" s="48">
        <f t="shared" si="76"/>
      </c>
      <c r="DL53" s="48">
        <f t="shared" si="76"/>
      </c>
      <c r="DM53" s="48">
        <f t="shared" si="76"/>
      </c>
      <c r="DN53" s="286">
        <f t="shared" si="76"/>
      </c>
      <c r="DO53" s="48">
        <f t="shared" si="76"/>
      </c>
      <c r="DP53" s="48">
        <f t="shared" si="76"/>
      </c>
      <c r="DQ53" s="48">
        <f t="shared" si="76"/>
      </c>
      <c r="DR53" s="48">
        <f t="shared" si="76"/>
      </c>
      <c r="DS53" s="286">
        <f t="shared" si="76"/>
      </c>
      <c r="DT53" s="48">
        <f t="shared" si="76"/>
      </c>
      <c r="DU53" s="48">
        <f t="shared" si="76"/>
      </c>
      <c r="DV53" s="48">
        <f t="shared" si="76"/>
      </c>
      <c r="DW53" s="48">
        <f t="shared" si="76"/>
      </c>
      <c r="DX53" s="286">
        <f t="shared" si="76"/>
      </c>
      <c r="DY53" s="48">
        <f t="shared" si="76"/>
      </c>
      <c r="DZ53" s="48">
        <f t="shared" si="76"/>
      </c>
      <c r="EA53" s="48">
        <f t="shared" si="76"/>
      </c>
      <c r="EB53" s="48">
        <f t="shared" si="76"/>
      </c>
      <c r="EC53" s="286">
        <f t="shared" si="76"/>
      </c>
      <c r="ED53" s="48">
        <f t="shared" si="76"/>
      </c>
      <c r="EE53" s="1029">
        <f t="shared" si="76"/>
      </c>
      <c r="EF53" s="1029">
        <f t="shared" si="76"/>
      </c>
      <c r="EG53" s="48">
        <f t="shared" si="76"/>
      </c>
      <c r="EH53" s="286">
        <f t="shared" si="76"/>
      </c>
      <c r="EI53" s="1029">
        <f t="shared" si="76"/>
      </c>
      <c r="EJ53" s="1029">
        <f t="shared" si="76"/>
      </c>
      <c r="EK53" s="1029">
        <f t="shared" si="76"/>
      </c>
      <c r="EL53" s="1029">
        <f t="shared" si="76"/>
      </c>
      <c r="EM53" s="286">
        <f t="shared" si="76"/>
      </c>
      <c r="EN53" s="1029">
        <f t="shared" ref="EN53:GH53" si="77">+EN49/EN60</f>
      </c>
      <c r="EO53" s="1029">
        <f t="shared" si="77"/>
      </c>
      <c r="EP53" s="1029">
        <f t="shared" si="77"/>
      </c>
      <c r="EQ53" s="1029">
        <f t="shared" si="77"/>
      </c>
      <c r="ER53" s="286">
        <f t="shared" si="77"/>
      </c>
      <c r="ES53" s="1029">
        <f t="shared" si="77"/>
      </c>
      <c r="ET53" s="1029">
        <f t="shared" si="77"/>
      </c>
      <c r="EU53" s="1029">
        <f t="shared" si="77"/>
      </c>
      <c r="EV53" s="1029">
        <f t="shared" si="77"/>
      </c>
      <c r="EW53" s="1678">
        <f t="shared" si="77"/>
      </c>
      <c r="EX53" s="1188">
        <f t="shared" si="77"/>
      </c>
      <c r="EY53" s="1188">
        <f t="shared" si="77"/>
      </c>
      <c r="EZ53" s="1188">
        <f t="shared" si="77"/>
      </c>
      <c r="FA53" s="1188">
        <f t="shared" si="77"/>
      </c>
      <c r="FB53" s="1678">
        <f t="shared" si="77"/>
      </c>
      <c r="FC53" s="1188">
        <f t="shared" si="77"/>
      </c>
      <c r="FD53" s="1188">
        <f t="shared" si="77"/>
      </c>
      <c r="FE53" s="1188">
        <f t="shared" si="77"/>
      </c>
      <c r="FF53" s="1188">
        <f t="shared" si="77"/>
      </c>
      <c r="FG53" s="1678">
        <f t="shared" si="77"/>
      </c>
      <c r="FH53" s="1188">
        <f t="shared" si="77"/>
      </c>
      <c r="FI53" s="1188">
        <f t="shared" si="77"/>
      </c>
      <c r="FJ53" s="1188">
        <f t="shared" si="77"/>
      </c>
      <c r="FK53" s="1188">
        <f t="shared" si="77"/>
      </c>
      <c r="FL53" s="1678">
        <f t="shared" si="77"/>
      </c>
      <c r="FM53" s="1188">
        <f t="shared" ref="FM53:FS53" si="78">+FM49/FM60</f>
      </c>
      <c r="FN53" s="1188">
        <f t="shared" si="78"/>
      </c>
      <c r="FO53" s="2824">
        <f t="shared" si="78"/>
      </c>
      <c r="FP53" s="1188">
        <f t="shared" si="78"/>
      </c>
      <c r="FQ53" s="1188">
        <f t="shared" si="78"/>
      </c>
      <c r="FR53" s="1188">
        <f t="shared" si="78"/>
      </c>
      <c r="FS53" s="1678">
        <f t="shared" si="78"/>
      </c>
      <c r="FT53" s="1188">
        <f>+FT49/FT60</f>
      </c>
      <c r="FU53" s="2825">
        <f>+FU49/FU60</f>
      </c>
      <c r="FV53" s="2824">
        <f>+FV49/FV60</f>
      </c>
      <c r="FW53" s="2825">
        <f t="shared" si="77"/>
      </c>
      <c r="FX53" s="1678">
        <f t="shared" si="77"/>
      </c>
      <c r="FY53" s="1188">
        <f t="shared" si="77"/>
      </c>
      <c r="FZ53" s="1188">
        <f>+FZ49/FZ60</f>
      </c>
      <c r="GA53" s="1188">
        <f>+GA49/GA60</f>
      </c>
      <c r="GB53" s="1188">
        <f>+GB49/GB60</f>
      </c>
      <c r="GC53" s="1678">
        <f t="shared" si="77"/>
      </c>
      <c r="GD53" s="1188">
        <f t="shared" ref="GD53" si="79">+GD49/GD60</f>
      </c>
      <c r="GE53" s="1188">
        <f>+GE49/GE60</f>
      </c>
      <c r="GF53" s="1188">
        <f>+GF49/GF60</f>
      </c>
      <c r="GG53" s="1188">
        <f>+GG49/GG60</f>
      </c>
      <c r="GH53" s="1678">
        <f t="shared" si="77"/>
      </c>
      <c r="GI53" s="1678">
        <f ca="1">+GI49/GI60</f>
      </c>
      <c r="GJ53" s="1678">
        <f ca="1">+GJ49/GJ60</f>
      </c>
      <c r="GK53" s="1678">
        <f ca="1">+GK49/GK60</f>
      </c>
      <c r="GL53" s="1678">
        <f ca="1">+GL49/GL60</f>
      </c>
      <c r="GM53" s="1678">
        <f ca="1">+GM49/GM60</f>
      </c>
    </row>
    <row r="54" spans="2:195" s="23" customFormat="1" outlineLevel="1">
      <c r="B54" s="190" t="s">
        <v>114</v>
      </c>
      <c r="C54" s="155"/>
      <c r="D54" s="155"/>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8"/>
      <c r="AQ54" s="167"/>
      <c r="AR54" s="167"/>
      <c r="AS54" s="169"/>
      <c r="AT54" s="169"/>
      <c r="AU54" s="169"/>
      <c r="AV54" s="157">
        <f t="shared" ref="AV54:CA54" si="80">+AV45/AV60</f>
      </c>
      <c r="AW54" s="157">
        <f t="shared" si="80"/>
      </c>
      <c r="AX54" s="157">
        <f t="shared" si="80"/>
      </c>
      <c r="AY54" s="157">
        <f t="shared" si="80"/>
      </c>
      <c r="AZ54" s="157">
        <f t="shared" si="80"/>
      </c>
      <c r="BA54" s="292">
        <f t="shared" si="80"/>
      </c>
      <c r="BB54" s="157">
        <f t="shared" si="80"/>
      </c>
      <c r="BC54" s="157">
        <f t="shared" si="80"/>
      </c>
      <c r="BD54" s="157">
        <f t="shared" si="80"/>
      </c>
      <c r="BE54" s="157">
        <f t="shared" si="80"/>
      </c>
      <c r="BF54" s="292">
        <f t="shared" si="80"/>
      </c>
      <c r="BG54" s="157">
        <f t="shared" si="80"/>
      </c>
      <c r="BH54" s="157">
        <f t="shared" si="80"/>
      </c>
      <c r="BI54" s="157">
        <f t="shared" si="80"/>
      </c>
      <c r="BJ54" s="157">
        <f t="shared" si="80"/>
      </c>
      <c r="BK54" s="292">
        <f t="shared" si="80"/>
      </c>
      <c r="BL54" s="157">
        <f t="shared" si="80"/>
      </c>
      <c r="BM54" s="157">
        <f t="shared" si="80"/>
      </c>
      <c r="BN54" s="157">
        <f t="shared" si="80"/>
      </c>
      <c r="BO54" s="157">
        <f t="shared" si="80"/>
      </c>
      <c r="BP54" s="292">
        <f t="shared" si="80"/>
      </c>
      <c r="BQ54" s="157">
        <f t="shared" si="80"/>
      </c>
      <c r="BR54" s="157">
        <f t="shared" si="80"/>
      </c>
      <c r="BS54" s="157">
        <f t="shared" si="80"/>
      </c>
      <c r="BT54" s="157">
        <f t="shared" si="80"/>
      </c>
      <c r="BU54" s="292">
        <f t="shared" si="80"/>
      </c>
      <c r="BV54" s="157">
        <f t="shared" si="80"/>
      </c>
      <c r="BW54" s="157">
        <f t="shared" si="80"/>
      </c>
      <c r="BX54" s="157">
        <f t="shared" si="80"/>
      </c>
      <c r="BY54" s="157">
        <f t="shared" si="80"/>
      </c>
      <c r="BZ54" s="292">
        <f t="shared" si="80"/>
      </c>
      <c r="CA54" s="157">
        <f t="shared" si="80"/>
      </c>
      <c r="CB54" s="157">
        <f t="shared" ref="CB54:DG54" si="81">+CB45/CB60</f>
      </c>
      <c r="CC54" s="157">
        <f t="shared" si="81"/>
      </c>
      <c r="CD54" s="157">
        <f t="shared" si="81"/>
      </c>
      <c r="CE54" s="292">
        <f t="shared" si="81"/>
      </c>
      <c r="CF54" s="157">
        <f t="shared" si="81"/>
      </c>
      <c r="CG54" s="157">
        <f t="shared" si="81"/>
      </c>
      <c r="CH54" s="157">
        <f t="shared" si="81"/>
      </c>
      <c r="CI54" s="157">
        <f t="shared" si="81"/>
      </c>
      <c r="CJ54" s="292">
        <f t="shared" si="81"/>
      </c>
      <c r="CK54" s="157">
        <f t="shared" si="81"/>
      </c>
      <c r="CL54" s="157">
        <f t="shared" si="81"/>
      </c>
      <c r="CM54" s="157">
        <f t="shared" si="81"/>
      </c>
      <c r="CN54" s="157">
        <f t="shared" si="81"/>
      </c>
      <c r="CO54" s="292">
        <f t="shared" si="81"/>
      </c>
      <c r="CP54" s="157">
        <f t="shared" si="81"/>
      </c>
      <c r="CQ54" s="157">
        <f t="shared" si="81"/>
      </c>
      <c r="CR54" s="157">
        <f t="shared" si="81"/>
      </c>
      <c r="CS54" s="157">
        <f t="shared" si="81"/>
      </c>
      <c r="CT54" s="292">
        <f t="shared" si="81"/>
      </c>
      <c r="CU54" s="157">
        <f t="shared" si="81"/>
      </c>
      <c r="CV54" s="157">
        <f t="shared" si="81"/>
      </c>
      <c r="CW54" s="157">
        <f t="shared" si="81"/>
      </c>
      <c r="CX54" s="157">
        <f t="shared" si="81"/>
      </c>
      <c r="CY54" s="292">
        <f t="shared" si="81"/>
      </c>
      <c r="CZ54" s="157">
        <f t="shared" si="81"/>
      </c>
      <c r="DA54" s="157">
        <f t="shared" si="81"/>
      </c>
      <c r="DB54" s="157">
        <f t="shared" si="81"/>
      </c>
      <c r="DC54" s="157">
        <f t="shared" si="81"/>
      </c>
      <c r="DD54" s="292">
        <f t="shared" si="81"/>
      </c>
      <c r="DE54" s="157">
        <f t="shared" si="81"/>
      </c>
      <c r="DF54" s="157">
        <f t="shared" si="81"/>
      </c>
      <c r="DG54" s="157">
        <f t="shared" si="81"/>
      </c>
      <c r="DH54" s="157">
        <f t="shared" ref="DH54:EM54" si="82">+DH45/DH60</f>
      </c>
      <c r="DI54" s="292">
        <f t="shared" si="82"/>
      </c>
      <c r="DJ54" s="157">
        <f t="shared" si="82"/>
      </c>
      <c r="DK54" s="157">
        <f t="shared" si="82"/>
      </c>
      <c r="DL54" s="157">
        <f t="shared" si="82"/>
      </c>
      <c r="DM54" s="157">
        <f t="shared" si="82"/>
      </c>
      <c r="DN54" s="292">
        <f t="shared" si="82"/>
      </c>
      <c r="DO54" s="157">
        <f t="shared" si="82"/>
      </c>
      <c r="DP54" s="157">
        <f t="shared" si="82"/>
      </c>
      <c r="DQ54" s="157">
        <f t="shared" si="82"/>
      </c>
      <c r="DR54" s="157">
        <f t="shared" si="82"/>
      </c>
      <c r="DS54" s="292">
        <f t="shared" si="82"/>
      </c>
      <c r="DT54" s="157">
        <f t="shared" si="82"/>
      </c>
      <c r="DU54" s="157">
        <f t="shared" si="82"/>
      </c>
      <c r="DV54" s="157">
        <f t="shared" si="82"/>
      </c>
      <c r="DW54" s="157">
        <f t="shared" si="82"/>
      </c>
      <c r="DX54" s="292">
        <f t="shared" si="82"/>
      </c>
      <c r="DY54" s="157">
        <f t="shared" si="82"/>
      </c>
      <c r="DZ54" s="157">
        <f t="shared" si="82"/>
      </c>
      <c r="EA54" s="157">
        <f t="shared" si="82"/>
      </c>
      <c r="EB54" s="157">
        <f t="shared" si="82"/>
      </c>
      <c r="EC54" s="292">
        <f t="shared" si="82"/>
      </c>
      <c r="ED54" s="157">
        <f t="shared" si="82"/>
      </c>
      <c r="EE54" s="1030">
        <f t="shared" si="82"/>
      </c>
      <c r="EF54" s="1030">
        <f t="shared" si="82"/>
      </c>
      <c r="EG54" s="157">
        <f t="shared" si="82"/>
      </c>
      <c r="EH54" s="292">
        <f t="shared" si="82"/>
      </c>
      <c r="EI54" s="1030">
        <f t="shared" si="82"/>
      </c>
      <c r="EJ54" s="1030">
        <f t="shared" si="82"/>
      </c>
      <c r="EK54" s="1030">
        <f t="shared" si="82"/>
      </c>
      <c r="EL54" s="1030">
        <f t="shared" si="82"/>
      </c>
      <c r="EM54" s="292">
        <f t="shared" si="82"/>
      </c>
      <c r="EN54" s="1030">
        <f t="shared" ref="EN54:GH54" si="83">+EN45/EN60</f>
      </c>
      <c r="EO54" s="1030">
        <f t="shared" si="83"/>
      </c>
      <c r="EP54" s="1030">
        <f t="shared" si="83"/>
      </c>
      <c r="EQ54" s="1030">
        <f t="shared" si="83"/>
      </c>
      <c r="ER54" s="292">
        <f t="shared" si="83"/>
      </c>
      <c r="ES54" s="1030">
        <f t="shared" si="83"/>
      </c>
      <c r="ET54" s="1030">
        <f t="shared" si="83"/>
      </c>
      <c r="EU54" s="1030">
        <f t="shared" si="83"/>
      </c>
      <c r="EV54" s="1030">
        <f t="shared" si="83"/>
      </c>
      <c r="EW54" s="1679">
        <f t="shared" si="83"/>
      </c>
      <c r="EX54" s="1680">
        <f t="shared" si="83"/>
      </c>
      <c r="EY54" s="1680">
        <f t="shared" si="83"/>
      </c>
      <c r="EZ54" s="1680">
        <f t="shared" si="83"/>
      </c>
      <c r="FA54" s="1680">
        <f t="shared" si="83"/>
      </c>
      <c r="FB54" s="1679">
        <f t="shared" si="83"/>
      </c>
      <c r="FC54" s="1680">
        <f t="shared" si="83"/>
      </c>
      <c r="FD54" s="1680">
        <f t="shared" si="83"/>
      </c>
      <c r="FE54" s="1680">
        <f t="shared" si="83"/>
      </c>
      <c r="FF54" s="1680">
        <f t="shared" si="83"/>
      </c>
      <c r="FG54" s="1679">
        <f t="shared" si="83"/>
      </c>
      <c r="FH54" s="1680">
        <f t="shared" si="83"/>
      </c>
      <c r="FI54" s="1680">
        <f t="shared" si="83"/>
      </c>
      <c r="FJ54" s="1680">
        <f t="shared" si="83"/>
      </c>
      <c r="FK54" s="1680">
        <f t="shared" si="83"/>
      </c>
      <c r="FL54" s="1679">
        <f t="shared" si="83"/>
      </c>
      <c r="FM54" s="2623">
        <f t="shared" ref="FM54:FS54" si="84">+FM45/FM60</f>
      </c>
      <c r="FN54" s="2623">
        <f t="shared" si="84"/>
      </c>
      <c r="FO54" s="2826">
        <f t="shared" si="84"/>
      </c>
      <c r="FP54" s="2623">
        <f t="shared" si="84"/>
      </c>
      <c r="FQ54" s="2623">
        <f t="shared" si="84"/>
      </c>
      <c r="FR54" s="2623">
        <f t="shared" si="84"/>
      </c>
      <c r="FS54" s="2827">
        <f t="shared" si="84"/>
      </c>
      <c r="FT54" s="2623">
        <f>+FT45/FT60</f>
      </c>
      <c r="FU54" s="2828">
        <f>+FU45/FU60</f>
      </c>
      <c r="FV54" s="2826">
        <f>+FV45/FV60</f>
      </c>
      <c r="FW54" s="3296">
        <f t="shared" si="83"/>
      </c>
      <c r="FX54" s="1679">
        <f t="shared" si="83"/>
      </c>
      <c r="FY54" s="2623">
        <f t="shared" si="83"/>
      </c>
      <c r="FZ54" s="2623">
        <f>+FZ45/FZ60</f>
      </c>
      <c r="GA54" s="2623">
        <f>+GA45/GA60</f>
      </c>
      <c r="GB54" s="2623">
        <f>+GB45/GB60</f>
      </c>
      <c r="GC54" s="1679">
        <f t="shared" si="83"/>
      </c>
      <c r="GD54" s="2623">
        <f t="shared" ref="GD54" si="85">+GD45/GD60</f>
      </c>
      <c r="GE54" s="2623">
        <f>+GE45/GE60</f>
      </c>
      <c r="GF54" s="2623">
        <f>+GF45/GF60</f>
      </c>
      <c r="GG54" s="3568">
        <f>+GG45/GG60</f>
      </c>
      <c r="GH54" s="1679">
        <f t="shared" si="83"/>
      </c>
      <c r="GI54" s="1679">
        <f ca="1">+GI45/GI60</f>
      </c>
      <c r="GJ54" s="1679">
        <f ca="1">+GJ45/GJ60</f>
      </c>
      <c r="GK54" s="1679">
        <f ca="1">+GK45/GK60</f>
      </c>
      <c r="GL54" s="1679">
        <f ca="1">+GL45/GL60</f>
      </c>
      <c r="GM54" s="1679">
        <f ca="1">+GM45/GM60</f>
      </c>
    </row>
    <row r="55" spans="2:195" s="4" customFormat="1" ht="12.75" customHeight="1">
      <c r="B55" s="347" t="s">
        <v>111</v>
      </c>
      <c r="C55" s="348"/>
      <c r="D55" s="348"/>
      <c r="E55" s="349"/>
      <c r="F55" s="349"/>
      <c r="G55" s="349"/>
      <c r="H55" s="349"/>
      <c r="I55" s="350"/>
      <c r="J55" s="350"/>
      <c r="K55" s="350"/>
      <c r="L55" s="350"/>
      <c r="M55" s="349"/>
      <c r="N55" s="350"/>
      <c r="O55" s="350"/>
      <c r="P55" s="350"/>
      <c r="Q55" s="350"/>
      <c r="R55" s="349"/>
      <c r="S55" s="350"/>
      <c r="T55" s="350"/>
      <c r="U55" s="350"/>
      <c r="V55" s="350"/>
      <c r="W55" s="349"/>
      <c r="X55" s="350"/>
      <c r="Y55" s="350"/>
      <c r="Z55" s="350"/>
      <c r="AA55" s="350"/>
      <c r="AB55" s="349"/>
      <c r="AC55" s="350"/>
      <c r="AD55" s="350"/>
      <c r="AE55" s="350"/>
      <c r="AF55" s="350"/>
      <c r="AG55" s="349"/>
      <c r="AH55" s="350"/>
      <c r="AI55" s="350"/>
      <c r="AJ55" s="350"/>
      <c r="AK55" s="350"/>
      <c r="AL55" s="349"/>
      <c r="AM55" s="350"/>
      <c r="AN55" s="350"/>
      <c r="AO55" s="350"/>
      <c r="AP55" s="350"/>
      <c r="AQ55" s="349"/>
      <c r="AR55" s="349"/>
      <c r="AS55" s="349"/>
      <c r="AT55" s="349"/>
      <c r="AU55" s="349"/>
      <c r="AV55" s="349">
        <f t="shared" ref="AV55:CD55" si="86">+AV43/AV61</f>
      </c>
      <c r="AW55" s="349">
        <f t="shared" si="86"/>
      </c>
      <c r="AX55" s="349">
        <f t="shared" si="86"/>
      </c>
      <c r="AY55" s="349">
        <f t="shared" si="86"/>
      </c>
      <c r="AZ55" s="349">
        <f t="shared" si="86"/>
      </c>
      <c r="BA55" s="351">
        <f t="shared" si="86"/>
      </c>
      <c r="BB55" s="349">
        <f t="shared" si="86"/>
      </c>
      <c r="BC55" s="349">
        <f t="shared" si="86"/>
      </c>
      <c r="BD55" s="349">
        <f t="shared" si="86"/>
      </c>
      <c r="BE55" s="349">
        <f t="shared" si="86"/>
      </c>
      <c r="BF55" s="351">
        <f t="shared" si="86"/>
      </c>
      <c r="BG55" s="349">
        <f t="shared" si="86"/>
      </c>
      <c r="BH55" s="349">
        <f t="shared" si="86"/>
      </c>
      <c r="BI55" s="349">
        <f t="shared" si="86"/>
      </c>
      <c r="BJ55" s="349">
        <f t="shared" si="86"/>
      </c>
      <c r="BK55" s="351">
        <f t="shared" si="86"/>
      </c>
      <c r="BL55" s="349">
        <f t="shared" si="86"/>
      </c>
      <c r="BM55" s="349">
        <f t="shared" si="86"/>
      </c>
      <c r="BN55" s="349">
        <f t="shared" si="86"/>
      </c>
      <c r="BO55" s="349">
        <f t="shared" si="86"/>
      </c>
      <c r="BP55" s="351">
        <f t="shared" si="86"/>
      </c>
      <c r="BQ55" s="349">
        <f t="shared" si="86"/>
      </c>
      <c r="BR55" s="349">
        <f t="shared" si="86"/>
      </c>
      <c r="BS55" s="349">
        <f t="shared" si="86"/>
      </c>
      <c r="BT55" s="349">
        <f t="shared" si="86"/>
      </c>
      <c r="BU55" s="351">
        <f t="shared" si="86"/>
      </c>
      <c r="BV55" s="349">
        <f t="shared" si="86"/>
      </c>
      <c r="BW55" s="349">
        <f t="shared" si="86"/>
      </c>
      <c r="BX55" s="349">
        <f t="shared" si="86"/>
      </c>
      <c r="BY55" s="349">
        <f t="shared" si="86"/>
      </c>
      <c r="BZ55" s="351">
        <f t="shared" si="86"/>
      </c>
      <c r="CA55" s="349">
        <f t="shared" si="86"/>
      </c>
      <c r="CB55" s="349">
        <f t="shared" si="86"/>
      </c>
      <c r="CC55" s="349">
        <f t="shared" si="86"/>
      </c>
      <c r="CD55" s="349">
        <f t="shared" si="86"/>
      </c>
      <c r="CE55" s="351">
        <f>+CE43/CE61+0.002</f>
      </c>
      <c r="CF55" s="349">
        <f t="shared" ref="CF55:DK55" si="87">+CF43/CF61</f>
      </c>
      <c r="CG55" s="349">
        <f t="shared" si="87"/>
      </c>
      <c r="CH55" s="349">
        <f t="shared" si="87"/>
      </c>
      <c r="CI55" s="349">
        <f t="shared" si="87"/>
      </c>
      <c r="CJ55" s="351">
        <f t="shared" si="87"/>
      </c>
      <c r="CK55" s="349">
        <f t="shared" si="87"/>
      </c>
      <c r="CL55" s="349">
        <f t="shared" si="87"/>
      </c>
      <c r="CM55" s="349">
        <f t="shared" si="87"/>
      </c>
      <c r="CN55" s="349">
        <f t="shared" si="87"/>
      </c>
      <c r="CO55" s="351">
        <f t="shared" si="87"/>
      </c>
      <c r="CP55" s="349">
        <f t="shared" si="87"/>
      </c>
      <c r="CQ55" s="349">
        <f t="shared" si="87"/>
      </c>
      <c r="CR55" s="349">
        <f t="shared" si="87"/>
      </c>
      <c r="CS55" s="349">
        <f t="shared" si="87"/>
      </c>
      <c r="CT55" s="351">
        <f t="shared" si="87"/>
      </c>
      <c r="CU55" s="349">
        <f t="shared" si="87"/>
      </c>
      <c r="CV55" s="349">
        <f t="shared" si="87"/>
      </c>
      <c r="CW55" s="349">
        <f t="shared" si="87"/>
      </c>
      <c r="CX55" s="349">
        <f t="shared" si="87"/>
      </c>
      <c r="CY55" s="351">
        <f t="shared" si="87"/>
      </c>
      <c r="CZ55" s="349">
        <f t="shared" si="87"/>
      </c>
      <c r="DA55" s="349">
        <f t="shared" si="87"/>
      </c>
      <c r="DB55" s="349">
        <f t="shared" si="87"/>
      </c>
      <c r="DC55" s="349">
        <f t="shared" si="87"/>
      </c>
      <c r="DD55" s="351">
        <f t="shared" si="87"/>
      </c>
      <c r="DE55" s="349">
        <f t="shared" si="87"/>
      </c>
      <c r="DF55" s="349">
        <f t="shared" si="87"/>
      </c>
      <c r="DG55" s="349">
        <f t="shared" si="87"/>
      </c>
      <c r="DH55" s="349">
        <f t="shared" si="87"/>
      </c>
      <c r="DI55" s="351">
        <f t="shared" si="87"/>
      </c>
      <c r="DJ55" s="349">
        <f t="shared" si="87"/>
      </c>
      <c r="DK55" s="349">
        <f t="shared" si="87"/>
      </c>
      <c r="DL55" s="349">
        <f t="shared" ref="DL55:EQ55" si="88">+DL43/DL61</f>
      </c>
      <c r="DM55" s="349">
        <f t="shared" si="88"/>
      </c>
      <c r="DN55" s="351">
        <f t="shared" si="88"/>
      </c>
      <c r="DO55" s="349">
        <f t="shared" si="88"/>
      </c>
      <c r="DP55" s="349">
        <f t="shared" si="88"/>
      </c>
      <c r="DQ55" s="349">
        <f t="shared" si="88"/>
      </c>
      <c r="DR55" s="349">
        <f t="shared" si="88"/>
      </c>
      <c r="DS55" s="351">
        <f t="shared" si="88"/>
      </c>
      <c r="DT55" s="349">
        <f t="shared" si="88"/>
      </c>
      <c r="DU55" s="349">
        <f t="shared" si="88"/>
      </c>
      <c r="DV55" s="349">
        <f t="shared" si="88"/>
      </c>
      <c r="DW55" s="349">
        <f t="shared" si="88"/>
      </c>
      <c r="DX55" s="351">
        <f t="shared" si="88"/>
      </c>
      <c r="DY55" s="349">
        <f t="shared" si="88"/>
      </c>
      <c r="DZ55" s="349">
        <f t="shared" si="88"/>
      </c>
      <c r="EA55" s="349">
        <f t="shared" si="88"/>
      </c>
      <c r="EB55" s="349">
        <f t="shared" si="88"/>
      </c>
      <c r="EC55" s="351">
        <f t="shared" si="88"/>
      </c>
      <c r="ED55" s="349">
        <f t="shared" si="88"/>
      </c>
      <c r="EE55" s="349">
        <f t="shared" si="88"/>
      </c>
      <c r="EF55" s="349">
        <f t="shared" si="88"/>
      </c>
      <c r="EG55" s="349">
        <f t="shared" si="88"/>
      </c>
      <c r="EH55" s="351">
        <f t="shared" si="88"/>
      </c>
      <c r="EI55" s="349">
        <f t="shared" si="88"/>
      </c>
      <c r="EJ55" s="349">
        <f t="shared" si="88"/>
      </c>
      <c r="EK55" s="349">
        <f t="shared" si="88"/>
      </c>
      <c r="EL55" s="349">
        <f t="shared" si="88"/>
      </c>
      <c r="EM55" s="351">
        <f t="shared" si="88"/>
      </c>
      <c r="EN55" s="349">
        <f t="shared" si="88"/>
      </c>
      <c r="EO55" s="349">
        <f t="shared" si="88"/>
      </c>
      <c r="EP55" s="349">
        <f t="shared" si="88"/>
      </c>
      <c r="EQ55" s="349">
        <f t="shared" si="88"/>
      </c>
      <c r="ER55" s="351">
        <f t="shared" ref="ER55:FW55" si="89">+ER43/ER61</f>
      </c>
      <c r="ES55" s="349">
        <f t="shared" si="89"/>
      </c>
      <c r="ET55" s="349">
        <f t="shared" si="89"/>
      </c>
      <c r="EU55" s="349">
        <f t="shared" si="89"/>
      </c>
      <c r="EV55" s="349">
        <f t="shared" si="89"/>
      </c>
      <c r="EW55" s="1681">
        <f t="shared" si="89"/>
      </c>
      <c r="EX55" s="1682">
        <f t="shared" si="89"/>
      </c>
      <c r="EY55" s="1682">
        <f t="shared" si="89"/>
      </c>
      <c r="EZ55" s="1682">
        <f t="shared" si="89"/>
      </c>
      <c r="FA55" s="1682">
        <f t="shared" si="89"/>
      </c>
      <c r="FB55" s="1681">
        <f t="shared" si="89"/>
      </c>
      <c r="FC55" s="1682">
        <f t="shared" si="89"/>
      </c>
      <c r="FD55" s="1682">
        <f t="shared" si="89"/>
      </c>
      <c r="FE55" s="1682">
        <f t="shared" si="89"/>
      </c>
      <c r="FF55" s="1682">
        <f t="shared" si="89"/>
      </c>
      <c r="FG55" s="1681">
        <f t="shared" si="89"/>
      </c>
      <c r="FH55" s="1682">
        <f t="shared" si="89"/>
      </c>
      <c r="FI55" s="1682">
        <f t="shared" si="89"/>
      </c>
      <c r="FJ55" s="1682">
        <f t="shared" si="89"/>
      </c>
      <c r="FK55" s="1682">
        <f t="shared" si="89"/>
      </c>
      <c r="FL55" s="1681">
        <f t="shared" si="89"/>
      </c>
      <c r="FM55" s="2624">
        <f t="shared" si="89"/>
      </c>
      <c r="FN55" s="2789">
        <f t="shared" si="89"/>
      </c>
      <c r="FO55" s="2829">
        <f t="shared" si="89"/>
      </c>
      <c r="FP55" s="2789">
        <f t="shared" si="89"/>
      </c>
      <c r="FQ55" s="2789">
        <f t="shared" si="89"/>
      </c>
      <c r="FR55" s="2789">
        <f t="shared" si="89"/>
      </c>
      <c r="FS55" s="1681">
        <f t="shared" si="89"/>
      </c>
      <c r="FT55" s="2789">
        <f t="shared" si="89"/>
      </c>
      <c r="FU55" s="2830">
        <f t="shared" si="89"/>
      </c>
      <c r="FV55" s="3178">
        <f t="shared" si="89"/>
      </c>
      <c r="FW55" s="3297">
        <f t="shared" si="89"/>
      </c>
      <c r="FX55" s="1681">
        <f>SUM(FT55:FW55)</f>
      </c>
      <c r="FY55" s="2624">
        <f t="shared" ref="FY55:GJ55" si="90">+FY43/FY61</f>
      </c>
      <c r="FZ55" s="2624">
        <f t="shared" si="90"/>
      </c>
      <c r="GA55" s="2624">
        <f t="shared" si="90"/>
      </c>
      <c r="GB55" s="2624">
        <f t="shared" si="90"/>
      </c>
      <c r="GC55" s="1681">
        <f t="shared" si="90"/>
      </c>
      <c r="GD55" s="2624">
        <f t="shared" ref="GD55:GF55" si="91">+GD43/GD61</f>
      </c>
      <c r="GE55" s="2624">
        <f t="shared" si="91"/>
      </c>
      <c r="GF55" s="2624">
        <f t="shared" si="91"/>
      </c>
      <c r="GG55" s="3569">
        <f t="shared" si="90"/>
      </c>
      <c r="GH55" s="1681">
        <f t="shared" si="90"/>
      </c>
      <c r="GI55" s="1681">
        <f t="shared" ca="1" si="90"/>
      </c>
      <c r="GJ55" s="1681">
        <f t="shared" ca="1" si="90"/>
      </c>
      <c r="GK55" s="1681">
        <f ca="1">+GK43/GK61</f>
      </c>
      <c r="GL55" s="1681">
        <f ca="1">+GL43/GL61</f>
      </c>
      <c r="GM55" s="1681">
        <f ca="1">+GM43/GM61</f>
      </c>
    </row>
    <row r="56" spans="2:195" s="11" customFormat="1" outlineLevel="1">
      <c r="B56" s="54" t="s">
        <v>37</v>
      </c>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f>AG49/AG61</f>
      </c>
      <c r="AH56" s="703">
        <v>0.57999999999999996</v>
      </c>
      <c r="AI56" s="703">
        <v>0.57999999999999996</v>
      </c>
      <c r="AJ56" s="703">
        <v>0.55000000000000004</v>
      </c>
      <c r="AK56" s="703">
        <v>0.41</v>
      </c>
      <c r="AL56" s="48">
        <f t="shared" ref="AL56:BQ56" si="92">AL49/AL61</f>
      </c>
      <c r="AM56" s="48">
        <f t="shared" si="92"/>
      </c>
      <c r="AN56" s="48">
        <f t="shared" si="92"/>
      </c>
      <c r="AO56" s="48">
        <f t="shared" si="92"/>
      </c>
      <c r="AP56" s="48">
        <f t="shared" si="92"/>
      </c>
      <c r="AQ56" s="48">
        <f t="shared" si="92"/>
      </c>
      <c r="AR56" s="48">
        <f t="shared" si="92"/>
      </c>
      <c r="AS56" s="48">
        <f t="shared" si="92"/>
      </c>
      <c r="AT56" s="48">
        <f t="shared" si="92"/>
      </c>
      <c r="AU56" s="48">
        <f t="shared" si="92"/>
      </c>
      <c r="AV56" s="48">
        <f t="shared" si="92"/>
      </c>
      <c r="AW56" s="48">
        <f t="shared" si="92"/>
      </c>
      <c r="AX56" s="48">
        <f t="shared" si="92"/>
      </c>
      <c r="AY56" s="48">
        <f t="shared" si="92"/>
      </c>
      <c r="AZ56" s="48">
        <f t="shared" si="92"/>
      </c>
      <c r="BA56" s="286">
        <f t="shared" si="92"/>
      </c>
      <c r="BB56" s="48">
        <f t="shared" si="92"/>
      </c>
      <c r="BC56" s="48">
        <f t="shared" si="92"/>
      </c>
      <c r="BD56" s="48">
        <f t="shared" si="92"/>
      </c>
      <c r="BE56" s="48">
        <f t="shared" si="92"/>
      </c>
      <c r="BF56" s="286">
        <f t="shared" si="92"/>
      </c>
      <c r="BG56" s="48">
        <f t="shared" si="92"/>
      </c>
      <c r="BH56" s="48">
        <f t="shared" si="92"/>
      </c>
      <c r="BI56" s="48">
        <f t="shared" si="92"/>
      </c>
      <c r="BJ56" s="48">
        <f t="shared" si="92"/>
      </c>
      <c r="BK56" s="286">
        <f t="shared" si="92"/>
      </c>
      <c r="BL56" s="48">
        <f t="shared" si="92"/>
      </c>
      <c r="BM56" s="48">
        <f t="shared" si="92"/>
      </c>
      <c r="BN56" s="48">
        <f t="shared" si="92"/>
      </c>
      <c r="BO56" s="48">
        <f t="shared" si="92"/>
      </c>
      <c r="BP56" s="286">
        <f t="shared" si="92"/>
      </c>
      <c r="BQ56" s="48">
        <f t="shared" si="92"/>
      </c>
      <c r="BR56" s="48">
        <f t="shared" ref="BR56:CW56" si="93">BR49/BR61</f>
      </c>
      <c r="BS56" s="48">
        <f t="shared" si="93"/>
      </c>
      <c r="BT56" s="48">
        <f t="shared" si="93"/>
      </c>
      <c r="BU56" s="286">
        <f t="shared" si="93"/>
      </c>
      <c r="BV56" s="48">
        <f t="shared" si="93"/>
      </c>
      <c r="BW56" s="48">
        <f t="shared" si="93"/>
      </c>
      <c r="BX56" s="48">
        <f t="shared" si="93"/>
      </c>
      <c r="BY56" s="48">
        <f t="shared" si="93"/>
      </c>
      <c r="BZ56" s="286">
        <f t="shared" si="93"/>
      </c>
      <c r="CA56" s="48">
        <f t="shared" si="93"/>
      </c>
      <c r="CB56" s="48">
        <f t="shared" si="93"/>
      </c>
      <c r="CC56" s="48">
        <f t="shared" si="93"/>
      </c>
      <c r="CD56" s="48">
        <f t="shared" si="93"/>
      </c>
      <c r="CE56" s="286">
        <f t="shared" si="93"/>
      </c>
      <c r="CF56" s="48">
        <f t="shared" si="93"/>
      </c>
      <c r="CG56" s="48">
        <f t="shared" si="93"/>
      </c>
      <c r="CH56" s="48">
        <f t="shared" si="93"/>
      </c>
      <c r="CI56" s="48">
        <f t="shared" si="93"/>
      </c>
      <c r="CJ56" s="286">
        <f t="shared" si="93"/>
      </c>
      <c r="CK56" s="48">
        <f t="shared" si="93"/>
      </c>
      <c r="CL56" s="48">
        <f t="shared" si="93"/>
      </c>
      <c r="CM56" s="48">
        <f t="shared" si="93"/>
      </c>
      <c r="CN56" s="48">
        <f t="shared" si="93"/>
      </c>
      <c r="CO56" s="286">
        <f t="shared" si="93"/>
      </c>
      <c r="CP56" s="48">
        <f t="shared" si="93"/>
      </c>
      <c r="CQ56" s="48">
        <f t="shared" si="93"/>
      </c>
      <c r="CR56" s="48">
        <f t="shared" si="93"/>
      </c>
      <c r="CS56" s="48">
        <f t="shared" si="93"/>
      </c>
      <c r="CT56" s="286">
        <f t="shared" si="93"/>
      </c>
      <c r="CU56" s="48">
        <f t="shared" si="93"/>
      </c>
      <c r="CV56" s="48">
        <f t="shared" si="93"/>
      </c>
      <c r="CW56" s="48">
        <f t="shared" si="93"/>
      </c>
      <c r="CX56" s="48">
        <f t="shared" ref="CX56:EC56" si="94">CX49/CX61</f>
      </c>
      <c r="CY56" s="286">
        <f t="shared" si="94"/>
      </c>
      <c r="CZ56" s="48">
        <f t="shared" si="94"/>
      </c>
      <c r="DA56" s="48">
        <f t="shared" si="94"/>
      </c>
      <c r="DB56" s="48">
        <f t="shared" si="94"/>
      </c>
      <c r="DC56" s="48">
        <f t="shared" si="94"/>
      </c>
      <c r="DD56" s="286">
        <f t="shared" si="94"/>
      </c>
      <c r="DE56" s="48">
        <f t="shared" si="94"/>
      </c>
      <c r="DF56" s="48">
        <f t="shared" si="94"/>
      </c>
      <c r="DG56" s="48">
        <f t="shared" si="94"/>
      </c>
      <c r="DH56" s="48">
        <f t="shared" si="94"/>
      </c>
      <c r="DI56" s="286">
        <f t="shared" si="94"/>
      </c>
      <c r="DJ56" s="48">
        <f t="shared" si="94"/>
      </c>
      <c r="DK56" s="48">
        <f t="shared" si="94"/>
      </c>
      <c r="DL56" s="48">
        <f t="shared" si="94"/>
      </c>
      <c r="DM56" s="48">
        <f t="shared" si="94"/>
      </c>
      <c r="DN56" s="286">
        <f t="shared" si="94"/>
      </c>
      <c r="DO56" s="48">
        <f t="shared" si="94"/>
      </c>
      <c r="DP56" s="48">
        <f t="shared" si="94"/>
      </c>
      <c r="DQ56" s="48">
        <f t="shared" si="94"/>
      </c>
      <c r="DR56" s="48">
        <f t="shared" si="94"/>
      </c>
      <c r="DS56" s="286">
        <f t="shared" si="94"/>
      </c>
      <c r="DT56" s="48">
        <f t="shared" si="94"/>
      </c>
      <c r="DU56" s="48">
        <f t="shared" si="94"/>
      </c>
      <c r="DV56" s="48">
        <f t="shared" si="94"/>
      </c>
      <c r="DW56" s="48">
        <f t="shared" si="94"/>
      </c>
      <c r="DX56" s="286">
        <f t="shared" si="94"/>
      </c>
      <c r="DY56" s="48">
        <f t="shared" si="94"/>
      </c>
      <c r="DZ56" s="48">
        <f t="shared" si="94"/>
      </c>
      <c r="EA56" s="48">
        <f t="shared" si="94"/>
      </c>
      <c r="EB56" s="48">
        <f t="shared" si="94"/>
      </c>
      <c r="EC56" s="286">
        <f t="shared" si="94"/>
      </c>
      <c r="ED56" s="48">
        <f t="shared" ref="ED56:FI56" si="95">ED49/ED61</f>
      </c>
      <c r="EE56" s="1029">
        <f t="shared" si="95"/>
      </c>
      <c r="EF56" s="1029">
        <f t="shared" si="95"/>
      </c>
      <c r="EG56" s="48">
        <f t="shared" si="95"/>
      </c>
      <c r="EH56" s="286">
        <f t="shared" si="95"/>
      </c>
      <c r="EI56" s="1029">
        <f t="shared" si="95"/>
      </c>
      <c r="EJ56" s="1029">
        <f t="shared" si="95"/>
      </c>
      <c r="EK56" s="1029">
        <f t="shared" si="95"/>
      </c>
      <c r="EL56" s="1029">
        <f t="shared" si="95"/>
      </c>
      <c r="EM56" s="286">
        <f t="shared" si="95"/>
      </c>
      <c r="EN56" s="1029">
        <f t="shared" si="95"/>
      </c>
      <c r="EO56" s="1029">
        <f t="shared" si="95"/>
      </c>
      <c r="EP56" s="1029">
        <f t="shared" si="95"/>
      </c>
      <c r="EQ56" s="1029">
        <f t="shared" si="95"/>
      </c>
      <c r="ER56" s="286">
        <f t="shared" si="95"/>
      </c>
      <c r="ES56" s="1029">
        <f t="shared" si="95"/>
      </c>
      <c r="ET56" s="1029">
        <f t="shared" si="95"/>
      </c>
      <c r="EU56" s="1029">
        <f t="shared" si="95"/>
      </c>
      <c r="EV56" s="1029">
        <f t="shared" si="95"/>
      </c>
      <c r="EW56" s="1678">
        <f t="shared" si="95"/>
      </c>
      <c r="EX56" s="1188">
        <f t="shared" si="95"/>
      </c>
      <c r="EY56" s="1188">
        <f t="shared" si="95"/>
      </c>
      <c r="EZ56" s="1188">
        <f t="shared" si="95"/>
      </c>
      <c r="FA56" s="1188">
        <f t="shared" si="95"/>
      </c>
      <c r="FB56" s="1678">
        <f t="shared" si="95"/>
      </c>
      <c r="FC56" s="1188">
        <f t="shared" si="95"/>
      </c>
      <c r="FD56" s="1188">
        <f t="shared" si="95"/>
      </c>
      <c r="FE56" s="1188">
        <f t="shared" si="95"/>
      </c>
      <c r="FF56" s="1188">
        <f t="shared" si="95"/>
      </c>
      <c r="FG56" s="1678">
        <f t="shared" si="95"/>
      </c>
      <c r="FH56" s="1188">
        <f t="shared" si="95"/>
      </c>
      <c r="FI56" s="1188">
        <f t="shared" si="95"/>
      </c>
      <c r="FJ56" s="1188">
        <f>FJ49/FJ61</f>
      </c>
      <c r="FK56" s="1188">
        <f>FK49/FK61</f>
      </c>
      <c r="FL56" s="1678">
        <f>FL49/FL61</f>
      </c>
      <c r="FM56" s="1188">
        <f>FM49/FM61</f>
      </c>
      <c r="FN56" s="1188">
        <f t="shared" ref="FN56:FT56" si="96">FN49/FN61</f>
      </c>
      <c r="FO56" s="2824">
        <f t="shared" si="96"/>
      </c>
      <c r="FP56" s="1188">
        <f t="shared" si="96"/>
      </c>
      <c r="FQ56" s="1188">
        <f t="shared" si="96"/>
      </c>
      <c r="FR56" s="1188">
        <f t="shared" si="96"/>
      </c>
      <c r="FS56" s="1678">
        <f t="shared" si="96"/>
      </c>
      <c r="FT56" s="1188">
        <f t="shared" si="96"/>
      </c>
      <c r="FU56" s="2825">
        <f t="shared" ref="FU56:GJ56" si="97">FU49/FU61</f>
      </c>
      <c r="FV56" s="2824">
        <f t="shared" si="97"/>
      </c>
      <c r="FW56" s="2825">
        <f t="shared" si="97"/>
      </c>
      <c r="FX56" s="1678">
        <f t="shared" si="97"/>
      </c>
      <c r="FY56" s="1188">
        <f t="shared" si="97"/>
      </c>
      <c r="FZ56" s="1188">
        <f t="shared" si="97"/>
      </c>
      <c r="GA56" s="1188">
        <f t="shared" si="97"/>
      </c>
      <c r="GB56" s="1188">
        <f t="shared" si="97"/>
      </c>
      <c r="GC56" s="1678">
        <f t="shared" si="97"/>
      </c>
      <c r="GD56" s="1188">
        <f t="shared" ref="GD56:GF56" si="98">GD49/GD61</f>
      </c>
      <c r="GE56" s="1188">
        <f t="shared" si="98"/>
      </c>
      <c r="GF56" s="1188">
        <f t="shared" si="98"/>
      </c>
      <c r="GG56" s="1188">
        <f t="shared" si="97"/>
      </c>
      <c r="GH56" s="1678">
        <f t="shared" si="97"/>
      </c>
      <c r="GI56" s="1678">
        <f t="shared" ca="1" si="97"/>
      </c>
      <c r="GJ56" s="1678">
        <f t="shared" ca="1" si="97"/>
      </c>
      <c r="GK56" s="1678">
        <f ca="1">GK49/GK61</f>
      </c>
      <c r="GL56" s="1678">
        <f ca="1">GL49/GL61</f>
      </c>
      <c r="GM56" s="1678">
        <f ca="1">GM49/GM61</f>
      </c>
    </row>
    <row r="57" spans="2:195" s="11" customFormat="1" outlineLevel="1">
      <c r="B57" s="190" t="s">
        <v>116</v>
      </c>
      <c r="C57" s="156"/>
      <c r="D57" s="156"/>
      <c r="E57" s="157"/>
      <c r="F57" s="157"/>
      <c r="G57" s="157"/>
      <c r="H57" s="157"/>
      <c r="I57" s="158"/>
      <c r="J57" s="158"/>
      <c r="K57" s="158"/>
      <c r="L57" s="158"/>
      <c r="M57" s="157"/>
      <c r="N57" s="158"/>
      <c r="O57" s="158"/>
      <c r="P57" s="158"/>
      <c r="Q57" s="158"/>
      <c r="R57" s="157"/>
      <c r="S57" s="159"/>
      <c r="T57" s="159"/>
      <c r="U57" s="159"/>
      <c r="V57" s="159"/>
      <c r="W57" s="157"/>
      <c r="X57" s="159"/>
      <c r="Y57" s="158"/>
      <c r="Z57" s="158"/>
      <c r="AA57" s="158"/>
      <c r="AB57" s="157"/>
      <c r="AC57" s="158"/>
      <c r="AD57" s="158"/>
      <c r="AE57" s="158"/>
      <c r="AF57" s="158"/>
      <c r="AG57" s="157">
        <f>AG49/AG61</f>
      </c>
      <c r="AH57" s="704">
        <v>0.57999999999999996</v>
      </c>
      <c r="AI57" s="704">
        <v>0.57999999999999996</v>
      </c>
      <c r="AJ57" s="704">
        <v>0.55000000000000004</v>
      </c>
      <c r="AK57" s="704">
        <v>0.41</v>
      </c>
      <c r="AL57" s="157">
        <f>AL49/AL61</f>
      </c>
      <c r="AM57" s="158">
        <f>AM49/AM61</f>
      </c>
      <c r="AN57" s="704">
        <v>0.67</v>
      </c>
      <c r="AO57" s="704">
        <v>0.63</v>
      </c>
      <c r="AP57" s="704">
        <v>0.45300000000000001</v>
      </c>
      <c r="AQ57" s="157">
        <f>AQ49/AQ61</f>
      </c>
      <c r="AR57" s="157">
        <f>AR49/AR61</f>
      </c>
      <c r="AS57" s="157">
        <f>AS49/AS61</f>
      </c>
      <c r="AT57" s="157">
        <f>AT49/AT61</f>
      </c>
      <c r="AU57" s="157">
        <f>AU49/AU61</f>
      </c>
      <c r="AV57" s="157">
        <f t="shared" ref="AV57:CA57" si="99">+AV45/AV61</f>
      </c>
      <c r="AW57" s="157">
        <f t="shared" si="99"/>
      </c>
      <c r="AX57" s="157">
        <f t="shared" si="99"/>
      </c>
      <c r="AY57" s="157">
        <f t="shared" si="99"/>
      </c>
      <c r="AZ57" s="157">
        <f t="shared" si="99"/>
      </c>
      <c r="BA57" s="292">
        <f t="shared" si="99"/>
      </c>
      <c r="BB57" s="157">
        <f t="shared" si="99"/>
      </c>
      <c r="BC57" s="157">
        <f t="shared" si="99"/>
      </c>
      <c r="BD57" s="157">
        <f t="shared" si="99"/>
      </c>
      <c r="BE57" s="157">
        <f t="shared" si="99"/>
      </c>
      <c r="BF57" s="292">
        <f t="shared" si="99"/>
      </c>
      <c r="BG57" s="157">
        <f t="shared" si="99"/>
      </c>
      <c r="BH57" s="157">
        <f t="shared" si="99"/>
      </c>
      <c r="BI57" s="157">
        <f t="shared" si="99"/>
      </c>
      <c r="BJ57" s="157">
        <f t="shared" si="99"/>
      </c>
      <c r="BK57" s="292">
        <f t="shared" si="99"/>
      </c>
      <c r="BL57" s="157">
        <f t="shared" si="99"/>
      </c>
      <c r="BM57" s="157">
        <f t="shared" si="99"/>
      </c>
      <c r="BN57" s="157">
        <f t="shared" si="99"/>
      </c>
      <c r="BO57" s="157">
        <f t="shared" si="99"/>
      </c>
      <c r="BP57" s="292">
        <f t="shared" si="99"/>
      </c>
      <c r="BQ57" s="157">
        <f t="shared" si="99"/>
      </c>
      <c r="BR57" s="157">
        <f t="shared" si="99"/>
      </c>
      <c r="BS57" s="157">
        <f t="shared" si="99"/>
      </c>
      <c r="BT57" s="157">
        <f t="shared" si="99"/>
      </c>
      <c r="BU57" s="292">
        <f t="shared" si="99"/>
      </c>
      <c r="BV57" s="157">
        <f t="shared" si="99"/>
      </c>
      <c r="BW57" s="157">
        <f t="shared" si="99"/>
      </c>
      <c r="BX57" s="157">
        <f t="shared" si="99"/>
      </c>
      <c r="BY57" s="157">
        <f t="shared" si="99"/>
      </c>
      <c r="BZ57" s="292">
        <f t="shared" si="99"/>
      </c>
      <c r="CA57" s="157">
        <f t="shared" si="99"/>
      </c>
      <c r="CB57" s="157">
        <f t="shared" ref="CB57:DG57" si="100">+CB45/CB61</f>
      </c>
      <c r="CC57" s="157">
        <f t="shared" si="100"/>
      </c>
      <c r="CD57" s="157">
        <f t="shared" si="100"/>
      </c>
      <c r="CE57" s="292">
        <f t="shared" si="100"/>
      </c>
      <c r="CF57" s="157">
        <f t="shared" si="100"/>
      </c>
      <c r="CG57" s="157">
        <f t="shared" si="100"/>
      </c>
      <c r="CH57" s="157">
        <f t="shared" si="100"/>
      </c>
      <c r="CI57" s="157">
        <f t="shared" si="100"/>
      </c>
      <c r="CJ57" s="292">
        <f t="shared" si="100"/>
      </c>
      <c r="CK57" s="157">
        <f t="shared" si="100"/>
      </c>
      <c r="CL57" s="157">
        <f t="shared" si="100"/>
      </c>
      <c r="CM57" s="157">
        <f t="shared" si="100"/>
      </c>
      <c r="CN57" s="157">
        <f t="shared" si="100"/>
      </c>
      <c r="CO57" s="292">
        <f t="shared" si="100"/>
      </c>
      <c r="CP57" s="157">
        <f t="shared" si="100"/>
      </c>
      <c r="CQ57" s="157">
        <f t="shared" si="100"/>
      </c>
      <c r="CR57" s="157">
        <f t="shared" si="100"/>
      </c>
      <c r="CS57" s="157">
        <f t="shared" si="100"/>
      </c>
      <c r="CT57" s="292">
        <f t="shared" si="100"/>
      </c>
      <c r="CU57" s="157">
        <f t="shared" si="100"/>
      </c>
      <c r="CV57" s="157">
        <f t="shared" si="100"/>
      </c>
      <c r="CW57" s="157">
        <f t="shared" si="100"/>
      </c>
      <c r="CX57" s="157">
        <f t="shared" si="100"/>
      </c>
      <c r="CY57" s="292">
        <f t="shared" si="100"/>
      </c>
      <c r="CZ57" s="157">
        <f t="shared" si="100"/>
      </c>
      <c r="DA57" s="157">
        <f t="shared" si="100"/>
      </c>
      <c r="DB57" s="157">
        <f t="shared" si="100"/>
      </c>
      <c r="DC57" s="157">
        <f t="shared" si="100"/>
      </c>
      <c r="DD57" s="292">
        <f t="shared" si="100"/>
      </c>
      <c r="DE57" s="157">
        <f t="shared" si="100"/>
      </c>
      <c r="DF57" s="157">
        <f t="shared" si="100"/>
      </c>
      <c r="DG57" s="157">
        <f t="shared" si="100"/>
      </c>
      <c r="DH57" s="157">
        <f t="shared" ref="DH57:EM57" si="101">+DH45/DH61</f>
      </c>
      <c r="DI57" s="292">
        <f t="shared" si="101"/>
      </c>
      <c r="DJ57" s="157">
        <f t="shared" si="101"/>
      </c>
      <c r="DK57" s="157">
        <f t="shared" si="101"/>
      </c>
      <c r="DL57" s="157">
        <f t="shared" si="101"/>
      </c>
      <c r="DM57" s="157">
        <f t="shared" si="101"/>
      </c>
      <c r="DN57" s="292">
        <f t="shared" si="101"/>
      </c>
      <c r="DO57" s="157">
        <f t="shared" si="101"/>
      </c>
      <c r="DP57" s="157">
        <f t="shared" si="101"/>
      </c>
      <c r="DQ57" s="157">
        <f t="shared" si="101"/>
      </c>
      <c r="DR57" s="157">
        <f t="shared" si="101"/>
      </c>
      <c r="DS57" s="292">
        <f t="shared" si="101"/>
      </c>
      <c r="DT57" s="157">
        <f t="shared" si="101"/>
      </c>
      <c r="DU57" s="157">
        <f t="shared" si="101"/>
      </c>
      <c r="DV57" s="157">
        <f t="shared" si="101"/>
      </c>
      <c r="DW57" s="157">
        <f t="shared" si="101"/>
      </c>
      <c r="DX57" s="292">
        <f t="shared" si="101"/>
      </c>
      <c r="DY57" s="157">
        <f t="shared" si="101"/>
      </c>
      <c r="DZ57" s="157">
        <f t="shared" si="101"/>
      </c>
      <c r="EA57" s="157">
        <f t="shared" si="101"/>
      </c>
      <c r="EB57" s="157">
        <f t="shared" si="101"/>
      </c>
      <c r="EC57" s="292">
        <f t="shared" si="101"/>
      </c>
      <c r="ED57" s="157">
        <f t="shared" si="101"/>
      </c>
      <c r="EE57" s="1030">
        <f t="shared" si="101"/>
      </c>
      <c r="EF57" s="1030">
        <f t="shared" si="101"/>
      </c>
      <c r="EG57" s="157">
        <f t="shared" si="101"/>
      </c>
      <c r="EH57" s="292">
        <f t="shared" si="101"/>
      </c>
      <c r="EI57" s="1030">
        <f t="shared" si="101"/>
      </c>
      <c r="EJ57" s="1030">
        <f t="shared" si="101"/>
      </c>
      <c r="EK57" s="1030">
        <f t="shared" si="101"/>
      </c>
      <c r="EL57" s="1030">
        <f t="shared" si="101"/>
      </c>
      <c r="EM57" s="292">
        <f t="shared" si="101"/>
      </c>
      <c r="EN57" s="1030">
        <f t="shared" ref="EN57:GH57" si="102">+EN45/EN61</f>
      </c>
      <c r="EO57" s="1030">
        <f t="shared" si="102"/>
      </c>
      <c r="EP57" s="1030">
        <f t="shared" si="102"/>
      </c>
      <c r="EQ57" s="1030">
        <f t="shared" si="102"/>
      </c>
      <c r="ER57" s="292">
        <f t="shared" si="102"/>
      </c>
      <c r="ES57" s="1030">
        <f t="shared" si="102"/>
      </c>
      <c r="ET57" s="1030">
        <f t="shared" si="102"/>
      </c>
      <c r="EU57" s="1030">
        <f t="shared" si="102"/>
      </c>
      <c r="EV57" s="1030">
        <f t="shared" si="102"/>
      </c>
      <c r="EW57" s="1679">
        <f t="shared" si="102"/>
      </c>
      <c r="EX57" s="1680">
        <f t="shared" si="102"/>
      </c>
      <c r="EY57" s="1680">
        <f t="shared" si="102"/>
      </c>
      <c r="EZ57" s="1680">
        <f t="shared" si="102"/>
      </c>
      <c r="FA57" s="1680">
        <f t="shared" si="102"/>
      </c>
      <c r="FB57" s="1679">
        <f t="shared" si="102"/>
      </c>
      <c r="FC57" s="1680">
        <f t="shared" si="102"/>
      </c>
      <c r="FD57" s="1680">
        <f t="shared" si="102"/>
      </c>
      <c r="FE57" s="1680">
        <f t="shared" si="102"/>
      </c>
      <c r="FF57" s="1680">
        <f t="shared" si="102"/>
      </c>
      <c r="FG57" s="1679">
        <f t="shared" si="102"/>
      </c>
      <c r="FH57" s="1680">
        <f t="shared" si="102"/>
      </c>
      <c r="FI57" s="1680">
        <f t="shared" si="102"/>
      </c>
      <c r="FJ57" s="1680">
        <f t="shared" si="102"/>
      </c>
      <c r="FK57" s="1680">
        <f t="shared" si="102"/>
      </c>
      <c r="FL57" s="1679">
        <f t="shared" si="102"/>
      </c>
      <c r="FM57" s="2623">
        <f t="shared" ref="FM57:FS57" si="103">+FM45/FM61</f>
      </c>
      <c r="FN57" s="2623">
        <f t="shared" si="103"/>
      </c>
      <c r="FO57" s="2826">
        <f t="shared" si="103"/>
      </c>
      <c r="FP57" s="2623">
        <f t="shared" si="103"/>
      </c>
      <c r="FQ57" s="2623">
        <f t="shared" si="103"/>
      </c>
      <c r="FR57" s="2623">
        <f t="shared" si="103"/>
      </c>
      <c r="FS57" s="2827">
        <f t="shared" si="103"/>
      </c>
      <c r="FT57" s="2623">
        <f>+FT45/FT61</f>
      </c>
      <c r="FU57" s="2828">
        <f>+FU45/FU61</f>
      </c>
      <c r="FV57" s="2826">
        <f>+FV45/FV61</f>
      </c>
      <c r="FW57" s="3296">
        <f t="shared" si="102"/>
      </c>
      <c r="FX57" s="1679">
        <f t="shared" si="102"/>
      </c>
      <c r="FY57" s="2623">
        <f t="shared" si="102"/>
      </c>
      <c r="FZ57" s="2623">
        <f>+FZ45/FZ61</f>
      </c>
      <c r="GA57" s="2623">
        <f>+GA45/GA61</f>
      </c>
      <c r="GB57" s="2623">
        <f>+GB45/GB61</f>
      </c>
      <c r="GC57" s="1679">
        <f t="shared" si="102"/>
      </c>
      <c r="GD57" s="2623">
        <f t="shared" ref="GD57" si="104">+GD45/GD61</f>
      </c>
      <c r="GE57" s="2623">
        <f>+GE45/GE61</f>
      </c>
      <c r="GF57" s="2623">
        <f>+GF45/GF61</f>
      </c>
      <c r="GG57" s="3568">
        <f>+GG45/GG61</f>
      </c>
      <c r="GH57" s="1679">
        <f t="shared" si="102"/>
      </c>
      <c r="GI57" s="1679">
        <f ca="1">+GI45/GI61</f>
      </c>
      <c r="GJ57" s="1679">
        <f ca="1">+GJ45/GJ61</f>
      </c>
      <c r="GK57" s="1679">
        <f ca="1">+GK45/GK61</f>
      </c>
      <c r="GL57" s="1679">
        <f ca="1">+GL45/GL61</f>
      </c>
      <c r="GM57" s="1679">
        <f ca="1">+GM45/GM61</f>
      </c>
    </row>
    <row r="58" spans="2:195" s="4" customFormat="1" ht="11.25" customHeight="1" outlineLevel="1">
      <c r="B58" s="240"/>
      <c r="C58" s="250"/>
      <c r="D58" s="250"/>
      <c r="E58" s="251"/>
      <c r="F58" s="251"/>
      <c r="G58" s="251"/>
      <c r="H58" s="251"/>
      <c r="I58" s="251"/>
      <c r="J58" s="251"/>
      <c r="K58" s="251"/>
      <c r="L58" s="251"/>
      <c r="M58" s="251"/>
      <c r="N58" s="251"/>
      <c r="O58" s="251"/>
      <c r="P58" s="251"/>
      <c r="Q58" s="251"/>
      <c r="R58" s="251"/>
      <c r="S58" s="159"/>
      <c r="T58" s="251"/>
      <c r="U58" s="251"/>
      <c r="V58" s="251"/>
      <c r="W58" s="251"/>
      <c r="X58" s="159"/>
      <c r="Y58" s="251"/>
      <c r="Z58" s="251"/>
      <c r="AA58" s="251"/>
      <c r="AB58" s="251"/>
      <c r="AC58" s="251"/>
      <c r="AD58" s="251"/>
      <c r="AE58" s="251"/>
      <c r="AF58" s="251"/>
      <c r="AG58" s="251"/>
      <c r="AH58" s="251"/>
      <c r="AI58" s="251"/>
      <c r="AJ58" s="251"/>
      <c r="AK58" s="251"/>
      <c r="AL58" s="251"/>
      <c r="AM58" s="251"/>
      <c r="AN58" s="251"/>
      <c r="AO58" s="251"/>
      <c r="AP58" s="251"/>
      <c r="AQ58" s="251"/>
      <c r="AR58" s="218"/>
      <c r="AS58" s="218"/>
      <c r="AT58" s="218"/>
      <c r="AU58" s="218"/>
      <c r="AV58" s="251"/>
      <c r="AW58" s="218"/>
      <c r="AX58" s="218"/>
      <c r="AY58" s="218"/>
      <c r="AZ58" s="218"/>
      <c r="BA58" s="293"/>
      <c r="BB58" s="218"/>
      <c r="BC58" s="218"/>
      <c r="BD58" s="252"/>
      <c r="BE58" s="218"/>
      <c r="BF58" s="293"/>
      <c r="BG58" s="218"/>
      <c r="BH58" s="218"/>
      <c r="BI58" s="252"/>
      <c r="BJ58" s="218"/>
      <c r="BK58" s="293"/>
      <c r="BL58" s="218"/>
      <c r="BM58" s="218"/>
      <c r="BN58" s="252"/>
      <c r="BO58" s="218"/>
      <c r="BP58" s="293"/>
      <c r="BQ58" s="218"/>
      <c r="BR58" s="218"/>
      <c r="BS58" s="252"/>
      <c r="BT58" s="218"/>
      <c r="BU58" s="293"/>
      <c r="BV58" s="218"/>
      <c r="BW58" s="218"/>
      <c r="BX58" s="252"/>
      <c r="BY58" s="218"/>
      <c r="BZ58" s="293"/>
      <c r="CA58" s="218"/>
      <c r="CB58" s="218"/>
      <c r="CC58" s="252"/>
      <c r="CD58" s="218"/>
      <c r="CE58" s="293"/>
      <c r="CF58" s="218"/>
      <c r="CG58" s="218"/>
      <c r="CH58" s="252"/>
      <c r="CI58" s="218"/>
      <c r="CJ58" s="293"/>
      <c r="CK58" s="218"/>
      <c r="CL58" s="218"/>
      <c r="CM58" s="252"/>
      <c r="CN58" s="218"/>
      <c r="CO58" s="293"/>
      <c r="CP58" s="253"/>
      <c r="CQ58" s="253"/>
      <c r="CR58" s="253"/>
      <c r="CS58" s="218"/>
      <c r="CT58" s="293"/>
      <c r="CU58" s="253"/>
      <c r="CV58" s="253"/>
      <c r="CW58" s="253"/>
      <c r="CX58" s="253"/>
      <c r="CY58" s="293"/>
      <c r="CZ58" s="253"/>
      <c r="DA58" s="253"/>
      <c r="DB58" s="253"/>
      <c r="DC58" s="253"/>
      <c r="DD58" s="293"/>
      <c r="DE58" s="805"/>
      <c r="DF58" s="806"/>
      <c r="DG58" s="806"/>
      <c r="DH58" s="806"/>
      <c r="DI58" s="807"/>
      <c r="DJ58" s="806"/>
      <c r="DK58" s="806"/>
      <c r="DL58" s="806"/>
      <c r="DM58" s="806"/>
      <c r="DN58" s="807"/>
      <c r="DO58" s="253"/>
      <c r="DP58" s="253"/>
      <c r="DQ58" s="253"/>
      <c r="DR58" s="253"/>
      <c r="DS58" s="293"/>
      <c r="DT58" s="253"/>
      <c r="DU58" s="253"/>
      <c r="DV58" s="253"/>
      <c r="DW58" s="253"/>
      <c r="DX58" s="293"/>
      <c r="DY58" s="253"/>
      <c r="DZ58" s="253"/>
      <c r="EA58" s="253"/>
      <c r="EB58" s="253"/>
      <c r="EC58" s="293"/>
      <c r="ED58" s="1031"/>
      <c r="EE58" s="1031"/>
      <c r="EF58" s="1031"/>
      <c r="EG58" s="253"/>
      <c r="EH58" s="293"/>
      <c r="EI58" s="1031"/>
      <c r="EJ58" s="1031"/>
      <c r="EK58" s="1031"/>
      <c r="EL58" s="1031"/>
      <c r="EM58" s="293"/>
      <c r="EN58" s="1031"/>
      <c r="EO58" s="1031"/>
      <c r="EP58" s="1031"/>
      <c r="EQ58" s="1031"/>
      <c r="ER58" s="293"/>
      <c r="ES58" s="1031"/>
      <c r="ET58" s="1031"/>
      <c r="EU58" s="1031"/>
      <c r="EV58" s="1031"/>
      <c r="EW58" s="1683"/>
      <c r="EX58" s="1684"/>
      <c r="EY58" s="1684"/>
      <c r="EZ58" s="1684"/>
      <c r="FA58" s="1684"/>
      <c r="FB58" s="1683"/>
      <c r="FC58" s="1684"/>
      <c r="FD58" s="1684"/>
      <c r="FE58" s="1684"/>
      <c r="FF58" s="1684"/>
      <c r="FG58" s="1683"/>
      <c r="FH58" s="1684"/>
      <c r="FI58" s="1684"/>
      <c r="FJ58" s="1684"/>
      <c r="FK58" s="1684"/>
      <c r="FL58" s="1683"/>
      <c r="FM58" s="2625"/>
      <c r="FN58" s="2625"/>
      <c r="FO58" s="2831"/>
      <c r="FP58" s="2625"/>
      <c r="FQ58" s="2625"/>
      <c r="FR58" s="2625"/>
      <c r="FS58" s="2832"/>
      <c r="FT58" s="2625"/>
      <c r="FU58" s="2833"/>
      <c r="FV58" s="2831"/>
      <c r="FW58" s="3298"/>
      <c r="FX58" s="1683"/>
      <c r="FY58" s="2625"/>
      <c r="FZ58" s="2625"/>
      <c r="GA58" s="2625"/>
      <c r="GB58" s="2625"/>
      <c r="GC58" s="1683"/>
      <c r="GD58" s="2625"/>
      <c r="GE58" s="2625"/>
      <c r="GF58" s="2625"/>
      <c r="GG58" s="3570"/>
      <c r="GH58" s="1683"/>
      <c r="GI58" s="1683"/>
      <c r="GJ58" s="1683"/>
      <c r="GK58" s="1683"/>
      <c r="GL58" s="1683"/>
      <c r="GM58" s="1683"/>
    </row>
    <row r="59" spans="2:195" s="4" customFormat="1" ht="12.75" customHeight="1">
      <c r="B59" s="20" t="s">
        <v>232</v>
      </c>
      <c r="C59" s="366"/>
      <c r="D59" s="366"/>
      <c r="E59" s="366"/>
      <c r="F59" s="366"/>
      <c r="G59" s="366"/>
      <c r="H59" s="366"/>
      <c r="I59" s="366"/>
      <c r="J59" s="366"/>
      <c r="K59" s="366"/>
      <c r="L59" s="366"/>
      <c r="M59" s="366"/>
      <c r="N59" s="366"/>
      <c r="O59" s="366"/>
      <c r="P59" s="366"/>
      <c r="Q59" s="366"/>
      <c r="R59" s="366"/>
      <c r="S59" s="366"/>
      <c r="T59" s="366"/>
      <c r="U59" s="366"/>
      <c r="V59" s="366"/>
      <c r="W59" s="366"/>
      <c r="X59" s="366"/>
      <c r="Y59" s="366"/>
      <c r="Z59" s="366"/>
      <c r="AA59" s="366"/>
      <c r="AB59" s="366"/>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1"/>
      <c r="BB59" s="68"/>
      <c r="BC59" s="68"/>
      <c r="BD59" s="68"/>
      <c r="BE59" s="68"/>
      <c r="BF59" s="681"/>
      <c r="BG59" s="68"/>
      <c r="BH59" s="68"/>
      <c r="BI59" s="68"/>
      <c r="BJ59" s="68"/>
      <c r="BK59" s="681"/>
      <c r="BL59" s="680">
        <v>0.18</v>
      </c>
      <c r="BM59" s="680">
        <v>0.20499999999999999</v>
      </c>
      <c r="BN59" s="680">
        <v>0.20499999999999999</v>
      </c>
      <c r="BO59" s="680">
        <v>0.20499999999999999</v>
      </c>
      <c r="BP59" s="681">
        <f>SUM(BL59:BO59)</f>
      </c>
      <c r="BQ59" s="680">
        <v>0.20499999999999999</v>
      </c>
      <c r="BR59" s="680">
        <v>0.24</v>
      </c>
      <c r="BS59" s="680">
        <v>0.24</v>
      </c>
      <c r="BT59" s="680">
        <v>0.24</v>
      </c>
      <c r="BU59" s="681">
        <f>SUM(BQ59:BT59)</f>
      </c>
      <c r="BV59" s="680">
        <v>0.24</v>
      </c>
      <c r="BW59" s="680">
        <v>0.28499999999999998</v>
      </c>
      <c r="BX59" s="680">
        <v>0.28499999999999998</v>
      </c>
      <c r="BY59" s="680">
        <v>0.28499999999999998</v>
      </c>
      <c r="BZ59" s="681">
        <f>SUM(BV59:BY59)</f>
      </c>
      <c r="CA59" s="680">
        <v>0.28499999999999998</v>
      </c>
      <c r="CB59" s="680">
        <v>0.33</v>
      </c>
      <c r="CC59" s="680">
        <v>0.33</v>
      </c>
      <c r="CD59" s="680">
        <v>0.33</v>
      </c>
      <c r="CE59" s="681">
        <f>SUM(CA59:CD59)</f>
      </c>
      <c r="CF59" s="680">
        <v>0.33</v>
      </c>
      <c r="CG59" s="680">
        <v>0.375</v>
      </c>
      <c r="CH59" s="680">
        <v>0.375</v>
      </c>
      <c r="CI59" s="680">
        <v>0.375</v>
      </c>
      <c r="CJ59" s="681">
        <f>SUM(CF59:CI59)</f>
      </c>
      <c r="CK59" s="680">
        <v>0.375</v>
      </c>
      <c r="CL59" s="680">
        <v>0.41499999999999998</v>
      </c>
      <c r="CM59" s="680">
        <v>0.41499999999999998</v>
      </c>
      <c r="CN59" s="680">
        <v>0.41499999999999998</v>
      </c>
      <c r="CO59" s="681">
        <v>1.62</v>
      </c>
      <c r="CP59" s="680">
        <v>0.41499999999999998</v>
      </c>
      <c r="CQ59" s="680">
        <v>0.46</v>
      </c>
      <c r="CR59" s="680">
        <v>0.46</v>
      </c>
      <c r="CS59" s="680">
        <v>0.46</v>
      </c>
      <c r="CT59" s="681">
        <v>1.7949999999999999</v>
      </c>
      <c r="CU59" s="680">
        <v>0.46</v>
      </c>
      <c r="CV59" s="680">
        <v>0.49</v>
      </c>
      <c r="CW59" s="680">
        <v>0.49</v>
      </c>
      <c r="CX59" s="68">
        <f>CY59-SUM(CU59:CW59)</f>
      </c>
      <c r="CY59" s="367">
        <v>1.93</v>
      </c>
      <c r="CZ59" s="680">
        <v>0.49</v>
      </c>
      <c r="DA59" s="680">
        <v>0.54</v>
      </c>
      <c r="DB59" s="680">
        <v>0.54</v>
      </c>
      <c r="DC59" s="680">
        <v>0.54</v>
      </c>
      <c r="DD59" s="681">
        <v>2.11</v>
      </c>
      <c r="DE59" s="808">
        <v>0.54</v>
      </c>
      <c r="DF59" s="809">
        <v>0.56999999999999995</v>
      </c>
      <c r="DG59" s="809">
        <v>0.56999999999999995</v>
      </c>
      <c r="DH59" s="809">
        <v>0.56999999999999995</v>
      </c>
      <c r="DI59" s="368">
        <f>SUM(DE59:DH59)</f>
      </c>
      <c r="DJ59" s="709">
        <v>0.56999999999999995</v>
      </c>
      <c r="DK59" s="724">
        <v>0.61</v>
      </c>
      <c r="DL59" s="724">
        <v>0.61</v>
      </c>
      <c r="DM59" s="724">
        <v>0.61</v>
      </c>
      <c r="DN59" s="368">
        <f>'Balance Sheet'!CO101</f>
      </c>
      <c r="DO59" s="607">
        <f>'Balance Sheet'!CP101</f>
      </c>
      <c r="DP59" s="607">
        <f>'Balance Sheet'!CQ101</f>
      </c>
      <c r="DQ59" s="607">
        <f>'Balance Sheet'!CR101</f>
      </c>
      <c r="DR59" s="607">
        <f>'Balance Sheet'!CS101</f>
      </c>
      <c r="DS59" s="368">
        <f>'Balance Sheet'!CT101</f>
      </c>
      <c r="DT59" s="607">
        <f>'Balance Sheet'!CU101</f>
      </c>
      <c r="DU59" s="607">
        <f>'Balance Sheet'!CV101</f>
      </c>
      <c r="DV59" s="607">
        <f>'Balance Sheet'!CW101</f>
      </c>
      <c r="DW59" s="607">
        <f>'Balance Sheet'!CX101</f>
      </c>
      <c r="DX59" s="368">
        <f>'Balance Sheet'!CY101</f>
      </c>
      <c r="DY59" s="607">
        <f>'Balance Sheet'!CZ101</f>
      </c>
      <c r="DZ59" s="607">
        <f>'Balance Sheet'!DA101</f>
      </c>
      <c r="EA59" s="607">
        <f>'Balance Sheet'!DB101</f>
      </c>
      <c r="EB59" s="607">
        <f>'Balance Sheet'!DC101</f>
      </c>
      <c r="EC59" s="368">
        <f>'Balance Sheet'!DD101</f>
      </c>
      <c r="ED59" s="607">
        <f>'Balance Sheet'!DE101</f>
      </c>
      <c r="EE59" s="607">
        <f>'Balance Sheet'!DF101</f>
      </c>
      <c r="EF59" s="607">
        <f>'Balance Sheet'!DG101</f>
      </c>
      <c r="EG59" s="607">
        <f>'Balance Sheet'!DH101</f>
      </c>
      <c r="EH59" s="368">
        <f>'Balance Sheet'!DI101</f>
      </c>
      <c r="EI59" s="607">
        <f>'Balance Sheet'!DJ101</f>
      </c>
      <c r="EJ59" s="607">
        <f>'Balance Sheet'!DK101</f>
      </c>
      <c r="EK59" s="607">
        <f>'Balance Sheet'!DL101</f>
      </c>
      <c r="EL59" s="607">
        <f>'Balance Sheet'!DM101</f>
      </c>
      <c r="EM59" s="368">
        <f>'Balance Sheet'!DN101</f>
      </c>
      <c r="EN59" s="607">
        <f>'Balance Sheet'!DO101</f>
      </c>
      <c r="EO59" s="607">
        <f>'Balance Sheet'!DP101</f>
      </c>
      <c r="EP59" s="607">
        <f>'Balance Sheet'!DQ101</f>
      </c>
      <c r="EQ59" s="607">
        <f>'Balance Sheet'!DR101</f>
      </c>
      <c r="ER59" s="368">
        <f>'Balance Sheet'!DS101</f>
      </c>
      <c r="ES59" s="607">
        <f>'Balance Sheet'!DT101</f>
      </c>
      <c r="ET59" s="607">
        <f>'Balance Sheet'!DU101</f>
      </c>
      <c r="EU59" s="607">
        <f>'Balance Sheet'!DV101</f>
      </c>
      <c r="EV59" s="607">
        <f>'Balance Sheet'!DW101</f>
      </c>
      <c r="EW59" s="1685">
        <f>'Balance Sheet'!DX101</f>
      </c>
      <c r="EX59" s="1686">
        <f>'Balance Sheet'!DY101</f>
      </c>
      <c r="EY59" s="1686">
        <f>'Balance Sheet'!DZ101</f>
      </c>
      <c r="EZ59" s="1686">
        <f>'Balance Sheet'!EA101</f>
      </c>
      <c r="FA59" s="1686">
        <f>'Balance Sheet'!EB101</f>
      </c>
      <c r="FB59" s="2394">
        <f>'Balance Sheet'!EC101</f>
      </c>
      <c r="FC59" s="2395">
        <f>'Balance Sheet'!ED101</f>
      </c>
      <c r="FD59" s="2395">
        <f>'Balance Sheet'!EE101</f>
      </c>
      <c r="FE59" s="2395">
        <f>'Balance Sheet'!EF101</f>
      </c>
      <c r="FF59" s="2395">
        <f>'Balance Sheet'!EG101</f>
      </c>
      <c r="FG59" s="2394">
        <f>'Balance Sheet'!EH101</f>
      </c>
      <c r="FH59" s="1686">
        <f>'Balance Sheet'!EI101</f>
      </c>
      <c r="FI59" s="1686">
        <f>'Balance Sheet'!EJ101</f>
      </c>
      <c r="FJ59" s="1686">
        <f>'Balance Sheet'!EK101</f>
      </c>
      <c r="FK59" s="1686">
        <f>'Balance Sheet'!EL101</f>
      </c>
      <c r="FL59" s="1685">
        <f>'Balance Sheet'!EM101</f>
      </c>
      <c r="FM59" s="2626">
        <f>'Balance Sheet'!EN101</f>
      </c>
      <c r="FN59" s="2800">
        <f>'Balance Sheet'!EO101</f>
      </c>
      <c r="FO59" s="2834">
        <f>+FH59</f>
      </c>
      <c r="FP59" s="2835">
        <f t="shared" ref="FP59:FU60" si="105">+FI59</f>
      </c>
      <c r="FQ59" s="2835">
        <f t="shared" si="105"/>
      </c>
      <c r="FR59" s="2835">
        <f t="shared" si="105"/>
      </c>
      <c r="FS59" s="1685">
        <f t="shared" si="105"/>
      </c>
      <c r="FT59" s="2800">
        <f t="shared" si="105"/>
      </c>
      <c r="FU59" s="2836">
        <f t="shared" si="105"/>
      </c>
      <c r="FV59" s="3179">
        <f>'Balance Sheet'!EP101</f>
      </c>
      <c r="FW59" s="3299">
        <f>'Balance Sheet'!EQ101</f>
      </c>
      <c r="FX59" s="3317">
        <f>'Balance Sheet'!ER101</f>
      </c>
      <c r="FY59" s="3179">
        <f>'Balance Sheet'!ES101</f>
      </c>
      <c r="FZ59" s="3318">
        <f>+FY59</f>
      </c>
      <c r="GA59" s="3318">
        <f t="shared" ref="GA59:GB59" si="106">+FZ59</f>
      </c>
      <c r="GB59" s="3318">
        <f t="shared" si="106"/>
      </c>
      <c r="GC59" s="3317">
        <v>4.76</v>
      </c>
      <c r="GD59" s="3179">
        <f>'Balance Sheet'!EX101</f>
      </c>
      <c r="GE59" s="3318">
        <f>+GD59</f>
      </c>
      <c r="GF59" s="3318">
        <f t="shared" ref="GF59" si="107">+GE59</f>
      </c>
      <c r="GG59" s="3571">
        <f>'Balance Sheet'!FA101</f>
      </c>
      <c r="GH59" s="3317">
        <f>'Balance Sheet'!FB101</f>
      </c>
      <c r="GI59" s="3317">
        <f>'Balance Sheet'!FC101</f>
      </c>
      <c r="GJ59" s="3317">
        <f>'Balance Sheet'!FD101</f>
      </c>
      <c r="GK59" s="3317">
        <f>'Balance Sheet'!FE101</f>
      </c>
      <c r="GL59" s="3317">
        <f>'Balance Sheet'!FF101</f>
      </c>
      <c r="GM59" s="3317">
        <f>'Balance Sheet'!FG101</f>
      </c>
    </row>
    <row r="60" spans="2:195" s="3" customFormat="1" ht="12.75" customHeight="1">
      <c r="B60" s="238" t="s">
        <v>233</v>
      </c>
      <c r="C60" s="239"/>
      <c r="D60" s="239"/>
      <c r="E60" s="223">
        <f>4*690.3</f>
      </c>
      <c r="F60" s="699">
        <f>4*681.2</f>
      </c>
      <c r="G60" s="699">
        <f>4*666.2</f>
      </c>
      <c r="H60" s="699">
        <f>4*666.1</f>
      </c>
      <c r="I60" s="699">
        <f>4*666.2</f>
      </c>
      <c r="J60" s="699">
        <f>666.2*4</f>
      </c>
      <c r="K60" s="699">
        <f>4*666.2</f>
      </c>
      <c r="L60" s="699">
        <f>M60*4-I60-J60-K60</f>
      </c>
      <c r="M60" s="699">
        <f>4*666.1</f>
      </c>
      <c r="N60" s="699">
        <f>4*666</f>
      </c>
      <c r="O60" s="699">
        <f>4*660.8</f>
      </c>
      <c r="P60" s="699">
        <f>4*655.5</f>
      </c>
      <c r="Q60" s="699">
        <f>R60*4-N60-O60-P60</f>
      </c>
      <c r="R60" s="699">
        <f>4*659.5</f>
      </c>
      <c r="S60" s="699">
        <f>4*655.4</f>
      </c>
      <c r="T60" s="699">
        <f>4*655.3</f>
      </c>
      <c r="U60" s="699">
        <f>4*651.7</f>
      </c>
      <c r="V60" s="699">
        <f>+W60</f>
      </c>
      <c r="W60" s="699">
        <f>4*651.7</f>
      </c>
      <c r="X60" s="699">
        <f>4*643.1</f>
      </c>
      <c r="Y60" s="699">
        <f>4*643.3</f>
      </c>
      <c r="Z60" s="699">
        <f>4*643.3</f>
      </c>
      <c r="AA60" s="699">
        <f>4*642.9</f>
      </c>
      <c r="AB60" s="699">
        <f>4*643.1</f>
      </c>
      <c r="AC60" s="699">
        <f>4*643.1</f>
      </c>
      <c r="AD60" s="699">
        <f>4*645.6</f>
      </c>
      <c r="AE60" s="699">
        <f>4*647.8</f>
      </c>
      <c r="AF60" s="699">
        <f>4*647.6</f>
      </c>
      <c r="AG60" s="699">
        <f>2*1291.9</f>
      </c>
      <c r="AH60" s="699">
        <f>4*666.3</f>
      </c>
      <c r="AI60" s="699">
        <f>2*1332.9</f>
      </c>
      <c r="AJ60" s="699">
        <f>2*1332.9</f>
      </c>
      <c r="AK60" s="699">
        <f>2*1332.2</f>
      </c>
      <c r="AL60" s="699">
        <f>2*1332.6</f>
      </c>
      <c r="AM60" s="699">
        <f>2*1333.1</f>
      </c>
      <c r="AN60" s="699">
        <f>2*1332.5</f>
      </c>
      <c r="AO60" s="699">
        <f>2*1335.1</f>
      </c>
      <c r="AP60" s="699">
        <f>2*1342.1</f>
      </c>
      <c r="AQ60" s="699">
        <f>2*1336</f>
      </c>
      <c r="AR60" s="699">
        <f>2*1390</f>
      </c>
      <c r="AS60" s="699">
        <f>2*1390</f>
      </c>
      <c r="AT60" s="699">
        <f>2*1390</f>
      </c>
      <c r="AU60" s="699">
        <f>2*1390</f>
      </c>
      <c r="AV60" s="699">
        <v>2779.6</v>
      </c>
      <c r="AW60" s="699">
        <f>2*1390.2</f>
      </c>
      <c r="AX60" s="699">
        <f>2*1390.1</f>
      </c>
      <c r="AY60" s="699">
        <f>2*1389.9</f>
      </c>
      <c r="AZ60" s="699">
        <f>AY60</f>
      </c>
      <c r="BA60" s="294">
        <v>2780.2</v>
      </c>
      <c r="BB60" s="700">
        <v>2993</v>
      </c>
      <c r="BC60" s="700">
        <v>2993</v>
      </c>
      <c r="BD60" s="700">
        <v>2994</v>
      </c>
      <c r="BE60" s="700">
        <v>2994</v>
      </c>
      <c r="BF60" s="294">
        <v>2993.5</v>
      </c>
      <c r="BG60" s="700">
        <v>3020.4</v>
      </c>
      <c r="BH60" s="700">
        <v>3029.3</v>
      </c>
      <c r="BI60" s="700">
        <v>3039.2</v>
      </c>
      <c r="BJ60" s="700">
        <v>3020.4</v>
      </c>
      <c r="BK60" s="294">
        <v>3033.8</v>
      </c>
      <c r="BL60" s="700">
        <v>3042</v>
      </c>
      <c r="BM60" s="700">
        <v>3003.4</v>
      </c>
      <c r="BN60" s="700">
        <v>2974.4</v>
      </c>
      <c r="BO60" s="700">
        <v>3003</v>
      </c>
      <c r="BP60" s="294">
        <v>2998.3</v>
      </c>
      <c r="BQ60" s="700">
        <v>2968.4</v>
      </c>
      <c r="BR60" s="700">
        <v>2967.7</v>
      </c>
      <c r="BS60" s="700">
        <v>2968</v>
      </c>
      <c r="BT60" s="700">
        <v>3005.4</v>
      </c>
      <c r="BU60" s="294">
        <v>2968.1</v>
      </c>
      <c r="BV60" s="700">
        <v>2967.8</v>
      </c>
      <c r="BW60" s="700">
        <v>2968.2</v>
      </c>
      <c r="BX60" s="700">
        <v>2968.2</v>
      </c>
      <c r="BY60" s="700">
        <v>3012</v>
      </c>
      <c r="BZ60" s="294">
        <f>AVERAGE(BV60:BY60)</f>
      </c>
      <c r="CA60" s="700">
        <v>2967.8</v>
      </c>
      <c r="CB60" s="700">
        <v>2973.7</v>
      </c>
      <c r="CC60" s="700">
        <v>2968.2</v>
      </c>
      <c r="CD60" s="700">
        <v>2960</v>
      </c>
      <c r="CE60" s="294">
        <v>2973.9</v>
      </c>
      <c r="CF60" s="700">
        <v>2979.05</v>
      </c>
      <c r="CG60" s="700">
        <v>2954</v>
      </c>
      <c r="CH60" s="700">
        <v>2928</v>
      </c>
      <c r="CI60" s="224">
        <f>+CI61-(CD61-CD60)</f>
      </c>
      <c r="CJ60" s="294">
        <f>AVERAGE(CF60:CI60)</f>
      </c>
      <c r="CK60" s="700">
        <v>2900</v>
      </c>
      <c r="CL60" s="224">
        <f>+CL61-CK61+CK60</f>
      </c>
      <c r="CM60" s="224">
        <f>+CM61-CL61+CL60</f>
      </c>
      <c r="CN60" s="224">
        <f>+CN61-CM61+CM60</f>
      </c>
      <c r="CO60" s="294">
        <f>+AVERAGE(CK60:CN60)</f>
      </c>
      <c r="CP60" s="643">
        <v>2780.6</v>
      </c>
      <c r="CQ60" s="643">
        <v>2780.6</v>
      </c>
      <c r="CR60" s="643">
        <v>2780.6</v>
      </c>
      <c r="CS60" s="227">
        <f>+CS61-CR61+CR60</f>
      </c>
      <c r="CT60" s="294">
        <f>+CT61-CO61+CO60</f>
      </c>
      <c r="CU60" s="643">
        <v>2765.9</v>
      </c>
      <c r="CV60" s="643">
        <v>2756.2</v>
      </c>
      <c r="CW60" s="643">
        <v>2756.3</v>
      </c>
      <c r="CX60" s="227">
        <f>+CX61-CW61+CW60</f>
      </c>
      <c r="CY60" s="682">
        <v>2759.5</v>
      </c>
      <c r="CZ60" s="810">
        <v>2755.4</v>
      </c>
      <c r="DA60" s="811">
        <v>2756.6</v>
      </c>
      <c r="DB60" s="811">
        <v>2751.6</v>
      </c>
      <c r="DC60" s="812">
        <f>+DC61-DB61+DB60</f>
      </c>
      <c r="DD60" s="804">
        <v>2751.4</v>
      </c>
      <c r="DE60" s="641">
        <v>2738.4</v>
      </c>
      <c r="DF60" s="641">
        <v>2740.5</v>
      </c>
      <c r="DG60" s="641">
        <v>2738.5</v>
      </c>
      <c r="DH60" s="227">
        <f>+DH61-DG61+DG60</f>
      </c>
      <c r="DI60" s="804">
        <v>2736</v>
      </c>
      <c r="DJ60" s="641">
        <v>2736.9</v>
      </c>
      <c r="DK60" s="641">
        <v>2747.4</v>
      </c>
      <c r="DL60" s="641">
        <v>2757.4</v>
      </c>
      <c r="DM60" s="227">
        <f>+DM61-DL61+DL60</f>
      </c>
      <c r="DN60" s="804">
        <v>2753.3</v>
      </c>
      <c r="DO60" s="641">
        <v>2790.2</v>
      </c>
      <c r="DP60" s="641">
        <v>2809.7</v>
      </c>
      <c r="DQ60" s="227">
        <f>+'Balance Sheet'!CR120</f>
      </c>
      <c r="DR60" s="227">
        <f>+'Balance Sheet'!CS120</f>
      </c>
      <c r="DS60" s="294">
        <f>AVERAGE(DO60:DR60)</f>
      </c>
      <c r="DT60" s="227">
        <f>+'Balance Sheet'!CU120</f>
      </c>
      <c r="DU60" s="227">
        <f>+'Balance Sheet'!CV120</f>
      </c>
      <c r="DV60" s="227">
        <f>+'Balance Sheet'!CW120</f>
      </c>
      <c r="DW60" s="227">
        <f>+'Balance Sheet'!CX120</f>
      </c>
      <c r="DX60" s="294">
        <f>AVERAGE(DT60:DW60)</f>
      </c>
      <c r="DY60" s="227">
        <f>+'Balance Sheet'!CZ120</f>
      </c>
      <c r="DZ60" s="227">
        <f>+'Balance Sheet'!DA120</f>
      </c>
      <c r="EA60" s="227">
        <f>+'Balance Sheet'!DB120</f>
      </c>
      <c r="EB60" s="227">
        <f>+'Balance Sheet'!DC120</f>
      </c>
      <c r="EC60" s="294">
        <f>+'Balance Sheet'!DD120</f>
      </c>
      <c r="ED60" s="227">
        <f>+'Balance Sheet'!DE120</f>
      </c>
      <c r="EE60" s="227">
        <f>+'Balance Sheet'!DF120</f>
      </c>
      <c r="EF60" s="227">
        <f>+'Balance Sheet'!DG120</f>
      </c>
      <c r="EG60" s="227">
        <f>+'Balance Sheet'!DH120</f>
      </c>
      <c r="EH60" s="294">
        <f>+'Balance Sheet'!DI120</f>
      </c>
      <c r="EI60" s="227">
        <f>+'Balance Sheet'!DJ120</f>
      </c>
      <c r="EJ60" s="227">
        <f>+'Balance Sheet'!DK120</f>
      </c>
      <c r="EK60" s="227">
        <f>+'Balance Sheet'!DL120</f>
      </c>
      <c r="EL60" s="227">
        <f>+'Balance Sheet'!DM120</f>
      </c>
      <c r="EM60" s="294">
        <f>+'Balance Sheet'!DN120</f>
      </c>
      <c r="EN60" s="227">
        <f>+'Balance Sheet'!DO120</f>
      </c>
      <c r="EO60" s="227">
        <f>+'Balance Sheet'!DP120</f>
      </c>
      <c r="EP60" s="227">
        <f>+'Balance Sheet'!DQ120</f>
      </c>
      <c r="EQ60" s="227">
        <f>+'Balance Sheet'!DR120</f>
      </c>
      <c r="ER60" s="294">
        <f>+'Balance Sheet'!DS120</f>
      </c>
      <c r="ES60" s="227">
        <f>+'Balance Sheet'!DT120</f>
      </c>
      <c r="ET60" s="227">
        <f>+'Balance Sheet'!DU120</f>
      </c>
      <c r="EU60" s="227">
        <f>+'Balance Sheet'!DV120</f>
      </c>
      <c r="EV60" s="227">
        <f>+'Balance Sheet'!DW120</f>
      </c>
      <c r="EW60" s="1687">
        <f>+'Balance Sheet'!DX120</f>
      </c>
      <c r="EX60" s="1688">
        <f>+'Balance Sheet'!DY120</f>
      </c>
      <c r="EY60" s="1688">
        <f>+'Balance Sheet'!DZ120</f>
      </c>
      <c r="EZ60" s="1688">
        <f>+'Balance Sheet'!EA120</f>
      </c>
      <c r="FA60" s="1688">
        <f>+'Balance Sheet'!EB120</f>
      </c>
      <c r="FB60" s="1687">
        <f>+'Balance Sheet'!EC120</f>
      </c>
      <c r="FC60" s="1688">
        <f>+'Balance Sheet'!ED120</f>
      </c>
      <c r="FD60" s="1688">
        <f>+'Balance Sheet'!EE120</f>
      </c>
      <c r="FE60" s="1688">
        <f>+'Balance Sheet'!EF120</f>
      </c>
      <c r="FF60" s="1688">
        <f>+'Balance Sheet'!EG120</f>
      </c>
      <c r="FG60" s="1687">
        <f>+'Balance Sheet'!EH120</f>
      </c>
      <c r="FH60" s="1688">
        <f>+'Balance Sheet'!EI120</f>
      </c>
      <c r="FI60" s="1688">
        <f>+'Balance Sheet'!EJ120</f>
      </c>
      <c r="FJ60" s="1688">
        <f>+'Balance Sheet'!EK120</f>
      </c>
      <c r="FK60" s="1688">
        <f>+'Balance Sheet'!EL120</f>
      </c>
      <c r="FL60" s="1687">
        <f>+'Balance Sheet'!EM120</f>
      </c>
      <c r="FM60" s="2627">
        <f>+'Balance Sheet'!EN120</f>
      </c>
      <c r="FN60" s="2801">
        <f>+'Balance Sheet'!EO120</f>
      </c>
      <c r="FO60" s="2837">
        <f>+FH60</f>
      </c>
      <c r="FP60" s="2790">
        <f t="shared" si="105"/>
      </c>
      <c r="FQ60" s="2790">
        <f t="shared" si="105"/>
      </c>
      <c r="FR60" s="2790">
        <f t="shared" si="105"/>
      </c>
      <c r="FS60" s="2838">
        <f t="shared" si="105"/>
      </c>
      <c r="FT60" s="2801">
        <f t="shared" si="105"/>
      </c>
      <c r="FU60" s="2839">
        <f t="shared" si="105"/>
      </c>
      <c r="FV60" s="3180">
        <f>+FU60</f>
      </c>
      <c r="FW60" s="3300">
        <f>+'Balance Sheet'!EQ120</f>
      </c>
      <c r="FX60" s="1687">
        <f>+FX61*FX62</f>
      </c>
      <c r="FY60" s="2627">
        <f>+'Balance Sheet'!ES120</f>
      </c>
      <c r="FZ60" s="2627">
        <f>+'Balance Sheet'!ET120</f>
      </c>
      <c r="GA60" s="2627">
        <f>+'Balance Sheet'!EU120</f>
      </c>
      <c r="GB60" s="2627">
        <f>+'Balance Sheet'!EV120</f>
      </c>
      <c r="GC60" s="1687">
        <f>+'Balance Sheet'!EW120</f>
      </c>
      <c r="GD60" s="2627">
        <f>GD61</f>
      </c>
      <c r="GE60" s="2627">
        <f>GE61</f>
      </c>
      <c r="GF60" s="2627">
        <f t="shared" ref="GF60" si="108">GF61</f>
      </c>
      <c r="GG60" s="3572">
        <f>'Balance Sheet'!FA120</f>
      </c>
      <c r="GH60" s="3775">
        <f>'Balance Sheet'!FB120</f>
      </c>
      <c r="GI60" s="3775">
        <f>'Balance Sheet'!FC120</f>
      </c>
      <c r="GJ60" s="3775">
        <f>'Balance Sheet'!FD120</f>
      </c>
      <c r="GK60" s="3775">
        <f>'Balance Sheet'!FE120</f>
      </c>
      <c r="GL60" s="3775">
        <f>'Balance Sheet'!FF120</f>
      </c>
      <c r="GM60" s="3775">
        <f>'Balance Sheet'!FG120</f>
      </c>
    </row>
    <row r="61" spans="2:195" s="3" customFormat="1" ht="12.75" customHeight="1">
      <c r="B61" s="20" t="s">
        <v>118</v>
      </c>
      <c r="C61" s="225"/>
      <c r="D61" s="225"/>
      <c r="E61" s="226"/>
      <c r="F61" s="701"/>
      <c r="G61" s="701"/>
      <c r="H61" s="701"/>
      <c r="I61" s="701"/>
      <c r="J61" s="701"/>
      <c r="K61" s="701"/>
      <c r="L61" s="701"/>
      <c r="M61" s="701" t="s">
        <v>27</v>
      </c>
      <c r="N61" s="701"/>
      <c r="O61" s="701"/>
      <c r="P61" s="701"/>
      <c r="Q61" s="701"/>
      <c r="R61" s="701" t="s">
        <v>27</v>
      </c>
      <c r="S61" s="701"/>
      <c r="T61" s="701"/>
      <c r="U61" s="701"/>
      <c r="V61" s="701">
        <v>30</v>
      </c>
      <c r="W61" s="701" t="s">
        <v>27</v>
      </c>
      <c r="X61" s="701"/>
      <c r="Y61" s="701"/>
      <c r="Z61" s="701"/>
      <c r="AA61" s="701"/>
      <c r="AB61" s="701">
        <f>AB60</f>
      </c>
      <c r="AC61" s="701"/>
      <c r="AD61" s="701"/>
      <c r="AE61" s="701"/>
      <c r="AF61" s="701"/>
      <c r="AG61" s="701">
        <f>2*1317.4</f>
      </c>
      <c r="AH61" s="701">
        <v>2665.2</v>
      </c>
      <c r="AI61" s="701">
        <v>2665.8</v>
      </c>
      <c r="AJ61" s="701">
        <v>2665.8</v>
      </c>
      <c r="AK61" s="701">
        <v>2664.4</v>
      </c>
      <c r="AL61" s="701">
        <f>+AQ61</f>
      </c>
      <c r="AM61" s="701">
        <f>2*1368.5</f>
      </c>
      <c r="AN61" s="701">
        <f>2*1368.8</f>
      </c>
      <c r="AO61" s="701">
        <f>2*1357.14285714286</f>
      </c>
      <c r="AP61" s="701">
        <f>2*1387.66519823789</f>
      </c>
      <c r="AQ61" s="701">
        <f>+AV61</f>
      </c>
      <c r="AR61" s="701">
        <f>2*1420.9</f>
      </c>
      <c r="AS61" s="701">
        <f>2*1419</f>
      </c>
      <c r="AT61" s="701">
        <f>2*1419</f>
      </c>
      <c r="AU61" s="701">
        <f>2*1420.4</f>
      </c>
      <c r="AV61" s="701">
        <v>2834.4</v>
      </c>
      <c r="AW61" s="701">
        <f>2*1419.7</f>
      </c>
      <c r="AX61" s="701">
        <f>2*1421.2</f>
      </c>
      <c r="AY61" s="701">
        <f>2*1419</f>
      </c>
      <c r="AZ61" s="701">
        <f>2*1419.5</f>
      </c>
      <c r="BA61" s="295">
        <v>2836.4</v>
      </c>
      <c r="BB61" s="702">
        <v>3087.1</v>
      </c>
      <c r="BC61" s="702">
        <v>3094.9</v>
      </c>
      <c r="BD61" s="702">
        <v>3113.4</v>
      </c>
      <c r="BE61" s="702">
        <v>3117.9</v>
      </c>
      <c r="BF61" s="295">
        <v>3099.2</v>
      </c>
      <c r="BG61" s="702">
        <v>3106.7</v>
      </c>
      <c r="BH61" s="702">
        <v>3110.5</v>
      </c>
      <c r="BI61" s="702">
        <v>3110.9</v>
      </c>
      <c r="BJ61" s="702">
        <v>3121.2</v>
      </c>
      <c r="BK61" s="295">
        <v>3099.3</v>
      </c>
      <c r="BL61" s="702">
        <v>3115.4</v>
      </c>
      <c r="BM61" s="702">
        <v>3069.3</v>
      </c>
      <c r="BN61" s="702">
        <v>3026.7</v>
      </c>
      <c r="BO61" s="702">
        <v>3023.7</v>
      </c>
      <c r="BP61" s="295">
        <v>3054.1</v>
      </c>
      <c r="BQ61" s="702">
        <v>3018.5</v>
      </c>
      <c r="BR61" s="702">
        <v>3015.9</v>
      </c>
      <c r="BS61" s="702">
        <v>3008.3</v>
      </c>
      <c r="BT61" s="702">
        <v>3005.4</v>
      </c>
      <c r="BU61" s="295">
        <v>3008.1</v>
      </c>
      <c r="BV61" s="702">
        <v>3004.6</v>
      </c>
      <c r="BW61" s="702">
        <v>3005.3</v>
      </c>
      <c r="BX61" s="702">
        <v>3009</v>
      </c>
      <c r="BY61" s="702">
        <v>3013.5</v>
      </c>
      <c r="BZ61" s="295">
        <v>3003.5</v>
      </c>
      <c r="CA61" s="701">
        <v>3023.7</v>
      </c>
      <c r="CB61" s="701">
        <v>3024.7</v>
      </c>
      <c r="CC61" s="701">
        <v>3017.1</v>
      </c>
      <c r="CD61" s="701">
        <v>3009.4</v>
      </c>
      <c r="CE61" s="295">
        <v>3012.5</v>
      </c>
      <c r="CF61" s="701">
        <v>2992.7</v>
      </c>
      <c r="CG61" s="701">
        <v>2974.4</v>
      </c>
      <c r="CH61" s="701">
        <v>2948.1</v>
      </c>
      <c r="CI61" s="702">
        <v>2930.7</v>
      </c>
      <c r="CJ61" s="295">
        <v>2961</v>
      </c>
      <c r="CK61" s="701">
        <v>2924.3</v>
      </c>
      <c r="CL61" s="701">
        <v>2922.5</v>
      </c>
      <c r="CM61" s="701">
        <v>2912.9</v>
      </c>
      <c r="CN61" s="701">
        <v>2889</v>
      </c>
      <c r="CO61" s="295">
        <f>+AVERAGE(CK61:CN61)</f>
      </c>
      <c r="CP61" s="644">
        <v>2866.3</v>
      </c>
      <c r="CQ61" s="644">
        <v>2844.8</v>
      </c>
      <c r="CR61" s="644">
        <v>2831.3</v>
      </c>
      <c r="CS61" s="644">
        <v>2801.6</v>
      </c>
      <c r="CT61" s="295">
        <v>2835.6</v>
      </c>
      <c r="CU61" s="644">
        <v>2789.8</v>
      </c>
      <c r="CV61" s="644">
        <v>2782</v>
      </c>
      <c r="CW61" s="644">
        <v>2793</v>
      </c>
      <c r="CX61" s="644">
        <v>2796.5</v>
      </c>
      <c r="CY61" s="683">
        <v>2789.1</v>
      </c>
      <c r="CZ61" s="813">
        <v>2797.3</v>
      </c>
      <c r="DA61" s="641">
        <v>2796</v>
      </c>
      <c r="DB61" s="641">
        <v>2786.4</v>
      </c>
      <c r="DC61" s="641">
        <v>2781.6</v>
      </c>
      <c r="DD61" s="760">
        <v>2788.8</v>
      </c>
      <c r="DE61" s="641">
        <v>2772.7</v>
      </c>
      <c r="DF61" s="641">
        <v>2781.3</v>
      </c>
      <c r="DG61" s="641">
        <v>2778.2</v>
      </c>
      <c r="DH61" s="641">
        <v>2768.9</v>
      </c>
      <c r="DI61" s="760">
        <v>2775.3</v>
      </c>
      <c r="DJ61" s="641">
        <v>2774.9</v>
      </c>
      <c r="DK61" s="641">
        <v>2798.2</v>
      </c>
      <c r="DL61" s="641">
        <v>2818.1</v>
      </c>
      <c r="DM61" s="641">
        <v>2833.4</v>
      </c>
      <c r="DN61" s="760">
        <v>2812.6</v>
      </c>
      <c r="DO61" s="641">
        <v>2858.8</v>
      </c>
      <c r="DP61" s="641">
        <v>2893</v>
      </c>
      <c r="DQ61" s="641">
        <v>2881.2</v>
      </c>
      <c r="DR61" s="641">
        <v>2872</v>
      </c>
      <c r="DS61" s="295">
        <f>AVERAGE(DO61:DR61)</f>
      </c>
      <c r="DT61" s="641">
        <v>2874.7</v>
      </c>
      <c r="DU61" s="641">
        <v>2874.2</v>
      </c>
      <c r="DV61" s="641">
        <v>2864.3</v>
      </c>
      <c r="DW61" s="641">
        <v>2845.3</v>
      </c>
      <c r="DX61" s="295">
        <f>AVERAGE(DT61:DW61)</f>
      </c>
      <c r="DY61" s="641">
        <v>2826</v>
      </c>
      <c r="DZ61" s="641">
        <v>2812</v>
      </c>
      <c r="EA61" s="641">
        <v>2807.2</v>
      </c>
      <c r="EB61" s="641">
        <v>2803</v>
      </c>
      <c r="EC61" s="295">
        <f>AVERAGE(DY61:EB61)</f>
      </c>
      <c r="ED61" s="641">
        <v>2795.4</v>
      </c>
      <c r="EE61" s="641">
        <v>2794.2</v>
      </c>
      <c r="EF61" s="641">
        <v>2785.4</v>
      </c>
      <c r="EG61" s="641">
        <v>2764.5</v>
      </c>
      <c r="EH61" s="683">
        <v>2788.9</v>
      </c>
      <c r="EI61" s="641">
        <v>2754.5</v>
      </c>
      <c r="EJ61" s="641">
        <v>2741.5</v>
      </c>
      <c r="EK61" s="641">
        <v>2737.7</v>
      </c>
      <c r="EL61" s="641">
        <v>2740.7</v>
      </c>
      <c r="EM61" s="683">
        <v>2745.3</v>
      </c>
      <c r="EN61" s="641">
        <v>2731.9</v>
      </c>
      <c r="EO61" s="641">
        <v>2721.3</v>
      </c>
      <c r="EP61" s="641">
        <v>2727.6</v>
      </c>
      <c r="EQ61" s="641">
        <v>2724</v>
      </c>
      <c r="ER61" s="683">
        <v>2728.7</v>
      </c>
      <c r="ES61" s="641">
        <v>2698.8</v>
      </c>
      <c r="ET61" s="641">
        <v>2697</v>
      </c>
      <c r="EU61" s="641">
        <v>2670</v>
      </c>
      <c r="EV61" s="644">
        <v>2669</v>
      </c>
      <c r="EW61" s="1689">
        <v>2684.3</v>
      </c>
      <c r="EX61" s="1645">
        <v>2671</v>
      </c>
      <c r="EY61" s="1645">
        <v>2665.5</v>
      </c>
      <c r="EZ61" s="1645">
        <v>2669.3</v>
      </c>
      <c r="FA61" s="1645">
        <v>2669.2</v>
      </c>
      <c r="FB61" s="1690">
        <v>2670.7</v>
      </c>
      <c r="FC61" s="1645">
        <v>2672.7</v>
      </c>
      <c r="FD61" s="1645">
        <v>2671.6</v>
      </c>
      <c r="FE61" s="1645">
        <v>2674.9</v>
      </c>
      <c r="FF61" s="1645">
        <v>2670.2</v>
      </c>
      <c r="FG61" s="1690">
        <v>2674</v>
      </c>
      <c r="FH61" s="1645">
        <v>2666.5</v>
      </c>
      <c r="FI61" s="1645">
        <v>2668</v>
      </c>
      <c r="FJ61" s="1645">
        <v>2661.3</v>
      </c>
      <c r="FK61" s="1645">
        <v>2650.1</v>
      </c>
      <c r="FL61" s="2628">
        <f>AVERAGE(FH61:FK61)</f>
      </c>
      <c r="FM61" s="1645">
        <v>2605.5</v>
      </c>
      <c r="FN61" s="1645">
        <v>2625.7</v>
      </c>
      <c r="FO61" s="2618">
        <v>2666.5</v>
      </c>
      <c r="FP61" s="1645">
        <v>2667.9</v>
      </c>
      <c r="FQ61" s="1645">
        <v>2661.3</v>
      </c>
      <c r="FR61" s="1645">
        <v>2650.1</v>
      </c>
      <c r="FS61" s="1689">
        <v>2663.9</v>
      </c>
      <c r="FT61" s="2482">
        <v>2634.3</v>
      </c>
      <c r="FU61" s="2483">
        <v>2625.7</v>
      </c>
      <c r="FV61" s="3100">
        <v>2549.6999999999998</v>
      </c>
      <c r="FW61" s="2483">
        <v>2430.6999999999998</v>
      </c>
      <c r="FX61" s="2618">
        <v>2560.4</v>
      </c>
      <c r="FY61" s="3100">
        <v>2430.1</v>
      </c>
      <c r="FZ61" s="2482">
        <v>2422</v>
      </c>
      <c r="GA61" s="2482">
        <v>2427.9</v>
      </c>
      <c r="GB61" s="3609">
        <v>2427.1</v>
      </c>
      <c r="GC61" s="2628">
        <f>+GC60</f>
      </c>
      <c r="GD61" s="3100">
        <v>2423.8000000000002</v>
      </c>
      <c r="GE61" s="2482">
        <v>2419.1</v>
      </c>
      <c r="GF61" s="2482">
        <v>2428.6</v>
      </c>
      <c r="GG61" s="2629">
        <f t="shared" ref="GG61:GM61" si="109">GG60*GG62</f>
      </c>
      <c r="GH61" s="2628">
        <f>AVERAGE(GD61:GG61)</f>
      </c>
      <c r="GI61" s="2628">
        <f t="shared" si="109"/>
      </c>
      <c r="GJ61" s="2628">
        <f t="shared" si="109"/>
      </c>
      <c r="GK61" s="2628">
        <f t="shared" si="109"/>
      </c>
      <c r="GL61" s="2628">
        <f t="shared" si="109"/>
      </c>
      <c r="GM61" s="2628">
        <f t="shared" si="109"/>
      </c>
    </row>
    <row r="62" spans="2:195" s="3" customFormat="1" ht="12.75" customHeight="1">
      <c r="B62" s="585" t="s">
        <v>234</v>
      </c>
      <c r="C62" s="197"/>
      <c r="D62" s="197"/>
      <c r="E62" s="586"/>
      <c r="F62" s="586"/>
      <c r="G62" s="586"/>
      <c r="H62" s="586"/>
      <c r="I62" s="586"/>
      <c r="J62" s="586"/>
      <c r="K62" s="586"/>
      <c r="L62" s="586"/>
      <c r="M62" s="586"/>
      <c r="N62" s="586"/>
      <c r="O62" s="586"/>
      <c r="P62" s="586"/>
      <c r="Q62" s="586"/>
      <c r="R62" s="586"/>
      <c r="S62" s="586"/>
      <c r="T62" s="586"/>
      <c r="U62" s="586"/>
      <c r="V62" s="586"/>
      <c r="W62" s="586"/>
      <c r="X62" s="586"/>
      <c r="Y62" s="586"/>
      <c r="Z62" s="586"/>
      <c r="AA62" s="586"/>
      <c r="AB62" s="586"/>
      <c r="AC62" s="586"/>
      <c r="AD62" s="586"/>
      <c r="AE62" s="586"/>
      <c r="AF62" s="586"/>
      <c r="AG62" s="586"/>
      <c r="AH62" s="586"/>
      <c r="AI62" s="586"/>
      <c r="AJ62" s="586"/>
      <c r="AK62" s="586"/>
      <c r="AL62" s="586"/>
      <c r="AM62" s="586"/>
      <c r="AN62" s="586"/>
      <c r="AO62" s="586"/>
      <c r="AP62" s="586"/>
      <c r="AQ62" s="586"/>
      <c r="AR62" s="586"/>
      <c r="AS62" s="586"/>
      <c r="AT62" s="586"/>
      <c r="AU62" s="586"/>
      <c r="AV62" s="586">
        <f t="shared" ref="AV62:CA62" si="110">+AV61/AV60</f>
      </c>
      <c r="AW62" s="586">
        <f t="shared" si="110"/>
      </c>
      <c r="AX62" s="586">
        <f t="shared" si="110"/>
      </c>
      <c r="AY62" s="586">
        <f t="shared" si="110"/>
      </c>
      <c r="AZ62" s="586">
        <f t="shared" si="110"/>
      </c>
      <c r="BA62" s="587">
        <f t="shared" si="110"/>
      </c>
      <c r="BB62" s="586">
        <f t="shared" si="110"/>
      </c>
      <c r="BC62" s="586">
        <f t="shared" si="110"/>
      </c>
      <c r="BD62" s="586">
        <f t="shared" si="110"/>
      </c>
      <c r="BE62" s="586">
        <f t="shared" si="110"/>
      </c>
      <c r="BF62" s="587">
        <f t="shared" si="110"/>
      </c>
      <c r="BG62" s="586">
        <f t="shared" si="110"/>
      </c>
      <c r="BH62" s="586">
        <f t="shared" si="110"/>
      </c>
      <c r="BI62" s="586">
        <f t="shared" si="110"/>
      </c>
      <c r="BJ62" s="586">
        <f t="shared" si="110"/>
      </c>
      <c r="BK62" s="587">
        <f t="shared" si="110"/>
      </c>
      <c r="BL62" s="586">
        <f t="shared" si="110"/>
      </c>
      <c r="BM62" s="586">
        <f t="shared" si="110"/>
      </c>
      <c r="BN62" s="586">
        <f t="shared" si="110"/>
      </c>
      <c r="BO62" s="586">
        <f t="shared" si="110"/>
      </c>
      <c r="BP62" s="587">
        <f t="shared" si="110"/>
      </c>
      <c r="BQ62" s="586">
        <f t="shared" si="110"/>
      </c>
      <c r="BR62" s="586">
        <f t="shared" si="110"/>
      </c>
      <c r="BS62" s="586">
        <f t="shared" si="110"/>
      </c>
      <c r="BT62" s="586">
        <f t="shared" si="110"/>
      </c>
      <c r="BU62" s="587">
        <f t="shared" si="110"/>
      </c>
      <c r="BV62" s="586">
        <f t="shared" si="110"/>
      </c>
      <c r="BW62" s="586">
        <f t="shared" si="110"/>
      </c>
      <c r="BX62" s="586">
        <f t="shared" si="110"/>
      </c>
      <c r="BY62" s="586">
        <f t="shared" si="110"/>
      </c>
      <c r="BZ62" s="587">
        <f t="shared" si="110"/>
      </c>
      <c r="CA62" s="586">
        <f t="shared" si="110"/>
      </c>
      <c r="CB62" s="586">
        <f t="shared" ref="CB62:DG62" si="111">+CB61/CB60</f>
      </c>
      <c r="CC62" s="586">
        <f t="shared" si="111"/>
      </c>
      <c r="CD62" s="586">
        <f t="shared" si="111"/>
      </c>
      <c r="CE62" s="587">
        <f t="shared" si="111"/>
      </c>
      <c r="CF62" s="586">
        <f t="shared" si="111"/>
      </c>
      <c r="CG62" s="586">
        <f t="shared" si="111"/>
      </c>
      <c r="CH62" s="586">
        <f t="shared" si="111"/>
      </c>
      <c r="CI62" s="586">
        <f t="shared" si="111"/>
      </c>
      <c r="CJ62" s="587">
        <f t="shared" si="111"/>
      </c>
      <c r="CK62" s="586">
        <f t="shared" si="111"/>
      </c>
      <c r="CL62" s="586">
        <f t="shared" si="111"/>
      </c>
      <c r="CM62" s="586">
        <f t="shared" si="111"/>
      </c>
      <c r="CN62" s="586">
        <f t="shared" si="111"/>
      </c>
      <c r="CO62" s="587">
        <f t="shared" si="111"/>
      </c>
      <c r="CP62" s="586">
        <f t="shared" si="111"/>
      </c>
      <c r="CQ62" s="586">
        <f t="shared" si="111"/>
      </c>
      <c r="CR62" s="586">
        <f t="shared" si="111"/>
      </c>
      <c r="CS62" s="586">
        <f t="shared" si="111"/>
      </c>
      <c r="CT62" s="587">
        <f t="shared" si="111"/>
      </c>
      <c r="CU62" s="586">
        <f t="shared" si="111"/>
      </c>
      <c r="CV62" s="586">
        <f t="shared" si="111"/>
      </c>
      <c r="CW62" s="586">
        <f t="shared" si="111"/>
      </c>
      <c r="CX62" s="586">
        <f t="shared" si="111"/>
      </c>
      <c r="CY62" s="587">
        <f t="shared" si="111"/>
      </c>
      <c r="CZ62" s="814">
        <f t="shared" si="111"/>
      </c>
      <c r="DA62" s="815">
        <f t="shared" si="111"/>
      </c>
      <c r="DB62" s="815">
        <f t="shared" si="111"/>
      </c>
      <c r="DC62" s="815">
        <f t="shared" si="111"/>
      </c>
      <c r="DD62" s="587">
        <f t="shared" si="111"/>
      </c>
      <c r="DE62" s="586">
        <f t="shared" si="111"/>
      </c>
      <c r="DF62" s="586">
        <f t="shared" si="111"/>
      </c>
      <c r="DG62" s="586">
        <f t="shared" si="111"/>
      </c>
      <c r="DH62" s="586">
        <f>+DH61/DH60</f>
      </c>
      <c r="DI62" s="587">
        <f>+DC62</f>
      </c>
      <c r="DJ62" s="586">
        <f t="shared" ref="DJ62:EO62" si="112">+DJ61/DJ60</f>
      </c>
      <c r="DK62" s="586">
        <f t="shared" si="112"/>
      </c>
      <c r="DL62" s="586">
        <f t="shared" si="112"/>
      </c>
      <c r="DM62" s="586">
        <f t="shared" si="112"/>
      </c>
      <c r="DN62" s="587">
        <f t="shared" si="112"/>
      </c>
      <c r="DO62" s="586">
        <f t="shared" si="112"/>
      </c>
      <c r="DP62" s="586">
        <f t="shared" si="112"/>
      </c>
      <c r="DQ62" s="586">
        <f t="shared" si="112"/>
      </c>
      <c r="DR62" s="586">
        <f t="shared" si="112"/>
      </c>
      <c r="DS62" s="587">
        <f t="shared" si="112"/>
      </c>
      <c r="DT62" s="586">
        <f t="shared" si="112"/>
      </c>
      <c r="DU62" s="586">
        <f t="shared" si="112"/>
      </c>
      <c r="DV62" s="586">
        <f t="shared" si="112"/>
      </c>
      <c r="DW62" s="586">
        <f t="shared" si="112"/>
      </c>
      <c r="DX62" s="587">
        <f t="shared" si="112"/>
      </c>
      <c r="DY62" s="938">
        <f t="shared" si="112"/>
      </c>
      <c r="DZ62" s="586">
        <f t="shared" si="112"/>
      </c>
      <c r="EA62" s="586">
        <f t="shared" si="112"/>
      </c>
      <c r="EB62" s="586">
        <f t="shared" si="112"/>
      </c>
      <c r="EC62" s="587">
        <f t="shared" si="112"/>
      </c>
      <c r="ED62" s="938">
        <f t="shared" si="112"/>
      </c>
      <c r="EE62" s="586">
        <f t="shared" si="112"/>
      </c>
      <c r="EF62" s="586">
        <f t="shared" si="112"/>
      </c>
      <c r="EG62" s="586">
        <f t="shared" si="112"/>
      </c>
      <c r="EH62" s="587">
        <f t="shared" si="112"/>
      </c>
      <c r="EI62" s="938">
        <f t="shared" si="112"/>
      </c>
      <c r="EJ62" s="586">
        <f t="shared" si="112"/>
      </c>
      <c r="EK62" s="586">
        <f t="shared" si="112"/>
      </c>
      <c r="EL62" s="586">
        <f t="shared" si="112"/>
      </c>
      <c r="EM62" s="587">
        <f t="shared" si="112"/>
      </c>
      <c r="EN62" s="938">
        <f t="shared" si="112"/>
      </c>
      <c r="EO62" s="938">
        <f t="shared" si="112"/>
      </c>
      <c r="EP62" s="938">
        <f t="shared" ref="EP62:FM62" si="113">+EP61/EP60</f>
      </c>
      <c r="EQ62" s="586">
        <f t="shared" si="113"/>
      </c>
      <c r="ER62" s="587">
        <f t="shared" si="113"/>
      </c>
      <c r="ES62" s="938">
        <f t="shared" si="113"/>
      </c>
      <c r="ET62" s="938">
        <f t="shared" si="113"/>
      </c>
      <c r="EU62" s="938">
        <f t="shared" si="113"/>
      </c>
      <c r="EV62" s="938">
        <f t="shared" si="113"/>
      </c>
      <c r="EW62" s="1365">
        <f t="shared" si="113"/>
      </c>
      <c r="EX62" s="1691">
        <f>+EX61/EX60</f>
      </c>
      <c r="EY62" s="1691">
        <f t="shared" si="113"/>
      </c>
      <c r="EZ62" s="1691">
        <f t="shared" si="113"/>
      </c>
      <c r="FA62" s="1691">
        <f t="shared" si="113"/>
      </c>
      <c r="FB62" s="1365">
        <f t="shared" si="113"/>
      </c>
      <c r="FC62" s="1691">
        <f t="shared" si="113"/>
      </c>
      <c r="FD62" s="974">
        <f t="shared" si="113"/>
      </c>
      <c r="FE62" s="974">
        <f>+FE61/FE60</f>
      </c>
      <c r="FF62" s="1691">
        <f t="shared" si="113"/>
      </c>
      <c r="FG62" s="1365">
        <f t="shared" si="113"/>
      </c>
      <c r="FH62" s="1691">
        <f t="shared" si="113"/>
      </c>
      <c r="FI62" s="974">
        <f t="shared" si="113"/>
      </c>
      <c r="FJ62" s="974">
        <f>+FJ61/FJ60</f>
      </c>
      <c r="FK62" s="1691">
        <f t="shared" si="113"/>
      </c>
      <c r="FL62" s="1365">
        <f>+FL61/FL60</f>
      </c>
      <c r="FM62" s="1691">
        <f t="shared" si="113"/>
      </c>
      <c r="FN62" s="2122">
        <f t="shared" ref="FN62:FV62" si="114">+FN61/FN60</f>
      </c>
      <c r="FO62" s="2662">
        <f t="shared" si="114"/>
      </c>
      <c r="FP62" s="2122">
        <f t="shared" si="114"/>
      </c>
      <c r="FQ62" s="2122">
        <f t="shared" si="114"/>
      </c>
      <c r="FR62" s="2122">
        <f t="shared" si="114"/>
      </c>
      <c r="FS62" s="2840">
        <f t="shared" si="114"/>
      </c>
      <c r="FT62" s="2122">
        <f t="shared" si="114"/>
      </c>
      <c r="FU62" s="2123">
        <f t="shared" si="114"/>
      </c>
      <c r="FV62" s="2662">
        <f t="shared" si="114"/>
      </c>
      <c r="FW62" s="3301">
        <f>FV62</f>
      </c>
      <c r="FX62" s="2630">
        <v>1</v>
      </c>
      <c r="FY62" s="2662">
        <f t="shared" ref="FY62:GB62" si="115">+FY61/FY60</f>
      </c>
      <c r="FZ62" s="2122">
        <f t="shared" si="115"/>
      </c>
      <c r="GA62" s="2122">
        <f t="shared" si="115"/>
      </c>
      <c r="GB62" s="2122">
        <f t="shared" si="115"/>
      </c>
      <c r="GC62" s="2630">
        <v>1</v>
      </c>
      <c r="GD62" s="2662"/>
      <c r="GE62" s="2122">
        <f t="shared" ref="GE62:GF62" si="116">+GE61/GE60</f>
      </c>
      <c r="GF62" s="2122">
        <f t="shared" si="116"/>
      </c>
      <c r="GG62" s="3573">
        <f>GF62</f>
      </c>
      <c r="GH62" s="2630">
        <v>1</v>
      </c>
      <c r="GI62" s="2630">
        <v>1</v>
      </c>
      <c r="GJ62" s="2630">
        <v>1</v>
      </c>
      <c r="GK62" s="2630">
        <v>1</v>
      </c>
      <c r="GL62" s="2630">
        <v>1</v>
      </c>
      <c r="GM62" s="2630">
        <v>1</v>
      </c>
    </row>
    <row r="63" spans="2:195" s="3" customFormat="1" ht="15" customHeight="1">
      <c r="B63" s="1"/>
      <c r="C63" s="225"/>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35"/>
      <c r="AQ63" s="226"/>
      <c r="AR63" s="226"/>
      <c r="AS63" s="226"/>
      <c r="AT63" s="226"/>
      <c r="AU63" s="226"/>
      <c r="AV63" s="226"/>
      <c r="AW63" s="226"/>
      <c r="AX63" s="47"/>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c r="CZ63" s="226"/>
      <c r="DA63" s="226"/>
      <c r="DB63" s="226"/>
      <c r="DC63" s="226"/>
      <c r="DD63" s="226"/>
      <c r="DE63" s="226"/>
      <c r="DF63" s="226"/>
      <c r="DG63" s="226"/>
      <c r="DH63" s="226"/>
      <c r="DI63" s="226"/>
      <c r="DJ63" s="226"/>
      <c r="DK63" s="226"/>
      <c r="DL63" s="226"/>
      <c r="DM63" s="226"/>
      <c r="DN63" s="226"/>
      <c r="DO63" s="226"/>
      <c r="DP63" s="226"/>
      <c r="DQ63" s="226"/>
      <c r="DR63" s="226"/>
      <c r="DS63" s="226"/>
      <c r="DT63" s="226"/>
      <c r="DU63" s="226"/>
      <c r="DV63" s="226"/>
      <c r="DW63" s="226"/>
      <c r="DX63" s="226"/>
      <c r="DY63" s="226"/>
      <c r="DZ63" s="226"/>
      <c r="EA63" s="226"/>
      <c r="EB63" s="226"/>
      <c r="EC63" s="741"/>
      <c r="ED63" s="1032"/>
      <c r="EE63" s="1032"/>
      <c r="EF63" s="1032"/>
      <c r="EG63" s="226"/>
      <c r="EH63" s="741"/>
      <c r="EI63" s="1032"/>
      <c r="EJ63" s="1032"/>
      <c r="EK63" s="1032"/>
      <c r="EL63" s="1032"/>
      <c r="EM63" s="741"/>
      <c r="EN63" s="1032"/>
      <c r="EO63" s="1032"/>
      <c r="EP63" s="1032"/>
      <c r="EQ63" s="1032"/>
      <c r="ER63" s="741"/>
      <c r="ES63" s="1379"/>
      <c r="ET63" s="1379"/>
      <c r="EU63" s="1379"/>
      <c r="EV63" s="1379"/>
      <c r="EW63" s="1692"/>
      <c r="EX63" s="1693"/>
      <c r="EY63" s="1693"/>
      <c r="EZ63" s="1693"/>
      <c r="FA63" s="1693"/>
      <c r="FB63" s="1692"/>
      <c r="FC63" s="1694"/>
      <c r="FD63" s="1694"/>
      <c r="FE63" s="1694"/>
      <c r="FF63" s="1694"/>
      <c r="FG63" s="1692"/>
      <c r="FH63" s="1694"/>
      <c r="FI63" s="1694"/>
      <c r="FJ63" s="1694"/>
      <c r="FK63" s="1694"/>
      <c r="FL63" s="1692"/>
      <c r="FM63" s="2631"/>
      <c r="FN63" s="2888"/>
      <c r="FO63" s="2841"/>
      <c r="FP63" s="2841"/>
      <c r="FQ63" s="2841"/>
      <c r="FR63" s="2841"/>
      <c r="FS63" s="2841"/>
      <c r="FT63" s="2888"/>
      <c r="FU63" s="2888"/>
      <c r="FV63" s="2888"/>
      <c r="FW63" s="2888"/>
      <c r="FX63" s="2841"/>
      <c r="FY63" s="3767"/>
      <c r="FZ63" s="3767"/>
      <c r="GA63" s="3767"/>
      <c r="GB63" s="3767"/>
      <c r="GC63" s="1692"/>
      <c r="GD63" s="3767"/>
      <c r="GE63" s="3767"/>
      <c r="GF63" s="3767"/>
      <c r="GG63" s="3574"/>
      <c r="GH63" s="1692"/>
      <c r="GI63" s="1692"/>
      <c r="GJ63" s="1692"/>
      <c r="GK63" s="1692"/>
      <c r="GL63" s="1692"/>
      <c r="GM63" s="1692"/>
    </row>
    <row r="64" spans="2:195" ht="12.75" customHeight="1">
      <c r="B64" s="347" t="s">
        <v>949</v>
      </c>
      <c r="C64" s="591"/>
      <c r="D64" s="591"/>
      <c r="E64" s="591"/>
      <c r="F64" s="591"/>
      <c r="G64" s="591"/>
      <c r="H64" s="591"/>
      <c r="I64" s="591"/>
      <c r="J64" s="591"/>
      <c r="K64" s="591"/>
      <c r="L64" s="591"/>
      <c r="M64" s="591"/>
      <c r="N64" s="591"/>
      <c r="O64" s="591"/>
      <c r="P64" s="591"/>
      <c r="Q64" s="591"/>
      <c r="R64" s="591"/>
      <c r="S64" s="591"/>
      <c r="T64" s="591"/>
      <c r="U64" s="591"/>
      <c r="V64" s="591"/>
      <c r="W64" s="591"/>
      <c r="X64" s="591"/>
      <c r="Y64" s="591"/>
      <c r="Z64" s="591"/>
      <c r="AA64" s="591"/>
      <c r="AB64" s="591"/>
      <c r="AC64" s="591"/>
      <c r="AD64" s="591"/>
      <c r="AE64" s="591"/>
      <c r="AF64" s="591"/>
      <c r="AG64" s="591"/>
      <c r="AH64" s="591"/>
      <c r="AI64" s="591"/>
      <c r="AJ64" s="591"/>
      <c r="AK64" s="591"/>
      <c r="AL64" s="591"/>
      <c r="AM64" s="591"/>
      <c r="AN64" s="591"/>
      <c r="AO64" s="591"/>
      <c r="AP64" s="591"/>
      <c r="AQ64" s="591"/>
      <c r="AR64" s="734"/>
      <c r="AS64" s="734"/>
      <c r="AT64" s="734"/>
      <c r="AU64" s="734"/>
      <c r="AV64" s="591"/>
      <c r="AW64" s="734"/>
      <c r="AX64" s="734"/>
      <c r="AY64" s="734"/>
      <c r="AZ64" s="734"/>
      <c r="BA64" s="736"/>
      <c r="BB64" s="734"/>
      <c r="BC64" s="734"/>
      <c r="BD64" s="735"/>
      <c r="BE64" s="734"/>
      <c r="BF64" s="736"/>
      <c r="BG64" s="734"/>
      <c r="BH64" s="734"/>
      <c r="BI64" s="735"/>
      <c r="BJ64" s="734"/>
      <c r="BK64" s="736"/>
      <c r="BL64" s="734"/>
      <c r="BM64" s="734"/>
      <c r="BN64" s="735"/>
      <c r="BO64" s="734"/>
      <c r="BP64" s="736"/>
      <c r="BQ64" s="734"/>
      <c r="BR64" s="734"/>
      <c r="BS64" s="735"/>
      <c r="BT64" s="734"/>
      <c r="BU64" s="736"/>
      <c r="BV64" s="734"/>
      <c r="BW64" s="734"/>
      <c r="BX64" s="735"/>
      <c r="BY64" s="734"/>
      <c r="BZ64" s="736"/>
      <c r="CA64" s="734"/>
      <c r="CB64" s="734"/>
      <c r="CC64" s="735"/>
      <c r="CD64" s="734"/>
      <c r="CE64" s="736"/>
      <c r="CF64" s="734"/>
      <c r="CG64" s="734"/>
      <c r="CH64" s="735"/>
      <c r="CI64" s="734"/>
      <c r="CJ64" s="736"/>
      <c r="CK64" s="734"/>
      <c r="CL64" s="734"/>
      <c r="CM64" s="735"/>
      <c r="CN64" s="734"/>
      <c r="CO64" s="736"/>
      <c r="CP64" s="734"/>
      <c r="CQ64" s="734"/>
      <c r="CR64" s="735"/>
      <c r="CS64" s="734"/>
      <c r="CT64" s="736"/>
      <c r="CU64" s="734"/>
      <c r="CV64" s="734"/>
      <c r="CW64" s="735"/>
      <c r="CX64" s="734"/>
      <c r="CY64" s="736"/>
      <c r="CZ64" s="737"/>
      <c r="DA64" s="737"/>
      <c r="DB64" s="737"/>
      <c r="DC64" s="737"/>
      <c r="DD64" s="736"/>
      <c r="DE64" s="738"/>
      <c r="DF64" s="739"/>
      <c r="DG64" s="593"/>
      <c r="DH64" s="593"/>
      <c r="DI64" s="740"/>
      <c r="DJ64" s="593"/>
      <c r="DK64" s="593"/>
      <c r="DL64" s="593"/>
      <c r="DM64" s="593"/>
      <c r="DN64" s="740"/>
      <c r="DO64" s="593"/>
      <c r="DP64" s="593"/>
      <c r="DQ64" s="593"/>
      <c r="DR64" s="593"/>
      <c r="DS64" s="740"/>
      <c r="DT64" s="593"/>
      <c r="DU64" s="593"/>
      <c r="DV64" s="593"/>
      <c r="DW64" s="593"/>
      <c r="DX64" s="740"/>
      <c r="DY64" s="593"/>
      <c r="DZ64" s="593"/>
      <c r="EA64" s="593"/>
      <c r="EB64" s="593"/>
      <c r="EC64" s="740"/>
      <c r="ED64" s="1033"/>
      <c r="EE64" s="1033"/>
      <c r="EF64" s="1033"/>
      <c r="EG64" s="593"/>
      <c r="EH64" s="740"/>
      <c r="EI64" s="1033"/>
      <c r="EJ64" s="1033"/>
      <c r="EK64" s="1033"/>
      <c r="EL64" s="1268"/>
      <c r="EM64" s="740"/>
      <c r="EN64" s="1033"/>
      <c r="EO64" s="1033"/>
      <c r="EP64" s="1033"/>
      <c r="EQ64" s="1268"/>
      <c r="ER64" s="740"/>
      <c r="ES64" s="1382"/>
      <c r="ET64" s="1384"/>
      <c r="EU64" s="1384"/>
      <c r="EV64" s="1380"/>
      <c r="EW64" s="1695"/>
      <c r="EX64" s="1696"/>
      <c r="EY64" s="1696"/>
      <c r="EZ64" s="1696"/>
      <c r="FA64" s="1697"/>
      <c r="FB64" s="1698"/>
      <c r="FC64" s="1699"/>
      <c r="FD64" s="1700"/>
      <c r="FE64" s="1699"/>
      <c r="FF64" s="1699"/>
      <c r="FG64" s="1699"/>
      <c r="FH64" s="1700"/>
      <c r="FI64" s="1700"/>
      <c r="FJ64" s="1700"/>
      <c r="FK64" s="1700"/>
      <c r="FL64" s="1695">
        <f>+FL59/FL55</f>
      </c>
      <c r="FM64" s="1700"/>
      <c r="FN64" s="2791"/>
      <c r="FO64" s="2842"/>
      <c r="FP64" s="2791"/>
      <c r="FQ64" s="2791"/>
      <c r="FR64" s="2791"/>
      <c r="FS64" s="1695"/>
      <c r="FT64" s="2791"/>
      <c r="FU64" s="1697"/>
      <c r="FV64" s="2791"/>
      <c r="FW64" s="1700"/>
      <c r="FX64" s="1695"/>
      <c r="FY64" s="1700"/>
      <c r="FZ64" s="1700"/>
      <c r="GA64" s="1700"/>
      <c r="GB64" s="1700"/>
      <c r="GC64" s="1695"/>
      <c r="GD64" s="1700"/>
      <c r="GE64" s="1700"/>
      <c r="GF64" s="1700"/>
      <c r="GG64" s="3575"/>
      <c r="GH64" s="1695"/>
      <c r="GI64" s="1695"/>
      <c r="GJ64" s="1695"/>
      <c r="GK64" s="1695"/>
      <c r="GL64" s="1695"/>
      <c r="GM64" s="1695"/>
    </row>
    <row r="65" spans="2:196" ht="12.75" customHeight="1">
      <c r="B65" s="180" t="s">
        <v>408</v>
      </c>
      <c r="C65" s="631"/>
      <c r="D65" s="631"/>
      <c r="E65" s="630">
        <f>(E24-E26)/E24</f>
      </c>
      <c r="F65" s="630">
        <f>(F24-F26)/F24</f>
      </c>
      <c r="G65" s="630">
        <f>(G24-G26)/G24</f>
      </c>
      <c r="H65" s="630"/>
      <c r="I65" s="630"/>
      <c r="J65" s="630"/>
      <c r="K65" s="630"/>
      <c r="L65" s="630"/>
      <c r="M65" s="630"/>
      <c r="N65" s="630"/>
      <c r="O65" s="630"/>
      <c r="P65" s="630"/>
      <c r="Q65" s="630"/>
      <c r="R65" s="630"/>
      <c r="S65" s="630"/>
      <c r="T65" s="630"/>
      <c r="U65" s="630"/>
      <c r="V65" s="630"/>
      <c r="W65" s="630"/>
      <c r="X65" s="630"/>
      <c r="Y65" s="630"/>
      <c r="Z65" s="630"/>
      <c r="AA65" s="630"/>
      <c r="AB65" s="630"/>
      <c r="AC65" s="630">
        <f t="shared" ref="AC65:BH65" si="117">(AC24-AC26)/AC24</f>
      </c>
      <c r="AD65" s="630">
        <f t="shared" si="117"/>
      </c>
      <c r="AE65" s="630">
        <f t="shared" si="117"/>
      </c>
      <c r="AF65" s="630">
        <f t="shared" si="117"/>
      </c>
      <c r="AG65" s="630">
        <f t="shared" si="117"/>
      </c>
      <c r="AH65" s="630">
        <f t="shared" si="117"/>
      </c>
      <c r="AI65" s="630">
        <f t="shared" si="117"/>
      </c>
      <c r="AJ65" s="630">
        <f t="shared" si="117"/>
      </c>
      <c r="AK65" s="630">
        <f t="shared" si="117"/>
      </c>
      <c r="AL65" s="630">
        <f t="shared" si="117"/>
      </c>
      <c r="AM65" s="630">
        <f t="shared" si="117"/>
      </c>
      <c r="AN65" s="630">
        <f t="shared" si="117"/>
      </c>
      <c r="AO65" s="630">
        <f t="shared" si="117"/>
      </c>
      <c r="AP65" s="630">
        <f t="shared" si="117"/>
      </c>
      <c r="AQ65" s="630">
        <f t="shared" si="117"/>
      </c>
      <c r="AR65" s="630">
        <f t="shared" si="117"/>
      </c>
      <c r="AS65" s="630">
        <f t="shared" si="117"/>
      </c>
      <c r="AT65" s="630">
        <f t="shared" si="117"/>
      </c>
      <c r="AU65" s="630">
        <f t="shared" si="117"/>
      </c>
      <c r="AV65" s="630">
        <f t="shared" si="117"/>
      </c>
      <c r="AW65" s="630">
        <f t="shared" si="117"/>
      </c>
      <c r="AX65" s="630">
        <f t="shared" si="117"/>
      </c>
      <c r="AY65" s="630">
        <f t="shared" si="117"/>
      </c>
      <c r="AZ65" s="630">
        <f t="shared" si="117"/>
      </c>
      <c r="BA65" s="729">
        <f t="shared" si="117"/>
      </c>
      <c r="BB65" s="630">
        <f t="shared" si="117"/>
      </c>
      <c r="BC65" s="630">
        <f t="shared" si="117"/>
      </c>
      <c r="BD65" s="630">
        <f t="shared" si="117"/>
      </c>
      <c r="BE65" s="630">
        <f t="shared" si="117"/>
      </c>
      <c r="BF65" s="729">
        <f t="shared" si="117"/>
      </c>
      <c r="BG65" s="630">
        <f t="shared" si="117"/>
      </c>
      <c r="BH65" s="630">
        <f t="shared" si="117"/>
      </c>
      <c r="BI65" s="630">
        <f t="shared" ref="BI65:CE65" si="118">(BI24-BI26)/BI24</f>
      </c>
      <c r="BJ65" s="630">
        <f t="shared" si="118"/>
      </c>
      <c r="BK65" s="729">
        <f t="shared" si="118"/>
      </c>
      <c r="BL65" s="630">
        <f t="shared" si="118"/>
      </c>
      <c r="BM65" s="630">
        <f t="shared" si="118"/>
      </c>
      <c r="BN65" s="630">
        <f t="shared" si="118"/>
      </c>
      <c r="BO65" s="630">
        <f t="shared" si="118"/>
      </c>
      <c r="BP65" s="729">
        <f t="shared" si="118"/>
      </c>
      <c r="BQ65" s="630">
        <f t="shared" si="118"/>
      </c>
      <c r="BR65" s="630">
        <f t="shared" si="118"/>
      </c>
      <c r="BS65" s="630">
        <f t="shared" si="118"/>
      </c>
      <c r="BT65" s="630">
        <f t="shared" si="118"/>
      </c>
      <c r="BU65" s="729">
        <f t="shared" si="118"/>
      </c>
      <c r="BV65" s="630">
        <f t="shared" si="118"/>
      </c>
      <c r="BW65" s="630">
        <f t="shared" si="118"/>
      </c>
      <c r="BX65" s="630">
        <f t="shared" si="118"/>
      </c>
      <c r="BY65" s="630">
        <f t="shared" si="118"/>
      </c>
      <c r="BZ65" s="729">
        <f t="shared" si="118"/>
      </c>
      <c r="CA65" s="630">
        <f t="shared" si="118"/>
      </c>
      <c r="CB65" s="630">
        <f t="shared" si="118"/>
      </c>
      <c r="CC65" s="630">
        <f t="shared" si="118"/>
      </c>
      <c r="CD65" s="630">
        <f t="shared" si="118"/>
      </c>
      <c r="CE65" s="729">
        <f t="shared" si="118"/>
      </c>
      <c r="CF65" s="727"/>
      <c r="CG65" s="727"/>
      <c r="CH65" s="728"/>
      <c r="CI65" s="727"/>
      <c r="CJ65" s="729">
        <f t="shared" ref="CJ65:DM65" si="119">(CJ24-CJ26)/CJ24</f>
      </c>
      <c r="CK65" s="630">
        <f t="shared" si="119"/>
      </c>
      <c r="CL65" s="630">
        <f t="shared" si="119"/>
      </c>
      <c r="CM65" s="630">
        <f t="shared" si="119"/>
      </c>
      <c r="CN65" s="630">
        <f t="shared" si="119"/>
      </c>
      <c r="CO65" s="729">
        <f t="shared" si="119"/>
      </c>
      <c r="CP65" s="630">
        <f t="shared" si="119"/>
      </c>
      <c r="CQ65" s="630">
        <f t="shared" si="119"/>
      </c>
      <c r="CR65" s="630">
        <f t="shared" si="119"/>
      </c>
      <c r="CS65" s="630">
        <f t="shared" si="119"/>
      </c>
      <c r="CT65" s="729">
        <f t="shared" si="119"/>
      </c>
      <c r="CU65" s="630">
        <f t="shared" si="119"/>
      </c>
      <c r="CV65" s="630">
        <f t="shared" si="119"/>
      </c>
      <c r="CW65" s="630">
        <f t="shared" si="119"/>
      </c>
      <c r="CX65" s="630">
        <f t="shared" si="119"/>
      </c>
      <c r="CY65" s="729">
        <f t="shared" si="119"/>
      </c>
      <c r="CZ65" s="630">
        <f t="shared" si="119"/>
      </c>
      <c r="DA65" s="630">
        <f t="shared" si="119"/>
      </c>
      <c r="DB65" s="630">
        <f t="shared" si="119"/>
      </c>
      <c r="DC65" s="630">
        <f t="shared" si="119"/>
      </c>
      <c r="DD65" s="729">
        <f t="shared" si="119"/>
      </c>
      <c r="DE65" s="17">
        <f t="shared" si="119"/>
      </c>
      <c r="DF65" s="17">
        <f t="shared" si="119"/>
      </c>
      <c r="DG65" s="17">
        <f t="shared" si="119"/>
      </c>
      <c r="DH65" s="17">
        <f t="shared" si="119"/>
      </c>
      <c r="DI65" s="301">
        <f t="shared" si="119"/>
      </c>
      <c r="DJ65" s="17">
        <f t="shared" si="119"/>
      </c>
      <c r="DK65" s="17">
        <f t="shared" si="119"/>
      </c>
      <c r="DL65" s="17">
        <f t="shared" si="119"/>
      </c>
      <c r="DM65" s="17">
        <f t="shared" si="119"/>
      </c>
      <c r="DN65" s="301">
        <v>0.68799999999999994</v>
      </c>
      <c r="DO65" s="53">
        <f>(DO24-DO26)/DO24</f>
      </c>
      <c r="DP65" s="53">
        <f>(DP24-DP26)/DP24</f>
      </c>
      <c r="DQ65" s="53">
        <f>(DQ24-DQ26)/DQ24</f>
      </c>
      <c r="DR65" s="53">
        <f>1-DR26/DR24</f>
      </c>
      <c r="DS65" s="931">
        <f>1-DS26/DS24</f>
      </c>
      <c r="DT65" s="53">
        <f>(DT24-DT26)/DT24</f>
      </c>
      <c r="DU65" s="53">
        <f>(DU24-DU26)/DU24</f>
      </c>
      <c r="DV65" s="53">
        <f>(DV24-DV26)/DV24</f>
      </c>
      <c r="DW65" s="53">
        <f>1-DW26/DW24</f>
      </c>
      <c r="DX65" s="216">
        <f>1-DX26/DX24</f>
      </c>
      <c r="DY65" s="53">
        <f>(DY24-DY26)/DY24</f>
      </c>
      <c r="DZ65" s="53">
        <f>(DZ24-DZ26)/DZ24</f>
      </c>
      <c r="EA65" s="53">
        <f>(EA24-EA26)/EA24</f>
      </c>
      <c r="EB65" s="53">
        <f>1-EB26/EB24</f>
      </c>
      <c r="EC65" s="1095">
        <f>1-EC26/EC24</f>
      </c>
      <c r="ED65" s="53">
        <f>(ED24-ED26)/ED24</f>
      </c>
      <c r="EE65" s="53">
        <f>(EE24-EE26)/EE24</f>
      </c>
      <c r="EF65" s="53">
        <f>(EF24-EF26)/EF24</f>
      </c>
      <c r="EG65" s="53">
        <f>1-EG26/EG24</f>
      </c>
      <c r="EH65" s="1095">
        <f>1-EH26/EH24</f>
      </c>
      <c r="EI65" s="53">
        <f>(EI24-EI26)/EI24</f>
      </c>
      <c r="EJ65" s="53">
        <f>(EJ24-EJ26)/EJ24</f>
      </c>
      <c r="EK65" s="53">
        <f>(EK24-EK26)/EK24</f>
      </c>
      <c r="EL65" s="930">
        <f>1-EL26/EL24</f>
      </c>
      <c r="EM65" s="1095">
        <f>1-EM26/EM24</f>
      </c>
      <c r="EN65" s="53">
        <f>(EN24-EN26)/EN24</f>
      </c>
      <c r="EO65" s="53">
        <f>(EO24-EO26)/EO24</f>
      </c>
      <c r="EP65" s="53">
        <f>(EP24-EP26)/EP24</f>
      </c>
      <c r="EQ65" s="930">
        <f>1-EQ26/EQ24</f>
      </c>
      <c r="ER65" s="1095">
        <f>1-ER26/ER24</f>
      </c>
      <c r="ES65" s="53">
        <f>(ES24-ES26)/ES24</f>
      </c>
      <c r="ET65" s="53">
        <f>(ET24-ET26)/ET24</f>
      </c>
      <c r="EU65" s="53">
        <f>(EU24-EU26)/EU24</f>
      </c>
      <c r="EV65" s="930">
        <f>1-EV26/EV24</f>
      </c>
      <c r="EW65" s="1701">
        <f>1-EW26/EW24</f>
      </c>
      <c r="EX65" s="1702">
        <f>(EX24-EX26)/EX24</f>
      </c>
      <c r="EY65" s="1702">
        <f>(EY24-EY26)/EY24</f>
      </c>
      <c r="EZ65" s="1702">
        <f>(EZ24-EZ26)/EZ24</f>
      </c>
      <c r="FA65" s="1703">
        <f>1-FA26/FA24</f>
      </c>
      <c r="FB65" s="1701">
        <f>1-FB26/FB24</f>
      </c>
      <c r="FC65" s="1702">
        <f>(FC24-FC26)/FC24</f>
      </c>
      <c r="FD65" s="1702">
        <f>(FD24-FD26)/FD24</f>
      </c>
      <c r="FE65" s="1702">
        <f>(FE24-FE26)/FE24</f>
      </c>
      <c r="FF65" s="1703">
        <f>1-FF26/FF24</f>
      </c>
      <c r="FG65" s="1701">
        <f>1-FG26/FG24</f>
      </c>
      <c r="FH65" s="1702">
        <f>(FH24-FH26)/FH24</f>
      </c>
      <c r="FI65" s="1702">
        <f>(FI24-FI26)/FI24</f>
      </c>
      <c r="FJ65" s="2184">
        <f>(FJ24-FJ26)/FJ24</f>
      </c>
      <c r="FK65" s="1703">
        <f>1-FK26/FK24</f>
      </c>
      <c r="FL65" s="1701">
        <f>1-FL26/FL24</f>
      </c>
      <c r="FM65" s="1703">
        <f>(FM24-FM26)/FM24</f>
      </c>
      <c r="FN65" s="1703">
        <f>(FN24-FN26)/FN24</f>
      </c>
      <c r="FO65" s="2843">
        <f>(FO24-FO26)/FO24</f>
      </c>
      <c r="FP65" s="1702">
        <f>(FP24-FP26)/FP24</f>
      </c>
      <c r="FQ65" s="2184">
        <f>(FQ24-FQ26)/FQ24</f>
      </c>
      <c r="FR65" s="1703">
        <f>1-FR26/FR24</f>
      </c>
      <c r="FS65" s="1701">
        <f>1-FS26/FS24</f>
      </c>
      <c r="FT65" s="1703">
        <f>(FT24-FT26)/FT24</f>
      </c>
      <c r="FU65" s="2844">
        <f>(FU24-FU26)/FU24</f>
      </c>
      <c r="FV65" s="3182">
        <f>(FV24-FV26)/FV24</f>
      </c>
      <c r="FW65" s="1703">
        <f t="shared" ref="FW65:GB65" si="120">1-FW26/FW24</f>
      </c>
      <c r="FX65" s="1701">
        <f t="shared" si="120"/>
      </c>
      <c r="FY65" s="1703">
        <f t="shared" si="120"/>
      </c>
      <c r="FZ65" s="1703">
        <f t="shared" si="120"/>
      </c>
      <c r="GA65" s="1703">
        <f t="shared" si="120"/>
      </c>
      <c r="GB65" s="1703">
        <f t="shared" si="120"/>
      </c>
      <c r="GC65" s="2635">
        <f t="shared" ref="GC65" si="121">1-GC26/GC24</f>
      </c>
      <c r="GD65" s="1703">
        <f>1-GD26/GD24</f>
      </c>
      <c r="GE65" s="1703">
        <f t="shared" ref="GE65:GF65" si="122">1-GE26/GE24</f>
      </c>
      <c r="GF65" s="1703">
        <f t="shared" si="122"/>
      </c>
      <c r="GG65" s="2632">
        <v>0.73499999999999999</v>
      </c>
      <c r="GH65" s="3773">
        <f t="shared" ref="GH65" si="123">1-GH26/GH24</f>
      </c>
      <c r="GI65" s="3768">
        <v>0.73099999999999998</v>
      </c>
      <c r="GJ65" s="3768">
        <v>0.73399999999999999</v>
      </c>
      <c r="GK65" s="3768">
        <v>0.73699999999999999</v>
      </c>
      <c r="GL65" s="3768">
        <v>0.73699999999999999</v>
      </c>
      <c r="GM65" s="3768">
        <v>0.73699999999999999</v>
      </c>
      <c r="GN65" s="946"/>
    </row>
    <row r="66" spans="2:196" s="8" customFormat="1" ht="12.75" customHeight="1">
      <c r="B66" s="2251" t="s">
        <v>32</v>
      </c>
      <c r="E66" s="630">
        <f>E27/E24</f>
      </c>
      <c r="F66" s="630">
        <f>F27/F24</f>
      </c>
      <c r="G66" s="630">
        <f>G27/G24</f>
      </c>
      <c r="H66" s="630"/>
      <c r="I66" s="630"/>
      <c r="J66" s="630"/>
      <c r="K66" s="630"/>
      <c r="L66" s="630"/>
      <c r="M66" s="630"/>
      <c r="N66" s="630"/>
      <c r="O66" s="630"/>
      <c r="P66" s="630"/>
      <c r="Q66" s="630"/>
      <c r="R66" s="630"/>
      <c r="S66" s="630"/>
      <c r="T66" s="630"/>
      <c r="U66" s="630"/>
      <c r="V66" s="630"/>
      <c r="W66" s="630"/>
      <c r="X66" s="630"/>
      <c r="Y66" s="630"/>
      <c r="Z66" s="630"/>
      <c r="AA66" s="630"/>
      <c r="AB66" s="630"/>
      <c r="AC66" s="630">
        <f t="shared" ref="AC66:BH66" si="124">AC27/AC24</f>
      </c>
      <c r="AD66" s="630">
        <f t="shared" si="124"/>
      </c>
      <c r="AE66" s="630">
        <f t="shared" si="124"/>
      </c>
      <c r="AF66" s="630">
        <f t="shared" si="124"/>
      </c>
      <c r="AG66" s="630">
        <f t="shared" si="124"/>
      </c>
      <c r="AH66" s="630">
        <f t="shared" si="124"/>
      </c>
      <c r="AI66" s="630">
        <f t="shared" si="124"/>
      </c>
      <c r="AJ66" s="630">
        <f t="shared" si="124"/>
      </c>
      <c r="AK66" s="630">
        <f t="shared" si="124"/>
      </c>
      <c r="AL66" s="630">
        <f t="shared" si="124"/>
      </c>
      <c r="AM66" s="630">
        <f t="shared" si="124"/>
      </c>
      <c r="AN66" s="630">
        <f t="shared" si="124"/>
      </c>
      <c r="AO66" s="630">
        <f t="shared" si="124"/>
      </c>
      <c r="AP66" s="630">
        <f t="shared" si="124"/>
      </c>
      <c r="AQ66" s="630">
        <f t="shared" si="124"/>
      </c>
      <c r="AR66" s="630">
        <f t="shared" si="124"/>
      </c>
      <c r="AS66" s="630">
        <f t="shared" si="124"/>
      </c>
      <c r="AT66" s="630">
        <f t="shared" si="124"/>
      </c>
      <c r="AU66" s="630">
        <f t="shared" si="124"/>
      </c>
      <c r="AV66" s="630">
        <f t="shared" si="124"/>
      </c>
      <c r="AW66" s="630">
        <f t="shared" si="124"/>
      </c>
      <c r="AX66" s="630">
        <f t="shared" si="124"/>
      </c>
      <c r="AY66" s="630">
        <f t="shared" si="124"/>
      </c>
      <c r="AZ66" s="630">
        <f t="shared" si="124"/>
      </c>
      <c r="BA66" s="729">
        <f t="shared" si="124"/>
      </c>
      <c r="BB66" s="630">
        <f t="shared" si="124"/>
      </c>
      <c r="BC66" s="630">
        <f t="shared" si="124"/>
      </c>
      <c r="BD66" s="630">
        <f t="shared" si="124"/>
      </c>
      <c r="BE66" s="630">
        <f t="shared" si="124"/>
      </c>
      <c r="BF66" s="729">
        <f t="shared" si="124"/>
      </c>
      <c r="BG66" s="630">
        <f t="shared" si="124"/>
      </c>
      <c r="BH66" s="630">
        <f t="shared" si="124"/>
      </c>
      <c r="BI66" s="630">
        <f t="shared" ref="BI66:CN66" si="125">BI27/BI24</f>
      </c>
      <c r="BJ66" s="630">
        <f t="shared" si="125"/>
      </c>
      <c r="BK66" s="729">
        <f t="shared" si="125"/>
      </c>
      <c r="BL66" s="630">
        <f t="shared" si="125"/>
      </c>
      <c r="BM66" s="630">
        <f t="shared" si="125"/>
      </c>
      <c r="BN66" s="630">
        <f t="shared" si="125"/>
      </c>
      <c r="BO66" s="630">
        <f t="shared" si="125"/>
      </c>
      <c r="BP66" s="729">
        <f t="shared" si="125"/>
      </c>
      <c r="BQ66" s="630">
        <f t="shared" si="125"/>
      </c>
      <c r="BR66" s="630">
        <f t="shared" si="125"/>
      </c>
      <c r="BS66" s="630">
        <f t="shared" si="125"/>
      </c>
      <c r="BT66" s="630">
        <f t="shared" si="125"/>
      </c>
      <c r="BU66" s="729">
        <f t="shared" si="125"/>
      </c>
      <c r="BV66" s="630">
        <f t="shared" si="125"/>
      </c>
      <c r="BW66" s="630">
        <f t="shared" si="125"/>
      </c>
      <c r="BX66" s="630">
        <f t="shared" si="125"/>
      </c>
      <c r="BY66" s="630">
        <f t="shared" si="125"/>
      </c>
      <c r="BZ66" s="729">
        <f t="shared" si="125"/>
      </c>
      <c r="CA66" s="630">
        <f t="shared" si="125"/>
      </c>
      <c r="CB66" s="630">
        <f t="shared" si="125"/>
      </c>
      <c r="CC66" s="630">
        <f t="shared" si="125"/>
      </c>
      <c r="CD66" s="630">
        <f t="shared" si="125"/>
      </c>
      <c r="CE66" s="729">
        <f t="shared" si="125"/>
      </c>
      <c r="CF66" s="630">
        <f t="shared" si="125"/>
      </c>
      <c r="CG66" s="630">
        <f t="shared" si="125"/>
      </c>
      <c r="CH66" s="630">
        <f t="shared" si="125"/>
      </c>
      <c r="CI66" s="630">
        <f t="shared" si="125"/>
      </c>
      <c r="CJ66" s="729">
        <f t="shared" si="125"/>
      </c>
      <c r="CK66" s="630">
        <f t="shared" si="125"/>
      </c>
      <c r="CL66" s="630">
        <f t="shared" si="125"/>
      </c>
      <c r="CM66" s="630">
        <f t="shared" si="125"/>
      </c>
      <c r="CN66" s="630">
        <f t="shared" si="125"/>
      </c>
      <c r="CO66" s="729">
        <f t="shared" ref="CO66:DM66" si="126">CO27/CO24</f>
      </c>
      <c r="CP66" s="630">
        <f t="shared" si="126"/>
      </c>
      <c r="CQ66" s="630">
        <f t="shared" si="126"/>
      </c>
      <c r="CR66" s="630">
        <f t="shared" si="126"/>
      </c>
      <c r="CS66" s="630">
        <f t="shared" si="126"/>
      </c>
      <c r="CT66" s="729">
        <f t="shared" si="126"/>
      </c>
      <c r="CU66" s="630">
        <f t="shared" si="126"/>
      </c>
      <c r="CV66" s="630">
        <f t="shared" si="126"/>
      </c>
      <c r="CW66" s="630">
        <f t="shared" si="126"/>
      </c>
      <c r="CX66" s="630">
        <f t="shared" si="126"/>
      </c>
      <c r="CY66" s="729">
        <f t="shared" si="126"/>
      </c>
      <c r="CZ66" s="630">
        <f t="shared" si="126"/>
      </c>
      <c r="DA66" s="630">
        <f t="shared" si="126"/>
      </c>
      <c r="DB66" s="630">
        <f t="shared" si="126"/>
      </c>
      <c r="DC66" s="630">
        <f t="shared" si="126"/>
      </c>
      <c r="DD66" s="729">
        <f t="shared" si="126"/>
      </c>
      <c r="DE66" s="17">
        <f t="shared" si="126"/>
      </c>
      <c r="DF66" s="17">
        <f t="shared" si="126"/>
      </c>
      <c r="DG66" s="17">
        <f t="shared" si="126"/>
      </c>
      <c r="DH66" s="17">
        <f t="shared" si="126"/>
      </c>
      <c r="DI66" s="301">
        <f t="shared" si="126"/>
      </c>
      <c r="DJ66" s="17">
        <f t="shared" si="126"/>
      </c>
      <c r="DK66" s="17">
        <f t="shared" si="126"/>
      </c>
      <c r="DL66" s="17">
        <f t="shared" si="126"/>
      </c>
      <c r="DM66" s="17">
        <f t="shared" si="126"/>
      </c>
      <c r="DN66" s="301">
        <v>0.314</v>
      </c>
      <c r="DO66" s="53">
        <f t="shared" ref="DO66:ET66" si="127">DO27/DO24</f>
      </c>
      <c r="DP66" s="53">
        <f t="shared" si="127"/>
      </c>
      <c r="DQ66" s="53">
        <f t="shared" si="127"/>
      </c>
      <c r="DR66" s="53">
        <f t="shared" si="127"/>
      </c>
      <c r="DS66" s="216">
        <f t="shared" si="127"/>
      </c>
      <c r="DT66" s="53">
        <f t="shared" si="127"/>
      </c>
      <c r="DU66" s="53">
        <f t="shared" si="127"/>
      </c>
      <c r="DV66" s="53">
        <f t="shared" si="127"/>
      </c>
      <c r="DW66" s="53">
        <f t="shared" si="127"/>
      </c>
      <c r="DX66" s="216">
        <f t="shared" si="127"/>
      </c>
      <c r="DY66" s="53">
        <f t="shared" si="127"/>
      </c>
      <c r="DZ66" s="53">
        <f t="shared" si="127"/>
      </c>
      <c r="EA66" s="53">
        <f t="shared" si="127"/>
      </c>
      <c r="EB66" s="53">
        <f t="shared" si="127"/>
      </c>
      <c r="EC66" s="1095">
        <f t="shared" si="127"/>
      </c>
      <c r="ED66" s="53">
        <f t="shared" si="127"/>
      </c>
      <c r="EE66" s="53">
        <f t="shared" si="127"/>
      </c>
      <c r="EF66" s="53">
        <f t="shared" si="127"/>
      </c>
      <c r="EG66" s="53">
        <f t="shared" si="127"/>
      </c>
      <c r="EH66" s="1095">
        <f t="shared" si="127"/>
      </c>
      <c r="EI66" s="53">
        <f t="shared" si="127"/>
      </c>
      <c r="EJ66" s="53">
        <f t="shared" si="127"/>
      </c>
      <c r="EK66" s="53">
        <f t="shared" si="127"/>
      </c>
      <c r="EL66" s="930">
        <f t="shared" si="127"/>
      </c>
      <c r="EM66" s="1095">
        <f t="shared" si="127"/>
      </c>
      <c r="EN66" s="53">
        <f t="shared" si="127"/>
      </c>
      <c r="EO66" s="53">
        <f t="shared" si="127"/>
      </c>
      <c r="EP66" s="53">
        <f t="shared" si="127"/>
      </c>
      <c r="EQ66" s="930">
        <f t="shared" si="127"/>
      </c>
      <c r="ER66" s="1095">
        <f t="shared" si="127"/>
      </c>
      <c r="ES66" s="53">
        <f t="shared" si="127"/>
      </c>
      <c r="ET66" s="53">
        <f t="shared" si="127"/>
      </c>
      <c r="EU66" s="53">
        <f t="shared" ref="EU66:FW66" si="128">EU27/EU24</f>
      </c>
      <c r="EV66" s="930">
        <f t="shared" si="128"/>
      </c>
      <c r="EW66" s="1701">
        <f t="shared" si="128"/>
      </c>
      <c r="EX66" s="1702">
        <f t="shared" si="128"/>
      </c>
      <c r="EY66" s="1702">
        <f t="shared" si="128"/>
      </c>
      <c r="EZ66" s="1702">
        <f t="shared" si="128"/>
      </c>
      <c r="FA66" s="1703">
        <f t="shared" si="128"/>
      </c>
      <c r="FB66" s="1701">
        <f t="shared" si="128"/>
      </c>
      <c r="FC66" s="1702">
        <f t="shared" si="128"/>
      </c>
      <c r="FD66" s="1702">
        <f t="shared" si="128"/>
      </c>
      <c r="FE66" s="1702">
        <f t="shared" si="128"/>
      </c>
      <c r="FF66" s="1703">
        <f t="shared" si="128"/>
      </c>
      <c r="FG66" s="1701">
        <f t="shared" si="128"/>
      </c>
      <c r="FH66" s="1702">
        <f t="shared" si="128"/>
      </c>
      <c r="FI66" s="1702">
        <f t="shared" si="128"/>
      </c>
      <c r="FJ66" s="2184">
        <f t="shared" si="128"/>
      </c>
      <c r="FK66" s="1703">
        <f t="shared" si="128"/>
      </c>
      <c r="FL66" s="1701">
        <f t="shared" si="128"/>
      </c>
      <c r="FM66" s="1703">
        <f t="shared" si="128"/>
      </c>
      <c r="FN66" s="1703">
        <f t="shared" si="128"/>
      </c>
      <c r="FO66" s="2843">
        <f t="shared" si="128"/>
      </c>
      <c r="FP66" s="1702">
        <f t="shared" si="128"/>
      </c>
      <c r="FQ66" s="2184">
        <f t="shared" si="128"/>
      </c>
      <c r="FR66" s="1703">
        <f t="shared" si="128"/>
      </c>
      <c r="FS66" s="1701">
        <f t="shared" si="128"/>
      </c>
      <c r="FT66" s="1703">
        <f t="shared" si="128"/>
      </c>
      <c r="FU66" s="2844">
        <f t="shared" si="128"/>
      </c>
      <c r="FV66" s="2465">
        <f t="shared" si="128"/>
      </c>
      <c r="FW66" s="1703">
        <f t="shared" si="128"/>
      </c>
      <c r="FX66" s="1701">
        <f>FX27/FX24</f>
      </c>
      <c r="FY66" s="1703">
        <f t="shared" ref="FY66:FZ66" si="129">FY27/FY24</f>
      </c>
      <c r="FZ66" s="1703">
        <f t="shared" si="129"/>
      </c>
      <c r="GA66" s="1703">
        <f t="shared" ref="GA66" si="130">GA27/GA24</f>
      </c>
      <c r="GB66" s="1703">
        <f>GB27/GB24</f>
      </c>
      <c r="GC66" s="2635">
        <f>GC27/GC24</f>
      </c>
      <c r="GD66" s="1703">
        <f t="shared" ref="GD66:GF66" si="131">GD27/GD24</f>
      </c>
      <c r="GE66" s="1703">
        <f t="shared" si="131"/>
      </c>
      <c r="GF66" s="1703">
        <f t="shared" si="131"/>
      </c>
      <c r="GG66" s="1703">
        <f>GG27/GG24</f>
      </c>
      <c r="GH66" s="3771">
        <v>0.248</v>
      </c>
      <c r="GI66" s="3771">
        <v>0.24199999999999999</v>
      </c>
      <c r="GJ66" s="3771">
        <v>0.23200000000000001</v>
      </c>
      <c r="GK66" s="3771">
        <v>0.23200000000000001</v>
      </c>
      <c r="GL66" s="3771">
        <v>0.23200000000000001</v>
      </c>
      <c r="GM66" s="3771">
        <v>0.23200000000000001</v>
      </c>
    </row>
    <row r="67" spans="2:196" s="8" customFormat="1" ht="12.75" customHeight="1">
      <c r="B67" s="2251" t="s">
        <v>948</v>
      </c>
      <c r="E67" s="17">
        <f>E28/E24</f>
      </c>
      <c r="F67" s="17">
        <f>F28/F24</f>
      </c>
      <c r="G67" s="17">
        <f>G28/G24</f>
      </c>
      <c r="H67" s="17"/>
      <c r="I67" s="17"/>
      <c r="J67" s="17"/>
      <c r="K67" s="17"/>
      <c r="L67" s="17"/>
      <c r="M67" s="17"/>
      <c r="N67" s="17"/>
      <c r="O67" s="17"/>
      <c r="P67" s="17"/>
      <c r="Q67" s="17"/>
      <c r="R67" s="17"/>
      <c r="S67" s="17"/>
      <c r="T67" s="17"/>
      <c r="U67" s="17"/>
      <c r="V67" s="17"/>
      <c r="W67" s="17"/>
      <c r="X67" s="17"/>
      <c r="Y67" s="17"/>
      <c r="Z67" s="17"/>
      <c r="AA67" s="17"/>
      <c r="AB67" s="17"/>
      <c r="AC67" s="17">
        <f t="shared" ref="AC67:BH67" si="132">AC28/AC24</f>
      </c>
      <c r="AD67" s="17">
        <f t="shared" si="132"/>
      </c>
      <c r="AE67" s="17">
        <f t="shared" si="132"/>
      </c>
      <c r="AF67" s="17">
        <f t="shared" si="132"/>
      </c>
      <c r="AG67" s="17">
        <f t="shared" si="132"/>
      </c>
      <c r="AH67" s="17">
        <f t="shared" si="132"/>
      </c>
      <c r="AI67" s="17">
        <f t="shared" si="132"/>
      </c>
      <c r="AJ67" s="17">
        <f t="shared" si="132"/>
      </c>
      <c r="AK67" s="17">
        <f t="shared" si="132"/>
      </c>
      <c r="AL67" s="17">
        <f t="shared" si="132"/>
      </c>
      <c r="AM67" s="17">
        <f t="shared" si="132"/>
      </c>
      <c r="AN67" s="17">
        <f t="shared" si="132"/>
      </c>
      <c r="AO67" s="17">
        <f t="shared" si="132"/>
      </c>
      <c r="AP67" s="17">
        <f t="shared" si="132"/>
      </c>
      <c r="AQ67" s="17">
        <f t="shared" si="132"/>
      </c>
      <c r="AR67" s="17">
        <f t="shared" si="132"/>
      </c>
      <c r="AS67" s="17">
        <f t="shared" si="132"/>
      </c>
      <c r="AT67" s="17">
        <f t="shared" si="132"/>
      </c>
      <c r="AU67" s="17">
        <f t="shared" si="132"/>
      </c>
      <c r="AV67" s="17">
        <f t="shared" si="132"/>
      </c>
      <c r="AW67" s="17">
        <f t="shared" si="132"/>
      </c>
      <c r="AX67" s="17">
        <f t="shared" si="132"/>
      </c>
      <c r="AY67" s="17">
        <f t="shared" si="132"/>
      </c>
      <c r="AZ67" s="17">
        <f t="shared" si="132"/>
      </c>
      <c r="BA67" s="301">
        <f t="shared" si="132"/>
      </c>
      <c r="BB67" s="17">
        <f t="shared" si="132"/>
      </c>
      <c r="BC67" s="17">
        <f t="shared" si="132"/>
      </c>
      <c r="BD67" s="17">
        <f t="shared" si="132"/>
      </c>
      <c r="BE67" s="17">
        <f t="shared" si="132"/>
      </c>
      <c r="BF67" s="301">
        <f t="shared" si="132"/>
      </c>
      <c r="BG67" s="17">
        <f t="shared" si="132"/>
      </c>
      <c r="BH67" s="17">
        <f t="shared" si="132"/>
      </c>
      <c r="BI67" s="17">
        <f t="shared" ref="BI67:CN67" si="133">BI28/BI24</f>
      </c>
      <c r="BJ67" s="17">
        <f t="shared" si="133"/>
      </c>
      <c r="BK67" s="301">
        <f t="shared" si="133"/>
      </c>
      <c r="BL67" s="17">
        <f t="shared" si="133"/>
      </c>
      <c r="BM67" s="17">
        <f t="shared" si="133"/>
      </c>
      <c r="BN67" s="17">
        <f t="shared" si="133"/>
      </c>
      <c r="BO67" s="17">
        <f t="shared" si="133"/>
      </c>
      <c r="BP67" s="301">
        <f t="shared" si="133"/>
      </c>
      <c r="BQ67" s="17">
        <f t="shared" si="133"/>
      </c>
      <c r="BR67" s="17">
        <f t="shared" si="133"/>
      </c>
      <c r="BS67" s="17">
        <f t="shared" si="133"/>
      </c>
      <c r="BT67" s="17">
        <f t="shared" si="133"/>
      </c>
      <c r="BU67" s="301">
        <f t="shared" si="133"/>
      </c>
      <c r="BV67" s="17">
        <f t="shared" si="133"/>
      </c>
      <c r="BW67" s="17">
        <f t="shared" si="133"/>
      </c>
      <c r="BX67" s="17">
        <f t="shared" si="133"/>
      </c>
      <c r="BY67" s="17">
        <f t="shared" si="133"/>
      </c>
      <c r="BZ67" s="301">
        <f t="shared" si="133"/>
      </c>
      <c r="CA67" s="17">
        <f t="shared" si="133"/>
      </c>
      <c r="CB67" s="17">
        <f t="shared" si="133"/>
      </c>
      <c r="CC67" s="17">
        <f t="shared" si="133"/>
      </c>
      <c r="CD67" s="17">
        <f t="shared" si="133"/>
      </c>
      <c r="CE67" s="301">
        <f t="shared" si="133"/>
      </c>
      <c r="CF67" s="17">
        <f t="shared" si="133"/>
      </c>
      <c r="CG67" s="17">
        <f t="shared" si="133"/>
      </c>
      <c r="CH67" s="17">
        <f t="shared" si="133"/>
      </c>
      <c r="CI67" s="17">
        <f t="shared" si="133"/>
      </c>
      <c r="CJ67" s="301">
        <f t="shared" si="133"/>
      </c>
      <c r="CK67" s="17">
        <f t="shared" si="133"/>
      </c>
      <c r="CL67" s="17">
        <f t="shared" si="133"/>
      </c>
      <c r="CM67" s="17">
        <f t="shared" si="133"/>
      </c>
      <c r="CN67" s="17">
        <f t="shared" si="133"/>
      </c>
      <c r="CO67" s="301">
        <f t="shared" ref="CO67:DM67" si="134">CO28/CO24</f>
      </c>
      <c r="CP67" s="17">
        <f t="shared" si="134"/>
      </c>
      <c r="CQ67" s="17">
        <f t="shared" si="134"/>
      </c>
      <c r="CR67" s="17">
        <f t="shared" si="134"/>
      </c>
      <c r="CS67" s="17">
        <f t="shared" si="134"/>
      </c>
      <c r="CT67" s="301">
        <f t="shared" si="134"/>
      </c>
      <c r="CU67" s="17">
        <f t="shared" si="134"/>
      </c>
      <c r="CV67" s="17">
        <f t="shared" si="134"/>
      </c>
      <c r="CW67" s="17">
        <f t="shared" si="134"/>
      </c>
      <c r="CX67" s="17">
        <f t="shared" si="134"/>
      </c>
      <c r="CY67" s="301">
        <f t="shared" si="134"/>
      </c>
      <c r="CZ67" s="17">
        <f t="shared" si="134"/>
      </c>
      <c r="DA67" s="17">
        <f t="shared" si="134"/>
      </c>
      <c r="DB67" s="17">
        <f t="shared" si="134"/>
      </c>
      <c r="DC67" s="17">
        <f t="shared" si="134"/>
      </c>
      <c r="DD67" s="301">
        <f t="shared" si="134"/>
      </c>
      <c r="DE67" s="17">
        <f t="shared" si="134"/>
      </c>
      <c r="DF67" s="17">
        <f t="shared" si="134"/>
      </c>
      <c r="DG67" s="17">
        <f t="shared" si="134"/>
      </c>
      <c r="DH67" s="17">
        <f t="shared" si="134"/>
      </c>
      <c r="DI67" s="301">
        <f t="shared" si="134"/>
      </c>
      <c r="DJ67" s="17">
        <f t="shared" si="134"/>
      </c>
      <c r="DK67" s="17">
        <f t="shared" si="134"/>
      </c>
      <c r="DL67" s="17">
        <f t="shared" si="134"/>
      </c>
      <c r="DM67" s="17">
        <f t="shared" si="134"/>
      </c>
      <c r="DN67" s="301">
        <v>0.1125</v>
      </c>
      <c r="DO67" s="53">
        <f t="shared" ref="DO67:ET67" si="135">DO28/DO24</f>
      </c>
      <c r="DP67" s="53">
        <f t="shared" si="135"/>
      </c>
      <c r="DQ67" s="53">
        <f t="shared" si="135"/>
      </c>
      <c r="DR67" s="53">
        <f t="shared" si="135"/>
      </c>
      <c r="DS67" s="216">
        <f t="shared" si="135"/>
      </c>
      <c r="DT67" s="53">
        <f t="shared" si="135"/>
      </c>
      <c r="DU67" s="53">
        <f t="shared" si="135"/>
      </c>
      <c r="DV67" s="53">
        <f t="shared" si="135"/>
      </c>
      <c r="DW67" s="53">
        <f t="shared" si="135"/>
      </c>
      <c r="DX67" s="216">
        <f t="shared" si="135"/>
      </c>
      <c r="DY67" s="53">
        <f t="shared" si="135"/>
      </c>
      <c r="DZ67" s="53">
        <f t="shared" si="135"/>
      </c>
      <c r="EA67" s="53">
        <f t="shared" si="135"/>
      </c>
      <c r="EB67" s="53">
        <f t="shared" si="135"/>
      </c>
      <c r="EC67" s="1095">
        <f t="shared" si="135"/>
      </c>
      <c r="ED67" s="53">
        <f t="shared" si="135"/>
      </c>
      <c r="EE67" s="53">
        <f t="shared" si="135"/>
      </c>
      <c r="EF67" s="53">
        <f t="shared" si="135"/>
      </c>
      <c r="EG67" s="53">
        <f t="shared" si="135"/>
      </c>
      <c r="EH67" s="1095">
        <f t="shared" si="135"/>
      </c>
      <c r="EI67" s="53">
        <f t="shared" si="135"/>
      </c>
      <c r="EJ67" s="53">
        <f t="shared" si="135"/>
      </c>
      <c r="EK67" s="53">
        <f t="shared" si="135"/>
      </c>
      <c r="EL67" s="930">
        <f t="shared" si="135"/>
      </c>
      <c r="EM67" s="1095">
        <f t="shared" si="135"/>
      </c>
      <c r="EN67" s="53">
        <f t="shared" si="135"/>
      </c>
      <c r="EO67" s="53">
        <f t="shared" si="135"/>
      </c>
      <c r="EP67" s="53">
        <f t="shared" si="135"/>
      </c>
      <c r="EQ67" s="930">
        <f t="shared" si="135"/>
      </c>
      <c r="ER67" s="1095">
        <f t="shared" si="135"/>
      </c>
      <c r="ES67" s="53">
        <f t="shared" si="135"/>
      </c>
      <c r="ET67" s="53">
        <f t="shared" si="135"/>
      </c>
      <c r="EU67" s="53">
        <f t="shared" ref="EU67:FW67" si="136">EU28/EU24</f>
      </c>
      <c r="EV67" s="930">
        <f t="shared" si="136"/>
      </c>
      <c r="EW67" s="1701">
        <f t="shared" si="136"/>
      </c>
      <c r="EX67" s="1702">
        <f t="shared" si="136"/>
      </c>
      <c r="EY67" s="1702">
        <f t="shared" si="136"/>
      </c>
      <c r="EZ67" s="1702">
        <f t="shared" si="136"/>
      </c>
      <c r="FA67" s="1703">
        <f t="shared" si="136"/>
      </c>
      <c r="FB67" s="1701">
        <f t="shared" si="136"/>
      </c>
      <c r="FC67" s="1702">
        <f t="shared" si="136"/>
      </c>
      <c r="FD67" s="1702">
        <f t="shared" si="136"/>
      </c>
      <c r="FE67" s="1702">
        <f t="shared" si="136"/>
      </c>
      <c r="FF67" s="1703">
        <f t="shared" si="136"/>
      </c>
      <c r="FG67" s="1976">
        <f t="shared" si="136"/>
      </c>
      <c r="FH67" s="1702">
        <f t="shared" si="136"/>
      </c>
      <c r="FI67" s="1702">
        <f t="shared" si="136"/>
      </c>
      <c r="FJ67" s="2184">
        <f t="shared" si="136"/>
      </c>
      <c r="FK67" s="1703">
        <f t="shared" si="136"/>
      </c>
      <c r="FL67" s="1976">
        <f t="shared" si="136"/>
      </c>
      <c r="FM67" s="1703">
        <f t="shared" si="136"/>
      </c>
      <c r="FN67" s="1703">
        <f t="shared" si="136"/>
      </c>
      <c r="FO67" s="2843">
        <f t="shared" si="136"/>
      </c>
      <c r="FP67" s="1702">
        <f t="shared" si="136"/>
      </c>
      <c r="FQ67" s="2184">
        <f t="shared" si="136"/>
      </c>
      <c r="FR67" s="1703">
        <f t="shared" si="136"/>
      </c>
      <c r="FS67" s="1976">
        <f t="shared" si="136"/>
      </c>
      <c r="FT67" s="1703">
        <f t="shared" si="136"/>
      </c>
      <c r="FU67" s="2844">
        <f t="shared" si="136"/>
      </c>
      <c r="FV67" s="2465">
        <f t="shared" si="136"/>
      </c>
      <c r="FW67" s="1703">
        <f t="shared" si="136"/>
      </c>
      <c r="FX67" s="1976">
        <f>FX28/FX24</f>
      </c>
      <c r="FY67" s="1703">
        <f t="shared" ref="FY67:FZ67" si="137">FY28/FY24</f>
      </c>
      <c r="FZ67" s="1703">
        <f t="shared" si="137"/>
      </c>
      <c r="GA67" s="1703">
        <f t="shared" ref="GA67" si="138">GA28/GA24</f>
      </c>
      <c r="GB67" s="1703">
        <f>GB28/GB24</f>
      </c>
      <c r="GC67" s="2635">
        <f>GC28/GC24</f>
      </c>
      <c r="GD67" s="1703">
        <f t="shared" ref="GD67:GF67" si="139">GD28/GD24</f>
      </c>
      <c r="GE67" s="1703">
        <f t="shared" si="139"/>
      </c>
      <c r="GF67" s="1703">
        <f t="shared" si="139"/>
      </c>
      <c r="GG67" s="1703">
        <f>GG28/GG24</f>
      </c>
      <c r="GH67" s="3771">
        <v>0.155</v>
      </c>
      <c r="GI67" s="3771">
        <v>0.157</v>
      </c>
      <c r="GJ67" s="3771">
        <v>0.154</v>
      </c>
      <c r="GK67" s="3771">
        <v>0.153</v>
      </c>
      <c r="GL67" s="3771">
        <v>0.153</v>
      </c>
      <c r="GM67" s="3771">
        <v>0.153</v>
      </c>
      <c r="GN67" s="3181"/>
    </row>
    <row r="68" spans="2:196" s="8" customFormat="1" ht="12.75" customHeight="1">
      <c r="B68" s="180" t="s">
        <v>409</v>
      </c>
      <c r="E68" s="17">
        <f>E29/E24</f>
      </c>
      <c r="F68" s="17">
        <f>F29/F24</f>
      </c>
      <c r="G68" s="17">
        <f>G29/G24</f>
      </c>
      <c r="H68" s="17"/>
      <c r="I68" s="17"/>
      <c r="J68" s="17"/>
      <c r="K68" s="17"/>
      <c r="L68" s="17"/>
      <c r="M68" s="17"/>
      <c r="N68" s="17"/>
      <c r="O68" s="17"/>
      <c r="P68" s="17"/>
      <c r="Q68" s="17"/>
      <c r="R68" s="17"/>
      <c r="S68" s="17"/>
      <c r="T68" s="17"/>
      <c r="U68" s="17"/>
      <c r="V68" s="17"/>
      <c r="W68" s="17"/>
      <c r="X68" s="17"/>
      <c r="Y68" s="17"/>
      <c r="Z68" s="17"/>
      <c r="AA68" s="17"/>
      <c r="AB68" s="17"/>
      <c r="AC68" s="17">
        <f t="shared" ref="AC68:BH68" si="140">AC29/AC24</f>
      </c>
      <c r="AD68" s="17">
        <f t="shared" si="140"/>
      </c>
      <c r="AE68" s="17">
        <f t="shared" si="140"/>
      </c>
      <c r="AF68" s="17">
        <f t="shared" si="140"/>
      </c>
      <c r="AG68" s="17">
        <f t="shared" si="140"/>
      </c>
      <c r="AH68" s="17">
        <f t="shared" si="140"/>
      </c>
      <c r="AI68" s="17">
        <f t="shared" si="140"/>
      </c>
      <c r="AJ68" s="17">
        <f t="shared" si="140"/>
      </c>
      <c r="AK68" s="17">
        <f t="shared" si="140"/>
      </c>
      <c r="AL68" s="17">
        <f t="shared" si="140"/>
      </c>
      <c r="AM68" s="17">
        <f t="shared" si="140"/>
      </c>
      <c r="AN68" s="17">
        <f t="shared" si="140"/>
      </c>
      <c r="AO68" s="17">
        <f t="shared" si="140"/>
      </c>
      <c r="AP68" s="17">
        <f t="shared" si="140"/>
      </c>
      <c r="AQ68" s="17">
        <f t="shared" si="140"/>
      </c>
      <c r="AR68" s="17">
        <f t="shared" si="140"/>
      </c>
      <c r="AS68" s="17">
        <f t="shared" si="140"/>
      </c>
      <c r="AT68" s="17">
        <f t="shared" si="140"/>
      </c>
      <c r="AU68" s="17">
        <f t="shared" si="140"/>
      </c>
      <c r="AV68" s="17">
        <f t="shared" si="140"/>
      </c>
      <c r="AW68" s="17">
        <f t="shared" si="140"/>
      </c>
      <c r="AX68" s="17">
        <f t="shared" si="140"/>
      </c>
      <c r="AY68" s="17">
        <f t="shared" si="140"/>
      </c>
      <c r="AZ68" s="17">
        <f t="shared" si="140"/>
      </c>
      <c r="BA68" s="301">
        <f t="shared" si="140"/>
      </c>
      <c r="BB68" s="17">
        <f t="shared" si="140"/>
      </c>
      <c r="BC68" s="17">
        <f t="shared" si="140"/>
      </c>
      <c r="BD68" s="17">
        <f t="shared" si="140"/>
      </c>
      <c r="BE68" s="17">
        <f t="shared" si="140"/>
      </c>
      <c r="BF68" s="301">
        <f t="shared" si="140"/>
      </c>
      <c r="BG68" s="17">
        <f t="shared" si="140"/>
      </c>
      <c r="BH68" s="17">
        <f t="shared" si="140"/>
      </c>
      <c r="BI68" s="17">
        <f t="shared" ref="BI68:CN68" si="141">BI29/BI24</f>
      </c>
      <c r="BJ68" s="17">
        <f t="shared" si="141"/>
      </c>
      <c r="BK68" s="301">
        <f t="shared" si="141"/>
      </c>
      <c r="BL68" s="17">
        <f t="shared" si="141"/>
      </c>
      <c r="BM68" s="17">
        <f t="shared" si="141"/>
      </c>
      <c r="BN68" s="17">
        <f t="shared" si="141"/>
      </c>
      <c r="BO68" s="17">
        <f t="shared" si="141"/>
      </c>
      <c r="BP68" s="301">
        <f t="shared" si="141"/>
      </c>
      <c r="BQ68" s="17">
        <f t="shared" si="141"/>
      </c>
      <c r="BR68" s="17">
        <f t="shared" si="141"/>
      </c>
      <c r="BS68" s="17">
        <f t="shared" si="141"/>
      </c>
      <c r="BT68" s="17">
        <f t="shared" si="141"/>
      </c>
      <c r="BU68" s="301">
        <f t="shared" si="141"/>
      </c>
      <c r="BV68" s="17">
        <f t="shared" si="141"/>
      </c>
      <c r="BW68" s="17">
        <f t="shared" si="141"/>
      </c>
      <c r="BX68" s="17">
        <f t="shared" si="141"/>
      </c>
      <c r="BY68" s="17">
        <f t="shared" si="141"/>
      </c>
      <c r="BZ68" s="301">
        <f t="shared" si="141"/>
      </c>
      <c r="CA68" s="17">
        <f t="shared" si="141"/>
      </c>
      <c r="CB68" s="17">
        <f t="shared" si="141"/>
      </c>
      <c r="CC68" s="17">
        <f t="shared" si="141"/>
      </c>
      <c r="CD68" s="17">
        <f t="shared" si="141"/>
      </c>
      <c r="CE68" s="301">
        <f t="shared" si="141"/>
      </c>
      <c r="CF68" s="17">
        <f t="shared" si="141"/>
      </c>
      <c r="CG68" s="17">
        <f t="shared" si="141"/>
      </c>
      <c r="CH68" s="17">
        <f t="shared" si="141"/>
      </c>
      <c r="CI68" s="17">
        <f t="shared" si="141"/>
      </c>
      <c r="CJ68" s="301">
        <f t="shared" si="141"/>
      </c>
      <c r="CK68" s="17">
        <f t="shared" si="141"/>
      </c>
      <c r="CL68" s="17">
        <f t="shared" si="141"/>
      </c>
      <c r="CM68" s="17">
        <f t="shared" si="141"/>
      </c>
      <c r="CN68" s="17">
        <f t="shared" si="141"/>
      </c>
      <c r="CO68" s="301">
        <f t="shared" ref="CO68:DT68" si="142">CO29/CO24</f>
      </c>
      <c r="CP68" s="17">
        <f t="shared" si="142"/>
      </c>
      <c r="CQ68" s="17">
        <f t="shared" si="142"/>
      </c>
      <c r="CR68" s="17">
        <f t="shared" si="142"/>
      </c>
      <c r="CS68" s="17">
        <f t="shared" si="142"/>
      </c>
      <c r="CT68" s="301">
        <f t="shared" si="142"/>
      </c>
      <c r="CU68" s="17">
        <f t="shared" si="142"/>
      </c>
      <c r="CV68" s="17">
        <f t="shared" si="142"/>
      </c>
      <c r="CW68" s="17">
        <f t="shared" si="142"/>
      </c>
      <c r="CX68" s="17">
        <f t="shared" si="142"/>
      </c>
      <c r="CY68" s="301">
        <f t="shared" si="142"/>
      </c>
      <c r="CZ68" s="17">
        <f t="shared" si="142"/>
      </c>
      <c r="DA68" s="17">
        <f t="shared" si="142"/>
      </c>
      <c r="DB68" s="17">
        <f t="shared" si="142"/>
      </c>
      <c r="DC68" s="17">
        <f t="shared" si="142"/>
      </c>
      <c r="DD68" s="301">
        <f t="shared" si="142"/>
      </c>
      <c r="DE68" s="17">
        <f t="shared" si="142"/>
      </c>
      <c r="DF68" s="17">
        <f t="shared" si="142"/>
      </c>
      <c r="DG68" s="17">
        <f t="shared" si="142"/>
      </c>
      <c r="DH68" s="17">
        <f t="shared" si="142"/>
      </c>
      <c r="DI68" s="301">
        <f t="shared" si="142"/>
      </c>
      <c r="DJ68" s="17">
        <f t="shared" si="142"/>
      </c>
      <c r="DK68" s="17">
        <f t="shared" si="142"/>
      </c>
      <c r="DL68" s="17">
        <f t="shared" si="142"/>
      </c>
      <c r="DM68" s="17">
        <f t="shared" si="142"/>
      </c>
      <c r="DN68" s="301">
        <f t="shared" si="142"/>
      </c>
      <c r="DO68" s="53">
        <f t="shared" si="142"/>
      </c>
      <c r="DP68" s="17">
        <f t="shared" si="142"/>
      </c>
      <c r="DQ68" s="17">
        <f t="shared" si="142"/>
      </c>
      <c r="DR68" s="53">
        <f t="shared" si="142"/>
      </c>
      <c r="DS68" s="216">
        <f t="shared" si="142"/>
      </c>
      <c r="DT68" s="53">
        <f t="shared" si="142"/>
      </c>
      <c r="DU68" s="17">
        <f t="shared" ref="DU68:EZ68" si="143">DU29/DU24</f>
      </c>
      <c r="DV68" s="17">
        <f t="shared" si="143"/>
      </c>
      <c r="DW68" s="53">
        <f t="shared" si="143"/>
      </c>
      <c r="DX68" s="216">
        <f t="shared" si="143"/>
      </c>
      <c r="DY68" s="53">
        <f t="shared" si="143"/>
      </c>
      <c r="DZ68" s="53">
        <f t="shared" si="143"/>
      </c>
      <c r="EA68" s="17">
        <f t="shared" si="143"/>
      </c>
      <c r="EB68" s="53">
        <f t="shared" si="143"/>
      </c>
      <c r="EC68" s="1095">
        <f t="shared" si="143"/>
      </c>
      <c r="ED68" s="53">
        <f t="shared" si="143"/>
      </c>
      <c r="EE68" s="53">
        <f t="shared" si="143"/>
      </c>
      <c r="EF68" s="17">
        <f t="shared" si="143"/>
      </c>
      <c r="EG68" s="53">
        <f t="shared" si="143"/>
      </c>
      <c r="EH68" s="1095">
        <f t="shared" si="143"/>
      </c>
      <c r="EI68" s="17">
        <f t="shared" si="143"/>
      </c>
      <c r="EJ68" s="1034">
        <f t="shared" si="143"/>
      </c>
      <c r="EK68" s="1034">
        <f t="shared" si="143"/>
      </c>
      <c r="EL68" s="930">
        <f t="shared" si="143"/>
      </c>
      <c r="EM68" s="1095">
        <f t="shared" si="143"/>
      </c>
      <c r="EN68" s="17">
        <f t="shared" si="143"/>
      </c>
      <c r="EO68" s="17">
        <f t="shared" si="143"/>
      </c>
      <c r="EP68" s="17">
        <f t="shared" si="143"/>
      </c>
      <c r="EQ68" s="930">
        <f t="shared" si="143"/>
      </c>
      <c r="ER68" s="1095">
        <f t="shared" si="143"/>
      </c>
      <c r="ES68" s="17">
        <f t="shared" si="143"/>
      </c>
      <c r="ET68" s="17">
        <f t="shared" si="143"/>
      </c>
      <c r="EU68" s="17">
        <f t="shared" si="143"/>
      </c>
      <c r="EV68" s="930">
        <f t="shared" si="143"/>
      </c>
      <c r="EW68" s="1701">
        <f t="shared" si="143"/>
      </c>
      <c r="EX68" s="1704">
        <f t="shared" si="143"/>
      </c>
      <c r="EY68" s="1704">
        <f t="shared" si="143"/>
      </c>
      <c r="EZ68" s="1704">
        <f t="shared" si="143"/>
      </c>
      <c r="FA68" s="1703">
        <f t="shared" ref="FA68:GJ68" si="144">FA29/FA24</f>
      </c>
      <c r="FB68" s="1701">
        <f t="shared" si="144"/>
      </c>
      <c r="FC68" s="1704">
        <f t="shared" si="144"/>
      </c>
      <c r="FD68" s="1704">
        <f t="shared" si="144"/>
      </c>
      <c r="FE68" s="1105">
        <f t="shared" si="144"/>
      </c>
      <c r="FF68" s="1703">
        <f t="shared" si="144"/>
      </c>
      <c r="FG68" s="1705">
        <f t="shared" si="144"/>
      </c>
      <c r="FH68" s="1704">
        <f t="shared" si="144"/>
      </c>
      <c r="FI68" s="1703">
        <f t="shared" si="144"/>
      </c>
      <c r="FJ68" s="1703">
        <f t="shared" si="144"/>
      </c>
      <c r="FK68" s="1703">
        <f t="shared" si="144"/>
      </c>
      <c r="FL68" s="1706">
        <f t="shared" si="144"/>
      </c>
      <c r="FM68" s="1703">
        <f t="shared" si="144"/>
      </c>
      <c r="FN68" s="1703">
        <f t="shared" si="144"/>
      </c>
      <c r="FO68" s="2845">
        <f t="shared" si="144"/>
      </c>
      <c r="FP68" s="1703">
        <f t="shared" si="144"/>
      </c>
      <c r="FQ68" s="1703">
        <f t="shared" si="144"/>
      </c>
      <c r="FR68" s="1703">
        <f t="shared" si="144"/>
      </c>
      <c r="FS68" s="1706">
        <f t="shared" si="144"/>
      </c>
      <c r="FT68" s="1703">
        <f t="shared" si="144"/>
      </c>
      <c r="FU68" s="2844">
        <f t="shared" si="144"/>
      </c>
      <c r="FV68" s="2465">
        <f t="shared" si="144"/>
      </c>
      <c r="FW68" s="1703">
        <f t="shared" si="144"/>
      </c>
      <c r="FX68" s="1706">
        <f>FX29/FX24</f>
      </c>
      <c r="FY68" s="1703">
        <f t="shared" ref="FY68:FZ68" si="145">FY29/FY24</f>
      </c>
      <c r="FZ68" s="1703">
        <f t="shared" si="145"/>
      </c>
      <c r="GA68" s="1703">
        <f t="shared" ref="GA68" si="146">GA29/GA24</f>
      </c>
      <c r="GB68" s="1703">
        <f t="shared" si="144"/>
      </c>
      <c r="GC68" s="3773">
        <f>GC29/GC24</f>
      </c>
      <c r="GD68" s="1703">
        <f t="shared" ref="GD68:GF68" si="147">GD29/GD24</f>
      </c>
      <c r="GE68" s="1703">
        <f t="shared" si="147"/>
      </c>
      <c r="GF68" s="1703">
        <f t="shared" si="147"/>
      </c>
      <c r="GG68" s="1703">
        <f t="shared" si="144"/>
      </c>
      <c r="GH68" s="3774">
        <f t="shared" si="144"/>
      </c>
      <c r="GI68" s="3774">
        <f t="shared" si="144"/>
      </c>
      <c r="GJ68" s="3774">
        <f t="shared" si="144"/>
      </c>
      <c r="GK68" s="3774">
        <f>GK29/GK24</f>
      </c>
      <c r="GL68" s="3774">
        <f>GL29/GL24</f>
      </c>
      <c r="GM68" s="3774">
        <f>GM29/GM24</f>
      </c>
    </row>
    <row r="69" spans="2:196" s="8" customFormat="1" ht="12.75" customHeight="1">
      <c r="B69" s="2251" t="s">
        <v>975</v>
      </c>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301"/>
      <c r="BB69" s="17"/>
      <c r="BC69" s="17"/>
      <c r="BD69" s="17"/>
      <c r="BE69" s="17"/>
      <c r="BF69" s="301"/>
      <c r="BG69" s="17"/>
      <c r="BH69" s="17"/>
      <c r="BI69" s="17"/>
      <c r="BJ69" s="17"/>
      <c r="BK69" s="301"/>
      <c r="BL69" s="17"/>
      <c r="BM69" s="17"/>
      <c r="BN69" s="17"/>
      <c r="BO69" s="17"/>
      <c r="BP69" s="301"/>
      <c r="BQ69" s="17"/>
      <c r="BR69" s="17"/>
      <c r="BS69" s="17"/>
      <c r="BT69" s="17"/>
      <c r="BU69" s="301"/>
      <c r="BV69" s="17"/>
      <c r="BW69" s="17"/>
      <c r="BX69" s="17"/>
      <c r="BY69" s="17"/>
      <c r="BZ69" s="301"/>
      <c r="CA69" s="17"/>
      <c r="CB69" s="17"/>
      <c r="CC69" s="17"/>
      <c r="CD69" s="17"/>
      <c r="CE69" s="301"/>
      <c r="CF69" s="17"/>
      <c r="CG69" s="17"/>
      <c r="CH69" s="17"/>
      <c r="CI69" s="17"/>
      <c r="CJ69" s="301"/>
      <c r="CK69" s="17"/>
      <c r="CL69" s="17"/>
      <c r="CM69" s="17"/>
      <c r="CN69" s="17"/>
      <c r="CO69" s="301"/>
      <c r="CP69" s="17"/>
      <c r="CQ69" s="17"/>
      <c r="CR69" s="17"/>
      <c r="CS69" s="17"/>
      <c r="CT69" s="301"/>
      <c r="CU69" s="17"/>
      <c r="CV69" s="17"/>
      <c r="CW69" s="17"/>
      <c r="CX69" s="17"/>
      <c r="CY69" s="301"/>
      <c r="CZ69" s="17"/>
      <c r="DA69" s="17"/>
      <c r="DB69" s="17"/>
      <c r="DC69" s="17"/>
      <c r="DD69" s="301"/>
      <c r="DE69" s="17"/>
      <c r="DF69" s="17"/>
      <c r="DG69" s="17"/>
      <c r="DH69" s="17"/>
      <c r="DI69" s="301"/>
      <c r="DJ69" s="17"/>
      <c r="DK69" s="17"/>
      <c r="DL69" s="17"/>
      <c r="DM69" s="17"/>
      <c r="DN69" s="301"/>
      <c r="DO69" s="53"/>
      <c r="DP69" s="17"/>
      <c r="DQ69" s="17"/>
      <c r="DR69" s="53"/>
      <c r="DS69" s="216"/>
      <c r="DT69" s="53"/>
      <c r="DU69" s="17"/>
      <c r="DV69" s="17"/>
      <c r="DW69" s="53"/>
      <c r="DX69" s="216"/>
      <c r="DY69" s="53"/>
      <c r="DZ69" s="53"/>
      <c r="EA69" s="17"/>
      <c r="EB69" s="53"/>
      <c r="EC69" s="1095"/>
      <c r="ED69" s="53"/>
      <c r="EE69" s="53"/>
      <c r="EF69" s="17"/>
      <c r="EG69" s="53"/>
      <c r="EH69" s="1095"/>
      <c r="EI69" s="17"/>
      <c r="EJ69" s="1034"/>
      <c r="EK69" s="1034"/>
      <c r="EL69" s="930"/>
      <c r="EM69" s="1095"/>
      <c r="EN69" s="17"/>
      <c r="EO69" s="17"/>
      <c r="EP69" s="17"/>
      <c r="EQ69" s="930"/>
      <c r="ER69" s="1095"/>
      <c r="ES69" s="17"/>
      <c r="ET69" s="17"/>
      <c r="EU69" s="17"/>
      <c r="EV69" s="930"/>
      <c r="EW69" s="1701"/>
      <c r="EX69" s="1704"/>
      <c r="EY69" s="1704"/>
      <c r="EZ69" s="1704"/>
      <c r="FA69" s="1703"/>
      <c r="FB69" s="1701"/>
      <c r="FC69" s="1704"/>
      <c r="FD69" s="1704"/>
      <c r="FE69" s="1105"/>
      <c r="FF69" s="1703"/>
      <c r="FG69" s="1705">
        <f>FG29/FG24</f>
      </c>
      <c r="FH69" s="1705">
        <f t="shared" ref="FH69:GM69" si="148">FH29/FH24</f>
      </c>
      <c r="FI69" s="1705">
        <f t="shared" si="148"/>
      </c>
      <c r="FJ69" s="1705">
        <f t="shared" si="148"/>
      </c>
      <c r="FK69" s="1705">
        <f t="shared" si="148"/>
      </c>
      <c r="FL69" s="2845">
        <f t="shared" si="148"/>
      </c>
      <c r="FM69" s="2845">
        <f t="shared" si="148"/>
      </c>
      <c r="FN69" s="3433">
        <f t="shared" si="148"/>
      </c>
      <c r="FO69" s="2845">
        <f t="shared" si="148"/>
      </c>
      <c r="FP69" s="1704">
        <f t="shared" si="148"/>
      </c>
      <c r="FQ69" s="1704">
        <f t="shared" si="148"/>
      </c>
      <c r="FR69" s="3433">
        <f t="shared" si="148"/>
      </c>
      <c r="FS69" s="2845">
        <f t="shared" si="148"/>
      </c>
      <c r="FT69" s="2845">
        <f t="shared" si="148"/>
      </c>
      <c r="FU69" s="3433">
        <f t="shared" si="148"/>
      </c>
      <c r="FV69" s="2845">
        <f t="shared" si="148"/>
      </c>
      <c r="FW69" s="3433">
        <f t="shared" si="148"/>
      </c>
      <c r="FX69" s="3433">
        <f t="shared" si="148"/>
      </c>
      <c r="FY69" s="2845">
        <f t="shared" si="148"/>
      </c>
      <c r="FZ69" s="1704">
        <f t="shared" ref="FZ69:GA69" si="149">FZ29/FZ24</f>
      </c>
      <c r="GA69" s="1704">
        <f t="shared" si="149"/>
      </c>
      <c r="GB69" s="3433">
        <f t="shared" si="148"/>
      </c>
      <c r="GC69" s="3769">
        <f t="shared" ref="GC69:GF69" si="150">GC29/GC24</f>
      </c>
      <c r="GD69" s="2845">
        <f t="shared" si="150"/>
      </c>
      <c r="GE69" s="1704">
        <f t="shared" si="150"/>
      </c>
      <c r="GF69" s="1704">
        <f t="shared" si="150"/>
      </c>
      <c r="GG69" s="2855">
        <f t="shared" si="148"/>
      </c>
      <c r="GH69" s="1705">
        <f t="shared" si="148"/>
      </c>
      <c r="GI69" s="1705">
        <f t="shared" si="148"/>
      </c>
      <c r="GJ69" s="1705">
        <f t="shared" si="148"/>
      </c>
      <c r="GK69" s="1705">
        <f t="shared" si="148"/>
      </c>
      <c r="GL69" s="1705">
        <f t="shared" si="148"/>
      </c>
      <c r="GM69" s="1705">
        <f t="shared" si="148"/>
      </c>
    </row>
    <row r="70" spans="2:196" s="8" customFormat="1" ht="12.75" customHeight="1">
      <c r="B70" s="2251" t="s">
        <v>985</v>
      </c>
      <c r="E70" s="17">
        <f>E39/E24</f>
      </c>
      <c r="F70" s="17">
        <f>F39/F24</f>
      </c>
      <c r="G70" s="17">
        <f>G39/G24</f>
      </c>
      <c r="H70" s="17"/>
      <c r="I70" s="17"/>
      <c r="J70" s="17"/>
      <c r="K70" s="17"/>
      <c r="L70" s="17"/>
      <c r="M70" s="17"/>
      <c r="N70" s="17"/>
      <c r="O70" s="17"/>
      <c r="P70" s="17"/>
      <c r="Q70" s="17"/>
      <c r="R70" s="17"/>
      <c r="S70" s="53"/>
      <c r="T70" s="53"/>
      <c r="U70" s="53"/>
      <c r="V70" s="53"/>
      <c r="W70" s="17"/>
      <c r="X70" s="53"/>
      <c r="Y70" s="17"/>
      <c r="Z70" s="17"/>
      <c r="AA70" s="17"/>
      <c r="AB70" s="17"/>
      <c r="AC70" s="17">
        <f t="shared" ref="AC70:AQ70" si="151">AC39/AC24</f>
      </c>
      <c r="AD70" s="17">
        <f t="shared" si="151"/>
      </c>
      <c r="AE70" s="17">
        <f t="shared" si="151"/>
      </c>
      <c r="AF70" s="17">
        <f t="shared" si="151"/>
      </c>
      <c r="AG70" s="17">
        <f t="shared" si="151"/>
      </c>
      <c r="AH70" s="17">
        <f t="shared" si="151"/>
      </c>
      <c r="AI70" s="17">
        <f t="shared" si="151"/>
      </c>
      <c r="AJ70" s="17">
        <f t="shared" si="151"/>
      </c>
      <c r="AK70" s="17">
        <f t="shared" si="151"/>
      </c>
      <c r="AL70" s="17">
        <f t="shared" si="151"/>
      </c>
      <c r="AM70" s="17">
        <f t="shared" si="151"/>
      </c>
      <c r="AN70" s="17">
        <f t="shared" si="151"/>
      </c>
      <c r="AO70" s="17">
        <f t="shared" si="151"/>
      </c>
      <c r="AP70" s="17">
        <f t="shared" si="151"/>
      </c>
      <c r="AQ70" s="17">
        <f t="shared" si="151"/>
      </c>
      <c r="AR70" s="17">
        <f t="shared" ref="AR70:AZ70" si="152">AR38/AR24</f>
      </c>
      <c r="AS70" s="17">
        <f t="shared" si="152"/>
      </c>
      <c r="AT70" s="17">
        <f t="shared" si="152"/>
      </c>
      <c r="AU70" s="17">
        <f t="shared" si="152"/>
      </c>
      <c r="AV70" s="17">
        <f t="shared" si="152"/>
      </c>
      <c r="AW70" s="17">
        <f t="shared" si="152"/>
      </c>
      <c r="AX70" s="17">
        <f t="shared" si="152"/>
      </c>
      <c r="AY70" s="17">
        <f t="shared" si="152"/>
      </c>
      <c r="AZ70" s="17">
        <f t="shared" si="152"/>
      </c>
      <c r="BA70" s="216">
        <f>BA39/BA24</f>
      </c>
      <c r="BB70" s="53">
        <f>BB38/BB24</f>
      </c>
      <c r="BC70" s="53">
        <f>BC38/BC24</f>
      </c>
      <c r="BD70" s="730">
        <f>BD38/BD24</f>
      </c>
      <c r="BE70" s="730">
        <f>BE38/BE24</f>
      </c>
      <c r="BF70" s="216">
        <f>BF39/BF24</f>
      </c>
      <c r="BG70" s="53">
        <f t="shared" ref="BG70:CF70" si="153">BG38/BG24</f>
      </c>
      <c r="BH70" s="53">
        <f t="shared" si="153"/>
      </c>
      <c r="BI70" s="53">
        <f t="shared" si="153"/>
      </c>
      <c r="BJ70" s="53">
        <f t="shared" si="153"/>
      </c>
      <c r="BK70" s="216">
        <f t="shared" si="153"/>
      </c>
      <c r="BL70" s="53">
        <f t="shared" si="153"/>
      </c>
      <c r="BM70" s="53">
        <f t="shared" si="153"/>
      </c>
      <c r="BN70" s="53">
        <f t="shared" si="153"/>
      </c>
      <c r="BO70" s="53">
        <f t="shared" si="153"/>
      </c>
      <c r="BP70" s="216">
        <f t="shared" si="153"/>
      </c>
      <c r="BQ70" s="53">
        <f t="shared" si="153"/>
      </c>
      <c r="BR70" s="53">
        <f t="shared" si="153"/>
      </c>
      <c r="BS70" s="53">
        <f t="shared" si="153"/>
      </c>
      <c r="BT70" s="53">
        <f t="shared" si="153"/>
      </c>
      <c r="BU70" s="216">
        <f t="shared" si="153"/>
      </c>
      <c r="BV70" s="53">
        <f t="shared" si="153"/>
      </c>
      <c r="BW70" s="53">
        <f t="shared" si="153"/>
      </c>
      <c r="BX70" s="53">
        <f t="shared" si="153"/>
      </c>
      <c r="BY70" s="53">
        <f t="shared" si="153"/>
      </c>
      <c r="BZ70" s="216">
        <f t="shared" si="153"/>
      </c>
      <c r="CA70" s="53">
        <f t="shared" si="153"/>
      </c>
      <c r="CB70" s="53">
        <f t="shared" si="153"/>
      </c>
      <c r="CC70" s="53">
        <f t="shared" si="153"/>
      </c>
      <c r="CD70" s="53">
        <f t="shared" si="153"/>
      </c>
      <c r="CE70" s="216">
        <f t="shared" si="153"/>
      </c>
      <c r="CF70" s="53">
        <f t="shared" si="153"/>
      </c>
      <c r="CG70" s="53">
        <f>CG39/CG24</f>
      </c>
      <c r="CH70" s="53">
        <f>CH39/CH24</f>
      </c>
      <c r="CI70" s="53">
        <f t="shared" ref="CI70:DN70" si="154">CI38/CI24</f>
      </c>
      <c r="CJ70" s="216">
        <f t="shared" si="154"/>
      </c>
      <c r="CK70" s="53">
        <f t="shared" si="154"/>
      </c>
      <c r="CL70" s="53">
        <f t="shared" si="154"/>
      </c>
      <c r="CM70" s="53">
        <f t="shared" si="154"/>
      </c>
      <c r="CN70" s="53">
        <f t="shared" si="154"/>
      </c>
      <c r="CO70" s="216">
        <f t="shared" si="154"/>
      </c>
      <c r="CP70" s="53">
        <f t="shared" si="154"/>
      </c>
      <c r="CQ70" s="53">
        <f t="shared" si="154"/>
      </c>
      <c r="CR70" s="53">
        <f t="shared" si="154"/>
      </c>
      <c r="CS70" s="53">
        <f t="shared" si="154"/>
      </c>
      <c r="CT70" s="216">
        <f t="shared" si="154"/>
      </c>
      <c r="CU70" s="53">
        <f t="shared" si="154"/>
      </c>
      <c r="CV70" s="53">
        <f t="shared" si="154"/>
      </c>
      <c r="CW70" s="53">
        <f t="shared" si="154"/>
      </c>
      <c r="CX70" s="53">
        <f t="shared" si="154"/>
      </c>
      <c r="CY70" s="216">
        <f t="shared" si="154"/>
      </c>
      <c r="CZ70" s="53">
        <f t="shared" si="154"/>
      </c>
      <c r="DA70" s="53">
        <f t="shared" si="154"/>
      </c>
      <c r="DB70" s="53">
        <f t="shared" si="154"/>
      </c>
      <c r="DC70" s="53">
        <f t="shared" si="154"/>
      </c>
      <c r="DD70" s="216">
        <f t="shared" si="154"/>
      </c>
      <c r="DE70" s="53">
        <f t="shared" si="154"/>
      </c>
      <c r="DF70" s="53">
        <f t="shared" si="154"/>
      </c>
      <c r="DG70" s="53">
        <f t="shared" si="154"/>
      </c>
      <c r="DH70" s="53">
        <f t="shared" si="154"/>
      </c>
      <c r="DI70" s="216">
        <f t="shared" si="154"/>
      </c>
      <c r="DJ70" s="53">
        <f t="shared" si="154"/>
      </c>
      <c r="DK70" s="53">
        <f t="shared" si="154"/>
      </c>
      <c r="DL70" s="53">
        <f t="shared" si="154"/>
      </c>
      <c r="DM70" s="53">
        <f t="shared" si="154"/>
      </c>
      <c r="DN70" s="216">
        <f t="shared" si="154"/>
      </c>
      <c r="DO70" s="53">
        <f t="shared" ref="DO70:ET70" si="155">DO38/DO24</f>
      </c>
      <c r="DP70" s="53">
        <f t="shared" si="155"/>
      </c>
      <c r="DQ70" s="53">
        <f t="shared" si="155"/>
      </c>
      <c r="DR70" s="53">
        <f t="shared" si="155"/>
      </c>
      <c r="DS70" s="216">
        <f t="shared" si="155"/>
      </c>
      <c r="DT70" s="53">
        <f t="shared" si="155"/>
      </c>
      <c r="DU70" s="53">
        <f t="shared" si="155"/>
      </c>
      <c r="DV70" s="53">
        <f t="shared" si="155"/>
      </c>
      <c r="DW70" s="53">
        <f t="shared" si="155"/>
      </c>
      <c r="DX70" s="216">
        <f t="shared" si="155"/>
      </c>
      <c r="DY70" s="53">
        <f t="shared" si="155"/>
      </c>
      <c r="DZ70" s="53">
        <f t="shared" si="155"/>
      </c>
      <c r="EA70" s="53">
        <f t="shared" si="155"/>
      </c>
      <c r="EB70" s="53">
        <f t="shared" si="155"/>
      </c>
      <c r="EC70" s="1095">
        <f t="shared" si="155"/>
      </c>
      <c r="ED70" s="53">
        <f t="shared" si="155"/>
      </c>
      <c r="EE70" s="53">
        <f t="shared" si="155"/>
      </c>
      <c r="EF70" s="53">
        <f t="shared" si="155"/>
      </c>
      <c r="EG70" s="53">
        <f t="shared" si="155"/>
      </c>
      <c r="EH70" s="1095">
        <f t="shared" si="155"/>
      </c>
      <c r="EI70" s="53">
        <f t="shared" si="155"/>
      </c>
      <c r="EJ70" s="930">
        <f t="shared" si="155"/>
      </c>
      <c r="EK70" s="930">
        <f t="shared" si="155"/>
      </c>
      <c r="EL70" s="930">
        <f t="shared" si="155"/>
      </c>
      <c r="EM70" s="1095">
        <f t="shared" si="155"/>
      </c>
      <c r="EN70" s="53">
        <f t="shared" si="155"/>
      </c>
      <c r="EO70" s="53">
        <f t="shared" si="155"/>
      </c>
      <c r="EP70" s="53">
        <f t="shared" si="155"/>
      </c>
      <c r="EQ70" s="930">
        <f t="shared" si="155"/>
      </c>
      <c r="ER70" s="1095">
        <f t="shared" si="155"/>
      </c>
      <c r="ES70" s="53">
        <f t="shared" si="155"/>
      </c>
      <c r="ET70" s="53">
        <f t="shared" si="155"/>
      </c>
      <c r="EU70" s="53">
        <f t="shared" ref="EU70:FW70" si="156">EU38/EU24</f>
      </c>
      <c r="EV70" s="930">
        <f t="shared" si="156"/>
      </c>
      <c r="EW70" s="1706">
        <f t="shared" si="156"/>
      </c>
      <c r="EX70" s="1702">
        <f t="shared" si="156"/>
      </c>
      <c r="EY70" s="1702">
        <f t="shared" si="156"/>
      </c>
      <c r="EZ70" s="1702">
        <f t="shared" si="156"/>
      </c>
      <c r="FA70" s="1703">
        <f t="shared" si="156"/>
      </c>
      <c r="FB70" s="1706">
        <f t="shared" si="156"/>
      </c>
      <c r="FC70" s="1702">
        <f t="shared" si="156"/>
      </c>
      <c r="FD70" s="1702">
        <f t="shared" si="156"/>
      </c>
      <c r="FE70" s="1703">
        <f t="shared" si="156"/>
      </c>
      <c r="FF70" s="1703">
        <f t="shared" si="156"/>
      </c>
      <c r="FG70" s="1706">
        <f t="shared" si="156"/>
      </c>
      <c r="FH70" s="1702">
        <f t="shared" si="156"/>
      </c>
      <c r="FI70" s="1703">
        <f t="shared" si="156"/>
      </c>
      <c r="FJ70" s="1703">
        <f t="shared" si="156"/>
      </c>
      <c r="FK70" s="1703">
        <f t="shared" si="156"/>
      </c>
      <c r="FL70" s="1706">
        <f t="shared" si="156"/>
      </c>
      <c r="FM70" s="1703">
        <f t="shared" si="156"/>
      </c>
      <c r="FN70" s="1703">
        <f t="shared" si="156"/>
      </c>
      <c r="FO70" s="2843">
        <f t="shared" si="156"/>
      </c>
      <c r="FP70" s="1703">
        <f t="shared" si="156"/>
      </c>
      <c r="FQ70" s="1703">
        <f t="shared" si="156"/>
      </c>
      <c r="FR70" s="1703">
        <f t="shared" si="156"/>
      </c>
      <c r="FS70" s="1706">
        <f t="shared" si="156"/>
      </c>
      <c r="FT70" s="1703">
        <f t="shared" si="156"/>
      </c>
      <c r="FU70" s="2844">
        <f t="shared" si="156"/>
      </c>
      <c r="FV70" s="2465">
        <f t="shared" si="156"/>
      </c>
      <c r="FW70" s="1703">
        <f t="shared" si="156"/>
      </c>
      <c r="FX70" s="1706">
        <f>FX38/FX24</f>
      </c>
      <c r="FY70" s="1703">
        <f t="shared" ref="FY70:FZ70" si="157">FY38/FY24</f>
      </c>
      <c r="FZ70" s="1703">
        <f t="shared" si="157"/>
      </c>
      <c r="GA70" s="1703">
        <f t="shared" ref="GA70" si="158">GA38/GA24</f>
      </c>
      <c r="GB70" s="1703">
        <f t="shared" ref="GB70:GJ70" si="159">GB38/GB24</f>
      </c>
      <c r="GC70" s="2635">
        <f>GC38/GC24</f>
      </c>
      <c r="GD70" s="1703">
        <f t="shared" ref="GD70:GF70" si="160">GD38/GD24</f>
      </c>
      <c r="GE70" s="1703">
        <f t="shared" si="160"/>
      </c>
      <c r="GF70" s="1703">
        <f t="shared" si="160"/>
      </c>
      <c r="GG70" s="1703">
        <f t="shared" si="159"/>
      </c>
      <c r="GH70" s="1706">
        <f t="shared" si="159"/>
      </c>
      <c r="GI70" s="1706">
        <f t="shared" ca="1" si="159"/>
      </c>
      <c r="GJ70" s="1706">
        <f t="shared" ca="1" si="159"/>
      </c>
      <c r="GK70" s="1706">
        <f ca="1">GK38/GK24</f>
      </c>
      <c r="GL70" s="1706">
        <f ca="1">GL38/GL24</f>
      </c>
      <c r="GM70" s="1706">
        <f ca="1">GM38/GM24</f>
      </c>
    </row>
    <row r="71" spans="2:196" s="8" customFormat="1" ht="12.75" customHeight="1">
      <c r="B71" s="180" t="s">
        <v>180</v>
      </c>
      <c r="E71" s="17">
        <f>E41/E39</f>
      </c>
      <c r="F71" s="17">
        <f>F41/F39</f>
      </c>
      <c r="G71" s="17">
        <f>G41/G39</f>
      </c>
      <c r="H71" s="17"/>
      <c r="I71" s="17"/>
      <c r="J71" s="17"/>
      <c r="K71" s="17"/>
      <c r="L71" s="17"/>
      <c r="M71" s="17"/>
      <c r="N71" s="17"/>
      <c r="O71" s="17"/>
      <c r="P71" s="17"/>
      <c r="Q71" s="17"/>
      <c r="R71" s="17"/>
      <c r="S71" s="53"/>
      <c r="T71" s="53"/>
      <c r="U71" s="53"/>
      <c r="V71" s="53"/>
      <c r="W71" s="17"/>
      <c r="X71" s="53"/>
      <c r="Y71" s="17"/>
      <c r="Z71" s="17"/>
      <c r="AA71" s="17"/>
      <c r="AB71" s="17"/>
      <c r="AC71" s="17">
        <f t="shared" ref="AC71:AU71" si="161">AC41/AC39</f>
      </c>
      <c r="AD71" s="17">
        <f t="shared" si="161"/>
      </c>
      <c r="AE71" s="17">
        <f t="shared" si="161"/>
      </c>
      <c r="AF71" s="17">
        <f t="shared" si="161"/>
      </c>
      <c r="AG71" s="17">
        <f t="shared" si="161"/>
      </c>
      <c r="AH71" s="17">
        <f t="shared" si="161"/>
      </c>
      <c r="AI71" s="17">
        <f t="shared" si="161"/>
      </c>
      <c r="AJ71" s="17">
        <f t="shared" si="161"/>
      </c>
      <c r="AK71" s="17">
        <f t="shared" si="161"/>
      </c>
      <c r="AL71" s="17">
        <f t="shared" si="161"/>
      </c>
      <c r="AM71" s="17">
        <f t="shared" si="161"/>
      </c>
      <c r="AN71" s="17">
        <f t="shared" si="161"/>
      </c>
      <c r="AO71" s="17">
        <f t="shared" si="161"/>
      </c>
      <c r="AP71" s="17">
        <f t="shared" si="161"/>
      </c>
      <c r="AQ71" s="17">
        <f t="shared" si="161"/>
      </c>
      <c r="AR71" s="17">
        <f t="shared" si="161"/>
      </c>
      <c r="AS71" s="17">
        <f t="shared" si="161"/>
      </c>
      <c r="AT71" s="17">
        <f t="shared" si="161"/>
      </c>
      <c r="AU71" s="17">
        <f t="shared" si="161"/>
      </c>
      <c r="AV71" s="17">
        <f>AV41/AV38</f>
      </c>
      <c r="AW71" s="17">
        <f t="shared" ref="AW71:BF71" si="162">AW41/AW39</f>
      </c>
      <c r="AX71" s="17">
        <f t="shared" si="162"/>
      </c>
      <c r="AY71" s="17">
        <f t="shared" si="162"/>
      </c>
      <c r="AZ71" s="17">
        <f t="shared" si="162"/>
      </c>
      <c r="BA71" s="301">
        <f t="shared" si="162"/>
      </c>
      <c r="BB71" s="53">
        <f t="shared" si="162"/>
      </c>
      <c r="BC71" s="53">
        <f t="shared" si="162"/>
      </c>
      <c r="BD71" s="53">
        <f t="shared" si="162"/>
      </c>
      <c r="BE71" s="53">
        <f t="shared" si="162"/>
      </c>
      <c r="BF71" s="301">
        <f t="shared" si="162"/>
      </c>
      <c r="BG71" s="17">
        <f t="shared" ref="BG71:BS71" si="163">BG41/BG38</f>
      </c>
      <c r="BH71" s="17">
        <f t="shared" si="163"/>
      </c>
      <c r="BI71" s="17">
        <f t="shared" si="163"/>
      </c>
      <c r="BJ71" s="17">
        <f t="shared" si="163"/>
      </c>
      <c r="BK71" s="301">
        <f t="shared" si="163"/>
      </c>
      <c r="BL71" s="17">
        <f t="shared" si="163"/>
      </c>
      <c r="BM71" s="17">
        <f t="shared" si="163"/>
      </c>
      <c r="BN71" s="17">
        <f t="shared" si="163"/>
      </c>
      <c r="BO71" s="17">
        <f t="shared" si="163"/>
      </c>
      <c r="BP71" s="301">
        <f t="shared" si="163"/>
      </c>
      <c r="BQ71" s="17">
        <f t="shared" si="163"/>
      </c>
      <c r="BR71" s="17">
        <f t="shared" si="163"/>
      </c>
      <c r="BS71" s="17">
        <f t="shared" si="163"/>
      </c>
      <c r="BT71" s="17">
        <f>BT41/BT39</f>
      </c>
      <c r="BU71" s="301">
        <f>BU41/BU38</f>
      </c>
      <c r="BV71" s="17">
        <f>BV41/BV39</f>
      </c>
      <c r="BW71" s="17">
        <f>BW41/BW39</f>
      </c>
      <c r="BX71" s="17">
        <f>BX41/BX39</f>
      </c>
      <c r="BY71" s="17">
        <f t="shared" ref="BY71:DD71" si="164">BY41/BY38</f>
      </c>
      <c r="BZ71" s="301">
        <f t="shared" si="164"/>
      </c>
      <c r="CA71" s="17">
        <f t="shared" si="164"/>
      </c>
      <c r="CB71" s="17">
        <f t="shared" si="164"/>
      </c>
      <c r="CC71" s="17">
        <f t="shared" si="164"/>
      </c>
      <c r="CD71" s="17">
        <f t="shared" si="164"/>
      </c>
      <c r="CE71" s="301">
        <f t="shared" si="164"/>
      </c>
      <c r="CF71" s="17">
        <f t="shared" si="164"/>
      </c>
      <c r="CG71" s="17">
        <f t="shared" si="164"/>
      </c>
      <c r="CH71" s="17">
        <f t="shared" si="164"/>
      </c>
      <c r="CI71" s="17">
        <f t="shared" si="164"/>
      </c>
      <c r="CJ71" s="301">
        <f t="shared" si="164"/>
      </c>
      <c r="CK71" s="17">
        <f t="shared" si="164"/>
      </c>
      <c r="CL71" s="17">
        <f t="shared" si="164"/>
      </c>
      <c r="CM71" s="17">
        <f t="shared" si="164"/>
      </c>
      <c r="CN71" s="17">
        <f t="shared" si="164"/>
      </c>
      <c r="CO71" s="301">
        <f t="shared" si="164"/>
      </c>
      <c r="CP71" s="17">
        <f t="shared" si="164"/>
      </c>
      <c r="CQ71" s="17">
        <f t="shared" si="164"/>
      </c>
      <c r="CR71" s="17">
        <f t="shared" si="164"/>
      </c>
      <c r="CS71" s="17">
        <f t="shared" si="164"/>
      </c>
      <c r="CT71" s="301">
        <f t="shared" si="164"/>
      </c>
      <c r="CU71" s="17">
        <f t="shared" si="164"/>
      </c>
      <c r="CV71" s="17">
        <f t="shared" si="164"/>
      </c>
      <c r="CW71" s="17">
        <f t="shared" si="164"/>
      </c>
      <c r="CX71" s="17">
        <f t="shared" si="164"/>
      </c>
      <c r="CY71" s="301">
        <f t="shared" si="164"/>
      </c>
      <c r="CZ71" s="17">
        <f t="shared" si="164"/>
      </c>
      <c r="DA71" s="17">
        <f t="shared" si="164"/>
      </c>
      <c r="DB71" s="17">
        <f t="shared" si="164"/>
      </c>
      <c r="DC71" s="17">
        <f t="shared" si="164"/>
      </c>
      <c r="DD71" s="301">
        <f t="shared" si="164"/>
      </c>
      <c r="DE71" s="17">
        <f t="shared" ref="DE71:EJ71" si="165">DE41/DE38</f>
      </c>
      <c r="DF71" s="17">
        <f t="shared" si="165"/>
      </c>
      <c r="DG71" s="17">
        <f t="shared" si="165"/>
      </c>
      <c r="DH71" s="17">
        <f t="shared" si="165"/>
      </c>
      <c r="DI71" s="301">
        <f t="shared" si="165"/>
      </c>
      <c r="DJ71" s="17">
        <f t="shared" si="165"/>
      </c>
      <c r="DK71" s="17">
        <f t="shared" si="165"/>
      </c>
      <c r="DL71" s="17">
        <f t="shared" si="165"/>
      </c>
      <c r="DM71" s="17">
        <f t="shared" si="165"/>
      </c>
      <c r="DN71" s="301">
        <f t="shared" si="165"/>
      </c>
      <c r="DO71" s="53">
        <f t="shared" si="165"/>
      </c>
      <c r="DP71" s="53">
        <f t="shared" si="165"/>
      </c>
      <c r="DQ71" s="53">
        <f t="shared" si="165"/>
      </c>
      <c r="DR71" s="53">
        <f t="shared" si="165"/>
      </c>
      <c r="DS71" s="216">
        <f t="shared" si="165"/>
      </c>
      <c r="DT71" s="53">
        <f t="shared" si="165"/>
      </c>
      <c r="DU71" s="53">
        <f t="shared" si="165"/>
      </c>
      <c r="DV71" s="53">
        <f t="shared" si="165"/>
      </c>
      <c r="DW71" s="53">
        <f t="shared" si="165"/>
      </c>
      <c r="DX71" s="216">
        <f t="shared" si="165"/>
      </c>
      <c r="DY71" s="53">
        <f t="shared" si="165"/>
      </c>
      <c r="DZ71" s="53">
        <f t="shared" si="165"/>
      </c>
      <c r="EA71" s="53">
        <f t="shared" si="165"/>
      </c>
      <c r="EB71" s="53">
        <f t="shared" si="165"/>
      </c>
      <c r="EC71" s="1095">
        <f t="shared" si="165"/>
      </c>
      <c r="ED71" s="53">
        <f t="shared" si="165"/>
      </c>
      <c r="EE71" s="53">
        <f t="shared" si="165"/>
      </c>
      <c r="EF71" s="53">
        <f t="shared" si="165"/>
      </c>
      <c r="EG71" s="53">
        <f t="shared" si="165"/>
      </c>
      <c r="EH71" s="1095">
        <f t="shared" si="165"/>
      </c>
      <c r="EI71" s="53">
        <f t="shared" si="165"/>
      </c>
      <c r="EJ71" s="53">
        <f t="shared" si="165"/>
      </c>
      <c r="EK71" s="53">
        <f t="shared" ref="EK71:FP71" si="166">EK41/EK38</f>
      </c>
      <c r="EL71" s="930">
        <f t="shared" si="166"/>
      </c>
      <c r="EM71" s="1095">
        <f t="shared" si="166"/>
      </c>
      <c r="EN71" s="53">
        <f t="shared" si="166"/>
      </c>
      <c r="EO71" s="53">
        <f t="shared" si="166"/>
      </c>
      <c r="EP71" s="53">
        <f t="shared" si="166"/>
      </c>
      <c r="EQ71" s="930">
        <f t="shared" si="166"/>
      </c>
      <c r="ER71" s="1095">
        <f t="shared" si="166"/>
      </c>
      <c r="ES71" s="53">
        <f t="shared" si="166"/>
      </c>
      <c r="ET71" s="53">
        <f t="shared" si="166"/>
      </c>
      <c r="EU71" s="53">
        <f t="shared" si="166"/>
      </c>
      <c r="EV71" s="930">
        <f t="shared" si="166"/>
      </c>
      <c r="EW71" s="1701">
        <f t="shared" si="166"/>
      </c>
      <c r="EX71" s="1702">
        <f t="shared" si="166"/>
      </c>
      <c r="EY71" s="1702">
        <f t="shared" si="166"/>
      </c>
      <c r="EZ71" s="1702">
        <f t="shared" si="166"/>
      </c>
      <c r="FA71" s="1703">
        <f t="shared" si="166"/>
      </c>
      <c r="FB71" s="1701">
        <f t="shared" si="166"/>
      </c>
      <c r="FC71" s="1702">
        <f t="shared" si="166"/>
      </c>
      <c r="FD71" s="1702">
        <f t="shared" si="166"/>
      </c>
      <c r="FE71" s="1702">
        <f t="shared" si="166"/>
      </c>
      <c r="FF71" s="1703">
        <f t="shared" si="166"/>
      </c>
      <c r="FG71" s="1976">
        <f t="shared" si="166"/>
      </c>
      <c r="FH71" s="1702">
        <f t="shared" si="166"/>
      </c>
      <c r="FI71" s="1702">
        <f t="shared" si="166"/>
      </c>
      <c r="FJ71" s="1702">
        <f t="shared" si="166"/>
      </c>
      <c r="FK71" s="1703">
        <f t="shared" si="166"/>
      </c>
      <c r="FL71" s="2635">
        <f t="shared" si="166"/>
      </c>
      <c r="FM71" s="1703">
        <f t="shared" si="166"/>
      </c>
      <c r="FN71" s="1703">
        <f t="shared" si="166"/>
      </c>
      <c r="FO71" s="2843">
        <f t="shared" si="166"/>
      </c>
      <c r="FP71" s="1702">
        <f t="shared" si="166"/>
      </c>
      <c r="FQ71" s="1702">
        <f t="shared" ref="FQ71:FW71" si="167">FQ41/FQ38</f>
      </c>
      <c r="FR71" s="1703">
        <f t="shared" si="167"/>
      </c>
      <c r="FS71" s="2635">
        <f t="shared" si="167"/>
      </c>
      <c r="FT71" s="1703">
        <f t="shared" si="167"/>
      </c>
      <c r="FU71" s="2844">
        <f t="shared" si="167"/>
      </c>
      <c r="FV71" s="2465">
        <f t="shared" si="167"/>
      </c>
      <c r="FW71" s="1703">
        <f t="shared" si="167"/>
      </c>
      <c r="FX71" s="2635">
        <f>FX41/FX38</f>
      </c>
      <c r="FY71" s="1703">
        <f t="shared" ref="FY71:FZ71" si="168">FY41/FY38</f>
      </c>
      <c r="FZ71" s="1703">
        <f t="shared" si="168"/>
      </c>
      <c r="GA71" s="1703">
        <f t="shared" ref="GA71" si="169">GA41/GA38</f>
      </c>
      <c r="GB71" s="1703">
        <f>GB41/GB38</f>
      </c>
      <c r="GC71" s="2635">
        <f>GC41/GC38</f>
      </c>
      <c r="GD71" s="1703">
        <f t="shared" ref="GD71:GF71" si="170">GD41/GD38</f>
      </c>
      <c r="GE71" s="1703">
        <f t="shared" si="170"/>
      </c>
      <c r="GF71" s="1703">
        <f t="shared" si="170"/>
      </c>
      <c r="GG71" s="3772">
        <f>GG41/GG38</f>
      </c>
      <c r="GH71" s="3771">
        <v>0.17749999999999999</v>
      </c>
      <c r="GI71" s="3771">
        <f t="shared" ref="GI71:GM71" si="171">+GH71</f>
      </c>
      <c r="GJ71" s="3771">
        <f t="shared" si="171"/>
      </c>
      <c r="GK71" s="3771">
        <f t="shared" si="171"/>
      </c>
      <c r="GL71" s="3771">
        <f t="shared" si="171"/>
      </c>
      <c r="GM71" s="3771">
        <f t="shared" si="171"/>
      </c>
    </row>
    <row r="72" spans="2:196" s="8" customFormat="1" ht="12.75" customHeight="1">
      <c r="B72" s="3491" t="s">
        <v>74</v>
      </c>
      <c r="C72" s="586"/>
      <c r="D72" s="586"/>
      <c r="E72" s="731">
        <f>E49/E24</f>
      </c>
      <c r="F72" s="731">
        <f>F49/F24</f>
      </c>
      <c r="G72" s="731">
        <f>G49/G24</f>
      </c>
      <c r="H72" s="731"/>
      <c r="I72" s="731"/>
      <c r="J72" s="731"/>
      <c r="K72" s="731"/>
      <c r="L72" s="731"/>
      <c r="M72" s="731"/>
      <c r="N72" s="731"/>
      <c r="O72" s="731"/>
      <c r="P72" s="731"/>
      <c r="Q72" s="731"/>
      <c r="R72" s="731"/>
      <c r="S72" s="55"/>
      <c r="T72" s="55"/>
      <c r="U72" s="55"/>
      <c r="V72" s="55"/>
      <c r="W72" s="731"/>
      <c r="X72" s="55"/>
      <c r="Y72" s="731"/>
      <c r="Z72" s="731"/>
      <c r="AA72" s="731"/>
      <c r="AB72" s="731"/>
      <c r="AC72" s="731">
        <f t="shared" ref="AC72:AP72" si="172">AC49/AC24</f>
      </c>
      <c r="AD72" s="731">
        <f t="shared" si="172"/>
      </c>
      <c r="AE72" s="731">
        <f t="shared" si="172"/>
      </c>
      <c r="AF72" s="731">
        <f t="shared" si="172"/>
      </c>
      <c r="AG72" s="731">
        <f t="shared" si="172"/>
      </c>
      <c r="AH72" s="731">
        <f t="shared" si="172"/>
      </c>
      <c r="AI72" s="731">
        <f t="shared" si="172"/>
      </c>
      <c r="AJ72" s="731">
        <f t="shared" si="172"/>
      </c>
      <c r="AK72" s="731">
        <f t="shared" si="172"/>
      </c>
      <c r="AL72" s="731">
        <f t="shared" si="172"/>
      </c>
      <c r="AM72" s="731">
        <f t="shared" si="172"/>
      </c>
      <c r="AN72" s="731">
        <f t="shared" si="172"/>
      </c>
      <c r="AO72" s="731">
        <f t="shared" si="172"/>
      </c>
      <c r="AP72" s="731">
        <f t="shared" si="172"/>
      </c>
      <c r="AQ72" s="731">
        <f t="shared" ref="AQ72:BV72" si="173">AQ43/AQ24</f>
      </c>
      <c r="AR72" s="731">
        <f t="shared" si="173"/>
      </c>
      <c r="AS72" s="731">
        <f t="shared" si="173"/>
      </c>
      <c r="AT72" s="731">
        <f t="shared" si="173"/>
      </c>
      <c r="AU72" s="731">
        <f t="shared" si="173"/>
      </c>
      <c r="AV72" s="731">
        <f t="shared" si="173"/>
      </c>
      <c r="AW72" s="731">
        <f t="shared" si="173"/>
      </c>
      <c r="AX72" s="731">
        <f t="shared" si="173"/>
      </c>
      <c r="AY72" s="731">
        <f t="shared" si="173"/>
      </c>
      <c r="AZ72" s="731">
        <f t="shared" si="173"/>
      </c>
      <c r="BA72" s="733">
        <f t="shared" si="173"/>
      </c>
      <c r="BB72" s="55">
        <f t="shared" si="173"/>
      </c>
      <c r="BC72" s="55">
        <f t="shared" si="173"/>
      </c>
      <c r="BD72" s="732">
        <f t="shared" si="173"/>
      </c>
      <c r="BE72" s="732">
        <f t="shared" si="173"/>
      </c>
      <c r="BF72" s="733">
        <f t="shared" si="173"/>
      </c>
      <c r="BG72" s="55">
        <f t="shared" si="173"/>
      </c>
      <c r="BH72" s="55">
        <f t="shared" si="173"/>
      </c>
      <c r="BI72" s="55">
        <f t="shared" si="173"/>
      </c>
      <c r="BJ72" s="55">
        <f t="shared" si="173"/>
      </c>
      <c r="BK72" s="733">
        <f t="shared" si="173"/>
      </c>
      <c r="BL72" s="55">
        <f t="shared" si="173"/>
      </c>
      <c r="BM72" s="55">
        <f t="shared" si="173"/>
      </c>
      <c r="BN72" s="55">
        <f t="shared" si="173"/>
      </c>
      <c r="BO72" s="55">
        <f t="shared" si="173"/>
      </c>
      <c r="BP72" s="733">
        <f t="shared" si="173"/>
      </c>
      <c r="BQ72" s="55">
        <f t="shared" si="173"/>
      </c>
      <c r="BR72" s="55">
        <f t="shared" si="173"/>
      </c>
      <c r="BS72" s="55">
        <f t="shared" si="173"/>
      </c>
      <c r="BT72" s="55">
        <f t="shared" si="173"/>
      </c>
      <c r="BU72" s="733">
        <f t="shared" si="173"/>
      </c>
      <c r="BV72" s="55">
        <f t="shared" si="173"/>
      </c>
      <c r="BW72" s="55">
        <f t="shared" ref="BW72:DB72" si="174">BW43/BW24</f>
      </c>
      <c r="BX72" s="55">
        <f t="shared" si="174"/>
      </c>
      <c r="BY72" s="55">
        <f t="shared" si="174"/>
      </c>
      <c r="BZ72" s="733">
        <f t="shared" si="174"/>
      </c>
      <c r="CA72" s="55">
        <f t="shared" si="174"/>
      </c>
      <c r="CB72" s="55">
        <f t="shared" si="174"/>
      </c>
      <c r="CC72" s="55">
        <f t="shared" si="174"/>
      </c>
      <c r="CD72" s="55">
        <f t="shared" si="174"/>
      </c>
      <c r="CE72" s="733">
        <f t="shared" si="174"/>
      </c>
      <c r="CF72" s="55">
        <f t="shared" si="174"/>
      </c>
      <c r="CG72" s="55">
        <f t="shared" si="174"/>
      </c>
      <c r="CH72" s="55">
        <f t="shared" si="174"/>
      </c>
      <c r="CI72" s="55">
        <f t="shared" si="174"/>
      </c>
      <c r="CJ72" s="733">
        <f t="shared" si="174"/>
      </c>
      <c r="CK72" s="55">
        <f t="shared" si="174"/>
      </c>
      <c r="CL72" s="55">
        <f t="shared" si="174"/>
      </c>
      <c r="CM72" s="55">
        <f t="shared" si="174"/>
      </c>
      <c r="CN72" s="55">
        <f t="shared" si="174"/>
      </c>
      <c r="CO72" s="733">
        <f t="shared" si="174"/>
      </c>
      <c r="CP72" s="55">
        <f t="shared" si="174"/>
      </c>
      <c r="CQ72" s="55">
        <f t="shared" si="174"/>
      </c>
      <c r="CR72" s="55">
        <f t="shared" si="174"/>
      </c>
      <c r="CS72" s="55">
        <f t="shared" si="174"/>
      </c>
      <c r="CT72" s="733">
        <f t="shared" si="174"/>
      </c>
      <c r="CU72" s="55">
        <f t="shared" si="174"/>
      </c>
      <c r="CV72" s="55">
        <f t="shared" si="174"/>
      </c>
      <c r="CW72" s="55">
        <f t="shared" si="174"/>
      </c>
      <c r="CX72" s="55">
        <f t="shared" si="174"/>
      </c>
      <c r="CY72" s="733">
        <f t="shared" si="174"/>
      </c>
      <c r="CZ72" s="55">
        <f t="shared" si="174"/>
      </c>
      <c r="DA72" s="55">
        <f t="shared" si="174"/>
      </c>
      <c r="DB72" s="55">
        <f t="shared" si="174"/>
      </c>
      <c r="DC72" s="55">
        <f t="shared" ref="DC72:EH72" si="175">DC43/DC24</f>
      </c>
      <c r="DD72" s="733">
        <f t="shared" si="175"/>
      </c>
      <c r="DE72" s="55">
        <f t="shared" si="175"/>
      </c>
      <c r="DF72" s="55">
        <f t="shared" si="175"/>
      </c>
      <c r="DG72" s="55">
        <f t="shared" si="175"/>
      </c>
      <c r="DH72" s="55">
        <f t="shared" si="175"/>
      </c>
      <c r="DI72" s="733">
        <f t="shared" si="175"/>
      </c>
      <c r="DJ72" s="55">
        <f t="shared" si="175"/>
      </c>
      <c r="DK72" s="55">
        <f t="shared" si="175"/>
      </c>
      <c r="DL72" s="55">
        <f t="shared" si="175"/>
      </c>
      <c r="DM72" s="55">
        <f t="shared" si="175"/>
      </c>
      <c r="DN72" s="733">
        <f t="shared" si="175"/>
      </c>
      <c r="DO72" s="55">
        <f t="shared" si="175"/>
      </c>
      <c r="DP72" s="55">
        <f t="shared" si="175"/>
      </c>
      <c r="DQ72" s="55">
        <f t="shared" si="175"/>
      </c>
      <c r="DR72" s="55">
        <f t="shared" si="175"/>
      </c>
      <c r="DS72" s="733">
        <f t="shared" si="175"/>
      </c>
      <c r="DT72" s="55">
        <f t="shared" si="175"/>
      </c>
      <c r="DU72" s="55">
        <f t="shared" si="175"/>
      </c>
      <c r="DV72" s="55">
        <f t="shared" si="175"/>
      </c>
      <c r="DW72" s="55">
        <f t="shared" si="175"/>
      </c>
      <c r="DX72" s="733">
        <f t="shared" si="175"/>
      </c>
      <c r="DY72" s="55">
        <f t="shared" si="175"/>
      </c>
      <c r="DZ72" s="55">
        <f t="shared" si="175"/>
      </c>
      <c r="EA72" s="55">
        <f t="shared" si="175"/>
      </c>
      <c r="EB72" s="55">
        <f t="shared" si="175"/>
      </c>
      <c r="EC72" s="1096">
        <f t="shared" si="175"/>
      </c>
      <c r="ED72" s="55">
        <f t="shared" si="175"/>
      </c>
      <c r="EE72" s="55">
        <f t="shared" si="175"/>
      </c>
      <c r="EF72" s="55">
        <f t="shared" si="175"/>
      </c>
      <c r="EG72" s="55">
        <f t="shared" si="175"/>
      </c>
      <c r="EH72" s="1096">
        <f t="shared" si="175"/>
      </c>
      <c r="EI72" s="55">
        <f t="shared" ref="EI72:FN72" si="176">EI43/EI24</f>
      </c>
      <c r="EJ72" s="1035">
        <f t="shared" si="176"/>
      </c>
      <c r="EK72" s="1035">
        <f t="shared" si="176"/>
      </c>
      <c r="EL72" s="1035">
        <f t="shared" si="176"/>
      </c>
      <c r="EM72" s="1096">
        <f t="shared" si="176"/>
      </c>
      <c r="EN72" s="55">
        <f t="shared" si="176"/>
      </c>
      <c r="EO72" s="55">
        <f t="shared" si="176"/>
      </c>
      <c r="EP72" s="55">
        <f t="shared" si="176"/>
      </c>
      <c r="EQ72" s="1035">
        <f t="shared" si="176"/>
      </c>
      <c r="ER72" s="1096">
        <f t="shared" si="176"/>
      </c>
      <c r="ES72" s="55">
        <f t="shared" si="176"/>
      </c>
      <c r="ET72" s="55">
        <f t="shared" si="176"/>
      </c>
      <c r="EU72" s="55">
        <f t="shared" si="176"/>
      </c>
      <c r="EV72" s="1035">
        <f t="shared" si="176"/>
      </c>
      <c r="EW72" s="1707">
        <f t="shared" si="176"/>
      </c>
      <c r="EX72" s="1708">
        <f t="shared" si="176"/>
      </c>
      <c r="EY72" s="1708">
        <f t="shared" si="176"/>
      </c>
      <c r="EZ72" s="1708">
        <f t="shared" si="176"/>
      </c>
      <c r="FA72" s="1709">
        <f t="shared" si="176"/>
      </c>
      <c r="FB72" s="1707">
        <f t="shared" si="176"/>
      </c>
      <c r="FC72" s="1708">
        <f t="shared" si="176"/>
      </c>
      <c r="FD72" s="1708">
        <f t="shared" si="176"/>
      </c>
      <c r="FE72" s="1709">
        <f t="shared" si="176"/>
      </c>
      <c r="FF72" s="1710">
        <f t="shared" si="176"/>
      </c>
      <c r="FG72" s="1711">
        <f t="shared" si="176"/>
      </c>
      <c r="FH72" s="1708">
        <f t="shared" si="176"/>
      </c>
      <c r="FI72" s="1709">
        <f t="shared" si="176"/>
      </c>
      <c r="FJ72" s="1709">
        <f t="shared" si="176"/>
      </c>
      <c r="FK72" s="1710">
        <f t="shared" si="176"/>
      </c>
      <c r="FL72" s="1707">
        <f t="shared" si="176"/>
      </c>
      <c r="FM72" s="1710">
        <f t="shared" si="176"/>
      </c>
      <c r="FN72" s="1710">
        <f t="shared" si="176"/>
      </c>
      <c r="FO72" s="2846">
        <f t="shared" ref="FO72:GJ72" si="177">FO43/FO24</f>
      </c>
      <c r="FP72" s="1710">
        <f t="shared" si="177"/>
      </c>
      <c r="FQ72" s="1710">
        <f t="shared" si="177"/>
      </c>
      <c r="FR72" s="1710">
        <f t="shared" si="177"/>
      </c>
      <c r="FS72" s="1711">
        <f t="shared" si="177"/>
      </c>
      <c r="FT72" s="1710">
        <f t="shared" si="177"/>
      </c>
      <c r="FU72" s="2847">
        <f t="shared" si="177"/>
      </c>
      <c r="FV72" s="3183">
        <f t="shared" si="177"/>
      </c>
      <c r="FW72" s="1710">
        <f t="shared" si="177"/>
      </c>
      <c r="FX72" s="1711">
        <f>FX43/FX24</f>
      </c>
      <c r="FY72" s="1710">
        <f t="shared" ref="FY72:FZ72" si="178">FY43/FY24</f>
      </c>
      <c r="FZ72" s="1710">
        <f t="shared" si="178"/>
      </c>
      <c r="GA72" s="1710">
        <f t="shared" ref="GA72" si="179">GA43/GA24</f>
      </c>
      <c r="GB72" s="1710">
        <f t="shared" si="177"/>
      </c>
      <c r="GC72" s="3770">
        <f>GC43/GC24</f>
      </c>
      <c r="GD72" s="1710">
        <f t="shared" ref="GD72:GF72" si="180">GD43/GD24</f>
      </c>
      <c r="GE72" s="1710">
        <f t="shared" si="180"/>
      </c>
      <c r="GF72" s="1710">
        <f t="shared" si="180"/>
      </c>
      <c r="GG72" s="3576">
        <f t="shared" si="177"/>
      </c>
      <c r="GH72" s="1707">
        <f t="shared" si="177"/>
      </c>
      <c r="GI72" s="1707">
        <f t="shared" ca="1" si="177"/>
      </c>
      <c r="GJ72" s="1707">
        <f t="shared" ca="1" si="177"/>
      </c>
      <c r="GK72" s="1707">
        <f ca="1">GK43/GK24</f>
      </c>
      <c r="GL72" s="1707">
        <f ca="1">GL43/GL24</f>
      </c>
      <c r="GM72" s="1707">
        <f ca="1">GM43/GM24</f>
      </c>
    </row>
    <row r="73" spans="2:196" s="3" customFormat="1" ht="15" customHeight="1">
      <c r="B73" s="1"/>
      <c r="C73" s="225"/>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35"/>
      <c r="AQ73" s="226"/>
      <c r="AR73" s="226"/>
      <c r="AS73" s="226"/>
      <c r="AT73" s="226"/>
      <c r="AU73" s="226"/>
      <c r="AV73" s="226"/>
      <c r="AW73" s="226"/>
      <c r="AX73" s="47"/>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c r="CZ73" s="226"/>
      <c r="DA73" s="226"/>
      <c r="DB73" s="226"/>
      <c r="DC73" s="226"/>
      <c r="DD73" s="226"/>
      <c r="DE73" s="226"/>
      <c r="DF73" s="226"/>
      <c r="DG73" s="226"/>
      <c r="DH73" s="226"/>
      <c r="DI73" s="226"/>
      <c r="DJ73" s="226"/>
      <c r="DK73" s="226"/>
      <c r="DL73" s="226"/>
      <c r="DM73" s="226"/>
      <c r="DN73" s="226"/>
      <c r="DO73" s="226"/>
      <c r="DP73" s="226"/>
      <c r="DQ73" s="226"/>
      <c r="DR73" s="226"/>
      <c r="DS73" s="226"/>
      <c r="DT73" s="226"/>
      <c r="DU73" s="226"/>
      <c r="DV73" s="226"/>
      <c r="DW73" s="226"/>
      <c r="DX73" s="226"/>
      <c r="DY73" s="226"/>
      <c r="DZ73" s="226"/>
      <c r="EA73" s="226"/>
      <c r="EB73" s="226"/>
      <c r="EC73" s="741"/>
      <c r="ED73" s="1032"/>
      <c r="EE73" s="226"/>
      <c r="EF73" s="226"/>
      <c r="EG73" s="226"/>
      <c r="EH73" s="741"/>
      <c r="EI73" s="1032"/>
      <c r="EJ73" s="1032"/>
      <c r="EK73" s="1032"/>
      <c r="EL73" s="1032"/>
      <c r="EM73" s="741"/>
      <c r="EN73" s="1032"/>
      <c r="EO73" s="1032"/>
      <c r="EP73" s="1032"/>
      <c r="EQ73" s="1032"/>
      <c r="ER73" s="741"/>
      <c r="ES73" s="1379"/>
      <c r="ET73" s="1379"/>
      <c r="EU73" s="1379"/>
      <c r="EV73" s="1379"/>
      <c r="EW73" s="1692"/>
      <c r="EX73" s="1693"/>
      <c r="EY73" s="1693"/>
      <c r="EZ73" s="1693"/>
      <c r="FA73" s="1693"/>
      <c r="FB73" s="1692"/>
      <c r="FC73" s="1712"/>
      <c r="FD73" s="1712"/>
      <c r="FE73" s="1712"/>
      <c r="FF73" s="1712"/>
      <c r="FG73" s="1692"/>
      <c r="FH73" s="1712"/>
      <c r="FI73" s="1712"/>
      <c r="FJ73" s="1712"/>
      <c r="FK73" s="1712"/>
      <c r="FL73" s="1692"/>
      <c r="FM73" s="2636"/>
      <c r="FN73" s="2888"/>
      <c r="FO73" s="2841"/>
      <c r="FP73" s="2841"/>
      <c r="FQ73" s="2841"/>
      <c r="FR73" s="2841"/>
      <c r="FS73" s="2841"/>
      <c r="FT73" s="2888"/>
      <c r="FU73" s="2888"/>
      <c r="FV73" s="2888"/>
      <c r="FW73" s="2888"/>
      <c r="FX73" s="2841"/>
      <c r="FY73" s="2888"/>
      <c r="FZ73" s="2888"/>
      <c r="GA73" s="2888"/>
      <c r="GB73" s="2636"/>
      <c r="GC73" s="1692"/>
      <c r="GD73" s="2888"/>
      <c r="GE73" s="2888"/>
      <c r="GF73" s="2888"/>
      <c r="GG73" s="3577"/>
      <c r="GH73" s="1692"/>
      <c r="GI73" s="1692"/>
      <c r="GJ73" s="1692"/>
      <c r="GK73" s="1692"/>
      <c r="GL73" s="1692"/>
      <c r="GM73" s="1692"/>
    </row>
    <row r="74" spans="2:196" ht="13.5" customHeight="1">
      <c r="B74" s="347" t="s">
        <v>491</v>
      </c>
      <c r="C74" s="591"/>
      <c r="D74" s="591"/>
      <c r="E74" s="591"/>
      <c r="F74" s="591"/>
      <c r="G74" s="591"/>
      <c r="H74" s="591"/>
      <c r="I74" s="591"/>
      <c r="J74" s="591"/>
      <c r="K74" s="591"/>
      <c r="L74" s="591"/>
      <c r="M74" s="591"/>
      <c r="N74" s="591"/>
      <c r="O74" s="591"/>
      <c r="P74" s="591"/>
      <c r="Q74" s="591"/>
      <c r="R74" s="591"/>
      <c r="S74" s="591"/>
      <c r="T74" s="591"/>
      <c r="U74" s="591"/>
      <c r="V74" s="591"/>
      <c r="W74" s="591"/>
      <c r="X74" s="742" t="e">
        <f>#REF!/X27</f>
      </c>
      <c r="Y74" s="591"/>
      <c r="Z74" s="591"/>
      <c r="AA74" s="591"/>
      <c r="AB74" s="591"/>
      <c r="AC74" s="591"/>
      <c r="AD74" s="591"/>
      <c r="AE74" s="591"/>
      <c r="AF74" s="591"/>
      <c r="AG74" s="591"/>
      <c r="AH74" s="591"/>
      <c r="AI74" s="591"/>
      <c r="AJ74" s="591"/>
      <c r="AK74" s="591"/>
      <c r="AL74" s="591"/>
      <c r="AM74" s="743"/>
      <c r="AN74" s="743"/>
      <c r="AO74" s="743"/>
      <c r="AP74" s="743"/>
      <c r="AQ74" s="591"/>
      <c r="AR74" s="743"/>
      <c r="AS74" s="743"/>
      <c r="AT74" s="743"/>
      <c r="AU74" s="743"/>
      <c r="AV74" s="591"/>
      <c r="AW74" s="743"/>
      <c r="AX74" s="743"/>
      <c r="AY74" s="743" t="s">
        <v>29</v>
      </c>
      <c r="AZ74" s="743"/>
      <c r="BA74" s="745"/>
      <c r="BB74" s="743"/>
      <c r="BC74" s="743"/>
      <c r="BD74" s="743"/>
      <c r="BE74" s="743"/>
      <c r="BF74" s="745"/>
      <c r="BG74" s="743"/>
      <c r="BH74" s="743"/>
      <c r="BI74" s="743"/>
      <c r="BJ74" s="743"/>
      <c r="BK74" s="745"/>
      <c r="BL74" s="743"/>
      <c r="BM74" s="743"/>
      <c r="BN74" s="743"/>
      <c r="BO74" s="743"/>
      <c r="BP74" s="745"/>
      <c r="BQ74" s="743"/>
      <c r="BR74" s="743"/>
      <c r="BS74" s="743"/>
      <c r="BT74" s="743"/>
      <c r="BU74" s="745"/>
      <c r="BV74" s="743"/>
      <c r="BW74" s="743"/>
      <c r="BX74" s="743"/>
      <c r="BY74" s="743"/>
      <c r="BZ74" s="745"/>
      <c r="CA74" s="743"/>
      <c r="CB74" s="743"/>
      <c r="CC74" s="743"/>
      <c r="CD74" s="743"/>
      <c r="CE74" s="745"/>
      <c r="CF74" s="744"/>
      <c r="CG74" s="744"/>
      <c r="CH74" s="744"/>
      <c r="CI74" s="744"/>
      <c r="CJ74" s="745"/>
      <c r="CK74" s="744"/>
      <c r="CL74" s="744"/>
      <c r="CM74" s="744"/>
      <c r="CN74" s="744"/>
      <c r="CO74" s="745"/>
      <c r="CP74" s="744"/>
      <c r="CQ74" s="744"/>
      <c r="CR74" s="744"/>
      <c r="CS74" s="743"/>
      <c r="CT74" s="745"/>
      <c r="CU74" s="743"/>
      <c r="CV74" s="743"/>
      <c r="CW74" s="743"/>
      <c r="CX74" s="743"/>
      <c r="CY74" s="745"/>
      <c r="CZ74" s="743"/>
      <c r="DA74" s="743"/>
      <c r="DB74" s="743"/>
      <c r="DC74" s="743"/>
      <c r="DD74" s="745"/>
      <c r="DE74" s="743"/>
      <c r="DF74" s="743"/>
      <c r="DG74" s="743"/>
      <c r="DH74" s="743"/>
      <c r="DI74" s="592"/>
      <c r="DJ74" s="743"/>
      <c r="DK74" s="743"/>
      <c r="DL74" s="743"/>
      <c r="DM74" s="743"/>
      <c r="DN74" s="592"/>
      <c r="DO74" s="743"/>
      <c r="DP74" s="743"/>
      <c r="DQ74" s="743"/>
      <c r="DR74" s="743"/>
      <c r="DS74" s="592"/>
      <c r="DT74" s="743"/>
      <c r="DU74" s="743"/>
      <c r="DV74" s="743"/>
      <c r="DW74" s="743"/>
      <c r="DX74" s="592"/>
      <c r="DY74" s="743"/>
      <c r="DZ74" s="743"/>
      <c r="EA74" s="743"/>
      <c r="EB74" s="743"/>
      <c r="EC74" s="592"/>
      <c r="ED74" s="743"/>
      <c r="EE74" s="743"/>
      <c r="EF74" s="743"/>
      <c r="EG74" s="743"/>
      <c r="EH74" s="592"/>
      <c r="EI74" s="743"/>
      <c r="EJ74" s="743"/>
      <c r="EK74" s="743"/>
      <c r="EL74" s="743"/>
      <c r="EM74" s="592"/>
      <c r="EN74" s="743"/>
      <c r="EO74" s="743"/>
      <c r="EP74" s="743"/>
      <c r="EQ74" s="743"/>
      <c r="ER74" s="592"/>
      <c r="ES74" s="1383"/>
      <c r="ET74" s="1385"/>
      <c r="EU74" s="1385"/>
      <c r="EV74" s="1381"/>
      <c r="EW74" s="1713"/>
      <c r="EX74" s="1575"/>
      <c r="EY74" s="1575"/>
      <c r="EZ74" s="1575"/>
      <c r="FA74" s="1714"/>
      <c r="FB74" s="1713"/>
      <c r="FC74" s="1575"/>
      <c r="FD74" s="1575"/>
      <c r="FE74" s="1715"/>
      <c r="FF74" s="1716"/>
      <c r="FG74" s="1695"/>
      <c r="FH74" s="1575"/>
      <c r="FI74" s="1575"/>
      <c r="FJ74" s="1575"/>
      <c r="FK74" s="1714"/>
      <c r="FL74" s="1695"/>
      <c r="FM74" s="1715"/>
      <c r="FN74" s="2792"/>
      <c r="FO74" s="2848"/>
      <c r="FP74" s="2792"/>
      <c r="FQ74" s="2792"/>
      <c r="FR74" s="1714"/>
      <c r="FS74" s="1695"/>
      <c r="FT74" s="2792"/>
      <c r="FU74" s="1714"/>
      <c r="FV74" s="2792"/>
      <c r="FW74" s="2637"/>
      <c r="FX74" s="1695"/>
      <c r="FY74" s="1715"/>
      <c r="FZ74" s="1715"/>
      <c r="GA74" s="1715"/>
      <c r="GB74" s="2637"/>
      <c r="GC74" s="3291"/>
      <c r="GD74" s="1715"/>
      <c r="GE74" s="1715"/>
      <c r="GF74" s="1715"/>
      <c r="GG74" s="2637"/>
      <c r="GH74" s="1695"/>
      <c r="GI74" s="1695"/>
      <c r="GJ74" s="1695"/>
      <c r="GK74" s="1695"/>
      <c r="GL74" s="1695"/>
      <c r="GM74" s="1695"/>
    </row>
    <row r="75" spans="2:196" ht="13.5" customHeight="1">
      <c r="B75" s="2688" t="s">
        <v>286</v>
      </c>
      <c r="M75" s="22" t="str">
        <f t="shared" ref="M75:AR75" si="181">IF(ISNUMBER(M24/H24-1),M24/H24-1,"NM")</f>
      </c>
      <c r="N75" s="22" t="str">
        <f t="shared" si="181"/>
      </c>
      <c r="O75" s="22" t="str">
        <f t="shared" si="181"/>
      </c>
      <c r="P75" s="22" t="str">
        <f t="shared" si="181"/>
      </c>
      <c r="Q75" s="22">
        <f t="shared" si="181"/>
      </c>
      <c r="R75" s="22" t="str">
        <f t="shared" si="181"/>
      </c>
      <c r="S75" s="22" t="str">
        <f t="shared" si="181"/>
      </c>
      <c r="T75" s="22" t="str">
        <f t="shared" si="181"/>
      </c>
      <c r="U75" s="22" t="str">
        <f t="shared" si="181"/>
      </c>
      <c r="V75" s="22">
        <f t="shared" si="181"/>
      </c>
      <c r="W75" s="22" t="str">
        <f t="shared" si="181"/>
      </c>
      <c r="X75" s="22" t="str">
        <f t="shared" si="181"/>
      </c>
      <c r="Y75" s="22" t="str">
        <f t="shared" si="181"/>
      </c>
      <c r="Z75" s="22" t="str">
        <f t="shared" si="181"/>
      </c>
      <c r="AA75" s="22">
        <f t="shared" si="181"/>
      </c>
      <c r="AB75" s="22" t="str">
        <f t="shared" si="181"/>
      </c>
      <c r="AC75" s="22" t="str">
        <f t="shared" si="181"/>
      </c>
      <c r="AD75" s="22" t="str">
        <f t="shared" si="181"/>
      </c>
      <c r="AE75" s="22">
        <f t="shared" si="181"/>
      </c>
      <c r="AF75" s="22">
        <f t="shared" si="181"/>
      </c>
      <c r="AG75" s="22" t="str">
        <f t="shared" si="181"/>
      </c>
      <c r="AH75" s="22">
        <f t="shared" si="181"/>
      </c>
      <c r="AI75" s="22">
        <f t="shared" si="181"/>
      </c>
      <c r="AJ75" s="22">
        <f t="shared" si="181"/>
      </c>
      <c r="AK75" s="22">
        <f t="shared" si="181"/>
      </c>
      <c r="AL75" s="22">
        <f t="shared" si="181"/>
      </c>
      <c r="AM75" s="22">
        <f t="shared" si="181"/>
      </c>
      <c r="AN75" s="22">
        <f t="shared" si="181"/>
      </c>
      <c r="AO75" s="22">
        <f t="shared" si="181"/>
      </c>
      <c r="AP75" s="22">
        <f t="shared" si="181"/>
      </c>
      <c r="AQ75" s="22">
        <f t="shared" si="181"/>
      </c>
      <c r="AR75" s="22">
        <f t="shared" si="181"/>
      </c>
      <c r="AS75" s="22">
        <f t="shared" ref="AS75:BX75" si="182">IF(ISNUMBER(AS24/AN24-1),AS24/AN24-1,"NM")</f>
      </c>
      <c r="AT75" s="22">
        <f t="shared" si="182"/>
      </c>
      <c r="AU75" s="22">
        <f t="shared" si="182"/>
      </c>
      <c r="AV75" s="22">
        <f t="shared" si="182"/>
      </c>
      <c r="AW75" s="22">
        <f t="shared" si="182"/>
      </c>
      <c r="AX75" s="22">
        <f t="shared" si="182"/>
      </c>
      <c r="AY75" s="22">
        <f t="shared" si="182"/>
      </c>
      <c r="AZ75" s="22">
        <f t="shared" si="182"/>
      </c>
      <c r="BA75" s="297">
        <f t="shared" si="182"/>
      </c>
      <c r="BB75" s="22">
        <f t="shared" si="182"/>
      </c>
      <c r="BC75" s="22">
        <f t="shared" si="182"/>
      </c>
      <c r="BD75" s="22">
        <f t="shared" si="182"/>
      </c>
      <c r="BE75" s="22">
        <f t="shared" si="182"/>
      </c>
      <c r="BF75" s="297">
        <f t="shared" si="182"/>
      </c>
      <c r="BG75" s="22">
        <f t="shared" si="182"/>
      </c>
      <c r="BH75" s="22">
        <f t="shared" si="182"/>
      </c>
      <c r="BI75" s="22">
        <f t="shared" si="182"/>
      </c>
      <c r="BJ75" s="22">
        <f t="shared" si="182"/>
      </c>
      <c r="BK75" s="297">
        <f t="shared" si="182"/>
      </c>
      <c r="BL75" s="22">
        <f t="shared" si="182"/>
      </c>
      <c r="BM75" s="22">
        <f t="shared" si="182"/>
      </c>
      <c r="BN75" s="22">
        <f t="shared" si="182"/>
      </c>
      <c r="BO75" s="22">
        <f t="shared" si="182"/>
      </c>
      <c r="BP75" s="297">
        <f t="shared" si="182"/>
      </c>
      <c r="BQ75" s="22">
        <f t="shared" si="182"/>
      </c>
      <c r="BR75" s="22">
        <f t="shared" si="182"/>
      </c>
      <c r="BS75" s="22">
        <f t="shared" si="182"/>
      </c>
      <c r="BT75" s="22">
        <f t="shared" si="182"/>
      </c>
      <c r="BU75" s="297">
        <f t="shared" si="182"/>
      </c>
      <c r="BV75" s="22">
        <f t="shared" si="182"/>
      </c>
      <c r="BW75" s="22">
        <f t="shared" si="182"/>
      </c>
      <c r="BX75" s="22">
        <f t="shared" si="182"/>
      </c>
      <c r="BY75" s="22">
        <f t="shared" ref="BY75:DD75" si="183">IF(ISNUMBER(BY24/BT24-1),BY24/BT24-1,"NM")</f>
      </c>
      <c r="BZ75" s="297">
        <f t="shared" si="183"/>
      </c>
      <c r="CA75" s="22">
        <f t="shared" si="183"/>
      </c>
      <c r="CB75" s="22">
        <f t="shared" si="183"/>
      </c>
      <c r="CC75" s="22">
        <f t="shared" si="183"/>
      </c>
      <c r="CD75" s="22">
        <f t="shared" si="183"/>
      </c>
      <c r="CE75" s="297">
        <f t="shared" si="183"/>
      </c>
      <c r="CF75" s="22">
        <f t="shared" si="183"/>
      </c>
      <c r="CG75" s="22">
        <f t="shared" si="183"/>
      </c>
      <c r="CH75" s="22">
        <f t="shared" si="183"/>
      </c>
      <c r="CI75" s="22">
        <f t="shared" si="183"/>
      </c>
      <c r="CJ75" s="297">
        <f t="shared" si="183"/>
      </c>
      <c r="CK75" s="22">
        <f t="shared" si="183"/>
      </c>
      <c r="CL75" s="22">
        <f t="shared" si="183"/>
      </c>
      <c r="CM75" s="22">
        <f t="shared" si="183"/>
      </c>
      <c r="CN75" s="22">
        <f t="shared" si="183"/>
      </c>
      <c r="CO75" s="297">
        <f t="shared" si="183"/>
      </c>
      <c r="CP75" s="22">
        <f t="shared" si="183"/>
      </c>
      <c r="CQ75" s="22">
        <f t="shared" si="183"/>
      </c>
      <c r="CR75" s="22">
        <f t="shared" si="183"/>
      </c>
      <c r="CS75" s="22">
        <f t="shared" si="183"/>
      </c>
      <c r="CT75" s="297">
        <f t="shared" si="183"/>
      </c>
      <c r="CU75" s="22">
        <f t="shared" si="183"/>
      </c>
      <c r="CV75" s="22">
        <f t="shared" si="183"/>
      </c>
      <c r="CW75" s="22">
        <f t="shared" si="183"/>
      </c>
      <c r="CX75" s="22">
        <f t="shared" si="183"/>
      </c>
      <c r="CY75" s="297">
        <f t="shared" si="183"/>
      </c>
      <c r="CZ75" s="22">
        <f t="shared" si="183"/>
      </c>
      <c r="DA75" s="22">
        <f t="shared" si="183"/>
      </c>
      <c r="DB75" s="22">
        <f t="shared" si="183"/>
      </c>
      <c r="DC75" s="22">
        <f t="shared" si="183"/>
      </c>
      <c r="DD75" s="297">
        <f t="shared" si="183"/>
      </c>
      <c r="DE75" s="22">
        <f t="shared" ref="DE75:EJ75" si="184">IF(ISNUMBER(DE24/CZ24-1),DE24/CZ24-1,"NM")</f>
      </c>
      <c r="DF75" s="22">
        <f t="shared" si="184"/>
      </c>
      <c r="DG75" s="22">
        <f t="shared" si="184"/>
      </c>
      <c r="DH75" s="22">
        <f t="shared" si="184"/>
      </c>
      <c r="DI75" s="297">
        <f t="shared" si="184"/>
      </c>
      <c r="DJ75" s="22">
        <f t="shared" si="184"/>
      </c>
      <c r="DK75" s="22">
        <f t="shared" si="184"/>
      </c>
      <c r="DL75" s="22">
        <f t="shared" si="184"/>
      </c>
      <c r="DM75" s="22">
        <f t="shared" si="184"/>
      </c>
      <c r="DN75" s="297">
        <f t="shared" si="184"/>
      </c>
      <c r="DO75" s="22">
        <f t="shared" si="184"/>
      </c>
      <c r="DP75" s="22">
        <f t="shared" si="184"/>
      </c>
      <c r="DQ75" s="22">
        <f t="shared" si="184"/>
      </c>
      <c r="DR75" s="22">
        <f t="shared" si="184"/>
      </c>
      <c r="DS75" s="297">
        <f t="shared" si="184"/>
      </c>
      <c r="DT75" s="22">
        <f t="shared" si="184"/>
      </c>
      <c r="DU75" s="22">
        <f t="shared" si="184"/>
      </c>
      <c r="DV75" s="22">
        <f t="shared" si="184"/>
      </c>
      <c r="DW75" s="22">
        <f t="shared" si="184"/>
      </c>
      <c r="DX75" s="297">
        <f t="shared" si="184"/>
      </c>
      <c r="DY75" s="22">
        <f t="shared" si="184"/>
      </c>
      <c r="DZ75" s="22">
        <f t="shared" si="184"/>
      </c>
      <c r="EA75" s="22">
        <f t="shared" si="184"/>
      </c>
      <c r="EB75" s="22">
        <f t="shared" si="184"/>
      </c>
      <c r="EC75" s="297">
        <f t="shared" si="184"/>
      </c>
      <c r="ED75" s="22">
        <f t="shared" si="184"/>
      </c>
      <c r="EE75" s="22">
        <f t="shared" si="184"/>
      </c>
      <c r="EF75" s="22">
        <f t="shared" si="184"/>
      </c>
      <c r="EG75" s="22">
        <f t="shared" si="184"/>
      </c>
      <c r="EH75" s="297">
        <f t="shared" si="184"/>
      </c>
      <c r="EI75" s="959">
        <f t="shared" si="184"/>
      </c>
      <c r="EJ75" s="959">
        <f t="shared" si="184"/>
      </c>
      <c r="EK75" s="959">
        <f t="shared" ref="EK75:FN75" si="185">IF(ISNUMBER(EK24/EF24-1),EK24/EF24-1,"NM")</f>
      </c>
      <c r="EL75" s="959">
        <f t="shared" si="185"/>
      </c>
      <c r="EM75" s="297">
        <f t="shared" si="185"/>
      </c>
      <c r="EN75" s="959">
        <f t="shared" si="185"/>
      </c>
      <c r="EO75" s="959">
        <f t="shared" si="185"/>
      </c>
      <c r="EP75" s="959">
        <f t="shared" si="185"/>
      </c>
      <c r="EQ75" s="959">
        <f t="shared" si="185"/>
      </c>
      <c r="ER75" s="297">
        <f t="shared" si="185"/>
      </c>
      <c r="ES75" s="959">
        <f t="shared" si="185"/>
      </c>
      <c r="ET75" s="959">
        <f t="shared" si="185"/>
      </c>
      <c r="EU75" s="959">
        <f t="shared" si="185"/>
      </c>
      <c r="EV75" s="959">
        <f t="shared" si="185"/>
      </c>
      <c r="EW75" s="1060">
        <f t="shared" si="185"/>
      </c>
      <c r="EX75" s="926">
        <f t="shared" si="185"/>
      </c>
      <c r="EY75" s="926">
        <f t="shared" si="185"/>
      </c>
      <c r="EZ75" s="926">
        <f t="shared" si="185"/>
      </c>
      <c r="FA75" s="926">
        <f t="shared" si="185"/>
      </c>
      <c r="FB75" s="1060">
        <f t="shared" si="185"/>
      </c>
      <c r="FC75" s="926">
        <f t="shared" si="185"/>
      </c>
      <c r="FD75" s="926">
        <f t="shared" si="185"/>
      </c>
      <c r="FE75" s="926">
        <f t="shared" si="185"/>
      </c>
      <c r="FF75" s="926">
        <f t="shared" si="185"/>
      </c>
      <c r="FG75" s="1060">
        <f t="shared" si="185"/>
      </c>
      <c r="FH75" s="926">
        <f t="shared" si="185"/>
      </c>
      <c r="FI75" s="926">
        <f t="shared" si="185"/>
      </c>
      <c r="FJ75" s="926">
        <f t="shared" si="185"/>
      </c>
      <c r="FK75" s="926">
        <f t="shared" si="185"/>
      </c>
      <c r="FL75" s="1060">
        <f t="shared" si="185"/>
      </c>
      <c r="FM75" s="926">
        <f t="shared" si="185"/>
      </c>
      <c r="FN75" s="926">
        <f t="shared" si="185"/>
      </c>
      <c r="FO75" s="958"/>
      <c r="FP75" s="926"/>
      <c r="FQ75" s="926"/>
      <c r="FR75" s="926"/>
      <c r="FS75" s="1060"/>
      <c r="FT75" s="926" t="str">
        <f>IF(ISNUMBER(FT16/FO16-1),FT16/FO16-1,"NM")</f>
      </c>
      <c r="FU75" s="928" t="str">
        <f>IF(ISNUMBER(FU16/FP16-1),FU16/FP16-1,"NM")</f>
      </c>
      <c r="FV75" s="926" t="str">
        <f>IF(ISNUMBER(FV16/FQ16-1),FV16/FQ16-1,"NM")</f>
      </c>
      <c r="FW75" s="926" t="str">
        <f>IF(ISNUMBER(FW16/FR16-1),FW16/FR16-1,"NM")</f>
      </c>
      <c r="FX75" s="1060" t="str">
        <f>IF(ISNUMBER(FX16/FS16-1),FX16/FS16-1,"NM")</f>
      </c>
      <c r="FY75" s="926">
        <f>IF(ISNUMBER((FY24-'Sales Model'!DZ1653)/(FT24-'Sales Model'!DU1653)-1),(FY24-'Sales Model'!DZ1653)/(FT24-'Sales Model'!DU1653)-1,"NM")</f>
      </c>
      <c r="FZ75" s="926">
        <f>IF(ISNUMBER((FZ24-'Sales Model'!EA1653)/(FU24-'Sales Model'!DV1653)-1),(FZ24-'Sales Model'!EA1653)/(FU24-'Sales Model'!DV1653)-1,"NM")</f>
      </c>
      <c r="GA75" s="926">
        <f>IF(ISNUMBER((GA24-'Sales Model'!EB1653)/(FV24-'Sales Model'!DW1653)-1),(GA24-'Sales Model'!EB1653)/(FV24-'Sales Model'!DW1653)-1,"NM")</f>
      </c>
      <c r="GB75" s="926">
        <f>IF(ISNUMBER((GB24-'Sales Model'!EC1653)/(FW24-'Sales Model'!DX1653)-1),(GB24-'Sales Model'!EC1653)/(FW24-'Sales Model'!DX1653)-1,"NM")</f>
      </c>
      <c r="GC75" s="1060">
        <f>IF(ISNUMBER((GC24-'Sales Model'!ED1653)/(FX24-'Sales Model'!DY1653)-1),(GC24-'Sales Model'!ED1653)/(FX24-'Sales Model'!DY1653)-1,"NM")</f>
      </c>
      <c r="GD75" s="926">
        <f>IF(ISNUMBER((GD24-'Sales Model'!EE1653)/(FY24-'Sales Model'!DZ1653)-1),(GD24-'Sales Model'!EE1653)/(FY24-'Sales Model'!DZ1653)-1,"NM")</f>
      </c>
      <c r="GE75" s="926">
        <f>IF(ISNUMBER((GE24-'Sales Model'!EF1653)/(FZ24-'Sales Model'!EA1653)-1),(GE24-'Sales Model'!EF1653)/(FZ24-'Sales Model'!EA1653)-1,"NM")</f>
      </c>
      <c r="GF75" s="926">
        <f>IF(ISNUMBER((GF24-'Sales Model'!EG1653)/(GA24-'Sales Model'!EB1653)-1),(GF24-'Sales Model'!EG1653)/(GA24-'Sales Model'!EB1653)-1,"NM")</f>
      </c>
      <c r="GG75" s="926">
        <v>7.4370028297611857E-2</v>
      </c>
      <c r="GH75" s="1060">
        <f>IF(ISNUMBER(GH24/GC24-1),GH24/GC24-1,"NM")</f>
      </c>
      <c r="GI75" s="1060">
        <f t="shared" ref="GI75:GM75" si="186">IF(ISNUMBER(GI24/GH24-1),GI24/GH24-1,"NM")</f>
      </c>
      <c r="GJ75" s="1060">
        <f t="shared" si="186"/>
      </c>
      <c r="GK75" s="1060">
        <f t="shared" si="186"/>
      </c>
      <c r="GL75" s="1060">
        <f t="shared" si="186"/>
      </c>
      <c r="GM75" s="1060">
        <f t="shared" si="186"/>
      </c>
    </row>
    <row r="76" spans="2:196" ht="13.5" customHeight="1">
      <c r="B76" s="54" t="s">
        <v>236</v>
      </c>
      <c r="M76" s="22">
        <f t="shared" ref="M76:V79" si="187">IF(ISNUMBER(M26/H26-1),M26/H26-1,"NM")</f>
      </c>
      <c r="N76" s="22">
        <f t="shared" si="187"/>
      </c>
      <c r="O76" s="22">
        <f t="shared" si="187"/>
      </c>
      <c r="P76" s="22">
        <f t="shared" si="187"/>
      </c>
      <c r="Q76" s="22">
        <f t="shared" si="187"/>
      </c>
      <c r="R76" s="22">
        <f t="shared" si="187"/>
      </c>
      <c r="S76" s="22">
        <f t="shared" si="187"/>
      </c>
      <c r="T76" s="22">
        <f t="shared" si="187"/>
      </c>
      <c r="U76" s="22">
        <f t="shared" si="187"/>
      </c>
      <c r="V76" s="22">
        <f t="shared" si="187"/>
      </c>
      <c r="W76" s="22">
        <f t="shared" ref="W76:AF79" si="188">IF(ISNUMBER(W26/R26-1),W26/R26-1,"NM")</f>
      </c>
      <c r="X76" s="22">
        <f t="shared" si="188"/>
      </c>
      <c r="Y76" s="22">
        <f t="shared" si="188"/>
      </c>
      <c r="Z76" s="22">
        <f t="shared" si="188"/>
      </c>
      <c r="AA76" s="22">
        <f t="shared" si="188"/>
      </c>
      <c r="AB76" s="22">
        <f t="shared" si="188"/>
      </c>
      <c r="AC76" s="22">
        <f t="shared" si="188"/>
      </c>
      <c r="AD76" s="22">
        <f t="shared" si="188"/>
      </c>
      <c r="AE76" s="22">
        <f t="shared" si="188"/>
      </c>
      <c r="AF76" s="22">
        <f t="shared" si="188"/>
      </c>
      <c r="AG76" s="22">
        <f t="shared" ref="AG76:AP79" si="189">IF(ISNUMBER(AG26/AB26-1),AG26/AB26-1,"NM")</f>
      </c>
      <c r="AH76" s="22">
        <f t="shared" si="189"/>
      </c>
      <c r="AI76" s="22">
        <f t="shared" si="189"/>
      </c>
      <c r="AJ76" s="22">
        <f t="shared" si="189"/>
      </c>
      <c r="AK76" s="22">
        <f t="shared" si="189"/>
      </c>
      <c r="AL76" s="22">
        <f t="shared" si="189"/>
      </c>
      <c r="AM76" s="22">
        <f t="shared" si="189"/>
      </c>
      <c r="AN76" s="22">
        <f t="shared" si="189"/>
      </c>
      <c r="AO76" s="22">
        <f t="shared" si="189"/>
      </c>
      <c r="AP76" s="22">
        <f t="shared" si="189"/>
      </c>
      <c r="AQ76" s="22">
        <f t="shared" ref="AQ76:AZ79" si="190">IF(ISNUMBER(AQ26/AL26-1),AQ26/AL26-1,"NM")</f>
      </c>
      <c r="AR76" s="22">
        <f t="shared" si="190"/>
      </c>
      <c r="AS76" s="22">
        <f t="shared" si="190"/>
      </c>
      <c r="AT76" s="22">
        <f t="shared" si="190"/>
      </c>
      <c r="AU76" s="22">
        <f t="shared" si="190"/>
      </c>
      <c r="AV76" s="22">
        <f t="shared" si="190"/>
      </c>
      <c r="AW76" s="22">
        <f t="shared" si="190"/>
      </c>
      <c r="AX76" s="22">
        <f t="shared" si="190"/>
      </c>
      <c r="AY76" s="22">
        <f t="shared" si="190"/>
      </c>
      <c r="AZ76" s="22">
        <f t="shared" si="190"/>
      </c>
      <c r="BA76" s="297">
        <f t="shared" ref="BA76:BJ79" si="191">IF(ISNUMBER(BA26/AV26-1),BA26/AV26-1,"NM")</f>
      </c>
      <c r="BB76" s="22">
        <f t="shared" si="191"/>
      </c>
      <c r="BC76" s="22">
        <f t="shared" si="191"/>
      </c>
      <c r="BD76" s="22">
        <f t="shared" si="191"/>
      </c>
      <c r="BE76" s="22">
        <f t="shared" si="191"/>
      </c>
      <c r="BF76" s="297">
        <f t="shared" si="191"/>
      </c>
      <c r="BG76" s="22">
        <f t="shared" si="191"/>
      </c>
      <c r="BH76" s="22">
        <f t="shared" si="191"/>
      </c>
      <c r="BI76" s="22">
        <f t="shared" si="191"/>
      </c>
      <c r="BJ76" s="22">
        <f t="shared" si="191"/>
      </c>
      <c r="BK76" s="297">
        <f t="shared" ref="BK76:BT79" si="192">IF(ISNUMBER(BK26/BF26-1),BK26/BF26-1,"NM")</f>
      </c>
      <c r="BL76" s="22">
        <f t="shared" si="192"/>
      </c>
      <c r="BM76" s="22">
        <f t="shared" si="192"/>
      </c>
      <c r="BN76" s="22">
        <f t="shared" si="192"/>
      </c>
      <c r="BO76" s="22">
        <f t="shared" si="192"/>
      </c>
      <c r="BP76" s="297">
        <f t="shared" si="192"/>
      </c>
      <c r="BQ76" s="22">
        <f t="shared" si="192"/>
      </c>
      <c r="BR76" s="22">
        <f t="shared" si="192"/>
      </c>
      <c r="BS76" s="22">
        <f t="shared" si="192"/>
      </c>
      <c r="BT76" s="22">
        <f t="shared" si="192"/>
      </c>
      <c r="BU76" s="297">
        <f t="shared" ref="BU76:CD79" si="193">IF(ISNUMBER(BU26/BP26-1),BU26/BP26-1,"NM")</f>
      </c>
      <c r="BV76" s="22">
        <f t="shared" si="193"/>
      </c>
      <c r="BW76" s="22">
        <f t="shared" si="193"/>
      </c>
      <c r="BX76" s="22">
        <f t="shared" si="193"/>
      </c>
      <c r="BY76" s="22">
        <f t="shared" si="193"/>
      </c>
      <c r="BZ76" s="297">
        <f t="shared" si="193"/>
      </c>
      <c r="CA76" s="22">
        <f t="shared" si="193"/>
      </c>
      <c r="CB76" s="22">
        <f t="shared" si="193"/>
      </c>
      <c r="CC76" s="22">
        <f t="shared" si="193"/>
      </c>
      <c r="CD76" s="22">
        <f t="shared" si="193"/>
      </c>
      <c r="CE76" s="297">
        <f t="shared" ref="CE76:CN79" si="194">IF(ISNUMBER(CE26/BZ26-1),CE26/BZ26-1,"NM")</f>
      </c>
      <c r="CF76" s="22">
        <f t="shared" si="194"/>
      </c>
      <c r="CG76" s="22">
        <f t="shared" si="194"/>
      </c>
      <c r="CH76" s="22">
        <f t="shared" si="194"/>
      </c>
      <c r="CI76" s="22">
        <f t="shared" si="194"/>
      </c>
      <c r="CJ76" s="297">
        <f t="shared" si="194"/>
      </c>
      <c r="CK76" s="22">
        <f t="shared" si="194"/>
      </c>
      <c r="CL76" s="22">
        <f t="shared" si="194"/>
      </c>
      <c r="CM76" s="22">
        <f t="shared" si="194"/>
      </c>
      <c r="CN76" s="22">
        <f t="shared" si="194"/>
      </c>
      <c r="CO76" s="297">
        <f t="shared" ref="CO76:CX79" si="195">IF(ISNUMBER(CO26/CJ26-1),CO26/CJ26-1,"NM")</f>
      </c>
      <c r="CP76" s="22">
        <f t="shared" si="195"/>
      </c>
      <c r="CQ76" s="22">
        <f t="shared" si="195"/>
      </c>
      <c r="CR76" s="22">
        <f t="shared" si="195"/>
      </c>
      <c r="CS76" s="22">
        <f t="shared" si="195"/>
      </c>
      <c r="CT76" s="297">
        <f t="shared" si="195"/>
      </c>
      <c r="CU76" s="22">
        <f t="shared" si="195"/>
      </c>
      <c r="CV76" s="22">
        <f t="shared" si="195"/>
      </c>
      <c r="CW76" s="22">
        <f t="shared" si="195"/>
      </c>
      <c r="CX76" s="22">
        <f t="shared" si="195"/>
      </c>
      <c r="CY76" s="297">
        <f t="shared" ref="CY76:DH79" si="196">IF(ISNUMBER(CY26/CT26-1),CY26/CT26-1,"NM")</f>
      </c>
      <c r="CZ76" s="22">
        <f t="shared" si="196"/>
      </c>
      <c r="DA76" s="22">
        <f t="shared" si="196"/>
      </c>
      <c r="DB76" s="22">
        <f t="shared" si="196"/>
      </c>
      <c r="DC76" s="22">
        <f t="shared" si="196"/>
      </c>
      <c r="DD76" s="297">
        <f t="shared" si="196"/>
      </c>
      <c r="DE76" s="22">
        <f t="shared" si="196"/>
      </c>
      <c r="DF76" s="22">
        <f t="shared" si="196"/>
      </c>
      <c r="DG76" s="22">
        <f t="shared" si="196"/>
      </c>
      <c r="DH76" s="22">
        <f t="shared" si="196"/>
      </c>
      <c r="DI76" s="297">
        <f t="shared" ref="DI76:DR79" si="197">IF(ISNUMBER(DI26/DD26-1),DI26/DD26-1,"NM")</f>
      </c>
      <c r="DJ76" s="22">
        <f t="shared" si="197"/>
      </c>
      <c r="DK76" s="22">
        <f t="shared" si="197"/>
      </c>
      <c r="DL76" s="22">
        <f t="shared" si="197"/>
      </c>
      <c r="DM76" s="22">
        <f t="shared" si="197"/>
      </c>
      <c r="DN76" s="297">
        <f t="shared" si="197"/>
      </c>
      <c r="DO76" s="22">
        <f t="shared" si="197"/>
      </c>
      <c r="DP76" s="22">
        <f t="shared" si="197"/>
      </c>
      <c r="DQ76" s="22">
        <f t="shared" si="197"/>
      </c>
      <c r="DR76" s="22">
        <f t="shared" si="197"/>
      </c>
      <c r="DS76" s="297">
        <f t="shared" ref="DS76:EB79" si="198">IF(ISNUMBER(DS26/DN26-1),DS26/DN26-1,"NM")</f>
      </c>
      <c r="DT76" s="22">
        <f t="shared" si="198"/>
      </c>
      <c r="DU76" s="22">
        <f t="shared" si="198"/>
      </c>
      <c r="DV76" s="22">
        <f t="shared" si="198"/>
      </c>
      <c r="DW76" s="22">
        <f t="shared" si="198"/>
      </c>
      <c r="DX76" s="297">
        <f t="shared" si="198"/>
      </c>
      <c r="DY76" s="22">
        <f t="shared" si="198"/>
      </c>
      <c r="DZ76" s="22">
        <f t="shared" si="198"/>
      </c>
      <c r="EA76" s="22">
        <f t="shared" si="198"/>
      </c>
      <c r="EB76" s="22">
        <f t="shared" si="198"/>
      </c>
      <c r="EC76" s="297">
        <f t="shared" ref="EC76:EL79" si="199">IF(ISNUMBER(EC26/DX26-1),EC26/DX26-1,"NM")</f>
      </c>
      <c r="ED76" s="22">
        <f t="shared" si="199"/>
      </c>
      <c r="EE76" s="22">
        <f t="shared" si="199"/>
      </c>
      <c r="EF76" s="22">
        <f t="shared" si="199"/>
      </c>
      <c r="EG76" s="22">
        <f t="shared" si="199"/>
      </c>
      <c r="EH76" s="297">
        <f t="shared" si="199"/>
      </c>
      <c r="EI76" s="943">
        <f t="shared" si="199"/>
      </c>
      <c r="EJ76" s="943">
        <f t="shared" si="199"/>
      </c>
      <c r="EK76" s="943">
        <f t="shared" si="199"/>
      </c>
      <c r="EL76" s="943">
        <f t="shared" si="199"/>
      </c>
      <c r="EM76" s="297">
        <f t="shared" ref="EM76:EV79" si="200">IF(ISNUMBER(EM26/EH26-1),EM26/EH26-1,"NM")</f>
      </c>
      <c r="EN76" s="943">
        <f t="shared" si="200"/>
      </c>
      <c r="EO76" s="943">
        <f t="shared" si="200"/>
      </c>
      <c r="EP76" s="943">
        <f t="shared" si="200"/>
      </c>
      <c r="EQ76" s="943">
        <f t="shared" si="200"/>
      </c>
      <c r="ER76" s="297">
        <f t="shared" si="200"/>
      </c>
      <c r="ES76" s="943">
        <f t="shared" si="200"/>
      </c>
      <c r="ET76" s="943">
        <f t="shared" si="200"/>
      </c>
      <c r="EU76" s="943">
        <f t="shared" si="200"/>
      </c>
      <c r="EV76" s="943">
        <f t="shared" si="200"/>
      </c>
      <c r="EW76" s="1060">
        <f t="shared" ref="EW76:FF79" si="201">IF(ISNUMBER(EW26/ER26-1),EW26/ER26-1,"NM")</f>
      </c>
      <c r="EX76" s="926">
        <f t="shared" si="201"/>
      </c>
      <c r="EY76" s="926">
        <f t="shared" si="201"/>
      </c>
      <c r="EZ76" s="926">
        <f t="shared" si="201"/>
      </c>
      <c r="FA76" s="926">
        <f t="shared" si="201"/>
      </c>
      <c r="FB76" s="1060">
        <f t="shared" si="201"/>
      </c>
      <c r="FC76" s="926">
        <f t="shared" si="201"/>
      </c>
      <c r="FD76" s="926">
        <f t="shared" si="201"/>
      </c>
      <c r="FE76" s="926">
        <f t="shared" si="201"/>
      </c>
      <c r="FF76" s="926">
        <f t="shared" si="201"/>
      </c>
      <c r="FG76" s="1060">
        <f t="shared" ref="FG76:FN79" si="202">IF(ISNUMBER(FG26/FB26-1),FG26/FB26-1,"NM")</f>
      </c>
      <c r="FH76" s="926">
        <f t="shared" si="202"/>
      </c>
      <c r="FI76" s="926">
        <f t="shared" si="202"/>
      </c>
      <c r="FJ76" s="926">
        <f t="shared" si="202"/>
      </c>
      <c r="FK76" s="926">
        <f t="shared" si="202"/>
      </c>
      <c r="FL76" s="1060">
        <f t="shared" si="202"/>
      </c>
      <c r="FM76" s="926">
        <f t="shared" si="202"/>
      </c>
      <c r="FN76" s="926">
        <f t="shared" si="202"/>
      </c>
      <c r="FO76" s="958"/>
      <c r="FP76" s="926"/>
      <c r="FQ76" s="926"/>
      <c r="FR76" s="926"/>
      <c r="FS76" s="1060"/>
      <c r="FT76" s="926">
        <f t="shared" ref="FT76:GG79" si="203">IF(ISNUMBER(FT26/FO26-1),FT26/FO26-1,"NM")</f>
      </c>
      <c r="FU76" s="928">
        <f t="shared" si="203"/>
      </c>
      <c r="FV76" s="926">
        <f t="shared" si="203"/>
      </c>
      <c r="FW76" s="926">
        <f t="shared" si="203"/>
      </c>
      <c r="FX76" s="1060">
        <f t="shared" si="203"/>
      </c>
      <c r="FY76" s="926">
        <f t="shared" si="203"/>
      </c>
      <c r="FZ76" s="926">
        <f t="shared" si="203"/>
      </c>
      <c r="GA76" s="926">
        <f t="shared" si="203"/>
      </c>
      <c r="GB76" s="926">
        <f t="shared" si="203"/>
      </c>
      <c r="GC76" s="1060">
        <f t="shared" si="203"/>
      </c>
      <c r="GD76" s="926">
        <f t="shared" si="203"/>
      </c>
      <c r="GE76" s="926">
        <f t="shared" si="203"/>
      </c>
      <c r="GF76" s="926">
        <f t="shared" si="203"/>
      </c>
      <c r="GG76" s="926">
        <f t="shared" si="203"/>
      </c>
      <c r="GH76" s="1060">
        <f>IF(ISNUMBER(GH26/GC26-1),GH26/GC26-1,"NM")</f>
      </c>
      <c r="GI76" s="1060">
        <f t="shared" ref="GI76:GM79" si="204">IF(ISNUMBER(GI26/GH26-1),GI26/GH26-1,"NM")</f>
      </c>
      <c r="GJ76" s="1060">
        <f t="shared" si="204"/>
      </c>
      <c r="GK76" s="1060">
        <f t="shared" si="204"/>
      </c>
      <c r="GL76" s="1060">
        <f t="shared" si="204"/>
      </c>
      <c r="GM76" s="1060">
        <f t="shared" si="204"/>
      </c>
    </row>
    <row r="77" spans="2:196" ht="13.5" customHeight="1">
      <c r="B77" s="54" t="s">
        <v>32</v>
      </c>
      <c r="M77" s="22">
        <f t="shared" si="187"/>
      </c>
      <c r="N77" s="22">
        <f t="shared" si="187"/>
      </c>
      <c r="O77" s="22">
        <f t="shared" si="187"/>
      </c>
      <c r="P77" s="22">
        <f t="shared" si="187"/>
      </c>
      <c r="Q77" s="22">
        <f t="shared" si="187"/>
      </c>
      <c r="R77" s="22">
        <f t="shared" si="187"/>
      </c>
      <c r="S77" s="22">
        <f t="shared" si="187"/>
      </c>
      <c r="T77" s="22">
        <f t="shared" si="187"/>
      </c>
      <c r="U77" s="22">
        <f t="shared" si="187"/>
      </c>
      <c r="V77" s="22">
        <f t="shared" si="187"/>
      </c>
      <c r="W77" s="22">
        <f t="shared" si="188"/>
      </c>
      <c r="X77" s="22">
        <f t="shared" si="188"/>
      </c>
      <c r="Y77" s="22">
        <f t="shared" si="188"/>
      </c>
      <c r="Z77" s="22">
        <f t="shared" si="188"/>
      </c>
      <c r="AA77" s="22">
        <f t="shared" si="188"/>
      </c>
      <c r="AB77" s="22">
        <f t="shared" si="188"/>
      </c>
      <c r="AC77" s="22">
        <f t="shared" si="188"/>
      </c>
      <c r="AD77" s="22">
        <f t="shared" si="188"/>
      </c>
      <c r="AE77" s="22">
        <f t="shared" si="188"/>
      </c>
      <c r="AF77" s="22">
        <f t="shared" si="188"/>
      </c>
      <c r="AG77" s="22">
        <f t="shared" si="189"/>
      </c>
      <c r="AH77" s="22">
        <f t="shared" si="189"/>
      </c>
      <c r="AI77" s="22">
        <f t="shared" si="189"/>
      </c>
      <c r="AJ77" s="22">
        <f t="shared" si="189"/>
      </c>
      <c r="AK77" s="22">
        <f t="shared" si="189"/>
      </c>
      <c r="AL77" s="22">
        <f t="shared" si="189"/>
      </c>
      <c r="AM77" s="22">
        <f t="shared" si="189"/>
      </c>
      <c r="AN77" s="22">
        <f t="shared" si="189"/>
      </c>
      <c r="AO77" s="22">
        <f t="shared" si="189"/>
      </c>
      <c r="AP77" s="22">
        <f t="shared" si="189"/>
      </c>
      <c r="AQ77" s="22">
        <f t="shared" si="190"/>
      </c>
      <c r="AR77" s="22">
        <f t="shared" si="190"/>
      </c>
      <c r="AS77" s="22">
        <f t="shared" si="190"/>
      </c>
      <c r="AT77" s="22">
        <f t="shared" si="190"/>
      </c>
      <c r="AU77" s="22">
        <f t="shared" si="190"/>
      </c>
      <c r="AV77" s="22">
        <f t="shared" si="190"/>
      </c>
      <c r="AW77" s="22">
        <f t="shared" si="190"/>
      </c>
      <c r="AX77" s="22">
        <f t="shared" si="190"/>
      </c>
      <c r="AY77" s="22">
        <f t="shared" si="190"/>
      </c>
      <c r="AZ77" s="22">
        <f t="shared" si="190"/>
      </c>
      <c r="BA77" s="297">
        <f t="shared" si="191"/>
      </c>
      <c r="BB77" s="22">
        <f t="shared" si="191"/>
      </c>
      <c r="BC77" s="22">
        <f t="shared" si="191"/>
      </c>
      <c r="BD77" s="22">
        <f t="shared" si="191"/>
      </c>
      <c r="BE77" s="22">
        <f t="shared" si="191"/>
      </c>
      <c r="BF77" s="297">
        <f t="shared" si="191"/>
      </c>
      <c r="BG77" s="22">
        <f t="shared" si="191"/>
      </c>
      <c r="BH77" s="22">
        <f t="shared" si="191"/>
      </c>
      <c r="BI77" s="22">
        <f t="shared" si="191"/>
      </c>
      <c r="BJ77" s="22">
        <f t="shared" si="191"/>
      </c>
      <c r="BK77" s="297">
        <f t="shared" si="192"/>
      </c>
      <c r="BL77" s="22">
        <f t="shared" si="192"/>
      </c>
      <c r="BM77" s="22">
        <f t="shared" si="192"/>
      </c>
      <c r="BN77" s="22">
        <f t="shared" si="192"/>
      </c>
      <c r="BO77" s="22">
        <f t="shared" si="192"/>
      </c>
      <c r="BP77" s="297">
        <f t="shared" si="192"/>
      </c>
      <c r="BQ77" s="22">
        <f t="shared" si="192"/>
      </c>
      <c r="BR77" s="22">
        <f t="shared" si="192"/>
      </c>
      <c r="BS77" s="22">
        <f t="shared" si="192"/>
      </c>
      <c r="BT77" s="22">
        <f t="shared" si="192"/>
      </c>
      <c r="BU77" s="297">
        <f t="shared" si="193"/>
      </c>
      <c r="BV77" s="22">
        <f t="shared" si="193"/>
      </c>
      <c r="BW77" s="22">
        <f t="shared" si="193"/>
      </c>
      <c r="BX77" s="22">
        <f t="shared" si="193"/>
      </c>
      <c r="BY77" s="22">
        <f t="shared" si="193"/>
      </c>
      <c r="BZ77" s="297">
        <f t="shared" si="193"/>
      </c>
      <c r="CA77" s="22">
        <f t="shared" si="193"/>
      </c>
      <c r="CB77" s="22">
        <f t="shared" si="193"/>
      </c>
      <c r="CC77" s="22">
        <f t="shared" si="193"/>
      </c>
      <c r="CD77" s="22">
        <f t="shared" si="193"/>
      </c>
      <c r="CE77" s="297">
        <f t="shared" si="194"/>
      </c>
      <c r="CF77" s="22">
        <f t="shared" si="194"/>
      </c>
      <c r="CG77" s="22">
        <f t="shared" si="194"/>
      </c>
      <c r="CH77" s="22">
        <f t="shared" si="194"/>
      </c>
      <c r="CI77" s="22">
        <f t="shared" si="194"/>
      </c>
      <c r="CJ77" s="297">
        <f t="shared" si="194"/>
      </c>
      <c r="CK77" s="22">
        <f t="shared" si="194"/>
      </c>
      <c r="CL77" s="22">
        <f t="shared" si="194"/>
      </c>
      <c r="CM77" s="22">
        <f t="shared" si="194"/>
      </c>
      <c r="CN77" s="22">
        <f t="shared" si="194"/>
      </c>
      <c r="CO77" s="297">
        <f t="shared" si="195"/>
      </c>
      <c r="CP77" s="22">
        <f t="shared" si="195"/>
      </c>
      <c r="CQ77" s="22">
        <f t="shared" si="195"/>
      </c>
      <c r="CR77" s="22">
        <f t="shared" si="195"/>
      </c>
      <c r="CS77" s="22">
        <f t="shared" si="195"/>
      </c>
      <c r="CT77" s="297">
        <f t="shared" si="195"/>
      </c>
      <c r="CU77" s="22">
        <f t="shared" si="195"/>
      </c>
      <c r="CV77" s="22">
        <f t="shared" si="195"/>
      </c>
      <c r="CW77" s="22">
        <f t="shared" si="195"/>
      </c>
      <c r="CX77" s="22">
        <f t="shared" si="195"/>
      </c>
      <c r="CY77" s="297">
        <f t="shared" si="196"/>
      </c>
      <c r="CZ77" s="22">
        <f t="shared" si="196"/>
      </c>
      <c r="DA77" s="22">
        <f t="shared" si="196"/>
      </c>
      <c r="DB77" s="22">
        <f t="shared" si="196"/>
      </c>
      <c r="DC77" s="22">
        <f t="shared" si="196"/>
      </c>
      <c r="DD77" s="297">
        <f t="shared" si="196"/>
      </c>
      <c r="DE77" s="22">
        <f t="shared" si="196"/>
      </c>
      <c r="DF77" s="22">
        <f t="shared" si="196"/>
      </c>
      <c r="DG77" s="22">
        <f t="shared" si="196"/>
      </c>
      <c r="DH77" s="22">
        <f t="shared" si="196"/>
      </c>
      <c r="DI77" s="297">
        <f t="shared" si="197"/>
      </c>
      <c r="DJ77" s="22">
        <f t="shared" si="197"/>
      </c>
      <c r="DK77" s="22">
        <f t="shared" si="197"/>
      </c>
      <c r="DL77" s="22">
        <f t="shared" si="197"/>
      </c>
      <c r="DM77" s="22">
        <f t="shared" si="197"/>
      </c>
      <c r="DN77" s="297">
        <f t="shared" si="197"/>
      </c>
      <c r="DO77" s="22">
        <f t="shared" si="197"/>
      </c>
      <c r="DP77" s="22">
        <f t="shared" si="197"/>
      </c>
      <c r="DQ77" s="22">
        <f t="shared" si="197"/>
      </c>
      <c r="DR77" s="22">
        <f t="shared" si="197"/>
      </c>
      <c r="DS77" s="297">
        <f t="shared" si="198"/>
      </c>
      <c r="DT77" s="22">
        <f t="shared" si="198"/>
      </c>
      <c r="DU77" s="22">
        <f t="shared" si="198"/>
      </c>
      <c r="DV77" s="22">
        <f t="shared" si="198"/>
      </c>
      <c r="DW77" s="22">
        <f t="shared" si="198"/>
      </c>
      <c r="DX77" s="297">
        <f t="shared" si="198"/>
      </c>
      <c r="DY77" s="22">
        <f t="shared" si="198"/>
      </c>
      <c r="DZ77" s="22">
        <f t="shared" si="198"/>
      </c>
      <c r="EA77" s="22">
        <f t="shared" si="198"/>
      </c>
      <c r="EB77" s="22">
        <f t="shared" si="198"/>
      </c>
      <c r="EC77" s="297">
        <f t="shared" si="199"/>
      </c>
      <c r="ED77" s="22">
        <f t="shared" si="199"/>
      </c>
      <c r="EE77" s="22">
        <f t="shared" si="199"/>
      </c>
      <c r="EF77" s="22">
        <f t="shared" si="199"/>
      </c>
      <c r="EG77" s="22">
        <f t="shared" si="199"/>
      </c>
      <c r="EH77" s="297">
        <f t="shared" si="199"/>
      </c>
      <c r="EI77" s="943">
        <f t="shared" si="199"/>
      </c>
      <c r="EJ77" s="943">
        <f t="shared" si="199"/>
      </c>
      <c r="EK77" s="943">
        <f t="shared" si="199"/>
      </c>
      <c r="EL77" s="943">
        <f t="shared" si="199"/>
      </c>
      <c r="EM77" s="297">
        <f t="shared" si="200"/>
      </c>
      <c r="EN77" s="943">
        <f t="shared" si="200"/>
      </c>
      <c r="EO77" s="943">
        <f t="shared" si="200"/>
      </c>
      <c r="EP77" s="943">
        <f t="shared" si="200"/>
      </c>
      <c r="EQ77" s="943">
        <f t="shared" si="200"/>
      </c>
      <c r="ER77" s="297">
        <f t="shared" si="200"/>
      </c>
      <c r="ES77" s="943">
        <f t="shared" si="200"/>
      </c>
      <c r="ET77" s="943">
        <f t="shared" si="200"/>
      </c>
      <c r="EU77" s="943">
        <f t="shared" si="200"/>
      </c>
      <c r="EV77" s="943">
        <f t="shared" si="200"/>
      </c>
      <c r="EW77" s="1060">
        <f t="shared" si="201"/>
      </c>
      <c r="EX77" s="926">
        <f t="shared" si="201"/>
      </c>
      <c r="EY77" s="926">
        <f t="shared" si="201"/>
      </c>
      <c r="EZ77" s="926">
        <f t="shared" si="201"/>
      </c>
      <c r="FA77" s="926">
        <f t="shared" si="201"/>
      </c>
      <c r="FB77" s="1060">
        <f t="shared" si="201"/>
      </c>
      <c r="FC77" s="926">
        <f t="shared" si="201"/>
      </c>
      <c r="FD77" s="926">
        <f t="shared" si="201"/>
      </c>
      <c r="FE77" s="926">
        <f t="shared" si="201"/>
      </c>
      <c r="FF77" s="926">
        <f t="shared" si="201"/>
      </c>
      <c r="FG77" s="1060">
        <f t="shared" si="202"/>
      </c>
      <c r="FH77" s="926">
        <f t="shared" si="202"/>
      </c>
      <c r="FI77" s="926">
        <f t="shared" si="202"/>
      </c>
      <c r="FJ77" s="926">
        <f t="shared" si="202"/>
      </c>
      <c r="FK77" s="926">
        <f t="shared" si="202"/>
      </c>
      <c r="FL77" s="1060">
        <f t="shared" si="202"/>
      </c>
      <c r="FM77" s="926">
        <f t="shared" si="202"/>
      </c>
      <c r="FN77" s="926">
        <f t="shared" si="202"/>
      </c>
      <c r="FO77" s="958"/>
      <c r="FP77" s="926"/>
      <c r="FQ77" s="926"/>
      <c r="FR77" s="926"/>
      <c r="FS77" s="1060"/>
      <c r="FT77" s="926">
        <f t="shared" si="203"/>
      </c>
      <c r="FU77" s="928">
        <f t="shared" si="203"/>
      </c>
      <c r="FV77" s="926">
        <f t="shared" si="203"/>
      </c>
      <c r="FW77" s="926">
        <f t="shared" si="203"/>
      </c>
      <c r="FX77" s="1060">
        <f t="shared" si="203"/>
      </c>
      <c r="FY77" s="926">
        <f t="shared" si="203"/>
      </c>
      <c r="FZ77" s="926">
        <f t="shared" si="203"/>
      </c>
      <c r="GA77" s="926">
        <f t="shared" si="203"/>
      </c>
      <c r="GB77" s="926">
        <f t="shared" si="203"/>
      </c>
      <c r="GC77" s="1060">
        <f t="shared" si="203"/>
      </c>
      <c r="GD77" s="926">
        <f t="shared" si="203"/>
      </c>
      <c r="GE77" s="926">
        <f t="shared" si="203"/>
      </c>
      <c r="GF77" s="926">
        <f t="shared" si="203"/>
      </c>
      <c r="GG77" s="926">
        <f t="shared" si="203"/>
      </c>
      <c r="GH77" s="1060">
        <f>IF(ISNUMBER(GH27/GC27-1),GH27/GC27-1,"NM")</f>
      </c>
      <c r="GI77" s="1060">
        <f t="shared" si="204"/>
      </c>
      <c r="GJ77" s="1060">
        <f t="shared" si="204"/>
      </c>
      <c r="GK77" s="1060">
        <f t="shared" si="204"/>
      </c>
      <c r="GL77" s="1060">
        <f t="shared" si="204"/>
      </c>
      <c r="GM77" s="1060">
        <f t="shared" si="204"/>
      </c>
    </row>
    <row r="78" spans="2:196" ht="13.5" customHeight="1">
      <c r="B78" s="54" t="s">
        <v>33</v>
      </c>
      <c r="M78" s="22">
        <f t="shared" si="187"/>
      </c>
      <c r="N78" s="22">
        <f t="shared" si="187"/>
      </c>
      <c r="O78" s="22">
        <f t="shared" si="187"/>
      </c>
      <c r="P78" s="22">
        <f t="shared" si="187"/>
      </c>
      <c r="Q78" s="22">
        <f t="shared" si="187"/>
      </c>
      <c r="R78" s="22">
        <f t="shared" si="187"/>
      </c>
      <c r="S78" s="22">
        <f t="shared" si="187"/>
      </c>
      <c r="T78" s="22">
        <f t="shared" si="187"/>
      </c>
      <c r="U78" s="22">
        <f t="shared" si="187"/>
      </c>
      <c r="V78" s="22">
        <f t="shared" si="187"/>
      </c>
      <c r="W78" s="22">
        <f t="shared" si="188"/>
      </c>
      <c r="X78" s="22">
        <f t="shared" si="188"/>
      </c>
      <c r="Y78" s="22">
        <f t="shared" si="188"/>
      </c>
      <c r="Z78" s="22">
        <f t="shared" si="188"/>
      </c>
      <c r="AA78" s="22">
        <f t="shared" si="188"/>
      </c>
      <c r="AB78" s="22">
        <f t="shared" si="188"/>
      </c>
      <c r="AC78" s="22">
        <f t="shared" si="188"/>
      </c>
      <c r="AD78" s="22">
        <f t="shared" si="188"/>
      </c>
      <c r="AE78" s="22">
        <f t="shared" si="188"/>
      </c>
      <c r="AF78" s="22">
        <f t="shared" si="188"/>
      </c>
      <c r="AG78" s="22">
        <f t="shared" si="189"/>
      </c>
      <c r="AH78" s="22">
        <f t="shared" si="189"/>
      </c>
      <c r="AI78" s="22">
        <f t="shared" si="189"/>
      </c>
      <c r="AJ78" s="22">
        <f t="shared" si="189"/>
      </c>
      <c r="AK78" s="22">
        <f t="shared" si="189"/>
      </c>
      <c r="AL78" s="22">
        <f t="shared" si="189"/>
      </c>
      <c r="AM78" s="22">
        <f t="shared" si="189"/>
      </c>
      <c r="AN78" s="22">
        <f t="shared" si="189"/>
      </c>
      <c r="AO78" s="22">
        <f t="shared" si="189"/>
      </c>
      <c r="AP78" s="22">
        <f t="shared" si="189"/>
      </c>
      <c r="AQ78" s="22">
        <f t="shared" si="190"/>
      </c>
      <c r="AR78" s="22">
        <f t="shared" si="190"/>
      </c>
      <c r="AS78" s="22">
        <f t="shared" si="190"/>
      </c>
      <c r="AT78" s="22">
        <f t="shared" si="190"/>
      </c>
      <c r="AU78" s="22">
        <f t="shared" si="190"/>
      </c>
      <c r="AV78" s="22">
        <f t="shared" si="190"/>
      </c>
      <c r="AW78" s="22">
        <f t="shared" si="190"/>
      </c>
      <c r="AX78" s="22">
        <f t="shared" si="190"/>
      </c>
      <c r="AY78" s="22">
        <f t="shared" si="190"/>
      </c>
      <c r="AZ78" s="22">
        <f t="shared" si="190"/>
      </c>
      <c r="BA78" s="297">
        <f t="shared" si="191"/>
      </c>
      <c r="BB78" s="22">
        <f t="shared" si="191"/>
      </c>
      <c r="BC78" s="22">
        <f t="shared" si="191"/>
      </c>
      <c r="BD78" s="22">
        <f t="shared" si="191"/>
      </c>
      <c r="BE78" s="22">
        <f t="shared" si="191"/>
      </c>
      <c r="BF78" s="297">
        <f t="shared" si="191"/>
      </c>
      <c r="BG78" s="22">
        <f t="shared" si="191"/>
      </c>
      <c r="BH78" s="22">
        <f t="shared" si="191"/>
      </c>
      <c r="BI78" s="22">
        <f t="shared" si="191"/>
      </c>
      <c r="BJ78" s="22">
        <f t="shared" si="191"/>
      </c>
      <c r="BK78" s="297">
        <f t="shared" si="192"/>
      </c>
      <c r="BL78" s="22">
        <f t="shared" si="192"/>
      </c>
      <c r="BM78" s="22">
        <f t="shared" si="192"/>
      </c>
      <c r="BN78" s="22">
        <f t="shared" si="192"/>
      </c>
      <c r="BO78" s="22">
        <f t="shared" si="192"/>
      </c>
      <c r="BP78" s="297">
        <f t="shared" si="192"/>
      </c>
      <c r="BQ78" s="22">
        <f t="shared" si="192"/>
      </c>
      <c r="BR78" s="22">
        <f t="shared" si="192"/>
      </c>
      <c r="BS78" s="22">
        <f t="shared" si="192"/>
      </c>
      <c r="BT78" s="22">
        <f t="shared" si="192"/>
      </c>
      <c r="BU78" s="297">
        <f t="shared" si="193"/>
      </c>
      <c r="BV78" s="22">
        <f t="shared" si="193"/>
      </c>
      <c r="BW78" s="22">
        <f t="shared" si="193"/>
      </c>
      <c r="BX78" s="22">
        <f t="shared" si="193"/>
      </c>
      <c r="BY78" s="22">
        <f t="shared" si="193"/>
      </c>
      <c r="BZ78" s="297">
        <f t="shared" si="193"/>
      </c>
      <c r="CA78" s="22">
        <f t="shared" si="193"/>
      </c>
      <c r="CB78" s="22">
        <f t="shared" si="193"/>
      </c>
      <c r="CC78" s="22">
        <f t="shared" si="193"/>
      </c>
      <c r="CD78" s="22">
        <f t="shared" si="193"/>
      </c>
      <c r="CE78" s="297">
        <f t="shared" si="194"/>
      </c>
      <c r="CF78" s="22">
        <f t="shared" si="194"/>
      </c>
      <c r="CG78" s="22">
        <f t="shared" si="194"/>
      </c>
      <c r="CH78" s="22">
        <f t="shared" si="194"/>
      </c>
      <c r="CI78" s="22">
        <f t="shared" si="194"/>
      </c>
      <c r="CJ78" s="297">
        <f t="shared" si="194"/>
      </c>
      <c r="CK78" s="22">
        <f t="shared" si="194"/>
      </c>
      <c r="CL78" s="22">
        <f t="shared" si="194"/>
      </c>
      <c r="CM78" s="22">
        <f t="shared" si="194"/>
      </c>
      <c r="CN78" s="22">
        <f t="shared" si="194"/>
      </c>
      <c r="CO78" s="297">
        <f t="shared" si="195"/>
      </c>
      <c r="CP78" s="22">
        <f t="shared" si="195"/>
      </c>
      <c r="CQ78" s="22">
        <f t="shared" si="195"/>
      </c>
      <c r="CR78" s="22">
        <f t="shared" si="195"/>
      </c>
      <c r="CS78" s="22">
        <f t="shared" si="195"/>
      </c>
      <c r="CT78" s="297">
        <f t="shared" si="195"/>
      </c>
      <c r="CU78" s="22">
        <f t="shared" si="195"/>
      </c>
      <c r="CV78" s="22">
        <f t="shared" si="195"/>
      </c>
      <c r="CW78" s="22">
        <f t="shared" si="195"/>
      </c>
      <c r="CX78" s="22">
        <f t="shared" si="195"/>
      </c>
      <c r="CY78" s="297">
        <f t="shared" si="196"/>
      </c>
      <c r="CZ78" s="22">
        <f t="shared" si="196"/>
      </c>
      <c r="DA78" s="22">
        <f t="shared" si="196"/>
      </c>
      <c r="DB78" s="22">
        <f t="shared" si="196"/>
      </c>
      <c r="DC78" s="22">
        <f t="shared" si="196"/>
      </c>
      <c r="DD78" s="297">
        <f t="shared" si="196"/>
      </c>
      <c r="DE78" s="22">
        <f t="shared" si="196"/>
      </c>
      <c r="DF78" s="22">
        <f t="shared" si="196"/>
      </c>
      <c r="DG78" s="22">
        <f t="shared" si="196"/>
      </c>
      <c r="DH78" s="22">
        <f t="shared" si="196"/>
      </c>
      <c r="DI78" s="297">
        <f t="shared" si="197"/>
      </c>
      <c r="DJ78" s="22">
        <f t="shared" si="197"/>
      </c>
      <c r="DK78" s="22">
        <f t="shared" si="197"/>
      </c>
      <c r="DL78" s="22">
        <f t="shared" si="197"/>
      </c>
      <c r="DM78" s="22">
        <f t="shared" si="197"/>
      </c>
      <c r="DN78" s="297">
        <f t="shared" si="197"/>
      </c>
      <c r="DO78" s="22">
        <f t="shared" si="197"/>
      </c>
      <c r="DP78" s="22">
        <f t="shared" si="197"/>
      </c>
      <c r="DQ78" s="22">
        <f t="shared" si="197"/>
      </c>
      <c r="DR78" s="22">
        <f t="shared" si="197"/>
      </c>
      <c r="DS78" s="297">
        <f t="shared" si="198"/>
      </c>
      <c r="DT78" s="22">
        <f t="shared" si="198"/>
      </c>
      <c r="DU78" s="22">
        <f t="shared" si="198"/>
      </c>
      <c r="DV78" s="22">
        <f t="shared" si="198"/>
      </c>
      <c r="DW78" s="22">
        <f t="shared" si="198"/>
      </c>
      <c r="DX78" s="297">
        <f t="shared" si="198"/>
      </c>
      <c r="DY78" s="22">
        <f t="shared" si="198"/>
      </c>
      <c r="DZ78" s="22">
        <f t="shared" si="198"/>
      </c>
      <c r="EA78" s="22">
        <f t="shared" si="198"/>
      </c>
      <c r="EB78" s="22">
        <f t="shared" si="198"/>
      </c>
      <c r="EC78" s="297">
        <f t="shared" si="199"/>
      </c>
      <c r="ED78" s="22">
        <f t="shared" si="199"/>
      </c>
      <c r="EE78" s="22">
        <f t="shared" si="199"/>
      </c>
      <c r="EF78" s="22">
        <f t="shared" si="199"/>
      </c>
      <c r="EG78" s="22">
        <f t="shared" si="199"/>
      </c>
      <c r="EH78" s="297">
        <f t="shared" si="199"/>
      </c>
      <c r="EI78" s="943">
        <f t="shared" si="199"/>
      </c>
      <c r="EJ78" s="943">
        <f t="shared" si="199"/>
      </c>
      <c r="EK78" s="943">
        <f t="shared" si="199"/>
      </c>
      <c r="EL78" s="943">
        <f t="shared" si="199"/>
      </c>
      <c r="EM78" s="297">
        <f t="shared" si="200"/>
      </c>
      <c r="EN78" s="943">
        <f t="shared" si="200"/>
      </c>
      <c r="EO78" s="943">
        <f t="shared" si="200"/>
      </c>
      <c r="EP78" s="943">
        <f t="shared" si="200"/>
      </c>
      <c r="EQ78" s="943">
        <f t="shared" si="200"/>
      </c>
      <c r="ER78" s="297">
        <f t="shared" si="200"/>
      </c>
      <c r="ES78" s="943">
        <f t="shared" si="200"/>
      </c>
      <c r="ET78" s="943">
        <f t="shared" si="200"/>
      </c>
      <c r="EU78" s="943">
        <f t="shared" si="200"/>
      </c>
      <c r="EV78" s="943">
        <f t="shared" si="200"/>
      </c>
      <c r="EW78" s="1060">
        <f t="shared" si="201"/>
      </c>
      <c r="EX78" s="926">
        <f t="shared" si="201"/>
      </c>
      <c r="EY78" s="926">
        <f t="shared" si="201"/>
      </c>
      <c r="EZ78" s="926">
        <f t="shared" si="201"/>
      </c>
      <c r="FA78" s="926">
        <f t="shared" si="201"/>
      </c>
      <c r="FB78" s="1060">
        <f t="shared" si="201"/>
      </c>
      <c r="FC78" s="926">
        <f t="shared" si="201"/>
      </c>
      <c r="FD78" s="926">
        <f t="shared" si="201"/>
      </c>
      <c r="FE78" s="926">
        <f t="shared" si="201"/>
      </c>
      <c r="FF78" s="926">
        <f t="shared" si="201"/>
      </c>
      <c r="FG78" s="1060">
        <f t="shared" si="202"/>
      </c>
      <c r="FH78" s="926">
        <f t="shared" si="202"/>
      </c>
      <c r="FI78" s="926">
        <f t="shared" si="202"/>
      </c>
      <c r="FJ78" s="926">
        <f t="shared" si="202"/>
      </c>
      <c r="FK78" s="926">
        <f t="shared" si="202"/>
      </c>
      <c r="FL78" s="1060">
        <f t="shared" si="202"/>
      </c>
      <c r="FM78" s="926">
        <f t="shared" si="202"/>
      </c>
      <c r="FN78" s="926">
        <f t="shared" si="202"/>
      </c>
      <c r="FO78" s="958"/>
      <c r="FP78" s="926"/>
      <c r="FQ78" s="926"/>
      <c r="FR78" s="926"/>
      <c r="FS78" s="1060"/>
      <c r="FT78" s="926">
        <f t="shared" si="203"/>
      </c>
      <c r="FU78" s="928">
        <f t="shared" si="203"/>
      </c>
      <c r="FV78" s="926">
        <f t="shared" si="203"/>
      </c>
      <c r="FW78" s="926">
        <f t="shared" si="203"/>
      </c>
      <c r="FX78" s="1060">
        <f t="shared" si="203"/>
      </c>
      <c r="FY78" s="926">
        <f t="shared" si="203"/>
      </c>
      <c r="FZ78" s="926">
        <f t="shared" si="203"/>
      </c>
      <c r="GA78" s="926">
        <f t="shared" si="203"/>
      </c>
      <c r="GB78" s="926">
        <f t="shared" si="203"/>
      </c>
      <c r="GC78" s="1060">
        <f t="shared" si="203"/>
      </c>
      <c r="GD78" s="926">
        <f t="shared" si="203"/>
      </c>
      <c r="GE78" s="926">
        <f t="shared" si="203"/>
      </c>
      <c r="GF78" s="926">
        <f t="shared" si="203"/>
      </c>
      <c r="GG78" s="926">
        <f t="shared" si="203"/>
      </c>
      <c r="GH78" s="1060">
        <f>IF(ISNUMBER(GH28/GC28-1),GH28/GC28-1,"NM")</f>
      </c>
      <c r="GI78" s="1060">
        <f t="shared" si="204"/>
      </c>
      <c r="GJ78" s="1060">
        <f t="shared" si="204"/>
      </c>
      <c r="GK78" s="1060">
        <f t="shared" si="204"/>
      </c>
      <c r="GL78" s="1060">
        <f t="shared" si="204"/>
      </c>
      <c r="GM78" s="1060">
        <f t="shared" si="204"/>
      </c>
    </row>
    <row r="79" spans="2:196" ht="13.5" customHeight="1">
      <c r="B79" s="54" t="s">
        <v>237</v>
      </c>
      <c r="M79" s="22" t="str">
        <f t="shared" si="187"/>
      </c>
      <c r="N79" s="22" t="str">
        <f t="shared" si="187"/>
      </c>
      <c r="O79" s="22" t="str">
        <f t="shared" si="187"/>
      </c>
      <c r="P79" s="22" t="str">
        <f t="shared" si="187"/>
      </c>
      <c r="Q79" s="22">
        <f t="shared" si="187"/>
      </c>
      <c r="R79" s="22" t="str">
        <f t="shared" si="187"/>
      </c>
      <c r="S79" s="22" t="str">
        <f t="shared" si="187"/>
      </c>
      <c r="T79" s="22" t="str">
        <f t="shared" si="187"/>
      </c>
      <c r="U79" s="22" t="str">
        <f t="shared" si="187"/>
      </c>
      <c r="V79" s="22">
        <f t="shared" si="187"/>
      </c>
      <c r="W79" s="22" t="str">
        <f t="shared" si="188"/>
      </c>
      <c r="X79" s="22" t="str">
        <f t="shared" si="188"/>
      </c>
      <c r="Y79" s="22" t="str">
        <f t="shared" si="188"/>
      </c>
      <c r="Z79" s="22" t="str">
        <f t="shared" si="188"/>
      </c>
      <c r="AA79" s="22">
        <f t="shared" si="188"/>
      </c>
      <c r="AB79" s="22" t="str">
        <f t="shared" si="188"/>
      </c>
      <c r="AC79" s="22" t="str">
        <f t="shared" si="188"/>
      </c>
      <c r="AD79" s="22" t="str">
        <f t="shared" si="188"/>
      </c>
      <c r="AE79" s="22">
        <f t="shared" si="188"/>
      </c>
      <c r="AF79" s="22">
        <f t="shared" si="188"/>
      </c>
      <c r="AG79" s="22" t="str">
        <f t="shared" si="189"/>
      </c>
      <c r="AH79" s="22">
        <f t="shared" si="189"/>
      </c>
      <c r="AI79" s="22">
        <f t="shared" si="189"/>
      </c>
      <c r="AJ79" s="22">
        <f t="shared" si="189"/>
      </c>
      <c r="AK79" s="22">
        <f t="shared" si="189"/>
      </c>
      <c r="AL79" s="22">
        <f t="shared" si="189"/>
      </c>
      <c r="AM79" s="22">
        <f t="shared" si="189"/>
      </c>
      <c r="AN79" s="22">
        <f t="shared" si="189"/>
      </c>
      <c r="AO79" s="22">
        <f t="shared" si="189"/>
      </c>
      <c r="AP79" s="22">
        <f t="shared" si="189"/>
      </c>
      <c r="AQ79" s="22">
        <f t="shared" si="190"/>
      </c>
      <c r="AR79" s="22">
        <f t="shared" si="190"/>
      </c>
      <c r="AS79" s="22">
        <f t="shared" si="190"/>
      </c>
      <c r="AT79" s="22">
        <f t="shared" si="190"/>
      </c>
      <c r="AU79" s="22">
        <f t="shared" si="190"/>
      </c>
      <c r="AV79" s="22">
        <f t="shared" si="190"/>
      </c>
      <c r="AW79" s="22">
        <f t="shared" si="190"/>
      </c>
      <c r="AX79" s="22">
        <f t="shared" si="190"/>
      </c>
      <c r="AY79" s="22">
        <f t="shared" si="190"/>
      </c>
      <c r="AZ79" s="22">
        <f t="shared" si="190"/>
      </c>
      <c r="BA79" s="297">
        <f t="shared" si="191"/>
      </c>
      <c r="BB79" s="22">
        <f t="shared" si="191"/>
      </c>
      <c r="BC79" s="22">
        <f t="shared" si="191"/>
      </c>
      <c r="BD79" s="22">
        <f t="shared" si="191"/>
      </c>
      <c r="BE79" s="22">
        <f t="shared" si="191"/>
      </c>
      <c r="BF79" s="297">
        <f t="shared" si="191"/>
      </c>
      <c r="BG79" s="22">
        <f t="shared" si="191"/>
      </c>
      <c r="BH79" s="22">
        <f t="shared" si="191"/>
      </c>
      <c r="BI79" s="22">
        <f t="shared" si="191"/>
      </c>
      <c r="BJ79" s="22">
        <f t="shared" si="191"/>
      </c>
      <c r="BK79" s="297">
        <f t="shared" si="192"/>
      </c>
      <c r="BL79" s="22">
        <f t="shared" si="192"/>
      </c>
      <c r="BM79" s="22">
        <f t="shared" si="192"/>
      </c>
      <c r="BN79" s="22">
        <f t="shared" si="192"/>
      </c>
      <c r="BO79" s="22">
        <f t="shared" si="192"/>
      </c>
      <c r="BP79" s="297">
        <f t="shared" si="192"/>
      </c>
      <c r="BQ79" s="22">
        <f t="shared" si="192"/>
      </c>
      <c r="BR79" s="22">
        <f t="shared" si="192"/>
      </c>
      <c r="BS79" s="22">
        <f t="shared" si="192"/>
      </c>
      <c r="BT79" s="22">
        <f t="shared" si="192"/>
      </c>
      <c r="BU79" s="297">
        <f t="shared" si="193"/>
      </c>
      <c r="BV79" s="22">
        <f t="shared" si="193"/>
      </c>
      <c r="BW79" s="22">
        <f t="shared" si="193"/>
      </c>
      <c r="BX79" s="22">
        <f t="shared" si="193"/>
      </c>
      <c r="BY79" s="22">
        <f t="shared" si="193"/>
      </c>
      <c r="BZ79" s="297">
        <f t="shared" si="193"/>
      </c>
      <c r="CA79" s="22">
        <f t="shared" si="193"/>
      </c>
      <c r="CB79" s="22">
        <f t="shared" si="193"/>
      </c>
      <c r="CC79" s="22">
        <f t="shared" si="193"/>
      </c>
      <c r="CD79" s="22">
        <f t="shared" si="193"/>
      </c>
      <c r="CE79" s="297">
        <f t="shared" si="194"/>
      </c>
      <c r="CF79" s="22">
        <f t="shared" si="194"/>
      </c>
      <c r="CG79" s="22">
        <f t="shared" si="194"/>
      </c>
      <c r="CH79" s="22">
        <f t="shared" si="194"/>
      </c>
      <c r="CI79" s="22">
        <f t="shared" si="194"/>
      </c>
      <c r="CJ79" s="297">
        <f t="shared" si="194"/>
      </c>
      <c r="CK79" s="22">
        <f t="shared" si="194"/>
      </c>
      <c r="CL79" s="22">
        <f t="shared" si="194"/>
      </c>
      <c r="CM79" s="22">
        <f t="shared" si="194"/>
      </c>
      <c r="CN79" s="22">
        <f t="shared" si="194"/>
      </c>
      <c r="CO79" s="297">
        <f t="shared" si="195"/>
      </c>
      <c r="CP79" s="22">
        <f t="shared" si="195"/>
      </c>
      <c r="CQ79" s="22">
        <f t="shared" si="195"/>
      </c>
      <c r="CR79" s="22">
        <f t="shared" si="195"/>
      </c>
      <c r="CS79" s="22">
        <f t="shared" si="195"/>
      </c>
      <c r="CT79" s="297">
        <f t="shared" si="195"/>
      </c>
      <c r="CU79" s="22">
        <f t="shared" si="195"/>
      </c>
      <c r="CV79" s="22">
        <f t="shared" si="195"/>
      </c>
      <c r="CW79" s="22">
        <f t="shared" si="195"/>
      </c>
      <c r="CX79" s="22">
        <f t="shared" si="195"/>
      </c>
      <c r="CY79" s="297">
        <f t="shared" si="196"/>
      </c>
      <c r="CZ79" s="22">
        <f t="shared" si="196"/>
      </c>
      <c r="DA79" s="22">
        <f t="shared" si="196"/>
      </c>
      <c r="DB79" s="22">
        <f t="shared" si="196"/>
      </c>
      <c r="DC79" s="22">
        <f t="shared" si="196"/>
      </c>
      <c r="DD79" s="297">
        <f t="shared" si="196"/>
      </c>
      <c r="DE79" s="22">
        <f t="shared" si="196"/>
      </c>
      <c r="DF79" s="22">
        <f t="shared" si="196"/>
      </c>
      <c r="DG79" s="22">
        <f t="shared" si="196"/>
      </c>
      <c r="DH79" s="22">
        <f t="shared" si="196"/>
      </c>
      <c r="DI79" s="297">
        <f t="shared" si="197"/>
      </c>
      <c r="DJ79" s="22">
        <f t="shared" si="197"/>
      </c>
      <c r="DK79" s="22">
        <f t="shared" si="197"/>
      </c>
      <c r="DL79" s="22">
        <f t="shared" si="197"/>
      </c>
      <c r="DM79" s="22">
        <f t="shared" si="197"/>
      </c>
      <c r="DN79" s="297">
        <f t="shared" si="197"/>
      </c>
      <c r="DO79" s="22">
        <f t="shared" si="197"/>
      </c>
      <c r="DP79" s="22">
        <f t="shared" si="197"/>
      </c>
      <c r="DQ79" s="22">
        <f t="shared" si="197"/>
      </c>
      <c r="DR79" s="22">
        <f t="shared" si="197"/>
      </c>
      <c r="DS79" s="297">
        <f t="shared" si="198"/>
      </c>
      <c r="DT79" s="22">
        <f t="shared" si="198"/>
      </c>
      <c r="DU79" s="22">
        <f t="shared" si="198"/>
      </c>
      <c r="DV79" s="22">
        <f t="shared" si="198"/>
      </c>
      <c r="DW79" s="22">
        <f t="shared" si="198"/>
      </c>
      <c r="DX79" s="297">
        <f t="shared" si="198"/>
      </c>
      <c r="DY79" s="22">
        <f t="shared" si="198"/>
      </c>
      <c r="DZ79" s="22">
        <f t="shared" si="198"/>
      </c>
      <c r="EA79" s="22">
        <f t="shared" si="198"/>
      </c>
      <c r="EB79" s="22">
        <f t="shared" si="198"/>
      </c>
      <c r="EC79" s="297">
        <f t="shared" si="199"/>
      </c>
      <c r="ED79" s="22">
        <f t="shared" si="199"/>
      </c>
      <c r="EE79" s="22">
        <f t="shared" si="199"/>
      </c>
      <c r="EF79" s="22">
        <f t="shared" si="199"/>
      </c>
      <c r="EG79" s="22">
        <f t="shared" si="199"/>
      </c>
      <c r="EH79" s="297">
        <f t="shared" si="199"/>
      </c>
      <c r="EI79" s="943">
        <f t="shared" si="199"/>
      </c>
      <c r="EJ79" s="943">
        <f t="shared" si="199"/>
      </c>
      <c r="EK79" s="943">
        <f t="shared" si="199"/>
      </c>
      <c r="EL79" s="943">
        <f t="shared" si="199"/>
      </c>
      <c r="EM79" s="297">
        <f t="shared" si="200"/>
      </c>
      <c r="EN79" s="943">
        <f t="shared" si="200"/>
      </c>
      <c r="EO79" s="943">
        <f t="shared" si="200"/>
      </c>
      <c r="EP79" s="943">
        <f t="shared" si="200"/>
      </c>
      <c r="EQ79" s="943">
        <f t="shared" si="200"/>
      </c>
      <c r="ER79" s="297">
        <f t="shared" si="200"/>
      </c>
      <c r="ES79" s="943">
        <f t="shared" si="200"/>
      </c>
      <c r="ET79" s="943">
        <f t="shared" si="200"/>
      </c>
      <c r="EU79" s="943">
        <f t="shared" si="200"/>
      </c>
      <c r="EV79" s="943">
        <f t="shared" si="200"/>
      </c>
      <c r="EW79" s="1060">
        <f t="shared" si="201"/>
      </c>
      <c r="EX79" s="926">
        <f t="shared" si="201"/>
      </c>
      <c r="EY79" s="926">
        <f t="shared" si="201"/>
      </c>
      <c r="EZ79" s="926">
        <f t="shared" si="201"/>
      </c>
      <c r="FA79" s="926">
        <f t="shared" si="201"/>
      </c>
      <c r="FB79" s="1060">
        <f t="shared" si="201"/>
      </c>
      <c r="FC79" s="926">
        <f t="shared" si="201"/>
      </c>
      <c r="FD79" s="926">
        <f t="shared" si="201"/>
      </c>
      <c r="FE79" s="926">
        <f t="shared" si="201"/>
      </c>
      <c r="FF79" s="926">
        <f t="shared" si="201"/>
      </c>
      <c r="FG79" s="1060">
        <f t="shared" si="202"/>
      </c>
      <c r="FH79" s="926">
        <f t="shared" si="202"/>
      </c>
      <c r="FI79" s="926">
        <f t="shared" si="202"/>
      </c>
      <c r="FJ79" s="926">
        <f t="shared" si="202"/>
      </c>
      <c r="FK79" s="926">
        <f t="shared" si="202"/>
      </c>
      <c r="FL79" s="1060">
        <f t="shared" si="202"/>
      </c>
      <c r="FM79" s="926">
        <f t="shared" si="202"/>
      </c>
      <c r="FN79" s="926">
        <f t="shared" si="202"/>
      </c>
      <c r="FO79" s="958"/>
      <c r="FP79" s="926"/>
      <c r="FQ79" s="926"/>
      <c r="FR79" s="926"/>
      <c r="FS79" s="1060"/>
      <c r="FT79" s="926">
        <f t="shared" si="203"/>
      </c>
      <c r="FU79" s="928">
        <f t="shared" si="203"/>
      </c>
      <c r="FV79" s="926">
        <f t="shared" si="203"/>
      </c>
      <c r="FW79" s="926">
        <f t="shared" si="203"/>
      </c>
      <c r="FX79" s="1060">
        <f t="shared" si="203"/>
      </c>
      <c r="FY79" s="926">
        <f t="shared" si="203"/>
      </c>
      <c r="FZ79" s="926">
        <f t="shared" si="203"/>
      </c>
      <c r="GA79" s="926">
        <f t="shared" si="203"/>
      </c>
      <c r="GB79" s="926">
        <f t="shared" si="203"/>
      </c>
      <c r="GC79" s="1060">
        <f t="shared" si="203"/>
      </c>
      <c r="GD79" s="926">
        <f t="shared" si="203"/>
      </c>
      <c r="GE79" s="926">
        <f t="shared" si="203"/>
      </c>
      <c r="GF79" s="926">
        <f t="shared" si="203"/>
      </c>
      <c r="GG79" s="926">
        <f t="shared" si="203"/>
      </c>
      <c r="GH79" s="1060">
        <f>IF(ISNUMBER(GH29/GC29-1),GH29/GC29-1,"NM")</f>
      </c>
      <c r="GI79" s="1060">
        <f t="shared" si="204"/>
      </c>
      <c r="GJ79" s="1060">
        <f t="shared" si="204"/>
      </c>
      <c r="GK79" s="1060">
        <f t="shared" si="204"/>
      </c>
      <c r="GL79" s="1060">
        <f t="shared" si="204"/>
      </c>
      <c r="GM79" s="1060">
        <f t="shared" si="204"/>
      </c>
    </row>
    <row r="80" spans="2:196" ht="13.5" customHeight="1">
      <c r="B80" s="54" t="s">
        <v>8</v>
      </c>
      <c r="E80" s="9"/>
      <c r="F80" s="9"/>
      <c r="G80" s="9"/>
      <c r="H80" s="9"/>
      <c r="I80" s="9"/>
      <c r="J80" s="9"/>
      <c r="K80" s="9"/>
      <c r="L80" s="9"/>
      <c r="M80" s="22" t="str">
        <f t="shared" ref="M80:AR80" si="205">IF(ISNUMBER(M38/H38-1),M38/H38-1,"NM")</f>
      </c>
      <c r="N80" s="22" t="str">
        <f t="shared" si="205"/>
      </c>
      <c r="O80" s="22" t="str">
        <f t="shared" si="205"/>
      </c>
      <c r="P80" s="22" t="str">
        <f t="shared" si="205"/>
      </c>
      <c r="Q80" s="22" t="str">
        <f t="shared" si="205"/>
      </c>
      <c r="R80" s="22" t="str">
        <f t="shared" si="205"/>
      </c>
      <c r="S80" s="22" t="str">
        <f t="shared" si="205"/>
      </c>
      <c r="T80" s="22" t="str">
        <f t="shared" si="205"/>
      </c>
      <c r="U80" s="22" t="str">
        <f t="shared" si="205"/>
      </c>
      <c r="V80" s="22">
        <f t="shared" si="205"/>
      </c>
      <c r="W80" s="22" t="str">
        <f t="shared" si="205"/>
      </c>
      <c r="X80" s="22" t="str">
        <f t="shared" si="205"/>
      </c>
      <c r="Y80" s="22" t="str">
        <f t="shared" si="205"/>
      </c>
      <c r="Z80" s="22" t="str">
        <f t="shared" si="205"/>
      </c>
      <c r="AA80" s="22">
        <f t="shared" si="205"/>
      </c>
      <c r="AB80" s="22" t="str">
        <f t="shared" si="205"/>
      </c>
      <c r="AC80" s="22" t="str">
        <f t="shared" si="205"/>
      </c>
      <c r="AD80" s="22" t="str">
        <f t="shared" si="205"/>
      </c>
      <c r="AE80" s="22">
        <f t="shared" si="205"/>
      </c>
      <c r="AF80" s="22">
        <f t="shared" si="205"/>
      </c>
      <c r="AG80" s="22" t="str">
        <f t="shared" si="205"/>
      </c>
      <c r="AH80" s="22">
        <f t="shared" si="205"/>
      </c>
      <c r="AI80" s="22">
        <f t="shared" si="205"/>
      </c>
      <c r="AJ80" s="22">
        <f t="shared" si="205"/>
      </c>
      <c r="AK80" s="22">
        <f t="shared" si="205"/>
      </c>
      <c r="AL80" s="22">
        <f t="shared" si="205"/>
      </c>
      <c r="AM80" s="22">
        <f t="shared" si="205"/>
      </c>
      <c r="AN80" s="22">
        <f t="shared" si="205"/>
      </c>
      <c r="AO80" s="22">
        <f t="shared" si="205"/>
      </c>
      <c r="AP80" s="22">
        <f t="shared" si="205"/>
      </c>
      <c r="AQ80" s="22">
        <f t="shared" si="205"/>
      </c>
      <c r="AR80" s="22">
        <f t="shared" si="205"/>
      </c>
      <c r="AS80" s="22">
        <f t="shared" ref="AS80:BX80" si="206">IF(ISNUMBER(AS38/AN38-1),AS38/AN38-1,"NM")</f>
      </c>
      <c r="AT80" s="22">
        <f t="shared" si="206"/>
      </c>
      <c r="AU80" s="22">
        <f t="shared" si="206"/>
      </c>
      <c r="AV80" s="22">
        <f t="shared" si="206"/>
      </c>
      <c r="AW80" s="22">
        <f t="shared" si="206"/>
      </c>
      <c r="AX80" s="22">
        <f t="shared" si="206"/>
      </c>
      <c r="AY80" s="22">
        <f t="shared" si="206"/>
      </c>
      <c r="AZ80" s="22">
        <f t="shared" si="206"/>
      </c>
      <c r="BA80" s="297">
        <f t="shared" si="206"/>
      </c>
      <c r="BB80" s="22">
        <f t="shared" si="206"/>
      </c>
      <c r="BC80" s="22">
        <f t="shared" si="206"/>
      </c>
      <c r="BD80" s="22">
        <f t="shared" si="206"/>
      </c>
      <c r="BE80" s="22">
        <f t="shared" si="206"/>
      </c>
      <c r="BF80" s="297">
        <f t="shared" si="206"/>
      </c>
      <c r="BG80" s="22">
        <f t="shared" si="206"/>
      </c>
      <c r="BH80" s="22">
        <f t="shared" si="206"/>
      </c>
      <c r="BI80" s="22">
        <f t="shared" si="206"/>
      </c>
      <c r="BJ80" s="22">
        <f t="shared" si="206"/>
      </c>
      <c r="BK80" s="297">
        <f t="shared" si="206"/>
      </c>
      <c r="BL80" s="22">
        <f t="shared" si="206"/>
      </c>
      <c r="BM80" s="22">
        <f t="shared" si="206"/>
      </c>
      <c r="BN80" s="22">
        <f t="shared" si="206"/>
      </c>
      <c r="BO80" s="22">
        <f t="shared" si="206"/>
      </c>
      <c r="BP80" s="297">
        <f t="shared" si="206"/>
      </c>
      <c r="BQ80" s="22">
        <f t="shared" si="206"/>
      </c>
      <c r="BR80" s="22">
        <f t="shared" si="206"/>
      </c>
      <c r="BS80" s="22">
        <f t="shared" si="206"/>
      </c>
      <c r="BT80" s="22">
        <f t="shared" si="206"/>
      </c>
      <c r="BU80" s="297">
        <f t="shared" si="206"/>
      </c>
      <c r="BV80" s="22">
        <f t="shared" si="206"/>
      </c>
      <c r="BW80" s="22">
        <f t="shared" si="206"/>
      </c>
      <c r="BX80" s="22">
        <f t="shared" si="206"/>
      </c>
      <c r="BY80" s="22">
        <f t="shared" ref="BY80:DD80" si="207">IF(ISNUMBER(BY38/BT38-1),BY38/BT38-1,"NM")</f>
      </c>
      <c r="BZ80" s="297">
        <f t="shared" si="207"/>
      </c>
      <c r="CA80" s="22">
        <f t="shared" si="207"/>
      </c>
      <c r="CB80" s="22">
        <f t="shared" si="207"/>
      </c>
      <c r="CC80" s="22">
        <f t="shared" si="207"/>
      </c>
      <c r="CD80" s="22">
        <f t="shared" si="207"/>
      </c>
      <c r="CE80" s="297">
        <f t="shared" si="207"/>
      </c>
      <c r="CF80" s="22">
        <f t="shared" si="207"/>
      </c>
      <c r="CG80" s="22">
        <f t="shared" si="207"/>
      </c>
      <c r="CH80" s="22">
        <f t="shared" si="207"/>
      </c>
      <c r="CI80" s="22">
        <f t="shared" si="207"/>
      </c>
      <c r="CJ80" s="297">
        <f t="shared" si="207"/>
      </c>
      <c r="CK80" s="22">
        <f t="shared" si="207"/>
      </c>
      <c r="CL80" s="22">
        <f t="shared" si="207"/>
      </c>
      <c r="CM80" s="22">
        <f t="shared" si="207"/>
      </c>
      <c r="CN80" s="22">
        <f t="shared" si="207"/>
      </c>
      <c r="CO80" s="297">
        <f t="shared" si="207"/>
      </c>
      <c r="CP80" s="22">
        <f t="shared" si="207"/>
      </c>
      <c r="CQ80" s="22">
        <f t="shared" si="207"/>
      </c>
      <c r="CR80" s="22">
        <f t="shared" si="207"/>
      </c>
      <c r="CS80" s="22">
        <f t="shared" si="207"/>
      </c>
      <c r="CT80" s="297">
        <f t="shared" si="207"/>
      </c>
      <c r="CU80" s="22">
        <f t="shared" si="207"/>
      </c>
      <c r="CV80" s="22">
        <f t="shared" si="207"/>
      </c>
      <c r="CW80" s="22">
        <f t="shared" si="207"/>
      </c>
      <c r="CX80" s="22">
        <f t="shared" si="207"/>
      </c>
      <c r="CY80" s="297">
        <f t="shared" si="207"/>
      </c>
      <c r="CZ80" s="22">
        <f t="shared" si="207"/>
      </c>
      <c r="DA80" s="22">
        <f t="shared" si="207"/>
      </c>
      <c r="DB80" s="22">
        <f t="shared" si="207"/>
      </c>
      <c r="DC80" s="22">
        <f t="shared" si="207"/>
      </c>
      <c r="DD80" s="297">
        <f t="shared" si="207"/>
      </c>
      <c r="DE80" s="22">
        <f t="shared" ref="DE80:EJ80" si="208">IF(ISNUMBER(DE38/CZ38-1),DE38/CZ38-1,"NM")</f>
      </c>
      <c r="DF80" s="22">
        <f t="shared" si="208"/>
      </c>
      <c r="DG80" s="22">
        <f t="shared" si="208"/>
      </c>
      <c r="DH80" s="22">
        <f t="shared" si="208"/>
      </c>
      <c r="DI80" s="297">
        <f t="shared" si="208"/>
      </c>
      <c r="DJ80" s="22">
        <f t="shared" si="208"/>
      </c>
      <c r="DK80" s="22">
        <f t="shared" si="208"/>
      </c>
      <c r="DL80" s="22">
        <f t="shared" si="208"/>
      </c>
      <c r="DM80" s="22">
        <f t="shared" si="208"/>
      </c>
      <c r="DN80" s="297">
        <f t="shared" si="208"/>
      </c>
      <c r="DO80" s="22">
        <f t="shared" si="208"/>
      </c>
      <c r="DP80" s="22">
        <f t="shared" si="208"/>
      </c>
      <c r="DQ80" s="22">
        <f t="shared" si="208"/>
      </c>
      <c r="DR80" s="22">
        <f t="shared" si="208"/>
      </c>
      <c r="DS80" s="297">
        <f t="shared" si="208"/>
      </c>
      <c r="DT80" s="22">
        <f t="shared" si="208"/>
      </c>
      <c r="DU80" s="22">
        <f t="shared" si="208"/>
      </c>
      <c r="DV80" s="22">
        <f t="shared" si="208"/>
      </c>
      <c r="DW80" s="22">
        <f t="shared" si="208"/>
      </c>
      <c r="DX80" s="297">
        <f t="shared" si="208"/>
      </c>
      <c r="DY80" s="22">
        <f t="shared" si="208"/>
      </c>
      <c r="DZ80" s="22">
        <f t="shared" si="208"/>
      </c>
      <c r="EA80" s="22">
        <f t="shared" si="208"/>
      </c>
      <c r="EB80" s="22">
        <f t="shared" si="208"/>
      </c>
      <c r="EC80" s="297">
        <f t="shared" si="208"/>
      </c>
      <c r="ED80" s="22">
        <f t="shared" si="208"/>
      </c>
      <c r="EE80" s="22">
        <f t="shared" si="208"/>
      </c>
      <c r="EF80" s="22">
        <f t="shared" si="208"/>
      </c>
      <c r="EG80" s="22">
        <f t="shared" si="208"/>
      </c>
      <c r="EH80" s="297">
        <f t="shared" si="208"/>
      </c>
      <c r="EI80" s="943">
        <f t="shared" si="208"/>
      </c>
      <c r="EJ80" s="943">
        <f t="shared" si="208"/>
      </c>
      <c r="EK80" s="943">
        <f t="shared" ref="EK80:FN80" si="209">IF(ISNUMBER(EK38/EF38-1),EK38/EF38-1,"NM")</f>
      </c>
      <c r="EL80" s="943">
        <f t="shared" si="209"/>
      </c>
      <c r="EM80" s="297">
        <f t="shared" si="209"/>
      </c>
      <c r="EN80" s="943">
        <f t="shared" si="209"/>
      </c>
      <c r="EO80" s="943">
        <f t="shared" si="209"/>
      </c>
      <c r="EP80" s="943">
        <f t="shared" si="209"/>
      </c>
      <c r="EQ80" s="943">
        <f t="shared" si="209"/>
      </c>
      <c r="ER80" s="297">
        <f t="shared" si="209"/>
      </c>
      <c r="ES80" s="943">
        <f t="shared" si="209"/>
      </c>
      <c r="ET80" s="943">
        <f t="shared" si="209"/>
      </c>
      <c r="EU80" s="943">
        <f t="shared" si="209"/>
      </c>
      <c r="EV80" s="943">
        <f t="shared" si="209"/>
      </c>
      <c r="EW80" s="1060">
        <f t="shared" si="209"/>
      </c>
      <c r="EX80" s="926">
        <f t="shared" si="209"/>
      </c>
      <c r="EY80" s="926">
        <f t="shared" si="209"/>
      </c>
      <c r="EZ80" s="926">
        <f t="shared" si="209"/>
      </c>
      <c r="FA80" s="926">
        <f t="shared" si="209"/>
      </c>
      <c r="FB80" s="1060">
        <f t="shared" si="209"/>
      </c>
      <c r="FC80" s="926">
        <f t="shared" si="209"/>
      </c>
      <c r="FD80" s="926">
        <f t="shared" si="209"/>
      </c>
      <c r="FE80" s="926">
        <f t="shared" si="209"/>
      </c>
      <c r="FF80" s="926">
        <f t="shared" si="209"/>
      </c>
      <c r="FG80" s="1060">
        <f t="shared" si="209"/>
      </c>
      <c r="FH80" s="926">
        <f t="shared" si="209"/>
      </c>
      <c r="FI80" s="926">
        <f t="shared" si="209"/>
      </c>
      <c r="FJ80" s="926">
        <f t="shared" si="209"/>
      </c>
      <c r="FK80" s="926">
        <f t="shared" si="209"/>
      </c>
      <c r="FL80" s="1060">
        <f t="shared" si="209"/>
      </c>
      <c r="FM80" s="926">
        <f t="shared" si="209"/>
      </c>
      <c r="FN80" s="926">
        <f t="shared" si="209"/>
      </c>
      <c r="FO80" s="958"/>
      <c r="FP80" s="926"/>
      <c r="FQ80" s="926"/>
      <c r="FR80" s="926"/>
      <c r="FS80" s="1060"/>
      <c r="FT80" s="926">
        <f t="shared" ref="FT80:GG80" si="210">IF(ISNUMBER(FT38/FO38-1),FT38/FO38-1,"NM")</f>
      </c>
      <c r="FU80" s="928">
        <f t="shared" si="210"/>
      </c>
      <c r="FV80" s="926">
        <f t="shared" si="210"/>
      </c>
      <c r="FW80" s="926">
        <f t="shared" si="210"/>
      </c>
      <c r="FX80" s="1060">
        <f t="shared" si="210"/>
      </c>
      <c r="FY80" s="926">
        <f t="shared" si="210"/>
      </c>
      <c r="FZ80" s="926">
        <f t="shared" si="210"/>
      </c>
      <c r="GA80" s="926">
        <f t="shared" si="210"/>
      </c>
      <c r="GB80" s="926">
        <f t="shared" si="210"/>
      </c>
      <c r="GC80" s="1060">
        <f t="shared" si="210"/>
      </c>
      <c r="GD80" s="926">
        <f t="shared" si="210"/>
      </c>
      <c r="GE80" s="926">
        <f t="shared" si="210"/>
      </c>
      <c r="GF80" s="926">
        <f t="shared" si="210"/>
      </c>
      <c r="GG80" s="926">
        <f t="shared" si="210"/>
      </c>
      <c r="GH80" s="1060">
        <f>IF(ISNUMBER(GH38/GC38-1),GH38/GC38-1,"NM")</f>
      </c>
      <c r="GI80" s="1060">
        <f t="shared" ref="GI80:GM80" ca="1" si="211">IF(ISNUMBER(GI38/GH38-1),GI38/GH38-1,"NM")</f>
      </c>
      <c r="GJ80" s="1060">
        <f t="shared" ca="1" si="211"/>
      </c>
      <c r="GK80" s="1060">
        <f t="shared" ca="1" si="211"/>
      </c>
      <c r="GL80" s="1060">
        <f t="shared" ca="1" si="211"/>
      </c>
      <c r="GM80" s="1060">
        <f t="shared" ca="1" si="211"/>
      </c>
    </row>
    <row r="81" spans="1:195" s="18" customFormat="1" ht="13.5" customHeight="1">
      <c r="B81" s="183" t="s">
        <v>271</v>
      </c>
      <c r="M81" s="22" t="str">
        <f t="shared" ref="M81:AR81" si="212">IF(ISNUMBER(M43/H43-1),M43/H43-1,"NM")</f>
      </c>
      <c r="N81" s="22" t="str">
        <f t="shared" si="212"/>
      </c>
      <c r="O81" s="22" t="str">
        <f t="shared" si="212"/>
      </c>
      <c r="P81" s="22" t="str">
        <f t="shared" si="212"/>
      </c>
      <c r="Q81" s="22" t="str">
        <f t="shared" si="212"/>
      </c>
      <c r="R81" s="22" t="str">
        <f t="shared" si="212"/>
      </c>
      <c r="S81" s="22" t="str">
        <f t="shared" si="212"/>
      </c>
      <c r="T81" s="22" t="str">
        <f t="shared" si="212"/>
      </c>
      <c r="U81" s="22" t="str">
        <f t="shared" si="212"/>
      </c>
      <c r="V81" s="22" t="str">
        <f t="shared" si="212"/>
      </c>
      <c r="W81" s="22" t="str">
        <f t="shared" si="212"/>
      </c>
      <c r="X81" s="22" t="str">
        <f t="shared" si="212"/>
      </c>
      <c r="Y81" s="22" t="str">
        <f t="shared" si="212"/>
      </c>
      <c r="Z81" s="22" t="str">
        <f t="shared" si="212"/>
      </c>
      <c r="AA81" s="22" t="str">
        <f t="shared" si="212"/>
      </c>
      <c r="AB81" s="22" t="str">
        <f t="shared" si="212"/>
      </c>
      <c r="AC81" s="22" t="str">
        <f t="shared" si="212"/>
      </c>
      <c r="AD81" s="22" t="str">
        <f t="shared" si="212"/>
      </c>
      <c r="AE81" s="22" t="str">
        <f t="shared" si="212"/>
      </c>
      <c r="AF81" s="22" t="str">
        <f t="shared" si="212"/>
      </c>
      <c r="AG81" s="22" t="str">
        <f t="shared" si="212"/>
      </c>
      <c r="AH81" s="22" t="str">
        <f t="shared" si="212"/>
      </c>
      <c r="AI81" s="22" t="str">
        <f t="shared" si="212"/>
      </c>
      <c r="AJ81" s="22" t="str">
        <f t="shared" si="212"/>
      </c>
      <c r="AK81" s="22" t="str">
        <f t="shared" si="212"/>
      </c>
      <c r="AL81" s="22" t="str">
        <f t="shared" si="212"/>
      </c>
      <c r="AM81" s="22" t="str">
        <f t="shared" si="212"/>
      </c>
      <c r="AN81" s="22" t="str">
        <f t="shared" si="212"/>
      </c>
      <c r="AO81" s="22" t="str">
        <f t="shared" si="212"/>
      </c>
      <c r="AP81" s="22" t="str">
        <f t="shared" si="212"/>
      </c>
      <c r="AQ81" s="22" t="str">
        <f t="shared" si="212"/>
      </c>
      <c r="AR81" s="22" t="str">
        <f t="shared" si="212"/>
      </c>
      <c r="AS81" s="22" t="str">
        <f t="shared" ref="AS81:BX81" si="213">IF(ISNUMBER(AS43/AN43-1),AS43/AN43-1,"NM")</f>
      </c>
      <c r="AT81" s="22" t="str">
        <f t="shared" si="213"/>
      </c>
      <c r="AU81" s="22" t="str">
        <f t="shared" si="213"/>
      </c>
      <c r="AV81" s="22" t="str">
        <f t="shared" si="213"/>
      </c>
      <c r="AW81" s="22">
        <f t="shared" si="213"/>
      </c>
      <c r="AX81" s="22">
        <f t="shared" si="213"/>
      </c>
      <c r="AY81" s="22">
        <f t="shared" si="213"/>
      </c>
      <c r="AZ81" s="22">
        <f t="shared" si="213"/>
      </c>
      <c r="BA81" s="297">
        <f t="shared" si="213"/>
      </c>
      <c r="BB81" s="22">
        <f t="shared" si="213"/>
      </c>
      <c r="BC81" s="22">
        <f t="shared" si="213"/>
      </c>
      <c r="BD81" s="22">
        <f t="shared" si="213"/>
      </c>
      <c r="BE81" s="22">
        <f t="shared" si="213"/>
      </c>
      <c r="BF81" s="297">
        <f t="shared" si="213"/>
      </c>
      <c r="BG81" s="22">
        <f t="shared" si="213"/>
      </c>
      <c r="BH81" s="22">
        <f t="shared" si="213"/>
      </c>
      <c r="BI81" s="22">
        <f t="shared" si="213"/>
      </c>
      <c r="BJ81" s="22">
        <f t="shared" si="213"/>
      </c>
      <c r="BK81" s="297">
        <f t="shared" si="213"/>
      </c>
      <c r="BL81" s="22">
        <f t="shared" si="213"/>
      </c>
      <c r="BM81" s="22">
        <f t="shared" si="213"/>
      </c>
      <c r="BN81" s="22">
        <f t="shared" si="213"/>
      </c>
      <c r="BO81" s="22">
        <f t="shared" si="213"/>
      </c>
      <c r="BP81" s="297">
        <f t="shared" si="213"/>
      </c>
      <c r="BQ81" s="22">
        <f t="shared" si="213"/>
      </c>
      <c r="BR81" s="22">
        <f t="shared" si="213"/>
      </c>
      <c r="BS81" s="22">
        <f t="shared" si="213"/>
      </c>
      <c r="BT81" s="22">
        <f t="shared" si="213"/>
      </c>
      <c r="BU81" s="297">
        <f t="shared" si="213"/>
      </c>
      <c r="BV81" s="22">
        <f t="shared" si="213"/>
      </c>
      <c r="BW81" s="22">
        <f t="shared" si="213"/>
      </c>
      <c r="BX81" s="22">
        <f t="shared" si="213"/>
      </c>
      <c r="BY81" s="22">
        <f t="shared" ref="BY81:DD81" si="214">IF(ISNUMBER(BY43/BT43-1),BY43/BT43-1,"NM")</f>
      </c>
      <c r="BZ81" s="297">
        <f t="shared" si="214"/>
      </c>
      <c r="CA81" s="22">
        <f t="shared" si="214"/>
      </c>
      <c r="CB81" s="22">
        <f t="shared" si="214"/>
      </c>
      <c r="CC81" s="22">
        <f t="shared" si="214"/>
      </c>
      <c r="CD81" s="22">
        <f t="shared" si="214"/>
      </c>
      <c r="CE81" s="297">
        <f t="shared" si="214"/>
      </c>
      <c r="CF81" s="22">
        <f t="shared" si="214"/>
      </c>
      <c r="CG81" s="22">
        <f t="shared" si="214"/>
      </c>
      <c r="CH81" s="22">
        <f t="shared" si="214"/>
      </c>
      <c r="CI81" s="22">
        <f t="shared" si="214"/>
      </c>
      <c r="CJ81" s="297">
        <f t="shared" si="214"/>
      </c>
      <c r="CK81" s="22">
        <f t="shared" si="214"/>
      </c>
      <c r="CL81" s="22">
        <f t="shared" si="214"/>
      </c>
      <c r="CM81" s="22">
        <f t="shared" si="214"/>
      </c>
      <c r="CN81" s="22">
        <f t="shared" si="214"/>
      </c>
      <c r="CO81" s="297">
        <f t="shared" si="214"/>
      </c>
      <c r="CP81" s="22">
        <f t="shared" si="214"/>
      </c>
      <c r="CQ81" s="22">
        <f t="shared" si="214"/>
      </c>
      <c r="CR81" s="22">
        <f t="shared" si="214"/>
      </c>
      <c r="CS81" s="22">
        <f t="shared" si="214"/>
      </c>
      <c r="CT81" s="297">
        <f t="shared" si="214"/>
      </c>
      <c r="CU81" s="22">
        <f t="shared" si="214"/>
      </c>
      <c r="CV81" s="22">
        <f t="shared" si="214"/>
      </c>
      <c r="CW81" s="22">
        <f t="shared" si="214"/>
      </c>
      <c r="CX81" s="22">
        <f t="shared" si="214"/>
      </c>
      <c r="CY81" s="297">
        <f t="shared" si="214"/>
      </c>
      <c r="CZ81" s="22">
        <f t="shared" si="214"/>
      </c>
      <c r="DA81" s="22">
        <f t="shared" si="214"/>
      </c>
      <c r="DB81" s="22">
        <f t="shared" si="214"/>
      </c>
      <c r="DC81" s="22">
        <f t="shared" si="214"/>
      </c>
      <c r="DD81" s="297">
        <f t="shared" si="214"/>
      </c>
      <c r="DE81" s="22">
        <f t="shared" ref="DE81:EJ81" si="215">IF(ISNUMBER(DE43/CZ43-1),DE43/CZ43-1,"NM")</f>
      </c>
      <c r="DF81" s="22">
        <f t="shared" si="215"/>
      </c>
      <c r="DG81" s="22">
        <f t="shared" si="215"/>
      </c>
      <c r="DH81" s="22">
        <f t="shared" si="215"/>
      </c>
      <c r="DI81" s="297">
        <f t="shared" si="215"/>
      </c>
      <c r="DJ81" s="22">
        <f t="shared" si="215"/>
      </c>
      <c r="DK81" s="22">
        <f t="shared" si="215"/>
      </c>
      <c r="DL81" s="22">
        <f t="shared" si="215"/>
      </c>
      <c r="DM81" s="22">
        <f t="shared" si="215"/>
      </c>
      <c r="DN81" s="297">
        <f t="shared" si="215"/>
      </c>
      <c r="DO81" s="22">
        <f t="shared" si="215"/>
      </c>
      <c r="DP81" s="22">
        <f t="shared" si="215"/>
      </c>
      <c r="DQ81" s="22">
        <f t="shared" si="215"/>
      </c>
      <c r="DR81" s="22">
        <f t="shared" si="215"/>
      </c>
      <c r="DS81" s="297">
        <f t="shared" si="215"/>
      </c>
      <c r="DT81" s="22">
        <f t="shared" si="215"/>
      </c>
      <c r="DU81" s="22">
        <f t="shared" si="215"/>
      </c>
      <c r="DV81" s="22">
        <f t="shared" si="215"/>
      </c>
      <c r="DW81" s="22">
        <f t="shared" si="215"/>
      </c>
      <c r="DX81" s="297">
        <f t="shared" si="215"/>
      </c>
      <c r="DY81" s="22">
        <f t="shared" si="215"/>
      </c>
      <c r="DZ81" s="22">
        <f t="shared" si="215"/>
      </c>
      <c r="EA81" s="22">
        <f t="shared" si="215"/>
      </c>
      <c r="EB81" s="22">
        <f t="shared" si="215"/>
      </c>
      <c r="EC81" s="297">
        <f t="shared" si="215"/>
      </c>
      <c r="ED81" s="22">
        <f t="shared" si="215"/>
      </c>
      <c r="EE81" s="22">
        <f t="shared" si="215"/>
      </c>
      <c r="EF81" s="22">
        <f t="shared" si="215"/>
      </c>
      <c r="EG81" s="22">
        <f t="shared" si="215"/>
      </c>
      <c r="EH81" s="297">
        <f t="shared" si="215"/>
      </c>
      <c r="EI81" s="943">
        <f t="shared" si="215"/>
      </c>
      <c r="EJ81" s="943">
        <f t="shared" si="215"/>
      </c>
      <c r="EK81" s="943">
        <f t="shared" ref="EK81:FN81" si="216">IF(ISNUMBER(EK43/EF43-1),EK43/EF43-1,"NM")</f>
      </c>
      <c r="EL81" s="943">
        <f t="shared" si="216"/>
      </c>
      <c r="EM81" s="297">
        <f t="shared" si="216"/>
      </c>
      <c r="EN81" s="943">
        <f t="shared" si="216"/>
      </c>
      <c r="EO81" s="943">
        <f t="shared" si="216"/>
      </c>
      <c r="EP81" s="943">
        <f t="shared" si="216"/>
      </c>
      <c r="EQ81" s="943">
        <f t="shared" si="216"/>
      </c>
      <c r="ER81" s="297">
        <f t="shared" si="216"/>
      </c>
      <c r="ES81" s="943">
        <f t="shared" si="216"/>
      </c>
      <c r="ET81" s="943">
        <f t="shared" si="216"/>
      </c>
      <c r="EU81" s="943">
        <f t="shared" si="216"/>
      </c>
      <c r="EV81" s="943">
        <f t="shared" si="216"/>
      </c>
      <c r="EW81" s="1060">
        <f t="shared" si="216"/>
      </c>
      <c r="EX81" s="926">
        <f t="shared" si="216"/>
      </c>
      <c r="EY81" s="926">
        <f t="shared" si="216"/>
      </c>
      <c r="EZ81" s="926">
        <f t="shared" si="216"/>
      </c>
      <c r="FA81" s="926">
        <f t="shared" si="216"/>
      </c>
      <c r="FB81" s="1060">
        <f t="shared" si="216"/>
      </c>
      <c r="FC81" s="926">
        <f t="shared" si="216"/>
      </c>
      <c r="FD81" s="926">
        <f t="shared" si="216"/>
      </c>
      <c r="FE81" s="926">
        <f t="shared" si="216"/>
      </c>
      <c r="FF81" s="926">
        <f t="shared" si="216"/>
      </c>
      <c r="FG81" s="1060">
        <f t="shared" si="216"/>
      </c>
      <c r="FH81" s="926">
        <f t="shared" si="216"/>
      </c>
      <c r="FI81" s="926">
        <f t="shared" si="216"/>
      </c>
      <c r="FJ81" s="926">
        <f t="shared" si="216"/>
      </c>
      <c r="FK81" s="926">
        <f t="shared" si="216"/>
      </c>
      <c r="FL81" s="1060">
        <f t="shared" si="216"/>
      </c>
      <c r="FM81" s="926">
        <f t="shared" si="216"/>
      </c>
      <c r="FN81" s="926">
        <f t="shared" si="216"/>
      </c>
      <c r="FO81" s="958"/>
      <c r="FP81" s="926"/>
      <c r="FQ81" s="926"/>
      <c r="FR81" s="926"/>
      <c r="FS81" s="1060"/>
      <c r="FT81" s="926">
        <f t="shared" ref="FT81:GG81" si="217">IF(ISNUMBER(FT43/FO43-1),FT43/FO43-1,"NM")</f>
      </c>
      <c r="FU81" s="928">
        <f t="shared" si="217"/>
      </c>
      <c r="FV81" s="926">
        <f t="shared" si="217"/>
      </c>
      <c r="FW81" s="926">
        <f t="shared" si="217"/>
      </c>
      <c r="FX81" s="1060">
        <f t="shared" si="217"/>
      </c>
      <c r="FY81" s="926">
        <f t="shared" si="217"/>
      </c>
      <c r="FZ81" s="926">
        <f t="shared" si="217"/>
      </c>
      <c r="GA81" s="926">
        <f t="shared" si="217"/>
      </c>
      <c r="GB81" s="926">
        <f t="shared" si="217"/>
      </c>
      <c r="GC81" s="1060">
        <f t="shared" si="217"/>
      </c>
      <c r="GD81" s="926">
        <f t="shared" si="217"/>
      </c>
      <c r="GE81" s="926">
        <f t="shared" si="217"/>
      </c>
      <c r="GF81" s="926">
        <f t="shared" si="217"/>
      </c>
      <c r="GG81" s="926">
        <f t="shared" si="217"/>
      </c>
      <c r="GH81" s="1060">
        <f>IF(ISNUMBER(GH43/GC43-1),GH43/GC43-1,"NM")</f>
      </c>
      <c r="GI81" s="1060">
        <f t="shared" ref="GI81:GM81" ca="1" si="218">IF(ISNUMBER(GI43/GH43-1),GI43/GH43-1,"NM")</f>
      </c>
      <c r="GJ81" s="1060">
        <f t="shared" ca="1" si="218"/>
      </c>
      <c r="GK81" s="1060">
        <f t="shared" ca="1" si="218"/>
      </c>
      <c r="GL81" s="1060">
        <f t="shared" ca="1" si="218"/>
      </c>
      <c r="GM81" s="1060">
        <f t="shared" ca="1" si="218"/>
      </c>
    </row>
    <row r="82" spans="1:195" s="4" customFormat="1" ht="13.5" customHeight="1">
      <c r="B82" s="54" t="s">
        <v>455</v>
      </c>
      <c r="E82" s="57"/>
      <c r="F82" s="57"/>
      <c r="G82" s="57"/>
      <c r="H82" s="57"/>
      <c r="I82" s="58"/>
      <c r="J82" s="58"/>
      <c r="K82" s="58"/>
      <c r="L82" s="58"/>
      <c r="M82" s="22" t="str">
        <f t="shared" ref="M82:AR82" si="219">IF(ISNUMBER(M55/H55-1),M55/H55-1,"NM")</f>
      </c>
      <c r="N82" s="22" t="str">
        <f t="shared" si="219"/>
      </c>
      <c r="O82" s="22" t="str">
        <f t="shared" si="219"/>
      </c>
      <c r="P82" s="22" t="str">
        <f t="shared" si="219"/>
      </c>
      <c r="Q82" s="22" t="str">
        <f t="shared" si="219"/>
      </c>
      <c r="R82" s="22" t="str">
        <f t="shared" si="219"/>
      </c>
      <c r="S82" s="22" t="str">
        <f t="shared" si="219"/>
      </c>
      <c r="T82" s="22" t="str">
        <f t="shared" si="219"/>
      </c>
      <c r="U82" s="22" t="str">
        <f t="shared" si="219"/>
      </c>
      <c r="V82" s="22" t="str">
        <f t="shared" si="219"/>
      </c>
      <c r="W82" s="22" t="str">
        <f t="shared" si="219"/>
      </c>
      <c r="X82" s="22" t="str">
        <f t="shared" si="219"/>
      </c>
      <c r="Y82" s="22" t="str">
        <f t="shared" si="219"/>
      </c>
      <c r="Z82" s="22" t="str">
        <f t="shared" si="219"/>
      </c>
      <c r="AA82" s="22" t="str">
        <f t="shared" si="219"/>
      </c>
      <c r="AB82" s="22" t="str">
        <f t="shared" si="219"/>
      </c>
      <c r="AC82" s="22" t="str">
        <f t="shared" si="219"/>
      </c>
      <c r="AD82" s="22" t="str">
        <f t="shared" si="219"/>
      </c>
      <c r="AE82" s="22" t="str">
        <f t="shared" si="219"/>
      </c>
      <c r="AF82" s="22" t="str">
        <f t="shared" si="219"/>
      </c>
      <c r="AG82" s="22" t="str">
        <f t="shared" si="219"/>
      </c>
      <c r="AH82" s="22" t="str">
        <f t="shared" si="219"/>
      </c>
      <c r="AI82" s="22" t="str">
        <f t="shared" si="219"/>
      </c>
      <c r="AJ82" s="22" t="str">
        <f t="shared" si="219"/>
      </c>
      <c r="AK82" s="22" t="str">
        <f t="shared" si="219"/>
      </c>
      <c r="AL82" s="22" t="str">
        <f t="shared" si="219"/>
      </c>
      <c r="AM82" s="22" t="str">
        <f t="shared" si="219"/>
      </c>
      <c r="AN82" s="22" t="str">
        <f t="shared" si="219"/>
      </c>
      <c r="AO82" s="22" t="str">
        <f t="shared" si="219"/>
      </c>
      <c r="AP82" s="22" t="str">
        <f t="shared" si="219"/>
      </c>
      <c r="AQ82" s="22" t="str">
        <f t="shared" si="219"/>
      </c>
      <c r="AR82" s="22" t="str">
        <f t="shared" si="219"/>
      </c>
      <c r="AS82" s="22" t="str">
        <f t="shared" ref="AS82:BX82" si="220">IF(ISNUMBER(AS55/AN55-1),AS55/AN55-1,"NM")</f>
      </c>
      <c r="AT82" s="22" t="str">
        <f t="shared" si="220"/>
      </c>
      <c r="AU82" s="22" t="str">
        <f t="shared" si="220"/>
      </c>
      <c r="AV82" s="22" t="str">
        <f t="shared" si="220"/>
      </c>
      <c r="AW82" s="22" t="str">
        <f t="shared" si="220"/>
      </c>
      <c r="AX82" s="22" t="str">
        <f t="shared" si="220"/>
      </c>
      <c r="AY82" s="22" t="str">
        <f t="shared" si="220"/>
      </c>
      <c r="AZ82" s="22" t="str">
        <f t="shared" si="220"/>
      </c>
      <c r="BA82" s="297">
        <f t="shared" si="220"/>
      </c>
      <c r="BB82" s="22">
        <f t="shared" si="220"/>
      </c>
      <c r="BC82" s="22">
        <f t="shared" si="220"/>
      </c>
      <c r="BD82" s="22">
        <f t="shared" si="220"/>
      </c>
      <c r="BE82" s="22">
        <f t="shared" si="220"/>
      </c>
      <c r="BF82" s="297">
        <f t="shared" si="220"/>
      </c>
      <c r="BG82" s="22">
        <f t="shared" si="220"/>
      </c>
      <c r="BH82" s="22">
        <f t="shared" si="220"/>
      </c>
      <c r="BI82" s="22">
        <f t="shared" si="220"/>
      </c>
      <c r="BJ82" s="22">
        <f t="shared" si="220"/>
      </c>
      <c r="BK82" s="297">
        <f t="shared" si="220"/>
      </c>
      <c r="BL82" s="22">
        <f t="shared" si="220"/>
      </c>
      <c r="BM82" s="22">
        <f t="shared" si="220"/>
      </c>
      <c r="BN82" s="22">
        <f t="shared" si="220"/>
      </c>
      <c r="BO82" s="22">
        <f t="shared" si="220"/>
      </c>
      <c r="BP82" s="297">
        <f t="shared" si="220"/>
      </c>
      <c r="BQ82" s="22">
        <f t="shared" si="220"/>
      </c>
      <c r="BR82" s="22">
        <f t="shared" si="220"/>
      </c>
      <c r="BS82" s="22">
        <f t="shared" si="220"/>
      </c>
      <c r="BT82" s="22">
        <f t="shared" si="220"/>
      </c>
      <c r="BU82" s="297">
        <f t="shared" si="220"/>
      </c>
      <c r="BV82" s="22">
        <f t="shared" si="220"/>
      </c>
      <c r="BW82" s="22">
        <f t="shared" si="220"/>
      </c>
      <c r="BX82" s="22">
        <f t="shared" si="220"/>
      </c>
      <c r="BY82" s="22">
        <f t="shared" ref="BY82:DD82" si="221">IF(ISNUMBER(BY55/BT55-1),BY55/BT55-1,"NM")</f>
      </c>
      <c r="BZ82" s="297">
        <f t="shared" si="221"/>
      </c>
      <c r="CA82" s="22">
        <f t="shared" si="221"/>
      </c>
      <c r="CB82" s="22">
        <f t="shared" si="221"/>
      </c>
      <c r="CC82" s="22">
        <f t="shared" si="221"/>
      </c>
      <c r="CD82" s="22">
        <f t="shared" si="221"/>
      </c>
      <c r="CE82" s="297">
        <f t="shared" si="221"/>
      </c>
      <c r="CF82" s="22">
        <f t="shared" si="221"/>
      </c>
      <c r="CG82" s="22">
        <f t="shared" si="221"/>
      </c>
      <c r="CH82" s="22">
        <f t="shared" si="221"/>
      </c>
      <c r="CI82" s="22">
        <f t="shared" si="221"/>
      </c>
      <c r="CJ82" s="297">
        <f t="shared" si="221"/>
      </c>
      <c r="CK82" s="22">
        <f t="shared" si="221"/>
      </c>
      <c r="CL82" s="22">
        <f t="shared" si="221"/>
      </c>
      <c r="CM82" s="22">
        <f t="shared" si="221"/>
      </c>
      <c r="CN82" s="22">
        <f t="shared" si="221"/>
      </c>
      <c r="CO82" s="297">
        <f t="shared" si="221"/>
      </c>
      <c r="CP82" s="22">
        <f t="shared" si="221"/>
      </c>
      <c r="CQ82" s="22">
        <f t="shared" si="221"/>
      </c>
      <c r="CR82" s="22">
        <f t="shared" si="221"/>
      </c>
      <c r="CS82" s="22">
        <f t="shared" si="221"/>
      </c>
      <c r="CT82" s="297">
        <f t="shared" si="221"/>
      </c>
      <c r="CU82" s="22">
        <f t="shared" si="221"/>
      </c>
      <c r="CV82" s="22">
        <f t="shared" si="221"/>
      </c>
      <c r="CW82" s="22">
        <f t="shared" si="221"/>
      </c>
      <c r="CX82" s="22">
        <f t="shared" si="221"/>
      </c>
      <c r="CY82" s="297">
        <f t="shared" si="221"/>
      </c>
      <c r="CZ82" s="22">
        <f t="shared" si="221"/>
      </c>
      <c r="DA82" s="22">
        <f t="shared" si="221"/>
      </c>
      <c r="DB82" s="22">
        <f t="shared" si="221"/>
      </c>
      <c r="DC82" s="22">
        <f t="shared" si="221"/>
      </c>
      <c r="DD82" s="297">
        <f t="shared" si="221"/>
      </c>
      <c r="DE82" s="22">
        <f t="shared" ref="DE82:EJ82" si="222">IF(ISNUMBER(DE55/CZ55-1),DE55/CZ55-1,"NM")</f>
      </c>
      <c r="DF82" s="22">
        <f t="shared" si="222"/>
      </c>
      <c r="DG82" s="22">
        <f t="shared" si="222"/>
      </c>
      <c r="DH82" s="22">
        <f t="shared" si="222"/>
      </c>
      <c r="DI82" s="297">
        <f t="shared" si="222"/>
      </c>
      <c r="DJ82" s="22">
        <f t="shared" si="222"/>
      </c>
      <c r="DK82" s="22">
        <f t="shared" si="222"/>
      </c>
      <c r="DL82" s="22">
        <f t="shared" si="222"/>
      </c>
      <c r="DM82" s="22">
        <f t="shared" si="222"/>
      </c>
      <c r="DN82" s="297">
        <f t="shared" si="222"/>
      </c>
      <c r="DO82" s="22">
        <f t="shared" si="222"/>
      </c>
      <c r="DP82" s="22">
        <f t="shared" si="222"/>
      </c>
      <c r="DQ82" s="22">
        <f t="shared" si="222"/>
      </c>
      <c r="DR82" s="22">
        <f t="shared" si="222"/>
      </c>
      <c r="DS82" s="297">
        <f t="shared" si="222"/>
      </c>
      <c r="DT82" s="22">
        <f t="shared" si="222"/>
      </c>
      <c r="DU82" s="22">
        <f t="shared" si="222"/>
      </c>
      <c r="DV82" s="22">
        <f t="shared" si="222"/>
      </c>
      <c r="DW82" s="22">
        <f t="shared" si="222"/>
      </c>
      <c r="DX82" s="297">
        <f t="shared" si="222"/>
      </c>
      <c r="DY82" s="22">
        <f t="shared" si="222"/>
      </c>
      <c r="DZ82" s="22">
        <f t="shared" si="222"/>
      </c>
      <c r="EA82" s="22">
        <f t="shared" si="222"/>
      </c>
      <c r="EB82" s="22">
        <f t="shared" si="222"/>
      </c>
      <c r="EC82" s="297">
        <f t="shared" si="222"/>
      </c>
      <c r="ED82" s="22">
        <f t="shared" si="222"/>
      </c>
      <c r="EE82" s="22">
        <f t="shared" si="222"/>
      </c>
      <c r="EF82" s="22">
        <f t="shared" si="222"/>
      </c>
      <c r="EG82" s="22">
        <f t="shared" si="222"/>
      </c>
      <c r="EH82" s="297">
        <f t="shared" si="222"/>
      </c>
      <c r="EI82" s="943">
        <f t="shared" si="222"/>
      </c>
      <c r="EJ82" s="943">
        <f t="shared" si="222"/>
      </c>
      <c r="EK82" s="943">
        <f t="shared" ref="EK82:FN82" si="223">IF(ISNUMBER(EK55/EF55-1),EK55/EF55-1,"NM")</f>
      </c>
      <c r="EL82" s="943">
        <f t="shared" si="223"/>
      </c>
      <c r="EM82" s="297">
        <f t="shared" si="223"/>
      </c>
      <c r="EN82" s="943">
        <f t="shared" si="223"/>
      </c>
      <c r="EO82" s="943">
        <f t="shared" si="223"/>
      </c>
      <c r="EP82" s="943">
        <f t="shared" si="223"/>
      </c>
      <c r="EQ82" s="943">
        <f t="shared" si="223"/>
      </c>
      <c r="ER82" s="297">
        <f t="shared" si="223"/>
      </c>
      <c r="ES82" s="943">
        <f t="shared" si="223"/>
      </c>
      <c r="ET82" s="943">
        <f t="shared" si="223"/>
      </c>
      <c r="EU82" s="943">
        <f t="shared" si="223"/>
      </c>
      <c r="EV82" s="943">
        <f t="shared" si="223"/>
      </c>
      <c r="EW82" s="1066">
        <f t="shared" si="223"/>
      </c>
      <c r="EX82" s="925">
        <f t="shared" si="223"/>
      </c>
      <c r="EY82" s="925">
        <f t="shared" si="223"/>
      </c>
      <c r="EZ82" s="925">
        <f t="shared" si="223"/>
      </c>
      <c r="FA82" s="925">
        <f t="shared" si="223"/>
      </c>
      <c r="FB82" s="1066">
        <f t="shared" si="223"/>
      </c>
      <c r="FC82" s="925">
        <f t="shared" si="223"/>
      </c>
      <c r="FD82" s="925">
        <f t="shared" si="223"/>
      </c>
      <c r="FE82" s="925">
        <f t="shared" si="223"/>
      </c>
      <c r="FF82" s="925">
        <f t="shared" si="223"/>
      </c>
      <c r="FG82" s="1066">
        <f t="shared" si="223"/>
      </c>
      <c r="FH82" s="925">
        <f>IF(ISNUMBER(FH55/FC55-1),FH55/FC55-1,"NM")</f>
      </c>
      <c r="FI82" s="925">
        <f>IF(ISNUMBER(FI55/FD55-1),FI55/FD55-1,"NM")</f>
      </c>
      <c r="FJ82" s="925">
        <f>IF(ISNUMBER(FJ55/FE55-1),FJ55/FE55-1,"NM")</f>
      </c>
      <c r="FK82" s="925">
        <f>IF(ISNUMBER(FK55/FF55-1),FK55/FF55-1,"NM")</f>
      </c>
      <c r="FL82" s="1066">
        <f>IF(ISNUMBER(FL55/FG55-1),FL55/FG55-1,"NM")</f>
      </c>
      <c r="FM82" s="925">
        <f t="shared" si="223"/>
      </c>
      <c r="FN82" s="925">
        <f t="shared" si="223"/>
      </c>
      <c r="FO82" s="968"/>
      <c r="FP82" s="925"/>
      <c r="FQ82" s="925"/>
      <c r="FR82" s="925"/>
      <c r="FS82" s="1066"/>
      <c r="FT82" s="926">
        <f t="shared" ref="FT82:GA82" si="224">IF(ISNUMBER(FT55/FO55-1),FT55/FO55-1,"NM")</f>
      </c>
      <c r="FU82" s="928">
        <f t="shared" si="224"/>
      </c>
      <c r="FV82" s="926">
        <f t="shared" si="224"/>
      </c>
      <c r="FW82" s="926">
        <f t="shared" si="224"/>
      </c>
      <c r="FX82" s="1060">
        <f t="shared" si="224"/>
      </c>
      <c r="FY82" s="926">
        <f t="shared" si="224"/>
      </c>
      <c r="FZ82" s="926">
        <f t="shared" si="224"/>
      </c>
      <c r="GA82" s="926">
        <f t="shared" si="224"/>
      </c>
      <c r="GB82" s="926">
        <f>IF(ISNUMBER(GB55/FW55-1),GB55/FW55-1,"NM")</f>
      </c>
      <c r="GC82" s="1060">
        <f>IF(ISNUMBER(GC55/FX55-1),GC55/FX55-1,"NM")</f>
      </c>
      <c r="GD82" s="926">
        <f t="shared" ref="GD82:GF82" si="225">IF(ISNUMBER(GD55/FY55-1),GD55/FY55-1,"NM")</f>
      </c>
      <c r="GE82" s="926">
        <f t="shared" si="225"/>
      </c>
      <c r="GF82" s="926">
        <f t="shared" si="225"/>
      </c>
      <c r="GG82" s="926">
        <f>IF(ISNUMBER(GG55/GB55-1),GG55/GB55-1,"NM")</f>
      </c>
      <c r="GH82" s="1060">
        <f>IF(ISNUMBER(GH55/GC55-1),GH55/GC55-1,"NM")</f>
      </c>
      <c r="GI82" s="1060">
        <f t="shared" ref="GI82:GM82" ca="1" si="226">IF(ISNUMBER(GI55/GH55-1),GI55/GH55-1,"NM")</f>
      </c>
      <c r="GJ82" s="1060">
        <f t="shared" ca="1" si="226"/>
      </c>
      <c r="GK82" s="1060">
        <f t="shared" ca="1" si="226"/>
      </c>
      <c r="GL82" s="1060">
        <f t="shared" ca="1" si="226"/>
      </c>
      <c r="GM82" s="1060">
        <f t="shared" ca="1" si="226"/>
      </c>
    </row>
    <row r="83" spans="1:195" ht="13.5" customHeight="1" outlineLevel="1">
      <c r="B83" s="54"/>
      <c r="C83" s="4"/>
      <c r="D83" s="4"/>
      <c r="E83" s="57"/>
      <c r="F83" s="57"/>
      <c r="G83" s="57"/>
      <c r="H83" s="57"/>
      <c r="I83" s="58"/>
      <c r="J83" s="58"/>
      <c r="K83" s="58"/>
      <c r="L83" s="58"/>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97">
        <f t="shared" ref="BA83:CF83" si="227">+BA82-BA81</f>
      </c>
      <c r="BB83" s="22">
        <f t="shared" si="227"/>
      </c>
      <c r="BC83" s="22">
        <f t="shared" si="227"/>
      </c>
      <c r="BD83" s="22">
        <f t="shared" si="227"/>
      </c>
      <c r="BE83" s="22">
        <f t="shared" si="227"/>
      </c>
      <c r="BF83" s="297">
        <f t="shared" si="227"/>
      </c>
      <c r="BG83" s="22">
        <f t="shared" si="227"/>
      </c>
      <c r="BH83" s="22">
        <f t="shared" si="227"/>
      </c>
      <c r="BI83" s="22">
        <f t="shared" si="227"/>
      </c>
      <c r="BJ83" s="22">
        <f t="shared" si="227"/>
      </c>
      <c r="BK83" s="297">
        <f t="shared" si="227"/>
      </c>
      <c r="BL83" s="22">
        <f t="shared" si="227"/>
      </c>
      <c r="BM83" s="22">
        <f t="shared" si="227"/>
      </c>
      <c r="BN83" s="22">
        <f t="shared" si="227"/>
      </c>
      <c r="BO83" s="22">
        <f t="shared" si="227"/>
      </c>
      <c r="BP83" s="297">
        <f t="shared" si="227"/>
      </c>
      <c r="BQ83" s="22">
        <f t="shared" si="227"/>
      </c>
      <c r="BR83" s="22">
        <f t="shared" si="227"/>
      </c>
      <c r="BS83" s="22">
        <f t="shared" si="227"/>
      </c>
      <c r="BT83" s="22">
        <f t="shared" si="227"/>
      </c>
      <c r="BU83" s="297">
        <f t="shared" si="227"/>
      </c>
      <c r="BV83" s="22">
        <f t="shared" si="227"/>
      </c>
      <c r="BW83" s="22">
        <f t="shared" si="227"/>
      </c>
      <c r="BX83" s="22">
        <f t="shared" si="227"/>
      </c>
      <c r="BY83" s="22">
        <f t="shared" si="227"/>
      </c>
      <c r="BZ83" s="297">
        <f t="shared" si="227"/>
      </c>
      <c r="CA83" s="22">
        <f t="shared" si="227"/>
      </c>
      <c r="CB83" s="22">
        <f t="shared" si="227"/>
      </c>
      <c r="CC83" s="22">
        <f t="shared" si="227"/>
      </c>
      <c r="CD83" s="22">
        <f t="shared" si="227"/>
      </c>
      <c r="CE83" s="297">
        <f t="shared" si="227"/>
      </c>
      <c r="CF83" s="22">
        <f t="shared" si="227"/>
      </c>
      <c r="CG83" s="22">
        <f t="shared" ref="CG83:DL83" si="228">+CG82-CG81</f>
      </c>
      <c r="CH83" s="22">
        <f t="shared" si="228"/>
      </c>
      <c r="CI83" s="22">
        <f t="shared" si="228"/>
      </c>
      <c r="CJ83" s="297">
        <f t="shared" si="228"/>
      </c>
      <c r="CK83" s="22">
        <f t="shared" si="228"/>
      </c>
      <c r="CL83" s="22">
        <f t="shared" si="228"/>
      </c>
      <c r="CM83" s="22">
        <f t="shared" si="228"/>
      </c>
      <c r="CN83" s="22">
        <f t="shared" si="228"/>
      </c>
      <c r="CO83" s="297">
        <f t="shared" si="228"/>
      </c>
      <c r="CP83" s="22">
        <f t="shared" si="228"/>
      </c>
      <c r="CQ83" s="22">
        <f t="shared" si="228"/>
      </c>
      <c r="CR83" s="22">
        <f t="shared" si="228"/>
      </c>
      <c r="CS83" s="22">
        <f t="shared" si="228"/>
      </c>
      <c r="CT83" s="297">
        <f t="shared" si="228"/>
      </c>
      <c r="CU83" s="22">
        <f t="shared" si="228"/>
      </c>
      <c r="CV83" s="22">
        <f t="shared" si="228"/>
      </c>
      <c r="CW83" s="22">
        <f t="shared" si="228"/>
      </c>
      <c r="CX83" s="22">
        <f t="shared" si="228"/>
      </c>
      <c r="CY83" s="297">
        <f t="shared" si="228"/>
      </c>
      <c r="CZ83" s="22">
        <f t="shared" si="228"/>
      </c>
      <c r="DA83" s="22">
        <f t="shared" si="228"/>
      </c>
      <c r="DB83" s="22">
        <f t="shared" si="228"/>
      </c>
      <c r="DC83" s="22">
        <f t="shared" si="228"/>
      </c>
      <c r="DD83" s="297">
        <f t="shared" si="228"/>
      </c>
      <c r="DE83" s="22">
        <f t="shared" si="228"/>
      </c>
      <c r="DF83" s="22">
        <f t="shared" si="228"/>
      </c>
      <c r="DG83" s="22">
        <f t="shared" si="228"/>
      </c>
      <c r="DH83" s="22">
        <f t="shared" si="228"/>
      </c>
      <c r="DI83" s="297">
        <f t="shared" si="228"/>
      </c>
      <c r="DJ83" s="22">
        <f t="shared" si="228"/>
      </c>
      <c r="DK83" s="22">
        <f t="shared" si="228"/>
      </c>
      <c r="DL83" s="22">
        <f t="shared" si="228"/>
      </c>
      <c r="DM83" s="22">
        <f t="shared" ref="DM83:ER83" si="229">+DM82-DM81</f>
      </c>
      <c r="DN83" s="297">
        <f t="shared" si="229"/>
      </c>
      <c r="DO83" s="22">
        <f t="shared" si="229"/>
      </c>
      <c r="DP83" s="22">
        <f t="shared" si="229"/>
      </c>
      <c r="DQ83" s="22">
        <f t="shared" si="229"/>
      </c>
      <c r="DR83" s="22">
        <f t="shared" si="229"/>
      </c>
      <c r="DS83" s="297">
        <f t="shared" si="229"/>
      </c>
      <c r="DT83" s="22">
        <f t="shared" si="229"/>
      </c>
      <c r="DU83" s="22">
        <f t="shared" si="229"/>
      </c>
      <c r="DV83" s="22">
        <f t="shared" si="229"/>
      </c>
      <c r="DW83" s="22">
        <f t="shared" si="229"/>
      </c>
      <c r="DX83" s="297">
        <f t="shared" si="229"/>
      </c>
      <c r="DY83" s="22">
        <f t="shared" si="229"/>
      </c>
      <c r="DZ83" s="22">
        <f t="shared" si="229"/>
      </c>
      <c r="EA83" s="22">
        <f t="shared" si="229"/>
      </c>
      <c r="EB83" s="22">
        <f t="shared" si="229"/>
      </c>
      <c r="EC83" s="297">
        <f t="shared" si="229"/>
      </c>
      <c r="ED83" s="22">
        <f t="shared" si="229"/>
      </c>
      <c r="EE83" s="22">
        <f t="shared" si="229"/>
      </c>
      <c r="EF83" s="22">
        <f t="shared" si="229"/>
      </c>
      <c r="EG83" s="22">
        <f t="shared" si="229"/>
      </c>
      <c r="EH83" s="297">
        <f t="shared" si="229"/>
      </c>
      <c r="EI83" s="943">
        <f t="shared" si="229"/>
      </c>
      <c r="EJ83" s="943">
        <f t="shared" si="229"/>
      </c>
      <c r="EK83" s="943">
        <f t="shared" si="229"/>
      </c>
      <c r="EL83" s="943">
        <f t="shared" si="229"/>
      </c>
      <c r="EM83" s="297">
        <f t="shared" si="229"/>
      </c>
      <c r="EN83" s="943">
        <f t="shared" si="229"/>
      </c>
      <c r="EO83" s="943">
        <f t="shared" si="229"/>
      </c>
      <c r="EP83" s="943">
        <f t="shared" si="229"/>
      </c>
      <c r="EQ83" s="943">
        <f t="shared" si="229"/>
      </c>
      <c r="ER83" s="297">
        <f t="shared" si="229"/>
      </c>
      <c r="ES83" s="943">
        <f t="shared" ref="ES83:GH83" si="230">+ES82-ES81</f>
      </c>
      <c r="ET83" s="943">
        <f t="shared" si="230"/>
      </c>
      <c r="EU83" s="943">
        <f t="shared" si="230"/>
      </c>
      <c r="EV83" s="943">
        <f t="shared" si="230"/>
      </c>
      <c r="EW83" s="1066">
        <f t="shared" si="230"/>
      </c>
      <c r="EX83" s="925">
        <f t="shared" si="230"/>
      </c>
      <c r="EY83" s="925">
        <f t="shared" si="230"/>
      </c>
      <c r="EZ83" s="925">
        <f t="shared" si="230"/>
      </c>
      <c r="FA83" s="925">
        <f t="shared" si="230"/>
      </c>
      <c r="FB83" s="1066">
        <f t="shared" si="230"/>
      </c>
      <c r="FC83" s="925">
        <f t="shared" si="230"/>
      </c>
      <c r="FD83" s="925">
        <f t="shared" si="230"/>
      </c>
      <c r="FE83" s="925">
        <f t="shared" si="230"/>
      </c>
      <c r="FF83" s="925">
        <f t="shared" si="230"/>
      </c>
      <c r="FG83" s="1066">
        <f t="shared" si="230"/>
      </c>
      <c r="FH83" s="925">
        <f t="shared" si="230"/>
      </c>
      <c r="FI83" s="925">
        <f t="shared" si="230"/>
      </c>
      <c r="FJ83" s="925">
        <f t="shared" si="230"/>
      </c>
      <c r="FK83" s="925">
        <f t="shared" si="230"/>
      </c>
      <c r="FL83" s="1066">
        <f t="shared" si="230"/>
      </c>
      <c r="FM83" s="925">
        <f t="shared" si="230"/>
      </c>
      <c r="FN83" s="925">
        <f>+FN82-FN81</f>
      </c>
      <c r="FO83" s="968"/>
      <c r="FP83" s="925"/>
      <c r="FQ83" s="925"/>
      <c r="FR83" s="925"/>
      <c r="FS83" s="1066"/>
      <c r="FT83" s="925">
        <f>+FT82-FT81</f>
      </c>
      <c r="FU83" s="927">
        <f>+FU82-FU81</f>
      </c>
      <c r="FV83" s="925">
        <f>+FV82-FV81</f>
      </c>
      <c r="FW83" s="925">
        <f>+FW82-FW81</f>
      </c>
      <c r="FX83" s="1066">
        <f t="shared" si="230"/>
      </c>
      <c r="FY83" s="925">
        <f>+FY82-FY81</f>
      </c>
      <c r="FZ83" s="925">
        <f>+FZ82-FZ81</f>
      </c>
      <c r="GA83" s="925">
        <f>+GA82-GA81</f>
      </c>
      <c r="GB83" s="925">
        <f>+GB82-GB81</f>
      </c>
      <c r="GC83" s="1066">
        <f t="shared" si="230"/>
      </c>
      <c r="GD83" s="925">
        <f>+GD82-GD81</f>
      </c>
      <c r="GE83" s="925">
        <f>+GE82-GE81</f>
      </c>
      <c r="GF83" s="925">
        <f>+GF82-GF81</f>
      </c>
      <c r="GG83" s="925">
        <f>+GG82-GG81</f>
      </c>
      <c r="GH83" s="1066">
        <f t="shared" si="230"/>
      </c>
      <c r="GI83" s="1066">
        <f ca="1">+GI82-GI81</f>
      </c>
      <c r="GJ83" s="1066">
        <f ca="1">+GJ82-GJ81</f>
      </c>
      <c r="GK83" s="1066">
        <f ca="1">+GK82-GK81</f>
      </c>
      <c r="GL83" s="1066">
        <f ca="1">+GL82-GL81</f>
      </c>
      <c r="GM83" s="1066">
        <f ca="1">+GM82-GM81</f>
      </c>
    </row>
    <row r="84" spans="1:195" ht="13.5" customHeight="1">
      <c r="B84" s="1477" t="s">
        <v>749</v>
      </c>
      <c r="C84" s="1470"/>
      <c r="D84" s="1470"/>
      <c r="E84" s="1471"/>
      <c r="F84" s="1471"/>
      <c r="G84" s="1471"/>
      <c r="H84" s="1471"/>
      <c r="I84" s="1472"/>
      <c r="J84" s="1472"/>
      <c r="K84" s="1472"/>
      <c r="L84" s="1472"/>
      <c r="M84" s="1473"/>
      <c r="N84" s="1473"/>
      <c r="O84" s="1473"/>
      <c r="P84" s="1473"/>
      <c r="Q84" s="1473"/>
      <c r="R84" s="1473"/>
      <c r="S84" s="1473"/>
      <c r="T84" s="1473"/>
      <c r="U84" s="1473"/>
      <c r="V84" s="1473"/>
      <c r="W84" s="1473"/>
      <c r="X84" s="1473"/>
      <c r="Y84" s="1473"/>
      <c r="Z84" s="1473"/>
      <c r="AA84" s="1473"/>
      <c r="AB84" s="1473"/>
      <c r="AC84" s="1473"/>
      <c r="AD84" s="1473"/>
      <c r="AE84" s="1473"/>
      <c r="AF84" s="1473"/>
      <c r="AG84" s="1473"/>
      <c r="AH84" s="1473"/>
      <c r="AI84" s="1473"/>
      <c r="AJ84" s="1473"/>
      <c r="AK84" s="1473"/>
      <c r="AL84" s="1473"/>
      <c r="AM84" s="1473"/>
      <c r="AN84" s="1473"/>
      <c r="AO84" s="1473"/>
      <c r="AP84" s="1473"/>
      <c r="AQ84" s="1473"/>
      <c r="AR84" s="1473"/>
      <c r="AS84" s="1473"/>
      <c r="AT84" s="1473"/>
      <c r="AU84" s="1473"/>
      <c r="AV84" s="1473"/>
      <c r="AW84" s="1473"/>
      <c r="AX84" s="1473"/>
      <c r="AY84" s="1473"/>
      <c r="AZ84" s="1473"/>
      <c r="BA84" s="1474"/>
      <c r="BB84" s="1473"/>
      <c r="BC84" s="1473"/>
      <c r="BD84" s="1473"/>
      <c r="BE84" s="1473"/>
      <c r="BF84" s="1474"/>
      <c r="BG84" s="1473"/>
      <c r="BH84" s="1473"/>
      <c r="BI84" s="1473"/>
      <c r="BJ84" s="1473"/>
      <c r="BK84" s="1474"/>
      <c r="BL84" s="1473"/>
      <c r="BM84" s="1473"/>
      <c r="BN84" s="1473"/>
      <c r="BO84" s="1473"/>
      <c r="BP84" s="1474"/>
      <c r="BQ84" s="1473"/>
      <c r="BR84" s="1473"/>
      <c r="BS84" s="1473"/>
      <c r="BT84" s="1473"/>
      <c r="BU84" s="1474"/>
      <c r="BV84" s="1473"/>
      <c r="BW84" s="1473"/>
      <c r="BX84" s="1473"/>
      <c r="BY84" s="1473"/>
      <c r="BZ84" s="1474"/>
      <c r="CA84" s="1473"/>
      <c r="CB84" s="1473"/>
      <c r="CC84" s="1473"/>
      <c r="CD84" s="1473"/>
      <c r="CE84" s="1474"/>
      <c r="CF84" s="1473"/>
      <c r="CG84" s="1473"/>
      <c r="CH84" s="1473"/>
      <c r="CI84" s="1473"/>
      <c r="CJ84" s="1474"/>
      <c r="CK84" s="1473"/>
      <c r="CL84" s="1473"/>
      <c r="CM84" s="1473"/>
      <c r="CN84" s="1473"/>
      <c r="CO84" s="1474"/>
      <c r="CP84" s="1473"/>
      <c r="CQ84" s="1473"/>
      <c r="CR84" s="1473"/>
      <c r="CS84" s="1473"/>
      <c r="CT84" s="1474"/>
      <c r="CU84" s="1473"/>
      <c r="CV84" s="1473"/>
      <c r="CW84" s="1473"/>
      <c r="CX84" s="1473"/>
      <c r="CY84" s="1474"/>
      <c r="CZ84" s="1473"/>
      <c r="DA84" s="1473"/>
      <c r="DB84" s="1473"/>
      <c r="DC84" s="1473"/>
      <c r="DD84" s="1474"/>
      <c r="DE84" s="1473"/>
      <c r="DF84" s="1473"/>
      <c r="DG84" s="1473"/>
      <c r="DH84" s="1473"/>
      <c r="DI84" s="1474"/>
      <c r="DJ84" s="1473"/>
      <c r="DK84" s="1473"/>
      <c r="DL84" s="1473"/>
      <c r="DM84" s="1473"/>
      <c r="DN84" s="1474"/>
      <c r="DO84" s="1473"/>
      <c r="DP84" s="1473"/>
      <c r="DQ84" s="1473"/>
      <c r="DR84" s="1473"/>
      <c r="DS84" s="1474"/>
      <c r="DT84" s="1473"/>
      <c r="DU84" s="1473"/>
      <c r="DV84" s="1473"/>
      <c r="DW84" s="1473"/>
      <c r="DX84" s="1474"/>
      <c r="DY84" s="1473"/>
      <c r="DZ84" s="1473"/>
      <c r="EA84" s="1473"/>
      <c r="EB84" s="1473"/>
      <c r="EC84" s="1474"/>
      <c r="ED84" s="1473"/>
      <c r="EE84" s="1473"/>
      <c r="EF84" s="1473"/>
      <c r="EG84" s="1473"/>
      <c r="EH84" s="1475">
        <f t="shared" ref="EH84:GH84" si="231">EH81/EH75</f>
      </c>
      <c r="EI84" s="1476">
        <f t="shared" si="231"/>
      </c>
      <c r="EJ84" s="1476">
        <f t="shared" si="231"/>
      </c>
      <c r="EK84" s="1476">
        <f t="shared" si="231"/>
      </c>
      <c r="EL84" s="1476">
        <f t="shared" si="231"/>
      </c>
      <c r="EM84" s="1475">
        <f t="shared" si="231"/>
      </c>
      <c r="EN84" s="1476">
        <f t="shared" si="231"/>
      </c>
      <c r="EO84" s="1476">
        <f t="shared" si="231"/>
      </c>
      <c r="EP84" s="1476">
        <f t="shared" si="231"/>
      </c>
      <c r="EQ84" s="1476">
        <f t="shared" si="231"/>
      </c>
      <c r="ER84" s="1475">
        <f t="shared" si="231"/>
      </c>
      <c r="ES84" s="1476">
        <f t="shared" si="231"/>
      </c>
      <c r="ET84" s="1476">
        <f t="shared" si="231"/>
      </c>
      <c r="EU84" s="1476">
        <f t="shared" si="231"/>
      </c>
      <c r="EV84" s="1476">
        <f t="shared" si="231"/>
      </c>
      <c r="EW84" s="3349">
        <f t="shared" si="231"/>
      </c>
      <c r="EX84" s="3350">
        <f t="shared" si="231"/>
      </c>
      <c r="EY84" s="3350">
        <f t="shared" si="231"/>
      </c>
      <c r="EZ84" s="3350">
        <f t="shared" si="231"/>
      </c>
      <c r="FA84" s="3350">
        <f t="shared" si="231"/>
      </c>
      <c r="FB84" s="3349">
        <f t="shared" si="231"/>
      </c>
      <c r="FC84" s="3350">
        <f t="shared" si="231"/>
      </c>
      <c r="FD84" s="3350">
        <f t="shared" si="231"/>
      </c>
      <c r="FE84" s="3350">
        <f t="shared" si="231"/>
      </c>
      <c r="FF84" s="3350">
        <f t="shared" si="231"/>
      </c>
      <c r="FG84" s="3351">
        <f t="shared" si="231"/>
      </c>
      <c r="FH84" s="3350">
        <f t="shared" si="231"/>
      </c>
      <c r="FI84" s="3350">
        <f t="shared" si="231"/>
      </c>
      <c r="FJ84" s="3350">
        <f t="shared" si="231"/>
      </c>
      <c r="FK84" s="3350">
        <f t="shared" si="231"/>
      </c>
      <c r="FL84" s="3351">
        <f t="shared" si="231"/>
      </c>
      <c r="FM84" s="3350">
        <f t="shared" si="231"/>
      </c>
      <c r="FN84" s="3350">
        <f>FN81/FN75</f>
      </c>
      <c r="FO84" s="3352"/>
      <c r="FP84" s="3350"/>
      <c r="FQ84" s="3350"/>
      <c r="FR84" s="3350"/>
      <c r="FS84" s="3351"/>
      <c r="FT84" s="3350" t="e">
        <f>FT81/FT75</f>
      </c>
      <c r="FU84" s="3353" t="e">
        <f>FU81/FU75</f>
      </c>
      <c r="FV84" s="3350" t="e">
        <f>FV81/FV75</f>
      </c>
      <c r="FW84" s="3350" t="e">
        <f>FW81/FW75</f>
      </c>
      <c r="FX84" s="3351" t="e">
        <f t="shared" si="231"/>
      </c>
      <c r="FY84" s="3350">
        <f>FY81/FY75</f>
      </c>
      <c r="FZ84" s="3350">
        <f>FZ81/FZ75</f>
      </c>
      <c r="GA84" s="3350">
        <f>GA81/GA75</f>
      </c>
      <c r="GB84" s="3350">
        <f>GB81/GB75</f>
      </c>
      <c r="GC84" s="3351">
        <f t="shared" si="231"/>
      </c>
      <c r="GD84" s="3350">
        <f>GD81/GD75</f>
      </c>
      <c r="GE84" s="3350">
        <f>GE81/GE75</f>
      </c>
      <c r="GF84" s="3350">
        <f>GF81/GF75</f>
      </c>
      <c r="GG84" s="3578">
        <f>GG81/GG75</f>
      </c>
      <c r="GH84" s="3351">
        <f t="shared" si="231"/>
      </c>
      <c r="GI84" s="3351">
        <f ca="1">GI81/GI75</f>
      </c>
      <c r="GJ84" s="3351">
        <f ca="1">GJ81/GJ75</f>
      </c>
      <c r="GK84" s="3351">
        <f ca="1">GK81/GK75</f>
      </c>
      <c r="GL84" s="3351">
        <f ca="1">GL81/GL75</f>
      </c>
      <c r="GM84" s="3351">
        <f ca="1">GM81/GM75</f>
      </c>
    </row>
    <row r="85" spans="1:195" ht="15" customHeight="1" outlineLevel="1">
      <c r="X85" s="53"/>
      <c r="AM85" s="5"/>
      <c r="AN85" s="5"/>
      <c r="AO85" s="5"/>
      <c r="AP85" s="5"/>
      <c r="AR85" s="5"/>
      <c r="AS85" s="5"/>
      <c r="AT85" s="5"/>
      <c r="AU85" s="5"/>
      <c r="AW85" s="5"/>
      <c r="AX85" s="5"/>
      <c r="AY85" s="5"/>
      <c r="AZ85" s="5"/>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8"/>
      <c r="EU85" s="22"/>
      <c r="EV85" s="22"/>
      <c r="EW85" s="41"/>
      <c r="EX85" s="30"/>
      <c r="EY85" s="30"/>
      <c r="EZ85" s="41"/>
      <c r="FA85" s="41"/>
      <c r="FB85" s="41"/>
      <c r="FC85" s="41"/>
      <c r="FD85" s="30"/>
      <c r="FE85" s="41"/>
      <c r="FF85" s="41"/>
      <c r="FG85" s="41"/>
      <c r="FH85" s="41"/>
      <c r="FI85" s="41"/>
      <c r="FJ85" s="41"/>
      <c r="FK85" s="41"/>
      <c r="FL85" s="41"/>
      <c r="FM85" s="925"/>
      <c r="FN85" s="2886"/>
      <c r="FO85" s="2887"/>
      <c r="FP85" s="2887"/>
      <c r="FQ85" s="2887"/>
      <c r="FR85" s="2887"/>
      <c r="FS85" s="2887"/>
      <c r="FT85" s="2886"/>
      <c r="FU85" s="2886"/>
      <c r="FV85" s="2886"/>
      <c r="FW85" s="2886"/>
      <c r="FX85" s="2887"/>
      <c r="FY85" s="2886"/>
      <c r="FZ85" s="2886"/>
      <c r="GA85" s="2886"/>
      <c r="GB85" s="925"/>
      <c r="GC85" s="41"/>
      <c r="GD85" s="2886"/>
      <c r="GE85" s="2886"/>
      <c r="GF85" s="2886"/>
      <c r="GG85" s="925"/>
      <c r="GH85" s="41"/>
      <c r="GI85" s="41"/>
      <c r="GJ85" s="41"/>
      <c r="GK85" s="41"/>
      <c r="GL85" s="41"/>
      <c r="GM85" s="41"/>
    </row>
    <row r="86" spans="1:195" outlineLevel="1">
      <c r="A86" s="2409"/>
      <c r="B86" s="347" t="s">
        <v>182</v>
      </c>
      <c r="C86" s="591"/>
      <c r="D86" s="591"/>
      <c r="E86" s="591"/>
      <c r="F86" s="591"/>
      <c r="G86" s="591"/>
      <c r="H86" s="591"/>
      <c r="I86" s="591"/>
      <c r="J86" s="591"/>
      <c r="K86" s="591"/>
      <c r="L86" s="591"/>
      <c r="M86" s="591"/>
      <c r="N86" s="591"/>
      <c r="O86" s="591"/>
      <c r="P86" s="591"/>
      <c r="Q86" s="591"/>
      <c r="R86" s="591"/>
      <c r="S86" s="591"/>
      <c r="T86" s="591"/>
      <c r="U86" s="591"/>
      <c r="V86" s="591"/>
      <c r="W86" s="591"/>
      <c r="X86" s="591"/>
      <c r="Y86" s="591"/>
      <c r="Z86" s="591"/>
      <c r="AA86" s="591"/>
      <c r="AB86" s="591"/>
      <c r="AC86" s="591"/>
      <c r="AD86" s="591"/>
      <c r="AE86" s="591"/>
      <c r="AF86" s="591"/>
      <c r="AG86" s="591"/>
      <c r="AH86" s="591"/>
      <c r="AI86" s="591"/>
      <c r="AJ86" s="591"/>
      <c r="AK86" s="591"/>
      <c r="AL86" s="591"/>
      <c r="AM86" s="743"/>
      <c r="AN86" s="743"/>
      <c r="AO86" s="743"/>
      <c r="AP86" s="743"/>
      <c r="AQ86" s="591"/>
      <c r="AR86" s="743"/>
      <c r="AS86" s="743"/>
      <c r="AT86" s="743"/>
      <c r="AU86" s="743"/>
      <c r="AV86" s="591"/>
      <c r="AW86" s="743"/>
      <c r="AX86" s="746"/>
      <c r="AY86" s="743"/>
      <c r="AZ86" s="743"/>
      <c r="BA86" s="592"/>
      <c r="BB86" s="743"/>
      <c r="BC86" s="743"/>
      <c r="BD86" s="743"/>
      <c r="BE86" s="743"/>
      <c r="BF86" s="592"/>
      <c r="BG86" s="743"/>
      <c r="BH86" s="743"/>
      <c r="BI86" s="743"/>
      <c r="BJ86" s="743"/>
      <c r="BK86" s="592"/>
      <c r="BL86" s="743"/>
      <c r="BM86" s="743"/>
      <c r="BN86" s="743"/>
      <c r="BO86" s="743"/>
      <c r="BP86" s="592"/>
      <c r="BQ86" s="743"/>
      <c r="BR86" s="743"/>
      <c r="BS86" s="743"/>
      <c r="BT86" s="743"/>
      <c r="BU86" s="592"/>
      <c r="BV86" s="743"/>
      <c r="BW86" s="743"/>
      <c r="BX86" s="743"/>
      <c r="BY86" s="743"/>
      <c r="BZ86" s="592"/>
      <c r="CA86" s="743"/>
      <c r="CB86" s="743"/>
      <c r="CC86" s="743"/>
      <c r="CD86" s="743"/>
      <c r="CE86" s="592"/>
      <c r="CF86" s="743"/>
      <c r="CG86" s="743"/>
      <c r="CH86" s="743"/>
      <c r="CI86" s="743"/>
      <c r="CJ86" s="592"/>
      <c r="CK86" s="743"/>
      <c r="CL86" s="743"/>
      <c r="CM86" s="743"/>
      <c r="CN86" s="743"/>
      <c r="CO86" s="592"/>
      <c r="CP86" s="743"/>
      <c r="CQ86" s="743"/>
      <c r="CR86" s="743"/>
      <c r="CS86" s="743"/>
      <c r="CT86" s="592"/>
      <c r="CU86" s="743"/>
      <c r="CV86" s="743"/>
      <c r="CW86" s="743"/>
      <c r="CX86" s="743"/>
      <c r="CY86" s="592"/>
      <c r="CZ86" s="743"/>
      <c r="DA86" s="743"/>
      <c r="DB86" s="743"/>
      <c r="DC86" s="743"/>
      <c r="DD86" s="592"/>
      <c r="DE86" s="743"/>
      <c r="DF86" s="743"/>
      <c r="DG86" s="743"/>
      <c r="DH86" s="743"/>
      <c r="DI86" s="592"/>
      <c r="DJ86" s="743"/>
      <c r="DK86" s="743"/>
      <c r="DL86" s="743"/>
      <c r="DM86" s="743"/>
      <c r="DN86" s="592"/>
      <c r="DO86" s="743"/>
      <c r="DP86" s="743"/>
      <c r="DQ86" s="743"/>
      <c r="DR86" s="743"/>
      <c r="DS86" s="592"/>
      <c r="DT86" s="743"/>
      <c r="DU86" s="743"/>
      <c r="DV86" s="743"/>
      <c r="DW86" s="743"/>
      <c r="DX86" s="592"/>
      <c r="DY86" s="743"/>
      <c r="DZ86" s="743"/>
      <c r="EA86" s="743"/>
      <c r="EB86" s="743"/>
      <c r="EC86" s="592"/>
      <c r="ED86" s="743"/>
      <c r="EE86" s="743"/>
      <c r="EF86" s="743"/>
      <c r="EG86" s="743"/>
      <c r="EH86" s="592"/>
      <c r="EI86" s="743"/>
      <c r="EJ86" s="743"/>
      <c r="EK86" s="743"/>
      <c r="EL86" s="743"/>
      <c r="EM86" s="592"/>
      <c r="EN86" s="743"/>
      <c r="EO86" s="743"/>
      <c r="EP86" s="743"/>
      <c r="EQ86" s="743"/>
      <c r="ER86" s="592"/>
      <c r="ES86" s="1383"/>
      <c r="ET86" s="1385"/>
      <c r="EU86" s="1385"/>
      <c r="EV86" s="1381"/>
      <c r="EW86" s="1713"/>
      <c r="EX86" s="1575"/>
      <c r="EY86" s="1575"/>
      <c r="EZ86" s="1575"/>
      <c r="FA86" s="1714"/>
      <c r="FB86" s="1713"/>
      <c r="FC86" s="1575"/>
      <c r="FD86" s="1575"/>
      <c r="FE86" s="1575"/>
      <c r="FF86" s="1714"/>
      <c r="FG86" s="1713"/>
      <c r="FH86" s="1575"/>
      <c r="FI86" s="1575"/>
      <c r="FJ86" s="1575"/>
      <c r="FK86" s="1714"/>
      <c r="FL86" s="1713"/>
      <c r="FM86" s="1715"/>
      <c r="FN86" s="2792"/>
      <c r="FO86" s="2848"/>
      <c r="FP86" s="2792"/>
      <c r="FQ86" s="2792"/>
      <c r="FR86" s="1714"/>
      <c r="FS86" s="1713"/>
      <c r="FT86" s="2792"/>
      <c r="FU86" s="1714"/>
      <c r="FV86" s="2792"/>
      <c r="FW86" s="2637"/>
      <c r="FX86" s="1713"/>
      <c r="FY86" s="1715"/>
      <c r="FZ86" s="1715"/>
      <c r="GA86" s="1715"/>
      <c r="GB86" s="2637"/>
      <c r="GC86" s="1713"/>
      <c r="GD86" s="1715"/>
      <c r="GE86" s="1715"/>
      <c r="GF86" s="1715"/>
      <c r="GG86" s="2637"/>
      <c r="GH86" s="1713"/>
      <c r="GI86" s="1713"/>
      <c r="GJ86" s="1713"/>
      <c r="GK86" s="1713"/>
      <c r="GL86" s="1713"/>
      <c r="GM86" s="1713"/>
    </row>
    <row r="87" spans="1:195" outlineLevel="1">
      <c r="A87" s="2409"/>
      <c r="B87" s="184" t="s">
        <v>186</v>
      </c>
      <c r="AM87" s="5"/>
      <c r="AN87" s="5"/>
      <c r="AO87" s="5"/>
      <c r="AP87" s="5"/>
      <c r="AR87" s="5"/>
      <c r="AS87" s="5"/>
      <c r="AT87" s="5"/>
      <c r="AU87" s="5"/>
      <c r="AW87" s="5"/>
      <c r="AX87" s="5"/>
      <c r="AY87" s="5"/>
      <c r="AZ87" s="5"/>
      <c r="BA87" s="214"/>
      <c r="BB87" s="5"/>
      <c r="BC87" s="5"/>
      <c r="BD87" s="5"/>
      <c r="BE87" s="5"/>
      <c r="BF87" s="214"/>
      <c r="BG87" s="5"/>
      <c r="BH87" s="5"/>
      <c r="BI87" s="5"/>
      <c r="BJ87" s="5"/>
      <c r="BK87" s="214"/>
      <c r="BL87" s="5"/>
      <c r="BM87" s="5"/>
      <c r="BN87" s="5"/>
      <c r="BO87" s="5"/>
      <c r="BP87" s="214"/>
      <c r="BQ87" s="5"/>
      <c r="BR87" s="5"/>
      <c r="BS87" s="5"/>
      <c r="BT87" s="5"/>
      <c r="BU87" s="214"/>
      <c r="BV87" s="5"/>
      <c r="BW87" s="5"/>
      <c r="BX87" s="5"/>
      <c r="BY87" s="5"/>
      <c r="BZ87" s="214"/>
      <c r="CA87" s="5"/>
      <c r="CB87" s="5"/>
      <c r="CC87" s="5"/>
      <c r="CD87" s="5"/>
      <c r="CE87" s="214"/>
      <c r="CF87" s="5"/>
      <c r="CG87" s="5"/>
      <c r="CH87" s="5"/>
      <c r="CI87" s="5"/>
      <c r="CJ87" s="214"/>
      <c r="CK87" s="5"/>
      <c r="CL87" s="5"/>
      <c r="CM87" s="5"/>
      <c r="CN87" s="5"/>
      <c r="CO87" s="214"/>
      <c r="CP87" s="5"/>
      <c r="CQ87" s="5"/>
      <c r="CR87" s="5"/>
      <c r="CS87" s="5"/>
      <c r="CT87" s="214"/>
      <c r="CU87" s="5"/>
      <c r="CV87" s="5"/>
      <c r="CW87" s="5"/>
      <c r="CX87" s="5"/>
      <c r="CY87" s="214"/>
      <c r="CZ87" s="5"/>
      <c r="DA87" s="5"/>
      <c r="DB87" s="279"/>
      <c r="DC87" s="5"/>
      <c r="DD87" s="214"/>
      <c r="DE87" s="279"/>
      <c r="DF87" s="279"/>
      <c r="DG87" s="279"/>
      <c r="DH87" s="5"/>
      <c r="DI87" s="214"/>
      <c r="DJ87" s="279"/>
      <c r="DK87" s="279"/>
      <c r="DL87" s="279"/>
      <c r="DM87" s="5"/>
      <c r="DN87" s="214"/>
      <c r="DO87" s="279"/>
      <c r="DP87" s="279"/>
      <c r="DQ87" s="279"/>
      <c r="DR87" s="5"/>
      <c r="DS87" s="214"/>
      <c r="DT87" s="279"/>
      <c r="DU87" s="5"/>
      <c r="DV87" s="279"/>
      <c r="DW87" s="5"/>
      <c r="DX87" s="214"/>
      <c r="DY87" s="5"/>
      <c r="DZ87" s="5"/>
      <c r="EA87" s="279"/>
      <c r="EB87" s="5"/>
      <c r="EC87" s="214"/>
      <c r="ED87" s="5"/>
      <c r="EE87" s="5"/>
      <c r="EF87" s="279"/>
      <c r="EG87" s="5"/>
      <c r="EH87" s="214"/>
      <c r="EI87" s="279"/>
      <c r="EJ87" s="279"/>
      <c r="EK87" s="279"/>
      <c r="EL87" s="279"/>
      <c r="EM87" s="214"/>
      <c r="EN87" s="279"/>
      <c r="EO87" s="279"/>
      <c r="EP87" s="279"/>
      <c r="EQ87" s="279"/>
      <c r="ER87" s="214"/>
      <c r="ES87" s="20"/>
      <c r="EV87" s="79"/>
      <c r="EW87" s="1628"/>
      <c r="FA87" s="1629"/>
      <c r="FB87" s="1628"/>
      <c r="FF87" s="1629"/>
      <c r="FG87" s="1628"/>
      <c r="FH87" s="73"/>
      <c r="FI87" s="73"/>
      <c r="FJ87" s="73"/>
      <c r="FK87" s="1629"/>
      <c r="FL87" s="1628"/>
      <c r="FM87" s="1045"/>
      <c r="FN87" s="1045"/>
      <c r="FO87" s="1630"/>
      <c r="FP87" s="73"/>
      <c r="FQ87" s="73"/>
      <c r="FR87" s="1629"/>
      <c r="FS87" s="1628"/>
      <c r="FT87" s="1045"/>
      <c r="FU87" s="2051"/>
      <c r="FV87" s="1045"/>
      <c r="FW87" s="2051"/>
      <c r="FX87" s="1628"/>
      <c r="FY87" s="1045"/>
      <c r="FZ87" s="1045"/>
      <c r="GA87" s="1045"/>
      <c r="GB87" s="2051"/>
      <c r="GC87" s="1628"/>
      <c r="GD87" s="1045"/>
      <c r="GE87" s="1045"/>
      <c r="GF87" s="1045"/>
      <c r="GG87" s="2051"/>
      <c r="GH87" s="1628"/>
      <c r="GI87" s="1628"/>
      <c r="GJ87" s="1628"/>
      <c r="GK87" s="1628"/>
      <c r="GL87" s="1628"/>
      <c r="GM87" s="1628"/>
    </row>
    <row r="88" spans="1:195" outlineLevel="1">
      <c r="A88" s="2409"/>
      <c r="B88" s="20" t="s">
        <v>287</v>
      </c>
      <c r="H88" s="6">
        <v>2089</v>
      </c>
      <c r="I88" s="6">
        <v>658</v>
      </c>
      <c r="J88" s="6">
        <v>575</v>
      </c>
      <c r="K88" s="6">
        <v>661</v>
      </c>
      <c r="L88" s="6">
        <f>M88-SUM(I88:K88)</f>
      </c>
      <c r="M88" s="6">
        <v>2460</v>
      </c>
      <c r="N88" s="6">
        <v>700</v>
      </c>
      <c r="O88" s="6">
        <v>601</v>
      </c>
      <c r="P88" s="6">
        <v>683</v>
      </c>
      <c r="Q88" s="6">
        <f>R88-N88-O88-P88</f>
      </c>
      <c r="R88" s="6">
        <v>2608</v>
      </c>
      <c r="S88" s="6">
        <v>702</v>
      </c>
      <c r="T88" s="6">
        <v>608</v>
      </c>
      <c r="U88" s="6">
        <v>682</v>
      </c>
      <c r="V88" s="6">
        <v>639</v>
      </c>
      <c r="W88" s="6">
        <f>S88+T88+U88+V88</f>
      </c>
      <c r="X88" s="6">
        <v>670</v>
      </c>
      <c r="Y88" s="6">
        <v>624</v>
      </c>
      <c r="Z88" s="6">
        <v>714</v>
      </c>
      <c r="AA88" s="6">
        <v>684</v>
      </c>
      <c r="AB88" s="6">
        <v>2692</v>
      </c>
      <c r="AC88" s="695">
        <v>729</v>
      </c>
      <c r="AD88" s="695">
        <v>685</v>
      </c>
      <c r="AE88" s="695">
        <v>717</v>
      </c>
      <c r="AF88" s="695">
        <v>727</v>
      </c>
      <c r="AG88" s="695">
        <v>2858</v>
      </c>
      <c r="AH88" s="695">
        <v>825</v>
      </c>
      <c r="AI88" s="695">
        <v>717</v>
      </c>
      <c r="AJ88" s="695">
        <v>800</v>
      </c>
      <c r="AK88" s="695">
        <v>823</v>
      </c>
      <c r="AL88" s="695">
        <v>3166</v>
      </c>
      <c r="AM88" s="695">
        <v>832</v>
      </c>
      <c r="AN88" s="695">
        <v>767</v>
      </c>
      <c r="AO88" s="695">
        <v>801</v>
      </c>
      <c r="AP88" s="695">
        <v>841</v>
      </c>
      <c r="AQ88" s="695">
        <v>3240</v>
      </c>
      <c r="AR88" s="695">
        <v>840</v>
      </c>
      <c r="AS88" s="695">
        <v>753</v>
      </c>
      <c r="AT88" s="695">
        <v>806</v>
      </c>
      <c r="AU88" s="695">
        <v>927</v>
      </c>
      <c r="AV88" s="50">
        <f>+'Sales Model'!D56</f>
      </c>
      <c r="AW88" s="50">
        <f>+'Sales Model'!E56</f>
      </c>
      <c r="AX88" s="50">
        <f>+'Sales Model'!F56</f>
      </c>
      <c r="AY88" s="50">
        <f>+'Sales Model'!G56</f>
      </c>
      <c r="AZ88" s="50">
        <f>+'Sales Model'!H56</f>
      </c>
      <c r="BA88" s="298">
        <f>+'Sales Model'!I56</f>
      </c>
      <c r="BB88" s="50">
        <f>+'Sales Model'!J56</f>
      </c>
      <c r="BC88" s="50">
        <f>+'Sales Model'!K56</f>
      </c>
      <c r="BD88" s="50">
        <f>+'Sales Model'!L56</f>
      </c>
      <c r="BE88" s="50">
        <f>+'Sales Model'!M56</f>
      </c>
      <c r="BF88" s="298">
        <f>+'Sales Model'!N56</f>
      </c>
      <c r="BG88" s="50">
        <f>+'Sales Model'!O56</f>
      </c>
      <c r="BH88" s="50">
        <f>+'Sales Model'!P56</f>
      </c>
      <c r="BI88" s="50">
        <f>+'Sales Model'!Q56</f>
      </c>
      <c r="BJ88" s="50">
        <f>+'Sales Model'!R56</f>
      </c>
      <c r="BK88" s="298">
        <f>+'Sales Model'!S56</f>
      </c>
      <c r="BL88" s="50">
        <f>+'Sales Model'!T56</f>
      </c>
      <c r="BM88" s="50">
        <f>+'Sales Model'!U56</f>
      </c>
      <c r="BN88" s="50">
        <f>+'Sales Model'!V56</f>
      </c>
      <c r="BO88" s="50">
        <f>+'Sales Model'!W56</f>
      </c>
      <c r="BP88" s="298">
        <f>+'Sales Model'!X56</f>
      </c>
      <c r="BQ88" s="50">
        <f>+'Sales Model'!Y56</f>
      </c>
      <c r="BR88" s="50">
        <f>+'Sales Model'!Z56</f>
      </c>
      <c r="BS88" s="50">
        <f>+'Sales Model'!AA56</f>
      </c>
      <c r="BT88" s="50">
        <f>+'Sales Model'!AB56</f>
      </c>
      <c r="BU88" s="298">
        <f>+'Sales Model'!AC56</f>
      </c>
      <c r="BV88" s="50">
        <f>+'Sales Model'!AD56</f>
      </c>
      <c r="BW88" s="50">
        <f>+'Sales Model'!AE56</f>
      </c>
      <c r="BX88" s="50">
        <f>+'Sales Model'!AF56</f>
      </c>
      <c r="BY88" s="50">
        <f>+'Sales Model'!AG56</f>
      </c>
      <c r="BZ88" s="298">
        <f>+'Sales Model'!AH56</f>
      </c>
      <c r="CA88" s="50">
        <f>+'Sales Model'!AI56</f>
      </c>
      <c r="CB88" s="50">
        <f>+'Sales Model'!AJ56</f>
      </c>
      <c r="CC88" s="50">
        <f>+'Sales Model'!AK56</f>
      </c>
      <c r="CD88" s="50">
        <f>+'Sales Model'!AL56</f>
      </c>
      <c r="CE88" s="298">
        <f>+'Sales Model'!AM56</f>
      </c>
      <c r="CF88" s="50">
        <f>+'Sales Model'!AN56</f>
      </c>
      <c r="CG88" s="50">
        <f>+'Sales Model'!AO56</f>
      </c>
      <c r="CH88" s="50">
        <f>+'Sales Model'!AP56</f>
      </c>
      <c r="CI88" s="50">
        <f>+'Sales Model'!AQ56</f>
      </c>
      <c r="CJ88" s="298">
        <f>+'Sales Model'!AR56</f>
      </c>
      <c r="CK88" s="50">
        <f>+'Sales Model'!AS56</f>
      </c>
      <c r="CL88" s="50">
        <f>+'Sales Model'!AT56</f>
      </c>
      <c r="CM88" s="50">
        <f>+'Sales Model'!AU56</f>
      </c>
      <c r="CN88" s="50">
        <f>+'Sales Model'!AV56</f>
      </c>
      <c r="CO88" s="298">
        <f>+'Sales Model'!AW56</f>
      </c>
      <c r="CP88" s="50">
        <f>+'Sales Model'!AX56</f>
      </c>
      <c r="CQ88" s="50">
        <f>+'Sales Model'!AY56</f>
      </c>
      <c r="CR88" s="50">
        <f>+'Sales Model'!AZ56</f>
      </c>
      <c r="CS88" s="50">
        <f>+'Sales Model'!BA56</f>
      </c>
      <c r="CT88" s="298">
        <f>+'Sales Model'!BB56</f>
      </c>
      <c r="CU88" s="50">
        <f>+'Sales Model'!BC56</f>
      </c>
      <c r="CV88" s="50">
        <f>+'Sales Model'!BD56</f>
      </c>
      <c r="CW88" s="50">
        <f>+'Sales Model'!BE56</f>
      </c>
      <c r="CX88" s="50">
        <f>+'Sales Model'!BF56</f>
      </c>
      <c r="CY88" s="298">
        <f>+'Sales Model'!BG56</f>
      </c>
      <c r="CZ88" s="50">
        <f>+'Sales Model'!BH56</f>
      </c>
      <c r="DA88" s="50">
        <f>+'Sales Model'!BI56</f>
      </c>
      <c r="DB88" s="50">
        <f>+'Sales Model'!BJ56</f>
      </c>
      <c r="DC88" s="50">
        <f>+'Sales Model'!BK56</f>
      </c>
      <c r="DD88" s="298">
        <f>+'Sales Model'!BL56</f>
      </c>
      <c r="DE88" s="50">
        <f>+'Sales Model'!BM56</f>
      </c>
      <c r="DF88" s="50">
        <f>+'Sales Model'!BN56</f>
      </c>
      <c r="DG88" s="50">
        <f>+'Sales Model'!BO56</f>
      </c>
      <c r="DH88" s="50">
        <f>+'Sales Model'!BP56</f>
      </c>
      <c r="DI88" s="298">
        <f>+'Sales Model'!BQ56</f>
      </c>
      <c r="DJ88" s="50">
        <f>+'Sales Model'!BR56</f>
      </c>
      <c r="DK88" s="50">
        <f>+'Sales Model'!BS56</f>
      </c>
      <c r="DL88" s="50">
        <f>+'Sales Model'!BT56</f>
      </c>
      <c r="DM88" s="50">
        <f>+'Sales Model'!BU56</f>
      </c>
      <c r="DN88" s="298">
        <f>+'Sales Model'!BV56</f>
      </c>
      <c r="DO88" s="50">
        <f>+'Sales Model'!BW56</f>
      </c>
      <c r="DP88" s="50">
        <f>+'Sales Model'!BX56</f>
      </c>
      <c r="DQ88" s="50">
        <f>+'Sales Model'!BY56</f>
      </c>
      <c r="DR88" s="50">
        <f>+'Sales Model'!BZ56</f>
      </c>
      <c r="DS88" s="298">
        <f>+'Sales Model'!CA56</f>
      </c>
      <c r="DT88" s="50">
        <f>+'Sales Model'!CB56</f>
      </c>
      <c r="DU88" s="50">
        <f>+'Sales Model'!CC56</f>
      </c>
      <c r="DV88" s="50">
        <f>+'Sales Model'!CD56</f>
      </c>
      <c r="DW88" s="50">
        <f>+'Sales Model'!CE56</f>
      </c>
      <c r="DX88" s="298">
        <f>+'Sales Model'!CF56</f>
      </c>
      <c r="DY88" s="50">
        <f>+'Sales Model'!CG56</f>
      </c>
      <c r="DZ88" s="50">
        <f>+'Sales Model'!CH56</f>
      </c>
      <c r="EA88" s="50">
        <f>+'Sales Model'!CI56</f>
      </c>
      <c r="EB88" s="50">
        <f>+'Sales Model'!CJ56</f>
      </c>
      <c r="EC88" s="298">
        <f>+'Sales Model'!CK56</f>
      </c>
      <c r="ED88" s="1047">
        <f>+'Sales Model'!CL56</f>
      </c>
      <c r="EE88" s="50">
        <f>+'Sales Model'!CM56</f>
      </c>
      <c r="EF88" s="50">
        <f>+'Sales Model'!CN56</f>
      </c>
      <c r="EG88" s="50">
        <f>+'Sales Model'!CO56</f>
      </c>
      <c r="EH88" s="298">
        <f>+'Sales Model'!CP56</f>
      </c>
      <c r="EI88" s="1047">
        <f>+'Sales Model'!CQ56</f>
      </c>
      <c r="EJ88" s="1047">
        <f>+'Sales Model'!CR56</f>
      </c>
      <c r="EK88" s="1047">
        <f>+'Sales Model'!CS56</f>
      </c>
      <c r="EL88" s="1047">
        <f>+'Sales Model'!CT56</f>
      </c>
      <c r="EM88" s="298">
        <f>+'Sales Model'!CU56</f>
      </c>
      <c r="EN88" s="1047">
        <f>+'Sales Model'!CV56</f>
      </c>
      <c r="EO88" s="1047">
        <f>+'Sales Model'!CW56</f>
      </c>
      <c r="EP88" s="1047">
        <f>+'Sales Model'!CX56</f>
      </c>
      <c r="EQ88" s="1047">
        <f>+'Sales Model'!CY56</f>
      </c>
      <c r="ER88" s="298">
        <f>+'Sales Model'!CZ56</f>
      </c>
      <c r="ES88" s="1047">
        <f>+'Sales Model'!DA56</f>
      </c>
      <c r="ET88" s="1047">
        <f>+'Sales Model'!DB56</f>
      </c>
      <c r="EU88" s="1047">
        <f>+'Sales Model'!DC56</f>
      </c>
      <c r="EV88" s="1047">
        <f>+'Sales Model'!DD56</f>
      </c>
      <c r="EW88" s="1717">
        <f>+'Sales Model'!DE56</f>
      </c>
      <c r="EX88" s="1718">
        <f>+'Sales Model'!DF56</f>
      </c>
      <c r="EY88" s="1718">
        <f>+'Sales Model'!DG56</f>
      </c>
      <c r="EZ88" s="1718">
        <f>+'Sales Model'!DH56</f>
      </c>
      <c r="FA88" s="1718">
        <f>+'Sales Model'!DI56</f>
      </c>
      <c r="FB88" s="1717">
        <f>+'Sales Model'!DJ56</f>
      </c>
      <c r="FC88" s="1718">
        <f>+'Sales Model'!DK56</f>
      </c>
      <c r="FD88" s="1718">
        <f>+'Sales Model'!DL56</f>
      </c>
      <c r="FE88" s="1718">
        <f>+'Sales Model'!DM56</f>
      </c>
      <c r="FF88" s="1718">
        <f>+'Sales Model'!DN56</f>
      </c>
      <c r="FG88" s="1717">
        <f>+'Sales Model'!DO56</f>
      </c>
      <c r="FH88" s="1718">
        <f>+'Sales Model'!DP56</f>
      </c>
      <c r="FI88" s="1718">
        <f>+'Sales Model'!DQ56</f>
      </c>
      <c r="FJ88" s="1718">
        <f>+'Sales Model'!DR56</f>
      </c>
      <c r="FK88" s="1718">
        <f>+'Sales Model'!DS56</f>
      </c>
      <c r="FL88" s="1717">
        <f>+'Sales Model'!DT56</f>
      </c>
      <c r="FM88" s="1718">
        <f>+'Sales Model'!DU56</f>
      </c>
      <c r="FN88" s="1718">
        <f>+'Sales Model'!DV56</f>
      </c>
      <c r="FO88" s="2849"/>
      <c r="FP88" s="1718"/>
      <c r="FQ88" s="1718"/>
      <c r="FR88" s="1718"/>
      <c r="FS88" s="1717"/>
      <c r="FT88" s="1718"/>
      <c r="FU88" s="1845"/>
      <c r="FV88" s="1718"/>
      <c r="FW88" s="1718"/>
      <c r="FX88" s="1717"/>
      <c r="FY88" s="1718"/>
      <c r="FZ88" s="1718"/>
      <c r="GA88" s="1718"/>
      <c r="GB88" s="1718"/>
      <c r="GC88" s="1717"/>
      <c r="GD88" s="1718"/>
      <c r="GE88" s="1718"/>
      <c r="GF88" s="1718"/>
      <c r="GG88" s="1718"/>
      <c r="GH88" s="1717"/>
      <c r="GI88" s="1717"/>
      <c r="GJ88" s="1717"/>
      <c r="GK88" s="1717"/>
      <c r="GL88" s="1717"/>
      <c r="GM88" s="1717"/>
    </row>
    <row r="89" spans="1:195" outlineLevel="1">
      <c r="A89" s="2409"/>
      <c r="B89" s="20" t="s">
        <v>235</v>
      </c>
      <c r="H89" s="7">
        <v>2123</v>
      </c>
      <c r="I89" s="7">
        <v>527</v>
      </c>
      <c r="J89" s="7">
        <v>538</v>
      </c>
      <c r="K89" s="7">
        <v>532</v>
      </c>
      <c r="L89" s="7">
        <f>M89-SUM(I89:K89)</f>
      </c>
      <c r="M89" s="7">
        <v>2124</v>
      </c>
      <c r="N89" s="7">
        <v>532</v>
      </c>
      <c r="O89" s="7">
        <v>564</v>
      </c>
      <c r="P89" s="7">
        <v>556</v>
      </c>
      <c r="Q89" s="7">
        <f>R89-N89-O89-P89</f>
      </c>
      <c r="R89" s="7">
        <v>2172</v>
      </c>
      <c r="S89" s="7">
        <v>575</v>
      </c>
      <c r="T89" s="7">
        <v>576</v>
      </c>
      <c r="U89" s="7">
        <v>533</v>
      </c>
      <c r="V89" s="7">
        <v>509</v>
      </c>
      <c r="W89" s="7">
        <f>S89+T89+U89+V89</f>
      </c>
      <c r="X89" s="7">
        <v>609</v>
      </c>
      <c r="Y89" s="7">
        <v>646</v>
      </c>
      <c r="Z89" s="7">
        <v>660</v>
      </c>
      <c r="AA89" s="7">
        <v>644</v>
      </c>
      <c r="AB89" s="7">
        <v>2559</v>
      </c>
      <c r="AC89" s="693">
        <v>707</v>
      </c>
      <c r="AD89" s="693">
        <v>784</v>
      </c>
      <c r="AE89" s="693">
        <v>744</v>
      </c>
      <c r="AF89" s="693">
        <v>738</v>
      </c>
      <c r="AG89" s="693">
        <v>2973</v>
      </c>
      <c r="AH89" s="695">
        <v>825</v>
      </c>
      <c r="AI89" s="693">
        <v>827</v>
      </c>
      <c r="AJ89" s="693">
        <v>783</v>
      </c>
      <c r="AK89" s="693">
        <v>795</v>
      </c>
      <c r="AL89" s="693">
        <v>3198</v>
      </c>
      <c r="AM89" s="693">
        <v>852</v>
      </c>
      <c r="AN89" s="693">
        <v>845</v>
      </c>
      <c r="AO89" s="693">
        <v>783</v>
      </c>
      <c r="AP89" s="693">
        <v>777</v>
      </c>
      <c r="AQ89" s="693">
        <v>3258</v>
      </c>
      <c r="AR89" s="693">
        <v>799</v>
      </c>
      <c r="AS89" s="693">
        <v>818</v>
      </c>
      <c r="AT89" s="693">
        <v>781</v>
      </c>
      <c r="AU89" s="693">
        <v>804</v>
      </c>
      <c r="AV89" s="50">
        <f>+'Sales Model'!D57</f>
      </c>
      <c r="AW89" s="50">
        <f>+'Sales Model'!E57</f>
      </c>
      <c r="AX89" s="50">
        <f>+'Sales Model'!F57</f>
      </c>
      <c r="AY89" s="50">
        <f>+'Sales Model'!G57</f>
      </c>
      <c r="AZ89" s="50">
        <f>+'Sales Model'!H57</f>
      </c>
      <c r="BA89" s="298">
        <f>+'Sales Model'!I57</f>
      </c>
      <c r="BB89" s="50">
        <f>+'Sales Model'!J57</f>
      </c>
      <c r="BC89" s="50">
        <f>+'Sales Model'!K57</f>
      </c>
      <c r="BD89" s="50">
        <f>+'Sales Model'!L57</f>
      </c>
      <c r="BE89" s="50">
        <f>+'Sales Model'!M57</f>
      </c>
      <c r="BF89" s="298">
        <f>+'Sales Model'!N57</f>
      </c>
      <c r="BG89" s="50">
        <f>+'Sales Model'!O57</f>
      </c>
      <c r="BH89" s="50">
        <f>+'Sales Model'!P57</f>
      </c>
      <c r="BI89" s="50">
        <f>+'Sales Model'!Q57</f>
      </c>
      <c r="BJ89" s="50">
        <f>+'Sales Model'!R57</f>
      </c>
      <c r="BK89" s="298">
        <f>+'Sales Model'!S57</f>
      </c>
      <c r="BL89" s="50">
        <f>+'Sales Model'!T57</f>
      </c>
      <c r="BM89" s="50">
        <f>+'Sales Model'!U57</f>
      </c>
      <c r="BN89" s="50">
        <f>+'Sales Model'!V57</f>
      </c>
      <c r="BO89" s="50">
        <f>+'Sales Model'!W57</f>
      </c>
      <c r="BP89" s="298">
        <f>+'Sales Model'!X57</f>
      </c>
      <c r="BQ89" s="50">
        <f>+'Sales Model'!Y57</f>
      </c>
      <c r="BR89" s="50">
        <f>+'Sales Model'!Z57</f>
      </c>
      <c r="BS89" s="50">
        <f>+'Sales Model'!AA57</f>
      </c>
      <c r="BT89" s="50">
        <f>+'Sales Model'!AB57</f>
      </c>
      <c r="BU89" s="298">
        <f>+'Sales Model'!AC57</f>
      </c>
      <c r="BV89" s="50">
        <f>+'Sales Model'!AD57</f>
      </c>
      <c r="BW89" s="50">
        <f>+'Sales Model'!AE57</f>
      </c>
      <c r="BX89" s="50">
        <f>+'Sales Model'!AF57</f>
      </c>
      <c r="BY89" s="50">
        <f>+'Sales Model'!AG57</f>
      </c>
      <c r="BZ89" s="298">
        <f>+'Sales Model'!AH57</f>
      </c>
      <c r="CA89" s="50">
        <f>+'Sales Model'!AI57</f>
      </c>
      <c r="CB89" s="50">
        <f>+'Sales Model'!AJ57</f>
      </c>
      <c r="CC89" s="50">
        <f>+'Sales Model'!AK57</f>
      </c>
      <c r="CD89" s="50">
        <f>+'Sales Model'!AL57</f>
      </c>
      <c r="CE89" s="298">
        <f>+'Sales Model'!AM57</f>
      </c>
      <c r="CF89" s="50">
        <f>+'Sales Model'!AN57</f>
      </c>
      <c r="CG89" s="50">
        <f>+'Sales Model'!AO57</f>
      </c>
      <c r="CH89" s="50">
        <f>+'Sales Model'!AP57</f>
      </c>
      <c r="CI89" s="50">
        <f>+'Sales Model'!AQ57</f>
      </c>
      <c r="CJ89" s="298">
        <f>+'Sales Model'!AR57</f>
      </c>
      <c r="CK89" s="50">
        <f>+'Sales Model'!AS57</f>
      </c>
      <c r="CL89" s="50">
        <f>+'Sales Model'!AT57</f>
      </c>
      <c r="CM89" s="50">
        <f>+'Sales Model'!AU57</f>
      </c>
      <c r="CN89" s="50">
        <f>+'Sales Model'!AV57</f>
      </c>
      <c r="CO89" s="298">
        <f>+'Sales Model'!AW57</f>
      </c>
      <c r="CP89" s="50">
        <f>+'Sales Model'!AX57</f>
      </c>
      <c r="CQ89" s="50">
        <f>+'Sales Model'!AY57</f>
      </c>
      <c r="CR89" s="50">
        <f>+'Sales Model'!AZ57</f>
      </c>
      <c r="CS89" s="50">
        <f>+'Sales Model'!BA57</f>
      </c>
      <c r="CT89" s="298">
        <f>+'Sales Model'!BB57</f>
      </c>
      <c r="CU89" s="50">
        <f>+'Sales Model'!BC57</f>
      </c>
      <c r="CV89" s="50">
        <f>+'Sales Model'!BD57</f>
      </c>
      <c r="CW89" s="50">
        <f>+'Sales Model'!BE57</f>
      </c>
      <c r="CX89" s="50">
        <f>+'Sales Model'!BF57</f>
      </c>
      <c r="CY89" s="298">
        <f>+'Sales Model'!BG57</f>
      </c>
      <c r="CZ89" s="50">
        <f>+'Sales Model'!BH57</f>
      </c>
      <c r="DA89" s="50">
        <f>+'Sales Model'!BI57</f>
      </c>
      <c r="DB89" s="50">
        <f>+'Sales Model'!BJ57</f>
      </c>
      <c r="DC89" s="50">
        <f>+'Sales Model'!BK57</f>
      </c>
      <c r="DD89" s="298">
        <f>+'Sales Model'!BL57</f>
      </c>
      <c r="DE89" s="50">
        <f>+'Sales Model'!BM57</f>
      </c>
      <c r="DF89" s="50">
        <f>+'Sales Model'!BN57</f>
      </c>
      <c r="DG89" s="50">
        <f>+'Sales Model'!BO57</f>
      </c>
      <c r="DH89" s="50">
        <f>+'Sales Model'!BP57</f>
      </c>
      <c r="DI89" s="298">
        <f>+'Sales Model'!BQ57</f>
      </c>
      <c r="DJ89" s="50">
        <f>+'Sales Model'!BR57</f>
      </c>
      <c r="DK89" s="50">
        <f>+'Sales Model'!BS57</f>
      </c>
      <c r="DL89" s="50">
        <f>+'Sales Model'!BT57</f>
      </c>
      <c r="DM89" s="50">
        <f>+'Sales Model'!BU57</f>
      </c>
      <c r="DN89" s="298">
        <f>+'Sales Model'!BV57</f>
      </c>
      <c r="DO89" s="50">
        <f>+'Sales Model'!BW57</f>
      </c>
      <c r="DP89" s="50">
        <f>+'Sales Model'!BX57</f>
      </c>
      <c r="DQ89" s="50">
        <f>+'Sales Model'!BY57</f>
      </c>
      <c r="DR89" s="50">
        <f>+'Sales Model'!BZ57</f>
      </c>
      <c r="DS89" s="298">
        <f>+'Sales Model'!CA57</f>
      </c>
      <c r="DT89" s="50">
        <f>+'Sales Model'!CB57</f>
      </c>
      <c r="DU89" s="50">
        <f>+'Sales Model'!CC57</f>
      </c>
      <c r="DV89" s="50">
        <f>+'Sales Model'!CD57</f>
      </c>
      <c r="DW89" s="50">
        <f>+'Sales Model'!CE57</f>
      </c>
      <c r="DX89" s="298">
        <f>+'Sales Model'!CF57</f>
      </c>
      <c r="DY89" s="50">
        <f>+'Sales Model'!CG57</f>
      </c>
      <c r="DZ89" s="50">
        <f>+'Sales Model'!CH57</f>
      </c>
      <c r="EA89" s="50">
        <f>+'Sales Model'!CI57</f>
      </c>
      <c r="EB89" s="50">
        <f>+'Sales Model'!CJ57</f>
      </c>
      <c r="EC89" s="298">
        <f>+'Sales Model'!CK57</f>
      </c>
      <c r="ED89" s="1047">
        <f>+'Sales Model'!CL57</f>
      </c>
      <c r="EE89" s="50">
        <f>+'Sales Model'!CM57</f>
      </c>
      <c r="EF89" s="50">
        <f>+'Sales Model'!CN57</f>
      </c>
      <c r="EG89" s="50">
        <f>+'Sales Model'!CO57</f>
      </c>
      <c r="EH89" s="298">
        <f>+'Sales Model'!CP57</f>
      </c>
      <c r="EI89" s="1047">
        <f>+'Sales Model'!CQ57</f>
      </c>
      <c r="EJ89" s="1047">
        <f>+'Sales Model'!CR57</f>
      </c>
      <c r="EK89" s="1047">
        <f>+'Sales Model'!CS57</f>
      </c>
      <c r="EL89" s="1047">
        <f>+'Sales Model'!CT57</f>
      </c>
      <c r="EM89" s="298">
        <f>+'Sales Model'!CU57</f>
      </c>
      <c r="EN89" s="1047">
        <f>+'Sales Model'!CV57</f>
      </c>
      <c r="EO89" s="1047">
        <f>+'Sales Model'!CW57</f>
      </c>
      <c r="EP89" s="1047">
        <f>+'Sales Model'!CX57</f>
      </c>
      <c r="EQ89" s="1047">
        <f>+'Sales Model'!CY57</f>
      </c>
      <c r="ER89" s="298">
        <f>+'Sales Model'!CZ57</f>
      </c>
      <c r="ES89" s="1047">
        <f>+'Sales Model'!DA57</f>
      </c>
      <c r="ET89" s="1047">
        <f>+'Sales Model'!DB57</f>
      </c>
      <c r="EU89" s="1047">
        <f>+'Sales Model'!DC57</f>
      </c>
      <c r="EV89" s="1047">
        <f>+'Sales Model'!DD57</f>
      </c>
      <c r="EW89" s="1717">
        <f>+'Sales Model'!DE57</f>
      </c>
      <c r="EX89" s="1718">
        <f>+'Sales Model'!DF57</f>
      </c>
      <c r="EY89" s="1718">
        <f>+'Sales Model'!DG57</f>
      </c>
      <c r="EZ89" s="1718">
        <f>+'Sales Model'!DH57</f>
      </c>
      <c r="FA89" s="1718">
        <f>+'Sales Model'!DI57</f>
      </c>
      <c r="FB89" s="1717">
        <f>+'Sales Model'!DJ57</f>
      </c>
      <c r="FC89" s="1718">
        <f>+'Sales Model'!DK57</f>
      </c>
      <c r="FD89" s="1718">
        <f>+'Sales Model'!DL57</f>
      </c>
      <c r="FE89" s="1718">
        <f>+'Sales Model'!DM57</f>
      </c>
      <c r="FF89" s="1718">
        <f>+'Sales Model'!DN57</f>
      </c>
      <c r="FG89" s="1717">
        <f>+'Sales Model'!DO57</f>
      </c>
      <c r="FH89" s="1718">
        <f>+'Sales Model'!DP57</f>
      </c>
      <c r="FI89" s="1718">
        <f>+'Sales Model'!DQ57</f>
      </c>
      <c r="FJ89" s="1718">
        <f>+'Sales Model'!DR57</f>
      </c>
      <c r="FK89" s="1718">
        <f>+'Sales Model'!DS57</f>
      </c>
      <c r="FL89" s="1717">
        <f>+'Sales Model'!DT57</f>
      </c>
      <c r="FM89" s="1718">
        <f>+'Sales Model'!DU57</f>
      </c>
      <c r="FN89" s="1718">
        <f>+'Sales Model'!DV57</f>
      </c>
      <c r="FO89" s="2849"/>
      <c r="FP89" s="1718"/>
      <c r="FQ89" s="1718"/>
      <c r="FR89" s="1718"/>
      <c r="FS89" s="1717"/>
      <c r="FT89" s="1718"/>
      <c r="FU89" s="1845"/>
      <c r="FV89" s="1718"/>
      <c r="FW89" s="1718"/>
      <c r="FX89" s="1717"/>
      <c r="FY89" s="1718"/>
      <c r="FZ89" s="1718"/>
      <c r="GA89" s="1718"/>
      <c r="GB89" s="1718"/>
      <c r="GC89" s="1717"/>
      <c r="GD89" s="1718"/>
      <c r="GE89" s="1718"/>
      <c r="GF89" s="1718"/>
      <c r="GG89" s="1718"/>
      <c r="GH89" s="1717"/>
      <c r="GI89" s="1717"/>
      <c r="GJ89" s="1717"/>
      <c r="GK89" s="1717"/>
      <c r="GL89" s="1717"/>
      <c r="GM89" s="1717"/>
    </row>
    <row r="90" spans="1:195" s="3" customFormat="1" outlineLevel="1">
      <c r="A90" s="3319"/>
      <c r="B90" s="177" t="s">
        <v>183</v>
      </c>
      <c r="H90" s="185">
        <f t="shared" ref="H90:AM90" si="232">SUM(H88:H89)</f>
      </c>
      <c r="I90" s="185">
        <f t="shared" si="232"/>
      </c>
      <c r="J90" s="185">
        <f t="shared" si="232"/>
      </c>
      <c r="K90" s="185">
        <f t="shared" si="232"/>
      </c>
      <c r="L90" s="185">
        <f t="shared" si="232"/>
      </c>
      <c r="M90" s="185">
        <f t="shared" si="232"/>
      </c>
      <c r="N90" s="185">
        <f t="shared" si="232"/>
      </c>
      <c r="O90" s="185">
        <f t="shared" si="232"/>
      </c>
      <c r="P90" s="185">
        <f t="shared" si="232"/>
      </c>
      <c r="Q90" s="185">
        <f t="shared" si="232"/>
      </c>
      <c r="R90" s="185">
        <f t="shared" si="232"/>
      </c>
      <c r="S90" s="186">
        <f t="shared" si="232"/>
      </c>
      <c r="T90" s="187">
        <f t="shared" si="232"/>
      </c>
      <c r="U90" s="187">
        <f t="shared" si="232"/>
      </c>
      <c r="V90" s="187">
        <f t="shared" si="232"/>
      </c>
      <c r="W90" s="185">
        <f t="shared" si="232"/>
      </c>
      <c r="X90" s="186">
        <f t="shared" si="232"/>
      </c>
      <c r="Y90" s="185">
        <f t="shared" si="232"/>
      </c>
      <c r="Z90" s="185">
        <f t="shared" si="232"/>
      </c>
      <c r="AA90" s="185">
        <f t="shared" si="232"/>
      </c>
      <c r="AB90" s="185">
        <f t="shared" si="232"/>
      </c>
      <c r="AC90" s="185">
        <f t="shared" si="232"/>
      </c>
      <c r="AD90" s="185">
        <f t="shared" si="232"/>
      </c>
      <c r="AE90" s="185">
        <f t="shared" si="232"/>
      </c>
      <c r="AF90" s="185">
        <f t="shared" si="232"/>
      </c>
      <c r="AG90" s="185">
        <f t="shared" si="232"/>
      </c>
      <c r="AH90" s="185">
        <f t="shared" si="232"/>
      </c>
      <c r="AI90" s="185">
        <f t="shared" si="232"/>
      </c>
      <c r="AJ90" s="185">
        <f t="shared" si="232"/>
      </c>
      <c r="AK90" s="185">
        <f t="shared" si="232"/>
      </c>
      <c r="AL90" s="185">
        <f t="shared" si="232"/>
      </c>
      <c r="AM90" s="185">
        <f t="shared" si="232"/>
      </c>
      <c r="AN90" s="185">
        <f t="shared" ref="AN90:BS90" si="233">SUM(AN88:AN89)</f>
      </c>
      <c r="AO90" s="185">
        <f t="shared" si="233"/>
      </c>
      <c r="AP90" s="185">
        <f t="shared" si="233"/>
      </c>
      <c r="AQ90" s="185">
        <f t="shared" si="233"/>
      </c>
      <c r="AR90" s="185">
        <f t="shared" si="233"/>
      </c>
      <c r="AS90" s="185">
        <f t="shared" si="233"/>
      </c>
      <c r="AT90" s="185">
        <f t="shared" si="233"/>
      </c>
      <c r="AU90" s="185">
        <f t="shared" si="233"/>
      </c>
      <c r="AV90" s="188">
        <f t="shared" si="233"/>
      </c>
      <c r="AW90" s="188">
        <f t="shared" si="233"/>
      </c>
      <c r="AX90" s="188">
        <f t="shared" si="233"/>
      </c>
      <c r="AY90" s="188">
        <f t="shared" si="233"/>
      </c>
      <c r="AZ90" s="188">
        <f t="shared" si="233"/>
      </c>
      <c r="BA90" s="299">
        <f t="shared" si="233"/>
      </c>
      <c r="BB90" s="188">
        <f t="shared" si="233"/>
      </c>
      <c r="BC90" s="188">
        <f t="shared" si="233"/>
      </c>
      <c r="BD90" s="188">
        <f t="shared" si="233"/>
      </c>
      <c r="BE90" s="188">
        <f t="shared" si="233"/>
      </c>
      <c r="BF90" s="299">
        <f t="shared" si="233"/>
      </c>
      <c r="BG90" s="188">
        <f t="shared" si="233"/>
      </c>
      <c r="BH90" s="188">
        <f t="shared" si="233"/>
      </c>
      <c r="BI90" s="188">
        <f t="shared" si="233"/>
      </c>
      <c r="BJ90" s="188">
        <f t="shared" si="233"/>
      </c>
      <c r="BK90" s="299">
        <f t="shared" si="233"/>
      </c>
      <c r="BL90" s="188">
        <f t="shared" si="233"/>
      </c>
      <c r="BM90" s="188">
        <f t="shared" si="233"/>
      </c>
      <c r="BN90" s="188">
        <f t="shared" si="233"/>
      </c>
      <c r="BO90" s="188">
        <f t="shared" si="233"/>
      </c>
      <c r="BP90" s="299">
        <f t="shared" si="233"/>
      </c>
      <c r="BQ90" s="188">
        <f t="shared" si="233"/>
      </c>
      <c r="BR90" s="188">
        <f t="shared" si="233"/>
      </c>
      <c r="BS90" s="188">
        <f t="shared" si="233"/>
      </c>
      <c r="BT90" s="188">
        <f t="shared" ref="BT90:CY90" si="234">SUM(BT88:BT89)</f>
      </c>
      <c r="BU90" s="299">
        <f t="shared" si="234"/>
      </c>
      <c r="BV90" s="188">
        <f t="shared" si="234"/>
      </c>
      <c r="BW90" s="188">
        <f t="shared" si="234"/>
      </c>
      <c r="BX90" s="188">
        <f t="shared" si="234"/>
      </c>
      <c r="BY90" s="188">
        <f t="shared" si="234"/>
      </c>
      <c r="BZ90" s="299">
        <f t="shared" si="234"/>
      </c>
      <c r="CA90" s="188">
        <f t="shared" si="234"/>
      </c>
      <c r="CB90" s="188">
        <f t="shared" si="234"/>
      </c>
      <c r="CC90" s="188">
        <f t="shared" si="234"/>
      </c>
      <c r="CD90" s="188">
        <f t="shared" si="234"/>
      </c>
      <c r="CE90" s="299">
        <f t="shared" si="234"/>
      </c>
      <c r="CF90" s="188">
        <f t="shared" si="234"/>
      </c>
      <c r="CG90" s="188">
        <f t="shared" si="234"/>
      </c>
      <c r="CH90" s="188">
        <f t="shared" si="234"/>
      </c>
      <c r="CI90" s="188">
        <f t="shared" si="234"/>
      </c>
      <c r="CJ90" s="299">
        <f t="shared" si="234"/>
      </c>
      <c r="CK90" s="188">
        <f t="shared" si="234"/>
      </c>
      <c r="CL90" s="188">
        <f t="shared" si="234"/>
      </c>
      <c r="CM90" s="188">
        <f t="shared" si="234"/>
      </c>
      <c r="CN90" s="188">
        <f t="shared" si="234"/>
      </c>
      <c r="CO90" s="299">
        <f t="shared" si="234"/>
      </c>
      <c r="CP90" s="188">
        <f t="shared" si="234"/>
      </c>
      <c r="CQ90" s="188">
        <f t="shared" si="234"/>
      </c>
      <c r="CR90" s="188">
        <f t="shared" si="234"/>
      </c>
      <c r="CS90" s="188">
        <f t="shared" si="234"/>
      </c>
      <c r="CT90" s="299">
        <f t="shared" si="234"/>
      </c>
      <c r="CU90" s="188">
        <f t="shared" si="234"/>
      </c>
      <c r="CV90" s="188">
        <f t="shared" si="234"/>
      </c>
      <c r="CW90" s="188">
        <f t="shared" si="234"/>
      </c>
      <c r="CX90" s="188">
        <f t="shared" si="234"/>
      </c>
      <c r="CY90" s="299">
        <f t="shared" si="234"/>
      </c>
      <c r="CZ90" s="188">
        <f t="shared" ref="CZ90:EE90" si="235">SUM(CZ88:CZ89)</f>
      </c>
      <c r="DA90" s="188">
        <f t="shared" si="235"/>
      </c>
      <c r="DB90" s="188">
        <f t="shared" si="235"/>
      </c>
      <c r="DC90" s="188">
        <f t="shared" si="235"/>
      </c>
      <c r="DD90" s="299">
        <f t="shared" si="235"/>
      </c>
      <c r="DE90" s="188">
        <f t="shared" si="235"/>
      </c>
      <c r="DF90" s="188">
        <f t="shared" si="235"/>
      </c>
      <c r="DG90" s="188">
        <f t="shared" si="235"/>
      </c>
      <c r="DH90" s="188">
        <f t="shared" si="235"/>
      </c>
      <c r="DI90" s="299">
        <f t="shared" si="235"/>
      </c>
      <c r="DJ90" s="188">
        <f t="shared" si="235"/>
      </c>
      <c r="DK90" s="188">
        <f t="shared" si="235"/>
      </c>
      <c r="DL90" s="188">
        <f t="shared" si="235"/>
      </c>
      <c r="DM90" s="188">
        <f t="shared" si="235"/>
      </c>
      <c r="DN90" s="299">
        <f t="shared" si="235"/>
      </c>
      <c r="DO90" s="188">
        <f t="shared" si="235"/>
      </c>
      <c r="DP90" s="188">
        <f t="shared" si="235"/>
      </c>
      <c r="DQ90" s="188">
        <f t="shared" si="235"/>
      </c>
      <c r="DR90" s="188">
        <f t="shared" si="235"/>
      </c>
      <c r="DS90" s="299">
        <f t="shared" si="235"/>
      </c>
      <c r="DT90" s="188">
        <f t="shared" si="235"/>
      </c>
      <c r="DU90" s="188">
        <f t="shared" si="235"/>
      </c>
      <c r="DV90" s="188">
        <f t="shared" si="235"/>
      </c>
      <c r="DW90" s="188">
        <f t="shared" si="235"/>
      </c>
      <c r="DX90" s="299">
        <f t="shared" si="235"/>
      </c>
      <c r="DY90" s="188">
        <f t="shared" si="235"/>
      </c>
      <c r="DZ90" s="188">
        <f t="shared" si="235"/>
      </c>
      <c r="EA90" s="188">
        <f t="shared" si="235"/>
      </c>
      <c r="EB90" s="188">
        <f t="shared" si="235"/>
      </c>
      <c r="EC90" s="299">
        <f t="shared" si="235"/>
      </c>
      <c r="ED90" s="188">
        <f t="shared" si="235"/>
      </c>
      <c r="EE90" s="188">
        <f t="shared" si="235"/>
      </c>
      <c r="EF90" s="188">
        <f t="shared" ref="EF90:FK90" si="236">SUM(EF88:EF89)</f>
      </c>
      <c r="EG90" s="188">
        <f t="shared" si="236"/>
      </c>
      <c r="EH90" s="299">
        <f t="shared" si="236"/>
      </c>
      <c r="EI90" s="188">
        <f t="shared" si="236"/>
      </c>
      <c r="EJ90" s="188">
        <f t="shared" si="236"/>
      </c>
      <c r="EK90" s="188">
        <f t="shared" si="236"/>
      </c>
      <c r="EL90" s="188">
        <f t="shared" si="236"/>
      </c>
      <c r="EM90" s="299">
        <f t="shared" si="236"/>
      </c>
      <c r="EN90" s="188">
        <f t="shared" si="236"/>
      </c>
      <c r="EO90" s="188">
        <f t="shared" si="236"/>
      </c>
      <c r="EP90" s="188">
        <f t="shared" si="236"/>
      </c>
      <c r="EQ90" s="188">
        <f t="shared" si="236"/>
      </c>
      <c r="ER90" s="299">
        <f t="shared" si="236"/>
      </c>
      <c r="ES90" s="188">
        <f t="shared" si="236"/>
      </c>
      <c r="ET90" s="188">
        <f t="shared" si="236"/>
      </c>
      <c r="EU90" s="188">
        <f t="shared" si="236"/>
      </c>
      <c r="EV90" s="188">
        <f t="shared" si="236"/>
      </c>
      <c r="EW90" s="1719">
        <f t="shared" si="236"/>
      </c>
      <c r="EX90" s="1720">
        <f t="shared" si="236"/>
      </c>
      <c r="EY90" s="1720">
        <f t="shared" si="236"/>
      </c>
      <c r="EZ90" s="1720">
        <f t="shared" si="236"/>
      </c>
      <c r="FA90" s="1720">
        <f t="shared" si="236"/>
      </c>
      <c r="FB90" s="1719">
        <f t="shared" si="236"/>
      </c>
      <c r="FC90" s="1720">
        <f t="shared" si="236"/>
      </c>
      <c r="FD90" s="1720">
        <f t="shared" si="236"/>
      </c>
      <c r="FE90" s="1720">
        <f t="shared" si="236"/>
      </c>
      <c r="FF90" s="1720">
        <f t="shared" si="236"/>
      </c>
      <c r="FG90" s="1719">
        <f t="shared" si="236"/>
      </c>
      <c r="FH90" s="1720">
        <f t="shared" si="236"/>
      </c>
      <c r="FI90" s="1720">
        <f t="shared" si="236"/>
      </c>
      <c r="FJ90" s="1720">
        <f t="shared" si="236"/>
      </c>
      <c r="FK90" s="1720">
        <f t="shared" si="236"/>
      </c>
      <c r="FL90" s="1719">
        <f>SUM(FL88:FL89)</f>
      </c>
      <c r="FM90" s="1720">
        <f>SUM(FM88:FM89)</f>
      </c>
      <c r="FN90" s="1720">
        <f>SUM(FN88:FN89)</f>
      </c>
      <c r="FO90" s="2850"/>
      <c r="FP90" s="1720"/>
      <c r="FQ90" s="1720"/>
      <c r="FR90" s="1720"/>
      <c r="FS90" s="1719"/>
      <c r="FT90" s="1720"/>
      <c r="FU90" s="2851"/>
      <c r="FV90" s="1720"/>
      <c r="FW90" s="1720"/>
      <c r="FX90" s="1719"/>
      <c r="FY90" s="1720"/>
      <c r="FZ90" s="1720"/>
      <c r="GA90" s="1720"/>
      <c r="GB90" s="1720"/>
      <c r="GC90" s="1719"/>
      <c r="GD90" s="1720"/>
      <c r="GE90" s="1720"/>
      <c r="GF90" s="1720"/>
      <c r="GG90" s="1720"/>
      <c r="GH90" s="1719"/>
      <c r="GI90" s="1719"/>
      <c r="GJ90" s="1719"/>
      <c r="GK90" s="1719"/>
      <c r="GL90" s="1719"/>
      <c r="GM90" s="1719"/>
    </row>
    <row r="91" spans="1:195" outlineLevel="1">
      <c r="A91" s="2409"/>
      <c r="B91" s="184" t="s">
        <v>950</v>
      </c>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8"/>
      <c r="AJ91" s="8"/>
      <c r="AK91" s="8"/>
      <c r="AL91" s="6"/>
      <c r="AM91" s="8"/>
      <c r="AN91" s="8"/>
      <c r="AO91" s="8"/>
      <c r="AP91" s="8"/>
      <c r="AQ91" s="6"/>
      <c r="AR91" s="6"/>
      <c r="AS91" s="6"/>
      <c r="AT91" s="6"/>
      <c r="AU91" s="6"/>
      <c r="AV91" s="50"/>
      <c r="AW91" s="50"/>
      <c r="AX91" s="50"/>
      <c r="AY91" s="50"/>
      <c r="AZ91" s="50"/>
      <c r="BA91" s="298"/>
      <c r="BB91" s="50"/>
      <c r="BC91" s="50"/>
      <c r="BD91" s="50"/>
      <c r="BE91" s="50"/>
      <c r="BF91" s="298"/>
      <c r="BG91" s="50"/>
      <c r="BH91" s="50"/>
      <c r="BI91" s="50"/>
      <c r="BJ91" s="50"/>
      <c r="BK91" s="298"/>
      <c r="BL91" s="50"/>
      <c r="BM91" s="50"/>
      <c r="BN91" s="50"/>
      <c r="BO91" s="50"/>
      <c r="BP91" s="298"/>
      <c r="BQ91" s="50"/>
      <c r="BR91" s="50"/>
      <c r="BS91" s="50"/>
      <c r="BT91" s="50"/>
      <c r="BU91" s="298"/>
      <c r="BV91" s="50"/>
      <c r="BW91" s="50"/>
      <c r="BX91" s="50"/>
      <c r="BY91" s="50"/>
      <c r="BZ91" s="298"/>
      <c r="CA91" s="50"/>
      <c r="CB91" s="50"/>
      <c r="CC91" s="50"/>
      <c r="CD91" s="50"/>
      <c r="CE91" s="298"/>
      <c r="CF91" s="50"/>
      <c r="CG91" s="50"/>
      <c r="CH91" s="50"/>
      <c r="CI91" s="50"/>
      <c r="CJ91" s="298"/>
      <c r="CK91" s="50"/>
      <c r="CL91" s="50"/>
      <c r="CM91" s="50"/>
      <c r="CN91" s="50"/>
      <c r="CO91" s="298"/>
      <c r="CP91" s="50"/>
      <c r="CQ91" s="50"/>
      <c r="CR91" s="50"/>
      <c r="CS91" s="50"/>
      <c r="CT91" s="298"/>
      <c r="CU91" s="50"/>
      <c r="CV91" s="50"/>
      <c r="CW91" s="50"/>
      <c r="CX91" s="50"/>
      <c r="CY91" s="298"/>
      <c r="CZ91" s="50"/>
      <c r="DA91" s="50"/>
      <c r="DB91" s="50"/>
      <c r="DC91" s="50"/>
      <c r="DD91" s="298"/>
      <c r="DE91" s="50"/>
      <c r="DF91" s="50"/>
      <c r="DG91" s="50"/>
      <c r="DH91" s="50"/>
      <c r="DI91" s="298"/>
      <c r="DJ91" s="50"/>
      <c r="DK91" s="50"/>
      <c r="DL91" s="50"/>
      <c r="DM91" s="50"/>
      <c r="DN91" s="298"/>
      <c r="DO91" s="50"/>
      <c r="DP91" s="50"/>
      <c r="DQ91" s="50"/>
      <c r="DR91" s="50"/>
      <c r="DS91" s="298"/>
      <c r="DT91" s="50"/>
      <c r="DU91" s="50"/>
      <c r="DV91" s="50"/>
      <c r="DW91" s="50"/>
      <c r="DX91" s="298"/>
      <c r="DY91" s="50"/>
      <c r="DZ91" s="50"/>
      <c r="EA91" s="50"/>
      <c r="EB91" s="50"/>
      <c r="EC91" s="298"/>
      <c r="ED91" s="1047"/>
      <c r="EE91" s="50"/>
      <c r="EF91" s="50"/>
      <c r="EG91" s="50"/>
      <c r="EH91" s="298"/>
      <c r="EI91" s="1047"/>
      <c r="EJ91" s="1047"/>
      <c r="EK91" s="1047"/>
      <c r="EL91" s="1047"/>
      <c r="EM91" s="298"/>
      <c r="EN91" s="1047"/>
      <c r="EO91" s="1047"/>
      <c r="EP91" s="1047"/>
      <c r="EQ91" s="1047"/>
      <c r="ER91" s="298"/>
      <c r="ES91" s="1047"/>
      <c r="ET91" s="1047"/>
      <c r="EU91" s="1047"/>
      <c r="EV91" s="1047"/>
      <c r="EW91" s="1717"/>
      <c r="EX91" s="1718"/>
      <c r="EY91" s="1718"/>
      <c r="EZ91" s="1718"/>
      <c r="FA91" s="1718"/>
      <c r="FB91" s="1717"/>
      <c r="FC91" s="1718"/>
      <c r="FD91" s="1718"/>
      <c r="FE91" s="1718"/>
      <c r="FF91" s="1718"/>
      <c r="FG91" s="1717"/>
      <c r="FH91" s="1718"/>
      <c r="FI91" s="1718"/>
      <c r="FJ91" s="1718"/>
      <c r="FK91" s="1718"/>
      <c r="FL91" s="1717"/>
      <c r="FM91" s="1718"/>
      <c r="FN91" s="1718"/>
      <c r="FO91" s="2849"/>
      <c r="FP91" s="1718"/>
      <c r="FQ91" s="1718"/>
      <c r="FR91" s="1718"/>
      <c r="FS91" s="1717"/>
      <c r="FT91" s="1718"/>
      <c r="FU91" s="1845"/>
      <c r="FV91" s="1718"/>
      <c r="FW91" s="1718"/>
      <c r="FX91" s="1717"/>
      <c r="FY91" s="1718"/>
      <c r="FZ91" s="1718"/>
      <c r="GA91" s="1718"/>
      <c r="GB91" s="1718"/>
      <c r="GC91" s="1717"/>
      <c r="GD91" s="1718"/>
      <c r="GE91" s="1718"/>
      <c r="GF91" s="1718"/>
      <c r="GG91" s="1718"/>
      <c r="GH91" s="1717"/>
      <c r="GI91" s="1717"/>
      <c r="GJ91" s="1717"/>
      <c r="GK91" s="1717"/>
      <c r="GL91" s="1717"/>
      <c r="GM91" s="1717"/>
    </row>
    <row r="92" spans="1:195" outlineLevel="1">
      <c r="A92" s="2409"/>
      <c r="B92" s="971" t="s">
        <v>941</v>
      </c>
      <c r="H92" s="695">
        <v>1316</v>
      </c>
      <c r="I92" s="695">
        <v>392</v>
      </c>
      <c r="J92" s="695">
        <v>361</v>
      </c>
      <c r="K92" s="695">
        <v>396</v>
      </c>
      <c r="L92" s="695">
        <f>M92-SUM(I92:K92)</f>
      </c>
      <c r="M92" s="695">
        <v>1532</v>
      </c>
      <c r="N92" s="695">
        <v>386</v>
      </c>
      <c r="O92" s="695">
        <v>391</v>
      </c>
      <c r="P92" s="695">
        <v>406</v>
      </c>
      <c r="Q92" s="695">
        <f>R92-N92-O92-P92</f>
      </c>
      <c r="R92" s="695">
        <v>1652</v>
      </c>
      <c r="S92" s="695">
        <v>429</v>
      </c>
      <c r="T92" s="695">
        <v>428</v>
      </c>
      <c r="U92" s="695">
        <v>458</v>
      </c>
      <c r="V92" s="695">
        <v>460</v>
      </c>
      <c r="W92" s="695">
        <f>S92+T92+U92+V92</f>
      </c>
      <c r="X92" s="695">
        <v>496</v>
      </c>
      <c r="Y92" s="695">
        <v>541</v>
      </c>
      <c r="Z92" s="695">
        <v>554</v>
      </c>
      <c r="AA92" s="695">
        <v>552</v>
      </c>
      <c r="AB92" s="695">
        <v>2143</v>
      </c>
      <c r="AC92" s="695">
        <v>607</v>
      </c>
      <c r="AD92" s="695">
        <v>659</v>
      </c>
      <c r="AE92" s="695">
        <v>702</v>
      </c>
      <c r="AF92" s="695">
        <v>729</v>
      </c>
      <c r="AG92" s="695">
        <v>2697</v>
      </c>
      <c r="AH92" s="695">
        <v>792</v>
      </c>
      <c r="AI92" s="695">
        <v>823</v>
      </c>
      <c r="AJ92" s="695">
        <v>864</v>
      </c>
      <c r="AK92" s="695">
        <v>877</v>
      </c>
      <c r="AL92" s="695">
        <v>3355</v>
      </c>
      <c r="AM92" s="695">
        <v>960</v>
      </c>
      <c r="AN92" s="695">
        <v>935</v>
      </c>
      <c r="AO92" s="695">
        <v>993</v>
      </c>
      <c r="AP92" s="695">
        <v>988</v>
      </c>
      <c r="AQ92" s="695">
        <v>3877</v>
      </c>
      <c r="AR92" s="695">
        <v>1169</v>
      </c>
      <c r="AS92" s="695">
        <v>1178</v>
      </c>
      <c r="AT92" s="695">
        <v>1226</v>
      </c>
      <c r="AU92" s="695">
        <v>1299</v>
      </c>
      <c r="AV92" s="50">
        <f>+'Sales Model'!D34</f>
      </c>
      <c r="AW92" s="50">
        <f>+'Sales Model'!E34</f>
      </c>
      <c r="AX92" s="50">
        <f>+'Sales Model'!F34</f>
      </c>
      <c r="AY92" s="50">
        <f>+'Sales Model'!G34</f>
      </c>
      <c r="AZ92" s="50">
        <f>+'Sales Model'!H34</f>
      </c>
      <c r="BA92" s="298">
        <f>+'Sales Model'!I34</f>
      </c>
      <c r="BB92" s="50">
        <f>+'Sales Model'!J34</f>
      </c>
      <c r="BC92" s="50">
        <f>+'Sales Model'!K34</f>
      </c>
      <c r="BD92" s="50">
        <f>+'Sales Model'!L34</f>
      </c>
      <c r="BE92" s="50">
        <f>+'Sales Model'!M34</f>
      </c>
      <c r="BF92" s="298">
        <f>+'Sales Model'!N34</f>
      </c>
      <c r="BG92" s="50">
        <f>+'Sales Model'!O34</f>
      </c>
      <c r="BH92" s="50">
        <f>+'Sales Model'!P34</f>
      </c>
      <c r="BI92" s="50">
        <f>+'Sales Model'!Q34</f>
      </c>
      <c r="BJ92" s="50">
        <f>+'Sales Model'!R34</f>
      </c>
      <c r="BK92" s="298">
        <f>+'Sales Model'!S34</f>
      </c>
      <c r="BL92" s="50">
        <f>+'Sales Model'!T34</f>
      </c>
      <c r="BM92" s="50">
        <f>+'Sales Model'!U34</f>
      </c>
      <c r="BN92" s="50">
        <f>+'Sales Model'!V34</f>
      </c>
      <c r="BO92" s="50">
        <f>+'Sales Model'!W34</f>
      </c>
      <c r="BP92" s="298">
        <f>+'Sales Model'!X34</f>
      </c>
      <c r="BQ92" s="50">
        <f>+'Sales Model'!Y34</f>
      </c>
      <c r="BR92" s="50">
        <f>+'Sales Model'!Z34</f>
      </c>
      <c r="BS92" s="50">
        <f>+'Sales Model'!AA34</f>
      </c>
      <c r="BT92" s="50">
        <f>+'Sales Model'!AB34</f>
      </c>
      <c r="BU92" s="298">
        <f>+'Sales Model'!AC34</f>
      </c>
      <c r="BV92" s="50">
        <f>+'Sales Model'!AD34</f>
      </c>
      <c r="BW92" s="50">
        <f>+'Sales Model'!AE34</f>
      </c>
      <c r="BX92" s="50">
        <f>+'Sales Model'!AF34</f>
      </c>
      <c r="BY92" s="50">
        <f>+'Sales Model'!AG34</f>
      </c>
      <c r="BZ92" s="298">
        <f>+'Sales Model'!AH34</f>
      </c>
      <c r="CA92" s="50">
        <f>+'Sales Model'!AI34</f>
      </c>
      <c r="CB92" s="50">
        <f>+'Sales Model'!AJ34</f>
      </c>
      <c r="CC92" s="50">
        <f>+'Sales Model'!AK34</f>
      </c>
      <c r="CD92" s="50">
        <f>+'Sales Model'!AL34</f>
      </c>
      <c r="CE92" s="298">
        <f>+'Sales Model'!AM34</f>
      </c>
      <c r="CF92" s="50">
        <f>+'Sales Model'!AN34</f>
      </c>
      <c r="CG92" s="50">
        <f>+'Sales Model'!AO34</f>
      </c>
      <c r="CH92" s="50">
        <f>+'Sales Model'!AP34</f>
      </c>
      <c r="CI92" s="50">
        <f>+'Sales Model'!AQ34</f>
      </c>
      <c r="CJ92" s="298">
        <f>+'Sales Model'!AR34</f>
      </c>
      <c r="CK92" s="50">
        <f>+'Sales Model'!AS34</f>
      </c>
      <c r="CL92" s="50">
        <f>+'Sales Model'!AT34</f>
      </c>
      <c r="CM92" s="50">
        <f>+'Sales Model'!AU34</f>
      </c>
      <c r="CN92" s="50">
        <f>+'Sales Model'!AV34</f>
      </c>
      <c r="CO92" s="298">
        <f>+'Sales Model'!AW34</f>
      </c>
      <c r="CP92" s="50">
        <f>+'Sales Model'!AX34</f>
      </c>
      <c r="CQ92" s="50">
        <f>+'Sales Model'!AY34</f>
      </c>
      <c r="CR92" s="50">
        <f>+'Sales Model'!AZ34</f>
      </c>
      <c r="CS92" s="50">
        <f>+'Sales Model'!BA34</f>
      </c>
      <c r="CT92" s="298">
        <f>+'Sales Model'!BB34</f>
      </c>
      <c r="CU92" s="50">
        <f>+'Sales Model'!BC34</f>
      </c>
      <c r="CV92" s="50">
        <f>+'Sales Model'!BD34</f>
      </c>
      <c r="CW92" s="50">
        <f>+'Sales Model'!BE34</f>
      </c>
      <c r="CX92" s="50">
        <f>+'Sales Model'!BF34</f>
      </c>
      <c r="CY92" s="298">
        <f>+'Sales Model'!BG34</f>
      </c>
      <c r="CZ92" s="50">
        <f>+'Sales Model'!BH34</f>
      </c>
      <c r="DA92" s="50">
        <f>+'Sales Model'!BI34</f>
      </c>
      <c r="DB92" s="50">
        <f>+'Sales Model'!BJ34</f>
      </c>
      <c r="DC92" s="50">
        <f>+'Sales Model'!BK34</f>
      </c>
      <c r="DD92" s="298">
        <f>+'Sales Model'!BL34</f>
      </c>
      <c r="DE92" s="50">
        <f>+'Sales Model'!BM34</f>
      </c>
      <c r="DF92" s="50">
        <f>+'Sales Model'!BN34</f>
      </c>
      <c r="DG92" s="50">
        <f>+'Sales Model'!BO34</f>
      </c>
      <c r="DH92" s="50">
        <f>+'Sales Model'!BP34</f>
      </c>
      <c r="DI92" s="298">
        <f>+'Sales Model'!BQ34</f>
      </c>
      <c r="DJ92" s="50">
        <f>+'Sales Model'!BR34</f>
      </c>
      <c r="DK92" s="50">
        <f>+'Sales Model'!BS34</f>
      </c>
      <c r="DL92" s="50">
        <f>+'Sales Model'!BT34</f>
      </c>
      <c r="DM92" s="50">
        <f>+'Sales Model'!BU34</f>
      </c>
      <c r="DN92" s="298">
        <f>+'Sales Model'!BV34</f>
      </c>
      <c r="DO92" s="50">
        <f>+'Sales Model'!BW34</f>
      </c>
      <c r="DP92" s="50">
        <f>+'Sales Model'!BX34</f>
      </c>
      <c r="DQ92" s="50">
        <f>+'Sales Model'!BY34</f>
      </c>
      <c r="DR92" s="50">
        <f>+'Sales Model'!BZ34</f>
      </c>
      <c r="DS92" s="298">
        <f>+'Sales Model'!CA34</f>
      </c>
      <c r="DT92" s="50">
        <f>+'Sales Model'!CB34</f>
      </c>
      <c r="DU92" s="50">
        <f>+'Sales Model'!CC34</f>
      </c>
      <c r="DV92" s="50">
        <f>+'Sales Model'!CD34</f>
      </c>
      <c r="DW92" s="50">
        <f>+'Sales Model'!CE34</f>
      </c>
      <c r="DX92" s="298">
        <f>+'Sales Model'!CF34</f>
      </c>
      <c r="DY92" s="50">
        <f>+'Sales Model'!CG34</f>
      </c>
      <c r="DZ92" s="50">
        <f>+'Sales Model'!CH34</f>
      </c>
      <c r="EA92" s="50">
        <f>+'Sales Model'!CI34</f>
      </c>
      <c r="EB92" s="50">
        <f>+'Sales Model'!CJ34</f>
      </c>
      <c r="EC92" s="298">
        <f>+'Sales Model'!CK34</f>
      </c>
      <c r="ED92" s="1047">
        <f>+'Sales Model'!CL34</f>
      </c>
      <c r="EE92" s="50">
        <f>+'Sales Model'!CM34</f>
      </c>
      <c r="EF92" s="50">
        <f>+'Sales Model'!CN34</f>
      </c>
      <c r="EG92" s="50">
        <f>+'Sales Model'!CO34</f>
      </c>
      <c r="EH92" s="298">
        <f>+'Sales Model'!CP34</f>
      </c>
      <c r="EI92" s="1047">
        <f>+'Sales Model'!CQ34</f>
      </c>
      <c r="EJ92" s="1047">
        <f>+'Sales Model'!CR34</f>
      </c>
      <c r="EK92" s="1047">
        <f>+'Sales Model'!CS34</f>
      </c>
      <c r="EL92" s="1047">
        <f>+'Sales Model'!CT34</f>
      </c>
      <c r="EM92" s="298">
        <f>+'Sales Model'!CU34</f>
      </c>
      <c r="EN92" s="1047">
        <f>+'Sales Model'!CV34</f>
      </c>
      <c r="EO92" s="1047">
        <f>+'Sales Model'!CW34</f>
      </c>
      <c r="EP92" s="1047">
        <f>+'Sales Model'!CX34</f>
      </c>
      <c r="EQ92" s="1047">
        <f>+'Sales Model'!CY34</f>
      </c>
      <c r="ER92" s="298">
        <f>+'Sales Model'!CZ34</f>
      </c>
      <c r="ES92" s="1047">
        <f>+'Sales Model'!DA34</f>
      </c>
      <c r="ET92" s="1047">
        <f>+'Sales Model'!DB34</f>
      </c>
      <c r="EU92" s="1047">
        <f>+'Sales Model'!DC34</f>
      </c>
      <c r="EV92" s="1047">
        <f>+'Sales Model'!DD34</f>
      </c>
      <c r="EW92" s="1717">
        <f>+'Sales Model'!DE34</f>
      </c>
      <c r="EX92" s="1718">
        <f>+'Sales Model'!DF34</f>
      </c>
      <c r="EY92" s="1718">
        <f>+'Sales Model'!DG34</f>
      </c>
      <c r="EZ92" s="1718">
        <f>+'Sales Model'!DH34</f>
      </c>
      <c r="FA92" s="1718">
        <f>+'Sales Model'!DI34</f>
      </c>
      <c r="FB92" s="1717">
        <f>+'Sales Model'!DJ34</f>
      </c>
      <c r="FC92" s="1718">
        <f>+'Sales Model'!DK34</f>
      </c>
      <c r="FD92" s="1718">
        <f>+'Sales Model'!DL34</f>
      </c>
      <c r="FE92" s="1718">
        <f>+'Sales Model'!DM34</f>
      </c>
      <c r="FF92" s="1718">
        <f>+'Sales Model'!DN34</f>
      </c>
      <c r="FG92" s="1717">
        <f>+'Sales Model'!DO34</f>
      </c>
      <c r="FH92" s="1718">
        <f>+'Sales Model'!DP34</f>
      </c>
      <c r="FI92" s="1718">
        <f>+'Sales Model'!DQ34</f>
      </c>
      <c r="FJ92" s="1718">
        <f>+'Sales Model'!DR34</f>
      </c>
      <c r="FK92" s="1718">
        <f>+'Sales Model'!DS34</f>
      </c>
      <c r="FL92" s="1717">
        <f>+'Sales Model'!DT34</f>
      </c>
      <c r="FM92" s="2903">
        <f>+'Sales Model'!DU34</f>
      </c>
      <c r="FN92" s="2903">
        <f>+'Sales Model'!DV34</f>
      </c>
      <c r="FO92" s="2849">
        <f t="shared" ref="FO92:FU93" si="237">+FH92</f>
      </c>
      <c r="FP92" s="1718">
        <f t="shared" si="237"/>
      </c>
      <c r="FQ92" s="1718">
        <f t="shared" si="237"/>
      </c>
      <c r="FR92" s="1718">
        <f t="shared" si="237"/>
      </c>
      <c r="FS92" s="1717">
        <f t="shared" si="237"/>
      </c>
      <c r="FT92" s="1718">
        <f t="shared" si="237"/>
      </c>
      <c r="FU92" s="1845">
        <f t="shared" si="237"/>
      </c>
      <c r="FV92" s="2903">
        <f>+'Sales Model'!DW34</f>
      </c>
      <c r="FW92" s="2903">
        <f>+'Sales Model'!DX34</f>
      </c>
      <c r="FX92" s="2904">
        <f>+'Sales Model'!DY34</f>
      </c>
      <c r="FY92" s="2903">
        <f>+'Sales Model'!DZ34</f>
      </c>
      <c r="FZ92" s="2903">
        <f>+'Sales Model'!EA34</f>
      </c>
      <c r="GA92" s="2903">
        <f>+'Sales Model'!EB34</f>
      </c>
      <c r="GB92" s="2903">
        <f>+'Sales Model'!EC34</f>
      </c>
      <c r="GC92" s="2904">
        <f>+'Sales Model'!ED34</f>
      </c>
      <c r="GD92" s="2903">
        <f>+'Sales Model'!EE34</f>
      </c>
      <c r="GE92" s="2903">
        <f>+'Sales Model'!EF34</f>
      </c>
      <c r="GF92" s="2903">
        <f>+'Sales Model'!EG34</f>
      </c>
      <c r="GG92" s="2903">
        <f>+'Sales Model'!EH34</f>
      </c>
      <c r="GH92" s="2904">
        <f>+'Sales Model'!EI34</f>
      </c>
      <c r="GI92" s="2904">
        <f>+'Sales Model'!EJ34</f>
      </c>
      <c r="GJ92" s="2904">
        <f>+'Sales Model'!EK34</f>
      </c>
      <c r="GK92" s="2904">
        <f>+'Sales Model'!EL34</f>
      </c>
      <c r="GL92" s="2904">
        <f>+'Sales Model'!EM34</f>
      </c>
      <c r="GM92" s="2904">
        <f>+'Sales Model'!EN34</f>
      </c>
    </row>
    <row r="93" spans="1:195" outlineLevel="1">
      <c r="A93" s="2409"/>
      <c r="B93" s="971" t="s">
        <v>417</v>
      </c>
      <c r="H93" s="693">
        <v>1987</v>
      </c>
      <c r="I93" s="693">
        <v>572</v>
      </c>
      <c r="J93" s="693">
        <v>554</v>
      </c>
      <c r="K93" s="693">
        <v>547</v>
      </c>
      <c r="L93" s="693">
        <f>M93-SUM(I93:K93)</f>
      </c>
      <c r="M93" s="693">
        <v>2263</v>
      </c>
      <c r="N93" s="693">
        <v>645</v>
      </c>
      <c r="O93" s="693">
        <v>692</v>
      </c>
      <c r="P93" s="693">
        <v>687</v>
      </c>
      <c r="Q93" s="693">
        <f>R93-N93-O93-P93</f>
      </c>
      <c r="R93" s="693">
        <v>2688</v>
      </c>
      <c r="S93" s="693">
        <v>683</v>
      </c>
      <c r="T93" s="693">
        <v>691</v>
      </c>
      <c r="U93" s="693">
        <v>653</v>
      </c>
      <c r="V93" s="693">
        <v>688</v>
      </c>
      <c r="W93" s="693">
        <f>S93+T93+U93+V93</f>
      </c>
      <c r="X93" s="693">
        <v>694</v>
      </c>
      <c r="Y93" s="693">
        <v>767</v>
      </c>
      <c r="Z93" s="693">
        <v>793</v>
      </c>
      <c r="AA93" s="693">
        <v>761</v>
      </c>
      <c r="AB93" s="693">
        <v>3015</v>
      </c>
      <c r="AC93" s="693">
        <v>876</v>
      </c>
      <c r="AD93" s="693">
        <v>961</v>
      </c>
      <c r="AE93" s="693">
        <v>896</v>
      </c>
      <c r="AF93" s="693">
        <v>844</v>
      </c>
      <c r="AG93" s="693">
        <v>3577</v>
      </c>
      <c r="AH93" s="693">
        <v>970</v>
      </c>
      <c r="AI93" s="693">
        <v>985</v>
      </c>
      <c r="AJ93" s="693">
        <v>953</v>
      </c>
      <c r="AK93" s="693">
        <v>924</v>
      </c>
      <c r="AL93" s="693">
        <v>3833</v>
      </c>
      <c r="AM93" s="693">
        <v>983</v>
      </c>
      <c r="AN93" s="693">
        <v>999</v>
      </c>
      <c r="AO93" s="693">
        <v>925</v>
      </c>
      <c r="AP93" s="693">
        <v>912</v>
      </c>
      <c r="AQ93" s="693">
        <v>3819</v>
      </c>
      <c r="AR93" s="693">
        <v>923</v>
      </c>
      <c r="AS93" s="693">
        <v>984</v>
      </c>
      <c r="AT93" s="693">
        <v>959</v>
      </c>
      <c r="AU93" s="693">
        <v>1014</v>
      </c>
      <c r="AV93" s="50">
        <f>+'Sales Model'!D35</f>
      </c>
      <c r="AW93" s="50">
        <f>+'Sales Model'!E35</f>
      </c>
      <c r="AX93" s="50">
        <f>+'Sales Model'!F35</f>
      </c>
      <c r="AY93" s="50">
        <f>+'Sales Model'!G35</f>
      </c>
      <c r="AZ93" s="50">
        <f>+'Sales Model'!H35</f>
      </c>
      <c r="BA93" s="298">
        <f>+'Sales Model'!I35</f>
      </c>
      <c r="BB93" s="50">
        <f>+'Sales Model'!J35</f>
      </c>
      <c r="BC93" s="50">
        <f>+'Sales Model'!K35</f>
      </c>
      <c r="BD93" s="50">
        <f>+'Sales Model'!L35</f>
      </c>
      <c r="BE93" s="50">
        <f>+'Sales Model'!M35</f>
      </c>
      <c r="BF93" s="298">
        <f>+'Sales Model'!N35</f>
      </c>
      <c r="BG93" s="50">
        <f>+'Sales Model'!O35</f>
      </c>
      <c r="BH93" s="50">
        <f>+'Sales Model'!P35</f>
      </c>
      <c r="BI93" s="50">
        <f>+'Sales Model'!Q35</f>
      </c>
      <c r="BJ93" s="50">
        <f>+'Sales Model'!R35</f>
      </c>
      <c r="BK93" s="298">
        <f>+'Sales Model'!S35</f>
      </c>
      <c r="BL93" s="50">
        <f>+'Sales Model'!T35</f>
      </c>
      <c r="BM93" s="50">
        <f>+'Sales Model'!U35</f>
      </c>
      <c r="BN93" s="50">
        <f>+'Sales Model'!V35</f>
      </c>
      <c r="BO93" s="50">
        <f>+'Sales Model'!W35</f>
      </c>
      <c r="BP93" s="298">
        <f>+'Sales Model'!X35</f>
      </c>
      <c r="BQ93" s="50">
        <f>+'Sales Model'!Y35</f>
      </c>
      <c r="BR93" s="50">
        <f>+'Sales Model'!Z35</f>
      </c>
      <c r="BS93" s="50">
        <f>+'Sales Model'!AA35</f>
      </c>
      <c r="BT93" s="50">
        <f>+'Sales Model'!AB35</f>
      </c>
      <c r="BU93" s="298">
        <f>+'Sales Model'!AC35</f>
      </c>
      <c r="BV93" s="50">
        <f>+'Sales Model'!AD35</f>
      </c>
      <c r="BW93" s="50">
        <f>+'Sales Model'!AE35</f>
      </c>
      <c r="BX93" s="50">
        <f>+'Sales Model'!AF35</f>
      </c>
      <c r="BY93" s="50">
        <f>+'Sales Model'!AG35</f>
      </c>
      <c r="BZ93" s="298">
        <f>+'Sales Model'!AH35</f>
      </c>
      <c r="CA93" s="50">
        <f>+'Sales Model'!AI35</f>
      </c>
      <c r="CB93" s="50">
        <f>+'Sales Model'!AJ35</f>
      </c>
      <c r="CC93" s="50">
        <f>+'Sales Model'!AK35</f>
      </c>
      <c r="CD93" s="50">
        <f>+'Sales Model'!AL35</f>
      </c>
      <c r="CE93" s="298">
        <f>+'Sales Model'!AM35</f>
      </c>
      <c r="CF93" s="50">
        <f>+'Sales Model'!AN35</f>
      </c>
      <c r="CG93" s="50">
        <f>+'Sales Model'!AO35</f>
      </c>
      <c r="CH93" s="50">
        <f>+'Sales Model'!AP35</f>
      </c>
      <c r="CI93" s="50">
        <f>+'Sales Model'!AQ35</f>
      </c>
      <c r="CJ93" s="298">
        <f>+'Sales Model'!AR35</f>
      </c>
      <c r="CK93" s="50">
        <f>+'Sales Model'!AS35</f>
      </c>
      <c r="CL93" s="50">
        <f>+'Sales Model'!AT35</f>
      </c>
      <c r="CM93" s="50">
        <f>+'Sales Model'!AU35</f>
      </c>
      <c r="CN93" s="50">
        <f>+'Sales Model'!AV35</f>
      </c>
      <c r="CO93" s="298">
        <f>+'Sales Model'!AW35</f>
      </c>
      <c r="CP93" s="50">
        <f>+'Sales Model'!AX35</f>
      </c>
      <c r="CQ93" s="50">
        <f>+'Sales Model'!AY35</f>
      </c>
      <c r="CR93" s="50">
        <f>+'Sales Model'!AZ35</f>
      </c>
      <c r="CS93" s="50">
        <f>+'Sales Model'!BA35</f>
      </c>
      <c r="CT93" s="298">
        <f>+'Sales Model'!BB35</f>
      </c>
      <c r="CU93" s="50">
        <f>+'Sales Model'!BC35</f>
      </c>
      <c r="CV93" s="50">
        <f>+'Sales Model'!BD35</f>
      </c>
      <c r="CW93" s="50">
        <f>+'Sales Model'!BE35</f>
      </c>
      <c r="CX93" s="50">
        <f>+'Sales Model'!BF35</f>
      </c>
      <c r="CY93" s="298">
        <f>+'Sales Model'!BG35</f>
      </c>
      <c r="CZ93" s="50">
        <f>+'Sales Model'!BH35</f>
      </c>
      <c r="DA93" s="50">
        <f>+'Sales Model'!BI35</f>
      </c>
      <c r="DB93" s="50">
        <f>+'Sales Model'!BJ35</f>
      </c>
      <c r="DC93" s="50">
        <f>+'Sales Model'!BK35</f>
      </c>
      <c r="DD93" s="298">
        <f>+'Sales Model'!BL35</f>
      </c>
      <c r="DE93" s="50">
        <f>+'Sales Model'!BM35</f>
      </c>
      <c r="DF93" s="50">
        <f>+'Sales Model'!BN35</f>
      </c>
      <c r="DG93" s="50">
        <f>+'Sales Model'!BO35</f>
      </c>
      <c r="DH93" s="50">
        <f>+'Sales Model'!BP35</f>
      </c>
      <c r="DI93" s="298">
        <f>+'Sales Model'!BQ35</f>
      </c>
      <c r="DJ93" s="50">
        <f>+'Sales Model'!BR35</f>
      </c>
      <c r="DK93" s="50">
        <f>+'Sales Model'!BS35</f>
      </c>
      <c r="DL93" s="50">
        <f>+'Sales Model'!BT35</f>
      </c>
      <c r="DM93" s="50">
        <f>+'Sales Model'!BU35</f>
      </c>
      <c r="DN93" s="298">
        <f>+'Sales Model'!BV35</f>
      </c>
      <c r="DO93" s="50">
        <f>+'Sales Model'!BW35</f>
      </c>
      <c r="DP93" s="50">
        <f>+'Sales Model'!BX35</f>
      </c>
      <c r="DQ93" s="50">
        <f>+'Sales Model'!BY35</f>
      </c>
      <c r="DR93" s="50">
        <f>+'Sales Model'!BZ35</f>
      </c>
      <c r="DS93" s="298">
        <f>+'Sales Model'!CA35</f>
      </c>
      <c r="DT93" s="50">
        <f>+'Sales Model'!CB35</f>
      </c>
      <c r="DU93" s="50">
        <f>+'Sales Model'!CC35</f>
      </c>
      <c r="DV93" s="50">
        <f>+'Sales Model'!CD35</f>
      </c>
      <c r="DW93" s="50">
        <f>+'Sales Model'!CE35</f>
      </c>
      <c r="DX93" s="298">
        <f>+'Sales Model'!CF35</f>
      </c>
      <c r="DY93" s="50">
        <f>+'Sales Model'!CG35</f>
      </c>
      <c r="DZ93" s="50">
        <f>+'Sales Model'!CH35</f>
      </c>
      <c r="EA93" s="50">
        <f>+'Sales Model'!CI35</f>
      </c>
      <c r="EB93" s="50">
        <f>+'Sales Model'!CJ35</f>
      </c>
      <c r="EC93" s="298">
        <f>+'Sales Model'!CK35</f>
      </c>
      <c r="ED93" s="1047">
        <f>+'Sales Model'!CL35</f>
      </c>
      <c r="EE93" s="50">
        <f>+'Sales Model'!CM35</f>
      </c>
      <c r="EF93" s="50">
        <f>+'Sales Model'!CN35</f>
      </c>
      <c r="EG93" s="50">
        <f>+'Sales Model'!CO35</f>
      </c>
      <c r="EH93" s="298">
        <f>+'Sales Model'!CP35</f>
      </c>
      <c r="EI93" s="1047">
        <f>+'Sales Model'!CQ35</f>
      </c>
      <c r="EJ93" s="1047">
        <f>+'Sales Model'!CR35</f>
      </c>
      <c r="EK93" s="1047">
        <f>+'Sales Model'!CS35</f>
      </c>
      <c r="EL93" s="1047">
        <f>+'Sales Model'!CT35</f>
      </c>
      <c r="EM93" s="298">
        <f>+'Sales Model'!CU35</f>
      </c>
      <c r="EN93" s="1047">
        <f>+'Sales Model'!CV35</f>
      </c>
      <c r="EO93" s="1047">
        <f>+'Sales Model'!CW35</f>
      </c>
      <c r="EP93" s="1047">
        <f>+'Sales Model'!CX35</f>
      </c>
      <c r="EQ93" s="1047">
        <f>+'Sales Model'!CY35</f>
      </c>
      <c r="ER93" s="298">
        <f>+'Sales Model'!CZ35</f>
      </c>
      <c r="ES93" s="1047">
        <f>+'Sales Model'!DA35</f>
      </c>
      <c r="ET93" s="1047">
        <f>+'Sales Model'!DB35</f>
      </c>
      <c r="EU93" s="1047">
        <f>+'Sales Model'!DC35</f>
      </c>
      <c r="EV93" s="1047">
        <f>+'Sales Model'!DD35</f>
      </c>
      <c r="EW93" s="1717">
        <f>+'Sales Model'!DE35</f>
      </c>
      <c r="EX93" s="1718">
        <f>+'Sales Model'!DF35</f>
      </c>
      <c r="EY93" s="1718">
        <f>+'Sales Model'!DG35</f>
      </c>
      <c r="EZ93" s="1718">
        <f>+'Sales Model'!DH35</f>
      </c>
      <c r="FA93" s="1718">
        <f>+'Sales Model'!DI35</f>
      </c>
      <c r="FB93" s="1717">
        <f>+'Sales Model'!DJ35</f>
      </c>
      <c r="FC93" s="1718">
        <f>+'Sales Model'!DK35</f>
      </c>
      <c r="FD93" s="1718">
        <f>+'Sales Model'!DL35</f>
      </c>
      <c r="FE93" s="1718">
        <f>+'Sales Model'!DM35</f>
      </c>
      <c r="FF93" s="1718">
        <f>+'Sales Model'!DN35</f>
      </c>
      <c r="FG93" s="1717">
        <f>+'Sales Model'!DO35</f>
      </c>
      <c r="FH93" s="1718">
        <f>+'Sales Model'!DP35</f>
      </c>
      <c r="FI93" s="1718">
        <f>+'Sales Model'!DQ35</f>
      </c>
      <c r="FJ93" s="1718">
        <f>+'Sales Model'!DR35</f>
      </c>
      <c r="FK93" s="1718">
        <f>+'Sales Model'!DS35</f>
      </c>
      <c r="FL93" s="1717">
        <f>+'Sales Model'!DT35</f>
      </c>
      <c r="FM93" s="2903">
        <f>+'Sales Model'!DU35</f>
      </c>
      <c r="FN93" s="2903">
        <f>+'Sales Model'!DV35</f>
      </c>
      <c r="FO93" s="2849">
        <f t="shared" si="237"/>
      </c>
      <c r="FP93" s="1718">
        <f t="shared" si="237"/>
      </c>
      <c r="FQ93" s="1718">
        <f t="shared" si="237"/>
      </c>
      <c r="FR93" s="1718">
        <f t="shared" si="237"/>
      </c>
      <c r="FS93" s="1717">
        <f t="shared" si="237"/>
      </c>
      <c r="FT93" s="1718">
        <f t="shared" si="237"/>
      </c>
      <c r="FU93" s="1845">
        <f t="shared" si="237"/>
      </c>
      <c r="FV93" s="2903">
        <f>+'Sales Model'!DW35</f>
      </c>
      <c r="FW93" s="2903">
        <f>+'Sales Model'!DX35</f>
      </c>
      <c r="FX93" s="2904">
        <f>+'Sales Model'!DY35</f>
      </c>
      <c r="FY93" s="2903">
        <f>+'Sales Model'!DZ35</f>
      </c>
      <c r="FZ93" s="2903">
        <f>+'Sales Model'!EA35</f>
      </c>
      <c r="GA93" s="2903">
        <f>+'Sales Model'!EB35</f>
      </c>
      <c r="GB93" s="2903">
        <f>+'Sales Model'!EC35</f>
      </c>
      <c r="GC93" s="2904">
        <f>+'Sales Model'!ED35</f>
      </c>
      <c r="GD93" s="2903">
        <f>+'Sales Model'!EE35</f>
      </c>
      <c r="GE93" s="2903">
        <f>+'Sales Model'!EF35</f>
      </c>
      <c r="GF93" s="2903">
        <f>+'Sales Model'!EG35</f>
      </c>
      <c r="GG93" s="2903">
        <f>+'Sales Model'!EH35</f>
      </c>
      <c r="GH93" s="2904">
        <f>+'Sales Model'!EI35</f>
      </c>
      <c r="GI93" s="2904">
        <f>+'Sales Model'!EJ35</f>
      </c>
      <c r="GJ93" s="2904">
        <f>+'Sales Model'!EK35</f>
      </c>
      <c r="GK93" s="2904">
        <f>+'Sales Model'!EL35</f>
      </c>
      <c r="GL93" s="2904">
        <f>+'Sales Model'!EM35</f>
      </c>
      <c r="GM93" s="2904">
        <f>+'Sales Model'!EN35</f>
      </c>
    </row>
    <row r="94" spans="1:195" s="3" customFormat="1" outlineLevel="1">
      <c r="A94" s="3319"/>
      <c r="B94" s="177" t="s">
        <v>183</v>
      </c>
      <c r="H94" s="185">
        <f t="shared" ref="H94:AM94" si="238">SUM(H92:H93)</f>
      </c>
      <c r="I94" s="185">
        <f t="shared" si="238"/>
      </c>
      <c r="J94" s="185">
        <f t="shared" si="238"/>
      </c>
      <c r="K94" s="185">
        <f t="shared" si="238"/>
      </c>
      <c r="L94" s="185">
        <f t="shared" si="238"/>
      </c>
      <c r="M94" s="185">
        <f t="shared" si="238"/>
      </c>
      <c r="N94" s="185">
        <f t="shared" si="238"/>
      </c>
      <c r="O94" s="185">
        <f t="shared" si="238"/>
      </c>
      <c r="P94" s="185">
        <f t="shared" si="238"/>
      </c>
      <c r="Q94" s="185">
        <f t="shared" si="238"/>
      </c>
      <c r="R94" s="185">
        <f t="shared" si="238"/>
      </c>
      <c r="S94" s="186">
        <f t="shared" si="238"/>
      </c>
      <c r="T94" s="187">
        <f t="shared" si="238"/>
      </c>
      <c r="U94" s="187">
        <f t="shared" si="238"/>
      </c>
      <c r="V94" s="187">
        <f t="shared" si="238"/>
      </c>
      <c r="W94" s="185">
        <f t="shared" si="238"/>
      </c>
      <c r="X94" s="186">
        <f t="shared" si="238"/>
      </c>
      <c r="Y94" s="185">
        <f t="shared" si="238"/>
      </c>
      <c r="Z94" s="185">
        <f t="shared" si="238"/>
      </c>
      <c r="AA94" s="185">
        <f t="shared" si="238"/>
      </c>
      <c r="AB94" s="185">
        <f t="shared" si="238"/>
      </c>
      <c r="AC94" s="185">
        <f t="shared" si="238"/>
      </c>
      <c r="AD94" s="185">
        <f t="shared" si="238"/>
      </c>
      <c r="AE94" s="185">
        <f t="shared" si="238"/>
      </c>
      <c r="AF94" s="185">
        <f t="shared" si="238"/>
      </c>
      <c r="AG94" s="185">
        <f t="shared" si="238"/>
      </c>
      <c r="AH94" s="185">
        <f t="shared" si="238"/>
      </c>
      <c r="AI94" s="185">
        <f t="shared" si="238"/>
      </c>
      <c r="AJ94" s="185">
        <f t="shared" si="238"/>
      </c>
      <c r="AK94" s="185">
        <f t="shared" si="238"/>
      </c>
      <c r="AL94" s="185">
        <f t="shared" si="238"/>
      </c>
      <c r="AM94" s="185">
        <f t="shared" si="238"/>
      </c>
      <c r="AN94" s="185">
        <f t="shared" ref="AN94:BS94" si="239">SUM(AN92:AN93)</f>
      </c>
      <c r="AO94" s="185">
        <f t="shared" si="239"/>
      </c>
      <c r="AP94" s="185">
        <f t="shared" si="239"/>
      </c>
      <c r="AQ94" s="185">
        <f t="shared" si="239"/>
      </c>
      <c r="AR94" s="185">
        <f t="shared" si="239"/>
      </c>
      <c r="AS94" s="185">
        <f t="shared" si="239"/>
      </c>
      <c r="AT94" s="185">
        <f t="shared" si="239"/>
      </c>
      <c r="AU94" s="185">
        <f t="shared" si="239"/>
      </c>
      <c r="AV94" s="188">
        <f t="shared" si="239"/>
      </c>
      <c r="AW94" s="188">
        <f t="shared" si="239"/>
      </c>
      <c r="AX94" s="188">
        <f t="shared" si="239"/>
      </c>
      <c r="AY94" s="188">
        <f t="shared" si="239"/>
      </c>
      <c r="AZ94" s="188">
        <f t="shared" si="239"/>
      </c>
      <c r="BA94" s="299">
        <f t="shared" si="239"/>
      </c>
      <c r="BB94" s="188">
        <f t="shared" si="239"/>
      </c>
      <c r="BC94" s="188">
        <f t="shared" si="239"/>
      </c>
      <c r="BD94" s="188">
        <f t="shared" si="239"/>
      </c>
      <c r="BE94" s="188">
        <f t="shared" si="239"/>
      </c>
      <c r="BF94" s="299">
        <f t="shared" si="239"/>
      </c>
      <c r="BG94" s="188">
        <f t="shared" si="239"/>
      </c>
      <c r="BH94" s="188">
        <f t="shared" si="239"/>
      </c>
      <c r="BI94" s="188">
        <f t="shared" si="239"/>
      </c>
      <c r="BJ94" s="188">
        <f t="shared" si="239"/>
      </c>
      <c r="BK94" s="299">
        <f t="shared" si="239"/>
      </c>
      <c r="BL94" s="188">
        <f t="shared" si="239"/>
      </c>
      <c r="BM94" s="188">
        <f t="shared" si="239"/>
      </c>
      <c r="BN94" s="188">
        <f t="shared" si="239"/>
      </c>
      <c r="BO94" s="188">
        <f t="shared" si="239"/>
      </c>
      <c r="BP94" s="299">
        <f t="shared" si="239"/>
      </c>
      <c r="BQ94" s="188">
        <f t="shared" si="239"/>
      </c>
      <c r="BR94" s="188">
        <f t="shared" si="239"/>
      </c>
      <c r="BS94" s="188">
        <f t="shared" si="239"/>
      </c>
      <c r="BT94" s="188">
        <f t="shared" ref="BT94:CY94" si="240">SUM(BT92:BT93)</f>
      </c>
      <c r="BU94" s="299">
        <f t="shared" si="240"/>
      </c>
      <c r="BV94" s="188">
        <f t="shared" si="240"/>
      </c>
      <c r="BW94" s="188">
        <f t="shared" si="240"/>
      </c>
      <c r="BX94" s="188">
        <f t="shared" si="240"/>
      </c>
      <c r="BY94" s="188">
        <f t="shared" si="240"/>
      </c>
      <c r="BZ94" s="299">
        <f t="shared" si="240"/>
      </c>
      <c r="CA94" s="188">
        <f t="shared" si="240"/>
      </c>
      <c r="CB94" s="188">
        <f t="shared" si="240"/>
      </c>
      <c r="CC94" s="188">
        <f t="shared" si="240"/>
      </c>
      <c r="CD94" s="188">
        <f t="shared" si="240"/>
      </c>
      <c r="CE94" s="299">
        <f t="shared" si="240"/>
      </c>
      <c r="CF94" s="188">
        <f t="shared" si="240"/>
      </c>
      <c r="CG94" s="188">
        <f t="shared" si="240"/>
      </c>
      <c r="CH94" s="188">
        <f t="shared" si="240"/>
      </c>
      <c r="CI94" s="188">
        <f t="shared" si="240"/>
      </c>
      <c r="CJ94" s="299">
        <f t="shared" si="240"/>
      </c>
      <c r="CK94" s="188">
        <f t="shared" si="240"/>
      </c>
      <c r="CL94" s="188">
        <f t="shared" si="240"/>
      </c>
      <c r="CM94" s="188">
        <f t="shared" si="240"/>
      </c>
      <c r="CN94" s="188">
        <f t="shared" si="240"/>
      </c>
      <c r="CO94" s="299">
        <f t="shared" si="240"/>
      </c>
      <c r="CP94" s="188">
        <f t="shared" si="240"/>
      </c>
      <c r="CQ94" s="188">
        <f t="shared" si="240"/>
      </c>
      <c r="CR94" s="188">
        <f t="shared" si="240"/>
      </c>
      <c r="CS94" s="188">
        <f t="shared" si="240"/>
      </c>
      <c r="CT94" s="299">
        <f t="shared" si="240"/>
      </c>
      <c r="CU94" s="188">
        <f t="shared" si="240"/>
      </c>
      <c r="CV94" s="188">
        <f t="shared" si="240"/>
      </c>
      <c r="CW94" s="188">
        <f t="shared" si="240"/>
      </c>
      <c r="CX94" s="188">
        <f t="shared" si="240"/>
      </c>
      <c r="CY94" s="299">
        <f t="shared" si="240"/>
      </c>
      <c r="CZ94" s="188">
        <f t="shared" ref="CZ94:EE94" si="241">SUM(CZ92:CZ93)</f>
      </c>
      <c r="DA94" s="188">
        <f t="shared" si="241"/>
      </c>
      <c r="DB94" s="188">
        <f t="shared" si="241"/>
      </c>
      <c r="DC94" s="188">
        <f t="shared" si="241"/>
      </c>
      <c r="DD94" s="299">
        <f t="shared" si="241"/>
      </c>
      <c r="DE94" s="188">
        <f t="shared" si="241"/>
      </c>
      <c r="DF94" s="188">
        <f t="shared" si="241"/>
      </c>
      <c r="DG94" s="188">
        <f t="shared" si="241"/>
      </c>
      <c r="DH94" s="188">
        <f t="shared" si="241"/>
      </c>
      <c r="DI94" s="299">
        <f t="shared" si="241"/>
      </c>
      <c r="DJ94" s="188">
        <f t="shared" si="241"/>
      </c>
      <c r="DK94" s="188">
        <f t="shared" si="241"/>
      </c>
      <c r="DL94" s="188">
        <f t="shared" si="241"/>
      </c>
      <c r="DM94" s="188">
        <f t="shared" si="241"/>
      </c>
      <c r="DN94" s="299">
        <f t="shared" si="241"/>
      </c>
      <c r="DO94" s="188">
        <f t="shared" si="241"/>
      </c>
      <c r="DP94" s="188">
        <f t="shared" si="241"/>
      </c>
      <c r="DQ94" s="188">
        <f t="shared" si="241"/>
      </c>
      <c r="DR94" s="188">
        <f t="shared" si="241"/>
      </c>
      <c r="DS94" s="299">
        <f t="shared" si="241"/>
      </c>
      <c r="DT94" s="188">
        <f t="shared" si="241"/>
      </c>
      <c r="DU94" s="188">
        <f t="shared" si="241"/>
      </c>
      <c r="DV94" s="188">
        <f t="shared" si="241"/>
      </c>
      <c r="DW94" s="188">
        <f t="shared" si="241"/>
      </c>
      <c r="DX94" s="299">
        <f t="shared" si="241"/>
      </c>
      <c r="DY94" s="188">
        <f t="shared" si="241"/>
      </c>
      <c r="DZ94" s="188">
        <f t="shared" si="241"/>
      </c>
      <c r="EA94" s="188">
        <f t="shared" si="241"/>
      </c>
      <c r="EB94" s="188">
        <f t="shared" si="241"/>
      </c>
      <c r="EC94" s="299">
        <f t="shared" si="241"/>
      </c>
      <c r="ED94" s="188">
        <f t="shared" si="241"/>
      </c>
      <c r="EE94" s="188">
        <f t="shared" si="241"/>
      </c>
      <c r="EF94" s="188">
        <f t="shared" ref="EF94:FK94" si="242">SUM(EF92:EF93)</f>
      </c>
      <c r="EG94" s="188">
        <f t="shared" si="242"/>
      </c>
      <c r="EH94" s="299">
        <f t="shared" si="242"/>
      </c>
      <c r="EI94" s="188">
        <f t="shared" si="242"/>
      </c>
      <c r="EJ94" s="188">
        <f t="shared" si="242"/>
      </c>
      <c r="EK94" s="188">
        <f t="shared" si="242"/>
      </c>
      <c r="EL94" s="188">
        <f t="shared" si="242"/>
      </c>
      <c r="EM94" s="299">
        <f t="shared" si="242"/>
      </c>
      <c r="EN94" s="188">
        <f t="shared" si="242"/>
      </c>
      <c r="EO94" s="188">
        <f t="shared" si="242"/>
      </c>
      <c r="EP94" s="188">
        <f t="shared" si="242"/>
      </c>
      <c r="EQ94" s="188">
        <f t="shared" si="242"/>
      </c>
      <c r="ER94" s="299">
        <f t="shared" si="242"/>
      </c>
      <c r="ES94" s="188">
        <f t="shared" si="242"/>
      </c>
      <c r="ET94" s="188">
        <f t="shared" si="242"/>
      </c>
      <c r="EU94" s="188">
        <f t="shared" si="242"/>
      </c>
      <c r="EV94" s="188">
        <f t="shared" si="242"/>
      </c>
      <c r="EW94" s="1719">
        <f t="shared" si="242"/>
      </c>
      <c r="EX94" s="1720">
        <f t="shared" si="242"/>
      </c>
      <c r="EY94" s="1720">
        <f t="shared" si="242"/>
      </c>
      <c r="EZ94" s="1720">
        <f t="shared" si="242"/>
      </c>
      <c r="FA94" s="1720">
        <f t="shared" si="242"/>
      </c>
      <c r="FB94" s="1719">
        <f t="shared" si="242"/>
      </c>
      <c r="FC94" s="1720">
        <f t="shared" si="242"/>
      </c>
      <c r="FD94" s="1720">
        <f t="shared" si="242"/>
      </c>
      <c r="FE94" s="1720">
        <f t="shared" si="242"/>
      </c>
      <c r="FF94" s="1720">
        <f t="shared" si="242"/>
      </c>
      <c r="FG94" s="1719">
        <f t="shared" si="242"/>
      </c>
      <c r="FH94" s="1720">
        <f t="shared" si="242"/>
      </c>
      <c r="FI94" s="1720">
        <f t="shared" si="242"/>
      </c>
      <c r="FJ94" s="1720">
        <f t="shared" si="242"/>
      </c>
      <c r="FK94" s="1720">
        <f t="shared" si="242"/>
      </c>
      <c r="FL94" s="1719">
        <f>SUM(FL92:FL93)</f>
      </c>
      <c r="FM94" s="1720">
        <f>SUM(FM92:FM93)</f>
      </c>
      <c r="FN94" s="1720">
        <f t="shared" ref="FN94:FT94" si="243">SUM(FN92:FN93)</f>
      </c>
      <c r="FO94" s="2850">
        <f t="shared" si="243"/>
      </c>
      <c r="FP94" s="1720">
        <f t="shared" si="243"/>
      </c>
      <c r="FQ94" s="1720">
        <f t="shared" si="243"/>
      </c>
      <c r="FR94" s="1720">
        <f t="shared" si="243"/>
      </c>
      <c r="FS94" s="1719">
        <f t="shared" si="243"/>
      </c>
      <c r="FT94" s="1720">
        <f t="shared" si="243"/>
      </c>
      <c r="FU94" s="2851">
        <f t="shared" ref="FU94:GJ94" si="244">SUM(FU92:FU93)</f>
      </c>
      <c r="FV94" s="1720">
        <f t="shared" si="244"/>
      </c>
      <c r="FW94" s="1720">
        <f t="shared" si="244"/>
      </c>
      <c r="FX94" s="1719">
        <f t="shared" si="244"/>
      </c>
      <c r="FY94" s="1720">
        <f t="shared" ref="FY94:FZ94" si="245">SUM(FY92:FY93)</f>
      </c>
      <c r="FZ94" s="1720">
        <f t="shared" si="245"/>
      </c>
      <c r="GA94" s="1720">
        <f t="shared" ref="GA94" si="246">SUM(GA92:GA93)</f>
      </c>
      <c r="GB94" s="1720">
        <f t="shared" si="244"/>
      </c>
      <c r="GC94" s="1719">
        <f t="shared" si="244"/>
      </c>
      <c r="GD94" s="1720">
        <f t="shared" si="244"/>
      </c>
      <c r="GE94" s="1720">
        <f t="shared" si="244"/>
      </c>
      <c r="GF94" s="1720">
        <f t="shared" si="244"/>
      </c>
      <c r="GG94" s="1720">
        <f t="shared" ref="GG94" si="247">SUM(GG92:GG93)</f>
      </c>
      <c r="GH94" s="1719">
        <f t="shared" si="244"/>
      </c>
      <c r="GI94" s="1719">
        <f t="shared" si="244"/>
      </c>
      <c r="GJ94" s="1719">
        <f t="shared" si="244"/>
      </c>
      <c r="GK94" s="1719">
        <f>SUM(GK92:GK93)</f>
      </c>
      <c r="GL94" s="1719">
        <f>SUM(GL92:GL93)</f>
      </c>
      <c r="GM94" s="1719">
        <f>SUM(GM92:GM93)</f>
      </c>
    </row>
    <row r="95" spans="1:195" outlineLevel="1">
      <c r="A95" s="2409"/>
      <c r="B95" s="184" t="s">
        <v>820</v>
      </c>
      <c r="AV95" s="50"/>
      <c r="AW95" s="50"/>
      <c r="AX95" s="50"/>
      <c r="AY95" s="50"/>
      <c r="AZ95" s="50"/>
      <c r="BA95" s="298"/>
      <c r="BB95" s="50"/>
      <c r="BC95" s="50"/>
      <c r="BD95" s="50"/>
      <c r="BE95" s="50"/>
      <c r="BF95" s="298"/>
      <c r="BG95" s="50"/>
      <c r="BH95" s="50"/>
      <c r="BI95" s="50"/>
      <c r="BJ95" s="50"/>
      <c r="BK95" s="298"/>
      <c r="BL95" s="50"/>
      <c r="BM95" s="50"/>
      <c r="BN95" s="50"/>
      <c r="BO95" s="50"/>
      <c r="BP95" s="298"/>
      <c r="BQ95" s="50"/>
      <c r="BR95" s="50"/>
      <c r="BS95" s="50"/>
      <c r="BT95" s="50"/>
      <c r="BU95" s="298"/>
      <c r="BV95" s="50"/>
      <c r="BW95" s="50"/>
      <c r="BX95" s="50"/>
      <c r="BY95" s="50"/>
      <c r="BZ95" s="298"/>
      <c r="CA95" s="50"/>
      <c r="CB95" s="50"/>
      <c r="CC95" s="50"/>
      <c r="CD95" s="50"/>
      <c r="CE95" s="298"/>
      <c r="CF95" s="50"/>
      <c r="CG95" s="50"/>
      <c r="CH95" s="50"/>
      <c r="CI95" s="50"/>
      <c r="CJ95" s="298"/>
      <c r="CK95" s="50"/>
      <c r="CL95" s="50"/>
      <c r="CM95" s="50"/>
      <c r="CN95" s="50"/>
      <c r="CO95" s="298"/>
      <c r="CP95" s="50"/>
      <c r="CQ95" s="50"/>
      <c r="CR95" s="50"/>
      <c r="CS95" s="50"/>
      <c r="CT95" s="298"/>
      <c r="CU95" s="50"/>
      <c r="CV95" s="50"/>
      <c r="CW95" s="50"/>
      <c r="CX95" s="50"/>
      <c r="CY95" s="298"/>
      <c r="CZ95" s="50"/>
      <c r="DA95" s="50"/>
      <c r="DB95" s="50"/>
      <c r="DC95" s="50"/>
      <c r="DD95" s="298"/>
      <c r="DE95" s="50"/>
      <c r="DF95" s="50"/>
      <c r="DG95" s="50"/>
      <c r="DH95" s="50"/>
      <c r="DI95" s="298"/>
      <c r="DJ95" s="50"/>
      <c r="DK95" s="50"/>
      <c r="DL95" s="50"/>
      <c r="DM95" s="50"/>
      <c r="DN95" s="298"/>
      <c r="DO95" s="50"/>
      <c r="DP95" s="50"/>
      <c r="DQ95" s="50"/>
      <c r="DR95" s="50"/>
      <c r="DS95" s="298"/>
      <c r="DT95" s="50"/>
      <c r="DU95" s="50"/>
      <c r="DV95" s="50"/>
      <c r="DW95" s="50"/>
      <c r="DX95" s="298"/>
      <c r="DY95" s="50"/>
      <c r="DZ95" s="50"/>
      <c r="EA95" s="50"/>
      <c r="EB95" s="50"/>
      <c r="EC95" s="298"/>
      <c r="ED95" s="1047"/>
      <c r="EE95" s="50"/>
      <c r="EF95" s="50"/>
      <c r="EG95" s="50"/>
      <c r="EH95" s="298"/>
      <c r="EI95" s="1047"/>
      <c r="EJ95" s="1047"/>
      <c r="EK95" s="1047"/>
      <c r="EL95" s="1047"/>
      <c r="EM95" s="298"/>
      <c r="EN95" s="1047"/>
      <c r="EO95" s="1047"/>
      <c r="EP95" s="1047"/>
      <c r="EQ95" s="1047"/>
      <c r="ER95" s="298"/>
      <c r="ES95" s="1047"/>
      <c r="ET95" s="1047"/>
      <c r="EU95" s="1047"/>
      <c r="EV95" s="1047"/>
      <c r="EW95" s="1717"/>
      <c r="EX95" s="1718"/>
      <c r="EY95" s="1718"/>
      <c r="EZ95" s="1718"/>
      <c r="FA95" s="1718"/>
      <c r="FB95" s="1717"/>
      <c r="FC95" s="1718"/>
      <c r="FD95" s="1718"/>
      <c r="FE95" s="1718"/>
      <c r="FF95" s="1718"/>
      <c r="FG95" s="1717"/>
      <c r="FH95" s="1718"/>
      <c r="FI95" s="1718"/>
      <c r="FJ95" s="1718"/>
      <c r="FK95" s="1718"/>
      <c r="FL95" s="1717"/>
      <c r="FM95" s="1718"/>
      <c r="FN95" s="1718"/>
      <c r="FO95" s="2849"/>
      <c r="FP95" s="1718"/>
      <c r="FQ95" s="1718"/>
      <c r="FR95" s="1718"/>
      <c r="FS95" s="1717"/>
      <c r="FT95" s="1718"/>
      <c r="FU95" s="1845"/>
      <c r="FV95" s="1718"/>
      <c r="FW95" s="1718"/>
      <c r="FX95" s="1717"/>
      <c r="FY95" s="1718"/>
      <c r="FZ95" s="1718"/>
      <c r="GA95" s="1718"/>
      <c r="GB95" s="1718"/>
      <c r="GC95" s="1717"/>
      <c r="GD95" s="1718"/>
      <c r="GE95" s="1718"/>
      <c r="GF95" s="1718"/>
      <c r="GG95" s="1718"/>
      <c r="GH95" s="1717"/>
      <c r="GI95" s="1717"/>
      <c r="GJ95" s="1717"/>
      <c r="GK95" s="1717"/>
      <c r="GL95" s="1717"/>
      <c r="GM95" s="1717"/>
    </row>
    <row r="96" spans="1:195" outlineLevel="1">
      <c r="A96" s="2409"/>
      <c r="B96" s="971" t="s">
        <v>941</v>
      </c>
      <c r="H96" s="6">
        <v>2022</v>
      </c>
      <c r="I96" s="6">
        <v>532</v>
      </c>
      <c r="J96" s="6">
        <v>558</v>
      </c>
      <c r="K96" s="6">
        <v>553</v>
      </c>
      <c r="L96" s="6">
        <f>M96-SUM(I96:K96)</f>
      </c>
      <c r="M96" s="6">
        <v>2256</v>
      </c>
      <c r="N96" s="6">
        <v>603</v>
      </c>
      <c r="O96" s="6">
        <v>654</v>
      </c>
      <c r="P96" s="6">
        <v>658</v>
      </c>
      <c r="Q96" s="6">
        <f>R96-N96-O96-P96</f>
      </c>
      <c r="R96" s="6">
        <v>2643</v>
      </c>
      <c r="S96" s="6">
        <v>669</v>
      </c>
      <c r="T96" s="6">
        <v>712</v>
      </c>
      <c r="U96" s="6">
        <v>698</v>
      </c>
      <c r="V96" s="6">
        <v>718</v>
      </c>
      <c r="W96" s="6">
        <f>S96+T96+U96+V96</f>
      </c>
      <c r="X96" s="6">
        <v>681</v>
      </c>
      <c r="Y96" s="6">
        <v>744</v>
      </c>
      <c r="Z96" s="6">
        <v>734</v>
      </c>
      <c r="AA96" s="6">
        <v>818</v>
      </c>
      <c r="AB96" s="6">
        <v>2977</v>
      </c>
      <c r="AC96" s="695">
        <v>840</v>
      </c>
      <c r="AD96" s="695">
        <v>886</v>
      </c>
      <c r="AE96" s="695">
        <v>916</v>
      </c>
      <c r="AF96" s="695">
        <v>993</v>
      </c>
      <c r="AG96" s="695">
        <v>3635</v>
      </c>
      <c r="AH96" s="695">
        <v>1035</v>
      </c>
      <c r="AI96" s="695">
        <v>1097</v>
      </c>
      <c r="AJ96" s="695">
        <v>1126</v>
      </c>
      <c r="AK96" s="695">
        <v>1120</v>
      </c>
      <c r="AL96" s="6">
        <f>SUM(AH96:AK96)</f>
      </c>
      <c r="AM96" s="695">
        <v>1155</v>
      </c>
      <c r="AN96" s="695">
        <v>1179</v>
      </c>
      <c r="AO96" s="695">
        <v>1168</v>
      </c>
      <c r="AP96" s="695">
        <v>1138</v>
      </c>
      <c r="AQ96" s="695">
        <v>4640</v>
      </c>
      <c r="AR96" s="695">
        <v>1086</v>
      </c>
      <c r="AS96" s="695">
        <v>1071</v>
      </c>
      <c r="AT96" s="695">
        <v>1117</v>
      </c>
      <c r="AU96" s="695">
        <v>1255</v>
      </c>
      <c r="AV96" s="50">
        <f>+'Sales Model'!D45</f>
      </c>
      <c r="AW96" s="50">
        <f>+'Sales Model'!E45</f>
      </c>
      <c r="AX96" s="50">
        <f>+'Sales Model'!F45</f>
      </c>
      <c r="AY96" s="50">
        <f>+'Sales Model'!G45</f>
      </c>
      <c r="AZ96" s="50">
        <f>+'Sales Model'!H45</f>
      </c>
      <c r="BA96" s="298">
        <f>+'Sales Model'!I45</f>
      </c>
      <c r="BB96" s="50">
        <f>+'Sales Model'!J45</f>
      </c>
      <c r="BC96" s="50">
        <f>+'Sales Model'!K45</f>
      </c>
      <c r="BD96" s="50">
        <f>+'Sales Model'!L45</f>
      </c>
      <c r="BE96" s="50">
        <f>+'Sales Model'!M45</f>
      </c>
      <c r="BF96" s="298">
        <f>+'Sales Model'!N45</f>
      </c>
      <c r="BG96" s="50">
        <f>+'Sales Model'!O45</f>
      </c>
      <c r="BH96" s="50">
        <f>+'Sales Model'!P45</f>
      </c>
      <c r="BI96" s="50">
        <f>+'Sales Model'!Q45</f>
      </c>
      <c r="BJ96" s="50">
        <f>+'Sales Model'!R45</f>
      </c>
      <c r="BK96" s="298">
        <f>+'Sales Model'!S45</f>
      </c>
      <c r="BL96" s="50">
        <f>+'Sales Model'!T45</f>
      </c>
      <c r="BM96" s="50">
        <f>+'Sales Model'!U45</f>
      </c>
      <c r="BN96" s="50">
        <f>+'Sales Model'!V45</f>
      </c>
      <c r="BO96" s="50">
        <f>+'Sales Model'!W45</f>
      </c>
      <c r="BP96" s="298">
        <f>+'Sales Model'!X45</f>
      </c>
      <c r="BQ96" s="50">
        <f>+'Sales Model'!Y45</f>
      </c>
      <c r="BR96" s="50">
        <f>+'Sales Model'!Z45</f>
      </c>
      <c r="BS96" s="50">
        <f>+'Sales Model'!AA45</f>
      </c>
      <c r="BT96" s="50">
        <f>+'Sales Model'!AB45</f>
      </c>
      <c r="BU96" s="298">
        <f>+'Sales Model'!AC45</f>
      </c>
      <c r="BV96" s="50">
        <f>+'Sales Model'!AD45</f>
      </c>
      <c r="BW96" s="50">
        <f>+'Sales Model'!AE45</f>
      </c>
      <c r="BX96" s="50">
        <f>+'Sales Model'!AF45</f>
      </c>
      <c r="BY96" s="50">
        <f>+'Sales Model'!AG45</f>
      </c>
      <c r="BZ96" s="298">
        <f>+'Sales Model'!AH45</f>
      </c>
      <c r="CA96" s="50">
        <f>+'Sales Model'!AI45</f>
      </c>
      <c r="CB96" s="50">
        <f>+'Sales Model'!AJ45</f>
      </c>
      <c r="CC96" s="50">
        <f>+'Sales Model'!AK45</f>
      </c>
      <c r="CD96" s="50">
        <f>+'Sales Model'!AL45</f>
      </c>
      <c r="CE96" s="298">
        <f>+'Sales Model'!AM45</f>
      </c>
      <c r="CF96" s="50">
        <f>+'Sales Model'!AN45</f>
      </c>
      <c r="CG96" s="50">
        <f>+'Sales Model'!AO45</f>
      </c>
      <c r="CH96" s="50">
        <f>+'Sales Model'!AP45</f>
      </c>
      <c r="CI96" s="50">
        <f>+'Sales Model'!AQ45</f>
      </c>
      <c r="CJ96" s="298">
        <f>+'Sales Model'!AR45</f>
      </c>
      <c r="CK96" s="50">
        <f>+'Sales Model'!AS45</f>
      </c>
      <c r="CL96" s="50">
        <f>+'Sales Model'!AT45</f>
      </c>
      <c r="CM96" s="50">
        <f>+'Sales Model'!AU45</f>
      </c>
      <c r="CN96" s="50">
        <f>+'Sales Model'!AV45</f>
      </c>
      <c r="CO96" s="298">
        <f>+'Sales Model'!AW45</f>
      </c>
      <c r="CP96" s="50">
        <f>+'Sales Model'!AX45</f>
      </c>
      <c r="CQ96" s="50">
        <f>+'Sales Model'!AY45</f>
      </c>
      <c r="CR96" s="50">
        <f>+'Sales Model'!AZ45</f>
      </c>
      <c r="CS96" s="50">
        <f>+'Sales Model'!BA45</f>
      </c>
      <c r="CT96" s="298">
        <f>+'Sales Model'!BB45</f>
      </c>
      <c r="CU96" s="50">
        <f>+'Sales Model'!BC45</f>
      </c>
      <c r="CV96" s="50">
        <f>+'Sales Model'!BD45</f>
      </c>
      <c r="CW96" s="50">
        <f>+'Sales Model'!BE45</f>
      </c>
      <c r="CX96" s="50">
        <f>+'Sales Model'!BF45</f>
      </c>
      <c r="CY96" s="298">
        <f>+'Sales Model'!BG45</f>
      </c>
      <c r="CZ96" s="50">
        <f>+'Sales Model'!BH45</f>
      </c>
      <c r="DA96" s="50">
        <f>+'Sales Model'!BI45</f>
      </c>
      <c r="DB96" s="50">
        <f>+'Sales Model'!BJ45</f>
      </c>
      <c r="DC96" s="50">
        <f>+'Sales Model'!BK45</f>
      </c>
      <c r="DD96" s="298">
        <f>+'Sales Model'!BL45</f>
      </c>
      <c r="DE96" s="50">
        <f>+'Sales Model'!BM45</f>
      </c>
      <c r="DF96" s="50">
        <f>+'Sales Model'!BN45</f>
      </c>
      <c r="DG96" s="50">
        <f>+'Sales Model'!BO45</f>
      </c>
      <c r="DH96" s="50">
        <f>+'Sales Model'!BP45</f>
      </c>
      <c r="DI96" s="298">
        <f>+'Sales Model'!BQ45</f>
      </c>
      <c r="DJ96" s="50">
        <f>+'Sales Model'!BR45</f>
      </c>
      <c r="DK96" s="50">
        <f>+'Sales Model'!BS45</f>
      </c>
      <c r="DL96" s="50">
        <f>+'Sales Model'!BT45</f>
      </c>
      <c r="DM96" s="50">
        <f>+'Sales Model'!BU45</f>
      </c>
      <c r="DN96" s="298">
        <f>+'Sales Model'!BV45</f>
      </c>
      <c r="DO96" s="50">
        <f>+'Sales Model'!BW45</f>
      </c>
      <c r="DP96" s="50">
        <f>+'Sales Model'!BX45</f>
      </c>
      <c r="DQ96" s="50">
        <f>+'Sales Model'!BY45</f>
      </c>
      <c r="DR96" s="50">
        <f>+'Sales Model'!BZ45</f>
      </c>
      <c r="DS96" s="298">
        <f>+'Sales Model'!CA45</f>
      </c>
      <c r="DT96" s="50">
        <f>+'Sales Model'!CB45</f>
      </c>
      <c r="DU96" s="50">
        <f>+'Sales Model'!CC45</f>
      </c>
      <c r="DV96" s="50">
        <f>+'Sales Model'!CD45</f>
      </c>
      <c r="DW96" s="50">
        <f>+'Sales Model'!CE45</f>
      </c>
      <c r="DX96" s="298">
        <f>+'Sales Model'!CF45</f>
      </c>
      <c r="DY96" s="50">
        <f>+'Sales Model'!CG45</f>
      </c>
      <c r="DZ96" s="50">
        <f>+'Sales Model'!CH45</f>
      </c>
      <c r="EA96" s="50">
        <f>+'Sales Model'!CI45</f>
      </c>
      <c r="EB96" s="50">
        <f>+'Sales Model'!CJ45</f>
      </c>
      <c r="EC96" s="298">
        <f>+'Sales Model'!CK45</f>
      </c>
      <c r="ED96" s="1047">
        <f>+'Sales Model'!CL45</f>
      </c>
      <c r="EE96" s="50">
        <f>+'Sales Model'!CM45</f>
      </c>
      <c r="EF96" s="50">
        <f>+'Sales Model'!CN45</f>
      </c>
      <c r="EG96" s="50">
        <f>+'Sales Model'!CO45</f>
      </c>
      <c r="EH96" s="298">
        <f>+'Sales Model'!CP45</f>
      </c>
      <c r="EI96" s="1047">
        <f>+'Sales Model'!CQ45</f>
      </c>
      <c r="EJ96" s="1047">
        <f>+'Sales Model'!CR45</f>
      </c>
      <c r="EK96" s="1047">
        <f>+'Sales Model'!CS45</f>
      </c>
      <c r="EL96" s="1047">
        <f>+'Sales Model'!CT45</f>
      </c>
      <c r="EM96" s="298">
        <f>+'Sales Model'!CU45</f>
      </c>
      <c r="EN96" s="1047">
        <f>+'Sales Model'!CV45</f>
      </c>
      <c r="EO96" s="1047">
        <f>+'Sales Model'!CW45</f>
      </c>
      <c r="EP96" s="1047">
        <f>+'Sales Model'!CX45</f>
      </c>
      <c r="EQ96" s="1047">
        <f>+'Sales Model'!CY45</f>
      </c>
      <c r="ER96" s="298">
        <f>+'Sales Model'!CZ45</f>
      </c>
      <c r="ES96" s="1047">
        <f>+'Sales Model'!DA45</f>
      </c>
      <c r="ET96" s="1047">
        <f>+'Sales Model'!DB45</f>
      </c>
      <c r="EU96" s="1047">
        <f>+'Sales Model'!DC45</f>
      </c>
      <c r="EV96" s="1047">
        <f>+'Sales Model'!DD45</f>
      </c>
      <c r="EW96" s="1717">
        <f>+'Sales Model'!DE45</f>
      </c>
      <c r="EX96" s="1718">
        <f>+'Sales Model'!DF45</f>
      </c>
      <c r="EY96" s="1718">
        <f>+'Sales Model'!DG45</f>
      </c>
      <c r="EZ96" s="1718">
        <f>+'Sales Model'!DH45</f>
      </c>
      <c r="FA96" s="1718">
        <f>+'Sales Model'!DI45</f>
      </c>
      <c r="FB96" s="1717">
        <f>+'Sales Model'!DJ45</f>
      </c>
      <c r="FC96" s="1718">
        <f>+'Sales Model'!DK45</f>
      </c>
      <c r="FD96" s="1718">
        <f>+'Sales Model'!DL45</f>
      </c>
      <c r="FE96" s="1718">
        <f>+'Sales Model'!DM45</f>
      </c>
      <c r="FF96" s="1718">
        <f>+'Sales Model'!DN45</f>
      </c>
      <c r="FG96" s="1717">
        <f>+'Sales Model'!DO45</f>
      </c>
      <c r="FH96" s="1718">
        <f>+'Sales Model'!DP45</f>
      </c>
      <c r="FI96" s="1718">
        <f>+'Sales Model'!DQ45</f>
      </c>
      <c r="FJ96" s="1718">
        <f>+'Sales Model'!DR45</f>
      </c>
      <c r="FK96" s="1718">
        <f>+'Sales Model'!DS45</f>
      </c>
      <c r="FL96" s="1717">
        <f>+'Sales Model'!DT45</f>
      </c>
      <c r="FM96" s="2903">
        <f>+'Sales Model'!DU45</f>
      </c>
      <c r="FN96" s="2903">
        <f>+'Sales Model'!DV45</f>
      </c>
      <c r="FO96" s="2849">
        <f t="shared" ref="FO96:FU97" si="248">+FH96</f>
      </c>
      <c r="FP96" s="1718">
        <f t="shared" si="248"/>
      </c>
      <c r="FQ96" s="1718">
        <f t="shared" si="248"/>
      </c>
      <c r="FR96" s="1718">
        <f t="shared" si="248"/>
      </c>
      <c r="FS96" s="1717">
        <f t="shared" si="248"/>
      </c>
      <c r="FT96" s="1718">
        <f t="shared" si="248"/>
      </c>
      <c r="FU96" s="1845">
        <f t="shared" si="248"/>
      </c>
      <c r="FV96" s="2903">
        <f>+'Sales Model'!DW45</f>
      </c>
      <c r="FW96" s="2903">
        <f>+'Sales Model'!DX45</f>
      </c>
      <c r="FX96" s="2904">
        <f>+'Sales Model'!DY45</f>
      </c>
      <c r="FY96" s="2903">
        <f>+'Sales Model'!DZ45</f>
      </c>
      <c r="FZ96" s="2903">
        <f>+'Sales Model'!EA45</f>
      </c>
      <c r="GA96" s="2903">
        <f>+'Sales Model'!EB45</f>
      </c>
      <c r="GB96" s="2903">
        <f>+'Sales Model'!EC45</f>
      </c>
      <c r="GC96" s="2904">
        <f>+'Sales Model'!ED45</f>
      </c>
      <c r="GD96" s="2903">
        <f>+'Sales Model'!EE45</f>
      </c>
      <c r="GE96" s="2903">
        <f>+'Sales Model'!EF45</f>
      </c>
      <c r="GF96" s="2903">
        <f>+'Sales Model'!EG45</f>
      </c>
      <c r="GG96" s="2903">
        <f>+'Sales Model'!EH45</f>
      </c>
      <c r="GH96" s="2904">
        <f>+'Sales Model'!EI45</f>
      </c>
      <c r="GI96" s="2904">
        <f>+'Sales Model'!EJ45</f>
      </c>
      <c r="GJ96" s="2904">
        <f>+'Sales Model'!EK45</f>
      </c>
      <c r="GK96" s="2904">
        <f>+'Sales Model'!EL45</f>
      </c>
      <c r="GL96" s="2904">
        <f>+'Sales Model'!EM45</f>
      </c>
      <c r="GM96" s="2904">
        <f>+'Sales Model'!EN45</f>
      </c>
    </row>
    <row r="97" spans="1:195" outlineLevel="1">
      <c r="A97" s="2409"/>
      <c r="B97" s="971" t="s">
        <v>417</v>
      </c>
      <c r="H97" s="7">
        <v>1695</v>
      </c>
      <c r="I97" s="7">
        <v>468</v>
      </c>
      <c r="J97" s="7">
        <v>445</v>
      </c>
      <c r="K97" s="7">
        <v>430</v>
      </c>
      <c r="L97" s="7">
        <f>M97-SUM(I97:K97)</f>
      </c>
      <c r="M97" s="7">
        <v>1812</v>
      </c>
      <c r="N97" s="7">
        <v>491</v>
      </c>
      <c r="O97" s="7">
        <v>511</v>
      </c>
      <c r="P97" s="7">
        <v>490</v>
      </c>
      <c r="Q97" s="7">
        <f>R97-N97-O97-P97</f>
      </c>
      <c r="R97" s="7">
        <v>1990</v>
      </c>
      <c r="S97" s="7">
        <v>502</v>
      </c>
      <c r="T97" s="7">
        <v>526</v>
      </c>
      <c r="U97" s="7">
        <v>482</v>
      </c>
      <c r="V97" s="7">
        <v>517</v>
      </c>
      <c r="W97" s="7">
        <f>S97+T97+U97+V97</f>
      </c>
      <c r="X97" s="7">
        <v>540</v>
      </c>
      <c r="Y97" s="7">
        <v>594</v>
      </c>
      <c r="Z97" s="7">
        <v>583</v>
      </c>
      <c r="AA97" s="7">
        <v>631</v>
      </c>
      <c r="AB97" s="7">
        <v>2348</v>
      </c>
      <c r="AC97" s="693">
        <v>737</v>
      </c>
      <c r="AD97" s="693">
        <v>787</v>
      </c>
      <c r="AE97" s="693">
        <v>763</v>
      </c>
      <c r="AF97" s="693">
        <v>815</v>
      </c>
      <c r="AG97" s="693">
        <v>3102</v>
      </c>
      <c r="AH97" s="693">
        <v>918</v>
      </c>
      <c r="AI97" s="693">
        <v>933</v>
      </c>
      <c r="AJ97" s="693">
        <v>876</v>
      </c>
      <c r="AK97" s="693">
        <v>963</v>
      </c>
      <c r="AL97" s="7">
        <f>SUM(AH97:AK97)</f>
      </c>
      <c r="AM97" s="693">
        <v>933</v>
      </c>
      <c r="AN97" s="693">
        <v>973</v>
      </c>
      <c r="AO97" s="693">
        <v>916</v>
      </c>
      <c r="AP97" s="693">
        <v>974</v>
      </c>
      <c r="AQ97" s="693">
        <v>3795</v>
      </c>
      <c r="AR97" s="693">
        <v>966</v>
      </c>
      <c r="AS97" s="693">
        <v>979</v>
      </c>
      <c r="AT97" s="693">
        <v>922</v>
      </c>
      <c r="AU97" s="693">
        <v>1171</v>
      </c>
      <c r="AV97" s="50">
        <f>+'Sales Model'!D46</f>
      </c>
      <c r="AW97" s="50">
        <f>+'Sales Model'!E46</f>
      </c>
      <c r="AX97" s="50">
        <f>+'Sales Model'!F46</f>
      </c>
      <c r="AY97" s="50">
        <f>+'Sales Model'!G46</f>
      </c>
      <c r="AZ97" s="50">
        <f>+'Sales Model'!H46</f>
      </c>
      <c r="BA97" s="298">
        <f>+'Sales Model'!I46</f>
      </c>
      <c r="BB97" s="50">
        <f>+'Sales Model'!J46</f>
      </c>
      <c r="BC97" s="50">
        <f>+'Sales Model'!K46</f>
      </c>
      <c r="BD97" s="50">
        <f>+'Sales Model'!L46</f>
      </c>
      <c r="BE97" s="50">
        <f>+'Sales Model'!M46</f>
      </c>
      <c r="BF97" s="298">
        <f>+'Sales Model'!N46</f>
      </c>
      <c r="BG97" s="50">
        <f>+'Sales Model'!O46</f>
      </c>
      <c r="BH97" s="50">
        <f>+'Sales Model'!P46</f>
      </c>
      <c r="BI97" s="50">
        <f>+'Sales Model'!Q46</f>
      </c>
      <c r="BJ97" s="50">
        <f>+'Sales Model'!R46</f>
      </c>
      <c r="BK97" s="298">
        <f>+'Sales Model'!S46</f>
      </c>
      <c r="BL97" s="50">
        <f>+'Sales Model'!T46</f>
      </c>
      <c r="BM97" s="50">
        <f>+'Sales Model'!U46</f>
      </c>
      <c r="BN97" s="50">
        <f>+'Sales Model'!V46</f>
      </c>
      <c r="BO97" s="50">
        <f>+'Sales Model'!W46</f>
      </c>
      <c r="BP97" s="298">
        <f>+'Sales Model'!X46</f>
      </c>
      <c r="BQ97" s="50">
        <f>+'Sales Model'!Y46</f>
      </c>
      <c r="BR97" s="50">
        <f>+'Sales Model'!Z46</f>
      </c>
      <c r="BS97" s="50">
        <f>+'Sales Model'!AA46</f>
      </c>
      <c r="BT97" s="50">
        <f>+'Sales Model'!AB46</f>
      </c>
      <c r="BU97" s="298">
        <f>+'Sales Model'!AC46</f>
      </c>
      <c r="BV97" s="50">
        <f>+'Sales Model'!AD46</f>
      </c>
      <c r="BW97" s="50">
        <f>+'Sales Model'!AE46</f>
      </c>
      <c r="BX97" s="50">
        <f>+'Sales Model'!AF46</f>
      </c>
      <c r="BY97" s="50">
        <f>+'Sales Model'!AG46</f>
      </c>
      <c r="BZ97" s="298">
        <f>+'Sales Model'!AH46</f>
      </c>
      <c r="CA97" s="50">
        <f>+'Sales Model'!AI46</f>
      </c>
      <c r="CB97" s="50">
        <f>+'Sales Model'!AJ46</f>
      </c>
      <c r="CC97" s="50">
        <f>+'Sales Model'!AK46</f>
      </c>
      <c r="CD97" s="50">
        <f>+'Sales Model'!AL46</f>
      </c>
      <c r="CE97" s="298">
        <f>+'Sales Model'!AM46</f>
      </c>
      <c r="CF97" s="50">
        <f>+'Sales Model'!AN46</f>
      </c>
      <c r="CG97" s="50">
        <f>+'Sales Model'!AO46</f>
      </c>
      <c r="CH97" s="50">
        <f>+'Sales Model'!AP46</f>
      </c>
      <c r="CI97" s="50">
        <f>+'Sales Model'!AQ46</f>
      </c>
      <c r="CJ97" s="298">
        <f>+'Sales Model'!AR46</f>
      </c>
      <c r="CK97" s="50">
        <f>+'Sales Model'!AS46</f>
      </c>
      <c r="CL97" s="50">
        <f>+'Sales Model'!AT46</f>
      </c>
      <c r="CM97" s="50">
        <f>+'Sales Model'!AU46</f>
      </c>
      <c r="CN97" s="50">
        <f>+'Sales Model'!AV46</f>
      </c>
      <c r="CO97" s="298">
        <f>+'Sales Model'!AW46</f>
      </c>
      <c r="CP97" s="50">
        <f>+'Sales Model'!AX46</f>
      </c>
      <c r="CQ97" s="50">
        <f>+'Sales Model'!AY46</f>
      </c>
      <c r="CR97" s="50">
        <f>+'Sales Model'!AZ46</f>
      </c>
      <c r="CS97" s="50">
        <f>+'Sales Model'!BA46</f>
      </c>
      <c r="CT97" s="298">
        <f>+'Sales Model'!BB46</f>
      </c>
      <c r="CU97" s="50">
        <f>+'Sales Model'!BC46</f>
      </c>
      <c r="CV97" s="50">
        <f>+'Sales Model'!BD46</f>
      </c>
      <c r="CW97" s="50">
        <f>+'Sales Model'!BE46</f>
      </c>
      <c r="CX97" s="50">
        <f>+'Sales Model'!BF46</f>
      </c>
      <c r="CY97" s="298">
        <f>+'Sales Model'!BG46</f>
      </c>
      <c r="CZ97" s="50">
        <f>+'Sales Model'!BH46</f>
      </c>
      <c r="DA97" s="50">
        <f>+'Sales Model'!BI46</f>
      </c>
      <c r="DB97" s="50">
        <f>+'Sales Model'!BJ46</f>
      </c>
      <c r="DC97" s="50">
        <f>+'Sales Model'!BK46</f>
      </c>
      <c r="DD97" s="298">
        <f>+'Sales Model'!BL46</f>
      </c>
      <c r="DE97" s="50">
        <f>+'Sales Model'!BM46</f>
      </c>
      <c r="DF97" s="50">
        <f>+'Sales Model'!BN46</f>
      </c>
      <c r="DG97" s="50">
        <f>+'Sales Model'!BO46</f>
      </c>
      <c r="DH97" s="50">
        <f>+'Sales Model'!BP46</f>
      </c>
      <c r="DI97" s="298">
        <f>+'Sales Model'!BQ46</f>
      </c>
      <c r="DJ97" s="50">
        <f>+'Sales Model'!BR46</f>
      </c>
      <c r="DK97" s="50">
        <f>+'Sales Model'!BS46</f>
      </c>
      <c r="DL97" s="50">
        <f>+'Sales Model'!BT46</f>
      </c>
      <c r="DM97" s="50">
        <f>+'Sales Model'!BU46</f>
      </c>
      <c r="DN97" s="298">
        <f>+'Sales Model'!BV46</f>
      </c>
      <c r="DO97" s="50">
        <f>+'Sales Model'!BW46</f>
      </c>
      <c r="DP97" s="50">
        <f>+'Sales Model'!BX46</f>
      </c>
      <c r="DQ97" s="50">
        <f>+'Sales Model'!BY46</f>
      </c>
      <c r="DR97" s="50">
        <f>+'Sales Model'!BZ46</f>
      </c>
      <c r="DS97" s="298">
        <f>+'Sales Model'!CA46</f>
      </c>
      <c r="DT97" s="50">
        <f>+'Sales Model'!CB46</f>
      </c>
      <c r="DU97" s="50">
        <f>+'Sales Model'!CC46</f>
      </c>
      <c r="DV97" s="50">
        <f>+'Sales Model'!CD46</f>
      </c>
      <c r="DW97" s="50">
        <f>+'Sales Model'!CE46</f>
      </c>
      <c r="DX97" s="298">
        <f>+'Sales Model'!CF46</f>
      </c>
      <c r="DY97" s="50">
        <f>+'Sales Model'!CG46</f>
      </c>
      <c r="DZ97" s="50">
        <f>+'Sales Model'!CH46</f>
      </c>
      <c r="EA97" s="50">
        <f>+'Sales Model'!CI46</f>
      </c>
      <c r="EB97" s="50">
        <f>+'Sales Model'!CJ46</f>
      </c>
      <c r="EC97" s="298">
        <f>+'Sales Model'!CK46</f>
      </c>
      <c r="ED97" s="1047">
        <f>+'Sales Model'!CL46</f>
      </c>
      <c r="EE97" s="50">
        <f>+'Sales Model'!CM46</f>
      </c>
      <c r="EF97" s="50">
        <f>+'Sales Model'!CN46</f>
      </c>
      <c r="EG97" s="50">
        <f>+'Sales Model'!CO46</f>
      </c>
      <c r="EH97" s="298">
        <f>+'Sales Model'!CP46</f>
      </c>
      <c r="EI97" s="1047">
        <f>+'Sales Model'!CQ46</f>
      </c>
      <c r="EJ97" s="1047">
        <f>+'Sales Model'!CR46</f>
      </c>
      <c r="EK97" s="1047">
        <f>+'Sales Model'!CS46</f>
      </c>
      <c r="EL97" s="1047">
        <f>+'Sales Model'!CT46</f>
      </c>
      <c r="EM97" s="298">
        <f>+'Sales Model'!CU46</f>
      </c>
      <c r="EN97" s="1047">
        <f>+'Sales Model'!CV46</f>
      </c>
      <c r="EO97" s="1047">
        <f>+'Sales Model'!CW46</f>
      </c>
      <c r="EP97" s="1047">
        <f>+'Sales Model'!CX46</f>
      </c>
      <c r="EQ97" s="1047">
        <f>+'Sales Model'!CY46</f>
      </c>
      <c r="ER97" s="298">
        <f>+'Sales Model'!CZ46</f>
      </c>
      <c r="ES97" s="1047">
        <f>+'Sales Model'!DA46</f>
      </c>
      <c r="ET97" s="1047">
        <f>+'Sales Model'!DB46</f>
      </c>
      <c r="EU97" s="1047">
        <f>+'Sales Model'!DC46</f>
      </c>
      <c r="EV97" s="1047">
        <f>+'Sales Model'!DD46</f>
      </c>
      <c r="EW97" s="1717">
        <f>+'Sales Model'!DE46</f>
      </c>
      <c r="EX97" s="1718">
        <f>+'Sales Model'!DF46</f>
      </c>
      <c r="EY97" s="1718">
        <f>+'Sales Model'!DG46</f>
      </c>
      <c r="EZ97" s="1718">
        <f>+'Sales Model'!DH46</f>
      </c>
      <c r="FA97" s="1718">
        <f>+'Sales Model'!DI46</f>
      </c>
      <c r="FB97" s="1717">
        <f>+'Sales Model'!DJ46</f>
      </c>
      <c r="FC97" s="1718">
        <f>+'Sales Model'!DK46</f>
      </c>
      <c r="FD97" s="1718">
        <f>+'Sales Model'!DL46</f>
      </c>
      <c r="FE97" s="1718">
        <f>+'Sales Model'!DM46</f>
      </c>
      <c r="FF97" s="1718">
        <f>+'Sales Model'!DN46</f>
      </c>
      <c r="FG97" s="1717">
        <f>+'Sales Model'!DO46</f>
      </c>
      <c r="FH97" s="1718">
        <f>+'Sales Model'!DP46</f>
      </c>
      <c r="FI97" s="1718">
        <f>+'Sales Model'!DQ46</f>
      </c>
      <c r="FJ97" s="1718">
        <f>+'Sales Model'!DR46</f>
      </c>
      <c r="FK97" s="1718">
        <f>+'Sales Model'!DS46</f>
      </c>
      <c r="FL97" s="1717">
        <f>+'Sales Model'!DT46</f>
      </c>
      <c r="FM97" s="2903">
        <f>+'Sales Model'!DU46</f>
      </c>
      <c r="FN97" s="2903">
        <f>+'Sales Model'!DV46</f>
      </c>
      <c r="FO97" s="2849">
        <f t="shared" si="248"/>
      </c>
      <c r="FP97" s="1718">
        <f t="shared" si="248"/>
      </c>
      <c r="FQ97" s="1718">
        <f t="shared" si="248"/>
      </c>
      <c r="FR97" s="1718">
        <f t="shared" si="248"/>
      </c>
      <c r="FS97" s="1717">
        <f t="shared" si="248"/>
      </c>
      <c r="FT97" s="1718">
        <f t="shared" si="248"/>
      </c>
      <c r="FU97" s="1845">
        <f t="shared" si="248"/>
      </c>
      <c r="FV97" s="2903">
        <f>+'Sales Model'!DW46</f>
      </c>
      <c r="FW97" s="2903">
        <f>+'Sales Model'!DX46</f>
      </c>
      <c r="FX97" s="2904">
        <f>+'Sales Model'!DY46</f>
      </c>
      <c r="FY97" s="2903">
        <f>+'Sales Model'!DZ46</f>
      </c>
      <c r="FZ97" s="2903">
        <f>+'Sales Model'!EA46</f>
      </c>
      <c r="GA97" s="2903">
        <f>+'Sales Model'!EB46</f>
      </c>
      <c r="GB97" s="2903">
        <f>+'Sales Model'!EC46</f>
      </c>
      <c r="GC97" s="2904">
        <f>+'Sales Model'!ED46</f>
      </c>
      <c r="GD97" s="2903">
        <f>+'Sales Model'!EE46</f>
      </c>
      <c r="GE97" s="2903">
        <f>+'Sales Model'!EF46</f>
      </c>
      <c r="GF97" s="2903">
        <f>+'Sales Model'!EG46</f>
      </c>
      <c r="GG97" s="2903">
        <f>+'Sales Model'!EH46</f>
      </c>
      <c r="GH97" s="2904">
        <f>+'Sales Model'!EI46</f>
      </c>
      <c r="GI97" s="2904">
        <f>+'Sales Model'!EJ46</f>
      </c>
      <c r="GJ97" s="2904">
        <f>+'Sales Model'!EK46</f>
      </c>
      <c r="GK97" s="2904">
        <f>+'Sales Model'!EL46</f>
      </c>
      <c r="GL97" s="2904">
        <f>+'Sales Model'!EM46</f>
      </c>
      <c r="GM97" s="2904">
        <f>+'Sales Model'!EN46</f>
      </c>
    </row>
    <row r="98" spans="1:195" s="3" customFormat="1" outlineLevel="1">
      <c r="A98" s="3319"/>
      <c r="B98" s="596" t="s">
        <v>183</v>
      </c>
      <c r="C98" s="632"/>
      <c r="D98" s="632"/>
      <c r="E98" s="632"/>
      <c r="F98" s="632"/>
      <c r="G98" s="632"/>
      <c r="H98" s="633">
        <f t="shared" ref="H98:U98" si="249">SUM(H96:H97)</f>
      </c>
      <c r="I98" s="633">
        <f t="shared" si="249"/>
      </c>
      <c r="J98" s="633">
        <f t="shared" si="249"/>
      </c>
      <c r="K98" s="633">
        <f t="shared" si="249"/>
      </c>
      <c r="L98" s="633">
        <f t="shared" si="249"/>
      </c>
      <c r="M98" s="633">
        <f t="shared" si="249"/>
      </c>
      <c r="N98" s="633">
        <f t="shared" si="249"/>
      </c>
      <c r="O98" s="633">
        <f t="shared" si="249"/>
      </c>
      <c r="P98" s="633">
        <f t="shared" si="249"/>
      </c>
      <c r="Q98" s="633">
        <f t="shared" si="249"/>
      </c>
      <c r="R98" s="633">
        <f t="shared" si="249"/>
      </c>
      <c r="S98" s="634">
        <f t="shared" si="249"/>
      </c>
      <c r="T98" s="635">
        <f t="shared" si="249"/>
      </c>
      <c r="U98" s="635">
        <f t="shared" si="249"/>
      </c>
      <c r="V98" s="635">
        <v>204</v>
      </c>
      <c r="W98" s="633">
        <f t="shared" ref="W98:BB98" si="250">SUM(W96:W97)</f>
      </c>
      <c r="X98" s="634">
        <f t="shared" si="250"/>
      </c>
      <c r="Y98" s="633">
        <f t="shared" si="250"/>
      </c>
      <c r="Z98" s="633">
        <f t="shared" si="250"/>
      </c>
      <c r="AA98" s="633">
        <f t="shared" si="250"/>
      </c>
      <c r="AB98" s="633">
        <f t="shared" si="250"/>
      </c>
      <c r="AC98" s="633">
        <f t="shared" si="250"/>
      </c>
      <c r="AD98" s="633">
        <f t="shared" si="250"/>
      </c>
      <c r="AE98" s="633">
        <f t="shared" si="250"/>
      </c>
      <c r="AF98" s="633">
        <f t="shared" si="250"/>
      </c>
      <c r="AG98" s="633">
        <f t="shared" si="250"/>
      </c>
      <c r="AH98" s="633">
        <f t="shared" si="250"/>
      </c>
      <c r="AI98" s="633">
        <f t="shared" si="250"/>
      </c>
      <c r="AJ98" s="633">
        <f t="shared" si="250"/>
      </c>
      <c r="AK98" s="633">
        <f t="shared" si="250"/>
      </c>
      <c r="AL98" s="633">
        <f t="shared" si="250"/>
      </c>
      <c r="AM98" s="633">
        <f t="shared" si="250"/>
      </c>
      <c r="AN98" s="633">
        <f t="shared" si="250"/>
      </c>
      <c r="AO98" s="633">
        <f t="shared" si="250"/>
      </c>
      <c r="AP98" s="633">
        <f t="shared" si="250"/>
      </c>
      <c r="AQ98" s="633">
        <f t="shared" si="250"/>
      </c>
      <c r="AR98" s="633">
        <f t="shared" si="250"/>
      </c>
      <c r="AS98" s="633">
        <f t="shared" si="250"/>
      </c>
      <c r="AT98" s="633">
        <f t="shared" si="250"/>
      </c>
      <c r="AU98" s="633">
        <f t="shared" si="250"/>
      </c>
      <c r="AV98" s="636">
        <f t="shared" si="250"/>
      </c>
      <c r="AW98" s="636">
        <f t="shared" si="250"/>
      </c>
      <c r="AX98" s="636">
        <f t="shared" si="250"/>
      </c>
      <c r="AY98" s="636">
        <f t="shared" si="250"/>
      </c>
      <c r="AZ98" s="636">
        <f t="shared" si="250"/>
      </c>
      <c r="BA98" s="300">
        <f t="shared" si="250"/>
      </c>
      <c r="BB98" s="636">
        <f t="shared" si="250"/>
      </c>
      <c r="BC98" s="636">
        <f t="shared" ref="BC98:CH98" si="251">SUM(BC96:BC97)</f>
      </c>
      <c r="BD98" s="636">
        <f t="shared" si="251"/>
      </c>
      <c r="BE98" s="636">
        <f t="shared" si="251"/>
      </c>
      <c r="BF98" s="300">
        <f t="shared" si="251"/>
      </c>
      <c r="BG98" s="636">
        <f t="shared" si="251"/>
      </c>
      <c r="BH98" s="636">
        <f t="shared" si="251"/>
      </c>
      <c r="BI98" s="636">
        <f t="shared" si="251"/>
      </c>
      <c r="BJ98" s="636">
        <f t="shared" si="251"/>
      </c>
      <c r="BK98" s="300">
        <f t="shared" si="251"/>
      </c>
      <c r="BL98" s="636">
        <f t="shared" si="251"/>
      </c>
      <c r="BM98" s="636">
        <f t="shared" si="251"/>
      </c>
      <c r="BN98" s="637">
        <f t="shared" si="251"/>
      </c>
      <c r="BO98" s="636">
        <f t="shared" si="251"/>
      </c>
      <c r="BP98" s="300">
        <f t="shared" si="251"/>
      </c>
      <c r="BQ98" s="636">
        <f t="shared" si="251"/>
      </c>
      <c r="BR98" s="636">
        <f t="shared" si="251"/>
      </c>
      <c r="BS98" s="636">
        <f t="shared" si="251"/>
      </c>
      <c r="BT98" s="636">
        <f t="shared" si="251"/>
      </c>
      <c r="BU98" s="300">
        <f t="shared" si="251"/>
      </c>
      <c r="BV98" s="636">
        <f t="shared" si="251"/>
      </c>
      <c r="BW98" s="636">
        <f t="shared" si="251"/>
      </c>
      <c r="BX98" s="636">
        <f t="shared" si="251"/>
      </c>
      <c r="BY98" s="636">
        <f t="shared" si="251"/>
      </c>
      <c r="BZ98" s="300">
        <f t="shared" si="251"/>
      </c>
      <c r="CA98" s="636">
        <f t="shared" si="251"/>
      </c>
      <c r="CB98" s="636">
        <f t="shared" si="251"/>
      </c>
      <c r="CC98" s="636">
        <f t="shared" si="251"/>
      </c>
      <c r="CD98" s="636">
        <f t="shared" si="251"/>
      </c>
      <c r="CE98" s="300">
        <f t="shared" si="251"/>
      </c>
      <c r="CF98" s="636">
        <f t="shared" si="251"/>
      </c>
      <c r="CG98" s="636">
        <f t="shared" si="251"/>
      </c>
      <c r="CH98" s="636">
        <f t="shared" si="251"/>
      </c>
      <c r="CI98" s="636">
        <f t="shared" ref="CI98:DN98" si="252">SUM(CI96:CI97)</f>
      </c>
      <c r="CJ98" s="300">
        <f t="shared" si="252"/>
      </c>
      <c r="CK98" s="636">
        <f t="shared" si="252"/>
      </c>
      <c r="CL98" s="636">
        <f t="shared" si="252"/>
      </c>
      <c r="CM98" s="636">
        <f t="shared" si="252"/>
      </c>
      <c r="CN98" s="636">
        <f t="shared" si="252"/>
      </c>
      <c r="CO98" s="300">
        <f t="shared" si="252"/>
      </c>
      <c r="CP98" s="636">
        <f t="shared" si="252"/>
      </c>
      <c r="CQ98" s="636">
        <f t="shared" si="252"/>
      </c>
      <c r="CR98" s="636">
        <f t="shared" si="252"/>
      </c>
      <c r="CS98" s="636">
        <f t="shared" si="252"/>
      </c>
      <c r="CT98" s="300">
        <f t="shared" si="252"/>
      </c>
      <c r="CU98" s="636">
        <f t="shared" si="252"/>
      </c>
      <c r="CV98" s="636">
        <f t="shared" si="252"/>
      </c>
      <c r="CW98" s="636">
        <f t="shared" si="252"/>
      </c>
      <c r="CX98" s="636">
        <f t="shared" si="252"/>
      </c>
      <c r="CY98" s="300">
        <f t="shared" si="252"/>
      </c>
      <c r="CZ98" s="636">
        <f t="shared" si="252"/>
      </c>
      <c r="DA98" s="636">
        <f t="shared" si="252"/>
      </c>
      <c r="DB98" s="636">
        <f t="shared" si="252"/>
      </c>
      <c r="DC98" s="636">
        <f t="shared" si="252"/>
      </c>
      <c r="DD98" s="300">
        <f t="shared" si="252"/>
      </c>
      <c r="DE98" s="636">
        <f t="shared" si="252"/>
      </c>
      <c r="DF98" s="636">
        <f t="shared" si="252"/>
      </c>
      <c r="DG98" s="636">
        <f t="shared" si="252"/>
      </c>
      <c r="DH98" s="636">
        <f t="shared" si="252"/>
      </c>
      <c r="DI98" s="300">
        <f t="shared" si="252"/>
      </c>
      <c r="DJ98" s="636">
        <f t="shared" si="252"/>
      </c>
      <c r="DK98" s="636">
        <f t="shared" si="252"/>
      </c>
      <c r="DL98" s="636">
        <f t="shared" si="252"/>
      </c>
      <c r="DM98" s="636">
        <f t="shared" si="252"/>
      </c>
      <c r="DN98" s="300">
        <f t="shared" si="252"/>
      </c>
      <c r="DO98" s="636">
        <f t="shared" ref="DO98:ET98" si="253">SUM(DO96:DO97)</f>
      </c>
      <c r="DP98" s="636">
        <f t="shared" si="253"/>
      </c>
      <c r="DQ98" s="636">
        <f t="shared" si="253"/>
      </c>
      <c r="DR98" s="636">
        <f t="shared" si="253"/>
      </c>
      <c r="DS98" s="300">
        <f t="shared" si="253"/>
      </c>
      <c r="DT98" s="636">
        <f t="shared" si="253"/>
      </c>
      <c r="DU98" s="636">
        <f t="shared" si="253"/>
      </c>
      <c r="DV98" s="636">
        <f t="shared" si="253"/>
      </c>
      <c r="DW98" s="636">
        <f t="shared" si="253"/>
      </c>
      <c r="DX98" s="300">
        <f t="shared" si="253"/>
      </c>
      <c r="DY98" s="636">
        <f t="shared" si="253"/>
      </c>
      <c r="DZ98" s="636">
        <f t="shared" si="253"/>
      </c>
      <c r="EA98" s="636">
        <f t="shared" si="253"/>
      </c>
      <c r="EB98" s="636">
        <f t="shared" si="253"/>
      </c>
      <c r="EC98" s="300">
        <f t="shared" si="253"/>
      </c>
      <c r="ED98" s="636">
        <f t="shared" si="253"/>
      </c>
      <c r="EE98" s="636">
        <f t="shared" si="253"/>
      </c>
      <c r="EF98" s="636">
        <f t="shared" si="253"/>
      </c>
      <c r="EG98" s="636">
        <f t="shared" si="253"/>
      </c>
      <c r="EH98" s="300">
        <f t="shared" si="253"/>
      </c>
      <c r="EI98" s="636">
        <f t="shared" si="253"/>
      </c>
      <c r="EJ98" s="636">
        <f t="shared" si="253"/>
      </c>
      <c r="EK98" s="636">
        <f t="shared" si="253"/>
      </c>
      <c r="EL98" s="636">
        <f t="shared" si="253"/>
      </c>
      <c r="EM98" s="300">
        <f t="shared" si="253"/>
      </c>
      <c r="EN98" s="636">
        <f t="shared" si="253"/>
      </c>
      <c r="EO98" s="636">
        <f t="shared" si="253"/>
      </c>
      <c r="EP98" s="636">
        <f t="shared" si="253"/>
      </c>
      <c r="EQ98" s="636">
        <f t="shared" si="253"/>
      </c>
      <c r="ER98" s="300">
        <f t="shared" si="253"/>
      </c>
      <c r="ES98" s="636">
        <f t="shared" si="253"/>
      </c>
      <c r="ET98" s="636">
        <f t="shared" si="253"/>
      </c>
      <c r="EU98" s="636">
        <f t="shared" ref="EU98:GH98" si="254">SUM(EU96:EU97)</f>
      </c>
      <c r="EV98" s="636">
        <f t="shared" si="254"/>
      </c>
      <c r="EW98" s="1721">
        <f t="shared" si="254"/>
      </c>
      <c r="EX98" s="1722">
        <f t="shared" si="254"/>
      </c>
      <c r="EY98" s="1722">
        <f t="shared" si="254"/>
      </c>
      <c r="EZ98" s="1722">
        <f t="shared" si="254"/>
      </c>
      <c r="FA98" s="1722">
        <f t="shared" si="254"/>
      </c>
      <c r="FB98" s="1721">
        <f t="shared" si="254"/>
      </c>
      <c r="FC98" s="1722">
        <f t="shared" si="254"/>
      </c>
      <c r="FD98" s="1722">
        <f t="shared" si="254"/>
      </c>
      <c r="FE98" s="1722">
        <f t="shared" si="254"/>
      </c>
      <c r="FF98" s="1722">
        <f t="shared" si="254"/>
      </c>
      <c r="FG98" s="1721">
        <f t="shared" si="254"/>
      </c>
      <c r="FH98" s="1722">
        <f t="shared" si="254"/>
      </c>
      <c r="FI98" s="1722">
        <f t="shared" si="254"/>
      </c>
      <c r="FJ98" s="1722">
        <f t="shared" si="254"/>
      </c>
      <c r="FK98" s="1722">
        <f t="shared" si="254"/>
      </c>
      <c r="FL98" s="1721">
        <f t="shared" si="254"/>
      </c>
      <c r="FM98" s="2638">
        <f t="shared" si="254"/>
      </c>
      <c r="FN98" s="2638">
        <f t="shared" ref="FN98:FT98" si="255">SUM(FN96:FN97)</f>
      </c>
      <c r="FO98" s="2852">
        <f t="shared" si="255"/>
      </c>
      <c r="FP98" s="2638">
        <f t="shared" si="255"/>
      </c>
      <c r="FQ98" s="2638">
        <f t="shared" si="255"/>
      </c>
      <c r="FR98" s="2638">
        <f t="shared" si="255"/>
      </c>
      <c r="FS98" s="2853">
        <f t="shared" si="255"/>
      </c>
      <c r="FT98" s="2638">
        <f t="shared" si="255"/>
      </c>
      <c r="FU98" s="2854">
        <f>SUM(FU96:FU97)</f>
      </c>
      <c r="FV98" s="2638">
        <f t="shared" si="254"/>
      </c>
      <c r="FW98" s="2638">
        <f t="shared" si="254"/>
      </c>
      <c r="FX98" s="1721">
        <f t="shared" si="254"/>
      </c>
      <c r="FY98" s="2638">
        <f t="shared" ref="FY98:FZ98" si="256">SUM(FY96:FY97)</f>
      </c>
      <c r="FZ98" s="2638">
        <f t="shared" si="256"/>
      </c>
      <c r="GA98" s="2638">
        <f t="shared" ref="GA98" si="257">SUM(GA96:GA97)</f>
      </c>
      <c r="GB98" s="2638">
        <f>SUM(GB96:GB97)</f>
      </c>
      <c r="GC98" s="1721">
        <f t="shared" si="254"/>
      </c>
      <c r="GD98" s="2638">
        <f t="shared" si="254"/>
      </c>
      <c r="GE98" s="2638">
        <f t="shared" si="254"/>
      </c>
      <c r="GF98" s="2638">
        <f t="shared" si="254"/>
      </c>
      <c r="GG98" s="2638">
        <f>SUM(GG96:GG97)</f>
      </c>
      <c r="GH98" s="1721">
        <f t="shared" si="254"/>
      </c>
      <c r="GI98" s="1721">
        <f>SUM(GI96:GI97)</f>
      </c>
      <c r="GJ98" s="1721">
        <f>SUM(GJ96:GJ97)</f>
      </c>
      <c r="GK98" s="1721">
        <f>SUM(GK96:GK97)</f>
      </c>
      <c r="GL98" s="1721">
        <f>SUM(GL96:GL97)</f>
      </c>
      <c r="GM98" s="1721">
        <f>SUM(GM96:GM97)</f>
      </c>
    </row>
    <row r="99" spans="1:195" ht="15" customHeight="1" outlineLevel="1">
      <c r="H99" s="9"/>
      <c r="M99" s="9"/>
      <c r="Q99" s="6"/>
      <c r="R99" s="9"/>
      <c r="W99" s="9"/>
      <c r="AB99" s="9"/>
      <c r="AG99" s="9"/>
      <c r="AL99" s="9"/>
      <c r="AQ99" s="9"/>
      <c r="AV99" s="9"/>
      <c r="AW99" s="12"/>
      <c r="AX99" s="12"/>
      <c r="AY99" s="12"/>
      <c r="BA99" s="50"/>
      <c r="BF99" s="50"/>
      <c r="BK99" s="50"/>
      <c r="BP99" s="50"/>
      <c r="BU99" s="50"/>
      <c r="BZ99" s="50"/>
      <c r="CE99" s="50"/>
      <c r="CJ99" s="50"/>
      <c r="CO99" s="50"/>
      <c r="CT99" s="22"/>
      <c r="CV99" s="22"/>
      <c r="CW99" s="622"/>
      <c r="CX99" s="22"/>
      <c r="CY99" s="22"/>
      <c r="CZ99" s="22"/>
      <c r="DA99" s="22"/>
      <c r="DB99" s="22"/>
      <c r="DC99" s="22"/>
      <c r="DD99" s="22"/>
      <c r="DE99" s="8"/>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943"/>
      <c r="EE99" s="22"/>
      <c r="EF99" s="22"/>
      <c r="EG99" s="22"/>
      <c r="EH99" s="22"/>
      <c r="EI99" s="943"/>
      <c r="EJ99" s="943"/>
      <c r="EK99" s="943"/>
      <c r="EL99" s="943"/>
      <c r="EM99" s="22"/>
      <c r="EN99" s="943"/>
      <c r="EO99" s="943"/>
      <c r="EP99" s="943"/>
      <c r="EQ99" s="943"/>
      <c r="ER99" s="22"/>
      <c r="ES99" s="22"/>
      <c r="ET99" s="22"/>
      <c r="EU99" s="22"/>
      <c r="EV99" s="22"/>
      <c r="EW99" s="41"/>
      <c r="EX99" s="41"/>
      <c r="EY99" s="41"/>
      <c r="EZ99" s="41"/>
      <c r="FA99" s="41"/>
      <c r="FB99" s="41"/>
      <c r="FC99" s="41"/>
      <c r="FD99" s="41"/>
      <c r="FE99" s="41"/>
      <c r="FF99" s="41"/>
      <c r="FG99" s="41"/>
      <c r="FH99" s="41"/>
      <c r="FI99" s="41"/>
      <c r="FJ99" s="41"/>
      <c r="FK99" s="41"/>
      <c r="FL99" s="41"/>
      <c r="FM99" s="925"/>
      <c r="FN99" s="2886"/>
      <c r="FO99" s="2887"/>
      <c r="FP99" s="2887"/>
      <c r="FQ99" s="2887"/>
      <c r="FR99" s="2887"/>
      <c r="FS99" s="2887"/>
      <c r="FT99" s="2886"/>
      <c r="FU99" s="2886"/>
      <c r="FV99" s="2886"/>
      <c r="FW99" s="2886"/>
      <c r="FX99" s="2887"/>
      <c r="FY99" s="2886"/>
      <c r="FZ99" s="2886"/>
      <c r="GA99" s="2886"/>
      <c r="GB99" s="925"/>
      <c r="GC99" s="41"/>
      <c r="GD99" s="2886"/>
      <c r="GE99" s="2886"/>
      <c r="GF99" s="2886"/>
      <c r="GG99" s="925"/>
      <c r="GH99" s="41"/>
      <c r="GI99" s="41"/>
      <c r="GJ99" s="41"/>
      <c r="GK99" s="41"/>
      <c r="GL99" s="41"/>
      <c r="GM99" s="41"/>
    </row>
    <row r="100" spans="1:195" outlineLevel="1">
      <c r="A100" s="2409"/>
      <c r="B100" s="347" t="s">
        <v>424</v>
      </c>
      <c r="C100" s="591"/>
      <c r="D100" s="591"/>
      <c r="E100" s="591"/>
      <c r="F100" s="591"/>
      <c r="G100" s="591"/>
      <c r="H100" s="747"/>
      <c r="I100" s="591"/>
      <c r="J100" s="591"/>
      <c r="K100" s="591"/>
      <c r="L100" s="591"/>
      <c r="M100" s="747"/>
      <c r="N100" s="591"/>
      <c r="O100" s="591"/>
      <c r="P100" s="591"/>
      <c r="Q100" s="748"/>
      <c r="R100" s="747"/>
      <c r="S100" s="591"/>
      <c r="T100" s="591"/>
      <c r="U100" s="591"/>
      <c r="V100" s="591"/>
      <c r="W100" s="747"/>
      <c r="X100" s="591"/>
      <c r="Y100" s="591"/>
      <c r="Z100" s="591"/>
      <c r="AA100" s="591"/>
      <c r="AB100" s="747"/>
      <c r="AC100" s="591"/>
      <c r="AD100" s="591"/>
      <c r="AE100" s="591"/>
      <c r="AF100" s="591"/>
      <c r="AG100" s="747"/>
      <c r="AH100" s="591"/>
      <c r="AI100" s="591"/>
      <c r="AJ100" s="591"/>
      <c r="AK100" s="591"/>
      <c r="AL100" s="747"/>
      <c r="AM100" s="591"/>
      <c r="AN100" s="591"/>
      <c r="AO100" s="591"/>
      <c r="AP100" s="591"/>
      <c r="AQ100" s="747"/>
      <c r="AR100" s="591"/>
      <c r="AS100" s="591"/>
      <c r="AT100" s="591"/>
      <c r="AU100" s="591"/>
      <c r="AV100" s="747"/>
      <c r="AW100" s="591"/>
      <c r="AX100" s="591"/>
      <c r="AY100" s="591"/>
      <c r="AZ100" s="591"/>
      <c r="BA100" s="592"/>
      <c r="BB100" s="591"/>
      <c r="BC100" s="591"/>
      <c r="BD100" s="591"/>
      <c r="BE100" s="591"/>
      <c r="BF100" s="592"/>
      <c r="BG100" s="591"/>
      <c r="BH100" s="591"/>
      <c r="BI100" s="591"/>
      <c r="BJ100" s="591"/>
      <c r="BK100" s="592"/>
      <c r="BL100" s="591"/>
      <c r="BM100" s="591"/>
      <c r="BN100" s="591"/>
      <c r="BO100" s="591"/>
      <c r="BP100" s="592"/>
      <c r="BQ100" s="591"/>
      <c r="BR100" s="591"/>
      <c r="BS100" s="591"/>
      <c r="BT100" s="591"/>
      <c r="BU100" s="592"/>
      <c r="BV100" s="591"/>
      <c r="BW100" s="591"/>
      <c r="BX100" s="591"/>
      <c r="BY100" s="591"/>
      <c r="BZ100" s="592"/>
      <c r="CA100" s="591"/>
      <c r="CB100" s="591"/>
      <c r="CC100" s="591"/>
      <c r="CD100" s="591"/>
      <c r="CE100" s="592"/>
      <c r="CF100" s="591"/>
      <c r="CG100" s="591"/>
      <c r="CH100" s="591"/>
      <c r="CI100" s="591"/>
      <c r="CJ100" s="592"/>
      <c r="CK100" s="591"/>
      <c r="CL100" s="591"/>
      <c r="CM100" s="591"/>
      <c r="CN100" s="591"/>
      <c r="CO100" s="592"/>
      <c r="CP100" s="591"/>
      <c r="CQ100" s="591"/>
      <c r="CR100" s="591"/>
      <c r="CS100" s="591"/>
      <c r="CT100" s="592"/>
      <c r="CU100" s="591"/>
      <c r="CV100" s="591"/>
      <c r="CW100" s="591"/>
      <c r="CX100" s="591"/>
      <c r="CY100" s="592"/>
      <c r="CZ100" s="749"/>
      <c r="DA100" s="749"/>
      <c r="DB100" s="749"/>
      <c r="DC100" s="749"/>
      <c r="DD100" s="592"/>
      <c r="DE100" s="749"/>
      <c r="DF100" s="749"/>
      <c r="DG100" s="749"/>
      <c r="DH100" s="749"/>
      <c r="DI100" s="592"/>
      <c r="DJ100" s="749"/>
      <c r="DK100" s="749"/>
      <c r="DL100" s="749"/>
      <c r="DM100" s="749"/>
      <c r="DN100" s="592"/>
      <c r="DO100" s="749"/>
      <c r="DP100" s="749"/>
      <c r="DQ100" s="749"/>
      <c r="DR100" s="749"/>
      <c r="DS100" s="592"/>
      <c r="DT100" s="749"/>
      <c r="DU100" s="749"/>
      <c r="DV100" s="749"/>
      <c r="DW100" s="749"/>
      <c r="DX100" s="592"/>
      <c r="DY100" s="749"/>
      <c r="DZ100" s="749"/>
      <c r="EA100" s="749"/>
      <c r="EB100" s="749"/>
      <c r="EC100" s="592"/>
      <c r="ED100" s="749"/>
      <c r="EE100" s="749"/>
      <c r="EF100" s="749"/>
      <c r="EG100" s="749"/>
      <c r="EH100" s="592"/>
      <c r="EI100" s="749"/>
      <c r="EJ100" s="749"/>
      <c r="EK100" s="749"/>
      <c r="EL100" s="749"/>
      <c r="EM100" s="592"/>
      <c r="EN100" s="749"/>
      <c r="EO100" s="749"/>
      <c r="EP100" s="749"/>
      <c r="EQ100" s="749"/>
      <c r="ER100" s="592"/>
      <c r="ES100" s="1383"/>
      <c r="ET100" s="1385"/>
      <c r="EU100" s="1385"/>
      <c r="EV100" s="1381"/>
      <c r="EW100" s="1713"/>
      <c r="EX100" s="1575"/>
      <c r="EY100" s="1575"/>
      <c r="EZ100" s="1575"/>
      <c r="FA100" s="1714"/>
      <c r="FB100" s="1713"/>
      <c r="FC100" s="1575"/>
      <c r="FD100" s="1575"/>
      <c r="FE100" s="1575"/>
      <c r="FF100" s="1714"/>
      <c r="FG100" s="1713"/>
      <c r="FH100" s="1575"/>
      <c r="FI100" s="1575"/>
      <c r="FJ100" s="1575"/>
      <c r="FK100" s="1714"/>
      <c r="FL100" s="1713"/>
      <c r="FM100" s="1715"/>
      <c r="FN100" s="2792"/>
      <c r="FO100" s="2848"/>
      <c r="FP100" s="2792"/>
      <c r="FQ100" s="2792"/>
      <c r="FR100" s="1714"/>
      <c r="FS100" s="1713"/>
      <c r="FT100" s="2792"/>
      <c r="FU100" s="1714"/>
      <c r="FV100" s="2792"/>
      <c r="FW100" s="2637"/>
      <c r="FX100" s="1713"/>
      <c r="FY100" s="3440"/>
      <c r="FZ100" s="3440"/>
      <c r="GA100" s="3440"/>
      <c r="GB100" s="2637"/>
      <c r="GC100" s="1713"/>
      <c r="GD100" s="3440"/>
      <c r="GE100" s="3440"/>
      <c r="GF100" s="3440"/>
      <c r="GG100" s="2637"/>
      <c r="GH100" s="1713"/>
      <c r="GI100" s="1713"/>
      <c r="GJ100" s="1713"/>
      <c r="GK100" s="1713"/>
      <c r="GL100" s="1713"/>
      <c r="GM100" s="1713"/>
    </row>
    <row r="101" spans="1:195" outlineLevel="1">
      <c r="A101" s="2409"/>
      <c r="B101" s="191" t="s">
        <v>950</v>
      </c>
      <c r="Q101" s="6"/>
      <c r="V101" s="1">
        <v>196</v>
      </c>
      <c r="BA101" s="214"/>
      <c r="BF101" s="214"/>
      <c r="BK101" s="214"/>
      <c r="BP101" s="214"/>
      <c r="BU101" s="214"/>
      <c r="BZ101" s="214"/>
      <c r="CE101" s="214"/>
      <c r="CJ101" s="214"/>
      <c r="CO101" s="214"/>
      <c r="CT101" s="214"/>
      <c r="CY101" s="214"/>
      <c r="DD101" s="214"/>
      <c r="DF101" s="50"/>
      <c r="DI101" s="297"/>
      <c r="DN101" s="297"/>
      <c r="DS101" s="214"/>
      <c r="DX101" s="214"/>
      <c r="EC101" s="214"/>
      <c r="ED101" s="946"/>
      <c r="EH101" s="214"/>
      <c r="EI101" s="946"/>
      <c r="EJ101" s="946"/>
      <c r="EK101" s="946"/>
      <c r="EL101" s="946"/>
      <c r="EM101" s="214"/>
      <c r="EN101" s="946"/>
      <c r="EO101" s="946"/>
      <c r="EP101" s="946"/>
      <c r="EQ101" s="946"/>
      <c r="ER101" s="214"/>
      <c r="ES101" s="20"/>
      <c r="EV101" s="79"/>
      <c r="EW101" s="1628"/>
      <c r="FA101" s="1629"/>
      <c r="FB101" s="1628"/>
      <c r="FF101" s="1629"/>
      <c r="FG101" s="1628"/>
      <c r="FH101" s="73"/>
      <c r="FI101" s="73"/>
      <c r="FJ101" s="73"/>
      <c r="FK101" s="1629"/>
      <c r="FL101" s="1628"/>
      <c r="FM101" s="1045"/>
      <c r="FN101" s="1045"/>
      <c r="FO101" s="1630"/>
      <c r="FP101" s="73"/>
      <c r="FQ101" s="73"/>
      <c r="FR101" s="1629"/>
      <c r="FS101" s="1628"/>
      <c r="FT101" s="1045"/>
      <c r="FU101" s="2051"/>
      <c r="FV101" s="1045"/>
      <c r="FW101" s="2051"/>
      <c r="FX101" s="1628"/>
      <c r="FY101" s="1045"/>
      <c r="FZ101" s="1045"/>
      <c r="GA101" s="1045"/>
      <c r="GB101" s="2051"/>
      <c r="GC101" s="1628"/>
      <c r="GD101" s="1045"/>
      <c r="GE101" s="1045"/>
      <c r="GF101" s="1045"/>
      <c r="GG101" s="2051"/>
      <c r="GH101" s="1628"/>
      <c r="GI101" s="1628"/>
      <c r="GJ101" s="1628"/>
      <c r="GK101" s="1628"/>
      <c r="GL101" s="1628"/>
      <c r="GM101" s="1628"/>
    </row>
    <row r="102" spans="1:195" outlineLevel="1">
      <c r="A102" s="2409"/>
      <c r="B102" s="2655" t="s">
        <v>153</v>
      </c>
      <c r="H102" s="17">
        <v>0.11716524216524217</v>
      </c>
      <c r="M102" s="17">
        <v>0.12308186711657428</v>
      </c>
      <c r="Q102" s="6"/>
      <c r="R102" s="17">
        <v>0.12011924670980877</v>
      </c>
      <c r="V102" s="1">
        <v>130</v>
      </c>
      <c r="W102" s="17">
        <v>0.12554816805771679</v>
      </c>
      <c r="AB102" s="17">
        <v>0.13620185585356553</v>
      </c>
      <c r="AG102" s="706">
        <v>0.14313767116017409</v>
      </c>
      <c r="AL102" s="706">
        <v>0.15518038852913968</v>
      </c>
      <c r="AQ102" s="706">
        <v>0.1713288258429449</v>
      </c>
      <c r="AR102" s="706">
        <v>0.20214421580494554</v>
      </c>
      <c r="AS102" s="706">
        <v>0.20370050146982535</v>
      </c>
      <c r="AT102" s="706">
        <v>0.21097917742213043</v>
      </c>
      <c r="AU102" s="706">
        <v>0.20077279752704791</v>
      </c>
      <c r="AV102" s="706">
        <v>0.21654373605755067</v>
      </c>
      <c r="AW102" s="17">
        <f>+'Sales Model'!E34/'Sales Model'!E$25</f>
      </c>
      <c r="AX102" s="17">
        <f>+'Sales Model'!F34/'Sales Model'!F$25</f>
      </c>
      <c r="AY102" s="17">
        <f>+'Sales Model'!G34/'Sales Model'!G$25</f>
      </c>
      <c r="AZ102" s="17">
        <f>+'Sales Model'!H34/'Sales Model'!H$25</f>
      </c>
      <c r="BA102" s="301">
        <f>+'Sales Model'!I34/'Sales Model'!I$25</f>
      </c>
      <c r="BB102" s="17">
        <f>+'Sales Model'!J34/'Sales Model'!J$25</f>
      </c>
      <c r="BC102" s="17">
        <f>+'Sales Model'!K34/'Sales Model'!K$25</f>
      </c>
      <c r="BD102" s="17">
        <f>+'Sales Model'!L34/'Sales Model'!L$25</f>
      </c>
      <c r="BE102" s="17">
        <f>+'Sales Model'!M34/'Sales Model'!M$25</f>
      </c>
      <c r="BF102" s="301">
        <f>+'Sales Model'!N34/'Sales Model'!N$25</f>
      </c>
      <c r="BG102" s="17">
        <f>+'Sales Model'!O34/'Sales Model'!O$25</f>
      </c>
      <c r="BH102" s="17">
        <f>+'Sales Model'!P34/'Sales Model'!P$25</f>
      </c>
      <c r="BI102" s="17">
        <f>+'Sales Model'!Q34/'Sales Model'!Q$25</f>
      </c>
      <c r="BJ102" s="17">
        <f>+'Sales Model'!R34/'Sales Model'!R$25</f>
      </c>
      <c r="BK102" s="301">
        <f>+'Sales Model'!S34/'Sales Model'!S$25</f>
      </c>
      <c r="BL102" s="17">
        <f>+'Sales Model'!T34/'Sales Model'!T$25</f>
      </c>
      <c r="BM102" s="17">
        <f>+'Sales Model'!U34/'Sales Model'!U$25</f>
      </c>
      <c r="BN102" s="53">
        <f>+'Sales Model'!V34/'Sales Model'!V$25</f>
      </c>
      <c r="BO102" s="17">
        <f>+'Sales Model'!W34/'Sales Model'!W$25</f>
      </c>
      <c r="BP102" s="301">
        <f>+'Sales Model'!X34/'Sales Model'!X$25</f>
      </c>
      <c r="BQ102" s="17">
        <f>+'Sales Model'!Y34/'Sales Model'!Y$25</f>
      </c>
      <c r="BR102" s="17">
        <f>+'Sales Model'!Z34/'Sales Model'!Z$25</f>
      </c>
      <c r="BS102" s="17">
        <f>+'Sales Model'!AA34/'Sales Model'!AA$25</f>
      </c>
      <c r="BT102" s="17">
        <f>+'Sales Model'!AB34/'Sales Model'!AB$25</f>
      </c>
      <c r="BU102" s="301">
        <f>+'Sales Model'!AC34/'Sales Model'!AC$25</f>
      </c>
      <c r="BV102" s="17">
        <f>+'Sales Model'!AD34/'Sales Model'!AD$25</f>
      </c>
      <c r="BW102" s="17">
        <f>+'Sales Model'!AE34/'Sales Model'!AE$25</f>
      </c>
      <c r="BX102" s="17">
        <f>+'Sales Model'!AF34/'Sales Model'!AF$25</f>
      </c>
      <c r="BY102" s="17">
        <f>+'Sales Model'!AG34/'Sales Model'!AG$25</f>
      </c>
      <c r="BZ102" s="301">
        <f>+'Sales Model'!AH34/'Sales Model'!AH$25</f>
      </c>
      <c r="CA102" s="17">
        <f>+'Sales Model'!AI34/'Sales Model'!AI$25</f>
      </c>
      <c r="CB102" s="17">
        <f>+'Sales Model'!AJ34/'Sales Model'!AJ$25</f>
      </c>
      <c r="CC102" s="17">
        <f>+'Sales Model'!AK34/'Sales Model'!AK$25</f>
      </c>
      <c r="CD102" s="17">
        <f>+'Sales Model'!AL34/'Sales Model'!AL$25</f>
      </c>
      <c r="CE102" s="301">
        <f>+'Sales Model'!AM34/'Sales Model'!AM$25</f>
      </c>
      <c r="CF102" s="17">
        <f>+'Sales Model'!AN34/'Sales Model'!AN$25</f>
      </c>
      <c r="CG102" s="17">
        <f>+'Sales Model'!AO34/'Sales Model'!AO$25</f>
      </c>
      <c r="CH102" s="17">
        <f>+'Sales Model'!AP34/'Sales Model'!AP$25</f>
      </c>
      <c r="CI102" s="17">
        <f>+'Sales Model'!AQ34/'Sales Model'!AQ$25</f>
      </c>
      <c r="CJ102" s="301">
        <f>+'Sales Model'!AR34/'Sales Model'!AR$25</f>
      </c>
      <c r="CK102" s="17">
        <f>+'Sales Model'!AS34/'Sales Model'!AS$25</f>
      </c>
      <c r="CL102" s="17">
        <f>+'Sales Model'!AT34/'Sales Model'!AT$25</f>
      </c>
      <c r="CM102" s="17">
        <f>+'Sales Model'!AU34/'Sales Model'!AU$25</f>
      </c>
      <c r="CN102" s="17">
        <f>+'Sales Model'!AV34/'Sales Model'!AV$25</f>
      </c>
      <c r="CO102" s="301">
        <f>+'Sales Model'!AW34/'Sales Model'!AW$25</f>
      </c>
      <c r="CP102" s="17">
        <f>+'Sales Model'!AX34/'Sales Model'!AX$25</f>
      </c>
      <c r="CQ102" s="17">
        <f>+'Sales Model'!AY34/'Sales Model'!AY$25</f>
      </c>
      <c r="CR102" s="17">
        <f>+'Sales Model'!AZ34/'Sales Model'!AZ$25</f>
      </c>
      <c r="CS102" s="17">
        <f>+'Sales Model'!BA34/'Sales Model'!BA$25</f>
      </c>
      <c r="CT102" s="301">
        <f>+'Sales Model'!BB34/'Sales Model'!BB$25</f>
      </c>
      <c r="CU102" s="17">
        <f>+'Sales Model'!BC34/'Sales Model'!BC$25</f>
      </c>
      <c r="CV102" s="17">
        <f>+'Sales Model'!BD34/'Sales Model'!BD$25</f>
      </c>
      <c r="CW102" s="17">
        <f>+'Sales Model'!BE34/'Sales Model'!BE$25</f>
      </c>
      <c r="CX102" s="17">
        <f>+'Sales Model'!BF34/'Sales Model'!BF$25</f>
      </c>
      <c r="CY102" s="301">
        <f>+'Sales Model'!BG34/'Sales Model'!BG$25</f>
      </c>
      <c r="CZ102" s="17">
        <f>+'Sales Model'!BH34/'Sales Model'!BH$25</f>
      </c>
      <c r="DA102" s="17">
        <f>+'Sales Model'!BI34/'Sales Model'!BI$25</f>
      </c>
      <c r="DB102" s="17">
        <f>+'Sales Model'!BJ34/'Sales Model'!BJ$25</f>
      </c>
      <c r="DC102" s="17">
        <f>+'Sales Model'!BK34/'Sales Model'!BK$25</f>
      </c>
      <c r="DD102" s="301">
        <f>+'Sales Model'!BL34/'Sales Model'!BL$25</f>
      </c>
      <c r="DE102" s="17">
        <f>+'Sales Model'!BM34/'Sales Model'!BM$25</f>
      </c>
      <c r="DF102" s="17">
        <f>+'Sales Model'!BN34/'Sales Model'!BN$25</f>
      </c>
      <c r="DG102" s="17">
        <f>+'Sales Model'!BO34/'Sales Model'!BO$25</f>
      </c>
      <c r="DH102" s="17">
        <f>+'Sales Model'!BP34/'Sales Model'!BP$25</f>
      </c>
      <c r="DI102" s="301">
        <f>+'Sales Model'!BQ34/'Sales Model'!BQ$25</f>
      </c>
      <c r="DJ102" s="17">
        <f>+'Sales Model'!BR34/'Sales Model'!BR$25</f>
      </c>
      <c r="DK102" s="17">
        <f>+'Sales Model'!BS34/'Sales Model'!BS$25</f>
      </c>
      <c r="DL102" s="17">
        <f>+'Sales Model'!BT34/'Sales Model'!BT$25</f>
      </c>
      <c r="DM102" s="17">
        <f>+'Sales Model'!BU34/'Sales Model'!BU$25</f>
      </c>
      <c r="DN102" s="301">
        <f>+'Sales Model'!BV34/'Sales Model'!BV$25</f>
      </c>
      <c r="DO102" s="17">
        <f>+'Sales Model'!BW34/'Sales Model'!BW$25</f>
      </c>
      <c r="DP102" s="17">
        <f>+'Sales Model'!BX34/'Sales Model'!BX$25</f>
      </c>
      <c r="DQ102" s="17">
        <f>+'Sales Model'!BY34/'Sales Model'!BY$25</f>
      </c>
      <c r="DR102" s="17">
        <f>+'Sales Model'!BZ34/'Sales Model'!BZ$25</f>
      </c>
      <c r="DS102" s="301">
        <f>+'Sales Model'!CA34/'Sales Model'!CA$25</f>
      </c>
      <c r="DT102" s="17">
        <f>+'Sales Model'!CB34/'Sales Model'!CB$25</f>
      </c>
      <c r="DU102" s="17">
        <f>+'Sales Model'!CC34/'Sales Model'!CC$25</f>
      </c>
      <c r="DV102" s="17">
        <f>+'Sales Model'!CD34/'Sales Model'!CD$25</f>
      </c>
      <c r="DW102" s="17">
        <f>+'Sales Model'!CE34/'Sales Model'!CE$25</f>
      </c>
      <c r="DX102" s="301">
        <f>+'Sales Model'!CF34/'Sales Model'!CF$25</f>
      </c>
      <c r="DY102" s="17">
        <f>+'Sales Model'!CG34/'Sales Model'!CG$25</f>
      </c>
      <c r="DZ102" s="17">
        <f>+'Sales Model'!CH34/'Sales Model'!CH$25</f>
      </c>
      <c r="EA102" s="17">
        <f>+'Sales Model'!CI34/'Sales Model'!CI$25</f>
      </c>
      <c r="EB102" s="17">
        <f>+'Sales Model'!CJ34/'Sales Model'!CJ$25</f>
      </c>
      <c r="EC102" s="301">
        <f>+'Sales Model'!CK34/'Sales Model'!CK$25</f>
      </c>
      <c r="ED102" s="17">
        <f>+'Sales Model'!CL34/'Sales Model'!CL$25</f>
      </c>
      <c r="EE102" s="17">
        <f>+'Sales Model'!CM34/'Sales Model'!CM$25</f>
      </c>
      <c r="EF102" s="17">
        <f>+'Sales Model'!CN34/'Sales Model'!CN$25</f>
      </c>
      <c r="EG102" s="17">
        <f>+'Sales Model'!CO34/'Sales Model'!CO$25</f>
      </c>
      <c r="EH102" s="301">
        <f>+'Sales Model'!CP34/'Sales Model'!CP$25</f>
      </c>
      <c r="EI102" s="17">
        <f>+'Sales Model'!CQ34/'Sales Model'!CQ$25</f>
      </c>
      <c r="EJ102" s="17">
        <f>+'Sales Model'!CR34/'Sales Model'!CR$25</f>
      </c>
      <c r="EK102" s="17">
        <f>+'Sales Model'!CS34/'Sales Model'!CS$25</f>
      </c>
      <c r="EL102" s="17">
        <f>+'Sales Model'!CT34/'Sales Model'!CT$25</f>
      </c>
      <c r="EM102" s="301">
        <f>+'Sales Model'!CU34/'Sales Model'!CU$25</f>
      </c>
      <c r="EN102" s="17">
        <f>+'Sales Model'!CV34/'Sales Model'!CV$25</f>
      </c>
      <c r="EO102" s="17">
        <f>+'Sales Model'!CW34/'Sales Model'!CW$25</f>
      </c>
      <c r="EP102" s="17">
        <f>+'Sales Model'!CX34/'Sales Model'!CX$25</f>
      </c>
      <c r="EQ102" s="17">
        <f>+'Sales Model'!CY34/'Sales Model'!CY$25</f>
      </c>
      <c r="ER102" s="301">
        <f>+'Sales Model'!CZ34/'Sales Model'!CZ$25</f>
      </c>
      <c r="ES102" s="17">
        <f>+'Sales Model'!DA34/'Sales Model'!DA$25</f>
      </c>
      <c r="ET102" s="17">
        <f>+'Sales Model'!DB34/'Sales Model'!DB$25</f>
      </c>
      <c r="EU102" s="17">
        <f>+'Sales Model'!DC34/'Sales Model'!DC$25</f>
      </c>
      <c r="EV102" s="17">
        <f>+'Sales Model'!DD34/'Sales Model'!DD$25</f>
      </c>
      <c r="EW102" s="1705">
        <f>+'Sales Model'!DE34/'Sales Model'!DE$25</f>
      </c>
      <c r="EX102" s="1704">
        <f>+'Sales Model'!DF34/'Sales Model'!DF$25</f>
      </c>
      <c r="EY102" s="1704">
        <f>+'Sales Model'!DG34/'Sales Model'!DG$25</f>
      </c>
      <c r="EZ102" s="1704">
        <f>+'Sales Model'!DH34/'Sales Model'!DH$25</f>
      </c>
      <c r="FA102" s="1704">
        <f>+'Sales Model'!DI34/'Sales Model'!DI$25</f>
      </c>
      <c r="FB102" s="1705">
        <f>+'Sales Model'!DJ34/'Sales Model'!DJ$25</f>
      </c>
      <c r="FC102" s="1704">
        <f>+'Sales Model'!DK34/'Sales Model'!DK$25</f>
      </c>
      <c r="FD102" s="1704">
        <f>+'Sales Model'!DL34/'Sales Model'!DL$25</f>
      </c>
      <c r="FE102" s="1704">
        <f>+'Sales Model'!DM34/'Sales Model'!DM$25</f>
      </c>
      <c r="FF102" s="1704">
        <f>+'Sales Model'!DN34/'Sales Model'!DN$25</f>
      </c>
      <c r="FG102" s="1705">
        <f>+'Sales Model'!DO34/'Sales Model'!DO$25</f>
      </c>
      <c r="FH102" s="1704">
        <f>+'Sales Model'!DP34/'Sales Model'!DP$25</f>
      </c>
      <c r="FI102" s="1704">
        <f>+'Sales Model'!DQ34/'Sales Model'!DQ$25</f>
      </c>
      <c r="FJ102" s="1704">
        <f>+'Sales Model'!DR34/'Sales Model'!DR$25</f>
      </c>
      <c r="FK102" s="1704">
        <f>+'Sales Model'!DS34/'Sales Model'!DS$25</f>
      </c>
      <c r="FL102" s="1705">
        <f>+'Sales Model'!DT34/'Sales Model'!DT$25</f>
      </c>
      <c r="FM102" s="2906">
        <f>+'Sales Model'!DU34/'Sales Model'!DU$25</f>
      </c>
      <c r="FN102" s="2906">
        <f>+'Sales Model'!DV34/'Sales Model'!DV$25</f>
      </c>
      <c r="FO102" s="2845">
        <f>+'Sales Model'!DP34/FO$24</f>
      </c>
      <c r="FP102" s="1704">
        <f>+'Sales Model'!DQ34/FP$24</f>
      </c>
      <c r="FQ102" s="1704">
        <f>+'Sales Model'!DR34/FQ$24</f>
      </c>
      <c r="FR102" s="1704">
        <f>+'Sales Model'!DS34/FR$24</f>
      </c>
      <c r="FS102" s="1705">
        <f>+'Sales Model'!DT34/FS$24</f>
      </c>
      <c r="FT102" s="1105">
        <f>+'Sales Model'!DU34/FT$24</f>
      </c>
      <c r="FU102" s="2855">
        <f>+'Sales Model'!DV34/FU$24</f>
      </c>
      <c r="FV102" s="2906">
        <f>+'Sales Model'!DW34/'Sales Model'!DW$25</f>
      </c>
      <c r="FW102" s="2906">
        <f>+'Sales Model'!DX34/'Sales Model'!DX$25</f>
      </c>
      <c r="FX102" s="2907">
        <f>+'Sales Model'!DY34/'Sales Model'!DY$25</f>
      </c>
      <c r="FY102" s="2906">
        <f>+'Sales Model'!DZ34/'Sales Model'!DZ$25</f>
      </c>
      <c r="FZ102" s="2906">
        <f>+'Sales Model'!EA34/'Sales Model'!EA$25</f>
      </c>
      <c r="GA102" s="2906">
        <f>+'Sales Model'!EB34/'Sales Model'!EB$25</f>
      </c>
      <c r="GB102" s="2906">
        <f>+'Sales Model'!EC34/'Sales Model'!EC$25</f>
      </c>
      <c r="GC102" s="2907">
        <f>+'Sales Model'!ED34/'Sales Model'!ED$25</f>
      </c>
      <c r="GD102" s="2906">
        <f>+'Sales Model'!EE34/'Sales Model'!EE$25</f>
      </c>
      <c r="GE102" s="2906">
        <f>+'Sales Model'!EF34/'Sales Model'!EF$25</f>
      </c>
      <c r="GF102" s="2906">
        <f>+'Sales Model'!EG34/'Sales Model'!EG$25</f>
      </c>
      <c r="GG102" s="2906">
        <f>+'Sales Model'!EH34/'Sales Model'!EH$25</f>
      </c>
      <c r="GH102" s="2907">
        <f>+'Sales Model'!EI34/'Sales Model'!EI$25</f>
      </c>
      <c r="GI102" s="2907">
        <f>+'Sales Model'!EJ34/'Sales Model'!EJ$25</f>
      </c>
      <c r="GJ102" s="2907">
        <f>+'Sales Model'!EK34/'Sales Model'!EK$25</f>
      </c>
      <c r="GK102" s="2907">
        <f>+'Sales Model'!EL34/'Sales Model'!EL$25</f>
      </c>
      <c r="GL102" s="2907">
        <f>+'Sales Model'!EM34/'Sales Model'!EM$25</f>
      </c>
      <c r="GM102" s="2907">
        <f>+'Sales Model'!EN34/'Sales Model'!EN$25</f>
      </c>
    </row>
    <row r="103" spans="1:195" outlineLevel="1">
      <c r="A103" s="2409"/>
      <c r="B103" s="192" t="s">
        <v>235</v>
      </c>
      <c r="H103" s="17">
        <v>0.17690527065527065</v>
      </c>
      <c r="M103" s="17">
        <v>0.18181087812324254</v>
      </c>
      <c r="Q103" s="6"/>
      <c r="R103" s="17">
        <v>0.1954482658329092</v>
      </c>
      <c r="W103" s="17">
        <v>0.19203564860659217</v>
      </c>
      <c r="AB103" s="17">
        <v>0.19162323630354647</v>
      </c>
      <c r="AG103" s="706">
        <v>0.18984184269185861</v>
      </c>
      <c r="AL103" s="706">
        <v>0.17728954671600369</v>
      </c>
      <c r="AQ103" s="706">
        <v>0.16876574307304787</v>
      </c>
      <c r="AR103" s="706">
        <v>0.1596057409648971</v>
      </c>
      <c r="AS103" s="706">
        <v>0.17015389936019368</v>
      </c>
      <c r="AT103" s="706">
        <v>0.16503183617277578</v>
      </c>
      <c r="AU103" s="706">
        <v>0.15672333848531686</v>
      </c>
      <c r="AV103" s="706">
        <v>0.15436216710235837</v>
      </c>
      <c r="AW103" s="17">
        <f>+'Sales Model'!E35/'Sales Model'!E$25</f>
      </c>
      <c r="AX103" s="17">
        <f>+'Sales Model'!F35/'Sales Model'!F$25</f>
      </c>
      <c r="AY103" s="17">
        <f>+'Sales Model'!G35/'Sales Model'!G$25</f>
      </c>
      <c r="AZ103" s="17">
        <f>+'Sales Model'!H35/'Sales Model'!H$25</f>
      </c>
      <c r="BA103" s="301">
        <f>+'Sales Model'!I35/'Sales Model'!I$25</f>
      </c>
      <c r="BB103" s="17">
        <f>+'Sales Model'!J35/'Sales Model'!J$25</f>
      </c>
      <c r="BC103" s="17">
        <f>+'Sales Model'!K35/'Sales Model'!K$25</f>
      </c>
      <c r="BD103" s="17">
        <f>+'Sales Model'!L35/'Sales Model'!L$25</f>
      </c>
      <c r="BE103" s="17">
        <f>+'Sales Model'!M35/'Sales Model'!M$25</f>
      </c>
      <c r="BF103" s="301">
        <f>+'Sales Model'!N35/'Sales Model'!N$25</f>
      </c>
      <c r="BG103" s="17">
        <f>+'Sales Model'!O35/'Sales Model'!O$25</f>
      </c>
      <c r="BH103" s="17">
        <f>+'Sales Model'!P35/'Sales Model'!P$25</f>
      </c>
      <c r="BI103" s="17">
        <f>+'Sales Model'!Q35/'Sales Model'!Q$25</f>
      </c>
      <c r="BJ103" s="17">
        <f>+'Sales Model'!R35/'Sales Model'!R$25</f>
      </c>
      <c r="BK103" s="301">
        <f>+'Sales Model'!S35/'Sales Model'!S$25</f>
      </c>
      <c r="BL103" s="17">
        <f>+'Sales Model'!T35/'Sales Model'!T$25</f>
      </c>
      <c r="BM103" s="17">
        <f>+'Sales Model'!U35/'Sales Model'!U$25</f>
      </c>
      <c r="BN103" s="53">
        <f>+'Sales Model'!V35/'Sales Model'!V$25</f>
      </c>
      <c r="BO103" s="17">
        <f>+'Sales Model'!W35/'Sales Model'!W$25</f>
      </c>
      <c r="BP103" s="301">
        <f>+'Sales Model'!X35/'Sales Model'!X$25</f>
      </c>
      <c r="BQ103" s="17">
        <f>+'Sales Model'!Y35/'Sales Model'!Y$25</f>
      </c>
      <c r="BR103" s="17">
        <f>+'Sales Model'!Z35/'Sales Model'!Z$25</f>
      </c>
      <c r="BS103" s="17">
        <f>+'Sales Model'!AA35/'Sales Model'!AA$25</f>
      </c>
      <c r="BT103" s="17">
        <f>+'Sales Model'!AB35/'Sales Model'!AB$25</f>
      </c>
      <c r="BU103" s="301">
        <f>+'Sales Model'!AC35/'Sales Model'!AC$25</f>
      </c>
      <c r="BV103" s="17">
        <f>+'Sales Model'!AD35/'Sales Model'!AD$25</f>
      </c>
      <c r="BW103" s="17">
        <f>+'Sales Model'!AE35/'Sales Model'!AE$25</f>
      </c>
      <c r="BX103" s="17">
        <f>+'Sales Model'!AF35/'Sales Model'!AF$25</f>
      </c>
      <c r="BY103" s="17">
        <f>+'Sales Model'!AG35/'Sales Model'!AG$25</f>
      </c>
      <c r="BZ103" s="301">
        <f>+'Sales Model'!AH35/'Sales Model'!AH$25</f>
      </c>
      <c r="CA103" s="17">
        <f>+'Sales Model'!AI35/'Sales Model'!AI$25</f>
      </c>
      <c r="CB103" s="17">
        <f>+'Sales Model'!AJ35/'Sales Model'!AJ$25</f>
      </c>
      <c r="CC103" s="17">
        <f>+'Sales Model'!AK35/'Sales Model'!AK$25</f>
      </c>
      <c r="CD103" s="17">
        <f>+'Sales Model'!AL35/'Sales Model'!AL$25</f>
      </c>
      <c r="CE103" s="301">
        <f>+'Sales Model'!AM35/'Sales Model'!AM$25</f>
      </c>
      <c r="CF103" s="17">
        <f>+'Sales Model'!AN35/'Sales Model'!AN$25</f>
      </c>
      <c r="CG103" s="17">
        <f>+'Sales Model'!AO35/'Sales Model'!AO$25</f>
      </c>
      <c r="CH103" s="17">
        <f>+'Sales Model'!AP35/'Sales Model'!AP$25</f>
      </c>
      <c r="CI103" s="17">
        <f>+'Sales Model'!AQ35/'Sales Model'!AQ$25</f>
      </c>
      <c r="CJ103" s="301">
        <f>+'Sales Model'!AR35/'Sales Model'!AR$25</f>
      </c>
      <c r="CK103" s="17">
        <f>+'Sales Model'!AS35/'Sales Model'!AS$25</f>
      </c>
      <c r="CL103" s="17">
        <f>+'Sales Model'!AT35/'Sales Model'!AT$25</f>
      </c>
      <c r="CM103" s="17">
        <f>+'Sales Model'!AU35/'Sales Model'!AU$25</f>
      </c>
      <c r="CN103" s="17">
        <f>+'Sales Model'!AV35/'Sales Model'!AV$25</f>
      </c>
      <c r="CO103" s="301">
        <f>+'Sales Model'!AW35/'Sales Model'!AW$25</f>
      </c>
      <c r="CP103" s="17">
        <f>+'Sales Model'!AX35/'Sales Model'!AX$25</f>
      </c>
      <c r="CQ103" s="17">
        <f>+'Sales Model'!AY35/'Sales Model'!AY$25</f>
      </c>
      <c r="CR103" s="17">
        <f>+'Sales Model'!AZ35/'Sales Model'!AZ$25</f>
      </c>
      <c r="CS103" s="17">
        <f>+'Sales Model'!BA35/'Sales Model'!BA$25</f>
      </c>
      <c r="CT103" s="301">
        <f>+'Sales Model'!BB35/'Sales Model'!BB$25</f>
      </c>
      <c r="CU103" s="17">
        <f>+'Sales Model'!BC35/'Sales Model'!BC$25</f>
      </c>
      <c r="CV103" s="17">
        <f>+'Sales Model'!BD35/'Sales Model'!BD$25</f>
      </c>
      <c r="CW103" s="17">
        <f>+'Sales Model'!BE35/'Sales Model'!BE$25</f>
      </c>
      <c r="CX103" s="17">
        <f>+'Sales Model'!BF35/'Sales Model'!BF$25</f>
      </c>
      <c r="CY103" s="301">
        <f>+'Sales Model'!BG35/'Sales Model'!BG$25</f>
      </c>
      <c r="CZ103" s="17">
        <f>+'Sales Model'!BH35/'Sales Model'!BH$25</f>
      </c>
      <c r="DA103" s="17">
        <f>+'Sales Model'!BI35/'Sales Model'!BI$25</f>
      </c>
      <c r="DB103" s="17">
        <f>+'Sales Model'!BJ35/'Sales Model'!BJ$25</f>
      </c>
      <c r="DC103" s="17">
        <f>+'Sales Model'!BK35/'Sales Model'!BK$25</f>
      </c>
      <c r="DD103" s="301">
        <f>+'Sales Model'!BL35/'Sales Model'!BL$25</f>
      </c>
      <c r="DE103" s="17">
        <f>+'Sales Model'!BM35/'Sales Model'!BM$25</f>
      </c>
      <c r="DF103" s="17">
        <f>+'Sales Model'!BN35/'Sales Model'!BN$25</f>
      </c>
      <c r="DG103" s="17">
        <f>+'Sales Model'!BO35/'Sales Model'!BO$25</f>
      </c>
      <c r="DH103" s="17">
        <f>+'Sales Model'!BP35/'Sales Model'!BP$25</f>
      </c>
      <c r="DI103" s="301">
        <f>+'Sales Model'!BQ35/'Sales Model'!BQ$25</f>
      </c>
      <c r="DJ103" s="17">
        <f>+'Sales Model'!BR35/'Sales Model'!BR$25</f>
      </c>
      <c r="DK103" s="17">
        <f>+'Sales Model'!BS35/'Sales Model'!BS$25</f>
      </c>
      <c r="DL103" s="17">
        <f>+'Sales Model'!BT35/'Sales Model'!BT$25</f>
      </c>
      <c r="DM103" s="17">
        <f>+'Sales Model'!BU35/'Sales Model'!BU$25</f>
      </c>
      <c r="DN103" s="301">
        <f>+'Sales Model'!BV35/'Sales Model'!BV$25</f>
      </c>
      <c r="DO103" s="17">
        <f>+'Sales Model'!BW35/'Sales Model'!BW$25</f>
      </c>
      <c r="DP103" s="17">
        <f>+'Sales Model'!BX35/'Sales Model'!BX$25</f>
      </c>
      <c r="DQ103" s="17">
        <f>+'Sales Model'!BY35/'Sales Model'!BY$25</f>
      </c>
      <c r="DR103" s="17">
        <f>+'Sales Model'!BZ35/'Sales Model'!BZ$25</f>
      </c>
      <c r="DS103" s="301">
        <f>+'Sales Model'!CA35/'Sales Model'!CA$25</f>
      </c>
      <c r="DT103" s="17">
        <f>+'Sales Model'!CB35/'Sales Model'!CB$25</f>
      </c>
      <c r="DU103" s="17">
        <f>+'Sales Model'!CC35/'Sales Model'!CC$25</f>
      </c>
      <c r="DV103" s="17">
        <f>+'Sales Model'!CD35/'Sales Model'!CD$25</f>
      </c>
      <c r="DW103" s="17">
        <f>+'Sales Model'!CE35/'Sales Model'!CE$25</f>
      </c>
      <c r="DX103" s="301">
        <f>+'Sales Model'!CF35/'Sales Model'!CF$25</f>
      </c>
      <c r="DY103" s="17">
        <f>+'Sales Model'!CG35/'Sales Model'!CG$25</f>
      </c>
      <c r="DZ103" s="17">
        <f>+'Sales Model'!CH35/'Sales Model'!CH$25</f>
      </c>
      <c r="EA103" s="17">
        <f>+'Sales Model'!CI35/'Sales Model'!CI$25</f>
      </c>
      <c r="EB103" s="17">
        <f>+'Sales Model'!CJ35/'Sales Model'!CJ$25</f>
      </c>
      <c r="EC103" s="301">
        <f>+'Sales Model'!CK35/'Sales Model'!CK$25</f>
      </c>
      <c r="ED103" s="17">
        <f>+'Sales Model'!CL35/'Sales Model'!CL$25</f>
      </c>
      <c r="EE103" s="17">
        <f>+'Sales Model'!CM35/'Sales Model'!CM$25</f>
      </c>
      <c r="EF103" s="17">
        <f>+'Sales Model'!CN35/'Sales Model'!CN$25</f>
      </c>
      <c r="EG103" s="17">
        <f>+'Sales Model'!CO35/'Sales Model'!CO$25</f>
      </c>
      <c r="EH103" s="301">
        <f>+'Sales Model'!CP35/'Sales Model'!CP$25</f>
      </c>
      <c r="EI103" s="17">
        <f>+'Sales Model'!CQ35/'Sales Model'!CQ$25</f>
      </c>
      <c r="EJ103" s="17">
        <f>+'Sales Model'!CR35/'Sales Model'!CR$25</f>
      </c>
      <c r="EK103" s="17">
        <f>+'Sales Model'!CS35/'Sales Model'!CS$25</f>
      </c>
      <c r="EL103" s="17">
        <f>+'Sales Model'!CT35/'Sales Model'!CT$25</f>
      </c>
      <c r="EM103" s="301">
        <f>+'Sales Model'!CU35/'Sales Model'!CU$25</f>
      </c>
      <c r="EN103" s="17">
        <f>+'Sales Model'!CV35/'Sales Model'!CV$25</f>
      </c>
      <c r="EO103" s="17">
        <f>+'Sales Model'!CW35/'Sales Model'!CW$25</f>
      </c>
      <c r="EP103" s="17">
        <f>+'Sales Model'!CX35/'Sales Model'!CX$25</f>
      </c>
      <c r="EQ103" s="17">
        <f>+'Sales Model'!CY35/'Sales Model'!CY$25</f>
      </c>
      <c r="ER103" s="301">
        <f>+'Sales Model'!CZ35/'Sales Model'!CZ$25</f>
      </c>
      <c r="ES103" s="17">
        <f>+'Sales Model'!DA35/'Sales Model'!DA$25</f>
      </c>
      <c r="ET103" s="17">
        <f>+'Sales Model'!DB35/'Sales Model'!DB$25</f>
      </c>
      <c r="EU103" s="17">
        <f>+'Sales Model'!DC35/'Sales Model'!DC$25</f>
      </c>
      <c r="EV103" s="17">
        <f>+'Sales Model'!DD35/'Sales Model'!DD$25</f>
      </c>
      <c r="EW103" s="1705">
        <f>+'Sales Model'!DE35/'Sales Model'!DE$25</f>
      </c>
      <c r="EX103" s="1704">
        <f>+'Sales Model'!DF35/'Sales Model'!DF$25</f>
      </c>
      <c r="EY103" s="1704">
        <f>+'Sales Model'!DG35/'Sales Model'!DG$25</f>
      </c>
      <c r="EZ103" s="1704">
        <f>+'Sales Model'!DH35/'Sales Model'!DH$25</f>
      </c>
      <c r="FA103" s="1704">
        <f>+'Sales Model'!DI35/'Sales Model'!DI$25</f>
      </c>
      <c r="FB103" s="1705">
        <f>+'Sales Model'!DJ35/'Sales Model'!DJ$25</f>
      </c>
      <c r="FC103" s="1704">
        <f>+'Sales Model'!DK35/'Sales Model'!DK$25</f>
      </c>
      <c r="FD103" s="1704">
        <f>+'Sales Model'!DL35/'Sales Model'!DL$25</f>
      </c>
      <c r="FE103" s="1704">
        <f>+'Sales Model'!DM35/'Sales Model'!DM$25</f>
      </c>
      <c r="FF103" s="1704">
        <f>+'Sales Model'!DN35/'Sales Model'!DN$25</f>
      </c>
      <c r="FG103" s="1705">
        <f>+'Sales Model'!DO35/'Sales Model'!DO$25</f>
      </c>
      <c r="FH103" s="1704">
        <f>+'Sales Model'!DP35/'Sales Model'!DP$25</f>
      </c>
      <c r="FI103" s="1704">
        <f>+'Sales Model'!DQ35/'Sales Model'!DQ$25</f>
      </c>
      <c r="FJ103" s="1704">
        <f>+'Sales Model'!DR35/'Sales Model'!DR$25</f>
      </c>
      <c r="FK103" s="1704">
        <f>+'Sales Model'!DS35/'Sales Model'!DS$25</f>
      </c>
      <c r="FL103" s="1705">
        <f>+'Sales Model'!DT35/'Sales Model'!DT$25</f>
      </c>
      <c r="FM103" s="2906">
        <f>+'Sales Model'!DU35/'Sales Model'!DU$25</f>
      </c>
      <c r="FN103" s="2906">
        <f>+'Sales Model'!DV35/'Sales Model'!DV$25</f>
      </c>
      <c r="FO103" s="2845">
        <f>+'Sales Model'!DP35/FO$24</f>
      </c>
      <c r="FP103" s="1704">
        <f>+'Sales Model'!DQ35/FP$24</f>
      </c>
      <c r="FQ103" s="1704">
        <f>+'Sales Model'!DR35/FQ$24</f>
      </c>
      <c r="FR103" s="1704">
        <f>+'Sales Model'!DS35/FR$24</f>
      </c>
      <c r="FS103" s="1705">
        <f>+'Sales Model'!DT35/FS$24</f>
      </c>
      <c r="FT103" s="1105">
        <f>+'Sales Model'!DU35/FT$24</f>
      </c>
      <c r="FU103" s="2855">
        <f>+'Sales Model'!DV35/FU$24</f>
      </c>
      <c r="FV103" s="2906">
        <f>+'Sales Model'!DW35/'Sales Model'!DW$25</f>
      </c>
      <c r="FW103" s="2906">
        <f>+'Sales Model'!DX35/'Sales Model'!DX$25</f>
      </c>
      <c r="FX103" s="2907">
        <f>+'Sales Model'!DY35/'Sales Model'!DY$25</f>
      </c>
      <c r="FY103" s="2906">
        <f>+'Sales Model'!DZ35/'Sales Model'!DZ$25</f>
      </c>
      <c r="FZ103" s="2906">
        <f>+'Sales Model'!EA35/'Sales Model'!EA$25</f>
      </c>
      <c r="GA103" s="2906">
        <f>+'Sales Model'!EB35/'Sales Model'!EB$25</f>
      </c>
      <c r="GB103" s="2906">
        <f>+'Sales Model'!EC35/'Sales Model'!EC$25</f>
      </c>
      <c r="GC103" s="2907">
        <f>+'Sales Model'!ED35/'Sales Model'!ED$25</f>
      </c>
      <c r="GD103" s="2906">
        <f>+'Sales Model'!EE35/'Sales Model'!EE$25</f>
      </c>
      <c r="GE103" s="2906">
        <f>+'Sales Model'!EF35/'Sales Model'!EF$25</f>
      </c>
      <c r="GF103" s="2906">
        <f>+'Sales Model'!EG35/'Sales Model'!EG$25</f>
      </c>
      <c r="GG103" s="2906">
        <f>+'Sales Model'!EH35/'Sales Model'!EH$25</f>
      </c>
      <c r="GH103" s="2907">
        <f>+'Sales Model'!EI35/'Sales Model'!EI$25</f>
      </c>
      <c r="GI103" s="2907">
        <f>+'Sales Model'!EJ35/'Sales Model'!EJ$25</f>
      </c>
      <c r="GJ103" s="2907">
        <f>+'Sales Model'!EK35/'Sales Model'!EK$25</f>
      </c>
      <c r="GK103" s="2907">
        <f>+'Sales Model'!EL35/'Sales Model'!EL$25</f>
      </c>
      <c r="GL103" s="2907">
        <f>+'Sales Model'!EM35/'Sales Model'!EM$25</f>
      </c>
      <c r="GM103" s="2907">
        <f>+'Sales Model'!EN35/'Sales Model'!EN$25</f>
      </c>
    </row>
    <row r="104" spans="1:195" s="3" customFormat="1" outlineLevel="1">
      <c r="A104" s="3319"/>
      <c r="B104" s="194" t="s">
        <v>188</v>
      </c>
      <c r="H104" s="181">
        <v>0.29407051282051283</v>
      </c>
      <c r="M104" s="181">
        <v>0.3048927452398168</v>
      </c>
      <c r="Q104" s="56"/>
      <c r="R104" s="181">
        <v>0.31556751254271798</v>
      </c>
      <c r="S104" s="1"/>
      <c r="W104" s="181">
        <v>0.31758381666430896</v>
      </c>
      <c r="X104" s="1"/>
      <c r="AB104" s="181">
        <v>0.32782509215711197</v>
      </c>
      <c r="AG104" s="707">
        <v>0.33297951385203267</v>
      </c>
      <c r="AL104" s="707">
        <v>0.3324699352451434</v>
      </c>
      <c r="AQ104" s="707">
        <v>0.34009456891599277</v>
      </c>
      <c r="AR104" s="707">
        <v>0.36174995676984262</v>
      </c>
      <c r="AS104" s="707">
        <v>0.37385440083001903</v>
      </c>
      <c r="AT104" s="707">
        <v>0.37601101359490618</v>
      </c>
      <c r="AU104" s="707">
        <v>0.35749613601236474</v>
      </c>
      <c r="AV104" s="707">
        <v>0.37090590315990907</v>
      </c>
      <c r="AW104" s="181">
        <f>+'Sales Model'!E36/'Sales Model'!E$25</f>
      </c>
      <c r="AX104" s="181">
        <f>+'Sales Model'!F36/'Sales Model'!F$25</f>
      </c>
      <c r="AY104" s="181">
        <f>+'Sales Model'!G36/'Sales Model'!G$25</f>
      </c>
      <c r="AZ104" s="181">
        <f>+'Sales Model'!H36/'Sales Model'!H$25</f>
      </c>
      <c r="BA104" s="296">
        <f>+'Sales Model'!I36/'Sales Model'!I$25</f>
      </c>
      <c r="BB104" s="181">
        <f>+'Sales Model'!J36/'Sales Model'!J$25</f>
      </c>
      <c r="BC104" s="181">
        <f>+'Sales Model'!K36/'Sales Model'!K$25</f>
      </c>
      <c r="BD104" s="181">
        <f>+'Sales Model'!L36/'Sales Model'!L$25</f>
      </c>
      <c r="BE104" s="181">
        <f>+'Sales Model'!M36/'Sales Model'!M$25</f>
      </c>
      <c r="BF104" s="296">
        <f>+'Sales Model'!N36/'Sales Model'!N$25</f>
      </c>
      <c r="BG104" s="181">
        <f>+'Sales Model'!O36/'Sales Model'!O$25</f>
      </c>
      <c r="BH104" s="181">
        <f>+'Sales Model'!P36/'Sales Model'!P$25</f>
      </c>
      <c r="BI104" s="181">
        <f>+'Sales Model'!Q36/'Sales Model'!Q$25</f>
      </c>
      <c r="BJ104" s="181">
        <f>+'Sales Model'!R36/'Sales Model'!R$25</f>
      </c>
      <c r="BK104" s="296">
        <f>+'Sales Model'!S36/'Sales Model'!S$25</f>
      </c>
      <c r="BL104" s="181">
        <f>+'Sales Model'!T36/'Sales Model'!T$25</f>
      </c>
      <c r="BM104" s="181">
        <f>+'Sales Model'!U36/'Sales Model'!U$25</f>
      </c>
      <c r="BN104" s="182">
        <f>+'Sales Model'!V36/'Sales Model'!V$25</f>
      </c>
      <c r="BO104" s="181">
        <f>+'Sales Model'!W36/'Sales Model'!W$25</f>
      </c>
      <c r="BP104" s="296">
        <f>+'Sales Model'!X36/'Sales Model'!X$25</f>
      </c>
      <c r="BQ104" s="181">
        <f>+'Sales Model'!Y36/'Sales Model'!Y$25</f>
      </c>
      <c r="BR104" s="181">
        <f>+'Sales Model'!Z36/'Sales Model'!Z$25</f>
      </c>
      <c r="BS104" s="181">
        <f>+'Sales Model'!AA36/'Sales Model'!AA$25</f>
      </c>
      <c r="BT104" s="181">
        <f>+'Sales Model'!AB36/'Sales Model'!AB$25</f>
      </c>
      <c r="BU104" s="296">
        <f>+'Sales Model'!AC36/'Sales Model'!AC$25</f>
      </c>
      <c r="BV104" s="181">
        <f>+'Sales Model'!AD36/'Sales Model'!AD$25</f>
      </c>
      <c r="BW104" s="181">
        <f>+'Sales Model'!AE36/'Sales Model'!AE$25</f>
      </c>
      <c r="BX104" s="181">
        <f>+'Sales Model'!AF36/'Sales Model'!AF$25</f>
      </c>
      <c r="BY104" s="181">
        <f>+'Sales Model'!AG36/'Sales Model'!AG$25</f>
      </c>
      <c r="BZ104" s="296">
        <f>+'Sales Model'!AH36/'Sales Model'!AH$25</f>
      </c>
      <c r="CA104" s="181">
        <f>+'Sales Model'!AI36/'Sales Model'!AI$25</f>
      </c>
      <c r="CB104" s="181">
        <f>+'Sales Model'!AJ36/'Sales Model'!AJ$25</f>
      </c>
      <c r="CC104" s="181">
        <f>+'Sales Model'!AK36/'Sales Model'!AK$25</f>
      </c>
      <c r="CD104" s="181">
        <f>+'Sales Model'!AL36/'Sales Model'!AL$25</f>
      </c>
      <c r="CE104" s="296">
        <f>+'Sales Model'!AM36/'Sales Model'!AM$25</f>
      </c>
      <c r="CF104" s="181">
        <f>+'Sales Model'!AN36/'Sales Model'!AN$25</f>
      </c>
      <c r="CG104" s="181">
        <f>+'Sales Model'!AO36/'Sales Model'!AO$25</f>
      </c>
      <c r="CH104" s="181">
        <f>+'Sales Model'!AP36/'Sales Model'!AP$25</f>
      </c>
      <c r="CI104" s="181">
        <f>+'Sales Model'!AQ36/'Sales Model'!AQ$25</f>
      </c>
      <c r="CJ104" s="296">
        <f>+'Sales Model'!AR36/'Sales Model'!AR$25</f>
      </c>
      <c r="CK104" s="181">
        <f>+'Sales Model'!AS36/'Sales Model'!AS$25</f>
      </c>
      <c r="CL104" s="181">
        <f>+'Sales Model'!AT36/'Sales Model'!AT$25</f>
      </c>
      <c r="CM104" s="181">
        <f>+'Sales Model'!AU36/'Sales Model'!AU$25</f>
      </c>
      <c r="CN104" s="181">
        <f>+'Sales Model'!AV36/'Sales Model'!AV$25</f>
      </c>
      <c r="CO104" s="296">
        <f>+'Sales Model'!AW36/'Sales Model'!AW$25</f>
      </c>
      <c r="CP104" s="181">
        <f>+'Sales Model'!AX36/'Sales Model'!AX$25</f>
      </c>
      <c r="CQ104" s="181">
        <f>+'Sales Model'!AY36/'Sales Model'!AY$25</f>
      </c>
      <c r="CR104" s="181">
        <f>+'Sales Model'!AZ36/'Sales Model'!AZ$25</f>
      </c>
      <c r="CS104" s="181">
        <f>+'Sales Model'!BA36/'Sales Model'!BA$25</f>
      </c>
      <c r="CT104" s="296">
        <f>+'Sales Model'!BB36/'Sales Model'!BB$25</f>
      </c>
      <c r="CU104" s="181">
        <f>+'Sales Model'!BC36/'Sales Model'!BC$25</f>
      </c>
      <c r="CV104" s="181">
        <f>+'Sales Model'!BD36/'Sales Model'!BD$25</f>
      </c>
      <c r="CW104" s="181">
        <f>+'Sales Model'!BE36/'Sales Model'!BE$25</f>
      </c>
      <c r="CX104" s="181">
        <f>+'Sales Model'!BF36/'Sales Model'!BF$25</f>
      </c>
      <c r="CY104" s="296">
        <f>+'Sales Model'!BG36/'Sales Model'!BG$25</f>
      </c>
      <c r="CZ104" s="181">
        <f>+'Sales Model'!BH36/'Sales Model'!BH$25</f>
      </c>
      <c r="DA104" s="181">
        <f>+'Sales Model'!BI36/'Sales Model'!BI$25</f>
      </c>
      <c r="DB104" s="181">
        <f>+'Sales Model'!BJ36/'Sales Model'!BJ$25</f>
      </c>
      <c r="DC104" s="181">
        <f>+'Sales Model'!BK36/'Sales Model'!BK$25</f>
      </c>
      <c r="DD104" s="296">
        <f>+'Sales Model'!BL36/'Sales Model'!BL$25</f>
      </c>
      <c r="DE104" s="181">
        <f>+'Sales Model'!BM36/'Sales Model'!BM$25</f>
      </c>
      <c r="DF104" s="181">
        <f>+'Sales Model'!BN36/'Sales Model'!BN$25</f>
      </c>
      <c r="DG104" s="181">
        <f>+'Sales Model'!BO36/'Sales Model'!BO$25</f>
      </c>
      <c r="DH104" s="181">
        <f>+'Sales Model'!BP36/'Sales Model'!BP$25</f>
      </c>
      <c r="DI104" s="296">
        <f>+'Sales Model'!BQ36/'Sales Model'!BQ$25</f>
      </c>
      <c r="DJ104" s="181">
        <f>+'Sales Model'!BR36/'Sales Model'!BR$25</f>
      </c>
      <c r="DK104" s="181">
        <f>+'Sales Model'!BS36/'Sales Model'!BS$25</f>
      </c>
      <c r="DL104" s="181">
        <f>+'Sales Model'!BT36/'Sales Model'!BT$25</f>
      </c>
      <c r="DM104" s="181">
        <f>+'Sales Model'!BU36/'Sales Model'!BU$25</f>
      </c>
      <c r="DN104" s="296">
        <f>+'Sales Model'!BV36/'Sales Model'!BV$25</f>
      </c>
      <c r="DO104" s="181">
        <f>+'Sales Model'!BW36/'Sales Model'!BW$25</f>
      </c>
      <c r="DP104" s="181">
        <f>+'Sales Model'!BX36/'Sales Model'!BX$25</f>
      </c>
      <c r="DQ104" s="181">
        <f>+'Sales Model'!BY36/'Sales Model'!BY$25</f>
      </c>
      <c r="DR104" s="181">
        <f>+'Sales Model'!BZ36/'Sales Model'!BZ$25</f>
      </c>
      <c r="DS104" s="296">
        <f>+'Sales Model'!CA36/'Sales Model'!CA$25</f>
      </c>
      <c r="DT104" s="181">
        <f>+'Sales Model'!CB36/'Sales Model'!CB$25</f>
      </c>
      <c r="DU104" s="181">
        <f>+'Sales Model'!CC36/'Sales Model'!CC$25</f>
      </c>
      <c r="DV104" s="181">
        <f>+'Sales Model'!CD36/'Sales Model'!CD$25</f>
      </c>
      <c r="DW104" s="181">
        <f>+'Sales Model'!CE36/'Sales Model'!CE$25</f>
      </c>
      <c r="DX104" s="296">
        <f>+'Sales Model'!CF36/'Sales Model'!CF$25</f>
      </c>
      <c r="DY104" s="181">
        <f>+'Sales Model'!CG36/'Sales Model'!CG$25</f>
      </c>
      <c r="DZ104" s="181">
        <f>+'Sales Model'!CH36/'Sales Model'!CH$25</f>
      </c>
      <c r="EA104" s="181">
        <f>+'Sales Model'!CI36/'Sales Model'!CI$25</f>
      </c>
      <c r="EB104" s="181">
        <f>+'Sales Model'!CJ36/'Sales Model'!CJ$25</f>
      </c>
      <c r="EC104" s="296">
        <f>+'Sales Model'!CK36/'Sales Model'!CK$25</f>
      </c>
      <c r="ED104" s="181">
        <f>+'Sales Model'!CL36/'Sales Model'!CL$25</f>
      </c>
      <c r="EE104" s="181">
        <f>+'Sales Model'!CM36/'Sales Model'!CM$25</f>
      </c>
      <c r="EF104" s="181">
        <f>+'Sales Model'!CN36/'Sales Model'!CN$25</f>
      </c>
      <c r="EG104" s="181">
        <f>+'Sales Model'!CO36/'Sales Model'!CO$25</f>
      </c>
      <c r="EH104" s="296">
        <f>+'Sales Model'!CP36/'Sales Model'!CP$25</f>
      </c>
      <c r="EI104" s="181">
        <f>+'Sales Model'!CQ36/'Sales Model'!CQ$25</f>
      </c>
      <c r="EJ104" s="181">
        <f>+'Sales Model'!CR36/'Sales Model'!CR$25</f>
      </c>
      <c r="EK104" s="181">
        <f>+'Sales Model'!CS36/'Sales Model'!CS$25</f>
      </c>
      <c r="EL104" s="181">
        <f>+'Sales Model'!CT36/'Sales Model'!CT$25</f>
      </c>
      <c r="EM104" s="296">
        <f>+'Sales Model'!CU36/'Sales Model'!CU$25</f>
      </c>
      <c r="EN104" s="181">
        <f>+'Sales Model'!CV36/'Sales Model'!CV$25</f>
      </c>
      <c r="EO104" s="181">
        <f>+'Sales Model'!CW36/'Sales Model'!CW$25</f>
      </c>
      <c r="EP104" s="181">
        <f>+'Sales Model'!CX36/'Sales Model'!CX$25</f>
      </c>
      <c r="EQ104" s="181">
        <f>+'Sales Model'!CY36/'Sales Model'!CY$25</f>
      </c>
      <c r="ER104" s="296">
        <f>+'Sales Model'!CZ36/'Sales Model'!CZ$25</f>
      </c>
      <c r="ES104" s="181">
        <f>+'Sales Model'!DA36/'Sales Model'!DA$25</f>
      </c>
      <c r="ET104" s="181">
        <f>+'Sales Model'!DB36/'Sales Model'!DB$25</f>
      </c>
      <c r="EU104" s="181">
        <f>+'Sales Model'!DC36/'Sales Model'!DC$25</f>
      </c>
      <c r="EV104" s="181">
        <f>+'Sales Model'!DD36/'Sales Model'!DD$25</f>
      </c>
      <c r="EW104" s="1723">
        <f>+'Sales Model'!DE36/'Sales Model'!DE$25</f>
      </c>
      <c r="EX104" s="1724">
        <f>+'Sales Model'!DF36/'Sales Model'!DF$25</f>
      </c>
      <c r="EY104" s="1724">
        <f>+'Sales Model'!DG36/'Sales Model'!DG$25</f>
      </c>
      <c r="EZ104" s="1724">
        <f>+'Sales Model'!DH36/'Sales Model'!DH$25</f>
      </c>
      <c r="FA104" s="1724">
        <f>+'Sales Model'!DI36/'Sales Model'!DI$25</f>
      </c>
      <c r="FB104" s="1723">
        <f>+'Sales Model'!DJ36/'Sales Model'!DJ$25</f>
      </c>
      <c r="FC104" s="1724">
        <f>+'Sales Model'!DK36/'Sales Model'!DK$25</f>
      </c>
      <c r="FD104" s="1724">
        <f>+'Sales Model'!DL36/'Sales Model'!DL$25</f>
      </c>
      <c r="FE104" s="1724">
        <f>+'Sales Model'!DM36/'Sales Model'!DM$25</f>
      </c>
      <c r="FF104" s="1724">
        <f>+'Sales Model'!DN36/'Sales Model'!DN$25</f>
      </c>
      <c r="FG104" s="1723">
        <f>+'Sales Model'!DO36/'Sales Model'!DO$25</f>
      </c>
      <c r="FH104" s="1724">
        <f>+'Sales Model'!DP36/'Sales Model'!DP$25</f>
      </c>
      <c r="FI104" s="1724">
        <f>+'Sales Model'!DQ36/'Sales Model'!DQ$25</f>
      </c>
      <c r="FJ104" s="1724">
        <f>+'Sales Model'!DR36/'Sales Model'!DR$25</f>
      </c>
      <c r="FK104" s="1724">
        <f>+'Sales Model'!DS36/'Sales Model'!DS$25</f>
      </c>
      <c r="FL104" s="1723">
        <f>+'Sales Model'!DT36/'Sales Model'!DT$25</f>
      </c>
      <c r="FM104" s="1724">
        <f>+'Sales Model'!DU36/'Sales Model'!DU$25</f>
      </c>
      <c r="FN104" s="1724">
        <f>+'Sales Model'!DV36/'Sales Model'!DV$25</f>
      </c>
      <c r="FO104" s="2856">
        <f>+'Sales Model'!DP36/FO$24</f>
      </c>
      <c r="FP104" s="1724">
        <f>+'Sales Model'!DQ36/FP$24</f>
      </c>
      <c r="FQ104" s="1724">
        <f>+'Sales Model'!DR36/FQ$24</f>
      </c>
      <c r="FR104" s="1724">
        <f>+'Sales Model'!DS36/FR$24</f>
      </c>
      <c r="FS104" s="1723">
        <f>+'Sales Model'!DT36/FS$24</f>
      </c>
      <c r="FT104" s="1724">
        <f>+'Sales Model'!DU36/FT$24</f>
      </c>
      <c r="FU104" s="2857">
        <f>+'Sales Model'!DV36/FU$24</f>
      </c>
      <c r="FV104" s="2905">
        <f>+'Sales Model'!DW36/'Sales Model'!DW$25</f>
      </c>
      <c r="FW104" s="2905">
        <f>+'Sales Model'!DX36/'Sales Model'!DX$25</f>
      </c>
      <c r="FX104" s="2908">
        <f>+'Sales Model'!DY36/'Sales Model'!DY$25</f>
      </c>
      <c r="FY104" s="2905">
        <f>+'Sales Model'!DZ36/'Sales Model'!DZ$25</f>
      </c>
      <c r="FZ104" s="2905">
        <f>+'Sales Model'!EA36/'Sales Model'!EA$25</f>
      </c>
      <c r="GA104" s="2905">
        <f>+'Sales Model'!EB36/'Sales Model'!EB$25</f>
      </c>
      <c r="GB104" s="2905">
        <f>+'Sales Model'!EC36/'Sales Model'!EC$25</f>
      </c>
      <c r="GC104" s="2908">
        <f>+'Sales Model'!ED36/'Sales Model'!ED$25</f>
      </c>
      <c r="GD104" s="2905">
        <f>+'Sales Model'!EE36/'Sales Model'!EE$25</f>
      </c>
      <c r="GE104" s="2905">
        <f>+'Sales Model'!EF36/'Sales Model'!EF$25</f>
      </c>
      <c r="GF104" s="2905">
        <f>+'Sales Model'!EG36/'Sales Model'!EG$25</f>
      </c>
      <c r="GG104" s="2905">
        <f>+'Sales Model'!EH36/'Sales Model'!EH$25</f>
      </c>
      <c r="GH104" s="2908">
        <f>+'Sales Model'!EI36/'Sales Model'!EI$25</f>
      </c>
      <c r="GI104" s="2908">
        <f>+'Sales Model'!EJ36/'Sales Model'!EJ$25</f>
      </c>
      <c r="GJ104" s="2908">
        <f>+'Sales Model'!EK36/'Sales Model'!EK$25</f>
      </c>
      <c r="GK104" s="2908">
        <f>+'Sales Model'!EL36/'Sales Model'!EL$25</f>
      </c>
      <c r="GL104" s="2908">
        <f>+'Sales Model'!EM36/'Sales Model'!EM$25</f>
      </c>
      <c r="GM104" s="2908">
        <f>+'Sales Model'!EN36/'Sales Model'!EN$25</f>
      </c>
    </row>
    <row r="105" spans="1:195" outlineLevel="1">
      <c r="A105" s="2409"/>
      <c r="B105" s="191" t="s">
        <v>820</v>
      </c>
      <c r="Q105" s="6"/>
      <c r="V105" s="1">
        <v>324</v>
      </c>
      <c r="AG105" s="684"/>
      <c r="AL105" s="684"/>
      <c r="AQ105" s="684"/>
      <c r="AR105" s="684"/>
      <c r="AS105" s="684"/>
      <c r="AT105" s="684"/>
      <c r="AU105" s="684"/>
      <c r="AV105" s="684"/>
      <c r="BA105" s="214"/>
      <c r="BF105" s="214"/>
      <c r="BK105" s="214"/>
      <c r="BP105" s="214"/>
      <c r="BU105" s="214"/>
      <c r="BZ105" s="214"/>
      <c r="CE105" s="214"/>
      <c r="CJ105" s="214"/>
      <c r="CO105" s="214"/>
      <c r="CT105" s="214"/>
      <c r="CY105" s="214"/>
      <c r="DD105" s="214"/>
      <c r="DI105" s="214"/>
      <c r="DN105" s="214"/>
      <c r="DS105" s="214"/>
      <c r="DX105" s="214"/>
      <c r="EC105" s="214"/>
      <c r="EH105" s="214"/>
      <c r="EM105" s="214"/>
      <c r="ER105" s="214"/>
      <c r="EW105" s="1628"/>
      <c r="FB105" s="1628"/>
      <c r="FG105" s="1628"/>
      <c r="FH105" s="73"/>
      <c r="FI105" s="73"/>
      <c r="FJ105" s="73"/>
      <c r="FK105" s="73"/>
      <c r="FL105" s="1628"/>
      <c r="FM105" s="1045"/>
      <c r="FN105" s="1045"/>
      <c r="FO105" s="1630"/>
      <c r="FP105" s="73"/>
      <c r="FQ105" s="73"/>
      <c r="FR105" s="73"/>
      <c r="FS105" s="1628"/>
      <c r="FT105" s="1045"/>
      <c r="FU105" s="2051"/>
      <c r="FV105" s="1045"/>
      <c r="FW105" s="1045"/>
      <c r="FX105" s="1628"/>
      <c r="FY105" s="1045"/>
      <c r="FZ105" s="1045"/>
      <c r="GA105" s="1045"/>
      <c r="GB105" s="1045"/>
      <c r="GC105" s="1628"/>
      <c r="GD105" s="1045"/>
      <c r="GE105" s="1045"/>
      <c r="GF105" s="1045"/>
      <c r="GG105" s="1045"/>
      <c r="GH105" s="1628"/>
      <c r="GI105" s="1628"/>
      <c r="GJ105" s="1628"/>
      <c r="GK105" s="1628"/>
      <c r="GL105" s="1628"/>
      <c r="GM105" s="1628"/>
    </row>
    <row r="106" spans="1:195" outlineLevel="1">
      <c r="A106" s="2409"/>
      <c r="B106" s="2655" t="s">
        <v>153</v>
      </c>
      <c r="H106" s="17">
        <v>0.18002136752136752</v>
      </c>
      <c r="M106" s="17">
        <v>0.18124849361291878</v>
      </c>
      <c r="Q106" s="6"/>
      <c r="R106" s="17">
        <v>0.19217625245401004</v>
      </c>
      <c r="V106" s="1">
        <v>171</v>
      </c>
      <c r="W106" s="17">
        <v>0.19783562031404725</v>
      </c>
      <c r="AB106" s="17">
        <v>0.18920808440320325</v>
      </c>
      <c r="AG106" s="706">
        <v>0.19292007217917417</v>
      </c>
      <c r="AL106" s="706">
        <v>0.20249768732654949</v>
      </c>
      <c r="AQ106" s="706">
        <v>0.20504662159176279</v>
      </c>
      <c r="AR106" s="706">
        <v>0.18779180356216496</v>
      </c>
      <c r="AS106" s="706">
        <v>0.18519799412069859</v>
      </c>
      <c r="AT106" s="706">
        <v>0.19222164859748753</v>
      </c>
      <c r="AU106" s="706">
        <v>0.19397217928902627</v>
      </c>
      <c r="AV106" s="706">
        <v>0.18878132679473322</v>
      </c>
      <c r="AW106" s="17">
        <f>+'Sales Model'!E45/'Sales Model'!E$25</f>
      </c>
      <c r="AX106" s="17">
        <f>+'Sales Model'!F45/'Sales Model'!F$25</f>
      </c>
      <c r="AY106" s="17">
        <f>+'Sales Model'!G45/'Sales Model'!G$25</f>
      </c>
      <c r="AZ106" s="17">
        <f>+'Sales Model'!H45/'Sales Model'!H$25</f>
      </c>
      <c r="BA106" s="301">
        <f>+'Sales Model'!I45/'Sales Model'!I$25</f>
      </c>
      <c r="BB106" s="17">
        <f>+'Sales Model'!J45/'Sales Model'!J$25</f>
      </c>
      <c r="BC106" s="17">
        <f>+'Sales Model'!K45/'Sales Model'!K$25</f>
      </c>
      <c r="BD106" s="17">
        <f>+'Sales Model'!L45/'Sales Model'!L$25</f>
      </c>
      <c r="BE106" s="17">
        <f>+'Sales Model'!M45/'Sales Model'!M$25</f>
      </c>
      <c r="BF106" s="301">
        <f>+'Sales Model'!N45/'Sales Model'!N$25</f>
      </c>
      <c r="BG106" s="17">
        <f>+'Sales Model'!O45/'Sales Model'!O$25</f>
      </c>
      <c r="BH106" s="17">
        <f>+'Sales Model'!P45/'Sales Model'!P$25</f>
      </c>
      <c r="BI106" s="17">
        <f>+'Sales Model'!Q45/'Sales Model'!Q$25</f>
      </c>
      <c r="BJ106" s="17">
        <f>+'Sales Model'!R45/'Sales Model'!R$25</f>
      </c>
      <c r="BK106" s="301">
        <f>+'Sales Model'!S45/'Sales Model'!S$25</f>
      </c>
      <c r="BL106" s="17">
        <f>+'Sales Model'!T45/'Sales Model'!T$25</f>
      </c>
      <c r="BM106" s="17">
        <f>+'Sales Model'!U45/'Sales Model'!U$25</f>
      </c>
      <c r="BN106" s="53">
        <f>+'Sales Model'!V45/'Sales Model'!V$25</f>
      </c>
      <c r="BO106" s="17">
        <f>+'Sales Model'!W45/'Sales Model'!W$25</f>
      </c>
      <c r="BP106" s="301">
        <f>+'Sales Model'!X45/'Sales Model'!X$25</f>
      </c>
      <c r="BQ106" s="17">
        <f>+'Sales Model'!Y45/'Sales Model'!Y$25</f>
      </c>
      <c r="BR106" s="17">
        <f>+'Sales Model'!Z45/'Sales Model'!Z$25</f>
      </c>
      <c r="BS106" s="17">
        <f>+'Sales Model'!AA45/'Sales Model'!AA$25</f>
      </c>
      <c r="BT106" s="17">
        <f>+'Sales Model'!AB45/'Sales Model'!AB$25</f>
      </c>
      <c r="BU106" s="301">
        <f>+'Sales Model'!AC45/'Sales Model'!AC$25</f>
      </c>
      <c r="BV106" s="17">
        <f>+'Sales Model'!AD45/'Sales Model'!AD$25</f>
      </c>
      <c r="BW106" s="17">
        <f>+'Sales Model'!AE45/'Sales Model'!AE$25</f>
      </c>
      <c r="BX106" s="17">
        <f>+'Sales Model'!AF45/'Sales Model'!AF$25</f>
      </c>
      <c r="BY106" s="17">
        <f>+'Sales Model'!AG45/'Sales Model'!AG$25</f>
      </c>
      <c r="BZ106" s="301">
        <f>+'Sales Model'!AH45/'Sales Model'!AH$25</f>
      </c>
      <c r="CA106" s="17">
        <f>+'Sales Model'!AI45/'Sales Model'!AI$25</f>
      </c>
      <c r="CB106" s="17">
        <f>+'Sales Model'!AJ45/'Sales Model'!AJ$25</f>
      </c>
      <c r="CC106" s="17">
        <f>+'Sales Model'!AK45/'Sales Model'!AK$25</f>
      </c>
      <c r="CD106" s="17">
        <f>+'Sales Model'!AL45/'Sales Model'!AL$25</f>
      </c>
      <c r="CE106" s="301">
        <f>+'Sales Model'!AM45/'Sales Model'!AM$25</f>
      </c>
      <c r="CF106" s="17">
        <f>+'Sales Model'!AN45/'Sales Model'!AN$25</f>
      </c>
      <c r="CG106" s="17">
        <f>+'Sales Model'!AO45/'Sales Model'!AO$25</f>
      </c>
      <c r="CH106" s="17">
        <f>+'Sales Model'!AP45/'Sales Model'!AP$25</f>
      </c>
      <c r="CI106" s="17">
        <f>+'Sales Model'!AQ45/'Sales Model'!AQ$25</f>
      </c>
      <c r="CJ106" s="301">
        <f>+'Sales Model'!AR45/'Sales Model'!AR$25</f>
      </c>
      <c r="CK106" s="17">
        <f>+'Sales Model'!AS45/'Sales Model'!AS$25</f>
      </c>
      <c r="CL106" s="17">
        <f>+'Sales Model'!AT45/'Sales Model'!AT$25</f>
      </c>
      <c r="CM106" s="17">
        <f>+'Sales Model'!AU45/'Sales Model'!AU$25</f>
      </c>
      <c r="CN106" s="17">
        <f>+'Sales Model'!AV45/'Sales Model'!AV$25</f>
      </c>
      <c r="CO106" s="301">
        <f>+'Sales Model'!AW45/'Sales Model'!AW$25</f>
      </c>
      <c r="CP106" s="17">
        <f>+'Sales Model'!AX45/'Sales Model'!AX$25</f>
      </c>
      <c r="CQ106" s="17">
        <f>+'Sales Model'!AY45/'Sales Model'!AY$25</f>
      </c>
      <c r="CR106" s="17">
        <f>+'Sales Model'!AZ45/'Sales Model'!AZ$25</f>
      </c>
      <c r="CS106" s="17">
        <f>+'Sales Model'!BA45/'Sales Model'!BA$25</f>
      </c>
      <c r="CT106" s="301">
        <f>+'Sales Model'!BB45/'Sales Model'!BB$25</f>
      </c>
      <c r="CU106" s="17">
        <f>+'Sales Model'!BC45/'Sales Model'!BC$25</f>
      </c>
      <c r="CV106" s="17">
        <f>+'Sales Model'!BD45/'Sales Model'!BD$25</f>
      </c>
      <c r="CW106" s="17">
        <f>+'Sales Model'!BE45/'Sales Model'!BE$25</f>
      </c>
      <c r="CX106" s="17">
        <f>+'Sales Model'!BF45/'Sales Model'!BF$25</f>
      </c>
      <c r="CY106" s="301">
        <f>+'Sales Model'!BG45/'Sales Model'!BG$25</f>
      </c>
      <c r="CZ106" s="17">
        <f>+'Sales Model'!BH45/'Sales Model'!BH$25</f>
      </c>
      <c r="DA106" s="17">
        <f>+'Sales Model'!BI45/'Sales Model'!BI$25</f>
      </c>
      <c r="DB106" s="17">
        <f>+'Sales Model'!BJ45/'Sales Model'!BJ$25</f>
      </c>
      <c r="DC106" s="17">
        <f>+'Sales Model'!BK45/'Sales Model'!BK$25</f>
      </c>
      <c r="DD106" s="301">
        <f>+'Sales Model'!BL45/'Sales Model'!BL$25</f>
      </c>
      <c r="DE106" s="17">
        <f>+'Sales Model'!BM45/'Sales Model'!BM$25</f>
      </c>
      <c r="DF106" s="17">
        <f>+'Sales Model'!BN45/'Sales Model'!BN$25</f>
      </c>
      <c r="DG106" s="17">
        <f>+'Sales Model'!BO45/'Sales Model'!BO$25</f>
      </c>
      <c r="DH106" s="17">
        <f>+'Sales Model'!BP45/'Sales Model'!BP$25</f>
      </c>
      <c r="DI106" s="301">
        <f>+'Sales Model'!BQ45/'Sales Model'!BQ$25</f>
      </c>
      <c r="DJ106" s="17">
        <f>+'Sales Model'!BR45/'Sales Model'!BR$25</f>
      </c>
      <c r="DK106" s="17">
        <f>+'Sales Model'!BS45/'Sales Model'!BS$25</f>
      </c>
      <c r="DL106" s="17">
        <f>+'Sales Model'!BT45/'Sales Model'!BT$25</f>
      </c>
      <c r="DM106" s="17">
        <f>+'Sales Model'!BU45/'Sales Model'!BU$25</f>
      </c>
      <c r="DN106" s="301">
        <f>+'Sales Model'!BV45/'Sales Model'!BV$25</f>
      </c>
      <c r="DO106" s="17">
        <f>+'Sales Model'!BW45/'Sales Model'!BW$25</f>
      </c>
      <c r="DP106" s="17">
        <f>+'Sales Model'!BX45/'Sales Model'!BX$25</f>
      </c>
      <c r="DQ106" s="17">
        <f>+'Sales Model'!BY45/'Sales Model'!BY$25</f>
      </c>
      <c r="DR106" s="17">
        <f>+'Sales Model'!BZ45/'Sales Model'!BZ$25</f>
      </c>
      <c r="DS106" s="301">
        <f>+'Sales Model'!CA45/'Sales Model'!CA$25</f>
      </c>
      <c r="DT106" s="17">
        <f>+'Sales Model'!CB45/'Sales Model'!CB$25</f>
      </c>
      <c r="DU106" s="17">
        <f>+'Sales Model'!CC45/'Sales Model'!CC$25</f>
      </c>
      <c r="DV106" s="17">
        <f>+'Sales Model'!CD45/'Sales Model'!CD$25</f>
      </c>
      <c r="DW106" s="17">
        <f>+'Sales Model'!CE45/'Sales Model'!CE$25</f>
      </c>
      <c r="DX106" s="301">
        <f>+'Sales Model'!CF45/'Sales Model'!CF$25</f>
      </c>
      <c r="DY106" s="17">
        <f>+'Sales Model'!CG45/'Sales Model'!CG$25</f>
      </c>
      <c r="DZ106" s="17">
        <f>+'Sales Model'!CH45/'Sales Model'!CH$25</f>
      </c>
      <c r="EA106" s="17">
        <f>+'Sales Model'!CI45/'Sales Model'!CI$25</f>
      </c>
      <c r="EB106" s="17">
        <f>+'Sales Model'!CJ45/'Sales Model'!CJ$25</f>
      </c>
      <c r="EC106" s="301">
        <f>+'Sales Model'!CK45/'Sales Model'!CK$25</f>
      </c>
      <c r="ED106" s="17">
        <f>+'Sales Model'!CL45/'Sales Model'!CL$25</f>
      </c>
      <c r="EE106" s="17">
        <f>+'Sales Model'!CM45/'Sales Model'!CM$25</f>
      </c>
      <c r="EF106" s="17">
        <f>+'Sales Model'!CN45/'Sales Model'!CN$25</f>
      </c>
      <c r="EG106" s="17">
        <f>+'Sales Model'!CO45/'Sales Model'!CO$25</f>
      </c>
      <c r="EH106" s="301">
        <f>+'Sales Model'!CP45/'Sales Model'!CP$25</f>
      </c>
      <c r="EI106" s="17">
        <f>+'Sales Model'!CQ45/'Sales Model'!CQ$25</f>
      </c>
      <c r="EJ106" s="17">
        <f>+'Sales Model'!CR45/'Sales Model'!CR$25</f>
      </c>
      <c r="EK106" s="17">
        <f>+'Sales Model'!CS45/'Sales Model'!CS$25</f>
      </c>
      <c r="EL106" s="17">
        <f>+'Sales Model'!CT45/'Sales Model'!CT$25</f>
      </c>
      <c r="EM106" s="301">
        <f>+'Sales Model'!CU45/'Sales Model'!CU$25</f>
      </c>
      <c r="EN106" s="17">
        <f>+'Sales Model'!CV45/'Sales Model'!CV$25</f>
      </c>
      <c r="EO106" s="17">
        <f>+'Sales Model'!CW45/'Sales Model'!CW$25</f>
      </c>
      <c r="EP106" s="17">
        <f>+'Sales Model'!CX45/'Sales Model'!CX$25</f>
      </c>
      <c r="EQ106" s="17">
        <f>+'Sales Model'!CY45/'Sales Model'!CY$25</f>
      </c>
      <c r="ER106" s="301">
        <f>+'Sales Model'!CZ45/'Sales Model'!CZ$25</f>
      </c>
      <c r="ES106" s="17">
        <f>+'Sales Model'!DA45/'Sales Model'!DA$25</f>
      </c>
      <c r="ET106" s="17">
        <f>+'Sales Model'!DB45/'Sales Model'!DB$25</f>
      </c>
      <c r="EU106" s="17">
        <f>+'Sales Model'!DC45/'Sales Model'!DC$25</f>
      </c>
      <c r="EV106" s="17">
        <f>+'Sales Model'!DD45/'Sales Model'!DD$25</f>
      </c>
      <c r="EW106" s="1705">
        <f>+'Sales Model'!DE45/'Sales Model'!DE$25</f>
      </c>
      <c r="EX106" s="1704">
        <f>+'Sales Model'!DF45/'Sales Model'!DF$25</f>
      </c>
      <c r="EY106" s="1704">
        <f>+'Sales Model'!DG45/'Sales Model'!DG$25</f>
      </c>
      <c r="EZ106" s="1704">
        <f>+'Sales Model'!DH45/'Sales Model'!DH$25</f>
      </c>
      <c r="FA106" s="1704">
        <f>+'Sales Model'!DI45/'Sales Model'!DI$25</f>
      </c>
      <c r="FB106" s="1705">
        <f>+'Sales Model'!DJ45/'Sales Model'!DJ$25</f>
      </c>
      <c r="FC106" s="1704">
        <f>+'Sales Model'!DK45/'Sales Model'!DK$25</f>
      </c>
      <c r="FD106" s="1704">
        <f>+'Sales Model'!DL45/'Sales Model'!DL$25</f>
      </c>
      <c r="FE106" s="1704">
        <f>+'Sales Model'!DM45/'Sales Model'!DM$25</f>
      </c>
      <c r="FF106" s="1704">
        <f>+'Sales Model'!DN45/'Sales Model'!DN$25</f>
      </c>
      <c r="FG106" s="1705">
        <f>+'Sales Model'!DO45/'Sales Model'!DO$25</f>
      </c>
      <c r="FH106" s="1704">
        <f>+'Sales Model'!DP45/'Sales Model'!DP$25</f>
      </c>
      <c r="FI106" s="1704">
        <f>+'Sales Model'!DQ45/'Sales Model'!DQ$25</f>
      </c>
      <c r="FJ106" s="1704">
        <f>+'Sales Model'!DR45/'Sales Model'!DR$25</f>
      </c>
      <c r="FK106" s="1704">
        <f>+'Sales Model'!DS45/'Sales Model'!DS$25</f>
      </c>
      <c r="FL106" s="1705">
        <f>+'Sales Model'!DT45/'Sales Model'!DT$25</f>
      </c>
      <c r="FM106" s="2906">
        <f>+'Sales Model'!DU45/'Sales Model'!DU$25</f>
      </c>
      <c r="FN106" s="2906">
        <f>+'Sales Model'!DV45/'Sales Model'!DV$25</f>
      </c>
      <c r="FO106" s="2845">
        <f>+'Sales Model'!DP45/FO$24</f>
      </c>
      <c r="FP106" s="1704">
        <f>+'Sales Model'!DQ45/FP$24</f>
      </c>
      <c r="FQ106" s="1704">
        <f>+'Sales Model'!DR45/FQ$24</f>
      </c>
      <c r="FR106" s="1704">
        <f>+'Sales Model'!DS45/FR$24</f>
      </c>
      <c r="FS106" s="1705">
        <f>+'Sales Model'!DT45/FS$24</f>
      </c>
      <c r="FT106" s="1105">
        <f>+'Sales Model'!DU45/FT$24</f>
      </c>
      <c r="FU106" s="2855">
        <f>+'Sales Model'!DV45/FU$24</f>
      </c>
      <c r="FV106" s="2906">
        <f>+'Sales Model'!DW45/'Sales Model'!DW$25</f>
      </c>
      <c r="FW106" s="2906">
        <f>+'Sales Model'!DX45/'Sales Model'!DX$25</f>
      </c>
      <c r="FX106" s="2907">
        <f>+'Sales Model'!DY45/'Sales Model'!DY$25</f>
      </c>
      <c r="FY106" s="2906">
        <f>+'Sales Model'!DZ45/'Sales Model'!DZ$25</f>
      </c>
      <c r="FZ106" s="2906">
        <f>+'Sales Model'!EA45/'Sales Model'!EA$25</f>
      </c>
      <c r="GA106" s="2906">
        <f>+'Sales Model'!EB45/'Sales Model'!EB$25</f>
      </c>
      <c r="GB106" s="2906">
        <f>+'Sales Model'!EC45/'Sales Model'!EC$25</f>
      </c>
      <c r="GC106" s="2907">
        <f>+'Sales Model'!ED45/'Sales Model'!ED$25</f>
      </c>
      <c r="GD106" s="2906">
        <f>+'Sales Model'!EE45/'Sales Model'!EE$25</f>
      </c>
      <c r="GE106" s="2906">
        <f>+'Sales Model'!EF45/'Sales Model'!EF$25</f>
      </c>
      <c r="GF106" s="2906">
        <f>+'Sales Model'!EG45/'Sales Model'!EG$25</f>
      </c>
      <c r="GG106" s="2906">
        <f>+'Sales Model'!EH45/'Sales Model'!EH$25</f>
      </c>
      <c r="GH106" s="2907">
        <f>+'Sales Model'!EI45/'Sales Model'!EI$25</f>
      </c>
      <c r="GI106" s="2907">
        <f>+'Sales Model'!EJ45/'Sales Model'!EJ$25</f>
      </c>
      <c r="GJ106" s="2907">
        <f>+'Sales Model'!EK45/'Sales Model'!EK$25</f>
      </c>
      <c r="GK106" s="2907">
        <f>+'Sales Model'!EL45/'Sales Model'!EL$25</f>
      </c>
      <c r="GL106" s="2907">
        <f>+'Sales Model'!EM45/'Sales Model'!EM$25</f>
      </c>
      <c r="GM106" s="2907">
        <f>+'Sales Model'!EN45/'Sales Model'!EN$25</f>
      </c>
    </row>
    <row r="107" spans="1:195" outlineLevel="1">
      <c r="A107" s="2409"/>
      <c r="B107" s="192" t="s">
        <v>235</v>
      </c>
      <c r="H107" s="17">
        <v>0.15090811965811965</v>
      </c>
      <c r="M107" s="17">
        <v>0.14557724752952519</v>
      </c>
      <c r="Q107" s="6"/>
      <c r="R107" s="17">
        <v>0.14469570275576238</v>
      </c>
      <c r="W107" s="17">
        <v>0.14337247135379827</v>
      </c>
      <c r="AB107" s="17">
        <v>0.14923096478962755</v>
      </c>
      <c r="AG107" s="706">
        <v>0.16463220464918799</v>
      </c>
      <c r="AL107" s="706">
        <v>0.17067530064754857</v>
      </c>
      <c r="AQ107" s="706">
        <v>0.16770515709929737</v>
      </c>
      <c r="AR107" s="706">
        <v>0.16704132803043403</v>
      </c>
      <c r="AS107" s="706">
        <v>0.1692892962130382</v>
      </c>
      <c r="AT107" s="706">
        <v>0.15866460161762175</v>
      </c>
      <c r="AU107" s="706">
        <v>0.18098918083462132</v>
      </c>
      <c r="AV107" s="706">
        <v>0.16833942761085893</v>
      </c>
      <c r="AW107" s="17">
        <f>+'Sales Model'!E46/'Sales Model'!E$25</f>
      </c>
      <c r="AX107" s="17">
        <f>+'Sales Model'!F46/'Sales Model'!F$25</f>
      </c>
      <c r="AY107" s="17">
        <f>+'Sales Model'!G46/'Sales Model'!G$25</f>
      </c>
      <c r="AZ107" s="17">
        <f>+'Sales Model'!H46/'Sales Model'!H$25</f>
      </c>
      <c r="BA107" s="301">
        <f>+'Sales Model'!I46/'Sales Model'!I$25</f>
      </c>
      <c r="BB107" s="17">
        <f>+'Sales Model'!J46/'Sales Model'!J$25</f>
      </c>
      <c r="BC107" s="17">
        <f>+'Sales Model'!K46/'Sales Model'!K$25</f>
      </c>
      <c r="BD107" s="17">
        <f>+'Sales Model'!L46/'Sales Model'!L$25</f>
      </c>
      <c r="BE107" s="17">
        <f>+'Sales Model'!M46/'Sales Model'!M$25</f>
      </c>
      <c r="BF107" s="301">
        <f>+'Sales Model'!N46/'Sales Model'!N$25</f>
      </c>
      <c r="BG107" s="17">
        <f>+'Sales Model'!O46/'Sales Model'!O$25</f>
      </c>
      <c r="BH107" s="17">
        <f>+'Sales Model'!P46/'Sales Model'!P$25</f>
      </c>
      <c r="BI107" s="17">
        <f>+'Sales Model'!Q46/'Sales Model'!Q$25</f>
      </c>
      <c r="BJ107" s="17">
        <f>+'Sales Model'!R46/'Sales Model'!R$25</f>
      </c>
      <c r="BK107" s="301">
        <f>+'Sales Model'!S46/'Sales Model'!S$25</f>
      </c>
      <c r="BL107" s="17">
        <f>+'Sales Model'!T46/'Sales Model'!T$25</f>
      </c>
      <c r="BM107" s="17">
        <f>+'Sales Model'!U46/'Sales Model'!U$25</f>
      </c>
      <c r="BN107" s="53">
        <f>+'Sales Model'!V46/'Sales Model'!V$25</f>
      </c>
      <c r="BO107" s="17">
        <f>+'Sales Model'!W46/'Sales Model'!W$25</f>
      </c>
      <c r="BP107" s="301">
        <f>+'Sales Model'!X46/'Sales Model'!X$25</f>
      </c>
      <c r="BQ107" s="17">
        <f>+'Sales Model'!Y46/'Sales Model'!Y$25</f>
      </c>
      <c r="BR107" s="17">
        <f>+'Sales Model'!Z46/'Sales Model'!Z$25</f>
      </c>
      <c r="BS107" s="17">
        <f>+'Sales Model'!AA46/'Sales Model'!AA$25</f>
      </c>
      <c r="BT107" s="17">
        <f>+'Sales Model'!AB46/'Sales Model'!AB$25</f>
      </c>
      <c r="BU107" s="301">
        <f>+'Sales Model'!AC46/'Sales Model'!AC$25</f>
      </c>
      <c r="BV107" s="17">
        <f>+'Sales Model'!AD46/'Sales Model'!AD$25</f>
      </c>
      <c r="BW107" s="17">
        <f>+'Sales Model'!AE46/'Sales Model'!AE$25</f>
      </c>
      <c r="BX107" s="17">
        <f>+'Sales Model'!AF46/'Sales Model'!AF$25</f>
      </c>
      <c r="BY107" s="17">
        <f>+'Sales Model'!AG46/'Sales Model'!AG$25</f>
      </c>
      <c r="BZ107" s="301">
        <f>+'Sales Model'!AH46/'Sales Model'!AH$25</f>
      </c>
      <c r="CA107" s="17">
        <f>+'Sales Model'!AI46/'Sales Model'!AI$25</f>
      </c>
      <c r="CB107" s="17">
        <f>+'Sales Model'!AJ46/'Sales Model'!AJ$25</f>
      </c>
      <c r="CC107" s="17">
        <f>+'Sales Model'!AK46/'Sales Model'!AK$25</f>
      </c>
      <c r="CD107" s="17">
        <f>+'Sales Model'!AL46/'Sales Model'!AL$25</f>
      </c>
      <c r="CE107" s="301">
        <f>+'Sales Model'!AM46/'Sales Model'!AM$25</f>
      </c>
      <c r="CF107" s="17">
        <f>+'Sales Model'!AN46/'Sales Model'!AN$25</f>
      </c>
      <c r="CG107" s="17">
        <f>+'Sales Model'!AO46/'Sales Model'!AO$25</f>
      </c>
      <c r="CH107" s="17">
        <f>+'Sales Model'!AP46/'Sales Model'!AP$25</f>
      </c>
      <c r="CI107" s="17">
        <f>+'Sales Model'!AQ46/'Sales Model'!AQ$25</f>
      </c>
      <c r="CJ107" s="301">
        <f>+'Sales Model'!AR46/'Sales Model'!AR$25</f>
      </c>
      <c r="CK107" s="17">
        <f>+'Sales Model'!AS46/'Sales Model'!AS$25</f>
      </c>
      <c r="CL107" s="17">
        <f>+'Sales Model'!AT46/'Sales Model'!AT$25</f>
      </c>
      <c r="CM107" s="17">
        <f>+'Sales Model'!AU46/'Sales Model'!AU$25</f>
      </c>
      <c r="CN107" s="17">
        <f>+'Sales Model'!AV46/'Sales Model'!AV$25</f>
      </c>
      <c r="CO107" s="301">
        <f>+'Sales Model'!AW46/'Sales Model'!AW$25</f>
      </c>
      <c r="CP107" s="17">
        <f>+'Sales Model'!AX46/'Sales Model'!AX$25</f>
      </c>
      <c r="CQ107" s="17">
        <f>+'Sales Model'!AY46/'Sales Model'!AY$25</f>
      </c>
      <c r="CR107" s="17">
        <f>+'Sales Model'!AZ46/'Sales Model'!AZ$25</f>
      </c>
      <c r="CS107" s="17">
        <f>+'Sales Model'!BA46/'Sales Model'!BA$25</f>
      </c>
      <c r="CT107" s="301">
        <f>+'Sales Model'!BB46/'Sales Model'!BB$25</f>
      </c>
      <c r="CU107" s="17">
        <f>+'Sales Model'!BC46/'Sales Model'!BC$25</f>
      </c>
      <c r="CV107" s="17">
        <f>+'Sales Model'!BD46/'Sales Model'!BD$25</f>
      </c>
      <c r="CW107" s="17">
        <f>+'Sales Model'!BE46/'Sales Model'!BE$25</f>
      </c>
      <c r="CX107" s="17">
        <f>+'Sales Model'!BF46/'Sales Model'!BF$25</f>
      </c>
      <c r="CY107" s="301">
        <f>+'Sales Model'!BG46/'Sales Model'!BG$25</f>
      </c>
      <c r="CZ107" s="17">
        <f>+'Sales Model'!BH46/'Sales Model'!BH$25</f>
      </c>
      <c r="DA107" s="17">
        <f>+'Sales Model'!BI46/'Sales Model'!BI$25</f>
      </c>
      <c r="DB107" s="17">
        <f>+'Sales Model'!BJ46/'Sales Model'!BJ$25</f>
      </c>
      <c r="DC107" s="17">
        <f>+'Sales Model'!BK46/'Sales Model'!BK$25</f>
      </c>
      <c r="DD107" s="301">
        <f>+'Sales Model'!BL46/'Sales Model'!BL$25</f>
      </c>
      <c r="DE107" s="17">
        <f>+'Sales Model'!BM46/'Sales Model'!BM$25</f>
      </c>
      <c r="DF107" s="17">
        <f>+'Sales Model'!BN46/'Sales Model'!BN$25</f>
      </c>
      <c r="DG107" s="17">
        <f>+'Sales Model'!BO46/'Sales Model'!BO$25</f>
      </c>
      <c r="DH107" s="17">
        <f>+'Sales Model'!BP46/'Sales Model'!BP$25</f>
      </c>
      <c r="DI107" s="301">
        <f>+'Sales Model'!BQ46/'Sales Model'!BQ$25</f>
      </c>
      <c r="DJ107" s="17">
        <f>+'Sales Model'!BR46/'Sales Model'!BR$25</f>
      </c>
      <c r="DK107" s="17">
        <f>+'Sales Model'!BS46/'Sales Model'!BS$25</f>
      </c>
      <c r="DL107" s="17">
        <f>+'Sales Model'!BT46/'Sales Model'!BT$25</f>
      </c>
      <c r="DM107" s="17">
        <f>+'Sales Model'!BU46/'Sales Model'!BU$25</f>
      </c>
      <c r="DN107" s="301">
        <f>+'Sales Model'!BV46/'Sales Model'!BV$25</f>
      </c>
      <c r="DO107" s="17">
        <f>+'Sales Model'!BW46/'Sales Model'!BW$25</f>
      </c>
      <c r="DP107" s="17">
        <f>+'Sales Model'!BX46/'Sales Model'!BX$25</f>
      </c>
      <c r="DQ107" s="17">
        <f>+'Sales Model'!BY46/'Sales Model'!BY$25</f>
      </c>
      <c r="DR107" s="17">
        <f>+'Sales Model'!BZ46/'Sales Model'!BZ$25</f>
      </c>
      <c r="DS107" s="301">
        <f>+'Sales Model'!CA46/'Sales Model'!CA$25</f>
      </c>
      <c r="DT107" s="17">
        <f>+'Sales Model'!CB46/'Sales Model'!CB$25</f>
      </c>
      <c r="DU107" s="17">
        <f>+'Sales Model'!CC46/'Sales Model'!CC$25</f>
      </c>
      <c r="DV107" s="17">
        <f>+'Sales Model'!CD46/'Sales Model'!CD$25</f>
      </c>
      <c r="DW107" s="17">
        <f>+'Sales Model'!CE46/'Sales Model'!CE$25</f>
      </c>
      <c r="DX107" s="301">
        <f>+'Sales Model'!CF46/'Sales Model'!CF$25</f>
      </c>
      <c r="DY107" s="17">
        <f>+'Sales Model'!CG46/'Sales Model'!CG$25</f>
      </c>
      <c r="DZ107" s="17">
        <f>+'Sales Model'!CH46/'Sales Model'!CH$25</f>
      </c>
      <c r="EA107" s="17">
        <f>+'Sales Model'!CI46/'Sales Model'!CI$25</f>
      </c>
      <c r="EB107" s="17">
        <f>+'Sales Model'!CJ46/'Sales Model'!CJ$25</f>
      </c>
      <c r="EC107" s="301">
        <f>+'Sales Model'!CK46/'Sales Model'!CK$25</f>
      </c>
      <c r="ED107" s="17">
        <f>+'Sales Model'!CL46/'Sales Model'!CL$25</f>
      </c>
      <c r="EE107" s="17">
        <f>+'Sales Model'!CM46/'Sales Model'!CM$25</f>
      </c>
      <c r="EF107" s="17">
        <f>+'Sales Model'!CN46/'Sales Model'!CN$25</f>
      </c>
      <c r="EG107" s="17">
        <f>+'Sales Model'!CO46/'Sales Model'!CO$25</f>
      </c>
      <c r="EH107" s="301">
        <f>+'Sales Model'!CP46/'Sales Model'!CP$25</f>
      </c>
      <c r="EI107" s="17">
        <f>+'Sales Model'!CQ46/'Sales Model'!CQ$25</f>
      </c>
      <c r="EJ107" s="17">
        <f>+'Sales Model'!CR46/'Sales Model'!CR$25</f>
      </c>
      <c r="EK107" s="17">
        <f>+'Sales Model'!CS46/'Sales Model'!CS$25</f>
      </c>
      <c r="EL107" s="17">
        <f>+'Sales Model'!CT46/'Sales Model'!CT$25</f>
      </c>
      <c r="EM107" s="301">
        <f>+'Sales Model'!CU46/'Sales Model'!CU$25</f>
      </c>
      <c r="EN107" s="17">
        <f>+'Sales Model'!CV46/'Sales Model'!CV$25</f>
      </c>
      <c r="EO107" s="17">
        <f>+'Sales Model'!CW46/'Sales Model'!CW$25</f>
      </c>
      <c r="EP107" s="17">
        <f>+'Sales Model'!CX46/'Sales Model'!CX$25</f>
      </c>
      <c r="EQ107" s="17">
        <f>+'Sales Model'!CY46/'Sales Model'!CY$25</f>
      </c>
      <c r="ER107" s="301">
        <f>+'Sales Model'!CZ46/'Sales Model'!CZ$25</f>
      </c>
      <c r="ES107" s="17">
        <f>+'Sales Model'!DA46/'Sales Model'!DA$25</f>
      </c>
      <c r="ET107" s="17">
        <f>+'Sales Model'!DB46/'Sales Model'!DB$25</f>
      </c>
      <c r="EU107" s="17">
        <f>+'Sales Model'!DC46/'Sales Model'!DC$25</f>
      </c>
      <c r="EV107" s="17">
        <f>+'Sales Model'!DD46/'Sales Model'!DD$25</f>
      </c>
      <c r="EW107" s="1705">
        <f>+'Sales Model'!DE46/'Sales Model'!DE$25</f>
      </c>
      <c r="EX107" s="1704">
        <f>+'Sales Model'!DF46/'Sales Model'!DF$25</f>
      </c>
      <c r="EY107" s="1704">
        <f>+'Sales Model'!DG46/'Sales Model'!DG$25</f>
      </c>
      <c r="EZ107" s="1704">
        <f>+'Sales Model'!DH46/'Sales Model'!DH$25</f>
      </c>
      <c r="FA107" s="1704">
        <f>+'Sales Model'!DI46/'Sales Model'!DI$25</f>
      </c>
      <c r="FB107" s="1705">
        <f>+'Sales Model'!DJ46/'Sales Model'!DJ$25</f>
      </c>
      <c r="FC107" s="1704">
        <f>+'Sales Model'!DK46/'Sales Model'!DK$25</f>
      </c>
      <c r="FD107" s="1704">
        <f>+'Sales Model'!DL46/'Sales Model'!DL$25</f>
      </c>
      <c r="FE107" s="1704">
        <f>+'Sales Model'!DM46/'Sales Model'!DM$25</f>
      </c>
      <c r="FF107" s="1704">
        <f>+'Sales Model'!DN46/'Sales Model'!DN$25</f>
      </c>
      <c r="FG107" s="1705">
        <f>+'Sales Model'!DO46/'Sales Model'!DO$25</f>
      </c>
      <c r="FH107" s="1704">
        <f>+'Sales Model'!DP46/'Sales Model'!DP$25</f>
      </c>
      <c r="FI107" s="1704">
        <f>+'Sales Model'!DQ46/'Sales Model'!DQ$25</f>
      </c>
      <c r="FJ107" s="1704">
        <f>+'Sales Model'!DR46/'Sales Model'!DR$25</f>
      </c>
      <c r="FK107" s="1704">
        <f>+'Sales Model'!DS46/'Sales Model'!DS$25</f>
      </c>
      <c r="FL107" s="1705">
        <f>+'Sales Model'!DT46/'Sales Model'!DT$25</f>
      </c>
      <c r="FM107" s="2906">
        <f>+'Sales Model'!DU46/'Sales Model'!DU$25</f>
      </c>
      <c r="FN107" s="2906">
        <f>+'Sales Model'!DV46/'Sales Model'!DV$25</f>
      </c>
      <c r="FO107" s="2845">
        <f>+'Sales Model'!DP46/FO$24</f>
      </c>
      <c r="FP107" s="1704">
        <f>+'Sales Model'!DQ46/FP$24</f>
      </c>
      <c r="FQ107" s="1704">
        <f>+'Sales Model'!DR46/FQ$24</f>
      </c>
      <c r="FR107" s="1704">
        <f>+'Sales Model'!DS46/FR$24</f>
      </c>
      <c r="FS107" s="1705">
        <f>+'Sales Model'!DT46/FS$24</f>
      </c>
      <c r="FT107" s="1105">
        <f>+'Sales Model'!DU46/FT$24</f>
      </c>
      <c r="FU107" s="2855">
        <f>+'Sales Model'!DV46/FU$24</f>
      </c>
      <c r="FV107" s="2906">
        <f>+'Sales Model'!DW46/'Sales Model'!DW$25</f>
      </c>
      <c r="FW107" s="2906">
        <f>+'Sales Model'!DX46/'Sales Model'!DX$25</f>
      </c>
      <c r="FX107" s="2907">
        <f>+'Sales Model'!DY46/'Sales Model'!DY$25</f>
      </c>
      <c r="FY107" s="2906">
        <f>+'Sales Model'!DZ46/'Sales Model'!DZ$25</f>
      </c>
      <c r="FZ107" s="2906">
        <f>+'Sales Model'!EA46/'Sales Model'!EA$25</f>
      </c>
      <c r="GA107" s="2906">
        <f>+'Sales Model'!EB46/'Sales Model'!EB$25</f>
      </c>
      <c r="GB107" s="2906">
        <f>+'Sales Model'!EC46/'Sales Model'!EC$25</f>
      </c>
      <c r="GC107" s="2907">
        <f>+'Sales Model'!ED46/'Sales Model'!ED$25</f>
      </c>
      <c r="GD107" s="2906">
        <f>+'Sales Model'!EE46/'Sales Model'!EE$25</f>
      </c>
      <c r="GE107" s="2906">
        <f>+'Sales Model'!EF46/'Sales Model'!EF$25</f>
      </c>
      <c r="GF107" s="2906">
        <f>+'Sales Model'!EG46/'Sales Model'!EG$25</f>
      </c>
      <c r="GG107" s="2906">
        <f>+'Sales Model'!EH46/'Sales Model'!EH$25</f>
      </c>
      <c r="GH107" s="2907">
        <f>+'Sales Model'!EI46/'Sales Model'!EI$25</f>
      </c>
      <c r="GI107" s="2907">
        <f>+'Sales Model'!EJ46/'Sales Model'!EJ$25</f>
      </c>
      <c r="GJ107" s="2907">
        <f>+'Sales Model'!EK46/'Sales Model'!EK$25</f>
      </c>
      <c r="GK107" s="2907">
        <f>+'Sales Model'!EL46/'Sales Model'!EL$25</f>
      </c>
      <c r="GL107" s="2907">
        <f>+'Sales Model'!EM46/'Sales Model'!EM$25</f>
      </c>
      <c r="GM107" s="2907">
        <f>+'Sales Model'!EN46/'Sales Model'!EN$25</f>
      </c>
    </row>
    <row r="108" spans="1:195" s="3" customFormat="1" outlineLevel="1">
      <c r="A108" s="3319"/>
      <c r="B108" s="194" t="s">
        <v>188</v>
      </c>
      <c r="H108" s="181">
        <v>0.33092948717948717</v>
      </c>
      <c r="M108" s="181">
        <v>0.32682574114244395</v>
      </c>
      <c r="Q108" s="56"/>
      <c r="R108" s="181">
        <v>0.33687195520977242</v>
      </c>
      <c r="S108" s="1"/>
      <c r="W108" s="181">
        <v>0.34120809166784555</v>
      </c>
      <c r="X108" s="1"/>
      <c r="AB108" s="181">
        <v>0.3384390491928308</v>
      </c>
      <c r="AG108" s="707">
        <v>0.35755227682836216</v>
      </c>
      <c r="AL108" s="707">
        <v>0.37317298797409804</v>
      </c>
      <c r="AQ108" s="707">
        <v>0.37275177869106013</v>
      </c>
      <c r="AR108" s="707">
        <v>0.35483313159259899</v>
      </c>
      <c r="AS108" s="707">
        <v>0.35448729033373683</v>
      </c>
      <c r="AT108" s="707">
        <v>0.35088625021510927</v>
      </c>
      <c r="AU108" s="707">
        <v>0.37496136012364761</v>
      </c>
      <c r="AV108" s="707">
        <v>0.35712075440559216</v>
      </c>
      <c r="AW108" s="181">
        <f>+'Sales Model'!E47/'Sales Model'!E$25</f>
      </c>
      <c r="AX108" s="181">
        <f>+'Sales Model'!F47/'Sales Model'!F$25</f>
      </c>
      <c r="AY108" s="181">
        <f>+'Sales Model'!G47/'Sales Model'!G$25</f>
      </c>
      <c r="AZ108" s="181">
        <f>+'Sales Model'!H47/'Sales Model'!H$25</f>
      </c>
      <c r="BA108" s="296">
        <f>+'Sales Model'!I47/'Sales Model'!I$25</f>
      </c>
      <c r="BB108" s="181">
        <f>+'Sales Model'!J47/'Sales Model'!J$25</f>
      </c>
      <c r="BC108" s="181">
        <f>+'Sales Model'!K47/'Sales Model'!K$25</f>
      </c>
      <c r="BD108" s="181">
        <f>+'Sales Model'!L47/'Sales Model'!L$25</f>
      </c>
      <c r="BE108" s="181">
        <f>+'Sales Model'!M47/'Sales Model'!M$25</f>
      </c>
      <c r="BF108" s="296">
        <f>+'Sales Model'!N47/'Sales Model'!N$25</f>
      </c>
      <c r="BG108" s="181">
        <f>+'Sales Model'!O47/'Sales Model'!O$25</f>
      </c>
      <c r="BH108" s="181">
        <f>+'Sales Model'!P47/'Sales Model'!P$25</f>
      </c>
      <c r="BI108" s="181">
        <f>+'Sales Model'!Q47/'Sales Model'!Q$25</f>
      </c>
      <c r="BJ108" s="181">
        <f>+'Sales Model'!R47/'Sales Model'!R$25</f>
      </c>
      <c r="BK108" s="296">
        <f>+'Sales Model'!S47/'Sales Model'!S$25</f>
      </c>
      <c r="BL108" s="181">
        <f>+'Sales Model'!T47/'Sales Model'!T$25</f>
      </c>
      <c r="BM108" s="181">
        <f>+'Sales Model'!U47/'Sales Model'!U$25</f>
      </c>
      <c r="BN108" s="182">
        <f>+'Sales Model'!V47/'Sales Model'!V$25</f>
      </c>
      <c r="BO108" s="181">
        <f>+'Sales Model'!W47/'Sales Model'!W$25</f>
      </c>
      <c r="BP108" s="296">
        <f>+'Sales Model'!X47/'Sales Model'!X$25</f>
      </c>
      <c r="BQ108" s="181">
        <f>+'Sales Model'!Y47/'Sales Model'!Y$25</f>
      </c>
      <c r="BR108" s="181">
        <f>+'Sales Model'!Z47/'Sales Model'!Z$25</f>
      </c>
      <c r="BS108" s="181">
        <f>+'Sales Model'!AA47/'Sales Model'!AA$25</f>
      </c>
      <c r="BT108" s="181">
        <f>+'Sales Model'!AB47/'Sales Model'!AB$25</f>
      </c>
      <c r="BU108" s="296">
        <f>+'Sales Model'!AC47/'Sales Model'!AC$25</f>
      </c>
      <c r="BV108" s="181">
        <f>+'Sales Model'!AD47/'Sales Model'!AD$25</f>
      </c>
      <c r="BW108" s="181">
        <f>+'Sales Model'!AE47/'Sales Model'!AE$25</f>
      </c>
      <c r="BX108" s="181">
        <f>+'Sales Model'!AF47/'Sales Model'!AF$25</f>
      </c>
      <c r="BY108" s="181">
        <f>+'Sales Model'!AG47/'Sales Model'!AG$25</f>
      </c>
      <c r="BZ108" s="296">
        <f>+'Sales Model'!AH47/'Sales Model'!AH$25</f>
      </c>
      <c r="CA108" s="181">
        <f>+'Sales Model'!AI47/'Sales Model'!AI$25</f>
      </c>
      <c r="CB108" s="181">
        <f>+'Sales Model'!AJ47/'Sales Model'!AJ$25</f>
      </c>
      <c r="CC108" s="181">
        <f>+'Sales Model'!AK47/'Sales Model'!AK$25</f>
      </c>
      <c r="CD108" s="181">
        <f>+'Sales Model'!AL47/'Sales Model'!AL$25</f>
      </c>
      <c r="CE108" s="296">
        <f>+'Sales Model'!AM47/'Sales Model'!AM$25</f>
      </c>
      <c r="CF108" s="181">
        <f>+'Sales Model'!AN47/'Sales Model'!AN$25</f>
      </c>
      <c r="CG108" s="181">
        <f>+'Sales Model'!AO47/'Sales Model'!AO$25</f>
      </c>
      <c r="CH108" s="181">
        <f>+'Sales Model'!AP47/'Sales Model'!AP$25</f>
      </c>
      <c r="CI108" s="181">
        <f>+'Sales Model'!AQ47/'Sales Model'!AQ$25</f>
      </c>
      <c r="CJ108" s="296">
        <f>+'Sales Model'!AR47/'Sales Model'!AR$25</f>
      </c>
      <c r="CK108" s="181">
        <f>+'Sales Model'!AS47/'Sales Model'!AS$25</f>
      </c>
      <c r="CL108" s="181">
        <f>+'Sales Model'!AT47/'Sales Model'!AT$25</f>
      </c>
      <c r="CM108" s="181">
        <f>+'Sales Model'!AU47/'Sales Model'!AU$25</f>
      </c>
      <c r="CN108" s="181">
        <f>+'Sales Model'!AV47/'Sales Model'!AV$25</f>
      </c>
      <c r="CO108" s="296">
        <f>+'Sales Model'!AW47/'Sales Model'!AW$25</f>
      </c>
      <c r="CP108" s="181">
        <f>+'Sales Model'!AX47/'Sales Model'!AX$25</f>
      </c>
      <c r="CQ108" s="181">
        <f>+'Sales Model'!AY47/'Sales Model'!AY$25</f>
      </c>
      <c r="CR108" s="181">
        <f>+'Sales Model'!AZ47/'Sales Model'!AZ$25</f>
      </c>
      <c r="CS108" s="181">
        <f>+'Sales Model'!BA47/'Sales Model'!BA$25</f>
      </c>
      <c r="CT108" s="296">
        <f>+'Sales Model'!BB47/'Sales Model'!BB$25</f>
      </c>
      <c r="CU108" s="181">
        <f>+'Sales Model'!BC47/'Sales Model'!BC$25</f>
      </c>
      <c r="CV108" s="181">
        <f>+'Sales Model'!BD47/'Sales Model'!BD$25</f>
      </c>
      <c r="CW108" s="181">
        <f>+'Sales Model'!BE47/'Sales Model'!BE$25</f>
      </c>
      <c r="CX108" s="181">
        <f>+'Sales Model'!BF47/'Sales Model'!BF$25</f>
      </c>
      <c r="CY108" s="296">
        <f>+'Sales Model'!BG47/'Sales Model'!BG$25</f>
      </c>
      <c r="CZ108" s="181">
        <f>+'Sales Model'!BH47/'Sales Model'!BH$25</f>
      </c>
      <c r="DA108" s="181">
        <f>+'Sales Model'!BI47/'Sales Model'!BI$25</f>
      </c>
      <c r="DB108" s="181">
        <f>+'Sales Model'!BJ47/'Sales Model'!BJ$25</f>
      </c>
      <c r="DC108" s="181">
        <f>+'Sales Model'!BK47/'Sales Model'!BK$25</f>
      </c>
      <c r="DD108" s="296">
        <f>+'Sales Model'!BL47/'Sales Model'!BL$25</f>
      </c>
      <c r="DE108" s="181">
        <f>+'Sales Model'!BM47/'Sales Model'!BM$25</f>
      </c>
      <c r="DF108" s="181">
        <f>+'Sales Model'!BN47/'Sales Model'!BN$25</f>
      </c>
      <c r="DG108" s="181">
        <f>+'Sales Model'!BO47/'Sales Model'!BO$25</f>
      </c>
      <c r="DH108" s="181">
        <f>+'Sales Model'!BP47/'Sales Model'!BP$25</f>
      </c>
      <c r="DI108" s="296">
        <f>+'Sales Model'!BQ47/'Sales Model'!BQ$25</f>
      </c>
      <c r="DJ108" s="181">
        <f>+'Sales Model'!BR47/'Sales Model'!BR$25</f>
      </c>
      <c r="DK108" s="181">
        <f>+'Sales Model'!BS47/'Sales Model'!BS$25</f>
      </c>
      <c r="DL108" s="181">
        <f>+'Sales Model'!BT47/'Sales Model'!BT$25</f>
      </c>
      <c r="DM108" s="181">
        <f>+'Sales Model'!BU47/'Sales Model'!BU$25</f>
      </c>
      <c r="DN108" s="296">
        <f>+'Sales Model'!BV47/'Sales Model'!BV$25</f>
      </c>
      <c r="DO108" s="181">
        <f>+'Sales Model'!BW47/'Sales Model'!BW$25</f>
      </c>
      <c r="DP108" s="181">
        <f>+'Sales Model'!BX47/'Sales Model'!BX$25</f>
      </c>
      <c r="DQ108" s="181">
        <f>+'Sales Model'!BY47/'Sales Model'!BY$25</f>
      </c>
      <c r="DR108" s="181">
        <f>+'Sales Model'!BZ47/'Sales Model'!BZ$25</f>
      </c>
      <c r="DS108" s="296">
        <f>+'Sales Model'!CA47/'Sales Model'!CA$25</f>
      </c>
      <c r="DT108" s="181">
        <f>+'Sales Model'!CB47/'Sales Model'!CB$25</f>
      </c>
      <c r="DU108" s="181">
        <f>+'Sales Model'!CC47/'Sales Model'!CC$25</f>
      </c>
      <c r="DV108" s="181">
        <f>+'Sales Model'!CD47/'Sales Model'!CD$25</f>
      </c>
      <c r="DW108" s="181">
        <f>+'Sales Model'!CE47/'Sales Model'!CE$25</f>
      </c>
      <c r="DX108" s="296">
        <f>+'Sales Model'!CF47/'Sales Model'!CF$25</f>
      </c>
      <c r="DY108" s="181">
        <f>+'Sales Model'!CG47/'Sales Model'!CG$25</f>
      </c>
      <c r="DZ108" s="181">
        <f>+'Sales Model'!CH47/'Sales Model'!CH$25</f>
      </c>
      <c r="EA108" s="181">
        <f>+'Sales Model'!CI47/'Sales Model'!CI$25</f>
      </c>
      <c r="EB108" s="181">
        <f>+'Sales Model'!CJ47/'Sales Model'!CJ$25</f>
      </c>
      <c r="EC108" s="296">
        <f>+'Sales Model'!CK47/'Sales Model'!CK$25</f>
      </c>
      <c r="ED108" s="181">
        <f>+'Sales Model'!CL47/'Sales Model'!CL$25</f>
      </c>
      <c r="EE108" s="181">
        <f>+'Sales Model'!CM47/'Sales Model'!CM$25</f>
      </c>
      <c r="EF108" s="181">
        <f>+'Sales Model'!CN47/'Sales Model'!CN$25</f>
      </c>
      <c r="EG108" s="181">
        <f>+'Sales Model'!CO47/'Sales Model'!CO$25</f>
      </c>
      <c r="EH108" s="296">
        <f>+'Sales Model'!CP47/'Sales Model'!CP$25</f>
      </c>
      <c r="EI108" s="181">
        <f>+'Sales Model'!CQ47/'Sales Model'!CQ$25</f>
      </c>
      <c r="EJ108" s="181">
        <f>+'Sales Model'!CR47/'Sales Model'!CR$25</f>
      </c>
      <c r="EK108" s="181">
        <f>+'Sales Model'!CS47/'Sales Model'!CS$25</f>
      </c>
      <c r="EL108" s="181">
        <f>+'Sales Model'!CT47/'Sales Model'!CT$25</f>
      </c>
      <c r="EM108" s="296">
        <f>+'Sales Model'!CU47/'Sales Model'!CU$25</f>
      </c>
      <c r="EN108" s="181">
        <f>+'Sales Model'!CV47/'Sales Model'!CV$25</f>
      </c>
      <c r="EO108" s="181">
        <f>+'Sales Model'!CW47/'Sales Model'!CW$25</f>
      </c>
      <c r="EP108" s="181">
        <f>+'Sales Model'!CX47/'Sales Model'!CX$25</f>
      </c>
      <c r="EQ108" s="181">
        <f>+'Sales Model'!CY47/'Sales Model'!CY$25</f>
      </c>
      <c r="ER108" s="296">
        <f>+'Sales Model'!CZ47/'Sales Model'!CZ$25</f>
      </c>
      <c r="ES108" s="181">
        <f>+'Sales Model'!DA47/'Sales Model'!DA$25</f>
      </c>
      <c r="ET108" s="181">
        <f>+'Sales Model'!DB47/'Sales Model'!DB$25</f>
      </c>
      <c r="EU108" s="181">
        <f>+'Sales Model'!DC47/'Sales Model'!DC$25</f>
      </c>
      <c r="EV108" s="181">
        <f>+'Sales Model'!DD47/'Sales Model'!DD$25</f>
      </c>
      <c r="EW108" s="1723">
        <f>+'Sales Model'!DE47/'Sales Model'!DE$25</f>
      </c>
      <c r="EX108" s="1724">
        <f>+'Sales Model'!DF47/'Sales Model'!DF$25</f>
      </c>
      <c r="EY108" s="1724">
        <f>+'Sales Model'!DG47/'Sales Model'!DG$25</f>
      </c>
      <c r="EZ108" s="1724">
        <f>+'Sales Model'!DH47/'Sales Model'!DH$25</f>
      </c>
      <c r="FA108" s="1724">
        <f>+'Sales Model'!DI47/'Sales Model'!DI$25</f>
      </c>
      <c r="FB108" s="1723">
        <f>+'Sales Model'!DJ47/'Sales Model'!DJ$25</f>
      </c>
      <c r="FC108" s="1724">
        <f>+'Sales Model'!DK47/'Sales Model'!DK$25</f>
      </c>
      <c r="FD108" s="1724">
        <f>+'Sales Model'!DL47/'Sales Model'!DL$25</f>
      </c>
      <c r="FE108" s="1724">
        <f>+'Sales Model'!DM47/'Sales Model'!DM$25</f>
      </c>
      <c r="FF108" s="1724">
        <f>+'Sales Model'!DN47/'Sales Model'!DN$25</f>
      </c>
      <c r="FG108" s="1723">
        <f>+'Sales Model'!DO47/'Sales Model'!DO$25</f>
      </c>
      <c r="FH108" s="1724">
        <f>+'Sales Model'!DP47/'Sales Model'!DP$25</f>
      </c>
      <c r="FI108" s="1724">
        <f>+'Sales Model'!DQ47/'Sales Model'!DQ$25</f>
      </c>
      <c r="FJ108" s="1724">
        <f>+'Sales Model'!DR47/'Sales Model'!DR$25</f>
      </c>
      <c r="FK108" s="1724">
        <f>+'Sales Model'!DS47/'Sales Model'!DS$25</f>
      </c>
      <c r="FL108" s="1723">
        <f>+'Sales Model'!DT47/'Sales Model'!DT$25</f>
      </c>
      <c r="FM108" s="1724">
        <f>+'Sales Model'!DU47/'Sales Model'!DU$25</f>
      </c>
      <c r="FN108" s="1724">
        <f>+'Sales Model'!DV47/'Sales Model'!DV$25</f>
      </c>
      <c r="FO108" s="2856">
        <f>+'Sales Model'!DP47/FO$24</f>
      </c>
      <c r="FP108" s="1724">
        <f>+'Sales Model'!DQ47/FP$24</f>
      </c>
      <c r="FQ108" s="1724">
        <f>+'Sales Model'!DR47/FQ$24</f>
      </c>
      <c r="FR108" s="1724">
        <f>+'Sales Model'!DS47/FR$24</f>
      </c>
      <c r="FS108" s="1723">
        <f>+'Sales Model'!DT47/FS$24</f>
      </c>
      <c r="FT108" s="1724">
        <f>+'Sales Model'!DU47/FT$24</f>
      </c>
      <c r="FU108" s="2857">
        <f>+'Sales Model'!DV47/FU$24</f>
      </c>
      <c r="FV108" s="2905">
        <f>+'Sales Model'!DW47/'Sales Model'!DW$25</f>
      </c>
      <c r="FW108" s="2905">
        <f>+'Sales Model'!DX47/'Sales Model'!DX$25</f>
      </c>
      <c r="FX108" s="2908">
        <f>+'Sales Model'!DY47/'Sales Model'!DY$25</f>
      </c>
      <c r="FY108" s="2905">
        <f>+'Sales Model'!DZ47/'Sales Model'!DZ$25</f>
      </c>
      <c r="FZ108" s="2905">
        <f>+'Sales Model'!EA47/'Sales Model'!EA$25</f>
      </c>
      <c r="GA108" s="2905">
        <f>+'Sales Model'!EB47/'Sales Model'!EB$25</f>
      </c>
      <c r="GB108" s="2905">
        <f>+'Sales Model'!EC47/'Sales Model'!EC$25</f>
      </c>
      <c r="GC108" s="2908">
        <f>+'Sales Model'!ED47/'Sales Model'!ED$25</f>
      </c>
      <c r="GD108" s="2905">
        <f>+'Sales Model'!EE47/'Sales Model'!EE$25</f>
      </c>
      <c r="GE108" s="2905">
        <f>+'Sales Model'!EF47/'Sales Model'!EF$25</f>
      </c>
      <c r="GF108" s="2905">
        <f>+'Sales Model'!EG47/'Sales Model'!EG$25</f>
      </c>
      <c r="GG108" s="2905">
        <f>+'Sales Model'!EH47/'Sales Model'!EH$25</f>
      </c>
      <c r="GH108" s="2908">
        <f>+'Sales Model'!EI47/'Sales Model'!EI$25</f>
      </c>
      <c r="GI108" s="2908">
        <f>+'Sales Model'!EJ47/'Sales Model'!EJ$25</f>
      </c>
      <c r="GJ108" s="2908">
        <f>+'Sales Model'!EK47/'Sales Model'!EK$25</f>
      </c>
      <c r="GK108" s="2908">
        <f>+'Sales Model'!EL47/'Sales Model'!EL$25</f>
      </c>
      <c r="GL108" s="2908">
        <f>+'Sales Model'!EM47/'Sales Model'!EM$25</f>
      </c>
      <c r="GM108" s="2908">
        <f>+'Sales Model'!EN47/'Sales Model'!EN$25</f>
      </c>
    </row>
    <row r="109" spans="1:195" s="11" customFormat="1" outlineLevel="1">
      <c r="A109" s="3354"/>
      <c r="B109" s="3355" t="s">
        <v>186</v>
      </c>
      <c r="H109" s="3356"/>
      <c r="M109" s="3356"/>
      <c r="Q109" s="3357"/>
      <c r="R109" s="3356"/>
      <c r="V109" s="11">
        <v>301</v>
      </c>
      <c r="W109" s="3356"/>
      <c r="AB109" s="3356"/>
      <c r="AG109" s="3358"/>
      <c r="AL109" s="3358"/>
      <c r="AQ109" s="3358"/>
      <c r="AR109" s="3359"/>
      <c r="AS109" s="3359"/>
      <c r="AT109" s="3359"/>
      <c r="AU109" s="3359"/>
      <c r="AV109" s="3358"/>
      <c r="BA109" s="3360"/>
      <c r="BF109" s="3360"/>
      <c r="BK109" s="3360"/>
      <c r="BP109" s="3360"/>
      <c r="BU109" s="3360"/>
      <c r="BZ109" s="3360"/>
      <c r="CE109" s="3360"/>
      <c r="CJ109" s="3360"/>
      <c r="CO109" s="3360"/>
      <c r="CT109" s="3360"/>
      <c r="CY109" s="3360"/>
      <c r="DD109" s="3360"/>
      <c r="DI109" s="3360"/>
      <c r="DN109" s="3360"/>
      <c r="DS109" s="3360"/>
      <c r="DX109" s="3360"/>
      <c r="EC109" s="3360"/>
      <c r="EH109" s="3360"/>
      <c r="EM109" s="3360"/>
      <c r="ER109" s="3360"/>
      <c r="EW109" s="3361"/>
      <c r="EX109" s="3362"/>
      <c r="EY109" s="3362"/>
      <c r="EZ109" s="3362"/>
      <c r="FA109" s="3362"/>
      <c r="FB109" s="3361"/>
      <c r="FC109" s="3362"/>
      <c r="FD109" s="3362"/>
      <c r="FE109" s="3362"/>
      <c r="FF109" s="3362"/>
      <c r="FG109" s="3361"/>
      <c r="FH109" s="3362"/>
      <c r="FI109" s="3362"/>
      <c r="FJ109" s="3362"/>
      <c r="FK109" s="3362"/>
      <c r="FL109" s="3361"/>
      <c r="FM109" s="3362"/>
      <c r="FN109" s="3362"/>
      <c r="FO109" s="3363"/>
      <c r="FP109" s="3362"/>
      <c r="FQ109" s="3362"/>
      <c r="FR109" s="3362"/>
      <c r="FS109" s="3361"/>
      <c r="FT109" s="3362"/>
      <c r="FU109" s="3364"/>
      <c r="FV109" s="3362"/>
      <c r="FW109" s="3362"/>
      <c r="FX109" s="3361"/>
      <c r="FY109" s="3362"/>
      <c r="FZ109" s="3362"/>
      <c r="GA109" s="3362"/>
      <c r="GB109" s="3362"/>
      <c r="GC109" s="3361"/>
      <c r="GD109" s="3362"/>
      <c r="GE109" s="3362"/>
      <c r="GF109" s="3362"/>
      <c r="GG109" s="3362"/>
      <c r="GH109" s="3361"/>
      <c r="GI109" s="3361"/>
      <c r="GJ109" s="3361"/>
      <c r="GK109" s="3361"/>
      <c r="GL109" s="3361"/>
      <c r="GM109" s="3361"/>
    </row>
    <row r="110" spans="1:195" s="11" customFormat="1" outlineLevel="1">
      <c r="A110" s="3354"/>
      <c r="B110" s="3365" t="s">
        <v>153</v>
      </c>
      <c r="H110" s="152">
        <v>0.18598646723646722</v>
      </c>
      <c r="M110" s="152">
        <v>0.19763798505664015</v>
      </c>
      <c r="Q110" s="3357"/>
      <c r="R110" s="152">
        <v>0.18963135315931071</v>
      </c>
      <c r="V110" s="11">
        <v>202</v>
      </c>
      <c r="W110" s="152">
        <v>0.18609421417456501</v>
      </c>
      <c r="AB110" s="152">
        <v>0.17109444515062922</v>
      </c>
      <c r="AG110" s="3366">
        <v>0.15168241163358454</v>
      </c>
      <c r="AL110" s="3366">
        <v>0.14643848288621647</v>
      </c>
      <c r="AQ110" s="3366">
        <v>0.14317910645631712</v>
      </c>
      <c r="AR110" s="3366">
        <v>0.14525332872211655</v>
      </c>
      <c r="AS110" s="3366">
        <v>0.13020923396161163</v>
      </c>
      <c r="AT110" s="3366">
        <v>0.13870246085011187</v>
      </c>
      <c r="AU110" s="3366">
        <v>0.14327666151468316</v>
      </c>
      <c r="AV110" s="3366">
        <v>0.13857054299643096</v>
      </c>
      <c r="AW110" s="152">
        <f>+'Sales Model'!E56/'Sales Model'!E$25</f>
      </c>
      <c r="AX110" s="152">
        <f>+'Sales Model'!F56/'Sales Model'!F$25</f>
      </c>
      <c r="AY110" s="152">
        <f>+'Sales Model'!G56/'Sales Model'!G$25</f>
      </c>
      <c r="AZ110" s="152">
        <f>+'Sales Model'!H56/'Sales Model'!H$25</f>
      </c>
      <c r="BA110" s="3367">
        <f>+'Sales Model'!I56/'Sales Model'!I$25</f>
      </c>
      <c r="BB110" s="152">
        <f>+'Sales Model'!J56/'Sales Model'!J$25</f>
      </c>
      <c r="BC110" s="152">
        <f>+'Sales Model'!K56/'Sales Model'!K$25</f>
      </c>
      <c r="BD110" s="152">
        <f>+'Sales Model'!L56/'Sales Model'!L$25</f>
      </c>
      <c r="BE110" s="152">
        <f>+'Sales Model'!M56/'Sales Model'!M$25</f>
      </c>
      <c r="BF110" s="3367">
        <f>+'Sales Model'!N56/'Sales Model'!N$25</f>
      </c>
      <c r="BG110" s="152">
        <f>+'Sales Model'!O56/'Sales Model'!O$25</f>
      </c>
      <c r="BH110" s="152">
        <f>+'Sales Model'!P56/'Sales Model'!P$25</f>
      </c>
      <c r="BI110" s="152">
        <f>+'Sales Model'!Q56/'Sales Model'!Q$25</f>
      </c>
      <c r="BJ110" s="152">
        <f>+'Sales Model'!R56/'Sales Model'!R$25</f>
      </c>
      <c r="BK110" s="3367">
        <f>+'Sales Model'!S56/'Sales Model'!S$25</f>
      </c>
      <c r="BL110" s="152">
        <f>+'Sales Model'!T56/'Sales Model'!T$25</f>
      </c>
      <c r="BM110" s="152">
        <f>+'Sales Model'!U56/'Sales Model'!U$25</f>
      </c>
      <c r="BN110" s="374">
        <f>+'Sales Model'!V56/'Sales Model'!V$25</f>
      </c>
      <c r="BO110" s="152">
        <f>+'Sales Model'!W56/'Sales Model'!W$25</f>
      </c>
      <c r="BP110" s="3367">
        <f>+'Sales Model'!X56/'Sales Model'!X$25</f>
      </c>
      <c r="BQ110" s="152">
        <f>+'Sales Model'!Y56/'Sales Model'!Y$25</f>
      </c>
      <c r="BR110" s="152">
        <f>+'Sales Model'!Z56/'Sales Model'!Z$25</f>
      </c>
      <c r="BS110" s="152">
        <f>+'Sales Model'!AA56/'Sales Model'!AA$25</f>
      </c>
      <c r="BT110" s="152">
        <f>+'Sales Model'!AB56/'Sales Model'!AB$25</f>
      </c>
      <c r="BU110" s="3367">
        <f>+'Sales Model'!AC56/'Sales Model'!AC$25</f>
      </c>
      <c r="BV110" s="152">
        <f>+'Sales Model'!AD56/'Sales Model'!AD$25</f>
      </c>
      <c r="BW110" s="152">
        <f>+'Sales Model'!AE56/'Sales Model'!AE$25</f>
      </c>
      <c r="BX110" s="152">
        <f>+'Sales Model'!AF56/'Sales Model'!AF$25</f>
      </c>
      <c r="BY110" s="152">
        <f>+'Sales Model'!AG56/'Sales Model'!AG$25</f>
      </c>
      <c r="BZ110" s="3367">
        <f>+'Sales Model'!AH56/'Sales Model'!AH$25</f>
      </c>
      <c r="CA110" s="152">
        <f>+'Sales Model'!AI56/'Sales Model'!AI$25</f>
      </c>
      <c r="CB110" s="152">
        <f>+'Sales Model'!AJ56/'Sales Model'!AJ$25</f>
      </c>
      <c r="CC110" s="152">
        <f>+'Sales Model'!AK56/'Sales Model'!AK$25</f>
      </c>
      <c r="CD110" s="152">
        <f>+'Sales Model'!AL56/'Sales Model'!AL$25</f>
      </c>
      <c r="CE110" s="3367">
        <f>+'Sales Model'!AM56/'Sales Model'!AM$25</f>
      </c>
      <c r="CF110" s="152">
        <f>+'Sales Model'!AN56/'Sales Model'!AN$25</f>
      </c>
      <c r="CG110" s="152">
        <f>+'Sales Model'!AO56/'Sales Model'!AO$25</f>
      </c>
      <c r="CH110" s="152">
        <f>+'Sales Model'!AP56/'Sales Model'!AP$25</f>
      </c>
      <c r="CI110" s="152">
        <f>+'Sales Model'!AQ56/'Sales Model'!AQ$25</f>
      </c>
      <c r="CJ110" s="3367">
        <f>+'Sales Model'!AR56/'Sales Model'!AR$25</f>
      </c>
      <c r="CK110" s="152">
        <f>+'Sales Model'!AS56/'Sales Model'!AS$25</f>
      </c>
      <c r="CL110" s="152">
        <f>+'Sales Model'!AT56/'Sales Model'!AT$25</f>
      </c>
      <c r="CM110" s="152">
        <f>+'Sales Model'!AU56/'Sales Model'!AU$25</f>
      </c>
      <c r="CN110" s="152">
        <f>+'Sales Model'!AV56/'Sales Model'!AV$25</f>
      </c>
      <c r="CO110" s="3367">
        <f>+'Sales Model'!AW56/'Sales Model'!AW$25</f>
      </c>
      <c r="CP110" s="152">
        <f>+'Sales Model'!AX56/'Sales Model'!AX$25</f>
      </c>
      <c r="CQ110" s="152">
        <f>+'Sales Model'!AY56/'Sales Model'!AY$25</f>
      </c>
      <c r="CR110" s="152">
        <f>+'Sales Model'!AZ56/'Sales Model'!AZ$25</f>
      </c>
      <c r="CS110" s="152">
        <f>+'Sales Model'!BA56/'Sales Model'!BA$25</f>
      </c>
      <c r="CT110" s="3367">
        <f>+'Sales Model'!BB56/'Sales Model'!BB$25</f>
      </c>
      <c r="CU110" s="152">
        <f>+'Sales Model'!BC56/'Sales Model'!BC$25</f>
      </c>
      <c r="CV110" s="152">
        <f>+'Sales Model'!BD56/'Sales Model'!BD$25</f>
      </c>
      <c r="CW110" s="152">
        <f>+'Sales Model'!BE56/'Sales Model'!BE$25</f>
      </c>
      <c r="CX110" s="152">
        <f>+'Sales Model'!BF56/'Sales Model'!BF$25</f>
      </c>
      <c r="CY110" s="3367">
        <f>+'Sales Model'!BG56/'Sales Model'!BG$25</f>
      </c>
      <c r="CZ110" s="152">
        <f>+'Sales Model'!BH56/'Sales Model'!BH$25</f>
      </c>
      <c r="DA110" s="152">
        <f>+'Sales Model'!BI56/'Sales Model'!BI$25</f>
      </c>
      <c r="DB110" s="152">
        <f>+'Sales Model'!BJ56/'Sales Model'!BJ$25</f>
      </c>
      <c r="DC110" s="152">
        <f>+'Sales Model'!BK56/'Sales Model'!BK$25</f>
      </c>
      <c r="DD110" s="3367">
        <f>+'Sales Model'!BL56/'Sales Model'!BL$25</f>
      </c>
      <c r="DE110" s="152">
        <f>+'Sales Model'!BM56/'Sales Model'!BM$25</f>
      </c>
      <c r="DF110" s="152">
        <f>+'Sales Model'!BN56/'Sales Model'!BN$25</f>
      </c>
      <c r="DG110" s="152">
        <f>+'Sales Model'!BO56/'Sales Model'!BO$25</f>
      </c>
      <c r="DH110" s="152">
        <f>+'Sales Model'!BP56/'Sales Model'!BP$25</f>
      </c>
      <c r="DI110" s="3367">
        <f>+'Sales Model'!BQ56/'Sales Model'!BQ$25</f>
      </c>
      <c r="DJ110" s="152">
        <f>+'Sales Model'!BR56/'Sales Model'!BR$25</f>
      </c>
      <c r="DK110" s="152">
        <f>+'Sales Model'!BS56/'Sales Model'!BS$25</f>
      </c>
      <c r="DL110" s="152">
        <f>+'Sales Model'!BT56/'Sales Model'!BT$25</f>
      </c>
      <c r="DM110" s="152">
        <f>+'Sales Model'!BU56/'Sales Model'!BU$25</f>
      </c>
      <c r="DN110" s="3367">
        <f>+'Sales Model'!BV56/'Sales Model'!BV$25</f>
      </c>
      <c r="DO110" s="152">
        <f>+'Sales Model'!BW56/'Sales Model'!BW$25</f>
      </c>
      <c r="DP110" s="152">
        <f>+'Sales Model'!BX56/'Sales Model'!BX$25</f>
      </c>
      <c r="DQ110" s="152">
        <f>+'Sales Model'!BY56/'Sales Model'!BY$25</f>
      </c>
      <c r="DR110" s="152">
        <f>+'Sales Model'!BZ56/'Sales Model'!BZ$25</f>
      </c>
      <c r="DS110" s="3367">
        <f>+'Sales Model'!CA56/'Sales Model'!CA$25</f>
      </c>
      <c r="DT110" s="152">
        <f>+'Sales Model'!CB56/'Sales Model'!CB$25</f>
      </c>
      <c r="DU110" s="152">
        <f>+'Sales Model'!CC56/'Sales Model'!CC$25</f>
      </c>
      <c r="DV110" s="152">
        <f>+'Sales Model'!CD56/'Sales Model'!CD$25</f>
      </c>
      <c r="DW110" s="152">
        <f>+'Sales Model'!CE56/'Sales Model'!CE$25</f>
      </c>
      <c r="DX110" s="3367">
        <f>+'Sales Model'!CF56/'Sales Model'!CF$25</f>
      </c>
      <c r="DY110" s="152">
        <f>+'Sales Model'!CG56/'Sales Model'!CG$25</f>
      </c>
      <c r="DZ110" s="152">
        <f>+'Sales Model'!CH56/'Sales Model'!CH$25</f>
      </c>
      <c r="EA110" s="152">
        <f>+'Sales Model'!CI56/'Sales Model'!CI$25</f>
      </c>
      <c r="EB110" s="152">
        <f>+'Sales Model'!CJ56/'Sales Model'!CJ$25</f>
      </c>
      <c r="EC110" s="3367">
        <f>+'Sales Model'!CK56/'Sales Model'!CK$25</f>
      </c>
      <c r="ED110" s="152">
        <f>+'Sales Model'!CL56/'Sales Model'!CL$25</f>
      </c>
      <c r="EE110" s="152">
        <f>+'Sales Model'!CM56/'Sales Model'!CM$25</f>
      </c>
      <c r="EF110" s="152">
        <f>+'Sales Model'!CN56/'Sales Model'!CN$25</f>
      </c>
      <c r="EG110" s="152">
        <f>+'Sales Model'!CO56/'Sales Model'!CO$25</f>
      </c>
      <c r="EH110" s="3367">
        <f>+'Sales Model'!CP56/'Sales Model'!CP$25</f>
      </c>
      <c r="EI110" s="152">
        <f>+'Sales Model'!CQ56/'Sales Model'!CQ$25</f>
      </c>
      <c r="EJ110" s="152">
        <f>+'Sales Model'!CR56/'Sales Model'!CR$25</f>
      </c>
      <c r="EK110" s="152">
        <f>+'Sales Model'!CS56/'Sales Model'!CS$25</f>
      </c>
      <c r="EL110" s="152">
        <f>+'Sales Model'!CT56/'Sales Model'!CT$25</f>
      </c>
      <c r="EM110" s="3367">
        <f>+'Sales Model'!CU56/'Sales Model'!CU$25</f>
      </c>
      <c r="EN110" s="152">
        <f>+'Sales Model'!CV56/'Sales Model'!CV$25</f>
      </c>
      <c r="EO110" s="152">
        <f>+'Sales Model'!CW56/'Sales Model'!CW$25</f>
      </c>
      <c r="EP110" s="152">
        <f>+'Sales Model'!CX56/'Sales Model'!CX$25</f>
      </c>
      <c r="EQ110" s="152">
        <f>+'Sales Model'!CY56/'Sales Model'!CY$25</f>
      </c>
      <c r="ER110" s="3367">
        <f>+'Sales Model'!CZ56/'Sales Model'!CZ$25</f>
      </c>
      <c r="ES110" s="152">
        <f>+'Sales Model'!DA56/'Sales Model'!DA$25</f>
      </c>
      <c r="ET110" s="152">
        <f>+'Sales Model'!DB56/'Sales Model'!DB$25</f>
      </c>
      <c r="EU110" s="152">
        <f>+'Sales Model'!DC56/'Sales Model'!DC$25</f>
      </c>
      <c r="EV110" s="152">
        <f>+'Sales Model'!DD56/'Sales Model'!DD$25</f>
      </c>
      <c r="EW110" s="3368">
        <f>+'Sales Model'!DE56/'Sales Model'!DE$25</f>
      </c>
      <c r="EX110" s="3369">
        <f>+'Sales Model'!DF56/'Sales Model'!DF$25</f>
      </c>
      <c r="EY110" s="3369">
        <f>+'Sales Model'!DG56/'Sales Model'!DG$25</f>
      </c>
      <c r="EZ110" s="3369">
        <f>+'Sales Model'!DH56/'Sales Model'!DH$25</f>
      </c>
      <c r="FA110" s="3369">
        <f>+'Sales Model'!DI56/'Sales Model'!DI$25</f>
      </c>
      <c r="FB110" s="3368">
        <f>+'Sales Model'!DJ56/'Sales Model'!DJ$25</f>
      </c>
      <c r="FC110" s="3369">
        <f>+'Sales Model'!DK56/'Sales Model'!DK$25</f>
      </c>
      <c r="FD110" s="3369">
        <f>+'Sales Model'!DL56/'Sales Model'!DL$25</f>
      </c>
      <c r="FE110" s="3369">
        <f>+'Sales Model'!DM56/'Sales Model'!DM$25</f>
      </c>
      <c r="FF110" s="3369">
        <f>+'Sales Model'!DN56/'Sales Model'!DN$25</f>
      </c>
      <c r="FG110" s="3368">
        <f>+'Sales Model'!DO56/'Sales Model'!DO$25</f>
      </c>
      <c r="FH110" s="3369">
        <f>+'Sales Model'!DP56/'Sales Model'!DP$25</f>
      </c>
      <c r="FI110" s="3369">
        <f>+'Sales Model'!DQ56/'Sales Model'!DQ$25</f>
      </c>
      <c r="FJ110" s="3369">
        <f>+'Sales Model'!DR56/'Sales Model'!DR$25</f>
      </c>
      <c r="FK110" s="3369">
        <f>+'Sales Model'!DS56/'Sales Model'!DS$25</f>
      </c>
      <c r="FL110" s="3368">
        <f>+'Sales Model'!DT56/'Sales Model'!DT$25</f>
      </c>
      <c r="FM110" s="3369">
        <f>+'Sales Model'!DU56/'Sales Model'!DU$25</f>
      </c>
      <c r="FN110" s="3369">
        <f>+'Sales Model'!DV56/'Sales Model'!DV$25</f>
      </c>
      <c r="FO110" s="3370"/>
      <c r="FP110" s="3369"/>
      <c r="FQ110" s="3369"/>
      <c r="FR110" s="3369"/>
      <c r="FS110" s="3368"/>
      <c r="FT110" s="3369"/>
      <c r="FU110" s="3371"/>
      <c r="FV110" s="3369"/>
      <c r="FW110" s="3369"/>
      <c r="FX110" s="3368"/>
      <c r="FY110" s="3369"/>
      <c r="FZ110" s="3369"/>
      <c r="GA110" s="3369"/>
      <c r="GB110" s="3369"/>
      <c r="GC110" s="3368"/>
      <c r="GD110" s="3369"/>
      <c r="GE110" s="3369"/>
      <c r="GF110" s="3369"/>
      <c r="GG110" s="3369"/>
      <c r="GH110" s="3368"/>
      <c r="GI110" s="3368"/>
      <c r="GJ110" s="3368"/>
      <c r="GK110" s="3368"/>
      <c r="GL110" s="3368"/>
      <c r="GM110" s="3368"/>
    </row>
    <row r="111" spans="1:195" s="11" customFormat="1" outlineLevel="1">
      <c r="A111" s="3354"/>
      <c r="B111" s="3365" t="s">
        <v>235</v>
      </c>
      <c r="H111" s="152">
        <v>0.18901353276353278</v>
      </c>
      <c r="M111" s="152">
        <v>0.17064352856109907</v>
      </c>
      <c r="Q111" s="3357"/>
      <c r="R111" s="152">
        <v>0.15792917908819895</v>
      </c>
      <c r="W111" s="152">
        <v>0.15511387749328051</v>
      </c>
      <c r="AB111" s="152">
        <v>0.16264141349942798</v>
      </c>
      <c r="AG111" s="3366">
        <v>0.15778579768602058</v>
      </c>
      <c r="AL111" s="3366">
        <v>0.14791859389454209</v>
      </c>
      <c r="AQ111" s="3366">
        <v>0.14397454593662998</v>
      </c>
      <c r="AR111" s="3366">
        <v>0.13816358291544181</v>
      </c>
      <c r="AS111" s="3366">
        <v>0.14144907487463254</v>
      </c>
      <c r="AT111" s="3366">
        <v>0.13440027533987264</v>
      </c>
      <c r="AU111" s="3366">
        <v>0.12426584234930448</v>
      </c>
      <c r="AV111" s="3366">
        <v>0.13340279943806777</v>
      </c>
      <c r="AW111" s="152">
        <f>+'Sales Model'!E57/'Sales Model'!E$25</f>
      </c>
      <c r="AX111" s="152">
        <f>+'Sales Model'!F57/'Sales Model'!F$25</f>
      </c>
      <c r="AY111" s="152">
        <f>+'Sales Model'!G57/'Sales Model'!G$25</f>
      </c>
      <c r="AZ111" s="152">
        <f>+'Sales Model'!H57/'Sales Model'!H$25</f>
      </c>
      <c r="BA111" s="3367">
        <f>+'Sales Model'!I57/'Sales Model'!I$25</f>
      </c>
      <c r="BB111" s="152">
        <f>+'Sales Model'!J57/'Sales Model'!J$25</f>
      </c>
      <c r="BC111" s="152">
        <f>+'Sales Model'!K57/'Sales Model'!K$25</f>
      </c>
      <c r="BD111" s="152">
        <f>+'Sales Model'!L57/'Sales Model'!L$25</f>
      </c>
      <c r="BE111" s="152">
        <f>+'Sales Model'!M57/'Sales Model'!M$25</f>
      </c>
      <c r="BF111" s="3367">
        <f>+'Sales Model'!N57/'Sales Model'!N$25</f>
      </c>
      <c r="BG111" s="152">
        <f>+'Sales Model'!O57/'Sales Model'!O$25</f>
      </c>
      <c r="BH111" s="152">
        <f>+'Sales Model'!P57/'Sales Model'!P$25</f>
      </c>
      <c r="BI111" s="152">
        <f>+'Sales Model'!Q57/'Sales Model'!Q$25</f>
      </c>
      <c r="BJ111" s="152">
        <f>+'Sales Model'!R57/'Sales Model'!R$25</f>
      </c>
      <c r="BK111" s="3367">
        <f>+'Sales Model'!S57/'Sales Model'!S$25</f>
      </c>
      <c r="BL111" s="152">
        <f>+'Sales Model'!T57/'Sales Model'!T$25</f>
      </c>
      <c r="BM111" s="152">
        <f>+'Sales Model'!U57/'Sales Model'!U$25</f>
      </c>
      <c r="BN111" s="374">
        <f>+'Sales Model'!V57/'Sales Model'!V$25</f>
      </c>
      <c r="BO111" s="152">
        <f>+'Sales Model'!W57/'Sales Model'!W$25</f>
      </c>
      <c r="BP111" s="3367">
        <f>+'Sales Model'!X57/'Sales Model'!X$25</f>
      </c>
      <c r="BQ111" s="152">
        <f>+'Sales Model'!Y57/'Sales Model'!Y$25</f>
      </c>
      <c r="BR111" s="152">
        <f>+'Sales Model'!Z57/'Sales Model'!Z$25</f>
      </c>
      <c r="BS111" s="152">
        <f>+'Sales Model'!AA57/'Sales Model'!AA$25</f>
      </c>
      <c r="BT111" s="152">
        <f>+'Sales Model'!AB57/'Sales Model'!AB$25</f>
      </c>
      <c r="BU111" s="3367">
        <f>+'Sales Model'!AC57/'Sales Model'!AC$25</f>
      </c>
      <c r="BV111" s="152">
        <f>+'Sales Model'!AD57/'Sales Model'!AD$25</f>
      </c>
      <c r="BW111" s="152">
        <f>+'Sales Model'!AE57/'Sales Model'!AE$25</f>
      </c>
      <c r="BX111" s="152">
        <f>+'Sales Model'!AF57/'Sales Model'!AF$25</f>
      </c>
      <c r="BY111" s="152">
        <f>+'Sales Model'!AG57/'Sales Model'!AG$25</f>
      </c>
      <c r="BZ111" s="3367">
        <f>+'Sales Model'!AH57/'Sales Model'!AH$25</f>
      </c>
      <c r="CA111" s="152">
        <f>+'Sales Model'!AI57/'Sales Model'!AI$25</f>
      </c>
      <c r="CB111" s="152">
        <f>+'Sales Model'!AJ57/'Sales Model'!AJ$25</f>
      </c>
      <c r="CC111" s="152">
        <f>+'Sales Model'!AK57/'Sales Model'!AK$25</f>
      </c>
      <c r="CD111" s="152">
        <f>+'Sales Model'!AL57/'Sales Model'!AL$25</f>
      </c>
      <c r="CE111" s="3367">
        <f>+'Sales Model'!AM57/'Sales Model'!AM$25</f>
      </c>
      <c r="CF111" s="152">
        <f>+'Sales Model'!AN57/'Sales Model'!AN$25</f>
      </c>
      <c r="CG111" s="152">
        <f>+'Sales Model'!AO57/'Sales Model'!AO$25</f>
      </c>
      <c r="CH111" s="152">
        <f>+'Sales Model'!AP57/'Sales Model'!AP$25</f>
      </c>
      <c r="CI111" s="152">
        <f>+'Sales Model'!AQ57/'Sales Model'!AQ$25</f>
      </c>
      <c r="CJ111" s="3367">
        <f>+'Sales Model'!AR57/'Sales Model'!AR$25</f>
      </c>
      <c r="CK111" s="152">
        <f>+'Sales Model'!AS57/'Sales Model'!AS$25</f>
      </c>
      <c r="CL111" s="152">
        <f>+'Sales Model'!AT57/'Sales Model'!AT$25</f>
      </c>
      <c r="CM111" s="152">
        <f>+'Sales Model'!AU57/'Sales Model'!AU$25</f>
      </c>
      <c r="CN111" s="152">
        <f>+'Sales Model'!AV57/'Sales Model'!AV$25</f>
      </c>
      <c r="CO111" s="3367">
        <f>+'Sales Model'!AW57/'Sales Model'!AW$25</f>
      </c>
      <c r="CP111" s="152">
        <f>+'Sales Model'!AX57/'Sales Model'!AX$25</f>
      </c>
      <c r="CQ111" s="152">
        <f>+'Sales Model'!AY57/'Sales Model'!AY$25</f>
      </c>
      <c r="CR111" s="152">
        <f>+'Sales Model'!AZ57/'Sales Model'!AZ$25</f>
      </c>
      <c r="CS111" s="152">
        <f>+'Sales Model'!BA57/'Sales Model'!BA$25</f>
      </c>
      <c r="CT111" s="3367">
        <f>+'Sales Model'!BB57/'Sales Model'!BB$25</f>
      </c>
      <c r="CU111" s="152">
        <f>+'Sales Model'!BC57/'Sales Model'!BC$25</f>
      </c>
      <c r="CV111" s="152">
        <f>+'Sales Model'!BD57/'Sales Model'!BD$25</f>
      </c>
      <c r="CW111" s="152">
        <f>+'Sales Model'!BE57/'Sales Model'!BE$25</f>
      </c>
      <c r="CX111" s="152">
        <f>+'Sales Model'!BF57/'Sales Model'!BF$25</f>
      </c>
      <c r="CY111" s="3367">
        <f>+'Sales Model'!BG57/'Sales Model'!BG$25</f>
      </c>
      <c r="CZ111" s="152">
        <f>+'Sales Model'!BH57/'Sales Model'!BH$25</f>
      </c>
      <c r="DA111" s="152">
        <f>+'Sales Model'!BI57/'Sales Model'!BI$25</f>
      </c>
      <c r="DB111" s="152">
        <f>+'Sales Model'!BJ57/'Sales Model'!BJ$25</f>
      </c>
      <c r="DC111" s="152">
        <f>+'Sales Model'!BK57/'Sales Model'!BK$25</f>
      </c>
      <c r="DD111" s="3367">
        <f>+'Sales Model'!BL57/'Sales Model'!BL$25</f>
      </c>
      <c r="DE111" s="152">
        <f>+'Sales Model'!BM57/'Sales Model'!BM$25</f>
      </c>
      <c r="DF111" s="152">
        <f>+'Sales Model'!BN57/'Sales Model'!BN$25</f>
      </c>
      <c r="DG111" s="152">
        <f>+'Sales Model'!BO57/'Sales Model'!BO$25</f>
      </c>
      <c r="DH111" s="152">
        <f>+'Sales Model'!BP57/'Sales Model'!BP$25</f>
      </c>
      <c r="DI111" s="3367">
        <f>+'Sales Model'!BQ57/'Sales Model'!BQ$25</f>
      </c>
      <c r="DJ111" s="152">
        <f>+'Sales Model'!BR57/'Sales Model'!BR$25</f>
      </c>
      <c r="DK111" s="152">
        <f>+'Sales Model'!BS57/'Sales Model'!BS$25</f>
      </c>
      <c r="DL111" s="152">
        <f>+'Sales Model'!BT57/'Sales Model'!BT$25</f>
      </c>
      <c r="DM111" s="152">
        <f>+'Sales Model'!BU57/'Sales Model'!BU$25</f>
      </c>
      <c r="DN111" s="3367">
        <f>+'Sales Model'!BV57/'Sales Model'!BV$25</f>
      </c>
      <c r="DO111" s="152">
        <f>+'Sales Model'!BW57/'Sales Model'!BW$25</f>
      </c>
      <c r="DP111" s="152">
        <f>+'Sales Model'!BX57/'Sales Model'!BX$25</f>
      </c>
      <c r="DQ111" s="152">
        <f>+'Sales Model'!BY57/'Sales Model'!BY$25</f>
      </c>
      <c r="DR111" s="152">
        <f>+'Sales Model'!BZ57/'Sales Model'!BZ$25</f>
      </c>
      <c r="DS111" s="3367">
        <f>+'Sales Model'!CA57/'Sales Model'!CA$25</f>
      </c>
      <c r="DT111" s="152">
        <f>+'Sales Model'!CB57/'Sales Model'!CB$25</f>
      </c>
      <c r="DU111" s="152">
        <f>+'Sales Model'!CC57/'Sales Model'!CC$25</f>
      </c>
      <c r="DV111" s="152">
        <f>+'Sales Model'!CD57/'Sales Model'!CD$25</f>
      </c>
      <c r="DW111" s="152">
        <f>+'Sales Model'!CE57/'Sales Model'!CE$25</f>
      </c>
      <c r="DX111" s="3367">
        <f>+'Sales Model'!CF57/'Sales Model'!CF$25</f>
      </c>
      <c r="DY111" s="152">
        <f>+'Sales Model'!CG57/'Sales Model'!CG$25</f>
      </c>
      <c r="DZ111" s="152">
        <f>+'Sales Model'!CH57/'Sales Model'!CH$25</f>
      </c>
      <c r="EA111" s="152">
        <f>+'Sales Model'!CI57/'Sales Model'!CI$25</f>
      </c>
      <c r="EB111" s="152">
        <f>+'Sales Model'!CJ57/'Sales Model'!CJ$25</f>
      </c>
      <c r="EC111" s="3367">
        <f>+'Sales Model'!CK57/'Sales Model'!CK$25</f>
      </c>
      <c r="ED111" s="152">
        <f>+'Sales Model'!CL57/'Sales Model'!CL$25</f>
      </c>
      <c r="EE111" s="152">
        <f>+'Sales Model'!CM57/'Sales Model'!CM$25</f>
      </c>
      <c r="EF111" s="152">
        <f>+'Sales Model'!CN57/'Sales Model'!CN$25</f>
      </c>
      <c r="EG111" s="152">
        <f>+'Sales Model'!CO57/'Sales Model'!CO$25</f>
      </c>
      <c r="EH111" s="3367">
        <f>+'Sales Model'!CP57/'Sales Model'!CP$25</f>
      </c>
      <c r="EI111" s="152">
        <f>+'Sales Model'!CQ57/'Sales Model'!CQ$25</f>
      </c>
      <c r="EJ111" s="152">
        <f>+'Sales Model'!CR57/'Sales Model'!CR$25</f>
      </c>
      <c r="EK111" s="152">
        <f>+'Sales Model'!CS57/'Sales Model'!CS$25</f>
      </c>
      <c r="EL111" s="152">
        <f>+'Sales Model'!CT57/'Sales Model'!CT$25</f>
      </c>
      <c r="EM111" s="3367">
        <f>+'Sales Model'!CU57/'Sales Model'!CU$25</f>
      </c>
      <c r="EN111" s="152">
        <f>+'Sales Model'!CV57/'Sales Model'!CV$25</f>
      </c>
      <c r="EO111" s="152">
        <f>+'Sales Model'!CW57/'Sales Model'!CW$25</f>
      </c>
      <c r="EP111" s="152">
        <f>+'Sales Model'!CX57/'Sales Model'!CX$25</f>
      </c>
      <c r="EQ111" s="152">
        <f>+'Sales Model'!CY57/'Sales Model'!CY$25</f>
      </c>
      <c r="ER111" s="3367">
        <f>+'Sales Model'!CZ57/'Sales Model'!CZ$25</f>
      </c>
      <c r="ES111" s="152">
        <f>+'Sales Model'!DA57/'Sales Model'!DA$25</f>
      </c>
      <c r="ET111" s="152">
        <f>+'Sales Model'!DB57/'Sales Model'!DB$25</f>
      </c>
      <c r="EU111" s="152">
        <f>+'Sales Model'!DC57/'Sales Model'!DC$25</f>
      </c>
      <c r="EV111" s="152">
        <f>+'Sales Model'!DD57/'Sales Model'!DD$25</f>
      </c>
      <c r="EW111" s="3368">
        <f>+'Sales Model'!DE57/'Sales Model'!DE$25</f>
      </c>
      <c r="EX111" s="3369">
        <f>+'Sales Model'!DF57/'Sales Model'!DF$25</f>
      </c>
      <c r="EY111" s="3369">
        <f>+'Sales Model'!DG57/'Sales Model'!DG$25</f>
      </c>
      <c r="EZ111" s="3369">
        <f>+'Sales Model'!DH57/'Sales Model'!DH$25</f>
      </c>
      <c r="FA111" s="3369">
        <f>+'Sales Model'!DI57/'Sales Model'!DI$25</f>
      </c>
      <c r="FB111" s="3368">
        <f>+'Sales Model'!DJ57/'Sales Model'!DJ$25</f>
      </c>
      <c r="FC111" s="3369">
        <f>+'Sales Model'!DK57/'Sales Model'!DK$25</f>
      </c>
      <c r="FD111" s="3369">
        <f>+'Sales Model'!DL57/'Sales Model'!DL$25</f>
      </c>
      <c r="FE111" s="3369">
        <f>+'Sales Model'!DM57/'Sales Model'!DM$25</f>
      </c>
      <c r="FF111" s="3369">
        <f>+'Sales Model'!DN57/'Sales Model'!DN$25</f>
      </c>
      <c r="FG111" s="3368">
        <f>+'Sales Model'!DO57/'Sales Model'!DO$25</f>
      </c>
      <c r="FH111" s="3369">
        <f>+'Sales Model'!DP57/'Sales Model'!DP$25</f>
      </c>
      <c r="FI111" s="3369">
        <f>+'Sales Model'!DQ57/'Sales Model'!DQ$25</f>
      </c>
      <c r="FJ111" s="3369">
        <f>+'Sales Model'!DR57/'Sales Model'!DR$25</f>
      </c>
      <c r="FK111" s="3369">
        <f>+'Sales Model'!DS57/'Sales Model'!DS$25</f>
      </c>
      <c r="FL111" s="3368">
        <f>+'Sales Model'!DT57/'Sales Model'!DT$25</f>
      </c>
      <c r="FM111" s="3369">
        <f>+'Sales Model'!DU57/'Sales Model'!DU$25</f>
      </c>
      <c r="FN111" s="3369">
        <f>+'Sales Model'!DV57/'Sales Model'!DV$25</f>
      </c>
      <c r="FO111" s="3370"/>
      <c r="FP111" s="3369"/>
      <c r="FQ111" s="3369"/>
      <c r="FR111" s="3369"/>
      <c r="FS111" s="3368"/>
      <c r="FT111" s="3369"/>
      <c r="FU111" s="3371"/>
      <c r="FV111" s="3369"/>
      <c r="FW111" s="3369"/>
      <c r="FX111" s="3368"/>
      <c r="FY111" s="3369"/>
      <c r="FZ111" s="3369"/>
      <c r="GA111" s="3369"/>
      <c r="GB111" s="3369"/>
      <c r="GC111" s="3368"/>
      <c r="GD111" s="3369"/>
      <c r="GE111" s="3369"/>
      <c r="GF111" s="3369"/>
      <c r="GG111" s="3369"/>
      <c r="GH111" s="3368"/>
      <c r="GI111" s="3368"/>
      <c r="GJ111" s="3368"/>
      <c r="GK111" s="3368"/>
      <c r="GL111" s="3368"/>
      <c r="GM111" s="3368"/>
    </row>
    <row r="112" spans="1:195" s="4" customFormat="1" outlineLevel="1">
      <c r="A112" s="3372"/>
      <c r="B112" s="3373" t="s">
        <v>188</v>
      </c>
      <c r="H112" s="3374">
        <v>0.375</v>
      </c>
      <c r="M112" s="3374">
        <v>0.3682815136177392</v>
      </c>
      <c r="Q112" s="3375"/>
      <c r="R112" s="3374">
        <v>0.34756053224750966</v>
      </c>
      <c r="S112" s="11"/>
      <c r="W112" s="3374">
        <v>0.34120809166784555</v>
      </c>
      <c r="X112" s="11"/>
      <c r="AB112" s="3374">
        <v>0.33373585865005723</v>
      </c>
      <c r="AG112" s="3376">
        <v>0.30946820931960511</v>
      </c>
      <c r="AL112" s="3376">
        <v>0.29435707678075856</v>
      </c>
      <c r="AQ112" s="3376">
        <v>0.2871536523929471</v>
      </c>
      <c r="AR112" s="3376">
        <v>0.28341691163755833</v>
      </c>
      <c r="AS112" s="3376">
        <v>0.27165830883624414</v>
      </c>
      <c r="AT112" s="3376">
        <v>0.27310273618998449</v>
      </c>
      <c r="AU112" s="3376">
        <v>0.26754250386398765</v>
      </c>
      <c r="AV112" s="3376">
        <v>0.27197334243449872</v>
      </c>
      <c r="AW112" s="3374">
        <f>+'Sales Model'!E58/'Sales Model'!E$25</f>
      </c>
      <c r="AX112" s="3374">
        <f>+'Sales Model'!F58/'Sales Model'!F$25</f>
      </c>
      <c r="AY112" s="3374">
        <f>+'Sales Model'!G58/'Sales Model'!G$25</f>
      </c>
      <c r="AZ112" s="3374">
        <f>+'Sales Model'!H58/'Sales Model'!H$25</f>
      </c>
      <c r="BA112" s="3377">
        <f>+'Sales Model'!I58/'Sales Model'!I$25</f>
      </c>
      <c r="BB112" s="3374">
        <f>+'Sales Model'!J58/'Sales Model'!J$25</f>
      </c>
      <c r="BC112" s="3374">
        <f>+'Sales Model'!K58/'Sales Model'!K$25</f>
      </c>
      <c r="BD112" s="3374">
        <f>+'Sales Model'!L58/'Sales Model'!L$25</f>
      </c>
      <c r="BE112" s="3374">
        <f>+'Sales Model'!M58/'Sales Model'!M$25</f>
      </c>
      <c r="BF112" s="3377">
        <f>+'Sales Model'!N58/'Sales Model'!N$25</f>
      </c>
      <c r="BG112" s="3374">
        <f>+'Sales Model'!O58/'Sales Model'!O$25</f>
      </c>
      <c r="BH112" s="3374">
        <f>+'Sales Model'!P58/'Sales Model'!P$25</f>
      </c>
      <c r="BI112" s="3374">
        <f>+'Sales Model'!Q58/'Sales Model'!Q$25</f>
      </c>
      <c r="BJ112" s="3374">
        <f>+'Sales Model'!R58/'Sales Model'!R$25</f>
      </c>
      <c r="BK112" s="3377">
        <f>+'Sales Model'!S58/'Sales Model'!S$25</f>
      </c>
      <c r="BL112" s="3374">
        <f>+'Sales Model'!T58/'Sales Model'!T$25</f>
      </c>
      <c r="BM112" s="3374">
        <f>+'Sales Model'!U58/'Sales Model'!U$25</f>
      </c>
      <c r="BN112" s="3378">
        <f>+'Sales Model'!V58/'Sales Model'!V$25</f>
      </c>
      <c r="BO112" s="3374">
        <f>+'Sales Model'!W58/'Sales Model'!W$25</f>
      </c>
      <c r="BP112" s="3377">
        <f>+'Sales Model'!X58/'Sales Model'!X$25</f>
      </c>
      <c r="BQ112" s="3374">
        <f>+'Sales Model'!Y58/'Sales Model'!Y$25</f>
      </c>
      <c r="BR112" s="3374">
        <f>+'Sales Model'!Z58/'Sales Model'!Z$25</f>
      </c>
      <c r="BS112" s="3374">
        <f>+'Sales Model'!AA58/'Sales Model'!AA$25</f>
      </c>
      <c r="BT112" s="3374">
        <f>+'Sales Model'!AB58/'Sales Model'!AB$25</f>
      </c>
      <c r="BU112" s="3377">
        <f>+'Sales Model'!AC58/'Sales Model'!AC$25</f>
      </c>
      <c r="BV112" s="3374">
        <f>+'Sales Model'!AD58/'Sales Model'!AD$25</f>
      </c>
      <c r="BW112" s="3374">
        <f>+'Sales Model'!AE58/'Sales Model'!AE$25</f>
      </c>
      <c r="BX112" s="3374">
        <f>+'Sales Model'!AF58/'Sales Model'!AF$25</f>
      </c>
      <c r="BY112" s="3374">
        <f>+'Sales Model'!AG58/'Sales Model'!AG$25</f>
      </c>
      <c r="BZ112" s="3377">
        <f>+'Sales Model'!AH58/'Sales Model'!AH$25</f>
      </c>
      <c r="CA112" s="3374">
        <f>+'Sales Model'!AI58/'Sales Model'!AI$25</f>
      </c>
      <c r="CB112" s="3374">
        <f>+'Sales Model'!AJ58/'Sales Model'!AJ$25</f>
      </c>
      <c r="CC112" s="3374">
        <f>+'Sales Model'!AK58/'Sales Model'!AK$25</f>
      </c>
      <c r="CD112" s="3374">
        <f>+'Sales Model'!AL58/'Sales Model'!AL$25</f>
      </c>
      <c r="CE112" s="3377">
        <f>+'Sales Model'!AM58/'Sales Model'!AM$25</f>
      </c>
      <c r="CF112" s="3374">
        <f>+'Sales Model'!AN58/'Sales Model'!AN$25</f>
      </c>
      <c r="CG112" s="3374">
        <f>+'Sales Model'!AO58/'Sales Model'!AO$25</f>
      </c>
      <c r="CH112" s="3374">
        <f>+'Sales Model'!AP58/'Sales Model'!AP$25</f>
      </c>
      <c r="CI112" s="3374">
        <f>+'Sales Model'!AQ58/'Sales Model'!AQ$25</f>
      </c>
      <c r="CJ112" s="3377">
        <f>+'Sales Model'!AR58/'Sales Model'!AR$25</f>
      </c>
      <c r="CK112" s="3374">
        <f>+'Sales Model'!AS58/'Sales Model'!AS$25</f>
      </c>
      <c r="CL112" s="3374">
        <f>+'Sales Model'!AT58/'Sales Model'!AT$25</f>
      </c>
      <c r="CM112" s="3374">
        <f>+'Sales Model'!AU58/'Sales Model'!AU$25</f>
      </c>
      <c r="CN112" s="3374">
        <f>+'Sales Model'!AV58/'Sales Model'!AV$25</f>
      </c>
      <c r="CO112" s="3377">
        <f>+'Sales Model'!AW58/'Sales Model'!AW$25</f>
      </c>
      <c r="CP112" s="3374">
        <f>+'Sales Model'!AX58/'Sales Model'!AX$25</f>
      </c>
      <c r="CQ112" s="3374">
        <f>+'Sales Model'!AY58/'Sales Model'!AY$25</f>
      </c>
      <c r="CR112" s="3374">
        <f>+'Sales Model'!AZ58/'Sales Model'!AZ$25</f>
      </c>
      <c r="CS112" s="3374">
        <f>+'Sales Model'!BA58/'Sales Model'!BA$25</f>
      </c>
      <c r="CT112" s="3377">
        <f>+'Sales Model'!BB58/'Sales Model'!BB$25</f>
      </c>
      <c r="CU112" s="3374">
        <f>+'Sales Model'!BC58/'Sales Model'!BC$25</f>
      </c>
      <c r="CV112" s="3374">
        <f>+'Sales Model'!BD58/'Sales Model'!BD$25</f>
      </c>
      <c r="CW112" s="3374">
        <f>+'Sales Model'!BE58/'Sales Model'!BE$25</f>
      </c>
      <c r="CX112" s="3374">
        <f>+'Sales Model'!BF58/'Sales Model'!BF$25</f>
      </c>
      <c r="CY112" s="3377">
        <f>+'Sales Model'!BG58/'Sales Model'!BG$25</f>
      </c>
      <c r="CZ112" s="3374">
        <f>+'Sales Model'!BH58/'Sales Model'!BH$25</f>
      </c>
      <c r="DA112" s="3374">
        <f>+'Sales Model'!BI58/'Sales Model'!BI$25</f>
      </c>
      <c r="DB112" s="3374">
        <f>+'Sales Model'!BJ58/'Sales Model'!BJ$25</f>
      </c>
      <c r="DC112" s="3374">
        <f>+'Sales Model'!BK58/'Sales Model'!BK$25</f>
      </c>
      <c r="DD112" s="3377">
        <f>+'Sales Model'!BL58/'Sales Model'!BL$25</f>
      </c>
      <c r="DE112" s="3374">
        <f>+'Sales Model'!BM58/'Sales Model'!BM$25</f>
      </c>
      <c r="DF112" s="3374">
        <f>+'Sales Model'!BN58/'Sales Model'!BN$25</f>
      </c>
      <c r="DG112" s="3374">
        <f>+'Sales Model'!BO58/'Sales Model'!BO$25</f>
      </c>
      <c r="DH112" s="3374">
        <f>+'Sales Model'!BP58/'Sales Model'!BP$25</f>
      </c>
      <c r="DI112" s="3377">
        <f>+'Sales Model'!BQ58/'Sales Model'!BQ$25</f>
      </c>
      <c r="DJ112" s="3374">
        <f>+'Sales Model'!BR58/'Sales Model'!BR$25</f>
      </c>
      <c r="DK112" s="3374">
        <f>+'Sales Model'!BS58/'Sales Model'!BS$25</f>
      </c>
      <c r="DL112" s="3374">
        <f>+'Sales Model'!BT58/'Sales Model'!BT$25</f>
      </c>
      <c r="DM112" s="3374">
        <f>+'Sales Model'!BU58/'Sales Model'!BU$25</f>
      </c>
      <c r="DN112" s="3377">
        <f>+'Sales Model'!BV58/'Sales Model'!BV$25</f>
      </c>
      <c r="DO112" s="3374">
        <f>+'Sales Model'!BW58/'Sales Model'!BW$25</f>
      </c>
      <c r="DP112" s="3374">
        <f>+'Sales Model'!BX58/'Sales Model'!BX$25</f>
      </c>
      <c r="DQ112" s="3374">
        <f>+'Sales Model'!BY58/'Sales Model'!BY$25</f>
      </c>
      <c r="DR112" s="3374">
        <f>+'Sales Model'!BZ58/'Sales Model'!BZ$25</f>
      </c>
      <c r="DS112" s="3377">
        <f>+'Sales Model'!CA58/'Sales Model'!CA$25</f>
      </c>
      <c r="DT112" s="3374">
        <f>+'Sales Model'!CB58/'Sales Model'!CB$25</f>
      </c>
      <c r="DU112" s="3374">
        <f>+'Sales Model'!CC58/'Sales Model'!CC$25</f>
      </c>
      <c r="DV112" s="3374">
        <f>+'Sales Model'!CD58/'Sales Model'!CD$25</f>
      </c>
      <c r="DW112" s="3374">
        <f>+'Sales Model'!CE58/'Sales Model'!CE$25</f>
      </c>
      <c r="DX112" s="3377">
        <f>+'Sales Model'!CF58/'Sales Model'!CF$25</f>
      </c>
      <c r="DY112" s="3374">
        <f>+'Sales Model'!CG58/'Sales Model'!CG$25</f>
      </c>
      <c r="DZ112" s="3374">
        <f>+'Sales Model'!CH58/'Sales Model'!CH$25</f>
      </c>
      <c r="EA112" s="3374">
        <f>+'Sales Model'!CI58/'Sales Model'!CI$25</f>
      </c>
      <c r="EB112" s="3374">
        <f>+'Sales Model'!CJ58/'Sales Model'!CJ$25</f>
      </c>
      <c r="EC112" s="3377">
        <f>+'Sales Model'!CK58/'Sales Model'!CK$25</f>
      </c>
      <c r="ED112" s="3374">
        <f>+'Sales Model'!CL58/'Sales Model'!CL$25</f>
      </c>
      <c r="EE112" s="3374">
        <f>+'Sales Model'!CM58/'Sales Model'!CM$25</f>
      </c>
      <c r="EF112" s="3374">
        <f>+'Sales Model'!CN58/'Sales Model'!CN$25</f>
      </c>
      <c r="EG112" s="3374">
        <f>+'Sales Model'!CO58/'Sales Model'!CO$25</f>
      </c>
      <c r="EH112" s="3377">
        <f>+'Sales Model'!CP58/'Sales Model'!CP$25</f>
      </c>
      <c r="EI112" s="3374">
        <f>+'Sales Model'!CQ58/'Sales Model'!CQ$25</f>
      </c>
      <c r="EJ112" s="3374">
        <f>+'Sales Model'!CR58/'Sales Model'!CR$25</f>
      </c>
      <c r="EK112" s="3374">
        <f>+'Sales Model'!CS58/'Sales Model'!CS$25</f>
      </c>
      <c r="EL112" s="3374">
        <f>+'Sales Model'!CT58/'Sales Model'!CT$25</f>
      </c>
      <c r="EM112" s="3377">
        <f>+'Sales Model'!CU58/'Sales Model'!CU$25</f>
      </c>
      <c r="EN112" s="3374">
        <f>+'Sales Model'!CV58/'Sales Model'!CV$25</f>
      </c>
      <c r="EO112" s="3374">
        <f>+'Sales Model'!CW58/'Sales Model'!CW$25</f>
      </c>
      <c r="EP112" s="3374">
        <f>+'Sales Model'!CX58/'Sales Model'!CX$25</f>
      </c>
      <c r="EQ112" s="3374">
        <f>+'Sales Model'!CY58/'Sales Model'!CY$25</f>
      </c>
      <c r="ER112" s="3377">
        <f>+'Sales Model'!CZ58/'Sales Model'!CZ$25</f>
      </c>
      <c r="ES112" s="3374">
        <f>+'Sales Model'!DA58/'Sales Model'!DA$25</f>
      </c>
      <c r="ET112" s="3374">
        <f>+'Sales Model'!DB58/'Sales Model'!DB$25</f>
      </c>
      <c r="EU112" s="3374">
        <f>+'Sales Model'!DC58/'Sales Model'!DC$25</f>
      </c>
      <c r="EV112" s="3374">
        <f>+'Sales Model'!DD58/'Sales Model'!DD$25</f>
      </c>
      <c r="EW112" s="3379">
        <f>+'Sales Model'!DE58/'Sales Model'!DE$25</f>
      </c>
      <c r="EX112" s="3380">
        <f>+'Sales Model'!DF58/'Sales Model'!DF$25</f>
      </c>
      <c r="EY112" s="3380">
        <f>+'Sales Model'!DG58/'Sales Model'!DG$25</f>
      </c>
      <c r="EZ112" s="3380">
        <f>+'Sales Model'!DH58/'Sales Model'!DH$25</f>
      </c>
      <c r="FA112" s="3380">
        <f>+'Sales Model'!DI58/'Sales Model'!DI$25</f>
      </c>
      <c r="FB112" s="3379">
        <f>+'Sales Model'!DJ58/'Sales Model'!DJ$25</f>
      </c>
      <c r="FC112" s="3380">
        <f>+'Sales Model'!DK58/'Sales Model'!DK$25</f>
      </c>
      <c r="FD112" s="3380">
        <f>+'Sales Model'!DL58/'Sales Model'!DL$25</f>
      </c>
      <c r="FE112" s="3380">
        <f>+'Sales Model'!DM58/'Sales Model'!DM$25</f>
      </c>
      <c r="FF112" s="3380">
        <f>+'Sales Model'!DN58/'Sales Model'!DN$25</f>
      </c>
      <c r="FG112" s="3379">
        <f>+'Sales Model'!DO58/'Sales Model'!DO$25</f>
      </c>
      <c r="FH112" s="3380">
        <f>+'Sales Model'!DP58/'Sales Model'!DP$25</f>
      </c>
      <c r="FI112" s="3380">
        <f>+'Sales Model'!DQ58/'Sales Model'!DQ$25</f>
      </c>
      <c r="FJ112" s="3380">
        <f>+'Sales Model'!DR58/'Sales Model'!DR$25</f>
      </c>
      <c r="FK112" s="3380">
        <f>+'Sales Model'!DS58/'Sales Model'!DS$25</f>
      </c>
      <c r="FL112" s="3379">
        <f>+'Sales Model'!DT58/'Sales Model'!DT$25</f>
      </c>
      <c r="FM112" s="3380">
        <f>+'Sales Model'!DU58/'Sales Model'!DU$25</f>
      </c>
      <c r="FN112" s="3380">
        <f>+'Sales Model'!DV58/'Sales Model'!DV$25</f>
      </c>
      <c r="FO112" s="3381"/>
      <c r="FP112" s="3380"/>
      <c r="FQ112" s="3380"/>
      <c r="FR112" s="3380"/>
      <c r="FS112" s="3379"/>
      <c r="FT112" s="3380"/>
      <c r="FU112" s="3382"/>
      <c r="FV112" s="3380"/>
      <c r="FW112" s="3383"/>
      <c r="FX112" s="3379"/>
      <c r="FY112" s="3383"/>
      <c r="FZ112" s="3383"/>
      <c r="GA112" s="3383"/>
      <c r="GB112" s="3380"/>
      <c r="GC112" s="3379"/>
      <c r="GD112" s="3383"/>
      <c r="GE112" s="3383"/>
      <c r="GF112" s="3383"/>
      <c r="GG112" s="3380"/>
      <c r="GH112" s="3379"/>
      <c r="GI112" s="3379"/>
      <c r="GJ112" s="3379"/>
      <c r="GK112" s="3379"/>
      <c r="GL112" s="3379"/>
      <c r="GM112" s="3379"/>
    </row>
    <row r="113" spans="1:195" outlineLevel="1">
      <c r="A113" s="2409"/>
      <c r="B113" s="54"/>
      <c r="Q113" s="6"/>
      <c r="V113" s="1">
        <v>115</v>
      </c>
      <c r="AG113" s="684"/>
      <c r="AL113" s="684"/>
      <c r="AQ113" s="684"/>
      <c r="AR113" s="684"/>
      <c r="AS113" s="684"/>
      <c r="AT113" s="684"/>
      <c r="AU113" s="684"/>
      <c r="AV113" s="684"/>
      <c r="BA113" s="214"/>
      <c r="BF113" s="214"/>
      <c r="BK113" s="214"/>
      <c r="BP113" s="214"/>
      <c r="BU113" s="214"/>
      <c r="BZ113" s="214"/>
      <c r="CE113" s="214"/>
      <c r="CJ113" s="214"/>
      <c r="CO113" s="214"/>
      <c r="CT113" s="214"/>
      <c r="CY113" s="214"/>
      <c r="DD113" s="214"/>
      <c r="DI113" s="214"/>
      <c r="DN113" s="214"/>
      <c r="DS113" s="214"/>
      <c r="DX113" s="214"/>
      <c r="EC113" s="214"/>
      <c r="EH113" s="214"/>
      <c r="EM113" s="214"/>
      <c r="ER113" s="214"/>
      <c r="EW113" s="1628"/>
      <c r="FB113" s="1628"/>
      <c r="FG113" s="1628"/>
      <c r="FH113" s="73"/>
      <c r="FI113" s="73"/>
      <c r="FJ113" s="73"/>
      <c r="FK113" s="73"/>
      <c r="FL113" s="1628"/>
      <c r="FM113" s="1045"/>
      <c r="FN113" s="1045"/>
      <c r="FO113" s="1630"/>
      <c r="FP113" s="73"/>
      <c r="FQ113" s="73"/>
      <c r="FR113" s="73"/>
      <c r="FS113" s="1628"/>
      <c r="FT113" s="1045"/>
      <c r="FU113" s="2051"/>
      <c r="FV113" s="1045"/>
      <c r="FW113" s="1045"/>
      <c r="FX113" s="1628"/>
      <c r="FY113" s="1045"/>
      <c r="FZ113" s="1045"/>
      <c r="GA113" s="1045"/>
      <c r="GB113" s="1045"/>
      <c r="GC113" s="1628"/>
      <c r="GD113" s="1045"/>
      <c r="GE113" s="1045"/>
      <c r="GF113" s="1045"/>
      <c r="GG113" s="1045"/>
      <c r="GH113" s="1628"/>
      <c r="GI113" s="1628"/>
      <c r="GJ113" s="1628"/>
      <c r="GK113" s="1628"/>
      <c r="GL113" s="1628"/>
      <c r="GM113" s="1628"/>
    </row>
    <row r="114" spans="1:195" outlineLevel="1">
      <c r="A114" s="2409"/>
      <c r="B114" s="195" t="s">
        <v>951</v>
      </c>
      <c r="C114" s="3"/>
      <c r="H114" s="181">
        <v>0.48317307692307693</v>
      </c>
      <c r="I114" s="3"/>
      <c r="J114" s="3"/>
      <c r="K114" s="3"/>
      <c r="L114" s="3"/>
      <c r="M114" s="181">
        <v>0.50196834578613325</v>
      </c>
      <c r="N114" s="3"/>
      <c r="O114" s="3"/>
      <c r="P114" s="3"/>
      <c r="Q114" s="56"/>
      <c r="R114" s="181">
        <v>0.5019268523231295</v>
      </c>
      <c r="T114" s="3"/>
      <c r="U114" s="3"/>
      <c r="V114" s="3">
        <v>167</v>
      </c>
      <c r="W114" s="181">
        <v>0.50947800254632902</v>
      </c>
      <c r="Y114" s="3"/>
      <c r="Z114" s="3"/>
      <c r="AA114" s="3"/>
      <c r="AB114" s="181">
        <v>0.496504385407398</v>
      </c>
      <c r="AC114" s="3"/>
      <c r="AD114" s="3"/>
      <c r="AE114" s="3"/>
      <c r="AF114" s="3"/>
      <c r="AG114" s="707">
        <v>0.48774015497293283</v>
      </c>
      <c r="AH114" s="3"/>
      <c r="AI114" s="3"/>
      <c r="AJ114" s="3"/>
      <c r="AK114" s="3"/>
      <c r="AL114" s="707">
        <v>0.50411655874190564</v>
      </c>
      <c r="AM114" s="3"/>
      <c r="AN114" s="3"/>
      <c r="AO114" s="3"/>
      <c r="AP114" s="3"/>
      <c r="AQ114" s="707">
        <v>0.51955455389102478</v>
      </c>
      <c r="AR114" s="707">
        <v>0.53518934808922702</v>
      </c>
      <c r="AS114" s="707">
        <v>0.51910772955213558</v>
      </c>
      <c r="AT114" s="707">
        <v>0.54190328686972977</v>
      </c>
      <c r="AU114" s="707">
        <v>0.53802163833075733</v>
      </c>
      <c r="AV114" s="707">
        <v>0.54389560584871488</v>
      </c>
      <c r="AW114" s="181">
        <f t="shared" ref="AW114:CB114" si="258">+AW110+AW106+AW102</f>
      </c>
      <c r="AX114" s="181">
        <f t="shared" si="258"/>
      </c>
      <c r="AY114" s="181">
        <f t="shared" si="258"/>
      </c>
      <c r="AZ114" s="181">
        <f t="shared" si="258"/>
      </c>
      <c r="BA114" s="296">
        <f t="shared" si="258"/>
      </c>
      <c r="BB114" s="181">
        <f t="shared" si="258"/>
      </c>
      <c r="BC114" s="181">
        <f t="shared" si="258"/>
      </c>
      <c r="BD114" s="181">
        <f t="shared" si="258"/>
      </c>
      <c r="BE114" s="181">
        <f t="shared" si="258"/>
      </c>
      <c r="BF114" s="296">
        <f t="shared" si="258"/>
      </c>
      <c r="BG114" s="181">
        <f t="shared" si="258"/>
      </c>
      <c r="BH114" s="181">
        <f t="shared" si="258"/>
      </c>
      <c r="BI114" s="181">
        <f t="shared" si="258"/>
      </c>
      <c r="BJ114" s="181">
        <f t="shared" si="258"/>
      </c>
      <c r="BK114" s="296">
        <f t="shared" si="258"/>
      </c>
      <c r="BL114" s="181">
        <f t="shared" si="258"/>
      </c>
      <c r="BM114" s="181">
        <f t="shared" si="258"/>
      </c>
      <c r="BN114" s="182">
        <f t="shared" si="258"/>
      </c>
      <c r="BO114" s="181">
        <f t="shared" si="258"/>
      </c>
      <c r="BP114" s="296">
        <f t="shared" si="258"/>
      </c>
      <c r="BQ114" s="181">
        <f t="shared" si="258"/>
      </c>
      <c r="BR114" s="181">
        <f t="shared" si="258"/>
      </c>
      <c r="BS114" s="181">
        <f t="shared" si="258"/>
      </c>
      <c r="BT114" s="181">
        <f t="shared" si="258"/>
      </c>
      <c r="BU114" s="296">
        <f t="shared" si="258"/>
      </c>
      <c r="BV114" s="181">
        <f t="shared" si="258"/>
      </c>
      <c r="BW114" s="181">
        <f t="shared" si="258"/>
      </c>
      <c r="BX114" s="181">
        <f t="shared" si="258"/>
      </c>
      <c r="BY114" s="181">
        <f t="shared" si="258"/>
      </c>
      <c r="BZ114" s="296">
        <f t="shared" si="258"/>
      </c>
      <c r="CA114" s="181">
        <f t="shared" si="258"/>
      </c>
      <c r="CB114" s="181">
        <f t="shared" si="258"/>
      </c>
      <c r="CC114" s="181">
        <f t="shared" ref="CC114:DH114" si="259">+CC110+CC106+CC102</f>
      </c>
      <c r="CD114" s="181">
        <f t="shared" si="259"/>
      </c>
      <c r="CE114" s="296">
        <f t="shared" si="259"/>
      </c>
      <c r="CF114" s="181">
        <f t="shared" si="259"/>
      </c>
      <c r="CG114" s="181">
        <f t="shared" si="259"/>
      </c>
      <c r="CH114" s="181">
        <f t="shared" si="259"/>
      </c>
      <c r="CI114" s="181">
        <f t="shared" si="259"/>
      </c>
      <c r="CJ114" s="296">
        <f t="shared" si="259"/>
      </c>
      <c r="CK114" s="181">
        <f t="shared" si="259"/>
      </c>
      <c r="CL114" s="181">
        <f t="shared" si="259"/>
      </c>
      <c r="CM114" s="181">
        <f t="shared" si="259"/>
      </c>
      <c r="CN114" s="181">
        <f t="shared" si="259"/>
      </c>
      <c r="CO114" s="296">
        <f t="shared" si="259"/>
      </c>
      <c r="CP114" s="181">
        <f t="shared" si="259"/>
      </c>
      <c r="CQ114" s="181">
        <f t="shared" si="259"/>
      </c>
      <c r="CR114" s="181">
        <f t="shared" si="259"/>
      </c>
      <c r="CS114" s="181">
        <f t="shared" si="259"/>
      </c>
      <c r="CT114" s="296">
        <f t="shared" si="259"/>
      </c>
      <c r="CU114" s="181">
        <f t="shared" si="259"/>
      </c>
      <c r="CV114" s="181">
        <f t="shared" si="259"/>
      </c>
      <c r="CW114" s="181">
        <f t="shared" si="259"/>
      </c>
      <c r="CX114" s="181">
        <f t="shared" si="259"/>
      </c>
      <c r="CY114" s="296">
        <f t="shared" si="259"/>
      </c>
      <c r="CZ114" s="181">
        <f t="shared" si="259"/>
      </c>
      <c r="DA114" s="181">
        <f t="shared" si="259"/>
      </c>
      <c r="DB114" s="181">
        <f t="shared" si="259"/>
      </c>
      <c r="DC114" s="181">
        <f t="shared" si="259"/>
      </c>
      <c r="DD114" s="296">
        <f t="shared" si="259"/>
      </c>
      <c r="DE114" s="181">
        <f t="shared" si="259"/>
      </c>
      <c r="DF114" s="181">
        <f t="shared" si="259"/>
      </c>
      <c r="DG114" s="181">
        <f t="shared" si="259"/>
      </c>
      <c r="DH114" s="181">
        <f t="shared" si="259"/>
      </c>
      <c r="DI114" s="296">
        <f t="shared" ref="DI114:EN114" si="260">+DI110+DI106+DI102</f>
      </c>
      <c r="DJ114" s="181">
        <f t="shared" si="260"/>
      </c>
      <c r="DK114" s="181">
        <f t="shared" si="260"/>
      </c>
      <c r="DL114" s="181">
        <f t="shared" si="260"/>
      </c>
      <c r="DM114" s="181">
        <f t="shared" si="260"/>
      </c>
      <c r="DN114" s="296">
        <f t="shared" si="260"/>
      </c>
      <c r="DO114" s="181">
        <f t="shared" si="260"/>
      </c>
      <c r="DP114" s="181">
        <f t="shared" si="260"/>
      </c>
      <c r="DQ114" s="181">
        <f t="shared" si="260"/>
      </c>
      <c r="DR114" s="181">
        <f t="shared" si="260"/>
      </c>
      <c r="DS114" s="296">
        <f t="shared" si="260"/>
      </c>
      <c r="DT114" s="181">
        <f t="shared" si="260"/>
      </c>
      <c r="DU114" s="181">
        <f t="shared" si="260"/>
      </c>
      <c r="DV114" s="181">
        <f t="shared" si="260"/>
      </c>
      <c r="DW114" s="181">
        <f t="shared" si="260"/>
      </c>
      <c r="DX114" s="296">
        <f t="shared" si="260"/>
      </c>
      <c r="DY114" s="181">
        <f t="shared" si="260"/>
      </c>
      <c r="DZ114" s="181">
        <f t="shared" si="260"/>
      </c>
      <c r="EA114" s="181">
        <f t="shared" si="260"/>
      </c>
      <c r="EB114" s="181">
        <f t="shared" si="260"/>
      </c>
      <c r="EC114" s="296">
        <f t="shared" si="260"/>
      </c>
      <c r="ED114" s="181">
        <f t="shared" si="260"/>
      </c>
      <c r="EE114" s="181">
        <f t="shared" si="260"/>
      </c>
      <c r="EF114" s="181">
        <f t="shared" si="260"/>
      </c>
      <c r="EG114" s="181">
        <f t="shared" si="260"/>
      </c>
      <c r="EH114" s="296">
        <f t="shared" si="260"/>
      </c>
      <c r="EI114" s="181">
        <f t="shared" si="260"/>
      </c>
      <c r="EJ114" s="181">
        <f t="shared" si="260"/>
      </c>
      <c r="EK114" s="181">
        <f t="shared" si="260"/>
      </c>
      <c r="EL114" s="181">
        <f t="shared" si="260"/>
      </c>
      <c r="EM114" s="296">
        <f t="shared" si="260"/>
      </c>
      <c r="EN114" s="181">
        <f t="shared" si="260"/>
      </c>
      <c r="EO114" s="181">
        <f t="shared" ref="EO114:FM115" si="261">+EO110+EO106+EO102</f>
      </c>
      <c r="EP114" s="181">
        <f t="shared" si="261"/>
      </c>
      <c r="EQ114" s="181">
        <f t="shared" si="261"/>
      </c>
      <c r="ER114" s="296">
        <f t="shared" si="261"/>
      </c>
      <c r="ES114" s="181">
        <f t="shared" si="261"/>
      </c>
      <c r="ET114" s="181">
        <f t="shared" si="261"/>
      </c>
      <c r="EU114" s="181">
        <f t="shared" si="261"/>
      </c>
      <c r="EV114" s="181">
        <f t="shared" si="261"/>
      </c>
      <c r="EW114" s="1723">
        <f t="shared" si="261"/>
      </c>
      <c r="EX114" s="1724">
        <f t="shared" si="261"/>
      </c>
      <c r="EY114" s="1724">
        <f t="shared" si="261"/>
      </c>
      <c r="EZ114" s="1724">
        <f t="shared" si="261"/>
      </c>
      <c r="FA114" s="1724">
        <f t="shared" si="261"/>
      </c>
      <c r="FB114" s="1723">
        <f t="shared" si="261"/>
      </c>
      <c r="FC114" s="1724">
        <f t="shared" si="261"/>
      </c>
      <c r="FD114" s="1724">
        <f t="shared" si="261"/>
      </c>
      <c r="FE114" s="1724">
        <f t="shared" si="261"/>
      </c>
      <c r="FF114" s="1724">
        <f t="shared" si="261"/>
      </c>
      <c r="FG114" s="1723">
        <f t="shared" si="261"/>
      </c>
      <c r="FH114" s="1724">
        <f t="shared" si="261"/>
      </c>
      <c r="FI114" s="1724">
        <f t="shared" si="261"/>
      </c>
      <c r="FJ114" s="1724">
        <f t="shared" si="261"/>
      </c>
      <c r="FK114" s="1724">
        <f t="shared" si="261"/>
      </c>
      <c r="FL114" s="1723">
        <f t="shared" si="261"/>
      </c>
      <c r="FM114" s="1724">
        <f t="shared" si="261"/>
      </c>
      <c r="FN114" s="1724">
        <f>+FN110+FN106+FN102</f>
      </c>
      <c r="FO114" s="2856">
        <f>FO106+FO102</f>
      </c>
      <c r="FP114" s="1724">
        <f t="shared" ref="FP114:GJ115" si="262">FP106+FP102</f>
      </c>
      <c r="FQ114" s="1724">
        <f t="shared" si="262"/>
      </c>
      <c r="FR114" s="1724">
        <f t="shared" si="262"/>
      </c>
      <c r="FS114" s="1723">
        <f t="shared" si="262"/>
      </c>
      <c r="FT114" s="1724">
        <f t="shared" si="262"/>
      </c>
      <c r="FU114" s="2857">
        <f t="shared" si="262"/>
      </c>
      <c r="FV114" s="1724">
        <f t="shared" si="262"/>
      </c>
      <c r="FW114" s="1724">
        <f t="shared" si="262"/>
      </c>
      <c r="FX114" s="1723">
        <f t="shared" si="262"/>
      </c>
      <c r="FY114" s="1724">
        <f t="shared" ref="FY114:FZ114" si="263">FY106+FY102</f>
      </c>
      <c r="FZ114" s="1724">
        <f t="shared" si="263"/>
      </c>
      <c r="GA114" s="1724">
        <f t="shared" ref="GA114" si="264">GA106+GA102</f>
      </c>
      <c r="GB114" s="1724">
        <f t="shared" si="262"/>
      </c>
      <c r="GC114" s="1723">
        <f t="shared" si="262"/>
      </c>
      <c r="GD114" s="1724">
        <f t="shared" si="262"/>
      </c>
      <c r="GE114" s="1724">
        <f t="shared" si="262"/>
      </c>
      <c r="GF114" s="1724">
        <f t="shared" si="262"/>
      </c>
      <c r="GG114" s="1724">
        <f t="shared" ref="GG114" si="265">GG106+GG102</f>
      </c>
      <c r="GH114" s="1723">
        <f t="shared" si="262"/>
      </c>
      <c r="GI114" s="1723">
        <f t="shared" si="262"/>
      </c>
      <c r="GJ114" s="1723">
        <f t="shared" si="262"/>
      </c>
      <c r="GK114" s="1723">
        <f t="shared" ref="GK114:GM115" si="266">GK106+GK102</f>
      </c>
      <c r="GL114" s="1723">
        <f t="shared" si="266"/>
      </c>
      <c r="GM114" s="1723">
        <f t="shared" si="266"/>
      </c>
    </row>
    <row r="115" spans="1:195" outlineLevel="1">
      <c r="A115" s="2409"/>
      <c r="B115" s="195" t="s">
        <v>184</v>
      </c>
      <c r="C115" s="3"/>
      <c r="H115" s="181">
        <v>0.51682692307692313</v>
      </c>
      <c r="I115" s="3"/>
      <c r="J115" s="3"/>
      <c r="K115" s="3"/>
      <c r="L115" s="3"/>
      <c r="M115" s="181">
        <v>0.4980316542138668</v>
      </c>
      <c r="N115" s="3"/>
      <c r="O115" s="3"/>
      <c r="P115" s="3"/>
      <c r="Q115" s="56"/>
      <c r="R115" s="181">
        <v>0.4980731476768705</v>
      </c>
      <c r="T115" s="3"/>
      <c r="U115" s="3"/>
      <c r="V115" s="3"/>
      <c r="W115" s="181">
        <v>0.49052199745367098</v>
      </c>
      <c r="Y115" s="3"/>
      <c r="Z115" s="3"/>
      <c r="AA115" s="3"/>
      <c r="AB115" s="181">
        <v>0.50349561459260206</v>
      </c>
      <c r="AC115" s="3"/>
      <c r="AD115" s="3"/>
      <c r="AE115" s="3"/>
      <c r="AF115" s="3"/>
      <c r="AG115" s="707">
        <v>0.51225984502706723</v>
      </c>
      <c r="AH115" s="3"/>
      <c r="AI115" s="3"/>
      <c r="AJ115" s="3"/>
      <c r="AK115" s="3"/>
      <c r="AL115" s="707">
        <v>0.49588344125809436</v>
      </c>
      <c r="AM115" s="3"/>
      <c r="AN115" s="3"/>
      <c r="AO115" s="3"/>
      <c r="AP115" s="3"/>
      <c r="AQ115" s="707">
        <v>0.48044544610897522</v>
      </c>
      <c r="AR115" s="707">
        <v>0.46481065191077298</v>
      </c>
      <c r="AS115" s="707">
        <v>0.48089227044786442</v>
      </c>
      <c r="AT115" s="707">
        <v>0.45809671313027017</v>
      </c>
      <c r="AU115" s="707">
        <v>0.46197836166924267</v>
      </c>
      <c r="AV115" s="707">
        <v>0.45610439415128512</v>
      </c>
      <c r="AW115" s="181">
        <f t="shared" ref="AW115:CB115" si="267">+AW111+AW107+AW103</f>
      </c>
      <c r="AX115" s="181">
        <f t="shared" si="267"/>
      </c>
      <c r="AY115" s="181">
        <f t="shared" si="267"/>
      </c>
      <c r="AZ115" s="181">
        <f t="shared" si="267"/>
      </c>
      <c r="BA115" s="296">
        <f t="shared" si="267"/>
      </c>
      <c r="BB115" s="181">
        <f t="shared" si="267"/>
      </c>
      <c r="BC115" s="181">
        <f t="shared" si="267"/>
      </c>
      <c r="BD115" s="181">
        <f t="shared" si="267"/>
      </c>
      <c r="BE115" s="181">
        <f t="shared" si="267"/>
      </c>
      <c r="BF115" s="296">
        <f t="shared" si="267"/>
      </c>
      <c r="BG115" s="181">
        <f t="shared" si="267"/>
      </c>
      <c r="BH115" s="181">
        <f t="shared" si="267"/>
      </c>
      <c r="BI115" s="181">
        <f t="shared" si="267"/>
      </c>
      <c r="BJ115" s="181">
        <f t="shared" si="267"/>
      </c>
      <c r="BK115" s="296">
        <f t="shared" si="267"/>
      </c>
      <c r="BL115" s="181">
        <f t="shared" si="267"/>
      </c>
      <c r="BM115" s="181">
        <f t="shared" si="267"/>
      </c>
      <c r="BN115" s="182">
        <f t="shared" si="267"/>
      </c>
      <c r="BO115" s="181">
        <f t="shared" si="267"/>
      </c>
      <c r="BP115" s="296">
        <f t="shared" si="267"/>
      </c>
      <c r="BQ115" s="181">
        <f t="shared" si="267"/>
      </c>
      <c r="BR115" s="181">
        <f t="shared" si="267"/>
      </c>
      <c r="BS115" s="181">
        <f t="shared" si="267"/>
      </c>
      <c r="BT115" s="181">
        <f t="shared" si="267"/>
      </c>
      <c r="BU115" s="296">
        <f t="shared" si="267"/>
      </c>
      <c r="BV115" s="181">
        <f t="shared" si="267"/>
      </c>
      <c r="BW115" s="181">
        <f t="shared" si="267"/>
      </c>
      <c r="BX115" s="181">
        <f t="shared" si="267"/>
      </c>
      <c r="BY115" s="181">
        <f t="shared" si="267"/>
      </c>
      <c r="BZ115" s="296">
        <f t="shared" si="267"/>
      </c>
      <c r="CA115" s="181">
        <f t="shared" si="267"/>
      </c>
      <c r="CB115" s="181">
        <f t="shared" si="267"/>
      </c>
      <c r="CC115" s="181">
        <f t="shared" ref="CC115:DH115" si="268">+CC111+CC107+CC103</f>
      </c>
      <c r="CD115" s="181">
        <f t="shared" si="268"/>
      </c>
      <c r="CE115" s="296">
        <f t="shared" si="268"/>
      </c>
      <c r="CF115" s="181">
        <f t="shared" si="268"/>
      </c>
      <c r="CG115" s="181">
        <f t="shared" si="268"/>
      </c>
      <c r="CH115" s="181">
        <f t="shared" si="268"/>
      </c>
      <c r="CI115" s="181">
        <f t="shared" si="268"/>
      </c>
      <c r="CJ115" s="296">
        <f t="shared" si="268"/>
      </c>
      <c r="CK115" s="181">
        <f t="shared" si="268"/>
      </c>
      <c r="CL115" s="181">
        <f t="shared" si="268"/>
      </c>
      <c r="CM115" s="181">
        <f t="shared" si="268"/>
      </c>
      <c r="CN115" s="181">
        <f t="shared" si="268"/>
      </c>
      <c r="CO115" s="296">
        <f t="shared" si="268"/>
      </c>
      <c r="CP115" s="181">
        <f t="shared" si="268"/>
      </c>
      <c r="CQ115" s="181">
        <f t="shared" si="268"/>
      </c>
      <c r="CR115" s="181">
        <f t="shared" si="268"/>
      </c>
      <c r="CS115" s="181">
        <f t="shared" si="268"/>
      </c>
      <c r="CT115" s="296">
        <f t="shared" si="268"/>
      </c>
      <c r="CU115" s="181">
        <f t="shared" si="268"/>
      </c>
      <c r="CV115" s="181">
        <f t="shared" si="268"/>
      </c>
      <c r="CW115" s="181">
        <f t="shared" si="268"/>
      </c>
      <c r="CX115" s="181">
        <f t="shared" si="268"/>
      </c>
      <c r="CY115" s="296">
        <f t="shared" si="268"/>
      </c>
      <c r="CZ115" s="181">
        <f t="shared" si="268"/>
      </c>
      <c r="DA115" s="181">
        <f t="shared" si="268"/>
      </c>
      <c r="DB115" s="181">
        <f t="shared" si="268"/>
      </c>
      <c r="DC115" s="181">
        <f t="shared" si="268"/>
      </c>
      <c r="DD115" s="296">
        <f t="shared" si="268"/>
      </c>
      <c r="DE115" s="181">
        <f t="shared" si="268"/>
      </c>
      <c r="DF115" s="181">
        <f t="shared" si="268"/>
      </c>
      <c r="DG115" s="181">
        <f t="shared" si="268"/>
      </c>
      <c r="DH115" s="181">
        <f t="shared" si="268"/>
      </c>
      <c r="DI115" s="296">
        <f t="shared" ref="DI115:EN115" si="269">+DI111+DI107+DI103</f>
      </c>
      <c r="DJ115" s="181">
        <f t="shared" si="269"/>
      </c>
      <c r="DK115" s="181">
        <f t="shared" si="269"/>
      </c>
      <c r="DL115" s="181">
        <f t="shared" si="269"/>
      </c>
      <c r="DM115" s="181">
        <f t="shared" si="269"/>
      </c>
      <c r="DN115" s="296">
        <f t="shared" si="269"/>
      </c>
      <c r="DO115" s="181">
        <f t="shared" si="269"/>
      </c>
      <c r="DP115" s="181">
        <f t="shared" si="269"/>
      </c>
      <c r="DQ115" s="181">
        <f t="shared" si="269"/>
      </c>
      <c r="DR115" s="181">
        <f t="shared" si="269"/>
      </c>
      <c r="DS115" s="296">
        <f t="shared" si="269"/>
      </c>
      <c r="DT115" s="181">
        <f t="shared" si="269"/>
      </c>
      <c r="DU115" s="181">
        <f t="shared" si="269"/>
      </c>
      <c r="DV115" s="181">
        <f t="shared" si="269"/>
      </c>
      <c r="DW115" s="181">
        <f t="shared" si="269"/>
      </c>
      <c r="DX115" s="296">
        <f t="shared" si="269"/>
      </c>
      <c r="DY115" s="181">
        <f t="shared" si="269"/>
      </c>
      <c r="DZ115" s="181">
        <f t="shared" si="269"/>
      </c>
      <c r="EA115" s="181">
        <f t="shared" si="269"/>
      </c>
      <c r="EB115" s="181">
        <f t="shared" si="269"/>
      </c>
      <c r="EC115" s="296">
        <f t="shared" si="269"/>
      </c>
      <c r="ED115" s="181">
        <f t="shared" si="269"/>
      </c>
      <c r="EE115" s="181">
        <f t="shared" si="269"/>
      </c>
      <c r="EF115" s="181">
        <f t="shared" si="269"/>
      </c>
      <c r="EG115" s="181">
        <f t="shared" si="269"/>
      </c>
      <c r="EH115" s="296">
        <f t="shared" si="269"/>
      </c>
      <c r="EI115" s="181">
        <f t="shared" si="269"/>
      </c>
      <c r="EJ115" s="181">
        <f t="shared" si="269"/>
      </c>
      <c r="EK115" s="181">
        <f t="shared" si="269"/>
      </c>
      <c r="EL115" s="181">
        <f t="shared" si="269"/>
      </c>
      <c r="EM115" s="296">
        <f t="shared" si="269"/>
      </c>
      <c r="EN115" s="181">
        <f t="shared" si="269"/>
      </c>
      <c r="EO115" s="181">
        <f t="shared" ref="EO115:FL115" si="270">+EO111+EO107+EO103</f>
      </c>
      <c r="EP115" s="181">
        <f t="shared" si="270"/>
      </c>
      <c r="EQ115" s="181">
        <f t="shared" si="270"/>
      </c>
      <c r="ER115" s="296">
        <f t="shared" si="270"/>
      </c>
      <c r="ES115" s="181">
        <f t="shared" si="270"/>
      </c>
      <c r="ET115" s="181">
        <f t="shared" si="270"/>
      </c>
      <c r="EU115" s="181">
        <f t="shared" si="270"/>
      </c>
      <c r="EV115" s="181">
        <f t="shared" si="270"/>
      </c>
      <c r="EW115" s="1723">
        <f t="shared" si="270"/>
      </c>
      <c r="EX115" s="1724">
        <f t="shared" si="270"/>
      </c>
      <c r="EY115" s="1724">
        <f t="shared" si="270"/>
      </c>
      <c r="EZ115" s="1724">
        <f t="shared" si="270"/>
      </c>
      <c r="FA115" s="1724">
        <f t="shared" si="270"/>
      </c>
      <c r="FB115" s="1723">
        <f t="shared" si="270"/>
      </c>
      <c r="FC115" s="1724">
        <f t="shared" si="270"/>
      </c>
      <c r="FD115" s="1724">
        <f t="shared" si="270"/>
      </c>
      <c r="FE115" s="1724">
        <f t="shared" si="270"/>
      </c>
      <c r="FF115" s="1724">
        <f t="shared" si="270"/>
      </c>
      <c r="FG115" s="1723">
        <f t="shared" si="270"/>
      </c>
      <c r="FH115" s="1724">
        <f t="shared" si="270"/>
      </c>
      <c r="FI115" s="1724">
        <f t="shared" si="270"/>
      </c>
      <c r="FJ115" s="1724">
        <f t="shared" si="270"/>
      </c>
      <c r="FK115" s="1724">
        <f t="shared" si="270"/>
      </c>
      <c r="FL115" s="1723">
        <f t="shared" si="270"/>
      </c>
      <c r="FM115" s="1724">
        <f t="shared" si="261"/>
      </c>
      <c r="FN115" s="1724">
        <f>+FN111+FN107+FN103</f>
      </c>
      <c r="FO115" s="2856">
        <f>FO107+FO103</f>
      </c>
      <c r="FP115" s="1724">
        <f t="shared" ref="FP115:GJ115" si="271">FP107+FP103</f>
      </c>
      <c r="FQ115" s="1724">
        <f t="shared" si="271"/>
      </c>
      <c r="FR115" s="1724">
        <f t="shared" si="271"/>
      </c>
      <c r="FS115" s="1723">
        <f t="shared" si="271"/>
      </c>
      <c r="FT115" s="1724">
        <f t="shared" si="271"/>
      </c>
      <c r="FU115" s="2857">
        <f t="shared" si="271"/>
      </c>
      <c r="FV115" s="1724">
        <f t="shared" si="271"/>
      </c>
      <c r="FW115" s="1724">
        <f t="shared" si="271"/>
      </c>
      <c r="FX115" s="1723">
        <f t="shared" si="271"/>
      </c>
      <c r="FY115" s="1724">
        <f t="shared" ref="FY115:FZ115" si="272">FY107+FY103</f>
      </c>
      <c r="FZ115" s="1724">
        <f t="shared" si="272"/>
      </c>
      <c r="GA115" s="1724">
        <f t="shared" ref="GA115" si="273">GA107+GA103</f>
      </c>
      <c r="GB115" s="1724">
        <f t="shared" si="271"/>
      </c>
      <c r="GC115" s="1723">
        <f t="shared" si="271"/>
      </c>
      <c r="GD115" s="1724">
        <f t="shared" si="271"/>
      </c>
      <c r="GE115" s="1724">
        <f t="shared" si="271"/>
      </c>
      <c r="GF115" s="1724">
        <f t="shared" si="262"/>
      </c>
      <c r="GG115" s="1724">
        <f t="shared" ref="GG115" si="274">GG107+GG103</f>
      </c>
      <c r="GH115" s="1723">
        <f t="shared" si="271"/>
      </c>
      <c r="GI115" s="1723">
        <f t="shared" si="271"/>
      </c>
      <c r="GJ115" s="1723">
        <f t="shared" si="271"/>
      </c>
      <c r="GK115" s="1723">
        <f t="shared" si="266"/>
      </c>
      <c r="GL115" s="1723">
        <f t="shared" si="266"/>
      </c>
      <c r="GM115" s="1723">
        <f t="shared" si="266"/>
      </c>
    </row>
    <row r="116" spans="1:195" outlineLevel="1">
      <c r="A116" s="2409"/>
      <c r="B116" s="196" t="s">
        <v>423</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708"/>
      <c r="AH116" s="2"/>
      <c r="AI116" s="2"/>
      <c r="AJ116" s="2"/>
      <c r="AK116" s="2"/>
      <c r="AL116" s="708"/>
      <c r="AM116" s="2"/>
      <c r="AN116" s="2"/>
      <c r="AO116" s="2"/>
      <c r="AP116" s="2"/>
      <c r="AQ116" s="2"/>
      <c r="AR116" s="2"/>
      <c r="AS116" s="2"/>
      <c r="AT116" s="2"/>
      <c r="AU116" s="2"/>
      <c r="AV116" s="2"/>
      <c r="AW116" s="197">
        <f t="shared" ref="AW116:CB116" si="275">+AW115+AW114</f>
      </c>
      <c r="AX116" s="197">
        <f t="shared" si="275"/>
      </c>
      <c r="AY116" s="197">
        <f t="shared" si="275"/>
      </c>
      <c r="AZ116" s="197">
        <f t="shared" si="275"/>
      </c>
      <c r="BA116" s="302">
        <f t="shared" si="275"/>
      </c>
      <c r="BB116" s="197">
        <f t="shared" si="275"/>
      </c>
      <c r="BC116" s="197">
        <f t="shared" si="275"/>
      </c>
      <c r="BD116" s="197">
        <f t="shared" si="275"/>
      </c>
      <c r="BE116" s="197">
        <f t="shared" si="275"/>
      </c>
      <c r="BF116" s="302">
        <f t="shared" si="275"/>
      </c>
      <c r="BG116" s="197">
        <f t="shared" si="275"/>
      </c>
      <c r="BH116" s="197">
        <f t="shared" si="275"/>
      </c>
      <c r="BI116" s="197">
        <f t="shared" si="275"/>
      </c>
      <c r="BJ116" s="197">
        <f t="shared" si="275"/>
      </c>
      <c r="BK116" s="302">
        <f t="shared" si="275"/>
      </c>
      <c r="BL116" s="197">
        <f t="shared" si="275"/>
      </c>
      <c r="BM116" s="197">
        <f t="shared" si="275"/>
      </c>
      <c r="BN116" s="197">
        <f t="shared" si="275"/>
      </c>
      <c r="BO116" s="197">
        <f t="shared" si="275"/>
      </c>
      <c r="BP116" s="302">
        <f t="shared" si="275"/>
      </c>
      <c r="BQ116" s="197">
        <f t="shared" si="275"/>
      </c>
      <c r="BR116" s="197">
        <f t="shared" si="275"/>
      </c>
      <c r="BS116" s="197">
        <f t="shared" si="275"/>
      </c>
      <c r="BT116" s="197">
        <f t="shared" si="275"/>
      </c>
      <c r="BU116" s="302">
        <f t="shared" si="275"/>
      </c>
      <c r="BV116" s="197">
        <f t="shared" si="275"/>
      </c>
      <c r="BW116" s="197">
        <f t="shared" si="275"/>
      </c>
      <c r="BX116" s="197">
        <f t="shared" si="275"/>
      </c>
      <c r="BY116" s="197">
        <f t="shared" si="275"/>
      </c>
      <c r="BZ116" s="302">
        <f t="shared" si="275"/>
      </c>
      <c r="CA116" s="197">
        <f t="shared" si="275"/>
      </c>
      <c r="CB116" s="197">
        <f t="shared" si="275"/>
      </c>
      <c r="CC116" s="197">
        <f t="shared" ref="CC116:DH116" si="276">+CC115+CC114</f>
      </c>
      <c r="CD116" s="197">
        <f t="shared" si="276"/>
      </c>
      <c r="CE116" s="302">
        <f t="shared" si="276"/>
      </c>
      <c r="CF116" s="197">
        <f t="shared" si="276"/>
      </c>
      <c r="CG116" s="197">
        <f t="shared" si="276"/>
      </c>
      <c r="CH116" s="197">
        <f t="shared" si="276"/>
      </c>
      <c r="CI116" s="197">
        <f t="shared" si="276"/>
      </c>
      <c r="CJ116" s="302">
        <f t="shared" si="276"/>
      </c>
      <c r="CK116" s="197">
        <f t="shared" si="276"/>
      </c>
      <c r="CL116" s="197">
        <f t="shared" si="276"/>
      </c>
      <c r="CM116" s="197">
        <f t="shared" si="276"/>
      </c>
      <c r="CN116" s="197">
        <f t="shared" si="276"/>
      </c>
      <c r="CO116" s="302">
        <f t="shared" si="276"/>
      </c>
      <c r="CP116" s="197">
        <f t="shared" si="276"/>
      </c>
      <c r="CQ116" s="197">
        <f t="shared" si="276"/>
      </c>
      <c r="CR116" s="197">
        <f t="shared" si="276"/>
      </c>
      <c r="CS116" s="197">
        <f t="shared" si="276"/>
      </c>
      <c r="CT116" s="302">
        <f t="shared" si="276"/>
      </c>
      <c r="CU116" s="197">
        <f t="shared" si="276"/>
      </c>
      <c r="CV116" s="197">
        <f t="shared" si="276"/>
      </c>
      <c r="CW116" s="197">
        <f t="shared" si="276"/>
      </c>
      <c r="CX116" s="197">
        <f t="shared" si="276"/>
      </c>
      <c r="CY116" s="302">
        <f t="shared" si="276"/>
      </c>
      <c r="CZ116" s="197">
        <f t="shared" si="276"/>
      </c>
      <c r="DA116" s="197">
        <f t="shared" si="276"/>
      </c>
      <c r="DB116" s="197">
        <f t="shared" si="276"/>
      </c>
      <c r="DC116" s="197">
        <f t="shared" si="276"/>
      </c>
      <c r="DD116" s="302">
        <f t="shared" si="276"/>
      </c>
      <c r="DE116" s="197">
        <f t="shared" si="276"/>
      </c>
      <c r="DF116" s="197">
        <f t="shared" si="276"/>
      </c>
      <c r="DG116" s="197">
        <f t="shared" si="276"/>
      </c>
      <c r="DH116" s="197">
        <f t="shared" si="276"/>
      </c>
      <c r="DI116" s="302">
        <f t="shared" ref="DI116:EN116" si="277">+DI115+DI114</f>
      </c>
      <c r="DJ116" s="197">
        <f t="shared" si="277"/>
      </c>
      <c r="DK116" s="197">
        <f t="shared" si="277"/>
      </c>
      <c r="DL116" s="197">
        <f t="shared" si="277"/>
      </c>
      <c r="DM116" s="197">
        <f t="shared" si="277"/>
      </c>
      <c r="DN116" s="302">
        <f t="shared" si="277"/>
      </c>
      <c r="DO116" s="197">
        <f t="shared" si="277"/>
      </c>
      <c r="DP116" s="197">
        <f t="shared" si="277"/>
      </c>
      <c r="DQ116" s="197">
        <f t="shared" si="277"/>
      </c>
      <c r="DR116" s="197">
        <f t="shared" si="277"/>
      </c>
      <c r="DS116" s="302">
        <f t="shared" si="277"/>
      </c>
      <c r="DT116" s="197">
        <f t="shared" si="277"/>
      </c>
      <c r="DU116" s="197">
        <f t="shared" si="277"/>
      </c>
      <c r="DV116" s="197">
        <f t="shared" si="277"/>
      </c>
      <c r="DW116" s="197">
        <f t="shared" si="277"/>
      </c>
      <c r="DX116" s="302">
        <f t="shared" si="277"/>
      </c>
      <c r="DY116" s="197">
        <f t="shared" si="277"/>
      </c>
      <c r="DZ116" s="197">
        <f t="shared" si="277"/>
      </c>
      <c r="EA116" s="197">
        <f t="shared" si="277"/>
      </c>
      <c r="EB116" s="197">
        <f t="shared" si="277"/>
      </c>
      <c r="EC116" s="302">
        <f t="shared" si="277"/>
      </c>
      <c r="ED116" s="197">
        <f t="shared" si="277"/>
      </c>
      <c r="EE116" s="197">
        <f t="shared" si="277"/>
      </c>
      <c r="EF116" s="197">
        <f t="shared" si="277"/>
      </c>
      <c r="EG116" s="197">
        <f t="shared" si="277"/>
      </c>
      <c r="EH116" s="302">
        <f t="shared" si="277"/>
      </c>
      <c r="EI116" s="197">
        <f t="shared" si="277"/>
      </c>
      <c r="EJ116" s="197">
        <f t="shared" si="277"/>
      </c>
      <c r="EK116" s="197">
        <f t="shared" si="277"/>
      </c>
      <c r="EL116" s="197">
        <f t="shared" si="277"/>
      </c>
      <c r="EM116" s="302">
        <f t="shared" si="277"/>
      </c>
      <c r="EN116" s="197">
        <f t="shared" si="277"/>
      </c>
      <c r="EO116" s="197">
        <f t="shared" ref="EO116:GH116" si="278">+EO115+EO114</f>
      </c>
      <c r="EP116" s="197">
        <f t="shared" si="278"/>
      </c>
      <c r="EQ116" s="197">
        <f t="shared" si="278"/>
      </c>
      <c r="ER116" s="302">
        <f t="shared" si="278"/>
      </c>
      <c r="ES116" s="197">
        <f t="shared" si="278"/>
      </c>
      <c r="ET116" s="197">
        <f t="shared" si="278"/>
      </c>
      <c r="EU116" s="197">
        <f t="shared" si="278"/>
      </c>
      <c r="EV116" s="197">
        <f t="shared" si="278"/>
      </c>
      <c r="EW116" s="328">
        <f t="shared" si="278"/>
      </c>
      <c r="EX116" s="333">
        <f t="shared" si="278"/>
      </c>
      <c r="EY116" s="333">
        <f t="shared" si="278"/>
      </c>
      <c r="EZ116" s="333">
        <f t="shared" si="278"/>
      </c>
      <c r="FA116" s="333">
        <f t="shared" si="278"/>
      </c>
      <c r="FB116" s="328">
        <f t="shared" si="278"/>
      </c>
      <c r="FC116" s="333">
        <f t="shared" si="278"/>
      </c>
      <c r="FD116" s="333">
        <f t="shared" si="278"/>
      </c>
      <c r="FE116" s="333">
        <f t="shared" si="278"/>
      </c>
      <c r="FF116" s="333">
        <f t="shared" si="278"/>
      </c>
      <c r="FG116" s="328">
        <f t="shared" si="278"/>
      </c>
      <c r="FH116" s="333">
        <f t="shared" si="278"/>
      </c>
      <c r="FI116" s="333">
        <f t="shared" si="278"/>
      </c>
      <c r="FJ116" s="333">
        <f t="shared" si="278"/>
      </c>
      <c r="FK116" s="333">
        <f t="shared" si="278"/>
      </c>
      <c r="FL116" s="328">
        <f t="shared" si="278"/>
      </c>
      <c r="FM116" s="2135">
        <f t="shared" si="278"/>
      </c>
      <c r="FN116" s="2135">
        <f t="shared" ref="FN116:FT116" si="279">+FN115+FN114</f>
      </c>
      <c r="FO116" s="2787">
        <f t="shared" si="279"/>
      </c>
      <c r="FP116" s="2135">
        <f t="shared" si="279"/>
      </c>
      <c r="FQ116" s="2135">
        <f t="shared" si="279"/>
      </c>
      <c r="FR116" s="2135">
        <f t="shared" si="279"/>
      </c>
      <c r="FS116" s="2224">
        <f t="shared" si="279"/>
      </c>
      <c r="FT116" s="2135">
        <f t="shared" si="279"/>
      </c>
      <c r="FU116" s="2788">
        <f>+FU115+FU114</f>
      </c>
      <c r="FV116" s="2135">
        <f t="shared" si="278"/>
      </c>
      <c r="FW116" s="2135">
        <f t="shared" si="278"/>
      </c>
      <c r="FX116" s="328">
        <f t="shared" si="278"/>
      </c>
      <c r="FY116" s="2135">
        <f t="shared" ref="FY116:FZ116" si="280">+FY115+FY114</f>
      </c>
      <c r="FZ116" s="2135">
        <f t="shared" si="280"/>
      </c>
      <c r="GA116" s="2135">
        <f t="shared" ref="GA116" si="281">+GA115+GA114</f>
      </c>
      <c r="GB116" s="2135">
        <f>+GB115+GB114</f>
      </c>
      <c r="GC116" s="328">
        <f t="shared" si="278"/>
      </c>
      <c r="GD116" s="2135">
        <f t="shared" si="278"/>
      </c>
      <c r="GE116" s="2135">
        <f t="shared" si="278"/>
      </c>
      <c r="GF116" s="2135">
        <f t="shared" si="278"/>
      </c>
      <c r="GG116" s="2135">
        <f>+GG115+GG114</f>
      </c>
      <c r="GH116" s="328">
        <f t="shared" si="278"/>
      </c>
      <c r="GI116" s="328">
        <f>+GI115+GI114</f>
      </c>
      <c r="GJ116" s="328">
        <f>+GJ115+GJ114</f>
      </c>
      <c r="GK116" s="328">
        <f>+GK115+GK114</f>
      </c>
      <c r="GL116" s="328">
        <f>+GL115+GL114</f>
      </c>
      <c r="GM116" s="328">
        <f>+GM115+GM114</f>
      </c>
    </row>
    <row r="117" spans="1:195" ht="15" customHeight="1" outlineLevel="1">
      <c r="ED117" s="946"/>
      <c r="EI117" s="946"/>
      <c r="EJ117" s="946"/>
      <c r="EK117" s="946"/>
      <c r="EL117" s="946"/>
      <c r="EN117" s="946"/>
      <c r="EO117" s="946"/>
      <c r="EP117" s="946"/>
      <c r="EQ117" s="946"/>
      <c r="FH117" s="73"/>
      <c r="FI117" s="73"/>
      <c r="FJ117" s="73"/>
      <c r="FK117" s="2889"/>
      <c r="FL117" s="2889"/>
      <c r="FM117" s="2890"/>
      <c r="FN117" s="2890"/>
      <c r="FO117" s="2889"/>
      <c r="FP117" s="2889"/>
      <c r="FQ117" s="2889"/>
      <c r="FR117" s="2889"/>
      <c r="FS117" s="2889"/>
      <c r="FT117" s="2890"/>
      <c r="FU117" s="2890"/>
      <c r="FV117" s="2890"/>
      <c r="FW117" s="2890"/>
      <c r="FX117" s="2889"/>
      <c r="FY117" s="2890"/>
      <c r="FZ117" s="2890"/>
      <c r="GA117" s="2890"/>
      <c r="GB117" s="1045"/>
      <c r="GC117" s="73"/>
      <c r="GD117" s="2890"/>
      <c r="GE117" s="2890"/>
      <c r="GF117" s="2890"/>
      <c r="GG117" s="1045"/>
      <c r="GH117" s="73"/>
      <c r="GI117" s="73"/>
      <c r="GJ117" s="73"/>
      <c r="GK117" s="73"/>
      <c r="GL117" s="73"/>
      <c r="GM117" s="73"/>
    </row>
    <row r="118" spans="1:195" outlineLevel="1">
      <c r="B118" s="347" t="s">
        <v>560</v>
      </c>
      <c r="C118" s="591"/>
      <c r="D118" s="591"/>
      <c r="E118" s="591"/>
      <c r="F118" s="591"/>
      <c r="G118" s="591"/>
      <c r="H118" s="591"/>
      <c r="I118" s="591"/>
      <c r="J118" s="591"/>
      <c r="K118" s="591"/>
      <c r="L118" s="591"/>
      <c r="M118" s="591"/>
      <c r="N118" s="591"/>
      <c r="O118" s="591"/>
      <c r="P118" s="591"/>
      <c r="Q118" s="591"/>
      <c r="R118" s="591"/>
      <c r="S118" s="591"/>
      <c r="T118" s="591"/>
      <c r="U118" s="591"/>
      <c r="V118" s="591"/>
      <c r="W118" s="591"/>
      <c r="X118" s="591"/>
      <c r="Y118" s="591"/>
      <c r="Z118" s="591"/>
      <c r="AA118" s="591"/>
      <c r="AB118" s="591"/>
      <c r="AC118" s="591"/>
      <c r="AD118" s="591"/>
      <c r="AE118" s="591"/>
      <c r="AF118" s="591"/>
      <c r="AG118" s="591"/>
      <c r="AH118" s="591"/>
      <c r="AI118" s="591"/>
      <c r="AJ118" s="591"/>
      <c r="AK118" s="591"/>
      <c r="AL118" s="591"/>
      <c r="AM118" s="591"/>
      <c r="AN118" s="591"/>
      <c r="AO118" s="591"/>
      <c r="AP118" s="591"/>
      <c r="AQ118" s="591"/>
      <c r="AR118" s="591"/>
      <c r="AS118" s="591"/>
      <c r="AT118" s="591"/>
      <c r="AU118" s="591"/>
      <c r="AV118" s="591"/>
      <c r="AW118" s="591"/>
      <c r="AX118" s="591"/>
      <c r="AY118" s="591"/>
      <c r="AZ118" s="591"/>
      <c r="BA118" s="592"/>
      <c r="BB118" s="591"/>
      <c r="BC118" s="591"/>
      <c r="BD118" s="591"/>
      <c r="BE118" s="591"/>
      <c r="BF118" s="592"/>
      <c r="BG118" s="591"/>
      <c r="BH118" s="591"/>
      <c r="BI118" s="591"/>
      <c r="BJ118" s="591"/>
      <c r="BK118" s="592"/>
      <c r="BL118" s="591"/>
      <c r="BM118" s="591"/>
      <c r="BN118" s="591"/>
      <c r="BO118" s="591"/>
      <c r="BP118" s="592"/>
      <c r="BQ118" s="591"/>
      <c r="BR118" s="591"/>
      <c r="BS118" s="591"/>
      <c r="BT118" s="591"/>
      <c r="BU118" s="592"/>
      <c r="BV118" s="591"/>
      <c r="BW118" s="591"/>
      <c r="BX118" s="591"/>
      <c r="BY118" s="591"/>
      <c r="BZ118" s="592"/>
      <c r="CA118" s="591"/>
      <c r="CB118" s="591"/>
      <c r="CC118" s="591"/>
      <c r="CD118" s="591"/>
      <c r="CE118" s="592"/>
      <c r="CF118" s="591"/>
      <c r="CG118" s="591"/>
      <c r="CH118" s="591"/>
      <c r="CI118" s="591"/>
      <c r="CJ118" s="592"/>
      <c r="CK118" s="591"/>
      <c r="CL118" s="591"/>
      <c r="CM118" s="591"/>
      <c r="CN118" s="591"/>
      <c r="CO118" s="592"/>
      <c r="CP118" s="591"/>
      <c r="CQ118" s="591"/>
      <c r="CR118" s="591"/>
      <c r="CS118" s="591"/>
      <c r="CT118" s="592"/>
      <c r="CU118" s="591"/>
      <c r="CV118" s="591"/>
      <c r="CW118" s="591"/>
      <c r="CX118" s="591"/>
      <c r="CY118" s="592"/>
      <c r="CZ118" s="591"/>
      <c r="DA118" s="591"/>
      <c r="DB118" s="591"/>
      <c r="DC118" s="591"/>
      <c r="DD118" s="592"/>
      <c r="DE118" s="591"/>
      <c r="DF118" s="591"/>
      <c r="DG118" s="591"/>
      <c r="DH118" s="591"/>
      <c r="DI118" s="592"/>
      <c r="DJ118" s="591"/>
      <c r="DK118" s="591"/>
      <c r="DL118" s="591"/>
      <c r="DM118" s="591"/>
      <c r="DN118" s="592"/>
      <c r="DO118" s="591"/>
      <c r="DP118" s="591"/>
      <c r="DQ118" s="591"/>
      <c r="DR118" s="591"/>
      <c r="DS118" s="592"/>
      <c r="DT118" s="591"/>
      <c r="DU118" s="591"/>
      <c r="DV118" s="591"/>
      <c r="DW118" s="591"/>
      <c r="DX118" s="592"/>
      <c r="DY118" s="591"/>
      <c r="DZ118" s="591"/>
      <c r="EA118" s="591"/>
      <c r="EB118" s="591"/>
      <c r="EC118" s="592"/>
      <c r="ED118" s="591"/>
      <c r="EE118" s="591"/>
      <c r="EF118" s="591"/>
      <c r="EG118" s="591"/>
      <c r="EH118" s="592"/>
      <c r="EI118" s="591"/>
      <c r="EJ118" s="591"/>
      <c r="EK118" s="591"/>
      <c r="EL118" s="591"/>
      <c r="EM118" s="592"/>
      <c r="EN118" s="591"/>
      <c r="EO118" s="591"/>
      <c r="EP118" s="591"/>
      <c r="EQ118" s="591"/>
      <c r="ER118" s="592"/>
      <c r="ES118" s="1383"/>
      <c r="ET118" s="1385"/>
      <c r="EU118" s="1385"/>
      <c r="EV118" s="1381"/>
      <c r="EW118" s="1713"/>
      <c r="EX118" s="1575"/>
      <c r="EY118" s="1575"/>
      <c r="EZ118" s="1575"/>
      <c r="FA118" s="1714"/>
      <c r="FB118" s="1713"/>
      <c r="FC118" s="1575"/>
      <c r="FD118" s="1575"/>
      <c r="FE118" s="1575"/>
      <c r="FF118" s="1714"/>
      <c r="FG118" s="1713"/>
      <c r="FH118" s="1575"/>
      <c r="FI118" s="1575"/>
      <c r="FJ118" s="1575"/>
      <c r="FK118" s="1714"/>
      <c r="FL118" s="1713"/>
      <c r="FM118" s="1715"/>
      <c r="FN118" s="2792"/>
      <c r="FO118" s="2848"/>
      <c r="FP118" s="2792"/>
      <c r="FQ118" s="2792"/>
      <c r="FR118" s="1714"/>
      <c r="FS118" s="1713"/>
      <c r="FT118" s="2792"/>
      <c r="FU118" s="1714"/>
      <c r="FV118" s="2792"/>
      <c r="FW118" s="2637"/>
      <c r="FX118" s="1713"/>
      <c r="FY118" s="3440"/>
      <c r="FZ118" s="3440"/>
      <c r="GA118" s="3440"/>
      <c r="GB118" s="2637"/>
      <c r="GC118" s="1713"/>
      <c r="GD118" s="3440"/>
      <c r="GE118" s="3440"/>
      <c r="GF118" s="3440"/>
      <c r="GG118" s="2637"/>
      <c r="GH118" s="1713"/>
      <c r="GI118" s="1713"/>
      <c r="GJ118" s="1713"/>
      <c r="GK118" s="1713"/>
      <c r="GL118" s="1713"/>
      <c r="GM118" s="1713"/>
    </row>
    <row r="119" spans="1:195" outlineLevel="1">
      <c r="B119" s="189" t="s">
        <v>150</v>
      </c>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623"/>
      <c r="Y119" s="623"/>
      <c r="Z119" s="623"/>
      <c r="AA119" s="282"/>
      <c r="AB119" s="623">
        <f>-'Cash Flows'!I15</f>
      </c>
      <c r="AC119" s="623"/>
      <c r="AD119" s="623"/>
      <c r="AE119" s="623"/>
      <c r="AF119" s="623"/>
      <c r="AG119" s="623">
        <f>-'Cash Flows'!N15</f>
      </c>
      <c r="AH119" s="623">
        <f>-'Cash Flows'!O15</f>
      </c>
      <c r="AI119" s="623">
        <f>-'Cash Flows'!P15</f>
      </c>
      <c r="AJ119" s="623">
        <f>-'Cash Flows'!Q15</f>
      </c>
      <c r="AK119" s="623">
        <f>-'Cash Flows'!R15</f>
      </c>
      <c r="AL119" s="623">
        <f>-'Cash Flows'!S15</f>
      </c>
      <c r="AM119" s="623">
        <f>-'Cash Flows'!T15</f>
      </c>
      <c r="AN119" s="623">
        <f>-'Cash Flows'!U15</f>
      </c>
      <c r="AO119" s="623">
        <f>-'Cash Flows'!V15</f>
      </c>
      <c r="AP119" s="623">
        <f>-'Cash Flows'!W15</f>
      </c>
      <c r="AQ119" s="623">
        <f>-'Cash Flows'!X15</f>
      </c>
      <c r="AR119" s="623">
        <f>-'Cash Flows'!Y15</f>
      </c>
      <c r="AS119" s="623">
        <f>-'Cash Flows'!Z15</f>
      </c>
      <c r="AT119" s="623">
        <f>-'Cash Flows'!AA15</f>
      </c>
      <c r="AU119" s="623">
        <f>-'Cash Flows'!AB15</f>
      </c>
      <c r="AV119" s="623">
        <f>-'Cash Flows'!AC15</f>
      </c>
      <c r="AW119" s="623">
        <f>-'Cash Flows'!AD15</f>
      </c>
      <c r="AX119" s="623">
        <f>-'Cash Flows'!AE15</f>
      </c>
      <c r="AY119" s="623">
        <f>-'Cash Flows'!AF15</f>
      </c>
      <c r="AZ119" s="623">
        <f>-'Cash Flows'!AG15</f>
      </c>
      <c r="BA119" s="624">
        <f>-'Cash Flows'!AH15</f>
      </c>
      <c r="BB119" s="623">
        <f>-'Cash Flows'!AI15</f>
      </c>
      <c r="BC119" s="623">
        <f>-'Cash Flows'!AJ15</f>
      </c>
      <c r="BD119" s="623">
        <f>-'Cash Flows'!AK15</f>
      </c>
      <c r="BE119" s="623">
        <f>-'Cash Flows'!AL15</f>
      </c>
      <c r="BF119" s="624">
        <f>-'Cash Flows'!AM15</f>
      </c>
      <c r="BG119" s="623">
        <f>-'Cash Flows'!AN15</f>
      </c>
      <c r="BH119" s="623">
        <f>-'Cash Flows'!AO15</f>
      </c>
      <c r="BI119" s="623">
        <f>-'Cash Flows'!AP15</f>
      </c>
      <c r="BJ119" s="623">
        <f>-'Cash Flows'!AQ15</f>
      </c>
      <c r="BK119" s="624">
        <f>-'Cash Flows'!AR15</f>
      </c>
      <c r="BL119" s="623">
        <f>-'Cash Flows'!AS15</f>
      </c>
      <c r="BM119" s="623">
        <f>-'Cash Flows'!AT15</f>
      </c>
      <c r="BN119" s="623">
        <f>-'Cash Flows'!AU15</f>
      </c>
      <c r="BO119" s="623">
        <f>-'Cash Flows'!AV15</f>
      </c>
      <c r="BP119" s="624">
        <f>-'Cash Flows'!AW15</f>
      </c>
      <c r="BQ119" s="623">
        <f>-'Cash Flows'!AX15</f>
      </c>
      <c r="BR119" s="623">
        <f>-'Cash Flows'!AY15</f>
      </c>
      <c r="BS119" s="623">
        <f>-'Cash Flows'!AZ15</f>
      </c>
      <c r="BT119" s="623">
        <f>-'Cash Flows'!BA15</f>
      </c>
      <c r="BU119" s="624">
        <f>-'Cash Flows'!BB15</f>
      </c>
      <c r="BV119" s="623">
        <f>'Balance Sheet'!AW138</f>
      </c>
      <c r="BW119" s="623">
        <f>'Balance Sheet'!AX138</f>
      </c>
      <c r="BX119" s="623">
        <f>'Balance Sheet'!AY138</f>
      </c>
      <c r="BY119" s="623">
        <f>'Balance Sheet'!AZ138</f>
      </c>
      <c r="BZ119" s="624">
        <f>'Balance Sheet'!BA138</f>
      </c>
      <c r="CA119" s="623">
        <f>'Balance Sheet'!BB138</f>
      </c>
      <c r="CB119" s="623">
        <f>'Balance Sheet'!BC138</f>
      </c>
      <c r="CC119" s="623">
        <f>'Balance Sheet'!BD138</f>
      </c>
      <c r="CD119" s="623">
        <f>'Balance Sheet'!BE138</f>
      </c>
      <c r="CE119" s="624">
        <f>'Balance Sheet'!BF138</f>
      </c>
      <c r="CF119" s="623">
        <f>'Balance Sheet'!BG138</f>
      </c>
      <c r="CG119" s="623">
        <f>'Balance Sheet'!BH138</f>
      </c>
      <c r="CH119" s="623">
        <f>'Balance Sheet'!BI138</f>
      </c>
      <c r="CI119" s="623">
        <f>'Balance Sheet'!BJ138</f>
      </c>
      <c r="CJ119" s="624">
        <f>'Balance Sheet'!BK138</f>
      </c>
      <c r="CK119" s="623">
        <f>'Balance Sheet'!BL138</f>
      </c>
      <c r="CL119" s="623">
        <f>'Balance Sheet'!BM138</f>
      </c>
      <c r="CM119" s="623">
        <f>'Balance Sheet'!BN138</f>
      </c>
      <c r="CN119" s="623">
        <f>'Balance Sheet'!BO138</f>
      </c>
      <c r="CO119" s="624">
        <f>'Balance Sheet'!BP138</f>
      </c>
      <c r="CP119" s="623">
        <f>'Balance Sheet'!BQ138</f>
      </c>
      <c r="CQ119" s="623">
        <f>'Balance Sheet'!BR138</f>
      </c>
      <c r="CR119" s="623">
        <f>'Balance Sheet'!BS138</f>
      </c>
      <c r="CS119" s="623">
        <f>'Balance Sheet'!BT138</f>
      </c>
      <c r="CT119" s="624">
        <f>'Balance Sheet'!BU138</f>
      </c>
      <c r="CU119" s="623">
        <f>'Balance Sheet'!BV138</f>
      </c>
      <c r="CV119" s="623">
        <f>'Balance Sheet'!BW138</f>
      </c>
      <c r="CW119" s="623">
        <f>'Balance Sheet'!BX138</f>
      </c>
      <c r="CX119" s="623">
        <f>'Balance Sheet'!BY138</f>
      </c>
      <c r="CY119" s="624">
        <f>'Balance Sheet'!BZ138</f>
      </c>
      <c r="CZ119" s="623">
        <f>'Balance Sheet'!CA138</f>
      </c>
      <c r="DA119" s="623">
        <f>'Balance Sheet'!CB138</f>
      </c>
      <c r="DB119" s="623">
        <f>'Balance Sheet'!CC138</f>
      </c>
      <c r="DC119" s="623">
        <f>'Balance Sheet'!CD138</f>
      </c>
      <c r="DD119" s="624">
        <f>'Balance Sheet'!CE138</f>
      </c>
      <c r="DE119" s="623">
        <f>'Balance Sheet'!CF138</f>
      </c>
      <c r="DF119" s="623">
        <f>'Balance Sheet'!CG138</f>
      </c>
      <c r="DG119" s="623">
        <f>'Balance Sheet'!CH138</f>
      </c>
      <c r="DH119" s="623">
        <f>'Balance Sheet'!CI138</f>
      </c>
      <c r="DI119" s="624">
        <f>'Balance Sheet'!CJ138</f>
      </c>
      <c r="DJ119" s="623">
        <f>'Balance Sheet'!CK138</f>
      </c>
      <c r="DK119" s="623">
        <f>'Balance Sheet'!CL138</f>
      </c>
      <c r="DL119" s="623">
        <f>'Balance Sheet'!CM138</f>
      </c>
      <c r="DM119" s="623">
        <f>'Balance Sheet'!CN138</f>
      </c>
      <c r="DN119" s="624">
        <f>'Balance Sheet'!CO138</f>
      </c>
      <c r="DO119" s="623">
        <f>'Balance Sheet'!CP138</f>
      </c>
      <c r="DP119" s="623">
        <f>'Balance Sheet'!CQ138</f>
      </c>
      <c r="DQ119" s="623">
        <f>'Balance Sheet'!CR138</f>
      </c>
      <c r="DR119" s="623">
        <f>'Balance Sheet'!CS138</f>
      </c>
      <c r="DS119" s="624">
        <f>'Balance Sheet'!CT138</f>
      </c>
      <c r="DT119" s="623">
        <f>'Balance Sheet'!CU138</f>
      </c>
      <c r="DU119" s="623">
        <f>'Balance Sheet'!CV138</f>
      </c>
      <c r="DV119" s="623">
        <f>'Balance Sheet'!CW138</f>
      </c>
      <c r="DW119" s="623">
        <f>'Balance Sheet'!CX138</f>
      </c>
      <c r="DX119" s="624">
        <f>'Balance Sheet'!CY138</f>
      </c>
      <c r="DY119" s="623">
        <f>'Balance Sheet'!CZ138</f>
      </c>
      <c r="DZ119" s="623">
        <f>'Balance Sheet'!DA138</f>
      </c>
      <c r="EA119" s="623">
        <f>'Balance Sheet'!DB138</f>
      </c>
      <c r="EB119" s="623">
        <f>'Balance Sheet'!DC138</f>
      </c>
      <c r="EC119" s="624">
        <f>'Balance Sheet'!DD138</f>
      </c>
      <c r="ED119" s="1127">
        <f>'Balance Sheet'!DE138</f>
      </c>
      <c r="EE119" s="623">
        <f>'Balance Sheet'!DF138</f>
      </c>
      <c r="EF119" s="623">
        <f>'Balance Sheet'!DG138</f>
      </c>
      <c r="EG119" s="623">
        <f>'Balance Sheet'!DH138</f>
      </c>
      <c r="EH119" s="624">
        <f>'Balance Sheet'!DI138</f>
      </c>
      <c r="EI119" s="1127">
        <f>'Balance Sheet'!DJ138</f>
      </c>
      <c r="EJ119" s="1127">
        <f>'Balance Sheet'!DK138</f>
      </c>
      <c r="EK119" s="1127">
        <f>'Balance Sheet'!DL138</f>
      </c>
      <c r="EL119" s="1127">
        <f>'Balance Sheet'!DM138</f>
      </c>
      <c r="EM119" s="624">
        <f>'Balance Sheet'!DN138</f>
      </c>
      <c r="EN119" s="1127">
        <f>'Balance Sheet'!DO138</f>
      </c>
      <c r="EO119" s="1127">
        <f>'Balance Sheet'!DP138</f>
      </c>
      <c r="EP119" s="1127">
        <f>'Balance Sheet'!DQ138</f>
      </c>
      <c r="EQ119" s="1127">
        <f>'Balance Sheet'!DR138</f>
      </c>
      <c r="ER119" s="624">
        <f>'Balance Sheet'!DS138</f>
      </c>
      <c r="ES119" s="1127">
        <f>'Balance Sheet'!DT138</f>
      </c>
      <c r="ET119" s="1127">
        <f>'Balance Sheet'!DU138</f>
      </c>
      <c r="EU119" s="1127">
        <f>'Balance Sheet'!DV138</f>
      </c>
      <c r="EV119" s="1127">
        <f>'Balance Sheet'!DW138</f>
      </c>
      <c r="EW119" s="1725">
        <f>'Balance Sheet'!DX138</f>
      </c>
      <c r="EX119" s="1726">
        <f>'Balance Sheet'!DY138</f>
      </c>
      <c r="EY119" s="1726">
        <f>'Balance Sheet'!DZ138</f>
      </c>
      <c r="EZ119" s="1726">
        <f>'Balance Sheet'!EA138</f>
      </c>
      <c r="FA119" s="1726">
        <f>'Balance Sheet'!EB138</f>
      </c>
      <c r="FB119" s="1725">
        <f>'Balance Sheet'!EC138</f>
      </c>
      <c r="FC119" s="1726">
        <f>'Balance Sheet'!ED138</f>
      </c>
      <c r="FD119" s="1726">
        <f>'Balance Sheet'!EE138</f>
      </c>
      <c r="FE119" s="1726">
        <f>'Balance Sheet'!EF138</f>
      </c>
      <c r="FF119" s="1726">
        <f>'Balance Sheet'!EG138</f>
      </c>
      <c r="FG119" s="1725">
        <f>'Balance Sheet'!EH138</f>
      </c>
      <c r="FH119" s="1726">
        <f>'Balance Sheet'!EI138</f>
      </c>
      <c r="FI119" s="1726">
        <f>'Balance Sheet'!EJ138</f>
      </c>
      <c r="FJ119" s="1726">
        <f>'Balance Sheet'!EK138</f>
      </c>
      <c r="FK119" s="1726">
        <f>'Balance Sheet'!EL138</f>
      </c>
      <c r="FL119" s="1725">
        <f>'Balance Sheet'!EM138</f>
      </c>
      <c r="FM119" s="2910">
        <f>'Balance Sheet'!EN138</f>
      </c>
      <c r="FN119" s="2909">
        <f>'Balance Sheet'!EO138</f>
      </c>
      <c r="FO119" s="2858">
        <f t="shared" ref="FO119:FU120" si="282">+FH119</f>
      </c>
      <c r="FP119" s="2793">
        <f t="shared" si="282"/>
      </c>
      <c r="FQ119" s="2793">
        <f t="shared" si="282"/>
      </c>
      <c r="FR119" s="2793">
        <f t="shared" si="282"/>
      </c>
      <c r="FS119" s="2859">
        <f t="shared" si="282"/>
      </c>
      <c r="FT119" s="2793">
        <f t="shared" si="282"/>
      </c>
      <c r="FU119" s="2860">
        <f t="shared" si="282"/>
      </c>
      <c r="FV119" s="2909">
        <f>'Balance Sheet'!EP138</f>
      </c>
      <c r="FW119" s="2910">
        <f>'Balance Sheet'!EQ138</f>
      </c>
      <c r="FX119" s="2911">
        <f>'Balance Sheet'!ER138</f>
      </c>
      <c r="FY119" s="2910">
        <f>'Balance Sheet'!ES138</f>
      </c>
      <c r="FZ119" s="2910">
        <f>'Balance Sheet'!ET138</f>
      </c>
      <c r="GA119" s="2910">
        <f>'Balance Sheet'!EU138</f>
      </c>
      <c r="GB119" s="2910">
        <f>'Balance Sheet'!EV138</f>
      </c>
      <c r="GC119" s="2911">
        <f>'Balance Sheet'!EW138</f>
      </c>
      <c r="GD119" s="2910">
        <f>'Balance Sheet'!EX138</f>
      </c>
      <c r="GE119" s="2910">
        <f>'Balance Sheet'!EY138</f>
      </c>
      <c r="GF119" s="2910">
        <f>'Balance Sheet'!EZ138</f>
      </c>
      <c r="GG119" s="2910">
        <f>'Balance Sheet'!FA138</f>
      </c>
      <c r="GH119" s="2911">
        <f>'Balance Sheet'!FB138</f>
      </c>
      <c r="GI119" s="2911">
        <f>'Balance Sheet'!FC138</f>
      </c>
      <c r="GJ119" s="2911">
        <f>'Balance Sheet'!FD138</f>
      </c>
      <c r="GK119" s="2911">
        <f>'Balance Sheet'!FE138</f>
      </c>
      <c r="GL119" s="2911">
        <f>'Balance Sheet'!FF138</f>
      </c>
      <c r="GM119" s="2911">
        <f>'Balance Sheet'!FH138</f>
      </c>
    </row>
    <row r="120" spans="1:195" outlineLevel="1">
      <c r="B120" s="625" t="s">
        <v>425</v>
      </c>
      <c r="X120" s="14"/>
      <c r="Y120" s="14"/>
      <c r="Z120" s="14"/>
      <c r="AA120" s="14"/>
      <c r="AB120" s="14">
        <v>0</v>
      </c>
      <c r="AC120" s="14"/>
      <c r="AD120" s="14"/>
      <c r="AE120" s="14"/>
      <c r="AF120" s="14"/>
      <c r="AG120" s="688">
        <v>0</v>
      </c>
      <c r="AH120" s="688">
        <v>0</v>
      </c>
      <c r="AI120" s="688">
        <v>0</v>
      </c>
      <c r="AJ120" s="688">
        <v>0</v>
      </c>
      <c r="AK120" s="688">
        <v>0</v>
      </c>
      <c r="AL120" s="688">
        <v>0</v>
      </c>
      <c r="AM120" s="688">
        <v>0</v>
      </c>
      <c r="AN120" s="688">
        <v>0</v>
      </c>
      <c r="AO120" s="688">
        <v>0</v>
      </c>
      <c r="AP120" s="688">
        <v>0</v>
      </c>
      <c r="AQ120" s="688">
        <v>0</v>
      </c>
      <c r="AR120" s="688">
        <v>0</v>
      </c>
      <c r="AS120" s="688">
        <v>0</v>
      </c>
      <c r="AT120" s="688">
        <v>0</v>
      </c>
      <c r="AU120" s="688">
        <v>0</v>
      </c>
      <c r="AV120" s="688">
        <v>0</v>
      </c>
      <c r="AW120" s="688">
        <v>0</v>
      </c>
      <c r="AX120" s="688">
        <v>0</v>
      </c>
      <c r="AY120" s="688">
        <v>0</v>
      </c>
      <c r="AZ120" s="688">
        <v>0</v>
      </c>
      <c r="BA120" s="283">
        <v>0</v>
      </c>
      <c r="BB120" s="688">
        <v>0</v>
      </c>
      <c r="BC120" s="688">
        <v>0</v>
      </c>
      <c r="BD120" s="688">
        <v>0</v>
      </c>
      <c r="BE120" s="688">
        <v>0</v>
      </c>
      <c r="BF120" s="283">
        <v>0</v>
      </c>
      <c r="BG120" s="688">
        <v>0</v>
      </c>
      <c r="BH120" s="688">
        <v>0</v>
      </c>
      <c r="BI120" s="688">
        <v>0</v>
      </c>
      <c r="BJ120" s="688">
        <v>0</v>
      </c>
      <c r="BK120" s="283">
        <v>0</v>
      </c>
      <c r="BL120" s="688">
        <v>0</v>
      </c>
      <c r="BM120" s="688">
        <v>0</v>
      </c>
      <c r="BN120" s="688">
        <v>0</v>
      </c>
      <c r="BO120" s="688">
        <v>0</v>
      </c>
      <c r="BP120" s="283">
        <v>0</v>
      </c>
      <c r="BQ120" s="688">
        <v>0</v>
      </c>
      <c r="BR120" s="688">
        <v>0</v>
      </c>
      <c r="BS120" s="688">
        <v>0</v>
      </c>
      <c r="BT120" s="688">
        <v>0</v>
      </c>
      <c r="BU120" s="283">
        <v>0</v>
      </c>
      <c r="BV120" s="14">
        <f>+'Balance Sheet'!AW160</f>
      </c>
      <c r="BW120" s="14">
        <f>+'Balance Sheet'!AX160</f>
      </c>
      <c r="BX120" s="14">
        <f>+'Balance Sheet'!AY160</f>
      </c>
      <c r="BY120" s="14">
        <f>+'Balance Sheet'!AZ160</f>
      </c>
      <c r="BZ120" s="283">
        <f>+'Balance Sheet'!BA160</f>
      </c>
      <c r="CA120" s="14">
        <f>+'Balance Sheet'!BB160</f>
      </c>
      <c r="CB120" s="14">
        <f>+'Balance Sheet'!BC160</f>
      </c>
      <c r="CC120" s="14">
        <f>+'Balance Sheet'!BD160</f>
      </c>
      <c r="CD120" s="14">
        <f>+'Balance Sheet'!BE160</f>
      </c>
      <c r="CE120" s="283">
        <f>+'Balance Sheet'!BF160</f>
      </c>
      <c r="CF120" s="14">
        <f>+'Balance Sheet'!BG160</f>
      </c>
      <c r="CG120" s="14">
        <f>+'Balance Sheet'!BH160</f>
      </c>
      <c r="CH120" s="14">
        <f>+'Balance Sheet'!BI160</f>
      </c>
      <c r="CI120" s="14">
        <f>+'Balance Sheet'!BJ160</f>
      </c>
      <c r="CJ120" s="283">
        <f>+'Balance Sheet'!BK160</f>
      </c>
      <c r="CK120" s="14">
        <f>+'Balance Sheet'!BL160</f>
      </c>
      <c r="CL120" s="14">
        <f>+'Balance Sheet'!BM160</f>
      </c>
      <c r="CM120" s="14">
        <f>+'Balance Sheet'!BN160</f>
      </c>
      <c r="CN120" s="14">
        <f>+'Balance Sheet'!BO160</f>
      </c>
      <c r="CO120" s="283">
        <f>+'Balance Sheet'!BP160</f>
      </c>
      <c r="CP120" s="14">
        <f>+'Balance Sheet'!BQ160</f>
      </c>
      <c r="CQ120" s="14">
        <f>+'Balance Sheet'!BR160</f>
      </c>
      <c r="CR120" s="14">
        <f>+'Balance Sheet'!BS160</f>
      </c>
      <c r="CS120" s="14">
        <f>+'Balance Sheet'!BT160</f>
      </c>
      <c r="CT120" s="283">
        <f>+'Balance Sheet'!BU160</f>
      </c>
      <c r="CU120" s="14">
        <f>+'Balance Sheet'!BV160</f>
      </c>
      <c r="CV120" s="14">
        <f>+'Balance Sheet'!BW160</f>
      </c>
      <c r="CW120" s="14">
        <f>+'Balance Sheet'!BX160</f>
      </c>
      <c r="CX120" s="14">
        <f>+'Balance Sheet'!BY160</f>
      </c>
      <c r="CY120" s="283">
        <f>+'Balance Sheet'!BZ160</f>
      </c>
      <c r="CZ120" s="14">
        <f>+'Balance Sheet'!CA160</f>
      </c>
      <c r="DA120" s="14">
        <f>+'Balance Sheet'!CB160</f>
      </c>
      <c r="DB120" s="14">
        <f>+'Balance Sheet'!CC160</f>
      </c>
      <c r="DC120" s="14">
        <f>+'Balance Sheet'!CD160</f>
      </c>
      <c r="DD120" s="283">
        <f>+'Balance Sheet'!CE160</f>
      </c>
      <c r="DE120" s="14">
        <f>+'Balance Sheet'!CF160</f>
      </c>
      <c r="DF120" s="14">
        <f>+'Balance Sheet'!CG160</f>
      </c>
      <c r="DG120" s="14">
        <f>+'Balance Sheet'!CH160</f>
      </c>
      <c r="DH120" s="14">
        <f>+'Balance Sheet'!CI160</f>
      </c>
      <c r="DI120" s="283">
        <f>+'Balance Sheet'!CJ160</f>
      </c>
      <c r="DJ120" s="14">
        <f>+'Balance Sheet'!CK160</f>
      </c>
      <c r="DK120" s="14">
        <f>+'Balance Sheet'!CL160</f>
      </c>
      <c r="DL120" s="14">
        <f>+'Balance Sheet'!CM160</f>
      </c>
      <c r="DM120" s="14">
        <f>+'Balance Sheet'!CN160</f>
      </c>
      <c r="DN120" s="283">
        <f>+'Balance Sheet'!CO160</f>
      </c>
      <c r="DO120" s="14">
        <f>+'Balance Sheet'!CP160</f>
      </c>
      <c r="DP120" s="14">
        <f>+'Balance Sheet'!CQ160</f>
      </c>
      <c r="DQ120" s="14">
        <f>+'Balance Sheet'!CR160</f>
      </c>
      <c r="DR120" s="14">
        <f>+'Balance Sheet'!CS160</f>
      </c>
      <c r="DS120" s="283">
        <f>+'Balance Sheet'!CT160</f>
      </c>
      <c r="DT120" s="14">
        <f>+'Balance Sheet'!CU160</f>
      </c>
      <c r="DU120" s="14">
        <f>+'Balance Sheet'!CV160</f>
      </c>
      <c r="DV120" s="14">
        <f>+'Balance Sheet'!CW160</f>
      </c>
      <c r="DW120" s="14">
        <f>+'Balance Sheet'!CX160</f>
      </c>
      <c r="DX120" s="283">
        <f>+'Balance Sheet'!CY160</f>
      </c>
      <c r="DY120" s="14">
        <f>+'Balance Sheet'!CZ160</f>
      </c>
      <c r="DZ120" s="14">
        <f>+'Balance Sheet'!DA160</f>
      </c>
      <c r="EA120" s="14">
        <f>+'Balance Sheet'!DB160</f>
      </c>
      <c r="EB120" s="14">
        <f>+'Balance Sheet'!DC160</f>
      </c>
      <c r="EC120" s="283">
        <f>+'Balance Sheet'!DD160</f>
      </c>
      <c r="ED120" s="1037">
        <f>+'Balance Sheet'!DE160</f>
      </c>
      <c r="EE120" s="14">
        <f>+'Balance Sheet'!DF160</f>
      </c>
      <c r="EF120" s="14">
        <f>+'Balance Sheet'!DG160</f>
      </c>
      <c r="EG120" s="14">
        <f>+'Balance Sheet'!DH160</f>
      </c>
      <c r="EH120" s="283">
        <f>+'Balance Sheet'!DI160</f>
      </c>
      <c r="EI120" s="1037">
        <f>+'Balance Sheet'!DJ160</f>
      </c>
      <c r="EJ120" s="1037">
        <f>+'Balance Sheet'!DK160</f>
      </c>
      <c r="EK120" s="1037">
        <f>+'Balance Sheet'!DL160</f>
      </c>
      <c r="EL120" s="1037">
        <f>+'Balance Sheet'!DM160</f>
      </c>
      <c r="EM120" s="283">
        <f>+'Balance Sheet'!DN160</f>
      </c>
      <c r="EN120" s="1037">
        <f>+'Balance Sheet'!DO160</f>
      </c>
      <c r="EO120" s="1037">
        <f>+'Balance Sheet'!DP160</f>
      </c>
      <c r="EP120" s="1037">
        <f>+'Balance Sheet'!DQ160</f>
      </c>
      <c r="EQ120" s="1037">
        <f>+'Balance Sheet'!DR160</f>
      </c>
      <c r="ER120" s="283">
        <f>+'Balance Sheet'!DS160</f>
      </c>
      <c r="ES120" s="1037">
        <f>+'Balance Sheet'!DT160</f>
      </c>
      <c r="ET120" s="1037">
        <f>+'Balance Sheet'!DU160</f>
      </c>
      <c r="EU120" s="1037">
        <f>+'Balance Sheet'!DV160</f>
      </c>
      <c r="EV120" s="1037">
        <f>+'Balance Sheet'!DW160</f>
      </c>
      <c r="EW120" s="1727">
        <f>+'Balance Sheet'!DX160</f>
      </c>
      <c r="EX120" s="1728">
        <f>+'Balance Sheet'!DY160</f>
      </c>
      <c r="EY120" s="1728">
        <f>+'Balance Sheet'!DZ160</f>
      </c>
      <c r="EZ120" s="1728">
        <f>+'Balance Sheet'!EA160</f>
      </c>
      <c r="FA120" s="1728">
        <f>+'Balance Sheet'!EB160</f>
      </c>
      <c r="FB120" s="1727">
        <f>+'Balance Sheet'!EC160</f>
      </c>
      <c r="FC120" s="1728">
        <f>+'Balance Sheet'!ED160</f>
      </c>
      <c r="FD120" s="1728">
        <f>+'Balance Sheet'!EE160</f>
      </c>
      <c r="FE120" s="1728">
        <f>+'Balance Sheet'!EF160</f>
      </c>
      <c r="FF120" s="1728">
        <f>+'Balance Sheet'!EG160</f>
      </c>
      <c r="FG120" s="1727">
        <f>+'Balance Sheet'!EH160</f>
      </c>
      <c r="FH120" s="1728">
        <f>+'Balance Sheet'!EI160</f>
      </c>
      <c r="FI120" s="1728">
        <f>+'Balance Sheet'!EJ160</f>
      </c>
      <c r="FJ120" s="1728">
        <f>+'Balance Sheet'!EK160</f>
      </c>
      <c r="FK120" s="1728">
        <f>+'Balance Sheet'!EL160</f>
      </c>
      <c r="FL120" s="1727">
        <f>+'Balance Sheet'!EM160</f>
      </c>
      <c r="FM120" s="2912">
        <f>+'Balance Sheet'!EN160</f>
      </c>
      <c r="FN120" s="2912">
        <f>+'Balance Sheet'!EO160</f>
      </c>
      <c r="FO120" s="2552">
        <f t="shared" si="282"/>
      </c>
      <c r="FP120" s="1728">
        <f t="shared" si="282"/>
      </c>
      <c r="FQ120" s="1728">
        <f t="shared" si="282"/>
      </c>
      <c r="FR120" s="1728">
        <f t="shared" si="282"/>
      </c>
      <c r="FS120" s="1727">
        <f t="shared" si="282"/>
      </c>
      <c r="FT120" s="1728">
        <f t="shared" si="282"/>
      </c>
      <c r="FU120" s="2083">
        <f t="shared" si="282"/>
      </c>
      <c r="FV120" s="2912">
        <f>+'Balance Sheet'!EP160</f>
      </c>
      <c r="FW120" s="2912">
        <f>+'Balance Sheet'!EQ160</f>
      </c>
      <c r="FX120" s="2913">
        <f>+'Balance Sheet'!ER160</f>
      </c>
      <c r="FY120" s="2912">
        <f>+'Balance Sheet'!ES160</f>
      </c>
      <c r="FZ120" s="2912">
        <f>+'Balance Sheet'!ET160</f>
      </c>
      <c r="GA120" s="2912">
        <f>+'Balance Sheet'!EU160</f>
      </c>
      <c r="GB120" s="2912">
        <f>+'Balance Sheet'!EV160</f>
      </c>
      <c r="GC120" s="2913">
        <f>+'Balance Sheet'!EW160</f>
      </c>
      <c r="GD120" s="2912">
        <f>+'Balance Sheet'!EX160</f>
      </c>
      <c r="GE120" s="2912">
        <f>+'Balance Sheet'!EY160</f>
      </c>
      <c r="GF120" s="2912">
        <f>+'Balance Sheet'!EZ160</f>
      </c>
      <c r="GG120" s="2912">
        <f>+'Balance Sheet'!FA160</f>
      </c>
      <c r="GH120" s="2913">
        <f>+'Balance Sheet'!FB160</f>
      </c>
      <c r="GI120" s="2913">
        <f>+'Balance Sheet'!FC160</f>
      </c>
      <c r="GJ120" s="2913">
        <f>+'Balance Sheet'!FD160</f>
      </c>
      <c r="GK120" s="2913">
        <f>+'Balance Sheet'!FE160</f>
      </c>
      <c r="GL120" s="2913">
        <f>+'Balance Sheet'!FF160</f>
      </c>
      <c r="GM120" s="2913">
        <f>+'Balance Sheet'!FH160</f>
      </c>
    </row>
    <row r="121" spans="1:195" outlineLevel="1">
      <c r="B121" s="625" t="s">
        <v>263</v>
      </c>
      <c r="C121" s="1">
        <f>+C38-C36-C37-C119-C120</f>
      </c>
      <c r="D121" s="1">
        <f>+D38-D36-D37-D119-D120</f>
      </c>
      <c r="E121" s="9">
        <f t="shared" ref="E121:AJ121" si="283">+E43+E41-E36-E37-E119-E120</f>
      </c>
      <c r="F121" s="9">
        <f t="shared" si="283"/>
      </c>
      <c r="G121" s="9">
        <f t="shared" si="283"/>
      </c>
      <c r="H121" s="9">
        <f t="shared" si="283"/>
      </c>
      <c r="I121" s="9">
        <f t="shared" si="283"/>
      </c>
      <c r="J121" s="9">
        <f t="shared" si="283"/>
      </c>
      <c r="K121" s="9">
        <f t="shared" si="283"/>
      </c>
      <c r="L121" s="9">
        <f t="shared" si="283"/>
      </c>
      <c r="M121" s="9">
        <f t="shared" si="283"/>
      </c>
      <c r="N121" s="9">
        <f t="shared" si="283"/>
      </c>
      <c r="O121" s="9">
        <f t="shared" si="283"/>
      </c>
      <c r="P121" s="9">
        <f t="shared" si="283"/>
      </c>
      <c r="Q121" s="9">
        <f t="shared" si="283"/>
      </c>
      <c r="R121" s="9">
        <f t="shared" si="283"/>
      </c>
      <c r="S121" s="9">
        <f t="shared" si="283"/>
      </c>
      <c r="T121" s="9">
        <f t="shared" si="283"/>
      </c>
      <c r="U121" s="9">
        <f t="shared" si="283"/>
      </c>
      <c r="V121" s="9">
        <f t="shared" si="283"/>
      </c>
      <c r="W121" s="9">
        <f t="shared" si="283"/>
      </c>
      <c r="X121" s="9">
        <f t="shared" si="283"/>
      </c>
      <c r="Y121" s="9">
        <f t="shared" si="283"/>
      </c>
      <c r="Z121" s="9">
        <f t="shared" si="283"/>
      </c>
      <c r="AA121" s="9">
        <f t="shared" si="283"/>
      </c>
      <c r="AB121" s="9">
        <f t="shared" si="283"/>
      </c>
      <c r="AC121" s="9">
        <f t="shared" si="283"/>
      </c>
      <c r="AD121" s="9">
        <f t="shared" si="283"/>
      </c>
      <c r="AE121" s="9">
        <f t="shared" si="283"/>
      </c>
      <c r="AF121" s="9">
        <f t="shared" si="283"/>
      </c>
      <c r="AG121" s="9">
        <f t="shared" si="283"/>
      </c>
      <c r="AH121" s="9">
        <f t="shared" si="283"/>
      </c>
      <c r="AI121" s="9">
        <f t="shared" si="283"/>
      </c>
      <c r="AJ121" s="9">
        <f t="shared" si="283"/>
      </c>
      <c r="AK121" s="9">
        <f t="shared" ref="AK121:BP121" si="284">+AK43+AK41-AK36-AK37-AK119-AK120</f>
      </c>
      <c r="AL121" s="9">
        <f t="shared" si="284"/>
      </c>
      <c r="AM121" s="9">
        <f t="shared" si="284"/>
      </c>
      <c r="AN121" s="9">
        <f t="shared" si="284"/>
      </c>
      <c r="AO121" s="9">
        <f t="shared" si="284"/>
      </c>
      <c r="AP121" s="9">
        <f t="shared" si="284"/>
      </c>
      <c r="AQ121" s="9">
        <f t="shared" si="284"/>
      </c>
      <c r="AR121" s="9">
        <f t="shared" si="284"/>
      </c>
      <c r="AS121" s="9">
        <f t="shared" si="284"/>
      </c>
      <c r="AT121" s="9">
        <f t="shared" si="284"/>
      </c>
      <c r="AU121" s="9">
        <f t="shared" si="284"/>
      </c>
      <c r="AV121" s="9">
        <f t="shared" si="284"/>
      </c>
      <c r="AW121" s="9">
        <f t="shared" si="284"/>
      </c>
      <c r="AX121" s="9">
        <f t="shared" si="284"/>
      </c>
      <c r="AY121" s="9">
        <f t="shared" si="284"/>
      </c>
      <c r="AZ121" s="9">
        <f t="shared" si="284"/>
      </c>
      <c r="BA121" s="289">
        <f t="shared" si="284"/>
      </c>
      <c r="BB121" s="9">
        <f t="shared" si="284"/>
      </c>
      <c r="BC121" s="9">
        <f t="shared" si="284"/>
      </c>
      <c r="BD121" s="9">
        <f t="shared" si="284"/>
      </c>
      <c r="BE121" s="9">
        <f t="shared" si="284"/>
      </c>
      <c r="BF121" s="289">
        <f t="shared" si="284"/>
      </c>
      <c r="BG121" s="9">
        <f t="shared" si="284"/>
      </c>
      <c r="BH121" s="9">
        <f t="shared" si="284"/>
      </c>
      <c r="BI121" s="9">
        <f t="shared" si="284"/>
      </c>
      <c r="BJ121" s="9">
        <f t="shared" si="284"/>
      </c>
      <c r="BK121" s="289">
        <f t="shared" si="284"/>
      </c>
      <c r="BL121" s="9">
        <f t="shared" si="284"/>
      </c>
      <c r="BM121" s="9">
        <f t="shared" si="284"/>
      </c>
      <c r="BN121" s="9">
        <f t="shared" si="284"/>
      </c>
      <c r="BO121" s="9">
        <f t="shared" si="284"/>
      </c>
      <c r="BP121" s="289">
        <f t="shared" si="284"/>
      </c>
      <c r="BQ121" s="9">
        <f t="shared" ref="BQ121:CV121" si="285">+BQ43+BQ41-BQ36-BQ37-BQ119-BQ120</f>
      </c>
      <c r="BR121" s="9">
        <f t="shared" si="285"/>
      </c>
      <c r="BS121" s="9">
        <f t="shared" si="285"/>
      </c>
      <c r="BT121" s="9">
        <f t="shared" si="285"/>
      </c>
      <c r="BU121" s="289">
        <f t="shared" si="285"/>
      </c>
      <c r="BV121" s="9">
        <f t="shared" si="285"/>
      </c>
      <c r="BW121" s="9">
        <f t="shared" si="285"/>
      </c>
      <c r="BX121" s="9">
        <f t="shared" si="285"/>
      </c>
      <c r="BY121" s="9">
        <f t="shared" si="285"/>
      </c>
      <c r="BZ121" s="289">
        <f t="shared" si="285"/>
      </c>
      <c r="CA121" s="9">
        <f t="shared" si="285"/>
      </c>
      <c r="CB121" s="9">
        <f t="shared" si="285"/>
      </c>
      <c r="CC121" s="9">
        <f t="shared" si="285"/>
      </c>
      <c r="CD121" s="9">
        <f t="shared" si="285"/>
      </c>
      <c r="CE121" s="289">
        <f t="shared" si="285"/>
      </c>
      <c r="CF121" s="9">
        <f t="shared" si="285"/>
      </c>
      <c r="CG121" s="9">
        <f t="shared" si="285"/>
      </c>
      <c r="CH121" s="9">
        <f t="shared" si="285"/>
      </c>
      <c r="CI121" s="9">
        <f t="shared" si="285"/>
      </c>
      <c r="CJ121" s="289">
        <f t="shared" si="285"/>
      </c>
      <c r="CK121" s="9">
        <f t="shared" si="285"/>
      </c>
      <c r="CL121" s="9">
        <f t="shared" si="285"/>
      </c>
      <c r="CM121" s="9">
        <f t="shared" si="285"/>
      </c>
      <c r="CN121" s="9">
        <f t="shared" si="285"/>
      </c>
      <c r="CO121" s="289">
        <f t="shared" si="285"/>
      </c>
      <c r="CP121" s="9">
        <f t="shared" si="285"/>
      </c>
      <c r="CQ121" s="9">
        <f t="shared" si="285"/>
      </c>
      <c r="CR121" s="9">
        <f t="shared" si="285"/>
      </c>
      <c r="CS121" s="9">
        <f t="shared" si="285"/>
      </c>
      <c r="CT121" s="289">
        <f t="shared" si="285"/>
      </c>
      <c r="CU121" s="9">
        <f t="shared" si="285"/>
      </c>
      <c r="CV121" s="9">
        <f t="shared" si="285"/>
      </c>
      <c r="CW121" s="9">
        <f t="shared" ref="CW121:EB121" si="286">+CW43+CW41-CW36-CW37-CW119-CW120</f>
      </c>
      <c r="CX121" s="9">
        <f t="shared" si="286"/>
      </c>
      <c r="CY121" s="289">
        <f t="shared" si="286"/>
      </c>
      <c r="CZ121" s="9">
        <f t="shared" si="286"/>
      </c>
      <c r="DA121" s="9">
        <f t="shared" si="286"/>
      </c>
      <c r="DB121" s="9">
        <f t="shared" si="286"/>
      </c>
      <c r="DC121" s="9">
        <f t="shared" si="286"/>
      </c>
      <c r="DD121" s="289">
        <f t="shared" si="286"/>
      </c>
      <c r="DE121" s="10">
        <f t="shared" si="286"/>
      </c>
      <c r="DF121" s="10">
        <f t="shared" si="286"/>
      </c>
      <c r="DG121" s="10">
        <f t="shared" si="286"/>
      </c>
      <c r="DH121" s="10">
        <f t="shared" si="286"/>
      </c>
      <c r="DI121" s="289">
        <f t="shared" si="286"/>
      </c>
      <c r="DJ121" s="10">
        <f t="shared" si="286"/>
      </c>
      <c r="DK121" s="10">
        <f t="shared" si="286"/>
      </c>
      <c r="DL121" s="10">
        <f t="shared" si="286"/>
      </c>
      <c r="DM121" s="10">
        <f t="shared" si="286"/>
      </c>
      <c r="DN121" s="289">
        <f t="shared" si="286"/>
      </c>
      <c r="DO121" s="10">
        <f t="shared" si="286"/>
      </c>
      <c r="DP121" s="10">
        <f t="shared" si="286"/>
      </c>
      <c r="DQ121" s="10">
        <f t="shared" si="286"/>
      </c>
      <c r="DR121" s="10">
        <f t="shared" si="286"/>
      </c>
      <c r="DS121" s="289">
        <f t="shared" si="286"/>
      </c>
      <c r="DT121" s="10">
        <f t="shared" si="286"/>
      </c>
      <c r="DU121" s="10">
        <f t="shared" si="286"/>
      </c>
      <c r="DV121" s="10">
        <f t="shared" si="286"/>
      </c>
      <c r="DW121" s="10">
        <f t="shared" si="286"/>
      </c>
      <c r="DX121" s="289">
        <f t="shared" si="286"/>
      </c>
      <c r="DY121" s="10">
        <f t="shared" si="286"/>
      </c>
      <c r="DZ121" s="10">
        <f t="shared" si="286"/>
      </c>
      <c r="EA121" s="10">
        <f t="shared" si="286"/>
      </c>
      <c r="EB121" s="10">
        <f t="shared" si="286"/>
      </c>
      <c r="EC121" s="289">
        <f t="shared" ref="EC121:FH121" si="287">+EC43+EC41-EC36-EC37-EC119-EC120</f>
      </c>
      <c r="ED121" s="948">
        <f t="shared" si="287"/>
      </c>
      <c r="EE121" s="10">
        <f t="shared" si="287"/>
      </c>
      <c r="EF121" s="10">
        <f t="shared" si="287"/>
      </c>
      <c r="EG121" s="10">
        <f t="shared" si="287"/>
      </c>
      <c r="EH121" s="289">
        <f t="shared" si="287"/>
      </c>
      <c r="EI121" s="948">
        <f t="shared" si="287"/>
      </c>
      <c r="EJ121" s="948">
        <f t="shared" si="287"/>
      </c>
      <c r="EK121" s="948">
        <f t="shared" si="287"/>
      </c>
      <c r="EL121" s="948">
        <f t="shared" si="287"/>
      </c>
      <c r="EM121" s="289">
        <f t="shared" si="287"/>
      </c>
      <c r="EN121" s="948">
        <f t="shared" si="287"/>
      </c>
      <c r="EO121" s="948">
        <f t="shared" si="287"/>
      </c>
      <c r="EP121" s="948">
        <f t="shared" si="287"/>
      </c>
      <c r="EQ121" s="948">
        <f t="shared" si="287"/>
      </c>
      <c r="ER121" s="289">
        <f t="shared" si="287"/>
      </c>
      <c r="ES121" s="948">
        <f t="shared" si="287"/>
      </c>
      <c r="ET121" s="948">
        <f t="shared" si="287"/>
      </c>
      <c r="EU121" s="948">
        <f t="shared" si="287"/>
      </c>
      <c r="EV121" s="948">
        <f t="shared" si="287"/>
      </c>
      <c r="EW121" s="1729">
        <f t="shared" si="287"/>
      </c>
      <c r="EX121" s="1284">
        <f t="shared" si="287"/>
      </c>
      <c r="EY121" s="1284">
        <f t="shared" si="287"/>
      </c>
      <c r="EZ121" s="1284">
        <f t="shared" si="287"/>
      </c>
      <c r="FA121" s="1284">
        <f t="shared" si="287"/>
      </c>
      <c r="FB121" s="1729">
        <f t="shared" si="287"/>
      </c>
      <c r="FC121" s="1284">
        <f t="shared" si="287"/>
      </c>
      <c r="FD121" s="1284">
        <f t="shared" si="287"/>
      </c>
      <c r="FE121" s="1284">
        <f t="shared" si="287"/>
      </c>
      <c r="FF121" s="1284">
        <f t="shared" si="287"/>
      </c>
      <c r="FG121" s="1729">
        <f t="shared" si="287"/>
      </c>
      <c r="FH121" s="1284">
        <f t="shared" si="287"/>
      </c>
      <c r="FI121" s="1284">
        <f t="shared" ref="FI121:GJ121" si="288">+FI43+FI41-FI36-FI37-FI119-FI120</f>
      </c>
      <c r="FJ121" s="1284">
        <f t="shared" si="288"/>
      </c>
      <c r="FK121" s="1284">
        <f t="shared" si="288"/>
      </c>
      <c r="FL121" s="1729">
        <f t="shared" si="288"/>
      </c>
      <c r="FM121" s="1284">
        <f t="shared" si="288"/>
      </c>
      <c r="FN121" s="1284">
        <f t="shared" si="288"/>
      </c>
      <c r="FO121" s="2534">
        <f t="shared" si="288"/>
      </c>
      <c r="FP121" s="1284">
        <f t="shared" si="288"/>
      </c>
      <c r="FQ121" s="1284">
        <f t="shared" si="288"/>
      </c>
      <c r="FR121" s="1284">
        <f t="shared" si="288"/>
      </c>
      <c r="FS121" s="1729">
        <f t="shared" si="288"/>
      </c>
      <c r="FT121" s="1284">
        <f t="shared" si="288"/>
      </c>
      <c r="FU121" s="1313">
        <f t="shared" si="288"/>
      </c>
      <c r="FV121" s="1284">
        <f t="shared" si="288"/>
      </c>
      <c r="FW121" s="1284">
        <f t="shared" si="288"/>
      </c>
      <c r="FX121" s="1729">
        <f t="shared" si="288"/>
      </c>
      <c r="FY121" s="1284">
        <f t="shared" ref="FY121:FZ121" si="289">+FY43+FY41-FY36-FY37-FY119-FY120</f>
      </c>
      <c r="FZ121" s="1284">
        <f t="shared" si="289"/>
      </c>
      <c r="GA121" s="1284">
        <f t="shared" ref="GA121" si="290">+GA43+GA41-GA36-GA37-GA119-GA120</f>
      </c>
      <c r="GB121" s="1284">
        <f t="shared" si="288"/>
      </c>
      <c r="GC121" s="1729">
        <f t="shared" si="288"/>
      </c>
      <c r="GD121" s="1284">
        <f t="shared" si="288"/>
      </c>
      <c r="GE121" s="1284">
        <f t="shared" si="288"/>
      </c>
      <c r="GF121" s="1284">
        <f t="shared" si="288"/>
      </c>
      <c r="GG121" s="1284">
        <f t="shared" ref="GG121" si="291">+GG43+GG41-GG36-GG37-GG119-GG120</f>
      </c>
      <c r="GH121" s="1729">
        <f t="shared" si="288"/>
      </c>
      <c r="GI121" s="1729">
        <f t="shared" ca="1" si="288"/>
      </c>
      <c r="GJ121" s="1729">
        <f t="shared" ca="1" si="288"/>
      </c>
      <c r="GK121" s="1729">
        <f ca="1">+GK43+GK41-GK36-GK37-GK119-GK120</f>
      </c>
      <c r="GL121" s="1729">
        <f ca="1">+GL43+GL41-GL36-GL37-GL119-GL120</f>
      </c>
      <c r="GM121" s="1729">
        <f ca="1">+GM43+GM41-GM36-GM37-GM119-GM120</f>
      </c>
    </row>
    <row r="122" spans="1:195" outlineLevel="1">
      <c r="B122" s="626" t="s">
        <v>262</v>
      </c>
      <c r="C122" s="627">
        <f t="shared" ref="C122:AB122" si="292">+C38-C36-C37</f>
      </c>
      <c r="D122" s="627">
        <f t="shared" si="292"/>
      </c>
      <c r="E122" s="627">
        <f t="shared" si="292"/>
      </c>
      <c r="F122" s="627">
        <f t="shared" si="292"/>
      </c>
      <c r="G122" s="627">
        <f t="shared" si="292"/>
      </c>
      <c r="H122" s="627" t="e">
        <f t="shared" si="292"/>
      </c>
      <c r="I122" s="627" t="e">
        <f t="shared" si="292"/>
      </c>
      <c r="J122" s="627" t="e">
        <f t="shared" si="292"/>
      </c>
      <c r="K122" s="627" t="e">
        <f t="shared" si="292"/>
      </c>
      <c r="L122" s="627">
        <f t="shared" si="292"/>
      </c>
      <c r="M122" s="627" t="e">
        <f t="shared" si="292"/>
      </c>
      <c r="N122" s="627">
        <f t="shared" si="292"/>
      </c>
      <c r="O122" s="627">
        <f t="shared" si="292"/>
      </c>
      <c r="P122" s="627">
        <f t="shared" si="292"/>
      </c>
      <c r="Q122" s="627">
        <f t="shared" si="292"/>
      </c>
      <c r="R122" s="627" t="e">
        <f t="shared" si="292"/>
      </c>
      <c r="S122" s="627" t="e">
        <f t="shared" si="292"/>
      </c>
      <c r="T122" s="627" t="e">
        <f t="shared" si="292"/>
      </c>
      <c r="U122" s="627" t="e">
        <f t="shared" si="292"/>
      </c>
      <c r="V122" s="627">
        <f t="shared" si="292"/>
      </c>
      <c r="W122" s="627" t="e">
        <f t="shared" si="292"/>
      </c>
      <c r="X122" s="627" t="e">
        <f t="shared" si="292"/>
      </c>
      <c r="Y122" s="627" t="e">
        <f t="shared" si="292"/>
      </c>
      <c r="Z122" s="627">
        <f t="shared" si="292"/>
      </c>
      <c r="AA122" s="627">
        <f t="shared" si="292"/>
      </c>
      <c r="AB122" s="628" t="e">
        <f t="shared" si="292"/>
      </c>
      <c r="AC122" s="628">
        <f t="shared" ref="AC122:BH122" si="293">+AC43+AC41-AC36-AC37</f>
      </c>
      <c r="AD122" s="628">
        <f t="shared" si="293"/>
      </c>
      <c r="AE122" s="628">
        <f t="shared" si="293"/>
      </c>
      <c r="AF122" s="628">
        <f t="shared" si="293"/>
      </c>
      <c r="AG122" s="628">
        <f t="shared" si="293"/>
      </c>
      <c r="AH122" s="628">
        <f t="shared" si="293"/>
      </c>
      <c r="AI122" s="628">
        <f t="shared" si="293"/>
      </c>
      <c r="AJ122" s="628">
        <f t="shared" si="293"/>
      </c>
      <c r="AK122" s="628">
        <f t="shared" si="293"/>
      </c>
      <c r="AL122" s="628">
        <f t="shared" si="293"/>
      </c>
      <c r="AM122" s="628">
        <f t="shared" si="293"/>
      </c>
      <c r="AN122" s="628">
        <f t="shared" si="293"/>
      </c>
      <c r="AO122" s="628">
        <f t="shared" si="293"/>
      </c>
      <c r="AP122" s="628">
        <f t="shared" si="293"/>
      </c>
      <c r="AQ122" s="628">
        <f t="shared" si="293"/>
      </c>
      <c r="AR122" s="628">
        <f t="shared" si="293"/>
      </c>
      <c r="AS122" s="628">
        <f t="shared" si="293"/>
      </c>
      <c r="AT122" s="628">
        <f t="shared" si="293"/>
      </c>
      <c r="AU122" s="628">
        <f t="shared" si="293"/>
      </c>
      <c r="AV122" s="628">
        <f t="shared" si="293"/>
      </c>
      <c r="AW122" s="628">
        <f t="shared" si="293"/>
      </c>
      <c r="AX122" s="628">
        <f t="shared" si="293"/>
      </c>
      <c r="AY122" s="628">
        <f t="shared" si="293"/>
      </c>
      <c r="AZ122" s="628">
        <f t="shared" si="293"/>
      </c>
      <c r="BA122" s="305">
        <f t="shared" si="293"/>
      </c>
      <c r="BB122" s="628">
        <f t="shared" si="293"/>
      </c>
      <c r="BC122" s="628">
        <f t="shared" si="293"/>
      </c>
      <c r="BD122" s="628">
        <f t="shared" si="293"/>
      </c>
      <c r="BE122" s="628">
        <f t="shared" si="293"/>
      </c>
      <c r="BF122" s="305">
        <f t="shared" si="293"/>
      </c>
      <c r="BG122" s="628">
        <f t="shared" si="293"/>
      </c>
      <c r="BH122" s="628">
        <f t="shared" si="293"/>
      </c>
      <c r="BI122" s="628">
        <f t="shared" ref="BI122:CN122" si="294">+BI43+BI41-BI36-BI37</f>
      </c>
      <c r="BJ122" s="628">
        <f t="shared" si="294"/>
      </c>
      <c r="BK122" s="305">
        <f t="shared" si="294"/>
      </c>
      <c r="BL122" s="628">
        <f t="shared" si="294"/>
      </c>
      <c r="BM122" s="628">
        <f t="shared" si="294"/>
      </c>
      <c r="BN122" s="628">
        <f t="shared" si="294"/>
      </c>
      <c r="BO122" s="628">
        <f t="shared" si="294"/>
      </c>
      <c r="BP122" s="305">
        <f t="shared" si="294"/>
      </c>
      <c r="BQ122" s="628">
        <f t="shared" si="294"/>
      </c>
      <c r="BR122" s="628">
        <f t="shared" si="294"/>
      </c>
      <c r="BS122" s="628">
        <f t="shared" si="294"/>
      </c>
      <c r="BT122" s="628">
        <f t="shared" si="294"/>
      </c>
      <c r="BU122" s="305">
        <f t="shared" si="294"/>
      </c>
      <c r="BV122" s="628">
        <f t="shared" si="294"/>
      </c>
      <c r="BW122" s="628">
        <f t="shared" si="294"/>
      </c>
      <c r="BX122" s="628">
        <f t="shared" si="294"/>
      </c>
      <c r="BY122" s="628">
        <f t="shared" si="294"/>
      </c>
      <c r="BZ122" s="305">
        <f t="shared" si="294"/>
      </c>
      <c r="CA122" s="628">
        <f t="shared" si="294"/>
      </c>
      <c r="CB122" s="628">
        <f t="shared" si="294"/>
      </c>
      <c r="CC122" s="628">
        <f t="shared" si="294"/>
      </c>
      <c r="CD122" s="628">
        <f t="shared" si="294"/>
      </c>
      <c r="CE122" s="305">
        <f t="shared" si="294"/>
      </c>
      <c r="CF122" s="628">
        <f t="shared" si="294"/>
      </c>
      <c r="CG122" s="628">
        <f t="shared" si="294"/>
      </c>
      <c r="CH122" s="628">
        <f t="shared" si="294"/>
      </c>
      <c r="CI122" s="628">
        <f t="shared" si="294"/>
      </c>
      <c r="CJ122" s="305">
        <f t="shared" si="294"/>
      </c>
      <c r="CK122" s="628">
        <f t="shared" si="294"/>
      </c>
      <c r="CL122" s="628">
        <f t="shared" si="294"/>
      </c>
      <c r="CM122" s="628">
        <f t="shared" si="294"/>
      </c>
      <c r="CN122" s="628">
        <f t="shared" si="294"/>
      </c>
      <c r="CO122" s="305">
        <f t="shared" ref="CO122:DF122" si="295">+CO43+CO41-CO36-CO37</f>
      </c>
      <c r="CP122" s="628">
        <f t="shared" si="295"/>
      </c>
      <c r="CQ122" s="628">
        <f t="shared" si="295"/>
      </c>
      <c r="CR122" s="628">
        <f t="shared" si="295"/>
      </c>
      <c r="CS122" s="628">
        <f t="shared" si="295"/>
      </c>
      <c r="CT122" s="305">
        <f t="shared" si="295"/>
      </c>
      <c r="CU122" s="628">
        <f t="shared" si="295"/>
      </c>
      <c r="CV122" s="628">
        <f t="shared" si="295"/>
      </c>
      <c r="CW122" s="628">
        <f t="shared" si="295"/>
      </c>
      <c r="CX122" s="628">
        <f t="shared" si="295"/>
      </c>
      <c r="CY122" s="305">
        <f t="shared" si="295"/>
      </c>
      <c r="CZ122" s="628">
        <f t="shared" si="295"/>
      </c>
      <c r="DA122" s="628">
        <f t="shared" si="295"/>
      </c>
      <c r="DB122" s="628">
        <f t="shared" si="295"/>
      </c>
      <c r="DC122" s="628">
        <f t="shared" si="295"/>
      </c>
      <c r="DD122" s="305">
        <f t="shared" si="295"/>
      </c>
      <c r="DE122" s="629">
        <f t="shared" si="295"/>
      </c>
      <c r="DF122" s="629">
        <f t="shared" si="295"/>
      </c>
      <c r="DG122" s="629">
        <f t="shared" ref="DG122:EL122" si="296">+DG38-DG36-DG37</f>
      </c>
      <c r="DH122" s="629">
        <f t="shared" si="296"/>
      </c>
      <c r="DI122" s="305">
        <f t="shared" si="296"/>
      </c>
      <c r="DJ122" s="629">
        <f t="shared" si="296"/>
      </c>
      <c r="DK122" s="629">
        <f t="shared" si="296"/>
      </c>
      <c r="DL122" s="629">
        <f t="shared" si="296"/>
      </c>
      <c r="DM122" s="629">
        <f t="shared" si="296"/>
      </c>
      <c r="DN122" s="305">
        <f t="shared" si="296"/>
      </c>
      <c r="DO122" s="629">
        <f t="shared" si="296"/>
      </c>
      <c r="DP122" s="629">
        <f t="shared" si="296"/>
      </c>
      <c r="DQ122" s="629">
        <f t="shared" si="296"/>
      </c>
      <c r="DR122" s="629">
        <f t="shared" si="296"/>
      </c>
      <c r="DS122" s="305">
        <f t="shared" si="296"/>
      </c>
      <c r="DT122" s="629">
        <f t="shared" si="296"/>
      </c>
      <c r="DU122" s="629">
        <f t="shared" si="296"/>
      </c>
      <c r="DV122" s="629">
        <f t="shared" si="296"/>
      </c>
      <c r="DW122" s="629">
        <f t="shared" si="296"/>
      </c>
      <c r="DX122" s="305">
        <f t="shared" si="296"/>
      </c>
      <c r="DY122" s="629">
        <f t="shared" si="296"/>
      </c>
      <c r="DZ122" s="629">
        <f t="shared" si="296"/>
      </c>
      <c r="EA122" s="629">
        <f t="shared" si="296"/>
      </c>
      <c r="EB122" s="629">
        <f t="shared" si="296"/>
      </c>
      <c r="EC122" s="305">
        <f t="shared" si="296"/>
      </c>
      <c r="ED122" s="1128">
        <f t="shared" si="296"/>
      </c>
      <c r="EE122" s="629">
        <f t="shared" si="296"/>
      </c>
      <c r="EF122" s="629">
        <f t="shared" si="296"/>
      </c>
      <c r="EG122" s="629">
        <f t="shared" si="296"/>
      </c>
      <c r="EH122" s="305">
        <f t="shared" si="296"/>
      </c>
      <c r="EI122" s="1128">
        <f t="shared" si="296"/>
      </c>
      <c r="EJ122" s="1128">
        <f t="shared" si="296"/>
      </c>
      <c r="EK122" s="1128">
        <f t="shared" si="296"/>
      </c>
      <c r="EL122" s="1128">
        <f t="shared" si="296"/>
      </c>
      <c r="EM122" s="305">
        <f t="shared" ref="EM122:FR122" si="297">+EM38-EM36-EM37</f>
      </c>
      <c r="EN122" s="1128">
        <f t="shared" si="297"/>
      </c>
      <c r="EO122" s="1128">
        <f t="shared" si="297"/>
      </c>
      <c r="EP122" s="1128">
        <f t="shared" si="297"/>
      </c>
      <c r="EQ122" s="1128">
        <f t="shared" si="297"/>
      </c>
      <c r="ER122" s="305">
        <f t="shared" si="297"/>
      </c>
      <c r="ES122" s="1128">
        <f t="shared" si="297"/>
      </c>
      <c r="ET122" s="1128">
        <f t="shared" si="297"/>
      </c>
      <c r="EU122" s="1128">
        <f t="shared" si="297"/>
      </c>
      <c r="EV122" s="1128">
        <f t="shared" si="297"/>
      </c>
      <c r="EW122" s="1730">
        <f t="shared" si="297"/>
      </c>
      <c r="EX122" s="1731">
        <f t="shared" si="297"/>
      </c>
      <c r="EY122" s="1731">
        <f t="shared" si="297"/>
      </c>
      <c r="EZ122" s="1731">
        <f t="shared" si="297"/>
      </c>
      <c r="FA122" s="1731">
        <f t="shared" si="297"/>
      </c>
      <c r="FB122" s="1730">
        <f t="shared" si="297"/>
      </c>
      <c r="FC122" s="1731">
        <f t="shared" si="297"/>
      </c>
      <c r="FD122" s="1731">
        <f t="shared" si="297"/>
      </c>
      <c r="FE122" s="1731">
        <f t="shared" si="297"/>
      </c>
      <c r="FF122" s="1731">
        <f t="shared" si="297"/>
      </c>
      <c r="FG122" s="1730">
        <f t="shared" si="297"/>
      </c>
      <c r="FH122" s="1731">
        <f t="shared" si="297"/>
      </c>
      <c r="FI122" s="1731">
        <f t="shared" si="297"/>
      </c>
      <c r="FJ122" s="1731">
        <f t="shared" si="297"/>
      </c>
      <c r="FK122" s="1731">
        <f t="shared" si="297"/>
      </c>
      <c r="FL122" s="1730">
        <f t="shared" si="297"/>
      </c>
      <c r="FM122" s="2138">
        <f t="shared" si="297"/>
      </c>
      <c r="FN122" s="2138">
        <f t="shared" si="297"/>
      </c>
      <c r="FO122" s="2537">
        <f t="shared" si="297"/>
      </c>
      <c r="FP122" s="2138">
        <f t="shared" si="297"/>
      </c>
      <c r="FQ122" s="2138">
        <f t="shared" si="297"/>
      </c>
      <c r="FR122" s="2138">
        <f t="shared" si="297"/>
      </c>
      <c r="FS122" s="2861">
        <f t="shared" ref="FS122:GJ122" si="298">+FS38-FS36-FS37</f>
      </c>
      <c r="FT122" s="2138">
        <f t="shared" si="298"/>
      </c>
      <c r="FU122" s="2159">
        <f t="shared" si="298"/>
      </c>
      <c r="FV122" s="2138">
        <f t="shared" si="298"/>
      </c>
      <c r="FW122" s="2138">
        <f t="shared" si="298"/>
      </c>
      <c r="FX122" s="1730">
        <f t="shared" si="298"/>
      </c>
      <c r="FY122" s="2138">
        <f t="shared" ref="FY122:FZ122" si="299">+FY38-FY36-FY37</f>
      </c>
      <c r="FZ122" s="2138">
        <f t="shared" si="299"/>
      </c>
      <c r="GA122" s="2138">
        <f t="shared" ref="GA122" si="300">+GA38-GA36-GA37</f>
      </c>
      <c r="GB122" s="2138">
        <f t="shared" si="298"/>
      </c>
      <c r="GC122" s="1730">
        <f t="shared" si="298"/>
      </c>
      <c r="GD122" s="2138">
        <f t="shared" si="298"/>
      </c>
      <c r="GE122" s="2138">
        <f t="shared" si="298"/>
      </c>
      <c r="GF122" s="2138">
        <f t="shared" si="298"/>
      </c>
      <c r="GG122" s="2138">
        <f t="shared" ref="GG122" si="301">+GG38-GG36-GG37</f>
      </c>
      <c r="GH122" s="1730">
        <f t="shared" si="298"/>
      </c>
      <c r="GI122" s="1730">
        <f t="shared" ca="1" si="298"/>
      </c>
      <c r="GJ122" s="1730">
        <f t="shared" ca="1" si="298"/>
      </c>
      <c r="GK122" s="1730">
        <f ca="1">+GK38-GK36-GK37</f>
      </c>
      <c r="GL122" s="1730">
        <f ca="1">+GL38-GL36-GL37</f>
      </c>
      <c r="GM122" s="1730">
        <f ca="1">+GM38-GM36-GM37</f>
      </c>
    </row>
    <row r="123" spans="1:195" ht="15" customHeight="1" outlineLevel="1">
      <c r="BA123" s="630"/>
      <c r="BF123" s="630"/>
      <c r="BK123" s="630"/>
      <c r="BP123" s="630"/>
      <c r="BU123" s="630"/>
      <c r="BZ123" s="630"/>
      <c r="CE123" s="630"/>
      <c r="CJ123" s="630"/>
      <c r="CO123" s="630"/>
      <c r="CT123" s="630"/>
      <c r="CY123" s="630"/>
      <c r="DD123" s="630"/>
      <c r="DI123" s="630"/>
      <c r="DN123" s="630"/>
      <c r="DS123" s="631"/>
      <c r="EI123" s="946"/>
      <c r="EJ123" s="946"/>
      <c r="EK123" s="946"/>
      <c r="EL123" s="946"/>
      <c r="EN123" s="946"/>
      <c r="EO123" s="946"/>
      <c r="EP123" s="946"/>
      <c r="EQ123" s="946"/>
      <c r="FH123" s="73"/>
      <c r="FI123" s="73"/>
      <c r="FJ123" s="73"/>
      <c r="FK123" s="2889"/>
      <c r="FL123" s="2889"/>
      <c r="FM123" s="2890"/>
      <c r="FN123" s="2890"/>
      <c r="FO123" s="2889"/>
      <c r="FP123" s="2889"/>
      <c r="FQ123" s="2889"/>
      <c r="FR123" s="2889"/>
      <c r="FS123" s="2889"/>
      <c r="FT123" s="2890"/>
      <c r="FU123" s="2890"/>
      <c r="FV123" s="2890"/>
      <c r="FW123" s="2890"/>
      <c r="FX123" s="2889"/>
      <c r="FY123" s="2890"/>
      <c r="FZ123" s="2890"/>
      <c r="GA123" s="2890"/>
      <c r="GB123" s="1045"/>
      <c r="GC123" s="73"/>
      <c r="GD123" s="2890"/>
      <c r="GE123" s="2890"/>
      <c r="GF123" s="2890"/>
      <c r="GG123" s="1045"/>
      <c r="GH123" s="73"/>
      <c r="GI123" s="73"/>
      <c r="GJ123" s="73"/>
      <c r="GK123" s="73"/>
      <c r="GL123" s="73"/>
      <c r="GM123" s="73"/>
    </row>
    <row r="124" spans="1:195" outlineLevel="1">
      <c r="B124" s="347" t="s">
        <v>394</v>
      </c>
      <c r="C124" s="591"/>
      <c r="D124" s="591"/>
      <c r="E124" s="591"/>
      <c r="F124" s="591"/>
      <c r="G124" s="591"/>
      <c r="H124" s="591"/>
      <c r="I124" s="591"/>
      <c r="J124" s="591"/>
      <c r="K124" s="591"/>
      <c r="L124" s="591"/>
      <c r="M124" s="591"/>
      <c r="N124" s="591"/>
      <c r="O124" s="591"/>
      <c r="P124" s="591"/>
      <c r="Q124" s="591"/>
      <c r="R124" s="591"/>
      <c r="S124" s="591"/>
      <c r="T124" s="591"/>
      <c r="U124" s="591"/>
      <c r="V124" s="591"/>
      <c r="W124" s="591"/>
      <c r="X124" s="591"/>
      <c r="Y124" s="591"/>
      <c r="Z124" s="591"/>
      <c r="AA124" s="591"/>
      <c r="AB124" s="591"/>
      <c r="AC124" s="591"/>
      <c r="AD124" s="591"/>
      <c r="AE124" s="591"/>
      <c r="AF124" s="591"/>
      <c r="AG124" s="591"/>
      <c r="AH124" s="591"/>
      <c r="AI124" s="591"/>
      <c r="AJ124" s="591"/>
      <c r="AK124" s="591"/>
      <c r="AL124" s="591"/>
      <c r="AM124" s="591"/>
      <c r="AN124" s="591"/>
      <c r="AO124" s="591"/>
      <c r="AP124" s="591"/>
      <c r="AQ124" s="591"/>
      <c r="AR124" s="591"/>
      <c r="AS124" s="591"/>
      <c r="AT124" s="591"/>
      <c r="AU124" s="591"/>
      <c r="AV124" s="591"/>
      <c r="AW124" s="591"/>
      <c r="AX124" s="591"/>
      <c r="AY124" s="591"/>
      <c r="AZ124" s="591"/>
      <c r="BA124" s="592"/>
      <c r="BB124" s="591"/>
      <c r="BC124" s="591"/>
      <c r="BD124" s="591"/>
      <c r="BE124" s="591"/>
      <c r="BF124" s="592"/>
      <c r="BG124" s="591"/>
      <c r="BH124" s="591"/>
      <c r="BI124" s="591"/>
      <c r="BJ124" s="591"/>
      <c r="BK124" s="592"/>
      <c r="BL124" s="591"/>
      <c r="BM124" s="591"/>
      <c r="BN124" s="591"/>
      <c r="BO124" s="591"/>
      <c r="BP124" s="592"/>
      <c r="BQ124" s="591"/>
      <c r="BR124" s="591"/>
      <c r="BS124" s="591"/>
      <c r="BT124" s="591"/>
      <c r="BU124" s="592"/>
      <c r="BV124" s="591"/>
      <c r="BW124" s="591"/>
      <c r="BX124" s="591"/>
      <c r="BY124" s="591"/>
      <c r="BZ124" s="592"/>
      <c r="CA124" s="591"/>
      <c r="CB124" s="591"/>
      <c r="CC124" s="591"/>
      <c r="CD124" s="591"/>
      <c r="CE124" s="592"/>
      <c r="CF124" s="591"/>
      <c r="CG124" s="591"/>
      <c r="CH124" s="591"/>
      <c r="CI124" s="591"/>
      <c r="CJ124" s="592"/>
      <c r="CK124" s="591"/>
      <c r="CL124" s="591"/>
      <c r="CM124" s="591"/>
      <c r="CN124" s="591"/>
      <c r="CO124" s="592"/>
      <c r="CP124" s="591"/>
      <c r="CQ124" s="591"/>
      <c r="CR124" s="591"/>
      <c r="CS124" s="591"/>
      <c r="CT124" s="592"/>
      <c r="CU124" s="591"/>
      <c r="CV124" s="591"/>
      <c r="CW124" s="591"/>
      <c r="CX124" s="591"/>
      <c r="CY124" s="592"/>
      <c r="CZ124" s="591"/>
      <c r="DA124" s="591"/>
      <c r="DB124" s="591"/>
      <c r="DC124" s="591"/>
      <c r="DD124" s="592"/>
      <c r="DE124" s="591"/>
      <c r="DF124" s="591"/>
      <c r="DG124" s="591"/>
      <c r="DH124" s="591"/>
      <c r="DI124" s="592"/>
      <c r="DJ124" s="591"/>
      <c r="DK124" s="591"/>
      <c r="DL124" s="591"/>
      <c r="DM124" s="591"/>
      <c r="DN124" s="592"/>
      <c r="DO124" s="591"/>
      <c r="DP124" s="591"/>
      <c r="DQ124" s="591"/>
      <c r="DR124" s="591"/>
      <c r="DS124" s="592"/>
      <c r="DT124" s="591"/>
      <c r="DU124" s="591"/>
      <c r="DV124" s="591"/>
      <c r="DW124" s="591"/>
      <c r="DX124" s="592"/>
      <c r="DY124" s="591"/>
      <c r="DZ124" s="591"/>
      <c r="EA124" s="591"/>
      <c r="EB124" s="591"/>
      <c r="EC124" s="592"/>
      <c r="ED124" s="591"/>
      <c r="EE124" s="591"/>
      <c r="EF124" s="591"/>
      <c r="EG124" s="591"/>
      <c r="EH124" s="592"/>
      <c r="EI124" s="591"/>
      <c r="EJ124" s="591"/>
      <c r="EK124" s="591"/>
      <c r="EL124" s="591"/>
      <c r="EM124" s="592"/>
      <c r="EN124" s="591"/>
      <c r="EO124" s="591"/>
      <c r="EP124" s="591"/>
      <c r="EQ124" s="591"/>
      <c r="ER124" s="592"/>
      <c r="ES124" s="1383"/>
      <c r="ET124" s="1385"/>
      <c r="EU124" s="1385"/>
      <c r="EV124" s="1381"/>
      <c r="EW124" s="1713"/>
      <c r="EX124" s="1575"/>
      <c r="EY124" s="1575"/>
      <c r="EZ124" s="1575"/>
      <c r="FA124" s="1714"/>
      <c r="FB124" s="1713"/>
      <c r="FC124" s="1575"/>
      <c r="FD124" s="1575"/>
      <c r="FE124" s="1575"/>
      <c r="FF124" s="1714"/>
      <c r="FG124" s="1713"/>
      <c r="FH124" s="1575"/>
      <c r="FI124" s="1575"/>
      <c r="FJ124" s="1575"/>
      <c r="FK124" s="1714"/>
      <c r="FL124" s="1713"/>
      <c r="FM124" s="1715"/>
      <c r="FN124" s="2792"/>
      <c r="FO124" s="2848"/>
      <c r="FP124" s="2792"/>
      <c r="FQ124" s="2792"/>
      <c r="FR124" s="1714"/>
      <c r="FS124" s="1713"/>
      <c r="FT124" s="2792"/>
      <c r="FU124" s="1714"/>
      <c r="FV124" s="2792"/>
      <c r="FW124" s="2637"/>
      <c r="FX124" s="1713"/>
      <c r="FY124" s="3440"/>
      <c r="FZ124" s="3440"/>
      <c r="GA124" s="3440"/>
      <c r="GB124" s="2637"/>
      <c r="GC124" s="1713"/>
      <c r="GD124" s="3440"/>
      <c r="GE124" s="3440"/>
      <c r="GF124" s="3440"/>
      <c r="GG124" s="2637"/>
      <c r="GH124" s="1713"/>
      <c r="GI124" s="1713"/>
      <c r="GJ124" s="1713"/>
      <c r="GK124" s="1713"/>
      <c r="GL124" s="1713"/>
      <c r="GM124" s="1713"/>
    </row>
    <row r="125" spans="1:195" outlineLevel="1">
      <c r="B125" s="199" t="s">
        <v>395</v>
      </c>
      <c r="BA125" s="304"/>
      <c r="BF125" s="304"/>
      <c r="BK125" s="304"/>
      <c r="BP125" s="304"/>
      <c r="BU125" s="304"/>
      <c r="BZ125" s="304"/>
      <c r="CE125" s="304">
        <f t="shared" ref="CE125:DJ125" si="302">+CE38</f>
      </c>
      <c r="CF125" s="59">
        <f t="shared" si="302"/>
      </c>
      <c r="CG125" s="59">
        <f t="shared" si="302"/>
      </c>
      <c r="CH125" s="59">
        <f t="shared" si="302"/>
      </c>
      <c r="CI125" s="59">
        <f t="shared" si="302"/>
      </c>
      <c r="CJ125" s="304">
        <f t="shared" si="302"/>
      </c>
      <c r="CK125" s="59">
        <f t="shared" si="302"/>
      </c>
      <c r="CL125" s="59">
        <f t="shared" si="302"/>
      </c>
      <c r="CM125" s="59">
        <f t="shared" si="302"/>
      </c>
      <c r="CN125" s="59">
        <f t="shared" si="302"/>
      </c>
      <c r="CO125" s="304">
        <f t="shared" si="302"/>
      </c>
      <c r="CP125" s="59">
        <f t="shared" si="302"/>
      </c>
      <c r="CQ125" s="59">
        <f t="shared" si="302"/>
      </c>
      <c r="CR125" s="59">
        <f t="shared" si="302"/>
      </c>
      <c r="CS125" s="59">
        <f t="shared" si="302"/>
      </c>
      <c r="CT125" s="304">
        <f t="shared" si="302"/>
      </c>
      <c r="CU125" s="59">
        <f t="shared" si="302"/>
      </c>
      <c r="CV125" s="59">
        <f t="shared" si="302"/>
      </c>
      <c r="CW125" s="59">
        <f t="shared" si="302"/>
      </c>
      <c r="CX125" s="59">
        <f t="shared" si="302"/>
      </c>
      <c r="CY125" s="304">
        <f t="shared" si="302"/>
      </c>
      <c r="CZ125" s="59">
        <f t="shared" si="302"/>
      </c>
      <c r="DA125" s="59">
        <f t="shared" si="302"/>
      </c>
      <c r="DB125" s="59">
        <f t="shared" si="302"/>
      </c>
      <c r="DC125" s="59">
        <f t="shared" si="302"/>
      </c>
      <c r="DD125" s="304">
        <f t="shared" si="302"/>
      </c>
      <c r="DE125" s="59">
        <f t="shared" si="302"/>
      </c>
      <c r="DF125" s="59">
        <f t="shared" si="302"/>
      </c>
      <c r="DG125" s="59">
        <f t="shared" si="302"/>
      </c>
      <c r="DH125" s="59">
        <f t="shared" si="302"/>
      </c>
      <c r="DI125" s="304">
        <f t="shared" si="302"/>
      </c>
      <c r="DJ125" s="59">
        <f t="shared" si="302"/>
      </c>
      <c r="DK125" s="59">
        <f t="shared" ref="DK125:EP125" si="303">+DK38</f>
      </c>
      <c r="DL125" s="59">
        <f t="shared" si="303"/>
      </c>
      <c r="DM125" s="59">
        <f t="shared" si="303"/>
      </c>
      <c r="DN125" s="304">
        <f t="shared" si="303"/>
      </c>
      <c r="DO125" s="59">
        <f t="shared" si="303"/>
      </c>
      <c r="DP125" s="59">
        <f t="shared" si="303"/>
      </c>
      <c r="DQ125" s="59">
        <f t="shared" si="303"/>
      </c>
      <c r="DR125" s="59">
        <f t="shared" si="303"/>
      </c>
      <c r="DS125" s="304">
        <f t="shared" si="303"/>
      </c>
      <c r="DT125" s="59">
        <f t="shared" si="303"/>
      </c>
      <c r="DU125" s="59">
        <f t="shared" si="303"/>
      </c>
      <c r="DV125" s="59">
        <f t="shared" si="303"/>
      </c>
      <c r="DW125" s="59">
        <f t="shared" si="303"/>
      </c>
      <c r="DX125" s="304">
        <f t="shared" si="303"/>
      </c>
      <c r="DY125" s="59">
        <f t="shared" si="303"/>
      </c>
      <c r="DZ125" s="59">
        <f t="shared" si="303"/>
      </c>
      <c r="EA125" s="59">
        <f t="shared" si="303"/>
      </c>
      <c r="EB125" s="59">
        <f t="shared" si="303"/>
      </c>
      <c r="EC125" s="304">
        <f t="shared" si="303"/>
      </c>
      <c r="ED125" s="59">
        <f t="shared" si="303"/>
      </c>
      <c r="EE125" s="59">
        <f t="shared" si="303"/>
      </c>
      <c r="EF125" s="59">
        <f t="shared" si="303"/>
      </c>
      <c r="EG125" s="59">
        <f t="shared" si="303"/>
      </c>
      <c r="EH125" s="304">
        <f t="shared" si="303"/>
      </c>
      <c r="EI125" s="59">
        <f t="shared" si="303"/>
      </c>
      <c r="EJ125" s="59">
        <f t="shared" si="303"/>
      </c>
      <c r="EK125" s="59">
        <f t="shared" si="303"/>
      </c>
      <c r="EL125" s="59">
        <f t="shared" si="303"/>
      </c>
      <c r="EM125" s="304">
        <f t="shared" si="303"/>
      </c>
      <c r="EN125" s="59">
        <f t="shared" si="303"/>
      </c>
      <c r="EO125" s="59">
        <f t="shared" si="303"/>
      </c>
      <c r="EP125" s="59">
        <f t="shared" si="303"/>
      </c>
      <c r="EQ125" s="59">
        <f t="shared" ref="EQ125:FV125" si="304">+EQ38</f>
      </c>
      <c r="ER125" s="304">
        <f t="shared" si="304"/>
      </c>
      <c r="ES125" s="59">
        <f t="shared" si="304"/>
      </c>
      <c r="ET125" s="59">
        <f t="shared" si="304"/>
      </c>
      <c r="EU125" s="59">
        <f t="shared" si="304"/>
      </c>
      <c r="EV125" s="59">
        <f t="shared" si="304"/>
      </c>
      <c r="EW125" s="1732">
        <f t="shared" si="304"/>
      </c>
      <c r="EX125" s="1733">
        <f t="shared" si="304"/>
      </c>
      <c r="EY125" s="1733">
        <f t="shared" si="304"/>
      </c>
      <c r="EZ125" s="1733">
        <f t="shared" si="304"/>
      </c>
      <c r="FA125" s="1733">
        <f t="shared" si="304"/>
      </c>
      <c r="FB125" s="1732">
        <f t="shared" si="304"/>
      </c>
      <c r="FC125" s="1733">
        <f t="shared" si="304"/>
      </c>
      <c r="FD125" s="1733">
        <f t="shared" si="304"/>
      </c>
      <c r="FE125" s="1733">
        <f t="shared" si="304"/>
      </c>
      <c r="FF125" s="1733">
        <f t="shared" si="304"/>
      </c>
      <c r="FG125" s="1732">
        <f t="shared" si="304"/>
      </c>
      <c r="FH125" s="1733">
        <f t="shared" si="304"/>
      </c>
      <c r="FI125" s="1733">
        <f t="shared" si="304"/>
      </c>
      <c r="FJ125" s="1733">
        <f t="shared" si="304"/>
      </c>
      <c r="FK125" s="1733">
        <f t="shared" si="304"/>
      </c>
      <c r="FL125" s="1732">
        <f t="shared" si="304"/>
      </c>
      <c r="FM125" s="1733">
        <f t="shared" si="304"/>
      </c>
      <c r="FN125" s="1733">
        <f t="shared" si="304"/>
      </c>
      <c r="FO125" s="2862">
        <f t="shared" si="304"/>
      </c>
      <c r="FP125" s="1733">
        <f t="shared" si="304"/>
      </c>
      <c r="FQ125" s="1733">
        <f t="shared" si="304"/>
      </c>
      <c r="FR125" s="1733">
        <f t="shared" si="304"/>
      </c>
      <c r="FS125" s="1732">
        <f t="shared" si="304"/>
      </c>
      <c r="FT125" s="1733">
        <f t="shared" si="304"/>
      </c>
      <c r="FU125" s="2863">
        <f t="shared" si="304"/>
      </c>
      <c r="FV125" s="1733">
        <f t="shared" si="304"/>
      </c>
      <c r="FW125" s="1733">
        <f t="shared" ref="FW125:GJ125" si="305">+FW38</f>
      </c>
      <c r="FX125" s="1732">
        <f t="shared" si="305"/>
      </c>
      <c r="FY125" s="1733">
        <f t="shared" ref="FY125:FZ125" si="306">+FY38</f>
      </c>
      <c r="FZ125" s="1733">
        <f t="shared" si="306"/>
      </c>
      <c r="GA125" s="1733">
        <f t="shared" ref="GA125" si="307">+GA38</f>
      </c>
      <c r="GB125" s="1733">
        <f t="shared" si="305"/>
      </c>
      <c r="GC125" s="1732">
        <f t="shared" si="305"/>
      </c>
      <c r="GD125" s="1733">
        <f t="shared" si="305"/>
      </c>
      <c r="GE125" s="1733">
        <f t="shared" si="305"/>
      </c>
      <c r="GF125" s="1733">
        <f t="shared" si="305"/>
      </c>
      <c r="GG125" s="1733">
        <f t="shared" si="305"/>
      </c>
      <c r="GH125" s="1732">
        <f t="shared" si="305"/>
      </c>
      <c r="GI125" s="1732">
        <f t="shared" ca="1" si="305"/>
      </c>
      <c r="GJ125" s="1732">
        <f t="shared" ca="1" si="305"/>
      </c>
      <c r="GK125" s="1732">
        <f ca="1">+GK38</f>
      </c>
      <c r="GL125" s="1732">
        <f ca="1">+GL38</f>
      </c>
      <c r="GM125" s="1732">
        <f ca="1">+GM38</f>
      </c>
    </row>
    <row r="126" spans="1:195" outlineLevel="1">
      <c r="B126" s="198" t="s">
        <v>396</v>
      </c>
      <c r="BA126" s="298"/>
      <c r="BF126" s="298"/>
      <c r="BK126" s="298"/>
      <c r="BP126" s="298"/>
      <c r="BU126" s="298"/>
      <c r="BZ126" s="298"/>
      <c r="CE126" s="298">
        <f>+'Income Statement'!CE36+'Income Statement'!CE37</f>
      </c>
      <c r="CF126" s="50">
        <f>+'Income Statement'!CF36+'Income Statement'!CF37</f>
      </c>
      <c r="CG126" s="50">
        <f>+'Income Statement'!CG36+'Income Statement'!CG37</f>
      </c>
      <c r="CH126" s="50">
        <f>+'Income Statement'!CH36+'Income Statement'!CH37</f>
      </c>
      <c r="CI126" s="50">
        <f>+'Income Statement'!CI36+'Income Statement'!CI37</f>
      </c>
      <c r="CJ126" s="298">
        <f>+'Income Statement'!CJ36+'Income Statement'!CJ37</f>
      </c>
      <c r="CK126" s="50">
        <f>+'Income Statement'!CK36+'Income Statement'!CK37</f>
      </c>
      <c r="CL126" s="50">
        <f>+'Income Statement'!CL36+'Income Statement'!CL37</f>
      </c>
      <c r="CM126" s="50">
        <f>+'Income Statement'!CM36+'Income Statement'!CM37</f>
      </c>
      <c r="CN126" s="50">
        <f>+'Income Statement'!CN36+'Income Statement'!CN37</f>
      </c>
      <c r="CO126" s="298">
        <f>+'Income Statement'!CO36+'Income Statement'!CO37</f>
      </c>
      <c r="CP126" s="50">
        <f>+'Income Statement'!CP36+'Income Statement'!CP37</f>
      </c>
      <c r="CQ126" s="50">
        <f>+'Income Statement'!CQ36+'Income Statement'!CQ37</f>
      </c>
      <c r="CR126" s="50">
        <f>+'Income Statement'!CR36+'Income Statement'!CR37</f>
      </c>
      <c r="CS126" s="50">
        <f>+'Income Statement'!CS36+'Income Statement'!CS37</f>
      </c>
      <c r="CT126" s="298">
        <f>+'Income Statement'!CT36+'Income Statement'!CT37</f>
      </c>
      <c r="CU126" s="50">
        <f>+'Income Statement'!CU36+'Income Statement'!CU37</f>
      </c>
      <c r="CV126" s="50">
        <f>+'Income Statement'!CV36+'Income Statement'!CV37</f>
      </c>
      <c r="CW126" s="50">
        <f>+'Income Statement'!CW36+'Income Statement'!CW37</f>
      </c>
      <c r="CX126" s="50">
        <f>+'Income Statement'!CX36+'Income Statement'!CX37</f>
      </c>
      <c r="CY126" s="298">
        <f>+'Income Statement'!CY36+'Income Statement'!CY37</f>
      </c>
      <c r="CZ126" s="50">
        <f>+'Income Statement'!CZ36+'Income Statement'!CZ37</f>
      </c>
      <c r="DA126" s="50">
        <f>+'Income Statement'!DA36+'Income Statement'!DA37</f>
      </c>
      <c r="DB126" s="50">
        <f>+'Income Statement'!DB36+'Income Statement'!DB37</f>
      </c>
      <c r="DC126" s="50">
        <f>+'Income Statement'!DC36+'Income Statement'!DC37</f>
      </c>
      <c r="DD126" s="298">
        <f>+'Income Statement'!DD36+'Income Statement'!DD37</f>
      </c>
      <c r="DE126" s="50">
        <f>+'Income Statement'!DE36+'Income Statement'!DE37</f>
      </c>
      <c r="DF126" s="50">
        <f>+'Income Statement'!DF36+'Income Statement'!DF37</f>
      </c>
      <c r="DG126" s="50">
        <f>+'Income Statement'!DG36+'Income Statement'!DG37</f>
      </c>
      <c r="DH126" s="50">
        <f>+'Income Statement'!DH36+'Income Statement'!DH37</f>
      </c>
      <c r="DI126" s="298">
        <f>+'Income Statement'!DI36+'Income Statement'!DI37</f>
      </c>
      <c r="DJ126" s="50">
        <f>+'Income Statement'!DJ36+'Income Statement'!DJ37</f>
      </c>
      <c r="DK126" s="50">
        <f>+'Income Statement'!DK36+'Income Statement'!DK37</f>
      </c>
      <c r="DL126" s="50">
        <f>+'Income Statement'!DL36+'Income Statement'!DL37</f>
      </c>
      <c r="DM126" s="50">
        <f>+'Income Statement'!DM36+'Income Statement'!DM37</f>
      </c>
      <c r="DN126" s="298">
        <f>+'Income Statement'!DN36+'Income Statement'!DN37</f>
      </c>
      <c r="DO126" s="50">
        <f>+'Income Statement'!DO36+'Income Statement'!DO37</f>
      </c>
      <c r="DP126" s="50">
        <f>+'Income Statement'!DP36+'Income Statement'!DP37</f>
      </c>
      <c r="DQ126" s="50">
        <f>+'Income Statement'!DQ36+'Income Statement'!DQ37</f>
      </c>
      <c r="DR126" s="50">
        <f>+'Income Statement'!DR36+'Income Statement'!DR37</f>
      </c>
      <c r="DS126" s="298">
        <f>+'Income Statement'!DS36+'Income Statement'!DS37</f>
      </c>
      <c r="DT126" s="50">
        <f>+'Income Statement'!DT36+'Income Statement'!DT37</f>
      </c>
      <c r="DU126" s="50">
        <f>+'Income Statement'!DU36+'Income Statement'!DU37</f>
      </c>
      <c r="DV126" s="50">
        <f>+'Income Statement'!DV36+'Income Statement'!DV37</f>
      </c>
      <c r="DW126" s="50">
        <f>+'Income Statement'!DW36+'Income Statement'!DW37</f>
      </c>
      <c r="DX126" s="298">
        <f>+'Income Statement'!DX36+'Income Statement'!DX37</f>
      </c>
      <c r="DY126" s="50">
        <f>+'Income Statement'!DY36+'Income Statement'!DY37</f>
      </c>
      <c r="DZ126" s="50">
        <f>+'Income Statement'!DZ36+'Income Statement'!DZ37</f>
      </c>
      <c r="EA126" s="50">
        <f>+'Income Statement'!EA36+'Income Statement'!EA37</f>
      </c>
      <c r="EB126" s="50">
        <f>+'Income Statement'!EB36+'Income Statement'!EB37</f>
      </c>
      <c r="EC126" s="298">
        <f>+'Income Statement'!EC36+'Income Statement'!EC37</f>
      </c>
      <c r="ED126" s="50">
        <f>+'Income Statement'!ED36+'Income Statement'!ED37</f>
      </c>
      <c r="EE126" s="50">
        <f>+'Income Statement'!EE36+'Income Statement'!EE37</f>
      </c>
      <c r="EF126" s="50">
        <f>+'Income Statement'!EF36+'Income Statement'!EF37</f>
      </c>
      <c r="EG126" s="50">
        <f>+'Income Statement'!EG36+'Income Statement'!EG37</f>
      </c>
      <c r="EH126" s="298">
        <f>+'Income Statement'!EH36+'Income Statement'!EH37</f>
      </c>
      <c r="EI126" s="50">
        <f>+'Income Statement'!EI36+'Income Statement'!EI37</f>
      </c>
      <c r="EJ126" s="50">
        <f>+'Income Statement'!EJ36+'Income Statement'!EJ37</f>
      </c>
      <c r="EK126" s="50">
        <f>+'Income Statement'!EK36+'Income Statement'!EK37</f>
      </c>
      <c r="EL126" s="50">
        <f>+'Income Statement'!EL36+'Income Statement'!EL37</f>
      </c>
      <c r="EM126" s="298">
        <f>+'Income Statement'!EM36+'Income Statement'!EM37</f>
      </c>
      <c r="EN126" s="50">
        <f>+'Income Statement'!EN36+'Income Statement'!EN37</f>
      </c>
      <c r="EO126" s="50">
        <f>+'Income Statement'!EO36+'Income Statement'!EO37</f>
      </c>
      <c r="EP126" s="50">
        <f>+'Income Statement'!EP36+'Income Statement'!EP37</f>
      </c>
      <c r="EQ126" s="50">
        <f>+'Income Statement'!EQ36+'Income Statement'!EQ37</f>
      </c>
      <c r="ER126" s="298">
        <f>+'Income Statement'!ER36+'Income Statement'!ER37</f>
      </c>
      <c r="ES126" s="50">
        <f>+'Income Statement'!ES36+'Income Statement'!ES37</f>
      </c>
      <c r="ET126" s="50">
        <f>+'Income Statement'!ET36+'Income Statement'!ET37</f>
      </c>
      <c r="EU126" s="50">
        <f>+'Income Statement'!EU36+'Income Statement'!EU37</f>
      </c>
      <c r="EV126" s="50">
        <f>+'Income Statement'!EV36+'Income Statement'!EV37</f>
      </c>
      <c r="EW126" s="1734">
        <f>+'Income Statement'!EW36+'Income Statement'!EW37</f>
      </c>
      <c r="EX126" s="1735">
        <f>+'Income Statement'!EX36+'Income Statement'!EX37</f>
      </c>
      <c r="EY126" s="1735">
        <f>+'Income Statement'!EY36+'Income Statement'!EY37</f>
      </c>
      <c r="EZ126" s="1735">
        <f>+'Income Statement'!EZ36+'Income Statement'!EZ37</f>
      </c>
      <c r="FA126" s="1735">
        <f>+'Income Statement'!FA36+'Income Statement'!FA37</f>
      </c>
      <c r="FB126" s="1734">
        <f>+'Income Statement'!FB36+'Income Statement'!FB37</f>
      </c>
      <c r="FC126" s="1735">
        <f>+'Income Statement'!FC36+'Income Statement'!FC37</f>
      </c>
      <c r="FD126" s="1735">
        <f>+'Income Statement'!FD36+'Income Statement'!FD37</f>
      </c>
      <c r="FE126" s="1735">
        <f>+'Income Statement'!FE36+'Income Statement'!FE37</f>
      </c>
      <c r="FF126" s="1735">
        <f>+'Income Statement'!FF36+'Income Statement'!FF37</f>
      </c>
      <c r="FG126" s="1734">
        <f>+'Income Statement'!FG36+'Income Statement'!FG37</f>
      </c>
      <c r="FH126" s="1735">
        <f>+'Income Statement'!FH36+'Income Statement'!FH37</f>
      </c>
      <c r="FI126" s="1735">
        <f>+'Income Statement'!FI36+'Income Statement'!FI37</f>
      </c>
      <c r="FJ126" s="1735">
        <f>+'Income Statement'!FJ36+'Income Statement'!FJ37</f>
      </c>
      <c r="FK126" s="1735">
        <f>+'Income Statement'!FK36+'Income Statement'!FK37</f>
      </c>
      <c r="FL126" s="1734">
        <f>+'Income Statement'!FL36+'Income Statement'!FL37</f>
      </c>
      <c r="FM126" s="1718">
        <f>+'Income Statement'!FM36+'Income Statement'!FM37</f>
      </c>
      <c r="FN126" s="1718">
        <f>+'Income Statement'!FN36+'Income Statement'!FN37</f>
      </c>
      <c r="FO126" s="2864">
        <f>+'Income Statement'!FO36+'Income Statement'!FO37</f>
      </c>
      <c r="FP126" s="1735">
        <f>+'Income Statement'!FP36+'Income Statement'!FP37</f>
      </c>
      <c r="FQ126" s="1735">
        <f>+'Income Statement'!FQ36+'Income Statement'!FQ37</f>
      </c>
      <c r="FR126" s="1735">
        <f>+'Income Statement'!FR36+'Income Statement'!FR37</f>
      </c>
      <c r="FS126" s="1734">
        <f>+'Income Statement'!FS36+'Income Statement'!FS37</f>
      </c>
      <c r="FT126" s="1718">
        <f>+'Income Statement'!FT36+'Income Statement'!FT37</f>
      </c>
      <c r="FU126" s="1845">
        <f>+'Income Statement'!FU36+'Income Statement'!FU37</f>
      </c>
      <c r="FV126" s="1718">
        <f>+'Income Statement'!FV36+'Income Statement'!FV37</f>
      </c>
      <c r="FW126" s="1718">
        <f>+'Income Statement'!FW36+'Income Statement'!FW37</f>
      </c>
      <c r="FX126" s="1734">
        <f>+'Income Statement'!FX36+'Income Statement'!FX37</f>
      </c>
      <c r="FY126" s="1718">
        <f>+'Income Statement'!FY36+'Income Statement'!FY37</f>
      </c>
      <c r="FZ126" s="1718">
        <f>+'Income Statement'!FZ36+'Income Statement'!FZ37</f>
      </c>
      <c r="GA126" s="1718">
        <f>+'Income Statement'!GA36+'Income Statement'!GA37</f>
      </c>
      <c r="GB126" s="1718">
        <f>+'Income Statement'!GB36+'Income Statement'!GB37</f>
      </c>
      <c r="GC126" s="1734">
        <f>+'Income Statement'!GC36+'Income Statement'!GC37</f>
      </c>
      <c r="GD126" s="1718">
        <f>+'Income Statement'!GD36+'Income Statement'!GD37</f>
      </c>
      <c r="GE126" s="1718">
        <f>+'Income Statement'!GE36+'Income Statement'!GE37</f>
      </c>
      <c r="GF126" s="1718">
        <f>+'Income Statement'!GF36+'Income Statement'!GF37</f>
      </c>
      <c r="GG126" s="1718">
        <v>670</v>
      </c>
      <c r="GH126" s="1734">
        <f>+'Income Statement'!GH36+'Income Statement'!GH37</f>
      </c>
      <c r="GI126" s="1734">
        <f ca="1">+'Income Statement'!GI36+'Income Statement'!GI37</f>
      </c>
      <c r="GJ126" s="1734">
        <f ca="1">+'Income Statement'!GJ36+'Income Statement'!GJ37</f>
      </c>
      <c r="GK126" s="1734">
        <f ca="1">+'Income Statement'!GK36+'Income Statement'!GK37</f>
      </c>
      <c r="GL126" s="1734">
        <f ca="1">+'Income Statement'!GL36+'Income Statement'!GL37</f>
      </c>
      <c r="GM126" s="1734">
        <f ca="1">+'Income Statement'!GM36+'Income Statement'!GM37</f>
      </c>
    </row>
    <row r="127" spans="1:195" outlineLevel="1">
      <c r="B127" s="199" t="s">
        <v>397</v>
      </c>
      <c r="BA127" s="304"/>
      <c r="BF127" s="304"/>
      <c r="BK127" s="304"/>
      <c r="BP127" s="304"/>
      <c r="BU127" s="304"/>
      <c r="BZ127" s="304"/>
      <c r="CE127" s="304">
        <f t="shared" ref="CE127:DJ127" si="308">+-CE126+CE125</f>
      </c>
      <c r="CF127" s="59">
        <f t="shared" si="308"/>
      </c>
      <c r="CG127" s="59">
        <f t="shared" si="308"/>
      </c>
      <c r="CH127" s="59">
        <f t="shared" si="308"/>
      </c>
      <c r="CI127" s="59">
        <f t="shared" si="308"/>
      </c>
      <c r="CJ127" s="304">
        <f t="shared" si="308"/>
      </c>
      <c r="CK127" s="59">
        <f t="shared" si="308"/>
      </c>
      <c r="CL127" s="59">
        <f t="shared" si="308"/>
      </c>
      <c r="CM127" s="59">
        <f t="shared" si="308"/>
      </c>
      <c r="CN127" s="59">
        <f t="shared" si="308"/>
      </c>
      <c r="CO127" s="304">
        <f t="shared" si="308"/>
      </c>
      <c r="CP127" s="59">
        <f t="shared" si="308"/>
      </c>
      <c r="CQ127" s="59">
        <f t="shared" si="308"/>
      </c>
      <c r="CR127" s="59">
        <f t="shared" si="308"/>
      </c>
      <c r="CS127" s="59">
        <f t="shared" si="308"/>
      </c>
      <c r="CT127" s="304">
        <f t="shared" si="308"/>
      </c>
      <c r="CU127" s="59">
        <f t="shared" si="308"/>
      </c>
      <c r="CV127" s="59">
        <f t="shared" si="308"/>
      </c>
      <c r="CW127" s="59">
        <f t="shared" si="308"/>
      </c>
      <c r="CX127" s="59">
        <f t="shared" si="308"/>
      </c>
      <c r="CY127" s="304">
        <f t="shared" si="308"/>
      </c>
      <c r="CZ127" s="59">
        <f t="shared" si="308"/>
      </c>
      <c r="DA127" s="59">
        <f t="shared" si="308"/>
      </c>
      <c r="DB127" s="59">
        <f t="shared" si="308"/>
      </c>
      <c r="DC127" s="59">
        <f t="shared" si="308"/>
      </c>
      <c r="DD127" s="304">
        <f t="shared" si="308"/>
      </c>
      <c r="DE127" s="59">
        <f t="shared" si="308"/>
      </c>
      <c r="DF127" s="59">
        <f t="shared" si="308"/>
      </c>
      <c r="DG127" s="59">
        <f t="shared" si="308"/>
      </c>
      <c r="DH127" s="59">
        <f t="shared" si="308"/>
      </c>
      <c r="DI127" s="304">
        <f t="shared" si="308"/>
      </c>
      <c r="DJ127" s="59">
        <f t="shared" si="308"/>
      </c>
      <c r="DK127" s="59">
        <f t="shared" ref="DK127:EP127" si="309">+-DK126+DK125</f>
      </c>
      <c r="DL127" s="59">
        <f t="shared" si="309"/>
      </c>
      <c r="DM127" s="59">
        <f t="shared" si="309"/>
      </c>
      <c r="DN127" s="304">
        <f t="shared" si="309"/>
      </c>
      <c r="DO127" s="59">
        <f t="shared" si="309"/>
      </c>
      <c r="DP127" s="59">
        <f t="shared" si="309"/>
      </c>
      <c r="DQ127" s="59">
        <f t="shared" si="309"/>
      </c>
      <c r="DR127" s="59">
        <f t="shared" si="309"/>
      </c>
      <c r="DS127" s="304">
        <f t="shared" si="309"/>
      </c>
      <c r="DT127" s="59">
        <f t="shared" si="309"/>
      </c>
      <c r="DU127" s="59">
        <f t="shared" si="309"/>
      </c>
      <c r="DV127" s="59">
        <f t="shared" si="309"/>
      </c>
      <c r="DW127" s="59">
        <f t="shared" si="309"/>
      </c>
      <c r="DX127" s="304">
        <f t="shared" si="309"/>
      </c>
      <c r="DY127" s="59">
        <f t="shared" si="309"/>
      </c>
      <c r="DZ127" s="59">
        <f t="shared" si="309"/>
      </c>
      <c r="EA127" s="59">
        <f t="shared" si="309"/>
      </c>
      <c r="EB127" s="59">
        <f t="shared" si="309"/>
      </c>
      <c r="EC127" s="304">
        <f t="shared" si="309"/>
      </c>
      <c r="ED127" s="59">
        <f t="shared" si="309"/>
      </c>
      <c r="EE127" s="59">
        <f t="shared" si="309"/>
      </c>
      <c r="EF127" s="59">
        <f t="shared" si="309"/>
      </c>
      <c r="EG127" s="59">
        <f t="shared" si="309"/>
      </c>
      <c r="EH127" s="304">
        <f t="shared" si="309"/>
      </c>
      <c r="EI127" s="59">
        <f t="shared" si="309"/>
      </c>
      <c r="EJ127" s="59">
        <f t="shared" si="309"/>
      </c>
      <c r="EK127" s="59">
        <f t="shared" si="309"/>
      </c>
      <c r="EL127" s="59">
        <f t="shared" si="309"/>
      </c>
      <c r="EM127" s="304">
        <f t="shared" si="309"/>
      </c>
      <c r="EN127" s="59">
        <f t="shared" si="309"/>
      </c>
      <c r="EO127" s="59">
        <f t="shared" si="309"/>
      </c>
      <c r="EP127" s="59">
        <f t="shared" si="309"/>
      </c>
      <c r="EQ127" s="59">
        <f t="shared" ref="EQ127:GH127" si="310">+-EQ126+EQ125</f>
      </c>
      <c r="ER127" s="304">
        <f t="shared" si="310"/>
      </c>
      <c r="ES127" s="59">
        <f t="shared" si="310"/>
      </c>
      <c r="ET127" s="59">
        <f t="shared" si="310"/>
      </c>
      <c r="EU127" s="59">
        <f t="shared" si="310"/>
      </c>
      <c r="EV127" s="59">
        <f t="shared" si="310"/>
      </c>
      <c r="EW127" s="1732">
        <f t="shared" si="310"/>
      </c>
      <c r="EX127" s="1733">
        <f t="shared" si="310"/>
      </c>
      <c r="EY127" s="1733">
        <f t="shared" si="310"/>
      </c>
      <c r="EZ127" s="1733">
        <f t="shared" si="310"/>
      </c>
      <c r="FA127" s="1733">
        <f t="shared" si="310"/>
      </c>
      <c r="FB127" s="1732">
        <f t="shared" si="310"/>
      </c>
      <c r="FC127" s="1733">
        <f t="shared" si="310"/>
      </c>
      <c r="FD127" s="1733">
        <f t="shared" si="310"/>
      </c>
      <c r="FE127" s="1733">
        <f t="shared" si="310"/>
      </c>
      <c r="FF127" s="1733">
        <f t="shared" si="310"/>
      </c>
      <c r="FG127" s="1732">
        <f t="shared" si="310"/>
      </c>
      <c r="FH127" s="1733">
        <f t="shared" si="310"/>
      </c>
      <c r="FI127" s="1733">
        <f t="shared" si="310"/>
      </c>
      <c r="FJ127" s="1733">
        <f t="shared" si="310"/>
      </c>
      <c r="FK127" s="1733">
        <f t="shared" si="310"/>
      </c>
      <c r="FL127" s="1732">
        <f t="shared" si="310"/>
      </c>
      <c r="FM127" s="1733">
        <f t="shared" si="310"/>
      </c>
      <c r="FN127" s="1733">
        <f t="shared" ref="FN127:FT127" si="311">+-FN126+FN125</f>
      </c>
      <c r="FO127" s="2862">
        <f t="shared" si="311"/>
      </c>
      <c r="FP127" s="1733">
        <f t="shared" si="311"/>
      </c>
      <c r="FQ127" s="1733">
        <f t="shared" si="311"/>
      </c>
      <c r="FR127" s="1733">
        <f t="shared" si="311"/>
      </c>
      <c r="FS127" s="1732">
        <f t="shared" si="311"/>
      </c>
      <c r="FT127" s="1733">
        <f t="shared" si="311"/>
      </c>
      <c r="FU127" s="2863">
        <f>+-FU126+FU125</f>
      </c>
      <c r="FV127" s="1733">
        <f t="shared" si="310"/>
      </c>
      <c r="FW127" s="1733">
        <f t="shared" si="310"/>
      </c>
      <c r="FX127" s="1732">
        <f t="shared" si="310"/>
      </c>
      <c r="FY127" s="1733">
        <f t="shared" ref="FY127:FZ127" si="312">+-FY126+FY125</f>
      </c>
      <c r="FZ127" s="1733">
        <f t="shared" si="312"/>
      </c>
      <c r="GA127" s="1733">
        <f t="shared" ref="GA127" si="313">+-GA126+GA125</f>
      </c>
      <c r="GB127" s="1733">
        <f>+-GB126+GB125</f>
      </c>
      <c r="GC127" s="1732">
        <f t="shared" si="310"/>
      </c>
      <c r="GD127" s="1733">
        <f t="shared" si="310"/>
      </c>
      <c r="GE127" s="1733">
        <f t="shared" si="310"/>
      </c>
      <c r="GF127" s="1733">
        <f t="shared" si="310"/>
      </c>
      <c r="GG127" s="1733">
        <f>+-GG126+GG125</f>
      </c>
      <c r="GH127" s="1732">
        <f t="shared" si="310"/>
      </c>
      <c r="GI127" s="1732">
        <f ca="1">+-GI126+GI125</f>
      </c>
      <c r="GJ127" s="1732">
        <f ca="1">+-GJ126+GJ125</f>
      </c>
      <c r="GK127" s="1732">
        <f ca="1">+-GK126+GK125</f>
      </c>
      <c r="GL127" s="1732">
        <f ca="1">+-GL126+GL125</f>
      </c>
      <c r="GM127" s="1732">
        <f ca="1">+-GM126+GM125</f>
      </c>
    </row>
    <row r="128" spans="1:195" outlineLevel="1">
      <c r="B128" s="200"/>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305"/>
      <c r="BB128" s="2"/>
      <c r="BC128" s="2"/>
      <c r="BD128" s="2"/>
      <c r="BE128" s="2"/>
      <c r="BF128" s="305"/>
      <c r="BG128" s="2"/>
      <c r="BH128" s="2"/>
      <c r="BI128" s="2"/>
      <c r="BJ128" s="2"/>
      <c r="BK128" s="305"/>
      <c r="BL128" s="2"/>
      <c r="BM128" s="2"/>
      <c r="BN128" s="2"/>
      <c r="BO128" s="2"/>
      <c r="BP128" s="305"/>
      <c r="BQ128" s="2"/>
      <c r="BR128" s="2"/>
      <c r="BS128" s="2"/>
      <c r="BT128" s="2"/>
      <c r="BU128" s="305"/>
      <c r="BV128" s="2"/>
      <c r="BW128" s="2"/>
      <c r="BX128" s="2"/>
      <c r="BY128" s="2"/>
      <c r="BZ128" s="305"/>
      <c r="CA128" s="2"/>
      <c r="CB128" s="2"/>
      <c r="CC128" s="2"/>
      <c r="CD128" s="2"/>
      <c r="CE128" s="305"/>
      <c r="CF128" s="201"/>
      <c r="CG128" s="201"/>
      <c r="CH128" s="201"/>
      <c r="CI128" s="201"/>
      <c r="CJ128" s="305"/>
      <c r="CK128" s="201"/>
      <c r="CL128" s="201"/>
      <c r="CM128" s="201"/>
      <c r="CN128" s="201"/>
      <c r="CO128" s="305"/>
      <c r="CP128" s="201"/>
      <c r="CQ128" s="201"/>
      <c r="CR128" s="201"/>
      <c r="CS128" s="201"/>
      <c r="CT128" s="305"/>
      <c r="CU128" s="201"/>
      <c r="CV128" s="201"/>
      <c r="CW128" s="201"/>
      <c r="CX128" s="201"/>
      <c r="CY128" s="305"/>
      <c r="CZ128" s="201"/>
      <c r="DA128" s="201"/>
      <c r="DB128" s="201"/>
      <c r="DC128" s="201"/>
      <c r="DD128" s="305"/>
      <c r="DE128" s="201"/>
      <c r="DF128" s="201"/>
      <c r="DG128" s="201"/>
      <c r="DH128" s="201"/>
      <c r="DI128" s="305"/>
      <c r="DJ128" s="201"/>
      <c r="DK128" s="201"/>
      <c r="DL128" s="201"/>
      <c r="DM128" s="201"/>
      <c r="DN128" s="305"/>
      <c r="DO128" s="201"/>
      <c r="DP128" s="201"/>
      <c r="DQ128" s="201"/>
      <c r="DR128" s="201"/>
      <c r="DS128" s="305"/>
      <c r="DT128" s="201"/>
      <c r="DU128" s="201"/>
      <c r="DV128" s="201"/>
      <c r="DW128" s="201"/>
      <c r="DX128" s="305"/>
      <c r="DY128" s="201"/>
      <c r="DZ128" s="201"/>
      <c r="EA128" s="201"/>
      <c r="EB128" s="201"/>
      <c r="EC128" s="305"/>
      <c r="ED128" s="201"/>
      <c r="EE128" s="201"/>
      <c r="EF128" s="201"/>
      <c r="EG128" s="201"/>
      <c r="EH128" s="305"/>
      <c r="EI128" s="201"/>
      <c r="EJ128" s="201"/>
      <c r="EK128" s="201"/>
      <c r="EL128" s="201"/>
      <c r="EM128" s="305"/>
      <c r="EN128" s="201"/>
      <c r="EO128" s="201"/>
      <c r="EP128" s="201"/>
      <c r="EQ128" s="201"/>
      <c r="ER128" s="305"/>
      <c r="ES128" s="201"/>
      <c r="ET128" s="201"/>
      <c r="EU128" s="201"/>
      <c r="EV128" s="201"/>
      <c r="EW128" s="1736"/>
      <c r="EX128" s="1737"/>
      <c r="EY128" s="1737"/>
      <c r="EZ128" s="1737"/>
      <c r="FA128" s="1737"/>
      <c r="FB128" s="1736"/>
      <c r="FC128" s="1737"/>
      <c r="FD128" s="1737"/>
      <c r="FE128" s="1737"/>
      <c r="FF128" s="1737"/>
      <c r="FG128" s="1736"/>
      <c r="FH128" s="1737"/>
      <c r="FI128" s="1737"/>
      <c r="FJ128" s="1737"/>
      <c r="FK128" s="1737"/>
      <c r="FL128" s="1736"/>
      <c r="FM128" s="2639"/>
      <c r="FN128" s="2639"/>
      <c r="FO128" s="2865"/>
      <c r="FP128" s="2794"/>
      <c r="FQ128" s="2794"/>
      <c r="FR128" s="2794"/>
      <c r="FS128" s="2866"/>
      <c r="FT128" s="2639"/>
      <c r="FU128" s="2867"/>
      <c r="FV128" s="2639"/>
      <c r="FW128" s="2639"/>
      <c r="FX128" s="1736"/>
      <c r="FY128" s="2639"/>
      <c r="FZ128" s="2639"/>
      <c r="GA128" s="2639"/>
      <c r="GB128" s="2639"/>
      <c r="GC128" s="1736"/>
      <c r="GD128" s="2639"/>
      <c r="GE128" s="2639"/>
      <c r="GF128" s="2639"/>
      <c r="GG128" s="2639"/>
      <c r="GH128" s="1736"/>
      <c r="GI128" s="1736"/>
      <c r="GJ128" s="1736"/>
      <c r="GK128" s="1736"/>
      <c r="GL128" s="1736"/>
      <c r="GM128" s="1736"/>
    </row>
    <row r="129" spans="2:195" ht="15" customHeight="1" outlineLevel="1">
      <c r="ED129" s="946"/>
      <c r="EI129" s="946"/>
      <c r="EJ129" s="946"/>
      <c r="EK129" s="946"/>
      <c r="EL129" s="946"/>
      <c r="EN129" s="946"/>
      <c r="EO129" s="946"/>
      <c r="EP129" s="946"/>
      <c r="EQ129" s="946"/>
      <c r="FH129" s="73"/>
      <c r="FI129" s="73"/>
      <c r="FJ129" s="73"/>
      <c r="FK129" s="2889"/>
      <c r="FL129" s="2889"/>
      <c r="FM129" s="2890"/>
      <c r="FN129" s="2890"/>
      <c r="FO129" s="2889"/>
      <c r="FP129" s="2889"/>
      <c r="FQ129" s="2889"/>
      <c r="FR129" s="2889"/>
      <c r="FS129" s="2889"/>
      <c r="FT129" s="2890"/>
      <c r="FU129" s="2890"/>
      <c r="FV129" s="2890"/>
      <c r="FW129" s="2890"/>
      <c r="FX129" s="2889"/>
      <c r="FY129" s="2890"/>
      <c r="FZ129" s="2890"/>
      <c r="GA129" s="2890"/>
      <c r="GB129" s="1045"/>
      <c r="GC129" s="73"/>
      <c r="GD129" s="3579"/>
      <c r="GE129" s="2890"/>
      <c r="GF129" s="2890"/>
      <c r="GG129" s="1045"/>
      <c r="GH129" s="73"/>
      <c r="GI129" s="73"/>
      <c r="GJ129" s="73"/>
      <c r="GK129" s="73"/>
      <c r="GL129" s="73"/>
      <c r="GM129" s="73"/>
    </row>
    <row r="130" spans="2:195" ht="12.75" customHeight="1" outlineLevel="1">
      <c r="B130" s="750" t="s">
        <v>199</v>
      </c>
      <c r="C130" s="593"/>
      <c r="D130" s="755"/>
      <c r="E130" s="593"/>
      <c r="F130" s="593"/>
      <c r="G130" s="593"/>
      <c r="H130" s="756"/>
      <c r="I130" s="593"/>
      <c r="J130" s="593"/>
      <c r="K130" s="593"/>
      <c r="L130" s="593"/>
      <c r="M130" s="756"/>
      <c r="N130" s="756"/>
      <c r="O130" s="756"/>
      <c r="P130" s="756"/>
      <c r="Q130" s="756"/>
      <c r="R130" s="756"/>
      <c r="S130" s="756"/>
      <c r="T130" s="756"/>
      <c r="U130" s="756"/>
      <c r="V130" s="756"/>
      <c r="W130" s="593"/>
      <c r="X130" s="593"/>
      <c r="Y130" s="593"/>
      <c r="Z130" s="593"/>
      <c r="AA130" s="593"/>
      <c r="AB130" s="593"/>
      <c r="AC130" s="593"/>
      <c r="AD130" s="593"/>
      <c r="AE130" s="593"/>
      <c r="AF130" s="593"/>
      <c r="AG130" s="593"/>
      <c r="AH130" s="593"/>
      <c r="AI130" s="593"/>
      <c r="AJ130" s="593"/>
      <c r="AK130" s="593"/>
      <c r="AL130" s="593"/>
      <c r="AM130" s="593"/>
      <c r="AN130" s="593"/>
      <c r="AO130" s="593"/>
      <c r="AP130" s="593"/>
      <c r="AQ130" s="593"/>
      <c r="AR130" s="593"/>
      <c r="AS130" s="593"/>
      <c r="AT130" s="593"/>
      <c r="AU130" s="593"/>
      <c r="AV130" s="593"/>
      <c r="AW130" s="593"/>
      <c r="AX130" s="593"/>
      <c r="AY130" s="593"/>
      <c r="AZ130" s="593"/>
      <c r="BA130" s="753"/>
      <c r="BB130" s="593"/>
      <c r="BC130" s="593"/>
      <c r="BD130" s="593"/>
      <c r="BE130" s="593"/>
      <c r="BF130" s="753"/>
      <c r="BG130" s="751"/>
      <c r="BH130" s="751"/>
      <c r="BI130" s="751"/>
      <c r="BJ130" s="752"/>
      <c r="BK130" s="753"/>
      <c r="BL130" s="751"/>
      <c r="BM130" s="751"/>
      <c r="BN130" s="751"/>
      <c r="BO130" s="752"/>
      <c r="BP130" s="753"/>
      <c r="BQ130" s="751"/>
      <c r="BR130" s="751"/>
      <c r="BS130" s="751"/>
      <c r="BT130" s="752"/>
      <c r="BU130" s="753"/>
      <c r="BV130" s="754"/>
      <c r="BW130" s="751"/>
      <c r="BX130" s="751"/>
      <c r="BY130" s="752"/>
      <c r="BZ130" s="753"/>
      <c r="CA130" s="754"/>
      <c r="CB130" s="751"/>
      <c r="CC130" s="751"/>
      <c r="CD130" s="752"/>
      <c r="CE130" s="753"/>
      <c r="CF130" s="754"/>
      <c r="CG130" s="751"/>
      <c r="CH130" s="751"/>
      <c r="CI130" s="752"/>
      <c r="CJ130" s="753"/>
      <c r="CK130" s="754"/>
      <c r="CL130" s="751"/>
      <c r="CM130" s="751"/>
      <c r="CN130" s="752"/>
      <c r="CO130" s="753"/>
      <c r="CP130" s="754"/>
      <c r="CQ130" s="751"/>
      <c r="CR130" s="751"/>
      <c r="CS130" s="752"/>
      <c r="CT130" s="753"/>
      <c r="CU130" s="754"/>
      <c r="CV130" s="751"/>
      <c r="CW130" s="751"/>
      <c r="CX130" s="752"/>
      <c r="CY130" s="753"/>
      <c r="CZ130" s="754"/>
      <c r="DA130" s="751"/>
      <c r="DB130" s="751"/>
      <c r="DC130" s="752"/>
      <c r="DD130" s="753"/>
      <c r="DE130" s="751"/>
      <c r="DF130" s="751"/>
      <c r="DG130" s="751"/>
      <c r="DH130" s="752"/>
      <c r="DI130" s="753"/>
      <c r="DJ130" s="751"/>
      <c r="DK130" s="751"/>
      <c r="DL130" s="751"/>
      <c r="DM130" s="752"/>
      <c r="DN130" s="753"/>
      <c r="DO130" s="751"/>
      <c r="DP130" s="751"/>
      <c r="DQ130" s="751"/>
      <c r="DR130" s="752"/>
      <c r="DS130" s="753"/>
      <c r="DT130" s="751"/>
      <c r="DU130" s="752"/>
      <c r="DV130" s="751"/>
      <c r="DW130" s="752"/>
      <c r="DX130" s="753"/>
      <c r="DY130" s="752"/>
      <c r="DZ130" s="752"/>
      <c r="EA130" s="751"/>
      <c r="EB130" s="752"/>
      <c r="EC130" s="753"/>
      <c r="ED130" s="752"/>
      <c r="EE130" s="752"/>
      <c r="EF130" s="751"/>
      <c r="EG130" s="752"/>
      <c r="EH130" s="753"/>
      <c r="EI130" s="751"/>
      <c r="EJ130" s="751"/>
      <c r="EK130" s="751"/>
      <c r="EL130" s="751"/>
      <c r="EM130" s="753"/>
      <c r="EN130" s="751"/>
      <c r="EO130" s="751"/>
      <c r="EP130" s="751"/>
      <c r="EQ130" s="751"/>
      <c r="ER130" s="753"/>
      <c r="ES130" s="1387"/>
      <c r="ET130" s="1388"/>
      <c r="EU130" s="1388"/>
      <c r="EV130" s="1386"/>
      <c r="EW130" s="753"/>
      <c r="EX130" s="1388"/>
      <c r="EY130" s="1388"/>
      <c r="EZ130" s="1388"/>
      <c r="FA130" s="1386"/>
      <c r="FB130" s="753"/>
      <c r="FC130" s="1388"/>
      <c r="FD130" s="1388"/>
      <c r="FE130" s="1388"/>
      <c r="FF130" s="1386"/>
      <c r="FG130" s="753"/>
      <c r="FH130" s="1388"/>
      <c r="FI130" s="1388"/>
      <c r="FJ130" s="1388"/>
      <c r="FK130" s="1386"/>
      <c r="FL130" s="753"/>
      <c r="FM130" s="2640"/>
      <c r="FN130" s="2795"/>
      <c r="FO130" s="1387"/>
      <c r="FP130" s="2795"/>
      <c r="FQ130" s="2795"/>
      <c r="FR130" s="1386"/>
      <c r="FS130" s="753"/>
      <c r="FT130" s="2795"/>
      <c r="FU130" s="1386"/>
      <c r="FV130" s="2795"/>
      <c r="FW130" s="2641"/>
      <c r="FX130" s="753"/>
      <c r="FY130" s="3440"/>
      <c r="FZ130" s="3440"/>
      <c r="GA130" s="3440"/>
      <c r="GB130" s="2641"/>
      <c r="GC130" s="753"/>
      <c r="GD130" s="3440"/>
      <c r="GE130" s="3440"/>
      <c r="GF130" s="3440"/>
      <c r="GG130" s="2641"/>
      <c r="GH130" s="753"/>
      <c r="GI130" s="753"/>
      <c r="GJ130" s="753"/>
      <c r="GK130" s="753"/>
      <c r="GL130" s="753"/>
      <c r="GM130" s="753"/>
    </row>
    <row r="131" spans="2:195" ht="12.75" customHeight="1" outlineLevel="1">
      <c r="B131" s="717" t="s">
        <v>149</v>
      </c>
      <c r="H131" s="86"/>
      <c r="M131" s="86"/>
      <c r="N131" s="86"/>
      <c r="O131" s="86"/>
      <c r="P131" s="86"/>
      <c r="Q131" s="86"/>
      <c r="R131" s="86"/>
      <c r="S131" s="86"/>
      <c r="T131" s="86"/>
      <c r="U131" s="86"/>
      <c r="V131" s="86"/>
      <c r="BA131" s="203"/>
      <c r="BF131" s="203"/>
      <c r="BG131" s="204"/>
      <c r="BH131" s="204"/>
      <c r="BI131" s="204"/>
      <c r="BJ131" s="204"/>
      <c r="BK131" s="203"/>
      <c r="BL131" s="204"/>
      <c r="BM131" s="204"/>
      <c r="BN131" s="204"/>
      <c r="BO131" s="204"/>
      <c r="BP131" s="203"/>
      <c r="BQ131" s="124">
        <f>+'Balance Sheet'!AR14</f>
      </c>
      <c r="BR131" s="124">
        <f>+'Balance Sheet'!AS14</f>
      </c>
      <c r="BS131" s="124">
        <f>+'Balance Sheet'!AT14</f>
      </c>
      <c r="BT131" s="124">
        <f>+'Balance Sheet'!AU14</f>
      </c>
      <c r="BU131" s="203">
        <f>+'Balance Sheet'!AV14</f>
      </c>
      <c r="BV131" s="202">
        <f>+'Balance Sheet'!AW14</f>
      </c>
      <c r="BW131" s="124">
        <f>+'Balance Sheet'!AX14</f>
      </c>
      <c r="BX131" s="124">
        <f>+'Balance Sheet'!AY14</f>
      </c>
      <c r="BY131" s="124">
        <f>+'Balance Sheet'!AZ14</f>
      </c>
      <c r="BZ131" s="203">
        <f>+'Balance Sheet'!BA14</f>
      </c>
      <c r="CA131" s="202">
        <f>+'Balance Sheet'!BB14</f>
      </c>
      <c r="CB131" s="124">
        <f>+'Balance Sheet'!BC14</f>
      </c>
      <c r="CC131" s="124">
        <f>+'Balance Sheet'!BD14</f>
      </c>
      <c r="CD131" s="124">
        <f>+'Balance Sheet'!BE14</f>
      </c>
      <c r="CE131" s="203">
        <f>+'Balance Sheet'!BF14</f>
      </c>
      <c r="CF131" s="202">
        <f>+'Balance Sheet'!BG14</f>
      </c>
      <c r="CG131" s="124">
        <f>+'Balance Sheet'!BH14</f>
      </c>
      <c r="CH131" s="124">
        <f>+'Balance Sheet'!BI14</f>
      </c>
      <c r="CI131" s="124">
        <f>+'Balance Sheet'!BJ14</f>
      </c>
      <c r="CJ131" s="203">
        <f>+'Balance Sheet'!BK14</f>
      </c>
      <c r="CK131" s="202">
        <f>+'Balance Sheet'!BL14</f>
      </c>
      <c r="CL131" s="124">
        <f>+'Balance Sheet'!BM14</f>
      </c>
      <c r="CM131" s="124">
        <f>+'Balance Sheet'!BN14</f>
      </c>
      <c r="CN131" s="124">
        <f>+'Balance Sheet'!BO14</f>
      </c>
      <c r="CO131" s="203">
        <f>+'Balance Sheet'!BP14</f>
      </c>
      <c r="CP131" s="202">
        <f>+'Balance Sheet'!BQ14</f>
      </c>
      <c r="CQ131" s="124">
        <f>+'Balance Sheet'!BR14</f>
      </c>
      <c r="CR131" s="124">
        <f>+'Balance Sheet'!BS14</f>
      </c>
      <c r="CS131" s="124">
        <f>+'Balance Sheet'!BT14</f>
      </c>
      <c r="CT131" s="203">
        <f>+'Balance Sheet'!BU14</f>
      </c>
      <c r="CU131" s="246">
        <f>+'Balance Sheet'!BV14</f>
      </c>
      <c r="CV131" s="718">
        <f>+'Balance Sheet'!BW14</f>
      </c>
      <c r="CW131" s="718">
        <f>+'Balance Sheet'!BX14</f>
      </c>
      <c r="CX131" s="719">
        <f>+'Balance Sheet'!BY14</f>
      </c>
      <c r="CY131" s="203"/>
      <c r="CZ131" s="124">
        <f>+'Balance Sheet'!CA14</f>
      </c>
      <c r="DA131" s="124">
        <f>+'Balance Sheet'!CB14</f>
      </c>
      <c r="DB131" s="124">
        <f>+'Balance Sheet'!CC14</f>
      </c>
      <c r="DC131" s="124">
        <f>+'Balance Sheet'!CD14</f>
      </c>
      <c r="DD131" s="203">
        <f>+'Balance Sheet'!CE14</f>
      </c>
      <c r="DE131" s="124">
        <f>+'Balance Sheet'!CF14</f>
      </c>
      <c r="DF131" s="124">
        <f>+'Balance Sheet'!CG14</f>
      </c>
      <c r="DG131" s="124">
        <f>+'Balance Sheet'!CH14</f>
      </c>
      <c r="DH131" s="124">
        <f>+'Balance Sheet'!CI14</f>
      </c>
      <c r="DI131" s="203">
        <f>+'Balance Sheet'!CJ14</f>
      </c>
      <c r="DJ131" s="204">
        <f>+'Balance Sheet'!CK14</f>
      </c>
      <c r="DK131" s="204">
        <f>+'Balance Sheet'!CL14</f>
      </c>
      <c r="DL131" s="204">
        <f>+'Balance Sheet'!CM14</f>
      </c>
      <c r="DM131" s="204">
        <f>+'Balance Sheet'!CN14</f>
      </c>
      <c r="DN131" s="203">
        <f>+'Balance Sheet'!CO14</f>
      </c>
      <c r="DO131" s="204">
        <f>+'Balance Sheet'!CP14</f>
      </c>
      <c r="DP131" s="204">
        <f>+'Balance Sheet'!CQ14</f>
      </c>
      <c r="DQ131" s="204">
        <f>+'Balance Sheet'!CR14</f>
      </c>
      <c r="DR131" s="204">
        <f>+'Balance Sheet'!CS14</f>
      </c>
      <c r="DS131" s="203">
        <f>+'Balance Sheet'!CT14</f>
      </c>
      <c r="DT131" s="204">
        <f>+'Balance Sheet'!CU14</f>
      </c>
      <c r="DU131" s="204">
        <f>+'Balance Sheet'!CV14</f>
      </c>
      <c r="DV131" s="204">
        <f>+'Balance Sheet'!CW14</f>
      </c>
      <c r="DW131" s="204">
        <f>+'Balance Sheet'!CX14</f>
      </c>
      <c r="DX131" s="203">
        <f>+'Balance Sheet'!CY14</f>
      </c>
      <c r="DY131" s="204">
        <f>+'Balance Sheet'!CZ14</f>
      </c>
      <c r="DZ131" s="204">
        <f>+'Balance Sheet'!DA14</f>
      </c>
      <c r="EA131" s="204">
        <f>+'Balance Sheet'!DB14</f>
      </c>
      <c r="EB131" s="204">
        <f>+'Balance Sheet'!DC14</f>
      </c>
      <c r="EC131" s="203">
        <f>+'Balance Sheet'!DD14</f>
      </c>
      <c r="ED131" s="204">
        <f>+'Balance Sheet'!DE14</f>
      </c>
      <c r="EE131" s="204">
        <f>+'Balance Sheet'!DF14</f>
      </c>
      <c r="EF131" s="204">
        <f>+'Balance Sheet'!DG14</f>
      </c>
      <c r="EG131" s="204">
        <f>+'Balance Sheet'!DH14</f>
      </c>
      <c r="EH131" s="203">
        <f>+'Balance Sheet'!DI14</f>
      </c>
      <c r="EI131" s="1039">
        <f>+'Balance Sheet'!DJ14</f>
      </c>
      <c r="EJ131" s="1039">
        <f>+'Balance Sheet'!DK14</f>
      </c>
      <c r="EK131" s="1039">
        <f>+'Balance Sheet'!DL14</f>
      </c>
      <c r="EL131" s="1039">
        <f>+'Balance Sheet'!DM14</f>
      </c>
      <c r="EM131" s="203">
        <f>+'Balance Sheet'!DN14</f>
      </c>
      <c r="EN131" s="1039">
        <f>+'Balance Sheet'!DO14</f>
      </c>
      <c r="EO131" s="1039">
        <f>+'Balance Sheet'!DP14</f>
      </c>
      <c r="EP131" s="1039">
        <f>+'Balance Sheet'!DQ14</f>
      </c>
      <c r="EQ131" s="1039">
        <f>+'Balance Sheet'!DR14</f>
      </c>
      <c r="ER131" s="203">
        <f>+'Balance Sheet'!DS14</f>
      </c>
      <c r="ES131" s="1039">
        <f>+'Balance Sheet'!DT14</f>
      </c>
      <c r="ET131" s="1039">
        <f>+'Balance Sheet'!DU14</f>
      </c>
      <c r="EU131" s="1039">
        <f>+'Balance Sheet'!DV14</f>
      </c>
      <c r="EV131" s="1039">
        <f>+'Balance Sheet'!DW14</f>
      </c>
      <c r="EW131" s="2603">
        <f>+'Balance Sheet'!DX14</f>
      </c>
      <c r="EX131" s="2604">
        <f>+'Balance Sheet'!DY14</f>
      </c>
      <c r="EY131" s="2604">
        <f>+'Balance Sheet'!DZ14</f>
      </c>
      <c r="EZ131" s="2604">
        <f>+'Balance Sheet'!EA14</f>
      </c>
      <c r="FA131" s="2604">
        <f>+'Balance Sheet'!EB14</f>
      </c>
      <c r="FB131" s="2603">
        <f>+'Balance Sheet'!EC14</f>
      </c>
      <c r="FC131" s="2604">
        <f>+'Balance Sheet'!ED14</f>
      </c>
      <c r="FD131" s="2604">
        <f>+'Balance Sheet'!EE14</f>
      </c>
      <c r="FE131" s="2604">
        <f>+'Balance Sheet'!EF14</f>
      </c>
      <c r="FF131" s="2604">
        <f>+'Balance Sheet'!EG14</f>
      </c>
      <c r="FG131" s="2603">
        <f>+'Balance Sheet'!EH14</f>
      </c>
      <c r="FH131" s="1739">
        <f>+'Balance Sheet'!EI14</f>
      </c>
      <c r="FI131" s="1739">
        <f>+'Balance Sheet'!EJ14</f>
      </c>
      <c r="FJ131" s="1739">
        <f>+'Balance Sheet'!EK14</f>
      </c>
      <c r="FK131" s="1739">
        <f>+'Balance Sheet'!EL14</f>
      </c>
      <c r="FL131" s="1738">
        <f>+'Balance Sheet'!EM14</f>
      </c>
      <c r="FM131" s="2916">
        <f>+'Balance Sheet'!EN14</f>
      </c>
      <c r="FN131" s="2916">
        <f>+'Balance Sheet'!EO14</f>
      </c>
      <c r="FO131" s="2868"/>
      <c r="FP131" s="1739"/>
      <c r="FQ131" s="1739"/>
      <c r="FR131" s="1739"/>
      <c r="FS131" s="1738"/>
      <c r="FT131" s="1739"/>
      <c r="FU131" s="2869"/>
      <c r="FV131" s="2916">
        <f>+'Balance Sheet'!EP14</f>
      </c>
      <c r="FW131" s="2916">
        <f>+'Balance Sheet'!EQ14</f>
      </c>
      <c r="FX131" s="2917">
        <f>+'Balance Sheet'!ER14</f>
      </c>
      <c r="FY131" s="2916">
        <f>+'Balance Sheet'!ES14</f>
      </c>
      <c r="FZ131" s="2916">
        <f>+'Balance Sheet'!ET14</f>
      </c>
      <c r="GA131" s="2916">
        <f>+'Balance Sheet'!EU14</f>
      </c>
      <c r="GB131" s="2916">
        <f>+'Balance Sheet'!EV14</f>
      </c>
      <c r="GC131" s="2917">
        <f>+'Balance Sheet'!EW14</f>
      </c>
      <c r="GD131" s="2916">
        <f>+'Balance Sheet'!EX14</f>
      </c>
      <c r="GE131" s="2916">
        <f>+'Balance Sheet'!EY14</f>
      </c>
      <c r="GF131" s="2916">
        <f>+'Balance Sheet'!EZ14</f>
      </c>
      <c r="GG131" s="2916">
        <f>+'Balance Sheet'!FA14</f>
      </c>
      <c r="GH131" s="2917">
        <f>+'Balance Sheet'!FB14</f>
      </c>
      <c r="GI131" s="2917">
        <f ca="1">+'Balance Sheet'!FC14</f>
      </c>
      <c r="GJ131" s="2917">
        <f ca="1">+'Balance Sheet'!FD14</f>
      </c>
      <c r="GK131" s="2917">
        <f ca="1">+'Balance Sheet'!FE14</f>
      </c>
      <c r="GL131" s="2917">
        <f ca="1">+'Balance Sheet'!FF14</f>
      </c>
      <c r="GM131" s="2917">
        <f ca="1">+'Balance Sheet'!FG14</f>
      </c>
    </row>
    <row r="132" spans="2:195" ht="12.75" customHeight="1" outlineLevel="1">
      <c r="B132" s="108" t="s">
        <v>76</v>
      </c>
      <c r="H132" s="204"/>
      <c r="M132" s="204"/>
      <c r="N132" s="204"/>
      <c r="O132" s="204"/>
      <c r="P132" s="204"/>
      <c r="Q132" s="204"/>
      <c r="R132" s="204"/>
      <c r="S132" s="204"/>
      <c r="T132" s="204"/>
      <c r="U132" s="204"/>
      <c r="V132" s="204"/>
      <c r="BA132" s="203"/>
      <c r="BF132" s="203"/>
      <c r="BG132" s="204"/>
      <c r="BH132" s="204"/>
      <c r="BI132" s="204"/>
      <c r="BJ132" s="204"/>
      <c r="BK132" s="203"/>
      <c r="BL132" s="204"/>
      <c r="BM132" s="204"/>
      <c r="BN132" s="204"/>
      <c r="BO132" s="204"/>
      <c r="BP132" s="203"/>
      <c r="BQ132" s="124">
        <f>+'Balance Sheet'!AR15</f>
      </c>
      <c r="BR132" s="124">
        <f>+'Balance Sheet'!AS15</f>
      </c>
      <c r="BS132" s="124">
        <f>+'Balance Sheet'!AT15</f>
      </c>
      <c r="BT132" s="124">
        <f>+'Balance Sheet'!AU15</f>
      </c>
      <c r="BU132" s="203">
        <f>+'Balance Sheet'!AV15</f>
      </c>
      <c r="BV132" s="202">
        <f>+'Balance Sheet'!AW15</f>
      </c>
      <c r="BW132" s="124">
        <f>+'Balance Sheet'!AX15</f>
      </c>
      <c r="BX132" s="124">
        <f>+'Balance Sheet'!AY15</f>
      </c>
      <c r="BY132" s="124">
        <f>+'Balance Sheet'!AZ15</f>
      </c>
      <c r="BZ132" s="203">
        <f>+'Balance Sheet'!BA15</f>
      </c>
      <c r="CA132" s="202">
        <f>+'Balance Sheet'!BB15</f>
      </c>
      <c r="CB132" s="124">
        <f>+'Balance Sheet'!BC15</f>
      </c>
      <c r="CC132" s="124">
        <f>+'Balance Sheet'!BD15</f>
      </c>
      <c r="CD132" s="124">
        <f>+'Balance Sheet'!BE15</f>
      </c>
      <c r="CE132" s="203">
        <f>+'Balance Sheet'!BF15</f>
      </c>
      <c r="CF132" s="202">
        <f>+'Balance Sheet'!BG15</f>
      </c>
      <c r="CG132" s="124">
        <f>+'Balance Sheet'!BH15</f>
      </c>
      <c r="CH132" s="124">
        <f>+'Balance Sheet'!BI15</f>
      </c>
      <c r="CI132" s="124">
        <f>+'Balance Sheet'!BJ15</f>
      </c>
      <c r="CJ132" s="203">
        <f>+'Balance Sheet'!BK15</f>
      </c>
      <c r="CK132" s="202">
        <f>+'Balance Sheet'!BL15</f>
      </c>
      <c r="CL132" s="124">
        <f>+'Balance Sheet'!BM15</f>
      </c>
      <c r="CM132" s="124">
        <f>+'Balance Sheet'!BN15</f>
      </c>
      <c r="CN132" s="124">
        <f>+'Balance Sheet'!BO15</f>
      </c>
      <c r="CO132" s="203">
        <f>+'Balance Sheet'!BP15</f>
      </c>
      <c r="CP132" s="202">
        <f>+'Balance Sheet'!BQ15</f>
      </c>
      <c r="CQ132" s="124">
        <f>+'Balance Sheet'!BR15</f>
      </c>
      <c r="CR132" s="124">
        <f>+'Balance Sheet'!BS15</f>
      </c>
      <c r="CS132" s="124">
        <f>+'Balance Sheet'!BT15</f>
      </c>
      <c r="CT132" s="203">
        <f>+'Balance Sheet'!BU15</f>
      </c>
      <c r="CU132" s="202">
        <f>+'Balance Sheet'!BV15</f>
      </c>
      <c r="CV132" s="124">
        <f>+'Balance Sheet'!BW15</f>
      </c>
      <c r="CW132" s="124">
        <f>+'Balance Sheet'!BX15</f>
      </c>
      <c r="CX132" s="206">
        <f>+'Balance Sheet'!BY15</f>
      </c>
      <c r="CY132" s="203"/>
      <c r="CZ132" s="124">
        <f>+'Balance Sheet'!CA15</f>
      </c>
      <c r="DA132" s="124">
        <f>+'Balance Sheet'!CB15</f>
      </c>
      <c r="DB132" s="124">
        <f>+'Balance Sheet'!CC15</f>
      </c>
      <c r="DC132" s="124">
        <f>+'Balance Sheet'!CD15</f>
      </c>
      <c r="DD132" s="203">
        <f>+'Balance Sheet'!CE15</f>
      </c>
      <c r="DE132" s="124">
        <f>+'Balance Sheet'!CF15</f>
      </c>
      <c r="DF132" s="124">
        <f>+'Balance Sheet'!CG15</f>
      </c>
      <c r="DG132" s="124">
        <f>+'Balance Sheet'!CH15</f>
      </c>
      <c r="DH132" s="124">
        <f>+'Balance Sheet'!CI15</f>
      </c>
      <c r="DI132" s="203">
        <f>+'Balance Sheet'!CJ15</f>
      </c>
      <c r="DJ132" s="204">
        <f>+'Balance Sheet'!CK15</f>
      </c>
      <c r="DK132" s="204">
        <f>+'Balance Sheet'!CL15</f>
      </c>
      <c r="DL132" s="204">
        <f>+'Balance Sheet'!CM15</f>
      </c>
      <c r="DM132" s="204">
        <f>+'Balance Sheet'!CN15</f>
      </c>
      <c r="DN132" s="203">
        <f>+'Balance Sheet'!CO15</f>
      </c>
      <c r="DO132" s="204">
        <f>+'Balance Sheet'!CP15</f>
      </c>
      <c r="DP132" s="204">
        <f>+'Balance Sheet'!CQ15</f>
      </c>
      <c r="DQ132" s="204">
        <f>+'Balance Sheet'!CR15</f>
      </c>
      <c r="DR132" s="204">
        <f>+'Balance Sheet'!CS15</f>
      </c>
      <c r="DS132" s="203">
        <f>+'Balance Sheet'!CT15</f>
      </c>
      <c r="DT132" s="204">
        <f>+'Balance Sheet'!CU15</f>
      </c>
      <c r="DU132" s="204">
        <f>+'Balance Sheet'!CV15</f>
      </c>
      <c r="DV132" s="204">
        <f>+'Balance Sheet'!CW15</f>
      </c>
      <c r="DW132" s="204">
        <f>+'Balance Sheet'!CX15</f>
      </c>
      <c r="DX132" s="203">
        <f>+'Balance Sheet'!CY15</f>
      </c>
      <c r="DY132" s="204">
        <f>+'Balance Sheet'!CZ15</f>
      </c>
      <c r="DZ132" s="204">
        <f>+'Balance Sheet'!DA15</f>
      </c>
      <c r="EA132" s="204">
        <f>+'Balance Sheet'!DB15</f>
      </c>
      <c r="EB132" s="204">
        <f>+'Balance Sheet'!DC15</f>
      </c>
      <c r="EC132" s="203">
        <f>+'Balance Sheet'!DD15</f>
      </c>
      <c r="ED132" s="204">
        <f>+'Balance Sheet'!DE15</f>
      </c>
      <c r="EE132" s="204">
        <f>+'Balance Sheet'!DF15</f>
      </c>
      <c r="EF132" s="204">
        <f>+'Balance Sheet'!DG15</f>
      </c>
      <c r="EG132" s="204">
        <f>+'Balance Sheet'!DH15</f>
      </c>
      <c r="EH132" s="203">
        <f>+'Balance Sheet'!DI15</f>
      </c>
      <c r="EI132" s="1039">
        <f>+'Balance Sheet'!DJ15</f>
      </c>
      <c r="EJ132" s="1039">
        <f>+'Balance Sheet'!DK15</f>
      </c>
      <c r="EK132" s="1039">
        <f>+'Balance Sheet'!DL15</f>
      </c>
      <c r="EL132" s="1039">
        <f>+'Balance Sheet'!DM15</f>
      </c>
      <c r="EM132" s="203">
        <f>+'Balance Sheet'!DN15</f>
      </c>
      <c r="EN132" s="1039">
        <f>+'Balance Sheet'!DO15</f>
      </c>
      <c r="EO132" s="1039">
        <f>+'Balance Sheet'!DP15</f>
      </c>
      <c r="EP132" s="1039">
        <f>+'Balance Sheet'!DQ15</f>
      </c>
      <c r="EQ132" s="1039">
        <f>+'Balance Sheet'!DR15</f>
      </c>
      <c r="ER132" s="203">
        <f>+'Balance Sheet'!DS15</f>
      </c>
      <c r="ES132" s="1039">
        <f>+'Balance Sheet'!DT15</f>
      </c>
      <c r="ET132" s="1039">
        <f>+'Balance Sheet'!DU15</f>
      </c>
      <c r="EU132" s="1039">
        <f>+'Balance Sheet'!DV15</f>
      </c>
      <c r="EV132" s="1039">
        <f>+'Balance Sheet'!DW15</f>
      </c>
      <c r="EW132" s="2603">
        <f>+'Balance Sheet'!DX15</f>
      </c>
      <c r="EX132" s="2604">
        <f>+'Balance Sheet'!DY15</f>
      </c>
      <c r="EY132" s="2604">
        <f>+'Balance Sheet'!DZ15</f>
      </c>
      <c r="EZ132" s="2604">
        <f>+'Balance Sheet'!EA15</f>
      </c>
      <c r="FA132" s="2604">
        <f>+'Balance Sheet'!EB15</f>
      </c>
      <c r="FB132" s="2603">
        <f>+'Balance Sheet'!EC15</f>
      </c>
      <c r="FC132" s="2604">
        <f>+'Balance Sheet'!ED15</f>
      </c>
      <c r="FD132" s="2604">
        <f>+'Balance Sheet'!EE15</f>
      </c>
      <c r="FE132" s="2604">
        <f>+'Balance Sheet'!EF15</f>
      </c>
      <c r="FF132" s="2604">
        <f>+'Balance Sheet'!EG15</f>
      </c>
      <c r="FG132" s="2603">
        <f>+'Balance Sheet'!EH15</f>
      </c>
      <c r="FH132" s="1739">
        <f>+'Balance Sheet'!EI15</f>
      </c>
      <c r="FI132" s="1739">
        <f>+'Balance Sheet'!EJ15</f>
      </c>
      <c r="FJ132" s="1739">
        <f>+'Balance Sheet'!EK15</f>
      </c>
      <c r="FK132" s="1739">
        <f>+'Balance Sheet'!EL15</f>
      </c>
      <c r="FL132" s="1738">
        <f>+'Balance Sheet'!EM15</f>
      </c>
      <c r="FM132" s="2916">
        <f>+'Balance Sheet'!EN15</f>
      </c>
      <c r="FN132" s="2916">
        <f>+'Balance Sheet'!EO15</f>
      </c>
      <c r="FO132" s="2868"/>
      <c r="FP132" s="1739"/>
      <c r="FQ132" s="1739"/>
      <c r="FR132" s="1739"/>
      <c r="FS132" s="1738"/>
      <c r="FT132" s="1739"/>
      <c r="FU132" s="2869"/>
      <c r="FV132" s="2916">
        <f>+'Balance Sheet'!EP15</f>
      </c>
      <c r="FW132" s="2916">
        <f>+'Balance Sheet'!EQ15</f>
      </c>
      <c r="FX132" s="2917">
        <f>+'Balance Sheet'!ER15</f>
      </c>
      <c r="FY132" s="2916">
        <f>+'Balance Sheet'!ES15</f>
      </c>
      <c r="FZ132" s="2916">
        <f>+'Balance Sheet'!ET15</f>
      </c>
      <c r="GA132" s="2916">
        <f>+'Balance Sheet'!EU15</f>
      </c>
      <c r="GB132" s="2916">
        <f>+'Balance Sheet'!EV15</f>
      </c>
      <c r="GC132" s="2917">
        <f>+'Balance Sheet'!EW15</f>
      </c>
      <c r="GD132" s="2916">
        <f>+'Balance Sheet'!EX15</f>
      </c>
      <c r="GE132" s="2916">
        <f>+'Balance Sheet'!EY15</f>
      </c>
      <c r="GF132" s="2916">
        <f>+'Balance Sheet'!EZ15</f>
      </c>
      <c r="GG132" s="2916">
        <f>+'Balance Sheet'!FA15</f>
      </c>
      <c r="GH132" s="2917">
        <f>+'Balance Sheet'!FB15</f>
      </c>
      <c r="GI132" s="2917">
        <f>+'Balance Sheet'!FC15</f>
      </c>
      <c r="GJ132" s="2917">
        <f>+'Balance Sheet'!FD15</f>
      </c>
      <c r="GK132" s="2917">
        <f>+'Balance Sheet'!FE15</f>
      </c>
      <c r="GL132" s="2917">
        <f>+'Balance Sheet'!FF15</f>
      </c>
      <c r="GM132" s="2917">
        <f>+'Balance Sheet'!FG15</f>
      </c>
    </row>
    <row r="133" spans="2:195" ht="12.75" customHeight="1" outlineLevel="1">
      <c r="B133" s="108" t="s">
        <v>200</v>
      </c>
      <c r="H133" s="204"/>
      <c r="M133" s="204"/>
      <c r="N133" s="204"/>
      <c r="O133" s="204"/>
      <c r="P133" s="204"/>
      <c r="Q133" s="204"/>
      <c r="R133" s="204"/>
      <c r="S133" s="204"/>
      <c r="T133" s="204"/>
      <c r="U133" s="204"/>
      <c r="V133" s="204"/>
      <c r="BA133" s="203"/>
      <c r="BF133" s="203"/>
      <c r="BG133" s="204"/>
      <c r="BH133" s="204"/>
      <c r="BI133" s="204"/>
      <c r="BJ133" s="204"/>
      <c r="BK133" s="203"/>
      <c r="BL133" s="204"/>
      <c r="BM133" s="204"/>
      <c r="BN133" s="204"/>
      <c r="BO133" s="204"/>
      <c r="BP133" s="203"/>
      <c r="BQ133" s="124">
        <f>+'Balance Sheet'!AR21</f>
      </c>
      <c r="BR133" s="124">
        <f>+'Balance Sheet'!AS21</f>
      </c>
      <c r="BS133" s="124">
        <f>+'Balance Sheet'!AT21</f>
      </c>
      <c r="BT133" s="124">
        <f>+'Balance Sheet'!AU21</f>
      </c>
      <c r="BU133" s="203">
        <f>+'Balance Sheet'!AV21</f>
      </c>
      <c r="BV133" s="202">
        <f>+'Balance Sheet'!AW21</f>
      </c>
      <c r="BW133" s="124">
        <f>+'Balance Sheet'!AX21</f>
      </c>
      <c r="BX133" s="124">
        <f>+'Balance Sheet'!AY21</f>
      </c>
      <c r="BY133" s="124">
        <f>+'Balance Sheet'!AZ21</f>
      </c>
      <c r="BZ133" s="203">
        <f>+'Balance Sheet'!BA21</f>
      </c>
      <c r="CA133" s="202">
        <f>+'Balance Sheet'!BB21</f>
      </c>
      <c r="CB133" s="124">
        <f>+'Balance Sheet'!BC21</f>
      </c>
      <c r="CC133" s="124">
        <f>+'Balance Sheet'!BD21</f>
      </c>
      <c r="CD133" s="124">
        <f>+'Balance Sheet'!BE21</f>
      </c>
      <c r="CE133" s="203">
        <f>+'Balance Sheet'!BF21</f>
      </c>
      <c r="CF133" s="202">
        <f>+'Balance Sheet'!BG21</f>
      </c>
      <c r="CG133" s="124">
        <f>+'Balance Sheet'!BH21</f>
      </c>
      <c r="CH133" s="124">
        <f>+'Balance Sheet'!BI21</f>
      </c>
      <c r="CI133" s="124">
        <f>+'Balance Sheet'!BJ21</f>
      </c>
      <c r="CJ133" s="203">
        <f>+'Balance Sheet'!BK21</f>
      </c>
      <c r="CK133" s="202">
        <f>+'Balance Sheet'!BL21</f>
      </c>
      <c r="CL133" s="124">
        <f>+'Balance Sheet'!BM21</f>
      </c>
      <c r="CM133" s="124">
        <f>+'Balance Sheet'!BN21</f>
      </c>
      <c r="CN133" s="124">
        <f>+'Balance Sheet'!BO21</f>
      </c>
      <c r="CO133" s="203">
        <f>+'Balance Sheet'!BP21</f>
      </c>
      <c r="CP133" s="202">
        <f>+'Balance Sheet'!BQ21</f>
      </c>
      <c r="CQ133" s="124">
        <f>+'Balance Sheet'!BR21</f>
      </c>
      <c r="CR133" s="124">
        <f>+'Balance Sheet'!BS21</f>
      </c>
      <c r="CS133" s="124">
        <f>+'Balance Sheet'!BT21</f>
      </c>
      <c r="CT133" s="203">
        <f>+'Balance Sheet'!BU21</f>
      </c>
      <c r="CU133" s="202">
        <f>+'Balance Sheet'!BV21</f>
      </c>
      <c r="CV133" s="124">
        <f>+'Balance Sheet'!BW21</f>
      </c>
      <c r="CW133" s="124">
        <f>+'Balance Sheet'!BX21</f>
      </c>
      <c r="CX133" s="206">
        <f>+'Balance Sheet'!BY21</f>
      </c>
      <c r="CY133" s="203"/>
      <c r="CZ133" s="124">
        <f>+'Balance Sheet'!CA21</f>
      </c>
      <c r="DA133" s="124">
        <f>+'Balance Sheet'!CB21</f>
      </c>
      <c r="DB133" s="124">
        <f>+'Balance Sheet'!CC21</f>
      </c>
      <c r="DC133" s="124">
        <f>+'Balance Sheet'!CD21</f>
      </c>
      <c r="DD133" s="203">
        <f>+'Balance Sheet'!CE21</f>
      </c>
      <c r="DE133" s="124">
        <f>+'Balance Sheet'!CF21</f>
      </c>
      <c r="DF133" s="124">
        <f>+'Balance Sheet'!CG21</f>
      </c>
      <c r="DG133" s="124">
        <f>+'Balance Sheet'!CH21</f>
      </c>
      <c r="DH133" s="124">
        <f>+'Balance Sheet'!CI21</f>
      </c>
      <c r="DI133" s="203">
        <f>+'Balance Sheet'!CJ21</f>
      </c>
      <c r="DJ133" s="204">
        <f>+'Balance Sheet'!CK21</f>
      </c>
      <c r="DK133" s="204">
        <f>+'Balance Sheet'!CL21</f>
      </c>
      <c r="DL133" s="204">
        <f>+'Balance Sheet'!CM21</f>
      </c>
      <c r="DM133" s="204">
        <f>+'Balance Sheet'!CN21</f>
      </c>
      <c r="DN133" s="203">
        <f>+'Balance Sheet'!CO21</f>
      </c>
      <c r="DO133" s="204">
        <f>+'Balance Sheet'!CP21</f>
      </c>
      <c r="DP133" s="204">
        <f>+'Balance Sheet'!CQ21</f>
      </c>
      <c r="DQ133" s="204">
        <f>+'Balance Sheet'!CR21</f>
      </c>
      <c r="DR133" s="204">
        <f>+'Balance Sheet'!CS21</f>
      </c>
      <c r="DS133" s="203">
        <f>+'Balance Sheet'!CT21</f>
      </c>
      <c r="DT133" s="204">
        <f>+'Balance Sheet'!CU21</f>
      </c>
      <c r="DU133" s="204">
        <f>+'Balance Sheet'!CV21</f>
      </c>
      <c r="DV133" s="204">
        <f>+'Balance Sheet'!CW21</f>
      </c>
      <c r="DW133" s="204">
        <f>+'Balance Sheet'!CX21</f>
      </c>
      <c r="DX133" s="203">
        <f>+'Balance Sheet'!CY21</f>
      </c>
      <c r="DY133" s="204">
        <f>+'Balance Sheet'!CZ21</f>
      </c>
      <c r="DZ133" s="204">
        <f>+'Balance Sheet'!DI21</f>
      </c>
      <c r="EA133" s="204">
        <f>+'Balance Sheet'!DN21</f>
      </c>
      <c r="EB133" s="204">
        <f>+'Balance Sheet'!DC21</f>
      </c>
      <c r="EC133" s="203">
        <f>+'Balance Sheet'!DD21</f>
      </c>
      <c r="ED133" s="204">
        <f>+'Balance Sheet'!DE21</f>
      </c>
      <c r="EE133" s="204">
        <f>+'Balance Sheet'!DF21</f>
      </c>
      <c r="EF133" s="204">
        <f>+'Balance Sheet'!DG21</f>
      </c>
      <c r="EG133" s="204">
        <f>+'Balance Sheet'!DH21</f>
      </c>
      <c r="EH133" s="203">
        <f>+'Balance Sheet'!DI21</f>
      </c>
      <c r="EI133" s="1039">
        <f>+'Balance Sheet'!DJ21</f>
      </c>
      <c r="EJ133" s="1039">
        <f>+'Balance Sheet'!DK21</f>
      </c>
      <c r="EK133" s="1039">
        <f>+'Balance Sheet'!DL21</f>
      </c>
      <c r="EL133" s="1039">
        <f>+'Balance Sheet'!DM21</f>
      </c>
      <c r="EM133" s="203">
        <f>+'Balance Sheet'!DN21</f>
      </c>
      <c r="EN133" s="1039">
        <f>+'Balance Sheet'!DO21</f>
      </c>
      <c r="EO133" s="1039">
        <f>+'Balance Sheet'!DP21</f>
      </c>
      <c r="EP133" s="1039">
        <f>+'Balance Sheet'!DQ21</f>
      </c>
      <c r="EQ133" s="1039">
        <f>+'Balance Sheet'!DR21</f>
      </c>
      <c r="ER133" s="203">
        <f>+'Balance Sheet'!DS21</f>
      </c>
      <c r="ES133" s="1039">
        <f>+'Balance Sheet'!DT21</f>
      </c>
      <c r="ET133" s="1039">
        <f>+'Balance Sheet'!DU21</f>
      </c>
      <c r="EU133" s="1039">
        <f>+'Balance Sheet'!DV21</f>
      </c>
      <c r="EV133" s="1039">
        <f>+'Balance Sheet'!DW21</f>
      </c>
      <c r="EW133" s="2603">
        <f>+'Balance Sheet'!DX21</f>
      </c>
      <c r="EX133" s="2604">
        <f>+'Balance Sheet'!DY21</f>
      </c>
      <c r="EY133" s="2604">
        <f>+'Balance Sheet'!DZ21</f>
      </c>
      <c r="EZ133" s="2604">
        <f>+'Balance Sheet'!EA21</f>
      </c>
      <c r="FA133" s="2604">
        <f>+'Balance Sheet'!EB21</f>
      </c>
      <c r="FB133" s="2603">
        <f>+'Balance Sheet'!EC21</f>
      </c>
      <c r="FC133" s="2604">
        <f>+'Balance Sheet'!ED21</f>
      </c>
      <c r="FD133" s="2604">
        <f>+'Balance Sheet'!EE21</f>
      </c>
      <c r="FE133" s="2604">
        <f>+'Balance Sheet'!EF21</f>
      </c>
      <c r="FF133" s="2604">
        <f>+'Balance Sheet'!EG21</f>
      </c>
      <c r="FG133" s="2603">
        <f>+'Balance Sheet'!EH21</f>
      </c>
      <c r="FH133" s="1739">
        <f>+'Balance Sheet'!EI21</f>
      </c>
      <c r="FI133" s="1739">
        <f>+'Balance Sheet'!EJ21</f>
      </c>
      <c r="FJ133" s="1739">
        <f>+'Balance Sheet'!EK21</f>
      </c>
      <c r="FK133" s="1739">
        <f>+'Balance Sheet'!EL21</f>
      </c>
      <c r="FL133" s="1738">
        <f>+'Balance Sheet'!EM21</f>
      </c>
      <c r="FM133" s="2916">
        <f>+'Balance Sheet'!EN21</f>
      </c>
      <c r="FN133" s="2916">
        <f>+'Balance Sheet'!EO21</f>
      </c>
      <c r="FO133" s="2868"/>
      <c r="FP133" s="1739"/>
      <c r="FQ133" s="1739"/>
      <c r="FR133" s="1739"/>
      <c r="FS133" s="1738"/>
      <c r="FT133" s="1739"/>
      <c r="FU133" s="2869"/>
      <c r="FV133" s="1739">
        <f>+'Balance Sheet'!EP21</f>
      </c>
      <c r="FW133" s="1739">
        <f>+'Balance Sheet'!EQ21</f>
      </c>
      <c r="FX133" s="1738">
        <f>+'Balance Sheet'!ER21</f>
      </c>
      <c r="FY133" s="1739">
        <f>+'Balance Sheet'!ES21</f>
      </c>
      <c r="FZ133" s="1739">
        <f>+'Balance Sheet'!ET21</f>
      </c>
      <c r="GA133" s="1739">
        <f>+'Balance Sheet'!EU21</f>
      </c>
      <c r="GB133" s="1739">
        <f>+'Balance Sheet'!EV21</f>
      </c>
      <c r="GC133" s="1738">
        <f>+'Balance Sheet'!EW21</f>
      </c>
      <c r="GD133" s="1739">
        <f>+'Balance Sheet'!EX21</f>
      </c>
      <c r="GE133" s="1739">
        <f>+'Balance Sheet'!EY21</f>
      </c>
      <c r="GF133" s="1739">
        <f>+'Balance Sheet'!EZ21</f>
      </c>
      <c r="GG133" s="1739">
        <f>+'Balance Sheet'!FA21</f>
      </c>
      <c r="GH133" s="1738">
        <f>+'Balance Sheet'!FB21</f>
      </c>
      <c r="GI133" s="1738">
        <f>+'Balance Sheet'!FC21</f>
      </c>
      <c r="GJ133" s="1738">
        <f>+'Balance Sheet'!FD21</f>
      </c>
      <c r="GK133" s="1738">
        <f>+'Balance Sheet'!FE21</f>
      </c>
      <c r="GL133" s="1738">
        <f>+'Balance Sheet'!FF21</f>
      </c>
      <c r="GM133" s="1738">
        <f>+'Balance Sheet'!FG21</f>
      </c>
    </row>
    <row r="134" spans="2:195" ht="12.75" customHeight="1" outlineLevel="1">
      <c r="B134" s="85" t="s">
        <v>201</v>
      </c>
      <c r="C134" s="79"/>
      <c r="H134" s="86"/>
      <c r="M134" s="86"/>
      <c r="N134" s="86"/>
      <c r="O134" s="86"/>
      <c r="P134" s="86"/>
      <c r="Q134" s="86"/>
      <c r="R134" s="86"/>
      <c r="S134" s="86"/>
      <c r="T134" s="86"/>
      <c r="U134" s="86"/>
      <c r="V134" s="86"/>
      <c r="BA134" s="205"/>
      <c r="BF134" s="205"/>
      <c r="BG134" s="204"/>
      <c r="BH134" s="204"/>
      <c r="BI134" s="204"/>
      <c r="BJ134" s="204"/>
      <c r="BK134" s="205"/>
      <c r="BL134" s="204"/>
      <c r="BM134" s="204"/>
      <c r="BN134" s="204"/>
      <c r="BO134" s="204"/>
      <c r="BP134" s="205"/>
      <c r="BQ134" s="204">
        <f>SUM(BQ131:BQ133)</f>
      </c>
      <c r="BR134" s="204">
        <f>AVERAGE(SUM(BQ131:BQ133),SUM(BR131:BR133))</f>
      </c>
      <c r="BS134" s="204">
        <f>AVERAGE(SUM(BR131:BR133),SUM(BS131:BS133))</f>
      </c>
      <c r="BT134" s="207">
        <f>AVERAGE(SUM(BS131:BS133),SUM(BT131:BT133))</f>
      </c>
      <c r="BU134" s="205">
        <f>AVERAGE(BQ134:BT134)</f>
      </c>
      <c r="BV134" s="149">
        <f>AVERAGE(SUM(BU131:BU133),SUM(BV131:BV133))</f>
      </c>
      <c r="BW134" s="204">
        <f>AVERAGE(SUM(BV131:BV133),SUM(BW131:BW133))</f>
      </c>
      <c r="BX134" s="204">
        <f>AVERAGE(SUM(BW131:BW133),SUM(BX131:BX133))</f>
      </c>
      <c r="BY134" s="207">
        <f>AVERAGE(SUM(BX131:BX133),SUM(BY131:BY133))</f>
      </c>
      <c r="BZ134" s="205">
        <f>AVERAGE(BV134:BY134)</f>
      </c>
      <c r="CA134" s="149">
        <f>AVERAGE(SUM(BZ131:BZ133),SUM(CA131:CA133))</f>
      </c>
      <c r="CB134" s="204">
        <f>AVERAGE(SUM(CA131:CA133),SUM(CB131:CB133))</f>
      </c>
      <c r="CC134" s="204">
        <f>AVERAGE(SUM(CB131:CB133),SUM(CC131:CC133))</f>
      </c>
      <c r="CD134" s="207">
        <f>AVERAGE(SUM(CC131:CC133),SUM(CD131:CD133))</f>
      </c>
      <c r="CE134" s="205">
        <f>AVERAGE(CA134:CD134)</f>
      </c>
      <c r="CF134" s="149">
        <f>AVERAGE(SUM(CE131:CE133),SUM(CF131:CF133))</f>
      </c>
      <c r="CG134" s="204">
        <f>AVERAGE(SUM(CF131:CF133),SUM(CG131:CG133))</f>
      </c>
      <c r="CH134" s="204">
        <f>AVERAGE(SUM(CG131:CG133),SUM(CH131:CH133))</f>
      </c>
      <c r="CI134" s="207">
        <f>AVERAGE(SUM(CH131:CH133),SUM(CI131:CI133))</f>
      </c>
      <c r="CJ134" s="205">
        <f>AVERAGE(CF134:CI134)</f>
      </c>
      <c r="CK134" s="149">
        <f>AVERAGE(SUM(CJ131:CJ133),SUM(CK131:CK133))</f>
      </c>
      <c r="CL134" s="204">
        <f>AVERAGE(SUM(CK131:CK133),SUM(CL131:CL133))</f>
      </c>
      <c r="CM134" s="204">
        <f>AVERAGE(SUM(CL131:CL133),SUM(CM131:CM133))</f>
      </c>
      <c r="CN134" s="207">
        <f>AVERAGE(SUM(CM131:CM133),SUM(CN131:CN133))</f>
      </c>
      <c r="CO134" s="205">
        <f>AVERAGE(CK134:CN134)</f>
      </c>
      <c r="CP134" s="149">
        <f>AVERAGE(SUM(CO131:CO133),SUM(CP131:CP133))</f>
      </c>
      <c r="CQ134" s="204">
        <f>AVERAGE(SUM(CP131:CP133),SUM(CQ131:CQ133))</f>
      </c>
      <c r="CR134" s="204">
        <f>AVERAGE(SUM(CQ131:CQ133),SUM(CR131:CR133))</f>
      </c>
      <c r="CS134" s="207">
        <f>AVERAGE(SUM(CR131:CR133),SUM(CS131:CS133))</f>
      </c>
      <c r="CT134" s="205">
        <f>AVERAGE(CP134:CS134)</f>
      </c>
      <c r="CU134" s="149">
        <f>AVERAGE(SUM(CT131:CT133),SUM(CU131:CU133))</f>
      </c>
      <c r="CV134" s="204">
        <f>AVERAGE(SUM(CU131:CU133),SUM(CV131:CV133))</f>
      </c>
      <c r="CW134" s="204">
        <f>AVERAGE(SUM(CV131:CV133),SUM(CW131:CW133))</f>
      </c>
      <c r="CX134" s="207">
        <f>AVERAGE(SUM(CW131:CW133),SUM(CX131:CX133))</f>
      </c>
      <c r="CY134" s="205">
        <f>AVERAGE(CU134:CX134)</f>
      </c>
      <c r="CZ134" s="204">
        <f>AVERAGE(SUM(CX131:CX133),SUM(CZ131:CZ133))</f>
      </c>
      <c r="DA134" s="204">
        <f>AVERAGE(SUM(CZ131:CZ133),SUM(DA131:DA133))</f>
      </c>
      <c r="DB134" s="204">
        <f>AVERAGE(SUM(DA131:DA133),SUM(DB131:DB133))</f>
      </c>
      <c r="DC134" s="204">
        <f>AVERAGE(SUM(DB131:DB133),SUM(DC131:DC133))</f>
      </c>
      <c r="DD134" s="205">
        <f>AVERAGE(CZ134:DC134)</f>
      </c>
      <c r="DE134" s="204">
        <f>AVERAGE(SUM(DD131:DD133),SUM(DE131:DE133))</f>
      </c>
      <c r="DF134" s="204">
        <f>AVERAGE(SUM(DE131:DE133),SUM(DF131:DF133))</f>
      </c>
      <c r="DG134" s="204">
        <f>AVERAGE(SUM(DF131:DF133),SUM(DG131:DG133))</f>
      </c>
      <c r="DH134" s="204">
        <f>AVERAGE(SUM(DG131:DG133),SUM(DH131:DH133))</f>
      </c>
      <c r="DI134" s="205">
        <f>AVERAGE(SUM(DD131:DD133),SUM(DI131:DI133))</f>
      </c>
      <c r="DJ134" s="204">
        <f>AVERAGE(SUM(DI131:DI133),SUM(DJ131:DJ133))</f>
      </c>
      <c r="DK134" s="204">
        <f>AVERAGE(SUM(DJ131:DJ133),SUM(DK131:DK133))</f>
      </c>
      <c r="DL134" s="204">
        <f>AVERAGE(SUM(DK131:DK133),SUM(DL131:DL133))</f>
      </c>
      <c r="DM134" s="204">
        <f>AVERAGE(SUM(DL131:DL133),SUM(DM131:DM133))</f>
      </c>
      <c r="DN134" s="205">
        <f>AVERAGE(SUM(DI131:DI133),SUM(DN131:DN133))</f>
      </c>
      <c r="DO134" s="204">
        <f>AVERAGE(SUM(DN131:DN133),SUM(DO131:DO133))</f>
      </c>
      <c r="DP134" s="204">
        <f>AVERAGE(SUM(DO131:DO133),SUM(DP131:DP133))</f>
      </c>
      <c r="DQ134" s="204">
        <f>AVERAGE(SUM(DP131:DP133),SUM(DQ131:DQ133))</f>
      </c>
      <c r="DR134" s="204">
        <f>AVERAGE(SUM(DQ131:DQ133),SUM(DR131:DR133))</f>
      </c>
      <c r="DS134" s="205">
        <f>AVERAGE(SUM(DN131:DN133),SUM(DS131:DS133))</f>
      </c>
      <c r="DT134" s="204">
        <f>AVERAGE(SUM(DS131:DS133),SUM(DT131:DT133))</f>
      </c>
      <c r="DU134" s="204">
        <f>AVERAGE(SUM(DT131:DT133),SUM(DU131:DU133))</f>
      </c>
      <c r="DV134" s="204">
        <f>AVERAGE(SUM(DU131:DU133),SUM(DV131:DV133))</f>
      </c>
      <c r="DW134" s="204">
        <f>AVERAGE(SUM(DV131:DV133),SUM(DW131:DW133))</f>
      </c>
      <c r="DX134" s="205">
        <f>AVERAGE(SUM(DS131:DS133),SUM(DX131:DX133))</f>
      </c>
      <c r="DY134" s="204">
        <f>AVERAGE(SUM(DX131:DX133),SUM(DY131:DY133))</f>
      </c>
      <c r="DZ134" s="204">
        <f>AVERAGE(SUM(DY131:DY133),SUM(DZ131:DZ133))</f>
      </c>
      <c r="EA134" s="204">
        <f>AVERAGE(SUM(DZ131:DZ133),SUM(EA131:EA133))</f>
      </c>
      <c r="EB134" s="204">
        <f>AVERAGE(SUM(EA131:EA133),SUM(EB131:EB133))</f>
      </c>
      <c r="EC134" s="205">
        <f>AVERAGE(SUM(DX131:DX133),SUM(EC131:EC133))</f>
      </c>
      <c r="ED134" s="204">
        <f>AVERAGE(SUM(EC131:EC133),SUM(ED131:ED133))</f>
      </c>
      <c r="EE134" s="204">
        <f>AVERAGE(SUM(ED131:ED133),SUM(EE131:EE133))</f>
      </c>
      <c r="EF134" s="204">
        <f>AVERAGE(SUM(EE131:EE133),SUM(EF131:EF133))</f>
      </c>
      <c r="EG134" s="204">
        <f>AVERAGE(SUM(EF131:EF133),SUM(EG131:EG133))</f>
      </c>
      <c r="EH134" s="205">
        <f>AVERAGE(SUM(EC131:EC133),SUM(EH131:EH133))</f>
      </c>
      <c r="EI134" s="1039">
        <f>AVERAGE(SUM(EH131:EH133),SUM(EI131:EI133))</f>
      </c>
      <c r="EJ134" s="1039">
        <f>AVERAGE(SUM(EI131:EI133),SUM(EJ131:EJ133))</f>
      </c>
      <c r="EK134" s="1039">
        <f>AVERAGE(SUM(EJ131:EJ133),SUM(EK131:EK133))</f>
      </c>
      <c r="EL134" s="1039">
        <f>AVERAGE(SUM(EK131:EK133),SUM(EL131:EL133))</f>
      </c>
      <c r="EM134" s="205">
        <f>AVERAGE(SUM(EH131:EH133),SUM(EM131:EM133))</f>
      </c>
      <c r="EN134" s="1039">
        <f>AVERAGE(SUM(EM131:EM133),SUM(EN131:EN133))</f>
      </c>
      <c r="EO134" s="1039">
        <f>AVERAGE(SUM(EN131:EN133),SUM(EO131:EO133))</f>
      </c>
      <c r="EP134" s="1039">
        <f>AVERAGE(SUM(EO131:EO133),SUM(EP131:EP133))</f>
      </c>
      <c r="EQ134" s="1039">
        <f>AVERAGE(SUM(EP131:EP133),SUM(EQ131:EQ133))</f>
      </c>
      <c r="ER134" s="205">
        <f>AVERAGE(SUM(EM131:EM133),SUM(ER131:ER133))</f>
      </c>
      <c r="ES134" s="1039">
        <f>AVERAGE(SUM(ER131:ER133),SUM(ES131:ES133))</f>
      </c>
      <c r="ET134" s="1039">
        <f>AVERAGE(SUM(ES131:ES133),SUM(ET131:ET133))</f>
      </c>
      <c r="EU134" s="1039">
        <f>AVERAGE(SUM(ET131:ET133),SUM(EU131:EU133))</f>
      </c>
      <c r="EV134" s="1039">
        <f>AVERAGE(SUM(EU131:EU133),SUM(EV131:EV133))</f>
      </c>
      <c r="EW134" s="2605">
        <f>AVERAGE(SUM(ER131:ER133),SUM(EW131:EW133))</f>
      </c>
      <c r="EX134" s="2604">
        <f>AVERAGE(SUM(EW131:EW133),SUM(EX131:EX133))</f>
      </c>
      <c r="EY134" s="2604">
        <f>AVERAGE(SUM(EX131:EX133),SUM(EY131:EY133))</f>
      </c>
      <c r="EZ134" s="2604">
        <f>AVERAGE(SUM(EY131:EY133),SUM(EZ131:EZ133))</f>
      </c>
      <c r="FA134" s="2604">
        <f>AVERAGE(SUM(EZ131:EZ133),SUM(FA131:FA133))</f>
      </c>
      <c r="FB134" s="2605">
        <f>AVERAGE(SUM(EW131:EW133),SUM(FB131:FB133))</f>
      </c>
      <c r="FC134" s="2604">
        <f>AVERAGE(SUM(FB131:FB133),SUM(FC131:FC133))</f>
      </c>
      <c r="FD134" s="2604">
        <f>AVERAGE(SUM(FC131:FC133),SUM(FD131:FD133))</f>
      </c>
      <c r="FE134" s="2604">
        <f>AVERAGE(SUM(FD131:FD133),SUM(FE131:FE133))</f>
      </c>
      <c r="FF134" s="2604">
        <f>AVERAGE(SUM(FE131:FE133),SUM(FF131:FF133))</f>
      </c>
      <c r="FG134" s="2605">
        <f>AVERAGE(SUM(FB131:FB133),SUM(FG131:FG133))</f>
      </c>
      <c r="FH134" s="1739">
        <f>AVERAGE(SUM(FG131:FG133),SUM(FH131:FH133))</f>
      </c>
      <c r="FI134" s="1739">
        <f>AVERAGE(SUM(FH131:FH133),SUM(FI131:FI133))</f>
      </c>
      <c r="FJ134" s="1739">
        <f>AVERAGE(SUM(FI131:FI133),SUM(FJ131:FJ133))</f>
      </c>
      <c r="FK134" s="1739">
        <f>AVERAGE(SUM(FJ131:FJ133),SUM(FK131:FK133))</f>
      </c>
      <c r="FL134" s="1740">
        <f>AVERAGE(SUM(FG131:FG133),SUM(FL131:FL133))</f>
      </c>
      <c r="FM134" s="1739">
        <f>AVERAGE(SUM(FL131:FL133),SUM(FM131:FM133))</f>
      </c>
      <c r="FN134" s="1739">
        <f>AVERAGE(SUM(FM131:FM133),SUM(FN131:FN133))</f>
      </c>
      <c r="FO134" s="2868"/>
      <c r="FP134" s="1739"/>
      <c r="FQ134" s="1739"/>
      <c r="FR134" s="1739"/>
      <c r="FS134" s="1740"/>
      <c r="FT134" s="1739"/>
      <c r="FU134" s="2869"/>
      <c r="FV134" s="1739">
        <f>AVERAGE(SUM(FN131:FN133),SUM(FV131:FV133))</f>
      </c>
      <c r="FW134" s="1739">
        <f>AVERAGE(SUM(FV131:FV133),SUM(FW131:FW133))</f>
      </c>
      <c r="FX134" s="1740">
        <f>AVERAGE(SUM(FL131:FL133),SUM(FX131:FX133))</f>
      </c>
      <c r="FY134" s="1739">
        <f>AVERAGE(SUM(FX131:FX133),SUM(FY131:FY133))</f>
      </c>
      <c r="FZ134" s="1739">
        <f>AVERAGE(SUM(FY131:FY133),SUM(FZ131:FZ133))</f>
      </c>
      <c r="GA134" s="1739">
        <f>AVERAGE(SUM(FZ131:FZ133),SUM(GA131:GA133))</f>
      </c>
      <c r="GB134" s="1739">
        <f>AVERAGE(SUM(GA131:GA133),SUM(GB131:GB133))</f>
      </c>
      <c r="GC134" s="1740">
        <f>AVERAGE(SUM(FX131:FX133),SUM(GC131:GC133))</f>
      </c>
      <c r="GD134" s="1739">
        <f>AVERAGE(SUM(GC131:GC133),SUM(GD131:GD133))</f>
      </c>
      <c r="GE134" s="1739">
        <f>AVERAGE(SUM(GD131:GD133),SUM(GE131:GE133))</f>
      </c>
      <c r="GF134" s="1739">
        <f>AVERAGE(SUM(GE131:GE133),SUM(GF131:GF133))</f>
      </c>
      <c r="GG134" s="1739">
        <f>AVERAGE(SUM(GF131:GF133),SUM(GG131:GG133))</f>
      </c>
      <c r="GH134" s="1740">
        <f>AVERAGE(SUM(GC131:GC133),SUM(GH131:GH133))</f>
      </c>
      <c r="GI134" s="1740">
        <f t="shared" ref="GI134" ca="1" si="314">AVERAGE(SUM(GH131:GH133),SUM(GI131:GI133))</f>
      </c>
      <c r="GJ134" s="1740">
        <f t="shared" ref="GJ134" ca="1" si="315">AVERAGE(SUM(GI131:GI133),SUM(GJ131:GJ133))</f>
      </c>
      <c r="GK134" s="1740">
        <f t="shared" ref="GK134" ca="1" si="316">AVERAGE(SUM(GJ131:GJ133),SUM(GK131:GK133))</f>
      </c>
      <c r="GL134" s="1740">
        <f t="shared" ref="GL134" ca="1" si="317">AVERAGE(SUM(GK131:GK133),SUM(GL131:GL133))</f>
      </c>
      <c r="GM134" s="1740">
        <f t="shared" ref="GM134" ca="1" si="318">AVERAGE(SUM(GL131:GL133),SUM(GM131:GM133))</f>
      </c>
    </row>
    <row r="135" spans="2:195" ht="12.75" customHeight="1" outlineLevel="1">
      <c r="B135" s="85" t="s">
        <v>202</v>
      </c>
      <c r="C135" s="79"/>
      <c r="H135" s="53"/>
      <c r="M135" s="53"/>
      <c r="N135" s="53"/>
      <c r="O135" s="53"/>
      <c r="P135" s="53"/>
      <c r="Q135" s="53"/>
      <c r="R135" s="53"/>
      <c r="S135" s="53"/>
      <c r="T135" s="53"/>
      <c r="U135" s="53"/>
      <c r="V135" s="53"/>
      <c r="BA135" s="216"/>
      <c r="BF135" s="216"/>
      <c r="BG135" s="255"/>
      <c r="BH135" s="255"/>
      <c r="BI135" s="255"/>
      <c r="BJ135" s="255"/>
      <c r="BK135" s="216"/>
      <c r="BL135" s="255"/>
      <c r="BM135" s="255"/>
      <c r="BN135" s="255"/>
      <c r="BO135" s="255"/>
      <c r="BP135" s="216"/>
      <c r="BQ135" s="17"/>
      <c r="BR135" s="17"/>
      <c r="BS135" s="17"/>
      <c r="BT135" s="193"/>
      <c r="BU135" s="216"/>
      <c r="BV135" s="209"/>
      <c r="BW135" s="17"/>
      <c r="BX135" s="17"/>
      <c r="BY135" s="193"/>
      <c r="BZ135" s="216"/>
      <c r="CA135" s="209"/>
      <c r="CB135" s="17"/>
      <c r="CC135" s="17"/>
      <c r="CD135" s="193"/>
      <c r="CE135" s="216"/>
      <c r="CF135" s="209"/>
      <c r="CG135" s="17"/>
      <c r="CH135" s="17"/>
      <c r="CI135" s="193"/>
      <c r="CJ135" s="216"/>
      <c r="CK135" s="209"/>
      <c r="CL135" s="17"/>
      <c r="CM135" s="17"/>
      <c r="CN135" s="193"/>
      <c r="CO135" s="216"/>
      <c r="CP135" s="209"/>
      <c r="CQ135" s="17"/>
      <c r="CR135" s="17"/>
      <c r="CS135" s="193"/>
      <c r="CT135" s="216"/>
      <c r="CU135" s="17">
        <f>CU136/CU134*4</f>
      </c>
      <c r="CV135" s="17">
        <f>CV136/CV134*4</f>
      </c>
      <c r="CW135" s="17">
        <f>CW136/CW134*4</f>
      </c>
      <c r="CX135" s="17">
        <f>CX136/CX134*4</f>
      </c>
      <c r="CY135" s="216">
        <f>+CY136/CY134</f>
      </c>
      <c r="CZ135" s="17">
        <f>CZ136/CZ134*4</f>
      </c>
      <c r="DA135" s="17">
        <f>DA136/DA134*4</f>
      </c>
      <c r="DB135" s="17">
        <f>DB136/DB134*4</f>
      </c>
      <c r="DC135" s="17">
        <f>DC136/DC134*4</f>
      </c>
      <c r="DD135" s="216">
        <f>+DD136/DD134</f>
      </c>
      <c r="DE135" s="17">
        <f>DE136/DE134*4</f>
      </c>
      <c r="DF135" s="17">
        <f>DF136/DF134*4</f>
      </c>
      <c r="DG135" s="17">
        <f>DG136/DG134*4</f>
      </c>
      <c r="DH135" s="17">
        <f>DH136/DH134*4</f>
      </c>
      <c r="DI135" s="216">
        <f>+DI136/DI134</f>
      </c>
      <c r="DJ135" s="17">
        <f>DJ136/DJ134*4</f>
      </c>
      <c r="DK135" s="17">
        <f>DK136/DK134*4</f>
      </c>
      <c r="DL135" s="17">
        <f>DL136/DL134*4</f>
      </c>
      <c r="DM135" s="53">
        <f>DM136/DM134*4</f>
      </c>
      <c r="DN135" s="216">
        <f>+DN136/DN134</f>
      </c>
      <c r="DO135" s="17">
        <f>DO136/DO134*4</f>
      </c>
      <c r="DP135" s="17">
        <f>DP136/DP134*4</f>
      </c>
      <c r="DQ135" s="17">
        <f>DQ136/DQ134*4</f>
      </c>
      <c r="DR135" s="762">
        <v>3.0000000000000001E-3</v>
      </c>
      <c r="DS135" s="216">
        <f>+DS136/DS134</f>
      </c>
      <c r="DT135" s="17">
        <f>DT136/DT134*4</f>
      </c>
      <c r="DU135" s="17">
        <f>DU136/DU134*4</f>
      </c>
      <c r="DV135" s="17">
        <f>DV136/DV134*4</f>
      </c>
      <c r="DW135" s="930">
        <f>DW136/DW134*4</f>
      </c>
      <c r="DX135" s="216">
        <f>+DX136/DX134</f>
      </c>
      <c r="DY135" s="17">
        <f>DY136/DY134*4</f>
      </c>
      <c r="DZ135" s="17">
        <f>DZ136/DZ134*4</f>
      </c>
      <c r="EA135" s="17">
        <f>EA136/EA134*4</f>
      </c>
      <c r="EB135" s="53">
        <f>EB136/EB134*4</f>
      </c>
      <c r="EC135" s="216">
        <f>+EC136/EC134</f>
      </c>
      <c r="ED135" s="17">
        <f>ED136/ED134*4</f>
      </c>
      <c r="EE135" s="17">
        <f>EE136/EE134*4</f>
      </c>
      <c r="EF135" s="17">
        <f>EF136/EF134*4</f>
      </c>
      <c r="EG135" s="53">
        <f>EG136/EG134*4</f>
      </c>
      <c r="EH135" s="216">
        <f>+EH136/EH134</f>
      </c>
      <c r="EI135" s="237">
        <v>3.0000000000000001E-3</v>
      </c>
      <c r="EJ135" s="237">
        <v>3.0000000000000001E-3</v>
      </c>
      <c r="EK135" s="237">
        <v>3.0000000000000001E-3</v>
      </c>
      <c r="EL135" s="237">
        <v>3.0000000000000001E-3</v>
      </c>
      <c r="EM135" s="216">
        <f>+EM136/EM134</f>
      </c>
      <c r="EN135" s="237">
        <v>3.0000000000000001E-3</v>
      </c>
      <c r="EO135" s="237">
        <v>3.0000000000000001E-3</v>
      </c>
      <c r="EP135" s="237">
        <v>3.0000000000000001E-3</v>
      </c>
      <c r="EQ135" s="237">
        <v>3.0000000000000001E-3</v>
      </c>
      <c r="ER135" s="216">
        <f>+ER136/ER134</f>
      </c>
      <c r="ES135" s="237">
        <v>5.0000000000000001E-3</v>
      </c>
      <c r="ET135" s="237">
        <v>5.0000000000000001E-3</v>
      </c>
      <c r="EU135" s="237">
        <v>5.0000000000000001E-3</v>
      </c>
      <c r="EV135" s="237">
        <v>5.0000000000000001E-3</v>
      </c>
      <c r="EW135" s="2588">
        <v>5.0000000000000001E-3</v>
      </c>
      <c r="EX135" s="2589">
        <v>5.0000000000000001E-3</v>
      </c>
      <c r="EY135" s="2589">
        <v>5.0000000000000001E-3</v>
      </c>
      <c r="EZ135" s="2589">
        <v>5.0000000000000001E-3</v>
      </c>
      <c r="FA135" s="2589">
        <v>5.0000000000000001E-3</v>
      </c>
      <c r="FB135" s="2588">
        <v>5.0000000000000001E-3</v>
      </c>
      <c r="FC135" s="2589">
        <v>5.0000000000000001E-3</v>
      </c>
      <c r="FD135" s="2589">
        <v>5.0000000000000001E-3</v>
      </c>
      <c r="FE135" s="2589">
        <v>5.0000000000000001E-3</v>
      </c>
      <c r="FF135" s="2589">
        <v>5.0000000000000001E-3</v>
      </c>
      <c r="FG135" s="2588">
        <v>5.0000000000000001E-3</v>
      </c>
      <c r="FH135" s="1741">
        <v>5.0000000000000001E-3</v>
      </c>
      <c r="FI135" s="1741">
        <v>5.0000000000000001E-3</v>
      </c>
      <c r="FJ135" s="1741">
        <v>5.0000000000000001E-3</v>
      </c>
      <c r="FK135" s="1741">
        <v>5.0000000000000001E-3</v>
      </c>
      <c r="FL135" s="2633">
        <v>5.0000000000000001E-3</v>
      </c>
      <c r="FM135" s="1741">
        <v>5.0000000000000001E-3</v>
      </c>
      <c r="FN135" s="1741">
        <v>5.0000000000000001E-3</v>
      </c>
      <c r="FO135" s="2686"/>
      <c r="FP135" s="1741"/>
      <c r="FQ135" s="1741"/>
      <c r="FR135" s="1741"/>
      <c r="FS135" s="2633"/>
      <c r="FT135" s="1741"/>
      <c r="FU135" s="2870"/>
      <c r="FV135" s="1703">
        <f t="shared" ref="FV135:GA135" si="319">+FV136/FV134</f>
      </c>
      <c r="FW135" s="1703">
        <f t="shared" si="319"/>
      </c>
      <c r="FX135" s="2635">
        <f t="shared" si="319"/>
      </c>
      <c r="FY135" s="1703">
        <f t="shared" si="319"/>
      </c>
      <c r="FZ135" s="1703">
        <f t="shared" si="319"/>
      </c>
      <c r="GA135" s="1703">
        <f t="shared" si="319"/>
      </c>
      <c r="GB135" s="1741">
        <v>4.0000000000000001E-3</v>
      </c>
      <c r="GC135" s="2633">
        <v>1.2E-2</v>
      </c>
      <c r="GD135" s="1703">
        <f>GD136/GD134*4</f>
      </c>
      <c r="GE135" s="1703">
        <f>GD135</f>
      </c>
      <c r="GF135" s="1703">
        <f>GE135</f>
      </c>
      <c r="GG135" s="1703">
        <f t="shared" ref="GG135" si="320">GF135</f>
      </c>
      <c r="GH135" s="2635">
        <f t="shared" ref="GH135" si="321">+GG135</f>
      </c>
      <c r="GI135" s="2635">
        <v>3.2500000000000001E-2</v>
      </c>
      <c r="GJ135" s="2635">
        <v>0.03</v>
      </c>
      <c r="GK135" s="2635">
        <f t="shared" ref="GK135" si="322">+GJ135</f>
      </c>
      <c r="GL135" s="2635">
        <f t="shared" ref="GL135" si="323">+GK135</f>
      </c>
      <c r="GM135" s="2635">
        <f t="shared" ref="GM135" si="324">+GL135</f>
      </c>
    </row>
    <row r="136" spans="2:195" ht="12.75" customHeight="1" outlineLevel="1">
      <c r="B136" s="85" t="s">
        <v>38</v>
      </c>
      <c r="C136" s="79"/>
      <c r="H136" s="68"/>
      <c r="M136" s="68"/>
      <c r="N136" s="68"/>
      <c r="O136" s="68"/>
      <c r="P136" s="68"/>
      <c r="Q136" s="68"/>
      <c r="R136" s="68"/>
      <c r="S136" s="68"/>
      <c r="T136" s="68"/>
      <c r="U136" s="68"/>
      <c r="V136" s="68"/>
      <c r="BA136" s="217"/>
      <c r="BF136" s="217"/>
      <c r="BK136" s="217"/>
      <c r="BP136" s="217"/>
      <c r="BU136" s="217"/>
      <c r="BV136" s="20"/>
      <c r="BZ136" s="217"/>
      <c r="CA136" s="20"/>
      <c r="CE136" s="217"/>
      <c r="CF136" s="20"/>
      <c r="CJ136" s="217"/>
      <c r="CK136" s="20"/>
      <c r="CO136" s="217"/>
      <c r="CP136" s="20"/>
      <c r="CT136" s="217"/>
      <c r="CU136" s="705">
        <v>25</v>
      </c>
      <c r="CV136" s="684">
        <v>25</v>
      </c>
      <c r="CW136" s="645">
        <v>28</v>
      </c>
      <c r="CX136" s="244">
        <f>CY136-SUM(CU136:CW136)</f>
      </c>
      <c r="CY136" s="217">
        <v>90</v>
      </c>
      <c r="CZ136" s="1">
        <v>27</v>
      </c>
      <c r="DA136" s="1">
        <v>43</v>
      </c>
      <c r="DB136" s="211">
        <v>13</v>
      </c>
      <c r="DC136" s="211">
        <f>107-SUM(CZ136:DB136)</f>
      </c>
      <c r="DD136" s="217">
        <f>SUM(CZ136:DC136)</f>
      </c>
      <c r="DE136" s="645">
        <v>21</v>
      </c>
      <c r="DF136" s="645">
        <v>18</v>
      </c>
      <c r="DG136" s="645">
        <v>17</v>
      </c>
      <c r="DH136" s="645">
        <f>DI136-SUM(DE136:DG136)</f>
      </c>
      <c r="DI136" s="212">
        <v>91</v>
      </c>
      <c r="DJ136" s="645">
        <v>17</v>
      </c>
      <c r="DK136" s="645">
        <v>14</v>
      </c>
      <c r="DL136" s="645">
        <v>15</v>
      </c>
      <c r="DM136" s="211">
        <f>+DN136-SUM(DJ136:DL136)</f>
      </c>
      <c r="DN136" s="823">
        <v>64</v>
      </c>
      <c r="DO136" s="645">
        <v>21</v>
      </c>
      <c r="DP136" s="645">
        <v>17</v>
      </c>
      <c r="DQ136" s="645">
        <v>18</v>
      </c>
      <c r="DR136" s="211">
        <f>DR135*DR134/4</f>
      </c>
      <c r="DS136" s="212">
        <f>SUM(DO136:DR136)</f>
      </c>
      <c r="DT136" s="645">
        <v>18</v>
      </c>
      <c r="DU136" s="645">
        <v>14</v>
      </c>
      <c r="DV136" s="645">
        <v>18</v>
      </c>
      <c r="DW136" s="645">
        <v>17</v>
      </c>
      <c r="DX136" s="212">
        <f>SUM(DT136:DW136)</f>
      </c>
      <c r="DY136" s="645">
        <v>19</v>
      </c>
      <c r="DZ136" s="645">
        <v>24</v>
      </c>
      <c r="EA136" s="645">
        <v>19</v>
      </c>
      <c r="EB136" s="211">
        <f>+EC136-SUM(DY136:EA136)</f>
      </c>
      <c r="EC136" s="823">
        <v>128</v>
      </c>
      <c r="ED136" s="645">
        <v>21</v>
      </c>
      <c r="EE136" s="645">
        <v>21</v>
      </c>
      <c r="EF136" s="645">
        <v>20</v>
      </c>
      <c r="EG136" s="211">
        <f>+EH136-SUM(ED136:EF136)</f>
      </c>
      <c r="EH136" s="823">
        <v>90</v>
      </c>
      <c r="EI136" s="1040">
        <f>EI135*EI134/4</f>
      </c>
      <c r="EJ136" s="1040">
        <f>EJ135*EJ134/4</f>
      </c>
      <c r="EK136" s="1040">
        <f>EK135*EK134/4</f>
      </c>
      <c r="EL136" s="1040">
        <f>EL135*EL134/4</f>
      </c>
      <c r="EM136" s="823">
        <f>+SUM(EI136:EL136)</f>
      </c>
      <c r="EN136" s="1040">
        <f>EN135*EN134/4</f>
      </c>
      <c r="EO136" s="1040">
        <f>EO135*EO134/4</f>
      </c>
      <c r="EP136" s="1040">
        <f>EP135*EP134/4</f>
      </c>
      <c r="EQ136" s="1040">
        <f>EQ135*EQ134/4</f>
      </c>
      <c r="ER136" s="823">
        <f>+SUM(EN136:EQ136)</f>
      </c>
      <c r="ES136" s="1040">
        <f>ES135*ES134/4</f>
      </c>
      <c r="ET136" s="1040">
        <f>ET135*ET134/4</f>
      </c>
      <c r="EU136" s="1040">
        <f>EU135*EU134/4</f>
      </c>
      <c r="EV136" s="1040">
        <f>EV135*EV134/4</f>
      </c>
      <c r="EW136" s="595">
        <f>EW135*EW134</f>
      </c>
      <c r="EX136" s="1042">
        <f>EX135*EX134/4</f>
      </c>
      <c r="EY136" s="1042">
        <f>EY135*EY134/4</f>
      </c>
      <c r="EZ136" s="1042">
        <f>EZ135*EZ134/4</f>
      </c>
      <c r="FA136" s="1042">
        <f>FA135*FA134/4</f>
      </c>
      <c r="FB136" s="595">
        <f>FB135*FB134</f>
      </c>
      <c r="FC136" s="1042">
        <f>FC135*FC134/4</f>
      </c>
      <c r="FD136" s="1042">
        <f>FD135*FD134/4</f>
      </c>
      <c r="FE136" s="1042">
        <f>FE135*FE134/4</f>
      </c>
      <c r="FF136" s="1042">
        <f>FF135*FF134/4</f>
      </c>
      <c r="FG136" s="595">
        <f>FG135*FG134</f>
      </c>
      <c r="FH136" s="1745">
        <f>FH135*FH134/4</f>
      </c>
      <c r="FI136" s="1745">
        <f>FI135*FI134/4</f>
      </c>
      <c r="FJ136" s="1745">
        <f>FJ135*FJ134/4</f>
      </c>
      <c r="FK136" s="1745">
        <f>FK135*FK134/4</f>
      </c>
      <c r="FL136" s="2642">
        <f>FL135*FL134</f>
      </c>
      <c r="FM136" s="1745">
        <f>FM135*FM134/4</f>
      </c>
      <c r="FN136" s="1745">
        <f>FN135*FN134/4</f>
      </c>
      <c r="FO136" s="2871"/>
      <c r="FP136" s="1745"/>
      <c r="FQ136" s="1745"/>
      <c r="FR136" s="1745"/>
      <c r="FS136" s="2642"/>
      <c r="FT136" s="1745"/>
      <c r="FU136" s="2872"/>
      <c r="FV136" s="1745">
        <f t="shared" ref="FV136:GA136" si="325">+FV36</f>
      </c>
      <c r="FW136" s="1745">
        <f t="shared" si="325"/>
      </c>
      <c r="FX136" s="2642">
        <f t="shared" si="325"/>
      </c>
      <c r="FY136" s="1745">
        <f t="shared" si="325"/>
      </c>
      <c r="FZ136" s="1745">
        <f t="shared" si="325"/>
      </c>
      <c r="GA136" s="1745">
        <f t="shared" si="325"/>
      </c>
      <c r="GB136" s="1745">
        <f>GB135*GB134/4</f>
      </c>
      <c r="GC136" s="2642">
        <f>SUM(FY136:GB136)</f>
      </c>
      <c r="GD136" s="3942">
        <v>332</v>
      </c>
      <c r="GE136" s="3942">
        <f>592-GD136</f>
      </c>
      <c r="GF136" s="3649">
        <f>GF135*GF134/4</f>
      </c>
      <c r="GG136" s="3649">
        <f t="shared" ref="GG136" si="326">GG135*GG134/4</f>
      </c>
      <c r="GH136" s="2642">
        <f>SUM(GD136:GG136)</f>
      </c>
      <c r="GI136" s="2642">
        <f ca="1">GI135*GI134</f>
      </c>
      <c r="GJ136" s="2642">
        <f t="shared" ref="GJ136:GM136" ca="1" si="327">GJ135*GJ134</f>
      </c>
      <c r="GK136" s="2642">
        <f t="shared" ca="1" si="327"/>
      </c>
      <c r="GL136" s="2642">
        <f t="shared" ca="1" si="327"/>
      </c>
      <c r="GM136" s="2642">
        <f t="shared" ca="1" si="327"/>
      </c>
    </row>
    <row r="137" spans="2:195" ht="12.75" customHeight="1" outlineLevel="1">
      <c r="B137" s="85"/>
      <c r="C137" s="79"/>
      <c r="H137" s="86"/>
      <c r="M137" s="86"/>
      <c r="N137" s="86"/>
      <c r="O137" s="86"/>
      <c r="P137" s="86"/>
      <c r="Q137" s="86"/>
      <c r="R137" s="86"/>
      <c r="S137" s="86"/>
      <c r="T137" s="86"/>
      <c r="U137" s="86"/>
      <c r="V137" s="86"/>
      <c r="BA137" s="213"/>
      <c r="BF137" s="213"/>
      <c r="BG137" s="255"/>
      <c r="BH137" s="255"/>
      <c r="BI137" s="255"/>
      <c r="BJ137" s="255"/>
      <c r="BK137" s="213"/>
      <c r="BL137" s="255"/>
      <c r="BM137" s="255"/>
      <c r="BN137" s="255"/>
      <c r="BO137" s="255"/>
      <c r="BP137" s="213"/>
      <c r="BQ137" s="255"/>
      <c r="BR137" s="255"/>
      <c r="BS137" s="255"/>
      <c r="BT137" s="255"/>
      <c r="BU137" s="213"/>
      <c r="BV137" s="208"/>
      <c r="BW137" s="255"/>
      <c r="BX137" s="255"/>
      <c r="BY137" s="255"/>
      <c r="BZ137" s="213"/>
      <c r="CA137" s="208"/>
      <c r="CB137" s="255"/>
      <c r="CC137" s="255"/>
      <c r="CD137" s="255"/>
      <c r="CE137" s="213"/>
      <c r="CF137" s="208"/>
      <c r="CG137" s="255"/>
      <c r="CH137" s="255"/>
      <c r="CI137" s="255"/>
      <c r="CJ137" s="213"/>
      <c r="CK137" s="208"/>
      <c r="CL137" s="255"/>
      <c r="CM137" s="255"/>
      <c r="CN137" s="255"/>
      <c r="CO137" s="213"/>
      <c r="CP137" s="208"/>
      <c r="CQ137" s="255"/>
      <c r="CR137" s="255"/>
      <c r="CS137" s="255"/>
      <c r="CT137" s="213"/>
      <c r="CU137" s="208"/>
      <c r="CV137" s="255"/>
      <c r="CW137" s="255"/>
      <c r="CX137" s="245"/>
      <c r="CY137" s="213"/>
      <c r="CZ137" s="255"/>
      <c r="DA137" s="255"/>
      <c r="DB137" s="255"/>
      <c r="DC137" s="255"/>
      <c r="DD137" s="213"/>
      <c r="DE137" s="255"/>
      <c r="DF137" s="255"/>
      <c r="DG137" s="255"/>
      <c r="DH137" s="255"/>
      <c r="DI137" s="213"/>
      <c r="DJ137" s="255"/>
      <c r="DK137" s="255"/>
      <c r="DL137" s="255"/>
      <c r="DM137" s="255"/>
      <c r="DN137" s="213"/>
      <c r="DO137" s="255"/>
      <c r="DP137" s="255"/>
      <c r="DQ137" s="255"/>
      <c r="DR137" s="255"/>
      <c r="DS137" s="213"/>
      <c r="DT137" s="255"/>
      <c r="DU137" s="255"/>
      <c r="DV137" s="255"/>
      <c r="DW137" s="255"/>
      <c r="DX137" s="213"/>
      <c r="DY137" s="255"/>
      <c r="DZ137" s="255"/>
      <c r="EA137" s="255"/>
      <c r="EB137" s="255"/>
      <c r="EC137" s="213"/>
      <c r="ED137" s="1041"/>
      <c r="EE137" s="1041"/>
      <c r="EF137" s="1041"/>
      <c r="EG137" s="1041"/>
      <c r="EH137" s="213"/>
      <c r="EI137" s="1041"/>
      <c r="EJ137" s="1041"/>
      <c r="EK137" s="1041"/>
      <c r="EL137" s="1041"/>
      <c r="EM137" s="213"/>
      <c r="EN137" s="1041"/>
      <c r="EO137" s="1041"/>
      <c r="EP137" s="1041"/>
      <c r="EQ137" s="1041"/>
      <c r="ER137" s="213"/>
      <c r="ES137" s="1041"/>
      <c r="ET137" s="1041"/>
      <c r="EU137" s="1041"/>
      <c r="EV137" s="1041"/>
      <c r="EW137" s="213"/>
      <c r="EX137" s="2606"/>
      <c r="EY137" s="2606"/>
      <c r="EZ137" s="2606"/>
      <c r="FA137" s="2606"/>
      <c r="FB137" s="213"/>
      <c r="FC137" s="2606"/>
      <c r="FD137" s="2606"/>
      <c r="FE137" s="2606"/>
      <c r="FF137" s="2606"/>
      <c r="FG137" s="213"/>
      <c r="FH137" s="1742"/>
      <c r="FI137" s="1742"/>
      <c r="FJ137" s="1742"/>
      <c r="FK137" s="1742"/>
      <c r="FL137" s="2643"/>
      <c r="FM137" s="1742"/>
      <c r="FN137" s="1742"/>
      <c r="FO137" s="2873"/>
      <c r="FP137" s="1742"/>
      <c r="FQ137" s="1742"/>
      <c r="FR137" s="1742"/>
      <c r="FS137" s="2643"/>
      <c r="FT137" s="1742"/>
      <c r="FU137" s="2874"/>
      <c r="FV137" s="1742"/>
      <c r="FW137" s="1742"/>
      <c r="FX137" s="2643"/>
      <c r="FY137" s="1742"/>
      <c r="FZ137" s="1742"/>
      <c r="GA137" s="1742"/>
      <c r="GB137" s="1742"/>
      <c r="GC137" s="2643"/>
      <c r="GD137" s="1742"/>
      <c r="GE137" s="1742"/>
      <c r="GF137" s="1742"/>
      <c r="GG137" s="1742"/>
      <c r="GH137" s="2643"/>
      <c r="GI137" s="2643"/>
      <c r="GJ137" s="2643"/>
      <c r="GK137" s="2643"/>
      <c r="GL137" s="2643"/>
      <c r="GM137" s="2643"/>
    </row>
    <row r="138" spans="2:195" ht="12.75" customHeight="1" outlineLevel="1">
      <c r="B138" s="85" t="s">
        <v>22</v>
      </c>
      <c r="C138" s="79"/>
      <c r="H138" s="86"/>
      <c r="M138" s="86"/>
      <c r="N138" s="86"/>
      <c r="O138" s="86"/>
      <c r="P138" s="86"/>
      <c r="Q138" s="86"/>
      <c r="R138" s="86"/>
      <c r="S138" s="86"/>
      <c r="T138" s="86"/>
      <c r="U138" s="86"/>
      <c r="V138" s="86"/>
      <c r="BA138" s="213"/>
      <c r="BF138" s="213"/>
      <c r="BK138" s="213"/>
      <c r="BP138" s="213"/>
      <c r="BQ138" s="362">
        <f>+'Balance Sheet'!AR31</f>
      </c>
      <c r="BR138" s="362">
        <f>+'Balance Sheet'!AS31</f>
      </c>
      <c r="BS138" s="362">
        <f>+'Balance Sheet'!AT31</f>
      </c>
      <c r="BT138" s="362">
        <f>+'Balance Sheet'!AU31</f>
      </c>
      <c r="BU138" s="594">
        <f>+'Balance Sheet'!AV31</f>
      </c>
      <c r="BV138" s="139">
        <f>+'Balance Sheet'!AW31</f>
      </c>
      <c r="BW138" s="362">
        <f>+'Balance Sheet'!AX31</f>
      </c>
      <c r="BX138" s="362">
        <f>+'Balance Sheet'!AY31</f>
      </c>
      <c r="BY138" s="362">
        <f>+'Balance Sheet'!AZ31</f>
      </c>
      <c r="BZ138" s="594">
        <f>+'Balance Sheet'!BA31</f>
      </c>
      <c r="CA138" s="139">
        <f>+'Balance Sheet'!BB31</f>
      </c>
      <c r="CB138" s="362">
        <f>+'Balance Sheet'!BC31</f>
      </c>
      <c r="CC138" s="362">
        <f>+'Balance Sheet'!BD31</f>
      </c>
      <c r="CD138" s="362">
        <f>+'Balance Sheet'!BE31</f>
      </c>
      <c r="CE138" s="594">
        <f>+'Balance Sheet'!BF31</f>
      </c>
      <c r="CF138" s="139">
        <f>+'Balance Sheet'!BG31</f>
      </c>
      <c r="CG138" s="362">
        <f>+'Balance Sheet'!BH31</f>
      </c>
      <c r="CH138" s="362">
        <f>+'Balance Sheet'!BI31</f>
      </c>
      <c r="CI138" s="362">
        <f>+'Balance Sheet'!BJ31</f>
      </c>
      <c r="CJ138" s="594">
        <f>+'Balance Sheet'!BK31</f>
      </c>
      <c r="CK138" s="139">
        <f>+'Balance Sheet'!BL31</f>
      </c>
      <c r="CL138" s="362">
        <f>+'Balance Sheet'!BM31</f>
      </c>
      <c r="CM138" s="362">
        <f>+'Balance Sheet'!BN31</f>
      </c>
      <c r="CN138" s="362">
        <f>+'Balance Sheet'!BO31</f>
      </c>
      <c r="CO138" s="594">
        <f>+'Balance Sheet'!BP31</f>
      </c>
      <c r="CP138" s="139">
        <f>+'Balance Sheet'!BQ31</f>
      </c>
      <c r="CQ138" s="362">
        <f>+'Balance Sheet'!BR31</f>
      </c>
      <c r="CR138" s="362">
        <f>+'Balance Sheet'!BS31</f>
      </c>
      <c r="CS138" s="362">
        <f>+'Balance Sheet'!BT31</f>
      </c>
      <c r="CT138" s="594">
        <f>+'Balance Sheet'!BU31</f>
      </c>
      <c r="CU138" s="139">
        <f>+'Balance Sheet'!BV31</f>
      </c>
      <c r="CV138" s="362">
        <f>+'Balance Sheet'!BW31</f>
      </c>
      <c r="CW138" s="362">
        <f>+'Balance Sheet'!BX31</f>
      </c>
      <c r="CX138" s="825">
        <f>+'Balance Sheet'!BY31</f>
      </c>
      <c r="CY138" s="594">
        <f>+'Balance Sheet'!BZ31</f>
      </c>
      <c r="CZ138" s="362">
        <f>+'Balance Sheet'!CA31</f>
      </c>
      <c r="DA138" s="362">
        <f>+'Balance Sheet'!CB31</f>
      </c>
      <c r="DB138" s="362">
        <f>+'Balance Sheet'!CC31</f>
      </c>
      <c r="DC138" s="362">
        <f>+'Balance Sheet'!CD31</f>
      </c>
      <c r="DD138" s="594">
        <f>+'Balance Sheet'!CE31</f>
      </c>
      <c r="DE138" s="362">
        <f>+'Balance Sheet'!CF31</f>
      </c>
      <c r="DF138" s="362">
        <f>+'Balance Sheet'!CG31</f>
      </c>
      <c r="DG138" s="362">
        <f>+'Balance Sheet'!CH31</f>
      </c>
      <c r="DH138" s="362">
        <f>+'Balance Sheet'!CI31</f>
      </c>
      <c r="DI138" s="594">
        <f>+'Balance Sheet'!CJ31</f>
      </c>
      <c r="DJ138" s="10">
        <f>+'Balance Sheet'!CK31</f>
      </c>
      <c r="DK138" s="10">
        <f>+'Balance Sheet'!CL31</f>
      </c>
      <c r="DL138" s="10">
        <f>+'Balance Sheet'!CM31</f>
      </c>
      <c r="DM138" s="10">
        <f>+'Balance Sheet'!CN31</f>
      </c>
      <c r="DN138" s="213">
        <f>+'Balance Sheet'!CO31</f>
      </c>
      <c r="DO138" s="10">
        <f>+'Balance Sheet'!CP31</f>
      </c>
      <c r="DP138" s="10">
        <f>+'Balance Sheet'!CQ31</f>
      </c>
      <c r="DQ138" s="10">
        <f>+'Balance Sheet'!CR31</f>
      </c>
      <c r="DR138" s="10">
        <f>+'Balance Sheet'!CS31</f>
      </c>
      <c r="DS138" s="213">
        <f>+'Balance Sheet'!CT31</f>
      </c>
      <c r="DT138" s="10">
        <f>+'Balance Sheet'!CU31</f>
      </c>
      <c r="DU138" s="10">
        <f>+'Balance Sheet'!CV31</f>
      </c>
      <c r="DV138" s="10">
        <f>+'Balance Sheet'!CW31</f>
      </c>
      <c r="DW138" s="10">
        <f>+'Balance Sheet'!CX31</f>
      </c>
      <c r="DX138" s="213">
        <f>+'Balance Sheet'!CY31</f>
      </c>
      <c r="DY138" s="10">
        <f>+'Balance Sheet'!CZ31</f>
      </c>
      <c r="DZ138" s="10">
        <f>+'Balance Sheet'!DA31</f>
      </c>
      <c r="EA138" s="10">
        <f>+'Balance Sheet'!DB31</f>
      </c>
      <c r="EB138" s="10">
        <f>+'Balance Sheet'!DC31</f>
      </c>
      <c r="EC138" s="213">
        <f>+'Balance Sheet'!DD31</f>
      </c>
      <c r="ED138" s="10">
        <f>+'Balance Sheet'!DE31</f>
      </c>
      <c r="EE138" s="10">
        <f>+'Balance Sheet'!DF31</f>
      </c>
      <c r="EF138" s="10">
        <f>+'Balance Sheet'!DG31</f>
      </c>
      <c r="EG138" s="10">
        <f>+'Balance Sheet'!DH31</f>
      </c>
      <c r="EH138" s="213">
        <f>+'Balance Sheet'!DI31</f>
      </c>
      <c r="EI138" s="10">
        <f>+'Balance Sheet'!DJ31</f>
      </c>
      <c r="EJ138" s="10">
        <f>+'Balance Sheet'!DK31</f>
      </c>
      <c r="EK138" s="10">
        <f>+'Balance Sheet'!DL31</f>
      </c>
      <c r="EL138" s="10">
        <f>+'Balance Sheet'!DM31</f>
      </c>
      <c r="EM138" s="213">
        <f>+'Balance Sheet'!DN31</f>
      </c>
      <c r="EN138" s="10">
        <f>+'Balance Sheet'!DO31</f>
      </c>
      <c r="EO138" s="10">
        <f>+'Balance Sheet'!DP31</f>
      </c>
      <c r="EP138" s="10">
        <f>+'Balance Sheet'!DQ31</f>
      </c>
      <c r="EQ138" s="10">
        <f>+'Balance Sheet'!DR31</f>
      </c>
      <c r="ER138" s="353">
        <f>+'Balance Sheet'!DS31</f>
      </c>
      <c r="ES138" s="10">
        <f>+'Balance Sheet'!DT31</f>
      </c>
      <c r="ET138" s="10">
        <f>+'Balance Sheet'!DU31</f>
      </c>
      <c r="EU138" s="10">
        <f>+'Balance Sheet'!DV31</f>
      </c>
      <c r="EV138" s="10">
        <f>+'Balance Sheet'!DW31</f>
      </c>
      <c r="EW138" s="353">
        <f>+'Balance Sheet'!DX31</f>
      </c>
      <c r="EX138" s="10">
        <f>+'Balance Sheet'!DY31</f>
      </c>
      <c r="EY138" s="10">
        <f>+'Balance Sheet'!DZ31</f>
      </c>
      <c r="EZ138" s="10">
        <f>+'Balance Sheet'!EA31</f>
      </c>
      <c r="FA138" s="10">
        <f>+'Balance Sheet'!EB31</f>
      </c>
      <c r="FB138" s="353">
        <f>+'Balance Sheet'!EC31</f>
      </c>
      <c r="FC138" s="10">
        <f>+'Balance Sheet'!ED31</f>
      </c>
      <c r="FD138" s="10">
        <f>+'Balance Sheet'!EE31</f>
      </c>
      <c r="FE138" s="10">
        <f>+'Balance Sheet'!EF31</f>
      </c>
      <c r="FF138" s="10">
        <f>+'Balance Sheet'!EG31</f>
      </c>
      <c r="FG138" s="353">
        <f>+'Balance Sheet'!EH31</f>
      </c>
      <c r="FH138" s="107">
        <f>+'Balance Sheet'!EI31</f>
      </c>
      <c r="FI138" s="107">
        <f>+'Balance Sheet'!EJ31</f>
      </c>
      <c r="FJ138" s="107">
        <f>+'Balance Sheet'!EK31</f>
      </c>
      <c r="FK138" s="107">
        <f>+'Balance Sheet'!EL31</f>
      </c>
      <c r="FL138" s="2644">
        <f>+'Balance Sheet'!EM31</f>
      </c>
      <c r="FM138" s="2914">
        <f>+'Balance Sheet'!EN31</f>
      </c>
      <c r="FN138" s="2914">
        <f>+'Balance Sheet'!EO31</f>
      </c>
      <c r="FO138" s="2494"/>
      <c r="FP138" s="107"/>
      <c r="FQ138" s="107"/>
      <c r="FR138" s="107"/>
      <c r="FS138" s="2644"/>
      <c r="FT138" s="1284"/>
      <c r="FU138" s="1313"/>
      <c r="FV138" s="2914">
        <f>+'Balance Sheet'!EP31</f>
      </c>
      <c r="FW138" s="2914">
        <f>+'Balance Sheet'!EQ31</f>
      </c>
      <c r="FX138" s="2915">
        <f>+'Balance Sheet'!ER31</f>
      </c>
      <c r="FY138" s="2914">
        <f>+'Balance Sheet'!ES31</f>
      </c>
      <c r="FZ138" s="2914">
        <f>+'Balance Sheet'!ET31</f>
      </c>
      <c r="GA138" s="2914">
        <f>+'Balance Sheet'!EU31</f>
      </c>
      <c r="GB138" s="2914">
        <f>+'Balance Sheet'!EV31</f>
      </c>
      <c r="GC138" s="2915">
        <f>+'Balance Sheet'!EW31</f>
      </c>
      <c r="GD138" s="2914">
        <f>+'Balance Sheet'!EX31</f>
      </c>
      <c r="GE138" s="2914">
        <f>+'Balance Sheet'!EY31</f>
      </c>
      <c r="GF138" s="2914">
        <f>+'Balance Sheet'!EZ31</f>
      </c>
      <c r="GG138" s="2914">
        <f>+'Balance Sheet'!FA31</f>
      </c>
      <c r="GH138" s="2915">
        <f>+'Balance Sheet'!FB31</f>
      </c>
      <c r="GI138" s="2915">
        <f>+'Balance Sheet'!FC31</f>
      </c>
      <c r="GJ138" s="2915">
        <f>+'Balance Sheet'!FD31</f>
      </c>
      <c r="GK138" s="2915">
        <f>+'Balance Sheet'!FE31</f>
      </c>
      <c r="GL138" s="2915">
        <f>+'Balance Sheet'!FF31</f>
      </c>
      <c r="GM138" s="2915">
        <f>+'Balance Sheet'!FG31</f>
      </c>
    </row>
    <row r="139" spans="2:195" ht="12.75" customHeight="1" outlineLevel="1">
      <c r="B139" s="85" t="s">
        <v>23</v>
      </c>
      <c r="C139" s="79"/>
      <c r="H139" s="86"/>
      <c r="M139" s="86"/>
      <c r="N139" s="86"/>
      <c r="O139" s="86"/>
      <c r="P139" s="86"/>
      <c r="Q139" s="86"/>
      <c r="R139" s="86"/>
      <c r="S139" s="86"/>
      <c r="T139" s="86"/>
      <c r="U139" s="86"/>
      <c r="V139" s="86"/>
      <c r="BA139" s="213"/>
      <c r="BF139" s="213"/>
      <c r="BK139" s="213"/>
      <c r="BP139" s="213"/>
      <c r="BQ139" s="362">
        <f>+'Balance Sheet'!AR37</f>
      </c>
      <c r="BR139" s="362">
        <f>+'Balance Sheet'!AS37</f>
      </c>
      <c r="BS139" s="362">
        <f>+'Balance Sheet'!AT37</f>
      </c>
      <c r="BT139" s="362">
        <f>+'Balance Sheet'!AU37</f>
      </c>
      <c r="BU139" s="594">
        <f>+'Balance Sheet'!AV37</f>
      </c>
      <c r="BV139" s="139">
        <f>+'Balance Sheet'!AW37</f>
      </c>
      <c r="BW139" s="362">
        <f>+'Balance Sheet'!AX37</f>
      </c>
      <c r="BX139" s="362">
        <f>+'Balance Sheet'!AY37</f>
      </c>
      <c r="BY139" s="362">
        <f>+'Balance Sheet'!AZ37</f>
      </c>
      <c r="BZ139" s="594">
        <f>+'Balance Sheet'!BA37</f>
      </c>
      <c r="CA139" s="139">
        <f>+'Balance Sheet'!BB37</f>
      </c>
      <c r="CB139" s="362">
        <f>+'Balance Sheet'!BC37</f>
      </c>
      <c r="CC139" s="362">
        <f>+'Balance Sheet'!BD37</f>
      </c>
      <c r="CD139" s="362">
        <f>+'Balance Sheet'!BE37</f>
      </c>
      <c r="CE139" s="594">
        <f>+'Balance Sheet'!BF37</f>
      </c>
      <c r="CF139" s="139">
        <f>+'Balance Sheet'!BG37</f>
      </c>
      <c r="CG139" s="362">
        <f>+'Balance Sheet'!BH37</f>
      </c>
      <c r="CH139" s="362">
        <f>+'Balance Sheet'!BI37</f>
      </c>
      <c r="CI139" s="362">
        <f>+'Balance Sheet'!BJ37</f>
      </c>
      <c r="CJ139" s="594">
        <f>+'Balance Sheet'!BK37</f>
      </c>
      <c r="CK139" s="139">
        <f>+'Balance Sheet'!BL37</f>
      </c>
      <c r="CL139" s="362">
        <f>+'Balance Sheet'!BM37</f>
      </c>
      <c r="CM139" s="362">
        <f>+'Balance Sheet'!BN37</f>
      </c>
      <c r="CN139" s="362">
        <f>+'Balance Sheet'!BO37</f>
      </c>
      <c r="CO139" s="594">
        <f>+'Balance Sheet'!BP37</f>
      </c>
      <c r="CP139" s="139">
        <f>+'Balance Sheet'!BQ37</f>
      </c>
      <c r="CQ139" s="362">
        <f>+'Balance Sheet'!BR37</f>
      </c>
      <c r="CR139" s="362">
        <f>+'Balance Sheet'!BS37</f>
      </c>
      <c r="CS139" s="362">
        <f>+'Balance Sheet'!BT37</f>
      </c>
      <c r="CT139" s="594">
        <f>+'Balance Sheet'!BU37</f>
      </c>
      <c r="CU139" s="139">
        <f>+'Balance Sheet'!BV37</f>
      </c>
      <c r="CV139" s="362">
        <f>+'Balance Sheet'!BW37</f>
      </c>
      <c r="CW139" s="362">
        <f>+'Balance Sheet'!BX37</f>
      </c>
      <c r="CX139" s="825">
        <f>+'Balance Sheet'!BY37</f>
      </c>
      <c r="CY139" s="594">
        <f>+'Balance Sheet'!BZ37</f>
      </c>
      <c r="CZ139" s="362">
        <f>+'Balance Sheet'!CA37</f>
      </c>
      <c r="DA139" s="362">
        <f>+'Balance Sheet'!CB37</f>
      </c>
      <c r="DB139" s="362">
        <f>+'Balance Sheet'!CC37</f>
      </c>
      <c r="DC139" s="362">
        <f>+'Balance Sheet'!CD37</f>
      </c>
      <c r="DD139" s="594">
        <f>+'Balance Sheet'!CE37</f>
      </c>
      <c r="DE139" s="362">
        <f>+'Balance Sheet'!CF37</f>
      </c>
      <c r="DF139" s="362">
        <f>+'Balance Sheet'!CG37</f>
      </c>
      <c r="DG139" s="362">
        <f>+'Balance Sheet'!CH37</f>
      </c>
      <c r="DH139" s="362">
        <f>+'Balance Sheet'!CI37</f>
      </c>
      <c r="DI139" s="594">
        <f>+'Balance Sheet'!CJ37</f>
      </c>
      <c r="DJ139" s="10">
        <f>+'Balance Sheet'!CK37</f>
      </c>
      <c r="DK139" s="10">
        <f>+'Balance Sheet'!CL37</f>
      </c>
      <c r="DL139" s="10">
        <f>+'Balance Sheet'!CM37</f>
      </c>
      <c r="DM139" s="10">
        <f>+'Balance Sheet'!CN37</f>
      </c>
      <c r="DN139" s="213">
        <f>+'Balance Sheet'!CO37</f>
      </c>
      <c r="DO139" s="10">
        <f>+'Balance Sheet'!CP37</f>
      </c>
      <c r="DP139" s="10">
        <f>+'Balance Sheet'!CQ37</f>
      </c>
      <c r="DQ139" s="10">
        <f>+'Balance Sheet'!CR37</f>
      </c>
      <c r="DR139" s="10">
        <f>+'Balance Sheet'!CS37</f>
      </c>
      <c r="DS139" s="213">
        <f>+'Balance Sheet'!CT37</f>
      </c>
      <c r="DT139" s="10">
        <f>+'Balance Sheet'!CU37</f>
      </c>
      <c r="DU139" s="10">
        <f>+'Balance Sheet'!CV37</f>
      </c>
      <c r="DV139" s="10">
        <f>+'Balance Sheet'!CW37</f>
      </c>
      <c r="DW139" s="10">
        <f>+'Balance Sheet'!CX37</f>
      </c>
      <c r="DX139" s="213">
        <f>+'Balance Sheet'!CY37</f>
      </c>
      <c r="DY139" s="10">
        <f>+'Balance Sheet'!CZ37</f>
      </c>
      <c r="DZ139" s="10">
        <f>+'Balance Sheet'!DA37</f>
      </c>
      <c r="EA139" s="10">
        <f>+'Balance Sheet'!DB37</f>
      </c>
      <c r="EB139" s="10">
        <f>+'Balance Sheet'!DC37</f>
      </c>
      <c r="EC139" s="213">
        <f>+'Balance Sheet'!DD37</f>
      </c>
      <c r="ED139" s="10">
        <f>+'Balance Sheet'!DE37</f>
      </c>
      <c r="EE139" s="10">
        <f>+'Balance Sheet'!DF37</f>
      </c>
      <c r="EF139" s="10">
        <f>+'Balance Sheet'!DG37</f>
      </c>
      <c r="EG139" s="10">
        <f>+'Balance Sheet'!DH37</f>
      </c>
      <c r="EH139" s="213">
        <f>+'Balance Sheet'!DI37</f>
      </c>
      <c r="EI139" s="10">
        <f>+'Balance Sheet'!DJ37</f>
      </c>
      <c r="EJ139" s="10">
        <f>+'Balance Sheet'!DK37</f>
      </c>
      <c r="EK139" s="10">
        <f>+'Balance Sheet'!DL37</f>
      </c>
      <c r="EL139" s="10">
        <f>+'Balance Sheet'!DM37</f>
      </c>
      <c r="EM139" s="213">
        <f>+'Balance Sheet'!DN37</f>
      </c>
      <c r="EN139" s="10">
        <f>+'Balance Sheet'!DO37</f>
      </c>
      <c r="EO139" s="10">
        <f>+'Balance Sheet'!DP37</f>
      </c>
      <c r="EP139" s="10">
        <f>+'Balance Sheet'!DQ37</f>
      </c>
      <c r="EQ139" s="10">
        <f>+'Balance Sheet'!DR37</f>
      </c>
      <c r="ER139" s="213">
        <f>+'Balance Sheet'!DS37</f>
      </c>
      <c r="ES139" s="10">
        <f>+'Balance Sheet'!DT37</f>
      </c>
      <c r="ET139" s="10">
        <f>+'Balance Sheet'!DU37</f>
      </c>
      <c r="EU139" s="10">
        <f>+'Balance Sheet'!DV37</f>
      </c>
      <c r="EV139" s="10">
        <f>+'Balance Sheet'!DW37</f>
      </c>
      <c r="EW139" s="353">
        <f>+'Balance Sheet'!DX37</f>
      </c>
      <c r="EX139" s="10">
        <f>+'Balance Sheet'!DY37</f>
      </c>
      <c r="EY139" s="10">
        <f>+'Balance Sheet'!DZ37</f>
      </c>
      <c r="EZ139" s="10">
        <f>+'Balance Sheet'!EA37</f>
      </c>
      <c r="FA139" s="10">
        <f>+'Balance Sheet'!EB37</f>
      </c>
      <c r="FB139" s="353">
        <f>+'Balance Sheet'!EC37</f>
      </c>
      <c r="FC139" s="10">
        <f>+'Balance Sheet'!ED37</f>
      </c>
      <c r="FD139" s="10">
        <f>+'Balance Sheet'!EE37</f>
      </c>
      <c r="FE139" s="10">
        <f>+'Balance Sheet'!EF37</f>
      </c>
      <c r="FF139" s="10">
        <f>+'Balance Sheet'!EG37</f>
      </c>
      <c r="FG139" s="353">
        <f>+'Balance Sheet'!EH37</f>
      </c>
      <c r="FH139" s="107">
        <f>+'Balance Sheet'!EI37</f>
      </c>
      <c r="FI139" s="107">
        <f>+'Balance Sheet'!EJ37</f>
      </c>
      <c r="FJ139" s="107">
        <f>+'Balance Sheet'!EK37</f>
      </c>
      <c r="FK139" s="107">
        <f>+'Balance Sheet'!EL37</f>
      </c>
      <c r="FL139" s="2644">
        <f>+'Balance Sheet'!EM37</f>
      </c>
      <c r="FM139" s="2914">
        <f>+'Balance Sheet'!EN37</f>
      </c>
      <c r="FN139" s="2914">
        <f>+'Balance Sheet'!EO37</f>
      </c>
      <c r="FO139" s="2494"/>
      <c r="FP139" s="107"/>
      <c r="FQ139" s="107"/>
      <c r="FR139" s="107"/>
      <c r="FS139" s="2644"/>
      <c r="FT139" s="1284"/>
      <c r="FU139" s="1313"/>
      <c r="FV139" s="2914">
        <f>+'Balance Sheet'!EP37</f>
      </c>
      <c r="FW139" s="2914">
        <f>+'Balance Sheet'!EQ37</f>
      </c>
      <c r="FX139" s="2915">
        <f>+'Balance Sheet'!ER37</f>
      </c>
      <c r="FY139" s="2914">
        <f>+'Balance Sheet'!ES37</f>
      </c>
      <c r="FZ139" s="2914">
        <f>+'Balance Sheet'!ET37</f>
      </c>
      <c r="GA139" s="2914">
        <f>+'Balance Sheet'!EU37</f>
      </c>
      <c r="GB139" s="2914">
        <f>+'Balance Sheet'!EV37</f>
      </c>
      <c r="GC139" s="2915">
        <f>+'Balance Sheet'!EW37</f>
      </c>
      <c r="GD139" s="2914">
        <f>+'Balance Sheet'!EX37</f>
      </c>
      <c r="GE139" s="2914">
        <f>+'Balance Sheet'!EY37</f>
      </c>
      <c r="GF139" s="2914">
        <f>+'Balance Sheet'!EZ37</f>
      </c>
      <c r="GG139" s="2914">
        <f>+'Balance Sheet'!FA37</f>
      </c>
      <c r="GH139" s="2915">
        <f>+'Balance Sheet'!FB37</f>
      </c>
      <c r="GI139" s="2915">
        <f>+'Balance Sheet'!FC37</f>
      </c>
      <c r="GJ139" s="2915">
        <f>+'Balance Sheet'!FD37</f>
      </c>
      <c r="GK139" s="2915">
        <f>+'Balance Sheet'!FE37</f>
      </c>
      <c r="GL139" s="2915">
        <f>+'Balance Sheet'!FF37</f>
      </c>
      <c r="GM139" s="2915">
        <f>+'Balance Sheet'!FG37</f>
      </c>
    </row>
    <row r="140" spans="2:195" ht="12.75" customHeight="1" outlineLevel="1">
      <c r="B140" s="85" t="s">
        <v>203</v>
      </c>
      <c r="C140" s="79"/>
      <c r="H140" s="86"/>
      <c r="M140" s="86"/>
      <c r="N140" s="86"/>
      <c r="O140" s="86"/>
      <c r="P140" s="86"/>
      <c r="Q140" s="86"/>
      <c r="R140" s="86"/>
      <c r="S140" s="86"/>
      <c r="T140" s="86"/>
      <c r="U140" s="86"/>
      <c r="V140" s="86"/>
      <c r="BA140" s="205"/>
      <c r="BF140" s="205"/>
      <c r="BG140" s="255"/>
      <c r="BH140" s="255"/>
      <c r="BI140" s="255"/>
      <c r="BJ140" s="204"/>
      <c r="BK140" s="205"/>
      <c r="BL140" s="255"/>
      <c r="BM140" s="255"/>
      <c r="BN140" s="255"/>
      <c r="BO140" s="204"/>
      <c r="BP140" s="205"/>
      <c r="BQ140" s="362">
        <f>SUM(BQ138:BQ139)</f>
      </c>
      <c r="BR140" s="362">
        <f>AVERAGE(SUM(BQ138:BQ139),SUM(BR138:BR139))</f>
      </c>
      <c r="BS140" s="362">
        <f>AVERAGE(SUM(BR138:BR139),SUM(BS138:BS139))</f>
      </c>
      <c r="BT140" s="825">
        <f>AVERAGE(SUM(BS138:BS139),SUM(BT138:BT139))</f>
      </c>
      <c r="BU140" s="824">
        <f>AVERAGE(BQ140:BT140)</f>
      </c>
      <c r="BV140" s="139">
        <f>AVERAGE(SUM(BU138:BU139),SUM(BV138:BV139))</f>
      </c>
      <c r="BW140" s="362">
        <f>AVERAGE(SUM(BV138:BV139),SUM(BW138:BW139))</f>
      </c>
      <c r="BX140" s="362">
        <f>AVERAGE(SUM(BW138:BW139),SUM(BX138:BX139))</f>
      </c>
      <c r="BY140" s="825">
        <f>AVERAGE(SUM(BX138:BX139),SUM(BY138:BY139))</f>
      </c>
      <c r="BZ140" s="824">
        <f>AVERAGE(BV140:BY140)</f>
      </c>
      <c r="CA140" s="139">
        <f>AVERAGE(SUM(BZ138:BZ139),SUM(CA138:CA139))</f>
      </c>
      <c r="CB140" s="362">
        <f>AVERAGE(SUM(CA138:CA139),SUM(CB138:CB139))</f>
      </c>
      <c r="CC140" s="362">
        <f>AVERAGE(SUM(CB138:CB139),SUM(CC138:CC139))</f>
      </c>
      <c r="CD140" s="825">
        <f>AVERAGE(SUM(CC138:CC139),SUM(CD138:CD139))</f>
      </c>
      <c r="CE140" s="824">
        <f>AVERAGE(CA140:CD140)</f>
      </c>
      <c r="CF140" s="139">
        <f>AVERAGE(SUM(CE138:CE139),SUM(CF138:CF139))</f>
      </c>
      <c r="CG140" s="362">
        <f>AVERAGE(SUM(CF138:CF139),SUM(CG138:CG139))</f>
      </c>
      <c r="CH140" s="362">
        <f>AVERAGE(SUM(CG138:CG139),SUM(CH138:CH139))</f>
      </c>
      <c r="CI140" s="825">
        <f>AVERAGE(SUM(CH138:CH139),SUM(CI138:CI139))</f>
      </c>
      <c r="CJ140" s="824">
        <f>AVERAGE(CF140:CI140)</f>
      </c>
      <c r="CK140" s="139">
        <f>AVERAGE(SUM(CJ138:CJ139),SUM(CK138:CK139))</f>
      </c>
      <c r="CL140" s="362">
        <f>AVERAGE(SUM(CK138:CK139),SUM(CL138:CL139))</f>
      </c>
      <c r="CM140" s="362">
        <f>AVERAGE(SUM(CL138:CL139),SUM(CM138:CM139))</f>
      </c>
      <c r="CN140" s="825">
        <f>AVERAGE(SUM(CM138:CM139),SUM(CN138:CN139))</f>
      </c>
      <c r="CO140" s="824">
        <f>AVERAGE(CK140:CN140)</f>
      </c>
      <c r="CP140" s="139">
        <f>AVERAGE(SUM(CO138:CO139),SUM(CP138:CP139))</f>
      </c>
      <c r="CQ140" s="362">
        <f>AVERAGE(SUM(CP138:CP139),SUM(CQ138:CQ139))</f>
      </c>
      <c r="CR140" s="362">
        <f>AVERAGE(SUM(CQ138:CQ139),SUM(CR138:CR139))</f>
      </c>
      <c r="CS140" s="825">
        <f>AVERAGE(SUM(CR138:CR139),SUM(CS138:CS139))</f>
      </c>
      <c r="CT140" s="824">
        <f>AVERAGE(CP140:CS140)</f>
      </c>
      <c r="CU140" s="139">
        <f>AVERAGE(SUM(CT138:CT139),SUM(CU138:CU139))</f>
      </c>
      <c r="CV140" s="362">
        <f>AVERAGE(SUM(CU138:CU139),SUM(CV138:CV139))</f>
      </c>
      <c r="CW140" s="362">
        <f>AVERAGE(SUM(CV138:CV139),SUM(CW138:CW139))</f>
      </c>
      <c r="CX140" s="825">
        <f>AVERAGE(SUM(CW138:CW139),SUM(CX138:CX139))</f>
      </c>
      <c r="CY140" s="824">
        <f>AVERAGE(CU140:CX140)</f>
      </c>
      <c r="CZ140" s="362">
        <f>AVERAGE(SUM(CX138:CX139),SUM(CZ138:CZ139))</f>
      </c>
      <c r="DA140" s="362">
        <f>AVERAGE(SUM(CZ138:CZ139),SUM(DA138:DA139))</f>
      </c>
      <c r="DB140" s="362">
        <f>AVERAGE(SUM(DA138:DA139),SUM(DB138:DB139))</f>
      </c>
      <c r="DC140" s="362">
        <f>AVERAGE(SUM(DB138:DB139),SUM(DC138:DC139))</f>
      </c>
      <c r="DD140" s="824">
        <f>AVERAGE(CZ140:DC140)</f>
      </c>
      <c r="DE140" s="362">
        <f>AVERAGE(SUM(DD138:DD139),SUM(DE138:DE139))</f>
      </c>
      <c r="DF140" s="362">
        <f>AVERAGE(SUM(DE138:DE139),SUM(DF138:DF139))</f>
      </c>
      <c r="DG140" s="362">
        <f>AVERAGE(SUM(DF138:DF139),SUM(DG138:DG139))</f>
      </c>
      <c r="DH140" s="362">
        <f>AVERAGE(SUM(DG138:DG139),SUM(DH138:DH139))</f>
      </c>
      <c r="DI140" s="824">
        <f>AVERAGE(SUM(DD138:DD139),SUM(DI138:DI139))</f>
      </c>
      <c r="DJ140" s="204">
        <f>AVERAGE(SUM(DI138:DI139),SUM(DJ138:DJ139))</f>
      </c>
      <c r="DK140" s="204">
        <f>AVERAGE(SUM(DJ138:DJ139),SUM(DK138:DK139))</f>
      </c>
      <c r="DL140" s="204">
        <f>AVERAGE(SUM(DK138:DK139),SUM(DL138:DL139))</f>
      </c>
      <c r="DM140" s="204">
        <f>AVERAGE(SUM(DL138:DL139),SUM(DM138:DM139))</f>
      </c>
      <c r="DN140" s="205">
        <f>AVERAGE(SUM(DI138:DI139),SUM(DN138:DN139))</f>
      </c>
      <c r="DO140" s="204">
        <f>AVERAGE(SUM(DN138:DN139),SUM(DO138:DO139))</f>
      </c>
      <c r="DP140" s="204">
        <f>AVERAGE(SUM(DO138:DO139),SUM(DP138:DP139))</f>
      </c>
      <c r="DQ140" s="204">
        <f>AVERAGE(SUM(DP138:DP139),SUM(DQ138:DQ139))</f>
      </c>
      <c r="DR140" s="204">
        <f>AVERAGE(SUM(DQ138:DQ139),SUM(DR138:DR139))</f>
      </c>
      <c r="DS140" s="205">
        <f>AVERAGE(SUM(DN138:DN139),SUM(DS138:DS139))</f>
      </c>
      <c r="DT140" s="204">
        <f>AVERAGE(SUM(DS138:DS139),SUM(DT138:DT139))</f>
      </c>
      <c r="DU140" s="204">
        <f>AVERAGE(SUM(DT138:DT139),SUM(DU138:DU139))</f>
      </c>
      <c r="DV140" s="204">
        <f>AVERAGE(SUM(DU138:DU139),SUM(DV138:DV139))</f>
      </c>
      <c r="DW140" s="204">
        <f>AVERAGE(SUM(DV138:DV139),SUM(DW138:DW139))</f>
      </c>
      <c r="DX140" s="205">
        <f>AVERAGE(SUM(DS138:DS139),SUM(DX138:DX139))</f>
      </c>
      <c r="DY140" s="204">
        <f>AVERAGE(SUM(DX138:DX139),SUM(DY138:DY139))</f>
      </c>
      <c r="DZ140" s="204">
        <f>AVERAGE(SUM(DY138:DY139),SUM(DZ138:DZ139))</f>
      </c>
      <c r="EA140" s="204">
        <f>AVERAGE(SUM(DZ138:DZ139),SUM(EA138:EA139))</f>
      </c>
      <c r="EB140" s="204">
        <f>AVERAGE(SUM(EA138:EA139),SUM(EB138:EB139))</f>
      </c>
      <c r="EC140" s="205">
        <f>AVERAGE(SUM(DX138:DX139),SUM(EC138:EC139))</f>
      </c>
      <c r="ED140" s="204">
        <f>AVERAGE(SUM(EC138:EC139),SUM(ED138:ED139))</f>
      </c>
      <c r="EE140" s="204">
        <f>AVERAGE(SUM(ED138:ED139),SUM(EE138:EE139))</f>
      </c>
      <c r="EF140" s="204">
        <f>AVERAGE(SUM(EE138:EE139),SUM(EF138:EF139))</f>
      </c>
      <c r="EG140" s="204">
        <f>AVERAGE(SUM(EF138:EF139),SUM(EG138:EG139))</f>
      </c>
      <c r="EH140" s="205">
        <f>AVERAGE(SUM(EC138:EC139),SUM(EH138:EH139))</f>
      </c>
      <c r="EI140" s="204">
        <f>AVERAGE(SUM(EH138:EH139),SUM(EI138:EI139))</f>
      </c>
      <c r="EJ140" s="204">
        <f>AVERAGE(SUM(EI138:EI139),SUM(EJ138:EJ139))</f>
      </c>
      <c r="EK140" s="204">
        <f>AVERAGE(SUM(EJ138:EJ139),SUM(EK138:EK139))</f>
      </c>
      <c r="EL140" s="204">
        <f>AVERAGE(SUM(EK138:EK139),SUM(EL138:EL139))</f>
      </c>
      <c r="EM140" s="205">
        <f>AVERAGE(SUM(EH138:EH139),SUM(EM138:EM139))</f>
      </c>
      <c r="EN140" s="204">
        <f>AVERAGE(SUM(EM138:EM139),SUM(EN138:EN139))</f>
      </c>
      <c r="EO140" s="204">
        <f>AVERAGE(SUM(EN138:EN139),SUM(EO138:EO139))</f>
      </c>
      <c r="EP140" s="204">
        <f>AVERAGE(SUM(EO138:EO139),SUM(EP138:EP139))</f>
      </c>
      <c r="EQ140" s="204">
        <f>AVERAGE(SUM(EP138:EP139),SUM(EQ138:EQ139))</f>
      </c>
      <c r="ER140" s="205">
        <f>AVERAGE(SUM(EM138:EM139),SUM(ER138:ER139))</f>
      </c>
      <c r="ES140" s="204">
        <f>AVERAGE(SUM(ER138:ER139),SUM(ES138:ES139))</f>
      </c>
      <c r="ET140" s="204">
        <f>AVERAGE(SUM(ES138:ES139),SUM(ET138:ET139))</f>
      </c>
      <c r="EU140" s="204">
        <f>AVERAGE(SUM(ET138:ET139),SUM(EU138:EU139))</f>
      </c>
      <c r="EV140" s="204">
        <f>AVERAGE(SUM(EU138:EU139),SUM(EV138:EV139))</f>
      </c>
      <c r="EW140" s="2605">
        <f>AVERAGE(SUM(ER138:ER139),SUM(EW138:EW139))</f>
      </c>
      <c r="EX140" s="2607">
        <f>AVERAGE(SUM(EW138:EW139),SUM(EX138:EX139))</f>
      </c>
      <c r="EY140" s="2607">
        <f>AVERAGE(SUM(EX138:EX139),SUM(EY138:EY139))</f>
      </c>
      <c r="EZ140" s="2607">
        <f>AVERAGE(SUM(EY138:EY139),SUM(EZ138:EZ139))</f>
      </c>
      <c r="FA140" s="2607">
        <f>AVERAGE(SUM(EZ138:EZ139),SUM(FA138:FA139))</f>
      </c>
      <c r="FB140" s="2605">
        <f>AVERAGE(SUM(EW138:EW139),SUM(FB138:FB139))</f>
      </c>
      <c r="FC140" s="2607">
        <f>AVERAGE(SUM(FB138:FB139),SUM(FC138:FC139))</f>
      </c>
      <c r="FD140" s="2607">
        <f>AVERAGE(SUM(FC138:FC139),SUM(FD138:FD139))</f>
      </c>
      <c r="FE140" s="2607">
        <f>AVERAGE(SUM(FD138:FD139),SUM(FE138:FE139))</f>
      </c>
      <c r="FF140" s="2607">
        <f>AVERAGE(SUM(FE138:FE139),SUM(FF138:FF139))</f>
      </c>
      <c r="FG140" s="2605">
        <f>AVERAGE(SUM(FB138:FB139),SUM(FG138:FG139))</f>
      </c>
      <c r="FH140" s="1743">
        <f>AVERAGE(SUM(FG138:FG139),SUM(FH138:FH139))</f>
      </c>
      <c r="FI140" s="1743">
        <f>AVERAGE(SUM(FH138:FH139),SUM(FI138:FI139))</f>
      </c>
      <c r="FJ140" s="1743">
        <f>AVERAGE(SUM(FI138:FI139),SUM(FJ138:FJ139))</f>
      </c>
      <c r="FK140" s="1743">
        <f>AVERAGE(SUM(FJ138:FJ139),SUM(FK138:FK139))</f>
      </c>
      <c r="FL140" s="1740">
        <f>AVERAGE(SUM(FG138:FG139),SUM(FL138:FL139))</f>
      </c>
      <c r="FM140" s="1739">
        <f>AVERAGE(SUM(FL138:FL139),SUM(FM138:FM139))</f>
      </c>
      <c r="FN140" s="1739">
        <f>AVERAGE(SUM(FM138:FM139),SUM(FN138:FN139))</f>
      </c>
      <c r="FO140" s="2875"/>
      <c r="FP140" s="1743"/>
      <c r="FQ140" s="1743"/>
      <c r="FR140" s="1743"/>
      <c r="FS140" s="1740"/>
      <c r="FT140" s="1739"/>
      <c r="FU140" s="2869"/>
      <c r="FV140" s="1739">
        <f>AVERAGE(SUM(FN138:FN139),SUM(FV138:FV139))</f>
      </c>
      <c r="FW140" s="1739">
        <f>AVERAGE(SUM(FV138:FV139),SUM(FW138:FW139))</f>
      </c>
      <c r="FX140" s="1740">
        <f>AVERAGE(SUM(FL138:FL139),SUM(FX138:FX139))</f>
      </c>
      <c r="FY140" s="1739">
        <f>AVERAGE(SUM(FX138:FX139),SUM(FY138:FY139))</f>
      </c>
      <c r="FZ140" s="1739">
        <f>AVERAGE(SUM(FY138:FY139),SUM(FZ138:FZ139))</f>
      </c>
      <c r="GA140" s="1739">
        <f>AVERAGE(SUM(FZ138:FZ139),SUM(GA138:GA139))</f>
      </c>
      <c r="GB140" s="1739">
        <f>AVERAGE(SUM(GA138:GA139),SUM(GB138:GB139))</f>
      </c>
      <c r="GC140" s="1740">
        <f>AVERAGE(SUM(FX138:FX139),SUM(GC138:GC139))</f>
      </c>
      <c r="GD140" s="1739">
        <f>AVERAGE(SUM(GC138:GC139),SUM(GD138:GD139))</f>
      </c>
      <c r="GE140" s="1739">
        <f>AVERAGE(SUM(GD138:GD139),SUM(GE138:GE139))</f>
      </c>
      <c r="GF140" s="1739">
        <f>AVERAGE(SUM(GE138:GE139),SUM(GF138:GF139))</f>
      </c>
      <c r="GG140" s="1739">
        <f>AVERAGE(SUM(GF138:GF139),SUM(GG138:GG139))</f>
      </c>
      <c r="GH140" s="1740">
        <f>AVERAGE(SUM(GC138:GC139),SUM(GH138:GH139))</f>
      </c>
      <c r="GI140" s="1740">
        <f t="shared" ref="GI140:GM140" si="328">AVERAGE(SUM(GH138:GH139),SUM(GI138:GI139))</f>
      </c>
      <c r="GJ140" s="1740">
        <f t="shared" si="328"/>
      </c>
      <c r="GK140" s="1740">
        <f t="shared" si="328"/>
      </c>
      <c r="GL140" s="1740">
        <f t="shared" si="328"/>
      </c>
      <c r="GM140" s="1740">
        <f t="shared" si="328"/>
      </c>
    </row>
    <row r="141" spans="2:195" ht="12.75" customHeight="1" outlineLevel="1">
      <c r="B141" s="85" t="s">
        <v>204</v>
      </c>
      <c r="C141" s="79"/>
      <c r="H141" s="86"/>
      <c r="M141" s="86"/>
      <c r="N141" s="86"/>
      <c r="O141" s="86"/>
      <c r="P141" s="53"/>
      <c r="Q141" s="53"/>
      <c r="R141" s="53"/>
      <c r="S141" s="53"/>
      <c r="T141" s="53"/>
      <c r="U141" s="53"/>
      <c r="V141" s="53"/>
      <c r="BA141" s="216"/>
      <c r="BF141" s="216"/>
      <c r="BG141" s="255"/>
      <c r="BH141" s="255"/>
      <c r="BI141" s="255"/>
      <c r="BJ141" s="255"/>
      <c r="BK141" s="216"/>
      <c r="BL141" s="255"/>
      <c r="BM141" s="255"/>
      <c r="BN141" s="255"/>
      <c r="BO141" s="255"/>
      <c r="BP141" s="216"/>
      <c r="BQ141" s="53"/>
      <c r="BR141" s="53"/>
      <c r="BS141" s="53"/>
      <c r="BT141" s="210"/>
      <c r="BU141" s="216"/>
      <c r="BV141" s="219"/>
      <c r="BW141" s="53"/>
      <c r="BX141" s="53"/>
      <c r="BY141" s="210"/>
      <c r="BZ141" s="216"/>
      <c r="CA141" s="219"/>
      <c r="CB141" s="53"/>
      <c r="CC141" s="53"/>
      <c r="CD141" s="210"/>
      <c r="CE141" s="216"/>
      <c r="CF141" s="219"/>
      <c r="CG141" s="53"/>
      <c r="CH141" s="53"/>
      <c r="CI141" s="210"/>
      <c r="CJ141" s="216"/>
      <c r="CK141" s="219"/>
      <c r="CL141" s="53"/>
      <c r="CM141" s="53"/>
      <c r="CN141" s="210"/>
      <c r="CO141" s="216"/>
      <c r="CP141" s="219"/>
      <c r="CQ141" s="53"/>
      <c r="CR141" s="53"/>
      <c r="CS141" s="210"/>
      <c r="CT141" s="216"/>
      <c r="CU141" s="17">
        <f>-CU142/CU140*4</f>
      </c>
      <c r="CV141" s="17">
        <f>-CV142/CV140*4</f>
      </c>
      <c r="CW141" s="17">
        <f>-CW142/CW140*4</f>
      </c>
      <c r="CX141" s="17">
        <f>-CX142/CX140*4</f>
      </c>
      <c r="CY141" s="216">
        <f>+CY142/-CY140</f>
      </c>
      <c r="CZ141" s="17">
        <f>-CZ142/CZ140*4</f>
      </c>
      <c r="DA141" s="17">
        <f>-DA142/DA140*4</f>
      </c>
      <c r="DB141" s="17">
        <f>-DB142/DB140*4</f>
      </c>
      <c r="DC141" s="17">
        <f>-DC142/DC140*4</f>
      </c>
      <c r="DD141" s="216">
        <f>+DD142/-DD140</f>
      </c>
      <c r="DE141" s="17">
        <f>-DE142/DE140*4</f>
      </c>
      <c r="DF141" s="17">
        <f>-DF142/DF140*4</f>
      </c>
      <c r="DG141" s="17">
        <f>-DG142/DG140*4</f>
      </c>
      <c r="DH141" s="17">
        <f>-DH142/DH140*4</f>
      </c>
      <c r="DI141" s="216">
        <f>+DI142/-DI140</f>
      </c>
      <c r="DJ141" s="53">
        <f>-DJ142/DJ140*4</f>
      </c>
      <c r="DK141" s="53">
        <f>-DK142/DK140*4</f>
      </c>
      <c r="DL141" s="53">
        <f>-DL142/DL140*4</f>
      </c>
      <c r="DM141" s="53">
        <f>-DM142/DM140*4</f>
      </c>
      <c r="DN141" s="216">
        <f>+DN142/-DN140</f>
      </c>
      <c r="DO141" s="53">
        <f>-DO142/DO140*4</f>
      </c>
      <c r="DP141" s="53">
        <f>-DP142/DP140*4</f>
      </c>
      <c r="DQ141" s="53">
        <f>-DQ142/DQ140*4</f>
      </c>
      <c r="DR141" s="53">
        <f>-DR142/DR140*4</f>
      </c>
      <c r="DS141" s="216">
        <f>+DS142/-DS140</f>
      </c>
      <c r="DT141" s="53">
        <f>-DT142/DT140*4</f>
      </c>
      <c r="DU141" s="53">
        <f>-DU142/DU140*4</f>
      </c>
      <c r="DV141" s="53">
        <f>-DV142/DV140*4</f>
      </c>
      <c r="DW141" s="53">
        <f>-DW142/DW140*4</f>
      </c>
      <c r="DX141" s="216">
        <f>+DX142/-DX140</f>
      </c>
      <c r="DY141" s="53">
        <f>-DY142/DY140*4</f>
      </c>
      <c r="DZ141" s="53">
        <f>-DZ142/DZ140*4</f>
      </c>
      <c r="EA141" s="53">
        <f>-EA142/EA140*4</f>
      </c>
      <c r="EB141" s="53">
        <f>-EB142/EB140*4</f>
      </c>
      <c r="EC141" s="216">
        <f>+EC142/-EC140</f>
      </c>
      <c r="ED141" s="53">
        <f>-ED142/ED140*4</f>
      </c>
      <c r="EE141" s="53">
        <f>-EE142/EE140*4</f>
      </c>
      <c r="EF141" s="53">
        <f>-EF142/EF140*4</f>
      </c>
      <c r="EG141" s="53">
        <f>-EG142/EG140*4</f>
      </c>
      <c r="EH141" s="216">
        <f>+EH142/-EH140</f>
      </c>
      <c r="EI141" s="53">
        <f>-EI142/EI140*4</f>
      </c>
      <c r="EJ141" s="930">
        <f>-EJ142/EJ140*4</f>
      </c>
      <c r="EK141" s="930">
        <f>-EK142/EK140*4</f>
      </c>
      <c r="EL141" s="930">
        <f>-EL142/EL140*4</f>
      </c>
      <c r="EM141" s="216">
        <f>+EM142/-EM140</f>
      </c>
      <c r="EN141" s="53">
        <f>-EN142/EN140*4</f>
      </c>
      <c r="EO141" s="53">
        <f>-EO142/EO140*4</f>
      </c>
      <c r="EP141" s="53">
        <f>-EP142/EP140*4</f>
      </c>
      <c r="EQ141" s="930">
        <f>-EQ142/EQ140*4</f>
      </c>
      <c r="ER141" s="216">
        <f>+ER142/-ER140</f>
      </c>
      <c r="ES141" s="53">
        <f>-ES142/ES140*4</f>
      </c>
      <c r="ET141" s="237">
        <v>7.0000000000000001E-3</v>
      </c>
      <c r="EU141" s="237">
        <v>1.2E-2</v>
      </c>
      <c r="EV141" s="237">
        <v>1.2E-2</v>
      </c>
      <c r="EW141" s="2590">
        <f>-EW142/EW140</f>
      </c>
      <c r="EX141" s="2589">
        <v>0.01</v>
      </c>
      <c r="EY141" s="2589">
        <v>0.01</v>
      </c>
      <c r="EZ141" s="2589">
        <v>0.01</v>
      </c>
      <c r="FA141" s="2589">
        <v>0.01</v>
      </c>
      <c r="FB141" s="2591">
        <v>0.01</v>
      </c>
      <c r="FC141" s="2589">
        <v>0.01</v>
      </c>
      <c r="FD141" s="2589">
        <v>0.01</v>
      </c>
      <c r="FE141" s="2589">
        <v>0.01</v>
      </c>
      <c r="FF141" s="2589">
        <v>0.01</v>
      </c>
      <c r="FG141" s="2591">
        <f>FB141</f>
      </c>
      <c r="FH141" s="1741">
        <v>0.01</v>
      </c>
      <c r="FI141" s="1741">
        <v>0.01</v>
      </c>
      <c r="FJ141" s="1741">
        <v>0.01</v>
      </c>
      <c r="FK141" s="1741">
        <v>0.01</v>
      </c>
      <c r="FL141" s="2634">
        <f>FG141</f>
      </c>
      <c r="FM141" s="1741">
        <v>0.01</v>
      </c>
      <c r="FN141" s="1741">
        <v>0.01</v>
      </c>
      <c r="FO141" s="2686"/>
      <c r="FP141" s="1741"/>
      <c r="FQ141" s="1741"/>
      <c r="FR141" s="1741"/>
      <c r="FS141" s="2634"/>
      <c r="FT141" s="1741"/>
      <c r="FU141" s="2870"/>
      <c r="FV141" s="1741">
        <v>0.01</v>
      </c>
      <c r="FW141" s="1741">
        <v>0.01</v>
      </c>
      <c r="FX141" s="2634">
        <f>FL141</f>
      </c>
      <c r="FY141" s="1703">
        <f>FY142/(FY140)*4</f>
      </c>
      <c r="FZ141" s="1741">
        <v>0.01</v>
      </c>
      <c r="GA141" s="1741">
        <v>0.01</v>
      </c>
      <c r="GB141" s="1741">
        <v>0.01</v>
      </c>
      <c r="GC141" s="2634">
        <f>FX141</f>
      </c>
      <c r="GD141" s="1703">
        <f>GD142/(GD140)*4</f>
      </c>
      <c r="GE141" s="1703">
        <f t="shared" ref="GE141" si="329">GE142/(GE140)*4</f>
      </c>
      <c r="GF141" s="1741">
        <v>2.5000000000000001E-2</v>
      </c>
      <c r="GG141" s="1741">
        <f>GF141</f>
      </c>
      <c r="GH141" s="2634"/>
      <c r="GI141" s="2635">
        <v>2.5000000000000001E-2</v>
      </c>
      <c r="GJ141" s="2635">
        <f t="shared" ref="GJ141:GM141" si="330">GI141</f>
      </c>
      <c r="GK141" s="2635">
        <f t="shared" si="330"/>
      </c>
      <c r="GL141" s="2635">
        <f t="shared" si="330"/>
      </c>
      <c r="GM141" s="2635">
        <f t="shared" si="330"/>
      </c>
    </row>
    <row r="142" spans="2:195" ht="12.75" customHeight="1" outlineLevel="1">
      <c r="B142" s="85" t="s">
        <v>205</v>
      </c>
      <c r="H142" s="86"/>
      <c r="M142" s="86"/>
      <c r="N142" s="86"/>
      <c r="O142" s="86"/>
      <c r="P142" s="86"/>
      <c r="Q142" s="86"/>
      <c r="R142" s="86"/>
      <c r="S142" s="86"/>
      <c r="T142" s="86"/>
      <c r="U142" s="86"/>
      <c r="V142" s="86"/>
      <c r="BA142" s="217"/>
      <c r="BF142" s="217"/>
      <c r="BK142" s="217"/>
      <c r="BP142" s="217"/>
      <c r="BU142" s="217"/>
      <c r="BV142" s="20"/>
      <c r="BZ142" s="217"/>
      <c r="CA142" s="20"/>
      <c r="CE142" s="217"/>
      <c r="CF142" s="20"/>
      <c r="CJ142" s="217"/>
      <c r="CK142" s="149"/>
      <c r="CL142" s="204"/>
      <c r="CM142" s="204"/>
      <c r="CN142" s="204"/>
      <c r="CO142" s="217"/>
      <c r="CP142" s="149"/>
      <c r="CQ142" s="204"/>
      <c r="CR142" s="204"/>
      <c r="CS142" s="204"/>
      <c r="CT142" s="217"/>
      <c r="CU142" s="149">
        <v>-106</v>
      </c>
      <c r="CV142" s="204">
        <v>-110</v>
      </c>
      <c r="CW142" s="215">
        <v>-142</v>
      </c>
      <c r="CX142" s="244">
        <f>CY142-SUM(CU142:CW142)</f>
      </c>
      <c r="CY142" s="217">
        <v>-451</v>
      </c>
      <c r="CZ142" s="215">
        <v>-108</v>
      </c>
      <c r="DA142" s="215">
        <v>-101</v>
      </c>
      <c r="DB142" s="215">
        <v>-108</v>
      </c>
      <c r="DC142" s="215">
        <f>-455-SUM(CZ142:DB142)</f>
      </c>
      <c r="DD142" s="217">
        <f>SUM(CZ142:DC142)</f>
      </c>
      <c r="DE142" s="646">
        <v>-125</v>
      </c>
      <c r="DF142" s="646">
        <v>-129</v>
      </c>
      <c r="DG142" s="646">
        <v>-134</v>
      </c>
      <c r="DH142" s="646">
        <f>DI142-SUM(DE142:DG142)</f>
      </c>
      <c r="DI142" s="217">
        <v>-571</v>
      </c>
      <c r="DJ142" s="646">
        <v>-147</v>
      </c>
      <c r="DK142" s="646">
        <v>-143</v>
      </c>
      <c r="DL142" s="646">
        <v>-135</v>
      </c>
      <c r="DM142" s="211">
        <f>+DN142-SUM(DJ142:DL142)</f>
      </c>
      <c r="DN142" s="822">
        <v>-532</v>
      </c>
      <c r="DO142" s="646">
        <v>-125</v>
      </c>
      <c r="DP142" s="646">
        <v>-118</v>
      </c>
      <c r="DQ142" s="646">
        <v>-105</v>
      </c>
      <c r="DR142" s="211">
        <f>+DS142-SUM(DO142:DQ142)</f>
      </c>
      <c r="DS142" s="845">
        <v>-482</v>
      </c>
      <c r="DT142" s="646">
        <v>-136</v>
      </c>
      <c r="DU142" s="646">
        <v>-128</v>
      </c>
      <c r="DV142" s="646">
        <v>-130</v>
      </c>
      <c r="DW142" s="646">
        <v>-139</v>
      </c>
      <c r="DX142" s="929">
        <f>SUM(DT142:DW142)</f>
      </c>
      <c r="DY142" s="215">
        <v>-138</v>
      </c>
      <c r="DZ142" s="215">
        <v>-131</v>
      </c>
      <c r="EA142" s="215">
        <f>-EA136+EA36</f>
      </c>
      <c r="EB142" s="211">
        <f>+EC142-SUM(DY142:EA142)</f>
      </c>
      <c r="EC142" s="845">
        <v>-552</v>
      </c>
      <c r="ED142" s="215">
        <f>-ED136+ED36</f>
      </c>
      <c r="EE142" s="215">
        <v>-123</v>
      </c>
      <c r="EF142" s="1042">
        <v>-115</v>
      </c>
      <c r="EG142" s="1224">
        <f>+EH142-SUM(ED142:EF142)</f>
      </c>
      <c r="EH142" s="845">
        <f>-358-EH136</f>
      </c>
      <c r="EI142" s="1223">
        <f>-84-EI136</f>
      </c>
      <c r="EJ142" s="646">
        <f>-122-EJ136</f>
      </c>
      <c r="EK142" s="646">
        <f>-155-EK136</f>
      </c>
      <c r="EL142" s="646">
        <f>-189-EL136</f>
      </c>
      <c r="EM142" s="929">
        <f>+SUM(EI142:EL142)</f>
      </c>
      <c r="EN142" s="1223">
        <f>-145-EN136</f>
      </c>
      <c r="EO142" s="1223">
        <f>-127-EO136</f>
      </c>
      <c r="EP142" s="1223">
        <f>-68-EP136</f>
      </c>
      <c r="EQ142" s="646">
        <f>-54-EQ136</f>
      </c>
      <c r="ER142" s="929">
        <f>+SUM(EN142:EQ142)</f>
      </c>
      <c r="ES142" s="1223">
        <f>-3-ES136</f>
      </c>
      <c r="ET142" s="1040">
        <f>-ET141*ET140/4</f>
      </c>
      <c r="EU142" s="1040">
        <f>-EU141*EU140/4</f>
      </c>
      <c r="EV142" s="1254">
        <f>-EV141*EV140/4</f>
      </c>
      <c r="EW142" s="217">
        <f>SUM(ES142:EV142)</f>
      </c>
      <c r="EX142" s="1040">
        <f>-EX141*EX140/4</f>
      </c>
      <c r="EY142" s="1040">
        <f>-EY141*EY140/4</f>
      </c>
      <c r="EZ142" s="1040">
        <f>-EZ141*EZ140/4</f>
      </c>
      <c r="FA142" s="1254">
        <f>-FA141*FA140/4</f>
      </c>
      <c r="FB142" s="217">
        <f>-FB141*FB140</f>
      </c>
      <c r="FC142" s="1042">
        <f>-FC141*FC140/4</f>
      </c>
      <c r="FD142" s="1042">
        <f>-FD141*FD140/4</f>
      </c>
      <c r="FE142" s="1042">
        <f>-FE141*FE140/4</f>
      </c>
      <c r="FF142" s="1042">
        <f>-FF141*FF140/4</f>
      </c>
      <c r="FG142" s="217">
        <f>-FG141*FG140</f>
      </c>
      <c r="FH142" s="1745">
        <f>-FH141*FH140/4</f>
      </c>
      <c r="FI142" s="1745">
        <f>-FI141*FI140/4</f>
      </c>
      <c r="FJ142" s="1745">
        <f>-FJ141*FJ140/4</f>
      </c>
      <c r="FK142" s="1745">
        <f>-FK141*FK140/4</f>
      </c>
      <c r="FL142" s="1744">
        <f>-FL141*FL140</f>
      </c>
      <c r="FM142" s="1745">
        <f>-FM141*FM140/4</f>
      </c>
      <c r="FN142" s="1745">
        <f>-FN141*FN140/4</f>
      </c>
      <c r="FO142" s="2871"/>
      <c r="FP142" s="1745"/>
      <c r="FQ142" s="1745"/>
      <c r="FR142" s="1745"/>
      <c r="FS142" s="1744"/>
      <c r="FT142" s="1745"/>
      <c r="FU142" s="2872"/>
      <c r="FV142" s="1745">
        <f>-FV141*FV140/4</f>
      </c>
      <c r="FW142" s="1745">
        <f>-FW141*FW140/4</f>
      </c>
      <c r="FX142" s="1744">
        <f>-FX141*FX140</f>
      </c>
      <c r="FY142" s="3942">
        <v>155</v>
      </c>
      <c r="FZ142" s="1745">
        <f>-FZ141*FZ140/4</f>
      </c>
      <c r="GA142" s="1745">
        <f>-GA141*GA140/4</f>
      </c>
      <c r="GB142" s="1745">
        <f>-GB141*GB140/4</f>
      </c>
      <c r="GC142" s="1744">
        <f>SUM(FY142:GB142)</f>
      </c>
      <c r="GD142" s="3942">
        <v>204</v>
      </c>
      <c r="GE142" s="3942">
        <f>512-GD142</f>
      </c>
      <c r="GF142" s="3650">
        <f>GF141*GF140/4</f>
      </c>
      <c r="GG142" s="3650">
        <f t="shared" ref="GG142" si="331">GG141*GG140/4</f>
      </c>
      <c r="GH142" s="1744">
        <f>SUM(GD142:GG142)</f>
      </c>
      <c r="GI142" s="1744">
        <f t="shared" ref="GI142:GM142" si="332">-GI141*GI140</f>
      </c>
      <c r="GJ142" s="1744">
        <f t="shared" si="332"/>
      </c>
      <c r="GK142" s="1744">
        <f t="shared" si="332"/>
      </c>
      <c r="GL142" s="1744">
        <f t="shared" si="332"/>
      </c>
      <c r="GM142" s="1744">
        <f t="shared" si="332"/>
      </c>
    </row>
    <row r="143" spans="2:195" ht="12.75" customHeight="1" outlineLevel="1">
      <c r="B143" s="94" t="s">
        <v>207</v>
      </c>
      <c r="C143" s="3"/>
      <c r="D143" s="3"/>
      <c r="E143" s="3"/>
      <c r="F143" s="3"/>
      <c r="G143" s="3"/>
      <c r="H143" s="84"/>
      <c r="I143" s="3"/>
      <c r="J143" s="3"/>
      <c r="K143" s="3"/>
      <c r="L143" s="3"/>
      <c r="M143" s="84"/>
      <c r="N143" s="84"/>
      <c r="O143" s="84"/>
      <c r="P143" s="84"/>
      <c r="Q143" s="84"/>
      <c r="R143" s="84"/>
      <c r="S143" s="84"/>
      <c r="T143" s="84"/>
      <c r="U143" s="84"/>
      <c r="V143" s="84"/>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2597"/>
      <c r="BB143" s="3"/>
      <c r="BC143" s="3"/>
      <c r="BD143" s="3"/>
      <c r="BE143" s="3"/>
      <c r="BF143" s="2597"/>
      <c r="BG143" s="3"/>
      <c r="BH143" s="3"/>
      <c r="BI143" s="3"/>
      <c r="BJ143" s="3"/>
      <c r="BK143" s="2597"/>
      <c r="BL143" s="3"/>
      <c r="BM143" s="3"/>
      <c r="BN143" s="3"/>
      <c r="BO143" s="3"/>
      <c r="BP143" s="2597"/>
      <c r="BQ143" s="3"/>
      <c r="BR143" s="3"/>
      <c r="BS143" s="3"/>
      <c r="BT143" s="3"/>
      <c r="BU143" s="2597"/>
      <c r="BV143" s="177"/>
      <c r="BW143" s="3"/>
      <c r="BX143" s="3"/>
      <c r="BY143" s="3"/>
      <c r="BZ143" s="2597"/>
      <c r="CA143" s="177"/>
      <c r="CB143" s="3"/>
      <c r="CC143" s="3"/>
      <c r="CD143" s="3"/>
      <c r="CE143" s="2597"/>
      <c r="CF143" s="177"/>
      <c r="CG143" s="3"/>
      <c r="CH143" s="3"/>
      <c r="CI143" s="3"/>
      <c r="CJ143" s="2597"/>
      <c r="CK143" s="2598"/>
      <c r="CL143" s="2599"/>
      <c r="CM143" s="2599"/>
      <c r="CN143" s="2599"/>
      <c r="CO143" s="2597"/>
      <c r="CP143" s="2598"/>
      <c r="CQ143" s="2599"/>
      <c r="CR143" s="2599"/>
      <c r="CS143" s="2599"/>
      <c r="CT143" s="2597"/>
      <c r="CU143" s="1101">
        <f t="shared" ref="CU143:DB143" si="333">CU136+CU142</f>
      </c>
      <c r="CV143" s="1101">
        <f t="shared" si="333"/>
      </c>
      <c r="CW143" s="1101">
        <f t="shared" si="333"/>
      </c>
      <c r="CX143" s="1101">
        <f t="shared" si="333"/>
      </c>
      <c r="CY143" s="2597">
        <f t="shared" si="333"/>
      </c>
      <c r="CZ143" s="1101">
        <f t="shared" si="333"/>
      </c>
      <c r="DA143" s="1101">
        <f t="shared" si="333"/>
      </c>
      <c r="DB143" s="1101">
        <f t="shared" si="333"/>
      </c>
      <c r="DC143" s="1101">
        <f>+DC36</f>
      </c>
      <c r="DD143" s="2597">
        <f>+DD36</f>
      </c>
      <c r="DE143" s="1101">
        <f t="shared" ref="DE143:DW143" si="334">+DE136+DE142</f>
      </c>
      <c r="DF143" s="1101">
        <f t="shared" si="334"/>
      </c>
      <c r="DG143" s="1101">
        <f t="shared" si="334"/>
      </c>
      <c r="DH143" s="1101">
        <f t="shared" si="334"/>
      </c>
      <c r="DI143" s="2597">
        <f t="shared" si="334"/>
      </c>
      <c r="DJ143" s="1101">
        <f t="shared" si="334"/>
      </c>
      <c r="DK143" s="1101">
        <f t="shared" si="334"/>
      </c>
      <c r="DL143" s="1101">
        <f t="shared" si="334"/>
      </c>
      <c r="DM143" s="1101">
        <f t="shared" si="334"/>
      </c>
      <c r="DN143" s="2597">
        <f t="shared" si="334"/>
      </c>
      <c r="DO143" s="1101">
        <f t="shared" si="334"/>
      </c>
      <c r="DP143" s="1101">
        <f t="shared" si="334"/>
      </c>
      <c r="DQ143" s="1101">
        <f t="shared" si="334"/>
      </c>
      <c r="DR143" s="1101">
        <f t="shared" si="334"/>
      </c>
      <c r="DS143" s="2597">
        <f t="shared" si="334"/>
      </c>
      <c r="DT143" s="1101">
        <f t="shared" si="334"/>
      </c>
      <c r="DU143" s="1101">
        <f t="shared" si="334"/>
      </c>
      <c r="DV143" s="1101">
        <f t="shared" si="334"/>
      </c>
      <c r="DW143" s="1101">
        <f t="shared" si="334"/>
      </c>
      <c r="DX143" s="2600">
        <v>-466</v>
      </c>
      <c r="DY143" s="1101">
        <f t="shared" ref="DY143:EV143" si="335">+DY136+DY142</f>
      </c>
      <c r="DZ143" s="1101">
        <f t="shared" si="335"/>
      </c>
      <c r="EA143" s="1101">
        <f t="shared" si="335"/>
      </c>
      <c r="EB143" s="1101">
        <f t="shared" si="335"/>
      </c>
      <c r="EC143" s="2597">
        <f t="shared" si="335"/>
      </c>
      <c r="ED143" s="1101">
        <f t="shared" si="335"/>
      </c>
      <c r="EE143" s="1101">
        <f t="shared" si="335"/>
      </c>
      <c r="EF143" s="1101">
        <f t="shared" si="335"/>
      </c>
      <c r="EG143" s="1101">
        <f t="shared" si="335"/>
      </c>
      <c r="EH143" s="2597">
        <f t="shared" si="335"/>
      </c>
      <c r="EI143" s="1101">
        <f t="shared" si="335"/>
      </c>
      <c r="EJ143" s="1101">
        <f t="shared" si="335"/>
      </c>
      <c r="EK143" s="1101">
        <f t="shared" si="335"/>
      </c>
      <c r="EL143" s="1101">
        <f t="shared" si="335"/>
      </c>
      <c r="EM143" s="2597">
        <f t="shared" si="335"/>
      </c>
      <c r="EN143" s="1101">
        <f t="shared" si="335"/>
      </c>
      <c r="EO143" s="1101">
        <f t="shared" si="335"/>
      </c>
      <c r="EP143" s="1101">
        <f t="shared" si="335"/>
      </c>
      <c r="EQ143" s="1101">
        <f t="shared" si="335"/>
      </c>
      <c r="ER143" s="2597">
        <f t="shared" si="335"/>
      </c>
      <c r="ES143" s="1101">
        <f t="shared" si="335"/>
      </c>
      <c r="ET143" s="1101">
        <f t="shared" si="335"/>
      </c>
      <c r="EU143" s="1101">
        <f t="shared" si="335"/>
      </c>
      <c r="EV143" s="1101">
        <f t="shared" si="335"/>
      </c>
      <c r="EW143" s="2597">
        <f>+SUM(ES143:EV143)</f>
      </c>
      <c r="EX143" s="1101">
        <f t="shared" ref="EX143:GH143" si="336">+EX136+EX142</f>
      </c>
      <c r="EY143" s="1101">
        <f t="shared" si="336"/>
      </c>
      <c r="EZ143" s="1101">
        <f t="shared" si="336"/>
      </c>
      <c r="FA143" s="1101">
        <f t="shared" si="336"/>
      </c>
      <c r="FB143" s="2597">
        <f t="shared" si="336"/>
      </c>
      <c r="FC143" s="1101">
        <f t="shared" si="336"/>
      </c>
      <c r="FD143" s="1101">
        <f t="shared" si="336"/>
      </c>
      <c r="FE143" s="1101">
        <f t="shared" si="336"/>
      </c>
      <c r="FF143" s="1101">
        <f t="shared" si="336"/>
      </c>
      <c r="FG143" s="2597">
        <f t="shared" si="336"/>
      </c>
      <c r="FH143" s="2601">
        <f t="shared" si="336"/>
      </c>
      <c r="FI143" s="2601">
        <f t="shared" si="336"/>
      </c>
      <c r="FJ143" s="2601">
        <f t="shared" si="336"/>
      </c>
      <c r="FK143" s="2601">
        <f t="shared" si="336"/>
      </c>
      <c r="FL143" s="2602">
        <f t="shared" si="336"/>
      </c>
      <c r="FM143" s="2601">
        <f t="shared" si="336"/>
      </c>
      <c r="FN143" s="2601">
        <f>+FN136+FN142</f>
      </c>
      <c r="FO143" s="2876"/>
      <c r="FP143" s="2601"/>
      <c r="FQ143" s="2601"/>
      <c r="FR143" s="2601"/>
      <c r="FS143" s="2602"/>
      <c r="FT143" s="2601"/>
      <c r="FU143" s="2877"/>
      <c r="FV143" s="2601">
        <f t="shared" si="336"/>
      </c>
      <c r="FW143" s="2601">
        <f t="shared" si="336"/>
      </c>
      <c r="FX143" s="2602">
        <f t="shared" si="336"/>
      </c>
      <c r="FY143" s="2601">
        <f t="shared" ref="FY143:FZ143" si="337">+FY136+FY142</f>
      </c>
      <c r="FZ143" s="2601">
        <f t="shared" si="337"/>
      </c>
      <c r="GA143" s="2601">
        <f t="shared" ref="GA143" si="338">+GA136+GA142</f>
      </c>
      <c r="GB143" s="2601">
        <f>+GB136+GB142</f>
      </c>
      <c r="GC143" s="2602">
        <f>SUM(FY143:GB143)</f>
      </c>
      <c r="GD143" s="2601">
        <f>+GD136+GD142</f>
      </c>
      <c r="GE143" s="2601">
        <f t="shared" ref="GE143:GF143" si="339">+GE136+GE142</f>
      </c>
      <c r="GF143" s="2601">
        <f t="shared" si="339"/>
      </c>
      <c r="GG143" s="2601">
        <f>+GG136+GG142</f>
      </c>
      <c r="GH143" s="2602">
        <f t="shared" si="336"/>
      </c>
      <c r="GI143" s="2602">
        <f ca="1">+GI136+GI142</f>
      </c>
      <c r="GJ143" s="2602">
        <f ca="1">+GJ136+GJ142</f>
      </c>
      <c r="GK143" s="2602">
        <f ca="1">+GK136+GK142</f>
      </c>
      <c r="GL143" s="2602">
        <f ca="1">+GL136+GL142</f>
      </c>
      <c r="GM143" s="2602">
        <f ca="1">+GM136+GM142</f>
      </c>
    </row>
    <row r="144" spans="2:195" ht="12.75" customHeight="1" outlineLevel="1">
      <c r="B144" s="720" t="s">
        <v>206</v>
      </c>
      <c r="C144" s="627"/>
      <c r="D144" s="627"/>
      <c r="E144" s="627"/>
      <c r="F144" s="627"/>
      <c r="G144" s="627"/>
      <c r="H144" s="382"/>
      <c r="I144" s="627"/>
      <c r="J144" s="627"/>
      <c r="K144" s="627"/>
      <c r="L144" s="627"/>
      <c r="M144" s="382"/>
      <c r="N144" s="382"/>
      <c r="O144" s="382"/>
      <c r="P144" s="721"/>
      <c r="Q144" s="721"/>
      <c r="R144" s="721"/>
      <c r="S144" s="721"/>
      <c r="T144" s="721"/>
      <c r="U144" s="721"/>
      <c r="V144" s="721"/>
      <c r="W144" s="627"/>
      <c r="X144" s="627"/>
      <c r="Y144" s="627"/>
      <c r="Z144" s="627"/>
      <c r="AA144" s="627"/>
      <c r="AB144" s="627"/>
      <c r="AC144" s="627"/>
      <c r="AD144" s="627"/>
      <c r="AE144" s="627"/>
      <c r="AF144" s="627"/>
      <c r="AG144" s="627"/>
      <c r="AH144" s="627"/>
      <c r="AI144" s="627"/>
      <c r="AJ144" s="627"/>
      <c r="AK144" s="627"/>
      <c r="AL144" s="627"/>
      <c r="AM144" s="627"/>
      <c r="AN144" s="627"/>
      <c r="AO144" s="627"/>
      <c r="AP144" s="627"/>
      <c r="AQ144" s="627"/>
      <c r="AR144" s="627"/>
      <c r="AS144" s="627"/>
      <c r="AT144" s="627"/>
      <c r="AU144" s="627"/>
      <c r="AV144" s="627"/>
      <c r="AW144" s="627"/>
      <c r="AX144" s="627"/>
      <c r="AY144" s="627"/>
      <c r="AZ144" s="627"/>
      <c r="BA144" s="220"/>
      <c r="BB144" s="627"/>
      <c r="BC144" s="627"/>
      <c r="BD144" s="627"/>
      <c r="BE144" s="627"/>
      <c r="BF144" s="220"/>
      <c r="BG144" s="722"/>
      <c r="BH144" s="722"/>
      <c r="BI144" s="722"/>
      <c r="BJ144" s="722"/>
      <c r="BK144" s="220"/>
      <c r="BL144" s="722"/>
      <c r="BM144" s="722"/>
      <c r="BN144" s="722"/>
      <c r="BO144" s="722"/>
      <c r="BP144" s="220"/>
      <c r="BQ144" s="722"/>
      <c r="BR144" s="722"/>
      <c r="BS144" s="722"/>
      <c r="BT144" s="722"/>
      <c r="BU144" s="220"/>
      <c r="BV144" s="723"/>
      <c r="BW144" s="722"/>
      <c r="BX144" s="722"/>
      <c r="BY144" s="722"/>
      <c r="BZ144" s="220"/>
      <c r="CA144" s="723"/>
      <c r="CB144" s="722"/>
      <c r="CC144" s="722"/>
      <c r="CD144" s="722"/>
      <c r="CE144" s="220"/>
      <c r="CF144" s="723"/>
      <c r="CG144" s="722"/>
      <c r="CH144" s="722"/>
      <c r="CI144" s="722"/>
      <c r="CJ144" s="220"/>
      <c r="CK144" s="723"/>
      <c r="CL144" s="722"/>
      <c r="CM144" s="722"/>
      <c r="CN144" s="722"/>
      <c r="CO144" s="220"/>
      <c r="CP144" s="723"/>
      <c r="CQ144" s="722"/>
      <c r="CR144" s="722"/>
      <c r="CS144" s="722"/>
      <c r="CT144" s="220"/>
      <c r="CU144" s="757">
        <f t="shared" ref="CU144:DZ144" si="340">+CU36-CU143</f>
      </c>
      <c r="CV144" s="757">
        <f t="shared" si="340"/>
      </c>
      <c r="CW144" s="757">
        <f t="shared" si="340"/>
      </c>
      <c r="CX144" s="757">
        <f t="shared" si="340"/>
      </c>
      <c r="CY144" s="758">
        <f t="shared" si="340"/>
      </c>
      <c r="CZ144" s="757">
        <f t="shared" si="340"/>
      </c>
      <c r="DA144" s="757">
        <f t="shared" si="340"/>
      </c>
      <c r="DB144" s="757">
        <f t="shared" si="340"/>
      </c>
      <c r="DC144" s="757">
        <f t="shared" si="340"/>
      </c>
      <c r="DD144" s="758">
        <f t="shared" si="340"/>
      </c>
      <c r="DE144" s="757">
        <f t="shared" si="340"/>
      </c>
      <c r="DF144" s="757">
        <f t="shared" si="340"/>
      </c>
      <c r="DG144" s="757">
        <f t="shared" si="340"/>
      </c>
      <c r="DH144" s="757">
        <f t="shared" si="340"/>
      </c>
      <c r="DI144" s="758">
        <f t="shared" si="340"/>
      </c>
      <c r="DJ144" s="757">
        <f t="shared" si="340"/>
      </c>
      <c r="DK144" s="757">
        <f t="shared" si="340"/>
      </c>
      <c r="DL144" s="759">
        <f t="shared" si="340"/>
      </c>
      <c r="DM144" s="757">
        <f t="shared" si="340"/>
      </c>
      <c r="DN144" s="758">
        <f t="shared" si="340"/>
      </c>
      <c r="DO144" s="757">
        <f t="shared" si="340"/>
      </c>
      <c r="DP144" s="757">
        <f t="shared" si="340"/>
      </c>
      <c r="DQ144" s="757">
        <f t="shared" si="340"/>
      </c>
      <c r="DR144" s="757">
        <f t="shared" si="340"/>
      </c>
      <c r="DS144" s="758">
        <f t="shared" si="340"/>
      </c>
      <c r="DT144" s="757">
        <f t="shared" si="340"/>
      </c>
      <c r="DU144" s="757">
        <f t="shared" si="340"/>
      </c>
      <c r="DV144" s="757">
        <f t="shared" si="340"/>
      </c>
      <c r="DW144" s="757">
        <f t="shared" si="340"/>
      </c>
      <c r="DX144" s="758">
        <f t="shared" si="340"/>
      </c>
      <c r="DY144" s="757">
        <f t="shared" si="340"/>
      </c>
      <c r="DZ144" s="757">
        <f t="shared" si="340"/>
      </c>
      <c r="EA144" s="757">
        <f t="shared" ref="EA144:FF144" si="341">+EA36-EA143</f>
      </c>
      <c r="EB144" s="757">
        <f t="shared" si="341"/>
      </c>
      <c r="EC144" s="758">
        <f t="shared" si="341"/>
      </c>
      <c r="ED144" s="757">
        <f t="shared" si="341"/>
      </c>
      <c r="EE144" s="757">
        <f t="shared" si="341"/>
      </c>
      <c r="EF144" s="757">
        <f t="shared" si="341"/>
      </c>
      <c r="EG144" s="757">
        <f t="shared" si="341"/>
      </c>
      <c r="EH144" s="758">
        <f t="shared" si="341"/>
      </c>
      <c r="EI144" s="757">
        <f t="shared" si="341"/>
      </c>
      <c r="EJ144" s="757">
        <f t="shared" si="341"/>
      </c>
      <c r="EK144" s="757">
        <f t="shared" si="341"/>
      </c>
      <c r="EL144" s="757">
        <f t="shared" si="341"/>
      </c>
      <c r="EM144" s="758">
        <f t="shared" si="341"/>
      </c>
      <c r="EN144" s="757">
        <f t="shared" si="341"/>
      </c>
      <c r="EO144" s="757">
        <f t="shared" si="341"/>
      </c>
      <c r="EP144" s="757">
        <f t="shared" si="341"/>
      </c>
      <c r="EQ144" s="757">
        <f t="shared" si="341"/>
      </c>
      <c r="ER144" s="758">
        <f t="shared" si="341"/>
      </c>
      <c r="ES144" s="757">
        <f t="shared" si="341"/>
      </c>
      <c r="ET144" s="757">
        <f t="shared" si="341"/>
      </c>
      <c r="EU144" s="757">
        <f t="shared" si="341"/>
      </c>
      <c r="EV144" s="757">
        <f t="shared" si="341"/>
      </c>
      <c r="EW144" s="2612">
        <f t="shared" si="341"/>
      </c>
      <c r="EX144" s="2613">
        <f t="shared" si="341"/>
      </c>
      <c r="EY144" s="2613">
        <f t="shared" si="341"/>
      </c>
      <c r="EZ144" s="2613">
        <f t="shared" si="341"/>
      </c>
      <c r="FA144" s="2613">
        <f t="shared" si="341"/>
      </c>
      <c r="FB144" s="2612">
        <f t="shared" si="341"/>
      </c>
      <c r="FC144" s="2613">
        <f t="shared" si="341"/>
      </c>
      <c r="FD144" s="2613">
        <f t="shared" si="341"/>
      </c>
      <c r="FE144" s="2613">
        <f t="shared" si="341"/>
      </c>
      <c r="FF144" s="2613">
        <f t="shared" si="341"/>
      </c>
      <c r="FG144" s="2612">
        <f t="shared" ref="FG144:FN144" si="342">+FG36-FG143</f>
      </c>
      <c r="FH144" s="2645">
        <f t="shared" si="342"/>
      </c>
      <c r="FI144" s="2645">
        <f t="shared" si="342"/>
      </c>
      <c r="FJ144" s="2645">
        <f t="shared" si="342"/>
      </c>
      <c r="FK144" s="2645">
        <f t="shared" si="342"/>
      </c>
      <c r="FL144" s="2646">
        <f t="shared" si="342"/>
      </c>
      <c r="FM144" s="2647">
        <f t="shared" si="342"/>
      </c>
      <c r="FN144" s="2647">
        <f t="shared" si="342"/>
      </c>
      <c r="FO144" s="2878"/>
      <c r="FP144" s="2879"/>
      <c r="FQ144" s="2879"/>
      <c r="FR144" s="2879"/>
      <c r="FS144" s="2880"/>
      <c r="FT144" s="2647"/>
      <c r="FU144" s="2881"/>
      <c r="FV144" s="2647">
        <f t="shared" ref="FV144:GJ144" si="343">+FV36-FV143</f>
      </c>
      <c r="FW144" s="2647">
        <f t="shared" si="343"/>
      </c>
      <c r="FX144" s="2646">
        <f t="shared" si="343"/>
      </c>
      <c r="FY144" s="2647">
        <f t="shared" ref="FY144:FZ144" si="344">+FY36-FY143</f>
      </c>
      <c r="FZ144" s="2647">
        <f t="shared" si="344"/>
      </c>
      <c r="GA144" s="2647">
        <f t="shared" ref="GA144" si="345">+GA36-GA143</f>
      </c>
      <c r="GB144" s="2647">
        <f t="shared" si="343"/>
      </c>
      <c r="GC144" s="2646">
        <f t="shared" si="343"/>
      </c>
      <c r="GD144" s="2647">
        <f t="shared" ref="GD144:GG144" si="346">+GD36-GD143</f>
      </c>
      <c r="GE144" s="2647">
        <f t="shared" si="346"/>
      </c>
      <c r="GF144" s="2647">
        <f t="shared" si="346"/>
      </c>
      <c r="GG144" s="2647">
        <f t="shared" si="346"/>
      </c>
      <c r="GH144" s="2646">
        <f t="shared" si="343"/>
      </c>
      <c r="GI144" s="2646">
        <f t="shared" ca="1" si="343"/>
      </c>
      <c r="GJ144" s="2646">
        <f t="shared" ca="1" si="343"/>
      </c>
      <c r="GK144" s="2646">
        <f ca="1">+GK36-GK143</f>
      </c>
      <c r="GL144" s="2646">
        <f ca="1">+GL36-GL143</f>
      </c>
      <c r="GM144" s="2646">
        <f ca="1">+GM36-GM143</f>
      </c>
    </row>
    <row r="145" spans="1:195" ht="12.75" customHeight="1" outlineLevel="1">
      <c r="B145" s="86"/>
      <c r="H145" s="86"/>
      <c r="M145" s="86"/>
      <c r="N145" s="86"/>
      <c r="O145" s="86"/>
      <c r="P145" s="816"/>
      <c r="Q145" s="816"/>
      <c r="R145" s="816"/>
      <c r="S145" s="816"/>
      <c r="T145" s="816"/>
      <c r="U145" s="816"/>
      <c r="V145" s="816"/>
      <c r="BA145" s="817"/>
      <c r="BF145" s="817"/>
      <c r="BG145" s="255"/>
      <c r="BH145" s="255"/>
      <c r="BI145" s="255"/>
      <c r="BJ145" s="255"/>
      <c r="BK145" s="817"/>
      <c r="BL145" s="255"/>
      <c r="BM145" s="255"/>
      <c r="BN145" s="255"/>
      <c r="BO145" s="255"/>
      <c r="BP145" s="817"/>
      <c r="BQ145" s="255"/>
      <c r="BR145" s="255"/>
      <c r="BS145" s="255"/>
      <c r="BT145" s="255"/>
      <c r="BU145" s="817"/>
      <c r="BV145" s="255"/>
      <c r="BW145" s="255"/>
      <c r="BX145" s="255"/>
      <c r="BY145" s="255"/>
      <c r="BZ145" s="817"/>
      <c r="CA145" s="255"/>
      <c r="CB145" s="255"/>
      <c r="CC145" s="255"/>
      <c r="CD145" s="255"/>
      <c r="CE145" s="817"/>
      <c r="CF145" s="255"/>
      <c r="CG145" s="255"/>
      <c r="CH145" s="255"/>
      <c r="CI145" s="255"/>
      <c r="CJ145" s="817"/>
      <c r="CK145" s="255"/>
      <c r="CL145" s="255"/>
      <c r="CM145" s="255"/>
      <c r="CN145" s="255"/>
      <c r="CO145" s="817"/>
      <c r="CP145" s="255"/>
      <c r="CQ145" s="255"/>
      <c r="CR145" s="255"/>
      <c r="CS145" s="255"/>
      <c r="CT145" s="817"/>
      <c r="CU145" s="818"/>
      <c r="CV145" s="818"/>
      <c r="CW145" s="818"/>
      <c r="CX145" s="818"/>
      <c r="CY145" s="819"/>
      <c r="CZ145" s="818"/>
      <c r="DA145" s="818"/>
      <c r="DB145" s="818"/>
      <c r="DC145" s="818"/>
      <c r="DD145" s="819"/>
      <c r="DE145" s="818"/>
      <c r="DF145" s="818"/>
      <c r="DG145" s="818"/>
      <c r="DH145" s="818"/>
      <c r="DI145" s="819"/>
      <c r="DJ145" s="818"/>
      <c r="DK145" s="818"/>
      <c r="DL145" s="820"/>
      <c r="DM145" s="818"/>
      <c r="DN145" s="819"/>
      <c r="DO145" s="818"/>
      <c r="DP145" s="818"/>
      <c r="DQ145" s="818"/>
      <c r="DR145" s="818"/>
      <c r="DS145" s="819"/>
      <c r="DT145" s="819"/>
      <c r="DU145" s="819"/>
      <c r="DV145" s="819"/>
      <c r="DW145" s="819"/>
      <c r="DX145" s="819"/>
      <c r="DY145" s="819"/>
      <c r="DZ145" s="819"/>
      <c r="EA145" s="819"/>
      <c r="EB145" s="818"/>
      <c r="EC145" s="821"/>
      <c r="ED145" s="1043"/>
      <c r="EE145" s="1043"/>
      <c r="EF145" s="1043"/>
      <c r="EG145" s="818"/>
      <c r="EH145" s="821"/>
      <c r="EI145" s="1043"/>
      <c r="EJ145" s="1043"/>
      <c r="EK145" s="1043"/>
      <c r="EL145" s="1043"/>
      <c r="EM145" s="821"/>
      <c r="EN145" s="1043"/>
      <c r="EO145" s="1043"/>
      <c r="EP145" s="1043"/>
      <c r="EQ145" s="1043"/>
      <c r="ER145" s="821"/>
      <c r="ES145" s="821"/>
      <c r="ET145" s="821"/>
      <c r="EU145" s="821"/>
      <c r="EV145" s="821"/>
      <c r="EW145" s="2608"/>
      <c r="EX145" s="2608"/>
      <c r="EY145" s="2608"/>
      <c r="EZ145" s="2608"/>
      <c r="FA145" s="2608"/>
      <c r="FB145" s="2608"/>
      <c r="FC145" s="2608"/>
      <c r="FD145" s="2608"/>
      <c r="FE145" s="2608"/>
      <c r="FF145" s="2608"/>
      <c r="FG145" s="2608"/>
      <c r="FH145" s="2608"/>
      <c r="FI145" s="2608"/>
      <c r="FJ145" s="2608"/>
      <c r="FK145" s="2608"/>
      <c r="FL145" s="2891"/>
      <c r="FM145" s="2892"/>
      <c r="FN145" s="2892"/>
      <c r="FO145" s="2891"/>
      <c r="FP145" s="2891"/>
      <c r="FQ145" s="2891"/>
      <c r="FR145" s="2891"/>
      <c r="FS145" s="2891"/>
      <c r="FT145" s="2892"/>
      <c r="FU145" s="2892"/>
      <c r="FV145" s="2892"/>
      <c r="FW145" s="2892"/>
      <c r="FX145" s="2891"/>
      <c r="FY145" s="2609"/>
      <c r="FZ145" s="2609"/>
      <c r="GA145" s="2609"/>
      <c r="GB145" s="2609"/>
      <c r="GC145" s="2608"/>
      <c r="GD145" s="2609"/>
      <c r="GE145" s="2609"/>
      <c r="GF145" s="2609"/>
      <c r="GG145" s="2609"/>
      <c r="GH145" s="2608"/>
      <c r="GI145" s="2608"/>
      <c r="GJ145" s="2608"/>
      <c r="GK145" s="2608"/>
      <c r="GL145" s="2608"/>
      <c r="GM145" s="2608"/>
    </row>
    <row r="146" spans="1:195" ht="12.75" customHeight="1" outlineLevel="1">
      <c r="B146" s="750" t="s">
        <v>381</v>
      </c>
      <c r="C146" s="593"/>
      <c r="D146" s="755"/>
      <c r="E146" s="593"/>
      <c r="F146" s="593"/>
      <c r="G146" s="593"/>
      <c r="H146" s="756"/>
      <c r="I146" s="593"/>
      <c r="J146" s="593"/>
      <c r="K146" s="593"/>
      <c r="L146" s="593"/>
      <c r="M146" s="756"/>
      <c r="N146" s="756"/>
      <c r="O146" s="756"/>
      <c r="P146" s="756"/>
      <c r="Q146" s="756"/>
      <c r="R146" s="756"/>
      <c r="S146" s="756"/>
      <c r="T146" s="756"/>
      <c r="U146" s="756"/>
      <c r="V146" s="756"/>
      <c r="W146" s="593"/>
      <c r="X146" s="593"/>
      <c r="Y146" s="593"/>
      <c r="Z146" s="593"/>
      <c r="AA146" s="593"/>
      <c r="AB146" s="593"/>
      <c r="AC146" s="593"/>
      <c r="AD146" s="593"/>
      <c r="AE146" s="593"/>
      <c r="AF146" s="593"/>
      <c r="AG146" s="593"/>
      <c r="AH146" s="593"/>
      <c r="AI146" s="593"/>
      <c r="AJ146" s="593"/>
      <c r="AK146" s="593"/>
      <c r="AL146" s="593"/>
      <c r="AM146" s="593"/>
      <c r="AN146" s="593"/>
      <c r="AO146" s="593"/>
      <c r="AP146" s="593"/>
      <c r="AQ146" s="593"/>
      <c r="AR146" s="593"/>
      <c r="AS146" s="593"/>
      <c r="AT146" s="593"/>
      <c r="AU146" s="593"/>
      <c r="AV146" s="593"/>
      <c r="AW146" s="593"/>
      <c r="AX146" s="593"/>
      <c r="AY146" s="593"/>
      <c r="AZ146" s="593"/>
      <c r="BA146" s="753"/>
      <c r="BB146" s="593"/>
      <c r="BC146" s="593"/>
      <c r="BD146" s="593"/>
      <c r="BE146" s="593"/>
      <c r="BF146" s="753"/>
      <c r="BG146" s="751"/>
      <c r="BH146" s="751"/>
      <c r="BI146" s="751"/>
      <c r="BJ146" s="752"/>
      <c r="BK146" s="753"/>
      <c r="BL146" s="751"/>
      <c r="BM146" s="751"/>
      <c r="BN146" s="751"/>
      <c r="BO146" s="752"/>
      <c r="BP146" s="753"/>
      <c r="BQ146" s="751"/>
      <c r="BR146" s="751"/>
      <c r="BS146" s="751"/>
      <c r="BT146" s="752"/>
      <c r="BU146" s="753"/>
      <c r="BV146" s="754"/>
      <c r="BW146" s="751"/>
      <c r="BX146" s="751"/>
      <c r="BY146" s="752"/>
      <c r="BZ146" s="753"/>
      <c r="CA146" s="754"/>
      <c r="CB146" s="751"/>
      <c r="CC146" s="751"/>
      <c r="CD146" s="752"/>
      <c r="CE146" s="753"/>
      <c r="CF146" s="754"/>
      <c r="CG146" s="751"/>
      <c r="CH146" s="751"/>
      <c r="CI146" s="752"/>
      <c r="CJ146" s="753"/>
      <c r="CK146" s="754"/>
      <c r="CL146" s="751"/>
      <c r="CM146" s="751"/>
      <c r="CN146" s="752"/>
      <c r="CO146" s="753"/>
      <c r="CP146" s="754"/>
      <c r="CQ146" s="751"/>
      <c r="CR146" s="751"/>
      <c r="CS146" s="752"/>
      <c r="CT146" s="753"/>
      <c r="CU146" s="754"/>
      <c r="CV146" s="751"/>
      <c r="CW146" s="751"/>
      <c r="CX146" s="752"/>
      <c r="CY146" s="753"/>
      <c r="CZ146" s="754"/>
      <c r="DA146" s="751"/>
      <c r="DB146" s="751"/>
      <c r="DC146" s="752"/>
      <c r="DD146" s="753"/>
      <c r="DE146" s="751"/>
      <c r="DF146" s="751"/>
      <c r="DG146" s="751"/>
      <c r="DH146" s="752"/>
      <c r="DI146" s="753"/>
      <c r="DJ146" s="751"/>
      <c r="DK146" s="751"/>
      <c r="DL146" s="751"/>
      <c r="DM146" s="752"/>
      <c r="DN146" s="753"/>
      <c r="DO146" s="751"/>
      <c r="DP146" s="751"/>
      <c r="DQ146" s="751"/>
      <c r="DR146" s="752"/>
      <c r="DS146" s="753"/>
      <c r="DT146" s="751"/>
      <c r="DU146" s="752"/>
      <c r="DV146" s="751"/>
      <c r="DW146" s="752"/>
      <c r="DX146" s="753"/>
      <c r="DY146" s="752"/>
      <c r="DZ146" s="752"/>
      <c r="EA146" s="751"/>
      <c r="EB146" s="752"/>
      <c r="EC146" s="753"/>
      <c r="ED146" s="752"/>
      <c r="EE146" s="752"/>
      <c r="EF146" s="751"/>
      <c r="EG146" s="752"/>
      <c r="EH146" s="753"/>
      <c r="EI146" s="751"/>
      <c r="EJ146" s="751"/>
      <c r="EK146" s="751"/>
      <c r="EL146" s="751"/>
      <c r="EM146" s="753"/>
      <c r="EN146" s="751"/>
      <c r="EO146" s="751"/>
      <c r="EP146" s="751"/>
      <c r="EQ146" s="751"/>
      <c r="ER146" s="753"/>
      <c r="ES146" s="1387"/>
      <c r="ET146" s="1388"/>
      <c r="EU146" s="1388"/>
      <c r="EV146" s="1386"/>
      <c r="EW146" s="753"/>
      <c r="EX146" s="1388"/>
      <c r="EY146" s="1388"/>
      <c r="EZ146" s="1388"/>
      <c r="FA146" s="1386"/>
      <c r="FB146" s="753"/>
      <c r="FC146" s="1388"/>
      <c r="FD146" s="1388"/>
      <c r="FE146" s="1388"/>
      <c r="FF146" s="1386"/>
      <c r="FG146" s="753"/>
      <c r="FH146" s="1388"/>
      <c r="FI146" s="1388"/>
      <c r="FJ146" s="1388"/>
      <c r="FK146" s="1386"/>
      <c r="FL146" s="753"/>
      <c r="FM146" s="2640"/>
      <c r="FN146" s="2795"/>
      <c r="FO146" s="1387"/>
      <c r="FP146" s="2795"/>
      <c r="FQ146" s="2795"/>
      <c r="FR146" s="1386"/>
      <c r="FS146" s="753"/>
      <c r="FT146" s="2795"/>
      <c r="FU146" s="1386"/>
      <c r="FV146" s="2795"/>
      <c r="FW146" s="2641"/>
      <c r="FX146" s="753"/>
      <c r="FY146" s="2640"/>
      <c r="FZ146" s="2640"/>
      <c r="GA146" s="2640"/>
      <c r="GB146" s="2641"/>
      <c r="GC146" s="753"/>
      <c r="GD146" s="2640"/>
      <c r="GE146" s="2640"/>
      <c r="GF146" s="2640"/>
      <c r="GG146" s="2641"/>
      <c r="GH146" s="753"/>
      <c r="GI146" s="753"/>
      <c r="GJ146" s="753"/>
      <c r="GK146" s="753"/>
      <c r="GL146" s="753"/>
      <c r="GM146" s="753"/>
    </row>
    <row r="147" spans="1:195" outlineLevel="1">
      <c r="B147" s="1466" t="s">
        <v>747</v>
      </c>
      <c r="C147" s="3264"/>
      <c r="D147" s="1467"/>
      <c r="E147" s="1467"/>
      <c r="F147" s="1467"/>
      <c r="G147" s="1467"/>
      <c r="H147" s="1467"/>
      <c r="I147" s="1467"/>
      <c r="J147" s="1467"/>
      <c r="K147" s="1467"/>
      <c r="L147" s="1467"/>
      <c r="M147" s="1467"/>
      <c r="N147" s="1467"/>
      <c r="O147" s="1467"/>
      <c r="P147" s="1467"/>
      <c r="Q147" s="1467"/>
      <c r="R147" s="1467"/>
      <c r="S147" s="1467"/>
      <c r="T147" s="1467"/>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c r="BE147" s="1467"/>
      <c r="BF147" s="1467"/>
      <c r="BG147" s="1467"/>
      <c r="BH147" s="1467"/>
      <c r="BI147" s="1467"/>
      <c r="BJ147" s="1467"/>
      <c r="BK147" s="1467"/>
      <c r="BL147" s="1467"/>
      <c r="BM147" s="1467"/>
      <c r="BN147" s="1467"/>
      <c r="BO147" s="1467"/>
      <c r="BP147" s="1467"/>
      <c r="BQ147" s="1467"/>
      <c r="BR147" s="1467"/>
      <c r="BS147" s="1467"/>
      <c r="BT147" s="1467"/>
      <c r="BU147" s="1467"/>
      <c r="BV147" s="1467"/>
      <c r="BW147" s="1467"/>
      <c r="BX147" s="1467"/>
      <c r="BY147" s="1467"/>
      <c r="BZ147" s="1467"/>
      <c r="CA147" s="1467"/>
      <c r="CB147" s="1467"/>
      <c r="CC147" s="1467"/>
      <c r="CD147" s="1467"/>
      <c r="CE147" s="1467"/>
      <c r="CF147" s="1467"/>
      <c r="CG147" s="1467"/>
      <c r="CH147" s="1467"/>
      <c r="CI147" s="1467"/>
      <c r="CJ147" s="1467"/>
      <c r="CK147" s="1467"/>
      <c r="CL147" s="1467"/>
      <c r="CM147" s="1467"/>
      <c r="CN147" s="1467"/>
      <c r="CO147" s="1467"/>
      <c r="CP147" s="1467"/>
      <c r="CQ147" s="1467"/>
      <c r="CR147" s="1467"/>
      <c r="CS147" s="1467"/>
      <c r="CT147" s="1467"/>
      <c r="CU147" s="1467"/>
      <c r="CV147" s="1467"/>
      <c r="CW147" s="1467"/>
      <c r="CX147" s="1467"/>
      <c r="CY147" s="1467"/>
      <c r="CZ147" s="1467"/>
      <c r="DA147" s="1467"/>
      <c r="DB147" s="1467"/>
      <c r="DC147" s="1467"/>
      <c r="DD147" s="1467"/>
      <c r="DE147" s="1467"/>
      <c r="DF147" s="1467"/>
      <c r="DG147" s="1467"/>
      <c r="DH147" s="1467"/>
      <c r="DI147" s="1467"/>
      <c r="DJ147" s="1467"/>
      <c r="DK147" s="1467"/>
      <c r="DL147" s="1467"/>
      <c r="DM147" s="1467"/>
      <c r="DN147" s="1467"/>
      <c r="DO147" s="1467"/>
      <c r="DP147" s="1467"/>
      <c r="DQ147" s="1467"/>
      <c r="DR147" s="1467"/>
      <c r="DS147" s="1467"/>
      <c r="DT147" s="1467"/>
      <c r="DU147" s="1467"/>
      <c r="DV147" s="1467"/>
      <c r="DW147" s="1467"/>
      <c r="DX147" s="1467"/>
      <c r="DY147" s="1467"/>
      <c r="DZ147" s="1467"/>
      <c r="EA147" s="1467"/>
      <c r="EB147" s="1467"/>
      <c r="EC147" s="1467"/>
      <c r="ED147" s="1467"/>
      <c r="EE147" s="1467"/>
      <c r="EF147" s="1467"/>
      <c r="EG147" s="1467"/>
      <c r="EH147" s="1469">
        <v>1271</v>
      </c>
      <c r="EI147" s="1468"/>
      <c r="EJ147" s="1468"/>
      <c r="EK147" s="1468"/>
      <c r="EL147" s="1468"/>
      <c r="EM147" s="1469">
        <v>-2963</v>
      </c>
      <c r="EN147" s="1468"/>
      <c r="EO147" s="1468"/>
      <c r="EP147" s="1468"/>
      <c r="EQ147" s="1468"/>
      <c r="ER147" s="1469">
        <v>-4357</v>
      </c>
      <c r="ES147" s="1469"/>
      <c r="ET147" s="1469"/>
      <c r="EU147" s="1469"/>
      <c r="EV147" s="1469"/>
      <c r="EW147" s="2610">
        <v>-4472</v>
      </c>
      <c r="EX147" s="2610"/>
      <c r="EY147" s="2610"/>
      <c r="EZ147" s="2610"/>
      <c r="FA147" s="2610"/>
      <c r="FB147" s="2610">
        <v>-4500</v>
      </c>
      <c r="FC147" s="2611"/>
      <c r="FD147" s="2611"/>
      <c r="FE147" s="2611"/>
      <c r="FF147" s="2611"/>
      <c r="FG147" s="2610">
        <v>-4300</v>
      </c>
      <c r="FH147" s="2611"/>
      <c r="FI147" s="2611"/>
      <c r="FJ147" s="2611"/>
      <c r="FK147" s="2611"/>
      <c r="FL147" s="2610">
        <v>-4100</v>
      </c>
      <c r="FM147" s="2611"/>
      <c r="FN147" s="2802"/>
      <c r="FO147" s="2796"/>
      <c r="FP147" s="2796"/>
      <c r="FQ147" s="2796"/>
      <c r="FR147" s="2796"/>
      <c r="FS147" s="2796"/>
      <c r="FT147" s="2796"/>
      <c r="FU147" s="2796"/>
      <c r="FV147" s="2803"/>
      <c r="FW147" s="2611"/>
      <c r="FX147" s="2610">
        <v>-4800</v>
      </c>
      <c r="FY147" s="2611"/>
      <c r="FZ147" s="2611"/>
      <c r="GA147" s="2611"/>
      <c r="GB147" s="2611"/>
      <c r="GC147" s="2610">
        <v>-4600</v>
      </c>
      <c r="GD147" s="2611"/>
      <c r="GE147" s="2611"/>
      <c r="GF147" s="2611"/>
      <c r="GG147" s="2611"/>
      <c r="GH147" s="2610">
        <v>-3800</v>
      </c>
      <c r="GI147" s="2610">
        <v>-3800</v>
      </c>
      <c r="GJ147" s="2610">
        <v>-3800</v>
      </c>
      <c r="GK147" s="2610">
        <v>-3800</v>
      </c>
      <c r="GL147" s="2610">
        <v>-3800</v>
      </c>
      <c r="GM147" s="2610">
        <v>-3800</v>
      </c>
    </row>
    <row r="148" spans="1:195" outlineLevel="1">
      <c r="B148" s="3239"/>
      <c r="C148" s="3240"/>
      <c r="D148" s="3240"/>
      <c r="E148" s="3240"/>
      <c r="F148" s="3240"/>
      <c r="G148" s="3240"/>
      <c r="H148" s="3240"/>
      <c r="I148" s="3240"/>
      <c r="J148" s="3240"/>
      <c r="K148" s="3240"/>
      <c r="L148" s="3240"/>
      <c r="M148" s="3240"/>
      <c r="N148" s="3240"/>
      <c r="O148" s="3240"/>
      <c r="P148" s="3240"/>
      <c r="Q148" s="3240"/>
      <c r="R148" s="3240"/>
      <c r="S148" s="3240"/>
      <c r="T148" s="3240"/>
      <c r="U148" s="3240"/>
      <c r="V148" s="3240"/>
      <c r="W148" s="3240"/>
      <c r="X148" s="3240"/>
      <c r="Y148" s="3240"/>
      <c r="Z148" s="3240"/>
      <c r="AA148" s="3240"/>
      <c r="AB148" s="3240"/>
      <c r="AC148" s="3240"/>
      <c r="AD148" s="3240"/>
      <c r="AE148" s="3240"/>
      <c r="AF148" s="3240"/>
      <c r="AG148" s="3240"/>
      <c r="AH148" s="3240"/>
      <c r="AI148" s="3240"/>
      <c r="AJ148" s="3240"/>
      <c r="AK148" s="3240"/>
      <c r="AL148" s="3240"/>
      <c r="AM148" s="3240"/>
      <c r="AN148" s="3240"/>
      <c r="AO148" s="3240"/>
      <c r="AP148" s="3240"/>
      <c r="AQ148" s="3240"/>
      <c r="AR148" s="3240"/>
      <c r="AS148" s="3240"/>
      <c r="AT148" s="3240"/>
      <c r="AU148" s="3240"/>
      <c r="AV148" s="3240"/>
      <c r="AW148" s="3240"/>
      <c r="AX148" s="3240"/>
      <c r="AY148" s="3240"/>
      <c r="AZ148" s="3240"/>
      <c r="BA148" s="3240"/>
      <c r="BB148" s="3240"/>
      <c r="BC148" s="3240"/>
      <c r="BD148" s="3240"/>
      <c r="BE148" s="3240"/>
      <c r="BF148" s="3240"/>
      <c r="BG148" s="3240"/>
      <c r="BH148" s="3240"/>
      <c r="BI148" s="3240"/>
      <c r="BJ148" s="3240"/>
      <c r="BK148" s="3240"/>
      <c r="BL148" s="3240"/>
      <c r="BM148" s="3240"/>
      <c r="BN148" s="3240"/>
      <c r="BO148" s="3240"/>
      <c r="BP148" s="3240"/>
      <c r="BQ148" s="3240"/>
      <c r="BR148" s="3240"/>
      <c r="BS148" s="3240"/>
      <c r="BT148" s="3240"/>
      <c r="BU148" s="3240"/>
      <c r="BV148" s="3240"/>
      <c r="BW148" s="3240"/>
      <c r="BX148" s="3240"/>
      <c r="BY148" s="3240"/>
      <c r="BZ148" s="3240"/>
      <c r="CA148" s="3240"/>
      <c r="CB148" s="3240"/>
      <c r="CC148" s="3240"/>
      <c r="CD148" s="3240"/>
      <c r="CE148" s="3240"/>
      <c r="CF148" s="3240"/>
      <c r="CG148" s="3240"/>
      <c r="CH148" s="3240"/>
      <c r="CI148" s="3240"/>
      <c r="CJ148" s="3240"/>
      <c r="CK148" s="3240"/>
      <c r="CL148" s="3240"/>
      <c r="CM148" s="3240"/>
      <c r="CN148" s="3240"/>
      <c r="CO148" s="3240"/>
      <c r="CP148" s="3240"/>
      <c r="CQ148" s="3240"/>
      <c r="CR148" s="3240"/>
      <c r="CS148" s="3240"/>
      <c r="CT148" s="3240"/>
      <c r="CU148" s="3240"/>
      <c r="CV148" s="3240"/>
      <c r="CW148" s="3240"/>
      <c r="CX148" s="3240"/>
      <c r="CY148" s="3240"/>
      <c r="CZ148" s="3240"/>
      <c r="DA148" s="3240"/>
      <c r="DB148" s="3240"/>
      <c r="DC148" s="3240"/>
      <c r="DD148" s="3240"/>
      <c r="DE148" s="3240"/>
      <c r="DF148" s="3240"/>
      <c r="DG148" s="3240"/>
      <c r="DH148" s="3240"/>
      <c r="DI148" s="3240"/>
      <c r="DJ148" s="3240"/>
      <c r="DK148" s="3240"/>
      <c r="DL148" s="3240"/>
      <c r="DM148" s="3240"/>
      <c r="DN148" s="3240"/>
      <c r="DO148" s="3240"/>
      <c r="DP148" s="3240"/>
      <c r="DQ148" s="3240"/>
      <c r="DR148" s="3240"/>
      <c r="DS148" s="3240"/>
      <c r="DT148" s="3240"/>
      <c r="DU148" s="3240"/>
      <c r="DV148" s="3240"/>
      <c r="DW148" s="3240"/>
      <c r="DX148" s="3240"/>
      <c r="DY148" s="3240"/>
      <c r="DZ148" s="3240"/>
      <c r="EA148" s="3240"/>
      <c r="EB148" s="3240"/>
      <c r="EC148" s="3240"/>
      <c r="ED148" s="3240"/>
      <c r="EE148" s="3240"/>
      <c r="EF148" s="3240"/>
      <c r="EG148" s="3240"/>
      <c r="EH148" s="3241"/>
      <c r="EI148" s="3240"/>
      <c r="EJ148" s="3240"/>
      <c r="EK148" s="3240"/>
      <c r="EL148" s="3240"/>
      <c r="EM148" s="3241"/>
      <c r="EN148" s="3240"/>
      <c r="EO148" s="3240"/>
      <c r="EP148" s="3240"/>
      <c r="EQ148" s="3240"/>
      <c r="ER148" s="3241"/>
      <c r="ES148" s="3241"/>
      <c r="ET148" s="3241"/>
      <c r="EU148" s="3241"/>
      <c r="EV148" s="3241"/>
      <c r="EW148" s="3242"/>
      <c r="EX148" s="3242"/>
      <c r="EY148" s="3242"/>
      <c r="EZ148" s="3242"/>
      <c r="FA148" s="3242"/>
      <c r="FB148" s="3242"/>
      <c r="FC148" s="3242"/>
      <c r="FD148" s="3242"/>
      <c r="FE148" s="3242"/>
      <c r="FF148" s="3242"/>
      <c r="FG148" s="3242"/>
      <c r="FH148" s="3242"/>
      <c r="FI148" s="3242"/>
      <c r="FJ148" s="3242"/>
      <c r="FK148" s="3242"/>
      <c r="FL148" s="3242"/>
      <c r="FM148" s="3242"/>
      <c r="FN148" s="3242"/>
      <c r="FO148" s="3242"/>
      <c r="FP148" s="3242"/>
      <c r="FQ148" s="3242"/>
      <c r="FR148" s="3242"/>
      <c r="FS148" s="3242"/>
      <c r="FT148" s="3242"/>
      <c r="FU148" s="3242"/>
      <c r="FV148" s="3242"/>
      <c r="FW148" s="3242"/>
      <c r="FX148" s="3242"/>
      <c r="FY148" s="3242"/>
      <c r="FZ148" s="3242"/>
      <c r="GA148" s="3242"/>
      <c r="GB148" s="3242"/>
      <c r="GC148" s="3242"/>
      <c r="GD148" s="3242"/>
      <c r="GE148" s="3242"/>
      <c r="GF148" s="3242"/>
      <c r="GG148" s="3242"/>
      <c r="GH148" s="3242"/>
      <c r="GI148" s="3242"/>
      <c r="GJ148" s="3242"/>
      <c r="GK148" s="3242"/>
      <c r="GL148" s="3242"/>
      <c r="GM148" s="3242"/>
    </row>
    <row r="149" spans="1:195" ht="12.75" customHeight="1" outlineLevel="1">
      <c r="A149" s="2409"/>
      <c r="B149" s="750" t="s">
        <v>886</v>
      </c>
      <c r="C149" s="593"/>
      <c r="D149" s="755"/>
      <c r="E149" s="593"/>
      <c r="F149" s="593"/>
      <c r="G149" s="593"/>
      <c r="H149" s="756"/>
      <c r="I149" s="593"/>
      <c r="J149" s="593"/>
      <c r="K149" s="593"/>
      <c r="L149" s="593"/>
      <c r="M149" s="756"/>
      <c r="N149" s="756"/>
      <c r="O149" s="756"/>
      <c r="P149" s="756"/>
      <c r="Q149" s="756"/>
      <c r="R149" s="756"/>
      <c r="S149" s="756"/>
      <c r="T149" s="756"/>
      <c r="U149" s="756"/>
      <c r="V149" s="756"/>
      <c r="W149" s="593"/>
      <c r="X149" s="593"/>
      <c r="Y149" s="593"/>
      <c r="Z149" s="593"/>
      <c r="AA149" s="593"/>
      <c r="AB149" s="593"/>
      <c r="AC149" s="593"/>
      <c r="AD149" s="593"/>
      <c r="AE149" s="593"/>
      <c r="AF149" s="593"/>
      <c r="AG149" s="593"/>
      <c r="AH149" s="593"/>
      <c r="AI149" s="593"/>
      <c r="AJ149" s="593"/>
      <c r="AK149" s="593"/>
      <c r="AL149" s="593"/>
      <c r="AM149" s="593"/>
      <c r="AN149" s="593"/>
      <c r="AO149" s="593"/>
      <c r="AP149" s="593"/>
      <c r="AQ149" s="593"/>
      <c r="AR149" s="593"/>
      <c r="AS149" s="593"/>
      <c r="AT149" s="593"/>
      <c r="AU149" s="593"/>
      <c r="AV149" s="593"/>
      <c r="AW149" s="593"/>
      <c r="AX149" s="593"/>
      <c r="AY149" s="593"/>
      <c r="AZ149" s="593"/>
      <c r="BA149" s="753"/>
      <c r="BB149" s="593"/>
      <c r="BC149" s="593"/>
      <c r="BD149" s="593"/>
      <c r="BE149" s="593"/>
      <c r="BF149" s="753"/>
      <c r="BG149" s="751"/>
      <c r="BH149" s="751"/>
      <c r="BI149" s="751"/>
      <c r="BJ149" s="752"/>
      <c r="BK149" s="753"/>
      <c r="BL149" s="751"/>
      <c r="BM149" s="751"/>
      <c r="BN149" s="751"/>
      <c r="BO149" s="752"/>
      <c r="BP149" s="753"/>
      <c r="BQ149" s="751"/>
      <c r="BR149" s="751"/>
      <c r="BS149" s="751"/>
      <c r="BT149" s="752"/>
      <c r="BU149" s="753"/>
      <c r="BV149" s="754"/>
      <c r="BW149" s="751"/>
      <c r="BX149" s="751"/>
      <c r="BY149" s="752"/>
      <c r="BZ149" s="753"/>
      <c r="CA149" s="754"/>
      <c r="CB149" s="751"/>
      <c r="CC149" s="751"/>
      <c r="CD149" s="752"/>
      <c r="CE149" s="753"/>
      <c r="CF149" s="754"/>
      <c r="CG149" s="751"/>
      <c r="CH149" s="751"/>
      <c r="CI149" s="752"/>
      <c r="CJ149" s="753"/>
      <c r="CK149" s="754"/>
      <c r="CL149" s="751"/>
      <c r="CM149" s="751"/>
      <c r="CN149" s="752"/>
      <c r="CO149" s="753"/>
      <c r="CP149" s="754"/>
      <c r="CQ149" s="751"/>
      <c r="CR149" s="751"/>
      <c r="CS149" s="752"/>
      <c r="CT149" s="753"/>
      <c r="CU149" s="754"/>
      <c r="CV149" s="751"/>
      <c r="CW149" s="751"/>
      <c r="CX149" s="752"/>
      <c r="CY149" s="753"/>
      <c r="CZ149" s="754"/>
      <c r="DA149" s="751"/>
      <c r="DB149" s="751"/>
      <c r="DC149" s="752"/>
      <c r="DD149" s="753"/>
      <c r="DE149" s="751"/>
      <c r="DF149" s="751"/>
      <c r="DG149" s="751"/>
      <c r="DH149" s="752"/>
      <c r="DI149" s="753"/>
      <c r="DJ149" s="751"/>
      <c r="DK149" s="751"/>
      <c r="DL149" s="751"/>
      <c r="DM149" s="752"/>
      <c r="DN149" s="753"/>
      <c r="DO149" s="751"/>
      <c r="DP149" s="751"/>
      <c r="DQ149" s="751"/>
      <c r="DR149" s="752"/>
      <c r="DS149" s="753"/>
      <c r="DT149" s="751"/>
      <c r="DU149" s="752"/>
      <c r="DV149" s="751"/>
      <c r="DW149" s="752"/>
      <c r="DX149" s="753"/>
      <c r="DY149" s="752"/>
      <c r="DZ149" s="752"/>
      <c r="EA149" s="751"/>
      <c r="EB149" s="752"/>
      <c r="EC149" s="753"/>
      <c r="ED149" s="752"/>
      <c r="EE149" s="752"/>
      <c r="EF149" s="751"/>
      <c r="EG149" s="752"/>
      <c r="EH149" s="753"/>
      <c r="EI149" s="751"/>
      <c r="EJ149" s="751"/>
      <c r="EK149" s="751"/>
      <c r="EL149" s="751"/>
      <c r="EM149" s="753"/>
      <c r="EN149" s="751"/>
      <c r="EO149" s="751"/>
      <c r="EP149" s="751"/>
      <c r="EQ149" s="751"/>
      <c r="ER149" s="753"/>
      <c r="ES149" s="1387"/>
      <c r="ET149" s="1388"/>
      <c r="EU149" s="1388"/>
      <c r="EV149" s="1386"/>
      <c r="EW149" s="753"/>
      <c r="EX149" s="1388"/>
      <c r="EY149" s="1388"/>
      <c r="EZ149" s="1388"/>
      <c r="FA149" s="1386"/>
      <c r="FB149" s="753"/>
      <c r="FC149" s="1388"/>
      <c r="FD149" s="1388"/>
      <c r="FE149" s="1388"/>
      <c r="FF149" s="1386"/>
      <c r="FG149" s="753"/>
      <c r="FH149" s="1388"/>
      <c r="FI149" s="1388"/>
      <c r="FJ149" s="1388"/>
      <c r="FK149" s="1386"/>
      <c r="FL149" s="753"/>
      <c r="FM149" s="2640"/>
      <c r="FN149" s="2795"/>
      <c r="FO149" s="1387"/>
      <c r="FP149" s="2795"/>
      <c r="FQ149" s="2795"/>
      <c r="FR149" s="1386"/>
      <c r="FS149" s="753"/>
      <c r="FT149" s="2795"/>
      <c r="FU149" s="1386"/>
      <c r="FV149" s="2795"/>
      <c r="FW149" s="2641"/>
      <c r="FX149" s="753"/>
      <c r="FY149" s="2640"/>
      <c r="FZ149" s="2640"/>
      <c r="GA149" s="2640"/>
      <c r="GB149" s="2641"/>
      <c r="GC149" s="753"/>
      <c r="GD149" s="2640"/>
      <c r="GE149" s="2640"/>
      <c r="GF149" s="2640"/>
      <c r="GG149" s="2641"/>
      <c r="GH149" s="753"/>
      <c r="GI149" s="753"/>
      <c r="GJ149" s="753"/>
      <c r="GK149" s="753"/>
      <c r="GL149" s="753"/>
      <c r="GM149" s="753"/>
    </row>
    <row r="150" spans="1:195" outlineLevel="1">
      <c r="A150" s="3320"/>
      <c r="B150" s="3243" t="s">
        <v>323</v>
      </c>
      <c r="C150" s="3265"/>
      <c r="D150" s="3244"/>
      <c r="E150" s="3244"/>
      <c r="F150" s="3244"/>
      <c r="G150" s="3244"/>
      <c r="H150" s="3244"/>
      <c r="I150" s="3244"/>
      <c r="J150" s="3244"/>
      <c r="K150" s="3244"/>
      <c r="L150" s="3244"/>
      <c r="M150" s="3244"/>
      <c r="N150" s="3244"/>
      <c r="O150" s="3244"/>
      <c r="P150" s="3244"/>
      <c r="Q150" s="3244"/>
      <c r="R150" s="3244"/>
      <c r="S150" s="3244"/>
      <c r="T150" s="3244"/>
      <c r="U150" s="3244"/>
      <c r="V150" s="3244"/>
      <c r="W150" s="3244"/>
      <c r="X150" s="3244"/>
      <c r="Y150" s="3244"/>
      <c r="Z150" s="3244"/>
      <c r="AA150" s="3244"/>
      <c r="AB150" s="3244"/>
      <c r="AC150" s="3244"/>
      <c r="AD150" s="3244"/>
      <c r="AE150" s="3244"/>
      <c r="AF150" s="3244"/>
      <c r="AG150" s="3244"/>
      <c r="AH150" s="3244"/>
      <c r="AI150" s="3244"/>
      <c r="AJ150" s="3244"/>
      <c r="AK150" s="3244"/>
      <c r="AL150" s="3244"/>
      <c r="AM150" s="3244"/>
      <c r="AN150" s="3244"/>
      <c r="AO150" s="3244"/>
      <c r="AP150" s="3244"/>
      <c r="AQ150" s="3244"/>
      <c r="AR150" s="3244"/>
      <c r="AS150" s="3244"/>
      <c r="AT150" s="3244"/>
      <c r="AU150" s="3244"/>
      <c r="AV150" s="3244"/>
      <c r="AW150" s="3244"/>
      <c r="AX150" s="3244"/>
      <c r="AY150" s="3244"/>
      <c r="AZ150" s="3244"/>
      <c r="BA150" s="3244"/>
      <c r="BB150" s="3244"/>
      <c r="BC150" s="3244"/>
      <c r="BD150" s="3244"/>
      <c r="BE150" s="3244"/>
      <c r="BF150" s="3244"/>
      <c r="BG150" s="3244"/>
      <c r="BH150" s="3244"/>
      <c r="BI150" s="3244"/>
      <c r="BJ150" s="3244"/>
      <c r="BK150" s="3244"/>
      <c r="BL150" s="3244"/>
      <c r="BM150" s="3244"/>
      <c r="BN150" s="3244"/>
      <c r="BO150" s="3244"/>
      <c r="BP150" s="3244"/>
      <c r="BQ150" s="3244"/>
      <c r="BR150" s="3244"/>
      <c r="BS150" s="3244"/>
      <c r="BT150" s="3244"/>
      <c r="BU150" s="3244"/>
      <c r="BV150" s="3244"/>
      <c r="BW150" s="3244"/>
      <c r="BX150" s="3244"/>
      <c r="BY150" s="3244"/>
      <c r="BZ150" s="3244"/>
      <c r="CA150" s="3244"/>
      <c r="CB150" s="3244"/>
      <c r="CC150" s="3244"/>
      <c r="CD150" s="3244"/>
      <c r="CE150" s="3244"/>
      <c r="CF150" s="3244"/>
      <c r="CG150" s="3244"/>
      <c r="CH150" s="3244"/>
      <c r="CI150" s="3244"/>
      <c r="CJ150" s="3244"/>
      <c r="CK150" s="3244"/>
      <c r="CL150" s="3244"/>
      <c r="CM150" s="3244"/>
      <c r="CN150" s="3244"/>
      <c r="CO150" s="3244"/>
      <c r="CP150" s="3244"/>
      <c r="CQ150" s="3244"/>
      <c r="CR150" s="3244"/>
      <c r="CS150" s="3244"/>
      <c r="CT150" s="3244"/>
      <c r="CU150" s="3244"/>
      <c r="CV150" s="3244"/>
      <c r="CW150" s="3244"/>
      <c r="CX150" s="3244"/>
      <c r="CY150" s="3244"/>
      <c r="CZ150" s="3244"/>
      <c r="DA150" s="3244"/>
      <c r="DB150" s="3244"/>
      <c r="DC150" s="3244"/>
      <c r="DD150" s="3244"/>
      <c r="DE150" s="3244"/>
      <c r="DF150" s="3244"/>
      <c r="DG150" s="3244"/>
      <c r="DH150" s="3244"/>
      <c r="DI150" s="3244"/>
      <c r="DJ150" s="3244"/>
      <c r="DK150" s="3244"/>
      <c r="DL150" s="3244"/>
      <c r="DM150" s="3244"/>
      <c r="DN150" s="3244"/>
      <c r="DO150" s="3244"/>
      <c r="DP150" s="3244"/>
      <c r="DQ150" s="3244"/>
      <c r="DR150" s="3244"/>
      <c r="DS150" s="3244"/>
      <c r="DT150" s="3244"/>
      <c r="DU150" s="3244"/>
      <c r="DV150" s="3244"/>
      <c r="DW150" s="3244"/>
      <c r="DX150" s="3244"/>
      <c r="DY150" s="3244"/>
      <c r="DZ150" s="3244"/>
      <c r="EA150" s="3244"/>
      <c r="EB150" s="3244"/>
      <c r="EC150" s="3244"/>
      <c r="ED150" s="3244"/>
      <c r="EE150" s="3244"/>
      <c r="EF150" s="3244"/>
      <c r="EG150" s="3244"/>
      <c r="EH150" s="3245">
        <v>1271</v>
      </c>
      <c r="EI150" s="3246"/>
      <c r="EJ150" s="3246"/>
      <c r="EK150" s="3246"/>
      <c r="EL150" s="3246"/>
      <c r="EM150" s="3245">
        <v>-2963</v>
      </c>
      <c r="EN150" s="3246"/>
      <c r="EO150" s="3246"/>
      <c r="EP150" s="3246"/>
      <c r="EQ150" s="3246"/>
      <c r="ER150" s="3245">
        <v>-4357</v>
      </c>
      <c r="ES150" s="3245"/>
      <c r="ET150" s="3245"/>
      <c r="EU150" s="3245"/>
      <c r="EV150" s="3245"/>
      <c r="EW150" s="3247"/>
      <c r="EX150" s="3247"/>
      <c r="EY150" s="3247"/>
      <c r="EZ150" s="3247"/>
      <c r="FA150" s="3247"/>
      <c r="FB150" s="3247"/>
      <c r="FC150" s="3247"/>
      <c r="FD150" s="3247"/>
      <c r="FE150" s="3247"/>
      <c r="FF150" s="3247">
        <v>4800</v>
      </c>
      <c r="FG150" s="3247"/>
      <c r="FH150" s="3247">
        <v>5600</v>
      </c>
      <c r="FI150" s="3247">
        <v>5600</v>
      </c>
      <c r="FJ150" s="3247">
        <v>5500</v>
      </c>
      <c r="FK150" s="3247">
        <v>5000</v>
      </c>
      <c r="FL150" s="3247"/>
      <c r="FM150" s="3247">
        <v>5800</v>
      </c>
      <c r="FN150" s="3248">
        <v>5900</v>
      </c>
      <c r="FO150" s="3247"/>
      <c r="FP150" s="3247"/>
      <c r="FQ150" s="3247"/>
      <c r="FR150" s="3247"/>
      <c r="FS150" s="3247"/>
      <c r="FT150" s="3247"/>
      <c r="FU150" s="3247"/>
      <c r="FV150" s="3249">
        <v>6300</v>
      </c>
      <c r="FW150" s="3247"/>
      <c r="FX150" s="3247"/>
      <c r="FY150" s="3247"/>
      <c r="FZ150" s="3247"/>
      <c r="GA150" s="3247"/>
      <c r="GB150" s="3247"/>
      <c r="GC150" s="3247"/>
      <c r="GD150" s="3247"/>
      <c r="GE150" s="3247"/>
      <c r="GF150" s="3247"/>
      <c r="GG150" s="3565"/>
      <c r="GH150" s="3247"/>
      <c r="GI150" s="3247"/>
      <c r="GJ150" s="3247"/>
      <c r="GK150" s="3247"/>
      <c r="GL150" s="3247"/>
      <c r="GM150" s="3247"/>
    </row>
    <row r="151" spans="1:195" outlineLevel="1">
      <c r="A151" s="2409"/>
      <c r="B151" s="3250" t="s">
        <v>820</v>
      </c>
      <c r="C151" s="3240"/>
      <c r="D151" s="3251"/>
      <c r="E151" s="3251"/>
      <c r="F151" s="3251"/>
      <c r="G151" s="3251"/>
      <c r="H151" s="3251"/>
      <c r="I151" s="3251"/>
      <c r="J151" s="3251"/>
      <c r="K151" s="3251"/>
      <c r="L151" s="3251"/>
      <c r="M151" s="3251"/>
      <c r="N151" s="3251"/>
      <c r="O151" s="3251"/>
      <c r="P151" s="3251"/>
      <c r="Q151" s="3251"/>
      <c r="R151" s="3251"/>
      <c r="S151" s="3251"/>
      <c r="T151" s="3251"/>
      <c r="U151" s="3251"/>
      <c r="V151" s="3251"/>
      <c r="W151" s="3251"/>
      <c r="X151" s="3251"/>
      <c r="Y151" s="3251"/>
      <c r="Z151" s="3251"/>
      <c r="AA151" s="3251"/>
      <c r="AB151" s="3251"/>
      <c r="AC151" s="3251"/>
      <c r="AD151" s="3251"/>
      <c r="AE151" s="3251"/>
      <c r="AF151" s="3251"/>
      <c r="AG151" s="3251"/>
      <c r="AH151" s="3251"/>
      <c r="AI151" s="3251"/>
      <c r="AJ151" s="3251"/>
      <c r="AK151" s="3251"/>
      <c r="AL151" s="3251"/>
      <c r="AM151" s="3251"/>
      <c r="AN151" s="3251"/>
      <c r="AO151" s="3251"/>
      <c r="AP151" s="3251"/>
      <c r="AQ151" s="3251"/>
      <c r="AR151" s="3251"/>
      <c r="AS151" s="3251"/>
      <c r="AT151" s="3251"/>
      <c r="AU151" s="3251"/>
      <c r="AV151" s="3251"/>
      <c r="AW151" s="3251"/>
      <c r="AX151" s="3251"/>
      <c r="AY151" s="3251"/>
      <c r="AZ151" s="3251"/>
      <c r="BA151" s="3251"/>
      <c r="BB151" s="3251"/>
      <c r="BC151" s="3251"/>
      <c r="BD151" s="3251"/>
      <c r="BE151" s="3251"/>
      <c r="BF151" s="3251"/>
      <c r="BG151" s="3251"/>
      <c r="BH151" s="3251"/>
      <c r="BI151" s="3251"/>
      <c r="BJ151" s="3251"/>
      <c r="BK151" s="3251"/>
      <c r="BL151" s="3251"/>
      <c r="BM151" s="3251"/>
      <c r="BN151" s="3251"/>
      <c r="BO151" s="3251"/>
      <c r="BP151" s="3251"/>
      <c r="BQ151" s="3251"/>
      <c r="BR151" s="3251"/>
      <c r="BS151" s="3251"/>
      <c r="BT151" s="3251"/>
      <c r="BU151" s="3251"/>
      <c r="BV151" s="3251"/>
      <c r="BW151" s="3251"/>
      <c r="BX151" s="3251"/>
      <c r="BY151" s="3251"/>
      <c r="BZ151" s="3251"/>
      <c r="CA151" s="3251"/>
      <c r="CB151" s="3251"/>
      <c r="CC151" s="3251"/>
      <c r="CD151" s="3251"/>
      <c r="CE151" s="3251"/>
      <c r="CF151" s="3251"/>
      <c r="CG151" s="3251"/>
      <c r="CH151" s="3251"/>
      <c r="CI151" s="3251"/>
      <c r="CJ151" s="3251"/>
      <c r="CK151" s="3251"/>
      <c r="CL151" s="3251"/>
      <c r="CM151" s="3251"/>
      <c r="CN151" s="3251"/>
      <c r="CO151" s="3251"/>
      <c r="CP151" s="3251"/>
      <c r="CQ151" s="3251"/>
      <c r="CR151" s="3251"/>
      <c r="CS151" s="3251"/>
      <c r="CT151" s="3251"/>
      <c r="CU151" s="3251"/>
      <c r="CV151" s="3251"/>
      <c r="CW151" s="3251"/>
      <c r="CX151" s="3251"/>
      <c r="CY151" s="3251"/>
      <c r="CZ151" s="3251"/>
      <c r="DA151" s="3251"/>
      <c r="DB151" s="3251"/>
      <c r="DC151" s="3251"/>
      <c r="DD151" s="3251"/>
      <c r="DE151" s="3251"/>
      <c r="DF151" s="3251"/>
      <c r="DG151" s="3251"/>
      <c r="DH151" s="3251"/>
      <c r="DI151" s="3251"/>
      <c r="DJ151" s="3251"/>
      <c r="DK151" s="3251"/>
      <c r="DL151" s="3251"/>
      <c r="DM151" s="3251"/>
      <c r="DN151" s="3251"/>
      <c r="DO151" s="3251"/>
      <c r="DP151" s="3251"/>
      <c r="DQ151" s="3251"/>
      <c r="DR151" s="3251"/>
      <c r="DS151" s="3251"/>
      <c r="DT151" s="3251"/>
      <c r="DU151" s="3251"/>
      <c r="DV151" s="3251"/>
      <c r="DW151" s="3251"/>
      <c r="DX151" s="3251"/>
      <c r="DY151" s="3251"/>
      <c r="DZ151" s="3251"/>
      <c r="EA151" s="3251"/>
      <c r="EB151" s="3251"/>
      <c r="EC151" s="3251"/>
      <c r="ED151" s="3251"/>
      <c r="EE151" s="3251"/>
      <c r="EF151" s="3251"/>
      <c r="EG151" s="3251"/>
      <c r="EH151" s="3252">
        <v>1271</v>
      </c>
      <c r="EI151" s="3253"/>
      <c r="EJ151" s="3253"/>
      <c r="EK151" s="3253"/>
      <c r="EL151" s="3253"/>
      <c r="EM151" s="3252">
        <v>-2963</v>
      </c>
      <c r="EN151" s="3253"/>
      <c r="EO151" s="3253"/>
      <c r="EP151" s="3253"/>
      <c r="EQ151" s="3253"/>
      <c r="ER151" s="3252">
        <v>-4357</v>
      </c>
      <c r="ES151" s="3252"/>
      <c r="ET151" s="3252"/>
      <c r="EU151" s="3252"/>
      <c r="EV151" s="3252"/>
      <c r="EW151" s="3254"/>
      <c r="EX151" s="3254"/>
      <c r="EY151" s="3254"/>
      <c r="EZ151" s="3254"/>
      <c r="FA151" s="3254"/>
      <c r="FB151" s="3254"/>
      <c r="FC151" s="3254"/>
      <c r="FD151" s="3254"/>
      <c r="FE151" s="3254"/>
      <c r="FF151" s="3254">
        <v>1200</v>
      </c>
      <c r="FG151" s="3254"/>
      <c r="FH151" s="3254">
        <v>1900</v>
      </c>
      <c r="FI151" s="3254">
        <v>1800</v>
      </c>
      <c r="FJ151" s="3254">
        <v>1700</v>
      </c>
      <c r="FK151" s="3254">
        <v>1700</v>
      </c>
      <c r="FL151" s="3254"/>
      <c r="FM151" s="3254">
        <v>2000</v>
      </c>
      <c r="FN151" s="3255">
        <v>2200</v>
      </c>
      <c r="FO151" s="3254"/>
      <c r="FP151" s="3254"/>
      <c r="FQ151" s="3254"/>
      <c r="FR151" s="3254"/>
      <c r="FS151" s="3254"/>
      <c r="FT151" s="3254"/>
      <c r="FU151" s="3254"/>
      <c r="FV151" s="3256">
        <v>1800</v>
      </c>
      <c r="FW151" s="3254"/>
      <c r="FX151" s="3254"/>
      <c r="FY151" s="3254"/>
      <c r="FZ151" s="3254"/>
      <c r="GA151" s="3254"/>
      <c r="GB151" s="3254"/>
      <c r="GC151" s="3254"/>
      <c r="GD151" s="3254"/>
      <c r="GE151" s="3254"/>
      <c r="GF151" s="3254"/>
      <c r="GG151" s="3254"/>
      <c r="GH151" s="3254"/>
      <c r="GI151" s="3254"/>
      <c r="GJ151" s="3254"/>
      <c r="GK151" s="3254"/>
      <c r="GL151" s="3254"/>
      <c r="GM151" s="3254"/>
    </row>
    <row r="152" spans="1:195" outlineLevel="1">
      <c r="A152" s="2409"/>
      <c r="B152" s="3250" t="s">
        <v>887</v>
      </c>
      <c r="C152" s="3240"/>
      <c r="D152" s="3251"/>
      <c r="E152" s="3251"/>
      <c r="F152" s="3251"/>
      <c r="G152" s="3251"/>
      <c r="H152" s="3251"/>
      <c r="I152" s="3251"/>
      <c r="J152" s="3251"/>
      <c r="K152" s="3251"/>
      <c r="L152" s="3251"/>
      <c r="M152" s="3251"/>
      <c r="N152" s="3251"/>
      <c r="O152" s="3251"/>
      <c r="P152" s="3251"/>
      <c r="Q152" s="3251"/>
      <c r="R152" s="3251"/>
      <c r="S152" s="3251"/>
      <c r="T152" s="3251"/>
      <c r="U152" s="3251"/>
      <c r="V152" s="3251"/>
      <c r="W152" s="3251"/>
      <c r="X152" s="3251"/>
      <c r="Y152" s="3251"/>
      <c r="Z152" s="3251"/>
      <c r="AA152" s="3251"/>
      <c r="AB152" s="3251"/>
      <c r="AC152" s="3251"/>
      <c r="AD152" s="3251"/>
      <c r="AE152" s="3251"/>
      <c r="AF152" s="3251"/>
      <c r="AG152" s="3251"/>
      <c r="AH152" s="3251"/>
      <c r="AI152" s="3251"/>
      <c r="AJ152" s="3251"/>
      <c r="AK152" s="3251"/>
      <c r="AL152" s="3251"/>
      <c r="AM152" s="3251"/>
      <c r="AN152" s="3251"/>
      <c r="AO152" s="3251"/>
      <c r="AP152" s="3251"/>
      <c r="AQ152" s="3251"/>
      <c r="AR152" s="3251"/>
      <c r="AS152" s="3251"/>
      <c r="AT152" s="3251"/>
      <c r="AU152" s="3251"/>
      <c r="AV152" s="3251"/>
      <c r="AW152" s="3251"/>
      <c r="AX152" s="3251"/>
      <c r="AY152" s="3251"/>
      <c r="AZ152" s="3251"/>
      <c r="BA152" s="3251"/>
      <c r="BB152" s="3251"/>
      <c r="BC152" s="3251"/>
      <c r="BD152" s="3251"/>
      <c r="BE152" s="3251"/>
      <c r="BF152" s="3251"/>
      <c r="BG152" s="3251"/>
      <c r="BH152" s="3251"/>
      <c r="BI152" s="3251"/>
      <c r="BJ152" s="3251"/>
      <c r="BK152" s="3251"/>
      <c r="BL152" s="3251"/>
      <c r="BM152" s="3251"/>
      <c r="BN152" s="3251"/>
      <c r="BO152" s="3251"/>
      <c r="BP152" s="3251"/>
      <c r="BQ152" s="3251"/>
      <c r="BR152" s="3251"/>
      <c r="BS152" s="3251"/>
      <c r="BT152" s="3251"/>
      <c r="BU152" s="3251"/>
      <c r="BV152" s="3251"/>
      <c r="BW152" s="3251"/>
      <c r="BX152" s="3251"/>
      <c r="BY152" s="3251"/>
      <c r="BZ152" s="3251"/>
      <c r="CA152" s="3251"/>
      <c r="CB152" s="3251"/>
      <c r="CC152" s="3251"/>
      <c r="CD152" s="3251"/>
      <c r="CE152" s="3251"/>
      <c r="CF152" s="3251"/>
      <c r="CG152" s="3251"/>
      <c r="CH152" s="3251"/>
      <c r="CI152" s="3251"/>
      <c r="CJ152" s="3251"/>
      <c r="CK152" s="3251"/>
      <c r="CL152" s="3251"/>
      <c r="CM152" s="3251"/>
      <c r="CN152" s="3251"/>
      <c r="CO152" s="3251"/>
      <c r="CP152" s="3251"/>
      <c r="CQ152" s="3251"/>
      <c r="CR152" s="3251"/>
      <c r="CS152" s="3251"/>
      <c r="CT152" s="3251"/>
      <c r="CU152" s="3251"/>
      <c r="CV152" s="3251"/>
      <c r="CW152" s="3251"/>
      <c r="CX152" s="3251"/>
      <c r="CY152" s="3251"/>
      <c r="CZ152" s="3251"/>
      <c r="DA152" s="3251"/>
      <c r="DB152" s="3251"/>
      <c r="DC152" s="3251"/>
      <c r="DD152" s="3251"/>
      <c r="DE152" s="3251"/>
      <c r="DF152" s="3251"/>
      <c r="DG152" s="3251"/>
      <c r="DH152" s="3251"/>
      <c r="DI152" s="3251"/>
      <c r="DJ152" s="3251"/>
      <c r="DK152" s="3251"/>
      <c r="DL152" s="3251"/>
      <c r="DM152" s="3251"/>
      <c r="DN152" s="3251"/>
      <c r="DO152" s="3251"/>
      <c r="DP152" s="3251"/>
      <c r="DQ152" s="3251"/>
      <c r="DR152" s="3251"/>
      <c r="DS152" s="3251"/>
      <c r="DT152" s="3251"/>
      <c r="DU152" s="3251"/>
      <c r="DV152" s="3251"/>
      <c r="DW152" s="3251"/>
      <c r="DX152" s="3251"/>
      <c r="DY152" s="3251"/>
      <c r="DZ152" s="3251"/>
      <c r="EA152" s="3251"/>
      <c r="EB152" s="3251"/>
      <c r="EC152" s="3251"/>
      <c r="ED152" s="3251"/>
      <c r="EE152" s="3251"/>
      <c r="EF152" s="3251"/>
      <c r="EG152" s="3251"/>
      <c r="EH152" s="3252">
        <v>1271</v>
      </c>
      <c r="EI152" s="3253"/>
      <c r="EJ152" s="3253"/>
      <c r="EK152" s="3253"/>
      <c r="EL152" s="3253"/>
      <c r="EM152" s="3252">
        <v>-2963</v>
      </c>
      <c r="EN152" s="3253"/>
      <c r="EO152" s="3253"/>
      <c r="EP152" s="3253"/>
      <c r="EQ152" s="3253"/>
      <c r="ER152" s="3252">
        <v>-4357</v>
      </c>
      <c r="ES152" s="3252"/>
      <c r="ET152" s="3252"/>
      <c r="EU152" s="3252"/>
      <c r="EV152" s="3252"/>
      <c r="EW152" s="3254"/>
      <c r="EX152" s="3254"/>
      <c r="EY152" s="3254"/>
      <c r="EZ152" s="3254"/>
      <c r="FA152" s="3254"/>
      <c r="FB152" s="3254"/>
      <c r="FC152" s="3254"/>
      <c r="FD152" s="3254"/>
      <c r="FE152" s="3254"/>
      <c r="FF152" s="3254">
        <v>700</v>
      </c>
      <c r="FG152" s="3254"/>
      <c r="FH152" s="3254">
        <v>800</v>
      </c>
      <c r="FI152" s="3254">
        <v>1000</v>
      </c>
      <c r="FJ152" s="3254">
        <v>1000</v>
      </c>
      <c r="FK152" s="3254">
        <v>800</v>
      </c>
      <c r="FL152" s="3254"/>
      <c r="FM152" s="3254">
        <v>900</v>
      </c>
      <c r="FN152" s="3255">
        <v>900</v>
      </c>
      <c r="FO152" s="3254"/>
      <c r="FP152" s="3254"/>
      <c r="FQ152" s="3254"/>
      <c r="FR152" s="3254"/>
      <c r="FS152" s="3254"/>
      <c r="FT152" s="3254"/>
      <c r="FU152" s="3254"/>
      <c r="FV152" s="3256"/>
      <c r="FW152" s="3254"/>
      <c r="FX152" s="3254"/>
      <c r="FY152" s="3254"/>
      <c r="FZ152" s="3254"/>
      <c r="GA152" s="3254"/>
      <c r="GB152" s="3254"/>
      <c r="GC152" s="3254"/>
      <c r="GD152" s="3254"/>
      <c r="GE152" s="3254"/>
      <c r="GF152" s="3254"/>
      <c r="GG152" s="3254"/>
      <c r="GH152" s="3254"/>
      <c r="GI152" s="3254"/>
      <c r="GJ152" s="3254"/>
      <c r="GK152" s="3254"/>
      <c r="GL152" s="3254"/>
      <c r="GM152" s="3254"/>
    </row>
    <row r="153" spans="1:195" outlineLevel="1">
      <c r="A153" s="2409"/>
      <c r="B153" s="3257" t="s">
        <v>888</v>
      </c>
      <c r="C153" s="3266"/>
      <c r="D153" s="3258"/>
      <c r="E153" s="3258"/>
      <c r="F153" s="3258"/>
      <c r="G153" s="3258"/>
      <c r="H153" s="3258"/>
      <c r="I153" s="3258"/>
      <c r="J153" s="3258"/>
      <c r="K153" s="3258"/>
      <c r="L153" s="3258"/>
      <c r="M153" s="3258"/>
      <c r="N153" s="3258"/>
      <c r="O153" s="3258"/>
      <c r="P153" s="3258"/>
      <c r="Q153" s="3258"/>
      <c r="R153" s="3258"/>
      <c r="S153" s="3258"/>
      <c r="T153" s="3258"/>
      <c r="U153" s="3258"/>
      <c r="V153" s="3258"/>
      <c r="W153" s="3258"/>
      <c r="X153" s="3258"/>
      <c r="Y153" s="3258"/>
      <c r="Z153" s="3258"/>
      <c r="AA153" s="3258"/>
      <c r="AB153" s="3258"/>
      <c r="AC153" s="3258"/>
      <c r="AD153" s="3258"/>
      <c r="AE153" s="3258"/>
      <c r="AF153" s="3258"/>
      <c r="AG153" s="3258"/>
      <c r="AH153" s="3258"/>
      <c r="AI153" s="3258"/>
      <c r="AJ153" s="3258"/>
      <c r="AK153" s="3258"/>
      <c r="AL153" s="3258"/>
      <c r="AM153" s="3258"/>
      <c r="AN153" s="3258"/>
      <c r="AO153" s="3258"/>
      <c r="AP153" s="3258"/>
      <c r="AQ153" s="3258"/>
      <c r="AR153" s="3258"/>
      <c r="AS153" s="3258"/>
      <c r="AT153" s="3258"/>
      <c r="AU153" s="3258"/>
      <c r="AV153" s="3258"/>
      <c r="AW153" s="3258"/>
      <c r="AX153" s="3258"/>
      <c r="AY153" s="3258"/>
      <c r="AZ153" s="3258"/>
      <c r="BA153" s="3258"/>
      <c r="BB153" s="3258"/>
      <c r="BC153" s="3258"/>
      <c r="BD153" s="3258"/>
      <c r="BE153" s="3258"/>
      <c r="BF153" s="3258"/>
      <c r="BG153" s="3258"/>
      <c r="BH153" s="3258"/>
      <c r="BI153" s="3258"/>
      <c r="BJ153" s="3258"/>
      <c r="BK153" s="3258"/>
      <c r="BL153" s="3258"/>
      <c r="BM153" s="3258"/>
      <c r="BN153" s="3258"/>
      <c r="BO153" s="3258"/>
      <c r="BP153" s="3258"/>
      <c r="BQ153" s="3258"/>
      <c r="BR153" s="3258"/>
      <c r="BS153" s="3258"/>
      <c r="BT153" s="3258"/>
      <c r="BU153" s="3258"/>
      <c r="BV153" s="3258"/>
      <c r="BW153" s="3258"/>
      <c r="BX153" s="3258"/>
      <c r="BY153" s="3258"/>
      <c r="BZ153" s="3258"/>
      <c r="CA153" s="3258"/>
      <c r="CB153" s="3258"/>
      <c r="CC153" s="3258"/>
      <c r="CD153" s="3258"/>
      <c r="CE153" s="3258"/>
      <c r="CF153" s="3258"/>
      <c r="CG153" s="3258"/>
      <c r="CH153" s="3258"/>
      <c r="CI153" s="3258"/>
      <c r="CJ153" s="3258"/>
      <c r="CK153" s="3258"/>
      <c r="CL153" s="3258"/>
      <c r="CM153" s="3258"/>
      <c r="CN153" s="3258"/>
      <c r="CO153" s="3258"/>
      <c r="CP153" s="3258"/>
      <c r="CQ153" s="3258"/>
      <c r="CR153" s="3258"/>
      <c r="CS153" s="3258"/>
      <c r="CT153" s="3258"/>
      <c r="CU153" s="3258"/>
      <c r="CV153" s="3258"/>
      <c r="CW153" s="3258"/>
      <c r="CX153" s="3258"/>
      <c r="CY153" s="3258"/>
      <c r="CZ153" s="3258"/>
      <c r="DA153" s="3258"/>
      <c r="DB153" s="3258"/>
      <c r="DC153" s="3258"/>
      <c r="DD153" s="3258"/>
      <c r="DE153" s="3258"/>
      <c r="DF153" s="3258"/>
      <c r="DG153" s="3258"/>
      <c r="DH153" s="3258"/>
      <c r="DI153" s="3258"/>
      <c r="DJ153" s="3258"/>
      <c r="DK153" s="3258"/>
      <c r="DL153" s="3258"/>
      <c r="DM153" s="3258"/>
      <c r="DN153" s="3258"/>
      <c r="DO153" s="3258"/>
      <c r="DP153" s="3258"/>
      <c r="DQ153" s="3258"/>
      <c r="DR153" s="3258"/>
      <c r="DS153" s="3258"/>
      <c r="DT153" s="3258"/>
      <c r="DU153" s="3258"/>
      <c r="DV153" s="3258"/>
      <c r="DW153" s="3258"/>
      <c r="DX153" s="3258"/>
      <c r="DY153" s="3258"/>
      <c r="DZ153" s="3258"/>
      <c r="EA153" s="3258"/>
      <c r="EB153" s="3258"/>
      <c r="EC153" s="3258"/>
      <c r="ED153" s="3258"/>
      <c r="EE153" s="3258"/>
      <c r="EF153" s="3258"/>
      <c r="EG153" s="3258"/>
      <c r="EH153" s="3259">
        <v>1271</v>
      </c>
      <c r="EI153" s="3260"/>
      <c r="EJ153" s="3260"/>
      <c r="EK153" s="3260"/>
      <c r="EL153" s="3260"/>
      <c r="EM153" s="3259">
        <v>-2963</v>
      </c>
      <c r="EN153" s="3260"/>
      <c r="EO153" s="3260"/>
      <c r="EP153" s="3260"/>
      <c r="EQ153" s="3260"/>
      <c r="ER153" s="3259">
        <v>-4357</v>
      </c>
      <c r="ES153" s="3259"/>
      <c r="ET153" s="3259"/>
      <c r="EU153" s="3259"/>
      <c r="EV153" s="3259"/>
      <c r="EW153" s="3261"/>
      <c r="EX153" s="3261"/>
      <c r="EY153" s="3261"/>
      <c r="EZ153" s="3261"/>
      <c r="FA153" s="3261"/>
      <c r="FB153" s="3261"/>
      <c r="FC153" s="3261"/>
      <c r="FD153" s="3261"/>
      <c r="FE153" s="3261"/>
      <c r="FF153" s="3261">
        <v>-400</v>
      </c>
      <c r="FG153" s="3261"/>
      <c r="FH153" s="3261">
        <v>-100</v>
      </c>
      <c r="FI153" s="3261">
        <v>-200</v>
      </c>
      <c r="FJ153" s="3261">
        <v>-100</v>
      </c>
      <c r="FK153" s="3261">
        <v>-150</v>
      </c>
      <c r="FL153" s="3261"/>
      <c r="FM153" s="3261">
        <v>-200</v>
      </c>
      <c r="FN153" s="3262">
        <v>-200</v>
      </c>
      <c r="FO153" s="3261"/>
      <c r="FP153" s="3261"/>
      <c r="FQ153" s="3261"/>
      <c r="FR153" s="3261"/>
      <c r="FS153" s="3261"/>
      <c r="FT153" s="3261"/>
      <c r="FU153" s="3261"/>
      <c r="FV153" s="3263">
        <v>-100</v>
      </c>
      <c r="FW153" s="3261"/>
      <c r="FX153" s="3261"/>
      <c r="FY153" s="3261"/>
      <c r="FZ153" s="3261"/>
      <c r="GA153" s="3261"/>
      <c r="GB153" s="3261"/>
      <c r="GC153" s="3261"/>
      <c r="GD153" s="3261"/>
      <c r="GE153" s="3261"/>
      <c r="GF153" s="3261"/>
      <c r="GG153" s="3261"/>
      <c r="GH153" s="3261"/>
      <c r="GI153" s="3261"/>
      <c r="GJ153" s="3261"/>
      <c r="GK153" s="3261"/>
      <c r="GL153" s="3261"/>
      <c r="GM153" s="3261"/>
    </row>
    <row r="154" spans="1:195" s="3" customFormat="1" outlineLevel="1">
      <c r="A154" s="3319"/>
      <c r="B154" s="3258" t="s">
        <v>188</v>
      </c>
      <c r="C154" s="3266"/>
      <c r="D154" s="3258"/>
      <c r="E154" s="3258"/>
      <c r="F154" s="3258"/>
      <c r="G154" s="3258"/>
      <c r="H154" s="3258"/>
      <c r="I154" s="3258"/>
      <c r="J154" s="3258"/>
      <c r="K154" s="3258"/>
      <c r="L154" s="3258"/>
      <c r="M154" s="3258"/>
      <c r="N154" s="3258"/>
      <c r="O154" s="3258"/>
      <c r="P154" s="3258"/>
      <c r="Q154" s="3258"/>
      <c r="R154" s="3258"/>
      <c r="S154" s="3258"/>
      <c r="T154" s="3258"/>
      <c r="U154" s="3258"/>
      <c r="V154" s="3258"/>
      <c r="W154" s="3258"/>
      <c r="X154" s="3258"/>
      <c r="Y154" s="3258"/>
      <c r="Z154" s="3258"/>
      <c r="AA154" s="3258"/>
      <c r="AB154" s="3258"/>
      <c r="AC154" s="3258"/>
      <c r="AD154" s="3258"/>
      <c r="AE154" s="3258"/>
      <c r="AF154" s="3258"/>
      <c r="AG154" s="3258"/>
      <c r="AH154" s="3258"/>
      <c r="AI154" s="3258"/>
      <c r="AJ154" s="3258"/>
      <c r="AK154" s="3258"/>
      <c r="AL154" s="3258"/>
      <c r="AM154" s="3258"/>
      <c r="AN154" s="3258"/>
      <c r="AO154" s="3258"/>
      <c r="AP154" s="3258"/>
      <c r="AQ154" s="3258"/>
      <c r="AR154" s="3258"/>
      <c r="AS154" s="3258"/>
      <c r="AT154" s="3258"/>
      <c r="AU154" s="3258"/>
      <c r="AV154" s="3258"/>
      <c r="AW154" s="3258"/>
      <c r="AX154" s="3258"/>
      <c r="AY154" s="3258"/>
      <c r="AZ154" s="3258"/>
      <c r="BA154" s="3258"/>
      <c r="BB154" s="3258"/>
      <c r="BC154" s="3258"/>
      <c r="BD154" s="3258"/>
      <c r="BE154" s="3258"/>
      <c r="BF154" s="3258"/>
      <c r="BG154" s="3258"/>
      <c r="BH154" s="3258"/>
      <c r="BI154" s="3258"/>
      <c r="BJ154" s="3258"/>
      <c r="BK154" s="3258"/>
      <c r="BL154" s="3258"/>
      <c r="BM154" s="3258"/>
      <c r="BN154" s="3258"/>
      <c r="BO154" s="3258"/>
      <c r="BP154" s="3258"/>
      <c r="BQ154" s="3258"/>
      <c r="BR154" s="3258"/>
      <c r="BS154" s="3258"/>
      <c r="BT154" s="3258"/>
      <c r="BU154" s="3258"/>
      <c r="BV154" s="3258"/>
      <c r="BW154" s="3258"/>
      <c r="BX154" s="3258"/>
      <c r="BY154" s="3258"/>
      <c r="BZ154" s="3258"/>
      <c r="CA154" s="3258"/>
      <c r="CB154" s="3258"/>
      <c r="CC154" s="3258"/>
      <c r="CD154" s="3258"/>
      <c r="CE154" s="3258"/>
      <c r="CF154" s="3258"/>
      <c r="CG154" s="3258"/>
      <c r="CH154" s="3258"/>
      <c r="CI154" s="3258"/>
      <c r="CJ154" s="3258"/>
      <c r="CK154" s="3258"/>
      <c r="CL154" s="3258"/>
      <c r="CM154" s="3258"/>
      <c r="CN154" s="3258"/>
      <c r="CO154" s="3258"/>
      <c r="CP154" s="3258"/>
      <c r="CQ154" s="3258"/>
      <c r="CR154" s="3258"/>
      <c r="CS154" s="3258"/>
      <c r="CT154" s="3258"/>
      <c r="CU154" s="3258"/>
      <c r="CV154" s="3258"/>
      <c r="CW154" s="3258"/>
      <c r="CX154" s="3258"/>
      <c r="CY154" s="3258"/>
      <c r="CZ154" s="3258"/>
      <c r="DA154" s="3258"/>
      <c r="DB154" s="3258"/>
      <c r="DC154" s="3258"/>
      <c r="DD154" s="3258"/>
      <c r="DE154" s="3258"/>
      <c r="DF154" s="3258"/>
      <c r="DG154" s="3258"/>
      <c r="DH154" s="3258"/>
      <c r="DI154" s="3258"/>
      <c r="DJ154" s="3258"/>
      <c r="DK154" s="3258"/>
      <c r="DL154" s="3258"/>
      <c r="DM154" s="3258"/>
      <c r="DN154" s="3258"/>
      <c r="DO154" s="3258"/>
      <c r="DP154" s="3258"/>
      <c r="DQ154" s="3258"/>
      <c r="DR154" s="3258"/>
      <c r="DS154" s="3258"/>
      <c r="DT154" s="3258"/>
      <c r="DU154" s="3258"/>
      <c r="DV154" s="3258"/>
      <c r="DW154" s="3258"/>
      <c r="DX154" s="3258"/>
      <c r="DY154" s="3258"/>
      <c r="DZ154" s="3258"/>
      <c r="EA154" s="3258"/>
      <c r="EB154" s="3258"/>
      <c r="EC154" s="3258"/>
      <c r="ED154" s="3258"/>
      <c r="EE154" s="3258"/>
      <c r="EF154" s="3258"/>
      <c r="EG154" s="3258"/>
      <c r="EH154" s="3269">
        <v>1271</v>
      </c>
      <c r="EI154" s="3260"/>
      <c r="EJ154" s="3260"/>
      <c r="EK154" s="3260"/>
      <c r="EL154" s="3260"/>
      <c r="EM154" s="3269">
        <v>-2963</v>
      </c>
      <c r="EN154" s="3260"/>
      <c r="EO154" s="3260"/>
      <c r="EP154" s="3260"/>
      <c r="EQ154" s="3260"/>
      <c r="ER154" s="3269">
        <v>-4357</v>
      </c>
      <c r="ES154" s="3269"/>
      <c r="ET154" s="3269"/>
      <c r="EU154" s="3269"/>
      <c r="EV154" s="3269"/>
      <c r="EW154" s="3270"/>
      <c r="EX154" s="3270"/>
      <c r="EY154" s="3270"/>
      <c r="EZ154" s="3270"/>
      <c r="FA154" s="3270"/>
      <c r="FB154" s="3270"/>
      <c r="FC154" s="3270"/>
      <c r="FD154" s="3270"/>
      <c r="FE154" s="3270"/>
      <c r="FF154" s="3270">
        <f>SUM(FF150:FF153)</f>
      </c>
      <c r="FG154" s="3270"/>
      <c r="FH154" s="3270">
        <f>SUM(FH150:FH153)</f>
      </c>
      <c r="FI154" s="3270">
        <f>SUM(FI150:FI153)</f>
      </c>
      <c r="FJ154" s="3270">
        <f>SUM(FJ150:FJ153)</f>
      </c>
      <c r="FK154" s="3270">
        <f>SUM(FK150:FK153)</f>
      </c>
      <c r="FL154" s="3270"/>
      <c r="FM154" s="3271">
        <f>SUM(FM150:FM153)</f>
      </c>
      <c r="FN154" s="3271">
        <f>SUM(FN150:FN153)</f>
      </c>
      <c r="FO154" s="3270"/>
      <c r="FP154" s="3270"/>
      <c r="FQ154" s="3270"/>
      <c r="FR154" s="3270"/>
      <c r="FS154" s="3270"/>
      <c r="FT154" s="3270"/>
      <c r="FU154" s="3270"/>
      <c r="FV154" s="3272">
        <f>SUM(FV150:FV153)</f>
      </c>
      <c r="FW154" s="3270"/>
      <c r="FX154" s="3270"/>
      <c r="FY154" s="3270"/>
      <c r="FZ154" s="3270"/>
      <c r="GA154" s="3270"/>
      <c r="GB154" s="3270"/>
      <c r="GC154" s="3270"/>
      <c r="GD154" s="3270"/>
      <c r="GE154" s="3270"/>
      <c r="GF154" s="3270"/>
      <c r="GG154" s="3270"/>
      <c r="GH154" s="3270"/>
      <c r="GI154" s="3270"/>
      <c r="GJ154" s="3270"/>
      <c r="GK154" s="3270"/>
      <c r="GL154" s="3270"/>
      <c r="GM154" s="3270"/>
    </row>
    <row r="155" spans="1:195" s="11" customFormat="1" outlineLevel="1">
      <c r="B155" s="11" t="s">
        <v>152</v>
      </c>
      <c r="EM155" s="2459"/>
      <c r="ER155" s="2459"/>
      <c r="ES155" s="2459"/>
      <c r="ET155" s="2459"/>
      <c r="EU155" s="2459"/>
      <c r="EV155" s="2459"/>
      <c r="EW155" s="3267"/>
      <c r="EX155" s="3267"/>
      <c r="EY155" s="3267"/>
      <c r="EZ155" s="3267"/>
      <c r="FA155" s="3267"/>
      <c r="FB155" s="3267"/>
      <c r="FC155" s="3267"/>
      <c r="FD155" s="3267"/>
      <c r="FE155" s="3267"/>
      <c r="FF155" s="2920" t="b">
        <f t="shared" ref="FF155:FM155" si="347">ROUND(FF154,-2)=ROUND(FF38,-2)</f>
      </c>
      <c r="FG155" s="2920"/>
      <c r="FH155" s="2920" t="b">
        <f t="shared" si="347"/>
      </c>
      <c r="FI155" s="2920" t="b">
        <f t="shared" si="347"/>
      </c>
      <c r="FJ155" s="2920" t="b">
        <f t="shared" si="347"/>
      </c>
      <c r="FK155" s="2920" t="b">
        <f t="shared" si="347"/>
      </c>
      <c r="FL155" s="2920"/>
      <c r="FM155" s="2920" t="b">
        <f t="shared" si="347"/>
      </c>
      <c r="FN155" s="2920" t="b">
        <f>ROUND(FN154,-2)=ROUND(FN38,-2)</f>
      </c>
      <c r="FO155" s="2920"/>
      <c r="FP155" s="2920"/>
      <c r="FQ155" s="2920"/>
      <c r="FR155" s="2920"/>
      <c r="FS155" s="2920"/>
      <c r="FT155" s="2920"/>
      <c r="FU155" s="2920"/>
      <c r="FV155" s="2920" t="b">
        <f>ROUND(FV154,-2)=ROUND(FV38,-2)</f>
      </c>
      <c r="FW155" s="2920" t="b">
        <f>ROUND(FW154,-2)=ROUND(FW38,-2)</f>
      </c>
      <c r="FX155" s="2920" t="b">
        <f>ROUND(FX154,-2)=ROUND(FX38,-2)</f>
      </c>
      <c r="FY155" s="2918"/>
      <c r="FZ155" s="2918"/>
      <c r="GA155" s="2918"/>
      <c r="GB155" s="2918"/>
      <c r="GC155" s="2919"/>
      <c r="GD155" s="2918"/>
      <c r="GE155" s="2918"/>
      <c r="GF155" s="2918"/>
      <c r="GG155" s="2918"/>
      <c r="GH155" s="2919"/>
      <c r="GI155" s="2919"/>
      <c r="GJ155" s="2919"/>
      <c r="GK155" s="2919"/>
      <c r="GL155" s="2919"/>
      <c r="GM155" s="2919"/>
    </row>
    <row r="156" spans="1:195" s="11" customFormat="1" ht="12.6" outlineLevel="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s="2918"/>
      <c r="GC156" s="2919"/>
      <c r="GD156" s="2918"/>
      <c r="GE156" s="2918"/>
      <c r="GF156" s="2918"/>
      <c r="GG156" s="2918"/>
      <c r="GH156" s="2919"/>
      <c r="GI156" s="2919"/>
      <c r="GJ156" s="2919"/>
      <c r="GK156" s="2919"/>
      <c r="GL156" s="2919"/>
      <c r="GM156" s="2919"/>
    </row>
    <row r="157" spans="1:195" s="11" customFormat="1" ht="12.6" outlineLevel="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s="2918"/>
      <c r="GC157" s="2919"/>
      <c r="GD157" s="2918"/>
      <c r="GE157" s="2918"/>
      <c r="GF157" s="2918"/>
      <c r="GG157" s="2918"/>
      <c r="GH157" s="2919"/>
      <c r="GI157" s="2919"/>
      <c r="GJ157" s="2919"/>
      <c r="GK157" s="2919"/>
      <c r="GL157" s="2919"/>
      <c r="GM157" s="2919"/>
    </row>
    <row r="158" spans="1:195" s="11" customFormat="1" ht="12.6" outlineLevel="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s="2918"/>
      <c r="GC158" s="2919"/>
      <c r="GD158" s="2918"/>
      <c r="GE158" s="2918"/>
      <c r="GF158" s="2918"/>
      <c r="GG158" s="2918"/>
      <c r="GH158" s="2919"/>
      <c r="GI158" s="2919"/>
      <c r="GJ158" s="2919"/>
      <c r="GK158" s="2919"/>
      <c r="GL158" s="2919"/>
      <c r="GM158" s="2919"/>
    </row>
    <row r="159" spans="1:195" ht="12.6" outlineLevel="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D159" s="1036"/>
      <c r="GE159" s="1036"/>
      <c r="GG159" s="1036"/>
    </row>
    <row r="160" spans="1:195" ht="12.6">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D160" s="1036"/>
      <c r="GE160" s="1036"/>
      <c r="GG160" s="1036"/>
    </row>
    <row r="161" spans="1:189" ht="12.6">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D161" s="1036"/>
      <c r="GE161" s="1036"/>
      <c r="GG161" s="1036"/>
    </row>
    <row r="162" spans="1:189" ht="12.6">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D162" s="1036"/>
      <c r="GE162" s="1036"/>
      <c r="GG162" s="1036"/>
    </row>
    <row r="163" spans="1:189" ht="12.6">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D163" s="1036"/>
      <c r="GE163" s="1036"/>
      <c r="GG163" s="1036"/>
    </row>
    <row r="164" spans="1:189" ht="12.6">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D164" s="1036"/>
      <c r="GE164" s="1036"/>
      <c r="GG164" s="1036"/>
    </row>
    <row r="165" spans="1:189">
      <c r="EX165" s="41"/>
      <c r="GD165" s="1036"/>
      <c r="GE165" s="1036"/>
      <c r="GG165" s="1036"/>
    </row>
    <row r="166" spans="1:189">
      <c r="GD166" s="1036"/>
      <c r="GE166" s="1036"/>
      <c r="GG166" s="1036"/>
    </row>
    <row r="167" spans="1:189">
      <c r="GD167" s="1036"/>
      <c r="GE167" s="1036"/>
      <c r="GG167" s="1036"/>
    </row>
    <row r="168" spans="1:189">
      <c r="GD168" s="1036"/>
      <c r="GE168" s="1036"/>
      <c r="GG168" s="1036"/>
    </row>
    <row r="169" spans="1:189">
      <c r="GD169" s="1036"/>
      <c r="GE169" s="1036"/>
      <c r="GG169" s="1036"/>
    </row>
    <row r="170" spans="1:189">
      <c r="GD170" s="1036"/>
      <c r="GE170" s="1036"/>
      <c r="GG170" s="1036"/>
    </row>
    <row r="171" spans="1:189">
      <c r="GD171" s="1036"/>
      <c r="GE171" s="1036"/>
      <c r="GG171" s="1036"/>
    </row>
    <row r="172" spans="1:189">
      <c r="GD172" s="1036"/>
      <c r="GE172" s="1036"/>
      <c r="GG172" s="1036"/>
    </row>
    <row r="173" spans="1:189">
      <c r="GD173" s="1036"/>
      <c r="GE173" s="1036"/>
      <c r="GG173" s="1036"/>
    </row>
    <row r="174" spans="1:189">
      <c r="GD174" s="1036"/>
      <c r="GE174" s="1036"/>
      <c r="GG174" s="1036"/>
    </row>
    <row r="175" spans="1:189">
      <c r="GD175" s="1036"/>
      <c r="GE175" s="1036"/>
      <c r="GG175" s="1036"/>
    </row>
    <row r="176" spans="1:189">
      <c r="GD176" s="1036"/>
      <c r="GE176" s="1036"/>
      <c r="GG176" s="1036"/>
    </row>
    <row r="177" spans="186:189">
      <c r="GD177" s="1036"/>
      <c r="GE177" s="1036"/>
      <c r="GG177" s="1036"/>
    </row>
    <row r="178" spans="186:189">
      <c r="GD178" s="1036"/>
      <c r="GE178" s="1036"/>
      <c r="GG178" s="1036"/>
    </row>
    <row r="179" spans="186:189">
      <c r="GD179" s="1036"/>
      <c r="GE179" s="1036"/>
      <c r="GG179" s="1036"/>
    </row>
    <row r="180" spans="186:189">
      <c r="GD180" s="1036"/>
      <c r="GE180" s="1036"/>
      <c r="GG180" s="1036"/>
    </row>
    <row r="181" spans="186:189">
      <c r="GD181" s="1036"/>
      <c r="GE181" s="1036"/>
      <c r="GG181" s="1036"/>
    </row>
    <row r="182" spans="186:189">
      <c r="GD182" s="1036"/>
      <c r="GE182" s="1036"/>
      <c r="GG182" s="1036"/>
    </row>
    <row r="183" spans="186:189">
      <c r="GD183" s="1036"/>
      <c r="GE183" s="1036"/>
      <c r="GG183" s="1036"/>
    </row>
    <row r="184" spans="186:189">
      <c r="GD184" s="1036"/>
      <c r="GE184" s="1036"/>
      <c r="GG184" s="1036"/>
    </row>
    <row r="185" spans="186:189">
      <c r="GD185" s="1036"/>
      <c r="GE185" s="1036"/>
      <c r="GG185" s="1036"/>
    </row>
    <row r="186" spans="186:189">
      <c r="GD186" s="1036"/>
      <c r="GE186" s="1036"/>
      <c r="GG186" s="1036"/>
    </row>
    <row r="187" spans="186:189">
      <c r="GD187" s="1036"/>
      <c r="GE187" s="1036"/>
      <c r="GG187" s="1036"/>
    </row>
    <row r="188" spans="186:189">
      <c r="GD188" s="1036"/>
      <c r="GE188" s="1036"/>
      <c r="GG188" s="1036"/>
    </row>
    <row r="189" spans="186:189">
      <c r="GD189" s="1036"/>
      <c r="GE189" s="1036"/>
      <c r="GG189" s="1036"/>
    </row>
    <row r="190" spans="186:189">
      <c r="GD190" s="1036"/>
      <c r="GE190" s="1036"/>
      <c r="GG190" s="1036"/>
    </row>
    <row r="191" spans="186:189">
      <c r="GD191" s="1036"/>
      <c r="GE191" s="1036"/>
      <c r="GG191" s="1036"/>
    </row>
    <row r="192" spans="186:189">
      <c r="GD192" s="1036"/>
      <c r="GE192" s="1036"/>
      <c r="GG192" s="1036"/>
    </row>
    <row r="193" spans="186:189">
      <c r="GD193" s="1036"/>
      <c r="GE193" s="1036"/>
      <c r="GG193" s="1036"/>
    </row>
    <row r="194" spans="186:189">
      <c r="GD194" s="1036"/>
      <c r="GE194" s="1036"/>
      <c r="GG194" s="1036"/>
    </row>
    <row r="195" spans="186:189">
      <c r="GD195" s="1036"/>
      <c r="GE195" s="1036"/>
      <c r="GG195" s="1036"/>
    </row>
    <row r="196" spans="186:189">
      <c r="GD196" s="1036"/>
      <c r="GE196" s="1036"/>
      <c r="GG196" s="1036"/>
    </row>
    <row r="197" spans="186:189">
      <c r="GD197" s="1036"/>
      <c r="GE197" s="1036"/>
      <c r="GG197" s="1036"/>
    </row>
    <row r="198" spans="186:189">
      <c r="GD198" s="1036"/>
      <c r="GE198" s="1036"/>
      <c r="GG198" s="1036"/>
    </row>
    <row r="199" spans="186:189">
      <c r="GD199" s="1036"/>
      <c r="GE199" s="1036"/>
      <c r="GG199" s="1036"/>
    </row>
    <row r="200" spans="186:189">
      <c r="GD200" s="1036"/>
      <c r="GE200" s="1036"/>
      <c r="GG200" s="1036"/>
    </row>
    <row r="201" spans="186:189">
      <c r="GD201" s="1036"/>
      <c r="GE201" s="1036"/>
      <c r="GG201" s="1036"/>
    </row>
    <row r="202" spans="186:189">
      <c r="GD202" s="1036"/>
      <c r="GE202" s="1036"/>
      <c r="GG202" s="1036"/>
    </row>
    <row r="203" spans="186:189">
      <c r="GD203" s="1036"/>
      <c r="GE203" s="1036"/>
      <c r="GG203" s="1036"/>
    </row>
    <row r="204" spans="186:189">
      <c r="GD204" s="1036"/>
      <c r="GE204" s="1036"/>
      <c r="GG204" s="1036"/>
    </row>
    <row r="205" spans="186:189">
      <c r="GD205" s="1036"/>
      <c r="GE205" s="1036"/>
      <c r="GG205" s="1036"/>
    </row>
    <row r="206" spans="186:189">
      <c r="GD206" s="1036"/>
      <c r="GE206" s="1036"/>
      <c r="GG206" s="1036"/>
    </row>
    <row r="207" spans="186:189">
      <c r="GD207" s="1036"/>
      <c r="GE207" s="1036"/>
      <c r="GG207" s="1036"/>
    </row>
    <row r="208" spans="186:189">
      <c r="GD208" s="1036"/>
      <c r="GE208" s="1036"/>
      <c r="GG208" s="1036"/>
    </row>
    <row r="209" spans="186:189">
      <c r="GD209" s="1036"/>
      <c r="GE209" s="1036"/>
      <c r="GG209" s="1036"/>
    </row>
    <row r="210" spans="186:189">
      <c r="GD210" s="1036"/>
      <c r="GE210" s="1036"/>
      <c r="GG210" s="1036"/>
    </row>
    <row r="211" spans="186:189">
      <c r="GD211" s="1036"/>
      <c r="GE211" s="1036"/>
      <c r="GG211" s="1036"/>
    </row>
    <row r="212" spans="186:189">
      <c r="GD212" s="1036"/>
      <c r="GE212" s="1036"/>
      <c r="GG212" s="1036"/>
    </row>
    <row r="213" spans="186:189">
      <c r="GD213" s="1036"/>
      <c r="GE213" s="1036"/>
      <c r="GG213" s="1036"/>
    </row>
  </sheetData>
  <phoneticPr fontId="0" type="noConversion"/>
  <pageMargins left="0.75" right="0.75" top="1" bottom="1" header="0.5" footer="0.5"/>
  <pageSetup scale="31" orientation="landscape" r:id="rId1"/>
  <headerFooter alignWithMargins="0"/>
  <rowBreaks count="1" manualBreakCount="1">
    <brk id="84" min="1" max="158" man="1"/>
  </rowBreaks>
  <customProperties>
    <customPr name="Qube.Worksheet.Visibility" r:id="rId2"/>
    <customPr name="SHEET_UNIQUE_ID" r:id="rId3"/>
  </customProperties>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theme="4"/>
    <pageSetUpPr autoPageBreaks="0" fitToPage="1"/>
  </sheetPr>
  <dimension ref="A1:FM815"/>
  <sheetViews>
    <sheetView showGridLines="0" zoomScale="90" zoomScaleNormal="90" zoomScaleSheetLayoutView="115" workbookViewId="0">
      <pane xSplit="2" ySplit="11" topLeftCell="DX12" activePane="bottomRight" state="frozen"/>
      <selection activeCell="I10" sqref="I10"/>
      <selection pane="topRight" activeCell="I10" sqref="I10"/>
      <selection pane="bottomLeft" activeCell="I10" sqref="I10"/>
      <selection pane="bottomRight"/>
    </sheetView>
  </sheetViews>
  <sheetFormatPr defaultRowHeight="12.6" outlineLevelRow="2" outlineLevelCol="3"/>
  <cols>
    <col min="1" max="1" width="3.88671875" customWidth="1"/>
    <col min="2" max="2" width="32.88671875" customWidth="1"/>
    <col min="3" max="7" width="8.88671875" hidden="1" customWidth="1" outlineLevel="1"/>
    <col min="8" max="8" width="8.44140625" hidden="1" customWidth="1" outlineLevel="1" collapsed="1"/>
    <col min="9" max="9" width="7.5546875" hidden="1" customWidth="1" outlineLevel="1"/>
    <col min="10" max="12" width="10.109375" hidden="1" customWidth="1" outlineLevel="1"/>
    <col min="13" max="13" width="10.109375" hidden="1" customWidth="1" outlineLevel="1" collapsed="1"/>
    <col min="14" max="17" width="10.109375" hidden="1" customWidth="1" outlineLevel="1"/>
    <col min="18" max="18" width="10.109375" hidden="1" customWidth="1" outlineLevel="1" collapsed="1"/>
    <col min="19" max="21" width="10.109375" hidden="1" customWidth="1" outlineLevel="1"/>
    <col min="22" max="22" width="11.88671875" hidden="1" customWidth="1" outlineLevel="1"/>
    <col min="23" max="23" width="11.88671875" hidden="1" customWidth="1" outlineLevel="1" collapsed="1"/>
    <col min="24" max="27" width="10.109375" hidden="1" customWidth="1" outlineLevel="1"/>
    <col min="28" max="28" width="10.109375" hidden="1" customWidth="1" outlineLevel="1" collapsed="1"/>
    <col min="29" max="32" width="10.109375" hidden="1" customWidth="1" outlineLevel="1"/>
    <col min="33" max="33" width="10.109375" hidden="1" customWidth="1" outlineLevel="1" collapsed="1"/>
    <col min="34" max="34" width="10.109375" hidden="1" customWidth="1" outlineLevel="1"/>
    <col min="35" max="36" width="11.109375" hidden="1" customWidth="1" outlineLevel="1"/>
    <col min="37" max="37" width="11.44140625" hidden="1" customWidth="1" outlineLevel="1"/>
    <col min="38" max="38" width="11.109375" hidden="1" customWidth="1" outlineLevel="1" collapsed="1"/>
    <col min="39" max="39" width="11.109375" hidden="1" customWidth="1" outlineLevel="1"/>
    <col min="40" max="41" width="11.44140625" hidden="1" customWidth="1" outlineLevel="1"/>
    <col min="42" max="42" width="11.88671875" hidden="1" customWidth="1" outlineLevel="1"/>
    <col min="43" max="43" width="11.5546875" hidden="1" customWidth="1" outlineLevel="1" collapsed="1"/>
    <col min="44" max="45" width="11.44140625" hidden="1" customWidth="1" outlineLevel="1"/>
    <col min="46" max="46" width="10.109375" hidden="1" customWidth="1" outlineLevel="1"/>
    <col min="47" max="47" width="11.88671875" hidden="1" customWidth="1" outlineLevel="1"/>
    <col min="48" max="48" width="11.5546875" hidden="1" customWidth="1" outlineLevel="1" collapsed="1"/>
    <col min="49" max="49" width="11.44140625" hidden="1" customWidth="1" outlineLevel="1"/>
    <col min="50" max="50" width="11.109375" hidden="1" customWidth="1" outlineLevel="1"/>
    <col min="51" max="52" width="11.44140625" hidden="1" customWidth="1" outlineLevel="1"/>
    <col min="53" max="53" width="11.109375" hidden="1" customWidth="1" outlineLevel="1" collapsed="1"/>
    <col min="54" max="57" width="7.44140625" hidden="1" customWidth="1" outlineLevel="1"/>
    <col min="58" max="58" width="7.44140625" hidden="1" customWidth="1" outlineLevel="1" collapsed="1"/>
    <col min="59" max="62" width="7.44140625" hidden="1" customWidth="1" outlineLevel="1"/>
    <col min="63" max="63" width="7.44140625" hidden="1" customWidth="1" outlineLevel="1" collapsed="1"/>
    <col min="64" max="73" width="7.44140625" hidden="1" customWidth="1" outlineLevel="1"/>
    <col min="74" max="77" width="7.44140625" hidden="1" customWidth="1" outlineLevel="2"/>
    <col min="78" max="78" width="7.44140625" hidden="1" customWidth="1" outlineLevel="1"/>
    <col min="79" max="79" width="7.44140625" hidden="1" customWidth="1" outlineLevel="2"/>
    <col min="80" max="80" width="7.109375" hidden="1" customWidth="1" outlineLevel="2"/>
    <col min="81" max="81" width="7.44140625" hidden="1" customWidth="1" outlineLevel="2"/>
    <col min="82" max="82" width="8" hidden="1" customWidth="1" outlineLevel="2"/>
    <col min="83" max="83" width="8.109375" hidden="1" customWidth="1" outlineLevel="1"/>
    <col min="84" max="87" width="8.109375" hidden="1" customWidth="1" outlineLevel="2"/>
    <col min="88" max="88" width="8.109375" hidden="1" customWidth="1" outlineLevel="1"/>
    <col min="89" max="92" width="8.109375" hidden="1" customWidth="1" outlineLevel="2"/>
    <col min="93" max="93" width="8.109375" hidden="1" customWidth="1" outlineLevel="1"/>
    <col min="94" max="97" width="8.109375" hidden="1" customWidth="1" outlineLevel="2"/>
    <col min="98" max="102" width="8.109375" hidden="1" customWidth="1" outlineLevel="1"/>
    <col min="103" max="103" width="8.109375" hidden="1" customWidth="1" outlineLevel="2" collapsed="1"/>
    <col min="104" max="107" width="8.109375" hidden="1" customWidth="1" outlineLevel="3"/>
    <col min="108" max="108" width="8.109375" hidden="1" customWidth="1" outlineLevel="2"/>
    <col min="109" max="112" width="8.109375" hidden="1" customWidth="1" outlineLevel="1"/>
    <col min="113" max="113" width="8.109375" hidden="1" customWidth="1" collapsed="1"/>
    <col min="114" max="117" width="8.109375" hidden="1" customWidth="1" outlineLevel="1"/>
    <col min="118" max="118" width="8.109375" hidden="1" customWidth="1" collapsed="1"/>
    <col min="119" max="122" width="8.109375" hidden="1" customWidth="1" outlineLevel="1"/>
    <col min="123" max="123" width="8.109375" hidden="1" customWidth="1" collapsed="1"/>
    <col min="124" max="127" width="9.109375" hidden="1" customWidth="1" outlineLevel="1"/>
    <col min="128" max="128" width="9.109375" style="1186" customWidth="1" collapsed="1"/>
    <col min="129" max="132" width="9.109375" hidden="1" customWidth="1" outlineLevel="1"/>
    <col min="133" max="133" width="9.109375" style="1186" customWidth="1" collapsed="1"/>
    <col min="134" max="137" width="9.109375" hidden="1" customWidth="1" outlineLevel="1"/>
    <col min="138" max="138" width="9.109375" style="1186" customWidth="1" collapsed="1"/>
    <col min="139" max="139" width="10.109375" hidden="1" customWidth="1" outlineLevel="1"/>
    <col min="140" max="140" width="9.88671875" hidden="1" customWidth="1" outlineLevel="1"/>
    <col min="141" max="141" width="9.5546875" hidden="1" customWidth="1" outlineLevel="1"/>
    <col min="142" max="142" width="10.109375" hidden="1" customWidth="1" outlineLevel="1"/>
    <col min="143" max="143" width="10.109375" style="1186" customWidth="1" collapsed="1"/>
    <col min="144" max="144" width="10.109375" hidden="1" customWidth="1" outlineLevel="1"/>
    <col min="145" max="145" width="9.88671875" hidden="1" customWidth="1" outlineLevel="1"/>
    <col min="146" max="146" width="9.5546875" hidden="1" customWidth="1" outlineLevel="1"/>
    <col min="147" max="147" width="10.109375" hidden="1" customWidth="1" outlineLevel="1"/>
    <col min="148" max="148" width="10.109375" customWidth="1" collapsed="1"/>
    <col min="149" max="150" width="9.88671875" hidden="1" customWidth="1" outlineLevel="1"/>
    <col min="151" max="151" width="9.5546875" hidden="1" customWidth="1" outlineLevel="1"/>
    <col min="152" max="152" width="10.109375" hidden="1" customWidth="1" outlineLevel="1"/>
    <col min="153" max="153" width="10.109375" customWidth="1" collapsed="1"/>
    <col min="154" max="163" width="10.109375" customWidth="1"/>
    <col min="164" max="165" width="10.88671875" style="946" customWidth="1"/>
    <col min="166" max="169" width="9.109375" style="946"/>
  </cols>
  <sheetData>
    <row r="1" spans="1:165">
      <c r="A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0"/>
      <c r="CB1" s="1"/>
      <c r="CC1" s="1"/>
      <c r="CD1" s="10"/>
      <c r="CE1" s="10"/>
      <c r="CF1" s="10"/>
      <c r="CG1" s="28"/>
      <c r="CH1" s="10"/>
      <c r="CI1" s="10"/>
      <c r="CJ1" s="10"/>
      <c r="CK1" s="28"/>
      <c r="CL1" s="28"/>
      <c r="CM1" s="10"/>
      <c r="CN1" s="10"/>
      <c r="CO1" s="10"/>
      <c r="CP1" s="10"/>
      <c r="CQ1" s="10"/>
      <c r="CR1" s="10"/>
      <c r="CS1" s="10"/>
      <c r="CT1" s="247"/>
      <c r="CU1" s="10"/>
      <c r="CV1" s="10"/>
      <c r="CW1" s="10"/>
      <c r="CX1" s="10"/>
      <c r="CY1" s="247"/>
      <c r="CZ1" s="10"/>
      <c r="DA1" s="10"/>
      <c r="DB1" s="10"/>
      <c r="DC1" s="10"/>
      <c r="DD1" s="10"/>
      <c r="DE1" s="10"/>
      <c r="DF1" s="10"/>
      <c r="DG1" s="10"/>
      <c r="DH1" s="10"/>
      <c r="DI1" s="10"/>
      <c r="DJ1" s="10"/>
      <c r="DK1" s="10"/>
      <c r="DL1" s="10"/>
      <c r="DM1" s="10"/>
      <c r="DN1" s="10"/>
      <c r="DO1" s="948"/>
      <c r="DP1" s="948"/>
      <c r="DQ1" s="948"/>
      <c r="DR1" s="948"/>
      <c r="DS1" s="948"/>
      <c r="DT1" s="948"/>
      <c r="DU1" s="948"/>
      <c r="DV1" s="948"/>
      <c r="DW1" s="948"/>
      <c r="DX1" s="948"/>
      <c r="DY1" s="948"/>
      <c r="DZ1" s="948"/>
      <c r="EA1" s="948"/>
      <c r="EB1" s="948"/>
      <c r="EC1" s="948"/>
      <c r="ED1" s="948"/>
      <c r="EE1" s="948"/>
      <c r="EF1" s="948"/>
      <c r="EG1" s="948"/>
      <c r="EH1" s="948"/>
      <c r="EI1" s="948"/>
      <c r="EJ1" s="948"/>
      <c r="EK1" s="948"/>
      <c r="EL1" s="948"/>
      <c r="EM1" s="948"/>
      <c r="EN1" s="948"/>
      <c r="EO1" s="948"/>
      <c r="EP1" s="948"/>
      <c r="EQ1" s="948"/>
      <c r="ER1" s="948"/>
      <c r="ES1" s="948"/>
      <c r="ET1" s="948"/>
      <c r="EU1" s="948"/>
      <c r="EV1" s="948"/>
      <c r="EW1" s="948"/>
      <c r="EX1" s="948"/>
      <c r="EY1" s="948"/>
      <c r="EZ1" s="948"/>
      <c r="FA1" s="948"/>
      <c r="FB1" s="948"/>
      <c r="FC1" s="948"/>
      <c r="FD1" s="948"/>
      <c r="FE1" s="948"/>
      <c r="FF1" s="948"/>
      <c r="FG1" s="948"/>
    </row>
    <row r="2" spans="1:165">
      <c r="DX2"/>
      <c r="EC2"/>
      <c r="EH2"/>
      <c r="EM2"/>
    </row>
    <row r="3" spans="1:165" ht="17.399999999999999">
      <c r="B3" s="1956" t="str">
        <f>Cover!D11</f>
      </c>
      <c r="DX3"/>
      <c r="EC3"/>
      <c r="EH3"/>
      <c r="EM3"/>
    </row>
    <row r="4" spans="1:165">
      <c r="DX4"/>
      <c r="EC4"/>
      <c r="EH4"/>
      <c r="EM4"/>
    </row>
    <row r="5" spans="1:165" ht="13.2">
      <c r="B5" s="1957" t="s">
        <v>21</v>
      </c>
      <c r="DX5"/>
      <c r="EC5"/>
      <c r="EH5"/>
      <c r="EM5"/>
      <c r="EZ5" s="3779"/>
    </row>
    <row r="6" spans="1:165" ht="13.2" thickBot="1">
      <c r="B6" s="1958"/>
      <c r="C6" s="1958"/>
      <c r="D6" s="1958"/>
      <c r="E6" s="1958"/>
      <c r="F6" s="1958"/>
      <c r="G6" s="1958"/>
      <c r="H6" s="1958"/>
      <c r="I6" s="1958"/>
      <c r="J6" s="1958"/>
      <c r="K6" s="1958"/>
      <c r="L6" s="1958"/>
      <c r="M6" s="1958"/>
      <c r="N6" s="1958"/>
      <c r="O6" s="1958"/>
      <c r="P6" s="1958"/>
      <c r="Q6" s="1958"/>
      <c r="R6" s="1958"/>
      <c r="S6" s="1958"/>
      <c r="T6" s="1958"/>
      <c r="U6" s="1958"/>
      <c r="V6" s="1958"/>
      <c r="W6" s="1958"/>
      <c r="X6" s="1958"/>
      <c r="Y6" s="1958"/>
      <c r="Z6" s="1958"/>
      <c r="AA6" s="1958"/>
      <c r="AB6" s="1958"/>
      <c r="AC6" s="1958"/>
      <c r="AD6" s="1958"/>
      <c r="AE6" s="1958"/>
      <c r="AF6" s="1958"/>
      <c r="AG6" s="1958"/>
      <c r="AH6" s="1958"/>
      <c r="AI6" s="1958"/>
      <c r="AJ6" s="1958"/>
      <c r="AK6" s="1958"/>
      <c r="AL6" s="1958"/>
      <c r="AM6" s="1958"/>
      <c r="AN6" s="1958"/>
      <c r="AO6" s="1958"/>
      <c r="AP6" s="1958"/>
      <c r="AQ6" s="1958"/>
      <c r="AR6" s="1958"/>
      <c r="AS6" s="1958"/>
      <c r="AT6" s="1958"/>
      <c r="AU6" s="1958"/>
      <c r="AV6" s="1958"/>
      <c r="AW6" s="1958"/>
      <c r="AX6" s="1958"/>
      <c r="AY6" s="1958"/>
      <c r="AZ6" s="1958"/>
      <c r="BA6" s="1958"/>
      <c r="BB6" s="1958"/>
      <c r="BC6" s="1958"/>
      <c r="BD6" s="1958"/>
      <c r="BE6" s="1958"/>
      <c r="BF6" s="1958"/>
      <c r="BG6" s="1958"/>
      <c r="BH6" s="1958"/>
      <c r="BI6" s="1958"/>
      <c r="BJ6" s="1958"/>
      <c r="BK6" s="1958"/>
      <c r="BL6" s="1958"/>
      <c r="BM6" s="1958"/>
      <c r="BN6" s="1958"/>
      <c r="BO6" s="1958"/>
      <c r="BP6" s="1958"/>
      <c r="BQ6" s="1958"/>
      <c r="BR6" s="1958"/>
      <c r="BS6" s="1958"/>
      <c r="BT6" s="1958"/>
      <c r="BU6" s="1958"/>
      <c r="BV6" s="1958"/>
      <c r="BW6" s="1958"/>
      <c r="BX6" s="1958"/>
      <c r="BY6" s="1958"/>
      <c r="BZ6" s="1958"/>
      <c r="CA6" s="1958"/>
      <c r="CB6" s="1958"/>
      <c r="CC6" s="1958"/>
      <c r="CD6" s="1958"/>
      <c r="CE6" s="1958"/>
      <c r="CF6" s="1958"/>
      <c r="CG6" s="1958"/>
      <c r="CH6" s="1958"/>
      <c r="CI6" s="1958"/>
      <c r="CJ6" s="1958"/>
      <c r="CK6" s="1958"/>
      <c r="CL6" s="1958"/>
      <c r="CM6" s="1958"/>
      <c r="CN6" s="1958"/>
      <c r="CO6" s="1958"/>
      <c r="CP6" s="1958"/>
      <c r="CQ6" s="1958"/>
      <c r="CR6" s="1958"/>
      <c r="CS6" s="1958"/>
      <c r="CT6" s="1958"/>
      <c r="CU6" s="1958"/>
      <c r="CV6" s="1958"/>
      <c r="CW6" s="1958"/>
      <c r="CX6" s="1958"/>
      <c r="CY6" s="1958"/>
      <c r="CZ6" s="1958"/>
      <c r="DA6" s="1958"/>
      <c r="DB6" s="1958"/>
      <c r="DC6" s="1958"/>
      <c r="DD6" s="1958"/>
      <c r="DE6" s="1958"/>
      <c r="DF6" s="1958"/>
      <c r="DG6" s="1958"/>
      <c r="DH6" s="1958"/>
      <c r="DI6" s="1958"/>
      <c r="DJ6" s="1958"/>
      <c r="DK6" s="1958"/>
      <c r="DL6" s="1958"/>
      <c r="DM6" s="1958"/>
      <c r="DN6" s="1958"/>
      <c r="DO6" s="1958"/>
      <c r="DP6" s="1958"/>
      <c r="DQ6" s="1958"/>
      <c r="DR6" s="1958"/>
      <c r="DS6" s="1958"/>
      <c r="DT6" s="1958"/>
      <c r="DU6" s="1958"/>
      <c r="DV6" s="1958"/>
      <c r="DW6" s="1958"/>
      <c r="DX6" s="1958"/>
      <c r="DY6" s="1958"/>
      <c r="DZ6" s="1958"/>
      <c r="EA6" s="1958"/>
      <c r="EB6" s="1958"/>
      <c r="EC6" s="1958"/>
      <c r="ED6" s="1958"/>
      <c r="EE6" s="1958"/>
      <c r="EF6" s="1958"/>
      <c r="EG6" s="1958"/>
      <c r="EH6" s="1958"/>
      <c r="EI6" s="1958"/>
      <c r="EJ6" s="1958"/>
      <c r="EK6" s="1958"/>
      <c r="EL6" s="1958"/>
      <c r="EM6" s="1958"/>
      <c r="EN6" s="1958"/>
      <c r="EO6" s="1958"/>
      <c r="EP6" s="1958"/>
      <c r="EQ6" s="1958"/>
      <c r="ER6" s="1958"/>
      <c r="ES6" s="1958"/>
      <c r="ET6" s="1958"/>
      <c r="EU6" s="1958"/>
      <c r="EV6" s="1958"/>
      <c r="EW6" s="1958"/>
      <c r="EX6" s="3186"/>
      <c r="EY6" s="3186"/>
      <c r="EZ6" s="3186"/>
      <c r="FA6" s="3186"/>
      <c r="FB6" s="1958"/>
      <c r="FC6" s="1958"/>
      <c r="FD6" s="1958"/>
      <c r="FE6" s="1958"/>
      <c r="FF6" s="1958"/>
      <c r="FG6" s="1958"/>
    </row>
    <row r="7" spans="1:165">
      <c r="B7" s="11" t="s">
        <v>792</v>
      </c>
      <c r="DX7"/>
      <c r="EC7"/>
      <c r="EH7"/>
      <c r="EM7" s="1058"/>
      <c r="EN7" s="1058"/>
      <c r="EO7" s="1058"/>
      <c r="EP7" s="1058"/>
      <c r="EQ7" s="1058"/>
      <c r="ER7" s="1058"/>
      <c r="ES7" s="1058"/>
      <c r="ET7" s="1058"/>
      <c r="EU7" s="1058"/>
      <c r="EV7" s="1058"/>
      <c r="EW7" s="1058"/>
      <c r="EX7" s="1058"/>
      <c r="EY7" s="1058"/>
      <c r="EZ7" s="1058"/>
      <c r="FA7" s="1058"/>
      <c r="FB7" s="1058"/>
      <c r="FC7" s="1058"/>
      <c r="FD7" s="1058"/>
      <c r="FE7" s="1058"/>
      <c r="FF7" s="1058"/>
      <c r="FG7" s="1058"/>
    </row>
    <row r="8" spans="1:165">
      <c r="DX8"/>
      <c r="EC8"/>
      <c r="EH8"/>
      <c r="EM8" s="1058"/>
      <c r="EN8" s="1058"/>
      <c r="EO8" s="1058"/>
      <c r="EP8" s="1058"/>
      <c r="EQ8" s="1058"/>
      <c r="ER8" s="1058"/>
      <c r="ES8" s="1058"/>
      <c r="ET8" s="1058"/>
      <c r="EU8" s="1058"/>
      <c r="EV8" s="1058"/>
      <c r="EW8" s="1058"/>
      <c r="EX8" s="1058"/>
      <c r="EY8" s="1058"/>
      <c r="EZ8" s="1058"/>
      <c r="FA8" s="1058"/>
      <c r="FB8" s="1058"/>
      <c r="FC8" s="1058"/>
      <c r="FD8" s="1058"/>
      <c r="FE8" s="1058"/>
      <c r="FF8" s="1058"/>
      <c r="FG8" s="1058"/>
    </row>
    <row r="9" spans="1:165">
      <c r="DX9"/>
      <c r="EC9"/>
      <c r="EH9"/>
      <c r="EK9" s="2192"/>
      <c r="EL9" s="2192"/>
      <c r="EM9" s="1058"/>
      <c r="EN9" s="1058"/>
      <c r="EO9" s="1058"/>
      <c r="EP9" s="1058"/>
      <c r="EQ9" s="1058"/>
      <c r="ER9" s="1058"/>
      <c r="ES9" s="1058"/>
      <c r="ET9" s="1058"/>
      <c r="EU9" s="1058"/>
      <c r="EV9" s="1058"/>
      <c r="EW9" s="1058"/>
      <c r="EX9" s="1058"/>
      <c r="EY9" s="1058"/>
      <c r="EZ9" s="1058"/>
      <c r="FA9" s="1058"/>
      <c r="FB9" s="1058"/>
      <c r="FC9" s="1058"/>
      <c r="FD9" s="1058"/>
      <c r="FE9" s="1058"/>
      <c r="FF9" s="1058"/>
      <c r="FG9" s="1058"/>
    </row>
    <row r="10" spans="1:165">
      <c r="A10" s="1"/>
      <c r="B10" s="568"/>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948"/>
      <c r="DP10" s="948"/>
      <c r="DQ10" s="948"/>
      <c r="DR10" s="948"/>
      <c r="DS10" s="948"/>
      <c r="DT10" s="948"/>
      <c r="DU10" s="948"/>
      <c r="DV10" s="948"/>
      <c r="DW10" s="948"/>
      <c r="DX10" s="1128"/>
      <c r="DY10" s="948"/>
      <c r="DZ10" s="948"/>
      <c r="EA10" s="948"/>
      <c r="EB10" s="948"/>
      <c r="EC10" s="1128"/>
      <c r="ED10" s="948"/>
      <c r="EE10" s="948"/>
      <c r="EF10" s="948"/>
      <c r="EG10" s="948"/>
      <c r="EH10" s="1128"/>
      <c r="EI10" s="948"/>
      <c r="EJ10" s="948"/>
      <c r="EK10" s="948"/>
      <c r="EL10" s="948"/>
      <c r="EM10" s="1128"/>
      <c r="EN10" s="948"/>
      <c r="EO10" s="948"/>
      <c r="EP10" s="948"/>
      <c r="EQ10" s="948"/>
      <c r="ER10" s="948"/>
      <c r="ES10" s="948"/>
      <c r="ET10" s="948"/>
      <c r="EU10" s="948"/>
      <c r="EV10" s="948"/>
      <c r="EW10" s="948"/>
      <c r="EX10" s="948"/>
      <c r="EY10" s="948"/>
      <c r="EZ10" s="948"/>
      <c r="FA10" s="948"/>
      <c r="FB10" s="948"/>
      <c r="FC10" s="948"/>
      <c r="FD10" s="948"/>
      <c r="FE10" s="948"/>
      <c r="FF10" s="948"/>
      <c r="FG10" s="948"/>
    </row>
    <row r="11" spans="1:165">
      <c r="A11" s="1"/>
      <c r="B11" s="564" t="s">
        <v>472</v>
      </c>
      <c r="C11" s="797">
        <v>1990</v>
      </c>
      <c r="D11" s="798">
        <v>1991</v>
      </c>
      <c r="E11" s="798">
        <v>1992</v>
      </c>
      <c r="F11" s="798">
        <v>1993</v>
      </c>
      <c r="G11" s="798">
        <v>1994</v>
      </c>
      <c r="H11" s="798">
        <v>1995</v>
      </c>
      <c r="I11" s="799" t="s">
        <v>434</v>
      </c>
      <c r="J11" s="800" t="s">
        <v>435</v>
      </c>
      <c r="K11" s="801" t="s">
        <v>436</v>
      </c>
      <c r="L11" s="798" t="s">
        <v>437</v>
      </c>
      <c r="M11" s="802">
        <v>1996</v>
      </c>
      <c r="N11" s="799" t="s">
        <v>430</v>
      </c>
      <c r="O11" s="800" t="s">
        <v>431</v>
      </c>
      <c r="P11" s="801" t="s">
        <v>432</v>
      </c>
      <c r="Q11" s="798" t="s">
        <v>433</v>
      </c>
      <c r="R11" s="802">
        <v>1997</v>
      </c>
      <c r="S11" s="799" t="s">
        <v>426</v>
      </c>
      <c r="T11" s="800" t="s">
        <v>427</v>
      </c>
      <c r="U11" s="801" t="s">
        <v>428</v>
      </c>
      <c r="V11" s="798" t="s">
        <v>429</v>
      </c>
      <c r="W11" s="802">
        <v>1998</v>
      </c>
      <c r="X11" s="799" t="s">
        <v>159</v>
      </c>
      <c r="Y11" s="800" t="s">
        <v>160</v>
      </c>
      <c r="Z11" s="801" t="s">
        <v>161</v>
      </c>
      <c r="AA11" s="798" t="s">
        <v>162</v>
      </c>
      <c r="AB11" s="802">
        <v>1999</v>
      </c>
      <c r="AC11" s="799" t="s">
        <v>163</v>
      </c>
      <c r="AD11" s="800" t="s">
        <v>164</v>
      </c>
      <c r="AE11" s="801" t="s">
        <v>165</v>
      </c>
      <c r="AF11" s="798" t="s">
        <v>166</v>
      </c>
      <c r="AG11" s="802">
        <v>2000</v>
      </c>
      <c r="AH11" s="799" t="s">
        <v>167</v>
      </c>
      <c r="AI11" s="800" t="s">
        <v>168</v>
      </c>
      <c r="AJ11" s="801" t="s">
        <v>169</v>
      </c>
      <c r="AK11" s="798" t="s">
        <v>170</v>
      </c>
      <c r="AL11" s="802">
        <v>2001</v>
      </c>
      <c r="AM11" s="799" t="s">
        <v>317</v>
      </c>
      <c r="AN11" s="800" t="s">
        <v>318</v>
      </c>
      <c r="AO11" s="801" t="s">
        <v>173</v>
      </c>
      <c r="AP11" s="798" t="s">
        <v>174</v>
      </c>
      <c r="AQ11" s="802">
        <v>2002</v>
      </c>
      <c r="AR11" s="799" t="s">
        <v>176</v>
      </c>
      <c r="AS11" s="800" t="s">
        <v>15</v>
      </c>
      <c r="AT11" s="801" t="s">
        <v>16</v>
      </c>
      <c r="AU11" s="798" t="s">
        <v>147</v>
      </c>
      <c r="AV11" s="802">
        <v>2003</v>
      </c>
      <c r="AW11" s="799" t="s">
        <v>267</v>
      </c>
      <c r="AX11" s="800" t="s">
        <v>392</v>
      </c>
      <c r="AY11" s="801" t="s">
        <v>46</v>
      </c>
      <c r="AZ11" s="798" t="s">
        <v>47</v>
      </c>
      <c r="BA11" s="802">
        <v>2004</v>
      </c>
      <c r="BB11" s="799" t="s">
        <v>12</v>
      </c>
      <c r="BC11" s="800" t="s">
        <v>42</v>
      </c>
      <c r="BD11" s="801" t="s">
        <v>190</v>
      </c>
      <c r="BE11" s="798" t="s">
        <v>357</v>
      </c>
      <c r="BF11" s="802">
        <v>2005</v>
      </c>
      <c r="BG11" s="799" t="s">
        <v>354</v>
      </c>
      <c r="BH11" s="800" t="s">
        <v>355</v>
      </c>
      <c r="BI11" s="801" t="s">
        <v>356</v>
      </c>
      <c r="BJ11" s="798" t="s">
        <v>224</v>
      </c>
      <c r="BK11" s="802">
        <v>2006</v>
      </c>
      <c r="BL11" s="799" t="s">
        <v>11</v>
      </c>
      <c r="BM11" s="800" t="s">
        <v>40</v>
      </c>
      <c r="BN11" s="801" t="s">
        <v>265</v>
      </c>
      <c r="BO11" s="798" t="s">
        <v>144</v>
      </c>
      <c r="BP11" s="802">
        <v>2007</v>
      </c>
      <c r="BQ11" s="799" t="s">
        <v>145</v>
      </c>
      <c r="BR11" s="800" t="s">
        <v>122</v>
      </c>
      <c r="BS11" s="801" t="s">
        <v>454</v>
      </c>
      <c r="BT11" s="798" t="s">
        <v>171</v>
      </c>
      <c r="BU11" s="802">
        <v>2008</v>
      </c>
      <c r="BV11" s="797" t="s">
        <v>275</v>
      </c>
      <c r="BW11" s="798" t="s">
        <v>274</v>
      </c>
      <c r="BX11" s="798" t="s">
        <v>140</v>
      </c>
      <c r="BY11" s="803" t="s">
        <v>141</v>
      </c>
      <c r="BZ11" s="802">
        <v>2009</v>
      </c>
      <c r="CA11" s="797" t="str">
        <f>+'Sales Model'!BH19</f>
      </c>
      <c r="CB11" s="798" t="str">
        <f>+'Sales Model'!BI19</f>
      </c>
      <c r="CC11" s="798" t="str">
        <f>+'Sales Model'!BJ19</f>
      </c>
      <c r="CD11" s="803" t="str">
        <f>+'Sales Model'!BK19</f>
      </c>
      <c r="CE11" s="802">
        <v>2010</v>
      </c>
      <c r="CF11" s="797" t="str">
        <f>+'Sales Model'!BM19</f>
      </c>
      <c r="CG11" s="798" t="str">
        <f>+'Sales Model'!BN19</f>
      </c>
      <c r="CH11" s="798" t="str">
        <f>+'Sales Model'!BO19</f>
      </c>
      <c r="CI11" s="803" t="str">
        <f>+'Sales Model'!BP19</f>
      </c>
      <c r="CJ11" s="802">
        <v>2011</v>
      </c>
      <c r="CK11" s="797" t="str">
        <f>+'Sales Model'!BR19</f>
      </c>
      <c r="CL11" s="798" t="str">
        <f>+'Sales Model'!BS19</f>
      </c>
      <c r="CM11" s="798" t="str">
        <f>+'Sales Model'!BT19</f>
      </c>
      <c r="CN11" s="803" t="str">
        <f>+'Sales Model'!BU19</f>
      </c>
      <c r="CO11" s="802">
        <f>+'Sales Model'!BV19</f>
      </c>
      <c r="CP11" s="797" t="str">
        <f>+'Sales Model'!BW19</f>
      </c>
      <c r="CQ11" s="258" t="s">
        <v>567</v>
      </c>
      <c r="CR11" s="258" t="str">
        <f>+'Sales Model'!BY19</f>
      </c>
      <c r="CS11" s="803" t="str">
        <f>+'Sales Model'!BZ19</f>
      </c>
      <c r="CT11" s="802">
        <f>+'Sales Model'!CA19</f>
      </c>
      <c r="CU11" s="797" t="s">
        <v>575</v>
      </c>
      <c r="CV11" s="258" t="s">
        <v>576</v>
      </c>
      <c r="CW11" s="258" t="s">
        <v>577</v>
      </c>
      <c r="CX11" s="803" t="s">
        <v>587</v>
      </c>
      <c r="CY11" s="802">
        <v>2014</v>
      </c>
      <c r="CZ11" s="797" t="s">
        <v>588</v>
      </c>
      <c r="DA11" s="258" t="s">
        <v>595</v>
      </c>
      <c r="DB11" s="258" t="s">
        <v>596</v>
      </c>
      <c r="DC11" s="803" t="s">
        <v>606</v>
      </c>
      <c r="DD11" s="802">
        <v>2015</v>
      </c>
      <c r="DE11" s="797" t="s">
        <v>609</v>
      </c>
      <c r="DF11" s="258" t="s">
        <v>613</v>
      </c>
      <c r="DG11" s="258" t="s">
        <v>614</v>
      </c>
      <c r="DH11" s="803" t="s">
        <v>620</v>
      </c>
      <c r="DI11" s="802">
        <v>2016</v>
      </c>
      <c r="DJ11" s="797" t="s">
        <v>622</v>
      </c>
      <c r="DK11" s="258" t="s">
        <v>623</v>
      </c>
      <c r="DL11" s="258" t="s">
        <v>629</v>
      </c>
      <c r="DM11" s="803" t="s">
        <v>635</v>
      </c>
      <c r="DN11" s="802">
        <v>2017</v>
      </c>
      <c r="DO11" s="797" t="s">
        <v>646</v>
      </c>
      <c r="DP11" s="1285" t="s">
        <v>647</v>
      </c>
      <c r="DQ11" s="1285" t="s">
        <v>656</v>
      </c>
      <c r="DR11" s="1285" t="s">
        <v>665</v>
      </c>
      <c r="DS11" s="802">
        <v>2018</v>
      </c>
      <c r="DT11" s="802" t="s">
        <v>741</v>
      </c>
      <c r="DU11" s="1285" t="s">
        <v>746</v>
      </c>
      <c r="DV11" s="1285" t="s">
        <v>748</v>
      </c>
      <c r="DW11" s="1285" t="s">
        <v>752</v>
      </c>
      <c r="DX11" s="1749">
        <v>2019</v>
      </c>
      <c r="DY11" s="2092" t="s">
        <v>753</v>
      </c>
      <c r="DZ11" s="1750" t="s">
        <v>754</v>
      </c>
      <c r="EA11" s="1750" t="s">
        <v>766</v>
      </c>
      <c r="EB11" s="2691" t="s">
        <v>767</v>
      </c>
      <c r="EC11" s="2707">
        <v>2020</v>
      </c>
      <c r="ED11" s="2092" t="s">
        <v>768</v>
      </c>
      <c r="EE11" s="1750" t="s">
        <v>769</v>
      </c>
      <c r="EF11" s="1750" t="s">
        <v>770</v>
      </c>
      <c r="EG11" s="2103" t="s">
        <v>771</v>
      </c>
      <c r="EH11" s="2093">
        <v>2021</v>
      </c>
      <c r="EI11" s="2092" t="s">
        <v>799</v>
      </c>
      <c r="EJ11" s="1750" t="s">
        <v>800</v>
      </c>
      <c r="EK11" s="1750" t="s">
        <v>801</v>
      </c>
      <c r="EL11" s="2103" t="s">
        <v>802</v>
      </c>
      <c r="EM11" s="2093">
        <v>2022</v>
      </c>
      <c r="EN11" s="2092" t="s">
        <v>804</v>
      </c>
      <c r="EO11" s="2691" t="s">
        <v>805</v>
      </c>
      <c r="EP11" s="2691" t="s">
        <v>806</v>
      </c>
      <c r="EQ11" s="2103" t="s">
        <v>807</v>
      </c>
      <c r="ER11" s="2093">
        <v>2023</v>
      </c>
      <c r="ES11" s="2092" t="s">
        <v>877</v>
      </c>
      <c r="ET11" s="3192" t="s">
        <v>878</v>
      </c>
      <c r="EU11" s="2691" t="s">
        <v>879</v>
      </c>
      <c r="EV11" s="2103" t="s">
        <v>880</v>
      </c>
      <c r="EW11" s="2093">
        <v>2024</v>
      </c>
      <c r="EX11" s="2092" t="s">
        <v>1051</v>
      </c>
      <c r="EY11" s="3192" t="s">
        <v>1107</v>
      </c>
      <c r="EZ11" s="3542" t="s">
        <v>982</v>
      </c>
      <c r="FA11" s="3582" t="s">
        <v>983</v>
      </c>
      <c r="FB11" s="2104" t="s">
        <v>630</v>
      </c>
      <c r="FC11" s="2104" t="s">
        <v>826</v>
      </c>
      <c r="FD11" s="2104" t="s">
        <v>827</v>
      </c>
      <c r="FE11" s="2104" t="s">
        <v>901</v>
      </c>
      <c r="FF11" s="2104" t="s">
        <v>907</v>
      </c>
      <c r="FG11" s="2104" t="s">
        <v>910</v>
      </c>
    </row>
    <row r="12" spans="1:165">
      <c r="A12" s="3"/>
      <c r="B12" s="612" t="s">
        <v>330</v>
      </c>
      <c r="C12" s="613"/>
      <c r="D12" s="613"/>
      <c r="E12" s="613"/>
      <c r="F12" s="613"/>
      <c r="G12" s="613"/>
      <c r="H12" s="613"/>
      <c r="I12" s="613"/>
      <c r="J12" s="613"/>
      <c r="K12" s="613"/>
      <c r="L12" s="613"/>
      <c r="M12" s="614"/>
      <c r="N12" s="613"/>
      <c r="O12" s="613"/>
      <c r="P12" s="613"/>
      <c r="Q12" s="613"/>
      <c r="R12" s="614"/>
      <c r="S12" s="613"/>
      <c r="T12" s="613"/>
      <c r="U12" s="613"/>
      <c r="V12" s="613"/>
      <c r="W12" s="614"/>
      <c r="X12" s="613"/>
      <c r="Y12" s="613"/>
      <c r="Z12" s="613"/>
      <c r="AA12" s="613"/>
      <c r="AB12" s="614"/>
      <c r="AC12" s="613"/>
      <c r="AD12" s="613"/>
      <c r="AE12" s="613"/>
      <c r="AF12" s="613"/>
      <c r="AG12" s="614"/>
      <c r="AH12" s="613"/>
      <c r="AI12" s="613"/>
      <c r="AJ12" s="613"/>
      <c r="AK12" s="613"/>
      <c r="AL12" s="614"/>
      <c r="AM12" s="613"/>
      <c r="AN12" s="613"/>
      <c r="AO12" s="613"/>
      <c r="AP12" s="613"/>
      <c r="AQ12" s="614"/>
      <c r="AR12" s="613"/>
      <c r="AS12" s="613"/>
      <c r="AT12" s="613"/>
      <c r="AU12" s="613"/>
      <c r="AV12" s="614"/>
      <c r="AW12" s="613"/>
      <c r="AX12" s="613"/>
      <c r="AY12" s="613"/>
      <c r="AZ12" s="613"/>
      <c r="BA12" s="614"/>
      <c r="BB12" s="613"/>
      <c r="BC12" s="613"/>
      <c r="BD12" s="613"/>
      <c r="BE12" s="613"/>
      <c r="BF12" s="614"/>
      <c r="BG12" s="613"/>
      <c r="BH12" s="613"/>
      <c r="BI12" s="613"/>
      <c r="BJ12" s="613"/>
      <c r="BK12" s="614"/>
      <c r="BL12" s="613"/>
      <c r="BM12" s="613"/>
      <c r="BN12" s="613"/>
      <c r="BO12" s="613"/>
      <c r="BP12" s="614"/>
      <c r="BQ12" s="613"/>
      <c r="BR12" s="613"/>
      <c r="BS12" s="613"/>
      <c r="BT12" s="613"/>
      <c r="BU12" s="614"/>
      <c r="BV12" s="613"/>
      <c r="BW12" s="613"/>
      <c r="BX12" s="613"/>
      <c r="BY12" s="613"/>
      <c r="BZ12" s="614"/>
      <c r="CA12" s="613"/>
      <c r="CB12" s="613"/>
      <c r="CC12" s="613"/>
      <c r="CD12" s="613"/>
      <c r="CE12" s="614"/>
      <c r="CF12" s="613"/>
      <c r="CG12" s="613"/>
      <c r="CH12" s="613"/>
      <c r="CI12" s="613"/>
      <c r="CJ12" s="614"/>
      <c r="CK12" s="613"/>
      <c r="CL12" s="613"/>
      <c r="CM12" s="613"/>
      <c r="CN12" s="613"/>
      <c r="CO12" s="615"/>
      <c r="CP12" s="615"/>
      <c r="CQ12" s="613"/>
      <c r="CR12" s="613"/>
      <c r="CS12" s="613"/>
      <c r="CT12" s="614"/>
      <c r="CU12" s="615"/>
      <c r="CV12" s="613"/>
      <c r="CW12" s="613"/>
      <c r="CX12" s="613"/>
      <c r="CY12" s="614"/>
      <c r="CZ12" s="613"/>
      <c r="DA12" s="613"/>
      <c r="DB12" s="613"/>
      <c r="DC12" s="613"/>
      <c r="DD12" s="614"/>
      <c r="DE12" s="613"/>
      <c r="DF12" s="613"/>
      <c r="DG12" s="613"/>
      <c r="DH12" s="613"/>
      <c r="DI12" s="614"/>
      <c r="DJ12" s="613"/>
      <c r="DK12" s="613"/>
      <c r="DL12" s="613"/>
      <c r="DM12" s="613"/>
      <c r="DN12" s="614"/>
      <c r="DO12" s="613"/>
      <c r="DP12" s="613"/>
      <c r="DQ12" s="613"/>
      <c r="DR12" s="613"/>
      <c r="DS12" s="614"/>
      <c r="DT12" s="613"/>
      <c r="DU12" s="613"/>
      <c r="DV12" s="613"/>
      <c r="DW12" s="613"/>
      <c r="DX12" s="615"/>
      <c r="DY12" s="616"/>
      <c r="DZ12" s="613"/>
      <c r="EA12" s="613"/>
      <c r="EB12" s="613"/>
      <c r="EC12" s="2708"/>
      <c r="ED12" s="616"/>
      <c r="EE12" s="613"/>
      <c r="EF12" s="613"/>
      <c r="EG12" s="2036"/>
      <c r="EH12" s="2040"/>
      <c r="EI12" s="616"/>
      <c r="EJ12" s="613"/>
      <c r="EK12" s="613"/>
      <c r="EL12" s="2036"/>
      <c r="EM12" s="1179"/>
      <c r="EN12" s="616"/>
      <c r="EO12" s="613"/>
      <c r="EP12" s="613"/>
      <c r="EQ12" s="2036"/>
      <c r="ER12" s="1179"/>
      <c r="ES12" s="613"/>
      <c r="ET12" s="613"/>
      <c r="EU12" s="613"/>
      <c r="EV12" s="2036"/>
      <c r="EW12" s="1179"/>
      <c r="EX12" s="613"/>
      <c r="EY12" s="613"/>
      <c r="EZ12" s="613"/>
      <c r="FA12" s="613"/>
      <c r="FB12" s="1179"/>
      <c r="FC12" s="1179"/>
      <c r="FD12" s="1179"/>
      <c r="FE12" s="1179"/>
      <c r="FF12" s="1179"/>
      <c r="FG12" s="1179"/>
      <c r="FH12" s="3"/>
      <c r="FI12" s="3"/>
    </row>
    <row r="13" spans="1:165">
      <c r="A13" s="3"/>
      <c r="B13" s="177" t="s">
        <v>325</v>
      </c>
      <c r="C13" s="3"/>
      <c r="D13" s="3"/>
      <c r="E13" s="3"/>
      <c r="F13" s="3"/>
      <c r="G13" s="3"/>
      <c r="H13" s="3"/>
      <c r="I13" s="3"/>
      <c r="J13" s="3"/>
      <c r="K13" s="3"/>
      <c r="L13" s="3"/>
      <c r="M13" s="262"/>
      <c r="N13" s="3"/>
      <c r="O13" s="3"/>
      <c r="P13" s="3"/>
      <c r="Q13" s="3"/>
      <c r="R13" s="262"/>
      <c r="S13" s="3"/>
      <c r="T13" s="3"/>
      <c r="U13" s="3"/>
      <c r="V13" s="3"/>
      <c r="W13" s="262"/>
      <c r="X13" s="3"/>
      <c r="Y13" s="3"/>
      <c r="Z13" s="3"/>
      <c r="AA13" s="3"/>
      <c r="AB13" s="262"/>
      <c r="AC13" s="3"/>
      <c r="AD13" s="3"/>
      <c r="AE13" s="3"/>
      <c r="AF13" s="3"/>
      <c r="AG13" s="262"/>
      <c r="AH13" s="3"/>
      <c r="AI13" s="3"/>
      <c r="AJ13" s="3"/>
      <c r="AK13" s="3"/>
      <c r="AL13" s="262"/>
      <c r="AM13" s="3"/>
      <c r="AN13" s="3"/>
      <c r="AO13" s="3"/>
      <c r="AP13" s="3"/>
      <c r="AQ13" s="262"/>
      <c r="AR13" s="3"/>
      <c r="AS13" s="3"/>
      <c r="AT13" s="3"/>
      <c r="AU13" s="3"/>
      <c r="AV13" s="262"/>
      <c r="AW13" s="3"/>
      <c r="AX13" s="3"/>
      <c r="AY13" s="3"/>
      <c r="AZ13" s="3"/>
      <c r="BA13" s="262"/>
      <c r="BB13" s="3"/>
      <c r="BC13" s="3"/>
      <c r="BD13" s="3"/>
      <c r="BE13" s="3"/>
      <c r="BF13" s="262"/>
      <c r="BG13" s="3"/>
      <c r="BH13" s="3"/>
      <c r="BI13" s="3"/>
      <c r="BJ13" s="3"/>
      <c r="BK13" s="262"/>
      <c r="BL13" s="3"/>
      <c r="BM13" s="3"/>
      <c r="BN13" s="3"/>
      <c r="BO13" s="3"/>
      <c r="BP13" s="262"/>
      <c r="BQ13" s="3"/>
      <c r="BR13" s="3"/>
      <c r="BS13" s="3"/>
      <c r="BT13" s="3"/>
      <c r="BU13" s="262"/>
      <c r="BV13" s="3"/>
      <c r="BW13" s="3"/>
      <c r="BX13" s="3"/>
      <c r="BY13" s="3"/>
      <c r="BZ13" s="262"/>
      <c r="CA13" s="3"/>
      <c r="CB13" s="3"/>
      <c r="CC13" s="3"/>
      <c r="CD13" s="3"/>
      <c r="CE13" s="262"/>
      <c r="CF13" s="3"/>
      <c r="CG13" s="3"/>
      <c r="CH13" s="3"/>
      <c r="CI13" s="3"/>
      <c r="CJ13" s="262"/>
      <c r="CK13" s="3"/>
      <c r="CL13" s="3"/>
      <c r="CM13" s="3"/>
      <c r="CN13" s="3"/>
      <c r="CO13" s="561"/>
      <c r="CP13" s="561"/>
      <c r="CQ13" s="3"/>
      <c r="CR13" s="3"/>
      <c r="CS13" s="3"/>
      <c r="CT13" s="262"/>
      <c r="CU13" s="561"/>
      <c r="CV13" s="3"/>
      <c r="CW13" s="3"/>
      <c r="CX13" s="3"/>
      <c r="CY13" s="262"/>
      <c r="CZ13" s="3"/>
      <c r="DA13" s="3"/>
      <c r="DB13" s="3"/>
      <c r="DC13" s="3"/>
      <c r="DD13" s="262"/>
      <c r="DE13" s="3"/>
      <c r="DF13" s="3"/>
      <c r="DG13" s="3"/>
      <c r="DH13" s="3"/>
      <c r="DI13" s="262"/>
      <c r="DJ13" s="3"/>
      <c r="DK13" s="3"/>
      <c r="DL13" s="3"/>
      <c r="DM13" s="3"/>
      <c r="DN13" s="262"/>
      <c r="DO13" s="3"/>
      <c r="DP13" s="3"/>
      <c r="DQ13" s="3"/>
      <c r="DR13" s="3"/>
      <c r="DS13" s="262"/>
      <c r="DT13" s="3"/>
      <c r="DU13" s="3"/>
      <c r="DV13" s="3"/>
      <c r="DW13" s="3"/>
      <c r="DX13" s="561"/>
      <c r="DY13" s="177"/>
      <c r="DZ13" s="3"/>
      <c r="EA13" s="3"/>
      <c r="EB13" s="3"/>
      <c r="EC13" s="306"/>
      <c r="ED13" s="177"/>
      <c r="EE13" s="3"/>
      <c r="EF13" s="3"/>
      <c r="EG13" s="2037"/>
      <c r="EH13" s="879"/>
      <c r="EI13" s="177"/>
      <c r="EJ13" s="3"/>
      <c r="EK13" s="3"/>
      <c r="EL13" s="2037"/>
      <c r="EM13" s="1180"/>
      <c r="EN13" s="177"/>
      <c r="EO13" s="3"/>
      <c r="EP13" s="3"/>
      <c r="EQ13" s="2037"/>
      <c r="ER13" s="1180"/>
      <c r="ES13" s="3"/>
      <c r="ET13" s="3"/>
      <c r="EU13" s="3"/>
      <c r="EV13" s="2037"/>
      <c r="EW13" s="1180"/>
      <c r="EX13" s="3"/>
      <c r="EY13" s="3"/>
      <c r="EZ13" s="15"/>
      <c r="FA13" s="15"/>
      <c r="FB13" s="132"/>
      <c r="FC13" s="132"/>
      <c r="FD13" s="132"/>
      <c r="FE13" s="132"/>
      <c r="FF13" s="132"/>
      <c r="FG13" s="132"/>
      <c r="FH13" s="3"/>
      <c r="FI13" s="3"/>
    </row>
    <row r="14" spans="1:165">
      <c r="A14" s="2579" t="s">
        <v>815</v>
      </c>
      <c r="B14" s="64" t="s">
        <v>326</v>
      </c>
      <c r="C14" s="577">
        <v>826</v>
      </c>
      <c r="D14" s="577">
        <v>589</v>
      </c>
      <c r="E14" s="577">
        <v>745</v>
      </c>
      <c r="F14" s="577">
        <v>372</v>
      </c>
      <c r="G14" s="577">
        <v>636</v>
      </c>
      <c r="H14" s="577">
        <v>1201</v>
      </c>
      <c r="I14" s="577">
        <v>2492</v>
      </c>
      <c r="J14" s="577">
        <v>1860</v>
      </c>
      <c r="K14" s="577">
        <v>2088</v>
      </c>
      <c r="L14" s="577">
        <v>2011</v>
      </c>
      <c r="M14" s="67">
        <f t="shared" ref="M14:M19" si="0">+L14</f>
      </c>
      <c r="N14" s="577">
        <v>2190</v>
      </c>
      <c r="O14" s="577">
        <v>2237</v>
      </c>
      <c r="P14" s="577">
        <v>2994</v>
      </c>
      <c r="Q14" s="577">
        <v>2753</v>
      </c>
      <c r="R14" s="67">
        <f t="shared" ref="R14:R19" si="1">+Q14</f>
      </c>
      <c r="S14" s="577">
        <v>2893</v>
      </c>
      <c r="T14" s="577">
        <v>3114</v>
      </c>
      <c r="U14" s="577">
        <v>3742</v>
      </c>
      <c r="V14" s="10">
        <f>+U14</f>
      </c>
      <c r="W14" s="67">
        <f>+V14</f>
      </c>
      <c r="X14" s="577">
        <v>1780</v>
      </c>
      <c r="Y14" s="577">
        <v>2024</v>
      </c>
      <c r="Z14" s="577">
        <v>2617</v>
      </c>
      <c r="AA14" s="577">
        <v>2512</v>
      </c>
      <c r="AB14" s="67">
        <f t="shared" ref="AB14:AB19" si="2">+AA14</f>
      </c>
      <c r="AC14" s="577">
        <v>4278</v>
      </c>
      <c r="AD14" s="577">
        <v>2937</v>
      </c>
      <c r="AE14" s="577">
        <v>4278</v>
      </c>
      <c r="AF14" s="577">
        <v>4278</v>
      </c>
      <c r="AG14" s="67">
        <f t="shared" ref="AG14:AG19" si="3">+AF14</f>
      </c>
      <c r="AH14" s="577">
        <v>4340</v>
      </c>
      <c r="AI14" s="577">
        <v>4722</v>
      </c>
      <c r="AJ14" s="577">
        <v>5066</v>
      </c>
      <c r="AK14" s="577">
        <v>3758</v>
      </c>
      <c r="AL14" s="67">
        <f t="shared" ref="AL14:AL19" si="4">+AK14</f>
      </c>
      <c r="AM14" s="577">
        <v>3437</v>
      </c>
      <c r="AN14" s="577">
        <v>2606</v>
      </c>
      <c r="AO14" s="577">
        <v>3161</v>
      </c>
      <c r="AP14" s="577">
        <v>2894</v>
      </c>
      <c r="AQ14" s="67">
        <f t="shared" ref="AQ14:AQ19" si="5">+AP14</f>
      </c>
      <c r="AR14" s="577">
        <v>3061</v>
      </c>
      <c r="AS14" s="577">
        <v>2968</v>
      </c>
      <c r="AT14" s="577">
        <v>3850</v>
      </c>
      <c r="AU14" s="577">
        <v>5377</v>
      </c>
      <c r="AV14" s="67">
        <f t="shared" ref="AV14:AV19" si="6">+AU14</f>
      </c>
      <c r="AW14" s="577">
        <v>5637</v>
      </c>
      <c r="AX14" s="577">
        <v>5681</v>
      </c>
      <c r="AY14" s="577">
        <v>7348</v>
      </c>
      <c r="AZ14" s="577">
        <v>9203</v>
      </c>
      <c r="BA14" s="67">
        <f t="shared" ref="BA14:BA19" si="7">+AZ14</f>
      </c>
      <c r="BB14" s="577">
        <v>8539</v>
      </c>
      <c r="BC14" s="577">
        <v>12156</v>
      </c>
      <c r="BD14" s="577">
        <v>14825</v>
      </c>
      <c r="BE14" s="577">
        <v>16055</v>
      </c>
      <c r="BF14" s="67">
        <f t="shared" ref="BF14:BF19" si="8">+BE14</f>
      </c>
      <c r="BG14" s="577">
        <v>16822</v>
      </c>
      <c r="BH14" s="577">
        <v>14647</v>
      </c>
      <c r="BI14" s="577">
        <v>14491</v>
      </c>
      <c r="BJ14" s="577">
        <v>4083</v>
      </c>
      <c r="BK14" s="67">
        <f t="shared" ref="BK14:BK19" si="9">+BJ14</f>
      </c>
      <c r="BL14" s="577">
        <v>5175</v>
      </c>
      <c r="BM14" s="577">
        <v>5571</v>
      </c>
      <c r="BN14" s="577">
        <v>6640</v>
      </c>
      <c r="BO14" s="577">
        <v>7770</v>
      </c>
      <c r="BP14" s="67">
        <f t="shared" ref="BP14:BP19" si="10">+BO14</f>
      </c>
      <c r="BQ14" s="577">
        <v>10539</v>
      </c>
      <c r="BR14" s="577">
        <v>12646</v>
      </c>
      <c r="BS14" s="577">
        <v>14018</v>
      </c>
      <c r="BT14" s="577">
        <v>10768</v>
      </c>
      <c r="BU14" s="67">
        <f t="shared" ref="BU14:BU19" si="11">+BT14</f>
      </c>
      <c r="BV14" s="577">
        <v>12589</v>
      </c>
      <c r="BW14" s="577">
        <v>11686</v>
      </c>
      <c r="BX14" s="577">
        <v>11856</v>
      </c>
      <c r="BY14" s="577">
        <v>15810</v>
      </c>
      <c r="BZ14" s="67">
        <f t="shared" ref="BZ14:BZ19" si="12">+BY14</f>
      </c>
      <c r="CA14" s="577">
        <v>13743</v>
      </c>
      <c r="CB14" s="577">
        <v>12713</v>
      </c>
      <c r="CC14" s="577">
        <v>14338</v>
      </c>
      <c r="CD14" s="577">
        <v>19355</v>
      </c>
      <c r="CE14" s="67">
        <f t="shared" ref="CE14:CE19" si="13">+CD14</f>
      </c>
      <c r="CF14" s="577">
        <v>22356</v>
      </c>
      <c r="CG14" s="577">
        <v>14974</v>
      </c>
      <c r="CH14" s="577">
        <v>15617</v>
      </c>
      <c r="CI14" s="577">
        <v>24542</v>
      </c>
      <c r="CJ14" s="67">
        <f t="shared" ref="CJ14:CJ19" si="14">CI14</f>
      </c>
      <c r="CK14" s="577">
        <v>30267</v>
      </c>
      <c r="CL14" s="577">
        <v>14042</v>
      </c>
      <c r="CM14" s="577">
        <v>15486</v>
      </c>
      <c r="CN14" s="577">
        <v>14911</v>
      </c>
      <c r="CO14" s="67">
        <f t="shared" ref="CO14:CO19" si="15">CN14</f>
      </c>
      <c r="CP14" s="577">
        <v>14855</v>
      </c>
      <c r="CQ14" s="577">
        <v>17307</v>
      </c>
      <c r="CR14" s="577">
        <v>17204</v>
      </c>
      <c r="CS14" s="577">
        <v>20927</v>
      </c>
      <c r="CT14" s="67">
        <f t="shared" ref="CT14:CT19" si="16">CS14</f>
      </c>
      <c r="CU14" s="577">
        <v>19722</v>
      </c>
      <c r="CV14" s="577">
        <v>14236</v>
      </c>
      <c r="CW14" s="577">
        <v>13818</v>
      </c>
      <c r="CX14" s="577">
        <v>14523</v>
      </c>
      <c r="CY14" s="67">
        <f t="shared" ref="CY14:CY19" si="17">CX14</f>
      </c>
      <c r="CZ14" s="577">
        <v>11988</v>
      </c>
      <c r="DA14" s="577">
        <v>10639</v>
      </c>
      <c r="DB14" s="577">
        <v>13639</v>
      </c>
      <c r="DC14" s="577">
        <v>13732</v>
      </c>
      <c r="DD14" s="67">
        <f t="shared" ref="DD14:DD19" si="18">DC14</f>
      </c>
      <c r="DE14" s="577">
        <v>13861</v>
      </c>
      <c r="DF14" s="577">
        <v>18640</v>
      </c>
      <c r="DG14" s="577">
        <v>18205</v>
      </c>
      <c r="DH14" s="577">
        <v>18972</v>
      </c>
      <c r="DI14" s="1111">
        <f t="shared" ref="DI14:DI19" si="19">DH14</f>
      </c>
      <c r="DJ14" s="577">
        <v>20909</v>
      </c>
      <c r="DK14" s="577">
        <v>12598</v>
      </c>
      <c r="DL14" s="577">
        <v>15721</v>
      </c>
      <c r="DM14" s="577">
        <v>17824</v>
      </c>
      <c r="DN14" s="1111">
        <f t="shared" ref="DN14:DN19" si="20">DM14</f>
      </c>
      <c r="DO14" s="577">
        <v>14639</v>
      </c>
      <c r="DP14" s="577">
        <v>17569</v>
      </c>
      <c r="DQ14" s="577">
        <v>16056</v>
      </c>
      <c r="DR14" s="577">
        <v>18107</v>
      </c>
      <c r="DS14" s="1111">
        <f t="shared" ref="DS14:DS19" si="21">DR14</f>
      </c>
      <c r="DT14" s="577">
        <v>14734</v>
      </c>
      <c r="DU14" s="577">
        <v>14376</v>
      </c>
      <c r="DV14" s="577">
        <v>16249</v>
      </c>
      <c r="DW14" s="577">
        <v>17305</v>
      </c>
      <c r="DX14" s="2089">
        <f>'Cash Flows'!DZ54</f>
      </c>
      <c r="DY14" s="2094">
        <v>15530</v>
      </c>
      <c r="DZ14" s="577">
        <v>11174</v>
      </c>
      <c r="EA14" s="577">
        <v>18965</v>
      </c>
      <c r="EB14" s="577">
        <v>13985</v>
      </c>
      <c r="EC14" s="2709">
        <f>'Cash Flows'!EE54</f>
      </c>
      <c r="ED14" s="2094">
        <v>12671</v>
      </c>
      <c r="EE14" s="577">
        <v>14332</v>
      </c>
      <c r="EF14" s="577">
        <v>17604</v>
      </c>
      <c r="EG14" s="685">
        <v>14487</v>
      </c>
      <c r="EH14" s="1753">
        <f>'Cash Flows'!EJ54</f>
      </c>
      <c r="EI14" s="2094">
        <v>10463</v>
      </c>
      <c r="EJ14" s="577">
        <v>10983</v>
      </c>
      <c r="EK14" s="577">
        <v>11355</v>
      </c>
      <c r="EL14" s="685">
        <v>14127</v>
      </c>
      <c r="EM14" s="1291">
        <f>'Cash Flows'!EO54</f>
      </c>
      <c r="EN14" s="2094">
        <f>19170+7695</f>
      </c>
      <c r="EO14" s="577">
        <v>21183</v>
      </c>
      <c r="EP14" s="577">
        <v>19728</v>
      </c>
      <c r="EQ14" s="685">
        <v>21859</v>
      </c>
      <c r="ER14" s="1291">
        <f>+EQ14</f>
      </c>
      <c r="ES14" s="577">
        <v>25473</v>
      </c>
      <c r="ET14" s="577">
        <v>24878</v>
      </c>
      <c r="EU14" s="577">
        <v>19980</v>
      </c>
      <c r="EV14" s="685">
        <v>24105</v>
      </c>
      <c r="EW14" s="1291">
        <f>+EV14</f>
      </c>
      <c r="EX14" s="577">
        <v>38474</v>
      </c>
      <c r="EY14" s="577">
        <v>18577</v>
      </c>
      <c r="EZ14" s="948">
        <f>'Cash Flows'!FB54</f>
      </c>
      <c r="FA14" s="1251">
        <f>'Cash Flows'!FC54</f>
      </c>
      <c r="FB14" s="1291">
        <f>'Cash Flows'!FD54</f>
      </c>
      <c r="FC14" s="1291">
        <f ca="1">'Cash Flows'!FE54</f>
      </c>
      <c r="FD14" s="1291">
        <f ca="1">'Cash Flows'!FF54</f>
      </c>
      <c r="FE14" s="1291">
        <f ca="1">'Cash Flows'!FG54</f>
      </c>
      <c r="FF14" s="1291">
        <f ca="1">'Cash Flows'!FH54</f>
      </c>
      <c r="FG14" s="1291">
        <f ca="1">'Cash Flows'!FI54</f>
      </c>
      <c r="FH14" s="2579"/>
      <c r="FI14" s="948"/>
    </row>
    <row r="15" spans="1:165">
      <c r="A15" s="3346" t="s">
        <v>815</v>
      </c>
      <c r="B15" s="65" t="s">
        <v>327</v>
      </c>
      <c r="C15" s="577">
        <v>105</v>
      </c>
      <c r="D15" s="577">
        <v>203</v>
      </c>
      <c r="E15" s="577">
        <v>133</v>
      </c>
      <c r="F15" s="577">
        <v>104</v>
      </c>
      <c r="G15" s="577">
        <v>68</v>
      </c>
      <c r="H15" s="577">
        <v>163</v>
      </c>
      <c r="I15" s="577">
        <v>139</v>
      </c>
      <c r="J15" s="577">
        <v>98</v>
      </c>
      <c r="K15" s="577">
        <v>135</v>
      </c>
      <c r="L15" s="577">
        <v>125</v>
      </c>
      <c r="M15" s="67">
        <f t="shared" si="0"/>
      </c>
      <c r="N15" s="577">
        <v>114</v>
      </c>
      <c r="O15" s="577">
        <v>126</v>
      </c>
      <c r="P15" s="577">
        <v>122</v>
      </c>
      <c r="Q15" s="577">
        <v>146</v>
      </c>
      <c r="R15" s="67">
        <f t="shared" si="1"/>
      </c>
      <c r="S15" s="577">
        <v>128</v>
      </c>
      <c r="T15" s="577">
        <v>116</v>
      </c>
      <c r="U15" s="577">
        <v>84</v>
      </c>
      <c r="V15" s="10">
        <f t="shared" ref="V15:W19" si="22">+U15</f>
      </c>
      <c r="W15" s="67">
        <f t="shared" si="22"/>
      </c>
      <c r="X15" s="577">
        <v>805</v>
      </c>
      <c r="Y15" s="577">
        <v>811</v>
      </c>
      <c r="Z15" s="577">
        <v>976</v>
      </c>
      <c r="AA15" s="577">
        <v>1584</v>
      </c>
      <c r="AB15" s="67">
        <f t="shared" si="2"/>
      </c>
      <c r="AC15" s="577">
        <v>2479</v>
      </c>
      <c r="AD15" s="577">
        <v>1562</v>
      </c>
      <c r="AE15" s="577">
        <v>2479</v>
      </c>
      <c r="AF15" s="577">
        <v>2479</v>
      </c>
      <c r="AG15" s="67">
        <f t="shared" si="3"/>
      </c>
      <c r="AH15" s="577">
        <v>2372</v>
      </c>
      <c r="AI15" s="577">
        <v>2797</v>
      </c>
      <c r="AJ15" s="577">
        <v>3148</v>
      </c>
      <c r="AK15" s="577">
        <v>4214</v>
      </c>
      <c r="AL15" s="67">
        <f t="shared" si="4"/>
      </c>
      <c r="AM15" s="577">
        <v>3976</v>
      </c>
      <c r="AN15" s="577">
        <v>4251</v>
      </c>
      <c r="AO15" s="577">
        <v>4084</v>
      </c>
      <c r="AP15" s="577">
        <v>4581</v>
      </c>
      <c r="AQ15" s="67">
        <f t="shared" si="5"/>
      </c>
      <c r="AR15" s="577">
        <v>4786</v>
      </c>
      <c r="AS15" s="577">
        <v>4894</v>
      </c>
      <c r="AT15" s="577">
        <v>4998</v>
      </c>
      <c r="AU15" s="577">
        <v>4146</v>
      </c>
      <c r="AV15" s="67">
        <f t="shared" si="6"/>
      </c>
      <c r="AW15" s="577">
        <v>4724</v>
      </c>
      <c r="AX15" s="577">
        <v>5105</v>
      </c>
      <c r="AY15" s="577">
        <v>5746</v>
      </c>
      <c r="AZ15" s="577">
        <v>3681</v>
      </c>
      <c r="BA15" s="67">
        <f t="shared" si="7"/>
      </c>
      <c r="BB15" s="577">
        <v>5111</v>
      </c>
      <c r="BC15" s="577">
        <v>1005</v>
      </c>
      <c r="BD15" s="577">
        <v>354</v>
      </c>
      <c r="BE15" s="577">
        <v>83</v>
      </c>
      <c r="BF15" s="67">
        <f t="shared" si="8"/>
      </c>
      <c r="BG15" s="577">
        <v>363</v>
      </c>
      <c r="BH15" s="577">
        <v>78</v>
      </c>
      <c r="BI15" s="577">
        <v>201</v>
      </c>
      <c r="BJ15" s="577">
        <v>1</v>
      </c>
      <c r="BK15" s="67">
        <f t="shared" si="9"/>
      </c>
      <c r="BL15" s="577">
        <v>16</v>
      </c>
      <c r="BM15" s="577">
        <v>400</v>
      </c>
      <c r="BN15" s="577">
        <v>1680</v>
      </c>
      <c r="BO15" s="577">
        <v>1545</v>
      </c>
      <c r="BP15" s="67">
        <f t="shared" si="10"/>
      </c>
      <c r="BQ15" s="577">
        <v>605</v>
      </c>
      <c r="BR15" s="577">
        <v>412</v>
      </c>
      <c r="BS15" s="577">
        <v>781</v>
      </c>
      <c r="BT15" s="577">
        <v>2041</v>
      </c>
      <c r="BU15" s="67">
        <f t="shared" si="11"/>
      </c>
      <c r="BV15" s="577">
        <v>1344</v>
      </c>
      <c r="BW15" s="577">
        <v>3030</v>
      </c>
      <c r="BX15" s="577">
        <v>2481</v>
      </c>
      <c r="BY15" s="577">
        <v>3615</v>
      </c>
      <c r="BZ15" s="67">
        <f t="shared" si="12"/>
      </c>
      <c r="CA15" s="577">
        <v>4267</v>
      </c>
      <c r="CB15" s="577">
        <v>6188</v>
      </c>
      <c r="CC15" s="577">
        <v>7788</v>
      </c>
      <c r="CD15" s="577">
        <v>8303</v>
      </c>
      <c r="CE15" s="67">
        <f t="shared" si="13"/>
      </c>
      <c r="CF15" s="577">
        <v>4511</v>
      </c>
      <c r="CG15" s="577">
        <v>14708</v>
      </c>
      <c r="CH15" s="577">
        <v>15310</v>
      </c>
      <c r="CI15" s="577">
        <v>7719</v>
      </c>
      <c r="CJ15" s="67">
        <f t="shared" si="14"/>
      </c>
      <c r="CK15" s="577">
        <v>3580</v>
      </c>
      <c r="CL15" s="577">
        <v>2873</v>
      </c>
      <c r="CM15" s="577">
        <v>4285</v>
      </c>
      <c r="CN15" s="577">
        <v>6178</v>
      </c>
      <c r="CO15" s="67">
        <f t="shared" si="15"/>
      </c>
      <c r="CP15" s="577">
        <v>6813</v>
      </c>
      <c r="CQ15" s="577">
        <v>7822</v>
      </c>
      <c r="CR15" s="577">
        <v>8024</v>
      </c>
      <c r="CS15" s="577">
        <v>8279</v>
      </c>
      <c r="CT15" s="67">
        <f t="shared" si="16"/>
      </c>
      <c r="CU15" s="577">
        <v>9670</v>
      </c>
      <c r="CV15" s="577">
        <v>17388</v>
      </c>
      <c r="CW15" s="577">
        <v>19187</v>
      </c>
      <c r="CX15" s="577">
        <v>18566</v>
      </c>
      <c r="CY15" s="67">
        <f t="shared" si="17"/>
      </c>
      <c r="CZ15" s="577">
        <v>19331</v>
      </c>
      <c r="DA15" s="577">
        <v>23315</v>
      </c>
      <c r="DB15" s="577">
        <v>23667</v>
      </c>
      <c r="DC15" s="577">
        <v>24644</v>
      </c>
      <c r="DD15" s="67">
        <f t="shared" si="18"/>
      </c>
      <c r="DE15" s="577">
        <v>25994</v>
      </c>
      <c r="DF15" s="577">
        <v>23944</v>
      </c>
      <c r="DG15" s="577">
        <v>22228</v>
      </c>
      <c r="DH15" s="577">
        <v>22935</v>
      </c>
      <c r="DI15" s="1111">
        <f t="shared" si="19"/>
      </c>
      <c r="DJ15" s="577">
        <v>18434</v>
      </c>
      <c r="DK15" s="577">
        <v>255</v>
      </c>
      <c r="DL15" s="577">
        <v>510</v>
      </c>
      <c r="DM15" s="577">
        <v>472</v>
      </c>
      <c r="DN15" s="1111">
        <f t="shared" si="20"/>
      </c>
      <c r="DO15" s="577">
        <v>565</v>
      </c>
      <c r="DP15" s="577">
        <v>570</v>
      </c>
      <c r="DQ15" s="577">
        <v>3308</v>
      </c>
      <c r="DR15" s="577">
        <v>1580</v>
      </c>
      <c r="DS15" s="1111">
        <f t="shared" si="21"/>
      </c>
      <c r="DT15" s="577">
        <v>602</v>
      </c>
      <c r="DU15" s="577">
        <v>902</v>
      </c>
      <c r="DV15" s="577">
        <v>1696</v>
      </c>
      <c r="DW15" s="577">
        <v>1982</v>
      </c>
      <c r="DX15" s="2089">
        <f>DW15</f>
      </c>
      <c r="DY15" s="2094">
        <v>2494</v>
      </c>
      <c r="DZ15" s="577">
        <v>7961</v>
      </c>
      <c r="EA15" s="577">
        <v>11816</v>
      </c>
      <c r="EB15" s="577">
        <v>11200</v>
      </c>
      <c r="EC15" s="1505">
        <f>EB15</f>
      </c>
      <c r="ED15" s="2094">
        <v>11948</v>
      </c>
      <c r="EE15" s="577">
        <v>10974</v>
      </c>
      <c r="EF15" s="577">
        <v>13397</v>
      </c>
      <c r="EG15" s="685">
        <v>17121</v>
      </c>
      <c r="EH15" s="1753">
        <f>EG15</f>
      </c>
      <c r="EI15" s="2094">
        <v>19925</v>
      </c>
      <c r="EJ15" s="577">
        <v>21585</v>
      </c>
      <c r="EK15" s="577">
        <v>22724</v>
      </c>
      <c r="EL15" s="685">
        <v>9392</v>
      </c>
      <c r="EM15" s="1291">
        <f>EL15</f>
      </c>
      <c r="EN15" s="2094">
        <v>5443</v>
      </c>
      <c r="EO15" s="577">
        <v>7322</v>
      </c>
      <c r="EP15" s="577">
        <v>3783</v>
      </c>
      <c r="EQ15" s="685">
        <v>1068</v>
      </c>
      <c r="ER15" s="1291">
        <f>EQ15</f>
      </c>
      <c r="ES15" s="577">
        <v>745</v>
      </c>
      <c r="ET15" s="577">
        <v>597</v>
      </c>
      <c r="EU15" s="577">
        <v>317</v>
      </c>
      <c r="EV15" s="685">
        <v>417</v>
      </c>
      <c r="EW15" s="1291">
        <f>EV15</f>
      </c>
      <c r="EX15" s="577">
        <v>307</v>
      </c>
      <c r="EY15" s="577">
        <v>303</v>
      </c>
      <c r="EZ15" s="948">
        <f t="shared" ref="EZ15:FA15" si="23">+EY15</f>
      </c>
      <c r="FA15" s="1251">
        <f t="shared" si="23"/>
      </c>
      <c r="FB15" s="1291">
        <f>FA15</f>
      </c>
      <c r="FC15" s="1291">
        <f>+FB15</f>
      </c>
      <c r="FD15" s="1291">
        <f>+FC15</f>
      </c>
      <c r="FE15" s="1291">
        <f>+FD15</f>
      </c>
      <c r="FF15" s="1291">
        <f>+FE15</f>
      </c>
      <c r="FG15" s="1291">
        <f>+FF15</f>
      </c>
      <c r="FH15" s="2579"/>
      <c r="FI15" s="948"/>
    </row>
    <row r="16" spans="1:165">
      <c r="A16" s="6"/>
      <c r="B16" s="65" t="s">
        <v>328</v>
      </c>
      <c r="C16" s="577">
        <v>1519</v>
      </c>
      <c r="D16" s="577">
        <v>1763</v>
      </c>
      <c r="E16" s="577">
        <v>1855</v>
      </c>
      <c r="F16" s="577">
        <v>2107</v>
      </c>
      <c r="G16" s="577">
        <v>2601</v>
      </c>
      <c r="H16" s="577">
        <v>2903</v>
      </c>
      <c r="I16" s="577">
        <v>3223</v>
      </c>
      <c r="J16" s="577">
        <v>3380</v>
      </c>
      <c r="K16" s="577">
        <v>3355</v>
      </c>
      <c r="L16" s="577">
        <v>3251</v>
      </c>
      <c r="M16" s="67">
        <f t="shared" si="0"/>
      </c>
      <c r="N16" s="577">
        <v>3499</v>
      </c>
      <c r="O16" s="577">
        <v>3651</v>
      </c>
      <c r="P16" s="577">
        <v>3628</v>
      </c>
      <c r="Q16" s="577">
        <v>3329</v>
      </c>
      <c r="R16" s="67">
        <f t="shared" si="1"/>
      </c>
      <c r="S16" s="577">
        <v>3500</v>
      </c>
      <c r="T16" s="577">
        <v>3514</v>
      </c>
      <c r="U16" s="577">
        <v>3724</v>
      </c>
      <c r="V16" s="10">
        <f t="shared" si="22"/>
      </c>
      <c r="W16" s="67">
        <f t="shared" si="22"/>
      </c>
      <c r="X16" s="577">
        <v>3935</v>
      </c>
      <c r="Y16" s="577">
        <v>4173</v>
      </c>
      <c r="Z16" s="577">
        <v>4187</v>
      </c>
      <c r="AA16" s="577">
        <v>4329</v>
      </c>
      <c r="AB16" s="67">
        <f t="shared" si="2"/>
      </c>
      <c r="AC16" s="577">
        <v>4601</v>
      </c>
      <c r="AD16" s="577">
        <v>4441</v>
      </c>
      <c r="AE16" s="577">
        <v>4601</v>
      </c>
      <c r="AF16" s="577">
        <v>4601</v>
      </c>
      <c r="AG16" s="67">
        <f t="shared" si="3"/>
      </c>
      <c r="AH16" s="577">
        <v>4755</v>
      </c>
      <c r="AI16" s="577">
        <v>4805</v>
      </c>
      <c r="AJ16" s="577">
        <v>4960</v>
      </c>
      <c r="AK16" s="577">
        <v>4630</v>
      </c>
      <c r="AL16" s="67">
        <f t="shared" si="4"/>
      </c>
      <c r="AM16" s="577">
        <v>4740</v>
      </c>
      <c r="AN16" s="577">
        <v>5408</v>
      </c>
      <c r="AO16" s="577">
        <v>5395</v>
      </c>
      <c r="AP16" s="577">
        <v>5399</v>
      </c>
      <c r="AQ16" s="67">
        <f t="shared" si="5"/>
      </c>
      <c r="AR16" s="577">
        <v>5836</v>
      </c>
      <c r="AS16" s="577">
        <v>6426</v>
      </c>
      <c r="AT16" s="577">
        <v>6399</v>
      </c>
      <c r="AU16" s="577">
        <v>6574</v>
      </c>
      <c r="AV16" s="67">
        <f t="shared" si="6"/>
      </c>
      <c r="AW16" s="577">
        <v>6772</v>
      </c>
      <c r="AX16" s="577">
        <v>7142</v>
      </c>
      <c r="AY16" s="577">
        <v>6939</v>
      </c>
      <c r="AZ16" s="577">
        <v>6831</v>
      </c>
      <c r="BA16" s="67">
        <f t="shared" si="7"/>
      </c>
      <c r="BB16" s="577">
        <v>7336</v>
      </c>
      <c r="BC16" s="577">
        <v>7379</v>
      </c>
      <c r="BD16" s="577">
        <v>7154</v>
      </c>
      <c r="BE16" s="577">
        <v>7010</v>
      </c>
      <c r="BF16" s="67">
        <f t="shared" si="8"/>
      </c>
      <c r="BG16" s="577">
        <v>7671</v>
      </c>
      <c r="BH16" s="577">
        <v>8162</v>
      </c>
      <c r="BI16" s="577">
        <v>7978</v>
      </c>
      <c r="BJ16" s="577">
        <v>8712</v>
      </c>
      <c r="BK16" s="67">
        <f t="shared" si="9"/>
      </c>
      <c r="BL16" s="577">
        <v>9293</v>
      </c>
      <c r="BM16" s="577">
        <v>9470</v>
      </c>
      <c r="BN16" s="577">
        <v>9384</v>
      </c>
      <c r="BO16" s="577">
        <v>9444</v>
      </c>
      <c r="BP16" s="67">
        <f t="shared" si="10"/>
      </c>
      <c r="BQ16" s="577">
        <v>10384</v>
      </c>
      <c r="BR16" s="577">
        <v>10539</v>
      </c>
      <c r="BS16" s="577">
        <v>10156</v>
      </c>
      <c r="BT16" s="577">
        <v>9719</v>
      </c>
      <c r="BU16" s="67">
        <f t="shared" si="11"/>
      </c>
      <c r="BV16" s="577">
        <v>9831</v>
      </c>
      <c r="BW16" s="577">
        <v>10133</v>
      </c>
      <c r="BX16" s="577">
        <v>10279</v>
      </c>
      <c r="BY16" s="577">
        <v>9646</v>
      </c>
      <c r="BZ16" s="67">
        <f t="shared" si="12"/>
      </c>
      <c r="CA16" s="577">
        <v>10018</v>
      </c>
      <c r="CB16" s="577">
        <v>9629</v>
      </c>
      <c r="CC16" s="577">
        <v>10290</v>
      </c>
      <c r="CD16" s="577">
        <v>9774</v>
      </c>
      <c r="CE16" s="67">
        <f t="shared" si="13"/>
      </c>
      <c r="CF16" s="577">
        <v>10861</v>
      </c>
      <c r="CG16" s="577">
        <v>10982</v>
      </c>
      <c r="CH16" s="577">
        <v>10552</v>
      </c>
      <c r="CI16" s="577">
        <v>10581</v>
      </c>
      <c r="CJ16" s="67">
        <f t="shared" si="14"/>
      </c>
      <c r="CK16" s="577">
        <v>10982</v>
      </c>
      <c r="CL16" s="577">
        <v>10992</v>
      </c>
      <c r="CM16" s="577">
        <v>11175</v>
      </c>
      <c r="CN16" s="577">
        <v>11309</v>
      </c>
      <c r="CO16" s="67">
        <f t="shared" si="15"/>
      </c>
      <c r="CP16" s="577">
        <v>11515</v>
      </c>
      <c r="CQ16" s="577">
        <v>11614</v>
      </c>
      <c r="CR16" s="577">
        <v>12027</v>
      </c>
      <c r="CS16" s="577">
        <v>11713</v>
      </c>
      <c r="CT16" s="67">
        <f t="shared" si="16"/>
      </c>
      <c r="CU16" s="577">
        <v>12116</v>
      </c>
      <c r="CV16" s="577">
        <v>12257</v>
      </c>
      <c r="CW16" s="577">
        <v>11615</v>
      </c>
      <c r="CX16" s="577">
        <v>10985</v>
      </c>
      <c r="CY16" s="67">
        <f t="shared" si="17"/>
      </c>
      <c r="CZ16" s="577">
        <v>11533</v>
      </c>
      <c r="DA16" s="577">
        <v>11968</v>
      </c>
      <c r="DB16" s="577">
        <v>11366</v>
      </c>
      <c r="DC16" s="577">
        <v>10734</v>
      </c>
      <c r="DD16" s="67">
        <f t="shared" si="18"/>
      </c>
      <c r="DE16" s="577">
        <v>11406</v>
      </c>
      <c r="DF16" s="577">
        <v>12062</v>
      </c>
      <c r="DG16" s="577">
        <v>11798</v>
      </c>
      <c r="DH16" s="577">
        <v>11699</v>
      </c>
      <c r="DI16" s="1111">
        <f t="shared" si="19"/>
      </c>
      <c r="DJ16" s="577">
        <v>12300</v>
      </c>
      <c r="DK16" s="577">
        <v>13283</v>
      </c>
      <c r="DL16" s="577">
        <v>13155</v>
      </c>
      <c r="DM16" s="577">
        <v>13490</v>
      </c>
      <c r="DN16" s="1111">
        <f t="shared" si="20"/>
      </c>
      <c r="DO16" s="577">
        <v>14166</v>
      </c>
      <c r="DP16" s="577">
        <v>14111</v>
      </c>
      <c r="DQ16" s="577">
        <v>14048</v>
      </c>
      <c r="DR16" s="577">
        <v>14098</v>
      </c>
      <c r="DS16" s="1111">
        <f t="shared" si="21"/>
      </c>
      <c r="DT16" s="577">
        <v>14115</v>
      </c>
      <c r="DU16" s="577">
        <v>14653</v>
      </c>
      <c r="DV16" s="577">
        <v>14801</v>
      </c>
      <c r="DW16" s="577">
        <v>14481</v>
      </c>
      <c r="DX16" s="2089">
        <f>DW16</f>
      </c>
      <c r="DY16" s="2094">
        <v>14874</v>
      </c>
      <c r="DZ16" s="577">
        <v>14645</v>
      </c>
      <c r="EA16" s="577">
        <v>14579</v>
      </c>
      <c r="EB16" s="577">
        <v>13576</v>
      </c>
      <c r="EC16" s="1505">
        <f>EB16</f>
      </c>
      <c r="ED16" s="2094">
        <v>14938</v>
      </c>
      <c r="EE16" s="577">
        <v>14871</v>
      </c>
      <c r="EF16" s="577">
        <v>14911</v>
      </c>
      <c r="EG16" s="685">
        <v>15283</v>
      </c>
      <c r="EH16" s="1753">
        <f>EG16</f>
      </c>
      <c r="EI16" s="2094">
        <v>15594</v>
      </c>
      <c r="EJ16" s="577">
        <v>16139</v>
      </c>
      <c r="EK16" s="577">
        <v>15890</v>
      </c>
      <c r="EL16" s="685">
        <v>16160</v>
      </c>
      <c r="EM16" s="1291">
        <f>EL16</f>
      </c>
      <c r="EN16" s="2094">
        <v>16350</v>
      </c>
      <c r="EO16" s="577">
        <v>16777</v>
      </c>
      <c r="EP16" s="577">
        <v>14798</v>
      </c>
      <c r="EQ16" s="685">
        <v>14873</v>
      </c>
      <c r="ER16" s="1291">
        <f>EQ16</f>
      </c>
      <c r="ES16" s="577">
        <v>14946</v>
      </c>
      <c r="ET16" s="577">
        <v>15794</v>
      </c>
      <c r="EU16" s="577">
        <v>16174</v>
      </c>
      <c r="EV16" s="685">
        <v>14842</v>
      </c>
      <c r="EW16" s="1291">
        <f>EV16</f>
      </c>
      <c r="EX16" s="577">
        <v>16020</v>
      </c>
      <c r="EY16" s="577">
        <v>17846</v>
      </c>
      <c r="EZ16" s="948">
        <f>+EZ59*EZ84/365</f>
      </c>
      <c r="FA16" s="1251">
        <f>+FA59*FA84/365</f>
      </c>
      <c r="FB16" s="1291">
        <f>FA16</f>
      </c>
      <c r="FC16" s="1291">
        <f t="shared" ref="FC16:FG16" si="24">+FC59*FC84/365</f>
      </c>
      <c r="FD16" s="1291">
        <f t="shared" si="24"/>
      </c>
      <c r="FE16" s="1291">
        <f t="shared" si="24"/>
      </c>
      <c r="FF16" s="1291">
        <f t="shared" si="24"/>
      </c>
      <c r="FG16" s="1291">
        <f t="shared" si="24"/>
      </c>
      <c r="FH16" s="2579"/>
      <c r="FI16" s="948"/>
    </row>
    <row r="17" spans="1:165">
      <c r="A17" s="6"/>
      <c r="B17" s="65" t="s">
        <v>329</v>
      </c>
      <c r="C17" s="577">
        <v>1543</v>
      </c>
      <c r="D17" s="577">
        <v>1702</v>
      </c>
      <c r="E17" s="577">
        <v>1742</v>
      </c>
      <c r="F17" s="577">
        <v>1717</v>
      </c>
      <c r="G17" s="577">
        <v>2161</v>
      </c>
      <c r="H17" s="577">
        <v>2276</v>
      </c>
      <c r="I17" s="577">
        <v>2433</v>
      </c>
      <c r="J17" s="577">
        <v>2506</v>
      </c>
      <c r="K17" s="577">
        <v>2631</v>
      </c>
      <c r="L17" s="577">
        <v>2498</v>
      </c>
      <c r="M17" s="67">
        <f t="shared" si="0"/>
      </c>
      <c r="N17" s="577">
        <v>2547</v>
      </c>
      <c r="O17" s="577">
        <v>2630</v>
      </c>
      <c r="P17" s="577">
        <v>2633</v>
      </c>
      <c r="Q17" s="577">
        <v>2516</v>
      </c>
      <c r="R17" s="67">
        <f t="shared" si="1"/>
      </c>
      <c r="S17" s="577">
        <v>2710</v>
      </c>
      <c r="T17" s="577">
        <v>2703</v>
      </c>
      <c r="U17" s="577">
        <v>2897</v>
      </c>
      <c r="V17" s="10">
        <f t="shared" si="22"/>
      </c>
      <c r="W17" s="67">
        <f t="shared" si="22"/>
      </c>
      <c r="X17" s="577">
        <v>2963</v>
      </c>
      <c r="Y17" s="577">
        <v>2968</v>
      </c>
      <c r="Z17" s="577">
        <v>3091</v>
      </c>
      <c r="AA17" s="577">
        <v>3164</v>
      </c>
      <c r="AB17" s="67">
        <f t="shared" si="2"/>
      </c>
      <c r="AC17" s="577">
        <v>2905</v>
      </c>
      <c r="AD17" s="577">
        <v>3060</v>
      </c>
      <c r="AE17" s="577">
        <v>2905</v>
      </c>
      <c r="AF17" s="577">
        <v>2905</v>
      </c>
      <c r="AG17" s="67">
        <f t="shared" si="3"/>
      </c>
      <c r="AH17" s="577">
        <v>2878</v>
      </c>
      <c r="AI17" s="577">
        <v>2913</v>
      </c>
      <c r="AJ17" s="577">
        <v>3007</v>
      </c>
      <c r="AK17" s="577">
        <v>2992</v>
      </c>
      <c r="AL17" s="67">
        <f t="shared" si="4"/>
      </c>
      <c r="AM17" s="577">
        <v>3103</v>
      </c>
      <c r="AN17" s="577">
        <v>3352</v>
      </c>
      <c r="AO17" s="577">
        <v>3255</v>
      </c>
      <c r="AP17" s="577">
        <v>3303</v>
      </c>
      <c r="AQ17" s="67">
        <f t="shared" si="5"/>
      </c>
      <c r="AR17" s="577">
        <v>3541</v>
      </c>
      <c r="AS17" s="577">
        <v>3680</v>
      </c>
      <c r="AT17" s="577">
        <v>3739</v>
      </c>
      <c r="AU17" s="577">
        <v>3588</v>
      </c>
      <c r="AV17" s="67">
        <f t="shared" si="6"/>
      </c>
      <c r="AW17" s="577">
        <v>3522</v>
      </c>
      <c r="AX17" s="577">
        <v>3528</v>
      </c>
      <c r="AY17" s="577">
        <v>3669</v>
      </c>
      <c r="AZ17" s="577">
        <v>3744</v>
      </c>
      <c r="BA17" s="67">
        <f t="shared" si="7"/>
      </c>
      <c r="BB17" s="577">
        <v>3814</v>
      </c>
      <c r="BC17" s="577">
        <v>3963</v>
      </c>
      <c r="BD17" s="577">
        <v>4015</v>
      </c>
      <c r="BE17" s="577">
        <v>3959</v>
      </c>
      <c r="BF17" s="67">
        <f t="shared" si="8"/>
      </c>
      <c r="BG17" s="577">
        <v>4240</v>
      </c>
      <c r="BH17" s="577">
        <v>4313</v>
      </c>
      <c r="BI17" s="577">
        <v>4449</v>
      </c>
      <c r="BJ17" s="577">
        <v>4889</v>
      </c>
      <c r="BK17" s="67">
        <f t="shared" si="9"/>
      </c>
      <c r="BL17" s="577">
        <v>5047</v>
      </c>
      <c r="BM17" s="577">
        <v>5155</v>
      </c>
      <c r="BN17" s="577">
        <v>5414</v>
      </c>
      <c r="BO17" s="577">
        <v>5110</v>
      </c>
      <c r="BP17" s="67">
        <f t="shared" si="10"/>
      </c>
      <c r="BQ17" s="577">
        <v>5575</v>
      </c>
      <c r="BR17" s="577">
        <v>5700</v>
      </c>
      <c r="BS17" s="577">
        <v>5473</v>
      </c>
      <c r="BT17" s="577">
        <v>5052</v>
      </c>
      <c r="BU17" s="67">
        <f t="shared" si="11"/>
      </c>
      <c r="BV17" s="577">
        <v>5359</v>
      </c>
      <c r="BW17" s="577">
        <v>5472</v>
      </c>
      <c r="BX17" s="577">
        <v>5568</v>
      </c>
      <c r="BY17" s="577">
        <v>5180</v>
      </c>
      <c r="BZ17" s="67">
        <f t="shared" si="12"/>
      </c>
      <c r="CA17" s="577">
        <v>5308</v>
      </c>
      <c r="CB17" s="577">
        <v>5071</v>
      </c>
      <c r="CC17" s="577">
        <v>5409</v>
      </c>
      <c r="CD17" s="577">
        <v>5378</v>
      </c>
      <c r="CE17" s="67">
        <f t="shared" si="13"/>
      </c>
      <c r="CF17" s="577">
        <v>6200</v>
      </c>
      <c r="CG17" s="577">
        <v>6413</v>
      </c>
      <c r="CH17" s="577">
        <v>6428</v>
      </c>
      <c r="CI17" s="577">
        <v>6285</v>
      </c>
      <c r="CJ17" s="67">
        <f t="shared" si="14"/>
      </c>
      <c r="CK17" s="577">
        <v>6800</v>
      </c>
      <c r="CL17" s="577">
        <v>7697</v>
      </c>
      <c r="CM17" s="577">
        <v>7809</v>
      </c>
      <c r="CN17" s="577">
        <v>7495</v>
      </c>
      <c r="CO17" s="67">
        <f t="shared" si="15"/>
      </c>
      <c r="CP17" s="577">
        <v>7691</v>
      </c>
      <c r="CQ17" s="577">
        <v>7822</v>
      </c>
      <c r="CR17" s="577">
        <v>8124</v>
      </c>
      <c r="CS17" s="577">
        <v>7878</v>
      </c>
      <c r="CT17" s="67">
        <f t="shared" si="16"/>
      </c>
      <c r="CU17" s="577">
        <v>8009</v>
      </c>
      <c r="CV17" s="577">
        <v>8155</v>
      </c>
      <c r="CW17" s="577">
        <v>8419</v>
      </c>
      <c r="CX17" s="577">
        <v>8184</v>
      </c>
      <c r="CY17" s="67">
        <f t="shared" si="17"/>
      </c>
      <c r="CZ17" s="577">
        <v>8085</v>
      </c>
      <c r="DA17" s="577">
        <v>8298</v>
      </c>
      <c r="DB17" s="577">
        <v>8206</v>
      </c>
      <c r="DC17" s="577">
        <v>8053</v>
      </c>
      <c r="DD17" s="67">
        <f t="shared" si="18"/>
      </c>
      <c r="DE17" s="577">
        <v>8170</v>
      </c>
      <c r="DF17" s="577">
        <v>8523</v>
      </c>
      <c r="DG17" s="577">
        <v>8488</v>
      </c>
      <c r="DH17" s="577">
        <v>8144</v>
      </c>
      <c r="DI17" s="1111">
        <f t="shared" si="19"/>
      </c>
      <c r="DJ17" s="577">
        <v>8878</v>
      </c>
      <c r="DK17" s="577">
        <v>9699</v>
      </c>
      <c r="DL17" s="577">
        <v>9521</v>
      </c>
      <c r="DM17" s="577">
        <v>8765</v>
      </c>
      <c r="DN17" s="1111">
        <f t="shared" si="20"/>
      </c>
      <c r="DO17" s="577">
        <v>9014</v>
      </c>
      <c r="DP17" s="577">
        <v>8810</v>
      </c>
      <c r="DQ17" s="577">
        <v>8678</v>
      </c>
      <c r="DR17" s="577">
        <v>8599</v>
      </c>
      <c r="DS17" s="1111">
        <f t="shared" si="21"/>
      </c>
      <c r="DT17" s="577">
        <v>9086</v>
      </c>
      <c r="DU17" s="577">
        <v>9263</v>
      </c>
      <c r="DV17" s="577">
        <v>9173</v>
      </c>
      <c r="DW17" s="577">
        <v>9020</v>
      </c>
      <c r="DX17" s="2089">
        <f>DW17</f>
      </c>
      <c r="DY17" s="2094">
        <v>8868</v>
      </c>
      <c r="DZ17" s="577">
        <v>9424</v>
      </c>
      <c r="EA17" s="577">
        <v>9599</v>
      </c>
      <c r="EB17" s="577">
        <v>9344</v>
      </c>
      <c r="EC17" s="1505">
        <f>EB17</f>
      </c>
      <c r="ED17" s="2094">
        <v>9952</v>
      </c>
      <c r="EE17" s="577">
        <v>10100</v>
      </c>
      <c r="EF17" s="577">
        <v>10387</v>
      </c>
      <c r="EG17" s="685">
        <v>10387</v>
      </c>
      <c r="EH17" s="1753">
        <f>EG17</f>
      </c>
      <c r="EI17" s="2094">
        <v>10990</v>
      </c>
      <c r="EJ17" s="577">
        <v>11437</v>
      </c>
      <c r="EK17" s="577">
        <v>11675</v>
      </c>
      <c r="EL17" s="685">
        <v>12483</v>
      </c>
      <c r="EM17" s="1291">
        <f>EL17</f>
      </c>
      <c r="EN17" s="2094">
        <v>12809</v>
      </c>
      <c r="EO17" s="577">
        <v>12888</v>
      </c>
      <c r="EP17" s="577">
        <v>11198</v>
      </c>
      <c r="EQ17" s="685">
        <v>11181</v>
      </c>
      <c r="ER17" s="1291">
        <f>EQ17</f>
      </c>
      <c r="ES17" s="577">
        <v>11383</v>
      </c>
      <c r="ET17" s="577">
        <v>12169</v>
      </c>
      <c r="EU17" s="577">
        <v>12603</v>
      </c>
      <c r="EV17" s="685">
        <v>12444</v>
      </c>
      <c r="EW17" s="1291">
        <f>EV17</f>
      </c>
      <c r="EX17" s="577">
        <v>12659</v>
      </c>
      <c r="EY17" s="577">
        <v>13412</v>
      </c>
      <c r="EZ17" s="948">
        <f>+EZ60*EZ86/365</f>
      </c>
      <c r="FA17" s="1251">
        <f>+FA60*FA86/365</f>
      </c>
      <c r="FB17" s="1291">
        <f>FA17</f>
      </c>
      <c r="FC17" s="1291">
        <f t="shared" ref="FC17:FG17" si="25">+FC60*FC86/365</f>
      </c>
      <c r="FD17" s="1291">
        <f t="shared" si="25"/>
      </c>
      <c r="FE17" s="1291">
        <f t="shared" si="25"/>
      </c>
      <c r="FF17" s="1291">
        <f t="shared" si="25"/>
      </c>
      <c r="FG17" s="1291">
        <f t="shared" si="25"/>
      </c>
      <c r="FH17" s="2579"/>
      <c r="FI17" s="948"/>
    </row>
    <row r="18" spans="1:165" outlineLevel="1">
      <c r="A18" s="6"/>
      <c r="B18" s="65" t="s">
        <v>208</v>
      </c>
      <c r="C18" s="577">
        <v>232</v>
      </c>
      <c r="D18" s="577">
        <v>238</v>
      </c>
      <c r="E18" s="577">
        <v>327</v>
      </c>
      <c r="F18" s="577">
        <v>399</v>
      </c>
      <c r="G18" s="577">
        <v>582</v>
      </c>
      <c r="H18" s="577">
        <v>717</v>
      </c>
      <c r="I18" s="577">
        <v>701</v>
      </c>
      <c r="J18" s="577">
        <v>668</v>
      </c>
      <c r="K18" s="577">
        <v>714</v>
      </c>
      <c r="L18" s="577">
        <v>711</v>
      </c>
      <c r="M18" s="67">
        <f t="shared" si="0"/>
      </c>
      <c r="N18" s="577">
        <v>730</v>
      </c>
      <c r="O18" s="577">
        <v>769</v>
      </c>
      <c r="P18" s="577">
        <v>784</v>
      </c>
      <c r="Q18" s="577">
        <v>831</v>
      </c>
      <c r="R18" s="67">
        <f t="shared" si="1"/>
      </c>
      <c r="S18" s="577">
        <v>828</v>
      </c>
      <c r="T18" s="577">
        <v>823</v>
      </c>
      <c r="U18" s="577">
        <v>852</v>
      </c>
      <c r="V18" s="10">
        <f t="shared" si="22"/>
      </c>
      <c r="W18" s="67">
        <f t="shared" si="22"/>
      </c>
      <c r="X18" s="577">
        <v>1111</v>
      </c>
      <c r="Y18" s="577">
        <v>1098</v>
      </c>
      <c r="Z18" s="577">
        <v>1065</v>
      </c>
      <c r="AA18" s="577">
        <v>1122</v>
      </c>
      <c r="AB18" s="67">
        <f t="shared" si="2"/>
      </c>
      <c r="AC18" s="577">
        <v>1174</v>
      </c>
      <c r="AD18" s="577">
        <v>1054</v>
      </c>
      <c r="AE18" s="577">
        <v>1174</v>
      </c>
      <c r="AF18" s="577">
        <v>1174</v>
      </c>
      <c r="AG18" s="67">
        <f t="shared" si="3"/>
      </c>
      <c r="AH18" s="577">
        <v>1110</v>
      </c>
      <c r="AI18" s="577">
        <v>1110</v>
      </c>
      <c r="AJ18" s="577">
        <v>1182</v>
      </c>
      <c r="AK18" s="577">
        <v>1192</v>
      </c>
      <c r="AL18" s="67">
        <f t="shared" si="4"/>
      </c>
      <c r="AM18" s="577">
        <v>1246</v>
      </c>
      <c r="AN18" s="577">
        <v>1374</v>
      </c>
      <c r="AO18" s="577">
        <v>1390</v>
      </c>
      <c r="AP18" s="577">
        <v>1419</v>
      </c>
      <c r="AQ18" s="67">
        <f t="shared" si="5"/>
      </c>
      <c r="AR18" s="577">
        <v>1388</v>
      </c>
      <c r="AS18" s="577">
        <v>1453</v>
      </c>
      <c r="AT18" s="577">
        <v>1486</v>
      </c>
      <c r="AU18" s="577">
        <v>1526</v>
      </c>
      <c r="AV18" s="67">
        <f t="shared" si="6"/>
      </c>
      <c r="AW18" s="577">
        <v>1558</v>
      </c>
      <c r="AX18" s="577">
        <v>1599</v>
      </c>
      <c r="AY18" s="577">
        <v>1662</v>
      </c>
      <c r="AZ18" s="577">
        <v>1737</v>
      </c>
      <c r="BA18" s="67">
        <f t="shared" si="7"/>
      </c>
      <c r="BB18" s="577">
        <v>1792</v>
      </c>
      <c r="BC18" s="577">
        <v>1830</v>
      </c>
      <c r="BD18" s="577">
        <v>1813</v>
      </c>
      <c r="BE18" s="577">
        <v>1931</v>
      </c>
      <c r="BF18" s="67">
        <f t="shared" si="8"/>
      </c>
      <c r="BG18" s="577">
        <v>1995</v>
      </c>
      <c r="BH18" s="577">
        <v>2091</v>
      </c>
      <c r="BI18" s="577">
        <v>2001</v>
      </c>
      <c r="BJ18" s="577">
        <v>2094</v>
      </c>
      <c r="BK18" s="67">
        <f t="shared" si="9"/>
      </c>
      <c r="BL18" s="577">
        <v>2088</v>
      </c>
      <c r="BM18" s="577">
        <v>2194</v>
      </c>
      <c r="BN18" s="577">
        <v>2594</v>
      </c>
      <c r="BO18" s="577">
        <v>2609</v>
      </c>
      <c r="BP18" s="67">
        <f t="shared" si="10"/>
      </c>
      <c r="BQ18" s="577">
        <v>2602</v>
      </c>
      <c r="BR18" s="577">
        <v>2612</v>
      </c>
      <c r="BS18" s="577">
        <v>2584</v>
      </c>
      <c r="BT18" s="577">
        <v>3430</v>
      </c>
      <c r="BU18" s="67">
        <f t="shared" si="11"/>
      </c>
      <c r="BV18" s="577">
        <v>2342</v>
      </c>
      <c r="BW18" s="577">
        <v>2454</v>
      </c>
      <c r="BX18" s="577">
        <v>2650</v>
      </c>
      <c r="BY18" s="577">
        <v>2793</v>
      </c>
      <c r="BZ18" s="67">
        <f t="shared" si="12"/>
      </c>
      <c r="CA18" s="577">
        <v>2232</v>
      </c>
      <c r="CB18" s="577">
        <v>2250</v>
      </c>
      <c r="CC18" s="577">
        <v>2418</v>
      </c>
      <c r="CD18" s="577">
        <v>2224</v>
      </c>
      <c r="CE18" s="67">
        <f t="shared" si="13"/>
      </c>
      <c r="CF18" s="577">
        <v>2272</v>
      </c>
      <c r="CG18" s="577">
        <v>2306</v>
      </c>
      <c r="CH18" s="577">
        <v>2480</v>
      </c>
      <c r="CI18" s="577">
        <v>2556</v>
      </c>
      <c r="CJ18" s="67">
        <f t="shared" si="14"/>
      </c>
      <c r="CK18" s="577">
        <v>2695</v>
      </c>
      <c r="CL18" s="577">
        <v>3117</v>
      </c>
      <c r="CM18" s="577">
        <v>3247</v>
      </c>
      <c r="CN18" s="577">
        <v>3139</v>
      </c>
      <c r="CO18" s="67">
        <f t="shared" si="15"/>
      </c>
      <c r="CP18" s="577">
        <v>3094</v>
      </c>
      <c r="CQ18" s="577">
        <v>3283</v>
      </c>
      <c r="CR18" s="577">
        <v>3485</v>
      </c>
      <c r="CS18" s="577">
        <v>3607</v>
      </c>
      <c r="CT18" s="67">
        <f t="shared" si="16"/>
      </c>
      <c r="CU18" s="577">
        <v>3920</v>
      </c>
      <c r="CV18" s="577">
        <v>4101</v>
      </c>
      <c r="CW18" s="577">
        <v>3827</v>
      </c>
      <c r="CX18" s="577">
        <v>3567</v>
      </c>
      <c r="CY18" s="67">
        <f t="shared" si="17"/>
      </c>
      <c r="CZ18" s="577">
        <v>3524</v>
      </c>
      <c r="DA18" s="577">
        <v>3723</v>
      </c>
      <c r="DB18" s="577">
        <v>3606</v>
      </c>
      <c r="DC18" s="577">
        <v>0</v>
      </c>
      <c r="DD18" s="67">
        <f t="shared" si="18"/>
      </c>
      <c r="DE18" s="577">
        <v>0</v>
      </c>
      <c r="DF18" s="577">
        <v>0</v>
      </c>
      <c r="DG18" s="577">
        <v>0</v>
      </c>
      <c r="DH18" s="577">
        <v>0</v>
      </c>
      <c r="DI18" s="1111">
        <f t="shared" si="19"/>
      </c>
      <c r="DJ18" s="577">
        <v>0</v>
      </c>
      <c r="DK18" s="577">
        <v>0</v>
      </c>
      <c r="DL18" s="577">
        <v>0</v>
      </c>
      <c r="DM18" s="577">
        <v>0</v>
      </c>
      <c r="DN18" s="1111">
        <f t="shared" si="20"/>
      </c>
      <c r="DO18" s="577">
        <v>0</v>
      </c>
      <c r="DP18" s="577">
        <v>0</v>
      </c>
      <c r="DQ18" s="577">
        <v>0</v>
      </c>
      <c r="DR18" s="577">
        <v>0</v>
      </c>
      <c r="DS18" s="1111">
        <f t="shared" si="21"/>
      </c>
      <c r="DT18" s="577">
        <v>0</v>
      </c>
      <c r="DU18" s="577">
        <v>0</v>
      </c>
      <c r="DV18" s="577">
        <v>0</v>
      </c>
      <c r="DW18" s="577">
        <v>0</v>
      </c>
      <c r="DX18" s="2089">
        <f>DW18</f>
      </c>
      <c r="DY18" s="2094">
        <v>0</v>
      </c>
      <c r="DZ18" s="577">
        <v>0</v>
      </c>
      <c r="EA18" s="577">
        <v>0</v>
      </c>
      <c r="EB18" s="577">
        <v>0</v>
      </c>
      <c r="EC18" s="1505">
        <f>EB18</f>
      </c>
      <c r="ED18" s="2094">
        <v>0</v>
      </c>
      <c r="EE18" s="577">
        <v>0</v>
      </c>
      <c r="EF18" s="577">
        <v>0</v>
      </c>
      <c r="EG18" s="685">
        <v>0</v>
      </c>
      <c r="EH18" s="1753">
        <f>EG18</f>
      </c>
      <c r="EI18" s="2094">
        <v>0</v>
      </c>
      <c r="EJ18" s="577">
        <v>0</v>
      </c>
      <c r="EK18" s="577">
        <v>0</v>
      </c>
      <c r="EL18" s="685">
        <v>0</v>
      </c>
      <c r="EM18" s="1291">
        <f>EL18</f>
      </c>
      <c r="EN18" s="2094">
        <v>0</v>
      </c>
      <c r="EO18" s="577">
        <v>0</v>
      </c>
      <c r="EP18" s="577">
        <v>0</v>
      </c>
      <c r="EQ18" s="685">
        <v>0</v>
      </c>
      <c r="ER18" s="1291">
        <f>EQ18</f>
      </c>
      <c r="ES18" s="577">
        <v>0</v>
      </c>
      <c r="ET18" s="577">
        <v>0</v>
      </c>
      <c r="EU18" s="577">
        <v>0</v>
      </c>
      <c r="EV18" s="685">
        <v>0</v>
      </c>
      <c r="EW18" s="1291">
        <f>EV18</f>
      </c>
      <c r="EX18" s="577">
        <v>0</v>
      </c>
      <c r="EY18" s="577">
        <v>0</v>
      </c>
      <c r="EZ18" s="948">
        <f t="shared" ref="EZ18:FA18" si="26">+EZ68*EZ84</f>
      </c>
      <c r="FA18" s="1251">
        <f t="shared" si="26"/>
      </c>
      <c r="FB18" s="1291">
        <f>FA18</f>
      </c>
      <c r="FC18" s="1291">
        <f>+FC68*FC84</f>
      </c>
      <c r="FD18" s="1291">
        <f>+FD68*FD84</f>
      </c>
      <c r="FE18" s="1291">
        <f>+FE68*FE84</f>
      </c>
      <c r="FF18" s="1291">
        <f>+FF68*FF84</f>
      </c>
      <c r="FG18" s="1291">
        <f>+FG68*FG84</f>
      </c>
      <c r="FH18" s="2579"/>
      <c r="FI18" s="948"/>
    </row>
    <row r="19" spans="1:165">
      <c r="A19" s="6"/>
      <c r="B19" s="65" t="s">
        <v>48</v>
      </c>
      <c r="C19" s="577">
        <v>439</v>
      </c>
      <c r="D19" s="577">
        <v>438</v>
      </c>
      <c r="E19" s="577">
        <v>621</v>
      </c>
      <c r="F19" s="577">
        <v>518</v>
      </c>
      <c r="G19" s="577">
        <v>632</v>
      </c>
      <c r="H19" s="577">
        <v>678</v>
      </c>
      <c r="I19" s="577">
        <v>783</v>
      </c>
      <c r="J19" s="577">
        <v>732</v>
      </c>
      <c r="K19" s="577">
        <v>677</v>
      </c>
      <c r="L19" s="577">
        <v>774</v>
      </c>
      <c r="M19" s="67">
        <f t="shared" si="0"/>
      </c>
      <c r="N19" s="577">
        <v>892</v>
      </c>
      <c r="O19" s="577">
        <v>857</v>
      </c>
      <c r="P19" s="577">
        <v>978</v>
      </c>
      <c r="Q19" s="577">
        <v>988</v>
      </c>
      <c r="R19" s="67">
        <f t="shared" si="1"/>
      </c>
      <c r="S19" s="577">
        <v>1075</v>
      </c>
      <c r="T19" s="577">
        <v>1070</v>
      </c>
      <c r="U19" s="577">
        <v>877</v>
      </c>
      <c r="V19" s="10">
        <f t="shared" si="22"/>
      </c>
      <c r="W19" s="67">
        <f t="shared" si="22"/>
      </c>
      <c r="X19" s="577">
        <v>1024</v>
      </c>
      <c r="Y19" s="577">
        <v>1077</v>
      </c>
      <c r="Z19" s="577">
        <v>921</v>
      </c>
      <c r="AA19" s="577">
        <v>892</v>
      </c>
      <c r="AB19" s="67">
        <f t="shared" si="2"/>
      </c>
      <c r="AC19" s="577">
        <v>1254</v>
      </c>
      <c r="AD19" s="577">
        <v>1312</v>
      </c>
      <c r="AE19" s="577">
        <v>1254</v>
      </c>
      <c r="AF19" s="577">
        <v>1254</v>
      </c>
      <c r="AG19" s="67">
        <f t="shared" si="3"/>
      </c>
      <c r="AH19" s="577">
        <v>2045</v>
      </c>
      <c r="AI19" s="577">
        <v>1844</v>
      </c>
      <c r="AJ19" s="577">
        <v>1716</v>
      </c>
      <c r="AK19" s="577">
        <v>1687</v>
      </c>
      <c r="AL19" s="67">
        <f t="shared" si="4"/>
      </c>
      <c r="AM19" s="577">
        <v>1913</v>
      </c>
      <c r="AN19" s="577">
        <v>1863</v>
      </c>
      <c r="AO19" s="577">
        <v>1716</v>
      </c>
      <c r="AP19" s="577">
        <v>1670</v>
      </c>
      <c r="AQ19" s="67">
        <f t="shared" si="5"/>
      </c>
      <c r="AR19" s="577">
        <v>1859</v>
      </c>
      <c r="AS19" s="577">
        <v>1954</v>
      </c>
      <c r="AT19" s="577">
        <v>1674</v>
      </c>
      <c r="AU19" s="577">
        <v>1784</v>
      </c>
      <c r="AV19" s="67">
        <f t="shared" si="6"/>
      </c>
      <c r="AW19" s="577">
        <v>2151</v>
      </c>
      <c r="AX19" s="577">
        <v>1602</v>
      </c>
      <c r="AY19" s="577">
        <v>1452</v>
      </c>
      <c r="AZ19" s="577">
        <v>2124</v>
      </c>
      <c r="BA19" s="67">
        <f t="shared" si="7"/>
      </c>
      <c r="BB19" s="577">
        <v>2174</v>
      </c>
      <c r="BC19" s="577">
        <v>2387</v>
      </c>
      <c r="BD19" s="577">
        <v>2415</v>
      </c>
      <c r="BE19" s="577">
        <v>2442</v>
      </c>
      <c r="BF19" s="67">
        <f t="shared" si="8"/>
      </c>
      <c r="BG19" s="577">
        <v>2661</v>
      </c>
      <c r="BH19" s="577">
        <v>2223</v>
      </c>
      <c r="BI19" s="577">
        <v>2166</v>
      </c>
      <c r="BJ19" s="577">
        <v>3196</v>
      </c>
      <c r="BK19" s="67">
        <f t="shared" si="9"/>
      </c>
      <c r="BL19" s="577">
        <v>3054</v>
      </c>
      <c r="BM19" s="577">
        <v>3014</v>
      </c>
      <c r="BN19" s="577">
        <v>3229</v>
      </c>
      <c r="BO19" s="577">
        <v>3467</v>
      </c>
      <c r="BP19" s="67">
        <f t="shared" si="10"/>
      </c>
      <c r="BQ19" s="577">
        <v>4113</v>
      </c>
      <c r="BR19" s="577">
        <v>3908</v>
      </c>
      <c r="BS19" s="577">
        <v>3578</v>
      </c>
      <c r="BT19" s="577">
        <v>3367</v>
      </c>
      <c r="BU19" s="67">
        <f t="shared" si="11"/>
      </c>
      <c r="BV19" s="577">
        <v>3374</v>
      </c>
      <c r="BW19" s="577">
        <v>2719</v>
      </c>
      <c r="BX19" s="577">
        <v>2768</v>
      </c>
      <c r="BY19" s="577">
        <v>2497</v>
      </c>
      <c r="BZ19" s="67">
        <f t="shared" si="12"/>
      </c>
      <c r="CA19" s="577">
        <v>3293</v>
      </c>
      <c r="CB19" s="577">
        <v>3172</v>
      </c>
      <c r="CC19" s="577">
        <v>2474</v>
      </c>
      <c r="CD19" s="577">
        <v>2273</v>
      </c>
      <c r="CE19" s="67">
        <f t="shared" si="13"/>
      </c>
      <c r="CF19" s="577">
        <v>3021</v>
      </c>
      <c r="CG19" s="577">
        <v>3290</v>
      </c>
      <c r="CH19" s="577">
        <v>3056</v>
      </c>
      <c r="CI19" s="577">
        <v>2633</v>
      </c>
      <c r="CJ19" s="67">
        <f t="shared" si="14"/>
      </c>
      <c r="CK19" s="577">
        <v>2683</v>
      </c>
      <c r="CL19" s="577">
        <v>2894</v>
      </c>
      <c r="CM19" s="577">
        <v>2789</v>
      </c>
      <c r="CN19" s="577">
        <v>3084</v>
      </c>
      <c r="CO19" s="67">
        <f t="shared" si="15"/>
      </c>
      <c r="CP19" s="577">
        <v>3260</v>
      </c>
      <c r="CQ19" s="577">
        <v>3425</v>
      </c>
      <c r="CR19" s="577">
        <v>3312</v>
      </c>
      <c r="CS19" s="577">
        <v>4003</v>
      </c>
      <c r="CT19" s="67">
        <f t="shared" si="16"/>
      </c>
      <c r="CU19" s="577">
        <v>3932</v>
      </c>
      <c r="CV19" s="577">
        <v>3982</v>
      </c>
      <c r="CW19" s="577">
        <v>3107</v>
      </c>
      <c r="CX19" s="577">
        <v>3486</v>
      </c>
      <c r="CY19" s="67">
        <f t="shared" si="17"/>
      </c>
      <c r="CZ19" s="577">
        <v>3731</v>
      </c>
      <c r="DA19" s="577">
        <f>3058</f>
      </c>
      <c r="DB19" s="577">
        <v>3010</v>
      </c>
      <c r="DC19" s="577">
        <v>3047</v>
      </c>
      <c r="DD19" s="67">
        <f t="shared" si="18"/>
      </c>
      <c r="DE19" s="577">
        <v>3307</v>
      </c>
      <c r="DF19" s="577">
        <v>3122</v>
      </c>
      <c r="DG19" s="577">
        <v>2600</v>
      </c>
      <c r="DH19" s="577">
        <v>3282</v>
      </c>
      <c r="DI19" s="1111">
        <f t="shared" si="19"/>
      </c>
      <c r="DJ19" s="577">
        <v>2826</v>
      </c>
      <c r="DK19" s="577">
        <v>2954</v>
      </c>
      <c r="DL19" s="577">
        <v>2922</v>
      </c>
      <c r="DM19" s="577">
        <v>2537</v>
      </c>
      <c r="DN19" s="1111">
        <f t="shared" si="20"/>
      </c>
      <c r="DO19" s="577">
        <f>2641+1743</f>
      </c>
      <c r="DP19" s="577">
        <f>2569+1809</f>
      </c>
      <c r="DQ19" s="577">
        <f>2896+2208</f>
      </c>
      <c r="DR19" s="577">
        <f>2699+950</f>
      </c>
      <c r="DS19" s="1111">
        <f t="shared" si="21"/>
      </c>
      <c r="DT19" s="577">
        <f>2599+851</f>
      </c>
      <c r="DU19" s="577">
        <f>2411+194</f>
      </c>
      <c r="DV19" s="577">
        <f>2220+194</f>
      </c>
      <c r="DW19" s="577">
        <f>2392+94</f>
      </c>
      <c r="DX19" s="2089">
        <f>DW19</f>
      </c>
      <c r="DY19" s="2094">
        <f>102+2358</f>
      </c>
      <c r="DZ19" s="577">
        <v>2688</v>
      </c>
      <c r="EA19" s="577">
        <f>2528+91</f>
      </c>
      <c r="EB19" s="577">
        <v>3132</v>
      </c>
      <c r="EC19" s="1505">
        <f>EB19</f>
      </c>
      <c r="ED19" s="2094">
        <v>3024</v>
      </c>
      <c r="EE19" s="577">
        <v>3492</v>
      </c>
      <c r="EF19" s="577">
        <v>3590</v>
      </c>
      <c r="EG19" s="685">
        <v>3701</v>
      </c>
      <c r="EH19" s="1753">
        <f>EG19</f>
      </c>
      <c r="EI19" s="2094">
        <v>3452</v>
      </c>
      <c r="EJ19" s="577">
        <v>3703</v>
      </c>
      <c r="EK19" s="577">
        <v>3592</v>
      </c>
      <c r="EL19" s="685">
        <v>3132</v>
      </c>
      <c r="EM19" s="1291">
        <f>EL19</f>
      </c>
      <c r="EN19" s="2094">
        <v>2921</v>
      </c>
      <c r="EO19" s="577">
        <v>2397</v>
      </c>
      <c r="EP19" s="577">
        <v>4196</v>
      </c>
      <c r="EQ19" s="685">
        <v>4514</v>
      </c>
      <c r="ER19" s="1291">
        <f>EQ19</f>
      </c>
      <c r="ES19" s="577">
        <v>4455</v>
      </c>
      <c r="ET19" s="577">
        <v>4379</v>
      </c>
      <c r="EU19" s="577">
        <v>4175</v>
      </c>
      <c r="EV19" s="685">
        <v>4085</v>
      </c>
      <c r="EW19" s="1291">
        <f>EV19</f>
      </c>
      <c r="EX19" s="577">
        <v>4091</v>
      </c>
      <c r="EY19" s="577">
        <v>4360</v>
      </c>
      <c r="EZ19" s="948">
        <f>+EZ66*EZ84</f>
      </c>
      <c r="FA19" s="1251">
        <f>+FA66*FA84</f>
      </c>
      <c r="FB19" s="1291">
        <f>FA19</f>
      </c>
      <c r="FC19" s="1291">
        <f t="shared" ref="FC19:FG19" si="27">+FC66*FC84</f>
      </c>
      <c r="FD19" s="1291">
        <f t="shared" si="27"/>
      </c>
      <c r="FE19" s="1291">
        <f t="shared" si="27"/>
      </c>
      <c r="FF19" s="1291">
        <f t="shared" si="27"/>
      </c>
      <c r="FG19" s="1291">
        <f t="shared" si="27"/>
      </c>
      <c r="FH19" s="2579"/>
      <c r="FI19" s="948"/>
    </row>
    <row r="20" spans="1:165">
      <c r="A20" s="49"/>
      <c r="B20" s="263" t="s">
        <v>41</v>
      </c>
      <c r="C20" s="15">
        <f>SUM(C14:C19)</f>
      </c>
      <c r="D20" s="15">
        <f>SUM(D14:D19)</f>
      </c>
      <c r="E20" s="15">
        <f>SUM(E14:E19)</f>
      </c>
      <c r="F20" s="15">
        <f>SUM(F14:F19)</f>
      </c>
      <c r="G20" s="15">
        <f>SUM(G14:G19)</f>
      </c>
      <c r="H20" s="15">
        <f t="shared" ref="H20:AM20" si="28">SUM(H14:H19)</f>
      </c>
      <c r="I20" s="15">
        <f t="shared" si="28"/>
      </c>
      <c r="J20" s="15">
        <f t="shared" si="28"/>
      </c>
      <c r="K20" s="15">
        <f t="shared" si="28"/>
      </c>
      <c r="L20" s="15">
        <f t="shared" si="28"/>
      </c>
      <c r="M20" s="264">
        <f t="shared" si="28"/>
      </c>
      <c r="N20" s="15">
        <f t="shared" si="28"/>
      </c>
      <c r="O20" s="15">
        <f t="shared" si="28"/>
      </c>
      <c r="P20" s="15">
        <f t="shared" si="28"/>
      </c>
      <c r="Q20" s="15">
        <f t="shared" si="28"/>
      </c>
      <c r="R20" s="264">
        <f t="shared" si="28"/>
      </c>
      <c r="S20" s="15">
        <f t="shared" si="28"/>
      </c>
      <c r="T20" s="15">
        <f t="shared" si="28"/>
      </c>
      <c r="U20" s="15">
        <f t="shared" si="28"/>
      </c>
      <c r="V20" s="15">
        <f t="shared" si="28"/>
      </c>
      <c r="W20" s="264">
        <f t="shared" si="28"/>
      </c>
      <c r="X20" s="15">
        <f t="shared" si="28"/>
      </c>
      <c r="Y20" s="15">
        <f t="shared" si="28"/>
      </c>
      <c r="Z20" s="15">
        <f t="shared" si="28"/>
      </c>
      <c r="AA20" s="15">
        <f t="shared" si="28"/>
      </c>
      <c r="AB20" s="264">
        <f t="shared" si="28"/>
      </c>
      <c r="AC20" s="15">
        <f t="shared" si="28"/>
      </c>
      <c r="AD20" s="15">
        <f t="shared" si="28"/>
      </c>
      <c r="AE20" s="15">
        <f t="shared" si="28"/>
      </c>
      <c r="AF20" s="15">
        <f t="shared" si="28"/>
      </c>
      <c r="AG20" s="264">
        <f t="shared" si="28"/>
      </c>
      <c r="AH20" s="15">
        <f t="shared" si="28"/>
      </c>
      <c r="AI20" s="15">
        <f t="shared" si="28"/>
      </c>
      <c r="AJ20" s="15">
        <f t="shared" si="28"/>
      </c>
      <c r="AK20" s="15">
        <f t="shared" si="28"/>
      </c>
      <c r="AL20" s="264">
        <f t="shared" si="28"/>
      </c>
      <c r="AM20" s="15">
        <f t="shared" si="28"/>
      </c>
      <c r="AN20" s="15">
        <f t="shared" ref="AN20:BS20" si="29">SUM(AN14:AN19)</f>
      </c>
      <c r="AO20" s="15">
        <f t="shared" si="29"/>
      </c>
      <c r="AP20" s="15">
        <f t="shared" si="29"/>
      </c>
      <c r="AQ20" s="264">
        <f t="shared" si="29"/>
      </c>
      <c r="AR20" s="15">
        <f t="shared" si="29"/>
      </c>
      <c r="AS20" s="15">
        <f t="shared" si="29"/>
      </c>
      <c r="AT20" s="15">
        <f t="shared" si="29"/>
      </c>
      <c r="AU20" s="15">
        <f t="shared" si="29"/>
      </c>
      <c r="AV20" s="264">
        <f t="shared" si="29"/>
      </c>
      <c r="AW20" s="15">
        <f t="shared" si="29"/>
      </c>
      <c r="AX20" s="15">
        <f t="shared" si="29"/>
      </c>
      <c r="AY20" s="15">
        <f t="shared" si="29"/>
      </c>
      <c r="AZ20" s="15">
        <f t="shared" si="29"/>
      </c>
      <c r="BA20" s="264">
        <f t="shared" si="29"/>
      </c>
      <c r="BB20" s="15">
        <f t="shared" si="29"/>
      </c>
      <c r="BC20" s="15">
        <f t="shared" si="29"/>
      </c>
      <c r="BD20" s="15">
        <f t="shared" si="29"/>
      </c>
      <c r="BE20" s="15">
        <f t="shared" si="29"/>
      </c>
      <c r="BF20" s="264">
        <f t="shared" si="29"/>
      </c>
      <c r="BG20" s="15">
        <f t="shared" si="29"/>
      </c>
      <c r="BH20" s="15">
        <f t="shared" si="29"/>
      </c>
      <c r="BI20" s="15">
        <f t="shared" si="29"/>
      </c>
      <c r="BJ20" s="15">
        <f t="shared" si="29"/>
      </c>
      <c r="BK20" s="264">
        <f t="shared" si="29"/>
      </c>
      <c r="BL20" s="15">
        <f t="shared" si="29"/>
      </c>
      <c r="BM20" s="15">
        <f t="shared" si="29"/>
      </c>
      <c r="BN20" s="15">
        <f t="shared" si="29"/>
      </c>
      <c r="BO20" s="15">
        <f t="shared" si="29"/>
      </c>
      <c r="BP20" s="264">
        <f t="shared" si="29"/>
      </c>
      <c r="BQ20" s="15">
        <f t="shared" si="29"/>
      </c>
      <c r="BR20" s="15">
        <f t="shared" si="29"/>
      </c>
      <c r="BS20" s="15">
        <f t="shared" si="29"/>
      </c>
      <c r="BT20" s="15">
        <f t="shared" ref="BT20:DD20" si="30">SUM(BT14:BT19)</f>
      </c>
      <c r="BU20" s="264">
        <f t="shared" si="30"/>
      </c>
      <c r="BV20" s="15">
        <f t="shared" si="30"/>
      </c>
      <c r="BW20" s="15">
        <f t="shared" si="30"/>
      </c>
      <c r="BX20" s="15">
        <f t="shared" si="30"/>
      </c>
      <c r="BY20" s="15">
        <f t="shared" si="30"/>
      </c>
      <c r="BZ20" s="264">
        <f t="shared" si="30"/>
      </c>
      <c r="CA20" s="15">
        <f t="shared" si="30"/>
      </c>
      <c r="CB20" s="15">
        <f t="shared" si="30"/>
      </c>
      <c r="CC20" s="15">
        <f t="shared" si="30"/>
      </c>
      <c r="CD20" s="15">
        <f t="shared" si="30"/>
      </c>
      <c r="CE20" s="264">
        <f t="shared" si="30"/>
      </c>
      <c r="CF20" s="15">
        <f t="shared" si="30"/>
      </c>
      <c r="CG20" s="15">
        <f t="shared" si="30"/>
      </c>
      <c r="CH20" s="15">
        <f t="shared" si="30"/>
      </c>
      <c r="CI20" s="15">
        <f t="shared" si="30"/>
      </c>
      <c r="CJ20" s="264">
        <f t="shared" si="30"/>
      </c>
      <c r="CK20" s="15">
        <f t="shared" si="30"/>
      </c>
      <c r="CL20" s="15">
        <f t="shared" si="30"/>
      </c>
      <c r="CM20" s="15">
        <f t="shared" si="30"/>
      </c>
      <c r="CN20" s="15">
        <f t="shared" si="30"/>
      </c>
      <c r="CO20" s="264">
        <f t="shared" si="30"/>
      </c>
      <c r="CP20" s="15">
        <f t="shared" si="30"/>
      </c>
      <c r="CQ20" s="15">
        <f t="shared" si="30"/>
      </c>
      <c r="CR20" s="15">
        <f t="shared" si="30"/>
      </c>
      <c r="CS20" s="15">
        <f t="shared" si="30"/>
      </c>
      <c r="CT20" s="264">
        <f t="shared" si="30"/>
      </c>
      <c r="CU20" s="15">
        <f>SUM(CU14:CU19)</f>
      </c>
      <c r="CV20" s="15">
        <f t="shared" si="30"/>
      </c>
      <c r="CW20" s="15">
        <f t="shared" si="30"/>
      </c>
      <c r="CX20" s="15">
        <f t="shared" si="30"/>
      </c>
      <c r="CY20" s="264">
        <f>SUM(CY14:CY19)</f>
      </c>
      <c r="CZ20" s="15">
        <f t="shared" si="30"/>
      </c>
      <c r="DA20" s="15">
        <f t="shared" si="30"/>
      </c>
      <c r="DB20" s="15">
        <f t="shared" si="30"/>
      </c>
      <c r="DC20" s="15">
        <f t="shared" si="30"/>
      </c>
      <c r="DD20" s="264">
        <f t="shared" si="30"/>
      </c>
      <c r="DE20" s="15">
        <f t="shared" ref="DE20:DJ20" si="31">SUM(DE14:DE19)</f>
      </c>
      <c r="DF20" s="15">
        <f t="shared" si="31"/>
      </c>
      <c r="DG20" s="15">
        <f t="shared" si="31"/>
      </c>
      <c r="DH20" s="15">
        <f t="shared" si="31"/>
      </c>
      <c r="DI20" s="264">
        <f t="shared" si="31"/>
      </c>
      <c r="DJ20" s="15">
        <f t="shared" si="31"/>
      </c>
      <c r="DK20" s="15">
        <f>SUM(DK14:DK19)</f>
      </c>
      <c r="DL20" s="15">
        <f>SUM(DL14:DL19)</f>
      </c>
      <c r="DM20" s="15">
        <f t="shared" ref="DM20:DR20" si="32">SUM(DM14:DM19)</f>
      </c>
      <c r="DN20" s="264">
        <f t="shared" si="32"/>
      </c>
      <c r="DO20" s="15">
        <f t="shared" si="32"/>
      </c>
      <c r="DP20" s="15">
        <f>SUM(DP14:DP19)</f>
      </c>
      <c r="DQ20" s="15">
        <f>SUM(DQ14:DQ19)</f>
      </c>
      <c r="DR20" s="15">
        <f t="shared" si="32"/>
      </c>
      <c r="DS20" s="264">
        <f t="shared" ref="DS20:EC20" si="33">SUM(DS14:DS19)</f>
      </c>
      <c r="DT20" s="15">
        <f t="shared" si="33"/>
      </c>
      <c r="DU20" s="15">
        <f t="shared" si="33"/>
      </c>
      <c r="DV20" s="15">
        <f t="shared" si="33"/>
      </c>
      <c r="DW20" s="15">
        <f t="shared" si="33"/>
      </c>
      <c r="DX20" s="2090">
        <f t="shared" si="33"/>
      </c>
      <c r="DY20" s="270">
        <f t="shared" si="33"/>
      </c>
      <c r="DZ20" s="15">
        <f t="shared" si="33"/>
      </c>
      <c r="EA20" s="15">
        <f t="shared" si="33"/>
      </c>
      <c r="EB20" s="15">
        <f t="shared" si="33"/>
      </c>
      <c r="EC20" s="327">
        <f t="shared" si="33"/>
      </c>
      <c r="ED20" s="270">
        <f t="shared" ref="ED20:EI20" si="34">SUM(ED14:ED19)</f>
      </c>
      <c r="EE20" s="15">
        <f>SUM(EE14:EE19)</f>
      </c>
      <c r="EF20" s="15">
        <f t="shared" si="34"/>
      </c>
      <c r="EG20" s="2038">
        <f t="shared" si="34"/>
      </c>
      <c r="EH20" s="1752">
        <f t="shared" si="34"/>
      </c>
      <c r="EI20" s="270">
        <f t="shared" si="34"/>
      </c>
      <c r="EJ20" s="15">
        <f t="shared" ref="EJ20:FB20" si="35">SUM(EJ14:EJ19)</f>
      </c>
      <c r="EK20" s="15">
        <f t="shared" si="35"/>
      </c>
      <c r="EL20" s="2038">
        <f t="shared" si="35"/>
      </c>
      <c r="EM20" s="132">
        <f t="shared" si="35"/>
      </c>
      <c r="EN20" s="270">
        <f t="shared" si="35"/>
      </c>
      <c r="EO20" s="15">
        <f t="shared" si="35"/>
      </c>
      <c r="EP20" s="15">
        <f t="shared" si="35"/>
      </c>
      <c r="EQ20" s="2038">
        <f t="shared" si="35"/>
      </c>
      <c r="ER20" s="132">
        <f t="shared" si="35"/>
      </c>
      <c r="ES20" s="15">
        <f t="shared" si="35"/>
      </c>
      <c r="ET20" s="15">
        <f t="shared" si="35"/>
      </c>
      <c r="EU20" s="15">
        <f t="shared" ref="EU20:EY20" si="36">SUM(EU14:EU19)</f>
      </c>
      <c r="EV20" s="2038">
        <f t="shared" si="36"/>
      </c>
      <c r="EW20" s="132">
        <f t="shared" si="36"/>
      </c>
      <c r="EX20" s="15">
        <f t="shared" si="36"/>
      </c>
      <c r="EY20" s="15">
        <f t="shared" si="36"/>
      </c>
      <c r="EZ20" s="15">
        <f>SUM(EZ14:EZ19)</f>
      </c>
      <c r="FA20" s="2038">
        <f>SUM(FA14:FA19)</f>
      </c>
      <c r="FB20" s="132">
        <f t="shared" si="35"/>
      </c>
      <c r="FC20" s="132">
        <f ca="1">SUM(FC14:FC19)</f>
      </c>
      <c r="FD20" s="132">
        <f ca="1">SUM(FD14:FD19)</f>
      </c>
      <c r="FE20" s="132">
        <f ca="1">SUM(FE14:FE19)</f>
      </c>
      <c r="FF20" s="132">
        <f ca="1">SUM(FF14:FF19)</f>
      </c>
      <c r="FG20" s="132">
        <f ca="1">SUM(FG14:FG19)</f>
      </c>
      <c r="FH20" s="2579"/>
      <c r="FI20" s="948"/>
    </row>
    <row r="21" spans="1:165">
      <c r="A21" s="6"/>
      <c r="B21" s="65" t="s">
        <v>43</v>
      </c>
      <c r="C21" s="10">
        <v>255</v>
      </c>
      <c r="D21" s="10">
        <v>276</v>
      </c>
      <c r="E21" s="10">
        <v>355</v>
      </c>
      <c r="F21" s="10">
        <v>437</v>
      </c>
      <c r="G21" s="10">
        <v>354</v>
      </c>
      <c r="H21" s="10">
        <v>338</v>
      </c>
      <c r="I21" s="10">
        <v>264</v>
      </c>
      <c r="J21" s="10">
        <v>287</v>
      </c>
      <c r="K21" s="10">
        <v>356</v>
      </c>
      <c r="L21" s="10">
        <v>351</v>
      </c>
      <c r="M21" s="67">
        <f t="shared" ref="M21:M27" si="37">+L21</f>
      </c>
      <c r="N21" s="577">
        <v>354</v>
      </c>
      <c r="O21" s="577">
        <v>379</v>
      </c>
      <c r="P21" s="577">
        <v>342</v>
      </c>
      <c r="Q21" s="577">
        <v>385</v>
      </c>
      <c r="R21" s="67">
        <f t="shared" ref="R21:R27" si="38">+Q21</f>
      </c>
      <c r="S21" s="577">
        <v>385</v>
      </c>
      <c r="T21" s="577">
        <v>385</v>
      </c>
      <c r="U21" s="577">
        <v>382</v>
      </c>
      <c r="V21" s="10">
        <f t="shared" ref="V21:W27" si="39">+U21</f>
      </c>
      <c r="W21" s="67">
        <f t="shared" si="39"/>
      </c>
      <c r="X21" s="577">
        <v>418</v>
      </c>
      <c r="Y21" s="577">
        <v>409</v>
      </c>
      <c r="Z21" s="577">
        <v>399</v>
      </c>
      <c r="AA21" s="577">
        <v>823</v>
      </c>
      <c r="AB21" s="67">
        <f t="shared" ref="AB21:AB27" si="40">+AA21</f>
      </c>
      <c r="AC21" s="577">
        <v>717</v>
      </c>
      <c r="AD21" s="577">
        <v>398</v>
      </c>
      <c r="AE21" s="577">
        <v>717</v>
      </c>
      <c r="AF21" s="577">
        <v>657</v>
      </c>
      <c r="AG21" s="67">
        <f t="shared" ref="AG21:AG27" si="41">+AF21</f>
      </c>
      <c r="AH21" s="577">
        <v>872</v>
      </c>
      <c r="AI21" s="577">
        <v>1143</v>
      </c>
      <c r="AJ21" s="577">
        <v>1146</v>
      </c>
      <c r="AK21" s="577">
        <v>969</v>
      </c>
      <c r="AL21" s="67">
        <f t="shared" ref="AL21:AL27" si="42">+AK21</f>
      </c>
      <c r="AM21" s="577">
        <v>937</v>
      </c>
      <c r="AN21" s="577">
        <v>176</v>
      </c>
      <c r="AO21" s="577">
        <v>183</v>
      </c>
      <c r="AP21" s="577">
        <v>121</v>
      </c>
      <c r="AQ21" s="67">
        <f t="shared" ref="AQ21:AQ27" si="43">+AP21</f>
      </c>
      <c r="AR21" s="577">
        <v>121</v>
      </c>
      <c r="AS21" s="577">
        <v>124</v>
      </c>
      <c r="AT21" s="577">
        <v>120</v>
      </c>
      <c r="AU21" s="577">
        <v>84</v>
      </c>
      <c r="AV21" s="67">
        <f t="shared" ref="AV21:AV26" si="44">+AU21</f>
      </c>
      <c r="AW21" s="577">
        <v>70</v>
      </c>
      <c r="AX21" s="577">
        <v>62</v>
      </c>
      <c r="AY21" s="577">
        <v>62</v>
      </c>
      <c r="AZ21" s="577">
        <v>46</v>
      </c>
      <c r="BA21" s="67">
        <f t="shared" ref="BA21:BA26" si="45">+AZ21</f>
      </c>
      <c r="BB21" s="577">
        <v>48</v>
      </c>
      <c r="BC21" s="577">
        <v>49</v>
      </c>
      <c r="BD21" s="577">
        <v>44</v>
      </c>
      <c r="BE21" s="577">
        <v>20</v>
      </c>
      <c r="BF21" s="67">
        <f t="shared" ref="BF21:BF26" si="46">+BE21</f>
      </c>
      <c r="BG21" s="577">
        <v>20</v>
      </c>
      <c r="BH21" s="577">
        <v>21</v>
      </c>
      <c r="BI21" s="577">
        <v>16</v>
      </c>
      <c r="BJ21" s="577">
        <v>16</v>
      </c>
      <c r="BK21" s="67">
        <f t="shared" ref="BK21:BK26" si="47">+BJ21</f>
      </c>
      <c r="BL21" s="577">
        <v>14</v>
      </c>
      <c r="BM21" s="577">
        <v>17</v>
      </c>
      <c r="BN21" s="577">
        <v>8</v>
      </c>
      <c r="BO21" s="577">
        <v>2</v>
      </c>
      <c r="BP21" s="67">
        <f t="shared" ref="BP21:BP26" si="48">+BO21</f>
      </c>
      <c r="BQ21" s="577">
        <v>3</v>
      </c>
      <c r="BR21" s="577">
        <v>3</v>
      </c>
      <c r="BS21" s="577">
        <v>2</v>
      </c>
      <c r="BT21" s="577">
        <v>4</v>
      </c>
      <c r="BU21" s="67">
        <f t="shared" ref="BU21:BU26" si="49">+BT21</f>
      </c>
      <c r="BV21" s="577">
        <v>17</v>
      </c>
      <c r="BW21" s="577">
        <v>18</v>
      </c>
      <c r="BX21" s="577">
        <v>19</v>
      </c>
      <c r="BY21" s="577">
        <v>0</v>
      </c>
      <c r="BZ21" s="67">
        <f t="shared" ref="BZ21:BZ26" si="50">+BY21</f>
      </c>
      <c r="CA21" s="577">
        <v>0</v>
      </c>
      <c r="CB21" s="577">
        <v>0</v>
      </c>
      <c r="CC21" s="577">
        <v>0</v>
      </c>
      <c r="CD21" s="577">
        <v>0</v>
      </c>
      <c r="CE21" s="67">
        <f t="shared" ref="CE21:CE26" si="51">+CD21</f>
      </c>
      <c r="CF21" s="577">
        <v>0</v>
      </c>
      <c r="CG21" s="577">
        <v>0</v>
      </c>
      <c r="CH21" s="577">
        <v>0</v>
      </c>
      <c r="CI21" s="577">
        <v>0</v>
      </c>
      <c r="CJ21" s="67">
        <f t="shared" ref="CJ21:CJ26" si="52">CI21</f>
      </c>
      <c r="CK21" s="577">
        <v>0</v>
      </c>
      <c r="CL21" s="577">
        <v>0</v>
      </c>
      <c r="CM21" s="577">
        <v>0</v>
      </c>
      <c r="CN21" s="577">
        <v>0</v>
      </c>
      <c r="CO21" s="67">
        <f t="shared" ref="CO21:CO26" si="53">CN21</f>
      </c>
      <c r="CP21" s="577">
        <v>0</v>
      </c>
      <c r="CQ21" s="577">
        <v>0</v>
      </c>
      <c r="CR21" s="577">
        <v>0</v>
      </c>
      <c r="CS21" s="577">
        <v>0</v>
      </c>
      <c r="CT21" s="67">
        <f t="shared" ref="CT21:CT26" si="54">CS21</f>
      </c>
      <c r="CU21" s="577">
        <v>0</v>
      </c>
      <c r="CV21" s="577">
        <v>0</v>
      </c>
      <c r="CW21" s="577">
        <v>0</v>
      </c>
      <c r="CX21" s="577">
        <v>0</v>
      </c>
      <c r="CY21" s="67">
        <f t="shared" ref="CY21:CY26" si="55">CX21</f>
      </c>
      <c r="CZ21" s="577">
        <v>0</v>
      </c>
      <c r="DA21" s="577">
        <v>0</v>
      </c>
      <c r="DB21" s="577">
        <v>0</v>
      </c>
      <c r="DC21" s="577">
        <v>0</v>
      </c>
      <c r="DD21" s="67">
        <f t="shared" ref="DD21:DD26" si="56">DC21</f>
      </c>
      <c r="DE21" s="577">
        <v>0</v>
      </c>
      <c r="DF21" s="577">
        <v>0</v>
      </c>
      <c r="DG21" s="577">
        <v>0</v>
      </c>
      <c r="DH21" s="577">
        <v>0</v>
      </c>
      <c r="DI21" s="1111">
        <f t="shared" ref="DI21:DI26" si="57">DH21</f>
      </c>
      <c r="DJ21" s="577">
        <v>0</v>
      </c>
      <c r="DK21" s="577">
        <v>0</v>
      </c>
      <c r="DL21" s="577">
        <v>0</v>
      </c>
      <c r="DM21" s="577">
        <v>0</v>
      </c>
      <c r="DN21" s="1111">
        <f t="shared" ref="DN21:DN26" si="58">DM21</f>
      </c>
      <c r="DO21" s="577">
        <v>0</v>
      </c>
      <c r="DP21" s="577">
        <v>0</v>
      </c>
      <c r="DQ21" s="577">
        <v>0</v>
      </c>
      <c r="DR21" s="577">
        <v>0</v>
      </c>
      <c r="DS21" s="1111">
        <f t="shared" ref="DS21:DS26" si="59">DR21</f>
      </c>
      <c r="DT21" s="577">
        <v>0</v>
      </c>
      <c r="DU21" s="577">
        <v>0</v>
      </c>
      <c r="DV21" s="577">
        <v>0</v>
      </c>
      <c r="DW21" s="577">
        <v>0</v>
      </c>
      <c r="DX21" s="2089">
        <f t="shared" ref="DX21:DX26" si="60">DW21</f>
      </c>
      <c r="DY21" s="2094">
        <v>0</v>
      </c>
      <c r="DZ21" s="577">
        <v>0</v>
      </c>
      <c r="EA21" s="577">
        <v>0</v>
      </c>
      <c r="EB21" s="577">
        <v>0</v>
      </c>
      <c r="EC21" s="1505">
        <f t="shared" ref="EC21:EC26" si="61">EB21</f>
      </c>
      <c r="ED21" s="2094">
        <v>0</v>
      </c>
      <c r="EE21" s="577">
        <v>0</v>
      </c>
      <c r="EF21" s="577">
        <v>0</v>
      </c>
      <c r="EG21" s="685">
        <v>0</v>
      </c>
      <c r="EH21" s="1753">
        <f t="shared" ref="EH21:EH26" si="62">EG21</f>
      </c>
      <c r="EI21" s="2094">
        <v>0</v>
      </c>
      <c r="EJ21" s="577">
        <v>0</v>
      </c>
      <c r="EK21" s="577">
        <v>0</v>
      </c>
      <c r="EL21" s="685">
        <v>0</v>
      </c>
      <c r="EM21" s="1291">
        <f t="shared" ref="EM21:EM26" si="63">EL21</f>
      </c>
      <c r="EN21" s="2094">
        <v>0</v>
      </c>
      <c r="EO21" s="577">
        <v>0</v>
      </c>
      <c r="EP21" s="577">
        <v>0</v>
      </c>
      <c r="EQ21" s="685">
        <v>0</v>
      </c>
      <c r="ER21" s="1291">
        <f t="shared" ref="ER21:ER26" si="64">EQ21</f>
      </c>
      <c r="ES21" s="577">
        <v>0</v>
      </c>
      <c r="ET21" s="577">
        <v>0</v>
      </c>
      <c r="EU21" s="577">
        <v>0</v>
      </c>
      <c r="EV21" s="685">
        <v>0</v>
      </c>
      <c r="EW21" s="1291">
        <f t="shared" ref="EW21:EW26" si="65">EV21</f>
      </c>
      <c r="EX21" s="577">
        <v>0</v>
      </c>
      <c r="EY21" s="577">
        <v>0</v>
      </c>
      <c r="EZ21" s="948">
        <f t="shared" ref="EZ21:FA21" si="66">+EZ70*EZ84</f>
      </c>
      <c r="FA21" s="1251">
        <f t="shared" si="66"/>
      </c>
      <c r="FB21" s="3600">
        <f t="shared" ref="FB21:FB26" si="67">FA21</f>
      </c>
      <c r="FC21" s="1291">
        <f>+FC70*FC84</f>
      </c>
      <c r="FD21" s="1291">
        <f>+FD70*FD84</f>
      </c>
      <c r="FE21" s="1291">
        <f>+FE70*FE84</f>
      </c>
      <c r="FF21" s="1291">
        <f>+FF70*FF84</f>
      </c>
      <c r="FG21" s="1291">
        <f>+FG70*FG84</f>
      </c>
      <c r="FH21" s="2579"/>
      <c r="FI21" s="948"/>
    </row>
    <row r="22" spans="1:165">
      <c r="A22" s="6"/>
      <c r="B22" s="65" t="s">
        <v>44</v>
      </c>
      <c r="C22" s="10">
        <v>3247</v>
      </c>
      <c r="D22" s="10">
        <v>3667</v>
      </c>
      <c r="E22" s="10">
        <v>4115</v>
      </c>
      <c r="F22" s="10">
        <v>4406</v>
      </c>
      <c r="G22" s="10">
        <v>4910</v>
      </c>
      <c r="H22" s="10">
        <v>5196</v>
      </c>
      <c r="I22" s="10">
        <v>5233</v>
      </c>
      <c r="J22" s="10">
        <v>5249</v>
      </c>
      <c r="K22" s="10">
        <v>5335</v>
      </c>
      <c r="L22" s="10">
        <v>5651</v>
      </c>
      <c r="M22" s="67">
        <f t="shared" si="37"/>
      </c>
      <c r="N22" s="577">
        <v>5499</v>
      </c>
      <c r="O22" s="577">
        <f>9118-3633</f>
      </c>
      <c r="P22" s="577">
        <f>9242-3758</f>
      </c>
      <c r="Q22" s="577">
        <v>5810</v>
      </c>
      <c r="R22" s="67">
        <f t="shared" si="38"/>
      </c>
      <c r="S22" s="577">
        <f>9460-3792</f>
      </c>
      <c r="T22" s="577">
        <f>9687-3895</f>
      </c>
      <c r="U22" s="577">
        <f>10068-4093</f>
      </c>
      <c r="V22" s="10">
        <f t="shared" si="39"/>
      </c>
      <c r="W22" s="67">
        <f t="shared" si="39"/>
      </c>
      <c r="X22" s="577">
        <f>10238-4166</f>
      </c>
      <c r="Y22" s="577">
        <f>10273-4260</f>
      </c>
      <c r="Z22" s="577">
        <v>6211</v>
      </c>
      <c r="AA22" s="577">
        <v>7155</v>
      </c>
      <c r="AB22" s="67">
        <f t="shared" si="40"/>
      </c>
      <c r="AC22" s="577">
        <f>11866-4457</f>
      </c>
      <c r="AD22" s="577">
        <v>6692</v>
      </c>
      <c r="AE22" s="577">
        <v>7409</v>
      </c>
      <c r="AF22" s="577">
        <v>7409</v>
      </c>
      <c r="AG22" s="67">
        <f t="shared" si="41"/>
      </c>
      <c r="AH22" s="577">
        <f>11748-4563</f>
      </c>
      <c r="AI22" s="577">
        <v>7203</v>
      </c>
      <c r="AJ22" s="577">
        <v>7338</v>
      </c>
      <c r="AK22" s="577">
        <v>7719</v>
      </c>
      <c r="AL22" s="67">
        <f>+AK22</f>
      </c>
      <c r="AM22" s="577">
        <f>12561-4906</f>
      </c>
      <c r="AN22" s="577">
        <f>13393-5345</f>
      </c>
      <c r="AO22" s="577">
        <f>13698-5523</f>
      </c>
      <c r="AP22" s="577">
        <v>8710</v>
      </c>
      <c r="AQ22" s="67">
        <f>+AP22</f>
      </c>
      <c r="AR22" s="577">
        <f>14899-6100</f>
      </c>
      <c r="AS22" s="577">
        <f>15565-6501</f>
      </c>
      <c r="AT22" s="577">
        <f>16054-6809</f>
      </c>
      <c r="AU22" s="577">
        <v>9846</v>
      </c>
      <c r="AV22" s="67">
        <f t="shared" si="44"/>
      </c>
      <c r="AW22" s="577">
        <f>17104-7435</f>
      </c>
      <c r="AX22" s="577">
        <f>17257-7700</f>
      </c>
      <c r="AY22" s="577">
        <f>17632-8037</f>
      </c>
      <c r="AZ22" s="577">
        <v>10436</v>
      </c>
      <c r="BA22" s="67">
        <f t="shared" si="45"/>
      </c>
      <c r="BB22" s="577">
        <v>10237</v>
      </c>
      <c r="BC22" s="577">
        <v>10091</v>
      </c>
      <c r="BD22" s="577">
        <f>19086-8859</f>
      </c>
      <c r="BE22" s="577">
        <f>19716-8886</f>
      </c>
      <c r="BF22" s="67">
        <f t="shared" si="46"/>
      </c>
      <c r="BG22" s="577">
        <f>20151-9200</f>
      </c>
      <c r="BH22" s="577">
        <f>20965-9678</f>
      </c>
      <c r="BI22" s="577">
        <v>11462</v>
      </c>
      <c r="BJ22" s="577">
        <v>13044</v>
      </c>
      <c r="BK22" s="67">
        <f t="shared" si="47"/>
      </c>
      <c r="BL22" s="577">
        <v>13180</v>
      </c>
      <c r="BM22" s="577">
        <v>13385</v>
      </c>
      <c r="BN22" s="577">
        <f>25699-12086</f>
      </c>
      <c r="BO22" s="577">
        <v>14185</v>
      </c>
      <c r="BP22" s="67">
        <f t="shared" si="48"/>
      </c>
      <c r="BQ22" s="577">
        <v>14486</v>
      </c>
      <c r="BR22" s="577">
        <f>27989-13362</f>
      </c>
      <c r="BS22" s="577">
        <v>14355</v>
      </c>
      <c r="BT22" s="577">
        <v>14365</v>
      </c>
      <c r="BU22" s="67">
        <f t="shared" si="49"/>
      </c>
      <c r="BV22" s="577">
        <v>14253</v>
      </c>
      <c r="BW22" s="577">
        <v>14502</v>
      </c>
      <c r="BX22" s="577">
        <v>14815</v>
      </c>
      <c r="BY22" s="577">
        <v>14759</v>
      </c>
      <c r="BZ22" s="67">
        <f t="shared" si="50"/>
      </c>
      <c r="CA22" s="577">
        <v>14277</v>
      </c>
      <c r="CB22" s="577">
        <v>13881</v>
      </c>
      <c r="CC22" s="577">
        <v>14360</v>
      </c>
      <c r="CD22" s="577">
        <v>14553</v>
      </c>
      <c r="CE22" s="67">
        <f t="shared" si="51"/>
      </c>
      <c r="CF22" s="577">
        <v>15084</v>
      </c>
      <c r="CG22" s="577">
        <v>14974</v>
      </c>
      <c r="CH22" s="577">
        <v>14635</v>
      </c>
      <c r="CI22" s="577">
        <v>14739</v>
      </c>
      <c r="CJ22" s="67">
        <f t="shared" si="52"/>
      </c>
      <c r="CK22" s="577">
        <v>14824</v>
      </c>
      <c r="CL22" s="577">
        <v>15622</v>
      </c>
      <c r="CM22" s="577">
        <v>15845</v>
      </c>
      <c r="CN22" s="577">
        <v>16097</v>
      </c>
      <c r="CO22" s="67">
        <f t="shared" si="53"/>
      </c>
      <c r="CP22" s="577">
        <v>15721</v>
      </c>
      <c r="CQ22" s="577">
        <v>15794</v>
      </c>
      <c r="CR22" s="577">
        <v>16127</v>
      </c>
      <c r="CS22" s="577">
        <v>16710</v>
      </c>
      <c r="CT22" s="67">
        <f t="shared" si="54"/>
      </c>
      <c r="CU22" s="577">
        <v>15996</v>
      </c>
      <c r="CV22" s="577">
        <v>16155</v>
      </c>
      <c r="CW22" s="577">
        <v>15804</v>
      </c>
      <c r="CX22" s="577">
        <v>16126</v>
      </c>
      <c r="CY22" s="67">
        <f t="shared" si="55"/>
      </c>
      <c r="CZ22" s="577">
        <v>15364</v>
      </c>
      <c r="DA22" s="577">
        <v>15583</v>
      </c>
      <c r="DB22" s="577">
        <v>15551</v>
      </c>
      <c r="DC22" s="577">
        <v>15905</v>
      </c>
      <c r="DD22" s="67">
        <f t="shared" si="56"/>
      </c>
      <c r="DE22" s="577">
        <f>37430-21466</f>
      </c>
      <c r="DF22" s="577">
        <v>15972</v>
      </c>
      <c r="DG22" s="577">
        <v>16095</v>
      </c>
      <c r="DH22" s="577">
        <v>15912</v>
      </c>
      <c r="DI22" s="1111">
        <f t="shared" si="57"/>
      </c>
      <c r="DJ22" s="577">
        <v>16191</v>
      </c>
      <c r="DK22" s="577">
        <v>16458</v>
      </c>
      <c r="DL22" s="577">
        <v>16628</v>
      </c>
      <c r="DM22" s="577">
        <v>17005</v>
      </c>
      <c r="DN22" s="1111">
        <f t="shared" si="58"/>
      </c>
      <c r="DO22" s="577">
        <v>17040</v>
      </c>
      <c r="DP22" s="577">
        <v>16632</v>
      </c>
      <c r="DQ22" s="577">
        <v>16629</v>
      </c>
      <c r="DR22" s="577">
        <v>17035</v>
      </c>
      <c r="DS22" s="1111">
        <f t="shared" si="59"/>
      </c>
      <c r="DT22" s="577">
        <v>17000</v>
      </c>
      <c r="DU22" s="577">
        <v>17248</v>
      </c>
      <c r="DV22" s="577">
        <v>17048</v>
      </c>
      <c r="DW22" s="577">
        <v>17658</v>
      </c>
      <c r="DX22" s="2089">
        <f t="shared" si="60"/>
      </c>
      <c r="DY22" s="2094">
        <v>17401</v>
      </c>
      <c r="DZ22" s="577">
        <v>17598</v>
      </c>
      <c r="EA22" s="577">
        <v>17855</v>
      </c>
      <c r="EB22" s="577">
        <v>18766</v>
      </c>
      <c r="EC22" s="1505">
        <f t="shared" si="61"/>
      </c>
      <c r="ED22" s="2094">
        <v>18367</v>
      </c>
      <c r="EE22" s="577">
        <v>18632</v>
      </c>
      <c r="EF22" s="577">
        <v>18478</v>
      </c>
      <c r="EG22" s="685">
        <v>18962</v>
      </c>
      <c r="EH22" s="1753">
        <f t="shared" si="62"/>
      </c>
      <c r="EI22" s="2094">
        <v>18701</v>
      </c>
      <c r="EJ22" s="577">
        <v>18354</v>
      </c>
      <c r="EK22" s="577">
        <v>18152</v>
      </c>
      <c r="EL22" s="685">
        <v>19803</v>
      </c>
      <c r="EM22" s="1291">
        <f t="shared" si="63"/>
      </c>
      <c r="EN22" s="2094">
        <v>20174</v>
      </c>
      <c r="EO22" s="577">
        <v>20576</v>
      </c>
      <c r="EP22" s="577">
        <v>18821</v>
      </c>
      <c r="EQ22" s="685">
        <v>19898</v>
      </c>
      <c r="ER22" s="1291">
        <f t="shared" si="64"/>
      </c>
      <c r="ES22" s="577">
        <v>19632</v>
      </c>
      <c r="ET22" s="577">
        <v>19748</v>
      </c>
      <c r="EU22" s="577">
        <v>20479</v>
      </c>
      <c r="EV22" s="685">
        <v>20518</v>
      </c>
      <c r="EW22" s="1291">
        <f t="shared" si="65"/>
      </c>
      <c r="EX22" s="577">
        <v>20871</v>
      </c>
      <c r="EY22" s="577">
        <v>21949</v>
      </c>
      <c r="EZ22" s="948">
        <f>+EZ139</f>
      </c>
      <c r="FA22" s="1251">
        <f>+FA139</f>
      </c>
      <c r="FB22" s="3600">
        <f t="shared" si="67"/>
      </c>
      <c r="FC22" s="1291">
        <f t="shared" ref="FC22:FG22" si="68">+FC139</f>
      </c>
      <c r="FD22" s="1291">
        <f t="shared" si="68"/>
      </c>
      <c r="FE22" s="1291">
        <f t="shared" si="68"/>
      </c>
      <c r="FF22" s="1291">
        <f t="shared" si="68"/>
      </c>
      <c r="FG22" s="1291">
        <f t="shared" si="68"/>
      </c>
      <c r="FH22" s="2579"/>
      <c r="FI22" s="948"/>
    </row>
    <row r="23" spans="1:165">
      <c r="A23" s="6"/>
      <c r="B23" s="65" t="s">
        <v>52</v>
      </c>
      <c r="C23" s="10"/>
      <c r="D23" s="10"/>
      <c r="E23" s="10"/>
      <c r="F23" s="10"/>
      <c r="G23" s="10"/>
      <c r="H23" s="10"/>
      <c r="I23" s="10"/>
      <c r="J23" s="10"/>
      <c r="K23" s="10"/>
      <c r="L23" s="10"/>
      <c r="M23" s="67"/>
      <c r="N23" s="577"/>
      <c r="O23" s="577"/>
      <c r="P23" s="577"/>
      <c r="Q23" s="577"/>
      <c r="R23" s="67"/>
      <c r="S23" s="577"/>
      <c r="T23" s="577"/>
      <c r="U23" s="577"/>
      <c r="V23" s="10"/>
      <c r="W23" s="67"/>
      <c r="X23" s="577"/>
      <c r="Y23" s="577"/>
      <c r="Z23" s="577"/>
      <c r="AA23" s="577"/>
      <c r="AB23" s="67"/>
      <c r="AC23" s="577"/>
      <c r="AD23" s="577"/>
      <c r="AE23" s="577"/>
      <c r="AF23" s="577"/>
      <c r="AG23" s="67"/>
      <c r="AH23" s="577"/>
      <c r="AI23" s="577"/>
      <c r="AJ23" s="577"/>
      <c r="AK23" s="577"/>
      <c r="AL23" s="67"/>
      <c r="AM23" s="577"/>
      <c r="AN23" s="577"/>
      <c r="AO23" s="577"/>
      <c r="AP23" s="577"/>
      <c r="AQ23" s="67"/>
      <c r="AR23" s="577"/>
      <c r="AS23" s="577"/>
      <c r="AT23" s="577"/>
      <c r="AU23" s="577"/>
      <c r="AV23" s="67">
        <v>5390</v>
      </c>
      <c r="AW23" s="577">
        <v>5370</v>
      </c>
      <c r="AX23" s="577">
        <v>6002</v>
      </c>
      <c r="AY23" s="577">
        <v>5578</v>
      </c>
      <c r="AZ23" s="577">
        <v>5863</v>
      </c>
      <c r="BA23" s="67">
        <f t="shared" si="45"/>
      </c>
      <c r="BB23" s="577">
        <v>6019</v>
      </c>
      <c r="BC23" s="577">
        <v>6002</v>
      </c>
      <c r="BD23" s="577">
        <v>6732</v>
      </c>
      <c r="BE23" s="577">
        <v>5990</v>
      </c>
      <c r="BF23" s="67">
        <f t="shared" si="46"/>
      </c>
      <c r="BG23" s="577">
        <v>6460</v>
      </c>
      <c r="BH23" s="577">
        <v>6657</v>
      </c>
      <c r="BI23" s="577">
        <v>6769</v>
      </c>
      <c r="BJ23" s="577">
        <v>13340</v>
      </c>
      <c r="BK23" s="67">
        <f t="shared" si="47"/>
      </c>
      <c r="BL23" s="577">
        <v>13663</v>
      </c>
      <c r="BM23" s="577">
        <v>13754</v>
      </c>
      <c r="BN23" s="577">
        <v>14040</v>
      </c>
      <c r="BO23" s="577">
        <v>14123</v>
      </c>
      <c r="BP23" s="67">
        <f t="shared" si="48"/>
      </c>
      <c r="BQ23" s="577">
        <v>14615</v>
      </c>
      <c r="BR23" s="577">
        <v>14526</v>
      </c>
      <c r="BS23" s="577">
        <v>14275</v>
      </c>
      <c r="BT23" s="685">
        <v>13719</v>
      </c>
      <c r="BU23" s="67">
        <f t="shared" si="49"/>
      </c>
      <c r="BV23" s="577">
        <v>14083</v>
      </c>
      <c r="BW23" s="577">
        <v>14152</v>
      </c>
      <c r="BX23" s="577">
        <v>15017</v>
      </c>
      <c r="BY23" s="577">
        <v>14862</v>
      </c>
      <c r="BZ23" s="67">
        <f t="shared" si="50"/>
      </c>
      <c r="CA23" s="577">
        <v>14977</v>
      </c>
      <c r="CB23" s="577">
        <v>14628</v>
      </c>
      <c r="CC23" s="577">
        <v>15375</v>
      </c>
      <c r="CD23" s="577">
        <v>15294</v>
      </c>
      <c r="CE23" s="67">
        <f>CD23</f>
      </c>
      <c r="CF23" s="577">
        <v>16126</v>
      </c>
      <c r="CG23" s="577">
        <v>16243</v>
      </c>
      <c r="CH23" s="577">
        <v>16049</v>
      </c>
      <c r="CI23" s="577">
        <v>16138</v>
      </c>
      <c r="CJ23" s="67">
        <f t="shared" si="52"/>
      </c>
      <c r="CK23" s="577">
        <v>16339</v>
      </c>
      <c r="CL23" s="577">
        <v>21412</v>
      </c>
      <c r="CM23" s="577">
        <v>21777</v>
      </c>
      <c r="CN23" s="577">
        <v>22424</v>
      </c>
      <c r="CO23" s="67">
        <f t="shared" si="53"/>
      </c>
      <c r="CP23" s="577">
        <v>22349</v>
      </c>
      <c r="CQ23" s="577">
        <v>22337</v>
      </c>
      <c r="CR23" s="577">
        <v>22852</v>
      </c>
      <c r="CS23" s="577">
        <v>22798</v>
      </c>
      <c r="CT23" s="67">
        <f t="shared" si="54"/>
      </c>
      <c r="CU23" s="577">
        <v>22178</v>
      </c>
      <c r="CV23" s="577">
        <v>21989</v>
      </c>
      <c r="CW23" s="577">
        <v>21636</v>
      </c>
      <c r="CX23" s="577">
        <v>21832</v>
      </c>
      <c r="CY23" s="67">
        <f t="shared" si="55"/>
      </c>
      <c r="CZ23" s="577">
        <v>21345</v>
      </c>
      <c r="DA23" s="577">
        <v>21493</v>
      </c>
      <c r="DB23" s="577">
        <v>21279</v>
      </c>
      <c r="DC23" s="577">
        <v>21629</v>
      </c>
      <c r="DD23" s="67">
        <f t="shared" si="56"/>
      </c>
      <c r="DE23" s="577">
        <v>21848</v>
      </c>
      <c r="DF23" s="577">
        <v>22104</v>
      </c>
      <c r="DG23" s="577">
        <v>23171</v>
      </c>
      <c r="DH23" s="577">
        <v>22805</v>
      </c>
      <c r="DI23" s="1111">
        <f t="shared" si="57"/>
      </c>
      <c r="DJ23" s="577">
        <v>24844</v>
      </c>
      <c r="DK23" s="577">
        <v>54942</v>
      </c>
      <c r="DL23" s="577">
        <v>31308</v>
      </c>
      <c r="DM23" s="577">
        <v>31906</v>
      </c>
      <c r="DN23" s="1111">
        <f t="shared" si="58"/>
      </c>
      <c r="DO23" s="577">
        <v>31149</v>
      </c>
      <c r="DP23" s="577">
        <v>30346</v>
      </c>
      <c r="DQ23" s="577">
        <v>30702</v>
      </c>
      <c r="DR23" s="577">
        <v>30453</v>
      </c>
      <c r="DS23" s="1111">
        <f t="shared" si="59"/>
      </c>
      <c r="DT23" s="577">
        <v>31450</v>
      </c>
      <c r="DU23" s="577">
        <v>33661</v>
      </c>
      <c r="DV23" s="577">
        <v>33291</v>
      </c>
      <c r="DW23" s="577">
        <v>33639</v>
      </c>
      <c r="DX23" s="2089">
        <f t="shared" si="60"/>
      </c>
      <c r="DY23" s="2094">
        <v>33471</v>
      </c>
      <c r="DZ23" s="577">
        <v>33890</v>
      </c>
      <c r="EA23" s="577">
        <v>34307</v>
      </c>
      <c r="EB23" s="577">
        <v>36393</v>
      </c>
      <c r="EC23" s="1505">
        <f t="shared" si="61"/>
      </c>
      <c r="ED23" s="2094">
        <v>35688</v>
      </c>
      <c r="EE23" s="577">
        <v>35819</v>
      </c>
      <c r="EF23" s="577">
        <v>35569</v>
      </c>
      <c r="EG23" s="685">
        <v>35246</v>
      </c>
      <c r="EH23" s="1753">
        <f t="shared" si="62"/>
      </c>
      <c r="EI23" s="2094">
        <v>34935</v>
      </c>
      <c r="EJ23" s="577">
        <v>34166</v>
      </c>
      <c r="EK23" s="577">
        <v>33383</v>
      </c>
      <c r="EL23" s="685">
        <v>45231</v>
      </c>
      <c r="EM23" s="1291">
        <f t="shared" si="63"/>
      </c>
      <c r="EN23" s="2094">
        <v>45575</v>
      </c>
      <c r="EO23" s="577">
        <v>45440</v>
      </c>
      <c r="EP23" s="577">
        <v>36124</v>
      </c>
      <c r="EQ23" s="685">
        <v>36558</v>
      </c>
      <c r="ER23" s="1291">
        <f t="shared" si="64"/>
      </c>
      <c r="ES23" s="577">
        <v>36616</v>
      </c>
      <c r="ET23" s="577">
        <v>44250</v>
      </c>
      <c r="EU23" s="577">
        <v>44799</v>
      </c>
      <c r="EV23" s="685">
        <v>44200</v>
      </c>
      <c r="EW23" s="1291">
        <f t="shared" si="65"/>
      </c>
      <c r="EX23" s="577">
        <v>44468</v>
      </c>
      <c r="EY23" s="577">
        <v>48117</v>
      </c>
      <c r="EZ23" s="948">
        <f>+EZ155</f>
      </c>
      <c r="FA23" s="1251">
        <f>+FA155</f>
      </c>
      <c r="FB23" s="2709">
        <f t="shared" si="67"/>
      </c>
      <c r="FC23" s="1505">
        <f t="shared" ref="FC23:FG23" si="69">+FC155</f>
      </c>
      <c r="FD23" s="1505">
        <f t="shared" si="69"/>
      </c>
      <c r="FE23" s="1505">
        <f t="shared" si="69"/>
      </c>
      <c r="FF23" s="1505">
        <f t="shared" si="69"/>
      </c>
      <c r="FG23" s="1505">
        <f t="shared" si="69"/>
      </c>
      <c r="FH23" s="2579"/>
      <c r="FI23" s="948"/>
    </row>
    <row r="24" spans="1:165">
      <c r="A24" s="6"/>
      <c r="B24" s="1426" t="s">
        <v>668</v>
      </c>
      <c r="C24" s="577">
        <v>706</v>
      </c>
      <c r="D24" s="577">
        <v>738</v>
      </c>
      <c r="E24" s="577">
        <v>716</v>
      </c>
      <c r="F24" s="577">
        <v>925</v>
      </c>
      <c r="G24" s="577">
        <v>2403</v>
      </c>
      <c r="H24" s="577">
        <v>2950</v>
      </c>
      <c r="I24" s="577">
        <v>2944</v>
      </c>
      <c r="J24" s="577">
        <v>2913</v>
      </c>
      <c r="K24" s="577">
        <v>2944</v>
      </c>
      <c r="L24" s="577">
        <v>3107</v>
      </c>
      <c r="M24" s="67">
        <f t="shared" si="37"/>
      </c>
      <c r="N24" s="577">
        <v>3119</v>
      </c>
      <c r="O24" s="577">
        <v>3279</v>
      </c>
      <c r="P24" s="577">
        <v>3276</v>
      </c>
      <c r="Q24" s="577">
        <v>3261</v>
      </c>
      <c r="R24" s="67">
        <f t="shared" si="38"/>
      </c>
      <c r="S24" s="577">
        <v>3303</v>
      </c>
      <c r="T24" s="577">
        <v>3280</v>
      </c>
      <c r="U24" s="577">
        <v>3297</v>
      </c>
      <c r="V24" s="10">
        <f t="shared" si="39"/>
      </c>
      <c r="W24" s="67">
        <f t="shared" si="39"/>
      </c>
      <c r="X24" s="577">
        <v>7489</v>
      </c>
      <c r="Y24" s="577">
        <v>7335</v>
      </c>
      <c r="Z24" s="577">
        <v>7295</v>
      </c>
      <c r="AA24" s="577">
        <v>7854</v>
      </c>
      <c r="AB24" s="67">
        <f t="shared" si="40"/>
      </c>
      <c r="AC24" s="577">
        <v>7535</v>
      </c>
      <c r="AD24" s="577">
        <v>7395</v>
      </c>
      <c r="AE24" s="577">
        <v>7535</v>
      </c>
      <c r="AF24" s="577">
        <v>7535</v>
      </c>
      <c r="AG24" s="67">
        <f t="shared" si="41"/>
      </c>
      <c r="AH24" s="577">
        <v>7462</v>
      </c>
      <c r="AI24" s="577">
        <v>7616</v>
      </c>
      <c r="AJ24" s="577">
        <v>7532</v>
      </c>
      <c r="AK24" s="577">
        <v>9077</v>
      </c>
      <c r="AL24" s="67">
        <f t="shared" si="42"/>
      </c>
      <c r="AM24" s="577">
        <f>10905-1844</f>
      </c>
      <c r="AN24" s="577">
        <f>11194-1929</f>
      </c>
      <c r="AO24" s="577">
        <f>11305-2032</f>
      </c>
      <c r="AP24" s="577">
        <v>9246</v>
      </c>
      <c r="AQ24" s="67">
        <f t="shared" si="43"/>
      </c>
      <c r="AR24" s="577">
        <f>11647-2222</f>
      </c>
      <c r="AS24" s="577">
        <f>14029-2319</f>
      </c>
      <c r="AT24" s="577">
        <v>11679</v>
      </c>
      <c r="AU24" s="577">
        <v>11539</v>
      </c>
      <c r="AV24" s="67">
        <f t="shared" si="44"/>
      </c>
      <c r="AW24" s="577">
        <f>14191-2749</f>
      </c>
      <c r="AX24" s="577">
        <f>14715-2910</f>
      </c>
      <c r="AY24" s="577">
        <f>14764-3036</f>
      </c>
      <c r="AZ24" s="577">
        <v>11842</v>
      </c>
      <c r="BA24" s="67">
        <f t="shared" si="45"/>
      </c>
      <c r="BB24" s="577">
        <v>11818</v>
      </c>
      <c r="BC24" s="577">
        <v>12195</v>
      </c>
      <c r="BD24" s="577">
        <f>15675-3589</f>
      </c>
      <c r="BE24" s="577">
        <f>6185+5990</f>
      </c>
      <c r="BF24" s="67">
        <f t="shared" si="46"/>
      </c>
      <c r="BG24" s="577">
        <f>6438+6460</f>
      </c>
      <c r="BH24" s="577">
        <f>6617+6657</f>
      </c>
      <c r="BI24" s="577">
        <f>6562+6769</f>
      </c>
      <c r="BJ24" s="577">
        <f>15348+13340</f>
      </c>
      <c r="BK24" s="67">
        <f t="shared" si="47"/>
      </c>
      <c r="BL24" s="577">
        <f>15568+13663</f>
      </c>
      <c r="BM24" s="577">
        <f>15412+13754</f>
      </c>
      <c r="BN24" s="577">
        <f>15468+14040</f>
      </c>
      <c r="BO24" s="577">
        <f>14640+14123</f>
      </c>
      <c r="BP24" s="67">
        <f t="shared" si="48"/>
      </c>
      <c r="BQ24" s="577">
        <f>14818+14615</f>
      </c>
      <c r="BR24" s="577">
        <f>14675+14526</f>
      </c>
      <c r="BS24" s="577">
        <f>14296+14275</f>
      </c>
      <c r="BT24" s="577">
        <f>13976+13719</f>
      </c>
      <c r="BU24" s="67">
        <f t="shared" si="49"/>
      </c>
      <c r="BV24" s="577">
        <f>14840+14083</f>
      </c>
      <c r="BW24" s="577">
        <f>14720+14152</f>
      </c>
      <c r="BX24" s="577">
        <f>16636+15017</f>
      </c>
      <c r="BY24" s="577">
        <f>16323+14862</f>
      </c>
      <c r="BZ24" s="67">
        <f t="shared" si="50"/>
      </c>
      <c r="CA24" s="577">
        <f>16799+14977</f>
      </c>
      <c r="CB24" s="577">
        <f>16459+14628</f>
      </c>
      <c r="CC24" s="577">
        <f>17068+15375</f>
      </c>
      <c r="CD24" s="577">
        <f>16716+15294</f>
      </c>
      <c r="CE24" s="67">
        <f t="shared" si="51"/>
      </c>
      <c r="CF24" s="577">
        <f>18687</f>
      </c>
      <c r="CG24" s="577">
        <f>18378</f>
      </c>
      <c r="CH24" s="577">
        <f>18225</f>
      </c>
      <c r="CI24" s="577">
        <f>18138</f>
      </c>
      <c r="CJ24" s="67">
        <f t="shared" si="52"/>
      </c>
      <c r="CK24" s="577">
        <f>18157</f>
      </c>
      <c r="CL24" s="577">
        <f>29199</f>
      </c>
      <c r="CM24" s="577">
        <v>28790</v>
      </c>
      <c r="CN24" s="577">
        <v>28752</v>
      </c>
      <c r="CO24" s="67">
        <f t="shared" si="53"/>
      </c>
      <c r="CP24" s="577">
        <f>28009</f>
      </c>
      <c r="CQ24" s="577">
        <f>27704</f>
      </c>
      <c r="CR24" s="577">
        <v>28467</v>
      </c>
      <c r="CS24" s="577">
        <v>27947</v>
      </c>
      <c r="CT24" s="67">
        <f>CS24</f>
      </c>
      <c r="CU24" s="577">
        <v>27643</v>
      </c>
      <c r="CV24" s="577">
        <v>27122</v>
      </c>
      <c r="CW24" s="577">
        <v>26304</v>
      </c>
      <c r="CX24" s="577">
        <v>27222</v>
      </c>
      <c r="CY24" s="67">
        <f t="shared" si="55"/>
      </c>
      <c r="CZ24" s="577">
        <v>27025</v>
      </c>
      <c r="DA24" s="577">
        <v>27017</v>
      </c>
      <c r="DB24" s="577">
        <v>25988</v>
      </c>
      <c r="DC24" s="577">
        <v>25764</v>
      </c>
      <c r="DD24" s="67">
        <f t="shared" si="56"/>
      </c>
      <c r="DE24" s="577">
        <v>25840</v>
      </c>
      <c r="DF24" s="577">
        <v>25694</v>
      </c>
      <c r="DG24" s="577">
        <v>27642</v>
      </c>
      <c r="DH24" s="577">
        <v>26876</v>
      </c>
      <c r="DI24" s="1111">
        <f t="shared" si="57"/>
      </c>
      <c r="DJ24" s="577">
        <v>29466</v>
      </c>
      <c r="DK24" s="577">
        <v>31234</v>
      </c>
      <c r="DL24" s="577">
        <v>54569</v>
      </c>
      <c r="DM24" s="577">
        <v>53228</v>
      </c>
      <c r="DN24" s="1111">
        <f t="shared" si="58"/>
      </c>
      <c r="DO24" s="577">
        <v>52365</v>
      </c>
      <c r="DP24" s="577">
        <v>50056</v>
      </c>
      <c r="DQ24" s="577">
        <v>48637</v>
      </c>
      <c r="DR24" s="577">
        <v>47611</v>
      </c>
      <c r="DS24" s="1111">
        <f t="shared" si="59"/>
      </c>
      <c r="DT24" s="577">
        <v>46898</v>
      </c>
      <c r="DU24" s="577">
        <v>49332</v>
      </c>
      <c r="DV24" s="577">
        <v>47846</v>
      </c>
      <c r="DW24" s="577">
        <v>47643</v>
      </c>
      <c r="DX24" s="2089">
        <f t="shared" si="60"/>
      </c>
      <c r="DY24" s="2094">
        <v>47338</v>
      </c>
      <c r="DZ24" s="577">
        <v>47413</v>
      </c>
      <c r="EA24" s="577">
        <v>47006</v>
      </c>
      <c r="EB24" s="577">
        <v>53402</v>
      </c>
      <c r="EC24" s="1505">
        <f t="shared" si="61"/>
      </c>
      <c r="ED24" s="2094">
        <v>51110</v>
      </c>
      <c r="EE24" s="577">
        <v>50244</v>
      </c>
      <c r="EF24" s="577">
        <v>47776</v>
      </c>
      <c r="EG24" s="685">
        <v>46392</v>
      </c>
      <c r="EH24" s="1753">
        <f t="shared" si="62"/>
      </c>
      <c r="EI24" s="2094">
        <v>44420</v>
      </c>
      <c r="EJ24" s="577">
        <v>42408</v>
      </c>
      <c r="EK24" s="577">
        <v>40336</v>
      </c>
      <c r="EL24" s="685">
        <v>48325</v>
      </c>
      <c r="EM24" s="1291">
        <f t="shared" si="63"/>
      </c>
      <c r="EN24" s="2094">
        <v>47448</v>
      </c>
      <c r="EO24" s="577">
        <v>46246</v>
      </c>
      <c r="EP24" s="577">
        <v>35021</v>
      </c>
      <c r="EQ24" s="685">
        <v>34175</v>
      </c>
      <c r="ER24" s="1291">
        <f t="shared" si="64"/>
      </c>
      <c r="ES24" s="577">
        <v>34286</v>
      </c>
      <c r="ET24" s="577">
        <v>39725</v>
      </c>
      <c r="EU24" s="577">
        <v>39490</v>
      </c>
      <c r="EV24" s="685">
        <v>37618</v>
      </c>
      <c r="EW24" s="1291">
        <f t="shared" si="65"/>
      </c>
      <c r="EX24" s="577">
        <v>36755</v>
      </c>
      <c r="EY24" s="577">
        <v>49835</v>
      </c>
      <c r="EZ24" s="948">
        <f t="shared" ref="EZ24:FA24" si="70">+EZ161</f>
      </c>
      <c r="FA24" s="1251">
        <f t="shared" si="70"/>
      </c>
      <c r="FB24" s="3600">
        <f t="shared" si="67"/>
      </c>
      <c r="FC24" s="1291">
        <f>+FC161</f>
      </c>
      <c r="FD24" s="1291">
        <f>+FD161</f>
      </c>
      <c r="FE24" s="1291">
        <f>+FE161</f>
      </c>
      <c r="FF24" s="1291">
        <f>+FF161</f>
      </c>
      <c r="FG24" s="1291">
        <f>+FG161</f>
      </c>
      <c r="FH24" s="2579"/>
      <c r="FI24" s="948"/>
    </row>
    <row r="25" spans="1:165">
      <c r="A25" s="6"/>
      <c r="B25" s="65" t="s">
        <v>208</v>
      </c>
      <c r="C25" s="577">
        <v>30</v>
      </c>
      <c r="D25" s="577">
        <v>100</v>
      </c>
      <c r="E25" s="577">
        <v>506</v>
      </c>
      <c r="F25" s="577">
        <v>484</v>
      </c>
      <c r="G25" s="577">
        <v>262</v>
      </c>
      <c r="H25" s="577">
        <v>307</v>
      </c>
      <c r="I25" s="577">
        <v>333</v>
      </c>
      <c r="J25" s="577">
        <v>358</v>
      </c>
      <c r="K25" s="577">
        <v>404</v>
      </c>
      <c r="L25" s="577">
        <v>287</v>
      </c>
      <c r="M25" s="67">
        <f t="shared" si="37"/>
      </c>
      <c r="N25" s="577">
        <v>278</v>
      </c>
      <c r="O25" s="577">
        <v>333</v>
      </c>
      <c r="P25" s="577">
        <v>309</v>
      </c>
      <c r="Q25" s="577">
        <v>332</v>
      </c>
      <c r="R25" s="67">
        <f t="shared" si="38"/>
      </c>
      <c r="S25" s="577">
        <v>366</v>
      </c>
      <c r="T25" s="577">
        <v>411</v>
      </c>
      <c r="U25" s="577">
        <v>411</v>
      </c>
      <c r="V25" s="10">
        <f t="shared" si="39"/>
      </c>
      <c r="W25" s="67">
        <f t="shared" si="39"/>
      </c>
      <c r="X25" s="577">
        <v>76</v>
      </c>
      <c r="Y25" s="577">
        <v>138</v>
      </c>
      <c r="Z25" s="577">
        <v>289</v>
      </c>
      <c r="AA25" s="577">
        <v>258</v>
      </c>
      <c r="AB25" s="67">
        <f t="shared" si="40"/>
      </c>
      <c r="AC25" s="577">
        <v>240</v>
      </c>
      <c r="AD25" s="577">
        <v>90</v>
      </c>
      <c r="AE25" s="577">
        <v>240</v>
      </c>
      <c r="AF25" s="577">
        <v>240</v>
      </c>
      <c r="AG25" s="67">
        <f t="shared" si="41"/>
      </c>
      <c r="AH25" s="577">
        <v>136</v>
      </c>
      <c r="AI25" s="577">
        <v>250</v>
      </c>
      <c r="AJ25" s="577">
        <v>279</v>
      </c>
      <c r="AK25" s="577">
        <v>288</v>
      </c>
      <c r="AL25" s="67">
        <f t="shared" si="42"/>
      </c>
      <c r="AM25" s="577">
        <v>316</v>
      </c>
      <c r="AN25" s="577">
        <v>46</v>
      </c>
      <c r="AO25" s="577">
        <v>93</v>
      </c>
      <c r="AP25" s="577">
        <v>236</v>
      </c>
      <c r="AQ25" s="67">
        <f t="shared" si="43"/>
      </c>
      <c r="AR25" s="577">
        <v>286</v>
      </c>
      <c r="AS25" s="577">
        <v>381</v>
      </c>
      <c r="AT25" s="577">
        <v>402</v>
      </c>
      <c r="AU25" s="577">
        <v>692</v>
      </c>
      <c r="AV25" s="67">
        <f t="shared" si="44"/>
      </c>
      <c r="AW25" s="577">
        <v>822</v>
      </c>
      <c r="AX25" s="577">
        <v>995</v>
      </c>
      <c r="AY25" s="577">
        <v>955</v>
      </c>
      <c r="AZ25" s="577">
        <v>551</v>
      </c>
      <c r="BA25" s="67">
        <f t="shared" si="45"/>
      </c>
      <c r="BB25" s="577">
        <v>355</v>
      </c>
      <c r="BC25" s="577">
        <v>363</v>
      </c>
      <c r="BD25" s="577">
        <v>658</v>
      </c>
      <c r="BE25" s="577">
        <v>1138</v>
      </c>
      <c r="BF25" s="67">
        <f t="shared" si="46"/>
      </c>
      <c r="BG25" s="577">
        <v>1269</v>
      </c>
      <c r="BH25" s="577">
        <v>1683</v>
      </c>
      <c r="BI25" s="577">
        <f>1865</f>
      </c>
      <c r="BJ25" s="577">
        <v>3210</v>
      </c>
      <c r="BK25" s="67">
        <f t="shared" si="47"/>
      </c>
      <c r="BL25" s="577">
        <v>3273</v>
      </c>
      <c r="BM25" s="577">
        <v>3575</v>
      </c>
      <c r="BN25" s="577">
        <v>3808</v>
      </c>
      <c r="BO25" s="577">
        <v>4889</v>
      </c>
      <c r="BP25" s="67">
        <f t="shared" si="48"/>
      </c>
      <c r="BQ25" s="577">
        <v>5129</v>
      </c>
      <c r="BR25" s="577">
        <v>5422</v>
      </c>
      <c r="BS25" s="577">
        <v>5191</v>
      </c>
      <c r="BT25" s="577">
        <v>5841</v>
      </c>
      <c r="BU25" s="67">
        <f t="shared" si="49"/>
      </c>
      <c r="BV25" s="577">
        <v>5479</v>
      </c>
      <c r="BW25" s="577">
        <v>5870</v>
      </c>
      <c r="BX25" s="577">
        <v>5888</v>
      </c>
      <c r="BY25" s="577">
        <v>5507</v>
      </c>
      <c r="BZ25" s="67">
        <f t="shared" si="50"/>
      </c>
      <c r="CA25" s="577">
        <v>4905</v>
      </c>
      <c r="CB25" s="577">
        <v>5109</v>
      </c>
      <c r="CC25" s="577">
        <v>5175</v>
      </c>
      <c r="CD25" s="577">
        <v>5096</v>
      </c>
      <c r="CE25" s="67">
        <f t="shared" si="51"/>
      </c>
      <c r="CF25" s="577">
        <v>5327</v>
      </c>
      <c r="CG25" s="577">
        <v>5653</v>
      </c>
      <c r="CH25" s="577">
        <v>5564</v>
      </c>
      <c r="CI25" s="577">
        <v>6540</v>
      </c>
      <c r="CJ25" s="67">
        <f t="shared" si="52"/>
      </c>
      <c r="CK25" s="577">
        <v>5911</v>
      </c>
      <c r="CL25" s="577">
        <v>4011</v>
      </c>
      <c r="CM25" s="577">
        <v>4227</v>
      </c>
      <c r="CN25" s="577">
        <v>4541</v>
      </c>
      <c r="CO25" s="67">
        <f t="shared" si="53"/>
      </c>
      <c r="CP25" s="577">
        <v>4506</v>
      </c>
      <c r="CQ25" s="577">
        <v>4740</v>
      </c>
      <c r="CR25" s="577">
        <v>4596</v>
      </c>
      <c r="CS25" s="577">
        <v>3872</v>
      </c>
      <c r="CT25" s="67">
        <f t="shared" si="54"/>
      </c>
      <c r="CU25" s="577">
        <v>3685</v>
      </c>
      <c r="CV25" s="577">
        <v>3380</v>
      </c>
      <c r="CW25" s="577">
        <v>3347</v>
      </c>
      <c r="CX25" s="577">
        <v>3396</v>
      </c>
      <c r="CY25" s="67">
        <f t="shared" si="55"/>
      </c>
      <c r="CZ25" s="577">
        <v>3059</v>
      </c>
      <c r="DA25" s="577">
        <v>3087</v>
      </c>
      <c r="DB25" s="577">
        <v>3150</v>
      </c>
      <c r="DC25" s="577">
        <v>5490</v>
      </c>
      <c r="DD25" s="67">
        <f t="shared" si="56"/>
      </c>
      <c r="DE25" s="577">
        <v>5678</v>
      </c>
      <c r="DF25" s="577">
        <v>5776</v>
      </c>
      <c r="DG25" s="577">
        <v>5897</v>
      </c>
      <c r="DH25" s="577">
        <v>6148</v>
      </c>
      <c r="DI25" s="1111">
        <f t="shared" si="57"/>
      </c>
      <c r="DJ25" s="577">
        <v>6380</v>
      </c>
      <c r="DK25" s="577">
        <v>6111</v>
      </c>
      <c r="DL25" s="577">
        <v>6303</v>
      </c>
      <c r="DM25" s="577">
        <v>7105</v>
      </c>
      <c r="DN25" s="1111">
        <f t="shared" si="58"/>
      </c>
      <c r="DO25" s="577">
        <v>8785</v>
      </c>
      <c r="DP25" s="577">
        <v>8472</v>
      </c>
      <c r="DQ25" s="577">
        <v>8076</v>
      </c>
      <c r="DR25" s="577">
        <v>7640</v>
      </c>
      <c r="DS25" s="1111">
        <f t="shared" si="59"/>
      </c>
      <c r="DT25" s="577">
        <v>7533</v>
      </c>
      <c r="DU25" s="577">
        <v>7647</v>
      </c>
      <c r="DV25" s="577">
        <v>7696</v>
      </c>
      <c r="DW25" s="577">
        <v>7819</v>
      </c>
      <c r="DX25" s="2089">
        <f t="shared" si="60"/>
      </c>
      <c r="DY25" s="2094">
        <v>7539</v>
      </c>
      <c r="DZ25" s="577">
        <v>7805</v>
      </c>
      <c r="EA25" s="577">
        <v>7816</v>
      </c>
      <c r="EB25" s="577">
        <v>8534</v>
      </c>
      <c r="EC25" s="1505">
        <f t="shared" si="61"/>
      </c>
      <c r="ED25" s="2094">
        <v>8321</v>
      </c>
      <c r="EE25" s="577">
        <v>10804</v>
      </c>
      <c r="EF25" s="577">
        <v>10646</v>
      </c>
      <c r="EG25" s="685">
        <v>10223</v>
      </c>
      <c r="EH25" s="1753">
        <f t="shared" si="62"/>
      </c>
      <c r="EI25" s="2094">
        <v>9936</v>
      </c>
      <c r="EJ25" s="577">
        <v>9514</v>
      </c>
      <c r="EK25" s="577">
        <v>9392</v>
      </c>
      <c r="EL25" s="685">
        <v>9123</v>
      </c>
      <c r="EM25" s="1291">
        <f t="shared" si="63"/>
      </c>
      <c r="EN25" s="2094">
        <v>8817</v>
      </c>
      <c r="EO25" s="577">
        <v>8779</v>
      </c>
      <c r="EP25" s="577">
        <v>9259</v>
      </c>
      <c r="EQ25" s="685">
        <v>9279</v>
      </c>
      <c r="ER25" s="1291">
        <f t="shared" si="64"/>
      </c>
      <c r="ES25" s="577">
        <v>10305</v>
      </c>
      <c r="ET25" s="577">
        <v>9004</v>
      </c>
      <c r="EU25" s="577">
        <v>9349</v>
      </c>
      <c r="EV25" s="685">
        <v>10461</v>
      </c>
      <c r="EW25" s="1291">
        <f t="shared" si="65"/>
      </c>
      <c r="EX25" s="577">
        <v>8492</v>
      </c>
      <c r="EY25" s="577">
        <v>6801</v>
      </c>
      <c r="EZ25" s="948">
        <f t="shared" ref="EZ25:FA25" si="71">+EZ69*EZ84</f>
      </c>
      <c r="FA25" s="1251">
        <f t="shared" si="71"/>
      </c>
      <c r="FB25" s="1291">
        <f t="shared" si="67"/>
      </c>
      <c r="FC25" s="1291">
        <f>+FC69*FC84</f>
      </c>
      <c r="FD25" s="1291">
        <f>+FD69*FD84</f>
      </c>
      <c r="FE25" s="1291">
        <f>+FE69*FE84</f>
      </c>
      <c r="FF25" s="1291">
        <f>+FF69*FF84</f>
      </c>
      <c r="FG25" s="1291">
        <f>+FG69*FG84</f>
      </c>
      <c r="FH25" s="2579"/>
      <c r="FI25" s="948"/>
    </row>
    <row r="26" spans="1:165" ht="13.2" thickBot="1">
      <c r="A26" s="6"/>
      <c r="B26" s="65" t="s">
        <v>288</v>
      </c>
      <c r="C26" s="577">
        <v>604</v>
      </c>
      <c r="D26" s="577">
        <v>799</v>
      </c>
      <c r="E26" s="577">
        <v>769</v>
      </c>
      <c r="F26" s="577">
        <v>773</v>
      </c>
      <c r="G26" s="577">
        <v>1059</v>
      </c>
      <c r="H26" s="577">
        <v>1144</v>
      </c>
      <c r="I26" s="577">
        <v>1163</v>
      </c>
      <c r="J26" s="577">
        <v>1254</v>
      </c>
      <c r="K26" s="577">
        <v>1271</v>
      </c>
      <c r="L26" s="577">
        <v>1244</v>
      </c>
      <c r="M26" s="67">
        <f t="shared" si="37"/>
      </c>
      <c r="N26" s="577">
        <v>1398</v>
      </c>
      <c r="O26" s="577">
        <v>1259</v>
      </c>
      <c r="P26" s="577">
        <v>1127</v>
      </c>
      <c r="Q26" s="577">
        <v>1102</v>
      </c>
      <c r="R26" s="67">
        <f t="shared" si="38"/>
      </c>
      <c r="S26" s="10">
        <v>1059</v>
      </c>
      <c r="T26" s="10">
        <v>1100</v>
      </c>
      <c r="U26" s="10">
        <v>1092</v>
      </c>
      <c r="V26" s="10">
        <f t="shared" si="39"/>
      </c>
      <c r="W26" s="67">
        <f t="shared" si="39"/>
      </c>
      <c r="X26" s="577">
        <v>1073</v>
      </c>
      <c r="Y26" s="577">
        <v>1080</v>
      </c>
      <c r="Z26" s="577">
        <v>1057</v>
      </c>
      <c r="AA26" s="577">
        <v>1371</v>
      </c>
      <c r="AB26" s="67">
        <f t="shared" si="40"/>
      </c>
      <c r="AC26" s="577">
        <v>1653</v>
      </c>
      <c r="AD26" s="577">
        <v>1364</v>
      </c>
      <c r="AE26" s="577">
        <v>1653</v>
      </c>
      <c r="AF26" s="577">
        <v>1713</v>
      </c>
      <c r="AG26" s="67">
        <f t="shared" si="41"/>
      </c>
      <c r="AH26" s="577">
        <v>1746</v>
      </c>
      <c r="AI26" s="577">
        <v>1698</v>
      </c>
      <c r="AJ26" s="577">
        <v>1679</v>
      </c>
      <c r="AK26" s="577">
        <v>1962</v>
      </c>
      <c r="AL26" s="67">
        <f t="shared" si="42"/>
      </c>
      <c r="AM26" s="577">
        <v>1912</v>
      </c>
      <c r="AN26" s="577">
        <v>1962</v>
      </c>
      <c r="AO26" s="577">
        <v>1938</v>
      </c>
      <c r="AP26" s="577">
        <v>2977</v>
      </c>
      <c r="AQ26" s="67">
        <f t="shared" si="43"/>
      </c>
      <c r="AR26" s="577">
        <v>2892</v>
      </c>
      <c r="AS26" s="577">
        <v>2999</v>
      </c>
      <c r="AT26" s="577">
        <v>3067</v>
      </c>
      <c r="AU26" s="577">
        <v>3107</v>
      </c>
      <c r="AV26" s="67">
        <f t="shared" si="44"/>
      </c>
      <c r="AW26" s="577">
        <v>2501</v>
      </c>
      <c r="AX26" s="577">
        <v>3095</v>
      </c>
      <c r="AY26" s="577">
        <v>2933</v>
      </c>
      <c r="AZ26" s="577">
        <v>3122</v>
      </c>
      <c r="BA26" s="67">
        <f t="shared" si="45"/>
      </c>
      <c r="BB26" s="10">
        <v>3222</v>
      </c>
      <c r="BC26" s="10">
        <v>3135</v>
      </c>
      <c r="BD26" s="10">
        <v>2983</v>
      </c>
      <c r="BE26" s="10">
        <v>3221</v>
      </c>
      <c r="BF26" s="67">
        <f t="shared" si="46"/>
      </c>
      <c r="BG26" s="577">
        <v>3243</v>
      </c>
      <c r="BH26" s="577">
        <v>3211</v>
      </c>
      <c r="BI26" s="577">
        <v>3278</v>
      </c>
      <c r="BJ26" s="577">
        <v>2623</v>
      </c>
      <c r="BK26" s="67">
        <f t="shared" si="47"/>
      </c>
      <c r="BL26" s="577">
        <v>2695</v>
      </c>
      <c r="BM26" s="577">
        <v>2736</v>
      </c>
      <c r="BN26" s="577">
        <v>2787</v>
      </c>
      <c r="BO26" s="577">
        <v>3170</v>
      </c>
      <c r="BP26" s="67">
        <f t="shared" si="48"/>
      </c>
      <c r="BQ26" s="577">
        <v>3126</v>
      </c>
      <c r="BR26" s="577">
        <v>3043</v>
      </c>
      <c r="BS26" s="577">
        <v>3015</v>
      </c>
      <c r="BT26" s="577">
        <v>2630</v>
      </c>
      <c r="BU26" s="67">
        <f t="shared" si="49"/>
      </c>
      <c r="BV26" s="577">
        <v>2589</v>
      </c>
      <c r="BW26" s="577">
        <v>2682</v>
      </c>
      <c r="BX26" s="577">
        <v>3581</v>
      </c>
      <c r="BY26" s="577">
        <f>3690</f>
      </c>
      <c r="BZ26" s="67">
        <f t="shared" si="50"/>
      </c>
      <c r="CA26" s="577">
        <v>3622</v>
      </c>
      <c r="CB26" s="577">
        <v>3200</v>
      </c>
      <c r="CC26" s="577">
        <v>3552</v>
      </c>
      <c r="CD26" s="577">
        <v>3942</v>
      </c>
      <c r="CE26" s="67">
        <f t="shared" si="51"/>
      </c>
      <c r="CF26" s="577">
        <v>3705</v>
      </c>
      <c r="CG26" s="577">
        <v>4193</v>
      </c>
      <c r="CH26" s="577">
        <v>3905</v>
      </c>
      <c r="CI26" s="577">
        <v>3773</v>
      </c>
      <c r="CJ26" s="67">
        <f t="shared" si="52"/>
      </c>
      <c r="CK26" s="577">
        <v>3956</v>
      </c>
      <c r="CL26" s="577">
        <v>3891</v>
      </c>
      <c r="CM26" s="577">
        <v>3521</v>
      </c>
      <c r="CN26" s="577">
        <v>3417</v>
      </c>
      <c r="CO26" s="67">
        <f t="shared" si="53"/>
      </c>
      <c r="CP26" s="577">
        <v>3723</v>
      </c>
      <c r="CQ26" s="577">
        <v>2477</v>
      </c>
      <c r="CR26" s="577">
        <v>2715</v>
      </c>
      <c r="CS26" s="577">
        <v>4949</v>
      </c>
      <c r="CT26" s="67">
        <f t="shared" si="54"/>
      </c>
      <c r="CU26" s="577">
        <v>6459</v>
      </c>
      <c r="CV26" s="577">
        <v>6435</v>
      </c>
      <c r="CW26" s="577">
        <v>5033</v>
      </c>
      <c r="CX26" s="577">
        <v>3232</v>
      </c>
      <c r="CY26" s="67">
        <f t="shared" si="55"/>
      </c>
      <c r="CZ26" s="577">
        <v>3605</v>
      </c>
      <c r="DA26" s="577">
        <v>3855</v>
      </c>
      <c r="DB26" s="577">
        <v>3804</v>
      </c>
      <c r="DC26" s="577">
        <v>4413</v>
      </c>
      <c r="DD26" s="67">
        <f t="shared" si="56"/>
      </c>
      <c r="DE26" s="577">
        <v>4163</v>
      </c>
      <c r="DF26" s="577">
        <v>3977</v>
      </c>
      <c r="DG26" s="577">
        <v>4245</v>
      </c>
      <c r="DH26" s="577">
        <v>4435</v>
      </c>
      <c r="DI26" s="1111">
        <f t="shared" si="57"/>
      </c>
      <c r="DJ26" s="577">
        <v>4690</v>
      </c>
      <c r="DK26" s="577">
        <v>5273</v>
      </c>
      <c r="DL26" s="577">
        <v>5021</v>
      </c>
      <c r="DM26" s="577">
        <v>4971</v>
      </c>
      <c r="DN26" s="1111">
        <f t="shared" si="58"/>
      </c>
      <c r="DO26" s="577">
        <v>4518</v>
      </c>
      <c r="DP26" s="577">
        <v>4421</v>
      </c>
      <c r="DQ26" s="577">
        <v>4465</v>
      </c>
      <c r="DR26" s="577">
        <v>4182</v>
      </c>
      <c r="DS26" s="1111">
        <f t="shared" si="59"/>
      </c>
      <c r="DT26" s="577">
        <v>5159</v>
      </c>
      <c r="DU26" s="577">
        <v>5430</v>
      </c>
      <c r="DV26" s="577">
        <v>5307</v>
      </c>
      <c r="DW26" s="577">
        <v>5695</v>
      </c>
      <c r="DX26" s="2089">
        <f t="shared" si="60"/>
      </c>
      <c r="DY26" s="2094">
        <v>5042</v>
      </c>
      <c r="DZ26" s="577">
        <v>5782</v>
      </c>
      <c r="EA26" s="577">
        <v>6131</v>
      </c>
      <c r="EB26" s="577">
        <v>6562</v>
      </c>
      <c r="EC26" s="1505">
        <f t="shared" si="61"/>
      </c>
      <c r="ED26" s="2094">
        <v>6538</v>
      </c>
      <c r="EE26" s="577">
        <v>7172</v>
      </c>
      <c r="EF26" s="577">
        <v>6870</v>
      </c>
      <c r="EG26" s="685">
        <v>10216</v>
      </c>
      <c r="EH26" s="1753">
        <f t="shared" si="62"/>
      </c>
      <c r="EI26" s="2094">
        <v>9939</v>
      </c>
      <c r="EJ26" s="577">
        <v>9435</v>
      </c>
      <c r="EK26" s="577">
        <v>8625</v>
      </c>
      <c r="EL26" s="685">
        <v>9602</v>
      </c>
      <c r="EM26" s="1291">
        <f t="shared" si="63"/>
      </c>
      <c r="EN26" s="2094">
        <v>9567</v>
      </c>
      <c r="EO26" s="2689">
        <v>10078</v>
      </c>
      <c r="EP26" s="2689">
        <v>13133</v>
      </c>
      <c r="EQ26" s="685">
        <v>14153</v>
      </c>
      <c r="ER26" s="1291">
        <f t="shared" si="64"/>
      </c>
      <c r="ES26" s="577">
        <v>14125</v>
      </c>
      <c r="ET26" s="2689">
        <v>10544</v>
      </c>
      <c r="EU26" s="2689">
        <v>10921</v>
      </c>
      <c r="EV26" s="685">
        <v>11414</v>
      </c>
      <c r="EW26" s="1291">
        <f t="shared" si="65"/>
      </c>
      <c r="EX26" s="577">
        <v>11534</v>
      </c>
      <c r="EY26" s="2689">
        <v>12189</v>
      </c>
      <c r="EZ26" s="948">
        <f>+(EZ67*EZ84)</f>
      </c>
      <c r="FA26" s="1251">
        <f>+(FA67*FA84)</f>
      </c>
      <c r="FB26" s="1315">
        <f t="shared" si="67"/>
      </c>
      <c r="FC26" s="1315">
        <f t="shared" ref="FC26:FG26" si="72">+(FC67*FC84)</f>
      </c>
      <c r="FD26" s="1315">
        <f t="shared" si="72"/>
      </c>
      <c r="FE26" s="1315">
        <f t="shared" si="72"/>
      </c>
      <c r="FF26" s="1315">
        <f t="shared" si="72"/>
      </c>
      <c r="FG26" s="1315">
        <f t="shared" si="72"/>
      </c>
      <c r="FH26" s="2579"/>
      <c r="FI26" s="948"/>
    </row>
    <row r="27" spans="1:165" ht="13.2" thickTop="1">
      <c r="A27" s="16"/>
      <c r="B27" s="619" t="s">
        <v>289</v>
      </c>
      <c r="C27" s="620">
        <f t="shared" ref="C27:L27" si="73">SUM(C21:C26)+C20</f>
      </c>
      <c r="D27" s="620">
        <f t="shared" si="73"/>
      </c>
      <c r="E27" s="620">
        <f t="shared" si="73"/>
      </c>
      <c r="F27" s="620">
        <f t="shared" si="73"/>
      </c>
      <c r="G27" s="620">
        <f t="shared" si="73"/>
      </c>
      <c r="H27" s="620">
        <f t="shared" si="73"/>
      </c>
      <c r="I27" s="620">
        <f t="shared" si="73"/>
      </c>
      <c r="J27" s="620">
        <f t="shared" si="73"/>
      </c>
      <c r="K27" s="620">
        <f t="shared" si="73"/>
      </c>
      <c r="L27" s="620">
        <f t="shared" si="73"/>
      </c>
      <c r="M27" s="621">
        <f t="shared" si="37"/>
      </c>
      <c r="N27" s="620">
        <f>SUM(N21:N26)+N20</f>
      </c>
      <c r="O27" s="620">
        <f>SUM(O21:O26)+O20</f>
      </c>
      <c r="P27" s="620">
        <f>SUM(P21:P26)+P20</f>
      </c>
      <c r="Q27" s="620">
        <f>SUM(Q21:Q26)+Q20</f>
      </c>
      <c r="R27" s="621">
        <f t="shared" si="38"/>
      </c>
      <c r="S27" s="620">
        <f>SUM(S21:S26)+S20</f>
      </c>
      <c r="T27" s="620">
        <f>SUM(T21:T26)+T20</f>
      </c>
      <c r="U27" s="620">
        <f>SUM(U21:U26)+U20</f>
      </c>
      <c r="V27" s="620">
        <f t="shared" si="39"/>
      </c>
      <c r="W27" s="621">
        <f t="shared" si="39"/>
      </c>
      <c r="X27" s="620">
        <f>SUM(X21:X26)+X20</f>
      </c>
      <c r="Y27" s="620">
        <v>27126</v>
      </c>
      <c r="Z27" s="620">
        <f>SUM(Z21:Z26)+Z20</f>
      </c>
      <c r="AA27" s="620">
        <f>SUM(AA21:AA26)+AA20</f>
      </c>
      <c r="AB27" s="621">
        <f t="shared" si="40"/>
      </c>
      <c r="AC27" s="620">
        <f>SUM(AC21:AC26)+AC20</f>
      </c>
      <c r="AD27" s="620">
        <f>SUM(AD21:AD26)+AD20</f>
      </c>
      <c r="AE27" s="620">
        <f>SUM(AE21:AE26)+AE20</f>
      </c>
      <c r="AF27" s="620">
        <f>SUM(AF21:AF26)+AF20</f>
      </c>
      <c r="AG27" s="621">
        <f t="shared" si="41"/>
      </c>
      <c r="AH27" s="620">
        <f>SUM(AH21:AH26)+AH20</f>
      </c>
      <c r="AI27" s="620">
        <f>SUM(AI21:AI26)+AI20</f>
      </c>
      <c r="AJ27" s="620">
        <f>SUM(AJ21:AJ26)+AJ20</f>
      </c>
      <c r="AK27" s="620">
        <f>SUM(AK21:AK26)+AK20</f>
      </c>
      <c r="AL27" s="621">
        <f t="shared" si="42"/>
      </c>
      <c r="AM27" s="620">
        <f>SUM(AM21:AM26)+AM20</f>
      </c>
      <c r="AN27" s="620">
        <f>SUM(AN21:AN26)+AN20</f>
      </c>
      <c r="AO27" s="620">
        <f>SUM(AO21:AO26)+AO20</f>
      </c>
      <c r="AP27" s="620">
        <f>SUM(AP21:AP26)+AP20</f>
      </c>
      <c r="AQ27" s="621">
        <f t="shared" si="43"/>
      </c>
      <c r="AR27" s="620">
        <f>SUM(AR21:AR26)+AR20</f>
      </c>
      <c r="AS27" s="620">
        <f>SUM(AS21:AS26)+AS20</f>
      </c>
      <c r="AT27" s="620">
        <f>SUM(AT21:AT26)+AT20</f>
      </c>
      <c r="AU27" s="620">
        <f>SUM(AU21:AU26)+AU20</f>
      </c>
      <c r="AV27" s="621">
        <f t="shared" ref="AV27:BS27" si="74">SUM(AV21:AV26)+AV20-AV23</f>
      </c>
      <c r="AW27" s="620">
        <f t="shared" si="74"/>
      </c>
      <c r="AX27" s="620">
        <f t="shared" si="74"/>
      </c>
      <c r="AY27" s="620">
        <f t="shared" si="74"/>
      </c>
      <c r="AZ27" s="620">
        <f t="shared" si="74"/>
      </c>
      <c r="BA27" s="621">
        <f t="shared" si="74"/>
      </c>
      <c r="BB27" s="620">
        <f t="shared" si="74"/>
      </c>
      <c r="BC27" s="620">
        <f>SUM(BC21:BC26)+BC20-BC23</f>
      </c>
      <c r="BD27" s="620">
        <f t="shared" si="74"/>
      </c>
      <c r="BE27" s="620">
        <f t="shared" si="74"/>
      </c>
      <c r="BF27" s="621">
        <f t="shared" si="74"/>
      </c>
      <c r="BG27" s="620">
        <f t="shared" si="74"/>
      </c>
      <c r="BH27" s="620">
        <f t="shared" si="74"/>
      </c>
      <c r="BI27" s="620">
        <f t="shared" si="74"/>
      </c>
      <c r="BJ27" s="620">
        <f t="shared" si="74"/>
      </c>
      <c r="BK27" s="621">
        <f t="shared" si="74"/>
      </c>
      <c r="BL27" s="620">
        <f t="shared" si="74"/>
      </c>
      <c r="BM27" s="620">
        <f t="shared" si="74"/>
      </c>
      <c r="BN27" s="620">
        <f t="shared" si="74"/>
      </c>
      <c r="BO27" s="620">
        <f t="shared" si="74"/>
      </c>
      <c r="BP27" s="621">
        <f t="shared" si="74"/>
      </c>
      <c r="BQ27" s="620">
        <f t="shared" si="74"/>
      </c>
      <c r="BR27" s="620">
        <f t="shared" si="74"/>
      </c>
      <c r="BS27" s="620">
        <f t="shared" si="74"/>
      </c>
      <c r="BT27" s="620">
        <f t="shared" ref="BT27:CC27" si="75">SUM(BT21:BT26)+BT20-BT23</f>
      </c>
      <c r="BU27" s="621">
        <f t="shared" si="75"/>
      </c>
      <c r="BV27" s="620">
        <f t="shared" si="75"/>
      </c>
      <c r="BW27" s="620">
        <f t="shared" si="75"/>
      </c>
      <c r="BX27" s="620">
        <f t="shared" si="75"/>
      </c>
      <c r="BY27" s="620">
        <f t="shared" si="75"/>
      </c>
      <c r="BZ27" s="620">
        <f t="shared" si="75"/>
      </c>
      <c r="CA27" s="620">
        <f t="shared" si="75"/>
      </c>
      <c r="CB27" s="620">
        <f t="shared" si="75"/>
      </c>
      <c r="CC27" s="620">
        <f t="shared" si="75"/>
      </c>
      <c r="CD27" s="620">
        <f>SUM(CD21:CD26)+CD20-CD23</f>
      </c>
      <c r="CE27" s="621">
        <f>SUM(CE21:CE26)+CE20-CE23</f>
      </c>
      <c r="CF27" s="620">
        <f t="shared" ref="CF27:CN27" si="76">SUM(CF21:CF26)+CF20</f>
      </c>
      <c r="CG27" s="620">
        <f t="shared" si="76"/>
      </c>
      <c r="CH27" s="620">
        <f t="shared" si="76"/>
      </c>
      <c r="CI27" s="620">
        <f t="shared" si="76"/>
      </c>
      <c r="CJ27" s="620">
        <f t="shared" si="76"/>
      </c>
      <c r="CK27" s="620">
        <f t="shared" si="76"/>
      </c>
      <c r="CL27" s="620">
        <f t="shared" si="76"/>
      </c>
      <c r="CM27" s="620">
        <f t="shared" si="76"/>
      </c>
      <c r="CN27" s="620">
        <f t="shared" si="76"/>
      </c>
      <c r="CO27" s="621">
        <f>+CO54</f>
      </c>
      <c r="CP27" s="620">
        <f t="shared" ref="CP27:CU27" si="77">SUM(CP21:CP26)+CP20</f>
      </c>
      <c r="CQ27" s="620">
        <f t="shared" si="77"/>
      </c>
      <c r="CR27" s="620">
        <f t="shared" si="77"/>
      </c>
      <c r="CS27" s="620">
        <f t="shared" si="77"/>
      </c>
      <c r="CT27" s="620">
        <f t="shared" si="77"/>
      </c>
      <c r="CU27" s="620">
        <f t="shared" si="77"/>
      </c>
      <c r="CV27" s="620">
        <f>SUM(CV21:CV26)+CV20</f>
      </c>
      <c r="CW27" s="620">
        <f>SUM(CW21:CW26)+CW20</f>
      </c>
      <c r="CX27" s="620">
        <f>SUM(CX21:CX26)+CX20</f>
      </c>
      <c r="CY27" s="620">
        <f>SUM(CY21:CY26)+CY20</f>
      </c>
      <c r="CZ27" s="620">
        <f>+CZ54</f>
      </c>
      <c r="DA27" s="620">
        <f>+DA54</f>
      </c>
      <c r="DB27" s="620">
        <f>+DB54</f>
      </c>
      <c r="DC27" s="620">
        <f>+DC54</f>
      </c>
      <c r="DD27" s="620">
        <f>SUM(DD21:DD26)+DD20</f>
      </c>
      <c r="DE27" s="620">
        <f t="shared" ref="DE27:DQ27" si="78">SUM(DE21:DE26)+DE20</f>
      </c>
      <c r="DF27" s="620">
        <f t="shared" si="78"/>
      </c>
      <c r="DG27" s="620">
        <f t="shared" si="78"/>
      </c>
      <c r="DH27" s="620">
        <f t="shared" si="78"/>
      </c>
      <c r="DI27" s="621">
        <f t="shared" si="78"/>
      </c>
      <c r="DJ27" s="620">
        <f t="shared" si="78"/>
      </c>
      <c r="DK27" s="620">
        <f t="shared" si="78"/>
      </c>
      <c r="DL27" s="620">
        <f t="shared" si="78"/>
      </c>
      <c r="DM27" s="620">
        <f t="shared" si="78"/>
      </c>
      <c r="DN27" s="621">
        <f>SUM(DN21:DN26)+DN20</f>
      </c>
      <c r="DO27" s="620">
        <f t="shared" si="78"/>
      </c>
      <c r="DP27" s="620">
        <f t="shared" si="78"/>
      </c>
      <c r="DQ27" s="620">
        <f t="shared" si="78"/>
      </c>
      <c r="DR27" s="620">
        <f>SUM(DR21:DR26)+DR20</f>
      </c>
      <c r="DS27" s="621">
        <f>SUM(DS21:DS26)+DS20</f>
      </c>
      <c r="DT27" s="620">
        <f t="shared" ref="DT27:EA27" si="79">SUM(DT20:DT26)</f>
      </c>
      <c r="DU27" s="620">
        <f t="shared" si="79"/>
      </c>
      <c r="DV27" s="620">
        <f t="shared" si="79"/>
      </c>
      <c r="DW27" s="620">
        <f>SUM(DW20:DW26)</f>
      </c>
      <c r="DX27" s="2091">
        <f>SUM(DX20:DX26)</f>
      </c>
      <c r="DY27" s="619">
        <f t="shared" si="79"/>
      </c>
      <c r="DZ27" s="620">
        <f t="shared" si="79"/>
      </c>
      <c r="EA27" s="620">
        <f t="shared" si="79"/>
      </c>
      <c r="EB27" s="620">
        <f>SUM(EB20:EB26)</f>
      </c>
      <c r="EC27" s="2710">
        <f>SUM(EC20:EC26)</f>
      </c>
      <c r="ED27" s="619">
        <f t="shared" ref="ED27:EI27" si="80">SUM(ED20:ED26)</f>
      </c>
      <c r="EE27" s="620">
        <f t="shared" si="80"/>
      </c>
      <c r="EF27" s="620">
        <f t="shared" si="80"/>
      </c>
      <c r="EG27" s="2039">
        <f t="shared" si="80"/>
      </c>
      <c r="EH27" s="1757">
        <f t="shared" si="80"/>
      </c>
      <c r="EI27" s="619">
        <f t="shared" si="80"/>
      </c>
      <c r="EJ27" s="620">
        <f t="shared" ref="EJ27:FB27" si="81">SUM(EJ20:EJ26)</f>
      </c>
      <c r="EK27" s="620">
        <f t="shared" si="81"/>
      </c>
      <c r="EL27" s="2039">
        <f t="shared" si="81"/>
      </c>
      <c r="EM27" s="1181">
        <f t="shared" si="81"/>
      </c>
      <c r="EN27" s="619">
        <f t="shared" si="81"/>
      </c>
      <c r="EO27" s="620">
        <f t="shared" si="81"/>
      </c>
      <c r="EP27" s="620">
        <f t="shared" si="81"/>
      </c>
      <c r="EQ27" s="2039">
        <f t="shared" si="81"/>
      </c>
      <c r="ER27" s="1181">
        <f t="shared" si="81"/>
      </c>
      <c r="ES27" s="620">
        <f t="shared" si="81"/>
      </c>
      <c r="ET27" s="620">
        <f t="shared" si="81"/>
      </c>
      <c r="EU27" s="620">
        <f t="shared" ref="EU27:EY27" si="82">SUM(EU20:EU26)</f>
      </c>
      <c r="EV27" s="2039">
        <f t="shared" si="82"/>
      </c>
      <c r="EW27" s="1181">
        <f t="shared" si="82"/>
      </c>
      <c r="EX27" s="620">
        <f t="shared" si="82"/>
      </c>
      <c r="EY27" s="620">
        <f t="shared" si="82"/>
      </c>
      <c r="EZ27" s="620">
        <f>SUM(EZ20:EZ26)</f>
      </c>
      <c r="FA27" s="2039">
        <f>SUM(FA20:FA26)</f>
      </c>
      <c r="FB27" s="1181">
        <f t="shared" si="81"/>
      </c>
      <c r="FC27" s="1181">
        <f ca="1">SUM(FC20:FC26)</f>
      </c>
      <c r="FD27" s="1181">
        <f ca="1">SUM(FD20:FD26)</f>
      </c>
      <c r="FE27" s="1181">
        <f ca="1">SUM(FE20:FE26)</f>
      </c>
      <c r="FF27" s="1181">
        <f ca="1">SUM(FF20:FF26)</f>
      </c>
      <c r="FG27" s="1181">
        <f ca="1">SUM(FG20:FG26)</f>
      </c>
      <c r="FH27" s="2579"/>
      <c r="FI27" s="948"/>
    </row>
    <row r="28" spans="1:165">
      <c r="A28" s="1"/>
      <c r="B28" s="276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2762"/>
      <c r="CO28" s="1"/>
      <c r="CP28" s="10"/>
      <c r="CQ28" s="10"/>
      <c r="CR28" s="2762"/>
      <c r="CS28" s="2762"/>
      <c r="CT28" s="2762"/>
      <c r="CU28" s="10"/>
      <c r="CV28" s="2762"/>
      <c r="CW28" s="10"/>
      <c r="CX28" s="2762"/>
      <c r="CY28" s="2762"/>
      <c r="CZ28" s="2762"/>
      <c r="DA28" s="2762"/>
      <c r="DB28" s="10"/>
      <c r="DC28" s="2762"/>
      <c r="DD28" s="2762"/>
      <c r="DE28" s="2762"/>
      <c r="DF28" s="2762"/>
      <c r="DG28" s="10"/>
      <c r="DH28" s="2763"/>
      <c r="DI28" s="2763"/>
      <c r="DJ28" s="2763"/>
      <c r="DK28" s="2763"/>
      <c r="DL28" s="2763"/>
      <c r="DM28" s="2763"/>
      <c r="DN28" s="2763"/>
      <c r="DO28" s="2763"/>
      <c r="DP28" s="2763"/>
      <c r="DQ28" s="2763"/>
      <c r="DR28" s="2763"/>
      <c r="DS28" s="2763"/>
      <c r="DT28" s="2763"/>
      <c r="DU28" s="2763"/>
      <c r="DV28" s="948"/>
      <c r="DW28" s="2763"/>
      <c r="DX28" s="2763"/>
      <c r="DY28" s="2763"/>
      <c r="DZ28" s="948"/>
      <c r="EA28" s="948"/>
      <c r="EB28" s="2763"/>
      <c r="EC28" s="2763"/>
      <c r="ED28" s="2763"/>
      <c r="EE28" s="2763"/>
      <c r="EF28" s="2763"/>
      <c r="EG28" s="2763"/>
      <c r="EH28" s="2763"/>
      <c r="EI28" s="2763"/>
      <c r="EJ28" s="2763"/>
      <c r="EK28" s="2763"/>
      <c r="EL28" s="2763"/>
      <c r="EM28" s="2763"/>
      <c r="EN28" s="2763"/>
      <c r="EO28" s="2763"/>
      <c r="EP28" s="2763"/>
      <c r="EQ28" s="2763"/>
      <c r="ER28" s="2763"/>
      <c r="ES28" s="2763"/>
      <c r="ET28" s="2763"/>
      <c r="EU28" s="2763"/>
      <c r="EV28" s="2763"/>
      <c r="EW28" s="2763"/>
      <c r="EX28" s="2763"/>
      <c r="EY28" s="2763"/>
      <c r="EZ28" s="2763"/>
      <c r="FA28" s="2763"/>
      <c r="FB28" s="2763"/>
      <c r="FC28" s="2763"/>
      <c r="FD28" s="2763"/>
      <c r="FE28" s="2763"/>
      <c r="FF28" s="2763"/>
      <c r="FG28" s="2763"/>
      <c r="FH28" s="2579"/>
      <c r="FI28" s="948"/>
    </row>
    <row r="29" spans="1:165">
      <c r="A29" s="1"/>
      <c r="B29" s="609" t="s">
        <v>290</v>
      </c>
      <c r="C29" s="610"/>
      <c r="D29" s="610"/>
      <c r="E29" s="610"/>
      <c r="F29" s="610"/>
      <c r="G29" s="610"/>
      <c r="H29" s="610"/>
      <c r="I29" s="610"/>
      <c r="J29" s="610"/>
      <c r="K29" s="610"/>
      <c r="L29" s="610"/>
      <c r="M29" s="611"/>
      <c r="N29" s="610"/>
      <c r="O29" s="610"/>
      <c r="P29" s="610"/>
      <c r="Q29" s="610"/>
      <c r="R29" s="611"/>
      <c r="S29" s="610"/>
      <c r="T29" s="610"/>
      <c r="U29" s="610"/>
      <c r="V29" s="610"/>
      <c r="W29" s="611"/>
      <c r="X29" s="610"/>
      <c r="Y29" s="610"/>
      <c r="Z29" s="610"/>
      <c r="AA29" s="610"/>
      <c r="AB29" s="611"/>
      <c r="AC29" s="610"/>
      <c r="AD29" s="610"/>
      <c r="AE29" s="610"/>
      <c r="AF29" s="610"/>
      <c r="AG29" s="611"/>
      <c r="AH29" s="610"/>
      <c r="AI29" s="610"/>
      <c r="AJ29" s="610"/>
      <c r="AK29" s="610"/>
      <c r="AL29" s="611"/>
      <c r="AM29" s="610"/>
      <c r="AN29" s="610"/>
      <c r="AO29" s="610"/>
      <c r="AP29" s="610"/>
      <c r="AQ29" s="611"/>
      <c r="AR29" s="610"/>
      <c r="AS29" s="610"/>
      <c r="AT29" s="610"/>
      <c r="AU29" s="610"/>
      <c r="AV29" s="611"/>
      <c r="AW29" s="610"/>
      <c r="AX29" s="610"/>
      <c r="AY29" s="610"/>
      <c r="AZ29" s="610"/>
      <c r="BA29" s="611"/>
      <c r="BB29" s="610"/>
      <c r="BC29" s="610"/>
      <c r="BD29" s="610"/>
      <c r="BE29" s="610"/>
      <c r="BF29" s="611"/>
      <c r="BG29" s="610"/>
      <c r="BH29" s="610"/>
      <c r="BI29" s="610"/>
      <c r="BJ29" s="610"/>
      <c r="BK29" s="611"/>
      <c r="BL29" s="610"/>
      <c r="BM29" s="610"/>
      <c r="BN29" s="610"/>
      <c r="BO29" s="610"/>
      <c r="BP29" s="611"/>
      <c r="BQ29" s="610"/>
      <c r="BR29" s="610"/>
      <c r="BS29" s="610"/>
      <c r="BT29" s="610"/>
      <c r="BU29" s="611"/>
      <c r="BV29" s="610"/>
      <c r="BW29" s="610"/>
      <c r="BX29" s="610"/>
      <c r="BY29" s="610"/>
      <c r="BZ29" s="611"/>
      <c r="CA29" s="610"/>
      <c r="CB29" s="610"/>
      <c r="CC29" s="610"/>
      <c r="CD29" s="610"/>
      <c r="CE29" s="611"/>
      <c r="CF29" s="610"/>
      <c r="CG29" s="610"/>
      <c r="CH29" s="610"/>
      <c r="CI29" s="610"/>
      <c r="CJ29" s="611"/>
      <c r="CK29" s="610"/>
      <c r="CL29" s="610"/>
      <c r="CM29" s="610"/>
      <c r="CN29" s="610"/>
      <c r="CO29" s="611"/>
      <c r="CP29" s="610"/>
      <c r="CQ29" s="610"/>
      <c r="CR29" s="610"/>
      <c r="CS29" s="610"/>
      <c r="CT29" s="611"/>
      <c r="CU29" s="610"/>
      <c r="CV29" s="610"/>
      <c r="CW29" s="610"/>
      <c r="CX29" s="610"/>
      <c r="CY29" s="611"/>
      <c r="CZ29" s="610"/>
      <c r="DA29" s="610"/>
      <c r="DB29" s="610"/>
      <c r="DC29" s="610"/>
      <c r="DD29" s="611"/>
      <c r="DE29" s="610"/>
      <c r="DF29" s="610"/>
      <c r="DG29" s="610"/>
      <c r="DH29" s="1044"/>
      <c r="DI29" s="611"/>
      <c r="DJ29" s="1044"/>
      <c r="DK29" s="1044"/>
      <c r="DL29" s="1263"/>
      <c r="DM29" s="1044"/>
      <c r="DN29" s="611"/>
      <c r="DO29" s="1263"/>
      <c r="DP29" s="1263"/>
      <c r="DQ29" s="1263"/>
      <c r="DR29" s="1263"/>
      <c r="DS29" s="611"/>
      <c r="DT29" s="1263"/>
      <c r="DU29" s="1263"/>
      <c r="DV29" s="1263"/>
      <c r="DW29" s="1263"/>
      <c r="DX29" s="2095"/>
      <c r="DY29" s="2098"/>
      <c r="DZ29" s="2099"/>
      <c r="EA29" s="2099"/>
      <c r="EB29" s="2099"/>
      <c r="EC29" s="2711"/>
      <c r="ED29" s="2098"/>
      <c r="EE29" s="2099"/>
      <c r="EF29" s="2099"/>
      <c r="EG29" s="2099"/>
      <c r="EH29" s="1751"/>
      <c r="EI29" s="1491"/>
      <c r="EJ29" s="1491"/>
      <c r="EK29" s="1491"/>
      <c r="EL29" s="1491"/>
      <c r="EM29" s="1751"/>
      <c r="EN29" s="2098"/>
      <c r="EO29" s="2145"/>
      <c r="EP29" s="3194"/>
      <c r="EQ29" s="2152"/>
      <c r="ER29" s="2139"/>
      <c r="ES29" s="2145"/>
      <c r="ET29" s="3194"/>
      <c r="EU29" s="3194"/>
      <c r="EV29" s="2152"/>
      <c r="EW29" s="2139"/>
      <c r="EX29" s="3194"/>
      <c r="EY29" s="3194"/>
      <c r="EZ29" s="3194"/>
      <c r="FA29" s="3583"/>
      <c r="FB29" s="1182"/>
      <c r="FC29" s="1182"/>
      <c r="FD29" s="1182"/>
      <c r="FE29" s="1182"/>
      <c r="FF29" s="1182"/>
      <c r="FG29" s="1182"/>
      <c r="FH29" s="2579"/>
      <c r="FI29" s="948"/>
    </row>
    <row r="30" spans="1:165">
      <c r="A30" s="3"/>
      <c r="B30" s="177" t="s">
        <v>291</v>
      </c>
      <c r="C30" s="15"/>
      <c r="D30" s="15"/>
      <c r="E30" s="15"/>
      <c r="F30" s="15"/>
      <c r="G30" s="15"/>
      <c r="H30" s="15"/>
      <c r="I30" s="15"/>
      <c r="J30" s="15"/>
      <c r="K30" s="15"/>
      <c r="L30" s="15"/>
      <c r="M30" s="264"/>
      <c r="N30" s="15"/>
      <c r="O30" s="15"/>
      <c r="P30" s="15"/>
      <c r="Q30" s="15"/>
      <c r="R30" s="264"/>
      <c r="S30" s="15"/>
      <c r="T30" s="15"/>
      <c r="U30" s="15"/>
      <c r="V30" s="15"/>
      <c r="W30" s="264"/>
      <c r="X30" s="15"/>
      <c r="Y30" s="15"/>
      <c r="Z30" s="15"/>
      <c r="AA30" s="15"/>
      <c r="AB30" s="264"/>
      <c r="AC30" s="15"/>
      <c r="AD30" s="15"/>
      <c r="AE30" s="15"/>
      <c r="AF30" s="15"/>
      <c r="AG30" s="264"/>
      <c r="AH30" s="15"/>
      <c r="AI30" s="15"/>
      <c r="AJ30" s="15"/>
      <c r="AK30" s="15"/>
      <c r="AL30" s="264"/>
      <c r="AM30" s="15"/>
      <c r="AN30" s="15"/>
      <c r="AO30" s="15"/>
      <c r="AP30" s="15"/>
      <c r="AQ30" s="264"/>
      <c r="AR30" s="15"/>
      <c r="AS30" s="15"/>
      <c r="AT30" s="15"/>
      <c r="AU30" s="15"/>
      <c r="AV30" s="264"/>
      <c r="AW30" s="15"/>
      <c r="AX30" s="15"/>
      <c r="AY30" s="15"/>
      <c r="AZ30" s="15"/>
      <c r="BA30" s="264"/>
      <c r="BB30" s="15"/>
      <c r="BC30" s="15"/>
      <c r="BD30" s="15"/>
      <c r="BE30" s="15"/>
      <c r="BF30" s="264"/>
      <c r="BG30" s="15"/>
      <c r="BH30" s="15"/>
      <c r="BI30" s="15"/>
      <c r="BJ30" s="15"/>
      <c r="BK30" s="264"/>
      <c r="BL30" s="15"/>
      <c r="BM30" s="15"/>
      <c r="BN30" s="15"/>
      <c r="BO30" s="15"/>
      <c r="BP30" s="264"/>
      <c r="BQ30" s="15"/>
      <c r="BR30" s="15"/>
      <c r="BS30" s="15"/>
      <c r="BT30" s="15"/>
      <c r="BU30" s="264"/>
      <c r="BV30" s="15"/>
      <c r="BW30" s="15"/>
      <c r="BX30" s="15"/>
      <c r="BY30" s="15"/>
      <c r="BZ30" s="264"/>
      <c r="CA30" s="15"/>
      <c r="CB30" s="15"/>
      <c r="CC30" s="15"/>
      <c r="CD30" s="15"/>
      <c r="CE30" s="264"/>
      <c r="CF30" s="15"/>
      <c r="CG30" s="15"/>
      <c r="CH30" s="15"/>
      <c r="CI30" s="15"/>
      <c r="CJ30" s="264"/>
      <c r="CK30" s="15"/>
      <c r="CL30" s="15"/>
      <c r="CM30" s="15"/>
      <c r="CN30" s="15"/>
      <c r="CO30" s="264"/>
      <c r="CP30" s="15"/>
      <c r="CQ30" s="15"/>
      <c r="CR30" s="15"/>
      <c r="CS30" s="15"/>
      <c r="CT30" s="264"/>
      <c r="CU30" s="15"/>
      <c r="CV30" s="15"/>
      <c r="CW30" s="15"/>
      <c r="CX30" s="15"/>
      <c r="CY30" s="264"/>
      <c r="CZ30" s="15"/>
      <c r="DA30" s="15"/>
      <c r="DB30" s="15"/>
      <c r="DC30" s="15"/>
      <c r="DD30" s="264"/>
      <c r="DE30" s="15"/>
      <c r="DF30" s="15"/>
      <c r="DG30" s="15"/>
      <c r="DH30" s="15"/>
      <c r="DI30" s="264"/>
      <c r="DJ30" s="15"/>
      <c r="DK30" s="15"/>
      <c r="DL30" s="15"/>
      <c r="DM30" s="15"/>
      <c r="DN30" s="264"/>
      <c r="DO30" s="15"/>
      <c r="DP30" s="15"/>
      <c r="DQ30" s="15"/>
      <c r="DR30" s="15"/>
      <c r="DS30" s="264"/>
      <c r="DT30" s="15"/>
      <c r="DU30" s="15"/>
      <c r="DV30" s="15"/>
      <c r="DW30" s="15"/>
      <c r="DX30" s="2090"/>
      <c r="DY30" s="270"/>
      <c r="DZ30" s="15"/>
      <c r="EA30" s="15"/>
      <c r="EB30" s="15"/>
      <c r="EC30" s="1505"/>
      <c r="ED30" s="270"/>
      <c r="EE30" s="15"/>
      <c r="EF30" s="15"/>
      <c r="EG30" s="15"/>
      <c r="EH30" s="1752"/>
      <c r="EI30" s="15"/>
      <c r="EJ30" s="15"/>
      <c r="EK30" s="15"/>
      <c r="EL30" s="15"/>
      <c r="EM30" s="1752"/>
      <c r="EN30" s="270"/>
      <c r="EO30" s="15"/>
      <c r="EP30" s="15"/>
      <c r="EQ30" s="2038"/>
      <c r="ER30" s="132"/>
      <c r="ES30" s="15"/>
      <c r="ET30" s="15"/>
      <c r="EU30" s="15"/>
      <c r="EV30" s="2038"/>
      <c r="EW30" s="132"/>
      <c r="EX30" s="15"/>
      <c r="EY30" s="15"/>
      <c r="EZ30" s="15"/>
      <c r="FA30" s="2038"/>
      <c r="FB30" s="132"/>
      <c r="FC30" s="132"/>
      <c r="FD30" s="132"/>
      <c r="FE30" s="132"/>
      <c r="FF30" s="132"/>
      <c r="FG30" s="132"/>
      <c r="FH30" s="2579"/>
      <c r="FI30" s="948"/>
    </row>
    <row r="31" spans="1:165">
      <c r="A31" s="61"/>
      <c r="B31" s="64" t="s">
        <v>292</v>
      </c>
      <c r="C31" s="577">
        <v>876</v>
      </c>
      <c r="D31" s="577">
        <v>679</v>
      </c>
      <c r="E31" s="577">
        <v>1032</v>
      </c>
      <c r="F31" s="577">
        <v>915</v>
      </c>
      <c r="G31" s="577">
        <v>899</v>
      </c>
      <c r="H31" s="577">
        <v>321</v>
      </c>
      <c r="I31" s="577">
        <v>267</v>
      </c>
      <c r="J31" s="577">
        <v>260</v>
      </c>
      <c r="K31" s="577">
        <v>503</v>
      </c>
      <c r="L31" s="577">
        <v>872</v>
      </c>
      <c r="M31" s="67">
        <f t="shared" ref="M31:M36" si="83">+L31</f>
      </c>
      <c r="N31" s="577">
        <v>906</v>
      </c>
      <c r="O31" s="577">
        <v>804</v>
      </c>
      <c r="P31" s="577">
        <v>839</v>
      </c>
      <c r="Q31" s="577">
        <v>714</v>
      </c>
      <c r="R31" s="67">
        <f t="shared" ref="R31:R36" si="84">+Q31</f>
      </c>
      <c r="S31" s="577">
        <v>570</v>
      </c>
      <c r="T31" s="577">
        <v>565</v>
      </c>
      <c r="U31" s="577">
        <v>575</v>
      </c>
      <c r="V31" s="10">
        <f t="shared" ref="V31:W36" si="85">+U31</f>
      </c>
      <c r="W31" s="67">
        <f t="shared" si="85"/>
      </c>
      <c r="X31" s="577">
        <v>2489</v>
      </c>
      <c r="Y31" s="577">
        <v>2566</v>
      </c>
      <c r="Z31" s="577">
        <v>1456</v>
      </c>
      <c r="AA31" s="577">
        <v>1814</v>
      </c>
      <c r="AB31" s="67">
        <f t="shared" ref="AB31:AB36" si="86">+AA31</f>
      </c>
      <c r="AC31" s="577">
        <v>1489</v>
      </c>
      <c r="AD31" s="577">
        <v>870</v>
      </c>
      <c r="AE31" s="577">
        <v>1489</v>
      </c>
      <c r="AF31" s="577">
        <v>1489</v>
      </c>
      <c r="AG31" s="67">
        <f t="shared" ref="AG31:AG40" si="87">+AF31</f>
      </c>
      <c r="AH31" s="577">
        <v>911</v>
      </c>
      <c r="AI31" s="577">
        <v>924</v>
      </c>
      <c r="AJ31" s="577">
        <v>639</v>
      </c>
      <c r="AK31" s="577">
        <v>565</v>
      </c>
      <c r="AL31" s="67">
        <f t="shared" ref="AL31:AL36" si="88">+AK31</f>
      </c>
      <c r="AM31" s="577">
        <v>669</v>
      </c>
      <c r="AN31" s="577">
        <v>2540</v>
      </c>
      <c r="AO31" s="577">
        <v>2381</v>
      </c>
      <c r="AP31" s="577">
        <v>2117</v>
      </c>
      <c r="AQ31" s="67">
        <f t="shared" ref="AQ31:AQ36" si="89">+AP31</f>
      </c>
      <c r="AR31" s="577">
        <v>2103</v>
      </c>
      <c r="AS31" s="577">
        <v>3254</v>
      </c>
      <c r="AT31" s="577">
        <v>2024</v>
      </c>
      <c r="AU31" s="577">
        <v>1139</v>
      </c>
      <c r="AV31" s="67">
        <f t="shared" ref="AV31:AV36" si="90">+AU31</f>
      </c>
      <c r="AW31" s="577">
        <v>594</v>
      </c>
      <c r="AX31" s="577">
        <v>491</v>
      </c>
      <c r="AY31" s="577">
        <v>454</v>
      </c>
      <c r="AZ31" s="577">
        <v>280</v>
      </c>
      <c r="BA31" s="67">
        <f t="shared" ref="BA31:BA36" si="91">+AZ31</f>
      </c>
      <c r="BB31" s="577">
        <v>319</v>
      </c>
      <c r="BC31" s="577">
        <v>304</v>
      </c>
      <c r="BD31" s="577">
        <v>278</v>
      </c>
      <c r="BE31" s="577">
        <v>668</v>
      </c>
      <c r="BF31" s="67">
        <f t="shared" ref="BF31:BF36" si="92">+BE31</f>
      </c>
      <c r="BG31" s="577">
        <v>828</v>
      </c>
      <c r="BH31" s="577">
        <v>654</v>
      </c>
      <c r="BI31" s="577">
        <v>362</v>
      </c>
      <c r="BJ31" s="577">
        <v>4579</v>
      </c>
      <c r="BK31" s="67">
        <f t="shared" ref="BK31:BK36" si="93">+BJ31</f>
      </c>
      <c r="BL31" s="10">
        <v>4682</v>
      </c>
      <c r="BM31" s="10">
        <v>4470</v>
      </c>
      <c r="BN31" s="10">
        <v>3264</v>
      </c>
      <c r="BO31" s="10">
        <v>2463</v>
      </c>
      <c r="BP31" s="67">
        <f t="shared" ref="BP31:BP36" si="94">+BO31</f>
      </c>
      <c r="BQ31" s="577">
        <v>4250</v>
      </c>
      <c r="BR31" s="577">
        <v>5156</v>
      </c>
      <c r="BS31" s="577">
        <v>6245</v>
      </c>
      <c r="BT31" s="577">
        <v>3732</v>
      </c>
      <c r="BU31" s="67">
        <f>+BT31</f>
      </c>
      <c r="BV31" s="577">
        <v>6022</v>
      </c>
      <c r="BW31" s="577">
        <v>5435</v>
      </c>
      <c r="BX31" s="577">
        <v>3341</v>
      </c>
      <c r="BY31" s="577">
        <v>6318</v>
      </c>
      <c r="BZ31" s="67">
        <f>+BY31</f>
      </c>
      <c r="CA31" s="577">
        <v>4044</v>
      </c>
      <c r="CB31" s="577">
        <v>3715</v>
      </c>
      <c r="CC31" s="577">
        <v>2843</v>
      </c>
      <c r="CD31" s="577">
        <v>7617</v>
      </c>
      <c r="CE31" s="67">
        <f>+CD31</f>
      </c>
      <c r="CF31" s="577">
        <v>8575</v>
      </c>
      <c r="CG31" s="577">
        <v>5046</v>
      </c>
      <c r="CH31" s="577">
        <v>5326</v>
      </c>
      <c r="CI31" s="577">
        <v>6658</v>
      </c>
      <c r="CJ31" s="67">
        <f>CI31</f>
      </c>
      <c r="CK31" s="577">
        <v>6439</v>
      </c>
      <c r="CL31" s="577">
        <v>6040</v>
      </c>
      <c r="CM31" s="577">
        <v>5423</v>
      </c>
      <c r="CN31" s="577">
        <v>4676</v>
      </c>
      <c r="CO31" s="67">
        <f>CN31</f>
      </c>
      <c r="CP31" s="577">
        <v>4529</v>
      </c>
      <c r="CQ31" s="577">
        <v>5339</v>
      </c>
      <c r="CR31" s="577">
        <v>5359</v>
      </c>
      <c r="CS31" s="577">
        <v>4852</v>
      </c>
      <c r="CT31" s="67">
        <f>CS31</f>
      </c>
      <c r="CU31" s="577">
        <v>3949</v>
      </c>
      <c r="CV31" s="577">
        <v>3819</v>
      </c>
      <c r="CW31" s="577">
        <v>2115</v>
      </c>
      <c r="CX31" s="577">
        <v>3638</v>
      </c>
      <c r="CY31" s="67">
        <f>CX31</f>
      </c>
      <c r="CZ31" s="577">
        <v>4045</v>
      </c>
      <c r="DA31" s="577">
        <v>5222</v>
      </c>
      <c r="DB31" s="577">
        <v>5677</v>
      </c>
      <c r="DC31" s="577">
        <v>7004</v>
      </c>
      <c r="DD31" s="67">
        <f>DC31</f>
      </c>
      <c r="DE31" s="577">
        <v>3116</v>
      </c>
      <c r="DF31" s="577">
        <v>1708</v>
      </c>
      <c r="DG31" s="577">
        <v>3443</v>
      </c>
      <c r="DH31" s="577">
        <v>4684</v>
      </c>
      <c r="DI31" s="1111">
        <f>DH31</f>
      </c>
      <c r="DJ31" s="577">
        <v>5355</v>
      </c>
      <c r="DK31" s="577">
        <v>7209</v>
      </c>
      <c r="DL31" s="577">
        <v>8491</v>
      </c>
      <c r="DM31" s="577">
        <v>3906</v>
      </c>
      <c r="DN31" s="1111">
        <f>DM31</f>
      </c>
      <c r="DO31" s="577">
        <v>2696</v>
      </c>
      <c r="DP31" s="577">
        <v>2678</v>
      </c>
      <c r="DQ31" s="577">
        <v>1773</v>
      </c>
      <c r="DR31" s="577">
        <v>2796</v>
      </c>
      <c r="DS31" s="1111">
        <f>DR31</f>
      </c>
      <c r="DT31" s="577">
        <v>1708</v>
      </c>
      <c r="DU31" s="577">
        <v>1719</v>
      </c>
      <c r="DV31" s="577">
        <v>2299</v>
      </c>
      <c r="DW31" s="577">
        <v>1202</v>
      </c>
      <c r="DX31" s="2089">
        <f>DW31</f>
      </c>
      <c r="DY31" s="2094">
        <v>2190</v>
      </c>
      <c r="DZ31" s="577">
        <v>5332</v>
      </c>
      <c r="EA31" s="577">
        <v>5078</v>
      </c>
      <c r="EB31" s="577">
        <v>2631</v>
      </c>
      <c r="EC31" s="1505">
        <f>EB31</f>
      </c>
      <c r="ED31" s="2094">
        <v>3350</v>
      </c>
      <c r="EE31" s="577">
        <v>3173</v>
      </c>
      <c r="EF31" s="577">
        <v>3798</v>
      </c>
      <c r="EG31" s="577">
        <v>3766</v>
      </c>
      <c r="EH31" s="1753">
        <f>EG31</f>
      </c>
      <c r="EI31" s="577">
        <v>4297</v>
      </c>
      <c r="EJ31" s="577">
        <v>4305</v>
      </c>
      <c r="EK31" s="577">
        <v>4424</v>
      </c>
      <c r="EL31" s="577">
        <v>12771</v>
      </c>
      <c r="EM31" s="1753">
        <f>EL31</f>
      </c>
      <c r="EN31" s="577">
        <v>17979</v>
      </c>
      <c r="EO31" s="577">
        <v>11701</v>
      </c>
      <c r="EP31" s="577">
        <v>3870</v>
      </c>
      <c r="EQ31" s="685">
        <v>3451</v>
      </c>
      <c r="ER31" s="1291">
        <f>EQ31</f>
      </c>
      <c r="ES31" s="577">
        <v>8550</v>
      </c>
      <c r="ET31" s="577">
        <v>9855</v>
      </c>
      <c r="EU31" s="577">
        <v>4462</v>
      </c>
      <c r="EV31" s="685">
        <v>5983</v>
      </c>
      <c r="EW31" s="1291">
        <f>EV31</f>
      </c>
      <c r="EX31" s="577">
        <v>13897</v>
      </c>
      <c r="EY31" s="577">
        <v>11526</v>
      </c>
      <c r="EZ31" s="948">
        <f t="shared" ref="EZ31:FA31" si="95">+EZ207</f>
      </c>
      <c r="FA31" s="1251">
        <f t="shared" si="95"/>
      </c>
      <c r="FB31" s="1291">
        <f>FA31</f>
      </c>
      <c r="FC31" s="1291">
        <f t="shared" ref="FC31:FD31" si="96">+FC207</f>
      </c>
      <c r="FD31" s="1291">
        <f t="shared" si="96"/>
      </c>
      <c r="FE31" s="1291">
        <f>+FE207</f>
      </c>
      <c r="FF31" s="1291">
        <f>+FF207</f>
      </c>
      <c r="FG31" s="1291">
        <f>+FG207</f>
      </c>
      <c r="FH31" s="2579"/>
      <c r="FI31" s="948"/>
    </row>
    <row r="32" spans="1:165">
      <c r="A32" s="6"/>
      <c r="B32" s="65" t="s">
        <v>293</v>
      </c>
      <c r="C32" s="577">
        <v>829</v>
      </c>
      <c r="D32" s="577">
        <v>934</v>
      </c>
      <c r="E32" s="577">
        <v>910</v>
      </c>
      <c r="F32" s="577">
        <v>901</v>
      </c>
      <c r="G32" s="577">
        <v>1192</v>
      </c>
      <c r="H32" s="577">
        <v>1602</v>
      </c>
      <c r="I32" s="577">
        <v>1347</v>
      </c>
      <c r="J32" s="577">
        <v>1360</v>
      </c>
      <c r="K32" s="577">
        <v>1320</v>
      </c>
      <c r="L32" s="577">
        <v>1743</v>
      </c>
      <c r="M32" s="67">
        <f t="shared" si="83"/>
      </c>
      <c r="N32" s="577">
        <v>1451</v>
      </c>
      <c r="O32" s="577">
        <v>1447</v>
      </c>
      <c r="P32" s="577">
        <v>1412</v>
      </c>
      <c r="Q32" s="577">
        <v>1753</v>
      </c>
      <c r="R32" s="67">
        <f t="shared" si="84"/>
      </c>
      <c r="S32" s="577">
        <v>1483</v>
      </c>
      <c r="T32" s="577">
        <v>1517</v>
      </c>
      <c r="U32" s="577">
        <v>1487</v>
      </c>
      <c r="V32" s="10">
        <f t="shared" si="85"/>
      </c>
      <c r="W32" s="67">
        <f t="shared" si="85"/>
      </c>
      <c r="X32" s="577">
        <v>1587</v>
      </c>
      <c r="Y32" s="577">
        <v>1609</v>
      </c>
      <c r="Z32" s="577">
        <v>1576</v>
      </c>
      <c r="AA32" s="577">
        <v>2049</v>
      </c>
      <c r="AB32" s="67">
        <f t="shared" si="86"/>
      </c>
      <c r="AC32" s="577">
        <v>2122</v>
      </c>
      <c r="AD32" s="577">
        <v>1785</v>
      </c>
      <c r="AE32" s="577">
        <v>2122</v>
      </c>
      <c r="AF32" s="577">
        <v>2122</v>
      </c>
      <c r="AG32" s="67">
        <f t="shared" si="87"/>
      </c>
      <c r="AH32" s="577">
        <v>1976</v>
      </c>
      <c r="AI32" s="577">
        <v>2049</v>
      </c>
      <c r="AJ32" s="577">
        <v>2173</v>
      </c>
      <c r="AK32" s="577">
        <v>2838</v>
      </c>
      <c r="AL32" s="67">
        <f t="shared" si="88"/>
      </c>
      <c r="AM32" s="577">
        <v>2358</v>
      </c>
      <c r="AN32" s="577">
        <v>2883</v>
      </c>
      <c r="AO32" s="577">
        <v>2503</v>
      </c>
      <c r="AP32" s="577">
        <v>3621</v>
      </c>
      <c r="AQ32" s="67">
        <f t="shared" si="89"/>
      </c>
      <c r="AR32" s="577">
        <v>3077</v>
      </c>
      <c r="AS32" s="577">
        <v>3589</v>
      </c>
      <c r="AT32" s="577">
        <v>3660</v>
      </c>
      <c r="AU32" s="577">
        <v>4966</v>
      </c>
      <c r="AV32" s="67">
        <f t="shared" si="90"/>
      </c>
      <c r="AW32" s="577">
        <v>3782</v>
      </c>
      <c r="AX32" s="577">
        <v>3829</v>
      </c>
      <c r="AY32" s="577">
        <v>3646</v>
      </c>
      <c r="AZ32" s="577">
        <v>5227</v>
      </c>
      <c r="BA32" s="67">
        <f t="shared" si="91"/>
      </c>
      <c r="BB32" s="577">
        <v>4038</v>
      </c>
      <c r="BC32" s="577">
        <v>3949</v>
      </c>
      <c r="BD32" s="577">
        <v>3684</v>
      </c>
      <c r="BE32" s="577">
        <v>4315</v>
      </c>
      <c r="BF32" s="67">
        <f t="shared" si="92"/>
      </c>
      <c r="BG32" s="577">
        <v>3939</v>
      </c>
      <c r="BH32" s="577">
        <v>4089</v>
      </c>
      <c r="BI32" s="577">
        <v>3964</v>
      </c>
      <c r="BJ32" s="577">
        <v>5691</v>
      </c>
      <c r="BK32" s="67">
        <f t="shared" si="93"/>
      </c>
      <c r="BL32" s="10">
        <v>5643</v>
      </c>
      <c r="BM32" s="10">
        <v>5458</v>
      </c>
      <c r="BN32" s="10">
        <v>5963</v>
      </c>
      <c r="BO32" s="10">
        <v>6909</v>
      </c>
      <c r="BP32" s="67">
        <f t="shared" si="94"/>
      </c>
      <c r="BQ32" s="577">
        <v>7487</v>
      </c>
      <c r="BR32" s="577">
        <v>6623</v>
      </c>
      <c r="BS32" s="577">
        <v>6384</v>
      </c>
      <c r="BT32" s="577">
        <v>7503</v>
      </c>
      <c r="BU32" s="67">
        <f>+BT32</f>
      </c>
      <c r="BV32" s="577">
        <v>6395</v>
      </c>
      <c r="BW32" s="577">
        <v>5832</v>
      </c>
      <c r="BX32" s="577">
        <v>6419</v>
      </c>
      <c r="BY32" s="577">
        <v>5541</v>
      </c>
      <c r="BZ32" s="67">
        <f>+BY32</f>
      </c>
      <c r="CA32" s="577">
        <v>5126</v>
      </c>
      <c r="CB32" s="577">
        <v>4871</v>
      </c>
      <c r="CC32" s="577">
        <v>5477</v>
      </c>
      <c r="CD32" s="577">
        <v>5623</v>
      </c>
      <c r="CE32" s="67">
        <f>+CD32</f>
      </c>
      <c r="CF32" s="577">
        <v>5701</v>
      </c>
      <c r="CG32" s="577">
        <v>5689</v>
      </c>
      <c r="CH32" s="577">
        <v>5730</v>
      </c>
      <c r="CI32" s="577">
        <v>5725</v>
      </c>
      <c r="CJ32" s="67">
        <f>CI32</f>
      </c>
      <c r="CK32" s="577">
        <v>5085</v>
      </c>
      <c r="CL32" s="577">
        <v>5145</v>
      </c>
      <c r="CM32" s="577">
        <v>5344</v>
      </c>
      <c r="CN32" s="577">
        <v>5831</v>
      </c>
      <c r="CO32" s="67">
        <f>CN32</f>
      </c>
      <c r="CP32" s="577">
        <v>5372</v>
      </c>
      <c r="CQ32" s="577">
        <v>5687</v>
      </c>
      <c r="CR32" s="577">
        <v>6055</v>
      </c>
      <c r="CS32" s="577">
        <v>6266</v>
      </c>
      <c r="CT32" s="67">
        <f>CS32</f>
      </c>
      <c r="CU32" s="577">
        <v>6113</v>
      </c>
      <c r="CV32" s="577">
        <v>6193</v>
      </c>
      <c r="CW32" s="577">
        <v>6603</v>
      </c>
      <c r="CX32" s="577">
        <v>7633</v>
      </c>
      <c r="CY32" s="67">
        <f>CX32</f>
      </c>
      <c r="CZ32" s="577">
        <v>6719</v>
      </c>
      <c r="DA32" s="577">
        <v>6140</v>
      </c>
      <c r="DB32" s="577">
        <v>5928</v>
      </c>
      <c r="DC32" s="577">
        <v>6668</v>
      </c>
      <c r="DD32" s="67">
        <f>DC32</f>
      </c>
      <c r="DE32" s="577">
        <v>5965</v>
      </c>
      <c r="DF32" s="577">
        <v>6061</v>
      </c>
      <c r="DG32" s="577">
        <v>5971</v>
      </c>
      <c r="DH32" s="577">
        <v>6918</v>
      </c>
      <c r="DI32" s="1111">
        <f>DH32</f>
      </c>
      <c r="DJ32" s="577">
        <v>6082</v>
      </c>
      <c r="DK32" s="577">
        <v>6135</v>
      </c>
      <c r="DL32" s="577">
        <v>6390</v>
      </c>
      <c r="DM32" s="577">
        <v>7310</v>
      </c>
      <c r="DN32" s="1111">
        <f>DM32</f>
      </c>
      <c r="DO32" s="577">
        <v>6443</v>
      </c>
      <c r="DP32" s="577">
        <v>6516</v>
      </c>
      <c r="DQ32" s="577">
        <v>7000</v>
      </c>
      <c r="DR32" s="577">
        <v>7537</v>
      </c>
      <c r="DS32" s="1111">
        <f>DR32</f>
      </c>
      <c r="DT32" s="577">
        <v>6923</v>
      </c>
      <c r="DU32" s="577">
        <v>6912</v>
      </c>
      <c r="DV32" s="577">
        <v>7491</v>
      </c>
      <c r="DW32" s="577">
        <v>8544</v>
      </c>
      <c r="DX32" s="2089">
        <f>DW32</f>
      </c>
      <c r="DY32" s="2094">
        <v>7411</v>
      </c>
      <c r="DZ32" s="577">
        <v>6765</v>
      </c>
      <c r="EA32" s="577">
        <v>7044</v>
      </c>
      <c r="EB32" s="577">
        <v>9505</v>
      </c>
      <c r="EC32" s="1505">
        <f>EB32</f>
      </c>
      <c r="ED32" s="2094">
        <v>8503</v>
      </c>
      <c r="EE32" s="577">
        <v>8704</v>
      </c>
      <c r="EF32" s="577">
        <v>8961</v>
      </c>
      <c r="EG32" s="577">
        <v>11055</v>
      </c>
      <c r="EH32" s="1753">
        <f>EG32</f>
      </c>
      <c r="EI32" s="577">
        <v>9309</v>
      </c>
      <c r="EJ32" s="577">
        <v>9765</v>
      </c>
      <c r="EK32" s="577">
        <v>10153</v>
      </c>
      <c r="EL32" s="577">
        <v>11703</v>
      </c>
      <c r="EM32" s="1753">
        <f>EL32</f>
      </c>
      <c r="EN32" s="577">
        <v>9909</v>
      </c>
      <c r="EO32" s="577">
        <v>10443</v>
      </c>
      <c r="EP32" s="577">
        <v>8355</v>
      </c>
      <c r="EQ32" s="685">
        <v>9632</v>
      </c>
      <c r="ER32" s="1291">
        <f t="shared" ref="ER32:ER40" si="97">EQ32</f>
      </c>
      <c r="ES32" s="577">
        <v>8174</v>
      </c>
      <c r="ET32" s="577">
        <v>8848</v>
      </c>
      <c r="EU32" s="577">
        <v>8954</v>
      </c>
      <c r="EV32" s="685">
        <v>10311</v>
      </c>
      <c r="EW32" s="1291">
        <f t="shared" ref="EW32:EW35" si="98">EV32</f>
      </c>
      <c r="EX32" s="577">
        <v>9545</v>
      </c>
      <c r="EY32" s="577">
        <v>9464</v>
      </c>
      <c r="EZ32" s="948">
        <f t="shared" ref="EZ32:FA32" si="99">+EZ61*EZ86/365</f>
      </c>
      <c r="FA32" s="1251">
        <f t="shared" si="99"/>
      </c>
      <c r="FB32" s="1291">
        <f>FA32</f>
      </c>
      <c r="FC32" s="1291">
        <f>+FC61*FC86/365</f>
      </c>
      <c r="FD32" s="1291">
        <f>+FD61*FD86/365</f>
      </c>
      <c r="FE32" s="1291">
        <f>+FE61*FE86/365</f>
      </c>
      <c r="FF32" s="1291">
        <f>+FF61*FF86/365</f>
      </c>
      <c r="FG32" s="1291">
        <f>+FG61*FG86/365</f>
      </c>
      <c r="FH32" s="2579"/>
      <c r="FI32" s="948"/>
    </row>
    <row r="33" spans="1:165">
      <c r="A33" s="6"/>
      <c r="B33" s="65" t="s">
        <v>276</v>
      </c>
      <c r="C33" s="577">
        <v>851</v>
      </c>
      <c r="D33" s="577">
        <v>918</v>
      </c>
      <c r="E33" s="577">
        <v>1302</v>
      </c>
      <c r="F33" s="577">
        <v>1283</v>
      </c>
      <c r="G33" s="577">
        <v>1602</v>
      </c>
      <c r="H33" s="577">
        <v>1949</v>
      </c>
      <c r="I33" s="577">
        <v>2049</v>
      </c>
      <c r="J33" s="577">
        <v>2122</v>
      </c>
      <c r="K33" s="577">
        <v>2212</v>
      </c>
      <c r="L33" s="577">
        <v>2010</v>
      </c>
      <c r="M33" s="67">
        <f t="shared" si="83"/>
      </c>
      <c r="N33" s="577">
        <v>2248</v>
      </c>
      <c r="O33" s="577">
        <v>2265</v>
      </c>
      <c r="P33" s="577">
        <v>2309</v>
      </c>
      <c r="Q33" s="577">
        <v>2258</v>
      </c>
      <c r="R33" s="67">
        <f t="shared" si="84"/>
      </c>
      <c r="S33" s="577">
        <v>2342</v>
      </c>
      <c r="T33" s="577">
        <v>2373</v>
      </c>
      <c r="U33" s="577">
        <v>2427</v>
      </c>
      <c r="V33" s="10">
        <f t="shared" si="85"/>
      </c>
      <c r="W33" s="67">
        <f t="shared" si="85"/>
      </c>
      <c r="X33" s="577">
        <v>2930</v>
      </c>
      <c r="Y33" s="577">
        <v>2793</v>
      </c>
      <c r="Z33" s="577">
        <v>2701</v>
      </c>
      <c r="AA33" s="577">
        <v>2992</v>
      </c>
      <c r="AB33" s="67">
        <f t="shared" si="86"/>
      </c>
      <c r="AC33" s="577">
        <v>2793</v>
      </c>
      <c r="AD33" s="577">
        <v>2948</v>
      </c>
      <c r="AE33" s="577">
        <v>2793</v>
      </c>
      <c r="AF33" s="577">
        <v>2793</v>
      </c>
      <c r="AG33" s="67">
        <f t="shared" si="87"/>
      </c>
      <c r="AH33" s="577">
        <v>2758</v>
      </c>
      <c r="AI33" s="577">
        <v>3218</v>
      </c>
      <c r="AJ33" s="577">
        <v>3089</v>
      </c>
      <c r="AK33" s="577">
        <v>3135</v>
      </c>
      <c r="AL33" s="67">
        <f t="shared" si="88"/>
      </c>
      <c r="AM33" s="577">
        <v>3447</v>
      </c>
      <c r="AN33" s="577">
        <v>3541</v>
      </c>
      <c r="AO33" s="577">
        <v>3892</v>
      </c>
      <c r="AP33" s="577">
        <v>3820</v>
      </c>
      <c r="AQ33" s="67">
        <f t="shared" si="89"/>
      </c>
      <c r="AR33" s="577">
        <v>4248</v>
      </c>
      <c r="AS33" s="577">
        <v>4494</v>
      </c>
      <c r="AT33" s="577">
        <v>5037</v>
      </c>
      <c r="AU33" s="577">
        <f>2639+2308</f>
      </c>
      <c r="AV33" s="67">
        <f t="shared" si="90"/>
      </c>
      <c r="AW33" s="577">
        <f>2729+2671</f>
      </c>
      <c r="AX33" s="577">
        <f>2740+2743</f>
      </c>
      <c r="AY33" s="577">
        <f>2951+2855</f>
      </c>
      <c r="AZ33" s="577">
        <f>2297+3523</f>
      </c>
      <c r="BA33" s="67">
        <f t="shared" si="91"/>
      </c>
      <c r="BB33" s="577">
        <f>3115+2492</f>
      </c>
      <c r="BC33" s="577">
        <f>3153+2312</f>
      </c>
      <c r="BD33" s="577">
        <f>3164+2120</f>
      </c>
      <c r="BE33" s="577">
        <f>3529+2017</f>
      </c>
      <c r="BF33" s="67">
        <f t="shared" si="92"/>
      </c>
      <c r="BG33" s="577">
        <f>3520+2026</f>
      </c>
      <c r="BH33" s="577">
        <f>3286+1948</f>
      </c>
      <c r="BI33" s="577">
        <f>3330+2183</f>
      </c>
      <c r="BJ33" s="577">
        <f>4587+2189</f>
      </c>
      <c r="BK33" s="67">
        <f t="shared" si="93"/>
      </c>
      <c r="BL33" s="10">
        <f>4483+2352</f>
      </c>
      <c r="BM33" s="10">
        <f>4585+2447</f>
      </c>
      <c r="BN33" s="10">
        <f>5076+2519</f>
      </c>
      <c r="BO33" s="10">
        <f>6412+2318</f>
      </c>
      <c r="BP33" s="67">
        <f t="shared" si="94"/>
      </c>
      <c r="BQ33" s="577">
        <f>5751+2659</f>
      </c>
      <c r="BR33" s="577">
        <f>5631+2693</f>
      </c>
      <c r="BS33" s="577">
        <f>5521+2609</f>
      </c>
      <c r="BT33" s="577">
        <v>5531</v>
      </c>
      <c r="BU33" s="67">
        <f>+BT33</f>
      </c>
      <c r="BV33" s="577">
        <v>4561</v>
      </c>
      <c r="BW33" s="577">
        <v>4765</v>
      </c>
      <c r="BX33" s="577">
        <v>4862</v>
      </c>
      <c r="BY33" s="577">
        <v>5796</v>
      </c>
      <c r="BZ33" s="67">
        <f>+BY33</f>
      </c>
      <c r="CA33" s="577">
        <v>4415</v>
      </c>
      <c r="CB33" s="577">
        <v>4186</v>
      </c>
      <c r="CC33" s="577">
        <v>4333</v>
      </c>
      <c r="CD33" s="577">
        <v>4100</v>
      </c>
      <c r="CE33" s="67">
        <f>+CD33</f>
      </c>
      <c r="CF33" s="577">
        <v>4093</v>
      </c>
      <c r="CG33" s="577">
        <v>4405</v>
      </c>
      <c r="CH33" s="577">
        <v>4136</v>
      </c>
      <c r="CI33" s="577">
        <v>4608</v>
      </c>
      <c r="CJ33" s="67">
        <f>CI33</f>
      </c>
      <c r="CK33" s="577">
        <v>4369</v>
      </c>
      <c r="CL33" s="577">
        <v>6533</v>
      </c>
      <c r="CM33" s="577">
        <v>6498</v>
      </c>
      <c r="CN33" s="577">
        <v>7299</v>
      </c>
      <c r="CO33" s="67">
        <f>CN33</f>
      </c>
      <c r="CP33" s="577">
        <v>6904</v>
      </c>
      <c r="CQ33" s="577">
        <v>6646</v>
      </c>
      <c r="CR33" s="577">
        <v>6921</v>
      </c>
      <c r="CS33" s="577">
        <v>7685</v>
      </c>
      <c r="CT33" s="67">
        <f>CS33</f>
      </c>
      <c r="CU33" s="577">
        <v>7710</v>
      </c>
      <c r="CV33" s="577">
        <v>7178</v>
      </c>
      <c r="CW33" s="577">
        <v>6188</v>
      </c>
      <c r="CX33" s="577">
        <v>6553</v>
      </c>
      <c r="CY33" s="67">
        <f>CX33</f>
      </c>
      <c r="CZ33" s="577">
        <v>5575</v>
      </c>
      <c r="DA33" s="577">
        <v>5319</v>
      </c>
      <c r="DB33" s="577">
        <v>5062</v>
      </c>
      <c r="DC33" s="577">
        <v>5411</v>
      </c>
      <c r="DD33" s="67">
        <f>DC33</f>
      </c>
      <c r="DE33" s="577">
        <v>4996</v>
      </c>
      <c r="DF33" s="577">
        <v>5650</v>
      </c>
      <c r="DG33" s="577">
        <v>5283</v>
      </c>
      <c r="DH33" s="577">
        <v>5635</v>
      </c>
      <c r="DI33" s="1111">
        <f>DH33</f>
      </c>
      <c r="DJ33" s="577">
        <v>5262</v>
      </c>
      <c r="DK33" s="577">
        <v>6076</v>
      </c>
      <c r="DL33" s="577">
        <v>5897</v>
      </c>
      <c r="DM33" s="577">
        <v>7304</v>
      </c>
      <c r="DN33" s="1111">
        <f>DM33</f>
      </c>
      <c r="DO33" s="577">
        <v>6535</v>
      </c>
      <c r="DP33" s="577">
        <v>6394</v>
      </c>
      <c r="DQ33" s="577">
        <v>6044</v>
      </c>
      <c r="DR33" s="577">
        <v>7601</v>
      </c>
      <c r="DS33" s="1111">
        <f>DR33</f>
      </c>
      <c r="DT33" s="577">
        <v>7946</v>
      </c>
      <c r="DU33" s="577">
        <v>8297</v>
      </c>
      <c r="DV33" s="577">
        <v>9004</v>
      </c>
      <c r="DW33" s="577">
        <v>9715</v>
      </c>
      <c r="DX33" s="2089">
        <f>DW33</f>
      </c>
      <c r="DY33" s="2094">
        <v>8384</v>
      </c>
      <c r="DZ33" s="577">
        <v>8940</v>
      </c>
      <c r="EA33" s="577">
        <v>9629</v>
      </c>
      <c r="EB33" s="577">
        <v>13968</v>
      </c>
      <c r="EC33" s="1505">
        <f>EB33</f>
      </c>
      <c r="ED33" s="2094">
        <v>13223</v>
      </c>
      <c r="EE33" s="577">
        <v>10485</v>
      </c>
      <c r="EF33" s="577">
        <v>13812</v>
      </c>
      <c r="EG33" s="577">
        <v>13612</v>
      </c>
      <c r="EH33" s="1753">
        <f>EG33</f>
      </c>
      <c r="EI33" s="577">
        <v>13006</v>
      </c>
      <c r="EJ33" s="577">
        <v>12607</v>
      </c>
      <c r="EK33" s="577">
        <v>11953</v>
      </c>
      <c r="EL33" s="577">
        <v>11456</v>
      </c>
      <c r="EM33" s="1753">
        <f>EL33</f>
      </c>
      <c r="EN33" s="577">
        <v>11204</v>
      </c>
      <c r="EO33" s="577">
        <v>10605</v>
      </c>
      <c r="EP33" s="577">
        <v>10101</v>
      </c>
      <c r="EQ33" s="685">
        <v>10212</v>
      </c>
      <c r="ER33" s="1291">
        <f t="shared" si="97"/>
      </c>
      <c r="ES33" s="577">
        <v>10323</v>
      </c>
      <c r="ET33" s="577">
        <v>10539</v>
      </c>
      <c r="EU33" s="577">
        <v>11450</v>
      </c>
      <c r="EV33" s="685">
        <v>8549</v>
      </c>
      <c r="EW33" s="1291">
        <f t="shared" si="98"/>
      </c>
      <c r="EX33" s="577">
        <v>7913</v>
      </c>
      <c r="EY33" s="577">
        <v>7404</v>
      </c>
      <c r="EZ33" s="948">
        <f t="shared" ref="EZ33:FA33" si="100">+EZ78*EZ84</f>
      </c>
      <c r="FA33" s="1251">
        <f t="shared" si="100"/>
      </c>
      <c r="FB33" s="1291">
        <f>FA33</f>
      </c>
      <c r="FC33" s="1291">
        <f>+FC78*FC84</f>
      </c>
      <c r="FD33" s="1291">
        <f>+FD78*FD84</f>
      </c>
      <c r="FE33" s="1291">
        <f>+FE78*FE84</f>
      </c>
      <c r="FF33" s="1291">
        <f>+FF78*FF84</f>
      </c>
      <c r="FG33" s="1291">
        <f>+FG78*FG84</f>
      </c>
      <c r="FH33" s="2579"/>
      <c r="FI33" s="948"/>
    </row>
    <row r="34" spans="1:165">
      <c r="A34" s="6"/>
      <c r="B34" s="65" t="s">
        <v>277</v>
      </c>
      <c r="C34" s="577"/>
      <c r="D34" s="577"/>
      <c r="E34" s="577"/>
      <c r="F34" s="577"/>
      <c r="G34" s="577">
        <v>257</v>
      </c>
      <c r="H34" s="577">
        <v>292</v>
      </c>
      <c r="I34" s="577">
        <v>395</v>
      </c>
      <c r="J34" s="577">
        <v>395</v>
      </c>
      <c r="K34" s="577">
        <v>493</v>
      </c>
      <c r="L34" s="577">
        <v>322</v>
      </c>
      <c r="M34" s="67">
        <f t="shared" si="83"/>
      </c>
      <c r="N34" s="577">
        <v>386</v>
      </c>
      <c r="O34" s="577">
        <v>402</v>
      </c>
      <c r="P34" s="577">
        <v>519</v>
      </c>
      <c r="Q34" s="577">
        <v>332</v>
      </c>
      <c r="R34" s="67">
        <f t="shared" si="84"/>
      </c>
      <c r="S34" s="577">
        <v>413</v>
      </c>
      <c r="T34" s="577">
        <v>446</v>
      </c>
      <c r="U34" s="577">
        <v>574</v>
      </c>
      <c r="V34" s="10">
        <f t="shared" si="85"/>
      </c>
      <c r="W34" s="67">
        <f t="shared" si="85"/>
      </c>
      <c r="X34" s="577">
        <v>446</v>
      </c>
      <c r="Y34" s="577">
        <v>528</v>
      </c>
      <c r="Z34" s="577">
        <v>621</v>
      </c>
      <c r="AA34" s="577">
        <v>499</v>
      </c>
      <c r="AB34" s="67">
        <f t="shared" si="86"/>
      </c>
      <c r="AC34" s="577">
        <v>529</v>
      </c>
      <c r="AD34" s="577">
        <v>568</v>
      </c>
      <c r="AE34" s="577">
        <v>529</v>
      </c>
      <c r="AF34" s="577">
        <v>529</v>
      </c>
      <c r="AG34" s="67">
        <f t="shared" si="87"/>
      </c>
      <c r="AH34" s="577">
        <v>530</v>
      </c>
      <c r="AI34" s="577">
        <v>670</v>
      </c>
      <c r="AJ34" s="577">
        <v>765</v>
      </c>
      <c r="AK34" s="577">
        <v>969</v>
      </c>
      <c r="AL34" s="67">
        <f t="shared" si="88"/>
      </c>
      <c r="AM34" s="577">
        <v>647</v>
      </c>
      <c r="AN34" s="577">
        <v>802</v>
      </c>
      <c r="AO34" s="577">
        <v>929</v>
      </c>
      <c r="AP34" s="577">
        <v>1181</v>
      </c>
      <c r="AQ34" s="67">
        <f t="shared" si="89"/>
      </c>
      <c r="AR34" s="577">
        <v>691</v>
      </c>
      <c r="AS34" s="577">
        <v>838</v>
      </c>
      <c r="AT34" s="577">
        <v>941</v>
      </c>
      <c r="AU34" s="577">
        <v>1452</v>
      </c>
      <c r="AV34" s="67">
        <f t="shared" si="90"/>
      </c>
      <c r="AW34" s="577">
        <v>813</v>
      </c>
      <c r="AX34" s="577">
        <v>929</v>
      </c>
      <c r="AY34" s="577">
        <v>995</v>
      </c>
      <c r="AZ34" s="577">
        <v>1094</v>
      </c>
      <c r="BA34" s="67">
        <f t="shared" si="91"/>
      </c>
      <c r="BB34" s="577">
        <v>891</v>
      </c>
      <c r="BC34" s="577">
        <v>892</v>
      </c>
      <c r="BD34" s="577">
        <v>1144</v>
      </c>
      <c r="BE34" s="577">
        <v>1166</v>
      </c>
      <c r="BF34" s="67">
        <f t="shared" si="92"/>
      </c>
      <c r="BG34" s="577">
        <v>939</v>
      </c>
      <c r="BH34" s="577">
        <v>985</v>
      </c>
      <c r="BI34" s="577">
        <v>1268</v>
      </c>
      <c r="BJ34" s="577">
        <v>1391</v>
      </c>
      <c r="BK34" s="67">
        <f t="shared" si="93"/>
      </c>
      <c r="BL34" s="10">
        <v>1125</v>
      </c>
      <c r="BM34" s="10">
        <v>1140</v>
      </c>
      <c r="BN34" s="10">
        <v>1474</v>
      </c>
      <c r="BO34" s="10">
        <v>1512</v>
      </c>
      <c r="BP34" s="67">
        <f t="shared" si="94"/>
      </c>
      <c r="BQ34" s="577">
        <v>1222</v>
      </c>
      <c r="BR34" s="577">
        <v>1292</v>
      </c>
      <c r="BS34" s="577">
        <v>1513</v>
      </c>
      <c r="BT34" s="577">
        <f>2237+1432</f>
      </c>
      <c r="BU34" s="67">
        <f>+BT34</f>
      </c>
      <c r="BV34" s="577">
        <f>1153+2489</f>
      </c>
      <c r="BW34" s="577">
        <f>1191+2153</f>
      </c>
      <c r="BX34" s="577">
        <f>2123+1471</f>
      </c>
      <c r="BY34" s="577">
        <f>2028+1606</f>
      </c>
      <c r="BZ34" s="67">
        <f>+BY34</f>
      </c>
      <c r="CA34" s="577">
        <f>1054+2487</f>
      </c>
      <c r="CB34" s="577">
        <f>2404+1197</f>
      </c>
      <c r="CC34" s="577">
        <f>2666+1314</f>
      </c>
      <c r="CD34" s="577">
        <f>2512+2642</f>
      </c>
      <c r="CE34" s="67">
        <f>+CD34</f>
      </c>
      <c r="CF34" s="577">
        <f>1777+2858</f>
      </c>
      <c r="CG34" s="577">
        <f>2933+2104</f>
      </c>
      <c r="CH34" s="577">
        <f>2895+2263</f>
      </c>
      <c r="CI34" s="577">
        <f>2637+2329</f>
      </c>
      <c r="CJ34" s="67">
        <f>CI34</f>
      </c>
      <c r="CK34" s="577">
        <f>2865+1526</f>
      </c>
      <c r="CL34" s="577">
        <f>2960+1911</f>
      </c>
      <c r="CM34" s="577">
        <f>3040+2128</f>
      </c>
      <c r="CN34" s="577">
        <f>2969+2423</f>
      </c>
      <c r="CO34" s="67">
        <f>CN34</f>
      </c>
      <c r="CP34" s="577">
        <f>2910+1631</f>
      </c>
      <c r="CQ34" s="577">
        <f>3138+2001</f>
      </c>
      <c r="CR34" s="577">
        <f>3465+2324</f>
      </c>
      <c r="CS34" s="577">
        <f>3308+2794</f>
      </c>
      <c r="CT34" s="67">
        <f>CS34</f>
      </c>
      <c r="CU34" s="577">
        <f>3463+1743</f>
      </c>
      <c r="CV34" s="577">
        <f>3972+2142</f>
      </c>
      <c r="CW34" s="577">
        <f>4208+2333</f>
      </c>
      <c r="CX34" s="577">
        <f>4010+2751</f>
      </c>
      <c r="CY34" s="67">
        <f>CX34</f>
      </c>
      <c r="CZ34" s="577">
        <f>4697+1557</f>
      </c>
      <c r="DA34" s="577">
        <f>4840+2075</f>
      </c>
      <c r="DB34" s="577">
        <f>5338+2324</f>
      </c>
      <c r="DC34" s="577">
        <f>5440+2474</f>
      </c>
      <c r="DD34" s="67">
        <f>DC34</f>
      </c>
      <c r="DE34" s="577">
        <f>5259+1830</f>
      </c>
      <c r="DF34" s="577">
        <f>5259+2168</f>
      </c>
      <c r="DG34" s="577">
        <f>5181+2554</f>
      </c>
      <c r="DH34" s="577">
        <f>5403+2676</f>
      </c>
      <c r="DI34" s="1111">
        <f>DH34</f>
      </c>
      <c r="DJ34" s="577">
        <f>5451+1836</f>
      </c>
      <c r="DK34" s="577">
        <f>6319+2374</f>
      </c>
      <c r="DL34" s="577">
        <f>6945+2900</f>
      </c>
      <c r="DM34" s="577">
        <f>7210+2953</f>
      </c>
      <c r="DN34" s="1111">
        <f>DM34</f>
      </c>
      <c r="DO34" s="577">
        <f>7956+1892</f>
      </c>
      <c r="DP34" s="577">
        <f>8717+2255</f>
      </c>
      <c r="DQ34" s="577">
        <f>8684+2840</f>
      </c>
      <c r="DR34" s="577">
        <f>9380+3098</f>
      </c>
      <c r="DS34" s="1111">
        <f>DR34</f>
      </c>
      <c r="DT34" s="577">
        <f>9523+1986</f>
      </c>
      <c r="DU34" s="577">
        <f>10433+2291</f>
      </c>
      <c r="DV34" s="577">
        <f>10977+2886</f>
      </c>
      <c r="DW34" s="577">
        <v>14237</v>
      </c>
      <c r="DX34" s="2089">
        <f>DW34</f>
      </c>
      <c r="DY34" s="2094">
        <f>2166+11608</f>
      </c>
      <c r="DZ34" s="577">
        <f>11790+2313</f>
      </c>
      <c r="EA34" s="577">
        <f>12418+3012</f>
      </c>
      <c r="EB34" s="577">
        <f>11513+3484</f>
      </c>
      <c r="EC34" s="1505">
        <f>EB34</f>
      </c>
      <c r="ED34" s="2094">
        <f>11919+2060</f>
      </c>
      <c r="EE34" s="577">
        <f>12450+2709</f>
      </c>
      <c r="EF34" s="577">
        <f>12683+3146</f>
      </c>
      <c r="EG34" s="577">
        <f>12095+3586</f>
      </c>
      <c r="EH34" s="1753">
        <f>EG34</f>
      </c>
      <c r="EI34" s="577">
        <f>12972+2098</f>
      </c>
      <c r="EJ34" s="577">
        <f>13447+2717</f>
      </c>
      <c r="EK34" s="577">
        <f>14021+3006</f>
      </c>
      <c r="EL34" s="577">
        <f>14417+3328</f>
      </c>
      <c r="EM34" s="1753">
        <f>EL34</f>
      </c>
      <c r="EN34" s="577">
        <f>14784+2231</f>
      </c>
      <c r="EO34" s="577">
        <f>15672+3062</f>
      </c>
      <c r="EP34" s="577">
        <f>15808+3337</f>
      </c>
      <c r="EQ34" s="685">
        <f>16001+3993</f>
      </c>
      <c r="ER34" s="1291">
        <f t="shared" si="97"/>
      </c>
      <c r="ES34" s="577">
        <f>16182+2178</f>
      </c>
      <c r="ET34" s="577">
        <f>17539+2843</f>
      </c>
      <c r="EU34" s="577">
        <f>18439+3620</f>
      </c>
      <c r="EV34" s="685">
        <f>17580+4126</f>
      </c>
      <c r="EW34" s="1291">
        <f t="shared" si="98"/>
      </c>
      <c r="EX34" s="577">
        <f>18780+2551</f>
      </c>
      <c r="EY34" s="577">
        <f>20823+3298</f>
      </c>
      <c r="EZ34" s="948">
        <f>+EZ73*EZ84</f>
      </c>
      <c r="FA34" s="1251">
        <f>+FA73*FA84</f>
      </c>
      <c r="FB34" s="1291">
        <f>FA34</f>
      </c>
      <c r="FC34" s="1291">
        <f t="shared" ref="FC34:FG34" si="101">+FC73*FC84</f>
      </c>
      <c r="FD34" s="1291">
        <f t="shared" si="101"/>
      </c>
      <c r="FE34" s="1291">
        <f t="shared" si="101"/>
      </c>
      <c r="FF34" s="1291">
        <f t="shared" si="101"/>
      </c>
      <c r="FG34" s="1291">
        <f t="shared" si="101"/>
      </c>
      <c r="FH34" s="2579"/>
      <c r="FI34" s="948"/>
    </row>
    <row r="35" spans="1:165">
      <c r="A35" s="6"/>
      <c r="B35" s="65" t="s">
        <v>278</v>
      </c>
      <c r="C35" s="577">
        <v>67</v>
      </c>
      <c r="D35" s="577">
        <v>158</v>
      </c>
      <c r="E35" s="577">
        <v>183</v>
      </c>
      <c r="F35" s="577">
        <v>113</v>
      </c>
      <c r="G35" s="577">
        <v>316</v>
      </c>
      <c r="H35" s="577">
        <v>224</v>
      </c>
      <c r="I35" s="577">
        <v>364</v>
      </c>
      <c r="J35" s="577">
        <v>262</v>
      </c>
      <c r="K35" s="577">
        <v>405</v>
      </c>
      <c r="L35" s="577">
        <v>237</v>
      </c>
      <c r="M35" s="67">
        <f t="shared" si="83"/>
      </c>
      <c r="N35" s="577">
        <v>463</v>
      </c>
      <c r="O35" s="577">
        <v>394</v>
      </c>
      <c r="P35" s="577">
        <v>401</v>
      </c>
      <c r="Q35" s="577">
        <v>226</v>
      </c>
      <c r="R35" s="67">
        <f t="shared" si="84"/>
      </c>
      <c r="S35" s="577">
        <v>407</v>
      </c>
      <c r="T35" s="577">
        <v>238</v>
      </c>
      <c r="U35" s="577">
        <v>337</v>
      </c>
      <c r="V35" s="10">
        <f t="shared" si="85"/>
      </c>
      <c r="W35" s="67">
        <f t="shared" si="85"/>
      </c>
      <c r="X35" s="577">
        <v>414</v>
      </c>
      <c r="Y35" s="577">
        <v>390</v>
      </c>
      <c r="Z35" s="577">
        <v>626</v>
      </c>
      <c r="AA35" s="577">
        <v>203</v>
      </c>
      <c r="AB35" s="67">
        <f t="shared" si="86"/>
      </c>
      <c r="AC35" s="577">
        <v>322</v>
      </c>
      <c r="AD35" s="577">
        <v>434</v>
      </c>
      <c r="AE35" s="577">
        <v>322</v>
      </c>
      <c r="AF35" s="577">
        <v>322</v>
      </c>
      <c r="AG35" s="67">
        <f t="shared" si="87"/>
      </c>
      <c r="AH35" s="577">
        <v>754</v>
      </c>
      <c r="AI35" s="577">
        <v>485</v>
      </c>
      <c r="AJ35" s="577">
        <v>838</v>
      </c>
      <c r="AK35" s="577">
        <v>537</v>
      </c>
      <c r="AL35" s="67">
        <f t="shared" si="88"/>
      </c>
      <c r="AM35" s="577">
        <v>1180</v>
      </c>
      <c r="AN35" s="577">
        <v>801</v>
      </c>
      <c r="AO35" s="577">
        <v>996</v>
      </c>
      <c r="AP35" s="577">
        <v>710</v>
      </c>
      <c r="AQ35" s="67">
        <f t="shared" si="89"/>
      </c>
      <c r="AR35" s="577">
        <v>1338</v>
      </c>
      <c r="AS35" s="577">
        <v>661</v>
      </c>
      <c r="AT35" s="577">
        <v>1120</v>
      </c>
      <c r="AU35" s="577">
        <v>944</v>
      </c>
      <c r="AV35" s="67">
        <f t="shared" si="90"/>
      </c>
      <c r="AW35" s="577">
        <v>1860</v>
      </c>
      <c r="AX35" s="577">
        <v>1330</v>
      </c>
      <c r="AY35" s="577">
        <v>1428</v>
      </c>
      <c r="AZ35" s="577">
        <v>1506</v>
      </c>
      <c r="BA35" s="67">
        <f t="shared" si="91"/>
      </c>
      <c r="BB35" s="577">
        <v>2126</v>
      </c>
      <c r="BC35" s="577">
        <v>1030</v>
      </c>
      <c r="BD35" s="577">
        <v>1657</v>
      </c>
      <c r="BE35" s="577">
        <v>940</v>
      </c>
      <c r="BF35" s="67">
        <f t="shared" si="92"/>
      </c>
      <c r="BG35" s="577">
        <v>1940</v>
      </c>
      <c r="BH35" s="577">
        <v>1227</v>
      </c>
      <c r="BI35" s="577">
        <v>956</v>
      </c>
      <c r="BJ35" s="577">
        <v>724</v>
      </c>
      <c r="BK35" s="67">
        <f t="shared" si="93"/>
      </c>
      <c r="BL35" s="10">
        <v>1378</v>
      </c>
      <c r="BM35" s="10">
        <v>883</v>
      </c>
      <c r="BN35" s="10">
        <v>1032</v>
      </c>
      <c r="BO35" s="10">
        <v>223</v>
      </c>
      <c r="BP35" s="67">
        <f t="shared" si="94"/>
      </c>
      <c r="BQ35" s="577">
        <v>702</v>
      </c>
      <c r="BR35" s="577">
        <v>385</v>
      </c>
      <c r="BS35" s="577">
        <v>458</v>
      </c>
      <c r="BT35" s="577">
        <v>417</v>
      </c>
      <c r="BU35" s="67">
        <f>+BT35</f>
      </c>
      <c r="BV35" s="577">
        <v>705</v>
      </c>
      <c r="BW35" s="577">
        <v>510</v>
      </c>
      <c r="BX35" s="577">
        <v>1029</v>
      </c>
      <c r="BY35" s="577">
        <v>442</v>
      </c>
      <c r="BZ35" s="67">
        <f>+BY35</f>
      </c>
      <c r="CA35" s="577">
        <v>1373</v>
      </c>
      <c r="CB35" s="577">
        <v>791</v>
      </c>
      <c r="CC35" s="577">
        <v>781</v>
      </c>
      <c r="CD35" s="577">
        <v>578</v>
      </c>
      <c r="CE35" s="67">
        <f>+CD35</f>
      </c>
      <c r="CF35" s="577">
        <v>1007</v>
      </c>
      <c r="CG35" s="577">
        <v>808</v>
      </c>
      <c r="CH35" s="577">
        <v>1336</v>
      </c>
      <c r="CI35" s="577">
        <v>854</v>
      </c>
      <c r="CJ35" s="67">
        <f>CI35</f>
      </c>
      <c r="CK35" s="577">
        <v>914</v>
      </c>
      <c r="CL35" s="577">
        <v>1259</v>
      </c>
      <c r="CM35" s="577">
        <v>1502</v>
      </c>
      <c r="CN35" s="577">
        <v>1064</v>
      </c>
      <c r="CO35" s="67">
        <f>CN35</f>
      </c>
      <c r="CP35" s="577">
        <v>1178</v>
      </c>
      <c r="CQ35" s="577">
        <v>956</v>
      </c>
      <c r="CR35" s="577">
        <v>1711</v>
      </c>
      <c r="CS35" s="577">
        <v>770</v>
      </c>
      <c r="CT35" s="67">
        <f>CS35</f>
      </c>
      <c r="CU35" s="577">
        <v>862</v>
      </c>
      <c r="CV35" s="577">
        <v>1055</v>
      </c>
      <c r="CW35" s="577">
        <v>1535</v>
      </c>
      <c r="CX35" s="577">
        <v>500</v>
      </c>
      <c r="CY35" s="67">
        <f>CX35</f>
      </c>
      <c r="CZ35" s="577">
        <v>1243</v>
      </c>
      <c r="DA35" s="577">
        <v>916</v>
      </c>
      <c r="DB35" s="577">
        <v>931</v>
      </c>
      <c r="DC35" s="577">
        <v>750</v>
      </c>
      <c r="DD35" s="67">
        <f>DC35</f>
      </c>
      <c r="DE35" s="577">
        <v>968</v>
      </c>
      <c r="DF35" s="577">
        <v>690</v>
      </c>
      <c r="DG35" s="577">
        <v>798</v>
      </c>
      <c r="DH35" s="577">
        <v>971</v>
      </c>
      <c r="DI35" s="1111">
        <f>DH35</f>
      </c>
      <c r="DJ35" s="577">
        <v>1133</v>
      </c>
      <c r="DK35" s="577">
        <v>759</v>
      </c>
      <c r="DL35" s="577">
        <v>1183</v>
      </c>
      <c r="DM35" s="577">
        <v>1854</v>
      </c>
      <c r="DN35" s="1111">
        <f>DM35</f>
      </c>
      <c r="DO35" s="577">
        <v>1559</v>
      </c>
      <c r="DP35" s="577">
        <v>928</v>
      </c>
      <c r="DQ35" s="577">
        <v>1096</v>
      </c>
      <c r="DR35" s="577">
        <v>818</v>
      </c>
      <c r="DS35" s="1111">
        <f>DR35</f>
      </c>
      <c r="DT35" s="577">
        <v>1025</v>
      </c>
      <c r="DU35" s="577">
        <v>1701</v>
      </c>
      <c r="DV35" s="577">
        <v>2505</v>
      </c>
      <c r="DW35" s="577">
        <v>2266</v>
      </c>
      <c r="DX35" s="2089">
        <f>DW35</f>
      </c>
      <c r="DY35" s="2094">
        <v>1930</v>
      </c>
      <c r="DZ35" s="577">
        <v>1632</v>
      </c>
      <c r="EA35" s="577">
        <v>1666</v>
      </c>
      <c r="EB35" s="577">
        <v>1392</v>
      </c>
      <c r="EC35" s="1505">
        <f>EB35</f>
      </c>
      <c r="ED35" s="2094">
        <v>1877</v>
      </c>
      <c r="EE35" s="577">
        <v>1200</v>
      </c>
      <c r="EF35" s="577">
        <v>2161</v>
      </c>
      <c r="EG35" s="577">
        <v>1112</v>
      </c>
      <c r="EH35" s="1753">
        <f>EG35</f>
      </c>
      <c r="EI35" s="577">
        <v>1708</v>
      </c>
      <c r="EJ35" s="577">
        <v>1980</v>
      </c>
      <c r="EK35" s="577">
        <v>1986</v>
      </c>
      <c r="EL35" s="577">
        <v>2127</v>
      </c>
      <c r="EM35" s="1753">
        <f>EL35</f>
      </c>
      <c r="EN35" s="577">
        <v>4266</v>
      </c>
      <c r="EO35" s="577">
        <v>2687</v>
      </c>
      <c r="EP35" s="577">
        <v>2899</v>
      </c>
      <c r="EQ35" s="685">
        <v>2993</v>
      </c>
      <c r="ER35" s="1291">
        <f t="shared" si="97"/>
      </c>
      <c r="ES35" s="577">
        <v>3318</v>
      </c>
      <c r="ET35" s="577">
        <v>4309</v>
      </c>
      <c r="EU35" s="577">
        <v>4834</v>
      </c>
      <c r="EV35" s="685">
        <v>3772</v>
      </c>
      <c r="EW35" s="1291">
        <f t="shared" si="98"/>
      </c>
      <c r="EX35" s="577">
        <v>4217</v>
      </c>
      <c r="EY35" s="577">
        <v>1665</v>
      </c>
      <c r="EZ35" s="948">
        <f t="shared" ref="EZ35:FA35" si="102">+EZ77*EZ84</f>
      </c>
      <c r="FA35" s="1251">
        <f t="shared" si="102"/>
      </c>
      <c r="FB35" s="1291">
        <f>FA35</f>
      </c>
      <c r="FC35" s="1291">
        <f>+FC77*FC84</f>
      </c>
      <c r="FD35" s="1291">
        <f>+FD77*FD84</f>
      </c>
      <c r="FE35" s="1291">
        <f>+FE77*FE84</f>
      </c>
      <c r="FF35" s="1291">
        <f>+FF77*FF84</f>
      </c>
      <c r="FG35" s="1291">
        <f>+FG77*FG84</f>
      </c>
      <c r="FH35" s="2579"/>
      <c r="FI35" s="948"/>
    </row>
    <row r="36" spans="1:165">
      <c r="A36" s="49"/>
      <c r="B36" s="263" t="s">
        <v>279</v>
      </c>
      <c r="C36" s="15">
        <f t="shared" ref="C36:H36" si="103">SUM(C31:C35)</f>
      </c>
      <c r="D36" s="15">
        <f t="shared" si="103"/>
      </c>
      <c r="E36" s="15">
        <f t="shared" si="103"/>
      </c>
      <c r="F36" s="15">
        <f t="shared" si="103"/>
      </c>
      <c r="G36" s="15">
        <f t="shared" si="103"/>
      </c>
      <c r="H36" s="15">
        <f t="shared" si="103"/>
      </c>
      <c r="I36" s="15">
        <f t="shared" ref="I36:BU36" si="104">SUM(I31:I35)</f>
      </c>
      <c r="J36" s="15">
        <f t="shared" si="104"/>
      </c>
      <c r="K36" s="15">
        <f t="shared" si="104"/>
      </c>
      <c r="L36" s="15">
        <f t="shared" si="104"/>
      </c>
      <c r="M36" s="264">
        <f t="shared" si="83"/>
      </c>
      <c r="N36" s="15">
        <f t="shared" si="104"/>
      </c>
      <c r="O36" s="15">
        <f t="shared" si="104"/>
      </c>
      <c r="P36" s="15">
        <f t="shared" si="104"/>
      </c>
      <c r="Q36" s="15">
        <f t="shared" si="104"/>
      </c>
      <c r="R36" s="264">
        <f t="shared" si="84"/>
      </c>
      <c r="S36" s="15">
        <f t="shared" si="104"/>
      </c>
      <c r="T36" s="15">
        <f t="shared" si="104"/>
      </c>
      <c r="U36" s="15">
        <f t="shared" si="104"/>
      </c>
      <c r="V36" s="15">
        <f t="shared" si="85"/>
      </c>
      <c r="W36" s="264">
        <f t="shared" si="85"/>
      </c>
      <c r="X36" s="15">
        <f t="shared" si="104"/>
      </c>
      <c r="Y36" s="15">
        <f t="shared" si="104"/>
      </c>
      <c r="Z36" s="15">
        <f t="shared" si="104"/>
      </c>
      <c r="AA36" s="15">
        <f t="shared" si="104"/>
      </c>
      <c r="AB36" s="264">
        <f t="shared" si="86"/>
      </c>
      <c r="AC36" s="15">
        <f t="shared" si="104"/>
      </c>
      <c r="AD36" s="15">
        <f t="shared" si="104"/>
      </c>
      <c r="AE36" s="15">
        <f t="shared" si="104"/>
      </c>
      <c r="AF36" s="15">
        <f t="shared" si="104"/>
      </c>
      <c r="AG36" s="264">
        <f t="shared" si="87"/>
      </c>
      <c r="AH36" s="15">
        <f t="shared" si="104"/>
      </c>
      <c r="AI36" s="15">
        <f t="shared" si="104"/>
      </c>
      <c r="AJ36" s="15">
        <f t="shared" si="104"/>
      </c>
      <c r="AK36" s="15">
        <f t="shared" si="104"/>
      </c>
      <c r="AL36" s="264">
        <f t="shared" si="88"/>
      </c>
      <c r="AM36" s="15">
        <f t="shared" si="104"/>
      </c>
      <c r="AN36" s="15">
        <f t="shared" si="104"/>
      </c>
      <c r="AO36" s="15">
        <f t="shared" si="104"/>
      </c>
      <c r="AP36" s="15">
        <f t="shared" si="104"/>
      </c>
      <c r="AQ36" s="264">
        <f t="shared" si="89"/>
      </c>
      <c r="AR36" s="15">
        <f t="shared" si="104"/>
      </c>
      <c r="AS36" s="15">
        <f t="shared" si="104"/>
      </c>
      <c r="AT36" s="15">
        <f t="shared" si="104"/>
      </c>
      <c r="AU36" s="15">
        <f t="shared" si="104"/>
      </c>
      <c r="AV36" s="264">
        <f t="shared" si="90"/>
      </c>
      <c r="AW36" s="15">
        <f t="shared" si="104"/>
      </c>
      <c r="AX36" s="15">
        <f t="shared" si="104"/>
      </c>
      <c r="AY36" s="15">
        <f t="shared" si="104"/>
      </c>
      <c r="AZ36" s="15">
        <f t="shared" si="104"/>
      </c>
      <c r="BA36" s="264">
        <f t="shared" si="91"/>
      </c>
      <c r="BB36" s="15">
        <f t="shared" si="104"/>
      </c>
      <c r="BC36" s="15">
        <f t="shared" si="104"/>
      </c>
      <c r="BD36" s="15">
        <f t="shared" si="104"/>
      </c>
      <c r="BE36" s="15">
        <f t="shared" si="104"/>
      </c>
      <c r="BF36" s="264">
        <f t="shared" si="92"/>
      </c>
      <c r="BG36" s="15">
        <f t="shared" si="104"/>
      </c>
      <c r="BH36" s="15">
        <f t="shared" si="104"/>
      </c>
      <c r="BI36" s="15">
        <f t="shared" si="104"/>
      </c>
      <c r="BJ36" s="15">
        <f t="shared" si="104"/>
      </c>
      <c r="BK36" s="264">
        <f t="shared" si="93"/>
      </c>
      <c r="BL36" s="15">
        <f t="shared" si="104"/>
      </c>
      <c r="BM36" s="15">
        <f t="shared" si="104"/>
      </c>
      <c r="BN36" s="15">
        <f t="shared" si="104"/>
      </c>
      <c r="BO36" s="15">
        <f t="shared" si="104"/>
      </c>
      <c r="BP36" s="264">
        <f t="shared" si="94"/>
      </c>
      <c r="BQ36" s="15">
        <f t="shared" si="104"/>
      </c>
      <c r="BR36" s="15">
        <f t="shared" si="104"/>
      </c>
      <c r="BS36" s="15">
        <f t="shared" si="104"/>
      </c>
      <c r="BT36" s="15">
        <f t="shared" si="104"/>
      </c>
      <c r="BU36" s="15">
        <f t="shared" si="104"/>
      </c>
      <c r="BV36" s="15">
        <f t="shared" ref="BV36:DD36" si="105">SUM(BV31:BV35)</f>
      </c>
      <c r="BW36" s="15">
        <f t="shared" si="105"/>
      </c>
      <c r="BX36" s="15">
        <f t="shared" si="105"/>
      </c>
      <c r="BY36" s="15">
        <f t="shared" si="105"/>
      </c>
      <c r="BZ36" s="264">
        <f t="shared" si="105"/>
      </c>
      <c r="CA36" s="15">
        <f t="shared" si="105"/>
      </c>
      <c r="CB36" s="15">
        <f t="shared" si="105"/>
      </c>
      <c r="CC36" s="15">
        <f t="shared" si="105"/>
      </c>
      <c r="CD36" s="15">
        <f t="shared" si="105"/>
      </c>
      <c r="CE36" s="264">
        <f t="shared" si="105"/>
      </c>
      <c r="CF36" s="15">
        <f t="shared" si="105"/>
      </c>
      <c r="CG36" s="15">
        <f t="shared" si="105"/>
      </c>
      <c r="CH36" s="15">
        <f t="shared" si="105"/>
      </c>
      <c r="CI36" s="15">
        <f t="shared" si="105"/>
      </c>
      <c r="CJ36" s="264">
        <f t="shared" si="105"/>
      </c>
      <c r="CK36" s="15">
        <f t="shared" si="105"/>
      </c>
      <c r="CL36" s="15">
        <f t="shared" si="105"/>
      </c>
      <c r="CM36" s="15">
        <f t="shared" si="105"/>
      </c>
      <c r="CN36" s="15">
        <f t="shared" si="105"/>
      </c>
      <c r="CO36" s="264">
        <f t="shared" si="105"/>
      </c>
      <c r="CP36" s="15">
        <f t="shared" si="105"/>
      </c>
      <c r="CQ36" s="15">
        <f t="shared" si="105"/>
      </c>
      <c r="CR36" s="15">
        <f t="shared" si="105"/>
      </c>
      <c r="CS36" s="15">
        <f t="shared" si="105"/>
      </c>
      <c r="CT36" s="264">
        <f t="shared" si="105"/>
      </c>
      <c r="CU36" s="15">
        <f t="shared" si="105"/>
      </c>
      <c r="CV36" s="15">
        <f t="shared" si="105"/>
      </c>
      <c r="CW36" s="15">
        <f t="shared" si="105"/>
      </c>
      <c r="CX36" s="15">
        <f t="shared" si="105"/>
      </c>
      <c r="CY36" s="264">
        <f>SUM(CY31:CY35)</f>
      </c>
      <c r="CZ36" s="15">
        <f t="shared" si="105"/>
      </c>
      <c r="DA36" s="15">
        <f t="shared" si="105"/>
      </c>
      <c r="DB36" s="15">
        <f t="shared" si="105"/>
      </c>
      <c r="DC36" s="15">
        <f t="shared" si="105"/>
      </c>
      <c r="DD36" s="264">
        <f t="shared" si="105"/>
      </c>
      <c r="DE36" s="15">
        <f t="shared" ref="DE36:DL36" si="106">SUM(DE31:DE35)</f>
      </c>
      <c r="DF36" s="15">
        <f t="shared" si="106"/>
      </c>
      <c r="DG36" s="15">
        <f t="shared" si="106"/>
      </c>
      <c r="DH36" s="15">
        <f t="shared" si="106"/>
      </c>
      <c r="DI36" s="264">
        <f t="shared" si="106"/>
      </c>
      <c r="DJ36" s="15">
        <f t="shared" si="106"/>
      </c>
      <c r="DK36" s="15">
        <f t="shared" si="106"/>
      </c>
      <c r="DL36" s="15">
        <f t="shared" si="106"/>
      </c>
      <c r="DM36" s="15">
        <f t="shared" ref="DM36:DT36" si="107">SUM(DM31:DM35)</f>
      </c>
      <c r="DN36" s="264">
        <f t="shared" si="107"/>
      </c>
      <c r="DO36" s="15">
        <f t="shared" si="107"/>
      </c>
      <c r="DP36" s="15">
        <f>SUM(DP31:DP35)</f>
      </c>
      <c r="DQ36" s="15">
        <f>SUM(DQ31:DQ35)</f>
      </c>
      <c r="DR36" s="15">
        <f t="shared" si="107"/>
      </c>
      <c r="DS36" s="264">
        <f>SUM(DS31:DS35)</f>
      </c>
      <c r="DT36" s="15">
        <f t="shared" si="107"/>
      </c>
      <c r="DU36" s="15">
        <f t="shared" ref="DU36:EC36" si="108">SUM(DU31:DU35)</f>
      </c>
      <c r="DV36" s="15">
        <f t="shared" si="108"/>
      </c>
      <c r="DW36" s="15">
        <f t="shared" si="108"/>
      </c>
      <c r="DX36" s="2090">
        <f t="shared" si="108"/>
      </c>
      <c r="DY36" s="270">
        <f t="shared" si="108"/>
      </c>
      <c r="DZ36" s="15">
        <f t="shared" si="108"/>
      </c>
      <c r="EA36" s="15">
        <f t="shared" si="108"/>
      </c>
      <c r="EB36" s="15">
        <f t="shared" si="108"/>
      </c>
      <c r="EC36" s="327">
        <f t="shared" si="108"/>
      </c>
      <c r="ED36" s="270">
        <f t="shared" ref="ED36:EI36" si="109">SUM(ED31:ED35)</f>
      </c>
      <c r="EE36" s="15">
        <f t="shared" si="109"/>
      </c>
      <c r="EF36" s="15">
        <f t="shared" si="109"/>
      </c>
      <c r="EG36" s="15">
        <f t="shared" si="109"/>
      </c>
      <c r="EH36" s="1752">
        <f t="shared" si="109"/>
      </c>
      <c r="EI36" s="15">
        <f t="shared" si="109"/>
      </c>
      <c r="EJ36" s="15">
        <f t="shared" ref="EJ36:FB36" si="110">SUM(EJ31:EJ35)</f>
      </c>
      <c r="EK36" s="15">
        <f t="shared" si="110"/>
      </c>
      <c r="EL36" s="15">
        <f t="shared" si="110"/>
      </c>
      <c r="EM36" s="1752">
        <f t="shared" si="110"/>
      </c>
      <c r="EN36" s="15">
        <f t="shared" si="110"/>
      </c>
      <c r="EO36" s="15">
        <f t="shared" si="110"/>
      </c>
      <c r="EP36" s="15">
        <f t="shared" si="110"/>
      </c>
      <c r="EQ36" s="2038">
        <f t="shared" si="110"/>
      </c>
      <c r="ER36" s="132">
        <f t="shared" si="110"/>
      </c>
      <c r="ES36" s="15">
        <f t="shared" si="110"/>
      </c>
      <c r="ET36" s="15">
        <f t="shared" si="110"/>
      </c>
      <c r="EU36" s="15">
        <f t="shared" ref="EU36:EY36" si="111">SUM(EU31:EU35)</f>
      </c>
      <c r="EV36" s="2038">
        <f t="shared" si="111"/>
      </c>
      <c r="EW36" s="132">
        <f t="shared" si="111"/>
      </c>
      <c r="EX36" s="15">
        <f t="shared" si="111"/>
      </c>
      <c r="EY36" s="15">
        <f t="shared" si="111"/>
      </c>
      <c r="EZ36" s="15">
        <f>SUM(EZ31:EZ35)</f>
      </c>
      <c r="FA36" s="2038">
        <f>SUM(FA31:FA35)</f>
      </c>
      <c r="FB36" s="132">
        <f t="shared" si="110"/>
      </c>
      <c r="FC36" s="132">
        <f>SUM(FC31:FC35)</f>
      </c>
      <c r="FD36" s="132">
        <f>SUM(FD31:FD35)</f>
      </c>
      <c r="FE36" s="132">
        <f>SUM(FE31:FE35)</f>
      </c>
      <c r="FF36" s="132">
        <f>SUM(FF31:FF35)</f>
      </c>
      <c r="FG36" s="132">
        <f>SUM(FG31:FG35)</f>
      </c>
      <c r="FH36" s="2579"/>
      <c r="FI36" s="948"/>
    </row>
    <row r="37" spans="1:165">
      <c r="A37" s="6"/>
      <c r="B37" s="65" t="s">
        <v>23</v>
      </c>
      <c r="C37" s="577">
        <v>1316</v>
      </c>
      <c r="D37" s="577">
        <v>1301</v>
      </c>
      <c r="E37" s="577">
        <v>1365</v>
      </c>
      <c r="F37" s="577">
        <v>1493</v>
      </c>
      <c r="G37" s="577">
        <v>2199</v>
      </c>
      <c r="H37" s="577">
        <v>2107</v>
      </c>
      <c r="I37" s="577">
        <v>2111</v>
      </c>
      <c r="J37" s="577">
        <v>2101</v>
      </c>
      <c r="K37" s="577">
        <v>1717</v>
      </c>
      <c r="L37" s="577">
        <v>1410</v>
      </c>
      <c r="M37" s="67">
        <f>+L37</f>
      </c>
      <c r="N37" s="577">
        <v>1296</v>
      </c>
      <c r="O37" s="577">
        <v>1265</v>
      </c>
      <c r="P37" s="577">
        <v>1257</v>
      </c>
      <c r="Q37" s="577">
        <v>1126</v>
      </c>
      <c r="R37" s="67">
        <f>+Q37</f>
      </c>
      <c r="S37" s="577">
        <v>1124</v>
      </c>
      <c r="T37" s="577">
        <v>1112</v>
      </c>
      <c r="U37" s="577">
        <v>1117</v>
      </c>
      <c r="V37" s="10">
        <f t="shared" ref="V37:W40" si="112">+U37</f>
      </c>
      <c r="W37" s="67">
        <f t="shared" si="112"/>
      </c>
      <c r="X37" s="577">
        <v>1346</v>
      </c>
      <c r="Y37" s="577">
        <v>1210</v>
      </c>
      <c r="Z37" s="577">
        <v>1992</v>
      </c>
      <c r="AA37" s="577">
        <v>3429</v>
      </c>
      <c r="AB37" s="67">
        <f>+AA37</f>
      </c>
      <c r="AC37" s="577">
        <v>3163</v>
      </c>
      <c r="AD37" s="577">
        <v>2434</v>
      </c>
      <c r="AE37" s="577">
        <v>3163</v>
      </c>
      <c r="AF37" s="577">
        <v>3163</v>
      </c>
      <c r="AG37" s="67">
        <f t="shared" si="87"/>
      </c>
      <c r="AH37" s="577">
        <v>2698</v>
      </c>
      <c r="AI37" s="577">
        <v>2491</v>
      </c>
      <c r="AJ37" s="577">
        <v>2187</v>
      </c>
      <c r="AK37" s="577">
        <v>2217</v>
      </c>
      <c r="AL37" s="67">
        <f>+AK37</f>
      </c>
      <c r="AM37" s="577">
        <v>2225</v>
      </c>
      <c r="AN37" s="577">
        <v>2129</v>
      </c>
      <c r="AO37" s="10">
        <v>2102</v>
      </c>
      <c r="AP37" s="577">
        <v>2022</v>
      </c>
      <c r="AQ37" s="67">
        <f>+AP37</f>
      </c>
      <c r="AR37" s="577">
        <v>2004</v>
      </c>
      <c r="AS37" s="577">
        <v>3164</v>
      </c>
      <c r="AT37" s="577">
        <v>3149</v>
      </c>
      <c r="AU37" s="577">
        <v>2955</v>
      </c>
      <c r="AV37" s="67">
        <f>+AU37</f>
      </c>
      <c r="AW37" s="577">
        <v>2961</v>
      </c>
      <c r="AX37" s="577">
        <v>2962</v>
      </c>
      <c r="AY37" s="577">
        <v>2961</v>
      </c>
      <c r="AZ37" s="577">
        <v>2565</v>
      </c>
      <c r="BA37" s="67">
        <f>+AZ37</f>
      </c>
      <c r="BB37" s="577">
        <v>2459</v>
      </c>
      <c r="BC37" s="577">
        <v>2329</v>
      </c>
      <c r="BD37" s="577">
        <v>2139</v>
      </c>
      <c r="BE37" s="577">
        <v>2017</v>
      </c>
      <c r="BF37" s="67">
        <f>+BE37</f>
      </c>
      <c r="BG37" s="577">
        <v>1980</v>
      </c>
      <c r="BH37" s="577">
        <v>1981</v>
      </c>
      <c r="BI37" s="577">
        <v>2007</v>
      </c>
      <c r="BJ37" s="577">
        <v>2014</v>
      </c>
      <c r="BK37" s="67">
        <f>+BJ37</f>
      </c>
      <c r="BL37" s="10">
        <v>2012</v>
      </c>
      <c r="BM37" s="10">
        <v>2013</v>
      </c>
      <c r="BN37" s="10">
        <v>4633</v>
      </c>
      <c r="BO37" s="10">
        <v>7074</v>
      </c>
      <c r="BP37" s="67">
        <f>+BO37</f>
      </c>
      <c r="BQ37" s="577">
        <v>7166</v>
      </c>
      <c r="BR37" s="577">
        <v>8770</v>
      </c>
      <c r="BS37" s="577">
        <v>8395</v>
      </c>
      <c r="BT37" s="577">
        <v>8120</v>
      </c>
      <c r="BU37" s="67">
        <f>+BT37</f>
      </c>
      <c r="BV37" s="577">
        <v>8052</v>
      </c>
      <c r="BW37" s="577">
        <v>8179</v>
      </c>
      <c r="BX37" s="577">
        <v>8259</v>
      </c>
      <c r="BY37" s="577">
        <v>8223</v>
      </c>
      <c r="BZ37" s="67">
        <f>+BY37</f>
      </c>
      <c r="CA37" s="577">
        <v>8059</v>
      </c>
      <c r="CB37" s="577">
        <v>7937</v>
      </c>
      <c r="CC37" s="577">
        <v>9182</v>
      </c>
      <c r="CD37" s="577">
        <v>9156</v>
      </c>
      <c r="CE37" s="67">
        <f>+CD37</f>
      </c>
      <c r="CF37" s="577">
        <v>9255</v>
      </c>
      <c r="CG37" s="577">
        <v>13680</v>
      </c>
      <c r="CH37" s="577">
        <v>13031</v>
      </c>
      <c r="CI37" s="577">
        <v>12969</v>
      </c>
      <c r="CJ37" s="67">
        <f>CI37</f>
      </c>
      <c r="CK37" s="577">
        <v>13010</v>
      </c>
      <c r="CL37" s="577">
        <v>11525</v>
      </c>
      <c r="CM37" s="577">
        <v>11428</v>
      </c>
      <c r="CN37" s="577">
        <v>11489</v>
      </c>
      <c r="CO37" s="67">
        <f>CN37</f>
      </c>
      <c r="CP37" s="577">
        <v>11363</v>
      </c>
      <c r="CQ37" s="577">
        <v>9643</v>
      </c>
      <c r="CR37" s="577">
        <v>9748</v>
      </c>
      <c r="CS37" s="577">
        <v>13328</v>
      </c>
      <c r="CT37" s="67">
        <f>CS37</f>
      </c>
      <c r="CU37" s="577">
        <v>13343</v>
      </c>
      <c r="CV37" s="577">
        <v>13303</v>
      </c>
      <c r="CW37" s="577">
        <v>13152</v>
      </c>
      <c r="CX37" s="577">
        <v>15122</v>
      </c>
      <c r="CY37" s="67">
        <f>CX37</f>
      </c>
      <c r="CZ37" s="577">
        <v>14938</v>
      </c>
      <c r="DA37" s="577">
        <v>14085</v>
      </c>
      <c r="DB37" s="577">
        <v>14073</v>
      </c>
      <c r="DC37" s="577">
        <v>12857</v>
      </c>
      <c r="DD37" s="67">
        <f>DC37</f>
      </c>
      <c r="DE37" s="577">
        <v>20233</v>
      </c>
      <c r="DF37" s="577">
        <v>24535</v>
      </c>
      <c r="DG37" s="577">
        <v>23546</v>
      </c>
      <c r="DH37" s="577">
        <v>22442</v>
      </c>
      <c r="DI37" s="1111">
        <f>DH37</f>
      </c>
      <c r="DJ37" s="577">
        <v>27015</v>
      </c>
      <c r="DK37" s="577">
        <v>27363</v>
      </c>
      <c r="DL37" s="577">
        <v>26675</v>
      </c>
      <c r="DM37" s="577">
        <v>30675</v>
      </c>
      <c r="DN37" s="1111">
        <f>DM37</f>
      </c>
      <c r="DO37" s="577">
        <v>29837</v>
      </c>
      <c r="DP37" s="577">
        <v>29405</v>
      </c>
      <c r="DQ37" s="577">
        <v>29480</v>
      </c>
      <c r="DR37" s="577">
        <v>27684</v>
      </c>
      <c r="DS37" s="1111">
        <f>DR37</f>
      </c>
      <c r="DT37" s="577">
        <v>27660</v>
      </c>
      <c r="DU37" s="577">
        <v>27699</v>
      </c>
      <c r="DV37" s="577">
        <v>26919</v>
      </c>
      <c r="DW37" s="577">
        <v>26494</v>
      </c>
      <c r="DX37" s="2089">
        <f>DW37</f>
      </c>
      <c r="DY37" s="2094">
        <v>25393</v>
      </c>
      <c r="DZ37" s="577">
        <v>25062</v>
      </c>
      <c r="EA37" s="577">
        <v>32680</v>
      </c>
      <c r="EB37" s="577">
        <v>32635</v>
      </c>
      <c r="EC37" s="1505">
        <f>EB37</f>
      </c>
      <c r="ED37" s="2094">
        <v>30263</v>
      </c>
      <c r="EE37" s="577">
        <v>30310</v>
      </c>
      <c r="EF37" s="577">
        <v>30130</v>
      </c>
      <c r="EG37" s="577">
        <v>29985</v>
      </c>
      <c r="EH37" s="1753">
        <f>EG37</f>
      </c>
      <c r="EI37" s="577">
        <v>28851</v>
      </c>
      <c r="EJ37" s="577">
        <v>28292</v>
      </c>
      <c r="EK37" s="577">
        <v>27603</v>
      </c>
      <c r="EL37" s="577">
        <v>26888</v>
      </c>
      <c r="EM37" s="1753">
        <f>EL37</f>
      </c>
      <c r="EN37" s="577">
        <v>34928</v>
      </c>
      <c r="EO37" s="577">
        <v>33901</v>
      </c>
      <c r="EP37" s="577">
        <v>26051</v>
      </c>
      <c r="EQ37" s="685">
        <v>25881</v>
      </c>
      <c r="ER37" s="1291">
        <f t="shared" si="97"/>
      </c>
      <c r="ES37" s="577">
        <v>25082</v>
      </c>
      <c r="ET37" s="577">
        <v>31636</v>
      </c>
      <c r="EU37" s="577">
        <v>31289</v>
      </c>
      <c r="EV37" s="685">
        <v>30651</v>
      </c>
      <c r="EW37" s="1291">
        <f t="shared" ref="EW37:EW40" si="113">EV37</f>
      </c>
      <c r="EX37" s="577">
        <v>38355</v>
      </c>
      <c r="EY37" s="577">
        <v>39235</v>
      </c>
      <c r="EZ37" s="948">
        <f t="shared" ref="EZ37:FA37" si="114">+EZ212</f>
      </c>
      <c r="FA37" s="1251">
        <f t="shared" si="114"/>
      </c>
      <c r="FB37" s="1291">
        <f>FA37</f>
      </c>
      <c r="FC37" s="1291">
        <f t="shared" ref="FC37:FD37" si="115">+FC212</f>
      </c>
      <c r="FD37" s="1291">
        <f t="shared" si="115"/>
      </c>
      <c r="FE37" s="1291">
        <f>+FE212</f>
      </c>
      <c r="FF37" s="1291">
        <f>+FF212</f>
      </c>
      <c r="FG37" s="1291">
        <f>+FG212</f>
      </c>
      <c r="FH37" s="2579"/>
      <c r="FI37" s="948"/>
    </row>
    <row r="38" spans="1:165">
      <c r="A38" s="6"/>
      <c r="B38" s="65" t="s">
        <v>280</v>
      </c>
      <c r="C38" s="577"/>
      <c r="D38" s="577"/>
      <c r="E38" s="577">
        <v>91</v>
      </c>
      <c r="F38" s="577">
        <v>122</v>
      </c>
      <c r="G38" s="577">
        <v>130</v>
      </c>
      <c r="H38" s="577">
        <v>156</v>
      </c>
      <c r="I38" s="577">
        <v>163</v>
      </c>
      <c r="J38" s="577">
        <v>161</v>
      </c>
      <c r="K38" s="577">
        <v>167</v>
      </c>
      <c r="L38" s="577">
        <v>170</v>
      </c>
      <c r="M38" s="67">
        <f>+L38</f>
      </c>
      <c r="N38" s="577">
        <v>172</v>
      </c>
      <c r="O38" s="577">
        <v>170</v>
      </c>
      <c r="P38" s="577">
        <v>174</v>
      </c>
      <c r="Q38" s="577">
        <v>175</v>
      </c>
      <c r="R38" s="67">
        <f>+Q38</f>
      </c>
      <c r="S38" s="577">
        <v>178</v>
      </c>
      <c r="T38" s="577">
        <v>193</v>
      </c>
      <c r="U38" s="577">
        <v>260</v>
      </c>
      <c r="V38" s="10">
        <f t="shared" si="112"/>
      </c>
      <c r="W38" s="67">
        <f t="shared" si="112"/>
      </c>
      <c r="X38" s="577">
        <v>571</v>
      </c>
      <c r="Y38" s="577">
        <v>568</v>
      </c>
      <c r="Z38" s="577">
        <v>594</v>
      </c>
      <c r="AA38" s="577">
        <v>287</v>
      </c>
      <c r="AB38" s="67">
        <f>+AA38</f>
      </c>
      <c r="AC38" s="577">
        <v>255</v>
      </c>
      <c r="AD38" s="577">
        <v>276</v>
      </c>
      <c r="AE38" s="577">
        <v>255</v>
      </c>
      <c r="AF38" s="577">
        <v>255</v>
      </c>
      <c r="AG38" s="67">
        <f t="shared" si="87"/>
      </c>
      <c r="AH38" s="577">
        <v>246</v>
      </c>
      <c r="AI38" s="577">
        <v>242</v>
      </c>
      <c r="AJ38" s="577">
        <v>266</v>
      </c>
      <c r="AK38" s="577">
        <v>493</v>
      </c>
      <c r="AL38" s="67">
        <f>+AK38</f>
      </c>
      <c r="AM38" s="577">
        <v>500</v>
      </c>
      <c r="AN38" s="577">
        <v>262</v>
      </c>
      <c r="AO38" s="10">
        <v>267</v>
      </c>
      <c r="AP38" s="577">
        <v>643</v>
      </c>
      <c r="AQ38" s="67">
        <f>+AP38</f>
      </c>
      <c r="AR38" s="577">
        <v>573</v>
      </c>
      <c r="AS38" s="577">
        <v>1208</v>
      </c>
      <c r="AT38" s="577">
        <v>884</v>
      </c>
      <c r="AU38" s="577">
        <v>780</v>
      </c>
      <c r="AV38" s="67">
        <f>+AU38</f>
      </c>
      <c r="AW38" s="577">
        <v>741</v>
      </c>
      <c r="AX38" s="577">
        <v>769</v>
      </c>
      <c r="AY38" s="577">
        <v>791</v>
      </c>
      <c r="AZ38" s="577">
        <v>403</v>
      </c>
      <c r="BA38" s="67">
        <f>+AZ38</f>
      </c>
      <c r="BB38" s="577">
        <v>389</v>
      </c>
      <c r="BC38" s="577">
        <v>418</v>
      </c>
      <c r="BD38" s="577">
        <v>409</v>
      </c>
      <c r="BE38" s="577">
        <v>211</v>
      </c>
      <c r="BF38" s="67">
        <f>+BE38</f>
      </c>
      <c r="BG38" s="577">
        <v>294</v>
      </c>
      <c r="BH38" s="577">
        <v>322</v>
      </c>
      <c r="BI38" s="577">
        <v>352</v>
      </c>
      <c r="BJ38" s="577">
        <v>1319</v>
      </c>
      <c r="BK38" s="67">
        <f>+BJ38</f>
      </c>
      <c r="BL38" s="10">
        <v>1375</v>
      </c>
      <c r="BM38" s="10">
        <v>1361</v>
      </c>
      <c r="BN38" s="10">
        <v>1386</v>
      </c>
      <c r="BO38" s="10">
        <v>1493</v>
      </c>
      <c r="BP38" s="67">
        <f>+BO38</f>
      </c>
      <c r="BQ38" s="577">
        <v>1451</v>
      </c>
      <c r="BR38" s="577">
        <v>1454</v>
      </c>
      <c r="BS38" s="577">
        <v>1384</v>
      </c>
      <c r="BT38" s="577">
        <v>1432</v>
      </c>
      <c r="BU38" s="67">
        <f>+BT38</f>
      </c>
      <c r="BV38" s="577">
        <v>1487</v>
      </c>
      <c r="BW38" s="577">
        <v>1481</v>
      </c>
      <c r="BX38" s="577">
        <v>1505</v>
      </c>
      <c r="BY38" s="577">
        <v>1424</v>
      </c>
      <c r="BZ38" s="67">
        <f>+BY38</f>
      </c>
      <c r="CA38" s="577">
        <v>1672</v>
      </c>
      <c r="CB38" s="577">
        <v>1669</v>
      </c>
      <c r="CC38" s="577">
        <v>1725</v>
      </c>
      <c r="CD38" s="577">
        <v>1447</v>
      </c>
      <c r="CE38" s="67">
        <f>+CD38</f>
      </c>
      <c r="CF38" s="577">
        <v>1895</v>
      </c>
      <c r="CG38" s="577">
        <v>1888</v>
      </c>
      <c r="CH38" s="577">
        <v>1889</v>
      </c>
      <c r="CI38" s="577">
        <v>1800</v>
      </c>
      <c r="CJ38" s="67">
        <f>CI38</f>
      </c>
      <c r="CK38" s="577">
        <v>1846</v>
      </c>
      <c r="CL38" s="577">
        <v>2276</v>
      </c>
      <c r="CM38" s="577">
        <v>2716</v>
      </c>
      <c r="CN38" s="577">
        <v>3136</v>
      </c>
      <c r="CO38" s="67">
        <f>CN38</f>
      </c>
      <c r="CP38" s="577">
        <v>3619</v>
      </c>
      <c r="CQ38" s="577">
        <v>3685</v>
      </c>
      <c r="CR38" s="577">
        <v>3613</v>
      </c>
      <c r="CS38" s="577">
        <v>3989</v>
      </c>
      <c r="CT38" s="67">
        <f>CS38</f>
      </c>
      <c r="CU38" s="577">
        <v>4594</v>
      </c>
      <c r="CV38" s="577">
        <v>4491</v>
      </c>
      <c r="CW38" s="577">
        <v>4063</v>
      </c>
      <c r="CX38" s="577">
        <v>3154</v>
      </c>
      <c r="CY38" s="67">
        <f>CX38</f>
      </c>
      <c r="CZ38" s="577">
        <v>3584</v>
      </c>
      <c r="DA38" s="577">
        <v>3702</v>
      </c>
      <c r="DB38" s="577">
        <v>3561</v>
      </c>
      <c r="DC38" s="577">
        <v>2562</v>
      </c>
      <c r="DD38" s="67">
        <f>DC38</f>
      </c>
      <c r="DE38" s="577">
        <v>2877</v>
      </c>
      <c r="DF38" s="577">
        <v>2849</v>
      </c>
      <c r="DG38" s="577">
        <v>3193</v>
      </c>
      <c r="DH38" s="577">
        <v>2910</v>
      </c>
      <c r="DI38" s="1111">
        <f>DH38</f>
      </c>
      <c r="DJ38" s="577">
        <v>3308</v>
      </c>
      <c r="DK38" s="577">
        <v>4846</v>
      </c>
      <c r="DL38" s="577">
        <v>4410</v>
      </c>
      <c r="DM38" s="577">
        <f>8368+8472</f>
      </c>
      <c r="DN38" s="1111">
        <f>DM38</f>
      </c>
      <c r="DO38" s="577">
        <f>8057+9453</f>
      </c>
      <c r="DP38" s="577">
        <f>7666+8647</f>
      </c>
      <c r="DQ38" s="577">
        <f>7711+8537</f>
      </c>
      <c r="DR38" s="577">
        <f>7506+8242</f>
      </c>
      <c r="DS38" s="1111">
        <f>DR38</f>
      </c>
      <c r="DT38" s="577">
        <f>7394+8074</f>
      </c>
      <c r="DU38" s="577">
        <f>7725+7543</f>
      </c>
      <c r="DV38" s="577">
        <f>6526+7493</f>
      </c>
      <c r="DW38" s="577">
        <v>13402</v>
      </c>
      <c r="DX38" s="2089">
        <f>DW38</f>
      </c>
      <c r="DY38" s="2094">
        <f>7402+5766</f>
      </c>
      <c r="DZ38" s="1524">
        <f>6591+5532</f>
      </c>
      <c r="EA38" s="1524">
        <f>5615+6745</f>
      </c>
      <c r="EB38" s="577">
        <f>7214+6559</f>
      </c>
      <c r="EC38" s="1505">
        <f>EB38</f>
      </c>
      <c r="ED38" s="2094">
        <f>6507+6568</f>
      </c>
      <c r="EE38" s="577">
        <f>9016+5722</f>
      </c>
      <c r="EF38" s="577">
        <f>7147+5770</f>
      </c>
      <c r="EG38" s="577">
        <f>7487+5713</f>
      </c>
      <c r="EH38" s="1753">
        <f>EG38</f>
      </c>
      <c r="EI38" s="577">
        <f>6424+5745</f>
      </c>
      <c r="EJ38" s="577">
        <f>5015+4162</f>
      </c>
      <c r="EK38" s="577">
        <f>4946+4162</f>
      </c>
      <c r="EL38" s="577">
        <f>6374+4306</f>
      </c>
      <c r="EM38" s="1753">
        <f>EL38</f>
      </c>
      <c r="EN38" s="577">
        <f>4417+4296</f>
      </c>
      <c r="EO38" s="577">
        <f>3627+2536</f>
      </c>
      <c r="EP38" s="577">
        <f>2623+2540</f>
      </c>
      <c r="EQ38" s="685">
        <f>3193+2881</f>
      </c>
      <c r="ER38" s="1291">
        <f t="shared" si="97"/>
      </c>
      <c r="ES38" s="577">
        <f>2881+3172</f>
      </c>
      <c r="ET38" s="577">
        <f>341+2635</f>
      </c>
      <c r="EU38" s="577">
        <f>2952+354</f>
      </c>
      <c r="EV38" s="685">
        <f>2448+390</f>
      </c>
      <c r="EW38" s="1291">
        <f t="shared" si="113"/>
      </c>
      <c r="EX38" s="577">
        <f>2428+395</f>
      </c>
      <c r="EY38" s="577">
        <f>3799+418</f>
      </c>
      <c r="EZ38" s="948">
        <f>+EZ74*EZ84</f>
      </c>
      <c r="FA38" s="1251">
        <f>+FA74*FA84</f>
      </c>
      <c r="FB38" s="1291">
        <f>FA38</f>
      </c>
      <c r="FC38" s="1291">
        <f t="shared" ref="FC38:FG38" si="116">+FC74*FC84</f>
      </c>
      <c r="FD38" s="1291">
        <f t="shared" si="116"/>
      </c>
      <c r="FE38" s="1291">
        <f t="shared" si="116"/>
      </c>
      <c r="FF38" s="1291">
        <f t="shared" si="116"/>
      </c>
      <c r="FG38" s="1291">
        <f t="shared" si="116"/>
      </c>
      <c r="FH38" s="2579"/>
      <c r="FI38" s="948"/>
    </row>
    <row r="39" spans="1:165">
      <c r="A39" s="6"/>
      <c r="B39" s="65" t="s">
        <v>281</v>
      </c>
      <c r="C39" s="577">
        <v>75</v>
      </c>
      <c r="D39" s="577">
        <v>79</v>
      </c>
      <c r="E39" s="577">
        <v>94</v>
      </c>
      <c r="F39" s="577">
        <v>91</v>
      </c>
      <c r="G39" s="577">
        <v>85</v>
      </c>
      <c r="H39" s="577">
        <v>86</v>
      </c>
      <c r="I39" s="577">
        <v>81</v>
      </c>
      <c r="J39" s="577">
        <v>88</v>
      </c>
      <c r="K39" s="577">
        <v>89</v>
      </c>
      <c r="L39" s="577">
        <v>108</v>
      </c>
      <c r="M39" s="67">
        <f>+L39</f>
      </c>
      <c r="N39" s="577">
        <v>110</v>
      </c>
      <c r="O39" s="577">
        <v>108</v>
      </c>
      <c r="P39" s="577">
        <v>113</v>
      </c>
      <c r="Q39" s="577">
        <v>126</v>
      </c>
      <c r="R39" s="67">
        <f>+Q39</f>
      </c>
      <c r="S39" s="577">
        <v>128</v>
      </c>
      <c r="T39" s="577">
        <v>128</v>
      </c>
      <c r="U39" s="577">
        <v>145</v>
      </c>
      <c r="V39" s="10">
        <f t="shared" si="112"/>
      </c>
      <c r="W39" s="67">
        <f t="shared" si="112"/>
      </c>
      <c r="X39" s="577">
        <v>1719</v>
      </c>
      <c r="Y39" s="577">
        <v>1787</v>
      </c>
      <c r="Z39" s="577">
        <v>1912</v>
      </c>
      <c r="AA39" s="577">
        <v>1794</v>
      </c>
      <c r="AB39" s="67">
        <f>+AA39</f>
      </c>
      <c r="AC39" s="577">
        <v>1804</v>
      </c>
      <c r="AD39" s="577">
        <v>1884</v>
      </c>
      <c r="AE39" s="577">
        <v>1804</v>
      </c>
      <c r="AF39" s="577">
        <v>1804</v>
      </c>
      <c r="AG39" s="67">
        <f t="shared" si="87"/>
      </c>
      <c r="AH39" s="577">
        <v>1915</v>
      </c>
      <c r="AI39" s="577">
        <v>1812</v>
      </c>
      <c r="AJ39" s="577">
        <v>1838</v>
      </c>
      <c r="AK39" s="577">
        <v>1870</v>
      </c>
      <c r="AL39" s="67">
        <f>+AK39</f>
      </c>
      <c r="AM39" s="577">
        <v>1869</v>
      </c>
      <c r="AN39" s="577">
        <v>1703</v>
      </c>
      <c r="AO39" s="10">
        <v>1712</v>
      </c>
      <c r="AP39" s="577">
        <v>1967</v>
      </c>
      <c r="AQ39" s="67">
        <f>+AP39</f>
      </c>
      <c r="AR39" s="577">
        <v>2005</v>
      </c>
      <c r="AS39" s="577">
        <v>2248</v>
      </c>
      <c r="AT39" s="577">
        <v>2263</v>
      </c>
      <c r="AU39" s="577">
        <v>2262</v>
      </c>
      <c r="AV39" s="67">
        <f>+AU39</f>
      </c>
      <c r="AW39" s="577">
        <v>2282</v>
      </c>
      <c r="AX39" s="577">
        <v>2328</v>
      </c>
      <c r="AY39" s="577">
        <v>2438</v>
      </c>
      <c r="AZ39" s="577">
        <v>2631</v>
      </c>
      <c r="BA39" s="67">
        <f>+AZ39</f>
      </c>
      <c r="BB39" s="577">
        <v>2902</v>
      </c>
      <c r="BC39" s="577">
        <v>2936</v>
      </c>
      <c r="BD39" s="577">
        <v>3055</v>
      </c>
      <c r="BE39" s="577">
        <v>3065</v>
      </c>
      <c r="BF39" s="67">
        <f>+BE39</f>
      </c>
      <c r="BG39" s="577">
        <v>3284</v>
      </c>
      <c r="BH39" s="577">
        <v>3456</v>
      </c>
      <c r="BI39" s="577">
        <v>3570</v>
      </c>
      <c r="BJ39" s="577">
        <v>5584</v>
      </c>
      <c r="BK39" s="67">
        <f>+BJ39</f>
      </c>
      <c r="BL39" s="10">
        <v>5660</v>
      </c>
      <c r="BM39" s="10">
        <v>5654</v>
      </c>
      <c r="BN39" s="10">
        <v>6082</v>
      </c>
      <c r="BO39" s="10">
        <v>5402</v>
      </c>
      <c r="BP39" s="67">
        <f>+BO39</f>
      </c>
      <c r="BQ39" s="577">
        <v>5548</v>
      </c>
      <c r="BR39" s="577">
        <v>5572</v>
      </c>
      <c r="BS39" s="577">
        <v>5533</v>
      </c>
      <c r="BT39" s="577">
        <v>7791</v>
      </c>
      <c r="BU39" s="67">
        <f>+BT39</f>
      </c>
      <c r="BV39" s="577">
        <v>7297</v>
      </c>
      <c r="BW39" s="577">
        <v>7370</v>
      </c>
      <c r="BX39" s="577">
        <v>7111</v>
      </c>
      <c r="BY39" s="577">
        <v>6769</v>
      </c>
      <c r="BZ39" s="67">
        <f>+BY39</f>
      </c>
      <c r="CA39" s="577">
        <v>6254</v>
      </c>
      <c r="CB39" s="577">
        <v>6320</v>
      </c>
      <c r="CC39" s="577">
        <v>6409</v>
      </c>
      <c r="CD39" s="577">
        <v>6087</v>
      </c>
      <c r="CE39" s="67">
        <f>+CD39</f>
      </c>
      <c r="CF39" s="577">
        <v>6125</v>
      </c>
      <c r="CG39" s="577">
        <v>6202</v>
      </c>
      <c r="CH39" s="577">
        <v>6215</v>
      </c>
      <c r="CI39" s="577">
        <v>8353</v>
      </c>
      <c r="CJ39" s="67">
        <f>CI39</f>
      </c>
      <c r="CK39" s="577">
        <v>8236</v>
      </c>
      <c r="CL39" s="577">
        <v>8180</v>
      </c>
      <c r="CM39" s="577">
        <v>7904</v>
      </c>
      <c r="CN39" s="577">
        <v>9082</v>
      </c>
      <c r="CO39" s="67">
        <f>CN39</f>
      </c>
      <c r="CP39" s="577">
        <v>8978</v>
      </c>
      <c r="CQ39" s="577">
        <v>8996</v>
      </c>
      <c r="CR39" s="577">
        <v>9038</v>
      </c>
      <c r="CS39" s="577">
        <v>7784</v>
      </c>
      <c r="CT39" s="67">
        <f>CS39</f>
      </c>
      <c r="CU39" s="577">
        <v>7700</v>
      </c>
      <c r="CV39" s="577">
        <v>7626</v>
      </c>
      <c r="CW39" s="577">
        <v>7551</v>
      </c>
      <c r="CX39" s="577">
        <v>9972</v>
      </c>
      <c r="CY39" s="67">
        <f>CX39</f>
      </c>
      <c r="CZ39" s="577">
        <v>9750</v>
      </c>
      <c r="DA39" s="577">
        <v>9633</v>
      </c>
      <c r="DB39" s="577">
        <v>9515</v>
      </c>
      <c r="DC39" s="577">
        <v>8854</v>
      </c>
      <c r="DD39" s="67">
        <f>DC39</f>
      </c>
      <c r="DE39" s="577">
        <v>8591</v>
      </c>
      <c r="DF39" s="577">
        <v>8359</v>
      </c>
      <c r="DG39" s="577">
        <v>8217</v>
      </c>
      <c r="DH39" s="577">
        <v>9615</v>
      </c>
      <c r="DI39" s="1111">
        <f>DH39</f>
      </c>
      <c r="DJ39" s="577">
        <v>9609</v>
      </c>
      <c r="DK39" s="577">
        <v>9687</v>
      </c>
      <c r="DL39" s="577">
        <v>9686</v>
      </c>
      <c r="DM39" s="577">
        <v>10074</v>
      </c>
      <c r="DN39" s="1111">
        <f>DM39</f>
      </c>
      <c r="DO39" s="577">
        <v>10066</v>
      </c>
      <c r="DP39" s="577">
        <v>9989</v>
      </c>
      <c r="DQ39" s="577">
        <v>9374</v>
      </c>
      <c r="DR39" s="577">
        <v>9951</v>
      </c>
      <c r="DS39" s="1111">
        <f>DR39</f>
      </c>
      <c r="DT39" s="577">
        <v>9905</v>
      </c>
      <c r="DU39" s="577">
        <v>9910</v>
      </c>
      <c r="DV39" s="577">
        <v>9830</v>
      </c>
      <c r="DW39" s="577">
        <v>10663</v>
      </c>
      <c r="DX39" s="2089">
        <f>DW39</f>
      </c>
      <c r="DY39" s="2094">
        <v>10529</v>
      </c>
      <c r="DZ39" s="577">
        <v>10411</v>
      </c>
      <c r="EA39" s="577">
        <v>10184</v>
      </c>
      <c r="EB39" s="577">
        <v>10771</v>
      </c>
      <c r="EC39" s="1505">
        <f>EB39</f>
      </c>
      <c r="ED39" s="2094">
        <v>10512</v>
      </c>
      <c r="EE39" s="577">
        <v>10367</v>
      </c>
      <c r="EF39" s="577">
        <v>10171</v>
      </c>
      <c r="EG39" s="577">
        <v>8898</v>
      </c>
      <c r="EH39" s="1753">
        <f>EG39</f>
      </c>
      <c r="EI39" s="577">
        <v>8739</v>
      </c>
      <c r="EJ39" s="577">
        <v>8553</v>
      </c>
      <c r="EK39" s="577">
        <v>8353</v>
      </c>
      <c r="EL39" s="577">
        <v>6767</v>
      </c>
      <c r="EM39" s="1753">
        <f>EL39</f>
      </c>
      <c r="EN39" s="577">
        <v>6665</v>
      </c>
      <c r="EO39" s="577">
        <v>6461</v>
      </c>
      <c r="EP39" s="577">
        <v>5687</v>
      </c>
      <c r="EQ39" s="685">
        <v>7149</v>
      </c>
      <c r="ER39" s="1291">
        <f t="shared" si="97"/>
      </c>
      <c r="ES39" s="577">
        <v>7019</v>
      </c>
      <c r="ET39" s="577">
        <v>6919</v>
      </c>
      <c r="EU39" s="577">
        <v>6852</v>
      </c>
      <c r="EV39" s="685">
        <v>7255</v>
      </c>
      <c r="EW39" s="1291">
        <f t="shared" si="113"/>
      </c>
      <c r="EX39" s="577">
        <v>7046</v>
      </c>
      <c r="EY39" s="577">
        <v>7021</v>
      </c>
      <c r="EZ39" s="948">
        <f t="shared" ref="EZ39:FA40" si="117">+EZ75*EZ$84</f>
      </c>
      <c r="FA39" s="1251">
        <f t="shared" si="117"/>
      </c>
      <c r="FB39" s="1291">
        <f>FA39</f>
      </c>
      <c r="FC39" s="1291">
        <f t="shared" ref="FC39:FD40" si="118">+FC75*FC$84</f>
      </c>
      <c r="FD39" s="1291">
        <f t="shared" si="118"/>
      </c>
      <c r="FE39" s="1291">
        <f t="shared" ref="FE39:FG40" si="119">+FE75*FE$84</f>
      </c>
      <c r="FF39" s="1291">
        <f t="shared" si="119"/>
      </c>
      <c r="FG39" s="1291">
        <f t="shared" si="119"/>
      </c>
      <c r="FH39" s="2579"/>
      <c r="FI39" s="948"/>
    </row>
    <row r="40" spans="1:165">
      <c r="A40" s="6"/>
      <c r="B40" s="65" t="s">
        <v>282</v>
      </c>
      <c r="C40" s="577">
        <v>592</v>
      </c>
      <c r="D40" s="577">
        <v>818</v>
      </c>
      <c r="E40" s="577">
        <v>1736</v>
      </c>
      <c r="F40" s="577">
        <v>1756</v>
      </c>
      <c r="G40" s="577">
        <v>1866</v>
      </c>
      <c r="H40" s="577">
        <v>2091</v>
      </c>
      <c r="I40" s="577">
        <v>2335</v>
      </c>
      <c r="J40" s="577">
        <v>2316</v>
      </c>
      <c r="K40" s="577">
        <v>2326</v>
      </c>
      <c r="L40" s="577"/>
      <c r="M40" s="67">
        <f>+L40</f>
      </c>
      <c r="N40" s="577">
        <v>2414</v>
      </c>
      <c r="O40" s="577">
        <v>2428</v>
      </c>
      <c r="P40" s="577">
        <v>2471</v>
      </c>
      <c r="Q40" s="577">
        <v>2384</v>
      </c>
      <c r="R40" s="67">
        <f>+Q40</f>
      </c>
      <c r="S40" s="577">
        <v>2465</v>
      </c>
      <c r="T40" s="577">
        <v>2424</v>
      </c>
      <c r="U40" s="577">
        <v>2473</v>
      </c>
      <c r="V40" s="10">
        <f t="shared" si="112"/>
      </c>
      <c r="W40" s="67">
        <f t="shared" si="112"/>
      </c>
      <c r="X40" s="577">
        <v>1022</v>
      </c>
      <c r="Y40" s="577">
        <v>931</v>
      </c>
      <c r="Z40" s="577">
        <v>1246</v>
      </c>
      <c r="AA40" s="577">
        <v>1002</v>
      </c>
      <c r="AB40" s="67">
        <f>+AA40</f>
      </c>
      <c r="AC40" s="577">
        <v>1373</v>
      </c>
      <c r="AD40" s="577">
        <v>1127</v>
      </c>
      <c r="AE40" s="577">
        <v>1373</v>
      </c>
      <c r="AF40" s="577">
        <v>1373</v>
      </c>
      <c r="AG40" s="67">
        <f t="shared" si="87"/>
      </c>
      <c r="AH40" s="577">
        <v>1351</v>
      </c>
      <c r="AI40" s="577">
        <v>1499</v>
      </c>
      <c r="AJ40" s="577">
        <v>1524</v>
      </c>
      <c r="AK40" s="577">
        <v>1631</v>
      </c>
      <c r="AL40" s="67">
        <f>+AK40</f>
      </c>
      <c r="AM40" s="577">
        <v>1678</v>
      </c>
      <c r="AN40" s="577">
        <v>1799</v>
      </c>
      <c r="AO40" s="10">
        <v>1796</v>
      </c>
      <c r="AP40" s="577">
        <v>1778</v>
      </c>
      <c r="AQ40" s="67">
        <f>+AP40</f>
      </c>
      <c r="AR40" s="577">
        <v>1919</v>
      </c>
      <c r="AS40" s="577">
        <v>1760</v>
      </c>
      <c r="AT40" s="577">
        <v>1843</v>
      </c>
      <c r="AU40" s="577">
        <v>1949</v>
      </c>
      <c r="AV40" s="67">
        <f>+AU40</f>
      </c>
      <c r="AW40" s="577">
        <v>1941</v>
      </c>
      <c r="AX40" s="577">
        <v>1998</v>
      </c>
      <c r="AY40" s="577">
        <v>2057</v>
      </c>
      <c r="AZ40" s="577">
        <v>1978</v>
      </c>
      <c r="BA40" s="67">
        <f>+AZ40</f>
      </c>
      <c r="BB40" s="577">
        <v>2061</v>
      </c>
      <c r="BC40" s="577">
        <v>2061</v>
      </c>
      <c r="BD40" s="577">
        <v>2077</v>
      </c>
      <c r="BE40" s="577">
        <v>2226</v>
      </c>
      <c r="BF40" s="67">
        <f>+BE40</f>
      </c>
      <c r="BG40" s="577">
        <v>2260</v>
      </c>
      <c r="BH40" s="577">
        <v>2300</v>
      </c>
      <c r="BI40" s="577">
        <v>2673</v>
      </c>
      <c r="BJ40" s="577">
        <v>3160</v>
      </c>
      <c r="BK40" s="67">
        <f>+BJ40</f>
      </c>
      <c r="BL40" s="10">
        <v>3428</v>
      </c>
      <c r="BM40" s="10">
        <v>3550</v>
      </c>
      <c r="BN40" s="10">
        <v>3663</v>
      </c>
      <c r="BO40" s="10">
        <v>3829</v>
      </c>
      <c r="BP40" s="67">
        <f>+BO40</f>
      </c>
      <c r="BQ40" s="577">
        <v>4134</v>
      </c>
      <c r="BR40" s="577">
        <v>4102</v>
      </c>
      <c r="BS40" s="577">
        <v>3948</v>
      </c>
      <c r="BT40" s="577">
        <v>4206</v>
      </c>
      <c r="BU40" s="67">
        <f>+BT40</f>
      </c>
      <c r="BV40" s="577">
        <v>4148</v>
      </c>
      <c r="BW40" s="577">
        <v>4275</v>
      </c>
      <c r="BX40" s="577">
        <v>5054</v>
      </c>
      <c r="BY40" s="577">
        <v>5947</v>
      </c>
      <c r="BZ40" s="67">
        <f>+BY40</f>
      </c>
      <c r="CA40" s="577">
        <v>6043</v>
      </c>
      <c r="CB40" s="577">
        <v>6359</v>
      </c>
      <c r="CC40" s="577">
        <v>6226</v>
      </c>
      <c r="CD40" s="577">
        <v>6567</v>
      </c>
      <c r="CE40" s="67">
        <f>+CD40</f>
      </c>
      <c r="CF40" s="577">
        <v>7001</v>
      </c>
      <c r="CG40" s="577">
        <v>7227</v>
      </c>
      <c r="CH40" s="577">
        <v>7473</v>
      </c>
      <c r="CI40" s="577">
        <v>10631</v>
      </c>
      <c r="CJ40" s="67">
        <f>CI40</f>
      </c>
      <c r="CK40" s="577">
        <v>10538</v>
      </c>
      <c r="CL40" s="577">
        <v>9487</v>
      </c>
      <c r="CM40" s="577">
        <v>9207</v>
      </c>
      <c r="CN40" s="577">
        <v>8552</v>
      </c>
      <c r="CO40" s="67">
        <f>CN40</f>
      </c>
      <c r="CP40" s="577">
        <v>8197</v>
      </c>
      <c r="CQ40" s="577">
        <v>8569</v>
      </c>
      <c r="CR40" s="577">
        <v>8895</v>
      </c>
      <c r="CS40" s="577">
        <v>7854</v>
      </c>
      <c r="CT40" s="67">
        <f>CS40</f>
      </c>
      <c r="CU40" s="577">
        <v>7271</v>
      </c>
      <c r="CV40" s="577">
        <v>7373</v>
      </c>
      <c r="CW40" s="577">
        <v>7758</v>
      </c>
      <c r="CX40" s="577">
        <v>8034</v>
      </c>
      <c r="CY40" s="67">
        <f>CX40</f>
      </c>
      <c r="CZ40" s="577">
        <v>8604</v>
      </c>
      <c r="DA40" s="577">
        <v>8973</v>
      </c>
      <c r="DB40" s="577">
        <v>9303</v>
      </c>
      <c r="DC40" s="577">
        <v>10241</v>
      </c>
      <c r="DD40" s="67">
        <f>DC40</f>
      </c>
      <c r="DE40" s="577">
        <v>9749</v>
      </c>
      <c r="DF40" s="577">
        <v>10062</v>
      </c>
      <c r="DG40" s="577">
        <v>9414</v>
      </c>
      <c r="DH40" s="577">
        <v>9536</v>
      </c>
      <c r="DI40" s="1111">
        <f>DH40</f>
      </c>
      <c r="DJ40" s="577">
        <v>9526</v>
      </c>
      <c r="DK40" s="577">
        <v>10117</v>
      </c>
      <c r="DL40" s="577">
        <v>9102</v>
      </c>
      <c r="DM40" s="577">
        <f>9017</f>
      </c>
      <c r="DN40" s="1111">
        <f>DM40</f>
      </c>
      <c r="DO40" s="577">
        <v>8876</v>
      </c>
      <c r="DP40" s="577">
        <v>9281</v>
      </c>
      <c r="DQ40" s="577">
        <v>8538</v>
      </c>
      <c r="DR40" s="577">
        <v>8589</v>
      </c>
      <c r="DS40" s="1111">
        <f>DR40</f>
      </c>
      <c r="DT40" s="577">
        <v>8928</v>
      </c>
      <c r="DU40" s="577">
        <v>10102</v>
      </c>
      <c r="DV40" s="577">
        <v>11381</v>
      </c>
      <c r="DW40" s="577">
        <v>11734</v>
      </c>
      <c r="DX40" s="2089">
        <f>DW40</f>
      </c>
      <c r="DY40" s="2094">
        <v>10944</v>
      </c>
      <c r="DZ40" s="577">
        <v>11034</v>
      </c>
      <c r="EA40" s="577">
        <v>12149</v>
      </c>
      <c r="EB40" s="577">
        <v>11944</v>
      </c>
      <c r="EC40" s="1505">
        <f>EB40</f>
      </c>
      <c r="ED40" s="2094">
        <v>11941</v>
      </c>
      <c r="EE40" s="577">
        <v>12724</v>
      </c>
      <c r="EF40" s="577">
        <v>11177</v>
      </c>
      <c r="EG40" s="577">
        <v>10686</v>
      </c>
      <c r="EH40" s="1753">
        <f>EG40</f>
      </c>
      <c r="EI40" s="577">
        <v>10497</v>
      </c>
      <c r="EJ40" s="577">
        <v>10524</v>
      </c>
      <c r="EK40" s="577">
        <v>9918</v>
      </c>
      <c r="EL40" s="577">
        <v>10437</v>
      </c>
      <c r="EM40" s="1753">
        <f>EL40</f>
      </c>
      <c r="EN40" s="577">
        <v>14421</v>
      </c>
      <c r="EO40" s="577">
        <v>14582</v>
      </c>
      <c r="EP40" s="577">
        <v>13562</v>
      </c>
      <c r="EQ40" s="685">
        <v>13398</v>
      </c>
      <c r="ER40" s="1291">
        <f t="shared" si="97"/>
      </c>
      <c r="ES40" s="577">
        <v>15067</v>
      </c>
      <c r="ET40" s="577">
        <v>14086</v>
      </c>
      <c r="EU40" s="577">
        <v>14923</v>
      </c>
      <c r="EV40" s="685">
        <v>17549</v>
      </c>
      <c r="EW40" s="1291">
        <f t="shared" si="113"/>
      </c>
      <c r="EX40" s="577">
        <v>10435</v>
      </c>
      <c r="EY40" s="577">
        <v>10263</v>
      </c>
      <c r="EZ40" s="948">
        <f t="shared" si="117"/>
      </c>
      <c r="FA40" s="1251">
        <f t="shared" si="117"/>
      </c>
      <c r="FB40" s="1291">
        <f>FA40</f>
      </c>
      <c r="FC40" s="1291">
        <f>+FC76*FC$84</f>
      </c>
      <c r="FD40" s="1291">
        <f t="shared" si="118"/>
      </c>
      <c r="FE40" s="1291">
        <f t="shared" si="119"/>
      </c>
      <c r="FF40" s="1291">
        <f t="shared" si="119"/>
      </c>
      <c r="FG40" s="1291">
        <f t="shared" si="119"/>
      </c>
      <c r="FH40" s="2579"/>
      <c r="FI40" s="948"/>
    </row>
    <row r="41" spans="1:165">
      <c r="A41" s="6"/>
      <c r="B41" s="267" t="s">
        <v>387</v>
      </c>
      <c r="C41" s="15">
        <f t="shared" ref="C41:AH41" si="120">SUM(C37:C40)+C36</f>
      </c>
      <c r="D41" s="15">
        <f t="shared" si="120"/>
      </c>
      <c r="E41" s="15">
        <f t="shared" si="120"/>
      </c>
      <c r="F41" s="15">
        <f t="shared" si="120"/>
      </c>
      <c r="G41" s="15">
        <f t="shared" si="120"/>
      </c>
      <c r="H41" s="15">
        <f t="shared" si="120"/>
      </c>
      <c r="I41" s="15">
        <f t="shared" si="120"/>
      </c>
      <c r="J41" s="15">
        <f t="shared" si="120"/>
      </c>
      <c r="K41" s="15">
        <f t="shared" si="120"/>
      </c>
      <c r="L41" s="15">
        <f t="shared" si="120"/>
      </c>
      <c r="M41" s="264">
        <f t="shared" si="120"/>
      </c>
      <c r="N41" s="15">
        <f t="shared" si="120"/>
      </c>
      <c r="O41" s="15">
        <f t="shared" si="120"/>
      </c>
      <c r="P41" s="15">
        <f t="shared" si="120"/>
      </c>
      <c r="Q41" s="15">
        <f t="shared" si="120"/>
      </c>
      <c r="R41" s="264">
        <f t="shared" si="120"/>
      </c>
      <c r="S41" s="15">
        <f t="shared" si="120"/>
      </c>
      <c r="T41" s="15">
        <f t="shared" si="120"/>
      </c>
      <c r="U41" s="15">
        <f t="shared" si="120"/>
      </c>
      <c r="V41" s="15">
        <f t="shared" si="120"/>
      </c>
      <c r="W41" s="264">
        <f t="shared" si="120"/>
      </c>
      <c r="X41" s="15">
        <f t="shared" si="120"/>
      </c>
      <c r="Y41" s="15">
        <f t="shared" si="120"/>
      </c>
      <c r="Z41" s="15">
        <f t="shared" si="120"/>
      </c>
      <c r="AA41" s="15">
        <f t="shared" si="120"/>
      </c>
      <c r="AB41" s="264">
        <f t="shared" si="120"/>
      </c>
      <c r="AC41" s="15">
        <f t="shared" si="120"/>
      </c>
      <c r="AD41" s="15">
        <f t="shared" si="120"/>
      </c>
      <c r="AE41" s="15">
        <f t="shared" si="120"/>
      </c>
      <c r="AF41" s="15">
        <f t="shared" si="120"/>
      </c>
      <c r="AG41" s="264">
        <f t="shared" si="120"/>
      </c>
      <c r="AH41" s="15">
        <f t="shared" si="120"/>
      </c>
      <c r="AI41" s="15">
        <f t="shared" ref="AI41:BN41" si="121">SUM(AI37:AI40)+AI36</f>
      </c>
      <c r="AJ41" s="15">
        <f t="shared" si="121"/>
      </c>
      <c r="AK41" s="15">
        <f t="shared" si="121"/>
      </c>
      <c r="AL41" s="264">
        <f t="shared" si="121"/>
      </c>
      <c r="AM41" s="15">
        <f t="shared" si="121"/>
      </c>
      <c r="AN41" s="15">
        <f t="shared" si="121"/>
      </c>
      <c r="AO41" s="15">
        <f t="shared" si="121"/>
      </c>
      <c r="AP41" s="15">
        <f t="shared" si="121"/>
      </c>
      <c r="AQ41" s="264">
        <f t="shared" si="121"/>
      </c>
      <c r="AR41" s="15">
        <f t="shared" si="121"/>
      </c>
      <c r="AS41" s="15">
        <f t="shared" si="121"/>
      </c>
      <c r="AT41" s="15">
        <f t="shared" si="121"/>
      </c>
      <c r="AU41" s="15">
        <f t="shared" si="121"/>
      </c>
      <c r="AV41" s="264">
        <f t="shared" si="121"/>
      </c>
      <c r="AW41" s="15">
        <f t="shared" si="121"/>
      </c>
      <c r="AX41" s="15">
        <f t="shared" si="121"/>
      </c>
      <c r="AY41" s="15">
        <f t="shared" si="121"/>
      </c>
      <c r="AZ41" s="15">
        <f t="shared" si="121"/>
      </c>
      <c r="BA41" s="264">
        <f t="shared" si="121"/>
      </c>
      <c r="BB41" s="15">
        <f t="shared" si="121"/>
      </c>
      <c r="BC41" s="15">
        <f t="shared" si="121"/>
      </c>
      <c r="BD41" s="15">
        <f t="shared" si="121"/>
      </c>
      <c r="BE41" s="15">
        <f t="shared" si="121"/>
      </c>
      <c r="BF41" s="264">
        <f t="shared" si="121"/>
      </c>
      <c r="BG41" s="15">
        <f t="shared" si="121"/>
      </c>
      <c r="BH41" s="15">
        <f t="shared" si="121"/>
      </c>
      <c r="BI41" s="15">
        <f t="shared" si="121"/>
      </c>
      <c r="BJ41" s="15">
        <f t="shared" si="121"/>
      </c>
      <c r="BK41" s="264">
        <f t="shared" si="121"/>
      </c>
      <c r="BL41" s="15">
        <f t="shared" si="121"/>
      </c>
      <c r="BM41" s="15">
        <f t="shared" si="121"/>
      </c>
      <c r="BN41" s="15">
        <f t="shared" si="121"/>
      </c>
      <c r="BO41" s="15">
        <f t="shared" ref="BO41:BT41" si="122">SUM(BO37:BO40)+BO36</f>
      </c>
      <c r="BP41" s="264">
        <f t="shared" si="122"/>
      </c>
      <c r="BQ41" s="15">
        <f t="shared" si="122"/>
      </c>
      <c r="BR41" s="15">
        <f t="shared" si="122"/>
      </c>
      <c r="BS41" s="15">
        <f t="shared" si="122"/>
      </c>
      <c r="BT41" s="15">
        <f t="shared" si="122"/>
      </c>
      <c r="BU41" s="264">
        <f t="shared" ref="BU41:CO41" si="123">SUM(BU37:BU40)+BU36</f>
      </c>
      <c r="BV41" s="15">
        <f t="shared" si="123"/>
      </c>
      <c r="BW41" s="15">
        <f t="shared" si="123"/>
      </c>
      <c r="BX41" s="15">
        <f t="shared" si="123"/>
      </c>
      <c r="BY41" s="15">
        <f t="shared" si="123"/>
      </c>
      <c r="BZ41" s="264">
        <f t="shared" si="123"/>
      </c>
      <c r="CA41" s="15">
        <f t="shared" si="123"/>
      </c>
      <c r="CB41" s="15">
        <f t="shared" si="123"/>
      </c>
      <c r="CC41" s="15">
        <f t="shared" si="123"/>
      </c>
      <c r="CD41" s="15">
        <f t="shared" si="123"/>
      </c>
      <c r="CE41" s="264">
        <f t="shared" si="123"/>
      </c>
      <c r="CF41" s="15">
        <f t="shared" si="123"/>
      </c>
      <c r="CG41" s="15">
        <f t="shared" si="123"/>
      </c>
      <c r="CH41" s="15">
        <f t="shared" si="123"/>
      </c>
      <c r="CI41" s="15">
        <f t="shared" si="123"/>
      </c>
      <c r="CJ41" s="264">
        <f t="shared" si="123"/>
      </c>
      <c r="CK41" s="15">
        <f t="shared" si="123"/>
      </c>
      <c r="CL41" s="15">
        <f t="shared" si="123"/>
      </c>
      <c r="CM41" s="15">
        <f t="shared" si="123"/>
      </c>
      <c r="CN41" s="15">
        <f t="shared" si="123"/>
      </c>
      <c r="CO41" s="264">
        <f t="shared" si="123"/>
      </c>
      <c r="CP41" s="15">
        <f t="shared" ref="CP41:CU41" si="124">SUM(CP36:CP40)</f>
      </c>
      <c r="CQ41" s="15">
        <f t="shared" si="124"/>
      </c>
      <c r="CR41" s="15">
        <f t="shared" si="124"/>
      </c>
      <c r="CS41" s="15">
        <f t="shared" si="124"/>
      </c>
      <c r="CT41" s="264">
        <f t="shared" si="124"/>
      </c>
      <c r="CU41" s="15">
        <f t="shared" si="124"/>
      </c>
      <c r="CV41" s="15">
        <f>SUM(CV36:CV40)</f>
      </c>
      <c r="CW41" s="15">
        <f>SUM(CW36:CW40)</f>
      </c>
      <c r="CX41" s="15">
        <f>SUM(CX36:CX40)</f>
      </c>
      <c r="CY41" s="264">
        <f>SUM(CY36:CY40)</f>
      </c>
      <c r="CZ41" s="15">
        <f>SUM(CZ36:CZ40)</f>
      </c>
      <c r="DA41" s="15">
        <f t="shared" ref="DA41:DH41" si="125">SUM(DA36:DA40)</f>
      </c>
      <c r="DB41" s="15">
        <f t="shared" si="125"/>
      </c>
      <c r="DC41" s="15">
        <f t="shared" si="125"/>
      </c>
      <c r="DD41" s="264">
        <f t="shared" si="125"/>
      </c>
      <c r="DE41" s="15">
        <f t="shared" si="125"/>
      </c>
      <c r="DF41" s="15">
        <f>SUM(DF36:DF40)</f>
      </c>
      <c r="DG41" s="15">
        <f>SUM(DG36:DG40)</f>
      </c>
      <c r="DH41" s="15">
        <f t="shared" si="125"/>
      </c>
      <c r="DI41" s="264">
        <f t="shared" ref="DI41:EC41" si="126">SUM(DI36:DI40)</f>
      </c>
      <c r="DJ41" s="15">
        <f t="shared" si="126"/>
      </c>
      <c r="DK41" s="15">
        <f t="shared" si="126"/>
      </c>
      <c r="DL41" s="15">
        <f t="shared" si="126"/>
      </c>
      <c r="DM41" s="15">
        <f t="shared" si="126"/>
      </c>
      <c r="DN41" s="264">
        <f t="shared" si="126"/>
      </c>
      <c r="DO41" s="15">
        <f t="shared" si="126"/>
      </c>
      <c r="DP41" s="15">
        <f t="shared" si="126"/>
      </c>
      <c r="DQ41" s="15">
        <f t="shared" si="126"/>
      </c>
      <c r="DR41" s="15">
        <f t="shared" si="126"/>
      </c>
      <c r="DS41" s="264">
        <f t="shared" si="126"/>
      </c>
      <c r="DT41" s="15">
        <f t="shared" si="126"/>
      </c>
      <c r="DU41" s="15">
        <f t="shared" si="126"/>
      </c>
      <c r="DV41" s="15">
        <f t="shared" si="126"/>
      </c>
      <c r="DW41" s="15">
        <f t="shared" si="126"/>
      </c>
      <c r="DX41" s="2090">
        <f t="shared" si="126"/>
      </c>
      <c r="DY41" s="270">
        <f t="shared" si="126"/>
      </c>
      <c r="DZ41" s="15">
        <f t="shared" si="126"/>
      </c>
      <c r="EA41" s="15">
        <f t="shared" si="126"/>
      </c>
      <c r="EB41" s="15">
        <f t="shared" si="126"/>
      </c>
      <c r="EC41" s="327">
        <f t="shared" si="126"/>
      </c>
      <c r="ED41" s="270">
        <f t="shared" ref="ED41:EI41" si="127">SUM(ED36:ED40)</f>
      </c>
      <c r="EE41" s="15">
        <f t="shared" si="127"/>
      </c>
      <c r="EF41" s="15">
        <f t="shared" si="127"/>
      </c>
      <c r="EG41" s="15">
        <f t="shared" si="127"/>
      </c>
      <c r="EH41" s="1752">
        <f t="shared" si="127"/>
      </c>
      <c r="EI41" s="15">
        <f t="shared" si="127"/>
      </c>
      <c r="EJ41" s="15">
        <f t="shared" ref="EJ41:FB41" si="128">SUM(EJ36:EJ40)</f>
      </c>
      <c r="EK41" s="15">
        <f t="shared" si="128"/>
      </c>
      <c r="EL41" s="15">
        <f t="shared" si="128"/>
      </c>
      <c r="EM41" s="1752">
        <f t="shared" si="128"/>
      </c>
      <c r="EN41" s="15">
        <f t="shared" si="128"/>
      </c>
      <c r="EO41" s="15">
        <f t="shared" si="128"/>
      </c>
      <c r="EP41" s="15">
        <f t="shared" si="128"/>
      </c>
      <c r="EQ41" s="2038">
        <f t="shared" si="128"/>
      </c>
      <c r="ER41" s="132">
        <f t="shared" si="128"/>
      </c>
      <c r="ES41" s="15">
        <f t="shared" si="128"/>
      </c>
      <c r="ET41" s="15">
        <f t="shared" si="128"/>
      </c>
      <c r="EU41" s="15">
        <f t="shared" ref="EU41:EY41" si="129">SUM(EU36:EU40)</f>
      </c>
      <c r="EV41" s="2038">
        <f t="shared" si="129"/>
      </c>
      <c r="EW41" s="132">
        <f t="shared" si="129"/>
      </c>
      <c r="EX41" s="15">
        <f t="shared" si="129"/>
      </c>
      <c r="EY41" s="15">
        <f t="shared" si="129"/>
      </c>
      <c r="EZ41" s="15">
        <f>SUM(EZ36:EZ40)</f>
      </c>
      <c r="FA41" s="2038">
        <f>SUM(FA36:FA40)</f>
      </c>
      <c r="FB41" s="132">
        <f t="shared" si="128"/>
      </c>
      <c r="FC41" s="132">
        <f>SUM(FC36:FC40)</f>
      </c>
      <c r="FD41" s="132">
        <f>SUM(FD36:FD40)</f>
      </c>
      <c r="FE41" s="132">
        <f>SUM(FE36:FE40)</f>
      </c>
      <c r="FF41" s="132">
        <f>SUM(FF36:FF40)</f>
      </c>
      <c r="FG41" s="132">
        <f>SUM(FG36:FG40)</f>
      </c>
      <c r="FH41" s="2579"/>
      <c r="FI41" s="948"/>
    </row>
    <row r="42" spans="1:165">
      <c r="A42" s="6"/>
      <c r="B42" s="66"/>
      <c r="C42" s="10"/>
      <c r="D42" s="10"/>
      <c r="E42" s="10"/>
      <c r="F42" s="10"/>
      <c r="G42" s="10"/>
      <c r="H42" s="10"/>
      <c r="I42" s="10"/>
      <c r="J42" s="10"/>
      <c r="K42" s="10"/>
      <c r="L42" s="10"/>
      <c r="M42" s="67"/>
      <c r="N42" s="10"/>
      <c r="O42" s="10"/>
      <c r="P42" s="10"/>
      <c r="Q42" s="10"/>
      <c r="R42" s="67"/>
      <c r="S42" s="10"/>
      <c r="T42" s="10"/>
      <c r="U42" s="10"/>
      <c r="V42" s="10"/>
      <c r="W42" s="67"/>
      <c r="X42" s="10"/>
      <c r="Y42" s="10"/>
      <c r="Z42" s="10"/>
      <c r="AA42" s="10"/>
      <c r="AB42" s="67"/>
      <c r="AC42" s="10"/>
      <c r="AD42" s="10"/>
      <c r="AE42" s="10"/>
      <c r="AF42" s="10"/>
      <c r="AG42" s="67"/>
      <c r="AH42" s="10"/>
      <c r="AI42" s="10"/>
      <c r="AJ42" s="10"/>
      <c r="AK42" s="10"/>
      <c r="AL42" s="67"/>
      <c r="AM42" s="10"/>
      <c r="AN42" s="10"/>
      <c r="AO42" s="10"/>
      <c r="AP42" s="10"/>
      <c r="AQ42" s="67"/>
      <c r="AR42" s="10"/>
      <c r="AS42" s="10"/>
      <c r="AT42" s="10"/>
      <c r="AU42" s="10"/>
      <c r="AV42" s="67"/>
      <c r="AW42" s="10"/>
      <c r="AX42" s="10"/>
      <c r="AY42" s="10"/>
      <c r="AZ42" s="10"/>
      <c r="BA42" s="67"/>
      <c r="BB42" s="10"/>
      <c r="BC42" s="10"/>
      <c r="BD42" s="10"/>
      <c r="BE42" s="10"/>
      <c r="BF42" s="67"/>
      <c r="BG42" s="10"/>
      <c r="BH42" s="10"/>
      <c r="BI42" s="10"/>
      <c r="BJ42" s="10"/>
      <c r="BK42" s="67"/>
      <c r="BL42" s="10"/>
      <c r="BM42" s="10"/>
      <c r="BN42" s="10"/>
      <c r="BO42" s="10"/>
      <c r="BP42" s="67"/>
      <c r="BQ42" s="10"/>
      <c r="BR42" s="10"/>
      <c r="BS42" s="10"/>
      <c r="BT42" s="10"/>
      <c r="BU42" s="67"/>
      <c r="BV42" s="10"/>
      <c r="BW42" s="10"/>
      <c r="BX42" s="10"/>
      <c r="BY42" s="10"/>
      <c r="BZ42" s="67"/>
      <c r="CA42" s="10"/>
      <c r="CB42" s="10"/>
      <c r="CC42" s="10"/>
      <c r="CD42" s="10"/>
      <c r="CE42" s="67"/>
      <c r="CF42" s="10"/>
      <c r="CG42" s="10"/>
      <c r="CH42" s="10"/>
      <c r="CI42" s="10"/>
      <c r="CJ42" s="67"/>
      <c r="CK42" s="10"/>
      <c r="CL42" s="10"/>
      <c r="CM42" s="10"/>
      <c r="CN42" s="10"/>
      <c r="CO42" s="67"/>
      <c r="CP42" s="10"/>
      <c r="CQ42" s="10"/>
      <c r="CR42" s="10"/>
      <c r="CS42" s="10"/>
      <c r="CT42" s="67"/>
      <c r="CU42" s="10"/>
      <c r="CV42" s="10"/>
      <c r="CW42" s="10"/>
      <c r="CX42" s="10"/>
      <c r="CY42" s="67"/>
      <c r="CZ42" s="10"/>
      <c r="DA42" s="10"/>
      <c r="DB42" s="10"/>
      <c r="DC42" s="10"/>
      <c r="DD42" s="67"/>
      <c r="DE42" s="10"/>
      <c r="DF42" s="10"/>
      <c r="DG42" s="10"/>
      <c r="DH42" s="948"/>
      <c r="DI42" s="1111"/>
      <c r="DJ42" s="948"/>
      <c r="DK42" s="948"/>
      <c r="DL42" s="948"/>
      <c r="DM42" s="948"/>
      <c r="DN42" s="1111"/>
      <c r="DO42" s="948"/>
      <c r="DP42" s="948"/>
      <c r="DQ42" s="948"/>
      <c r="DR42" s="948"/>
      <c r="DS42" s="1111"/>
      <c r="DT42" s="948"/>
      <c r="DU42" s="948"/>
      <c r="DV42" s="948"/>
      <c r="DW42" s="948"/>
      <c r="DX42" s="2089"/>
      <c r="DY42" s="2100"/>
      <c r="DZ42" s="948"/>
      <c r="EA42" s="948"/>
      <c r="EB42" s="948"/>
      <c r="EC42" s="1505"/>
      <c r="ED42" s="2100"/>
      <c r="EE42" s="948"/>
      <c r="EF42" s="948"/>
      <c r="EG42" s="948"/>
      <c r="EH42" s="1753"/>
      <c r="EI42" s="948"/>
      <c r="EJ42" s="948"/>
      <c r="EK42" s="948"/>
      <c r="EL42" s="948"/>
      <c r="EM42" s="1753"/>
      <c r="EN42" s="2100"/>
      <c r="EO42" s="948"/>
      <c r="EP42" s="948"/>
      <c r="EQ42" s="1251"/>
      <c r="ER42" s="1291"/>
      <c r="ES42" s="948"/>
      <c r="ET42" s="948"/>
      <c r="EU42" s="948"/>
      <c r="EV42" s="1251"/>
      <c r="EW42" s="1291"/>
      <c r="EX42" s="948"/>
      <c r="EY42" s="948"/>
      <c r="EZ42" s="948"/>
      <c r="FA42" s="1251"/>
      <c r="FB42" s="1291"/>
      <c r="FC42" s="1291"/>
      <c r="FD42" s="1291"/>
      <c r="FE42" s="1291"/>
      <c r="FF42" s="1291"/>
      <c r="FG42" s="1291"/>
      <c r="FH42" s="2579"/>
      <c r="FI42" s="948"/>
    </row>
    <row r="43" spans="1:165">
      <c r="A43" s="3"/>
      <c r="B43" s="616" t="s">
        <v>283</v>
      </c>
      <c r="C43" s="617"/>
      <c r="D43" s="617"/>
      <c r="E43" s="617"/>
      <c r="F43" s="617"/>
      <c r="G43" s="617"/>
      <c r="H43" s="617"/>
      <c r="I43" s="617"/>
      <c r="J43" s="617"/>
      <c r="K43" s="617"/>
      <c r="L43" s="617"/>
      <c r="M43" s="618"/>
      <c r="N43" s="617"/>
      <c r="O43" s="617"/>
      <c r="P43" s="617"/>
      <c r="Q43" s="617"/>
      <c r="R43" s="618"/>
      <c r="S43" s="617"/>
      <c r="T43" s="617"/>
      <c r="U43" s="617"/>
      <c r="V43" s="617"/>
      <c r="W43" s="618"/>
      <c r="X43" s="617"/>
      <c r="Y43" s="617"/>
      <c r="Z43" s="617"/>
      <c r="AA43" s="617"/>
      <c r="AB43" s="618"/>
      <c r="AC43" s="617"/>
      <c r="AD43" s="617"/>
      <c r="AE43" s="617"/>
      <c r="AF43" s="617"/>
      <c r="AG43" s="618"/>
      <c r="AH43" s="617"/>
      <c r="AI43" s="617"/>
      <c r="AJ43" s="617"/>
      <c r="AK43" s="617"/>
      <c r="AL43" s="618"/>
      <c r="AM43" s="617"/>
      <c r="AN43" s="617"/>
      <c r="AO43" s="617"/>
      <c r="AP43" s="617"/>
      <c r="AQ43" s="618"/>
      <c r="AR43" s="617"/>
      <c r="AS43" s="617"/>
      <c r="AT43" s="617"/>
      <c r="AU43" s="617"/>
      <c r="AV43" s="618"/>
      <c r="AW43" s="617"/>
      <c r="AX43" s="617"/>
      <c r="AY43" s="617"/>
      <c r="AZ43" s="617"/>
      <c r="BA43" s="618"/>
      <c r="BB43" s="617"/>
      <c r="BC43" s="617"/>
      <c r="BD43" s="617"/>
      <c r="BE43" s="617"/>
      <c r="BF43" s="618"/>
      <c r="BG43" s="617"/>
      <c r="BH43" s="617"/>
      <c r="BI43" s="617"/>
      <c r="BJ43" s="617"/>
      <c r="BK43" s="618"/>
      <c r="BL43" s="617"/>
      <c r="BM43" s="617"/>
      <c r="BN43" s="617"/>
      <c r="BO43" s="617"/>
      <c r="BP43" s="618"/>
      <c r="BQ43" s="617"/>
      <c r="BR43" s="617"/>
      <c r="BS43" s="617"/>
      <c r="BT43" s="617"/>
      <c r="BU43" s="618"/>
      <c r="BV43" s="617"/>
      <c r="BW43" s="617"/>
      <c r="BX43" s="617"/>
      <c r="BY43" s="617"/>
      <c r="BZ43" s="618"/>
      <c r="CA43" s="617"/>
      <c r="CB43" s="617"/>
      <c r="CC43" s="617"/>
      <c r="CD43" s="617"/>
      <c r="CE43" s="618"/>
      <c r="CF43" s="617"/>
      <c r="CG43" s="617"/>
      <c r="CH43" s="617"/>
      <c r="CI43" s="617"/>
      <c r="CJ43" s="618"/>
      <c r="CK43" s="617"/>
      <c r="CL43" s="617"/>
      <c r="CM43" s="617"/>
      <c r="CN43" s="617"/>
      <c r="CO43" s="618"/>
      <c r="CP43" s="617"/>
      <c r="CQ43" s="617"/>
      <c r="CR43" s="617"/>
      <c r="CS43" s="617"/>
      <c r="CT43" s="618"/>
      <c r="CU43" s="617"/>
      <c r="CV43" s="617"/>
      <c r="CW43" s="617"/>
      <c r="CX43" s="617"/>
      <c r="CY43" s="618"/>
      <c r="CZ43" s="617"/>
      <c r="DA43" s="617"/>
      <c r="DB43" s="617"/>
      <c r="DC43" s="617"/>
      <c r="DD43" s="618"/>
      <c r="DE43" s="617"/>
      <c r="DF43" s="617"/>
      <c r="DG43" s="617"/>
      <c r="DH43" s="617"/>
      <c r="DI43" s="618"/>
      <c r="DJ43" s="617"/>
      <c r="DK43" s="617"/>
      <c r="DL43" s="617"/>
      <c r="DM43" s="617"/>
      <c r="DN43" s="618"/>
      <c r="DO43" s="617"/>
      <c r="DP43" s="617"/>
      <c r="DQ43" s="617"/>
      <c r="DR43" s="617"/>
      <c r="DS43" s="618"/>
      <c r="DT43" s="617"/>
      <c r="DU43" s="617"/>
      <c r="DV43" s="617"/>
      <c r="DW43" s="617"/>
      <c r="DX43" s="2096"/>
      <c r="DY43" s="2101"/>
      <c r="DZ43" s="617"/>
      <c r="EA43" s="617"/>
      <c r="EB43" s="617"/>
      <c r="EC43" s="2712"/>
      <c r="ED43" s="2101"/>
      <c r="EE43" s="617"/>
      <c r="EF43" s="617"/>
      <c r="EG43" s="617"/>
      <c r="EH43" s="1754"/>
      <c r="EI43" s="617"/>
      <c r="EJ43" s="617"/>
      <c r="EK43" s="617"/>
      <c r="EL43" s="617"/>
      <c r="EM43" s="1754"/>
      <c r="EN43" s="2101"/>
      <c r="EO43" s="617"/>
      <c r="EP43" s="617"/>
      <c r="EQ43" s="2153"/>
      <c r="ER43" s="1183"/>
      <c r="ES43" s="617"/>
      <c r="ET43" s="617"/>
      <c r="EU43" s="617"/>
      <c r="EV43" s="2153"/>
      <c r="EW43" s="1183"/>
      <c r="EX43" s="617"/>
      <c r="EY43" s="617"/>
      <c r="EZ43" s="617"/>
      <c r="FA43" s="2153"/>
      <c r="FB43" s="1183"/>
      <c r="FC43" s="1183"/>
      <c r="FD43" s="1183"/>
      <c r="FE43" s="1183"/>
      <c r="FF43" s="1183"/>
      <c r="FG43" s="1183"/>
      <c r="FH43" s="2579"/>
      <c r="FI43" s="948"/>
    </row>
    <row r="44" spans="1:165">
      <c r="A44" s="6"/>
      <c r="B44" s="65" t="s">
        <v>284</v>
      </c>
      <c r="C44" s="577">
        <v>0</v>
      </c>
      <c r="D44" s="577">
        <v>0</v>
      </c>
      <c r="E44" s="577">
        <v>0</v>
      </c>
      <c r="F44" s="577">
        <v>0</v>
      </c>
      <c r="G44" s="577">
        <v>0</v>
      </c>
      <c r="H44" s="577">
        <v>0</v>
      </c>
      <c r="I44" s="577">
        <v>0</v>
      </c>
      <c r="J44" s="577">
        <v>0</v>
      </c>
      <c r="K44" s="577"/>
      <c r="L44" s="577"/>
      <c r="M44" s="67">
        <f t="shared" ref="M44:M50" si="130">+L44</f>
      </c>
      <c r="N44" s="577">
        <v>0</v>
      </c>
      <c r="O44" s="577">
        <v>0</v>
      </c>
      <c r="P44" s="577">
        <v>0</v>
      </c>
      <c r="Q44" s="577">
        <v>0</v>
      </c>
      <c r="R44" s="67">
        <f t="shared" ref="R44:R50" si="131">+Q44</f>
      </c>
      <c r="S44" s="577">
        <v>0</v>
      </c>
      <c r="T44" s="577">
        <v>0</v>
      </c>
      <c r="U44" s="577">
        <v>0</v>
      </c>
      <c r="V44" s="10">
        <f t="shared" ref="V44:W50" si="132">+U44</f>
      </c>
      <c r="W44" s="67">
        <f t="shared" si="132"/>
      </c>
      <c r="X44" s="577">
        <v>0</v>
      </c>
      <c r="Y44" s="577">
        <v>0</v>
      </c>
      <c r="Z44" s="577">
        <v>0</v>
      </c>
      <c r="AA44" s="577">
        <v>0</v>
      </c>
      <c r="AB44" s="67">
        <f t="shared" ref="AB44:AB50" si="133">+AA44</f>
      </c>
      <c r="AC44" s="577">
        <v>0</v>
      </c>
      <c r="AD44" s="577">
        <v>0</v>
      </c>
      <c r="AE44" s="577">
        <v>0</v>
      </c>
      <c r="AF44" s="577">
        <v>0</v>
      </c>
      <c r="AG44" s="67">
        <f t="shared" ref="AG44:AG51" si="134">+AF44</f>
      </c>
      <c r="AH44" s="577">
        <v>0</v>
      </c>
      <c r="AI44" s="577"/>
      <c r="AJ44" s="577">
        <v>0</v>
      </c>
      <c r="AK44" s="577">
        <v>0</v>
      </c>
      <c r="AL44" s="67">
        <f t="shared" ref="AL44:AL50" si="135">+AK44</f>
      </c>
      <c r="AM44" s="577">
        <v>0</v>
      </c>
      <c r="AN44" s="577">
        <v>0</v>
      </c>
      <c r="AO44" s="577">
        <v>0</v>
      </c>
      <c r="AP44" s="577">
        <v>0</v>
      </c>
      <c r="AQ44" s="67">
        <f t="shared" ref="AQ44:AQ50" si="136">+AP44</f>
      </c>
      <c r="AR44" s="577">
        <v>0</v>
      </c>
      <c r="AS44" s="577">
        <v>0</v>
      </c>
      <c r="AT44" s="577">
        <v>0</v>
      </c>
      <c r="AU44" s="577">
        <v>0</v>
      </c>
      <c r="AV44" s="67">
        <f t="shared" ref="AV44:AV50" si="137">+AU44</f>
      </c>
      <c r="AW44" s="577">
        <v>0</v>
      </c>
      <c r="AX44" s="577">
        <v>0</v>
      </c>
      <c r="AY44" s="577">
        <v>0</v>
      </c>
      <c r="AZ44" s="577">
        <v>0</v>
      </c>
      <c r="BA44" s="67">
        <f t="shared" ref="BA44:BA50" si="138">+AZ44</f>
      </c>
      <c r="BB44" s="577">
        <v>0</v>
      </c>
      <c r="BC44" s="577">
        <v>0</v>
      </c>
      <c r="BD44" s="577">
        <v>0</v>
      </c>
      <c r="BE44" s="577">
        <v>0</v>
      </c>
      <c r="BF44" s="67">
        <f t="shared" ref="BF44:BF50" si="139">+BE44</f>
      </c>
      <c r="BG44" s="577">
        <v>0</v>
      </c>
      <c r="BH44" s="577"/>
      <c r="BI44" s="577"/>
      <c r="BJ44" s="577">
        <v>0</v>
      </c>
      <c r="BK44" s="67">
        <f t="shared" ref="BK44:BK50" si="140">+BJ44</f>
      </c>
      <c r="BL44" s="577">
        <v>0</v>
      </c>
      <c r="BM44" s="577"/>
      <c r="BN44" s="577"/>
      <c r="BO44" s="577"/>
      <c r="BP44" s="67">
        <f t="shared" ref="BP44:BP50" si="141">+BO44</f>
      </c>
      <c r="BQ44" s="577"/>
      <c r="BR44" s="577"/>
      <c r="BS44" s="577"/>
      <c r="BT44" s="577"/>
      <c r="BU44" s="67">
        <f t="shared" ref="BU44:BU50" si="142">+BT44</f>
      </c>
      <c r="BV44" s="10">
        <f>+BU44</f>
      </c>
      <c r="BW44" s="10">
        <f>+BV44</f>
      </c>
      <c r="BX44" s="10">
        <f>+BW44</f>
      </c>
      <c r="BY44" s="10">
        <v>0</v>
      </c>
      <c r="BZ44" s="67">
        <f t="shared" ref="BZ44:BZ51" si="143">+BY44</f>
      </c>
      <c r="CA44" s="577">
        <v>0</v>
      </c>
      <c r="CB44" s="577">
        <v>0</v>
      </c>
      <c r="CC44" s="577">
        <v>0</v>
      </c>
      <c r="CD44" s="577">
        <v>0</v>
      </c>
      <c r="CE44" s="67">
        <f t="shared" ref="CE44:CE50" si="144">+CD44</f>
      </c>
      <c r="CF44" s="577">
        <v>0</v>
      </c>
      <c r="CG44" s="577">
        <v>0</v>
      </c>
      <c r="CH44" s="577">
        <v>0</v>
      </c>
      <c r="CI44" s="577">
        <v>0</v>
      </c>
      <c r="CJ44" s="67">
        <f>+CI44</f>
      </c>
      <c r="CK44" s="577">
        <v>0</v>
      </c>
      <c r="CL44" s="577">
        <v>0</v>
      </c>
      <c r="CM44" s="577">
        <v>0</v>
      </c>
      <c r="CN44" s="577">
        <v>0</v>
      </c>
      <c r="CO44" s="67">
        <f>+CJ44</f>
      </c>
      <c r="CP44" s="577">
        <v>0</v>
      </c>
      <c r="CQ44" s="577">
        <v>0</v>
      </c>
      <c r="CR44" s="577">
        <v>0</v>
      </c>
      <c r="CS44" s="577">
        <v>0</v>
      </c>
      <c r="CT44" s="67">
        <f>+CO44</f>
      </c>
      <c r="CU44" s="577">
        <v>0</v>
      </c>
      <c r="CV44" s="577">
        <v>0</v>
      </c>
      <c r="CW44" s="577">
        <v>0</v>
      </c>
      <c r="CX44" s="577">
        <v>0</v>
      </c>
      <c r="CY44" s="67">
        <f>+CT44</f>
      </c>
      <c r="CZ44" s="577">
        <v>0</v>
      </c>
      <c r="DA44" s="577">
        <v>0</v>
      </c>
      <c r="DB44" s="577">
        <v>0</v>
      </c>
      <c r="DC44" s="577">
        <f>+DB44</f>
      </c>
      <c r="DD44" s="67">
        <f>+CY44</f>
      </c>
      <c r="DE44" s="577">
        <f>+DD44</f>
      </c>
      <c r="DF44" s="577">
        <v>0</v>
      </c>
      <c r="DG44" s="577">
        <v>0</v>
      </c>
      <c r="DH44" s="577">
        <v>0</v>
      </c>
      <c r="DI44" s="1111">
        <f>+DD44</f>
      </c>
      <c r="DJ44" s="577">
        <f t="shared" ref="DJ44:DL45" si="145">+DI44</f>
      </c>
      <c r="DK44" s="577">
        <f t="shared" si="145"/>
      </c>
      <c r="DL44" s="577">
        <f t="shared" si="145"/>
      </c>
      <c r="DM44" s="577">
        <v>0</v>
      </c>
      <c r="DN44" s="1111">
        <f>+DI44</f>
      </c>
      <c r="DO44" s="577">
        <f t="shared" ref="DO44:DQ45" si="146">+DN44</f>
      </c>
      <c r="DP44" s="577">
        <f t="shared" si="146"/>
      </c>
      <c r="DQ44" s="577">
        <f t="shared" si="146"/>
      </c>
      <c r="DR44" s="577">
        <v>0</v>
      </c>
      <c r="DS44" s="1111">
        <f>+DN44</f>
      </c>
      <c r="DT44" s="577">
        <v>0</v>
      </c>
      <c r="DU44" s="577">
        <v>0</v>
      </c>
      <c r="DV44" s="948">
        <v>0</v>
      </c>
      <c r="DW44" s="577">
        <v>0</v>
      </c>
      <c r="DX44" s="2089">
        <f>+DS44</f>
      </c>
      <c r="DY44" s="2094">
        <v>0</v>
      </c>
      <c r="DZ44" s="577">
        <v>0</v>
      </c>
      <c r="EA44" s="577">
        <v>0</v>
      </c>
      <c r="EB44" s="577">
        <v>0</v>
      </c>
      <c r="EC44" s="1505">
        <f>+DX44</f>
      </c>
      <c r="ED44" s="2094">
        <v>0</v>
      </c>
      <c r="EE44" s="577">
        <v>0</v>
      </c>
      <c r="EF44" s="577">
        <v>0</v>
      </c>
      <c r="EG44" s="577">
        <v>0</v>
      </c>
      <c r="EH44" s="1753">
        <f>+EC44</f>
      </c>
      <c r="EI44" s="577">
        <v>0</v>
      </c>
      <c r="EJ44" s="577">
        <v>0</v>
      </c>
      <c r="EK44" s="577">
        <v>0</v>
      </c>
      <c r="EL44" s="577">
        <v>0</v>
      </c>
      <c r="EM44" s="1753">
        <f>+EH44</f>
      </c>
      <c r="EN44" s="577">
        <f>+EM44</f>
      </c>
      <c r="EO44" s="577">
        <v>0</v>
      </c>
      <c r="EP44" s="577">
        <v>0</v>
      </c>
      <c r="EQ44" s="685">
        <v>0</v>
      </c>
      <c r="ER44" s="1291">
        <f>+EM44</f>
      </c>
      <c r="ES44" s="577">
        <v>0</v>
      </c>
      <c r="ET44" s="577">
        <v>0</v>
      </c>
      <c r="EU44" s="577">
        <v>0</v>
      </c>
      <c r="EV44" s="685">
        <v>0</v>
      </c>
      <c r="EW44" s="1291">
        <f>+ER44</f>
      </c>
      <c r="EX44" s="577">
        <v>0</v>
      </c>
      <c r="EY44" s="577">
        <v>0</v>
      </c>
      <c r="EZ44" s="948">
        <f t="shared" ref="EZ44:FA45" si="147">+EY44</f>
      </c>
      <c r="FA44" s="1251">
        <f t="shared" si="147"/>
      </c>
      <c r="FB44" s="1291">
        <f>+EW44</f>
      </c>
      <c r="FC44" s="1291">
        <f t="shared" ref="FC44:FG45" si="148">+FB44</f>
      </c>
      <c r="FD44" s="1291">
        <f t="shared" si="148"/>
      </c>
      <c r="FE44" s="1291">
        <f t="shared" si="148"/>
      </c>
      <c r="FF44" s="1291">
        <f t="shared" si="148"/>
      </c>
      <c r="FG44" s="1291">
        <f t="shared" si="148"/>
      </c>
      <c r="FH44" s="2579"/>
      <c r="FI44" s="948"/>
    </row>
    <row r="45" spans="1:165">
      <c r="A45" s="6"/>
      <c r="B45" s="65" t="s">
        <v>285</v>
      </c>
      <c r="C45" s="577">
        <v>384</v>
      </c>
      <c r="D45" s="577">
        <v>384</v>
      </c>
      <c r="E45" s="577">
        <v>767</v>
      </c>
      <c r="F45" s="577">
        <v>767</v>
      </c>
      <c r="G45" s="577">
        <v>767</v>
      </c>
      <c r="H45" s="577">
        <v>1535</v>
      </c>
      <c r="I45" s="577">
        <v>1535</v>
      </c>
      <c r="J45" s="577">
        <v>1535</v>
      </c>
      <c r="K45" s="577">
        <v>1535</v>
      </c>
      <c r="L45" s="577">
        <v>1535</v>
      </c>
      <c r="M45" s="67">
        <f t="shared" si="130"/>
      </c>
      <c r="N45" s="577">
        <v>1535</v>
      </c>
      <c r="O45" s="577">
        <v>1535</v>
      </c>
      <c r="P45" s="577">
        <v>1535</v>
      </c>
      <c r="Q45" s="577">
        <v>1535</v>
      </c>
      <c r="R45" s="67">
        <f t="shared" si="131"/>
      </c>
      <c r="S45" s="577">
        <v>1535</v>
      </c>
      <c r="T45" s="577">
        <v>1535</v>
      </c>
      <c r="U45" s="577">
        <v>1535</v>
      </c>
      <c r="V45" s="10">
        <f t="shared" si="132"/>
      </c>
      <c r="W45" s="67">
        <f t="shared" si="132"/>
      </c>
      <c r="X45" s="577">
        <v>1535</v>
      </c>
      <c r="Y45" s="577">
        <v>1535</v>
      </c>
      <c r="Z45" s="577">
        <v>1535</v>
      </c>
      <c r="AA45" s="577">
        <v>3120</v>
      </c>
      <c r="AB45" s="67">
        <f t="shared" si="133"/>
      </c>
      <c r="AC45" s="577">
        <v>3120</v>
      </c>
      <c r="AD45" s="577">
        <v>1535</v>
      </c>
      <c r="AE45" s="577">
        <v>3120</v>
      </c>
      <c r="AF45" s="577">
        <v>3120</v>
      </c>
      <c r="AG45" s="67">
        <f t="shared" si="134"/>
      </c>
      <c r="AH45" s="577">
        <v>3120</v>
      </c>
      <c r="AI45" s="577">
        <v>3120</v>
      </c>
      <c r="AJ45" s="577">
        <v>3120</v>
      </c>
      <c r="AK45" s="577">
        <v>3120</v>
      </c>
      <c r="AL45" s="67">
        <f t="shared" si="135"/>
      </c>
      <c r="AM45" s="577">
        <v>3120</v>
      </c>
      <c r="AN45" s="577">
        <v>3120</v>
      </c>
      <c r="AO45" s="577">
        <v>3120</v>
      </c>
      <c r="AP45" s="577">
        <v>3120</v>
      </c>
      <c r="AQ45" s="67">
        <f t="shared" si="136"/>
      </c>
      <c r="AR45" s="577">
        <v>3120</v>
      </c>
      <c r="AS45" s="577">
        <v>3120</v>
      </c>
      <c r="AT45" s="577">
        <v>3120</v>
      </c>
      <c r="AU45" s="577">
        <v>3120</v>
      </c>
      <c r="AV45" s="67">
        <f t="shared" si="137"/>
      </c>
      <c r="AW45" s="577">
        <v>3120</v>
      </c>
      <c r="AX45" s="577">
        <v>3120</v>
      </c>
      <c r="AY45" s="577">
        <v>3120</v>
      </c>
      <c r="AZ45" s="577">
        <v>3120</v>
      </c>
      <c r="BA45" s="67">
        <f t="shared" si="138"/>
      </c>
      <c r="BB45" s="577">
        <v>3120</v>
      </c>
      <c r="BC45" s="577">
        <v>3120</v>
      </c>
      <c r="BD45" s="577">
        <v>3120</v>
      </c>
      <c r="BE45" s="577">
        <v>3120</v>
      </c>
      <c r="BF45" s="67">
        <f t="shared" si="139"/>
      </c>
      <c r="BG45" s="577">
        <v>3120</v>
      </c>
      <c r="BH45" s="577">
        <v>3120</v>
      </c>
      <c r="BI45" s="577">
        <v>3120</v>
      </c>
      <c r="BJ45" s="577">
        <v>3120</v>
      </c>
      <c r="BK45" s="67">
        <f t="shared" si="140"/>
      </c>
      <c r="BL45" s="577">
        <v>3120</v>
      </c>
      <c r="BM45" s="577">
        <v>3120</v>
      </c>
      <c r="BN45" s="577">
        <v>3120</v>
      </c>
      <c r="BO45" s="577">
        <v>3120</v>
      </c>
      <c r="BP45" s="67">
        <f t="shared" si="141"/>
      </c>
      <c r="BQ45" s="577">
        <v>3120</v>
      </c>
      <c r="BR45" s="577">
        <v>3120</v>
      </c>
      <c r="BS45" s="577">
        <v>3120</v>
      </c>
      <c r="BT45" s="577">
        <v>3120</v>
      </c>
      <c r="BU45" s="67">
        <f t="shared" si="142"/>
      </c>
      <c r="BV45" s="10">
        <v>3120</v>
      </c>
      <c r="BW45" s="10">
        <v>3120</v>
      </c>
      <c r="BX45" s="10">
        <v>3120</v>
      </c>
      <c r="BY45" s="10">
        <v>3120</v>
      </c>
      <c r="BZ45" s="67">
        <f t="shared" si="143"/>
      </c>
      <c r="CA45" s="577">
        <v>3120</v>
      </c>
      <c r="CB45" s="577">
        <v>3120</v>
      </c>
      <c r="CC45" s="577">
        <v>3120</v>
      </c>
      <c r="CD45" s="577">
        <v>3120</v>
      </c>
      <c r="CE45" s="67">
        <f t="shared" si="144"/>
      </c>
      <c r="CF45" s="577">
        <v>3120</v>
      </c>
      <c r="CG45" s="577">
        <v>3120</v>
      </c>
      <c r="CH45" s="577">
        <v>3120</v>
      </c>
      <c r="CI45" s="577">
        <v>3120</v>
      </c>
      <c r="CJ45" s="67">
        <f>+CI45</f>
      </c>
      <c r="CK45" s="577">
        <v>3120</v>
      </c>
      <c r="CL45" s="577">
        <v>3120</v>
      </c>
      <c r="CM45" s="577">
        <v>3120</v>
      </c>
      <c r="CN45" s="577">
        <v>3120</v>
      </c>
      <c r="CO45" s="67">
        <f>+CN45</f>
      </c>
      <c r="CP45" s="577">
        <v>3120</v>
      </c>
      <c r="CQ45" s="577">
        <v>3120</v>
      </c>
      <c r="CR45" s="577">
        <v>3120</v>
      </c>
      <c r="CS45" s="577">
        <v>3120</v>
      </c>
      <c r="CT45" s="67">
        <f>+CS45</f>
      </c>
      <c r="CU45" s="577">
        <v>3120</v>
      </c>
      <c r="CV45" s="577">
        <v>3120</v>
      </c>
      <c r="CW45" s="577">
        <v>3120</v>
      </c>
      <c r="CX45" s="577">
        <v>3120</v>
      </c>
      <c r="CY45" s="67">
        <f>+CX45</f>
      </c>
      <c r="CZ45" s="577">
        <v>3120</v>
      </c>
      <c r="DA45" s="577">
        <v>3120</v>
      </c>
      <c r="DB45" s="577">
        <v>3120</v>
      </c>
      <c r="DC45" s="577">
        <v>3120</v>
      </c>
      <c r="DD45" s="67">
        <f>+DC45</f>
      </c>
      <c r="DE45" s="577">
        <v>3120</v>
      </c>
      <c r="DF45" s="577">
        <v>3120</v>
      </c>
      <c r="DG45" s="577">
        <v>3120</v>
      </c>
      <c r="DH45" s="577">
        <v>3120</v>
      </c>
      <c r="DI45" s="1111">
        <f>+DH45</f>
      </c>
      <c r="DJ45" s="577">
        <f t="shared" si="145"/>
      </c>
      <c r="DK45" s="577">
        <f t="shared" si="145"/>
      </c>
      <c r="DL45" s="577">
        <f t="shared" si="145"/>
      </c>
      <c r="DM45" s="577">
        <v>3120</v>
      </c>
      <c r="DN45" s="1111">
        <f>+DM45</f>
      </c>
      <c r="DO45" s="577">
        <f t="shared" si="146"/>
      </c>
      <c r="DP45" s="577">
        <f t="shared" si="146"/>
      </c>
      <c r="DQ45" s="577">
        <f t="shared" si="146"/>
      </c>
      <c r="DR45" s="577">
        <v>3120</v>
      </c>
      <c r="DS45" s="1111">
        <f>+DR45</f>
      </c>
      <c r="DT45" s="577">
        <v>3120</v>
      </c>
      <c r="DU45" s="577">
        <v>3120</v>
      </c>
      <c r="DV45" s="577">
        <v>3120</v>
      </c>
      <c r="DW45" s="577">
        <v>3120</v>
      </c>
      <c r="DX45" s="2089">
        <f>+DW45</f>
      </c>
      <c r="DY45" s="2094">
        <v>3120</v>
      </c>
      <c r="DZ45" s="577">
        <v>3120</v>
      </c>
      <c r="EA45" s="577">
        <v>3120</v>
      </c>
      <c r="EB45" s="577">
        <v>3120</v>
      </c>
      <c r="EC45" s="1505">
        <f>+EB45</f>
      </c>
      <c r="ED45" s="2094">
        <v>3120</v>
      </c>
      <c r="EE45" s="577">
        <v>3120</v>
      </c>
      <c r="EF45" s="577">
        <v>3120</v>
      </c>
      <c r="EG45" s="577">
        <v>3120</v>
      </c>
      <c r="EH45" s="1753">
        <f>+EG45</f>
      </c>
      <c r="EI45" s="577">
        <v>3120</v>
      </c>
      <c r="EJ45" s="577">
        <v>3120</v>
      </c>
      <c r="EK45" s="577">
        <v>3120</v>
      </c>
      <c r="EL45" s="577">
        <v>3120</v>
      </c>
      <c r="EM45" s="1753">
        <f>+EL45</f>
      </c>
      <c r="EN45" s="577">
        <v>3120</v>
      </c>
      <c r="EO45" s="577">
        <v>3120</v>
      </c>
      <c r="EP45" s="577">
        <v>3120</v>
      </c>
      <c r="EQ45" s="685">
        <v>3120</v>
      </c>
      <c r="ER45" s="1291">
        <f>+EQ45</f>
      </c>
      <c r="ES45" s="577">
        <v>3120</v>
      </c>
      <c r="ET45" s="577">
        <v>3120</v>
      </c>
      <c r="EU45" s="577">
        <v>3120</v>
      </c>
      <c r="EV45" s="685">
        <v>3120</v>
      </c>
      <c r="EW45" s="1291">
        <f>+EV45</f>
      </c>
      <c r="EX45" s="577">
        <v>3120</v>
      </c>
      <c r="EY45" s="577">
        <v>3120</v>
      </c>
      <c r="EZ45" s="948">
        <f t="shared" si="147"/>
      </c>
      <c r="FA45" s="1251">
        <f t="shared" si="147"/>
      </c>
      <c r="FB45" s="1291">
        <f>FA45</f>
      </c>
      <c r="FC45" s="1291">
        <f t="shared" si="148"/>
      </c>
      <c r="FD45" s="1291">
        <f t="shared" si="148"/>
      </c>
      <c r="FE45" s="1291">
        <f t="shared" si="148"/>
      </c>
      <c r="FF45" s="1291">
        <f t="shared" si="148"/>
      </c>
      <c r="FG45" s="1291">
        <f t="shared" si="148"/>
      </c>
      <c r="FH45" s="2579"/>
      <c r="FI45" s="948"/>
    </row>
    <row r="46" spans="1:165" hidden="1" outlineLevel="1">
      <c r="A46" s="6"/>
      <c r="B46" s="65" t="s">
        <v>401</v>
      </c>
      <c r="C46" s="577">
        <v>-100</v>
      </c>
      <c r="D46" s="577">
        <v>-100</v>
      </c>
      <c r="E46" s="577">
        <v>-92</v>
      </c>
      <c r="F46" s="577">
        <v>-84</v>
      </c>
      <c r="G46" s="577">
        <v>-73</v>
      </c>
      <c r="H46" s="577">
        <v>-64</v>
      </c>
      <c r="I46" s="577">
        <v>-57</v>
      </c>
      <c r="J46" s="577">
        <v>-57</v>
      </c>
      <c r="K46" s="577">
        <v>-57</v>
      </c>
      <c r="L46" s="577">
        <v>-57</v>
      </c>
      <c r="M46" s="67">
        <f t="shared" si="130"/>
      </c>
      <c r="N46" s="577">
        <v>-51</v>
      </c>
      <c r="O46" s="577">
        <v>-51</v>
      </c>
      <c r="P46" s="577">
        <v>-51</v>
      </c>
      <c r="Q46" s="577">
        <v>-51</v>
      </c>
      <c r="R46" s="67">
        <f t="shared" si="131"/>
      </c>
      <c r="S46" s="577">
        <v>-45</v>
      </c>
      <c r="T46" s="577">
        <v>-45</v>
      </c>
      <c r="U46" s="577">
        <v>-45</v>
      </c>
      <c r="V46" s="10">
        <f t="shared" si="132"/>
      </c>
      <c r="W46" s="67">
        <f t="shared" si="132"/>
      </c>
      <c r="X46" s="577">
        <v>-41</v>
      </c>
      <c r="Y46" s="577">
        <v>-41</v>
      </c>
      <c r="Z46" s="577">
        <v>-41</v>
      </c>
      <c r="AA46" s="577">
        <v>-41</v>
      </c>
      <c r="AB46" s="67">
        <f t="shared" si="133"/>
      </c>
      <c r="AC46" s="577">
        <v>-35</v>
      </c>
      <c r="AD46" s="577">
        <v>-35</v>
      </c>
      <c r="AE46" s="577">
        <v>-35</v>
      </c>
      <c r="AF46" s="577">
        <v>-35</v>
      </c>
      <c r="AG46" s="67">
        <f t="shared" si="134"/>
      </c>
      <c r="AH46" s="577">
        <v>-30</v>
      </c>
      <c r="AI46" s="577">
        <v>-30</v>
      </c>
      <c r="AJ46" s="577">
        <v>-30</v>
      </c>
      <c r="AK46" s="577">
        <v>-30</v>
      </c>
      <c r="AL46" s="67">
        <f t="shared" si="135"/>
      </c>
      <c r="AM46" s="577">
        <v>-25</v>
      </c>
      <c r="AN46" s="577">
        <v>-25</v>
      </c>
      <c r="AO46" s="577">
        <v>-25</v>
      </c>
      <c r="AP46" s="577">
        <v>-25</v>
      </c>
      <c r="AQ46" s="67">
        <f t="shared" si="136"/>
      </c>
      <c r="AR46" s="577">
        <v>-18</v>
      </c>
      <c r="AS46" s="577">
        <v>-18</v>
      </c>
      <c r="AT46" s="577">
        <v>-18</v>
      </c>
      <c r="AU46" s="577">
        <v>-18</v>
      </c>
      <c r="AV46" s="67">
        <f t="shared" si="137"/>
      </c>
      <c r="AW46" s="577">
        <v>-11</v>
      </c>
      <c r="AX46" s="577">
        <v>-11</v>
      </c>
      <c r="AY46" s="577">
        <v>-11</v>
      </c>
      <c r="AZ46" s="577">
        <v>-11</v>
      </c>
      <c r="BA46" s="67">
        <f t="shared" si="138"/>
      </c>
      <c r="BB46" s="577">
        <v>0</v>
      </c>
      <c r="BC46" s="577">
        <v>0</v>
      </c>
      <c r="BD46" s="577">
        <v>0</v>
      </c>
      <c r="BE46" s="577">
        <v>0</v>
      </c>
      <c r="BF46" s="67">
        <f t="shared" si="139"/>
      </c>
      <c r="BG46" s="10"/>
      <c r="BH46" s="10"/>
      <c r="BI46" s="10"/>
      <c r="BJ46" s="10"/>
      <c r="BK46" s="67">
        <f t="shared" si="140"/>
      </c>
      <c r="BL46" s="10"/>
      <c r="BM46" s="10"/>
      <c r="BN46" s="10"/>
      <c r="BO46" s="10"/>
      <c r="BP46" s="67">
        <f t="shared" si="141"/>
      </c>
      <c r="BQ46" s="577"/>
      <c r="BR46" s="577"/>
      <c r="BS46" s="577"/>
      <c r="BT46" s="577"/>
      <c r="BU46" s="67">
        <f t="shared" si="142"/>
      </c>
      <c r="BV46" s="10"/>
      <c r="BW46" s="10"/>
      <c r="BX46" s="10"/>
      <c r="BY46" s="10"/>
      <c r="BZ46" s="67">
        <f t="shared" si="143"/>
      </c>
      <c r="CA46" s="577"/>
      <c r="CB46" s="577"/>
      <c r="CC46" s="577"/>
      <c r="CD46" s="577"/>
      <c r="CE46" s="67">
        <f t="shared" si="144"/>
      </c>
      <c r="CF46" s="577"/>
      <c r="CG46" s="577"/>
      <c r="CH46" s="577"/>
      <c r="CI46" s="577"/>
      <c r="CJ46" s="67"/>
      <c r="CK46" s="577"/>
      <c r="CL46" s="577"/>
      <c r="CM46" s="577"/>
      <c r="CN46" s="10"/>
      <c r="CO46" s="67"/>
      <c r="CP46" s="10"/>
      <c r="CQ46" s="10"/>
      <c r="CR46" s="10"/>
      <c r="CS46" s="10"/>
      <c r="CT46" s="67"/>
      <c r="CU46" s="10"/>
      <c r="CV46" s="10"/>
      <c r="CW46" s="10"/>
      <c r="CX46" s="10"/>
      <c r="CY46" s="67"/>
      <c r="CZ46" s="577"/>
      <c r="DA46" s="10"/>
      <c r="DB46" s="577"/>
      <c r="DC46" s="10"/>
      <c r="DD46" s="67"/>
      <c r="DE46" s="577"/>
      <c r="DF46" s="10"/>
      <c r="DG46" s="577"/>
      <c r="DH46" s="577"/>
      <c r="DI46" s="1111"/>
      <c r="DJ46" s="577"/>
      <c r="DK46" s="577"/>
      <c r="DL46" s="577"/>
      <c r="DM46" s="577"/>
      <c r="DN46" s="1111"/>
      <c r="DO46" s="577"/>
      <c r="DP46" s="577"/>
      <c r="DQ46" s="577"/>
      <c r="DR46" s="577"/>
      <c r="DS46" s="1111"/>
      <c r="DT46" s="577"/>
      <c r="DU46" s="577"/>
      <c r="DV46" s="577"/>
      <c r="DW46" s="577"/>
      <c r="DX46" s="2089"/>
      <c r="DY46" s="2094"/>
      <c r="DZ46" s="948"/>
      <c r="EA46" s="948"/>
      <c r="EB46" s="948"/>
      <c r="EC46" s="1505"/>
      <c r="ED46" s="2094"/>
      <c r="EE46" s="577"/>
      <c r="EF46" s="577"/>
      <c r="EG46" s="948"/>
      <c r="EH46" s="1753"/>
      <c r="EI46" s="948"/>
      <c r="EJ46" s="948"/>
      <c r="EK46" s="577"/>
      <c r="EL46" s="948"/>
      <c r="EM46" s="1753"/>
      <c r="EN46" s="948"/>
      <c r="EO46" s="948"/>
      <c r="EP46" s="948"/>
      <c r="EQ46" s="685"/>
      <c r="ER46" s="1291"/>
      <c r="ES46" s="577"/>
      <c r="ET46" s="948"/>
      <c r="EU46" s="948"/>
      <c r="EV46" s="685"/>
      <c r="EW46" s="1291"/>
      <c r="EX46" s="577"/>
      <c r="EY46" s="948"/>
      <c r="EZ46" s="948"/>
      <c r="FA46" s="1251"/>
      <c r="FB46" s="3600"/>
      <c r="FC46" s="1291"/>
      <c r="FD46" s="1291"/>
      <c r="FE46" s="1291"/>
      <c r="FF46" s="1291"/>
      <c r="FG46" s="1291"/>
      <c r="FH46" s="2579"/>
      <c r="FI46" s="948"/>
    </row>
    <row r="47" spans="1:165" hidden="1" outlineLevel="1">
      <c r="A47" s="6"/>
      <c r="B47" s="65" t="s">
        <v>402</v>
      </c>
      <c r="C47" s="577">
        <v>241</v>
      </c>
      <c r="D47" s="577">
        <v>134</v>
      </c>
      <c r="E47" s="577">
        <v>-146</v>
      </c>
      <c r="F47" s="577">
        <v>-338</v>
      </c>
      <c r="G47" s="577">
        <v>-35</v>
      </c>
      <c r="H47" s="577">
        <v>148</v>
      </c>
      <c r="I47" s="577">
        <v>80</v>
      </c>
      <c r="J47" s="577">
        <v>-37</v>
      </c>
      <c r="K47" s="577">
        <v>-27</v>
      </c>
      <c r="L47" s="577">
        <v>-122</v>
      </c>
      <c r="M47" s="67">
        <f t="shared" si="130"/>
      </c>
      <c r="N47" s="577">
        <v>-287</v>
      </c>
      <c r="O47" s="577">
        <v>-305</v>
      </c>
      <c r="P47" s="577">
        <v>-371</v>
      </c>
      <c r="Q47" s="577"/>
      <c r="R47" s="67">
        <f t="shared" si="131"/>
      </c>
      <c r="S47" s="577"/>
      <c r="T47" s="577"/>
      <c r="U47" s="577"/>
      <c r="V47" s="10">
        <f t="shared" si="132"/>
      </c>
      <c r="W47" s="67">
        <f t="shared" si="132"/>
      </c>
      <c r="X47" s="577"/>
      <c r="Y47" s="577">
        <v>0</v>
      </c>
      <c r="Z47" s="577">
        <v>0</v>
      </c>
      <c r="AA47" s="577">
        <v>0</v>
      </c>
      <c r="AB47" s="67">
        <f t="shared" si="133"/>
      </c>
      <c r="AC47" s="577">
        <v>0</v>
      </c>
      <c r="AD47" s="577">
        <v>0</v>
      </c>
      <c r="AE47" s="577"/>
      <c r="AF47" s="577"/>
      <c r="AG47" s="67">
        <f t="shared" si="134"/>
      </c>
      <c r="AH47" s="577"/>
      <c r="AI47" s="577"/>
      <c r="AJ47" s="577"/>
      <c r="AK47" s="577"/>
      <c r="AL47" s="67">
        <f t="shared" si="135"/>
      </c>
      <c r="AM47" s="577"/>
      <c r="AN47" s="577"/>
      <c r="AO47" s="577"/>
      <c r="AP47" s="577"/>
      <c r="AQ47" s="67">
        <f t="shared" si="136"/>
      </c>
      <c r="AR47" s="577"/>
      <c r="AS47" s="577"/>
      <c r="AT47" s="577"/>
      <c r="AU47" s="577"/>
      <c r="AV47" s="67">
        <f t="shared" si="137"/>
      </c>
      <c r="AW47" s="577"/>
      <c r="AX47" s="577"/>
      <c r="AY47" s="577"/>
      <c r="AZ47" s="577"/>
      <c r="BA47" s="67">
        <f t="shared" si="138"/>
      </c>
      <c r="BB47" s="10"/>
      <c r="BC47" s="10"/>
      <c r="BD47" s="10"/>
      <c r="BE47" s="10"/>
      <c r="BF47" s="67">
        <f t="shared" si="139"/>
      </c>
      <c r="BG47" s="10"/>
      <c r="BH47" s="10"/>
      <c r="BI47" s="10"/>
      <c r="BJ47" s="10"/>
      <c r="BK47" s="67">
        <f t="shared" si="140"/>
      </c>
      <c r="BL47" s="10"/>
      <c r="BM47" s="10"/>
      <c r="BN47" s="10"/>
      <c r="BO47" s="10"/>
      <c r="BP47" s="67">
        <f t="shared" si="141"/>
      </c>
      <c r="BQ47" s="577"/>
      <c r="BR47" s="577"/>
      <c r="BS47" s="577"/>
      <c r="BT47" s="577"/>
      <c r="BU47" s="67">
        <f t="shared" si="142"/>
      </c>
      <c r="BV47" s="10"/>
      <c r="BW47" s="10"/>
      <c r="BX47" s="10"/>
      <c r="BY47" s="10"/>
      <c r="BZ47" s="67">
        <f t="shared" si="143"/>
      </c>
      <c r="CA47" s="577"/>
      <c r="CB47" s="577"/>
      <c r="CC47" s="577"/>
      <c r="CD47" s="577"/>
      <c r="CE47" s="67">
        <f t="shared" si="144"/>
      </c>
      <c r="CF47" s="577"/>
      <c r="CG47" s="577"/>
      <c r="CH47" s="577"/>
      <c r="CI47" s="577"/>
      <c r="CJ47" s="67"/>
      <c r="CK47" s="577"/>
      <c r="CL47" s="577"/>
      <c r="CM47" s="577"/>
      <c r="CN47" s="10"/>
      <c r="CO47" s="67"/>
      <c r="CP47" s="10"/>
      <c r="CQ47" s="10"/>
      <c r="CR47" s="10"/>
      <c r="CS47" s="10"/>
      <c r="CT47" s="67"/>
      <c r="CU47" s="10"/>
      <c r="CV47" s="10"/>
      <c r="CW47" s="10"/>
      <c r="CX47" s="10"/>
      <c r="CY47" s="67"/>
      <c r="CZ47" s="577"/>
      <c r="DA47" s="10"/>
      <c r="DB47" s="577"/>
      <c r="DC47" s="10"/>
      <c r="DD47" s="67"/>
      <c r="DE47" s="577"/>
      <c r="DF47" s="10"/>
      <c r="DG47" s="577"/>
      <c r="DH47" s="577"/>
      <c r="DI47" s="1111"/>
      <c r="DJ47" s="577"/>
      <c r="DK47" s="577"/>
      <c r="DL47" s="577"/>
      <c r="DM47" s="577"/>
      <c r="DN47" s="1111"/>
      <c r="DO47" s="577"/>
      <c r="DP47" s="577"/>
      <c r="DQ47" s="577"/>
      <c r="DR47" s="577"/>
      <c r="DS47" s="1111"/>
      <c r="DT47" s="577"/>
      <c r="DU47" s="577"/>
      <c r="DV47" s="577"/>
      <c r="DW47" s="577"/>
      <c r="DX47" s="2089"/>
      <c r="DY47" s="2094"/>
      <c r="DZ47" s="948"/>
      <c r="EA47" s="948"/>
      <c r="EB47" s="948"/>
      <c r="EC47" s="1505"/>
      <c r="ED47" s="2094"/>
      <c r="EE47" s="577"/>
      <c r="EF47" s="577"/>
      <c r="EG47" s="948"/>
      <c r="EH47" s="1753"/>
      <c r="EI47" s="948"/>
      <c r="EJ47" s="948"/>
      <c r="EK47" s="577"/>
      <c r="EL47" s="948"/>
      <c r="EM47" s="1753"/>
      <c r="EN47" s="948"/>
      <c r="EO47" s="948"/>
      <c r="EP47" s="948"/>
      <c r="EQ47" s="685"/>
      <c r="ER47" s="1291"/>
      <c r="ES47" s="577"/>
      <c r="ET47" s="948"/>
      <c r="EU47" s="948"/>
      <c r="EV47" s="685"/>
      <c r="EW47" s="1291"/>
      <c r="EX47" s="577"/>
      <c r="EY47" s="948"/>
      <c r="EZ47" s="948"/>
      <c r="FA47" s="1251"/>
      <c r="FB47" s="3600"/>
      <c r="FC47" s="1291"/>
      <c r="FD47" s="1291"/>
      <c r="FE47" s="1291"/>
      <c r="FF47" s="1291"/>
      <c r="FG47" s="1291"/>
      <c r="FH47" s="2579"/>
      <c r="FI47" s="948"/>
    </row>
    <row r="48" spans="1:165" hidden="1" outlineLevel="1">
      <c r="A48" s="6"/>
      <c r="B48" s="65" t="s">
        <v>403</v>
      </c>
      <c r="C48" s="10"/>
      <c r="D48" s="10"/>
      <c r="E48" s="10"/>
      <c r="F48" s="10"/>
      <c r="G48" s="10"/>
      <c r="H48" s="10"/>
      <c r="I48" s="10"/>
      <c r="J48" s="10"/>
      <c r="K48" s="10"/>
      <c r="L48" s="10"/>
      <c r="M48" s="67">
        <f t="shared" si="130"/>
      </c>
      <c r="N48" s="10"/>
      <c r="O48" s="10"/>
      <c r="P48" s="10"/>
      <c r="Q48" s="10"/>
      <c r="R48" s="67">
        <f t="shared" si="131"/>
      </c>
      <c r="S48" s="577"/>
      <c r="T48" s="577"/>
      <c r="U48" s="577"/>
      <c r="V48" s="10">
        <f t="shared" si="132"/>
      </c>
      <c r="W48" s="67">
        <f t="shared" si="132"/>
      </c>
      <c r="X48" s="577"/>
      <c r="Y48" s="577">
        <v>0</v>
      </c>
      <c r="Z48" s="577">
        <v>0</v>
      </c>
      <c r="AA48" s="577">
        <v>0</v>
      </c>
      <c r="AB48" s="67">
        <f t="shared" si="133"/>
      </c>
      <c r="AC48" s="577">
        <v>0</v>
      </c>
      <c r="AD48" s="577">
        <v>0</v>
      </c>
      <c r="AE48" s="577"/>
      <c r="AF48" s="577"/>
      <c r="AG48" s="67">
        <f t="shared" si="134"/>
      </c>
      <c r="AH48" s="577"/>
      <c r="AI48" s="577"/>
      <c r="AJ48" s="577"/>
      <c r="AK48" s="577"/>
      <c r="AL48" s="67">
        <f t="shared" si="135"/>
      </c>
      <c r="AM48" s="577"/>
      <c r="AN48" s="577"/>
      <c r="AO48" s="577"/>
      <c r="AP48" s="577"/>
      <c r="AQ48" s="67">
        <f t="shared" si="136"/>
      </c>
      <c r="AR48" s="577"/>
      <c r="AS48" s="577"/>
      <c r="AT48" s="577"/>
      <c r="AU48" s="577"/>
      <c r="AV48" s="67">
        <f t="shared" si="137"/>
      </c>
      <c r="AW48" s="577"/>
      <c r="AX48" s="577"/>
      <c r="AY48" s="577"/>
      <c r="AZ48" s="577"/>
      <c r="BA48" s="67">
        <f t="shared" si="138"/>
      </c>
      <c r="BB48" s="10"/>
      <c r="BC48" s="10"/>
      <c r="BD48" s="10"/>
      <c r="BE48" s="10"/>
      <c r="BF48" s="67">
        <f t="shared" si="139"/>
      </c>
      <c r="BG48" s="10"/>
      <c r="BH48" s="10"/>
      <c r="BI48" s="10"/>
      <c r="BJ48" s="10"/>
      <c r="BK48" s="67">
        <f t="shared" si="140"/>
      </c>
      <c r="BL48" s="10"/>
      <c r="BM48" s="10"/>
      <c r="BN48" s="10"/>
      <c r="BO48" s="10"/>
      <c r="BP48" s="67">
        <f t="shared" si="141"/>
      </c>
      <c r="BQ48" s="577"/>
      <c r="BR48" s="577"/>
      <c r="BS48" s="577"/>
      <c r="BT48" s="577"/>
      <c r="BU48" s="67">
        <f t="shared" si="142"/>
      </c>
      <c r="BV48" s="10"/>
      <c r="BW48" s="10"/>
      <c r="BX48" s="10"/>
      <c r="BY48" s="10"/>
      <c r="BZ48" s="67">
        <f t="shared" si="143"/>
      </c>
      <c r="CA48" s="577"/>
      <c r="CB48" s="577"/>
      <c r="CC48" s="577"/>
      <c r="CD48" s="577"/>
      <c r="CE48" s="67">
        <f t="shared" si="144"/>
      </c>
      <c r="CF48" s="577"/>
      <c r="CG48" s="577"/>
      <c r="CH48" s="577"/>
      <c r="CI48" s="577"/>
      <c r="CJ48" s="67"/>
      <c r="CK48" s="577"/>
      <c r="CL48" s="577"/>
      <c r="CM48" s="577"/>
      <c r="CN48" s="10"/>
      <c r="CO48" s="67"/>
      <c r="CP48" s="10"/>
      <c r="CQ48" s="10"/>
      <c r="CR48" s="10"/>
      <c r="CS48" s="10"/>
      <c r="CT48" s="67"/>
      <c r="CU48" s="10"/>
      <c r="CV48" s="10"/>
      <c r="CW48" s="10"/>
      <c r="CX48" s="10"/>
      <c r="CY48" s="67"/>
      <c r="CZ48" s="577"/>
      <c r="DA48" s="10"/>
      <c r="DB48" s="577"/>
      <c r="DC48" s="10"/>
      <c r="DD48" s="67"/>
      <c r="DE48" s="577"/>
      <c r="DF48" s="10"/>
      <c r="DG48" s="577"/>
      <c r="DH48" s="577"/>
      <c r="DI48" s="1111"/>
      <c r="DJ48" s="577"/>
      <c r="DK48" s="577"/>
      <c r="DL48" s="577"/>
      <c r="DM48" s="577"/>
      <c r="DN48" s="1111"/>
      <c r="DO48" s="577"/>
      <c r="DP48" s="577"/>
      <c r="DQ48" s="577"/>
      <c r="DR48" s="577"/>
      <c r="DS48" s="1111"/>
      <c r="DT48" s="577"/>
      <c r="DU48" s="577"/>
      <c r="DV48" s="577"/>
      <c r="DW48" s="577"/>
      <c r="DX48" s="2089"/>
      <c r="DY48" s="2094"/>
      <c r="DZ48" s="948"/>
      <c r="EA48" s="948"/>
      <c r="EB48" s="948"/>
      <c r="EC48" s="1505"/>
      <c r="ED48" s="2094"/>
      <c r="EE48" s="577"/>
      <c r="EF48" s="577"/>
      <c r="EG48" s="948"/>
      <c r="EH48" s="1753"/>
      <c r="EI48" s="948"/>
      <c r="EJ48" s="948"/>
      <c r="EK48" s="577"/>
      <c r="EL48" s="948"/>
      <c r="EM48" s="1753"/>
      <c r="EN48" s="948"/>
      <c r="EO48" s="948"/>
      <c r="EP48" s="948"/>
      <c r="EQ48" s="685"/>
      <c r="ER48" s="1291"/>
      <c r="ES48" s="577"/>
      <c r="ET48" s="948"/>
      <c r="EU48" s="948"/>
      <c r="EV48" s="685"/>
      <c r="EW48" s="1291"/>
      <c r="EX48" s="577"/>
      <c r="EY48" s="948"/>
      <c r="EZ48" s="948"/>
      <c r="FA48" s="1251"/>
      <c r="FB48" s="3600"/>
      <c r="FC48" s="1291"/>
      <c r="FD48" s="1291"/>
      <c r="FE48" s="1291"/>
      <c r="FF48" s="1291"/>
      <c r="FG48" s="1291"/>
      <c r="FH48" s="948"/>
      <c r="FI48" s="948"/>
    </row>
    <row r="49" spans="1:165" collapsed="1">
      <c r="A49" s="6"/>
      <c r="B49" s="65" t="s">
        <v>404</v>
      </c>
      <c r="C49" s="10"/>
      <c r="D49" s="10"/>
      <c r="E49" s="10"/>
      <c r="F49" s="10"/>
      <c r="G49" s="10"/>
      <c r="H49" s="10"/>
      <c r="I49" s="10"/>
      <c r="J49" s="10"/>
      <c r="K49" s="10"/>
      <c r="L49" s="10"/>
      <c r="M49" s="67">
        <f t="shared" si="130"/>
      </c>
      <c r="N49" s="10"/>
      <c r="O49" s="10"/>
      <c r="P49" s="10"/>
      <c r="Q49" s="577">
        <v>-378</v>
      </c>
      <c r="R49" s="67">
        <f t="shared" si="131"/>
      </c>
      <c r="S49" s="577">
        <v>-427</v>
      </c>
      <c r="T49" s="577">
        <v>-490</v>
      </c>
      <c r="U49" s="577">
        <v>-397</v>
      </c>
      <c r="V49" s="10">
        <f t="shared" si="132"/>
      </c>
      <c r="W49" s="67">
        <f t="shared" si="132"/>
      </c>
      <c r="X49" s="577">
        <v>-467</v>
      </c>
      <c r="Y49" s="577">
        <v>-495</v>
      </c>
      <c r="Z49" s="577">
        <v>-481</v>
      </c>
      <c r="AA49" s="577">
        <v>-399</v>
      </c>
      <c r="AB49" s="67">
        <f t="shared" si="133"/>
      </c>
      <c r="AC49" s="577">
        <v>-461</v>
      </c>
      <c r="AD49" s="577">
        <v>-350</v>
      </c>
      <c r="AE49" s="577">
        <v>-461</v>
      </c>
      <c r="AF49" s="577">
        <v>-461</v>
      </c>
      <c r="AG49" s="67">
        <f t="shared" si="134"/>
      </c>
      <c r="AH49" s="577">
        <v>-559</v>
      </c>
      <c r="AI49" s="577">
        <v>-552</v>
      </c>
      <c r="AJ49" s="577">
        <v>-494</v>
      </c>
      <c r="AK49" s="577">
        <v>-530</v>
      </c>
      <c r="AL49" s="67">
        <f t="shared" si="135"/>
      </c>
      <c r="AM49" s="577">
        <v>-643</v>
      </c>
      <c r="AN49" s="577">
        <v>-646</v>
      </c>
      <c r="AO49" s="577">
        <v>-714</v>
      </c>
      <c r="AP49" s="577">
        <v>-842</v>
      </c>
      <c r="AQ49" s="67">
        <f t="shared" si="136"/>
      </c>
      <c r="AR49" s="577">
        <v>-818</v>
      </c>
      <c r="AS49" s="577">
        <v>-690</v>
      </c>
      <c r="AT49" s="577">
        <v>-728</v>
      </c>
      <c r="AU49" s="577">
        <v>-590</v>
      </c>
      <c r="AV49" s="67">
        <f t="shared" si="137"/>
      </c>
      <c r="AW49" s="577">
        <v>-598</v>
      </c>
      <c r="AX49" s="577">
        <v>-526</v>
      </c>
      <c r="AY49" s="577">
        <v>-491</v>
      </c>
      <c r="AZ49" s="577">
        <v>-515</v>
      </c>
      <c r="BA49" s="67">
        <f t="shared" si="138"/>
      </c>
      <c r="BB49" s="577">
        <v>-648</v>
      </c>
      <c r="BC49" s="577">
        <v>-805</v>
      </c>
      <c r="BD49" s="577">
        <v>-751</v>
      </c>
      <c r="BE49" s="577">
        <v>-755</v>
      </c>
      <c r="BF49" s="67">
        <f t="shared" si="139"/>
      </c>
      <c r="BG49" s="577">
        <v>-633</v>
      </c>
      <c r="BH49" s="577">
        <v>-550</v>
      </c>
      <c r="BI49" s="577">
        <v>-539</v>
      </c>
      <c r="BJ49" s="577">
        <v>-2118</v>
      </c>
      <c r="BK49" s="67">
        <f t="shared" si="140"/>
      </c>
      <c r="BL49" s="577">
        <v>-2124</v>
      </c>
      <c r="BM49" s="577">
        <v>-1898</v>
      </c>
      <c r="BN49" s="577">
        <v>-1534</v>
      </c>
      <c r="BO49" s="577">
        <v>-693</v>
      </c>
      <c r="BP49" s="67">
        <f t="shared" si="141"/>
      </c>
      <c r="BQ49" s="577">
        <v>509</v>
      </c>
      <c r="BR49" s="577">
        <v>561</v>
      </c>
      <c r="BS49" s="577">
        <v>-930</v>
      </c>
      <c r="BT49" s="577">
        <v>-4955</v>
      </c>
      <c r="BU49" s="67">
        <f t="shared" si="142"/>
      </c>
      <c r="BV49" s="577">
        <v>-5169</v>
      </c>
      <c r="BW49" s="577">
        <v>-4481</v>
      </c>
      <c r="BX49" s="577">
        <v>-2661</v>
      </c>
      <c r="BY49" s="577">
        <v>-3058</v>
      </c>
      <c r="BZ49" s="67">
        <f t="shared" si="143"/>
      </c>
      <c r="CA49" s="577">
        <v>-3837</v>
      </c>
      <c r="CB49" s="577">
        <v>-5705</v>
      </c>
      <c r="CC49" s="577">
        <v>-2924</v>
      </c>
      <c r="CD49" s="577">
        <v>-3531</v>
      </c>
      <c r="CE49" s="67">
        <f t="shared" si="144"/>
      </c>
      <c r="CF49" s="577">
        <v>-2020</v>
      </c>
      <c r="CG49" s="577">
        <v>-1192</v>
      </c>
      <c r="CH49" s="577">
        <v>-3068</v>
      </c>
      <c r="CI49" s="577">
        <v>-5632</v>
      </c>
      <c r="CJ49" s="67">
        <f>+CI49</f>
      </c>
      <c r="CK49" s="577">
        <v>-4540</v>
      </c>
      <c r="CL49" s="577">
        <v>-6204</v>
      </c>
      <c r="CM49" s="577">
        <v>-4925</v>
      </c>
      <c r="CN49" s="577">
        <v>-5810</v>
      </c>
      <c r="CO49" s="67">
        <f>CN49</f>
      </c>
      <c r="CP49" s="577">
        <v>-6689</v>
      </c>
      <c r="CQ49" s="577">
        <v>-6810</v>
      </c>
      <c r="CR49" s="577">
        <v>-5346</v>
      </c>
      <c r="CS49" s="577">
        <v>-2860</v>
      </c>
      <c r="CT49" s="67">
        <f>CS49</f>
      </c>
      <c r="CU49" s="577">
        <v>-2645</v>
      </c>
      <c r="CV49" s="577">
        <v>-3007</v>
      </c>
      <c r="CW49" s="577">
        <v>-5382</v>
      </c>
      <c r="CX49" s="577">
        <v>-10722</v>
      </c>
      <c r="CY49" s="67">
        <f>CX49</f>
      </c>
      <c r="CZ49" s="577">
        <v>-13300</v>
      </c>
      <c r="DA49" s="577">
        <v>-12054</v>
      </c>
      <c r="DB49" s="577">
        <v>-12861</v>
      </c>
      <c r="DC49" s="577">
        <v>-13165</v>
      </c>
      <c r="DD49" s="67">
        <f>DC49</f>
      </c>
      <c r="DE49" s="577">
        <v>-12391</v>
      </c>
      <c r="DF49" s="577">
        <v>-12707</v>
      </c>
      <c r="DG49" s="577">
        <v>-12715</v>
      </c>
      <c r="DH49" s="577">
        <v>-14901</v>
      </c>
      <c r="DI49" s="1111">
        <f>DH49</f>
      </c>
      <c r="DJ49" s="577">
        <v>-14522</v>
      </c>
      <c r="DK49" s="577">
        <v>-13234</v>
      </c>
      <c r="DL49" s="577">
        <v>-12747</v>
      </c>
      <c r="DM49" s="577">
        <v>-13199</v>
      </c>
      <c r="DN49" s="1111">
        <f>DM49</f>
      </c>
      <c r="DO49" s="577">
        <v>-12608</v>
      </c>
      <c r="DP49" s="577">
        <v>-14777</v>
      </c>
      <c r="DQ49" s="577">
        <v>-14647</v>
      </c>
      <c r="DR49" s="577">
        <v>-15222</v>
      </c>
      <c r="DS49" s="1111">
        <f>DR49</f>
      </c>
      <c r="DT49" s="577">
        <v>-15517</v>
      </c>
      <c r="DU49" s="577">
        <v>-14969</v>
      </c>
      <c r="DV49" s="577">
        <v>-15533</v>
      </c>
      <c r="DW49" s="577">
        <v>-15891</v>
      </c>
      <c r="DX49" s="2089">
        <f>DW49</f>
      </c>
      <c r="DY49" s="2094">
        <v>-16243</v>
      </c>
      <c r="DZ49" s="577">
        <v>-15533</v>
      </c>
      <c r="EA49" s="577">
        <v>-14938</v>
      </c>
      <c r="EB49" s="577">
        <v>-15242</v>
      </c>
      <c r="EC49" s="1505">
        <f>EB49</f>
      </c>
      <c r="ED49" s="2094">
        <v>-15328</v>
      </c>
      <c r="EE49" s="577">
        <v>-15100</v>
      </c>
      <c r="EF49" s="577">
        <f>-15415</f>
      </c>
      <c r="EG49" s="577">
        <v>-13058</v>
      </c>
      <c r="EH49" s="1753">
        <f>EG49</f>
      </c>
      <c r="EI49" s="577">
        <v>-13757</v>
      </c>
      <c r="EJ49" s="577">
        <v>-13843</v>
      </c>
      <c r="EK49" s="577">
        <v>-15292</v>
      </c>
      <c r="EL49" s="577">
        <v>-12967</v>
      </c>
      <c r="EM49" s="1753">
        <f>EL49</f>
      </c>
      <c r="EN49" s="577">
        <v>-12626</v>
      </c>
      <c r="EO49" s="577">
        <v>-13135</v>
      </c>
      <c r="EP49" s="577">
        <v>-8780</v>
      </c>
      <c r="EQ49" s="685">
        <v>-12527</v>
      </c>
      <c r="ER49" s="1291">
        <f>EQ49</f>
      </c>
      <c r="ES49" s="577">
        <v>-10768</v>
      </c>
      <c r="ET49" s="577">
        <v>-11253</v>
      </c>
      <c r="EU49" s="577">
        <v>-12522</v>
      </c>
      <c r="EV49" s="685">
        <v>-11741</v>
      </c>
      <c r="EW49" s="1291">
        <f>EV49</f>
      </c>
      <c r="EX49" s="577">
        <f>-11740</f>
      </c>
      <c r="EY49" s="577">
        <v>-14305</v>
      </c>
      <c r="EZ49" s="948">
        <f t="shared" ref="EZ49:FA49" si="149">+EY49</f>
      </c>
      <c r="FA49" s="1251">
        <f t="shared" si="149"/>
      </c>
      <c r="FB49" s="3600">
        <f>FA49</f>
      </c>
      <c r="FC49" s="1291">
        <f>+FB49</f>
      </c>
      <c r="FD49" s="1291">
        <f>+FC49</f>
      </c>
      <c r="FE49" s="1291">
        <f>+FD49</f>
      </c>
      <c r="FF49" s="1291">
        <f>+FE49</f>
      </c>
      <c r="FG49" s="1291">
        <f>+FF49</f>
      </c>
      <c r="FH49" s="2579"/>
      <c r="FI49" s="948"/>
    </row>
    <row r="50" spans="1:165">
      <c r="A50" s="6"/>
      <c r="B50" s="1426" t="s">
        <v>875</v>
      </c>
      <c r="C50" s="577">
        <v>5863</v>
      </c>
      <c r="D50" s="577">
        <v>6696</v>
      </c>
      <c r="E50" s="577">
        <v>6648</v>
      </c>
      <c r="F50" s="577">
        <v>7727</v>
      </c>
      <c r="G50" s="577">
        <v>8966</v>
      </c>
      <c r="H50" s="577">
        <v>9743</v>
      </c>
      <c r="I50" s="577">
        <v>10551</v>
      </c>
      <c r="J50" s="577">
        <v>10296</v>
      </c>
      <c r="K50" s="577">
        <v>10750</v>
      </c>
      <c r="L50" s="577">
        <v>11012</v>
      </c>
      <c r="M50" s="67">
        <f t="shared" si="130"/>
      </c>
      <c r="N50" s="577">
        <v>11563</v>
      </c>
      <c r="O50" s="577">
        <v>12086</v>
      </c>
      <c r="P50" s="577">
        <v>12589</v>
      </c>
      <c r="Q50" s="577">
        <v>12661</v>
      </c>
      <c r="R50" s="67">
        <f t="shared" si="131"/>
      </c>
      <c r="S50" s="577">
        <v>13175</v>
      </c>
      <c r="T50" s="577">
        <v>13744</v>
      </c>
      <c r="U50" s="577">
        <v>14278</v>
      </c>
      <c r="V50" s="10">
        <f t="shared" si="132"/>
      </c>
      <c r="W50" s="67">
        <f t="shared" si="132"/>
      </c>
      <c r="X50" s="577">
        <v>14565</v>
      </c>
      <c r="Y50" s="577">
        <v>15259</v>
      </c>
      <c r="Z50" s="577">
        <v>15892</v>
      </c>
      <c r="AA50" s="577">
        <v>14768</v>
      </c>
      <c r="AB50" s="67">
        <f t="shared" si="133"/>
      </c>
      <c r="AC50" s="577">
        <v>18113</v>
      </c>
      <c r="AD50" s="577">
        <v>17839</v>
      </c>
      <c r="AE50" s="577">
        <v>18113</v>
      </c>
      <c r="AF50" s="577">
        <v>18113</v>
      </c>
      <c r="AG50" s="67">
        <f t="shared" si="134"/>
      </c>
      <c r="AH50" s="577">
        <v>19453</v>
      </c>
      <c r="AI50" s="577">
        <v>20469</v>
      </c>
      <c r="AJ50" s="577">
        <v>21441</v>
      </c>
      <c r="AK50" s="577">
        <v>23066</v>
      </c>
      <c r="AL50" s="67">
        <f t="shared" si="135"/>
      </c>
      <c r="AM50" s="577">
        <v>24059</v>
      </c>
      <c r="AN50" s="577">
        <v>24813</v>
      </c>
      <c r="AO50" s="577">
        <v>25804</v>
      </c>
      <c r="AP50" s="577">
        <v>26571</v>
      </c>
      <c r="AQ50" s="67">
        <f t="shared" si="136"/>
      </c>
      <c r="AR50" s="577">
        <v>27852</v>
      </c>
      <c r="AS50" s="577">
        <v>28200</v>
      </c>
      <c r="AT50" s="577">
        <v>29500</v>
      </c>
      <c r="AU50" s="577">
        <v>30503</v>
      </c>
      <c r="AV50" s="67">
        <f t="shared" si="137"/>
      </c>
      <c r="AW50" s="577">
        <v>32153</v>
      </c>
      <c r="AX50" s="577">
        <v>33627</v>
      </c>
      <c r="AY50" s="577">
        <v>35022</v>
      </c>
      <c r="AZ50" s="577">
        <v>35223</v>
      </c>
      <c r="BA50" s="67">
        <f t="shared" si="138"/>
      </c>
      <c r="BB50" s="577">
        <v>37300</v>
      </c>
      <c r="BC50" s="577">
        <v>38853</v>
      </c>
      <c r="BD50" s="577">
        <v>40422</v>
      </c>
      <c r="BE50" s="577">
        <v>42310</v>
      </c>
      <c r="BF50" s="67">
        <f t="shared" si="139"/>
      </c>
      <c r="BG50" s="577">
        <v>44713</v>
      </c>
      <c r="BH50" s="577">
        <v>46530</v>
      </c>
      <c r="BI50" s="577">
        <v>48210</v>
      </c>
      <c r="BJ50" s="577">
        <v>49290</v>
      </c>
      <c r="BK50" s="67">
        <f t="shared" si="140"/>
      </c>
      <c r="BL50" s="577">
        <v>50850</v>
      </c>
      <c r="BM50" s="577">
        <v>52819</v>
      </c>
      <c r="BN50" s="577">
        <v>54197</v>
      </c>
      <c r="BO50" s="577">
        <v>55280</v>
      </c>
      <c r="BP50" s="67">
        <f t="shared" si="141"/>
      </c>
      <c r="BQ50" s="577">
        <v>57811</v>
      </c>
      <c r="BR50" s="577">
        <v>59960</v>
      </c>
      <c r="BS50" s="577">
        <v>61878</v>
      </c>
      <c r="BT50" s="577">
        <v>63379</v>
      </c>
      <c r="BU50" s="67">
        <f t="shared" si="142"/>
      </c>
      <c r="BV50" s="577">
        <v>65398</v>
      </c>
      <c r="BW50" s="577">
        <v>67408</v>
      </c>
      <c r="BX50" s="577">
        <v>69471</v>
      </c>
      <c r="BY50" s="577">
        <v>70306</v>
      </c>
      <c r="BZ50" s="67">
        <f t="shared" si="143"/>
      </c>
      <c r="CA50" s="577">
        <v>73184</v>
      </c>
      <c r="CB50" s="577">
        <v>75252</v>
      </c>
      <c r="CC50" s="577">
        <v>77272</v>
      </c>
      <c r="CD50" s="577">
        <v>77773</v>
      </c>
      <c r="CE50" s="67">
        <f t="shared" si="144"/>
      </c>
      <c r="CF50" s="577">
        <v>79515</v>
      </c>
      <c r="CG50" s="577">
        <v>80836</v>
      </c>
      <c r="CH50" s="577">
        <v>82634</v>
      </c>
      <c r="CI50" s="577">
        <v>81251</v>
      </c>
      <c r="CJ50" s="67">
        <f>+CI50</f>
      </c>
      <c r="CK50" s="577">
        <v>83103</v>
      </c>
      <c r="CL50" s="577">
        <v>83530</v>
      </c>
      <c r="CM50" s="577">
        <v>84880</v>
      </c>
      <c r="CN50" s="577">
        <v>85992</v>
      </c>
      <c r="CO50" s="67">
        <f>CN50</f>
      </c>
      <c r="CP50" s="577">
        <v>87242</v>
      </c>
      <c r="CQ50" s="577">
        <v>89449</v>
      </c>
      <c r="CR50" s="577">
        <v>87703</v>
      </c>
      <c r="CS50" s="577">
        <v>89493</v>
      </c>
      <c r="CT50" s="67">
        <f>CS50</f>
      </c>
      <c r="CU50" s="577">
        <v>91387</v>
      </c>
      <c r="CV50" s="577">
        <v>93745</v>
      </c>
      <c r="CW50" s="577">
        <v>96560</v>
      </c>
      <c r="CX50" s="577">
        <v>97245</v>
      </c>
      <c r="CY50" s="67">
        <f>CX50</f>
      </c>
      <c r="CZ50" s="577">
        <v>98656</v>
      </c>
      <c r="DA50" s="577">
        <v>101352</v>
      </c>
      <c r="DB50" s="577">
        <v>102748</v>
      </c>
      <c r="DC50" s="577">
        <v>103879</v>
      </c>
      <c r="DD50" s="67">
        <f>DC50</f>
      </c>
      <c r="DE50" s="577">
        <v>104990</v>
      </c>
      <c r="DF50" s="577">
        <v>106738</v>
      </c>
      <c r="DG50" s="577">
        <v>108860</v>
      </c>
      <c r="DH50" s="577">
        <v>110551</v>
      </c>
      <c r="DI50" s="1111">
        <f>DH50</f>
      </c>
      <c r="DJ50" s="577">
        <v>111643</v>
      </c>
      <c r="DK50" s="577">
        <v>113208</v>
      </c>
      <c r="DL50" s="577">
        <v>114805</v>
      </c>
      <c r="DM50" s="577">
        <v>101793</v>
      </c>
      <c r="DN50" s="1111">
        <f>DM50</f>
      </c>
      <c r="DO50" s="577">
        <v>104339</v>
      </c>
      <c r="DP50" s="577">
        <v>106123</v>
      </c>
      <c r="DQ50" s="577">
        <v>107617</v>
      </c>
      <c r="DR50" s="577">
        <v>106216</v>
      </c>
      <c r="DS50" s="1111">
        <f>DR50</f>
      </c>
      <c r="DT50" s="577">
        <v>106650</v>
      </c>
      <c r="DU50" s="577">
        <v>109809</v>
      </c>
      <c r="DV50" s="577">
        <v>109242</v>
      </c>
      <c r="DW50" s="577">
        <v>110659</v>
      </c>
      <c r="DX50" s="2089">
        <f>DW50</f>
      </c>
      <c r="DY50" s="2094">
        <v>112901</v>
      </c>
      <c r="DZ50" s="577">
        <v>113898</v>
      </c>
      <c r="EA50" s="577">
        <v>114831</v>
      </c>
      <c r="EB50" s="577">
        <v>113890</v>
      </c>
      <c r="EC50" s="1505">
        <f>EB50</f>
      </c>
      <c r="ED50" s="2094">
        <v>116508</v>
      </c>
      <c r="EE50" s="577">
        <v>120154</v>
      </c>
      <c r="EF50" s="577">
        <v>121092</v>
      </c>
      <c r="EG50" s="577">
        <v>123060</v>
      </c>
      <c r="EH50" s="1753">
        <f>EG50</f>
      </c>
      <c r="EI50" s="577">
        <v>124380</v>
      </c>
      <c r="EJ50" s="577">
        <v>126216</v>
      </c>
      <c r="EK50" s="577">
        <v>127917</v>
      </c>
      <c r="EL50" s="577">
        <v>128345</v>
      </c>
      <c r="EM50" s="1753">
        <f>EL50</f>
      </c>
      <c r="EN50" s="577">
        <v>124558</v>
      </c>
      <c r="EO50" s="577">
        <v>129381</v>
      </c>
      <c r="EP50" s="577">
        <v>152536</v>
      </c>
      <c r="EQ50" s="685">
        <v>153843</v>
      </c>
      <c r="ER50" s="1291">
        <f>EQ50</f>
      </c>
      <c r="ES50" s="577">
        <v>153378</v>
      </c>
      <c r="ET50" s="577">
        <v>155360</v>
      </c>
      <c r="EU50" s="577">
        <v>155179</v>
      </c>
      <c r="EV50" s="685">
        <v>155791</v>
      </c>
      <c r="EW50" s="1291">
        <f>EV50</f>
      </c>
      <c r="EX50" s="577">
        <v>162635</v>
      </c>
      <c r="EY50" s="577">
        <v>165371</v>
      </c>
      <c r="EZ50" s="948">
        <f>+EY50+EZ185+EZ186</f>
      </c>
      <c r="FA50" s="1251">
        <f>+EZ50+FA185+FA186</f>
      </c>
      <c r="FB50" s="3600">
        <f>FA50</f>
      </c>
      <c r="FC50" s="1291">
        <f t="shared" ref="FC50:FG50" ca="1" si="150">+FB50+FC185+FC186</f>
      </c>
      <c r="FD50" s="1291">
        <f t="shared" ca="1" si="150"/>
      </c>
      <c r="FE50" s="1291">
        <f t="shared" ca="1" si="150"/>
      </c>
      <c r="FF50" s="1291">
        <f t="shared" ca="1" si="150"/>
      </c>
      <c r="FG50" s="1291">
        <f t="shared" ca="1" si="150"/>
      </c>
      <c r="FH50" s="2579"/>
      <c r="FI50" s="948"/>
    </row>
    <row r="51" spans="1:165">
      <c r="A51" s="6"/>
      <c r="B51" s="65" t="s">
        <v>405</v>
      </c>
      <c r="C51" s="577">
        <v>-1488</v>
      </c>
      <c r="D51" s="577">
        <v>-1488</v>
      </c>
      <c r="E51" s="577">
        <v>-2006</v>
      </c>
      <c r="F51" s="577">
        <v>-2504</v>
      </c>
      <c r="G51" s="577">
        <v>-2503</v>
      </c>
      <c r="H51" s="577">
        <v>-2317</v>
      </c>
      <c r="I51" s="577">
        <v>-1513</v>
      </c>
      <c r="J51" s="577">
        <v>-1497</v>
      </c>
      <c r="K51" s="577">
        <v>-1523</v>
      </c>
      <c r="L51" s="577">
        <v>-1532</v>
      </c>
      <c r="M51" s="67">
        <f>+L51</f>
      </c>
      <c r="N51" s="577">
        <v>-1586</v>
      </c>
      <c r="O51" s="577">
        <v>-1543</v>
      </c>
      <c r="P51" s="577">
        <v>-1520</v>
      </c>
      <c r="Q51" s="577">
        <v>-1408</v>
      </c>
      <c r="R51" s="67">
        <f>+Q51</f>
      </c>
      <c r="S51" s="577">
        <v>-1433</v>
      </c>
      <c r="T51" s="577">
        <v>-1432</v>
      </c>
      <c r="U51" s="577">
        <v>-1433</v>
      </c>
      <c r="V51" s="10">
        <v>-1433</v>
      </c>
      <c r="W51" s="67">
        <f>+V51</f>
      </c>
      <c r="X51" s="577">
        <v>-1370</v>
      </c>
      <c r="Y51" s="577">
        <v>-1514</v>
      </c>
      <c r="Z51" s="577">
        <v>-1521</v>
      </c>
      <c r="AA51" s="577">
        <v>-453</v>
      </c>
      <c r="AB51" s="67">
        <f>+AA51</f>
      </c>
      <c r="AC51" s="577">
        <v>-342</v>
      </c>
      <c r="AD51" s="577">
        <v>-1010</v>
      </c>
      <c r="AE51" s="577">
        <v>-342</v>
      </c>
      <c r="AF51" s="577">
        <v>-342</v>
      </c>
      <c r="AG51" s="67">
        <f t="shared" si="134"/>
      </c>
      <c r="AH51" s="577">
        <v>-222</v>
      </c>
      <c r="AI51" s="577">
        <v>-296</v>
      </c>
      <c r="AJ51" s="577">
        <v>-303</v>
      </c>
      <c r="AK51" s="577">
        <v>-1393</v>
      </c>
      <c r="AL51" s="67">
        <f>+AK51</f>
      </c>
      <c r="AM51" s="577">
        <v>-2788</v>
      </c>
      <c r="AN51" s="577">
        <v>-5371</v>
      </c>
      <c r="AO51" s="577">
        <v>-6100</v>
      </c>
      <c r="AP51" s="577">
        <v>-6127</v>
      </c>
      <c r="AQ51" s="67">
        <f>+AP51</f>
      </c>
      <c r="AR51" s="577">
        <v>-6100</v>
      </c>
      <c r="AS51" s="577">
        <v>-6175</v>
      </c>
      <c r="AT51" s="577">
        <v>-6136</v>
      </c>
      <c r="AU51" s="577">
        <v>-6146</v>
      </c>
      <c r="AV51" s="67">
        <f>+AU51</f>
      </c>
      <c r="AW51" s="577">
        <v>-6170</v>
      </c>
      <c r="AX51" s="577">
        <v>-6158</v>
      </c>
      <c r="AY51" s="577">
        <v>-6127</v>
      </c>
      <c r="AZ51" s="577">
        <v>-6004</v>
      </c>
      <c r="BA51" s="67">
        <f>+AZ51</f>
      </c>
      <c r="BB51" s="577">
        <v>-6118</v>
      </c>
      <c r="BC51" s="577">
        <v>-5999</v>
      </c>
      <c r="BD51" s="577">
        <v>-5944</v>
      </c>
      <c r="BE51" s="577">
        <v>-5965</v>
      </c>
      <c r="BF51" s="67">
        <f>+BE51</f>
      </c>
      <c r="BG51" s="577">
        <v>-6077</v>
      </c>
      <c r="BH51" s="577">
        <v>-8358</v>
      </c>
      <c r="BI51" s="577">
        <v>-10218</v>
      </c>
      <c r="BJ51" s="577">
        <v>-10974</v>
      </c>
      <c r="BK51" s="67">
        <f>+BJ51</f>
      </c>
      <c r="BL51" s="577">
        <v>-10918</v>
      </c>
      <c r="BM51" s="577">
        <v>-10919</v>
      </c>
      <c r="BN51" s="577">
        <v>-12210</v>
      </c>
      <c r="BO51" s="577">
        <v>-14388</v>
      </c>
      <c r="BP51" s="67">
        <f>+BO51</f>
      </c>
      <c r="BQ51" s="577">
        <v>-15815</v>
      </c>
      <c r="BR51" s="577">
        <v>-17206</v>
      </c>
      <c r="BS51" s="577">
        <v>-18334</v>
      </c>
      <c r="BT51" s="577">
        <v>-19033</v>
      </c>
      <c r="BU51" s="67">
        <f>+BT51</f>
      </c>
      <c r="BV51" s="577">
        <v>-19558</v>
      </c>
      <c r="BW51" s="577">
        <v>-19800</v>
      </c>
      <c r="BX51" s="577">
        <v>-19546</v>
      </c>
      <c r="BY51" s="577">
        <v>-19780</v>
      </c>
      <c r="BZ51" s="67">
        <f t="shared" si="143"/>
      </c>
      <c r="CA51" s="577">
        <v>-19553</v>
      </c>
      <c r="CB51" s="577">
        <v>-19816</v>
      </c>
      <c r="CC51" s="577">
        <v>-20177</v>
      </c>
      <c r="CD51" s="577">
        <v>-20783</v>
      </c>
      <c r="CE51" s="67">
        <f>CD51</f>
      </c>
      <c r="CF51" s="577">
        <v>-20752</v>
      </c>
      <c r="CG51" s="577">
        <v>-20632</v>
      </c>
      <c r="CH51" s="577">
        <v>-21159</v>
      </c>
      <c r="CI51" s="577">
        <v>-21659</v>
      </c>
      <c r="CJ51" s="67">
        <f>+CI51</f>
      </c>
      <c r="CK51" s="577">
        <v>-20317</v>
      </c>
      <c r="CL51" s="577">
        <v>-20012</v>
      </c>
      <c r="CM51" s="577">
        <v>-19314</v>
      </c>
      <c r="CN51" s="577">
        <v>-18476</v>
      </c>
      <c r="CO51" s="67">
        <f>CN51</f>
      </c>
      <c r="CP51" s="577">
        <v>-16818</v>
      </c>
      <c r="CQ51" s="577">
        <v>-16094</v>
      </c>
      <c r="CR51" s="577">
        <v>-15673</v>
      </c>
      <c r="CS51" s="577">
        <v>-15700</v>
      </c>
      <c r="CT51" s="67">
        <f>CS51</f>
      </c>
      <c r="CU51" s="577">
        <v>-15280</v>
      </c>
      <c r="CV51" s="577">
        <v>-15810</v>
      </c>
      <c r="CW51" s="577">
        <v>-17707</v>
      </c>
      <c r="CX51" s="577">
        <v>-19891</v>
      </c>
      <c r="CY51" s="67">
        <f>CX51</f>
      </c>
      <c r="CZ51" s="577">
        <v>-20598</v>
      </c>
      <c r="DA51" s="577">
        <v>-21287</v>
      </c>
      <c r="DB51" s="577">
        <v>-21453</v>
      </c>
      <c r="DC51" s="577">
        <v>-22684</v>
      </c>
      <c r="DD51" s="67">
        <f>DC51</f>
      </c>
      <c r="DE51" s="577">
        <v>-23072</v>
      </c>
      <c r="DF51" s="577">
        <v>-24678</v>
      </c>
      <c r="DG51" s="577">
        <v>-26496</v>
      </c>
      <c r="DH51" s="577">
        <v>-28352</v>
      </c>
      <c r="DI51" s="1111">
        <f>DH51</f>
      </c>
      <c r="DJ51" s="577">
        <v>-29900</v>
      </c>
      <c r="DK51" s="577">
        <v>-31172</v>
      </c>
      <c r="DL51" s="577">
        <v>-31199</v>
      </c>
      <c r="DM51" s="577">
        <v>-31554</v>
      </c>
      <c r="DN51" s="1111">
        <f>DM51</f>
      </c>
      <c r="DO51" s="577">
        <v>-31596</v>
      </c>
      <c r="DP51" s="577">
        <v>-31577</v>
      </c>
      <c r="DQ51" s="577">
        <v>-31464</v>
      </c>
      <c r="DR51" s="577">
        <v>-34362</v>
      </c>
      <c r="DS51" s="1111">
        <f>DR51</f>
      </c>
      <c r="DT51" s="577">
        <v>-35298</v>
      </c>
      <c r="DU51" s="577">
        <v>-37175</v>
      </c>
      <c r="DV51" s="577">
        <v>-38619</v>
      </c>
      <c r="DW51" s="577">
        <v>-38417</v>
      </c>
      <c r="DX51" s="2089">
        <f>DW51</f>
      </c>
      <c r="DY51" s="2094">
        <v>-38484</v>
      </c>
      <c r="DZ51" s="577">
        <v>-38507</v>
      </c>
      <c r="EA51" s="577">
        <v>-38540</v>
      </c>
      <c r="EB51" s="577">
        <v>-38490</v>
      </c>
      <c r="EC51" s="1505">
        <f>EB51</f>
      </c>
      <c r="ED51" s="2094">
        <v>-38466</v>
      </c>
      <c r="EE51" s="577">
        <v>-38594</v>
      </c>
      <c r="EF51" s="577">
        <v>-38525</v>
      </c>
      <c r="EG51" s="577">
        <v>-39099</v>
      </c>
      <c r="EH51" s="1753">
        <f>EG51</f>
      </c>
      <c r="EI51" s="577">
        <v>-39034</v>
      </c>
      <c r="EJ51" s="577">
        <v>-39136</v>
      </c>
      <c r="EK51" s="577">
        <v>-41146</v>
      </c>
      <c r="EL51" s="577">
        <v>-41694</v>
      </c>
      <c r="EM51" s="1753">
        <f>EL51</f>
      </c>
      <c r="EN51" s="577">
        <v>-44183</v>
      </c>
      <c r="EO51" s="577">
        <v>-44217</v>
      </c>
      <c r="EP51" s="577">
        <v>-75648</v>
      </c>
      <c r="EQ51" s="685">
        <v>-75662</v>
      </c>
      <c r="ER51" s="1291">
        <f>EQ51</f>
      </c>
      <c r="ES51" s="577">
        <v>-75710</v>
      </c>
      <c r="ET51" s="577">
        <v>-75689</v>
      </c>
      <c r="EU51" s="577">
        <f>-75619</f>
      </c>
      <c r="EV51" s="685">
        <v>-75680</v>
      </c>
      <c r="EW51" s="1291">
        <f>EV51</f>
      </c>
      <c r="EX51" s="577">
        <v>-75906</v>
      </c>
      <c r="EY51" s="577">
        <v>-75713</v>
      </c>
      <c r="EZ51" s="948">
        <f t="shared" ref="EZ51:FA51" si="151">+EZ125</f>
      </c>
      <c r="FA51" s="1251">
        <f t="shared" si="151"/>
      </c>
      <c r="FB51" s="3600">
        <f>FA51</f>
      </c>
      <c r="FC51" s="1291">
        <f t="shared" ref="FC51:FG51" si="152">+FC125</f>
      </c>
      <c r="FD51" s="1291">
        <f t="shared" si="152"/>
      </c>
      <c r="FE51" s="1291">
        <f t="shared" si="152"/>
      </c>
      <c r="FF51" s="1291">
        <f t="shared" si="152"/>
      </c>
      <c r="FG51" s="1291">
        <f t="shared" si="152"/>
      </c>
      <c r="FH51" s="2579"/>
      <c r="FI51" s="948"/>
    </row>
    <row r="52" spans="1:165">
      <c r="A52" s="49"/>
      <c r="B52" s="263" t="s">
        <v>406</v>
      </c>
      <c r="C52" s="16">
        <f>SUM(C44:C51)</f>
      </c>
      <c r="D52" s="16">
        <f t="shared" ref="D52:BO52" si="153">SUM(D44:D51)</f>
      </c>
      <c r="E52" s="16">
        <f t="shared" si="153"/>
      </c>
      <c r="F52" s="16">
        <f t="shared" si="153"/>
      </c>
      <c r="G52" s="16">
        <f t="shared" si="153"/>
      </c>
      <c r="H52" s="16">
        <f t="shared" si="153"/>
      </c>
      <c r="I52" s="16">
        <f t="shared" si="153"/>
      </c>
      <c r="J52" s="16">
        <f t="shared" si="153"/>
      </c>
      <c r="K52" s="16">
        <f t="shared" si="153"/>
      </c>
      <c r="L52" s="16">
        <f t="shared" si="153"/>
      </c>
      <c r="M52" s="268">
        <f t="shared" si="153"/>
      </c>
      <c r="N52" s="16">
        <f t="shared" si="153"/>
      </c>
      <c r="O52" s="16">
        <f t="shared" si="153"/>
      </c>
      <c r="P52" s="16">
        <f t="shared" si="153"/>
      </c>
      <c r="Q52" s="16">
        <f t="shared" si="153"/>
      </c>
      <c r="R52" s="268">
        <f t="shared" si="153"/>
      </c>
      <c r="S52" s="16">
        <f t="shared" si="153"/>
      </c>
      <c r="T52" s="16">
        <f t="shared" si="153"/>
      </c>
      <c r="U52" s="16">
        <f t="shared" si="153"/>
      </c>
      <c r="V52" s="16">
        <f t="shared" si="153"/>
      </c>
      <c r="W52" s="268">
        <f t="shared" si="153"/>
      </c>
      <c r="X52" s="16">
        <f t="shared" si="153"/>
      </c>
      <c r="Y52" s="16">
        <f t="shared" si="153"/>
      </c>
      <c r="Z52" s="16">
        <f t="shared" si="153"/>
      </c>
      <c r="AA52" s="16">
        <f t="shared" si="153"/>
      </c>
      <c r="AB52" s="268">
        <f t="shared" si="153"/>
      </c>
      <c r="AC52" s="16">
        <f t="shared" si="153"/>
      </c>
      <c r="AD52" s="16">
        <f t="shared" si="153"/>
      </c>
      <c r="AE52" s="16">
        <f t="shared" si="153"/>
      </c>
      <c r="AF52" s="16">
        <f t="shared" si="153"/>
      </c>
      <c r="AG52" s="268">
        <f t="shared" si="153"/>
      </c>
      <c r="AH52" s="16">
        <f t="shared" si="153"/>
      </c>
      <c r="AI52" s="16">
        <f t="shared" si="153"/>
      </c>
      <c r="AJ52" s="16">
        <f t="shared" si="153"/>
      </c>
      <c r="AK52" s="16">
        <f t="shared" si="153"/>
      </c>
      <c r="AL52" s="268">
        <f t="shared" si="153"/>
      </c>
      <c r="AM52" s="16">
        <f t="shared" si="153"/>
      </c>
      <c r="AN52" s="16">
        <f t="shared" si="153"/>
      </c>
      <c r="AO52" s="16">
        <f t="shared" si="153"/>
      </c>
      <c r="AP52" s="16">
        <f t="shared" si="153"/>
      </c>
      <c r="AQ52" s="268">
        <f t="shared" si="153"/>
      </c>
      <c r="AR52" s="16">
        <f t="shared" si="153"/>
      </c>
      <c r="AS52" s="16">
        <f t="shared" si="153"/>
      </c>
      <c r="AT52" s="16">
        <f t="shared" si="153"/>
      </c>
      <c r="AU52" s="16">
        <f t="shared" si="153"/>
      </c>
      <c r="AV52" s="268">
        <f t="shared" si="153"/>
      </c>
      <c r="AW52" s="16">
        <f t="shared" si="153"/>
      </c>
      <c r="AX52" s="16">
        <f t="shared" si="153"/>
      </c>
      <c r="AY52" s="16">
        <f t="shared" si="153"/>
      </c>
      <c r="AZ52" s="16">
        <f t="shared" si="153"/>
      </c>
      <c r="BA52" s="268">
        <f t="shared" si="153"/>
      </c>
      <c r="BB52" s="16">
        <f t="shared" si="153"/>
      </c>
      <c r="BC52" s="16">
        <f t="shared" si="153"/>
      </c>
      <c r="BD52" s="16">
        <f t="shared" si="153"/>
      </c>
      <c r="BE52" s="16">
        <f t="shared" si="153"/>
      </c>
      <c r="BF52" s="268">
        <f t="shared" si="153"/>
      </c>
      <c r="BG52" s="16">
        <f t="shared" si="153"/>
      </c>
      <c r="BH52" s="16">
        <f t="shared" si="153"/>
      </c>
      <c r="BI52" s="16">
        <f t="shared" si="153"/>
      </c>
      <c r="BJ52" s="16">
        <f t="shared" si="153"/>
      </c>
      <c r="BK52" s="268">
        <f t="shared" si="153"/>
      </c>
      <c r="BL52" s="16">
        <f t="shared" si="153"/>
      </c>
      <c r="BM52" s="16">
        <f t="shared" si="153"/>
      </c>
      <c r="BN52" s="16">
        <f t="shared" si="153"/>
      </c>
      <c r="BO52" s="16">
        <f t="shared" si="153"/>
      </c>
      <c r="BP52" s="268">
        <f t="shared" ref="BP52:CP52" si="154">SUM(BP44:BP51)</f>
      </c>
      <c r="BQ52" s="16">
        <f t="shared" si="154"/>
      </c>
      <c r="BR52" s="16">
        <f t="shared" si="154"/>
      </c>
      <c r="BS52" s="16">
        <f t="shared" si="154"/>
      </c>
      <c r="BT52" s="16">
        <f t="shared" si="154"/>
      </c>
      <c r="BU52" s="268">
        <f t="shared" si="154"/>
      </c>
      <c r="BV52" s="16">
        <f t="shared" si="154"/>
      </c>
      <c r="BW52" s="16">
        <f t="shared" si="154"/>
      </c>
      <c r="BX52" s="16">
        <f t="shared" si="154"/>
      </c>
      <c r="BY52" s="16">
        <f t="shared" si="154"/>
      </c>
      <c r="BZ52" s="268">
        <f t="shared" si="154"/>
      </c>
      <c r="CA52" s="16">
        <f t="shared" si="154"/>
      </c>
      <c r="CB52" s="16">
        <f t="shared" si="154"/>
      </c>
      <c r="CC52" s="16">
        <f t="shared" si="154"/>
      </c>
      <c r="CD52" s="16">
        <f t="shared" si="154"/>
      </c>
      <c r="CE52" s="268">
        <f t="shared" si="154"/>
      </c>
      <c r="CF52" s="16">
        <f t="shared" si="154"/>
      </c>
      <c r="CG52" s="16">
        <f t="shared" si="154"/>
      </c>
      <c r="CH52" s="16">
        <f t="shared" si="154"/>
      </c>
      <c r="CI52" s="16">
        <f t="shared" si="154"/>
      </c>
      <c r="CJ52" s="268">
        <f t="shared" si="154"/>
      </c>
      <c r="CK52" s="16">
        <f t="shared" si="154"/>
      </c>
      <c r="CL52" s="16">
        <f t="shared" si="154"/>
      </c>
      <c r="CM52" s="16">
        <f t="shared" si="154"/>
      </c>
      <c r="CN52" s="16">
        <f t="shared" si="154"/>
      </c>
      <c r="CO52" s="268">
        <f t="shared" si="154"/>
      </c>
      <c r="CP52" s="16">
        <f t="shared" si="154"/>
      </c>
      <c r="CQ52" s="16">
        <f>SUM(CQ44:CQ51)</f>
      </c>
      <c r="CR52" s="16">
        <f>SUM(CR44:CR51)</f>
      </c>
      <c r="CS52" s="16">
        <f>SUM(CS44:CS51)</f>
      </c>
      <c r="CT52" s="268">
        <f>SUM(CT44:CT51)</f>
      </c>
      <c r="CU52" s="16">
        <f t="shared" ref="CU52:CZ52" si="155">SUM(CU44:CU51)</f>
      </c>
      <c r="CV52" s="16">
        <f t="shared" si="155"/>
      </c>
      <c r="CW52" s="16">
        <f t="shared" si="155"/>
      </c>
      <c r="CX52" s="16">
        <f t="shared" si="155"/>
      </c>
      <c r="CY52" s="268">
        <f>SUM(CY44:CY51)</f>
      </c>
      <c r="CZ52" s="16">
        <f t="shared" si="155"/>
      </c>
      <c r="DA52" s="16">
        <f t="shared" ref="DA52:DH52" si="156">SUM(DA44:DA51)</f>
      </c>
      <c r="DB52" s="16">
        <f t="shared" si="156"/>
      </c>
      <c r="DC52" s="16">
        <f t="shared" si="156"/>
      </c>
      <c r="DD52" s="268">
        <f t="shared" si="156"/>
      </c>
      <c r="DE52" s="16">
        <f t="shared" si="156"/>
      </c>
      <c r="DF52" s="16">
        <f>SUM(DF44:DF51)</f>
      </c>
      <c r="DG52" s="16">
        <f>SUM(DG44:DG51)</f>
      </c>
      <c r="DH52" s="16">
        <f t="shared" si="156"/>
      </c>
      <c r="DI52" s="268">
        <f t="shared" ref="DI52:FB52" si="157">SUM(DI44:DI51)</f>
      </c>
      <c r="DJ52" s="16">
        <f t="shared" si="157"/>
      </c>
      <c r="DK52" s="16">
        <f t="shared" si="157"/>
      </c>
      <c r="DL52" s="16">
        <f t="shared" si="157"/>
      </c>
      <c r="DM52" s="16">
        <f t="shared" si="157"/>
      </c>
      <c r="DN52" s="268">
        <f t="shared" si="157"/>
      </c>
      <c r="DO52" s="16">
        <f t="shared" si="157"/>
      </c>
      <c r="DP52" s="16">
        <f t="shared" si="157"/>
      </c>
      <c r="DQ52" s="16">
        <f t="shared" si="157"/>
      </c>
      <c r="DR52" s="16">
        <f t="shared" si="157"/>
      </c>
      <c r="DS52" s="268">
        <f t="shared" si="157"/>
      </c>
      <c r="DT52" s="16">
        <f t="shared" si="157"/>
      </c>
      <c r="DU52" s="16">
        <f t="shared" si="157"/>
      </c>
      <c r="DV52" s="16">
        <f t="shared" si="157"/>
      </c>
      <c r="DW52" s="16">
        <f t="shared" si="157"/>
      </c>
      <c r="DX52" s="2097">
        <f t="shared" si="157"/>
      </c>
      <c r="DY52" s="2102">
        <f t="shared" si="157"/>
      </c>
      <c r="DZ52" s="16">
        <f t="shared" si="157"/>
      </c>
      <c r="EA52" s="16">
        <f t="shared" si="157"/>
      </c>
      <c r="EB52" s="16">
        <f t="shared" si="157"/>
      </c>
      <c r="EC52" s="2713">
        <f t="shared" si="157"/>
      </c>
      <c r="ED52" s="2102">
        <f t="shared" si="157"/>
      </c>
      <c r="EE52" s="16">
        <f t="shared" si="157"/>
      </c>
      <c r="EF52" s="16">
        <f t="shared" si="157"/>
      </c>
      <c r="EG52" s="16">
        <f t="shared" si="157"/>
      </c>
      <c r="EH52" s="1755">
        <f t="shared" si="157"/>
      </c>
      <c r="EI52" s="16">
        <f t="shared" si="157"/>
      </c>
      <c r="EJ52" s="16">
        <f t="shared" si="157"/>
      </c>
      <c r="EK52" s="16">
        <f t="shared" si="157"/>
      </c>
      <c r="EL52" s="16">
        <f t="shared" si="157"/>
      </c>
      <c r="EM52" s="1755">
        <f t="shared" si="157"/>
      </c>
      <c r="EN52" s="16">
        <f t="shared" si="157"/>
      </c>
      <c r="EO52" s="16">
        <f t="shared" si="157"/>
      </c>
      <c r="EP52" s="16">
        <f>SUM(EP44:EP51)</f>
      </c>
      <c r="EQ52" s="2154">
        <f t="shared" si="157"/>
      </c>
      <c r="ER52" s="132">
        <f t="shared" si="157"/>
      </c>
      <c r="ES52" s="16">
        <f t="shared" si="157"/>
      </c>
      <c r="ET52" s="16">
        <f t="shared" si="157"/>
      </c>
      <c r="EU52" s="16">
        <f>SUM(EU44:EU51)</f>
      </c>
      <c r="EV52" s="2154">
        <f t="shared" ref="EV52" si="158">SUM(EV44:EV51)</f>
      </c>
      <c r="EW52" s="132">
        <f t="shared" ref="EW52:EY52" si="159">SUM(EW44:EW51)</f>
      </c>
      <c r="EX52" s="16">
        <f t="shared" si="159"/>
      </c>
      <c r="EY52" s="16">
        <f t="shared" si="159"/>
      </c>
      <c r="EZ52" s="16">
        <f>SUM(EZ44:EZ51)</f>
      </c>
      <c r="FA52" s="2154">
        <f>SUM(FA44:FA51)</f>
      </c>
      <c r="FB52" s="3601">
        <f t="shared" si="157"/>
      </c>
      <c r="FC52" s="132">
        <f ca="1">SUM(FC44:FC51)</f>
      </c>
      <c r="FD52" s="132">
        <f ca="1">SUM(FD44:FD51)</f>
      </c>
      <c r="FE52" s="132">
        <f ca="1">SUM(FE44:FE51)</f>
      </c>
      <c r="FF52" s="132">
        <f ca="1">SUM(FF44:FF51)</f>
      </c>
      <c r="FG52" s="132">
        <f ca="1">SUM(FG44:FG51)</f>
      </c>
      <c r="FH52" s="2579"/>
      <c r="FI52" s="948"/>
    </row>
    <row r="53" spans="1:165" ht="13.2" thickBot="1">
      <c r="A53" s="1"/>
      <c r="B53" s="2688" t="s">
        <v>833</v>
      </c>
      <c r="C53" s="10"/>
      <c r="D53" s="10"/>
      <c r="E53" s="10"/>
      <c r="F53" s="10"/>
      <c r="G53" s="10"/>
      <c r="H53" s="10"/>
      <c r="I53" s="10"/>
      <c r="J53" s="10"/>
      <c r="K53" s="10"/>
      <c r="L53" s="10"/>
      <c r="M53" s="67"/>
      <c r="N53" s="10"/>
      <c r="O53" s="10"/>
      <c r="P53" s="10"/>
      <c r="Q53" s="10"/>
      <c r="R53" s="67"/>
      <c r="S53" s="10"/>
      <c r="T53" s="10"/>
      <c r="U53" s="10"/>
      <c r="V53" s="10"/>
      <c r="W53" s="67"/>
      <c r="X53" s="10"/>
      <c r="Y53" s="10"/>
      <c r="Z53" s="10"/>
      <c r="AA53" s="10"/>
      <c r="AB53" s="67"/>
      <c r="AC53" s="10"/>
      <c r="AD53" s="10"/>
      <c r="AE53" s="10"/>
      <c r="AF53" s="10"/>
      <c r="AG53" s="67"/>
      <c r="AH53" s="10"/>
      <c r="AI53" s="10"/>
      <c r="AJ53" s="10"/>
      <c r="AK53" s="10"/>
      <c r="AL53" s="67"/>
      <c r="AM53" s="10"/>
      <c r="AN53" s="10"/>
      <c r="AO53" s="10"/>
      <c r="AP53" s="10"/>
      <c r="AQ53" s="67"/>
      <c r="AR53" s="10"/>
      <c r="AS53" s="10"/>
      <c r="AT53" s="10"/>
      <c r="AU53" s="10"/>
      <c r="AV53" s="67"/>
      <c r="AW53" s="10"/>
      <c r="AX53" s="10"/>
      <c r="AY53" s="10"/>
      <c r="AZ53" s="10"/>
      <c r="BA53" s="67"/>
      <c r="BB53" s="10"/>
      <c r="BC53" s="10"/>
      <c r="BD53" s="10"/>
      <c r="BE53" s="10"/>
      <c r="BF53" s="67"/>
      <c r="BG53" s="10"/>
      <c r="BH53" s="10"/>
      <c r="BI53" s="10"/>
      <c r="BJ53" s="10"/>
      <c r="BK53" s="67"/>
      <c r="BL53" s="10"/>
      <c r="BM53" s="10"/>
      <c r="BN53" s="10"/>
      <c r="BO53" s="10"/>
      <c r="BP53" s="67"/>
      <c r="BQ53" s="10"/>
      <c r="BR53" s="10"/>
      <c r="BS53" s="10"/>
      <c r="BT53" s="10"/>
      <c r="BU53" s="67"/>
      <c r="BV53" s="10"/>
      <c r="BW53" s="10"/>
      <c r="BX53" s="10"/>
      <c r="BY53" s="10"/>
      <c r="BZ53" s="67"/>
      <c r="CA53" s="10"/>
      <c r="CB53" s="10"/>
      <c r="CC53" s="10"/>
      <c r="CD53" s="10"/>
      <c r="CE53" s="67"/>
      <c r="CF53" s="10"/>
      <c r="CG53" s="10"/>
      <c r="CH53" s="10"/>
      <c r="CI53" s="10"/>
      <c r="CJ53" s="67"/>
      <c r="CK53" s="10"/>
      <c r="CL53" s="10"/>
      <c r="CM53" s="10"/>
      <c r="CN53" s="10"/>
      <c r="CO53" s="67"/>
      <c r="CP53" s="10"/>
      <c r="CQ53" s="10"/>
      <c r="CR53" s="10"/>
      <c r="CS53" s="10"/>
      <c r="CT53" s="67"/>
      <c r="CU53" s="10"/>
      <c r="CV53" s="10"/>
      <c r="CW53" s="10"/>
      <c r="CX53" s="10"/>
      <c r="CY53" s="67"/>
      <c r="CZ53" s="10"/>
      <c r="DA53" s="10"/>
      <c r="DB53" s="10"/>
      <c r="DC53" s="10"/>
      <c r="DD53" s="67"/>
      <c r="DE53" s="10"/>
      <c r="DF53" s="10"/>
      <c r="DG53" s="10"/>
      <c r="DH53" s="948"/>
      <c r="DI53" s="1111"/>
      <c r="DJ53" s="948"/>
      <c r="DK53" s="948"/>
      <c r="DL53" s="948"/>
      <c r="DM53" s="948"/>
      <c r="DN53" s="1111"/>
      <c r="DO53" s="948"/>
      <c r="DP53" s="948"/>
      <c r="DQ53" s="948"/>
      <c r="DR53" s="948"/>
      <c r="DS53" s="1111"/>
      <c r="DT53" s="948"/>
      <c r="DU53" s="948"/>
      <c r="DV53" s="948"/>
      <c r="DW53" s="948"/>
      <c r="DX53" s="2089"/>
      <c r="DY53" s="2100"/>
      <c r="DZ53" s="948"/>
      <c r="EA53" s="948"/>
      <c r="EB53" s="948"/>
      <c r="EC53" s="1505"/>
      <c r="ED53" s="2100"/>
      <c r="EE53" s="948"/>
      <c r="EF53" s="948"/>
      <c r="EG53" s="948"/>
      <c r="EH53" s="1756"/>
      <c r="EI53" s="948"/>
      <c r="EJ53" s="948"/>
      <c r="EK53" s="948"/>
      <c r="EL53" s="948"/>
      <c r="EM53" s="1753"/>
      <c r="EN53" s="948"/>
      <c r="EO53" s="2689">
        <v>1260</v>
      </c>
      <c r="EP53" s="2689"/>
      <c r="EQ53" s="2690">
        <f t="shared" ref="EQ53:FG53" si="160">+EP53</f>
      </c>
      <c r="ER53" s="1205">
        <f t="shared" si="160"/>
      </c>
      <c r="ES53" s="2689">
        <v>0</v>
      </c>
      <c r="ET53" s="2689">
        <v>0</v>
      </c>
      <c r="EU53" s="2689"/>
      <c r="EV53" s="2690">
        <f t="shared" ref="EV53" si="161">+EU53</f>
      </c>
      <c r="EW53" s="1205">
        <f t="shared" ref="EW53" si="162">+EV53</f>
      </c>
      <c r="EX53" s="2689">
        <v>0</v>
      </c>
      <c r="EY53" s="2689">
        <v>0</v>
      </c>
      <c r="EZ53" s="2689">
        <f t="shared" si="160"/>
      </c>
      <c r="FA53" s="2690">
        <f t="shared" si="160"/>
      </c>
      <c r="FB53" s="1205">
        <f>+EW53</f>
      </c>
      <c r="FC53" s="1205">
        <f t="shared" si="160"/>
      </c>
      <c r="FD53" s="1205">
        <f t="shared" si="160"/>
      </c>
      <c r="FE53" s="1205">
        <f t="shared" si="160"/>
      </c>
      <c r="FF53" s="1205">
        <f t="shared" si="160"/>
      </c>
      <c r="FG53" s="1205">
        <f t="shared" si="160"/>
      </c>
      <c r="FH53" s="2579"/>
      <c r="FI53" s="948"/>
    </row>
    <row r="54" spans="1:165" ht="13.2" thickTop="1">
      <c r="A54" s="16"/>
      <c r="B54" s="619" t="s">
        <v>407</v>
      </c>
      <c r="C54" s="620">
        <f>+C52+C41</f>
      </c>
      <c r="D54" s="620">
        <f t="shared" ref="D54:BO54" si="163">+D52+D41</f>
      </c>
      <c r="E54" s="620">
        <f t="shared" si="163"/>
      </c>
      <c r="F54" s="620">
        <f t="shared" si="163"/>
      </c>
      <c r="G54" s="620">
        <f t="shared" si="163"/>
      </c>
      <c r="H54" s="620">
        <f t="shared" si="163"/>
      </c>
      <c r="I54" s="620">
        <f t="shared" si="163"/>
      </c>
      <c r="J54" s="620">
        <f t="shared" si="163"/>
      </c>
      <c r="K54" s="620">
        <f t="shared" si="163"/>
      </c>
      <c r="L54" s="620">
        <f t="shared" si="163"/>
      </c>
      <c r="M54" s="621">
        <f t="shared" si="163"/>
      </c>
      <c r="N54" s="620">
        <f t="shared" si="163"/>
      </c>
      <c r="O54" s="620">
        <f t="shared" si="163"/>
      </c>
      <c r="P54" s="620">
        <f t="shared" si="163"/>
      </c>
      <c r="Q54" s="620">
        <f t="shared" si="163"/>
      </c>
      <c r="R54" s="621">
        <f t="shared" si="163"/>
      </c>
      <c r="S54" s="620">
        <f t="shared" si="163"/>
      </c>
      <c r="T54" s="620">
        <f t="shared" si="163"/>
      </c>
      <c r="U54" s="620">
        <f t="shared" si="163"/>
      </c>
      <c r="V54" s="620">
        <f t="shared" si="163"/>
      </c>
      <c r="W54" s="621">
        <f t="shared" si="163"/>
      </c>
      <c r="X54" s="620">
        <f t="shared" si="163"/>
      </c>
      <c r="Y54" s="620">
        <f t="shared" si="163"/>
      </c>
      <c r="Z54" s="620">
        <f t="shared" si="163"/>
      </c>
      <c r="AA54" s="620">
        <f t="shared" si="163"/>
      </c>
      <c r="AB54" s="621">
        <f t="shared" si="163"/>
      </c>
      <c r="AC54" s="620">
        <f t="shared" si="163"/>
      </c>
      <c r="AD54" s="620">
        <f t="shared" si="163"/>
      </c>
      <c r="AE54" s="620">
        <f t="shared" si="163"/>
      </c>
      <c r="AF54" s="620">
        <f t="shared" si="163"/>
      </c>
      <c r="AG54" s="621">
        <f t="shared" si="163"/>
      </c>
      <c r="AH54" s="620">
        <f t="shared" si="163"/>
      </c>
      <c r="AI54" s="620">
        <f t="shared" si="163"/>
      </c>
      <c r="AJ54" s="620">
        <f t="shared" si="163"/>
      </c>
      <c r="AK54" s="620">
        <f t="shared" si="163"/>
      </c>
      <c r="AL54" s="621">
        <f t="shared" si="163"/>
      </c>
      <c r="AM54" s="620">
        <f t="shared" si="163"/>
      </c>
      <c r="AN54" s="620">
        <f t="shared" si="163"/>
      </c>
      <c r="AO54" s="620">
        <f t="shared" si="163"/>
      </c>
      <c r="AP54" s="620">
        <f t="shared" si="163"/>
      </c>
      <c r="AQ54" s="621">
        <f t="shared" si="163"/>
      </c>
      <c r="AR54" s="620">
        <f t="shared" si="163"/>
      </c>
      <c r="AS54" s="620">
        <f t="shared" si="163"/>
      </c>
      <c r="AT54" s="620">
        <f t="shared" si="163"/>
      </c>
      <c r="AU54" s="620">
        <f t="shared" si="163"/>
      </c>
      <c r="AV54" s="621">
        <f t="shared" si="163"/>
      </c>
      <c r="AW54" s="620">
        <f t="shared" si="163"/>
      </c>
      <c r="AX54" s="620">
        <f t="shared" si="163"/>
      </c>
      <c r="AY54" s="620">
        <f t="shared" si="163"/>
      </c>
      <c r="AZ54" s="620">
        <f t="shared" si="163"/>
      </c>
      <c r="BA54" s="621">
        <f t="shared" si="163"/>
      </c>
      <c r="BB54" s="620">
        <f t="shared" si="163"/>
      </c>
      <c r="BC54" s="620">
        <f t="shared" si="163"/>
      </c>
      <c r="BD54" s="620">
        <f t="shared" si="163"/>
      </c>
      <c r="BE54" s="620">
        <f t="shared" si="163"/>
      </c>
      <c r="BF54" s="621">
        <f t="shared" si="163"/>
      </c>
      <c r="BG54" s="620">
        <f t="shared" si="163"/>
      </c>
      <c r="BH54" s="620">
        <f t="shared" si="163"/>
      </c>
      <c r="BI54" s="620">
        <f t="shared" si="163"/>
      </c>
      <c r="BJ54" s="620">
        <f t="shared" si="163"/>
      </c>
      <c r="BK54" s="621">
        <f t="shared" si="163"/>
      </c>
      <c r="BL54" s="620">
        <f t="shared" si="163"/>
      </c>
      <c r="BM54" s="620">
        <f t="shared" si="163"/>
      </c>
      <c r="BN54" s="620">
        <f t="shared" si="163"/>
      </c>
      <c r="BO54" s="620">
        <f t="shared" si="163"/>
      </c>
      <c r="BP54" s="621">
        <f t="shared" ref="BP54:CP54" si="164">+BP52+BP41</f>
      </c>
      <c r="BQ54" s="620">
        <f t="shared" si="164"/>
      </c>
      <c r="BR54" s="620">
        <f t="shared" si="164"/>
      </c>
      <c r="BS54" s="620">
        <f t="shared" si="164"/>
      </c>
      <c r="BT54" s="620">
        <f t="shared" si="164"/>
      </c>
      <c r="BU54" s="621">
        <f t="shared" si="164"/>
      </c>
      <c r="BV54" s="620">
        <f t="shared" si="164"/>
      </c>
      <c r="BW54" s="620">
        <f t="shared" si="164"/>
      </c>
      <c r="BX54" s="620">
        <f t="shared" si="164"/>
      </c>
      <c r="BY54" s="620">
        <f t="shared" si="164"/>
      </c>
      <c r="BZ54" s="621">
        <f t="shared" si="164"/>
      </c>
      <c r="CA54" s="620">
        <f t="shared" si="164"/>
      </c>
      <c r="CB54" s="620">
        <f t="shared" si="164"/>
      </c>
      <c r="CC54" s="620">
        <f t="shared" ref="CC54:CI54" si="165">+CC52+CC41</f>
      </c>
      <c r="CD54" s="620">
        <f t="shared" si="165"/>
      </c>
      <c r="CE54" s="621">
        <f t="shared" si="165"/>
      </c>
      <c r="CF54" s="620">
        <f>+CF52+CF41</f>
      </c>
      <c r="CG54" s="620">
        <f t="shared" si="165"/>
      </c>
      <c r="CH54" s="620">
        <f t="shared" si="165"/>
      </c>
      <c r="CI54" s="620">
        <f t="shared" si="165"/>
      </c>
      <c r="CJ54" s="621">
        <f t="shared" si="164"/>
      </c>
      <c r="CK54" s="620">
        <f t="shared" si="164"/>
      </c>
      <c r="CL54" s="620">
        <f t="shared" si="164"/>
      </c>
      <c r="CM54" s="620">
        <f t="shared" si="164"/>
      </c>
      <c r="CN54" s="620">
        <f t="shared" si="164"/>
      </c>
      <c r="CO54" s="621">
        <f t="shared" si="164"/>
      </c>
      <c r="CP54" s="620">
        <f t="shared" si="164"/>
      </c>
      <c r="CQ54" s="620">
        <f t="shared" ref="CQ54:DJ54" si="166">+CQ52+CQ41</f>
      </c>
      <c r="CR54" s="620">
        <f t="shared" si="166"/>
      </c>
      <c r="CS54" s="620">
        <f t="shared" si="166"/>
      </c>
      <c r="CT54" s="621">
        <f>+CT52+CT41</f>
      </c>
      <c r="CU54" s="620">
        <f t="shared" si="166"/>
      </c>
      <c r="CV54" s="620">
        <f>+CV52+CV41</f>
      </c>
      <c r="CW54" s="620">
        <f t="shared" si="166"/>
      </c>
      <c r="CX54" s="620">
        <f t="shared" si="166"/>
      </c>
      <c r="CY54" s="621">
        <f>+CY52+CY41</f>
      </c>
      <c r="CZ54" s="620">
        <f>+CZ52+CZ41</f>
      </c>
      <c r="DA54" s="620">
        <f t="shared" si="166"/>
      </c>
      <c r="DB54" s="620">
        <f t="shared" si="166"/>
      </c>
      <c r="DC54" s="620">
        <f t="shared" si="166"/>
      </c>
      <c r="DD54" s="621">
        <f t="shared" si="166"/>
      </c>
      <c r="DE54" s="620">
        <f t="shared" si="166"/>
      </c>
      <c r="DF54" s="620">
        <f>+DF52+DF41</f>
      </c>
      <c r="DG54" s="620">
        <f>+DG52+DG41</f>
      </c>
      <c r="DH54" s="620">
        <f t="shared" si="166"/>
      </c>
      <c r="DI54" s="621">
        <f t="shared" si="166"/>
      </c>
      <c r="DJ54" s="620">
        <f t="shared" si="166"/>
      </c>
      <c r="DK54" s="620">
        <f t="shared" ref="DK54:EN54" si="167">+DK52+DK41</f>
      </c>
      <c r="DL54" s="620">
        <f t="shared" si="167"/>
      </c>
      <c r="DM54" s="620">
        <f t="shared" si="167"/>
      </c>
      <c r="DN54" s="621">
        <f t="shared" si="167"/>
      </c>
      <c r="DO54" s="620">
        <f t="shared" si="167"/>
      </c>
      <c r="DP54" s="620">
        <f t="shared" si="167"/>
      </c>
      <c r="DQ54" s="620">
        <f t="shared" si="167"/>
      </c>
      <c r="DR54" s="620">
        <f t="shared" si="167"/>
      </c>
      <c r="DS54" s="621">
        <f t="shared" si="167"/>
      </c>
      <c r="DT54" s="620">
        <f t="shared" si="167"/>
      </c>
      <c r="DU54" s="620">
        <f t="shared" si="167"/>
      </c>
      <c r="DV54" s="620">
        <f t="shared" si="167"/>
      </c>
      <c r="DW54" s="620">
        <f t="shared" si="167"/>
      </c>
      <c r="DX54" s="2091">
        <f t="shared" si="167"/>
      </c>
      <c r="DY54" s="619">
        <f t="shared" si="167"/>
      </c>
      <c r="DZ54" s="620">
        <f t="shared" si="167"/>
      </c>
      <c r="EA54" s="620">
        <f t="shared" si="167"/>
      </c>
      <c r="EB54" s="620">
        <f t="shared" si="167"/>
      </c>
      <c r="EC54" s="2710">
        <f t="shared" si="167"/>
      </c>
      <c r="ED54" s="619">
        <f t="shared" si="167"/>
      </c>
      <c r="EE54" s="620">
        <f t="shared" si="167"/>
      </c>
      <c r="EF54" s="620">
        <f t="shared" si="167"/>
      </c>
      <c r="EG54" s="620">
        <f t="shared" si="167"/>
      </c>
      <c r="EH54" s="1757">
        <f t="shared" si="167"/>
      </c>
      <c r="EI54" s="620">
        <f t="shared" si="167"/>
      </c>
      <c r="EJ54" s="620">
        <f t="shared" si="167"/>
      </c>
      <c r="EK54" s="620">
        <f t="shared" si="167"/>
      </c>
      <c r="EL54" s="620">
        <f t="shared" si="167"/>
      </c>
      <c r="EM54" s="1757">
        <f t="shared" si="167"/>
      </c>
      <c r="EN54" s="620">
        <f t="shared" si="167"/>
      </c>
      <c r="EO54" s="620">
        <f>+EO52+EO41+EO53</f>
      </c>
      <c r="EP54" s="620">
        <f>+EP52+EP41+EP53</f>
      </c>
      <c r="EQ54" s="620">
        <f t="shared" ref="EQ54:FD54" si="168">+EQ52+EQ41+EQ53</f>
      </c>
      <c r="ER54" s="1184">
        <f t="shared" si="168"/>
      </c>
      <c r="ES54" s="620">
        <f t="shared" si="168"/>
      </c>
      <c r="ET54" s="620">
        <f>+ET52+ET41+ET53</f>
      </c>
      <c r="EU54" s="620">
        <f>+EU52+EU41+EU53</f>
      </c>
      <c r="EV54" s="620">
        <f t="shared" ref="EV54:EX54" si="169">+EV52+EV41+EV53</f>
      </c>
      <c r="EW54" s="1184">
        <f t="shared" si="169"/>
      </c>
      <c r="EX54" s="620">
        <f t="shared" si="169"/>
      </c>
      <c r="EY54" s="620">
        <f>+EY52+EY41+EY53</f>
      </c>
      <c r="EZ54" s="620">
        <f t="shared" si="168"/>
      </c>
      <c r="FA54" s="620">
        <f t="shared" si="168"/>
      </c>
      <c r="FB54" s="1184">
        <f t="shared" si="168"/>
      </c>
      <c r="FC54" s="1184">
        <f t="shared" ca="1" si="168"/>
      </c>
      <c r="FD54" s="1184">
        <f t="shared" ca="1" si="168"/>
      </c>
      <c r="FE54" s="1184">
        <f ca="1">+FE52+FE41+FE53</f>
      </c>
      <c r="FF54" s="1184">
        <f ca="1">+FF52+FF41+FF53</f>
      </c>
      <c r="FG54" s="1184">
        <f ca="1">+FG52+FG41+FG53</f>
      </c>
      <c r="FH54" s="2579"/>
      <c r="FI54" s="948"/>
    </row>
    <row r="55" spans="1:165" hidden="1">
      <c r="A55" s="16"/>
      <c r="B55" s="16"/>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
      <c r="CP55" s="15"/>
      <c r="CQ55" s="15"/>
      <c r="CR55" s="15"/>
      <c r="CS55" s="15"/>
      <c r="CT55" s="15"/>
      <c r="CU55" s="15"/>
      <c r="CV55" s="15"/>
      <c r="CW55" s="15"/>
      <c r="CX55" s="15"/>
      <c r="CY55" s="924"/>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f t="shared" ref="EB55:FD55" si="170">EB27-EB54</f>
      </c>
      <c r="EC55" s="15">
        <f t="shared" si="170"/>
      </c>
      <c r="ED55" s="15">
        <f t="shared" si="170"/>
      </c>
      <c r="EE55" s="15">
        <f t="shared" si="170"/>
      </c>
      <c r="EF55" s="15">
        <f t="shared" si="170"/>
      </c>
      <c r="EG55" s="15">
        <f t="shared" si="170"/>
      </c>
      <c r="EH55" s="15">
        <f t="shared" si="170"/>
      </c>
      <c r="EI55" s="15">
        <f t="shared" si="170"/>
      </c>
      <c r="EJ55" s="15">
        <f t="shared" si="170"/>
      </c>
      <c r="EK55" s="15">
        <f t="shared" si="170"/>
      </c>
      <c r="EL55" s="15">
        <f t="shared" si="170"/>
      </c>
      <c r="EM55" s="15">
        <f t="shared" si="170"/>
      </c>
      <c r="EN55" s="15">
        <f t="shared" si="170"/>
      </c>
      <c r="EO55" s="15">
        <f t="shared" si="170"/>
      </c>
      <c r="EP55" s="15">
        <f>EP27-EP54</f>
      </c>
      <c r="EQ55" s="15">
        <f t="shared" si="170"/>
      </c>
      <c r="ER55" s="15">
        <f t="shared" si="170"/>
      </c>
      <c r="ES55" s="15">
        <f t="shared" si="170"/>
      </c>
      <c r="ET55" s="15">
        <f t="shared" si="170"/>
      </c>
      <c r="EU55" s="15">
        <f>EU27-EU54</f>
      </c>
      <c r="EV55" s="15">
        <f t="shared" ref="EV55:EW55" si="171">EV27-EV54</f>
      </c>
      <c r="EW55" s="15">
        <f t="shared" si="171"/>
      </c>
      <c r="EX55" s="15">
        <f t="shared" si="170"/>
      </c>
      <c r="EY55" s="15">
        <f t="shared" ref="EY55" si="172">EY27-EY54</f>
      </c>
      <c r="EZ55" s="15">
        <f t="shared" si="170"/>
      </c>
      <c r="FA55" s="15">
        <f t="shared" si="170"/>
      </c>
      <c r="FB55" s="15">
        <f t="shared" si="170"/>
      </c>
      <c r="FC55" s="15">
        <f t="shared" ca="1" si="170"/>
      </c>
      <c r="FD55" s="15">
        <f t="shared" ca="1" si="170"/>
      </c>
      <c r="FE55" s="15">
        <f ca="1">FE27-FE54</f>
      </c>
      <c r="FF55" s="15">
        <f ca="1">FF27-FF54</f>
      </c>
      <c r="FG55" s="15">
        <f ca="1">FG27-FG54</f>
      </c>
      <c r="FH55" s="16"/>
      <c r="FI55" s="16"/>
    </row>
    <row r="56" spans="1:165" outlineLevel="1">
      <c r="A56" s="62"/>
      <c r="B56" s="2764" t="s">
        <v>294</v>
      </c>
      <c r="C56" s="2765" t="str">
        <f t="shared" ref="C56:AH56" si="173">IF(C54=C27,"TRUE","FALSE")</f>
      </c>
      <c r="D56" s="2765" t="str">
        <f t="shared" si="173"/>
      </c>
      <c r="E56" s="2765" t="str">
        <f t="shared" si="173"/>
      </c>
      <c r="F56" s="2765" t="str">
        <f t="shared" si="173"/>
      </c>
      <c r="G56" s="2765" t="str">
        <f t="shared" si="173"/>
      </c>
      <c r="H56" s="2765" t="str">
        <f t="shared" si="173"/>
      </c>
      <c r="I56" s="2765" t="str">
        <f t="shared" si="173"/>
      </c>
      <c r="J56" s="2765" t="str">
        <f t="shared" si="173"/>
      </c>
      <c r="K56" s="2765" t="str">
        <f t="shared" si="173"/>
      </c>
      <c r="L56" s="2765" t="str">
        <f t="shared" si="173"/>
      </c>
      <c r="M56" s="2765" t="str">
        <f t="shared" si="173"/>
      </c>
      <c r="N56" s="2765" t="str">
        <f t="shared" si="173"/>
      </c>
      <c r="O56" s="2765" t="str">
        <f t="shared" si="173"/>
      </c>
      <c r="P56" s="2765" t="str">
        <f t="shared" si="173"/>
      </c>
      <c r="Q56" s="2765" t="str">
        <f t="shared" si="173"/>
      </c>
      <c r="R56" s="2765" t="str">
        <f t="shared" si="173"/>
      </c>
      <c r="S56" s="2765" t="str">
        <f t="shared" si="173"/>
      </c>
      <c r="T56" s="2765" t="str">
        <f t="shared" si="173"/>
      </c>
      <c r="U56" s="2765" t="str">
        <f t="shared" si="173"/>
      </c>
      <c r="V56" s="2765" t="str">
        <f t="shared" si="173"/>
      </c>
      <c r="W56" s="2765" t="str">
        <f t="shared" si="173"/>
      </c>
      <c r="X56" s="2765" t="str">
        <f t="shared" si="173"/>
      </c>
      <c r="Y56" s="2765" t="str">
        <f t="shared" si="173"/>
      </c>
      <c r="Z56" s="2765" t="str">
        <f t="shared" si="173"/>
      </c>
      <c r="AA56" s="2765" t="str">
        <f t="shared" si="173"/>
      </c>
      <c r="AB56" s="2765" t="str">
        <f t="shared" si="173"/>
      </c>
      <c r="AC56" s="2765" t="str">
        <f t="shared" si="173"/>
      </c>
      <c r="AD56" s="2765" t="str">
        <f t="shared" si="173"/>
      </c>
      <c r="AE56" s="2765" t="str">
        <f t="shared" si="173"/>
      </c>
      <c r="AF56" s="2765" t="str">
        <f t="shared" si="173"/>
      </c>
      <c r="AG56" s="2765" t="str">
        <f t="shared" si="173"/>
      </c>
      <c r="AH56" s="2765" t="str">
        <f t="shared" si="173"/>
      </c>
      <c r="AI56" s="2765" t="str">
        <f t="shared" ref="AI56:BN56" si="174">IF(AI54=AI27,"TRUE","FALSE")</f>
      </c>
      <c r="AJ56" s="2765" t="str">
        <f t="shared" si="174"/>
      </c>
      <c r="AK56" s="2765" t="str">
        <f t="shared" si="174"/>
      </c>
      <c r="AL56" s="2765" t="str">
        <f t="shared" si="174"/>
      </c>
      <c r="AM56" s="2765" t="str">
        <f t="shared" si="174"/>
      </c>
      <c r="AN56" s="2765" t="str">
        <f t="shared" si="174"/>
      </c>
      <c r="AO56" s="2765" t="str">
        <f t="shared" si="174"/>
      </c>
      <c r="AP56" s="2765" t="str">
        <f t="shared" si="174"/>
      </c>
      <c r="AQ56" s="2765" t="str">
        <f t="shared" si="174"/>
      </c>
      <c r="AR56" s="2765" t="str">
        <f t="shared" si="174"/>
      </c>
      <c r="AS56" s="2765" t="str">
        <f t="shared" si="174"/>
      </c>
      <c r="AT56" s="2765" t="str">
        <f t="shared" si="174"/>
      </c>
      <c r="AU56" s="2765" t="str">
        <f t="shared" si="174"/>
      </c>
      <c r="AV56" s="2765" t="str">
        <f t="shared" si="174"/>
      </c>
      <c r="AW56" s="2765" t="str">
        <f t="shared" si="174"/>
      </c>
      <c r="AX56" s="2765" t="str">
        <f t="shared" si="174"/>
      </c>
      <c r="AY56" s="2765" t="str">
        <f t="shared" si="174"/>
      </c>
      <c r="AZ56" s="2765" t="str">
        <f t="shared" si="174"/>
      </c>
      <c r="BA56" s="2765" t="str">
        <f t="shared" si="174"/>
      </c>
      <c r="BB56" s="2765" t="str">
        <f t="shared" si="174"/>
      </c>
      <c r="BC56" s="2765" t="str">
        <f t="shared" si="174"/>
      </c>
      <c r="BD56" s="2765" t="str">
        <f t="shared" si="174"/>
      </c>
      <c r="BE56" s="2765" t="str">
        <f t="shared" si="174"/>
      </c>
      <c r="BF56" s="2765" t="str">
        <f t="shared" si="174"/>
      </c>
      <c r="BG56" s="2765" t="str">
        <f t="shared" si="174"/>
      </c>
      <c r="BH56" s="2765" t="str">
        <f t="shared" si="174"/>
      </c>
      <c r="BI56" s="2765" t="str">
        <f t="shared" si="174"/>
      </c>
      <c r="BJ56" s="2765" t="str">
        <f t="shared" si="174"/>
      </c>
      <c r="BK56" s="2765" t="str">
        <f t="shared" si="174"/>
      </c>
      <c r="BL56" s="2765" t="str">
        <f t="shared" si="174"/>
      </c>
      <c r="BM56" s="2765" t="str">
        <f t="shared" si="174"/>
      </c>
      <c r="BN56" s="2765" t="str">
        <f t="shared" si="174"/>
      </c>
      <c r="BO56" s="2765" t="str">
        <f t="shared" ref="BO56:DD56" si="175">IF(BO54=BO27,"TRUE","FALSE")</f>
      </c>
      <c r="BP56" s="2765" t="str">
        <f t="shared" si="175"/>
      </c>
      <c r="BQ56" s="2765" t="str">
        <f t="shared" si="175"/>
      </c>
      <c r="BR56" s="2765" t="str">
        <f t="shared" si="175"/>
      </c>
      <c r="BS56" s="2765" t="str">
        <f t="shared" si="175"/>
      </c>
      <c r="BT56" s="2765" t="str">
        <f t="shared" si="175"/>
      </c>
      <c r="BU56" s="2765" t="str">
        <f t="shared" si="175"/>
      </c>
      <c r="BV56" s="2765" t="str">
        <f t="shared" si="175"/>
      </c>
      <c r="BW56" s="2765" t="str">
        <f t="shared" si="175"/>
      </c>
      <c r="BX56" s="2765" t="str">
        <f t="shared" si="175"/>
      </c>
      <c r="BY56" s="2765" t="str">
        <f t="shared" si="175"/>
      </c>
      <c r="BZ56" s="2765" t="str">
        <f t="shared" si="175"/>
      </c>
      <c r="CA56" s="2765" t="str">
        <f t="shared" si="175"/>
      </c>
      <c r="CB56" s="2765" t="str">
        <f t="shared" si="175"/>
      </c>
      <c r="CC56" s="2765" t="str">
        <f>IF(CC54=CC27,"TRUE","FALSE")</f>
      </c>
      <c r="CD56" s="2765" t="str">
        <f>IF(CD54=CD27,"TRUE","FALSE")</f>
      </c>
      <c r="CE56" s="2765" t="str">
        <f t="shared" si="175"/>
      </c>
      <c r="CF56" s="2765" t="str">
        <f t="shared" si="175"/>
      </c>
      <c r="CG56" s="2765" t="str">
        <f>IF(CG54=CG27,"TRUE","FALSE")</f>
      </c>
      <c r="CH56" s="2765" t="str">
        <f>IF(CH54=CH27,"TRUE","FALSE")</f>
      </c>
      <c r="CI56" s="2765" t="str">
        <f>IF(CI54=CI27,"TRUE","FALSE")</f>
      </c>
      <c r="CJ56" s="2765" t="str">
        <f t="shared" si="175"/>
      </c>
      <c r="CK56" s="2765" t="str">
        <f>IF(CK54=CK27,"TRUE","FALSE")</f>
      </c>
      <c r="CL56" s="2765" t="str">
        <f>IF(CL54=CL27,"TRUE","FALSE")</f>
      </c>
      <c r="CM56" s="2765" t="str">
        <f>IF(CM54=CM27,"TRUE","FALSE")</f>
      </c>
      <c r="CN56" s="2765" t="str">
        <f>IF(CN54=CN27,"TRUE","FALSE")</f>
      </c>
      <c r="CO56" s="2766" t="str">
        <f t="shared" si="175"/>
      </c>
      <c r="CP56" s="2765" t="str">
        <f>IF(CP54=CP27,"TRUE","FALSE")</f>
      </c>
      <c r="CQ56" s="2765" t="str">
        <f>IF(CQ54=CQ27,"TRUE","FALSE")</f>
      </c>
      <c r="CR56" s="2765" t="str">
        <f>IF(CR54=CR27,"TRUE","FALSE")</f>
      </c>
      <c r="CS56" s="2765" t="str">
        <f>IF(CS54=CS27,"TRUE","FALSE")</f>
      </c>
      <c r="CT56" s="2765" t="str">
        <f t="shared" si="175"/>
      </c>
      <c r="CU56" s="2765" t="str">
        <f>IF(CU54=CU27,"TRUE","FALSE")</f>
      </c>
      <c r="CV56" s="2765" t="str">
        <f>IF(CV54=CV27,"TRUE","FALSE")</f>
      </c>
      <c r="CW56" s="2765" t="str">
        <f>IF(CW54=CW27,"TRUE","FALSE")</f>
      </c>
      <c r="CX56" s="2765" t="str">
        <f>IF(CX54=CX27,"TRUE","FALSE")</f>
      </c>
      <c r="CY56" s="2765" t="str">
        <f t="shared" si="175"/>
      </c>
      <c r="CZ56" s="2765" t="str">
        <f>IF(CZ54=CZ27,"TRUE","FALSE")</f>
      </c>
      <c r="DA56" s="2765" t="str">
        <f>IF(DA54=DA27,"TRUE","FALSE")</f>
      </c>
      <c r="DB56" s="2765" t="str">
        <f>IF(DB54=DB27,"TRUE","FALSE")</f>
      </c>
      <c r="DC56" s="2765" t="str">
        <f>IF(DC54=DC27,"TRUE","FALSE")</f>
      </c>
      <c r="DD56" s="2765" t="str">
        <f t="shared" si="175"/>
      </c>
      <c r="DE56" s="2765" t="str">
        <f t="shared" ref="DE56:DO56" si="176">IF(DE54=DE27,"TRUE","FALSE")</f>
      </c>
      <c r="DF56" s="2765" t="str">
        <f>IF(DF54=DF27,"TRUE","FALSE")</f>
      </c>
      <c r="DG56" s="2765" t="str">
        <f>IF(DG54=DG27,"TRUE","FALSE")</f>
      </c>
      <c r="DH56" s="2765" t="str">
        <f t="shared" si="176"/>
      </c>
      <c r="DI56" s="2765" t="str">
        <f t="shared" si="176"/>
      </c>
      <c r="DJ56" s="2765" t="str">
        <f t="shared" si="176"/>
      </c>
      <c r="DK56" s="2765" t="str">
        <f>IF(DK54=DK27,"TRUE","FALSE")</f>
      </c>
      <c r="DL56" s="2765" t="str">
        <f>IF(DL54=DL27,"TRUE","FALSE")</f>
      </c>
      <c r="DM56" s="2765" t="str">
        <f>IF(DM54=DM27,"TRUE","FALSE")</f>
      </c>
      <c r="DN56" s="2765" t="str">
        <f t="shared" si="176"/>
      </c>
      <c r="DO56" s="2765" t="str">
        <f t="shared" si="176"/>
      </c>
      <c r="DP56" s="2765" t="str">
        <f>IF(SUM(DP20:DP26)=DP27,"TRUE","FALSE")</f>
      </c>
      <c r="DQ56" s="2765" t="str">
        <f t="shared" ref="DQ56:DX56" si="177">IF(ROUND(SUM(DQ20:DQ26),0)=ROUND(DQ54,0),"TRUE","FALSE")</f>
      </c>
      <c r="DR56" s="2765" t="str">
        <f t="shared" si="177"/>
      </c>
      <c r="DS56" s="2765" t="str">
        <f t="shared" si="177"/>
      </c>
      <c r="DT56" s="2765" t="str">
        <f t="shared" si="177"/>
      </c>
      <c r="DU56" s="2765" t="str">
        <f t="shared" si="177"/>
      </c>
      <c r="DV56" s="2765" t="str">
        <f t="shared" si="177"/>
      </c>
      <c r="DW56" s="2765" t="str">
        <f t="shared" si="177"/>
      </c>
      <c r="DX56" s="2765" t="str">
        <f t="shared" si="177"/>
      </c>
      <c r="DY56" s="2765" t="str">
        <f t="shared" ref="DY56:EH56" si="178">IF(ROUND(SUM(DY20:DY26),0)=ROUND(DY54,0),"TRUE","FALSE")</f>
      </c>
      <c r="DZ56" s="2765" t="str">
        <f t="shared" si="178"/>
      </c>
      <c r="EA56" s="2765" t="str">
        <f t="shared" si="178"/>
      </c>
      <c r="EB56" s="2765" t="str">
        <f>IF(ROUND(SUM(EB20:EB26),0)=ROUND(EB54,0),"TRUE","FALSE")</f>
      </c>
      <c r="EC56" s="2765" t="str">
        <f t="shared" si="178"/>
      </c>
      <c r="ED56" s="2765" t="str">
        <f t="shared" si="178"/>
      </c>
      <c r="EE56" s="2765" t="str">
        <f t="shared" si="178"/>
      </c>
      <c r="EF56" s="2765" t="str">
        <f t="shared" si="178"/>
      </c>
      <c r="EG56" s="2765" t="str">
        <f t="shared" si="178"/>
      </c>
      <c r="EH56" s="2765" t="str">
        <f t="shared" si="178"/>
      </c>
      <c r="EI56" s="2765" t="str">
        <f t="shared" ref="EI56:FB56" si="179">IF(ROUND(SUM(EI20:EI26),0)=ROUND(EI54,0),"TRUE","FALSE")</f>
      </c>
      <c r="EJ56" s="2765" t="str">
        <f t="shared" si="179"/>
      </c>
      <c r="EK56" s="2765" t="str">
        <f t="shared" si="179"/>
      </c>
      <c r="EL56" s="2765" t="str">
        <f t="shared" si="179"/>
      </c>
      <c r="EM56" s="2765" t="str">
        <f t="shared" si="179"/>
      </c>
      <c r="EN56" s="2765" t="str">
        <f t="shared" si="179"/>
      </c>
      <c r="EO56" s="2765" t="str">
        <f t="shared" si="179"/>
      </c>
      <c r="EP56" s="2765" t="str">
        <f t="shared" si="179"/>
      </c>
      <c r="EQ56" s="2765" t="str">
        <f t="shared" si="179"/>
      </c>
      <c r="ER56" s="2765" t="str">
        <f t="shared" si="179"/>
      </c>
      <c r="ES56" s="2765" t="str">
        <f t="shared" si="179"/>
      </c>
      <c r="ET56" s="2765" t="str">
        <f t="shared" si="179"/>
      </c>
      <c r="EU56" s="2765" t="str">
        <f t="shared" ref="EU56:EW56" si="180">IF(ROUND(SUM(EU20:EU26),0)=ROUND(EU54,0),"TRUE","FALSE")</f>
      </c>
      <c r="EV56" s="2765" t="str">
        <f t="shared" si="180"/>
      </c>
      <c r="EW56" s="2765" t="str">
        <f t="shared" si="180"/>
      </c>
      <c r="EX56" s="2765" t="str">
        <f>IF(ROUND(SUM(EX20:EX26),0)=ROUND(EX54,0),"TRUE","FALSE")</f>
      </c>
      <c r="EY56" s="2765" t="str">
        <f t="shared" ref="EY56:EZ56" si="181">IF(ROUND(SUM(EY20:EY26),0)=ROUND(EY54,0),"TRUE","FALSE")</f>
      </c>
      <c r="EZ56" s="2765" t="str">
        <f t="shared" si="181"/>
      </c>
      <c r="FA56" s="2765" t="str">
        <f>IF(ROUND(SUM(FA20:FA26),0)=ROUND(FA54,0),"TRUE","FALSE")</f>
      </c>
      <c r="FB56" s="2765" t="str">
        <f t="shared" si="179"/>
      </c>
      <c r="FC56" s="2765" t="str">
        <f ca="1">IF(ROUND(SUM(FC20:FC26),0)=ROUND(FC54,0),"TRUE","FALSE")</f>
      </c>
      <c r="FD56" s="2765" t="str">
        <f ca="1">IF(ROUND(SUM(FD20:FD26),0)=ROUND(FD54,0),"TRUE","FALSE")</f>
      </c>
      <c r="FE56" s="2765" t="str">
        <f ca="1">IF(ROUND(SUM(FE20:FE26),0)=ROUND(FE54,0),"TRUE","FALSE")</f>
      </c>
      <c r="FF56" s="2765" t="str">
        <f ca="1">IF(ROUND(SUM(FF20:FF26),0)=ROUND(FF54,0),"TRUE","FALSE")</f>
      </c>
      <c r="FG56" s="2765" t="str">
        <f ca="1">IF(ROUND(SUM(FG20:FG26),0)=ROUND(FG54,0),"TRUE","FALSE")</f>
      </c>
    </row>
    <row r="57" spans="1:165" outlineLevel="1">
      <c r="A57" s="1"/>
      <c r="B57" s="2767"/>
      <c r="C57" s="2767"/>
      <c r="D57" s="2767"/>
      <c r="E57" s="2767"/>
      <c r="F57" s="2767"/>
      <c r="G57" s="2767"/>
      <c r="H57" s="2767"/>
      <c r="I57" s="2767"/>
      <c r="J57" s="2767"/>
      <c r="K57" s="2767"/>
      <c r="L57" s="2767"/>
      <c r="M57" s="2767"/>
      <c r="N57" s="2767"/>
      <c r="O57" s="2767"/>
      <c r="P57" s="2767"/>
      <c r="Q57" s="2767"/>
      <c r="R57" s="2767"/>
      <c r="S57" s="2767"/>
      <c r="T57" s="2767"/>
      <c r="U57" s="2767"/>
      <c r="V57" s="2767"/>
      <c r="W57" s="2767"/>
      <c r="X57" s="2767"/>
      <c r="Y57" s="2767"/>
      <c r="Z57" s="2767"/>
      <c r="AA57" s="2767"/>
      <c r="AB57" s="2767"/>
      <c r="AC57" s="2767"/>
      <c r="AD57" s="2767"/>
      <c r="AE57" s="2767"/>
      <c r="AF57" s="2767"/>
      <c r="AG57" s="2767"/>
      <c r="AH57" s="2767"/>
      <c r="AI57" s="2767"/>
      <c r="AJ57" s="2767"/>
      <c r="AK57" s="2767"/>
      <c r="AL57" s="2767"/>
      <c r="AM57" s="2767"/>
      <c r="AN57" s="2767"/>
      <c r="AO57" s="2767"/>
      <c r="AP57" s="2767"/>
      <c r="AQ57" s="2767"/>
      <c r="AR57" s="2767"/>
      <c r="AS57" s="2767"/>
      <c r="AT57" s="2767"/>
      <c r="AU57" s="2767"/>
      <c r="AV57" s="2767"/>
      <c r="AW57" s="2767"/>
      <c r="AX57" s="2767"/>
      <c r="AY57" s="2767"/>
      <c r="AZ57" s="2767"/>
      <c r="BA57" s="2767"/>
      <c r="BB57" s="2767"/>
      <c r="BC57" s="2767"/>
      <c r="BD57" s="2767"/>
      <c r="BE57" s="2767"/>
      <c r="BF57" s="2767"/>
      <c r="BG57" s="2767"/>
      <c r="BH57" s="2767"/>
      <c r="BI57" s="2767"/>
      <c r="BJ57" s="2767"/>
      <c r="BK57" s="2767"/>
      <c r="BL57" s="2767"/>
      <c r="BM57" s="2767"/>
      <c r="BN57" s="2767"/>
      <c r="BO57" s="2767"/>
      <c r="BP57" s="2767"/>
      <c r="BQ57" s="2767"/>
      <c r="BR57" s="2767"/>
      <c r="BS57" s="2767"/>
      <c r="BT57" s="2767"/>
      <c r="BU57" s="2767"/>
      <c r="BV57" s="2767"/>
      <c r="BW57" s="2767"/>
      <c r="BX57" s="2767"/>
      <c r="BY57" s="2767"/>
      <c r="BZ57" s="2767"/>
      <c r="CA57" s="2767"/>
      <c r="CB57" s="2767"/>
      <c r="CC57" s="2767"/>
      <c r="CD57" s="2767"/>
      <c r="CE57" s="2767"/>
      <c r="CF57" s="2767"/>
      <c r="CG57" s="2767"/>
      <c r="CH57" s="2767"/>
      <c r="CI57" s="2767"/>
      <c r="CJ57" s="2767"/>
      <c r="CK57" s="2767"/>
      <c r="CL57" s="2767"/>
      <c r="CM57" s="2767"/>
      <c r="CN57" s="2767"/>
      <c r="CO57" s="2767"/>
      <c r="CP57" s="2767"/>
      <c r="CQ57" s="2767"/>
      <c r="CR57" s="2767"/>
      <c r="CS57" s="2767"/>
      <c r="CT57" s="2767"/>
      <c r="CU57" s="2767"/>
      <c r="CV57" s="2767"/>
      <c r="CW57" s="2767"/>
      <c r="CX57" s="2767"/>
      <c r="CY57" s="2767"/>
      <c r="CZ57" s="2767"/>
      <c r="DA57" s="2767"/>
      <c r="DB57" s="2767"/>
      <c r="DC57" s="2767"/>
      <c r="DD57" s="2767"/>
      <c r="DE57" s="2767"/>
      <c r="DF57" s="2767"/>
      <c r="DG57" s="2767"/>
      <c r="DH57" s="2767"/>
      <c r="DI57" s="2767"/>
      <c r="DJ57" s="2767"/>
      <c r="DK57" s="2767"/>
      <c r="DL57" s="2767"/>
      <c r="DM57" s="2767"/>
      <c r="DN57" s="2767"/>
      <c r="DO57" s="2767"/>
      <c r="DP57" s="2767"/>
      <c r="DQ57" s="2768"/>
      <c r="DR57" s="2767"/>
      <c r="DS57" s="2767"/>
      <c r="DT57" s="2767"/>
      <c r="DU57" s="2767"/>
      <c r="DV57" s="2767"/>
      <c r="DW57" s="2767"/>
      <c r="DX57" s="2769"/>
      <c r="DY57" s="2769"/>
      <c r="DZ57" s="2769"/>
      <c r="EA57" s="2769"/>
      <c r="EB57" s="2769"/>
      <c r="EC57" s="2769"/>
      <c r="ED57" s="2769"/>
      <c r="EE57" s="2769"/>
      <c r="EF57" s="2769"/>
      <c r="EG57" s="2769"/>
      <c r="EH57" s="2769"/>
      <c r="EI57" s="2770"/>
      <c r="EJ57" s="2770"/>
      <c r="EK57" s="2770"/>
      <c r="EL57" s="2770"/>
      <c r="EM57" s="2770"/>
      <c r="EN57" s="2771"/>
      <c r="EO57" s="2771"/>
      <c r="EP57" s="3195"/>
      <c r="EQ57" s="2771">
        <f>EQ54-EQ27</f>
      </c>
      <c r="ER57" s="2771">
        <f t="shared" ref="ER57:ES57" si="182">ER54-ER27</f>
      </c>
      <c r="ES57" s="2771">
        <f t="shared" si="182"/>
      </c>
      <c r="ET57" s="3493">
        <f>ET54-ET27</f>
      </c>
      <c r="EU57" s="3493">
        <f t="shared" ref="EU57" si="183">EU54-EU27</f>
      </c>
      <c r="EV57" s="2771">
        <f>EV54-EV27</f>
      </c>
      <c r="EW57" s="2771">
        <f t="shared" ref="EW57" si="184">EW54-EW27</f>
      </c>
      <c r="EX57" s="3493">
        <f>EX54-EX27</f>
      </c>
      <c r="EY57" s="3493">
        <f>EY54-EY27</f>
      </c>
      <c r="EZ57" s="3943">
        <f t="shared" ref="EZ57" si="185">EZ54-EZ27</f>
      </c>
      <c r="FA57" s="3780">
        <f>FA54-FA27</f>
      </c>
      <c r="FB57" s="3780">
        <f t="shared" ref="FB57:FG57" si="186">FB54-FB27</f>
      </c>
      <c r="FC57" s="3780">
        <f t="shared" ca="1" si="186"/>
      </c>
      <c r="FD57" s="3780">
        <f t="shared" ca="1" si="186"/>
      </c>
      <c r="FE57" s="3780">
        <f t="shared" ca="1" si="186"/>
      </c>
      <c r="FF57" s="3780">
        <f t="shared" ca="1" si="186"/>
      </c>
      <c r="FG57" s="3780">
        <f t="shared" ca="1" si="186"/>
      </c>
      <c r="FH57" s="1175"/>
      <c r="FI57" s="1175"/>
    </row>
    <row r="58" spans="1:165" outlineLevel="1">
      <c r="A58" s="1"/>
      <c r="B58" s="769" t="s">
        <v>295</v>
      </c>
      <c r="C58" s="770"/>
      <c r="D58" s="770"/>
      <c r="E58" s="770"/>
      <c r="F58" s="770"/>
      <c r="G58" s="770"/>
      <c r="H58" s="770"/>
      <c r="I58" s="770"/>
      <c r="J58" s="770"/>
      <c r="K58" s="770"/>
      <c r="L58" s="770"/>
      <c r="M58" s="770"/>
      <c r="N58" s="755"/>
      <c r="O58" s="593"/>
      <c r="P58" s="593"/>
      <c r="Q58" s="593"/>
      <c r="R58" s="593"/>
      <c r="S58" s="593"/>
      <c r="T58" s="593"/>
      <c r="U58" s="593"/>
      <c r="V58" s="593"/>
      <c r="W58" s="593"/>
      <c r="X58" s="593"/>
      <c r="Y58" s="593"/>
      <c r="Z58" s="593"/>
      <c r="AA58" s="593"/>
      <c r="AB58" s="593"/>
      <c r="AC58" s="593"/>
      <c r="AD58" s="593"/>
      <c r="AE58" s="593"/>
      <c r="AF58" s="593"/>
      <c r="AG58" s="593"/>
      <c r="AH58" s="593"/>
      <c r="AI58" s="593"/>
      <c r="AJ58" s="593"/>
      <c r="AK58" s="593"/>
      <c r="AL58" s="593"/>
      <c r="AM58" s="593"/>
      <c r="AN58" s="593"/>
      <c r="AO58" s="593"/>
      <c r="AP58" s="593"/>
      <c r="AQ58" s="593"/>
      <c r="AR58" s="593"/>
      <c r="AS58" s="593"/>
      <c r="AT58" s="593"/>
      <c r="AU58" s="593"/>
      <c r="AV58" s="593"/>
      <c r="AW58" s="593"/>
      <c r="AX58" s="593"/>
      <c r="AY58" s="593"/>
      <c r="AZ58" s="593"/>
      <c r="BA58" s="593"/>
      <c r="BB58" s="593"/>
      <c r="BC58" s="593"/>
      <c r="BD58" s="593"/>
      <c r="BE58" s="593"/>
      <c r="BF58" s="593"/>
      <c r="BG58" s="593"/>
      <c r="BH58" s="593"/>
      <c r="BI58" s="593"/>
      <c r="BJ58" s="593"/>
      <c r="BK58" s="593"/>
      <c r="BL58" s="593"/>
      <c r="BM58" s="593"/>
      <c r="BN58" s="593"/>
      <c r="BO58" s="593"/>
      <c r="BP58" s="593"/>
      <c r="BQ58" s="593"/>
      <c r="BR58" s="593"/>
      <c r="BS58" s="593"/>
      <c r="BT58" s="593"/>
      <c r="BU58" s="771"/>
      <c r="BV58" s="593"/>
      <c r="BW58" s="593"/>
      <c r="BX58" s="593"/>
      <c r="BY58" s="593"/>
      <c r="BZ58" s="771"/>
      <c r="CA58" s="593"/>
      <c r="CB58" s="593"/>
      <c r="CC58" s="593"/>
      <c r="CD58" s="593"/>
      <c r="CE58" s="771"/>
      <c r="CF58" s="593"/>
      <c r="CG58" s="593"/>
      <c r="CH58" s="593"/>
      <c r="CI58" s="593"/>
      <c r="CJ58" s="771"/>
      <c r="CK58" s="593"/>
      <c r="CL58" s="593"/>
      <c r="CM58" s="593"/>
      <c r="CN58" s="593"/>
      <c r="CO58" s="771"/>
      <c r="CP58" s="593"/>
      <c r="CQ58" s="593"/>
      <c r="CR58" s="593"/>
      <c r="CS58" s="593"/>
      <c r="CT58" s="771"/>
      <c r="CU58" s="593"/>
      <c r="CV58" s="593"/>
      <c r="CW58" s="593"/>
      <c r="CX58" s="593"/>
      <c r="CY58" s="771"/>
      <c r="CZ58" s="593"/>
      <c r="DA58" s="593"/>
      <c r="DB58" s="593"/>
      <c r="DC58" s="593"/>
      <c r="DD58" s="771"/>
      <c r="DE58" s="593"/>
      <c r="DF58" s="1033"/>
      <c r="DG58" s="593"/>
      <c r="DH58" s="1033"/>
      <c r="DI58" s="1113"/>
      <c r="DJ58" s="1033"/>
      <c r="DK58" s="1033"/>
      <c r="DL58" s="1033"/>
      <c r="DM58" s="1033"/>
      <c r="DN58" s="1113"/>
      <c r="DO58" s="1124"/>
      <c r="DP58" s="1124"/>
      <c r="DQ58" s="1124"/>
      <c r="DR58" s="1124"/>
      <c r="DS58" s="1113"/>
      <c r="DT58" s="1124"/>
      <c r="DU58" s="1124"/>
      <c r="DV58" s="1124"/>
      <c r="DW58" s="1124"/>
      <c r="DX58" s="1113"/>
      <c r="DY58" s="1124"/>
      <c r="DZ58" s="1124"/>
      <c r="EA58" s="1124"/>
      <c r="EB58" s="1124"/>
      <c r="EC58" s="2714"/>
      <c r="ED58" s="1499"/>
      <c r="EE58" s="1499"/>
      <c r="EF58" s="1499"/>
      <c r="EG58" s="1499"/>
      <c r="EH58" s="2714"/>
      <c r="EI58" s="1499"/>
      <c r="EJ58" s="1499"/>
      <c r="EK58" s="1499"/>
      <c r="EL58" s="2042"/>
      <c r="EM58" s="1499"/>
      <c r="EN58" s="2503"/>
      <c r="EO58" s="2692"/>
      <c r="EP58" s="2692"/>
      <c r="EQ58" s="2042"/>
      <c r="ER58" s="3102"/>
      <c r="ES58" s="1499"/>
      <c r="ET58" s="2692"/>
      <c r="EU58" s="2692"/>
      <c r="EV58" s="2042"/>
      <c r="EW58" s="3102"/>
      <c r="EX58" s="2692"/>
      <c r="EY58" s="2692"/>
      <c r="EZ58" s="2692"/>
      <c r="FA58" s="2042"/>
      <c r="FB58" s="1287"/>
      <c r="FC58" s="1287"/>
      <c r="FD58" s="1287"/>
      <c r="FE58" s="1287"/>
      <c r="FF58" s="1287"/>
      <c r="FG58" s="1287"/>
    </row>
    <row r="59" spans="1:165" outlineLevel="1">
      <c r="A59" s="1"/>
      <c r="B59" s="108" t="s">
        <v>296</v>
      </c>
      <c r="C59" s="72"/>
      <c r="D59" s="72"/>
      <c r="E59" s="72"/>
      <c r="F59" s="72"/>
      <c r="G59" s="72"/>
      <c r="H59" s="72"/>
      <c r="I59" s="72"/>
      <c r="J59" s="72"/>
      <c r="K59" s="72"/>
      <c r="L59" s="72"/>
      <c r="M59" s="72"/>
      <c r="N59" s="68"/>
      <c r="O59" s="1"/>
      <c r="P59" s="1"/>
      <c r="Q59" s="1"/>
      <c r="R59" s="1"/>
      <c r="S59" s="1"/>
      <c r="T59" s="1"/>
      <c r="U59" s="1"/>
      <c r="V59" s="69">
        <f t="shared" ref="V59:BA59" si="187">+V16/V84*365</f>
      </c>
      <c r="W59" s="69">
        <f t="shared" si="187"/>
      </c>
      <c r="X59" s="69"/>
      <c r="Y59" s="69"/>
      <c r="Z59" s="69"/>
      <c r="AA59" s="69"/>
      <c r="AB59" s="69">
        <f t="shared" si="187"/>
      </c>
      <c r="AC59" s="69">
        <f t="shared" si="187"/>
      </c>
      <c r="AD59" s="69">
        <f t="shared" si="187"/>
      </c>
      <c r="AE59" s="69">
        <f t="shared" si="187"/>
      </c>
      <c r="AF59" s="69">
        <f t="shared" si="187"/>
      </c>
      <c r="AG59" s="69">
        <f t="shared" si="187"/>
      </c>
      <c r="AH59" s="69">
        <f t="shared" si="187"/>
      </c>
      <c r="AI59" s="69">
        <f t="shared" si="187"/>
      </c>
      <c r="AJ59" s="69">
        <f t="shared" si="187"/>
      </c>
      <c r="AK59" s="69">
        <f t="shared" si="187"/>
      </c>
      <c r="AL59" s="69">
        <f t="shared" si="187"/>
      </c>
      <c r="AM59" s="69">
        <f t="shared" si="187"/>
      </c>
      <c r="AN59" s="69">
        <f t="shared" si="187"/>
      </c>
      <c r="AO59" s="69">
        <f t="shared" si="187"/>
      </c>
      <c r="AP59" s="69">
        <f t="shared" si="187"/>
      </c>
      <c r="AQ59" s="69">
        <f t="shared" si="187"/>
      </c>
      <c r="AR59" s="69">
        <f t="shared" si="187"/>
      </c>
      <c r="AS59" s="69">
        <f t="shared" si="187"/>
      </c>
      <c r="AT59" s="69">
        <f t="shared" si="187"/>
      </c>
      <c r="AU59" s="69">
        <f t="shared" si="187"/>
      </c>
      <c r="AV59" s="69">
        <f t="shared" si="187"/>
      </c>
      <c r="AW59" s="69">
        <f t="shared" si="187"/>
      </c>
      <c r="AX59" s="69">
        <f t="shared" si="187"/>
      </c>
      <c r="AY59" s="69">
        <f t="shared" si="187"/>
      </c>
      <c r="AZ59" s="69">
        <f t="shared" si="187"/>
      </c>
      <c r="BA59" s="69">
        <f t="shared" si="187"/>
      </c>
      <c r="BB59" s="69">
        <f t="shared" ref="BB59:BU59" si="188">+BB16/BB84*365</f>
      </c>
      <c r="BC59" s="69">
        <f t="shared" si="188"/>
      </c>
      <c r="BD59" s="69">
        <f t="shared" si="188"/>
      </c>
      <c r="BE59" s="69">
        <f t="shared" si="188"/>
      </c>
      <c r="BF59" s="69">
        <f t="shared" si="188"/>
      </c>
      <c r="BG59" s="69">
        <f t="shared" si="188"/>
      </c>
      <c r="BH59" s="69">
        <f t="shared" si="188"/>
      </c>
      <c r="BI59" s="69">
        <f t="shared" si="188"/>
      </c>
      <c r="BJ59" s="69">
        <f t="shared" si="188"/>
      </c>
      <c r="BK59" s="69">
        <f t="shared" si="188"/>
      </c>
      <c r="BL59" s="69">
        <f t="shared" si="188"/>
      </c>
      <c r="BM59" s="69">
        <f t="shared" si="188"/>
      </c>
      <c r="BN59" s="69">
        <f t="shared" si="188"/>
      </c>
      <c r="BO59" s="69">
        <f t="shared" si="188"/>
      </c>
      <c r="BP59" s="69">
        <f t="shared" si="188"/>
      </c>
      <c r="BQ59" s="69">
        <f t="shared" si="188"/>
      </c>
      <c r="BR59" s="69">
        <f t="shared" si="188"/>
      </c>
      <c r="BS59" s="69">
        <f t="shared" si="188"/>
      </c>
      <c r="BT59" s="69">
        <f t="shared" si="188"/>
      </c>
      <c r="BU59" s="533">
        <f t="shared" si="188"/>
      </c>
      <c r="BV59" s="69">
        <f t="shared" ref="BV59:CE59" si="189">+BV16/BV84*365</f>
      </c>
      <c r="BW59" s="69">
        <f t="shared" si="189"/>
      </c>
      <c r="BX59" s="69">
        <f t="shared" si="189"/>
      </c>
      <c r="BY59" s="69">
        <f t="shared" si="189"/>
      </c>
      <c r="BZ59" s="533">
        <f t="shared" si="189"/>
      </c>
      <c r="CA59" s="69">
        <f t="shared" si="189"/>
      </c>
      <c r="CB59" s="69">
        <f t="shared" si="189"/>
      </c>
      <c r="CC59" s="69">
        <f t="shared" si="189"/>
      </c>
      <c r="CD59" s="69">
        <f t="shared" si="189"/>
      </c>
      <c r="CE59" s="533">
        <f t="shared" si="189"/>
      </c>
      <c r="CF59" s="69">
        <f t="shared" ref="CF59:CK59" si="190">+CF16/CF84*365</f>
      </c>
      <c r="CG59" s="69">
        <f t="shared" si="190"/>
      </c>
      <c r="CH59" s="69">
        <f t="shared" si="190"/>
      </c>
      <c r="CI59" s="69">
        <f t="shared" si="190"/>
      </c>
      <c r="CJ59" s="533">
        <f t="shared" si="190"/>
      </c>
      <c r="CK59" s="69">
        <f t="shared" si="190"/>
      </c>
      <c r="CL59" s="69">
        <f t="shared" ref="CL59:CW59" si="191">+CL16/CL84*365</f>
      </c>
      <c r="CM59" s="69">
        <f t="shared" si="191"/>
      </c>
      <c r="CN59" s="69">
        <f t="shared" si="191"/>
      </c>
      <c r="CO59" s="533">
        <f t="shared" si="191"/>
      </c>
      <c r="CP59" s="69">
        <f t="shared" si="191"/>
      </c>
      <c r="CQ59" s="69">
        <f t="shared" si="191"/>
      </c>
      <c r="CR59" s="69">
        <f t="shared" si="191"/>
      </c>
      <c r="CS59" s="69">
        <f t="shared" si="191"/>
      </c>
      <c r="CT59" s="533">
        <f t="shared" si="191"/>
      </c>
      <c r="CU59" s="69">
        <f t="shared" si="191"/>
      </c>
      <c r="CV59" s="69">
        <f t="shared" si="191"/>
      </c>
      <c r="CW59" s="69">
        <f t="shared" si="191"/>
      </c>
      <c r="CX59" s="69">
        <f t="shared" ref="CX59:DD59" si="192">+CX16/CX84*365</f>
      </c>
      <c r="CY59" s="533">
        <f t="shared" si="192"/>
      </c>
      <c r="CZ59" s="69">
        <f t="shared" si="192"/>
      </c>
      <c r="DA59" s="69">
        <f t="shared" si="192"/>
      </c>
      <c r="DB59" s="69">
        <f t="shared" si="192"/>
      </c>
      <c r="DC59" s="69">
        <f t="shared" si="192"/>
      </c>
      <c r="DD59" s="533">
        <f t="shared" si="192"/>
      </c>
      <c r="DE59" s="69">
        <f t="shared" ref="DE59:EF59" si="193">+DE16/DE84*365</f>
      </c>
      <c r="DF59" s="69">
        <f t="shared" si="193"/>
      </c>
      <c r="DG59" s="69">
        <f t="shared" si="193"/>
      </c>
      <c r="DH59" s="69">
        <f t="shared" si="193"/>
      </c>
      <c r="DI59" s="533">
        <f t="shared" si="193"/>
      </c>
      <c r="DJ59" s="69">
        <f t="shared" si="193"/>
      </c>
      <c r="DK59" s="69">
        <f t="shared" si="193"/>
      </c>
      <c r="DL59" s="69">
        <f t="shared" si="193"/>
      </c>
      <c r="DM59" s="69">
        <f t="shared" si="193"/>
      </c>
      <c r="DN59" s="533">
        <f t="shared" si="193"/>
      </c>
      <c r="DO59" s="1272">
        <f t="shared" si="193"/>
      </c>
      <c r="DP59" s="1272">
        <f t="shared" si="193"/>
      </c>
      <c r="DQ59" s="1272">
        <f t="shared" si="193"/>
      </c>
      <c r="DR59" s="69">
        <f t="shared" si="193"/>
      </c>
      <c r="DS59" s="533">
        <f t="shared" si="193"/>
      </c>
      <c r="DT59" s="1272">
        <f t="shared" si="193"/>
      </c>
      <c r="DU59" s="1272">
        <f t="shared" si="193"/>
      </c>
      <c r="DV59" s="1272">
        <f t="shared" si="193"/>
      </c>
      <c r="DW59" s="1272">
        <f t="shared" si="193"/>
      </c>
      <c r="DX59" s="533">
        <f t="shared" si="193"/>
      </c>
      <c r="DY59" s="1272">
        <f t="shared" si="193"/>
      </c>
      <c r="DZ59" s="1272">
        <f t="shared" si="193"/>
      </c>
      <c r="EA59" s="1272">
        <f t="shared" si="193"/>
      </c>
      <c r="EB59" s="1272">
        <f t="shared" si="193"/>
      </c>
      <c r="EC59" s="2717">
        <f t="shared" si="193"/>
      </c>
      <c r="ED59" s="1272">
        <f t="shared" si="193"/>
      </c>
      <c r="EE59" s="1272">
        <f t="shared" si="193"/>
      </c>
      <c r="EF59" s="1272">
        <f t="shared" si="193"/>
      </c>
      <c r="EG59" s="1272">
        <f t="shared" ref="EG59:EP59" si="194">+EG16/EG84*365</f>
      </c>
      <c r="EH59" s="2715">
        <f t="shared" si="194"/>
      </c>
      <c r="EI59" s="1272">
        <f t="shared" si="194"/>
      </c>
      <c r="EJ59" s="1272">
        <f t="shared" si="194"/>
      </c>
      <c r="EK59" s="1272">
        <f t="shared" si="194"/>
      </c>
      <c r="EL59" s="1272">
        <f t="shared" si="194"/>
      </c>
      <c r="EM59" s="2502">
        <f t="shared" si="194"/>
      </c>
      <c r="EN59" s="2569">
        <f t="shared" si="194"/>
      </c>
      <c r="EO59" s="1272">
        <f t="shared" si="194"/>
      </c>
      <c r="EP59" s="1272">
        <f t="shared" si="194"/>
      </c>
      <c r="EQ59" s="1272">
        <f t="shared" ref="EQ59" si="195">+EQ16/EQ84*365</f>
      </c>
      <c r="ER59" s="3103">
        <f>+ER16/ER84*365</f>
      </c>
      <c r="ES59" s="2569">
        <f t="shared" ref="ES59:EV59" si="196">+ES16/ES84*365</f>
      </c>
      <c r="ET59" s="1272">
        <f t="shared" si="196"/>
      </c>
      <c r="EU59" s="1272">
        <f t="shared" si="196"/>
      </c>
      <c r="EV59" s="1272">
        <f t="shared" si="196"/>
      </c>
      <c r="EW59" s="3103">
        <f>+EW16/EW84*365</f>
      </c>
      <c r="EX59" s="2569">
        <f t="shared" ref="EX59:EY59" si="197">+EX16/EX84*365</f>
      </c>
      <c r="EY59" s="1272">
        <f t="shared" si="197"/>
      </c>
      <c r="EZ59" s="686">
        <v>65</v>
      </c>
      <c r="FA59" s="2043">
        <v>65</v>
      </c>
      <c r="FB59" s="3103">
        <f>+FB16/FB84*365</f>
      </c>
      <c r="FC59" s="687">
        <v>65</v>
      </c>
      <c r="FD59" s="687">
        <v>65</v>
      </c>
      <c r="FE59" s="687">
        <v>65</v>
      </c>
      <c r="FF59" s="687">
        <v>65</v>
      </c>
      <c r="FG59" s="687">
        <v>65</v>
      </c>
    </row>
    <row r="60" spans="1:165" outlineLevel="1">
      <c r="A60" s="1"/>
      <c r="B60" s="108" t="s">
        <v>297</v>
      </c>
      <c r="C60" s="72"/>
      <c r="D60" s="72"/>
      <c r="E60" s="72"/>
      <c r="F60" s="72"/>
      <c r="G60" s="72"/>
      <c r="H60" s="72"/>
      <c r="I60" s="72"/>
      <c r="J60" s="72"/>
      <c r="K60" s="72"/>
      <c r="L60" s="72"/>
      <c r="M60" s="72"/>
      <c r="N60" s="68"/>
      <c r="O60" s="1"/>
      <c r="P60" s="1"/>
      <c r="Q60" s="1"/>
      <c r="R60" s="1"/>
      <c r="S60" s="1"/>
      <c r="T60" s="1"/>
      <c r="U60" s="1"/>
      <c r="V60" s="69">
        <f t="shared" ref="V60:BA60" si="198">+V17/V86*365</f>
      </c>
      <c r="W60" s="69">
        <f t="shared" si="198"/>
      </c>
      <c r="X60" s="69"/>
      <c r="Y60" s="69"/>
      <c r="Z60" s="69"/>
      <c r="AA60" s="69"/>
      <c r="AB60" s="69">
        <f t="shared" si="198"/>
      </c>
      <c r="AC60" s="69">
        <f t="shared" si="198"/>
      </c>
      <c r="AD60" s="69">
        <f t="shared" si="198"/>
      </c>
      <c r="AE60" s="69">
        <f t="shared" si="198"/>
      </c>
      <c r="AF60" s="69">
        <f t="shared" si="198"/>
      </c>
      <c r="AG60" s="69">
        <f t="shared" si="198"/>
      </c>
      <c r="AH60" s="69">
        <f t="shared" si="198"/>
      </c>
      <c r="AI60" s="69">
        <f t="shared" si="198"/>
      </c>
      <c r="AJ60" s="69">
        <f t="shared" si="198"/>
      </c>
      <c r="AK60" s="69">
        <f t="shared" si="198"/>
      </c>
      <c r="AL60" s="69">
        <f t="shared" si="198"/>
      </c>
      <c r="AM60" s="69">
        <f t="shared" si="198"/>
      </c>
      <c r="AN60" s="69">
        <f t="shared" si="198"/>
      </c>
      <c r="AO60" s="69">
        <f t="shared" si="198"/>
      </c>
      <c r="AP60" s="69">
        <f t="shared" si="198"/>
      </c>
      <c r="AQ60" s="69">
        <f t="shared" si="198"/>
      </c>
      <c r="AR60" s="69">
        <f t="shared" si="198"/>
      </c>
      <c r="AS60" s="69">
        <f t="shared" si="198"/>
      </c>
      <c r="AT60" s="69">
        <f t="shared" si="198"/>
      </c>
      <c r="AU60" s="69">
        <f t="shared" si="198"/>
      </c>
      <c r="AV60" s="69">
        <f t="shared" si="198"/>
      </c>
      <c r="AW60" s="69">
        <f t="shared" si="198"/>
      </c>
      <c r="AX60" s="69">
        <f t="shared" si="198"/>
      </c>
      <c r="AY60" s="69">
        <f t="shared" si="198"/>
      </c>
      <c r="AZ60" s="69">
        <f t="shared" si="198"/>
      </c>
      <c r="BA60" s="69">
        <f t="shared" si="198"/>
      </c>
      <c r="BB60" s="69">
        <f t="shared" ref="BB60:BU60" si="199">+BB17/BB86*365</f>
      </c>
      <c r="BC60" s="69">
        <f t="shared" si="199"/>
      </c>
      <c r="BD60" s="69">
        <f t="shared" si="199"/>
      </c>
      <c r="BE60" s="69">
        <f t="shared" si="199"/>
      </c>
      <c r="BF60" s="69">
        <f t="shared" si="199"/>
      </c>
      <c r="BG60" s="69">
        <f t="shared" si="199"/>
      </c>
      <c r="BH60" s="69">
        <f t="shared" si="199"/>
      </c>
      <c r="BI60" s="69">
        <f t="shared" si="199"/>
      </c>
      <c r="BJ60" s="69">
        <f t="shared" si="199"/>
      </c>
      <c r="BK60" s="69">
        <f t="shared" si="199"/>
      </c>
      <c r="BL60" s="69">
        <f t="shared" si="199"/>
      </c>
      <c r="BM60" s="69">
        <f t="shared" si="199"/>
      </c>
      <c r="BN60" s="69">
        <f t="shared" si="199"/>
      </c>
      <c r="BO60" s="69">
        <f t="shared" si="199"/>
      </c>
      <c r="BP60" s="69">
        <f t="shared" si="199"/>
      </c>
      <c r="BQ60" s="69">
        <f t="shared" si="199"/>
      </c>
      <c r="BR60" s="69">
        <f t="shared" si="199"/>
      </c>
      <c r="BS60" s="69">
        <f t="shared" si="199"/>
      </c>
      <c r="BT60" s="69">
        <f t="shared" si="199"/>
      </c>
      <c r="BU60" s="533">
        <f t="shared" si="199"/>
      </c>
      <c r="BV60" s="69">
        <f t="shared" ref="BV60:CE60" si="200">+BV17/BV86*365</f>
      </c>
      <c r="BW60" s="69">
        <f t="shared" si="200"/>
      </c>
      <c r="BX60" s="69">
        <f t="shared" si="200"/>
      </c>
      <c r="BY60" s="69">
        <f t="shared" si="200"/>
      </c>
      <c r="BZ60" s="533">
        <f t="shared" si="200"/>
      </c>
      <c r="CA60" s="69">
        <f t="shared" si="200"/>
      </c>
      <c r="CB60" s="69">
        <f t="shared" si="200"/>
      </c>
      <c r="CC60" s="69">
        <f t="shared" si="200"/>
      </c>
      <c r="CD60" s="69">
        <f t="shared" si="200"/>
      </c>
      <c r="CE60" s="533">
        <f t="shared" si="200"/>
      </c>
      <c r="CF60" s="69">
        <f t="shared" ref="CF60:CK60" si="201">+CF17/CF86*365</f>
      </c>
      <c r="CG60" s="69">
        <f t="shared" si="201"/>
      </c>
      <c r="CH60" s="69">
        <f t="shared" si="201"/>
      </c>
      <c r="CI60" s="69">
        <f t="shared" si="201"/>
      </c>
      <c r="CJ60" s="533">
        <f t="shared" si="201"/>
      </c>
      <c r="CK60" s="69">
        <f t="shared" si="201"/>
      </c>
      <c r="CL60" s="69">
        <f t="shared" ref="CL60:CW60" si="202">+CL17/CL86*365</f>
      </c>
      <c r="CM60" s="69">
        <f t="shared" si="202"/>
      </c>
      <c r="CN60" s="69">
        <f t="shared" si="202"/>
      </c>
      <c r="CO60" s="533">
        <f t="shared" si="202"/>
      </c>
      <c r="CP60" s="69">
        <f t="shared" si="202"/>
      </c>
      <c r="CQ60" s="69">
        <f t="shared" si="202"/>
      </c>
      <c r="CR60" s="69">
        <f t="shared" si="202"/>
      </c>
      <c r="CS60" s="69">
        <f t="shared" si="202"/>
      </c>
      <c r="CT60" s="533">
        <f t="shared" si="202"/>
      </c>
      <c r="CU60" s="69">
        <f t="shared" si="202"/>
      </c>
      <c r="CV60" s="69">
        <f t="shared" si="202"/>
      </c>
      <c r="CW60" s="69">
        <f t="shared" si="202"/>
      </c>
      <c r="CX60" s="69">
        <f t="shared" ref="CX60:DD60" si="203">+CX17/CX86*365</f>
      </c>
      <c r="CY60" s="533">
        <f t="shared" si="203"/>
      </c>
      <c r="CZ60" s="69">
        <f t="shared" si="203"/>
      </c>
      <c r="DA60" s="69">
        <f t="shared" si="203"/>
      </c>
      <c r="DB60" s="69">
        <f t="shared" si="203"/>
      </c>
      <c r="DC60" s="69">
        <f t="shared" si="203"/>
      </c>
      <c r="DD60" s="533">
        <f t="shared" si="203"/>
      </c>
      <c r="DE60" s="69">
        <f t="shared" ref="DE60:EF60" si="204">+DE17/DE86*365</f>
      </c>
      <c r="DF60" s="69">
        <f t="shared" si="204"/>
      </c>
      <c r="DG60" s="69">
        <f t="shared" si="204"/>
      </c>
      <c r="DH60" s="69">
        <f t="shared" si="204"/>
      </c>
      <c r="DI60" s="533">
        <f t="shared" si="204"/>
      </c>
      <c r="DJ60" s="69">
        <f t="shared" si="204"/>
      </c>
      <c r="DK60" s="69">
        <f t="shared" si="204"/>
      </c>
      <c r="DL60" s="69">
        <f t="shared" si="204"/>
      </c>
      <c r="DM60" s="69">
        <f t="shared" si="204"/>
      </c>
      <c r="DN60" s="533">
        <f t="shared" si="204"/>
      </c>
      <c r="DO60" s="1272">
        <f t="shared" si="204"/>
      </c>
      <c r="DP60" s="1272">
        <f t="shared" si="204"/>
      </c>
      <c r="DQ60" s="1272">
        <f t="shared" si="204"/>
      </c>
      <c r="DR60" s="69">
        <f t="shared" si="204"/>
      </c>
      <c r="DS60" s="533">
        <f t="shared" si="204"/>
      </c>
      <c r="DT60" s="1272">
        <f t="shared" si="204"/>
      </c>
      <c r="DU60" s="1272">
        <f t="shared" si="204"/>
      </c>
      <c r="DV60" s="1272">
        <f t="shared" si="204"/>
      </c>
      <c r="DW60" s="1272">
        <f t="shared" si="204"/>
      </c>
      <c r="DX60" s="533">
        <f t="shared" si="204"/>
      </c>
      <c r="DY60" s="1272">
        <f t="shared" si="204"/>
      </c>
      <c r="DZ60" s="1272">
        <f t="shared" si="204"/>
      </c>
      <c r="EA60" s="1272">
        <f t="shared" si="204"/>
      </c>
      <c r="EB60" s="1272">
        <f t="shared" si="204"/>
      </c>
      <c r="EC60" s="2717">
        <f t="shared" si="204"/>
      </c>
      <c r="ED60" s="1272">
        <f t="shared" si="204"/>
      </c>
      <c r="EE60" s="1272">
        <f t="shared" si="204"/>
      </c>
      <c r="EF60" s="1272">
        <f t="shared" si="204"/>
      </c>
      <c r="EG60" s="1272">
        <f t="shared" ref="EG60:EP60" si="205">+EG17/EG86*365</f>
      </c>
      <c r="EH60" s="2715">
        <f t="shared" si="205"/>
      </c>
      <c r="EI60" s="1272">
        <f t="shared" si="205"/>
      </c>
      <c r="EJ60" s="1272">
        <f t="shared" si="205"/>
      </c>
      <c r="EK60" s="1272">
        <f t="shared" si="205"/>
      </c>
      <c r="EL60" s="1272">
        <f t="shared" si="205"/>
      </c>
      <c r="EM60" s="2502">
        <f t="shared" si="205"/>
      </c>
      <c r="EN60" s="2569">
        <f t="shared" si="205"/>
      </c>
      <c r="EO60" s="1272">
        <f t="shared" si="205"/>
      </c>
      <c r="EP60" s="1272">
        <f t="shared" si="205"/>
      </c>
      <c r="EQ60" s="1272">
        <f t="shared" ref="EQ60" si="206">+EQ17/EQ86*365</f>
      </c>
      <c r="ER60" s="3104">
        <f>+ER17/ER86*365</f>
      </c>
      <c r="ES60" s="2569">
        <f t="shared" ref="ES60:EV60" si="207">+ES17/ES86*365</f>
      </c>
      <c r="ET60" s="1272">
        <f t="shared" si="207"/>
      </c>
      <c r="EU60" s="1272">
        <f t="shared" si="207"/>
      </c>
      <c r="EV60" s="1272">
        <f t="shared" si="207"/>
      </c>
      <c r="EW60" s="3104">
        <f>+EW17/EW86*365</f>
      </c>
      <c r="EX60" s="2569">
        <f t="shared" ref="EX60:EY60" si="208">+EX17/EX86*365</f>
      </c>
      <c r="EY60" s="1272">
        <f t="shared" si="208"/>
      </c>
      <c r="EZ60" s="686">
        <v>190</v>
      </c>
      <c r="FA60" s="2043">
        <f>EZ60</f>
      </c>
      <c r="FB60" s="3104">
        <f>+FB17/FB86*365</f>
      </c>
      <c r="FC60" s="687">
        <v>190</v>
      </c>
      <c r="FD60" s="687">
        <v>190</v>
      </c>
      <c r="FE60" s="687">
        <v>190</v>
      </c>
      <c r="FF60" s="687">
        <v>190</v>
      </c>
      <c r="FG60" s="687">
        <v>190</v>
      </c>
    </row>
    <row r="61" spans="1:165" outlineLevel="1">
      <c r="A61" s="1"/>
      <c r="B61" s="108" t="s">
        <v>298</v>
      </c>
      <c r="C61" s="72"/>
      <c r="D61" s="72"/>
      <c r="E61" s="72"/>
      <c r="F61" s="72"/>
      <c r="G61" s="72"/>
      <c r="H61" s="72"/>
      <c r="I61" s="72"/>
      <c r="J61" s="72"/>
      <c r="K61" s="72"/>
      <c r="L61" s="72"/>
      <c r="M61" s="72"/>
      <c r="N61" s="68"/>
      <c r="O61" s="1"/>
      <c r="P61" s="1"/>
      <c r="Q61" s="1"/>
      <c r="R61" s="1"/>
      <c r="S61" s="1"/>
      <c r="T61" s="1"/>
      <c r="U61" s="1"/>
      <c r="V61" s="69">
        <f t="shared" ref="V61:BA61" si="209">+V32/V86*365</f>
      </c>
      <c r="W61" s="69">
        <f t="shared" si="209"/>
      </c>
      <c r="X61" s="69"/>
      <c r="Y61" s="69"/>
      <c r="Z61" s="69"/>
      <c r="AA61" s="69"/>
      <c r="AB61" s="69">
        <f t="shared" si="209"/>
      </c>
      <c r="AC61" s="69">
        <f t="shared" si="209"/>
      </c>
      <c r="AD61" s="69">
        <f t="shared" si="209"/>
      </c>
      <c r="AE61" s="69">
        <f t="shared" si="209"/>
      </c>
      <c r="AF61" s="69">
        <f t="shared" si="209"/>
      </c>
      <c r="AG61" s="69">
        <f t="shared" si="209"/>
      </c>
      <c r="AH61" s="69">
        <f t="shared" si="209"/>
      </c>
      <c r="AI61" s="69">
        <f t="shared" si="209"/>
      </c>
      <c r="AJ61" s="69">
        <f t="shared" si="209"/>
      </c>
      <c r="AK61" s="69">
        <f t="shared" si="209"/>
      </c>
      <c r="AL61" s="69">
        <f t="shared" si="209"/>
      </c>
      <c r="AM61" s="69">
        <f t="shared" si="209"/>
      </c>
      <c r="AN61" s="69">
        <f t="shared" si="209"/>
      </c>
      <c r="AO61" s="69">
        <f t="shared" si="209"/>
      </c>
      <c r="AP61" s="69">
        <f t="shared" si="209"/>
      </c>
      <c r="AQ61" s="69">
        <f t="shared" si="209"/>
      </c>
      <c r="AR61" s="69">
        <f t="shared" si="209"/>
      </c>
      <c r="AS61" s="69">
        <f t="shared" si="209"/>
      </c>
      <c r="AT61" s="69">
        <f t="shared" si="209"/>
      </c>
      <c r="AU61" s="69">
        <f t="shared" si="209"/>
      </c>
      <c r="AV61" s="69">
        <f t="shared" si="209"/>
      </c>
      <c r="AW61" s="69">
        <f t="shared" si="209"/>
      </c>
      <c r="AX61" s="69">
        <f t="shared" si="209"/>
      </c>
      <c r="AY61" s="69">
        <f t="shared" si="209"/>
      </c>
      <c r="AZ61" s="69">
        <f t="shared" si="209"/>
      </c>
      <c r="BA61" s="69">
        <f t="shared" si="209"/>
      </c>
      <c r="BB61" s="69">
        <f t="shared" ref="BB61:BU61" si="210">+BB32/BB86*365</f>
      </c>
      <c r="BC61" s="69">
        <f t="shared" si="210"/>
      </c>
      <c r="BD61" s="69">
        <f t="shared" si="210"/>
      </c>
      <c r="BE61" s="69">
        <f t="shared" si="210"/>
      </c>
      <c r="BF61" s="69">
        <f t="shared" si="210"/>
      </c>
      <c r="BG61" s="69">
        <f t="shared" si="210"/>
      </c>
      <c r="BH61" s="69">
        <f t="shared" si="210"/>
      </c>
      <c r="BI61" s="69">
        <f t="shared" si="210"/>
      </c>
      <c r="BJ61" s="69">
        <f t="shared" si="210"/>
      </c>
      <c r="BK61" s="69">
        <f t="shared" si="210"/>
      </c>
      <c r="BL61" s="69">
        <f t="shared" si="210"/>
      </c>
      <c r="BM61" s="69">
        <f t="shared" si="210"/>
      </c>
      <c r="BN61" s="69">
        <f t="shared" si="210"/>
      </c>
      <c r="BO61" s="69">
        <f t="shared" si="210"/>
      </c>
      <c r="BP61" s="69">
        <f t="shared" si="210"/>
      </c>
      <c r="BQ61" s="69">
        <f t="shared" si="210"/>
      </c>
      <c r="BR61" s="69">
        <f t="shared" si="210"/>
      </c>
      <c r="BS61" s="69">
        <f t="shared" si="210"/>
      </c>
      <c r="BT61" s="69">
        <f t="shared" si="210"/>
      </c>
      <c r="BU61" s="533">
        <f t="shared" si="210"/>
      </c>
      <c r="BV61" s="69">
        <f t="shared" ref="BV61:CE61" si="211">+BV32/BV86*365</f>
      </c>
      <c r="BW61" s="69">
        <f t="shared" si="211"/>
      </c>
      <c r="BX61" s="69">
        <f t="shared" si="211"/>
      </c>
      <c r="BY61" s="69">
        <f t="shared" si="211"/>
      </c>
      <c r="BZ61" s="533">
        <f t="shared" si="211"/>
      </c>
      <c r="CA61" s="69">
        <f t="shared" si="211"/>
      </c>
      <c r="CB61" s="69">
        <f t="shared" si="211"/>
      </c>
      <c r="CC61" s="69">
        <f t="shared" si="211"/>
      </c>
      <c r="CD61" s="69">
        <f t="shared" si="211"/>
      </c>
      <c r="CE61" s="533">
        <f t="shared" si="211"/>
      </c>
      <c r="CF61" s="69">
        <f t="shared" ref="CF61:CK61" si="212">+CF32/CF86*365</f>
      </c>
      <c r="CG61" s="69">
        <f t="shared" si="212"/>
      </c>
      <c r="CH61" s="69">
        <f t="shared" si="212"/>
      </c>
      <c r="CI61" s="69">
        <f t="shared" si="212"/>
      </c>
      <c r="CJ61" s="533">
        <f t="shared" si="212"/>
      </c>
      <c r="CK61" s="69">
        <f t="shared" si="212"/>
      </c>
      <c r="CL61" s="69">
        <f t="shared" ref="CL61:CW61" si="213">+CL32/CL86*365</f>
      </c>
      <c r="CM61" s="69">
        <f t="shared" si="213"/>
      </c>
      <c r="CN61" s="69">
        <f t="shared" si="213"/>
      </c>
      <c r="CO61" s="533">
        <f t="shared" si="213"/>
      </c>
      <c r="CP61" s="69">
        <f t="shared" si="213"/>
      </c>
      <c r="CQ61" s="69">
        <f t="shared" si="213"/>
      </c>
      <c r="CR61" s="69">
        <f t="shared" si="213"/>
      </c>
      <c r="CS61" s="69">
        <f t="shared" si="213"/>
      </c>
      <c r="CT61" s="533">
        <f t="shared" si="213"/>
      </c>
      <c r="CU61" s="69">
        <f t="shared" si="213"/>
      </c>
      <c r="CV61" s="69">
        <f t="shared" si="213"/>
      </c>
      <c r="CW61" s="69">
        <f t="shared" si="213"/>
      </c>
      <c r="CX61" s="69">
        <f t="shared" ref="CX61:DD61" si="214">+CX32/CX86*365</f>
      </c>
      <c r="CY61" s="533">
        <f t="shared" si="214"/>
      </c>
      <c r="CZ61" s="69">
        <f t="shared" si="214"/>
      </c>
      <c r="DA61" s="69">
        <f t="shared" si="214"/>
      </c>
      <c r="DB61" s="69">
        <f t="shared" si="214"/>
      </c>
      <c r="DC61" s="69">
        <f t="shared" si="214"/>
      </c>
      <c r="DD61" s="533">
        <f t="shared" si="214"/>
      </c>
      <c r="DE61" s="69">
        <f t="shared" ref="DE61:EF61" si="215">+DE32/DE86*365</f>
      </c>
      <c r="DF61" s="69">
        <f t="shared" si="215"/>
      </c>
      <c r="DG61" s="69">
        <f t="shared" si="215"/>
      </c>
      <c r="DH61" s="69">
        <f t="shared" si="215"/>
      </c>
      <c r="DI61" s="533">
        <f t="shared" si="215"/>
      </c>
      <c r="DJ61" s="69">
        <f t="shared" si="215"/>
      </c>
      <c r="DK61" s="69">
        <f t="shared" si="215"/>
      </c>
      <c r="DL61" s="69">
        <f t="shared" si="215"/>
      </c>
      <c r="DM61" s="69">
        <f t="shared" si="215"/>
      </c>
      <c r="DN61" s="533">
        <f t="shared" si="215"/>
      </c>
      <c r="DO61" s="1272">
        <f t="shared" si="215"/>
      </c>
      <c r="DP61" s="1272">
        <f t="shared" si="215"/>
      </c>
      <c r="DQ61" s="1272">
        <f t="shared" si="215"/>
      </c>
      <c r="DR61" s="69">
        <f t="shared" si="215"/>
      </c>
      <c r="DS61" s="533">
        <f t="shared" si="215"/>
      </c>
      <c r="DT61" s="1272">
        <f t="shared" si="215"/>
      </c>
      <c r="DU61" s="1272">
        <f t="shared" si="215"/>
      </c>
      <c r="DV61" s="1272">
        <f t="shared" si="215"/>
      </c>
      <c r="DW61" s="1272">
        <f t="shared" si="215"/>
      </c>
      <c r="DX61" s="533">
        <f t="shared" si="215"/>
      </c>
      <c r="DY61" s="1272">
        <f t="shared" si="215"/>
      </c>
      <c r="DZ61" s="1272">
        <f t="shared" si="215"/>
      </c>
      <c r="EA61" s="1272">
        <f t="shared" si="215"/>
      </c>
      <c r="EB61" s="1272">
        <f t="shared" si="215"/>
      </c>
      <c r="EC61" s="2717">
        <f t="shared" si="215"/>
      </c>
      <c r="ED61" s="1272">
        <f t="shared" si="215"/>
      </c>
      <c r="EE61" s="1272">
        <f t="shared" si="215"/>
      </c>
      <c r="EF61" s="1272">
        <f t="shared" si="215"/>
      </c>
      <c r="EG61" s="1272">
        <f t="shared" ref="EG61:EP61" si="216">+EG32/EG86*365</f>
      </c>
      <c r="EH61" s="2715">
        <f t="shared" si="216"/>
      </c>
      <c r="EI61" s="1272">
        <f t="shared" si="216"/>
      </c>
      <c r="EJ61" s="1272">
        <f t="shared" si="216"/>
      </c>
      <c r="EK61" s="1272">
        <f t="shared" si="216"/>
      </c>
      <c r="EL61" s="1272">
        <f t="shared" si="216"/>
      </c>
      <c r="EM61" s="2502">
        <f t="shared" si="216"/>
      </c>
      <c r="EN61" s="2569">
        <f t="shared" si="216"/>
      </c>
      <c r="EO61" s="1272">
        <f t="shared" si="216"/>
      </c>
      <c r="EP61" s="1272">
        <f t="shared" si="216"/>
      </c>
      <c r="EQ61" s="1272">
        <f t="shared" ref="EQ61" si="217">+EQ32/EQ86*365</f>
      </c>
      <c r="ER61" s="3104">
        <f>+ER32/ER86*365</f>
      </c>
      <c r="ES61" s="2569">
        <f t="shared" ref="ES61:EV61" si="218">+ES32/ES86*365</f>
      </c>
      <c r="ET61" s="1272">
        <f t="shared" si="218"/>
      </c>
      <c r="EU61" s="1272">
        <f t="shared" si="218"/>
      </c>
      <c r="EV61" s="1272">
        <f t="shared" si="218"/>
      </c>
      <c r="EW61" s="3104">
        <f>+EW32/EW86*365</f>
      </c>
      <c r="EX61" s="2569">
        <f t="shared" ref="EX61:EY61" si="219">+EX32/EX86*365</f>
      </c>
      <c r="EY61" s="1272">
        <f t="shared" si="219"/>
      </c>
      <c r="EZ61" s="686">
        <v>150</v>
      </c>
      <c r="FA61" s="2043">
        <v>153</v>
      </c>
      <c r="FB61" s="3104">
        <f>+FB32/FB86*365</f>
      </c>
      <c r="FC61" s="687">
        <v>148</v>
      </c>
      <c r="FD61" s="687">
        <v>147</v>
      </c>
      <c r="FE61" s="687">
        <v>147</v>
      </c>
      <c r="FF61" s="687">
        <v>147</v>
      </c>
      <c r="FG61" s="687">
        <v>147</v>
      </c>
    </row>
    <row r="62" spans="1:165" outlineLevel="1">
      <c r="A62" s="1"/>
      <c r="B62" s="137" t="s">
        <v>26</v>
      </c>
      <c r="C62" s="112"/>
      <c r="D62" s="112"/>
      <c r="E62" s="112"/>
      <c r="F62" s="112"/>
      <c r="G62" s="112"/>
      <c r="H62" s="112"/>
      <c r="I62" s="112"/>
      <c r="J62" s="112"/>
      <c r="K62" s="112"/>
      <c r="L62" s="112"/>
      <c r="M62" s="112"/>
      <c r="N62" s="2"/>
      <c r="O62" s="70"/>
      <c r="P62" s="70"/>
      <c r="Q62" s="70"/>
      <c r="R62" s="70"/>
      <c r="S62" s="70"/>
      <c r="T62" s="70"/>
      <c r="U62" s="70"/>
      <c r="V62" s="71">
        <f>+V59+V60-V61</f>
      </c>
      <c r="W62" s="71">
        <f t="shared" ref="W62:DA62" si="220">+W59+W60-W61</f>
      </c>
      <c r="X62" s="71"/>
      <c r="Y62" s="71"/>
      <c r="Z62" s="71"/>
      <c r="AA62" s="71"/>
      <c r="AB62" s="71">
        <f t="shared" si="220"/>
      </c>
      <c r="AC62" s="71">
        <f t="shared" si="220"/>
      </c>
      <c r="AD62" s="71">
        <f t="shared" si="220"/>
      </c>
      <c r="AE62" s="71">
        <f t="shared" si="220"/>
      </c>
      <c r="AF62" s="71">
        <f t="shared" si="220"/>
      </c>
      <c r="AG62" s="71">
        <f t="shared" si="220"/>
      </c>
      <c r="AH62" s="71">
        <f t="shared" si="220"/>
      </c>
      <c r="AI62" s="71">
        <f t="shared" si="220"/>
      </c>
      <c r="AJ62" s="71">
        <f t="shared" si="220"/>
      </c>
      <c r="AK62" s="71">
        <f t="shared" si="220"/>
      </c>
      <c r="AL62" s="71">
        <f t="shared" si="220"/>
      </c>
      <c r="AM62" s="71">
        <f t="shared" si="220"/>
      </c>
      <c r="AN62" s="71">
        <f t="shared" si="220"/>
      </c>
      <c r="AO62" s="71">
        <f t="shared" si="220"/>
      </c>
      <c r="AP62" s="71">
        <f t="shared" si="220"/>
      </c>
      <c r="AQ62" s="71">
        <f t="shared" si="220"/>
      </c>
      <c r="AR62" s="71">
        <f t="shared" si="220"/>
      </c>
      <c r="AS62" s="71">
        <f t="shared" si="220"/>
      </c>
      <c r="AT62" s="71">
        <f t="shared" si="220"/>
      </c>
      <c r="AU62" s="71">
        <f t="shared" si="220"/>
      </c>
      <c r="AV62" s="71">
        <f t="shared" si="220"/>
      </c>
      <c r="AW62" s="71">
        <f t="shared" si="220"/>
      </c>
      <c r="AX62" s="71">
        <f t="shared" si="220"/>
      </c>
      <c r="AY62" s="71">
        <f t="shared" si="220"/>
      </c>
      <c r="AZ62" s="71">
        <f t="shared" si="220"/>
      </c>
      <c r="BA62" s="71">
        <f t="shared" si="220"/>
      </c>
      <c r="BB62" s="71">
        <f t="shared" si="220"/>
      </c>
      <c r="BC62" s="71">
        <f t="shared" si="220"/>
      </c>
      <c r="BD62" s="71">
        <f t="shared" si="220"/>
      </c>
      <c r="BE62" s="71">
        <f t="shared" si="220"/>
      </c>
      <c r="BF62" s="71">
        <f t="shared" si="220"/>
      </c>
      <c r="BG62" s="71">
        <f t="shared" si="220"/>
      </c>
      <c r="BH62" s="71">
        <f t="shared" si="220"/>
      </c>
      <c r="BI62" s="71">
        <f t="shared" si="220"/>
      </c>
      <c r="BJ62" s="71">
        <f t="shared" si="220"/>
      </c>
      <c r="BK62" s="71">
        <f t="shared" si="220"/>
      </c>
      <c r="BL62" s="71">
        <f t="shared" si="220"/>
      </c>
      <c r="BM62" s="71">
        <f t="shared" si="220"/>
      </c>
      <c r="BN62" s="71">
        <f t="shared" si="220"/>
      </c>
      <c r="BO62" s="71">
        <f t="shared" si="220"/>
      </c>
      <c r="BP62" s="71">
        <f t="shared" si="220"/>
      </c>
      <c r="BQ62" s="71">
        <f t="shared" si="220"/>
      </c>
      <c r="BR62" s="71">
        <f t="shared" si="220"/>
      </c>
      <c r="BS62" s="71">
        <f t="shared" si="220"/>
      </c>
      <c r="BT62" s="71">
        <f t="shared" si="220"/>
      </c>
      <c r="BU62" s="534">
        <f t="shared" si="220"/>
      </c>
      <c r="BV62" s="71">
        <f>+BV59+BV60-BV61</f>
      </c>
      <c r="BW62" s="71">
        <f>+BW59+BW60-BW61</f>
      </c>
      <c r="BX62" s="71">
        <f t="shared" si="220"/>
      </c>
      <c r="BY62" s="71">
        <f t="shared" si="220"/>
      </c>
      <c r="BZ62" s="534">
        <f t="shared" si="220"/>
      </c>
      <c r="CA62" s="71">
        <f t="shared" ref="CA62:CH62" si="221">+CA59+CA60-CA61</f>
      </c>
      <c r="CB62" s="71">
        <f t="shared" si="221"/>
      </c>
      <c r="CC62" s="71">
        <f t="shared" si="221"/>
      </c>
      <c r="CD62" s="71">
        <f t="shared" si="221"/>
      </c>
      <c r="CE62" s="534">
        <f t="shared" si="221"/>
      </c>
      <c r="CF62" s="71">
        <f t="shared" si="221"/>
      </c>
      <c r="CG62" s="71">
        <f t="shared" si="221"/>
      </c>
      <c r="CH62" s="71">
        <f t="shared" si="221"/>
      </c>
      <c r="CI62" s="71">
        <f>+CI59+CI60-CI61</f>
      </c>
      <c r="CJ62" s="534">
        <f t="shared" si="220"/>
      </c>
      <c r="CK62" s="71">
        <f t="shared" si="220"/>
      </c>
      <c r="CL62" s="71">
        <f t="shared" si="220"/>
      </c>
      <c r="CM62" s="71">
        <f t="shared" ref="CM62:CW62" si="222">+CM59+CM60-CM61</f>
      </c>
      <c r="CN62" s="71">
        <f t="shared" si="222"/>
      </c>
      <c r="CO62" s="534">
        <f t="shared" si="222"/>
      </c>
      <c r="CP62" s="71">
        <f t="shared" si="222"/>
      </c>
      <c r="CQ62" s="71">
        <f t="shared" si="222"/>
      </c>
      <c r="CR62" s="71">
        <f t="shared" si="222"/>
      </c>
      <c r="CS62" s="71">
        <f t="shared" si="222"/>
      </c>
      <c r="CT62" s="534">
        <f t="shared" si="222"/>
      </c>
      <c r="CU62" s="71">
        <f t="shared" si="222"/>
      </c>
      <c r="CV62" s="71">
        <f t="shared" si="222"/>
      </c>
      <c r="CW62" s="71">
        <f t="shared" si="222"/>
      </c>
      <c r="CX62" s="71">
        <f>+CX59+CX60-CX61</f>
      </c>
      <c r="CY62" s="534">
        <f>+CY59+CY60-CY61</f>
      </c>
      <c r="CZ62" s="71">
        <f>+CZ59+CZ60-CZ61</f>
      </c>
      <c r="DA62" s="71">
        <f t="shared" si="220"/>
      </c>
      <c r="DB62" s="71">
        <f t="shared" ref="DB62:DG62" si="223">+DB59+DB60-DB61</f>
      </c>
      <c r="DC62" s="71">
        <f t="shared" si="223"/>
      </c>
      <c r="DD62" s="534">
        <f t="shared" si="223"/>
      </c>
      <c r="DE62" s="71">
        <f t="shared" si="223"/>
      </c>
      <c r="DF62" s="71">
        <f t="shared" si="223"/>
      </c>
      <c r="DG62" s="71">
        <f t="shared" si="223"/>
      </c>
      <c r="DH62" s="71">
        <f t="shared" ref="DH62:ER62" si="224">+DH59+DH60-DH61</f>
      </c>
      <c r="DI62" s="534">
        <f t="shared" si="224"/>
      </c>
      <c r="DJ62" s="71">
        <f t="shared" si="224"/>
      </c>
      <c r="DK62" s="71">
        <f t="shared" si="224"/>
      </c>
      <c r="DL62" s="71">
        <f t="shared" si="224"/>
      </c>
      <c r="DM62" s="71">
        <f t="shared" si="224"/>
      </c>
      <c r="DN62" s="534">
        <f t="shared" si="224"/>
      </c>
      <c r="DO62" s="1273">
        <f t="shared" si="224"/>
      </c>
      <c r="DP62" s="1273">
        <f t="shared" si="224"/>
      </c>
      <c r="DQ62" s="1273">
        <f t="shared" si="224"/>
      </c>
      <c r="DR62" s="71">
        <f t="shared" si="224"/>
      </c>
      <c r="DS62" s="534">
        <f t="shared" si="224"/>
      </c>
      <c r="DT62" s="1273">
        <f t="shared" si="224"/>
      </c>
      <c r="DU62" s="1273">
        <f t="shared" si="224"/>
      </c>
      <c r="DV62" s="1273">
        <f t="shared" si="224"/>
      </c>
      <c r="DW62" s="1273">
        <f t="shared" si="224"/>
      </c>
      <c r="DX62" s="534">
        <f t="shared" si="224"/>
      </c>
      <c r="DY62" s="1273">
        <f t="shared" si="224"/>
      </c>
      <c r="DZ62" s="1273">
        <f t="shared" si="224"/>
      </c>
      <c r="EA62" s="1273">
        <f t="shared" si="224"/>
      </c>
      <c r="EB62" s="1273">
        <f t="shared" si="224"/>
      </c>
      <c r="EC62" s="2718">
        <f t="shared" si="224"/>
      </c>
      <c r="ED62" s="1273">
        <f t="shared" si="224"/>
      </c>
      <c r="EE62" s="1273">
        <f t="shared" si="224"/>
      </c>
      <c r="EF62" s="1273">
        <f t="shared" si="224"/>
      </c>
      <c r="EG62" s="1273">
        <f t="shared" si="224"/>
      </c>
      <c r="EH62" s="2716">
        <f t="shared" si="224"/>
      </c>
      <c r="EI62" s="1273">
        <f t="shared" si="224"/>
      </c>
      <c r="EJ62" s="1273">
        <f>+EJ59+EJ60-EJ61</f>
      </c>
      <c r="EK62" s="1273">
        <f t="shared" si="224"/>
      </c>
      <c r="EL62" s="1273">
        <f>+EL59+EL60-EL61</f>
      </c>
      <c r="EM62" s="1559">
        <f>+EM59+EM60-EM61</f>
      </c>
      <c r="EN62" s="2504">
        <f>+EN59+EN60-EN61</f>
      </c>
      <c r="EO62" s="2146">
        <f>+EO59+EO60-EO61</f>
      </c>
      <c r="EP62" s="1273">
        <f>+EP59+EP60-EP61</f>
      </c>
      <c r="EQ62" s="2044">
        <f t="shared" si="224"/>
      </c>
      <c r="ER62" s="3105">
        <f t="shared" si="224"/>
      </c>
      <c r="ES62" s="2504">
        <f t="shared" ref="ES62:FA62" si="225">+ES59+ES60-ES61</f>
      </c>
      <c r="ET62" s="3494">
        <f t="shared" si="225"/>
      </c>
      <c r="EU62" s="1273">
        <f>+EU59+EU60-EU61</f>
      </c>
      <c r="EV62" s="2044">
        <f t="shared" ref="EV62:EY62" si="226">+EV59+EV60-EV61</f>
      </c>
      <c r="EW62" s="3105">
        <f t="shared" si="226"/>
      </c>
      <c r="EX62" s="2504">
        <f t="shared" si="226"/>
      </c>
      <c r="EY62" s="3494">
        <f t="shared" si="226"/>
      </c>
      <c r="EZ62" s="2146">
        <f t="shared" si="225"/>
      </c>
      <c r="FA62" s="2044">
        <f t="shared" si="225"/>
      </c>
      <c r="FB62" s="3105">
        <f t="shared" ref="FB62" si="227">+FB59+FB60-FB61</f>
      </c>
      <c r="FC62" s="1316">
        <f>+FC59+FC60-FC61</f>
      </c>
      <c r="FD62" s="1316">
        <f>+FD59+FD60-FD61</f>
      </c>
      <c r="FE62" s="1316">
        <f>+FE59+FE60-FE61</f>
      </c>
      <c r="FF62" s="1316">
        <f>+FF59+FF60-FF61</f>
      </c>
      <c r="FG62" s="1316">
        <f>+FG59+FG60-FG61</f>
      </c>
    </row>
    <row r="63" spans="1:165" outlineLevel="1">
      <c r="A63" s="1"/>
      <c r="B63" s="72"/>
      <c r="C63" s="72"/>
      <c r="D63" s="72"/>
      <c r="E63" s="72"/>
      <c r="F63" s="72"/>
      <c r="G63" s="72"/>
      <c r="H63" s="72"/>
      <c r="I63" s="72"/>
      <c r="J63" s="72"/>
      <c r="K63" s="72"/>
      <c r="L63" s="72"/>
      <c r="M63" s="72"/>
      <c r="N63" s="68"/>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1"/>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1045"/>
      <c r="DP63" s="1045"/>
      <c r="DQ63" s="1045"/>
      <c r="DR63" s="73"/>
      <c r="DS63" s="73"/>
      <c r="DT63" s="1045"/>
      <c r="DU63" s="1045"/>
      <c r="DV63" s="1045"/>
      <c r="DW63" s="1045"/>
      <c r="DX63" s="73"/>
      <c r="DY63" s="1045"/>
      <c r="DZ63" s="1045"/>
      <c r="EA63" s="1045"/>
      <c r="EB63" s="1045"/>
      <c r="EC63" s="73"/>
      <c r="ED63" s="1045"/>
      <c r="EE63" s="1045"/>
      <c r="EF63" s="1045"/>
      <c r="EG63" s="1045"/>
      <c r="EH63" s="1045"/>
      <c r="EI63" s="1045"/>
      <c r="EJ63" s="1045"/>
      <c r="EK63" s="1045"/>
      <c r="EL63" s="1045"/>
      <c r="EM63" s="73"/>
      <c r="EN63" s="1045"/>
      <c r="EO63" s="1045"/>
      <c r="EP63" s="1045"/>
      <c r="EQ63" s="1045"/>
      <c r="ER63" s="1045"/>
      <c r="ES63" s="1045"/>
      <c r="ET63" s="1045"/>
      <c r="EU63" s="1045"/>
      <c r="EV63" s="1045"/>
      <c r="EW63" s="1045"/>
      <c r="EX63" s="1045"/>
      <c r="EY63" s="1045"/>
      <c r="EZ63" s="1045"/>
      <c r="FA63" s="1045"/>
      <c r="FB63" s="1045"/>
      <c r="FC63" s="1045"/>
      <c r="FD63" s="1045"/>
      <c r="FE63" s="1045"/>
      <c r="FF63" s="1045"/>
      <c r="FG63" s="1045"/>
    </row>
    <row r="64" spans="1:165" outlineLevel="1">
      <c r="A64" s="1"/>
      <c r="B64" s="769" t="s">
        <v>374</v>
      </c>
      <c r="C64" s="770"/>
      <c r="D64" s="770"/>
      <c r="E64" s="770"/>
      <c r="F64" s="770"/>
      <c r="G64" s="770"/>
      <c r="H64" s="770"/>
      <c r="I64" s="770"/>
      <c r="J64" s="770"/>
      <c r="K64" s="770"/>
      <c r="L64" s="770"/>
      <c r="M64" s="770"/>
      <c r="N64" s="755"/>
      <c r="O64" s="772"/>
      <c r="P64" s="772"/>
      <c r="Q64" s="772"/>
      <c r="R64" s="772"/>
      <c r="S64" s="772"/>
      <c r="T64" s="772"/>
      <c r="U64" s="772"/>
      <c r="V64" s="772"/>
      <c r="W64" s="772"/>
      <c r="X64" s="772"/>
      <c r="Y64" s="772"/>
      <c r="Z64" s="772"/>
      <c r="AA64" s="772"/>
      <c r="AB64" s="772"/>
      <c r="AC64" s="772"/>
      <c r="AD64" s="772"/>
      <c r="AE64" s="772"/>
      <c r="AF64" s="772"/>
      <c r="AG64" s="772"/>
      <c r="AH64" s="772"/>
      <c r="AI64" s="772"/>
      <c r="AJ64" s="772"/>
      <c r="AK64" s="772"/>
      <c r="AL64" s="772"/>
      <c r="AM64" s="772"/>
      <c r="AN64" s="772"/>
      <c r="AO64" s="772"/>
      <c r="AP64" s="772"/>
      <c r="AQ64" s="772"/>
      <c r="AR64" s="772"/>
      <c r="AS64" s="772"/>
      <c r="AT64" s="772"/>
      <c r="AU64" s="772"/>
      <c r="AV64" s="772"/>
      <c r="AW64" s="772"/>
      <c r="AX64" s="772"/>
      <c r="AY64" s="772"/>
      <c r="AZ64" s="772"/>
      <c r="BA64" s="772"/>
      <c r="BB64" s="772"/>
      <c r="BC64" s="772"/>
      <c r="BD64" s="772"/>
      <c r="BE64" s="772"/>
      <c r="BF64" s="772"/>
      <c r="BG64" s="772"/>
      <c r="BH64" s="772"/>
      <c r="BI64" s="772"/>
      <c r="BJ64" s="772"/>
      <c r="BK64" s="772"/>
      <c r="BL64" s="772"/>
      <c r="BM64" s="772"/>
      <c r="BN64" s="772"/>
      <c r="BO64" s="772"/>
      <c r="BP64" s="772"/>
      <c r="BQ64" s="772"/>
      <c r="BR64" s="772"/>
      <c r="BS64" s="772"/>
      <c r="BT64" s="772"/>
      <c r="BU64" s="773"/>
      <c r="BV64" s="772"/>
      <c r="BW64" s="772"/>
      <c r="BX64" s="772"/>
      <c r="BY64" s="772"/>
      <c r="BZ64" s="773"/>
      <c r="CA64" s="772"/>
      <c r="CB64" s="772"/>
      <c r="CC64" s="772"/>
      <c r="CD64" s="772"/>
      <c r="CE64" s="773"/>
      <c r="CF64" s="772"/>
      <c r="CG64" s="772"/>
      <c r="CH64" s="772"/>
      <c r="CI64" s="772"/>
      <c r="CJ64" s="773"/>
      <c r="CK64" s="772"/>
      <c r="CL64" s="772"/>
      <c r="CM64" s="772"/>
      <c r="CN64" s="772"/>
      <c r="CO64" s="773"/>
      <c r="CP64" s="772"/>
      <c r="CQ64" s="772"/>
      <c r="CR64" s="772"/>
      <c r="CS64" s="772"/>
      <c r="CT64" s="773"/>
      <c r="CU64" s="772"/>
      <c r="CV64" s="772"/>
      <c r="CW64" s="772"/>
      <c r="CX64" s="772"/>
      <c r="CY64" s="773"/>
      <c r="CZ64" s="772"/>
      <c r="DA64" s="772"/>
      <c r="DB64" s="772"/>
      <c r="DC64" s="772"/>
      <c r="DD64" s="773"/>
      <c r="DE64" s="772"/>
      <c r="DF64" s="772"/>
      <c r="DG64" s="772"/>
      <c r="DH64" s="772"/>
      <c r="DI64" s="773"/>
      <c r="DJ64" s="772"/>
      <c r="DK64" s="772"/>
      <c r="DL64" s="772"/>
      <c r="DM64" s="772"/>
      <c r="DN64" s="773"/>
      <c r="DO64" s="1274"/>
      <c r="DP64" s="1274"/>
      <c r="DQ64" s="1274"/>
      <c r="DR64" s="772"/>
      <c r="DS64" s="773"/>
      <c r="DT64" s="1274"/>
      <c r="DU64" s="1274"/>
      <c r="DV64" s="1274"/>
      <c r="DW64" s="1274"/>
      <c r="DX64" s="773"/>
      <c r="DY64" s="1274"/>
      <c r="DZ64" s="1274"/>
      <c r="EA64" s="1274"/>
      <c r="EB64" s="1274"/>
      <c r="EC64" s="2719"/>
      <c r="ED64" s="1274"/>
      <c r="EE64" s="1561"/>
      <c r="EF64" s="1561"/>
      <c r="EG64" s="1561"/>
      <c r="EH64" s="2721"/>
      <c r="EI64" s="1274"/>
      <c r="EJ64" s="1561"/>
      <c r="EK64" s="1561"/>
      <c r="EL64" s="1561"/>
      <c r="EM64" s="2505"/>
      <c r="EN64" s="2508"/>
      <c r="EO64" s="2693"/>
      <c r="EP64" s="2693"/>
      <c r="EQ64" s="2166"/>
      <c r="ER64" s="2045"/>
      <c r="ES64" s="2508"/>
      <c r="ET64" s="2693"/>
      <c r="EU64" s="2693"/>
      <c r="EV64" s="2166"/>
      <c r="EW64" s="2045"/>
      <c r="EX64" s="2508"/>
      <c r="EY64" s="2693"/>
      <c r="EZ64" s="1561"/>
      <c r="FA64" s="2166"/>
      <c r="FB64" s="2045"/>
      <c r="FC64" s="1317"/>
      <c r="FD64" s="1317"/>
      <c r="FE64" s="1317"/>
      <c r="FF64" s="1317"/>
      <c r="FG64" s="1317"/>
    </row>
    <row r="65" spans="1:163" outlineLevel="1">
      <c r="A65" s="1"/>
      <c r="B65" s="108" t="s">
        <v>375</v>
      </c>
      <c r="C65" s="72"/>
      <c r="D65" s="72"/>
      <c r="E65" s="72"/>
      <c r="F65" s="72"/>
      <c r="G65" s="72"/>
      <c r="H65" s="72"/>
      <c r="I65" s="72"/>
      <c r="J65" s="72"/>
      <c r="K65" s="72"/>
      <c r="L65" s="72"/>
      <c r="M65" s="72"/>
      <c r="N65" s="68"/>
      <c r="O65" s="73"/>
      <c r="P65" s="73"/>
      <c r="Q65" s="73"/>
      <c r="R65" s="73"/>
      <c r="S65" s="73"/>
      <c r="T65" s="73"/>
      <c r="U65" s="73"/>
      <c r="V65" s="41">
        <f t="shared" ref="V65:BA65" si="228">+(V14+V15)/V84</f>
      </c>
      <c r="W65" s="41">
        <f t="shared" si="228"/>
      </c>
      <c r="X65" s="41"/>
      <c r="Y65" s="41"/>
      <c r="Z65" s="41"/>
      <c r="AA65" s="41"/>
      <c r="AB65" s="41">
        <f t="shared" si="228"/>
      </c>
      <c r="AC65" s="41">
        <f t="shared" si="228"/>
      </c>
      <c r="AD65" s="41">
        <f t="shared" si="228"/>
      </c>
      <c r="AE65" s="41">
        <f t="shared" si="228"/>
      </c>
      <c r="AF65" s="41">
        <f t="shared" si="228"/>
      </c>
      <c r="AG65" s="41">
        <f t="shared" si="228"/>
      </c>
      <c r="AH65" s="41">
        <f t="shared" si="228"/>
      </c>
      <c r="AI65" s="41">
        <f t="shared" si="228"/>
      </c>
      <c r="AJ65" s="41">
        <f t="shared" si="228"/>
      </c>
      <c r="AK65" s="41">
        <f t="shared" si="228"/>
      </c>
      <c r="AL65" s="41">
        <f t="shared" si="228"/>
      </c>
      <c r="AM65" s="41">
        <f t="shared" si="228"/>
      </c>
      <c r="AN65" s="41">
        <f t="shared" si="228"/>
      </c>
      <c r="AO65" s="41">
        <f t="shared" si="228"/>
      </c>
      <c r="AP65" s="41">
        <f t="shared" si="228"/>
      </c>
      <c r="AQ65" s="41">
        <f t="shared" si="228"/>
      </c>
      <c r="AR65" s="41">
        <f t="shared" si="228"/>
      </c>
      <c r="AS65" s="41">
        <f t="shared" si="228"/>
      </c>
      <c r="AT65" s="41">
        <f t="shared" si="228"/>
      </c>
      <c r="AU65" s="41">
        <f t="shared" si="228"/>
      </c>
      <c r="AV65" s="41">
        <f t="shared" si="228"/>
      </c>
      <c r="AW65" s="41">
        <f t="shared" si="228"/>
      </c>
      <c r="AX65" s="41">
        <f t="shared" si="228"/>
      </c>
      <c r="AY65" s="41">
        <f t="shared" si="228"/>
      </c>
      <c r="AZ65" s="41">
        <f t="shared" si="228"/>
      </c>
      <c r="BA65" s="41">
        <f t="shared" si="228"/>
      </c>
      <c r="BB65" s="41">
        <f t="shared" ref="BB65:CO65" si="229">+(BB14+BB15)/BB84</f>
      </c>
      <c r="BC65" s="41">
        <f t="shared" si="229"/>
      </c>
      <c r="BD65" s="41">
        <f t="shared" si="229"/>
      </c>
      <c r="BE65" s="41">
        <f t="shared" si="229"/>
      </c>
      <c r="BF65" s="41">
        <f t="shared" si="229"/>
      </c>
      <c r="BG65" s="41">
        <f t="shared" si="229"/>
      </c>
      <c r="BH65" s="41">
        <f t="shared" si="229"/>
      </c>
      <c r="BI65" s="41">
        <f t="shared" si="229"/>
      </c>
      <c r="BJ65" s="41">
        <f t="shared" si="229"/>
      </c>
      <c r="BK65" s="41">
        <f t="shared" si="229"/>
      </c>
      <c r="BL65" s="41">
        <f t="shared" si="229"/>
      </c>
      <c r="BM65" s="41">
        <f t="shared" si="229"/>
      </c>
      <c r="BN65" s="41">
        <f t="shared" si="229"/>
      </c>
      <c r="BO65" s="41">
        <f t="shared" si="229"/>
      </c>
      <c r="BP65" s="41">
        <f t="shared" si="229"/>
      </c>
      <c r="BQ65" s="41">
        <f t="shared" si="229"/>
      </c>
      <c r="BR65" s="41">
        <f t="shared" si="229"/>
      </c>
      <c r="BS65" s="41">
        <f t="shared" si="229"/>
      </c>
      <c r="BT65" s="41">
        <f t="shared" si="229"/>
      </c>
      <c r="BU65" s="535">
        <f t="shared" si="229"/>
      </c>
      <c r="BV65" s="41">
        <f>+(BV14+BV15)/BV84</f>
      </c>
      <c r="BW65" s="41">
        <f>+(BW14+BW15)/BW84</f>
      </c>
      <c r="BX65" s="41">
        <f t="shared" si="229"/>
      </c>
      <c r="BY65" s="41">
        <f t="shared" si="229"/>
      </c>
      <c r="BZ65" s="535">
        <f t="shared" si="229"/>
      </c>
      <c r="CA65" s="41">
        <f>+(CA14+CA15)/CA84</f>
      </c>
      <c r="CB65" s="41">
        <f t="shared" si="229"/>
      </c>
      <c r="CC65" s="41">
        <f>+(CC14+CC15)/CC84</f>
      </c>
      <c r="CD65" s="41">
        <f>+(CD14+CD15)/CD84</f>
      </c>
      <c r="CE65" s="535">
        <f>+(CE14+CE15)/CE84</f>
      </c>
      <c r="CF65" s="41">
        <f t="shared" si="229"/>
      </c>
      <c r="CG65" s="41">
        <f>+(CG14+CG15)/CG84</f>
      </c>
      <c r="CH65" s="41">
        <f>+(CH14+CH15)/CH84</f>
      </c>
      <c r="CI65" s="41">
        <f>+(CI14+CI15)/CI84</f>
      </c>
      <c r="CJ65" s="535">
        <f t="shared" si="229"/>
      </c>
      <c r="CK65" s="41">
        <f>+(CK14+CK15)/CK84</f>
      </c>
      <c r="CL65" s="41">
        <f>+(CL14+CL15)/CL84</f>
      </c>
      <c r="CM65" s="41">
        <f>+(CM14+CM15)/CM84</f>
      </c>
      <c r="CN65" s="41">
        <f>+(CN14+CN15)/CN84</f>
      </c>
      <c r="CO65" s="535">
        <f t="shared" si="229"/>
      </c>
      <c r="CP65" s="41">
        <f t="shared" ref="CP65:CW65" si="230">+(CP14+CP15)/CP84</f>
      </c>
      <c r="CQ65" s="41">
        <f t="shared" si="230"/>
      </c>
      <c r="CR65" s="41">
        <f t="shared" si="230"/>
      </c>
      <c r="CS65" s="41">
        <f t="shared" si="230"/>
      </c>
      <c r="CT65" s="535">
        <f t="shared" si="230"/>
      </c>
      <c r="CU65" s="41">
        <f t="shared" si="230"/>
      </c>
      <c r="CV65" s="41">
        <f t="shared" si="230"/>
      </c>
      <c r="CW65" s="41">
        <f t="shared" si="230"/>
      </c>
      <c r="CX65" s="41">
        <f t="shared" ref="CX65:DD65" si="231">+(CX14+CX15)/CX84</f>
      </c>
      <c r="CY65" s="535">
        <f t="shared" si="231"/>
      </c>
      <c r="CZ65" s="41">
        <f t="shared" si="231"/>
      </c>
      <c r="DA65" s="41">
        <f t="shared" si="231"/>
      </c>
      <c r="DB65" s="41">
        <f t="shared" si="231"/>
      </c>
      <c r="DC65" s="41">
        <f t="shared" si="231"/>
      </c>
      <c r="DD65" s="535">
        <f t="shared" si="231"/>
      </c>
      <c r="DE65" s="41">
        <f t="shared" ref="DE65:DU65" si="232">+(DE14+DE15)/DE84</f>
      </c>
      <c r="DF65" s="41">
        <f t="shared" si="232"/>
      </c>
      <c r="DG65" s="41">
        <f t="shared" si="232"/>
      </c>
      <c r="DH65" s="41">
        <f t="shared" si="232"/>
      </c>
      <c r="DI65" s="535">
        <f t="shared" si="232"/>
      </c>
      <c r="DJ65" s="41">
        <f t="shared" si="232"/>
      </c>
      <c r="DK65" s="41">
        <f t="shared" si="232"/>
      </c>
      <c r="DL65" s="41">
        <f t="shared" si="232"/>
      </c>
      <c r="DM65" s="41">
        <f t="shared" si="232"/>
      </c>
      <c r="DN65" s="535">
        <f t="shared" si="232"/>
      </c>
      <c r="DO65" s="925">
        <f t="shared" si="232"/>
      </c>
      <c r="DP65" s="925">
        <f t="shared" si="232"/>
      </c>
      <c r="DQ65" s="925">
        <f t="shared" si="232"/>
      </c>
      <c r="DR65" s="41">
        <f t="shared" si="232"/>
      </c>
      <c r="DS65" s="535">
        <f t="shared" si="232"/>
      </c>
      <c r="DT65" s="925">
        <f t="shared" si="232"/>
      </c>
      <c r="DU65" s="925">
        <f t="shared" si="232"/>
      </c>
      <c r="DV65" s="925">
        <f t="shared" ref="DV65:EC65" si="233">+(DV14+DV15)/DV84</f>
      </c>
      <c r="DW65" s="41">
        <f t="shared" si="233"/>
      </c>
      <c r="DX65" s="535">
        <f t="shared" si="233"/>
      </c>
      <c r="DY65" s="925">
        <f t="shared" si="233"/>
      </c>
      <c r="DZ65" s="925">
        <f t="shared" si="233"/>
      </c>
      <c r="EA65" s="925">
        <f>+(EA14+EA15)/EA84</f>
      </c>
      <c r="EB65" s="41">
        <f>+(EB14+EB15)/EB84</f>
      </c>
      <c r="EC65" s="309">
        <f t="shared" si="233"/>
      </c>
      <c r="ED65" s="925">
        <f t="shared" ref="ED65:EI65" si="234">+(ED14+ED15)/ED84</f>
      </c>
      <c r="EE65" s="925">
        <f t="shared" si="234"/>
      </c>
      <c r="EF65" s="925">
        <f t="shared" si="234"/>
      </c>
      <c r="EG65" s="925">
        <f t="shared" si="234"/>
      </c>
      <c r="EH65" s="1066">
        <f t="shared" si="234"/>
      </c>
      <c r="EI65" s="925">
        <f t="shared" si="234"/>
      </c>
      <c r="EJ65" s="925">
        <f t="shared" ref="EJ65:EQ65" si="235">+(EJ14+EJ15)/EJ84</f>
      </c>
      <c r="EK65" s="925">
        <f t="shared" si="235"/>
      </c>
      <c r="EL65" s="925">
        <f t="shared" si="235"/>
      </c>
      <c r="EM65" s="2506">
        <f t="shared" si="235"/>
      </c>
      <c r="EN65" s="968">
        <f t="shared" si="235"/>
      </c>
      <c r="EO65" s="925">
        <f>+(EO14+EO15)/EO84</f>
      </c>
      <c r="EP65" s="925">
        <f>+(EP14+EP15)/EP84</f>
      </c>
      <c r="EQ65" s="2167">
        <f t="shared" si="235"/>
      </c>
      <c r="ER65" s="3097">
        <f>+(ER14+ER15)/ER84</f>
      </c>
      <c r="ES65" s="968">
        <f t="shared" ref="ES65" si="236">+(ES14+ES15)/ES84</f>
      </c>
      <c r="ET65" s="925">
        <f t="shared" ref="ET65:FA65" si="237">+(ET14+ET15)/ET84</f>
      </c>
      <c r="EU65" s="925">
        <f>+(EU14+EU15)/EU84</f>
      </c>
      <c r="EV65" s="2167">
        <f t="shared" ref="EV65" si="238">+(EV14+EV15)/EV84</f>
      </c>
      <c r="EW65" s="3097">
        <f>+(EW14+EW15)/EW84</f>
      </c>
      <c r="EX65" s="968">
        <f t="shared" ref="EX65:EY65" si="239">+(EX14+EX15)/EX84</f>
      </c>
      <c r="EY65" s="925">
        <f t="shared" si="239"/>
      </c>
      <c r="EZ65" s="926">
        <f t="shared" si="237"/>
      </c>
      <c r="FA65" s="3205">
        <f t="shared" si="237"/>
      </c>
      <c r="FB65" s="3585">
        <f t="shared" ref="FB65" si="240">+(FB14+FB15)/FB84</f>
      </c>
      <c r="FC65" s="928">
        <f ca="1">+(FC14+FC15)/FC84</f>
      </c>
      <c r="FD65" s="928">
        <f ca="1">+(FD14+FD15)/FD84</f>
      </c>
      <c r="FE65" s="928">
        <f ca="1">+(FE14+FE15)/FE84</f>
      </c>
      <c r="FF65" s="928">
        <f ca="1">+(FF14+FF15)/FF84</f>
      </c>
      <c r="FG65" s="928">
        <f ca="1">+(FG14+FG15)/FG84</f>
      </c>
    </row>
    <row r="66" spans="1:163" outlineLevel="1">
      <c r="A66" s="1"/>
      <c r="B66" s="108" t="s">
        <v>376</v>
      </c>
      <c r="C66" s="72"/>
      <c r="D66" s="72"/>
      <c r="E66" s="72"/>
      <c r="F66" s="72"/>
      <c r="G66" s="72"/>
      <c r="H66" s="72"/>
      <c r="I66" s="72"/>
      <c r="J66" s="72"/>
      <c r="K66" s="72"/>
      <c r="L66" s="72"/>
      <c r="M66" s="72"/>
      <c r="N66" s="68"/>
      <c r="O66" s="73"/>
      <c r="P66" s="73"/>
      <c r="Q66" s="73"/>
      <c r="R66" s="73"/>
      <c r="S66" s="73"/>
      <c r="T66" s="73"/>
      <c r="U66" s="73"/>
      <c r="V66" s="41">
        <f t="shared" ref="V66:BA66" si="241">+V19/V84</f>
      </c>
      <c r="W66" s="41">
        <f t="shared" si="241"/>
      </c>
      <c r="X66" s="41"/>
      <c r="Y66" s="41"/>
      <c r="Z66" s="41"/>
      <c r="AA66" s="41"/>
      <c r="AB66" s="41">
        <f t="shared" si="241"/>
      </c>
      <c r="AC66" s="41">
        <f t="shared" si="241"/>
      </c>
      <c r="AD66" s="41">
        <f t="shared" si="241"/>
      </c>
      <c r="AE66" s="41">
        <f t="shared" si="241"/>
      </c>
      <c r="AF66" s="41">
        <f t="shared" si="241"/>
      </c>
      <c r="AG66" s="41">
        <f t="shared" si="241"/>
      </c>
      <c r="AH66" s="41">
        <f t="shared" si="241"/>
      </c>
      <c r="AI66" s="41">
        <f t="shared" si="241"/>
      </c>
      <c r="AJ66" s="41">
        <f t="shared" si="241"/>
      </c>
      <c r="AK66" s="41">
        <f t="shared" si="241"/>
      </c>
      <c r="AL66" s="41">
        <f t="shared" si="241"/>
      </c>
      <c r="AM66" s="41">
        <f t="shared" si="241"/>
      </c>
      <c r="AN66" s="41">
        <f t="shared" si="241"/>
      </c>
      <c r="AO66" s="41">
        <f t="shared" si="241"/>
      </c>
      <c r="AP66" s="41">
        <f t="shared" si="241"/>
      </c>
      <c r="AQ66" s="41">
        <f t="shared" si="241"/>
      </c>
      <c r="AR66" s="41">
        <f t="shared" si="241"/>
      </c>
      <c r="AS66" s="41">
        <f t="shared" si="241"/>
      </c>
      <c r="AT66" s="41">
        <f t="shared" si="241"/>
      </c>
      <c r="AU66" s="41">
        <f t="shared" si="241"/>
      </c>
      <c r="AV66" s="41">
        <f t="shared" si="241"/>
      </c>
      <c r="AW66" s="41">
        <f t="shared" si="241"/>
      </c>
      <c r="AX66" s="41">
        <f t="shared" si="241"/>
      </c>
      <c r="AY66" s="41">
        <f t="shared" si="241"/>
      </c>
      <c r="AZ66" s="41">
        <f t="shared" si="241"/>
      </c>
      <c r="BA66" s="41">
        <f t="shared" si="241"/>
      </c>
      <c r="BB66" s="41">
        <f t="shared" ref="BB66:BU66" si="242">+BB19/BB84</f>
      </c>
      <c r="BC66" s="41">
        <f t="shared" si="242"/>
      </c>
      <c r="BD66" s="41">
        <f t="shared" si="242"/>
      </c>
      <c r="BE66" s="41">
        <f t="shared" si="242"/>
      </c>
      <c r="BF66" s="41">
        <f t="shared" si="242"/>
      </c>
      <c r="BG66" s="41">
        <f t="shared" si="242"/>
      </c>
      <c r="BH66" s="41">
        <f t="shared" si="242"/>
      </c>
      <c r="BI66" s="41">
        <f t="shared" si="242"/>
      </c>
      <c r="BJ66" s="41">
        <f t="shared" si="242"/>
      </c>
      <c r="BK66" s="41">
        <f t="shared" si="242"/>
      </c>
      <c r="BL66" s="41">
        <f t="shared" si="242"/>
      </c>
      <c r="BM66" s="41">
        <f t="shared" si="242"/>
      </c>
      <c r="BN66" s="41">
        <f t="shared" si="242"/>
      </c>
      <c r="BO66" s="41">
        <f t="shared" si="242"/>
      </c>
      <c r="BP66" s="41">
        <f t="shared" si="242"/>
      </c>
      <c r="BQ66" s="41">
        <f t="shared" si="242"/>
      </c>
      <c r="BR66" s="41">
        <f t="shared" si="242"/>
      </c>
      <c r="BS66" s="41">
        <f t="shared" si="242"/>
      </c>
      <c r="BT66" s="41">
        <f t="shared" si="242"/>
      </c>
      <c r="BU66" s="535">
        <f t="shared" si="242"/>
      </c>
      <c r="BV66" s="41">
        <f t="shared" ref="BV66:CE66" si="243">+BV19/BV84</f>
      </c>
      <c r="BW66" s="41">
        <f t="shared" si="243"/>
      </c>
      <c r="BX66" s="41">
        <f t="shared" si="243"/>
      </c>
      <c r="BY66" s="41">
        <f t="shared" si="243"/>
      </c>
      <c r="BZ66" s="537">
        <f t="shared" si="243"/>
      </c>
      <c r="CA66" s="41">
        <f t="shared" si="243"/>
      </c>
      <c r="CB66" s="41">
        <f t="shared" si="243"/>
      </c>
      <c r="CC66" s="41">
        <f t="shared" si="243"/>
      </c>
      <c r="CD66" s="41">
        <f t="shared" si="243"/>
      </c>
      <c r="CE66" s="535">
        <f t="shared" si="243"/>
      </c>
      <c r="CF66" s="41">
        <f t="shared" ref="CF66:CK66" si="244">+CF19/CF84</f>
      </c>
      <c r="CG66" s="41">
        <f t="shared" si="244"/>
      </c>
      <c r="CH66" s="41">
        <f t="shared" si="244"/>
      </c>
      <c r="CI66" s="41">
        <f t="shared" si="244"/>
      </c>
      <c r="CJ66" s="535">
        <f t="shared" si="244"/>
      </c>
      <c r="CK66" s="41">
        <f t="shared" si="244"/>
      </c>
      <c r="CL66" s="41">
        <f t="shared" ref="CL66:CW66" si="245">+CL19/CL84</f>
      </c>
      <c r="CM66" s="41">
        <f t="shared" si="245"/>
      </c>
      <c r="CN66" s="41">
        <f t="shared" si="245"/>
      </c>
      <c r="CO66" s="535">
        <f t="shared" si="245"/>
      </c>
      <c r="CP66" s="41">
        <f t="shared" si="245"/>
      </c>
      <c r="CQ66" s="41">
        <f t="shared" si="245"/>
      </c>
      <c r="CR66" s="41">
        <f t="shared" si="245"/>
      </c>
      <c r="CS66" s="41">
        <f t="shared" si="245"/>
      </c>
      <c r="CT66" s="535">
        <f t="shared" si="245"/>
      </c>
      <c r="CU66" s="41">
        <f t="shared" si="245"/>
      </c>
      <c r="CV66" s="41">
        <f t="shared" si="245"/>
      </c>
      <c r="CW66" s="41">
        <f t="shared" si="245"/>
      </c>
      <c r="CX66" s="41">
        <f t="shared" ref="CX66:DD66" si="246">+CX19/CX84</f>
      </c>
      <c r="CY66" s="535">
        <f t="shared" si="246"/>
      </c>
      <c r="CZ66" s="41">
        <f t="shared" si="246"/>
      </c>
      <c r="DA66" s="41">
        <f t="shared" si="246"/>
      </c>
      <c r="DB66" s="41">
        <f t="shared" si="246"/>
      </c>
      <c r="DC66" s="41">
        <f t="shared" si="246"/>
      </c>
      <c r="DD66" s="535">
        <f t="shared" si="246"/>
      </c>
      <c r="DE66" s="41">
        <f t="shared" ref="DE66:EF66" si="247">+DE19/DE84</f>
      </c>
      <c r="DF66" s="41">
        <f t="shared" si="247"/>
      </c>
      <c r="DG66" s="41">
        <f t="shared" si="247"/>
      </c>
      <c r="DH66" s="41">
        <f t="shared" si="247"/>
      </c>
      <c r="DI66" s="535">
        <f t="shared" si="247"/>
      </c>
      <c r="DJ66" s="41">
        <f t="shared" si="247"/>
      </c>
      <c r="DK66" s="41">
        <f t="shared" si="247"/>
      </c>
      <c r="DL66" s="41">
        <f t="shared" si="247"/>
      </c>
      <c r="DM66" s="41">
        <f t="shared" si="247"/>
      </c>
      <c r="DN66" s="535">
        <f t="shared" si="247"/>
      </c>
      <c r="DO66" s="925">
        <f t="shared" si="247"/>
      </c>
      <c r="DP66" s="925">
        <f t="shared" si="247"/>
      </c>
      <c r="DQ66" s="925">
        <f t="shared" si="247"/>
      </c>
      <c r="DR66" s="41">
        <f t="shared" si="247"/>
      </c>
      <c r="DS66" s="535">
        <f t="shared" si="247"/>
      </c>
      <c r="DT66" s="925">
        <f t="shared" si="247"/>
      </c>
      <c r="DU66" s="925">
        <f t="shared" si="247"/>
      </c>
      <c r="DV66" s="925">
        <f t="shared" si="247"/>
      </c>
      <c r="DW66" s="41">
        <f t="shared" si="247"/>
      </c>
      <c r="DX66" s="535">
        <f t="shared" si="247"/>
      </c>
      <c r="DY66" s="925">
        <f t="shared" si="247"/>
      </c>
      <c r="DZ66" s="925">
        <f t="shared" si="247"/>
      </c>
      <c r="EA66" s="925">
        <f t="shared" si="247"/>
      </c>
      <c r="EB66" s="41">
        <f t="shared" si="247"/>
      </c>
      <c r="EC66" s="309">
        <f t="shared" si="247"/>
      </c>
      <c r="ED66" s="925">
        <f t="shared" si="247"/>
      </c>
      <c r="EE66" s="925">
        <f t="shared" si="247"/>
      </c>
      <c r="EF66" s="925">
        <f t="shared" si="247"/>
      </c>
      <c r="EG66" s="41">
        <f t="shared" ref="EG66:EP66" si="248">+EG19/EG84</f>
      </c>
      <c r="EH66" s="1066">
        <f t="shared" si="248"/>
      </c>
      <c r="EI66" s="925">
        <f t="shared" si="248"/>
      </c>
      <c r="EJ66" s="925">
        <f t="shared" si="248"/>
      </c>
      <c r="EK66" s="925">
        <f t="shared" si="248"/>
      </c>
      <c r="EL66" s="41">
        <f t="shared" si="248"/>
      </c>
      <c r="EM66" s="2506">
        <f t="shared" si="248"/>
      </c>
      <c r="EN66" s="968">
        <f t="shared" si="248"/>
      </c>
      <c r="EO66" s="925">
        <f t="shared" si="248"/>
      </c>
      <c r="EP66" s="926">
        <f t="shared" si="248"/>
      </c>
      <c r="EQ66" s="41">
        <f t="shared" ref="EQ66" si="249">+EQ19/EQ84</f>
      </c>
      <c r="ER66" s="3098">
        <f>+ER19/ER84</f>
      </c>
      <c r="ES66" s="968">
        <f t="shared" ref="ES66:EV66" si="250">+ES19/ES84</f>
      </c>
      <c r="ET66" s="925">
        <f t="shared" si="250"/>
      </c>
      <c r="EU66" s="926">
        <f t="shared" si="250"/>
      </c>
      <c r="EV66" s="41">
        <f t="shared" si="250"/>
      </c>
      <c r="EW66" s="3098">
        <f>+EW19/EW84</f>
      </c>
      <c r="EX66" s="968">
        <f t="shared" ref="EX66:EY66" si="251">+EX19/EX84</f>
      </c>
      <c r="EY66" s="925">
        <f t="shared" si="251"/>
      </c>
      <c r="EZ66" s="3206">
        <f>EY66</f>
      </c>
      <c r="FA66" s="3207">
        <f>EZ66</f>
      </c>
      <c r="FB66" s="3208">
        <f>+FB19/FB84</f>
      </c>
      <c r="FC66" s="3101">
        <f t="shared" ref="FC66:FG66" si="252">+FB66-0.2%</f>
      </c>
      <c r="FD66" s="3101">
        <f t="shared" si="252"/>
      </c>
      <c r="FE66" s="3101">
        <f t="shared" si="252"/>
      </c>
      <c r="FF66" s="3101">
        <f t="shared" si="252"/>
      </c>
      <c r="FG66" s="3101">
        <f t="shared" si="252"/>
      </c>
    </row>
    <row r="67" spans="1:163" outlineLevel="1">
      <c r="A67" s="1"/>
      <c r="B67" s="108" t="s">
        <v>20</v>
      </c>
      <c r="C67" s="72"/>
      <c r="D67" s="72"/>
      <c r="E67" s="72"/>
      <c r="F67" s="72"/>
      <c r="G67" s="72"/>
      <c r="H67" s="72"/>
      <c r="I67" s="72"/>
      <c r="J67" s="72"/>
      <c r="K67" s="72"/>
      <c r="L67" s="72"/>
      <c r="M67" s="72"/>
      <c r="N67" s="68"/>
      <c r="O67" s="73"/>
      <c r="P67" s="73"/>
      <c r="Q67" s="73"/>
      <c r="R67" s="73"/>
      <c r="S67" s="73"/>
      <c r="T67" s="73"/>
      <c r="U67" s="73"/>
      <c r="V67" s="41">
        <f t="shared" ref="V67:BA67" si="253">+V26/V84</f>
      </c>
      <c r="W67" s="41">
        <f t="shared" si="253"/>
      </c>
      <c r="X67" s="41"/>
      <c r="Y67" s="41"/>
      <c r="Z67" s="41"/>
      <c r="AA67" s="41"/>
      <c r="AB67" s="41">
        <f t="shared" si="253"/>
      </c>
      <c r="AC67" s="41">
        <f t="shared" si="253"/>
      </c>
      <c r="AD67" s="41">
        <f t="shared" si="253"/>
      </c>
      <c r="AE67" s="41">
        <f t="shared" si="253"/>
      </c>
      <c r="AF67" s="41">
        <f t="shared" si="253"/>
      </c>
      <c r="AG67" s="41">
        <f t="shared" si="253"/>
      </c>
      <c r="AH67" s="41">
        <f t="shared" si="253"/>
      </c>
      <c r="AI67" s="41">
        <f t="shared" si="253"/>
      </c>
      <c r="AJ67" s="41">
        <f t="shared" si="253"/>
      </c>
      <c r="AK67" s="41">
        <f t="shared" si="253"/>
      </c>
      <c r="AL67" s="41">
        <f t="shared" si="253"/>
      </c>
      <c r="AM67" s="41">
        <f t="shared" si="253"/>
      </c>
      <c r="AN67" s="41">
        <f t="shared" si="253"/>
      </c>
      <c r="AO67" s="41">
        <f t="shared" si="253"/>
      </c>
      <c r="AP67" s="41">
        <f t="shared" si="253"/>
      </c>
      <c r="AQ67" s="41">
        <f t="shared" si="253"/>
      </c>
      <c r="AR67" s="41">
        <f t="shared" si="253"/>
      </c>
      <c r="AS67" s="41">
        <f t="shared" si="253"/>
      </c>
      <c r="AT67" s="41">
        <f t="shared" si="253"/>
      </c>
      <c r="AU67" s="41">
        <f t="shared" si="253"/>
      </c>
      <c r="AV67" s="41">
        <f t="shared" si="253"/>
      </c>
      <c r="AW67" s="41">
        <f t="shared" si="253"/>
      </c>
      <c r="AX67" s="41">
        <f t="shared" si="253"/>
      </c>
      <c r="AY67" s="41">
        <f t="shared" si="253"/>
      </c>
      <c r="AZ67" s="41">
        <f t="shared" si="253"/>
      </c>
      <c r="BA67" s="41">
        <f t="shared" si="253"/>
      </c>
      <c r="BB67" s="41">
        <f t="shared" ref="BB67:BU67" si="254">+BB26/BB84</f>
      </c>
      <c r="BC67" s="41">
        <f t="shared" si="254"/>
      </c>
      <c r="BD67" s="41">
        <f t="shared" si="254"/>
      </c>
      <c r="BE67" s="41">
        <f t="shared" si="254"/>
      </c>
      <c r="BF67" s="41">
        <f t="shared" si="254"/>
      </c>
      <c r="BG67" s="41">
        <f t="shared" si="254"/>
      </c>
      <c r="BH67" s="41">
        <f t="shared" si="254"/>
      </c>
      <c r="BI67" s="41">
        <f t="shared" si="254"/>
      </c>
      <c r="BJ67" s="41">
        <f t="shared" si="254"/>
      </c>
      <c r="BK67" s="41">
        <f t="shared" si="254"/>
      </c>
      <c r="BL67" s="41">
        <f t="shared" si="254"/>
      </c>
      <c r="BM67" s="41">
        <f t="shared" si="254"/>
      </c>
      <c r="BN67" s="41">
        <f t="shared" si="254"/>
      </c>
      <c r="BO67" s="41">
        <f t="shared" si="254"/>
      </c>
      <c r="BP67" s="41">
        <f t="shared" si="254"/>
      </c>
      <c r="BQ67" s="41">
        <f t="shared" si="254"/>
      </c>
      <c r="BR67" s="41">
        <f t="shared" si="254"/>
      </c>
      <c r="BS67" s="41">
        <f t="shared" si="254"/>
      </c>
      <c r="BT67" s="41">
        <f t="shared" si="254"/>
      </c>
      <c r="BU67" s="535">
        <f t="shared" si="254"/>
      </c>
      <c r="BV67" s="41">
        <f t="shared" ref="BV67:CE67" si="255">+BV26/BV84</f>
      </c>
      <c r="BW67" s="41">
        <f t="shared" si="255"/>
      </c>
      <c r="BX67" s="41">
        <f t="shared" si="255"/>
      </c>
      <c r="BY67" s="41">
        <f t="shared" si="255"/>
      </c>
      <c r="BZ67" s="537">
        <f t="shared" si="255"/>
      </c>
      <c r="CA67" s="41">
        <f t="shared" si="255"/>
      </c>
      <c r="CB67" s="41">
        <f t="shared" si="255"/>
      </c>
      <c r="CC67" s="41">
        <f t="shared" si="255"/>
      </c>
      <c r="CD67" s="41">
        <f t="shared" si="255"/>
      </c>
      <c r="CE67" s="535">
        <f t="shared" si="255"/>
      </c>
      <c r="CF67" s="41">
        <f t="shared" ref="CF67:CK67" si="256">+CF26/CF84</f>
      </c>
      <c r="CG67" s="41">
        <f t="shared" si="256"/>
      </c>
      <c r="CH67" s="41">
        <f t="shared" si="256"/>
      </c>
      <c r="CI67" s="41">
        <f t="shared" si="256"/>
      </c>
      <c r="CJ67" s="535">
        <f t="shared" si="256"/>
      </c>
      <c r="CK67" s="41">
        <f t="shared" si="256"/>
      </c>
      <c r="CL67" s="41">
        <f t="shared" ref="CL67:CW67" si="257">+CL26/CL84</f>
      </c>
      <c r="CM67" s="41">
        <f t="shared" si="257"/>
      </c>
      <c r="CN67" s="41">
        <f t="shared" si="257"/>
      </c>
      <c r="CO67" s="535">
        <f t="shared" si="257"/>
      </c>
      <c r="CP67" s="41">
        <f t="shared" si="257"/>
      </c>
      <c r="CQ67" s="41">
        <f t="shared" si="257"/>
      </c>
      <c r="CR67" s="41">
        <f t="shared" si="257"/>
      </c>
      <c r="CS67" s="41">
        <f t="shared" si="257"/>
      </c>
      <c r="CT67" s="535">
        <f t="shared" si="257"/>
      </c>
      <c r="CU67" s="41">
        <f t="shared" si="257"/>
      </c>
      <c r="CV67" s="41">
        <f t="shared" si="257"/>
      </c>
      <c r="CW67" s="41">
        <f t="shared" si="257"/>
      </c>
      <c r="CX67" s="41">
        <f t="shared" ref="CX67:DD67" si="258">+CX26/CX84</f>
      </c>
      <c r="CY67" s="535">
        <f t="shared" si="258"/>
      </c>
      <c r="CZ67" s="41">
        <f t="shared" si="258"/>
      </c>
      <c r="DA67" s="41">
        <f t="shared" si="258"/>
      </c>
      <c r="DB67" s="41">
        <f t="shared" si="258"/>
      </c>
      <c r="DC67" s="41">
        <f t="shared" si="258"/>
      </c>
      <c r="DD67" s="535">
        <f t="shared" si="258"/>
      </c>
      <c r="DE67" s="41">
        <f t="shared" ref="DE67:EF67" si="259">+DE26/DE84</f>
      </c>
      <c r="DF67" s="41">
        <f t="shared" si="259"/>
      </c>
      <c r="DG67" s="41">
        <f t="shared" si="259"/>
      </c>
      <c r="DH67" s="41">
        <f t="shared" si="259"/>
      </c>
      <c r="DI67" s="535">
        <f t="shared" si="259"/>
      </c>
      <c r="DJ67" s="41">
        <f t="shared" si="259"/>
      </c>
      <c r="DK67" s="41">
        <f t="shared" si="259"/>
      </c>
      <c r="DL67" s="41">
        <f t="shared" si="259"/>
      </c>
      <c r="DM67" s="41">
        <f t="shared" si="259"/>
      </c>
      <c r="DN67" s="535">
        <f t="shared" si="259"/>
      </c>
      <c r="DO67" s="925">
        <f t="shared" si="259"/>
      </c>
      <c r="DP67" s="925">
        <f t="shared" si="259"/>
      </c>
      <c r="DQ67" s="925">
        <f t="shared" si="259"/>
      </c>
      <c r="DR67" s="41">
        <f t="shared" si="259"/>
      </c>
      <c r="DS67" s="535">
        <f t="shared" si="259"/>
      </c>
      <c r="DT67" s="925">
        <f t="shared" si="259"/>
      </c>
      <c r="DU67" s="925">
        <f t="shared" si="259"/>
      </c>
      <c r="DV67" s="925">
        <f t="shared" si="259"/>
      </c>
      <c r="DW67" s="41">
        <f t="shared" si="259"/>
      </c>
      <c r="DX67" s="535">
        <f t="shared" si="259"/>
      </c>
      <c r="DY67" s="925">
        <f t="shared" si="259"/>
      </c>
      <c r="DZ67" s="925">
        <f t="shared" si="259"/>
      </c>
      <c r="EA67" s="925">
        <f t="shared" si="259"/>
      </c>
      <c r="EB67" s="41">
        <f t="shared" si="259"/>
      </c>
      <c r="EC67" s="309">
        <f t="shared" si="259"/>
      </c>
      <c r="ED67" s="925">
        <f t="shared" si="259"/>
      </c>
      <c r="EE67" s="925">
        <f t="shared" si="259"/>
      </c>
      <c r="EF67" s="925">
        <f t="shared" si="259"/>
      </c>
      <c r="EG67" s="41">
        <f t="shared" ref="EG67:EO67" si="260">+EG26/EG84</f>
      </c>
      <c r="EH67" s="1066">
        <f t="shared" si="260"/>
      </c>
      <c r="EI67" s="925">
        <f t="shared" si="260"/>
      </c>
      <c r="EJ67" s="925">
        <f t="shared" si="260"/>
      </c>
      <c r="EK67" s="925">
        <f t="shared" si="260"/>
      </c>
      <c r="EL67" s="41">
        <f t="shared" si="260"/>
      </c>
      <c r="EM67" s="2506">
        <f t="shared" si="260"/>
      </c>
      <c r="EN67" s="968">
        <f t="shared" si="260"/>
      </c>
      <c r="EO67" s="925">
        <f t="shared" si="260"/>
      </c>
      <c r="EP67" s="926">
        <f>+EP26/EP84</f>
      </c>
      <c r="EQ67" s="41">
        <f t="shared" ref="EQ67" si="261">+EQ26/EQ84</f>
      </c>
      <c r="ER67" s="3098">
        <f>+ER26/ER84</f>
      </c>
      <c r="ES67" s="968">
        <f t="shared" ref="ES67:ET67" si="262">+ES26/ES84</f>
      </c>
      <c r="ET67" s="925">
        <f t="shared" si="262"/>
      </c>
      <c r="EU67" s="926">
        <f>+EU26/EU84</f>
      </c>
      <c r="EV67" s="41">
        <f t="shared" ref="EV67" si="263">+EV26/EV84</f>
      </c>
      <c r="EW67" s="3098">
        <f>+EW26/EW84</f>
      </c>
      <c r="EX67" s="968">
        <f t="shared" ref="EX67:EY67" si="264">+EX26/EX84</f>
      </c>
      <c r="EY67" s="925">
        <f t="shared" si="264"/>
      </c>
      <c r="EZ67" s="3206">
        <f t="shared" ref="EZ67:FG67" si="265">+EY67-0.1%</f>
      </c>
      <c r="FA67" s="3207">
        <f t="shared" si="265"/>
      </c>
      <c r="FB67" s="3208">
        <f>+FB26/FB84</f>
      </c>
      <c r="FC67" s="3101">
        <f t="shared" si="265"/>
      </c>
      <c r="FD67" s="3101">
        <f t="shared" si="265"/>
      </c>
      <c r="FE67" s="3101">
        <f t="shared" si="265"/>
      </c>
      <c r="FF67" s="3101">
        <f t="shared" si="265"/>
      </c>
      <c r="FG67" s="3101">
        <f t="shared" si="265"/>
      </c>
    </row>
    <row r="68" spans="1:163" outlineLevel="1">
      <c r="A68" s="1"/>
      <c r="B68" s="108" t="s">
        <v>197</v>
      </c>
      <c r="C68" s="72"/>
      <c r="D68" s="72"/>
      <c r="E68" s="72"/>
      <c r="F68" s="72"/>
      <c r="G68" s="72"/>
      <c r="H68" s="72"/>
      <c r="I68" s="72"/>
      <c r="J68" s="72"/>
      <c r="K68" s="72"/>
      <c r="L68" s="72"/>
      <c r="M68" s="72"/>
      <c r="N68" s="68"/>
      <c r="O68" s="73"/>
      <c r="P68" s="73"/>
      <c r="Q68" s="73"/>
      <c r="R68" s="73"/>
      <c r="S68" s="73"/>
      <c r="T68" s="73"/>
      <c r="U68" s="73"/>
      <c r="V68" s="41">
        <f>+V18/V84</f>
      </c>
      <c r="W68" s="41">
        <f t="shared" ref="W68:BU68" si="266">+W18/W84</f>
      </c>
      <c r="X68" s="41"/>
      <c r="Y68" s="41"/>
      <c r="Z68" s="41"/>
      <c r="AA68" s="41"/>
      <c r="AB68" s="41">
        <f t="shared" si="266"/>
      </c>
      <c r="AC68" s="41">
        <f t="shared" si="266"/>
      </c>
      <c r="AD68" s="41">
        <f t="shared" si="266"/>
      </c>
      <c r="AE68" s="41">
        <f t="shared" si="266"/>
      </c>
      <c r="AF68" s="41">
        <f t="shared" si="266"/>
      </c>
      <c r="AG68" s="41">
        <f t="shared" si="266"/>
      </c>
      <c r="AH68" s="41">
        <f t="shared" si="266"/>
      </c>
      <c r="AI68" s="41">
        <f t="shared" si="266"/>
      </c>
      <c r="AJ68" s="41">
        <f t="shared" si="266"/>
      </c>
      <c r="AK68" s="41">
        <f t="shared" si="266"/>
      </c>
      <c r="AL68" s="41">
        <f t="shared" si="266"/>
      </c>
      <c r="AM68" s="41">
        <f t="shared" si="266"/>
      </c>
      <c r="AN68" s="41">
        <f t="shared" si="266"/>
      </c>
      <c r="AO68" s="41">
        <f t="shared" si="266"/>
      </c>
      <c r="AP68" s="41">
        <f t="shared" si="266"/>
      </c>
      <c r="AQ68" s="41">
        <f t="shared" si="266"/>
      </c>
      <c r="AR68" s="41">
        <f t="shared" si="266"/>
      </c>
      <c r="AS68" s="41">
        <f t="shared" si="266"/>
      </c>
      <c r="AT68" s="41">
        <f t="shared" si="266"/>
      </c>
      <c r="AU68" s="41">
        <f t="shared" si="266"/>
      </c>
      <c r="AV68" s="41">
        <f t="shared" si="266"/>
      </c>
      <c r="AW68" s="41">
        <f t="shared" si="266"/>
      </c>
      <c r="AX68" s="41">
        <f t="shared" si="266"/>
      </c>
      <c r="AY68" s="41">
        <f t="shared" si="266"/>
      </c>
      <c r="AZ68" s="41">
        <f t="shared" si="266"/>
      </c>
      <c r="BA68" s="41">
        <f t="shared" si="266"/>
      </c>
      <c r="BB68" s="41">
        <f t="shared" si="266"/>
      </c>
      <c r="BC68" s="41">
        <f t="shared" si="266"/>
      </c>
      <c r="BD68" s="41">
        <f t="shared" si="266"/>
      </c>
      <c r="BE68" s="41">
        <f t="shared" si="266"/>
      </c>
      <c r="BF68" s="41">
        <f t="shared" si="266"/>
      </c>
      <c r="BG68" s="41">
        <f t="shared" si="266"/>
      </c>
      <c r="BH68" s="41">
        <f t="shared" si="266"/>
      </c>
      <c r="BI68" s="41">
        <f t="shared" si="266"/>
      </c>
      <c r="BJ68" s="41">
        <f t="shared" si="266"/>
      </c>
      <c r="BK68" s="41">
        <f t="shared" si="266"/>
      </c>
      <c r="BL68" s="41">
        <f t="shared" si="266"/>
      </c>
      <c r="BM68" s="41">
        <f t="shared" si="266"/>
      </c>
      <c r="BN68" s="41">
        <f t="shared" si="266"/>
      </c>
      <c r="BO68" s="41">
        <f t="shared" si="266"/>
      </c>
      <c r="BP68" s="41">
        <f t="shared" si="266"/>
      </c>
      <c r="BQ68" s="41">
        <f t="shared" si="266"/>
      </c>
      <c r="BR68" s="41">
        <f t="shared" si="266"/>
      </c>
      <c r="BS68" s="41">
        <f t="shared" si="266"/>
      </c>
      <c r="BT68" s="41">
        <f t="shared" si="266"/>
      </c>
      <c r="BU68" s="535">
        <f t="shared" si="266"/>
      </c>
      <c r="BV68" s="41">
        <f t="shared" ref="BV68:CE68" si="267">+BV18/BV84</f>
      </c>
      <c r="BW68" s="41">
        <f t="shared" si="267"/>
      </c>
      <c r="BX68" s="41">
        <f t="shared" si="267"/>
      </c>
      <c r="BY68" s="41">
        <f t="shared" si="267"/>
      </c>
      <c r="BZ68" s="535">
        <f t="shared" si="267"/>
      </c>
      <c r="CA68" s="41">
        <f t="shared" si="267"/>
      </c>
      <c r="CB68" s="41">
        <f t="shared" si="267"/>
      </c>
      <c r="CC68" s="41">
        <f t="shared" si="267"/>
      </c>
      <c r="CD68" s="41">
        <f t="shared" si="267"/>
      </c>
      <c r="CE68" s="535">
        <f t="shared" si="267"/>
      </c>
      <c r="CF68" s="41">
        <f t="shared" ref="CF68:CK68" si="268">+CF18/CF84</f>
      </c>
      <c r="CG68" s="41">
        <f t="shared" si="268"/>
      </c>
      <c r="CH68" s="41">
        <f t="shared" si="268"/>
      </c>
      <c r="CI68" s="41">
        <f t="shared" si="268"/>
      </c>
      <c r="CJ68" s="535">
        <f t="shared" si="268"/>
      </c>
      <c r="CK68" s="41">
        <f t="shared" si="268"/>
      </c>
      <c r="CL68" s="41">
        <f t="shared" ref="CL68:CW68" si="269">+CL18/CL84</f>
      </c>
      <c r="CM68" s="41">
        <f t="shared" si="269"/>
      </c>
      <c r="CN68" s="41">
        <f t="shared" si="269"/>
      </c>
      <c r="CO68" s="535">
        <f t="shared" si="269"/>
      </c>
      <c r="CP68" s="41">
        <f t="shared" si="269"/>
      </c>
      <c r="CQ68" s="41">
        <f t="shared" si="269"/>
      </c>
      <c r="CR68" s="41">
        <f t="shared" si="269"/>
      </c>
      <c r="CS68" s="41">
        <f t="shared" si="269"/>
      </c>
      <c r="CT68" s="535">
        <f t="shared" si="269"/>
      </c>
      <c r="CU68" s="41">
        <f t="shared" si="269"/>
      </c>
      <c r="CV68" s="41">
        <f t="shared" si="269"/>
      </c>
      <c r="CW68" s="41">
        <f t="shared" si="269"/>
      </c>
      <c r="CX68" s="41">
        <f t="shared" ref="CX68:DD68" si="270">+CX18/CX84</f>
      </c>
      <c r="CY68" s="535">
        <f t="shared" si="270"/>
      </c>
      <c r="CZ68" s="41">
        <f t="shared" si="270"/>
      </c>
      <c r="DA68" s="41">
        <f t="shared" si="270"/>
      </c>
      <c r="DB68" s="41">
        <f t="shared" si="270"/>
      </c>
      <c r="DC68" s="41">
        <f t="shared" si="270"/>
      </c>
      <c r="DD68" s="535">
        <f t="shared" si="270"/>
      </c>
      <c r="DE68" s="41">
        <f t="shared" ref="DE68:EF68" si="271">+DE18/DE84</f>
      </c>
      <c r="DF68" s="41">
        <f t="shared" si="271"/>
      </c>
      <c r="DG68" s="41">
        <f t="shared" si="271"/>
      </c>
      <c r="DH68" s="41">
        <f t="shared" si="271"/>
      </c>
      <c r="DI68" s="535">
        <f t="shared" si="271"/>
      </c>
      <c r="DJ68" s="41">
        <f t="shared" si="271"/>
      </c>
      <c r="DK68" s="41">
        <f t="shared" si="271"/>
      </c>
      <c r="DL68" s="41">
        <f t="shared" si="271"/>
      </c>
      <c r="DM68" s="41">
        <f t="shared" si="271"/>
      </c>
      <c r="DN68" s="535">
        <f t="shared" si="271"/>
      </c>
      <c r="DO68" s="925">
        <f t="shared" si="271"/>
      </c>
      <c r="DP68" s="925">
        <f t="shared" si="271"/>
      </c>
      <c r="DQ68" s="925">
        <f t="shared" si="271"/>
      </c>
      <c r="DR68" s="41">
        <f t="shared" si="271"/>
      </c>
      <c r="DS68" s="535">
        <f t="shared" si="271"/>
      </c>
      <c r="DT68" s="925">
        <f t="shared" si="271"/>
      </c>
      <c r="DU68" s="925">
        <f t="shared" si="271"/>
      </c>
      <c r="DV68" s="925">
        <f t="shared" si="271"/>
      </c>
      <c r="DW68" s="41">
        <f t="shared" si="271"/>
      </c>
      <c r="DX68" s="535">
        <f t="shared" si="271"/>
      </c>
      <c r="DY68" s="925">
        <f t="shared" si="271"/>
      </c>
      <c r="DZ68" s="925">
        <f t="shared" si="271"/>
      </c>
      <c r="EA68" s="925">
        <f t="shared" si="271"/>
      </c>
      <c r="EB68" s="41">
        <f t="shared" si="271"/>
      </c>
      <c r="EC68" s="309">
        <f t="shared" si="271"/>
      </c>
      <c r="ED68" s="925">
        <f t="shared" si="271"/>
      </c>
      <c r="EE68" s="925">
        <f t="shared" si="271"/>
      </c>
      <c r="EF68" s="925">
        <f t="shared" si="271"/>
      </c>
      <c r="EG68" s="41">
        <f t="shared" ref="EG68:EP68" si="272">+EG18/EG84</f>
      </c>
      <c r="EH68" s="1066">
        <f t="shared" si="272"/>
      </c>
      <c r="EI68" s="925">
        <f t="shared" si="272"/>
      </c>
      <c r="EJ68" s="925">
        <f t="shared" si="272"/>
      </c>
      <c r="EK68" s="925">
        <f t="shared" si="272"/>
      </c>
      <c r="EL68" s="41">
        <f t="shared" si="272"/>
      </c>
      <c r="EM68" s="2506">
        <f t="shared" si="272"/>
      </c>
      <c r="EN68" s="968">
        <f t="shared" si="272"/>
      </c>
      <c r="EO68" s="925">
        <f t="shared" si="272"/>
      </c>
      <c r="EP68" s="926">
        <f t="shared" si="272"/>
      </c>
      <c r="EQ68" s="41">
        <f t="shared" ref="EQ68" si="273">+EQ18/EQ84</f>
      </c>
      <c r="ER68" s="3098">
        <f>+ER18/ER84</f>
      </c>
      <c r="ES68" s="968">
        <f t="shared" ref="ES68:EV68" si="274">+ES18/ES84</f>
      </c>
      <c r="ET68" s="925">
        <f t="shared" si="274"/>
      </c>
      <c r="EU68" s="926">
        <f t="shared" si="274"/>
      </c>
      <c r="EV68" s="41">
        <f t="shared" si="274"/>
      </c>
      <c r="EW68" s="3098">
        <f>+EW18/EW84</f>
      </c>
      <c r="EX68" s="968">
        <f t="shared" ref="EX68:EY68" si="275">+EX18/EX84</f>
      </c>
      <c r="EY68" s="925">
        <f t="shared" si="275"/>
      </c>
      <c r="EZ68" s="3206">
        <f>EY68</f>
      </c>
      <c r="FA68" s="3207">
        <f>EZ68</f>
      </c>
      <c r="FB68" s="3208">
        <f>+FB18/FB84</f>
      </c>
      <c r="FC68" s="3101">
        <v>0</v>
      </c>
      <c r="FD68" s="3101">
        <v>0</v>
      </c>
      <c r="FE68" s="3101">
        <v>0</v>
      </c>
      <c r="FF68" s="3101">
        <v>0</v>
      </c>
      <c r="FG68" s="3101">
        <v>0</v>
      </c>
    </row>
    <row r="69" spans="1:163" outlineLevel="1">
      <c r="A69" s="1"/>
      <c r="B69" s="108" t="s">
        <v>198</v>
      </c>
      <c r="C69" s="72"/>
      <c r="D69" s="72"/>
      <c r="E69" s="72"/>
      <c r="F69" s="72"/>
      <c r="G69" s="72"/>
      <c r="H69" s="72"/>
      <c r="I69" s="72"/>
      <c r="J69" s="72"/>
      <c r="K69" s="72"/>
      <c r="L69" s="72"/>
      <c r="M69" s="72"/>
      <c r="N69" s="68"/>
      <c r="O69" s="73"/>
      <c r="P69" s="73"/>
      <c r="Q69" s="73"/>
      <c r="R69" s="73"/>
      <c r="S69" s="73"/>
      <c r="T69" s="73"/>
      <c r="U69" s="73"/>
      <c r="V69" s="41">
        <f>+V25/V84</f>
      </c>
      <c r="W69" s="41">
        <f t="shared" ref="W69:BU69" si="276">+W25/W84</f>
      </c>
      <c r="X69" s="41"/>
      <c r="Y69" s="41"/>
      <c r="Z69" s="41"/>
      <c r="AA69" s="41"/>
      <c r="AB69" s="41">
        <f t="shared" si="276"/>
      </c>
      <c r="AC69" s="41">
        <f t="shared" si="276"/>
      </c>
      <c r="AD69" s="41">
        <f t="shared" si="276"/>
      </c>
      <c r="AE69" s="41">
        <f t="shared" si="276"/>
      </c>
      <c r="AF69" s="41">
        <f t="shared" si="276"/>
      </c>
      <c r="AG69" s="41">
        <f t="shared" si="276"/>
      </c>
      <c r="AH69" s="41">
        <f t="shared" si="276"/>
      </c>
      <c r="AI69" s="41">
        <f t="shared" si="276"/>
      </c>
      <c r="AJ69" s="41">
        <f t="shared" si="276"/>
      </c>
      <c r="AK69" s="41">
        <f t="shared" si="276"/>
      </c>
      <c r="AL69" s="41">
        <f t="shared" si="276"/>
      </c>
      <c r="AM69" s="41">
        <f t="shared" si="276"/>
      </c>
      <c r="AN69" s="41">
        <f t="shared" si="276"/>
      </c>
      <c r="AO69" s="41">
        <f t="shared" si="276"/>
      </c>
      <c r="AP69" s="41">
        <f t="shared" si="276"/>
      </c>
      <c r="AQ69" s="41">
        <f t="shared" si="276"/>
      </c>
      <c r="AR69" s="41">
        <f t="shared" si="276"/>
      </c>
      <c r="AS69" s="41">
        <f t="shared" si="276"/>
      </c>
      <c r="AT69" s="41">
        <f t="shared" si="276"/>
      </c>
      <c r="AU69" s="41">
        <f t="shared" si="276"/>
      </c>
      <c r="AV69" s="41">
        <f t="shared" si="276"/>
      </c>
      <c r="AW69" s="41">
        <f t="shared" si="276"/>
      </c>
      <c r="AX69" s="41">
        <f t="shared" si="276"/>
      </c>
      <c r="AY69" s="41">
        <f t="shared" si="276"/>
      </c>
      <c r="AZ69" s="41">
        <f t="shared" si="276"/>
      </c>
      <c r="BA69" s="41">
        <f t="shared" si="276"/>
      </c>
      <c r="BB69" s="41">
        <f t="shared" si="276"/>
      </c>
      <c r="BC69" s="41">
        <f t="shared" si="276"/>
      </c>
      <c r="BD69" s="41">
        <f t="shared" si="276"/>
      </c>
      <c r="BE69" s="41">
        <f t="shared" si="276"/>
      </c>
      <c r="BF69" s="41">
        <f t="shared" si="276"/>
      </c>
      <c r="BG69" s="41">
        <f t="shared" si="276"/>
      </c>
      <c r="BH69" s="41">
        <f t="shared" si="276"/>
      </c>
      <c r="BI69" s="41">
        <f t="shared" si="276"/>
      </c>
      <c r="BJ69" s="41">
        <f t="shared" si="276"/>
      </c>
      <c r="BK69" s="41">
        <f t="shared" si="276"/>
      </c>
      <c r="BL69" s="41">
        <f t="shared" si="276"/>
      </c>
      <c r="BM69" s="41">
        <f t="shared" si="276"/>
      </c>
      <c r="BN69" s="41">
        <f t="shared" si="276"/>
      </c>
      <c r="BO69" s="41">
        <f t="shared" si="276"/>
      </c>
      <c r="BP69" s="41">
        <f t="shared" si="276"/>
      </c>
      <c r="BQ69" s="41">
        <f t="shared" si="276"/>
      </c>
      <c r="BR69" s="41">
        <f t="shared" si="276"/>
      </c>
      <c r="BS69" s="41">
        <f t="shared" si="276"/>
      </c>
      <c r="BT69" s="41">
        <f t="shared" si="276"/>
      </c>
      <c r="BU69" s="535">
        <f t="shared" si="276"/>
      </c>
      <c r="BV69" s="41">
        <f t="shared" ref="BV69:CE69" si="277">+BV25/BV84</f>
      </c>
      <c r="BW69" s="41">
        <f t="shared" si="277"/>
      </c>
      <c r="BX69" s="41">
        <f t="shared" si="277"/>
      </c>
      <c r="BY69" s="41">
        <f t="shared" si="277"/>
      </c>
      <c r="BZ69" s="535">
        <f t="shared" si="277"/>
      </c>
      <c r="CA69" s="41">
        <f t="shared" si="277"/>
      </c>
      <c r="CB69" s="41">
        <f t="shared" si="277"/>
      </c>
      <c r="CC69" s="41">
        <f t="shared" si="277"/>
      </c>
      <c r="CD69" s="41">
        <f t="shared" si="277"/>
      </c>
      <c r="CE69" s="535">
        <f t="shared" si="277"/>
      </c>
      <c r="CF69" s="41">
        <f t="shared" ref="CF69:CK69" si="278">+CF25/CF84</f>
      </c>
      <c r="CG69" s="41">
        <f t="shared" si="278"/>
      </c>
      <c r="CH69" s="41">
        <f t="shared" si="278"/>
      </c>
      <c r="CI69" s="41">
        <f t="shared" si="278"/>
      </c>
      <c r="CJ69" s="535">
        <f t="shared" si="278"/>
      </c>
      <c r="CK69" s="41">
        <f t="shared" si="278"/>
      </c>
      <c r="CL69" s="41">
        <f t="shared" ref="CL69:CW69" si="279">+CL25/CL84</f>
      </c>
      <c r="CM69" s="41">
        <f t="shared" si="279"/>
      </c>
      <c r="CN69" s="41">
        <f t="shared" si="279"/>
      </c>
      <c r="CO69" s="535">
        <f t="shared" si="279"/>
      </c>
      <c r="CP69" s="41">
        <f t="shared" si="279"/>
      </c>
      <c r="CQ69" s="41">
        <f t="shared" si="279"/>
      </c>
      <c r="CR69" s="41">
        <f t="shared" si="279"/>
      </c>
      <c r="CS69" s="41">
        <f t="shared" si="279"/>
      </c>
      <c r="CT69" s="535">
        <f t="shared" si="279"/>
      </c>
      <c r="CU69" s="41">
        <f t="shared" si="279"/>
      </c>
      <c r="CV69" s="41">
        <f t="shared" si="279"/>
      </c>
      <c r="CW69" s="41">
        <f t="shared" si="279"/>
      </c>
      <c r="CX69" s="41">
        <f t="shared" ref="CX69:DD69" si="280">+CX25/CX84</f>
      </c>
      <c r="CY69" s="535">
        <f t="shared" si="280"/>
      </c>
      <c r="CZ69" s="41">
        <f t="shared" si="280"/>
      </c>
      <c r="DA69" s="41">
        <f t="shared" si="280"/>
      </c>
      <c r="DB69" s="41">
        <f t="shared" si="280"/>
      </c>
      <c r="DC69" s="41">
        <f t="shared" si="280"/>
      </c>
      <c r="DD69" s="535">
        <f t="shared" si="280"/>
      </c>
      <c r="DE69" s="41">
        <f t="shared" ref="DE69:EF69" si="281">+DE25/DE84</f>
      </c>
      <c r="DF69" s="41">
        <f t="shared" si="281"/>
      </c>
      <c r="DG69" s="41">
        <f t="shared" si="281"/>
      </c>
      <c r="DH69" s="41">
        <f t="shared" si="281"/>
      </c>
      <c r="DI69" s="535">
        <f t="shared" si="281"/>
      </c>
      <c r="DJ69" s="41">
        <f t="shared" si="281"/>
      </c>
      <c r="DK69" s="41">
        <f t="shared" si="281"/>
      </c>
      <c r="DL69" s="41">
        <f t="shared" si="281"/>
      </c>
      <c r="DM69" s="41">
        <f t="shared" si="281"/>
      </c>
      <c r="DN69" s="535">
        <f t="shared" si="281"/>
      </c>
      <c r="DO69" s="925">
        <f t="shared" si="281"/>
      </c>
      <c r="DP69" s="925">
        <f t="shared" si="281"/>
      </c>
      <c r="DQ69" s="925">
        <f t="shared" si="281"/>
      </c>
      <c r="DR69" s="41">
        <f t="shared" si="281"/>
      </c>
      <c r="DS69" s="535">
        <f t="shared" si="281"/>
      </c>
      <c r="DT69" s="925">
        <f t="shared" si="281"/>
      </c>
      <c r="DU69" s="925">
        <f t="shared" si="281"/>
      </c>
      <c r="DV69" s="925">
        <f t="shared" si="281"/>
      </c>
      <c r="DW69" s="41">
        <f t="shared" si="281"/>
      </c>
      <c r="DX69" s="535">
        <f t="shared" si="281"/>
      </c>
      <c r="DY69" s="925">
        <f t="shared" si="281"/>
      </c>
      <c r="DZ69" s="925">
        <f t="shared" si="281"/>
      </c>
      <c r="EA69" s="925">
        <f t="shared" si="281"/>
      </c>
      <c r="EB69" s="41">
        <f t="shared" si="281"/>
      </c>
      <c r="EC69" s="309">
        <f t="shared" si="281"/>
      </c>
      <c r="ED69" s="925">
        <f t="shared" si="281"/>
      </c>
      <c r="EE69" s="925">
        <f t="shared" si="281"/>
      </c>
      <c r="EF69" s="925">
        <f t="shared" si="281"/>
      </c>
      <c r="EG69" s="41">
        <f t="shared" ref="EG69:EP69" si="282">+EG25/EG84</f>
      </c>
      <c r="EH69" s="1066">
        <f t="shared" si="282"/>
      </c>
      <c r="EI69" s="925">
        <f t="shared" si="282"/>
      </c>
      <c r="EJ69" s="925">
        <f t="shared" si="282"/>
      </c>
      <c r="EK69" s="925">
        <f t="shared" si="282"/>
      </c>
      <c r="EL69" s="41">
        <f t="shared" si="282"/>
      </c>
      <c r="EM69" s="2506">
        <f t="shared" si="282"/>
      </c>
      <c r="EN69" s="968">
        <f t="shared" si="282"/>
      </c>
      <c r="EO69" s="925">
        <f t="shared" si="282"/>
      </c>
      <c r="EP69" s="926">
        <f t="shared" si="282"/>
      </c>
      <c r="EQ69" s="41">
        <f t="shared" ref="EQ69" si="283">+EQ25/EQ84</f>
      </c>
      <c r="ER69" s="3098">
        <f>+ER25/ER84</f>
      </c>
      <c r="ES69" s="968">
        <f t="shared" ref="ES69:EV69" si="284">+ES25/ES84</f>
      </c>
      <c r="ET69" s="925">
        <f t="shared" si="284"/>
      </c>
      <c r="EU69" s="926">
        <f t="shared" si="284"/>
      </c>
      <c r="EV69" s="41">
        <f t="shared" si="284"/>
      </c>
      <c r="EW69" s="3098">
        <f>+EW25/EW84</f>
      </c>
      <c r="EX69" s="968">
        <f t="shared" ref="EX69:EY69" si="285">+EX25/EX84</f>
      </c>
      <c r="EY69" s="925">
        <f t="shared" si="285"/>
      </c>
      <c r="EZ69" s="3206">
        <v>0.09</v>
      </c>
      <c r="FA69" s="3207">
        <v>0.09</v>
      </c>
      <c r="FB69" s="3208">
        <f>+FB25/FB84</f>
      </c>
      <c r="FC69" s="3101">
        <v>0.09</v>
      </c>
      <c r="FD69" s="3101">
        <v>0.09</v>
      </c>
      <c r="FE69" s="3101">
        <v>0.09</v>
      </c>
      <c r="FF69" s="3101">
        <v>0.09</v>
      </c>
      <c r="FG69" s="3101">
        <v>0.09</v>
      </c>
    </row>
    <row r="70" spans="1:163" outlineLevel="1">
      <c r="A70" s="1"/>
      <c r="B70" s="138" t="s">
        <v>377</v>
      </c>
      <c r="C70" s="113"/>
      <c r="D70" s="113"/>
      <c r="E70" s="113"/>
      <c r="F70" s="113"/>
      <c r="G70" s="113"/>
      <c r="H70" s="113"/>
      <c r="I70" s="113"/>
      <c r="J70" s="113"/>
      <c r="K70" s="113"/>
      <c r="L70" s="113"/>
      <c r="M70" s="113"/>
      <c r="N70" s="74"/>
      <c r="O70" s="70"/>
      <c r="P70" s="70"/>
      <c r="Q70" s="70"/>
      <c r="R70" s="70"/>
      <c r="S70" s="70"/>
      <c r="T70" s="70"/>
      <c r="U70" s="70"/>
      <c r="V70" s="75">
        <f t="shared" ref="V70:BA70" si="286">+V21/V84</f>
      </c>
      <c r="W70" s="75">
        <f t="shared" si="286"/>
      </c>
      <c r="X70" s="75"/>
      <c r="Y70" s="75"/>
      <c r="Z70" s="75"/>
      <c r="AA70" s="75"/>
      <c r="AB70" s="75">
        <f t="shared" si="286"/>
      </c>
      <c r="AC70" s="75">
        <f t="shared" si="286"/>
      </c>
      <c r="AD70" s="75">
        <f t="shared" si="286"/>
      </c>
      <c r="AE70" s="75">
        <f t="shared" si="286"/>
      </c>
      <c r="AF70" s="75">
        <f t="shared" si="286"/>
      </c>
      <c r="AG70" s="75">
        <f t="shared" si="286"/>
      </c>
      <c r="AH70" s="75">
        <f t="shared" si="286"/>
      </c>
      <c r="AI70" s="75">
        <f t="shared" si="286"/>
      </c>
      <c r="AJ70" s="75">
        <f t="shared" si="286"/>
      </c>
      <c r="AK70" s="75">
        <f t="shared" si="286"/>
      </c>
      <c r="AL70" s="75">
        <f t="shared" si="286"/>
      </c>
      <c r="AM70" s="75">
        <f t="shared" si="286"/>
      </c>
      <c r="AN70" s="75">
        <f t="shared" si="286"/>
      </c>
      <c r="AO70" s="75">
        <f t="shared" si="286"/>
      </c>
      <c r="AP70" s="75">
        <f t="shared" si="286"/>
      </c>
      <c r="AQ70" s="75">
        <f t="shared" si="286"/>
      </c>
      <c r="AR70" s="75">
        <f t="shared" si="286"/>
      </c>
      <c r="AS70" s="75">
        <f t="shared" si="286"/>
      </c>
      <c r="AT70" s="75">
        <f t="shared" si="286"/>
      </c>
      <c r="AU70" s="75">
        <f t="shared" si="286"/>
      </c>
      <c r="AV70" s="75">
        <f t="shared" si="286"/>
      </c>
      <c r="AW70" s="75">
        <f t="shared" si="286"/>
      </c>
      <c r="AX70" s="75">
        <f t="shared" si="286"/>
      </c>
      <c r="AY70" s="75">
        <f t="shared" si="286"/>
      </c>
      <c r="AZ70" s="75">
        <f t="shared" si="286"/>
      </c>
      <c r="BA70" s="75">
        <f t="shared" si="286"/>
      </c>
      <c r="BB70" s="75">
        <f t="shared" ref="BB70:BU70" si="287">+BB21/BB84</f>
      </c>
      <c r="BC70" s="75">
        <f t="shared" si="287"/>
      </c>
      <c r="BD70" s="75">
        <f t="shared" si="287"/>
      </c>
      <c r="BE70" s="75">
        <f t="shared" si="287"/>
      </c>
      <c r="BF70" s="75">
        <f t="shared" si="287"/>
      </c>
      <c r="BG70" s="75">
        <f t="shared" si="287"/>
      </c>
      <c r="BH70" s="75">
        <f t="shared" si="287"/>
      </c>
      <c r="BI70" s="75">
        <f t="shared" si="287"/>
      </c>
      <c r="BJ70" s="75">
        <f t="shared" si="287"/>
      </c>
      <c r="BK70" s="75">
        <f t="shared" si="287"/>
      </c>
      <c r="BL70" s="75">
        <f t="shared" si="287"/>
      </c>
      <c r="BM70" s="75">
        <f t="shared" si="287"/>
      </c>
      <c r="BN70" s="75">
        <f t="shared" si="287"/>
      </c>
      <c r="BO70" s="75">
        <f t="shared" si="287"/>
      </c>
      <c r="BP70" s="75">
        <f t="shared" si="287"/>
      </c>
      <c r="BQ70" s="75">
        <f t="shared" si="287"/>
      </c>
      <c r="BR70" s="75">
        <f t="shared" si="287"/>
      </c>
      <c r="BS70" s="75">
        <f t="shared" si="287"/>
      </c>
      <c r="BT70" s="75">
        <f t="shared" si="287"/>
      </c>
      <c r="BU70" s="536">
        <f t="shared" si="287"/>
      </c>
      <c r="BV70" s="75">
        <f t="shared" ref="BV70:CE70" si="288">+BV21/BV84</f>
      </c>
      <c r="BW70" s="75">
        <f t="shared" si="288"/>
      </c>
      <c r="BX70" s="75">
        <f t="shared" si="288"/>
      </c>
      <c r="BY70" s="75">
        <f t="shared" si="288"/>
      </c>
      <c r="BZ70" s="538">
        <f t="shared" si="288"/>
      </c>
      <c r="CA70" s="75">
        <f t="shared" si="288"/>
      </c>
      <c r="CB70" s="75">
        <f t="shared" si="288"/>
      </c>
      <c r="CC70" s="75">
        <f t="shared" si="288"/>
      </c>
      <c r="CD70" s="75">
        <f t="shared" si="288"/>
      </c>
      <c r="CE70" s="536">
        <f t="shared" si="288"/>
      </c>
      <c r="CF70" s="75">
        <f t="shared" ref="CF70:CK70" si="289">+CF21/CF84</f>
      </c>
      <c r="CG70" s="75">
        <f t="shared" si="289"/>
      </c>
      <c r="CH70" s="75">
        <f t="shared" si="289"/>
      </c>
      <c r="CI70" s="75">
        <f t="shared" si="289"/>
      </c>
      <c r="CJ70" s="536">
        <f t="shared" si="289"/>
      </c>
      <c r="CK70" s="75">
        <f t="shared" si="289"/>
      </c>
      <c r="CL70" s="75">
        <f t="shared" ref="CL70:CW70" si="290">+CL21/CL84</f>
      </c>
      <c r="CM70" s="75">
        <f t="shared" si="290"/>
      </c>
      <c r="CN70" s="75">
        <f t="shared" si="290"/>
      </c>
      <c r="CO70" s="536">
        <f t="shared" si="290"/>
      </c>
      <c r="CP70" s="75">
        <f t="shared" si="290"/>
      </c>
      <c r="CQ70" s="75">
        <f t="shared" si="290"/>
      </c>
      <c r="CR70" s="75">
        <f t="shared" si="290"/>
      </c>
      <c r="CS70" s="75">
        <f t="shared" si="290"/>
      </c>
      <c r="CT70" s="536">
        <f t="shared" si="290"/>
      </c>
      <c r="CU70" s="75">
        <f t="shared" si="290"/>
      </c>
      <c r="CV70" s="75">
        <f t="shared" si="290"/>
      </c>
      <c r="CW70" s="75">
        <f t="shared" si="290"/>
      </c>
      <c r="CX70" s="75">
        <f t="shared" ref="CX70:DD70" si="291">+CX21/CX84</f>
      </c>
      <c r="CY70" s="536">
        <f t="shared" si="291"/>
      </c>
      <c r="CZ70" s="75">
        <f t="shared" si="291"/>
      </c>
      <c r="DA70" s="75">
        <f t="shared" si="291"/>
      </c>
      <c r="DB70" s="75">
        <f t="shared" si="291"/>
      </c>
      <c r="DC70" s="75">
        <f t="shared" si="291"/>
      </c>
      <c r="DD70" s="536">
        <f t="shared" si="291"/>
      </c>
      <c r="DE70" s="75">
        <f t="shared" ref="DE70:EF70" si="292">+DE21/DE84</f>
      </c>
      <c r="DF70" s="75">
        <f t="shared" si="292"/>
      </c>
      <c r="DG70" s="75">
        <f t="shared" si="292"/>
      </c>
      <c r="DH70" s="75">
        <f t="shared" si="292"/>
      </c>
      <c r="DI70" s="536">
        <f t="shared" si="292"/>
      </c>
      <c r="DJ70" s="75">
        <f t="shared" si="292"/>
      </c>
      <c r="DK70" s="75">
        <f t="shared" si="292"/>
      </c>
      <c r="DL70" s="75">
        <f t="shared" si="292"/>
      </c>
      <c r="DM70" s="75">
        <f t="shared" si="292"/>
      </c>
      <c r="DN70" s="536">
        <f t="shared" si="292"/>
      </c>
      <c r="DO70" s="1275">
        <f t="shared" si="292"/>
      </c>
      <c r="DP70" s="1275">
        <f t="shared" si="292"/>
      </c>
      <c r="DQ70" s="1275">
        <f t="shared" si="292"/>
      </c>
      <c r="DR70" s="75">
        <f t="shared" si="292"/>
      </c>
      <c r="DS70" s="536">
        <f t="shared" si="292"/>
      </c>
      <c r="DT70" s="1275">
        <f t="shared" si="292"/>
      </c>
      <c r="DU70" s="1275">
        <f t="shared" si="292"/>
      </c>
      <c r="DV70" s="1275">
        <f t="shared" si="292"/>
      </c>
      <c r="DW70" s="75">
        <f t="shared" si="292"/>
      </c>
      <c r="DX70" s="536">
        <f t="shared" si="292"/>
      </c>
      <c r="DY70" s="1275">
        <f t="shared" si="292"/>
      </c>
      <c r="DZ70" s="1275">
        <f t="shared" si="292"/>
      </c>
      <c r="EA70" s="1275">
        <f t="shared" si="292"/>
      </c>
      <c r="EB70" s="75">
        <f t="shared" si="292"/>
      </c>
      <c r="EC70" s="2720">
        <f t="shared" si="292"/>
      </c>
      <c r="ED70" s="1275">
        <f t="shared" si="292"/>
      </c>
      <c r="EE70" s="1275">
        <f t="shared" si="292"/>
      </c>
      <c r="EF70" s="1275">
        <f t="shared" si="292"/>
      </c>
      <c r="EG70" s="75">
        <f t="shared" ref="EG70:EP70" si="293">+EG21/EG84</f>
      </c>
      <c r="EH70" s="2722">
        <f t="shared" si="293"/>
      </c>
      <c r="EI70" s="1275">
        <f t="shared" si="293"/>
      </c>
      <c r="EJ70" s="1275">
        <f t="shared" si="293"/>
      </c>
      <c r="EK70" s="1275">
        <f t="shared" si="293"/>
      </c>
      <c r="EL70" s="75">
        <f t="shared" si="293"/>
      </c>
      <c r="EM70" s="2507">
        <f t="shared" si="293"/>
      </c>
      <c r="EN70" s="2570">
        <f t="shared" si="293"/>
      </c>
      <c r="EO70" s="2694">
        <f t="shared" si="293"/>
      </c>
      <c r="EP70" s="1140">
        <f t="shared" si="293"/>
      </c>
      <c r="EQ70" s="75">
        <f t="shared" ref="EQ70" si="294">+EQ21/EQ84</f>
      </c>
      <c r="ER70" s="3099">
        <f>+ER21/ER84</f>
      </c>
      <c r="ES70" s="2570">
        <f t="shared" ref="ES70:EV70" si="295">+ES21/ES84</f>
      </c>
      <c r="ET70" s="3495">
        <f t="shared" si="295"/>
      </c>
      <c r="EU70" s="1140">
        <f t="shared" si="295"/>
      </c>
      <c r="EV70" s="75">
        <f t="shared" si="295"/>
      </c>
      <c r="EW70" s="3099">
        <f>+EW21/EW84</f>
      </c>
      <c r="EX70" s="2570">
        <f t="shared" ref="EX70:EY70" si="296">+EX21/EX84</f>
      </c>
      <c r="EY70" s="3495">
        <f t="shared" si="296"/>
      </c>
      <c r="EZ70" s="3209">
        <f>EY70</f>
      </c>
      <c r="FA70" s="3210">
        <f>EZ70</f>
      </c>
      <c r="FB70" s="3211">
        <f>+FB21/FB84</f>
      </c>
      <c r="FC70" s="3212">
        <v>0</v>
      </c>
      <c r="FD70" s="3212">
        <v>0</v>
      </c>
      <c r="FE70" s="3212">
        <v>0</v>
      </c>
      <c r="FF70" s="3212">
        <v>0</v>
      </c>
      <c r="FG70" s="3212">
        <v>0</v>
      </c>
    </row>
    <row r="71" spans="1:163" outlineLevel="1">
      <c r="A71" s="1"/>
      <c r="B71" s="72"/>
      <c r="C71" s="72"/>
      <c r="D71" s="72"/>
      <c r="E71" s="72"/>
      <c r="F71" s="72"/>
      <c r="G71" s="72"/>
      <c r="H71" s="72"/>
      <c r="I71" s="72"/>
      <c r="J71" s="72"/>
      <c r="K71" s="72"/>
      <c r="L71" s="72"/>
      <c r="M71" s="72"/>
      <c r="N71" s="68"/>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c r="CC71" s="73"/>
      <c r="CD71" s="73"/>
      <c r="CE71" s="73"/>
      <c r="CF71" s="73"/>
      <c r="CG71" s="73"/>
      <c r="CH71" s="73"/>
      <c r="CI71" s="73"/>
      <c r="CJ71" s="73"/>
      <c r="CK71" s="73"/>
      <c r="CL71" s="73"/>
      <c r="CM71" s="73"/>
      <c r="CN71" s="73"/>
      <c r="CO71" s="73"/>
      <c r="CP71" s="73"/>
      <c r="CQ71" s="73"/>
      <c r="CR71" s="73"/>
      <c r="CS71" s="73"/>
      <c r="CT71" s="73"/>
      <c r="CU71" s="73"/>
      <c r="CV71" s="73"/>
      <c r="CW71" s="73"/>
      <c r="CX71" s="73"/>
      <c r="CY71" s="73"/>
      <c r="CZ71" s="73"/>
      <c r="DA71" s="73"/>
      <c r="DB71" s="73"/>
      <c r="DC71" s="73"/>
      <c r="DD71" s="73"/>
      <c r="DE71" s="73"/>
      <c r="DF71" s="73"/>
      <c r="DG71" s="73"/>
      <c r="DH71" s="73"/>
      <c r="DI71" s="73"/>
      <c r="DJ71" s="73"/>
      <c r="DK71" s="73"/>
      <c r="DL71" s="73"/>
      <c r="DM71" s="73"/>
      <c r="DN71" s="73"/>
      <c r="DO71" s="1045"/>
      <c r="DP71" s="1045"/>
      <c r="DQ71" s="1045"/>
      <c r="DR71" s="73"/>
      <c r="DS71" s="73"/>
      <c r="DT71" s="1045"/>
      <c r="DU71" s="1045"/>
      <c r="DV71" s="1045"/>
      <c r="DW71" s="1045"/>
      <c r="DX71" s="73"/>
      <c r="DY71" s="1045"/>
      <c r="DZ71" s="1045"/>
      <c r="EA71" s="1045"/>
      <c r="EB71" s="1045"/>
      <c r="EC71" s="73"/>
      <c r="ED71" s="1045"/>
      <c r="EE71" s="1045"/>
      <c r="EF71" s="1045"/>
      <c r="EG71" s="1045"/>
      <c r="EH71" s="1045"/>
      <c r="EI71" s="1045"/>
      <c r="EJ71" s="1045"/>
      <c r="EK71" s="1045"/>
      <c r="EL71" s="1045"/>
      <c r="EM71" s="73"/>
      <c r="EN71" s="1045"/>
      <c r="EO71" s="1045"/>
      <c r="EP71" s="1045"/>
      <c r="EQ71" s="1045"/>
      <c r="ER71" s="1045"/>
      <c r="ES71" s="1045"/>
      <c r="ET71" s="1045"/>
      <c r="EU71" s="1045"/>
      <c r="EV71" s="1045"/>
      <c r="EW71" s="1045"/>
      <c r="EX71" s="1045"/>
      <c r="EY71" s="1045"/>
      <c r="EZ71" s="1045"/>
      <c r="FA71" s="1045"/>
      <c r="FB71" s="1045"/>
      <c r="FC71" s="1045"/>
      <c r="FD71" s="1045"/>
      <c r="FE71" s="1045"/>
      <c r="FF71" s="1045"/>
      <c r="FG71" s="1045"/>
    </row>
    <row r="72" spans="1:163" outlineLevel="1">
      <c r="A72" s="1"/>
      <c r="B72" s="769" t="s">
        <v>378</v>
      </c>
      <c r="C72" s="770"/>
      <c r="D72" s="770"/>
      <c r="E72" s="770"/>
      <c r="F72" s="770"/>
      <c r="G72" s="770"/>
      <c r="H72" s="770"/>
      <c r="I72" s="770"/>
      <c r="J72" s="770"/>
      <c r="K72" s="770"/>
      <c r="L72" s="770"/>
      <c r="M72" s="770"/>
      <c r="N72" s="755"/>
      <c r="O72" s="593"/>
      <c r="P72" s="593"/>
      <c r="Q72" s="593"/>
      <c r="R72" s="593"/>
      <c r="S72" s="593"/>
      <c r="T72" s="593"/>
      <c r="U72" s="593"/>
      <c r="V72" s="593"/>
      <c r="W72" s="593"/>
      <c r="X72" s="593"/>
      <c r="Y72" s="593"/>
      <c r="Z72" s="593"/>
      <c r="AA72" s="593"/>
      <c r="AB72" s="593"/>
      <c r="AC72" s="593"/>
      <c r="AD72" s="593"/>
      <c r="AE72" s="593"/>
      <c r="AF72" s="593"/>
      <c r="AG72" s="593"/>
      <c r="AH72" s="593"/>
      <c r="AI72" s="593"/>
      <c r="AJ72" s="593"/>
      <c r="AK72" s="593"/>
      <c r="AL72" s="593"/>
      <c r="AM72" s="593"/>
      <c r="AN72" s="593"/>
      <c r="AO72" s="593"/>
      <c r="AP72" s="593"/>
      <c r="AQ72" s="593"/>
      <c r="AR72" s="593"/>
      <c r="AS72" s="593"/>
      <c r="AT72" s="593"/>
      <c r="AU72" s="593"/>
      <c r="AV72" s="593"/>
      <c r="AW72" s="593"/>
      <c r="AX72" s="593"/>
      <c r="AY72" s="593"/>
      <c r="AZ72" s="593"/>
      <c r="BA72" s="593"/>
      <c r="BB72" s="593"/>
      <c r="BC72" s="593"/>
      <c r="BD72" s="593"/>
      <c r="BE72" s="593"/>
      <c r="BF72" s="593"/>
      <c r="BG72" s="593"/>
      <c r="BH72" s="593"/>
      <c r="BI72" s="593"/>
      <c r="BJ72" s="593"/>
      <c r="BK72" s="593"/>
      <c r="BL72" s="593"/>
      <c r="BM72" s="593"/>
      <c r="BN72" s="593"/>
      <c r="BO72" s="593"/>
      <c r="BP72" s="593"/>
      <c r="BQ72" s="593"/>
      <c r="BR72" s="593"/>
      <c r="BS72" s="593"/>
      <c r="BT72" s="593"/>
      <c r="BU72" s="771"/>
      <c r="BV72" s="593"/>
      <c r="BW72" s="593"/>
      <c r="BX72" s="593"/>
      <c r="BY72" s="593"/>
      <c r="BZ72" s="771"/>
      <c r="CA72" s="593"/>
      <c r="CB72" s="593"/>
      <c r="CC72" s="593"/>
      <c r="CD72" s="593"/>
      <c r="CE72" s="771"/>
      <c r="CF72" s="593"/>
      <c r="CG72" s="593"/>
      <c r="CH72" s="593"/>
      <c r="CI72" s="593"/>
      <c r="CJ72" s="771"/>
      <c r="CK72" s="593"/>
      <c r="CL72" s="593"/>
      <c r="CM72" s="593"/>
      <c r="CN72" s="593"/>
      <c r="CO72" s="771"/>
      <c r="CP72" s="593"/>
      <c r="CQ72" s="593"/>
      <c r="CR72" s="593"/>
      <c r="CS72" s="593"/>
      <c r="CT72" s="771"/>
      <c r="CU72" s="593"/>
      <c r="CV72" s="593"/>
      <c r="CW72" s="593"/>
      <c r="CX72" s="593"/>
      <c r="CY72" s="771"/>
      <c r="CZ72" s="593"/>
      <c r="DA72" s="593"/>
      <c r="DB72" s="593"/>
      <c r="DC72" s="593"/>
      <c r="DD72" s="1113"/>
      <c r="DE72" s="593"/>
      <c r="DF72" s="593"/>
      <c r="DG72" s="593"/>
      <c r="DH72" s="593"/>
      <c r="DI72" s="1113"/>
      <c r="DJ72" s="593"/>
      <c r="DK72" s="593"/>
      <c r="DL72" s="593"/>
      <c r="DM72" s="593"/>
      <c r="DN72" s="1113"/>
      <c r="DO72" s="1124"/>
      <c r="DP72" s="1124"/>
      <c r="DQ72" s="1124"/>
      <c r="DR72" s="593"/>
      <c r="DS72" s="1113"/>
      <c r="DT72" s="1124"/>
      <c r="DU72" s="1124"/>
      <c r="DV72" s="1124"/>
      <c r="DW72" s="1124"/>
      <c r="DX72" s="1113"/>
      <c r="DY72" s="1124"/>
      <c r="DZ72" s="1124"/>
      <c r="EA72" s="1124"/>
      <c r="EB72" s="1124"/>
      <c r="EC72" s="2714"/>
      <c r="ED72" s="1124"/>
      <c r="EE72" s="1499"/>
      <c r="EF72" s="1499"/>
      <c r="EG72" s="1499"/>
      <c r="EH72" s="2714"/>
      <c r="EI72" s="1124"/>
      <c r="EJ72" s="1499"/>
      <c r="EK72" s="1499"/>
      <c r="EL72" s="1499"/>
      <c r="EM72" s="2509"/>
      <c r="EN72" s="2503"/>
      <c r="EO72" s="2692"/>
      <c r="EP72" s="2692"/>
      <c r="EQ72" s="2042"/>
      <c r="ER72" s="2041"/>
      <c r="ES72" s="2503"/>
      <c r="ET72" s="2692"/>
      <c r="EU72" s="2692"/>
      <c r="EV72" s="2042"/>
      <c r="EW72" s="2041"/>
      <c r="EX72" s="2503"/>
      <c r="EY72" s="2692"/>
      <c r="EZ72" s="1499"/>
      <c r="FA72" s="2042"/>
      <c r="FB72" s="2041"/>
      <c r="FC72" s="1287"/>
      <c r="FD72" s="1287"/>
      <c r="FE72" s="1287"/>
      <c r="FF72" s="1287"/>
      <c r="FG72" s="1287"/>
    </row>
    <row r="73" spans="1:163" outlineLevel="1">
      <c r="A73" s="1"/>
      <c r="B73" s="108" t="s">
        <v>277</v>
      </c>
      <c r="C73" s="72"/>
      <c r="D73" s="72"/>
      <c r="E73" s="72"/>
      <c r="F73" s="72"/>
      <c r="G73" s="72"/>
      <c r="H73" s="72"/>
      <c r="I73" s="72"/>
      <c r="J73" s="72"/>
      <c r="K73" s="72"/>
      <c r="L73" s="72"/>
      <c r="M73" s="72"/>
      <c r="N73" s="68"/>
      <c r="O73" s="1"/>
      <c r="P73" s="1"/>
      <c r="Q73" s="1"/>
      <c r="R73" s="1"/>
      <c r="S73" s="1"/>
      <c r="T73" s="1"/>
      <c r="U73" s="1"/>
      <c r="V73" s="22">
        <f t="shared" ref="V73:BA73" si="297">+V34/V84</f>
      </c>
      <c r="W73" s="22">
        <f t="shared" si="297"/>
      </c>
      <c r="X73" s="22"/>
      <c r="Y73" s="22"/>
      <c r="Z73" s="22"/>
      <c r="AA73" s="22"/>
      <c r="AB73" s="22">
        <f t="shared" si="297"/>
      </c>
      <c r="AC73" s="22">
        <f t="shared" si="297"/>
      </c>
      <c r="AD73" s="22">
        <f t="shared" si="297"/>
      </c>
      <c r="AE73" s="22">
        <f t="shared" si="297"/>
      </c>
      <c r="AF73" s="22">
        <f t="shared" si="297"/>
      </c>
      <c r="AG73" s="22">
        <f t="shared" si="297"/>
      </c>
      <c r="AH73" s="22">
        <f t="shared" si="297"/>
      </c>
      <c r="AI73" s="22">
        <f t="shared" si="297"/>
      </c>
      <c r="AJ73" s="22">
        <f t="shared" si="297"/>
      </c>
      <c r="AK73" s="22">
        <f t="shared" si="297"/>
      </c>
      <c r="AL73" s="22">
        <f t="shared" si="297"/>
      </c>
      <c r="AM73" s="22">
        <f t="shared" si="297"/>
      </c>
      <c r="AN73" s="22">
        <f t="shared" si="297"/>
      </c>
      <c r="AO73" s="22">
        <f t="shared" si="297"/>
      </c>
      <c r="AP73" s="22">
        <f t="shared" si="297"/>
      </c>
      <c r="AQ73" s="22">
        <f t="shared" si="297"/>
      </c>
      <c r="AR73" s="22">
        <f t="shared" si="297"/>
      </c>
      <c r="AS73" s="22">
        <f t="shared" si="297"/>
      </c>
      <c r="AT73" s="22">
        <f t="shared" si="297"/>
      </c>
      <c r="AU73" s="22">
        <f t="shared" si="297"/>
      </c>
      <c r="AV73" s="22">
        <f t="shared" si="297"/>
      </c>
      <c r="AW73" s="22">
        <f t="shared" si="297"/>
      </c>
      <c r="AX73" s="22">
        <f t="shared" si="297"/>
      </c>
      <c r="AY73" s="22">
        <f t="shared" si="297"/>
      </c>
      <c r="AZ73" s="22">
        <f t="shared" si="297"/>
      </c>
      <c r="BA73" s="22">
        <f t="shared" si="297"/>
      </c>
      <c r="BB73" s="22">
        <f t="shared" ref="BB73:BU73" si="298">+BB34/BB84</f>
      </c>
      <c r="BC73" s="22">
        <f t="shared" si="298"/>
      </c>
      <c r="BD73" s="22">
        <f t="shared" si="298"/>
      </c>
      <c r="BE73" s="22">
        <f t="shared" si="298"/>
      </c>
      <c r="BF73" s="22">
        <f t="shared" si="298"/>
      </c>
      <c r="BG73" s="22">
        <f t="shared" si="298"/>
      </c>
      <c r="BH73" s="22">
        <f t="shared" si="298"/>
      </c>
      <c r="BI73" s="22">
        <f t="shared" si="298"/>
      </c>
      <c r="BJ73" s="22">
        <f t="shared" si="298"/>
      </c>
      <c r="BK73" s="22">
        <f t="shared" si="298"/>
      </c>
      <c r="BL73" s="22">
        <f t="shared" si="298"/>
      </c>
      <c r="BM73" s="22">
        <f t="shared" si="298"/>
      </c>
      <c r="BN73" s="22">
        <f t="shared" si="298"/>
      </c>
      <c r="BO73" s="22">
        <f t="shared" si="298"/>
      </c>
      <c r="BP73" s="22">
        <f t="shared" si="298"/>
      </c>
      <c r="BQ73" s="22">
        <f t="shared" si="298"/>
      </c>
      <c r="BR73" s="22">
        <f t="shared" si="298"/>
      </c>
      <c r="BS73" s="22">
        <f t="shared" si="298"/>
      </c>
      <c r="BT73" s="22">
        <f t="shared" si="298"/>
      </c>
      <c r="BU73" s="537">
        <f t="shared" si="298"/>
      </c>
      <c r="BV73" s="22">
        <f t="shared" ref="BV73:CE73" si="299">+BV34/BV84</f>
      </c>
      <c r="BW73" s="22">
        <f t="shared" si="299"/>
      </c>
      <c r="BX73" s="22">
        <f t="shared" si="299"/>
      </c>
      <c r="BY73" s="22">
        <f t="shared" si="299"/>
      </c>
      <c r="BZ73" s="537">
        <f t="shared" si="299"/>
      </c>
      <c r="CA73" s="22">
        <f t="shared" si="299"/>
      </c>
      <c r="CB73" s="22">
        <f t="shared" si="299"/>
      </c>
      <c r="CC73" s="22">
        <f t="shared" si="299"/>
      </c>
      <c r="CD73" s="22">
        <f t="shared" si="299"/>
      </c>
      <c r="CE73" s="537">
        <f t="shared" si="299"/>
      </c>
      <c r="CF73" s="22">
        <f t="shared" ref="CF73:CK73" si="300">+CF34/CF84</f>
      </c>
      <c r="CG73" s="22">
        <f t="shared" si="300"/>
      </c>
      <c r="CH73" s="22">
        <f t="shared" si="300"/>
      </c>
      <c r="CI73" s="22">
        <f t="shared" si="300"/>
      </c>
      <c r="CJ73" s="537">
        <f t="shared" si="300"/>
      </c>
      <c r="CK73" s="22">
        <f t="shared" si="300"/>
      </c>
      <c r="CL73" s="22">
        <f t="shared" ref="CL73:CW73" si="301">+CL34/CL84</f>
      </c>
      <c r="CM73" s="22">
        <f t="shared" si="301"/>
      </c>
      <c r="CN73" s="22">
        <f t="shared" si="301"/>
      </c>
      <c r="CO73" s="537">
        <f t="shared" si="301"/>
      </c>
      <c r="CP73" s="22">
        <f t="shared" si="301"/>
      </c>
      <c r="CQ73" s="22">
        <f t="shared" si="301"/>
      </c>
      <c r="CR73" s="22">
        <f t="shared" si="301"/>
      </c>
      <c r="CS73" s="22">
        <f t="shared" si="301"/>
      </c>
      <c r="CT73" s="537">
        <f t="shared" si="301"/>
      </c>
      <c r="CU73" s="22">
        <f t="shared" si="301"/>
      </c>
      <c r="CV73" s="22">
        <f t="shared" si="301"/>
      </c>
      <c r="CW73" s="22">
        <f t="shared" si="301"/>
      </c>
      <c r="CX73" s="22">
        <f t="shared" ref="CX73:DD73" si="302">+CX34/CX84</f>
      </c>
      <c r="CY73" s="537">
        <f t="shared" si="302"/>
      </c>
      <c r="CZ73" s="22">
        <f t="shared" si="302"/>
      </c>
      <c r="DA73" s="22">
        <f t="shared" si="302"/>
      </c>
      <c r="DB73" s="22">
        <f t="shared" si="302"/>
      </c>
      <c r="DC73" s="22">
        <f t="shared" si="302"/>
      </c>
      <c r="DD73" s="537">
        <f t="shared" si="302"/>
      </c>
      <c r="DE73" s="22">
        <f t="shared" ref="DE73:EF73" si="303">+DE34/DE84</f>
      </c>
      <c r="DF73" s="22">
        <f t="shared" si="303"/>
      </c>
      <c r="DG73" s="22">
        <f t="shared" si="303"/>
      </c>
      <c r="DH73" s="22">
        <f t="shared" si="303"/>
      </c>
      <c r="DI73" s="537">
        <f t="shared" si="303"/>
      </c>
      <c r="DJ73" s="22">
        <f t="shared" si="303"/>
      </c>
      <c r="DK73" s="22">
        <f t="shared" si="303"/>
      </c>
      <c r="DL73" s="22">
        <f t="shared" si="303"/>
      </c>
      <c r="DM73" s="22">
        <f t="shared" si="303"/>
      </c>
      <c r="DN73" s="537">
        <f t="shared" si="303"/>
      </c>
      <c r="DO73" s="943">
        <f t="shared" si="303"/>
      </c>
      <c r="DP73" s="943">
        <f t="shared" si="303"/>
      </c>
      <c r="DQ73" s="943">
        <f t="shared" si="303"/>
      </c>
      <c r="DR73" s="22">
        <f t="shared" si="303"/>
      </c>
      <c r="DS73" s="537">
        <f t="shared" si="303"/>
      </c>
      <c r="DT73" s="943">
        <f t="shared" si="303"/>
      </c>
      <c r="DU73" s="943">
        <f t="shared" si="303"/>
      </c>
      <c r="DV73" s="943">
        <f t="shared" si="303"/>
      </c>
      <c r="DW73" s="22">
        <f t="shared" si="303"/>
      </c>
      <c r="DX73" s="537">
        <f t="shared" si="303"/>
      </c>
      <c r="DY73" s="943">
        <f t="shared" si="303"/>
      </c>
      <c r="DZ73" s="943">
        <f t="shared" si="303"/>
      </c>
      <c r="EA73" s="943">
        <f t="shared" si="303"/>
      </c>
      <c r="EB73" s="22">
        <f t="shared" si="303"/>
      </c>
      <c r="EC73" s="297">
        <f t="shared" si="303"/>
      </c>
      <c r="ED73" s="943">
        <f t="shared" si="303"/>
      </c>
      <c r="EE73" s="943">
        <f t="shared" si="303"/>
      </c>
      <c r="EF73" s="943">
        <f t="shared" si="303"/>
      </c>
      <c r="EG73" s="22">
        <f t="shared" ref="EG73:EP73" si="304">+EG34/EG84</f>
      </c>
      <c r="EH73" s="1067">
        <f t="shared" si="304"/>
      </c>
      <c r="EI73" s="943">
        <f t="shared" si="304"/>
      </c>
      <c r="EJ73" s="943">
        <f t="shared" si="304"/>
      </c>
      <c r="EK73" s="943">
        <f t="shared" si="304"/>
      </c>
      <c r="EL73" s="22">
        <f t="shared" si="304"/>
      </c>
      <c r="EM73" s="2510">
        <f t="shared" si="304"/>
      </c>
      <c r="EN73" s="2524">
        <f t="shared" si="304"/>
      </c>
      <c r="EO73" s="943">
        <f t="shared" si="304"/>
      </c>
      <c r="EP73" s="943">
        <f t="shared" si="304"/>
      </c>
      <c r="EQ73" s="22">
        <f t="shared" ref="EQ73" si="305">+EQ34/EQ84</f>
      </c>
      <c r="ER73" s="3095">
        <f>+ER34/ER84</f>
      </c>
      <c r="ES73" s="2524">
        <f t="shared" ref="ES73:EV73" si="306">+ES34/ES84</f>
      </c>
      <c r="ET73" s="943">
        <f t="shared" si="306"/>
      </c>
      <c r="EU73" s="943">
        <f t="shared" si="306"/>
      </c>
      <c r="EV73" s="22">
        <f t="shared" si="306"/>
      </c>
      <c r="EW73" s="3095">
        <f>+EW34/EW84</f>
      </c>
      <c r="EX73" s="2524">
        <f t="shared" ref="EX73:EY73" si="307">+EX34/EX84</f>
      </c>
      <c r="EY73" s="943">
        <f t="shared" si="307"/>
      </c>
      <c r="EZ73" s="3206">
        <f>EY73</f>
      </c>
      <c r="FA73" s="3207">
        <f>EZ73</f>
      </c>
      <c r="FB73" s="3586">
        <f>+FB34/FB84</f>
      </c>
      <c r="FC73" s="3101">
        <f t="shared" ref="FC73:FG73" si="308">+FB73</f>
      </c>
      <c r="FD73" s="3101">
        <f t="shared" si="308"/>
      </c>
      <c r="FE73" s="3101">
        <f t="shared" si="308"/>
      </c>
      <c r="FF73" s="3101">
        <f t="shared" si="308"/>
      </c>
      <c r="FG73" s="3101">
        <f t="shared" si="308"/>
      </c>
    </row>
    <row r="74" spans="1:163" outlineLevel="1">
      <c r="A74" s="1"/>
      <c r="B74" s="108" t="s">
        <v>280</v>
      </c>
      <c r="C74" s="72"/>
      <c r="D74" s="72"/>
      <c r="E74" s="72"/>
      <c r="F74" s="72"/>
      <c r="G74" s="72"/>
      <c r="H74" s="72"/>
      <c r="I74" s="72"/>
      <c r="J74" s="72"/>
      <c r="K74" s="72"/>
      <c r="L74" s="72"/>
      <c r="M74" s="72"/>
      <c r="N74" s="68"/>
      <c r="O74" s="1"/>
      <c r="P74" s="1"/>
      <c r="Q74" s="1"/>
      <c r="R74" s="1"/>
      <c r="S74" s="1"/>
      <c r="T74" s="1"/>
      <c r="U74" s="1"/>
      <c r="V74" s="22">
        <f>+V38/V84</f>
      </c>
      <c r="W74" s="22">
        <f t="shared" ref="W74:BU74" si="309">+W38/W84</f>
      </c>
      <c r="X74" s="22"/>
      <c r="Y74" s="22"/>
      <c r="Z74" s="22"/>
      <c r="AA74" s="22"/>
      <c r="AB74" s="22">
        <f t="shared" si="309"/>
      </c>
      <c r="AC74" s="22">
        <f t="shared" si="309"/>
      </c>
      <c r="AD74" s="22">
        <f t="shared" si="309"/>
      </c>
      <c r="AE74" s="22">
        <f t="shared" si="309"/>
      </c>
      <c r="AF74" s="22">
        <f t="shared" si="309"/>
      </c>
      <c r="AG74" s="22">
        <f t="shared" si="309"/>
      </c>
      <c r="AH74" s="22">
        <f t="shared" si="309"/>
      </c>
      <c r="AI74" s="22">
        <f t="shared" si="309"/>
      </c>
      <c r="AJ74" s="22">
        <f t="shared" si="309"/>
      </c>
      <c r="AK74" s="22">
        <f t="shared" si="309"/>
      </c>
      <c r="AL74" s="22">
        <f t="shared" si="309"/>
      </c>
      <c r="AM74" s="22">
        <f t="shared" si="309"/>
      </c>
      <c r="AN74" s="22">
        <f t="shared" si="309"/>
      </c>
      <c r="AO74" s="22">
        <f t="shared" si="309"/>
      </c>
      <c r="AP74" s="22">
        <f t="shared" si="309"/>
      </c>
      <c r="AQ74" s="22">
        <f t="shared" si="309"/>
      </c>
      <c r="AR74" s="22">
        <f t="shared" si="309"/>
      </c>
      <c r="AS74" s="22">
        <f t="shared" si="309"/>
      </c>
      <c r="AT74" s="22">
        <f t="shared" si="309"/>
      </c>
      <c r="AU74" s="22">
        <f t="shared" si="309"/>
      </c>
      <c r="AV74" s="22">
        <f t="shared" si="309"/>
      </c>
      <c r="AW74" s="22">
        <f t="shared" si="309"/>
      </c>
      <c r="AX74" s="22">
        <f t="shared" si="309"/>
      </c>
      <c r="AY74" s="22">
        <f t="shared" si="309"/>
      </c>
      <c r="AZ74" s="22">
        <f t="shared" si="309"/>
      </c>
      <c r="BA74" s="22">
        <f t="shared" si="309"/>
      </c>
      <c r="BB74" s="22">
        <f t="shared" si="309"/>
      </c>
      <c r="BC74" s="22">
        <f t="shared" si="309"/>
      </c>
      <c r="BD74" s="22">
        <f t="shared" si="309"/>
      </c>
      <c r="BE74" s="22">
        <f t="shared" si="309"/>
      </c>
      <c r="BF74" s="22">
        <f t="shared" si="309"/>
      </c>
      <c r="BG74" s="22">
        <f t="shared" si="309"/>
      </c>
      <c r="BH74" s="22">
        <f t="shared" si="309"/>
      </c>
      <c r="BI74" s="22">
        <f t="shared" si="309"/>
      </c>
      <c r="BJ74" s="22">
        <f t="shared" si="309"/>
      </c>
      <c r="BK74" s="22">
        <f t="shared" si="309"/>
      </c>
      <c r="BL74" s="22">
        <f t="shared" si="309"/>
      </c>
      <c r="BM74" s="22">
        <f t="shared" si="309"/>
      </c>
      <c r="BN74" s="22">
        <f t="shared" si="309"/>
      </c>
      <c r="BO74" s="22">
        <f t="shared" si="309"/>
      </c>
      <c r="BP74" s="22">
        <f t="shared" si="309"/>
      </c>
      <c r="BQ74" s="22">
        <f t="shared" si="309"/>
      </c>
      <c r="BR74" s="22">
        <f t="shared" si="309"/>
      </c>
      <c r="BS74" s="22">
        <f t="shared" si="309"/>
      </c>
      <c r="BT74" s="22">
        <f t="shared" si="309"/>
      </c>
      <c r="BU74" s="537">
        <f t="shared" si="309"/>
      </c>
      <c r="BV74" s="22">
        <f t="shared" ref="BV74:CE74" si="310">+BV38/BV84</f>
      </c>
      <c r="BW74" s="22">
        <f t="shared" si="310"/>
      </c>
      <c r="BX74" s="22">
        <f t="shared" si="310"/>
      </c>
      <c r="BY74" s="22">
        <f t="shared" si="310"/>
      </c>
      <c r="BZ74" s="537">
        <f t="shared" si="310"/>
      </c>
      <c r="CA74" s="22">
        <f t="shared" si="310"/>
      </c>
      <c r="CB74" s="22">
        <f t="shared" si="310"/>
      </c>
      <c r="CC74" s="22">
        <f t="shared" si="310"/>
      </c>
      <c r="CD74" s="22">
        <f t="shared" si="310"/>
      </c>
      <c r="CE74" s="537">
        <f t="shared" si="310"/>
      </c>
      <c r="CF74" s="22">
        <f t="shared" ref="CF74:CK74" si="311">+CF38/CF84</f>
      </c>
      <c r="CG74" s="22">
        <f t="shared" si="311"/>
      </c>
      <c r="CH74" s="22">
        <f t="shared" si="311"/>
      </c>
      <c r="CI74" s="22">
        <f t="shared" si="311"/>
      </c>
      <c r="CJ74" s="537">
        <f t="shared" si="311"/>
      </c>
      <c r="CK74" s="22">
        <f t="shared" si="311"/>
      </c>
      <c r="CL74" s="22">
        <f t="shared" ref="CL74:CW74" si="312">+CL38/CL84</f>
      </c>
      <c r="CM74" s="22">
        <f t="shared" si="312"/>
      </c>
      <c r="CN74" s="22">
        <f t="shared" si="312"/>
      </c>
      <c r="CO74" s="537">
        <f t="shared" si="312"/>
      </c>
      <c r="CP74" s="22">
        <f t="shared" si="312"/>
      </c>
      <c r="CQ74" s="22">
        <f t="shared" si="312"/>
      </c>
      <c r="CR74" s="22">
        <f t="shared" si="312"/>
      </c>
      <c r="CS74" s="22">
        <f t="shared" si="312"/>
      </c>
      <c r="CT74" s="537">
        <f t="shared" si="312"/>
      </c>
      <c r="CU74" s="22">
        <f t="shared" si="312"/>
      </c>
      <c r="CV74" s="22">
        <f t="shared" si="312"/>
      </c>
      <c r="CW74" s="22">
        <f t="shared" si="312"/>
      </c>
      <c r="CX74" s="22">
        <f t="shared" ref="CX74:DD74" si="313">+CX38/CX84</f>
      </c>
      <c r="CY74" s="537">
        <f t="shared" si="313"/>
      </c>
      <c r="CZ74" s="22">
        <f t="shared" si="313"/>
      </c>
      <c r="DA74" s="22">
        <f t="shared" si="313"/>
      </c>
      <c r="DB74" s="22">
        <f t="shared" si="313"/>
      </c>
      <c r="DC74" s="22">
        <f t="shared" si="313"/>
      </c>
      <c r="DD74" s="537">
        <f t="shared" si="313"/>
      </c>
      <c r="DE74" s="22">
        <f t="shared" ref="DE74:EF74" si="314">+DE38/DE84</f>
      </c>
      <c r="DF74" s="22">
        <f t="shared" si="314"/>
      </c>
      <c r="DG74" s="22">
        <f t="shared" si="314"/>
      </c>
      <c r="DH74" s="22">
        <f t="shared" si="314"/>
      </c>
      <c r="DI74" s="537">
        <f t="shared" si="314"/>
      </c>
      <c r="DJ74" s="22">
        <f t="shared" si="314"/>
      </c>
      <c r="DK74" s="22">
        <f t="shared" si="314"/>
      </c>
      <c r="DL74" s="22">
        <f t="shared" si="314"/>
      </c>
      <c r="DM74" s="22">
        <f t="shared" si="314"/>
      </c>
      <c r="DN74" s="537">
        <f t="shared" si="314"/>
      </c>
      <c r="DO74" s="943">
        <f t="shared" si="314"/>
      </c>
      <c r="DP74" s="943">
        <f t="shared" si="314"/>
      </c>
      <c r="DQ74" s="943">
        <f t="shared" si="314"/>
      </c>
      <c r="DR74" s="22">
        <f t="shared" si="314"/>
      </c>
      <c r="DS74" s="537">
        <f t="shared" si="314"/>
      </c>
      <c r="DT74" s="943">
        <f t="shared" si="314"/>
      </c>
      <c r="DU74" s="943">
        <f t="shared" si="314"/>
      </c>
      <c r="DV74" s="943">
        <f t="shared" si="314"/>
      </c>
      <c r="DW74" s="22">
        <f t="shared" si="314"/>
      </c>
      <c r="DX74" s="537">
        <f t="shared" si="314"/>
      </c>
      <c r="DY74" s="943">
        <f t="shared" si="314"/>
      </c>
      <c r="DZ74" s="943">
        <f t="shared" si="314"/>
      </c>
      <c r="EA74" s="943">
        <f t="shared" si="314"/>
      </c>
      <c r="EB74" s="22">
        <f t="shared" si="314"/>
      </c>
      <c r="EC74" s="297">
        <f t="shared" si="314"/>
      </c>
      <c r="ED74" s="943">
        <f t="shared" si="314"/>
      </c>
      <c r="EE74" s="943">
        <f t="shared" si="314"/>
      </c>
      <c r="EF74" s="943">
        <f t="shared" si="314"/>
      </c>
      <c r="EG74" s="22">
        <f t="shared" ref="EG74:EP74" si="315">+EG38/EG84</f>
      </c>
      <c r="EH74" s="1067">
        <f t="shared" si="315"/>
      </c>
      <c r="EI74" s="943">
        <f t="shared" si="315"/>
      </c>
      <c r="EJ74" s="943">
        <f t="shared" si="315"/>
      </c>
      <c r="EK74" s="943">
        <f t="shared" si="315"/>
      </c>
      <c r="EL74" s="22">
        <f t="shared" si="315"/>
      </c>
      <c r="EM74" s="2510">
        <f t="shared" si="315"/>
      </c>
      <c r="EN74" s="2524">
        <f t="shared" si="315"/>
      </c>
      <c r="EO74" s="943">
        <f t="shared" si="315"/>
      </c>
      <c r="EP74" s="943">
        <f t="shared" si="315"/>
      </c>
      <c r="EQ74" s="22">
        <f t="shared" ref="EQ74" si="316">+EQ38/EQ84</f>
      </c>
      <c r="ER74" s="2595">
        <f>+ER38/ER84</f>
      </c>
      <c r="ES74" s="2524">
        <f t="shared" ref="ES74:EV74" si="317">+ES38/ES84</f>
      </c>
      <c r="ET74" s="943">
        <f t="shared" si="317"/>
      </c>
      <c r="EU74" s="943">
        <f t="shared" si="317"/>
      </c>
      <c r="EV74" s="22">
        <f t="shared" si="317"/>
      </c>
      <c r="EW74" s="2595">
        <f>+EW38/EW84</f>
      </c>
      <c r="EX74" s="2524">
        <f t="shared" ref="EX74:EY74" si="318">+EX38/EX84</f>
      </c>
      <c r="EY74" s="943">
        <f t="shared" si="318"/>
      </c>
      <c r="EZ74" s="3206">
        <v>7.0000000000000007E-2</v>
      </c>
      <c r="FA74" s="3207">
        <v>0.06</v>
      </c>
      <c r="FB74" s="3213">
        <f>+FB38/FB84</f>
      </c>
      <c r="FC74" s="3214">
        <f t="shared" ref="FC74:FG74" si="319">+FB74-1%</f>
      </c>
      <c r="FD74" s="3214">
        <f t="shared" si="319"/>
      </c>
      <c r="FE74" s="3214">
        <f t="shared" si="319"/>
      </c>
      <c r="FF74" s="3214">
        <f t="shared" si="319"/>
      </c>
      <c r="FG74" s="3214">
        <f t="shared" si="319"/>
      </c>
    </row>
    <row r="75" spans="1:163" outlineLevel="1">
      <c r="A75" s="1"/>
      <c r="B75" s="108" t="s">
        <v>281</v>
      </c>
      <c r="C75" s="72"/>
      <c r="D75" s="72"/>
      <c r="E75" s="72"/>
      <c r="F75" s="72"/>
      <c r="G75" s="72"/>
      <c r="H75" s="72"/>
      <c r="I75" s="72"/>
      <c r="J75" s="72"/>
      <c r="K75" s="72"/>
      <c r="L75" s="72"/>
      <c r="M75" s="72"/>
      <c r="N75" s="68"/>
      <c r="O75" s="1"/>
      <c r="P75" s="1"/>
      <c r="Q75" s="1"/>
      <c r="R75" s="1"/>
      <c r="S75" s="1"/>
      <c r="T75" s="1"/>
      <c r="U75" s="1"/>
      <c r="V75" s="22">
        <f>+V39/V$84</f>
      </c>
      <c r="W75" s="22">
        <f t="shared" ref="W75:BU75" si="320">+W39/W$84</f>
      </c>
      <c r="X75" s="22"/>
      <c r="Y75" s="22"/>
      <c r="Z75" s="22"/>
      <c r="AA75" s="22"/>
      <c r="AB75" s="22">
        <f t="shared" si="320"/>
      </c>
      <c r="AC75" s="22">
        <f t="shared" si="320"/>
      </c>
      <c r="AD75" s="22">
        <f t="shared" si="320"/>
      </c>
      <c r="AE75" s="22">
        <f t="shared" si="320"/>
      </c>
      <c r="AF75" s="22">
        <f t="shared" si="320"/>
      </c>
      <c r="AG75" s="22">
        <f t="shared" si="320"/>
      </c>
      <c r="AH75" s="22">
        <f t="shared" si="320"/>
      </c>
      <c r="AI75" s="22">
        <f t="shared" si="320"/>
      </c>
      <c r="AJ75" s="22">
        <f t="shared" si="320"/>
      </c>
      <c r="AK75" s="22">
        <f t="shared" si="320"/>
      </c>
      <c r="AL75" s="22">
        <f t="shared" si="320"/>
      </c>
      <c r="AM75" s="22">
        <f t="shared" si="320"/>
      </c>
      <c r="AN75" s="22">
        <f t="shared" si="320"/>
      </c>
      <c r="AO75" s="22">
        <f t="shared" si="320"/>
      </c>
      <c r="AP75" s="22">
        <f t="shared" si="320"/>
      </c>
      <c r="AQ75" s="22">
        <f t="shared" si="320"/>
      </c>
      <c r="AR75" s="22">
        <f t="shared" si="320"/>
      </c>
      <c r="AS75" s="22">
        <f t="shared" si="320"/>
      </c>
      <c r="AT75" s="22">
        <f t="shared" si="320"/>
      </c>
      <c r="AU75" s="22">
        <f t="shared" si="320"/>
      </c>
      <c r="AV75" s="22">
        <f t="shared" si="320"/>
      </c>
      <c r="AW75" s="22">
        <f t="shared" si="320"/>
      </c>
      <c r="AX75" s="22">
        <f t="shared" si="320"/>
      </c>
      <c r="AY75" s="22">
        <f t="shared" si="320"/>
      </c>
      <c r="AZ75" s="22">
        <f t="shared" si="320"/>
      </c>
      <c r="BA75" s="22">
        <f t="shared" si="320"/>
      </c>
      <c r="BB75" s="22">
        <f t="shared" si="320"/>
      </c>
      <c r="BC75" s="22">
        <f t="shared" si="320"/>
      </c>
      <c r="BD75" s="22">
        <f t="shared" si="320"/>
      </c>
      <c r="BE75" s="22">
        <f t="shared" si="320"/>
      </c>
      <c r="BF75" s="22">
        <f t="shared" si="320"/>
      </c>
      <c r="BG75" s="22">
        <f t="shared" si="320"/>
      </c>
      <c r="BH75" s="22">
        <f t="shared" si="320"/>
      </c>
      <c r="BI75" s="22">
        <f t="shared" si="320"/>
      </c>
      <c r="BJ75" s="22">
        <f t="shared" si="320"/>
      </c>
      <c r="BK75" s="22">
        <f t="shared" si="320"/>
      </c>
      <c r="BL75" s="22">
        <f t="shared" si="320"/>
      </c>
      <c r="BM75" s="22">
        <f t="shared" si="320"/>
      </c>
      <c r="BN75" s="22">
        <f t="shared" si="320"/>
      </c>
      <c r="BO75" s="22">
        <f t="shared" si="320"/>
      </c>
      <c r="BP75" s="22">
        <f t="shared" si="320"/>
      </c>
      <c r="BQ75" s="22">
        <f t="shared" si="320"/>
      </c>
      <c r="BR75" s="22">
        <f t="shared" si="320"/>
      </c>
      <c r="BS75" s="22">
        <f t="shared" si="320"/>
      </c>
      <c r="BT75" s="22">
        <f t="shared" si="320"/>
      </c>
      <c r="BU75" s="537">
        <f t="shared" si="320"/>
      </c>
      <c r="BV75" s="22">
        <f t="shared" ref="BV75:BY76" si="321">+BV39/BV$84</f>
      </c>
      <c r="BW75" s="22">
        <f t="shared" si="321"/>
      </c>
      <c r="BX75" s="22">
        <f t="shared" si="321"/>
      </c>
      <c r="BY75" s="22">
        <f t="shared" si="321"/>
      </c>
      <c r="BZ75" s="537">
        <f t="shared" ref="BZ75:CE76" si="322">+BZ39/BZ$84</f>
      </c>
      <c r="CA75" s="22">
        <f t="shared" si="322"/>
      </c>
      <c r="CB75" s="22">
        <f t="shared" si="322"/>
      </c>
      <c r="CC75" s="22">
        <f t="shared" si="322"/>
      </c>
      <c r="CD75" s="22">
        <f t="shared" si="322"/>
      </c>
      <c r="CE75" s="537">
        <f t="shared" si="322"/>
      </c>
      <c r="CF75" s="22">
        <f t="shared" ref="CF75:CH76" si="323">+CF39/CF$84</f>
      </c>
      <c r="CG75" s="22">
        <f t="shared" si="323"/>
      </c>
      <c r="CH75" s="22">
        <f t="shared" si="323"/>
      </c>
      <c r="CI75" s="22">
        <f t="shared" ref="CI75:CK76" si="324">+CI39/CI$84</f>
      </c>
      <c r="CJ75" s="537">
        <f t="shared" si="324"/>
      </c>
      <c r="CK75" s="22">
        <f t="shared" si="324"/>
      </c>
      <c r="CL75" s="22">
        <f t="shared" ref="CL75:CW75" si="325">+CL39/CL$84</f>
      </c>
      <c r="CM75" s="22">
        <f t="shared" si="325"/>
      </c>
      <c r="CN75" s="22">
        <f t="shared" si="325"/>
      </c>
      <c r="CO75" s="537">
        <f t="shared" si="325"/>
      </c>
      <c r="CP75" s="22">
        <f t="shared" si="325"/>
      </c>
      <c r="CQ75" s="22">
        <f t="shared" si="325"/>
      </c>
      <c r="CR75" s="22">
        <f t="shared" si="325"/>
      </c>
      <c r="CS75" s="22">
        <f t="shared" si="325"/>
      </c>
      <c r="CT75" s="537">
        <f t="shared" si="325"/>
      </c>
      <c r="CU75" s="22">
        <f t="shared" si="325"/>
      </c>
      <c r="CV75" s="22">
        <f t="shared" si="325"/>
      </c>
      <c r="CW75" s="22">
        <f t="shared" si="325"/>
      </c>
      <c r="CX75" s="22">
        <f t="shared" ref="CX75:DB76" si="326">+CX39/CX$84</f>
      </c>
      <c r="CY75" s="537">
        <f t="shared" si="326"/>
      </c>
      <c r="CZ75" s="22">
        <f t="shared" si="326"/>
      </c>
      <c r="DA75" s="22">
        <f t="shared" si="326"/>
      </c>
      <c r="DB75" s="22">
        <f t="shared" si="326"/>
      </c>
      <c r="DC75" s="22">
        <f t="shared" ref="DC75:DG76" si="327">+DC39/DC$84</f>
      </c>
      <c r="DD75" s="537">
        <f t="shared" si="327"/>
      </c>
      <c r="DE75" s="22">
        <f t="shared" si="327"/>
      </c>
      <c r="DF75" s="22">
        <f t="shared" si="327"/>
      </c>
      <c r="DG75" s="22">
        <f t="shared" si="327"/>
      </c>
      <c r="DH75" s="22">
        <f t="shared" ref="DH75:DK76" si="328">+DH39/DH$84</f>
      </c>
      <c r="DI75" s="537">
        <f t="shared" si="328"/>
      </c>
      <c r="DJ75" s="22">
        <f t="shared" si="328"/>
      </c>
      <c r="DK75" s="22">
        <f t="shared" si="328"/>
      </c>
      <c r="DL75" s="22">
        <f t="shared" ref="DL75:DO76" si="329">+DL39/DL$84</f>
      </c>
      <c r="DM75" s="22">
        <f t="shared" si="329"/>
      </c>
      <c r="DN75" s="537">
        <f t="shared" si="329"/>
      </c>
      <c r="DO75" s="943">
        <f t="shared" si="329"/>
      </c>
      <c r="DP75" s="943">
        <f t="shared" ref="DP75:EB75" si="330">+DP39/DP$84</f>
      </c>
      <c r="DQ75" s="943">
        <f t="shared" si="330"/>
      </c>
      <c r="DR75" s="22">
        <f t="shared" si="330"/>
      </c>
      <c r="DS75" s="537">
        <f t="shared" si="330"/>
      </c>
      <c r="DT75" s="943">
        <f t="shared" si="330"/>
      </c>
      <c r="DU75" s="943">
        <f t="shared" si="330"/>
      </c>
      <c r="DV75" s="943">
        <f t="shared" si="330"/>
      </c>
      <c r="DW75" s="22">
        <f t="shared" si="330"/>
      </c>
      <c r="DX75" s="537">
        <f t="shared" si="330"/>
      </c>
      <c r="DY75" s="943">
        <f t="shared" si="330"/>
      </c>
      <c r="DZ75" s="943">
        <f t="shared" si="330"/>
      </c>
      <c r="EA75" s="943">
        <f t="shared" si="330"/>
      </c>
      <c r="EB75" s="22">
        <f t="shared" si="330"/>
      </c>
      <c r="EC75" s="297">
        <f t="shared" ref="EC75:EG76" si="331">+EC39/EC$84</f>
      </c>
      <c r="ED75" s="943">
        <f t="shared" si="331"/>
      </c>
      <c r="EE75" s="943">
        <f t="shared" si="331"/>
      </c>
      <c r="EF75" s="943">
        <f t="shared" si="331"/>
      </c>
      <c r="EG75" s="22">
        <f t="shared" si="331"/>
      </c>
      <c r="EH75" s="1067">
        <f t="shared" ref="EH75:EP76" si="332">+EH39/EH$84</f>
      </c>
      <c r="EI75" s="943">
        <f t="shared" si="332"/>
      </c>
      <c r="EJ75" s="943">
        <f t="shared" si="332"/>
      </c>
      <c r="EK75" s="943">
        <f t="shared" si="332"/>
      </c>
      <c r="EL75" s="22">
        <f t="shared" si="332"/>
      </c>
      <c r="EM75" s="2510">
        <f t="shared" si="332"/>
      </c>
      <c r="EN75" s="2524">
        <f t="shared" si="332"/>
      </c>
      <c r="EO75" s="943">
        <f t="shared" si="332"/>
      </c>
      <c r="EP75" s="943">
        <f t="shared" si="332"/>
      </c>
      <c r="EQ75" s="22">
        <f t="shared" ref="EQ75" si="333">+EQ39/EQ$84</f>
      </c>
      <c r="ER75" s="2595">
        <f>+ER39/ER$84</f>
      </c>
      <c r="ES75" s="2524">
        <f t="shared" ref="ES75:EV76" si="334">+ES39/ES$84</f>
      </c>
      <c r="ET75" s="943">
        <f t="shared" si="334"/>
      </c>
      <c r="EU75" s="943">
        <f t="shared" si="334"/>
      </c>
      <c r="EV75" s="22">
        <f t="shared" si="334"/>
      </c>
      <c r="EW75" s="2595">
        <f>+EW39/EW$84</f>
      </c>
      <c r="EX75" s="2524">
        <f t="shared" ref="EX75:EY76" si="335">+EX39/EX$84</f>
      </c>
      <c r="EY75" s="943">
        <f t="shared" si="335"/>
      </c>
      <c r="EZ75" s="3206">
        <f t="shared" ref="EZ75:FA78" si="336">EY75</f>
      </c>
      <c r="FA75" s="3207">
        <f t="shared" si="336"/>
      </c>
      <c r="FB75" s="3213">
        <f>+FB39/FB$84</f>
      </c>
      <c r="FC75" s="3101">
        <f t="shared" ref="FC75:FG78" si="337">+FB75</f>
      </c>
      <c r="FD75" s="3101">
        <f t="shared" si="337"/>
      </c>
      <c r="FE75" s="3101">
        <f t="shared" si="337"/>
      </c>
      <c r="FF75" s="3101">
        <f t="shared" si="337"/>
      </c>
      <c r="FG75" s="3101">
        <f t="shared" si="337"/>
      </c>
    </row>
    <row r="76" spans="1:163" outlineLevel="1">
      <c r="A76" s="1"/>
      <c r="B76" s="108" t="s">
        <v>282</v>
      </c>
      <c r="C76" s="72"/>
      <c r="D76" s="72"/>
      <c r="E76" s="72"/>
      <c r="F76" s="72"/>
      <c r="G76" s="72"/>
      <c r="H76" s="72"/>
      <c r="I76" s="72"/>
      <c r="J76" s="72"/>
      <c r="K76" s="72"/>
      <c r="L76" s="72"/>
      <c r="M76" s="72"/>
      <c r="N76" s="68"/>
      <c r="O76" s="1"/>
      <c r="P76" s="1"/>
      <c r="Q76" s="1"/>
      <c r="R76" s="1"/>
      <c r="S76" s="1"/>
      <c r="T76" s="1"/>
      <c r="U76" s="1"/>
      <c r="V76" s="22">
        <f>+V40/V$84</f>
      </c>
      <c r="W76" s="22">
        <f t="shared" ref="W76:BU76" si="338">+W40/W$84</f>
      </c>
      <c r="X76" s="22"/>
      <c r="Y76" s="22"/>
      <c r="Z76" s="22"/>
      <c r="AA76" s="22"/>
      <c r="AB76" s="22">
        <f t="shared" si="338"/>
      </c>
      <c r="AC76" s="22">
        <f t="shared" si="338"/>
      </c>
      <c r="AD76" s="22">
        <f t="shared" si="338"/>
      </c>
      <c r="AE76" s="22">
        <f t="shared" si="338"/>
      </c>
      <c r="AF76" s="22">
        <f t="shared" si="338"/>
      </c>
      <c r="AG76" s="22">
        <f t="shared" si="338"/>
      </c>
      <c r="AH76" s="22">
        <f t="shared" si="338"/>
      </c>
      <c r="AI76" s="22">
        <f t="shared" si="338"/>
      </c>
      <c r="AJ76" s="22">
        <f t="shared" si="338"/>
      </c>
      <c r="AK76" s="22">
        <f t="shared" si="338"/>
      </c>
      <c r="AL76" s="22">
        <f t="shared" si="338"/>
      </c>
      <c r="AM76" s="22">
        <f t="shared" si="338"/>
      </c>
      <c r="AN76" s="22">
        <f t="shared" si="338"/>
      </c>
      <c r="AO76" s="22">
        <f t="shared" si="338"/>
      </c>
      <c r="AP76" s="22">
        <f t="shared" si="338"/>
      </c>
      <c r="AQ76" s="22">
        <f t="shared" si="338"/>
      </c>
      <c r="AR76" s="22">
        <f t="shared" si="338"/>
      </c>
      <c r="AS76" s="22">
        <f t="shared" si="338"/>
      </c>
      <c r="AT76" s="22">
        <f t="shared" si="338"/>
      </c>
      <c r="AU76" s="22">
        <f t="shared" si="338"/>
      </c>
      <c r="AV76" s="22">
        <f t="shared" si="338"/>
      </c>
      <c r="AW76" s="22">
        <f t="shared" si="338"/>
      </c>
      <c r="AX76" s="22">
        <f t="shared" si="338"/>
      </c>
      <c r="AY76" s="22">
        <f t="shared" si="338"/>
      </c>
      <c r="AZ76" s="22">
        <f t="shared" si="338"/>
      </c>
      <c r="BA76" s="22">
        <f t="shared" si="338"/>
      </c>
      <c r="BB76" s="22">
        <f t="shared" si="338"/>
      </c>
      <c r="BC76" s="22">
        <f t="shared" si="338"/>
      </c>
      <c r="BD76" s="22">
        <f t="shared" si="338"/>
      </c>
      <c r="BE76" s="22">
        <f t="shared" si="338"/>
      </c>
      <c r="BF76" s="22">
        <f t="shared" si="338"/>
      </c>
      <c r="BG76" s="22">
        <f t="shared" si="338"/>
      </c>
      <c r="BH76" s="22">
        <f t="shared" si="338"/>
      </c>
      <c r="BI76" s="22">
        <f t="shared" si="338"/>
      </c>
      <c r="BJ76" s="22">
        <f t="shared" si="338"/>
      </c>
      <c r="BK76" s="22">
        <f t="shared" si="338"/>
      </c>
      <c r="BL76" s="22">
        <f t="shared" si="338"/>
      </c>
      <c r="BM76" s="22">
        <f t="shared" si="338"/>
      </c>
      <c r="BN76" s="22">
        <f t="shared" si="338"/>
      </c>
      <c r="BO76" s="22">
        <f t="shared" si="338"/>
      </c>
      <c r="BP76" s="22">
        <f t="shared" si="338"/>
      </c>
      <c r="BQ76" s="22">
        <f t="shared" si="338"/>
      </c>
      <c r="BR76" s="22">
        <f t="shared" si="338"/>
      </c>
      <c r="BS76" s="22">
        <f t="shared" si="338"/>
      </c>
      <c r="BT76" s="22">
        <f t="shared" si="338"/>
      </c>
      <c r="BU76" s="537">
        <f t="shared" si="338"/>
      </c>
      <c r="BV76" s="22">
        <f t="shared" si="321"/>
      </c>
      <c r="BW76" s="22">
        <f t="shared" si="321"/>
      </c>
      <c r="BX76" s="22">
        <f t="shared" si="321"/>
      </c>
      <c r="BY76" s="22">
        <f t="shared" si="321"/>
      </c>
      <c r="BZ76" s="537">
        <f t="shared" si="322"/>
      </c>
      <c r="CA76" s="22">
        <f t="shared" si="322"/>
      </c>
      <c r="CB76" s="22">
        <f t="shared" si="322"/>
      </c>
      <c r="CC76" s="22">
        <f t="shared" si="322"/>
      </c>
      <c r="CD76" s="22">
        <f t="shared" si="322"/>
      </c>
      <c r="CE76" s="537">
        <f t="shared" si="322"/>
      </c>
      <c r="CF76" s="22">
        <f t="shared" si="323"/>
      </c>
      <c r="CG76" s="22">
        <f t="shared" si="323"/>
      </c>
      <c r="CH76" s="22">
        <f t="shared" si="323"/>
      </c>
      <c r="CI76" s="22">
        <f t="shared" si="324"/>
      </c>
      <c r="CJ76" s="537">
        <f t="shared" si="324"/>
      </c>
      <c r="CK76" s="22">
        <f>+CK40/CK$84</f>
      </c>
      <c r="CL76" s="22">
        <f t="shared" ref="CL76:CW76" si="339">+CL40/CL$84</f>
      </c>
      <c r="CM76" s="22">
        <f t="shared" si="339"/>
      </c>
      <c r="CN76" s="22">
        <f t="shared" si="339"/>
      </c>
      <c r="CO76" s="537">
        <f t="shared" si="339"/>
      </c>
      <c r="CP76" s="22">
        <f t="shared" si="339"/>
      </c>
      <c r="CQ76" s="22">
        <f t="shared" si="339"/>
      </c>
      <c r="CR76" s="22">
        <f t="shared" si="339"/>
      </c>
      <c r="CS76" s="22">
        <f t="shared" si="339"/>
      </c>
      <c r="CT76" s="537">
        <f t="shared" si="339"/>
      </c>
      <c r="CU76" s="22">
        <f t="shared" si="339"/>
      </c>
      <c r="CV76" s="22">
        <f t="shared" si="339"/>
      </c>
      <c r="CW76" s="22">
        <f t="shared" si="339"/>
      </c>
      <c r="CX76" s="22">
        <f t="shared" si="326"/>
      </c>
      <c r="CY76" s="537">
        <f t="shared" si="326"/>
      </c>
      <c r="CZ76" s="22">
        <f t="shared" si="326"/>
      </c>
      <c r="DA76" s="22">
        <f t="shared" si="326"/>
      </c>
      <c r="DB76" s="22">
        <f t="shared" si="326"/>
      </c>
      <c r="DC76" s="22">
        <f t="shared" si="327"/>
      </c>
      <c r="DD76" s="537">
        <f t="shared" si="327"/>
      </c>
      <c r="DE76" s="22">
        <f t="shared" si="327"/>
      </c>
      <c r="DF76" s="22">
        <f t="shared" si="327"/>
      </c>
      <c r="DG76" s="22">
        <f t="shared" si="327"/>
      </c>
      <c r="DH76" s="22">
        <f t="shared" si="328"/>
      </c>
      <c r="DI76" s="537">
        <f t="shared" si="328"/>
      </c>
      <c r="DJ76" s="22">
        <f t="shared" si="328"/>
      </c>
      <c r="DK76" s="22">
        <f t="shared" si="328"/>
      </c>
      <c r="DL76" s="22">
        <f>+DL40/DL$84</f>
      </c>
      <c r="DM76" s="22">
        <f>+DM40/DM$84</f>
      </c>
      <c r="DN76" s="537">
        <f>+DN40/DN$84</f>
      </c>
      <c r="DO76" s="943">
        <f t="shared" si="329"/>
      </c>
      <c r="DP76" s="943">
        <f t="shared" ref="DP76:EB76" si="340">+DP40/DP$84</f>
      </c>
      <c r="DQ76" s="943">
        <f t="shared" si="340"/>
      </c>
      <c r="DR76" s="22">
        <f t="shared" si="340"/>
      </c>
      <c r="DS76" s="537">
        <f t="shared" si="340"/>
      </c>
      <c r="DT76" s="943">
        <f t="shared" si="340"/>
      </c>
      <c r="DU76" s="943">
        <f t="shared" si="340"/>
      </c>
      <c r="DV76" s="943">
        <f t="shared" si="340"/>
      </c>
      <c r="DW76" s="22">
        <f t="shared" si="340"/>
      </c>
      <c r="DX76" s="537">
        <f t="shared" si="340"/>
      </c>
      <c r="DY76" s="943">
        <f t="shared" si="340"/>
      </c>
      <c r="DZ76" s="943">
        <f t="shared" si="340"/>
      </c>
      <c r="EA76" s="943">
        <f t="shared" si="340"/>
      </c>
      <c r="EB76" s="22">
        <f t="shared" si="340"/>
      </c>
      <c r="EC76" s="297">
        <f t="shared" si="331"/>
      </c>
      <c r="ED76" s="943">
        <f t="shared" si="331"/>
      </c>
      <c r="EE76" s="943">
        <f t="shared" si="331"/>
      </c>
      <c r="EF76" s="943">
        <f t="shared" si="331"/>
      </c>
      <c r="EG76" s="22">
        <f t="shared" si="331"/>
      </c>
      <c r="EH76" s="1067">
        <f t="shared" si="332"/>
      </c>
      <c r="EI76" s="943">
        <f t="shared" si="332"/>
      </c>
      <c r="EJ76" s="943">
        <f t="shared" si="332"/>
      </c>
      <c r="EK76" s="943">
        <f t="shared" si="332"/>
      </c>
      <c r="EL76" s="22">
        <f t="shared" si="332"/>
      </c>
      <c r="EM76" s="2510">
        <f t="shared" si="332"/>
      </c>
      <c r="EN76" s="2524">
        <f t="shared" si="332"/>
      </c>
      <c r="EO76" s="943">
        <f t="shared" si="332"/>
      </c>
      <c r="EP76" s="943">
        <f t="shared" si="332"/>
      </c>
      <c r="EQ76" s="22">
        <f t="shared" ref="EQ76" si="341">+EQ40/EQ$84</f>
      </c>
      <c r="ER76" s="2595">
        <f>+ER40/ER$84</f>
      </c>
      <c r="ES76" s="2524">
        <f t="shared" ref="ES76" si="342">+ES40/ES$84</f>
      </c>
      <c r="ET76" s="943">
        <f t="shared" si="334"/>
      </c>
      <c r="EU76" s="943">
        <f t="shared" si="334"/>
      </c>
      <c r="EV76" s="22">
        <f t="shared" si="334"/>
      </c>
      <c r="EW76" s="2595">
        <f>+EW40/EW$84</f>
      </c>
      <c r="EX76" s="2524">
        <f t="shared" si="335"/>
      </c>
      <c r="EY76" s="943">
        <f t="shared" si="335"/>
      </c>
      <c r="EZ76" s="3206">
        <f t="shared" si="336"/>
      </c>
      <c r="FA76" s="3207">
        <f t="shared" si="336"/>
      </c>
      <c r="FB76" s="3213">
        <f>+FB40/FB$84</f>
      </c>
      <c r="FC76" s="3101">
        <f t="shared" si="337"/>
      </c>
      <c r="FD76" s="3101">
        <f t="shared" si="337"/>
      </c>
      <c r="FE76" s="3101">
        <f t="shared" si="337"/>
      </c>
      <c r="FF76" s="3101">
        <f t="shared" si="337"/>
      </c>
      <c r="FG76" s="3101">
        <f t="shared" si="337"/>
      </c>
    </row>
    <row r="77" spans="1:163" outlineLevel="1">
      <c r="A77" s="1"/>
      <c r="B77" s="108" t="s">
        <v>278</v>
      </c>
      <c r="C77" s="72"/>
      <c r="D77" s="72"/>
      <c r="E77" s="72"/>
      <c r="F77" s="72"/>
      <c r="G77" s="72"/>
      <c r="H77" s="72"/>
      <c r="I77" s="72"/>
      <c r="J77" s="72"/>
      <c r="K77" s="72"/>
      <c r="L77" s="72"/>
      <c r="M77" s="72"/>
      <c r="N77" s="68"/>
      <c r="O77" s="1"/>
      <c r="P77" s="1"/>
      <c r="Q77" s="1"/>
      <c r="R77" s="1"/>
      <c r="S77" s="1"/>
      <c r="T77" s="1"/>
      <c r="U77" s="1"/>
      <c r="V77" s="22">
        <f>+V35/V84</f>
      </c>
      <c r="W77" s="22">
        <f t="shared" ref="W77:BU77" si="343">+W35/W84</f>
      </c>
      <c r="X77" s="22"/>
      <c r="Y77" s="22"/>
      <c r="Z77" s="22"/>
      <c r="AA77" s="22"/>
      <c r="AB77" s="22">
        <f t="shared" si="343"/>
      </c>
      <c r="AC77" s="22">
        <f t="shared" si="343"/>
      </c>
      <c r="AD77" s="22">
        <f t="shared" si="343"/>
      </c>
      <c r="AE77" s="22">
        <f t="shared" si="343"/>
      </c>
      <c r="AF77" s="22">
        <f t="shared" si="343"/>
      </c>
      <c r="AG77" s="22">
        <f t="shared" si="343"/>
      </c>
      <c r="AH77" s="22">
        <f t="shared" si="343"/>
      </c>
      <c r="AI77" s="22">
        <f t="shared" si="343"/>
      </c>
      <c r="AJ77" s="22">
        <f t="shared" si="343"/>
      </c>
      <c r="AK77" s="22">
        <f t="shared" si="343"/>
      </c>
      <c r="AL77" s="22">
        <f t="shared" si="343"/>
      </c>
      <c r="AM77" s="22">
        <f t="shared" si="343"/>
      </c>
      <c r="AN77" s="22">
        <f t="shared" si="343"/>
      </c>
      <c r="AO77" s="22">
        <f t="shared" si="343"/>
      </c>
      <c r="AP77" s="22">
        <f t="shared" si="343"/>
      </c>
      <c r="AQ77" s="22">
        <f t="shared" si="343"/>
      </c>
      <c r="AR77" s="22">
        <f t="shared" si="343"/>
      </c>
      <c r="AS77" s="22">
        <f t="shared" si="343"/>
      </c>
      <c r="AT77" s="22">
        <f t="shared" si="343"/>
      </c>
      <c r="AU77" s="22">
        <f t="shared" si="343"/>
      </c>
      <c r="AV77" s="22">
        <f t="shared" si="343"/>
      </c>
      <c r="AW77" s="22">
        <f t="shared" si="343"/>
      </c>
      <c r="AX77" s="22">
        <f t="shared" si="343"/>
      </c>
      <c r="AY77" s="22">
        <f t="shared" si="343"/>
      </c>
      <c r="AZ77" s="22">
        <f t="shared" si="343"/>
      </c>
      <c r="BA77" s="22">
        <f t="shared" si="343"/>
      </c>
      <c r="BB77" s="22">
        <f t="shared" si="343"/>
      </c>
      <c r="BC77" s="22">
        <f t="shared" si="343"/>
      </c>
      <c r="BD77" s="22">
        <f t="shared" si="343"/>
      </c>
      <c r="BE77" s="22">
        <f t="shared" si="343"/>
      </c>
      <c r="BF77" s="22">
        <f t="shared" si="343"/>
      </c>
      <c r="BG77" s="22">
        <f t="shared" si="343"/>
      </c>
      <c r="BH77" s="22">
        <f t="shared" si="343"/>
      </c>
      <c r="BI77" s="22">
        <f t="shared" si="343"/>
      </c>
      <c r="BJ77" s="22">
        <f t="shared" si="343"/>
      </c>
      <c r="BK77" s="22">
        <f t="shared" si="343"/>
      </c>
      <c r="BL77" s="22">
        <f t="shared" si="343"/>
      </c>
      <c r="BM77" s="22">
        <f t="shared" si="343"/>
      </c>
      <c r="BN77" s="22">
        <f t="shared" si="343"/>
      </c>
      <c r="BO77" s="22">
        <f t="shared" si="343"/>
      </c>
      <c r="BP77" s="22">
        <f t="shared" si="343"/>
      </c>
      <c r="BQ77" s="22">
        <f t="shared" si="343"/>
      </c>
      <c r="BR77" s="22">
        <f t="shared" si="343"/>
      </c>
      <c r="BS77" s="22">
        <f t="shared" si="343"/>
      </c>
      <c r="BT77" s="22">
        <f t="shared" si="343"/>
      </c>
      <c r="BU77" s="537">
        <f t="shared" si="343"/>
      </c>
      <c r="BV77" s="22">
        <f t="shared" ref="BV77:CE77" si="344">+BV35/BV84</f>
      </c>
      <c r="BW77" s="22">
        <f t="shared" si="344"/>
      </c>
      <c r="BX77" s="22">
        <f t="shared" si="344"/>
      </c>
      <c r="BY77" s="22">
        <f t="shared" si="344"/>
      </c>
      <c r="BZ77" s="537">
        <f t="shared" si="344"/>
      </c>
      <c r="CA77" s="22">
        <f t="shared" si="344"/>
      </c>
      <c r="CB77" s="22">
        <f t="shared" si="344"/>
      </c>
      <c r="CC77" s="22">
        <f t="shared" si="344"/>
      </c>
      <c r="CD77" s="22">
        <f t="shared" si="344"/>
      </c>
      <c r="CE77" s="537">
        <f t="shared" si="344"/>
      </c>
      <c r="CF77" s="22">
        <f t="shared" ref="CF77:CK77" si="345">+CF35/CF84</f>
      </c>
      <c r="CG77" s="22">
        <f t="shared" si="345"/>
      </c>
      <c r="CH77" s="22">
        <f t="shared" si="345"/>
      </c>
      <c r="CI77" s="22">
        <f t="shared" si="345"/>
      </c>
      <c r="CJ77" s="537">
        <f t="shared" si="345"/>
      </c>
      <c r="CK77" s="22">
        <f t="shared" si="345"/>
      </c>
      <c r="CL77" s="22">
        <f t="shared" ref="CL77:CW77" si="346">+CL35/CL84</f>
      </c>
      <c r="CM77" s="22">
        <f t="shared" si="346"/>
      </c>
      <c r="CN77" s="22">
        <f t="shared" si="346"/>
      </c>
      <c r="CO77" s="537">
        <f t="shared" si="346"/>
      </c>
      <c r="CP77" s="22">
        <f t="shared" si="346"/>
      </c>
      <c r="CQ77" s="22">
        <f t="shared" si="346"/>
      </c>
      <c r="CR77" s="22">
        <f t="shared" si="346"/>
      </c>
      <c r="CS77" s="22">
        <f t="shared" si="346"/>
      </c>
      <c r="CT77" s="537">
        <f t="shared" si="346"/>
      </c>
      <c r="CU77" s="22">
        <f t="shared" si="346"/>
      </c>
      <c r="CV77" s="22">
        <f t="shared" si="346"/>
      </c>
      <c r="CW77" s="22">
        <f t="shared" si="346"/>
      </c>
      <c r="CX77" s="22">
        <f t="shared" ref="CX77:DD77" si="347">+CX35/CX84</f>
      </c>
      <c r="CY77" s="537">
        <f t="shared" si="347"/>
      </c>
      <c r="CZ77" s="22">
        <f t="shared" si="347"/>
      </c>
      <c r="DA77" s="22">
        <f t="shared" si="347"/>
      </c>
      <c r="DB77" s="22">
        <f t="shared" si="347"/>
      </c>
      <c r="DC77" s="22">
        <f t="shared" si="347"/>
      </c>
      <c r="DD77" s="537">
        <f t="shared" si="347"/>
      </c>
      <c r="DE77" s="22">
        <f t="shared" ref="DE77:EF77" si="348">+DE35/DE84</f>
      </c>
      <c r="DF77" s="22">
        <f t="shared" si="348"/>
      </c>
      <c r="DG77" s="22">
        <f t="shared" si="348"/>
      </c>
      <c r="DH77" s="22">
        <f t="shared" si="348"/>
      </c>
      <c r="DI77" s="537">
        <f t="shared" si="348"/>
      </c>
      <c r="DJ77" s="22">
        <f t="shared" si="348"/>
      </c>
      <c r="DK77" s="22">
        <f t="shared" si="348"/>
      </c>
      <c r="DL77" s="22">
        <f t="shared" si="348"/>
      </c>
      <c r="DM77" s="22">
        <f t="shared" si="348"/>
      </c>
      <c r="DN77" s="537">
        <f t="shared" si="348"/>
      </c>
      <c r="DO77" s="943">
        <f t="shared" si="348"/>
      </c>
      <c r="DP77" s="943">
        <f t="shared" si="348"/>
      </c>
      <c r="DQ77" s="943">
        <f t="shared" si="348"/>
      </c>
      <c r="DR77" s="22">
        <f t="shared" si="348"/>
      </c>
      <c r="DS77" s="537">
        <f t="shared" si="348"/>
      </c>
      <c r="DT77" s="943">
        <f t="shared" si="348"/>
      </c>
      <c r="DU77" s="943">
        <f t="shared" si="348"/>
      </c>
      <c r="DV77" s="943">
        <f t="shared" si="348"/>
      </c>
      <c r="DW77" s="22">
        <f t="shared" si="348"/>
      </c>
      <c r="DX77" s="537">
        <f t="shared" si="348"/>
      </c>
      <c r="DY77" s="943">
        <f t="shared" si="348"/>
      </c>
      <c r="DZ77" s="943">
        <f t="shared" si="348"/>
      </c>
      <c r="EA77" s="943">
        <f t="shared" si="348"/>
      </c>
      <c r="EB77" s="22">
        <f t="shared" si="348"/>
      </c>
      <c r="EC77" s="297">
        <f t="shared" si="348"/>
      </c>
      <c r="ED77" s="943">
        <f t="shared" si="348"/>
      </c>
      <c r="EE77" s="943">
        <f t="shared" si="348"/>
      </c>
      <c r="EF77" s="943">
        <f t="shared" si="348"/>
      </c>
      <c r="EG77" s="22">
        <f t="shared" ref="EG77:EP77" si="349">+EG35/EG84</f>
      </c>
      <c r="EH77" s="1067">
        <f t="shared" si="349"/>
      </c>
      <c r="EI77" s="943">
        <f t="shared" si="349"/>
      </c>
      <c r="EJ77" s="943">
        <f t="shared" si="349"/>
      </c>
      <c r="EK77" s="943">
        <f t="shared" si="349"/>
      </c>
      <c r="EL77" s="22">
        <f t="shared" si="349"/>
      </c>
      <c r="EM77" s="2510">
        <f t="shared" si="349"/>
      </c>
      <c r="EN77" s="2524">
        <f t="shared" si="349"/>
      </c>
      <c r="EO77" s="943">
        <f t="shared" si="349"/>
      </c>
      <c r="EP77" s="943">
        <f t="shared" si="349"/>
      </c>
      <c r="EQ77" s="22">
        <f t="shared" ref="EQ77" si="350">+EQ35/EQ84</f>
      </c>
      <c r="ER77" s="2595">
        <f>+ER35/ER84</f>
      </c>
      <c r="ES77" s="2524">
        <f t="shared" ref="ES77:EV77" si="351">+ES35/ES84</f>
      </c>
      <c r="ET77" s="943">
        <f t="shared" si="351"/>
      </c>
      <c r="EU77" s="943">
        <f t="shared" si="351"/>
      </c>
      <c r="EV77" s="22">
        <f t="shared" si="351"/>
      </c>
      <c r="EW77" s="2595">
        <f>+EW35/EW84</f>
      </c>
      <c r="EX77" s="2524">
        <f t="shared" ref="EX77:EY77" si="352">+EX35/EX84</f>
      </c>
      <c r="EY77" s="943">
        <f t="shared" si="352"/>
      </c>
      <c r="EZ77" s="3206">
        <f t="shared" si="336"/>
      </c>
      <c r="FA77" s="3207">
        <f t="shared" si="336"/>
      </c>
      <c r="FB77" s="3213">
        <f>+FB35/FB84</f>
      </c>
      <c r="FC77" s="3101">
        <f t="shared" si="337"/>
      </c>
      <c r="FD77" s="3101">
        <f t="shared" si="337"/>
      </c>
      <c r="FE77" s="3101">
        <f t="shared" si="337"/>
      </c>
      <c r="FF77" s="3101">
        <f t="shared" si="337"/>
      </c>
      <c r="FG77" s="3101">
        <f t="shared" si="337"/>
      </c>
    </row>
    <row r="78" spans="1:163" outlineLevel="1">
      <c r="A78" s="1"/>
      <c r="B78" s="108" t="s">
        <v>276</v>
      </c>
      <c r="C78" s="72"/>
      <c r="D78" s="72"/>
      <c r="E78" s="72"/>
      <c r="F78" s="72"/>
      <c r="G78" s="72"/>
      <c r="H78" s="72"/>
      <c r="I78" s="72"/>
      <c r="J78" s="72"/>
      <c r="K78" s="72"/>
      <c r="L78" s="72"/>
      <c r="M78" s="72"/>
      <c r="N78" s="68"/>
      <c r="O78" s="1"/>
      <c r="P78" s="1"/>
      <c r="Q78" s="1"/>
      <c r="R78" s="1"/>
      <c r="S78" s="1"/>
      <c r="T78" s="1"/>
      <c r="U78" s="1"/>
      <c r="V78" s="22">
        <f t="shared" ref="V78:BA78" si="353">+V33/V84</f>
      </c>
      <c r="W78" s="22">
        <f t="shared" si="353"/>
      </c>
      <c r="X78" s="22"/>
      <c r="Y78" s="22"/>
      <c r="Z78" s="22"/>
      <c r="AA78" s="22"/>
      <c r="AB78" s="22">
        <f t="shared" si="353"/>
      </c>
      <c r="AC78" s="22">
        <f t="shared" si="353"/>
      </c>
      <c r="AD78" s="22">
        <f t="shared" si="353"/>
      </c>
      <c r="AE78" s="22">
        <f t="shared" si="353"/>
      </c>
      <c r="AF78" s="22">
        <f t="shared" si="353"/>
      </c>
      <c r="AG78" s="22">
        <f t="shared" si="353"/>
      </c>
      <c r="AH78" s="22">
        <f t="shared" si="353"/>
      </c>
      <c r="AI78" s="22">
        <f t="shared" si="353"/>
      </c>
      <c r="AJ78" s="22">
        <f t="shared" si="353"/>
      </c>
      <c r="AK78" s="22">
        <f t="shared" si="353"/>
      </c>
      <c r="AL78" s="22">
        <f t="shared" si="353"/>
      </c>
      <c r="AM78" s="22">
        <f t="shared" si="353"/>
      </c>
      <c r="AN78" s="22">
        <f t="shared" si="353"/>
      </c>
      <c r="AO78" s="22">
        <f t="shared" si="353"/>
      </c>
      <c r="AP78" s="22">
        <f t="shared" si="353"/>
      </c>
      <c r="AQ78" s="22">
        <f t="shared" si="353"/>
      </c>
      <c r="AR78" s="22">
        <f t="shared" si="353"/>
      </c>
      <c r="AS78" s="22">
        <f t="shared" si="353"/>
      </c>
      <c r="AT78" s="22">
        <f t="shared" si="353"/>
      </c>
      <c r="AU78" s="22">
        <f t="shared" si="353"/>
      </c>
      <c r="AV78" s="22">
        <f t="shared" si="353"/>
      </c>
      <c r="AW78" s="22">
        <f t="shared" si="353"/>
      </c>
      <c r="AX78" s="22">
        <f t="shared" si="353"/>
      </c>
      <c r="AY78" s="22">
        <f t="shared" si="353"/>
      </c>
      <c r="AZ78" s="22">
        <f t="shared" si="353"/>
      </c>
      <c r="BA78" s="22">
        <f t="shared" si="353"/>
      </c>
      <c r="BB78" s="22">
        <f t="shared" ref="BB78:BU78" si="354">+BB33/BB84</f>
      </c>
      <c r="BC78" s="22">
        <f t="shared" si="354"/>
      </c>
      <c r="BD78" s="22">
        <f t="shared" si="354"/>
      </c>
      <c r="BE78" s="22">
        <f t="shared" si="354"/>
      </c>
      <c r="BF78" s="22">
        <f t="shared" si="354"/>
      </c>
      <c r="BG78" s="22">
        <f t="shared" si="354"/>
      </c>
      <c r="BH78" s="22">
        <f t="shared" si="354"/>
      </c>
      <c r="BI78" s="22">
        <f t="shared" si="354"/>
      </c>
      <c r="BJ78" s="22">
        <f t="shared" si="354"/>
      </c>
      <c r="BK78" s="22">
        <f t="shared" si="354"/>
      </c>
      <c r="BL78" s="22">
        <f t="shared" si="354"/>
      </c>
      <c r="BM78" s="22">
        <f t="shared" si="354"/>
      </c>
      <c r="BN78" s="22">
        <f t="shared" si="354"/>
      </c>
      <c r="BO78" s="22">
        <f t="shared" si="354"/>
      </c>
      <c r="BP78" s="22">
        <f t="shared" si="354"/>
      </c>
      <c r="BQ78" s="22">
        <f t="shared" si="354"/>
      </c>
      <c r="BR78" s="22">
        <f t="shared" si="354"/>
      </c>
      <c r="BS78" s="22">
        <f t="shared" si="354"/>
      </c>
      <c r="BT78" s="22">
        <f t="shared" si="354"/>
      </c>
      <c r="BU78" s="537">
        <f t="shared" si="354"/>
      </c>
      <c r="BV78" s="22">
        <f t="shared" ref="BV78:CE78" si="355">+BV33/BV84</f>
      </c>
      <c r="BW78" s="22">
        <f t="shared" si="355"/>
      </c>
      <c r="BX78" s="22">
        <f t="shared" si="355"/>
      </c>
      <c r="BY78" s="22">
        <f t="shared" si="355"/>
      </c>
      <c r="BZ78" s="537">
        <f t="shared" si="355"/>
      </c>
      <c r="CA78" s="22">
        <f t="shared" si="355"/>
      </c>
      <c r="CB78" s="22">
        <f t="shared" si="355"/>
      </c>
      <c r="CC78" s="22">
        <f t="shared" si="355"/>
      </c>
      <c r="CD78" s="22">
        <f t="shared" si="355"/>
      </c>
      <c r="CE78" s="537">
        <f t="shared" si="355"/>
      </c>
      <c r="CF78" s="22">
        <f t="shared" ref="CF78:CK78" si="356">+CF33/CF84</f>
      </c>
      <c r="CG78" s="22">
        <f t="shared" si="356"/>
      </c>
      <c r="CH78" s="22">
        <f t="shared" si="356"/>
      </c>
      <c r="CI78" s="22">
        <f t="shared" si="356"/>
      </c>
      <c r="CJ78" s="537">
        <f t="shared" si="356"/>
      </c>
      <c r="CK78" s="22">
        <f t="shared" si="356"/>
      </c>
      <c r="CL78" s="22">
        <f t="shared" ref="CL78:CW78" si="357">+CL33/CL84</f>
      </c>
      <c r="CM78" s="22">
        <f t="shared" si="357"/>
      </c>
      <c r="CN78" s="22">
        <f t="shared" si="357"/>
      </c>
      <c r="CO78" s="537">
        <f t="shared" si="357"/>
      </c>
      <c r="CP78" s="22">
        <f t="shared" si="357"/>
      </c>
      <c r="CQ78" s="22">
        <f t="shared" si="357"/>
      </c>
      <c r="CR78" s="22">
        <f t="shared" si="357"/>
      </c>
      <c r="CS78" s="22">
        <f t="shared" si="357"/>
      </c>
      <c r="CT78" s="537">
        <f t="shared" si="357"/>
      </c>
      <c r="CU78" s="22">
        <f t="shared" si="357"/>
      </c>
      <c r="CV78" s="22">
        <f t="shared" si="357"/>
      </c>
      <c r="CW78" s="22">
        <f t="shared" si="357"/>
      </c>
      <c r="CX78" s="22">
        <f t="shared" ref="CX78:DD78" si="358">+CX33/CX84</f>
      </c>
      <c r="CY78" s="537">
        <f t="shared" si="358"/>
      </c>
      <c r="CZ78" s="22">
        <f t="shared" si="358"/>
      </c>
      <c r="DA78" s="22">
        <f t="shared" si="358"/>
      </c>
      <c r="DB78" s="22">
        <f t="shared" si="358"/>
      </c>
      <c r="DC78" s="22">
        <f t="shared" si="358"/>
      </c>
      <c r="DD78" s="537">
        <f t="shared" si="358"/>
      </c>
      <c r="DE78" s="22">
        <f t="shared" ref="DE78:EF78" si="359">+DE33/DE84</f>
      </c>
      <c r="DF78" s="22">
        <f t="shared" si="359"/>
      </c>
      <c r="DG78" s="22">
        <f t="shared" si="359"/>
      </c>
      <c r="DH78" s="22">
        <f t="shared" si="359"/>
      </c>
      <c r="DI78" s="537">
        <f t="shared" si="359"/>
      </c>
      <c r="DJ78" s="22">
        <f t="shared" si="359"/>
      </c>
      <c r="DK78" s="22">
        <f t="shared" si="359"/>
      </c>
      <c r="DL78" s="22">
        <f t="shared" si="359"/>
      </c>
      <c r="DM78" s="22">
        <f t="shared" si="359"/>
      </c>
      <c r="DN78" s="537">
        <f t="shared" si="359"/>
      </c>
      <c r="DO78" s="943">
        <f t="shared" si="359"/>
      </c>
      <c r="DP78" s="943">
        <f t="shared" si="359"/>
      </c>
      <c r="DQ78" s="943">
        <f t="shared" si="359"/>
      </c>
      <c r="DR78" s="22">
        <f t="shared" si="359"/>
      </c>
      <c r="DS78" s="537">
        <f t="shared" si="359"/>
      </c>
      <c r="DT78" s="943">
        <f t="shared" si="359"/>
      </c>
      <c r="DU78" s="943">
        <f t="shared" si="359"/>
      </c>
      <c r="DV78" s="943">
        <f t="shared" si="359"/>
      </c>
      <c r="DW78" s="22">
        <f t="shared" si="359"/>
      </c>
      <c r="DX78" s="537">
        <f t="shared" si="359"/>
      </c>
      <c r="DY78" s="943">
        <f t="shared" si="359"/>
      </c>
      <c r="DZ78" s="943">
        <f t="shared" si="359"/>
      </c>
      <c r="EA78" s="943">
        <f t="shared" si="359"/>
      </c>
      <c r="EB78" s="22">
        <f t="shared" si="359"/>
      </c>
      <c r="EC78" s="297">
        <f t="shared" si="359"/>
      </c>
      <c r="ED78" s="943">
        <f t="shared" si="359"/>
      </c>
      <c r="EE78" s="943">
        <f t="shared" si="359"/>
      </c>
      <c r="EF78" s="943">
        <f t="shared" si="359"/>
      </c>
      <c r="EG78" s="22">
        <f t="shared" ref="EG78:EP78" si="360">+EG33/EG84</f>
      </c>
      <c r="EH78" s="1067">
        <f t="shared" si="360"/>
      </c>
      <c r="EI78" s="943">
        <f t="shared" si="360"/>
      </c>
      <c r="EJ78" s="943">
        <f t="shared" si="360"/>
      </c>
      <c r="EK78" s="943">
        <f t="shared" si="360"/>
      </c>
      <c r="EL78" s="22">
        <f t="shared" si="360"/>
      </c>
      <c r="EM78" s="2510">
        <f t="shared" si="360"/>
      </c>
      <c r="EN78" s="2524">
        <f t="shared" si="360"/>
      </c>
      <c r="EO78" s="943">
        <f t="shared" si="360"/>
      </c>
      <c r="EP78" s="943">
        <f t="shared" si="360"/>
      </c>
      <c r="EQ78" s="22">
        <f t="shared" ref="EQ78" si="361">+EQ33/EQ84</f>
      </c>
      <c r="ER78" s="2595">
        <f>+ER33/ER84</f>
      </c>
      <c r="ES78" s="2524">
        <f t="shared" ref="ES78:EV78" si="362">+ES33/ES84</f>
      </c>
      <c r="ET78" s="943">
        <f t="shared" si="362"/>
      </c>
      <c r="EU78" s="943">
        <f t="shared" si="362"/>
      </c>
      <c r="EV78" s="22">
        <f t="shared" si="362"/>
      </c>
      <c r="EW78" s="2595">
        <f>+EW33/EW84</f>
      </c>
      <c r="EX78" s="2524">
        <f t="shared" ref="EX78:EY78" si="363">+EX33/EX84</f>
      </c>
      <c r="EY78" s="943">
        <f t="shared" si="363"/>
      </c>
      <c r="EZ78" s="3206">
        <f t="shared" si="336"/>
      </c>
      <c r="FA78" s="3207">
        <f t="shared" si="336"/>
      </c>
      <c r="FB78" s="3213">
        <f>+FB33/FB84</f>
      </c>
      <c r="FC78" s="3101">
        <f t="shared" si="337"/>
      </c>
      <c r="FD78" s="3101">
        <f t="shared" si="337"/>
      </c>
      <c r="FE78" s="3101">
        <f t="shared" si="337"/>
      </c>
      <c r="FF78" s="3101">
        <f t="shared" si="337"/>
      </c>
      <c r="FG78" s="3101">
        <f t="shared" si="337"/>
      </c>
    </row>
    <row r="79" spans="1:163" outlineLevel="1">
      <c r="A79" s="1"/>
      <c r="B79" s="138" t="s">
        <v>379</v>
      </c>
      <c r="C79" s="113"/>
      <c r="D79" s="113"/>
      <c r="E79" s="113"/>
      <c r="F79" s="113"/>
      <c r="G79" s="113"/>
      <c r="H79" s="113"/>
      <c r="I79" s="113"/>
      <c r="J79" s="113"/>
      <c r="K79" s="113"/>
      <c r="L79" s="113"/>
      <c r="M79" s="113"/>
      <c r="N79" s="74"/>
      <c r="O79" s="2"/>
      <c r="P79" s="2"/>
      <c r="Q79" s="2"/>
      <c r="R79" s="2"/>
      <c r="S79" s="2"/>
      <c r="T79" s="2"/>
      <c r="U79" s="2"/>
      <c r="V79" s="76">
        <f t="shared" ref="V79:BA79" si="364">+V32/V84</f>
      </c>
      <c r="W79" s="76">
        <f t="shared" si="364"/>
      </c>
      <c r="X79" s="76"/>
      <c r="Y79" s="76"/>
      <c r="Z79" s="76"/>
      <c r="AA79" s="76"/>
      <c r="AB79" s="76">
        <f t="shared" si="364"/>
      </c>
      <c r="AC79" s="76">
        <f t="shared" si="364"/>
      </c>
      <c r="AD79" s="76">
        <f t="shared" si="364"/>
      </c>
      <c r="AE79" s="76">
        <f t="shared" si="364"/>
      </c>
      <c r="AF79" s="76">
        <f t="shared" si="364"/>
      </c>
      <c r="AG79" s="76">
        <f t="shared" si="364"/>
      </c>
      <c r="AH79" s="76">
        <f t="shared" si="364"/>
      </c>
      <c r="AI79" s="76">
        <f t="shared" si="364"/>
      </c>
      <c r="AJ79" s="76">
        <f t="shared" si="364"/>
      </c>
      <c r="AK79" s="76">
        <f t="shared" si="364"/>
      </c>
      <c r="AL79" s="76">
        <f t="shared" si="364"/>
      </c>
      <c r="AM79" s="76">
        <f t="shared" si="364"/>
      </c>
      <c r="AN79" s="76">
        <f t="shared" si="364"/>
      </c>
      <c r="AO79" s="76">
        <f t="shared" si="364"/>
      </c>
      <c r="AP79" s="76">
        <f t="shared" si="364"/>
      </c>
      <c r="AQ79" s="76">
        <f t="shared" si="364"/>
      </c>
      <c r="AR79" s="76">
        <f t="shared" si="364"/>
      </c>
      <c r="AS79" s="76">
        <f t="shared" si="364"/>
      </c>
      <c r="AT79" s="76">
        <f t="shared" si="364"/>
      </c>
      <c r="AU79" s="76">
        <f t="shared" si="364"/>
      </c>
      <c r="AV79" s="76">
        <f t="shared" si="364"/>
      </c>
      <c r="AW79" s="76">
        <f t="shared" si="364"/>
      </c>
      <c r="AX79" s="76">
        <f t="shared" si="364"/>
      </c>
      <c r="AY79" s="76">
        <f t="shared" si="364"/>
      </c>
      <c r="AZ79" s="76">
        <f t="shared" si="364"/>
      </c>
      <c r="BA79" s="76">
        <f t="shared" si="364"/>
      </c>
      <c r="BB79" s="76">
        <f t="shared" ref="BB79:CB79" si="365">+BB32/BB84</f>
      </c>
      <c r="BC79" s="76">
        <f t="shared" si="365"/>
      </c>
      <c r="BD79" s="76">
        <f t="shared" si="365"/>
      </c>
      <c r="BE79" s="76">
        <f t="shared" si="365"/>
      </c>
      <c r="BF79" s="76">
        <f t="shared" si="365"/>
      </c>
      <c r="BG79" s="76">
        <f t="shared" si="365"/>
      </c>
      <c r="BH79" s="76">
        <f t="shared" si="365"/>
      </c>
      <c r="BI79" s="76">
        <f t="shared" si="365"/>
      </c>
      <c r="BJ79" s="76">
        <f t="shared" si="365"/>
      </c>
      <c r="BK79" s="76">
        <f t="shared" si="365"/>
      </c>
      <c r="BL79" s="76">
        <f t="shared" si="365"/>
      </c>
      <c r="BM79" s="76">
        <f t="shared" si="365"/>
      </c>
      <c r="BN79" s="76">
        <f t="shared" si="365"/>
      </c>
      <c r="BO79" s="76">
        <f t="shared" si="365"/>
      </c>
      <c r="BP79" s="76">
        <f t="shared" si="365"/>
      </c>
      <c r="BQ79" s="76">
        <f t="shared" si="365"/>
      </c>
      <c r="BR79" s="76">
        <f t="shared" si="365"/>
      </c>
      <c r="BS79" s="76">
        <f t="shared" si="365"/>
      </c>
      <c r="BT79" s="76">
        <f t="shared" si="365"/>
      </c>
      <c r="BU79" s="538">
        <f t="shared" si="365"/>
      </c>
      <c r="BV79" s="76">
        <f>+BV32/BV84</f>
      </c>
      <c r="BW79" s="76">
        <f>+BW32/BW84</f>
      </c>
      <c r="BX79" s="76">
        <f t="shared" si="365"/>
      </c>
      <c r="BY79" s="76">
        <f>+BY32/BY84</f>
      </c>
      <c r="BZ79" s="538">
        <f t="shared" si="365"/>
      </c>
      <c r="CA79" s="76">
        <f>+CA32/CA84</f>
      </c>
      <c r="CB79" s="76">
        <f t="shared" si="365"/>
      </c>
      <c r="CC79" s="76">
        <f t="shared" ref="CC79:CH79" si="366">+CC32/CC84</f>
      </c>
      <c r="CD79" s="76">
        <f t="shared" si="366"/>
      </c>
      <c r="CE79" s="538">
        <f t="shared" si="366"/>
      </c>
      <c r="CF79" s="76">
        <f t="shared" si="366"/>
      </c>
      <c r="CG79" s="76">
        <f t="shared" si="366"/>
      </c>
      <c r="CH79" s="76">
        <f t="shared" si="366"/>
      </c>
      <c r="CI79" s="76">
        <f t="shared" ref="CI79:DA79" si="367">+CI32/CI84</f>
      </c>
      <c r="CJ79" s="538">
        <f t="shared" si="367"/>
      </c>
      <c r="CK79" s="76">
        <f t="shared" si="367"/>
      </c>
      <c r="CL79" s="76">
        <f t="shared" si="367"/>
      </c>
      <c r="CM79" s="76">
        <f t="shared" si="367"/>
      </c>
      <c r="CN79" s="76">
        <f t="shared" si="367"/>
      </c>
      <c r="CO79" s="538">
        <f t="shared" si="367"/>
      </c>
      <c r="CP79" s="76">
        <f t="shared" si="367"/>
      </c>
      <c r="CQ79" s="76">
        <f t="shared" si="367"/>
      </c>
      <c r="CR79" s="76">
        <f t="shared" si="367"/>
      </c>
      <c r="CS79" s="76">
        <f t="shared" si="367"/>
      </c>
      <c r="CT79" s="538">
        <f t="shared" si="367"/>
      </c>
      <c r="CU79" s="76">
        <f t="shared" si="367"/>
      </c>
      <c r="CV79" s="76">
        <f t="shared" si="367"/>
      </c>
      <c r="CW79" s="76">
        <f t="shared" si="367"/>
      </c>
      <c r="CX79" s="76">
        <f>+CX32/CX84</f>
      </c>
      <c r="CY79" s="538">
        <f>+CY32/CY84</f>
      </c>
      <c r="CZ79" s="76">
        <f>+CZ32/CZ84</f>
      </c>
      <c r="DA79" s="76">
        <f t="shared" si="367"/>
      </c>
      <c r="DB79" s="76">
        <f t="shared" ref="DB79:DG79" si="368">+DB32/DB84</f>
      </c>
      <c r="DC79" s="76">
        <f t="shared" si="368"/>
      </c>
      <c r="DD79" s="538">
        <f t="shared" si="368"/>
      </c>
      <c r="DE79" s="76">
        <f t="shared" si="368"/>
      </c>
      <c r="DF79" s="76">
        <f t="shared" si="368"/>
      </c>
      <c r="DG79" s="76">
        <f t="shared" si="368"/>
      </c>
      <c r="DH79" s="76">
        <f t="shared" ref="DH79:ER79" si="369">+DH32/DH84</f>
      </c>
      <c r="DI79" s="538">
        <f t="shared" si="369"/>
      </c>
      <c r="DJ79" s="76">
        <f t="shared" si="369"/>
      </c>
      <c r="DK79" s="76">
        <f t="shared" si="369"/>
      </c>
      <c r="DL79" s="76">
        <f t="shared" si="369"/>
      </c>
      <c r="DM79" s="76">
        <f t="shared" si="369"/>
      </c>
      <c r="DN79" s="538">
        <f t="shared" si="369"/>
      </c>
      <c r="DO79" s="1132">
        <f t="shared" si="369"/>
      </c>
      <c r="DP79" s="1132">
        <f t="shared" si="369"/>
      </c>
      <c r="DQ79" s="1132">
        <f t="shared" si="369"/>
      </c>
      <c r="DR79" s="76">
        <f t="shared" si="369"/>
      </c>
      <c r="DS79" s="538">
        <f t="shared" si="369"/>
      </c>
      <c r="DT79" s="1132">
        <f t="shared" si="369"/>
      </c>
      <c r="DU79" s="1132">
        <f t="shared" si="369"/>
      </c>
      <c r="DV79" s="1132">
        <f t="shared" si="369"/>
      </c>
      <c r="DW79" s="76">
        <f t="shared" si="369"/>
      </c>
      <c r="DX79" s="538">
        <f t="shared" si="369"/>
      </c>
      <c r="DY79" s="1132">
        <f t="shared" si="369"/>
      </c>
      <c r="DZ79" s="1132">
        <f t="shared" si="369"/>
      </c>
      <c r="EA79" s="1132">
        <f t="shared" si="369"/>
      </c>
      <c r="EB79" s="76">
        <f t="shared" si="369"/>
      </c>
      <c r="EC79" s="1474">
        <f t="shared" si="369"/>
      </c>
      <c r="ED79" s="1132">
        <f t="shared" si="369"/>
      </c>
      <c r="EE79" s="1132">
        <f t="shared" si="369"/>
      </c>
      <c r="EF79" s="1132">
        <f t="shared" si="369"/>
      </c>
      <c r="EG79" s="1132">
        <f t="shared" si="369"/>
      </c>
      <c r="EH79" s="2723">
        <f t="shared" si="369"/>
      </c>
      <c r="EI79" s="1132">
        <f t="shared" si="369"/>
      </c>
      <c r="EJ79" s="1132">
        <f t="shared" si="369"/>
      </c>
      <c r="EK79" s="1132">
        <f t="shared" si="369"/>
      </c>
      <c r="EL79" s="1132">
        <f>+EL32/EL84</f>
      </c>
      <c r="EM79" s="2511">
        <f>+EM32/EM84</f>
      </c>
      <c r="EN79" s="2512">
        <f>+EN32/EN84</f>
      </c>
      <c r="EO79" s="2143">
        <f>+EO32/EO84</f>
      </c>
      <c r="EP79" s="1132">
        <f>+EP32/EP84</f>
      </c>
      <c r="EQ79" s="2148">
        <f t="shared" si="369"/>
      </c>
      <c r="ER79" s="3096">
        <f t="shared" si="369"/>
      </c>
      <c r="ES79" s="2512">
        <f t="shared" ref="ES79:FA79" si="370">+ES32/ES84</f>
      </c>
      <c r="ET79" s="3496">
        <f t="shared" si="370"/>
      </c>
      <c r="EU79" s="1132">
        <f>+EU32/EU84</f>
      </c>
      <c r="EV79" s="2148">
        <f t="shared" ref="EV79:EY79" si="371">+EV32/EV84</f>
      </c>
      <c r="EW79" s="3096">
        <f t="shared" si="371"/>
      </c>
      <c r="EX79" s="2512">
        <f t="shared" si="371"/>
      </c>
      <c r="EY79" s="3496">
        <f t="shared" si="371"/>
      </c>
      <c r="EZ79" s="3215">
        <f t="shared" si="370"/>
      </c>
      <c r="FA79" s="3216">
        <f t="shared" si="370"/>
      </c>
      <c r="FB79" s="3217">
        <f t="shared" ref="FB79" si="372">+FB32/FB84</f>
      </c>
      <c r="FC79" s="3218">
        <f>+FC32/FC84</f>
      </c>
      <c r="FD79" s="3218">
        <f>+FD32/FD84</f>
      </c>
      <c r="FE79" s="3218">
        <f>+FE32/FE84</f>
      </c>
      <c r="FF79" s="3218">
        <f>+FF32/FF84</f>
      </c>
      <c r="FG79" s="3218">
        <f>+FG32/FG84</f>
      </c>
    </row>
    <row r="80" spans="1:163" outlineLevel="1">
      <c r="A80" s="1"/>
      <c r="B80" s="72"/>
      <c r="C80" s="72"/>
      <c r="D80" s="72"/>
      <c r="E80" s="72"/>
      <c r="F80" s="72"/>
      <c r="G80" s="72"/>
      <c r="H80" s="72"/>
      <c r="I80" s="72"/>
      <c r="J80" s="72"/>
      <c r="K80" s="72"/>
      <c r="L80" s="72"/>
      <c r="M80" s="72"/>
      <c r="N80" s="68"/>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1"/>
      <c r="CP80" s="77"/>
      <c r="CQ80" s="77"/>
      <c r="CR80" s="77"/>
      <c r="CS80" s="77"/>
      <c r="CT80" s="73"/>
      <c r="CU80" s="77"/>
      <c r="CV80" s="77"/>
      <c r="CW80" s="77"/>
      <c r="CX80" s="77"/>
      <c r="CY80" s="73"/>
      <c r="CZ80" s="77"/>
      <c r="DA80" s="77"/>
      <c r="DB80" s="77"/>
      <c r="DC80" s="77"/>
      <c r="DD80" s="73"/>
      <c r="DE80" s="77"/>
      <c r="DF80" s="77"/>
      <c r="DG80" s="77"/>
      <c r="DH80" s="77"/>
      <c r="DI80" s="73"/>
      <c r="DJ80" s="77"/>
      <c r="DK80" s="77"/>
      <c r="DL80" s="935"/>
      <c r="DM80" s="935"/>
      <c r="DN80" s="1045"/>
      <c r="DO80" s="935"/>
      <c r="DP80" s="935"/>
      <c r="DQ80" s="935"/>
      <c r="DR80" s="935"/>
      <c r="DS80" s="1045"/>
      <c r="DT80" s="935"/>
      <c r="DU80" s="935"/>
      <c r="DV80" s="935"/>
      <c r="DW80" s="935"/>
      <c r="DX80" s="1045"/>
      <c r="DY80" s="935"/>
      <c r="DZ80" s="935"/>
      <c r="EA80" s="935"/>
      <c r="EB80" s="935"/>
      <c r="EC80" s="1045"/>
      <c r="ED80" s="1045"/>
      <c r="EE80" s="1045"/>
      <c r="EF80" s="1045"/>
      <c r="EG80" s="1045"/>
      <c r="EH80" s="1045"/>
      <c r="EI80" s="1045"/>
      <c r="EJ80" s="1045"/>
      <c r="EK80" s="1045"/>
      <c r="EL80" s="1045"/>
      <c r="EM80" s="1045"/>
      <c r="EN80" s="1045"/>
      <c r="EO80" s="1045"/>
      <c r="EP80" s="1045"/>
      <c r="EQ80" s="1045"/>
      <c r="ER80" s="1045"/>
      <c r="ES80" s="1045"/>
      <c r="ET80" s="1045"/>
      <c r="EU80" s="1045"/>
      <c r="EV80" s="1045"/>
      <c r="EW80" s="1045"/>
      <c r="EX80" s="1045"/>
      <c r="EY80" s="1045"/>
      <c r="EZ80" s="1045"/>
      <c r="FA80" s="1045"/>
      <c r="FB80" s="1045"/>
      <c r="FC80" s="1045"/>
      <c r="FD80" s="1045"/>
      <c r="FE80" s="1045"/>
      <c r="FF80" s="1045"/>
      <c r="FG80" s="1045"/>
    </row>
    <row r="81" spans="1:165" outlineLevel="1">
      <c r="A81" s="1"/>
      <c r="B81" s="769" t="s">
        <v>299</v>
      </c>
      <c r="C81" s="770"/>
      <c r="D81" s="770"/>
      <c r="E81" s="770"/>
      <c r="F81" s="770"/>
      <c r="G81" s="770"/>
      <c r="H81" s="770"/>
      <c r="I81" s="770"/>
      <c r="J81" s="770"/>
      <c r="K81" s="770"/>
      <c r="L81" s="770"/>
      <c r="M81" s="770"/>
      <c r="N81" s="755"/>
      <c r="O81" s="593"/>
      <c r="P81" s="593"/>
      <c r="Q81" s="593"/>
      <c r="R81" s="593"/>
      <c r="S81" s="593"/>
      <c r="T81" s="593"/>
      <c r="U81" s="593"/>
      <c r="V81" s="593"/>
      <c r="W81" s="593"/>
      <c r="X81" s="593"/>
      <c r="Y81" s="593"/>
      <c r="Z81" s="593"/>
      <c r="AA81" s="593"/>
      <c r="AB81" s="593"/>
      <c r="AC81" s="593"/>
      <c r="AD81" s="593"/>
      <c r="AE81" s="593"/>
      <c r="AF81" s="593"/>
      <c r="AG81" s="593"/>
      <c r="AH81" s="593"/>
      <c r="AI81" s="593"/>
      <c r="AJ81" s="593"/>
      <c r="AK81" s="593"/>
      <c r="AL81" s="593"/>
      <c r="AM81" s="593"/>
      <c r="AN81" s="593"/>
      <c r="AO81" s="593"/>
      <c r="AP81" s="593"/>
      <c r="AQ81" s="593"/>
      <c r="AR81" s="593"/>
      <c r="AS81" s="593"/>
      <c r="AT81" s="593"/>
      <c r="AU81" s="593"/>
      <c r="AV81" s="593"/>
      <c r="AW81" s="593"/>
      <c r="AX81" s="593"/>
      <c r="AY81" s="593"/>
      <c r="AZ81" s="593"/>
      <c r="BA81" s="593"/>
      <c r="BB81" s="593"/>
      <c r="BC81" s="593"/>
      <c r="BD81" s="593"/>
      <c r="BE81" s="593"/>
      <c r="BF81" s="593"/>
      <c r="BG81" s="593"/>
      <c r="BH81" s="593"/>
      <c r="BI81" s="593"/>
      <c r="BJ81" s="593"/>
      <c r="BK81" s="593"/>
      <c r="BL81" s="593"/>
      <c r="BM81" s="593"/>
      <c r="BN81" s="593"/>
      <c r="BO81" s="593"/>
      <c r="BP81" s="593"/>
      <c r="BQ81" s="593"/>
      <c r="BR81" s="593"/>
      <c r="BS81" s="593"/>
      <c r="BT81" s="593"/>
      <c r="BU81" s="771"/>
      <c r="BV81" s="593"/>
      <c r="BW81" s="593"/>
      <c r="BX81" s="593"/>
      <c r="BY81" s="593"/>
      <c r="BZ81" s="771"/>
      <c r="CA81" s="593"/>
      <c r="CB81" s="593"/>
      <c r="CC81" s="593"/>
      <c r="CD81" s="593"/>
      <c r="CE81" s="771"/>
      <c r="CF81" s="593"/>
      <c r="CG81" s="593"/>
      <c r="CH81" s="593"/>
      <c r="CI81" s="593"/>
      <c r="CJ81" s="771"/>
      <c r="CK81" s="593"/>
      <c r="CL81" s="593"/>
      <c r="CM81" s="593"/>
      <c r="CN81" s="593"/>
      <c r="CO81" s="771"/>
      <c r="CP81" s="593"/>
      <c r="CQ81" s="593"/>
      <c r="CR81" s="593"/>
      <c r="CS81" s="593"/>
      <c r="CT81" s="771"/>
      <c r="CU81" s="593"/>
      <c r="CV81" s="593"/>
      <c r="CW81" s="593"/>
      <c r="CX81" s="593"/>
      <c r="CY81" s="771"/>
      <c r="CZ81" s="593"/>
      <c r="DA81" s="593"/>
      <c r="DB81" s="593"/>
      <c r="DC81" s="593"/>
      <c r="DD81" s="771"/>
      <c r="DE81" s="593"/>
      <c r="DF81" s="593"/>
      <c r="DG81" s="593"/>
      <c r="DH81" s="593"/>
      <c r="DI81" s="771"/>
      <c r="DJ81" s="593"/>
      <c r="DK81" s="593"/>
      <c r="DL81" s="593"/>
      <c r="DM81" s="1033"/>
      <c r="DN81" s="1113"/>
      <c r="DO81" s="1124"/>
      <c r="DP81" s="1124"/>
      <c r="DQ81" s="1124"/>
      <c r="DR81" s="1033"/>
      <c r="DS81" s="1113"/>
      <c r="DT81" s="1124"/>
      <c r="DU81" s="1124"/>
      <c r="DV81" s="1124"/>
      <c r="DW81" s="1124"/>
      <c r="DX81" s="1113"/>
      <c r="DY81" s="1124"/>
      <c r="DZ81" s="1124"/>
      <c r="EA81" s="1124"/>
      <c r="EB81" s="1124"/>
      <c r="EC81" s="2714"/>
      <c r="ED81" s="1499"/>
      <c r="EE81" s="1499"/>
      <c r="EF81" s="1499"/>
      <c r="EG81" s="1499"/>
      <c r="EH81" s="2714"/>
      <c r="EI81" s="1499"/>
      <c r="EJ81" s="1499"/>
      <c r="EK81" s="1499"/>
      <c r="EL81" s="1499"/>
      <c r="EM81" s="2509"/>
      <c r="EN81" s="2503"/>
      <c r="EO81" s="1499"/>
      <c r="EP81" s="2692"/>
      <c r="EQ81" s="2042"/>
      <c r="ER81" s="2041"/>
      <c r="ES81" s="2503"/>
      <c r="ET81" s="2692"/>
      <c r="EU81" s="2692"/>
      <c r="EV81" s="2042"/>
      <c r="EW81" s="2041"/>
      <c r="EX81" s="2503"/>
      <c r="EY81" s="2692"/>
      <c r="EZ81" s="1499"/>
      <c r="FA81" s="2042"/>
      <c r="FB81" s="2041"/>
      <c r="FC81" s="1287"/>
      <c r="FD81" s="1287"/>
      <c r="FE81" s="1287"/>
      <c r="FF81" s="1287"/>
      <c r="FG81" s="1287"/>
    </row>
    <row r="82" spans="1:165" outlineLevel="1">
      <c r="A82" s="1"/>
      <c r="B82" s="108" t="s">
        <v>300</v>
      </c>
      <c r="C82" s="72"/>
      <c r="D82" s="72"/>
      <c r="E82" s="72"/>
      <c r="F82" s="72"/>
      <c r="G82" s="72"/>
      <c r="H82" s="72"/>
      <c r="I82" s="72"/>
      <c r="J82" s="72"/>
      <c r="K82" s="72"/>
      <c r="L82" s="72"/>
      <c r="M82" s="72"/>
      <c r="N82" s="68"/>
      <c r="O82" s="1"/>
      <c r="P82" s="1"/>
      <c r="Q82" s="1"/>
      <c r="R82" s="1"/>
      <c r="S82" s="1"/>
      <c r="T82" s="1"/>
      <c r="U82" s="1"/>
      <c r="V82" s="78"/>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539"/>
      <c r="BV82" s="1"/>
      <c r="BW82" s="1"/>
      <c r="BX82" s="1"/>
      <c r="BY82" s="1"/>
      <c r="BZ82" s="539"/>
      <c r="CA82" s="1"/>
      <c r="CB82" s="1"/>
      <c r="CC82" s="1"/>
      <c r="CD82" s="1"/>
      <c r="CE82" s="539"/>
      <c r="CF82" s="1"/>
      <c r="CG82" s="1"/>
      <c r="CH82" s="1"/>
      <c r="CI82" s="1"/>
      <c r="CJ82" s="539"/>
      <c r="CK82" s="1"/>
      <c r="CL82" s="1"/>
      <c r="CM82" s="1"/>
      <c r="CN82" s="1"/>
      <c r="CO82" s="539"/>
      <c r="CP82" s="1"/>
      <c r="CQ82" s="1"/>
      <c r="CR82" s="1"/>
      <c r="CS82" s="1"/>
      <c r="CT82" s="539"/>
      <c r="CU82" s="1"/>
      <c r="CV82" s="1"/>
      <c r="CW82" s="1"/>
      <c r="CX82" s="1"/>
      <c r="CY82" s="539"/>
      <c r="CZ82" s="1"/>
      <c r="DA82" s="1"/>
      <c r="DB82" s="1"/>
      <c r="DC82" s="1"/>
      <c r="DD82" s="539"/>
      <c r="DE82" s="1"/>
      <c r="DF82" s="1"/>
      <c r="DG82" s="1"/>
      <c r="DH82" s="1"/>
      <c r="DI82" s="539"/>
      <c r="DJ82" s="1"/>
      <c r="DK82" s="1"/>
      <c r="DL82" s="1"/>
      <c r="DM82" s="946"/>
      <c r="DN82" s="1114"/>
      <c r="DO82" s="946"/>
      <c r="DP82" s="946"/>
      <c r="DQ82" s="946"/>
      <c r="DR82" s="946"/>
      <c r="DS82" s="1114"/>
      <c r="DT82" s="946"/>
      <c r="DU82" s="946"/>
      <c r="DV82" s="946"/>
      <c r="DW82" s="946"/>
      <c r="DX82" s="1114"/>
      <c r="DY82" s="946"/>
      <c r="DZ82" s="946"/>
      <c r="EA82" s="946"/>
      <c r="EB82" s="946"/>
      <c r="EC82" s="2724"/>
      <c r="ED82" s="946"/>
      <c r="EE82" s="946"/>
      <c r="EF82" s="946"/>
      <c r="EG82" s="946"/>
      <c r="EH82" s="2724"/>
      <c r="EI82" s="3077" t="s">
        <v>874</v>
      </c>
      <c r="EJ82" s="946"/>
      <c r="EK82" s="946"/>
      <c r="EL82" s="946"/>
      <c r="EM82" s="2513"/>
      <c r="EN82" s="971"/>
      <c r="EO82" s="946"/>
      <c r="EP82" s="946"/>
      <c r="EQ82" s="1253"/>
      <c r="ER82" s="1098"/>
      <c r="ES82" s="971"/>
      <c r="ET82" s="946"/>
      <c r="EU82" s="946"/>
      <c r="EV82" s="1253"/>
      <c r="EW82" s="1098"/>
      <c r="EX82" s="971"/>
      <c r="EY82" s="946"/>
      <c r="EZ82" s="946"/>
      <c r="FA82" s="1253"/>
      <c r="FB82" s="1098"/>
      <c r="FC82" s="1098"/>
      <c r="FD82" s="1098"/>
      <c r="FE82" s="1098"/>
      <c r="FF82" s="1098"/>
      <c r="FG82" s="1098"/>
    </row>
    <row r="83" spans="1:165" outlineLevel="2">
      <c r="A83" s="50"/>
      <c r="B83" s="139" t="s">
        <v>5</v>
      </c>
      <c r="C83" s="126"/>
      <c r="D83" s="126"/>
      <c r="E83" s="126"/>
      <c r="F83" s="126"/>
      <c r="G83" s="126"/>
      <c r="H83" s="126">
        <f>+'Income Statement'!AG24</f>
      </c>
      <c r="I83" s="126">
        <f>+'Income Statement'!AH24</f>
      </c>
      <c r="J83" s="126">
        <f>+'Income Statement'!AI24</f>
      </c>
      <c r="K83" s="126">
        <f>+'Income Statement'!AJ24</f>
      </c>
      <c r="L83" s="126">
        <f>+'Income Statement'!AK24</f>
      </c>
      <c r="M83" s="126">
        <f>+'Income Statement'!AL24</f>
      </c>
      <c r="N83" s="50">
        <f>+'Income Statement'!AM24</f>
      </c>
      <c r="O83" s="50">
        <f>+'Income Statement'!AN24</f>
      </c>
      <c r="P83" s="50">
        <f>+'Income Statement'!AO24</f>
      </c>
      <c r="Q83" s="50">
        <f>+'Income Statement'!AP24</f>
      </c>
      <c r="R83" s="50">
        <f>+'Income Statement'!AQ24</f>
      </c>
      <c r="S83" s="50">
        <f>+'Income Statement'!AR24</f>
      </c>
      <c r="T83" s="50">
        <f>+'Income Statement'!AS24</f>
      </c>
      <c r="U83" s="50">
        <f>+'Income Statement'!AT24</f>
      </c>
      <c r="V83" s="50">
        <f>+'Income Statement'!AU24</f>
      </c>
      <c r="W83" s="50">
        <f>+'Income Statement'!AV24</f>
      </c>
      <c r="X83" s="50">
        <f>+'Income Statement'!AW24</f>
      </c>
      <c r="Y83" s="50">
        <f>+'Income Statement'!AX24</f>
      </c>
      <c r="Z83" s="50">
        <f>+'Income Statement'!AY24</f>
      </c>
      <c r="AA83" s="50">
        <f>+'Income Statement'!AZ24</f>
      </c>
      <c r="AB83" s="50">
        <f>+'Income Statement'!BA24</f>
      </c>
      <c r="AC83" s="50">
        <f>+'Income Statement'!BB24</f>
      </c>
      <c r="AD83" s="50">
        <f>+'Income Statement'!BC24</f>
      </c>
      <c r="AE83" s="50">
        <f>+'Income Statement'!BD24</f>
      </c>
      <c r="AF83" s="50">
        <f>+'Income Statement'!BE24</f>
      </c>
      <c r="AG83" s="50">
        <f>+'Income Statement'!BF24</f>
      </c>
      <c r="AH83" s="50">
        <f>+'Income Statement'!BG24</f>
      </c>
      <c r="AI83" s="50">
        <f>+'Income Statement'!BH24</f>
      </c>
      <c r="AJ83" s="50">
        <f>+'Income Statement'!BI24</f>
      </c>
      <c r="AK83" s="50">
        <f>+'Income Statement'!BJ24</f>
      </c>
      <c r="AL83" s="50">
        <f>+'Income Statement'!BK24</f>
      </c>
      <c r="AM83" s="50">
        <f>+'Income Statement'!BL24</f>
      </c>
      <c r="AN83" s="50">
        <f>+'Income Statement'!BM24</f>
      </c>
      <c r="AO83" s="50">
        <f>+'Income Statement'!BN24</f>
      </c>
      <c r="AP83" s="50">
        <f>+'Income Statement'!BO24</f>
      </c>
      <c r="AQ83" s="50">
        <f>+'Income Statement'!BP24</f>
      </c>
      <c r="AR83" s="50">
        <f>+'Income Statement'!BQ24</f>
      </c>
      <c r="AS83" s="50">
        <f>+'Income Statement'!BR24</f>
      </c>
      <c r="AT83" s="50">
        <f>+'Income Statement'!BS24</f>
      </c>
      <c r="AU83" s="50">
        <f>+'Income Statement'!BT24</f>
      </c>
      <c r="AV83" s="50">
        <f>+'Income Statement'!BU24</f>
      </c>
      <c r="AW83" s="50">
        <f>+'Income Statement'!BV24</f>
      </c>
      <c r="AX83" s="50">
        <f>+'Income Statement'!BW24</f>
      </c>
      <c r="AY83" s="50">
        <f>+'Income Statement'!BX24</f>
      </c>
      <c r="AZ83" s="50">
        <f>+'Income Statement'!BY24</f>
      </c>
      <c r="BA83" s="50">
        <f>+'Income Statement'!BZ24</f>
      </c>
      <c r="BB83" s="50">
        <f>+'Income Statement'!CA24</f>
      </c>
      <c r="BC83" s="50">
        <f>+'Income Statement'!CB24</f>
      </c>
      <c r="BD83" s="50">
        <f>+'Income Statement'!CC24</f>
      </c>
      <c r="BE83" s="50">
        <f>+'Income Statement'!CD24</f>
      </c>
      <c r="BF83" s="50">
        <f>+'Income Statement'!CE24</f>
      </c>
      <c r="BG83" s="50">
        <f>+'Income Statement'!CF24</f>
      </c>
      <c r="BH83" s="50">
        <f>+'Income Statement'!CG24</f>
      </c>
      <c r="BI83" s="50">
        <f>+'Income Statement'!CH24</f>
      </c>
      <c r="BJ83" s="50">
        <f>+'Income Statement'!CI24</f>
      </c>
      <c r="BK83" s="50">
        <f>+'Income Statement'!CJ24</f>
      </c>
      <c r="BL83" s="50">
        <f>+'Income Statement'!CK24</f>
      </c>
      <c r="BM83" s="50">
        <f>+'Income Statement'!CL24</f>
      </c>
      <c r="BN83" s="50">
        <f>+'Income Statement'!CM24</f>
      </c>
      <c r="BO83" s="50">
        <f>+'Income Statement'!CN24</f>
      </c>
      <c r="BP83" s="50">
        <f>+'Income Statement'!CO24</f>
      </c>
      <c r="BQ83" s="50">
        <f>+'Income Statement'!CP24</f>
      </c>
      <c r="BR83" s="50">
        <f>+'Income Statement'!CQ24</f>
      </c>
      <c r="BS83" s="50">
        <f>+'Income Statement'!CR24</f>
      </c>
      <c r="BT83" s="50">
        <f>+'Income Statement'!CS24</f>
      </c>
      <c r="BU83" s="540">
        <f>+'Income Statement'!CT24</f>
      </c>
      <c r="BV83" s="50">
        <f>+'Income Statement'!CU24</f>
      </c>
      <c r="BW83" s="50">
        <f>+'Income Statement'!CV24</f>
      </c>
      <c r="BX83" s="50">
        <f>+'Income Statement'!CW24</f>
      </c>
      <c r="BY83" s="50">
        <f>+'Income Statement'!CX24</f>
      </c>
      <c r="BZ83" s="540">
        <f>+'Income Statement'!CY24</f>
      </c>
      <c r="CA83" s="50">
        <f>+'Income Statement'!CZ24</f>
      </c>
      <c r="CB83" s="50">
        <f>+'Income Statement'!DA24</f>
      </c>
      <c r="CC83" s="50">
        <f>+'Income Statement'!DB24</f>
      </c>
      <c r="CD83" s="50">
        <f>+'Income Statement'!DC24</f>
      </c>
      <c r="CE83" s="540">
        <f>+'Income Statement'!DD24</f>
      </c>
      <c r="CF83" s="50">
        <f>+'Income Statement'!DE24</f>
      </c>
      <c r="CG83" s="50">
        <f>+'Income Statement'!DF24</f>
      </c>
      <c r="CH83" s="50">
        <f>+'Income Statement'!DG24</f>
      </c>
      <c r="CI83" s="50">
        <f>+'Income Statement'!DH24</f>
      </c>
      <c r="CJ83" s="540">
        <f>+'Income Statement'!DI24</f>
      </c>
      <c r="CK83" s="50">
        <f>+'Income Statement'!DJ24</f>
      </c>
      <c r="CL83" s="50">
        <f>+'Income Statement'!DK24</f>
      </c>
      <c r="CM83" s="50">
        <f>+'Income Statement'!DL24</f>
      </c>
      <c r="CN83" s="50">
        <f>+'Income Statement'!DM24</f>
      </c>
      <c r="CO83" s="540">
        <f>+'Income Statement'!DN24</f>
      </c>
      <c r="CP83" s="50">
        <f>+'Income Statement'!DO24</f>
      </c>
      <c r="CQ83" s="50">
        <f>+'Income Statement'!DP24</f>
      </c>
      <c r="CR83" s="50">
        <f>+'Income Statement'!DQ24</f>
      </c>
      <c r="CS83" s="50">
        <f>+'Income Statement'!DR24</f>
      </c>
      <c r="CT83" s="540">
        <f>+'Income Statement'!DS24</f>
      </c>
      <c r="CU83" s="50">
        <f>+'Income Statement'!DT24</f>
      </c>
      <c r="CV83" s="50">
        <f>+'Income Statement'!DU24</f>
      </c>
      <c r="CW83" s="50">
        <f>+'Income Statement'!DV24</f>
      </c>
      <c r="CX83" s="50">
        <f>+'Income Statement'!DW24</f>
      </c>
      <c r="CY83" s="540">
        <f>+'Income Statement'!DX24</f>
      </c>
      <c r="CZ83" s="50">
        <f>+'Income Statement'!DY24</f>
      </c>
      <c r="DA83" s="50">
        <f>+'Income Statement'!DZ24</f>
      </c>
      <c r="DB83" s="50">
        <f>+'Income Statement'!EA24</f>
      </c>
      <c r="DC83" s="50">
        <f>+'Income Statement'!EB24</f>
      </c>
      <c r="DD83" s="540">
        <f>+'Income Statement'!EC24</f>
      </c>
      <c r="DE83" s="50">
        <f>+'Income Statement'!ED24</f>
      </c>
      <c r="DF83" s="50">
        <f>+'Income Statement'!EE24</f>
      </c>
      <c r="DG83" s="50">
        <f>+'Income Statement'!EF24</f>
      </c>
      <c r="DH83" s="50">
        <f>+'Income Statement'!EG24</f>
      </c>
      <c r="DI83" s="540">
        <f>+'Income Statement'!EH24</f>
      </c>
      <c r="DJ83" s="50">
        <f>+'Income Statement'!EI24</f>
      </c>
      <c r="DK83" s="50">
        <f>+'Income Statement'!EJ24</f>
      </c>
      <c r="DL83" s="50">
        <f>+'Income Statement'!EK24</f>
      </c>
      <c r="DM83" s="50">
        <f>+'Income Statement'!EL24</f>
      </c>
      <c r="DN83" s="1115">
        <f>+'Income Statement'!EM24</f>
      </c>
      <c r="DO83" s="1047">
        <f>+'Income Statement'!EN24</f>
      </c>
      <c r="DP83" s="1047">
        <f>+'Income Statement'!EO24</f>
      </c>
      <c r="DQ83" s="1047">
        <f>+'Income Statement'!EP24</f>
      </c>
      <c r="DR83" s="50">
        <f>+'Income Statement'!EQ24</f>
      </c>
      <c r="DS83" s="1115">
        <f>+'Income Statement'!ER24</f>
      </c>
      <c r="DT83" s="1047">
        <f>+'Income Statement'!ES24</f>
      </c>
      <c r="DU83" s="1047">
        <f>+'Income Statement'!ET24</f>
      </c>
      <c r="DV83" s="1047">
        <f>+'Income Statement'!EU24</f>
      </c>
      <c r="DW83" s="1047">
        <f>+'Income Statement'!EV24</f>
      </c>
      <c r="DX83" s="3078">
        <f>+'Income Statement'!EW24</f>
      </c>
      <c r="DY83" s="3079">
        <f>+'Income Statement'!EX24</f>
      </c>
      <c r="DZ83" s="3079">
        <f>+'Income Statement'!EY24</f>
      </c>
      <c r="EA83" s="3079">
        <f>+'Income Statement'!EZ24</f>
      </c>
      <c r="EB83" s="3079">
        <f>+'Income Statement'!FA24</f>
      </c>
      <c r="EC83" s="3080">
        <f>+'Income Statement'!FB24</f>
      </c>
      <c r="ED83" s="3079">
        <f>+'Income Statement'!FC24</f>
      </c>
      <c r="EE83" s="3079">
        <f>+'Income Statement'!FD24</f>
      </c>
      <c r="EF83" s="3079">
        <f>+'Income Statement'!FE24</f>
      </c>
      <c r="EG83" s="3079">
        <f>+'Income Statement'!FF24</f>
      </c>
      <c r="EH83" s="3080">
        <f>+'Income Statement'!FG24</f>
      </c>
      <c r="EI83" s="3079">
        <f>+'Income Statement'!FO24</f>
      </c>
      <c r="EJ83" s="3079">
        <f>+'Income Statement'!FP24</f>
      </c>
      <c r="EK83" s="3079">
        <f>+'Income Statement'!FQ24</f>
      </c>
      <c r="EL83" s="3079">
        <f>+'Income Statement'!FR24</f>
      </c>
      <c r="EM83" s="3081">
        <f>+'Income Statement'!FS24</f>
      </c>
      <c r="EN83" s="3082">
        <f>+'Income Statement'!FT24</f>
      </c>
      <c r="EO83" s="3079">
        <f>+'Income Statement'!FU24</f>
      </c>
      <c r="EP83" s="3079">
        <f>+'Income Statement'!FV24</f>
      </c>
      <c r="EQ83" s="3083">
        <f>+'Income Statement'!FW24</f>
      </c>
      <c r="ER83" s="3084">
        <f>+'Income Statement'!FX24</f>
      </c>
      <c r="ES83" s="3082">
        <f>+'Income Statement'!FY24</f>
      </c>
      <c r="ET83" s="3079">
        <f>+'Income Statement'!FZ24</f>
      </c>
      <c r="EU83" s="3079">
        <f>+'Income Statement'!GA24</f>
      </c>
      <c r="EV83" s="3083">
        <f>+'Income Statement'!GB24</f>
      </c>
      <c r="EW83" s="3084">
        <f>+'Income Statement'!GC24</f>
      </c>
      <c r="EX83" s="3082">
        <f>+'Income Statement'!GD24</f>
      </c>
      <c r="EY83" s="3079">
        <f>+'Income Statement'!GE24</f>
      </c>
      <c r="EZ83" s="3079">
        <f>+'Income Statement'!GF24</f>
      </c>
      <c r="FA83" s="3083">
        <f>+'Income Statement'!GG24</f>
      </c>
      <c r="FB83" s="3084">
        <v>90755.485144084989</v>
      </c>
      <c r="FC83" s="3084">
        <f>+'Income Statement'!GI24</f>
      </c>
      <c r="FD83" s="3084">
        <f>+'Income Statement'!GJ24</f>
      </c>
      <c r="FE83" s="3084">
        <f>+'Income Statement'!GK24</f>
      </c>
      <c r="FF83" s="3084">
        <f>+'Income Statement'!GL24</f>
      </c>
      <c r="FG83" s="3084">
        <f>+'Income Statement'!GM24</f>
      </c>
      <c r="FH83" s="1047"/>
      <c r="FI83" s="1047"/>
    </row>
    <row r="84" spans="1:165" outlineLevel="1">
      <c r="A84" s="1"/>
      <c r="B84" s="666" t="s">
        <v>301</v>
      </c>
      <c r="C84" s="50"/>
      <c r="D84" s="50"/>
      <c r="E84" s="50"/>
      <c r="F84" s="50"/>
      <c r="G84" s="50"/>
      <c r="H84" s="50">
        <f>+H83</f>
      </c>
      <c r="I84" s="50"/>
      <c r="J84" s="50"/>
      <c r="K84" s="50"/>
      <c r="L84" s="50"/>
      <c r="M84" s="50">
        <f>+M83</f>
      </c>
      <c r="N84" s="50">
        <f>+N83+L83+K83+J83</f>
      </c>
      <c r="O84" s="50">
        <f>+O83+N83+L83+K83</f>
      </c>
      <c r="P84" s="50">
        <f>+P83+O83+N83+L83</f>
      </c>
      <c r="Q84" s="50">
        <f>+Q83+P83+O83+N83</f>
      </c>
      <c r="R84" s="50">
        <f>+R83</f>
      </c>
      <c r="S84" s="50">
        <f>+S83+Q83+P83+O83</f>
      </c>
      <c r="T84" s="50">
        <f>+T83+S83+Q83+P83</f>
      </c>
      <c r="U84" s="50">
        <f>+U83+T83+S83+Q83</f>
      </c>
      <c r="V84" s="50">
        <f>+V83+U83+T83+S83</f>
      </c>
      <c r="W84" s="50">
        <f>+W83</f>
      </c>
      <c r="X84" s="50"/>
      <c r="Y84" s="50"/>
      <c r="Z84" s="50"/>
      <c r="AA84" s="50"/>
      <c r="AB84" s="50">
        <f>+AB83</f>
      </c>
      <c r="AC84" s="50">
        <f>+AC83+AA83+Z83+Y83</f>
      </c>
      <c r="AD84" s="50">
        <f>+AD83+AC83+AA83+Z83</f>
      </c>
      <c r="AE84" s="50">
        <f>+AE83+AD83+AC83+AA83</f>
      </c>
      <c r="AF84" s="50">
        <f>+AF83+AE83+AD83+AC83</f>
      </c>
      <c r="AG84" s="50">
        <f>+AG83</f>
      </c>
      <c r="AH84" s="50">
        <f>+AH83+AF83+AE83+AD83</f>
      </c>
      <c r="AI84" s="50">
        <f>+AI83+AH83+AF83+AE83</f>
      </c>
      <c r="AJ84" s="50">
        <f>+AJ83+AI83+AH83+AF83</f>
      </c>
      <c r="AK84" s="50">
        <f>+AK83+AJ83+AI83+AH83</f>
      </c>
      <c r="AL84" s="50">
        <f>+AL83</f>
      </c>
      <c r="AM84" s="50">
        <f>+AM83+AK83+AJ83+AI83</f>
      </c>
      <c r="AN84" s="50">
        <f>+AN83+AM83+AK83+AJ83</f>
      </c>
      <c r="AO84" s="50">
        <f>+AO83+AN83+AM83+AK83</f>
      </c>
      <c r="AP84" s="50">
        <f>+AP83+AO83+AN83+AM83</f>
      </c>
      <c r="AQ84" s="50">
        <f>+AQ83</f>
      </c>
      <c r="AR84" s="50">
        <f>+AR83+AP83+AO83+AN83</f>
      </c>
      <c r="AS84" s="50">
        <f>+AS83+AR83+AP83+AO83</f>
      </c>
      <c r="AT84" s="50">
        <f>+AT83+AS83+AR83+AP83</f>
      </c>
      <c r="AU84" s="50">
        <f>+AU83+AT83+AS83+AR83</f>
      </c>
      <c r="AV84" s="50">
        <f>+AV83</f>
      </c>
      <c r="AW84" s="50">
        <f>+AW83+AU83+AT83+AS83</f>
      </c>
      <c r="AX84" s="50">
        <f>+AX83+AW83+AU83+AT83</f>
      </c>
      <c r="AY84" s="50">
        <f>+AY83+AX83+AW83+AU83</f>
      </c>
      <c r="AZ84" s="50">
        <f>+AZ83+AY83+AX83+AW83</f>
      </c>
      <c r="BA84" s="50">
        <f>+BA83</f>
      </c>
      <c r="BB84" s="50">
        <f>+BB83+AZ83+AY83+AX83</f>
      </c>
      <c r="BC84" s="50">
        <f>+BC83+BB83+AZ83+AY83</f>
      </c>
      <c r="BD84" s="50">
        <f>+BD83+BC83+BB83+AZ83</f>
      </c>
      <c r="BE84" s="50">
        <f>+BE83+BD83+BC83+BB83</f>
      </c>
      <c r="BF84" s="50">
        <f>+BF83</f>
      </c>
      <c r="BG84" s="50">
        <f>+BG83+BE83+BD83+BC83</f>
      </c>
      <c r="BH84" s="50">
        <f>+BH83+BG83+BE83+BD83</f>
      </c>
      <c r="BI84" s="50">
        <f>+BI83+BH83+BG83+BE83</f>
      </c>
      <c r="BJ84" s="50">
        <f>+BJ83+BI83+BH83+BG83</f>
      </c>
      <c r="BK84" s="50">
        <f>+BK83</f>
      </c>
      <c r="BL84" s="50">
        <f>+BL83+BJ83+BI83+BH83</f>
      </c>
      <c r="BM84" s="50">
        <f>+BM83+BL83+BJ83+BI83</f>
      </c>
      <c r="BN84" s="50">
        <f>+BN83+BM83+BL83+BJ83</f>
      </c>
      <c r="BO84" s="50">
        <f>+BO83+BN83+BM83+BL83</f>
      </c>
      <c r="BP84" s="50">
        <f>+BP83</f>
      </c>
      <c r="BQ84" s="50">
        <f>+BQ83+BO83+BN83+BM83</f>
      </c>
      <c r="BR84" s="50">
        <f>+BR83+BQ83+BO83+BN83</f>
      </c>
      <c r="BS84" s="50">
        <f>+BS83+BR83+BQ83+BO83</f>
      </c>
      <c r="BT84" s="50">
        <f>+BT83+BS83+BR83+BQ83</f>
      </c>
      <c r="BU84" s="540">
        <f>+BU83</f>
      </c>
      <c r="BV84" s="50">
        <f>+BV83+BT83+BS83+BR83</f>
      </c>
      <c r="BW84" s="50">
        <f>+BW83+BV83+BT83+BS83</f>
      </c>
      <c r="BX84" s="50">
        <f>+BX83+BW83+BV83+BT83</f>
      </c>
      <c r="BY84" s="50">
        <f>+BY83+BX83+BW83+BV83</f>
      </c>
      <c r="BZ84" s="540">
        <f>+BZ83</f>
      </c>
      <c r="CA84" s="50">
        <f>+CA83+BY83+BX83+BW83</f>
      </c>
      <c r="CB84" s="50">
        <f>+CB83+CA83+BY83+BX83</f>
      </c>
      <c r="CC84" s="50">
        <f>+CC83+CB83+CA83+BY83</f>
      </c>
      <c r="CD84" s="50">
        <f>+CD83+CC83+CB83+CA83</f>
      </c>
      <c r="CE84" s="540">
        <f>+CE83</f>
      </c>
      <c r="CF84" s="50">
        <f>+CF83+CD83+CC83+CB83</f>
      </c>
      <c r="CG84" s="50">
        <f>+CG83+CF83+CD83+CC83</f>
      </c>
      <c r="CH84" s="50">
        <f>+CH83+CG83+CF83+CD83</f>
      </c>
      <c r="CI84" s="50">
        <f>+CI83+CH83+CG83+CF83</f>
      </c>
      <c r="CJ84" s="540">
        <f>+CJ83</f>
      </c>
      <c r="CK84" s="50">
        <f>+CK83+CI83+CH83+CG83</f>
      </c>
      <c r="CL84" s="50">
        <f>+CL83+CK83+CI83+CH83</f>
      </c>
      <c r="CM84" s="50">
        <f>+CM83+CL83+CK83+CI83</f>
      </c>
      <c r="CN84" s="50">
        <f>+CN83+CM83+CL83+CK83</f>
      </c>
      <c r="CO84" s="540">
        <f>+CO83</f>
      </c>
      <c r="CP84" s="50">
        <f>+CP83+CN83+CM83+CL83</f>
      </c>
      <c r="CQ84" s="50">
        <f>+CQ83+CP83+CN83+CM83</f>
      </c>
      <c r="CR84" s="50">
        <f>+CR83+CQ83+CP83+CN83</f>
      </c>
      <c r="CS84" s="50">
        <f>+CS83+CR83+CQ83+CP83</f>
      </c>
      <c r="CT84" s="540">
        <f>+CT83</f>
      </c>
      <c r="CU84" s="50">
        <f>+CU83+CS83+CR83+CQ83</f>
      </c>
      <c r="CV84" s="50">
        <f>+CV83+CU83+CS83+CR83</f>
      </c>
      <c r="CW84" s="50">
        <f>+CW83+CV83+CU83+CS83</f>
      </c>
      <c r="CX84" s="50">
        <f>+CX83+CW83+CV83+CU83</f>
      </c>
      <c r="CY84" s="540">
        <f>+CY83</f>
      </c>
      <c r="CZ84" s="50">
        <f>+CZ83+CX83+CW83+CV83</f>
      </c>
      <c r="DA84" s="50">
        <f>+DA83+CZ83+CX83+CW83</f>
      </c>
      <c r="DB84" s="50">
        <f>+DB83+DA83+CZ83+CX83</f>
      </c>
      <c r="DC84" s="50">
        <f>+DC83+DB83+DA83+CZ83</f>
      </c>
      <c r="DD84" s="540">
        <f>+DD83</f>
      </c>
      <c r="DE84" s="50">
        <f>+DE83+DC83+DB83+DA83</f>
      </c>
      <c r="DF84" s="50">
        <f>+DF83+DE83+DC83+DB83</f>
      </c>
      <c r="DG84" s="50">
        <f>+DG83+DF83+DE83+DC83</f>
      </c>
      <c r="DH84" s="50">
        <f>+DH83+DG83+DF83+DE83</f>
      </c>
      <c r="DI84" s="540">
        <f>+DI83</f>
      </c>
      <c r="DJ84" s="50">
        <f>+DJ83+DH83+DG83+DF83</f>
      </c>
      <c r="DK84" s="50">
        <f>+DK83+DJ83+DH83+DG83</f>
      </c>
      <c r="DL84" s="50">
        <f>+DL83+DK83+DJ83+DH83</f>
      </c>
      <c r="DM84" s="50">
        <f>+DM83+DL83+DK83+DJ83</f>
      </c>
      <c r="DN84" s="1115">
        <f>+DN83</f>
      </c>
      <c r="DO84" s="1047">
        <f>+DO83+DM83+DL83+DK83</f>
      </c>
      <c r="DP84" s="1047">
        <f>+DP83+DO83+DM83+DL83</f>
      </c>
      <c r="DQ84" s="1047">
        <f>+DQ83+DP83+DO83+DM83</f>
      </c>
      <c r="DR84" s="50">
        <f>+DR83+DQ83+DP83+DO83</f>
      </c>
      <c r="DS84" s="1115">
        <f>+DS83</f>
      </c>
      <c r="DT84" s="1047">
        <f>+DT83+DR83+DQ83+DP83</f>
      </c>
      <c r="DU84" s="1047">
        <f>+DU83+DT83+DR83+DQ83</f>
      </c>
      <c r="DV84" s="1047">
        <f>+DV83+DU83+DT83+DR83</f>
      </c>
      <c r="DW84" s="1047">
        <f>+DW83+DV83+DU83+DT83</f>
      </c>
      <c r="DX84" s="1115">
        <f>+DX83</f>
      </c>
      <c r="DY84" s="1047">
        <f>+DY83+DW83+DV83+DU83</f>
      </c>
      <c r="DZ84" s="1047">
        <f>+DZ83+DY83+DW83+DV83</f>
      </c>
      <c r="EA84" s="1047">
        <f>+EA83+DZ83+DY83+DW83</f>
      </c>
      <c r="EB84" s="1047">
        <f>+EB83+EA83+DZ83+DY83</f>
      </c>
      <c r="EC84" s="1126">
        <f>+EC83</f>
      </c>
      <c r="ED84" s="1047">
        <f>+ED83+EB83+EA83+DZ83</f>
      </c>
      <c r="EE84" s="1047">
        <f>+EE83+ED83+EB83+EA83</f>
      </c>
      <c r="EF84" s="1047">
        <f>+EF83+EE83+ED83+EB83</f>
      </c>
      <c r="EG84" s="1047">
        <f>+EG83+EF83+EE83+ED83</f>
      </c>
      <c r="EH84" s="1126">
        <f>+EH83</f>
      </c>
      <c r="EI84" s="1047">
        <f>+EI83+EG83+EF83+EE83</f>
      </c>
      <c r="EJ84" s="1047">
        <f>+EJ83+EI83+EG83+EF83</f>
      </c>
      <c r="EK84" s="1047">
        <f>+EK83+EJ83+EI83+EG83</f>
      </c>
      <c r="EL84" s="1047">
        <f>+EL83+EK83+EJ83+EI83</f>
      </c>
      <c r="EM84" s="2514">
        <f>+EM83</f>
      </c>
      <c r="EN84" s="1412">
        <f>+EN83+EL83+EK83+EJ83</f>
      </c>
      <c r="EO84" s="1047">
        <f>+EO83+EN83+EL83+EK83</f>
      </c>
      <c r="EP84" s="1047">
        <f>+EP83+EO83+EN83+EL83</f>
      </c>
      <c r="EQ84" s="1314">
        <f>+EQ83+EP83+EO83+EN83</f>
      </c>
      <c r="ER84" s="1297">
        <f>+ER83</f>
      </c>
      <c r="ES84" s="1412">
        <f>+ES83+EQ83+EP83+EO83</f>
      </c>
      <c r="ET84" s="1047">
        <f>+ET83+ES83+EQ83+EP83</f>
      </c>
      <c r="EU84" s="1047">
        <f>+EU83+ET83+ES83+EQ83</f>
      </c>
      <c r="EV84" s="1314">
        <f>+EV83+EU83+ET83+ES83</f>
      </c>
      <c r="EW84" s="1297">
        <f>+EW83</f>
      </c>
      <c r="EX84" s="1412">
        <f>+EX83+EV83+EU83+ET83</f>
      </c>
      <c r="EY84" s="1047">
        <f>+EY83+EX83+EV83+EU83</f>
      </c>
      <c r="EZ84" s="1047">
        <f>+EZ83+EY83+EX83+EV83</f>
      </c>
      <c r="FA84" s="1314">
        <f>+FA83+EZ83+EY83+EX83</f>
      </c>
      <c r="FB84" s="1297">
        <f t="shared" ref="FB84" si="373">+FB83</f>
      </c>
      <c r="FC84" s="1297">
        <f t="shared" ref="FC84:FF84" si="374">+FC83</f>
      </c>
      <c r="FD84" s="1297">
        <f t="shared" si="374"/>
      </c>
      <c r="FE84" s="1297">
        <f t="shared" si="374"/>
      </c>
      <c r="FF84" s="1297">
        <f t="shared" si="374"/>
      </c>
      <c r="FG84" s="1297">
        <f>+FG83</f>
      </c>
    </row>
    <row r="85" spans="1:165" outlineLevel="2">
      <c r="A85" s="1"/>
      <c r="B85" s="108" t="s">
        <v>302</v>
      </c>
      <c r="C85" s="126">
        <f>+'Income Statement'!H26</f>
      </c>
      <c r="D85" s="126">
        <f>+'Income Statement'!M26</f>
      </c>
      <c r="E85" s="126">
        <f>+'Income Statement'!R26</f>
      </c>
      <c r="F85" s="126">
        <f>+'Income Statement'!W26</f>
      </c>
      <c r="G85" s="126">
        <f>+'Income Statement'!AB26</f>
      </c>
      <c r="H85" s="126">
        <f>+'Income Statement'!AG26</f>
      </c>
      <c r="I85" s="126">
        <f>+'Income Statement'!AH26</f>
      </c>
      <c r="J85" s="126">
        <f>+'Income Statement'!AI26</f>
      </c>
      <c r="K85" s="126">
        <f>+'Income Statement'!AJ26</f>
      </c>
      <c r="L85" s="126">
        <f>+'Income Statement'!AK26</f>
      </c>
      <c r="M85" s="126">
        <f>+'Income Statement'!AL26</f>
      </c>
      <c r="N85" s="50">
        <f>+'Income Statement'!AM26</f>
      </c>
      <c r="O85" s="50">
        <f>+'Income Statement'!AN26</f>
      </c>
      <c r="P85" s="50">
        <f>+'Income Statement'!AO26</f>
      </c>
      <c r="Q85" s="50">
        <f>+'Income Statement'!AP26</f>
      </c>
      <c r="R85" s="50">
        <f>+'Income Statement'!AQ26</f>
      </c>
      <c r="S85" s="50">
        <f>+'Income Statement'!AR26</f>
      </c>
      <c r="T85" s="50">
        <f>+'Income Statement'!AS26</f>
      </c>
      <c r="U85" s="50">
        <f>+'Income Statement'!AT26</f>
      </c>
      <c r="V85" s="50">
        <f>+'Income Statement'!AU26</f>
      </c>
      <c r="W85" s="50">
        <f>+'Income Statement'!AV26</f>
      </c>
      <c r="X85" s="50"/>
      <c r="Y85" s="50"/>
      <c r="Z85" s="50"/>
      <c r="AA85" s="50"/>
      <c r="AB85" s="50">
        <f>+'Income Statement'!BA26</f>
      </c>
      <c r="AC85" s="50">
        <f>+'Income Statement'!BB26</f>
      </c>
      <c r="AD85" s="50">
        <f>+'Income Statement'!BC26</f>
      </c>
      <c r="AE85" s="50">
        <f>+'Income Statement'!BD26</f>
      </c>
      <c r="AF85" s="50">
        <f>+'Income Statement'!BE26</f>
      </c>
      <c r="AG85" s="50">
        <f>+'Income Statement'!BF26</f>
      </c>
      <c r="AH85" s="50">
        <f>+'Income Statement'!BG26</f>
      </c>
      <c r="AI85" s="50">
        <f>+'Income Statement'!BH26</f>
      </c>
      <c r="AJ85" s="50">
        <f>+'Income Statement'!BI26</f>
      </c>
      <c r="AK85" s="50">
        <f>+'Income Statement'!BJ26</f>
      </c>
      <c r="AL85" s="50">
        <f>+'Income Statement'!BK26</f>
      </c>
      <c r="AM85" s="50">
        <f>+'Income Statement'!BL26</f>
      </c>
      <c r="AN85" s="50">
        <f>+'Income Statement'!BM26</f>
      </c>
      <c r="AO85" s="50">
        <f>+'Income Statement'!BN26</f>
      </c>
      <c r="AP85" s="50">
        <f>+'Income Statement'!BO26</f>
      </c>
      <c r="AQ85" s="50">
        <f>+'Income Statement'!BP26</f>
      </c>
      <c r="AR85" s="50">
        <f>+'Income Statement'!BQ26</f>
      </c>
      <c r="AS85" s="50">
        <f>+'Income Statement'!BR26</f>
      </c>
      <c r="AT85" s="50">
        <f>+'Income Statement'!BS26</f>
      </c>
      <c r="AU85" s="50">
        <f>+'Income Statement'!BT26</f>
      </c>
      <c r="AV85" s="50">
        <f>+'Income Statement'!BU26</f>
      </c>
      <c r="AW85" s="50">
        <f>+'Income Statement'!BV26</f>
      </c>
      <c r="AX85" s="50">
        <f>+'Income Statement'!BW26</f>
      </c>
      <c r="AY85" s="50">
        <f>+'Income Statement'!BX26</f>
      </c>
      <c r="AZ85" s="50">
        <f>+'Income Statement'!BY26</f>
      </c>
      <c r="BA85" s="50">
        <f>+'Income Statement'!BZ26</f>
      </c>
      <c r="BB85" s="50">
        <f>+'Income Statement'!CA26</f>
      </c>
      <c r="BC85" s="50">
        <f>+'Income Statement'!CB26</f>
      </c>
      <c r="BD85" s="50">
        <f>+'Income Statement'!CC26</f>
      </c>
      <c r="BE85" s="50">
        <f>+'Income Statement'!CD26</f>
      </c>
      <c r="BF85" s="50">
        <f>+'Income Statement'!CE26</f>
      </c>
      <c r="BG85" s="50">
        <f>+'Income Statement'!CF26</f>
      </c>
      <c r="BH85" s="50">
        <f>+'Income Statement'!CG26</f>
      </c>
      <c r="BI85" s="50">
        <f>+'Income Statement'!CH26</f>
      </c>
      <c r="BJ85" s="50">
        <f>+'Income Statement'!CI26</f>
      </c>
      <c r="BK85" s="50">
        <f>+'Income Statement'!CJ26</f>
      </c>
      <c r="BL85" s="50">
        <f>+'Income Statement'!CK26</f>
      </c>
      <c r="BM85" s="50">
        <f>+'Income Statement'!CL26</f>
      </c>
      <c r="BN85" s="50">
        <f>+'Income Statement'!CM26</f>
      </c>
      <c r="BO85" s="50">
        <f>+'Income Statement'!CN26</f>
      </c>
      <c r="BP85" s="50">
        <f>+'Income Statement'!CO26</f>
      </c>
      <c r="BQ85" s="50">
        <f>+'Income Statement'!CP26</f>
      </c>
      <c r="BR85" s="50">
        <f>+'Income Statement'!CQ26</f>
      </c>
      <c r="BS85" s="50">
        <f>+'Income Statement'!CR26</f>
      </c>
      <c r="BT85" s="50">
        <f>+'Income Statement'!CS26</f>
      </c>
      <c r="BU85" s="540">
        <f>+'Income Statement'!CT26</f>
      </c>
      <c r="BV85" s="50">
        <f>+'Income Statement'!CU26</f>
      </c>
      <c r="BW85" s="50">
        <f>+'Income Statement'!CV26</f>
      </c>
      <c r="BX85" s="50">
        <f>+'Income Statement'!CW26</f>
      </c>
      <c r="BY85" s="50">
        <f>+'Income Statement'!CX26</f>
      </c>
      <c r="BZ85" s="540">
        <f>+'Income Statement'!CY26</f>
      </c>
      <c r="CA85" s="50">
        <f>+'Income Statement'!CZ26</f>
      </c>
      <c r="CB85" s="50">
        <f>+'Income Statement'!DA26</f>
      </c>
      <c r="CC85" s="50">
        <f>+'Income Statement'!DB26</f>
      </c>
      <c r="CD85" s="50">
        <f>+'Income Statement'!DC26</f>
      </c>
      <c r="CE85" s="540">
        <f>+'Income Statement'!DD26</f>
      </c>
      <c r="CF85" s="50">
        <f>+'Income Statement'!DE26</f>
      </c>
      <c r="CG85" s="50">
        <f>+'Income Statement'!DF26</f>
      </c>
      <c r="CH85" s="50">
        <f>+'Income Statement'!DG26</f>
      </c>
      <c r="CI85" s="50">
        <f>+'Income Statement'!DH26</f>
      </c>
      <c r="CJ85" s="540">
        <f>+'Income Statement'!DI26</f>
      </c>
      <c r="CK85" s="50">
        <f>+'Income Statement'!DJ26</f>
      </c>
      <c r="CL85" s="50">
        <f>+'Income Statement'!DK26</f>
      </c>
      <c r="CM85" s="50">
        <f>+'Income Statement'!DL26</f>
      </c>
      <c r="CN85" s="50">
        <f>+'Income Statement'!DM26</f>
      </c>
      <c r="CO85" s="540">
        <f>+'Income Statement'!DN26</f>
      </c>
      <c r="CP85" s="50">
        <f>+'Income Statement'!DO26</f>
      </c>
      <c r="CQ85" s="50">
        <f>+'Income Statement'!DP26</f>
      </c>
      <c r="CR85" s="50">
        <f>+'Income Statement'!DQ26</f>
      </c>
      <c r="CS85" s="50">
        <f>+'Income Statement'!DR26</f>
      </c>
      <c r="CT85" s="540">
        <f>+'Income Statement'!DS26</f>
      </c>
      <c r="CU85" s="50">
        <f>+'Income Statement'!DT26</f>
      </c>
      <c r="CV85" s="50">
        <f>+'Income Statement'!DU26</f>
      </c>
      <c r="CW85" s="50">
        <f>+'Income Statement'!DV26</f>
      </c>
      <c r="CX85" s="50">
        <f>+'Income Statement'!DW26</f>
      </c>
      <c r="CY85" s="540">
        <f>+'Income Statement'!DX26</f>
      </c>
      <c r="CZ85" s="50">
        <f>+'Income Statement'!DY26</f>
      </c>
      <c r="DA85" s="50">
        <f>+'Income Statement'!DZ26</f>
      </c>
      <c r="DB85" s="50">
        <f>+'Income Statement'!EA26</f>
      </c>
      <c r="DC85" s="50">
        <f>+'Income Statement'!EB26</f>
      </c>
      <c r="DD85" s="540">
        <f>+'Income Statement'!EC26</f>
      </c>
      <c r="DE85" s="50">
        <f>+'Income Statement'!ED26</f>
      </c>
      <c r="DF85" s="50">
        <f>+'Income Statement'!EE26</f>
      </c>
      <c r="DG85" s="50">
        <f>+'Income Statement'!EF26</f>
      </c>
      <c r="DH85" s="50">
        <f>+'Income Statement'!EG26</f>
      </c>
      <c r="DI85" s="540">
        <f>+'Income Statement'!EH26</f>
      </c>
      <c r="DJ85" s="50">
        <f>+'Income Statement'!EI26</f>
      </c>
      <c r="DK85" s="50">
        <f>+'Income Statement'!EJ26</f>
      </c>
      <c r="DL85" s="50">
        <f>+'Income Statement'!EK26</f>
      </c>
      <c r="DM85" s="50">
        <f>+'Income Statement'!EL26</f>
      </c>
      <c r="DN85" s="1115">
        <f>+'Income Statement'!EM26</f>
      </c>
      <c r="DO85" s="1047">
        <f>+'Income Statement'!EN26</f>
      </c>
      <c r="DP85" s="1047">
        <f>+'Income Statement'!EO26</f>
      </c>
      <c r="DQ85" s="1047">
        <f>+'Income Statement'!EP26</f>
      </c>
      <c r="DR85" s="50">
        <f>+'Income Statement'!EQ26</f>
      </c>
      <c r="DS85" s="1115">
        <f>+'Income Statement'!ER26</f>
      </c>
      <c r="DT85" s="1047">
        <f>+'Income Statement'!ES26</f>
      </c>
      <c r="DU85" s="1047">
        <f>+'Income Statement'!ET26</f>
      </c>
      <c r="DV85" s="1047">
        <f>+'Income Statement'!EU26</f>
      </c>
      <c r="DW85" s="1047">
        <f>+'Income Statement'!EV26</f>
      </c>
      <c r="DX85" s="3078">
        <f>+'Income Statement'!EW26</f>
      </c>
      <c r="DY85" s="3079">
        <f>+'Income Statement'!EX26</f>
      </c>
      <c r="DZ85" s="3079">
        <f>+'Income Statement'!EY26</f>
      </c>
      <c r="EA85" s="3079">
        <f>+'Income Statement'!EZ26</f>
      </c>
      <c r="EB85" s="3079">
        <f>+'Income Statement'!FA26</f>
      </c>
      <c r="EC85" s="3080">
        <f>+'Income Statement'!FB26</f>
      </c>
      <c r="ED85" s="3079">
        <f>+'Income Statement'!FC26</f>
      </c>
      <c r="EE85" s="3079">
        <f>+'Income Statement'!FD26</f>
      </c>
      <c r="EF85" s="3079">
        <f>+'Income Statement'!FE26</f>
      </c>
      <c r="EG85" s="3079">
        <f>+'Income Statement'!FF26</f>
      </c>
      <c r="EH85" s="3080">
        <f>+'Income Statement'!FG26</f>
      </c>
      <c r="EI85" s="3079">
        <f>+'Income Statement'!FO26</f>
      </c>
      <c r="EJ85" s="3079">
        <f>+'Income Statement'!FP26</f>
      </c>
      <c r="EK85" s="3079">
        <f>+'Income Statement'!FQ26</f>
      </c>
      <c r="EL85" s="3079">
        <f>+'Income Statement'!FR26</f>
      </c>
      <c r="EM85" s="3081">
        <f>+'Income Statement'!FS26</f>
      </c>
      <c r="EN85" s="3082">
        <f>+'Income Statement'!FT26</f>
      </c>
      <c r="EO85" s="3079">
        <f>+'Income Statement'!FU26</f>
      </c>
      <c r="EP85" s="3079">
        <f>+'Income Statement'!FV26</f>
      </c>
      <c r="EQ85" s="3083">
        <f>+'Income Statement'!FW26</f>
      </c>
      <c r="ER85" s="3084">
        <f>+'Income Statement'!FX26</f>
      </c>
      <c r="ES85" s="3082">
        <f>+'Income Statement'!FY26</f>
      </c>
      <c r="ET85" s="3079">
        <f>+'Income Statement'!FZ26</f>
      </c>
      <c r="EU85" s="3079">
        <f>+'Income Statement'!GA26</f>
      </c>
      <c r="EV85" s="3083">
        <f>+'Income Statement'!GB26</f>
      </c>
      <c r="EW85" s="3084">
        <f>+'Income Statement'!GC26</f>
      </c>
      <c r="EX85" s="3082">
        <f>+'Income Statement'!GD26</f>
      </c>
      <c r="EY85" s="3079">
        <f>+'Income Statement'!GE26</f>
      </c>
      <c r="EZ85" s="3079">
        <f>+'Income Statement'!GF26</f>
      </c>
      <c r="FA85" s="3083">
        <f>+'Income Statement'!GG26</f>
      </c>
      <c r="FB85" s="3084">
        <v>23051.893226597589</v>
      </c>
      <c r="FC85" s="3084">
        <f>+'Income Statement'!GI26</f>
      </c>
      <c r="FD85" s="3084">
        <f>+'Income Statement'!GJ26</f>
      </c>
      <c r="FE85" s="3084">
        <f>+'Income Statement'!GK26</f>
      </c>
      <c r="FF85" s="3084">
        <f>+'Income Statement'!GL26</f>
      </c>
      <c r="FG85" s="3084">
        <f>+'Income Statement'!GM26</f>
      </c>
    </row>
    <row r="86" spans="1:165" outlineLevel="1">
      <c r="A86" s="1"/>
      <c r="B86" s="666" t="s">
        <v>303</v>
      </c>
      <c r="C86" s="50">
        <f t="shared" ref="C86:H86" si="375">+C85</f>
      </c>
      <c r="D86" s="50">
        <f t="shared" si="375"/>
      </c>
      <c r="E86" s="50">
        <f t="shared" si="375"/>
      </c>
      <c r="F86" s="50">
        <f t="shared" si="375"/>
      </c>
      <c r="G86" s="50">
        <f t="shared" si="375"/>
      </c>
      <c r="H86" s="50">
        <f t="shared" si="375"/>
      </c>
      <c r="I86" s="50"/>
      <c r="J86" s="50"/>
      <c r="K86" s="50"/>
      <c r="L86" s="50"/>
      <c r="M86" s="50">
        <f>+M85</f>
      </c>
      <c r="N86" s="50">
        <f>+N85+L85+K85+J85</f>
      </c>
      <c r="O86" s="50">
        <f>+O85+N85+L85+K85</f>
      </c>
      <c r="P86" s="50">
        <f>+P85+O85+N85+L85</f>
      </c>
      <c r="Q86" s="50">
        <f>+Q85+P85+O85+N85</f>
      </c>
      <c r="R86" s="50">
        <f>+R85</f>
      </c>
      <c r="S86" s="50">
        <f>+S85+Q85+P85+O85</f>
      </c>
      <c r="T86" s="50">
        <f>+T85+S85+Q85+P85</f>
      </c>
      <c r="U86" s="50">
        <f>+U85+T85+S85+Q85</f>
      </c>
      <c r="V86" s="50">
        <f>+V85+U85+T85+S85</f>
      </c>
      <c r="W86" s="50">
        <f>+W85</f>
      </c>
      <c r="X86" s="50"/>
      <c r="Y86" s="50"/>
      <c r="Z86" s="50"/>
      <c r="AA86" s="50"/>
      <c r="AB86" s="50">
        <f>+AB85</f>
      </c>
      <c r="AC86" s="50">
        <f>+AC85+AA85+Z85+Y85</f>
      </c>
      <c r="AD86" s="50">
        <f>+AD85+AC85+AA85+Z85</f>
      </c>
      <c r="AE86" s="50">
        <f>+AE85+AD85+AC85+AA85</f>
      </c>
      <c r="AF86" s="50">
        <f>+AF85+AE85+AD85+AC85</f>
      </c>
      <c r="AG86" s="50">
        <f>+AG85</f>
      </c>
      <c r="AH86" s="50">
        <f>+AH85+AF85+AE85+AD85</f>
      </c>
      <c r="AI86" s="50">
        <f>+AI85+AH85+AF85+AE85</f>
      </c>
      <c r="AJ86" s="50">
        <f>+AJ85+AI85+AH85+AF85</f>
      </c>
      <c r="AK86" s="50">
        <f>+AK85+AJ85+AI85+AH85</f>
      </c>
      <c r="AL86" s="50">
        <f>+AL85</f>
      </c>
      <c r="AM86" s="50">
        <f>+AM85+AK85+AJ85+AI85</f>
      </c>
      <c r="AN86" s="50">
        <f>+AN85+AM85+AK85+AJ85</f>
      </c>
      <c r="AO86" s="50">
        <f>+AO85+AN85+AM85+AK85</f>
      </c>
      <c r="AP86" s="50">
        <f>+AP85+AO85+AN85+AM85</f>
      </c>
      <c r="AQ86" s="50">
        <f>+AQ85</f>
      </c>
      <c r="AR86" s="50">
        <f>+AR85+AP85+AO85+AN85</f>
      </c>
      <c r="AS86" s="50">
        <f>+AS85+AR85+AP85+AO85</f>
      </c>
      <c r="AT86" s="50">
        <f>+AT85+AS85+AR85+AP85</f>
      </c>
      <c r="AU86" s="50">
        <f>+AU85+AT85+AS85+AR85</f>
      </c>
      <c r="AV86" s="50">
        <f>+AV85</f>
      </c>
      <c r="AW86" s="50">
        <f>+AW85+AU85+AT85+AS85</f>
      </c>
      <c r="AX86" s="50">
        <f>+AX85+AW85+AU85+AT85</f>
      </c>
      <c r="AY86" s="50">
        <f>+AY85+AX85+AW85+AU85</f>
      </c>
      <c r="AZ86" s="50">
        <f>+AZ85+AY85+AX85+AW85</f>
      </c>
      <c r="BA86" s="50">
        <f>+BA85</f>
      </c>
      <c r="BB86" s="50">
        <f>+BB85+AZ85+AY85+AX85</f>
      </c>
      <c r="BC86" s="50">
        <f>+BC85+BB85+AZ85+AY85</f>
      </c>
      <c r="BD86" s="50">
        <f>+BD85+BC85+BB85+AZ85</f>
      </c>
      <c r="BE86" s="50">
        <f>+BE85+BD85+BC85+BB85</f>
      </c>
      <c r="BF86" s="50">
        <f>+BF85</f>
      </c>
      <c r="BG86" s="50">
        <f>+BG85+BE85+BD85+BC85</f>
      </c>
      <c r="BH86" s="50">
        <f>+BH85+BG85+BE85+BD85</f>
      </c>
      <c r="BI86" s="50">
        <f>+BI85+BH85+BG85+BE85</f>
      </c>
      <c r="BJ86" s="50">
        <f>+BJ85+BI85+BH85+BG85</f>
      </c>
      <c r="BK86" s="50">
        <f>+BK85</f>
      </c>
      <c r="BL86" s="50">
        <f>+BL85+BJ85+BI85+BH85</f>
      </c>
      <c r="BM86" s="50">
        <f>+BM85+BL85+BJ85+BI85</f>
      </c>
      <c r="BN86" s="50">
        <f>+BN85+BM85+BL85+BJ85</f>
      </c>
      <c r="BO86" s="50">
        <f>+BO85+BN85+BM85+BL85</f>
      </c>
      <c r="BP86" s="50">
        <f>+BP85</f>
      </c>
      <c r="BQ86" s="50">
        <f>+BQ85+BO85+BN85+BM85</f>
      </c>
      <c r="BR86" s="50">
        <f>+BR85+BQ85+BO85+BN85</f>
      </c>
      <c r="BS86" s="50">
        <f>+BS85+BR85+BQ85+BO85</f>
      </c>
      <c r="BT86" s="50">
        <f>+BT85+BS85+BR85+BQ85</f>
      </c>
      <c r="BU86" s="540">
        <f>+BU85</f>
      </c>
      <c r="BV86" s="50">
        <f>+BV85+BT85+BS85+BR85</f>
      </c>
      <c r="BW86" s="50">
        <f>+BW85+BV85+BT85+BS85</f>
      </c>
      <c r="BX86" s="50">
        <f>+BX85+BW85+BV85+BT85</f>
      </c>
      <c r="BY86" s="50">
        <f>+BY85+BX85+BW85+BV85</f>
      </c>
      <c r="BZ86" s="540">
        <f>+BZ85</f>
      </c>
      <c r="CA86" s="50">
        <f>+CA85+BY85+BX85+BW85</f>
      </c>
      <c r="CB86" s="50">
        <f>+CB85+CA85+BY85+BX85</f>
      </c>
      <c r="CC86" s="50">
        <f>+CC85+CB85+CA85+BY85</f>
      </c>
      <c r="CD86" s="50">
        <f>+CD85+CC85+CB85+CA85</f>
      </c>
      <c r="CE86" s="540">
        <f>+CE85</f>
      </c>
      <c r="CF86" s="50">
        <f>+CF85+CD85+CC85+CB85</f>
      </c>
      <c r="CG86" s="50">
        <f>+CG85+CF85+CD85+CC85</f>
      </c>
      <c r="CH86" s="50">
        <f>+CH85+CG85+CF85+CD85</f>
      </c>
      <c r="CI86" s="50">
        <f>+CI85+CH85+CG85+CF85</f>
      </c>
      <c r="CJ86" s="540">
        <f>+CJ85</f>
      </c>
      <c r="CK86" s="50">
        <f>+CK85+CI85+CH85+CG85</f>
      </c>
      <c r="CL86" s="50">
        <f>+CL85+CK85+CI85+CH85</f>
      </c>
      <c r="CM86" s="50">
        <f>+CM85+CL85+CK85+CI85</f>
      </c>
      <c r="CN86" s="50">
        <f>+CN85+CM85+CL85+CK85</f>
      </c>
      <c r="CO86" s="540">
        <f>+CO85</f>
      </c>
      <c r="CP86" s="50">
        <f>+CP85+CN85+CM85+CL85</f>
      </c>
      <c r="CQ86" s="50">
        <f>+CQ85+CP85+CN85+CM85</f>
      </c>
      <c r="CR86" s="50">
        <f>+CR85+CQ85+CP85+CN85</f>
      </c>
      <c r="CS86" s="50">
        <f>+CS85+CR85+CQ85+CP85</f>
      </c>
      <c r="CT86" s="540">
        <f>+CT85</f>
      </c>
      <c r="CU86" s="50">
        <f>+CU85+CS85+CR85+CQ85</f>
      </c>
      <c r="CV86" s="50">
        <f>+CV85+CU85+CS85+CR85</f>
      </c>
      <c r="CW86" s="50">
        <f>+CW85+CV85+CU85+CS85</f>
      </c>
      <c r="CX86" s="50">
        <f>+CX85+CW85+CV85+CU85</f>
      </c>
      <c r="CY86" s="540">
        <f>+CY85</f>
      </c>
      <c r="CZ86" s="50">
        <f>+CZ85+CX85+CW85+CV85</f>
      </c>
      <c r="DA86" s="50">
        <f>+DA85+CZ85+CX85+CW85</f>
      </c>
      <c r="DB86" s="50">
        <f>+DB85+DA85+CZ85+CX85</f>
      </c>
      <c r="DC86" s="50">
        <f>+DC85+DB85+DA85+CZ85</f>
      </c>
      <c r="DD86" s="540">
        <f>+DD85</f>
      </c>
      <c r="DE86" s="50">
        <f>+DE85+DC85+DB85+DA85</f>
      </c>
      <c r="DF86" s="50">
        <f>+DF85+DE85+DC85+DB85</f>
      </c>
      <c r="DG86" s="50">
        <f>+DG85+DF85+DE85+DC85</f>
      </c>
      <c r="DH86" s="50">
        <f>+DH85+DG85+DF85+DE85</f>
      </c>
      <c r="DI86" s="540">
        <f>+DI85</f>
      </c>
      <c r="DJ86" s="50">
        <f>+DJ85+DH85+DG85+DF85</f>
      </c>
      <c r="DK86" s="50">
        <f>+DK85+DJ85+DH85+DG85</f>
      </c>
      <c r="DL86" s="50">
        <f>+DL85+DK85+DJ85+DH85</f>
      </c>
      <c r="DM86" s="50">
        <f>+DM85+DL85+DK85+DJ85</f>
      </c>
      <c r="DN86" s="1115">
        <f>+DN85</f>
      </c>
      <c r="DO86" s="1047">
        <f>+DO85+DM85+DL85+DK85</f>
      </c>
      <c r="DP86" s="1047">
        <f>+DP85+DO85+DM85+DL85</f>
      </c>
      <c r="DQ86" s="1047">
        <f>+DQ85+DP85+DO85+DM85</f>
      </c>
      <c r="DR86" s="50">
        <f>+DR85+DQ85+DP85+DO85</f>
      </c>
      <c r="DS86" s="1115">
        <f>+DS85</f>
      </c>
      <c r="DT86" s="1047">
        <f>+DT85+DR85+DQ85+DP85</f>
      </c>
      <c r="DU86" s="1047">
        <f>+DU85+DT85+DR85+DQ85</f>
      </c>
      <c r="DV86" s="1047">
        <f>+DV85+DU85+DT85+DR85</f>
      </c>
      <c r="DW86" s="1047">
        <f>+DW85+DV85+DU85+DT85</f>
      </c>
      <c r="DX86" s="1115">
        <f>+DX85</f>
      </c>
      <c r="DY86" s="1047">
        <f>+DY85+DW85+DV85+DU85</f>
      </c>
      <c r="DZ86" s="1047">
        <f>+DZ85+DY85+DW85+DV85</f>
      </c>
      <c r="EA86" s="1047">
        <f>+EA85+DZ85+DY85+DW85</f>
      </c>
      <c r="EB86" s="1047">
        <f>+EB85+EA85+DZ85+DY85</f>
      </c>
      <c r="EC86" s="1126">
        <f>+EC85</f>
      </c>
      <c r="ED86" s="1047">
        <f>+ED85+EB85+EA85+DZ85</f>
      </c>
      <c r="EE86" s="1047">
        <f>+EE85+ED85+EB85+EA85</f>
      </c>
      <c r="EF86" s="1047">
        <f>+EF85+EE85+ED85+EB85</f>
      </c>
      <c r="EG86" s="1047">
        <f>+EG85+EF85+EE85+ED85</f>
      </c>
      <c r="EH86" s="1126">
        <f>+EH85</f>
      </c>
      <c r="EI86" s="1047">
        <f>+EI85+EG85+EF85+EE85</f>
      </c>
      <c r="EJ86" s="1047">
        <f>+EJ85+EI85+EG85+EF85</f>
      </c>
      <c r="EK86" s="1047">
        <f>+EK85+EJ85+EI85+EG85</f>
      </c>
      <c r="EL86" s="1047">
        <f>+EL85+EK85+EJ85+EI85</f>
      </c>
      <c r="EM86" s="2514">
        <f>+EM85</f>
      </c>
      <c r="EN86" s="1412">
        <f>+EN85+EL85+EK85+EJ85</f>
      </c>
      <c r="EO86" s="1047">
        <f>+EO85+EN85+EL85+EK85</f>
      </c>
      <c r="EP86" s="1047">
        <f>+EP85+EO85+EN85+EL85</f>
      </c>
      <c r="EQ86" s="1314">
        <f>+EQ85+EP85+EO85+EN85</f>
      </c>
      <c r="ER86" s="1297">
        <f>+ER85</f>
      </c>
      <c r="ES86" s="1412">
        <f>+ES85+EQ85+EP85+EO85</f>
      </c>
      <c r="ET86" s="1047">
        <f>+ET85+ES85+EQ85+EP85</f>
      </c>
      <c r="EU86" s="1047">
        <f>+EU85+ET85+ES85+EQ85</f>
      </c>
      <c r="EV86" s="1314">
        <f>+EV85+EU85+ET85+ES85</f>
      </c>
      <c r="EW86" s="1297">
        <f>+EW85</f>
      </c>
      <c r="EX86" s="1412">
        <f>+EX85+EV85+EU85+ET85</f>
      </c>
      <c r="EY86" s="1047">
        <f>+EY85+EX85+EV85+EU85</f>
      </c>
      <c r="EZ86" s="1047">
        <f>+EZ85+EY85+EX85+EV85</f>
      </c>
      <c r="FA86" s="1314">
        <f>+FA85+EZ85+EY85+EX85</f>
      </c>
      <c r="FB86" s="1297">
        <f t="shared" ref="FB86" si="376">+FB85</f>
      </c>
      <c r="FC86" s="1297">
        <f t="shared" ref="FC86:FF86" si="377">+FC85</f>
      </c>
      <c r="FD86" s="1297">
        <f t="shared" si="377"/>
      </c>
      <c r="FE86" s="1297">
        <f t="shared" si="377"/>
      </c>
      <c r="FF86" s="1297">
        <f t="shared" si="377"/>
      </c>
      <c r="FG86" s="1297">
        <f>+FG85</f>
      </c>
    </row>
    <row r="87" spans="1:165" outlineLevel="1">
      <c r="A87" s="1"/>
      <c r="B87" s="108" t="s">
        <v>148</v>
      </c>
      <c r="C87" s="126">
        <f>+'Income Statement'!H61</f>
      </c>
      <c r="D87" s="126">
        <f>+'Income Statement'!I61</f>
      </c>
      <c r="E87" s="126">
        <f>+'Income Statement'!J61</f>
      </c>
      <c r="F87" s="126">
        <f>+'Income Statement'!K61</f>
      </c>
      <c r="G87" s="126">
        <f>+'Income Statement'!L61</f>
      </c>
      <c r="H87" s="126" t="str">
        <f>+'Income Statement'!M61</f>
      </c>
      <c r="I87" s="126">
        <f>+'Income Statement'!N61</f>
      </c>
      <c r="J87" s="126">
        <f>+'Income Statement'!O61</f>
      </c>
      <c r="K87" s="126">
        <f>+'Income Statement'!P61</f>
      </c>
      <c r="L87" s="126">
        <f>+'Income Statement'!Q61</f>
      </c>
      <c r="M87" s="126" t="str">
        <f>+'Income Statement'!R61</f>
      </c>
      <c r="N87" s="50">
        <f>+'Income Statement'!S61</f>
      </c>
      <c r="O87" s="50">
        <f>+'Income Statement'!T61</f>
      </c>
      <c r="P87" s="50">
        <f>+'Income Statement'!U61</f>
      </c>
      <c r="Q87" s="50">
        <f>+'Income Statement'!V61</f>
      </c>
      <c r="R87" s="50" t="str">
        <f>+'Income Statement'!W61</f>
      </c>
      <c r="S87" s="50">
        <f>+'Income Statement'!AR61</f>
      </c>
      <c r="T87" s="50">
        <f>+'Income Statement'!AS61</f>
      </c>
      <c r="U87" s="50">
        <f>+'Income Statement'!AT61</f>
      </c>
      <c r="V87" s="50">
        <f>+'Income Statement'!AU61</f>
      </c>
      <c r="W87" s="50">
        <f>+'Income Statement'!AV61</f>
      </c>
      <c r="X87" s="50">
        <f>+'Income Statement'!AW61</f>
      </c>
      <c r="Y87" s="50">
        <f>+'Income Statement'!AX61</f>
      </c>
      <c r="Z87" s="50">
        <f>+'Income Statement'!AY61</f>
      </c>
      <c r="AA87" s="50">
        <f>+'Income Statement'!AZ61</f>
      </c>
      <c r="AB87" s="50">
        <f>+'Income Statement'!BA61</f>
      </c>
      <c r="AC87" s="50">
        <f>+'Income Statement'!BB61</f>
      </c>
      <c r="AD87" s="50">
        <f>+'Income Statement'!BC61</f>
      </c>
      <c r="AE87" s="50">
        <f>+'Income Statement'!BD61</f>
      </c>
      <c r="AF87" s="50">
        <f>+'Income Statement'!BE61</f>
      </c>
      <c r="AG87" s="50">
        <f>+'Income Statement'!BF61</f>
      </c>
      <c r="AH87" s="50">
        <f>+'Income Statement'!BG61</f>
      </c>
      <c r="AI87" s="50">
        <f>+'Income Statement'!BH61</f>
      </c>
      <c r="AJ87" s="50">
        <f>+'Income Statement'!BI61</f>
      </c>
      <c r="AK87" s="50">
        <f>+'Income Statement'!BJ61</f>
      </c>
      <c r="AL87" s="50">
        <f>+'Income Statement'!BK61</f>
      </c>
      <c r="AM87" s="50">
        <f>+'Income Statement'!BL61</f>
      </c>
      <c r="AN87" s="50">
        <f>+'Income Statement'!BM61</f>
      </c>
      <c r="AO87" s="50">
        <f>+'Income Statement'!BN61</f>
      </c>
      <c r="AP87" s="50">
        <f>+'Income Statement'!BO61</f>
      </c>
      <c r="AQ87" s="50">
        <f>+'Income Statement'!BP61</f>
      </c>
      <c r="AR87" s="50">
        <f>+'Income Statement'!BQ61</f>
      </c>
      <c r="AS87" s="50">
        <f>+'Income Statement'!BR61</f>
      </c>
      <c r="AT87" s="50">
        <f>+'Income Statement'!BS61</f>
      </c>
      <c r="AU87" s="50">
        <f>+'Income Statement'!BT61</f>
      </c>
      <c r="AV87" s="50">
        <f>+'Income Statement'!BU61</f>
      </c>
      <c r="AW87" s="50">
        <f>+'Income Statement'!BV61</f>
      </c>
      <c r="AX87" s="50">
        <f>+'Income Statement'!BW61</f>
      </c>
      <c r="AY87" s="50">
        <f>+'Income Statement'!BX61</f>
      </c>
      <c r="AZ87" s="50">
        <f>+'Income Statement'!BY61</f>
      </c>
      <c r="BA87" s="50">
        <f>+'Income Statement'!BZ61</f>
      </c>
      <c r="BB87" s="50">
        <f>+'Income Statement'!CA61</f>
      </c>
      <c r="BC87" s="50">
        <f>+'Income Statement'!CB61</f>
      </c>
      <c r="BD87" s="50">
        <f>+'Income Statement'!CC61</f>
      </c>
      <c r="BE87" s="50">
        <f>+'Income Statement'!CD61</f>
      </c>
      <c r="BF87" s="50">
        <f>+'Income Statement'!CE61</f>
      </c>
      <c r="BG87" s="50">
        <f>+'Income Statement'!CF61</f>
      </c>
      <c r="BH87" s="50">
        <f>+'Income Statement'!CG61</f>
      </c>
      <c r="BI87" s="50">
        <f>+'Income Statement'!CH61</f>
      </c>
      <c r="BJ87" s="50">
        <f>+'Income Statement'!CI61</f>
      </c>
      <c r="BK87" s="50">
        <f>+'Income Statement'!CJ61</f>
      </c>
      <c r="BL87" s="50">
        <f>+'Income Statement'!CK61</f>
      </c>
      <c r="BM87" s="50">
        <f>+'Income Statement'!CL61</f>
      </c>
      <c r="BN87" s="50">
        <f>+'Income Statement'!CM61</f>
      </c>
      <c r="BO87" s="50">
        <f>+'Income Statement'!CN61</f>
      </c>
      <c r="BP87" s="50">
        <f>+'Income Statement'!CO61</f>
      </c>
      <c r="BQ87" s="50">
        <f>+'Income Statement'!CP61</f>
      </c>
      <c r="BR87" s="50">
        <f>+'Income Statement'!CQ61</f>
      </c>
      <c r="BS87" s="50">
        <f>+'Income Statement'!CR61</f>
      </c>
      <c r="BT87" s="50">
        <f>+'Income Statement'!CS61</f>
      </c>
      <c r="BU87" s="540">
        <f>+'Income Statement'!CT61</f>
      </c>
      <c r="BV87" s="50">
        <f>+'Income Statement'!CU61</f>
      </c>
      <c r="BW87" s="50">
        <f>+'Income Statement'!CV61</f>
      </c>
      <c r="BX87" s="50">
        <f>+'Income Statement'!CW61</f>
      </c>
      <c r="BY87" s="50">
        <f>+'Income Statement'!CX61</f>
      </c>
      <c r="BZ87" s="540">
        <f>+'Income Statement'!CY61</f>
      </c>
      <c r="CA87" s="50">
        <f>+'Income Statement'!CZ61</f>
      </c>
      <c r="CB87" s="50">
        <f>+'Income Statement'!DA61</f>
      </c>
      <c r="CC87" s="50">
        <f>+'Income Statement'!DB61</f>
      </c>
      <c r="CD87" s="50">
        <f>+'Income Statement'!DC61</f>
      </c>
      <c r="CE87" s="540">
        <f>+'Income Statement'!DD61</f>
      </c>
      <c r="CF87" s="50">
        <f>+'Income Statement'!DE61</f>
      </c>
      <c r="CG87" s="50">
        <f>+'Income Statement'!DF61</f>
      </c>
      <c r="CH87" s="50">
        <f>+'Income Statement'!DG61</f>
      </c>
      <c r="CI87" s="50">
        <f>+'Income Statement'!DH61</f>
      </c>
      <c r="CJ87" s="540">
        <f>+'Income Statement'!DI61</f>
      </c>
      <c r="CK87" s="50">
        <f>+'Income Statement'!DJ61</f>
      </c>
      <c r="CL87" s="50">
        <f>+'Income Statement'!DK61</f>
      </c>
      <c r="CM87" s="50">
        <f>+'Income Statement'!DL61</f>
      </c>
      <c r="CN87" s="50">
        <f>+'Income Statement'!DM61</f>
      </c>
      <c r="CO87" s="540">
        <f>+'Income Statement'!DN61</f>
      </c>
      <c r="CP87" s="50">
        <f>+'Income Statement'!DO61</f>
      </c>
      <c r="CQ87" s="50">
        <f>+'Income Statement'!DP61</f>
      </c>
      <c r="CR87" s="50">
        <f>+'Income Statement'!DQ61</f>
      </c>
      <c r="CS87" s="50">
        <f>+'Income Statement'!DR61</f>
      </c>
      <c r="CT87" s="540">
        <f>+'Income Statement'!DS61</f>
      </c>
      <c r="CU87" s="50">
        <f>+'Income Statement'!DT61</f>
      </c>
      <c r="CV87" s="50">
        <f>+'Income Statement'!DU61</f>
      </c>
      <c r="CW87" s="50">
        <f>+'Income Statement'!DV61</f>
      </c>
      <c r="CX87" s="50">
        <f>+'Income Statement'!DW61</f>
      </c>
      <c r="CY87" s="540">
        <f>+'Income Statement'!DX61</f>
      </c>
      <c r="CZ87" s="50">
        <f>+'Income Statement'!DY61</f>
      </c>
      <c r="DA87" s="50">
        <f>+'Income Statement'!DZ61</f>
      </c>
      <c r="DB87" s="50">
        <f>+'Income Statement'!EA61</f>
      </c>
      <c r="DC87" s="50">
        <f>+'Income Statement'!EB61</f>
      </c>
      <c r="DD87" s="540">
        <f>+'Income Statement'!EC61</f>
      </c>
      <c r="DE87" s="50">
        <f>+'Income Statement'!ED61</f>
      </c>
      <c r="DF87" s="50">
        <f>+'Income Statement'!EE61</f>
      </c>
      <c r="DG87" s="50">
        <f>+'Income Statement'!EF61</f>
      </c>
      <c r="DH87" s="50">
        <f>+'Income Statement'!EG61</f>
      </c>
      <c r="DI87" s="540">
        <f>+'Income Statement'!EH61</f>
      </c>
      <c r="DJ87" s="50">
        <f>+'Income Statement'!EI61</f>
      </c>
      <c r="DK87" s="50">
        <f>+'Income Statement'!EJ61</f>
      </c>
      <c r="DL87" s="50">
        <f>+'Income Statement'!EK61</f>
      </c>
      <c r="DM87" s="50">
        <f>+'Income Statement'!EL61</f>
      </c>
      <c r="DN87" s="1115">
        <f>+'Income Statement'!EM61</f>
      </c>
      <c r="DO87" s="1047">
        <f>+'Income Statement'!EN61</f>
      </c>
      <c r="DP87" s="1047">
        <f>+'Income Statement'!EO61</f>
      </c>
      <c r="DQ87" s="1047">
        <f>+'Income Statement'!EP61</f>
      </c>
      <c r="DR87" s="50">
        <f>+'Income Statement'!EQ61</f>
      </c>
      <c r="DS87" s="1115">
        <f>+'Income Statement'!ER61</f>
      </c>
      <c r="DT87" s="1047">
        <f>+'Income Statement'!ES61</f>
      </c>
      <c r="DU87" s="1047">
        <f>+'Income Statement'!ET61</f>
      </c>
      <c r="DV87" s="1047">
        <f>+'Income Statement'!EU61</f>
      </c>
      <c r="DW87" s="1047">
        <f>+'Income Statement'!EV61</f>
      </c>
      <c r="DX87" s="1115">
        <f>+'Income Statement'!EW61</f>
      </c>
      <c r="DY87" s="1047">
        <f>+'Income Statement'!EX61</f>
      </c>
      <c r="DZ87" s="1047">
        <f>+'Income Statement'!EY61</f>
      </c>
      <c r="EA87" s="1047">
        <f>+'Income Statement'!EZ61</f>
      </c>
      <c r="EB87" s="1047">
        <f>+'Income Statement'!FA61</f>
      </c>
      <c r="EC87" s="1126">
        <f>+'Income Statement'!FB61</f>
      </c>
      <c r="ED87" s="1047">
        <f>+'Income Statement'!FC61</f>
      </c>
      <c r="EE87" s="1047">
        <f>+'Income Statement'!FD61</f>
      </c>
      <c r="EF87" s="1047">
        <f>+'Income Statement'!FE61</f>
      </c>
      <c r="EG87" s="1047">
        <f>+'Income Statement'!FF61</f>
      </c>
      <c r="EH87" s="1126">
        <f>+'Income Statement'!FG61</f>
      </c>
      <c r="EI87" s="1047">
        <f>+'Income Statement'!FO61</f>
      </c>
      <c r="EJ87" s="1047">
        <f>+'Income Statement'!FP61</f>
      </c>
      <c r="EK87" s="1047">
        <f>+'Income Statement'!FQ61</f>
      </c>
      <c r="EL87" s="1047">
        <f>+'Income Statement'!FR61</f>
      </c>
      <c r="EM87" s="2514">
        <f>+'Income Statement'!FS61</f>
      </c>
      <c r="EN87" s="3082">
        <f>+'Income Statement'!FT61</f>
      </c>
      <c r="EO87" s="3079">
        <f>+'Income Statement'!FU61</f>
      </c>
      <c r="EP87" s="3079">
        <f>+'Income Statement'!FV61</f>
      </c>
      <c r="EQ87" s="3083">
        <f>+'Income Statement'!FW61</f>
      </c>
      <c r="ER87" s="3084">
        <f>+'Income Statement'!FX61</f>
      </c>
      <c r="ES87" s="3082">
        <f>+'Income Statement'!FY61</f>
      </c>
      <c r="ET87" s="3079">
        <f>+'Income Statement'!FZ61</f>
      </c>
      <c r="EU87" s="3079">
        <f>+'Income Statement'!GA61</f>
      </c>
      <c r="EV87" s="3083">
        <f>+'Income Statement'!GB61</f>
      </c>
      <c r="EW87" s="3084">
        <f>+'Income Statement'!GC61</f>
      </c>
      <c r="EX87" s="3082">
        <f>+'Income Statement'!GD61</f>
      </c>
      <c r="EY87" s="3079">
        <f>+'Income Statement'!GE61</f>
      </c>
      <c r="EZ87" s="3079">
        <f>+'Income Statement'!GF61</f>
      </c>
      <c r="FA87" s="3083">
        <f>+'Income Statement'!GG61</f>
      </c>
      <c r="FB87" s="3084">
        <v>2427.35</v>
      </c>
      <c r="FC87" s="3084">
        <f>+'Income Statement'!GI61</f>
      </c>
      <c r="FD87" s="3084">
        <f>+'Income Statement'!GJ61</f>
      </c>
      <c r="FE87" s="3084">
        <f>+'Income Statement'!GK61</f>
      </c>
      <c r="FF87" s="3084">
        <f>+'Income Statement'!GL61</f>
      </c>
      <c r="FG87" s="3084">
        <f>+'Income Statement'!GM61</f>
      </c>
    </row>
    <row r="88" spans="1:165" outlineLevel="1">
      <c r="A88" s="1"/>
      <c r="B88" s="138" t="s">
        <v>304</v>
      </c>
      <c r="C88" s="80">
        <f>+'Income Statement'!H60</f>
      </c>
      <c r="D88" s="80">
        <f>+'Income Statement'!I60</f>
      </c>
      <c r="E88" s="80">
        <f>+'Income Statement'!J60</f>
      </c>
      <c r="F88" s="80">
        <f>+'Income Statement'!K60</f>
      </c>
      <c r="G88" s="80">
        <f>+'Income Statement'!L60</f>
      </c>
      <c r="H88" s="80">
        <f>+'Income Statement'!M60</f>
      </c>
      <c r="I88" s="80">
        <f>+'Income Statement'!N60</f>
      </c>
      <c r="J88" s="80">
        <f>+'Income Statement'!O60</f>
      </c>
      <c r="K88" s="80">
        <f>+'Income Statement'!P60</f>
      </c>
      <c r="L88" s="80">
        <f>+'Income Statement'!Q60</f>
      </c>
      <c r="M88" s="80">
        <f>+'Income Statement'!R60</f>
      </c>
      <c r="N88" s="80">
        <f>+'Income Statement'!S60</f>
      </c>
      <c r="O88" s="80">
        <f>+'Income Statement'!T60</f>
      </c>
      <c r="P88" s="80">
        <f>+'Income Statement'!U60</f>
      </c>
      <c r="Q88" s="80">
        <f>+'Income Statement'!V60</f>
      </c>
      <c r="R88" s="80">
        <f>+'Income Statement'!W60</f>
      </c>
      <c r="S88" s="80">
        <f>+'Income Statement'!AR60</f>
      </c>
      <c r="T88" s="80">
        <f>+'Income Statement'!AS60</f>
      </c>
      <c r="U88" s="80">
        <f>+'Income Statement'!AT60</f>
      </c>
      <c r="V88" s="80">
        <f>+'Income Statement'!AU60</f>
      </c>
      <c r="W88" s="80">
        <f>+'Income Statement'!AV60</f>
      </c>
      <c r="X88" s="80">
        <f>+'Income Statement'!AW60</f>
      </c>
      <c r="Y88" s="80">
        <f>+'Income Statement'!AX60</f>
      </c>
      <c r="Z88" s="80">
        <f>+'Income Statement'!AY60</f>
      </c>
      <c r="AA88" s="80">
        <f>+'Income Statement'!AZ60</f>
      </c>
      <c r="AB88" s="80">
        <f>+'Income Statement'!BA60</f>
      </c>
      <c r="AC88" s="80">
        <f>+'Income Statement'!BB60</f>
      </c>
      <c r="AD88" s="80">
        <f>+'Income Statement'!BC60</f>
      </c>
      <c r="AE88" s="80">
        <f>+'Income Statement'!BD60</f>
      </c>
      <c r="AF88" s="80">
        <f>+'Income Statement'!BE60</f>
      </c>
      <c r="AG88" s="80">
        <f>+'Income Statement'!BF60</f>
      </c>
      <c r="AH88" s="80">
        <f>+'Income Statement'!BG60</f>
      </c>
      <c r="AI88" s="80">
        <f>+'Income Statement'!BH60</f>
      </c>
      <c r="AJ88" s="80">
        <f>+'Income Statement'!BI60</f>
      </c>
      <c r="AK88" s="80">
        <f>+'Income Statement'!BJ60</f>
      </c>
      <c r="AL88" s="80">
        <f>+'Income Statement'!BK60</f>
      </c>
      <c r="AM88" s="80">
        <f>+'Income Statement'!BL60</f>
      </c>
      <c r="AN88" s="80">
        <f>+'Income Statement'!BM60</f>
      </c>
      <c r="AO88" s="80">
        <f>+'Income Statement'!BN60</f>
      </c>
      <c r="AP88" s="80">
        <f>+'Income Statement'!BO60</f>
      </c>
      <c r="AQ88" s="80">
        <f>+'Income Statement'!BP60</f>
      </c>
      <c r="AR88" s="80">
        <f>+'Income Statement'!BQ60</f>
      </c>
      <c r="AS88" s="80">
        <f>+'Income Statement'!BR60</f>
      </c>
      <c r="AT88" s="80">
        <f>+'Income Statement'!BS60</f>
      </c>
      <c r="AU88" s="80">
        <f>+'Income Statement'!BT60</f>
      </c>
      <c r="AV88" s="80">
        <f>+'Income Statement'!BU60</f>
      </c>
      <c r="AW88" s="80">
        <f>+'Income Statement'!BV60</f>
      </c>
      <c r="AX88" s="80">
        <f>+'Income Statement'!BW60</f>
      </c>
      <c r="AY88" s="80">
        <f>+'Income Statement'!BX60</f>
      </c>
      <c r="AZ88" s="80">
        <f>+'Income Statement'!BY60</f>
      </c>
      <c r="BA88" s="80">
        <f>+'Income Statement'!BZ60</f>
      </c>
      <c r="BB88" s="80">
        <f>+'Income Statement'!CA60</f>
      </c>
      <c r="BC88" s="80">
        <f>+'Income Statement'!CB60</f>
      </c>
      <c r="BD88" s="80">
        <f>+'Income Statement'!CC60</f>
      </c>
      <c r="BE88" s="80">
        <f>+'Income Statement'!CD60</f>
      </c>
      <c r="BF88" s="80">
        <f>+'Income Statement'!CE60</f>
      </c>
      <c r="BG88" s="80">
        <f>+'Income Statement'!CF60</f>
      </c>
      <c r="BH88" s="80">
        <f>+'Income Statement'!CG60</f>
      </c>
      <c r="BI88" s="80">
        <f>+'Income Statement'!CH60</f>
      </c>
      <c r="BJ88" s="80">
        <f>+'Income Statement'!CI60</f>
      </c>
      <c r="BK88" s="80">
        <f>+'Income Statement'!CJ60</f>
      </c>
      <c r="BL88" s="80">
        <f>+'Income Statement'!CK60</f>
      </c>
      <c r="BM88" s="80">
        <f>+'Income Statement'!CL60</f>
      </c>
      <c r="BN88" s="80">
        <f>+'Income Statement'!CM60</f>
      </c>
      <c r="BO88" s="80">
        <f>+'Income Statement'!CN60</f>
      </c>
      <c r="BP88" s="80">
        <f>+'Income Statement'!CO60</f>
      </c>
      <c r="BQ88" s="80">
        <f>+'Income Statement'!CP60</f>
      </c>
      <c r="BR88" s="80">
        <f>+'Income Statement'!CQ60</f>
      </c>
      <c r="BS88" s="80">
        <f>+'Income Statement'!CR60</f>
      </c>
      <c r="BT88" s="80">
        <f>+'Income Statement'!CS60</f>
      </c>
      <c r="BU88" s="541">
        <f>+'Income Statement'!CT60</f>
      </c>
      <c r="BV88" s="80">
        <f>+'Income Statement'!CU60</f>
      </c>
      <c r="BW88" s="80">
        <f>+'Income Statement'!CV60</f>
      </c>
      <c r="BX88" s="80">
        <f>+'Income Statement'!CW60</f>
      </c>
      <c r="BY88" s="80">
        <f>+'Income Statement'!CX60</f>
      </c>
      <c r="BZ88" s="541">
        <f>+'Income Statement'!CY60</f>
      </c>
      <c r="CA88" s="80">
        <f>+'Income Statement'!CZ60</f>
      </c>
      <c r="CB88" s="80">
        <f>+'Income Statement'!DA60</f>
      </c>
      <c r="CC88" s="80">
        <f>+'Income Statement'!DB60</f>
      </c>
      <c r="CD88" s="80">
        <f>+'Income Statement'!DC60</f>
      </c>
      <c r="CE88" s="541">
        <f>+'Income Statement'!DD60</f>
      </c>
      <c r="CF88" s="80">
        <f>+'Income Statement'!DE60</f>
      </c>
      <c r="CG88" s="80">
        <f>+'Income Statement'!DF60</f>
      </c>
      <c r="CH88" s="80">
        <f>+'Income Statement'!DG60</f>
      </c>
      <c r="CI88" s="80">
        <f>+'Income Statement'!DH60</f>
      </c>
      <c r="CJ88" s="541">
        <f>+'Income Statement'!DI60</f>
      </c>
      <c r="CK88" s="80">
        <f>+'Income Statement'!DJ60</f>
      </c>
      <c r="CL88" s="80">
        <f>+'Income Statement'!DK60</f>
      </c>
      <c r="CM88" s="80">
        <f>+'Income Statement'!DL60</f>
      </c>
      <c r="CN88" s="80">
        <f>+'Income Statement'!DM60</f>
      </c>
      <c r="CO88" s="541">
        <f>+'Income Statement'!DN60</f>
      </c>
      <c r="CP88" s="80">
        <f>+'Income Statement'!DO60</f>
      </c>
      <c r="CQ88" s="80">
        <f>+'Income Statement'!DP60</f>
      </c>
      <c r="CR88" s="80">
        <f>+'Income Statement'!DQ60</f>
      </c>
      <c r="CS88" s="80">
        <f>+'Income Statement'!DR60</f>
      </c>
      <c r="CT88" s="541">
        <f>+'Income Statement'!DS60</f>
      </c>
      <c r="CU88" s="80">
        <f>+'Income Statement'!DT60</f>
      </c>
      <c r="CV88" s="80">
        <f>+'Income Statement'!DU60</f>
      </c>
      <c r="CW88" s="80">
        <f>+'Income Statement'!DV60</f>
      </c>
      <c r="CX88" s="80">
        <f>+'Income Statement'!DW60</f>
      </c>
      <c r="CY88" s="541">
        <f>+'Income Statement'!DX60</f>
      </c>
      <c r="CZ88" s="80">
        <f>+'Income Statement'!DY60</f>
      </c>
      <c r="DA88" s="80">
        <f>+'Income Statement'!DZ60</f>
      </c>
      <c r="DB88" s="80">
        <f>+'Income Statement'!EA60</f>
      </c>
      <c r="DC88" s="80">
        <f>+'Income Statement'!EB60</f>
      </c>
      <c r="DD88" s="541">
        <f>+'Income Statement'!EC60</f>
      </c>
      <c r="DE88" s="80">
        <f>+'Income Statement'!ED60</f>
      </c>
      <c r="DF88" s="80">
        <f>+'Income Statement'!EE60</f>
      </c>
      <c r="DG88" s="80">
        <f>+'Income Statement'!EF60</f>
      </c>
      <c r="DH88" s="80">
        <f>+'Income Statement'!EG60</f>
      </c>
      <c r="DI88" s="541">
        <f>+'Income Statement'!EH60</f>
      </c>
      <c r="DJ88" s="80">
        <f>+'Income Statement'!EI60</f>
      </c>
      <c r="DK88" s="80">
        <f>+'Income Statement'!EJ60</f>
      </c>
      <c r="DL88" s="80">
        <f>+'Income Statement'!EK60</f>
      </c>
      <c r="DM88" s="80">
        <f>+'Income Statement'!EL60</f>
      </c>
      <c r="DN88" s="1116">
        <f>+'Income Statement'!EM60</f>
      </c>
      <c r="DO88" s="1276">
        <f>+'Income Statement'!EN60</f>
      </c>
      <c r="DP88" s="1276">
        <f>+'Income Statement'!EO60</f>
      </c>
      <c r="DQ88" s="1276">
        <f>+'Income Statement'!EP60</f>
      </c>
      <c r="DR88" s="80">
        <f>+'Income Statement'!EQ60</f>
      </c>
      <c r="DS88" s="1116">
        <f>+'Income Statement'!ER60</f>
      </c>
      <c r="DT88" s="1276">
        <f>+'Income Statement'!ES60</f>
      </c>
      <c r="DU88" s="1276">
        <f>+'Income Statement'!ET60</f>
      </c>
      <c r="DV88" s="1276">
        <f>+'Income Statement'!EU60</f>
      </c>
      <c r="DW88" s="1276">
        <f>+'Income Statement'!EV60</f>
      </c>
      <c r="DX88" s="1116">
        <f>+'Income Statement'!EW60</f>
      </c>
      <c r="DY88" s="1276">
        <f>+'Income Statement'!EX60</f>
      </c>
      <c r="DZ88" s="1276">
        <f>+'Income Statement'!EY60</f>
      </c>
      <c r="EA88" s="1276">
        <f>+'Income Statement'!EZ60</f>
      </c>
      <c r="EB88" s="1276">
        <f>+'Income Statement'!FA60</f>
      </c>
      <c r="EC88" s="2725">
        <f>+'Income Statement'!FB60</f>
      </c>
      <c r="ED88" s="1276">
        <f>+'Income Statement'!FC60</f>
      </c>
      <c r="EE88" s="1276">
        <f>+'Income Statement'!FD60</f>
      </c>
      <c r="EF88" s="1276">
        <f>+'Income Statement'!FE60</f>
      </c>
      <c r="EG88" s="1276">
        <f>+'Income Statement'!FF60</f>
      </c>
      <c r="EH88" s="2725">
        <f>+'Income Statement'!FG60</f>
      </c>
      <c r="EI88" s="1276">
        <f>+'Income Statement'!FO60</f>
      </c>
      <c r="EJ88" s="1276">
        <f>+'Income Statement'!FP60</f>
      </c>
      <c r="EK88" s="1276">
        <f>+'Income Statement'!FQ60</f>
      </c>
      <c r="EL88" s="1276">
        <f>+'Income Statement'!FR60</f>
      </c>
      <c r="EM88" s="2515">
        <f>+'Income Statement'!FS60</f>
      </c>
      <c r="EN88" s="3388">
        <f>+'Income Statement'!FT60</f>
      </c>
      <c r="EO88" s="3196">
        <f>+'Income Statement'!FU60</f>
      </c>
      <c r="EP88" s="3196">
        <f>+'Income Statement'!FV60</f>
      </c>
      <c r="EQ88" s="3389">
        <f>+'Income Statement'!FW60</f>
      </c>
      <c r="ER88" s="3390">
        <f>+'Income Statement'!FX60</f>
      </c>
      <c r="ES88" s="3388">
        <f>+'Income Statement'!FY60</f>
      </c>
      <c r="ET88" s="3497">
        <f>+'Income Statement'!FZ60</f>
      </c>
      <c r="EU88" s="3196">
        <f>+'Income Statement'!GA60</f>
      </c>
      <c r="EV88" s="3389">
        <f>+'Income Statement'!GB60</f>
      </c>
      <c r="EW88" s="3390">
        <f>+'Income Statement'!GC60</f>
      </c>
      <c r="EX88" s="3388">
        <f>+'Income Statement'!GD60</f>
      </c>
      <c r="EY88" s="3497">
        <f>+'Income Statement'!GE60</f>
      </c>
      <c r="EZ88" s="3391">
        <f>+'Income Statement'!GF60</f>
      </c>
      <c r="FA88" s="3389">
        <f>+'Income Statement'!GG60</f>
      </c>
      <c r="FB88" s="3587">
        <v>2427.6750000000002</v>
      </c>
      <c r="FC88" s="3392">
        <f>+'Income Statement'!GI60</f>
      </c>
      <c r="FD88" s="3392">
        <f>+'Income Statement'!GJ60</f>
      </c>
      <c r="FE88" s="3392">
        <f>+'Income Statement'!GK60</f>
      </c>
      <c r="FF88" s="3392">
        <f>+'Income Statement'!GL60</f>
      </c>
      <c r="FG88" s="3392">
        <f>+'Income Statement'!GM60</f>
      </c>
    </row>
    <row r="89" spans="1:165" outlineLevel="1">
      <c r="A89" s="1"/>
      <c r="B89" s="72"/>
      <c r="C89" s="72"/>
      <c r="D89" s="72"/>
      <c r="E89" s="72"/>
      <c r="F89" s="72"/>
      <c r="G89" s="72"/>
      <c r="H89" s="72"/>
      <c r="I89" s="72"/>
      <c r="J89" s="72"/>
      <c r="K89" s="72"/>
      <c r="L89" s="72"/>
      <c r="M89" s="72"/>
      <c r="N89" s="68"/>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
      <c r="BU89" s="1"/>
      <c r="BV89" s="14"/>
      <c r="BW89" s="14"/>
      <c r="BX89" s="1"/>
      <c r="BY89" s="1"/>
      <c r="BZ89" s="1"/>
      <c r="CA89" s="1"/>
      <c r="CB89" s="1"/>
      <c r="CC89" s="1"/>
      <c r="CD89" s="1"/>
      <c r="CE89" s="1"/>
      <c r="CF89" s="1"/>
      <c r="CG89" s="1"/>
      <c r="CH89" s="1"/>
      <c r="CI89" s="1"/>
      <c r="CJ89" s="1"/>
      <c r="CK89" s="1"/>
      <c r="CL89" s="1"/>
      <c r="CM89" s="1"/>
      <c r="CN89" s="1"/>
      <c r="CO89" s="1"/>
      <c r="CP89" s="1"/>
      <c r="CQ89" s="1"/>
      <c r="CR89" s="1"/>
      <c r="CS89" s="1"/>
      <c r="CT89" s="73"/>
      <c r="CU89" s="1"/>
      <c r="CV89" s="1"/>
      <c r="CW89" s="1"/>
      <c r="CX89" s="1"/>
      <c r="CY89" s="73"/>
      <c r="CZ89" s="1"/>
      <c r="DA89" s="1"/>
      <c r="DB89" s="1"/>
      <c r="DC89" s="1"/>
      <c r="DD89" s="73"/>
      <c r="DE89" s="1"/>
      <c r="DF89" s="1"/>
      <c r="DG89" s="1"/>
      <c r="DH89" s="1"/>
      <c r="DI89" s="73"/>
      <c r="DJ89" s="1"/>
      <c r="DK89" s="1"/>
      <c r="DL89" s="1"/>
      <c r="DM89" s="946"/>
      <c r="DN89" s="1045"/>
      <c r="DO89" s="946"/>
      <c r="DP89" s="946"/>
      <c r="DQ89" s="946"/>
      <c r="DR89" s="946"/>
      <c r="DS89" s="1045"/>
      <c r="DT89" s="946"/>
      <c r="DU89" s="946"/>
      <c r="DV89" s="946"/>
      <c r="DW89" s="946"/>
      <c r="DX89" s="1045"/>
      <c r="DY89" s="946"/>
      <c r="DZ89" s="946"/>
      <c r="EA89" s="946"/>
      <c r="EB89" s="946"/>
      <c r="EC89" s="1045"/>
      <c r="ED89" s="946"/>
      <c r="EE89" s="1045"/>
      <c r="EF89" s="1045"/>
      <c r="EG89" s="1045"/>
      <c r="EH89" s="1045"/>
      <c r="EI89" s="946"/>
      <c r="EJ89" s="1045"/>
      <c r="EK89" s="1045"/>
      <c r="EL89" s="1045"/>
      <c r="EM89" s="1045"/>
      <c r="EN89" s="946"/>
      <c r="EO89" s="1045"/>
      <c r="EP89" s="1045"/>
      <c r="EQ89" s="1045"/>
      <c r="ER89" s="1045"/>
      <c r="ES89" s="946"/>
      <c r="ET89" s="1045"/>
      <c r="EU89" s="1045"/>
      <c r="EV89" s="1045"/>
      <c r="EW89" s="1045"/>
      <c r="EX89" s="1045"/>
      <c r="EY89" s="1045"/>
      <c r="EZ89" s="1045"/>
      <c r="FA89" s="1045"/>
      <c r="FB89" s="1045"/>
      <c r="FC89" s="1045"/>
      <c r="FD89" s="1045"/>
      <c r="FE89" s="1045"/>
      <c r="FF89" s="1045"/>
      <c r="FG89" s="1045"/>
    </row>
    <row r="90" spans="1:165" outlineLevel="1">
      <c r="A90" s="1"/>
      <c r="B90" s="769" t="s">
        <v>305</v>
      </c>
      <c r="C90" s="770"/>
      <c r="D90" s="770"/>
      <c r="E90" s="770"/>
      <c r="F90" s="770"/>
      <c r="G90" s="770"/>
      <c r="H90" s="770"/>
      <c r="I90" s="770"/>
      <c r="J90" s="770"/>
      <c r="K90" s="770"/>
      <c r="L90" s="770"/>
      <c r="M90" s="770"/>
      <c r="N90" s="755"/>
      <c r="O90" s="774"/>
      <c r="P90" s="774"/>
      <c r="Q90" s="774"/>
      <c r="R90" s="774"/>
      <c r="S90" s="774"/>
      <c r="T90" s="774"/>
      <c r="U90" s="774"/>
      <c r="V90" s="774"/>
      <c r="W90" s="774"/>
      <c r="X90" s="774"/>
      <c r="Y90" s="774"/>
      <c r="Z90" s="774"/>
      <c r="AA90" s="774"/>
      <c r="AB90" s="774"/>
      <c r="AC90" s="774"/>
      <c r="AD90" s="774"/>
      <c r="AE90" s="774"/>
      <c r="AF90" s="774"/>
      <c r="AG90" s="774"/>
      <c r="AH90" s="774"/>
      <c r="AI90" s="774"/>
      <c r="AJ90" s="774"/>
      <c r="AK90" s="774"/>
      <c r="AL90" s="774"/>
      <c r="AM90" s="774"/>
      <c r="AN90" s="774"/>
      <c r="AO90" s="774"/>
      <c r="AP90" s="774"/>
      <c r="AQ90" s="774"/>
      <c r="AR90" s="774"/>
      <c r="AS90" s="774"/>
      <c r="AT90" s="774"/>
      <c r="AU90" s="774"/>
      <c r="AV90" s="774"/>
      <c r="AW90" s="774"/>
      <c r="AX90" s="774"/>
      <c r="AY90" s="774"/>
      <c r="AZ90" s="774"/>
      <c r="BA90" s="774"/>
      <c r="BB90" s="774"/>
      <c r="BC90" s="774"/>
      <c r="BD90" s="774"/>
      <c r="BE90" s="774"/>
      <c r="BF90" s="774"/>
      <c r="BG90" s="774"/>
      <c r="BH90" s="774"/>
      <c r="BI90" s="774"/>
      <c r="BJ90" s="774"/>
      <c r="BK90" s="774"/>
      <c r="BL90" s="774"/>
      <c r="BM90" s="774"/>
      <c r="BN90" s="774"/>
      <c r="BO90" s="774"/>
      <c r="BP90" s="774"/>
      <c r="BQ90" s="774"/>
      <c r="BR90" s="774"/>
      <c r="BS90" s="774"/>
      <c r="BT90" s="593"/>
      <c r="BU90" s="771"/>
      <c r="BV90" s="774"/>
      <c r="BW90" s="774"/>
      <c r="BX90" s="593"/>
      <c r="BY90" s="593"/>
      <c r="BZ90" s="771"/>
      <c r="CA90" s="593"/>
      <c r="CB90" s="593"/>
      <c r="CC90" s="593"/>
      <c r="CD90" s="593"/>
      <c r="CE90" s="771"/>
      <c r="CF90" s="593"/>
      <c r="CG90" s="593"/>
      <c r="CH90" s="593"/>
      <c r="CI90" s="593"/>
      <c r="CJ90" s="771"/>
      <c r="CK90" s="593"/>
      <c r="CL90" s="593"/>
      <c r="CM90" s="593"/>
      <c r="CN90" s="593"/>
      <c r="CO90" s="771"/>
      <c r="CP90" s="593"/>
      <c r="CQ90" s="593"/>
      <c r="CR90" s="593"/>
      <c r="CS90" s="593"/>
      <c r="CT90" s="771"/>
      <c r="CU90" s="593"/>
      <c r="CV90" s="593"/>
      <c r="CW90" s="593"/>
      <c r="CX90" s="593"/>
      <c r="CY90" s="771"/>
      <c r="CZ90" s="593"/>
      <c r="DA90" s="593"/>
      <c r="DB90" s="593"/>
      <c r="DC90" s="593"/>
      <c r="DD90" s="771"/>
      <c r="DE90" s="593"/>
      <c r="DF90" s="593"/>
      <c r="DG90" s="593"/>
      <c r="DH90" s="593"/>
      <c r="DI90" s="771"/>
      <c r="DJ90" s="593"/>
      <c r="DK90" s="593"/>
      <c r="DL90" s="593"/>
      <c r="DM90" s="1033"/>
      <c r="DN90" s="1113"/>
      <c r="DO90" s="1124"/>
      <c r="DP90" s="1124"/>
      <c r="DQ90" s="1124"/>
      <c r="DR90" s="1033"/>
      <c r="DS90" s="1113"/>
      <c r="DT90" s="1124"/>
      <c r="DU90" s="1124"/>
      <c r="DV90" s="1124"/>
      <c r="DW90" s="1124"/>
      <c r="DX90" s="1113"/>
      <c r="DY90" s="1124"/>
      <c r="DZ90" s="1124"/>
      <c r="EA90" s="1124"/>
      <c r="EB90" s="1124"/>
      <c r="EC90" s="2714"/>
      <c r="ED90" s="1124"/>
      <c r="EE90" s="1499"/>
      <c r="EF90" s="1499"/>
      <c r="EG90" s="1499"/>
      <c r="EH90" s="2714"/>
      <c r="EI90" s="1124"/>
      <c r="EJ90" s="1499"/>
      <c r="EK90" s="1499"/>
      <c r="EL90" s="1499"/>
      <c r="EM90" s="2509"/>
      <c r="EN90" s="2503"/>
      <c r="EO90" s="1499"/>
      <c r="EP90" s="2692"/>
      <c r="EQ90" s="2042"/>
      <c r="ER90" s="2041"/>
      <c r="ES90" s="2503"/>
      <c r="ET90" s="2692"/>
      <c r="EU90" s="2692"/>
      <c r="EV90" s="2042"/>
      <c r="EW90" s="2041"/>
      <c r="EX90" s="1499"/>
      <c r="EY90" s="2692"/>
      <c r="EZ90" s="1499"/>
      <c r="FA90" s="2042"/>
      <c r="FB90" s="2041"/>
      <c r="FC90" s="1287"/>
      <c r="FD90" s="1287"/>
      <c r="FE90" s="1287"/>
      <c r="FF90" s="1287"/>
      <c r="FG90" s="1287"/>
    </row>
    <row r="91" spans="1:165" outlineLevel="1">
      <c r="A91" s="1"/>
      <c r="B91" s="108" t="s">
        <v>306</v>
      </c>
      <c r="C91" s="10">
        <f t="shared" ref="C91:U91" si="378">+C20-C36</f>
      </c>
      <c r="D91" s="10">
        <f t="shared" si="378"/>
      </c>
      <c r="E91" s="10">
        <f t="shared" si="378"/>
      </c>
      <c r="F91" s="10">
        <f t="shared" si="378"/>
      </c>
      <c r="G91" s="10">
        <f t="shared" si="378"/>
      </c>
      <c r="H91" s="10">
        <f t="shared" si="378"/>
      </c>
      <c r="I91" s="10">
        <f t="shared" si="378"/>
      </c>
      <c r="J91" s="10">
        <f t="shared" si="378"/>
      </c>
      <c r="K91" s="10">
        <f t="shared" si="378"/>
      </c>
      <c r="L91" s="10">
        <f t="shared" si="378"/>
      </c>
      <c r="M91" s="10">
        <f t="shared" si="378"/>
      </c>
      <c r="N91" s="10">
        <f t="shared" si="378"/>
      </c>
      <c r="O91" s="10">
        <f t="shared" si="378"/>
      </c>
      <c r="P91" s="10">
        <f t="shared" si="378"/>
      </c>
      <c r="Q91" s="10">
        <f t="shared" si="378"/>
      </c>
      <c r="R91" s="10">
        <f t="shared" si="378"/>
      </c>
      <c r="S91" s="10">
        <f t="shared" si="378"/>
      </c>
      <c r="T91" s="10">
        <f t="shared" si="378"/>
      </c>
      <c r="U91" s="10">
        <f t="shared" si="378"/>
      </c>
      <c r="V91" s="10">
        <f t="shared" ref="V91:BA91" si="379">+V20-V36</f>
      </c>
      <c r="W91" s="10">
        <f t="shared" si="379"/>
      </c>
      <c r="X91" s="10">
        <f t="shared" si="379"/>
      </c>
      <c r="Y91" s="10">
        <f t="shared" si="379"/>
      </c>
      <c r="Z91" s="10">
        <f t="shared" si="379"/>
      </c>
      <c r="AA91" s="10">
        <f t="shared" si="379"/>
      </c>
      <c r="AB91" s="10">
        <f t="shared" si="379"/>
      </c>
      <c r="AC91" s="10">
        <f t="shared" si="379"/>
      </c>
      <c r="AD91" s="10">
        <f t="shared" si="379"/>
      </c>
      <c r="AE91" s="10">
        <f t="shared" si="379"/>
      </c>
      <c r="AF91" s="10">
        <f t="shared" si="379"/>
      </c>
      <c r="AG91" s="10">
        <f t="shared" si="379"/>
      </c>
      <c r="AH91" s="10">
        <f t="shared" si="379"/>
      </c>
      <c r="AI91" s="10">
        <f t="shared" si="379"/>
      </c>
      <c r="AJ91" s="10">
        <f t="shared" si="379"/>
      </c>
      <c r="AK91" s="10">
        <f t="shared" si="379"/>
      </c>
      <c r="AL91" s="10">
        <f t="shared" si="379"/>
      </c>
      <c r="AM91" s="10">
        <f t="shared" si="379"/>
      </c>
      <c r="AN91" s="10">
        <f t="shared" si="379"/>
      </c>
      <c r="AO91" s="10">
        <f t="shared" si="379"/>
      </c>
      <c r="AP91" s="10">
        <f t="shared" si="379"/>
      </c>
      <c r="AQ91" s="10">
        <f t="shared" si="379"/>
      </c>
      <c r="AR91" s="10">
        <f t="shared" si="379"/>
      </c>
      <c r="AS91" s="10">
        <f t="shared" si="379"/>
      </c>
      <c r="AT91" s="10">
        <f t="shared" si="379"/>
      </c>
      <c r="AU91" s="10">
        <f t="shared" si="379"/>
      </c>
      <c r="AV91" s="10">
        <f t="shared" si="379"/>
      </c>
      <c r="AW91" s="10">
        <f t="shared" si="379"/>
      </c>
      <c r="AX91" s="10">
        <f t="shared" si="379"/>
      </c>
      <c r="AY91" s="10">
        <f t="shared" si="379"/>
      </c>
      <c r="AZ91" s="10">
        <f t="shared" si="379"/>
      </c>
      <c r="BA91" s="10">
        <f t="shared" si="379"/>
      </c>
      <c r="BB91" s="10">
        <f t="shared" ref="BB91:CO91" si="380">+BB20-BB36</f>
      </c>
      <c r="BC91" s="10">
        <f t="shared" si="380"/>
      </c>
      <c r="BD91" s="10">
        <f t="shared" si="380"/>
      </c>
      <c r="BE91" s="10">
        <f t="shared" si="380"/>
      </c>
      <c r="BF91" s="10">
        <f t="shared" si="380"/>
      </c>
      <c r="BG91" s="10">
        <f t="shared" si="380"/>
      </c>
      <c r="BH91" s="10">
        <f t="shared" si="380"/>
      </c>
      <c r="BI91" s="10">
        <f t="shared" si="380"/>
      </c>
      <c r="BJ91" s="10">
        <f t="shared" si="380"/>
      </c>
      <c r="BK91" s="10">
        <f t="shared" si="380"/>
      </c>
      <c r="BL91" s="10">
        <f t="shared" si="380"/>
      </c>
      <c r="BM91" s="10">
        <f t="shared" si="380"/>
      </c>
      <c r="BN91" s="10">
        <f t="shared" si="380"/>
      </c>
      <c r="BO91" s="10">
        <f t="shared" si="380"/>
      </c>
      <c r="BP91" s="10">
        <f t="shared" si="380"/>
      </c>
      <c r="BQ91" s="10">
        <f t="shared" si="380"/>
      </c>
      <c r="BR91" s="10">
        <f t="shared" si="380"/>
      </c>
      <c r="BS91" s="10">
        <f t="shared" si="380"/>
      </c>
      <c r="BT91" s="10">
        <f t="shared" si="380"/>
      </c>
      <c r="BU91" s="67">
        <f t="shared" si="380"/>
      </c>
      <c r="BV91" s="10">
        <f>+BV20-BV36</f>
      </c>
      <c r="BW91" s="10">
        <f>+BW20-BW36</f>
      </c>
      <c r="BX91" s="10">
        <f t="shared" si="380"/>
      </c>
      <c r="BY91" s="10">
        <f t="shared" si="380"/>
      </c>
      <c r="BZ91" s="67">
        <f t="shared" si="380"/>
      </c>
      <c r="CA91" s="10">
        <f t="shared" si="380"/>
      </c>
      <c r="CB91" s="10">
        <f t="shared" si="380"/>
      </c>
      <c r="CC91" s="10">
        <f>+CC20-CC36</f>
      </c>
      <c r="CD91" s="10">
        <f>+CD20-CD36</f>
      </c>
      <c r="CE91" s="67">
        <f t="shared" si="380"/>
      </c>
      <c r="CF91" s="10">
        <f t="shared" si="380"/>
      </c>
      <c r="CG91" s="10">
        <f>+CG20-CG36</f>
      </c>
      <c r="CH91" s="10">
        <f>+CH20-CH36</f>
      </c>
      <c r="CI91" s="10">
        <f>+CI20-CI36</f>
      </c>
      <c r="CJ91" s="67">
        <f t="shared" si="380"/>
      </c>
      <c r="CK91" s="10">
        <f>+CK20-CK36</f>
      </c>
      <c r="CL91" s="10">
        <f>+CL20-CL36</f>
      </c>
      <c r="CM91" s="10">
        <f>+CM20-CM36</f>
      </c>
      <c r="CN91" s="10">
        <f>+CN20-CN36</f>
      </c>
      <c r="CO91" s="67">
        <f t="shared" si="380"/>
      </c>
      <c r="CP91" s="10">
        <f t="shared" ref="CP91:CW91" si="381">+CP20-CP36</f>
      </c>
      <c r="CQ91" s="10">
        <f t="shared" si="381"/>
      </c>
      <c r="CR91" s="10">
        <f t="shared" si="381"/>
      </c>
      <c r="CS91" s="10">
        <f t="shared" si="381"/>
      </c>
      <c r="CT91" s="67">
        <f t="shared" si="381"/>
      </c>
      <c r="CU91" s="10">
        <f t="shared" si="381"/>
      </c>
      <c r="CV91" s="10">
        <f t="shared" si="381"/>
      </c>
      <c r="CW91" s="10">
        <f t="shared" si="381"/>
      </c>
      <c r="CX91" s="10">
        <f t="shared" ref="CX91:DW91" si="382">+CX20-CX36</f>
      </c>
      <c r="CY91" s="67">
        <f t="shared" si="382"/>
      </c>
      <c r="CZ91" s="10">
        <f t="shared" si="382"/>
      </c>
      <c r="DA91" s="10">
        <f t="shared" si="382"/>
      </c>
      <c r="DB91" s="10">
        <f t="shared" si="382"/>
      </c>
      <c r="DC91" s="10">
        <f t="shared" si="382"/>
      </c>
      <c r="DD91" s="67">
        <f t="shared" si="382"/>
      </c>
      <c r="DE91" s="10">
        <f t="shared" si="382"/>
      </c>
      <c r="DF91" s="10">
        <f t="shared" si="382"/>
      </c>
      <c r="DG91" s="10">
        <f t="shared" si="382"/>
      </c>
      <c r="DH91" s="10">
        <f t="shared" si="382"/>
      </c>
      <c r="DI91" s="67">
        <f t="shared" si="382"/>
      </c>
      <c r="DJ91" s="10">
        <f t="shared" si="382"/>
      </c>
      <c r="DK91" s="10">
        <f t="shared" si="382"/>
      </c>
      <c r="DL91" s="10">
        <f t="shared" si="382"/>
      </c>
      <c r="DM91" s="10">
        <f t="shared" si="382"/>
      </c>
      <c r="DN91" s="67">
        <f t="shared" si="382"/>
      </c>
      <c r="DO91" s="948">
        <f t="shared" si="382"/>
      </c>
      <c r="DP91" s="948">
        <f t="shared" si="382"/>
      </c>
      <c r="DQ91" s="948">
        <f t="shared" si="382"/>
      </c>
      <c r="DR91" s="10">
        <f t="shared" si="382"/>
      </c>
      <c r="DS91" s="67">
        <f t="shared" si="382"/>
      </c>
      <c r="DT91" s="948">
        <f t="shared" si="382"/>
      </c>
      <c r="DU91" s="948">
        <f t="shared" si="382"/>
      </c>
      <c r="DV91" s="948">
        <f t="shared" si="382"/>
      </c>
      <c r="DW91" s="948">
        <f t="shared" si="382"/>
      </c>
      <c r="DX91" s="1111">
        <f t="shared" ref="DX91:ER91" si="383">SUM(DX16,DX17,DX19)-SUM(DX31,DX32,DX33,DX34,DX35)</f>
      </c>
      <c r="DY91" s="948">
        <f t="shared" si="383"/>
      </c>
      <c r="DZ91" s="948">
        <f t="shared" si="383"/>
      </c>
      <c r="EA91" s="948">
        <f t="shared" si="383"/>
      </c>
      <c r="EB91" s="948">
        <f t="shared" si="383"/>
      </c>
      <c r="EC91" s="1505">
        <f t="shared" si="383"/>
      </c>
      <c r="ED91" s="948">
        <f t="shared" si="383"/>
      </c>
      <c r="EE91" s="948">
        <f t="shared" si="383"/>
      </c>
      <c r="EF91" s="948">
        <f t="shared" si="383"/>
      </c>
      <c r="EG91" s="948">
        <f t="shared" si="383"/>
      </c>
      <c r="EH91" s="1505">
        <f t="shared" si="383"/>
      </c>
      <c r="EI91" s="948">
        <f t="shared" si="383"/>
      </c>
      <c r="EJ91" s="948">
        <f t="shared" si="383"/>
      </c>
      <c r="EK91" s="948">
        <f t="shared" si="383"/>
      </c>
      <c r="EL91" s="948">
        <f t="shared" si="383"/>
      </c>
      <c r="EM91" s="2089">
        <f t="shared" si="383"/>
      </c>
      <c r="EN91" s="2100">
        <f t="shared" si="383"/>
      </c>
      <c r="EO91" s="948">
        <f t="shared" si="383"/>
      </c>
      <c r="EP91" s="948">
        <f t="shared" si="383"/>
      </c>
      <c r="EQ91" s="1251">
        <f t="shared" si="383"/>
      </c>
      <c r="ER91" s="1291">
        <f t="shared" si="383"/>
      </c>
      <c r="ES91" s="2100">
        <f>SUM(ES16,ES17,ES19)-SUM(ES31,ES32,ES33,ES34,ES35)</f>
      </c>
      <c r="ET91" s="948">
        <f t="shared" ref="ET91:FG91" si="384">SUM(ET16,ET17,ET19)-SUM(ET31,ET32,ET33,ET34,ET35)</f>
      </c>
      <c r="EU91" s="948">
        <f t="shared" si="384"/>
      </c>
      <c r="EV91" s="1251">
        <f t="shared" si="384"/>
      </c>
      <c r="EW91" s="1291">
        <f t="shared" si="384"/>
      </c>
      <c r="EX91" s="948">
        <f t="shared" si="384"/>
      </c>
      <c r="EY91" s="948">
        <f t="shared" ref="EY91" si="385">SUM(EY16,EY17,EY19)-SUM(EY31,EY32,EY33,EY34,EY35)</f>
      </c>
      <c r="EZ91" s="948">
        <f t="shared" si="384"/>
      </c>
      <c r="FA91" s="1251">
        <f t="shared" si="384"/>
      </c>
      <c r="FB91" s="1291">
        <f t="shared" si="384"/>
      </c>
      <c r="FC91" s="1291">
        <f t="shared" si="384"/>
      </c>
      <c r="FD91" s="1291">
        <f t="shared" si="384"/>
      </c>
      <c r="FE91" s="1291">
        <f t="shared" si="384"/>
      </c>
      <c r="FF91" s="1291">
        <f t="shared" si="384"/>
      </c>
      <c r="FG91" s="1291">
        <f t="shared" si="384"/>
      </c>
    </row>
    <row r="92" spans="1:165" outlineLevel="1">
      <c r="A92" s="1"/>
      <c r="B92" s="108" t="s">
        <v>179</v>
      </c>
      <c r="C92" s="46">
        <f t="shared" ref="C92:AH92" si="386">+C52/C88</f>
      </c>
      <c r="D92" s="46">
        <f t="shared" si="386"/>
      </c>
      <c r="E92" s="46">
        <f t="shared" si="386"/>
      </c>
      <c r="F92" s="46">
        <f t="shared" si="386"/>
      </c>
      <c r="G92" s="46">
        <f t="shared" si="386"/>
      </c>
      <c r="H92" s="46">
        <f t="shared" si="386"/>
      </c>
      <c r="I92" s="46">
        <f t="shared" si="386"/>
      </c>
      <c r="J92" s="46">
        <f t="shared" si="386"/>
      </c>
      <c r="K92" s="46">
        <f t="shared" si="386"/>
      </c>
      <c r="L92" s="46">
        <f t="shared" si="386"/>
      </c>
      <c r="M92" s="46">
        <f t="shared" si="386"/>
      </c>
      <c r="N92" s="46">
        <f t="shared" si="386"/>
      </c>
      <c r="O92" s="46">
        <f t="shared" si="386"/>
      </c>
      <c r="P92" s="46">
        <f t="shared" si="386"/>
      </c>
      <c r="Q92" s="46">
        <f t="shared" si="386"/>
      </c>
      <c r="R92" s="46">
        <f t="shared" si="386"/>
      </c>
      <c r="S92" s="46">
        <f t="shared" si="386"/>
      </c>
      <c r="T92" s="46">
        <f t="shared" si="386"/>
      </c>
      <c r="U92" s="46">
        <f t="shared" si="386"/>
      </c>
      <c r="V92" s="46">
        <f t="shared" si="386"/>
      </c>
      <c r="W92" s="46">
        <f t="shared" si="386"/>
      </c>
      <c r="X92" s="46">
        <f t="shared" si="386"/>
      </c>
      <c r="Y92" s="46">
        <f t="shared" si="386"/>
      </c>
      <c r="Z92" s="46">
        <f t="shared" si="386"/>
      </c>
      <c r="AA92" s="46">
        <f t="shared" si="386"/>
      </c>
      <c r="AB92" s="46">
        <f t="shared" si="386"/>
      </c>
      <c r="AC92" s="46">
        <f t="shared" si="386"/>
      </c>
      <c r="AD92" s="46">
        <f t="shared" si="386"/>
      </c>
      <c r="AE92" s="46">
        <f t="shared" si="386"/>
      </c>
      <c r="AF92" s="46">
        <f t="shared" si="386"/>
      </c>
      <c r="AG92" s="46">
        <f t="shared" si="386"/>
      </c>
      <c r="AH92" s="46">
        <f t="shared" si="386"/>
      </c>
      <c r="AI92" s="46">
        <f t="shared" ref="AI92:BN92" si="387">+AI52/AI88</f>
      </c>
      <c r="AJ92" s="46">
        <f t="shared" si="387"/>
      </c>
      <c r="AK92" s="46">
        <f t="shared" si="387"/>
      </c>
      <c r="AL92" s="46">
        <f t="shared" si="387"/>
      </c>
      <c r="AM92" s="46">
        <f t="shared" si="387"/>
      </c>
      <c r="AN92" s="46">
        <f t="shared" si="387"/>
      </c>
      <c r="AO92" s="46">
        <f t="shared" si="387"/>
      </c>
      <c r="AP92" s="46">
        <f t="shared" si="387"/>
      </c>
      <c r="AQ92" s="46">
        <f t="shared" si="387"/>
      </c>
      <c r="AR92" s="46">
        <f t="shared" si="387"/>
      </c>
      <c r="AS92" s="46">
        <f t="shared" si="387"/>
      </c>
      <c r="AT92" s="46">
        <f t="shared" si="387"/>
      </c>
      <c r="AU92" s="46">
        <f t="shared" si="387"/>
      </c>
      <c r="AV92" s="46">
        <f t="shared" si="387"/>
      </c>
      <c r="AW92" s="46">
        <f t="shared" si="387"/>
      </c>
      <c r="AX92" s="46">
        <f t="shared" si="387"/>
      </c>
      <c r="AY92" s="46">
        <f t="shared" si="387"/>
      </c>
      <c r="AZ92" s="46">
        <f t="shared" si="387"/>
      </c>
      <c r="BA92" s="46">
        <f t="shared" si="387"/>
      </c>
      <c r="BB92" s="46">
        <f t="shared" si="387"/>
      </c>
      <c r="BC92" s="46">
        <f t="shared" si="387"/>
      </c>
      <c r="BD92" s="46">
        <f t="shared" si="387"/>
      </c>
      <c r="BE92" s="46">
        <f t="shared" si="387"/>
      </c>
      <c r="BF92" s="46">
        <f t="shared" si="387"/>
      </c>
      <c r="BG92" s="46">
        <f t="shared" si="387"/>
      </c>
      <c r="BH92" s="46">
        <f t="shared" si="387"/>
      </c>
      <c r="BI92" s="46">
        <f t="shared" si="387"/>
      </c>
      <c r="BJ92" s="46">
        <f t="shared" si="387"/>
      </c>
      <c r="BK92" s="46">
        <f t="shared" si="387"/>
      </c>
      <c r="BL92" s="46">
        <f t="shared" si="387"/>
      </c>
      <c r="BM92" s="46">
        <f t="shared" si="387"/>
      </c>
      <c r="BN92" s="46">
        <f t="shared" si="387"/>
      </c>
      <c r="BO92" s="46">
        <f t="shared" ref="BO92:DB92" si="388">+BO52/BO88</f>
      </c>
      <c r="BP92" s="46">
        <f t="shared" si="388"/>
      </c>
      <c r="BQ92" s="46">
        <f t="shared" si="388"/>
      </c>
      <c r="BR92" s="46">
        <f t="shared" si="388"/>
      </c>
      <c r="BS92" s="46">
        <f t="shared" si="388"/>
      </c>
      <c r="BT92" s="46">
        <f t="shared" si="388"/>
      </c>
      <c r="BU92" s="542">
        <f t="shared" si="388"/>
      </c>
      <c r="BV92" s="46">
        <f t="shared" si="388"/>
      </c>
      <c r="BW92" s="46">
        <f t="shared" si="388"/>
      </c>
      <c r="BX92" s="46">
        <f t="shared" si="388"/>
      </c>
      <c r="BY92" s="46">
        <f t="shared" si="388"/>
      </c>
      <c r="BZ92" s="542">
        <f t="shared" si="388"/>
      </c>
      <c r="CA92" s="46">
        <f t="shared" si="388"/>
      </c>
      <c r="CB92" s="46">
        <f t="shared" si="388"/>
      </c>
      <c r="CC92" s="46">
        <f t="shared" si="388"/>
      </c>
      <c r="CD92" s="46">
        <f t="shared" si="388"/>
      </c>
      <c r="CE92" s="542">
        <f t="shared" si="388"/>
      </c>
      <c r="CF92" s="46">
        <f t="shared" si="388"/>
      </c>
      <c r="CG92" s="46">
        <f t="shared" si="388"/>
      </c>
      <c r="CH92" s="46">
        <f t="shared" si="388"/>
      </c>
      <c r="CI92" s="46">
        <f t="shared" si="388"/>
      </c>
      <c r="CJ92" s="542">
        <f t="shared" si="388"/>
      </c>
      <c r="CK92" s="46">
        <f t="shared" si="388"/>
      </c>
      <c r="CL92" s="46">
        <f t="shared" si="388"/>
      </c>
      <c r="CM92" s="46">
        <f t="shared" si="388"/>
      </c>
      <c r="CN92" s="46">
        <f t="shared" si="388"/>
      </c>
      <c r="CO92" s="542">
        <f t="shared" si="388"/>
      </c>
      <c r="CP92" s="46">
        <f t="shared" si="388"/>
      </c>
      <c r="CQ92" s="46">
        <f t="shared" si="388"/>
      </c>
      <c r="CR92" s="46">
        <f t="shared" si="388"/>
      </c>
      <c r="CS92" s="46">
        <f t="shared" si="388"/>
      </c>
      <c r="CT92" s="542">
        <f t="shared" si="388"/>
      </c>
      <c r="CU92" s="46">
        <f t="shared" si="388"/>
      </c>
      <c r="CV92" s="46">
        <f t="shared" si="388"/>
      </c>
      <c r="CW92" s="46">
        <f t="shared" si="388"/>
      </c>
      <c r="CX92" s="46">
        <f>+CX52/CX88</f>
      </c>
      <c r="CY92" s="542">
        <f>+CY52/CY88</f>
      </c>
      <c r="CZ92" s="46">
        <f t="shared" si="388"/>
      </c>
      <c r="DA92" s="46">
        <f t="shared" si="388"/>
      </c>
      <c r="DB92" s="46">
        <f t="shared" si="388"/>
      </c>
      <c r="DC92" s="46">
        <f t="shared" ref="DC92:ER92" si="389">+DC52/DC88</f>
      </c>
      <c r="DD92" s="542">
        <f t="shared" si="389"/>
      </c>
      <c r="DE92" s="46">
        <f t="shared" si="389"/>
      </c>
      <c r="DF92" s="46">
        <f t="shared" si="389"/>
      </c>
      <c r="DG92" s="46">
        <f t="shared" si="389"/>
      </c>
      <c r="DH92" s="46">
        <f t="shared" si="389"/>
      </c>
      <c r="DI92" s="542">
        <f t="shared" si="389"/>
      </c>
      <c r="DJ92" s="46">
        <f t="shared" si="389"/>
      </c>
      <c r="DK92" s="46">
        <f t="shared" si="389"/>
      </c>
      <c r="DL92" s="46">
        <f t="shared" si="389"/>
      </c>
      <c r="DM92" s="46">
        <f t="shared" si="389"/>
      </c>
      <c r="DN92" s="542">
        <f t="shared" si="389"/>
      </c>
      <c r="DO92" s="1049">
        <f t="shared" si="389"/>
      </c>
      <c r="DP92" s="1049">
        <f t="shared" si="389"/>
      </c>
      <c r="DQ92" s="1049">
        <f t="shared" si="389"/>
      </c>
      <c r="DR92" s="46">
        <f t="shared" si="389"/>
      </c>
      <c r="DS92" s="542">
        <f t="shared" si="389"/>
      </c>
      <c r="DT92" s="1049">
        <f t="shared" si="389"/>
      </c>
      <c r="DU92" s="1049">
        <f t="shared" si="389"/>
      </c>
      <c r="DV92" s="1049">
        <f t="shared" si="389"/>
      </c>
      <c r="DW92" s="1049">
        <f t="shared" si="389"/>
      </c>
      <c r="DX92" s="1117">
        <f t="shared" si="389"/>
      </c>
      <c r="DY92" s="1049">
        <f t="shared" si="389"/>
      </c>
      <c r="DZ92" s="1049">
        <f t="shared" si="389"/>
      </c>
      <c r="EA92" s="1049">
        <f t="shared" si="389"/>
      </c>
      <c r="EB92" s="1049">
        <f t="shared" si="389"/>
      </c>
      <c r="EC92" s="2362">
        <f t="shared" si="389"/>
      </c>
      <c r="ED92" s="1049">
        <f t="shared" si="389"/>
      </c>
      <c r="EE92" s="1049">
        <f t="shared" si="389"/>
      </c>
      <c r="EF92" s="1049">
        <f t="shared" si="389"/>
      </c>
      <c r="EG92" s="1049">
        <f t="shared" si="389"/>
      </c>
      <c r="EH92" s="2362">
        <f t="shared" si="389"/>
      </c>
      <c r="EI92" s="1049">
        <f t="shared" si="389"/>
      </c>
      <c r="EJ92" s="1049">
        <f>+EJ52/EJ88</f>
      </c>
      <c r="EK92" s="1049">
        <f t="shared" si="389"/>
      </c>
      <c r="EL92" s="1049">
        <f>+EL52/EL88</f>
      </c>
      <c r="EM92" s="2516">
        <f>+EM52/EM88</f>
      </c>
      <c r="EN92" s="2363">
        <f>+EN52/EN88</f>
      </c>
      <c r="EO92" s="1049">
        <f t="shared" si="389"/>
      </c>
      <c r="EP92" s="1049">
        <f t="shared" si="389"/>
      </c>
      <c r="EQ92" s="2168">
        <f t="shared" si="389"/>
      </c>
      <c r="ER92" s="1292">
        <f t="shared" si="389"/>
      </c>
      <c r="ES92" s="2363">
        <f>+ES52/ES88</f>
      </c>
      <c r="ET92" s="1049">
        <f t="shared" ref="ET92:EW92" si="390">+ET52/ET88</f>
      </c>
      <c r="EU92" s="1049">
        <f t="shared" si="390"/>
      </c>
      <c r="EV92" s="2168">
        <f t="shared" si="390"/>
      </c>
      <c r="EW92" s="1292">
        <f t="shared" si="390"/>
      </c>
      <c r="EX92" s="1049">
        <f>+EX52/EX88</f>
      </c>
      <c r="EY92" s="1049">
        <f t="shared" ref="EY92" si="391">+EY52/EY88</f>
      </c>
      <c r="EZ92" s="1049">
        <f>+EZ52/EZ88</f>
      </c>
      <c r="FA92" s="2168">
        <f>+FA52/FA88</f>
      </c>
      <c r="FB92" s="1292">
        <f t="shared" ref="FB92" si="392">+FB52/FB88</f>
      </c>
      <c r="FC92" s="1292">
        <f ca="1">+FC52/FC88</f>
      </c>
      <c r="FD92" s="1292">
        <f ca="1">+FD52/FD88</f>
      </c>
      <c r="FE92" s="1292">
        <f ca="1">+FE52/FE88</f>
      </c>
      <c r="FF92" s="1292">
        <f ca="1">+FF52/FF88</f>
      </c>
      <c r="FG92" s="1292">
        <f ca="1">+FG52/FG88</f>
      </c>
    </row>
    <row r="93" spans="1:165" outlineLevel="1">
      <c r="A93" s="1"/>
      <c r="B93" s="108" t="s">
        <v>307</v>
      </c>
      <c r="C93" s="60">
        <f t="shared" ref="C93:U93" si="393">+(C37+C31)/(C54-SUM(C32:C35))</f>
      </c>
      <c r="D93" s="60">
        <f t="shared" si="393"/>
      </c>
      <c r="E93" s="60">
        <f t="shared" si="393"/>
      </c>
      <c r="F93" s="60">
        <f t="shared" si="393"/>
      </c>
      <c r="G93" s="60">
        <f t="shared" si="393"/>
      </c>
      <c r="H93" s="60">
        <f t="shared" si="393"/>
      </c>
      <c r="I93" s="60">
        <f t="shared" si="393"/>
      </c>
      <c r="J93" s="60">
        <f t="shared" si="393"/>
      </c>
      <c r="K93" s="60">
        <f t="shared" si="393"/>
      </c>
      <c r="L93" s="60">
        <f t="shared" si="393"/>
      </c>
      <c r="M93" s="60">
        <f t="shared" si="393"/>
      </c>
      <c r="N93" s="60">
        <f t="shared" si="393"/>
      </c>
      <c r="O93" s="60">
        <f t="shared" si="393"/>
      </c>
      <c r="P93" s="60">
        <f t="shared" si="393"/>
      </c>
      <c r="Q93" s="60">
        <f t="shared" si="393"/>
      </c>
      <c r="R93" s="60">
        <f t="shared" si="393"/>
      </c>
      <c r="S93" s="60">
        <f t="shared" si="393"/>
      </c>
      <c r="T93" s="60">
        <f t="shared" si="393"/>
      </c>
      <c r="U93" s="60">
        <f t="shared" si="393"/>
      </c>
      <c r="V93" s="60">
        <f>+(V37+V31)/(V54-SUM(V32:V35))</f>
      </c>
      <c r="W93" s="60">
        <f t="shared" ref="W93:CO93" si="394">+(W37+W41)/(W43+W52-SUM(W38:W39))</f>
      </c>
      <c r="X93" s="60">
        <f t="shared" si="394"/>
      </c>
      <c r="Y93" s="60">
        <f t="shared" si="394"/>
      </c>
      <c r="Z93" s="60">
        <f t="shared" si="394"/>
      </c>
      <c r="AA93" s="60">
        <f t="shared" si="394"/>
      </c>
      <c r="AB93" s="60">
        <f t="shared" si="394"/>
      </c>
      <c r="AC93" s="60">
        <f t="shared" si="394"/>
      </c>
      <c r="AD93" s="60">
        <f t="shared" si="394"/>
      </c>
      <c r="AE93" s="60">
        <f t="shared" si="394"/>
      </c>
      <c r="AF93" s="60">
        <f t="shared" si="394"/>
      </c>
      <c r="AG93" s="60">
        <f t="shared" si="394"/>
      </c>
      <c r="AH93" s="60">
        <f t="shared" si="394"/>
      </c>
      <c r="AI93" s="60">
        <f t="shared" si="394"/>
      </c>
      <c r="AJ93" s="60">
        <f t="shared" si="394"/>
      </c>
      <c r="AK93" s="60">
        <f t="shared" si="394"/>
      </c>
      <c r="AL93" s="60">
        <f t="shared" si="394"/>
      </c>
      <c r="AM93" s="60">
        <f t="shared" si="394"/>
      </c>
      <c r="AN93" s="60">
        <f t="shared" si="394"/>
      </c>
      <c r="AO93" s="60">
        <f t="shared" si="394"/>
      </c>
      <c r="AP93" s="60">
        <f t="shared" si="394"/>
      </c>
      <c r="AQ93" s="60">
        <f t="shared" si="394"/>
      </c>
      <c r="AR93" s="60">
        <f t="shared" si="394"/>
      </c>
      <c r="AS93" s="60">
        <f t="shared" si="394"/>
      </c>
      <c r="AT93" s="60">
        <f t="shared" si="394"/>
      </c>
      <c r="AU93" s="60">
        <f t="shared" si="394"/>
      </c>
      <c r="AV93" s="60">
        <f t="shared" si="394"/>
      </c>
      <c r="AW93" s="60">
        <f t="shared" si="394"/>
      </c>
      <c r="AX93" s="60">
        <f t="shared" si="394"/>
      </c>
      <c r="AY93" s="60">
        <f t="shared" si="394"/>
      </c>
      <c r="AZ93" s="60">
        <f t="shared" si="394"/>
      </c>
      <c r="BA93" s="60">
        <f t="shared" si="394"/>
      </c>
      <c r="BB93" s="60">
        <f t="shared" si="394"/>
      </c>
      <c r="BC93" s="60">
        <f t="shared" si="394"/>
      </c>
      <c r="BD93" s="60">
        <f t="shared" si="394"/>
      </c>
      <c r="BE93" s="60">
        <f t="shared" si="394"/>
      </c>
      <c r="BF93" s="60">
        <f t="shared" si="394"/>
      </c>
      <c r="BG93" s="60">
        <f t="shared" si="394"/>
      </c>
      <c r="BH93" s="60">
        <f t="shared" si="394"/>
      </c>
      <c r="BI93" s="60">
        <f t="shared" si="394"/>
      </c>
      <c r="BJ93" s="60">
        <f t="shared" si="394"/>
      </c>
      <c r="BK93" s="60">
        <f t="shared" si="394"/>
      </c>
      <c r="BL93" s="60">
        <f t="shared" si="394"/>
      </c>
      <c r="BM93" s="60">
        <f t="shared" si="394"/>
      </c>
      <c r="BN93" s="60">
        <f t="shared" si="394"/>
      </c>
      <c r="BO93" s="60">
        <f t="shared" si="394"/>
      </c>
      <c r="BP93" s="60">
        <f t="shared" si="394"/>
      </c>
      <c r="BQ93" s="60">
        <f t="shared" si="394"/>
      </c>
      <c r="BR93" s="60">
        <f t="shared" si="394"/>
      </c>
      <c r="BS93" s="41">
        <f t="shared" si="394"/>
      </c>
      <c r="BT93" s="41">
        <f t="shared" si="394"/>
      </c>
      <c r="BU93" s="535">
        <f t="shared" si="394"/>
      </c>
      <c r="BV93" s="41">
        <f>+(BV37+BV41)/(BV43+BV52-SUM(BV38:BV39))</f>
      </c>
      <c r="BW93" s="41">
        <f>+(BW37+BW41)/(BW43+BW52-SUM(BW38:BW39))</f>
      </c>
      <c r="BX93" s="41">
        <f t="shared" si="394"/>
      </c>
      <c r="BY93" s="41">
        <f t="shared" si="394"/>
      </c>
      <c r="BZ93" s="535">
        <f t="shared" si="394"/>
      </c>
      <c r="CA93" s="41">
        <f t="shared" si="394"/>
      </c>
      <c r="CB93" s="41">
        <f t="shared" si="394"/>
      </c>
      <c r="CC93" s="41">
        <f>+(CC37+CC41)/(CC43+CC52-SUM(CC38:CC39))</f>
      </c>
      <c r="CD93" s="41">
        <f>+(CD37+CD41)/(CD43+CD52-SUM(CD38:CD39))</f>
      </c>
      <c r="CE93" s="535">
        <f t="shared" si="394"/>
      </c>
      <c r="CF93" s="41">
        <f t="shared" si="394"/>
      </c>
      <c r="CG93" s="41">
        <f>+(CG37+CG41)/(CG43+CG52-SUM(CG38:CG39))</f>
      </c>
      <c r="CH93" s="41">
        <f>+(CH37+CH41)/(CH43+CH52-SUM(CH38:CH39))</f>
      </c>
      <c r="CI93" s="41">
        <f>+(CI37+CI41)/(CI43+CI52-SUM(CI38:CI39))</f>
      </c>
      <c r="CJ93" s="535">
        <f t="shared" si="394"/>
      </c>
      <c r="CK93" s="41">
        <f>+(CK37+CK41)/(CK43+CK52-SUM(CK38:CK39))</f>
      </c>
      <c r="CL93" s="41">
        <f>+(CL37+CL41)/(CL43+CL52-SUM(CL38:CL39))</f>
      </c>
      <c r="CM93" s="41">
        <f>+(CM37+CM41)/(CM43+CM52-SUM(CM38:CM39))</f>
      </c>
      <c r="CN93" s="41">
        <f>+(CN37+CN41)/(CN43+CN52-SUM(CN38:CN39))</f>
      </c>
      <c r="CO93" s="535">
        <f t="shared" si="394"/>
      </c>
      <c r="CP93" s="41">
        <f t="shared" ref="CP93:CW93" si="395">+(CP37+CP41)/(CP43+CP52-SUM(CP38:CP39))</f>
      </c>
      <c r="CQ93" s="41">
        <f t="shared" si="395"/>
      </c>
      <c r="CR93" s="41">
        <f t="shared" si="395"/>
      </c>
      <c r="CS93" s="41">
        <f t="shared" si="395"/>
      </c>
      <c r="CT93" s="535">
        <f t="shared" si="395"/>
      </c>
      <c r="CU93" s="41">
        <f t="shared" si="395"/>
      </c>
      <c r="CV93" s="41">
        <f t="shared" si="395"/>
      </c>
      <c r="CW93" s="41">
        <f t="shared" si="395"/>
      </c>
      <c r="CX93" s="41">
        <f>+(CX37+CX41)/(CX43+CX52-SUM(CX38:CX39))</f>
      </c>
      <c r="CY93" s="535">
        <f>+(CY31+CY37)/(CY54)</f>
      </c>
      <c r="CZ93" s="41">
        <f t="shared" ref="CZ93:ER93" si="396">+(CZ31+CZ37)/(CZ54)</f>
      </c>
      <c r="DA93" s="41">
        <f t="shared" si="396"/>
      </c>
      <c r="DB93" s="41">
        <f t="shared" si="396"/>
      </c>
      <c r="DC93" s="41">
        <f t="shared" si="396"/>
      </c>
      <c r="DD93" s="535">
        <f t="shared" si="396"/>
      </c>
      <c r="DE93" s="41">
        <f t="shared" si="396"/>
      </c>
      <c r="DF93" s="41">
        <f t="shared" si="396"/>
      </c>
      <c r="DG93" s="41">
        <f t="shared" si="396"/>
      </c>
      <c r="DH93" s="41">
        <f t="shared" si="396"/>
      </c>
      <c r="DI93" s="535">
        <f t="shared" si="396"/>
      </c>
      <c r="DJ93" s="41">
        <f t="shared" si="396"/>
      </c>
      <c r="DK93" s="41">
        <f t="shared" si="396"/>
      </c>
      <c r="DL93" s="41">
        <f t="shared" si="396"/>
      </c>
      <c r="DM93" s="41">
        <f t="shared" si="396"/>
      </c>
      <c r="DN93" s="535">
        <f t="shared" si="396"/>
      </c>
      <c r="DO93" s="925">
        <f t="shared" si="396"/>
      </c>
      <c r="DP93" s="925">
        <f t="shared" si="396"/>
      </c>
      <c r="DQ93" s="925">
        <f>+(DQ31+DQ37)/(DQ54)</f>
      </c>
      <c r="DR93" s="41">
        <f>+(DR31+DR37)/(DR54)</f>
      </c>
      <c r="DS93" s="535">
        <f>+(DS31+DS37)/(DS54)</f>
      </c>
      <c r="DT93" s="925">
        <f>+(DT31+DT37)/(DT54)</f>
      </c>
      <c r="DU93" s="925">
        <f>+(DU31+DU37)/(DU54)</f>
      </c>
      <c r="DV93" s="925">
        <f t="shared" si="396"/>
      </c>
      <c r="DW93" s="925">
        <f t="shared" si="396"/>
      </c>
      <c r="DX93" s="1293">
        <f t="shared" ref="DX93:EK93" si="397">+(DX31+DX37)/(DX54)</f>
      </c>
      <c r="DY93" s="925">
        <f t="shared" si="397"/>
      </c>
      <c r="DZ93" s="925">
        <f t="shared" si="397"/>
      </c>
      <c r="EA93" s="925">
        <f t="shared" si="397"/>
      </c>
      <c r="EB93" s="925">
        <f t="shared" si="397"/>
      </c>
      <c r="EC93" s="1066">
        <f t="shared" si="397"/>
      </c>
      <c r="ED93" s="925">
        <f t="shared" si="397"/>
      </c>
      <c r="EE93" s="925">
        <f t="shared" si="397"/>
      </c>
      <c r="EF93" s="925">
        <f t="shared" si="397"/>
      </c>
      <c r="EG93" s="925">
        <f t="shared" si="397"/>
      </c>
      <c r="EH93" s="1066">
        <f t="shared" si="397"/>
      </c>
      <c r="EI93" s="925">
        <f t="shared" si="397"/>
      </c>
      <c r="EJ93" s="925">
        <f>+(EJ31+EJ37)/(EJ54)</f>
      </c>
      <c r="EK93" s="925">
        <f t="shared" si="397"/>
      </c>
      <c r="EL93" s="925">
        <f>+(EL31+EL37)/(EL54)</f>
      </c>
      <c r="EM93" s="2506">
        <f>+(EM31+EM37)/(EM54)</f>
      </c>
      <c r="EN93" s="968">
        <f>+(EN31+EN37)/(EN54)</f>
      </c>
      <c r="EO93" s="925">
        <f t="shared" si="396"/>
      </c>
      <c r="EP93" s="925">
        <f t="shared" si="396"/>
      </c>
      <c r="EQ93" s="2167">
        <f t="shared" si="396"/>
      </c>
      <c r="ER93" s="927">
        <f t="shared" si="396"/>
      </c>
      <c r="ES93" s="968">
        <f>+(ES31+ES37)/(ES54)</f>
      </c>
      <c r="ET93" s="925">
        <f t="shared" ref="ET93:EW93" si="398">+(ET31+ET37)/(ET54)</f>
      </c>
      <c r="EU93" s="925">
        <f t="shared" si="398"/>
      </c>
      <c r="EV93" s="2167">
        <f t="shared" si="398"/>
      </c>
      <c r="EW93" s="927">
        <f t="shared" si="398"/>
      </c>
      <c r="EX93" s="925">
        <f>+(EX31+EX37)/(EX54)</f>
      </c>
      <c r="EY93" s="925">
        <f t="shared" ref="EY93" si="399">+(EY31+EY37)/(EY54)</f>
      </c>
      <c r="EZ93" s="925">
        <f>+(EZ31+EZ37)/(EZ54)</f>
      </c>
      <c r="FA93" s="2167">
        <f>+(FA31+FA37)/(FA54)</f>
      </c>
      <c r="FB93" s="927">
        <f t="shared" ref="FB93" si="400">+(FB31+FB37)/(FB54)</f>
      </c>
      <c r="FC93" s="927">
        <f ca="1">+(FC31+FC37)/(FC54)</f>
      </c>
      <c r="FD93" s="927">
        <f ca="1">+(FD31+FD37)/(FD54)</f>
      </c>
      <c r="FE93" s="927">
        <f ca="1">+(FE31+FE37)/(FE54)</f>
      </c>
      <c r="FF93" s="927">
        <f ca="1">+(FF31+FF37)/(FF54)</f>
      </c>
      <c r="FG93" s="927">
        <f ca="1">+(FG31+FG37)/(FG54)</f>
      </c>
    </row>
    <row r="94" spans="1:165" outlineLevel="1">
      <c r="A94" s="1"/>
      <c r="B94" s="108"/>
      <c r="C94" s="72"/>
      <c r="D94" s="72"/>
      <c r="E94" s="72"/>
      <c r="F94" s="72"/>
      <c r="G94" s="72"/>
      <c r="H94" s="72"/>
      <c r="I94" s="72"/>
      <c r="J94" s="72"/>
      <c r="K94" s="72"/>
      <c r="L94" s="72"/>
      <c r="M94" s="72"/>
      <c r="N94" s="68"/>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539"/>
      <c r="BV94" s="1"/>
      <c r="BW94" s="1"/>
      <c r="BX94" s="1"/>
      <c r="BY94" s="1"/>
      <c r="BZ94" s="539"/>
      <c r="CA94" s="1"/>
      <c r="CB94" s="1"/>
      <c r="CC94" s="1"/>
      <c r="CD94" s="1"/>
      <c r="CE94" s="539"/>
      <c r="CF94" s="1"/>
      <c r="CG94" s="1"/>
      <c r="CH94" s="1"/>
      <c r="CI94" s="1"/>
      <c r="CJ94" s="539"/>
      <c r="CK94" s="1"/>
      <c r="CL94" s="1"/>
      <c r="CM94" s="1"/>
      <c r="CN94" s="1"/>
      <c r="CO94" s="539"/>
      <c r="CP94" s="1"/>
      <c r="CQ94" s="1"/>
      <c r="CR94" s="1"/>
      <c r="CS94" s="1"/>
      <c r="CT94" s="539"/>
      <c r="CU94" s="1"/>
      <c r="CV94" s="1"/>
      <c r="CW94" s="1"/>
      <c r="CX94" s="1"/>
      <c r="CY94" s="539"/>
      <c r="CZ94" s="1"/>
      <c r="DA94" s="1"/>
      <c r="DB94" s="1"/>
      <c r="DC94" s="1"/>
      <c r="DD94" s="539"/>
      <c r="DE94" s="1"/>
      <c r="DF94" s="1"/>
      <c r="DG94" s="1"/>
      <c r="DH94" s="1"/>
      <c r="DI94" s="539"/>
      <c r="DJ94" s="1"/>
      <c r="DK94" s="1"/>
      <c r="DL94" s="1"/>
      <c r="DM94" s="1"/>
      <c r="DN94" s="539"/>
      <c r="DO94" s="946"/>
      <c r="DP94" s="946"/>
      <c r="DQ94" s="946"/>
      <c r="DR94" s="1"/>
      <c r="DS94" s="539"/>
      <c r="DT94" s="946"/>
      <c r="DU94" s="946"/>
      <c r="DV94" s="946"/>
      <c r="DW94" s="946"/>
      <c r="DX94" s="1114"/>
      <c r="DY94" s="946"/>
      <c r="DZ94" s="946"/>
      <c r="EA94" s="946"/>
      <c r="EB94" s="946"/>
      <c r="EC94" s="2724"/>
      <c r="ED94" s="946"/>
      <c r="EE94" s="946"/>
      <c r="EF94" s="946"/>
      <c r="EG94" s="946"/>
      <c r="EH94" s="2724"/>
      <c r="EI94" s="946"/>
      <c r="EJ94" s="946"/>
      <c r="EK94" s="946"/>
      <c r="EL94" s="946"/>
      <c r="EM94" s="2513"/>
      <c r="EN94" s="971"/>
      <c r="EO94" s="946"/>
      <c r="EP94" s="946"/>
      <c r="EQ94" s="1253"/>
      <c r="ER94" s="1098"/>
      <c r="ES94" s="971"/>
      <c r="ET94" s="946"/>
      <c r="EU94" s="946"/>
      <c r="EV94" s="1253"/>
      <c r="EW94" s="1098"/>
      <c r="EX94" s="946"/>
      <c r="EY94" s="946"/>
      <c r="EZ94" s="946"/>
      <c r="FA94" s="1253"/>
      <c r="FB94" s="1098"/>
      <c r="FC94" s="1098"/>
      <c r="FD94" s="1098"/>
      <c r="FE94" s="1098"/>
      <c r="FF94" s="1098"/>
      <c r="FG94" s="1098"/>
    </row>
    <row r="95" spans="1:165" outlineLevel="1">
      <c r="A95" s="1"/>
      <c r="B95" s="140" t="s">
        <v>30</v>
      </c>
      <c r="C95" s="10">
        <f t="shared" ref="C95:U95" si="401">+C37+C31</f>
      </c>
      <c r="D95" s="10">
        <f t="shared" si="401"/>
      </c>
      <c r="E95" s="10">
        <f t="shared" si="401"/>
      </c>
      <c r="F95" s="10">
        <f t="shared" si="401"/>
      </c>
      <c r="G95" s="10">
        <f t="shared" si="401"/>
      </c>
      <c r="H95" s="10">
        <f t="shared" si="401"/>
      </c>
      <c r="I95" s="10">
        <f t="shared" si="401"/>
      </c>
      <c r="J95" s="10">
        <f t="shared" si="401"/>
      </c>
      <c r="K95" s="10">
        <f t="shared" si="401"/>
      </c>
      <c r="L95" s="10">
        <f t="shared" si="401"/>
      </c>
      <c r="M95" s="10">
        <f t="shared" si="401"/>
      </c>
      <c r="N95" s="10">
        <f t="shared" si="401"/>
      </c>
      <c r="O95" s="10">
        <f t="shared" si="401"/>
      </c>
      <c r="P95" s="10">
        <f t="shared" si="401"/>
      </c>
      <c r="Q95" s="10">
        <f t="shared" si="401"/>
      </c>
      <c r="R95" s="10">
        <f t="shared" si="401"/>
      </c>
      <c r="S95" s="10">
        <f t="shared" si="401"/>
      </c>
      <c r="T95" s="10">
        <f t="shared" si="401"/>
      </c>
      <c r="U95" s="10">
        <f t="shared" si="401"/>
      </c>
      <c r="V95" s="10">
        <f t="shared" ref="V95:BA95" si="402">+V37+V31</f>
      </c>
      <c r="W95" s="10">
        <f t="shared" si="402"/>
      </c>
      <c r="X95" s="10">
        <f t="shared" si="402"/>
      </c>
      <c r="Y95" s="10">
        <f t="shared" si="402"/>
      </c>
      <c r="Z95" s="10">
        <f t="shared" si="402"/>
      </c>
      <c r="AA95" s="10">
        <f t="shared" si="402"/>
      </c>
      <c r="AB95" s="10">
        <f t="shared" si="402"/>
      </c>
      <c r="AC95" s="10">
        <f t="shared" si="402"/>
      </c>
      <c r="AD95" s="10">
        <f t="shared" si="402"/>
      </c>
      <c r="AE95" s="10">
        <f t="shared" si="402"/>
      </c>
      <c r="AF95" s="10">
        <f t="shared" si="402"/>
      </c>
      <c r="AG95" s="10">
        <f t="shared" si="402"/>
      </c>
      <c r="AH95" s="10">
        <f t="shared" si="402"/>
      </c>
      <c r="AI95" s="10">
        <f t="shared" si="402"/>
      </c>
      <c r="AJ95" s="10">
        <f t="shared" si="402"/>
      </c>
      <c r="AK95" s="10">
        <f t="shared" si="402"/>
      </c>
      <c r="AL95" s="10">
        <f t="shared" si="402"/>
      </c>
      <c r="AM95" s="10">
        <f t="shared" si="402"/>
      </c>
      <c r="AN95" s="10">
        <f t="shared" si="402"/>
      </c>
      <c r="AO95" s="10">
        <f t="shared" si="402"/>
      </c>
      <c r="AP95" s="10">
        <f t="shared" si="402"/>
      </c>
      <c r="AQ95" s="10">
        <f t="shared" si="402"/>
      </c>
      <c r="AR95" s="10">
        <f t="shared" si="402"/>
      </c>
      <c r="AS95" s="10">
        <f t="shared" si="402"/>
      </c>
      <c r="AT95" s="10">
        <f t="shared" si="402"/>
      </c>
      <c r="AU95" s="10">
        <f t="shared" si="402"/>
      </c>
      <c r="AV95" s="10">
        <f t="shared" si="402"/>
      </c>
      <c r="AW95" s="10">
        <f t="shared" si="402"/>
      </c>
      <c r="AX95" s="10">
        <f t="shared" si="402"/>
      </c>
      <c r="AY95" s="10">
        <f t="shared" si="402"/>
      </c>
      <c r="AZ95" s="10">
        <f t="shared" si="402"/>
      </c>
      <c r="BA95" s="10">
        <f t="shared" si="402"/>
      </c>
      <c r="BB95" s="10">
        <f t="shared" ref="BB95:CO95" si="403">+BB37+BB31</f>
      </c>
      <c r="BC95" s="10">
        <f t="shared" si="403"/>
      </c>
      <c r="BD95" s="10">
        <f t="shared" si="403"/>
      </c>
      <c r="BE95" s="10">
        <f t="shared" si="403"/>
      </c>
      <c r="BF95" s="10">
        <f t="shared" si="403"/>
      </c>
      <c r="BG95" s="10">
        <f t="shared" si="403"/>
      </c>
      <c r="BH95" s="10">
        <f t="shared" si="403"/>
      </c>
      <c r="BI95" s="10">
        <f t="shared" si="403"/>
      </c>
      <c r="BJ95" s="10">
        <f t="shared" si="403"/>
      </c>
      <c r="BK95" s="10">
        <f t="shared" si="403"/>
      </c>
      <c r="BL95" s="10">
        <f t="shared" si="403"/>
      </c>
      <c r="BM95" s="10">
        <f t="shared" si="403"/>
      </c>
      <c r="BN95" s="10">
        <f t="shared" si="403"/>
      </c>
      <c r="BO95" s="10">
        <f t="shared" si="403"/>
      </c>
      <c r="BP95" s="10">
        <f t="shared" si="403"/>
      </c>
      <c r="BQ95" s="10">
        <f t="shared" si="403"/>
      </c>
      <c r="BR95" s="10">
        <f t="shared" si="403"/>
      </c>
      <c r="BS95" s="10">
        <f t="shared" si="403"/>
      </c>
      <c r="BT95" s="10">
        <f t="shared" si="403"/>
      </c>
      <c r="BU95" s="67">
        <f t="shared" si="403"/>
      </c>
      <c r="BV95" s="10">
        <f>+BV37+BV31</f>
      </c>
      <c r="BW95" s="10">
        <f>+BW37+BW31</f>
      </c>
      <c r="BX95" s="10">
        <f t="shared" si="403"/>
      </c>
      <c r="BY95" s="10">
        <f t="shared" si="403"/>
      </c>
      <c r="BZ95" s="67">
        <f t="shared" si="403"/>
      </c>
      <c r="CA95" s="10">
        <f t="shared" si="403"/>
      </c>
      <c r="CB95" s="10">
        <f t="shared" si="403"/>
      </c>
      <c r="CC95" s="10">
        <f>+CC37+CC31</f>
      </c>
      <c r="CD95" s="10">
        <f>+CD37+CD31</f>
      </c>
      <c r="CE95" s="67">
        <f t="shared" si="403"/>
      </c>
      <c r="CF95" s="10">
        <f t="shared" si="403"/>
      </c>
      <c r="CG95" s="10">
        <f>+CG37+CG31</f>
      </c>
      <c r="CH95" s="10">
        <f>+CH37+CH31</f>
      </c>
      <c r="CI95" s="10">
        <f>+CI37+CI31</f>
      </c>
      <c r="CJ95" s="67">
        <f t="shared" si="403"/>
      </c>
      <c r="CK95" s="10">
        <f>+CK37+CK31</f>
      </c>
      <c r="CL95" s="10">
        <f>+CL37+CL31</f>
      </c>
      <c r="CM95" s="10">
        <f>+CM37+CM31</f>
      </c>
      <c r="CN95" s="10">
        <f>+CN37+CN31</f>
      </c>
      <c r="CO95" s="67">
        <f t="shared" si="403"/>
      </c>
      <c r="CP95" s="10">
        <f t="shared" ref="CP95:CW95" si="404">+CP37+CP31</f>
      </c>
      <c r="CQ95" s="10">
        <f t="shared" si="404"/>
      </c>
      <c r="CR95" s="10">
        <f t="shared" si="404"/>
      </c>
      <c r="CS95" s="10">
        <f t="shared" si="404"/>
      </c>
      <c r="CT95" s="67">
        <f t="shared" si="404"/>
      </c>
      <c r="CU95" s="10">
        <f t="shared" si="404"/>
      </c>
      <c r="CV95" s="10">
        <f t="shared" si="404"/>
      </c>
      <c r="CW95" s="10">
        <f t="shared" si="404"/>
      </c>
      <c r="CX95" s="10">
        <f t="shared" ref="CX95:ER95" si="405">+CX37+CX31</f>
      </c>
      <c r="CY95" s="67">
        <f t="shared" si="405"/>
      </c>
      <c r="CZ95" s="10">
        <f t="shared" si="405"/>
      </c>
      <c r="DA95" s="10">
        <f t="shared" si="405"/>
      </c>
      <c r="DB95" s="10">
        <f t="shared" si="405"/>
      </c>
      <c r="DC95" s="10">
        <f t="shared" si="405"/>
      </c>
      <c r="DD95" s="67">
        <f t="shared" si="405"/>
      </c>
      <c r="DE95" s="10">
        <f t="shared" si="405"/>
      </c>
      <c r="DF95" s="10">
        <f t="shared" si="405"/>
      </c>
      <c r="DG95" s="10">
        <f t="shared" si="405"/>
      </c>
      <c r="DH95" s="10">
        <f t="shared" si="405"/>
      </c>
      <c r="DI95" s="67">
        <f t="shared" si="405"/>
      </c>
      <c r="DJ95" s="10">
        <f t="shared" si="405"/>
      </c>
      <c r="DK95" s="10">
        <f t="shared" si="405"/>
      </c>
      <c r="DL95" s="10">
        <f t="shared" si="405"/>
      </c>
      <c r="DM95" s="10">
        <f t="shared" si="405"/>
      </c>
      <c r="DN95" s="67">
        <f t="shared" si="405"/>
      </c>
      <c r="DO95" s="948">
        <f t="shared" si="405"/>
      </c>
      <c r="DP95" s="948">
        <f t="shared" si="405"/>
      </c>
      <c r="DQ95" s="948">
        <f t="shared" si="405"/>
      </c>
      <c r="DR95" s="10">
        <f t="shared" si="405"/>
      </c>
      <c r="DS95" s="67">
        <f t="shared" si="405"/>
      </c>
      <c r="DT95" s="948">
        <f t="shared" si="405"/>
      </c>
      <c r="DU95" s="948">
        <f t="shared" si="405"/>
      </c>
      <c r="DV95" s="948">
        <f t="shared" si="405"/>
      </c>
      <c r="DW95" s="948">
        <f t="shared" si="405"/>
      </c>
      <c r="DX95" s="1111">
        <f t="shared" si="405"/>
      </c>
      <c r="DY95" s="948">
        <f t="shared" si="405"/>
      </c>
      <c r="DZ95" s="948">
        <f t="shared" si="405"/>
      </c>
      <c r="EA95" s="948">
        <f t="shared" si="405"/>
      </c>
      <c r="EB95" s="948">
        <f t="shared" si="405"/>
      </c>
      <c r="EC95" s="1505">
        <f t="shared" si="405"/>
      </c>
      <c r="ED95" s="948">
        <f t="shared" si="405"/>
      </c>
      <c r="EE95" s="948">
        <f t="shared" si="405"/>
      </c>
      <c r="EF95" s="948">
        <f t="shared" si="405"/>
      </c>
      <c r="EG95" s="948">
        <f t="shared" si="405"/>
      </c>
      <c r="EH95" s="1505">
        <f t="shared" si="405"/>
      </c>
      <c r="EI95" s="948">
        <f t="shared" si="405"/>
      </c>
      <c r="EJ95" s="948">
        <f>+EJ37+EJ31</f>
      </c>
      <c r="EK95" s="948">
        <f t="shared" si="405"/>
      </c>
      <c r="EL95" s="948">
        <f>+EL37+EL31</f>
      </c>
      <c r="EM95" s="2089">
        <f>+EM37+EM31</f>
      </c>
      <c r="EN95" s="2100">
        <f>+EN37+EN31</f>
      </c>
      <c r="EO95" s="948">
        <f t="shared" si="405"/>
      </c>
      <c r="EP95" s="948">
        <f t="shared" si="405"/>
      </c>
      <c r="EQ95" s="1251">
        <f t="shared" si="405"/>
      </c>
      <c r="ER95" s="1291">
        <f t="shared" si="405"/>
      </c>
      <c r="ES95" s="2100">
        <f>+ES37+ES31</f>
      </c>
      <c r="ET95" s="948">
        <f t="shared" ref="ET95:EW95" si="406">+ET37+ET31</f>
      </c>
      <c r="EU95" s="948">
        <f t="shared" si="406"/>
      </c>
      <c r="EV95" s="1251">
        <f t="shared" si="406"/>
      </c>
      <c r="EW95" s="1291">
        <f t="shared" si="406"/>
      </c>
      <c r="EX95" s="948">
        <f t="shared" ref="EX95:FA95" si="407">+EX37+EX31</f>
      </c>
      <c r="EY95" s="948">
        <f t="shared" si="407"/>
      </c>
      <c r="EZ95" s="948">
        <f t="shared" si="407"/>
      </c>
      <c r="FA95" s="1251">
        <f t="shared" si="407"/>
      </c>
      <c r="FB95" s="1291">
        <f t="shared" ref="FB95" si="408">+FB37+FB31</f>
      </c>
      <c r="FC95" s="1291">
        <f>+FC37+FC31</f>
      </c>
      <c r="FD95" s="1291">
        <f>+FD37+FD31</f>
      </c>
      <c r="FE95" s="1291">
        <f>+FE37+FE31</f>
      </c>
      <c r="FF95" s="1291">
        <f>+FF37+FF31</f>
      </c>
      <c r="FG95" s="1291">
        <f>+FG37+FG31</f>
      </c>
    </row>
    <row r="96" spans="1:165" outlineLevel="1">
      <c r="A96" s="1"/>
      <c r="B96" s="140" t="s">
        <v>123</v>
      </c>
      <c r="C96" s="10">
        <f t="shared" ref="C96:U96" si="409">+C95-SUM(C14,C15)</f>
      </c>
      <c r="D96" s="10">
        <f t="shared" si="409"/>
      </c>
      <c r="E96" s="10">
        <f t="shared" si="409"/>
      </c>
      <c r="F96" s="10">
        <f t="shared" si="409"/>
      </c>
      <c r="G96" s="10">
        <f t="shared" si="409"/>
      </c>
      <c r="H96" s="10">
        <f t="shared" si="409"/>
      </c>
      <c r="I96" s="10">
        <f t="shared" si="409"/>
      </c>
      <c r="J96" s="10">
        <f t="shared" si="409"/>
      </c>
      <c r="K96" s="10">
        <f t="shared" si="409"/>
      </c>
      <c r="L96" s="10">
        <f t="shared" si="409"/>
      </c>
      <c r="M96" s="10">
        <f t="shared" si="409"/>
      </c>
      <c r="N96" s="10">
        <f t="shared" si="409"/>
      </c>
      <c r="O96" s="10">
        <f t="shared" si="409"/>
      </c>
      <c r="P96" s="10">
        <f t="shared" si="409"/>
      </c>
      <c r="Q96" s="10">
        <f t="shared" si="409"/>
      </c>
      <c r="R96" s="10">
        <f t="shared" si="409"/>
      </c>
      <c r="S96" s="10">
        <f t="shared" si="409"/>
      </c>
      <c r="T96" s="10">
        <f t="shared" si="409"/>
      </c>
      <c r="U96" s="10">
        <f t="shared" si="409"/>
      </c>
      <c r="V96" s="10">
        <f t="shared" ref="V96:BA96" si="410">+V95-SUM(V14,V15)</f>
      </c>
      <c r="W96" s="10">
        <f t="shared" si="410"/>
      </c>
      <c r="X96" s="10">
        <f t="shared" si="410"/>
      </c>
      <c r="Y96" s="10">
        <f t="shared" si="410"/>
      </c>
      <c r="Z96" s="10">
        <f t="shared" si="410"/>
      </c>
      <c r="AA96" s="10">
        <f t="shared" si="410"/>
      </c>
      <c r="AB96" s="10">
        <f t="shared" si="410"/>
      </c>
      <c r="AC96" s="10">
        <f t="shared" si="410"/>
      </c>
      <c r="AD96" s="10">
        <f t="shared" si="410"/>
      </c>
      <c r="AE96" s="10">
        <f t="shared" si="410"/>
      </c>
      <c r="AF96" s="10">
        <f t="shared" si="410"/>
      </c>
      <c r="AG96" s="10">
        <f t="shared" si="410"/>
      </c>
      <c r="AH96" s="10">
        <f t="shared" si="410"/>
      </c>
      <c r="AI96" s="10">
        <f t="shared" si="410"/>
      </c>
      <c r="AJ96" s="10">
        <f t="shared" si="410"/>
      </c>
      <c r="AK96" s="10">
        <f t="shared" si="410"/>
      </c>
      <c r="AL96" s="10">
        <f t="shared" si="410"/>
      </c>
      <c r="AM96" s="10">
        <f t="shared" si="410"/>
      </c>
      <c r="AN96" s="10">
        <f t="shared" si="410"/>
      </c>
      <c r="AO96" s="10">
        <f t="shared" si="410"/>
      </c>
      <c r="AP96" s="10">
        <f t="shared" si="410"/>
      </c>
      <c r="AQ96" s="10">
        <f t="shared" si="410"/>
      </c>
      <c r="AR96" s="10">
        <f t="shared" si="410"/>
      </c>
      <c r="AS96" s="10">
        <f t="shared" si="410"/>
      </c>
      <c r="AT96" s="10">
        <f t="shared" si="410"/>
      </c>
      <c r="AU96" s="10">
        <f t="shared" si="410"/>
      </c>
      <c r="AV96" s="10">
        <f t="shared" si="410"/>
      </c>
      <c r="AW96" s="10">
        <f t="shared" si="410"/>
      </c>
      <c r="AX96" s="10">
        <f t="shared" si="410"/>
      </c>
      <c r="AY96" s="10">
        <f t="shared" si="410"/>
      </c>
      <c r="AZ96" s="10">
        <f t="shared" si="410"/>
      </c>
      <c r="BA96" s="10">
        <f t="shared" si="410"/>
      </c>
      <c r="BB96" s="10">
        <f t="shared" ref="BB96:CO96" si="411">+BB95-SUM(BB14,BB15)</f>
      </c>
      <c r="BC96" s="10">
        <f t="shared" si="411"/>
      </c>
      <c r="BD96" s="10">
        <f t="shared" si="411"/>
      </c>
      <c r="BE96" s="10">
        <f t="shared" si="411"/>
      </c>
      <c r="BF96" s="10">
        <f t="shared" si="411"/>
      </c>
      <c r="BG96" s="10">
        <f t="shared" si="411"/>
      </c>
      <c r="BH96" s="10">
        <f t="shared" si="411"/>
      </c>
      <c r="BI96" s="10">
        <f t="shared" si="411"/>
      </c>
      <c r="BJ96" s="10">
        <f t="shared" si="411"/>
      </c>
      <c r="BK96" s="10">
        <f t="shared" si="411"/>
      </c>
      <c r="BL96" s="10">
        <f t="shared" si="411"/>
      </c>
      <c r="BM96" s="10">
        <f t="shared" si="411"/>
      </c>
      <c r="BN96" s="10">
        <f t="shared" si="411"/>
      </c>
      <c r="BO96" s="10">
        <f t="shared" si="411"/>
      </c>
      <c r="BP96" s="10">
        <f t="shared" si="411"/>
      </c>
      <c r="BQ96" s="10">
        <f t="shared" si="411"/>
      </c>
      <c r="BR96" s="10">
        <f t="shared" si="411"/>
      </c>
      <c r="BS96" s="10">
        <f t="shared" si="411"/>
      </c>
      <c r="BT96" s="10">
        <f t="shared" si="411"/>
      </c>
      <c r="BU96" s="67">
        <f t="shared" si="411"/>
      </c>
      <c r="BV96" s="10">
        <f>+BV95-SUM(BV14,BV15)</f>
      </c>
      <c r="BW96" s="10">
        <f>+BW95-SUM(BW14,BW15)</f>
      </c>
      <c r="BX96" s="10">
        <f t="shared" si="411"/>
      </c>
      <c r="BY96" s="10">
        <f t="shared" si="411"/>
      </c>
      <c r="BZ96" s="67">
        <f t="shared" si="411"/>
      </c>
      <c r="CA96" s="10">
        <f t="shared" si="411"/>
      </c>
      <c r="CB96" s="10">
        <f>+CB95-SUM(CB14,CB15)</f>
      </c>
      <c r="CC96" s="10">
        <f>+CC95-SUM(CC14,CC15)</f>
      </c>
      <c r="CD96" s="10">
        <f>+CD95-SUM(CD14,CD15)</f>
      </c>
      <c r="CE96" s="67">
        <f t="shared" si="411"/>
      </c>
      <c r="CF96" s="10">
        <f>+CF95-SUM(CF14,CF15)</f>
      </c>
      <c r="CG96" s="10">
        <f>+CG95-SUM(CG14,CG15)</f>
      </c>
      <c r="CH96" s="10">
        <f>+CH95-SUM(CH14,CH15)</f>
      </c>
      <c r="CI96" s="10">
        <f>+CI95-SUM(CI14,CI15)</f>
      </c>
      <c r="CJ96" s="67">
        <f t="shared" si="411"/>
      </c>
      <c r="CK96" s="10">
        <f>+CK95-SUM(CK14,CK15)</f>
      </c>
      <c r="CL96" s="10">
        <f>+CL95-SUM(CL14,CL15)</f>
      </c>
      <c r="CM96" s="10">
        <f>+CM95-SUM(CM14,CM15)</f>
      </c>
      <c r="CN96" s="10">
        <f>+CN95-SUM(CN14,CN15)</f>
      </c>
      <c r="CO96" s="67">
        <f t="shared" si="411"/>
      </c>
      <c r="CP96" s="10">
        <f t="shared" ref="CP96:CW96" si="412">+CP95-SUM(CP14,CP15)</f>
      </c>
      <c r="CQ96" s="10">
        <f t="shared" si="412"/>
      </c>
      <c r="CR96" s="10">
        <f t="shared" si="412"/>
      </c>
      <c r="CS96" s="10">
        <f t="shared" si="412"/>
      </c>
      <c r="CT96" s="67">
        <f t="shared" si="412"/>
      </c>
      <c r="CU96" s="10">
        <f t="shared" si="412"/>
      </c>
      <c r="CV96" s="10">
        <f t="shared" si="412"/>
      </c>
      <c r="CW96" s="10">
        <f t="shared" si="412"/>
      </c>
      <c r="CX96" s="10">
        <f t="shared" ref="CX96:ER96" si="413">+CX95-SUM(CX14,CX15)</f>
      </c>
      <c r="CY96" s="67">
        <f t="shared" si="413"/>
      </c>
      <c r="CZ96" s="10">
        <f t="shared" si="413"/>
      </c>
      <c r="DA96" s="10">
        <f t="shared" si="413"/>
      </c>
      <c r="DB96" s="10">
        <f t="shared" si="413"/>
      </c>
      <c r="DC96" s="10">
        <f t="shared" si="413"/>
      </c>
      <c r="DD96" s="67">
        <f t="shared" si="413"/>
      </c>
      <c r="DE96" s="10">
        <f t="shared" si="413"/>
      </c>
      <c r="DF96" s="10">
        <f t="shared" si="413"/>
      </c>
      <c r="DG96" s="10">
        <f t="shared" si="413"/>
      </c>
      <c r="DH96" s="10">
        <f t="shared" si="413"/>
      </c>
      <c r="DI96" s="67">
        <f t="shared" si="413"/>
      </c>
      <c r="DJ96" s="10">
        <f t="shared" si="413"/>
      </c>
      <c r="DK96" s="10">
        <f t="shared" si="413"/>
      </c>
      <c r="DL96" s="10">
        <f t="shared" si="413"/>
      </c>
      <c r="DM96" s="10">
        <f t="shared" si="413"/>
      </c>
      <c r="DN96" s="67">
        <f t="shared" si="413"/>
      </c>
      <c r="DO96" s="948">
        <f t="shared" si="413"/>
      </c>
      <c r="DP96" s="948">
        <f t="shared" si="413"/>
      </c>
      <c r="DQ96" s="948">
        <f t="shared" si="413"/>
      </c>
      <c r="DR96" s="10">
        <f t="shared" si="413"/>
      </c>
      <c r="DS96" s="67">
        <f t="shared" si="413"/>
      </c>
      <c r="DT96" s="948">
        <f t="shared" si="413"/>
      </c>
      <c r="DU96" s="948">
        <f t="shared" si="413"/>
      </c>
      <c r="DV96" s="948">
        <f t="shared" si="413"/>
      </c>
      <c r="DW96" s="948">
        <f t="shared" si="413"/>
      </c>
      <c r="DX96" s="1111">
        <f t="shared" si="413"/>
      </c>
      <c r="DY96" s="948">
        <f t="shared" si="413"/>
      </c>
      <c r="DZ96" s="948">
        <f t="shared" si="413"/>
      </c>
      <c r="EA96" s="948">
        <f t="shared" si="413"/>
      </c>
      <c r="EB96" s="948">
        <f t="shared" si="413"/>
      </c>
      <c r="EC96" s="1505">
        <f t="shared" si="413"/>
      </c>
      <c r="ED96" s="948">
        <f t="shared" si="413"/>
      </c>
      <c r="EE96" s="948">
        <f t="shared" si="413"/>
      </c>
      <c r="EF96" s="948">
        <f t="shared" si="413"/>
      </c>
      <c r="EG96" s="948">
        <f t="shared" si="413"/>
      </c>
      <c r="EH96" s="1505">
        <f t="shared" si="413"/>
      </c>
      <c r="EI96" s="948">
        <f t="shared" si="413"/>
      </c>
      <c r="EJ96" s="948">
        <f>+EJ95-SUM(EJ14,EJ15)</f>
      </c>
      <c r="EK96" s="948">
        <f t="shared" si="413"/>
      </c>
      <c r="EL96" s="948">
        <f>+EL95-SUM(EL14,EL15)</f>
      </c>
      <c r="EM96" s="2089">
        <f>+EM95-SUM(EM14,EM15)</f>
      </c>
      <c r="EN96" s="2100">
        <f>+EN95-SUM(EN14,EN15)</f>
      </c>
      <c r="EO96" s="948">
        <f t="shared" si="413"/>
      </c>
      <c r="EP96" s="948">
        <f t="shared" si="413"/>
      </c>
      <c r="EQ96" s="1251">
        <f t="shared" si="413"/>
      </c>
      <c r="ER96" s="1291">
        <f t="shared" si="413"/>
      </c>
      <c r="ES96" s="2100">
        <f>+ES95-SUM(ES14,ES15)</f>
      </c>
      <c r="ET96" s="948">
        <f t="shared" ref="ET96:EW96" si="414">+ET95-SUM(ET14,ET15)</f>
      </c>
      <c r="EU96" s="948">
        <f t="shared" si="414"/>
      </c>
      <c r="EV96" s="1251">
        <f t="shared" si="414"/>
      </c>
      <c r="EW96" s="1291">
        <f t="shared" si="414"/>
      </c>
      <c r="EX96" s="948">
        <f>+EX95-SUM(EX14,EX15)</f>
      </c>
      <c r="EY96" s="948">
        <f t="shared" ref="EY96" si="415">+EY95-SUM(EY14,EY15)</f>
      </c>
      <c r="EZ96" s="948">
        <f>+EZ95-SUM(EZ14,EZ15)</f>
      </c>
      <c r="FA96" s="1251">
        <f>+FA95-SUM(FA14,FA15)</f>
      </c>
      <c r="FB96" s="1291">
        <f t="shared" ref="FB96" si="416">+FB95-SUM(FB14,FB15)</f>
      </c>
      <c r="FC96" s="1291">
        <f ca="1">+FC95-SUM(FC14,FC15)</f>
      </c>
      <c r="FD96" s="1291">
        <f ca="1">+FD95-SUM(FD14,FD15)</f>
      </c>
      <c r="FE96" s="1291">
        <f ca="1">+FE95-SUM(FE14,FE15)</f>
      </c>
      <c r="FF96" s="1291">
        <f ca="1">+FF95-SUM(FF14,FF15)</f>
      </c>
      <c r="FG96" s="1291">
        <f ca="1">+FG95-SUM(FG14,FG15)</f>
      </c>
    </row>
    <row r="97" spans="1:165" outlineLevel="1">
      <c r="A97" s="1"/>
      <c r="B97" s="141" t="s">
        <v>308</v>
      </c>
      <c r="C97" s="10">
        <f t="shared" ref="C97:U97" si="417">+C16+C17+C18+C19-C32-C33-C34-C35</f>
      </c>
      <c r="D97" s="10">
        <f t="shared" si="417"/>
      </c>
      <c r="E97" s="10">
        <f t="shared" si="417"/>
      </c>
      <c r="F97" s="10">
        <f t="shared" si="417"/>
      </c>
      <c r="G97" s="10">
        <f t="shared" si="417"/>
      </c>
      <c r="H97" s="10">
        <f t="shared" si="417"/>
      </c>
      <c r="I97" s="10">
        <f t="shared" si="417"/>
      </c>
      <c r="J97" s="10">
        <f t="shared" si="417"/>
      </c>
      <c r="K97" s="10">
        <f t="shared" si="417"/>
      </c>
      <c r="L97" s="10">
        <f t="shared" si="417"/>
      </c>
      <c r="M97" s="10">
        <f t="shared" si="417"/>
      </c>
      <c r="N97" s="10">
        <f t="shared" si="417"/>
      </c>
      <c r="O97" s="10">
        <f t="shared" si="417"/>
      </c>
      <c r="P97" s="10">
        <f t="shared" si="417"/>
      </c>
      <c r="Q97" s="10">
        <f t="shared" si="417"/>
      </c>
      <c r="R97" s="10">
        <f t="shared" si="417"/>
      </c>
      <c r="S97" s="10">
        <f t="shared" si="417"/>
      </c>
      <c r="T97" s="10">
        <f t="shared" si="417"/>
      </c>
      <c r="U97" s="10">
        <f t="shared" si="417"/>
      </c>
      <c r="V97" s="10">
        <f>+V16+V17+V18+V19-V32-V33-V34-V35</f>
      </c>
      <c r="W97" s="10">
        <f t="shared" ref="W97:CO97" si="418">+W16+W17+W18+W19-W32-W33-W34-W35</f>
      </c>
      <c r="X97" s="10">
        <f t="shared" si="418"/>
      </c>
      <c r="Y97" s="10">
        <f t="shared" si="418"/>
      </c>
      <c r="Z97" s="10">
        <f t="shared" si="418"/>
      </c>
      <c r="AA97" s="10">
        <f t="shared" si="418"/>
      </c>
      <c r="AB97" s="10">
        <f t="shared" si="418"/>
      </c>
      <c r="AC97" s="10">
        <f t="shared" si="418"/>
      </c>
      <c r="AD97" s="10">
        <f t="shared" si="418"/>
      </c>
      <c r="AE97" s="10">
        <f t="shared" si="418"/>
      </c>
      <c r="AF97" s="10">
        <f t="shared" si="418"/>
      </c>
      <c r="AG97" s="10">
        <f t="shared" si="418"/>
      </c>
      <c r="AH97" s="10">
        <f t="shared" si="418"/>
      </c>
      <c r="AI97" s="10">
        <f t="shared" si="418"/>
      </c>
      <c r="AJ97" s="10">
        <f t="shared" si="418"/>
      </c>
      <c r="AK97" s="10">
        <f t="shared" si="418"/>
      </c>
      <c r="AL97" s="10">
        <f t="shared" si="418"/>
      </c>
      <c r="AM97" s="10">
        <f t="shared" si="418"/>
      </c>
      <c r="AN97" s="10">
        <f t="shared" si="418"/>
      </c>
      <c r="AO97" s="10">
        <f t="shared" si="418"/>
      </c>
      <c r="AP97" s="10">
        <f t="shared" si="418"/>
      </c>
      <c r="AQ97" s="10">
        <f t="shared" si="418"/>
      </c>
      <c r="AR97" s="10">
        <f t="shared" si="418"/>
      </c>
      <c r="AS97" s="10">
        <f t="shared" si="418"/>
      </c>
      <c r="AT97" s="10">
        <f t="shared" si="418"/>
      </c>
      <c r="AU97" s="10">
        <f t="shared" si="418"/>
      </c>
      <c r="AV97" s="10">
        <f t="shared" si="418"/>
      </c>
      <c r="AW97" s="10">
        <f t="shared" si="418"/>
      </c>
      <c r="AX97" s="10">
        <f t="shared" si="418"/>
      </c>
      <c r="AY97" s="10">
        <f t="shared" si="418"/>
      </c>
      <c r="AZ97" s="10">
        <f t="shared" si="418"/>
      </c>
      <c r="BA97" s="10">
        <f t="shared" si="418"/>
      </c>
      <c r="BB97" s="10">
        <f t="shared" si="418"/>
      </c>
      <c r="BC97" s="10">
        <f t="shared" si="418"/>
      </c>
      <c r="BD97" s="10">
        <f t="shared" si="418"/>
      </c>
      <c r="BE97" s="10">
        <f t="shared" si="418"/>
      </c>
      <c r="BF97" s="10">
        <f t="shared" si="418"/>
      </c>
      <c r="BG97" s="10">
        <f t="shared" si="418"/>
      </c>
      <c r="BH97" s="10">
        <f t="shared" si="418"/>
      </c>
      <c r="BI97" s="10">
        <f t="shared" si="418"/>
      </c>
      <c r="BJ97" s="10">
        <f t="shared" si="418"/>
      </c>
      <c r="BK97" s="10">
        <f t="shared" si="418"/>
      </c>
      <c r="BL97" s="10">
        <f t="shared" si="418"/>
      </c>
      <c r="BM97" s="10">
        <f t="shared" si="418"/>
      </c>
      <c r="BN97" s="10">
        <f t="shared" si="418"/>
      </c>
      <c r="BO97" s="10">
        <f t="shared" si="418"/>
      </c>
      <c r="BP97" s="10">
        <f t="shared" si="418"/>
      </c>
      <c r="BQ97" s="10">
        <f t="shared" si="418"/>
      </c>
      <c r="BR97" s="10">
        <f t="shared" si="418"/>
      </c>
      <c r="BS97" s="10">
        <f t="shared" si="418"/>
      </c>
      <c r="BT97" s="10">
        <f t="shared" si="418"/>
      </c>
      <c r="BU97" s="67">
        <f t="shared" si="418"/>
      </c>
      <c r="BV97" s="10">
        <f>+BV16+BV17+BV18+BV19-BV32-BV33-BV34-BV35</f>
      </c>
      <c r="BW97" s="10">
        <f>+BW16+BW17+BW18+BW19-BW32-BW33-BW34-BW35</f>
      </c>
      <c r="BX97" s="10">
        <f t="shared" si="418"/>
      </c>
      <c r="BY97" s="10">
        <f t="shared" si="418"/>
      </c>
      <c r="BZ97" s="67">
        <f t="shared" si="418"/>
      </c>
      <c r="CA97" s="10">
        <f t="shared" si="418"/>
      </c>
      <c r="CB97" s="10">
        <f t="shared" si="418"/>
      </c>
      <c r="CC97" s="10">
        <f>+CC16+CC17+CC18+CC19-CC32-CC33-CC34-CC35</f>
      </c>
      <c r="CD97" s="10">
        <f>+CD16+CD17+CD18+CD19-CD32-CD33-CD34-CD35</f>
      </c>
      <c r="CE97" s="67">
        <f t="shared" si="418"/>
      </c>
      <c r="CF97" s="10">
        <f t="shared" si="418"/>
      </c>
      <c r="CG97" s="10">
        <f>+CG16+CG17+CG18+CG19-CG32-CG33-CG34-CG35</f>
      </c>
      <c r="CH97" s="10">
        <f>+CH16+CH17+CH18+CH19-CH32-CH33-CH34-CH35</f>
      </c>
      <c r="CI97" s="10">
        <f>+CI16+CI17+CI18+CI19-CI32-CI33-CI34-CI35</f>
      </c>
      <c r="CJ97" s="67">
        <f t="shared" si="418"/>
      </c>
      <c r="CK97" s="10">
        <f>+CK16+CK17+CK18+CK19-CK32-CK33-CK34-CK35</f>
      </c>
      <c r="CL97" s="10">
        <f>+CL16+CL17+CL18+CL19-CL32-CL33-CL34-CL35</f>
      </c>
      <c r="CM97" s="10">
        <f>+CM16+CM17+CM18+CM19-CM32-CM33-CM34-CM35</f>
      </c>
      <c r="CN97" s="10">
        <f>+CN16+CN17+CN18+CN19-CN32-CN33-CN34-CN35</f>
      </c>
      <c r="CO97" s="67">
        <f t="shared" si="418"/>
      </c>
      <c r="CP97" s="10">
        <f t="shared" ref="CP97:CW97" si="419">+CP16+CP17+CP18+CP19-CP32-CP33-CP34-CP35</f>
      </c>
      <c r="CQ97" s="10">
        <f t="shared" si="419"/>
      </c>
      <c r="CR97" s="10">
        <f t="shared" si="419"/>
      </c>
      <c r="CS97" s="10">
        <f t="shared" si="419"/>
      </c>
      <c r="CT97" s="67">
        <f t="shared" si="419"/>
      </c>
      <c r="CU97" s="10">
        <f t="shared" si="419"/>
      </c>
      <c r="CV97" s="10">
        <f t="shared" si="419"/>
      </c>
      <c r="CW97" s="10">
        <f t="shared" si="419"/>
      </c>
      <c r="CX97" s="10">
        <f t="shared" ref="CX97:ER97" si="420">+CX16+CX17+CX18+CX19-CX32-CX33-CX34-CX35</f>
      </c>
      <c r="CY97" s="67">
        <f t="shared" si="420"/>
      </c>
      <c r="CZ97" s="10">
        <f t="shared" si="420"/>
      </c>
      <c r="DA97" s="10">
        <f t="shared" si="420"/>
      </c>
      <c r="DB97" s="10">
        <f t="shared" si="420"/>
      </c>
      <c r="DC97" s="10">
        <f t="shared" si="420"/>
      </c>
      <c r="DD97" s="67">
        <f t="shared" si="420"/>
      </c>
      <c r="DE97" s="10">
        <f t="shared" si="420"/>
      </c>
      <c r="DF97" s="10">
        <f t="shared" si="420"/>
      </c>
      <c r="DG97" s="10">
        <f t="shared" si="420"/>
      </c>
      <c r="DH97" s="10">
        <f t="shared" si="420"/>
      </c>
      <c r="DI97" s="67">
        <f t="shared" si="420"/>
      </c>
      <c r="DJ97" s="10">
        <f t="shared" si="420"/>
      </c>
      <c r="DK97" s="10">
        <f t="shared" si="420"/>
      </c>
      <c r="DL97" s="10">
        <f t="shared" si="420"/>
      </c>
      <c r="DM97" s="10">
        <f t="shared" si="420"/>
      </c>
      <c r="DN97" s="67">
        <f t="shared" si="420"/>
      </c>
      <c r="DO97" s="948">
        <f t="shared" si="420"/>
      </c>
      <c r="DP97" s="948">
        <f t="shared" si="420"/>
      </c>
      <c r="DQ97" s="948">
        <f t="shared" si="420"/>
      </c>
      <c r="DR97" s="10">
        <f t="shared" si="420"/>
      </c>
      <c r="DS97" s="67">
        <f t="shared" si="420"/>
      </c>
      <c r="DT97" s="948">
        <f t="shared" si="420"/>
      </c>
      <c r="DU97" s="948">
        <f t="shared" si="420"/>
      </c>
      <c r="DV97" s="948">
        <f t="shared" si="420"/>
      </c>
      <c r="DW97" s="948">
        <f t="shared" si="420"/>
      </c>
      <c r="DX97" s="1111">
        <f t="shared" si="420"/>
      </c>
      <c r="DY97" s="948">
        <f t="shared" si="420"/>
      </c>
      <c r="DZ97" s="948">
        <f t="shared" si="420"/>
      </c>
      <c r="EA97" s="948">
        <f t="shared" si="420"/>
      </c>
      <c r="EB97" s="948">
        <f t="shared" si="420"/>
      </c>
      <c r="EC97" s="1505">
        <f t="shared" si="420"/>
      </c>
      <c r="ED97" s="948">
        <f t="shared" si="420"/>
      </c>
      <c r="EE97" s="948">
        <f t="shared" si="420"/>
      </c>
      <c r="EF97" s="948">
        <f t="shared" si="420"/>
      </c>
      <c r="EG97" s="948">
        <f t="shared" si="420"/>
      </c>
      <c r="EH97" s="1505">
        <f t="shared" si="420"/>
      </c>
      <c r="EI97" s="948">
        <f t="shared" si="420"/>
      </c>
      <c r="EJ97" s="948">
        <f>+EJ16+EJ17+EJ18+EJ19-EJ32-EJ33-EJ34-EJ35</f>
      </c>
      <c r="EK97" s="948">
        <f t="shared" si="420"/>
      </c>
      <c r="EL97" s="948">
        <f>+EL16+EL17+EL18+EL19-EL32-EL33-EL34-EL35</f>
      </c>
      <c r="EM97" s="2089">
        <f>+EM16+EM17+EM18+EM19-EM32-EM33-EM34-EM35</f>
      </c>
      <c r="EN97" s="2100">
        <f>+EN16+EN17+EN18+EN19-EN32-EN33-EN34-EN35</f>
      </c>
      <c r="EO97" s="948">
        <f t="shared" si="420"/>
      </c>
      <c r="EP97" s="948">
        <f t="shared" si="420"/>
      </c>
      <c r="EQ97" s="1251">
        <f t="shared" si="420"/>
      </c>
      <c r="ER97" s="1291">
        <f t="shared" si="420"/>
      </c>
      <c r="ES97" s="2100">
        <f>+ES16+ES17+ES18+ES19-ES32-ES33-ES34-ES35</f>
      </c>
      <c r="ET97" s="948">
        <f t="shared" ref="ET97:EW97" si="421">+ET16+ET17+ET18+ET19-ET32-ET33-ET34-ET35</f>
      </c>
      <c r="EU97" s="948">
        <f t="shared" si="421"/>
      </c>
      <c r="EV97" s="1251">
        <f t="shared" si="421"/>
      </c>
      <c r="EW97" s="1291">
        <f t="shared" si="421"/>
      </c>
      <c r="EX97" s="948">
        <f>+EX16+EX17+EX18+EX19-EX32-EX33-EX34-EX35</f>
      </c>
      <c r="EY97" s="948">
        <f t="shared" ref="EY97" si="422">+EY16+EY17+EY18+EY19-EY32-EY33-EY34-EY35</f>
      </c>
      <c r="EZ97" s="948">
        <f>+EZ16+EZ17+EZ18+EZ19-EZ32-EZ33-EZ34-EZ35</f>
      </c>
      <c r="FA97" s="1251">
        <f>+FA16+FA17+FA18+FA19-FA32-FA33-FA34-FA35</f>
      </c>
      <c r="FB97" s="1291">
        <f t="shared" ref="FB97" si="423">+FB16+FB17+FB18+FB19-FB32-FB33-FB34-FB35</f>
      </c>
      <c r="FC97" s="1291">
        <f>+FC16+FC17+FC18+FC19-FC32-FC33-FC34-FC35</f>
      </c>
      <c r="FD97" s="1291">
        <f>+FD16+FD17+FD18+FD19-FD32-FD33-FD34-FD35</f>
      </c>
      <c r="FE97" s="1291">
        <f>+FE16+FE17+FE18+FE19-FE32-FE33-FE34-FE35</f>
      </c>
      <c r="FF97" s="1291">
        <f>+FF16+FF17+FF18+FF19-FF32-FF33-FF34-FF35</f>
      </c>
      <c r="FG97" s="1291">
        <f>+FG16+FG17+FG18+FG19-FG32-FG33-FG34-FG35</f>
      </c>
    </row>
    <row r="98" spans="1:165" outlineLevel="1">
      <c r="A98" s="50"/>
      <c r="B98" s="578" t="s">
        <v>309</v>
      </c>
      <c r="C98" s="579">
        <f>+-C96</f>
      </c>
      <c r="D98" s="580">
        <f t="shared" ref="D98:BO98" si="424">+-D96</f>
      </c>
      <c r="E98" s="580">
        <f t="shared" si="424"/>
      </c>
      <c r="F98" s="580">
        <f t="shared" si="424"/>
      </c>
      <c r="G98" s="580">
        <f t="shared" si="424"/>
      </c>
      <c r="H98" s="580">
        <f t="shared" si="424"/>
      </c>
      <c r="I98" s="580">
        <f t="shared" si="424"/>
      </c>
      <c r="J98" s="580">
        <f t="shared" si="424"/>
      </c>
      <c r="K98" s="580">
        <f t="shared" si="424"/>
      </c>
      <c r="L98" s="580">
        <f t="shared" si="424"/>
      </c>
      <c r="M98" s="580">
        <f t="shared" si="424"/>
      </c>
      <c r="N98" s="581">
        <f t="shared" si="424"/>
      </c>
      <c r="O98" s="582">
        <f t="shared" si="424"/>
      </c>
      <c r="P98" s="582">
        <f t="shared" si="424"/>
      </c>
      <c r="Q98" s="582">
        <f t="shared" si="424"/>
      </c>
      <c r="R98" s="582">
        <f t="shared" si="424"/>
      </c>
      <c r="S98" s="582">
        <f t="shared" si="424"/>
      </c>
      <c r="T98" s="582">
        <f t="shared" si="424"/>
      </c>
      <c r="U98" s="582">
        <f t="shared" si="424"/>
      </c>
      <c r="V98" s="582">
        <f t="shared" si="424"/>
      </c>
      <c r="W98" s="582">
        <f t="shared" si="424"/>
      </c>
      <c r="X98" s="582">
        <f t="shared" si="424"/>
      </c>
      <c r="Y98" s="582">
        <f t="shared" si="424"/>
      </c>
      <c r="Z98" s="582">
        <f t="shared" si="424"/>
      </c>
      <c r="AA98" s="582">
        <f t="shared" si="424"/>
      </c>
      <c r="AB98" s="582">
        <f t="shared" si="424"/>
      </c>
      <c r="AC98" s="582">
        <f t="shared" si="424"/>
      </c>
      <c r="AD98" s="582">
        <f t="shared" si="424"/>
      </c>
      <c r="AE98" s="582">
        <f t="shared" si="424"/>
      </c>
      <c r="AF98" s="582">
        <f t="shared" si="424"/>
      </c>
      <c r="AG98" s="582">
        <f t="shared" si="424"/>
      </c>
      <c r="AH98" s="582">
        <f t="shared" si="424"/>
      </c>
      <c r="AI98" s="582">
        <f t="shared" si="424"/>
      </c>
      <c r="AJ98" s="582">
        <f t="shared" si="424"/>
      </c>
      <c r="AK98" s="582">
        <f t="shared" si="424"/>
      </c>
      <c r="AL98" s="582">
        <f t="shared" si="424"/>
      </c>
      <c r="AM98" s="582">
        <f t="shared" si="424"/>
      </c>
      <c r="AN98" s="582">
        <f t="shared" si="424"/>
      </c>
      <c r="AO98" s="582">
        <f t="shared" si="424"/>
      </c>
      <c r="AP98" s="582">
        <f t="shared" si="424"/>
      </c>
      <c r="AQ98" s="582">
        <f t="shared" si="424"/>
      </c>
      <c r="AR98" s="582">
        <f t="shared" si="424"/>
      </c>
      <c r="AS98" s="582">
        <f t="shared" si="424"/>
      </c>
      <c r="AT98" s="582">
        <f t="shared" si="424"/>
      </c>
      <c r="AU98" s="582">
        <f t="shared" si="424"/>
      </c>
      <c r="AV98" s="582">
        <f t="shared" si="424"/>
      </c>
      <c r="AW98" s="582">
        <f t="shared" si="424"/>
      </c>
      <c r="AX98" s="582">
        <f t="shared" si="424"/>
      </c>
      <c r="AY98" s="582">
        <f t="shared" si="424"/>
      </c>
      <c r="AZ98" s="582">
        <f t="shared" si="424"/>
      </c>
      <c r="BA98" s="582">
        <f t="shared" si="424"/>
      </c>
      <c r="BB98" s="582">
        <f t="shared" si="424"/>
      </c>
      <c r="BC98" s="582">
        <f t="shared" si="424"/>
      </c>
      <c r="BD98" s="582">
        <f t="shared" si="424"/>
      </c>
      <c r="BE98" s="582">
        <f t="shared" si="424"/>
      </c>
      <c r="BF98" s="582">
        <f t="shared" si="424"/>
      </c>
      <c r="BG98" s="582">
        <f t="shared" si="424"/>
      </c>
      <c r="BH98" s="582">
        <f t="shared" si="424"/>
      </c>
      <c r="BI98" s="582">
        <f t="shared" si="424"/>
      </c>
      <c r="BJ98" s="582">
        <f t="shared" si="424"/>
      </c>
      <c r="BK98" s="582">
        <f t="shared" si="424"/>
      </c>
      <c r="BL98" s="582">
        <f t="shared" si="424"/>
      </c>
      <c r="BM98" s="582">
        <f t="shared" si="424"/>
      </c>
      <c r="BN98" s="582">
        <f t="shared" si="424"/>
      </c>
      <c r="BO98" s="582">
        <f t="shared" si="424"/>
      </c>
      <c r="BP98" s="582">
        <f t="shared" ref="BP98:DB98" si="425">+-BP96</f>
      </c>
      <c r="BQ98" s="582">
        <f t="shared" si="425"/>
      </c>
      <c r="BR98" s="582">
        <f t="shared" si="425"/>
      </c>
      <c r="BS98" s="582">
        <f t="shared" si="425"/>
      </c>
      <c r="BT98" s="582">
        <f t="shared" si="425"/>
      </c>
      <c r="BU98" s="541">
        <f t="shared" si="425"/>
      </c>
      <c r="BV98" s="582">
        <f t="shared" si="425"/>
      </c>
      <c r="BW98" s="582">
        <f t="shared" si="425"/>
      </c>
      <c r="BX98" s="582">
        <f t="shared" si="425"/>
      </c>
      <c r="BY98" s="582">
        <f t="shared" si="425"/>
      </c>
      <c r="BZ98" s="541">
        <f t="shared" si="425"/>
      </c>
      <c r="CA98" s="582">
        <f t="shared" si="425"/>
      </c>
      <c r="CB98" s="582">
        <f t="shared" si="425"/>
      </c>
      <c r="CC98" s="582">
        <f t="shared" si="425"/>
      </c>
      <c r="CD98" s="582">
        <f t="shared" si="425"/>
      </c>
      <c r="CE98" s="541">
        <f t="shared" si="425"/>
      </c>
      <c r="CF98" s="582">
        <f t="shared" si="425"/>
      </c>
      <c r="CG98" s="582">
        <f t="shared" si="425"/>
      </c>
      <c r="CH98" s="582">
        <f t="shared" si="425"/>
      </c>
      <c r="CI98" s="582">
        <f t="shared" si="425"/>
      </c>
      <c r="CJ98" s="541">
        <f t="shared" si="425"/>
      </c>
      <c r="CK98" s="582">
        <f t="shared" si="425"/>
      </c>
      <c r="CL98" s="583">
        <f t="shared" si="425"/>
      </c>
      <c r="CM98" s="583">
        <f t="shared" si="425"/>
      </c>
      <c r="CN98" s="583">
        <f t="shared" si="425"/>
      </c>
      <c r="CO98" s="548">
        <f t="shared" si="425"/>
      </c>
      <c r="CP98" s="582">
        <f t="shared" si="425"/>
      </c>
      <c r="CQ98" s="583">
        <f t="shared" si="425"/>
      </c>
      <c r="CR98" s="583">
        <f t="shared" si="425"/>
      </c>
      <c r="CS98" s="583">
        <f t="shared" si="425"/>
      </c>
      <c r="CT98" s="548">
        <f t="shared" si="425"/>
      </c>
      <c r="CU98" s="582">
        <f t="shared" si="425"/>
      </c>
      <c r="CV98" s="583">
        <f t="shared" si="425"/>
      </c>
      <c r="CW98" s="583">
        <f t="shared" si="425"/>
      </c>
      <c r="CX98" s="583">
        <f>+-CX96</f>
      </c>
      <c r="CY98" s="548">
        <f>+-CY96</f>
      </c>
      <c r="CZ98" s="583">
        <f t="shared" si="425"/>
      </c>
      <c r="DA98" s="583">
        <f t="shared" si="425"/>
      </c>
      <c r="DB98" s="583">
        <f t="shared" si="425"/>
      </c>
      <c r="DC98" s="583">
        <f t="shared" ref="DC98:ER98" si="426">+-DC96</f>
      </c>
      <c r="DD98" s="548">
        <f t="shared" si="426"/>
      </c>
      <c r="DE98" s="583">
        <f t="shared" si="426"/>
      </c>
      <c r="DF98" s="583">
        <f t="shared" si="426"/>
      </c>
      <c r="DG98" s="583">
        <f t="shared" si="426"/>
      </c>
      <c r="DH98" s="583">
        <f t="shared" si="426"/>
      </c>
      <c r="DI98" s="548">
        <f t="shared" si="426"/>
      </c>
      <c r="DJ98" s="583">
        <f t="shared" si="426"/>
      </c>
      <c r="DK98" s="583">
        <f t="shared" si="426"/>
      </c>
      <c r="DL98" s="583">
        <f t="shared" si="426"/>
      </c>
      <c r="DM98" s="583">
        <f t="shared" si="426"/>
      </c>
      <c r="DN98" s="548">
        <f t="shared" si="426"/>
      </c>
      <c r="DO98" s="1128">
        <f t="shared" si="426"/>
      </c>
      <c r="DP98" s="1128">
        <f t="shared" si="426"/>
      </c>
      <c r="DQ98" s="1128">
        <f t="shared" si="426"/>
      </c>
      <c r="DR98" s="583">
        <f t="shared" si="426"/>
      </c>
      <c r="DS98" s="548">
        <f t="shared" si="426"/>
      </c>
      <c r="DT98" s="1128">
        <f t="shared" si="426"/>
      </c>
      <c r="DU98" s="1128">
        <f t="shared" si="426"/>
      </c>
      <c r="DV98" s="1128">
        <f t="shared" si="426"/>
      </c>
      <c r="DW98" s="1128">
        <f t="shared" si="426"/>
      </c>
      <c r="DX98" s="1118">
        <f t="shared" si="426"/>
      </c>
      <c r="DY98" s="1128">
        <f t="shared" si="426"/>
      </c>
      <c r="DZ98" s="1128">
        <f t="shared" si="426"/>
      </c>
      <c r="EA98" s="1128">
        <f t="shared" si="426"/>
      </c>
      <c r="EB98" s="1128">
        <f t="shared" si="426"/>
      </c>
      <c r="EC98" s="2726">
        <f t="shared" si="426"/>
      </c>
      <c r="ED98" s="1128">
        <f t="shared" si="426"/>
      </c>
      <c r="EE98" s="1128">
        <f t="shared" si="426"/>
      </c>
      <c r="EF98" s="1128">
        <f t="shared" si="426"/>
      </c>
      <c r="EG98" s="1128">
        <f t="shared" si="426"/>
      </c>
      <c r="EH98" s="2726">
        <f t="shared" si="426"/>
      </c>
      <c r="EI98" s="1128">
        <f t="shared" si="426"/>
      </c>
      <c r="EJ98" s="1128">
        <f>+-EJ96</f>
      </c>
      <c r="EK98" s="1128">
        <f t="shared" si="426"/>
      </c>
      <c r="EL98" s="1128">
        <f>+-EL96</f>
      </c>
      <c r="EM98" s="2517">
        <f>+-EM96</f>
      </c>
      <c r="EN98" s="2518">
        <f>+-EN96</f>
      </c>
      <c r="EO98" s="2140">
        <f t="shared" si="426"/>
      </c>
      <c r="EP98" s="1128">
        <f t="shared" si="426"/>
      </c>
      <c r="EQ98" s="2149">
        <f t="shared" si="426"/>
      </c>
      <c r="ER98" s="2155">
        <f t="shared" si="426"/>
      </c>
      <c r="ES98" s="2518">
        <f>+-ES96</f>
      </c>
      <c r="ET98" s="3498">
        <f t="shared" ref="ET98:EW98" si="427">+-ET96</f>
      </c>
      <c r="EU98" s="1128">
        <f t="shared" si="427"/>
      </c>
      <c r="EV98" s="2149">
        <f t="shared" si="427"/>
      </c>
      <c r="EW98" s="2155">
        <f t="shared" si="427"/>
      </c>
      <c r="EX98" s="2140">
        <f>+-EX96</f>
      </c>
      <c r="EY98" s="3498">
        <f t="shared" ref="EY98" si="428">+-EY96</f>
      </c>
      <c r="EZ98" s="2140">
        <f>+-EZ96</f>
      </c>
      <c r="FA98" s="2149">
        <f>+-FA96</f>
      </c>
      <c r="FB98" s="3588">
        <f t="shared" ref="FB98" si="429">+-FB96</f>
      </c>
      <c r="FC98" s="1294">
        <f ca="1">+-FC96</f>
      </c>
      <c r="FD98" s="1294">
        <f ca="1">+-FD96</f>
      </c>
      <c r="FE98" s="1294">
        <f ca="1">+-FE96</f>
      </c>
      <c r="FF98" s="1294">
        <f ca="1">+-FF96</f>
      </c>
      <c r="FG98" s="1294">
        <f ca="1">+-FG96</f>
      </c>
      <c r="FH98" s="1047"/>
      <c r="FI98" s="1047"/>
    </row>
    <row r="99" spans="1:165" outlineLevel="1">
      <c r="A99" s="1"/>
      <c r="B99" s="72"/>
      <c r="C99" s="72"/>
      <c r="D99" s="72"/>
      <c r="E99" s="72"/>
      <c r="F99" s="72"/>
      <c r="G99" s="72"/>
      <c r="H99" s="72"/>
      <c r="I99" s="72"/>
      <c r="J99" s="72"/>
      <c r="K99" s="72"/>
      <c r="L99" s="72"/>
      <c r="M99" s="72"/>
      <c r="N99" s="68"/>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
      <c r="CO99" s="1"/>
      <c r="CP99" s="73"/>
      <c r="CQ99" s="73"/>
      <c r="CR99" s="73"/>
      <c r="CS99" s="873"/>
      <c r="CT99" s="73"/>
      <c r="CU99" s="73"/>
      <c r="CV99" s="873"/>
      <c r="CW99" s="73"/>
      <c r="CX99" s="73"/>
      <c r="CY99" s="73"/>
      <c r="CZ99" s="873"/>
      <c r="DA99" s="873"/>
      <c r="DB99" s="73"/>
      <c r="DC99" s="73"/>
      <c r="DD99" s="73"/>
      <c r="DE99" s="873"/>
      <c r="DF99" s="1050"/>
      <c r="DG99" s="73"/>
      <c r="DH99" s="1045"/>
      <c r="DI99" s="1188">
        <f>+DI96/'Income Statement'!EH121</f>
      </c>
      <c r="DJ99" s="873"/>
      <c r="DK99" s="873"/>
      <c r="DL99" s="1045"/>
      <c r="DM99" s="1045"/>
      <c r="DN99" s="1188">
        <f>+DN96/'Income Statement'!EM121</f>
      </c>
      <c r="DO99" s="1045"/>
      <c r="DP99" s="1045"/>
      <c r="DQ99" s="1045"/>
      <c r="DR99" s="1045"/>
      <c r="DS99" s="1188">
        <f>+DS96/'Income Statement'!ER121</f>
      </c>
      <c r="DT99" s="1045"/>
      <c r="DU99" s="1045"/>
      <c r="DV99" s="1045"/>
      <c r="DW99" s="1045"/>
      <c r="DX99" s="1045"/>
      <c r="DY99" s="1045"/>
      <c r="DZ99" s="1045"/>
      <c r="EA99" s="1045"/>
      <c r="EB99" s="1555"/>
      <c r="EC99" s="1045"/>
      <c r="ED99" s="1045"/>
      <c r="EE99" s="1045"/>
      <c r="EF99" s="1045"/>
      <c r="EG99" s="1045"/>
      <c r="EH99" s="1045"/>
      <c r="EI99" s="1045"/>
      <c r="EJ99" s="1045"/>
      <c r="EK99" s="1045"/>
      <c r="EL99" s="1045"/>
      <c r="EM99" s="1045"/>
      <c r="EN99" s="1284"/>
      <c r="EO99" s="1045"/>
      <c r="EP99" s="1045"/>
      <c r="EQ99" s="1045"/>
      <c r="ER99" s="1045"/>
      <c r="ES99" s="1221"/>
      <c r="ET99" s="1045"/>
      <c r="EU99" s="1045"/>
      <c r="EV99" s="1045"/>
      <c r="EW99" s="1045"/>
      <c r="EX99" s="1045"/>
      <c r="EY99" s="1045"/>
      <c r="EZ99" s="1045"/>
      <c r="FA99" s="1045"/>
      <c r="FB99" s="1045"/>
      <c r="FC99" s="1045"/>
      <c r="FD99" s="1045"/>
      <c r="FE99" s="1045"/>
      <c r="FF99" s="1045"/>
      <c r="FG99" s="1045"/>
    </row>
    <row r="100" spans="1:165" outlineLevel="1">
      <c r="A100" s="1"/>
      <c r="B100" s="769" t="s">
        <v>310</v>
      </c>
      <c r="C100" s="770"/>
      <c r="D100" s="770"/>
      <c r="E100" s="770"/>
      <c r="F100" s="770"/>
      <c r="G100" s="770"/>
      <c r="H100" s="770"/>
      <c r="I100" s="770"/>
      <c r="J100" s="770"/>
      <c r="K100" s="770"/>
      <c r="L100" s="770"/>
      <c r="M100" s="770"/>
      <c r="N100" s="755"/>
      <c r="O100" s="774"/>
      <c r="P100" s="774"/>
      <c r="Q100" s="774"/>
      <c r="R100" s="774"/>
      <c r="S100" s="774"/>
      <c r="T100" s="774"/>
      <c r="U100" s="774"/>
      <c r="V100" s="774"/>
      <c r="W100" s="774"/>
      <c r="X100" s="774"/>
      <c r="Y100" s="774"/>
      <c r="Z100" s="774"/>
      <c r="AA100" s="774"/>
      <c r="AB100" s="774"/>
      <c r="AC100" s="774"/>
      <c r="AD100" s="774"/>
      <c r="AE100" s="774"/>
      <c r="AF100" s="774"/>
      <c r="AG100" s="774"/>
      <c r="AH100" s="774"/>
      <c r="AI100" s="774"/>
      <c r="AJ100" s="774"/>
      <c r="AK100" s="774"/>
      <c r="AL100" s="774"/>
      <c r="AM100" s="774"/>
      <c r="AN100" s="774"/>
      <c r="AO100" s="774"/>
      <c r="AP100" s="774"/>
      <c r="AQ100" s="774"/>
      <c r="AR100" s="774"/>
      <c r="AS100" s="774"/>
      <c r="AT100" s="774"/>
      <c r="AU100" s="774"/>
      <c r="AV100" s="774"/>
      <c r="AW100" s="774"/>
      <c r="AX100" s="774"/>
      <c r="AY100" s="774"/>
      <c r="AZ100" s="774"/>
      <c r="BA100" s="774"/>
      <c r="BB100" s="774"/>
      <c r="BC100" s="774"/>
      <c r="BD100" s="774"/>
      <c r="BE100" s="774"/>
      <c r="BF100" s="774"/>
      <c r="BG100" s="774"/>
      <c r="BH100" s="774"/>
      <c r="BI100" s="774"/>
      <c r="BJ100" s="774"/>
      <c r="BK100" s="774"/>
      <c r="BL100" s="774"/>
      <c r="BM100" s="774"/>
      <c r="BN100" s="774"/>
      <c r="BO100" s="774"/>
      <c r="BP100" s="774"/>
      <c r="BQ100" s="774"/>
      <c r="BR100" s="774"/>
      <c r="BS100" s="774"/>
      <c r="BT100" s="774"/>
      <c r="BU100" s="774"/>
      <c r="BV100" s="774"/>
      <c r="BW100" s="774"/>
      <c r="BX100" s="774"/>
      <c r="BY100" s="774"/>
      <c r="BZ100" s="774"/>
      <c r="CA100" s="774"/>
      <c r="CB100" s="775"/>
      <c r="CC100" s="774"/>
      <c r="CD100" s="774"/>
      <c r="CE100" s="774"/>
      <c r="CF100" s="775"/>
      <c r="CG100" s="775"/>
      <c r="CH100" s="774"/>
      <c r="CI100" s="774"/>
      <c r="CJ100" s="774"/>
      <c r="CK100" s="775"/>
      <c r="CL100" s="775"/>
      <c r="CM100" s="774"/>
      <c r="CN100" s="774"/>
      <c r="CO100" s="776"/>
      <c r="CP100" s="774"/>
      <c r="CQ100" s="774"/>
      <c r="CR100" s="774"/>
      <c r="CS100" s="774"/>
      <c r="CT100" s="777"/>
      <c r="CU100" s="774"/>
      <c r="CV100" s="774"/>
      <c r="CW100" s="774"/>
      <c r="CX100" s="774"/>
      <c r="CY100" s="777"/>
      <c r="CZ100" s="774"/>
      <c r="DA100" s="774"/>
      <c r="DB100" s="774"/>
      <c r="DC100" s="774"/>
      <c r="DD100" s="777"/>
      <c r="DE100" s="774"/>
      <c r="DF100" s="1051"/>
      <c r="DG100" s="774"/>
      <c r="DH100" s="1051"/>
      <c r="DI100" s="1119"/>
      <c r="DJ100" s="774"/>
      <c r="DK100" s="774"/>
      <c r="DL100" s="1051"/>
      <c r="DM100" s="1051"/>
      <c r="DN100" s="1119"/>
      <c r="DO100" s="1277"/>
      <c r="DP100" s="1277"/>
      <c r="DQ100" s="1277"/>
      <c r="DR100" s="1277"/>
      <c r="DS100" s="1119"/>
      <c r="DT100" s="1277"/>
      <c r="DU100" s="1277"/>
      <c r="DV100" s="1277"/>
      <c r="DW100" s="1277"/>
      <c r="DX100" s="1119"/>
      <c r="DY100" s="1277"/>
      <c r="DZ100" s="1277"/>
      <c r="EA100" s="1277"/>
      <c r="EB100" s="2727"/>
      <c r="EC100" s="2728"/>
      <c r="ED100" s="1277"/>
      <c r="EE100" s="1500"/>
      <c r="EF100" s="1500"/>
      <c r="EG100" s="2727"/>
      <c r="EH100" s="2728"/>
      <c r="EI100" s="1277"/>
      <c r="EJ100" s="1500"/>
      <c r="EK100" s="1500"/>
      <c r="EL100" s="1500"/>
      <c r="EM100" s="2519"/>
      <c r="EN100" s="2522"/>
      <c r="EO100" s="1500"/>
      <c r="EP100" s="2727"/>
      <c r="EQ100" s="2169"/>
      <c r="ER100" s="2156"/>
      <c r="ES100" s="2901"/>
      <c r="ET100" s="2727"/>
      <c r="EU100" s="2727"/>
      <c r="EV100" s="2169"/>
      <c r="EW100" s="2156"/>
      <c r="EX100" s="2901">
        <f>+EX106/EX105</f>
      </c>
      <c r="EY100" s="2727"/>
      <c r="EZ100" s="2901">
        <f>+EZ106/EZ105</f>
      </c>
      <c r="FA100" s="2902">
        <f>+FA106/FA105</f>
      </c>
      <c r="FB100" s="2156"/>
      <c r="FC100" s="1295"/>
      <c r="FD100" s="1295"/>
      <c r="FE100" s="1295"/>
      <c r="FF100" s="1295"/>
      <c r="FG100" s="1295"/>
    </row>
    <row r="101" spans="1:165" outlineLevel="1">
      <c r="A101" s="1"/>
      <c r="B101" s="666" t="s">
        <v>311</v>
      </c>
      <c r="C101" s="133">
        <f>+C104/C103</f>
      </c>
      <c r="D101" s="133">
        <f>+D104/D103</f>
      </c>
      <c r="E101" s="133">
        <f>+E104/E103</f>
      </c>
      <c r="F101" s="133">
        <f>+F104/F103</f>
      </c>
      <c r="G101" s="133">
        <f>+G104/G103</f>
      </c>
      <c r="H101" s="133">
        <f t="shared" ref="H101:AL101" si="430">+H104/H103</f>
      </c>
      <c r="I101" s="133">
        <f t="shared" si="430"/>
      </c>
      <c r="J101" s="133">
        <f t="shared" si="430"/>
      </c>
      <c r="K101" s="133">
        <f t="shared" si="430"/>
      </c>
      <c r="L101" s="133">
        <f t="shared" si="430"/>
      </c>
      <c r="M101" s="133">
        <f t="shared" si="430"/>
      </c>
      <c r="N101" s="133">
        <f t="shared" si="430"/>
      </c>
      <c r="O101" s="133">
        <f t="shared" si="430"/>
      </c>
      <c r="P101" s="133">
        <f t="shared" si="430"/>
      </c>
      <c r="Q101" s="133">
        <f t="shared" si="430"/>
      </c>
      <c r="R101" s="133">
        <f t="shared" si="430"/>
      </c>
      <c r="S101" s="133">
        <f t="shared" si="430"/>
      </c>
      <c r="T101" s="133">
        <f t="shared" si="430"/>
      </c>
      <c r="U101" s="133">
        <f t="shared" si="430"/>
      </c>
      <c r="V101" s="133">
        <f t="shared" si="430"/>
      </c>
      <c r="W101" s="133">
        <f t="shared" si="430"/>
      </c>
      <c r="X101" s="133">
        <f t="shared" si="430"/>
      </c>
      <c r="Y101" s="133">
        <f t="shared" si="430"/>
      </c>
      <c r="Z101" s="133">
        <f t="shared" si="430"/>
      </c>
      <c r="AA101" s="133">
        <f t="shared" si="430"/>
      </c>
      <c r="AB101" s="133">
        <f t="shared" si="430"/>
      </c>
      <c r="AC101" s="133">
        <f t="shared" si="430"/>
      </c>
      <c r="AD101" s="133">
        <f t="shared" si="430"/>
      </c>
      <c r="AE101" s="133">
        <f t="shared" si="430"/>
      </c>
      <c r="AF101" s="133">
        <f t="shared" si="430"/>
      </c>
      <c r="AG101" s="133">
        <f t="shared" si="430"/>
      </c>
      <c r="AH101" s="133">
        <f t="shared" si="430"/>
      </c>
      <c r="AI101" s="133">
        <f t="shared" si="430"/>
      </c>
      <c r="AJ101" s="133">
        <f t="shared" si="430"/>
      </c>
      <c r="AK101" s="133">
        <f t="shared" si="430"/>
      </c>
      <c r="AL101" s="133">
        <f t="shared" si="430"/>
      </c>
      <c r="AM101" s="46">
        <f>'Income Statement'!BL59</f>
      </c>
      <c r="AN101" s="46">
        <f>'Income Statement'!BM59</f>
      </c>
      <c r="AO101" s="46">
        <f>'Income Statement'!BN59</f>
      </c>
      <c r="AP101" s="46">
        <f>'Income Statement'!BO59</f>
      </c>
      <c r="AQ101" s="46">
        <f>'Income Statement'!BP59</f>
      </c>
      <c r="AR101" s="46">
        <f>'Income Statement'!BQ59</f>
      </c>
      <c r="AS101" s="46">
        <f>'Income Statement'!BR59</f>
      </c>
      <c r="AT101" s="46">
        <f>'Income Statement'!BS59</f>
      </c>
      <c r="AU101" s="46">
        <f>'Income Statement'!BT59</f>
      </c>
      <c r="AV101" s="46">
        <f>'Income Statement'!BU59</f>
      </c>
      <c r="AW101" s="46">
        <f>'Income Statement'!BV59</f>
      </c>
      <c r="AX101" s="46">
        <f>'Income Statement'!BW59</f>
      </c>
      <c r="AY101" s="46">
        <f>'Income Statement'!BX59</f>
      </c>
      <c r="AZ101" s="46">
        <f>'Income Statement'!BY59</f>
      </c>
      <c r="BA101" s="46">
        <f>'Income Statement'!BZ59</f>
      </c>
      <c r="BB101" s="46">
        <f>'Income Statement'!CA59</f>
      </c>
      <c r="BC101" s="46">
        <f>'Income Statement'!CB59</f>
      </c>
      <c r="BD101" s="46">
        <f>'Income Statement'!CC59</f>
      </c>
      <c r="BE101" s="46">
        <f>'Income Statement'!CD59</f>
      </c>
      <c r="BF101" s="46">
        <f>'Income Statement'!CE59</f>
      </c>
      <c r="BG101" s="46">
        <f>'Income Statement'!CF59</f>
      </c>
      <c r="BH101" s="46">
        <f>'Income Statement'!CG59</f>
      </c>
      <c r="BI101" s="46">
        <f>'Income Statement'!CH59</f>
      </c>
      <c r="BJ101" s="46">
        <f>'Income Statement'!CI59</f>
      </c>
      <c r="BK101" s="46">
        <f>'Income Statement'!CJ59</f>
      </c>
      <c r="BL101" s="46">
        <f>'Income Statement'!CK59</f>
      </c>
      <c r="BM101" s="46">
        <f>'Income Statement'!CL59</f>
      </c>
      <c r="BN101" s="46">
        <f>'Income Statement'!CM59</f>
      </c>
      <c r="BO101" s="46">
        <f>'Income Statement'!CN59</f>
      </c>
      <c r="BP101" s="46">
        <f>'Income Statement'!CO59</f>
      </c>
      <c r="BQ101" s="46">
        <f>'Income Statement'!CP59</f>
      </c>
      <c r="BR101" s="46">
        <f>'Income Statement'!CQ59</f>
      </c>
      <c r="BS101" s="46">
        <f>'Income Statement'!CR59</f>
      </c>
      <c r="BT101" s="46">
        <f>'Income Statement'!CS59</f>
      </c>
      <c r="BU101" s="542">
        <f>'Income Statement'!CT59</f>
      </c>
      <c r="BV101" s="46">
        <f>'Income Statement'!CU59</f>
      </c>
      <c r="BW101" s="46">
        <f>'Income Statement'!CV59</f>
      </c>
      <c r="BX101" s="46">
        <f>'Income Statement'!CW59</f>
      </c>
      <c r="BY101" s="46">
        <f>'Income Statement'!CX59</f>
      </c>
      <c r="BZ101" s="542">
        <f>'Income Statement'!CY59</f>
      </c>
      <c r="CA101" s="46">
        <f>'Income Statement'!CZ59</f>
      </c>
      <c r="CB101" s="46">
        <f>'Income Statement'!DA59</f>
      </c>
      <c r="CC101" s="46">
        <f>'Income Statement'!DB59</f>
      </c>
      <c r="CD101" s="46">
        <f>'Income Statement'!DC59</f>
      </c>
      <c r="CE101" s="542">
        <f>'Income Statement'!DD59</f>
      </c>
      <c r="CF101" s="46">
        <f>'Income Statement'!DE59</f>
      </c>
      <c r="CG101" s="46">
        <f>'Income Statement'!DF59</f>
      </c>
      <c r="CH101" s="46">
        <f>'Income Statement'!DG59</f>
      </c>
      <c r="CI101" s="46">
        <f>'Income Statement'!DH59</f>
      </c>
      <c r="CJ101" s="542">
        <f>SUM(CF101:CI101)</f>
      </c>
      <c r="CK101" s="46">
        <f>'Income Statement'!DJ59</f>
      </c>
      <c r="CL101" s="664">
        <v>0.61</v>
      </c>
      <c r="CM101" s="664">
        <v>0.61</v>
      </c>
      <c r="CN101" s="664">
        <v>0.61</v>
      </c>
      <c r="CO101" s="542">
        <f>SUM(CK101:CN101)</f>
      </c>
      <c r="CP101" s="664">
        <v>0.61</v>
      </c>
      <c r="CQ101" s="664">
        <v>0.66</v>
      </c>
      <c r="CR101" s="664">
        <v>0.66</v>
      </c>
      <c r="CS101" s="664">
        <v>0.66</v>
      </c>
      <c r="CT101" s="542">
        <f>SUM(CP101:CS101)</f>
      </c>
      <c r="CU101" s="664">
        <v>0.66</v>
      </c>
      <c r="CV101" s="664">
        <v>0.7</v>
      </c>
      <c r="CW101" s="664">
        <v>0.7</v>
      </c>
      <c r="CX101" s="664">
        <v>0.7</v>
      </c>
      <c r="CY101" s="542">
        <f>SUM(CU101:CX101)</f>
      </c>
      <c r="CZ101" s="664">
        <v>0.7</v>
      </c>
      <c r="DA101" s="664">
        <v>0.75</v>
      </c>
      <c r="DB101" s="664">
        <v>0.75</v>
      </c>
      <c r="DC101" s="664">
        <v>0.75</v>
      </c>
      <c r="DD101" s="542">
        <f>SUM(CZ101:DC101)</f>
      </c>
      <c r="DE101" s="664">
        <v>0.75</v>
      </c>
      <c r="DF101" s="664">
        <v>0.8</v>
      </c>
      <c r="DG101" s="664">
        <v>0.8</v>
      </c>
      <c r="DH101" s="664">
        <v>0.80249999999999999</v>
      </c>
      <c r="DI101" s="1117">
        <f>SUM(DE101:DH101)</f>
      </c>
      <c r="DJ101" s="664">
        <v>0.8</v>
      </c>
      <c r="DK101" s="664">
        <v>0.84</v>
      </c>
      <c r="DL101" s="664">
        <v>0.84</v>
      </c>
      <c r="DM101" s="664">
        <v>0.84</v>
      </c>
      <c r="DN101" s="1117">
        <f>SUM(DJ101:DM101)</f>
      </c>
      <c r="DO101" s="664">
        <v>0.84</v>
      </c>
      <c r="DP101" s="664">
        <v>0.9</v>
      </c>
      <c r="DQ101" s="664">
        <v>0.9</v>
      </c>
      <c r="DR101" s="664">
        <v>0.9</v>
      </c>
      <c r="DS101" s="1117">
        <f>SUM(DO101:DR101)</f>
      </c>
      <c r="DT101" s="664">
        <v>0.84</v>
      </c>
      <c r="DU101" s="664">
        <v>0.95</v>
      </c>
      <c r="DV101" s="664">
        <v>0.95</v>
      </c>
      <c r="DW101" s="664">
        <v>0.95</v>
      </c>
      <c r="DX101" s="1117">
        <f>SUM(DT101:DW101)</f>
      </c>
      <c r="DY101" s="664">
        <v>0.95</v>
      </c>
      <c r="DZ101" s="664">
        <v>0.95</v>
      </c>
      <c r="EA101" s="664">
        <v>1.0069999999999999</v>
      </c>
      <c r="EB101" s="664">
        <v>1.01</v>
      </c>
      <c r="EC101" s="2362">
        <f>SUM(DY101:EB101)</f>
      </c>
      <c r="ED101" s="664">
        <v>1.01</v>
      </c>
      <c r="EE101" s="664">
        <v>1.06</v>
      </c>
      <c r="EF101" s="664">
        <v>1.06</v>
      </c>
      <c r="EG101" s="664">
        <v>1.06</v>
      </c>
      <c r="EH101" s="2362">
        <f>SUM(ED101:EG101)</f>
      </c>
      <c r="EI101" s="664">
        <v>1.06</v>
      </c>
      <c r="EJ101" s="664">
        <v>1.1299999999999999</v>
      </c>
      <c r="EK101" s="664">
        <v>1.1299999999999999</v>
      </c>
      <c r="EL101" s="664">
        <v>1.1299999999999999</v>
      </c>
      <c r="EM101" s="2516">
        <f>SUM(EI101:EL101)</f>
      </c>
      <c r="EN101" s="2523">
        <f>+EL101</f>
      </c>
      <c r="EO101" s="664">
        <v>1.19</v>
      </c>
      <c r="EP101" s="664">
        <v>1.19</v>
      </c>
      <c r="EQ101" s="2170">
        <f>EP101</f>
      </c>
      <c r="ER101" s="1292">
        <f>SUM(EN101:EQ101)</f>
      </c>
      <c r="ES101" s="2523">
        <f>+EQ101</f>
      </c>
      <c r="ET101" s="664">
        <v>1.19</v>
      </c>
      <c r="EU101" s="664">
        <v>1.19</v>
      </c>
      <c r="EV101" s="2170">
        <v>1.24</v>
      </c>
      <c r="EW101" s="1292">
        <f>SUM(ES101:EV101)</f>
      </c>
      <c r="EX101" s="664">
        <f>EV101</f>
      </c>
      <c r="EY101" s="664">
        <v>1.3</v>
      </c>
      <c r="EZ101" s="664">
        <f>EY101</f>
      </c>
      <c r="FA101" s="2170">
        <f>EZ101</f>
      </c>
      <c r="FB101" s="1292">
        <f>SUM(EX101:FA101)</f>
      </c>
      <c r="FC101" s="1292">
        <f t="shared" ref="FC101:FG101" si="431">+(1+FC102)*FB101</f>
      </c>
      <c r="FD101" s="1292">
        <f t="shared" si="431"/>
      </c>
      <c r="FE101" s="1292">
        <f t="shared" si="431"/>
      </c>
      <c r="FF101" s="1292">
        <f t="shared" si="431"/>
      </c>
      <c r="FG101" s="1292">
        <f t="shared" si="431"/>
      </c>
    </row>
    <row r="102" spans="1:165" outlineLevel="1">
      <c r="A102" s="1"/>
      <c r="B102" s="667" t="s">
        <v>952</v>
      </c>
      <c r="C102" s="115"/>
      <c r="D102" s="83">
        <f>+D101/C101-1</f>
      </c>
      <c r="E102" s="83">
        <f>+E101/D101-1</f>
      </c>
      <c r="F102" s="83">
        <f>+F101/E101-1</f>
      </c>
      <c r="G102" s="83">
        <f>+G101/F101-1</f>
      </c>
      <c r="H102" s="83">
        <f>+H101/G101-1</f>
      </c>
      <c r="I102" s="83"/>
      <c r="J102" s="83"/>
      <c r="K102" s="83"/>
      <c r="L102" s="83"/>
      <c r="M102" s="83">
        <f>+M101/H101-1</f>
      </c>
      <c r="N102" s="83">
        <f t="shared" ref="N102:BU102" si="432">+N101/I101-1</f>
      </c>
      <c r="O102" s="83">
        <f t="shared" si="432"/>
      </c>
      <c r="P102" s="83">
        <f t="shared" si="432"/>
      </c>
      <c r="Q102" s="83">
        <f t="shared" si="432"/>
      </c>
      <c r="R102" s="83">
        <f t="shared" si="432"/>
      </c>
      <c r="S102" s="83">
        <f t="shared" si="432"/>
      </c>
      <c r="T102" s="83">
        <f t="shared" si="432"/>
      </c>
      <c r="U102" s="83">
        <f t="shared" si="432"/>
      </c>
      <c r="V102" s="83">
        <f t="shared" si="432"/>
      </c>
      <c r="W102" s="83">
        <f t="shared" si="432"/>
      </c>
      <c r="X102" s="83">
        <f t="shared" si="432"/>
      </c>
      <c r="Y102" s="83">
        <f t="shared" si="432"/>
      </c>
      <c r="Z102" s="83">
        <f t="shared" si="432"/>
      </c>
      <c r="AA102" s="83">
        <f t="shared" si="432"/>
      </c>
      <c r="AB102" s="83">
        <f t="shared" si="432"/>
      </c>
      <c r="AC102" s="83">
        <f t="shared" si="432"/>
      </c>
      <c r="AD102" s="83">
        <f t="shared" si="432"/>
      </c>
      <c r="AE102" s="83">
        <f t="shared" si="432"/>
      </c>
      <c r="AF102" s="83">
        <f t="shared" si="432"/>
      </c>
      <c r="AG102" s="83">
        <f t="shared" si="432"/>
      </c>
      <c r="AH102" s="83">
        <f t="shared" si="432"/>
      </c>
      <c r="AI102" s="83">
        <f t="shared" si="432"/>
      </c>
      <c r="AJ102" s="83">
        <f t="shared" si="432"/>
      </c>
      <c r="AK102" s="83">
        <f t="shared" si="432"/>
      </c>
      <c r="AL102" s="83">
        <f t="shared" si="432"/>
      </c>
      <c r="AM102" s="83">
        <f t="shared" si="432"/>
      </c>
      <c r="AN102" s="83">
        <f t="shared" si="432"/>
      </c>
      <c r="AO102" s="83">
        <f t="shared" si="432"/>
      </c>
      <c r="AP102" s="83">
        <f t="shared" si="432"/>
      </c>
      <c r="AQ102" s="83">
        <f t="shared" si="432"/>
      </c>
      <c r="AR102" s="83">
        <f t="shared" si="432"/>
      </c>
      <c r="AS102" s="83">
        <f t="shared" si="432"/>
      </c>
      <c r="AT102" s="83">
        <f t="shared" si="432"/>
      </c>
      <c r="AU102" s="83">
        <f t="shared" si="432"/>
      </c>
      <c r="AV102" s="83">
        <f t="shared" si="432"/>
      </c>
      <c r="AW102" s="83">
        <f t="shared" si="432"/>
      </c>
      <c r="AX102" s="83">
        <f t="shared" si="432"/>
      </c>
      <c r="AY102" s="83">
        <f t="shared" si="432"/>
      </c>
      <c r="AZ102" s="83">
        <f t="shared" si="432"/>
      </c>
      <c r="BA102" s="83">
        <f t="shared" si="432"/>
      </c>
      <c r="BB102" s="83">
        <f t="shared" si="432"/>
      </c>
      <c r="BC102" s="83">
        <f t="shared" si="432"/>
      </c>
      <c r="BD102" s="83">
        <f t="shared" si="432"/>
      </c>
      <c r="BE102" s="83">
        <f t="shared" si="432"/>
      </c>
      <c r="BF102" s="83">
        <f t="shared" si="432"/>
      </c>
      <c r="BG102" s="83">
        <f t="shared" si="432"/>
      </c>
      <c r="BH102" s="83">
        <f t="shared" si="432"/>
      </c>
      <c r="BI102" s="83">
        <f t="shared" si="432"/>
      </c>
      <c r="BJ102" s="83">
        <f t="shared" si="432"/>
      </c>
      <c r="BK102" s="83">
        <f t="shared" si="432"/>
      </c>
      <c r="BL102" s="83">
        <f t="shared" si="432"/>
      </c>
      <c r="BM102" s="83">
        <f t="shared" si="432"/>
      </c>
      <c r="BN102" s="83">
        <f t="shared" si="432"/>
      </c>
      <c r="BO102" s="83">
        <f t="shared" si="432"/>
      </c>
      <c r="BP102" s="83">
        <f t="shared" si="432"/>
      </c>
      <c r="BQ102" s="83">
        <f t="shared" si="432"/>
      </c>
      <c r="BR102" s="83">
        <f t="shared" si="432"/>
      </c>
      <c r="BS102" s="83">
        <f t="shared" si="432"/>
      </c>
      <c r="BT102" s="83">
        <f t="shared" si="432"/>
      </c>
      <c r="BU102" s="559">
        <f t="shared" si="432"/>
      </c>
      <c r="BV102" s="83">
        <f t="shared" ref="BV102:CF102" si="433">+BV101/BQ101-1</f>
      </c>
      <c r="BW102" s="83">
        <f t="shared" si="433"/>
      </c>
      <c r="BX102" s="83">
        <f t="shared" si="433"/>
      </c>
      <c r="BY102" s="83">
        <f t="shared" si="433"/>
      </c>
      <c r="BZ102" s="559">
        <f t="shared" si="433"/>
      </c>
      <c r="CA102" s="83">
        <f t="shared" si="433"/>
      </c>
      <c r="CB102" s="83">
        <f t="shared" si="433"/>
      </c>
      <c r="CC102" s="83">
        <f t="shared" si="433"/>
      </c>
      <c r="CD102" s="83">
        <f t="shared" si="433"/>
      </c>
      <c r="CE102" s="537">
        <f>+CE101/BZ101-1</f>
      </c>
      <c r="CF102" s="22">
        <f t="shared" si="433"/>
      </c>
      <c r="CG102" s="22">
        <f>+CG101/CB101-1</f>
      </c>
      <c r="CH102" s="22">
        <f>+CH101/CC101-1</f>
      </c>
      <c r="CI102" s="22">
        <f>+CI101/CD101-1</f>
      </c>
      <c r="CJ102" s="537">
        <f>CJ101/CE101-1</f>
      </c>
      <c r="CK102" s="22">
        <f>+CK101/CF101-1</f>
      </c>
      <c r="CL102" s="22">
        <f>+CL101/CG101-1</f>
      </c>
      <c r="CM102" s="22">
        <f>+CM101/CH101-1</f>
      </c>
      <c r="CN102" s="22">
        <f>+CN101/CI101-1</f>
      </c>
      <c r="CO102" s="537">
        <f>CO101/CJ101-1</f>
      </c>
      <c r="CP102" s="22">
        <f>+CP101/CK101-1</f>
      </c>
      <c r="CQ102" s="22">
        <f>+CQ101/CL101-1</f>
      </c>
      <c r="CR102" s="22">
        <f>+CR101/CM101-1</f>
      </c>
      <c r="CS102" s="22">
        <f>+CS101/CN101-1</f>
      </c>
      <c r="CT102" s="537">
        <f>CT101/CO101-1</f>
      </c>
      <c r="CU102" s="22">
        <f>+CU101/CP101-1</f>
      </c>
      <c r="CV102" s="22">
        <f>+CV101/CQ101-1</f>
      </c>
      <c r="CW102" s="22">
        <f>+CW101/CR101-1</f>
      </c>
      <c r="CX102" s="22">
        <f>+CX101/CS101-1</f>
      </c>
      <c r="CY102" s="537">
        <f>CY101/CT101-1</f>
      </c>
      <c r="CZ102" s="22">
        <f>+CZ101/CU101-1</f>
      </c>
      <c r="DA102" s="22">
        <f>+DA101/CV101-1</f>
      </c>
      <c r="DB102" s="22">
        <f>+DB101/CW101-1</f>
      </c>
      <c r="DC102" s="22">
        <f>+DC101/CX101-1</f>
      </c>
      <c r="DD102" s="537">
        <f>DD101/CY101-1</f>
      </c>
      <c r="DE102" s="22">
        <f>+DE101/CZ101-1</f>
      </c>
      <c r="DF102" s="22">
        <f>+DF101/DA101-1</f>
      </c>
      <c r="DG102" s="22">
        <f>+DG101/DB101-1</f>
      </c>
      <c r="DH102" s="22">
        <f>+DH101/DC101-1</f>
      </c>
      <c r="DI102" s="537">
        <f>DI101/DD101-1</f>
      </c>
      <c r="DJ102" s="22">
        <f>+DJ101/DE101-1</f>
      </c>
      <c r="DK102" s="22">
        <f>+DK101/DF101-1</f>
      </c>
      <c r="DL102" s="22">
        <f>+DL101/DG101-1</f>
      </c>
      <c r="DM102" s="22">
        <f>+DM101/DH101-1</f>
      </c>
      <c r="DN102" s="878">
        <f>DN101/DI101-1</f>
      </c>
      <c r="DO102" s="943">
        <f>+DO101/DJ101-1</f>
      </c>
      <c r="DP102" s="943">
        <f>+DP101/DK101-1</f>
      </c>
      <c r="DQ102" s="943">
        <f>+DQ101/DL101-1</f>
      </c>
      <c r="DR102" s="22">
        <f>+DR101/DM101-1</f>
      </c>
      <c r="DS102" s="878">
        <f>DS101/DN101-1</f>
      </c>
      <c r="DT102" s="943">
        <f>+DT101/DO101-1</f>
      </c>
      <c r="DU102" s="943">
        <f>+DU101/DP101-1</f>
      </c>
      <c r="DV102" s="943">
        <f>+DV101/DQ101-1</f>
      </c>
      <c r="DW102" s="1248">
        <f>+DW101/DR101-1</f>
      </c>
      <c r="DX102" s="878">
        <f>DX101/DS101-1</f>
      </c>
      <c r="DY102" s="943">
        <f>+DY101/DT101-1</f>
      </c>
      <c r="DZ102" s="943">
        <f>+DZ101/DU101-1</f>
      </c>
      <c r="EA102" s="943">
        <f>+EA101/DV101-1</f>
      </c>
      <c r="EB102" s="943">
        <f>+EB101/DW101-1</f>
      </c>
      <c r="EC102" s="315">
        <f>EC101/DX101-1</f>
      </c>
      <c r="ED102" s="959">
        <f>+ED101/DY101-1</f>
      </c>
      <c r="EE102" s="959">
        <f>+EE101/DZ101-1</f>
      </c>
      <c r="EF102" s="959">
        <f>+EF101/EA101-1</f>
      </c>
      <c r="EG102" s="959">
        <f>+EG101/EB101-1</f>
      </c>
      <c r="EH102" s="2248">
        <f>EH101/EC101-1</f>
      </c>
      <c r="EI102" s="959">
        <f>+EI101/ED101-1</f>
      </c>
      <c r="EJ102" s="959">
        <f>+EJ101/EE101-1</f>
      </c>
      <c r="EK102" s="959">
        <f>+EK101/EF101-1</f>
      </c>
      <c r="EL102" s="3384">
        <f>+EL101/EG101-1</f>
      </c>
      <c r="EM102" s="3385">
        <f>EM101/EH101-1</f>
      </c>
      <c r="EN102" s="2251">
        <f>+EN101/EI101-1</f>
      </c>
      <c r="EO102" s="959">
        <f>+EO101/EJ101-1</f>
      </c>
      <c r="EP102" s="959">
        <f>+EP101/EK101-1</f>
      </c>
      <c r="EQ102" s="3384">
        <f>+EQ101/EL101-1</f>
      </c>
      <c r="ER102" s="3213">
        <f>ER101/EM101-1</f>
      </c>
      <c r="ES102" s="2251">
        <f t="shared" ref="ES102:FA102" si="434">+ES101/EN101-1</f>
      </c>
      <c r="ET102" s="959">
        <f t="shared" si="434"/>
      </c>
      <c r="EU102" s="959">
        <f>+EU101/EP101-1</f>
      </c>
      <c r="EV102" s="3384">
        <f>+EV101/EQ101-1</f>
      </c>
      <c r="EW102" s="3213">
        <f>EW101/ER101-1</f>
      </c>
      <c r="EX102" s="959">
        <f t="shared" si="434"/>
      </c>
      <c r="EY102" s="959">
        <f t="shared" si="434"/>
      </c>
      <c r="EZ102" s="959">
        <f t="shared" si="434"/>
      </c>
      <c r="FA102" s="3384">
        <f t="shared" si="434"/>
      </c>
      <c r="FB102" s="3213">
        <f>FB101/EW101-1</f>
      </c>
      <c r="FC102" s="314">
        <v>0.03</v>
      </c>
      <c r="FD102" s="314">
        <v>0.03</v>
      </c>
      <c r="FE102" s="314">
        <v>0.03</v>
      </c>
      <c r="FF102" s="314">
        <v>0.03</v>
      </c>
      <c r="FG102" s="314">
        <v>0.03</v>
      </c>
    </row>
    <row r="103" spans="1:165" outlineLevel="1">
      <c r="A103" s="1"/>
      <c r="B103" s="108" t="s">
        <v>312</v>
      </c>
      <c r="C103" s="126">
        <f>+C88</f>
      </c>
      <c r="D103" s="126">
        <f>+D88</f>
      </c>
      <c r="E103" s="126">
        <f>+E88</f>
      </c>
      <c r="F103" s="126">
        <f>+F88</f>
      </c>
      <c r="G103" s="126">
        <f>+G88</f>
      </c>
      <c r="H103" s="126">
        <f t="shared" ref="H103:AL103" si="435">+H88</f>
      </c>
      <c r="I103" s="126">
        <f t="shared" si="435"/>
      </c>
      <c r="J103" s="126">
        <f t="shared" si="435"/>
      </c>
      <c r="K103" s="126">
        <f t="shared" si="435"/>
      </c>
      <c r="L103" s="126">
        <f t="shared" si="435"/>
      </c>
      <c r="M103" s="126">
        <f t="shared" si="435"/>
      </c>
      <c r="N103" s="126">
        <f t="shared" si="435"/>
      </c>
      <c r="O103" s="126">
        <f t="shared" si="435"/>
      </c>
      <c r="P103" s="126">
        <f t="shared" si="435"/>
      </c>
      <c r="Q103" s="126">
        <f t="shared" si="435"/>
      </c>
      <c r="R103" s="126">
        <f t="shared" si="435"/>
      </c>
      <c r="S103" s="126">
        <f t="shared" si="435"/>
      </c>
      <c r="T103" s="126">
        <f t="shared" si="435"/>
      </c>
      <c r="U103" s="126">
        <f t="shared" si="435"/>
      </c>
      <c r="V103" s="126">
        <f t="shared" si="435"/>
      </c>
      <c r="W103" s="126">
        <f t="shared" si="435"/>
      </c>
      <c r="X103" s="126">
        <f t="shared" si="435"/>
      </c>
      <c r="Y103" s="126">
        <f t="shared" si="435"/>
      </c>
      <c r="Z103" s="126">
        <f t="shared" si="435"/>
      </c>
      <c r="AA103" s="126">
        <f t="shared" si="435"/>
      </c>
      <c r="AB103" s="126">
        <f t="shared" si="435"/>
      </c>
      <c r="AC103" s="126">
        <f t="shared" si="435"/>
      </c>
      <c r="AD103" s="126">
        <f t="shared" si="435"/>
      </c>
      <c r="AE103" s="126">
        <f t="shared" si="435"/>
      </c>
      <c r="AF103" s="126">
        <f t="shared" si="435"/>
      </c>
      <c r="AG103" s="126">
        <f t="shared" si="435"/>
      </c>
      <c r="AH103" s="126">
        <f t="shared" si="435"/>
      </c>
      <c r="AI103" s="126">
        <f t="shared" si="435"/>
      </c>
      <c r="AJ103" s="126">
        <f t="shared" si="435"/>
      </c>
      <c r="AK103" s="126">
        <f t="shared" si="435"/>
      </c>
      <c r="AL103" s="126">
        <f t="shared" si="435"/>
      </c>
      <c r="AM103" s="126">
        <f>AM104/AM101</f>
      </c>
      <c r="AN103" s="126">
        <f t="shared" ref="AN103:CE103" si="436">AN104/AN101</f>
      </c>
      <c r="AO103" s="126">
        <f t="shared" si="436"/>
      </c>
      <c r="AP103" s="126">
        <f t="shared" si="436"/>
      </c>
      <c r="AQ103" s="126">
        <f t="shared" si="436"/>
      </c>
      <c r="AR103" s="126">
        <f t="shared" si="436"/>
      </c>
      <c r="AS103" s="126">
        <f t="shared" si="436"/>
      </c>
      <c r="AT103" s="126">
        <f t="shared" si="436"/>
      </c>
      <c r="AU103" s="126">
        <f t="shared" si="436"/>
      </c>
      <c r="AV103" s="126">
        <f t="shared" si="436"/>
      </c>
      <c r="AW103" s="126">
        <f t="shared" si="436"/>
      </c>
      <c r="AX103" s="126">
        <f t="shared" si="436"/>
      </c>
      <c r="AY103" s="126">
        <f t="shared" si="436"/>
      </c>
      <c r="AZ103" s="126">
        <f t="shared" si="436"/>
      </c>
      <c r="BA103" s="126">
        <f t="shared" si="436"/>
      </c>
      <c r="BB103" s="126">
        <f t="shared" si="436"/>
      </c>
      <c r="BC103" s="126">
        <f t="shared" si="436"/>
      </c>
      <c r="BD103" s="126">
        <f t="shared" si="436"/>
      </c>
      <c r="BE103" s="126">
        <f t="shared" si="436"/>
      </c>
      <c r="BF103" s="126">
        <f t="shared" si="436"/>
      </c>
      <c r="BG103" s="126">
        <f t="shared" si="436"/>
      </c>
      <c r="BH103" s="126">
        <f t="shared" si="436"/>
      </c>
      <c r="BI103" s="126">
        <f t="shared" si="436"/>
      </c>
      <c r="BJ103" s="126">
        <f t="shared" si="436"/>
      </c>
      <c r="BK103" s="126">
        <f t="shared" si="436"/>
      </c>
      <c r="BL103" s="126">
        <f t="shared" si="436"/>
      </c>
      <c r="BM103" s="362">
        <f t="shared" si="436"/>
      </c>
      <c r="BN103" s="126">
        <f t="shared" si="436"/>
      </c>
      <c r="BO103" s="126">
        <f t="shared" si="436"/>
      </c>
      <c r="BP103" s="126">
        <f t="shared" si="436"/>
      </c>
      <c r="BQ103" s="126">
        <f t="shared" si="436"/>
      </c>
      <c r="BR103" s="126">
        <f t="shared" si="436"/>
      </c>
      <c r="BS103" s="126">
        <f t="shared" si="436"/>
      </c>
      <c r="BT103" s="126">
        <f t="shared" si="436"/>
      </c>
      <c r="BU103" s="543">
        <f t="shared" si="436"/>
      </c>
      <c r="BV103" s="126">
        <f t="shared" si="436"/>
      </c>
      <c r="BW103" s="126">
        <f t="shared" si="436"/>
      </c>
      <c r="BX103" s="126">
        <f t="shared" si="436"/>
      </c>
      <c r="BY103" s="126">
        <f t="shared" si="436"/>
      </c>
      <c r="BZ103" s="543">
        <f t="shared" si="436"/>
      </c>
      <c r="CA103" s="126">
        <f t="shared" si="436"/>
      </c>
      <c r="CB103" s="126">
        <f t="shared" si="436"/>
      </c>
      <c r="CC103" s="126">
        <f t="shared" si="436"/>
      </c>
      <c r="CD103" s="126">
        <f t="shared" si="436"/>
      </c>
      <c r="CE103" s="543">
        <f t="shared" si="436"/>
      </c>
      <c r="CF103" s="10">
        <f t="shared" ref="CF103:CL103" si="437">+CF118</f>
      </c>
      <c r="CG103" s="10">
        <f t="shared" si="437"/>
      </c>
      <c r="CH103" s="10">
        <f t="shared" si="437"/>
      </c>
      <c r="CI103" s="10">
        <f t="shared" si="437"/>
      </c>
      <c r="CJ103" s="67">
        <f t="shared" si="437"/>
      </c>
      <c r="CK103" s="10">
        <f t="shared" si="437"/>
      </c>
      <c r="CL103" s="10">
        <f t="shared" si="437"/>
      </c>
      <c r="CM103" s="10">
        <v>2745.9416569999999</v>
      </c>
      <c r="CN103" s="10">
        <f t="shared" ref="CN103:DB103" si="438">+CN118</f>
      </c>
      <c r="CO103" s="67">
        <f t="shared" si="438"/>
      </c>
      <c r="CP103" s="10">
        <f t="shared" si="438"/>
      </c>
      <c r="CQ103" s="10">
        <f t="shared" si="438"/>
      </c>
      <c r="CR103" s="10">
        <f t="shared" si="438"/>
      </c>
      <c r="CS103" s="10">
        <f t="shared" si="438"/>
      </c>
      <c r="CT103" s="67">
        <f t="shared" si="438"/>
      </c>
      <c r="CU103" s="10">
        <f t="shared" si="438"/>
      </c>
      <c r="CV103" s="10">
        <f t="shared" si="438"/>
      </c>
      <c r="CW103" s="10">
        <f t="shared" si="438"/>
      </c>
      <c r="CX103" s="10">
        <f>+CX118</f>
      </c>
      <c r="CY103" s="67">
        <f>+CY118</f>
      </c>
      <c r="CZ103" s="10">
        <f t="shared" si="438"/>
      </c>
      <c r="DA103" s="10">
        <f t="shared" si="438"/>
      </c>
      <c r="DB103" s="10">
        <f t="shared" si="438"/>
      </c>
      <c r="DC103" s="10">
        <f t="shared" ref="DC103:DI103" si="439">+DC118</f>
      </c>
      <c r="DD103" s="67">
        <f t="shared" si="439"/>
      </c>
      <c r="DE103" s="10">
        <f t="shared" si="439"/>
      </c>
      <c r="DF103" s="10">
        <f t="shared" si="439"/>
      </c>
      <c r="DG103" s="10">
        <f t="shared" si="439"/>
      </c>
      <c r="DH103" s="10">
        <f t="shared" si="439"/>
      </c>
      <c r="DI103" s="67">
        <f t="shared" si="439"/>
      </c>
      <c r="DJ103" s="10">
        <f t="shared" ref="DJ103:ER103" si="440">+DJ118</f>
      </c>
      <c r="DK103" s="10">
        <f t="shared" si="440"/>
      </c>
      <c r="DL103" s="10">
        <f t="shared" si="440"/>
      </c>
      <c r="DM103" s="10">
        <f t="shared" si="440"/>
      </c>
      <c r="DN103" s="67">
        <f t="shared" si="440"/>
      </c>
      <c r="DO103" s="948">
        <f t="shared" si="440"/>
      </c>
      <c r="DP103" s="948">
        <f t="shared" si="440"/>
      </c>
      <c r="DQ103" s="948">
        <f t="shared" si="440"/>
      </c>
      <c r="DR103" s="10">
        <f t="shared" si="440"/>
      </c>
      <c r="DS103" s="67">
        <f t="shared" si="440"/>
      </c>
      <c r="DT103" s="948">
        <f t="shared" si="440"/>
      </c>
      <c r="DU103" s="948">
        <f t="shared" si="440"/>
      </c>
      <c r="DV103" s="948">
        <f t="shared" si="440"/>
      </c>
      <c r="DW103" s="948">
        <f t="shared" si="440"/>
      </c>
      <c r="DX103" s="67">
        <f t="shared" si="440"/>
      </c>
      <c r="DY103" s="948">
        <f t="shared" si="440"/>
      </c>
      <c r="DZ103" s="948">
        <f t="shared" si="440"/>
      </c>
      <c r="EA103" s="948">
        <f t="shared" si="440"/>
      </c>
      <c r="EB103" s="948">
        <f t="shared" si="440"/>
      </c>
      <c r="EC103" s="303">
        <f t="shared" si="440"/>
      </c>
      <c r="ED103" s="948">
        <f t="shared" si="440"/>
      </c>
      <c r="EE103" s="948">
        <f t="shared" si="440"/>
      </c>
      <c r="EF103" s="948">
        <f t="shared" si="440"/>
      </c>
      <c r="EG103" s="948">
        <f t="shared" si="440"/>
      </c>
      <c r="EH103" s="1505">
        <f t="shared" si="440"/>
      </c>
      <c r="EI103" s="948">
        <f t="shared" si="440"/>
      </c>
      <c r="EJ103" s="948">
        <f t="shared" si="440"/>
      </c>
      <c r="EK103" s="948">
        <f t="shared" si="440"/>
      </c>
      <c r="EL103" s="948">
        <f t="shared" si="440"/>
      </c>
      <c r="EM103" s="2520">
        <f t="shared" si="440"/>
      </c>
      <c r="EN103" s="2100">
        <f>+EN118</f>
      </c>
      <c r="EO103" s="948">
        <f t="shared" si="440"/>
      </c>
      <c r="EP103" s="948">
        <f t="shared" si="440"/>
      </c>
      <c r="EQ103" s="1251">
        <f t="shared" si="440"/>
      </c>
      <c r="ER103" s="1291">
        <f t="shared" si="440"/>
      </c>
      <c r="ES103" s="2100">
        <f>+ES118</f>
      </c>
      <c r="ET103" s="948">
        <f t="shared" ref="ET103:EW103" si="441">+ET118</f>
      </c>
      <c r="EU103" s="948">
        <f t="shared" si="441"/>
      </c>
      <c r="EV103" s="1251">
        <f t="shared" si="441"/>
      </c>
      <c r="EW103" s="1291">
        <f t="shared" si="441"/>
      </c>
      <c r="EX103" s="948">
        <f>+EX118</f>
      </c>
      <c r="EY103" s="948">
        <f t="shared" ref="EY103" si="442">+EY118</f>
      </c>
      <c r="EZ103" s="948">
        <f>+EZ118</f>
      </c>
      <c r="FA103" s="1251">
        <f>+FA118</f>
      </c>
      <c r="FB103" s="1291">
        <f t="shared" ref="FB103" si="443">+FB118</f>
      </c>
      <c r="FC103" s="1291">
        <f>+FC118</f>
      </c>
      <c r="FD103" s="1291">
        <f>+FD118</f>
      </c>
      <c r="FE103" s="1291">
        <f>+FE118</f>
      </c>
      <c r="FF103" s="1291">
        <f>+FF118</f>
      </c>
      <c r="FG103" s="1291">
        <f>+FG118</f>
      </c>
    </row>
    <row r="104" spans="1:165" outlineLevel="1">
      <c r="A104" s="1"/>
      <c r="B104" s="142" t="s">
        <v>313</v>
      </c>
      <c r="C104" s="127">
        <f>+-'Cash Flows'!E39</f>
      </c>
      <c r="D104" s="127">
        <f>+-'Cash Flows'!F39</f>
      </c>
      <c r="E104" s="127">
        <f>+-'Cash Flows'!G39</f>
      </c>
      <c r="F104" s="127">
        <f>+-'Cash Flows'!H39</f>
      </c>
      <c r="G104" s="127">
        <f>+-'Cash Flows'!I39</f>
      </c>
      <c r="H104" s="127">
        <f>+-'Cash Flows'!J39</f>
      </c>
      <c r="I104" s="127">
        <f>+-'Cash Flows'!K39</f>
      </c>
      <c r="J104" s="127">
        <f>+-'Cash Flows'!L39</f>
      </c>
      <c r="K104" s="127">
        <f>+-'Cash Flows'!M39</f>
      </c>
      <c r="L104" s="127">
        <f>+-'Cash Flows'!N39</f>
      </c>
      <c r="M104" s="127">
        <f>+-'Cash Flows'!O39</f>
      </c>
      <c r="N104" s="127">
        <f>+-'Cash Flows'!P39</f>
      </c>
      <c r="O104" s="127">
        <f>+-'Cash Flows'!Q39</f>
      </c>
      <c r="P104" s="127">
        <f>+-'Cash Flows'!R39</f>
      </c>
      <c r="Q104" s="127">
        <f>+-'Cash Flows'!S39</f>
      </c>
      <c r="R104" s="127">
        <f>+-'Cash Flows'!T39</f>
      </c>
      <c r="S104" s="127">
        <f>+-'Cash Flows'!U39</f>
      </c>
      <c r="T104" s="127">
        <f>+-'Cash Flows'!V39</f>
      </c>
      <c r="U104" s="127">
        <f>+-'Cash Flows'!W39</f>
      </c>
      <c r="V104" s="127">
        <f>+-'Cash Flows'!X39</f>
      </c>
      <c r="W104" s="127">
        <f>+-'Cash Flows'!Y39</f>
      </c>
      <c r="X104" s="127">
        <f>+-'Cash Flows'!Z39</f>
      </c>
      <c r="Y104" s="127">
        <f>+-'Cash Flows'!AA39</f>
      </c>
      <c r="Z104" s="127">
        <f>+-'Cash Flows'!AB39</f>
      </c>
      <c r="AA104" s="127">
        <f>+-'Cash Flows'!AC39</f>
      </c>
      <c r="AB104" s="127">
        <f>+-'Cash Flows'!AD39</f>
      </c>
      <c r="AC104" s="127">
        <f>+-'Cash Flows'!AE39</f>
      </c>
      <c r="AD104" s="127">
        <f>+-'Cash Flows'!AF39</f>
      </c>
      <c r="AE104" s="127">
        <f>+-'Cash Flows'!AG39</f>
      </c>
      <c r="AF104" s="127">
        <f>+-'Cash Flows'!AH39</f>
      </c>
      <c r="AG104" s="127">
        <f>+-'Cash Flows'!AI39</f>
      </c>
      <c r="AH104" s="127">
        <f>+-'Cash Flows'!AJ39</f>
      </c>
      <c r="AI104" s="127">
        <f>+-'Cash Flows'!AK39</f>
      </c>
      <c r="AJ104" s="127">
        <f>+-'Cash Flows'!AL39</f>
      </c>
      <c r="AK104" s="127">
        <f>+-'Cash Flows'!AM39</f>
      </c>
      <c r="AL104" s="127">
        <f>+-'Cash Flows'!AN39</f>
      </c>
      <c r="AM104" s="127">
        <f>+-'Cash Flows'!AO39</f>
      </c>
      <c r="AN104" s="127">
        <f>+-'Cash Flows'!AP39</f>
      </c>
      <c r="AO104" s="127">
        <f>+-'Cash Flows'!AQ39</f>
      </c>
      <c r="AP104" s="127">
        <f>+-'Cash Flows'!AR39</f>
      </c>
      <c r="AQ104" s="127">
        <f>+-'Cash Flows'!AS39</f>
      </c>
      <c r="AR104" s="127">
        <f>+-'Cash Flows'!AT39</f>
      </c>
      <c r="AS104" s="127">
        <f>+-'Cash Flows'!AU39</f>
      </c>
      <c r="AT104" s="127">
        <f>+-'Cash Flows'!AV39</f>
      </c>
      <c r="AU104" s="127">
        <f>+-'Cash Flows'!AW39</f>
      </c>
      <c r="AV104" s="127">
        <f>+-'Cash Flows'!AX39</f>
      </c>
      <c r="AW104" s="127">
        <f>+-'Cash Flows'!AY39</f>
      </c>
      <c r="AX104" s="127">
        <f>+-'Cash Flows'!AZ39</f>
      </c>
      <c r="AY104" s="127">
        <f>+-'Cash Flows'!BA39</f>
      </c>
      <c r="AZ104" s="127">
        <f>+-'Cash Flows'!BB39</f>
      </c>
      <c r="BA104" s="127">
        <f>+-'Cash Flows'!BC39</f>
      </c>
      <c r="BB104" s="127">
        <f>+-'Cash Flows'!BD39</f>
      </c>
      <c r="BC104" s="127">
        <f>+-'Cash Flows'!BE39</f>
      </c>
      <c r="BD104" s="127">
        <f>+-'Cash Flows'!BF39</f>
      </c>
      <c r="BE104" s="127">
        <f>+-'Cash Flows'!BG39</f>
      </c>
      <c r="BF104" s="127">
        <f>+-'Cash Flows'!BH39</f>
      </c>
      <c r="BG104" s="127">
        <f>+-'Cash Flows'!BI39</f>
      </c>
      <c r="BH104" s="127">
        <f>+-'Cash Flows'!BJ39</f>
      </c>
      <c r="BI104" s="127">
        <f>+-'Cash Flows'!BK39</f>
      </c>
      <c r="BJ104" s="127">
        <f>+-'Cash Flows'!BL39</f>
      </c>
      <c r="BK104" s="127">
        <f>+-'Cash Flows'!BM39</f>
      </c>
      <c r="BL104" s="127">
        <f>+-'Cash Flows'!BN39</f>
      </c>
      <c r="BM104" s="402">
        <f>+-'Cash Flows'!BO39</f>
      </c>
      <c r="BN104" s="127">
        <f>+-'Cash Flows'!BP39</f>
      </c>
      <c r="BO104" s="127">
        <f>+-'Cash Flows'!BQ39</f>
      </c>
      <c r="BP104" s="127">
        <f>+-'Cash Flows'!BR39</f>
      </c>
      <c r="BQ104" s="127">
        <f>+-'Cash Flows'!BS39</f>
      </c>
      <c r="BR104" s="127">
        <f>+-'Cash Flows'!BT39</f>
      </c>
      <c r="BS104" s="127">
        <f>+-'Cash Flows'!BU39</f>
      </c>
      <c r="BT104" s="127">
        <f>+-'Cash Flows'!BV39</f>
      </c>
      <c r="BU104" s="544">
        <f>+-'Cash Flows'!BW39</f>
      </c>
      <c r="BV104" s="127">
        <f>+-'Cash Flows'!BX39</f>
      </c>
      <c r="BW104" s="127">
        <f>+-'Cash Flows'!BY39</f>
      </c>
      <c r="BX104" s="127">
        <f>+-'Cash Flows'!BZ39</f>
      </c>
      <c r="BY104" s="127">
        <f>+-'Cash Flows'!CA39</f>
      </c>
      <c r="BZ104" s="544">
        <f>+-'Cash Flows'!CB39</f>
      </c>
      <c r="CA104" s="127">
        <f>+-'Cash Flows'!CC39</f>
      </c>
      <c r="CB104" s="127">
        <f>+-'Cash Flows'!CD39</f>
      </c>
      <c r="CC104" s="127">
        <f>+-'Cash Flows'!CE39</f>
      </c>
      <c r="CD104" s="127">
        <f>+-'Cash Flows'!CF39</f>
      </c>
      <c r="CE104" s="544">
        <f>+-'Cash Flows'!CG39</f>
      </c>
      <c r="CF104" s="82">
        <f t="shared" ref="CF104:CL104" si="444">+CF103*CF101</f>
      </c>
      <c r="CG104" s="82">
        <f t="shared" si="444"/>
      </c>
      <c r="CH104" s="82">
        <f t="shared" si="444"/>
      </c>
      <c r="CI104" s="82">
        <f t="shared" si="444"/>
      </c>
      <c r="CJ104" s="548">
        <f t="shared" si="444"/>
      </c>
      <c r="CK104" s="82">
        <f t="shared" si="444"/>
      </c>
      <c r="CL104" s="82">
        <f t="shared" si="444"/>
      </c>
      <c r="CM104" s="82">
        <v>1675.0244107699998</v>
      </c>
      <c r="CN104" s="82">
        <f>CO104-SUM(CK104:CM104)</f>
      </c>
      <c r="CO104" s="548">
        <f>+CO103*CO101</f>
      </c>
      <c r="CP104" s="82">
        <f>+CP103*CP101</f>
      </c>
      <c r="CQ104" s="82">
        <f>+CQ103*CQ101</f>
      </c>
      <c r="CR104" s="82">
        <f>+CR103*CR101</f>
      </c>
      <c r="CS104" s="82">
        <f>CT104-SUM(CP104:CR104)</f>
      </c>
      <c r="CT104" s="548">
        <f>+CT103*CT101</f>
      </c>
      <c r="CU104" s="82">
        <f>+CU103*CU101</f>
      </c>
      <c r="CV104" s="82">
        <f>+CV103*CV101</f>
      </c>
      <c r="CW104" s="82">
        <f>+CW103*CW101</f>
      </c>
      <c r="CX104" s="82">
        <f>CY104-SUM(CU104:CW104)</f>
      </c>
      <c r="CY104" s="548">
        <f>+CY103*CY101</f>
      </c>
      <c r="CZ104" s="82">
        <f>+CZ103*CZ101</f>
      </c>
      <c r="DA104" s="82">
        <f>+DA103*DA101</f>
      </c>
      <c r="DB104" s="82">
        <f>+DB103*DB101</f>
      </c>
      <c r="DC104" s="82">
        <f>DD104-SUM(CZ104:DB104)</f>
      </c>
      <c r="DD104" s="548">
        <f>+DD103*DD101</f>
      </c>
      <c r="DE104" s="82">
        <f>+DE103*DE101</f>
      </c>
      <c r="DF104" s="82">
        <f>+DF103*DF101</f>
      </c>
      <c r="DG104" s="82">
        <f>+DG103*DG101</f>
      </c>
      <c r="DH104" s="82">
        <f>DI104-SUM(DE104:DG104)</f>
      </c>
      <c r="DI104" s="548">
        <f>+DI103*DI101</f>
      </c>
      <c r="DJ104" s="82">
        <f>+DJ103*DJ101</f>
      </c>
      <c r="DK104" s="82">
        <f>+DK103*DK101</f>
      </c>
      <c r="DL104" s="82">
        <f>+DL103*DL101</f>
      </c>
      <c r="DM104" s="82">
        <f>DN104-SUM(DJ104:DL104)</f>
      </c>
      <c r="DN104" s="548">
        <f>+DN103*DN101</f>
      </c>
      <c r="DO104" s="1128">
        <f>+DO103*DO101</f>
      </c>
      <c r="DP104" s="1128">
        <f>+DP103*DP101</f>
      </c>
      <c r="DQ104" s="1128">
        <f>+DQ103*DQ101</f>
      </c>
      <c r="DR104" s="82">
        <f>DS104-SUM(DO104:DQ104)</f>
      </c>
      <c r="DS104" s="548">
        <f>+DS103*DS101</f>
      </c>
      <c r="DT104" s="1128">
        <f>+DT103*DT101</f>
      </c>
      <c r="DU104" s="1128">
        <f>+DU103*DU101</f>
      </c>
      <c r="DV104" s="1128">
        <f>+DV103*DV101</f>
      </c>
      <c r="DW104" s="1128">
        <f>+DW103*DW101</f>
      </c>
      <c r="DX104" s="548">
        <f>SUM(DT104:DW104)</f>
      </c>
      <c r="DY104" s="1128">
        <f>+DY103*DY101</f>
      </c>
      <c r="DZ104" s="1128">
        <f>+DZ103*DZ101</f>
      </c>
      <c r="EA104" s="1128">
        <f>+EA103*EA101</f>
      </c>
      <c r="EB104" s="2140">
        <f>+EB103*EB101</f>
      </c>
      <c r="EC104" s="2729">
        <f>SUM(DY104:EB104)</f>
      </c>
      <c r="ED104" s="1128">
        <f>+ED103*ED101</f>
      </c>
      <c r="EE104" s="1128">
        <f>+EE103*EE101</f>
      </c>
      <c r="EF104" s="1128">
        <f>+EF103*EF101</f>
      </c>
      <c r="EG104" s="2140">
        <f>+EG103*EG101</f>
      </c>
      <c r="EH104" s="2726">
        <f>SUM(ED104:EG104)</f>
      </c>
      <c r="EI104" s="1128">
        <f t="shared" ref="EI104:EQ104" si="445">+EI103*EI101</f>
      </c>
      <c r="EJ104" s="1128">
        <f t="shared" si="445"/>
      </c>
      <c r="EK104" s="1128">
        <f t="shared" si="445"/>
      </c>
      <c r="EL104" s="1128">
        <f t="shared" si="445"/>
      </c>
      <c r="EM104" s="2521">
        <f>SUM(EI104:EL104)</f>
      </c>
      <c r="EN104" s="2518">
        <f>+EN103*EN101</f>
      </c>
      <c r="EO104" s="2140">
        <f t="shared" si="445"/>
      </c>
      <c r="EP104" s="1128">
        <f t="shared" si="445"/>
      </c>
      <c r="EQ104" s="2149">
        <f t="shared" si="445"/>
      </c>
      <c r="ER104" s="2155">
        <f>SUM(EN104:EQ104)</f>
      </c>
      <c r="ES104" s="2518">
        <f>+ES103*ES101</f>
      </c>
      <c r="ET104" s="3498">
        <f t="shared" ref="ET104:EV104" si="446">+ET103*ET101</f>
      </c>
      <c r="EU104" s="1128">
        <f t="shared" si="446"/>
      </c>
      <c r="EV104" s="2149">
        <f t="shared" si="446"/>
      </c>
      <c r="EW104" s="2155">
        <f>SUM(ES104:EV104)</f>
      </c>
      <c r="EX104" s="2140">
        <f>+EX101*EX103</f>
      </c>
      <c r="EY104" s="3498">
        <f t="shared" ref="EY104" si="447">+EY103*EY101</f>
      </c>
      <c r="EZ104" s="2140">
        <f>+EZ101*EZ103</f>
      </c>
      <c r="FA104" s="2149">
        <f>+FA101*FA103</f>
      </c>
      <c r="FB104" s="3588">
        <f>SUM(EX104:FA104)</f>
      </c>
      <c r="FC104" s="1294">
        <f t="shared" ref="FC104:FG104" si="448">+FC101*FC103</f>
      </c>
      <c r="FD104" s="1294">
        <f t="shared" si="448"/>
      </c>
      <c r="FE104" s="1294">
        <f t="shared" si="448"/>
      </c>
      <c r="FF104" s="1294">
        <f t="shared" si="448"/>
      </c>
      <c r="FG104" s="1294">
        <f t="shared" si="448"/>
      </c>
    </row>
    <row r="105" spans="1:165" outlineLevel="1">
      <c r="A105" s="1"/>
      <c r="B105" s="72"/>
      <c r="C105" s="72"/>
      <c r="D105" s="72"/>
      <c r="E105" s="72"/>
      <c r="F105" s="72"/>
      <c r="G105" s="72"/>
      <c r="H105" s="72"/>
      <c r="I105" s="72"/>
      <c r="J105" s="72"/>
      <c r="K105" s="72"/>
      <c r="L105" s="72"/>
      <c r="M105" s="72"/>
      <c r="N105" s="68"/>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
      <c r="BU105" s="1"/>
      <c r="BV105" s="10"/>
      <c r="BW105" s="10"/>
      <c r="BX105" s="1"/>
      <c r="BY105" s="1"/>
      <c r="BZ105" s="1"/>
      <c r="CA105" s="1"/>
      <c r="CB105" s="1"/>
      <c r="CC105" s="1"/>
      <c r="CD105" s="1"/>
      <c r="CE105" s="1"/>
      <c r="CF105" s="1"/>
      <c r="CG105" s="1"/>
      <c r="CH105" s="1"/>
      <c r="CI105" s="1"/>
      <c r="CJ105" s="1"/>
      <c r="CK105" s="1"/>
      <c r="CL105" s="1"/>
      <c r="CM105" s="1"/>
      <c r="CN105" s="1"/>
      <c r="CO105" s="1"/>
      <c r="CP105" s="1"/>
      <c r="CQ105" s="1"/>
      <c r="CR105" s="1"/>
      <c r="CS105" s="1"/>
      <c r="CT105" s="73"/>
      <c r="CU105" s="1"/>
      <c r="CV105" s="1"/>
      <c r="CW105" s="1"/>
      <c r="CX105" s="1"/>
      <c r="CY105" s="73"/>
      <c r="CZ105" s="1"/>
      <c r="DA105" s="1"/>
      <c r="DB105" s="1"/>
      <c r="DC105" s="1"/>
      <c r="DD105" s="73"/>
      <c r="DE105" s="1"/>
      <c r="DF105" s="1"/>
      <c r="DG105" s="1"/>
      <c r="DH105" s="946"/>
      <c r="DI105" s="1045"/>
      <c r="DJ105" s="1"/>
      <c r="DK105" s="1"/>
      <c r="DL105" s="1"/>
      <c r="DM105" s="946"/>
      <c r="DN105" s="1045"/>
      <c r="DO105" s="946"/>
      <c r="DP105" s="946"/>
      <c r="DQ105" s="946"/>
      <c r="DR105" s="946"/>
      <c r="DS105" s="1045"/>
      <c r="DT105" s="946"/>
      <c r="DU105" s="946"/>
      <c r="DV105" s="946"/>
      <c r="DW105" s="946"/>
      <c r="DX105" s="1045"/>
      <c r="DY105" s="946"/>
      <c r="DZ105" s="946"/>
      <c r="EA105" s="946"/>
      <c r="EB105" s="946"/>
      <c r="EC105" s="1045"/>
      <c r="ED105" s="1045"/>
      <c r="EE105" s="1045"/>
      <c r="EF105" s="1045"/>
      <c r="EG105" s="1045"/>
      <c r="EH105" s="1045"/>
      <c r="EI105" s="1045"/>
      <c r="EJ105" s="1045"/>
      <c r="EK105" s="1045"/>
      <c r="EL105" s="1045"/>
      <c r="EM105" s="1045"/>
      <c r="EN105" s="1045"/>
      <c r="EO105" s="1045"/>
      <c r="EP105" s="1045"/>
      <c r="EQ105" s="2469">
        <f>+'Income Statement'!FW61</f>
      </c>
      <c r="ER105" s="1045"/>
      <c r="ES105" s="1045"/>
      <c r="ET105" s="1045"/>
      <c r="EU105" s="1045"/>
      <c r="EV105" s="2469">
        <f>+'Income Statement'!GB61</f>
      </c>
      <c r="EW105" s="1045"/>
      <c r="EX105" s="2469">
        <f>+'Income Statement'!GD61</f>
      </c>
      <c r="EY105" s="1045"/>
      <c r="EZ105" s="2469">
        <f>+'Income Statement'!GF61</f>
      </c>
      <c r="FA105" s="2469">
        <f>+'Income Statement'!GG61</f>
      </c>
      <c r="FB105" s="2469">
        <v>2427.35</v>
      </c>
      <c r="FC105" s="1045"/>
      <c r="FD105" s="1045"/>
      <c r="FE105" s="1045"/>
      <c r="FF105" s="1045"/>
      <c r="FG105" s="1045"/>
    </row>
    <row r="106" spans="1:165" outlineLevel="1">
      <c r="A106" s="1"/>
      <c r="B106" s="778" t="s">
        <v>75</v>
      </c>
      <c r="C106" s="779"/>
      <c r="D106" s="779"/>
      <c r="E106" s="779"/>
      <c r="F106" s="779"/>
      <c r="G106" s="779"/>
      <c r="H106" s="779"/>
      <c r="I106" s="779"/>
      <c r="J106" s="779"/>
      <c r="K106" s="779"/>
      <c r="L106" s="779"/>
      <c r="M106" s="779"/>
      <c r="N106" s="779"/>
      <c r="O106" s="774"/>
      <c r="P106" s="774"/>
      <c r="Q106" s="774"/>
      <c r="R106" s="774"/>
      <c r="S106" s="774"/>
      <c r="T106" s="774"/>
      <c r="U106" s="774"/>
      <c r="V106" s="774"/>
      <c r="W106" s="774"/>
      <c r="X106" s="774"/>
      <c r="Y106" s="774"/>
      <c r="Z106" s="774"/>
      <c r="AA106" s="774"/>
      <c r="AB106" s="774"/>
      <c r="AC106" s="774"/>
      <c r="AD106" s="774"/>
      <c r="AE106" s="774"/>
      <c r="AF106" s="774"/>
      <c r="AG106" s="774"/>
      <c r="AH106" s="774"/>
      <c r="AI106" s="774"/>
      <c r="AJ106" s="774"/>
      <c r="AK106" s="774"/>
      <c r="AL106" s="774"/>
      <c r="AM106" s="774"/>
      <c r="AN106" s="774"/>
      <c r="AO106" s="774"/>
      <c r="AP106" s="774"/>
      <c r="AQ106" s="774"/>
      <c r="AR106" s="774"/>
      <c r="AS106" s="774"/>
      <c r="AT106" s="774"/>
      <c r="AU106" s="774"/>
      <c r="AV106" s="774"/>
      <c r="AW106" s="774"/>
      <c r="AX106" s="774"/>
      <c r="AY106" s="774"/>
      <c r="AZ106" s="774"/>
      <c r="BA106" s="774"/>
      <c r="BB106" s="774"/>
      <c r="BC106" s="774"/>
      <c r="BD106" s="774"/>
      <c r="BE106" s="774"/>
      <c r="BF106" s="774"/>
      <c r="BG106" s="774"/>
      <c r="BH106" s="774"/>
      <c r="BI106" s="774"/>
      <c r="BJ106" s="774"/>
      <c r="BK106" s="774"/>
      <c r="BL106" s="774"/>
      <c r="BM106" s="774"/>
      <c r="BN106" s="774"/>
      <c r="BO106" s="774"/>
      <c r="BP106" s="774"/>
      <c r="BQ106" s="774"/>
      <c r="BR106" s="774"/>
      <c r="BS106" s="774"/>
      <c r="BT106" s="593"/>
      <c r="BU106" s="771"/>
      <c r="BV106" s="774"/>
      <c r="BW106" s="774"/>
      <c r="BX106" s="593"/>
      <c r="BY106" s="593"/>
      <c r="BZ106" s="771"/>
      <c r="CA106" s="593"/>
      <c r="CB106" s="593"/>
      <c r="CC106" s="593"/>
      <c r="CD106" s="593"/>
      <c r="CE106" s="771"/>
      <c r="CF106" s="593"/>
      <c r="CG106" s="593"/>
      <c r="CH106" s="593"/>
      <c r="CI106" s="593"/>
      <c r="CJ106" s="771"/>
      <c r="CK106" s="593"/>
      <c r="CL106" s="593"/>
      <c r="CM106" s="593"/>
      <c r="CN106" s="593"/>
      <c r="CO106" s="771"/>
      <c r="CP106" s="593"/>
      <c r="CQ106" s="593"/>
      <c r="CR106" s="593"/>
      <c r="CS106" s="593"/>
      <c r="CT106" s="771"/>
      <c r="CU106" s="593"/>
      <c r="CV106" s="593"/>
      <c r="CW106" s="593"/>
      <c r="CX106" s="593"/>
      <c r="CY106" s="771"/>
      <c r="CZ106" s="593"/>
      <c r="DA106" s="593"/>
      <c r="DB106" s="593"/>
      <c r="DC106" s="593"/>
      <c r="DD106" s="771"/>
      <c r="DE106" s="593"/>
      <c r="DF106" s="593"/>
      <c r="DG106" s="593"/>
      <c r="DH106" s="1033"/>
      <c r="DI106" s="1113"/>
      <c r="DJ106" s="593"/>
      <c r="DK106" s="593"/>
      <c r="DL106" s="593"/>
      <c r="DM106" s="1033"/>
      <c r="DN106" s="1113"/>
      <c r="DO106" s="1124"/>
      <c r="DP106" s="1124"/>
      <c r="DQ106" s="1124"/>
      <c r="DR106" s="1033"/>
      <c r="DS106" s="1113"/>
      <c r="DT106" s="1124"/>
      <c r="DU106" s="1124"/>
      <c r="DV106" s="1124"/>
      <c r="DW106" s="1124"/>
      <c r="DX106" s="1113"/>
      <c r="DY106" s="1124"/>
      <c r="DZ106" s="1124"/>
      <c r="EA106" s="1124"/>
      <c r="EB106" s="1124"/>
      <c r="EC106" s="2714"/>
      <c r="ED106" s="1499"/>
      <c r="EE106" s="1499"/>
      <c r="EF106" s="1499"/>
      <c r="EG106" s="1499"/>
      <c r="EH106" s="2714"/>
      <c r="EI106" s="1499"/>
      <c r="EJ106" s="1499"/>
      <c r="EK106" s="1499"/>
      <c r="EL106" s="1499"/>
      <c r="EM106" s="2509"/>
      <c r="EN106" s="2898">
        <f>-'Cash Flows'!EP39</f>
      </c>
      <c r="EO106" s="2899">
        <f>-'Cash Flows'!EQ39</f>
      </c>
      <c r="EP106" s="3197">
        <f>-'Cash Flows'!ER39</f>
      </c>
      <c r="EQ106" s="3197">
        <f>-'Cash Flows'!ES39</f>
      </c>
      <c r="ER106" s="2896">
        <f>SUM(EN106:EQ106)</f>
      </c>
      <c r="ES106" s="2898">
        <f>-'Cash Flows'!EU39</f>
      </c>
      <c r="ET106" s="2899">
        <f>-'Cash Flows'!EV39</f>
      </c>
      <c r="EU106" s="3197">
        <f>-'Cash Flows'!EW39</f>
      </c>
      <c r="EV106" s="3197">
        <f>-'Cash Flows'!EX39</f>
      </c>
      <c r="EW106" s="2896">
        <f>SUM(ES106:EV106)</f>
      </c>
      <c r="EX106" s="2897">
        <f>+EW106</f>
      </c>
      <c r="EY106" s="2899">
        <f>-'Cash Flows'!FA39</f>
      </c>
      <c r="EZ106" s="2897">
        <f>+EY106</f>
      </c>
      <c r="FA106" s="2900">
        <f>+EZ106</f>
      </c>
      <c r="FB106" s="2896">
        <f>EW106-900</f>
      </c>
      <c r="FC106" s="1287"/>
      <c r="FD106" s="1287"/>
      <c r="FE106" s="1287"/>
      <c r="FF106" s="1287"/>
      <c r="FG106" s="1287"/>
    </row>
    <row r="107" spans="1:165" outlineLevel="1">
      <c r="A107" s="1"/>
      <c r="B107" s="94" t="s">
        <v>314</v>
      </c>
      <c r="C107" s="84"/>
      <c r="D107" s="84"/>
      <c r="E107" s="84"/>
      <c r="F107" s="84"/>
      <c r="G107" s="84"/>
      <c r="H107" s="84"/>
      <c r="I107" s="84"/>
      <c r="J107" s="84"/>
      <c r="K107" s="84"/>
      <c r="L107" s="84"/>
      <c r="M107" s="84"/>
      <c r="N107" s="84"/>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
      <c r="BU107" s="539"/>
      <c r="BV107" s="10"/>
      <c r="BW107" s="10"/>
      <c r="BX107" s="1"/>
      <c r="BY107" s="1"/>
      <c r="BZ107" s="539"/>
      <c r="CA107" s="1"/>
      <c r="CB107" s="1"/>
      <c r="CC107" s="1"/>
      <c r="CD107" s="1"/>
      <c r="CE107" s="539"/>
      <c r="CF107" s="1"/>
      <c r="CG107" s="1"/>
      <c r="CH107" s="1"/>
      <c r="CI107" s="1"/>
      <c r="CJ107" s="539"/>
      <c r="CK107" s="1"/>
      <c r="CL107" s="1"/>
      <c r="CM107" s="1"/>
      <c r="CN107" s="1"/>
      <c r="CO107" s="539"/>
      <c r="CP107" s="1"/>
      <c r="CQ107" s="1"/>
      <c r="CR107" s="1"/>
      <c r="CS107" s="1"/>
      <c r="CT107" s="539"/>
      <c r="CU107" s="1"/>
      <c r="CV107" s="1"/>
      <c r="CW107" s="1"/>
      <c r="CX107" s="1"/>
      <c r="CY107" s="539"/>
      <c r="CZ107" s="1"/>
      <c r="DA107" s="1"/>
      <c r="DB107" s="1"/>
      <c r="DC107" s="1"/>
      <c r="DD107" s="539"/>
      <c r="DE107" s="1"/>
      <c r="DF107" s="1"/>
      <c r="DG107" s="1"/>
      <c r="DH107" s="946"/>
      <c r="DI107" s="1114"/>
      <c r="DJ107" s="1"/>
      <c r="DK107" s="1"/>
      <c r="DL107" s="1"/>
      <c r="DM107" s="946"/>
      <c r="DN107" s="1114"/>
      <c r="DO107" s="946"/>
      <c r="DP107" s="946"/>
      <c r="DQ107" s="946"/>
      <c r="DR107" s="946"/>
      <c r="DS107" s="1114"/>
      <c r="DT107" s="946"/>
      <c r="DU107" s="946"/>
      <c r="DV107" s="946"/>
      <c r="DW107" s="946"/>
      <c r="DX107" s="1114"/>
      <c r="DY107" s="946"/>
      <c r="DZ107" s="946"/>
      <c r="EA107" s="946"/>
      <c r="EB107" s="946"/>
      <c r="EC107" s="2724"/>
      <c r="ED107" s="1036"/>
      <c r="EE107" s="1036"/>
      <c r="EF107" s="1036"/>
      <c r="EG107" s="1036"/>
      <c r="EH107" s="2733"/>
      <c r="EI107" s="1036"/>
      <c r="EJ107" s="1036"/>
      <c r="EK107" s="1036"/>
      <c r="EL107" s="1036"/>
      <c r="EM107" s="2525"/>
      <c r="EN107" s="2425"/>
      <c r="EO107" s="1036"/>
      <c r="EP107" s="1036"/>
      <c r="EQ107" s="2171"/>
      <c r="ER107" s="1577"/>
      <c r="ES107" s="2425"/>
      <c r="ET107" s="1036"/>
      <c r="EU107" s="1036"/>
      <c r="EV107" s="2171"/>
      <c r="EW107" s="1577"/>
      <c r="EX107" s="1036"/>
      <c r="EY107" s="1036"/>
      <c r="EZ107" s="1036"/>
      <c r="FA107" s="2171"/>
      <c r="FB107" s="1577"/>
      <c r="FC107" s="1577"/>
      <c r="FD107" s="1577"/>
      <c r="FE107" s="1577"/>
      <c r="FF107" s="1577"/>
      <c r="FG107" s="1577"/>
    </row>
    <row r="108" spans="1:165" outlineLevel="1">
      <c r="A108" s="1"/>
      <c r="B108" s="85" t="s">
        <v>315</v>
      </c>
      <c r="C108" s="86"/>
      <c r="D108" s="86"/>
      <c r="E108" s="86"/>
      <c r="F108" s="86"/>
      <c r="G108" s="86"/>
      <c r="H108" s="86"/>
      <c r="I108" s="86"/>
      <c r="J108" s="86"/>
      <c r="K108" s="86"/>
      <c r="L108" s="86"/>
      <c r="M108" s="86"/>
      <c r="N108" s="1"/>
      <c r="O108" s="10"/>
      <c r="P108" s="10"/>
      <c r="Q108" s="10"/>
      <c r="R108" s="10"/>
      <c r="S108" s="10"/>
      <c r="T108" s="10"/>
      <c r="U108" s="10"/>
      <c r="V108" s="46"/>
      <c r="W108" s="46">
        <v>32.94</v>
      </c>
      <c r="X108" s="46">
        <f>+W110</f>
      </c>
      <c r="Y108" s="46">
        <f>+X110</f>
      </c>
      <c r="Z108" s="46">
        <f>+Y110</f>
      </c>
      <c r="AA108" s="46">
        <f>+Z110</f>
      </c>
      <c r="AB108" s="46">
        <f>+W110</f>
      </c>
      <c r="AC108" s="46">
        <f>+AB110</f>
      </c>
      <c r="AD108" s="46">
        <f>+AC110</f>
      </c>
      <c r="AE108" s="46">
        <f>+AD110</f>
      </c>
      <c r="AF108" s="46">
        <f>+AE110</f>
      </c>
      <c r="AG108" s="46">
        <f>+AB110</f>
      </c>
      <c r="AH108" s="46">
        <f>+AG110</f>
      </c>
      <c r="AI108" s="46">
        <f>+AH110</f>
      </c>
      <c r="AJ108" s="46">
        <f>+AI110</f>
      </c>
      <c r="AK108" s="46">
        <f>+AJ110</f>
      </c>
      <c r="AL108" s="46">
        <f>+AG110</f>
      </c>
      <c r="AM108" s="46">
        <f>+AL110</f>
      </c>
      <c r="AN108" s="46">
        <f>+AM110</f>
      </c>
      <c r="AO108" s="46">
        <f>+AN110</f>
      </c>
      <c r="AP108" s="46">
        <f>+AO110</f>
      </c>
      <c r="AQ108" s="46">
        <f>+AL110</f>
      </c>
      <c r="AR108" s="46">
        <f>+AQ110</f>
      </c>
      <c r="AS108" s="46">
        <f>+AR110</f>
      </c>
      <c r="AT108" s="46">
        <f>+AS110</f>
      </c>
      <c r="AU108" s="46">
        <f>+AT110</f>
      </c>
      <c r="AV108" s="46">
        <f>+AQ110</f>
      </c>
      <c r="AW108" s="46">
        <f>+AV110</f>
      </c>
      <c r="AX108" s="46">
        <f>+AW110</f>
      </c>
      <c r="AY108" s="46">
        <f>+AX110</f>
      </c>
      <c r="AZ108" s="46">
        <f>+AY110</f>
      </c>
      <c r="BA108" s="46">
        <f>+AV110</f>
      </c>
      <c r="BB108" s="46">
        <f>+BA110</f>
      </c>
      <c r="BC108" s="46">
        <f>+BB110</f>
      </c>
      <c r="BD108" s="46">
        <f>+BC110</f>
      </c>
      <c r="BE108" s="46">
        <f>+BD110</f>
      </c>
      <c r="BF108" s="46">
        <f>+BA110</f>
      </c>
      <c r="BG108" s="46">
        <f>+BF110</f>
      </c>
      <c r="BH108" s="46">
        <f>+BG110</f>
      </c>
      <c r="BI108" s="46">
        <f>+BH110</f>
      </c>
      <c r="BJ108" s="46">
        <f>+BI110</f>
      </c>
      <c r="BK108" s="46">
        <f>+BF110</f>
      </c>
      <c r="BL108" s="46">
        <f>+BK110</f>
      </c>
      <c r="BM108" s="46">
        <f>+BL110</f>
      </c>
      <c r="BN108" s="46">
        <f>+BM110</f>
      </c>
      <c r="BO108" s="46">
        <f>+BN110</f>
      </c>
      <c r="BP108" s="46">
        <f>+BK110</f>
      </c>
      <c r="BQ108" s="46">
        <f>+BP110</f>
      </c>
      <c r="BR108" s="46">
        <f>+BQ110</f>
      </c>
      <c r="BS108" s="46">
        <f>+BR110</f>
      </c>
      <c r="BT108" s="46">
        <f>+BS110</f>
      </c>
      <c r="BU108" s="542">
        <f>+BP110</f>
      </c>
      <c r="BV108" s="46">
        <f>+BU110</f>
      </c>
      <c r="BW108" s="46">
        <f>+BV110</f>
      </c>
      <c r="BX108" s="46">
        <f>+BW110</f>
      </c>
      <c r="BY108" s="46">
        <f>+BX110</f>
      </c>
      <c r="BZ108" s="542">
        <f>+BU110</f>
      </c>
      <c r="CA108" s="46">
        <f>+BZ110</f>
      </c>
      <c r="CB108" s="46">
        <f>+CA110</f>
      </c>
      <c r="CC108" s="46">
        <f>+CB110</f>
      </c>
      <c r="CD108" s="46">
        <f>+CC110</f>
      </c>
      <c r="CE108" s="542">
        <f>+BZ110</f>
      </c>
      <c r="CF108" s="46">
        <f>+CE110</f>
      </c>
      <c r="CG108" s="46">
        <f>+CF110</f>
      </c>
      <c r="CH108" s="46">
        <f>+CG110</f>
      </c>
      <c r="CI108" s="46">
        <f>+CH110</f>
      </c>
      <c r="CJ108" s="542">
        <f>+CE110</f>
      </c>
      <c r="CK108" s="46">
        <f>+CJ110</f>
      </c>
      <c r="CL108" s="46">
        <f>+CK110</f>
      </c>
      <c r="CM108" s="46">
        <f>+CL110</f>
      </c>
      <c r="CN108" s="46">
        <f>+CM110</f>
      </c>
      <c r="CO108" s="542">
        <f>+CJ110</f>
      </c>
      <c r="CP108" s="46">
        <f>+CO110</f>
      </c>
      <c r="CQ108" s="46">
        <f>+CP110</f>
      </c>
      <c r="CR108" s="46">
        <f>+CQ110</f>
      </c>
      <c r="CS108" s="46">
        <f>+CR110</f>
      </c>
      <c r="CT108" s="542">
        <f>+CO110</f>
      </c>
      <c r="CU108" s="46">
        <f>+CT110</f>
      </c>
      <c r="CV108" s="46">
        <f>+CU110</f>
      </c>
      <c r="CW108" s="46">
        <f>+CV110</f>
      </c>
      <c r="CX108" s="46">
        <f>+CW110</f>
      </c>
      <c r="CY108" s="542">
        <f>+CT110</f>
      </c>
      <c r="CZ108" s="46">
        <f>+CY110</f>
      </c>
      <c r="DA108" s="46">
        <f>+CZ110</f>
      </c>
      <c r="DB108" s="46">
        <f>+DA110</f>
      </c>
      <c r="DC108" s="46">
        <f>+DB110</f>
      </c>
      <c r="DD108" s="542">
        <f>+CY110</f>
      </c>
      <c r="DE108" s="46">
        <f>+DD110</f>
      </c>
      <c r="DF108" s="46">
        <f>+DE110</f>
      </c>
      <c r="DG108" s="46">
        <f>+DF110</f>
      </c>
      <c r="DH108" s="46">
        <f>+DG110</f>
      </c>
      <c r="DI108" s="1117">
        <f>+DD110</f>
      </c>
      <c r="DJ108" s="46">
        <f>+DI110</f>
      </c>
      <c r="DK108" s="46">
        <f>+DJ110</f>
      </c>
      <c r="DL108" s="46">
        <f>+DK110</f>
      </c>
      <c r="DM108" s="46">
        <f>+DL110</f>
      </c>
      <c r="DN108" s="1117">
        <f>+DI110</f>
      </c>
      <c r="DO108" s="1049">
        <f>+DN110</f>
      </c>
      <c r="DP108" s="1049">
        <f>+DO110</f>
      </c>
      <c r="DQ108" s="1049">
        <f>+DP110</f>
      </c>
      <c r="DR108" s="46">
        <f>+DQ110</f>
      </c>
      <c r="DS108" s="1117">
        <f>+DN110</f>
      </c>
      <c r="DT108" s="1049">
        <f>+DS110</f>
      </c>
      <c r="DU108" s="1049">
        <f>+DT110</f>
      </c>
      <c r="DV108" s="1049">
        <f>+DU110</f>
      </c>
      <c r="DW108" s="1049">
        <f>+DV110</f>
      </c>
      <c r="DX108" s="1117">
        <f>+DS110</f>
      </c>
      <c r="DY108" s="1049">
        <f>+DX110</f>
      </c>
      <c r="DZ108" s="1049">
        <f>+DY110</f>
      </c>
      <c r="EA108" s="1049">
        <f>+DZ110</f>
      </c>
      <c r="EB108" s="1049">
        <f>+EA110</f>
      </c>
      <c r="EC108" s="2362">
        <f>+DX110</f>
      </c>
      <c r="ED108" s="1050">
        <f>+EC110</f>
      </c>
      <c r="EE108" s="2048">
        <f>ED110</f>
      </c>
      <c r="EF108" s="2048">
        <f>EE110</f>
      </c>
      <c r="EG108" s="2048">
        <f>EF110</f>
      </c>
      <c r="EH108" s="2364">
        <f>+EC110</f>
      </c>
      <c r="EI108" s="1050">
        <f>+EH110</f>
      </c>
      <c r="EJ108" s="2048">
        <f>EI110</f>
      </c>
      <c r="EK108" s="2048">
        <f>EJ110</f>
      </c>
      <c r="EL108" s="2048">
        <f>EK110</f>
      </c>
      <c r="EM108" s="2526">
        <f>+EH110</f>
      </c>
      <c r="EN108" s="3204">
        <v>178.19</v>
      </c>
      <c r="EO108" s="1050">
        <f>+EN110</f>
      </c>
      <c r="EP108" s="1050">
        <f>+EO110</f>
      </c>
      <c r="EQ108" s="2173">
        <f>+EP110</f>
      </c>
      <c r="ER108" s="2049">
        <f>+EM110</f>
      </c>
      <c r="ES108" s="3204">
        <v>178.19</v>
      </c>
      <c r="ET108" s="1050">
        <f>+ES110</f>
      </c>
      <c r="EU108" s="1050">
        <f>+ET110</f>
      </c>
      <c r="EV108" s="2173">
        <f>+EU110</f>
      </c>
      <c r="EW108" s="2049">
        <f>+ER110</f>
      </c>
      <c r="EX108" s="2048">
        <f>EW110</f>
      </c>
      <c r="EY108" s="1050">
        <f>+EX110</f>
      </c>
      <c r="EZ108" s="2048">
        <f>EY110</f>
      </c>
      <c r="FA108" s="2172">
        <f>EZ110</f>
      </c>
      <c r="FB108" s="2049">
        <f>+EW110</f>
      </c>
      <c r="FC108" s="2049">
        <f t="shared" ref="FC108:FG108" si="449">+FB110</f>
      </c>
      <c r="FD108" s="2049">
        <f t="shared" si="449"/>
      </c>
      <c r="FE108" s="2049">
        <f t="shared" si="449"/>
      </c>
      <c r="FF108" s="2049">
        <f t="shared" si="449"/>
      </c>
      <c r="FG108" s="2049">
        <f t="shared" si="449"/>
      </c>
      <c r="FH108" s="2592"/>
      <c r="FI108" s="2592"/>
    </row>
    <row r="109" spans="1:165" outlineLevel="1">
      <c r="A109" s="1"/>
      <c r="B109" s="85" t="s">
        <v>243</v>
      </c>
      <c r="C109" s="86"/>
      <c r="D109" s="86"/>
      <c r="E109" s="86"/>
      <c r="F109" s="86"/>
      <c r="G109" s="86"/>
      <c r="H109" s="86"/>
      <c r="I109" s="86"/>
      <c r="J109" s="86"/>
      <c r="K109" s="86"/>
      <c r="L109" s="86"/>
      <c r="M109" s="86"/>
      <c r="N109" s="1"/>
      <c r="O109" s="10"/>
      <c r="P109" s="10"/>
      <c r="Q109" s="10"/>
      <c r="R109" s="10"/>
      <c r="S109" s="10"/>
      <c r="T109" s="10"/>
      <c r="U109" s="10"/>
      <c r="V109" s="22"/>
      <c r="W109" s="22">
        <f t="shared" ref="W109:BZ109" si="450">+W110/W108-1</f>
      </c>
      <c r="X109" s="22">
        <f t="shared" si="450"/>
      </c>
      <c r="Y109" s="22">
        <f t="shared" si="450"/>
      </c>
      <c r="Z109" s="22">
        <f t="shared" si="450"/>
      </c>
      <c r="AA109" s="22">
        <f t="shared" si="450"/>
      </c>
      <c r="AB109" s="22">
        <f t="shared" si="450"/>
      </c>
      <c r="AC109" s="22">
        <f t="shared" si="450"/>
      </c>
      <c r="AD109" s="22">
        <f t="shared" si="450"/>
      </c>
      <c r="AE109" s="22">
        <f t="shared" si="450"/>
      </c>
      <c r="AF109" s="22">
        <f t="shared" si="450"/>
      </c>
      <c r="AG109" s="22">
        <f t="shared" si="450"/>
      </c>
      <c r="AH109" s="22">
        <f t="shared" si="450"/>
      </c>
      <c r="AI109" s="22">
        <f t="shared" si="450"/>
      </c>
      <c r="AJ109" s="22">
        <f t="shared" si="450"/>
      </c>
      <c r="AK109" s="22">
        <f t="shared" si="450"/>
      </c>
      <c r="AL109" s="22">
        <f t="shared" si="450"/>
      </c>
      <c r="AM109" s="22">
        <f t="shared" si="450"/>
      </c>
      <c r="AN109" s="22">
        <f t="shared" si="450"/>
      </c>
      <c r="AO109" s="22">
        <f t="shared" si="450"/>
      </c>
      <c r="AP109" s="22">
        <f t="shared" si="450"/>
      </c>
      <c r="AQ109" s="22">
        <f t="shared" si="450"/>
      </c>
      <c r="AR109" s="22">
        <f t="shared" si="450"/>
      </c>
      <c r="AS109" s="22">
        <f t="shared" si="450"/>
      </c>
      <c r="AT109" s="22">
        <f t="shared" si="450"/>
      </c>
      <c r="AU109" s="22">
        <f t="shared" si="450"/>
      </c>
      <c r="AV109" s="22">
        <f t="shared" si="450"/>
      </c>
      <c r="AW109" s="22">
        <f t="shared" si="450"/>
      </c>
      <c r="AX109" s="22">
        <f t="shared" si="450"/>
      </c>
      <c r="AY109" s="22">
        <f t="shared" si="450"/>
      </c>
      <c r="AZ109" s="22">
        <f t="shared" si="450"/>
      </c>
      <c r="BA109" s="22">
        <f t="shared" si="450"/>
      </c>
      <c r="BB109" s="22">
        <f t="shared" si="450"/>
      </c>
      <c r="BC109" s="22">
        <f t="shared" si="450"/>
      </c>
      <c r="BD109" s="22">
        <f t="shared" si="450"/>
      </c>
      <c r="BE109" s="22">
        <f t="shared" si="450"/>
      </c>
      <c r="BF109" s="22">
        <f t="shared" si="450"/>
      </c>
      <c r="BG109" s="22">
        <f t="shared" si="450"/>
      </c>
      <c r="BH109" s="22">
        <f t="shared" si="450"/>
      </c>
      <c r="BI109" s="22">
        <f t="shared" si="450"/>
      </c>
      <c r="BJ109" s="22">
        <f t="shared" si="450"/>
      </c>
      <c r="BK109" s="22">
        <f t="shared" si="450"/>
      </c>
      <c r="BL109" s="22">
        <f t="shared" si="450"/>
      </c>
      <c r="BM109" s="22">
        <f t="shared" si="450"/>
      </c>
      <c r="BN109" s="22">
        <f t="shared" si="450"/>
      </c>
      <c r="BO109" s="22">
        <f t="shared" si="450"/>
      </c>
      <c r="BP109" s="22">
        <f t="shared" si="450"/>
      </c>
      <c r="BQ109" s="22">
        <f t="shared" si="450"/>
      </c>
      <c r="BR109" s="22">
        <f t="shared" si="450"/>
      </c>
      <c r="BS109" s="22">
        <f t="shared" si="450"/>
      </c>
      <c r="BT109" s="22">
        <f t="shared" si="450"/>
      </c>
      <c r="BU109" s="537">
        <f t="shared" si="450"/>
      </c>
      <c r="BV109" s="22">
        <f>+BV110/BV108-1</f>
      </c>
      <c r="BW109" s="22">
        <f>+BW110/BW108-1</f>
      </c>
      <c r="BX109" s="22">
        <f>+BX110/BX108-1</f>
      </c>
      <c r="BY109" s="22">
        <f>+BY110/BY108-1</f>
      </c>
      <c r="BZ109" s="537">
        <f t="shared" si="450"/>
      </c>
      <c r="CA109" s="22">
        <f t="shared" ref="CA109:CI109" si="451">+CA110/CA108-1</f>
      </c>
      <c r="CB109" s="22">
        <f t="shared" si="451"/>
      </c>
      <c r="CC109" s="22">
        <f t="shared" si="451"/>
      </c>
      <c r="CD109" s="22">
        <f t="shared" si="451"/>
      </c>
      <c r="CE109" s="537">
        <f t="shared" si="451"/>
      </c>
      <c r="CF109" s="22">
        <f t="shared" si="451"/>
      </c>
      <c r="CG109" s="399">
        <f t="shared" si="451"/>
      </c>
      <c r="CH109" s="399">
        <f t="shared" si="451"/>
      </c>
      <c r="CI109" s="399">
        <f t="shared" si="451"/>
      </c>
      <c r="CJ109" s="537">
        <f t="shared" ref="CJ109:CP109" si="452">+CJ110/CJ108-1</f>
      </c>
      <c r="CK109" s="22">
        <f t="shared" si="452"/>
      </c>
      <c r="CL109" s="22">
        <f t="shared" si="452"/>
      </c>
      <c r="CM109" s="22">
        <f t="shared" si="452"/>
      </c>
      <c r="CN109" s="22">
        <f t="shared" si="452"/>
      </c>
      <c r="CO109" s="537">
        <f t="shared" si="452"/>
      </c>
      <c r="CP109" s="22">
        <f t="shared" si="452"/>
      </c>
      <c r="CQ109" s="22">
        <f t="shared" ref="CQ109:CW109" si="453">+CQ110/CQ108-1</f>
      </c>
      <c r="CR109" s="22">
        <f t="shared" si="453"/>
      </c>
      <c r="CS109" s="22">
        <f t="shared" si="453"/>
      </c>
      <c r="CT109" s="537">
        <f t="shared" si="453"/>
      </c>
      <c r="CU109" s="22">
        <f t="shared" si="453"/>
      </c>
      <c r="CV109" s="22">
        <f t="shared" si="453"/>
      </c>
      <c r="CW109" s="22">
        <f t="shared" si="453"/>
      </c>
      <c r="CX109" s="22">
        <f t="shared" ref="CX109:DD109" si="454">+CX110/CX108-1</f>
      </c>
      <c r="CY109" s="537">
        <f t="shared" si="454"/>
      </c>
      <c r="CZ109" s="22">
        <f t="shared" si="454"/>
      </c>
      <c r="DA109" s="22">
        <f t="shared" si="454"/>
      </c>
      <c r="DB109" s="22">
        <f t="shared" si="454"/>
      </c>
      <c r="DC109" s="22">
        <f t="shared" si="454"/>
      </c>
      <c r="DD109" s="537">
        <f t="shared" si="454"/>
      </c>
      <c r="DE109" s="22">
        <f t="shared" ref="DE109:DS109" si="455">+DE110/DE108-1</f>
      </c>
      <c r="DF109" s="22">
        <f t="shared" si="455"/>
      </c>
      <c r="DG109" s="22">
        <f t="shared" si="455"/>
      </c>
      <c r="DH109" s="22">
        <f t="shared" si="455"/>
      </c>
      <c r="DI109" s="1120">
        <f t="shared" si="455"/>
      </c>
      <c r="DJ109" s="22">
        <f t="shared" si="455"/>
      </c>
      <c r="DK109" s="22">
        <f t="shared" si="455"/>
      </c>
      <c r="DL109" s="22">
        <f t="shared" si="455"/>
      </c>
      <c r="DM109" s="22">
        <f t="shared" si="455"/>
      </c>
      <c r="DN109" s="1120">
        <f t="shared" si="455"/>
      </c>
      <c r="DO109" s="943">
        <f t="shared" si="455"/>
      </c>
      <c r="DP109" s="943">
        <f t="shared" si="455"/>
      </c>
      <c r="DQ109" s="943">
        <f t="shared" si="455"/>
      </c>
      <c r="DR109" s="22">
        <f t="shared" si="455"/>
      </c>
      <c r="DS109" s="1120">
        <f t="shared" si="455"/>
      </c>
      <c r="DT109" s="943">
        <f t="shared" ref="DT109:DY109" si="456">+DT110/DT108-1</f>
      </c>
      <c r="DU109" s="943">
        <f t="shared" si="456"/>
      </c>
      <c r="DV109" s="943">
        <f t="shared" si="456"/>
      </c>
      <c r="DW109" s="943">
        <f t="shared" si="456"/>
      </c>
      <c r="DX109" s="1120">
        <f>+DX110/DX108-1</f>
      </c>
      <c r="DY109" s="943">
        <f t="shared" si="456"/>
      </c>
      <c r="DZ109" s="943">
        <f>+DZ110/DZ108-1</f>
      </c>
      <c r="EA109" s="943">
        <f>+EA110/EA108-1</f>
      </c>
      <c r="EB109" s="943">
        <f>+EB110/EB108-1</f>
      </c>
      <c r="EC109" s="1067">
        <f>+EC110/EC108-1</f>
      </c>
      <c r="ED109" s="925">
        <f>+ED110/ED108-1</f>
      </c>
      <c r="EE109" s="1849">
        <v>0</v>
      </c>
      <c r="EF109" s="650">
        <v>0</v>
      </c>
      <c r="EG109" s="650">
        <v>0</v>
      </c>
      <c r="EH109" s="1066">
        <f>+EH110/EH108-1</f>
      </c>
      <c r="EI109" s="1849">
        <v>0</v>
      </c>
      <c r="EJ109" s="1849">
        <v>0</v>
      </c>
      <c r="EK109" s="650">
        <v>0</v>
      </c>
      <c r="EL109" s="650">
        <v>0</v>
      </c>
      <c r="EM109" s="2506">
        <f>+EM110/EM108-1</f>
      </c>
      <c r="EN109" s="3185">
        <f t="shared" ref="EN109:ET109" si="457">(EN110/EN108)-1</f>
      </c>
      <c r="EO109" s="1915">
        <f t="shared" si="457"/>
      </c>
      <c r="EP109" s="1915">
        <f t="shared" si="457"/>
      </c>
      <c r="EQ109" s="2167">
        <f t="shared" si="457"/>
      </c>
      <c r="ER109" s="927">
        <f t="shared" si="457"/>
      </c>
      <c r="ES109" s="3185">
        <f t="shared" si="457"/>
      </c>
      <c r="ET109" s="1915">
        <f t="shared" si="457"/>
      </c>
      <c r="EU109" s="1915">
        <f t="shared" ref="EU109:FB109" si="458">(EU110/EU108)-1</f>
      </c>
      <c r="EV109" s="2167">
        <f t="shared" si="458"/>
      </c>
      <c r="EW109" s="927">
        <f t="shared" si="458"/>
      </c>
      <c r="EX109" s="3185">
        <f t="shared" si="458"/>
      </c>
      <c r="EY109" s="1915">
        <f t="shared" si="458"/>
      </c>
      <c r="EZ109" s="1915">
        <f t="shared" si="458"/>
      </c>
      <c r="FA109" s="2167">
        <v>0</v>
      </c>
      <c r="FB109" s="927">
        <f t="shared" si="458"/>
      </c>
      <c r="FC109" s="1479">
        <v>0</v>
      </c>
      <c r="FD109" s="1479">
        <v>0</v>
      </c>
      <c r="FE109" s="1479">
        <v>0</v>
      </c>
      <c r="FF109" s="1479">
        <v>0</v>
      </c>
      <c r="FG109" s="1479">
        <v>0</v>
      </c>
      <c r="FH109" s="2593"/>
      <c r="FI109" s="2593"/>
    </row>
    <row r="110" spans="1:165" outlineLevel="1">
      <c r="A110" s="1"/>
      <c r="B110" s="85" t="s">
        <v>244</v>
      </c>
      <c r="C110" s="86"/>
      <c r="D110" s="86"/>
      <c r="E110" s="86"/>
      <c r="F110" s="86"/>
      <c r="G110" s="86"/>
      <c r="H110" s="86"/>
      <c r="I110" s="86"/>
      <c r="J110" s="86"/>
      <c r="K110" s="86"/>
      <c r="L110" s="86"/>
      <c r="M110" s="86"/>
      <c r="N110" s="1"/>
      <c r="O110" s="10"/>
      <c r="P110" s="10"/>
      <c r="Q110" s="10"/>
      <c r="R110" s="10"/>
      <c r="S110" s="10"/>
      <c r="T110" s="10"/>
      <c r="U110" s="10"/>
      <c r="V110" s="46"/>
      <c r="W110" s="46">
        <v>41.94</v>
      </c>
      <c r="X110" s="46">
        <v>46.75</v>
      </c>
      <c r="Y110" s="46">
        <v>49</v>
      </c>
      <c r="Z110" s="46">
        <v>45.94</v>
      </c>
      <c r="AA110" s="46">
        <v>46.63</v>
      </c>
      <c r="AB110" s="46">
        <f>+AA110</f>
      </c>
      <c r="AC110" s="46">
        <v>35.130000000000003</v>
      </c>
      <c r="AD110" s="46">
        <v>50.935000000000002</v>
      </c>
      <c r="AE110" s="46">
        <v>46.97</v>
      </c>
      <c r="AF110" s="46">
        <v>52.53</v>
      </c>
      <c r="AG110" s="46">
        <f>+AF110</f>
      </c>
      <c r="AH110" s="46">
        <v>43.74</v>
      </c>
      <c r="AI110" s="46">
        <v>50</v>
      </c>
      <c r="AJ110" s="46">
        <v>55.4</v>
      </c>
      <c r="AK110" s="46">
        <v>59.1</v>
      </c>
      <c r="AL110" s="46">
        <f>+AK110</f>
      </c>
      <c r="AM110" s="46">
        <v>64.95</v>
      </c>
      <c r="AN110" s="46">
        <v>52.26</v>
      </c>
      <c r="AO110" s="46">
        <v>54.08</v>
      </c>
      <c r="AP110" s="46">
        <v>53.71</v>
      </c>
      <c r="AQ110" s="46">
        <f>+AP110</f>
      </c>
      <c r="AR110" s="46">
        <v>57.87</v>
      </c>
      <c r="AS110" s="46">
        <v>51.7</v>
      </c>
      <c r="AT110" s="46">
        <v>49.52</v>
      </c>
      <c r="AU110" s="46">
        <v>51.66</v>
      </c>
      <c r="AV110" s="46">
        <f>+AU110</f>
      </c>
      <c r="AW110" s="46">
        <v>50.72</v>
      </c>
      <c r="AX110" s="46">
        <v>55.7</v>
      </c>
      <c r="AY110" s="46">
        <v>56.33</v>
      </c>
      <c r="AZ110" s="46">
        <v>63.42</v>
      </c>
      <c r="BA110" s="46">
        <f>+AZ110</f>
      </c>
      <c r="BB110" s="46">
        <v>67.16</v>
      </c>
      <c r="BC110" s="46">
        <v>65</v>
      </c>
      <c r="BD110" s="46">
        <v>63.28</v>
      </c>
      <c r="BE110" s="46">
        <v>60.1</v>
      </c>
      <c r="BF110" s="46">
        <f>+BE110</f>
      </c>
      <c r="BG110" s="46">
        <v>59.22</v>
      </c>
      <c r="BH110" s="46">
        <v>59.92</v>
      </c>
      <c r="BI110" s="46">
        <v>64.94</v>
      </c>
      <c r="BJ110" s="46">
        <v>66.02</v>
      </c>
      <c r="BK110" s="46">
        <f>+BJ110</f>
      </c>
      <c r="BL110" s="46">
        <v>60.26</v>
      </c>
      <c r="BM110" s="46">
        <v>61.62</v>
      </c>
      <c r="BN110" s="46">
        <v>65.7</v>
      </c>
      <c r="BO110" s="46">
        <v>66.7</v>
      </c>
      <c r="BP110" s="46">
        <f>+BO110</f>
      </c>
      <c r="BQ110" s="664">
        <v>64.87</v>
      </c>
      <c r="BR110" s="664">
        <v>64.34</v>
      </c>
      <c r="BS110" s="664">
        <v>69.28</v>
      </c>
      <c r="BT110" s="664">
        <v>59.83</v>
      </c>
      <c r="BU110" s="542">
        <f>+BT110</f>
      </c>
      <c r="BV110" s="664">
        <v>52.6</v>
      </c>
      <c r="BW110" s="664">
        <v>56.8</v>
      </c>
      <c r="BX110" s="664">
        <v>60.89</v>
      </c>
      <c r="BY110" s="664">
        <v>64.41</v>
      </c>
      <c r="BZ110" s="542">
        <f>+BY110</f>
      </c>
      <c r="CA110" s="664">
        <v>65.2</v>
      </c>
      <c r="CB110" s="664">
        <v>59.08</v>
      </c>
      <c r="CC110" s="664">
        <v>61.75</v>
      </c>
      <c r="CD110" s="664">
        <v>61.85</v>
      </c>
      <c r="CE110" s="542">
        <f>CD110</f>
      </c>
      <c r="CF110" s="664">
        <v>59.25</v>
      </c>
      <c r="CG110" s="664">
        <v>66.52</v>
      </c>
      <c r="CH110" s="664">
        <v>63.69</v>
      </c>
      <c r="CI110" s="664">
        <v>65.58</v>
      </c>
      <c r="CJ110" s="542">
        <f>CI110</f>
      </c>
      <c r="CK110" s="664">
        <v>65.959999999999994</v>
      </c>
      <c r="CL110" s="664">
        <v>67.56</v>
      </c>
      <c r="CM110" s="664">
        <v>68.91</v>
      </c>
      <c r="CN110" s="664">
        <v>70.099999999999994</v>
      </c>
      <c r="CO110" s="542">
        <f>CN110</f>
      </c>
      <c r="CP110" s="664">
        <v>81.39</v>
      </c>
      <c r="CQ110" s="664">
        <v>85.86</v>
      </c>
      <c r="CR110" s="664">
        <v>86.73</v>
      </c>
      <c r="CS110" s="664">
        <v>91.59</v>
      </c>
      <c r="CT110" s="542">
        <f>CS110</f>
      </c>
      <c r="CU110" s="664">
        <v>97.44</v>
      </c>
      <c r="CV110" s="664">
        <v>104.99</v>
      </c>
      <c r="CW110" s="664">
        <v>107.1</v>
      </c>
      <c r="CX110" s="664">
        <v>105.06</v>
      </c>
      <c r="CY110" s="542">
        <f>CX110</f>
      </c>
      <c r="CZ110" s="664">
        <v>100.6</v>
      </c>
      <c r="DA110" s="664">
        <v>97.46</v>
      </c>
      <c r="DB110" s="664">
        <v>93.35</v>
      </c>
      <c r="DC110" s="664">
        <v>105.06</v>
      </c>
      <c r="DD110" s="542">
        <f>DC110</f>
      </c>
      <c r="DE110" s="664">
        <v>109</v>
      </c>
      <c r="DF110" s="664">
        <v>121.3</v>
      </c>
      <c r="DG110" s="664">
        <v>112</v>
      </c>
      <c r="DH110" s="664">
        <v>115.21</v>
      </c>
      <c r="DI110" s="1117">
        <f>DH110</f>
      </c>
      <c r="DJ110" s="664">
        <v>124.55</v>
      </c>
      <c r="DK110" s="664">
        <v>132.29</v>
      </c>
      <c r="DL110" s="664">
        <v>136.02000000000001</v>
      </c>
      <c r="DM110" s="664">
        <v>141.83000000000001</v>
      </c>
      <c r="DN110" s="1117">
        <f>DM110</f>
      </c>
      <c r="DO110" s="664">
        <v>128.15</v>
      </c>
      <c r="DP110" s="664">
        <v>121.34</v>
      </c>
      <c r="DQ110" s="664">
        <v>138.16999999999999</v>
      </c>
      <c r="DR110" s="664">
        <v>129.05000000000001</v>
      </c>
      <c r="DS110" s="1117">
        <f>DR110</f>
      </c>
      <c r="DT110" s="664">
        <v>139.79</v>
      </c>
      <c r="DU110" s="664">
        <v>139.28</v>
      </c>
      <c r="DV110" s="664">
        <v>129.38</v>
      </c>
      <c r="DW110" s="664">
        <v>145.87</v>
      </c>
      <c r="DX110" s="1117">
        <f>+DW110</f>
      </c>
      <c r="DY110" s="664">
        <v>131.13</v>
      </c>
      <c r="DZ110" s="664">
        <v>139.28</v>
      </c>
      <c r="EA110" s="664">
        <v>148.88</v>
      </c>
      <c r="EB110" s="664">
        <v>156</v>
      </c>
      <c r="EC110" s="2362">
        <f>+EB110</f>
      </c>
      <c r="ED110" s="2050">
        <v>162.6</v>
      </c>
      <c r="EE110" s="2048">
        <f>+EE108*(1+EE109)</f>
      </c>
      <c r="EF110" s="2048">
        <f>+EF108*(1+EF109)</f>
      </c>
      <c r="EG110" s="2050">
        <v>171.07</v>
      </c>
      <c r="EH110" s="2364">
        <f>+EG110</f>
      </c>
      <c r="EI110" s="1050">
        <f>+EI108*(1+EI109)</f>
      </c>
      <c r="EJ110" s="2048">
        <f>+EJ108*(1+EJ109)</f>
      </c>
      <c r="EK110" s="2048">
        <f>+EK108*(1+EK109)</f>
      </c>
      <c r="EL110" s="2050">
        <v>176.65</v>
      </c>
      <c r="EM110" s="2526">
        <f>+EL110</f>
      </c>
      <c r="EN110" s="3204">
        <v>155</v>
      </c>
      <c r="EO110" s="2050">
        <v>165.52</v>
      </c>
      <c r="EP110" s="2050">
        <v>155.75</v>
      </c>
      <c r="EQ110" s="3393">
        <v>156.74</v>
      </c>
      <c r="ER110" s="2049">
        <f>+EQ110</f>
      </c>
      <c r="ES110" s="3204">
        <v>155</v>
      </c>
      <c r="ET110" s="2050">
        <v>165.52</v>
      </c>
      <c r="EU110" s="2050">
        <v>155.75</v>
      </c>
      <c r="EV110" s="3393">
        <v>144.62</v>
      </c>
      <c r="EW110" s="2049">
        <f>+EV110</f>
      </c>
      <c r="EX110" s="2050">
        <v>165</v>
      </c>
      <c r="EY110" s="2050">
        <v>156</v>
      </c>
      <c r="EZ110" s="2050">
        <v>186</v>
      </c>
      <c r="FA110" s="2172">
        <f t="shared" ref="FA110" si="459">+FA108*(1+FA109)</f>
      </c>
      <c r="FB110" s="2049">
        <f>FA110</f>
      </c>
      <c r="FC110" s="2049">
        <f t="shared" ref="FC110:FG110" si="460">+FC108*(1+FC109)</f>
      </c>
      <c r="FD110" s="2049">
        <f t="shared" si="460"/>
      </c>
      <c r="FE110" s="2049">
        <f t="shared" si="460"/>
      </c>
      <c r="FF110" s="2049">
        <f t="shared" si="460"/>
      </c>
      <c r="FG110" s="2049">
        <f t="shared" si="460"/>
      </c>
      <c r="FH110" s="2594"/>
      <c r="FI110" s="2594"/>
    </row>
    <row r="111" spans="1:165" outlineLevel="1">
      <c r="A111" s="1"/>
      <c r="B111" s="85"/>
      <c r="C111" s="86"/>
      <c r="D111" s="86"/>
      <c r="E111" s="86"/>
      <c r="F111" s="86"/>
      <c r="G111" s="86"/>
      <c r="H111" s="86"/>
      <c r="I111" s="86"/>
      <c r="J111" s="86"/>
      <c r="K111" s="86"/>
      <c r="L111" s="86"/>
      <c r="M111" s="86"/>
      <c r="N111" s="86"/>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
      <c r="BU111" s="539"/>
      <c r="BV111" s="10"/>
      <c r="BW111" s="10"/>
      <c r="BX111" s="1"/>
      <c r="BY111" s="1"/>
      <c r="BZ111" s="539"/>
      <c r="CA111" s="684"/>
      <c r="CB111" s="684"/>
      <c r="CC111" s="684"/>
      <c r="CD111" s="684"/>
      <c r="CE111" s="539"/>
      <c r="CF111" s="1"/>
      <c r="CG111" s="1"/>
      <c r="CH111" s="1"/>
      <c r="CI111" s="1"/>
      <c r="CJ111" s="539"/>
      <c r="CK111" s="1"/>
      <c r="CL111" s="87"/>
      <c r="CM111" s="1"/>
      <c r="CN111" s="1"/>
      <c r="CO111" s="539"/>
      <c r="CP111" s="1"/>
      <c r="CQ111" s="1"/>
      <c r="CR111" s="1"/>
      <c r="CS111" s="1"/>
      <c r="CT111" s="539"/>
      <c r="CU111" s="1"/>
      <c r="CV111" s="1"/>
      <c r="CW111" s="1"/>
      <c r="CX111" s="1"/>
      <c r="CY111" s="539"/>
      <c r="CZ111" s="1"/>
      <c r="DA111" s="1"/>
      <c r="DB111" s="1"/>
      <c r="DC111" s="1"/>
      <c r="DD111" s="539"/>
      <c r="DE111" s="1"/>
      <c r="DF111" s="946"/>
      <c r="DG111" s="1"/>
      <c r="DH111" s="946"/>
      <c r="DI111" s="1114"/>
      <c r="DJ111" s="1"/>
      <c r="DK111" s="1"/>
      <c r="DL111" s="946"/>
      <c r="DM111" s="946"/>
      <c r="DN111" s="1114"/>
      <c r="DO111" s="946"/>
      <c r="DP111" s="946"/>
      <c r="DQ111" s="946"/>
      <c r="DR111" s="946"/>
      <c r="DS111" s="1114"/>
      <c r="DT111" s="946"/>
      <c r="DU111" s="946"/>
      <c r="DV111" s="946"/>
      <c r="DW111" s="946"/>
      <c r="DX111" s="1114"/>
      <c r="DY111" s="946"/>
      <c r="DZ111" s="946"/>
      <c r="EA111" s="946"/>
      <c r="EB111" s="946"/>
      <c r="EC111" s="2724"/>
      <c r="ED111" s="1045"/>
      <c r="EE111" s="1045"/>
      <c r="EF111" s="1045"/>
      <c r="EG111" s="1045"/>
      <c r="EH111" s="2734"/>
      <c r="EI111" s="1045"/>
      <c r="EJ111" s="1045"/>
      <c r="EK111" s="1045"/>
      <c r="EL111" s="1045"/>
      <c r="EM111" s="2527"/>
      <c r="EN111" s="2344"/>
      <c r="EO111" s="1045"/>
      <c r="EP111" s="1045"/>
      <c r="EQ111" s="1247"/>
      <c r="ER111" s="2051"/>
      <c r="ES111" s="2344"/>
      <c r="ET111" s="1045"/>
      <c r="EU111" s="1045"/>
      <c r="EV111" s="1247"/>
      <c r="EW111" s="2051"/>
      <c r="EX111" s="1045"/>
      <c r="EY111" s="1045"/>
      <c r="EZ111" s="1045"/>
      <c r="FA111" s="1247"/>
      <c r="FB111" s="2051"/>
      <c r="FC111" s="2051"/>
      <c r="FD111" s="2051"/>
      <c r="FE111" s="2051"/>
      <c r="FF111" s="2051"/>
      <c r="FG111" s="2051"/>
    </row>
    <row r="112" spans="1:165" outlineLevel="1">
      <c r="A112" s="1"/>
      <c r="B112" s="85" t="s">
        <v>245</v>
      </c>
      <c r="C112" s="86"/>
      <c r="D112" s="86"/>
      <c r="E112" s="86"/>
      <c r="F112" s="86"/>
      <c r="G112" s="86"/>
      <c r="H112" s="86"/>
      <c r="I112" s="86"/>
      <c r="J112" s="86"/>
      <c r="K112" s="86"/>
      <c r="L112" s="86"/>
      <c r="M112" s="86"/>
      <c r="N112" s="86"/>
      <c r="O112" s="10"/>
      <c r="P112" s="10"/>
      <c r="Q112" s="10"/>
      <c r="R112" s="10"/>
      <c r="S112" s="10"/>
      <c r="T112" s="10"/>
      <c r="U112" s="10"/>
      <c r="V112" s="10"/>
      <c r="W112" s="46">
        <f t="shared" ref="W112:CP112" si="461">AVERAGE(W110,W108)</f>
      </c>
      <c r="X112" s="46">
        <f t="shared" si="461"/>
      </c>
      <c r="Y112" s="46">
        <f t="shared" si="461"/>
      </c>
      <c r="Z112" s="46">
        <f t="shared" si="461"/>
      </c>
      <c r="AA112" s="46">
        <f t="shared" si="461"/>
      </c>
      <c r="AB112" s="46">
        <f t="shared" si="461"/>
      </c>
      <c r="AC112" s="46">
        <f t="shared" si="461"/>
      </c>
      <c r="AD112" s="46">
        <f t="shared" si="461"/>
      </c>
      <c r="AE112" s="46">
        <f t="shared" si="461"/>
      </c>
      <c r="AF112" s="46">
        <f t="shared" si="461"/>
      </c>
      <c r="AG112" s="46">
        <f t="shared" si="461"/>
      </c>
      <c r="AH112" s="46">
        <f t="shared" si="461"/>
      </c>
      <c r="AI112" s="46">
        <f t="shared" si="461"/>
      </c>
      <c r="AJ112" s="46">
        <f t="shared" si="461"/>
      </c>
      <c r="AK112" s="46">
        <f t="shared" si="461"/>
      </c>
      <c r="AL112" s="46">
        <f t="shared" si="461"/>
      </c>
      <c r="AM112" s="46">
        <f t="shared" si="461"/>
      </c>
      <c r="AN112" s="46">
        <f t="shared" si="461"/>
      </c>
      <c r="AO112" s="46">
        <f t="shared" si="461"/>
      </c>
      <c r="AP112" s="46">
        <f t="shared" si="461"/>
      </c>
      <c r="AQ112" s="46">
        <f t="shared" si="461"/>
      </c>
      <c r="AR112" s="46">
        <f t="shared" si="461"/>
      </c>
      <c r="AS112" s="46">
        <f t="shared" si="461"/>
      </c>
      <c r="AT112" s="46">
        <f t="shared" si="461"/>
      </c>
      <c r="AU112" s="46">
        <f t="shared" si="461"/>
      </c>
      <c r="AV112" s="46">
        <f t="shared" si="461"/>
      </c>
      <c r="AW112" s="46">
        <f t="shared" si="461"/>
      </c>
      <c r="AX112" s="46">
        <f t="shared" si="461"/>
      </c>
      <c r="AY112" s="46">
        <f t="shared" si="461"/>
      </c>
      <c r="AZ112" s="46">
        <f t="shared" si="461"/>
      </c>
      <c r="BA112" s="46">
        <f t="shared" si="461"/>
      </c>
      <c r="BB112" s="46">
        <f t="shared" si="461"/>
      </c>
      <c r="BC112" s="46">
        <f t="shared" si="461"/>
      </c>
      <c r="BD112" s="46">
        <f t="shared" si="461"/>
      </c>
      <c r="BE112" s="46">
        <f t="shared" si="461"/>
      </c>
      <c r="BF112" s="46">
        <f t="shared" si="461"/>
      </c>
      <c r="BG112" s="46">
        <f t="shared" si="461"/>
      </c>
      <c r="BH112" s="46">
        <f t="shared" si="461"/>
      </c>
      <c r="BI112" s="46">
        <f t="shared" si="461"/>
      </c>
      <c r="BJ112" s="46">
        <f t="shared" si="461"/>
      </c>
      <c r="BK112" s="46">
        <f t="shared" si="461"/>
      </c>
      <c r="BL112" s="46">
        <f t="shared" si="461"/>
      </c>
      <c r="BM112" s="46">
        <f t="shared" si="461"/>
      </c>
      <c r="BN112" s="46">
        <f t="shared" si="461"/>
      </c>
      <c r="BO112" s="46">
        <f t="shared" si="461"/>
      </c>
      <c r="BP112" s="46">
        <f t="shared" si="461"/>
      </c>
      <c r="BQ112" s="46">
        <f t="shared" si="461"/>
      </c>
      <c r="BR112" s="46">
        <f t="shared" si="461"/>
      </c>
      <c r="BS112" s="46">
        <f t="shared" si="461"/>
      </c>
      <c r="BT112" s="46">
        <f t="shared" si="461"/>
      </c>
      <c r="BU112" s="542">
        <f t="shared" si="461"/>
      </c>
      <c r="BV112" s="46">
        <f>AVERAGE(BV110,BV108)</f>
      </c>
      <c r="BW112" s="46">
        <f>AVERAGE(BW110,BW108)</f>
      </c>
      <c r="BX112" s="46">
        <f t="shared" si="461"/>
      </c>
      <c r="BY112" s="46">
        <f t="shared" si="461"/>
      </c>
      <c r="BZ112" s="542">
        <f t="shared" si="461"/>
      </c>
      <c r="CA112" s="46">
        <f t="shared" si="461"/>
      </c>
      <c r="CB112" s="46">
        <f t="shared" si="461"/>
      </c>
      <c r="CC112" s="46">
        <f t="shared" ref="CC112:CI112" si="462">AVERAGE(CC110,CC108)</f>
      </c>
      <c r="CD112" s="46">
        <f t="shared" si="462"/>
      </c>
      <c r="CE112" s="542">
        <f t="shared" si="462"/>
      </c>
      <c r="CF112" s="46">
        <f t="shared" si="462"/>
      </c>
      <c r="CG112" s="46">
        <f t="shared" si="462"/>
      </c>
      <c r="CH112" s="46">
        <f t="shared" si="462"/>
      </c>
      <c r="CI112" s="46">
        <f t="shared" si="462"/>
      </c>
      <c r="CJ112" s="542">
        <f t="shared" si="461"/>
      </c>
      <c r="CK112" s="46">
        <f t="shared" si="461"/>
      </c>
      <c r="CL112" s="46">
        <f t="shared" si="461"/>
      </c>
      <c r="CM112" s="46">
        <f t="shared" si="461"/>
      </c>
      <c r="CN112" s="46">
        <f t="shared" si="461"/>
      </c>
      <c r="CO112" s="542">
        <f t="shared" si="461"/>
      </c>
      <c r="CP112" s="46">
        <f t="shared" si="461"/>
      </c>
      <c r="CQ112" s="46">
        <f t="shared" ref="CQ112:CW112" si="463">AVERAGE(CQ110,CQ108)</f>
      </c>
      <c r="CR112" s="46">
        <f t="shared" si="463"/>
      </c>
      <c r="CS112" s="840">
        <f t="shared" si="463"/>
      </c>
      <c r="CT112" s="542">
        <f t="shared" si="463"/>
      </c>
      <c r="CU112" s="46">
        <f t="shared" si="463"/>
      </c>
      <c r="CV112" s="46">
        <f t="shared" si="463"/>
      </c>
      <c r="CW112" s="46">
        <f t="shared" si="463"/>
      </c>
      <c r="CX112" s="840">
        <f>AVERAGE(CX110,CX108)</f>
      </c>
      <c r="CY112" s="542">
        <f>AVERAGE(CY110,CY108)</f>
      </c>
      <c r="CZ112" s="46">
        <f>AVERAGE(CZ110,CZ108)</f>
      </c>
      <c r="DA112" s="46">
        <f t="shared" ref="DA112:DK112" si="464">AVERAGE(DA110,DA108)</f>
      </c>
      <c r="DB112" s="46">
        <f t="shared" si="464"/>
      </c>
      <c r="DC112" s="840">
        <f>AVERAGE(DC110,DC108)</f>
      </c>
      <c r="DD112" s="542">
        <f>AVERAGE(DD110,DD108)</f>
      </c>
      <c r="DE112" s="46">
        <f>AVERAGE(DE110,DE108)</f>
      </c>
      <c r="DF112" s="46">
        <f>AVERAGE(DF110,DF108)</f>
      </c>
      <c r="DG112" s="46">
        <f>AVERAGE(DG110,DG108)</f>
      </c>
      <c r="DH112" s="1049">
        <f t="shared" si="464"/>
      </c>
      <c r="DI112" s="1117">
        <f t="shared" si="464"/>
      </c>
      <c r="DJ112" s="46">
        <f t="shared" si="464"/>
      </c>
      <c r="DK112" s="46">
        <f t="shared" si="464"/>
      </c>
      <c r="DL112" s="1049">
        <f t="shared" ref="DL112:ER112" si="465">AVERAGE(DL110,DL108)</f>
      </c>
      <c r="DM112" s="1049">
        <f t="shared" si="465"/>
      </c>
      <c r="DN112" s="1117">
        <f t="shared" si="465"/>
      </c>
      <c r="DO112" s="1049">
        <f t="shared" si="465"/>
      </c>
      <c r="DP112" s="1049">
        <f t="shared" si="465"/>
      </c>
      <c r="DQ112" s="1049">
        <f t="shared" si="465"/>
      </c>
      <c r="DR112" s="1049">
        <f t="shared" si="465"/>
      </c>
      <c r="DS112" s="1117">
        <f t="shared" si="465"/>
      </c>
      <c r="DT112" s="1049">
        <f t="shared" si="465"/>
      </c>
      <c r="DU112" s="1049">
        <f t="shared" si="465"/>
      </c>
      <c r="DV112" s="1049">
        <f t="shared" si="465"/>
      </c>
      <c r="DW112" s="1049">
        <f t="shared" si="465"/>
      </c>
      <c r="DX112" s="1117">
        <f t="shared" si="465"/>
      </c>
      <c r="DY112" s="1049">
        <f t="shared" si="465"/>
      </c>
      <c r="DZ112" s="1049">
        <f t="shared" si="465"/>
      </c>
      <c r="EA112" s="1049">
        <f t="shared" si="465"/>
      </c>
      <c r="EB112" s="1049">
        <f t="shared" si="465"/>
      </c>
      <c r="EC112" s="2362">
        <f t="shared" si="465"/>
      </c>
      <c r="ED112" s="1050">
        <f t="shared" si="465"/>
      </c>
      <c r="EE112" s="1050">
        <f t="shared" si="465"/>
      </c>
      <c r="EF112" s="1050">
        <f t="shared" si="465"/>
      </c>
      <c r="EG112" s="1050">
        <f t="shared" si="465"/>
      </c>
      <c r="EH112" s="2364">
        <f t="shared" si="465"/>
      </c>
      <c r="EI112" s="1050">
        <f t="shared" si="465"/>
      </c>
      <c r="EJ112" s="1050">
        <f t="shared" si="465"/>
      </c>
      <c r="EK112" s="1050">
        <f t="shared" si="465"/>
      </c>
      <c r="EL112" s="1050">
        <f t="shared" si="465"/>
      </c>
      <c r="EM112" s="2526">
        <f t="shared" si="465"/>
      </c>
      <c r="EN112" s="2365">
        <f>AVERAGE(EN110,EN108)</f>
      </c>
      <c r="EO112" s="1050">
        <f t="shared" si="465"/>
      </c>
      <c r="EP112" s="1050">
        <f t="shared" si="465"/>
      </c>
      <c r="EQ112" s="2173">
        <f t="shared" si="465"/>
      </c>
      <c r="ER112" s="2049">
        <f t="shared" si="465"/>
      </c>
      <c r="ES112" s="2365">
        <f>AVERAGE(ES110,ES108)</f>
      </c>
      <c r="ET112" s="1050">
        <f t="shared" ref="ET112:EW112" si="466">AVERAGE(ET110,ET108)</f>
      </c>
      <c r="EU112" s="1050">
        <f t="shared" si="466"/>
      </c>
      <c r="EV112" s="2173">
        <f t="shared" si="466"/>
      </c>
      <c r="EW112" s="2049">
        <f t="shared" si="466"/>
      </c>
      <c r="EX112" s="1050">
        <f>AVERAGE(EX110,EX108)</f>
      </c>
      <c r="EY112" s="1050">
        <f t="shared" ref="EY112" si="467">AVERAGE(EY110,EY108)</f>
      </c>
      <c r="EZ112" s="1050">
        <f>AVERAGE(EZ110,EZ108)</f>
      </c>
      <c r="FA112" s="2173">
        <f>AVERAGE(FA110,FA108)</f>
      </c>
      <c r="FB112" s="2049">
        <f t="shared" ref="FB112" si="468">AVERAGE(FB110,FB108)</f>
      </c>
      <c r="FC112" s="2049">
        <f>AVERAGE(FC110,FC108)</f>
      </c>
      <c r="FD112" s="2049">
        <f>AVERAGE(FD110,FD108)</f>
      </c>
      <c r="FE112" s="2049">
        <f>AVERAGE(FE110,FE108)</f>
      </c>
      <c r="FF112" s="2049">
        <f>AVERAGE(FF110,FF108)</f>
      </c>
      <c r="FG112" s="2049">
        <f>AVERAGE(FG110,FG108)</f>
      </c>
    </row>
    <row r="113" spans="1:163" outlineLevel="1">
      <c r="A113" s="1"/>
      <c r="B113" s="85"/>
      <c r="C113" s="86"/>
      <c r="D113" s="86"/>
      <c r="E113" s="86"/>
      <c r="F113" s="86"/>
      <c r="G113" s="86"/>
      <c r="H113" s="86"/>
      <c r="I113" s="86"/>
      <c r="J113" s="86"/>
      <c r="K113" s="86"/>
      <c r="L113" s="86"/>
      <c r="M113" s="86"/>
      <c r="N113" s="86"/>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
      <c r="BU113" s="539"/>
      <c r="BV113" s="10"/>
      <c r="BW113" s="10"/>
      <c r="BX113" s="1"/>
      <c r="BY113" s="1"/>
      <c r="BZ113" s="539"/>
      <c r="CA113" s="1"/>
      <c r="CB113" s="1"/>
      <c r="CC113" s="1"/>
      <c r="CD113" s="1"/>
      <c r="CE113" s="539"/>
      <c r="CF113" s="1"/>
      <c r="CG113" s="1"/>
      <c r="CH113" s="1"/>
      <c r="CI113" s="1"/>
      <c r="CJ113" s="539"/>
      <c r="CK113" s="1"/>
      <c r="CL113" s="1"/>
      <c r="CM113" s="1"/>
      <c r="CN113" s="1"/>
      <c r="CO113" s="539"/>
      <c r="CP113" s="1"/>
      <c r="CQ113" s="1"/>
      <c r="CR113" s="1"/>
      <c r="CS113" s="841"/>
      <c r="CT113" s="539"/>
      <c r="CU113" s="1"/>
      <c r="CV113" s="1"/>
      <c r="CW113" s="1"/>
      <c r="CX113" s="841"/>
      <c r="CY113" s="539"/>
      <c r="CZ113" s="1"/>
      <c r="DA113" s="1"/>
      <c r="DB113" s="1"/>
      <c r="DC113" s="841"/>
      <c r="DD113" s="539"/>
      <c r="DE113" s="1"/>
      <c r="DF113" s="1"/>
      <c r="DG113" s="1"/>
      <c r="DH113" s="946"/>
      <c r="DI113" s="1114"/>
      <c r="DJ113" s="1"/>
      <c r="DK113" s="1"/>
      <c r="DL113" s="946"/>
      <c r="DM113" s="946"/>
      <c r="DN113" s="1114"/>
      <c r="DO113" s="946"/>
      <c r="DP113" s="946"/>
      <c r="DQ113" s="946"/>
      <c r="DR113" s="946"/>
      <c r="DS113" s="1114"/>
      <c r="DT113" s="946"/>
      <c r="DU113" s="946"/>
      <c r="DV113" s="946"/>
      <c r="DW113" s="946"/>
      <c r="DX113" s="1114"/>
      <c r="DY113" s="946"/>
      <c r="DZ113" s="946"/>
      <c r="EA113" s="946"/>
      <c r="EB113" s="946"/>
      <c r="EC113" s="2724"/>
      <c r="ED113" s="1045"/>
      <c r="EE113" s="1045"/>
      <c r="EF113" s="1045"/>
      <c r="EG113" s="1045"/>
      <c r="EH113" s="2734"/>
      <c r="EI113" s="1045"/>
      <c r="EJ113" s="1045"/>
      <c r="EK113" s="1045"/>
      <c r="EL113" s="1045"/>
      <c r="EM113" s="2527"/>
      <c r="EN113" s="2344"/>
      <c r="EO113" s="1045"/>
      <c r="EP113" s="1045"/>
      <c r="EQ113" s="1247"/>
      <c r="ER113" s="2051"/>
      <c r="ES113" s="2344"/>
      <c r="ET113" s="1045"/>
      <c r="EU113" s="1045"/>
      <c r="EV113" s="1247"/>
      <c r="EW113" s="2051"/>
      <c r="EX113" s="1045"/>
      <c r="EY113" s="1045"/>
      <c r="EZ113" s="1045"/>
      <c r="FA113" s="1247"/>
      <c r="FB113" s="2051"/>
      <c r="FC113" s="2051"/>
      <c r="FD113" s="2051"/>
      <c r="FE113" s="2051"/>
      <c r="FF113" s="2051"/>
      <c r="FG113" s="2051"/>
    </row>
    <row r="114" spans="1:163" outlineLevel="1">
      <c r="A114" s="1"/>
      <c r="B114" s="94" t="s">
        <v>241</v>
      </c>
      <c r="C114" s="84"/>
      <c r="D114" s="84"/>
      <c r="E114" s="84"/>
      <c r="F114" s="84"/>
      <c r="G114" s="84"/>
      <c r="H114" s="84"/>
      <c r="I114" s="84"/>
      <c r="J114" s="84"/>
      <c r="K114" s="84"/>
      <c r="L114" s="84"/>
      <c r="M114" s="84"/>
      <c r="N114" s="84"/>
      <c r="O114" s="10"/>
      <c r="P114" s="10"/>
      <c r="Q114" s="10"/>
      <c r="R114" s="10"/>
      <c r="S114" s="10"/>
      <c r="T114" s="10"/>
      <c r="U114" s="10"/>
      <c r="V114" s="10"/>
      <c r="W114" s="10"/>
      <c r="X114" s="10"/>
      <c r="Y114" s="10"/>
      <c r="Z114" s="10"/>
      <c r="AA114" s="10"/>
      <c r="AB114" s="87"/>
      <c r="AC114" s="87"/>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
      <c r="BU114" s="539"/>
      <c r="BV114" s="10"/>
      <c r="BW114" s="10"/>
      <c r="BX114" s="1"/>
      <c r="BY114" s="1"/>
      <c r="BZ114" s="539"/>
      <c r="CA114" s="1"/>
      <c r="CB114" s="1"/>
      <c r="CC114" s="1"/>
      <c r="CD114" s="1"/>
      <c r="CE114" s="539"/>
      <c r="CF114" s="1"/>
      <c r="CG114" s="1"/>
      <c r="CH114" s="1"/>
      <c r="CI114" s="1"/>
      <c r="CJ114" s="539"/>
      <c r="CK114" s="1"/>
      <c r="CL114" s="1"/>
      <c r="CM114" s="1"/>
      <c r="CN114" s="1"/>
      <c r="CO114" s="539"/>
      <c r="CP114" s="1"/>
      <c r="CQ114" s="1"/>
      <c r="CR114" s="1"/>
      <c r="CS114" s="841"/>
      <c r="CT114" s="539"/>
      <c r="CU114" s="1"/>
      <c r="CV114" s="1"/>
      <c r="CW114" s="1"/>
      <c r="CX114" s="841"/>
      <c r="CY114" s="539"/>
      <c r="CZ114" s="1"/>
      <c r="DA114" s="1"/>
      <c r="DB114" s="1"/>
      <c r="DC114" s="841"/>
      <c r="DD114" s="539"/>
      <c r="DE114" s="1"/>
      <c r="DF114" s="1"/>
      <c r="DG114" s="1"/>
      <c r="DH114" s="946"/>
      <c r="DI114" s="1114"/>
      <c r="DJ114" s="1"/>
      <c r="DK114" s="1"/>
      <c r="DL114" s="946"/>
      <c r="DM114" s="946"/>
      <c r="DN114" s="1114"/>
      <c r="DO114" s="946"/>
      <c r="DP114" s="946"/>
      <c r="DQ114" s="946"/>
      <c r="DR114" s="946"/>
      <c r="DS114" s="1114"/>
      <c r="DT114" s="946"/>
      <c r="DU114" s="946"/>
      <c r="DV114" s="946"/>
      <c r="DW114" s="946"/>
      <c r="DX114" s="1114"/>
      <c r="DY114" s="946"/>
      <c r="DZ114" s="946"/>
      <c r="EA114" s="946"/>
      <c r="EB114" s="946"/>
      <c r="EC114" s="2724"/>
      <c r="ED114" s="1045"/>
      <c r="EE114" s="1045"/>
      <c r="EF114" s="1045"/>
      <c r="EG114" s="1045"/>
      <c r="EH114" s="2734"/>
      <c r="EI114" s="1045"/>
      <c r="EJ114" s="1045"/>
      <c r="EK114" s="1045"/>
      <c r="EL114" s="1045"/>
      <c r="EM114" s="2527"/>
      <c r="EN114" s="2344"/>
      <c r="EO114" s="1045"/>
      <c r="EP114" s="1045"/>
      <c r="EQ114" s="1247"/>
      <c r="ER114" s="2051"/>
      <c r="ES114" s="2344"/>
      <c r="ET114" s="1045"/>
      <c r="EU114" s="1045"/>
      <c r="EV114" s="1247"/>
      <c r="EW114" s="2051"/>
      <c r="EX114" s="1045"/>
      <c r="EY114" s="1045"/>
      <c r="EZ114" s="1045"/>
      <c r="FA114" s="1247"/>
      <c r="FB114" s="2051"/>
      <c r="FC114" s="2051"/>
      <c r="FD114" s="2051"/>
      <c r="FE114" s="2051"/>
      <c r="FF114" s="2051"/>
      <c r="FG114" s="2051"/>
    </row>
    <row r="115" spans="1:163" outlineLevel="1">
      <c r="A115" s="1"/>
      <c r="B115" s="143" t="s">
        <v>246</v>
      </c>
      <c r="C115" s="91"/>
      <c r="D115" s="91"/>
      <c r="E115" s="91"/>
      <c r="F115" s="91"/>
      <c r="G115" s="91"/>
      <c r="H115" s="91"/>
      <c r="I115" s="91"/>
      <c r="J115" s="91"/>
      <c r="K115" s="91"/>
      <c r="L115" s="91"/>
      <c r="M115" s="91"/>
      <c r="N115" s="1"/>
      <c r="O115" s="15"/>
      <c r="P115" s="15"/>
      <c r="Q115" s="15"/>
      <c r="R115" s="15"/>
      <c r="S115" s="15"/>
      <c r="T115" s="15"/>
      <c r="U115" s="15"/>
      <c r="V115" s="15"/>
      <c r="W115" s="1"/>
      <c r="X115" s="15"/>
      <c r="Y115" s="15"/>
      <c r="Z115" s="15"/>
      <c r="AA115" s="15"/>
      <c r="AB115" s="88">
        <f>+W88</f>
      </c>
      <c r="AC115" s="10">
        <f>+AB118</f>
      </c>
      <c r="AD115" s="10">
        <f>+AC118</f>
      </c>
      <c r="AE115" s="10">
        <f>+AD118</f>
      </c>
      <c r="AF115" s="10">
        <f>+AE118</f>
      </c>
      <c r="AG115" s="10">
        <f>+AB118</f>
      </c>
      <c r="AH115" s="10">
        <f>+AG118</f>
      </c>
      <c r="AI115" s="10">
        <f>+AH118</f>
      </c>
      <c r="AJ115" s="10">
        <f>+AI118</f>
      </c>
      <c r="AK115" s="10">
        <f>+AJ118</f>
      </c>
      <c r="AL115" s="10">
        <f>+AG118</f>
      </c>
      <c r="AM115" s="10">
        <f>+AL118</f>
      </c>
      <c r="AN115" s="10">
        <f>+AM118</f>
      </c>
      <c r="AO115" s="10">
        <f>+AN118</f>
      </c>
      <c r="AP115" s="10">
        <f>+AO118</f>
      </c>
      <c r="AQ115" s="10">
        <f>+AL118</f>
      </c>
      <c r="AR115" s="10">
        <f>+AQ118</f>
      </c>
      <c r="AS115" s="10">
        <f>+AR118</f>
      </c>
      <c r="AT115" s="10">
        <f>+AS118</f>
      </c>
      <c r="AU115" s="10">
        <f>+AT118</f>
      </c>
      <c r="AV115" s="10">
        <f>+AQ118</f>
      </c>
      <c r="AW115" s="10">
        <f>+AV118</f>
      </c>
      <c r="AX115" s="10">
        <f>+AW118</f>
      </c>
      <c r="AY115" s="10">
        <f>+AX118</f>
      </c>
      <c r="AZ115" s="10">
        <f>+AY118</f>
      </c>
      <c r="BA115" s="10">
        <f>+AV118</f>
      </c>
      <c r="BB115" s="10">
        <f>+BA118</f>
      </c>
      <c r="BC115" s="10">
        <f>+BB118</f>
      </c>
      <c r="BD115" s="10">
        <f>+BC118</f>
      </c>
      <c r="BE115" s="10">
        <f>+BD118</f>
      </c>
      <c r="BF115" s="10">
        <f>+BA118</f>
      </c>
      <c r="BG115" s="10">
        <f>+BF118</f>
      </c>
      <c r="BH115" s="10">
        <f>+BG118</f>
      </c>
      <c r="BI115" s="10">
        <f>+BH118</f>
      </c>
      <c r="BJ115" s="10">
        <f>+BI118</f>
      </c>
      <c r="BK115" s="10">
        <f>+BF118</f>
      </c>
      <c r="BL115" s="10">
        <f>+BK118</f>
      </c>
      <c r="BM115" s="10">
        <f>+BL118</f>
      </c>
      <c r="BN115" s="10">
        <f>+BM118</f>
      </c>
      <c r="BO115" s="10">
        <f>+BN118</f>
      </c>
      <c r="BP115" s="10">
        <f>+BK118</f>
      </c>
      <c r="BQ115" s="10">
        <f>+BP118</f>
      </c>
      <c r="BR115" s="10">
        <f>+BQ118</f>
      </c>
      <c r="BS115" s="10">
        <f>+BR118</f>
      </c>
      <c r="BT115" s="10">
        <f>+BS118</f>
      </c>
      <c r="BU115" s="67">
        <f>+BP118</f>
      </c>
      <c r="BV115" s="10">
        <f>+BU118</f>
      </c>
      <c r="BW115" s="10">
        <f>+BV118</f>
      </c>
      <c r="BX115" s="10">
        <f>+BW118</f>
      </c>
      <c r="BY115" s="10">
        <f>+BX118</f>
      </c>
      <c r="BZ115" s="67">
        <f>+BU118</f>
      </c>
      <c r="CA115" s="10">
        <f>+BZ118</f>
      </c>
      <c r="CB115" s="10">
        <f>+CA118</f>
      </c>
      <c r="CC115" s="10">
        <f>+CB118</f>
      </c>
      <c r="CD115" s="10">
        <f>CC118</f>
      </c>
      <c r="CE115" s="67">
        <f>BZ118</f>
      </c>
      <c r="CF115" s="10">
        <f>CE118</f>
      </c>
      <c r="CG115" s="10">
        <f>CF118</f>
      </c>
      <c r="CH115" s="10">
        <f>CG118</f>
      </c>
      <c r="CI115" s="10">
        <f>CH118</f>
      </c>
      <c r="CJ115" s="67">
        <f>CE118</f>
      </c>
      <c r="CK115" s="10">
        <f>CJ118</f>
      </c>
      <c r="CL115" s="10">
        <f>CK118</f>
      </c>
      <c r="CM115" s="10">
        <f>CL118</f>
      </c>
      <c r="CN115" s="10">
        <f>CM118</f>
      </c>
      <c r="CO115" s="67">
        <f>CJ118</f>
      </c>
      <c r="CP115" s="10">
        <f>CO118</f>
      </c>
      <c r="CQ115" s="10">
        <f>CP118</f>
      </c>
      <c r="CR115" s="10">
        <f>CQ118</f>
      </c>
      <c r="CS115" s="842">
        <f>CR118</f>
      </c>
      <c r="CT115" s="67">
        <f>CO118</f>
      </c>
      <c r="CU115" s="10">
        <f>CT118</f>
      </c>
      <c r="CV115" s="10">
        <f>CU118</f>
      </c>
      <c r="CW115" s="10">
        <f>CV118</f>
      </c>
      <c r="CX115" s="842">
        <f>CW118</f>
      </c>
      <c r="CY115" s="67">
        <f>CT118</f>
      </c>
      <c r="CZ115" s="10">
        <f>CY118</f>
      </c>
      <c r="DA115" s="10">
        <f>CZ118</f>
      </c>
      <c r="DB115" s="10">
        <f>DA118</f>
      </c>
      <c r="DC115" s="842">
        <f>DB118</f>
      </c>
      <c r="DD115" s="67">
        <f>CY118</f>
      </c>
      <c r="DE115" s="10">
        <f>DD118</f>
      </c>
      <c r="DF115" s="10">
        <f>DE118</f>
      </c>
      <c r="DG115" s="10">
        <f>DF118</f>
      </c>
      <c r="DH115" s="10">
        <f>DG118</f>
      </c>
      <c r="DI115" s="1111">
        <f>DD118</f>
      </c>
      <c r="DJ115" s="10">
        <f>DI118</f>
      </c>
      <c r="DK115" s="10">
        <f>DJ118</f>
      </c>
      <c r="DL115" s="10">
        <f>DK118</f>
      </c>
      <c r="DM115" s="10">
        <f>DL118</f>
      </c>
      <c r="DN115" s="1111">
        <f>DI118</f>
      </c>
      <c r="DO115" s="948">
        <f>DN118</f>
      </c>
      <c r="DP115" s="948">
        <f>DO118</f>
      </c>
      <c r="DQ115" s="948">
        <f>DP118</f>
      </c>
      <c r="DR115" s="948">
        <f>DQ118</f>
      </c>
      <c r="DS115" s="1111">
        <f>DN118</f>
      </c>
      <c r="DT115" s="948">
        <f>DS118</f>
      </c>
      <c r="DU115" s="948">
        <f>DT118</f>
      </c>
      <c r="DV115" s="948">
        <f>DU118</f>
      </c>
      <c r="DW115" s="948">
        <f>DV118</f>
      </c>
      <c r="DX115" s="1111">
        <f>DS118</f>
      </c>
      <c r="DY115" s="948">
        <f>DX118</f>
      </c>
      <c r="DZ115" s="948">
        <f>DY118</f>
      </c>
      <c r="EA115" s="948">
        <f>DZ118</f>
      </c>
      <c r="EB115" s="948">
        <f>EA118</f>
      </c>
      <c r="EC115" s="1505">
        <f>DX118</f>
      </c>
      <c r="ED115" s="1284">
        <f>EC118</f>
      </c>
      <c r="EE115" s="1284">
        <f>ED118</f>
      </c>
      <c r="EF115" s="1284">
        <f>EE118</f>
      </c>
      <c r="EG115" s="1284">
        <f>EF118</f>
      </c>
      <c r="EH115" s="2060">
        <f>EC118</f>
      </c>
      <c r="EI115" s="1284">
        <f>EH118</f>
      </c>
      <c r="EJ115" s="1284">
        <f>EI118</f>
      </c>
      <c r="EK115" s="1284">
        <f>EJ118</f>
      </c>
      <c r="EL115" s="1284">
        <f>EK118</f>
      </c>
      <c r="EM115" s="2528">
        <f>EH118</f>
      </c>
      <c r="EN115" s="2534">
        <f>EL118</f>
      </c>
      <c r="EO115" s="1284">
        <f>EN118</f>
      </c>
      <c r="EP115" s="1284">
        <f>EO118</f>
      </c>
      <c r="EQ115" s="1311">
        <f>EP118</f>
      </c>
      <c r="ER115" s="1313">
        <f>EM118</f>
      </c>
      <c r="ES115" s="2534">
        <f>EQ118</f>
      </c>
      <c r="ET115" s="1284">
        <f>ES118</f>
      </c>
      <c r="EU115" s="1284">
        <f>ET118</f>
      </c>
      <c r="EV115" s="1311">
        <f>EU118</f>
      </c>
      <c r="EW115" s="1313">
        <f>ER118</f>
      </c>
      <c r="EX115" s="2534">
        <f>EV118</f>
      </c>
      <c r="EY115" s="1284">
        <f>EX118</f>
      </c>
      <c r="EZ115" s="1284">
        <f>EY118</f>
      </c>
      <c r="FA115" s="1311">
        <f>EZ118</f>
      </c>
      <c r="FB115" s="1313">
        <f>EV118</f>
      </c>
      <c r="FC115" s="1313">
        <f>FB118</f>
      </c>
      <c r="FD115" s="1313">
        <f>FC118</f>
      </c>
      <c r="FE115" s="1313">
        <f>FD118</f>
      </c>
      <c r="FF115" s="1313">
        <f>FE118</f>
      </c>
      <c r="FG115" s="1313">
        <f>FF118</f>
      </c>
    </row>
    <row r="116" spans="1:163" outlineLevel="1">
      <c r="A116" s="1"/>
      <c r="B116" s="144" t="s">
        <v>247</v>
      </c>
      <c r="C116" s="116"/>
      <c r="D116" s="116"/>
      <c r="E116" s="116"/>
      <c r="F116" s="116"/>
      <c r="G116" s="116"/>
      <c r="H116" s="116"/>
      <c r="I116" s="116"/>
      <c r="J116" s="116"/>
      <c r="K116" s="116"/>
      <c r="L116" s="116"/>
      <c r="M116" s="116"/>
      <c r="N116" s="1"/>
      <c r="O116" s="10"/>
      <c r="P116" s="10"/>
      <c r="Q116" s="10"/>
      <c r="R116" s="10"/>
      <c r="S116" s="10"/>
      <c r="T116" s="10"/>
      <c r="U116" s="10"/>
      <c r="V116" s="10"/>
      <c r="W116" s="10"/>
      <c r="X116" s="10"/>
      <c r="Y116" s="10"/>
      <c r="Z116" s="10"/>
      <c r="AA116" s="10"/>
      <c r="AB116" s="10">
        <f t="shared" ref="AB116:BU116" si="469">+AB118-AB115+AB117</f>
      </c>
      <c r="AC116" s="10">
        <f t="shared" si="469"/>
      </c>
      <c r="AD116" s="10">
        <f t="shared" si="469"/>
      </c>
      <c r="AE116" s="10">
        <f t="shared" si="469"/>
      </c>
      <c r="AF116" s="10">
        <f t="shared" si="469"/>
      </c>
      <c r="AG116" s="10">
        <f t="shared" si="469"/>
      </c>
      <c r="AH116" s="10">
        <f t="shared" si="469"/>
      </c>
      <c r="AI116" s="10">
        <f t="shared" si="469"/>
      </c>
      <c r="AJ116" s="10">
        <f t="shared" si="469"/>
      </c>
      <c r="AK116" s="10">
        <f t="shared" si="469"/>
      </c>
      <c r="AL116" s="10">
        <f t="shared" si="469"/>
      </c>
      <c r="AM116" s="10">
        <f t="shared" si="469"/>
      </c>
      <c r="AN116" s="10">
        <f t="shared" si="469"/>
      </c>
      <c r="AO116" s="10">
        <f t="shared" si="469"/>
      </c>
      <c r="AP116" s="10">
        <f t="shared" si="469"/>
      </c>
      <c r="AQ116" s="10">
        <f t="shared" si="469"/>
      </c>
      <c r="AR116" s="10">
        <f t="shared" si="469"/>
      </c>
      <c r="AS116" s="10">
        <f t="shared" si="469"/>
      </c>
      <c r="AT116" s="10">
        <f t="shared" si="469"/>
      </c>
      <c r="AU116" s="10">
        <f t="shared" si="469"/>
      </c>
      <c r="AV116" s="10">
        <f t="shared" si="469"/>
      </c>
      <c r="AW116" s="10">
        <f t="shared" si="469"/>
      </c>
      <c r="AX116" s="10">
        <f t="shared" si="469"/>
      </c>
      <c r="AY116" s="10">
        <f t="shared" si="469"/>
      </c>
      <c r="AZ116" s="10">
        <f t="shared" si="469"/>
      </c>
      <c r="BA116" s="10">
        <f t="shared" si="469"/>
      </c>
      <c r="BB116" s="10">
        <f t="shared" si="469"/>
      </c>
      <c r="BC116" s="10">
        <f t="shared" si="469"/>
      </c>
      <c r="BD116" s="10">
        <f t="shared" si="469"/>
      </c>
      <c r="BE116" s="10">
        <f t="shared" si="469"/>
      </c>
      <c r="BF116" s="10">
        <f t="shared" si="469"/>
      </c>
      <c r="BG116" s="10">
        <f t="shared" si="469"/>
      </c>
      <c r="BH116" s="10">
        <f t="shared" si="469"/>
      </c>
      <c r="BI116" s="10">
        <f t="shared" si="469"/>
      </c>
      <c r="BJ116" s="10">
        <f t="shared" si="469"/>
      </c>
      <c r="BK116" s="10">
        <f t="shared" si="469"/>
      </c>
      <c r="BL116" s="10">
        <f t="shared" si="469"/>
      </c>
      <c r="BM116" s="10">
        <f t="shared" si="469"/>
      </c>
      <c r="BN116" s="10">
        <f t="shared" si="469"/>
      </c>
      <c r="BO116" s="10">
        <f t="shared" si="469"/>
      </c>
      <c r="BP116" s="10">
        <f t="shared" si="469"/>
      </c>
      <c r="BQ116" s="10">
        <f t="shared" si="469"/>
      </c>
      <c r="BR116" s="10">
        <f t="shared" si="469"/>
      </c>
      <c r="BS116" s="10">
        <f t="shared" si="469"/>
      </c>
      <c r="BT116" s="10">
        <f t="shared" si="469"/>
      </c>
      <c r="BU116" s="67">
        <f t="shared" si="469"/>
      </c>
      <c r="BV116" s="10">
        <f t="shared" ref="BV116:CD116" si="470">+BV118-BV115+BV117</f>
      </c>
      <c r="BW116" s="10">
        <f t="shared" si="470"/>
      </c>
      <c r="BX116" s="10">
        <f t="shared" si="470"/>
      </c>
      <c r="BY116" s="10">
        <f t="shared" si="470"/>
      </c>
      <c r="BZ116" s="67">
        <f t="shared" si="470"/>
      </c>
      <c r="CA116" s="10">
        <f t="shared" si="470"/>
      </c>
      <c r="CB116" s="10">
        <f t="shared" si="470"/>
      </c>
      <c r="CC116" s="10">
        <f t="shared" si="470"/>
      </c>
      <c r="CD116" s="10">
        <f t="shared" si="470"/>
      </c>
      <c r="CE116" s="67">
        <f>SUM(CA116:CD116)</f>
      </c>
      <c r="CF116" s="10">
        <f>+CF118-CF115+CF117</f>
      </c>
      <c r="CG116" s="10">
        <f>+CG118-CG115+CG117</f>
      </c>
      <c r="CH116" s="10">
        <f>+CH118-CH115+CH117</f>
      </c>
      <c r="CI116" s="10">
        <f>+CI118-CI115+CI117</f>
      </c>
      <c r="CJ116" s="67">
        <f>SUM(CF116:CI116)</f>
      </c>
      <c r="CK116" s="10">
        <f>+CK118-CK115+CK117</f>
      </c>
      <c r="CL116" s="10">
        <f>+CL118-CL115+CL117</f>
      </c>
      <c r="CM116" s="50">
        <f>+CM118-CM115+CM117</f>
      </c>
      <c r="CN116" s="50">
        <f>+CN118-CN115+CN117</f>
      </c>
      <c r="CO116" s="67">
        <f>SUM(CK116:CN116)</f>
      </c>
      <c r="CP116" s="10">
        <f>+CP118-CP115+CP117</f>
      </c>
      <c r="CQ116" s="50">
        <f>+CQ118-CQ115+CQ117</f>
      </c>
      <c r="CR116" s="50">
        <f>+CR118-CR115+CR117</f>
      </c>
      <c r="CS116" s="50">
        <f>+CS118-CS115+CS117</f>
      </c>
      <c r="CT116" s="67">
        <f>SUM(CP116:CS116)</f>
      </c>
      <c r="CU116" s="10">
        <f>+CU118-CU115+CU117</f>
      </c>
      <c r="CV116" s="50">
        <f>+CV118-CV115+CV117</f>
      </c>
      <c r="CW116" s="50">
        <f>+CW118-CW115+CW117</f>
      </c>
      <c r="CX116" s="50">
        <f>+CX118-CX115+CX117</f>
      </c>
      <c r="CY116" s="67">
        <f>SUM(CU116:CX116)</f>
      </c>
      <c r="CZ116" s="10">
        <f>+CZ118-CZ115+CZ117</f>
      </c>
      <c r="DA116" s="10">
        <f>+DA118-DA115+DA117</f>
      </c>
      <c r="DB116" s="10">
        <f>+DB118-DB115+DB117</f>
      </c>
      <c r="DC116" s="50">
        <f>+DC118-DC115+DC117</f>
      </c>
      <c r="DD116" s="67">
        <f>SUM(CZ116:DC116)</f>
      </c>
      <c r="DE116" s="10">
        <f>+DE118-DE115+DE117</f>
      </c>
      <c r="DF116" s="10">
        <f>+DF118-DF115+DF117</f>
      </c>
      <c r="DG116" s="10">
        <f>+DG118-DG115+DG117</f>
      </c>
      <c r="DH116" s="10">
        <f>+DH118-DH115+DH117</f>
      </c>
      <c r="DI116" s="1111">
        <f>SUM(DE116:DH116)</f>
      </c>
      <c r="DJ116" s="10">
        <f>+DJ118-DJ115+DJ117</f>
      </c>
      <c r="DK116" s="10">
        <f>+DK118-DK115+DK117</f>
      </c>
      <c r="DL116" s="10">
        <f>+DL118-DL115+DL117</f>
      </c>
      <c r="DM116" s="10">
        <f>+DM118-DM115+DM117</f>
      </c>
      <c r="DN116" s="1111">
        <f>SUM(DJ116:DM116)</f>
      </c>
      <c r="DO116" s="948">
        <f>+DO118-DO115+DO117</f>
      </c>
      <c r="DP116" s="948">
        <f>+DP118-DP115+DP117</f>
      </c>
      <c r="DQ116" s="948">
        <f>+DQ118-DQ115+DQ117</f>
      </c>
      <c r="DR116" s="948">
        <f>+DR118-DR115+DR117</f>
      </c>
      <c r="DS116" s="1111">
        <f>SUM(DO116:DR116)</f>
      </c>
      <c r="DT116" s="948">
        <f>+DT118-DT115+DT117</f>
      </c>
      <c r="DU116" s="948">
        <f>+DU118-DU115+DU117</f>
      </c>
      <c r="DV116" s="948">
        <f>+DV118-DV115+DV117</f>
      </c>
      <c r="DW116" s="948">
        <f>+DW118-DW115+DW117</f>
      </c>
      <c r="DX116" s="1111">
        <f>+SUM(DT116:DW116)</f>
      </c>
      <c r="DY116" s="948">
        <f>+DY118-DY115+DY117</f>
      </c>
      <c r="DZ116" s="948">
        <f>+DZ118-DZ115+DZ117</f>
      </c>
      <c r="EA116" s="948">
        <f>+EA118-EA115+EA117</f>
      </c>
      <c r="EB116" s="948">
        <f>+EB118-EB115+EB117</f>
      </c>
      <c r="EC116" s="1505">
        <f>+SUM(DY116:EB116)</f>
      </c>
      <c r="ED116" s="1284">
        <f>+ED118-ED115+ED117</f>
      </c>
      <c r="EE116" s="2393">
        <f>+EE118-EE115+EE117</f>
      </c>
      <c r="EF116" s="2393">
        <f>+EF118-EF115+EF117</f>
      </c>
      <c r="EG116" s="2393">
        <f>+EG118-EG115+EG117</f>
      </c>
      <c r="EH116" s="1505">
        <f>+SUM(ED116:EG116)</f>
      </c>
      <c r="EI116" s="1284">
        <f>+EI118-EI115+EI117</f>
      </c>
      <c r="EJ116" s="2393">
        <f>+EJ118-EJ115+EJ117</f>
      </c>
      <c r="EK116" s="2393">
        <f>+EK118-EK115+EK117</f>
      </c>
      <c r="EL116" s="2057">
        <f>+EL118-EL115+EL117</f>
      </c>
      <c r="EM116" s="2528">
        <f>+SUM(EI116:EL116)</f>
      </c>
      <c r="EN116" s="3100">
        <f>+EN118-EN115+EN117</f>
      </c>
      <c r="EO116" s="2469">
        <f>+EO118-EO115+EO117</f>
      </c>
      <c r="EP116" s="2469">
        <f>+EP118-EP115+EP117</f>
      </c>
      <c r="EQ116" s="2469">
        <f>+EQ118-EQ115+EQ117</f>
      </c>
      <c r="ER116" s="2470">
        <f>SUM(EN116:EQ116)</f>
      </c>
      <c r="ES116" s="3100">
        <f>+ES118-ES115+ES117</f>
      </c>
      <c r="ET116" s="2469">
        <f>+ET118-ET115+ET117</f>
      </c>
      <c r="EU116" s="2469">
        <f>+EU118-EU115+EU117</f>
      </c>
      <c r="EV116" s="2469">
        <f>+EV118-EV115+EV117</f>
      </c>
      <c r="EW116" s="2470">
        <f>SUM(ES116:EV116)</f>
      </c>
      <c r="EX116" s="3100">
        <f>+EX118-EX115+EX117</f>
      </c>
      <c r="EY116" s="2469">
        <f>+EY118-EY115+EY117</f>
      </c>
      <c r="EZ116" s="2469">
        <v>0</v>
      </c>
      <c r="FA116" s="2433">
        <v>0</v>
      </c>
      <c r="FB116" s="2470">
        <v>0</v>
      </c>
      <c r="FC116" s="2053"/>
      <c r="FD116" s="2053"/>
      <c r="FE116" s="2053"/>
      <c r="FF116" s="2053"/>
      <c r="FG116" s="2053"/>
    </row>
    <row r="117" spans="1:163" outlineLevel="1">
      <c r="A117" s="1"/>
      <c r="B117" s="144" t="s">
        <v>248</v>
      </c>
      <c r="C117" s="116"/>
      <c r="D117" s="116"/>
      <c r="E117" s="116"/>
      <c r="F117" s="116"/>
      <c r="G117" s="116"/>
      <c r="H117" s="116"/>
      <c r="I117" s="116"/>
      <c r="J117" s="116"/>
      <c r="K117" s="116"/>
      <c r="L117" s="116"/>
      <c r="M117" s="116"/>
      <c r="N117" s="1"/>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67"/>
      <c r="BV117" s="10"/>
      <c r="BW117" s="10"/>
      <c r="BX117" s="242"/>
      <c r="BY117" s="242"/>
      <c r="BZ117" s="545"/>
      <c r="CA117" s="38"/>
      <c r="CB117" s="242"/>
      <c r="CC117" s="242"/>
      <c r="CD117" s="242"/>
      <c r="CE117" s="545">
        <f>SUM(CA117:CD117)</f>
      </c>
      <c r="CF117" s="242"/>
      <c r="CG117" s="242"/>
      <c r="CH117" s="242"/>
      <c r="CI117" s="242"/>
      <c r="CJ117" s="545">
        <f>SUM(CF117:CI117)</f>
      </c>
      <c r="CK117" s="242"/>
      <c r="CL117" s="577"/>
      <c r="CM117" s="577"/>
      <c r="CN117" s="577"/>
      <c r="CO117" s="67">
        <f>SUM(CK117:CN117)</f>
      </c>
      <c r="CP117" s="242"/>
      <c r="CQ117" s="577"/>
      <c r="CR117" s="577"/>
      <c r="CS117" s="843"/>
      <c r="CT117" s="67">
        <f>SUM(CP117:CS117)</f>
      </c>
      <c r="CU117" s="242"/>
      <c r="CV117" s="577"/>
      <c r="CW117" s="577"/>
      <c r="CX117" s="843"/>
      <c r="CY117" s="67">
        <f>SUM(CU117:CX117)</f>
      </c>
      <c r="CZ117" s="242"/>
      <c r="DA117" s="242"/>
      <c r="DB117" s="242"/>
      <c r="DC117" s="843"/>
      <c r="DD117" s="67">
        <f>SUM(CZ117:DC117)</f>
      </c>
      <c r="DE117" s="242"/>
      <c r="DF117" s="242"/>
      <c r="DG117" s="242"/>
      <c r="DH117" s="242"/>
      <c r="DI117" s="1111">
        <f>SUM(DE117:DH117)</f>
      </c>
      <c r="DJ117" s="242"/>
      <c r="DK117" s="242"/>
      <c r="DL117" s="242"/>
      <c r="DM117" s="242"/>
      <c r="DN117" s="1111">
        <f>SUM(DJ117:DM117)</f>
      </c>
      <c r="DO117" s="242"/>
      <c r="DP117" s="242"/>
      <c r="DQ117" s="242"/>
      <c r="DR117" s="242"/>
      <c r="DS117" s="1111">
        <f>SUM(DO117:DR117)</f>
      </c>
      <c r="DT117" s="242"/>
      <c r="DU117" s="242"/>
      <c r="DV117" s="242"/>
      <c r="DW117" s="577"/>
      <c r="DX117" s="1111">
        <f>+SUM(DT117:DW117)</f>
      </c>
      <c r="DY117" s="242"/>
      <c r="DZ117" s="242"/>
      <c r="EA117" s="242"/>
      <c r="EB117" s="577"/>
      <c r="EC117" s="1505">
        <f>+SUM(DY117:EB117)</f>
      </c>
      <c r="ED117" s="2052"/>
      <c r="EE117" s="710"/>
      <c r="EF117" s="710"/>
      <c r="EG117" s="710"/>
      <c r="EH117" s="2060">
        <f>+SUM(ED117:EG117)</f>
      </c>
      <c r="EI117" s="710"/>
      <c r="EJ117" s="710"/>
      <c r="EK117" s="710"/>
      <c r="EL117" s="710"/>
      <c r="EM117" s="2528">
        <f>+SUM(EI117:EL117)</f>
      </c>
      <c r="EN117" s="2534"/>
      <c r="EO117" s="710"/>
      <c r="EP117" s="710"/>
      <c r="EQ117" s="2174"/>
      <c r="ER117" s="2470">
        <f>SUM(EN117:EQ117)</f>
      </c>
      <c r="ES117" s="2534"/>
      <c r="ET117" s="710"/>
      <c r="EU117" s="710"/>
      <c r="EV117" s="2174"/>
      <c r="EW117" s="2470">
        <f>SUM(ES117:EV117)</f>
      </c>
      <c r="EX117" s="2534"/>
      <c r="EY117" s="710"/>
      <c r="EZ117" s="2482">
        <f t="shared" ref="EZ117:FG117" si="471">-EZ124*1000000/EZ112/1000000</f>
      </c>
      <c r="FA117" s="3088">
        <f t="shared" si="471"/>
      </c>
      <c r="FB117" s="1839">
        <f t="shared" si="471"/>
      </c>
      <c r="FC117" s="1839">
        <f t="shared" si="471"/>
      </c>
      <c r="FD117" s="1839">
        <f t="shared" si="471"/>
      </c>
      <c r="FE117" s="1839">
        <f t="shared" si="471"/>
      </c>
      <c r="FF117" s="1839">
        <f t="shared" si="471"/>
      </c>
      <c r="FG117" s="1839">
        <f t="shared" si="471"/>
      </c>
    </row>
    <row r="118" spans="1:163" outlineLevel="1">
      <c r="A118" s="1"/>
      <c r="B118" s="145" t="s">
        <v>249</v>
      </c>
      <c r="C118" s="117"/>
      <c r="D118" s="117"/>
      <c r="E118" s="117"/>
      <c r="F118" s="117"/>
      <c r="G118" s="117"/>
      <c r="H118" s="117"/>
      <c r="I118" s="117"/>
      <c r="J118" s="117"/>
      <c r="K118" s="117"/>
      <c r="L118" s="117"/>
      <c r="M118" s="117"/>
      <c r="N118" s="63"/>
      <c r="O118" s="89"/>
      <c r="P118" s="89"/>
      <c r="Q118" s="89"/>
      <c r="R118" s="89"/>
      <c r="S118" s="89"/>
      <c r="T118" s="89"/>
      <c r="U118" s="89"/>
      <c r="V118" s="89"/>
      <c r="W118" s="89"/>
      <c r="X118" s="89"/>
      <c r="Y118" s="89"/>
      <c r="Z118" s="89"/>
      <c r="AA118" s="89"/>
      <c r="AB118" s="90">
        <f t="shared" ref="AB118:BT118" si="472">+AB88</f>
      </c>
      <c r="AC118" s="90">
        <f t="shared" si="472"/>
      </c>
      <c r="AD118" s="90">
        <f t="shared" si="472"/>
      </c>
      <c r="AE118" s="90">
        <f t="shared" si="472"/>
      </c>
      <c r="AF118" s="90">
        <f t="shared" si="472"/>
      </c>
      <c r="AG118" s="90">
        <f t="shared" si="472"/>
      </c>
      <c r="AH118" s="90">
        <f t="shared" si="472"/>
      </c>
      <c r="AI118" s="90">
        <f t="shared" si="472"/>
      </c>
      <c r="AJ118" s="90">
        <f t="shared" si="472"/>
      </c>
      <c r="AK118" s="90">
        <f t="shared" si="472"/>
      </c>
      <c r="AL118" s="90">
        <f t="shared" si="472"/>
      </c>
      <c r="AM118" s="90">
        <f t="shared" si="472"/>
      </c>
      <c r="AN118" s="90">
        <f t="shared" si="472"/>
      </c>
      <c r="AO118" s="90">
        <f t="shared" si="472"/>
      </c>
      <c r="AP118" s="90">
        <f t="shared" si="472"/>
      </c>
      <c r="AQ118" s="90">
        <f t="shared" si="472"/>
      </c>
      <c r="AR118" s="90">
        <f t="shared" si="472"/>
      </c>
      <c r="AS118" s="90">
        <f t="shared" si="472"/>
      </c>
      <c r="AT118" s="90">
        <f t="shared" si="472"/>
      </c>
      <c r="AU118" s="90">
        <f t="shared" si="472"/>
      </c>
      <c r="AV118" s="90">
        <f t="shared" si="472"/>
      </c>
      <c r="AW118" s="90">
        <f t="shared" si="472"/>
      </c>
      <c r="AX118" s="90">
        <f t="shared" si="472"/>
      </c>
      <c r="AY118" s="90">
        <f t="shared" si="472"/>
      </c>
      <c r="AZ118" s="90">
        <f t="shared" si="472"/>
      </c>
      <c r="BA118" s="90">
        <f t="shared" si="472"/>
      </c>
      <c r="BB118" s="90">
        <f t="shared" si="472"/>
      </c>
      <c r="BC118" s="90">
        <f t="shared" si="472"/>
      </c>
      <c r="BD118" s="90">
        <f t="shared" si="472"/>
      </c>
      <c r="BE118" s="90">
        <f t="shared" si="472"/>
      </c>
      <c r="BF118" s="90">
        <f t="shared" si="472"/>
      </c>
      <c r="BG118" s="90">
        <f t="shared" si="472"/>
      </c>
      <c r="BH118" s="90">
        <f t="shared" si="472"/>
      </c>
      <c r="BI118" s="90">
        <f t="shared" si="472"/>
      </c>
      <c r="BJ118" s="90">
        <f t="shared" si="472"/>
      </c>
      <c r="BK118" s="90">
        <f>3119.842-226.612</f>
      </c>
      <c r="BL118" s="90">
        <f t="shared" si="472"/>
      </c>
      <c r="BM118" s="90">
        <f t="shared" si="472"/>
      </c>
      <c r="BN118" s="90">
        <f t="shared" si="472"/>
      </c>
      <c r="BO118" s="90">
        <f>3119.843-279.62</f>
      </c>
      <c r="BP118" s="90">
        <f>3119.843-279.62</f>
      </c>
      <c r="BQ118" s="90">
        <f t="shared" si="472"/>
      </c>
      <c r="BR118" s="90">
        <f t="shared" si="472"/>
      </c>
      <c r="BS118" s="90">
        <f t="shared" si="472"/>
      </c>
      <c r="BT118" s="90">
        <f t="shared" si="472"/>
      </c>
      <c r="BU118" s="546">
        <f>3119.843-350.665</f>
      </c>
      <c r="BV118" s="90">
        <f>+BV88</f>
      </c>
      <c r="BW118" s="90">
        <f>+BW88</f>
      </c>
      <c r="BX118" s="90">
        <f>+BX88</f>
      </c>
      <c r="BY118" s="90">
        <f>+BY88</f>
      </c>
      <c r="BZ118" s="546">
        <f>+BZ88</f>
      </c>
      <c r="CA118" s="90">
        <f>3119.843-362.009</f>
      </c>
      <c r="CB118" s="90">
        <f>3119.843-365.708</f>
      </c>
      <c r="CC118" s="90">
        <f>3119.843-372.132</f>
      </c>
      <c r="CD118" s="90">
        <f>3119.843-381.746</f>
      </c>
      <c r="CE118" s="546">
        <f>3119.843-381.746</f>
      </c>
      <c r="CF118" s="796">
        <f>3119.843-381.389</f>
      </c>
      <c r="CG118" s="796">
        <f>3119.843-379.263</f>
      </c>
      <c r="CH118" s="796">
        <f>3119.843-387.592</f>
      </c>
      <c r="CI118" s="796">
        <f>3119.843-395.48</f>
      </c>
      <c r="CJ118" s="546">
        <f>SUM(CJ115:CJ117)</f>
      </c>
      <c r="CK118" s="796">
        <f>3119.843-374.122</f>
      </c>
      <c r="CL118" s="796">
        <f>3119.843-369.284</f>
      </c>
      <c r="CM118" s="796">
        <f>3119.843-357.285</f>
      </c>
      <c r="CN118" s="796">
        <f>3119.843-341.354</f>
      </c>
      <c r="CO118" s="546">
        <f>SUM(CO115:CO117)</f>
      </c>
      <c r="CP118" s="796">
        <f>3119.843-316.679</f>
      </c>
      <c r="CQ118" s="796">
        <f>3119.843-305.655</f>
      </c>
      <c r="CR118" s="796">
        <f>3119.843-299.184</f>
      </c>
      <c r="CS118" s="796">
        <f>3119.843-299.215</f>
      </c>
      <c r="CT118" s="546">
        <f>SUM(CT115:CT117)</f>
      </c>
      <c r="CU118" s="796">
        <f>3119.843-292.202</f>
      </c>
      <c r="CV118" s="796">
        <f>3119.843-297.264</f>
      </c>
      <c r="CW118" s="796">
        <f>3119.843-315.787</f>
      </c>
      <c r="CX118" s="796">
        <f>3119.843-336.62</f>
      </c>
      <c r="CY118" s="546">
        <f>SUM(CY115:CY117)</f>
      </c>
      <c r="CZ118" s="796">
        <f>3119.843-343.969</f>
      </c>
      <c r="DA118" s="796">
        <f>3119.843-350.868</f>
      </c>
      <c r="DB118" s="796">
        <f>3119.843-352.562</f>
      </c>
      <c r="DC118" s="796">
        <f>3119.843-364.681</f>
      </c>
      <c r="DD118" s="546">
        <f>SUM(DD115:DD117)</f>
      </c>
      <c r="DE118" s="796">
        <f>3119.843-368.138</f>
      </c>
      <c r="DF118" s="796">
        <f>3119.843-382.189</f>
      </c>
      <c r="DG118" s="796">
        <f>3119.843-397.259</f>
      </c>
      <c r="DH118" s="796">
        <f>3119.843-413.332</f>
      </c>
      <c r="DI118" s="1121">
        <f>SUM(DI115:DI117)</f>
      </c>
      <c r="DJ118" s="796">
        <v>2693.8330810000002</v>
      </c>
      <c r="DK118" s="796">
        <v>2683.9997279999998</v>
      </c>
      <c r="DL118" s="796">
        <v>2686.5200500000001</v>
      </c>
      <c r="DM118" s="796">
        <v>2682.9015530000001</v>
      </c>
      <c r="DN118" s="1121">
        <f>SUM(DN115:DN117)</f>
      </c>
      <c r="DO118" s="1278">
        <v>2682.1499640000002</v>
      </c>
      <c r="DP118" s="1278">
        <v>2682.756061</v>
      </c>
      <c r="DQ118" s="1278">
        <v>2681.977969</v>
      </c>
      <c r="DR118" s="1278">
        <v>2663.1385789999999</v>
      </c>
      <c r="DS118" s="1121">
        <f>SUM(DS115:DS117)</f>
      </c>
      <c r="DT118" s="1278">
        <v>2655.0559870000002</v>
      </c>
      <c r="DU118" s="1278">
        <v>2639.1655270000001</v>
      </c>
      <c r="DV118" s="1278">
        <v>2635.2</v>
      </c>
      <c r="DW118" s="1278">
        <v>2645</v>
      </c>
      <c r="DX118" s="1121">
        <f>SUM(DX115:DX117)</f>
      </c>
      <c r="DY118" s="1278">
        <v>2634</v>
      </c>
      <c r="DZ118" s="1278">
        <v>2639.1655270000001</v>
      </c>
      <c r="EA118" s="1278">
        <v>2632.542672</v>
      </c>
      <c r="EB118" s="1278">
        <v>2669.2</v>
      </c>
      <c r="EC118" s="2730">
        <f>SUM(EC115:EC117)</f>
      </c>
      <c r="ED118" s="2054">
        <v>2672.7</v>
      </c>
      <c r="EE118" s="2054">
        <v>2671.6</v>
      </c>
      <c r="EF118" s="2054">
        <v>2674.9</v>
      </c>
      <c r="EG118" s="2054">
        <v>2670.2</v>
      </c>
      <c r="EH118" s="2735">
        <f>SUM(EH115:EH117)</f>
      </c>
      <c r="EI118" s="2695">
        <f>+'Income Statement'!FO61</f>
      </c>
      <c r="EJ118" s="2695">
        <f>+'Income Statement'!FP61</f>
      </c>
      <c r="EK118" s="2695">
        <f>+'Income Statement'!FQ61</f>
      </c>
      <c r="EL118" s="2695">
        <f>+'Income Statement'!FR61</f>
      </c>
      <c r="EM118" s="2529">
        <f>SUM(EM115:EM117)</f>
      </c>
      <c r="EN118" s="2696">
        <f>+'Income Statement'!FT61</f>
      </c>
      <c r="EO118" s="2697">
        <f>+'Income Statement'!FU61</f>
      </c>
      <c r="EP118" s="2697">
        <f>+'Income Statement'!FV61</f>
      </c>
      <c r="EQ118" s="3236">
        <f>+'Income Statement'!FW61</f>
      </c>
      <c r="ER118" s="2157">
        <f>SUM(ER115:ER117)</f>
      </c>
      <c r="ES118" s="2696">
        <f>+'Income Statement'!FY61</f>
      </c>
      <c r="ET118" s="2697">
        <f>+'Income Statement'!FZ61</f>
      </c>
      <c r="EU118" s="2697">
        <f>+'Income Statement'!GA61</f>
      </c>
      <c r="EV118" s="3236">
        <f>+'Income Statement'!GB61</f>
      </c>
      <c r="EW118" s="2157">
        <f>SUM(EW115:EW117)</f>
      </c>
      <c r="EX118" s="2696">
        <f>+'Income Statement'!GD61</f>
      </c>
      <c r="EY118" s="2697">
        <f>+'Income Statement'!GE61</f>
      </c>
      <c r="EZ118" s="3237">
        <f t="shared" ref="EZ118:FG118" si="473">EZ115+EZ116-EZ117</f>
      </c>
      <c r="FA118" s="3236">
        <f t="shared" si="473"/>
      </c>
      <c r="FB118" s="3589">
        <f t="shared" si="473"/>
      </c>
      <c r="FC118" s="3238">
        <f t="shared" si="473"/>
      </c>
      <c r="FD118" s="3238">
        <f t="shared" si="473"/>
      </c>
      <c r="FE118" s="3238">
        <f t="shared" si="473"/>
      </c>
      <c r="FF118" s="3238">
        <f t="shared" si="473"/>
      </c>
      <c r="FG118" s="3238">
        <f t="shared" si="473"/>
      </c>
    </row>
    <row r="119" spans="1:163" outlineLevel="1">
      <c r="A119" s="1"/>
      <c r="B119" s="143"/>
      <c r="C119" s="91"/>
      <c r="D119" s="91"/>
      <c r="E119" s="91"/>
      <c r="F119" s="91"/>
      <c r="G119" s="91"/>
      <c r="H119" s="91"/>
      <c r="I119" s="91"/>
      <c r="J119" s="91"/>
      <c r="K119" s="91"/>
      <c r="L119" s="91"/>
      <c r="M119" s="91"/>
      <c r="N119" s="91"/>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
      <c r="BU119" s="539"/>
      <c r="BV119" s="10"/>
      <c r="BW119" s="10"/>
      <c r="BX119" s="1"/>
      <c r="BY119" s="1"/>
      <c r="BZ119" s="539"/>
      <c r="CA119" s="1"/>
      <c r="CB119" s="1"/>
      <c r="CC119" s="1"/>
      <c r="CD119" s="1"/>
      <c r="CE119" s="539"/>
      <c r="CF119" s="1"/>
      <c r="CG119" s="1"/>
      <c r="CH119" s="1"/>
      <c r="CI119" s="1"/>
      <c r="CJ119" s="539"/>
      <c r="CK119" s="1"/>
      <c r="CL119" s="1"/>
      <c r="CM119" s="1"/>
      <c r="CN119" s="1"/>
      <c r="CO119" s="712"/>
      <c r="CP119" s="110"/>
      <c r="CQ119" s="110"/>
      <c r="CR119" s="110"/>
      <c r="CS119" s="110"/>
      <c r="CT119" s="712"/>
      <c r="CU119" s="110"/>
      <c r="CV119" s="110"/>
      <c r="CW119" s="110"/>
      <c r="CX119" s="110"/>
      <c r="CY119" s="712"/>
      <c r="CZ119" s="110"/>
      <c r="DA119" s="110"/>
      <c r="DB119" s="110"/>
      <c r="DC119" s="110"/>
      <c r="DD119" s="712"/>
      <c r="DE119" s="110"/>
      <c r="DF119" s="110"/>
      <c r="DG119" s="110"/>
      <c r="DH119" s="1024"/>
      <c r="DI119" s="712"/>
      <c r="DJ119" s="110"/>
      <c r="DK119" s="110"/>
      <c r="DL119" s="110"/>
      <c r="DM119" s="1024"/>
      <c r="DN119" s="712"/>
      <c r="DO119" s="1024"/>
      <c r="DP119" s="1024"/>
      <c r="DQ119" s="1024"/>
      <c r="DR119" s="1024"/>
      <c r="DS119" s="712"/>
      <c r="DT119" s="1024"/>
      <c r="DU119" s="1024"/>
      <c r="DV119" s="1024"/>
      <c r="DW119" s="1024"/>
      <c r="DX119" s="1296"/>
      <c r="DY119" s="1024"/>
      <c r="DZ119" s="1024"/>
      <c r="EA119" s="1024"/>
      <c r="EB119" s="1024"/>
      <c r="EC119" s="2731"/>
      <c r="ED119" s="1099"/>
      <c r="EE119" s="1099"/>
      <c r="EF119" s="1099"/>
      <c r="EG119" s="1099"/>
      <c r="EH119" s="2736"/>
      <c r="EI119" s="1099"/>
      <c r="EJ119" s="1099"/>
      <c r="EK119" s="1099"/>
      <c r="EL119" s="1099"/>
      <c r="EM119" s="2530"/>
      <c r="EN119" s="2535"/>
      <c r="EO119" s="1099"/>
      <c r="EP119" s="1099"/>
      <c r="EQ119" s="2175"/>
      <c r="ER119" s="1100"/>
      <c r="ES119" s="2535"/>
      <c r="ET119" s="1099"/>
      <c r="EU119" s="1099"/>
      <c r="EV119" s="2175"/>
      <c r="EW119" s="1100"/>
      <c r="EX119" s="2535"/>
      <c r="EY119" s="1099"/>
      <c r="EZ119" s="1099"/>
      <c r="FA119" s="2175"/>
      <c r="FB119" s="1100"/>
      <c r="FC119" s="1100"/>
      <c r="FD119" s="1100"/>
      <c r="FE119" s="1100"/>
      <c r="FF119" s="1100"/>
      <c r="FG119" s="1100"/>
    </row>
    <row r="120" spans="1:163" outlineLevel="1">
      <c r="A120" s="1"/>
      <c r="B120" s="143" t="s">
        <v>250</v>
      </c>
      <c r="C120" s="91"/>
      <c r="D120" s="91"/>
      <c r="E120" s="91"/>
      <c r="F120" s="91"/>
      <c r="G120" s="91"/>
      <c r="H120" s="91"/>
      <c r="I120" s="91"/>
      <c r="J120" s="91"/>
      <c r="K120" s="91"/>
      <c r="L120" s="91"/>
      <c r="M120" s="91"/>
      <c r="N120" s="91"/>
      <c r="O120" s="10"/>
      <c r="P120" s="10"/>
      <c r="Q120" s="10"/>
      <c r="R120" s="10"/>
      <c r="S120" s="10"/>
      <c r="T120" s="10"/>
      <c r="U120" s="10"/>
      <c r="V120" s="10"/>
      <c r="W120" s="10"/>
      <c r="X120" s="10"/>
      <c r="Y120" s="10"/>
      <c r="Z120" s="10"/>
      <c r="AA120" s="10"/>
      <c r="AB120" s="10"/>
      <c r="AC120" s="10"/>
      <c r="AD120" s="10"/>
      <c r="AE120" s="10"/>
      <c r="AF120" s="10"/>
      <c r="AG120" s="10">
        <f t="shared" ref="AG120:CJ120" si="474">AVERAGE(AG118,AG115)</f>
      </c>
      <c r="AH120" s="10">
        <f t="shared" si="474"/>
      </c>
      <c r="AI120" s="10">
        <f t="shared" si="474"/>
      </c>
      <c r="AJ120" s="10">
        <f t="shared" si="474"/>
      </c>
      <c r="AK120" s="10">
        <f t="shared" si="474"/>
      </c>
      <c r="AL120" s="10">
        <f t="shared" si="474"/>
      </c>
      <c r="AM120" s="10">
        <f t="shared" si="474"/>
      </c>
      <c r="AN120" s="10">
        <f t="shared" si="474"/>
      </c>
      <c r="AO120" s="10">
        <f t="shared" si="474"/>
      </c>
      <c r="AP120" s="10">
        <f t="shared" si="474"/>
      </c>
      <c r="AQ120" s="10">
        <f t="shared" si="474"/>
      </c>
      <c r="AR120" s="10">
        <f t="shared" si="474"/>
      </c>
      <c r="AS120" s="10">
        <f t="shared" si="474"/>
      </c>
      <c r="AT120" s="10">
        <f t="shared" si="474"/>
      </c>
      <c r="AU120" s="10">
        <f t="shared" si="474"/>
      </c>
      <c r="AV120" s="10">
        <f t="shared" si="474"/>
      </c>
      <c r="AW120" s="10">
        <f t="shared" si="474"/>
      </c>
      <c r="AX120" s="10">
        <f t="shared" si="474"/>
      </c>
      <c r="AY120" s="10">
        <f t="shared" si="474"/>
      </c>
      <c r="AZ120" s="10">
        <f t="shared" si="474"/>
      </c>
      <c r="BA120" s="10">
        <f t="shared" si="474"/>
      </c>
      <c r="BB120" s="10">
        <f t="shared" si="474"/>
      </c>
      <c r="BC120" s="10">
        <f t="shared" si="474"/>
      </c>
      <c r="BD120" s="10">
        <f t="shared" si="474"/>
      </c>
      <c r="BE120" s="10">
        <f t="shared" si="474"/>
      </c>
      <c r="BF120" s="10">
        <f t="shared" si="474"/>
      </c>
      <c r="BG120" s="10">
        <f t="shared" si="474"/>
      </c>
      <c r="BH120" s="10">
        <f t="shared" si="474"/>
      </c>
      <c r="BI120" s="10">
        <f t="shared" si="474"/>
      </c>
      <c r="BJ120" s="10">
        <f t="shared" si="474"/>
      </c>
      <c r="BK120" s="10">
        <f t="shared" si="474"/>
      </c>
      <c r="BL120" s="10">
        <f t="shared" si="474"/>
      </c>
      <c r="BM120" s="10">
        <f t="shared" si="474"/>
      </c>
      <c r="BN120" s="10">
        <f t="shared" si="474"/>
      </c>
      <c r="BO120" s="10">
        <f t="shared" si="474"/>
      </c>
      <c r="BP120" s="10">
        <f t="shared" si="474"/>
      </c>
      <c r="BQ120" s="10">
        <f t="shared" si="474"/>
      </c>
      <c r="BR120" s="10">
        <f t="shared" si="474"/>
      </c>
      <c r="BS120" s="10">
        <f t="shared" si="474"/>
      </c>
      <c r="BT120" s="10">
        <f t="shared" si="474"/>
      </c>
      <c r="BU120" s="67">
        <f t="shared" si="474"/>
      </c>
      <c r="BV120" s="10">
        <f>AVERAGE(BV118,BV115)</f>
      </c>
      <c r="BW120" s="10">
        <f>AVERAGE(BW118,BW115)</f>
      </c>
      <c r="BX120" s="10">
        <f t="shared" si="474"/>
      </c>
      <c r="BY120" s="10">
        <f t="shared" si="474"/>
      </c>
      <c r="BZ120" s="67">
        <f t="shared" si="474"/>
      </c>
      <c r="CA120" s="10">
        <f t="shared" si="474"/>
      </c>
      <c r="CB120" s="10">
        <f t="shared" si="474"/>
      </c>
      <c r="CC120" s="10">
        <f>AVERAGE(CC118,CC115)</f>
      </c>
      <c r="CD120" s="10">
        <f>AVERAGE(CD118,CD115)</f>
      </c>
      <c r="CE120" s="67">
        <f t="shared" si="474"/>
      </c>
      <c r="CF120" s="10">
        <f t="shared" si="474"/>
      </c>
      <c r="CG120" s="10">
        <f>AVERAGE(CG118,CG115)</f>
      </c>
      <c r="CH120" s="10">
        <f>AVERAGE(CH118,CH115)</f>
      </c>
      <c r="CI120" s="10">
        <f>AVERAGE(CI118,CI115)</f>
      </c>
      <c r="CJ120" s="67">
        <f t="shared" si="474"/>
      </c>
      <c r="CK120" s="10">
        <f>AVERAGE(CK118,CK115)</f>
      </c>
      <c r="CL120" s="10">
        <f>AVERAGE(CL118,CL115)</f>
      </c>
      <c r="CM120" s="10">
        <f>AVERAGE(CM118,CM115)</f>
      </c>
      <c r="CN120" s="10">
        <f>AVERAGE(CN118,CN115)</f>
      </c>
      <c r="CO120" s="67">
        <f>AVERAGE(CK120:CN120)</f>
      </c>
      <c r="CP120" s="10">
        <f>AVERAGE(CP118,CP115)</f>
      </c>
      <c r="CQ120" s="10">
        <f>AVERAGE(CQ118,CQ115)</f>
      </c>
      <c r="CR120" s="10">
        <f>AVERAGE(CR118,CR115)</f>
      </c>
      <c r="CS120" s="10">
        <f>AVERAGE(CS118,CS115)</f>
      </c>
      <c r="CT120" s="67">
        <f>AVERAGE(CP120:CS120)</f>
      </c>
      <c r="CU120" s="10">
        <f>AVERAGE(CU118,CU115)</f>
      </c>
      <c r="CV120" s="10">
        <f>AVERAGE(CV118,CV115)</f>
      </c>
      <c r="CW120" s="10">
        <f>AVERAGE(CW118,CW115)</f>
      </c>
      <c r="CX120" s="10">
        <f>AVERAGE(CX118,CX115)</f>
      </c>
      <c r="CY120" s="67">
        <f>AVERAGE(CU120:CX120)</f>
      </c>
      <c r="CZ120" s="10">
        <f t="shared" ref="CZ120:DU120" si="475">AVERAGE(CZ118,CZ115)</f>
      </c>
      <c r="DA120" s="10">
        <f t="shared" si="475"/>
      </c>
      <c r="DB120" s="10">
        <f t="shared" si="475"/>
      </c>
      <c r="DC120" s="10">
        <f t="shared" si="475"/>
      </c>
      <c r="DD120" s="67">
        <f t="shared" si="475"/>
      </c>
      <c r="DE120" s="10">
        <f t="shared" si="475"/>
      </c>
      <c r="DF120" s="10">
        <f t="shared" si="475"/>
      </c>
      <c r="DG120" s="10">
        <f t="shared" si="475"/>
      </c>
      <c r="DH120" s="10">
        <f t="shared" si="475"/>
      </c>
      <c r="DI120" s="67">
        <f t="shared" si="475"/>
      </c>
      <c r="DJ120" s="10">
        <f t="shared" si="475"/>
      </c>
      <c r="DK120" s="10">
        <f t="shared" si="475"/>
      </c>
      <c r="DL120" s="10">
        <f t="shared" si="475"/>
      </c>
      <c r="DM120" s="948">
        <f t="shared" si="475"/>
      </c>
      <c r="DN120" s="1111">
        <f t="shared" si="475"/>
      </c>
      <c r="DO120" s="948">
        <f t="shared" si="475"/>
      </c>
      <c r="DP120" s="948">
        <f t="shared" si="475"/>
      </c>
      <c r="DQ120" s="948">
        <f t="shared" si="475"/>
      </c>
      <c r="DR120" s="948">
        <f t="shared" si="475"/>
      </c>
      <c r="DS120" s="1111">
        <f t="shared" si="475"/>
      </c>
      <c r="DT120" s="948">
        <f t="shared" si="475"/>
      </c>
      <c r="DU120" s="948">
        <f t="shared" si="475"/>
      </c>
      <c r="DV120" s="948">
        <f t="shared" ref="DV120:EI120" si="476">AVERAGE(DV118,DV115)</f>
      </c>
      <c r="DW120" s="948">
        <f t="shared" si="476"/>
      </c>
      <c r="DX120" s="1111">
        <f t="shared" si="476"/>
      </c>
      <c r="DY120" s="948">
        <f t="shared" si="476"/>
      </c>
      <c r="DZ120" s="948">
        <f t="shared" si="476"/>
      </c>
      <c r="EA120" s="948">
        <f t="shared" si="476"/>
      </c>
      <c r="EB120" s="948">
        <f>AVERAGE(EB118,EB115)</f>
      </c>
      <c r="EC120" s="1505">
        <f>AVERAGE(EC118,EC115)</f>
      </c>
      <c r="ED120" s="1284">
        <f>AVERAGE(ED118,ED115)</f>
      </c>
      <c r="EE120" s="1284">
        <f>AVERAGE(EE118,EE115)</f>
      </c>
      <c r="EF120" s="1284">
        <f t="shared" si="476"/>
      </c>
      <c r="EG120" s="1284">
        <f t="shared" si="476"/>
      </c>
      <c r="EH120" s="2060">
        <f t="shared" si="476"/>
      </c>
      <c r="EI120" s="1284">
        <f t="shared" si="476"/>
      </c>
      <c r="EJ120" s="1284">
        <f t="shared" ref="EJ120:ER120" si="477">AVERAGE(EJ118,EJ115)</f>
      </c>
      <c r="EK120" s="1284">
        <f>AVERAGE(EK118,EK115)</f>
      </c>
      <c r="EL120" s="1284">
        <f t="shared" si="477"/>
      </c>
      <c r="EM120" s="2528">
        <f t="shared" si="477"/>
      </c>
      <c r="EN120" s="2534">
        <f t="shared" si="477"/>
      </c>
      <c r="EO120" s="1284">
        <f t="shared" si="477"/>
      </c>
      <c r="EP120" s="1284">
        <f t="shared" si="477"/>
      </c>
      <c r="EQ120" s="1311">
        <f t="shared" si="477"/>
      </c>
      <c r="ER120" s="1313">
        <f t="shared" si="477"/>
      </c>
      <c r="ES120" s="2534">
        <f t="shared" ref="ES120:EW120" si="478">AVERAGE(ES118,ES115)</f>
      </c>
      <c r="ET120" s="1284">
        <f t="shared" si="478"/>
      </c>
      <c r="EU120" s="1284">
        <f t="shared" si="478"/>
      </c>
      <c r="EV120" s="1311">
        <f t="shared" si="478"/>
      </c>
      <c r="EW120" s="1313">
        <f t="shared" si="478"/>
      </c>
      <c r="EX120" s="2534">
        <f t="shared" ref="EX120:EY120" si="479">AVERAGE(EX118,EX115)</f>
      </c>
      <c r="EY120" s="1284">
        <f t="shared" si="479"/>
      </c>
      <c r="EZ120" s="1284">
        <f>AVERAGE(EZ118,EZ115)</f>
      </c>
      <c r="FA120" s="1311">
        <f>AVERAGE(FA118,FA115)</f>
      </c>
      <c r="FB120" s="1313">
        <f t="shared" ref="FB120" si="480">AVERAGE(FB118,FB115)</f>
      </c>
      <c r="FC120" s="1313">
        <f>AVERAGE(FC118,FC115)</f>
      </c>
      <c r="FD120" s="1313">
        <f>AVERAGE(FD118,FD115)</f>
      </c>
      <c r="FE120" s="1313">
        <f>AVERAGE(FE118,FE115)</f>
      </c>
      <c r="FF120" s="1313">
        <f>AVERAGE(FF118,FF115)</f>
      </c>
      <c r="FG120" s="1313">
        <f>AVERAGE(FG118,FG115)</f>
      </c>
    </row>
    <row r="121" spans="1:163" outlineLevel="1">
      <c r="A121" s="1"/>
      <c r="B121" s="85"/>
      <c r="C121" s="86"/>
      <c r="D121" s="86"/>
      <c r="E121" s="86"/>
      <c r="F121" s="86"/>
      <c r="G121" s="86"/>
      <c r="H121" s="86"/>
      <c r="I121" s="86"/>
      <c r="J121" s="86"/>
      <c r="K121" s="86"/>
      <c r="L121" s="86"/>
      <c r="M121" s="86"/>
      <c r="N121" s="86"/>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
      <c r="BU121" s="539"/>
      <c r="BV121" s="10"/>
      <c r="BW121" s="10"/>
      <c r="BX121" s="1"/>
      <c r="BY121" s="1"/>
      <c r="BZ121" s="539"/>
      <c r="CA121" s="1"/>
      <c r="CB121" s="1"/>
      <c r="CC121" s="1"/>
      <c r="CD121" s="1"/>
      <c r="CE121" s="539"/>
      <c r="CF121" s="1"/>
      <c r="CG121" s="1"/>
      <c r="CH121" s="1"/>
      <c r="CI121" s="1"/>
      <c r="CJ121" s="539"/>
      <c r="CK121" s="10"/>
      <c r="CL121" s="10"/>
      <c r="CM121" s="10"/>
      <c r="CN121" s="10"/>
      <c r="CO121" s="67"/>
      <c r="CP121" s="10"/>
      <c r="CQ121" s="10"/>
      <c r="CR121" s="10"/>
      <c r="CS121" s="10"/>
      <c r="CT121" s="67"/>
      <c r="CU121" s="10"/>
      <c r="CV121" s="10"/>
      <c r="CW121" s="10"/>
      <c r="CX121" s="10"/>
      <c r="CY121" s="67"/>
      <c r="CZ121" s="10"/>
      <c r="DA121" s="10"/>
      <c r="DB121" s="10"/>
      <c r="DC121" s="10"/>
      <c r="DD121" s="539"/>
      <c r="DE121" s="10"/>
      <c r="DF121" s="10"/>
      <c r="DG121" s="10"/>
      <c r="DH121" s="10"/>
      <c r="DI121" s="539"/>
      <c r="DJ121" s="10"/>
      <c r="DK121" s="10"/>
      <c r="DL121" s="10"/>
      <c r="DM121" s="948"/>
      <c r="DN121" s="1114"/>
      <c r="DO121" s="948"/>
      <c r="DP121" s="948"/>
      <c r="DQ121" s="948"/>
      <c r="DR121" s="948"/>
      <c r="DS121" s="1114"/>
      <c r="DT121" s="948"/>
      <c r="DU121" s="948"/>
      <c r="DV121" s="948"/>
      <c r="DW121" s="948"/>
      <c r="DX121" s="1114"/>
      <c r="DY121" s="948"/>
      <c r="DZ121" s="948"/>
      <c r="EA121" s="948"/>
      <c r="EB121" s="948"/>
      <c r="EC121" s="2724"/>
      <c r="ED121" s="1284"/>
      <c r="EE121" s="1045"/>
      <c r="EF121" s="1045"/>
      <c r="EG121" s="1045"/>
      <c r="EH121" s="2734"/>
      <c r="EI121" s="1284"/>
      <c r="EJ121" s="1045"/>
      <c r="EK121" s="1045"/>
      <c r="EL121" s="1045"/>
      <c r="EM121" s="2527"/>
      <c r="EN121" s="2534"/>
      <c r="EO121" s="1045"/>
      <c r="EP121" s="1045"/>
      <c r="EQ121" s="1247"/>
      <c r="ER121" s="2051"/>
      <c r="ES121" s="2534"/>
      <c r="ET121" s="1045"/>
      <c r="EU121" s="1045"/>
      <c r="EV121" s="1247"/>
      <c r="EW121" s="2051"/>
      <c r="EX121" s="2534"/>
      <c r="EY121" s="1045"/>
      <c r="EZ121" s="1045"/>
      <c r="FA121" s="1247"/>
      <c r="FB121" s="2051"/>
      <c r="FC121" s="2051"/>
      <c r="FD121" s="2051"/>
      <c r="FE121" s="2051"/>
      <c r="FF121" s="2051"/>
      <c r="FG121" s="2051"/>
    </row>
    <row r="122" spans="1:163" outlineLevel="1">
      <c r="A122" s="1"/>
      <c r="B122" s="94" t="s">
        <v>92</v>
      </c>
      <c r="C122" s="84"/>
      <c r="D122" s="84"/>
      <c r="E122" s="84"/>
      <c r="F122" s="84"/>
      <c r="G122" s="84"/>
      <c r="H122" s="84"/>
      <c r="I122" s="84"/>
      <c r="J122" s="84"/>
      <c r="K122" s="84"/>
      <c r="L122" s="84"/>
      <c r="M122" s="84"/>
      <c r="N122" s="84"/>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
      <c r="BU122" s="539"/>
      <c r="BV122" s="10"/>
      <c r="BW122" s="10"/>
      <c r="BX122" s="1"/>
      <c r="BY122" s="1"/>
      <c r="BZ122" s="539"/>
      <c r="CA122" s="1"/>
      <c r="CB122" s="1"/>
      <c r="CC122" s="1"/>
      <c r="CD122" s="1"/>
      <c r="CE122" s="539"/>
      <c r="CF122" s="1"/>
      <c r="CG122" s="1"/>
      <c r="CH122" s="1"/>
      <c r="CI122" s="1"/>
      <c r="CJ122" s="539"/>
      <c r="CK122" s="1"/>
      <c r="CL122" s="1"/>
      <c r="CM122" s="1"/>
      <c r="CN122" s="1"/>
      <c r="CO122" s="539"/>
      <c r="CP122" s="1"/>
      <c r="CQ122" s="1"/>
      <c r="CR122" s="1"/>
      <c r="CS122" s="1"/>
      <c r="CT122" s="539"/>
      <c r="CU122" s="1"/>
      <c r="CV122" s="1"/>
      <c r="CW122" s="1"/>
      <c r="CX122" s="1"/>
      <c r="CY122" s="539"/>
      <c r="CZ122" s="1"/>
      <c r="DA122" s="1"/>
      <c r="DB122" s="1"/>
      <c r="DC122" s="1"/>
      <c r="DD122" s="539"/>
      <c r="DE122" s="1"/>
      <c r="DF122" s="1"/>
      <c r="DG122" s="1"/>
      <c r="DH122" s="1"/>
      <c r="DI122" s="539"/>
      <c r="DJ122" s="1"/>
      <c r="DK122" s="1"/>
      <c r="DL122" s="1"/>
      <c r="DM122" s="946"/>
      <c r="DN122" s="1114"/>
      <c r="DO122" s="946"/>
      <c r="DP122" s="946"/>
      <c r="DQ122" s="946"/>
      <c r="DR122" s="946"/>
      <c r="DS122" s="1114"/>
      <c r="DT122" s="946"/>
      <c r="DU122" s="946"/>
      <c r="DV122" s="946"/>
      <c r="DW122" s="946"/>
      <c r="DX122" s="1114"/>
      <c r="DY122" s="946"/>
      <c r="DZ122" s="946"/>
      <c r="EA122" s="946"/>
      <c r="EB122" s="946"/>
      <c r="EC122" s="2724"/>
      <c r="ED122" s="1045"/>
      <c r="EE122" s="1045"/>
      <c r="EF122" s="1045"/>
      <c r="EG122" s="1045"/>
      <c r="EH122" s="2734"/>
      <c r="EI122" s="1045"/>
      <c r="EJ122" s="1045"/>
      <c r="EK122" s="1045"/>
      <c r="EL122" s="1045"/>
      <c r="EM122" s="2527"/>
      <c r="EN122" s="2344"/>
      <c r="EO122" s="1045"/>
      <c r="EP122" s="1045"/>
      <c r="EQ122" s="1247"/>
      <c r="ER122" s="2051"/>
      <c r="ES122" s="2344"/>
      <c r="ET122" s="1045"/>
      <c r="EU122" s="1045"/>
      <c r="EV122" s="1247"/>
      <c r="EW122" s="2051"/>
      <c r="EX122" s="2344"/>
      <c r="EY122" s="1045"/>
      <c r="EZ122" s="1045"/>
      <c r="FA122" s="1247"/>
      <c r="FB122" s="2051"/>
      <c r="FC122" s="2051"/>
      <c r="FD122" s="2051"/>
      <c r="FE122" s="2051"/>
      <c r="FF122" s="2051"/>
      <c r="FG122" s="2051"/>
    </row>
    <row r="123" spans="1:163" outlineLevel="1">
      <c r="A123" s="1"/>
      <c r="B123" s="85" t="s">
        <v>93</v>
      </c>
      <c r="C123" s="86"/>
      <c r="D123" s="86"/>
      <c r="E123" s="86"/>
      <c r="F123" s="86"/>
      <c r="G123" s="86"/>
      <c r="H123" s="86"/>
      <c r="I123" s="86"/>
      <c r="J123" s="86"/>
      <c r="K123" s="86"/>
      <c r="L123" s="86"/>
      <c r="M123" s="86"/>
      <c r="N123" s="1"/>
      <c r="O123" s="10"/>
      <c r="P123" s="10"/>
      <c r="Q123" s="10"/>
      <c r="R123" s="10"/>
      <c r="S123" s="10"/>
      <c r="T123" s="10"/>
      <c r="U123" s="10"/>
      <c r="V123" s="10"/>
      <c r="W123" s="10"/>
      <c r="X123" s="10"/>
      <c r="Y123" s="10"/>
      <c r="Z123" s="10"/>
      <c r="AA123" s="10"/>
      <c r="AB123" s="10">
        <f>+W51</f>
      </c>
      <c r="AC123" s="10">
        <f>+AB125</f>
      </c>
      <c r="AD123" s="10">
        <f>+AC125</f>
      </c>
      <c r="AE123" s="10">
        <f>+AD125</f>
      </c>
      <c r="AF123" s="10">
        <f>+AE125</f>
      </c>
      <c r="AG123" s="10">
        <f>+AB125</f>
      </c>
      <c r="AH123" s="10">
        <f>+AG125</f>
      </c>
      <c r="AI123" s="10">
        <f>+AH125</f>
      </c>
      <c r="AJ123" s="10">
        <f>+AI125</f>
      </c>
      <c r="AK123" s="10">
        <f>+AJ125</f>
      </c>
      <c r="AL123" s="10">
        <f>+AG125</f>
      </c>
      <c r="AM123" s="10">
        <f>+AL125</f>
      </c>
      <c r="AN123" s="10">
        <f>+AM125</f>
      </c>
      <c r="AO123" s="10">
        <f>+AN125</f>
      </c>
      <c r="AP123" s="10">
        <f>+AO125</f>
      </c>
      <c r="AQ123" s="10">
        <f>+AL125</f>
      </c>
      <c r="AR123" s="10">
        <f>+AQ125</f>
      </c>
      <c r="AS123" s="10">
        <f>+AR125</f>
      </c>
      <c r="AT123" s="10">
        <f>+AS125</f>
      </c>
      <c r="AU123" s="10">
        <f>+AT125</f>
      </c>
      <c r="AV123" s="10">
        <f>+AQ125</f>
      </c>
      <c r="AW123" s="10">
        <f>+AV125</f>
      </c>
      <c r="AX123" s="10">
        <f>+AW125</f>
      </c>
      <c r="AY123" s="10">
        <f>+AX125</f>
      </c>
      <c r="AZ123" s="10">
        <f>+AY125</f>
      </c>
      <c r="BA123" s="10">
        <f>+AV125</f>
      </c>
      <c r="BB123" s="10">
        <f>+BA125</f>
      </c>
      <c r="BC123" s="10">
        <f>+BB125</f>
      </c>
      <c r="BD123" s="10">
        <f>+BC125</f>
      </c>
      <c r="BE123" s="10">
        <f>+BD125</f>
      </c>
      <c r="BF123" s="10">
        <f>+BA125</f>
      </c>
      <c r="BG123" s="10">
        <f>+BF125</f>
      </c>
      <c r="BH123" s="10">
        <f>+BG125</f>
      </c>
      <c r="BI123" s="10">
        <f>+BH125</f>
      </c>
      <c r="BJ123" s="10">
        <f>+BI125</f>
      </c>
      <c r="BK123" s="10">
        <f>+BF125</f>
      </c>
      <c r="BL123" s="10">
        <f>+BK125</f>
      </c>
      <c r="BM123" s="10">
        <f>+BL125</f>
      </c>
      <c r="BN123" s="10">
        <f>+BM125</f>
      </c>
      <c r="BO123" s="10">
        <f>+BN125</f>
      </c>
      <c r="BP123" s="10">
        <f>+BK125</f>
      </c>
      <c r="BQ123" s="10">
        <f>+BP125</f>
      </c>
      <c r="BR123" s="10">
        <f>+BQ125</f>
      </c>
      <c r="BS123" s="10">
        <f>+BR125</f>
      </c>
      <c r="BT123" s="10">
        <f>+BS125</f>
      </c>
      <c r="BU123" s="67">
        <f>+BP125</f>
      </c>
      <c r="BV123" s="10">
        <f>+BU125</f>
      </c>
      <c r="BW123" s="10">
        <f>+BV125</f>
      </c>
      <c r="BX123" s="10">
        <f>+BW125</f>
      </c>
      <c r="BY123" s="10">
        <f>+BX125</f>
      </c>
      <c r="BZ123" s="67">
        <f>+BU125</f>
      </c>
      <c r="CA123" s="10">
        <f>+BZ125</f>
      </c>
      <c r="CB123" s="10">
        <f>+CA125</f>
      </c>
      <c r="CC123" s="10">
        <f>+CB125</f>
      </c>
      <c r="CD123" s="10">
        <f>+CC125</f>
      </c>
      <c r="CE123" s="67">
        <f>+BZ125</f>
      </c>
      <c r="CF123" s="10">
        <f>+CE125</f>
      </c>
      <c r="CG123" s="10">
        <f>+CF125</f>
      </c>
      <c r="CH123" s="10">
        <f>+CG125</f>
      </c>
      <c r="CI123" s="10">
        <f>+CH125</f>
      </c>
      <c r="CJ123" s="67">
        <f>+CE125</f>
      </c>
      <c r="CK123" s="10">
        <f>+CJ125</f>
      </c>
      <c r="CL123" s="10">
        <f>+CK125</f>
      </c>
      <c r="CM123" s="10">
        <f>+CL125</f>
      </c>
      <c r="CN123" s="10">
        <f>+CM125</f>
      </c>
      <c r="CO123" s="67">
        <f>+CJ125</f>
      </c>
      <c r="CP123" s="10">
        <f>+CO125</f>
      </c>
      <c r="CQ123" s="10">
        <f>+CP125</f>
      </c>
      <c r="CR123" s="10">
        <f>+CQ125</f>
      </c>
      <c r="CS123" s="10">
        <f>+CR125</f>
      </c>
      <c r="CT123" s="67">
        <f>+CO125</f>
      </c>
      <c r="CU123" s="10">
        <f>+CT125</f>
      </c>
      <c r="CV123" s="10">
        <f>+CU125</f>
      </c>
      <c r="CW123" s="10">
        <f>+CV125</f>
      </c>
      <c r="CX123" s="10">
        <f>+CW125</f>
      </c>
      <c r="CY123" s="67">
        <f>+CT125</f>
      </c>
      <c r="CZ123" s="10">
        <f>+CY125</f>
      </c>
      <c r="DA123" s="10">
        <f>+CZ125</f>
      </c>
      <c r="DB123" s="10">
        <f>+DA125</f>
      </c>
      <c r="DC123" s="10">
        <f>+DB125</f>
      </c>
      <c r="DD123" s="67">
        <f>+CY125</f>
      </c>
      <c r="DE123" s="10">
        <f>+DD125</f>
      </c>
      <c r="DF123" s="10">
        <f>+DE125</f>
      </c>
      <c r="DG123" s="10">
        <f>+DF125</f>
      </c>
      <c r="DH123" s="10">
        <f>+DG125</f>
      </c>
      <c r="DI123" s="67">
        <f>+DD125</f>
      </c>
      <c r="DJ123" s="10">
        <f>+DI125</f>
      </c>
      <c r="DK123" s="10">
        <f>+DJ125</f>
      </c>
      <c r="DL123" s="10">
        <f>+DK125</f>
      </c>
      <c r="DM123" s="10">
        <f>+DL125</f>
      </c>
      <c r="DN123" s="67">
        <f>+DI125</f>
      </c>
      <c r="DO123" s="948">
        <f>+DN125</f>
      </c>
      <c r="DP123" s="948">
        <f>+DO125</f>
      </c>
      <c r="DQ123" s="948">
        <f>+DP125</f>
      </c>
      <c r="DR123" s="10">
        <f>+DQ125</f>
      </c>
      <c r="DS123" s="67">
        <f>+DN125</f>
      </c>
      <c r="DT123" s="948">
        <f>+DS125</f>
      </c>
      <c r="DU123" s="948">
        <f>+DT125</f>
      </c>
      <c r="DV123" s="948">
        <f>+DU125</f>
      </c>
      <c r="DW123" s="948">
        <f>+DV125</f>
      </c>
      <c r="DX123" s="1111">
        <f>+DS125</f>
      </c>
      <c r="DY123" s="948">
        <f>+DX125</f>
      </c>
      <c r="DZ123" s="948">
        <f>+DY125</f>
      </c>
      <c r="EA123" s="948">
        <f>+DZ125</f>
      </c>
      <c r="EB123" s="948">
        <f>+EA125</f>
      </c>
      <c r="EC123" s="1505">
        <f>+DX125</f>
      </c>
      <c r="ED123" s="1284">
        <f>+EC125</f>
      </c>
      <c r="EE123" s="1284">
        <f>+ED125</f>
      </c>
      <c r="EF123" s="1284">
        <f>+EE125</f>
      </c>
      <c r="EG123" s="1284">
        <f>+EF125</f>
      </c>
      <c r="EH123" s="2060">
        <f>+EC125</f>
      </c>
      <c r="EI123" s="1284">
        <f>+EH125</f>
      </c>
      <c r="EJ123" s="1284">
        <f>+EI125</f>
      </c>
      <c r="EK123" s="1284">
        <f>+EJ125</f>
      </c>
      <c r="EL123" s="1284">
        <f>+EK125</f>
      </c>
      <c r="EM123" s="2528">
        <f>+EH125</f>
      </c>
      <c r="EN123" s="2534">
        <f>+EM125</f>
      </c>
      <c r="EO123" s="1284">
        <f>+EN125</f>
      </c>
      <c r="EP123" s="1284">
        <f>+EO125</f>
      </c>
      <c r="EQ123" s="1311">
        <f>+EP125</f>
      </c>
      <c r="ER123" s="1313">
        <f>+EM125</f>
      </c>
      <c r="ES123" s="2534">
        <f>+ER125</f>
      </c>
      <c r="ET123" s="1284">
        <f>+ES125</f>
      </c>
      <c r="EU123" s="1284">
        <f>+ET125</f>
      </c>
      <c r="EV123" s="1311">
        <f>+EU125</f>
      </c>
      <c r="EW123" s="1313">
        <f>+ER125</f>
      </c>
      <c r="EX123" s="2534">
        <f>+EW125</f>
      </c>
      <c r="EY123" s="1284">
        <f>+EX125</f>
      </c>
      <c r="EZ123" s="1284">
        <f>+EY125</f>
      </c>
      <c r="FA123" s="1311">
        <f>+EZ125</f>
      </c>
      <c r="FB123" s="1313">
        <f>+EW125</f>
      </c>
      <c r="FC123" s="1313">
        <f t="shared" ref="FC123:FG123" si="481">+FB125</f>
      </c>
      <c r="FD123" s="1313">
        <f t="shared" si="481"/>
      </c>
      <c r="FE123" s="1313">
        <f t="shared" si="481"/>
      </c>
      <c r="FF123" s="1313">
        <f t="shared" si="481"/>
      </c>
      <c r="FG123" s="1313">
        <f t="shared" si="481"/>
      </c>
    </row>
    <row r="124" spans="1:163" outlineLevel="1">
      <c r="A124" s="1"/>
      <c r="B124" s="92" t="s">
        <v>94</v>
      </c>
      <c r="C124" s="118"/>
      <c r="D124" s="118"/>
      <c r="E124" s="118"/>
      <c r="F124" s="118"/>
      <c r="G124" s="118"/>
      <c r="H124" s="118"/>
      <c r="I124" s="118"/>
      <c r="J124" s="118"/>
      <c r="K124" s="118"/>
      <c r="L124" s="118"/>
      <c r="M124" s="118"/>
      <c r="N124" s="1"/>
      <c r="O124" s="10"/>
      <c r="P124" s="10"/>
      <c r="Q124" s="10"/>
      <c r="R124" s="10"/>
      <c r="S124" s="10"/>
      <c r="T124" s="10"/>
      <c r="U124" s="10"/>
      <c r="V124" s="10"/>
      <c r="W124" s="10"/>
      <c r="X124" s="10"/>
      <c r="Y124" s="10"/>
      <c r="Z124" s="10"/>
      <c r="AA124" s="10"/>
      <c r="AB124" s="10">
        <f t="shared" ref="AB124:BU124" si="482">+AB125-AB123</f>
      </c>
      <c r="AC124" s="10">
        <f t="shared" si="482"/>
      </c>
      <c r="AD124" s="10">
        <f t="shared" si="482"/>
      </c>
      <c r="AE124" s="10">
        <f t="shared" si="482"/>
      </c>
      <c r="AF124" s="10">
        <f t="shared" si="482"/>
      </c>
      <c r="AG124" s="10">
        <f t="shared" si="482"/>
      </c>
      <c r="AH124" s="10">
        <f t="shared" si="482"/>
      </c>
      <c r="AI124" s="10">
        <f t="shared" si="482"/>
      </c>
      <c r="AJ124" s="10">
        <f t="shared" si="482"/>
      </c>
      <c r="AK124" s="10">
        <f t="shared" si="482"/>
      </c>
      <c r="AL124" s="10">
        <f t="shared" si="482"/>
      </c>
      <c r="AM124" s="10">
        <f t="shared" si="482"/>
      </c>
      <c r="AN124" s="10">
        <f t="shared" si="482"/>
      </c>
      <c r="AO124" s="10">
        <f t="shared" si="482"/>
      </c>
      <c r="AP124" s="10">
        <f t="shared" si="482"/>
      </c>
      <c r="AQ124" s="10">
        <f t="shared" si="482"/>
      </c>
      <c r="AR124" s="10">
        <f t="shared" si="482"/>
      </c>
      <c r="AS124" s="10">
        <f t="shared" si="482"/>
      </c>
      <c r="AT124" s="10">
        <f t="shared" si="482"/>
      </c>
      <c r="AU124" s="10">
        <f t="shared" si="482"/>
      </c>
      <c r="AV124" s="10">
        <f t="shared" si="482"/>
      </c>
      <c r="AW124" s="10">
        <f t="shared" si="482"/>
      </c>
      <c r="AX124" s="10">
        <f t="shared" si="482"/>
      </c>
      <c r="AY124" s="10">
        <f t="shared" si="482"/>
      </c>
      <c r="AZ124" s="10">
        <f t="shared" si="482"/>
      </c>
      <c r="BA124" s="10">
        <f t="shared" si="482"/>
      </c>
      <c r="BB124" s="10">
        <f t="shared" si="482"/>
      </c>
      <c r="BC124" s="10">
        <f t="shared" si="482"/>
      </c>
      <c r="BD124" s="10">
        <f t="shared" si="482"/>
      </c>
      <c r="BE124" s="10">
        <f t="shared" si="482"/>
      </c>
      <c r="BF124" s="10">
        <f t="shared" si="482"/>
      </c>
      <c r="BG124" s="10">
        <f t="shared" si="482"/>
      </c>
      <c r="BH124" s="10">
        <f t="shared" si="482"/>
      </c>
      <c r="BI124" s="10">
        <f t="shared" si="482"/>
      </c>
      <c r="BJ124" s="10">
        <f t="shared" si="482"/>
      </c>
      <c r="BK124" s="10">
        <f t="shared" si="482"/>
      </c>
      <c r="BL124" s="10">
        <f t="shared" si="482"/>
      </c>
      <c r="BM124" s="10">
        <f t="shared" si="482"/>
      </c>
      <c r="BN124" s="10">
        <f t="shared" si="482"/>
      </c>
      <c r="BO124" s="10">
        <f t="shared" si="482"/>
      </c>
      <c r="BP124" s="10">
        <f t="shared" si="482"/>
      </c>
      <c r="BQ124" s="10">
        <f t="shared" si="482"/>
      </c>
      <c r="BR124" s="10">
        <f t="shared" si="482"/>
      </c>
      <c r="BS124" s="10">
        <f t="shared" si="482"/>
      </c>
      <c r="BT124" s="10">
        <f t="shared" si="482"/>
      </c>
      <c r="BU124" s="67">
        <f t="shared" si="482"/>
      </c>
      <c r="BV124" s="10">
        <f t="shared" ref="BV124:CH124" si="483">+BV125-BV123</f>
      </c>
      <c r="BW124" s="10">
        <f t="shared" si="483"/>
      </c>
      <c r="BX124" s="10">
        <f t="shared" si="483"/>
      </c>
      <c r="BY124" s="10">
        <f t="shared" si="483"/>
      </c>
      <c r="BZ124" s="67">
        <f t="shared" si="483"/>
      </c>
      <c r="CA124" s="10">
        <f t="shared" si="483"/>
      </c>
      <c r="CB124" s="10">
        <f t="shared" si="483"/>
      </c>
      <c r="CC124" s="10">
        <f t="shared" si="483"/>
      </c>
      <c r="CD124" s="10">
        <f t="shared" si="483"/>
      </c>
      <c r="CE124" s="67">
        <f>SUM(CA124:CD124)</f>
      </c>
      <c r="CF124" s="10">
        <f t="shared" si="483"/>
      </c>
      <c r="CG124" s="10">
        <f t="shared" si="483"/>
      </c>
      <c r="CH124" s="10">
        <f t="shared" si="483"/>
      </c>
      <c r="CI124" s="10">
        <f>+CI125-CI123</f>
      </c>
      <c r="CJ124" s="67">
        <f>SUM(CF124:CI124)</f>
      </c>
      <c r="CK124" s="10">
        <f>+CK125-CK123</f>
      </c>
      <c r="CL124" s="10">
        <f>+CL125-CL123</f>
      </c>
      <c r="CM124" s="10">
        <f>CM117*CM112</f>
      </c>
      <c r="CN124" s="10">
        <f>CN117*CN112</f>
      </c>
      <c r="CO124" s="67">
        <f>SUM(CK124:CN124)</f>
      </c>
      <c r="CP124" s="10">
        <f>+CP125-CP123</f>
      </c>
      <c r="CQ124" s="10">
        <f>+CQ125-CQ123</f>
      </c>
      <c r="CR124" s="10">
        <f>+CR125-CR123</f>
      </c>
      <c r="CS124" s="10">
        <f>+CS125-CS123</f>
      </c>
      <c r="CT124" s="67">
        <f>SUM(CP124:CS124)</f>
      </c>
      <c r="CU124" s="10">
        <f>+CU125-CU123</f>
      </c>
      <c r="CV124" s="10">
        <f>+CV125-CV123</f>
      </c>
      <c r="CW124" s="10">
        <f>+CW125-CW123</f>
      </c>
      <c r="CX124" s="10">
        <f>+CX125-CX123</f>
      </c>
      <c r="CY124" s="67">
        <f>SUM(CU124:CX124)</f>
      </c>
      <c r="CZ124" s="10">
        <f>+CZ125-CZ123</f>
      </c>
      <c r="DA124" s="10">
        <f>+DA125-DA123</f>
      </c>
      <c r="DB124" s="10">
        <f>+DB125-DB123</f>
      </c>
      <c r="DC124" s="10">
        <f>+DC125-DC123</f>
      </c>
      <c r="DD124" s="67">
        <f>SUM(CZ124:DC124)</f>
      </c>
      <c r="DE124" s="10">
        <f>+DE125-DE123</f>
      </c>
      <c r="DF124" s="10">
        <f>+DF125-DF123</f>
      </c>
      <c r="DG124" s="10">
        <f>+DG125-DG123</f>
      </c>
      <c r="DH124" s="10">
        <f>+DH125-DH123</f>
      </c>
      <c r="DI124" s="67">
        <f>SUM(DE124:DH124)</f>
      </c>
      <c r="DJ124" s="10">
        <f>+DJ125-DJ123</f>
      </c>
      <c r="DK124" s="10">
        <f>+DK125-DK123</f>
      </c>
      <c r="DL124" s="10">
        <f>+DL125-DL123</f>
      </c>
      <c r="DM124" s="10">
        <f>+DM125-DM123</f>
      </c>
      <c r="DN124" s="67">
        <f>SUM(DJ124:DM124)</f>
      </c>
      <c r="DO124" s="948">
        <f>+DO125-DO123</f>
      </c>
      <c r="DP124" s="948">
        <f>+DP125-DP123</f>
      </c>
      <c r="DQ124" s="948">
        <f>+DQ125-DQ123</f>
      </c>
      <c r="DR124" s="10">
        <f>+DR125-DR123</f>
      </c>
      <c r="DS124" s="67">
        <f>SUM(DO124:DR124)</f>
      </c>
      <c r="DT124" s="948">
        <f>+DT125-DT123</f>
      </c>
      <c r="DU124" s="948">
        <f>+DU125-DU123</f>
      </c>
      <c r="DV124" s="948">
        <f>+DV125-DV123</f>
      </c>
      <c r="DW124" s="948">
        <f>+DW125-DW123</f>
      </c>
      <c r="DX124" s="1111">
        <f>SUM(DT124:DW124)</f>
      </c>
      <c r="DY124" s="948">
        <f>+DY125-DY123</f>
      </c>
      <c r="DZ124" s="948">
        <f>+DZ125-DZ123</f>
      </c>
      <c r="EA124" s="948">
        <f>+EA125-EA123</f>
      </c>
      <c r="EB124" s="948">
        <f>+EB125-EB123</f>
      </c>
      <c r="EC124" s="1505">
        <f>SUM(DY124:EB124)</f>
      </c>
      <c r="ED124" s="1284">
        <f>+ED125-ED123</f>
      </c>
      <c r="EE124" s="1284">
        <f>+EE125-EE123</f>
      </c>
      <c r="EF124" s="1284">
        <f>+EF125-EF123</f>
      </c>
      <c r="EG124" s="1284">
        <f>+EG125-EG123</f>
      </c>
      <c r="EH124" s="2060">
        <f>SUM(ED124:EG124)</f>
      </c>
      <c r="EI124" s="1284">
        <f>+EI125-EI123</f>
      </c>
      <c r="EJ124" s="1284">
        <f>+EJ125-EJ123</f>
      </c>
      <c r="EK124" s="1284">
        <f>+EK125-EK123</f>
      </c>
      <c r="EL124" s="1284">
        <f>+EL125-EL123</f>
      </c>
      <c r="EM124" s="2528">
        <f>SUM(EI124:EL124)</f>
      </c>
      <c r="EN124" s="2534">
        <f>+EN125-EN123</f>
      </c>
      <c r="EO124" s="1284">
        <f>+EO125-EO123</f>
      </c>
      <c r="EP124" s="1284">
        <f>+EP125-EP123</f>
      </c>
      <c r="EQ124" s="1284">
        <f>+EQ125-EQ123</f>
      </c>
      <c r="ER124" s="1313">
        <f>SUM(EN124:EQ124)</f>
      </c>
      <c r="ES124" s="2534">
        <f>+ES125-ES123</f>
      </c>
      <c r="ET124" s="1284">
        <f>+ET125-ET123</f>
      </c>
      <c r="EU124" s="1284">
        <f>+EU125-EU123</f>
      </c>
      <c r="EV124" s="1284">
        <f>+EV125-EV123</f>
      </c>
      <c r="EW124" s="1313">
        <f>SUM(ES124:EV124)</f>
      </c>
      <c r="EX124" s="2534">
        <f>+EX125-EX123</f>
      </c>
      <c r="EY124" s="1284">
        <f>+EY125-EY123</f>
      </c>
      <c r="EZ124" s="1284">
        <f>FB124/4</f>
      </c>
      <c r="FA124" s="1311">
        <f>FB124/4</f>
      </c>
      <c r="FB124" s="1839">
        <v>-2000</v>
      </c>
      <c r="FC124" s="1839">
        <v>-2500</v>
      </c>
      <c r="FD124" s="1839">
        <v>-2500</v>
      </c>
      <c r="FE124" s="1839">
        <v>-2500</v>
      </c>
      <c r="FF124" s="1839">
        <v>-2500</v>
      </c>
      <c r="FG124" s="1839">
        <v>-2500</v>
      </c>
    </row>
    <row r="125" spans="1:163" outlineLevel="1">
      <c r="A125" s="1"/>
      <c r="B125" s="146" t="s">
        <v>95</v>
      </c>
      <c r="C125" s="119"/>
      <c r="D125" s="119"/>
      <c r="E125" s="119"/>
      <c r="F125" s="119"/>
      <c r="G125" s="119"/>
      <c r="H125" s="119"/>
      <c r="I125" s="119"/>
      <c r="J125" s="119"/>
      <c r="K125" s="119"/>
      <c r="L125" s="119"/>
      <c r="M125" s="119"/>
      <c r="N125" s="63"/>
      <c r="O125" s="89"/>
      <c r="P125" s="89"/>
      <c r="Q125" s="89"/>
      <c r="R125" s="89"/>
      <c r="S125" s="89"/>
      <c r="T125" s="89"/>
      <c r="U125" s="89"/>
      <c r="V125" s="89"/>
      <c r="W125" s="89"/>
      <c r="X125" s="89"/>
      <c r="Y125" s="89"/>
      <c r="Z125" s="89"/>
      <c r="AA125" s="89"/>
      <c r="AB125" s="89">
        <f t="shared" ref="AB125:BU125" si="484">+AB51</f>
      </c>
      <c r="AC125" s="89">
        <f t="shared" si="484"/>
      </c>
      <c r="AD125" s="89">
        <f t="shared" si="484"/>
      </c>
      <c r="AE125" s="89">
        <f t="shared" si="484"/>
      </c>
      <c r="AF125" s="89">
        <f t="shared" si="484"/>
      </c>
      <c r="AG125" s="89">
        <f t="shared" si="484"/>
      </c>
      <c r="AH125" s="89">
        <f t="shared" si="484"/>
      </c>
      <c r="AI125" s="89">
        <f t="shared" si="484"/>
      </c>
      <c r="AJ125" s="89">
        <f t="shared" si="484"/>
      </c>
      <c r="AK125" s="89">
        <f t="shared" si="484"/>
      </c>
      <c r="AL125" s="89">
        <f t="shared" si="484"/>
      </c>
      <c r="AM125" s="89">
        <f t="shared" si="484"/>
      </c>
      <c r="AN125" s="89">
        <f t="shared" si="484"/>
      </c>
      <c r="AO125" s="89">
        <f t="shared" si="484"/>
      </c>
      <c r="AP125" s="89">
        <f t="shared" si="484"/>
      </c>
      <c r="AQ125" s="89">
        <f t="shared" si="484"/>
      </c>
      <c r="AR125" s="89">
        <f t="shared" si="484"/>
      </c>
      <c r="AS125" s="89">
        <f t="shared" si="484"/>
      </c>
      <c r="AT125" s="89">
        <f t="shared" si="484"/>
      </c>
      <c r="AU125" s="89">
        <f t="shared" si="484"/>
      </c>
      <c r="AV125" s="89">
        <f t="shared" si="484"/>
      </c>
      <c r="AW125" s="89">
        <f t="shared" si="484"/>
      </c>
      <c r="AX125" s="89">
        <f t="shared" si="484"/>
      </c>
      <c r="AY125" s="89">
        <f t="shared" si="484"/>
      </c>
      <c r="AZ125" s="89">
        <f t="shared" si="484"/>
      </c>
      <c r="BA125" s="89">
        <f t="shared" si="484"/>
      </c>
      <c r="BB125" s="89">
        <f t="shared" si="484"/>
      </c>
      <c r="BC125" s="89">
        <f t="shared" si="484"/>
      </c>
      <c r="BD125" s="89">
        <f t="shared" si="484"/>
      </c>
      <c r="BE125" s="89">
        <f t="shared" si="484"/>
      </c>
      <c r="BF125" s="89">
        <f t="shared" si="484"/>
      </c>
      <c r="BG125" s="89">
        <f t="shared" si="484"/>
      </c>
      <c r="BH125" s="89">
        <f t="shared" si="484"/>
      </c>
      <c r="BI125" s="89">
        <f t="shared" si="484"/>
      </c>
      <c r="BJ125" s="89">
        <f t="shared" si="484"/>
      </c>
      <c r="BK125" s="89">
        <f t="shared" si="484"/>
      </c>
      <c r="BL125" s="89">
        <f t="shared" si="484"/>
      </c>
      <c r="BM125" s="89">
        <f t="shared" si="484"/>
      </c>
      <c r="BN125" s="89">
        <f t="shared" si="484"/>
      </c>
      <c r="BO125" s="89">
        <f t="shared" si="484"/>
      </c>
      <c r="BP125" s="89">
        <f t="shared" si="484"/>
      </c>
      <c r="BQ125" s="89">
        <f t="shared" si="484"/>
      </c>
      <c r="BR125" s="89">
        <f t="shared" si="484"/>
      </c>
      <c r="BS125" s="89">
        <f t="shared" si="484"/>
      </c>
      <c r="BT125" s="89">
        <f t="shared" si="484"/>
      </c>
      <c r="BU125" s="547">
        <f t="shared" si="484"/>
      </c>
      <c r="BV125" s="89">
        <f t="shared" ref="BV125:CH125" si="485">+BV51</f>
      </c>
      <c r="BW125" s="89">
        <f t="shared" si="485"/>
      </c>
      <c r="BX125" s="89">
        <f t="shared" si="485"/>
      </c>
      <c r="BY125" s="89">
        <f t="shared" si="485"/>
      </c>
      <c r="BZ125" s="547">
        <f t="shared" si="485"/>
      </c>
      <c r="CA125" s="89">
        <f t="shared" si="485"/>
      </c>
      <c r="CB125" s="89">
        <f t="shared" si="485"/>
      </c>
      <c r="CC125" s="89">
        <f t="shared" si="485"/>
      </c>
      <c r="CD125" s="89">
        <f t="shared" si="485"/>
      </c>
      <c r="CE125" s="547">
        <f t="shared" si="485"/>
      </c>
      <c r="CF125" s="89">
        <f t="shared" si="485"/>
      </c>
      <c r="CG125" s="89">
        <f t="shared" si="485"/>
      </c>
      <c r="CH125" s="89">
        <f t="shared" si="485"/>
      </c>
      <c r="CI125" s="89">
        <f>+CI51</f>
      </c>
      <c r="CJ125" s="547">
        <f>+CJ123+CJ124</f>
      </c>
      <c r="CK125" s="89">
        <f>+CK51</f>
      </c>
      <c r="CL125" s="89">
        <f>+CL51</f>
      </c>
      <c r="CM125" s="89">
        <f>+CM123+CM124</f>
      </c>
      <c r="CN125" s="89">
        <f>+CN123+CN124</f>
      </c>
      <c r="CO125" s="547">
        <f>+CO123+CO124</f>
      </c>
      <c r="CP125" s="89">
        <f>+CP51</f>
      </c>
      <c r="CQ125" s="89">
        <f>+CQ51</f>
      </c>
      <c r="CR125" s="89">
        <f>+CR51</f>
      </c>
      <c r="CS125" s="89">
        <f>+CS51</f>
      </c>
      <c r="CT125" s="547">
        <f>+CT123+CT124</f>
      </c>
      <c r="CU125" s="89">
        <f>+CU51</f>
      </c>
      <c r="CV125" s="89">
        <f>+CV51</f>
      </c>
      <c r="CW125" s="89">
        <f>+CW51</f>
      </c>
      <c r="CX125" s="89">
        <f>+CX51</f>
      </c>
      <c r="CY125" s="547">
        <f>+CY123+CY124</f>
      </c>
      <c r="CZ125" s="89">
        <f>+CZ51</f>
      </c>
      <c r="DA125" s="89">
        <f>+DA51</f>
      </c>
      <c r="DB125" s="89">
        <f>+DB51</f>
      </c>
      <c r="DC125" s="89">
        <f>+DC51</f>
      </c>
      <c r="DD125" s="547">
        <f>+DD123+DD124</f>
      </c>
      <c r="DE125" s="89">
        <f>+DE51</f>
      </c>
      <c r="DF125" s="89">
        <f>+DF51</f>
      </c>
      <c r="DG125" s="89">
        <f>+DG51</f>
      </c>
      <c r="DH125" s="89">
        <f>+DH51</f>
      </c>
      <c r="DI125" s="547">
        <f>+DI123+DI124</f>
      </c>
      <c r="DJ125" s="89">
        <f>+DJ51</f>
      </c>
      <c r="DK125" s="89">
        <f>+DK51</f>
      </c>
      <c r="DL125" s="89">
        <f>+DL51</f>
      </c>
      <c r="DM125" s="89">
        <f>+DM51</f>
      </c>
      <c r="DN125" s="547">
        <f>+DN123+DN124</f>
      </c>
      <c r="DO125" s="1112">
        <f>+DO51</f>
      </c>
      <c r="DP125" s="1112">
        <f>+DP51</f>
      </c>
      <c r="DQ125" s="1112">
        <f>+DQ51</f>
      </c>
      <c r="DR125" s="89">
        <f>+DR51</f>
      </c>
      <c r="DS125" s="547">
        <f>+DS123+DS124</f>
      </c>
      <c r="DT125" s="1112">
        <f>+DT51</f>
      </c>
      <c r="DU125" s="1112">
        <f>+DU51</f>
      </c>
      <c r="DV125" s="1112">
        <f>+DV51</f>
      </c>
      <c r="DW125" s="1112">
        <f>+DW51</f>
      </c>
      <c r="DX125" s="1122">
        <f>+DX123+DX124</f>
      </c>
      <c r="DY125" s="1112">
        <f>+DY51</f>
      </c>
      <c r="DZ125" s="1112">
        <f>+DZ51</f>
      </c>
      <c r="EA125" s="1112">
        <f>+EA51</f>
      </c>
      <c r="EB125" s="1112">
        <f>+EB51</f>
      </c>
      <c r="EC125" s="2732">
        <f>+EC123+EC124</f>
      </c>
      <c r="ED125" s="2055">
        <f>+ED51</f>
      </c>
      <c r="EE125" s="2055">
        <f>+EE51</f>
      </c>
      <c r="EF125" s="2055">
        <f>+EF51</f>
      </c>
      <c r="EG125" s="2055">
        <f>+EG51</f>
      </c>
      <c r="EH125" s="2737">
        <f>+EH123+EH124</f>
      </c>
      <c r="EI125" s="2055">
        <f>+EI51</f>
      </c>
      <c r="EJ125" s="2055">
        <f>+EJ51</f>
      </c>
      <c r="EK125" s="2055">
        <f>+EK51</f>
      </c>
      <c r="EL125" s="2055">
        <f>+EL51</f>
      </c>
      <c r="EM125" s="2531">
        <f>+EM123+EM124</f>
      </c>
      <c r="EN125" s="2536">
        <f>+EN51</f>
      </c>
      <c r="EO125" s="2141">
        <f>+EO51</f>
      </c>
      <c r="EP125" s="3198">
        <f>+EP51</f>
      </c>
      <c r="EQ125" s="3198">
        <f>+EQ51</f>
      </c>
      <c r="ER125" s="2158">
        <f t="shared" ref="ER125" si="486">+ER123+ER124</f>
      </c>
      <c r="ES125" s="2536">
        <f>+ES51</f>
      </c>
      <c r="ET125" s="3198">
        <f>+ET51</f>
      </c>
      <c r="EU125" s="3198">
        <f>+EU51</f>
      </c>
      <c r="EV125" s="3198">
        <f>+EV51</f>
      </c>
      <c r="EW125" s="2158">
        <f t="shared" ref="EW125" si="487">+EW123+EW124</f>
      </c>
      <c r="EX125" s="2536">
        <f>+EX51</f>
      </c>
      <c r="EY125" s="3198">
        <f>+EY51</f>
      </c>
      <c r="EZ125" s="2141">
        <f>+EZ123+EZ124</f>
      </c>
      <c r="FA125" s="2176">
        <f>+FA123+FA124</f>
      </c>
      <c r="FB125" s="2158">
        <f t="shared" ref="FB125" si="488">+FB123+FB124</f>
      </c>
      <c r="FC125" s="2056">
        <f>+FC123+FC124</f>
      </c>
      <c r="FD125" s="2056">
        <f>+FD123+FD124</f>
      </c>
      <c r="FE125" s="2056">
        <f>+FE123+FE124</f>
      </c>
      <c r="FF125" s="2056">
        <f>+FF123+FF124</f>
      </c>
      <c r="FG125" s="2056">
        <f>+FG123+FG124</f>
      </c>
    </row>
    <row r="126" spans="1:163" outlineLevel="1">
      <c r="A126" s="1"/>
      <c r="B126" s="85"/>
      <c r="C126" s="86"/>
      <c r="D126" s="86"/>
      <c r="E126" s="86"/>
      <c r="F126" s="86"/>
      <c r="G126" s="86"/>
      <c r="H126" s="86"/>
      <c r="I126" s="86"/>
      <c r="J126" s="86"/>
      <c r="K126" s="86"/>
      <c r="L126" s="86"/>
      <c r="M126" s="86"/>
      <c r="N126" s="86"/>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
      <c r="BU126" s="539"/>
      <c r="BV126" s="10"/>
      <c r="BW126" s="10"/>
      <c r="BX126" s="1"/>
      <c r="BY126" s="1"/>
      <c r="BZ126" s="539"/>
      <c r="CA126" s="1"/>
      <c r="CB126" s="1"/>
      <c r="CC126" s="1"/>
      <c r="CD126" s="1"/>
      <c r="CE126" s="539"/>
      <c r="CF126" s="1"/>
      <c r="CG126" s="1"/>
      <c r="CH126" s="1"/>
      <c r="CI126" s="1"/>
      <c r="CJ126" s="539"/>
      <c r="CK126" s="1"/>
      <c r="CL126" s="1"/>
      <c r="CM126" s="1"/>
      <c r="CN126" s="1"/>
      <c r="CO126" s="539"/>
      <c r="CP126" s="1"/>
      <c r="CQ126" s="1"/>
      <c r="CR126" s="1"/>
      <c r="CS126" s="1"/>
      <c r="CT126" s="539"/>
      <c r="CU126" s="1"/>
      <c r="CV126" s="1"/>
      <c r="CW126" s="1"/>
      <c r="CX126" s="1"/>
      <c r="CY126" s="539"/>
      <c r="CZ126" s="1"/>
      <c r="DA126" s="1"/>
      <c r="DB126" s="1"/>
      <c r="DC126" s="1"/>
      <c r="DD126" s="539"/>
      <c r="DE126" s="1"/>
      <c r="DF126" s="1"/>
      <c r="DG126" s="1"/>
      <c r="DH126" s="1"/>
      <c r="DI126" s="539"/>
      <c r="DJ126" s="1"/>
      <c r="DK126" s="1"/>
      <c r="DL126" s="1"/>
      <c r="DM126" s="1"/>
      <c r="DN126" s="539"/>
      <c r="DO126" s="946"/>
      <c r="DP126" s="946"/>
      <c r="DQ126" s="946"/>
      <c r="DR126" s="1"/>
      <c r="DS126" s="539"/>
      <c r="DT126" s="946"/>
      <c r="DU126" s="946"/>
      <c r="DV126" s="946"/>
      <c r="DW126" s="946"/>
      <c r="DX126" s="1114"/>
      <c r="DY126" s="946"/>
      <c r="DZ126" s="946"/>
      <c r="EA126" s="946"/>
      <c r="EB126" s="946"/>
      <c r="EC126" s="2724"/>
      <c r="ED126" s="1045"/>
      <c r="EE126" s="1045"/>
      <c r="EF126" s="1045"/>
      <c r="EG126" s="1045"/>
      <c r="EH126" s="2734"/>
      <c r="EI126" s="1045"/>
      <c r="EJ126" s="1045"/>
      <c r="EK126" s="1045"/>
      <c r="EL126" s="1045"/>
      <c r="EM126" s="2527"/>
      <c r="EN126" s="2344"/>
      <c r="EO126" s="1045"/>
      <c r="EP126" s="1045"/>
      <c r="EQ126" s="1247"/>
      <c r="ER126" s="2051"/>
      <c r="ES126" s="2344"/>
      <c r="ET126" s="1045"/>
      <c r="EU126" s="1045"/>
      <c r="EV126" s="1247"/>
      <c r="EW126" s="2051"/>
      <c r="EX126" s="1045"/>
      <c r="EY126" s="1045"/>
      <c r="EZ126" s="1045"/>
      <c r="FA126" s="1247"/>
      <c r="FB126" s="2051"/>
      <c r="FC126" s="2051"/>
      <c r="FD126" s="2051"/>
      <c r="FE126" s="2051"/>
      <c r="FF126" s="2051"/>
      <c r="FG126" s="2051"/>
    </row>
    <row r="127" spans="1:163" outlineLevel="1">
      <c r="A127" s="1"/>
      <c r="B127" s="94" t="s">
        <v>96</v>
      </c>
      <c r="C127" s="84"/>
      <c r="D127" s="84"/>
      <c r="E127" s="84"/>
      <c r="F127" s="84"/>
      <c r="G127" s="84"/>
      <c r="H127" s="84"/>
      <c r="I127" s="84"/>
      <c r="J127" s="84"/>
      <c r="K127" s="84"/>
      <c r="L127" s="84"/>
      <c r="M127" s="84"/>
      <c r="N127" s="84"/>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
      <c r="BU127" s="539"/>
      <c r="BV127" s="10"/>
      <c r="BW127" s="10"/>
      <c r="BX127" s="1"/>
      <c r="BY127" s="1"/>
      <c r="BZ127" s="539"/>
      <c r="CA127" s="1"/>
      <c r="CB127" s="1"/>
      <c r="CC127" s="1"/>
      <c r="CD127" s="1"/>
      <c r="CE127" s="539"/>
      <c r="CF127" s="1"/>
      <c r="CG127" s="1"/>
      <c r="CH127" s="1"/>
      <c r="CI127" s="1"/>
      <c r="CJ127" s="539"/>
      <c r="CK127" s="1"/>
      <c r="CL127" s="1"/>
      <c r="CM127" s="1"/>
      <c r="CN127" s="1"/>
      <c r="CO127" s="539"/>
      <c r="CP127" s="1"/>
      <c r="CQ127" s="1"/>
      <c r="CR127" s="1"/>
      <c r="CS127" s="1"/>
      <c r="CT127" s="539"/>
      <c r="CU127" s="1"/>
      <c r="CV127" s="1"/>
      <c r="CW127" s="1"/>
      <c r="CX127" s="1"/>
      <c r="CY127" s="539"/>
      <c r="CZ127" s="1"/>
      <c r="DA127" s="1"/>
      <c r="DB127" s="1"/>
      <c r="DC127" s="1"/>
      <c r="DD127" s="539"/>
      <c r="DE127" s="1"/>
      <c r="DF127" s="1"/>
      <c r="DG127" s="1"/>
      <c r="DH127" s="1"/>
      <c r="DI127" s="539"/>
      <c r="DJ127" s="1"/>
      <c r="DK127" s="1"/>
      <c r="DL127" s="1"/>
      <c r="DM127" s="1"/>
      <c r="DN127" s="539"/>
      <c r="DO127" s="946"/>
      <c r="DP127" s="946"/>
      <c r="DQ127" s="946"/>
      <c r="DR127" s="1"/>
      <c r="DS127" s="539"/>
      <c r="DT127" s="946"/>
      <c r="DU127" s="946"/>
      <c r="DV127" s="946"/>
      <c r="DW127" s="946"/>
      <c r="DX127" s="1114"/>
      <c r="DY127" s="946"/>
      <c r="DZ127" s="946"/>
      <c r="EA127" s="946"/>
      <c r="EB127" s="946"/>
      <c r="EC127" s="2724"/>
      <c r="ED127" s="1045"/>
      <c r="EE127" s="1045"/>
      <c r="EF127" s="1045"/>
      <c r="EG127" s="1045"/>
      <c r="EH127" s="2734"/>
      <c r="EI127" s="1045"/>
      <c r="EJ127" s="1045"/>
      <c r="EK127" s="1045"/>
      <c r="EL127" s="1045"/>
      <c r="EM127" s="2527"/>
      <c r="EN127" s="2344"/>
      <c r="EO127" s="1045"/>
      <c r="EP127" s="1045"/>
      <c r="EQ127" s="1247"/>
      <c r="ER127" s="2051"/>
      <c r="ES127" s="2344"/>
      <c r="ET127" s="1045"/>
      <c r="EU127" s="1045"/>
      <c r="EV127" s="1247"/>
      <c r="EW127" s="2051"/>
      <c r="EX127" s="1045"/>
      <c r="EY127" s="1045"/>
      <c r="EZ127" s="1045"/>
      <c r="FA127" s="1247"/>
      <c r="FB127" s="2051"/>
      <c r="FC127" s="2051"/>
      <c r="FD127" s="2051"/>
      <c r="FE127" s="2051"/>
      <c r="FF127" s="2051"/>
      <c r="FG127" s="2051"/>
    </row>
    <row r="128" spans="1:163" outlineLevel="1">
      <c r="A128" s="1"/>
      <c r="B128" s="85" t="s">
        <v>97</v>
      </c>
      <c r="C128" s="86"/>
      <c r="D128" s="86"/>
      <c r="E128" s="86"/>
      <c r="F128" s="86"/>
      <c r="G128" s="86"/>
      <c r="H128" s="86"/>
      <c r="I128" s="86"/>
      <c r="J128" s="86"/>
      <c r="K128" s="86"/>
      <c r="L128" s="86"/>
      <c r="M128" s="86"/>
      <c r="N128" s="1"/>
      <c r="O128" s="10"/>
      <c r="P128" s="10"/>
      <c r="Q128" s="10"/>
      <c r="R128" s="10"/>
      <c r="S128" s="10"/>
      <c r="T128" s="10"/>
      <c r="U128" s="10"/>
      <c r="V128" s="10"/>
      <c r="W128" s="10"/>
      <c r="X128" s="10"/>
      <c r="Y128" s="10"/>
      <c r="Z128" s="10"/>
      <c r="AA128" s="10"/>
      <c r="AB128" s="10">
        <f>+W49</f>
      </c>
      <c r="AC128" s="10">
        <f>+AB131</f>
      </c>
      <c r="AD128" s="10">
        <f>+AC131</f>
      </c>
      <c r="AE128" s="10">
        <f>+AD131</f>
      </c>
      <c r="AF128" s="10">
        <f>+AE131</f>
      </c>
      <c r="AG128" s="10">
        <f>+AB131</f>
      </c>
      <c r="AH128" s="10">
        <f>+AG131</f>
      </c>
      <c r="AI128" s="10">
        <f>+AH131</f>
      </c>
      <c r="AJ128" s="10">
        <f>+AI131</f>
      </c>
      <c r="AK128" s="10">
        <f>+AJ131</f>
      </c>
      <c r="AL128" s="10">
        <f>+AG131</f>
      </c>
      <c r="AM128" s="10">
        <f>+AL131</f>
      </c>
      <c r="AN128" s="10">
        <f>+AM131</f>
      </c>
      <c r="AO128" s="10">
        <f>+AN131</f>
      </c>
      <c r="AP128" s="10">
        <f>+AO131</f>
      </c>
      <c r="AQ128" s="10">
        <f>+AL131</f>
      </c>
      <c r="AR128" s="10">
        <f>+AQ131</f>
      </c>
      <c r="AS128" s="10">
        <f>+AR131</f>
      </c>
      <c r="AT128" s="10">
        <f>+AS131</f>
      </c>
      <c r="AU128" s="10">
        <f>+AT131</f>
      </c>
      <c r="AV128" s="10">
        <f>+AQ131</f>
      </c>
      <c r="AW128" s="10">
        <f>+AV131</f>
      </c>
      <c r="AX128" s="10">
        <f>+AW131</f>
      </c>
      <c r="AY128" s="10">
        <f>+AX131</f>
      </c>
      <c r="AZ128" s="10">
        <f>+AY131</f>
      </c>
      <c r="BA128" s="10">
        <f>+AV131</f>
      </c>
      <c r="BB128" s="10">
        <f>+BA131</f>
      </c>
      <c r="BC128" s="10">
        <f>+BB131</f>
      </c>
      <c r="BD128" s="10">
        <f>+BC131</f>
      </c>
      <c r="BE128" s="10">
        <f>+BD131</f>
      </c>
      <c r="BF128" s="10">
        <f>+BA131</f>
      </c>
      <c r="BG128" s="10">
        <f>+BF131</f>
      </c>
      <c r="BH128" s="10">
        <f>+BG131</f>
      </c>
      <c r="BI128" s="10">
        <f>+BH131</f>
      </c>
      <c r="BJ128" s="10">
        <f>+BI131</f>
      </c>
      <c r="BK128" s="10">
        <f>+BF131</f>
      </c>
      <c r="BL128" s="10">
        <f>+BK131</f>
      </c>
      <c r="BM128" s="10">
        <f>+BL131</f>
      </c>
      <c r="BN128" s="10">
        <f>+BM131</f>
      </c>
      <c r="BO128" s="10">
        <f>+BN131</f>
      </c>
      <c r="BP128" s="10">
        <f>+BK131</f>
      </c>
      <c r="BQ128" s="10">
        <f>+BP131</f>
      </c>
      <c r="BR128" s="10">
        <f>+BQ131</f>
      </c>
      <c r="BS128" s="10">
        <f>+BR131</f>
      </c>
      <c r="BT128" s="10">
        <f>+BS131</f>
      </c>
      <c r="BU128" s="67">
        <f>+BP131</f>
      </c>
      <c r="BV128" s="10">
        <f>+BU131</f>
      </c>
      <c r="BW128" s="10">
        <f>+BV131</f>
      </c>
      <c r="BX128" s="10">
        <f>+BW131</f>
      </c>
      <c r="BY128" s="10">
        <f>+BX131</f>
      </c>
      <c r="BZ128" s="67">
        <f>+BU131</f>
      </c>
      <c r="CA128" s="10">
        <f>+BZ131</f>
      </c>
      <c r="CB128" s="10">
        <f>+CA131</f>
      </c>
      <c r="CC128" s="10">
        <f>+CB131</f>
      </c>
      <c r="CD128" s="10">
        <f>+CC131</f>
      </c>
      <c r="CE128" s="67">
        <f>+BZ131</f>
      </c>
      <c r="CF128" s="10">
        <f>+CE131</f>
      </c>
      <c r="CG128" s="10">
        <f>+CF131</f>
      </c>
      <c r="CH128" s="10">
        <f>+CG131</f>
      </c>
      <c r="CI128" s="10">
        <f>+CH131</f>
      </c>
      <c r="CJ128" s="67">
        <f>+CE131</f>
      </c>
      <c r="CK128" s="10">
        <f>+CJ131</f>
      </c>
      <c r="CL128" s="10">
        <f>+CK131</f>
      </c>
      <c r="CM128" s="10">
        <f>+CL131</f>
      </c>
      <c r="CN128" s="10">
        <f>+CM131</f>
      </c>
      <c r="CO128" s="67">
        <f>+CJ131</f>
      </c>
      <c r="CP128" s="10">
        <f>+CO131</f>
      </c>
      <c r="CQ128" s="10">
        <f>+CP131</f>
      </c>
      <c r="CR128" s="10">
        <f>+CQ131</f>
      </c>
      <c r="CS128" s="10">
        <f>+CR131</f>
      </c>
      <c r="CT128" s="67">
        <f>+CO131</f>
      </c>
      <c r="CU128" s="10">
        <f>+CT131</f>
      </c>
      <c r="CV128" s="10">
        <f>+CU131</f>
      </c>
      <c r="CW128" s="10">
        <f>+CV131</f>
      </c>
      <c r="CX128" s="10">
        <f>+CW131</f>
      </c>
      <c r="CY128" s="67">
        <f>+CT131</f>
      </c>
      <c r="CZ128" s="10">
        <f>+CY131</f>
      </c>
      <c r="DA128" s="10">
        <f>+CZ131</f>
      </c>
      <c r="DB128" s="10">
        <f>+DA131</f>
      </c>
      <c r="DC128" s="10">
        <f>+DB131</f>
      </c>
      <c r="DD128" s="67">
        <f>+CY131</f>
      </c>
      <c r="DE128" s="10">
        <f>+DD131</f>
      </c>
      <c r="DF128" s="10">
        <f>+DE131</f>
      </c>
      <c r="DG128" s="10">
        <f>+DF131</f>
      </c>
      <c r="DH128" s="10">
        <f>+DG131</f>
      </c>
      <c r="DI128" s="67">
        <f>+DD131</f>
      </c>
      <c r="DJ128" s="10">
        <f>+DI131</f>
      </c>
      <c r="DK128" s="10">
        <f>+DJ131</f>
      </c>
      <c r="DL128" s="10">
        <f>+DK131</f>
      </c>
      <c r="DM128" s="10">
        <f>+DL131</f>
      </c>
      <c r="DN128" s="67">
        <f>+DI131</f>
      </c>
      <c r="DO128" s="948">
        <f>+DN131</f>
      </c>
      <c r="DP128" s="948">
        <f>+DO131</f>
      </c>
      <c r="DQ128" s="948">
        <f>+DP131</f>
      </c>
      <c r="DR128" s="10">
        <f>+DQ131</f>
      </c>
      <c r="DS128" s="67">
        <f>+DN131</f>
      </c>
      <c r="DT128" s="948">
        <f>+DS131</f>
      </c>
      <c r="DU128" s="948">
        <f>+DT131</f>
      </c>
      <c r="DV128" s="948">
        <f>+DU131</f>
      </c>
      <c r="DW128" s="948">
        <f>+DV131</f>
      </c>
      <c r="DX128" s="1111">
        <f>+DS131</f>
      </c>
      <c r="DY128" s="948">
        <f>+DX131</f>
      </c>
      <c r="DZ128" s="948">
        <f>+DY131</f>
      </c>
      <c r="EA128" s="948">
        <f>+DZ131</f>
      </c>
      <c r="EB128" s="948">
        <f>+EA131</f>
      </c>
      <c r="EC128" s="1505">
        <f>+DX131</f>
      </c>
      <c r="ED128" s="1284">
        <f>+EC131</f>
      </c>
      <c r="EE128" s="1284">
        <f>+ED131</f>
      </c>
      <c r="EF128" s="1284">
        <f>+EE131</f>
      </c>
      <c r="EG128" s="1284">
        <f>+EF131</f>
      </c>
      <c r="EH128" s="2060">
        <f>+EC131</f>
      </c>
      <c r="EI128" s="1284">
        <f>+EH131</f>
      </c>
      <c r="EJ128" s="1284">
        <f>+EI131</f>
      </c>
      <c r="EK128" s="1284">
        <f>+EJ131</f>
      </c>
      <c r="EL128" s="1284">
        <f>+EK131</f>
      </c>
      <c r="EM128" s="2528">
        <f>+EH131</f>
      </c>
      <c r="EN128" s="2534">
        <f>+EM131</f>
      </c>
      <c r="EO128" s="1284">
        <f>+EN131</f>
      </c>
      <c r="EP128" s="1284">
        <f>+EO131</f>
      </c>
      <c r="EQ128" s="1311">
        <f>+EP131</f>
      </c>
      <c r="ER128" s="1313">
        <f>+EM131</f>
      </c>
      <c r="ES128" s="2534">
        <f>+ER131</f>
      </c>
      <c r="ET128" s="1284">
        <f>+ES131</f>
      </c>
      <c r="EU128" s="1284">
        <f>+ET131</f>
      </c>
      <c r="EV128" s="1311">
        <f>+EU131</f>
      </c>
      <c r="EW128" s="1313">
        <f>+ER131</f>
      </c>
      <c r="EX128" s="2534">
        <f>+EW131</f>
      </c>
      <c r="EY128" s="1284">
        <f>+EX131</f>
      </c>
      <c r="EZ128" s="1284">
        <f>+EY131</f>
      </c>
      <c r="FA128" s="1311">
        <f>+EZ131</f>
      </c>
      <c r="FB128" s="1313">
        <f>+EW131</f>
      </c>
      <c r="FC128" s="1313">
        <f t="shared" ref="FC128:FG128" si="489">+FB131</f>
      </c>
      <c r="FD128" s="1313">
        <f t="shared" si="489"/>
      </c>
      <c r="FE128" s="1313">
        <f t="shared" si="489"/>
      </c>
      <c r="FF128" s="1313">
        <f t="shared" si="489"/>
      </c>
      <c r="FG128" s="1313">
        <f t="shared" si="489"/>
      </c>
    </row>
    <row r="129" spans="1:165" outlineLevel="1">
      <c r="A129" s="1"/>
      <c r="B129" s="92" t="s">
        <v>98</v>
      </c>
      <c r="C129" s="118"/>
      <c r="D129" s="118"/>
      <c r="E129" s="118"/>
      <c r="F129" s="118"/>
      <c r="G129" s="118"/>
      <c r="H129" s="118"/>
      <c r="I129" s="118"/>
      <c r="J129" s="118"/>
      <c r="K129" s="118"/>
      <c r="L129" s="118"/>
      <c r="M129" s="118"/>
      <c r="N129" s="1"/>
      <c r="O129" s="10"/>
      <c r="P129" s="10"/>
      <c r="Q129" s="10"/>
      <c r="R129" s="10"/>
      <c r="S129" s="10"/>
      <c r="T129" s="10"/>
      <c r="U129" s="10"/>
      <c r="V129" s="10"/>
      <c r="W129" s="10"/>
      <c r="X129" s="10"/>
      <c r="Y129" s="10"/>
      <c r="Z129" s="10"/>
      <c r="AA129" s="10"/>
      <c r="AB129" s="10">
        <f t="shared" ref="AB129:BU129" si="490">+AB131-AB128+AB130</f>
      </c>
      <c r="AC129" s="10">
        <f t="shared" si="490"/>
      </c>
      <c r="AD129" s="10">
        <f t="shared" si="490"/>
      </c>
      <c r="AE129" s="10">
        <f t="shared" si="490"/>
      </c>
      <c r="AF129" s="10">
        <f t="shared" si="490"/>
      </c>
      <c r="AG129" s="10">
        <f t="shared" si="490"/>
      </c>
      <c r="AH129" s="10">
        <f t="shared" si="490"/>
      </c>
      <c r="AI129" s="10">
        <f t="shared" si="490"/>
      </c>
      <c r="AJ129" s="10">
        <f t="shared" si="490"/>
      </c>
      <c r="AK129" s="10">
        <f t="shared" si="490"/>
      </c>
      <c r="AL129" s="10">
        <f t="shared" si="490"/>
      </c>
      <c r="AM129" s="10">
        <f t="shared" si="490"/>
      </c>
      <c r="AN129" s="10">
        <f t="shared" si="490"/>
      </c>
      <c r="AO129" s="10">
        <f t="shared" si="490"/>
      </c>
      <c r="AP129" s="10">
        <f t="shared" si="490"/>
      </c>
      <c r="AQ129" s="10">
        <f t="shared" si="490"/>
      </c>
      <c r="AR129" s="10">
        <f t="shared" si="490"/>
      </c>
      <c r="AS129" s="10">
        <f t="shared" si="490"/>
      </c>
      <c r="AT129" s="10">
        <f t="shared" si="490"/>
      </c>
      <c r="AU129" s="10">
        <f t="shared" si="490"/>
      </c>
      <c r="AV129" s="10">
        <f t="shared" si="490"/>
      </c>
      <c r="AW129" s="10">
        <f t="shared" si="490"/>
      </c>
      <c r="AX129" s="10">
        <f t="shared" si="490"/>
      </c>
      <c r="AY129" s="10">
        <f t="shared" si="490"/>
      </c>
      <c r="AZ129" s="10">
        <f t="shared" si="490"/>
      </c>
      <c r="BA129" s="10">
        <f t="shared" si="490"/>
      </c>
      <c r="BB129" s="10">
        <f t="shared" si="490"/>
      </c>
      <c r="BC129" s="10">
        <f t="shared" si="490"/>
      </c>
      <c r="BD129" s="10">
        <f t="shared" si="490"/>
      </c>
      <c r="BE129" s="10">
        <f t="shared" si="490"/>
      </c>
      <c r="BF129" s="10">
        <f t="shared" si="490"/>
      </c>
      <c r="BG129" s="10">
        <f t="shared" si="490"/>
      </c>
      <c r="BH129" s="10">
        <f t="shared" si="490"/>
      </c>
      <c r="BI129" s="10">
        <f t="shared" si="490"/>
      </c>
      <c r="BJ129" s="10">
        <f t="shared" si="490"/>
      </c>
      <c r="BK129" s="10">
        <f t="shared" si="490"/>
      </c>
      <c r="BL129" s="10">
        <f t="shared" si="490"/>
      </c>
      <c r="BM129" s="10">
        <f t="shared" si="490"/>
      </c>
      <c r="BN129" s="10">
        <f t="shared" si="490"/>
      </c>
      <c r="BO129" s="10">
        <f t="shared" si="490"/>
      </c>
      <c r="BP129" s="10">
        <f t="shared" si="490"/>
      </c>
      <c r="BQ129" s="10">
        <f t="shared" si="490"/>
      </c>
      <c r="BR129" s="10">
        <f t="shared" si="490"/>
      </c>
      <c r="BS129" s="10">
        <f t="shared" si="490"/>
      </c>
      <c r="BT129" s="10">
        <f t="shared" si="490"/>
      </c>
      <c r="BU129" s="67">
        <f t="shared" si="490"/>
      </c>
      <c r="BV129" s="10">
        <f t="shared" ref="BV129:CB129" si="491">+BV131-BV128+BV130</f>
      </c>
      <c r="BW129" s="10">
        <f t="shared" si="491"/>
      </c>
      <c r="BX129" s="10">
        <f t="shared" si="491"/>
      </c>
      <c r="BY129" s="10">
        <f t="shared" si="491"/>
      </c>
      <c r="BZ129" s="67">
        <f t="shared" si="491"/>
      </c>
      <c r="CA129" s="10">
        <f t="shared" si="491"/>
      </c>
      <c r="CB129" s="10">
        <f t="shared" si="491"/>
      </c>
      <c r="CC129" s="10">
        <f>+CC131-CC128+CC130</f>
      </c>
      <c r="CD129" s="10">
        <f>+CD131-CD128+CD130</f>
      </c>
      <c r="CE129" s="540">
        <f>SUM(CA129:CD129)</f>
      </c>
      <c r="CF129" s="10">
        <f>+CF131-CF128+CF130</f>
      </c>
      <c r="CG129" s="10">
        <f>+CG131-CG128+CG130</f>
      </c>
      <c r="CH129" s="10">
        <f>+CH131-CH128+CH130</f>
      </c>
      <c r="CI129" s="10">
        <f>+CI131-CI128+CI130</f>
      </c>
      <c r="CJ129" s="540">
        <f>SUM(CF129:CI129)</f>
      </c>
      <c r="CK129" s="10">
        <f>+CK131-CK128+CK130</f>
      </c>
      <c r="CL129" s="10">
        <f>+CL131-CL128+CL130</f>
      </c>
      <c r="CM129" s="10">
        <f>+CM131-CM128+CM130</f>
      </c>
      <c r="CN129" s="10">
        <f>+CN131-CN128+CN130</f>
      </c>
      <c r="CO129" s="540">
        <f>SUM(CK129:CN129)</f>
      </c>
      <c r="CP129" s="10">
        <f>+CP131-CP128+CP130</f>
      </c>
      <c r="CQ129" s="10">
        <f>+CQ131-CQ128+CQ130</f>
      </c>
      <c r="CR129" s="10">
        <f>+CR131-CR128+CR130</f>
      </c>
      <c r="CS129" s="10">
        <f>+CS131-CS128+CS130</f>
      </c>
      <c r="CT129" s="540">
        <f>SUM(CP129:CS129)</f>
      </c>
      <c r="CU129" s="10">
        <f>+CU131-CU128+CU130</f>
      </c>
      <c r="CV129" s="10">
        <f>+CV131-CV128+CV130</f>
      </c>
      <c r="CW129" s="10">
        <f>+CW131-CW128+CW130</f>
      </c>
      <c r="CX129" s="10">
        <f>+CX131-CX128+CX130</f>
      </c>
      <c r="CY129" s="540">
        <f>SUM(CU129:CX129)</f>
      </c>
      <c r="CZ129" s="10">
        <f>+CZ131-CZ128+CZ130</f>
      </c>
      <c r="DA129" s="10">
        <f>+DA131-DA128+DA130</f>
      </c>
      <c r="DB129" s="10">
        <f>+DB131-DB128+DB130</f>
      </c>
      <c r="DC129" s="10">
        <f>+DC131-DC128+DC130</f>
      </c>
      <c r="DD129" s="540">
        <f>SUM(CZ129:DC129)</f>
      </c>
      <c r="DE129" s="10">
        <f>+DE131-DE128+DE130</f>
      </c>
      <c r="DF129" s="10">
        <f>+DF131-DF128+DF130</f>
      </c>
      <c r="DG129" s="10">
        <f>+DG131-DG128+DG130</f>
      </c>
      <c r="DH129" s="10">
        <f>+DH131-DH128+DH130</f>
      </c>
      <c r="DI129" s="540">
        <f>SUM(DE129:DH129)</f>
      </c>
      <c r="DJ129" s="10">
        <f>+DJ131-DJ128+DJ130</f>
      </c>
      <c r="DK129" s="10">
        <f>+DK131-DK128+DK130</f>
      </c>
      <c r="DL129" s="10">
        <f>+DL131-DL128+DL130</f>
      </c>
      <c r="DM129" s="10">
        <f>+DM131-DM128+DM130</f>
      </c>
      <c r="DN129" s="540">
        <f>SUM(DJ129:DM129)</f>
      </c>
      <c r="DO129" s="948">
        <f>+DO131-DO128+DO130</f>
      </c>
      <c r="DP129" s="948">
        <f>+DP131-DP128+DP130</f>
      </c>
      <c r="DQ129" s="948">
        <f>+DQ131-DQ128+DQ130</f>
      </c>
      <c r="DR129" s="10">
        <f>+DR131-DR128+DR130</f>
      </c>
      <c r="DS129" s="540">
        <f>SUM(DO129:DR129)</f>
      </c>
      <c r="DT129" s="948">
        <f>+DT131-DT128+DT130</f>
      </c>
      <c r="DU129" s="948">
        <f>+DU131-DU128+DU130</f>
      </c>
      <c r="DV129" s="948">
        <f>+DV131-DV128+DV130</f>
      </c>
      <c r="DW129" s="948">
        <f>+DW131-DW128+DW130</f>
      </c>
      <c r="DX129" s="1115">
        <f>+SUM(DT129:DW129)</f>
      </c>
      <c r="DY129" s="948">
        <f>+DY131-DY128+DY130</f>
      </c>
      <c r="DZ129" s="948">
        <f>+DZ131-DZ128+DZ130</f>
      </c>
      <c r="EA129" s="948">
        <f>+EA131-EA128+EA130</f>
      </c>
      <c r="EB129" s="948">
        <f>+EB131-EB128+EB130</f>
      </c>
      <c r="EC129" s="1126">
        <f>+SUM(DY129:EB129)</f>
      </c>
      <c r="ED129" s="1284">
        <f>+ED131-ED128+ED130</f>
      </c>
      <c r="EE129" s="1284">
        <f>+EE131-EE128+EE130</f>
      </c>
      <c r="EF129" s="1284">
        <f>+EF131-EF128+EF130</f>
      </c>
      <c r="EG129" s="1284">
        <f>+EG131-EG128+EG130</f>
      </c>
      <c r="EH129" s="1717">
        <f>+SUM(ED129:EG129)</f>
      </c>
      <c r="EI129" s="1284">
        <f>+EI131-EI128+EI130</f>
      </c>
      <c r="EJ129" s="1284">
        <f>+EJ131-EJ128+EJ130</f>
      </c>
      <c r="EK129" s="1284">
        <f>+EK131-EK128+EK130</f>
      </c>
      <c r="EL129" s="1718">
        <f>+EL131-EL128+EL130</f>
      </c>
      <c r="EM129" s="2532">
        <f>+SUM(EI129:EL129)</f>
      </c>
      <c r="EN129" s="2576">
        <f>+EN131-EN128+EN130</f>
      </c>
      <c r="EO129" s="2469">
        <f>+EO131-EO128+EO130</f>
      </c>
      <c r="EP129" s="2469">
        <f>+EP131-EP128+EP130</f>
      </c>
      <c r="EQ129" s="2469">
        <f>+EQ131-EQ128+EQ130</f>
      </c>
      <c r="ER129" s="2083">
        <f>+SUM(EN129:EQ129)</f>
      </c>
      <c r="ES129" s="2576">
        <f>+ES131-ES128+ES130</f>
      </c>
      <c r="ET129" s="2469">
        <f>+ET131-ET128+ET130</f>
      </c>
      <c r="EU129" s="2469">
        <f>+EU131-EU128+EU130</f>
      </c>
      <c r="EV129" s="2469">
        <f>+EV131-EV128+EV130</f>
      </c>
      <c r="EW129" s="2083">
        <f>+SUM(ES129:EV129)</f>
      </c>
      <c r="EX129" s="2576">
        <f>+EX131-EX128+EX130</f>
      </c>
      <c r="EY129" s="2469">
        <f>+EY131-EY128+EY130</f>
      </c>
      <c r="EZ129" s="1844"/>
      <c r="FA129" s="2177"/>
      <c r="FB129" s="2083">
        <v>0</v>
      </c>
      <c r="FC129" s="2083">
        <v>0</v>
      </c>
      <c r="FD129" s="2083">
        <v>0</v>
      </c>
      <c r="FE129" s="2083">
        <v>0</v>
      </c>
      <c r="FF129" s="2083">
        <v>0</v>
      </c>
      <c r="FG129" s="2083">
        <v>0</v>
      </c>
    </row>
    <row r="130" spans="1:165" outlineLevel="1">
      <c r="A130" s="1"/>
      <c r="B130" s="92" t="s">
        <v>99</v>
      </c>
      <c r="C130" s="118"/>
      <c r="D130" s="118"/>
      <c r="E130" s="118"/>
      <c r="F130" s="118"/>
      <c r="G130" s="118"/>
      <c r="H130" s="118"/>
      <c r="I130" s="118"/>
      <c r="J130" s="118"/>
      <c r="K130" s="118"/>
      <c r="L130" s="118"/>
      <c r="M130" s="118"/>
      <c r="N130" s="1"/>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67"/>
      <c r="BV130" s="10"/>
      <c r="BW130" s="10"/>
      <c r="BX130" s="10"/>
      <c r="BY130" s="248"/>
      <c r="BZ130" s="540"/>
      <c r="CA130" s="50"/>
      <c r="CB130" s="248"/>
      <c r="CC130" s="248"/>
      <c r="CD130" s="248"/>
      <c r="CE130" s="540">
        <f>SUM(CA130:CD130)</f>
      </c>
      <c r="CF130" s="248"/>
      <c r="CG130" s="248"/>
      <c r="CH130" s="248"/>
      <c r="CI130" s="248"/>
      <c r="CJ130" s="540">
        <f>SUM(CF130:CI130)</f>
      </c>
      <c r="CK130" s="248"/>
      <c r="CL130" s="248"/>
      <c r="CM130" s="248"/>
      <c r="CN130" s="248"/>
      <c r="CO130" s="540">
        <f>SUM(CK130:CN130)</f>
      </c>
      <c r="CP130" s="248"/>
      <c r="CQ130" s="248"/>
      <c r="CR130" s="248"/>
      <c r="CS130" s="248"/>
      <c r="CT130" s="540">
        <f>SUM(CP130:CS130)</f>
      </c>
      <c r="CU130" s="248"/>
      <c r="CV130" s="248"/>
      <c r="CW130" s="248"/>
      <c r="CX130" s="248"/>
      <c r="CY130" s="540">
        <f>SUM(CU130:CX130)</f>
      </c>
      <c r="CZ130" s="248"/>
      <c r="DA130" s="248"/>
      <c r="DB130" s="248"/>
      <c r="DC130" s="248"/>
      <c r="DD130" s="540">
        <f>SUM(CZ130:DC130)</f>
      </c>
      <c r="DE130" s="248"/>
      <c r="DF130" s="248"/>
      <c r="DG130" s="248"/>
      <c r="DH130" s="248"/>
      <c r="DI130" s="540">
        <f>SUM(DE130:DH130)</f>
      </c>
      <c r="DJ130" s="248"/>
      <c r="DK130" s="248"/>
      <c r="DL130" s="248"/>
      <c r="DM130" s="248"/>
      <c r="DN130" s="540">
        <f>SUM(DJ130:DM130)</f>
      </c>
      <c r="DO130" s="248"/>
      <c r="DP130" s="248"/>
      <c r="DQ130" s="248"/>
      <c r="DR130" s="248"/>
      <c r="DS130" s="540">
        <f>SUM(DO130:DR130)</f>
      </c>
      <c r="DT130" s="248"/>
      <c r="DU130" s="248"/>
      <c r="DV130" s="248"/>
      <c r="DW130" s="248"/>
      <c r="DX130" s="1115">
        <f>+SUM(DT130:DW130)</f>
      </c>
      <c r="DY130" s="248"/>
      <c r="DZ130" s="248"/>
      <c r="EA130" s="248"/>
      <c r="EB130" s="248"/>
      <c r="EC130" s="1126">
        <f>+SUM(DY130:EB130)</f>
      </c>
      <c r="ED130" s="2057"/>
      <c r="EE130" s="1844"/>
      <c r="EF130" s="1844"/>
      <c r="EG130" s="1844"/>
      <c r="EH130" s="1717">
        <f>+SUM(ED130:EG130)</f>
      </c>
      <c r="EI130" s="2057"/>
      <c r="EJ130" s="1844"/>
      <c r="EK130" s="1844"/>
      <c r="EL130" s="1844"/>
      <c r="EM130" s="2532">
        <f>+SUM(EI130:EL130)</f>
      </c>
      <c r="EN130" s="2553"/>
      <c r="EO130" s="1844"/>
      <c r="EP130" s="1844"/>
      <c r="EQ130" s="2177"/>
      <c r="ER130" s="2083">
        <f>+SUM(EN130:EQ130)</f>
      </c>
      <c r="ES130" s="2553"/>
      <c r="ET130" s="1844"/>
      <c r="EU130" s="1844"/>
      <c r="EV130" s="2177"/>
      <c r="EW130" s="2083">
        <f>+SUM(ES130:EV130)</f>
      </c>
      <c r="EX130" s="2553"/>
      <c r="EY130" s="1844"/>
      <c r="EZ130" s="1844"/>
      <c r="FA130" s="2177"/>
      <c r="FB130" s="2083">
        <v>0</v>
      </c>
      <c r="FC130" s="2083">
        <v>0</v>
      </c>
      <c r="FD130" s="2083">
        <v>0</v>
      </c>
      <c r="FE130" s="2083">
        <v>0</v>
      </c>
      <c r="FF130" s="2083">
        <v>0</v>
      </c>
      <c r="FG130" s="2083">
        <v>0</v>
      </c>
    </row>
    <row r="131" spans="1:165" outlineLevel="1">
      <c r="A131" s="1"/>
      <c r="B131" s="147" t="s">
        <v>100</v>
      </c>
      <c r="C131" s="120"/>
      <c r="D131" s="120"/>
      <c r="E131" s="120"/>
      <c r="F131" s="120"/>
      <c r="G131" s="120"/>
      <c r="H131" s="120"/>
      <c r="I131" s="120"/>
      <c r="J131" s="120"/>
      <c r="K131" s="120"/>
      <c r="L131" s="120"/>
      <c r="M131" s="120"/>
      <c r="N131" s="2"/>
      <c r="O131" s="82"/>
      <c r="P131" s="82"/>
      <c r="Q131" s="82"/>
      <c r="R131" s="82"/>
      <c r="S131" s="82"/>
      <c r="T131" s="82"/>
      <c r="U131" s="82"/>
      <c r="V131" s="82"/>
      <c r="W131" s="82"/>
      <c r="X131" s="82"/>
      <c r="Y131" s="82"/>
      <c r="Z131" s="82"/>
      <c r="AA131" s="82"/>
      <c r="AB131" s="82">
        <f t="shared" ref="AB131:BU131" si="492">+AB49</f>
      </c>
      <c r="AC131" s="82">
        <f t="shared" si="492"/>
      </c>
      <c r="AD131" s="82">
        <f t="shared" si="492"/>
      </c>
      <c r="AE131" s="82">
        <f t="shared" si="492"/>
      </c>
      <c r="AF131" s="82">
        <f t="shared" si="492"/>
      </c>
      <c r="AG131" s="82">
        <f t="shared" si="492"/>
      </c>
      <c r="AH131" s="82">
        <f t="shared" si="492"/>
      </c>
      <c r="AI131" s="82">
        <f t="shared" si="492"/>
      </c>
      <c r="AJ131" s="82">
        <f t="shared" si="492"/>
      </c>
      <c r="AK131" s="82">
        <f t="shared" si="492"/>
      </c>
      <c r="AL131" s="82">
        <f t="shared" si="492"/>
      </c>
      <c r="AM131" s="82">
        <f t="shared" si="492"/>
      </c>
      <c r="AN131" s="82">
        <f t="shared" si="492"/>
      </c>
      <c r="AO131" s="82">
        <f t="shared" si="492"/>
      </c>
      <c r="AP131" s="82">
        <f t="shared" si="492"/>
      </c>
      <c r="AQ131" s="82">
        <f t="shared" si="492"/>
      </c>
      <c r="AR131" s="82">
        <f t="shared" si="492"/>
      </c>
      <c r="AS131" s="82">
        <f t="shared" si="492"/>
      </c>
      <c r="AT131" s="82">
        <f t="shared" si="492"/>
      </c>
      <c r="AU131" s="82">
        <f t="shared" si="492"/>
      </c>
      <c r="AV131" s="82">
        <f t="shared" si="492"/>
      </c>
      <c r="AW131" s="82">
        <f t="shared" si="492"/>
      </c>
      <c r="AX131" s="82">
        <f t="shared" si="492"/>
      </c>
      <c r="AY131" s="82">
        <f t="shared" si="492"/>
      </c>
      <c r="AZ131" s="82">
        <f t="shared" si="492"/>
      </c>
      <c r="BA131" s="82">
        <f t="shared" si="492"/>
      </c>
      <c r="BB131" s="82">
        <f t="shared" si="492"/>
      </c>
      <c r="BC131" s="82">
        <f t="shared" si="492"/>
      </c>
      <c r="BD131" s="82">
        <f t="shared" si="492"/>
      </c>
      <c r="BE131" s="82">
        <f t="shared" si="492"/>
      </c>
      <c r="BF131" s="82">
        <f t="shared" si="492"/>
      </c>
      <c r="BG131" s="82">
        <f t="shared" si="492"/>
      </c>
      <c r="BH131" s="82">
        <f t="shared" si="492"/>
      </c>
      <c r="BI131" s="82">
        <f t="shared" si="492"/>
      </c>
      <c r="BJ131" s="82">
        <f t="shared" si="492"/>
      </c>
      <c r="BK131" s="82">
        <f t="shared" si="492"/>
      </c>
      <c r="BL131" s="82">
        <f t="shared" si="492"/>
      </c>
      <c r="BM131" s="82">
        <f t="shared" si="492"/>
      </c>
      <c r="BN131" s="82">
        <f t="shared" si="492"/>
      </c>
      <c r="BO131" s="82">
        <f t="shared" si="492"/>
      </c>
      <c r="BP131" s="82">
        <f t="shared" si="492"/>
      </c>
      <c r="BQ131" s="82">
        <f t="shared" si="492"/>
      </c>
      <c r="BR131" s="82">
        <f t="shared" si="492"/>
      </c>
      <c r="BS131" s="82">
        <f t="shared" si="492"/>
      </c>
      <c r="BT131" s="82">
        <f t="shared" si="492"/>
      </c>
      <c r="BU131" s="548">
        <f t="shared" si="492"/>
      </c>
      <c r="BV131" s="82">
        <f t="shared" ref="BV131:CH131" si="493">+BV49</f>
      </c>
      <c r="BW131" s="82">
        <f t="shared" si="493"/>
      </c>
      <c r="BX131" s="82">
        <f t="shared" si="493"/>
      </c>
      <c r="BY131" s="82">
        <f t="shared" si="493"/>
      </c>
      <c r="BZ131" s="548">
        <f t="shared" si="493"/>
      </c>
      <c r="CA131" s="82">
        <f t="shared" si="493"/>
      </c>
      <c r="CB131" s="82">
        <f t="shared" si="493"/>
      </c>
      <c r="CC131" s="82">
        <f t="shared" si="493"/>
      </c>
      <c r="CD131" s="82">
        <f t="shared" si="493"/>
      </c>
      <c r="CE131" s="548">
        <f t="shared" si="493"/>
      </c>
      <c r="CF131" s="82">
        <f t="shared" si="493"/>
      </c>
      <c r="CG131" s="82">
        <f t="shared" si="493"/>
      </c>
      <c r="CH131" s="82">
        <f t="shared" si="493"/>
      </c>
      <c r="CI131" s="82">
        <f>+CI49</f>
      </c>
      <c r="CJ131" s="548">
        <f>SUM(CJ128:CJ130)</f>
      </c>
      <c r="CK131" s="82">
        <f>+CK49</f>
      </c>
      <c r="CL131" s="82">
        <f>+CL49</f>
      </c>
      <c r="CM131" s="82">
        <f>+CM49</f>
      </c>
      <c r="CN131" s="82">
        <f>+CN49</f>
      </c>
      <c r="CO131" s="548">
        <f>SUM(CO128:CO130)</f>
      </c>
      <c r="CP131" s="82">
        <f>+CP49</f>
      </c>
      <c r="CQ131" s="82">
        <f>+CQ49</f>
      </c>
      <c r="CR131" s="82">
        <f>+CR49</f>
      </c>
      <c r="CS131" s="82">
        <f>+CS49</f>
      </c>
      <c r="CT131" s="548">
        <f>SUM(CT128:CT130)</f>
      </c>
      <c r="CU131" s="82">
        <f>+CU49</f>
      </c>
      <c r="CV131" s="82">
        <f>+CV49</f>
      </c>
      <c r="CW131" s="82">
        <f>+CW49</f>
      </c>
      <c r="CX131" s="82">
        <f>+CX49</f>
      </c>
      <c r="CY131" s="548">
        <f>SUM(CY128:CY130)</f>
      </c>
      <c r="CZ131" s="82">
        <f>+CZ49</f>
      </c>
      <c r="DA131" s="82">
        <f>+DA49</f>
      </c>
      <c r="DB131" s="82">
        <f>+DB49</f>
      </c>
      <c r="DC131" s="82">
        <f>+DC49</f>
      </c>
      <c r="DD131" s="548">
        <f>SUM(DD128:DD130)</f>
      </c>
      <c r="DE131" s="82">
        <f>+DE49</f>
      </c>
      <c r="DF131" s="82">
        <f>+DF49</f>
      </c>
      <c r="DG131" s="82">
        <f>+DG49</f>
      </c>
      <c r="DH131" s="82">
        <f>+DH49</f>
      </c>
      <c r="DI131" s="548">
        <f>SUM(DI128:DI130)</f>
      </c>
      <c r="DJ131" s="82">
        <f>+DJ49</f>
      </c>
      <c r="DK131" s="82">
        <f>+DK49</f>
      </c>
      <c r="DL131" s="82">
        <f>+DL49</f>
      </c>
      <c r="DM131" s="82">
        <f>+DM49</f>
      </c>
      <c r="DN131" s="548">
        <f>SUM(DN128:DN130)</f>
      </c>
      <c r="DO131" s="1128">
        <f>+DO49</f>
      </c>
      <c r="DP131" s="1128">
        <f>+DP49</f>
      </c>
      <c r="DQ131" s="1128">
        <f>+DQ49</f>
      </c>
      <c r="DR131" s="82">
        <f>+DR49</f>
      </c>
      <c r="DS131" s="548">
        <f>SUM(DS128:DS130)</f>
      </c>
      <c r="DT131" s="1128">
        <f>+DT49</f>
      </c>
      <c r="DU131" s="1128">
        <f>+DU49</f>
      </c>
      <c r="DV131" s="1128">
        <f>+DV49</f>
      </c>
      <c r="DW131" s="1128">
        <f>+DW49</f>
      </c>
      <c r="DX131" s="1118">
        <f>SUM(DX128:DX130)</f>
      </c>
      <c r="DY131" s="1128">
        <f>+DY49</f>
      </c>
      <c r="DZ131" s="1128">
        <f>+DZ49</f>
      </c>
      <c r="EA131" s="1128">
        <f>+EA49</f>
      </c>
      <c r="EB131" s="1128">
        <f>+EB49</f>
      </c>
      <c r="EC131" s="2726">
        <f>SUM(EC128:EC130)</f>
      </c>
      <c r="ED131" s="1731">
        <f>+ED49</f>
      </c>
      <c r="EE131" s="1731">
        <f>+EE49</f>
      </c>
      <c r="EF131" s="1731">
        <f>+EF49</f>
      </c>
      <c r="EG131" s="1731">
        <f>+EG49</f>
      </c>
      <c r="EH131" s="2738">
        <f>SUM(EH128:EH130)</f>
      </c>
      <c r="EI131" s="1731">
        <f>+EI49</f>
      </c>
      <c r="EJ131" s="1731">
        <f>+EJ49</f>
      </c>
      <c r="EK131" s="1731">
        <f>+EK49</f>
      </c>
      <c r="EL131" s="1731">
        <f>+EL49</f>
      </c>
      <c r="EM131" s="2533">
        <f>SUM(EM128:EM130)</f>
      </c>
      <c r="EN131" s="2537">
        <f>+EN49</f>
      </c>
      <c r="EO131" s="2138">
        <f>+EO49</f>
      </c>
      <c r="EP131" s="1731">
        <f>+EP49</f>
      </c>
      <c r="EQ131" s="1731">
        <f>+EQ49</f>
      </c>
      <c r="ER131" s="2159">
        <f t="shared" ref="ER131:FD131" si="494">SUM(ER128:ER130)</f>
      </c>
      <c r="ES131" s="2537">
        <f>+ES49</f>
      </c>
      <c r="ET131" s="3492">
        <f>+ET49</f>
      </c>
      <c r="EU131" s="1731">
        <f>+EU49</f>
      </c>
      <c r="EV131" s="1731">
        <f>+EV49</f>
      </c>
      <c r="EW131" s="2159">
        <f t="shared" ref="EW131" si="495">SUM(EW128:EW130)</f>
      </c>
      <c r="EX131" s="2537">
        <f>+EX49</f>
      </c>
      <c r="EY131" s="3492">
        <f>+EY49</f>
      </c>
      <c r="EZ131" s="2138">
        <f t="shared" ref="EZ131:FA131" si="496">SUM(EZ128:EZ130)</f>
      </c>
      <c r="FA131" s="2178">
        <f t="shared" si="496"/>
      </c>
      <c r="FB131" s="3590">
        <f t="shared" si="494"/>
      </c>
      <c r="FC131" s="2058">
        <f t="shared" si="494"/>
      </c>
      <c r="FD131" s="2058">
        <f t="shared" si="494"/>
      </c>
      <c r="FE131" s="2058">
        <f>SUM(FE128:FE130)</f>
      </c>
      <c r="FF131" s="2058">
        <f>SUM(FF128:FF130)</f>
      </c>
      <c r="FG131" s="2058">
        <f>SUM(FG128:FG130)</f>
      </c>
    </row>
    <row r="132" spans="1:165" outlineLevel="1">
      <c r="A132" s="1"/>
      <c r="B132" s="86"/>
      <c r="C132" s="86"/>
      <c r="D132" s="86"/>
      <c r="E132" s="86"/>
      <c r="F132" s="86"/>
      <c r="G132" s="86"/>
      <c r="H132" s="86"/>
      <c r="I132" s="86"/>
      <c r="J132" s="86"/>
      <c r="K132" s="86"/>
      <c r="L132" s="86"/>
      <c r="M132" s="86"/>
      <c r="N132" s="86"/>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584"/>
      <c r="AM132" s="584"/>
      <c r="AN132" s="584"/>
      <c r="AO132" s="584"/>
      <c r="AP132" s="584"/>
      <c r="AQ132" s="584"/>
      <c r="AR132" s="584"/>
      <c r="AS132" s="584"/>
      <c r="AT132" s="584"/>
      <c r="AU132" s="584"/>
      <c r="AV132" s="584"/>
      <c r="AW132" s="584"/>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
      <c r="BU132" s="1"/>
      <c r="BV132" s="10"/>
      <c r="BW132" s="10"/>
      <c r="BX132" s="1"/>
      <c r="BY132" s="1"/>
      <c r="BZ132" s="1"/>
      <c r="CA132" s="1"/>
      <c r="CB132" s="1"/>
      <c r="CC132" s="1"/>
      <c r="CD132" s="1"/>
      <c r="CE132" s="1"/>
      <c r="CF132" s="1"/>
      <c r="CG132" s="1"/>
      <c r="CH132" s="1"/>
      <c r="CI132" s="1"/>
      <c r="CJ132" s="1"/>
      <c r="CK132" s="1"/>
      <c r="CL132" s="1"/>
      <c r="CM132" s="1"/>
      <c r="CN132" s="1"/>
      <c r="CO132" s="1"/>
      <c r="CP132" s="73"/>
      <c r="CQ132" s="73"/>
      <c r="CR132" s="73"/>
      <c r="CS132" s="73"/>
      <c r="CT132" s="73"/>
      <c r="CU132" s="73"/>
      <c r="CV132" s="73"/>
      <c r="CW132" s="73"/>
      <c r="CX132" s="73"/>
      <c r="CY132" s="73"/>
      <c r="CZ132" s="73"/>
      <c r="DA132" s="73"/>
      <c r="DB132" s="73"/>
      <c r="DC132" s="73"/>
      <c r="DD132" s="73"/>
      <c r="DE132" s="73"/>
      <c r="DF132" s="73"/>
      <c r="DG132" s="73"/>
      <c r="DH132" s="1045"/>
      <c r="DI132" s="1045"/>
      <c r="DJ132" s="73"/>
      <c r="DK132" s="73"/>
      <c r="DL132" s="73"/>
      <c r="DM132" s="1045"/>
      <c r="DN132" s="1045"/>
      <c r="DO132" s="1045"/>
      <c r="DP132" s="1045"/>
      <c r="DQ132" s="1045"/>
      <c r="DR132" s="1045"/>
      <c r="DS132" s="1045"/>
      <c r="DT132" s="1045"/>
      <c r="DU132" s="1045"/>
      <c r="DV132" s="1045"/>
      <c r="DW132" s="1045"/>
      <c r="DX132" s="1286"/>
      <c r="DY132" s="1045"/>
      <c r="DZ132" s="1045"/>
      <c r="EA132" s="1045"/>
      <c r="EB132" s="1045"/>
      <c r="EC132" s="1286"/>
      <c r="ED132" s="1036"/>
      <c r="EE132" s="1036"/>
      <c r="EF132" s="1036"/>
      <c r="EG132" s="1036"/>
      <c r="EH132" s="1576"/>
      <c r="EI132" s="1036"/>
      <c r="EJ132" s="1036"/>
      <c r="EK132" s="1036"/>
      <c r="EL132" s="1036"/>
      <c r="EM132" s="1576"/>
      <c r="EN132" s="1036"/>
      <c r="EO132" s="1036"/>
      <c r="EP132" s="1036"/>
      <c r="EQ132" s="2171"/>
      <c r="ER132" s="1036"/>
      <c r="ES132" s="1036"/>
      <c r="ET132" s="1036"/>
      <c r="EU132" s="1036"/>
      <c r="EV132" s="2171"/>
      <c r="EW132" s="1036"/>
      <c r="EX132" s="1036"/>
      <c r="EY132" s="1036"/>
      <c r="EZ132" s="1036"/>
      <c r="FA132" s="2171"/>
      <c r="FB132" s="1036"/>
      <c r="FC132" s="1036"/>
      <c r="FD132" s="1036"/>
      <c r="FE132" s="1036"/>
      <c r="FF132" s="1036"/>
      <c r="FG132" s="1036"/>
    </row>
    <row r="133" spans="1:165" outlineLevel="1">
      <c r="A133" s="1"/>
      <c r="B133" s="780" t="s">
        <v>101</v>
      </c>
      <c r="C133" s="781"/>
      <c r="D133" s="781"/>
      <c r="E133" s="781"/>
      <c r="F133" s="781"/>
      <c r="G133" s="781"/>
      <c r="H133" s="781"/>
      <c r="I133" s="781"/>
      <c r="J133" s="781"/>
      <c r="K133" s="781"/>
      <c r="L133" s="781"/>
      <c r="M133" s="781"/>
      <c r="N133" s="755"/>
      <c r="O133" s="774"/>
      <c r="P133" s="774"/>
      <c r="Q133" s="774"/>
      <c r="R133" s="774"/>
      <c r="S133" s="774"/>
      <c r="T133" s="774"/>
      <c r="U133" s="774"/>
      <c r="V133" s="774"/>
      <c r="W133" s="774"/>
      <c r="X133" s="774"/>
      <c r="Y133" s="774"/>
      <c r="Z133" s="774"/>
      <c r="AA133" s="774"/>
      <c r="AB133" s="774"/>
      <c r="AC133" s="774"/>
      <c r="AD133" s="774"/>
      <c r="AE133" s="774"/>
      <c r="AF133" s="774"/>
      <c r="AG133" s="774"/>
      <c r="AH133" s="774"/>
      <c r="AI133" s="774"/>
      <c r="AJ133" s="774"/>
      <c r="AK133" s="774"/>
      <c r="AL133" s="774"/>
      <c r="AM133" s="774"/>
      <c r="AN133" s="774"/>
      <c r="AO133" s="774"/>
      <c r="AP133" s="774"/>
      <c r="AQ133" s="774"/>
      <c r="AR133" s="774"/>
      <c r="AS133" s="774"/>
      <c r="AT133" s="774"/>
      <c r="AU133" s="774"/>
      <c r="AV133" s="774"/>
      <c r="AW133" s="774"/>
      <c r="AX133" s="774"/>
      <c r="AY133" s="774"/>
      <c r="AZ133" s="774"/>
      <c r="BA133" s="774">
        <f>+BA134+BA135+BA138</f>
      </c>
      <c r="BB133" s="774"/>
      <c r="BC133" s="774"/>
      <c r="BD133" s="774"/>
      <c r="BE133" s="774"/>
      <c r="BF133" s="774"/>
      <c r="BG133" s="774"/>
      <c r="BH133" s="774"/>
      <c r="BI133" s="774"/>
      <c r="BJ133" s="774"/>
      <c r="BK133" s="774"/>
      <c r="BL133" s="774"/>
      <c r="BM133" s="774"/>
      <c r="BN133" s="774"/>
      <c r="BO133" s="774"/>
      <c r="BP133" s="774"/>
      <c r="BQ133" s="774"/>
      <c r="BR133" s="774"/>
      <c r="BS133" s="774"/>
      <c r="BT133" s="593"/>
      <c r="BU133" s="771"/>
      <c r="BV133" s="774"/>
      <c r="BW133" s="774"/>
      <c r="BX133" s="593"/>
      <c r="BY133" s="593"/>
      <c r="BZ133" s="777"/>
      <c r="CA133" s="593"/>
      <c r="CB133" s="593"/>
      <c r="CC133" s="593"/>
      <c r="CD133" s="593"/>
      <c r="CE133" s="782"/>
      <c r="CF133" s="593"/>
      <c r="CG133" s="593"/>
      <c r="CH133" s="593"/>
      <c r="CI133" s="593"/>
      <c r="CJ133" s="771"/>
      <c r="CK133" s="593"/>
      <c r="CL133" s="774"/>
      <c r="CM133" s="593"/>
      <c r="CN133" s="593"/>
      <c r="CO133" s="771"/>
      <c r="CP133" s="593"/>
      <c r="CQ133" s="593"/>
      <c r="CR133" s="593"/>
      <c r="CS133" s="593"/>
      <c r="CT133" s="771"/>
      <c r="CU133" s="593"/>
      <c r="CV133" s="593"/>
      <c r="CW133" s="593"/>
      <c r="CX133" s="593"/>
      <c r="CY133" s="771"/>
      <c r="CZ133" s="593"/>
      <c r="DA133" s="593"/>
      <c r="DB133" s="593"/>
      <c r="DC133" s="593"/>
      <c r="DD133" s="771"/>
      <c r="DE133" s="593"/>
      <c r="DF133" s="593"/>
      <c r="DG133" s="593"/>
      <c r="DH133" s="1033"/>
      <c r="DI133" s="1113"/>
      <c r="DJ133" s="593"/>
      <c r="DK133" s="593"/>
      <c r="DL133" s="593"/>
      <c r="DM133" s="1033"/>
      <c r="DN133" s="1113"/>
      <c r="DO133" s="1124"/>
      <c r="DP133" s="1124"/>
      <c r="DQ133" s="1124"/>
      <c r="DR133" s="1033"/>
      <c r="DS133" s="1113"/>
      <c r="DT133" s="1124"/>
      <c r="DU133" s="1124"/>
      <c r="DV133" s="1124"/>
      <c r="DW133" s="1124"/>
      <c r="DX133" s="1113"/>
      <c r="DY133" s="1124"/>
      <c r="DZ133" s="1124"/>
      <c r="EA133" s="1124"/>
      <c r="EB133" s="1124"/>
      <c r="EC133" s="2714"/>
      <c r="ED133" s="1578"/>
      <c r="EE133" s="1579"/>
      <c r="EF133" s="1579"/>
      <c r="EG133" s="1579"/>
      <c r="EH133" s="2743"/>
      <c r="EI133" s="3087"/>
      <c r="EJ133" s="1579"/>
      <c r="EK133" s="1579"/>
      <c r="EL133" s="1579"/>
      <c r="EM133" s="2538"/>
      <c r="EN133" s="3089"/>
      <c r="EO133" s="3090"/>
      <c r="EP133" s="3199"/>
      <c r="EQ133" s="2179"/>
      <c r="ER133" s="2047"/>
      <c r="ES133" s="3089"/>
      <c r="ET133" s="3199"/>
      <c r="EU133" s="3199"/>
      <c r="EV133" s="2179"/>
      <c r="EW133" s="2047"/>
      <c r="EX133" s="1579"/>
      <c r="EY133" s="3199"/>
      <c r="EZ133" s="1579"/>
      <c r="FA133" s="2179"/>
      <c r="FB133" s="2047"/>
      <c r="FC133" s="1580"/>
      <c r="FD133" s="1580"/>
      <c r="FE133" s="1580"/>
      <c r="FF133" s="1580"/>
      <c r="FG133" s="1580"/>
    </row>
    <row r="134" spans="1:165" outlineLevel="1">
      <c r="A134" s="1"/>
      <c r="B134" s="85" t="s">
        <v>102</v>
      </c>
      <c r="C134" s="86"/>
      <c r="D134" s="86"/>
      <c r="E134" s="86"/>
      <c r="F134" s="86"/>
      <c r="G134" s="86"/>
      <c r="H134" s="86"/>
      <c r="I134" s="86"/>
      <c r="J134" s="86"/>
      <c r="K134" s="86"/>
      <c r="L134" s="86"/>
      <c r="M134" s="86"/>
      <c r="N134" s="68"/>
      <c r="O134" s="10"/>
      <c r="P134" s="10"/>
      <c r="Q134" s="10"/>
      <c r="R134" s="10"/>
      <c r="S134" s="10"/>
      <c r="T134" s="10"/>
      <c r="U134" s="10"/>
      <c r="V134" s="10"/>
      <c r="W134" s="10"/>
      <c r="X134" s="10"/>
      <c r="Y134" s="10"/>
      <c r="Z134" s="10"/>
      <c r="AA134" s="10"/>
      <c r="AB134" s="10">
        <f>+W22</f>
      </c>
      <c r="AC134" s="10">
        <f>+AB139</f>
      </c>
      <c r="AD134" s="10">
        <f>+AC139</f>
      </c>
      <c r="AE134" s="10">
        <f>+AD139</f>
      </c>
      <c r="AF134" s="10">
        <f>+AE139</f>
      </c>
      <c r="AG134" s="10">
        <f>+AB139</f>
      </c>
      <c r="AH134" s="10">
        <f>+AG139</f>
      </c>
      <c r="AI134" s="10">
        <f>+AH139</f>
      </c>
      <c r="AJ134" s="10">
        <f>+AI139</f>
      </c>
      <c r="AK134" s="10">
        <f>+AJ139</f>
      </c>
      <c r="AL134" s="10">
        <f>+AG139</f>
      </c>
      <c r="AM134" s="10">
        <f>+AL139</f>
      </c>
      <c r="AN134" s="10">
        <f>+AM139</f>
      </c>
      <c r="AO134" s="10">
        <f>+AN139</f>
      </c>
      <c r="AP134" s="10">
        <f>+AO139</f>
      </c>
      <c r="AQ134" s="10">
        <f>+AL139</f>
      </c>
      <c r="AR134" s="10">
        <f>+AQ139</f>
      </c>
      <c r="AS134" s="10">
        <f>+AR139</f>
      </c>
      <c r="AT134" s="10">
        <f>+AS139</f>
      </c>
      <c r="AU134" s="10">
        <f>+AT139</f>
      </c>
      <c r="AV134" s="10">
        <f>+AQ139</f>
      </c>
      <c r="AW134" s="10">
        <f>+AV139</f>
      </c>
      <c r="AX134" s="10">
        <f>+AW139</f>
      </c>
      <c r="AY134" s="10">
        <f>+AX139</f>
      </c>
      <c r="AZ134" s="10">
        <f>+AY139</f>
      </c>
      <c r="BA134" s="10">
        <f>+AV139</f>
      </c>
      <c r="BB134" s="10">
        <f>+BA139</f>
      </c>
      <c r="BC134" s="10">
        <f>+BB139</f>
      </c>
      <c r="BD134" s="10">
        <f>+BC139</f>
      </c>
      <c r="BE134" s="10">
        <f>+BD139</f>
      </c>
      <c r="BF134" s="10">
        <f>+BA139</f>
      </c>
      <c r="BG134" s="10">
        <f>+BF139</f>
      </c>
      <c r="BH134" s="10">
        <f>+BG139</f>
      </c>
      <c r="BI134" s="10">
        <f>+BH139</f>
      </c>
      <c r="BJ134" s="10">
        <f>+BI139</f>
      </c>
      <c r="BK134" s="10">
        <f>+BF139</f>
      </c>
      <c r="BL134" s="10">
        <f>+BK139</f>
      </c>
      <c r="BM134" s="10">
        <f>+BL139</f>
      </c>
      <c r="BN134" s="10">
        <f>+BM139</f>
      </c>
      <c r="BO134" s="10">
        <f>+BN139</f>
      </c>
      <c r="BP134" s="10">
        <f>+BK139</f>
      </c>
      <c r="BQ134" s="10">
        <f>+BP139</f>
      </c>
      <c r="BR134" s="10">
        <f>+BQ139</f>
      </c>
      <c r="BS134" s="10">
        <f>+BR139</f>
      </c>
      <c r="BT134" s="10">
        <f>+BS139</f>
      </c>
      <c r="BU134" s="67">
        <f>+BP139</f>
      </c>
      <c r="BV134" s="10">
        <f>+BU139</f>
      </c>
      <c r="BW134" s="10">
        <f>+BV139</f>
      </c>
      <c r="BX134" s="10">
        <f>+BW139</f>
      </c>
      <c r="BY134" s="10">
        <f>+BX139</f>
      </c>
      <c r="BZ134" s="67">
        <f>+BU139</f>
      </c>
      <c r="CA134" s="10">
        <f>+BZ139</f>
      </c>
      <c r="CB134" s="10">
        <f>+CA139</f>
      </c>
      <c r="CC134" s="10">
        <f>+CB139</f>
      </c>
      <c r="CD134" s="10">
        <f>+CC139</f>
      </c>
      <c r="CE134" s="67">
        <f>+BZ139</f>
      </c>
      <c r="CF134" s="10">
        <f>+CE139</f>
      </c>
      <c r="CG134" s="10">
        <f>+CF139</f>
      </c>
      <c r="CH134" s="10">
        <f>+CG139</f>
      </c>
      <c r="CI134" s="10">
        <f>+CH139</f>
      </c>
      <c r="CJ134" s="67">
        <f>+CE139</f>
      </c>
      <c r="CK134" s="10">
        <f>+CJ139</f>
      </c>
      <c r="CL134" s="10">
        <f>+CK139</f>
      </c>
      <c r="CM134" s="10">
        <f>+CL139</f>
      </c>
      <c r="CN134" s="10">
        <f>+CM139</f>
      </c>
      <c r="CO134" s="67">
        <f>+CJ139</f>
      </c>
      <c r="CP134" s="10">
        <f>+CO139</f>
      </c>
      <c r="CQ134" s="10">
        <f>+CP139</f>
      </c>
      <c r="CR134" s="10">
        <f>+CQ139</f>
      </c>
      <c r="CS134" s="10">
        <f>+CR139</f>
      </c>
      <c r="CT134" s="67">
        <f>+CO139</f>
      </c>
      <c r="CU134" s="10">
        <f>+CT139</f>
      </c>
      <c r="CV134" s="10">
        <f>+CU139</f>
      </c>
      <c r="CW134" s="10">
        <f>+CV139</f>
      </c>
      <c r="CX134" s="10">
        <f>+CW139</f>
      </c>
      <c r="CY134" s="67">
        <f>+CT139</f>
      </c>
      <c r="CZ134" s="10">
        <f>+CY139</f>
      </c>
      <c r="DA134" s="10">
        <f>+CZ139</f>
      </c>
      <c r="DB134" s="10">
        <f>+DA139</f>
      </c>
      <c r="DC134" s="10">
        <f>+DB139</f>
      </c>
      <c r="DD134" s="67">
        <f>+CY139</f>
      </c>
      <c r="DE134" s="10">
        <f>+DD139</f>
      </c>
      <c r="DF134" s="10">
        <f>+DE139</f>
      </c>
      <c r="DG134" s="10">
        <f>+DF139</f>
      </c>
      <c r="DH134" s="10">
        <f>+DG139</f>
      </c>
      <c r="DI134" s="67">
        <f>+DD139</f>
      </c>
      <c r="DJ134" s="10">
        <f>+DI139</f>
      </c>
      <c r="DK134" s="10">
        <f>+DJ139</f>
      </c>
      <c r="DL134" s="10">
        <f>+DK139</f>
      </c>
      <c r="DM134" s="10">
        <f>+DL139</f>
      </c>
      <c r="DN134" s="67">
        <f>+DI139</f>
      </c>
      <c r="DO134" s="948">
        <f>+DN139</f>
      </c>
      <c r="DP134" s="948">
        <f>+DO139</f>
      </c>
      <c r="DQ134" s="948">
        <f>+DP139</f>
      </c>
      <c r="DR134" s="10">
        <f>+DQ139</f>
      </c>
      <c r="DS134" s="67">
        <f>+DN139</f>
      </c>
      <c r="DT134" s="948">
        <f>+DS139</f>
      </c>
      <c r="DU134" s="948">
        <f>+DT139</f>
      </c>
      <c r="DV134" s="948">
        <f>+DU139</f>
      </c>
      <c r="DW134" s="10">
        <f>+DV139</f>
      </c>
      <c r="DX134" s="131">
        <f>+DS139</f>
      </c>
      <c r="DY134" s="1284">
        <f>+DX139</f>
      </c>
      <c r="DZ134" s="1284">
        <f>+DY139</f>
      </c>
      <c r="EA134" s="1284">
        <f>+DZ139</f>
      </c>
      <c r="EB134" s="107">
        <f>+EA139</f>
      </c>
      <c r="EC134" s="573">
        <f>+DX139</f>
      </c>
      <c r="ED134" s="1284">
        <f>+EC139</f>
      </c>
      <c r="EE134" s="1284">
        <f>+ED139</f>
      </c>
      <c r="EF134" s="1284">
        <f>+EE139</f>
      </c>
      <c r="EG134" s="1284">
        <f>+EF139</f>
      </c>
      <c r="EH134" s="2060">
        <f>+EC139</f>
      </c>
      <c r="EI134" s="1284">
        <f>+EH139</f>
      </c>
      <c r="EJ134" s="1284">
        <f>+EI139</f>
      </c>
      <c r="EK134" s="1284">
        <f>+EJ139</f>
      </c>
      <c r="EL134" s="1284">
        <f>+EK139</f>
      </c>
      <c r="EM134" s="2528">
        <f>+EH139</f>
      </c>
      <c r="EN134" s="2534">
        <f>+EM139</f>
      </c>
      <c r="EO134" s="2698">
        <f>+EN139</f>
      </c>
      <c r="EP134" s="3109">
        <f>+EO139</f>
      </c>
      <c r="EQ134" s="1284">
        <f>+EP139</f>
      </c>
      <c r="ER134" s="2528">
        <f>+EM139</f>
      </c>
      <c r="ES134" s="2534">
        <f>+ER139</f>
      </c>
      <c r="ET134" s="3109">
        <f>+ES139</f>
      </c>
      <c r="EU134" s="3109">
        <f>+ET139</f>
      </c>
      <c r="EV134" s="1284">
        <f>+EU139</f>
      </c>
      <c r="EW134" s="2528">
        <f>+ER139</f>
      </c>
      <c r="EX134" s="2534">
        <f>+EW139</f>
      </c>
      <c r="EY134" s="3109">
        <f>+EX139</f>
      </c>
      <c r="EZ134" s="1284">
        <f>+EY139</f>
      </c>
      <c r="FA134" s="2596">
        <f>+EZ139</f>
      </c>
      <c r="FB134" s="3591">
        <f>+EW139</f>
      </c>
      <c r="FC134" s="2068">
        <f t="shared" ref="FC134:FG134" si="497">+FB139</f>
      </c>
      <c r="FD134" s="2068">
        <f t="shared" si="497"/>
      </c>
      <c r="FE134" s="2068">
        <f t="shared" si="497"/>
      </c>
      <c r="FF134" s="2068">
        <f t="shared" si="497"/>
      </c>
      <c r="FG134" s="2068">
        <f t="shared" si="497"/>
      </c>
    </row>
    <row r="135" spans="1:165" outlineLevel="1">
      <c r="A135" s="1"/>
      <c r="B135" s="92" t="s">
        <v>103</v>
      </c>
      <c r="C135" s="118"/>
      <c r="D135" s="118"/>
      <c r="E135" s="118"/>
      <c r="F135" s="118"/>
      <c r="G135" s="118"/>
      <c r="H135" s="118"/>
      <c r="I135" s="118"/>
      <c r="J135" s="118"/>
      <c r="K135" s="118"/>
      <c r="L135" s="118"/>
      <c r="M135" s="118"/>
      <c r="N135" s="68"/>
      <c r="O135" s="10"/>
      <c r="P135" s="10"/>
      <c r="Q135" s="10"/>
      <c r="R135" s="10"/>
      <c r="S135" s="10"/>
      <c r="T135" s="10"/>
      <c r="U135" s="10"/>
      <c r="V135" s="10"/>
      <c r="W135" s="10"/>
      <c r="X135" s="10"/>
      <c r="Y135" s="10"/>
      <c r="Z135" s="10"/>
      <c r="AA135" s="10"/>
      <c r="AB135" s="10">
        <f>+-'Cash Flows'!AD32</f>
      </c>
      <c r="AC135" s="10">
        <f>+-'Cash Flows'!AE32</f>
      </c>
      <c r="AD135" s="10">
        <f>+-'Cash Flows'!AF32</f>
      </c>
      <c r="AE135" s="10">
        <f>+-'Cash Flows'!AG32</f>
      </c>
      <c r="AF135" s="10">
        <f>+-'Cash Flows'!AH32</f>
      </c>
      <c r="AG135" s="10">
        <f>+-'Cash Flows'!AI32</f>
      </c>
      <c r="AH135" s="10">
        <f>+-'Cash Flows'!AJ32</f>
      </c>
      <c r="AI135" s="10">
        <f>+-'Cash Flows'!AK32</f>
      </c>
      <c r="AJ135" s="10">
        <f>+-'Cash Flows'!AL32</f>
      </c>
      <c r="AK135" s="10">
        <f>+-'Cash Flows'!AM32</f>
      </c>
      <c r="AL135" s="10">
        <f>+-'Cash Flows'!AN32</f>
      </c>
      <c r="AM135" s="10">
        <f>+-'Cash Flows'!AO32</f>
      </c>
      <c r="AN135" s="10">
        <f>+-'Cash Flows'!AP32</f>
      </c>
      <c r="AO135" s="10">
        <f>+-'Cash Flows'!AQ32</f>
      </c>
      <c r="AP135" s="10">
        <f>+-'Cash Flows'!AR32</f>
      </c>
      <c r="AQ135" s="10">
        <f>+-'Cash Flows'!AS32</f>
      </c>
      <c r="AR135" s="10">
        <f>+-'Cash Flows'!AT32</f>
      </c>
      <c r="AS135" s="10">
        <f>+-'Cash Flows'!AU32</f>
      </c>
      <c r="AT135" s="10">
        <f>+-'Cash Flows'!AV32</f>
      </c>
      <c r="AU135" s="10">
        <f>+-'Cash Flows'!AW32</f>
      </c>
      <c r="AV135" s="10">
        <f>+-'Cash Flows'!AX32</f>
      </c>
      <c r="AW135" s="10">
        <f>+-'Cash Flows'!AY32</f>
      </c>
      <c r="AX135" s="10">
        <f>+-'Cash Flows'!AZ32</f>
      </c>
      <c r="AY135" s="10">
        <f>+-'Cash Flows'!BA32</f>
      </c>
      <c r="AZ135" s="10">
        <f>+-'Cash Flows'!BB32</f>
      </c>
      <c r="BA135" s="10">
        <f>+-'Cash Flows'!BC32</f>
      </c>
      <c r="BB135" s="10">
        <f>+-'Cash Flows'!BD32</f>
      </c>
      <c r="BC135" s="10">
        <f>+-'Cash Flows'!BE32</f>
      </c>
      <c r="BD135" s="10">
        <f>+-'Cash Flows'!BF32</f>
      </c>
      <c r="BE135" s="10">
        <f>+-'Cash Flows'!BG32</f>
      </c>
      <c r="BF135" s="10">
        <f>+-'Cash Flows'!BH32</f>
      </c>
      <c r="BG135" s="10">
        <f>+-'Cash Flows'!BI32</f>
      </c>
      <c r="BH135" s="10">
        <f>+-'Cash Flows'!BJ32</f>
      </c>
      <c r="BI135" s="10">
        <f>+-'Cash Flows'!BK32</f>
      </c>
      <c r="BJ135" s="10">
        <f>+-'Cash Flows'!BL32</f>
      </c>
      <c r="BK135" s="10">
        <f>+-'Cash Flows'!BM32</f>
      </c>
      <c r="BL135" s="10">
        <f>+-'Cash Flows'!BN32</f>
      </c>
      <c r="BM135" s="10">
        <f>+-'Cash Flows'!BO32</f>
      </c>
      <c r="BN135" s="10">
        <f>+-'Cash Flows'!BP32</f>
      </c>
      <c r="BO135" s="10">
        <f>+-'Cash Flows'!BQ32</f>
      </c>
      <c r="BP135" s="10">
        <f>+-'Cash Flows'!BR32</f>
      </c>
      <c r="BQ135" s="10">
        <f>+-'Cash Flows'!BS32</f>
      </c>
      <c r="BR135" s="10">
        <f>+-'Cash Flows'!BT32</f>
      </c>
      <c r="BS135" s="10">
        <f>+-'Cash Flows'!BU32</f>
      </c>
      <c r="BT135" s="10">
        <f>+-'Cash Flows'!BV32</f>
      </c>
      <c r="BU135" s="67">
        <f>+-'Cash Flows'!BW32</f>
      </c>
      <c r="BV135" s="10">
        <f>+-'Cash Flows'!BX32</f>
      </c>
      <c r="BW135" s="10">
        <f>+-'Cash Flows'!BY32</f>
      </c>
      <c r="BX135" s="10">
        <f>+-'Cash Flows'!BZ32</f>
      </c>
      <c r="BY135" s="10">
        <f>+-'Cash Flows'!CA32</f>
      </c>
      <c r="BZ135" s="67">
        <f>+-'Cash Flows'!CB32</f>
      </c>
      <c r="CA135" s="10">
        <f>+-'Cash Flows'!CC32</f>
      </c>
      <c r="CB135" s="10">
        <f>+-'Cash Flows'!CD32</f>
      </c>
      <c r="CC135" s="10">
        <f>+-'Cash Flows'!CE32</f>
      </c>
      <c r="CD135" s="10">
        <f>+-'Cash Flows'!CF32</f>
      </c>
      <c r="CE135" s="67">
        <f>+-'Cash Flows'!CG32</f>
      </c>
      <c r="CF135" s="10">
        <f>+-'Cash Flows'!CH32</f>
      </c>
      <c r="CG135" s="10">
        <f>+-'Cash Flows'!CI32</f>
      </c>
      <c r="CH135" s="10">
        <f>+-'Cash Flows'!CJ32</f>
      </c>
      <c r="CI135" s="10">
        <f>+-'Cash Flows'!CK32</f>
      </c>
      <c r="CJ135" s="67">
        <f>SUM(CF135:CI135)</f>
      </c>
      <c r="CK135" s="10">
        <f>+-'Cash Flows'!CM32</f>
      </c>
      <c r="CL135" s="10">
        <f>+-'Cash Flows'!CN32</f>
      </c>
      <c r="CM135" s="10">
        <f>+-'Cash Flows'!CO32</f>
      </c>
      <c r="CN135" s="10">
        <f>+-'Cash Flows'!CP32</f>
      </c>
      <c r="CO135" s="67">
        <f>SUM(CK135:CN135)</f>
      </c>
      <c r="CP135" s="10">
        <f>+-'Cash Flows'!CR32</f>
      </c>
      <c r="CQ135" s="10">
        <f>+-'Cash Flows'!CS32</f>
      </c>
      <c r="CR135" s="10">
        <f>+-'Cash Flows'!CT32</f>
      </c>
      <c r="CS135" s="10">
        <f>+-'Cash Flows'!CU32</f>
      </c>
      <c r="CT135" s="67">
        <f>SUM(CP135:CS135)</f>
      </c>
      <c r="CU135" s="10">
        <f>+-'Cash Flows'!CW32</f>
      </c>
      <c r="CV135" s="10">
        <f>+-'Cash Flows'!CX32</f>
      </c>
      <c r="CW135" s="10">
        <f>+-'Cash Flows'!CY32</f>
      </c>
      <c r="CX135" s="10">
        <f>+-'Cash Flows'!CZ32</f>
      </c>
      <c r="CY135" s="67">
        <f>SUM(CU135:CX135)</f>
      </c>
      <c r="CZ135" s="10">
        <f>+-'Cash Flows'!DB32</f>
      </c>
      <c r="DA135" s="10">
        <f>+-'Cash Flows'!DC32</f>
      </c>
      <c r="DB135" s="10">
        <f>+-'Cash Flows'!DD32</f>
      </c>
      <c r="DC135" s="10">
        <f>+-'Cash Flows'!DE32</f>
      </c>
      <c r="DD135" s="67">
        <f>SUM(CZ135:DC135)</f>
      </c>
      <c r="DE135" s="10">
        <f>+-'Cash Flows'!DG32</f>
      </c>
      <c r="DF135" s="10">
        <f>+-'Cash Flows'!DH32</f>
      </c>
      <c r="DG135" s="10">
        <f>+-'Cash Flows'!DI32</f>
      </c>
      <c r="DH135" s="10">
        <f>+-'Cash Flows'!DJ32</f>
      </c>
      <c r="DI135" s="67">
        <f>SUM(DE135:DH135)</f>
      </c>
      <c r="DJ135" s="10">
        <f>+-'Cash Flows'!DL32</f>
      </c>
      <c r="DK135" s="10">
        <f>+-'Cash Flows'!DM32</f>
      </c>
      <c r="DL135" s="10">
        <f>+-'Cash Flows'!DN32</f>
      </c>
      <c r="DM135" s="10">
        <f>+-'Cash Flows'!DO32</f>
      </c>
      <c r="DN135" s="67">
        <f>SUM(DJ135:DM135)</f>
      </c>
      <c r="DO135" s="948">
        <f>+-'Cash Flows'!DQ32</f>
      </c>
      <c r="DP135" s="948">
        <f>+-'Cash Flows'!DR32</f>
      </c>
      <c r="DQ135" s="948">
        <f>+-'Cash Flows'!DS32</f>
      </c>
      <c r="DR135" s="10">
        <f>+-'Cash Flows'!DT32</f>
      </c>
      <c r="DS135" s="67">
        <f>SUM(DO135:DR135)</f>
      </c>
      <c r="DT135" s="948">
        <f>+-'Cash Flows'!DV32</f>
      </c>
      <c r="DU135" s="948">
        <f>+-'Cash Flows'!DW32</f>
      </c>
      <c r="DV135" s="948">
        <f>+-'Cash Flows'!DX32</f>
      </c>
      <c r="DW135" s="10">
        <f>+-'Cash Flows'!DY32</f>
      </c>
      <c r="DX135" s="131">
        <f>SUM(DT135:DW135)</f>
      </c>
      <c r="DY135" s="1284">
        <f>+-'Cash Flows'!EA32</f>
      </c>
      <c r="DZ135" s="1284">
        <f>+-'Cash Flows'!EB32</f>
      </c>
      <c r="EA135" s="1284">
        <f>+-'Cash Flows'!EC32</f>
      </c>
      <c r="EB135" s="107">
        <f>+-'Cash Flows'!ED32</f>
      </c>
      <c r="EC135" s="573">
        <f>SUM(DY135:EB135)</f>
      </c>
      <c r="ED135" s="2914">
        <f>+-'Cash Flows'!EF32</f>
      </c>
      <c r="EE135" s="2914">
        <f>+-'Cash Flows'!EG32</f>
      </c>
      <c r="EF135" s="2914">
        <f>+-'Cash Flows'!EH32</f>
      </c>
      <c r="EG135" s="2914">
        <f>+-'Cash Flows'!EI32</f>
      </c>
      <c r="EH135" s="573">
        <f>SUM(ED135:EG135)</f>
      </c>
      <c r="EI135" s="2914">
        <f>+-'Cash Flows'!EK32</f>
      </c>
      <c r="EJ135" s="2914">
        <f>+-'Cash Flows'!EL32</f>
      </c>
      <c r="EK135" s="2914">
        <f>+-'Cash Flows'!EM32</f>
      </c>
      <c r="EL135" s="2914">
        <f>+-'Cash Flows'!EN32</f>
      </c>
      <c r="EM135" s="2539">
        <f>SUM(EI135:EL135)</f>
      </c>
      <c r="EN135" s="3219">
        <f>+-'Cash Flows'!EP32</f>
      </c>
      <c r="EO135" s="2914">
        <f>+-'Cash Flows'!EQ32</f>
      </c>
      <c r="EP135" s="2914">
        <f>+-'Cash Flows'!ER32</f>
      </c>
      <c r="EQ135" s="2914">
        <f>+-'Cash Flows'!ES32</f>
      </c>
      <c r="ER135" s="2539">
        <f>SUM(EN135:EQ135)</f>
      </c>
      <c r="ES135" s="3219">
        <f>+-'Cash Flows'!EU32</f>
      </c>
      <c r="ET135" s="2914">
        <f>+-'Cash Flows'!EV32</f>
      </c>
      <c r="EU135" s="2914">
        <f>+-'Cash Flows'!EW32</f>
      </c>
      <c r="EV135" s="2914">
        <f>+-'Cash Flows'!EX32</f>
      </c>
      <c r="EW135" s="2539">
        <f>SUM(ES135:EV135)</f>
      </c>
      <c r="EX135" s="3219">
        <f>+-'Cash Flows'!EZ32</f>
      </c>
      <c r="EY135" s="2914">
        <f>+-'Cash Flows'!FA32</f>
      </c>
      <c r="EZ135" s="2914">
        <f>+EZ136*EZ84</f>
      </c>
      <c r="FA135" s="3220">
        <f>+FA136*FA84</f>
      </c>
      <c r="FB135" s="2060">
        <f>SUM(EX135:FA135)</f>
      </c>
      <c r="FC135" s="2060">
        <f t="shared" ref="FC135:FG135" si="498">+FC136*FC84</f>
      </c>
      <c r="FD135" s="2060">
        <f t="shared" si="498"/>
      </c>
      <c r="FE135" s="2060">
        <f t="shared" si="498"/>
      </c>
      <c r="FF135" s="2060">
        <f t="shared" si="498"/>
      </c>
      <c r="FG135" s="2060">
        <f t="shared" si="498"/>
      </c>
    </row>
    <row r="136" spans="1:165" outlineLevel="1">
      <c r="A136" s="1"/>
      <c r="B136" s="93" t="s">
        <v>104</v>
      </c>
      <c r="C136" s="121"/>
      <c r="D136" s="121"/>
      <c r="E136" s="121"/>
      <c r="F136" s="121"/>
      <c r="G136" s="121"/>
      <c r="H136" s="121"/>
      <c r="I136" s="121"/>
      <c r="J136" s="121"/>
      <c r="K136" s="121"/>
      <c r="L136" s="121"/>
      <c r="M136" s="121"/>
      <c r="N136" s="1"/>
      <c r="O136" s="10"/>
      <c r="P136" s="10"/>
      <c r="Q136" s="10"/>
      <c r="R136" s="10"/>
      <c r="S136" s="10"/>
      <c r="T136" s="10"/>
      <c r="U136" s="10"/>
      <c r="V136" s="10"/>
      <c r="W136" s="10"/>
      <c r="X136" s="10"/>
      <c r="Y136" s="10"/>
      <c r="Z136" s="10"/>
      <c r="AA136" s="10"/>
      <c r="AB136" s="22">
        <f>+AB135/AB84</f>
      </c>
      <c r="AC136" s="22">
        <f>+AC135*4/AC84</f>
      </c>
      <c r="AD136" s="22">
        <f>+AD135*4/AD84</f>
      </c>
      <c r="AE136" s="22">
        <f>+AE135*4/AE84</f>
      </c>
      <c r="AF136" s="22">
        <f>+AF135*4/AF84</f>
      </c>
      <c r="AG136" s="22">
        <f>+AG135/AG84</f>
      </c>
      <c r="AH136" s="22">
        <f>+AH135*4/AH84</f>
      </c>
      <c r="AI136" s="22">
        <f>+AI135*4/AI84</f>
      </c>
      <c r="AJ136" s="22">
        <f>+AJ135*4/AJ84</f>
      </c>
      <c r="AK136" s="22">
        <f>+AK135*4/AK84</f>
      </c>
      <c r="AL136" s="22">
        <f>+AL135/AL84</f>
      </c>
      <c r="AM136" s="22">
        <f>+AM135*4/AM84</f>
      </c>
      <c r="AN136" s="22">
        <f>+AN135*4/AN84</f>
      </c>
      <c r="AO136" s="22">
        <f>+AO135*4/AO84</f>
      </c>
      <c r="AP136" s="22">
        <f>+AP135*4/AP84</f>
      </c>
      <c r="AQ136" s="22">
        <f>+AQ135/AQ84</f>
      </c>
      <c r="AR136" s="22">
        <f>+AR135*4/AR84</f>
      </c>
      <c r="AS136" s="22">
        <f>+AS135*4/AS84</f>
      </c>
      <c r="AT136" s="22">
        <f>+AT135*4/AT84</f>
      </c>
      <c r="AU136" s="22">
        <f>+AU135*4/AU84</f>
      </c>
      <c r="AV136" s="22">
        <f>+AV135/AV84</f>
      </c>
      <c r="AW136" s="22">
        <f>+AW135*4/AW84</f>
      </c>
      <c r="AX136" s="22">
        <f>+AX135*4/AX84</f>
      </c>
      <c r="AY136" s="22">
        <f>+AY135*4/AY84</f>
      </c>
      <c r="AZ136" s="22">
        <f>+AZ135*4/AZ84</f>
      </c>
      <c r="BA136" s="22">
        <f>+BA135/BA84</f>
      </c>
      <c r="BB136" s="22">
        <f>+BB135*4/BB84</f>
      </c>
      <c r="BC136" s="22">
        <f>+BC135*4/BC84</f>
      </c>
      <c r="BD136" s="22">
        <f>+BD135*4/BD84</f>
      </c>
      <c r="BE136" s="22">
        <f>+BE135*4/BE84</f>
      </c>
      <c r="BF136" s="22">
        <f>+BF135/BF84</f>
      </c>
      <c r="BG136" s="22">
        <f>+BG135*4/BG84</f>
      </c>
      <c r="BH136" s="22">
        <f>+BH135*4/BH84</f>
      </c>
      <c r="BI136" s="22">
        <f>+BI135*4/BI84</f>
      </c>
      <c r="BJ136" s="22">
        <f>+BJ135*4/BJ84</f>
      </c>
      <c r="BK136" s="22">
        <f>+BK135/BK84</f>
      </c>
      <c r="BL136" s="22">
        <f>+BL135*4/BL84</f>
      </c>
      <c r="BM136" s="22">
        <f>+BM135*4/BM84</f>
      </c>
      <c r="BN136" s="22">
        <f>+BN135*4/BN84</f>
      </c>
      <c r="BO136" s="22">
        <f>+BO135*4/BO84</f>
      </c>
      <c r="BP136" s="22">
        <f>+BP135/BP84</f>
      </c>
      <c r="BQ136" s="22">
        <f>+BQ135*4/BQ84</f>
      </c>
      <c r="BR136" s="22">
        <f>+BR135*4/BR84</f>
      </c>
      <c r="BS136" s="22">
        <f>+BS135*4/BS84</f>
      </c>
      <c r="BT136" s="22">
        <f>+BT135*4/BT84</f>
      </c>
      <c r="BU136" s="537">
        <f>+BU135/BU84</f>
      </c>
      <c r="BV136" s="22">
        <f>+BV135*4/BV84</f>
      </c>
      <c r="BW136" s="22">
        <f>+BW135*4/BW84</f>
      </c>
      <c r="BX136" s="22">
        <f>+BX135*4/BX84</f>
      </c>
      <c r="BY136" s="22">
        <f>+BY135*4/BY84</f>
      </c>
      <c r="BZ136" s="537">
        <f>+BZ135/BZ84</f>
      </c>
      <c r="CA136" s="22">
        <f>+CA135*4/CA84</f>
      </c>
      <c r="CB136" s="22">
        <f>+CB135*4/CB84</f>
      </c>
      <c r="CC136" s="22">
        <f>+CC135*4/CC84</f>
      </c>
      <c r="CD136" s="22">
        <f>+CD135*4/CD84</f>
      </c>
      <c r="CE136" s="537">
        <f>+CE135/CE84</f>
      </c>
      <c r="CF136" s="22">
        <f>+CF135/CF84</f>
      </c>
      <c r="CG136" s="22">
        <f>+CG135/CG84</f>
      </c>
      <c r="CH136" s="22">
        <f>+CH135/CH84</f>
      </c>
      <c r="CI136" s="22">
        <f>+CI135/CI84</f>
      </c>
      <c r="CJ136" s="537">
        <f>CJ135/CJ84</f>
      </c>
      <c r="CK136" s="22">
        <f>+CK135/CK84</f>
      </c>
      <c r="CL136" s="22">
        <f>+CL135/CL84</f>
      </c>
      <c r="CM136" s="22">
        <f>+CM135/CM84</f>
      </c>
      <c r="CN136" s="22">
        <f>+CN135/CN84</f>
      </c>
      <c r="CO136" s="537">
        <f>CO135/CO84</f>
      </c>
      <c r="CP136" s="22">
        <f>+CP135/CP84</f>
      </c>
      <c r="CQ136" s="22">
        <f>+CQ135/CQ84</f>
      </c>
      <c r="CR136" s="22">
        <f>+CR135/CR84</f>
      </c>
      <c r="CS136" s="22">
        <f>+CS135/CS84</f>
      </c>
      <c r="CT136" s="537">
        <f>CT135/CT84</f>
      </c>
      <c r="CU136" s="22">
        <f>+CU135/CU84</f>
      </c>
      <c r="CV136" s="22">
        <f>+CV135/CV84</f>
      </c>
      <c r="CW136" s="22">
        <f>+CW135/CW84</f>
      </c>
      <c r="CX136" s="22">
        <f>+CX135/CX84</f>
      </c>
      <c r="CY136" s="537">
        <f>CY135/CY84</f>
      </c>
      <c r="CZ136" s="22">
        <f>+CZ135/CZ84</f>
      </c>
      <c r="DA136" s="22">
        <f>+DA135/DA84</f>
      </c>
      <c r="DB136" s="22">
        <f>+DB135/DB84</f>
      </c>
      <c r="DC136" s="22">
        <f>+DC135/DC84</f>
      </c>
      <c r="DD136" s="537">
        <f>DD135/DD84</f>
      </c>
      <c r="DE136" s="22">
        <f>+DE135/DE84</f>
      </c>
      <c r="DF136" s="22">
        <f>+DF135/DF84</f>
      </c>
      <c r="DG136" s="22">
        <f>+DG135/DG84</f>
      </c>
      <c r="DH136" s="22">
        <f>+DH135/DH84</f>
      </c>
      <c r="DI136" s="537">
        <f>DI135/DI84</f>
      </c>
      <c r="DJ136" s="22">
        <f>+DJ135/DJ84</f>
      </c>
      <c r="DK136" s="22">
        <f>+DK135/DK84</f>
      </c>
      <c r="DL136" s="22">
        <f>+DL135/DL84</f>
      </c>
      <c r="DM136" s="22">
        <f>+DM135/DM84</f>
      </c>
      <c r="DN136" s="537">
        <f>DN135/DN84</f>
      </c>
      <c r="DO136" s="943">
        <f>+DO135/DO84</f>
      </c>
      <c r="DP136" s="943">
        <f>+DP135/DP84</f>
      </c>
      <c r="DQ136" s="943">
        <f>+DQ135/DQ84</f>
      </c>
      <c r="DR136" s="22">
        <f>+DR135/DR84</f>
      </c>
      <c r="DS136" s="537">
        <f>DS135/DS84</f>
      </c>
      <c r="DT136" s="943">
        <f>+DT135/DT84</f>
      </c>
      <c r="DU136" s="943">
        <f>+DU135/DU84</f>
      </c>
      <c r="DV136" s="943">
        <f>+DV135/DV84</f>
      </c>
      <c r="DW136" s="22">
        <f>+DW135/DW84</f>
      </c>
      <c r="DX136" s="535">
        <f>DX135/DX84</f>
      </c>
      <c r="DY136" s="925">
        <f>+DY135/DY84</f>
      </c>
      <c r="DZ136" s="925">
        <f>+DZ135/DZ84</f>
      </c>
      <c r="EA136" s="925">
        <f>+EA135/EA84</f>
      </c>
      <c r="EB136" s="41">
        <f>+EB135/EB84</f>
      </c>
      <c r="EC136" s="309">
        <f>EC135/EC84</f>
      </c>
      <c r="ED136" s="925">
        <f>+ED135/ED84</f>
      </c>
      <c r="EE136" s="925">
        <f>+EE135/EE84</f>
      </c>
      <c r="EF136" s="925">
        <f>+EF135/EF84</f>
      </c>
      <c r="EG136" s="41">
        <f>+EG135/EG84</f>
      </c>
      <c r="EH136" s="309">
        <f>EH135/EH84</f>
      </c>
      <c r="EI136" s="925">
        <f>+EI135/EI84</f>
      </c>
      <c r="EJ136" s="925">
        <f>+EJ135/EJ84</f>
      </c>
      <c r="EK136" s="925">
        <f>+EK135/EK84</f>
      </c>
      <c r="EL136" s="41">
        <f>+EL135/EL84</f>
      </c>
      <c r="EM136" s="2540">
        <f>EM135/EM84</f>
      </c>
      <c r="EN136" s="958">
        <f>+EN135/EN84</f>
      </c>
      <c r="EO136" s="926">
        <f>+EO135/EO84</f>
      </c>
      <c r="EP136" s="926">
        <f>+EP135/EP84</f>
      </c>
      <c r="EQ136" s="41">
        <f>+EQ135/EQ84</f>
      </c>
      <c r="ER136" s="2540">
        <f>ER135/ER84</f>
      </c>
      <c r="ES136" s="958">
        <f>+ES135/ES84</f>
      </c>
      <c r="ET136" s="926">
        <f>+ET135/ET84</f>
      </c>
      <c r="EU136" s="926">
        <f>+EU135/EU84</f>
      </c>
      <c r="EV136" s="41">
        <f>+EV135/EV84</f>
      </c>
      <c r="EW136" s="2540">
        <f>EW135/EW84</f>
      </c>
      <c r="EX136" s="958">
        <f>+EX135/EX84</f>
      </c>
      <c r="EY136" s="926">
        <f>+EY135/EY84</f>
      </c>
      <c r="EZ136" s="361">
        <v>0.01</v>
      </c>
      <c r="FA136" s="2434">
        <v>0.01</v>
      </c>
      <c r="FB136" s="3098">
        <f>FB135/FB84</f>
      </c>
      <c r="FC136" s="316">
        <v>0.04</v>
      </c>
      <c r="FD136" s="316">
        <v>0.04</v>
      </c>
      <c r="FE136" s="316">
        <v>0.04</v>
      </c>
      <c r="FF136" s="316">
        <v>0.04</v>
      </c>
      <c r="FG136" s="316">
        <v>0.04</v>
      </c>
    </row>
    <row r="137" spans="1:165" outlineLevel="1">
      <c r="A137" s="1"/>
      <c r="B137" s="92" t="s">
        <v>105</v>
      </c>
      <c r="C137" s="118"/>
      <c r="D137" s="118"/>
      <c r="E137" s="118"/>
      <c r="F137" s="118"/>
      <c r="G137" s="118"/>
      <c r="H137" s="118"/>
      <c r="I137" s="118"/>
      <c r="J137" s="118"/>
      <c r="K137" s="118"/>
      <c r="L137" s="118"/>
      <c r="M137" s="118"/>
      <c r="N137" s="68"/>
      <c r="O137" s="10"/>
      <c r="P137" s="10"/>
      <c r="Q137" s="10"/>
      <c r="R137" s="10"/>
      <c r="S137" s="10"/>
      <c r="T137" s="10"/>
      <c r="U137" s="10"/>
      <c r="V137" s="10"/>
      <c r="W137" s="10"/>
      <c r="X137" s="10"/>
      <c r="Y137" s="10"/>
      <c r="Z137" s="10"/>
      <c r="AA137" s="10"/>
      <c r="AB137" s="10">
        <f t="shared" ref="AB137:BZ137" si="499">AB139-(AB134+AB135+AB138)</f>
      </c>
      <c r="AC137" s="10">
        <f t="shared" si="499"/>
      </c>
      <c r="AD137" s="10">
        <f t="shared" si="499"/>
      </c>
      <c r="AE137" s="10">
        <f t="shared" si="499"/>
      </c>
      <c r="AF137" s="10">
        <f t="shared" si="499"/>
      </c>
      <c r="AG137" s="10">
        <f t="shared" si="499"/>
      </c>
      <c r="AH137" s="10">
        <f t="shared" si="499"/>
      </c>
      <c r="AI137" s="10">
        <f t="shared" si="499"/>
      </c>
      <c r="AJ137" s="10">
        <f t="shared" si="499"/>
      </c>
      <c r="AK137" s="10">
        <f t="shared" si="499"/>
      </c>
      <c r="AL137" s="10">
        <f>AL139-(AL134+AL135+AL138)</f>
      </c>
      <c r="AM137" s="10">
        <f t="shared" si="499"/>
      </c>
      <c r="AN137" s="10">
        <f t="shared" si="499"/>
      </c>
      <c r="AO137" s="10">
        <f t="shared" si="499"/>
      </c>
      <c r="AP137" s="10">
        <f t="shared" si="499"/>
      </c>
      <c r="AQ137" s="10">
        <f t="shared" si="499"/>
      </c>
      <c r="AR137" s="10">
        <f t="shared" si="499"/>
      </c>
      <c r="AS137" s="10">
        <f t="shared" si="499"/>
      </c>
      <c r="AT137" s="10">
        <f t="shared" si="499"/>
      </c>
      <c r="AU137" s="10">
        <f t="shared" si="499"/>
      </c>
      <c r="AV137" s="10">
        <f t="shared" si="499"/>
      </c>
      <c r="AW137" s="10">
        <f t="shared" si="499"/>
      </c>
      <c r="AX137" s="10">
        <f t="shared" si="499"/>
      </c>
      <c r="AY137" s="10">
        <f t="shared" si="499"/>
      </c>
      <c r="AZ137" s="10">
        <f t="shared" si="499"/>
      </c>
      <c r="BA137" s="10">
        <f t="shared" si="499"/>
      </c>
      <c r="BB137" s="10">
        <f t="shared" si="499"/>
      </c>
      <c r="BC137" s="10">
        <f t="shared" si="499"/>
      </c>
      <c r="BD137" s="10">
        <f t="shared" si="499"/>
      </c>
      <c r="BE137" s="10">
        <f t="shared" si="499"/>
      </c>
      <c r="BF137" s="10">
        <f t="shared" si="499"/>
      </c>
      <c r="BG137" s="10">
        <f t="shared" si="499"/>
      </c>
      <c r="BH137" s="10">
        <f t="shared" si="499"/>
      </c>
      <c r="BI137" s="10">
        <f t="shared" si="499"/>
      </c>
      <c r="BJ137" s="10">
        <f t="shared" si="499"/>
      </c>
      <c r="BK137" s="10">
        <f>BK139-(BK134+BK135+BK138)</f>
      </c>
      <c r="BL137" s="10">
        <f t="shared" si="499"/>
      </c>
      <c r="BM137" s="10">
        <f t="shared" si="499"/>
      </c>
      <c r="BN137" s="10">
        <f t="shared" si="499"/>
      </c>
      <c r="BO137" s="10">
        <f t="shared" si="499"/>
      </c>
      <c r="BP137" s="10">
        <f t="shared" si="499"/>
      </c>
      <c r="BQ137" s="10">
        <f t="shared" si="499"/>
      </c>
      <c r="BR137" s="10">
        <f t="shared" si="499"/>
      </c>
      <c r="BS137" s="10">
        <f t="shared" si="499"/>
      </c>
      <c r="BT137" s="10">
        <f t="shared" si="499"/>
      </c>
      <c r="BU137" s="67">
        <f t="shared" si="499"/>
      </c>
      <c r="BV137" s="10">
        <f t="shared" si="499"/>
      </c>
      <c r="BW137" s="10">
        <f t="shared" si="499"/>
      </c>
      <c r="BX137" s="10">
        <f t="shared" si="499"/>
      </c>
      <c r="BY137" s="10">
        <f t="shared" si="499"/>
      </c>
      <c r="BZ137" s="67">
        <f t="shared" si="499"/>
      </c>
      <c r="CA137" s="10">
        <f>CA139-(CA134+CA135+CA138)</f>
      </c>
      <c r="CB137" s="10">
        <f>CB139-(CB134+CB135+CB138)</f>
      </c>
      <c r="CC137" s="10">
        <f>CC139-(CC134+CC135+CC138)</f>
      </c>
      <c r="CD137" s="10">
        <f>CD139-(CD134+CD135+CD138)</f>
      </c>
      <c r="CE137" s="67">
        <f>SUM(CA137:CD137)</f>
      </c>
      <c r="CF137" s="10">
        <f>CF139-(CF134+CF135+CF138)</f>
      </c>
      <c r="CG137" s="10">
        <f>CG139-(CG134+CG135+CG138)</f>
      </c>
      <c r="CH137" s="10">
        <f>CH139-(CH134+CH135+CH138)</f>
      </c>
      <c r="CI137" s="10">
        <f>CI139-(CI134+CI135+CI138)</f>
      </c>
      <c r="CJ137" s="67">
        <f>SUM(CF137:CI137)</f>
      </c>
      <c r="CK137" s="10">
        <f>CK139-(CK134+CK135+CK138)</f>
      </c>
      <c r="CL137" s="10">
        <f>CL139-(CL134+CL135+CL138)</f>
      </c>
      <c r="CM137" s="10">
        <f>CM139-(CM134+CM135+CM138)</f>
      </c>
      <c r="CN137" s="10">
        <f>CN139-(CN134+CN135+CN138)</f>
      </c>
      <c r="CO137" s="67">
        <f>SUM(CK137:CN137)</f>
      </c>
      <c r="CP137" s="10">
        <f>CP139-(CP134+CP135+CP138)</f>
      </c>
      <c r="CQ137" s="10">
        <f>CQ139-(CQ134+CQ135+CQ138)</f>
      </c>
      <c r="CR137" s="10">
        <f>CR139-(CR134+CR135+CR138)</f>
      </c>
      <c r="CS137" s="10">
        <f>CS139-(CS134+CS135+CS138)</f>
      </c>
      <c r="CT137" s="67">
        <f>SUM(CP137:CS137)</f>
      </c>
      <c r="CU137" s="10">
        <f>CU139-(CU134+CU135+CU138)</f>
      </c>
      <c r="CV137" s="10">
        <f>CV139-(CV134+CV135+CV138)</f>
      </c>
      <c r="CW137" s="10">
        <f>CW139-(CW134+CW135+CW138)</f>
      </c>
      <c r="CX137" s="10">
        <f>CX139-(CX134+CX135+CX138)</f>
      </c>
      <c r="CY137" s="67">
        <f>SUM(CU137:CX137)</f>
      </c>
      <c r="CZ137" s="10">
        <f>CZ139-(CZ134+CZ135+CZ138)</f>
      </c>
      <c r="DA137" s="10">
        <f>DA139-(DA134+DA135+DA138)</f>
      </c>
      <c r="DB137" s="10">
        <f>DB139-(DB134+DB135+DB138)</f>
      </c>
      <c r="DC137" s="10">
        <f>DC139-(DC134+DC135+DC138)</f>
      </c>
      <c r="DD137" s="67">
        <f>SUM(CZ137:DC137)</f>
      </c>
      <c r="DE137" s="10">
        <f>DE139-(DE134+DE135+DE138)</f>
      </c>
      <c r="DF137" s="10">
        <f>DF139-(DF134+DF135+DF138)</f>
      </c>
      <c r="DG137" s="10">
        <f>DG139-(DG134+DG135+DG138)</f>
      </c>
      <c r="DH137" s="10">
        <f>DH139-(DH134+DH135+DH138)</f>
      </c>
      <c r="DI137" s="67">
        <f>SUM(DE137:DH137)</f>
      </c>
      <c r="DJ137" s="10">
        <f>DJ139-(DJ134+DJ135+DJ138)</f>
      </c>
      <c r="DK137" s="10">
        <f>DK139-(DK134+DK135+DK138)</f>
      </c>
      <c r="DL137" s="10">
        <f>DL139-(DL134+DL135+DL138)</f>
      </c>
      <c r="DM137" s="10">
        <f>DM139-(DM134+DM135+DM138)</f>
      </c>
      <c r="DN137" s="67">
        <f>SUM(DJ137:DM137)</f>
      </c>
      <c r="DO137" s="948">
        <f>DO139-(DO134+DO135+DO138)</f>
      </c>
      <c r="DP137" s="948">
        <f>DP139-(DP134+DP135+DP138)</f>
      </c>
      <c r="DQ137" s="948">
        <f>DQ139-(DQ134+DQ135+DQ138)</f>
      </c>
      <c r="DR137" s="10">
        <f>DR139-(DR134+DR135+DR138)</f>
      </c>
      <c r="DS137" s="67">
        <f>SUM(DO137:DR137)</f>
      </c>
      <c r="DT137" s="948">
        <f>DT139-(DT134+DT135+DT138)</f>
      </c>
      <c r="DU137" s="948">
        <f>DU139-(DU134+DU135+DU138)</f>
      </c>
      <c r="DV137" s="948">
        <f>DV139-(DV134+DV135+DV138)</f>
      </c>
      <c r="DW137" s="10">
        <f>DW139-(DW134+DW135+DW138)</f>
      </c>
      <c r="DX137" s="131">
        <f>SUM(DT137:DW137)</f>
      </c>
      <c r="DY137" s="1284">
        <f>DY139-(DY134+DY135+DY138)</f>
      </c>
      <c r="DZ137" s="1284">
        <f>DZ139-(DZ134+DZ135+DZ138)</f>
      </c>
      <c r="EA137" s="1284">
        <f>EA139-(EA134+EA135+EA138)</f>
      </c>
      <c r="EB137" s="107">
        <f>EB139-(EB134+EB135+EB138)</f>
      </c>
      <c r="EC137" s="573">
        <f>SUM(DY137:EB137)</f>
      </c>
      <c r="ED137" s="1284">
        <f>ED139-(ED134+ED135+ED138)</f>
      </c>
      <c r="EE137" s="1284">
        <f>EE139-(EE134+EE135+EE138)</f>
      </c>
      <c r="EF137" s="1284">
        <f>EF139-(EF134+EF135+EF138)</f>
      </c>
      <c r="EG137" s="107">
        <f>EG139-(EG134+EG135+EG138)</f>
      </c>
      <c r="EH137" s="2736">
        <f>SUM(ED137:EG137)</f>
      </c>
      <c r="EI137" s="1284">
        <f>EI139-(EI134+EI135+EI138)</f>
      </c>
      <c r="EJ137" s="1284">
        <f>EJ139-(EJ134+EJ135+EJ138)</f>
      </c>
      <c r="EK137" s="1284">
        <f>EK139-(EK134+EK135+EK138)</f>
      </c>
      <c r="EL137" s="107">
        <f>EL139-(EL134+EL135+EL138)</f>
      </c>
      <c r="EM137" s="2541">
        <f>SUM(EI137:EL137)</f>
      </c>
      <c r="EN137" s="2576">
        <f>EN139-(EN134+EN135+EN138)</f>
      </c>
      <c r="EO137" s="2469">
        <f>EO139-(EO134+EO135+EO138)</f>
      </c>
      <c r="EP137" s="2469">
        <f>EP139-(EP134+EP135+EP138)</f>
      </c>
      <c r="EQ137" s="107">
        <f>EQ139-(EQ134+EQ135+EQ138)</f>
      </c>
      <c r="ER137" s="2541">
        <f>SUM(EN137:EQ137)</f>
      </c>
      <c r="ES137" s="2576">
        <f>ES139-(ES134+ES135+ES138)</f>
      </c>
      <c r="ET137" s="2469">
        <f>ET139-(ET134+ET135+ET138)</f>
      </c>
      <c r="EU137" s="2469">
        <f>EU139-(EU134+EU135+EU138)</f>
      </c>
      <c r="EV137" s="107">
        <f>EV139-(EV134+EV135+EV138)</f>
      </c>
      <c r="EW137" s="2541">
        <f>SUM(ES137:EV137)</f>
      </c>
      <c r="EX137" s="2576">
        <f>EX139-(EX134+EX135+EX138)</f>
      </c>
      <c r="EY137" s="2469">
        <f>EY139-(EY134+EY135+EY138)</f>
      </c>
      <c r="EZ137" s="2482">
        <v>0</v>
      </c>
      <c r="FA137" s="2433">
        <f>FB137-SUM(EX137:EZ137)</f>
      </c>
      <c r="FB137" s="2585">
        <v>0</v>
      </c>
      <c r="FC137" s="2585">
        <v>0</v>
      </c>
      <c r="FD137" s="2585">
        <v>0</v>
      </c>
      <c r="FE137" s="2585">
        <v>0</v>
      </c>
      <c r="FF137" s="2585">
        <v>0</v>
      </c>
      <c r="FG137" s="2585">
        <v>0</v>
      </c>
    </row>
    <row r="138" spans="1:165" outlineLevel="1">
      <c r="A138" s="1"/>
      <c r="B138" s="92" t="s">
        <v>106</v>
      </c>
      <c r="C138" s="118"/>
      <c r="D138" s="118"/>
      <c r="E138" s="118"/>
      <c r="F138" s="118"/>
      <c r="G138" s="118"/>
      <c r="H138" s="118"/>
      <c r="I138" s="118"/>
      <c r="J138" s="118"/>
      <c r="K138" s="118"/>
      <c r="L138" s="118"/>
      <c r="M138" s="118"/>
      <c r="N138" s="68"/>
      <c r="O138" s="10"/>
      <c r="P138" s="10"/>
      <c r="Q138" s="10"/>
      <c r="R138" s="10"/>
      <c r="S138" s="10"/>
      <c r="T138" s="10"/>
      <c r="U138" s="10"/>
      <c r="V138" s="10"/>
      <c r="W138" s="10"/>
      <c r="X138" s="10"/>
      <c r="Y138" s="10"/>
      <c r="Z138" s="10"/>
      <c r="AA138" s="10"/>
      <c r="AB138" s="10"/>
      <c r="AC138" s="10"/>
      <c r="AD138" s="10"/>
      <c r="AE138" s="10"/>
      <c r="AF138" s="151"/>
      <c r="AG138" s="10"/>
      <c r="AH138" s="10"/>
      <c r="AI138" s="10"/>
      <c r="AJ138" s="10"/>
      <c r="AK138" s="151"/>
      <c r="AL138" s="10"/>
      <c r="AM138" s="10"/>
      <c r="AN138" s="10"/>
      <c r="AO138" s="10"/>
      <c r="AP138" s="151"/>
      <c r="AQ138" s="10"/>
      <c r="AR138" s="10"/>
      <c r="AS138" s="10"/>
      <c r="AT138" s="10"/>
      <c r="AU138" s="151"/>
      <c r="AV138" s="10"/>
      <c r="AW138" s="10">
        <f>+$BA$138/4</f>
      </c>
      <c r="AX138" s="10">
        <f>+$BA$138/4</f>
      </c>
      <c r="AY138" s="10">
        <f>+$BA$138/4</f>
      </c>
      <c r="AZ138" s="10">
        <f>+$BA$138/4</f>
      </c>
      <c r="BA138" s="171">
        <v>-1500</v>
      </c>
      <c r="BB138" s="171">
        <f>+$BF$138/4</f>
      </c>
      <c r="BC138" s="171">
        <f>+$BF$138/4</f>
      </c>
      <c r="BD138" s="171">
        <f>+$BF$138/4</f>
      </c>
      <c r="BE138" s="171">
        <f>+$BF$138/4</f>
      </c>
      <c r="BF138" s="171">
        <v>-1500</v>
      </c>
      <c r="BG138" s="10">
        <f>+$BK$138/4</f>
      </c>
      <c r="BH138" s="10">
        <f>+$BK$138/4</f>
      </c>
      <c r="BI138" s="10">
        <f>+$BK$138/4</f>
      </c>
      <c r="BJ138" s="10">
        <f>+$BK$138/4</f>
      </c>
      <c r="BK138" s="171">
        <v>-1600</v>
      </c>
      <c r="BL138" s="10">
        <f>+$BP$138/4</f>
      </c>
      <c r="BM138" s="10">
        <f>+$BP$138/4</f>
      </c>
      <c r="BN138" s="10">
        <f>+$BP$138/4</f>
      </c>
      <c r="BO138" s="10">
        <f>+$BP$138/4</f>
      </c>
      <c r="BP138" s="171">
        <v>-1900</v>
      </c>
      <c r="BQ138" s="10">
        <f>-'Cash Flows'!BS15-'Balance Sheet'!BQ160</f>
      </c>
      <c r="BR138" s="10">
        <f>-'Cash Flows'!BT15-'Balance Sheet'!BR160</f>
      </c>
      <c r="BS138" s="10">
        <f>-'Cash Flows'!BU15-'Balance Sheet'!BS160</f>
      </c>
      <c r="BT138" s="10">
        <f>-'Cash Flows'!BV15-'Balance Sheet'!BT160</f>
      </c>
      <c r="BU138" s="67">
        <f>-'Cash Flows'!BW15-'Balance Sheet'!BU160</f>
      </c>
      <c r="BV138" s="10">
        <f>-'Cash Flows'!BX15-'Balance Sheet'!BV160</f>
      </c>
      <c r="BW138" s="10">
        <f>-'Cash Flows'!BY15-'Balance Sheet'!BW160</f>
      </c>
      <c r="BX138" s="10">
        <f>-'Cash Flows'!BZ15-'Balance Sheet'!BX160</f>
      </c>
      <c r="BY138" s="10">
        <f>-'Cash Flows'!CA15-'Balance Sheet'!BY160</f>
      </c>
      <c r="BZ138" s="67">
        <f>-'Cash Flows'!CB15-'Balance Sheet'!BZ160</f>
      </c>
      <c r="CA138" s="10">
        <f>-'Cash Flows'!CC15-'Balance Sheet'!CA160</f>
      </c>
      <c r="CB138" s="10">
        <f>-'Cash Flows'!CD15-'Balance Sheet'!CB160</f>
      </c>
      <c r="CC138" s="10">
        <f>-'Cash Flows'!CE15-'Balance Sheet'!CC160</f>
      </c>
      <c r="CD138" s="10">
        <f>-'Cash Flows'!CF15-'Balance Sheet'!CD160</f>
      </c>
      <c r="CE138" s="67">
        <f>-'Cash Flows'!CG15-'Balance Sheet'!CE160</f>
      </c>
      <c r="CF138" s="10">
        <f>-'Cash Flows'!CH15-'Balance Sheet'!CF160</f>
      </c>
      <c r="CG138" s="10">
        <f>-'Cash Flows'!CI15-'Balance Sheet'!CG160</f>
      </c>
      <c r="CH138" s="10">
        <f>-'Cash Flows'!CJ15-'Balance Sheet'!CH160</f>
      </c>
      <c r="CI138" s="10">
        <f>-'Cash Flows'!CK15-'Balance Sheet'!CI160</f>
      </c>
      <c r="CJ138" s="67">
        <f>-'Cash Flows'!CL15-'Balance Sheet'!CJ160</f>
      </c>
      <c r="CK138" s="10">
        <f>-'Cash Flows'!CM15-'Balance Sheet'!CK160</f>
      </c>
      <c r="CL138" s="10">
        <f>-'Cash Flows'!CN15-'Balance Sheet'!CL160</f>
      </c>
      <c r="CM138" s="10">
        <f>-'Cash Flows'!CO15-'Balance Sheet'!CM160</f>
      </c>
      <c r="CN138" s="10">
        <f>-'Cash Flows'!CP15-'Balance Sheet'!CN160</f>
      </c>
      <c r="CO138" s="67">
        <f>-'Cash Flows'!CQ15-'Balance Sheet'!CO160</f>
      </c>
      <c r="CP138" s="10">
        <f>-'Cash Flows'!CR15-'Balance Sheet'!CP160</f>
      </c>
      <c r="CQ138" s="10">
        <f>-'Cash Flows'!CS15-'Balance Sheet'!CQ160</f>
      </c>
      <c r="CR138" s="10">
        <f>-'Cash Flows'!CT15-'Balance Sheet'!CR160</f>
      </c>
      <c r="CS138" s="10">
        <f>-'Cash Flows'!CU15-'Balance Sheet'!CS160</f>
      </c>
      <c r="CT138" s="67">
        <f>-'Cash Flows'!CV15-'Balance Sheet'!CT160</f>
      </c>
      <c r="CU138" s="10">
        <f>-'Cash Flows'!CW15-'Balance Sheet'!CU160</f>
      </c>
      <c r="CV138" s="10">
        <f>-'Cash Flows'!CX15-'Balance Sheet'!CV160</f>
      </c>
      <c r="CW138" s="10">
        <f>-'Cash Flows'!CY15-'Balance Sheet'!CW160</f>
      </c>
      <c r="CX138" s="10">
        <f>-'Cash Flows'!CZ15-'Balance Sheet'!CX160</f>
      </c>
      <c r="CY138" s="67">
        <f>-'Cash Flows'!DA15-'Balance Sheet'!CY160</f>
      </c>
      <c r="CZ138" s="10">
        <f>-'Cash Flows'!DB15-'Balance Sheet'!CZ160</f>
      </c>
      <c r="DA138" s="10">
        <f>-'Cash Flows'!DC15-'Balance Sheet'!DA160</f>
      </c>
      <c r="DB138" s="10">
        <f>-'Cash Flows'!DD15-'Balance Sheet'!DB160</f>
      </c>
      <c r="DC138" s="10">
        <f>-'Cash Flows'!DE15-'Balance Sheet'!DC160</f>
      </c>
      <c r="DD138" s="67">
        <f>-'Cash Flows'!DF15-'Balance Sheet'!DD160</f>
      </c>
      <c r="DE138" s="10">
        <f>-'Cash Flows'!DG15-'Balance Sheet'!DE160</f>
      </c>
      <c r="DF138" s="10">
        <f>-'Cash Flows'!DH15-'Balance Sheet'!DF160</f>
      </c>
      <c r="DG138" s="10">
        <f>-'Cash Flows'!DI15-'Balance Sheet'!DG160</f>
      </c>
      <c r="DH138" s="10">
        <f>-'Cash Flows'!DJ15-'Balance Sheet'!DH160</f>
      </c>
      <c r="DI138" s="67">
        <f>-'Cash Flows'!DK15-'Balance Sheet'!DI160</f>
      </c>
      <c r="DJ138" s="10">
        <f>-'Cash Flows'!DL15-'Balance Sheet'!DJ160</f>
      </c>
      <c r="DK138" s="10">
        <f>-'Cash Flows'!DM15-'Balance Sheet'!DK160</f>
      </c>
      <c r="DL138" s="10">
        <f>-'Cash Flows'!DN15-'Balance Sheet'!DL160</f>
      </c>
      <c r="DM138" s="10">
        <f>-'Cash Flows'!DO15-'Balance Sheet'!DM160</f>
      </c>
      <c r="DN138" s="67">
        <f>-'Cash Flows'!DP15-'Balance Sheet'!DN160</f>
      </c>
      <c r="DO138" s="948">
        <f>-'Cash Flows'!DQ15-'Balance Sheet'!DO160</f>
      </c>
      <c r="DP138" s="948">
        <f>-'Cash Flows'!DR15-'Balance Sheet'!DP160</f>
      </c>
      <c r="DQ138" s="948">
        <f>-'Cash Flows'!DS15-'Balance Sheet'!DQ160</f>
      </c>
      <c r="DR138" s="10">
        <f>-'Cash Flows'!DT15-'Balance Sheet'!DR160</f>
      </c>
      <c r="DS138" s="67">
        <f>-'Cash Flows'!DU15-'Balance Sheet'!DS160</f>
      </c>
      <c r="DT138" s="948">
        <f>-'Cash Flows'!DV15-'Balance Sheet'!DT160</f>
      </c>
      <c r="DU138" s="948">
        <f>-'Cash Flows'!DW15-'Balance Sheet'!DU160</f>
      </c>
      <c r="DV138" s="948">
        <f>-'Cash Flows'!DX15-'Balance Sheet'!DV160</f>
      </c>
      <c r="DW138" s="10">
        <f>-'Cash Flows'!DY15-'Balance Sheet'!DW160</f>
      </c>
      <c r="DX138" s="3221">
        <f>-'Cash Flows'!DZ15-'Balance Sheet'!DX160</f>
      </c>
      <c r="DY138" s="2914">
        <f>-'Cash Flows'!EA15-'Balance Sheet'!DY160</f>
      </c>
      <c r="DZ138" s="2914">
        <f>-'Cash Flows'!EB15-'Balance Sheet'!DZ160</f>
      </c>
      <c r="EA138" s="2914">
        <f>-'Cash Flows'!EC15-'Balance Sheet'!EA160</f>
      </c>
      <c r="EB138" s="2914">
        <f>-'Cash Flows'!ED15-'Balance Sheet'!EB160</f>
      </c>
      <c r="EC138" s="3222">
        <f>-'Cash Flows'!EE15-'Balance Sheet'!EC160</f>
      </c>
      <c r="ED138" s="2914">
        <f>-'Cash Flows'!EF15-'Balance Sheet'!ED160</f>
      </c>
      <c r="EE138" s="2914">
        <f>-'Cash Flows'!EG15-'Balance Sheet'!EE160</f>
      </c>
      <c r="EF138" s="2914">
        <f>-'Cash Flows'!EH15-'Balance Sheet'!EF160</f>
      </c>
      <c r="EG138" s="2914">
        <f>-'Cash Flows'!EI15-'Balance Sheet'!EG160</f>
      </c>
      <c r="EH138" s="3222">
        <f>-'Cash Flows'!EJ15-'Balance Sheet'!EH160</f>
      </c>
      <c r="EI138" s="2914">
        <f>-'Cash Flows'!EK15-'Balance Sheet'!EI160</f>
      </c>
      <c r="EJ138" s="2914">
        <f>-'Cash Flows'!EL15-'Balance Sheet'!EJ160</f>
      </c>
      <c r="EK138" s="2914">
        <f>-'Cash Flows'!EM15-'Balance Sheet'!EK160</f>
      </c>
      <c r="EL138" s="2914">
        <f>-'Cash Flows'!EN15-'Balance Sheet'!EL160</f>
      </c>
      <c r="EM138" s="3223">
        <f>-'Cash Flows'!EO15-'Balance Sheet'!EM160</f>
      </c>
      <c r="EN138" s="3219">
        <f>-'Cash Flows'!EP15-'Balance Sheet'!EN160</f>
      </c>
      <c r="EO138" s="2914">
        <f>-'Cash Flows'!EQ15-'Balance Sheet'!EO160</f>
      </c>
      <c r="EP138" s="2914">
        <f>-'Cash Flows'!ER15-'Balance Sheet'!EP160</f>
      </c>
      <c r="EQ138" s="2914">
        <f>-'Cash Flows'!ES15-'Balance Sheet'!EQ160</f>
      </c>
      <c r="ER138" s="3223">
        <f>-'Cash Flows'!ET15-'Balance Sheet'!ER160</f>
      </c>
      <c r="ES138" s="3219">
        <f>-'Cash Flows'!EU15-'Balance Sheet'!ES160</f>
      </c>
      <c r="ET138" s="2914">
        <f>-'Cash Flows'!EV15-'Balance Sheet'!ET160</f>
      </c>
      <c r="EU138" s="2914">
        <f>-'Cash Flows'!EW15-'Balance Sheet'!EU160</f>
      </c>
      <c r="EV138" s="2914">
        <f>-'Cash Flows'!EX15-'Balance Sheet'!EV160</f>
      </c>
      <c r="EW138" s="3223">
        <f>-'Cash Flows'!EY15-'Balance Sheet'!EW160</f>
      </c>
      <c r="EX138" s="3219">
        <f>-29013+28250</f>
      </c>
      <c r="EY138" s="2914">
        <f>-'Cash Flows'!FA15-'Balance Sheet'!EY160</f>
      </c>
      <c r="EZ138" s="2914">
        <f>-EZ134*(-EY138/EY134)</f>
      </c>
      <c r="FA138" s="3224">
        <f t="shared" ref="FA138" si="500">-FA134*(-EZ138/EZ134)</f>
      </c>
      <c r="FB138" s="3222">
        <f>SUM(EX138:FA138)</f>
      </c>
      <c r="FC138" s="3222">
        <f t="shared" ref="FC138:FF138" si="501">+-FC140/FC143</f>
      </c>
      <c r="FD138" s="3222">
        <f t="shared" si="501"/>
      </c>
      <c r="FE138" s="3222">
        <f t="shared" si="501"/>
      </c>
      <c r="FF138" s="3222">
        <f t="shared" si="501"/>
      </c>
      <c r="FG138" s="3222">
        <f>+-FG140/FG143</f>
      </c>
      <c r="FH138" s="948"/>
      <c r="FI138" s="948"/>
    </row>
    <row r="139" spans="1:165" outlineLevel="1">
      <c r="A139" s="1"/>
      <c r="B139" s="94" t="s">
        <v>107</v>
      </c>
      <c r="C139" s="84"/>
      <c r="D139" s="84"/>
      <c r="E139" s="84"/>
      <c r="F139" s="84"/>
      <c r="G139" s="84"/>
      <c r="H139" s="84"/>
      <c r="I139" s="84"/>
      <c r="J139" s="84"/>
      <c r="K139" s="84"/>
      <c r="L139" s="84"/>
      <c r="M139" s="84"/>
      <c r="N139" s="68"/>
      <c r="O139" s="10"/>
      <c r="P139" s="10"/>
      <c r="Q139" s="10"/>
      <c r="R139" s="10"/>
      <c r="S139" s="10"/>
      <c r="T139" s="10"/>
      <c r="U139" s="10"/>
      <c r="V139" s="10"/>
      <c r="W139" s="10"/>
      <c r="X139" s="10"/>
      <c r="Y139" s="10"/>
      <c r="Z139" s="10"/>
      <c r="AA139" s="10"/>
      <c r="AB139" s="10">
        <f t="shared" ref="AB139:BU139" si="502">+AB22</f>
      </c>
      <c r="AC139" s="10">
        <f t="shared" si="502"/>
      </c>
      <c r="AD139" s="10">
        <f t="shared" si="502"/>
      </c>
      <c r="AE139" s="10">
        <f t="shared" si="502"/>
      </c>
      <c r="AF139" s="10">
        <f t="shared" si="502"/>
      </c>
      <c r="AG139" s="10">
        <f t="shared" si="502"/>
      </c>
      <c r="AH139" s="10">
        <f t="shared" si="502"/>
      </c>
      <c r="AI139" s="10">
        <f t="shared" si="502"/>
      </c>
      <c r="AJ139" s="10">
        <f t="shared" si="502"/>
      </c>
      <c r="AK139" s="10">
        <f t="shared" si="502"/>
      </c>
      <c r="AL139" s="10">
        <f>+AL22</f>
      </c>
      <c r="AM139" s="10">
        <f t="shared" si="502"/>
      </c>
      <c r="AN139" s="10">
        <f t="shared" si="502"/>
      </c>
      <c r="AO139" s="10">
        <f t="shared" si="502"/>
      </c>
      <c r="AP139" s="10">
        <f t="shared" si="502"/>
      </c>
      <c r="AQ139" s="10">
        <f t="shared" si="502"/>
      </c>
      <c r="AR139" s="10">
        <f t="shared" si="502"/>
      </c>
      <c r="AS139" s="10">
        <f t="shared" si="502"/>
      </c>
      <c r="AT139" s="10">
        <f t="shared" si="502"/>
      </c>
      <c r="AU139" s="10">
        <f t="shared" si="502"/>
      </c>
      <c r="AV139" s="10">
        <f t="shared" si="502"/>
      </c>
      <c r="AW139" s="10">
        <f t="shared" si="502"/>
      </c>
      <c r="AX139" s="10">
        <f t="shared" si="502"/>
      </c>
      <c r="AY139" s="10">
        <f t="shared" si="502"/>
      </c>
      <c r="AZ139" s="10">
        <f t="shared" si="502"/>
      </c>
      <c r="BA139" s="10">
        <f t="shared" si="502"/>
      </c>
      <c r="BB139" s="10">
        <f t="shared" si="502"/>
      </c>
      <c r="BC139" s="10">
        <f t="shared" si="502"/>
      </c>
      <c r="BD139" s="10">
        <f t="shared" si="502"/>
      </c>
      <c r="BE139" s="10">
        <f t="shared" si="502"/>
      </c>
      <c r="BF139" s="10">
        <f t="shared" si="502"/>
      </c>
      <c r="BG139" s="10">
        <f t="shared" si="502"/>
      </c>
      <c r="BH139" s="10">
        <f t="shared" si="502"/>
      </c>
      <c r="BI139" s="10">
        <f t="shared" si="502"/>
      </c>
      <c r="BJ139" s="10">
        <f t="shared" si="502"/>
      </c>
      <c r="BK139" s="10">
        <f t="shared" si="502"/>
      </c>
      <c r="BL139" s="10">
        <f t="shared" si="502"/>
      </c>
      <c r="BM139" s="10">
        <f t="shared" si="502"/>
      </c>
      <c r="BN139" s="10">
        <f t="shared" si="502"/>
      </c>
      <c r="BO139" s="10">
        <f t="shared" si="502"/>
      </c>
      <c r="BP139" s="10">
        <f t="shared" si="502"/>
      </c>
      <c r="BQ139" s="10">
        <f t="shared" si="502"/>
      </c>
      <c r="BR139" s="10">
        <f t="shared" si="502"/>
      </c>
      <c r="BS139" s="10">
        <f t="shared" si="502"/>
      </c>
      <c r="BT139" s="10">
        <f t="shared" si="502"/>
      </c>
      <c r="BU139" s="67">
        <f t="shared" si="502"/>
      </c>
      <c r="BV139" s="10">
        <f t="shared" ref="BV139:CG139" si="503">+BV22</f>
      </c>
      <c r="BW139" s="10">
        <f t="shared" si="503"/>
      </c>
      <c r="BX139" s="10">
        <f t="shared" si="503"/>
      </c>
      <c r="BY139" s="10">
        <f t="shared" si="503"/>
      </c>
      <c r="BZ139" s="67">
        <f t="shared" si="503"/>
      </c>
      <c r="CA139" s="10">
        <f t="shared" si="503"/>
      </c>
      <c r="CB139" s="10">
        <f t="shared" si="503"/>
      </c>
      <c r="CC139" s="10">
        <f t="shared" si="503"/>
      </c>
      <c r="CD139" s="10">
        <f t="shared" si="503"/>
      </c>
      <c r="CE139" s="540">
        <f>+CE134+CE135+CE137+CE138</f>
      </c>
      <c r="CF139" s="10">
        <f t="shared" si="503"/>
      </c>
      <c r="CG139" s="10">
        <f t="shared" si="503"/>
      </c>
      <c r="CH139" s="10">
        <f>+CH22</f>
      </c>
      <c r="CI139" s="10">
        <f>+CI22</f>
      </c>
      <c r="CJ139" s="540">
        <f>+CJ134+CJ135+CJ137+CJ138</f>
      </c>
      <c r="CK139" s="10">
        <f>+CK22</f>
      </c>
      <c r="CL139" s="10">
        <f>+CL22</f>
      </c>
      <c r="CM139" s="10">
        <f>+CM22</f>
      </c>
      <c r="CN139" s="10">
        <f>+CN22</f>
      </c>
      <c r="CO139" s="540">
        <f>+CO134+CO135+CO137+CO138</f>
      </c>
      <c r="CP139" s="10">
        <f>+CP22</f>
      </c>
      <c r="CQ139" s="50">
        <f>+CQ22</f>
      </c>
      <c r="CR139" s="50">
        <f>+CR22</f>
      </c>
      <c r="CS139" s="10">
        <f>+CS22</f>
      </c>
      <c r="CT139" s="540">
        <f>+CT134+CT135+CT137+CT138</f>
      </c>
      <c r="CU139" s="10">
        <f>+CU22</f>
      </c>
      <c r="CV139" s="50">
        <f>+CV22</f>
      </c>
      <c r="CW139" s="50">
        <f>+CW22</f>
      </c>
      <c r="CX139" s="10">
        <f>+CX22</f>
      </c>
      <c r="CY139" s="540">
        <f>+CY134+CY135+CY137+CY138</f>
      </c>
      <c r="CZ139" s="10">
        <f>+CZ22</f>
      </c>
      <c r="DA139" s="10">
        <f>+DA22</f>
      </c>
      <c r="DB139" s="10">
        <f>+DB22</f>
      </c>
      <c r="DC139" s="10">
        <f>+DC22</f>
      </c>
      <c r="DD139" s="540">
        <f>+DD134+DD135+DD137+DD138</f>
      </c>
      <c r="DE139" s="10">
        <f>+DE22</f>
      </c>
      <c r="DF139" s="10">
        <f>+DF22</f>
      </c>
      <c r="DG139" s="10">
        <f>+DG22</f>
      </c>
      <c r="DH139" s="10">
        <f>+DH22</f>
      </c>
      <c r="DI139" s="540">
        <f>+DI134+DI135+DI137+DI138</f>
      </c>
      <c r="DJ139" s="10">
        <f>+DJ22</f>
      </c>
      <c r="DK139" s="10">
        <f>+DK22</f>
      </c>
      <c r="DL139" s="10">
        <f>+DL22</f>
      </c>
      <c r="DM139" s="10">
        <f>+DM22</f>
      </c>
      <c r="DN139" s="540">
        <f>+DN134+DN135+DN137+DN138</f>
      </c>
      <c r="DO139" s="948">
        <f>+DO22</f>
      </c>
      <c r="DP139" s="948">
        <f>+DP22</f>
      </c>
      <c r="DQ139" s="948">
        <f>+DQ22</f>
      </c>
      <c r="DR139" s="10">
        <f>+DR22</f>
      </c>
      <c r="DS139" s="540">
        <f>+DS134+DS135+DS137+DS138</f>
      </c>
      <c r="DT139" s="948">
        <f>+DT22</f>
      </c>
      <c r="DU139" s="948">
        <f>+DU22</f>
      </c>
      <c r="DV139" s="948">
        <f>+DV22</f>
      </c>
      <c r="DW139" s="10">
        <f>+DW22</f>
      </c>
      <c r="DX139" s="2069">
        <f>+DX134+DX135+DX137+DX138</f>
      </c>
      <c r="DY139" s="1284">
        <f>+DY22</f>
      </c>
      <c r="DZ139" s="1284">
        <f>+DZ22</f>
      </c>
      <c r="EA139" s="1284">
        <f>+EA22</f>
      </c>
      <c r="EB139" s="107">
        <f>+EB22</f>
      </c>
      <c r="EC139" s="1734">
        <f>+EC134+EC135+EC137+EC138</f>
      </c>
      <c r="ED139" s="1284">
        <f>+ED22</f>
      </c>
      <c r="EE139" s="1284">
        <f>+EE22</f>
      </c>
      <c r="EF139" s="1284">
        <f>+EF22</f>
      </c>
      <c r="EG139" s="107">
        <f>+EG22</f>
      </c>
      <c r="EH139" s="1717">
        <f>+EH134+EH135+EH137+EH138</f>
      </c>
      <c r="EI139" s="1284">
        <f>+EI22</f>
      </c>
      <c r="EJ139" s="1284">
        <f>+EJ22</f>
      </c>
      <c r="EK139" s="1284">
        <f>+EK22</f>
      </c>
      <c r="EL139" s="107">
        <f>+EL22</f>
      </c>
      <c r="EM139" s="2532">
        <f>+EM134+EM135+EM137+EM138</f>
      </c>
      <c r="EN139" s="2534">
        <f>+EN22</f>
      </c>
      <c r="EO139" s="1284">
        <f>+EO22</f>
      </c>
      <c r="EP139" s="1284">
        <f>+EP22</f>
      </c>
      <c r="EQ139" s="107">
        <f>+EQ22</f>
      </c>
      <c r="ER139" s="2532">
        <f>+ER134+ER135+ER137+ER138</f>
      </c>
      <c r="ES139" s="2534">
        <f>+ES22</f>
      </c>
      <c r="ET139" s="1284">
        <f>+ET22</f>
      </c>
      <c r="EU139" s="1284">
        <f>+EU22</f>
      </c>
      <c r="EV139" s="107">
        <f>+EV22</f>
      </c>
      <c r="EW139" s="2532">
        <f>+EW134+EW135+EW137+EW138</f>
      </c>
      <c r="EX139" s="2534">
        <f>+EX22</f>
      </c>
      <c r="EY139" s="1284">
        <f>+EY22</f>
      </c>
      <c r="EZ139" s="1718">
        <f t="shared" ref="EZ139:FA139" si="504">+EZ134+EZ135+EZ137+EZ138</f>
      </c>
      <c r="FA139" s="2435">
        <f t="shared" si="504"/>
      </c>
      <c r="FB139" s="1717">
        <f t="shared" ref="FB139:FD139" si="505">+FB134+FB135+FB137+FB138</f>
      </c>
      <c r="FC139" s="1717">
        <f t="shared" si="505"/>
      </c>
      <c r="FD139" s="1717">
        <f t="shared" si="505"/>
      </c>
      <c r="FE139" s="1717">
        <f>+FE134+FE135+FE137+FE138</f>
      </c>
      <c r="FF139" s="1717">
        <f>+FF134+FF135+FF137+FF138</f>
      </c>
      <c r="FG139" s="1717">
        <f>+FG134+FG135+FG137+FG138</f>
      </c>
    </row>
    <row r="140" spans="1:165" outlineLevel="1">
      <c r="A140" s="1"/>
      <c r="B140" s="94" t="s">
        <v>108</v>
      </c>
      <c r="C140" s="84"/>
      <c r="D140" s="84"/>
      <c r="E140" s="84"/>
      <c r="F140" s="84"/>
      <c r="G140" s="84"/>
      <c r="H140" s="84"/>
      <c r="I140" s="84"/>
      <c r="J140" s="84"/>
      <c r="K140" s="84"/>
      <c r="L140" s="84"/>
      <c r="M140" s="84"/>
      <c r="N140" s="68"/>
      <c r="O140" s="1"/>
      <c r="P140" s="1"/>
      <c r="Q140" s="1"/>
      <c r="R140" s="1"/>
      <c r="S140" s="1"/>
      <c r="T140" s="1"/>
      <c r="U140" s="1"/>
      <c r="V140" s="1"/>
      <c r="W140" s="1"/>
      <c r="X140" s="1"/>
      <c r="Y140" s="1"/>
      <c r="Z140" s="1"/>
      <c r="AA140" s="1"/>
      <c r="AB140" s="10"/>
      <c r="AC140" s="10"/>
      <c r="AD140" s="10"/>
      <c r="AE140" s="10"/>
      <c r="AF140" s="10"/>
      <c r="AG140" s="10"/>
      <c r="AH140" s="10"/>
      <c r="AI140" s="10"/>
      <c r="AJ140" s="10"/>
      <c r="AK140" s="10"/>
      <c r="AL140" s="10">
        <v>12458</v>
      </c>
      <c r="AM140" s="10">
        <v>12561</v>
      </c>
      <c r="AN140" s="10">
        <v>13393</v>
      </c>
      <c r="AO140" s="10">
        <v>13698</v>
      </c>
      <c r="AP140" s="10">
        <v>14314</v>
      </c>
      <c r="AQ140" s="10">
        <v>14314</v>
      </c>
      <c r="AR140" s="10">
        <v>14899</v>
      </c>
      <c r="AS140" s="10">
        <v>15565</v>
      </c>
      <c r="AT140" s="10">
        <v>16054</v>
      </c>
      <c r="AU140" s="10">
        <f>+AU139-AU141</f>
      </c>
      <c r="AV140" s="10">
        <f t="shared" ref="AV140:BR140" si="506">+AV139-AV141</f>
      </c>
      <c r="AW140" s="10">
        <f t="shared" si="506"/>
      </c>
      <c r="AX140" s="10">
        <f t="shared" si="506"/>
      </c>
      <c r="AY140" s="10">
        <f t="shared" si="506"/>
      </c>
      <c r="AZ140" s="10">
        <f t="shared" si="506"/>
      </c>
      <c r="BA140" s="10">
        <f t="shared" si="506"/>
      </c>
      <c r="BB140" s="10">
        <f t="shared" si="506"/>
      </c>
      <c r="BC140" s="10">
        <f t="shared" si="506"/>
      </c>
      <c r="BD140" s="10">
        <f t="shared" si="506"/>
      </c>
      <c r="BE140" s="10">
        <f t="shared" si="506"/>
      </c>
      <c r="BF140" s="10">
        <f t="shared" si="506"/>
      </c>
      <c r="BG140" s="10">
        <f t="shared" si="506"/>
      </c>
      <c r="BH140" s="10">
        <f t="shared" si="506"/>
      </c>
      <c r="BI140" s="10">
        <f t="shared" si="506"/>
      </c>
      <c r="BJ140" s="10">
        <f t="shared" si="506"/>
      </c>
      <c r="BK140" s="10">
        <f t="shared" si="506"/>
      </c>
      <c r="BL140" s="10">
        <f t="shared" si="506"/>
      </c>
      <c r="BM140" s="10">
        <f t="shared" si="506"/>
      </c>
      <c r="BN140" s="10">
        <f t="shared" si="506"/>
      </c>
      <c r="BO140" s="10">
        <f t="shared" si="506"/>
      </c>
      <c r="BP140" s="10">
        <f t="shared" si="506"/>
      </c>
      <c r="BQ140" s="10">
        <f t="shared" si="506"/>
      </c>
      <c r="BR140" s="10">
        <f t="shared" si="506"/>
      </c>
      <c r="BS140" s="10">
        <f t="shared" ref="BS140:CJ140" si="507">+BS139-BS141</f>
      </c>
      <c r="BT140" s="10">
        <f t="shared" si="507"/>
      </c>
      <c r="BU140" s="67">
        <f t="shared" si="507"/>
      </c>
      <c r="BV140" s="10">
        <f t="shared" si="507"/>
      </c>
      <c r="BW140" s="10">
        <f t="shared" si="507"/>
      </c>
      <c r="BX140" s="10">
        <f t="shared" si="507"/>
      </c>
      <c r="BY140" s="10">
        <f t="shared" si="507"/>
      </c>
      <c r="BZ140" s="67">
        <f t="shared" si="507"/>
      </c>
      <c r="CA140" s="10">
        <f t="shared" si="507"/>
      </c>
      <c r="CB140" s="10">
        <f t="shared" si="507"/>
      </c>
      <c r="CC140" s="10">
        <f t="shared" si="507"/>
      </c>
      <c r="CD140" s="10">
        <f t="shared" si="507"/>
      </c>
      <c r="CE140" s="67">
        <f t="shared" si="507"/>
      </c>
      <c r="CF140" s="10">
        <f t="shared" si="507"/>
      </c>
      <c r="CG140" s="10">
        <f t="shared" si="507"/>
      </c>
      <c r="CH140" s="10">
        <f>+CH139-CH141</f>
      </c>
      <c r="CI140" s="10">
        <f t="shared" si="507"/>
      </c>
      <c r="CJ140" s="67">
        <f t="shared" si="507"/>
      </c>
      <c r="CK140" s="10">
        <f t="shared" ref="CK140:CW140" si="508">+CK139-CK141</f>
      </c>
      <c r="CL140" s="10">
        <f t="shared" si="508"/>
      </c>
      <c r="CM140" s="10">
        <f t="shared" si="508"/>
      </c>
      <c r="CN140" s="10">
        <f t="shared" si="508"/>
      </c>
      <c r="CO140" s="67">
        <f t="shared" si="508"/>
      </c>
      <c r="CP140" s="10">
        <f t="shared" si="508"/>
      </c>
      <c r="CQ140" s="50">
        <f t="shared" si="508"/>
      </c>
      <c r="CR140" s="50">
        <f t="shared" si="508"/>
      </c>
      <c r="CS140" s="10">
        <f t="shared" si="508"/>
      </c>
      <c r="CT140" s="67">
        <f t="shared" si="508"/>
      </c>
      <c r="CU140" s="10">
        <f t="shared" si="508"/>
      </c>
      <c r="CV140" s="50">
        <f t="shared" si="508"/>
      </c>
      <c r="CW140" s="50">
        <f t="shared" si="508"/>
      </c>
      <c r="CX140" s="10">
        <f t="shared" ref="CX140:DD140" si="509">+CX139-CX141</f>
      </c>
      <c r="CY140" s="67">
        <f t="shared" si="509"/>
      </c>
      <c r="CZ140" s="10">
        <f t="shared" si="509"/>
      </c>
      <c r="DA140" s="10">
        <f t="shared" si="509"/>
      </c>
      <c r="DB140" s="10">
        <f t="shared" si="509"/>
      </c>
      <c r="DC140" s="10">
        <f t="shared" si="509"/>
      </c>
      <c r="DD140" s="67">
        <f t="shared" si="509"/>
      </c>
      <c r="DE140" s="10">
        <f t="shared" ref="DE140:EH140" si="510">+DE139-DE141</f>
      </c>
      <c r="DF140" s="10">
        <f t="shared" si="510"/>
      </c>
      <c r="DG140" s="10">
        <f t="shared" si="510"/>
      </c>
      <c r="DH140" s="10">
        <f t="shared" si="510"/>
      </c>
      <c r="DI140" s="67">
        <f t="shared" si="510"/>
      </c>
      <c r="DJ140" s="10">
        <f t="shared" si="510"/>
      </c>
      <c r="DK140" s="10">
        <f t="shared" si="510"/>
      </c>
      <c r="DL140" s="10">
        <f t="shared" si="510"/>
      </c>
      <c r="DM140" s="10">
        <f t="shared" si="510"/>
      </c>
      <c r="DN140" s="67">
        <f t="shared" si="510"/>
      </c>
      <c r="DO140" s="948">
        <f t="shared" si="510"/>
      </c>
      <c r="DP140" s="948">
        <f t="shared" si="510"/>
      </c>
      <c r="DQ140" s="948">
        <f t="shared" si="510"/>
      </c>
      <c r="DR140" s="10">
        <f t="shared" si="510"/>
      </c>
      <c r="DS140" s="67">
        <f t="shared" si="510"/>
      </c>
      <c r="DT140" s="948">
        <f t="shared" si="510"/>
      </c>
      <c r="DU140" s="948">
        <f t="shared" si="510"/>
      </c>
      <c r="DV140" s="948">
        <f t="shared" si="510"/>
      </c>
      <c r="DW140" s="10">
        <f t="shared" si="510"/>
      </c>
      <c r="DX140" s="131">
        <f t="shared" si="510"/>
      </c>
      <c r="DY140" s="1284">
        <f t="shared" si="510"/>
      </c>
      <c r="DZ140" s="1284">
        <f t="shared" si="510"/>
      </c>
      <c r="EA140" s="1284">
        <f t="shared" si="510"/>
      </c>
      <c r="EB140" s="107">
        <f t="shared" si="510"/>
      </c>
      <c r="EC140" s="573">
        <f t="shared" si="510"/>
      </c>
      <c r="ED140" s="1284">
        <f t="shared" si="510"/>
      </c>
      <c r="EE140" s="1284">
        <f t="shared" si="510"/>
      </c>
      <c r="EF140" s="1284">
        <f t="shared" si="510"/>
      </c>
      <c r="EG140" s="107">
        <f t="shared" si="510"/>
      </c>
      <c r="EH140" s="573">
        <f t="shared" si="510"/>
      </c>
      <c r="EI140" s="1284">
        <f t="shared" ref="EI140:EQ140" si="511">+EI139-EI141</f>
      </c>
      <c r="EJ140" s="1284">
        <f t="shared" si="511"/>
      </c>
      <c r="EK140" s="1284">
        <f t="shared" si="511"/>
      </c>
      <c r="EL140" s="107">
        <f t="shared" si="511"/>
      </c>
      <c r="EM140" s="2539">
        <f t="shared" si="511"/>
      </c>
      <c r="EN140" s="2534">
        <f t="shared" si="511"/>
      </c>
      <c r="EO140" s="1284">
        <f t="shared" si="511"/>
      </c>
      <c r="EP140" s="1284">
        <f t="shared" si="511"/>
      </c>
      <c r="EQ140" s="107">
        <f t="shared" si="511"/>
      </c>
      <c r="ER140" s="2539">
        <f t="shared" ref="ER140:EV140" si="512">+ER139-ER141</f>
      </c>
      <c r="ES140" s="2534">
        <f t="shared" si="512"/>
      </c>
      <c r="ET140" s="1284">
        <f t="shared" si="512"/>
      </c>
      <c r="EU140" s="1284">
        <f t="shared" si="512"/>
      </c>
      <c r="EV140" s="107">
        <f t="shared" si="512"/>
      </c>
      <c r="EW140" s="2539">
        <f t="shared" ref="EW140:EY140" si="513">+EW139-EW141</f>
      </c>
      <c r="EX140" s="2534">
        <f t="shared" si="513"/>
      </c>
      <c r="EY140" s="1284">
        <f t="shared" si="513"/>
      </c>
      <c r="EZ140" s="1718">
        <f>EY140+EZ137+EZ135</f>
      </c>
      <c r="FA140" s="2435">
        <f>EZ140+FA137+FA135</f>
      </c>
      <c r="FB140" s="1717">
        <f>EW140+FB137+FB135</f>
      </c>
      <c r="FC140" s="1717">
        <f t="shared" ref="FC140:FG140" si="514">FB140+FC137+FC135</f>
      </c>
      <c r="FD140" s="1717">
        <f t="shared" si="514"/>
      </c>
      <c r="FE140" s="1717">
        <f t="shared" si="514"/>
      </c>
      <c r="FF140" s="1717">
        <f t="shared" si="514"/>
      </c>
      <c r="FG140" s="1717">
        <f t="shared" si="514"/>
      </c>
    </row>
    <row r="141" spans="1:165" outlineLevel="1">
      <c r="A141" s="1"/>
      <c r="B141" s="94" t="s">
        <v>49</v>
      </c>
      <c r="C141" s="84"/>
      <c r="D141" s="84"/>
      <c r="E141" s="84"/>
      <c r="F141" s="84"/>
      <c r="G141" s="84"/>
      <c r="H141" s="84"/>
      <c r="I141" s="84"/>
      <c r="J141" s="84"/>
      <c r="K141" s="84"/>
      <c r="L141" s="84"/>
      <c r="M141" s="84"/>
      <c r="N141" s="68"/>
      <c r="O141" s="1"/>
      <c r="P141" s="1"/>
      <c r="Q141" s="1"/>
      <c r="R141" s="1"/>
      <c r="S141" s="1"/>
      <c r="T141" s="1"/>
      <c r="U141" s="1"/>
      <c r="V141" s="1"/>
      <c r="W141" s="1"/>
      <c r="X141" s="1"/>
      <c r="Y141" s="1"/>
      <c r="Z141" s="1"/>
      <c r="AA141" s="1"/>
      <c r="AB141" s="10"/>
      <c r="AC141" s="10"/>
      <c r="AD141" s="10"/>
      <c r="AE141" s="10"/>
      <c r="AF141" s="10"/>
      <c r="AG141" s="10"/>
      <c r="AH141" s="10"/>
      <c r="AI141" s="10"/>
      <c r="AJ141" s="10"/>
      <c r="AK141" s="10"/>
      <c r="AL141" s="10">
        <v>-4739</v>
      </c>
      <c r="AM141" s="10">
        <v>-4906</v>
      </c>
      <c r="AN141" s="10">
        <v>-5345</v>
      </c>
      <c r="AO141" s="10">
        <v>-5523</v>
      </c>
      <c r="AP141" s="10">
        <v>-5604</v>
      </c>
      <c r="AQ141" s="10">
        <v>-5604</v>
      </c>
      <c r="AR141" s="10">
        <v>-6100</v>
      </c>
      <c r="AS141" s="10">
        <v>-6501</v>
      </c>
      <c r="AT141" s="10">
        <v>-6809</v>
      </c>
      <c r="AU141" s="10">
        <v>-7206</v>
      </c>
      <c r="AV141" s="10">
        <v>-7206</v>
      </c>
      <c r="AW141" s="10">
        <v>-7435</v>
      </c>
      <c r="AX141" s="10">
        <v>-8581</v>
      </c>
      <c r="AY141" s="10">
        <v>-8037</v>
      </c>
      <c r="AZ141" s="10">
        <v>-8228</v>
      </c>
      <c r="BA141" s="67">
        <f>+AZ141</f>
      </c>
      <c r="BB141" s="10">
        <v>-8429</v>
      </c>
      <c r="BC141" s="10">
        <v>-8581</v>
      </c>
      <c r="BD141" s="10">
        <v>-8859</v>
      </c>
      <c r="BE141" s="10">
        <v>-8886</v>
      </c>
      <c r="BF141" s="67">
        <f>+BE141</f>
      </c>
      <c r="BG141" s="10">
        <v>-9200</v>
      </c>
      <c r="BH141" s="10">
        <v>-9678</v>
      </c>
      <c r="BI141" s="10">
        <v>-10028</v>
      </c>
      <c r="BJ141" s="10">
        <v>-10984</v>
      </c>
      <c r="BK141" s="67">
        <f>+BJ141</f>
      </c>
      <c r="BL141" s="10">
        <v>-11059</v>
      </c>
      <c r="BM141" s="10">
        <v>-11545</v>
      </c>
      <c r="BN141" s="10">
        <v>-12086</v>
      </c>
      <c r="BO141" s="10">
        <v>-12281</v>
      </c>
      <c r="BP141" s="67">
        <f>+BO141</f>
      </c>
      <c r="BQ141" s="10">
        <v>-12929</v>
      </c>
      <c r="BR141" s="10">
        <v>-13362</v>
      </c>
      <c r="BS141" s="10">
        <v>-13246</v>
      </c>
      <c r="BT141" s="10">
        <v>-13027</v>
      </c>
      <c r="BU141" s="67">
        <f>+BT141</f>
      </c>
      <c r="BV141" s="577">
        <v>-12929</v>
      </c>
      <c r="BW141" s="577">
        <v>-13362</v>
      </c>
      <c r="BX141" s="577">
        <v>-14637</v>
      </c>
      <c r="BY141" s="577">
        <v>-14492</v>
      </c>
      <c r="BZ141" s="67">
        <f>+BY141</f>
      </c>
      <c r="CA141" s="577">
        <v>-14686</v>
      </c>
      <c r="CB141" s="577">
        <v>-14618</v>
      </c>
      <c r="CC141" s="577">
        <v>-15567</v>
      </c>
      <c r="CD141" s="577">
        <v>-15873</v>
      </c>
      <c r="CE141" s="67">
        <f>CD141</f>
      </c>
      <c r="CF141" s="577">
        <v>-16721</v>
      </c>
      <c r="CG141" s="577">
        <v>-17461</v>
      </c>
      <c r="CH141" s="577">
        <v>-17101</v>
      </c>
      <c r="CI141" s="577">
        <v>-17090</v>
      </c>
      <c r="CJ141" s="67">
        <f>CI141</f>
      </c>
      <c r="CK141" s="577">
        <v>-17726</v>
      </c>
      <c r="CL141" s="577">
        <v>-17675</v>
      </c>
      <c r="CM141" s="577">
        <v>-18237</v>
      </c>
      <c r="CN141" s="577">
        <v>-18557</v>
      </c>
      <c r="CO141" s="67">
        <f>CN141</f>
      </c>
      <c r="CP141" s="577">
        <v>-18974</v>
      </c>
      <c r="CQ141" s="577">
        <v>-19607</v>
      </c>
      <c r="CR141" s="577">
        <v>-20305</v>
      </c>
      <c r="CS141" s="577">
        <v>-20423</v>
      </c>
      <c r="CT141" s="67">
        <f>CS141</f>
      </c>
      <c r="CU141" s="577">
        <v>-20252</v>
      </c>
      <c r="CV141" s="577">
        <v>-20792</v>
      </c>
      <c r="CW141" s="577">
        <v>-20644</v>
      </c>
      <c r="CX141" s="577">
        <v>-20559</v>
      </c>
      <c r="CY141" s="67">
        <f>CX141</f>
      </c>
      <c r="CZ141" s="577">
        <v>-20239</v>
      </c>
      <c r="DA141" s="577">
        <v>-20529</v>
      </c>
      <c r="DB141" s="577">
        <v>-20846</v>
      </c>
      <c r="DC141" s="577">
        <v>-20743</v>
      </c>
      <c r="DD141" s="67">
        <f>DC141</f>
      </c>
      <c r="DE141" s="577">
        <v>-21466</v>
      </c>
      <c r="DF141" s="577">
        <v>-21807</v>
      </c>
      <c r="DG141" s="577">
        <v>-22278</v>
      </c>
      <c r="DH141" s="577">
        <v>-21861</v>
      </c>
      <c r="DI141" s="67">
        <f>DH141</f>
      </c>
      <c r="DJ141" s="577">
        <v>-22505</v>
      </c>
      <c r="DK141" s="577">
        <v>-23617</v>
      </c>
      <c r="DL141" s="577">
        <v>-24300</v>
      </c>
      <c r="DM141" s="577">
        <v>-24461</v>
      </c>
      <c r="DN141" s="67">
        <f>DM141</f>
      </c>
      <c r="DO141" s="577">
        <v>-24956</v>
      </c>
      <c r="DP141" s="577">
        <v>-24661</v>
      </c>
      <c r="DQ141" s="577">
        <v>-24891</v>
      </c>
      <c r="DR141" s="577">
        <v>-24816</v>
      </c>
      <c r="DS141" s="67">
        <f>DR141</f>
      </c>
      <c r="DT141" s="577">
        <v>-25262</v>
      </c>
      <c r="DU141" s="577">
        <v>-25657</v>
      </c>
      <c r="DV141" s="577">
        <v>-25577</v>
      </c>
      <c r="DW141" s="577">
        <v>-25674</v>
      </c>
      <c r="DX141" s="1312">
        <f>+DS141+DX138</f>
      </c>
      <c r="DY141" s="710">
        <v>-25846</v>
      </c>
      <c r="DZ141" s="710">
        <v>-25657</v>
      </c>
      <c r="EA141" s="710">
        <f>-27307</f>
      </c>
      <c r="EB141" s="710">
        <v>-28038</v>
      </c>
      <c r="EC141" s="2060">
        <f>+DX141+EC138</f>
      </c>
      <c r="ED141" s="710">
        <v>-28063</v>
      </c>
      <c r="EE141" s="710">
        <v>-28569</v>
      </c>
      <c r="EF141" s="710">
        <f>-28869</f>
      </c>
      <c r="EG141" s="710">
        <v>-28717</v>
      </c>
      <c r="EH141" s="2060">
        <f>+EC141+EH138</f>
      </c>
      <c r="EI141" s="710">
        <v>-29001</v>
      </c>
      <c r="EJ141" s="710">
        <v>-28790</v>
      </c>
      <c r="EK141" s="710">
        <v>-28529</v>
      </c>
      <c r="EL141" s="710">
        <v>-28717</v>
      </c>
      <c r="EM141" s="2528">
        <f>+EH141+EM138</f>
      </c>
      <c r="EN141" s="1876">
        <v>-30193</v>
      </c>
      <c r="EO141" s="710">
        <v>-30642</v>
      </c>
      <c r="EP141" s="710">
        <v>-26805</v>
      </c>
      <c r="EQ141" s="710">
        <v>-27878</v>
      </c>
      <c r="ER141" s="2528">
        <f>+EM141+ER138</f>
      </c>
      <c r="ES141" s="1876">
        <v>-30193</v>
      </c>
      <c r="ET141" s="710">
        <v>-30642</v>
      </c>
      <c r="EU141" s="710">
        <v>-28795</v>
      </c>
      <c r="EV141" s="710">
        <v>-28250</v>
      </c>
      <c r="EW141" s="2528">
        <f>+ER141+EW138</f>
      </c>
      <c r="EX141" s="1284">
        <f>+EW141+EX138</f>
      </c>
      <c r="EY141" s="710">
        <f>-30523</f>
      </c>
      <c r="EZ141" s="1284">
        <f>+EY141+EZ138</f>
      </c>
      <c r="FA141" s="1311">
        <f>+EZ141+FA138</f>
      </c>
      <c r="FB141" s="1313">
        <f>+EW141+FB138</f>
      </c>
      <c r="FC141" s="1313">
        <f t="shared" ref="FC141:FG141" si="515">+FB141+FC138</f>
      </c>
      <c r="FD141" s="1313">
        <f t="shared" si="515"/>
      </c>
      <c r="FE141" s="1313">
        <f t="shared" si="515"/>
      </c>
      <c r="FF141" s="1313">
        <f t="shared" si="515"/>
      </c>
      <c r="FG141" s="1313">
        <f t="shared" si="515"/>
      </c>
    </row>
    <row r="142" spans="1:165" outlineLevel="1">
      <c r="A142" s="1"/>
      <c r="B142" s="94" t="s">
        <v>552</v>
      </c>
      <c r="C142" s="84"/>
      <c r="D142" s="84"/>
      <c r="E142" s="84"/>
      <c r="F142" s="84"/>
      <c r="G142" s="84"/>
      <c r="H142" s="84"/>
      <c r="I142" s="84"/>
      <c r="J142" s="84"/>
      <c r="K142" s="84"/>
      <c r="L142" s="84"/>
      <c r="M142" s="84"/>
      <c r="N142" s="68"/>
      <c r="O142" s="1"/>
      <c r="P142" s="1"/>
      <c r="Q142" s="1"/>
      <c r="R142" s="1"/>
      <c r="S142" s="1"/>
      <c r="T142" s="1"/>
      <c r="U142" s="1"/>
      <c r="V142" s="1"/>
      <c r="W142" s="1"/>
      <c r="X142" s="1"/>
      <c r="Y142" s="1"/>
      <c r="Z142" s="1"/>
      <c r="AA142" s="1"/>
      <c r="AB142" s="1"/>
      <c r="AC142" s="10"/>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67"/>
      <c r="BV142" s="1"/>
      <c r="BW142" s="1"/>
      <c r="BX142" s="1"/>
      <c r="BY142" s="1"/>
      <c r="BZ142" s="67"/>
      <c r="CA142" s="1"/>
      <c r="CB142" s="1"/>
      <c r="CC142" s="1"/>
      <c r="CD142" s="1"/>
      <c r="CE142" s="67"/>
      <c r="CF142" s="1"/>
      <c r="CG142" s="1"/>
      <c r="CH142" s="1"/>
      <c r="CI142" s="10"/>
      <c r="CJ142" s="539"/>
      <c r="CK142" s="1"/>
      <c r="CL142" s="1"/>
      <c r="CM142" s="1"/>
      <c r="CN142" s="1"/>
      <c r="CO142" s="539"/>
      <c r="CP142" s="362">
        <f>+CP140+CP141</f>
      </c>
      <c r="CQ142" s="362">
        <f>+CQ140+CQ141</f>
      </c>
      <c r="CR142" s="362">
        <f>+CR140+CR141</f>
      </c>
      <c r="CS142" s="1"/>
      <c r="CT142" s="539"/>
      <c r="CU142" s="362">
        <f t="shared" ref="CU142:DA142" si="516">+CU140+CU141</f>
      </c>
      <c r="CV142" s="362">
        <f t="shared" si="516"/>
      </c>
      <c r="CW142" s="362">
        <f t="shared" si="516"/>
      </c>
      <c r="CX142" s="10">
        <f t="shared" si="516"/>
      </c>
      <c r="CY142" s="67">
        <f t="shared" si="516"/>
      </c>
      <c r="CZ142" s="362">
        <f t="shared" si="516"/>
      </c>
      <c r="DA142" s="10">
        <f t="shared" si="516"/>
      </c>
      <c r="DB142" s="10">
        <f t="shared" ref="DB142:DW142" si="517">+DB140+DB141</f>
      </c>
      <c r="DC142" s="10">
        <f t="shared" si="517"/>
      </c>
      <c r="DD142" s="67">
        <f t="shared" si="517"/>
      </c>
      <c r="DE142" s="362">
        <f t="shared" si="517"/>
      </c>
      <c r="DF142" s="10">
        <f t="shared" si="517"/>
      </c>
      <c r="DG142" s="10">
        <f t="shared" si="517"/>
      </c>
      <c r="DH142" s="10">
        <f t="shared" si="517"/>
      </c>
      <c r="DI142" s="67">
        <f t="shared" si="517"/>
      </c>
      <c r="DJ142" s="362">
        <f t="shared" si="517"/>
      </c>
      <c r="DK142" s="362">
        <f t="shared" si="517"/>
      </c>
      <c r="DL142" s="362">
        <f t="shared" si="517"/>
      </c>
      <c r="DM142" s="10">
        <f t="shared" si="517"/>
      </c>
      <c r="DN142" s="67">
        <f t="shared" si="517"/>
      </c>
      <c r="DO142" s="1052">
        <f t="shared" si="517"/>
      </c>
      <c r="DP142" s="1052">
        <f t="shared" si="517"/>
      </c>
      <c r="DQ142" s="1052">
        <f t="shared" si="517"/>
      </c>
      <c r="DR142" s="10">
        <f t="shared" si="517"/>
      </c>
      <c r="DS142" s="67">
        <f t="shared" si="517"/>
      </c>
      <c r="DT142" s="1052">
        <f t="shared" si="517"/>
      </c>
      <c r="DU142" s="1052">
        <f t="shared" si="517"/>
      </c>
      <c r="DV142" s="1052">
        <f t="shared" si="517"/>
      </c>
      <c r="DW142" s="948">
        <f t="shared" si="517"/>
      </c>
      <c r="DX142" s="131" t="b">
        <f>(DX140+DX141)=DX139</f>
      </c>
      <c r="DY142" s="2070" t="b">
        <f t="shared" ref="DY142:FD142" si="518">(DY140+DY141)=DY139</f>
      </c>
      <c r="DZ142" s="2070" t="b">
        <f t="shared" si="518"/>
      </c>
      <c r="EA142" s="2070" t="b">
        <f t="shared" si="518"/>
      </c>
      <c r="EB142" s="1284" t="b">
        <f t="shared" si="518"/>
      </c>
      <c r="EC142" s="573" t="b">
        <f t="shared" si="518"/>
      </c>
      <c r="ED142" s="2070" t="b">
        <f t="shared" si="518"/>
      </c>
      <c r="EE142" s="2070" t="b">
        <f t="shared" si="518"/>
      </c>
      <c r="EF142" s="2070" t="b">
        <f t="shared" si="518"/>
      </c>
      <c r="EG142" s="1284" t="b">
        <f t="shared" si="518"/>
      </c>
      <c r="EH142" s="2060" t="b">
        <f t="shared" si="518"/>
      </c>
      <c r="EI142" s="2070" t="b">
        <f t="shared" si="518"/>
      </c>
      <c r="EJ142" s="2070" t="b">
        <f t="shared" si="518"/>
      </c>
      <c r="EK142" s="2070" t="b">
        <f t="shared" si="518"/>
      </c>
      <c r="EL142" s="1284" t="b">
        <f t="shared" si="518"/>
      </c>
      <c r="EM142" s="2528" t="b">
        <f t="shared" si="518"/>
      </c>
      <c r="EN142" s="2543" t="b">
        <f t="shared" si="518"/>
      </c>
      <c r="EO142" s="2070" t="b">
        <f t="shared" si="518"/>
      </c>
      <c r="EP142" s="2070" t="b">
        <f t="shared" si="518"/>
      </c>
      <c r="EQ142" s="1284" t="b">
        <f t="shared" si="518"/>
      </c>
      <c r="ER142" s="2528" t="b">
        <f t="shared" ref="ER142:EV142" si="519">(ER140+ER141)=ER139</f>
      </c>
      <c r="ES142" s="2543" t="b">
        <f t="shared" si="519"/>
      </c>
      <c r="ET142" s="2070" t="b">
        <f t="shared" si="519"/>
      </c>
      <c r="EU142" s="2070" t="b">
        <f t="shared" si="519"/>
      </c>
      <c r="EV142" s="1284" t="b">
        <f t="shared" si="519"/>
      </c>
      <c r="EW142" s="2528" t="b">
        <f t="shared" ref="EW142" si="520">(EW140+EW141)=EW139</f>
      </c>
      <c r="EX142" s="2070" t="b">
        <f t="shared" ref="EX142:FA142" si="521">(EX140+EX141)=EX139</f>
      </c>
      <c r="EY142" s="2070" t="b">
        <f t="shared" si="521"/>
      </c>
      <c r="EZ142" s="2070" t="b">
        <f t="shared" si="521"/>
      </c>
      <c r="FA142" s="1311" t="b">
        <f t="shared" si="521"/>
      </c>
      <c r="FB142" s="1313" t="b">
        <f t="shared" si="518"/>
      </c>
      <c r="FC142" s="1313" t="b">
        <f t="shared" si="518"/>
      </c>
      <c r="FD142" s="1313" t="b">
        <f t="shared" si="518"/>
      </c>
      <c r="FE142" s="1313" t="b">
        <f>(FE140+FE141)=FE139</f>
      </c>
      <c r="FF142" s="1313" t="b">
        <f>(FF140+FF141)=FF139</f>
      </c>
      <c r="FG142" s="1313" t="b">
        <f>(FG140+FG141)=FG139</f>
      </c>
    </row>
    <row r="143" spans="1:165" outlineLevel="1">
      <c r="A143" s="1"/>
      <c r="B143" s="85" t="s">
        <v>50</v>
      </c>
      <c r="C143" s="86"/>
      <c r="D143" s="86"/>
      <c r="E143" s="86"/>
      <c r="F143" s="86"/>
      <c r="G143" s="86"/>
      <c r="H143" s="86"/>
      <c r="I143" s="86"/>
      <c r="J143" s="86"/>
      <c r="K143" s="86"/>
      <c r="L143" s="86"/>
      <c r="M143" s="86"/>
      <c r="N143" s="95"/>
      <c r="O143" s="14"/>
      <c r="P143" s="14"/>
      <c r="Q143" s="14"/>
      <c r="R143" s="14"/>
      <c r="S143" s="14"/>
      <c r="T143" s="14"/>
      <c r="U143" s="14"/>
      <c r="V143" s="14"/>
      <c r="W143" s="14"/>
      <c r="X143" s="14"/>
      <c r="Y143" s="14"/>
      <c r="Z143" s="14"/>
      <c r="AA143" s="14"/>
      <c r="AB143" s="14"/>
      <c r="AC143" s="14"/>
      <c r="AD143" s="14"/>
      <c r="AE143" s="14"/>
      <c r="AF143" s="14"/>
      <c r="AG143" s="96"/>
      <c r="AH143" s="96"/>
      <c r="AI143" s="96"/>
      <c r="AJ143" s="96"/>
      <c r="AK143" s="96"/>
      <c r="AL143" s="96"/>
      <c r="AM143" s="96"/>
      <c r="AN143" s="96"/>
      <c r="AO143" s="96"/>
      <c r="AP143" s="96"/>
      <c r="AQ143" s="96"/>
      <c r="AR143" s="96"/>
      <c r="AS143" s="96"/>
      <c r="AT143" s="96"/>
      <c r="AU143" s="96"/>
      <c r="AV143" s="96"/>
      <c r="AW143" s="96"/>
      <c r="AX143" s="96">
        <f>+AX140/-AX138/4</f>
      </c>
      <c r="AY143" s="96">
        <f>+AY140/-AY138/4</f>
      </c>
      <c r="AZ143" s="96">
        <f>+AZ140/-AZ138/4</f>
      </c>
      <c r="BA143" s="96">
        <f>+BA140/-BA138</f>
      </c>
      <c r="BB143" s="96">
        <f>+BB140/-BB138/4</f>
      </c>
      <c r="BC143" s="96">
        <f>+BC140/-BC138/4</f>
      </c>
      <c r="BD143" s="96">
        <f>+BD140/-BD138/4</f>
      </c>
      <c r="BE143" s="96">
        <f>+BE140/-BE138/4</f>
      </c>
      <c r="BF143" s="96">
        <f>+BF140/-BF138</f>
      </c>
      <c r="BG143" s="96">
        <f>+BG140/-BG138/4</f>
      </c>
      <c r="BH143" s="96">
        <f>+BH140/-BH138/4</f>
      </c>
      <c r="BI143" s="96">
        <f>+BI140/-BI138/4</f>
      </c>
      <c r="BJ143" s="96">
        <f>+BJ140/-BJ138/4</f>
      </c>
      <c r="BK143" s="96">
        <f>+BK140/-BK138</f>
      </c>
      <c r="BL143" s="96">
        <f>+BL140/-BL138/4</f>
      </c>
      <c r="BM143" s="96">
        <f>+BM140/-BM138/4</f>
      </c>
      <c r="BN143" s="96">
        <f>+BN140/-BN138/4</f>
      </c>
      <c r="BO143" s="96">
        <f>+BO140/-BO138/4</f>
      </c>
      <c r="BP143" s="96">
        <f>+BP140/-BP138</f>
      </c>
      <c r="BQ143" s="96">
        <f>+BQ140/-BQ138/4</f>
      </c>
      <c r="BR143" s="96">
        <f t="shared" ref="BR143:BX143" si="522">+BR140/-BR138/4</f>
      </c>
      <c r="BS143" s="96">
        <f t="shared" si="522"/>
      </c>
      <c r="BT143" s="96">
        <f t="shared" si="522"/>
      </c>
      <c r="BU143" s="550">
        <f>+BU140/-BU138</f>
      </c>
      <c r="BV143" s="96">
        <f>+BV140/-BV138/4</f>
      </c>
      <c r="BW143" s="96">
        <f>+BW140/-BW138/4</f>
      </c>
      <c r="BX143" s="96">
        <f t="shared" si="522"/>
      </c>
      <c r="BY143" s="96">
        <f>+BY140/-BY138/4</f>
      </c>
      <c r="BZ143" s="550">
        <f>+BZ140/-BZ138</f>
      </c>
      <c r="CA143" s="96">
        <f>+CA140/-CA138/4</f>
      </c>
      <c r="CB143" s="96">
        <f>+CB140/-CB138/4</f>
      </c>
      <c r="CC143" s="96">
        <f>+CC140/-CC138/4</f>
      </c>
      <c r="CD143" s="96">
        <f>+CD140/-CD138/4</f>
      </c>
      <c r="CE143" s="550">
        <f>+CE140/-CE138</f>
      </c>
      <c r="CF143" s="96">
        <f>+CF140/-CF138/4</f>
      </c>
      <c r="CG143" s="96">
        <f>+CG140/-CG138/4</f>
      </c>
      <c r="CH143" s="96">
        <f>+CH140/-CH138/4</f>
      </c>
      <c r="CI143" s="96">
        <f>+CI140/-CI138/4</f>
      </c>
      <c r="CJ143" s="550">
        <f>+CJ140/-CJ138</f>
      </c>
      <c r="CK143" s="96">
        <f>+CK140/-CK138/4</f>
      </c>
      <c r="CL143" s="96">
        <f>+CL140/-CL138/4</f>
      </c>
      <c r="CM143" s="96">
        <f>+CM140/-CM138/4</f>
      </c>
      <c r="CN143" s="96">
        <f>+CN140/-CN138/4</f>
      </c>
      <c r="CO143" s="550">
        <f>+CO140/-CO138</f>
      </c>
      <c r="CP143" s="96">
        <f>+CP140/-CP138/4</f>
      </c>
      <c r="CQ143" s="96">
        <f>+CQ140/-CQ138/4</f>
      </c>
      <c r="CR143" s="96">
        <f>+CR140/-CR138/4</f>
      </c>
      <c r="CS143" s="96">
        <f>+CS140/-CS138/4</f>
      </c>
      <c r="CT143" s="550">
        <f>+CT140/-CT138</f>
      </c>
      <c r="CU143" s="96">
        <f>+CU140/-CU138/4</f>
      </c>
      <c r="CV143" s="96">
        <f>+CV140/-CV138/4</f>
      </c>
      <c r="CW143" s="96">
        <f>+CW140/-CW138/4</f>
      </c>
      <c r="CX143" s="96">
        <f>+CX140/-CX138/4</f>
      </c>
      <c r="CY143" s="550">
        <f>+CY140/-CY138</f>
      </c>
      <c r="CZ143" s="96">
        <f>+CZ140/-CZ138/4</f>
      </c>
      <c r="DA143" s="96">
        <f>+DA140/-DA138/4</f>
      </c>
      <c r="DB143" s="96">
        <f>+DB140/-DB138/4</f>
      </c>
      <c r="DC143" s="96">
        <f>+DC140/-DC138/4</f>
      </c>
      <c r="DD143" s="550">
        <f>+DD140/-DD138</f>
      </c>
      <c r="DE143" s="96">
        <f>+DE140/-DE138/4</f>
      </c>
      <c r="DF143" s="96">
        <f>+DF140/-DF138/4</f>
      </c>
      <c r="DG143" s="96">
        <f>+DG140/-DG138/4</f>
      </c>
      <c r="DH143" s="96">
        <f>+DH140/-DH138/4</f>
      </c>
      <c r="DI143" s="550">
        <f>+DI140/-DI138</f>
      </c>
      <c r="DJ143" s="96">
        <f>+DJ140/-DJ138/4</f>
      </c>
      <c r="DK143" s="96">
        <f>+DK140/-DK138/4</f>
      </c>
      <c r="DL143" s="96">
        <f>+DL140/-DL138/4</f>
      </c>
      <c r="DM143" s="96">
        <f>+DM140/-DM138/4</f>
      </c>
      <c r="DN143" s="550">
        <f>+DN140/-DN138</f>
      </c>
      <c r="DO143" s="1053">
        <f>+DO140/-DO138/4</f>
      </c>
      <c r="DP143" s="1053">
        <f>+DP140/-DP138/4</f>
      </c>
      <c r="DQ143" s="1053">
        <f>+DQ140/-DQ138/4</f>
      </c>
      <c r="DR143" s="96">
        <f>+DR140/-DR138/4</f>
      </c>
      <c r="DS143" s="550">
        <f>+DS140/-DS138</f>
      </c>
      <c r="DT143" s="1053">
        <f>+DT140/-DT138/4</f>
      </c>
      <c r="DU143" s="1053">
        <f>+DU140/-DU138/4</f>
      </c>
      <c r="DV143" s="1053">
        <f>+DV140/-DV138/4</f>
      </c>
      <c r="DW143" s="1053">
        <f>+DW140/-DW138/4</f>
      </c>
      <c r="DX143" s="2071">
        <f>+DX140/-DX138</f>
      </c>
      <c r="DY143" s="2072">
        <f>+DY140/-DY138/4</f>
      </c>
      <c r="DZ143" s="2072">
        <f>+DZ140/-DZ138/4</f>
      </c>
      <c r="EA143" s="2072">
        <f>+EA140/-EA138/4</f>
      </c>
      <c r="EB143" s="2072">
        <f>+EB140/-EB138/4</f>
      </c>
      <c r="EC143" s="2739">
        <f>+EC140/-EC138</f>
      </c>
      <c r="ED143" s="2072">
        <f>+ED140/-ED138/4</f>
      </c>
      <c r="EE143" s="2072">
        <f>+EE140/-EE138/4</f>
      </c>
      <c r="EF143" s="2072">
        <f>+EF140/-EF138/4</f>
      </c>
      <c r="EG143" s="2072">
        <f>+EG140/-EG138/4</f>
      </c>
      <c r="EH143" s="2739">
        <f>+EH140/-EH138</f>
      </c>
      <c r="EI143" s="2072">
        <f>+EI140/-EI138/4</f>
      </c>
      <c r="EJ143" s="2072">
        <f>+EJ140/-EJ138/4</f>
      </c>
      <c r="EK143" s="2072">
        <f>+EK140/-EK138/4</f>
      </c>
      <c r="EL143" s="2072">
        <f>+EL140/-EL138/4</f>
      </c>
      <c r="EM143" s="3091">
        <f>+EM140/-EM138</f>
      </c>
      <c r="EN143" s="3225">
        <f>+EN140/-EN138/4</f>
      </c>
      <c r="EO143" s="3226">
        <f>+EO140/-EO138/4</f>
      </c>
      <c r="EP143" s="3226">
        <f>+EP140/-EP138/4</f>
      </c>
      <c r="EQ143" s="2072">
        <f>+EQ140/-EQ138/4</f>
      </c>
      <c r="ER143" s="3091">
        <f>+ER140/-ER138</f>
      </c>
      <c r="ES143" s="3225">
        <f>+ES140/-ES138/4</f>
      </c>
      <c r="ET143" s="3226">
        <f>+ET140/-ET138/4</f>
      </c>
      <c r="EU143" s="3226">
        <f>-EU140/-EU138/4</f>
      </c>
      <c r="EV143" s="2072">
        <f>+EV140/-EV138/4</f>
      </c>
      <c r="EW143" s="3091">
        <f>+EW140/-EW138</f>
      </c>
      <c r="EX143" s="3226">
        <f>+EX140/-EX138/4</f>
      </c>
      <c r="EY143" s="3226">
        <f>+EY140/-EY138/4</f>
      </c>
      <c r="EZ143" s="3226">
        <f>+EZ140/-EZ138/4</f>
      </c>
      <c r="FA143" s="3227">
        <f>+FA140/-FA138/4</f>
      </c>
      <c r="FB143" s="3092">
        <f>+EW143</f>
      </c>
      <c r="FC143" s="3092">
        <f t="shared" ref="FC143:FG143" si="523">+FB143</f>
      </c>
      <c r="FD143" s="3092">
        <f t="shared" si="523"/>
      </c>
      <c r="FE143" s="3092">
        <f t="shared" si="523"/>
      </c>
      <c r="FF143" s="3092">
        <f t="shared" si="523"/>
      </c>
      <c r="FG143" s="3092">
        <f t="shared" si="523"/>
      </c>
    </row>
    <row r="144" spans="1:165" outlineLevel="1">
      <c r="A144" s="1"/>
      <c r="B144" s="147" t="s">
        <v>51</v>
      </c>
      <c r="C144" s="120"/>
      <c r="D144" s="120"/>
      <c r="E144" s="120"/>
      <c r="F144" s="120"/>
      <c r="G144" s="120"/>
      <c r="H144" s="120"/>
      <c r="I144" s="120"/>
      <c r="J144" s="120"/>
      <c r="K144" s="120"/>
      <c r="L144" s="120"/>
      <c r="M144" s="120"/>
      <c r="N144" s="97"/>
      <c r="O144" s="98"/>
      <c r="P144" s="98"/>
      <c r="Q144" s="98"/>
      <c r="R144" s="98"/>
      <c r="S144" s="98"/>
      <c r="T144" s="98"/>
      <c r="U144" s="98"/>
      <c r="V144" s="98"/>
      <c r="W144" s="98"/>
      <c r="X144" s="98"/>
      <c r="Y144" s="98"/>
      <c r="Z144" s="98"/>
      <c r="AA144" s="98"/>
      <c r="AB144" s="99">
        <f t="shared" ref="AB144:BG144" si="524">+AB84/AB139</f>
      </c>
      <c r="AC144" s="99">
        <f t="shared" si="524"/>
      </c>
      <c r="AD144" s="99">
        <f t="shared" si="524"/>
      </c>
      <c r="AE144" s="99">
        <f t="shared" si="524"/>
      </c>
      <c r="AF144" s="99">
        <f t="shared" si="524"/>
      </c>
      <c r="AG144" s="99">
        <f t="shared" si="524"/>
      </c>
      <c r="AH144" s="99">
        <f t="shared" si="524"/>
      </c>
      <c r="AI144" s="99">
        <f t="shared" si="524"/>
      </c>
      <c r="AJ144" s="99">
        <f t="shared" si="524"/>
      </c>
      <c r="AK144" s="99">
        <f t="shared" si="524"/>
      </c>
      <c r="AL144" s="99">
        <f t="shared" si="524"/>
      </c>
      <c r="AM144" s="99">
        <f t="shared" si="524"/>
      </c>
      <c r="AN144" s="99">
        <f t="shared" si="524"/>
      </c>
      <c r="AO144" s="99">
        <f t="shared" si="524"/>
      </c>
      <c r="AP144" s="99">
        <f t="shared" si="524"/>
      </c>
      <c r="AQ144" s="99">
        <f t="shared" si="524"/>
      </c>
      <c r="AR144" s="99">
        <f t="shared" si="524"/>
      </c>
      <c r="AS144" s="99">
        <f t="shared" si="524"/>
      </c>
      <c r="AT144" s="99">
        <f t="shared" si="524"/>
      </c>
      <c r="AU144" s="99">
        <f t="shared" si="524"/>
      </c>
      <c r="AV144" s="99">
        <f t="shared" si="524"/>
      </c>
      <c r="AW144" s="99">
        <f t="shared" si="524"/>
      </c>
      <c r="AX144" s="99">
        <f t="shared" si="524"/>
      </c>
      <c r="AY144" s="99">
        <f t="shared" si="524"/>
      </c>
      <c r="AZ144" s="99">
        <f t="shared" si="524"/>
      </c>
      <c r="BA144" s="99">
        <f t="shared" si="524"/>
      </c>
      <c r="BB144" s="99">
        <f t="shared" si="524"/>
      </c>
      <c r="BC144" s="99">
        <f t="shared" si="524"/>
      </c>
      <c r="BD144" s="99">
        <f t="shared" si="524"/>
      </c>
      <c r="BE144" s="99">
        <f t="shared" si="524"/>
      </c>
      <c r="BF144" s="99">
        <f t="shared" si="524"/>
      </c>
      <c r="BG144" s="99">
        <f t="shared" si="524"/>
      </c>
      <c r="BH144" s="99">
        <f t="shared" ref="BH144:CJ144" si="525">+BH84/BH139</f>
      </c>
      <c r="BI144" s="99">
        <f t="shared" si="525"/>
      </c>
      <c r="BJ144" s="99">
        <f t="shared" si="525"/>
      </c>
      <c r="BK144" s="99">
        <f t="shared" si="525"/>
      </c>
      <c r="BL144" s="99">
        <f t="shared" si="525"/>
      </c>
      <c r="BM144" s="99">
        <f t="shared" si="525"/>
      </c>
      <c r="BN144" s="99">
        <f t="shared" si="525"/>
      </c>
      <c r="BO144" s="99">
        <f t="shared" si="525"/>
      </c>
      <c r="BP144" s="99">
        <f t="shared" si="525"/>
      </c>
      <c r="BQ144" s="99">
        <f t="shared" si="525"/>
      </c>
      <c r="BR144" s="99">
        <f t="shared" si="525"/>
      </c>
      <c r="BS144" s="99">
        <f t="shared" si="525"/>
      </c>
      <c r="BT144" s="99">
        <f t="shared" si="525"/>
      </c>
      <c r="BU144" s="551">
        <f t="shared" si="525"/>
      </c>
      <c r="BV144" s="99">
        <f t="shared" si="525"/>
      </c>
      <c r="BW144" s="99">
        <f t="shared" si="525"/>
      </c>
      <c r="BX144" s="99">
        <f t="shared" si="525"/>
      </c>
      <c r="BY144" s="99">
        <f t="shared" si="525"/>
      </c>
      <c r="BZ144" s="551">
        <f t="shared" si="525"/>
      </c>
      <c r="CA144" s="99">
        <f t="shared" si="525"/>
      </c>
      <c r="CB144" s="99">
        <f t="shared" si="525"/>
      </c>
      <c r="CC144" s="99">
        <f t="shared" si="525"/>
      </c>
      <c r="CD144" s="99">
        <f t="shared" si="525"/>
      </c>
      <c r="CE144" s="551">
        <f t="shared" si="525"/>
      </c>
      <c r="CF144" s="99">
        <f t="shared" si="525"/>
      </c>
      <c r="CG144" s="99">
        <f t="shared" si="525"/>
      </c>
      <c r="CH144" s="99">
        <f>+CH84/CH139</f>
      </c>
      <c r="CI144" s="99">
        <f t="shared" si="525"/>
      </c>
      <c r="CJ144" s="551">
        <f t="shared" si="525"/>
      </c>
      <c r="CK144" s="99">
        <f t="shared" ref="CK144:CW144" si="526">+CK84/CK139</f>
      </c>
      <c r="CL144" s="99">
        <f t="shared" si="526"/>
      </c>
      <c r="CM144" s="99">
        <f t="shared" si="526"/>
      </c>
      <c r="CN144" s="99">
        <f t="shared" si="526"/>
      </c>
      <c r="CO144" s="551">
        <f t="shared" si="526"/>
      </c>
      <c r="CP144" s="99">
        <f t="shared" si="526"/>
      </c>
      <c r="CQ144" s="99">
        <f t="shared" si="526"/>
      </c>
      <c r="CR144" s="99">
        <f t="shared" si="526"/>
      </c>
      <c r="CS144" s="99">
        <f t="shared" si="526"/>
      </c>
      <c r="CT144" s="551">
        <f t="shared" si="526"/>
      </c>
      <c r="CU144" s="99">
        <f t="shared" si="526"/>
      </c>
      <c r="CV144" s="99">
        <f t="shared" si="526"/>
      </c>
      <c r="CW144" s="99">
        <f t="shared" si="526"/>
      </c>
      <c r="CX144" s="99">
        <f t="shared" ref="CX144:DD144" si="527">+CX84/CX139</f>
      </c>
      <c r="CY144" s="551">
        <f t="shared" si="527"/>
      </c>
      <c r="CZ144" s="99">
        <f t="shared" si="527"/>
      </c>
      <c r="DA144" s="99">
        <f t="shared" si="527"/>
      </c>
      <c r="DB144" s="99">
        <f t="shared" si="527"/>
      </c>
      <c r="DC144" s="99">
        <f t="shared" si="527"/>
      </c>
      <c r="DD144" s="551">
        <f t="shared" si="527"/>
      </c>
      <c r="DE144" s="99">
        <f t="shared" ref="DE144:EI144" si="528">+DE84/DE139</f>
      </c>
      <c r="DF144" s="99">
        <f t="shared" si="528"/>
      </c>
      <c r="DG144" s="99">
        <f t="shared" si="528"/>
      </c>
      <c r="DH144" s="99">
        <f t="shared" si="528"/>
      </c>
      <c r="DI144" s="551">
        <f t="shared" si="528"/>
      </c>
      <c r="DJ144" s="99">
        <f t="shared" si="528"/>
      </c>
      <c r="DK144" s="99">
        <f t="shared" si="528"/>
      </c>
      <c r="DL144" s="99">
        <f t="shared" si="528"/>
      </c>
      <c r="DM144" s="99">
        <f t="shared" si="528"/>
      </c>
      <c r="DN144" s="551">
        <f t="shared" si="528"/>
      </c>
      <c r="DO144" s="1279">
        <f t="shared" si="528"/>
      </c>
      <c r="DP144" s="1279">
        <f t="shared" si="528"/>
      </c>
      <c r="DQ144" s="1279">
        <f t="shared" si="528"/>
      </c>
      <c r="DR144" s="99">
        <f t="shared" si="528"/>
      </c>
      <c r="DS144" s="551">
        <f t="shared" si="528"/>
      </c>
      <c r="DT144" s="1279">
        <f t="shared" si="528"/>
      </c>
      <c r="DU144" s="1279">
        <f t="shared" si="528"/>
      </c>
      <c r="DV144" s="1279">
        <f t="shared" si="528"/>
      </c>
      <c r="DW144" s="1279">
        <f t="shared" si="528"/>
      </c>
      <c r="DX144" s="2073">
        <f t="shared" si="528"/>
      </c>
      <c r="DY144" s="2074">
        <f t="shared" si="528"/>
      </c>
      <c r="DZ144" s="2074">
        <f t="shared" si="528"/>
      </c>
      <c r="EA144" s="2074">
        <f t="shared" si="528"/>
      </c>
      <c r="EB144" s="2074">
        <f t="shared" si="528"/>
      </c>
      <c r="EC144" s="2740">
        <f t="shared" si="528"/>
      </c>
      <c r="ED144" s="2074">
        <f t="shared" si="528"/>
      </c>
      <c r="EE144" s="2074">
        <f t="shared" si="528"/>
      </c>
      <c r="EF144" s="2074">
        <f t="shared" si="528"/>
      </c>
      <c r="EG144" s="2074">
        <f t="shared" si="528"/>
      </c>
      <c r="EH144" s="2740">
        <f>+EH84/EH139</f>
      </c>
      <c r="EI144" s="2074">
        <f t="shared" si="528"/>
      </c>
      <c r="EJ144" s="2074">
        <f t="shared" ref="EJ144:EQ144" si="529">+EJ84/EJ139</f>
      </c>
      <c r="EK144" s="2074">
        <f t="shared" si="529"/>
      </c>
      <c r="EL144" s="2074">
        <f t="shared" si="529"/>
      </c>
      <c r="EM144" s="2542">
        <f t="shared" si="529"/>
      </c>
      <c r="EN144" s="2571">
        <f t="shared" si="529"/>
      </c>
      <c r="EO144" s="2699">
        <f t="shared" si="529"/>
      </c>
      <c r="EP144" s="2074">
        <f t="shared" si="529"/>
      </c>
      <c r="EQ144" s="2074">
        <f t="shared" si="529"/>
      </c>
      <c r="ER144" s="2542">
        <f>+ER84/ER139</f>
      </c>
      <c r="ES144" s="2571">
        <f t="shared" ref="ES144:EV144" si="530">+ES84/ES139</f>
      </c>
      <c r="ET144" s="3499">
        <f t="shared" si="530"/>
      </c>
      <c r="EU144" s="2074">
        <f t="shared" si="530"/>
      </c>
      <c r="EV144" s="2074">
        <f t="shared" si="530"/>
      </c>
      <c r="EW144" s="2542">
        <f>+EW84/EW139</f>
      </c>
      <c r="EX144" s="2074">
        <f t="shared" ref="EX144:FG144" si="531">+EX84/EX139</f>
      </c>
      <c r="EY144" s="3499">
        <f t="shared" si="531"/>
      </c>
      <c r="EZ144" s="2074">
        <f t="shared" si="531"/>
      </c>
      <c r="FA144" s="2074">
        <f t="shared" si="531"/>
      </c>
      <c r="FB144" s="3592">
        <f t="shared" si="531"/>
      </c>
      <c r="FC144" s="3448">
        <f t="shared" si="531"/>
      </c>
      <c r="FD144" s="3448">
        <f t="shared" si="531"/>
      </c>
      <c r="FE144" s="3448">
        <f t="shared" si="531"/>
      </c>
      <c r="FF144" s="3448">
        <f t="shared" si="531"/>
      </c>
      <c r="FG144" s="3448">
        <f t="shared" si="531"/>
      </c>
    </row>
    <row r="145" spans="1:163" outlineLevel="1">
      <c r="A145" s="1"/>
      <c r="B145" s="86"/>
      <c r="C145" s="86"/>
      <c r="D145" s="86"/>
      <c r="E145" s="86"/>
      <c r="F145" s="86"/>
      <c r="G145" s="86"/>
      <c r="H145" s="86"/>
      <c r="I145" s="86"/>
      <c r="J145" s="86"/>
      <c r="K145" s="86"/>
      <c r="L145" s="86"/>
      <c r="M145" s="86"/>
      <c r="N145" s="95"/>
      <c r="O145" s="103"/>
      <c r="P145" s="103"/>
      <c r="Q145" s="103"/>
      <c r="R145" s="103"/>
      <c r="S145" s="103"/>
      <c r="T145" s="103"/>
      <c r="U145" s="103"/>
      <c r="V145" s="103"/>
      <c r="W145" s="103"/>
      <c r="X145" s="103"/>
      <c r="Y145" s="103"/>
      <c r="Z145" s="103"/>
      <c r="AA145" s="103"/>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377"/>
      <c r="CH145" s="377"/>
      <c r="CI145" s="377"/>
      <c r="CJ145" s="377"/>
      <c r="CK145" s="377"/>
      <c r="CL145" s="377"/>
      <c r="CM145" s="377"/>
      <c r="CN145" s="1"/>
      <c r="CO145" s="1"/>
      <c r="CP145" s="73"/>
      <c r="CQ145" s="73"/>
      <c r="CR145" s="73"/>
      <c r="CS145" s="73"/>
      <c r="CT145" s="73"/>
      <c r="CU145" s="73"/>
      <c r="CV145" s="73"/>
      <c r="CW145" s="73"/>
      <c r="CX145" s="73"/>
      <c r="CY145" s="73"/>
      <c r="CZ145" s="73"/>
      <c r="DA145" s="73"/>
      <c r="DB145" s="73"/>
      <c r="DC145" s="73"/>
      <c r="DD145" s="73"/>
      <c r="DE145" s="73"/>
      <c r="DF145" s="73"/>
      <c r="DG145" s="73"/>
      <c r="DH145" s="1045"/>
      <c r="DI145" s="1045"/>
      <c r="DJ145" s="73"/>
      <c r="DK145" s="73"/>
      <c r="DL145" s="73"/>
      <c r="DM145" s="1045"/>
      <c r="DN145" s="1045"/>
      <c r="DO145" s="1045"/>
      <c r="DP145" s="1045"/>
      <c r="DQ145" s="1045"/>
      <c r="DR145" s="1045"/>
      <c r="DS145" s="1045"/>
      <c r="DT145" s="1045"/>
      <c r="DU145" s="1045"/>
      <c r="DV145" s="1045"/>
      <c r="DW145" s="1045"/>
      <c r="DX145" s="1045"/>
      <c r="DY145" s="1045"/>
      <c r="DZ145" s="1045"/>
      <c r="EA145" s="1045"/>
      <c r="EB145" s="1045"/>
      <c r="EC145" s="1045"/>
      <c r="ED145" s="1045"/>
      <c r="EE145" s="1045"/>
      <c r="EF145" s="1045"/>
      <c r="EG145" s="1045"/>
      <c r="EH145" s="1045"/>
      <c r="EI145" s="1045"/>
      <c r="EJ145" s="1045"/>
      <c r="EK145" s="1045"/>
      <c r="EL145" s="1045"/>
      <c r="EM145" s="1045"/>
      <c r="EN145" s="1284"/>
      <c r="EO145" s="1284"/>
      <c r="EP145" s="1284"/>
      <c r="EQ145" s="1284"/>
      <c r="ER145" s="1284"/>
      <c r="ES145" s="1284"/>
      <c r="ET145" s="1284"/>
      <c r="EU145" s="1284"/>
      <c r="EV145" s="1284"/>
      <c r="EW145" s="1045"/>
      <c r="EX145" s="1045"/>
      <c r="EY145" s="1284"/>
      <c r="EZ145" s="1045"/>
      <c r="FA145" s="1045"/>
      <c r="FB145" s="1045"/>
      <c r="FC145" s="1045"/>
      <c r="FD145" s="1045"/>
      <c r="FE145" s="1045"/>
      <c r="FF145" s="1045"/>
      <c r="FG145" s="1045"/>
    </row>
    <row r="146" spans="1:163" outlineLevel="1">
      <c r="A146" s="1"/>
      <c r="B146" s="172" t="s">
        <v>1</v>
      </c>
      <c r="C146" s="378"/>
      <c r="D146" s="378"/>
      <c r="E146" s="378"/>
      <c r="F146" s="378"/>
      <c r="G146" s="378"/>
      <c r="H146" s="378"/>
      <c r="I146" s="378"/>
      <c r="J146" s="378"/>
      <c r="K146" s="378"/>
      <c r="L146" s="378"/>
      <c r="M146" s="378"/>
      <c r="N146" s="379"/>
      <c r="O146" s="380"/>
      <c r="P146" s="380"/>
      <c r="Q146" s="380"/>
      <c r="R146" s="380"/>
      <c r="S146" s="380"/>
      <c r="T146" s="380"/>
      <c r="U146" s="380"/>
      <c r="V146" s="380"/>
      <c r="W146" s="380"/>
      <c r="X146" s="380"/>
      <c r="Y146" s="380"/>
      <c r="Z146" s="380"/>
      <c r="AA146" s="380"/>
      <c r="AB146" s="381">
        <f t="shared" ref="AB146:CF146" si="532">+AB140</f>
      </c>
      <c r="AC146" s="381">
        <f t="shared" si="532"/>
      </c>
      <c r="AD146" s="381">
        <f t="shared" si="532"/>
      </c>
      <c r="AE146" s="381">
        <f t="shared" si="532"/>
      </c>
      <c r="AF146" s="381">
        <f t="shared" si="532"/>
      </c>
      <c r="AG146" s="381">
        <f t="shared" si="532"/>
      </c>
      <c r="AH146" s="381">
        <f t="shared" si="532"/>
      </c>
      <c r="AI146" s="381">
        <f t="shared" si="532"/>
      </c>
      <c r="AJ146" s="381">
        <f t="shared" si="532"/>
      </c>
      <c r="AK146" s="381">
        <f t="shared" si="532"/>
      </c>
      <c r="AL146" s="381">
        <f t="shared" si="532"/>
      </c>
      <c r="AM146" s="381">
        <f t="shared" si="532"/>
      </c>
      <c r="AN146" s="381">
        <f t="shared" si="532"/>
      </c>
      <c r="AO146" s="381">
        <f t="shared" si="532"/>
      </c>
      <c r="AP146" s="381">
        <f t="shared" si="532"/>
      </c>
      <c r="AQ146" s="381">
        <f t="shared" si="532"/>
      </c>
      <c r="AR146" s="381">
        <f t="shared" si="532"/>
      </c>
      <c r="AS146" s="381">
        <f t="shared" si="532"/>
      </c>
      <c r="AT146" s="381">
        <f t="shared" si="532"/>
      </c>
      <c r="AU146" s="381">
        <f t="shared" si="532"/>
      </c>
      <c r="AV146" s="381">
        <f t="shared" si="532"/>
      </c>
      <c r="AW146" s="381">
        <f t="shared" si="532"/>
      </c>
      <c r="AX146" s="381">
        <f t="shared" si="532"/>
      </c>
      <c r="AY146" s="381">
        <f t="shared" si="532"/>
      </c>
      <c r="AZ146" s="381">
        <f t="shared" si="532"/>
      </c>
      <c r="BA146" s="381">
        <f t="shared" si="532"/>
      </c>
      <c r="BB146" s="381">
        <f t="shared" si="532"/>
      </c>
      <c r="BC146" s="381">
        <f t="shared" si="532"/>
      </c>
      <c r="BD146" s="381">
        <f t="shared" si="532"/>
      </c>
      <c r="BE146" s="381">
        <f t="shared" si="532"/>
      </c>
      <c r="BF146" s="381">
        <f t="shared" si="532"/>
      </c>
      <c r="BG146" s="381">
        <f t="shared" si="532"/>
      </c>
      <c r="BH146" s="381">
        <f t="shared" si="532"/>
      </c>
      <c r="BI146" s="381">
        <f t="shared" si="532"/>
      </c>
      <c r="BJ146" s="381">
        <f t="shared" si="532"/>
      </c>
      <c r="BK146" s="381">
        <f t="shared" si="532"/>
      </c>
      <c r="BL146" s="381">
        <f t="shared" si="532"/>
      </c>
      <c r="BM146" s="381">
        <f t="shared" si="532"/>
      </c>
      <c r="BN146" s="381">
        <f t="shared" si="532"/>
      </c>
      <c r="BO146" s="381">
        <f t="shared" si="532"/>
      </c>
      <c r="BP146" s="381">
        <f t="shared" si="532"/>
      </c>
      <c r="BQ146" s="381">
        <f t="shared" si="532"/>
      </c>
      <c r="BR146" s="381">
        <f t="shared" si="532"/>
      </c>
      <c r="BS146" s="381">
        <f t="shared" si="532"/>
      </c>
      <c r="BT146" s="381">
        <f t="shared" si="532"/>
      </c>
      <c r="BU146" s="549">
        <f t="shared" si="532"/>
      </c>
      <c r="BV146" s="381">
        <f t="shared" si="532"/>
      </c>
      <c r="BW146" s="381">
        <f t="shared" si="532"/>
      </c>
      <c r="BX146" s="381">
        <f t="shared" si="532"/>
      </c>
      <c r="BY146" s="381">
        <f t="shared" si="532"/>
      </c>
      <c r="BZ146" s="549">
        <f t="shared" si="532"/>
      </c>
      <c r="CA146" s="381">
        <f t="shared" si="532"/>
      </c>
      <c r="CB146" s="381">
        <f t="shared" si="532"/>
      </c>
      <c r="CC146" s="381">
        <f t="shared" si="532"/>
      </c>
      <c r="CD146" s="381">
        <f t="shared" si="532"/>
      </c>
      <c r="CE146" s="549">
        <f>+CE140</f>
      </c>
      <c r="CF146" s="381">
        <f t="shared" si="532"/>
      </c>
      <c r="CG146" s="381">
        <f t="shared" ref="CG146:DP146" si="533">+CG140</f>
      </c>
      <c r="CH146" s="381">
        <f>+CH140</f>
      </c>
      <c r="CI146" s="381">
        <f>+CI140</f>
      </c>
      <c r="CJ146" s="549">
        <f t="shared" si="533"/>
      </c>
      <c r="CK146" s="381">
        <f t="shared" si="533"/>
      </c>
      <c r="CL146" s="381">
        <f t="shared" si="533"/>
      </c>
      <c r="CM146" s="381">
        <f t="shared" si="533"/>
      </c>
      <c r="CN146" s="381">
        <f t="shared" si="533"/>
      </c>
      <c r="CO146" s="549">
        <f t="shared" si="533"/>
      </c>
      <c r="CP146" s="381">
        <f t="shared" si="533"/>
      </c>
      <c r="CQ146" s="381">
        <f t="shared" si="533"/>
      </c>
      <c r="CR146" s="381">
        <f t="shared" si="533"/>
      </c>
      <c r="CS146" s="381">
        <f t="shared" si="533"/>
      </c>
      <c r="CT146" s="549">
        <f t="shared" si="533"/>
      </c>
      <c r="CU146" s="381">
        <f t="shared" si="533"/>
      </c>
      <c r="CV146" s="381">
        <f t="shared" si="533"/>
      </c>
      <c r="CW146" s="381">
        <f t="shared" si="533"/>
      </c>
      <c r="CX146" s="381">
        <f>+CX140</f>
      </c>
      <c r="CY146" s="549">
        <f>+CY140</f>
      </c>
      <c r="CZ146" s="381">
        <f t="shared" si="533"/>
      </c>
      <c r="DA146" s="381">
        <f t="shared" si="533"/>
      </c>
      <c r="DB146" s="381">
        <f t="shared" ref="DB146:DM146" si="534">+DB140</f>
      </c>
      <c r="DC146" s="381">
        <f t="shared" si="534"/>
      </c>
      <c r="DD146" s="549">
        <f t="shared" si="534"/>
      </c>
      <c r="DE146" s="381">
        <f t="shared" si="534"/>
      </c>
      <c r="DF146" s="381">
        <f t="shared" si="534"/>
      </c>
      <c r="DG146" s="381">
        <f t="shared" si="534"/>
      </c>
      <c r="DH146" s="381">
        <f t="shared" si="534"/>
      </c>
      <c r="DI146" s="549">
        <f t="shared" si="534"/>
      </c>
      <c r="DJ146" s="381">
        <f t="shared" si="534"/>
      </c>
      <c r="DK146" s="381">
        <f t="shared" si="534"/>
      </c>
      <c r="DL146" s="381">
        <f t="shared" si="534"/>
      </c>
      <c r="DM146" s="1054">
        <f t="shared" si="534"/>
      </c>
      <c r="DN146" s="1123">
        <f t="shared" si="533"/>
      </c>
      <c r="DO146" s="1280">
        <f t="shared" si="533"/>
      </c>
      <c r="DP146" s="1280">
        <f t="shared" si="533"/>
      </c>
      <c r="DQ146" s="1280">
        <f t="shared" ref="DQ146:ER146" si="535">+DQ140</f>
      </c>
      <c r="DR146" s="1054">
        <f t="shared" si="535"/>
      </c>
      <c r="DS146" s="1123">
        <f t="shared" si="535"/>
      </c>
      <c r="DT146" s="1280">
        <f t="shared" si="535"/>
      </c>
      <c r="DU146" s="1280">
        <f t="shared" si="535"/>
      </c>
      <c r="DV146" s="1280">
        <f t="shared" si="535"/>
      </c>
      <c r="DW146" s="1054">
        <f t="shared" si="535"/>
      </c>
      <c r="DX146" s="2075">
        <f t="shared" si="535"/>
      </c>
      <c r="DY146" s="2076">
        <f t="shared" si="535"/>
      </c>
      <c r="DZ146" s="2076">
        <f t="shared" si="535"/>
      </c>
      <c r="EA146" s="2076">
        <f t="shared" si="535"/>
      </c>
      <c r="EB146" s="2076">
        <f t="shared" si="535"/>
      </c>
      <c r="EC146" s="2741">
        <f t="shared" si="535"/>
      </c>
      <c r="ED146" s="2076">
        <f t="shared" si="535"/>
      </c>
      <c r="EE146" s="2076">
        <f t="shared" si="535"/>
      </c>
      <c r="EF146" s="2076">
        <f t="shared" si="535"/>
      </c>
      <c r="EG146" s="2076">
        <f t="shared" si="535"/>
      </c>
      <c r="EH146" s="2741">
        <f t="shared" si="535"/>
      </c>
      <c r="EI146" s="2076">
        <f t="shared" si="535"/>
      </c>
      <c r="EJ146" s="2076">
        <f>+EJ140</f>
      </c>
      <c r="EK146" s="2076">
        <f t="shared" si="535"/>
      </c>
      <c r="EL146" s="2076">
        <f>+EL140</f>
      </c>
      <c r="EM146" s="2544">
        <f>+EM140</f>
      </c>
      <c r="EN146" s="2546">
        <f>+EN140</f>
      </c>
      <c r="EO146" s="2700">
        <f>+EO140</f>
      </c>
      <c r="EP146" s="3200">
        <f>+EP140</f>
      </c>
      <c r="EQ146" s="2437">
        <f t="shared" si="535"/>
      </c>
      <c r="ER146" s="2160">
        <f t="shared" si="535"/>
      </c>
      <c r="ES146" s="2546">
        <f>+ES140</f>
      </c>
      <c r="ET146" s="3200">
        <f>+ET140</f>
      </c>
      <c r="EU146" s="3200">
        <f>+EU140</f>
      </c>
      <c r="EV146" s="2437">
        <f t="shared" ref="EV146:EW146" si="536">+EV140</f>
      </c>
      <c r="EW146" s="2160">
        <f t="shared" si="536"/>
      </c>
      <c r="EX146" s="2436">
        <f>+EX140</f>
      </c>
      <c r="EY146" s="3200">
        <f>+EY140</f>
      </c>
      <c r="EZ146" s="2436">
        <f>+EZ140</f>
      </c>
      <c r="FA146" s="2437">
        <f>+FA140</f>
      </c>
      <c r="FB146" s="3580">
        <f t="shared" ref="FB146" si="537">+FB140</f>
      </c>
      <c r="FC146" s="2077">
        <f>+FC140</f>
      </c>
      <c r="FD146" s="2077">
        <f>+FD140</f>
      </c>
      <c r="FE146" s="2077">
        <f>+FE140</f>
      </c>
      <c r="FF146" s="2077">
        <f>+FF140</f>
      </c>
      <c r="FG146" s="2077">
        <f>+FG140</f>
      </c>
    </row>
    <row r="147" spans="1:163" outlineLevel="1">
      <c r="A147" s="1"/>
      <c r="B147" s="92" t="s">
        <v>476</v>
      </c>
      <c r="C147" s="86"/>
      <c r="D147" s="86"/>
      <c r="E147" s="86"/>
      <c r="F147" s="86"/>
      <c r="G147" s="86"/>
      <c r="H147" s="86"/>
      <c r="I147" s="86"/>
      <c r="J147" s="86"/>
      <c r="K147" s="86"/>
      <c r="L147" s="86"/>
      <c r="M147" s="86"/>
      <c r="N147" s="95"/>
      <c r="O147" s="103"/>
      <c r="P147" s="103"/>
      <c r="Q147" s="103"/>
      <c r="R147" s="103"/>
      <c r="S147" s="103"/>
      <c r="T147" s="103"/>
      <c r="U147" s="103"/>
      <c r="V147" s="103"/>
      <c r="W147" s="103"/>
      <c r="X147" s="103"/>
      <c r="Y147" s="103"/>
      <c r="Z147" s="103"/>
      <c r="AA147" s="103"/>
      <c r="AB147" s="10">
        <f t="shared" ref="AB147:CF147" si="538">+AB150-AB149-AB146</f>
      </c>
      <c r="AC147" s="10">
        <f t="shared" si="538"/>
      </c>
      <c r="AD147" s="10">
        <f t="shared" si="538"/>
      </c>
      <c r="AE147" s="10">
        <f t="shared" si="538"/>
      </c>
      <c r="AF147" s="10">
        <f t="shared" si="538"/>
      </c>
      <c r="AG147" s="10">
        <f t="shared" si="538"/>
      </c>
      <c r="AH147" s="10">
        <f t="shared" si="538"/>
      </c>
      <c r="AI147" s="10">
        <f t="shared" si="538"/>
      </c>
      <c r="AJ147" s="10">
        <f t="shared" si="538"/>
      </c>
      <c r="AK147" s="10">
        <f t="shared" si="538"/>
      </c>
      <c r="AL147" s="10">
        <f t="shared" si="538"/>
      </c>
      <c r="AM147" s="10">
        <f t="shared" si="538"/>
      </c>
      <c r="AN147" s="10">
        <f t="shared" si="538"/>
      </c>
      <c r="AO147" s="10">
        <f t="shared" si="538"/>
      </c>
      <c r="AP147" s="10">
        <f t="shared" si="538"/>
      </c>
      <c r="AQ147" s="10">
        <f t="shared" si="538"/>
      </c>
      <c r="AR147" s="10">
        <f t="shared" si="538"/>
      </c>
      <c r="AS147" s="10">
        <f t="shared" si="538"/>
      </c>
      <c r="AT147" s="10">
        <f t="shared" si="538"/>
      </c>
      <c r="AU147" s="10">
        <f t="shared" si="538"/>
      </c>
      <c r="AV147" s="10">
        <f t="shared" si="538"/>
      </c>
      <c r="AW147" s="10">
        <f t="shared" si="538"/>
      </c>
      <c r="AX147" s="10">
        <f t="shared" si="538"/>
      </c>
      <c r="AY147" s="10">
        <f t="shared" si="538"/>
      </c>
      <c r="AZ147" s="10">
        <f t="shared" si="538"/>
      </c>
      <c r="BA147" s="10">
        <f t="shared" si="538"/>
      </c>
      <c r="BB147" s="10">
        <f t="shared" si="538"/>
      </c>
      <c r="BC147" s="10">
        <f t="shared" si="538"/>
      </c>
      <c r="BD147" s="10">
        <f t="shared" si="538"/>
      </c>
      <c r="BE147" s="10">
        <f t="shared" si="538"/>
      </c>
      <c r="BF147" s="10">
        <f t="shared" si="538"/>
      </c>
      <c r="BG147" s="10">
        <f t="shared" si="538"/>
      </c>
      <c r="BH147" s="10">
        <f t="shared" si="538"/>
      </c>
      <c r="BI147" s="10">
        <f t="shared" si="538"/>
      </c>
      <c r="BJ147" s="10">
        <f t="shared" si="538"/>
      </c>
      <c r="BK147" s="10">
        <f t="shared" si="538"/>
      </c>
      <c r="BL147" s="10">
        <f t="shared" si="538"/>
      </c>
      <c r="BM147" s="10">
        <f t="shared" si="538"/>
      </c>
      <c r="BN147" s="10">
        <f t="shared" si="538"/>
      </c>
      <c r="BO147" s="10">
        <f t="shared" si="538"/>
      </c>
      <c r="BP147" s="10">
        <f t="shared" si="538"/>
      </c>
      <c r="BQ147" s="10">
        <f t="shared" si="538"/>
      </c>
      <c r="BR147" s="10">
        <f t="shared" si="538"/>
      </c>
      <c r="BS147" s="10">
        <f t="shared" si="538"/>
      </c>
      <c r="BT147" s="10">
        <f t="shared" si="538"/>
      </c>
      <c r="BU147" s="67">
        <f t="shared" si="538"/>
      </c>
      <c r="BV147" s="10">
        <f t="shared" si="538"/>
      </c>
      <c r="BW147" s="10">
        <f t="shared" si="538"/>
      </c>
      <c r="BX147" s="10">
        <f t="shared" si="538"/>
      </c>
      <c r="BY147" s="10">
        <f t="shared" si="538"/>
      </c>
      <c r="BZ147" s="67">
        <f t="shared" si="538"/>
      </c>
      <c r="CA147" s="10">
        <f t="shared" si="538"/>
      </c>
      <c r="CB147" s="10">
        <f t="shared" si="538"/>
      </c>
      <c r="CC147" s="10">
        <f t="shared" si="538"/>
      </c>
      <c r="CD147" s="10">
        <f t="shared" si="538"/>
      </c>
      <c r="CE147" s="67">
        <f>+CE150-CE149-CE146</f>
      </c>
      <c r="CF147" s="10">
        <f t="shared" si="538"/>
      </c>
      <c r="CG147" s="10">
        <f t="shared" ref="CG147:DP147" si="539">+CG150-CG149-CG146</f>
      </c>
      <c r="CH147" s="10">
        <f t="shared" si="539"/>
      </c>
      <c r="CI147" s="10">
        <f>+CI150-CI149-CI146</f>
      </c>
      <c r="CJ147" s="67">
        <f t="shared" si="539"/>
      </c>
      <c r="CK147" s="10">
        <f t="shared" si="539"/>
      </c>
      <c r="CL147" s="10">
        <f t="shared" si="539"/>
      </c>
      <c r="CM147" s="10">
        <f t="shared" si="539"/>
      </c>
      <c r="CN147" s="10">
        <f t="shared" si="539"/>
      </c>
      <c r="CO147" s="67">
        <f t="shared" si="539"/>
      </c>
      <c r="CP147" s="10">
        <f t="shared" si="539"/>
      </c>
      <c r="CQ147" s="10">
        <f t="shared" si="539"/>
      </c>
      <c r="CR147" s="10">
        <f t="shared" si="539"/>
      </c>
      <c r="CS147" s="10">
        <f t="shared" si="539"/>
      </c>
      <c r="CT147" s="67">
        <f t="shared" si="539"/>
      </c>
      <c r="CU147" s="10">
        <f t="shared" si="539"/>
      </c>
      <c r="CV147" s="10">
        <f t="shared" si="539"/>
      </c>
      <c r="CW147" s="10">
        <f t="shared" si="539"/>
      </c>
      <c r="CX147" s="10">
        <f>+CX150-CX149-CX146</f>
      </c>
      <c r="CY147" s="67">
        <f>+CY150-CY149-CY146</f>
      </c>
      <c r="CZ147" s="10">
        <f t="shared" si="539"/>
      </c>
      <c r="DA147" s="10">
        <f t="shared" si="539"/>
      </c>
      <c r="DB147" s="10">
        <f t="shared" ref="DB147:DM147" si="540">+DB150-DB149-DB146</f>
      </c>
      <c r="DC147" s="10">
        <f t="shared" si="540"/>
      </c>
      <c r="DD147" s="67">
        <f t="shared" si="540"/>
      </c>
      <c r="DE147" s="10">
        <f t="shared" si="540"/>
      </c>
      <c r="DF147" s="10">
        <f t="shared" si="540"/>
      </c>
      <c r="DG147" s="10">
        <f t="shared" si="540"/>
      </c>
      <c r="DH147" s="10">
        <f t="shared" si="540"/>
      </c>
      <c r="DI147" s="67">
        <f t="shared" si="540"/>
      </c>
      <c r="DJ147" s="10">
        <f t="shared" si="540"/>
      </c>
      <c r="DK147" s="10">
        <f t="shared" si="540"/>
      </c>
      <c r="DL147" s="10">
        <f t="shared" si="540"/>
      </c>
      <c r="DM147" s="948">
        <f t="shared" si="540"/>
      </c>
      <c r="DN147" s="1111">
        <f t="shared" si="539"/>
      </c>
      <c r="DO147" s="948">
        <f t="shared" si="539"/>
      </c>
      <c r="DP147" s="948">
        <f t="shared" si="539"/>
      </c>
      <c r="DQ147" s="948">
        <f t="shared" ref="DQ147:ER147" si="541">+DQ150-DQ149-DQ146</f>
      </c>
      <c r="DR147" s="948">
        <f t="shared" si="541"/>
      </c>
      <c r="DS147" s="1111">
        <f t="shared" si="541"/>
      </c>
      <c r="DT147" s="948">
        <f t="shared" si="541"/>
      </c>
      <c r="DU147" s="948">
        <f t="shared" si="541"/>
      </c>
      <c r="DV147" s="948">
        <f t="shared" si="541"/>
      </c>
      <c r="DW147" s="948">
        <f t="shared" si="541"/>
      </c>
      <c r="DX147" s="1312">
        <f t="shared" si="541"/>
      </c>
      <c r="DY147" s="1284">
        <f t="shared" si="541"/>
      </c>
      <c r="DZ147" s="1284">
        <f t="shared" si="541"/>
      </c>
      <c r="EA147" s="1284">
        <f t="shared" si="541"/>
      </c>
      <c r="EB147" s="1284">
        <f t="shared" si="541"/>
      </c>
      <c r="EC147" s="2060">
        <f t="shared" si="541"/>
      </c>
      <c r="ED147" s="1284">
        <f t="shared" si="541"/>
      </c>
      <c r="EE147" s="1284">
        <f t="shared" si="541"/>
      </c>
      <c r="EF147" s="1284">
        <f t="shared" si="541"/>
      </c>
      <c r="EG147" s="1284">
        <f t="shared" si="541"/>
      </c>
      <c r="EH147" s="2060">
        <f t="shared" si="541"/>
      </c>
      <c r="EI147" s="1284">
        <f t="shared" si="541"/>
      </c>
      <c r="EJ147" s="1284">
        <f>+EJ150-EJ149-EJ146</f>
      </c>
      <c r="EK147" s="1284">
        <f t="shared" si="541"/>
      </c>
      <c r="EL147" s="1284">
        <f>+EL150-EL149-EL146</f>
      </c>
      <c r="EM147" s="2528">
        <f>+EM150-EM149-EM146</f>
      </c>
      <c r="EN147" s="2534">
        <f>+EN150-EN149-EN146</f>
      </c>
      <c r="EO147" s="1284">
        <f>+EO150-EO149-EO146</f>
      </c>
      <c r="EP147" s="1284">
        <f>+EP150-EP149-EP146</f>
      </c>
      <c r="EQ147" s="1311">
        <f t="shared" si="541"/>
      </c>
      <c r="ER147" s="1313">
        <f t="shared" si="541"/>
      </c>
      <c r="ES147" s="2534">
        <f>+ES150-ES149-ES146</f>
      </c>
      <c r="ET147" s="1284">
        <f>+ET150-ET149-ET146</f>
      </c>
      <c r="EU147" s="1284">
        <f>+EU150-EU149-EU146</f>
      </c>
      <c r="EV147" s="1311">
        <f t="shared" ref="EV147:EW147" si="542">+EV150-EV149-EV146</f>
      </c>
      <c r="EW147" s="1313">
        <f t="shared" si="542"/>
      </c>
      <c r="EX147" s="1284">
        <f>+EX150-EX149-EX146</f>
      </c>
      <c r="EY147" s="1284">
        <f>+EY150-EY149-EY146</f>
      </c>
      <c r="EZ147" s="1284">
        <f>+EZ150-EZ149-EZ146</f>
      </c>
      <c r="FA147" s="1311">
        <f>+FA150-FA149-FA146</f>
      </c>
      <c r="FB147" s="1313">
        <f t="shared" ref="FB147" si="543">+FB150-FB149-FB146</f>
      </c>
      <c r="FC147" s="1313">
        <f>+FC150-FC149-FC146</f>
      </c>
      <c r="FD147" s="1313">
        <f>+FD150-FD149-FD146</f>
      </c>
      <c r="FE147" s="1313">
        <f>+FE150-FE149-FE146</f>
      </c>
      <c r="FF147" s="1313">
        <f>+FF150-FF149-FF146</f>
      </c>
      <c r="FG147" s="1313">
        <f>+FG150-FG149-FG146</f>
      </c>
    </row>
    <row r="148" spans="1:163" outlineLevel="1">
      <c r="A148" s="1"/>
      <c r="B148" s="85" t="s">
        <v>477</v>
      </c>
      <c r="C148" s="86"/>
      <c r="D148" s="86"/>
      <c r="E148" s="86"/>
      <c r="F148" s="86"/>
      <c r="G148" s="86"/>
      <c r="H148" s="86"/>
      <c r="I148" s="86"/>
      <c r="J148" s="86"/>
      <c r="K148" s="86"/>
      <c r="L148" s="86"/>
      <c r="M148" s="86"/>
      <c r="N148" s="95"/>
      <c r="O148" s="103"/>
      <c r="P148" s="103"/>
      <c r="Q148" s="103"/>
      <c r="R148" s="103"/>
      <c r="S148" s="103"/>
      <c r="T148" s="103"/>
      <c r="U148" s="103"/>
      <c r="V148" s="103"/>
      <c r="W148" s="103"/>
      <c r="X148" s="103"/>
      <c r="Y148" s="103"/>
      <c r="Z148" s="103"/>
      <c r="AA148" s="103"/>
      <c r="AB148" s="10">
        <f t="shared" ref="AB148:CF148" si="544">+AB146+AB147</f>
      </c>
      <c r="AC148" s="10">
        <f t="shared" si="544"/>
      </c>
      <c r="AD148" s="10">
        <f t="shared" si="544"/>
      </c>
      <c r="AE148" s="10">
        <f t="shared" si="544"/>
      </c>
      <c r="AF148" s="10">
        <f t="shared" si="544"/>
      </c>
      <c r="AG148" s="10">
        <f t="shared" si="544"/>
      </c>
      <c r="AH148" s="10">
        <f t="shared" si="544"/>
      </c>
      <c r="AI148" s="10">
        <f t="shared" si="544"/>
      </c>
      <c r="AJ148" s="10">
        <f t="shared" si="544"/>
      </c>
      <c r="AK148" s="10">
        <f t="shared" si="544"/>
      </c>
      <c r="AL148" s="10">
        <f t="shared" si="544"/>
      </c>
      <c r="AM148" s="10">
        <f t="shared" si="544"/>
      </c>
      <c r="AN148" s="10">
        <f t="shared" si="544"/>
      </c>
      <c r="AO148" s="10">
        <f t="shared" si="544"/>
      </c>
      <c r="AP148" s="10">
        <f t="shared" si="544"/>
      </c>
      <c r="AQ148" s="10">
        <f t="shared" si="544"/>
      </c>
      <c r="AR148" s="10">
        <f t="shared" si="544"/>
      </c>
      <c r="AS148" s="10">
        <f t="shared" si="544"/>
      </c>
      <c r="AT148" s="10">
        <f t="shared" si="544"/>
      </c>
      <c r="AU148" s="10">
        <f t="shared" si="544"/>
      </c>
      <c r="AV148" s="10">
        <f t="shared" si="544"/>
      </c>
      <c r="AW148" s="10">
        <f t="shared" si="544"/>
      </c>
      <c r="AX148" s="10">
        <f t="shared" si="544"/>
      </c>
      <c r="AY148" s="10">
        <f t="shared" si="544"/>
      </c>
      <c r="AZ148" s="10">
        <f t="shared" si="544"/>
      </c>
      <c r="BA148" s="10">
        <f t="shared" si="544"/>
      </c>
      <c r="BB148" s="10">
        <f t="shared" si="544"/>
      </c>
      <c r="BC148" s="10">
        <f t="shared" si="544"/>
      </c>
      <c r="BD148" s="10">
        <f t="shared" si="544"/>
      </c>
      <c r="BE148" s="10">
        <f t="shared" si="544"/>
      </c>
      <c r="BF148" s="10">
        <f t="shared" si="544"/>
      </c>
      <c r="BG148" s="10">
        <f t="shared" si="544"/>
      </c>
      <c r="BH148" s="10">
        <f t="shared" si="544"/>
      </c>
      <c r="BI148" s="10">
        <f t="shared" si="544"/>
      </c>
      <c r="BJ148" s="10">
        <f t="shared" si="544"/>
      </c>
      <c r="BK148" s="10">
        <f t="shared" si="544"/>
      </c>
      <c r="BL148" s="10">
        <f t="shared" si="544"/>
      </c>
      <c r="BM148" s="10">
        <f t="shared" si="544"/>
      </c>
      <c r="BN148" s="10">
        <f t="shared" si="544"/>
      </c>
      <c r="BO148" s="10">
        <f t="shared" si="544"/>
      </c>
      <c r="BP148" s="10">
        <f t="shared" si="544"/>
      </c>
      <c r="BQ148" s="10">
        <f t="shared" si="544"/>
      </c>
      <c r="BR148" s="10">
        <f t="shared" si="544"/>
      </c>
      <c r="BS148" s="10">
        <f t="shared" si="544"/>
      </c>
      <c r="BT148" s="10">
        <f t="shared" si="544"/>
      </c>
      <c r="BU148" s="67">
        <f t="shared" si="544"/>
      </c>
      <c r="BV148" s="10">
        <f t="shared" si="544"/>
      </c>
      <c r="BW148" s="10">
        <f t="shared" si="544"/>
      </c>
      <c r="BX148" s="10">
        <f t="shared" si="544"/>
      </c>
      <c r="BY148" s="10">
        <f t="shared" si="544"/>
      </c>
      <c r="BZ148" s="67">
        <f t="shared" si="544"/>
      </c>
      <c r="CA148" s="10">
        <f t="shared" si="544"/>
      </c>
      <c r="CB148" s="10">
        <f t="shared" si="544"/>
      </c>
      <c r="CC148" s="10">
        <f t="shared" si="544"/>
      </c>
      <c r="CD148" s="10">
        <f t="shared" si="544"/>
      </c>
      <c r="CE148" s="67">
        <f>+CE146+CE147</f>
      </c>
      <c r="CF148" s="10">
        <f t="shared" si="544"/>
      </c>
      <c r="CG148" s="10">
        <f t="shared" ref="CG148:DP148" si="545">+CG146+CG147</f>
      </c>
      <c r="CH148" s="10">
        <f>+CH146+CH147</f>
      </c>
      <c r="CI148" s="10">
        <f>+CI146+CI147</f>
      </c>
      <c r="CJ148" s="67">
        <f t="shared" si="545"/>
      </c>
      <c r="CK148" s="10">
        <f t="shared" si="545"/>
      </c>
      <c r="CL148" s="10">
        <f t="shared" si="545"/>
      </c>
      <c r="CM148" s="10">
        <f t="shared" si="545"/>
      </c>
      <c r="CN148" s="10">
        <f t="shared" si="545"/>
      </c>
      <c r="CO148" s="67">
        <f t="shared" si="545"/>
      </c>
      <c r="CP148" s="10">
        <f t="shared" si="545"/>
      </c>
      <c r="CQ148" s="10">
        <f t="shared" si="545"/>
      </c>
      <c r="CR148" s="10">
        <f t="shared" si="545"/>
      </c>
      <c r="CS148" s="10">
        <f t="shared" si="545"/>
      </c>
      <c r="CT148" s="67">
        <f t="shared" si="545"/>
      </c>
      <c r="CU148" s="10">
        <f t="shared" si="545"/>
      </c>
      <c r="CV148" s="10">
        <f t="shared" si="545"/>
      </c>
      <c r="CW148" s="10">
        <f t="shared" si="545"/>
      </c>
      <c r="CX148" s="10">
        <f>+CX146+CX147</f>
      </c>
      <c r="CY148" s="67">
        <f>+CY146+CY147</f>
      </c>
      <c r="CZ148" s="10">
        <f t="shared" si="545"/>
      </c>
      <c r="DA148" s="10">
        <f t="shared" si="545"/>
      </c>
      <c r="DB148" s="10">
        <f t="shared" ref="DB148:DM148" si="546">+DB146+DB147</f>
      </c>
      <c r="DC148" s="10">
        <f t="shared" si="546"/>
      </c>
      <c r="DD148" s="67">
        <f t="shared" si="546"/>
      </c>
      <c r="DE148" s="10">
        <f t="shared" si="546"/>
      </c>
      <c r="DF148" s="10">
        <f t="shared" si="546"/>
      </c>
      <c r="DG148" s="10">
        <f t="shared" si="546"/>
      </c>
      <c r="DH148" s="10">
        <f t="shared" si="546"/>
      </c>
      <c r="DI148" s="67">
        <f t="shared" si="546"/>
      </c>
      <c r="DJ148" s="10">
        <f t="shared" si="546"/>
      </c>
      <c r="DK148" s="10">
        <f t="shared" si="546"/>
      </c>
      <c r="DL148" s="10">
        <f t="shared" si="546"/>
      </c>
      <c r="DM148" s="948">
        <f t="shared" si="546"/>
      </c>
      <c r="DN148" s="1111">
        <f t="shared" si="545"/>
      </c>
      <c r="DO148" s="948">
        <f t="shared" si="545"/>
      </c>
      <c r="DP148" s="948">
        <f t="shared" si="545"/>
      </c>
      <c r="DQ148" s="948">
        <f t="shared" ref="DQ148:ER148" si="547">+DQ146+DQ147</f>
      </c>
      <c r="DR148" s="948">
        <f t="shared" si="547"/>
      </c>
      <c r="DS148" s="1111">
        <f t="shared" si="547"/>
      </c>
      <c r="DT148" s="948">
        <f t="shared" si="547"/>
      </c>
      <c r="DU148" s="948">
        <f t="shared" si="547"/>
      </c>
      <c r="DV148" s="948">
        <f t="shared" si="547"/>
      </c>
      <c r="DW148" s="948">
        <f t="shared" si="547"/>
      </c>
      <c r="DX148" s="1312">
        <f t="shared" si="547"/>
      </c>
      <c r="DY148" s="1284">
        <f t="shared" si="547"/>
      </c>
      <c r="DZ148" s="1284">
        <f t="shared" si="547"/>
      </c>
      <c r="EA148" s="1284">
        <f t="shared" si="547"/>
      </c>
      <c r="EB148" s="1284">
        <f t="shared" si="547"/>
      </c>
      <c r="EC148" s="2060">
        <f t="shared" si="547"/>
      </c>
      <c r="ED148" s="1284">
        <f t="shared" si="547"/>
      </c>
      <c r="EE148" s="1284">
        <f t="shared" si="547"/>
      </c>
      <c r="EF148" s="1284">
        <f t="shared" si="547"/>
      </c>
      <c r="EG148" s="1284">
        <f t="shared" si="547"/>
      </c>
      <c r="EH148" s="2060">
        <f t="shared" si="547"/>
      </c>
      <c r="EI148" s="1284">
        <f t="shared" si="547"/>
      </c>
      <c r="EJ148" s="1284">
        <f>+EJ146+EJ147</f>
      </c>
      <c r="EK148" s="1284">
        <f t="shared" si="547"/>
      </c>
      <c r="EL148" s="1284">
        <f>+EL146+EL147</f>
      </c>
      <c r="EM148" s="2528">
        <f>+EM146+EM147</f>
      </c>
      <c r="EN148" s="2534">
        <f>+EN146+EN147</f>
      </c>
      <c r="EO148" s="1284">
        <f>+EO146+EO147</f>
      </c>
      <c r="EP148" s="1284">
        <f>+EP146+EP147</f>
      </c>
      <c r="EQ148" s="1311">
        <f t="shared" si="547"/>
      </c>
      <c r="ER148" s="1313">
        <f t="shared" si="547"/>
      </c>
      <c r="ES148" s="2534">
        <f>+ES146+ES147</f>
      </c>
      <c r="ET148" s="1284">
        <f>+ET146+ET147</f>
      </c>
      <c r="EU148" s="1284">
        <f>+EU146+EU147</f>
      </c>
      <c r="EV148" s="1311">
        <f t="shared" ref="EV148:EW148" si="548">+EV146+EV147</f>
      </c>
      <c r="EW148" s="1313">
        <f t="shared" si="548"/>
      </c>
      <c r="EX148" s="1284">
        <f>+EX146+EX147</f>
      </c>
      <c r="EY148" s="1284">
        <f>+EY146+EY147</f>
      </c>
      <c r="EZ148" s="1284">
        <f>+EZ146+EZ147</f>
      </c>
      <c r="FA148" s="1311">
        <f>+FA146+FA147</f>
      </c>
      <c r="FB148" s="1313">
        <f t="shared" ref="FB148" si="549">+FB146+FB147</f>
      </c>
      <c r="FC148" s="1313">
        <f>+FC146+FC147</f>
      </c>
      <c r="FD148" s="1313">
        <f>+FD146+FD147</f>
      </c>
      <c r="FE148" s="1313">
        <f>+FE146+FE147</f>
      </c>
      <c r="FF148" s="1313">
        <f>+FF146+FF147</f>
      </c>
      <c r="FG148" s="1313">
        <f>+FG146+FG147</f>
      </c>
    </row>
    <row r="149" spans="1:163" outlineLevel="1">
      <c r="A149" s="1"/>
      <c r="B149" s="85" t="s">
        <v>49</v>
      </c>
      <c r="C149" s="86"/>
      <c r="D149" s="86"/>
      <c r="E149" s="86"/>
      <c r="F149" s="86"/>
      <c r="G149" s="86"/>
      <c r="H149" s="86"/>
      <c r="I149" s="86"/>
      <c r="J149" s="86"/>
      <c r="K149" s="86"/>
      <c r="L149" s="86"/>
      <c r="M149" s="86"/>
      <c r="N149" s="95"/>
      <c r="O149" s="103"/>
      <c r="P149" s="103"/>
      <c r="Q149" s="103"/>
      <c r="R149" s="103"/>
      <c r="S149" s="103"/>
      <c r="T149" s="103"/>
      <c r="U149" s="103"/>
      <c r="V149" s="103"/>
      <c r="W149" s="103"/>
      <c r="X149" s="103"/>
      <c r="Y149" s="103"/>
      <c r="Z149" s="103"/>
      <c r="AA149" s="103"/>
      <c r="AB149" s="10">
        <f t="shared" ref="AB149:CF149" si="550">+AB141</f>
      </c>
      <c r="AC149" s="10">
        <f t="shared" si="550"/>
      </c>
      <c r="AD149" s="10">
        <f t="shared" si="550"/>
      </c>
      <c r="AE149" s="10">
        <f t="shared" si="550"/>
      </c>
      <c r="AF149" s="10">
        <f t="shared" si="550"/>
      </c>
      <c r="AG149" s="10">
        <f t="shared" si="550"/>
      </c>
      <c r="AH149" s="10">
        <f t="shared" si="550"/>
      </c>
      <c r="AI149" s="10">
        <f t="shared" si="550"/>
      </c>
      <c r="AJ149" s="10">
        <f t="shared" si="550"/>
      </c>
      <c r="AK149" s="10">
        <f t="shared" si="550"/>
      </c>
      <c r="AL149" s="10">
        <f t="shared" si="550"/>
      </c>
      <c r="AM149" s="10">
        <f t="shared" si="550"/>
      </c>
      <c r="AN149" s="10">
        <f t="shared" si="550"/>
      </c>
      <c r="AO149" s="10">
        <f t="shared" si="550"/>
      </c>
      <c r="AP149" s="10">
        <f t="shared" si="550"/>
      </c>
      <c r="AQ149" s="10">
        <f t="shared" si="550"/>
      </c>
      <c r="AR149" s="10">
        <f t="shared" si="550"/>
      </c>
      <c r="AS149" s="10">
        <f t="shared" si="550"/>
      </c>
      <c r="AT149" s="10">
        <f t="shared" si="550"/>
      </c>
      <c r="AU149" s="10">
        <f t="shared" si="550"/>
      </c>
      <c r="AV149" s="10">
        <f t="shared" si="550"/>
      </c>
      <c r="AW149" s="10">
        <f t="shared" si="550"/>
      </c>
      <c r="AX149" s="10">
        <f t="shared" si="550"/>
      </c>
      <c r="AY149" s="10">
        <f t="shared" si="550"/>
      </c>
      <c r="AZ149" s="10">
        <f t="shared" si="550"/>
      </c>
      <c r="BA149" s="10">
        <f t="shared" si="550"/>
      </c>
      <c r="BB149" s="10">
        <f t="shared" si="550"/>
      </c>
      <c r="BC149" s="10">
        <f t="shared" si="550"/>
      </c>
      <c r="BD149" s="10">
        <f t="shared" si="550"/>
      </c>
      <c r="BE149" s="10">
        <f t="shared" si="550"/>
      </c>
      <c r="BF149" s="10">
        <f t="shared" si="550"/>
      </c>
      <c r="BG149" s="10">
        <f t="shared" si="550"/>
      </c>
      <c r="BH149" s="10">
        <f t="shared" si="550"/>
      </c>
      <c r="BI149" s="10">
        <f t="shared" si="550"/>
      </c>
      <c r="BJ149" s="10">
        <f t="shared" si="550"/>
      </c>
      <c r="BK149" s="10">
        <f t="shared" si="550"/>
      </c>
      <c r="BL149" s="10">
        <f t="shared" si="550"/>
      </c>
      <c r="BM149" s="10">
        <f t="shared" si="550"/>
      </c>
      <c r="BN149" s="10">
        <f t="shared" si="550"/>
      </c>
      <c r="BO149" s="10">
        <f t="shared" si="550"/>
      </c>
      <c r="BP149" s="10">
        <f t="shared" si="550"/>
      </c>
      <c r="BQ149" s="10">
        <f t="shared" si="550"/>
      </c>
      <c r="BR149" s="10">
        <f t="shared" si="550"/>
      </c>
      <c r="BS149" s="10">
        <f t="shared" si="550"/>
      </c>
      <c r="BT149" s="10">
        <f t="shared" si="550"/>
      </c>
      <c r="BU149" s="67">
        <f t="shared" si="550"/>
      </c>
      <c r="BV149" s="10">
        <f t="shared" si="550"/>
      </c>
      <c r="BW149" s="10">
        <f t="shared" si="550"/>
      </c>
      <c r="BX149" s="10">
        <f t="shared" si="550"/>
      </c>
      <c r="BY149" s="10">
        <f t="shared" si="550"/>
      </c>
      <c r="BZ149" s="67">
        <f t="shared" si="550"/>
      </c>
      <c r="CA149" s="10">
        <f t="shared" si="550"/>
      </c>
      <c r="CB149" s="10">
        <f t="shared" si="550"/>
      </c>
      <c r="CC149" s="10">
        <f t="shared" si="550"/>
      </c>
      <c r="CD149" s="10">
        <f t="shared" si="550"/>
      </c>
      <c r="CE149" s="67">
        <f>+CE141</f>
      </c>
      <c r="CF149" s="10">
        <f t="shared" si="550"/>
      </c>
      <c r="CG149" s="10">
        <f t="shared" ref="CG149:DP149" si="551">+CG141</f>
      </c>
      <c r="CH149" s="10">
        <f>+CH141</f>
      </c>
      <c r="CI149" s="10">
        <f>+CI141</f>
      </c>
      <c r="CJ149" s="67">
        <f t="shared" si="551"/>
      </c>
      <c r="CK149" s="10">
        <f t="shared" si="551"/>
      </c>
      <c r="CL149" s="10">
        <f t="shared" si="551"/>
      </c>
      <c r="CM149" s="10">
        <f t="shared" si="551"/>
      </c>
      <c r="CN149" s="10">
        <f t="shared" si="551"/>
      </c>
      <c r="CO149" s="67">
        <f t="shared" si="551"/>
      </c>
      <c r="CP149" s="10">
        <f t="shared" si="551"/>
      </c>
      <c r="CQ149" s="10">
        <f t="shared" si="551"/>
      </c>
      <c r="CR149" s="10">
        <f t="shared" si="551"/>
      </c>
      <c r="CS149" s="10">
        <f t="shared" si="551"/>
      </c>
      <c r="CT149" s="67">
        <f t="shared" si="551"/>
      </c>
      <c r="CU149" s="10">
        <f t="shared" si="551"/>
      </c>
      <c r="CV149" s="10">
        <f t="shared" si="551"/>
      </c>
      <c r="CW149" s="10">
        <f t="shared" si="551"/>
      </c>
      <c r="CX149" s="10">
        <f>+CX141</f>
      </c>
      <c r="CY149" s="67">
        <f>+CY141</f>
      </c>
      <c r="CZ149" s="10">
        <f t="shared" si="551"/>
      </c>
      <c r="DA149" s="10">
        <f t="shared" si="551"/>
      </c>
      <c r="DB149" s="10">
        <f t="shared" ref="DB149:DM149" si="552">+DB141</f>
      </c>
      <c r="DC149" s="10">
        <f t="shared" si="552"/>
      </c>
      <c r="DD149" s="67">
        <f t="shared" si="552"/>
      </c>
      <c r="DE149" s="10">
        <f t="shared" si="552"/>
      </c>
      <c r="DF149" s="10">
        <f t="shared" si="552"/>
      </c>
      <c r="DG149" s="10">
        <f t="shared" si="552"/>
      </c>
      <c r="DH149" s="10">
        <f t="shared" si="552"/>
      </c>
      <c r="DI149" s="67">
        <f t="shared" si="552"/>
      </c>
      <c r="DJ149" s="10">
        <f t="shared" si="552"/>
      </c>
      <c r="DK149" s="10">
        <f t="shared" si="552"/>
      </c>
      <c r="DL149" s="10">
        <f t="shared" si="552"/>
      </c>
      <c r="DM149" s="948">
        <f t="shared" si="552"/>
      </c>
      <c r="DN149" s="1111">
        <f t="shared" si="551"/>
      </c>
      <c r="DO149" s="948">
        <f t="shared" si="551"/>
      </c>
      <c r="DP149" s="948">
        <f t="shared" si="551"/>
      </c>
      <c r="DQ149" s="948">
        <f t="shared" ref="DQ149:ER149" si="553">+DQ141</f>
      </c>
      <c r="DR149" s="948">
        <f t="shared" si="553"/>
      </c>
      <c r="DS149" s="1111">
        <f t="shared" si="553"/>
      </c>
      <c r="DT149" s="948">
        <f t="shared" si="553"/>
      </c>
      <c r="DU149" s="948">
        <f t="shared" si="553"/>
      </c>
      <c r="DV149" s="948">
        <f t="shared" si="553"/>
      </c>
      <c r="DW149" s="948">
        <f t="shared" si="553"/>
      </c>
      <c r="DX149" s="1312">
        <f t="shared" si="553"/>
      </c>
      <c r="DY149" s="1284">
        <f t="shared" si="553"/>
      </c>
      <c r="DZ149" s="1284">
        <f t="shared" si="553"/>
      </c>
      <c r="EA149" s="1284">
        <f t="shared" si="553"/>
      </c>
      <c r="EB149" s="1284">
        <f t="shared" si="553"/>
      </c>
      <c r="EC149" s="2060">
        <f t="shared" si="553"/>
      </c>
      <c r="ED149" s="1284">
        <f t="shared" si="553"/>
      </c>
      <c r="EE149" s="1284">
        <f t="shared" si="553"/>
      </c>
      <c r="EF149" s="1284">
        <f t="shared" si="553"/>
      </c>
      <c r="EG149" s="1284">
        <f t="shared" si="553"/>
      </c>
      <c r="EH149" s="2060">
        <f t="shared" si="553"/>
      </c>
      <c r="EI149" s="1284">
        <f t="shared" si="553"/>
      </c>
      <c r="EJ149" s="1284">
        <f>+EJ141</f>
      </c>
      <c r="EK149" s="1284">
        <f t="shared" si="553"/>
      </c>
      <c r="EL149" s="1284">
        <f>+EL141</f>
      </c>
      <c r="EM149" s="2528">
        <f>+EM141</f>
      </c>
      <c r="EN149" s="2534">
        <f>+EN141</f>
      </c>
      <c r="EO149" s="1284">
        <f>+EO141</f>
      </c>
      <c r="EP149" s="1284">
        <f>+EP141</f>
      </c>
      <c r="EQ149" s="1311">
        <f t="shared" si="553"/>
      </c>
      <c r="ER149" s="1313">
        <f t="shared" si="553"/>
      </c>
      <c r="ES149" s="2534">
        <f>+ES141</f>
      </c>
      <c r="ET149" s="1284">
        <f>+ET141</f>
      </c>
      <c r="EU149" s="1284">
        <f>+EU141</f>
      </c>
      <c r="EV149" s="1311">
        <f t="shared" ref="EV149:EW149" si="554">+EV141</f>
      </c>
      <c r="EW149" s="1313">
        <f t="shared" si="554"/>
      </c>
      <c r="EX149" s="1284">
        <f>+EX141</f>
      </c>
      <c r="EY149" s="1284">
        <f>+EY141</f>
      </c>
      <c r="EZ149" s="1284">
        <f>+EZ141</f>
      </c>
      <c r="FA149" s="1311">
        <f>+FA141</f>
      </c>
      <c r="FB149" s="1313">
        <f t="shared" ref="FB149" si="555">+FB141</f>
      </c>
      <c r="FC149" s="1313">
        <f>+FC141</f>
      </c>
      <c r="FD149" s="1313">
        <f>+FD141</f>
      </c>
      <c r="FE149" s="1313">
        <f>+FE141</f>
      </c>
      <c r="FF149" s="1313">
        <f>+FF141</f>
      </c>
      <c r="FG149" s="1313">
        <f>+FG141</f>
      </c>
    </row>
    <row r="150" spans="1:163" outlineLevel="1">
      <c r="A150" s="1"/>
      <c r="B150" s="147" t="s">
        <v>388</v>
      </c>
      <c r="C150" s="382"/>
      <c r="D150" s="382"/>
      <c r="E150" s="382"/>
      <c r="F150" s="382"/>
      <c r="G150" s="382"/>
      <c r="H150" s="382"/>
      <c r="I150" s="382"/>
      <c r="J150" s="382"/>
      <c r="K150" s="382"/>
      <c r="L150" s="382"/>
      <c r="M150" s="382"/>
      <c r="N150" s="383"/>
      <c r="O150" s="384"/>
      <c r="P150" s="384"/>
      <c r="Q150" s="384"/>
      <c r="R150" s="384"/>
      <c r="S150" s="384"/>
      <c r="T150" s="384"/>
      <c r="U150" s="384"/>
      <c r="V150" s="384"/>
      <c r="W150" s="384"/>
      <c r="X150" s="384"/>
      <c r="Y150" s="384"/>
      <c r="Z150" s="384"/>
      <c r="AA150" s="384"/>
      <c r="AB150" s="385">
        <f t="shared" ref="AB150:CF150" si="556">AB139</f>
      </c>
      <c r="AC150" s="385">
        <f t="shared" si="556"/>
      </c>
      <c r="AD150" s="385">
        <f t="shared" si="556"/>
      </c>
      <c r="AE150" s="385">
        <f t="shared" si="556"/>
      </c>
      <c r="AF150" s="385">
        <f t="shared" si="556"/>
      </c>
      <c r="AG150" s="385">
        <f t="shared" si="556"/>
      </c>
      <c r="AH150" s="385">
        <f t="shared" si="556"/>
      </c>
      <c r="AI150" s="385">
        <f t="shared" si="556"/>
      </c>
      <c r="AJ150" s="385">
        <f t="shared" si="556"/>
      </c>
      <c r="AK150" s="385">
        <f t="shared" si="556"/>
      </c>
      <c r="AL150" s="385">
        <f t="shared" si="556"/>
      </c>
      <c r="AM150" s="385">
        <f t="shared" si="556"/>
      </c>
      <c r="AN150" s="385">
        <f t="shared" si="556"/>
      </c>
      <c r="AO150" s="385">
        <f t="shared" si="556"/>
      </c>
      <c r="AP150" s="385">
        <f t="shared" si="556"/>
      </c>
      <c r="AQ150" s="385">
        <f t="shared" si="556"/>
      </c>
      <c r="AR150" s="385">
        <f t="shared" si="556"/>
      </c>
      <c r="AS150" s="385">
        <f t="shared" si="556"/>
      </c>
      <c r="AT150" s="385">
        <f t="shared" si="556"/>
      </c>
      <c r="AU150" s="385">
        <f t="shared" si="556"/>
      </c>
      <c r="AV150" s="385">
        <f t="shared" si="556"/>
      </c>
      <c r="AW150" s="385">
        <f t="shared" si="556"/>
      </c>
      <c r="AX150" s="385">
        <f t="shared" si="556"/>
      </c>
      <c r="AY150" s="385">
        <f t="shared" si="556"/>
      </c>
      <c r="AZ150" s="385">
        <f t="shared" si="556"/>
      </c>
      <c r="BA150" s="385">
        <f t="shared" si="556"/>
      </c>
      <c r="BB150" s="385">
        <f t="shared" si="556"/>
      </c>
      <c r="BC150" s="385">
        <f t="shared" si="556"/>
      </c>
      <c r="BD150" s="385">
        <f t="shared" si="556"/>
      </c>
      <c r="BE150" s="385">
        <f t="shared" si="556"/>
      </c>
      <c r="BF150" s="385">
        <f t="shared" si="556"/>
      </c>
      <c r="BG150" s="385">
        <f t="shared" si="556"/>
      </c>
      <c r="BH150" s="385">
        <f t="shared" si="556"/>
      </c>
      <c r="BI150" s="385">
        <f t="shared" si="556"/>
      </c>
      <c r="BJ150" s="385">
        <f t="shared" si="556"/>
      </c>
      <c r="BK150" s="385">
        <f t="shared" si="556"/>
      </c>
      <c r="BL150" s="385">
        <f t="shared" si="556"/>
      </c>
      <c r="BM150" s="385">
        <f t="shared" si="556"/>
      </c>
      <c r="BN150" s="385">
        <f t="shared" si="556"/>
      </c>
      <c r="BO150" s="385">
        <f t="shared" si="556"/>
      </c>
      <c r="BP150" s="385">
        <f t="shared" si="556"/>
      </c>
      <c r="BQ150" s="385">
        <f t="shared" si="556"/>
      </c>
      <c r="BR150" s="385">
        <f t="shared" si="556"/>
      </c>
      <c r="BS150" s="385">
        <f t="shared" si="556"/>
      </c>
      <c r="BT150" s="385">
        <f t="shared" si="556"/>
      </c>
      <c r="BU150" s="541">
        <f t="shared" si="556"/>
      </c>
      <c r="BV150" s="385">
        <f t="shared" si="556"/>
      </c>
      <c r="BW150" s="385">
        <f t="shared" si="556"/>
      </c>
      <c r="BX150" s="385">
        <f t="shared" si="556"/>
      </c>
      <c r="BY150" s="385">
        <f t="shared" si="556"/>
      </c>
      <c r="BZ150" s="541">
        <f t="shared" si="556"/>
      </c>
      <c r="CA150" s="385">
        <f t="shared" si="556"/>
      </c>
      <c r="CB150" s="385">
        <f t="shared" si="556"/>
      </c>
      <c r="CC150" s="385">
        <f t="shared" si="556"/>
      </c>
      <c r="CD150" s="385">
        <f t="shared" si="556"/>
      </c>
      <c r="CE150" s="541">
        <f>CE139</f>
      </c>
      <c r="CF150" s="385">
        <f t="shared" si="556"/>
      </c>
      <c r="CG150" s="385">
        <f t="shared" ref="CG150:DL150" si="557">CG139</f>
      </c>
      <c r="CH150" s="385">
        <f t="shared" si="557"/>
      </c>
      <c r="CI150" s="385">
        <f t="shared" si="557"/>
      </c>
      <c r="CJ150" s="541">
        <f t="shared" si="557"/>
      </c>
      <c r="CK150" s="385">
        <f t="shared" si="557"/>
      </c>
      <c r="CL150" s="385">
        <f t="shared" si="557"/>
      </c>
      <c r="CM150" s="385">
        <f t="shared" si="557"/>
      </c>
      <c r="CN150" s="385">
        <f t="shared" si="557"/>
      </c>
      <c r="CO150" s="541">
        <f t="shared" si="557"/>
      </c>
      <c r="CP150" s="385">
        <f t="shared" si="557"/>
      </c>
      <c r="CQ150" s="385">
        <f t="shared" si="557"/>
      </c>
      <c r="CR150" s="385">
        <f t="shared" si="557"/>
      </c>
      <c r="CS150" s="385">
        <f t="shared" si="557"/>
      </c>
      <c r="CT150" s="541">
        <f t="shared" si="557"/>
      </c>
      <c r="CU150" s="385">
        <f t="shared" si="557"/>
      </c>
      <c r="CV150" s="385">
        <f t="shared" si="557"/>
      </c>
      <c r="CW150" s="385">
        <f t="shared" si="557"/>
      </c>
      <c r="CX150" s="385">
        <f t="shared" si="557"/>
      </c>
      <c r="CY150" s="541">
        <f t="shared" si="557"/>
      </c>
      <c r="CZ150" s="385">
        <f t="shared" si="557"/>
      </c>
      <c r="DA150" s="385">
        <f t="shared" si="557"/>
      </c>
      <c r="DB150" s="385">
        <f t="shared" si="557"/>
      </c>
      <c r="DC150" s="385">
        <f t="shared" si="557"/>
      </c>
      <c r="DD150" s="541">
        <f t="shared" si="557"/>
      </c>
      <c r="DE150" s="385">
        <f t="shared" si="557"/>
      </c>
      <c r="DF150" s="385">
        <f t="shared" si="557"/>
      </c>
      <c r="DG150" s="385">
        <f t="shared" si="557"/>
      </c>
      <c r="DH150" s="385">
        <f t="shared" si="557"/>
      </c>
      <c r="DI150" s="541">
        <f t="shared" si="557"/>
      </c>
      <c r="DJ150" s="385">
        <f t="shared" si="557"/>
      </c>
      <c r="DK150" s="385">
        <f t="shared" si="557"/>
      </c>
      <c r="DL150" s="385">
        <f t="shared" si="557"/>
      </c>
      <c r="DM150" s="1048">
        <f t="shared" ref="DM150:ER150" si="558">DM139</f>
      </c>
      <c r="DN150" s="1116">
        <f t="shared" si="558"/>
      </c>
      <c r="DO150" s="1276">
        <f t="shared" si="558"/>
      </c>
      <c r="DP150" s="1276">
        <f t="shared" si="558"/>
      </c>
      <c r="DQ150" s="1276">
        <f t="shared" si="558"/>
      </c>
      <c r="DR150" s="1048">
        <f t="shared" si="558"/>
      </c>
      <c r="DS150" s="1116">
        <f t="shared" si="558"/>
      </c>
      <c r="DT150" s="1276">
        <f t="shared" si="558"/>
      </c>
      <c r="DU150" s="1276">
        <f t="shared" si="558"/>
      </c>
      <c r="DV150" s="1276">
        <f t="shared" si="558"/>
      </c>
      <c r="DW150" s="1048">
        <f t="shared" si="558"/>
      </c>
      <c r="DX150" s="2078">
        <f t="shared" si="558"/>
      </c>
      <c r="DY150" s="2079">
        <f t="shared" si="558"/>
      </c>
      <c r="DZ150" s="2079">
        <f t="shared" si="558"/>
      </c>
      <c r="EA150" s="2079">
        <f t="shared" si="558"/>
      </c>
      <c r="EB150" s="2079">
        <f t="shared" si="558"/>
      </c>
      <c r="EC150" s="2742">
        <f t="shared" si="558"/>
      </c>
      <c r="ED150" s="2079">
        <f t="shared" si="558"/>
      </c>
      <c r="EE150" s="2079">
        <f t="shared" si="558"/>
      </c>
      <c r="EF150" s="2079">
        <f t="shared" si="558"/>
      </c>
      <c r="EG150" s="2079">
        <f t="shared" si="558"/>
      </c>
      <c r="EH150" s="2742">
        <f t="shared" si="558"/>
      </c>
      <c r="EI150" s="2079">
        <f t="shared" si="558"/>
      </c>
      <c r="EJ150" s="2079">
        <f>EJ139</f>
      </c>
      <c r="EK150" s="2079">
        <f t="shared" si="558"/>
      </c>
      <c r="EL150" s="2079">
        <f>EL139</f>
      </c>
      <c r="EM150" s="2545">
        <f>EM139</f>
      </c>
      <c r="EN150" s="2547">
        <f>EN139</f>
      </c>
      <c r="EO150" s="2438">
        <f>EO139</f>
      </c>
      <c r="EP150" s="2079">
        <f>EP139</f>
      </c>
      <c r="EQ150" s="2439">
        <f t="shared" si="558"/>
      </c>
      <c r="ER150" s="2161">
        <f t="shared" si="558"/>
      </c>
      <c r="ES150" s="2547">
        <f>ES139</f>
      </c>
      <c r="ET150" s="3500">
        <f>ET139</f>
      </c>
      <c r="EU150" s="2079">
        <f>EU139</f>
      </c>
      <c r="EV150" s="2439">
        <f t="shared" ref="EV150:EW150" si="559">EV139</f>
      </c>
      <c r="EW150" s="2161">
        <f t="shared" si="559"/>
      </c>
      <c r="EX150" s="2438">
        <f>EX139</f>
      </c>
      <c r="EY150" s="3500">
        <f>EY139</f>
      </c>
      <c r="EZ150" s="2438">
        <f>EZ139</f>
      </c>
      <c r="FA150" s="2439">
        <f>FA139</f>
      </c>
      <c r="FB150" s="3593">
        <f t="shared" ref="FB150" si="560">FB139</f>
      </c>
      <c r="FC150" s="2080">
        <f>FC139</f>
      </c>
      <c r="FD150" s="2080">
        <f>FD139</f>
      </c>
      <c r="FE150" s="2080">
        <f>FE139</f>
      </c>
      <c r="FF150" s="2080">
        <f>FF139</f>
      </c>
      <c r="FG150" s="2080">
        <f>FG139</f>
      </c>
    </row>
    <row r="151" spans="1:163" outlineLevel="1">
      <c r="A151" s="1"/>
      <c r="B151" s="86"/>
      <c r="C151" s="86"/>
      <c r="D151" s="86"/>
      <c r="E151" s="86"/>
      <c r="F151" s="86"/>
      <c r="G151" s="86"/>
      <c r="H151" s="86"/>
      <c r="I151" s="86"/>
      <c r="J151" s="86"/>
      <c r="K151" s="86"/>
      <c r="L151" s="86"/>
      <c r="M151" s="86"/>
      <c r="N151" s="68"/>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
      <c r="BU151" s="1"/>
      <c r="BV151" s="14"/>
      <c r="BW151" s="14"/>
      <c r="BX151" s="1"/>
      <c r="BY151" s="1"/>
      <c r="BZ151" s="1"/>
      <c r="CA151" s="1"/>
      <c r="CB151" s="1"/>
      <c r="CC151" s="1"/>
      <c r="CD151" s="1"/>
      <c r="CE151" s="1"/>
      <c r="CF151" s="1"/>
      <c r="CG151" s="1"/>
      <c r="CH151" s="1"/>
      <c r="CI151" s="1"/>
      <c r="CJ151" s="1"/>
      <c r="CK151" s="1"/>
      <c r="CL151" s="1"/>
      <c r="CM151" s="1"/>
      <c r="CN151" s="1"/>
      <c r="CO151" s="1"/>
      <c r="CP151" s="1"/>
      <c r="CQ151" s="73"/>
      <c r="CR151" s="73"/>
      <c r="CS151" s="73"/>
      <c r="CT151" s="73"/>
      <c r="CU151" s="73"/>
      <c r="CV151" s="73"/>
      <c r="CW151" s="73"/>
      <c r="CX151" s="73"/>
      <c r="CY151" s="73"/>
      <c r="CZ151" s="73"/>
      <c r="DA151" s="73"/>
      <c r="DB151" s="73"/>
      <c r="DC151" s="73"/>
      <c r="DD151" s="73"/>
      <c r="DE151" s="73"/>
      <c r="DF151" s="73"/>
      <c r="DG151" s="73"/>
      <c r="DH151" s="1045"/>
      <c r="DI151" s="1045"/>
      <c r="DJ151" s="73"/>
      <c r="DK151" s="73"/>
      <c r="DL151" s="73"/>
      <c r="DM151" s="1045"/>
      <c r="DN151" s="1045"/>
      <c r="DO151" s="1045"/>
      <c r="DP151" s="1045"/>
      <c r="DQ151" s="1045"/>
      <c r="DR151" s="1045"/>
      <c r="DS151" s="1045"/>
      <c r="DT151" s="1045"/>
      <c r="DU151" s="1045"/>
      <c r="DV151" s="1045"/>
      <c r="DW151" s="1045"/>
      <c r="DX151" s="1045"/>
      <c r="DY151" s="1045"/>
      <c r="DZ151" s="1045"/>
      <c r="EA151" s="1045"/>
      <c r="EB151" s="1045"/>
      <c r="EC151" s="1045"/>
      <c r="ED151" s="1045"/>
      <c r="EE151" s="1045"/>
      <c r="EF151" s="1045"/>
      <c r="EG151" s="1045"/>
      <c r="EH151" s="1045"/>
      <c r="EI151" s="1045"/>
      <c r="EJ151" s="1045"/>
      <c r="EK151" s="1045"/>
      <c r="EL151" s="1045"/>
      <c r="EM151" s="1045"/>
      <c r="EN151" s="1045"/>
      <c r="EO151" s="1045"/>
      <c r="EP151" s="1045"/>
      <c r="EQ151" s="1045"/>
      <c r="ER151" s="1045"/>
      <c r="ES151" s="1045"/>
      <c r="ET151" s="1045"/>
      <c r="EU151" s="1045"/>
      <c r="EV151" s="1045"/>
      <c r="EW151" s="1045"/>
      <c r="EX151" s="1045"/>
      <c r="EY151" s="1045"/>
      <c r="EZ151" s="1045"/>
      <c r="FA151" s="1045"/>
      <c r="FB151" s="1045"/>
      <c r="FC151" s="1045"/>
      <c r="FD151" s="1045"/>
      <c r="FE151" s="1045"/>
      <c r="FF151" s="1045"/>
      <c r="FG151" s="1045"/>
    </row>
    <row r="152" spans="1:163" outlineLevel="1">
      <c r="A152" s="1"/>
      <c r="B152" s="780" t="s">
        <v>52</v>
      </c>
      <c r="C152" s="781"/>
      <c r="D152" s="781"/>
      <c r="E152" s="781"/>
      <c r="F152" s="781"/>
      <c r="G152" s="781"/>
      <c r="H152" s="781"/>
      <c r="I152" s="781"/>
      <c r="J152" s="781"/>
      <c r="K152" s="781"/>
      <c r="L152" s="781"/>
      <c r="M152" s="781"/>
      <c r="N152" s="755"/>
      <c r="O152" s="783"/>
      <c r="P152" s="783"/>
      <c r="Q152" s="783"/>
      <c r="R152" s="783"/>
      <c r="S152" s="783"/>
      <c r="T152" s="783"/>
      <c r="U152" s="783"/>
      <c r="V152" s="783"/>
      <c r="W152" s="783"/>
      <c r="X152" s="783"/>
      <c r="Y152" s="783"/>
      <c r="Z152" s="783"/>
      <c r="AA152" s="783"/>
      <c r="AB152" s="783"/>
      <c r="AC152" s="783"/>
      <c r="AD152" s="783"/>
      <c r="AE152" s="783"/>
      <c r="AF152" s="783"/>
      <c r="AG152" s="783"/>
      <c r="AH152" s="783"/>
      <c r="AI152" s="783"/>
      <c r="AJ152" s="783"/>
      <c r="AK152" s="783"/>
      <c r="AL152" s="783"/>
      <c r="AM152" s="783"/>
      <c r="AN152" s="783"/>
      <c r="AO152" s="783"/>
      <c r="AP152" s="783"/>
      <c r="AQ152" s="783"/>
      <c r="AR152" s="783"/>
      <c r="AS152" s="783"/>
      <c r="AT152" s="783"/>
      <c r="AU152" s="783"/>
      <c r="AV152" s="783"/>
      <c r="AW152" s="783"/>
      <c r="AX152" s="783"/>
      <c r="AY152" s="783"/>
      <c r="AZ152" s="783"/>
      <c r="BA152" s="783"/>
      <c r="BB152" s="783"/>
      <c r="BC152" s="783"/>
      <c r="BD152" s="783"/>
      <c r="BE152" s="783"/>
      <c r="BF152" s="783"/>
      <c r="BG152" s="783"/>
      <c r="BH152" s="783"/>
      <c r="BI152" s="783"/>
      <c r="BJ152" s="783"/>
      <c r="BK152" s="783"/>
      <c r="BL152" s="783"/>
      <c r="BM152" s="783"/>
      <c r="BN152" s="783"/>
      <c r="BO152" s="783"/>
      <c r="BP152" s="783"/>
      <c r="BQ152" s="783"/>
      <c r="BR152" s="783"/>
      <c r="BS152" s="783"/>
      <c r="BT152" s="593"/>
      <c r="BU152" s="771"/>
      <c r="BV152" s="783"/>
      <c r="BW152" s="783"/>
      <c r="BX152" s="593"/>
      <c r="BY152" s="593"/>
      <c r="BZ152" s="771"/>
      <c r="CA152" s="593"/>
      <c r="CB152" s="593"/>
      <c r="CC152" s="593"/>
      <c r="CD152" s="593"/>
      <c r="CE152" s="771"/>
      <c r="CF152" s="593"/>
      <c r="CG152" s="593"/>
      <c r="CH152" s="593"/>
      <c r="CI152" s="593"/>
      <c r="CJ152" s="771"/>
      <c r="CK152" s="593"/>
      <c r="CL152" s="593"/>
      <c r="CM152" s="593"/>
      <c r="CN152" s="593"/>
      <c r="CO152" s="771"/>
      <c r="CP152" s="593"/>
      <c r="CQ152" s="593"/>
      <c r="CR152" s="593"/>
      <c r="CS152" s="593"/>
      <c r="CT152" s="771"/>
      <c r="CU152" s="593"/>
      <c r="CV152" s="593"/>
      <c r="CW152" s="593"/>
      <c r="CX152" s="593"/>
      <c r="CY152" s="771"/>
      <c r="CZ152" s="593"/>
      <c r="DA152" s="593"/>
      <c r="DB152" s="593"/>
      <c r="DC152" s="593"/>
      <c r="DD152" s="771"/>
      <c r="DE152" s="593"/>
      <c r="DF152" s="593"/>
      <c r="DG152" s="593"/>
      <c r="DH152" s="1033"/>
      <c r="DI152" s="1113"/>
      <c r="DJ152" s="593"/>
      <c r="DK152" s="593"/>
      <c r="DL152" s="593"/>
      <c r="DM152" s="1033"/>
      <c r="DN152" s="1113"/>
      <c r="DO152" s="1124"/>
      <c r="DP152" s="1124"/>
      <c r="DQ152" s="1124"/>
      <c r="DR152" s="1033"/>
      <c r="DS152" s="1113"/>
      <c r="DT152" s="1124"/>
      <c r="DU152" s="1124"/>
      <c r="DV152" s="1124"/>
      <c r="DW152" s="1124"/>
      <c r="DX152" s="1560"/>
      <c r="DY152" s="1274"/>
      <c r="DZ152" s="1274"/>
      <c r="EA152" s="1274"/>
      <c r="EB152" s="1274"/>
      <c r="EC152" s="2721"/>
      <c r="ED152" s="1274"/>
      <c r="EE152" s="1561"/>
      <c r="EF152" s="1561"/>
      <c r="EG152" s="1561"/>
      <c r="EH152" s="2721"/>
      <c r="EI152" s="1274"/>
      <c r="EJ152" s="1561"/>
      <c r="EK152" s="1561"/>
      <c r="EL152" s="1561"/>
      <c r="EM152" s="2548"/>
      <c r="EN152" s="2508"/>
      <c r="EO152" s="1561"/>
      <c r="EP152" s="2693"/>
      <c r="EQ152" s="2166"/>
      <c r="ER152" s="2045"/>
      <c r="ES152" s="1561"/>
      <c r="ET152" s="2693"/>
      <c r="EU152" s="2693"/>
      <c r="EV152" s="2166"/>
      <c r="EW152" s="2045"/>
      <c r="EX152" s="1561"/>
      <c r="EY152" s="2693"/>
      <c r="EZ152" s="1561"/>
      <c r="FA152" s="2166"/>
      <c r="FB152" s="2045"/>
      <c r="FC152" s="1317"/>
      <c r="FD152" s="1317"/>
      <c r="FE152" s="1317"/>
      <c r="FF152" s="1317"/>
      <c r="FG152" s="1317"/>
    </row>
    <row r="153" spans="1:163" outlineLevel="1">
      <c r="A153" s="1"/>
      <c r="B153" s="104" t="s">
        <v>53</v>
      </c>
      <c r="C153" s="122"/>
      <c r="D153" s="122"/>
      <c r="E153" s="122"/>
      <c r="F153" s="122"/>
      <c r="G153" s="122"/>
      <c r="H153" s="122"/>
      <c r="I153" s="122"/>
      <c r="J153" s="122"/>
      <c r="K153" s="122"/>
      <c r="L153" s="122"/>
      <c r="M153" s="122"/>
      <c r="N153" s="101"/>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f>+AL30</f>
      </c>
      <c r="AN153" s="14">
        <f>+AM155</f>
      </c>
      <c r="AO153" s="14">
        <f>+AN155</f>
      </c>
      <c r="AP153" s="14">
        <f>+AO155</f>
      </c>
      <c r="AQ153" s="14">
        <f>+AL155</f>
      </c>
      <c r="AR153" s="14">
        <f>+AQ30</f>
      </c>
      <c r="AS153" s="14">
        <f>+AR155</f>
      </c>
      <c r="AT153" s="14">
        <f>+AS155</f>
      </c>
      <c r="AU153" s="14">
        <f>+AT155</f>
      </c>
      <c r="AV153" s="14">
        <f>+AQ155</f>
      </c>
      <c r="AW153" s="14">
        <f>+AV155</f>
      </c>
      <c r="AX153" s="14">
        <f t="shared" ref="AX153:BT153" si="561">+AW155</f>
      </c>
      <c r="AY153" s="14">
        <f t="shared" si="561"/>
      </c>
      <c r="AZ153" s="14">
        <f t="shared" si="561"/>
      </c>
      <c r="BA153" s="14">
        <f>+AV155</f>
      </c>
      <c r="BB153" s="14">
        <f t="shared" si="561"/>
      </c>
      <c r="BC153" s="14">
        <f t="shared" si="561"/>
      </c>
      <c r="BD153" s="14">
        <f t="shared" si="561"/>
      </c>
      <c r="BE153" s="14">
        <f t="shared" si="561"/>
      </c>
      <c r="BF153" s="14">
        <f>+BA155</f>
      </c>
      <c r="BG153" s="14">
        <f t="shared" si="561"/>
      </c>
      <c r="BH153" s="14">
        <f t="shared" si="561"/>
      </c>
      <c r="BI153" s="14">
        <f t="shared" si="561"/>
      </c>
      <c r="BJ153" s="14">
        <f t="shared" si="561"/>
      </c>
      <c r="BK153" s="14">
        <f>+BF155</f>
      </c>
      <c r="BL153" s="14">
        <f t="shared" si="561"/>
      </c>
      <c r="BM153" s="14">
        <f t="shared" si="561"/>
      </c>
      <c r="BN153" s="14">
        <f t="shared" si="561"/>
      </c>
      <c r="BO153" s="14">
        <f t="shared" si="561"/>
      </c>
      <c r="BP153" s="14">
        <f>+BK155</f>
      </c>
      <c r="BQ153" s="14">
        <f t="shared" si="561"/>
      </c>
      <c r="BR153" s="14">
        <f t="shared" si="561"/>
      </c>
      <c r="BS153" s="14">
        <f t="shared" si="561"/>
      </c>
      <c r="BT153" s="14">
        <f t="shared" si="561"/>
      </c>
      <c r="BU153" s="552">
        <f>+BP155</f>
      </c>
      <c r="BV153" s="14">
        <f>+BU155</f>
      </c>
      <c r="BW153" s="14">
        <f>+BV155</f>
      </c>
      <c r="BX153" s="14">
        <f>+BW155</f>
      </c>
      <c r="BY153" s="14">
        <f>+BX155</f>
      </c>
      <c r="BZ153" s="552">
        <f>+BU155</f>
      </c>
      <c r="CA153" s="14">
        <f>+BZ155</f>
      </c>
      <c r="CB153" s="14">
        <f>+CA155</f>
      </c>
      <c r="CC153" s="14">
        <f>+CB155</f>
      </c>
      <c r="CD153" s="14">
        <f>+CC155</f>
      </c>
      <c r="CE153" s="552">
        <f>+BZ155</f>
      </c>
      <c r="CF153" s="14">
        <f>+CE155</f>
      </c>
      <c r="CG153" s="14">
        <f>+CF155</f>
      </c>
      <c r="CH153" s="14">
        <f>+CG155</f>
      </c>
      <c r="CI153" s="14">
        <f>+CH155</f>
      </c>
      <c r="CJ153" s="552">
        <f>+CE155</f>
      </c>
      <c r="CK153" s="14">
        <f>+CJ155</f>
      </c>
      <c r="CL153" s="14">
        <f>+CK155</f>
      </c>
      <c r="CM153" s="14">
        <f>+CL155</f>
      </c>
      <c r="CN153" s="14">
        <f>+CM155</f>
      </c>
      <c r="CO153" s="552">
        <f>+CJ155</f>
      </c>
      <c r="CP153" s="14">
        <f>+CO155</f>
      </c>
      <c r="CQ153" s="14">
        <f>+CP155</f>
      </c>
      <c r="CR153" s="14">
        <f>+CQ155</f>
      </c>
      <c r="CS153" s="14">
        <f>+CR155</f>
      </c>
      <c r="CT153" s="552">
        <f>+CO155</f>
      </c>
      <c r="CU153" s="14">
        <f>+CT155</f>
      </c>
      <c r="CV153" s="14">
        <f>+CU155</f>
      </c>
      <c r="CW153" s="14">
        <f>+CV155</f>
      </c>
      <c r="CX153" s="14">
        <f>+CW155</f>
      </c>
      <c r="CY153" s="552">
        <f>+CT155</f>
      </c>
      <c r="CZ153" s="14">
        <f>+CY155</f>
      </c>
      <c r="DA153" s="14">
        <f>+CZ155</f>
      </c>
      <c r="DB153" s="14">
        <f>+DA155</f>
      </c>
      <c r="DC153" s="14">
        <f>+DB155</f>
      </c>
      <c r="DD153" s="552">
        <f>+CY155</f>
      </c>
      <c r="DE153" s="14">
        <f>+DD155</f>
      </c>
      <c r="DF153" s="14">
        <f>+DE155</f>
      </c>
      <c r="DG153" s="14">
        <f>+DF155</f>
      </c>
      <c r="DH153" s="14">
        <f>+DG155</f>
      </c>
      <c r="DI153" s="552">
        <f>+DD155</f>
      </c>
      <c r="DJ153" s="14">
        <f>+DI155</f>
      </c>
      <c r="DK153" s="14">
        <f>+DJ155</f>
      </c>
      <c r="DL153" s="14">
        <f>+DK155</f>
      </c>
      <c r="DM153" s="14">
        <f>+DL155</f>
      </c>
      <c r="DN153" s="552">
        <f>+DI155</f>
      </c>
      <c r="DO153" s="1037">
        <f>+DN155</f>
      </c>
      <c r="DP153" s="1037">
        <f>+DO155</f>
      </c>
      <c r="DQ153" s="1037">
        <f>+DP155</f>
      </c>
      <c r="DR153" s="14">
        <f>+DQ155</f>
      </c>
      <c r="DS153" s="552">
        <f>+DN155</f>
      </c>
      <c r="DT153" s="1037">
        <f>+DS155</f>
      </c>
      <c r="DU153" s="1037">
        <f>+DT155</f>
      </c>
      <c r="DV153" s="1037">
        <f>+DU155</f>
      </c>
      <c r="DW153" s="14">
        <f>+DV155</f>
      </c>
      <c r="DX153" s="2081">
        <f>+DS155</f>
      </c>
      <c r="DY153" s="1728">
        <f>+DX155</f>
      </c>
      <c r="DZ153" s="1728">
        <f>+DY155</f>
      </c>
      <c r="EA153" s="1728">
        <f>+DZ155</f>
      </c>
      <c r="EB153" s="2082">
        <f>+EA155</f>
      </c>
      <c r="EC153" s="2744">
        <f>+DX155</f>
      </c>
      <c r="ED153" s="1728">
        <f>+EC155</f>
      </c>
      <c r="EE153" s="1728">
        <f>+ED155</f>
      </c>
      <c r="EF153" s="1728">
        <f>+EE155</f>
      </c>
      <c r="EG153" s="1728">
        <f>+EF155</f>
      </c>
      <c r="EH153" s="1727">
        <f>+EC155</f>
      </c>
      <c r="EI153" s="1728">
        <f>+EH155</f>
      </c>
      <c r="EJ153" s="1728">
        <f>+EI155</f>
      </c>
      <c r="EK153" s="1728">
        <f>+EJ155</f>
      </c>
      <c r="EL153" s="1728">
        <f>+EK155</f>
      </c>
      <c r="EM153" s="2549">
        <f>+EH155</f>
      </c>
      <c r="EN153" s="2552">
        <f>+EM155</f>
      </c>
      <c r="EO153" s="2701">
        <f>+EN155</f>
      </c>
      <c r="EP153" s="3201">
        <f>+EO155</f>
      </c>
      <c r="EQ153" s="2440">
        <f>+EP155</f>
      </c>
      <c r="ER153" s="2083">
        <f>+EM155</f>
      </c>
      <c r="ES153" s="2552">
        <f>+ER155</f>
      </c>
      <c r="ET153" s="3201">
        <f>+ES155</f>
      </c>
      <c r="EU153" s="3201">
        <f>+ET155</f>
      </c>
      <c r="EV153" s="2440">
        <f>+EU155</f>
      </c>
      <c r="EW153" s="2083">
        <f>+ER155</f>
      </c>
      <c r="EX153" s="2552">
        <f>+EW155</f>
      </c>
      <c r="EY153" s="3201">
        <f>+EX155</f>
      </c>
      <c r="EZ153" s="1728">
        <f>+EY155</f>
      </c>
      <c r="FA153" s="2440">
        <f>+EZ155</f>
      </c>
      <c r="FB153" s="2083">
        <f>+EW155</f>
      </c>
      <c r="FC153" s="2083">
        <f t="shared" ref="FC153:FG153" si="562">+FB155</f>
      </c>
      <c r="FD153" s="2083">
        <f t="shared" si="562"/>
      </c>
      <c r="FE153" s="2083">
        <f t="shared" si="562"/>
      </c>
      <c r="FF153" s="2083">
        <f t="shared" si="562"/>
      </c>
      <c r="FG153" s="2083">
        <f t="shared" si="562"/>
      </c>
    </row>
    <row r="154" spans="1:163" outlineLevel="1">
      <c r="A154" s="1"/>
      <c r="B154" s="85" t="s">
        <v>54</v>
      </c>
      <c r="C154" s="86"/>
      <c r="D154" s="86"/>
      <c r="E154" s="86"/>
      <c r="F154" s="86"/>
      <c r="G154" s="86"/>
      <c r="H154" s="86"/>
      <c r="I154" s="86"/>
      <c r="J154" s="86"/>
      <c r="K154" s="86"/>
      <c r="L154" s="86"/>
      <c r="M154" s="86"/>
      <c r="N154" s="68"/>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f t="shared" ref="AM154:BU154" si="563">+AM155-AM153</f>
      </c>
      <c r="AN154" s="14">
        <f t="shared" si="563"/>
      </c>
      <c r="AO154" s="14">
        <f t="shared" si="563"/>
      </c>
      <c r="AP154" s="14">
        <f t="shared" si="563"/>
      </c>
      <c r="AQ154" s="14">
        <f t="shared" si="563"/>
      </c>
      <c r="AR154" s="14">
        <f t="shared" si="563"/>
      </c>
      <c r="AS154" s="14">
        <f t="shared" si="563"/>
      </c>
      <c r="AT154" s="14">
        <f t="shared" si="563"/>
      </c>
      <c r="AU154" s="14">
        <f t="shared" si="563"/>
      </c>
      <c r="AV154" s="14">
        <f t="shared" si="563"/>
      </c>
      <c r="AW154" s="14">
        <f t="shared" si="563"/>
      </c>
      <c r="AX154" s="14">
        <f t="shared" si="563"/>
      </c>
      <c r="AY154" s="14">
        <f t="shared" si="563"/>
      </c>
      <c r="AZ154" s="14">
        <f t="shared" si="563"/>
      </c>
      <c r="BA154" s="14">
        <f t="shared" si="563"/>
      </c>
      <c r="BB154" s="14">
        <f t="shared" si="563"/>
      </c>
      <c r="BC154" s="14">
        <f t="shared" si="563"/>
      </c>
      <c r="BD154" s="14">
        <f t="shared" si="563"/>
      </c>
      <c r="BE154" s="14">
        <f t="shared" si="563"/>
      </c>
      <c r="BF154" s="14">
        <f t="shared" si="563"/>
      </c>
      <c r="BG154" s="14">
        <f t="shared" si="563"/>
      </c>
      <c r="BH154" s="14">
        <f t="shared" si="563"/>
      </c>
      <c r="BI154" s="14">
        <f t="shared" si="563"/>
      </c>
      <c r="BJ154" s="14">
        <f t="shared" si="563"/>
      </c>
      <c r="BK154" s="14">
        <f t="shared" si="563"/>
      </c>
      <c r="BL154" s="14">
        <f t="shared" si="563"/>
      </c>
      <c r="BM154" s="14">
        <f t="shared" si="563"/>
      </c>
      <c r="BN154" s="14">
        <f t="shared" si="563"/>
      </c>
      <c r="BO154" s="14">
        <f t="shared" si="563"/>
      </c>
      <c r="BP154" s="14">
        <f t="shared" si="563"/>
      </c>
      <c r="BQ154" s="14">
        <f t="shared" si="563"/>
      </c>
      <c r="BR154" s="14">
        <f t="shared" si="563"/>
      </c>
      <c r="BS154" s="14">
        <f t="shared" si="563"/>
      </c>
      <c r="BT154" s="14">
        <f t="shared" si="563"/>
      </c>
      <c r="BU154" s="552">
        <f t="shared" si="563"/>
      </c>
      <c r="BV154" s="14">
        <f t="shared" ref="BV154:CH154" si="564">+BV155-BV153</f>
      </c>
      <c r="BW154" s="14">
        <f t="shared" si="564"/>
      </c>
      <c r="BX154" s="14">
        <f t="shared" si="564"/>
      </c>
      <c r="BY154" s="14">
        <f t="shared" si="564"/>
      </c>
      <c r="BZ154" s="552">
        <f t="shared" si="564"/>
      </c>
      <c r="CA154" s="14">
        <f t="shared" si="564"/>
      </c>
      <c r="CB154" s="14">
        <f t="shared" si="564"/>
      </c>
      <c r="CC154" s="14">
        <f t="shared" si="564"/>
      </c>
      <c r="CD154" s="14">
        <f t="shared" si="564"/>
      </c>
      <c r="CE154" s="552">
        <f t="shared" si="564"/>
      </c>
      <c r="CF154" s="14">
        <f t="shared" si="564"/>
      </c>
      <c r="CG154" s="14">
        <f t="shared" si="564"/>
      </c>
      <c r="CH154" s="14">
        <f t="shared" si="564"/>
      </c>
      <c r="CI154" s="14">
        <f>+CI155-CI153</f>
      </c>
      <c r="CJ154" s="540">
        <f>SUM(CF154:CI154)</f>
      </c>
      <c r="CK154" s="14">
        <f>+CK155-CK153</f>
      </c>
      <c r="CL154" s="50">
        <f>+CL155-CL153</f>
      </c>
      <c r="CM154" s="50">
        <f>+CM155-CM153</f>
      </c>
      <c r="CN154" s="50">
        <f>+CN155-CN153</f>
      </c>
      <c r="CO154" s="540">
        <f>SUM(CK154:CN154)</f>
      </c>
      <c r="CP154" s="14">
        <f>+CP155-CP153</f>
      </c>
      <c r="CQ154" s="50">
        <f>+CQ155-CQ153</f>
      </c>
      <c r="CR154" s="50">
        <f>+CR155-CR153</f>
      </c>
      <c r="CS154" s="50">
        <f>+CS155-CS153</f>
      </c>
      <c r="CT154" s="540">
        <f>SUM(CP154:CS154)</f>
      </c>
      <c r="CU154" s="14">
        <f>+CU155-CU153</f>
      </c>
      <c r="CV154" s="50">
        <f>+CV155-CV153</f>
      </c>
      <c r="CW154" s="50">
        <f>+CW155-CW153</f>
      </c>
      <c r="CX154" s="50">
        <f>+CX155-CX153</f>
      </c>
      <c r="CY154" s="540">
        <f>SUM(CU154:CX154)</f>
      </c>
      <c r="CZ154" s="14">
        <f>+CZ155-CZ153</f>
      </c>
      <c r="DA154" s="14">
        <f>+DA155-DA153</f>
      </c>
      <c r="DB154" s="14">
        <f>+DB155-DB153</f>
      </c>
      <c r="DC154" s="50">
        <f>+DC155-DC153</f>
      </c>
      <c r="DD154" s="540">
        <f>SUM(CZ154:DC154)</f>
      </c>
      <c r="DE154" s="14">
        <f>+DE155-DE153</f>
      </c>
      <c r="DF154" s="14">
        <f>+DF155-DF153</f>
      </c>
      <c r="DG154" s="14">
        <f>+DG155-DG153</f>
      </c>
      <c r="DH154" s="50">
        <f>+DH155-DH153</f>
      </c>
      <c r="DI154" s="540">
        <f>SUM(DE154:DH154)</f>
      </c>
      <c r="DJ154" s="14">
        <f>+DJ155-DJ153</f>
      </c>
      <c r="DK154" s="14">
        <f>+DK155-DK153</f>
      </c>
      <c r="DL154" s="14">
        <f>+DL155-DL153</f>
      </c>
      <c r="DM154" s="50">
        <f>+DM155-DM153</f>
      </c>
      <c r="DN154" s="540">
        <f>SUM(DJ154:DM154)</f>
      </c>
      <c r="DO154" s="1037">
        <f>+DO155-DO153</f>
      </c>
      <c r="DP154" s="1037">
        <f>+DP155-DP153</f>
      </c>
      <c r="DQ154" s="1037">
        <f>+DQ155-DQ153</f>
      </c>
      <c r="DR154" s="50">
        <f>+DR155-DR153</f>
      </c>
      <c r="DS154" s="540">
        <f>SUM(DO154:DR154)</f>
      </c>
      <c r="DT154" s="1037">
        <f>+DT155-DT153</f>
      </c>
      <c r="DU154" s="1037">
        <f>+DU155-DU153</f>
      </c>
      <c r="DV154" s="1037">
        <f>+DV155-DV153</f>
      </c>
      <c r="DW154" s="50">
        <f>+DW155-DW153</f>
      </c>
      <c r="DX154" s="2069">
        <f>SUM(DT154:DW154)</f>
      </c>
      <c r="DY154" s="1728">
        <f>+DY155-DY153</f>
      </c>
      <c r="DZ154" s="1728">
        <f>+DZ155-DZ153</f>
      </c>
      <c r="EA154" s="1728">
        <f>+EA155-EA153</f>
      </c>
      <c r="EB154" s="1735">
        <f>+EB155-EB153</f>
      </c>
      <c r="EC154" s="1734">
        <f>SUM(DY154:EB154)</f>
      </c>
      <c r="ED154" s="1728">
        <f>+ED155-ED153</f>
      </c>
      <c r="EE154" s="1728">
        <f>+EE155-EE153</f>
      </c>
      <c r="EF154" s="1728">
        <f>+EF155-EF153</f>
      </c>
      <c r="EG154" s="1735">
        <f>+EG155-EG153</f>
      </c>
      <c r="EH154" s="2746">
        <f>+SUM(ED154:EG154)</f>
      </c>
      <c r="EI154" s="1728">
        <f>+EI155-EI153</f>
      </c>
      <c r="EJ154" s="1728">
        <f>+EJ155-EJ153</f>
      </c>
      <c r="EK154" s="1728">
        <f>+EK155-EK153</f>
      </c>
      <c r="EL154" s="1735">
        <f>+EL155-EL153</f>
      </c>
      <c r="EM154" s="2550">
        <f>+SUM(EI154:EL154)</f>
      </c>
      <c r="EN154" s="2552">
        <f>+EN155-EN153</f>
      </c>
      <c r="EO154" s="1728">
        <f>+EO155-EO153</f>
      </c>
      <c r="EP154" s="1728">
        <f>+EP155-EP153</f>
      </c>
      <c r="EQ154" s="1735">
        <f>+EQ155-EQ153</f>
      </c>
      <c r="ER154" s="3394">
        <f>+SUM(EN154:EQ154)</f>
      </c>
      <c r="ES154" s="2552">
        <f>+ES155-ES153</f>
      </c>
      <c r="ET154" s="1728">
        <f>+ET155-ET153</f>
      </c>
      <c r="EU154" s="1728">
        <f>+EU155-EU153</f>
      </c>
      <c r="EV154" s="1735">
        <f>+EV155-EV153</f>
      </c>
      <c r="EW154" s="3394">
        <f>+SUM(ES154:EV154)</f>
      </c>
      <c r="EX154" s="2552">
        <f>+EX155-EX153</f>
      </c>
      <c r="EY154" s="1728">
        <f>+EY155-EY153</f>
      </c>
      <c r="EZ154" s="2057"/>
      <c r="FA154" s="2441"/>
      <c r="FB154" s="3394">
        <f>+SUM(EX154:FA154)</f>
      </c>
      <c r="FC154" s="2084">
        <v>0</v>
      </c>
      <c r="FD154" s="2084">
        <v>0</v>
      </c>
      <c r="FE154" s="2084">
        <v>0</v>
      </c>
      <c r="FF154" s="2084">
        <v>0</v>
      </c>
      <c r="FG154" s="2084">
        <v>0</v>
      </c>
    </row>
    <row r="155" spans="1:163" outlineLevel="1">
      <c r="A155" s="1"/>
      <c r="B155" s="147" t="s">
        <v>55</v>
      </c>
      <c r="C155" s="120"/>
      <c r="D155" s="120"/>
      <c r="E155" s="120"/>
      <c r="F155" s="120"/>
      <c r="G155" s="120"/>
      <c r="H155" s="120"/>
      <c r="I155" s="120"/>
      <c r="J155" s="120"/>
      <c r="K155" s="120"/>
      <c r="L155" s="120"/>
      <c r="M155" s="120"/>
      <c r="N155" s="74"/>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f t="shared" ref="AM155:AV155" si="565">+AM30</f>
      </c>
      <c r="AN155" s="102">
        <f t="shared" si="565"/>
      </c>
      <c r="AO155" s="102">
        <f t="shared" si="565"/>
      </c>
      <c r="AP155" s="102">
        <f t="shared" si="565"/>
      </c>
      <c r="AQ155" s="102">
        <f t="shared" si="565"/>
      </c>
      <c r="AR155" s="102">
        <f t="shared" si="565"/>
      </c>
      <c r="AS155" s="102">
        <f t="shared" si="565"/>
      </c>
      <c r="AT155" s="102">
        <f t="shared" si="565"/>
      </c>
      <c r="AU155" s="102">
        <f t="shared" si="565"/>
      </c>
      <c r="AV155" s="102">
        <f t="shared" si="565"/>
      </c>
      <c r="AW155" s="102">
        <f>+AW23</f>
      </c>
      <c r="AX155" s="102">
        <f t="shared" ref="AX155:BU155" si="566">+AX23</f>
      </c>
      <c r="AY155" s="102">
        <f t="shared" si="566"/>
      </c>
      <c r="AZ155" s="102">
        <f t="shared" si="566"/>
      </c>
      <c r="BA155" s="102">
        <f t="shared" si="566"/>
      </c>
      <c r="BB155" s="102">
        <f t="shared" si="566"/>
      </c>
      <c r="BC155" s="102">
        <f t="shared" si="566"/>
      </c>
      <c r="BD155" s="102">
        <f t="shared" si="566"/>
      </c>
      <c r="BE155" s="102">
        <f t="shared" si="566"/>
      </c>
      <c r="BF155" s="102">
        <f t="shared" si="566"/>
      </c>
      <c r="BG155" s="102">
        <f t="shared" si="566"/>
      </c>
      <c r="BH155" s="102">
        <f t="shared" si="566"/>
      </c>
      <c r="BI155" s="102">
        <f t="shared" si="566"/>
      </c>
      <c r="BJ155" s="102">
        <f t="shared" si="566"/>
      </c>
      <c r="BK155" s="102">
        <f t="shared" si="566"/>
      </c>
      <c r="BL155" s="102">
        <f t="shared" si="566"/>
      </c>
      <c r="BM155" s="102">
        <f t="shared" si="566"/>
      </c>
      <c r="BN155" s="102">
        <f t="shared" si="566"/>
      </c>
      <c r="BO155" s="102">
        <f t="shared" si="566"/>
      </c>
      <c r="BP155" s="102">
        <f t="shared" si="566"/>
      </c>
      <c r="BQ155" s="102">
        <f t="shared" si="566"/>
      </c>
      <c r="BR155" s="102">
        <f t="shared" si="566"/>
      </c>
      <c r="BS155" s="102">
        <f t="shared" si="566"/>
      </c>
      <c r="BT155" s="102">
        <f t="shared" si="566"/>
      </c>
      <c r="BU155" s="553">
        <f t="shared" si="566"/>
      </c>
      <c r="BV155" s="102">
        <f t="shared" ref="BV155:CH155" si="567">+BV23</f>
      </c>
      <c r="BW155" s="102">
        <f t="shared" si="567"/>
      </c>
      <c r="BX155" s="102">
        <f t="shared" si="567"/>
      </c>
      <c r="BY155" s="102">
        <f t="shared" si="567"/>
      </c>
      <c r="BZ155" s="553">
        <f t="shared" si="567"/>
      </c>
      <c r="CA155" s="102">
        <f t="shared" si="567"/>
      </c>
      <c r="CB155" s="102">
        <f t="shared" si="567"/>
      </c>
      <c r="CC155" s="102">
        <f t="shared" si="567"/>
      </c>
      <c r="CD155" s="102">
        <f t="shared" si="567"/>
      </c>
      <c r="CE155" s="553">
        <f t="shared" si="567"/>
      </c>
      <c r="CF155" s="102">
        <f t="shared" si="567"/>
      </c>
      <c r="CG155" s="102">
        <f t="shared" si="567"/>
      </c>
      <c r="CH155" s="102">
        <f t="shared" si="567"/>
      </c>
      <c r="CI155" s="102">
        <f>+CI23</f>
      </c>
      <c r="CJ155" s="553">
        <f>+CJ153+CJ154</f>
      </c>
      <c r="CK155" s="102">
        <f>+CK23</f>
      </c>
      <c r="CL155" s="102">
        <f>+CL23</f>
      </c>
      <c r="CM155" s="102">
        <f>+CM23</f>
      </c>
      <c r="CN155" s="102">
        <f>+CN23</f>
      </c>
      <c r="CO155" s="553">
        <f>+CO153+CO154</f>
      </c>
      <c r="CP155" s="102">
        <f>+CP23</f>
      </c>
      <c r="CQ155" s="102">
        <f>+CQ23</f>
      </c>
      <c r="CR155" s="102">
        <f>+CR23</f>
      </c>
      <c r="CS155" s="102">
        <f>+CS23</f>
      </c>
      <c r="CT155" s="553">
        <f>+CT153+CT154</f>
      </c>
      <c r="CU155" s="102">
        <f>+CU23</f>
      </c>
      <c r="CV155" s="102">
        <f>+CV23</f>
      </c>
      <c r="CW155" s="102">
        <f>+CW23</f>
      </c>
      <c r="CX155" s="102">
        <f>+CX23</f>
      </c>
      <c r="CY155" s="553">
        <f>+CY153+CY154</f>
      </c>
      <c r="CZ155" s="102">
        <f>+CZ23</f>
      </c>
      <c r="DA155" s="102">
        <f>+DA23</f>
      </c>
      <c r="DB155" s="102">
        <f>+DB23</f>
      </c>
      <c r="DC155" s="102">
        <f>+DC23</f>
      </c>
      <c r="DD155" s="553">
        <f>+DD153+DD154</f>
      </c>
      <c r="DE155" s="102">
        <f>+DE23</f>
      </c>
      <c r="DF155" s="102">
        <f>+DF23</f>
      </c>
      <c r="DG155" s="102">
        <f>+DG23</f>
      </c>
      <c r="DH155" s="102">
        <f>+DH23</f>
      </c>
      <c r="DI155" s="553">
        <f>+DI153+DI154</f>
      </c>
      <c r="DJ155" s="102">
        <f>+DJ23</f>
      </c>
      <c r="DK155" s="102">
        <f>+DK23</f>
      </c>
      <c r="DL155" s="102">
        <f>+DL23</f>
      </c>
      <c r="DM155" s="102">
        <f>+DM23</f>
      </c>
      <c r="DN155" s="553">
        <f>+DN153+DN154</f>
      </c>
      <c r="DO155" s="1281">
        <f>+DO23</f>
      </c>
      <c r="DP155" s="1281">
        <f>+DP23</f>
      </c>
      <c r="DQ155" s="1281">
        <f>+DQ23</f>
      </c>
      <c r="DR155" s="102">
        <f>+DR23</f>
      </c>
      <c r="DS155" s="553">
        <f>+DS153+DS154</f>
      </c>
      <c r="DT155" s="1281">
        <f>+DT23</f>
      </c>
      <c r="DU155" s="1281">
        <f>+DU23</f>
      </c>
      <c r="DV155" s="1281">
        <f>+DV23</f>
      </c>
      <c r="DW155" s="102">
        <f>+DW23</f>
      </c>
      <c r="DX155" s="2085">
        <f>+DX153+DX154</f>
      </c>
      <c r="DY155" s="2086">
        <f>+DY23</f>
      </c>
      <c r="DZ155" s="2086">
        <f>+DZ23</f>
      </c>
      <c r="EA155" s="2086">
        <f>+EA23</f>
      </c>
      <c r="EB155" s="2087">
        <f>+EB23</f>
      </c>
      <c r="EC155" s="2745">
        <f>+EC153+EC154</f>
      </c>
      <c r="ED155" s="2086">
        <f>+ED23</f>
      </c>
      <c r="EE155" s="2086">
        <f>+EE23</f>
      </c>
      <c r="EF155" s="2086">
        <f>+EF23</f>
      </c>
      <c r="EG155" s="2087">
        <f>+EG23</f>
      </c>
      <c r="EH155" s="2747">
        <f>+EH153+EH154</f>
      </c>
      <c r="EI155" s="2086">
        <f>+EI23</f>
      </c>
      <c r="EJ155" s="2086">
        <f>+EJ23</f>
      </c>
      <c r="EK155" s="2086">
        <f>+EK23</f>
      </c>
      <c r="EL155" s="2087">
        <f>+EL23</f>
      </c>
      <c r="EM155" s="2551">
        <f>+EM153+EM154</f>
      </c>
      <c r="EN155" s="2554">
        <f>+EN23</f>
      </c>
      <c r="EO155" s="2442">
        <f>+EO23</f>
      </c>
      <c r="EP155" s="2086">
        <f>+EP23</f>
      </c>
      <c r="EQ155" s="2087">
        <f>+EQ23</f>
      </c>
      <c r="ER155" s="3395">
        <f>+ER153+ER154</f>
      </c>
      <c r="ES155" s="2554">
        <f>+ES23</f>
      </c>
      <c r="ET155" s="3501">
        <f>+ET23</f>
      </c>
      <c r="EU155" s="2086">
        <f>+EU23</f>
      </c>
      <c r="EV155" s="2087">
        <f>+EV23</f>
      </c>
      <c r="EW155" s="3395">
        <f>+EW153+EW154</f>
      </c>
      <c r="EX155" s="2554">
        <f>+EX23</f>
      </c>
      <c r="EY155" s="3501">
        <f>+EY23</f>
      </c>
      <c r="EZ155" s="2442">
        <f t="shared" ref="EZ155:FA155" si="568">+EZ153+EZ154</f>
      </c>
      <c r="FA155" s="2443">
        <f t="shared" si="568"/>
      </c>
      <c r="FB155" s="3594">
        <f t="shared" ref="FB155:FD155" si="569">+FB153+FB154</f>
      </c>
      <c r="FC155" s="2088">
        <f t="shared" si="569"/>
      </c>
      <c r="FD155" s="2088">
        <f t="shared" si="569"/>
      </c>
      <c r="FE155" s="2088">
        <f>+FE153+FE154</f>
      </c>
      <c r="FF155" s="2088">
        <f>+FF153+FF154</f>
      </c>
      <c r="FG155" s="2088">
        <f>+FG153+FG154</f>
      </c>
    </row>
    <row r="156" spans="1:163" outlineLevel="1">
      <c r="A156" s="1"/>
      <c r="C156" s="86"/>
      <c r="D156" s="86"/>
      <c r="E156" s="86"/>
      <c r="F156" s="86"/>
      <c r="G156" s="86"/>
      <c r="H156" s="86"/>
      <c r="I156" s="86"/>
      <c r="J156" s="86"/>
      <c r="K156" s="86"/>
      <c r="L156" s="86"/>
      <c r="M156" s="86"/>
      <c r="N156" s="68"/>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
      <c r="CP156" s="1"/>
      <c r="CQ156" s="73"/>
      <c r="CR156" s="73"/>
      <c r="CS156" s="73"/>
      <c r="CT156" s="73"/>
      <c r="CU156" s="73"/>
      <c r="CV156" s="73"/>
      <c r="CW156" s="73"/>
      <c r="CX156" s="73"/>
      <c r="CY156" s="73"/>
      <c r="CZ156" s="73"/>
      <c r="DA156" s="73"/>
      <c r="DB156" s="73"/>
      <c r="DC156" s="73"/>
      <c r="DD156" s="73"/>
      <c r="DE156" s="73"/>
      <c r="DF156" s="1045"/>
      <c r="DG156" s="73"/>
      <c r="DH156" s="1045"/>
      <c r="DI156" s="73"/>
      <c r="DJ156" s="73"/>
      <c r="DK156" s="73"/>
      <c r="DL156" s="73"/>
      <c r="DM156" s="1045"/>
      <c r="DN156" s="73"/>
      <c r="DO156" s="1045"/>
      <c r="DP156" s="1045"/>
      <c r="DQ156" s="1045"/>
      <c r="DR156" s="1045"/>
      <c r="DS156" s="73"/>
      <c r="DT156" s="1045"/>
      <c r="DU156" s="1045"/>
      <c r="DV156" s="1045"/>
      <c r="DW156" s="1045"/>
      <c r="DX156" s="1045"/>
      <c r="DY156" s="1045"/>
      <c r="DZ156" s="1045"/>
      <c r="EA156" s="1045"/>
      <c r="EB156" s="1045"/>
      <c r="EC156" s="1045"/>
      <c r="ED156" s="1045"/>
      <c r="EE156" s="1045"/>
      <c r="EF156" s="1045"/>
      <c r="EG156" s="1045"/>
      <c r="EH156" s="1045"/>
      <c r="EI156" s="1045"/>
      <c r="EJ156" s="1045"/>
      <c r="EK156" s="1045"/>
      <c r="EL156" s="1045"/>
      <c r="EM156" s="1045"/>
      <c r="EN156" s="1045"/>
      <c r="EO156" s="1045"/>
      <c r="EP156" s="1045"/>
      <c r="EQ156" s="1045"/>
      <c r="ER156" s="1045"/>
      <c r="ES156" s="3397">
        <f>-((22266-20088)+(12901-11925))</f>
      </c>
      <c r="ET156" s="1045"/>
      <c r="EU156" s="1045"/>
      <c r="EV156" s="1045"/>
      <c r="EW156" s="1045"/>
      <c r="EX156" s="1045"/>
      <c r="EY156" s="1045"/>
      <c r="EZ156" s="1045"/>
      <c r="FA156" s="1045"/>
      <c r="FB156" s="1045"/>
      <c r="FC156" s="1045"/>
      <c r="FD156" s="1045"/>
      <c r="FE156" s="1045"/>
      <c r="FF156" s="1045"/>
      <c r="FG156" s="1045"/>
    </row>
    <row r="157" spans="1:163" outlineLevel="1">
      <c r="A157" s="1"/>
      <c r="B157" s="784" t="s">
        <v>381</v>
      </c>
      <c r="C157" s="785"/>
      <c r="D157" s="785"/>
      <c r="E157" s="785"/>
      <c r="F157" s="785"/>
      <c r="G157" s="785"/>
      <c r="H157" s="785"/>
      <c r="I157" s="785"/>
      <c r="J157" s="785"/>
      <c r="K157" s="785"/>
      <c r="L157" s="785"/>
      <c r="M157" s="785"/>
      <c r="N157" s="786"/>
      <c r="O157" s="783"/>
      <c r="P157" s="783"/>
      <c r="Q157" s="783"/>
      <c r="R157" s="783"/>
      <c r="S157" s="783"/>
      <c r="T157" s="783"/>
      <c r="U157" s="783"/>
      <c r="V157" s="783"/>
      <c r="W157" s="783"/>
      <c r="X157" s="783"/>
      <c r="Y157" s="783"/>
      <c r="Z157" s="783"/>
      <c r="AA157" s="783"/>
      <c r="AB157" s="783"/>
      <c r="AC157" s="783"/>
      <c r="AD157" s="783"/>
      <c r="AE157" s="783"/>
      <c r="AF157" s="783"/>
      <c r="AG157" s="783"/>
      <c r="AH157" s="783"/>
      <c r="AI157" s="783"/>
      <c r="AJ157" s="783"/>
      <c r="AK157" s="783"/>
      <c r="AL157" s="783"/>
      <c r="AM157" s="783"/>
      <c r="AN157" s="783"/>
      <c r="AO157" s="783"/>
      <c r="AP157" s="783"/>
      <c r="AQ157" s="783"/>
      <c r="AR157" s="783"/>
      <c r="AS157" s="783"/>
      <c r="AT157" s="783"/>
      <c r="AU157" s="783"/>
      <c r="AV157" s="783"/>
      <c r="AW157" s="783"/>
      <c r="AX157" s="783"/>
      <c r="AY157" s="783"/>
      <c r="AZ157" s="783"/>
      <c r="BA157" s="783"/>
      <c r="BB157" s="783"/>
      <c r="BC157" s="783"/>
      <c r="BD157" s="783"/>
      <c r="BE157" s="783"/>
      <c r="BF157" s="783"/>
      <c r="BG157" s="783"/>
      <c r="BH157" s="783"/>
      <c r="BI157" s="783"/>
      <c r="BJ157" s="783"/>
      <c r="BK157" s="783"/>
      <c r="BL157" s="783"/>
      <c r="BM157" s="783"/>
      <c r="BN157" s="783"/>
      <c r="BO157" s="783"/>
      <c r="BP157" s="783"/>
      <c r="BQ157" s="783"/>
      <c r="BR157" s="783"/>
      <c r="BS157" s="783"/>
      <c r="BT157" s="783"/>
      <c r="BU157" s="787"/>
      <c r="BV157" s="783"/>
      <c r="BW157" s="783"/>
      <c r="BX157" s="783"/>
      <c r="BY157" s="783"/>
      <c r="BZ157" s="787"/>
      <c r="CA157" s="783"/>
      <c r="CB157" s="783"/>
      <c r="CC157" s="783"/>
      <c r="CD157" s="783"/>
      <c r="CE157" s="787"/>
      <c r="CF157" s="783"/>
      <c r="CG157" s="783"/>
      <c r="CH157" s="783"/>
      <c r="CI157" s="783"/>
      <c r="CJ157" s="787"/>
      <c r="CK157" s="783"/>
      <c r="CL157" s="783"/>
      <c r="CM157" s="783"/>
      <c r="CN157" s="783"/>
      <c r="CO157" s="787"/>
      <c r="CP157" s="783"/>
      <c r="CQ157" s="783"/>
      <c r="CR157" s="783"/>
      <c r="CS157" s="783"/>
      <c r="CT157" s="787"/>
      <c r="CU157" s="783"/>
      <c r="CV157" s="783"/>
      <c r="CW157" s="783"/>
      <c r="CX157" s="783"/>
      <c r="CY157" s="787"/>
      <c r="CZ157" s="783"/>
      <c r="DA157" s="783"/>
      <c r="DB157" s="783"/>
      <c r="DC157" s="783"/>
      <c r="DD157" s="787"/>
      <c r="DE157" s="783"/>
      <c r="DF157" s="1125"/>
      <c r="DG157" s="783"/>
      <c r="DH157" s="1055"/>
      <c r="DI157" s="787"/>
      <c r="DJ157" s="783"/>
      <c r="DK157" s="783"/>
      <c r="DL157" s="783"/>
      <c r="DM157" s="1055"/>
      <c r="DN157" s="787"/>
      <c r="DO157" s="1125"/>
      <c r="DP157" s="1125"/>
      <c r="DQ157" s="1125"/>
      <c r="DR157" s="1055"/>
      <c r="DS157" s="787"/>
      <c r="DT157" s="1125"/>
      <c r="DU157" s="1125"/>
      <c r="DV157" s="1125"/>
      <c r="DW157" s="1125"/>
      <c r="DX157" s="1300"/>
      <c r="DY157" s="1125"/>
      <c r="DZ157" s="1125"/>
      <c r="EA157" s="1125"/>
      <c r="EB157" s="1125"/>
      <c r="EC157" s="3093">
        <f>+EC160/EC158</f>
      </c>
      <c r="ED157" s="1125"/>
      <c r="EE157" s="1501"/>
      <c r="EF157" s="1501"/>
      <c r="EG157" s="1501"/>
      <c r="EH157" s="3093">
        <f>+EH160/EH158</f>
      </c>
      <c r="EI157" s="1125"/>
      <c r="EJ157" s="1501"/>
      <c r="EK157" s="1501"/>
      <c r="EL157" s="1501"/>
      <c r="EM157" s="3093">
        <f>+EM160/EM158</f>
      </c>
      <c r="EN157" s="2572"/>
      <c r="EO157" s="2444"/>
      <c r="EP157" s="3202">
        <f>+((44637-39284)+(23055-19844)+(6834-1640)+(9696-9464))*-1</f>
      </c>
      <c r="EQ157" s="2445">
        <f>((20177-16232)+(9539-7685)+(6834-1640)+(9696-9464))*-1</f>
      </c>
      <c r="ER157" s="2162"/>
      <c r="ES157" s="2572"/>
      <c r="ET157" s="3202"/>
      <c r="EU157" s="3202"/>
      <c r="EV157" s="2445"/>
      <c r="EW157" s="2162"/>
      <c r="EX157" s="2444"/>
      <c r="EY157" s="2444"/>
      <c r="EZ157" s="2444"/>
      <c r="FA157" s="2445"/>
      <c r="FB157" s="2162"/>
      <c r="FC157" s="1301"/>
      <c r="FD157" s="1301"/>
      <c r="FE157" s="1301"/>
      <c r="FF157" s="1301"/>
      <c r="FG157" s="1301"/>
    </row>
    <row r="158" spans="1:163" outlineLevel="1">
      <c r="A158" s="1"/>
      <c r="B158" s="104" t="s">
        <v>57</v>
      </c>
      <c r="C158" s="122"/>
      <c r="D158" s="122"/>
      <c r="E158" s="122"/>
      <c r="F158" s="122"/>
      <c r="G158" s="122"/>
      <c r="H158" s="122"/>
      <c r="I158" s="122"/>
      <c r="J158" s="122"/>
      <c r="K158" s="122"/>
      <c r="L158" s="122"/>
      <c r="M158" s="122"/>
      <c r="N158" s="101"/>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f>+AL161</f>
      </c>
      <c r="AN158" s="14">
        <f>+AM161</f>
      </c>
      <c r="AO158" s="14">
        <f>+AN161</f>
      </c>
      <c r="AP158" s="14">
        <f>+AO161</f>
      </c>
      <c r="AQ158" s="14">
        <f>+AL161</f>
      </c>
      <c r="AR158" s="14">
        <f>+AQ161</f>
      </c>
      <c r="AS158" s="14">
        <f>+AR161</f>
      </c>
      <c r="AT158" s="14">
        <f>+AS161</f>
      </c>
      <c r="AU158" s="14">
        <f>+AT161</f>
      </c>
      <c r="AV158" s="14">
        <f>+AQ161</f>
      </c>
      <c r="AW158" s="14">
        <f>+AV161</f>
      </c>
      <c r="AX158" s="14">
        <f>+AW161</f>
      </c>
      <c r="AY158" s="14">
        <f>+AX161</f>
      </c>
      <c r="AZ158" s="14">
        <f>+AY161</f>
      </c>
      <c r="BA158" s="14">
        <f>+AV161</f>
      </c>
      <c r="BB158" s="14">
        <f>+BA161</f>
      </c>
      <c r="BC158" s="14">
        <f>+BB161</f>
      </c>
      <c r="BD158" s="14">
        <f>+BC161</f>
      </c>
      <c r="BE158" s="14">
        <f>+BD161</f>
      </c>
      <c r="BF158" s="14">
        <f>+BA161</f>
      </c>
      <c r="BG158" s="14">
        <f>+BF161</f>
      </c>
      <c r="BH158" s="14">
        <f>+BG161</f>
      </c>
      <c r="BI158" s="14">
        <f>+BH161</f>
      </c>
      <c r="BJ158" s="14">
        <f>+BI161</f>
      </c>
      <c r="BK158" s="14">
        <f>+BF161</f>
      </c>
      <c r="BL158" s="14">
        <f>+BK161</f>
      </c>
      <c r="BM158" s="14">
        <f>+BL161</f>
      </c>
      <c r="BN158" s="14">
        <f>+BM161</f>
      </c>
      <c r="BO158" s="14">
        <f>+BN161</f>
      </c>
      <c r="BP158" s="14">
        <f>+BK161</f>
      </c>
      <c r="BQ158" s="14">
        <f>+BP161</f>
      </c>
      <c r="BR158" s="14">
        <f>+BQ161</f>
      </c>
      <c r="BS158" s="14">
        <f>+BR161</f>
      </c>
      <c r="BT158" s="14">
        <f>+BS161</f>
      </c>
      <c r="BU158" s="552">
        <f>+BP161</f>
      </c>
      <c r="BV158" s="14">
        <f>+BU161</f>
      </c>
      <c r="BW158" s="14">
        <f>+BV161</f>
      </c>
      <c r="BX158" s="14">
        <f>+BW161</f>
      </c>
      <c r="BY158" s="14">
        <f>+BX161</f>
      </c>
      <c r="BZ158" s="552">
        <f>+BU161</f>
      </c>
      <c r="CA158" s="14">
        <f>+BZ161</f>
      </c>
      <c r="CB158" s="14">
        <f>+CA161</f>
      </c>
      <c r="CC158" s="14">
        <f>+CB161</f>
      </c>
      <c r="CD158" s="14">
        <f>+CC161</f>
      </c>
      <c r="CE158" s="552">
        <f>+BZ161</f>
      </c>
      <c r="CF158" s="14">
        <f>+CE161</f>
      </c>
      <c r="CG158" s="14">
        <f>+CF161</f>
      </c>
      <c r="CH158" s="14">
        <f>+CG161</f>
      </c>
      <c r="CI158" s="14">
        <f>+CH161</f>
      </c>
      <c r="CJ158" s="552">
        <f>+CE161</f>
      </c>
      <c r="CK158" s="14">
        <f>+CJ161</f>
      </c>
      <c r="CL158" s="14">
        <f>+CK161</f>
      </c>
      <c r="CM158" s="14">
        <f>+CL161</f>
      </c>
      <c r="CN158" s="14">
        <f>+CM161</f>
      </c>
      <c r="CO158" s="552">
        <f>+CJ161</f>
      </c>
      <c r="CP158" s="14">
        <f>+CO161</f>
      </c>
      <c r="CQ158" s="14">
        <f>+CP161</f>
      </c>
      <c r="CR158" s="14">
        <f>+CQ161</f>
      </c>
      <c r="CS158" s="14">
        <f>+CR161</f>
      </c>
      <c r="CT158" s="552">
        <f>+CO161</f>
      </c>
      <c r="CU158" s="14">
        <f>+CT161</f>
      </c>
      <c r="CV158" s="14">
        <f>+CU161</f>
      </c>
      <c r="CW158" s="14">
        <f>+CV161</f>
      </c>
      <c r="CX158" s="14">
        <f>+CW161</f>
      </c>
      <c r="CY158" s="552">
        <f>+CT161</f>
      </c>
      <c r="CZ158" s="14">
        <f>+CY161</f>
      </c>
      <c r="DA158" s="14">
        <f>+CZ161</f>
      </c>
      <c r="DB158" s="14">
        <f>+DA161</f>
      </c>
      <c r="DC158" s="14">
        <f>+DB161</f>
      </c>
      <c r="DD158" s="552">
        <f>+CY161</f>
      </c>
      <c r="DE158" s="14">
        <f>+DD161</f>
      </c>
      <c r="DF158" s="14">
        <f>+DE161</f>
      </c>
      <c r="DG158" s="14">
        <f>+DF161</f>
      </c>
      <c r="DH158" s="14">
        <f>+DG161</f>
      </c>
      <c r="DI158" s="552">
        <f>+DD161</f>
      </c>
      <c r="DJ158" s="14">
        <f>+DI161</f>
      </c>
      <c r="DK158" s="14">
        <f>+DJ161</f>
      </c>
      <c r="DL158" s="14">
        <f>+DK161</f>
      </c>
      <c r="DM158" s="14">
        <f>+DL161</f>
      </c>
      <c r="DN158" s="552">
        <f>+DI161</f>
      </c>
      <c r="DO158" s="1037">
        <f>+DN161</f>
      </c>
      <c r="DP158" s="1037">
        <f>+DO161</f>
      </c>
      <c r="DQ158" s="1037">
        <f>+DP161</f>
      </c>
      <c r="DR158" s="14">
        <f>+DQ161</f>
      </c>
      <c r="DS158" s="552">
        <f>+DN161</f>
      </c>
      <c r="DT158" s="1037">
        <f>+DS161</f>
      </c>
      <c r="DU158" s="1037">
        <f>+DT161</f>
      </c>
      <c r="DV158" s="1037">
        <f>+DU161</f>
      </c>
      <c r="DW158" s="14">
        <f>+DV161</f>
      </c>
      <c r="DX158" s="552">
        <f>+DS161</f>
      </c>
      <c r="DY158" s="1037">
        <f>+DX161</f>
      </c>
      <c r="DZ158" s="1037">
        <f>+DY161</f>
      </c>
      <c r="EA158" s="1037">
        <f>+DZ161</f>
      </c>
      <c r="EB158" s="14">
        <f>+EA161</f>
      </c>
      <c r="EC158" s="283">
        <f>+DX161</f>
      </c>
      <c r="ED158" s="1037">
        <f>+EC161</f>
      </c>
      <c r="EE158" s="1037">
        <f>+ED161</f>
      </c>
      <c r="EF158" s="1037">
        <f>+EE161</f>
      </c>
      <c r="EG158" s="1037">
        <f>+EF161</f>
      </c>
      <c r="EH158" s="2748">
        <f>+EC161</f>
      </c>
      <c r="EI158" s="1037">
        <f>+EH161</f>
      </c>
      <c r="EJ158" s="1037">
        <f>+EI161</f>
      </c>
      <c r="EK158" s="1037">
        <f>+EJ161</f>
      </c>
      <c r="EL158" s="1037">
        <f>+EK161</f>
      </c>
      <c r="EM158" s="2555">
        <f>+EH161</f>
      </c>
      <c r="EN158" s="2573">
        <f>+EM161</f>
      </c>
      <c r="EO158" s="2702">
        <f>+EN161</f>
      </c>
      <c r="EP158" s="3203">
        <f>+EO161</f>
      </c>
      <c r="EQ158" s="2440">
        <f>+EP161</f>
      </c>
      <c r="ER158" s="1298">
        <f>+EM161</f>
      </c>
      <c r="ES158" s="2573">
        <f>+ER161</f>
      </c>
      <c r="ET158" s="3203">
        <f>+ES161</f>
      </c>
      <c r="EU158" s="3203">
        <f>+ET161</f>
      </c>
      <c r="EV158" s="2440">
        <f>+EU161</f>
      </c>
      <c r="EW158" s="1298">
        <f>+ER161</f>
      </c>
      <c r="EX158" s="2573">
        <f>+EW161</f>
      </c>
      <c r="EY158" s="3203">
        <f>+EX161</f>
      </c>
      <c r="EZ158" s="3203">
        <f>+EY161</f>
      </c>
      <c r="FA158" s="2440">
        <f>+EZ161</f>
      </c>
      <c r="FB158" s="1298">
        <f>+EW161</f>
      </c>
      <c r="FC158" s="1298">
        <f t="shared" ref="FC158:FG158" si="570">+FB161</f>
      </c>
      <c r="FD158" s="1298">
        <f t="shared" si="570"/>
      </c>
      <c r="FE158" s="1298">
        <f t="shared" si="570"/>
      </c>
      <c r="FF158" s="1298">
        <f t="shared" si="570"/>
      </c>
      <c r="FG158" s="1298">
        <f t="shared" si="570"/>
      </c>
    </row>
    <row r="159" spans="1:163" outlineLevel="1">
      <c r="A159" s="1"/>
      <c r="B159" s="3232" t="s">
        <v>883</v>
      </c>
      <c r="C159" s="122"/>
      <c r="D159" s="122"/>
      <c r="E159" s="122"/>
      <c r="F159" s="122"/>
      <c r="G159" s="122"/>
      <c r="H159" s="122"/>
      <c r="I159" s="122"/>
      <c r="J159" s="122"/>
      <c r="K159" s="122"/>
      <c r="L159" s="122"/>
      <c r="M159" s="122"/>
      <c r="N159" s="101"/>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f t="shared" ref="AM159:BU159" si="571">+AM161-AM158-AM160</f>
      </c>
      <c r="AN159" s="14">
        <f t="shared" si="571"/>
      </c>
      <c r="AO159" s="14">
        <f t="shared" si="571"/>
      </c>
      <c r="AP159" s="14">
        <f t="shared" si="571"/>
      </c>
      <c r="AQ159" s="14">
        <f t="shared" si="571"/>
      </c>
      <c r="AR159" s="14">
        <f t="shared" si="571"/>
      </c>
      <c r="AS159" s="14">
        <f t="shared" si="571"/>
      </c>
      <c r="AT159" s="14">
        <f t="shared" si="571"/>
      </c>
      <c r="AU159" s="14">
        <f t="shared" si="571"/>
      </c>
      <c r="AV159" s="14">
        <f t="shared" si="571"/>
      </c>
      <c r="AW159" s="14">
        <f t="shared" si="571"/>
      </c>
      <c r="AX159" s="14">
        <f t="shared" si="571"/>
      </c>
      <c r="AY159" s="14">
        <f t="shared" si="571"/>
      </c>
      <c r="AZ159" s="14">
        <f t="shared" si="571"/>
      </c>
      <c r="BA159" s="14">
        <f t="shared" si="571"/>
      </c>
      <c r="BB159" s="14">
        <f t="shared" si="571"/>
      </c>
      <c r="BC159" s="14">
        <f t="shared" si="571"/>
      </c>
      <c r="BD159" s="14">
        <f t="shared" si="571"/>
      </c>
      <c r="BE159" s="14">
        <f t="shared" si="571"/>
      </c>
      <c r="BF159" s="14">
        <f t="shared" si="571"/>
      </c>
      <c r="BG159" s="14">
        <f t="shared" si="571"/>
      </c>
      <c r="BH159" s="14">
        <f t="shared" si="571"/>
      </c>
      <c r="BI159" s="14">
        <f t="shared" si="571"/>
      </c>
      <c r="BJ159" s="14">
        <f t="shared" si="571"/>
      </c>
      <c r="BK159" s="14">
        <f t="shared" si="571"/>
      </c>
      <c r="BL159" s="14">
        <f t="shared" si="571"/>
      </c>
      <c r="BM159" s="14">
        <f t="shared" si="571"/>
      </c>
      <c r="BN159" s="14">
        <f t="shared" si="571"/>
      </c>
      <c r="BO159" s="14">
        <f t="shared" si="571"/>
      </c>
      <c r="BP159" s="14">
        <f t="shared" si="571"/>
      </c>
      <c r="BQ159" s="14">
        <f t="shared" si="571"/>
      </c>
      <c r="BR159" s="14">
        <f t="shared" si="571"/>
      </c>
      <c r="BS159" s="14">
        <f t="shared" si="571"/>
      </c>
      <c r="BT159" s="14">
        <f t="shared" si="571"/>
      </c>
      <c r="BU159" s="552">
        <f t="shared" si="571"/>
      </c>
      <c r="BV159" s="14">
        <f t="shared" ref="BV159:CH159" si="572">+BV161-BV158-BV160</f>
      </c>
      <c r="BW159" s="14">
        <f t="shared" si="572"/>
      </c>
      <c r="BX159" s="14">
        <f t="shared" si="572"/>
      </c>
      <c r="BY159" s="249">
        <f t="shared" si="572"/>
      </c>
      <c r="BZ159" s="552">
        <f t="shared" si="572"/>
      </c>
      <c r="CA159" s="14">
        <f t="shared" si="572"/>
      </c>
      <c r="CB159" s="249">
        <f t="shared" si="572"/>
      </c>
      <c r="CC159" s="14">
        <f t="shared" si="572"/>
      </c>
      <c r="CD159" s="14">
        <f t="shared" si="572"/>
      </c>
      <c r="CE159" s="552">
        <f>SUM(CA159:CD159)</f>
      </c>
      <c r="CF159" s="14">
        <f t="shared" si="572"/>
      </c>
      <c r="CG159" s="14">
        <f t="shared" si="572"/>
      </c>
      <c r="CH159" s="14">
        <f t="shared" si="572"/>
      </c>
      <c r="CI159" s="14">
        <f>+CI161-CI158-CI160</f>
      </c>
      <c r="CJ159" s="552">
        <f>SUM(CF159:CI159)</f>
      </c>
      <c r="CK159" s="14">
        <f>+CK161-CK158-CK160</f>
      </c>
      <c r="CL159" s="14">
        <f>+CL161-CL158-CL160</f>
      </c>
      <c r="CM159" s="14">
        <f>+CM161-CM158-CM160</f>
      </c>
      <c r="CN159" s="14">
        <f>+CN161-CN158-CN160</f>
      </c>
      <c r="CO159" s="552">
        <f>SUM(CK159:CN159)</f>
      </c>
      <c r="CP159" s="14">
        <f>+CP161-CP158-CP160</f>
      </c>
      <c r="CQ159" s="14">
        <f>+CQ161-CQ158-CQ160</f>
      </c>
      <c r="CR159" s="14">
        <f>+CR161-CR158-CR160</f>
      </c>
      <c r="CS159" s="14">
        <f>+CS161-CS158-CS160</f>
      </c>
      <c r="CT159" s="552">
        <f>SUM(CP159:CS159)</f>
      </c>
      <c r="CU159" s="14">
        <f>+CU161-CU158-CU160</f>
      </c>
      <c r="CV159" s="14">
        <f>+CV161-CV158-CV160</f>
      </c>
      <c r="CW159" s="14">
        <f>+CW161-CW158-CW160</f>
      </c>
      <c r="CX159" s="1037">
        <f>+CX161-CX158-CX160</f>
      </c>
      <c r="CY159" s="562">
        <f>SUM(CU159:CX159)</f>
      </c>
      <c r="CZ159" s="14">
        <f>+CZ161-CZ158-CZ160</f>
      </c>
      <c r="DA159" s="14">
        <f>+DA161-DA158-DA160</f>
      </c>
      <c r="DB159" s="14">
        <f>+DB161-DB158-DB160</f>
      </c>
      <c r="DC159" s="1037">
        <f>+DC161-DC158-DC160</f>
      </c>
      <c r="DD159" s="562">
        <f>SUM(CZ159:DC159)</f>
      </c>
      <c r="DE159" s="14">
        <f>+DE161-DE158-DE160</f>
      </c>
      <c r="DF159" s="14">
        <f>+DF161-DF158-DF160</f>
      </c>
      <c r="DG159" s="14">
        <f>+DG161-DG158-DG160</f>
      </c>
      <c r="DH159" s="1037">
        <f>+DH161-DH158-DH160</f>
      </c>
      <c r="DI159" s="1210">
        <f>SUM(DE159:DH159)</f>
      </c>
      <c r="DJ159" s="14">
        <f>+DJ161-DJ158-DJ160</f>
      </c>
      <c r="DK159" s="14">
        <f>+DK161-DK158-DK160</f>
      </c>
      <c r="DL159" s="14">
        <f>+DL161-DL158-DL160</f>
      </c>
      <c r="DM159" s="1037">
        <f>+DM161-DM158-DM160</f>
      </c>
      <c r="DN159" s="1210">
        <f>SUM(DJ159:DM159)</f>
      </c>
      <c r="DO159" s="1037">
        <f>+DO161-DO158-DO160</f>
      </c>
      <c r="DP159" s="1037">
        <f>+DP161-DP158-DP160</f>
      </c>
      <c r="DQ159" s="1037">
        <f>+DQ161-DQ158-DQ160</f>
      </c>
      <c r="DR159" s="1037">
        <f>+DR161-DR158-DR160</f>
      </c>
      <c r="DS159" s="1210">
        <f>SUM(DO159:DR159)</f>
      </c>
      <c r="DT159" s="1037">
        <f>+DT161-DT158-DT160</f>
      </c>
      <c r="DU159" s="1037">
        <f>+DU161-DU158-DU160</f>
      </c>
      <c r="DV159" s="1037">
        <f>+DV161-DV158-DV160</f>
      </c>
      <c r="DW159" s="1037">
        <f>+DW161-DW158-DW160</f>
      </c>
      <c r="DX159" s="1210">
        <f>SUM(DT159:DW159)</f>
      </c>
      <c r="DY159" s="1037">
        <f>+DY161-DY158-DY160</f>
      </c>
      <c r="DZ159" s="1037">
        <f>+DZ161-DZ158-DZ160</f>
      </c>
      <c r="EA159" s="1037">
        <f>+EA161-EA158-EA160</f>
      </c>
      <c r="EB159" s="1037">
        <f>+EB161-EB158-EB160</f>
      </c>
      <c r="EC159" s="2748">
        <f>SUM(DY159:EB159)</f>
      </c>
      <c r="ED159" s="1037">
        <f>+ED161-ED158-ED160</f>
      </c>
      <c r="EE159" s="1037">
        <f>+EE161-EE158-EE160</f>
      </c>
      <c r="EF159" s="1037">
        <f>+EF161-EF158-EF160</f>
      </c>
      <c r="EG159" s="1037">
        <f>+EG161-EG158-EG160</f>
      </c>
      <c r="EH159" s="2748">
        <f>+SUM(ED159:EG159)</f>
      </c>
      <c r="EI159" s="1037">
        <f>+EI161-EI158-EI160</f>
      </c>
      <c r="EJ159" s="1037">
        <f>+EJ161-EJ158-EJ160</f>
      </c>
      <c r="EK159" s="1037">
        <f>+EK161-EK158-EK160</f>
      </c>
      <c r="EL159" s="1037">
        <f>+EL161-EL158-EL160</f>
      </c>
      <c r="EM159" s="2555">
        <f>+SUM(EI159:EL159)</f>
      </c>
      <c r="EN159" s="2573">
        <f>+EN161-EN158-EN160</f>
      </c>
      <c r="EO159" s="1037">
        <f>+EO161-EO158-EO160</f>
      </c>
      <c r="EP159" s="1037">
        <f>((20177-16232)+(9539-7685)+(6834-1640)+(9696-9464))*-1-EP160</f>
      </c>
      <c r="EQ159" s="1037">
        <f>+EQ161-EQ158-EQ160</f>
      </c>
      <c r="ER159" s="3396">
        <f>+SUM(EN159:EQ159)</f>
      </c>
      <c r="ES159" s="2573">
        <f>+ES161-ES158-ES160</f>
      </c>
      <c r="ET159" s="1037">
        <f>+ET161-ET158-ET160</f>
      </c>
      <c r="EU159" s="1037">
        <f t="shared" ref="EU159:EV159" si="573">+EU161-EU158-EU160</f>
      </c>
      <c r="EV159" s="1037">
        <f t="shared" si="573"/>
      </c>
      <c r="EW159" s="3396">
        <f>+SUM(ES159:EV159)</f>
      </c>
      <c r="EX159" s="2573">
        <f>+EX161-EX158-EX160</f>
      </c>
      <c r="EY159" s="1037">
        <f>+EY161-EY158-EY160</f>
      </c>
      <c r="EZ159" s="1037">
        <v>0</v>
      </c>
      <c r="FA159" s="1037">
        <v>0</v>
      </c>
      <c r="FB159" s="405">
        <f>SUM(EX159:FA159)</f>
      </c>
      <c r="FC159" s="405">
        <v>0</v>
      </c>
      <c r="FD159" s="405">
        <v>0</v>
      </c>
      <c r="FE159" s="405">
        <v>0</v>
      </c>
      <c r="FF159" s="405">
        <v>0</v>
      </c>
      <c r="FG159" s="405">
        <v>0</v>
      </c>
    </row>
    <row r="160" spans="1:163" outlineLevel="1">
      <c r="A160" s="2409"/>
      <c r="B160" s="104" t="s">
        <v>58</v>
      </c>
      <c r="C160" s="122"/>
      <c r="D160" s="122"/>
      <c r="E160" s="122"/>
      <c r="F160" s="122"/>
      <c r="G160" s="122"/>
      <c r="H160" s="122"/>
      <c r="I160" s="122"/>
      <c r="J160" s="122"/>
      <c r="K160" s="122"/>
      <c r="L160" s="122"/>
      <c r="M160" s="122"/>
      <c r="N160" s="101"/>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f>+-'Cash Flows'!AY15-'Balance Sheet'!AW138</f>
      </c>
      <c r="AX160" s="14">
        <f>+-'Cash Flows'!AZ15-'Balance Sheet'!AX138</f>
      </c>
      <c r="AY160" s="14">
        <f>+-'Cash Flows'!BA15-'Balance Sheet'!AY138</f>
      </c>
      <c r="AZ160" s="14">
        <f>+-'Cash Flows'!BB15-'Balance Sheet'!AZ138</f>
      </c>
      <c r="BA160" s="14">
        <f>+-'Cash Flows'!BC15-'Balance Sheet'!BA138</f>
      </c>
      <c r="BB160" s="14">
        <f>+-'Cash Flows'!BD15-'Balance Sheet'!BB138</f>
      </c>
      <c r="BC160" s="14">
        <f>+-'Cash Flows'!BE15-'Balance Sheet'!BC138</f>
      </c>
      <c r="BD160" s="14">
        <f>+-'Cash Flows'!BF15-'Balance Sheet'!BD138</f>
      </c>
      <c r="BE160" s="14">
        <f>+-'Cash Flows'!BG15-'Balance Sheet'!BE138</f>
      </c>
      <c r="BF160" s="14">
        <f>+-'Cash Flows'!BH15-'Balance Sheet'!BF138</f>
      </c>
      <c r="BG160" s="14">
        <f>+-'Cash Flows'!BI15-'Balance Sheet'!BG138</f>
      </c>
      <c r="BH160" s="14">
        <f>+-'Cash Flows'!BJ15-'Balance Sheet'!BH138</f>
      </c>
      <c r="BI160" s="14">
        <f>+-'Cash Flows'!BK15-'Balance Sheet'!BI138</f>
      </c>
      <c r="BJ160" s="14">
        <f>+-'Cash Flows'!BL15-'Balance Sheet'!BJ138</f>
      </c>
      <c r="BK160" s="14">
        <f>+-'Cash Flows'!BM15-'Balance Sheet'!BK138</f>
      </c>
      <c r="BL160" s="14">
        <f>+-'Cash Flows'!BN15-'Balance Sheet'!BL138</f>
      </c>
      <c r="BM160" s="14">
        <f>+-'Cash Flows'!BO15-'Balance Sheet'!BM138</f>
      </c>
      <c r="BN160" s="14">
        <f>+-'Cash Flows'!BP15-'Balance Sheet'!BN138</f>
      </c>
      <c r="BO160" s="14">
        <f>+-'Cash Flows'!BQ15-'Balance Sheet'!BO138</f>
      </c>
      <c r="BP160" s="14">
        <f>+-'Cash Flows'!BR15-'Balance Sheet'!BP138</f>
      </c>
      <c r="BQ160" s="14">
        <v>-197</v>
      </c>
      <c r="BR160" s="14">
        <v>-197</v>
      </c>
      <c r="BS160" s="14">
        <v>-197</v>
      </c>
      <c r="BT160" s="14">
        <v>-197</v>
      </c>
      <c r="BU160" s="552">
        <v>-788</v>
      </c>
      <c r="BV160" s="14">
        <v>-168.75</v>
      </c>
      <c r="BW160" s="14">
        <v>-168.75</v>
      </c>
      <c r="BX160" s="14">
        <v>-168.75</v>
      </c>
      <c r="BY160" s="14">
        <v>-168.75</v>
      </c>
      <c r="BZ160" s="552">
        <v>-675</v>
      </c>
      <c r="CA160" s="249">
        <v>-187</v>
      </c>
      <c r="CB160" s="249">
        <v>-187</v>
      </c>
      <c r="CC160" s="249">
        <v>-187</v>
      </c>
      <c r="CD160" s="249">
        <v>-187</v>
      </c>
      <c r="CE160" s="555">
        <v>-748</v>
      </c>
      <c r="CF160" s="563">
        <f>CJ160/4</f>
      </c>
      <c r="CG160" s="563">
        <f>CJ160/4</f>
      </c>
      <c r="CH160" s="563">
        <f>CJ160/4</f>
      </c>
      <c r="CI160" s="563">
        <f>CJ160/4</f>
      </c>
      <c r="CJ160" s="555">
        <f>-852</f>
      </c>
      <c r="CK160" s="563">
        <f>CO160/4</f>
      </c>
      <c r="CL160" s="249">
        <f>$CO$160/4</f>
      </c>
      <c r="CM160" s="563">
        <f>CO160/4</f>
      </c>
      <c r="CN160" s="249">
        <f>CO160/4</f>
      </c>
      <c r="CO160" s="555">
        <v>-1146</v>
      </c>
      <c r="CP160" s="563">
        <f>CT160/4</f>
      </c>
      <c r="CQ160" s="249">
        <f>+$CT$160/4</f>
      </c>
      <c r="CR160" s="249">
        <f>+CT160/4</f>
      </c>
      <c r="CS160" s="249">
        <f>CT160/4</f>
      </c>
      <c r="CT160" s="555">
        <v>-1363</v>
      </c>
      <c r="CU160" s="563">
        <f>CY160-CV160-CW160-CX160</f>
      </c>
      <c r="CV160" s="249">
        <f>+$CT$160/4</f>
      </c>
      <c r="CW160" s="249">
        <f>+CY160/4</f>
      </c>
      <c r="CX160" s="249">
        <f>CY160/4</f>
      </c>
      <c r="CY160" s="552">
        <v>-1363</v>
      </c>
      <c r="CZ160" s="563">
        <f>DD160-DA160-DB160-DC160</f>
      </c>
      <c r="DA160" s="249">
        <f>+$CT$160/4</f>
      </c>
      <c r="DB160" s="249">
        <f>+DD160/4</f>
      </c>
      <c r="DC160" s="249">
        <f>DD160/4</f>
      </c>
      <c r="DD160" s="552">
        <v>-1363</v>
      </c>
      <c r="DE160" s="563">
        <f>DI160-DF160-DG160-DH160</f>
      </c>
      <c r="DF160" s="249">
        <f>+$CT$160/4</f>
      </c>
      <c r="DG160" s="249">
        <f>+DI160/4</f>
      </c>
      <c r="DH160" s="249">
        <f>DI160/4</f>
      </c>
      <c r="DI160" s="552">
        <v>-1363</v>
      </c>
      <c r="DJ160" s="563">
        <f>DN160-DK160-DL160-DM160</f>
      </c>
      <c r="DK160" s="563">
        <f>+DN160/4</f>
      </c>
      <c r="DL160" s="563">
        <f>+DO160/4</f>
      </c>
      <c r="DM160" s="249">
        <f>DN160/4</f>
      </c>
      <c r="DN160" s="552">
        <v>-1363</v>
      </c>
      <c r="DO160" s="563">
        <f>DS160-DP160-DQ160-DR160</f>
      </c>
      <c r="DP160" s="563">
        <f>+DS160/4</f>
      </c>
      <c r="DQ160" s="563">
        <f>+DT160/4</f>
      </c>
      <c r="DR160" s="249">
        <f>DS160/4</f>
      </c>
      <c r="DS160" s="552">
        <v>-1363</v>
      </c>
      <c r="DT160" s="563">
        <f>DX160-DU160-DV160-DW160</f>
      </c>
      <c r="DU160" s="563">
        <f>+DX160/4</f>
      </c>
      <c r="DV160" s="249">
        <v>-337.5</v>
      </c>
      <c r="DW160" s="249">
        <f>DX160/4</f>
      </c>
      <c r="DX160" s="552">
        <v>-1363</v>
      </c>
      <c r="DY160" s="563">
        <f>EC160-DZ160-EA160-EB160</f>
      </c>
      <c r="DZ160" s="563">
        <f>+EC160/4</f>
      </c>
      <c r="EA160" s="563">
        <f>+ED160/4</f>
      </c>
      <c r="EB160" s="249">
        <f>EC160/4</f>
      </c>
      <c r="EC160" s="283">
        <v>-1363</v>
      </c>
      <c r="ED160" s="563">
        <f>EH160-EE160-EF160-EG160</f>
      </c>
      <c r="EE160" s="249">
        <f>$EH$160/4</f>
      </c>
      <c r="EF160" s="249">
        <f>$EH$160/4</f>
      </c>
      <c r="EG160" s="249">
        <f>$EH$160/4</f>
      </c>
      <c r="EH160" s="2751">
        <v>-1350</v>
      </c>
      <c r="EI160" s="563">
        <f>EM160-EJ160-EK160-EL160</f>
      </c>
      <c r="EJ160" s="249">
        <f>+EM160/4</f>
      </c>
      <c r="EK160" s="249">
        <f>+EM160/4</f>
      </c>
      <c r="EL160" s="249">
        <f>+EM160/4</f>
      </c>
      <c r="EM160" s="2556">
        <f>-((22266-20088)+(12901-11925))</f>
      </c>
      <c r="EN160" s="3228">
        <f>+EN162-EN164</f>
      </c>
      <c r="EO160" s="1106">
        <f>+EO162-EN162</f>
      </c>
      <c r="EP160" s="1106">
        <f>+EP162-EO162</f>
      </c>
      <c r="EQ160" s="249">
        <v>-788.5</v>
      </c>
      <c r="ER160" s="3397">
        <f>SUM(EN160:EQ160)</f>
      </c>
      <c r="ES160" s="3228">
        <f>+ES162-ES164</f>
      </c>
      <c r="ET160" s="1106">
        <f>+ET162-ES162</f>
      </c>
      <c r="EU160" s="1106">
        <v>-1253</v>
      </c>
      <c r="EV160" s="249">
        <v>-788.5</v>
      </c>
      <c r="EW160" s="3397">
        <f>SUM(ES160:EV160)</f>
      </c>
      <c r="EX160" s="3228">
        <f>+EX162-EX164</f>
      </c>
      <c r="EY160" s="1106">
        <v>-1000</v>
      </c>
      <c r="EZ160" s="1144">
        <v>-1000</v>
      </c>
      <c r="FA160" s="1144">
        <v>-1000</v>
      </c>
      <c r="FB160" s="3094">
        <f>SUM(EX160:FA160)</f>
      </c>
      <c r="FC160" s="3094">
        <v>-4000</v>
      </c>
      <c r="FD160" s="3094">
        <v>-4000</v>
      </c>
      <c r="FE160" s="3094">
        <v>-4000</v>
      </c>
      <c r="FF160" s="3094">
        <v>-4000</v>
      </c>
      <c r="FG160" s="3094">
        <v>-4000</v>
      </c>
    </row>
    <row r="161" spans="1:165" outlineLevel="1">
      <c r="A161" s="1"/>
      <c r="B161" s="105" t="s">
        <v>59</v>
      </c>
      <c r="C161" s="123"/>
      <c r="D161" s="123"/>
      <c r="E161" s="123"/>
      <c r="F161" s="123"/>
      <c r="G161" s="123"/>
      <c r="H161" s="123"/>
      <c r="I161" s="123"/>
      <c r="J161" s="123"/>
      <c r="K161" s="123"/>
      <c r="L161" s="123"/>
      <c r="M161" s="123"/>
      <c r="N161" s="106"/>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f>+AL24</f>
      </c>
      <c r="AM161" s="102">
        <f t="shared" ref="AM161:BU161" si="574">+AM24</f>
      </c>
      <c r="AN161" s="102">
        <f t="shared" si="574"/>
      </c>
      <c r="AO161" s="102">
        <f t="shared" si="574"/>
      </c>
      <c r="AP161" s="102">
        <f t="shared" si="574"/>
      </c>
      <c r="AQ161" s="102">
        <f t="shared" si="574"/>
      </c>
      <c r="AR161" s="102">
        <f t="shared" si="574"/>
      </c>
      <c r="AS161" s="102">
        <f t="shared" si="574"/>
      </c>
      <c r="AT161" s="102">
        <f t="shared" si="574"/>
      </c>
      <c r="AU161" s="102">
        <f t="shared" si="574"/>
      </c>
      <c r="AV161" s="102">
        <f t="shared" si="574"/>
      </c>
      <c r="AW161" s="102">
        <f t="shared" si="574"/>
      </c>
      <c r="AX161" s="102">
        <f t="shared" si="574"/>
      </c>
      <c r="AY161" s="102">
        <f t="shared" si="574"/>
      </c>
      <c r="AZ161" s="102">
        <f t="shared" si="574"/>
      </c>
      <c r="BA161" s="102">
        <f t="shared" si="574"/>
      </c>
      <c r="BB161" s="102">
        <f t="shared" si="574"/>
      </c>
      <c r="BC161" s="102">
        <f t="shared" si="574"/>
      </c>
      <c r="BD161" s="102">
        <f t="shared" si="574"/>
      </c>
      <c r="BE161" s="102">
        <f t="shared" si="574"/>
      </c>
      <c r="BF161" s="102">
        <f t="shared" si="574"/>
      </c>
      <c r="BG161" s="102">
        <f t="shared" si="574"/>
      </c>
      <c r="BH161" s="102">
        <f t="shared" si="574"/>
      </c>
      <c r="BI161" s="102">
        <f t="shared" si="574"/>
      </c>
      <c r="BJ161" s="102">
        <f t="shared" si="574"/>
      </c>
      <c r="BK161" s="102">
        <f t="shared" si="574"/>
      </c>
      <c r="BL161" s="102">
        <f t="shared" si="574"/>
      </c>
      <c r="BM161" s="102">
        <f t="shared" si="574"/>
      </c>
      <c r="BN161" s="102">
        <f t="shared" si="574"/>
      </c>
      <c r="BO161" s="102">
        <f t="shared" si="574"/>
      </c>
      <c r="BP161" s="102">
        <f t="shared" si="574"/>
      </c>
      <c r="BQ161" s="102">
        <f t="shared" si="574"/>
      </c>
      <c r="BR161" s="102">
        <f t="shared" si="574"/>
      </c>
      <c r="BS161" s="102">
        <f t="shared" si="574"/>
      </c>
      <c r="BT161" s="102">
        <f t="shared" si="574"/>
      </c>
      <c r="BU161" s="553">
        <f t="shared" si="574"/>
      </c>
      <c r="BV161" s="102">
        <f t="shared" ref="BV161:CH161" si="575">+BV24</f>
      </c>
      <c r="BW161" s="102">
        <f t="shared" si="575"/>
      </c>
      <c r="BX161" s="102">
        <f t="shared" si="575"/>
      </c>
      <c r="BY161" s="102">
        <f t="shared" si="575"/>
      </c>
      <c r="BZ161" s="553">
        <f t="shared" si="575"/>
      </c>
      <c r="CA161" s="102">
        <f t="shared" si="575"/>
      </c>
      <c r="CB161" s="102">
        <f t="shared" si="575"/>
      </c>
      <c r="CC161" s="102">
        <f t="shared" si="575"/>
      </c>
      <c r="CD161" s="102">
        <f t="shared" si="575"/>
      </c>
      <c r="CE161" s="553">
        <f t="shared" si="575"/>
      </c>
      <c r="CF161" s="102">
        <f t="shared" si="575"/>
      </c>
      <c r="CG161" s="102">
        <f t="shared" si="575"/>
      </c>
      <c r="CH161" s="102">
        <f t="shared" si="575"/>
      </c>
      <c r="CI161" s="102">
        <f>+CI24</f>
      </c>
      <c r="CJ161" s="553">
        <f>+SUM(CJ158:CJ160)</f>
      </c>
      <c r="CK161" s="102">
        <f>+CK24</f>
      </c>
      <c r="CL161" s="102">
        <f>+CL24</f>
      </c>
      <c r="CM161" s="102">
        <f>+CM24</f>
      </c>
      <c r="CN161" s="102">
        <f>+CN24</f>
      </c>
      <c r="CO161" s="553">
        <f>+SUM(CO158:CO160)</f>
      </c>
      <c r="CP161" s="102">
        <f>+CP24</f>
      </c>
      <c r="CQ161" s="102">
        <f>+CQ24</f>
      </c>
      <c r="CR161" s="102">
        <f>+CR24</f>
      </c>
      <c r="CS161" s="102">
        <f>+CS24</f>
      </c>
      <c r="CT161" s="553">
        <f>+SUM(CT158:CT160)</f>
      </c>
      <c r="CU161" s="102">
        <f>+CU24</f>
      </c>
      <c r="CV161" s="102">
        <f>+CV24</f>
      </c>
      <c r="CW161" s="102">
        <f>+CW24</f>
      </c>
      <c r="CX161" s="102">
        <f>+CX24</f>
      </c>
      <c r="CY161" s="553">
        <f>+SUM(CY158:CY160)</f>
      </c>
      <c r="CZ161" s="102">
        <f>+CZ24</f>
      </c>
      <c r="DA161" s="102">
        <f>+DA24</f>
      </c>
      <c r="DB161" s="102">
        <f>+DB24</f>
      </c>
      <c r="DC161" s="102">
        <f>+DC24</f>
      </c>
      <c r="DD161" s="553">
        <f>+SUM(DD158:DD160)</f>
      </c>
      <c r="DE161" s="102">
        <f>+DE24</f>
      </c>
      <c r="DF161" s="102">
        <f>+DF24</f>
      </c>
      <c r="DG161" s="102">
        <f>+DG24</f>
      </c>
      <c r="DH161" s="102">
        <f>+DH24</f>
      </c>
      <c r="DI161" s="553">
        <f>+SUM(DI158:DI160)</f>
      </c>
      <c r="DJ161" s="102">
        <f>+DJ24</f>
      </c>
      <c r="DK161" s="102">
        <f>+DK24</f>
      </c>
      <c r="DL161" s="102">
        <f>+DL24</f>
      </c>
      <c r="DM161" s="102">
        <f>+DM24</f>
      </c>
      <c r="DN161" s="553">
        <f>+SUM(DN158:DN160)</f>
      </c>
      <c r="DO161" s="1281">
        <f>+DO24</f>
      </c>
      <c r="DP161" s="1281">
        <f>+DP24</f>
      </c>
      <c r="DQ161" s="1281">
        <f>+DQ24</f>
      </c>
      <c r="DR161" s="102">
        <f>+DR24</f>
      </c>
      <c r="DS161" s="553">
        <f>+SUM(DS158:DS160)</f>
      </c>
      <c r="DT161" s="1281">
        <f>+DT24</f>
      </c>
      <c r="DU161" s="1281">
        <f>+DU24</f>
      </c>
      <c r="DV161" s="1281">
        <f>+DV24</f>
      </c>
      <c r="DW161" s="102">
        <f>+DW24</f>
      </c>
      <c r="DX161" s="553">
        <f>+SUM(DX158:DX160)</f>
      </c>
      <c r="DY161" s="1281">
        <f>+DY24</f>
      </c>
      <c r="DZ161" s="1281">
        <f>+DZ24</f>
      </c>
      <c r="EA161" s="1281">
        <f>+EA24</f>
      </c>
      <c r="EB161" s="102">
        <f>+EB24</f>
      </c>
      <c r="EC161" s="2749">
        <f>+SUM(EC158:EC160)</f>
      </c>
      <c r="ED161" s="1281">
        <f>+ED24</f>
      </c>
      <c r="EE161" s="1281">
        <f>+EE24</f>
      </c>
      <c r="EF161" s="1281">
        <f>+EF24</f>
      </c>
      <c r="EG161" s="102">
        <f>+EG24</f>
      </c>
      <c r="EH161" s="2752">
        <f>+SUM(EH158:EH160)</f>
      </c>
      <c r="EI161" s="1281">
        <f>+EI24</f>
      </c>
      <c r="EJ161" s="1281">
        <f>+EJ24</f>
      </c>
      <c r="EK161" s="1281">
        <f>+EK24</f>
      </c>
      <c r="EL161" s="102">
        <f>+EL24</f>
      </c>
      <c r="EM161" s="2557">
        <f>+SUM(EM158:EM160)</f>
      </c>
      <c r="EN161" s="2574">
        <f>+EN24</f>
      </c>
      <c r="EO161" s="2703">
        <f>+EO24</f>
      </c>
      <c r="EP161" s="1281">
        <f>+EP24</f>
      </c>
      <c r="EQ161" s="102">
        <f>+EQ24</f>
      </c>
      <c r="ER161" s="3398">
        <f>+SUM(ER158:ER160)</f>
      </c>
      <c r="ES161" s="2574">
        <f>+ES24</f>
      </c>
      <c r="ET161" s="3502">
        <f>+ET24</f>
      </c>
      <c r="EU161" s="1281">
        <f>+EU24</f>
      </c>
      <c r="EV161" s="102">
        <f>+EV24</f>
      </c>
      <c r="EW161" s="3398">
        <f>+SUM(EW158:EW160)</f>
      </c>
      <c r="EX161" s="2574">
        <f>+EX24</f>
      </c>
      <c r="EY161" s="3502">
        <f>+EY24</f>
      </c>
      <c r="EZ161" s="1281">
        <f t="shared" ref="EZ161:FA161" si="576">+SUM(EZ158:EZ160)</f>
      </c>
      <c r="FA161" s="102">
        <f t="shared" si="576"/>
      </c>
      <c r="FB161" s="3595">
        <f t="shared" ref="FB161:FD161" si="577">+SUM(FB158:FB160)</f>
      </c>
      <c r="FC161" s="1299">
        <f t="shared" si="577"/>
      </c>
      <c r="FD161" s="1299">
        <f t="shared" si="577"/>
      </c>
      <c r="FE161" s="1299">
        <f>+SUM(FE158:FE160)</f>
      </c>
      <c r="FF161" s="1299">
        <f>+SUM(FF158:FF160)</f>
      </c>
      <c r="FG161" s="1299">
        <f>+SUM(FG158:FG160)</f>
      </c>
    </row>
    <row r="162" spans="1:165" outlineLevel="1">
      <c r="A162" s="1"/>
      <c r="B162" s="172" t="s">
        <v>270</v>
      </c>
      <c r="C162" s="173"/>
      <c r="D162" s="173"/>
      <c r="E162" s="173"/>
      <c r="F162" s="173"/>
      <c r="G162" s="173"/>
      <c r="H162" s="173"/>
      <c r="I162" s="173"/>
      <c r="J162" s="173"/>
      <c r="K162" s="173"/>
      <c r="L162" s="173"/>
      <c r="M162" s="173"/>
      <c r="N162" s="174"/>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v>-2109</v>
      </c>
      <c r="AR162" s="100"/>
      <c r="AS162" s="100"/>
      <c r="AT162" s="100"/>
      <c r="AU162" s="100"/>
      <c r="AV162" s="100">
        <v>-2629</v>
      </c>
      <c r="AW162" s="100"/>
      <c r="AX162" s="100"/>
      <c r="AY162" s="100"/>
      <c r="AZ162" s="100"/>
      <c r="BA162" s="100">
        <v>-3263</v>
      </c>
      <c r="BB162" s="100"/>
      <c r="BC162" s="100"/>
      <c r="BD162" s="100"/>
      <c r="BE162" s="100"/>
      <c r="BF162" s="100">
        <v>-3600</v>
      </c>
      <c r="BG162" s="100"/>
      <c r="BH162" s="100"/>
      <c r="BI162" s="100"/>
      <c r="BJ162" s="100"/>
      <c r="BK162" s="100">
        <v>-4201</v>
      </c>
      <c r="BL162" s="100"/>
      <c r="BM162" s="100"/>
      <c r="BN162" s="100"/>
      <c r="BO162" s="100"/>
      <c r="BP162" s="100">
        <v>-4556</v>
      </c>
      <c r="BQ162" s="100"/>
      <c r="BR162" s="100"/>
      <c r="BS162" s="100"/>
      <c r="BT162" s="51"/>
      <c r="BU162" s="532">
        <v>-5120</v>
      </c>
      <c r="BV162" s="100"/>
      <c r="BW162" s="100"/>
      <c r="BX162" s="100"/>
      <c r="BY162" s="100"/>
      <c r="BZ162" s="549">
        <v>-5484.8571428571431</v>
      </c>
      <c r="CA162" s="100">
        <v>-5000</v>
      </c>
      <c r="CB162" s="100">
        <f>+CA162+CB160</f>
      </c>
      <c r="CC162" s="100">
        <f>+CB162+CC160</f>
      </c>
      <c r="CD162" s="100">
        <f>+CC162+CD160</f>
      </c>
      <c r="CE162" s="554">
        <f>+BZ162+CE160</f>
      </c>
      <c r="CF162" s="100">
        <f>+CE162+CF160</f>
      </c>
      <c r="CG162" s="100">
        <f>+CF162+CG160</f>
      </c>
      <c r="CH162" s="100">
        <f>+CG162+CH160</f>
      </c>
      <c r="CI162" s="100">
        <f>+CH162+CI160</f>
      </c>
      <c r="CJ162" s="554">
        <f>+CE162+CJ160</f>
      </c>
      <c r="CK162" s="100">
        <f>+CJ162+CK160</f>
      </c>
      <c r="CL162" s="100">
        <f>+CK162+CL160</f>
      </c>
      <c r="CM162" s="100">
        <f>+CL162+CM160</f>
      </c>
      <c r="CN162" s="100">
        <f>+CM162+CN160</f>
      </c>
      <c r="CO162" s="554">
        <f>+CJ162+CO160</f>
      </c>
      <c r="CP162" s="100">
        <f>+CO162+CP160</f>
      </c>
      <c r="CQ162" s="100">
        <f>+CP162+CQ160</f>
      </c>
      <c r="CR162" s="100">
        <f>+CQ162+CR160</f>
      </c>
      <c r="CS162" s="100">
        <f>+CR162+CS160</f>
      </c>
      <c r="CT162" s="554">
        <f>+CO162+CT160</f>
      </c>
      <c r="CU162" s="100">
        <f>+CT162+CU160</f>
      </c>
      <c r="CV162" s="100">
        <f>+CU162+CV160</f>
      </c>
      <c r="CW162" s="100">
        <f>+CV162+CW160</f>
      </c>
      <c r="CX162" s="100">
        <f>+CW162+CX160</f>
      </c>
      <c r="CY162" s="554">
        <f>+CT162+CY160</f>
      </c>
      <c r="CZ162" s="100">
        <f>+CY162+CZ160</f>
      </c>
      <c r="DA162" s="100">
        <f>+CZ162+DA160</f>
      </c>
      <c r="DB162" s="100">
        <f>+DA162+DB160</f>
      </c>
      <c r="DC162" s="100">
        <f>+DB162+DC160</f>
      </c>
      <c r="DD162" s="554">
        <f>+CY162+DD160</f>
      </c>
      <c r="DE162" s="100">
        <f>+DD162+DE160</f>
      </c>
      <c r="DF162" s="100">
        <f>+DE162+DF160</f>
      </c>
      <c r="DG162" s="100">
        <f>+DF162+DG160</f>
      </c>
      <c r="DH162" s="100">
        <f>+DG162+DH160</f>
      </c>
      <c r="DI162" s="554">
        <f>+DD162+DI160</f>
      </c>
      <c r="DJ162" s="100">
        <f>+DI162+DJ160</f>
      </c>
      <c r="DK162" s="100">
        <f>+DJ162+DK160</f>
      </c>
      <c r="DL162" s="100">
        <f>+DK162+DL160</f>
      </c>
      <c r="DM162" s="100">
        <f>+DL162+DM160</f>
      </c>
      <c r="DN162" s="554">
        <f>+DI162+DN160</f>
      </c>
      <c r="DO162" s="1282">
        <f>+DN162+DO160</f>
      </c>
      <c r="DP162" s="1282">
        <f>+DO162+DP160</f>
      </c>
      <c r="DQ162" s="1282">
        <f>+DP162+DQ160</f>
      </c>
      <c r="DR162" s="100">
        <f>+DQ162+DR160</f>
      </c>
      <c r="DS162" s="554">
        <f>+DN162+DS160</f>
      </c>
      <c r="DT162" s="1282">
        <f>+DS162+DT160</f>
      </c>
      <c r="DU162" s="1282">
        <f>+DT162+DU160</f>
      </c>
      <c r="DV162" s="1282">
        <f>+DU162+DV160</f>
      </c>
      <c r="DW162" s="100">
        <f>+DV162+DW160</f>
      </c>
      <c r="DX162" s="554">
        <f>+DS162+DX160</f>
      </c>
      <c r="DY162" s="1282">
        <f>+DX162+DY160</f>
      </c>
      <c r="DZ162" s="1282">
        <f>+DY162+DZ160</f>
      </c>
      <c r="EA162" s="1282">
        <f>+DZ162+EA160</f>
      </c>
      <c r="EB162" s="100">
        <f>+EA162+EB160</f>
      </c>
      <c r="EC162" s="2750">
        <f>+DX162+EC160</f>
      </c>
      <c r="ED162" s="1282">
        <f>+EC162+ED160</f>
      </c>
      <c r="EE162" s="1282">
        <f>+ED162+EE160</f>
      </c>
      <c r="EF162" s="1282">
        <f>+EE162+EF160</f>
      </c>
      <c r="EG162" s="1282">
        <f>+EF162+EG160</f>
      </c>
      <c r="EH162" s="2753">
        <f>+EC162+EH160</f>
      </c>
      <c r="EI162" s="1282">
        <f>+EH162+EI160</f>
      </c>
      <c r="EJ162" s="1282">
        <f>+EI162+EJ160</f>
      </c>
      <c r="EK162" s="1282">
        <f>+EJ162+EK160</f>
      </c>
      <c r="EL162" s="1282">
        <f>+EK162+EL160</f>
      </c>
      <c r="EM162" s="2558">
        <f>+EH162+EM160</f>
      </c>
      <c r="EN162" s="3229">
        <f>-23512-13211</f>
      </c>
      <c r="EO162" s="3230">
        <f>-24460-13516</f>
      </c>
      <c r="EP162" s="3231">
        <f>-23052-12159</f>
      </c>
      <c r="EQ162" s="3231">
        <f>-27878-12685</f>
      </c>
      <c r="ER162" s="2558">
        <f>+EM162+ER160</f>
      </c>
      <c r="ES162" s="3229">
        <f>-23512-13211</f>
      </c>
      <c r="ET162" s="3231">
        <f>-24460-13516</f>
      </c>
      <c r="EU162" s="3231">
        <f>-26699-13506</f>
      </c>
      <c r="EV162" s="3231">
        <f>-26124-13544</f>
      </c>
      <c r="EW162" s="2558">
        <f>+ER162+EW160</f>
      </c>
      <c r="EX162" s="3229">
        <f>-27748-13882</f>
      </c>
      <c r="EY162" s="3231">
        <f>-30756-14487</f>
      </c>
      <c r="EZ162" s="3231">
        <f>+EY162+EZ160</f>
      </c>
      <c r="FA162" s="3231">
        <f>+EZ162+FA160</f>
      </c>
      <c r="FB162" s="3581">
        <f>+EW162+FB160</f>
      </c>
      <c r="FC162" s="3234">
        <f t="shared" ref="FC162:FG162" si="578">+FB162+FC160</f>
      </c>
      <c r="FD162" s="3234">
        <f t="shared" si="578"/>
      </c>
      <c r="FE162" s="3234">
        <f t="shared" si="578"/>
      </c>
      <c r="FF162" s="3234">
        <f t="shared" si="578"/>
      </c>
      <c r="FG162" s="3234">
        <f t="shared" si="578"/>
      </c>
    </row>
    <row r="163" spans="1:165" outlineLevel="1">
      <c r="A163" s="1"/>
      <c r="B163" s="147" t="s">
        <v>380</v>
      </c>
      <c r="C163" s="113"/>
      <c r="D163" s="113"/>
      <c r="E163" s="113"/>
      <c r="F163" s="113"/>
      <c r="G163" s="113"/>
      <c r="H163" s="113"/>
      <c r="I163" s="113"/>
      <c r="J163" s="113"/>
      <c r="K163" s="113"/>
      <c r="L163" s="113"/>
      <c r="M163" s="113"/>
      <c r="N163" s="74"/>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v>33319</v>
      </c>
      <c r="BQ163" s="102"/>
      <c r="BR163" s="102"/>
      <c r="BS163" s="102"/>
      <c r="BT163" s="2"/>
      <c r="BU163" s="560">
        <v>32815</v>
      </c>
      <c r="BV163" s="102"/>
      <c r="BW163" s="102"/>
      <c r="BX163" s="102"/>
      <c r="BY163" s="102"/>
      <c r="BZ163" s="541">
        <v>36669.857142857145</v>
      </c>
      <c r="CA163" s="102">
        <f>-CA162+CA24</f>
      </c>
      <c r="CB163" s="102">
        <f t="shared" ref="CB163:CM163" si="579">+CB161-CB162</f>
      </c>
      <c r="CC163" s="102">
        <f t="shared" si="579"/>
      </c>
      <c r="CD163" s="102">
        <f t="shared" si="579"/>
      </c>
      <c r="CE163" s="553">
        <f t="shared" si="579"/>
      </c>
      <c r="CF163" s="102">
        <f t="shared" si="579"/>
      </c>
      <c r="CG163" s="102">
        <f t="shared" si="579"/>
      </c>
      <c r="CH163" s="102">
        <f t="shared" si="579"/>
      </c>
      <c r="CI163" s="102">
        <f>+CI161-CI162</f>
      </c>
      <c r="CJ163" s="553">
        <f t="shared" si="579"/>
      </c>
      <c r="CK163" s="102">
        <f t="shared" si="579"/>
      </c>
      <c r="CL163" s="102">
        <f t="shared" si="579"/>
      </c>
      <c r="CM163" s="102">
        <f t="shared" si="579"/>
      </c>
      <c r="CN163" s="102">
        <f t="shared" ref="CN163:CW163" si="580">+CN161-CN162</f>
      </c>
      <c r="CO163" s="553">
        <f t="shared" si="580"/>
      </c>
      <c r="CP163" s="102">
        <f t="shared" si="580"/>
      </c>
      <c r="CQ163" s="102">
        <f t="shared" si="580"/>
      </c>
      <c r="CR163" s="102">
        <f t="shared" si="580"/>
      </c>
      <c r="CS163" s="102">
        <f t="shared" si="580"/>
      </c>
      <c r="CT163" s="553">
        <f t="shared" si="580"/>
      </c>
      <c r="CU163" s="102">
        <f t="shared" si="580"/>
      </c>
      <c r="CV163" s="102">
        <f t="shared" si="580"/>
      </c>
      <c r="CW163" s="102">
        <f t="shared" si="580"/>
      </c>
      <c r="CX163" s="102">
        <f>+CX161-CX162</f>
      </c>
      <c r="CY163" s="553">
        <f>+CY161-CY162</f>
      </c>
      <c r="CZ163" s="102">
        <f>+CZ161-CZ162</f>
      </c>
      <c r="DA163" s="102">
        <f t="shared" ref="DA163:DG163" si="581">+DA161-DA162</f>
      </c>
      <c r="DB163" s="102">
        <f t="shared" si="581"/>
      </c>
      <c r="DC163" s="102">
        <f t="shared" si="581"/>
      </c>
      <c r="DD163" s="553">
        <f t="shared" si="581"/>
      </c>
      <c r="DE163" s="102">
        <f t="shared" si="581"/>
      </c>
      <c r="DF163" s="102">
        <f t="shared" si="581"/>
      </c>
      <c r="DG163" s="102">
        <f t="shared" si="581"/>
      </c>
      <c r="DH163" s="102">
        <f t="shared" ref="DH163:EK163" si="582">+DH161-DH162</f>
      </c>
      <c r="DI163" s="553">
        <f t="shared" si="582"/>
      </c>
      <c r="DJ163" s="102">
        <f t="shared" si="582"/>
      </c>
      <c r="DK163" s="102">
        <f t="shared" si="582"/>
      </c>
      <c r="DL163" s="102">
        <f t="shared" si="582"/>
      </c>
      <c r="DM163" s="102">
        <f t="shared" si="582"/>
      </c>
      <c r="DN163" s="553">
        <f t="shared" si="582"/>
      </c>
      <c r="DO163" s="1281">
        <f t="shared" si="582"/>
      </c>
      <c r="DP163" s="1281">
        <f t="shared" si="582"/>
      </c>
      <c r="DQ163" s="1281">
        <f t="shared" si="582"/>
      </c>
      <c r="DR163" s="102">
        <f t="shared" si="582"/>
      </c>
      <c r="DS163" s="553">
        <f t="shared" si="582"/>
      </c>
      <c r="DT163" s="1281">
        <f t="shared" si="582"/>
      </c>
      <c r="DU163" s="1281">
        <f t="shared" si="582"/>
      </c>
      <c r="DV163" s="1281">
        <f t="shared" si="582"/>
      </c>
      <c r="DW163" s="102">
        <f t="shared" si="582"/>
      </c>
      <c r="DX163" s="553">
        <f t="shared" si="582"/>
      </c>
      <c r="DY163" s="1281">
        <f t="shared" si="582"/>
      </c>
      <c r="DZ163" s="1281">
        <f t="shared" si="582"/>
      </c>
      <c r="EA163" s="1281">
        <f t="shared" si="582"/>
      </c>
      <c r="EB163" s="102">
        <f t="shared" si="582"/>
      </c>
      <c r="EC163" s="2749">
        <f t="shared" si="582"/>
      </c>
      <c r="ED163" s="1281">
        <f t="shared" si="582"/>
      </c>
      <c r="EE163" s="1281">
        <f t="shared" si="582"/>
      </c>
      <c r="EF163" s="1281">
        <f t="shared" si="582"/>
      </c>
      <c r="EG163" s="1281">
        <f t="shared" si="582"/>
      </c>
      <c r="EH163" s="2752">
        <f t="shared" si="582"/>
      </c>
      <c r="EI163" s="1281">
        <f t="shared" si="582"/>
      </c>
      <c r="EJ163" s="1281">
        <f>+EJ161-EJ162</f>
      </c>
      <c r="EK163" s="1281">
        <f t="shared" si="582"/>
      </c>
      <c r="EL163" s="1281">
        <f t="shared" ref="EL163:ER163" si="583">+EL161-EL162</f>
      </c>
      <c r="EM163" s="2557">
        <f t="shared" si="583"/>
      </c>
      <c r="EN163" s="2574">
        <f t="shared" si="583"/>
      </c>
      <c r="EO163" s="2703">
        <f t="shared" si="583"/>
      </c>
      <c r="EP163" s="1281">
        <f t="shared" si="583"/>
      </c>
      <c r="EQ163" s="1281">
        <f t="shared" si="583"/>
      </c>
      <c r="ER163" s="2557">
        <f t="shared" si="583"/>
      </c>
      <c r="ES163" s="2574">
        <f t="shared" ref="ES163:EW163" si="584">+ES161-ES162</f>
      </c>
      <c r="ET163" s="3502">
        <f t="shared" si="584"/>
      </c>
      <c r="EU163" s="1281">
        <f t="shared" si="584"/>
      </c>
      <c r="EV163" s="1281">
        <f t="shared" si="584"/>
      </c>
      <c r="EW163" s="2557">
        <f t="shared" si="584"/>
      </c>
      <c r="EX163" s="2574">
        <f t="shared" ref="EX163:EY163" si="585">+EX161-EX162</f>
      </c>
      <c r="EY163" s="3502">
        <f t="shared" si="585"/>
      </c>
      <c r="EZ163" s="1281">
        <f>+EZ161-EZ162</f>
      </c>
      <c r="FA163" s="1281">
        <f>+FA161-FA162</f>
      </c>
      <c r="FB163" s="3595">
        <f t="shared" ref="FB163" si="586">+FB161-FB162</f>
      </c>
      <c r="FC163" s="1299">
        <f>+FC161-FC162</f>
      </c>
      <c r="FD163" s="1299">
        <f>+FD161-FD162</f>
      </c>
      <c r="FE163" s="1299">
        <f>+FE161-FE162</f>
      </c>
      <c r="FF163" s="1299">
        <f>+FF161-FF162</f>
      </c>
      <c r="FG163" s="1299">
        <f>+FG161-FG162</f>
      </c>
    </row>
    <row r="164" spans="1:165" outlineLevel="1">
      <c r="A164" s="1"/>
      <c r="B164" s="72"/>
      <c r="C164" s="72"/>
      <c r="D164" s="72"/>
      <c r="E164" s="72"/>
      <c r="F164" s="72"/>
      <c r="G164" s="72"/>
      <c r="H164" s="72"/>
      <c r="I164" s="72"/>
      <c r="J164" s="72"/>
      <c r="K164" s="72"/>
      <c r="L164" s="72"/>
      <c r="M164" s="72"/>
      <c r="N164" s="68"/>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c r="AX164" s="103"/>
      <c r="AY164" s="103"/>
      <c r="AZ164" s="103"/>
      <c r="BA164" s="103"/>
      <c r="BB164" s="103"/>
      <c r="BC164" s="103"/>
      <c r="BD164" s="103"/>
      <c r="BE164" s="103"/>
      <c r="BF164" s="103"/>
      <c r="BG164" s="103"/>
      <c r="BH164" s="103"/>
      <c r="BI164" s="103"/>
      <c r="BJ164" s="103"/>
      <c r="BK164" s="103"/>
      <c r="BL164" s="103"/>
      <c r="BM164" s="103"/>
      <c r="BN164" s="103"/>
      <c r="BO164" s="103"/>
      <c r="BP164" s="103"/>
      <c r="BQ164" s="103"/>
      <c r="BR164" s="103"/>
      <c r="BS164" s="103"/>
      <c r="BT164" s="1"/>
      <c r="BU164" s="1"/>
      <c r="BV164" s="103"/>
      <c r="BW164" s="103"/>
      <c r="BX164" s="1"/>
      <c r="BY164" s="1"/>
      <c r="BZ164" s="254"/>
      <c r="CA164" s="10"/>
      <c r="CB164" s="1"/>
      <c r="CC164" s="1"/>
      <c r="CD164" s="1"/>
      <c r="CE164" s="1"/>
      <c r="CF164" s="1"/>
      <c r="CG164" s="1"/>
      <c r="CH164" s="1"/>
      <c r="CI164" s="1"/>
      <c r="CJ164" s="1"/>
      <c r="CK164" s="1"/>
      <c r="CL164" s="1"/>
      <c r="CM164" s="1"/>
      <c r="CN164" s="1"/>
      <c r="CO164" s="1"/>
      <c r="CP164" s="1"/>
      <c r="CQ164" s="73"/>
      <c r="CR164" s="73"/>
      <c r="CS164" s="73"/>
      <c r="CT164" s="73"/>
      <c r="CU164" s="73"/>
      <c r="CV164" s="73"/>
      <c r="CW164" s="73"/>
      <c r="CX164" s="73"/>
      <c r="CY164" s="73"/>
      <c r="CZ164" s="73"/>
      <c r="DA164" s="73"/>
      <c r="DB164" s="73"/>
      <c r="DC164" s="73"/>
      <c r="DD164" s="107"/>
      <c r="DE164" s="73"/>
      <c r="DF164" s="73"/>
      <c r="DG164" s="73"/>
      <c r="DH164" s="1045"/>
      <c r="DI164" s="73"/>
      <c r="DJ164" s="73"/>
      <c r="DK164" s="73"/>
      <c r="DL164" s="1045"/>
      <c r="DM164" s="1045"/>
      <c r="DN164" s="73"/>
      <c r="DO164" s="1045"/>
      <c r="DP164" s="1045"/>
      <c r="DQ164" s="1045"/>
      <c r="DR164" s="1045"/>
      <c r="DS164" s="73"/>
      <c r="DT164" s="1045"/>
      <c r="DU164" s="1045"/>
      <c r="DV164" s="1045"/>
      <c r="DW164" s="2760"/>
      <c r="DX164" s="1045"/>
      <c r="DY164" s="1045"/>
      <c r="DZ164" s="1045"/>
      <c r="EA164" s="1045"/>
      <c r="EB164" s="2760"/>
      <c r="EC164" s="1045"/>
      <c r="ED164" s="1045"/>
      <c r="EE164" s="1045"/>
      <c r="EF164" s="1045"/>
      <c r="EG164" s="1045"/>
      <c r="EH164" s="1045"/>
      <c r="EI164" s="1045"/>
      <c r="EJ164" s="1045"/>
      <c r="EK164" s="1045"/>
      <c r="EL164" s="1045"/>
      <c r="EM164" s="1045"/>
      <c r="EN164" s="2482">
        <f>-22266-12901</f>
      </c>
      <c r="EO164" s="1045"/>
      <c r="EP164" s="3233"/>
      <c r="EQ164" s="3233"/>
      <c r="ER164" s="1045"/>
      <c r="ES164" s="2482">
        <f>-22266-12901</f>
      </c>
      <c r="ET164" s="1045"/>
      <c r="EU164" s="3233"/>
      <c r="EV164" s="3233"/>
      <c r="EW164" s="1045"/>
      <c r="EX164" s="2482">
        <f>-26124-13544</f>
      </c>
      <c r="EY164" s="1045"/>
      <c r="EZ164" s="1045"/>
      <c r="FA164" s="1045"/>
      <c r="FB164" s="1045"/>
      <c r="FC164" s="1045"/>
      <c r="FD164" s="1045"/>
      <c r="FE164" s="1045"/>
      <c r="FF164" s="1045"/>
      <c r="FG164" s="1045"/>
    </row>
    <row r="165" spans="1:165" outlineLevel="1">
      <c r="A165" s="1"/>
      <c r="B165" s="788" t="s">
        <v>60</v>
      </c>
      <c r="C165" s="789"/>
      <c r="D165" s="789"/>
      <c r="E165" s="789"/>
      <c r="F165" s="789"/>
      <c r="G165" s="789"/>
      <c r="H165" s="789"/>
      <c r="I165" s="789"/>
      <c r="J165" s="789"/>
      <c r="K165" s="789"/>
      <c r="L165" s="789"/>
      <c r="M165" s="789"/>
      <c r="N165" s="789"/>
      <c r="O165" s="790"/>
      <c r="P165" s="790"/>
      <c r="Q165" s="790"/>
      <c r="R165" s="790"/>
      <c r="S165" s="790"/>
      <c r="T165" s="790"/>
      <c r="U165" s="790"/>
      <c r="V165" s="790"/>
      <c r="W165" s="790"/>
      <c r="X165" s="790"/>
      <c r="Y165" s="790"/>
      <c r="Z165" s="790"/>
      <c r="AA165" s="790"/>
      <c r="AB165" s="790"/>
      <c r="AC165" s="790"/>
      <c r="AD165" s="790"/>
      <c r="AE165" s="790"/>
      <c r="AF165" s="790"/>
      <c r="AG165" s="790"/>
      <c r="AH165" s="790"/>
      <c r="AI165" s="790"/>
      <c r="AJ165" s="790"/>
      <c r="AK165" s="790"/>
      <c r="AL165" s="790"/>
      <c r="AM165" s="790"/>
      <c r="AN165" s="790"/>
      <c r="AO165" s="790"/>
      <c r="AP165" s="790"/>
      <c r="AQ165" s="790"/>
      <c r="AR165" s="790"/>
      <c r="AS165" s="790"/>
      <c r="AT165" s="790"/>
      <c r="AU165" s="790"/>
      <c r="AV165" s="790"/>
      <c r="AW165" s="790"/>
      <c r="AX165" s="790"/>
      <c r="AY165" s="790"/>
      <c r="AZ165" s="790"/>
      <c r="BA165" s="790"/>
      <c r="BB165" s="790"/>
      <c r="BC165" s="790"/>
      <c r="BD165" s="790"/>
      <c r="BE165" s="790"/>
      <c r="BF165" s="790"/>
      <c r="BG165" s="790"/>
      <c r="BH165" s="790"/>
      <c r="BI165" s="790"/>
      <c r="BJ165" s="790"/>
      <c r="BK165" s="790"/>
      <c r="BL165" s="790"/>
      <c r="BM165" s="790"/>
      <c r="BN165" s="790"/>
      <c r="BO165" s="790"/>
      <c r="BP165" s="790"/>
      <c r="BQ165" s="790"/>
      <c r="BR165" s="790"/>
      <c r="BS165" s="790"/>
      <c r="BT165" s="791"/>
      <c r="BU165" s="792"/>
      <c r="BV165" s="790"/>
      <c r="BW165" s="790"/>
      <c r="BX165" s="791"/>
      <c r="BY165" s="791"/>
      <c r="BZ165" s="792"/>
      <c r="CA165" s="791"/>
      <c r="CB165" s="793"/>
      <c r="CC165" s="791"/>
      <c r="CD165" s="791"/>
      <c r="CE165" s="792"/>
      <c r="CF165" s="791"/>
      <c r="CG165" s="791"/>
      <c r="CH165" s="791"/>
      <c r="CI165" s="791"/>
      <c r="CJ165" s="792"/>
      <c r="CK165" s="791"/>
      <c r="CL165" s="791"/>
      <c r="CM165" s="791"/>
      <c r="CN165" s="791"/>
      <c r="CO165" s="792"/>
      <c r="CP165" s="791"/>
      <c r="CQ165" s="791"/>
      <c r="CR165" s="791"/>
      <c r="CS165" s="791"/>
      <c r="CT165" s="792"/>
      <c r="CU165" s="791"/>
      <c r="CV165" s="791"/>
      <c r="CW165" s="791"/>
      <c r="CX165" s="791"/>
      <c r="CY165" s="792"/>
      <c r="CZ165" s="791"/>
      <c r="DA165" s="791"/>
      <c r="DB165" s="791"/>
      <c r="DC165" s="791"/>
      <c r="DD165" s="792"/>
      <c r="DE165" s="791"/>
      <c r="DF165" s="791"/>
      <c r="DG165" s="791"/>
      <c r="DH165" s="791"/>
      <c r="DI165" s="792"/>
      <c r="DJ165" s="791"/>
      <c r="DK165" s="791"/>
      <c r="DL165" s="791"/>
      <c r="DM165" s="791"/>
      <c r="DN165" s="792"/>
      <c r="DO165" s="1133"/>
      <c r="DP165" s="1133"/>
      <c r="DQ165" s="1133"/>
      <c r="DR165" s="791"/>
      <c r="DS165" s="792"/>
      <c r="DT165" s="1133"/>
      <c r="DU165" s="1133"/>
      <c r="DV165" s="1133"/>
      <c r="DW165" s="1243"/>
      <c r="DX165" s="792"/>
      <c r="DY165" s="1133"/>
      <c r="DZ165" s="1133"/>
      <c r="EA165" s="1133"/>
      <c r="EB165" s="2754"/>
      <c r="EC165" s="2755"/>
      <c r="ED165" s="1133"/>
      <c r="EE165" s="1502"/>
      <c r="EF165" s="1502"/>
      <c r="EG165" s="2754"/>
      <c r="EH165" s="2755"/>
      <c r="EI165" s="1133"/>
      <c r="EJ165" s="1502"/>
      <c r="EK165" s="1502"/>
      <c r="EL165" s="1502"/>
      <c r="EM165" s="2559"/>
      <c r="EN165" s="2562"/>
      <c r="EO165" s="1502"/>
      <c r="EP165" s="2754"/>
      <c r="EQ165" s="2181"/>
      <c r="ER165" s="2163"/>
      <c r="ES165" s="2562"/>
      <c r="ET165" s="2754"/>
      <c r="EU165" s="2754"/>
      <c r="EV165" s="2181"/>
      <c r="EW165" s="2163"/>
      <c r="EX165" s="1502"/>
      <c r="EY165" s="1502"/>
      <c r="EZ165" s="1502"/>
      <c r="FA165" s="2181"/>
      <c r="FB165" s="2163"/>
      <c r="FC165" s="1185"/>
      <c r="FD165" s="1185"/>
      <c r="FE165" s="1185"/>
      <c r="FF165" s="1185"/>
      <c r="FG165" s="1185"/>
    </row>
    <row r="166" spans="1:165" outlineLevel="1">
      <c r="A166" s="1"/>
      <c r="B166" s="778" t="s">
        <v>61</v>
      </c>
      <c r="C166" s="779"/>
      <c r="D166" s="779"/>
      <c r="E166" s="779"/>
      <c r="F166" s="779"/>
      <c r="G166" s="779"/>
      <c r="H166" s="779"/>
      <c r="I166" s="779"/>
      <c r="J166" s="779"/>
      <c r="K166" s="779"/>
      <c r="L166" s="779"/>
      <c r="M166" s="779"/>
      <c r="N166" s="779"/>
      <c r="O166" s="783"/>
      <c r="P166" s="783"/>
      <c r="Q166" s="783"/>
      <c r="R166" s="783"/>
      <c r="S166" s="783"/>
      <c r="T166" s="783"/>
      <c r="U166" s="783"/>
      <c r="V166" s="783"/>
      <c r="W166" s="783"/>
      <c r="X166" s="783"/>
      <c r="Y166" s="783"/>
      <c r="Z166" s="783"/>
      <c r="AA166" s="783"/>
      <c r="AB166" s="783"/>
      <c r="AC166" s="783"/>
      <c r="AD166" s="783"/>
      <c r="AE166" s="783"/>
      <c r="AF166" s="783"/>
      <c r="AG166" s="783"/>
      <c r="AH166" s="783"/>
      <c r="AI166" s="783"/>
      <c r="AJ166" s="783"/>
      <c r="AK166" s="783"/>
      <c r="AL166" s="783"/>
      <c r="AM166" s="783"/>
      <c r="AN166" s="783"/>
      <c r="AO166" s="783"/>
      <c r="AP166" s="783"/>
      <c r="AQ166" s="783"/>
      <c r="AR166" s="783"/>
      <c r="AS166" s="783"/>
      <c r="AT166" s="783"/>
      <c r="AU166" s="783"/>
      <c r="AV166" s="783"/>
      <c r="AW166" s="783"/>
      <c r="AX166" s="783"/>
      <c r="AY166" s="783"/>
      <c r="AZ166" s="783"/>
      <c r="BA166" s="783"/>
      <c r="BB166" s="783"/>
      <c r="BC166" s="783"/>
      <c r="BD166" s="783"/>
      <c r="BE166" s="783"/>
      <c r="BF166" s="783"/>
      <c r="BG166" s="783"/>
      <c r="BH166" s="783"/>
      <c r="BI166" s="783"/>
      <c r="BJ166" s="783"/>
      <c r="BK166" s="783"/>
      <c r="BL166" s="783"/>
      <c r="BM166" s="783"/>
      <c r="BN166" s="783"/>
      <c r="BO166" s="783"/>
      <c r="BP166" s="783"/>
      <c r="BQ166" s="783"/>
      <c r="BR166" s="783"/>
      <c r="BS166" s="783"/>
      <c r="BT166" s="593"/>
      <c r="BU166" s="771"/>
      <c r="BV166" s="783"/>
      <c r="BW166" s="783"/>
      <c r="BX166" s="593"/>
      <c r="BY166" s="593"/>
      <c r="BZ166" s="771"/>
      <c r="CA166" s="593"/>
      <c r="CB166" s="593"/>
      <c r="CC166" s="593"/>
      <c r="CD166" s="593"/>
      <c r="CE166" s="771"/>
      <c r="CF166" s="593"/>
      <c r="CG166" s="593"/>
      <c r="CH166" s="593"/>
      <c r="CI166" s="593"/>
      <c r="CJ166" s="771"/>
      <c r="CK166" s="593"/>
      <c r="CL166" s="593"/>
      <c r="CM166" s="593"/>
      <c r="CN166" s="593"/>
      <c r="CO166" s="771"/>
      <c r="CP166" s="593"/>
      <c r="CQ166" s="593"/>
      <c r="CR166" s="593"/>
      <c r="CS166" s="593"/>
      <c r="CT166" s="771"/>
      <c r="CU166" s="593"/>
      <c r="CV166" s="593"/>
      <c r="CW166" s="593"/>
      <c r="CX166" s="593"/>
      <c r="CY166" s="771"/>
      <c r="CZ166" s="593"/>
      <c r="DA166" s="593"/>
      <c r="DB166" s="593"/>
      <c r="DC166" s="593"/>
      <c r="DD166" s="771"/>
      <c r="DE166" s="593"/>
      <c r="DF166" s="593"/>
      <c r="DG166" s="593"/>
      <c r="DH166" s="1033"/>
      <c r="DI166" s="771"/>
      <c r="DJ166" s="593"/>
      <c r="DK166" s="593"/>
      <c r="DL166" s="1033"/>
      <c r="DM166" s="1033"/>
      <c r="DN166" s="771"/>
      <c r="DO166" s="1124"/>
      <c r="DP166" s="1124"/>
      <c r="DQ166" s="1124"/>
      <c r="DR166" s="1033"/>
      <c r="DS166" s="771"/>
      <c r="DT166" s="1124"/>
      <c r="DU166" s="1124"/>
      <c r="DV166" s="1124"/>
      <c r="DW166" s="1244"/>
      <c r="DX166" s="1113"/>
      <c r="DY166" s="1124"/>
      <c r="DZ166" s="1124"/>
      <c r="EA166" s="1124"/>
      <c r="EB166" s="2692"/>
      <c r="EC166" s="2714"/>
      <c r="ED166" s="1124"/>
      <c r="EE166" s="1499"/>
      <c r="EF166" s="1499"/>
      <c r="EG166" s="2692"/>
      <c r="EH166" s="2714"/>
      <c r="EI166" s="1124"/>
      <c r="EJ166" s="1499"/>
      <c r="EK166" s="1499"/>
      <c r="EL166" s="1499"/>
      <c r="EM166" s="2509"/>
      <c r="EN166" s="2503"/>
      <c r="EO166" s="1499"/>
      <c r="EP166" s="2692"/>
      <c r="EQ166" s="2042"/>
      <c r="ER166" s="2041"/>
      <c r="ES166" s="2503"/>
      <c r="ET166" s="2692"/>
      <c r="EU166" s="2692"/>
      <c r="EV166" s="2042"/>
      <c r="EW166" s="2041"/>
      <c r="EX166" s="1499"/>
      <c r="EY166" s="1499"/>
      <c r="EZ166" s="1499"/>
      <c r="FA166" s="2042"/>
      <c r="FB166" s="2041"/>
      <c r="FC166" s="1287"/>
      <c r="FD166" s="1287"/>
      <c r="FE166" s="1287"/>
      <c r="FF166" s="1287"/>
      <c r="FG166" s="1287"/>
    </row>
    <row r="167" spans="1:165" outlineLevel="1">
      <c r="A167" s="1"/>
      <c r="B167" s="85" t="s">
        <v>25</v>
      </c>
      <c r="C167" s="86"/>
      <c r="D167" s="86"/>
      <c r="E167" s="86"/>
      <c r="F167" s="86"/>
      <c r="G167" s="86"/>
      <c r="H167" s="86"/>
      <c r="I167" s="86"/>
      <c r="J167" s="86"/>
      <c r="K167" s="86"/>
      <c r="L167" s="86"/>
      <c r="M167" s="86"/>
      <c r="N167" s="103">
        <f t="shared" ref="N167:AS167" si="587">+N20/N36</f>
      </c>
      <c r="O167" s="103">
        <f t="shared" si="587"/>
      </c>
      <c r="P167" s="103">
        <f t="shared" si="587"/>
      </c>
      <c r="Q167" s="103">
        <f t="shared" si="587"/>
      </c>
      <c r="R167" s="103">
        <f t="shared" si="587"/>
      </c>
      <c r="S167" s="103">
        <f t="shared" si="587"/>
      </c>
      <c r="T167" s="103">
        <f t="shared" si="587"/>
      </c>
      <c r="U167" s="103">
        <f t="shared" si="587"/>
      </c>
      <c r="V167" s="103">
        <f t="shared" si="587"/>
      </c>
      <c r="W167" s="103">
        <f t="shared" si="587"/>
      </c>
      <c r="X167" s="103">
        <f t="shared" si="587"/>
      </c>
      <c r="Y167" s="103">
        <f t="shared" si="587"/>
      </c>
      <c r="Z167" s="103">
        <f t="shared" si="587"/>
      </c>
      <c r="AA167" s="103">
        <f t="shared" si="587"/>
      </c>
      <c r="AB167" s="103">
        <f t="shared" si="587"/>
      </c>
      <c r="AC167" s="103">
        <f t="shared" si="587"/>
      </c>
      <c r="AD167" s="103">
        <f t="shared" si="587"/>
      </c>
      <c r="AE167" s="103">
        <f t="shared" si="587"/>
      </c>
      <c r="AF167" s="103">
        <f t="shared" si="587"/>
      </c>
      <c r="AG167" s="103">
        <f t="shared" si="587"/>
      </c>
      <c r="AH167" s="103">
        <f t="shared" si="587"/>
      </c>
      <c r="AI167" s="103">
        <f t="shared" si="587"/>
      </c>
      <c r="AJ167" s="103">
        <f t="shared" si="587"/>
      </c>
      <c r="AK167" s="103">
        <f t="shared" si="587"/>
      </c>
      <c r="AL167" s="103">
        <f t="shared" si="587"/>
      </c>
      <c r="AM167" s="103">
        <f t="shared" si="587"/>
      </c>
      <c r="AN167" s="103">
        <f t="shared" si="587"/>
      </c>
      <c r="AO167" s="103">
        <f t="shared" si="587"/>
      </c>
      <c r="AP167" s="103">
        <f t="shared" si="587"/>
      </c>
      <c r="AQ167" s="103">
        <f t="shared" si="587"/>
      </c>
      <c r="AR167" s="103">
        <f t="shared" si="587"/>
      </c>
      <c r="AS167" s="103">
        <f t="shared" si="587"/>
      </c>
      <c r="AT167" s="103">
        <f t="shared" ref="AT167:BY167" si="588">+AT20/AT36</f>
      </c>
      <c r="AU167" s="103">
        <f t="shared" si="588"/>
      </c>
      <c r="AV167" s="103">
        <f t="shared" si="588"/>
      </c>
      <c r="AW167" s="103">
        <f t="shared" si="588"/>
      </c>
      <c r="AX167" s="103">
        <f t="shared" si="588"/>
      </c>
      <c r="AY167" s="103">
        <f t="shared" si="588"/>
      </c>
      <c r="AZ167" s="103">
        <f t="shared" si="588"/>
      </c>
      <c r="BA167" s="103">
        <f t="shared" si="588"/>
      </c>
      <c r="BB167" s="103">
        <f t="shared" si="588"/>
      </c>
      <c r="BC167" s="103">
        <f t="shared" si="588"/>
      </c>
      <c r="BD167" s="103">
        <f t="shared" si="588"/>
      </c>
      <c r="BE167" s="103">
        <f t="shared" si="588"/>
      </c>
      <c r="BF167" s="103">
        <f t="shared" si="588"/>
      </c>
      <c r="BG167" s="103">
        <f t="shared" si="588"/>
      </c>
      <c r="BH167" s="103">
        <f t="shared" si="588"/>
      </c>
      <c r="BI167" s="103">
        <f t="shared" si="588"/>
      </c>
      <c r="BJ167" s="103">
        <f t="shared" si="588"/>
      </c>
      <c r="BK167" s="103">
        <f t="shared" si="588"/>
      </c>
      <c r="BL167" s="103">
        <f t="shared" si="588"/>
      </c>
      <c r="BM167" s="103">
        <f t="shared" si="588"/>
      </c>
      <c r="BN167" s="103">
        <f t="shared" si="588"/>
      </c>
      <c r="BO167" s="103">
        <f t="shared" si="588"/>
      </c>
      <c r="BP167" s="103">
        <f t="shared" si="588"/>
      </c>
      <c r="BQ167" s="103">
        <f t="shared" si="588"/>
      </c>
      <c r="BR167" s="103">
        <f t="shared" si="588"/>
      </c>
      <c r="BS167" s="103">
        <f t="shared" si="588"/>
      </c>
      <c r="BT167" s="103">
        <f t="shared" si="588"/>
      </c>
      <c r="BU167" s="556">
        <f t="shared" si="588"/>
      </c>
      <c r="BV167" s="103">
        <f>+BV20/BV36</f>
      </c>
      <c r="BW167" s="103">
        <f>+BW20/BW36</f>
      </c>
      <c r="BX167" s="103">
        <f t="shared" si="588"/>
      </c>
      <c r="BY167" s="103">
        <f t="shared" si="588"/>
      </c>
      <c r="BZ167" s="556">
        <f t="shared" ref="BZ167:DZ167" si="589">+BZ20/BZ36</f>
      </c>
      <c r="CA167" s="103">
        <f t="shared" si="589"/>
      </c>
      <c r="CB167" s="103">
        <f t="shared" si="589"/>
      </c>
      <c r="CC167" s="103">
        <f t="shared" si="589"/>
      </c>
      <c r="CD167" s="103">
        <f t="shared" si="589"/>
      </c>
      <c r="CE167" s="556">
        <f t="shared" si="589"/>
      </c>
      <c r="CF167" s="103">
        <f t="shared" si="589"/>
      </c>
      <c r="CG167" s="103">
        <f t="shared" si="589"/>
      </c>
      <c r="CH167" s="103">
        <f t="shared" si="589"/>
      </c>
      <c r="CI167" s="103">
        <f t="shared" si="589"/>
      </c>
      <c r="CJ167" s="556">
        <f t="shared" si="589"/>
      </c>
      <c r="CK167" s="103">
        <f t="shared" si="589"/>
      </c>
      <c r="CL167" s="103">
        <f t="shared" si="589"/>
      </c>
      <c r="CM167" s="103">
        <f t="shared" si="589"/>
      </c>
      <c r="CN167" s="103">
        <f t="shared" si="589"/>
      </c>
      <c r="CO167" s="556">
        <f t="shared" si="589"/>
      </c>
      <c r="CP167" s="103">
        <f t="shared" si="589"/>
      </c>
      <c r="CQ167" s="103">
        <f t="shared" si="589"/>
      </c>
      <c r="CR167" s="103">
        <f t="shared" si="589"/>
      </c>
      <c r="CS167" s="103">
        <f t="shared" si="589"/>
      </c>
      <c r="CT167" s="556">
        <f t="shared" si="589"/>
      </c>
      <c r="CU167" s="103">
        <f t="shared" si="589"/>
      </c>
      <c r="CV167" s="103">
        <f t="shared" si="589"/>
      </c>
      <c r="CW167" s="103">
        <f t="shared" si="589"/>
      </c>
      <c r="CX167" s="103">
        <f>+CX20/CX36</f>
      </c>
      <c r="CY167" s="556">
        <f>+CY20/CY36</f>
      </c>
      <c r="CZ167" s="103">
        <f t="shared" si="589"/>
      </c>
      <c r="DA167" s="103">
        <f t="shared" si="589"/>
      </c>
      <c r="DB167" s="103">
        <f t="shared" si="589"/>
      </c>
      <c r="DC167" s="103">
        <f t="shared" ref="DC167:DI167" si="590">+DC20/DC36</f>
      </c>
      <c r="DD167" s="556">
        <f t="shared" si="590"/>
      </c>
      <c r="DE167" s="103">
        <f t="shared" si="590"/>
      </c>
      <c r="DF167" s="103">
        <f t="shared" si="590"/>
      </c>
      <c r="DG167" s="103">
        <f t="shared" si="590"/>
      </c>
      <c r="DH167" s="1056">
        <f t="shared" si="590"/>
      </c>
      <c r="DI167" s="556">
        <f t="shared" si="590"/>
      </c>
      <c r="DJ167" s="103">
        <f>+DJ20/DJ36</f>
      </c>
      <c r="DK167" s="103">
        <f>+DK20/DK36</f>
      </c>
      <c r="DL167" s="1056">
        <f>+DL20/DL36</f>
      </c>
      <c r="DM167" s="1056">
        <f>+DM20/DM36</f>
      </c>
      <c r="DN167" s="556">
        <f t="shared" si="589"/>
      </c>
      <c r="DO167" s="1056">
        <f t="shared" si="589"/>
      </c>
      <c r="DP167" s="1056">
        <f t="shared" si="589"/>
      </c>
      <c r="DQ167" s="1056">
        <f t="shared" ref="DQ167:DX167" si="591">+DQ20/DQ36</f>
      </c>
      <c r="DR167" s="1056">
        <f t="shared" si="591"/>
      </c>
      <c r="DS167" s="556">
        <f t="shared" si="591"/>
      </c>
      <c r="DT167" s="1056">
        <f t="shared" si="591"/>
      </c>
      <c r="DU167" s="1056">
        <f t="shared" si="591"/>
      </c>
      <c r="DV167" s="1056">
        <f t="shared" si="591"/>
      </c>
      <c r="DW167" s="1245">
        <f t="shared" si="591"/>
      </c>
      <c r="DX167" s="1302">
        <f t="shared" si="591"/>
      </c>
      <c r="DY167" s="1056">
        <f t="shared" si="589"/>
      </c>
      <c r="DZ167" s="1056">
        <f t="shared" si="589"/>
      </c>
      <c r="EA167" s="1056">
        <f t="shared" ref="EA167:ER167" si="592">+EA20/EA36</f>
      </c>
      <c r="EB167" s="1056">
        <f t="shared" si="592"/>
      </c>
      <c r="EC167" s="2756">
        <f t="shared" si="592"/>
      </c>
      <c r="ED167" s="1056">
        <f t="shared" si="592"/>
      </c>
      <c r="EE167" s="1056">
        <f t="shared" si="592"/>
      </c>
      <c r="EF167" s="1056">
        <f t="shared" si="592"/>
      </c>
      <c r="EG167" s="1056">
        <f t="shared" si="592"/>
      </c>
      <c r="EH167" s="2756">
        <f t="shared" si="592"/>
      </c>
      <c r="EI167" s="1056">
        <f t="shared" si="592"/>
      </c>
      <c r="EJ167" s="1056">
        <f t="shared" si="592"/>
      </c>
      <c r="EK167" s="1056">
        <f t="shared" si="592"/>
      </c>
      <c r="EL167" s="1245">
        <f t="shared" si="592"/>
      </c>
      <c r="EM167" s="2560">
        <f t="shared" si="592"/>
      </c>
      <c r="EN167" s="2563">
        <f>+EN20/EN36</f>
      </c>
      <c r="EO167" s="1056">
        <f t="shared" si="592"/>
      </c>
      <c r="EP167" s="1056">
        <f t="shared" si="592"/>
      </c>
      <c r="EQ167" s="1245">
        <f t="shared" si="592"/>
      </c>
      <c r="ER167" s="1303">
        <f t="shared" si="592"/>
      </c>
      <c r="ES167" s="2563">
        <f>+ES20/ES36</f>
      </c>
      <c r="ET167" s="1056">
        <f t="shared" ref="ET167:EW167" si="593">+ET20/ET36</f>
      </c>
      <c r="EU167" s="1056">
        <f t="shared" si="593"/>
      </c>
      <c r="EV167" s="1245">
        <f t="shared" si="593"/>
      </c>
      <c r="EW167" s="1303">
        <f t="shared" si="593"/>
      </c>
      <c r="EX167" s="2563">
        <f>+EX20/EX36</f>
      </c>
      <c r="EY167" s="1056">
        <f t="shared" ref="EY167" si="594">+EY20/EY36</f>
      </c>
      <c r="EZ167" s="1056">
        <f>+EZ20/EZ36</f>
      </c>
      <c r="FA167" s="1245">
        <f>+FA20/FA36</f>
      </c>
      <c r="FB167" s="1303">
        <f t="shared" ref="FB167" si="595">+FB20/FB36</f>
      </c>
      <c r="FC167" s="1303">
        <f ca="1">+FC20/FC36</f>
      </c>
      <c r="FD167" s="1303">
        <f ca="1">+FD20/FD36</f>
      </c>
      <c r="FE167" s="1303">
        <f ca="1">+FE20/FE36</f>
      </c>
      <c r="FF167" s="1303">
        <f ca="1">+FF20/FF36</f>
      </c>
      <c r="FG167" s="1303">
        <f ca="1">+FG20/FG36</f>
      </c>
    </row>
    <row r="168" spans="1:165" outlineLevel="1">
      <c r="A168" s="1"/>
      <c r="B168" s="85" t="s">
        <v>24</v>
      </c>
      <c r="C168" s="86"/>
      <c r="D168" s="86"/>
      <c r="E168" s="86"/>
      <c r="F168" s="86"/>
      <c r="G168" s="86"/>
      <c r="H168" s="86"/>
      <c r="I168" s="86"/>
      <c r="J168" s="86"/>
      <c r="K168" s="86"/>
      <c r="L168" s="86"/>
      <c r="M168" s="86"/>
      <c r="N168" s="103">
        <f t="shared" ref="N168:AS168" si="596">+(N20-N17)/N36</f>
      </c>
      <c r="O168" s="103">
        <f t="shared" si="596"/>
      </c>
      <c r="P168" s="103">
        <f t="shared" si="596"/>
      </c>
      <c r="Q168" s="103">
        <f t="shared" si="596"/>
      </c>
      <c r="R168" s="103">
        <f t="shared" si="596"/>
      </c>
      <c r="S168" s="103">
        <f t="shared" si="596"/>
      </c>
      <c r="T168" s="103">
        <f t="shared" si="596"/>
      </c>
      <c r="U168" s="103">
        <f t="shared" si="596"/>
      </c>
      <c r="V168" s="103">
        <f t="shared" si="596"/>
      </c>
      <c r="W168" s="103">
        <f t="shared" si="596"/>
      </c>
      <c r="X168" s="103">
        <f t="shared" si="596"/>
      </c>
      <c r="Y168" s="103">
        <f t="shared" si="596"/>
      </c>
      <c r="Z168" s="103">
        <f t="shared" si="596"/>
      </c>
      <c r="AA168" s="103">
        <f t="shared" si="596"/>
      </c>
      <c r="AB168" s="103">
        <f t="shared" si="596"/>
      </c>
      <c r="AC168" s="103">
        <f t="shared" si="596"/>
      </c>
      <c r="AD168" s="103">
        <f t="shared" si="596"/>
      </c>
      <c r="AE168" s="103">
        <f t="shared" si="596"/>
      </c>
      <c r="AF168" s="103">
        <f t="shared" si="596"/>
      </c>
      <c r="AG168" s="103">
        <f t="shared" si="596"/>
      </c>
      <c r="AH168" s="103">
        <f t="shared" si="596"/>
      </c>
      <c r="AI168" s="103">
        <f t="shared" si="596"/>
      </c>
      <c r="AJ168" s="103">
        <f t="shared" si="596"/>
      </c>
      <c r="AK168" s="103">
        <f t="shared" si="596"/>
      </c>
      <c r="AL168" s="103">
        <f t="shared" si="596"/>
      </c>
      <c r="AM168" s="103">
        <f t="shared" si="596"/>
      </c>
      <c r="AN168" s="103">
        <f t="shared" si="596"/>
      </c>
      <c r="AO168" s="103">
        <f t="shared" si="596"/>
      </c>
      <c r="AP168" s="103">
        <f t="shared" si="596"/>
      </c>
      <c r="AQ168" s="103">
        <f t="shared" si="596"/>
      </c>
      <c r="AR168" s="103">
        <f t="shared" si="596"/>
      </c>
      <c r="AS168" s="103">
        <f t="shared" si="596"/>
      </c>
      <c r="AT168" s="103">
        <f t="shared" ref="AT168:BY168" si="597">+(AT20-AT17)/AT36</f>
      </c>
      <c r="AU168" s="103">
        <f t="shared" si="597"/>
      </c>
      <c r="AV168" s="103">
        <f t="shared" si="597"/>
      </c>
      <c r="AW168" s="103">
        <f t="shared" si="597"/>
      </c>
      <c r="AX168" s="103">
        <f t="shared" si="597"/>
      </c>
      <c r="AY168" s="103">
        <f t="shared" si="597"/>
      </c>
      <c r="AZ168" s="103">
        <f t="shared" si="597"/>
      </c>
      <c r="BA168" s="103">
        <f t="shared" si="597"/>
      </c>
      <c r="BB168" s="103">
        <f t="shared" si="597"/>
      </c>
      <c r="BC168" s="103">
        <f t="shared" si="597"/>
      </c>
      <c r="BD168" s="103">
        <f t="shared" si="597"/>
      </c>
      <c r="BE168" s="103">
        <f t="shared" si="597"/>
      </c>
      <c r="BF168" s="103">
        <f t="shared" si="597"/>
      </c>
      <c r="BG168" s="103">
        <f t="shared" si="597"/>
      </c>
      <c r="BH168" s="103">
        <f t="shared" si="597"/>
      </c>
      <c r="BI168" s="103">
        <f t="shared" si="597"/>
      </c>
      <c r="BJ168" s="103">
        <f t="shared" si="597"/>
      </c>
      <c r="BK168" s="103">
        <f t="shared" si="597"/>
      </c>
      <c r="BL168" s="103">
        <f t="shared" si="597"/>
      </c>
      <c r="BM168" s="103">
        <f t="shared" si="597"/>
      </c>
      <c r="BN168" s="103">
        <f t="shared" si="597"/>
      </c>
      <c r="BO168" s="103">
        <f t="shared" si="597"/>
      </c>
      <c r="BP168" s="103">
        <f t="shared" si="597"/>
      </c>
      <c r="BQ168" s="103">
        <f t="shared" si="597"/>
      </c>
      <c r="BR168" s="103">
        <f t="shared" si="597"/>
      </c>
      <c r="BS168" s="103">
        <f t="shared" si="597"/>
      </c>
      <c r="BT168" s="103">
        <f t="shared" si="597"/>
      </c>
      <c r="BU168" s="556">
        <f t="shared" si="597"/>
      </c>
      <c r="BV168" s="103">
        <f>+(BV20-BV17)/BV36</f>
      </c>
      <c r="BW168" s="103">
        <f>+(BW20-BW17)/BW36</f>
      </c>
      <c r="BX168" s="103">
        <f t="shared" si="597"/>
      </c>
      <c r="BY168" s="103">
        <f t="shared" si="597"/>
      </c>
      <c r="BZ168" s="556">
        <f t="shared" ref="BZ168:DZ168" si="598">+(BZ20-BZ17)/BZ36</f>
      </c>
      <c r="CA168" s="103">
        <f t="shared" si="598"/>
      </c>
      <c r="CB168" s="103">
        <f t="shared" si="598"/>
      </c>
      <c r="CC168" s="103">
        <f t="shared" si="598"/>
      </c>
      <c r="CD168" s="103">
        <f t="shared" si="598"/>
      </c>
      <c r="CE168" s="556">
        <f t="shared" si="598"/>
      </c>
      <c r="CF168" s="103">
        <f t="shared" si="598"/>
      </c>
      <c r="CG168" s="103">
        <f t="shared" si="598"/>
      </c>
      <c r="CH168" s="103">
        <f t="shared" si="598"/>
      </c>
      <c r="CI168" s="103">
        <f t="shared" si="598"/>
      </c>
      <c r="CJ168" s="556">
        <f t="shared" si="598"/>
      </c>
      <c r="CK168" s="103">
        <f t="shared" si="598"/>
      </c>
      <c r="CL168" s="103">
        <f t="shared" si="598"/>
      </c>
      <c r="CM168" s="103">
        <f t="shared" si="598"/>
      </c>
      <c r="CN168" s="103">
        <f t="shared" si="598"/>
      </c>
      <c r="CO168" s="556">
        <f t="shared" si="598"/>
      </c>
      <c r="CP168" s="103">
        <f t="shared" si="598"/>
      </c>
      <c r="CQ168" s="103">
        <f t="shared" si="598"/>
      </c>
      <c r="CR168" s="103">
        <f t="shared" si="598"/>
      </c>
      <c r="CS168" s="103">
        <f t="shared" si="598"/>
      </c>
      <c r="CT168" s="556">
        <f t="shared" si="598"/>
      </c>
      <c r="CU168" s="103">
        <f t="shared" si="598"/>
      </c>
      <c r="CV168" s="103">
        <f t="shared" si="598"/>
      </c>
      <c r="CW168" s="103">
        <f t="shared" si="598"/>
      </c>
      <c r="CX168" s="103">
        <f>+(CX20-CX17)/CX36</f>
      </c>
      <c r="CY168" s="556">
        <f>+(CY20-CY17)/CY36</f>
      </c>
      <c r="CZ168" s="103">
        <f t="shared" si="598"/>
      </c>
      <c r="DA168" s="103">
        <f t="shared" si="598"/>
      </c>
      <c r="DB168" s="103">
        <f t="shared" si="598"/>
      </c>
      <c r="DC168" s="103">
        <f t="shared" ref="DC168:DI168" si="599">+(DC20-DC17)/DC36</f>
      </c>
      <c r="DD168" s="556">
        <f t="shared" si="599"/>
      </c>
      <c r="DE168" s="103">
        <f t="shared" si="599"/>
      </c>
      <c r="DF168" s="103">
        <f t="shared" si="599"/>
      </c>
      <c r="DG168" s="103">
        <f t="shared" si="599"/>
      </c>
      <c r="DH168" s="1056">
        <f t="shared" si="599"/>
      </c>
      <c r="DI168" s="556">
        <f t="shared" si="599"/>
      </c>
      <c r="DJ168" s="103">
        <f>+(DJ20-DJ17)/DJ36</f>
      </c>
      <c r="DK168" s="103">
        <f>+(DK20-DK17)/DK36</f>
      </c>
      <c r="DL168" s="1056">
        <f>+(DL20-DL17)/DL36</f>
      </c>
      <c r="DM168" s="1056">
        <f>+(DM20-DM17)/DM36</f>
      </c>
      <c r="DN168" s="556">
        <f t="shared" si="598"/>
      </c>
      <c r="DO168" s="1056">
        <f t="shared" si="598"/>
      </c>
      <c r="DP168" s="1056">
        <f t="shared" si="598"/>
      </c>
      <c r="DQ168" s="1056">
        <f t="shared" ref="DQ168:DX168" si="600">+(DQ20-DQ17)/DQ36</f>
      </c>
      <c r="DR168" s="1056">
        <f t="shared" si="600"/>
      </c>
      <c r="DS168" s="556">
        <f t="shared" si="600"/>
      </c>
      <c r="DT168" s="1056">
        <f t="shared" si="600"/>
      </c>
      <c r="DU168" s="1056">
        <f t="shared" si="600"/>
      </c>
      <c r="DV168" s="1056">
        <f t="shared" si="600"/>
      </c>
      <c r="DW168" s="1245">
        <f t="shared" si="600"/>
      </c>
      <c r="DX168" s="1302">
        <f t="shared" si="600"/>
      </c>
      <c r="DY168" s="1056">
        <f t="shared" si="598"/>
      </c>
      <c r="DZ168" s="1056">
        <f t="shared" si="598"/>
      </c>
      <c r="EA168" s="1056">
        <f t="shared" ref="EA168:ER168" si="601">+(EA20-EA17)/EA36</f>
      </c>
      <c r="EB168" s="1056">
        <f t="shared" si="601"/>
      </c>
      <c r="EC168" s="2756">
        <f t="shared" si="601"/>
      </c>
      <c r="ED168" s="1056">
        <f t="shared" si="601"/>
      </c>
      <c r="EE168" s="1056">
        <f t="shared" si="601"/>
      </c>
      <c r="EF168" s="1056">
        <f t="shared" si="601"/>
      </c>
      <c r="EG168" s="1056">
        <f t="shared" si="601"/>
      </c>
      <c r="EH168" s="2756">
        <f t="shared" si="601"/>
      </c>
      <c r="EI168" s="1056">
        <f t="shared" si="601"/>
      </c>
      <c r="EJ168" s="1056">
        <f t="shared" si="601"/>
      </c>
      <c r="EK168" s="1056">
        <f t="shared" si="601"/>
      </c>
      <c r="EL168" s="1245">
        <f t="shared" si="601"/>
      </c>
      <c r="EM168" s="2560">
        <f t="shared" si="601"/>
      </c>
      <c r="EN168" s="2563">
        <f>+(EN20-EN17)/EN36</f>
      </c>
      <c r="EO168" s="1056">
        <f t="shared" si="601"/>
      </c>
      <c r="EP168" s="1056">
        <f t="shared" si="601"/>
      </c>
      <c r="EQ168" s="1245">
        <f t="shared" si="601"/>
      </c>
      <c r="ER168" s="1303">
        <f t="shared" si="601"/>
      </c>
      <c r="ES168" s="2563">
        <f>+(ES20-ES17)/ES36</f>
      </c>
      <c r="ET168" s="1056">
        <f t="shared" ref="ET168:EW168" si="602">+(ET20-ET17)/ET36</f>
      </c>
      <c r="EU168" s="1056">
        <f t="shared" si="602"/>
      </c>
      <c r="EV168" s="1245">
        <f t="shared" si="602"/>
      </c>
      <c r="EW168" s="1303">
        <f t="shared" si="602"/>
      </c>
      <c r="EX168" s="2563">
        <f>+(EX20-EX17)/EX36</f>
      </c>
      <c r="EY168" s="1056">
        <f t="shared" ref="EY168" si="603">+(EY20-EY17)/EY36</f>
      </c>
      <c r="EZ168" s="1056">
        <f>+(EZ20-EZ17)/EZ36</f>
      </c>
      <c r="FA168" s="1245">
        <f>+(FA20-FA17)/FA36</f>
      </c>
      <c r="FB168" s="1303">
        <f t="shared" ref="FB168" si="604">+(FB20-FB17)/FB36</f>
      </c>
      <c r="FC168" s="1303">
        <f ca="1">+(FC20-FC17)/FC36</f>
      </c>
      <c r="FD168" s="1303">
        <f ca="1">+(FD20-FD17)/FD36</f>
      </c>
      <c r="FE168" s="1303">
        <f ca="1">+(FE20-FE17)/FE36</f>
      </c>
      <c r="FF168" s="1303">
        <f ca="1">+(FF20-FF17)/FF36</f>
      </c>
      <c r="FG168" s="1303">
        <f ca="1">+(FG20-FG17)/FG36</f>
      </c>
    </row>
    <row r="169" spans="1:165" outlineLevel="1">
      <c r="A169" s="1"/>
      <c r="B169" s="147" t="s">
        <v>358</v>
      </c>
      <c r="C169" s="120"/>
      <c r="D169" s="120"/>
      <c r="E169" s="120"/>
      <c r="F169" s="120"/>
      <c r="G169" s="120"/>
      <c r="H169" s="120"/>
      <c r="I169" s="120"/>
      <c r="J169" s="120"/>
      <c r="K169" s="120"/>
      <c r="L169" s="120"/>
      <c r="M169" s="120"/>
      <c r="N169" s="98">
        <f t="shared" ref="N169:AS169" si="605">+(N14+N15)/N36</f>
      </c>
      <c r="O169" s="98">
        <f t="shared" si="605"/>
      </c>
      <c r="P169" s="98">
        <f t="shared" si="605"/>
      </c>
      <c r="Q169" s="98">
        <f t="shared" si="605"/>
      </c>
      <c r="R169" s="98">
        <f t="shared" si="605"/>
      </c>
      <c r="S169" s="98">
        <f t="shared" si="605"/>
      </c>
      <c r="T169" s="98">
        <f t="shared" si="605"/>
      </c>
      <c r="U169" s="98">
        <f t="shared" si="605"/>
      </c>
      <c r="V169" s="98">
        <f t="shared" si="605"/>
      </c>
      <c r="W169" s="98">
        <f t="shared" si="605"/>
      </c>
      <c r="X169" s="98">
        <f t="shared" si="605"/>
      </c>
      <c r="Y169" s="98">
        <f t="shared" si="605"/>
      </c>
      <c r="Z169" s="98">
        <f t="shared" si="605"/>
      </c>
      <c r="AA169" s="98">
        <f t="shared" si="605"/>
      </c>
      <c r="AB169" s="98">
        <f t="shared" si="605"/>
      </c>
      <c r="AC169" s="98">
        <f t="shared" si="605"/>
      </c>
      <c r="AD169" s="98">
        <f t="shared" si="605"/>
      </c>
      <c r="AE169" s="98">
        <f t="shared" si="605"/>
      </c>
      <c r="AF169" s="98">
        <f t="shared" si="605"/>
      </c>
      <c r="AG169" s="98">
        <f t="shared" si="605"/>
      </c>
      <c r="AH169" s="98">
        <f t="shared" si="605"/>
      </c>
      <c r="AI169" s="98">
        <f t="shared" si="605"/>
      </c>
      <c r="AJ169" s="98">
        <f t="shared" si="605"/>
      </c>
      <c r="AK169" s="98">
        <f t="shared" si="605"/>
      </c>
      <c r="AL169" s="98">
        <f t="shared" si="605"/>
      </c>
      <c r="AM169" s="98">
        <f t="shared" si="605"/>
      </c>
      <c r="AN169" s="98">
        <f t="shared" si="605"/>
      </c>
      <c r="AO169" s="98">
        <f t="shared" si="605"/>
      </c>
      <c r="AP169" s="98">
        <f t="shared" si="605"/>
      </c>
      <c r="AQ169" s="98">
        <f t="shared" si="605"/>
      </c>
      <c r="AR169" s="98">
        <f t="shared" si="605"/>
      </c>
      <c r="AS169" s="98">
        <f t="shared" si="605"/>
      </c>
      <c r="AT169" s="98">
        <f t="shared" ref="AT169:BY169" si="606">+(AT14+AT15)/AT36</f>
      </c>
      <c r="AU169" s="98">
        <f t="shared" si="606"/>
      </c>
      <c r="AV169" s="98">
        <f t="shared" si="606"/>
      </c>
      <c r="AW169" s="98">
        <f t="shared" si="606"/>
      </c>
      <c r="AX169" s="98">
        <f t="shared" si="606"/>
      </c>
      <c r="AY169" s="98">
        <f t="shared" si="606"/>
      </c>
      <c r="AZ169" s="98">
        <f t="shared" si="606"/>
      </c>
      <c r="BA169" s="98">
        <f t="shared" si="606"/>
      </c>
      <c r="BB169" s="98">
        <f t="shared" si="606"/>
      </c>
      <c r="BC169" s="98">
        <f t="shared" si="606"/>
      </c>
      <c r="BD169" s="98">
        <f t="shared" si="606"/>
      </c>
      <c r="BE169" s="98">
        <f t="shared" si="606"/>
      </c>
      <c r="BF169" s="98">
        <f t="shared" si="606"/>
      </c>
      <c r="BG169" s="98">
        <f t="shared" si="606"/>
      </c>
      <c r="BH169" s="98">
        <f t="shared" si="606"/>
      </c>
      <c r="BI169" s="98">
        <f t="shared" si="606"/>
      </c>
      <c r="BJ169" s="98">
        <f t="shared" si="606"/>
      </c>
      <c r="BK169" s="98">
        <f t="shared" si="606"/>
      </c>
      <c r="BL169" s="98">
        <f t="shared" si="606"/>
      </c>
      <c r="BM169" s="98">
        <f t="shared" si="606"/>
      </c>
      <c r="BN169" s="98">
        <f t="shared" si="606"/>
      </c>
      <c r="BO169" s="98">
        <f t="shared" si="606"/>
      </c>
      <c r="BP169" s="98">
        <f t="shared" si="606"/>
      </c>
      <c r="BQ169" s="98">
        <f t="shared" si="606"/>
      </c>
      <c r="BR169" s="98">
        <f t="shared" si="606"/>
      </c>
      <c r="BS169" s="98">
        <f t="shared" si="606"/>
      </c>
      <c r="BT169" s="98">
        <f t="shared" si="606"/>
      </c>
      <c r="BU169" s="557">
        <f t="shared" si="606"/>
      </c>
      <c r="BV169" s="98">
        <f>+(BV14+BV15)/BV36</f>
      </c>
      <c r="BW169" s="98">
        <f>+(BW14+BW15)/BW36</f>
      </c>
      <c r="BX169" s="98">
        <f t="shared" si="606"/>
      </c>
      <c r="BY169" s="98">
        <f t="shared" si="606"/>
      </c>
      <c r="BZ169" s="557">
        <f t="shared" ref="BZ169:DZ169" si="607">+(BZ14+BZ15)/BZ36</f>
      </c>
      <c r="CA169" s="98">
        <f t="shared" si="607"/>
      </c>
      <c r="CB169" s="98">
        <f t="shared" si="607"/>
      </c>
      <c r="CC169" s="98">
        <f t="shared" si="607"/>
      </c>
      <c r="CD169" s="98">
        <f t="shared" si="607"/>
      </c>
      <c r="CE169" s="557">
        <f t="shared" si="607"/>
      </c>
      <c r="CF169" s="98">
        <f t="shared" si="607"/>
      </c>
      <c r="CG169" s="98">
        <f t="shared" si="607"/>
      </c>
      <c r="CH169" s="98">
        <f t="shared" si="607"/>
      </c>
      <c r="CI169" s="98">
        <f t="shared" si="607"/>
      </c>
      <c r="CJ169" s="557">
        <f t="shared" si="607"/>
      </c>
      <c r="CK169" s="98">
        <f t="shared" si="607"/>
      </c>
      <c r="CL169" s="98">
        <f t="shared" si="607"/>
      </c>
      <c r="CM169" s="98">
        <f t="shared" si="607"/>
      </c>
      <c r="CN169" s="98">
        <f t="shared" si="607"/>
      </c>
      <c r="CO169" s="557">
        <f t="shared" si="607"/>
      </c>
      <c r="CP169" s="98">
        <f t="shared" si="607"/>
      </c>
      <c r="CQ169" s="98">
        <f t="shared" si="607"/>
      </c>
      <c r="CR169" s="98">
        <f t="shared" si="607"/>
      </c>
      <c r="CS169" s="98">
        <f t="shared" si="607"/>
      </c>
      <c r="CT169" s="557">
        <f t="shared" si="607"/>
      </c>
      <c r="CU169" s="98">
        <f t="shared" si="607"/>
      </c>
      <c r="CV169" s="98">
        <f t="shared" si="607"/>
      </c>
      <c r="CW169" s="98">
        <f t="shared" si="607"/>
      </c>
      <c r="CX169" s="98">
        <f>+(CX14+CX15)/CX36</f>
      </c>
      <c r="CY169" s="557">
        <f>+(CY14+CY15)/CY36</f>
      </c>
      <c r="CZ169" s="98">
        <f t="shared" si="607"/>
      </c>
      <c r="DA169" s="98">
        <f t="shared" si="607"/>
      </c>
      <c r="DB169" s="98">
        <f t="shared" si="607"/>
      </c>
      <c r="DC169" s="98">
        <f t="shared" ref="DC169:DI169" si="608">+(DC14+DC15)/DC36</f>
      </c>
      <c r="DD169" s="557">
        <f t="shared" si="608"/>
      </c>
      <c r="DE169" s="98">
        <f t="shared" si="608"/>
      </c>
      <c r="DF169" s="98">
        <f t="shared" si="608"/>
      </c>
      <c r="DG169" s="98">
        <f t="shared" si="608"/>
      </c>
      <c r="DH169" s="1057">
        <f t="shared" si="608"/>
      </c>
      <c r="DI169" s="557">
        <f t="shared" si="608"/>
      </c>
      <c r="DJ169" s="98">
        <f>+(DJ14+DJ15)/DJ36</f>
      </c>
      <c r="DK169" s="98">
        <f>+(DK14+DK15)/DK36</f>
      </c>
      <c r="DL169" s="1057">
        <f>+(DL14+DL15)/DL36</f>
      </c>
      <c r="DM169" s="1057">
        <f>+(DM14+DM15)/DM36</f>
      </c>
      <c r="DN169" s="557">
        <f t="shared" si="607"/>
      </c>
      <c r="DO169" s="1283">
        <f t="shared" si="607"/>
      </c>
      <c r="DP169" s="1283">
        <f t="shared" si="607"/>
      </c>
      <c r="DQ169" s="1283">
        <f t="shared" ref="DQ169:DX169" si="609">+(DQ14+DQ15)/DQ36</f>
      </c>
      <c r="DR169" s="1057">
        <f t="shared" si="609"/>
      </c>
      <c r="DS169" s="557">
        <f t="shared" si="609"/>
      </c>
      <c r="DT169" s="1283">
        <f t="shared" si="609"/>
      </c>
      <c r="DU169" s="1283">
        <f t="shared" si="609"/>
      </c>
      <c r="DV169" s="1283">
        <f t="shared" si="609"/>
      </c>
      <c r="DW169" s="1246">
        <f t="shared" si="609"/>
      </c>
      <c r="DX169" s="1304">
        <f t="shared" si="609"/>
      </c>
      <c r="DY169" s="1283">
        <f t="shared" si="607"/>
      </c>
      <c r="DZ169" s="1283">
        <f t="shared" si="607"/>
      </c>
      <c r="EA169" s="1283">
        <f t="shared" ref="EA169:ER169" si="610">+(EA14+EA15)/EA36</f>
      </c>
      <c r="EB169" s="2142">
        <f t="shared" si="610"/>
      </c>
      <c r="EC169" s="2757">
        <f t="shared" si="610"/>
      </c>
      <c r="ED169" s="1283">
        <f t="shared" si="610"/>
      </c>
      <c r="EE169" s="1283">
        <f t="shared" si="610"/>
      </c>
      <c r="EF169" s="1283">
        <f t="shared" si="610"/>
      </c>
      <c r="EG169" s="2142">
        <f t="shared" si="610"/>
      </c>
      <c r="EH169" s="2757">
        <f t="shared" si="610"/>
      </c>
      <c r="EI169" s="1283">
        <f t="shared" si="610"/>
      </c>
      <c r="EJ169" s="1283">
        <f t="shared" si="610"/>
      </c>
      <c r="EK169" s="1283">
        <f t="shared" si="610"/>
      </c>
      <c r="EL169" s="1246">
        <f t="shared" si="610"/>
      </c>
      <c r="EM169" s="2561">
        <f t="shared" si="610"/>
      </c>
      <c r="EN169" s="2564">
        <f>+(EN14+EN15)/EN36</f>
      </c>
      <c r="EO169" s="2142">
        <f t="shared" si="610"/>
      </c>
      <c r="EP169" s="1283">
        <f t="shared" si="610"/>
      </c>
      <c r="EQ169" s="2147">
        <f t="shared" si="610"/>
      </c>
      <c r="ER169" s="2164">
        <f t="shared" si="610"/>
      </c>
      <c r="ES169" s="2564">
        <f>+(ES14+ES15)/ES36</f>
      </c>
      <c r="ET169" s="3503">
        <f t="shared" ref="ET169:EW169" si="611">+(ET14+ET15)/ET36</f>
      </c>
      <c r="EU169" s="1283">
        <f t="shared" si="611"/>
      </c>
      <c r="EV169" s="2147">
        <f t="shared" si="611"/>
      </c>
      <c r="EW169" s="2164">
        <f t="shared" si="611"/>
      </c>
      <c r="EX169" s="2564">
        <f>+(EX14+EX15)/EX36</f>
      </c>
      <c r="EY169" s="3503">
        <f t="shared" ref="EY169" si="612">+(EY14+EY15)/EY36</f>
      </c>
      <c r="EZ169" s="2142">
        <f>+(EZ14+EZ15)/EZ36</f>
      </c>
      <c r="FA169" s="2147">
        <f>+(FA14+FA15)/FA36</f>
      </c>
      <c r="FB169" s="3596">
        <f t="shared" ref="FB169" si="613">+(FB14+FB15)/FB36</f>
      </c>
      <c r="FC169" s="1305">
        <f ca="1">+(FC14+FC15)/FC36</f>
      </c>
      <c r="FD169" s="1305">
        <f ca="1">+(FD14+FD15)/FD36</f>
      </c>
      <c r="FE169" s="1305">
        <f ca="1">+(FE14+FE15)/FE36</f>
      </c>
      <c r="FF169" s="1305">
        <f ca="1">+(FF14+FF15)/FF36</f>
      </c>
      <c r="FG169" s="1305">
        <f ca="1">+(FG14+FG15)/FG36</f>
      </c>
    </row>
    <row r="170" spans="1:165" outlineLevel="1">
      <c r="A170" s="1"/>
      <c r="B170" s="86"/>
      <c r="C170" s="86"/>
      <c r="D170" s="86"/>
      <c r="E170" s="86"/>
      <c r="F170" s="86"/>
      <c r="G170" s="86"/>
      <c r="H170" s="86"/>
      <c r="I170" s="86"/>
      <c r="J170" s="86"/>
      <c r="K170" s="86"/>
      <c r="L170" s="86"/>
      <c r="M170" s="86"/>
      <c r="N170" s="86"/>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c r="BG170" s="103"/>
      <c r="BH170" s="103"/>
      <c r="BI170" s="103"/>
      <c r="BJ170" s="103"/>
      <c r="BK170" s="103"/>
      <c r="BL170" s="103"/>
      <c r="BM170" s="103"/>
      <c r="BN170" s="103"/>
      <c r="BO170" s="103"/>
      <c r="BP170" s="103"/>
      <c r="BQ170" s="103"/>
      <c r="BR170" s="103"/>
      <c r="BS170" s="103"/>
      <c r="BT170" s="1"/>
      <c r="BU170" s="1"/>
      <c r="BV170" s="103"/>
      <c r="BW170" s="103"/>
      <c r="BX170" s="1"/>
      <c r="BY170" s="1"/>
      <c r="BZ170" s="1"/>
      <c r="CA170" s="1"/>
      <c r="CB170" s="1"/>
      <c r="CC170" s="1"/>
      <c r="CD170" s="1"/>
      <c r="CE170" s="1"/>
      <c r="CF170" s="1"/>
      <c r="CG170" s="1"/>
      <c r="CH170" s="1"/>
      <c r="CI170" s="1"/>
      <c r="CJ170" s="1"/>
      <c r="CK170" s="1"/>
      <c r="CL170" s="1"/>
      <c r="CM170" s="1"/>
      <c r="CN170" s="1"/>
      <c r="CO170" s="1"/>
      <c r="CP170" s="1"/>
      <c r="CQ170" s="73"/>
      <c r="CR170" s="73"/>
      <c r="CS170" s="1"/>
      <c r="CT170" s="1"/>
      <c r="CU170" s="1"/>
      <c r="CV170" s="73"/>
      <c r="CW170" s="73"/>
      <c r="CX170" s="1"/>
      <c r="CY170" s="1"/>
      <c r="CZ170" s="73"/>
      <c r="DA170" s="73"/>
      <c r="DB170" s="73"/>
      <c r="DC170" s="1"/>
      <c r="DD170" s="1"/>
      <c r="DE170" s="73"/>
      <c r="DF170" s="73"/>
      <c r="DG170" s="73"/>
      <c r="DH170" s="1045"/>
      <c r="DI170" s="73"/>
      <c r="DJ170" s="73"/>
      <c r="DK170" s="73"/>
      <c r="DL170" s="1045"/>
      <c r="DM170" s="1045"/>
      <c r="DN170" s="73"/>
      <c r="DO170" s="1045"/>
      <c r="DP170" s="1045"/>
      <c r="DQ170" s="1045"/>
      <c r="DR170" s="1045"/>
      <c r="DS170" s="73"/>
      <c r="DT170" s="1045"/>
      <c r="DU170" s="1045"/>
      <c r="DV170" s="1045"/>
      <c r="DW170" s="1045"/>
      <c r="DX170" s="1045"/>
      <c r="DY170" s="1045"/>
      <c r="DZ170" s="1045"/>
      <c r="EA170" s="1045"/>
      <c r="EB170" s="1045"/>
      <c r="EC170" s="1045"/>
      <c r="ED170" s="1045"/>
      <c r="EE170" s="1045"/>
      <c r="EF170" s="1045"/>
      <c r="EG170" s="1045"/>
      <c r="EH170" s="1045"/>
      <c r="EI170" s="1045"/>
      <c r="EJ170" s="1045"/>
      <c r="EK170" s="1045"/>
      <c r="EL170" s="1045"/>
      <c r="EM170" s="1045"/>
      <c r="EN170" s="1045"/>
      <c r="EO170" s="1045"/>
      <c r="EP170" s="1045"/>
      <c r="EQ170" s="1045"/>
      <c r="ER170" s="1045"/>
      <c r="ES170" s="1045"/>
      <c r="ET170" s="1045"/>
      <c r="EU170" s="1045"/>
      <c r="EV170" s="1045"/>
      <c r="EW170" s="1045"/>
      <c r="EX170" s="1045"/>
      <c r="EY170" s="1045"/>
      <c r="EZ170" s="1045"/>
      <c r="FA170" s="1045"/>
      <c r="FB170" s="1045"/>
      <c r="FC170" s="1045"/>
      <c r="FD170" s="1045"/>
      <c r="FE170" s="1045"/>
      <c r="FF170" s="1045"/>
      <c r="FG170" s="1045"/>
    </row>
    <row r="171" spans="1:165" outlineLevel="1">
      <c r="A171" s="1"/>
      <c r="B171" s="778" t="s">
        <v>62</v>
      </c>
      <c r="C171" s="779"/>
      <c r="D171" s="779"/>
      <c r="E171" s="779"/>
      <c r="F171" s="779"/>
      <c r="G171" s="779"/>
      <c r="H171" s="779"/>
      <c r="I171" s="779"/>
      <c r="J171" s="779"/>
      <c r="K171" s="779"/>
      <c r="L171" s="779"/>
      <c r="M171" s="779"/>
      <c r="N171" s="779"/>
      <c r="O171" s="795"/>
      <c r="P171" s="795"/>
      <c r="Q171" s="795"/>
      <c r="R171" s="795"/>
      <c r="S171" s="795"/>
      <c r="T171" s="795"/>
      <c r="U171" s="795"/>
      <c r="V171" s="795"/>
      <c r="W171" s="795"/>
      <c r="X171" s="795"/>
      <c r="Y171" s="795"/>
      <c r="Z171" s="795"/>
      <c r="AA171" s="795"/>
      <c r="AB171" s="795"/>
      <c r="AC171" s="795"/>
      <c r="AD171" s="795"/>
      <c r="AE171" s="795"/>
      <c r="AF171" s="795"/>
      <c r="AG171" s="795"/>
      <c r="AH171" s="795"/>
      <c r="AI171" s="795"/>
      <c r="AJ171" s="795"/>
      <c r="AK171" s="795"/>
      <c r="AL171" s="795"/>
      <c r="AM171" s="795"/>
      <c r="AN171" s="795"/>
      <c r="AO171" s="795"/>
      <c r="AP171" s="795"/>
      <c r="AQ171" s="795"/>
      <c r="AR171" s="795"/>
      <c r="AS171" s="795"/>
      <c r="AT171" s="795"/>
      <c r="AU171" s="795"/>
      <c r="AV171" s="795"/>
      <c r="AW171" s="795"/>
      <c r="AX171" s="795"/>
      <c r="AY171" s="795"/>
      <c r="AZ171" s="795"/>
      <c r="BA171" s="795"/>
      <c r="BB171" s="795"/>
      <c r="BC171" s="795"/>
      <c r="BD171" s="795"/>
      <c r="BE171" s="795"/>
      <c r="BF171" s="795"/>
      <c r="BG171" s="795"/>
      <c r="BH171" s="795"/>
      <c r="BI171" s="795"/>
      <c r="BJ171" s="795"/>
      <c r="BK171" s="795"/>
      <c r="BL171" s="795"/>
      <c r="BM171" s="795"/>
      <c r="BN171" s="795"/>
      <c r="BO171" s="795"/>
      <c r="BP171" s="795"/>
      <c r="BQ171" s="795"/>
      <c r="BR171" s="795"/>
      <c r="BS171" s="795"/>
      <c r="BT171" s="593"/>
      <c r="BU171" s="771"/>
      <c r="BV171" s="795"/>
      <c r="BW171" s="795"/>
      <c r="BX171" s="593"/>
      <c r="BY171" s="593"/>
      <c r="BZ171" s="771"/>
      <c r="CA171" s="593"/>
      <c r="CB171" s="593"/>
      <c r="CC171" s="593"/>
      <c r="CD171" s="593"/>
      <c r="CE171" s="771"/>
      <c r="CF171" s="593"/>
      <c r="CG171" s="593"/>
      <c r="CH171" s="593"/>
      <c r="CI171" s="593"/>
      <c r="CJ171" s="771"/>
      <c r="CK171" s="593"/>
      <c r="CL171" s="593"/>
      <c r="CM171" s="593"/>
      <c r="CN171" s="593"/>
      <c r="CO171" s="771"/>
      <c r="CP171" s="593"/>
      <c r="CQ171" s="593"/>
      <c r="CR171" s="593"/>
      <c r="CS171" s="593"/>
      <c r="CT171" s="771"/>
      <c r="CU171" s="593"/>
      <c r="CV171" s="593"/>
      <c r="CW171" s="593"/>
      <c r="CX171" s="593"/>
      <c r="CY171" s="771"/>
      <c r="CZ171" s="593"/>
      <c r="DA171" s="593"/>
      <c r="DB171" s="593"/>
      <c r="DC171" s="593"/>
      <c r="DD171" s="771"/>
      <c r="DE171" s="593"/>
      <c r="DF171" s="593"/>
      <c r="DG171" s="593"/>
      <c r="DH171" s="1033"/>
      <c r="DI171" s="771"/>
      <c r="DJ171" s="593"/>
      <c r="DK171" s="593"/>
      <c r="DL171" s="1033"/>
      <c r="DM171" s="1033"/>
      <c r="DN171" s="771"/>
      <c r="DO171" s="1124"/>
      <c r="DP171" s="1124"/>
      <c r="DQ171" s="1124"/>
      <c r="DR171" s="1033"/>
      <c r="DS171" s="771"/>
      <c r="DT171" s="1124"/>
      <c r="DU171" s="1124"/>
      <c r="DV171" s="1124"/>
      <c r="DW171" s="1244"/>
      <c r="DX171" s="1113"/>
      <c r="DY171" s="1124"/>
      <c r="DZ171" s="1124"/>
      <c r="EA171" s="1124"/>
      <c r="EB171" s="2692"/>
      <c r="EC171" s="2714"/>
      <c r="ED171" s="1124"/>
      <c r="EE171" s="1124"/>
      <c r="EF171" s="1124"/>
      <c r="EG171" s="2692"/>
      <c r="EH171" s="2714"/>
      <c r="EI171" s="1124"/>
      <c r="EJ171" s="1124"/>
      <c r="EK171" s="1124"/>
      <c r="EL171" s="1244"/>
      <c r="EM171" s="2509"/>
      <c r="EN171" s="2503"/>
      <c r="EO171" s="1499"/>
      <c r="EP171" s="2692"/>
      <c r="EQ171" s="2042"/>
      <c r="ER171" s="2041"/>
      <c r="ES171" s="2503"/>
      <c r="ET171" s="2692"/>
      <c r="EU171" s="2692"/>
      <c r="EV171" s="2042"/>
      <c r="EW171" s="2041"/>
      <c r="EX171" s="2503"/>
      <c r="EY171" s="2692"/>
      <c r="EZ171" s="1499"/>
      <c r="FA171" s="2042"/>
      <c r="FB171" s="2041"/>
      <c r="FC171" s="1287"/>
      <c r="FD171" s="1287"/>
      <c r="FE171" s="1287"/>
      <c r="FF171" s="1287"/>
      <c r="FG171" s="1287"/>
    </row>
    <row r="172" spans="1:165" outlineLevel="1">
      <c r="A172" s="22"/>
      <c r="B172" s="148" t="s">
        <v>63</v>
      </c>
      <c r="C172" s="134"/>
      <c r="D172" s="134"/>
      <c r="E172" s="134"/>
      <c r="F172" s="134"/>
      <c r="G172" s="134"/>
      <c r="H172" s="134"/>
      <c r="I172" s="134"/>
      <c r="J172" s="134"/>
      <c r="K172" s="134"/>
      <c r="L172" s="134"/>
      <c r="M172" s="134"/>
      <c r="N172" s="22">
        <f>+'Income Statement'!AM43/N27</f>
      </c>
      <c r="O172" s="22">
        <f>+'Income Statement'!AN43/O27</f>
      </c>
      <c r="P172" s="22">
        <f>+'Income Statement'!AO43/P27</f>
      </c>
      <c r="Q172" s="22">
        <f>+'Income Statement'!AP43/Q27</f>
      </c>
      <c r="R172" s="22">
        <f>+'Income Statement'!AQ43/R27</f>
      </c>
      <c r="S172" s="22">
        <f>+'Income Statement'!AR43/S27</f>
      </c>
      <c r="T172" s="22">
        <f>+'Income Statement'!AS43/T27</f>
      </c>
      <c r="U172" s="22">
        <f>+'Income Statement'!AT43/U27</f>
      </c>
      <c r="V172" s="22">
        <f>+'Income Statement'!AU43/V27</f>
      </c>
      <c r="W172" s="22">
        <f>+'Income Statement'!AV43/W27</f>
      </c>
      <c r="X172" s="22">
        <f>+'Income Statement'!AW43/X27</f>
      </c>
      <c r="Y172" s="22">
        <f>+'Income Statement'!AX43/Y27</f>
      </c>
      <c r="Z172" s="22">
        <f>+'Income Statement'!AY43/Z27</f>
      </c>
      <c r="AA172" s="22">
        <f>+'Income Statement'!AZ43/AA27</f>
      </c>
      <c r="AB172" s="22">
        <f>+'Income Statement'!BA43/AB27</f>
      </c>
      <c r="AC172" s="22">
        <f>+'Income Statement'!BB43/AC27</f>
      </c>
      <c r="AD172" s="22">
        <f>+'Income Statement'!BC43/AD27</f>
      </c>
      <c r="AE172" s="22">
        <f>+'Income Statement'!BD43/AE27</f>
      </c>
      <c r="AF172" s="22">
        <f>+'Income Statement'!BE43/AF27</f>
      </c>
      <c r="AG172" s="22">
        <f>+'Income Statement'!BF43/AG27</f>
      </c>
      <c r="AH172" s="22">
        <f>+'Income Statement'!BG43/AH27</f>
      </c>
      <c r="AI172" s="22">
        <f>+'Income Statement'!BH43/AI27</f>
      </c>
      <c r="AJ172" s="22">
        <f>+'Income Statement'!BI43/AJ27</f>
      </c>
      <c r="AK172" s="22">
        <f>+'Income Statement'!BJ43/AK27</f>
      </c>
      <c r="AL172" s="22">
        <f>+'Income Statement'!BK43/AL27</f>
      </c>
      <c r="AM172" s="22">
        <f>+'Income Statement'!BL43/AM27</f>
      </c>
      <c r="AN172" s="22">
        <f>+'Income Statement'!BM43/AN27</f>
      </c>
      <c r="AO172" s="22">
        <f>+'Income Statement'!BN43/AO27</f>
      </c>
      <c r="AP172" s="22">
        <f>+'Income Statement'!BO43/AP27</f>
      </c>
      <c r="AQ172" s="22">
        <f>+'Income Statement'!BP43/AQ27</f>
      </c>
      <c r="AR172" s="22">
        <f>+'Income Statement'!BQ43/AR27</f>
      </c>
      <c r="AS172" s="22">
        <f>+'Income Statement'!BR43/AS27</f>
      </c>
      <c r="AT172" s="22">
        <f>+'Income Statement'!BS43/AT27</f>
      </c>
      <c r="AU172" s="22">
        <f>+'Income Statement'!BT43/AU27</f>
      </c>
      <c r="AV172" s="22">
        <f>+'Income Statement'!BU43/AV27</f>
      </c>
      <c r="AW172" s="22">
        <f>+'Income Statement'!BV43/AW27</f>
      </c>
      <c r="AX172" s="22">
        <f>+'Income Statement'!BW43/AX27</f>
      </c>
      <c r="AY172" s="22">
        <f>+'Income Statement'!BX43/AY27</f>
      </c>
      <c r="AZ172" s="22">
        <f>+'Income Statement'!BY43/AZ27</f>
      </c>
      <c r="BA172" s="22">
        <f>+'Income Statement'!BZ43/BA27</f>
      </c>
      <c r="BB172" s="22">
        <f>+'Income Statement'!CA43/BB27</f>
      </c>
      <c r="BC172" s="22">
        <f>+'Income Statement'!CB43/BC27</f>
      </c>
      <c r="BD172" s="22">
        <f>+'Income Statement'!CC43/BD27</f>
      </c>
      <c r="BE172" s="22">
        <f>+'Income Statement'!CD43/BE27</f>
      </c>
      <c r="BF172" s="22">
        <f>+'Income Statement'!CE43/BF27</f>
      </c>
      <c r="BG172" s="22">
        <f>+'Income Statement'!CF43/BG27</f>
      </c>
      <c r="BH172" s="22">
        <f>+'Income Statement'!CG43/BH27</f>
      </c>
      <c r="BI172" s="22">
        <f>+'Income Statement'!CH43/BI27</f>
      </c>
      <c r="BJ172" s="22">
        <f>+'Income Statement'!CI43/BJ27</f>
      </c>
      <c r="BK172" s="22">
        <f>+'Income Statement'!CJ43/BK27</f>
      </c>
      <c r="BL172" s="22">
        <f>+'Income Statement'!CK43*4/BL27</f>
      </c>
      <c r="BM172" s="22">
        <f>+'Income Statement'!CL43*4/BM27</f>
      </c>
      <c r="BN172" s="22">
        <f>+'Income Statement'!CM43*4/BN27</f>
      </c>
      <c r="BO172" s="22">
        <f>+'Income Statement'!CN43*4/BO27</f>
      </c>
      <c r="BP172" s="22">
        <f>+'Income Statement'!CO43/BP27</f>
      </c>
      <c r="BQ172" s="22">
        <f>+'Income Statement'!CP43*4/BQ27</f>
      </c>
      <c r="BR172" s="22">
        <f>+'Income Statement'!CQ43*4/BR27</f>
      </c>
      <c r="BS172" s="22">
        <f>+'Income Statement'!CR43*4/BS27</f>
      </c>
      <c r="BT172" s="22">
        <f>+'Income Statement'!CS43*4/BT27</f>
      </c>
      <c r="BU172" s="537">
        <f>+'Income Statement'!CT43/BU27</f>
      </c>
      <c r="BV172" s="22">
        <f>+'Income Statement'!CU43*4/BV27</f>
      </c>
      <c r="BW172" s="22">
        <f>+'Income Statement'!CV43*4/BW27</f>
      </c>
      <c r="BX172" s="22">
        <f>+'Income Statement'!CW43*4/BX27</f>
      </c>
      <c r="BY172" s="22">
        <f>+'Income Statement'!CX43*4/BY27</f>
      </c>
      <c r="BZ172" s="537">
        <f>+'Income Statement'!CY43/BZ27</f>
      </c>
      <c r="CA172" s="22">
        <f>+'Income Statement'!CZ43*4/CA27</f>
      </c>
      <c r="CB172" s="22">
        <f>+'Income Statement'!DA43*4/CB27</f>
      </c>
      <c r="CC172" s="22">
        <f>+'Income Statement'!DB43*4/CC27</f>
      </c>
      <c r="CD172" s="22">
        <f>+'Income Statement'!DC43*4/CD27</f>
      </c>
      <c r="CE172" s="537">
        <f>+'Income Statement'!DD43/CE27</f>
      </c>
      <c r="CF172" s="22">
        <f>+'Income Statement'!DE43*4/CF27</f>
      </c>
      <c r="CG172" s="22">
        <f>+'Income Statement'!DF43*4/CG27</f>
      </c>
      <c r="CH172" s="22">
        <f>+'Income Statement'!DG43*4/CH27</f>
      </c>
      <c r="CI172" s="22">
        <f>+'Income Statement'!DH43*4/CI27</f>
      </c>
      <c r="CJ172" s="537">
        <f>+'Income Statement'!DI43/CJ27</f>
      </c>
      <c r="CK172" s="22">
        <f>+'Income Statement'!DJ43*4/CK27</f>
      </c>
      <c r="CL172" s="22">
        <f>+'Income Statement'!DK43*4/CL27</f>
      </c>
      <c r="CM172" s="22">
        <f>+'Income Statement'!DL43*4/CM27</f>
      </c>
      <c r="CN172" s="22">
        <f>+'Income Statement'!DM43*4/CN27</f>
      </c>
      <c r="CO172" s="537">
        <f>+'Income Statement'!DN43/CO27</f>
      </c>
      <c r="CP172" s="22">
        <f>+'Income Statement'!DO43*4/CP27</f>
      </c>
      <c r="CQ172" s="22">
        <f>+'Income Statement'!DP43*4/CQ27</f>
      </c>
      <c r="CR172" s="22">
        <f>+'Income Statement'!DQ43*4/CR27</f>
      </c>
      <c r="CS172" s="22">
        <f>+'Income Statement'!DR43*4/CS27</f>
      </c>
      <c r="CT172" s="537">
        <f>+'Income Statement'!DS43/CT27</f>
      </c>
      <c r="CU172" s="22">
        <f>+'Income Statement'!DT43*4/CU27</f>
      </c>
      <c r="CV172" s="22">
        <f>+'Income Statement'!DU43*4/CV27</f>
      </c>
      <c r="CW172" s="22">
        <f>+'Income Statement'!DV43*4/CW27</f>
      </c>
      <c r="CX172" s="22">
        <f>+'Income Statement'!DW43*4/CX27</f>
      </c>
      <c r="CY172" s="537">
        <f>+'Income Statement'!DX43/CY27</f>
      </c>
      <c r="CZ172" s="22">
        <f>+'Income Statement'!DY43*4/CZ27</f>
      </c>
      <c r="DA172" s="22">
        <f>+'Income Statement'!DZ43*4/DA27</f>
      </c>
      <c r="DB172" s="22">
        <f>+'Income Statement'!EA43*4/DB27</f>
      </c>
      <c r="DC172" s="22">
        <f>+'Income Statement'!EB43*4/DC27</f>
      </c>
      <c r="DD172" s="537">
        <f>+'Income Statement'!EC43/DD27</f>
      </c>
      <c r="DE172" s="22">
        <f>+'Income Statement'!ED43*4/DE27</f>
      </c>
      <c r="DF172" s="22">
        <f>+'Income Statement'!EE43*4/DF27</f>
      </c>
      <c r="DG172" s="22">
        <f>+'Income Statement'!EF43*4/DG27</f>
      </c>
      <c r="DH172" s="22">
        <f>+'Income Statement'!EG43*4/DH27</f>
      </c>
      <c r="DI172" s="558">
        <f>+'Income Statement'!EH43/DI27</f>
      </c>
      <c r="DJ172" s="22">
        <f>+'Income Statement'!EI43*4/DJ27</f>
      </c>
      <c r="DK172" s="22">
        <f>+'Income Statement'!EJ43*4/DK27</f>
      </c>
      <c r="DL172" s="22">
        <f>+'Income Statement'!EK43*4/DL27</f>
      </c>
      <c r="DM172" s="22">
        <f>+'Income Statement'!EL43*4/DM27</f>
      </c>
      <c r="DN172" s="1373">
        <f>+'Income Statement'!EM43/DN27</f>
      </c>
      <c r="DO172" s="1374">
        <f>+'Income Statement'!EN43*4/DO27</f>
      </c>
      <c r="DP172" s="1374">
        <f>+'Income Statement'!EO43*4/DP27</f>
      </c>
      <c r="DQ172" s="1374">
        <f>+'Income Statement'!EP43*4/DQ27</f>
      </c>
      <c r="DR172" s="22">
        <f>+'Income Statement'!EQ43*4/DR27</f>
      </c>
      <c r="DS172" s="1373">
        <f>+'Income Statement'!ER43/DS27</f>
      </c>
      <c r="DT172" s="1374">
        <f>+'Income Statement'!ES43*4/DT27</f>
      </c>
      <c r="DU172" s="1374">
        <f>+'Income Statement'!ET43*4/DU27</f>
      </c>
      <c r="DV172" s="1374">
        <f>+'Income Statement'!EU43*4/DV27</f>
      </c>
      <c r="DW172" s="1375">
        <f>+'Income Statement'!EV43*4/DW27</f>
      </c>
      <c r="DX172" s="1376">
        <f>+'Income Statement'!EW43/DX27</f>
      </c>
      <c r="DY172" s="1374">
        <f>+'Income Statement'!EX43*4/DY27</f>
      </c>
      <c r="DZ172" s="1374">
        <f>+'Income Statement'!EY43*4/DZ27</f>
      </c>
      <c r="EA172" s="1374">
        <f>+'Income Statement'!EZ43*4/EA27</f>
      </c>
      <c r="EB172" s="1374">
        <f>+'Income Statement'!FA43*4/EB27</f>
      </c>
      <c r="EC172" s="2758">
        <f>+'Income Statement'!FB43/EC27</f>
      </c>
      <c r="ED172" s="1374">
        <f>+'Income Statement'!FC43*4/ED27</f>
      </c>
      <c r="EE172" s="1374">
        <f>+'Income Statement'!FD43*4/EE27</f>
      </c>
      <c r="EF172" s="1374">
        <f>+'Income Statement'!FE43*4/EF27</f>
      </c>
      <c r="EG172" s="1374">
        <f>+'Income Statement'!FF43*4/EG27</f>
      </c>
      <c r="EH172" s="2758">
        <v>0.13310591235387159</v>
      </c>
      <c r="EI172" s="1374">
        <f>+'Income Statement'!FH43*4/EI27</f>
      </c>
      <c r="EJ172" s="1374">
        <f>+'Income Statement'!FI43*4/EJ27</f>
      </c>
      <c r="EK172" s="1374">
        <f>+'Income Statement'!FJ43*4/EK27</f>
      </c>
      <c r="EL172" s="1375">
        <f>+'Income Statement'!FK43*4/EL27</f>
      </c>
      <c r="EM172" s="2565">
        <f>+'Income Statement'!FL43/EM27</f>
      </c>
      <c r="EN172" s="2566">
        <f>+'Income Statement'!FM43*4/EN27</f>
      </c>
      <c r="EO172" s="1374">
        <f>+'Income Statement'!FN43*4/EO27</f>
      </c>
      <c r="EP172" s="1374">
        <f>+'Income Statement'!FO43*4/EP27</f>
      </c>
      <c r="EQ172" s="1375">
        <f>+'Income Statement'!FW43*4/EQ27</f>
      </c>
      <c r="ER172" s="1377">
        <f>+'Income Statement'!FX43/ER27</f>
      </c>
      <c r="ES172" s="2566">
        <f>+'Income Statement'!FR43*4/ES27</f>
      </c>
      <c r="ET172" s="1374">
        <f>+'Income Statement'!FS43*4/ET27</f>
      </c>
      <c r="EU172" s="1374">
        <f>+'Income Statement'!FT43*4/EU27</f>
      </c>
      <c r="EV172" s="1375">
        <f>+'Income Statement'!GB43*4/EV27</f>
      </c>
      <c r="EW172" s="1377">
        <f>+'Income Statement'!GC43/EW27</f>
      </c>
      <c r="EX172" s="2566">
        <f>+'Income Statement'!FW43*4/EX27</f>
      </c>
      <c r="EY172" s="1374">
        <f>+'Income Statement'!FX43*4/EY27</f>
      </c>
      <c r="EZ172" s="1374">
        <f>+'Income Statement'!GF43*4/EZ27</f>
      </c>
      <c r="FA172" s="1375">
        <f>+'Income Statement'!GG43*4/FA27</f>
      </c>
      <c r="FB172" s="1377">
        <v>0.13155776682797971</v>
      </c>
      <c r="FC172" s="1377">
        <f ca="1">+'Income Statement'!GI43/FC27</f>
      </c>
      <c r="FD172" s="1377">
        <f ca="1">+'Income Statement'!GJ43/FD27</f>
      </c>
      <c r="FE172" s="1377">
        <f ca="1">+'Income Statement'!GK43/FE27</f>
      </c>
      <c r="FF172" s="1377">
        <f ca="1">+'Income Statement'!GL43/FF27</f>
      </c>
      <c r="FG172" s="1377">
        <f ca="1">+'Income Statement'!GM43/FG27</f>
      </c>
      <c r="FH172" s="943"/>
      <c r="FI172" s="943"/>
    </row>
    <row r="173" spans="1:165" outlineLevel="1">
      <c r="A173" s="22"/>
      <c r="B173" s="148" t="s">
        <v>193</v>
      </c>
      <c r="C173" s="134"/>
      <c r="D173" s="134"/>
      <c r="E173" s="134"/>
      <c r="F173" s="134"/>
      <c r="G173" s="134"/>
      <c r="H173" s="134"/>
      <c r="I173" s="134"/>
      <c r="J173" s="134"/>
      <c r="K173" s="134"/>
      <c r="L173" s="134"/>
      <c r="M173" s="134"/>
      <c r="N173" s="22">
        <f>+'Income Statement'!AM43/N52</f>
      </c>
      <c r="O173" s="22">
        <f>+'Income Statement'!AN43/O52</f>
      </c>
      <c r="P173" s="22">
        <f>+'Income Statement'!AO43/P52</f>
      </c>
      <c r="Q173" s="22">
        <f>+'Income Statement'!AP43/Q52</f>
      </c>
      <c r="R173" s="22">
        <f>+'Income Statement'!AQ43/R52</f>
      </c>
      <c r="S173" s="22">
        <f>+'Income Statement'!AR43/S52</f>
      </c>
      <c r="T173" s="22">
        <f>+'Income Statement'!AS43/T52</f>
      </c>
      <c r="U173" s="22">
        <f>+'Income Statement'!AT43/U52</f>
      </c>
      <c r="V173" s="22">
        <f>+'Income Statement'!AU43/V52</f>
      </c>
      <c r="W173" s="22">
        <f>+'Income Statement'!AV43/W52</f>
      </c>
      <c r="X173" s="22">
        <f>+'Income Statement'!AW43/X52</f>
      </c>
      <c r="Y173" s="22">
        <f>+'Income Statement'!AX43/Y52</f>
      </c>
      <c r="Z173" s="22">
        <f>+'Income Statement'!AY43/Z52</f>
      </c>
      <c r="AA173" s="22">
        <f>+'Income Statement'!AZ43/AA52</f>
      </c>
      <c r="AB173" s="22">
        <f>+'Income Statement'!BA43/AB52</f>
      </c>
      <c r="AC173" s="22">
        <f>+'Income Statement'!BB43/AC52</f>
      </c>
      <c r="AD173" s="22">
        <f>+'Income Statement'!BC43/AD52</f>
      </c>
      <c r="AE173" s="22">
        <f>+'Income Statement'!BD43/AE52</f>
      </c>
      <c r="AF173" s="22">
        <f>+'Income Statement'!BE43/AF52</f>
      </c>
      <c r="AG173" s="22">
        <f>+'Income Statement'!BF43/AG52</f>
      </c>
      <c r="AH173" s="22">
        <f>+'Income Statement'!BG43/AH52</f>
      </c>
      <c r="AI173" s="22">
        <f>+'Income Statement'!BH43/AI52</f>
      </c>
      <c r="AJ173" s="22">
        <f>+'Income Statement'!BI43/AJ52</f>
      </c>
      <c r="AK173" s="22">
        <f>+'Income Statement'!BJ43/AK52</f>
      </c>
      <c r="AL173" s="22">
        <f>+'Income Statement'!BK43/AL52</f>
      </c>
      <c r="AM173" s="22">
        <f>+'Income Statement'!BL43/AM52</f>
      </c>
      <c r="AN173" s="22">
        <f>+'Income Statement'!BM43/AN52</f>
      </c>
      <c r="AO173" s="22">
        <f>+'Income Statement'!BN43/AO52</f>
      </c>
      <c r="AP173" s="22">
        <f>+'Income Statement'!BO43/AP52</f>
      </c>
      <c r="AQ173" s="22">
        <f>+'Income Statement'!BP43/AQ52</f>
      </c>
      <c r="AR173" s="22">
        <f>+'Income Statement'!BQ43/AR52</f>
      </c>
      <c r="AS173" s="22">
        <f>+'Income Statement'!BR43/AS52</f>
      </c>
      <c r="AT173" s="22">
        <f>+'Income Statement'!BS43/AT52</f>
      </c>
      <c r="AU173" s="22">
        <f>+'Income Statement'!BT43/AU52</f>
      </c>
      <c r="AV173" s="22">
        <f>+'Income Statement'!BU43/AV52</f>
      </c>
      <c r="AW173" s="22">
        <f>+'Income Statement'!BV43/AW52</f>
      </c>
      <c r="AX173" s="22">
        <f>+'Income Statement'!BW43/AX52</f>
      </c>
      <c r="AY173" s="22">
        <f>+'Income Statement'!BX43/AY52</f>
      </c>
      <c r="AZ173" s="22">
        <f>+'Income Statement'!BY43/AZ52</f>
      </c>
      <c r="BA173" s="22">
        <f>+'Income Statement'!BZ43/BA52</f>
      </c>
      <c r="BB173" s="22">
        <f>+'Income Statement'!CA43/BB52</f>
      </c>
      <c r="BC173" s="22">
        <f>+'Income Statement'!CB43/BC52</f>
      </c>
      <c r="BD173" s="22">
        <f>+'Income Statement'!CC43/BD52</f>
      </c>
      <c r="BE173" s="22">
        <f>+'Income Statement'!CD43/BE52</f>
      </c>
      <c r="BF173" s="22">
        <f>+'Income Statement'!CE43/BF52</f>
      </c>
      <c r="BG173" s="22">
        <f>+'Income Statement'!CF43/BG52</f>
      </c>
      <c r="BH173" s="22">
        <f>+'Income Statement'!CG43/BH52</f>
      </c>
      <c r="BI173" s="22">
        <f>+'Income Statement'!CH43/BI52</f>
      </c>
      <c r="BJ173" s="22">
        <f>+'Income Statement'!CI43/BJ52</f>
      </c>
      <c r="BK173" s="22">
        <f>+'Income Statement'!CJ43/BK52</f>
      </c>
      <c r="BL173" s="22">
        <f>+'Income Statement'!CK43*4/BL52</f>
      </c>
      <c r="BM173" s="22">
        <f>+'Income Statement'!CL43*4/BM52</f>
      </c>
      <c r="BN173" s="22">
        <f>+'Income Statement'!CM43*4/BN52</f>
      </c>
      <c r="BO173" s="22">
        <f>+'Income Statement'!CN43*4/BO52</f>
      </c>
      <c r="BP173" s="22">
        <f>+'Income Statement'!CO43/BP52</f>
      </c>
      <c r="BQ173" s="22">
        <f>+'Income Statement'!CP43*4/BQ52</f>
      </c>
      <c r="BR173" s="22">
        <f>+'Income Statement'!CQ43*4/BR52</f>
      </c>
      <c r="BS173" s="22">
        <f>+'Income Statement'!CR43*4/BS52</f>
      </c>
      <c r="BT173" s="22">
        <f>+'Income Statement'!CS43*4/BT52</f>
      </c>
      <c r="BU173" s="537">
        <f>+'Income Statement'!CT43/BU52</f>
      </c>
      <c r="BV173" s="22">
        <f>+'Income Statement'!CU43*4/BV52</f>
      </c>
      <c r="BW173" s="22">
        <f>+'Income Statement'!CV43*4/BW52</f>
      </c>
      <c r="BX173" s="22">
        <f>+'Income Statement'!CW43*4/BX52</f>
      </c>
      <c r="BY173" s="22">
        <f>+'Income Statement'!CX43*4/BY52</f>
      </c>
      <c r="BZ173" s="537">
        <f>+'Income Statement'!CY43/BZ52</f>
      </c>
      <c r="CA173" s="22">
        <f>+'Income Statement'!CZ43*4/CA52</f>
      </c>
      <c r="CB173" s="22">
        <f>+'Income Statement'!DA43*4/CB52</f>
      </c>
      <c r="CC173" s="22">
        <f>+'Income Statement'!DB43*4/CC52</f>
      </c>
      <c r="CD173" s="22">
        <f>+'Income Statement'!DC43*4/CD52</f>
      </c>
      <c r="CE173" s="537">
        <f>+'Income Statement'!DD43/CE52</f>
      </c>
      <c r="CF173" s="22">
        <f>+'Income Statement'!DE43*4/CF52</f>
      </c>
      <c r="CG173" s="22">
        <f>+'Income Statement'!DF43*4/CG52</f>
      </c>
      <c r="CH173" s="22">
        <f>+'Income Statement'!DG43*4/CH52</f>
      </c>
      <c r="CI173" s="22">
        <f>+'Income Statement'!DH43*4/CI52</f>
      </c>
      <c r="CJ173" s="537">
        <f>+'Income Statement'!DI43/CJ52</f>
      </c>
      <c r="CK173" s="22">
        <f>+'Income Statement'!DJ43*4/CK52</f>
      </c>
      <c r="CL173" s="22">
        <f>+'Income Statement'!DK43*4/CL52</f>
      </c>
      <c r="CM173" s="22">
        <f>+'Income Statement'!DL43*4/CM52</f>
      </c>
      <c r="CN173" s="22">
        <f>+'Income Statement'!DM43*4/CN52</f>
      </c>
      <c r="CO173" s="537">
        <f>+'Income Statement'!DN43/CO52</f>
      </c>
      <c r="CP173" s="22">
        <f>+'Income Statement'!DO43*4/CP52</f>
      </c>
      <c r="CQ173" s="22">
        <f>+'Income Statement'!DP43*4/CQ52</f>
      </c>
      <c r="CR173" s="22">
        <f>+'Income Statement'!DQ43*4/CR52</f>
      </c>
      <c r="CS173" s="22">
        <f>+'Income Statement'!DR43*4/CS52</f>
      </c>
      <c r="CT173" s="537">
        <f>+'Income Statement'!DS43/CT52</f>
      </c>
      <c r="CU173" s="22">
        <f>+'Income Statement'!DT43*4/CU52</f>
      </c>
      <c r="CV173" s="22">
        <f>+'Income Statement'!DU43*4/CV52</f>
      </c>
      <c r="CW173" s="22">
        <f>+'Income Statement'!DV43*4/CW52</f>
      </c>
      <c r="CX173" s="22">
        <f>+'Income Statement'!DW43*4/CX52</f>
      </c>
      <c r="CY173" s="537">
        <f>+'Income Statement'!DX43/CY52</f>
      </c>
      <c r="CZ173" s="22">
        <f>+'Income Statement'!DY43*4/CZ52</f>
      </c>
      <c r="DA173" s="22">
        <f>+'Income Statement'!DZ43*4/DA52</f>
      </c>
      <c r="DB173" s="22">
        <f>+'Income Statement'!EA43*4/DB52</f>
      </c>
      <c r="DC173" s="22">
        <f>+'Income Statement'!EB43*4/DC52</f>
      </c>
      <c r="DD173" s="537">
        <f>+'Income Statement'!EC43/DD52</f>
      </c>
      <c r="DE173" s="22">
        <f>+'Income Statement'!ED43*4/DE52</f>
      </c>
      <c r="DF173" s="22">
        <f>+'Income Statement'!EE43*4/DF52</f>
      </c>
      <c r="DG173" s="22">
        <f>+'Income Statement'!EF43*4/DG52</f>
      </c>
      <c r="DH173" s="22">
        <f>+'Income Statement'!EG43*4/DH52</f>
      </c>
      <c r="DI173" s="558">
        <f>+'Income Statement'!EH43/DI52</f>
      </c>
      <c r="DJ173" s="22">
        <f>+'Income Statement'!EI43*4/DJ52</f>
      </c>
      <c r="DK173" s="22">
        <f>+'Income Statement'!EJ43*4/DK52</f>
      </c>
      <c r="DL173" s="22">
        <f>+'Income Statement'!EK43*4/DL52</f>
      </c>
      <c r="DM173" s="22">
        <f>+'Income Statement'!EL43*4/DM52</f>
      </c>
      <c r="DN173" s="1373">
        <f>+'Income Statement'!EM43/DN52</f>
      </c>
      <c r="DO173" s="1374">
        <f>+'Income Statement'!EN43*4/DO52</f>
      </c>
      <c r="DP173" s="1374">
        <f>+'Income Statement'!EO43*4/DP52</f>
      </c>
      <c r="DQ173" s="1374">
        <f>+'Income Statement'!EP43*4/DQ52</f>
      </c>
      <c r="DR173" s="22">
        <f>+'Income Statement'!EQ43*4/DR52</f>
      </c>
      <c r="DS173" s="1373">
        <f>+'Income Statement'!ER43/DS52</f>
      </c>
      <c r="DT173" s="1374">
        <f>+'Income Statement'!ES43*4/DT52</f>
      </c>
      <c r="DU173" s="1374">
        <f>+'Income Statement'!ET43*4/DU52</f>
      </c>
      <c r="DV173" s="1374">
        <f>+'Income Statement'!EU43*4/DV52</f>
      </c>
      <c r="DW173" s="1375">
        <f>+'Income Statement'!EV43*4/DW52</f>
      </c>
      <c r="DX173" s="1376">
        <f>+'Income Statement'!EW43/DX52</f>
      </c>
      <c r="DY173" s="1374">
        <f>+'Income Statement'!EX43*4/DY52</f>
      </c>
      <c r="DZ173" s="1374">
        <f>+'Income Statement'!EY43*4/DZ52</f>
      </c>
      <c r="EA173" s="1374">
        <f>+'Income Statement'!EZ43*4/EA52</f>
      </c>
      <c r="EB173" s="1374">
        <f>+'Income Statement'!FA43*4/EB52</f>
      </c>
      <c r="EC173" s="2758">
        <f>+'Income Statement'!FB43/EC52</f>
      </c>
      <c r="ED173" s="1374">
        <f>+'Income Statement'!FC43*4/ED52</f>
      </c>
      <c r="EE173" s="1374">
        <f>+'Income Statement'!FD43*4/EE52</f>
      </c>
      <c r="EF173" s="1374">
        <f>+'Income Statement'!FE43*4/EF52</f>
      </c>
      <c r="EG173" s="1374">
        <f>+'Income Statement'!FF43*4/EG52</f>
      </c>
      <c r="EH173" s="2758">
        <v>0.32729924421905349</v>
      </c>
      <c r="EI173" s="1374">
        <f>+'Income Statement'!FH43*4/EI52</f>
      </c>
      <c r="EJ173" s="1374">
        <f>+'Income Statement'!FI43*4/EJ52</f>
      </c>
      <c r="EK173" s="1374">
        <f>+'Income Statement'!FJ43*4/EK52</f>
      </c>
      <c r="EL173" s="1375">
        <f>+'Income Statement'!FK43*4/EL52</f>
      </c>
      <c r="EM173" s="2565">
        <f>+'Income Statement'!FL43/EM52</f>
      </c>
      <c r="EN173" s="2566">
        <f>+'Income Statement'!FM43*4/EN52</f>
      </c>
      <c r="EO173" s="1374">
        <f>+'Income Statement'!FN43*4/EO52</f>
      </c>
      <c r="EP173" s="1374">
        <f>+'Income Statement'!FO43*4/EP52</f>
      </c>
      <c r="EQ173" s="1375">
        <f>+'Income Statement'!FW43*4/EQ52</f>
      </c>
      <c r="ER173" s="1377">
        <f>+'Income Statement'!FX43/ER52</f>
      </c>
      <c r="ES173" s="2566">
        <f>+'Income Statement'!FR43*4/ES52</f>
      </c>
      <c r="ET173" s="1374">
        <f>+'Income Statement'!FS43*4/ET52</f>
      </c>
      <c r="EU173" s="1374">
        <f>+'Income Statement'!FT43*4/EU52</f>
      </c>
      <c r="EV173" s="1375">
        <f>+'Income Statement'!GB43*4/EV52</f>
      </c>
      <c r="EW173" s="1377">
        <f>+'Income Statement'!GC43/EW52</f>
      </c>
      <c r="EX173" s="2566">
        <f>+'Income Statement'!FW43*4/EX52</f>
      </c>
      <c r="EY173" s="1374">
        <f>+'Income Statement'!FX43*4/EY52</f>
      </c>
      <c r="EZ173" s="1374">
        <f>+'Income Statement'!GF43*4/EZ52</f>
      </c>
      <c r="FA173" s="1375">
        <f>+'Income Statement'!GG43*4/FA52</f>
      </c>
      <c r="FB173" s="1377">
        <v>0.31620956108448262</v>
      </c>
      <c r="FC173" s="1377">
        <f ca="1">+'Income Statement'!GI43/FC52</f>
      </c>
      <c r="FD173" s="1377">
        <f ca="1">+'Income Statement'!GJ43/FD52</f>
      </c>
      <c r="FE173" s="1377">
        <f ca="1">+'Income Statement'!GK43/FE52</f>
      </c>
      <c r="FF173" s="1377">
        <f ca="1">+'Income Statement'!GL43/FF52</f>
      </c>
      <c r="FG173" s="1377">
        <f ca="1">+'Income Statement'!GM43/FG52</f>
      </c>
      <c r="FH173" s="943"/>
      <c r="FI173" s="943"/>
    </row>
    <row r="174" spans="1:165" outlineLevel="1">
      <c r="A174" s="1"/>
      <c r="B174" s="85" t="s">
        <v>408</v>
      </c>
      <c r="C174" s="86"/>
      <c r="D174" s="86"/>
      <c r="E174" s="86"/>
      <c r="F174" s="86"/>
      <c r="G174" s="86"/>
      <c r="H174" s="86"/>
      <c r="I174" s="86"/>
      <c r="J174" s="86"/>
      <c r="K174" s="86"/>
      <c r="L174" s="86"/>
      <c r="M174" s="86"/>
      <c r="N174" s="22">
        <f>'Income Statement'!AM65</f>
      </c>
      <c r="O174" s="22">
        <f>'Income Statement'!AN65</f>
      </c>
      <c r="P174" s="22">
        <f>'Income Statement'!AO65</f>
      </c>
      <c r="Q174" s="22">
        <f>'Income Statement'!AP65</f>
      </c>
      <c r="R174" s="22">
        <f>'Income Statement'!AQ65</f>
      </c>
      <c r="S174" s="22">
        <f>'Income Statement'!AR65</f>
      </c>
      <c r="T174" s="22">
        <f>'Income Statement'!AS65</f>
      </c>
      <c r="U174" s="22">
        <f>'Income Statement'!AT65</f>
      </c>
      <c r="V174" s="22">
        <f>'Income Statement'!AU65</f>
      </c>
      <c r="W174" s="22">
        <f>'Income Statement'!AV65</f>
      </c>
      <c r="X174" s="22">
        <f>'Income Statement'!AW65</f>
      </c>
      <c r="Y174" s="22">
        <f>'Income Statement'!AX65</f>
      </c>
      <c r="Z174" s="22">
        <f>'Income Statement'!AY65</f>
      </c>
      <c r="AA174" s="22">
        <f>'Income Statement'!AZ65</f>
      </c>
      <c r="AB174" s="22">
        <f>'Income Statement'!BA65</f>
      </c>
      <c r="AC174" s="22">
        <f>'Income Statement'!BB65</f>
      </c>
      <c r="AD174" s="22">
        <f>'Income Statement'!BC65</f>
      </c>
      <c r="AE174" s="22">
        <f>'Income Statement'!BD65</f>
      </c>
      <c r="AF174" s="22">
        <f>'Income Statement'!BE65</f>
      </c>
      <c r="AG174" s="22">
        <f>'Income Statement'!BF65</f>
      </c>
      <c r="AH174" s="22">
        <f>'Income Statement'!BG65</f>
      </c>
      <c r="AI174" s="22">
        <f>'Income Statement'!BH65</f>
      </c>
      <c r="AJ174" s="22">
        <f>'Income Statement'!BI65</f>
      </c>
      <c r="AK174" s="22">
        <f>'Income Statement'!BJ65</f>
      </c>
      <c r="AL174" s="22">
        <f>'Income Statement'!BK65</f>
      </c>
      <c r="AM174" s="22">
        <f>'Income Statement'!BL65</f>
      </c>
      <c r="AN174" s="22">
        <f>'Income Statement'!BM65</f>
      </c>
      <c r="AO174" s="22">
        <f>'Income Statement'!BN65</f>
      </c>
      <c r="AP174" s="22">
        <f>'Income Statement'!BO65</f>
      </c>
      <c r="AQ174" s="22">
        <f>'Income Statement'!BP65</f>
      </c>
      <c r="AR174" s="22">
        <f>'Income Statement'!BQ65</f>
      </c>
      <c r="AS174" s="22">
        <f>'Income Statement'!BR65</f>
      </c>
      <c r="AT174" s="22">
        <f>'Income Statement'!BS65</f>
      </c>
      <c r="AU174" s="22">
        <f>'Income Statement'!BT65</f>
      </c>
      <c r="AV174" s="22">
        <f>'Income Statement'!BU65</f>
      </c>
      <c r="AW174" s="22">
        <f>'Income Statement'!BV65</f>
      </c>
      <c r="AX174" s="22">
        <f>'Income Statement'!BW65</f>
      </c>
      <c r="AY174" s="22">
        <f>'Income Statement'!BX65</f>
      </c>
      <c r="AZ174" s="22">
        <f>'Income Statement'!BY65</f>
      </c>
      <c r="BA174" s="22">
        <f>'Income Statement'!BZ65</f>
      </c>
      <c r="BB174" s="22">
        <f>'Income Statement'!CA65</f>
      </c>
      <c r="BC174" s="22">
        <f>'Income Statement'!CB65</f>
      </c>
      <c r="BD174" s="22">
        <f>'Income Statement'!CC65</f>
      </c>
      <c r="BE174" s="22">
        <f>'Income Statement'!CD65</f>
      </c>
      <c r="BF174" s="22">
        <f>'Income Statement'!CE65</f>
      </c>
      <c r="BG174" s="22">
        <f>'Income Statement'!CF65</f>
      </c>
      <c r="BH174" s="22">
        <f>'Income Statement'!CG65</f>
      </c>
      <c r="BI174" s="22">
        <f>'Income Statement'!CH65</f>
      </c>
      <c r="BJ174" s="22">
        <f>'Income Statement'!CI65</f>
      </c>
      <c r="BK174" s="22">
        <f>'Income Statement'!CJ65</f>
      </c>
      <c r="BL174" s="22">
        <f>'Income Statement'!CK65</f>
      </c>
      <c r="BM174" s="22">
        <f>'Income Statement'!CL65</f>
      </c>
      <c r="BN174" s="22">
        <f>'Income Statement'!CM65</f>
      </c>
      <c r="BO174" s="22">
        <f>'Income Statement'!CN65</f>
      </c>
      <c r="BP174" s="22">
        <f>'Income Statement'!CO65</f>
      </c>
      <c r="BQ174" s="22">
        <f>'Income Statement'!CP65</f>
      </c>
      <c r="BR174" s="22">
        <f>'Income Statement'!CQ65</f>
      </c>
      <c r="BS174" s="22">
        <f>'Income Statement'!CR65</f>
      </c>
      <c r="BT174" s="22">
        <f>'Income Statement'!CS65</f>
      </c>
      <c r="BU174" s="537">
        <f>'Income Statement'!CT65</f>
      </c>
      <c r="BV174" s="22">
        <f>'Income Statement'!CU65</f>
      </c>
      <c r="BW174" s="22">
        <f>'Income Statement'!CV65</f>
      </c>
      <c r="BX174" s="22">
        <f>'Income Statement'!CW65</f>
      </c>
      <c r="BY174" s="22">
        <f>'Income Statement'!CX65</f>
      </c>
      <c r="BZ174" s="537">
        <f>'Income Statement'!CY65</f>
      </c>
      <c r="CA174" s="22">
        <f>'Income Statement'!CZ65</f>
      </c>
      <c r="CB174" s="22">
        <f>'Income Statement'!DA65</f>
      </c>
      <c r="CC174" s="22">
        <f>'Income Statement'!DB65</f>
      </c>
      <c r="CD174" s="22">
        <f>'Income Statement'!DC65</f>
      </c>
      <c r="CE174" s="537">
        <f>'Income Statement'!DD65</f>
      </c>
      <c r="CF174" s="22">
        <f>'Income Statement'!DE65</f>
      </c>
      <c r="CG174" s="22">
        <f>'Income Statement'!DF65</f>
      </c>
      <c r="CH174" s="22">
        <f>'Income Statement'!DG65</f>
      </c>
      <c r="CI174" s="22">
        <f>'Income Statement'!DH65</f>
      </c>
      <c r="CJ174" s="537">
        <f>'Income Statement'!DI65</f>
      </c>
      <c r="CK174" s="22">
        <f>'Income Statement'!DJ65</f>
      </c>
      <c r="CL174" s="22">
        <f>'Income Statement'!DK65</f>
      </c>
      <c r="CM174" s="22">
        <f>'Income Statement'!DL65</f>
      </c>
      <c r="CN174" s="22">
        <f>'Income Statement'!DM65</f>
      </c>
      <c r="CO174" s="537">
        <f>'Income Statement'!DN65</f>
      </c>
      <c r="CP174" s="22">
        <f>'Income Statement'!DO65</f>
      </c>
      <c r="CQ174" s="22">
        <f>'Income Statement'!DP65</f>
      </c>
      <c r="CR174" s="22">
        <f>'Income Statement'!DQ65</f>
      </c>
      <c r="CS174" s="22">
        <f>'Income Statement'!DR65</f>
      </c>
      <c r="CT174" s="537">
        <f>'Income Statement'!DS65</f>
      </c>
      <c r="CU174" s="22">
        <f>'Income Statement'!DT65</f>
      </c>
      <c r="CV174" s="22">
        <f>'Income Statement'!DU65</f>
      </c>
      <c r="CW174" s="22">
        <f>'Income Statement'!DV65</f>
      </c>
      <c r="CX174" s="22">
        <f>'Income Statement'!DW65</f>
      </c>
      <c r="CY174" s="537">
        <f>'Income Statement'!DX65</f>
      </c>
      <c r="CZ174" s="22">
        <f>'Income Statement'!DY65</f>
      </c>
      <c r="DA174" s="22">
        <f>'Income Statement'!DZ65</f>
      </c>
      <c r="DB174" s="22">
        <f>'Income Statement'!EA65</f>
      </c>
      <c r="DC174" s="22">
        <f>'Income Statement'!EB65</f>
      </c>
      <c r="DD174" s="537">
        <f>'Income Statement'!EC65</f>
      </c>
      <c r="DE174" s="22">
        <f>'Income Statement'!ED65</f>
      </c>
      <c r="DF174" s="22">
        <f>'Income Statement'!EE65</f>
      </c>
      <c r="DG174" s="22">
        <f>'Income Statement'!EF65</f>
      </c>
      <c r="DH174" s="22">
        <f>'Income Statement'!EG65</f>
      </c>
      <c r="DI174" s="537">
        <f>'Income Statement'!EH65</f>
      </c>
      <c r="DJ174" s="22">
        <f>'Income Statement'!EI65</f>
      </c>
      <c r="DK174" s="22">
        <f>'Income Statement'!EJ65</f>
      </c>
      <c r="DL174" s="22">
        <f>'Income Statement'!EK65</f>
      </c>
      <c r="DM174" s="22">
        <f>'Income Statement'!EL65</f>
      </c>
      <c r="DN174" s="537">
        <f>'Income Statement'!EM65</f>
      </c>
      <c r="DO174" s="943">
        <f>'Income Statement'!EN65</f>
      </c>
      <c r="DP174" s="943">
        <f>'Income Statement'!EO65</f>
      </c>
      <c r="DQ174" s="943">
        <f>'Income Statement'!EP65</f>
      </c>
      <c r="DR174" s="22">
        <f>'Income Statement'!EQ65</f>
      </c>
      <c r="DS174" s="537">
        <f>'Income Statement'!ER65</f>
      </c>
      <c r="DT174" s="943">
        <f>'Income Statement'!ES65</f>
      </c>
      <c r="DU174" s="943">
        <f>'Income Statement'!ET65</f>
      </c>
      <c r="DV174" s="943">
        <f>'Income Statement'!EU65</f>
      </c>
      <c r="DW174" s="1248">
        <f>'Income Statement'!EV65</f>
      </c>
      <c r="DX174" s="1120">
        <f>'Income Statement'!EW65</f>
      </c>
      <c r="DY174" s="943">
        <f>'Income Statement'!EX65</f>
      </c>
      <c r="DZ174" s="943">
        <f>'Income Statement'!EY65</f>
      </c>
      <c r="EA174" s="943">
        <f>'Income Statement'!EZ65</f>
      </c>
      <c r="EB174" s="943">
        <f>'Income Statement'!FA65</f>
      </c>
      <c r="EC174" s="1067">
        <f>'Income Statement'!FB65</f>
      </c>
      <c r="ED174" s="943">
        <f>'Income Statement'!FC65</f>
      </c>
      <c r="EE174" s="943">
        <f>'Income Statement'!FD65</f>
      </c>
      <c r="EF174" s="943">
        <f>'Income Statement'!FE65</f>
      </c>
      <c r="EG174" s="943">
        <f>'Income Statement'!FF65</f>
      </c>
      <c r="EH174" s="1067">
        <v>0.71199999999999997</v>
      </c>
      <c r="EI174" s="943">
        <f>'Income Statement'!FH65</f>
      </c>
      <c r="EJ174" s="943">
        <f>'Income Statement'!FI65</f>
      </c>
      <c r="EK174" s="943">
        <f>'Income Statement'!FJ65</f>
      </c>
      <c r="EL174" s="1248">
        <f>'Income Statement'!FK65</f>
      </c>
      <c r="EM174" s="2510">
        <f>'Income Statement'!FL65</f>
      </c>
      <c r="EN174" s="2524">
        <f>'Income Statement'!FM65</f>
      </c>
      <c r="EO174" s="943">
        <f>'Income Statement'!FN65</f>
      </c>
      <c r="EP174" s="943">
        <f>'Income Statement'!FO65</f>
      </c>
      <c r="EQ174" s="1248">
        <f>'Income Statement'!FW65</f>
      </c>
      <c r="ER174" s="1306">
        <f>'Income Statement'!FX65</f>
      </c>
      <c r="ES174" s="2524">
        <f>'Income Statement'!FR65</f>
      </c>
      <c r="ET174" s="943">
        <f>'Income Statement'!FS65</f>
      </c>
      <c r="EU174" s="943">
        <f>'Income Statement'!FT65</f>
      </c>
      <c r="EV174" s="1248">
        <f>'Income Statement'!GB65</f>
      </c>
      <c r="EW174" s="1306">
        <f>'Income Statement'!GC65</f>
      </c>
      <c r="EX174" s="2524">
        <f>'Income Statement'!FW65</f>
      </c>
      <c r="EY174" s="943">
        <f>'Income Statement'!FX65</f>
      </c>
      <c r="EZ174" s="943">
        <f>'Income Statement'!GF65</f>
      </c>
      <c r="FA174" s="1248">
        <f>'Income Statement'!GG65</f>
      </c>
      <c r="FB174" s="1306">
        <v>0.746</v>
      </c>
      <c r="FC174" s="1306">
        <f>'Income Statement'!GI65</f>
      </c>
      <c r="FD174" s="1306">
        <f>'Income Statement'!GJ65</f>
      </c>
      <c r="FE174" s="1306">
        <f>'Income Statement'!GK65</f>
      </c>
      <c r="FF174" s="1306">
        <f>'Income Statement'!GL65</f>
      </c>
      <c r="FG174" s="1306">
        <f>'Income Statement'!GM65</f>
      </c>
    </row>
    <row r="175" spans="1:165" outlineLevel="1">
      <c r="A175" s="1"/>
      <c r="B175" s="85" t="s">
        <v>409</v>
      </c>
      <c r="C175" s="86"/>
      <c r="D175" s="86"/>
      <c r="E175" s="86"/>
      <c r="F175" s="86"/>
      <c r="G175" s="86"/>
      <c r="H175" s="86"/>
      <c r="I175" s="86"/>
      <c r="J175" s="86"/>
      <c r="K175" s="86"/>
      <c r="L175" s="86"/>
      <c r="M175" s="86"/>
      <c r="N175" s="22">
        <f>'Income Statement'!AM68</f>
      </c>
      <c r="O175" s="22">
        <f>'Income Statement'!AN68</f>
      </c>
      <c r="P175" s="22">
        <f>'Income Statement'!AO68</f>
      </c>
      <c r="Q175" s="22">
        <f>'Income Statement'!AP68</f>
      </c>
      <c r="R175" s="22">
        <f>'Income Statement'!AQ68</f>
      </c>
      <c r="S175" s="22">
        <f>'Income Statement'!AR68</f>
      </c>
      <c r="T175" s="22">
        <f>'Income Statement'!AS68</f>
      </c>
      <c r="U175" s="22">
        <f>'Income Statement'!AT68</f>
      </c>
      <c r="V175" s="22">
        <f>'Income Statement'!AU68</f>
      </c>
      <c r="W175" s="22">
        <f>'Income Statement'!AV68</f>
      </c>
      <c r="X175" s="22">
        <f>'Income Statement'!AW68</f>
      </c>
      <c r="Y175" s="22">
        <f>'Income Statement'!AX68</f>
      </c>
      <c r="Z175" s="22">
        <f>'Income Statement'!AY68</f>
      </c>
      <c r="AA175" s="22">
        <f>'Income Statement'!AZ68</f>
      </c>
      <c r="AB175" s="22">
        <f>'Income Statement'!BA68</f>
      </c>
      <c r="AC175" s="22">
        <f>'Income Statement'!BB68</f>
      </c>
      <c r="AD175" s="22">
        <f>'Income Statement'!BC68</f>
      </c>
      <c r="AE175" s="22">
        <f>'Income Statement'!BD68</f>
      </c>
      <c r="AF175" s="22">
        <f>'Income Statement'!BE68</f>
      </c>
      <c r="AG175" s="22">
        <f>'Income Statement'!BF68</f>
      </c>
      <c r="AH175" s="22">
        <f>'Income Statement'!BG68</f>
      </c>
      <c r="AI175" s="22">
        <f>'Income Statement'!BH68</f>
      </c>
      <c r="AJ175" s="22">
        <f>'Income Statement'!BI68</f>
      </c>
      <c r="AK175" s="22">
        <f>'Income Statement'!BJ68</f>
      </c>
      <c r="AL175" s="22">
        <f>'Income Statement'!BK68</f>
      </c>
      <c r="AM175" s="22">
        <f>'Income Statement'!BL68</f>
      </c>
      <c r="AN175" s="22">
        <f>'Income Statement'!BM68</f>
      </c>
      <c r="AO175" s="22">
        <f>'Income Statement'!BN68</f>
      </c>
      <c r="AP175" s="22">
        <f>'Income Statement'!BO68</f>
      </c>
      <c r="AQ175" s="22">
        <f>'Income Statement'!BP68</f>
      </c>
      <c r="AR175" s="22">
        <f>'Income Statement'!BQ68</f>
      </c>
      <c r="AS175" s="22">
        <f>'Income Statement'!BR68</f>
      </c>
      <c r="AT175" s="22">
        <f>'Income Statement'!BS68</f>
      </c>
      <c r="AU175" s="22">
        <f>'Income Statement'!BT68</f>
      </c>
      <c r="AV175" s="22">
        <f>'Income Statement'!BU68</f>
      </c>
      <c r="AW175" s="22">
        <f>'Income Statement'!BV68</f>
      </c>
      <c r="AX175" s="22">
        <f>'Income Statement'!BW68</f>
      </c>
      <c r="AY175" s="22">
        <f>'Income Statement'!BX68</f>
      </c>
      <c r="AZ175" s="22">
        <f>'Income Statement'!BY68</f>
      </c>
      <c r="BA175" s="22">
        <f>'Income Statement'!BZ68</f>
      </c>
      <c r="BB175" s="22">
        <f>'Income Statement'!CA68</f>
      </c>
      <c r="BC175" s="22">
        <f>'Income Statement'!CB68</f>
      </c>
      <c r="BD175" s="22">
        <f>'Income Statement'!CC68</f>
      </c>
      <c r="BE175" s="22">
        <f>'Income Statement'!CD68</f>
      </c>
      <c r="BF175" s="22">
        <f>'Income Statement'!CE68</f>
      </c>
      <c r="BG175" s="22">
        <f>'Income Statement'!CF68</f>
      </c>
      <c r="BH175" s="22">
        <f>'Income Statement'!CG68</f>
      </c>
      <c r="BI175" s="22">
        <f>'Income Statement'!CH68</f>
      </c>
      <c r="BJ175" s="22">
        <f>'Income Statement'!CI68</f>
      </c>
      <c r="BK175" s="22">
        <f>'Income Statement'!CJ68</f>
      </c>
      <c r="BL175" s="22">
        <f>'Income Statement'!CK68</f>
      </c>
      <c r="BM175" s="22">
        <f>'Income Statement'!CL68</f>
      </c>
      <c r="BN175" s="22">
        <f>'Income Statement'!CM68</f>
      </c>
      <c r="BO175" s="22">
        <f>'Income Statement'!CN68</f>
      </c>
      <c r="BP175" s="22">
        <f>'Income Statement'!CO68</f>
      </c>
      <c r="BQ175" s="22">
        <f>'Income Statement'!CP68</f>
      </c>
      <c r="BR175" s="22">
        <f>'Income Statement'!CQ68</f>
      </c>
      <c r="BS175" s="22">
        <f>'Income Statement'!CR68</f>
      </c>
      <c r="BT175" s="22">
        <f>'Income Statement'!CS68</f>
      </c>
      <c r="BU175" s="537">
        <f>'Income Statement'!CT68</f>
      </c>
      <c r="BV175" s="22">
        <f>'Income Statement'!CU68</f>
      </c>
      <c r="BW175" s="22">
        <f>'Income Statement'!CV68</f>
      </c>
      <c r="BX175" s="22">
        <f>'Income Statement'!CW68</f>
      </c>
      <c r="BY175" s="22">
        <f>'Income Statement'!CX68</f>
      </c>
      <c r="BZ175" s="537">
        <f>'Income Statement'!CY68</f>
      </c>
      <c r="CA175" s="22">
        <f>'Income Statement'!CZ68</f>
      </c>
      <c r="CB175" s="22">
        <f>'Income Statement'!DA68</f>
      </c>
      <c r="CC175" s="22">
        <f>'Income Statement'!DB68</f>
      </c>
      <c r="CD175" s="22">
        <f>'Income Statement'!DC68</f>
      </c>
      <c r="CE175" s="537">
        <f>'Income Statement'!DD68</f>
      </c>
      <c r="CF175" s="22">
        <f>'Income Statement'!DE68</f>
      </c>
      <c r="CG175" s="22">
        <f>'Income Statement'!DF68</f>
      </c>
      <c r="CH175" s="22">
        <f>'Income Statement'!DG68</f>
      </c>
      <c r="CI175" s="22">
        <f>'Income Statement'!DH68</f>
      </c>
      <c r="CJ175" s="537">
        <f>'Income Statement'!DI68</f>
      </c>
      <c r="CK175" s="22">
        <f>'Income Statement'!DJ68</f>
      </c>
      <c r="CL175" s="22">
        <f>'Income Statement'!DK68</f>
      </c>
      <c r="CM175" s="22">
        <f>'Income Statement'!DL68</f>
      </c>
      <c r="CN175" s="22">
        <f>'Income Statement'!DM68</f>
      </c>
      <c r="CO175" s="537">
        <f>'Income Statement'!DN68</f>
      </c>
      <c r="CP175" s="22">
        <f>'Income Statement'!DO68</f>
      </c>
      <c r="CQ175" s="22">
        <f>'Income Statement'!DP68</f>
      </c>
      <c r="CR175" s="22">
        <f>'Income Statement'!DQ68</f>
      </c>
      <c r="CS175" s="22">
        <f>'Income Statement'!DR68</f>
      </c>
      <c r="CT175" s="537">
        <f>'Income Statement'!DS68</f>
      </c>
      <c r="CU175" s="22">
        <f>'Income Statement'!DT68</f>
      </c>
      <c r="CV175" s="22">
        <f>'Income Statement'!DU68</f>
      </c>
      <c r="CW175" s="22">
        <f>'Income Statement'!DV68</f>
      </c>
      <c r="CX175" s="22">
        <f>'Income Statement'!DW68</f>
      </c>
      <c r="CY175" s="537">
        <f>'Income Statement'!DX68</f>
      </c>
      <c r="CZ175" s="22">
        <f>'Income Statement'!DY68</f>
      </c>
      <c r="DA175" s="22">
        <f>'Income Statement'!DZ68</f>
      </c>
      <c r="DB175" s="22">
        <f>'Income Statement'!EA68</f>
      </c>
      <c r="DC175" s="22">
        <f>'Income Statement'!EB68</f>
      </c>
      <c r="DD175" s="537">
        <f>'Income Statement'!EC68</f>
      </c>
      <c r="DE175" s="22">
        <f>'Income Statement'!ED68</f>
      </c>
      <c r="DF175" s="22">
        <f>'Income Statement'!EE68</f>
      </c>
      <c r="DG175" s="22">
        <f>'Income Statement'!EF68</f>
      </c>
      <c r="DH175" s="22">
        <f>'Income Statement'!EG68</f>
      </c>
      <c r="DI175" s="537">
        <f>'Income Statement'!EH68</f>
      </c>
      <c r="DJ175" s="22">
        <f>'Income Statement'!EI68</f>
      </c>
      <c r="DK175" s="22">
        <f>'Income Statement'!EJ68</f>
      </c>
      <c r="DL175" s="22">
        <f>'Income Statement'!EK68</f>
      </c>
      <c r="DM175" s="22">
        <f>'Income Statement'!EL68</f>
      </c>
      <c r="DN175" s="537">
        <f>'Income Statement'!EM68</f>
      </c>
      <c r="DO175" s="943">
        <f>'Income Statement'!EN68</f>
      </c>
      <c r="DP175" s="943">
        <f>'Income Statement'!EO68</f>
      </c>
      <c r="DQ175" s="943">
        <f>'Income Statement'!EP68</f>
      </c>
      <c r="DR175" s="22">
        <f>'Income Statement'!EQ68</f>
      </c>
      <c r="DS175" s="537">
        <f>'Income Statement'!ER68</f>
      </c>
      <c r="DT175" s="943">
        <f>'Income Statement'!ES68</f>
      </c>
      <c r="DU175" s="943">
        <f>'Income Statement'!ET68</f>
      </c>
      <c r="DV175" s="943">
        <f>'Income Statement'!EU68</f>
      </c>
      <c r="DW175" s="1248">
        <f>'Income Statement'!EV68</f>
      </c>
      <c r="DX175" s="1120">
        <f>'Income Statement'!EW68</f>
      </c>
      <c r="DY175" s="943">
        <f>'Income Statement'!EX68</f>
      </c>
      <c r="DZ175" s="943">
        <f>'Income Statement'!EY68</f>
      </c>
      <c r="EA175" s="943">
        <f>'Income Statement'!EZ68</f>
      </c>
      <c r="EB175" s="943">
        <f>'Income Statement'!FA68</f>
      </c>
      <c r="EC175" s="1067">
        <f>'Income Statement'!FB68</f>
      </c>
      <c r="ED175" s="943">
        <f>'Income Statement'!FC68</f>
      </c>
      <c r="EE175" s="943">
        <f>'Income Statement'!FD68</f>
      </c>
      <c r="EF175" s="943">
        <f>'Income Statement'!FE68</f>
      </c>
      <c r="EG175" s="943">
        <f>'Income Statement'!FF68</f>
      </c>
      <c r="EH175" s="1067">
        <v>0.31649999999999995</v>
      </c>
      <c r="EI175" s="943">
        <f>'Income Statement'!FH68</f>
      </c>
      <c r="EJ175" s="943">
        <f>'Income Statement'!FI68</f>
      </c>
      <c r="EK175" s="943">
        <f>'Income Statement'!FJ68</f>
      </c>
      <c r="EL175" s="1248">
        <f>'Income Statement'!FK68</f>
      </c>
      <c r="EM175" s="2510">
        <f>'Income Statement'!FL68</f>
      </c>
      <c r="EN175" s="2524">
        <f>'Income Statement'!FM68</f>
      </c>
      <c r="EO175" s="943">
        <f>'Income Statement'!FN68</f>
      </c>
      <c r="EP175" s="943">
        <f>'Income Statement'!FO68</f>
      </c>
      <c r="EQ175" s="1248">
        <f>'Income Statement'!FW68</f>
      </c>
      <c r="ER175" s="1306">
        <f>'Income Statement'!FX68</f>
      </c>
      <c r="ES175" s="2524">
        <f>'Income Statement'!FR68</f>
      </c>
      <c r="ET175" s="943">
        <f>'Income Statement'!FS68</f>
      </c>
      <c r="EU175" s="943">
        <f>'Income Statement'!FT68</f>
      </c>
      <c r="EV175" s="1248">
        <f>'Income Statement'!GB68</f>
      </c>
      <c r="EW175" s="1306">
        <f>'Income Statement'!GC68</f>
      </c>
      <c r="EX175" s="2524">
        <f>'Income Statement'!FW68</f>
      </c>
      <c r="EY175" s="943">
        <f>'Income Statement'!FX68</f>
      </c>
      <c r="EZ175" s="943">
        <f>'Income Statement'!GF68</f>
      </c>
      <c r="FA175" s="1248">
        <f>'Income Statement'!GG68</f>
      </c>
      <c r="FB175" s="1306">
        <v>0.32499999999999996</v>
      </c>
      <c r="FC175" s="1306">
        <f>'Income Statement'!GI68</f>
      </c>
      <c r="FD175" s="1306">
        <f>'Income Statement'!GJ68</f>
      </c>
      <c r="FE175" s="1306">
        <f>'Income Statement'!GK68</f>
      </c>
      <c r="FF175" s="1306">
        <f>'Income Statement'!GL68</f>
      </c>
      <c r="FG175" s="1306">
        <f>'Income Statement'!GM68</f>
      </c>
    </row>
    <row r="176" spans="1:165" outlineLevel="1">
      <c r="A176" s="1"/>
      <c r="B176" s="147" t="s">
        <v>74</v>
      </c>
      <c r="C176" s="120"/>
      <c r="D176" s="120"/>
      <c r="E176" s="120"/>
      <c r="F176" s="120"/>
      <c r="G176" s="120"/>
      <c r="H176" s="120"/>
      <c r="I176" s="120"/>
      <c r="J176" s="120"/>
      <c r="K176" s="120"/>
      <c r="L176" s="120"/>
      <c r="M176" s="120"/>
      <c r="N176" s="76">
        <f>+'Income Statement'!AM72</f>
      </c>
      <c r="O176" s="76">
        <f>+'Income Statement'!AN72</f>
      </c>
      <c r="P176" s="76">
        <f>+'Income Statement'!AO72</f>
      </c>
      <c r="Q176" s="76">
        <f>+'Income Statement'!AP72</f>
      </c>
      <c r="R176" s="76">
        <f>+'Income Statement'!AQ72</f>
      </c>
      <c r="S176" s="76">
        <f>+'Income Statement'!AR72</f>
      </c>
      <c r="T176" s="76">
        <f>+'Income Statement'!AS72</f>
      </c>
      <c r="U176" s="76">
        <f>+'Income Statement'!AT72</f>
      </c>
      <c r="V176" s="76">
        <f>+'Income Statement'!AU72</f>
      </c>
      <c r="W176" s="76">
        <f>+'Income Statement'!AV72</f>
      </c>
      <c r="X176" s="76">
        <f>+'Income Statement'!AW72</f>
      </c>
      <c r="Y176" s="76">
        <f>+'Income Statement'!AX72</f>
      </c>
      <c r="Z176" s="76">
        <f>+'Income Statement'!AY72</f>
      </c>
      <c r="AA176" s="76">
        <f>+'Income Statement'!AZ72</f>
      </c>
      <c r="AB176" s="76">
        <f>+'Income Statement'!BA72</f>
      </c>
      <c r="AC176" s="76">
        <f>+'Income Statement'!BB72</f>
      </c>
      <c r="AD176" s="76">
        <f>+'Income Statement'!BC72</f>
      </c>
      <c r="AE176" s="76">
        <f>+'Income Statement'!BD72</f>
      </c>
      <c r="AF176" s="76">
        <f>+'Income Statement'!BE72</f>
      </c>
      <c r="AG176" s="76">
        <f>+'Income Statement'!BF72</f>
      </c>
      <c r="AH176" s="76">
        <f>+'Income Statement'!BG72</f>
      </c>
      <c r="AI176" s="76">
        <f>+'Income Statement'!BH72</f>
      </c>
      <c r="AJ176" s="76">
        <f>+'Income Statement'!BI72</f>
      </c>
      <c r="AK176" s="76">
        <f>+'Income Statement'!BJ72</f>
      </c>
      <c r="AL176" s="76">
        <f>+'Income Statement'!BK72</f>
      </c>
      <c r="AM176" s="76">
        <f>+'Income Statement'!BL72</f>
      </c>
      <c r="AN176" s="76">
        <f>+'Income Statement'!BM72</f>
      </c>
      <c r="AO176" s="76">
        <f>+'Income Statement'!BN72</f>
      </c>
      <c r="AP176" s="76">
        <f>+'Income Statement'!BO72</f>
      </c>
      <c r="AQ176" s="76">
        <f>+'Income Statement'!BP72</f>
      </c>
      <c r="AR176" s="76">
        <f>+'Income Statement'!BQ72</f>
      </c>
      <c r="AS176" s="76">
        <f>+'Income Statement'!BR72</f>
      </c>
      <c r="AT176" s="76">
        <f>+'Income Statement'!BS72</f>
      </c>
      <c r="AU176" s="76">
        <f>+'Income Statement'!BT72</f>
      </c>
      <c r="AV176" s="76">
        <f>+'Income Statement'!BU72</f>
      </c>
      <c r="AW176" s="76">
        <f>+'Income Statement'!BV72</f>
      </c>
      <c r="AX176" s="76">
        <f>+'Income Statement'!BW72</f>
      </c>
      <c r="AY176" s="76">
        <f>+'Income Statement'!BX72</f>
      </c>
      <c r="AZ176" s="76">
        <f>+'Income Statement'!BY72</f>
      </c>
      <c r="BA176" s="76">
        <f>+'Income Statement'!BZ72</f>
      </c>
      <c r="BB176" s="76">
        <f>+'Income Statement'!CA72</f>
      </c>
      <c r="BC176" s="76">
        <f>+'Income Statement'!CB72</f>
      </c>
      <c r="BD176" s="76">
        <f>+'Income Statement'!CC72</f>
      </c>
      <c r="BE176" s="76">
        <f>+'Income Statement'!CD72</f>
      </c>
      <c r="BF176" s="76">
        <f>+'Income Statement'!CE72</f>
      </c>
      <c r="BG176" s="76">
        <f>+'Income Statement'!CF72</f>
      </c>
      <c r="BH176" s="76">
        <f>+'Income Statement'!CG72</f>
      </c>
      <c r="BI176" s="76">
        <f>+'Income Statement'!CH72</f>
      </c>
      <c r="BJ176" s="76">
        <f>+'Income Statement'!CI72</f>
      </c>
      <c r="BK176" s="76">
        <f>+'Income Statement'!CJ72</f>
      </c>
      <c r="BL176" s="76">
        <f>+'Income Statement'!CK72</f>
      </c>
      <c r="BM176" s="76">
        <f>+'Income Statement'!CL72</f>
      </c>
      <c r="BN176" s="76">
        <f>+'Income Statement'!CM72</f>
      </c>
      <c r="BO176" s="76">
        <f>+'Income Statement'!CN72</f>
      </c>
      <c r="BP176" s="76">
        <f>+'Income Statement'!CO72</f>
      </c>
      <c r="BQ176" s="76">
        <f>+'Income Statement'!CP72</f>
      </c>
      <c r="BR176" s="76">
        <f>+'Income Statement'!CQ72</f>
      </c>
      <c r="BS176" s="76">
        <f>+'Income Statement'!CR72</f>
      </c>
      <c r="BT176" s="76">
        <f>+'Income Statement'!CS72</f>
      </c>
      <c r="BU176" s="538">
        <f>+'Income Statement'!CT72</f>
      </c>
      <c r="BV176" s="76">
        <f>+'Income Statement'!CU72</f>
      </c>
      <c r="BW176" s="76">
        <f>+'Income Statement'!CV72</f>
      </c>
      <c r="BX176" s="76">
        <f>+'Income Statement'!CW72</f>
      </c>
      <c r="BY176" s="76">
        <f>+'Income Statement'!CX72</f>
      </c>
      <c r="BZ176" s="538">
        <f>+'Income Statement'!CY72</f>
      </c>
      <c r="CA176" s="76">
        <f>+'Income Statement'!CZ72</f>
      </c>
      <c r="CB176" s="76">
        <f>+'Income Statement'!DA72</f>
      </c>
      <c r="CC176" s="76">
        <f>+'Income Statement'!DB72</f>
      </c>
      <c r="CD176" s="76">
        <f>+'Income Statement'!DC72</f>
      </c>
      <c r="CE176" s="538">
        <f>+'Income Statement'!DD72</f>
      </c>
      <c r="CF176" s="76">
        <f>+'Income Statement'!DE72</f>
      </c>
      <c r="CG176" s="76">
        <f>+'Income Statement'!DF72</f>
      </c>
      <c r="CH176" s="76">
        <f>+'Income Statement'!DG72</f>
      </c>
      <c r="CI176" s="76">
        <f>+'Income Statement'!DH72</f>
      </c>
      <c r="CJ176" s="538">
        <f>+'Income Statement'!DI72</f>
      </c>
      <c r="CK176" s="76">
        <f>+'Income Statement'!DJ72</f>
      </c>
      <c r="CL176" s="76">
        <f>+'Income Statement'!DK72</f>
      </c>
      <c r="CM176" s="76">
        <f>+'Income Statement'!DL72</f>
      </c>
      <c r="CN176" s="76">
        <f>+'Income Statement'!DM72</f>
      </c>
      <c r="CO176" s="538">
        <f>+'Income Statement'!DN72</f>
      </c>
      <c r="CP176" s="76">
        <f>+'Income Statement'!DO72</f>
      </c>
      <c r="CQ176" s="76">
        <f>+'Income Statement'!DP72</f>
      </c>
      <c r="CR176" s="76">
        <f>+'Income Statement'!DQ72</f>
      </c>
      <c r="CS176" s="76">
        <f>+'Income Statement'!DR72</f>
      </c>
      <c r="CT176" s="538">
        <f>+'Income Statement'!DS72</f>
      </c>
      <c r="CU176" s="76">
        <f>+'Income Statement'!DT72</f>
      </c>
      <c r="CV176" s="76">
        <f>+'Income Statement'!DU72</f>
      </c>
      <c r="CW176" s="76">
        <f>+'Income Statement'!DV72</f>
      </c>
      <c r="CX176" s="76">
        <f>+'Income Statement'!DW72</f>
      </c>
      <c r="CY176" s="538">
        <f>+'Income Statement'!DX72</f>
      </c>
      <c r="CZ176" s="76">
        <f>+'Income Statement'!DY72</f>
      </c>
      <c r="DA176" s="76">
        <f>+'Income Statement'!DZ72</f>
      </c>
      <c r="DB176" s="76">
        <f>+'Income Statement'!EA72</f>
      </c>
      <c r="DC176" s="76">
        <f>+'Income Statement'!EB72</f>
      </c>
      <c r="DD176" s="538">
        <f>+'Income Statement'!EC72</f>
      </c>
      <c r="DE176" s="76">
        <f>+'Income Statement'!ED72</f>
      </c>
      <c r="DF176" s="76">
        <f>+'Income Statement'!EE72</f>
      </c>
      <c r="DG176" s="76">
        <f>+'Income Statement'!EF72</f>
      </c>
      <c r="DH176" s="76">
        <f>+'Income Statement'!EG72</f>
      </c>
      <c r="DI176" s="538">
        <f>+'Income Statement'!EH72</f>
      </c>
      <c r="DJ176" s="76">
        <f>+'Income Statement'!EI72</f>
      </c>
      <c r="DK176" s="76">
        <f>+'Income Statement'!EJ72</f>
      </c>
      <c r="DL176" s="76">
        <f>+'Income Statement'!EK72</f>
      </c>
      <c r="DM176" s="76">
        <f>+'Income Statement'!EL72</f>
      </c>
      <c r="DN176" s="538">
        <f>+'Income Statement'!EM72</f>
      </c>
      <c r="DO176" s="1132">
        <f>+'Income Statement'!EN72</f>
      </c>
      <c r="DP176" s="1132">
        <f>+'Income Statement'!EO72</f>
      </c>
      <c r="DQ176" s="1132">
        <f>+'Income Statement'!EP72</f>
      </c>
      <c r="DR176" s="76">
        <f>+'Income Statement'!EQ72</f>
      </c>
      <c r="DS176" s="538">
        <f>+'Income Statement'!ER72</f>
      </c>
      <c r="DT176" s="1132">
        <f>+'Income Statement'!ES72</f>
      </c>
      <c r="DU176" s="1132">
        <f>+'Income Statement'!ET72</f>
      </c>
      <c r="DV176" s="1132">
        <f>+'Income Statement'!EU72</f>
      </c>
      <c r="DW176" s="1249">
        <f>+'Income Statement'!EV72</f>
      </c>
      <c r="DX176" s="1307">
        <f>+'Income Statement'!EW72</f>
      </c>
      <c r="DY176" s="1132">
        <f>+'Income Statement'!EX72</f>
      </c>
      <c r="DZ176" s="1132">
        <f>+'Income Statement'!EY72</f>
      </c>
      <c r="EA176" s="1132">
        <f>+'Income Statement'!EZ72</f>
      </c>
      <c r="EB176" s="2143">
        <f>+'Income Statement'!FA72</f>
      </c>
      <c r="EC176" s="2723">
        <f>+'Income Statement'!FB72</f>
      </c>
      <c r="ED176" s="1132">
        <f>+'Income Statement'!FC72</f>
      </c>
      <c r="EE176" s="1132">
        <f>+'Income Statement'!FD72</f>
      </c>
      <c r="EF176" s="1132">
        <f>+'Income Statement'!FE72</f>
      </c>
      <c r="EG176" s="2143">
        <f>+'Income Statement'!FF72</f>
      </c>
      <c r="EH176" s="2723">
        <v>0.26984171016668301</v>
      </c>
      <c r="EI176" s="1132">
        <f>+'Income Statement'!FH72</f>
      </c>
      <c r="EJ176" s="1132">
        <f>+'Income Statement'!FI72</f>
      </c>
      <c r="EK176" s="1132">
        <f>+'Income Statement'!FJ72</f>
      </c>
      <c r="EL176" s="1249">
        <f>+'Income Statement'!FK72</f>
      </c>
      <c r="EM176" s="2511">
        <f>+'Income Statement'!FL72</f>
      </c>
      <c r="EN176" s="2512">
        <f>+'Income Statement'!FM72</f>
      </c>
      <c r="EO176" s="2143">
        <f>+'Income Statement'!FN72</f>
      </c>
      <c r="EP176" s="1132">
        <f>+'Income Statement'!FO72</f>
      </c>
      <c r="EQ176" s="2148">
        <f>+'Income Statement'!FW72</f>
      </c>
      <c r="ER176" s="2165">
        <f>+'Income Statement'!FX72</f>
      </c>
      <c r="ES176" s="2512">
        <f>+'Income Statement'!FR72</f>
      </c>
      <c r="ET176" s="2143">
        <f>+'Income Statement'!FS72</f>
      </c>
      <c r="EU176" s="1132">
        <f>+'Income Statement'!FT72</f>
      </c>
      <c r="EV176" s="2148">
        <f>+'Income Statement'!GB72</f>
      </c>
      <c r="EW176" s="2165">
        <f>+'Income Statement'!GC72</f>
      </c>
      <c r="EX176" s="2512">
        <f>+'Income Statement'!FW72</f>
      </c>
      <c r="EY176" s="2143">
        <f>+'Income Statement'!FX72</f>
      </c>
      <c r="EZ176" s="2143">
        <f>+'Income Statement'!GF72</f>
      </c>
      <c r="FA176" s="2148">
        <f>+'Income Statement'!GG72</f>
      </c>
      <c r="FB176" s="3597">
        <v>0.28166792438997368</v>
      </c>
      <c r="FC176" s="1308">
        <f ca="1">+'Income Statement'!GI72</f>
      </c>
      <c r="FD176" s="1308">
        <f ca="1">+'Income Statement'!GJ72</f>
      </c>
      <c r="FE176" s="1308">
        <f ca="1">+'Income Statement'!GK72</f>
      </c>
      <c r="FF176" s="1308">
        <f ca="1">+'Income Statement'!GL72</f>
      </c>
      <c r="FG176" s="1308">
        <f ca="1">+'Income Statement'!GM72</f>
      </c>
    </row>
    <row r="177" spans="1:163" outlineLevel="1">
      <c r="A177" s="1"/>
      <c r="B177" s="86"/>
      <c r="C177" s="86"/>
      <c r="D177" s="86"/>
      <c r="E177" s="86"/>
      <c r="F177" s="86"/>
      <c r="G177" s="86"/>
      <c r="H177" s="86"/>
      <c r="I177" s="86"/>
      <c r="J177" s="86"/>
      <c r="K177" s="86"/>
      <c r="L177" s="86"/>
      <c r="M177" s="86"/>
      <c r="N177" s="86"/>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1"/>
      <c r="BU177" s="1"/>
      <c r="BV177" s="22"/>
      <c r="BW177" s="22"/>
      <c r="BX177" s="1"/>
      <c r="BY177" s="1"/>
      <c r="BZ177" s="1"/>
      <c r="CA177" s="1"/>
      <c r="CB177" s="1"/>
      <c r="CC177" s="1"/>
      <c r="CD177" s="1"/>
      <c r="CE177" s="1"/>
      <c r="CF177" s="1"/>
      <c r="CG177" s="1"/>
      <c r="CH177" s="1"/>
      <c r="CI177" s="1"/>
      <c r="CJ177" s="1"/>
      <c r="CK177" s="1"/>
      <c r="CL177" s="1"/>
      <c r="CM177" s="1"/>
      <c r="CN177" s="1"/>
      <c r="CO177" s="1"/>
      <c r="CP177" s="1"/>
      <c r="CQ177" s="73"/>
      <c r="CR177" s="73"/>
      <c r="CS177" s="1"/>
      <c r="CT177" s="1"/>
      <c r="CU177" s="1"/>
      <c r="CV177" s="73"/>
      <c r="CW177" s="73"/>
      <c r="CX177" s="1"/>
      <c r="CY177" s="1"/>
      <c r="CZ177" s="73"/>
      <c r="DA177" s="73"/>
      <c r="DB177" s="73"/>
      <c r="DC177" s="1"/>
      <c r="DD177" s="1"/>
      <c r="DE177" s="73"/>
      <c r="DF177" s="73"/>
      <c r="DG177" s="73"/>
      <c r="DH177" s="1045"/>
      <c r="DI177" s="73"/>
      <c r="DJ177" s="73"/>
      <c r="DK177" s="73"/>
      <c r="DL177" s="1045"/>
      <c r="DM177" s="1045"/>
      <c r="DN177" s="73"/>
      <c r="DO177" s="1045"/>
      <c r="DP177" s="1045"/>
      <c r="DQ177" s="1045"/>
      <c r="DR177" s="1045"/>
      <c r="DS177" s="73"/>
      <c r="DT177" s="1045"/>
      <c r="DU177" s="1045"/>
      <c r="DV177" s="1045"/>
      <c r="DW177" s="1045"/>
      <c r="DX177" s="1045"/>
      <c r="DY177" s="1045"/>
      <c r="DZ177" s="1045"/>
      <c r="EA177" s="1045"/>
      <c r="EB177" s="1045"/>
      <c r="EC177" s="1045"/>
      <c r="ED177" s="1045"/>
      <c r="EE177" s="1045"/>
      <c r="EF177" s="1045"/>
      <c r="EG177" s="1045"/>
      <c r="EH177" s="1045"/>
      <c r="EI177" s="1045"/>
      <c r="EJ177" s="1045"/>
      <c r="EK177" s="1045"/>
      <c r="EL177" s="1045"/>
      <c r="EM177" s="1045"/>
      <c r="EN177" s="1045"/>
      <c r="EO177" s="1045"/>
      <c r="EP177" s="1045"/>
      <c r="EQ177" s="1045"/>
      <c r="ER177" s="1045"/>
      <c r="ES177" s="1045"/>
      <c r="ET177" s="1045"/>
      <c r="EU177" s="1045"/>
      <c r="EV177" s="1045"/>
      <c r="EW177" s="1045"/>
      <c r="EX177" s="1045"/>
      <c r="EY177" s="1045"/>
      <c r="EZ177" s="1045"/>
      <c r="FA177" s="1045"/>
      <c r="FB177" s="1045"/>
      <c r="FC177" s="1045"/>
      <c r="FD177" s="1045"/>
      <c r="FE177" s="1045"/>
      <c r="FF177" s="1045"/>
      <c r="FG177" s="1045"/>
    </row>
    <row r="178" spans="1:163" outlineLevel="1">
      <c r="A178" s="1"/>
      <c r="B178" s="778" t="s">
        <v>64</v>
      </c>
      <c r="C178" s="779"/>
      <c r="D178" s="779"/>
      <c r="E178" s="779"/>
      <c r="F178" s="779"/>
      <c r="G178" s="779"/>
      <c r="H178" s="779"/>
      <c r="I178" s="779"/>
      <c r="J178" s="779"/>
      <c r="K178" s="779"/>
      <c r="L178" s="779"/>
      <c r="M178" s="779"/>
      <c r="N178" s="779"/>
      <c r="O178" s="794"/>
      <c r="P178" s="794"/>
      <c r="Q178" s="794"/>
      <c r="R178" s="794"/>
      <c r="S178" s="794"/>
      <c r="T178" s="794"/>
      <c r="U178" s="794"/>
      <c r="V178" s="794"/>
      <c r="W178" s="794"/>
      <c r="X178" s="794"/>
      <c r="Y178" s="794"/>
      <c r="Z178" s="794"/>
      <c r="AA178" s="794"/>
      <c r="AB178" s="794"/>
      <c r="AC178" s="794"/>
      <c r="AD178" s="794"/>
      <c r="AE178" s="794"/>
      <c r="AF178" s="794"/>
      <c r="AG178" s="794"/>
      <c r="AH178" s="794"/>
      <c r="AI178" s="794"/>
      <c r="AJ178" s="794"/>
      <c r="AK178" s="794"/>
      <c r="AL178" s="794"/>
      <c r="AM178" s="794"/>
      <c r="AN178" s="794"/>
      <c r="AO178" s="794"/>
      <c r="AP178" s="794"/>
      <c r="AQ178" s="794"/>
      <c r="AR178" s="794"/>
      <c r="AS178" s="794"/>
      <c r="AT178" s="794"/>
      <c r="AU178" s="794"/>
      <c r="AV178" s="794"/>
      <c r="AW178" s="794"/>
      <c r="AX178" s="794"/>
      <c r="AY178" s="794"/>
      <c r="AZ178" s="794"/>
      <c r="BA178" s="794"/>
      <c r="BB178" s="794"/>
      <c r="BC178" s="794"/>
      <c r="BD178" s="794"/>
      <c r="BE178" s="794"/>
      <c r="BF178" s="794"/>
      <c r="BG178" s="794"/>
      <c r="BH178" s="794"/>
      <c r="BI178" s="794"/>
      <c r="BJ178" s="794"/>
      <c r="BK178" s="794"/>
      <c r="BL178" s="794"/>
      <c r="BM178" s="794"/>
      <c r="BN178" s="794"/>
      <c r="BO178" s="794"/>
      <c r="BP178" s="794"/>
      <c r="BQ178" s="794"/>
      <c r="BR178" s="794"/>
      <c r="BS178" s="794"/>
      <c r="BT178" s="593"/>
      <c r="BU178" s="771"/>
      <c r="BV178" s="794"/>
      <c r="BW178" s="794"/>
      <c r="BX178" s="593"/>
      <c r="BY178" s="593"/>
      <c r="BZ178" s="771"/>
      <c r="CA178" s="593"/>
      <c r="CB178" s="593"/>
      <c r="CC178" s="593"/>
      <c r="CD178" s="593"/>
      <c r="CE178" s="771"/>
      <c r="CF178" s="593"/>
      <c r="CG178" s="593"/>
      <c r="CH178" s="593"/>
      <c r="CI178" s="593"/>
      <c r="CJ178" s="771"/>
      <c r="CK178" s="593"/>
      <c r="CL178" s="593"/>
      <c r="CM178" s="593"/>
      <c r="CN178" s="593"/>
      <c r="CO178" s="771"/>
      <c r="CP178" s="593"/>
      <c r="CQ178" s="593"/>
      <c r="CR178" s="593"/>
      <c r="CS178" s="593"/>
      <c r="CT178" s="771"/>
      <c r="CU178" s="593"/>
      <c r="CV178" s="593"/>
      <c r="CW178" s="593"/>
      <c r="CX178" s="593"/>
      <c r="CY178" s="771"/>
      <c r="CZ178" s="593"/>
      <c r="DA178" s="593"/>
      <c r="DB178" s="593"/>
      <c r="DC178" s="593"/>
      <c r="DD178" s="771"/>
      <c r="DE178" s="593"/>
      <c r="DF178" s="593"/>
      <c r="DG178" s="593"/>
      <c r="DH178" s="1033"/>
      <c r="DI178" s="771"/>
      <c r="DJ178" s="593"/>
      <c r="DK178" s="593"/>
      <c r="DL178" s="1033"/>
      <c r="DM178" s="1033"/>
      <c r="DN178" s="771"/>
      <c r="DO178" s="1124"/>
      <c r="DP178" s="1124"/>
      <c r="DQ178" s="1124"/>
      <c r="DR178" s="1033"/>
      <c r="DS178" s="771"/>
      <c r="DT178" s="1124"/>
      <c r="DU178" s="1124"/>
      <c r="DV178" s="1124"/>
      <c r="DW178" s="1244"/>
      <c r="DX178" s="1113"/>
      <c r="DY178" s="1124"/>
      <c r="DZ178" s="1124"/>
      <c r="EA178" s="1124"/>
      <c r="EB178" s="2692"/>
      <c r="EC178" s="2714"/>
      <c r="ED178" s="1124"/>
      <c r="EE178" s="1124"/>
      <c r="EF178" s="1124"/>
      <c r="EG178" s="2692"/>
      <c r="EH178" s="2714"/>
      <c r="EI178" s="1124"/>
      <c r="EJ178" s="1124"/>
      <c r="EK178" s="1124"/>
      <c r="EL178" s="1244"/>
      <c r="EM178" s="2509"/>
      <c r="EN178" s="2503"/>
      <c r="EO178" s="1499"/>
      <c r="EP178" s="2692"/>
      <c r="EQ178" s="2042"/>
      <c r="ER178" s="2041"/>
      <c r="ES178" s="2503"/>
      <c r="ET178" s="1499"/>
      <c r="EU178" s="2692"/>
      <c r="EV178" s="2042"/>
      <c r="EW178" s="2041"/>
      <c r="EX178" s="2503"/>
      <c r="EY178" s="1499"/>
      <c r="EZ178" s="1499"/>
      <c r="FA178" s="2042"/>
      <c r="FB178" s="2041"/>
      <c r="FC178" s="1287"/>
      <c r="FD178" s="1287"/>
      <c r="FE178" s="1287"/>
      <c r="FF178" s="1287"/>
      <c r="FG178" s="1287"/>
    </row>
    <row r="179" spans="1:163" outlineLevel="1">
      <c r="A179" s="1"/>
      <c r="B179" s="85" t="s">
        <v>65</v>
      </c>
      <c r="C179" s="86"/>
      <c r="D179" s="86"/>
      <c r="E179" s="86"/>
      <c r="F179" s="86"/>
      <c r="G179" s="86"/>
      <c r="H179" s="86"/>
      <c r="I179" s="86"/>
      <c r="J179" s="86"/>
      <c r="K179" s="86"/>
      <c r="L179" s="86"/>
      <c r="M179" s="86"/>
      <c r="N179" s="22">
        <f>+(N37+N31)/(N52-N44)</f>
      </c>
      <c r="O179" s="22">
        <f t="shared" ref="O179:BZ179" si="614">+(O37+O31)/(O52-O44)</f>
      </c>
      <c r="P179" s="22">
        <f t="shared" si="614"/>
      </c>
      <c r="Q179" s="22">
        <f t="shared" si="614"/>
      </c>
      <c r="R179" s="22">
        <f t="shared" si="614"/>
      </c>
      <c r="S179" s="22">
        <f t="shared" si="614"/>
      </c>
      <c r="T179" s="22">
        <f t="shared" si="614"/>
      </c>
      <c r="U179" s="22">
        <f t="shared" si="614"/>
      </c>
      <c r="V179" s="22">
        <f t="shared" si="614"/>
      </c>
      <c r="W179" s="22">
        <f t="shared" si="614"/>
      </c>
      <c r="X179" s="22">
        <f t="shared" si="614"/>
      </c>
      <c r="Y179" s="22">
        <f t="shared" si="614"/>
      </c>
      <c r="Z179" s="22">
        <f t="shared" si="614"/>
      </c>
      <c r="AA179" s="22">
        <f t="shared" si="614"/>
      </c>
      <c r="AB179" s="22">
        <f t="shared" si="614"/>
      </c>
      <c r="AC179" s="22">
        <f t="shared" si="614"/>
      </c>
      <c r="AD179" s="22">
        <f t="shared" si="614"/>
      </c>
      <c r="AE179" s="22">
        <f t="shared" si="614"/>
      </c>
      <c r="AF179" s="22">
        <f t="shared" si="614"/>
      </c>
      <c r="AG179" s="22">
        <f t="shared" si="614"/>
      </c>
      <c r="AH179" s="22">
        <f t="shared" si="614"/>
      </c>
      <c r="AI179" s="22">
        <f t="shared" si="614"/>
      </c>
      <c r="AJ179" s="22">
        <f t="shared" si="614"/>
      </c>
      <c r="AK179" s="22">
        <f t="shared" si="614"/>
      </c>
      <c r="AL179" s="22">
        <f t="shared" si="614"/>
      </c>
      <c r="AM179" s="22">
        <f t="shared" si="614"/>
      </c>
      <c r="AN179" s="22">
        <f t="shared" si="614"/>
      </c>
      <c r="AO179" s="22">
        <f t="shared" si="614"/>
      </c>
      <c r="AP179" s="22">
        <f t="shared" si="614"/>
      </c>
      <c r="AQ179" s="22">
        <f t="shared" si="614"/>
      </c>
      <c r="AR179" s="22">
        <f t="shared" si="614"/>
      </c>
      <c r="AS179" s="22">
        <f t="shared" si="614"/>
      </c>
      <c r="AT179" s="22">
        <f t="shared" si="614"/>
      </c>
      <c r="AU179" s="22">
        <f t="shared" si="614"/>
      </c>
      <c r="AV179" s="22">
        <f t="shared" si="614"/>
      </c>
      <c r="AW179" s="22">
        <f t="shared" si="614"/>
      </c>
      <c r="AX179" s="22">
        <f t="shared" si="614"/>
      </c>
      <c r="AY179" s="22">
        <f t="shared" si="614"/>
      </c>
      <c r="AZ179" s="22">
        <f t="shared" si="614"/>
      </c>
      <c r="BA179" s="22">
        <f t="shared" si="614"/>
      </c>
      <c r="BB179" s="22">
        <f t="shared" si="614"/>
      </c>
      <c r="BC179" s="22">
        <f t="shared" si="614"/>
      </c>
      <c r="BD179" s="22">
        <f t="shared" si="614"/>
      </c>
      <c r="BE179" s="22">
        <f t="shared" si="614"/>
      </c>
      <c r="BF179" s="22">
        <f t="shared" si="614"/>
      </c>
      <c r="BG179" s="22">
        <f t="shared" si="614"/>
      </c>
      <c r="BH179" s="22">
        <f t="shared" si="614"/>
      </c>
      <c r="BI179" s="22">
        <f t="shared" si="614"/>
      </c>
      <c r="BJ179" s="22">
        <f t="shared" si="614"/>
      </c>
      <c r="BK179" s="22">
        <f t="shared" si="614"/>
      </c>
      <c r="BL179" s="22">
        <f t="shared" si="614"/>
      </c>
      <c r="BM179" s="22">
        <f t="shared" si="614"/>
      </c>
      <c r="BN179" s="22">
        <f t="shared" si="614"/>
      </c>
      <c r="BO179" s="22">
        <f t="shared" si="614"/>
      </c>
      <c r="BP179" s="22">
        <f t="shared" si="614"/>
      </c>
      <c r="BQ179" s="22">
        <f t="shared" si="614"/>
      </c>
      <c r="BR179" s="22">
        <f t="shared" si="614"/>
      </c>
      <c r="BS179" s="22">
        <f t="shared" si="614"/>
      </c>
      <c r="BT179" s="22">
        <f t="shared" si="614"/>
      </c>
      <c r="BU179" s="537">
        <f t="shared" si="614"/>
      </c>
      <c r="BV179" s="22">
        <f>+(BV37+BV31)/(BV52-BV44)</f>
      </c>
      <c r="BW179" s="22">
        <f>+(BW37+BW31)/(BW52-BW44)</f>
      </c>
      <c r="BX179" s="22">
        <f t="shared" si="614"/>
      </c>
      <c r="BY179" s="22">
        <f t="shared" si="614"/>
      </c>
      <c r="BZ179" s="537">
        <f t="shared" si="614"/>
      </c>
      <c r="CA179" s="22">
        <f t="shared" ref="CA179:CP179" si="615">+(CA37+CA31)/(CA52-CA44)</f>
      </c>
      <c r="CB179" s="22">
        <f t="shared" si="615"/>
      </c>
      <c r="CC179" s="22">
        <f t="shared" si="615"/>
      </c>
      <c r="CD179" s="22">
        <f t="shared" si="615"/>
      </c>
      <c r="CE179" s="537">
        <f t="shared" si="615"/>
      </c>
      <c r="CF179" s="22">
        <f t="shared" si="615"/>
      </c>
      <c r="CG179" s="22">
        <f t="shared" si="615"/>
      </c>
      <c r="CH179" s="22">
        <f t="shared" si="615"/>
      </c>
      <c r="CI179" s="22">
        <f t="shared" si="615"/>
      </c>
      <c r="CJ179" s="537">
        <f t="shared" si="615"/>
      </c>
      <c r="CK179" s="22">
        <f t="shared" si="615"/>
      </c>
      <c r="CL179" s="22">
        <f t="shared" si="615"/>
      </c>
      <c r="CM179" s="22">
        <f t="shared" si="615"/>
      </c>
      <c r="CN179" s="22">
        <f t="shared" si="615"/>
      </c>
      <c r="CO179" s="537">
        <f t="shared" si="615"/>
      </c>
      <c r="CP179" s="22">
        <f t="shared" si="615"/>
      </c>
      <c r="CQ179" s="22">
        <f t="shared" ref="CQ179:CW179" si="616">+(CQ37+CQ31)/(CQ52-CQ44)</f>
      </c>
      <c r="CR179" s="22">
        <f t="shared" si="616"/>
      </c>
      <c r="CS179" s="22">
        <f t="shared" si="616"/>
      </c>
      <c r="CT179" s="537">
        <f t="shared" si="616"/>
      </c>
      <c r="CU179" s="22">
        <f t="shared" si="616"/>
      </c>
      <c r="CV179" s="22">
        <f t="shared" si="616"/>
      </c>
      <c r="CW179" s="22">
        <f t="shared" si="616"/>
      </c>
      <c r="CX179" s="22">
        <f t="shared" ref="CX179:DP179" si="617">+(CX37+CX31)/(CX52-CX44)</f>
      </c>
      <c r="CY179" s="537">
        <f t="shared" si="617"/>
      </c>
      <c r="CZ179" s="22">
        <f t="shared" si="617"/>
      </c>
      <c r="DA179" s="22">
        <f t="shared" si="617"/>
      </c>
      <c r="DB179" s="22">
        <f t="shared" si="617"/>
      </c>
      <c r="DC179" s="22">
        <f t="shared" si="617"/>
      </c>
      <c r="DD179" s="537">
        <f t="shared" si="617"/>
      </c>
      <c r="DE179" s="22">
        <f t="shared" si="617"/>
      </c>
      <c r="DF179" s="22">
        <f t="shared" si="617"/>
      </c>
      <c r="DG179" s="22">
        <f t="shared" si="617"/>
      </c>
      <c r="DH179" s="943">
        <f t="shared" si="617"/>
      </c>
      <c r="DI179" s="537">
        <f t="shared" si="617"/>
      </c>
      <c r="DJ179" s="22">
        <f t="shared" si="617"/>
      </c>
      <c r="DK179" s="22">
        <f t="shared" si="617"/>
      </c>
      <c r="DL179" s="943">
        <f t="shared" si="617"/>
      </c>
      <c r="DM179" s="943">
        <f t="shared" si="617"/>
      </c>
      <c r="DN179" s="537">
        <f t="shared" si="617"/>
      </c>
      <c r="DO179" s="943">
        <f t="shared" si="617"/>
      </c>
      <c r="DP179" s="943">
        <f t="shared" si="617"/>
      </c>
      <c r="DQ179" s="943">
        <f t="shared" ref="DQ179:DW179" si="618">+(DQ37+DQ31)/(DQ52-DQ44)</f>
      </c>
      <c r="DR179" s="943">
        <f t="shared" si="618"/>
      </c>
      <c r="DS179" s="537">
        <f t="shared" si="618"/>
      </c>
      <c r="DT179" s="943">
        <f t="shared" si="618"/>
      </c>
      <c r="DU179" s="943">
        <f t="shared" si="618"/>
      </c>
      <c r="DV179" s="943">
        <f t="shared" si="618"/>
      </c>
      <c r="DW179" s="1248">
        <f t="shared" si="618"/>
      </c>
      <c r="DX179" s="1120">
        <f>+(DX37+DX31)/(DX52-DX44)</f>
      </c>
      <c r="DY179" s="943">
        <f>+(DY37+DY31)/(DY52-DY44)</f>
      </c>
      <c r="DZ179" s="943">
        <f>+(DZ37+DZ31)/(DZ52-DZ44)</f>
      </c>
      <c r="EA179" s="943">
        <f>+(EA37+EA31)/(EA52-EA44)</f>
      </c>
      <c r="EB179" s="943">
        <f>+(EB37+EB31)/(EB52-EB44)</f>
      </c>
      <c r="EC179" s="1067">
        <f t="shared" ref="EC179:EH179" si="619">+(EC37+EC31)/(EC52-EC44)</f>
      </c>
      <c r="ED179" s="943">
        <f t="shared" si="619"/>
      </c>
      <c r="EE179" s="943">
        <f t="shared" si="619"/>
      </c>
      <c r="EF179" s="943">
        <f t="shared" si="619"/>
      </c>
      <c r="EG179" s="943">
        <f t="shared" si="619"/>
      </c>
      <c r="EH179" s="1067">
        <f t="shared" si="619"/>
      </c>
      <c r="EI179" s="943">
        <f t="shared" ref="EI179:FD179" si="620">+(EI37+EI31)/(EI52-EI44)</f>
      </c>
      <c r="EJ179" s="943">
        <f t="shared" si="620"/>
      </c>
      <c r="EK179" s="943">
        <f t="shared" si="620"/>
      </c>
      <c r="EL179" s="1248">
        <f t="shared" si="620"/>
      </c>
      <c r="EM179" s="2510">
        <f t="shared" si="620"/>
      </c>
      <c r="EN179" s="2524">
        <f t="shared" si="620"/>
      </c>
      <c r="EO179" s="943">
        <f t="shared" si="620"/>
      </c>
      <c r="EP179" s="943">
        <f>+(EP37+EP31)/(EP52-EP44)</f>
      </c>
      <c r="EQ179" s="1248">
        <f t="shared" si="620"/>
      </c>
      <c r="ER179" s="1306">
        <f t="shared" si="620"/>
      </c>
      <c r="ES179" s="2524">
        <f t="shared" ref="ES179:ET179" si="621">+(ES37+ES31)/(ES52-ES44)</f>
      </c>
      <c r="ET179" s="943">
        <f t="shared" si="621"/>
      </c>
      <c r="EU179" s="943">
        <f>+(EU37+EU31)/(EU52-EU44)</f>
      </c>
      <c r="EV179" s="1248">
        <f t="shared" ref="EV179:EY179" si="622">+(EV37+EV31)/(EV52-EV44)</f>
      </c>
      <c r="EW179" s="1306">
        <f t="shared" si="622"/>
      </c>
      <c r="EX179" s="2524">
        <f t="shared" si="622"/>
      </c>
      <c r="EY179" s="943">
        <f t="shared" si="622"/>
      </c>
      <c r="EZ179" s="943">
        <f t="shared" ref="EZ179:FA179" si="623">+(EZ37+EZ31)/(EZ52-EZ44)</f>
      </c>
      <c r="FA179" s="1248">
        <f t="shared" si="623"/>
      </c>
      <c r="FB179" s="1306">
        <f t="shared" si="620"/>
      </c>
      <c r="FC179" s="1306">
        <f t="shared" ca="1" si="620"/>
      </c>
      <c r="FD179" s="1306">
        <f t="shared" ca="1" si="620"/>
      </c>
      <c r="FE179" s="1306">
        <f ca="1">+(FE37+FE31)/(FE52-FE44)</f>
      </c>
      <c r="FF179" s="1306">
        <f ca="1">+(FF37+FF31)/(FF52-FF44)</f>
      </c>
      <c r="FG179" s="1306">
        <f ca="1">+(FG37+FG31)/(FG52-FG44)</f>
      </c>
    </row>
    <row r="180" spans="1:163" outlineLevel="1">
      <c r="A180" s="1"/>
      <c r="B180" s="85" t="s">
        <v>192</v>
      </c>
      <c r="C180" s="86"/>
      <c r="D180" s="86"/>
      <c r="E180" s="86"/>
      <c r="F180" s="86"/>
      <c r="G180" s="86"/>
      <c r="H180" s="86"/>
      <c r="I180" s="86"/>
      <c r="J180" s="86"/>
      <c r="K180" s="86"/>
      <c r="L180" s="86"/>
      <c r="M180" s="86"/>
      <c r="N180" s="22">
        <f>+N37/(N52-N44)</f>
      </c>
      <c r="O180" s="22">
        <f t="shared" ref="O180:BZ180" si="624">+O37/(O52-O44)</f>
      </c>
      <c r="P180" s="22">
        <f t="shared" si="624"/>
      </c>
      <c r="Q180" s="22">
        <f t="shared" si="624"/>
      </c>
      <c r="R180" s="22">
        <f t="shared" si="624"/>
      </c>
      <c r="S180" s="22">
        <f t="shared" si="624"/>
      </c>
      <c r="T180" s="22">
        <f t="shared" si="624"/>
      </c>
      <c r="U180" s="22">
        <f t="shared" si="624"/>
      </c>
      <c r="V180" s="22">
        <f t="shared" si="624"/>
      </c>
      <c r="W180" s="22">
        <f t="shared" si="624"/>
      </c>
      <c r="X180" s="22">
        <f t="shared" si="624"/>
      </c>
      <c r="Y180" s="22">
        <f t="shared" si="624"/>
      </c>
      <c r="Z180" s="22">
        <f t="shared" si="624"/>
      </c>
      <c r="AA180" s="22">
        <f t="shared" si="624"/>
      </c>
      <c r="AB180" s="22">
        <f t="shared" si="624"/>
      </c>
      <c r="AC180" s="22">
        <f t="shared" si="624"/>
      </c>
      <c r="AD180" s="22">
        <f t="shared" si="624"/>
      </c>
      <c r="AE180" s="22">
        <f t="shared" si="624"/>
      </c>
      <c r="AF180" s="22">
        <f t="shared" si="624"/>
      </c>
      <c r="AG180" s="22">
        <f t="shared" si="624"/>
      </c>
      <c r="AH180" s="22">
        <f t="shared" si="624"/>
      </c>
      <c r="AI180" s="22">
        <f t="shared" si="624"/>
      </c>
      <c r="AJ180" s="22">
        <f t="shared" si="624"/>
      </c>
      <c r="AK180" s="22">
        <f t="shared" si="624"/>
      </c>
      <c r="AL180" s="22">
        <f t="shared" si="624"/>
      </c>
      <c r="AM180" s="22">
        <f t="shared" si="624"/>
      </c>
      <c r="AN180" s="22">
        <f t="shared" si="624"/>
      </c>
      <c r="AO180" s="22">
        <f t="shared" si="624"/>
      </c>
      <c r="AP180" s="22">
        <f t="shared" si="624"/>
      </c>
      <c r="AQ180" s="22">
        <f t="shared" si="624"/>
      </c>
      <c r="AR180" s="22">
        <f t="shared" si="624"/>
      </c>
      <c r="AS180" s="22">
        <f t="shared" si="624"/>
      </c>
      <c r="AT180" s="22">
        <f t="shared" si="624"/>
      </c>
      <c r="AU180" s="22">
        <f t="shared" si="624"/>
      </c>
      <c r="AV180" s="22">
        <f t="shared" si="624"/>
      </c>
      <c r="AW180" s="22">
        <f t="shared" si="624"/>
      </c>
      <c r="AX180" s="22">
        <f t="shared" si="624"/>
      </c>
      <c r="AY180" s="22">
        <f t="shared" si="624"/>
      </c>
      <c r="AZ180" s="22">
        <f t="shared" si="624"/>
      </c>
      <c r="BA180" s="22">
        <f t="shared" si="624"/>
      </c>
      <c r="BB180" s="22">
        <f t="shared" si="624"/>
      </c>
      <c r="BC180" s="22">
        <f t="shared" si="624"/>
      </c>
      <c r="BD180" s="22">
        <f t="shared" si="624"/>
      </c>
      <c r="BE180" s="22">
        <f t="shared" si="624"/>
      </c>
      <c r="BF180" s="22">
        <f t="shared" si="624"/>
      </c>
      <c r="BG180" s="22">
        <f t="shared" si="624"/>
      </c>
      <c r="BH180" s="22">
        <f t="shared" si="624"/>
      </c>
      <c r="BI180" s="22">
        <f t="shared" si="624"/>
      </c>
      <c r="BJ180" s="22">
        <f t="shared" si="624"/>
      </c>
      <c r="BK180" s="22">
        <f t="shared" si="624"/>
      </c>
      <c r="BL180" s="22">
        <f t="shared" si="624"/>
      </c>
      <c r="BM180" s="22">
        <f t="shared" si="624"/>
      </c>
      <c r="BN180" s="22">
        <f t="shared" si="624"/>
      </c>
      <c r="BO180" s="22">
        <f t="shared" si="624"/>
      </c>
      <c r="BP180" s="22">
        <f t="shared" si="624"/>
      </c>
      <c r="BQ180" s="22">
        <f t="shared" si="624"/>
      </c>
      <c r="BR180" s="22">
        <f t="shared" si="624"/>
      </c>
      <c r="BS180" s="22">
        <f t="shared" si="624"/>
      </c>
      <c r="BT180" s="22">
        <f t="shared" si="624"/>
      </c>
      <c r="BU180" s="537">
        <f t="shared" si="624"/>
      </c>
      <c r="BV180" s="22">
        <f>+BV37/(BV52-BV44)</f>
      </c>
      <c r="BW180" s="22">
        <f>+BW37/(BW52-BW44)</f>
      </c>
      <c r="BX180" s="22">
        <f t="shared" si="624"/>
      </c>
      <c r="BY180" s="22">
        <f t="shared" si="624"/>
      </c>
      <c r="BZ180" s="537">
        <f t="shared" si="624"/>
      </c>
      <c r="CA180" s="22">
        <f t="shared" ref="CA180:CP180" si="625">+CA37/(CA52-CA44)</f>
      </c>
      <c r="CB180" s="22">
        <f t="shared" si="625"/>
      </c>
      <c r="CC180" s="22">
        <f t="shared" si="625"/>
      </c>
      <c r="CD180" s="22">
        <f t="shared" si="625"/>
      </c>
      <c r="CE180" s="537">
        <f t="shared" si="625"/>
      </c>
      <c r="CF180" s="22">
        <f t="shared" si="625"/>
      </c>
      <c r="CG180" s="22">
        <f t="shared" si="625"/>
      </c>
      <c r="CH180" s="22">
        <f t="shared" si="625"/>
      </c>
      <c r="CI180" s="22">
        <f t="shared" si="625"/>
      </c>
      <c r="CJ180" s="537">
        <f t="shared" si="625"/>
      </c>
      <c r="CK180" s="22">
        <f t="shared" si="625"/>
      </c>
      <c r="CL180" s="22">
        <f t="shared" si="625"/>
      </c>
      <c r="CM180" s="22">
        <f t="shared" si="625"/>
      </c>
      <c r="CN180" s="22">
        <f t="shared" si="625"/>
      </c>
      <c r="CO180" s="537">
        <f t="shared" si="625"/>
      </c>
      <c r="CP180" s="22">
        <f t="shared" si="625"/>
      </c>
      <c r="CQ180" s="22">
        <f t="shared" ref="CQ180:CW180" si="626">+CQ37/(CQ52-CQ44)</f>
      </c>
      <c r="CR180" s="22">
        <f t="shared" si="626"/>
      </c>
      <c r="CS180" s="22">
        <f t="shared" si="626"/>
      </c>
      <c r="CT180" s="537">
        <f t="shared" si="626"/>
      </c>
      <c r="CU180" s="22">
        <f t="shared" si="626"/>
      </c>
      <c r="CV180" s="22">
        <f t="shared" si="626"/>
      </c>
      <c r="CW180" s="22">
        <f t="shared" si="626"/>
      </c>
      <c r="CX180" s="22">
        <f t="shared" ref="CX180:DP180" si="627">+CX37/(CX52-CX44)</f>
      </c>
      <c r="CY180" s="537">
        <f t="shared" si="627"/>
      </c>
      <c r="CZ180" s="22">
        <f t="shared" si="627"/>
      </c>
      <c r="DA180" s="22">
        <f t="shared" si="627"/>
      </c>
      <c r="DB180" s="22">
        <f t="shared" si="627"/>
      </c>
      <c r="DC180" s="22">
        <f t="shared" si="627"/>
      </c>
      <c r="DD180" s="537">
        <f t="shared" si="627"/>
      </c>
      <c r="DE180" s="22">
        <f t="shared" si="627"/>
      </c>
      <c r="DF180" s="22">
        <f t="shared" si="627"/>
      </c>
      <c r="DG180" s="22">
        <f t="shared" si="627"/>
      </c>
      <c r="DH180" s="943">
        <f t="shared" si="627"/>
      </c>
      <c r="DI180" s="537">
        <f t="shared" si="627"/>
      </c>
      <c r="DJ180" s="22">
        <f t="shared" si="627"/>
      </c>
      <c r="DK180" s="22">
        <f t="shared" si="627"/>
      </c>
      <c r="DL180" s="943">
        <f t="shared" si="627"/>
      </c>
      <c r="DM180" s="943">
        <f t="shared" si="627"/>
      </c>
      <c r="DN180" s="537">
        <f t="shared" si="627"/>
      </c>
      <c r="DO180" s="943">
        <f t="shared" si="627"/>
      </c>
      <c r="DP180" s="943">
        <f t="shared" si="627"/>
      </c>
      <c r="DQ180" s="943">
        <f t="shared" ref="DQ180:DW180" si="628">+DQ37/(DQ52-DQ44)</f>
      </c>
      <c r="DR180" s="943">
        <f t="shared" si="628"/>
      </c>
      <c r="DS180" s="537">
        <f t="shared" si="628"/>
      </c>
      <c r="DT180" s="943">
        <f t="shared" si="628"/>
      </c>
      <c r="DU180" s="943">
        <f t="shared" si="628"/>
      </c>
      <c r="DV180" s="943">
        <f t="shared" si="628"/>
      </c>
      <c r="DW180" s="1248">
        <f t="shared" si="628"/>
      </c>
      <c r="DX180" s="1120">
        <f>+DX37/(DX52-DX44)</f>
      </c>
      <c r="DY180" s="943">
        <f>+DY37/(DY52-DY44)</f>
      </c>
      <c r="DZ180" s="943">
        <f>+DZ37/(DZ52-DZ44)</f>
      </c>
      <c r="EA180" s="943">
        <f>+EA37/(EA52-EA44)</f>
      </c>
      <c r="EB180" s="943">
        <f>+EB37/(EB52-EB44)</f>
      </c>
      <c r="EC180" s="1067">
        <f t="shared" ref="EC180:EH180" si="629">+EC37/(EC52-EC44)</f>
      </c>
      <c r="ED180" s="943">
        <f t="shared" si="629"/>
      </c>
      <c r="EE180" s="943">
        <f t="shared" si="629"/>
      </c>
      <c r="EF180" s="943">
        <f t="shared" si="629"/>
      </c>
      <c r="EG180" s="943">
        <f t="shared" si="629"/>
      </c>
      <c r="EH180" s="1067">
        <f t="shared" si="629"/>
      </c>
      <c r="EI180" s="943">
        <f t="shared" ref="EI180:FD180" si="630">+EI37/(EI52-EI44)</f>
      </c>
      <c r="EJ180" s="943">
        <f t="shared" si="630"/>
      </c>
      <c r="EK180" s="943">
        <f t="shared" si="630"/>
      </c>
      <c r="EL180" s="1248">
        <f t="shared" si="630"/>
      </c>
      <c r="EM180" s="2510">
        <f t="shared" si="630"/>
      </c>
      <c r="EN180" s="2524">
        <f t="shared" si="630"/>
      </c>
      <c r="EO180" s="943">
        <f t="shared" si="630"/>
      </c>
      <c r="EP180" s="943">
        <f>+EP37/(EP52-EP44)</f>
      </c>
      <c r="EQ180" s="1248">
        <f t="shared" si="630"/>
      </c>
      <c r="ER180" s="1306">
        <f t="shared" si="630"/>
      </c>
      <c r="ES180" s="2524">
        <f t="shared" ref="ES180:ET180" si="631">+ES37/(ES52-ES44)</f>
      </c>
      <c r="ET180" s="943">
        <f t="shared" si="631"/>
      </c>
      <c r="EU180" s="943">
        <f>+EU37/(EU52-EU44)</f>
      </c>
      <c r="EV180" s="1248">
        <f t="shared" ref="EV180:EY180" si="632">+EV37/(EV52-EV44)</f>
      </c>
      <c r="EW180" s="1306">
        <f t="shared" si="632"/>
      </c>
      <c r="EX180" s="2524">
        <f t="shared" si="632"/>
      </c>
      <c r="EY180" s="943">
        <f t="shared" si="632"/>
      </c>
      <c r="EZ180" s="943">
        <f t="shared" ref="EZ180:FA180" si="633">+EZ37/(EZ52-EZ44)</f>
      </c>
      <c r="FA180" s="1248">
        <f t="shared" si="633"/>
      </c>
      <c r="FB180" s="1306">
        <f t="shared" si="630"/>
      </c>
      <c r="FC180" s="1306">
        <f t="shared" ca="1" si="630"/>
      </c>
      <c r="FD180" s="1306">
        <f t="shared" ca="1" si="630"/>
      </c>
      <c r="FE180" s="1306">
        <f ca="1">+FE37/(FE52-FE44)</f>
      </c>
      <c r="FF180" s="1306">
        <f ca="1">+FF37/(FF52-FF44)</f>
      </c>
      <c r="FG180" s="1306">
        <f ca="1">+FG37/(FG52-FG44)</f>
      </c>
    </row>
    <row r="181" spans="1:163" outlineLevel="1">
      <c r="A181" s="1"/>
      <c r="B181" s="147" t="s">
        <v>66</v>
      </c>
      <c r="C181" s="120"/>
      <c r="D181" s="120"/>
      <c r="E181" s="120"/>
      <c r="F181" s="120"/>
      <c r="G181" s="120"/>
      <c r="H181" s="120"/>
      <c r="I181" s="120"/>
      <c r="J181" s="120"/>
      <c r="K181" s="120"/>
      <c r="L181" s="120"/>
      <c r="M181" s="120"/>
      <c r="N181" s="76">
        <f>+(N37+N31)/(N54-N44)</f>
      </c>
      <c r="O181" s="76">
        <f t="shared" ref="O181:BZ181" si="634">+(O37+O31)/(O54-O44)</f>
      </c>
      <c r="P181" s="76">
        <f t="shared" si="634"/>
      </c>
      <c r="Q181" s="76">
        <f t="shared" si="634"/>
      </c>
      <c r="R181" s="76">
        <f t="shared" si="634"/>
      </c>
      <c r="S181" s="76">
        <f t="shared" si="634"/>
      </c>
      <c r="T181" s="76">
        <f t="shared" si="634"/>
      </c>
      <c r="U181" s="76">
        <f t="shared" si="634"/>
      </c>
      <c r="V181" s="76">
        <f t="shared" si="634"/>
      </c>
      <c r="W181" s="76">
        <f t="shared" si="634"/>
      </c>
      <c r="X181" s="76">
        <f t="shared" si="634"/>
      </c>
      <c r="Y181" s="76">
        <f t="shared" si="634"/>
      </c>
      <c r="Z181" s="76">
        <f t="shared" si="634"/>
      </c>
      <c r="AA181" s="76">
        <f t="shared" si="634"/>
      </c>
      <c r="AB181" s="76">
        <f t="shared" si="634"/>
      </c>
      <c r="AC181" s="76">
        <f t="shared" si="634"/>
      </c>
      <c r="AD181" s="76">
        <f t="shared" si="634"/>
      </c>
      <c r="AE181" s="76">
        <f t="shared" si="634"/>
      </c>
      <c r="AF181" s="76">
        <f t="shared" si="634"/>
      </c>
      <c r="AG181" s="76">
        <f t="shared" si="634"/>
      </c>
      <c r="AH181" s="76">
        <f t="shared" si="634"/>
      </c>
      <c r="AI181" s="76">
        <f t="shared" si="634"/>
      </c>
      <c r="AJ181" s="76">
        <f t="shared" si="634"/>
      </c>
      <c r="AK181" s="76">
        <f t="shared" si="634"/>
      </c>
      <c r="AL181" s="76">
        <f t="shared" si="634"/>
      </c>
      <c r="AM181" s="76">
        <f t="shared" si="634"/>
      </c>
      <c r="AN181" s="76">
        <f t="shared" si="634"/>
      </c>
      <c r="AO181" s="76">
        <f t="shared" si="634"/>
      </c>
      <c r="AP181" s="76">
        <f t="shared" si="634"/>
      </c>
      <c r="AQ181" s="76">
        <f t="shared" si="634"/>
      </c>
      <c r="AR181" s="76">
        <f t="shared" si="634"/>
      </c>
      <c r="AS181" s="76">
        <f t="shared" si="634"/>
      </c>
      <c r="AT181" s="76">
        <f t="shared" si="634"/>
      </c>
      <c r="AU181" s="76">
        <f t="shared" si="634"/>
      </c>
      <c r="AV181" s="76">
        <f t="shared" si="634"/>
      </c>
      <c r="AW181" s="76">
        <f t="shared" si="634"/>
      </c>
      <c r="AX181" s="76">
        <f t="shared" si="634"/>
      </c>
      <c r="AY181" s="76">
        <f t="shared" si="634"/>
      </c>
      <c r="AZ181" s="76">
        <f t="shared" si="634"/>
      </c>
      <c r="BA181" s="76">
        <f t="shared" si="634"/>
      </c>
      <c r="BB181" s="76">
        <f t="shared" si="634"/>
      </c>
      <c r="BC181" s="76">
        <f t="shared" si="634"/>
      </c>
      <c r="BD181" s="76">
        <f t="shared" si="634"/>
      </c>
      <c r="BE181" s="76">
        <f t="shared" si="634"/>
      </c>
      <c r="BF181" s="76">
        <f t="shared" si="634"/>
      </c>
      <c r="BG181" s="76">
        <f t="shared" si="634"/>
      </c>
      <c r="BH181" s="76">
        <f t="shared" si="634"/>
      </c>
      <c r="BI181" s="76">
        <f t="shared" si="634"/>
      </c>
      <c r="BJ181" s="76">
        <f t="shared" si="634"/>
      </c>
      <c r="BK181" s="76">
        <f t="shared" si="634"/>
      </c>
      <c r="BL181" s="76">
        <f t="shared" si="634"/>
      </c>
      <c r="BM181" s="76">
        <f t="shared" si="634"/>
      </c>
      <c r="BN181" s="76">
        <f t="shared" si="634"/>
      </c>
      <c r="BO181" s="76">
        <f t="shared" si="634"/>
      </c>
      <c r="BP181" s="76">
        <f t="shared" si="634"/>
      </c>
      <c r="BQ181" s="76">
        <f t="shared" si="634"/>
      </c>
      <c r="BR181" s="76">
        <f t="shared" si="634"/>
      </c>
      <c r="BS181" s="76">
        <f t="shared" si="634"/>
      </c>
      <c r="BT181" s="76">
        <f t="shared" si="634"/>
      </c>
      <c r="BU181" s="538">
        <f t="shared" si="634"/>
      </c>
      <c r="BV181" s="76">
        <f>+(BV37+BV31)/(BV54-BV44)</f>
      </c>
      <c r="BW181" s="76">
        <f>+(BW37+BW31)/(BW54-BW44)</f>
      </c>
      <c r="BX181" s="76">
        <f t="shared" si="634"/>
      </c>
      <c r="BY181" s="76">
        <f t="shared" si="634"/>
      </c>
      <c r="BZ181" s="538">
        <f t="shared" si="634"/>
      </c>
      <c r="CA181" s="76">
        <f t="shared" ref="CA181:CP181" si="635">+(CA37+CA31)/(CA54-CA44)</f>
      </c>
      <c r="CB181" s="76">
        <f t="shared" si="635"/>
      </c>
      <c r="CC181" s="76">
        <f t="shared" si="635"/>
      </c>
      <c r="CD181" s="76">
        <f t="shared" si="635"/>
      </c>
      <c r="CE181" s="538">
        <f t="shared" si="635"/>
      </c>
      <c r="CF181" s="76">
        <f t="shared" si="635"/>
      </c>
      <c r="CG181" s="76">
        <f t="shared" si="635"/>
      </c>
      <c r="CH181" s="76">
        <f t="shared" si="635"/>
      </c>
      <c r="CI181" s="76">
        <f t="shared" si="635"/>
      </c>
      <c r="CJ181" s="538">
        <f t="shared" si="635"/>
      </c>
      <c r="CK181" s="76">
        <f t="shared" si="635"/>
      </c>
      <c r="CL181" s="76">
        <f t="shared" si="635"/>
      </c>
      <c r="CM181" s="76">
        <f t="shared" si="635"/>
      </c>
      <c r="CN181" s="76">
        <f t="shared" si="635"/>
      </c>
      <c r="CO181" s="538">
        <f t="shared" si="635"/>
      </c>
      <c r="CP181" s="76">
        <f t="shared" si="635"/>
      </c>
      <c r="CQ181" s="76">
        <f t="shared" ref="CQ181:CW181" si="636">+(CQ37+CQ31)/(CQ54-CQ44)</f>
      </c>
      <c r="CR181" s="76">
        <f t="shared" si="636"/>
      </c>
      <c r="CS181" s="76">
        <f t="shared" si="636"/>
      </c>
      <c r="CT181" s="538">
        <f t="shared" si="636"/>
      </c>
      <c r="CU181" s="76">
        <f t="shared" si="636"/>
      </c>
      <c r="CV181" s="76">
        <f t="shared" si="636"/>
      </c>
      <c r="CW181" s="76">
        <f t="shared" si="636"/>
      </c>
      <c r="CX181" s="76">
        <f t="shared" ref="CX181:DP181" si="637">+(CX37+CX31)/(CX54-CX44)</f>
      </c>
      <c r="CY181" s="538">
        <f t="shared" si="637"/>
      </c>
      <c r="CZ181" s="76">
        <f t="shared" si="637"/>
      </c>
      <c r="DA181" s="76">
        <f t="shared" si="637"/>
      </c>
      <c r="DB181" s="76">
        <f t="shared" si="637"/>
      </c>
      <c r="DC181" s="76">
        <f t="shared" si="637"/>
      </c>
      <c r="DD181" s="538">
        <f t="shared" si="637"/>
      </c>
      <c r="DE181" s="76">
        <f t="shared" si="637"/>
      </c>
      <c r="DF181" s="76">
        <f t="shared" si="637"/>
      </c>
      <c r="DG181" s="76">
        <f t="shared" si="637"/>
      </c>
      <c r="DH181" s="1046">
        <f t="shared" si="637"/>
      </c>
      <c r="DI181" s="538">
        <f t="shared" si="637"/>
      </c>
      <c r="DJ181" s="76">
        <f t="shared" si="637"/>
      </c>
      <c r="DK181" s="76">
        <f t="shared" si="637"/>
      </c>
      <c r="DL181" s="1046">
        <f t="shared" si="637"/>
      </c>
      <c r="DM181" s="1046">
        <f t="shared" si="637"/>
      </c>
      <c r="DN181" s="538">
        <f t="shared" si="637"/>
      </c>
      <c r="DO181" s="1132">
        <f t="shared" si="637"/>
      </c>
      <c r="DP181" s="1132">
        <f t="shared" si="637"/>
      </c>
      <c r="DQ181" s="1132">
        <f t="shared" ref="DQ181:DW181" si="638">+(DQ37+DQ31)/(DQ54-DQ44)</f>
      </c>
      <c r="DR181" s="1046">
        <f t="shared" si="638"/>
      </c>
      <c r="DS181" s="538">
        <f t="shared" si="638"/>
      </c>
      <c r="DT181" s="1132">
        <f t="shared" si="638"/>
      </c>
      <c r="DU181" s="1132">
        <f t="shared" si="638"/>
      </c>
      <c r="DV181" s="1132">
        <f t="shared" si="638"/>
      </c>
      <c r="DW181" s="1249">
        <f t="shared" si="638"/>
      </c>
      <c r="DX181" s="1307">
        <f>+(DX37+DX31)/(DX54-DX44)</f>
      </c>
      <c r="DY181" s="1132">
        <f>+(DY37+DY31)/(DY54-DY44)</f>
      </c>
      <c r="DZ181" s="1132">
        <f>+(DZ37+DZ31)/(DZ54-DZ44)</f>
      </c>
      <c r="EA181" s="1132">
        <f>+(EA37+EA31)/(EA54-EA44)</f>
      </c>
      <c r="EB181" s="2143">
        <f>+(EB37+EB31)/(EB54-EB44)</f>
      </c>
      <c r="EC181" s="2723">
        <f t="shared" ref="EC181:EH181" si="639">+(EC37+EC31)/(EC54-EC44)</f>
      </c>
      <c r="ED181" s="1132">
        <f t="shared" si="639"/>
      </c>
      <c r="EE181" s="1132">
        <f t="shared" si="639"/>
      </c>
      <c r="EF181" s="1132">
        <f t="shared" si="639"/>
      </c>
      <c r="EG181" s="2143">
        <f t="shared" si="639"/>
      </c>
      <c r="EH181" s="2723">
        <f t="shared" si="639"/>
      </c>
      <c r="EI181" s="1132">
        <f t="shared" ref="EI181:FD181" si="640">+(EI37+EI31)/(EI54-EI44)</f>
      </c>
      <c r="EJ181" s="1132">
        <f t="shared" si="640"/>
      </c>
      <c r="EK181" s="1132">
        <f t="shared" si="640"/>
      </c>
      <c r="EL181" s="1249">
        <f t="shared" si="640"/>
      </c>
      <c r="EM181" s="2511">
        <f t="shared" si="640"/>
      </c>
      <c r="EN181" s="2512">
        <f t="shared" si="640"/>
      </c>
      <c r="EO181" s="2143">
        <f t="shared" si="640"/>
      </c>
      <c r="EP181" s="1132">
        <f>+(EP37+EP31)/(EP54-EP44)</f>
      </c>
      <c r="EQ181" s="2148">
        <f t="shared" si="640"/>
      </c>
      <c r="ER181" s="2165">
        <f t="shared" si="640"/>
      </c>
      <c r="ES181" s="2512">
        <f t="shared" ref="ES181:ET181" si="641">+(ES37+ES31)/(ES54-ES44)</f>
      </c>
      <c r="ET181" s="2143">
        <f t="shared" si="641"/>
      </c>
      <c r="EU181" s="1132">
        <f>+(EU37+EU31)/(EU54-EU44)</f>
      </c>
      <c r="EV181" s="2148">
        <f t="shared" ref="EV181:EY181" si="642">+(EV37+EV31)/(EV54-EV44)</f>
      </c>
      <c r="EW181" s="2165">
        <f t="shared" si="642"/>
      </c>
      <c r="EX181" s="2512">
        <f t="shared" si="642"/>
      </c>
      <c r="EY181" s="2143">
        <f t="shared" si="642"/>
      </c>
      <c r="EZ181" s="2143">
        <f t="shared" ref="EZ181:FA181" si="643">+(EZ37+EZ31)/(EZ54-EZ44)</f>
      </c>
      <c r="FA181" s="2148">
        <f t="shared" si="643"/>
      </c>
      <c r="FB181" s="3597">
        <f t="shared" si="640"/>
      </c>
      <c r="FC181" s="1308">
        <f t="shared" ca="1" si="640"/>
      </c>
      <c r="FD181" s="1308">
        <f t="shared" ca="1" si="640"/>
      </c>
      <c r="FE181" s="1308">
        <f ca="1">+(FE37+FE31)/(FE54-FE44)</f>
      </c>
      <c r="FF181" s="1308">
        <f ca="1">+(FF37+FF31)/(FF54-FF44)</f>
      </c>
      <c r="FG181" s="1308">
        <f ca="1">+(FG37+FG31)/(FG54-FG44)</f>
      </c>
    </row>
    <row r="182" spans="1:163" outlineLevel="1">
      <c r="A182" s="1"/>
      <c r="B182" s="72"/>
      <c r="C182" s="72"/>
      <c r="D182" s="72"/>
      <c r="E182" s="72"/>
      <c r="F182" s="72"/>
      <c r="G182" s="72"/>
      <c r="H182" s="72"/>
      <c r="I182" s="72"/>
      <c r="J182" s="72"/>
      <c r="K182" s="72"/>
      <c r="L182" s="72"/>
      <c r="M182" s="72"/>
      <c r="N182" s="68"/>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73"/>
      <c r="CR182" s="73"/>
      <c r="CS182" s="73"/>
      <c r="CT182" s="73"/>
      <c r="CU182" s="1"/>
      <c r="CV182" s="73"/>
      <c r="CW182" s="73"/>
      <c r="CX182" s="73"/>
      <c r="CY182" s="73"/>
      <c r="CZ182" s="73"/>
      <c r="DA182" s="73"/>
      <c r="DB182" s="73"/>
      <c r="DC182" s="73"/>
      <c r="DD182" s="73"/>
      <c r="DE182" s="73"/>
      <c r="DF182" s="73"/>
      <c r="DG182" s="73"/>
      <c r="DH182" s="1045"/>
      <c r="DI182" s="73"/>
      <c r="DJ182" s="73"/>
      <c r="DK182" s="73"/>
      <c r="DL182" s="1045"/>
      <c r="DM182" s="1045"/>
      <c r="DN182" s="73"/>
      <c r="DO182" s="1045"/>
      <c r="DP182" s="1045"/>
      <c r="DQ182" s="1045"/>
      <c r="DR182" s="1045"/>
      <c r="DS182" s="73"/>
      <c r="DT182" s="1045"/>
      <c r="DU182" s="1045"/>
      <c r="DV182" s="1045"/>
      <c r="DW182" s="1045"/>
      <c r="DX182" s="1045"/>
      <c r="DY182" s="1045"/>
      <c r="DZ182" s="1045"/>
      <c r="EA182" s="1045"/>
      <c r="EB182" s="1045"/>
      <c r="EC182" s="1045"/>
      <c r="ED182" s="1045"/>
      <c r="EE182" s="1045"/>
      <c r="EF182" s="1045"/>
      <c r="EG182" s="1045"/>
      <c r="EH182" s="1045"/>
      <c r="EI182" s="1045"/>
      <c r="EJ182" s="1045"/>
      <c r="EK182" s="1045"/>
      <c r="EL182" s="1045"/>
      <c r="EM182" s="1045"/>
      <c r="EN182" s="1045"/>
      <c r="EO182" s="1045"/>
      <c r="EP182" s="1045"/>
      <c r="EQ182" s="1045"/>
      <c r="ER182" s="1045"/>
      <c r="ES182" s="1045"/>
      <c r="ET182" s="1045"/>
      <c r="EU182" s="1045"/>
      <c r="EV182" s="1045"/>
      <c r="EW182" s="1045"/>
      <c r="EX182" s="1045"/>
      <c r="EY182" s="1045"/>
      <c r="EZ182" s="1045"/>
      <c r="FA182" s="1045"/>
      <c r="FB182" s="1045"/>
      <c r="FC182" s="1045"/>
      <c r="FD182" s="1045"/>
      <c r="FE182" s="1045"/>
      <c r="FF182" s="1045"/>
      <c r="FG182" s="1045"/>
    </row>
    <row r="183" spans="1:163" outlineLevel="1">
      <c r="A183" s="1"/>
      <c r="B183" s="750" t="s">
        <v>178</v>
      </c>
      <c r="C183" s="755"/>
      <c r="D183" s="755"/>
      <c r="E183" s="755"/>
      <c r="F183" s="755"/>
      <c r="G183" s="755"/>
      <c r="H183" s="755"/>
      <c r="I183" s="755"/>
      <c r="J183" s="755"/>
      <c r="K183" s="755"/>
      <c r="L183" s="755"/>
      <c r="M183" s="755"/>
      <c r="N183" s="755"/>
      <c r="O183" s="593"/>
      <c r="P183" s="593"/>
      <c r="Q183" s="593"/>
      <c r="R183" s="593"/>
      <c r="S183" s="593"/>
      <c r="T183" s="593"/>
      <c r="U183" s="593"/>
      <c r="V183" s="593"/>
      <c r="W183" s="593"/>
      <c r="X183" s="593"/>
      <c r="Y183" s="593"/>
      <c r="Z183" s="593"/>
      <c r="AA183" s="593"/>
      <c r="AB183" s="593"/>
      <c r="AC183" s="593"/>
      <c r="AD183" s="593"/>
      <c r="AE183" s="593"/>
      <c r="AF183" s="593"/>
      <c r="AG183" s="593"/>
      <c r="AH183" s="593"/>
      <c r="AI183" s="593"/>
      <c r="AJ183" s="593"/>
      <c r="AK183" s="593"/>
      <c r="AL183" s="593"/>
      <c r="AM183" s="593"/>
      <c r="AN183" s="593"/>
      <c r="AO183" s="593"/>
      <c r="AP183" s="593"/>
      <c r="AQ183" s="593"/>
      <c r="AR183" s="593"/>
      <c r="AS183" s="593"/>
      <c r="AT183" s="593"/>
      <c r="AU183" s="593"/>
      <c r="AV183" s="593"/>
      <c r="AW183" s="593"/>
      <c r="AX183" s="593"/>
      <c r="AY183" s="593"/>
      <c r="AZ183" s="593"/>
      <c r="BA183" s="593"/>
      <c r="BB183" s="593"/>
      <c r="BC183" s="593"/>
      <c r="BD183" s="593"/>
      <c r="BE183" s="593"/>
      <c r="BF183" s="593"/>
      <c r="BG183" s="593"/>
      <c r="BH183" s="593"/>
      <c r="BI183" s="593"/>
      <c r="BJ183" s="593"/>
      <c r="BK183" s="593"/>
      <c r="BL183" s="593"/>
      <c r="BM183" s="593"/>
      <c r="BN183" s="593"/>
      <c r="BO183" s="593"/>
      <c r="BP183" s="593"/>
      <c r="BQ183" s="593"/>
      <c r="BR183" s="593"/>
      <c r="BS183" s="593"/>
      <c r="BT183" s="593"/>
      <c r="BU183" s="771"/>
      <c r="BV183" s="593"/>
      <c r="BW183" s="593"/>
      <c r="BX183" s="593"/>
      <c r="BY183" s="593"/>
      <c r="BZ183" s="771"/>
      <c r="CA183" s="593"/>
      <c r="CB183" s="593"/>
      <c r="CC183" s="593"/>
      <c r="CD183" s="593"/>
      <c r="CE183" s="771"/>
      <c r="CF183" s="593"/>
      <c r="CG183" s="593"/>
      <c r="CH183" s="593"/>
      <c r="CI183" s="593"/>
      <c r="CJ183" s="771"/>
      <c r="CK183" s="593"/>
      <c r="CL183" s="593"/>
      <c r="CM183" s="593"/>
      <c r="CN183" s="593"/>
      <c r="CO183" s="771"/>
      <c r="CP183" s="593"/>
      <c r="CQ183" s="593"/>
      <c r="CR183" s="593"/>
      <c r="CS183" s="593"/>
      <c r="CT183" s="771"/>
      <c r="CU183" s="593"/>
      <c r="CV183" s="593"/>
      <c r="CW183" s="593"/>
      <c r="CX183" s="593"/>
      <c r="CY183" s="771"/>
      <c r="CZ183" s="593"/>
      <c r="DA183" s="593"/>
      <c r="DB183" s="593"/>
      <c r="DC183" s="593"/>
      <c r="DD183" s="771"/>
      <c r="DE183" s="593"/>
      <c r="DF183" s="593"/>
      <c r="DG183" s="593"/>
      <c r="DH183" s="1033"/>
      <c r="DI183" s="771"/>
      <c r="DJ183" s="593"/>
      <c r="DK183" s="593"/>
      <c r="DL183" s="1033"/>
      <c r="DM183" s="1033"/>
      <c r="DN183" s="771"/>
      <c r="DO183" s="1124"/>
      <c r="DP183" s="1124"/>
      <c r="DQ183" s="1124"/>
      <c r="DR183" s="1033"/>
      <c r="DS183" s="771"/>
      <c r="DT183" s="1124"/>
      <c r="DU183" s="1124"/>
      <c r="DV183" s="1124"/>
      <c r="DW183" s="1244"/>
      <c r="DX183" s="1113"/>
      <c r="DY183" s="1124"/>
      <c r="DZ183" s="1124"/>
      <c r="EA183" s="1124"/>
      <c r="EB183" s="2692"/>
      <c r="EC183" s="2714"/>
      <c r="ED183" s="1124"/>
      <c r="EE183" s="1124"/>
      <c r="EF183" s="1124"/>
      <c r="EG183" s="2692"/>
      <c r="EH183" s="2714"/>
      <c r="EI183" s="1124"/>
      <c r="EJ183" s="1124"/>
      <c r="EK183" s="1124"/>
      <c r="EL183" s="1244"/>
      <c r="EM183" s="2509"/>
      <c r="EN183" s="2503"/>
      <c r="EO183" s="1499"/>
      <c r="EP183" s="2692"/>
      <c r="EQ183" s="2042"/>
      <c r="ER183" s="2041"/>
      <c r="ES183" s="2503"/>
      <c r="ET183" s="1499"/>
      <c r="EU183" s="2692"/>
      <c r="EV183" s="2042"/>
      <c r="EW183" s="2041"/>
      <c r="EX183" s="2503"/>
      <c r="EY183" s="1499"/>
      <c r="EZ183" s="1499"/>
      <c r="FA183" s="2042"/>
      <c r="FB183" s="2041"/>
      <c r="FC183" s="1287"/>
      <c r="FD183" s="1287"/>
      <c r="FE183" s="1287"/>
      <c r="FF183" s="1287"/>
      <c r="FG183" s="1287"/>
    </row>
    <row r="184" spans="1:163" outlineLevel="1">
      <c r="A184" s="1"/>
      <c r="B184" s="108" t="s">
        <v>67</v>
      </c>
      <c r="C184" s="72"/>
      <c r="D184" s="72"/>
      <c r="E184" s="72"/>
      <c r="F184" s="72"/>
      <c r="G184" s="72"/>
      <c r="H184" s="72"/>
      <c r="I184" s="72"/>
      <c r="J184" s="72"/>
      <c r="K184" s="72"/>
      <c r="L184" s="72"/>
      <c r="M184" s="72"/>
      <c r="N184" s="68"/>
      <c r="O184" s="1"/>
      <c r="P184" s="1"/>
      <c r="Q184" s="1"/>
      <c r="R184" s="1"/>
      <c r="S184" s="1"/>
      <c r="T184" s="1"/>
      <c r="U184" s="1"/>
      <c r="V184" s="12">
        <f>+U52</f>
      </c>
      <c r="W184" s="12">
        <f>+R52</f>
      </c>
      <c r="X184" s="12">
        <f>+W52</f>
      </c>
      <c r="Y184" s="12">
        <f>+X52</f>
      </c>
      <c r="Z184" s="12">
        <f>+Y52</f>
      </c>
      <c r="AA184" s="12">
        <f>+Z52</f>
      </c>
      <c r="AB184" s="12">
        <f>+W52</f>
      </c>
      <c r="AC184" s="12">
        <f>+AB52</f>
      </c>
      <c r="AD184" s="12">
        <f>+AC52</f>
      </c>
      <c r="AE184" s="12">
        <f>+AD52</f>
      </c>
      <c r="AF184" s="12">
        <f>+AE52</f>
      </c>
      <c r="AG184" s="12">
        <f>+AB52</f>
      </c>
      <c r="AH184" s="12">
        <f>+AG52</f>
      </c>
      <c r="AI184" s="12">
        <f>+AH52</f>
      </c>
      <c r="AJ184" s="12">
        <f>+AI52</f>
      </c>
      <c r="AK184" s="12">
        <f>+AJ52</f>
      </c>
      <c r="AL184" s="12">
        <f>+AG52</f>
      </c>
      <c r="AM184" s="12">
        <f>+AL52</f>
      </c>
      <c r="AN184" s="12">
        <f>+AM52</f>
      </c>
      <c r="AO184" s="12">
        <f>+AN52</f>
      </c>
      <c r="AP184" s="12">
        <f>+AO52</f>
      </c>
      <c r="AQ184" s="12">
        <f>+AL52</f>
      </c>
      <c r="AR184" s="12">
        <f>+AQ52</f>
      </c>
      <c r="AS184" s="12">
        <f>+AR52</f>
      </c>
      <c r="AT184" s="12">
        <f>+AS52</f>
      </c>
      <c r="AU184" s="12">
        <f>+AT52</f>
      </c>
      <c r="AV184" s="12">
        <f>+AQ52</f>
      </c>
      <c r="AW184" s="12">
        <f>+AV52</f>
      </c>
      <c r="AX184" s="12">
        <f>+AW52</f>
      </c>
      <c r="AY184" s="12">
        <f>+AX52</f>
      </c>
      <c r="AZ184" s="12">
        <f>+AY52</f>
      </c>
      <c r="BA184" s="12">
        <f>+AV52</f>
      </c>
      <c r="BB184" s="12">
        <f>+BA52</f>
      </c>
      <c r="BC184" s="12">
        <f>+BB52</f>
      </c>
      <c r="BD184" s="12">
        <f>+BC52</f>
      </c>
      <c r="BE184" s="12">
        <f>+BD52</f>
      </c>
      <c r="BF184" s="12">
        <f>+BA52</f>
      </c>
      <c r="BG184" s="12">
        <f>+BF52</f>
      </c>
      <c r="BH184" s="12">
        <f>+BG52</f>
      </c>
      <c r="BI184" s="12">
        <f>+BH52</f>
      </c>
      <c r="BJ184" s="12">
        <f>+BI52</f>
      </c>
      <c r="BK184" s="12">
        <f>+BF52</f>
      </c>
      <c r="BL184" s="12">
        <f>+BK52</f>
      </c>
      <c r="BM184" s="12">
        <f>+BL52</f>
      </c>
      <c r="BN184" s="12">
        <f>+BM52</f>
      </c>
      <c r="BO184" s="12">
        <f>+BN52</f>
      </c>
      <c r="BP184" s="12">
        <f>+BK52</f>
      </c>
      <c r="BQ184" s="12">
        <f>+BP52</f>
      </c>
      <c r="BR184" s="12">
        <f>+BQ52</f>
      </c>
      <c r="BS184" s="12">
        <f>+BR52</f>
      </c>
      <c r="BT184" s="12">
        <f>+BS52</f>
      </c>
      <c r="BU184" s="558">
        <f>+BP52</f>
      </c>
      <c r="BV184" s="12">
        <f>+BU52</f>
      </c>
      <c r="BW184" s="12">
        <f>+BV52</f>
      </c>
      <c r="BX184" s="12">
        <f>+BW52</f>
      </c>
      <c r="BY184" s="12">
        <f>+BX52</f>
      </c>
      <c r="BZ184" s="558">
        <f>+BU52</f>
      </c>
      <c r="CA184" s="12">
        <f>+BZ52</f>
      </c>
      <c r="CB184" s="12">
        <f>+CA52</f>
      </c>
      <c r="CC184" s="12">
        <f>+CB52</f>
      </c>
      <c r="CD184" s="12">
        <f>+CC52</f>
      </c>
      <c r="CE184" s="558">
        <f>+BZ52</f>
      </c>
      <c r="CF184" s="12">
        <f>+CE52</f>
      </c>
      <c r="CG184" s="12">
        <f>+CF52</f>
      </c>
      <c r="CH184" s="12">
        <f>+CG52</f>
      </c>
      <c r="CI184" s="12">
        <f>+CH52</f>
      </c>
      <c r="CJ184" s="558">
        <f>+CE52</f>
      </c>
      <c r="CK184" s="12">
        <f>+CJ52</f>
      </c>
      <c r="CL184" s="12">
        <f>+CK52</f>
      </c>
      <c r="CM184" s="12">
        <f>+CL52</f>
      </c>
      <c r="CN184" s="12">
        <f>+CM52</f>
      </c>
      <c r="CO184" s="558">
        <f>+CJ52</f>
      </c>
      <c r="CP184" s="12">
        <f>+CO52</f>
      </c>
      <c r="CQ184" s="12">
        <f>+CP52</f>
      </c>
      <c r="CR184" s="12">
        <f>+CQ52</f>
      </c>
      <c r="CS184" s="12">
        <f>+CR52</f>
      </c>
      <c r="CT184" s="558">
        <f>+CO52</f>
      </c>
      <c r="CU184" s="12">
        <f>+CT52</f>
      </c>
      <c r="CV184" s="12">
        <f>+CU52</f>
      </c>
      <c r="CW184" s="12">
        <f>+CV52</f>
      </c>
      <c r="CX184" s="12">
        <f>+CW52</f>
      </c>
      <c r="CY184" s="558">
        <f>+CT52</f>
      </c>
      <c r="CZ184" s="12">
        <f>+CY52</f>
      </c>
      <c r="DA184" s="12">
        <f>+CZ52</f>
      </c>
      <c r="DB184" s="12">
        <f>+DA52</f>
      </c>
      <c r="DC184" s="12">
        <f>+DB52</f>
      </c>
      <c r="DD184" s="558">
        <f>+CY52</f>
      </c>
      <c r="DE184" s="12">
        <f>+DD52</f>
      </c>
      <c r="DF184" s="12">
        <f>+DE52</f>
      </c>
      <c r="DG184" s="12">
        <f>+DF52</f>
      </c>
      <c r="DH184" s="1058">
        <f>+DG52</f>
      </c>
      <c r="DI184" s="558">
        <f>+DD52</f>
      </c>
      <c r="DJ184" s="12">
        <f>+DI52</f>
      </c>
      <c r="DK184" s="12">
        <f>+DJ52</f>
      </c>
      <c r="DL184" s="1058">
        <f>+DK52</f>
      </c>
      <c r="DM184" s="1058">
        <f>+DL52</f>
      </c>
      <c r="DN184" s="558">
        <f>+DI52</f>
      </c>
      <c r="DO184" s="1058">
        <f>+DN52</f>
      </c>
      <c r="DP184" s="1058">
        <f>+DO52</f>
      </c>
      <c r="DQ184" s="1058">
        <f>+DP52</f>
      </c>
      <c r="DR184" s="1058">
        <f>+DQ52</f>
      </c>
      <c r="DS184" s="558">
        <f>+DN52</f>
      </c>
      <c r="DT184" s="1058">
        <f>+DS52</f>
      </c>
      <c r="DU184" s="1058">
        <f>+DT52</f>
      </c>
      <c r="DV184" s="1058">
        <f>+DU52</f>
      </c>
      <c r="DW184" s="1250">
        <f>+DV52</f>
      </c>
      <c r="DX184" s="1309">
        <f>+DS52</f>
      </c>
      <c r="DY184" s="1058">
        <f>+DX52</f>
      </c>
      <c r="DZ184" s="1058">
        <f>+DY52</f>
      </c>
      <c r="EA184" s="1058">
        <f>+DZ52</f>
      </c>
      <c r="EB184" s="1058">
        <f>+EA52</f>
      </c>
      <c r="EC184" s="2759">
        <f>+DX52</f>
      </c>
      <c r="ED184" s="1058">
        <f>+EC52</f>
      </c>
      <c r="EE184" s="1058">
        <f>+ED52</f>
      </c>
      <c r="EF184" s="1058">
        <f>+EE52</f>
      </c>
      <c r="EG184" s="1058">
        <f>+EF52</f>
      </c>
      <c r="EH184" s="2759">
        <f>+EC52</f>
      </c>
      <c r="EI184" s="1058">
        <f>+EH52</f>
      </c>
      <c r="EJ184" s="1058">
        <f>+EI52</f>
      </c>
      <c r="EK184" s="1058">
        <f>+EJ52</f>
      </c>
      <c r="EL184" s="1250">
        <f>+EK52</f>
      </c>
      <c r="EM184" s="2567">
        <f>+EH52</f>
      </c>
      <c r="EN184" s="2568">
        <f>+EM52</f>
      </c>
      <c r="EO184" s="1058">
        <f>+EN52</f>
      </c>
      <c r="EP184" s="1058">
        <f>+EO52</f>
      </c>
      <c r="EQ184" s="1250">
        <f>+EP52</f>
      </c>
      <c r="ER184" s="1310">
        <f>+EM52</f>
      </c>
      <c r="ES184" s="2568">
        <f>+ER52</f>
      </c>
      <c r="ET184" s="1058">
        <f>+ES52</f>
      </c>
      <c r="EU184" s="1058">
        <f>+ET52</f>
      </c>
      <c r="EV184" s="1250">
        <f>+EU52</f>
      </c>
      <c r="EW184" s="1310">
        <f>+ER52</f>
      </c>
      <c r="EX184" s="2568">
        <f>+EW52</f>
      </c>
      <c r="EY184" s="1058">
        <f>+EX52</f>
      </c>
      <c r="EZ184" s="1058">
        <f>+EY52</f>
      </c>
      <c r="FA184" s="1250">
        <f>+EZ52</f>
      </c>
      <c r="FB184" s="1310">
        <f>+EW52</f>
      </c>
      <c r="FC184" s="1310">
        <f t="shared" ref="FC184:FG184" si="644">+FB52</f>
      </c>
      <c r="FD184" s="1310">
        <f t="shared" ca="1" si="644"/>
      </c>
      <c r="FE184" s="1310">
        <f t="shared" ca="1" si="644"/>
      </c>
      <c r="FF184" s="1310">
        <f t="shared" ca="1" si="644"/>
      </c>
      <c r="FG184" s="1310">
        <f t="shared" ca="1" si="644"/>
      </c>
    </row>
    <row r="185" spans="1:163" outlineLevel="1">
      <c r="A185" s="1"/>
      <c r="B185" s="149" t="s">
        <v>68</v>
      </c>
      <c r="C185" s="124"/>
      <c r="D185" s="124"/>
      <c r="E185" s="124"/>
      <c r="F185" s="124"/>
      <c r="G185" s="124"/>
      <c r="H185" s="124"/>
      <c r="I185" s="124"/>
      <c r="J185" s="124"/>
      <c r="K185" s="124"/>
      <c r="L185" s="124"/>
      <c r="M185" s="124"/>
      <c r="N185" s="73"/>
      <c r="O185" s="107"/>
      <c r="P185" s="107"/>
      <c r="Q185" s="107"/>
      <c r="R185" s="107"/>
      <c r="S185" s="107"/>
      <c r="T185" s="107"/>
      <c r="U185" s="107"/>
      <c r="V185" s="107">
        <f>+'Income Statement'!AU45</f>
      </c>
      <c r="W185" s="107">
        <f>+'Income Statement'!AV45</f>
      </c>
      <c r="X185" s="107">
        <f>+'Income Statement'!AW45</f>
      </c>
      <c r="Y185" s="107">
        <f>+'Income Statement'!AX45</f>
      </c>
      <c r="Z185" s="107">
        <f>+'Income Statement'!AY45</f>
      </c>
      <c r="AA185" s="107">
        <f>+'Income Statement'!AZ45</f>
      </c>
      <c r="AB185" s="107">
        <f>+'Income Statement'!BA45</f>
      </c>
      <c r="AC185" s="107">
        <f>+'Income Statement'!BB45</f>
      </c>
      <c r="AD185" s="107">
        <f>+'Income Statement'!BC45</f>
      </c>
      <c r="AE185" s="107">
        <f>+'Income Statement'!BD45</f>
      </c>
      <c r="AF185" s="107">
        <f>+'Income Statement'!BE45</f>
      </c>
      <c r="AG185" s="107">
        <f>+'Income Statement'!BF45</f>
      </c>
      <c r="AH185" s="107">
        <f>+'Income Statement'!BG45</f>
      </c>
      <c r="AI185" s="107">
        <f>+'Income Statement'!BH45</f>
      </c>
      <c r="AJ185" s="107">
        <f>+'Income Statement'!BI45</f>
      </c>
      <c r="AK185" s="107">
        <f>+'Income Statement'!BJ45</f>
      </c>
      <c r="AL185" s="107">
        <f>+'Income Statement'!BK45</f>
      </c>
      <c r="AM185" s="107">
        <f>+'Income Statement'!BL45</f>
      </c>
      <c r="AN185" s="107">
        <f>+'Income Statement'!BM45</f>
      </c>
      <c r="AO185" s="107">
        <f>+'Income Statement'!BN45</f>
      </c>
      <c r="AP185" s="107">
        <f>+'Income Statement'!BO45</f>
      </c>
      <c r="AQ185" s="107">
        <f>+'Income Statement'!BP45</f>
      </c>
      <c r="AR185" s="107">
        <f>+'Income Statement'!BQ45</f>
      </c>
      <c r="AS185" s="107">
        <f>+'Income Statement'!BR45</f>
      </c>
      <c r="AT185" s="107">
        <f>+'Income Statement'!BS45</f>
      </c>
      <c r="AU185" s="107">
        <f>+'Income Statement'!BT45</f>
      </c>
      <c r="AV185" s="107">
        <f>+'Income Statement'!BU45</f>
      </c>
      <c r="AW185" s="107">
        <f>+'Income Statement'!BV45</f>
      </c>
      <c r="AX185" s="107">
        <f>+'Income Statement'!BW45</f>
      </c>
      <c r="AY185" s="107">
        <f>+'Income Statement'!BX45</f>
      </c>
      <c r="AZ185" s="107">
        <f>+'Income Statement'!BY45</f>
      </c>
      <c r="BA185" s="107">
        <f>+'Income Statement'!BZ45</f>
      </c>
      <c r="BB185" s="107">
        <f>+'Income Statement'!CA45</f>
      </c>
      <c r="BC185" s="107">
        <f>+'Income Statement'!CB45</f>
      </c>
      <c r="BD185" s="107">
        <f>+'Income Statement'!CC45</f>
      </c>
      <c r="BE185" s="107">
        <f>+'Income Statement'!CD45</f>
      </c>
      <c r="BF185" s="107">
        <f>+'Income Statement'!CE45</f>
      </c>
      <c r="BG185" s="107">
        <f>+'Income Statement'!CF45</f>
      </c>
      <c r="BH185" s="107">
        <f>+'Income Statement'!CG45</f>
      </c>
      <c r="BI185" s="107">
        <f>+'Income Statement'!CH45</f>
      </c>
      <c r="BJ185" s="107">
        <f>+'Income Statement'!CI45</f>
      </c>
      <c r="BK185" s="107">
        <f>+'Income Statement'!CJ45</f>
      </c>
      <c r="BL185" s="107">
        <f>+'Income Statement'!CK45</f>
      </c>
      <c r="BM185" s="107">
        <f>+'Income Statement'!CL45</f>
      </c>
      <c r="BN185" s="107">
        <f>+'Income Statement'!CM45</f>
      </c>
      <c r="BO185" s="107">
        <f>+'Income Statement'!CN45</f>
      </c>
      <c r="BP185" s="107">
        <f>+'Income Statement'!CO45</f>
      </c>
      <c r="BQ185" s="107">
        <f>+'Income Statement'!CP45</f>
      </c>
      <c r="BR185" s="107">
        <f>+'Income Statement'!CQ45</f>
      </c>
      <c r="BS185" s="107">
        <f>+'Income Statement'!CR45</f>
      </c>
      <c r="BT185" s="107">
        <f>+'Income Statement'!CS45</f>
      </c>
      <c r="BU185" s="131">
        <f>+'Income Statement'!CT45</f>
      </c>
      <c r="BV185" s="107">
        <f>+'Income Statement'!CU45</f>
      </c>
      <c r="BW185" s="107">
        <f>+'Income Statement'!CV45</f>
      </c>
      <c r="BX185" s="107">
        <f>+'Income Statement'!CW45</f>
      </c>
      <c r="BY185" s="107">
        <f>+'Income Statement'!CX45</f>
      </c>
      <c r="BZ185" s="131">
        <f>+'Income Statement'!CY45</f>
      </c>
      <c r="CA185" s="107">
        <f>+'Income Statement'!CZ45</f>
      </c>
      <c r="CB185" s="107">
        <f>+'Income Statement'!DA45</f>
      </c>
      <c r="CC185" s="107">
        <f>+'Income Statement'!DB45</f>
      </c>
      <c r="CD185" s="107">
        <f>+'Income Statement'!DC45</f>
      </c>
      <c r="CE185" s="131">
        <f>+'Income Statement'!DD45</f>
      </c>
      <c r="CF185" s="107">
        <f>+'Income Statement'!DE45</f>
      </c>
      <c r="CG185" s="107">
        <f>+'Income Statement'!DF45</f>
      </c>
      <c r="CH185" s="107">
        <f>+'Income Statement'!DG45</f>
      </c>
      <c r="CI185" s="107">
        <f>+'Income Statement'!DH45</f>
      </c>
      <c r="CJ185" s="131">
        <f>+'Income Statement'!DI45</f>
      </c>
      <c r="CK185" s="107">
        <f>+'Income Statement'!DJ45</f>
      </c>
      <c r="CL185" s="107">
        <f>+'Income Statement'!DK45</f>
      </c>
      <c r="CM185" s="107">
        <f>+'Income Statement'!DL45</f>
      </c>
      <c r="CN185" s="107">
        <f>+'Income Statement'!DM45</f>
      </c>
      <c r="CO185" s="131">
        <f>+'Income Statement'!DN45</f>
      </c>
      <c r="CP185" s="107">
        <f>+'Income Statement'!DO45</f>
      </c>
      <c r="CQ185" s="107">
        <f>+'Income Statement'!DP45</f>
      </c>
      <c r="CR185" s="107">
        <f>+'Income Statement'!DQ45</f>
      </c>
      <c r="CS185" s="107">
        <f>+'Income Statement'!DR45</f>
      </c>
      <c r="CT185" s="131">
        <f>+'Income Statement'!DS45</f>
      </c>
      <c r="CU185" s="107">
        <f>+'Income Statement'!DT45</f>
      </c>
      <c r="CV185" s="107">
        <f>+'Income Statement'!DU45</f>
      </c>
      <c r="CW185" s="107">
        <f>+'Income Statement'!DV45</f>
      </c>
      <c r="CX185" s="107">
        <f>+'Income Statement'!DW45</f>
      </c>
      <c r="CY185" s="131">
        <f>+'Income Statement'!DX45</f>
      </c>
      <c r="CZ185" s="107">
        <f>+'Income Statement'!DY45</f>
      </c>
      <c r="DA185" s="107">
        <f>+'Income Statement'!DZ45</f>
      </c>
      <c r="DB185" s="107">
        <f>+'Income Statement'!EA45</f>
      </c>
      <c r="DC185" s="107">
        <f>+'Income Statement'!EB45</f>
      </c>
      <c r="DD185" s="131">
        <f>+'Income Statement'!EC45</f>
      </c>
      <c r="DE185" s="107">
        <f>+'Income Statement'!ED45</f>
      </c>
      <c r="DF185" s="107">
        <f>+'Income Statement'!EE45</f>
      </c>
      <c r="DG185" s="107">
        <f>+'Income Statement'!EF45</f>
      </c>
      <c r="DH185" s="107">
        <f>+'Income Statement'!EG45</f>
      </c>
      <c r="DI185" s="131">
        <f>+'Income Statement'!EH45</f>
      </c>
      <c r="DJ185" s="107">
        <f>+'Income Statement'!EI45</f>
      </c>
      <c r="DK185" s="107">
        <f>+'Income Statement'!EJ45</f>
      </c>
      <c r="DL185" s="107">
        <f>+'Income Statement'!EK45</f>
      </c>
      <c r="DM185" s="107">
        <f>+'Income Statement'!EL45</f>
      </c>
      <c r="DN185" s="131">
        <f>+'Income Statement'!EM45</f>
      </c>
      <c r="DO185" s="1284">
        <f>+'Income Statement'!EN45</f>
      </c>
      <c r="DP185" s="1284">
        <f>+'Income Statement'!EO45</f>
      </c>
      <c r="DQ185" s="1284">
        <f>+'Income Statement'!EP45</f>
      </c>
      <c r="DR185" s="107">
        <f>+'Income Statement'!EQ45</f>
      </c>
      <c r="DS185" s="131">
        <f>+'Income Statement'!ER45</f>
      </c>
      <c r="DT185" s="1284">
        <f>+'Income Statement'!ES45</f>
      </c>
      <c r="DU185" s="1284">
        <f>+'Income Statement'!ET45</f>
      </c>
      <c r="DV185" s="1284">
        <f>+'Income Statement'!EU45</f>
      </c>
      <c r="DW185" s="1311">
        <f>+'Income Statement'!EV45</f>
      </c>
      <c r="DX185" s="1312">
        <f>+'Income Statement'!EW45</f>
      </c>
      <c r="DY185" s="1284">
        <f>+'Income Statement'!EX45</f>
      </c>
      <c r="DZ185" s="1284">
        <f>+'Income Statement'!EY45</f>
      </c>
      <c r="EA185" s="1284">
        <f>+'Income Statement'!EZ45</f>
      </c>
      <c r="EB185" s="1284">
        <f>+'Income Statement'!FA45</f>
      </c>
      <c r="EC185" s="2060">
        <f>+'Income Statement'!FB45</f>
      </c>
      <c r="ED185" s="1284">
        <f>+'Income Statement'!FC45</f>
      </c>
      <c r="EE185" s="1284">
        <f>+'Income Statement'!FD45</f>
      </c>
      <c r="EF185" s="1284">
        <f>+'Income Statement'!FE45</f>
      </c>
      <c r="EG185" s="1284">
        <f>+'Income Statement'!FF45</f>
      </c>
      <c r="EH185" s="2060">
        <v>24227.671954826998</v>
      </c>
      <c r="EI185" s="1284">
        <f>+'Income Statement'!FH45</f>
      </c>
      <c r="EJ185" s="1284">
        <f>+'Income Statement'!FI45</f>
      </c>
      <c r="EK185" s="1284">
        <f>+'Income Statement'!FJ45</f>
      </c>
      <c r="EL185" s="1311">
        <f>+'Income Statement'!FK45</f>
      </c>
      <c r="EM185" s="2528">
        <f>+'Income Statement'!FL45</f>
      </c>
      <c r="EN185" s="2534">
        <f>+'Income Statement'!FM45</f>
      </c>
      <c r="EO185" s="1284">
        <f>+'Income Statement'!FN45</f>
      </c>
      <c r="EP185" s="1284">
        <f>+'Income Statement'!FO45</f>
      </c>
      <c r="EQ185" s="1311">
        <f>+'Income Statement'!FW45</f>
      </c>
      <c r="ER185" s="1313">
        <f>+'Income Statement'!FX45</f>
      </c>
      <c r="ES185" s="2534">
        <f>+'Income Statement'!FR45</f>
      </c>
      <c r="ET185" s="1284">
        <f>+'Income Statement'!FS45</f>
      </c>
      <c r="EU185" s="1284">
        <f>+'Income Statement'!FT45</f>
      </c>
      <c r="EV185" s="1311">
        <f>+'Income Statement'!GB45</f>
      </c>
      <c r="EW185" s="1313">
        <f>+'Income Statement'!GC45</f>
      </c>
      <c r="EX185" s="2534">
        <f>+'Income Statement'!FW45</f>
      </c>
      <c r="EY185" s="1284">
        <f>+'Income Statement'!FX45</f>
      </c>
      <c r="EZ185" s="1284">
        <f>+'Income Statement'!GF45</f>
      </c>
      <c r="FA185" s="1311">
        <f>+'Income Statement'!GG45</f>
      </c>
      <c r="FB185" s="1313">
        <v>20062.909127539511</v>
      </c>
      <c r="FC185" s="1313">
        <f ca="1">+'Income Statement'!GI45</f>
      </c>
      <c r="FD185" s="1313">
        <f ca="1">+'Income Statement'!GJ45</f>
      </c>
      <c r="FE185" s="1313">
        <f ca="1">+'Income Statement'!GK45</f>
      </c>
      <c r="FF185" s="1313">
        <f ca="1">+'Income Statement'!GL45</f>
      </c>
      <c r="FG185" s="1313">
        <f ca="1">+'Income Statement'!GM45</f>
      </c>
    </row>
    <row r="186" spans="1:163" outlineLevel="1">
      <c r="A186" s="1"/>
      <c r="B186" s="149" t="s">
        <v>69</v>
      </c>
      <c r="C186" s="124"/>
      <c r="D186" s="124"/>
      <c r="E186" s="124"/>
      <c r="F186" s="124"/>
      <c r="G186" s="124"/>
      <c r="H186" s="124"/>
      <c r="I186" s="124"/>
      <c r="J186" s="124"/>
      <c r="K186" s="124"/>
      <c r="L186" s="124"/>
      <c r="M186" s="124"/>
      <c r="N186" s="1"/>
      <c r="O186" s="10"/>
      <c r="P186" s="10"/>
      <c r="Q186" s="10"/>
      <c r="R186" s="10"/>
      <c r="S186" s="10"/>
      <c r="T186" s="10"/>
      <c r="U186" s="10"/>
      <c r="V186" s="10">
        <f>+-V104</f>
      </c>
      <c r="W186" s="10">
        <f t="shared" ref="W186:CO186" si="645">+-W104</f>
      </c>
      <c r="X186" s="10">
        <f t="shared" si="645"/>
      </c>
      <c r="Y186" s="10">
        <f t="shared" si="645"/>
      </c>
      <c r="Z186" s="10">
        <f t="shared" si="645"/>
      </c>
      <c r="AA186" s="10">
        <f t="shared" si="645"/>
      </c>
      <c r="AB186" s="10">
        <f>+-AB104</f>
      </c>
      <c r="AC186" s="10">
        <f t="shared" si="645"/>
      </c>
      <c r="AD186" s="10">
        <f t="shared" si="645"/>
      </c>
      <c r="AE186" s="10">
        <f t="shared" si="645"/>
      </c>
      <c r="AF186" s="10">
        <f t="shared" si="645"/>
      </c>
      <c r="AG186" s="10">
        <f>+-AG104</f>
      </c>
      <c r="AH186" s="10">
        <f t="shared" si="645"/>
      </c>
      <c r="AI186" s="10">
        <f t="shared" si="645"/>
      </c>
      <c r="AJ186" s="10">
        <f t="shared" si="645"/>
      </c>
      <c r="AK186" s="10">
        <f t="shared" si="645"/>
      </c>
      <c r="AL186" s="10">
        <f>+-AL104</f>
      </c>
      <c r="AM186" s="10">
        <f t="shared" si="645"/>
      </c>
      <c r="AN186" s="10">
        <f t="shared" si="645"/>
      </c>
      <c r="AO186" s="10">
        <f t="shared" si="645"/>
      </c>
      <c r="AP186" s="10">
        <f t="shared" si="645"/>
      </c>
      <c r="AQ186" s="10">
        <f>+-AQ104</f>
      </c>
      <c r="AR186" s="10">
        <f t="shared" si="645"/>
      </c>
      <c r="AS186" s="10">
        <f t="shared" si="645"/>
      </c>
      <c r="AT186" s="10">
        <f t="shared" si="645"/>
      </c>
      <c r="AU186" s="10">
        <f t="shared" si="645"/>
      </c>
      <c r="AV186" s="10">
        <f>+-AV104</f>
      </c>
      <c r="AW186" s="10">
        <f t="shared" si="645"/>
      </c>
      <c r="AX186" s="10">
        <f t="shared" si="645"/>
      </c>
      <c r="AY186" s="10">
        <f t="shared" si="645"/>
      </c>
      <c r="AZ186" s="10">
        <f t="shared" si="645"/>
      </c>
      <c r="BA186" s="10">
        <f>+-BA104</f>
      </c>
      <c r="BB186" s="10">
        <f t="shared" si="645"/>
      </c>
      <c r="BC186" s="10">
        <f t="shared" si="645"/>
      </c>
      <c r="BD186" s="10">
        <f t="shared" si="645"/>
      </c>
      <c r="BE186" s="10">
        <f t="shared" si="645"/>
      </c>
      <c r="BF186" s="10">
        <f>+-BF104</f>
      </c>
      <c r="BG186" s="10">
        <f t="shared" si="645"/>
      </c>
      <c r="BH186" s="10">
        <f t="shared" si="645"/>
      </c>
      <c r="BI186" s="10">
        <f t="shared" si="645"/>
      </c>
      <c r="BJ186" s="10">
        <f t="shared" si="645"/>
      </c>
      <c r="BK186" s="10">
        <f>+-BK104</f>
      </c>
      <c r="BL186" s="10">
        <f t="shared" si="645"/>
      </c>
      <c r="BM186" s="10">
        <f t="shared" si="645"/>
      </c>
      <c r="BN186" s="10">
        <f t="shared" si="645"/>
      </c>
      <c r="BO186" s="10">
        <f t="shared" si="645"/>
      </c>
      <c r="BP186" s="10">
        <f>+-BP104</f>
      </c>
      <c r="BQ186" s="10">
        <f t="shared" si="645"/>
      </c>
      <c r="BR186" s="10">
        <f t="shared" si="645"/>
      </c>
      <c r="BS186" s="10">
        <f t="shared" si="645"/>
      </c>
      <c r="BT186" s="10">
        <f t="shared" si="645"/>
      </c>
      <c r="BU186" s="67">
        <f>+-BU104</f>
      </c>
      <c r="BV186" s="10">
        <f>+-BV104</f>
      </c>
      <c r="BW186" s="10">
        <f>+-BW104</f>
      </c>
      <c r="BX186" s="10">
        <f t="shared" si="645"/>
      </c>
      <c r="BY186" s="10">
        <f t="shared" si="645"/>
      </c>
      <c r="BZ186" s="67">
        <f>+-BZ104</f>
      </c>
      <c r="CA186" s="10">
        <f>+-CA104</f>
      </c>
      <c r="CB186" s="10">
        <f>+-CB104</f>
      </c>
      <c r="CC186" s="10">
        <f>+-CC104</f>
      </c>
      <c r="CD186" s="10">
        <f>+-CD104</f>
      </c>
      <c r="CE186" s="67">
        <f t="shared" si="645"/>
      </c>
      <c r="CF186" s="10">
        <f>+-CF104</f>
      </c>
      <c r="CG186" s="10">
        <f>+-CG104</f>
      </c>
      <c r="CH186" s="10">
        <f>+-CH104</f>
      </c>
      <c r="CI186" s="10">
        <f>+-CI104</f>
      </c>
      <c r="CJ186" s="67">
        <f t="shared" si="645"/>
      </c>
      <c r="CK186" s="10">
        <f>+-CK104</f>
      </c>
      <c r="CL186" s="10">
        <f>+-CL104</f>
      </c>
      <c r="CM186" s="10">
        <f>+-CM104</f>
      </c>
      <c r="CN186" s="10">
        <f>+-CN104</f>
      </c>
      <c r="CO186" s="67">
        <f t="shared" si="645"/>
      </c>
      <c r="CP186" s="10">
        <f t="shared" ref="CP186:CW186" si="646">+-CP104</f>
      </c>
      <c r="CQ186" s="10">
        <f t="shared" si="646"/>
      </c>
      <c r="CR186" s="10">
        <f t="shared" si="646"/>
      </c>
      <c r="CS186" s="10">
        <f t="shared" si="646"/>
      </c>
      <c r="CT186" s="67">
        <f t="shared" si="646"/>
      </c>
      <c r="CU186" s="10">
        <f t="shared" si="646"/>
      </c>
      <c r="CV186" s="10">
        <f t="shared" si="646"/>
      </c>
      <c r="CW186" s="10">
        <f t="shared" si="646"/>
      </c>
      <c r="CX186" s="10">
        <f>+-CX104</f>
      </c>
      <c r="CY186" s="67">
        <f>+-CY104</f>
      </c>
      <c r="CZ186" s="10">
        <f>+-CZ104</f>
      </c>
      <c r="DA186" s="10">
        <f>+-DA104</f>
      </c>
      <c r="DB186" s="10">
        <f>+-DB104</f>
      </c>
      <c r="DC186" s="10">
        <f t="shared" ref="DC186:DI186" si="647">+-DC104</f>
      </c>
      <c r="DD186" s="67">
        <f t="shared" si="647"/>
      </c>
      <c r="DE186" s="10">
        <f t="shared" si="647"/>
      </c>
      <c r="DF186" s="10">
        <f t="shared" si="647"/>
      </c>
      <c r="DG186" s="10">
        <f t="shared" si="647"/>
      </c>
      <c r="DH186" s="948">
        <f t="shared" si="647"/>
      </c>
      <c r="DI186" s="67">
        <f t="shared" si="647"/>
      </c>
      <c r="DJ186" s="10">
        <f t="shared" ref="DJ186:EB186" si="648">+-DJ104</f>
      </c>
      <c r="DK186" s="10">
        <f t="shared" si="648"/>
      </c>
      <c r="DL186" s="948">
        <f t="shared" si="648"/>
      </c>
      <c r="DM186" s="948">
        <f t="shared" si="648"/>
      </c>
      <c r="DN186" s="67">
        <f t="shared" si="648"/>
      </c>
      <c r="DO186" s="948">
        <f t="shared" si="648"/>
      </c>
      <c r="DP186" s="948">
        <f t="shared" si="648"/>
      </c>
      <c r="DQ186" s="948">
        <f t="shared" si="648"/>
      </c>
      <c r="DR186" s="948">
        <f t="shared" si="648"/>
      </c>
      <c r="DS186" s="67">
        <f t="shared" si="648"/>
      </c>
      <c r="DT186" s="948">
        <f t="shared" si="648"/>
      </c>
      <c r="DU186" s="948">
        <f t="shared" si="648"/>
      </c>
      <c r="DV186" s="948">
        <f t="shared" si="648"/>
      </c>
      <c r="DW186" s="1251">
        <f t="shared" si="648"/>
      </c>
      <c r="DX186" s="1111">
        <f t="shared" si="648"/>
      </c>
      <c r="DY186" s="948">
        <f t="shared" si="648"/>
      </c>
      <c r="DZ186" s="948">
        <f t="shared" si="648"/>
      </c>
      <c r="EA186" s="948">
        <f t="shared" si="648"/>
      </c>
      <c r="EB186" s="948">
        <f t="shared" si="648"/>
      </c>
      <c r="EC186" s="1505">
        <f t="shared" ref="EC186:EH186" si="649">+-EC104</f>
      </c>
      <c r="ED186" s="948">
        <f t="shared" si="649"/>
      </c>
      <c r="EE186" s="948">
        <f t="shared" si="649"/>
      </c>
      <c r="EF186" s="948">
        <f t="shared" si="649"/>
      </c>
      <c r="EG186" s="948">
        <f t="shared" si="649"/>
      </c>
      <c r="EH186" s="1505">
        <f t="shared" si="649"/>
      </c>
      <c r="EI186" s="948">
        <f t="shared" ref="EI186:ER186" si="650">+-EI104</f>
      </c>
      <c r="EJ186" s="948">
        <f t="shared" si="650"/>
      </c>
      <c r="EK186" s="948">
        <f t="shared" si="650"/>
      </c>
      <c r="EL186" s="1251">
        <f t="shared" si="650"/>
      </c>
      <c r="EM186" s="2089">
        <f t="shared" si="650"/>
      </c>
      <c r="EN186" s="2100">
        <f>+-EN104</f>
      </c>
      <c r="EO186" s="948">
        <f t="shared" si="650"/>
      </c>
      <c r="EP186" s="948">
        <f t="shared" si="650"/>
      </c>
      <c r="EQ186" s="1251">
        <f t="shared" si="650"/>
      </c>
      <c r="ER186" s="1291">
        <f t="shared" si="650"/>
      </c>
      <c r="ES186" s="2100">
        <f>+-ES104</f>
      </c>
      <c r="ET186" s="948">
        <f t="shared" ref="ET186:EW186" si="651">+-ET104</f>
      </c>
      <c r="EU186" s="948">
        <f t="shared" si="651"/>
      </c>
      <c r="EV186" s="1251">
        <f t="shared" si="651"/>
      </c>
      <c r="EW186" s="1291">
        <f t="shared" si="651"/>
      </c>
      <c r="EX186" s="2100">
        <f>+-EX104</f>
      </c>
      <c r="EY186" s="948">
        <f t="shared" ref="EY186" si="652">+-EY104</f>
      </c>
      <c r="EZ186" s="948">
        <f t="shared" ref="EZ186:FA186" si="653">+-EZ104</f>
      </c>
      <c r="FA186" s="1251">
        <f t="shared" si="653"/>
      </c>
      <c r="FB186" s="1291">
        <f t="shared" ref="FB186" si="654">+-FB104</f>
      </c>
      <c r="FC186" s="1291">
        <f>+-FC104</f>
      </c>
      <c r="FD186" s="1291">
        <f>+-FD104</f>
      </c>
      <c r="FE186" s="1291">
        <f>+-FE104</f>
      </c>
      <c r="FF186" s="1291">
        <f>+-FF104</f>
      </c>
      <c r="FG186" s="1291">
        <f>+-FG104</f>
      </c>
    </row>
    <row r="187" spans="1:163" outlineLevel="1">
      <c r="A187" s="1"/>
      <c r="B187" s="108" t="s">
        <v>70</v>
      </c>
      <c r="C187" s="72"/>
      <c r="D187" s="72"/>
      <c r="E187" s="72"/>
      <c r="F187" s="72"/>
      <c r="G187" s="72"/>
      <c r="H187" s="72"/>
      <c r="I187" s="72"/>
      <c r="J187" s="72"/>
      <c r="K187" s="72"/>
      <c r="L187" s="72"/>
      <c r="M187" s="72"/>
      <c r="N187" s="1"/>
      <c r="O187" s="10"/>
      <c r="P187" s="10"/>
      <c r="Q187" s="10"/>
      <c r="R187" s="10"/>
      <c r="S187" s="10"/>
      <c r="T187" s="10"/>
      <c r="U187" s="10"/>
      <c r="V187" s="10">
        <f>+V45-U45</f>
      </c>
      <c r="W187" s="10">
        <f>+W45-R45</f>
      </c>
      <c r="X187" s="10">
        <f>+X45-W45</f>
      </c>
      <c r="Y187" s="10">
        <f>+Y45-X45</f>
      </c>
      <c r="Z187" s="10">
        <f>+Z45-Y45</f>
      </c>
      <c r="AA187" s="10">
        <f>+AA45-Z45</f>
      </c>
      <c r="AB187" s="10">
        <f>+AB45-W45</f>
      </c>
      <c r="AC187" s="10">
        <f>+AC45-AB45</f>
      </c>
      <c r="AD187" s="10">
        <f>+AD45-AC45</f>
      </c>
      <c r="AE187" s="10">
        <f>+AE45-AD45</f>
      </c>
      <c r="AF187" s="10">
        <f>+AF45-AE45</f>
      </c>
      <c r="AG187" s="10">
        <f>+AG45-AB45</f>
      </c>
      <c r="AH187" s="10">
        <f>+AH45-AG45</f>
      </c>
      <c r="AI187" s="10">
        <f>+AI45-AH45</f>
      </c>
      <c r="AJ187" s="10">
        <f>+AJ45-AI45</f>
      </c>
      <c r="AK187" s="10">
        <f>+AK45-AJ45</f>
      </c>
      <c r="AL187" s="10">
        <f>+AL45-AG45</f>
      </c>
      <c r="AM187" s="10">
        <f>+AM45-AL45</f>
      </c>
      <c r="AN187" s="10">
        <f>+AN45-AM45</f>
      </c>
      <c r="AO187" s="10">
        <f>+AO45-AN45</f>
      </c>
      <c r="AP187" s="10">
        <f>+AP45-AO45</f>
      </c>
      <c r="AQ187" s="10">
        <f>+AQ45-AL45</f>
      </c>
      <c r="AR187" s="10">
        <f>+AR45-AQ45</f>
      </c>
      <c r="AS187" s="10">
        <f>+AS45-AR45</f>
      </c>
      <c r="AT187" s="10">
        <f>+AT45-AS45</f>
      </c>
      <c r="AU187" s="10">
        <f>+AU45-AT45</f>
      </c>
      <c r="AV187" s="10">
        <f>+AV45-AQ45</f>
      </c>
      <c r="AW187" s="10">
        <f>+AW45-AV45</f>
      </c>
      <c r="AX187" s="10">
        <f>+AX45-AW45</f>
      </c>
      <c r="AY187" s="10">
        <f>+AY45-AX45</f>
      </c>
      <c r="AZ187" s="10">
        <f>+AZ45-AY45</f>
      </c>
      <c r="BA187" s="10">
        <f>+BA45-AV45</f>
      </c>
      <c r="BB187" s="10">
        <f>+BB45-BA45</f>
      </c>
      <c r="BC187" s="10">
        <f>+BC45-BB45</f>
      </c>
      <c r="BD187" s="10">
        <f>+BD45-BC45</f>
      </c>
      <c r="BE187" s="10">
        <f>+BE45-BD45</f>
      </c>
      <c r="BF187" s="10">
        <f>+BF45-BA45</f>
      </c>
      <c r="BG187" s="10">
        <f>+BG45-BF45</f>
      </c>
      <c r="BH187" s="10">
        <f>+BH45-BG45</f>
      </c>
      <c r="BI187" s="10">
        <f>+BI45-BH45</f>
      </c>
      <c r="BJ187" s="10">
        <f>+BJ45-BI45</f>
      </c>
      <c r="BK187" s="10">
        <f>+BK45-BF45</f>
      </c>
      <c r="BL187" s="10">
        <f>+BL45-BK45</f>
      </c>
      <c r="BM187" s="10">
        <f>+BM45-BL45</f>
      </c>
      <c r="BN187" s="10">
        <f>+BN45-BM45</f>
      </c>
      <c r="BO187" s="10">
        <f>+BO45-BN45</f>
      </c>
      <c r="BP187" s="10">
        <f>+BP45-BK45</f>
      </c>
      <c r="BQ187" s="10">
        <f>+BQ45-BP45</f>
      </c>
      <c r="BR187" s="10">
        <f>+BR45-BQ45</f>
      </c>
      <c r="BS187" s="10">
        <f>+BS45-BR45</f>
      </c>
      <c r="BT187" s="10">
        <f>+BT45-BS45</f>
      </c>
      <c r="BU187" s="67">
        <f>+BU45-BP45</f>
      </c>
      <c r="BV187" s="10">
        <f>+BV45-BU45</f>
      </c>
      <c r="BW187" s="10">
        <f>+BW45-BV45</f>
      </c>
      <c r="BX187" s="10">
        <f>+BX45-BW45</f>
      </c>
      <c r="BY187" s="10">
        <f>+BY45-BX45</f>
      </c>
      <c r="BZ187" s="67">
        <f>+BZ45-BU45</f>
      </c>
      <c r="CA187" s="10">
        <f>+CA45-BZ45</f>
      </c>
      <c r="CB187" s="10">
        <f>+CB45-CA45</f>
      </c>
      <c r="CC187" s="10">
        <f>+CC45-CB45</f>
      </c>
      <c r="CD187" s="10">
        <f>+CD45-CC45</f>
      </c>
      <c r="CE187" s="67">
        <f>+CE45-BZ45</f>
      </c>
      <c r="CF187" s="10">
        <f>+CF45-CE45</f>
      </c>
      <c r="CG187" s="10">
        <f>+CG45-CF45</f>
      </c>
      <c r="CH187" s="10">
        <f>+CH45-CG45</f>
      </c>
      <c r="CI187" s="10">
        <f>+CI45-CH45</f>
      </c>
      <c r="CJ187" s="67">
        <f>+CJ45-CE45</f>
      </c>
      <c r="CK187" s="10">
        <f>+CK45-CJ45</f>
      </c>
      <c r="CL187" s="10">
        <f>+CL45-CK45</f>
      </c>
      <c r="CM187" s="10">
        <f>+CM45-CL45</f>
      </c>
      <c r="CN187" s="10">
        <f>+CN45-CM45</f>
      </c>
      <c r="CO187" s="67">
        <f>+CO45-CJ45</f>
      </c>
      <c r="CP187" s="10">
        <f>+CP45-CO45</f>
      </c>
      <c r="CQ187" s="10">
        <f>+CQ45-CP45</f>
      </c>
      <c r="CR187" s="10">
        <f>+CR45-CQ45</f>
      </c>
      <c r="CS187" s="10">
        <f>+CS45-CR45</f>
      </c>
      <c r="CT187" s="67">
        <f>+CT45-CO45</f>
      </c>
      <c r="CU187" s="10">
        <f>+CU45-CT45</f>
      </c>
      <c r="CV187" s="10">
        <f>+CV45-CU45</f>
      </c>
      <c r="CW187" s="10">
        <f>+CW45-CV45</f>
      </c>
      <c r="CX187" s="10">
        <f>+CX45-CW45</f>
      </c>
      <c r="CY187" s="67">
        <f>+CY45-CT45</f>
      </c>
      <c r="CZ187" s="10">
        <f>+CZ45-CY45</f>
      </c>
      <c r="DA187" s="10">
        <f>+DA45-CZ45</f>
      </c>
      <c r="DB187" s="10">
        <f>+DB45-DA45</f>
      </c>
      <c r="DC187" s="10">
        <f>+DC45-DB45</f>
      </c>
      <c r="DD187" s="67">
        <f>+DD45-CY45</f>
      </c>
      <c r="DE187" s="10">
        <f>+DE45-DD45</f>
      </c>
      <c r="DF187" s="10">
        <f>+DF45-DE45</f>
      </c>
      <c r="DG187" s="10">
        <f>+DG45-DF45</f>
      </c>
      <c r="DH187" s="948">
        <f>+DH45-DG45</f>
      </c>
      <c r="DI187" s="67">
        <f>+DI45-DD45</f>
      </c>
      <c r="DJ187" s="10">
        <f>+DJ45-DI45</f>
      </c>
      <c r="DK187" s="10">
        <f>+DK45-DJ45</f>
      </c>
      <c r="DL187" s="948">
        <f>+DL45-DK45</f>
      </c>
      <c r="DM187" s="948">
        <f>+DM45-DL45</f>
      </c>
      <c r="DN187" s="67">
        <f>+DN45-DI45</f>
      </c>
      <c r="DO187" s="948">
        <f>+DO45-DN45</f>
      </c>
      <c r="DP187" s="948">
        <f>+DP45-DO45</f>
      </c>
      <c r="DQ187" s="948">
        <f>+DQ45-DP45</f>
      </c>
      <c r="DR187" s="948">
        <f>+DR45-DQ45</f>
      </c>
      <c r="DS187" s="67">
        <f>+DS45-DN45</f>
      </c>
      <c r="DT187" s="948">
        <f>+DT45-DS45</f>
      </c>
      <c r="DU187" s="948">
        <f>+DU45-DT45</f>
      </c>
      <c r="DV187" s="948">
        <f>+DV45-DU45</f>
      </c>
      <c r="DW187" s="1251">
        <f>+DW45-DV45</f>
      </c>
      <c r="DX187" s="1111">
        <f>+DX45-DS45</f>
      </c>
      <c r="DY187" s="948">
        <f>+DY45-DX45</f>
      </c>
      <c r="DZ187" s="948">
        <f>+DZ45-DY45</f>
      </c>
      <c r="EA187" s="948">
        <f>+EA45-DZ45</f>
      </c>
      <c r="EB187" s="948">
        <f>+EB45-EA45</f>
      </c>
      <c r="EC187" s="1505">
        <f>+EC45-DX45</f>
      </c>
      <c r="ED187" s="948">
        <f>+ED45-EC45</f>
      </c>
      <c r="EE187" s="948">
        <f>+EE45-ED45</f>
      </c>
      <c r="EF187" s="948">
        <f>+EF45-EE45</f>
      </c>
      <c r="EG187" s="948">
        <f>+EG45-EF45</f>
      </c>
      <c r="EH187" s="1505">
        <f>+EH45-EC45</f>
      </c>
      <c r="EI187" s="948">
        <f>+EI45-EH45</f>
      </c>
      <c r="EJ187" s="948">
        <f>+EJ45-EI45</f>
      </c>
      <c r="EK187" s="948">
        <f>+EK45-EJ45</f>
      </c>
      <c r="EL187" s="1251">
        <f>+EL45-EK45</f>
      </c>
      <c r="EM187" s="2089">
        <f>+EM45-EH45</f>
      </c>
      <c r="EN187" s="2100">
        <f>+EN45-EM45</f>
      </c>
      <c r="EO187" s="948">
        <f>+EO45-EN45</f>
      </c>
      <c r="EP187" s="948">
        <f>+EP45-EO45</f>
      </c>
      <c r="EQ187" s="1251">
        <f>+EQ45-EP45</f>
      </c>
      <c r="ER187" s="1291">
        <f>+ER45-EM45</f>
      </c>
      <c r="ES187" s="2100">
        <f>+ES45-ER45</f>
      </c>
      <c r="ET187" s="948">
        <f>+ET45-ES45</f>
      </c>
      <c r="EU187" s="948">
        <f>+EU45-ET45</f>
      </c>
      <c r="EV187" s="1251">
        <f>+EV45-EU45</f>
      </c>
      <c r="EW187" s="1291">
        <f>+EW45-ER45</f>
      </c>
      <c r="EX187" s="2100">
        <f>+EX45-EW45</f>
      </c>
      <c r="EY187" s="948">
        <f>+EY45-EX45</f>
      </c>
      <c r="EZ187" s="948">
        <f>+EZ45-EY45</f>
      </c>
      <c r="FA187" s="1251">
        <f>+FA45-EZ45</f>
      </c>
      <c r="FB187" s="1291">
        <f>+FB45-EW45</f>
      </c>
      <c r="FC187" s="1291">
        <f t="shared" ref="FC187:FG187" si="655">+FC45-FB45</f>
      </c>
      <c r="FD187" s="1291">
        <f t="shared" si="655"/>
      </c>
      <c r="FE187" s="1291">
        <f t="shared" si="655"/>
      </c>
      <c r="FF187" s="1291">
        <f t="shared" si="655"/>
      </c>
      <c r="FG187" s="1291">
        <f t="shared" si="655"/>
      </c>
    </row>
    <row r="188" spans="1:163" outlineLevel="1">
      <c r="A188" s="1"/>
      <c r="B188" s="108" t="s">
        <v>92</v>
      </c>
      <c r="C188" s="72"/>
      <c r="D188" s="72"/>
      <c r="E188" s="72"/>
      <c r="F188" s="72"/>
      <c r="G188" s="72"/>
      <c r="H188" s="72"/>
      <c r="I188" s="72"/>
      <c r="J188" s="72"/>
      <c r="K188" s="72"/>
      <c r="L188" s="72"/>
      <c r="M188" s="72"/>
      <c r="N188" s="1"/>
      <c r="O188" s="14"/>
      <c r="P188" s="14"/>
      <c r="Q188" s="14"/>
      <c r="R188" s="14"/>
      <c r="S188" s="14"/>
      <c r="T188" s="14"/>
      <c r="U188" s="14"/>
      <c r="V188" s="10">
        <f>+V51-U51</f>
      </c>
      <c r="W188" s="10">
        <f>+W51-R51</f>
      </c>
      <c r="X188" s="10">
        <f>+X51-W51</f>
      </c>
      <c r="Y188" s="10">
        <f>+Y51-X51</f>
      </c>
      <c r="Z188" s="10">
        <f>+Z51-Y51</f>
      </c>
      <c r="AA188" s="10">
        <f>+AA51-Z51</f>
      </c>
      <c r="AB188" s="10">
        <f>+AB51-W51</f>
      </c>
      <c r="AC188" s="10">
        <f>+AC51-AB51</f>
      </c>
      <c r="AD188" s="10">
        <f>+AD51-AC51</f>
      </c>
      <c r="AE188" s="10">
        <f>+AE51-AD51</f>
      </c>
      <c r="AF188" s="10">
        <f>+AF51-AE51</f>
      </c>
      <c r="AG188" s="10">
        <f>+AG51-AB51</f>
      </c>
      <c r="AH188" s="10">
        <f>+AH51-AG51</f>
      </c>
      <c r="AI188" s="10">
        <f>+AI51-AH51</f>
      </c>
      <c r="AJ188" s="10">
        <f>+AJ51-AI51</f>
      </c>
      <c r="AK188" s="10">
        <f>+AK51-AJ51</f>
      </c>
      <c r="AL188" s="10">
        <f>+AL51-AG51</f>
      </c>
      <c r="AM188" s="10">
        <f>+AM51-AL51</f>
      </c>
      <c r="AN188" s="10">
        <f>+AN51-AM51</f>
      </c>
      <c r="AO188" s="10">
        <f>+AO51-AN51</f>
      </c>
      <c r="AP188" s="10">
        <f>+AP51-AO51</f>
      </c>
      <c r="AQ188" s="10">
        <f>+AQ51-AL51</f>
      </c>
      <c r="AR188" s="10">
        <f>+AR51-AQ51</f>
      </c>
      <c r="AS188" s="10">
        <f>+AS51-AR51</f>
      </c>
      <c r="AT188" s="10">
        <f>+AT51-AS51</f>
      </c>
      <c r="AU188" s="10">
        <f>+AU51-AT51</f>
      </c>
      <c r="AV188" s="10">
        <f>+AV51-AQ51</f>
      </c>
      <c r="AW188" s="10">
        <f>+AW51-AV51</f>
      </c>
      <c r="AX188" s="10">
        <f>+AX51-AW51</f>
      </c>
      <c r="AY188" s="10">
        <f>+AY51-AX51</f>
      </c>
      <c r="AZ188" s="10">
        <f>+AZ51-AY51</f>
      </c>
      <c r="BA188" s="10">
        <f>+BA51-AV51</f>
      </c>
      <c r="BB188" s="10">
        <f>+BB51-BA51</f>
      </c>
      <c r="BC188" s="10">
        <f>+BC51-BB51</f>
      </c>
      <c r="BD188" s="10">
        <f>+BD51-BC51</f>
      </c>
      <c r="BE188" s="10">
        <f>+BE51-BD51</f>
      </c>
      <c r="BF188" s="10">
        <f>+BF51-BA51</f>
      </c>
      <c r="BG188" s="10">
        <f>+BG51-BF51</f>
      </c>
      <c r="BH188" s="10">
        <f>+BH51-BG51</f>
      </c>
      <c r="BI188" s="10">
        <f>+BI51-BH51</f>
      </c>
      <c r="BJ188" s="10">
        <f>+BJ51-BI51</f>
      </c>
      <c r="BK188" s="10">
        <f>+BK51-BF51</f>
      </c>
      <c r="BL188" s="10">
        <f>+BL51-BK51</f>
      </c>
      <c r="BM188" s="10">
        <f>+BM51-BL51</f>
      </c>
      <c r="BN188" s="10">
        <f>+BN51-BM51</f>
      </c>
      <c r="BO188" s="10">
        <f>+BO51-BN51</f>
      </c>
      <c r="BP188" s="10">
        <f>+BP51-BK51</f>
      </c>
      <c r="BQ188" s="10">
        <f>+BQ51-BP51</f>
      </c>
      <c r="BR188" s="10">
        <f>+BR51-BQ51</f>
      </c>
      <c r="BS188" s="10">
        <f>+BS51-BR51</f>
      </c>
      <c r="BT188" s="10">
        <f>+BT51-BS51</f>
      </c>
      <c r="BU188" s="67">
        <f>+BU51-BP51</f>
      </c>
      <c r="BV188" s="10">
        <f>+BV51-BU51</f>
      </c>
      <c r="BW188" s="10">
        <f>+BW51-BV51</f>
      </c>
      <c r="BX188" s="10">
        <f>+BX51-BW51</f>
      </c>
      <c r="BY188" s="10">
        <f>+BY51-BX51</f>
      </c>
      <c r="BZ188" s="67">
        <f>+BZ51-BU51</f>
      </c>
      <c r="CA188" s="10">
        <f>+CA51-BZ51</f>
      </c>
      <c r="CB188" s="10">
        <f>+CB51-CA51</f>
      </c>
      <c r="CC188" s="10">
        <f>+CC51-CB51</f>
      </c>
      <c r="CD188" s="10">
        <f>+CD51-CC51</f>
      </c>
      <c r="CE188" s="67">
        <f>+CE51-BZ51</f>
      </c>
      <c r="CF188" s="10">
        <f>+CF51-CE51</f>
      </c>
      <c r="CG188" s="10">
        <f>+CG51-CF51</f>
      </c>
      <c r="CH188" s="10">
        <f>+CH51-CG51</f>
      </c>
      <c r="CI188" s="10">
        <f>+CI51-CH51</f>
      </c>
      <c r="CJ188" s="67">
        <f>+CJ51-CE51</f>
      </c>
      <c r="CK188" s="10">
        <f>+CK51-CJ51</f>
      </c>
      <c r="CL188" s="10">
        <f>+CL51-CK51</f>
      </c>
      <c r="CM188" s="10">
        <f>+CM51-CL51</f>
      </c>
      <c r="CN188" s="10">
        <f>+CN51-CM51</f>
      </c>
      <c r="CO188" s="67">
        <f>+CO51-CJ51</f>
      </c>
      <c r="CP188" s="10">
        <f>+CP51-CO51</f>
      </c>
      <c r="CQ188" s="10">
        <f>+CQ51-CP51</f>
      </c>
      <c r="CR188" s="10">
        <f>+CR51-CQ51</f>
      </c>
      <c r="CS188" s="10">
        <f>+CS51-CR51</f>
      </c>
      <c r="CT188" s="67">
        <f>+CT51-CO51</f>
      </c>
      <c r="CU188" s="10">
        <f>+CU51-CT51</f>
      </c>
      <c r="CV188" s="10">
        <f>+CV51-CU51</f>
      </c>
      <c r="CW188" s="10">
        <f>+CW51-CV51</f>
      </c>
      <c r="CX188" s="10">
        <f>+CX51-CW51</f>
      </c>
      <c r="CY188" s="67">
        <f>+CY51-CT51</f>
      </c>
      <c r="CZ188" s="10">
        <f>+CZ51-CY51</f>
      </c>
      <c r="DA188" s="10">
        <f>+DA51-CZ51</f>
      </c>
      <c r="DB188" s="10">
        <f>+DB51-DA51</f>
      </c>
      <c r="DC188" s="10">
        <f>+DC51-DB51</f>
      </c>
      <c r="DD188" s="67">
        <f>+DD51-CY51</f>
      </c>
      <c r="DE188" s="10">
        <f>+DE51-DD51</f>
      </c>
      <c r="DF188" s="10">
        <f>+DF51-DE51</f>
      </c>
      <c r="DG188" s="10">
        <f>+DG51-DF51</f>
      </c>
      <c r="DH188" s="948">
        <f>+DH51-DG51</f>
      </c>
      <c r="DI188" s="67">
        <f>+DI51-DD51</f>
      </c>
      <c r="DJ188" s="10">
        <f>+DJ51-DI51</f>
      </c>
      <c r="DK188" s="10">
        <f>+DK51-DJ51</f>
      </c>
      <c r="DL188" s="948">
        <f>+DL51-DK51</f>
      </c>
      <c r="DM188" s="948">
        <f>+DM51-DL51</f>
      </c>
      <c r="DN188" s="67">
        <f>+DN51-DI51</f>
      </c>
      <c r="DO188" s="948">
        <f>+DO51-DN51</f>
      </c>
      <c r="DP188" s="948">
        <f>+DP51-DO51</f>
      </c>
      <c r="DQ188" s="948">
        <f>+DQ51-DP51</f>
      </c>
      <c r="DR188" s="948">
        <f>+DR51-DQ51</f>
      </c>
      <c r="DS188" s="67">
        <f>+DS51-DN51</f>
      </c>
      <c r="DT188" s="948">
        <f>+DT51-DS51</f>
      </c>
      <c r="DU188" s="948">
        <f>+DU51-DT51</f>
      </c>
      <c r="DV188" s="948">
        <f>+DV51-DU51</f>
      </c>
      <c r="DW188" s="1251">
        <f>+DW51-DV51</f>
      </c>
      <c r="DX188" s="1111">
        <f>+DX51-DS51</f>
      </c>
      <c r="DY188" s="948">
        <f>+DY51-DX51</f>
      </c>
      <c r="DZ188" s="948">
        <f>+DZ51-DY51</f>
      </c>
      <c r="EA188" s="948">
        <f>+EA51-DZ51</f>
      </c>
      <c r="EB188" s="948">
        <f>+EB51-EA51</f>
      </c>
      <c r="EC188" s="1505">
        <f>+EC51-DX51</f>
      </c>
      <c r="ED188" s="948">
        <f>+ED51-EC51</f>
      </c>
      <c r="EE188" s="948">
        <f>+EE51-ED51</f>
      </c>
      <c r="EF188" s="948">
        <f>+EF51-EE51</f>
      </c>
      <c r="EG188" s="948">
        <f>+EG51-EF51</f>
      </c>
      <c r="EH188" s="1505">
        <f>+EH51-EC51</f>
      </c>
      <c r="EI188" s="948">
        <f>+EI51-EH51</f>
      </c>
      <c r="EJ188" s="948">
        <f>+EJ51-EI51</f>
      </c>
      <c r="EK188" s="948">
        <f>+EK51-EJ51</f>
      </c>
      <c r="EL188" s="1251">
        <f>+EL51-EK51</f>
      </c>
      <c r="EM188" s="2089">
        <f>+EM51-EH51</f>
      </c>
      <c r="EN188" s="2100">
        <f>+EN51-EM51</f>
      </c>
      <c r="EO188" s="948">
        <f>+EO51-EN51</f>
      </c>
      <c r="EP188" s="948">
        <f>+EP51-EO51</f>
      </c>
      <c r="EQ188" s="1251">
        <f>+EQ51-EP51</f>
      </c>
      <c r="ER188" s="1291">
        <f>+ER51-EM51</f>
      </c>
      <c r="ES188" s="2100">
        <f>+ES51-ER51</f>
      </c>
      <c r="ET188" s="948">
        <f>+ET51-ES51</f>
      </c>
      <c r="EU188" s="948">
        <f>+EU51-ET51</f>
      </c>
      <c r="EV188" s="1251">
        <f>+EV51-EU51</f>
      </c>
      <c r="EW188" s="1291">
        <f>+EW51-ER51</f>
      </c>
      <c r="EX188" s="2100">
        <f>+EX51-EW51</f>
      </c>
      <c r="EY188" s="948">
        <f>+EY51-EX51</f>
      </c>
      <c r="EZ188" s="948">
        <f>+EZ51-EY51</f>
      </c>
      <c r="FA188" s="1251">
        <f>+FA51-EZ51</f>
      </c>
      <c r="FB188" s="1291">
        <f>+FB51-EW51</f>
      </c>
      <c r="FC188" s="1291">
        <f t="shared" ref="FC188:FG188" si="656">+FC51-FB51</f>
      </c>
      <c r="FD188" s="1291">
        <f t="shared" si="656"/>
      </c>
      <c r="FE188" s="1291">
        <f t="shared" si="656"/>
      </c>
      <c r="FF188" s="1291">
        <f t="shared" si="656"/>
      </c>
      <c r="FG188" s="1291">
        <f t="shared" si="656"/>
      </c>
    </row>
    <row r="189" spans="1:163" outlineLevel="1">
      <c r="A189" s="1"/>
      <c r="B189" s="108" t="s">
        <v>71</v>
      </c>
      <c r="C189" s="72"/>
      <c r="D189" s="72"/>
      <c r="E189" s="72"/>
      <c r="F189" s="72"/>
      <c r="G189" s="72"/>
      <c r="H189" s="72"/>
      <c r="I189" s="72"/>
      <c r="J189" s="72"/>
      <c r="K189" s="72"/>
      <c r="L189" s="72"/>
      <c r="M189" s="72"/>
      <c r="N189" s="1"/>
      <c r="O189" s="14"/>
      <c r="P189" s="14"/>
      <c r="Q189" s="14"/>
      <c r="R189" s="14"/>
      <c r="S189" s="14"/>
      <c r="T189" s="14"/>
      <c r="U189" s="14"/>
      <c r="V189" s="10">
        <f>+V49-U49</f>
      </c>
      <c r="W189" s="10">
        <f>+W49-R49</f>
      </c>
      <c r="X189" s="10">
        <f>+X49-W49</f>
      </c>
      <c r="Y189" s="10">
        <f>+Y49-X49</f>
      </c>
      <c r="Z189" s="10">
        <f>+Z49-Y49</f>
      </c>
      <c r="AA189" s="10">
        <f>+AA49-Z49</f>
      </c>
      <c r="AB189" s="10">
        <f>+AB49-W49</f>
      </c>
      <c r="AC189" s="10">
        <f>+AC49-AB49</f>
      </c>
      <c r="AD189" s="10">
        <f>+AD49-AC49</f>
      </c>
      <c r="AE189" s="10">
        <f>+AE49-AD49</f>
      </c>
      <c r="AF189" s="10">
        <f>+AF49-AE49</f>
      </c>
      <c r="AG189" s="10">
        <f>+AG49-AB49</f>
      </c>
      <c r="AH189" s="10">
        <f>+AH49-AG49</f>
      </c>
      <c r="AI189" s="10">
        <f>+AI49-AH49</f>
      </c>
      <c r="AJ189" s="10">
        <f>+AJ49-AI49</f>
      </c>
      <c r="AK189" s="10">
        <f>+AK49-AJ49</f>
      </c>
      <c r="AL189" s="10">
        <f>+AL49-AG49</f>
      </c>
      <c r="AM189" s="10">
        <f>+AM49-AL49</f>
      </c>
      <c r="AN189" s="10">
        <f>+AN49-AM49</f>
      </c>
      <c r="AO189" s="10">
        <f>+AO49-AN49</f>
      </c>
      <c r="AP189" s="10">
        <f>+AP49-AO49</f>
      </c>
      <c r="AQ189" s="10">
        <f>+AQ49-AL49</f>
      </c>
      <c r="AR189" s="10">
        <f>+AR49-AQ49</f>
      </c>
      <c r="AS189" s="10">
        <f>+AS49-AR49</f>
      </c>
      <c r="AT189" s="10">
        <f>+AT49-AS49</f>
      </c>
      <c r="AU189" s="10">
        <f>+AU49-AT49</f>
      </c>
      <c r="AV189" s="10">
        <f>+AV49-AQ49</f>
      </c>
      <c r="AW189" s="10">
        <f>+AW49-AV49</f>
      </c>
      <c r="AX189" s="10">
        <f>+AX49-AW49</f>
      </c>
      <c r="AY189" s="10">
        <f>+AY49-AX49</f>
      </c>
      <c r="AZ189" s="10">
        <f>+AZ49-AY49</f>
      </c>
      <c r="BA189" s="10">
        <f>+BA49-AV49</f>
      </c>
      <c r="BB189" s="10">
        <f>+BB49-BA49</f>
      </c>
      <c r="BC189" s="10">
        <f>+BC49-BB49</f>
      </c>
      <c r="BD189" s="10">
        <f>+BD49-BC49</f>
      </c>
      <c r="BE189" s="10">
        <f>+BE49-BD49</f>
      </c>
      <c r="BF189" s="10">
        <f>+BF49-BA49</f>
      </c>
      <c r="BG189" s="10">
        <f>+BG49-BF49</f>
      </c>
      <c r="BH189" s="10">
        <f>+BH49-BG49</f>
      </c>
      <c r="BI189" s="10">
        <f>+BI49-BH49</f>
      </c>
      <c r="BJ189" s="10">
        <f>+BJ49-BI49</f>
      </c>
      <c r="BK189" s="10">
        <f>+BK49-BF49</f>
      </c>
      <c r="BL189" s="10">
        <f>+BL49-BK49</f>
      </c>
      <c r="BM189" s="10">
        <f>+BM49-BL49</f>
      </c>
      <c r="BN189" s="10">
        <f>+BN49-BM49</f>
      </c>
      <c r="BO189" s="10">
        <f>+BO49-BN49</f>
      </c>
      <c r="BP189" s="10">
        <f>+BP49-BK49</f>
      </c>
      <c r="BQ189" s="10">
        <f>+BQ49-BP49</f>
      </c>
      <c r="BR189" s="10">
        <f>+BR49-BQ49</f>
      </c>
      <c r="BS189" s="10">
        <f>+BS49-BR49</f>
      </c>
      <c r="BT189" s="10">
        <f>+BT49-BS49</f>
      </c>
      <c r="BU189" s="67">
        <f>+BU49-BP49</f>
      </c>
      <c r="BV189" s="10">
        <f>+BV49-BU49</f>
      </c>
      <c r="BW189" s="10">
        <f>+BW49-BV49</f>
      </c>
      <c r="BX189" s="10">
        <f>+BX49-BW49</f>
      </c>
      <c r="BY189" s="10">
        <f>+BY49-BX49</f>
      </c>
      <c r="BZ189" s="67">
        <f>+BZ49-BU49</f>
      </c>
      <c r="CA189" s="10">
        <f>+CA49-BZ49</f>
      </c>
      <c r="CB189" s="10">
        <f>+CB49-CA49</f>
      </c>
      <c r="CC189" s="10">
        <f>+CC49-CB49</f>
      </c>
      <c r="CD189" s="10">
        <f>+CD49-CC49</f>
      </c>
      <c r="CE189" s="67">
        <f>+CE49-BZ49</f>
      </c>
      <c r="CF189" s="10">
        <f>+CF49-CE49</f>
      </c>
      <c r="CG189" s="10">
        <f>+CG49-CF49</f>
      </c>
      <c r="CH189" s="10">
        <f>+CH49-CG49</f>
      </c>
      <c r="CI189" s="10">
        <f>+CI49-CH49</f>
      </c>
      <c r="CJ189" s="67">
        <f>+CJ49-CE49</f>
      </c>
      <c r="CK189" s="10">
        <f>+CK49-CJ49</f>
      </c>
      <c r="CL189" s="10">
        <f>+CL49-CK49</f>
      </c>
      <c r="CM189" s="10">
        <f>+CM49-CL49</f>
      </c>
      <c r="CN189" s="10">
        <f>+CN49-CM49</f>
      </c>
      <c r="CO189" s="67">
        <f>+CO49-CJ49</f>
      </c>
      <c r="CP189" s="10">
        <f>+CP49-CO49</f>
      </c>
      <c r="CQ189" s="10">
        <f>+CQ49-CP49</f>
      </c>
      <c r="CR189" s="10">
        <f>+CR49-CQ49</f>
      </c>
      <c r="CS189" s="10">
        <f>+CS49-CR49</f>
      </c>
      <c r="CT189" s="67">
        <f>+CT49-CO49</f>
      </c>
      <c r="CU189" s="10">
        <f>+CU49-CT49</f>
      </c>
      <c r="CV189" s="10">
        <f>+CV49-CU49</f>
      </c>
      <c r="CW189" s="10">
        <f>+CW49-CV49</f>
      </c>
      <c r="CX189" s="10">
        <f>+CX49-CW49</f>
      </c>
      <c r="CY189" s="67">
        <f>+CY49-CT49</f>
      </c>
      <c r="CZ189" s="10">
        <f>+CZ49-CY49</f>
      </c>
      <c r="DA189" s="10">
        <f>+DA49-CZ49</f>
      </c>
      <c r="DB189" s="10">
        <f>+DB49-DA49</f>
      </c>
      <c r="DC189" s="10">
        <f>+DC49-DB49</f>
      </c>
      <c r="DD189" s="67">
        <f>+DD49-CY49</f>
      </c>
      <c r="DE189" s="10">
        <f>+DE49-DD49</f>
      </c>
      <c r="DF189" s="10">
        <f>+DF49-DE49</f>
      </c>
      <c r="DG189" s="10">
        <f>+DG49-DF49</f>
      </c>
      <c r="DH189" s="948">
        <f>+DH49-DG49</f>
      </c>
      <c r="DI189" s="67">
        <f>+DI49-DD49</f>
      </c>
      <c r="DJ189" s="10">
        <f>+DJ49-DI49</f>
      </c>
      <c r="DK189" s="10">
        <f>+DK49-DJ49</f>
      </c>
      <c r="DL189" s="948">
        <f>+DL49-DK49</f>
      </c>
      <c r="DM189" s="948">
        <f>+DM49-DL49</f>
      </c>
      <c r="DN189" s="67">
        <f>+DN49-DI49</f>
      </c>
      <c r="DO189" s="948">
        <f>+DO49-DN49</f>
      </c>
      <c r="DP189" s="948">
        <f>+DP49-DO49</f>
      </c>
      <c r="DQ189" s="948">
        <f>+DQ49-DP49</f>
      </c>
      <c r="DR189" s="948">
        <f>+DR49-DQ49</f>
      </c>
      <c r="DS189" s="67">
        <f>+DS49-DN49</f>
      </c>
      <c r="DT189" s="948">
        <f>+DT49-DS49</f>
      </c>
      <c r="DU189" s="948">
        <f>+DU49-DT49</f>
      </c>
      <c r="DV189" s="948">
        <f>+DV49-DU49</f>
      </c>
      <c r="DW189" s="1251">
        <f>+DW49-DV49</f>
      </c>
      <c r="DX189" s="1111">
        <f>+DX49-DS49</f>
      </c>
      <c r="DY189" s="948">
        <f>+DY49-DX49</f>
      </c>
      <c r="DZ189" s="948">
        <f>+DZ49-DY49</f>
      </c>
      <c r="EA189" s="948">
        <f>+EA49-DZ49</f>
      </c>
      <c r="EB189" s="948">
        <f>+EB49-EA49</f>
      </c>
      <c r="EC189" s="1505">
        <f>+EC49-DX49</f>
      </c>
      <c r="ED189" s="948">
        <f>+ED49-EC49</f>
      </c>
      <c r="EE189" s="948">
        <f>+EE49-ED49</f>
      </c>
      <c r="EF189" s="948">
        <f>+EF49-EE49</f>
      </c>
      <c r="EG189" s="948">
        <f>+EG49-EF49</f>
      </c>
      <c r="EH189" s="1505">
        <f>+EH49-EC49</f>
      </c>
      <c r="EI189" s="948">
        <f>+EI49-EH49</f>
      </c>
      <c r="EJ189" s="948">
        <f>+EJ49-EI49</f>
      </c>
      <c r="EK189" s="948">
        <f>+EK49-EJ49</f>
      </c>
      <c r="EL189" s="1251">
        <f>+EL49-EK49</f>
      </c>
      <c r="EM189" s="2089">
        <f>+EM49-EH49</f>
      </c>
      <c r="EN189" s="2100">
        <f>+EN49-EM49</f>
      </c>
      <c r="EO189" s="948">
        <f>+EO49-EN49</f>
      </c>
      <c r="EP189" s="948">
        <f>+EP49-EO49</f>
      </c>
      <c r="EQ189" s="1251">
        <f>+EQ49-EP49</f>
      </c>
      <c r="ER189" s="1291">
        <f>+ER49-EM49</f>
      </c>
      <c r="ES189" s="2100">
        <f>+ES49-ER49</f>
      </c>
      <c r="ET189" s="948">
        <f>+ET49-ES49</f>
      </c>
      <c r="EU189" s="948">
        <f>+EU49-ET49</f>
      </c>
      <c r="EV189" s="1251">
        <f>+EV49-EU49</f>
      </c>
      <c r="EW189" s="1291">
        <f>+EW49-ER49</f>
      </c>
      <c r="EX189" s="2100">
        <f>+EX49-EW49</f>
      </c>
      <c r="EY189" s="948">
        <f>+EY49-EX49</f>
      </c>
      <c r="EZ189" s="948">
        <f>+EZ49-EY49</f>
      </c>
      <c r="FA189" s="1251">
        <f>+FA49-EZ49</f>
      </c>
      <c r="FB189" s="1291">
        <f>+FB49-EW49</f>
      </c>
      <c r="FC189" s="1291">
        <f t="shared" ref="FC189:FG189" si="657">+FC49-FB49</f>
      </c>
      <c r="FD189" s="1291">
        <f t="shared" si="657"/>
      </c>
      <c r="FE189" s="1291">
        <f t="shared" si="657"/>
      </c>
      <c r="FF189" s="1291">
        <f t="shared" si="657"/>
      </c>
      <c r="FG189" s="1291">
        <f t="shared" si="657"/>
      </c>
    </row>
    <row r="190" spans="1:163" outlineLevel="1">
      <c r="A190" s="1"/>
      <c r="B190" s="108" t="s">
        <v>72</v>
      </c>
      <c r="C190" s="72"/>
      <c r="D190" s="72"/>
      <c r="E190" s="72"/>
      <c r="F190" s="72"/>
      <c r="G190" s="72"/>
      <c r="H190" s="72"/>
      <c r="I190" s="72"/>
      <c r="J190" s="72"/>
      <c r="K190" s="72"/>
      <c r="L190" s="72"/>
      <c r="M190" s="72"/>
      <c r="N190" s="1"/>
      <c r="O190" s="14"/>
      <c r="P190" s="14"/>
      <c r="Q190" s="14"/>
      <c r="R190" s="14"/>
      <c r="S190" s="14"/>
      <c r="T190" s="14"/>
      <c r="U190" s="14"/>
      <c r="V190" s="10">
        <f>+V51-U51</f>
      </c>
      <c r="W190" s="10">
        <f>+W51-R51</f>
      </c>
      <c r="X190" s="10">
        <f>+X51-W51</f>
      </c>
      <c r="Y190" s="10">
        <f>+Y51-X51</f>
      </c>
      <c r="Z190" s="10">
        <f>+Z51-Y51</f>
      </c>
      <c r="AA190" s="10">
        <f>+AA51-Z51</f>
      </c>
      <c r="AB190" s="10">
        <f>+AB51-W51</f>
      </c>
      <c r="AC190" s="10">
        <f>+AC51-AB51</f>
      </c>
      <c r="AD190" s="10">
        <f>+AD51-AC51</f>
      </c>
      <c r="AE190" s="10">
        <f>+AE51-AD51</f>
      </c>
      <c r="AF190" s="10">
        <f>+AF51-AE51</f>
      </c>
      <c r="AG190" s="10">
        <f>+AG51-AB51</f>
      </c>
      <c r="AH190" s="10">
        <f>+AH51-AG51</f>
      </c>
      <c r="AI190" s="10">
        <f>+AI51-AH51</f>
      </c>
      <c r="AJ190" s="10">
        <f>+AJ51-AI51</f>
      </c>
      <c r="AK190" s="10">
        <f>+AK51-AJ51</f>
      </c>
      <c r="AL190" s="10">
        <f>+AL51-AG51</f>
      </c>
      <c r="AM190" s="10">
        <f>+AM51-AL51</f>
      </c>
      <c r="AN190" s="10">
        <f>+AN51-AM51</f>
      </c>
      <c r="AO190" s="10">
        <f>+AO51-AN51</f>
      </c>
      <c r="AP190" s="10">
        <f>+AP51-AO51</f>
      </c>
      <c r="AQ190" s="10">
        <f>+AQ51-AL51</f>
      </c>
      <c r="AR190" s="10">
        <f>+AR51-AQ51</f>
      </c>
      <c r="AS190" s="10">
        <f>+AS51-AR51</f>
      </c>
      <c r="AT190" s="10">
        <f>+AT51-AS51</f>
      </c>
      <c r="AU190" s="10">
        <f>+AU51-AT51</f>
      </c>
      <c r="AV190" s="10">
        <f>+AV51-AQ51</f>
      </c>
      <c r="AW190" s="10">
        <f>+AW51-AV51</f>
      </c>
      <c r="AX190" s="10">
        <f>+AX51-AW51</f>
      </c>
      <c r="AY190" s="10">
        <f>+AY51-AX51</f>
      </c>
      <c r="AZ190" s="10">
        <f>+AZ51-AY51</f>
      </c>
      <c r="BA190" s="10">
        <f>+BA51-AV51</f>
      </c>
      <c r="BB190" s="10">
        <f>+BB51-BA51</f>
      </c>
      <c r="BC190" s="10">
        <f>+BC51-BB51</f>
      </c>
      <c r="BD190" s="10">
        <f>+BD51-BC51</f>
      </c>
      <c r="BE190" s="10">
        <f>+BE51-BD51</f>
      </c>
      <c r="BF190" s="10">
        <f>+BF51-BA51</f>
      </c>
      <c r="BG190" s="10">
        <f>+BG51-BF51</f>
      </c>
      <c r="BH190" s="10">
        <f>+BH51-BG51</f>
      </c>
      <c r="BI190" s="10">
        <f>+BI51-BH51</f>
      </c>
      <c r="BJ190" s="10">
        <f>+BJ51-BI51</f>
      </c>
      <c r="BK190" s="10">
        <f>+BK51-BF51</f>
      </c>
      <c r="BL190" s="10">
        <f>+BL51-BK51</f>
      </c>
      <c r="BM190" s="10">
        <f>+BM51-BL51</f>
      </c>
      <c r="BN190" s="10">
        <f>+BN51-BM51</f>
      </c>
      <c r="BO190" s="10">
        <f>+BO51-BN51</f>
      </c>
      <c r="BP190" s="10">
        <f>+BP51-BK51</f>
      </c>
      <c r="BQ190" s="10">
        <f>+BQ51-BP51</f>
      </c>
      <c r="BR190" s="10">
        <f>+BR51-BQ51</f>
      </c>
      <c r="BS190" s="10">
        <f>+BS51-BR51</f>
      </c>
      <c r="BT190" s="10">
        <f>+BT51-BS51</f>
      </c>
      <c r="BU190" s="67">
        <f>+BU51-BP51</f>
      </c>
      <c r="BV190" s="10">
        <f>+BV51-BU51</f>
      </c>
      <c r="BW190" s="10">
        <f>+BW51-BV51</f>
      </c>
      <c r="BX190" s="10">
        <f>+BX51-BW51</f>
      </c>
      <c r="BY190" s="10">
        <f>+BY51-BX51</f>
      </c>
      <c r="BZ190" s="67">
        <f>+BZ51-BU51</f>
      </c>
      <c r="CA190" s="10">
        <f>+CA51-BZ51</f>
      </c>
      <c r="CB190" s="10">
        <f>+CB51-CA51</f>
      </c>
      <c r="CC190" s="10">
        <f>+CC51-CB51</f>
      </c>
      <c r="CD190" s="10">
        <f>+CD51-CC51</f>
      </c>
      <c r="CE190" s="67">
        <f>+CE51-BZ51</f>
      </c>
      <c r="CF190" s="10">
        <f>+CF51-CE51</f>
      </c>
      <c r="CG190" s="10">
        <f>+CG51-CF51</f>
      </c>
      <c r="CH190" s="10">
        <f>+CH51-CG51</f>
      </c>
      <c r="CI190" s="10">
        <f>+CI51-CH51</f>
      </c>
      <c r="CJ190" s="67">
        <f>+CJ51-CE51</f>
      </c>
      <c r="CK190" s="10">
        <f>+CK51-CJ51</f>
      </c>
      <c r="CL190" s="10">
        <f>+CL51-CK51</f>
      </c>
      <c r="CM190" s="10">
        <f>+CM51-CL51</f>
      </c>
      <c r="CN190" s="10">
        <f>+CN51-CM51</f>
      </c>
      <c r="CO190" s="67">
        <f>+CO51-CJ51</f>
      </c>
      <c r="CP190" s="10">
        <f>+CP51-CO51</f>
      </c>
      <c r="CQ190" s="10">
        <f>+CQ51-CP51</f>
      </c>
      <c r="CR190" s="10">
        <f>+CR51-CQ51</f>
      </c>
      <c r="CS190" s="10">
        <f>+CS51-CR51</f>
      </c>
      <c r="CT190" s="67">
        <f>+CT51-CO51</f>
      </c>
      <c r="CU190" s="10">
        <f>+CU51-CT51</f>
      </c>
      <c r="CV190" s="10">
        <f>+CV51-CU51</f>
      </c>
      <c r="CW190" s="10">
        <f>+CW51-CV51</f>
      </c>
      <c r="CX190" s="10">
        <f>+CX51-CW51</f>
      </c>
      <c r="CY190" s="67">
        <f>+CY51-CT51</f>
      </c>
      <c r="CZ190" s="10">
        <f>+CZ51-CY51</f>
      </c>
      <c r="DA190" s="10">
        <f>+DA51-CZ51</f>
      </c>
      <c r="DB190" s="10">
        <f>+DB51-DA51</f>
      </c>
      <c r="DC190" s="10">
        <f>+DC51-DB51</f>
      </c>
      <c r="DD190" s="67">
        <f>+DD51-CY51</f>
      </c>
      <c r="DE190" s="10">
        <f>+DE51-DD51</f>
      </c>
      <c r="DF190" s="10">
        <f>+DF51-DE51</f>
      </c>
      <c r="DG190" s="10">
        <f>+DG51-DF51</f>
      </c>
      <c r="DH190" s="948">
        <f>+DH51-DG51</f>
      </c>
      <c r="DI190" s="67">
        <f>+DI51-DD51</f>
      </c>
      <c r="DJ190" s="10">
        <f>+DJ51-DI51</f>
      </c>
      <c r="DK190" s="10">
        <f>+DK51-DJ51</f>
      </c>
      <c r="DL190" s="948">
        <f>+DL51-DK51</f>
      </c>
      <c r="DM190" s="948">
        <f>+DM51-DL51</f>
      </c>
      <c r="DN190" s="67">
        <f>+DN51-DI51</f>
      </c>
      <c r="DO190" s="948">
        <f>+DO51-DN51</f>
      </c>
      <c r="DP190" s="948">
        <f>+DP51-DO51</f>
      </c>
      <c r="DQ190" s="948">
        <f>+DQ51-DP51</f>
      </c>
      <c r="DR190" s="948">
        <f>+DR51-DQ51</f>
      </c>
      <c r="DS190" s="67">
        <f>+DS51-DN51</f>
      </c>
      <c r="DT190" s="948">
        <f>+DT51-DS51</f>
      </c>
      <c r="DU190" s="948">
        <f>+DU51-DT51</f>
      </c>
      <c r="DV190" s="948">
        <f>+DV51-DU51</f>
      </c>
      <c r="DW190" s="1251">
        <f>+DW51-DV51</f>
      </c>
      <c r="DX190" s="1111">
        <f>+DX51-DS51</f>
      </c>
      <c r="DY190" s="948">
        <f>+DY51-DX51</f>
      </c>
      <c r="DZ190" s="948">
        <f>+DZ51-DY51</f>
      </c>
      <c r="EA190" s="948">
        <f>+EA51-DZ51</f>
      </c>
      <c r="EB190" s="948">
        <f>+EB51-EA51</f>
      </c>
      <c r="EC190" s="1505">
        <f>+EC51-DX51</f>
      </c>
      <c r="ED190" s="948">
        <f>+ED51-EC51</f>
      </c>
      <c r="EE190" s="948">
        <f>+EE51-ED51</f>
      </c>
      <c r="EF190" s="948">
        <f>+EF51-EE51</f>
      </c>
      <c r="EG190" s="948">
        <f>+EG51-EF51</f>
      </c>
      <c r="EH190" s="1505">
        <f>+EH51-EC51</f>
      </c>
      <c r="EI190" s="948">
        <f>+EI51-EH51</f>
      </c>
      <c r="EJ190" s="948">
        <f>+EJ51-EI51</f>
      </c>
      <c r="EK190" s="948">
        <f>+EK51-EJ51</f>
      </c>
      <c r="EL190" s="1251">
        <f>+EL51-EK51</f>
      </c>
      <c r="EM190" s="2089">
        <f>+EM51-EH51</f>
      </c>
      <c r="EN190" s="2100">
        <f>+EN51-EM51</f>
      </c>
      <c r="EO190" s="948">
        <f>+EO51-EN51</f>
      </c>
      <c r="EP190" s="948">
        <f>+EP51-EO51</f>
      </c>
      <c r="EQ190" s="1251">
        <f>+EQ51-EP51</f>
      </c>
      <c r="ER190" s="1291">
        <f>+ER51-EM51</f>
      </c>
      <c r="ES190" s="2100">
        <f>+ES51-ER51</f>
      </c>
      <c r="ET190" s="948">
        <f>+ET51-ES51</f>
      </c>
      <c r="EU190" s="948">
        <f>+EU51-ET51</f>
      </c>
      <c r="EV190" s="1251">
        <f>+EV51-EU51</f>
      </c>
      <c r="EW190" s="1291">
        <f>+EW51-ER51</f>
      </c>
      <c r="EX190" s="2100">
        <f>+EX51-EW51</f>
      </c>
      <c r="EY190" s="948">
        <f>+EY51-EX51</f>
      </c>
      <c r="EZ190" s="948">
        <f>+EZ51-EY51</f>
      </c>
      <c r="FA190" s="1251">
        <f>+FA51-EZ51</f>
      </c>
      <c r="FB190" s="1291">
        <f>+FB51-EW51</f>
      </c>
      <c r="FC190" s="1291">
        <f t="shared" ref="FC190:FG190" si="658">+FC51-FB51</f>
      </c>
      <c r="FD190" s="1291">
        <f t="shared" si="658"/>
      </c>
      <c r="FE190" s="1291">
        <f t="shared" si="658"/>
      </c>
      <c r="FF190" s="1291">
        <f t="shared" si="658"/>
      </c>
      <c r="FG190" s="1291">
        <f t="shared" si="658"/>
      </c>
    </row>
    <row r="191" spans="1:163" outlineLevel="1">
      <c r="A191" s="1"/>
      <c r="B191" s="108" t="s">
        <v>20</v>
      </c>
      <c r="C191" s="68"/>
      <c r="D191" s="68"/>
      <c r="E191" s="68"/>
      <c r="F191" s="68"/>
      <c r="G191" s="68"/>
      <c r="H191" s="68"/>
      <c r="I191" s="68"/>
      <c r="J191" s="68"/>
      <c r="K191" s="68"/>
      <c r="L191" s="68"/>
      <c r="M191" s="68"/>
      <c r="N191" s="1"/>
      <c r="O191" s="10"/>
      <c r="P191" s="10"/>
      <c r="Q191" s="10"/>
      <c r="R191" s="10"/>
      <c r="S191" s="10"/>
      <c r="T191" s="10"/>
      <c r="U191" s="10"/>
      <c r="V191" s="10">
        <f t="shared" ref="V191:BA191" si="659">+V192-SUM(V184:V190)</f>
      </c>
      <c r="W191" s="10">
        <f t="shared" si="659"/>
      </c>
      <c r="X191" s="10">
        <f t="shared" si="659"/>
      </c>
      <c r="Y191" s="10">
        <f t="shared" si="659"/>
      </c>
      <c r="Z191" s="10">
        <f t="shared" si="659"/>
      </c>
      <c r="AA191" s="10">
        <f t="shared" si="659"/>
      </c>
      <c r="AB191" s="10">
        <f t="shared" si="659"/>
      </c>
      <c r="AC191" s="10">
        <f t="shared" si="659"/>
      </c>
      <c r="AD191" s="10">
        <f t="shared" si="659"/>
      </c>
      <c r="AE191" s="10">
        <f t="shared" si="659"/>
      </c>
      <c r="AF191" s="10">
        <f t="shared" si="659"/>
      </c>
      <c r="AG191" s="10">
        <f t="shared" si="659"/>
      </c>
      <c r="AH191" s="10">
        <f t="shared" si="659"/>
      </c>
      <c r="AI191" s="10">
        <f t="shared" si="659"/>
      </c>
      <c r="AJ191" s="10">
        <f t="shared" si="659"/>
      </c>
      <c r="AK191" s="10">
        <f t="shared" si="659"/>
      </c>
      <c r="AL191" s="10">
        <f t="shared" si="659"/>
      </c>
      <c r="AM191" s="10">
        <f t="shared" si="659"/>
      </c>
      <c r="AN191" s="10">
        <f t="shared" si="659"/>
      </c>
      <c r="AO191" s="10">
        <f t="shared" si="659"/>
      </c>
      <c r="AP191" s="10">
        <f t="shared" si="659"/>
      </c>
      <c r="AQ191" s="10">
        <f t="shared" si="659"/>
      </c>
      <c r="AR191" s="10">
        <f t="shared" si="659"/>
      </c>
      <c r="AS191" s="10">
        <f t="shared" si="659"/>
      </c>
      <c r="AT191" s="10">
        <f t="shared" si="659"/>
      </c>
      <c r="AU191" s="10">
        <f t="shared" si="659"/>
      </c>
      <c r="AV191" s="10">
        <f t="shared" si="659"/>
      </c>
      <c r="AW191" s="10">
        <f t="shared" si="659"/>
      </c>
      <c r="AX191" s="10">
        <f t="shared" si="659"/>
      </c>
      <c r="AY191" s="10">
        <f t="shared" si="659"/>
      </c>
      <c r="AZ191" s="10">
        <f t="shared" si="659"/>
      </c>
      <c r="BA191" s="10">
        <f t="shared" si="659"/>
      </c>
      <c r="BB191" s="10">
        <f t="shared" ref="BB191:CO191" si="660">+BB192-SUM(BB184:BB190)</f>
      </c>
      <c r="BC191" s="10">
        <f t="shared" si="660"/>
      </c>
      <c r="BD191" s="10">
        <f t="shared" si="660"/>
      </c>
      <c r="BE191" s="10">
        <f t="shared" si="660"/>
      </c>
      <c r="BF191" s="10">
        <f t="shared" si="660"/>
      </c>
      <c r="BG191" s="10">
        <f t="shared" si="660"/>
      </c>
      <c r="BH191" s="10">
        <f t="shared" si="660"/>
      </c>
      <c r="BI191" s="10">
        <f t="shared" si="660"/>
      </c>
      <c r="BJ191" s="10">
        <f t="shared" si="660"/>
      </c>
      <c r="BK191" s="10">
        <f t="shared" si="660"/>
      </c>
      <c r="BL191" s="10">
        <f t="shared" si="660"/>
      </c>
      <c r="BM191" s="10">
        <f t="shared" si="660"/>
      </c>
      <c r="BN191" s="10">
        <f t="shared" si="660"/>
      </c>
      <c r="BO191" s="10">
        <f t="shared" si="660"/>
      </c>
      <c r="BP191" s="10">
        <f t="shared" si="660"/>
      </c>
      <c r="BQ191" s="10">
        <f t="shared" si="660"/>
      </c>
      <c r="BR191" s="10">
        <f t="shared" si="660"/>
      </c>
      <c r="BS191" s="10">
        <f t="shared" si="660"/>
      </c>
      <c r="BT191" s="10">
        <f t="shared" si="660"/>
      </c>
      <c r="BU191" s="67">
        <f t="shared" si="660"/>
      </c>
      <c r="BV191" s="10">
        <f>+BV192-SUM(BV184:BV190)</f>
      </c>
      <c r="BW191" s="10">
        <f>+BW192-SUM(BW184:BW190)</f>
      </c>
      <c r="BX191" s="10">
        <f t="shared" si="660"/>
      </c>
      <c r="BY191" s="10">
        <f t="shared" si="660"/>
      </c>
      <c r="BZ191" s="67">
        <f t="shared" si="660"/>
      </c>
      <c r="CA191" s="10">
        <f>+CA192-SUM(CA184:CA190)</f>
      </c>
      <c r="CB191" s="10">
        <f>+CB192-SUM(CB184:CB190)</f>
      </c>
      <c r="CC191" s="10">
        <f>+CC192-SUM(CC184:CC190)</f>
      </c>
      <c r="CD191" s="10">
        <f>+CD192-SUM(CD184:CD190)</f>
      </c>
      <c r="CE191" s="67">
        <f t="shared" si="660"/>
      </c>
      <c r="CF191" s="10">
        <f>+CF192-SUM(CF184:CF190)</f>
      </c>
      <c r="CG191" s="10">
        <f>+CG192-SUM(CG184:CG190)</f>
      </c>
      <c r="CH191" s="10">
        <f>+CH192-SUM(CH184:CH190)</f>
      </c>
      <c r="CI191" s="10">
        <f>+CI192-SUM(CI184:CI190)</f>
      </c>
      <c r="CJ191" s="67">
        <f t="shared" si="660"/>
      </c>
      <c r="CK191" s="10">
        <f>+CK192-SUM(CK184:CK190)</f>
      </c>
      <c r="CL191" s="10">
        <f>+CL192-SUM(CL184:CL190)</f>
      </c>
      <c r="CM191" s="10">
        <f>+CM192-SUM(CM184:CM190)</f>
      </c>
      <c r="CN191" s="10">
        <f>+CN192-SUM(CN184:CN190)</f>
      </c>
      <c r="CO191" s="67">
        <f t="shared" si="660"/>
      </c>
      <c r="CP191" s="10">
        <f t="shared" ref="CP191:CW191" si="661">+CP192-SUM(CP184:CP190)</f>
      </c>
      <c r="CQ191" s="10">
        <f t="shared" si="661"/>
      </c>
      <c r="CR191" s="10">
        <f t="shared" si="661"/>
      </c>
      <c r="CS191" s="10">
        <f t="shared" si="661"/>
      </c>
      <c r="CT191" s="67">
        <f t="shared" si="661"/>
      </c>
      <c r="CU191" s="10">
        <f t="shared" si="661"/>
      </c>
      <c r="CV191" s="10">
        <f t="shared" si="661"/>
      </c>
      <c r="CW191" s="10">
        <f t="shared" si="661"/>
      </c>
      <c r="CX191" s="10">
        <f>+CX192-SUM(CX184:CX190)</f>
      </c>
      <c r="CY191" s="67">
        <f>+CY192-SUM(CY184:CY190)</f>
      </c>
      <c r="CZ191" s="10">
        <f>+CZ192-SUM(CZ184:CZ190)</f>
      </c>
      <c r="DA191" s="10">
        <f>+DA192-SUM(DA184:DA190)</f>
      </c>
      <c r="DB191" s="10">
        <f>+DB192-SUM(DB184:DB190)</f>
      </c>
      <c r="DC191" s="10">
        <f t="shared" ref="DC191:DI191" si="662">+DC192-SUM(DC184:DC190)</f>
      </c>
      <c r="DD191" s="67">
        <f t="shared" si="662"/>
      </c>
      <c r="DE191" s="10">
        <f t="shared" si="662"/>
      </c>
      <c r="DF191" s="10">
        <f t="shared" si="662"/>
      </c>
      <c r="DG191" s="10">
        <f t="shared" si="662"/>
      </c>
      <c r="DH191" s="948">
        <f t="shared" si="662"/>
      </c>
      <c r="DI191" s="67">
        <f t="shared" si="662"/>
      </c>
      <c r="DJ191" s="10">
        <f t="shared" ref="DJ191:ER191" si="663">+DJ192-SUM(DJ184:DJ190)</f>
      </c>
      <c r="DK191" s="10">
        <f t="shared" si="663"/>
      </c>
      <c r="DL191" s="948">
        <f t="shared" si="663"/>
      </c>
      <c r="DM191" s="948">
        <f t="shared" si="663"/>
      </c>
      <c r="DN191" s="67">
        <f t="shared" si="663"/>
      </c>
      <c r="DO191" s="948">
        <f t="shared" si="663"/>
      </c>
      <c r="DP191" s="948">
        <f t="shared" si="663"/>
      </c>
      <c r="DQ191" s="948">
        <f t="shared" si="663"/>
      </c>
      <c r="DR191" s="948">
        <f t="shared" si="663"/>
      </c>
      <c r="DS191" s="67">
        <f t="shared" si="663"/>
      </c>
      <c r="DT191" s="948">
        <f t="shared" si="663"/>
      </c>
      <c r="DU191" s="948">
        <f t="shared" si="663"/>
      </c>
      <c r="DV191" s="948">
        <f t="shared" si="663"/>
      </c>
      <c r="DW191" s="1251">
        <f t="shared" si="663"/>
      </c>
      <c r="DX191" s="1111">
        <f t="shared" si="663"/>
      </c>
      <c r="DY191" s="948">
        <f t="shared" si="663"/>
      </c>
      <c r="DZ191" s="948">
        <f t="shared" si="663"/>
      </c>
      <c r="EA191" s="948">
        <f t="shared" si="663"/>
      </c>
      <c r="EB191" s="948">
        <f t="shared" si="663"/>
      </c>
      <c r="EC191" s="1505">
        <f t="shared" si="663"/>
      </c>
      <c r="ED191" s="948">
        <f t="shared" si="663"/>
      </c>
      <c r="EE191" s="948">
        <f t="shared" si="663"/>
      </c>
      <c r="EF191" s="948">
        <f t="shared" si="663"/>
      </c>
      <c r="EG191" s="948">
        <f t="shared" si="663"/>
      </c>
      <c r="EH191" s="1505">
        <f t="shared" si="663"/>
      </c>
      <c r="EI191" s="948">
        <f>+EI192-SUM(EI184:EI190)</f>
      </c>
      <c r="EJ191" s="948">
        <f t="shared" si="663"/>
      </c>
      <c r="EK191" s="948">
        <f t="shared" si="663"/>
      </c>
      <c r="EL191" s="1251">
        <f t="shared" si="663"/>
      </c>
      <c r="EM191" s="2089">
        <f t="shared" si="663"/>
      </c>
      <c r="EN191" s="2100">
        <f>+EN192-SUM(EN184:EN190)</f>
      </c>
      <c r="EO191" s="948">
        <f t="shared" si="663"/>
      </c>
      <c r="EP191" s="948">
        <f t="shared" si="663"/>
      </c>
      <c r="EQ191" s="1251">
        <f t="shared" si="663"/>
      </c>
      <c r="ER191" s="1291">
        <f t="shared" si="663"/>
      </c>
      <c r="ES191" s="2100">
        <f>+ES192-SUM(ES184:ES190)</f>
      </c>
      <c r="ET191" s="948">
        <f t="shared" ref="ET191:EW191" si="664">+ET192-SUM(ET184:ET190)</f>
      </c>
      <c r="EU191" s="948">
        <f t="shared" si="664"/>
      </c>
      <c r="EV191" s="1251">
        <f t="shared" si="664"/>
      </c>
      <c r="EW191" s="1291">
        <f t="shared" si="664"/>
      </c>
      <c r="EX191" s="2100">
        <f>+EX192-SUM(EX184:EX190)</f>
      </c>
      <c r="EY191" s="948">
        <f t="shared" ref="EY191" si="665">+EY192-SUM(EY184:EY190)</f>
      </c>
      <c r="EZ191" s="948">
        <f>+EZ192-SUM(EZ184:EZ190)</f>
      </c>
      <c r="FA191" s="1251">
        <f>+FA192-SUM(FA184:FA190)</f>
      </c>
      <c r="FB191" s="1291">
        <f t="shared" ref="FB191" si="666">+FB192-SUM(FB184:FB190)</f>
      </c>
      <c r="FC191" s="1291">
        <f ca="1">+FC192-SUM(FC184:FC190)</f>
      </c>
      <c r="FD191" s="1291">
        <f ca="1">+FD192-SUM(FD184:FD190)</f>
      </c>
      <c r="FE191" s="1291">
        <f ca="1">+FE192-SUM(FE184:FE190)</f>
      </c>
      <c r="FF191" s="1291">
        <f ca="1">+FF192-SUM(FF184:FF190)</f>
      </c>
      <c r="FG191" s="1291">
        <f ca="1">+FG192-SUM(FG184:FG190)</f>
      </c>
    </row>
    <row r="192" spans="1:163" outlineLevel="1">
      <c r="A192" s="1"/>
      <c r="B192" s="138" t="s">
        <v>73</v>
      </c>
      <c r="C192" s="113"/>
      <c r="D192" s="113"/>
      <c r="E192" s="113"/>
      <c r="F192" s="113"/>
      <c r="G192" s="113"/>
      <c r="H192" s="113"/>
      <c r="I192" s="113"/>
      <c r="J192" s="113"/>
      <c r="K192" s="113"/>
      <c r="L192" s="113"/>
      <c r="M192" s="113"/>
      <c r="N192" s="74"/>
      <c r="O192" s="82"/>
      <c r="P192" s="82"/>
      <c r="Q192" s="82"/>
      <c r="R192" s="82"/>
      <c r="S192" s="82"/>
      <c r="T192" s="82"/>
      <c r="U192" s="82"/>
      <c r="V192" s="82">
        <f t="shared" ref="V192:CO192" si="667">+V52</f>
      </c>
      <c r="W192" s="82">
        <f t="shared" si="667"/>
      </c>
      <c r="X192" s="82">
        <f t="shared" si="667"/>
      </c>
      <c r="Y192" s="82">
        <f t="shared" si="667"/>
      </c>
      <c r="Z192" s="82">
        <f t="shared" si="667"/>
      </c>
      <c r="AA192" s="82">
        <f t="shared" si="667"/>
      </c>
      <c r="AB192" s="82">
        <f>+AB52</f>
      </c>
      <c r="AC192" s="82">
        <f t="shared" si="667"/>
      </c>
      <c r="AD192" s="82">
        <f t="shared" si="667"/>
      </c>
      <c r="AE192" s="82">
        <f t="shared" si="667"/>
      </c>
      <c r="AF192" s="82">
        <f t="shared" si="667"/>
      </c>
      <c r="AG192" s="82">
        <f>+AG52</f>
      </c>
      <c r="AH192" s="82">
        <f t="shared" si="667"/>
      </c>
      <c r="AI192" s="82">
        <f t="shared" si="667"/>
      </c>
      <c r="AJ192" s="82">
        <f t="shared" si="667"/>
      </c>
      <c r="AK192" s="82">
        <f t="shared" si="667"/>
      </c>
      <c r="AL192" s="82">
        <f>+AL52</f>
      </c>
      <c r="AM192" s="82">
        <f t="shared" si="667"/>
      </c>
      <c r="AN192" s="82">
        <f t="shared" si="667"/>
      </c>
      <c r="AO192" s="82">
        <f t="shared" si="667"/>
      </c>
      <c r="AP192" s="82">
        <f t="shared" si="667"/>
      </c>
      <c r="AQ192" s="82">
        <f>+AQ52</f>
      </c>
      <c r="AR192" s="82">
        <f t="shared" si="667"/>
      </c>
      <c r="AS192" s="82">
        <f t="shared" si="667"/>
      </c>
      <c r="AT192" s="82">
        <f t="shared" si="667"/>
      </c>
      <c r="AU192" s="82">
        <f t="shared" si="667"/>
      </c>
      <c r="AV192" s="82">
        <f>+AV52</f>
      </c>
      <c r="AW192" s="82">
        <f t="shared" si="667"/>
      </c>
      <c r="AX192" s="82">
        <f t="shared" si="667"/>
      </c>
      <c r="AY192" s="82">
        <f t="shared" si="667"/>
      </c>
      <c r="AZ192" s="82">
        <f t="shared" si="667"/>
      </c>
      <c r="BA192" s="82">
        <f>+BA52</f>
      </c>
      <c r="BB192" s="82">
        <f t="shared" si="667"/>
      </c>
      <c r="BC192" s="82">
        <f t="shared" si="667"/>
      </c>
      <c r="BD192" s="82">
        <f t="shared" si="667"/>
      </c>
      <c r="BE192" s="82">
        <f t="shared" si="667"/>
      </c>
      <c r="BF192" s="82">
        <f>+BF52</f>
      </c>
      <c r="BG192" s="82">
        <f t="shared" si="667"/>
      </c>
      <c r="BH192" s="82">
        <f t="shared" si="667"/>
      </c>
      <c r="BI192" s="82">
        <f t="shared" si="667"/>
      </c>
      <c r="BJ192" s="82">
        <f t="shared" si="667"/>
      </c>
      <c r="BK192" s="82">
        <f>+BK52</f>
      </c>
      <c r="BL192" s="82">
        <f t="shared" si="667"/>
      </c>
      <c r="BM192" s="82">
        <f t="shared" si="667"/>
      </c>
      <c r="BN192" s="82">
        <f t="shared" si="667"/>
      </c>
      <c r="BO192" s="82">
        <f t="shared" si="667"/>
      </c>
      <c r="BP192" s="82">
        <f>+BP52</f>
      </c>
      <c r="BQ192" s="82">
        <f t="shared" si="667"/>
      </c>
      <c r="BR192" s="82">
        <f t="shared" si="667"/>
      </c>
      <c r="BS192" s="82">
        <f t="shared" si="667"/>
      </c>
      <c r="BT192" s="82">
        <f t="shared" si="667"/>
      </c>
      <c r="BU192" s="548">
        <f>+BU52</f>
      </c>
      <c r="BV192" s="82">
        <f>+BV52</f>
      </c>
      <c r="BW192" s="82">
        <f>+BW52</f>
      </c>
      <c r="BX192" s="82">
        <f t="shared" si="667"/>
      </c>
      <c r="BY192" s="82">
        <f t="shared" si="667"/>
      </c>
      <c r="BZ192" s="548">
        <f>+BZ52</f>
      </c>
      <c r="CA192" s="82">
        <f>+CA52</f>
      </c>
      <c r="CB192" s="82">
        <f>+CB52</f>
      </c>
      <c r="CC192" s="82">
        <f>+CC52</f>
      </c>
      <c r="CD192" s="82">
        <f>+CD52</f>
      </c>
      <c r="CE192" s="548">
        <f t="shared" si="667"/>
      </c>
      <c r="CF192" s="82">
        <f>+CF52</f>
      </c>
      <c r="CG192" s="82">
        <f>+CG52</f>
      </c>
      <c r="CH192" s="82">
        <f>+CH52</f>
      </c>
      <c r="CI192" s="82">
        <f>+CI52</f>
      </c>
      <c r="CJ192" s="548">
        <f t="shared" si="667"/>
      </c>
      <c r="CK192" s="82">
        <f>+CK52</f>
      </c>
      <c r="CL192" s="82">
        <f>+CL52</f>
      </c>
      <c r="CM192" s="82">
        <f>+CM52</f>
      </c>
      <c r="CN192" s="82">
        <f>+CN52</f>
      </c>
      <c r="CO192" s="548">
        <f t="shared" si="667"/>
      </c>
      <c r="CP192" s="82">
        <f t="shared" ref="CP192:CW192" si="668">+CP52</f>
      </c>
      <c r="CQ192" s="82">
        <f t="shared" si="668"/>
      </c>
      <c r="CR192" s="82">
        <f t="shared" si="668"/>
      </c>
      <c r="CS192" s="82">
        <f t="shared" si="668"/>
      </c>
      <c r="CT192" s="548">
        <f t="shared" si="668"/>
      </c>
      <c r="CU192" s="82">
        <f t="shared" si="668"/>
      </c>
      <c r="CV192" s="82">
        <f t="shared" si="668"/>
      </c>
      <c r="CW192" s="82">
        <f t="shared" si="668"/>
      </c>
      <c r="CX192" s="82">
        <f>+CX52</f>
      </c>
      <c r="CY192" s="548">
        <f>+CY52</f>
      </c>
      <c r="CZ192" s="82">
        <f>+CZ52</f>
      </c>
      <c r="DA192" s="82">
        <f>+DA52</f>
      </c>
      <c r="DB192" s="82">
        <f>+DB52</f>
      </c>
      <c r="DC192" s="82">
        <f t="shared" ref="DC192:DH192" si="669">+DC52</f>
      </c>
      <c r="DD192" s="548">
        <f t="shared" si="669"/>
      </c>
      <c r="DE192" s="82">
        <f t="shared" si="669"/>
      </c>
      <c r="DF192" s="82">
        <f t="shared" si="669"/>
      </c>
      <c r="DG192" s="82">
        <f t="shared" si="669"/>
      </c>
      <c r="DH192" s="1038">
        <f t="shared" si="669"/>
      </c>
      <c r="DI192" s="548">
        <f t="shared" ref="DI192:ER192" si="670">+DI52</f>
      </c>
      <c r="DJ192" s="82">
        <f t="shared" si="670"/>
      </c>
      <c r="DK192" s="82">
        <f t="shared" si="670"/>
      </c>
      <c r="DL192" s="1038">
        <f t="shared" si="670"/>
      </c>
      <c r="DM192" s="1038">
        <f t="shared" si="670"/>
      </c>
      <c r="DN192" s="548">
        <f t="shared" si="670"/>
      </c>
      <c r="DO192" s="1128">
        <f t="shared" si="670"/>
      </c>
      <c r="DP192" s="1128">
        <f t="shared" si="670"/>
      </c>
      <c r="DQ192" s="1128">
        <f t="shared" si="670"/>
      </c>
      <c r="DR192" s="1038">
        <f t="shared" si="670"/>
      </c>
      <c r="DS192" s="548">
        <f t="shared" si="670"/>
      </c>
      <c r="DT192" s="1128">
        <f t="shared" si="670"/>
      </c>
      <c r="DU192" s="1128">
        <f t="shared" si="670"/>
      </c>
      <c r="DV192" s="1128">
        <f t="shared" si="670"/>
      </c>
      <c r="DW192" s="1252">
        <f t="shared" si="670"/>
      </c>
      <c r="DX192" s="1118">
        <f t="shared" si="670"/>
      </c>
      <c r="DY192" s="1128">
        <f t="shared" si="670"/>
      </c>
      <c r="DZ192" s="1128">
        <f t="shared" si="670"/>
      </c>
      <c r="EA192" s="1128">
        <f t="shared" si="670"/>
      </c>
      <c r="EB192" s="2140">
        <f t="shared" si="670"/>
      </c>
      <c r="EC192" s="2726">
        <f t="shared" si="670"/>
      </c>
      <c r="ED192" s="1128">
        <f t="shared" si="670"/>
      </c>
      <c r="EE192" s="1128">
        <f t="shared" si="670"/>
      </c>
      <c r="EF192" s="1128">
        <f t="shared" si="670"/>
      </c>
      <c r="EG192" s="2140">
        <f t="shared" si="670"/>
      </c>
      <c r="EH192" s="2726">
        <f t="shared" si="670"/>
      </c>
      <c r="EI192" s="1128">
        <f t="shared" si="670"/>
      </c>
      <c r="EJ192" s="1128">
        <f t="shared" si="670"/>
      </c>
      <c r="EK192" s="1128">
        <f t="shared" si="670"/>
      </c>
      <c r="EL192" s="1252">
        <f t="shared" si="670"/>
      </c>
      <c r="EM192" s="2517">
        <f t="shared" si="670"/>
      </c>
      <c r="EN192" s="2518">
        <f>+EN52</f>
      </c>
      <c r="EO192" s="2140">
        <f>+EO52</f>
      </c>
      <c r="EP192" s="1128">
        <f>+EP52</f>
      </c>
      <c r="EQ192" s="2149">
        <f t="shared" si="670"/>
      </c>
      <c r="ER192" s="2155">
        <f t="shared" si="670"/>
      </c>
      <c r="ES192" s="2518">
        <f>+ES52</f>
      </c>
      <c r="ET192" s="2140">
        <f>+ET52</f>
      </c>
      <c r="EU192" s="1128">
        <f>+EU52</f>
      </c>
      <c r="EV192" s="2149">
        <f t="shared" ref="EV192:EW192" si="671">+EV52</f>
      </c>
      <c r="EW192" s="2155">
        <f t="shared" si="671"/>
      </c>
      <c r="EX192" s="2518">
        <f>+EX52</f>
      </c>
      <c r="EY192" s="2140">
        <f>+EY52</f>
      </c>
      <c r="EZ192" s="2140">
        <f>+EZ52</f>
      </c>
      <c r="FA192" s="2149">
        <f>+FA52</f>
      </c>
      <c r="FB192" s="3588">
        <f t="shared" ref="FB192" si="672">+FB52</f>
      </c>
      <c r="FC192" s="1294">
        <f ca="1">+FC52</f>
      </c>
      <c r="FD192" s="1294">
        <f ca="1">+FD52</f>
      </c>
      <c r="FE192" s="1294">
        <f ca="1">+FE52</f>
      </c>
      <c r="FF192" s="1294">
        <f ca="1">+FF52</f>
      </c>
      <c r="FG192" s="1294">
        <f ca="1">+FG52</f>
      </c>
    </row>
    <row r="193" spans="1:163" outlineLevel="1">
      <c r="A193" s="1"/>
      <c r="B193" s="72"/>
      <c r="C193" s="72"/>
      <c r="D193" s="72"/>
      <c r="E193" s="72"/>
      <c r="F193" s="72"/>
      <c r="G193" s="72"/>
      <c r="H193" s="72"/>
      <c r="I193" s="72"/>
      <c r="J193" s="72"/>
      <c r="K193" s="72"/>
      <c r="L193" s="72"/>
      <c r="M193" s="72"/>
      <c r="N193" s="68"/>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
      <c r="BU193" s="1"/>
      <c r="BV193" s="10"/>
      <c r="BW193" s="10"/>
      <c r="BX193" s="1"/>
      <c r="BY193" s="1"/>
      <c r="BZ193" s="1"/>
      <c r="CA193" s="1"/>
      <c r="CB193" s="1"/>
      <c r="CC193" s="1"/>
      <c r="CD193" s="1"/>
      <c r="CE193" s="1"/>
      <c r="CF193" s="1"/>
      <c r="CG193" s="1"/>
      <c r="CH193" s="1"/>
      <c r="CI193" s="1"/>
      <c r="CJ193" s="1"/>
      <c r="CK193" s="1"/>
      <c r="CL193" s="1"/>
      <c r="CM193" s="1"/>
      <c r="CN193" s="1"/>
      <c r="CO193" s="1"/>
      <c r="CP193" s="1"/>
      <c r="CQ193" s="73"/>
      <c r="CR193" s="73"/>
      <c r="CS193" s="73"/>
      <c r="CT193" s="73"/>
      <c r="CU193" s="73"/>
      <c r="CV193" s="73"/>
      <c r="CW193" s="73"/>
      <c r="CX193" s="73"/>
      <c r="CY193" s="73"/>
      <c r="CZ193" s="73"/>
      <c r="DA193" s="73"/>
      <c r="DB193" s="73"/>
      <c r="DC193" s="73"/>
      <c r="DD193" s="73"/>
      <c r="DE193" s="73"/>
      <c r="DF193" s="73"/>
      <c r="DG193" s="73"/>
      <c r="DH193" s="1045"/>
      <c r="DI193" s="73"/>
      <c r="DJ193" s="73"/>
      <c r="DK193" s="73"/>
      <c r="DL193" s="1045"/>
      <c r="DM193" s="1045"/>
      <c r="DN193" s="73"/>
      <c r="DO193" s="1045"/>
      <c r="DP193" s="1045"/>
      <c r="DQ193" s="1045"/>
      <c r="DR193" s="1045"/>
      <c r="DS193" s="73"/>
      <c r="DT193" s="1045"/>
      <c r="DU193" s="1045"/>
      <c r="DV193" s="1045"/>
      <c r="DW193" s="1045"/>
      <c r="DX193" s="1045"/>
      <c r="DY193" s="1045"/>
      <c r="DZ193" s="1045"/>
      <c r="EA193" s="1045"/>
      <c r="EB193" s="1045"/>
      <c r="EC193" s="1045"/>
      <c r="ED193" s="1045"/>
      <c r="EE193" s="1045"/>
      <c r="EF193" s="1045"/>
      <c r="EG193" s="1045"/>
      <c r="EH193" s="1045"/>
      <c r="EI193" s="1045"/>
      <c r="EJ193" s="1045"/>
      <c r="EK193" s="1045"/>
      <c r="EL193" s="1045"/>
      <c r="EM193" s="1045"/>
      <c r="EN193" s="1045"/>
      <c r="EO193" s="1045"/>
      <c r="EP193" s="1045"/>
      <c r="EQ193" s="1045"/>
      <c r="ER193" s="1045"/>
      <c r="ES193" s="1045"/>
      <c r="ET193" s="1045"/>
      <c r="EU193" s="1045"/>
      <c r="EV193" s="1045"/>
      <c r="EW193" s="1045"/>
      <c r="EX193" s="1045"/>
      <c r="EY193" s="1045"/>
      <c r="EZ193" s="1045"/>
      <c r="FA193" s="1045"/>
      <c r="FB193" s="1045"/>
      <c r="FC193" s="1045"/>
      <c r="FD193" s="1045"/>
      <c r="FE193" s="1045"/>
      <c r="FF193" s="1045"/>
      <c r="FG193" s="1045"/>
    </row>
    <row r="194" spans="1:163" outlineLevel="1">
      <c r="A194" s="1"/>
      <c r="B194" s="778" t="s">
        <v>76</v>
      </c>
      <c r="C194" s="779"/>
      <c r="D194" s="779"/>
      <c r="E194" s="779"/>
      <c r="F194" s="779"/>
      <c r="G194" s="779"/>
      <c r="H194" s="779"/>
      <c r="I194" s="779"/>
      <c r="J194" s="779"/>
      <c r="K194" s="779"/>
      <c r="L194" s="779"/>
      <c r="M194" s="779"/>
      <c r="N194" s="755"/>
      <c r="O194" s="593"/>
      <c r="P194" s="593"/>
      <c r="Q194" s="593"/>
      <c r="R194" s="593"/>
      <c r="S194" s="593"/>
      <c r="T194" s="593"/>
      <c r="U194" s="593"/>
      <c r="V194" s="593"/>
      <c r="W194" s="593"/>
      <c r="X194" s="593"/>
      <c r="Y194" s="593"/>
      <c r="Z194" s="593"/>
      <c r="AA194" s="593"/>
      <c r="AB194" s="593"/>
      <c r="AC194" s="593"/>
      <c r="AD194" s="593"/>
      <c r="AE194" s="593"/>
      <c r="AF194" s="593"/>
      <c r="AG194" s="593"/>
      <c r="AH194" s="593"/>
      <c r="AI194" s="593"/>
      <c r="AJ194" s="593"/>
      <c r="AK194" s="593"/>
      <c r="AL194" s="593"/>
      <c r="AM194" s="593"/>
      <c r="AN194" s="593"/>
      <c r="AO194" s="593"/>
      <c r="AP194" s="593"/>
      <c r="AQ194" s="593"/>
      <c r="AR194" s="593"/>
      <c r="AS194" s="593"/>
      <c r="AT194" s="593"/>
      <c r="AU194" s="593"/>
      <c r="AV194" s="593"/>
      <c r="AW194" s="593"/>
      <c r="AX194" s="593"/>
      <c r="AY194" s="593"/>
      <c r="AZ194" s="593"/>
      <c r="BA194" s="593"/>
      <c r="BB194" s="593"/>
      <c r="BC194" s="593"/>
      <c r="BD194" s="593"/>
      <c r="BE194" s="593"/>
      <c r="BF194" s="593"/>
      <c r="BG194" s="593"/>
      <c r="BH194" s="593"/>
      <c r="BI194" s="593"/>
      <c r="BJ194" s="593"/>
      <c r="BK194" s="593"/>
      <c r="BL194" s="593"/>
      <c r="BM194" s="593"/>
      <c r="BN194" s="593"/>
      <c r="BO194" s="593"/>
      <c r="BP194" s="593"/>
      <c r="BQ194" s="593"/>
      <c r="BR194" s="593"/>
      <c r="BS194" s="593"/>
      <c r="BT194" s="593"/>
      <c r="BU194" s="771"/>
      <c r="BV194" s="593"/>
      <c r="BW194" s="593"/>
      <c r="BX194" s="593"/>
      <c r="BY194" s="593"/>
      <c r="BZ194" s="771"/>
      <c r="CA194" s="593"/>
      <c r="CB194" s="593"/>
      <c r="CC194" s="593"/>
      <c r="CD194" s="593"/>
      <c r="CE194" s="771"/>
      <c r="CF194" s="593"/>
      <c r="CG194" s="593"/>
      <c r="CH194" s="593"/>
      <c r="CI194" s="593"/>
      <c r="CJ194" s="771"/>
      <c r="CK194" s="593"/>
      <c r="CL194" s="593"/>
      <c r="CM194" s="593"/>
      <c r="CN194" s="593"/>
      <c r="CO194" s="771"/>
      <c r="CP194" s="593"/>
      <c r="CQ194" s="593"/>
      <c r="CR194" s="593"/>
      <c r="CS194" s="593"/>
      <c r="CT194" s="771"/>
      <c r="CU194" s="593"/>
      <c r="CV194" s="593"/>
      <c r="CW194" s="593"/>
      <c r="CX194" s="593"/>
      <c r="CY194" s="771"/>
      <c r="CZ194" s="593"/>
      <c r="DA194" s="593"/>
      <c r="DB194" s="593"/>
      <c r="DC194" s="593"/>
      <c r="DD194" s="771"/>
      <c r="DE194" s="593"/>
      <c r="DF194" s="593"/>
      <c r="DG194" s="593"/>
      <c r="DH194" s="593"/>
      <c r="DI194" s="771"/>
      <c r="DJ194" s="593"/>
      <c r="DK194" s="593"/>
      <c r="DL194" s="1033"/>
      <c r="DM194" s="1033"/>
      <c r="DN194" s="771"/>
      <c r="DO194" s="593"/>
      <c r="DP194" s="1124"/>
      <c r="DQ194" s="1124"/>
      <c r="DR194" s="1033"/>
      <c r="DS194" s="771"/>
      <c r="DT194" s="593"/>
      <c r="DU194" s="593"/>
      <c r="DV194" s="1124"/>
      <c r="DW194" s="1244"/>
      <c r="DX194" s="1113"/>
      <c r="DY194" s="1124"/>
      <c r="DZ194" s="593"/>
      <c r="EA194" s="1124"/>
      <c r="EB194" s="2692"/>
      <c r="EC194" s="2714"/>
      <c r="ED194" s="1124"/>
      <c r="EE194" s="1499"/>
      <c r="EF194" s="1499"/>
      <c r="EG194" s="2692"/>
      <c r="EH194" s="2714"/>
      <c r="EI194" s="1124"/>
      <c r="EJ194" s="1499"/>
      <c r="EK194" s="1499"/>
      <c r="EL194" s="1499"/>
      <c r="EM194" s="2509"/>
      <c r="EN194" s="2503"/>
      <c r="EO194" s="1499"/>
      <c r="EP194" s="2692"/>
      <c r="EQ194" s="2042"/>
      <c r="ER194" s="2041"/>
      <c r="ES194" s="2503"/>
      <c r="ET194" s="1499"/>
      <c r="EU194" s="2692"/>
      <c r="EV194" s="2042"/>
      <c r="EW194" s="2041"/>
      <c r="EX194" s="2503"/>
      <c r="EY194" s="1499"/>
      <c r="EZ194" s="1499"/>
      <c r="FA194" s="2042"/>
      <c r="FB194" s="2041"/>
      <c r="FC194" s="1287"/>
      <c r="FD194" s="1287"/>
      <c r="FE194" s="1287"/>
      <c r="FF194" s="1287"/>
      <c r="FG194" s="1287"/>
    </row>
    <row r="195" spans="1:163" outlineLevel="1">
      <c r="A195" s="1"/>
      <c r="B195" s="85" t="s">
        <v>77</v>
      </c>
      <c r="C195" s="86"/>
      <c r="D195" s="86"/>
      <c r="E195" s="86"/>
      <c r="F195" s="86"/>
      <c r="G195" s="86"/>
      <c r="H195" s="86"/>
      <c r="I195" s="86"/>
      <c r="J195" s="86"/>
      <c r="K195" s="86"/>
      <c r="L195" s="86"/>
      <c r="M195" s="86"/>
      <c r="N195" s="68"/>
      <c r="O195" s="34"/>
      <c r="P195" s="34"/>
      <c r="Q195" s="34"/>
      <c r="R195" s="34"/>
      <c r="S195" s="34"/>
      <c r="T195" s="34"/>
      <c r="U195" s="34"/>
      <c r="V195" s="10">
        <f>+U15</f>
      </c>
      <c r="W195" s="10">
        <f>+R15</f>
      </c>
      <c r="X195" s="10">
        <f>+W15</f>
      </c>
      <c r="Y195" s="10">
        <f>+X15</f>
      </c>
      <c r="Z195" s="10">
        <f>+Y15</f>
      </c>
      <c r="AA195" s="10">
        <f>+Z15</f>
      </c>
      <c r="AB195" s="10">
        <f>+W15</f>
      </c>
      <c r="AC195" s="10">
        <f>+AB15</f>
      </c>
      <c r="AD195" s="10">
        <f>+AC15</f>
      </c>
      <c r="AE195" s="10">
        <f>+AD15</f>
      </c>
      <c r="AF195" s="10">
        <f>+AE15</f>
      </c>
      <c r="AG195" s="10">
        <f>+AB15</f>
      </c>
      <c r="AH195" s="10">
        <f>+AG15</f>
      </c>
      <c r="AI195" s="10">
        <f>+AH15</f>
      </c>
      <c r="AJ195" s="10">
        <f>+AI15</f>
      </c>
      <c r="AK195" s="10">
        <f>+AJ15</f>
      </c>
      <c r="AL195" s="10">
        <f>+AG15</f>
      </c>
      <c r="AM195" s="10">
        <f>+AL15</f>
      </c>
      <c r="AN195" s="10">
        <f>+AM15</f>
      </c>
      <c r="AO195" s="10">
        <f>+AN15</f>
      </c>
      <c r="AP195" s="10">
        <f>+AO15</f>
      </c>
      <c r="AQ195" s="10">
        <f>+AL15</f>
      </c>
      <c r="AR195" s="10">
        <f>+AQ15</f>
      </c>
      <c r="AS195" s="10">
        <f>+AR15</f>
      </c>
      <c r="AT195" s="10">
        <f>+AS15</f>
      </c>
      <c r="AU195" s="10">
        <f>+AT15</f>
      </c>
      <c r="AV195" s="10">
        <f>+AQ15</f>
      </c>
      <c r="AW195" s="10">
        <f>+AV15</f>
      </c>
      <c r="AX195" s="10">
        <f>+AW15</f>
      </c>
      <c r="AY195" s="10">
        <f>+AX15</f>
      </c>
      <c r="AZ195" s="10">
        <f>+AY15</f>
      </c>
      <c r="BA195" s="10">
        <f>+AV15</f>
      </c>
      <c r="BB195" s="10">
        <f>+BA15</f>
      </c>
      <c r="BC195" s="10">
        <f>+BB15</f>
      </c>
      <c r="BD195" s="10">
        <f>+BC15</f>
      </c>
      <c r="BE195" s="10">
        <f>+BD15</f>
      </c>
      <c r="BF195" s="10">
        <f>+BA15</f>
      </c>
      <c r="BG195" s="10">
        <f>BF197</f>
      </c>
      <c r="BH195" s="10">
        <f>BG197</f>
      </c>
      <c r="BI195" s="10">
        <f>BH197</f>
      </c>
      <c r="BJ195" s="10">
        <f>BI197</f>
      </c>
      <c r="BK195" s="10">
        <f>BF197</f>
      </c>
      <c r="BL195" s="10">
        <f>BK197</f>
      </c>
      <c r="BM195" s="10">
        <f>BL197</f>
      </c>
      <c r="BN195" s="10">
        <f>BM197</f>
      </c>
      <c r="BO195" s="10">
        <f>BN197</f>
      </c>
      <c r="BP195" s="10">
        <f>BK197</f>
      </c>
      <c r="BQ195" s="10">
        <f>BP197</f>
      </c>
      <c r="BR195" s="10">
        <f>BQ197</f>
      </c>
      <c r="BS195" s="10">
        <f>BR197</f>
      </c>
      <c r="BT195" s="10">
        <f>BS197</f>
      </c>
      <c r="BU195" s="67">
        <f>BP197</f>
      </c>
      <c r="BV195" s="10">
        <f>BU197</f>
      </c>
      <c r="BW195" s="10">
        <f>BV197</f>
      </c>
      <c r="BX195" s="10">
        <f>BW197</f>
      </c>
      <c r="BY195" s="10">
        <f>BX197</f>
      </c>
      <c r="BZ195" s="67">
        <f>BU197</f>
      </c>
      <c r="CA195" s="10">
        <f>BY197</f>
      </c>
      <c r="CB195" s="10">
        <f>+CA197</f>
      </c>
      <c r="CC195" s="10">
        <f>+CB197</f>
      </c>
      <c r="CD195" s="10">
        <f>+CC197</f>
      </c>
      <c r="CE195" s="67">
        <f>+BZ197</f>
      </c>
      <c r="CF195" s="10">
        <f>+CE197</f>
      </c>
      <c r="CG195" s="10">
        <f>+CF197</f>
      </c>
      <c r="CH195" s="10">
        <f>+CG197</f>
      </c>
      <c r="CI195" s="10">
        <f>+CH197</f>
      </c>
      <c r="CJ195" s="67">
        <f>+CE197</f>
      </c>
      <c r="CK195" s="10">
        <f>+CJ197</f>
      </c>
      <c r="CL195" s="10">
        <f>+CK197</f>
      </c>
      <c r="CM195" s="10">
        <f>+CL197</f>
      </c>
      <c r="CN195" s="10">
        <f>+CM197</f>
      </c>
      <c r="CO195" s="67">
        <f>+CJ197</f>
      </c>
      <c r="CP195" s="10">
        <f>+CO197</f>
      </c>
      <c r="CQ195" s="10">
        <f>+CP197</f>
      </c>
      <c r="CR195" s="10">
        <f>+CQ197</f>
      </c>
      <c r="CS195" s="10">
        <f>+CR197</f>
      </c>
      <c r="CT195" s="67">
        <f>+CO197</f>
      </c>
      <c r="CU195" s="10">
        <f>+CT197</f>
      </c>
      <c r="CV195" s="10">
        <f>+CU197</f>
      </c>
      <c r="CW195" s="10">
        <f>+CV197</f>
      </c>
      <c r="CX195" s="10">
        <f>+CW197</f>
      </c>
      <c r="CY195" s="67">
        <f>+CT197</f>
      </c>
      <c r="CZ195" s="10">
        <f>+CY197</f>
      </c>
      <c r="DA195" s="10">
        <f>+CZ197</f>
      </c>
      <c r="DB195" s="10">
        <f>+DA197</f>
      </c>
      <c r="DC195" s="10">
        <f>+DB197</f>
      </c>
      <c r="DD195" s="67">
        <f>+CY197</f>
      </c>
      <c r="DE195" s="10">
        <f>+DD197</f>
      </c>
      <c r="DF195" s="10">
        <f>+DE197</f>
      </c>
      <c r="DG195" s="10">
        <f>+DF197</f>
      </c>
      <c r="DH195" s="10">
        <f>+DG197</f>
      </c>
      <c r="DI195" s="67">
        <f>+DD197</f>
      </c>
      <c r="DJ195" s="10">
        <f>+DI197</f>
      </c>
      <c r="DK195" s="10">
        <f>+DJ197</f>
      </c>
      <c r="DL195" s="10">
        <f>+DK197</f>
      </c>
      <c r="DM195" s="10">
        <f>+DL197</f>
      </c>
      <c r="DN195" s="67">
        <f>+DI197</f>
      </c>
      <c r="DO195" s="10">
        <f>+DN197</f>
      </c>
      <c r="DP195" s="10">
        <f>+DO197</f>
      </c>
      <c r="DQ195" s="10">
        <f>+DP197</f>
      </c>
      <c r="DR195" s="10">
        <f>+DQ197</f>
      </c>
      <c r="DS195" s="67">
        <f>+DN197</f>
      </c>
      <c r="DT195" s="10">
        <f>+DS197</f>
      </c>
      <c r="DU195" s="10">
        <f>+DT197</f>
      </c>
      <c r="DV195" s="948">
        <f>+DU197</f>
      </c>
      <c r="DW195" s="10">
        <f>+DV197</f>
      </c>
      <c r="DX195" s="67">
        <f>+DS197</f>
      </c>
      <c r="DY195" s="10">
        <f>+DX197</f>
      </c>
      <c r="DZ195" s="10">
        <f>+DY197</f>
      </c>
      <c r="EA195" s="10">
        <f>+DZ197</f>
      </c>
      <c r="EB195" s="10">
        <f>+EA197</f>
      </c>
      <c r="EC195" s="303">
        <f>+DX197</f>
      </c>
      <c r="ED195" s="10">
        <f>+EC197</f>
      </c>
      <c r="EE195" s="948">
        <f>+ED197</f>
      </c>
      <c r="EF195" s="948">
        <f>+EE197</f>
      </c>
      <c r="EG195" s="948">
        <f>+EF197</f>
      </c>
      <c r="EH195" s="1505">
        <f>+EC197</f>
      </c>
      <c r="EI195" s="948">
        <f>+EH197</f>
      </c>
      <c r="EJ195" s="948">
        <f>+EI197</f>
      </c>
      <c r="EK195" s="948">
        <f>+EJ197</f>
      </c>
      <c r="EL195" s="1251">
        <f>+EK197</f>
      </c>
      <c r="EM195" s="2089">
        <f>+EH197</f>
      </c>
      <c r="EN195" s="2100">
        <f>+EM197</f>
      </c>
      <c r="EO195" s="2704">
        <f>+EN197</f>
      </c>
      <c r="EP195" s="3086">
        <f>+EO197</f>
      </c>
      <c r="EQ195" s="1251">
        <f>+EP197</f>
      </c>
      <c r="ER195" s="1291">
        <f>+EM197</f>
      </c>
      <c r="ES195" s="2100">
        <f>+ER197</f>
      </c>
      <c r="ET195" s="2704">
        <f>+ES197</f>
      </c>
      <c r="EU195" s="3086">
        <f>+ET197</f>
      </c>
      <c r="EV195" s="1251">
        <f>+EU197</f>
      </c>
      <c r="EW195" s="1291">
        <f>+ER197</f>
      </c>
      <c r="EX195" s="2100">
        <f>+EW197</f>
      </c>
      <c r="EY195" s="2704">
        <f>+EX197</f>
      </c>
      <c r="EZ195" s="948">
        <f>+EY197</f>
      </c>
      <c r="FA195" s="1251">
        <f>+EZ197</f>
      </c>
      <c r="FB195" s="1291">
        <f>+EW197</f>
      </c>
      <c r="FC195" s="1291">
        <f t="shared" ref="FC195:FG195" si="673">+FB197</f>
      </c>
      <c r="FD195" s="1291">
        <f t="shared" si="673"/>
      </c>
      <c r="FE195" s="1291">
        <f t="shared" si="673"/>
      </c>
      <c r="FF195" s="1291">
        <f t="shared" si="673"/>
      </c>
      <c r="FG195" s="1291">
        <f t="shared" si="673"/>
      </c>
    </row>
    <row r="196" spans="1:163" outlineLevel="1">
      <c r="A196" s="1"/>
      <c r="B196" s="92" t="s">
        <v>78</v>
      </c>
      <c r="C196" s="118"/>
      <c r="D196" s="118"/>
      <c r="E196" s="118"/>
      <c r="F196" s="118"/>
      <c r="G196" s="118"/>
      <c r="H196" s="118"/>
      <c r="I196" s="118"/>
      <c r="J196" s="118"/>
      <c r="K196" s="118"/>
      <c r="L196" s="118"/>
      <c r="M196" s="118"/>
      <c r="N196" s="68"/>
      <c r="O196" s="34"/>
      <c r="P196" s="34"/>
      <c r="Q196" s="34"/>
      <c r="R196" s="34"/>
      <c r="S196" s="34"/>
      <c r="T196" s="34"/>
      <c r="U196" s="34"/>
      <c r="V196" s="10">
        <f t="shared" ref="V196:BU196" si="674">+V197-V195</f>
      </c>
      <c r="W196" s="10">
        <f t="shared" si="674"/>
      </c>
      <c r="X196" s="10">
        <f t="shared" si="674"/>
      </c>
      <c r="Y196" s="10">
        <f t="shared" si="674"/>
      </c>
      <c r="Z196" s="10">
        <f t="shared" si="674"/>
      </c>
      <c r="AA196" s="10">
        <f t="shared" si="674"/>
      </c>
      <c r="AB196" s="10">
        <f t="shared" si="674"/>
      </c>
      <c r="AC196" s="10">
        <f t="shared" si="674"/>
      </c>
      <c r="AD196" s="10">
        <f t="shared" si="674"/>
      </c>
      <c r="AE196" s="10">
        <f t="shared" si="674"/>
      </c>
      <c r="AF196" s="10">
        <f t="shared" si="674"/>
      </c>
      <c r="AG196" s="10">
        <f t="shared" si="674"/>
      </c>
      <c r="AH196" s="10">
        <f t="shared" si="674"/>
      </c>
      <c r="AI196" s="10">
        <f t="shared" si="674"/>
      </c>
      <c r="AJ196" s="10">
        <f t="shared" si="674"/>
      </c>
      <c r="AK196" s="10">
        <f t="shared" si="674"/>
      </c>
      <c r="AL196" s="10">
        <f t="shared" si="674"/>
      </c>
      <c r="AM196" s="10">
        <f t="shared" si="674"/>
      </c>
      <c r="AN196" s="10">
        <f t="shared" si="674"/>
      </c>
      <c r="AO196" s="10">
        <f t="shared" si="674"/>
      </c>
      <c r="AP196" s="10">
        <f t="shared" si="674"/>
      </c>
      <c r="AQ196" s="10">
        <f t="shared" si="674"/>
      </c>
      <c r="AR196" s="10">
        <f t="shared" si="674"/>
      </c>
      <c r="AS196" s="10">
        <f t="shared" si="674"/>
      </c>
      <c r="AT196" s="10">
        <f t="shared" si="674"/>
      </c>
      <c r="AU196" s="10">
        <f t="shared" si="674"/>
      </c>
      <c r="AV196" s="10">
        <f t="shared" si="674"/>
      </c>
      <c r="AW196" s="10">
        <f t="shared" si="674"/>
      </c>
      <c r="AX196" s="10">
        <f t="shared" si="674"/>
      </c>
      <c r="AY196" s="10">
        <f t="shared" si="674"/>
      </c>
      <c r="AZ196" s="10">
        <f t="shared" si="674"/>
      </c>
      <c r="BA196" s="10">
        <f t="shared" si="674"/>
      </c>
      <c r="BB196" s="10">
        <f t="shared" si="674"/>
      </c>
      <c r="BC196" s="10">
        <f t="shared" si="674"/>
      </c>
      <c r="BD196" s="10">
        <f t="shared" si="674"/>
      </c>
      <c r="BE196" s="10">
        <f t="shared" si="674"/>
      </c>
      <c r="BF196" s="10">
        <f t="shared" si="674"/>
      </c>
      <c r="BG196" s="10">
        <f t="shared" si="674"/>
      </c>
      <c r="BH196" s="10">
        <f t="shared" si="674"/>
      </c>
      <c r="BI196" s="10">
        <f t="shared" si="674"/>
      </c>
      <c r="BJ196" s="10">
        <f t="shared" si="674"/>
      </c>
      <c r="BK196" s="10">
        <f t="shared" si="674"/>
      </c>
      <c r="BL196" s="10">
        <f t="shared" si="674"/>
      </c>
      <c r="BM196" s="10">
        <f t="shared" si="674"/>
      </c>
      <c r="BN196" s="10">
        <f t="shared" si="674"/>
      </c>
      <c r="BO196" s="10">
        <f t="shared" si="674"/>
      </c>
      <c r="BP196" s="10">
        <f t="shared" si="674"/>
      </c>
      <c r="BQ196" s="10">
        <f t="shared" si="674"/>
      </c>
      <c r="BR196" s="10">
        <f t="shared" si="674"/>
      </c>
      <c r="BS196" s="10">
        <f t="shared" si="674"/>
      </c>
      <c r="BT196" s="10">
        <f t="shared" si="674"/>
      </c>
      <c r="BU196" s="67">
        <f t="shared" si="674"/>
      </c>
      <c r="BV196" s="10">
        <f t="shared" ref="BV196:CH196" si="675">+BV197-BV195</f>
      </c>
      <c r="BW196" s="10">
        <f t="shared" si="675"/>
      </c>
      <c r="BX196" s="10">
        <f t="shared" si="675"/>
      </c>
      <c r="BY196" s="10">
        <f t="shared" si="675"/>
      </c>
      <c r="BZ196" s="67">
        <f t="shared" si="675"/>
      </c>
      <c r="CA196" s="10">
        <f t="shared" si="675"/>
      </c>
      <c r="CB196" s="10">
        <f t="shared" si="675"/>
      </c>
      <c r="CC196" s="10">
        <f t="shared" si="675"/>
      </c>
      <c r="CD196" s="10">
        <f t="shared" si="675"/>
      </c>
      <c r="CE196" s="67">
        <f t="shared" si="675"/>
      </c>
      <c r="CF196" s="10">
        <f t="shared" si="675"/>
      </c>
      <c r="CG196" s="10">
        <f t="shared" si="675"/>
      </c>
      <c r="CH196" s="10">
        <f t="shared" si="675"/>
      </c>
      <c r="CI196" s="10">
        <f>+CI197-CI195</f>
      </c>
      <c r="CJ196" s="552">
        <f>SUM(CF196:CI196)</f>
      </c>
      <c r="CK196" s="10">
        <f>+CK197-CK195</f>
      </c>
      <c r="CL196" s="10">
        <f>+CL197-CL195</f>
      </c>
      <c r="CM196" s="10">
        <f>+CM197-CM195</f>
      </c>
      <c r="CN196" s="10">
        <f>+CN197-CN195</f>
      </c>
      <c r="CO196" s="552">
        <f>SUM(CK196:CN196)</f>
      </c>
      <c r="CP196" s="10">
        <f>+CP197-CP195</f>
      </c>
      <c r="CQ196" s="10">
        <f>+CQ197-CQ195</f>
      </c>
      <c r="CR196" s="10">
        <f>+CR197-CR195</f>
      </c>
      <c r="CS196" s="10">
        <f>+CS197-CS195</f>
      </c>
      <c r="CT196" s="552">
        <f>SUM(CP196:CS196)</f>
      </c>
      <c r="CU196" s="10">
        <f>+CU197-CU195</f>
      </c>
      <c r="CV196" s="10">
        <f>+CV197-CV195</f>
      </c>
      <c r="CW196" s="10">
        <f>+CW197-CW195</f>
      </c>
      <c r="CX196" s="10">
        <f>+CX197-CX195</f>
      </c>
      <c r="CY196" s="552">
        <f>SUM(CU196:CX196)</f>
      </c>
      <c r="CZ196" s="10">
        <f>+CZ197-CZ195</f>
      </c>
      <c r="DA196" s="10">
        <f>+DA197-DA195</f>
      </c>
      <c r="DB196" s="10">
        <f>+DB197-DB195</f>
      </c>
      <c r="DC196" s="10">
        <f>+DC197-DC195</f>
      </c>
      <c r="DD196" s="552">
        <f>SUM(CZ196:DC196)</f>
      </c>
      <c r="DE196" s="10">
        <f>+DE197-DE195</f>
      </c>
      <c r="DF196" s="10">
        <f>+DF197-DF195</f>
      </c>
      <c r="DG196" s="10">
        <f>+DG197-DG195</f>
      </c>
      <c r="DH196" s="10">
        <f>+DH197-DH195</f>
      </c>
      <c r="DI196" s="1445">
        <f>SUM(DE196:DH196)</f>
      </c>
      <c r="DJ196" s="10">
        <f>+DJ197-DJ195</f>
      </c>
      <c r="DK196" s="10">
        <f>+DK197-DK195</f>
      </c>
      <c r="DL196" s="10">
        <f>+DL197-DL195</f>
      </c>
      <c r="DM196" s="10">
        <f>+DM197-DM195</f>
      </c>
      <c r="DN196" s="552">
        <f>SUM(DJ196:DM196)</f>
      </c>
      <c r="DO196" s="10">
        <f>+DO197-DO195</f>
      </c>
      <c r="DP196" s="10">
        <f>+DP197-DP195</f>
      </c>
      <c r="DQ196" s="10">
        <f>+DQ197-DQ195</f>
      </c>
      <c r="DR196" s="10">
        <f>+DR197-DR195</f>
      </c>
      <c r="DS196" s="552">
        <f>SUM(DO196:DR196)</f>
      </c>
      <c r="DT196" s="10">
        <f>+DT197-DT195</f>
      </c>
      <c r="DU196" s="10">
        <f>+DU197-DU195</f>
      </c>
      <c r="DV196" s="10">
        <f>+DV197-DV195</f>
      </c>
      <c r="DW196" s="10">
        <f>+DW197-DW195</f>
      </c>
      <c r="DX196" s="552">
        <f>SUM(DT196:DW196)</f>
      </c>
      <c r="DY196" s="10">
        <f>+DY197-DY195</f>
      </c>
      <c r="DZ196" s="10">
        <f>+DZ197-DZ195</f>
      </c>
      <c r="EA196" s="10">
        <f>+EA197-EA195</f>
      </c>
      <c r="EB196" s="10">
        <f>+EB197-EB195</f>
      </c>
      <c r="EC196" s="283">
        <f>SUM(DY196:EB196)</f>
      </c>
      <c r="ED196" s="10">
        <f>+ED197-ED195</f>
      </c>
      <c r="EE196" s="10">
        <f>+EE197-EE195</f>
      </c>
      <c r="EF196" s="10">
        <f>+EF197-EF195</f>
      </c>
      <c r="EG196" s="10">
        <f>+EG197-EG195</f>
      </c>
      <c r="EH196" s="2748">
        <f>+SUM(ED196:EG196)</f>
      </c>
      <c r="EI196" s="10">
        <f>+EI197-EI195</f>
      </c>
      <c r="EJ196" s="10">
        <f>+EJ197-EJ195</f>
      </c>
      <c r="EK196" s="10">
        <f>+EK197-EK195</f>
      </c>
      <c r="EL196" s="10">
        <f>+EL197-EL195</f>
      </c>
      <c r="EM196" s="2555">
        <f>+SUM(EI196:EL196)</f>
      </c>
      <c r="EN196" s="130">
        <f>+EN197-EN195</f>
      </c>
      <c r="EO196" s="10">
        <f>+EO197-EO195</f>
      </c>
      <c r="EP196" s="948">
        <f>+EP197-EP195</f>
      </c>
      <c r="EQ196" s="10">
        <f>+EQ197-EQ195</f>
      </c>
      <c r="ER196" s="3396">
        <f>+SUM(EN196:EQ196)</f>
      </c>
      <c r="ES196" s="130">
        <f>+ES197-ES195</f>
      </c>
      <c r="ET196" s="10">
        <f>+ET197-ET195</f>
      </c>
      <c r="EU196" s="948">
        <f>+EU197-EU195</f>
      </c>
      <c r="EV196" s="10">
        <f>+EV197-EV195</f>
      </c>
      <c r="EW196" s="3396">
        <f>+SUM(ES196:EV196)</f>
      </c>
      <c r="EX196" s="130">
        <f>+EX197-EX195</f>
      </c>
      <c r="EY196" s="10">
        <f>+EY197-EY195</f>
      </c>
      <c r="EZ196" s="688">
        <v>0</v>
      </c>
      <c r="FA196" s="2180">
        <v>0</v>
      </c>
      <c r="FB196" s="405">
        <v>0</v>
      </c>
      <c r="FC196" s="405">
        <v>0</v>
      </c>
      <c r="FD196" s="405">
        <v>0</v>
      </c>
      <c r="FE196" s="405">
        <v>0</v>
      </c>
      <c r="FF196" s="405">
        <v>0</v>
      </c>
      <c r="FG196" s="405">
        <v>0</v>
      </c>
    </row>
    <row r="197" spans="1:163" outlineLevel="1">
      <c r="A197" s="1"/>
      <c r="B197" s="109" t="s">
        <v>79</v>
      </c>
      <c r="C197" s="125"/>
      <c r="D197" s="125"/>
      <c r="E197" s="125"/>
      <c r="F197" s="125"/>
      <c r="G197" s="125"/>
      <c r="H197" s="125"/>
      <c r="I197" s="125"/>
      <c r="J197" s="125"/>
      <c r="K197" s="125"/>
      <c r="L197" s="125"/>
      <c r="M197" s="125"/>
      <c r="N197" s="74"/>
      <c r="O197" s="2"/>
      <c r="P197" s="2"/>
      <c r="Q197" s="2"/>
      <c r="R197" s="2"/>
      <c r="S197" s="2"/>
      <c r="T197" s="2"/>
      <c r="U197" s="2"/>
      <c r="V197" s="82">
        <f t="shared" ref="V197:BA197" si="676">+V15</f>
      </c>
      <c r="W197" s="82">
        <f t="shared" si="676"/>
      </c>
      <c r="X197" s="82">
        <f t="shared" si="676"/>
      </c>
      <c r="Y197" s="82">
        <f t="shared" si="676"/>
      </c>
      <c r="Z197" s="82">
        <f t="shared" si="676"/>
      </c>
      <c r="AA197" s="82">
        <f t="shared" si="676"/>
      </c>
      <c r="AB197" s="82">
        <f t="shared" si="676"/>
      </c>
      <c r="AC197" s="82">
        <f t="shared" si="676"/>
      </c>
      <c r="AD197" s="82">
        <f t="shared" si="676"/>
      </c>
      <c r="AE197" s="82">
        <f t="shared" si="676"/>
      </c>
      <c r="AF197" s="82">
        <f t="shared" si="676"/>
      </c>
      <c r="AG197" s="82">
        <f t="shared" si="676"/>
      </c>
      <c r="AH197" s="82">
        <f t="shared" si="676"/>
      </c>
      <c r="AI197" s="82">
        <f t="shared" si="676"/>
      </c>
      <c r="AJ197" s="82">
        <f t="shared" si="676"/>
      </c>
      <c r="AK197" s="82">
        <f t="shared" si="676"/>
      </c>
      <c r="AL197" s="82">
        <f t="shared" si="676"/>
      </c>
      <c r="AM197" s="82">
        <f t="shared" si="676"/>
      </c>
      <c r="AN197" s="82">
        <f t="shared" si="676"/>
      </c>
      <c r="AO197" s="82">
        <f t="shared" si="676"/>
      </c>
      <c r="AP197" s="82">
        <f t="shared" si="676"/>
      </c>
      <c r="AQ197" s="82">
        <f t="shared" si="676"/>
      </c>
      <c r="AR197" s="82">
        <f t="shared" si="676"/>
      </c>
      <c r="AS197" s="82">
        <f t="shared" si="676"/>
      </c>
      <c r="AT197" s="82">
        <f t="shared" si="676"/>
      </c>
      <c r="AU197" s="82">
        <f t="shared" si="676"/>
      </c>
      <c r="AV197" s="82">
        <f t="shared" si="676"/>
      </c>
      <c r="AW197" s="82">
        <f t="shared" si="676"/>
      </c>
      <c r="AX197" s="82">
        <f t="shared" si="676"/>
      </c>
      <c r="AY197" s="82">
        <f t="shared" si="676"/>
      </c>
      <c r="AZ197" s="82">
        <f t="shared" si="676"/>
      </c>
      <c r="BA197" s="82">
        <f t="shared" si="676"/>
      </c>
      <c r="BB197" s="82">
        <f t="shared" ref="BB197:BU197" si="677">+BB15</f>
      </c>
      <c r="BC197" s="82">
        <f t="shared" si="677"/>
      </c>
      <c r="BD197" s="82">
        <f t="shared" si="677"/>
      </c>
      <c r="BE197" s="82">
        <f t="shared" si="677"/>
      </c>
      <c r="BF197" s="82">
        <f t="shared" si="677"/>
      </c>
      <c r="BG197" s="82">
        <f t="shared" si="677"/>
      </c>
      <c r="BH197" s="82">
        <f t="shared" si="677"/>
      </c>
      <c r="BI197" s="82">
        <f t="shared" si="677"/>
      </c>
      <c r="BJ197" s="82">
        <f t="shared" si="677"/>
      </c>
      <c r="BK197" s="82">
        <f t="shared" si="677"/>
      </c>
      <c r="BL197" s="82">
        <f t="shared" si="677"/>
      </c>
      <c r="BM197" s="82">
        <f t="shared" si="677"/>
      </c>
      <c r="BN197" s="82">
        <f t="shared" si="677"/>
      </c>
      <c r="BO197" s="82">
        <f t="shared" si="677"/>
      </c>
      <c r="BP197" s="82">
        <f t="shared" si="677"/>
      </c>
      <c r="BQ197" s="82">
        <f t="shared" si="677"/>
      </c>
      <c r="BR197" s="82">
        <f t="shared" si="677"/>
      </c>
      <c r="BS197" s="82">
        <f t="shared" si="677"/>
      </c>
      <c r="BT197" s="82">
        <f t="shared" si="677"/>
      </c>
      <c r="BU197" s="548">
        <f t="shared" si="677"/>
      </c>
      <c r="BV197" s="82">
        <f t="shared" ref="BV197:CH197" si="678">+BV15</f>
      </c>
      <c r="BW197" s="82">
        <f t="shared" si="678"/>
      </c>
      <c r="BX197" s="82">
        <f t="shared" si="678"/>
      </c>
      <c r="BY197" s="82">
        <f t="shared" si="678"/>
      </c>
      <c r="BZ197" s="548">
        <f t="shared" si="678"/>
      </c>
      <c r="CA197" s="82">
        <f t="shared" si="678"/>
      </c>
      <c r="CB197" s="82">
        <f t="shared" si="678"/>
      </c>
      <c r="CC197" s="82">
        <f t="shared" si="678"/>
      </c>
      <c r="CD197" s="82">
        <f t="shared" si="678"/>
      </c>
      <c r="CE197" s="548">
        <f t="shared" si="678"/>
      </c>
      <c r="CF197" s="82">
        <f t="shared" si="678"/>
      </c>
      <c r="CG197" s="82">
        <f t="shared" si="678"/>
      </c>
      <c r="CH197" s="82">
        <f t="shared" si="678"/>
      </c>
      <c r="CI197" s="82">
        <f>+CI15</f>
      </c>
      <c r="CJ197" s="548">
        <f>SUM(CJ195:CJ196)</f>
      </c>
      <c r="CK197" s="82">
        <f>+CK15</f>
      </c>
      <c r="CL197" s="82">
        <f>+CL15</f>
      </c>
      <c r="CM197" s="82">
        <f>+CM15</f>
      </c>
      <c r="CN197" s="82">
        <f>+CN15</f>
      </c>
      <c r="CO197" s="548">
        <f>SUM(CO195:CO196)</f>
      </c>
      <c r="CP197" s="82">
        <f>+CP15</f>
      </c>
      <c r="CQ197" s="82">
        <f>+CQ15</f>
      </c>
      <c r="CR197" s="82">
        <f>+CR15</f>
      </c>
      <c r="CS197" s="82">
        <f>+CS15</f>
      </c>
      <c r="CT197" s="548">
        <f>SUM(CT195:CT196)</f>
      </c>
      <c r="CU197" s="82">
        <f>+CU15</f>
      </c>
      <c r="CV197" s="82">
        <f>+CV15</f>
      </c>
      <c r="CW197" s="82">
        <f>+CW15</f>
      </c>
      <c r="CX197" s="82">
        <f>+CX15</f>
      </c>
      <c r="CY197" s="548">
        <f>SUM(CY195:CY196)</f>
      </c>
      <c r="CZ197" s="82">
        <f>+CZ15</f>
      </c>
      <c r="DA197" s="82">
        <f>+DA15</f>
      </c>
      <c r="DB197" s="82">
        <f>+DB15</f>
      </c>
      <c r="DC197" s="82">
        <f>+DC15</f>
      </c>
      <c r="DD197" s="548">
        <f>SUM(DD195:DD196)</f>
      </c>
      <c r="DE197" s="82">
        <f>+DE15</f>
      </c>
      <c r="DF197" s="82">
        <f>+DF15</f>
      </c>
      <c r="DG197" s="82">
        <f>+DG15</f>
      </c>
      <c r="DH197" s="82">
        <f>+DH15</f>
      </c>
      <c r="DI197" s="548">
        <f>SUM(DI195:DI196)</f>
      </c>
      <c r="DJ197" s="82">
        <f>+DJ15</f>
      </c>
      <c r="DK197" s="82">
        <f>+DK15</f>
      </c>
      <c r="DL197" s="82">
        <f>+DL15</f>
      </c>
      <c r="DM197" s="82">
        <f>+DM15</f>
      </c>
      <c r="DN197" s="548">
        <f>SUM(DN195:DN196)</f>
      </c>
      <c r="DO197" s="82">
        <f>+DO15</f>
      </c>
      <c r="DP197" s="82">
        <f>+DP15</f>
      </c>
      <c r="DQ197" s="82">
        <f>+DQ15</f>
      </c>
      <c r="DR197" s="82">
        <f>+DR15</f>
      </c>
      <c r="DS197" s="548">
        <f>SUM(DS195:DS196)</f>
      </c>
      <c r="DT197" s="82">
        <f>+DT15</f>
      </c>
      <c r="DU197" s="82">
        <f>+DU15</f>
      </c>
      <c r="DV197" s="82">
        <f>+DV15</f>
      </c>
      <c r="DW197" s="82">
        <f>+DW15</f>
      </c>
      <c r="DX197" s="548">
        <f>SUM(DX195:DX196)</f>
      </c>
      <c r="DY197" s="82">
        <f>+DY15</f>
      </c>
      <c r="DZ197" s="82">
        <f>+DZ15</f>
      </c>
      <c r="EA197" s="82">
        <f>+EA15</f>
      </c>
      <c r="EB197" s="2705">
        <f>+EB15</f>
      </c>
      <c r="EC197" s="2729">
        <f>SUM(EC195:EC196)</f>
      </c>
      <c r="ED197" s="82">
        <f>+ED15</f>
      </c>
      <c r="EE197" s="82">
        <f>+EE15</f>
      </c>
      <c r="EF197" s="82">
        <f>+EF15</f>
      </c>
      <c r="EG197" s="2705">
        <f>+EG15</f>
      </c>
      <c r="EH197" s="2726">
        <f>SUM(EH195:EH196)</f>
      </c>
      <c r="EI197" s="82">
        <f>+EI15</f>
      </c>
      <c r="EJ197" s="82">
        <f>+EJ15</f>
      </c>
      <c r="EK197" s="82">
        <f>+EK15</f>
      </c>
      <c r="EL197" s="82">
        <f>+EL15</f>
      </c>
      <c r="EM197" s="2517">
        <f>SUM(EM195:EM196)</f>
      </c>
      <c r="EN197" s="2575">
        <f>+EN15</f>
      </c>
      <c r="EO197" s="2705">
        <f>+EO15</f>
      </c>
      <c r="EP197" s="1128">
        <f>+EP15</f>
      </c>
      <c r="EQ197" s="82">
        <f>+EQ15</f>
      </c>
      <c r="ER197" s="3399">
        <f t="shared" ref="ER197:FD197" si="679">SUM(ER195:ER196)</f>
      </c>
      <c r="ES197" s="2575">
        <f>+ES15</f>
      </c>
      <c r="ET197" s="2705">
        <f>+ET15</f>
      </c>
      <c r="EU197" s="1128">
        <f>+EU15</f>
      </c>
      <c r="EV197" s="82">
        <f>+EV15</f>
      </c>
      <c r="EW197" s="3399">
        <f t="shared" ref="EW197" si="680">SUM(EW195:EW196)</f>
      </c>
      <c r="EX197" s="2575">
        <f>+EX15</f>
      </c>
      <c r="EY197" s="2705">
        <f>+EY15</f>
      </c>
      <c r="EZ197" s="2140">
        <f t="shared" ref="EZ197:FA197" si="681">SUM(EZ195:EZ196)</f>
      </c>
      <c r="FA197" s="2149">
        <f t="shared" si="681"/>
      </c>
      <c r="FB197" s="3588">
        <f t="shared" si="679"/>
      </c>
      <c r="FC197" s="1294">
        <f t="shared" si="679"/>
      </c>
      <c r="FD197" s="1294">
        <f t="shared" si="679"/>
      </c>
      <c r="FE197" s="1294">
        <f>SUM(FE195:FE196)</f>
      </c>
      <c r="FF197" s="1294">
        <f>SUM(FF195:FF196)</f>
      </c>
      <c r="FG197" s="1294">
        <f>SUM(FG195:FG196)</f>
      </c>
    </row>
    <row r="198" spans="1:163" outlineLevel="1">
      <c r="A198" s="1"/>
      <c r="B198" s="72"/>
      <c r="C198" s="72"/>
      <c r="D198" s="72"/>
      <c r="E198" s="72"/>
      <c r="F198" s="72"/>
      <c r="G198" s="72"/>
      <c r="H198" s="72"/>
      <c r="I198" s="72"/>
      <c r="J198" s="72"/>
      <c r="K198" s="72"/>
      <c r="L198" s="72"/>
      <c r="M198" s="72"/>
      <c r="N198" s="68"/>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73"/>
      <c r="CR198" s="73"/>
      <c r="CS198" s="73"/>
      <c r="CT198" s="73"/>
      <c r="CU198" s="1"/>
      <c r="CV198" s="73"/>
      <c r="CW198" s="73"/>
      <c r="CX198" s="73"/>
      <c r="CY198" s="73"/>
      <c r="CZ198" s="1"/>
      <c r="DA198" s="73"/>
      <c r="DB198" s="73"/>
      <c r="DC198" s="73"/>
      <c r="DD198" s="73"/>
      <c r="DE198" s="1"/>
      <c r="DF198" s="73"/>
      <c r="DG198" s="73"/>
      <c r="DH198" s="73"/>
      <c r="DI198" s="73"/>
      <c r="DJ198" s="1"/>
      <c r="DK198" s="1"/>
      <c r="DL198" s="1"/>
      <c r="DM198" s="73"/>
      <c r="DN198" s="73"/>
      <c r="DO198" s="1"/>
      <c r="DP198" s="1045"/>
      <c r="DQ198" s="1045"/>
      <c r="DR198" s="73"/>
      <c r="DS198" s="73"/>
      <c r="DT198" s="1"/>
      <c r="DU198" s="1"/>
      <c r="DV198" s="1045"/>
      <c r="DW198" s="1045"/>
      <c r="DX198" s="1045"/>
      <c r="DY198" s="1045"/>
      <c r="DZ198" s="1"/>
      <c r="EA198" s="1045"/>
      <c r="EB198" s="1045"/>
      <c r="EC198" s="1045"/>
      <c r="ED198" s="1045"/>
      <c r="EE198" s="1045"/>
      <c r="EF198" s="1045"/>
      <c r="EG198" s="1045"/>
      <c r="EH198" s="1045"/>
      <c r="EI198" s="1045"/>
      <c r="EJ198" s="1045"/>
      <c r="EK198" s="1045"/>
      <c r="EL198" s="1045"/>
      <c r="EM198" s="1045"/>
      <c r="EN198" s="1045"/>
      <c r="EO198" s="1045"/>
      <c r="EP198" s="1045"/>
      <c r="EQ198" s="1045"/>
      <c r="ER198" s="1045"/>
      <c r="ES198" s="1045"/>
      <c r="ET198" s="1045"/>
      <c r="EU198" s="1045"/>
      <c r="EV198" s="1045"/>
      <c r="EW198" s="1045"/>
      <c r="EX198" s="1045"/>
      <c r="EY198" s="1045"/>
      <c r="EZ198" s="1045"/>
      <c r="FA198" s="1045"/>
      <c r="FB198" s="1045"/>
      <c r="FC198" s="1045"/>
      <c r="FD198" s="1045"/>
      <c r="FE198" s="1045"/>
      <c r="FF198" s="1045"/>
      <c r="FG198" s="1045"/>
    </row>
    <row r="199" spans="1:163" outlineLevel="1">
      <c r="A199" s="1"/>
      <c r="B199" s="778" t="s">
        <v>80</v>
      </c>
      <c r="C199" s="779"/>
      <c r="D199" s="779"/>
      <c r="E199" s="779"/>
      <c r="F199" s="779"/>
      <c r="G199" s="779"/>
      <c r="H199" s="779"/>
      <c r="I199" s="779"/>
      <c r="J199" s="779"/>
      <c r="K199" s="779"/>
      <c r="L199" s="779"/>
      <c r="M199" s="779"/>
      <c r="N199" s="755"/>
      <c r="O199" s="593"/>
      <c r="P199" s="593"/>
      <c r="Q199" s="593"/>
      <c r="R199" s="593"/>
      <c r="S199" s="593"/>
      <c r="T199" s="593"/>
      <c r="U199" s="593"/>
      <c r="V199" s="593"/>
      <c r="W199" s="593"/>
      <c r="X199" s="593"/>
      <c r="Y199" s="593"/>
      <c r="Z199" s="593"/>
      <c r="AA199" s="593"/>
      <c r="AB199" s="593"/>
      <c r="AC199" s="593"/>
      <c r="AD199" s="593"/>
      <c r="AE199" s="593"/>
      <c r="AF199" s="593"/>
      <c r="AG199" s="593"/>
      <c r="AH199" s="593"/>
      <c r="AI199" s="593"/>
      <c r="AJ199" s="593"/>
      <c r="AK199" s="593"/>
      <c r="AL199" s="593"/>
      <c r="AM199" s="593"/>
      <c r="AN199" s="593"/>
      <c r="AO199" s="593"/>
      <c r="AP199" s="593"/>
      <c r="AQ199" s="593"/>
      <c r="AR199" s="593"/>
      <c r="AS199" s="593"/>
      <c r="AT199" s="593"/>
      <c r="AU199" s="593"/>
      <c r="AV199" s="593"/>
      <c r="AW199" s="593"/>
      <c r="AX199" s="593"/>
      <c r="AY199" s="593"/>
      <c r="AZ199" s="593"/>
      <c r="BA199" s="593"/>
      <c r="BB199" s="593"/>
      <c r="BC199" s="593"/>
      <c r="BD199" s="593"/>
      <c r="BE199" s="593"/>
      <c r="BF199" s="593"/>
      <c r="BG199" s="593"/>
      <c r="BH199" s="593"/>
      <c r="BI199" s="593"/>
      <c r="BJ199" s="593"/>
      <c r="BK199" s="593"/>
      <c r="BL199" s="593"/>
      <c r="BM199" s="593"/>
      <c r="BN199" s="593"/>
      <c r="BO199" s="593"/>
      <c r="BP199" s="593"/>
      <c r="BQ199" s="593"/>
      <c r="BR199" s="593"/>
      <c r="BS199" s="593"/>
      <c r="BT199" s="593"/>
      <c r="BU199" s="771"/>
      <c r="BV199" s="593"/>
      <c r="BW199" s="593"/>
      <c r="BX199" s="593"/>
      <c r="BY199" s="593"/>
      <c r="BZ199" s="771"/>
      <c r="CA199" s="593"/>
      <c r="CB199" s="593"/>
      <c r="CC199" s="593"/>
      <c r="CD199" s="593"/>
      <c r="CE199" s="771"/>
      <c r="CF199" s="593"/>
      <c r="CG199" s="593"/>
      <c r="CH199" s="593"/>
      <c r="CI199" s="593"/>
      <c r="CJ199" s="771"/>
      <c r="CK199" s="593"/>
      <c r="CL199" s="593"/>
      <c r="CM199" s="593"/>
      <c r="CN199" s="593"/>
      <c r="CO199" s="771"/>
      <c r="CP199" s="593"/>
      <c r="CQ199" s="593"/>
      <c r="CR199" s="593"/>
      <c r="CS199" s="593"/>
      <c r="CT199" s="771"/>
      <c r="CU199" s="593"/>
      <c r="CV199" s="593"/>
      <c r="CW199" s="593"/>
      <c r="CX199" s="593"/>
      <c r="CY199" s="771"/>
      <c r="CZ199" s="593"/>
      <c r="DA199" s="593"/>
      <c r="DB199" s="593"/>
      <c r="DC199" s="593"/>
      <c r="DD199" s="771"/>
      <c r="DE199" s="593"/>
      <c r="DF199" s="593"/>
      <c r="DG199" s="593"/>
      <c r="DH199" s="593"/>
      <c r="DI199" s="771"/>
      <c r="DJ199" s="593"/>
      <c r="DK199" s="593"/>
      <c r="DL199" s="593"/>
      <c r="DM199" s="593"/>
      <c r="DN199" s="771"/>
      <c r="DO199" s="593"/>
      <c r="DP199" s="1124"/>
      <c r="DQ199" s="1124"/>
      <c r="DR199" s="593"/>
      <c r="DS199" s="771"/>
      <c r="DT199" s="593"/>
      <c r="DU199" s="593"/>
      <c r="DV199" s="1124"/>
      <c r="DW199" s="1244"/>
      <c r="DX199" s="1113"/>
      <c r="DY199" s="1124"/>
      <c r="DZ199" s="593"/>
      <c r="EA199" s="1124"/>
      <c r="EB199" s="2692"/>
      <c r="EC199" s="2714"/>
      <c r="ED199" s="1124"/>
      <c r="EE199" s="1499"/>
      <c r="EF199" s="1499"/>
      <c r="EG199" s="2692"/>
      <c r="EH199" s="2714"/>
      <c r="EI199" s="1124"/>
      <c r="EJ199" s="1499"/>
      <c r="EK199" s="1499"/>
      <c r="EL199" s="1499"/>
      <c r="EM199" s="2509"/>
      <c r="EN199" s="2503"/>
      <c r="EO199" s="1499"/>
      <c r="EP199" s="2692"/>
      <c r="EQ199" s="2042"/>
      <c r="ER199" s="2041"/>
      <c r="ES199" s="2503"/>
      <c r="ET199" s="1499"/>
      <c r="EU199" s="2692"/>
      <c r="EV199" s="2042"/>
      <c r="EW199" s="2041"/>
      <c r="EX199" s="2503"/>
      <c r="EY199" s="1499"/>
      <c r="EZ199" s="1499"/>
      <c r="FA199" s="2042"/>
      <c r="FB199" s="2041"/>
      <c r="FC199" s="1287"/>
      <c r="FD199" s="1287"/>
      <c r="FE199" s="1287"/>
      <c r="FF199" s="1287"/>
      <c r="FG199" s="1287"/>
    </row>
    <row r="200" spans="1:163" outlineLevel="1">
      <c r="A200" s="1"/>
      <c r="B200" s="85" t="s">
        <v>81</v>
      </c>
      <c r="C200" s="86"/>
      <c r="D200" s="86"/>
      <c r="E200" s="86"/>
      <c r="F200" s="86"/>
      <c r="G200" s="86"/>
      <c r="H200" s="86"/>
      <c r="I200" s="86"/>
      <c r="J200" s="86"/>
      <c r="K200" s="86"/>
      <c r="L200" s="86"/>
      <c r="M200" s="86"/>
      <c r="N200" s="68"/>
      <c r="O200" s="1"/>
      <c r="P200" s="1"/>
      <c r="Q200" s="1"/>
      <c r="R200" s="1"/>
      <c r="S200" s="1"/>
      <c r="T200" s="1"/>
      <c r="U200" s="1"/>
      <c r="V200" s="10">
        <f>+U21</f>
      </c>
      <c r="W200" s="10">
        <f>+R21</f>
      </c>
      <c r="X200" s="10">
        <f>+W21</f>
      </c>
      <c r="Y200" s="10">
        <f>+X21</f>
      </c>
      <c r="Z200" s="10">
        <f>+Y21</f>
      </c>
      <c r="AA200" s="10">
        <f>+Z21</f>
      </c>
      <c r="AB200" s="10">
        <f>+W21</f>
      </c>
      <c r="AC200" s="10">
        <f>+AB21</f>
      </c>
      <c r="AD200" s="10">
        <f>+AC21</f>
      </c>
      <c r="AE200" s="10">
        <f>+AD21</f>
      </c>
      <c r="AF200" s="10">
        <f>+AE21</f>
      </c>
      <c r="AG200" s="10">
        <f>+AB21</f>
      </c>
      <c r="AH200" s="10">
        <f>+AG21</f>
      </c>
      <c r="AI200" s="10">
        <f>+AH21</f>
      </c>
      <c r="AJ200" s="10">
        <f>+AI21</f>
      </c>
      <c r="AK200" s="10">
        <f>+AJ21</f>
      </c>
      <c r="AL200" s="10">
        <f>+AG21</f>
      </c>
      <c r="AM200" s="10">
        <f>+AL21</f>
      </c>
      <c r="AN200" s="10">
        <f>+AM21</f>
      </c>
      <c r="AO200" s="10">
        <f>+AN21</f>
      </c>
      <c r="AP200" s="10">
        <f>+AO21</f>
      </c>
      <c r="AQ200" s="10">
        <f>+AL21</f>
      </c>
      <c r="AR200" s="10">
        <f>+AQ21</f>
      </c>
      <c r="AS200" s="10">
        <f>+AR21</f>
      </c>
      <c r="AT200" s="10">
        <f>+AS21</f>
      </c>
      <c r="AU200" s="10">
        <f>+AT21</f>
      </c>
      <c r="AV200" s="10">
        <f>+AQ21</f>
      </c>
      <c r="AW200" s="10">
        <f>+AV21</f>
      </c>
      <c r="AX200" s="10">
        <f>+AW21</f>
      </c>
      <c r="AY200" s="10">
        <f>+AX21</f>
      </c>
      <c r="AZ200" s="10">
        <f>+AY21</f>
      </c>
      <c r="BA200" s="10">
        <f>+AV21</f>
      </c>
      <c r="BB200" s="10">
        <f>+BA21</f>
      </c>
      <c r="BC200" s="10">
        <f>+BB21</f>
      </c>
      <c r="BD200" s="10">
        <f>+BC21</f>
      </c>
      <c r="BE200" s="10">
        <f>+BD21</f>
      </c>
      <c r="BF200" s="10">
        <f>+BA21</f>
      </c>
      <c r="BG200" s="10">
        <f>+BF21</f>
      </c>
      <c r="BH200" s="10">
        <f>+BG21</f>
      </c>
      <c r="BI200" s="10">
        <f>+BH21</f>
      </c>
      <c r="BJ200" s="10">
        <f>+BI21</f>
      </c>
      <c r="BK200" s="10">
        <f>+BF21</f>
      </c>
      <c r="BL200" s="10">
        <f>+BK21</f>
      </c>
      <c r="BM200" s="10">
        <f>+BL21</f>
      </c>
      <c r="BN200" s="10">
        <f>+BM21</f>
      </c>
      <c r="BO200" s="10">
        <f>+BN21</f>
      </c>
      <c r="BP200" s="10">
        <f>+BK21</f>
      </c>
      <c r="BQ200" s="10">
        <f>+BP21</f>
      </c>
      <c r="BR200" s="10">
        <f>+BQ21</f>
      </c>
      <c r="BS200" s="10">
        <f>+BR21</f>
      </c>
      <c r="BT200" s="10">
        <f>+BS21</f>
      </c>
      <c r="BU200" s="67">
        <f>+BP21</f>
      </c>
      <c r="BV200" s="10">
        <f>+BU21</f>
      </c>
      <c r="BW200" s="10">
        <f>+BV21</f>
      </c>
      <c r="BX200" s="10">
        <f>+BW202</f>
      </c>
      <c r="BY200" s="10">
        <f>+BX21</f>
      </c>
      <c r="BZ200" s="67">
        <f>+BU21</f>
      </c>
      <c r="CA200" s="10">
        <f>+BZ21</f>
      </c>
      <c r="CB200" s="10">
        <f>+CA202</f>
      </c>
      <c r="CC200" s="10">
        <f>+CB202</f>
      </c>
      <c r="CD200" s="10">
        <f>+CC202</f>
      </c>
      <c r="CE200" s="67">
        <f>+BZ202</f>
      </c>
      <c r="CF200" s="10">
        <f>+CE202</f>
      </c>
      <c r="CG200" s="10">
        <f>+CF202</f>
      </c>
      <c r="CH200" s="10">
        <f>+CG202</f>
      </c>
      <c r="CI200" s="10">
        <f>+CH202</f>
      </c>
      <c r="CJ200" s="67">
        <f>+CE202</f>
      </c>
      <c r="CK200" s="10">
        <f>+CJ202</f>
      </c>
      <c r="CL200" s="10">
        <f>+CK202</f>
      </c>
      <c r="CM200" s="10">
        <f>+CL202</f>
      </c>
      <c r="CN200" s="10">
        <f>+CM202</f>
      </c>
      <c r="CO200" s="67">
        <f>+CJ202</f>
      </c>
      <c r="CP200" s="10">
        <f>+CO202</f>
      </c>
      <c r="CQ200" s="10">
        <f>+CP202</f>
      </c>
      <c r="CR200" s="10">
        <f>+CQ202</f>
      </c>
      <c r="CS200" s="10">
        <f>+CR202</f>
      </c>
      <c r="CT200" s="67">
        <f>+CO202</f>
      </c>
      <c r="CU200" s="10">
        <f>+CT202</f>
      </c>
      <c r="CV200" s="10">
        <f>+CU202</f>
      </c>
      <c r="CW200" s="10">
        <f>+CV202</f>
      </c>
      <c r="CX200" s="10">
        <f>+CW202</f>
      </c>
      <c r="CY200" s="67">
        <f>+CT202</f>
      </c>
      <c r="CZ200" s="10">
        <f>+CY202</f>
      </c>
      <c r="DA200" s="10">
        <f>+CZ202</f>
      </c>
      <c r="DB200" s="10">
        <f>+DA202</f>
      </c>
      <c r="DC200" s="10">
        <f>+DB202</f>
      </c>
      <c r="DD200" s="67">
        <f>+CY202</f>
      </c>
      <c r="DE200" s="10">
        <f>+DD202</f>
      </c>
      <c r="DF200" s="10">
        <f>+DE202</f>
      </c>
      <c r="DG200" s="10">
        <f>+DF202</f>
      </c>
      <c r="DH200" s="10">
        <f>+DG202</f>
      </c>
      <c r="DI200" s="67">
        <f>+DD202</f>
      </c>
      <c r="DJ200" s="10">
        <f>+DI202</f>
      </c>
      <c r="DK200" s="10">
        <f>+DJ202</f>
      </c>
      <c r="DL200" s="10">
        <f>+DK202</f>
      </c>
      <c r="DM200" s="10">
        <f>+DL202</f>
      </c>
      <c r="DN200" s="67">
        <f>+DI202</f>
      </c>
      <c r="DO200" s="10">
        <f>+DN202</f>
      </c>
      <c r="DP200" s="10">
        <f>+DO202</f>
      </c>
      <c r="DQ200" s="10">
        <f>+DP202</f>
      </c>
      <c r="DR200" s="10">
        <f>+DQ202</f>
      </c>
      <c r="DS200" s="67">
        <f>+DN202</f>
      </c>
      <c r="DT200" s="10">
        <f>+DS202</f>
      </c>
      <c r="DU200" s="10">
        <f>+DT202</f>
      </c>
      <c r="DV200" s="10">
        <f>+DU202</f>
      </c>
      <c r="DW200" s="10">
        <f>+DV202</f>
      </c>
      <c r="DX200" s="67">
        <f>+DS202</f>
      </c>
      <c r="DY200" s="10">
        <f>+DX202</f>
      </c>
      <c r="DZ200" s="10">
        <f>+DY202</f>
      </c>
      <c r="EA200" s="10">
        <f>+DZ202</f>
      </c>
      <c r="EB200" s="10">
        <f>+EA202</f>
      </c>
      <c r="EC200" s="303">
        <f>+DX202</f>
      </c>
      <c r="ED200" s="10">
        <f>+EC202</f>
      </c>
      <c r="EE200" s="948">
        <f>+ED202</f>
      </c>
      <c r="EF200" s="1251">
        <f>+EE202</f>
      </c>
      <c r="EG200" s="948">
        <f>+EF202</f>
      </c>
      <c r="EH200" s="1505">
        <f>+EC202</f>
      </c>
      <c r="EI200" s="948">
        <f>+EH202</f>
      </c>
      <c r="EJ200" s="948">
        <f>+EI202</f>
      </c>
      <c r="EK200" s="2431">
        <f>+EJ202</f>
      </c>
      <c r="EL200" s="2432">
        <f>+EK202</f>
      </c>
      <c r="EM200" s="2520">
        <f>+EH202</f>
      </c>
      <c r="EN200" s="2100">
        <f>+EM202</f>
      </c>
      <c r="EO200" s="948">
        <f>+EN202</f>
      </c>
      <c r="EP200" s="948">
        <f>+EO202</f>
      </c>
      <c r="EQ200" s="2432">
        <f>+EP202</f>
      </c>
      <c r="ER200" s="1291">
        <f>+EM202</f>
      </c>
      <c r="ES200" s="2100">
        <f>+ER202</f>
      </c>
      <c r="ET200" s="948">
        <f>+ES202</f>
      </c>
      <c r="EU200" s="948">
        <f>+ET202</f>
      </c>
      <c r="EV200" s="2432">
        <f>+EU202</f>
      </c>
      <c r="EW200" s="1291">
        <f>+ER202</f>
      </c>
      <c r="EX200" s="2100">
        <f>+EW202</f>
      </c>
      <c r="EY200" s="948">
        <f>+EX202</f>
      </c>
      <c r="EZ200" s="2704">
        <f>+EY202</f>
      </c>
      <c r="FA200" s="2432">
        <f>+EZ202</f>
      </c>
      <c r="FB200" s="1291">
        <f>+EW202</f>
      </c>
      <c r="FC200" s="1291">
        <f t="shared" ref="FC200:FG200" si="682">+FB202</f>
      </c>
      <c r="FD200" s="1291">
        <f t="shared" si="682"/>
      </c>
      <c r="FE200" s="1291">
        <f t="shared" si="682"/>
      </c>
      <c r="FF200" s="1291">
        <f t="shared" si="682"/>
      </c>
      <c r="FG200" s="1291">
        <f t="shared" si="682"/>
      </c>
    </row>
    <row r="201" spans="1:163" outlineLevel="1">
      <c r="A201" s="1"/>
      <c r="B201" s="92" t="s">
        <v>78</v>
      </c>
      <c r="C201" s="118"/>
      <c r="D201" s="118"/>
      <c r="E201" s="118"/>
      <c r="F201" s="118"/>
      <c r="G201" s="118"/>
      <c r="H201" s="118"/>
      <c r="I201" s="118"/>
      <c r="J201" s="118"/>
      <c r="K201" s="118"/>
      <c r="L201" s="118"/>
      <c r="M201" s="118"/>
      <c r="N201" s="68"/>
      <c r="O201" s="1"/>
      <c r="P201" s="1"/>
      <c r="Q201" s="1"/>
      <c r="R201" s="1"/>
      <c r="S201" s="1"/>
      <c r="T201" s="1"/>
      <c r="U201" s="1"/>
      <c r="V201" s="10">
        <f t="shared" ref="V201:BU201" si="683">+V202-V200</f>
      </c>
      <c r="W201" s="10">
        <f t="shared" si="683"/>
      </c>
      <c r="X201" s="10">
        <f t="shared" si="683"/>
      </c>
      <c r="Y201" s="10">
        <f t="shared" si="683"/>
      </c>
      <c r="Z201" s="10">
        <f t="shared" si="683"/>
      </c>
      <c r="AA201" s="10">
        <f t="shared" si="683"/>
      </c>
      <c r="AB201" s="10">
        <f t="shared" si="683"/>
      </c>
      <c r="AC201" s="10">
        <f t="shared" si="683"/>
      </c>
      <c r="AD201" s="10">
        <f t="shared" si="683"/>
      </c>
      <c r="AE201" s="10">
        <f t="shared" si="683"/>
      </c>
      <c r="AF201" s="10">
        <f t="shared" si="683"/>
      </c>
      <c r="AG201" s="10">
        <f t="shared" si="683"/>
      </c>
      <c r="AH201" s="10">
        <f t="shared" si="683"/>
      </c>
      <c r="AI201" s="10">
        <f t="shared" si="683"/>
      </c>
      <c r="AJ201" s="10">
        <f t="shared" si="683"/>
      </c>
      <c r="AK201" s="10">
        <f t="shared" si="683"/>
      </c>
      <c r="AL201" s="10">
        <f t="shared" si="683"/>
      </c>
      <c r="AM201" s="10">
        <f t="shared" si="683"/>
      </c>
      <c r="AN201" s="10">
        <f t="shared" si="683"/>
      </c>
      <c r="AO201" s="10">
        <f t="shared" si="683"/>
      </c>
      <c r="AP201" s="10">
        <f t="shared" si="683"/>
      </c>
      <c r="AQ201" s="10">
        <f t="shared" si="683"/>
      </c>
      <c r="AR201" s="10">
        <f t="shared" si="683"/>
      </c>
      <c r="AS201" s="10">
        <f t="shared" si="683"/>
      </c>
      <c r="AT201" s="10">
        <f t="shared" si="683"/>
      </c>
      <c r="AU201" s="10">
        <f t="shared" si="683"/>
      </c>
      <c r="AV201" s="10">
        <f t="shared" si="683"/>
      </c>
      <c r="AW201" s="10">
        <f t="shared" si="683"/>
      </c>
      <c r="AX201" s="10">
        <f t="shared" si="683"/>
      </c>
      <c r="AY201" s="10">
        <f t="shared" si="683"/>
      </c>
      <c r="AZ201" s="10">
        <f t="shared" si="683"/>
      </c>
      <c r="BA201" s="10">
        <f t="shared" si="683"/>
      </c>
      <c r="BB201" s="10">
        <f t="shared" si="683"/>
      </c>
      <c r="BC201" s="10">
        <f t="shared" si="683"/>
      </c>
      <c r="BD201" s="10">
        <f t="shared" si="683"/>
      </c>
      <c r="BE201" s="10">
        <f t="shared" si="683"/>
      </c>
      <c r="BF201" s="10">
        <f t="shared" si="683"/>
      </c>
      <c r="BG201" s="10">
        <f t="shared" si="683"/>
      </c>
      <c r="BH201" s="10">
        <f t="shared" si="683"/>
      </c>
      <c r="BI201" s="10">
        <f t="shared" si="683"/>
      </c>
      <c r="BJ201" s="10">
        <f t="shared" si="683"/>
      </c>
      <c r="BK201" s="10">
        <f t="shared" si="683"/>
      </c>
      <c r="BL201" s="10">
        <f t="shared" si="683"/>
      </c>
      <c r="BM201" s="10">
        <f t="shared" si="683"/>
      </c>
      <c r="BN201" s="10">
        <f t="shared" si="683"/>
      </c>
      <c r="BO201" s="10">
        <f t="shared" si="683"/>
      </c>
      <c r="BP201" s="10">
        <f t="shared" si="683"/>
      </c>
      <c r="BQ201" s="10">
        <f t="shared" si="683"/>
      </c>
      <c r="BR201" s="10">
        <f t="shared" si="683"/>
      </c>
      <c r="BS201" s="10">
        <f t="shared" si="683"/>
      </c>
      <c r="BT201" s="10">
        <f t="shared" si="683"/>
      </c>
      <c r="BU201" s="67">
        <f t="shared" si="683"/>
      </c>
      <c r="BV201" s="10">
        <f t="shared" ref="BV201:CH201" si="684">+BV202-BV200</f>
      </c>
      <c r="BW201" s="10">
        <f t="shared" si="684"/>
      </c>
      <c r="BX201" s="10">
        <f t="shared" si="684"/>
      </c>
      <c r="BY201" s="10">
        <f t="shared" si="684"/>
      </c>
      <c r="BZ201" s="67">
        <f t="shared" si="684"/>
      </c>
      <c r="CA201" s="10">
        <f t="shared" si="684"/>
      </c>
      <c r="CB201" s="10">
        <f t="shared" si="684"/>
      </c>
      <c r="CC201" s="10">
        <f t="shared" si="684"/>
      </c>
      <c r="CD201" s="10">
        <f t="shared" si="684"/>
      </c>
      <c r="CE201" s="67">
        <f t="shared" si="684"/>
      </c>
      <c r="CF201" s="10">
        <f t="shared" si="684"/>
      </c>
      <c r="CG201" s="10">
        <f t="shared" si="684"/>
      </c>
      <c r="CH201" s="10">
        <f t="shared" si="684"/>
      </c>
      <c r="CI201" s="10">
        <f>+CI202-CI200</f>
      </c>
      <c r="CJ201" s="552">
        <f>SUM(CF201:CI201)</f>
      </c>
      <c r="CK201" s="10">
        <f>+CK202-CK200</f>
      </c>
      <c r="CL201" s="10">
        <f>+CL202-CL200</f>
      </c>
      <c r="CM201" s="10">
        <f>+CM202-CM200</f>
      </c>
      <c r="CN201" s="10">
        <f>+CN202-CN200</f>
      </c>
      <c r="CO201" s="67">
        <f>SUM(CK201:CN201)</f>
      </c>
      <c r="CP201" s="10">
        <f>+CP202-CP200</f>
      </c>
      <c r="CQ201" s="10">
        <f>+CQ202-CQ200</f>
      </c>
      <c r="CR201" s="10">
        <f>+CR202-CR200</f>
      </c>
      <c r="CS201" s="10">
        <f>+CS202-CS200</f>
      </c>
      <c r="CT201" s="67">
        <f>SUM(CP201:CS201)</f>
      </c>
      <c r="CU201" s="10">
        <f>+CU202-CU200</f>
      </c>
      <c r="CV201" s="10">
        <f>+CV202-CV200</f>
      </c>
      <c r="CW201" s="10">
        <f>+CW202-CW200</f>
      </c>
      <c r="CX201" s="10">
        <f>+CX202-CX200</f>
      </c>
      <c r="CY201" s="67">
        <f>SUM(CU201:CX201)</f>
      </c>
      <c r="CZ201" s="10">
        <f>+CZ202-CZ200</f>
      </c>
      <c r="DA201" s="10">
        <f>+DA202-DA200</f>
      </c>
      <c r="DB201" s="10">
        <f>+DB202-DB200</f>
      </c>
      <c r="DC201" s="10">
        <f>+DC202-DC200</f>
      </c>
      <c r="DD201" s="67">
        <f>SUM(CZ201:DC201)</f>
      </c>
      <c r="DE201" s="10">
        <f>+DE202-DE200</f>
      </c>
      <c r="DF201" s="10">
        <f>+DF202-DF200</f>
      </c>
      <c r="DG201" s="10">
        <f>+DG202-DG200</f>
      </c>
      <c r="DH201" s="10">
        <f>+DH202-DH200</f>
      </c>
      <c r="DI201" s="67">
        <f>SUM(DE201:DH201)</f>
      </c>
      <c r="DJ201" s="10">
        <f>+DJ202-DJ200</f>
      </c>
      <c r="DK201" s="10">
        <f>+DK202-DK200</f>
      </c>
      <c r="DL201" s="10">
        <f>+DL202-DL200</f>
      </c>
      <c r="DM201" s="10">
        <f>+DM202-DM200</f>
      </c>
      <c r="DN201" s="67">
        <f>SUM(DJ201:DM201)</f>
      </c>
      <c r="DO201" s="10">
        <f>+DO202-DO200</f>
      </c>
      <c r="DP201" s="10">
        <f>+DP202-DP200</f>
      </c>
      <c r="DQ201" s="10">
        <f>+DQ202-DQ200</f>
      </c>
      <c r="DR201" s="10">
        <f>+DR202-DR200</f>
      </c>
      <c r="DS201" s="67">
        <f>SUM(DO201:DR201)</f>
      </c>
      <c r="DT201" s="10">
        <f>+DT202-DT200</f>
      </c>
      <c r="DU201" s="10">
        <f>+DU202-DU200</f>
      </c>
      <c r="DV201" s="10">
        <f>+DV202-DV200</f>
      </c>
      <c r="DW201" s="10">
        <f>+DW202-DW200</f>
      </c>
      <c r="DX201" s="67">
        <f>SUM(DT201:DW201)</f>
      </c>
      <c r="DY201" s="10">
        <f>+DY202-DY200</f>
      </c>
      <c r="DZ201" s="10">
        <f>+DZ202-DZ200</f>
      </c>
      <c r="EA201" s="10">
        <f>+EA202-EA200</f>
      </c>
      <c r="EB201" s="10">
        <f>+EB202-EB200</f>
      </c>
      <c r="EC201" s="303">
        <f>SUM(DY201:EB201)</f>
      </c>
      <c r="ED201" s="10">
        <f>+ED202-ED200</f>
      </c>
      <c r="EE201" s="10">
        <f>+EE202-EE200</f>
      </c>
      <c r="EF201" s="10">
        <f>+EF202-EF200</f>
      </c>
      <c r="EG201" s="10">
        <f>+EG202-EG200</f>
      </c>
      <c r="EH201" s="1505">
        <f>+SUM(ED201:EG201)</f>
      </c>
      <c r="EI201" s="577">
        <v>0</v>
      </c>
      <c r="EJ201" s="577">
        <v>0</v>
      </c>
      <c r="EK201" s="577">
        <v>0</v>
      </c>
      <c r="EL201" s="577">
        <f>+EL202-EL200</f>
      </c>
      <c r="EM201" s="2520">
        <f>+SUM(EI201:EL201)</f>
      </c>
      <c r="EN201" s="2094">
        <v>0</v>
      </c>
      <c r="EO201" s="577">
        <v>0</v>
      </c>
      <c r="EP201" s="577">
        <v>0</v>
      </c>
      <c r="EQ201" s="685">
        <v>0</v>
      </c>
      <c r="ER201" s="1205">
        <v>0</v>
      </c>
      <c r="ES201" s="2094">
        <v>0</v>
      </c>
      <c r="ET201" s="577">
        <v>0</v>
      </c>
      <c r="EU201" s="577">
        <v>0</v>
      </c>
      <c r="EV201" s="685">
        <v>0</v>
      </c>
      <c r="EW201" s="1205">
        <v>0</v>
      </c>
      <c r="EX201" s="2094">
        <v>0</v>
      </c>
      <c r="EY201" s="577">
        <v>0</v>
      </c>
      <c r="EZ201" s="577">
        <v>0</v>
      </c>
      <c r="FA201" s="685">
        <v>0</v>
      </c>
      <c r="FB201" s="1205">
        <v>0</v>
      </c>
      <c r="FC201" s="1205">
        <v>0</v>
      </c>
      <c r="FD201" s="1205">
        <v>0</v>
      </c>
      <c r="FE201" s="1205">
        <v>0</v>
      </c>
      <c r="FF201" s="1205">
        <v>0</v>
      </c>
      <c r="FG201" s="1205">
        <v>0</v>
      </c>
    </row>
    <row r="202" spans="1:163" outlineLevel="1">
      <c r="A202" s="1"/>
      <c r="B202" s="109" t="s">
        <v>82</v>
      </c>
      <c r="C202" s="125"/>
      <c r="D202" s="125"/>
      <c r="E202" s="125"/>
      <c r="F202" s="125"/>
      <c r="G202" s="125"/>
      <c r="H202" s="125"/>
      <c r="I202" s="125"/>
      <c r="J202" s="125"/>
      <c r="K202" s="125"/>
      <c r="L202" s="125"/>
      <c r="M202" s="125"/>
      <c r="N202" s="74"/>
      <c r="O202" s="2"/>
      <c r="P202" s="2"/>
      <c r="Q202" s="2"/>
      <c r="R202" s="2"/>
      <c r="S202" s="2"/>
      <c r="T202" s="2"/>
      <c r="U202" s="2"/>
      <c r="V202" s="82">
        <f t="shared" ref="V202:BA202" si="685">+V21</f>
      </c>
      <c r="W202" s="82">
        <f t="shared" si="685"/>
      </c>
      <c r="X202" s="82">
        <f t="shared" si="685"/>
      </c>
      <c r="Y202" s="82">
        <f t="shared" si="685"/>
      </c>
      <c r="Z202" s="82">
        <f t="shared" si="685"/>
      </c>
      <c r="AA202" s="82">
        <f t="shared" si="685"/>
      </c>
      <c r="AB202" s="82">
        <f t="shared" si="685"/>
      </c>
      <c r="AC202" s="82">
        <f t="shared" si="685"/>
      </c>
      <c r="AD202" s="82">
        <f t="shared" si="685"/>
      </c>
      <c r="AE202" s="82">
        <f t="shared" si="685"/>
      </c>
      <c r="AF202" s="82">
        <f t="shared" si="685"/>
      </c>
      <c r="AG202" s="82">
        <f t="shared" si="685"/>
      </c>
      <c r="AH202" s="82">
        <f t="shared" si="685"/>
      </c>
      <c r="AI202" s="82">
        <f t="shared" si="685"/>
      </c>
      <c r="AJ202" s="82">
        <f t="shared" si="685"/>
      </c>
      <c r="AK202" s="82">
        <f t="shared" si="685"/>
      </c>
      <c r="AL202" s="82">
        <f t="shared" si="685"/>
      </c>
      <c r="AM202" s="82">
        <f t="shared" si="685"/>
      </c>
      <c r="AN202" s="82">
        <f t="shared" si="685"/>
      </c>
      <c r="AO202" s="82">
        <f t="shared" si="685"/>
      </c>
      <c r="AP202" s="82">
        <f t="shared" si="685"/>
      </c>
      <c r="AQ202" s="82">
        <f t="shared" si="685"/>
      </c>
      <c r="AR202" s="82">
        <f t="shared" si="685"/>
      </c>
      <c r="AS202" s="82">
        <f t="shared" si="685"/>
      </c>
      <c r="AT202" s="82">
        <f t="shared" si="685"/>
      </c>
      <c r="AU202" s="82">
        <f t="shared" si="685"/>
      </c>
      <c r="AV202" s="82">
        <f t="shared" si="685"/>
      </c>
      <c r="AW202" s="82">
        <f t="shared" si="685"/>
      </c>
      <c r="AX202" s="82">
        <f t="shared" si="685"/>
      </c>
      <c r="AY202" s="82">
        <f t="shared" si="685"/>
      </c>
      <c r="AZ202" s="82">
        <f t="shared" si="685"/>
      </c>
      <c r="BA202" s="82">
        <f t="shared" si="685"/>
      </c>
      <c r="BB202" s="82">
        <f t="shared" ref="BB202:BU202" si="686">+BB21</f>
      </c>
      <c r="BC202" s="82">
        <f t="shared" si="686"/>
      </c>
      <c r="BD202" s="82">
        <f t="shared" si="686"/>
      </c>
      <c r="BE202" s="82">
        <f t="shared" si="686"/>
      </c>
      <c r="BF202" s="82">
        <f t="shared" si="686"/>
      </c>
      <c r="BG202" s="82">
        <f t="shared" si="686"/>
      </c>
      <c r="BH202" s="82">
        <f t="shared" si="686"/>
      </c>
      <c r="BI202" s="82">
        <f t="shared" si="686"/>
      </c>
      <c r="BJ202" s="82">
        <f t="shared" si="686"/>
      </c>
      <c r="BK202" s="82">
        <f t="shared" si="686"/>
      </c>
      <c r="BL202" s="82">
        <f t="shared" si="686"/>
      </c>
      <c r="BM202" s="82">
        <f t="shared" si="686"/>
      </c>
      <c r="BN202" s="82">
        <f t="shared" si="686"/>
      </c>
      <c r="BO202" s="82">
        <f t="shared" si="686"/>
      </c>
      <c r="BP202" s="82">
        <f t="shared" si="686"/>
      </c>
      <c r="BQ202" s="82">
        <f t="shared" si="686"/>
      </c>
      <c r="BR202" s="82">
        <f t="shared" si="686"/>
      </c>
      <c r="BS202" s="82">
        <f t="shared" si="686"/>
      </c>
      <c r="BT202" s="82">
        <f t="shared" si="686"/>
      </c>
      <c r="BU202" s="548">
        <f t="shared" si="686"/>
      </c>
      <c r="BV202" s="82">
        <f t="shared" ref="BV202:CH202" si="687">+BV21</f>
      </c>
      <c r="BW202" s="82">
        <f t="shared" si="687"/>
      </c>
      <c r="BX202" s="82">
        <f t="shared" si="687"/>
      </c>
      <c r="BY202" s="82">
        <f t="shared" si="687"/>
      </c>
      <c r="BZ202" s="548">
        <f t="shared" si="687"/>
      </c>
      <c r="CA202" s="82">
        <f t="shared" si="687"/>
      </c>
      <c r="CB202" s="82">
        <f t="shared" si="687"/>
      </c>
      <c r="CC202" s="82">
        <f t="shared" si="687"/>
      </c>
      <c r="CD202" s="82">
        <f t="shared" si="687"/>
      </c>
      <c r="CE202" s="548">
        <f t="shared" si="687"/>
      </c>
      <c r="CF202" s="82">
        <f t="shared" si="687"/>
      </c>
      <c r="CG202" s="82">
        <f t="shared" si="687"/>
      </c>
      <c r="CH202" s="82">
        <f t="shared" si="687"/>
      </c>
      <c r="CI202" s="82">
        <f>+CI21</f>
      </c>
      <c r="CJ202" s="548">
        <f>SUM(CJ200:CJ201)</f>
      </c>
      <c r="CK202" s="82">
        <f>+CK21</f>
      </c>
      <c r="CL202" s="82">
        <f>+CL21</f>
      </c>
      <c r="CM202" s="82">
        <f>+CM21</f>
      </c>
      <c r="CN202" s="82">
        <f>+CN21</f>
      </c>
      <c r="CO202" s="548">
        <f>SUM(CO200:CO201)</f>
      </c>
      <c r="CP202" s="82">
        <f>+CP21</f>
      </c>
      <c r="CQ202" s="82">
        <f>+CQ21</f>
      </c>
      <c r="CR202" s="82">
        <f>+CR21</f>
      </c>
      <c r="CS202" s="82">
        <f>+CS21</f>
      </c>
      <c r="CT202" s="548">
        <f>SUM(CT200:CT201)</f>
      </c>
      <c r="CU202" s="82">
        <f>+CU21</f>
      </c>
      <c r="CV202" s="82">
        <f>+CV21</f>
      </c>
      <c r="CW202" s="82">
        <f>+CW21</f>
      </c>
      <c r="CX202" s="82">
        <f>+CX21</f>
      </c>
      <c r="CY202" s="548">
        <f>SUM(CY200:CY201)</f>
      </c>
      <c r="CZ202" s="82">
        <f>+CZ21</f>
      </c>
      <c r="DA202" s="82">
        <f>+DA21</f>
      </c>
      <c r="DB202" s="82">
        <f>+DB21</f>
      </c>
      <c r="DC202" s="82">
        <f>+DC21</f>
      </c>
      <c r="DD202" s="548">
        <f>SUM(DD200:DD201)</f>
      </c>
      <c r="DE202" s="82">
        <f>+DE21</f>
      </c>
      <c r="DF202" s="82">
        <f>+DF21</f>
      </c>
      <c r="DG202" s="82">
        <f>+DG21</f>
      </c>
      <c r="DH202" s="82">
        <f>+DH21</f>
      </c>
      <c r="DI202" s="548">
        <f>SUM(DI200:DI201)</f>
      </c>
      <c r="DJ202" s="82">
        <f>+DJ21</f>
      </c>
      <c r="DK202" s="82">
        <f>+DK21</f>
      </c>
      <c r="DL202" s="82">
        <f>+DL21</f>
      </c>
      <c r="DM202" s="82">
        <f>+DM21</f>
      </c>
      <c r="DN202" s="548">
        <f>SUM(DN200:DN201)</f>
      </c>
      <c r="DO202" s="82">
        <f>+DO21</f>
      </c>
      <c r="DP202" s="82">
        <f>+DP21</f>
      </c>
      <c r="DQ202" s="82">
        <f>+DQ21</f>
      </c>
      <c r="DR202" s="82">
        <f>+DR21</f>
      </c>
      <c r="DS202" s="548">
        <f>SUM(DS200:DS201)</f>
      </c>
      <c r="DT202" s="82">
        <f>+DT21</f>
      </c>
      <c r="DU202" s="82">
        <f>+DU21</f>
      </c>
      <c r="DV202" s="82">
        <f>+DV21</f>
      </c>
      <c r="DW202" s="82">
        <f>+DW21</f>
      </c>
      <c r="DX202" s="548">
        <f>SUM(DX200:DX201)</f>
      </c>
      <c r="DY202" s="82">
        <f>+DY21</f>
      </c>
      <c r="DZ202" s="82">
        <f>+DZ21</f>
      </c>
      <c r="EA202" s="82">
        <f>+EA21</f>
      </c>
      <c r="EB202" s="2705">
        <f>+EB21</f>
      </c>
      <c r="EC202" s="2729">
        <f>SUM(EC200:EC201)</f>
      </c>
      <c r="ED202" s="82">
        <f>+ED21</f>
      </c>
      <c r="EE202" s="82">
        <f>+EE21</f>
      </c>
      <c r="EF202" s="82">
        <f>+EF21</f>
      </c>
      <c r="EG202" s="2705">
        <f>+EG21</f>
      </c>
      <c r="EH202" s="2726">
        <f t="shared" ref="EH202:ER202" si="688">SUM(EH200:EH201)</f>
      </c>
      <c r="EI202" s="1128">
        <f t="shared" si="688"/>
      </c>
      <c r="EJ202" s="1128">
        <f t="shared" si="688"/>
      </c>
      <c r="EK202" s="1128">
        <f t="shared" si="688"/>
      </c>
      <c r="EL202" s="1128">
        <f>+EL21</f>
      </c>
      <c r="EM202" s="2521">
        <f>SUM(EM200:EM201)</f>
      </c>
      <c r="EN202" s="2518">
        <f>SUM(EN200:EN201)</f>
      </c>
      <c r="EO202" s="2140">
        <f t="shared" si="688"/>
      </c>
      <c r="EP202" s="1128">
        <f t="shared" si="688"/>
      </c>
      <c r="EQ202" s="2149">
        <f t="shared" si="688"/>
      </c>
      <c r="ER202" s="2155">
        <f t="shared" si="688"/>
      </c>
      <c r="ES202" s="2518">
        <f>SUM(ES200:ES201)</f>
      </c>
      <c r="ET202" s="2140">
        <f t="shared" ref="ET202:EW202" si="689">SUM(ET200:ET201)</f>
      </c>
      <c r="EU202" s="1128">
        <f t="shared" si="689"/>
      </c>
      <c r="EV202" s="2149">
        <f t="shared" si="689"/>
      </c>
      <c r="EW202" s="2155">
        <f t="shared" si="689"/>
      </c>
      <c r="EX202" s="2518">
        <f>SUM(EX200:EX201)</f>
      </c>
      <c r="EY202" s="2140">
        <f t="shared" ref="EY202" si="690">SUM(EY200:EY201)</f>
      </c>
      <c r="EZ202" s="1128">
        <f>SUM(EZ200:EZ201)</f>
      </c>
      <c r="FA202" s="2149">
        <f>SUM(FA200:FA201)</f>
      </c>
      <c r="FB202" s="3588">
        <f t="shared" ref="FB202" si="691">SUM(FB200:FB201)</f>
      </c>
      <c r="FC202" s="1294">
        <f>SUM(FC200:FC201)</f>
      </c>
      <c r="FD202" s="1294">
        <f>SUM(FD200:FD201)</f>
      </c>
      <c r="FE202" s="1294">
        <f>SUM(FE200:FE201)</f>
      </c>
      <c r="FF202" s="1294">
        <f>SUM(FF200:FF201)</f>
      </c>
      <c r="FG202" s="1294">
        <f>SUM(FG200:FG201)</f>
      </c>
    </row>
    <row r="203" spans="1:163" outlineLevel="1">
      <c r="A203" s="1"/>
      <c r="B203" s="72"/>
      <c r="C203" s="72"/>
      <c r="D203" s="72"/>
      <c r="E203" s="72"/>
      <c r="F203" s="72"/>
      <c r="G203" s="72"/>
      <c r="H203" s="72"/>
      <c r="I203" s="72"/>
      <c r="J203" s="72"/>
      <c r="K203" s="72"/>
      <c r="L203" s="72"/>
      <c r="M203" s="72"/>
      <c r="N203" s="68"/>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73"/>
      <c r="CR203" s="73"/>
      <c r="CS203" s="73"/>
      <c r="CT203" s="73"/>
      <c r="CU203" s="1"/>
      <c r="CV203" s="73"/>
      <c r="CW203" s="73"/>
      <c r="CX203" s="73"/>
      <c r="CY203" s="73"/>
      <c r="CZ203" s="1"/>
      <c r="DA203" s="73"/>
      <c r="DB203" s="73"/>
      <c r="DC203" s="73"/>
      <c r="DD203" s="73"/>
      <c r="DE203" s="1"/>
      <c r="DF203" s="73"/>
      <c r="DG203" s="73"/>
      <c r="DH203" s="73"/>
      <c r="DI203" s="73"/>
      <c r="DJ203" s="1"/>
      <c r="DK203" s="1"/>
      <c r="DL203" s="1"/>
      <c r="DM203" s="1045"/>
      <c r="DN203" s="73"/>
      <c r="DO203" s="1"/>
      <c r="DP203" s="1045"/>
      <c r="DQ203" s="1045"/>
      <c r="DR203" s="1045"/>
      <c r="DS203" s="73"/>
      <c r="DT203" s="1"/>
      <c r="DU203" s="1"/>
      <c r="DV203" s="1045"/>
      <c r="DW203" s="1045"/>
      <c r="DX203" s="1045"/>
      <c r="DY203" s="1045"/>
      <c r="DZ203" s="1"/>
      <c r="EA203" s="1045"/>
      <c r="EB203" s="1045"/>
      <c r="EC203" s="1045"/>
      <c r="ED203" s="1045"/>
      <c r="EE203" s="1045"/>
      <c r="EF203" s="1045"/>
      <c r="EG203" s="1045"/>
      <c r="EH203" s="1045"/>
      <c r="EI203" s="1045"/>
      <c r="EJ203" s="1045"/>
      <c r="EK203" s="1045"/>
      <c r="EL203" s="1045"/>
      <c r="EM203" s="1045"/>
      <c r="EN203" s="1045"/>
      <c r="EO203" s="1045"/>
      <c r="EP203" s="1045"/>
      <c r="EQ203" s="1045"/>
      <c r="ER203" s="1045"/>
      <c r="ES203" s="1045"/>
      <c r="ET203" s="1045"/>
      <c r="EU203" s="1045"/>
      <c r="EV203" s="1045"/>
      <c r="EW203" s="1045"/>
      <c r="EX203" s="1045"/>
      <c r="EY203" s="1045"/>
      <c r="EZ203" s="1045"/>
      <c r="FA203" s="1045"/>
      <c r="FB203" s="1045"/>
      <c r="FC203" s="1045"/>
      <c r="FD203" s="1045"/>
      <c r="FE203" s="1045"/>
      <c r="FF203" s="1045"/>
      <c r="FG203" s="1045"/>
    </row>
    <row r="204" spans="1:163" outlineLevel="1">
      <c r="A204" s="1"/>
      <c r="B204" s="778" t="s">
        <v>83</v>
      </c>
      <c r="C204" s="779"/>
      <c r="D204" s="779"/>
      <c r="E204" s="779"/>
      <c r="F204" s="779"/>
      <c r="G204" s="779"/>
      <c r="H204" s="779"/>
      <c r="I204" s="779"/>
      <c r="J204" s="779"/>
      <c r="K204" s="779"/>
      <c r="L204" s="779"/>
      <c r="M204" s="779"/>
      <c r="N204" s="755"/>
      <c r="O204" s="593"/>
      <c r="P204" s="593"/>
      <c r="Q204" s="593"/>
      <c r="R204" s="593"/>
      <c r="S204" s="593"/>
      <c r="T204" s="593"/>
      <c r="U204" s="593"/>
      <c r="V204" s="593"/>
      <c r="W204" s="593"/>
      <c r="X204" s="593"/>
      <c r="Y204" s="593"/>
      <c r="Z204" s="593"/>
      <c r="AA204" s="593"/>
      <c r="AB204" s="593"/>
      <c r="AC204" s="593"/>
      <c r="AD204" s="593"/>
      <c r="AE204" s="593"/>
      <c r="AF204" s="593"/>
      <c r="AG204" s="593"/>
      <c r="AH204" s="593"/>
      <c r="AI204" s="593"/>
      <c r="AJ204" s="593"/>
      <c r="AK204" s="593"/>
      <c r="AL204" s="593"/>
      <c r="AM204" s="593"/>
      <c r="AN204" s="593"/>
      <c r="AO204" s="593"/>
      <c r="AP204" s="593"/>
      <c r="AQ204" s="593"/>
      <c r="AR204" s="593"/>
      <c r="AS204" s="593"/>
      <c r="AT204" s="593"/>
      <c r="AU204" s="593"/>
      <c r="AV204" s="593"/>
      <c r="AW204" s="593"/>
      <c r="AX204" s="593"/>
      <c r="AY204" s="593"/>
      <c r="AZ204" s="593"/>
      <c r="BA204" s="593"/>
      <c r="BB204" s="593"/>
      <c r="BC204" s="593"/>
      <c r="BD204" s="593"/>
      <c r="BE204" s="593"/>
      <c r="BF204" s="593"/>
      <c r="BG204" s="593"/>
      <c r="BH204" s="593"/>
      <c r="BI204" s="593"/>
      <c r="BJ204" s="593"/>
      <c r="BK204" s="593"/>
      <c r="BL204" s="593"/>
      <c r="BM204" s="593"/>
      <c r="BN204" s="593"/>
      <c r="BO204" s="593"/>
      <c r="BP204" s="593"/>
      <c r="BQ204" s="593"/>
      <c r="BR204" s="593"/>
      <c r="BS204" s="593"/>
      <c r="BT204" s="593"/>
      <c r="BU204" s="771"/>
      <c r="BV204" s="593"/>
      <c r="BW204" s="593"/>
      <c r="BX204" s="593"/>
      <c r="BY204" s="593"/>
      <c r="BZ204" s="771"/>
      <c r="CA204" s="593"/>
      <c r="CB204" s="593"/>
      <c r="CC204" s="593"/>
      <c r="CD204" s="593"/>
      <c r="CE204" s="771"/>
      <c r="CF204" s="593"/>
      <c r="CG204" s="593"/>
      <c r="CH204" s="593"/>
      <c r="CI204" s="593"/>
      <c r="CJ204" s="771"/>
      <c r="CK204" s="593"/>
      <c r="CL204" s="593"/>
      <c r="CM204" s="593"/>
      <c r="CN204" s="593"/>
      <c r="CO204" s="771"/>
      <c r="CP204" s="593"/>
      <c r="CQ204" s="593"/>
      <c r="CR204" s="593"/>
      <c r="CS204" s="593"/>
      <c r="CT204" s="771"/>
      <c r="CU204" s="593"/>
      <c r="CV204" s="593"/>
      <c r="CW204" s="593"/>
      <c r="CX204" s="593"/>
      <c r="CY204" s="771"/>
      <c r="CZ204" s="593"/>
      <c r="DA204" s="593"/>
      <c r="DB204" s="593"/>
      <c r="DC204" s="593"/>
      <c r="DD204" s="771"/>
      <c r="DE204" s="593"/>
      <c r="DF204" s="593"/>
      <c r="DG204" s="593"/>
      <c r="DH204" s="593"/>
      <c r="DI204" s="771"/>
      <c r="DJ204" s="593"/>
      <c r="DK204" s="593"/>
      <c r="DL204" s="593"/>
      <c r="DM204" s="1033"/>
      <c r="DN204" s="771"/>
      <c r="DO204" s="593"/>
      <c r="DP204" s="1124"/>
      <c r="DQ204" s="1124"/>
      <c r="DR204" s="1033"/>
      <c r="DS204" s="771"/>
      <c r="DT204" s="593"/>
      <c r="DU204" s="593"/>
      <c r="DV204" s="1124"/>
      <c r="DW204" s="1244"/>
      <c r="DX204" s="1113"/>
      <c r="DY204" s="1124"/>
      <c r="DZ204" s="593"/>
      <c r="EA204" s="1124"/>
      <c r="EB204" s="2692"/>
      <c r="EC204" s="2714"/>
      <c r="ED204" s="1124"/>
      <c r="EE204" s="1499"/>
      <c r="EF204" s="1499"/>
      <c r="EG204" s="2692"/>
      <c r="EH204" s="2714"/>
      <c r="EI204" s="1124"/>
      <c r="EJ204" s="1499"/>
      <c r="EK204" s="1499"/>
      <c r="EL204" s="1499"/>
      <c r="EM204" s="2509"/>
      <c r="EN204" s="2503"/>
      <c r="EO204" s="1499"/>
      <c r="EP204" s="2692"/>
      <c r="EQ204" s="2042"/>
      <c r="ER204" s="2041"/>
      <c r="ES204" s="2503"/>
      <c r="ET204" s="1499"/>
      <c r="EU204" s="2692"/>
      <c r="EV204" s="2042"/>
      <c r="EW204" s="2041"/>
      <c r="EX204" s="2503"/>
      <c r="EY204" s="1499"/>
      <c r="EZ204" s="2692"/>
      <c r="FA204" s="2042"/>
      <c r="FB204" s="2041"/>
      <c r="FC204" s="1287"/>
      <c r="FD204" s="1287"/>
      <c r="FE204" s="1287"/>
      <c r="FF204" s="1287"/>
      <c r="FG204" s="1287"/>
    </row>
    <row r="205" spans="1:163" outlineLevel="1">
      <c r="A205" s="1"/>
      <c r="B205" s="85" t="str">
        <f>B204&amp;" ,BOP"</f>
      </c>
      <c r="C205" s="86"/>
      <c r="D205" s="86"/>
      <c r="E205" s="86"/>
      <c r="F205" s="86"/>
      <c r="G205" s="86"/>
      <c r="H205" s="86"/>
      <c r="I205" s="86"/>
      <c r="J205" s="86"/>
      <c r="K205" s="86"/>
      <c r="L205" s="86"/>
      <c r="M205" s="86"/>
      <c r="N205" s="68"/>
      <c r="O205" s="1"/>
      <c r="P205" s="1"/>
      <c r="Q205" s="1"/>
      <c r="R205" s="1"/>
      <c r="S205" s="110"/>
      <c r="T205" s="110"/>
      <c r="U205" s="110"/>
      <c r="V205" s="10">
        <f>+U31</f>
      </c>
      <c r="W205" s="10">
        <f>+R31</f>
      </c>
      <c r="X205" s="10">
        <f>+W31</f>
      </c>
      <c r="Y205" s="10">
        <f>+X31</f>
      </c>
      <c r="Z205" s="10">
        <f>+Y31</f>
      </c>
      <c r="AA205" s="10">
        <f>+Z31</f>
      </c>
      <c r="AB205" s="10">
        <f>+W31</f>
      </c>
      <c r="AC205" s="10">
        <f>+AB31</f>
      </c>
      <c r="AD205" s="10">
        <f>+AC31</f>
      </c>
      <c r="AE205" s="10">
        <f>+AD31</f>
      </c>
      <c r="AF205" s="10">
        <f>+AE31</f>
      </c>
      <c r="AG205" s="10">
        <f>+AB31</f>
      </c>
      <c r="AH205" s="10">
        <f>+AG31</f>
      </c>
      <c r="AI205" s="10">
        <f>+AH31</f>
      </c>
      <c r="AJ205" s="10">
        <f>+AI31</f>
      </c>
      <c r="AK205" s="10">
        <f>+AJ31</f>
      </c>
      <c r="AL205" s="10">
        <f>+AG31</f>
      </c>
      <c r="AM205" s="10">
        <f>+AL31</f>
      </c>
      <c r="AN205" s="10">
        <f>+AM31</f>
      </c>
      <c r="AO205" s="10">
        <f>+AN31</f>
      </c>
      <c r="AP205" s="10">
        <f>+AO31</f>
      </c>
      <c r="AQ205" s="10">
        <f>+AL31</f>
      </c>
      <c r="AR205" s="10">
        <f>+AQ31</f>
      </c>
      <c r="AS205" s="10">
        <f>+AR31</f>
      </c>
      <c r="AT205" s="10">
        <f>+AS31</f>
      </c>
      <c r="AU205" s="10">
        <f>+AT31</f>
      </c>
      <c r="AV205" s="10">
        <f>+AQ31</f>
      </c>
      <c r="AW205" s="10">
        <f>+AV31</f>
      </c>
      <c r="AX205" s="10">
        <f>+AW31</f>
      </c>
      <c r="AY205" s="10">
        <f>+AX31</f>
      </c>
      <c r="AZ205" s="10">
        <f>+AY31</f>
      </c>
      <c r="BA205" s="10">
        <f>+AV31</f>
      </c>
      <c r="BB205" s="10">
        <f>+BA31</f>
      </c>
      <c r="BC205" s="10">
        <f>+BB31</f>
      </c>
      <c r="BD205" s="10">
        <f>+BC31</f>
      </c>
      <c r="BE205" s="10">
        <f>+BD31</f>
      </c>
      <c r="BF205" s="10">
        <f>+BA31</f>
      </c>
      <c r="BG205" s="10">
        <f>+BF31</f>
      </c>
      <c r="BH205" s="10">
        <f>+BG31</f>
      </c>
      <c r="BI205" s="10">
        <f>+BH31</f>
      </c>
      <c r="BJ205" s="10">
        <f>+BI31</f>
      </c>
      <c r="BK205" s="10">
        <f>+BF31</f>
      </c>
      <c r="BL205" s="10">
        <f>+BK31</f>
      </c>
      <c r="BM205" s="10">
        <f>+BL31</f>
      </c>
      <c r="BN205" s="10">
        <f>+BM31</f>
      </c>
      <c r="BO205" s="10">
        <f>+BN31</f>
      </c>
      <c r="BP205" s="10">
        <f>+BK31</f>
      </c>
      <c r="BQ205" s="10">
        <f>+BP31</f>
      </c>
      <c r="BR205" s="10">
        <f>+BQ31</f>
      </c>
      <c r="BS205" s="10">
        <f>+BR31</f>
      </c>
      <c r="BT205" s="10">
        <f>+BS31</f>
      </c>
      <c r="BU205" s="67">
        <f>+BP31</f>
      </c>
      <c r="BV205" s="10">
        <f>+BU31</f>
      </c>
      <c r="BW205" s="10">
        <f>+BV31</f>
      </c>
      <c r="BX205" s="10">
        <f>+BW31</f>
      </c>
      <c r="BY205" s="10">
        <f>+BX31</f>
      </c>
      <c r="BZ205" s="67">
        <f>+BU31</f>
      </c>
      <c r="CA205" s="10">
        <f>+BZ31</f>
      </c>
      <c r="CB205" s="10">
        <f>+CA31</f>
      </c>
      <c r="CC205" s="10">
        <f>+CB207</f>
      </c>
      <c r="CD205" s="10">
        <f>+CC207</f>
      </c>
      <c r="CE205" s="67">
        <f>+BZ207</f>
      </c>
      <c r="CF205" s="10">
        <f>+CE207</f>
      </c>
      <c r="CG205" s="10">
        <f>+CF207</f>
      </c>
      <c r="CH205" s="10">
        <f>+CG207</f>
      </c>
      <c r="CI205" s="10">
        <f>+CH207</f>
      </c>
      <c r="CJ205" s="67">
        <f>+CE207</f>
      </c>
      <c r="CK205" s="10">
        <f>+CJ207</f>
      </c>
      <c r="CL205" s="10">
        <f>+CK207</f>
      </c>
      <c r="CM205" s="10">
        <f>+CL207</f>
      </c>
      <c r="CN205" s="10">
        <f>+CM207</f>
      </c>
      <c r="CO205" s="67">
        <f>+CJ207</f>
      </c>
      <c r="CP205" s="10">
        <f>+CO207</f>
      </c>
      <c r="CQ205" s="10">
        <f>+CP207</f>
      </c>
      <c r="CR205" s="10">
        <f>+CQ207</f>
      </c>
      <c r="CS205" s="10">
        <f>+CR207</f>
      </c>
      <c r="CT205" s="67">
        <f>+CO207</f>
      </c>
      <c r="CU205" s="10">
        <f>+CT207</f>
      </c>
      <c r="CV205" s="10">
        <f>+CU207</f>
      </c>
      <c r="CW205" s="10">
        <f>+CV207</f>
      </c>
      <c r="CX205" s="10">
        <f>+CW207</f>
      </c>
      <c r="CY205" s="67">
        <f>+CT207</f>
      </c>
      <c r="CZ205" s="10">
        <f>+CY207</f>
      </c>
      <c r="DA205" s="10">
        <f>+CZ207</f>
      </c>
      <c r="DB205" s="10">
        <f>+DA207</f>
      </c>
      <c r="DC205" s="10">
        <f>+DB207</f>
      </c>
      <c r="DD205" s="67">
        <f>+CY207</f>
      </c>
      <c r="DE205" s="10">
        <f>+DD207</f>
      </c>
      <c r="DF205" s="10">
        <f>+DE207</f>
      </c>
      <c r="DG205" s="10">
        <f>+DF207</f>
      </c>
      <c r="DH205" s="10">
        <f>+DG207</f>
      </c>
      <c r="DI205" s="67">
        <f>+DD207</f>
      </c>
      <c r="DJ205" s="10">
        <f>+DI207</f>
      </c>
      <c r="DK205" s="10">
        <f>+DJ207</f>
      </c>
      <c r="DL205" s="10">
        <f>+DK207</f>
      </c>
      <c r="DM205" s="10">
        <f>+DL207</f>
      </c>
      <c r="DN205" s="67">
        <f>+DI207</f>
      </c>
      <c r="DO205" s="10">
        <f>+DN207</f>
      </c>
      <c r="DP205" s="10">
        <f>+DO207</f>
      </c>
      <c r="DQ205" s="10">
        <f>+DP207</f>
      </c>
      <c r="DR205" s="10">
        <f>+DQ207</f>
      </c>
      <c r="DS205" s="67">
        <f>+DN207</f>
      </c>
      <c r="DT205" s="10">
        <f>+DS207</f>
      </c>
      <c r="DU205" s="10">
        <f>+DT207</f>
      </c>
      <c r="DV205" s="10">
        <f>+DU207</f>
      </c>
      <c r="DW205" s="10">
        <f>+DV207</f>
      </c>
      <c r="DX205" s="67">
        <f>+DS207</f>
      </c>
      <c r="DY205" s="10">
        <f>+DX207</f>
      </c>
      <c r="DZ205" s="10">
        <f>+DY207</f>
      </c>
      <c r="EA205" s="10">
        <f>+DZ207</f>
      </c>
      <c r="EB205" s="10">
        <f>+EA207</f>
      </c>
      <c r="EC205" s="303">
        <f>+DX207</f>
      </c>
      <c r="ED205" s="10">
        <f>+EC207</f>
      </c>
      <c r="EE205" s="948">
        <f>+ED207</f>
      </c>
      <c r="EF205" s="1251">
        <f>+EE207</f>
      </c>
      <c r="EG205" s="948">
        <f>+EF207</f>
      </c>
      <c r="EH205" s="1505">
        <f>+EC207</f>
      </c>
      <c r="EI205" s="948">
        <f>+EH207</f>
      </c>
      <c r="EJ205" s="948">
        <f>+EI207</f>
      </c>
      <c r="EK205" s="2431">
        <f>+EJ207</f>
      </c>
      <c r="EL205" s="2432">
        <f>+EK207</f>
      </c>
      <c r="EM205" s="2089">
        <f>+EH207</f>
      </c>
      <c r="EN205" s="2100">
        <f>+EM207</f>
      </c>
      <c r="EO205" s="2704">
        <f>+EN207</f>
      </c>
      <c r="EP205" s="3086">
        <f>+EO207</f>
      </c>
      <c r="EQ205" s="1251">
        <f>+EP207</f>
      </c>
      <c r="ER205" s="1291">
        <f>+EM207</f>
      </c>
      <c r="ES205" s="2100">
        <f>+ER207</f>
      </c>
      <c r="ET205" s="2704">
        <f>+ES207</f>
      </c>
      <c r="EU205" s="3086">
        <f>+ET207</f>
      </c>
      <c r="EV205" s="1251">
        <f>+EU207</f>
      </c>
      <c r="EW205" s="1291">
        <f>+ER207</f>
      </c>
      <c r="EX205" s="2100">
        <f>+EW207</f>
      </c>
      <c r="EY205" s="2704">
        <f>+EX207</f>
      </c>
      <c r="EZ205" s="948">
        <f>+EY207</f>
      </c>
      <c r="FA205" s="1251">
        <f>+EZ207</f>
      </c>
      <c r="FB205" s="1291">
        <f>+EW207</f>
      </c>
      <c r="FC205" s="1291">
        <f t="shared" ref="FC205:FG205" si="692">+FB207</f>
      </c>
      <c r="FD205" s="1291">
        <f t="shared" si="692"/>
      </c>
      <c r="FE205" s="1291">
        <f t="shared" si="692"/>
      </c>
      <c r="FF205" s="1291">
        <f t="shared" si="692"/>
      </c>
      <c r="FG205" s="1291">
        <f t="shared" si="692"/>
      </c>
    </row>
    <row r="206" spans="1:163" outlineLevel="1">
      <c r="A206" s="1"/>
      <c r="B206" s="85" t="s">
        <v>84</v>
      </c>
      <c r="C206" s="86"/>
      <c r="D206" s="86"/>
      <c r="E206" s="86"/>
      <c r="F206" s="86"/>
      <c r="G206" s="86"/>
      <c r="H206" s="86"/>
      <c r="I206" s="86"/>
      <c r="J206" s="86"/>
      <c r="K206" s="86"/>
      <c r="L206" s="86"/>
      <c r="M206" s="86"/>
      <c r="N206" s="68"/>
      <c r="O206" s="1"/>
      <c r="P206" s="1"/>
      <c r="Q206" s="1"/>
      <c r="R206" s="1"/>
      <c r="S206" s="1"/>
      <c r="T206" s="1"/>
      <c r="U206" s="1"/>
      <c r="V206" s="10">
        <f t="shared" ref="V206:BU206" si="693">+V207-V205</f>
      </c>
      <c r="W206" s="10">
        <f t="shared" si="693"/>
      </c>
      <c r="X206" s="10">
        <f t="shared" si="693"/>
      </c>
      <c r="Y206" s="10">
        <f t="shared" si="693"/>
      </c>
      <c r="Z206" s="10">
        <f t="shared" si="693"/>
      </c>
      <c r="AA206" s="10">
        <f t="shared" si="693"/>
      </c>
      <c r="AB206" s="10">
        <f t="shared" si="693"/>
      </c>
      <c r="AC206" s="10">
        <f t="shared" si="693"/>
      </c>
      <c r="AD206" s="10">
        <f t="shared" si="693"/>
      </c>
      <c r="AE206" s="10">
        <f t="shared" si="693"/>
      </c>
      <c r="AF206" s="10">
        <f t="shared" si="693"/>
      </c>
      <c r="AG206" s="10">
        <f t="shared" si="693"/>
      </c>
      <c r="AH206" s="10">
        <f t="shared" si="693"/>
      </c>
      <c r="AI206" s="10">
        <f t="shared" si="693"/>
      </c>
      <c r="AJ206" s="10">
        <f t="shared" si="693"/>
      </c>
      <c r="AK206" s="10">
        <f t="shared" si="693"/>
      </c>
      <c r="AL206" s="10">
        <f t="shared" si="693"/>
      </c>
      <c r="AM206" s="10">
        <f t="shared" si="693"/>
      </c>
      <c r="AN206" s="10">
        <f t="shared" si="693"/>
      </c>
      <c r="AO206" s="10">
        <f t="shared" si="693"/>
      </c>
      <c r="AP206" s="10">
        <f t="shared" si="693"/>
      </c>
      <c r="AQ206" s="10">
        <f t="shared" si="693"/>
      </c>
      <c r="AR206" s="10">
        <f t="shared" si="693"/>
      </c>
      <c r="AS206" s="10">
        <f t="shared" si="693"/>
      </c>
      <c r="AT206" s="10">
        <f t="shared" si="693"/>
      </c>
      <c r="AU206" s="10">
        <f t="shared" si="693"/>
      </c>
      <c r="AV206" s="10">
        <f t="shared" si="693"/>
      </c>
      <c r="AW206" s="10">
        <f t="shared" si="693"/>
      </c>
      <c r="AX206" s="10">
        <f t="shared" si="693"/>
      </c>
      <c r="AY206" s="10">
        <f t="shared" si="693"/>
      </c>
      <c r="AZ206" s="10">
        <f t="shared" si="693"/>
      </c>
      <c r="BA206" s="10">
        <f t="shared" si="693"/>
      </c>
      <c r="BB206" s="10">
        <f t="shared" si="693"/>
      </c>
      <c r="BC206" s="10">
        <f t="shared" si="693"/>
      </c>
      <c r="BD206" s="10">
        <f t="shared" si="693"/>
      </c>
      <c r="BE206" s="10">
        <f t="shared" si="693"/>
      </c>
      <c r="BF206" s="10">
        <f t="shared" si="693"/>
      </c>
      <c r="BG206" s="10">
        <f t="shared" si="693"/>
      </c>
      <c r="BH206" s="10">
        <f t="shared" si="693"/>
      </c>
      <c r="BI206" s="10">
        <f t="shared" si="693"/>
      </c>
      <c r="BJ206" s="10">
        <f t="shared" si="693"/>
      </c>
      <c r="BK206" s="10">
        <f t="shared" si="693"/>
      </c>
      <c r="BL206" s="10">
        <f t="shared" si="693"/>
      </c>
      <c r="BM206" s="10">
        <f t="shared" si="693"/>
      </c>
      <c r="BN206" s="10">
        <f t="shared" si="693"/>
      </c>
      <c r="BO206" s="10">
        <f t="shared" si="693"/>
      </c>
      <c r="BP206" s="10">
        <f t="shared" si="693"/>
      </c>
      <c r="BQ206" s="10">
        <f t="shared" si="693"/>
      </c>
      <c r="BR206" s="10">
        <f t="shared" si="693"/>
      </c>
      <c r="BS206" s="10">
        <f t="shared" si="693"/>
      </c>
      <c r="BT206" s="10">
        <f t="shared" si="693"/>
      </c>
      <c r="BU206" s="67">
        <f t="shared" si="693"/>
      </c>
      <c r="BV206" s="10">
        <f t="shared" ref="BV206:CH206" si="694">+BV207-BV205</f>
      </c>
      <c r="BW206" s="10">
        <f t="shared" si="694"/>
      </c>
      <c r="BX206" s="10">
        <f t="shared" si="694"/>
      </c>
      <c r="BY206" s="10">
        <f t="shared" si="694"/>
      </c>
      <c r="BZ206" s="67">
        <f t="shared" si="694"/>
      </c>
      <c r="CA206" s="10">
        <f t="shared" si="694"/>
      </c>
      <c r="CB206" s="10">
        <f t="shared" si="694"/>
      </c>
      <c r="CC206" s="10">
        <f t="shared" si="694"/>
      </c>
      <c r="CD206" s="10">
        <f t="shared" si="694"/>
      </c>
      <c r="CE206" s="67">
        <f t="shared" si="694"/>
      </c>
      <c r="CF206" s="10">
        <f t="shared" si="694"/>
      </c>
      <c r="CG206" s="10">
        <f t="shared" si="694"/>
      </c>
      <c r="CH206" s="10">
        <f t="shared" si="694"/>
      </c>
      <c r="CI206" s="10">
        <f>+CI207-CI205</f>
      </c>
      <c r="CJ206" s="540">
        <f>SUM(CF206:CI206)</f>
      </c>
      <c r="CK206" s="10">
        <f>+CK207-CK205</f>
      </c>
      <c r="CL206" s="10">
        <f>+CL207-CL205</f>
      </c>
      <c r="CM206" s="10">
        <f>+CM207-CM205</f>
      </c>
      <c r="CN206" s="10">
        <f>+CN207-CN205</f>
      </c>
      <c r="CO206" s="67">
        <f>SUM(CK206:CN206)</f>
      </c>
      <c r="CP206" s="10">
        <f>+CP207-CP205</f>
      </c>
      <c r="CQ206" s="10">
        <f>+CQ207-CQ205</f>
      </c>
      <c r="CR206" s="10">
        <f>+CR207-CR205</f>
      </c>
      <c r="CS206" s="10">
        <f>+CS207-CS205</f>
      </c>
      <c r="CT206" s="67">
        <f>SUM(CP206:CS206)</f>
      </c>
      <c r="CU206" s="10">
        <f>+CU207-CU205</f>
      </c>
      <c r="CV206" s="10">
        <f>+CV207-CV205</f>
      </c>
      <c r="CW206" s="10">
        <f>+CW207-CW205</f>
      </c>
      <c r="CX206" s="10">
        <f>+CX207-CX205</f>
      </c>
      <c r="CY206" s="67">
        <f>SUM(CU206:CX206)</f>
      </c>
      <c r="CZ206" s="10">
        <f>+CZ207-CZ205</f>
      </c>
      <c r="DA206" s="10">
        <f>+DA207-DA205</f>
      </c>
      <c r="DB206" s="10">
        <f>+DB207-DB205</f>
      </c>
      <c r="DC206" s="10">
        <f>+DC207-DC205</f>
      </c>
      <c r="DD206" s="67">
        <f>SUM(CZ206:DC206)</f>
      </c>
      <c r="DE206" s="10">
        <f>+DE207-DE205</f>
      </c>
      <c r="DF206" s="10">
        <f>+DF207-DF205</f>
      </c>
      <c r="DG206" s="10">
        <f>+DG207-DG205</f>
      </c>
      <c r="DH206" s="10">
        <f>+DH207-DH205</f>
      </c>
      <c r="DI206" s="67">
        <f>SUM(DE206:DH206)</f>
      </c>
      <c r="DJ206" s="10">
        <f>+DJ207-DJ205</f>
      </c>
      <c r="DK206" s="10">
        <f>+DK207-DK205</f>
      </c>
      <c r="DL206" s="10">
        <f>+DL207-DL205</f>
      </c>
      <c r="DM206" s="10">
        <f>+DM207-DM205</f>
      </c>
      <c r="DN206" s="67">
        <f>SUM(DJ206:DM206)</f>
      </c>
      <c r="DO206" s="10">
        <f>+DO207-DO205</f>
      </c>
      <c r="DP206" s="10">
        <f>+DP207-DP205</f>
      </c>
      <c r="DQ206" s="10">
        <f>+DQ207-DQ205</f>
      </c>
      <c r="DR206" s="10">
        <f>+DR207-DR205</f>
      </c>
      <c r="DS206" s="67">
        <f>SUM(DO206:DR206)</f>
      </c>
      <c r="DT206" s="10">
        <f>+DT207-DT205</f>
      </c>
      <c r="DU206" s="10">
        <f>+DU207-DU205</f>
      </c>
      <c r="DV206" s="10">
        <f>+DV207-DV205</f>
      </c>
      <c r="DW206" s="10">
        <f>+DW207-DW205</f>
      </c>
      <c r="DX206" s="67">
        <f>SUM(DT206:DW206)</f>
      </c>
      <c r="DY206" s="10">
        <f>+DY207-DY205</f>
      </c>
      <c r="DZ206" s="10">
        <f>+DZ207-DZ205</f>
      </c>
      <c r="EA206" s="10">
        <f>+EA207-EA205</f>
      </c>
      <c r="EB206" s="10">
        <f>+EB207-EB205</f>
      </c>
      <c r="EC206" s="303">
        <f>SUM(DY206:EB206)</f>
      </c>
      <c r="ED206" s="10">
        <f>+ED207-ED205</f>
      </c>
      <c r="EE206" s="10">
        <f>+EE207-EE205</f>
      </c>
      <c r="EF206" s="10">
        <f>+EF207-EF205</f>
      </c>
      <c r="EG206" s="10">
        <f>+EG207-EG205</f>
      </c>
      <c r="EH206" s="1505">
        <f>+SUM(ED206:EG206)</f>
      </c>
      <c r="EI206" s="10">
        <f>+EI207-EI205</f>
      </c>
      <c r="EJ206" s="10">
        <f>+EJ207-EJ205</f>
      </c>
      <c r="EK206" s="10">
        <f>+EK207-EK205</f>
      </c>
      <c r="EL206" s="10">
        <f>+EL207-EL205</f>
      </c>
      <c r="EM206" s="2089">
        <f>+SUM(EI206:EL206)</f>
      </c>
      <c r="EN206" s="130">
        <f>+EN207-EN205</f>
      </c>
      <c r="EO206" s="10">
        <f>+EO207-EO205</f>
      </c>
      <c r="EP206" s="948">
        <f>+EP207-EP205</f>
      </c>
      <c r="EQ206" s="948">
        <f>+EQ207-EQ205</f>
      </c>
      <c r="ER206" s="1753">
        <f>+SUM(EN206:EQ206)</f>
      </c>
      <c r="ES206" s="130">
        <f>+ES207-ES205</f>
      </c>
      <c r="ET206" s="10">
        <f>+ET207-ET205</f>
      </c>
      <c r="EU206" s="948">
        <f>+EU207-EU205</f>
      </c>
      <c r="EV206" s="948">
        <f>+EV207-EV205</f>
      </c>
      <c r="EW206" s="1753">
        <f>+SUM(ES206:EV206)</f>
      </c>
      <c r="EX206" s="130">
        <f>+EX207-EX205</f>
      </c>
      <c r="EY206" s="10">
        <f>+EY207-EY205</f>
      </c>
      <c r="EZ206" s="577">
        <v>0</v>
      </c>
      <c r="FA206" s="1251">
        <f>FB206-SUM(EX206:EZ206)</f>
      </c>
      <c r="FB206" s="2955">
        <v>-178</v>
      </c>
      <c r="FC206" s="2955">
        <f>-Debt!S54+Debt!T54</f>
      </c>
      <c r="FD206" s="2955">
        <f>-Debt!T54+Debt!U54</f>
      </c>
      <c r="FE206" s="2955">
        <f>-Debt!U54+Debt!V54</f>
      </c>
      <c r="FF206" s="2955">
        <f>-Debt!V54+Debt!Y54</f>
      </c>
      <c r="FG206" s="2955">
        <f>-Debt!W54+Debt!Z54</f>
      </c>
    </row>
    <row r="207" spans="1:163" outlineLevel="1">
      <c r="A207" s="1"/>
      <c r="B207" s="109" t="str">
        <f>B204&amp;" , EOP"</f>
      </c>
      <c r="C207" s="125"/>
      <c r="D207" s="125"/>
      <c r="E207" s="125"/>
      <c r="F207" s="125"/>
      <c r="G207" s="125"/>
      <c r="H207" s="125"/>
      <c r="I207" s="125"/>
      <c r="J207" s="125"/>
      <c r="K207" s="125"/>
      <c r="L207" s="125"/>
      <c r="M207" s="125"/>
      <c r="N207" s="74"/>
      <c r="O207" s="102"/>
      <c r="P207" s="102"/>
      <c r="Q207" s="102"/>
      <c r="R207" s="102"/>
      <c r="S207" s="102"/>
      <c r="T207" s="102"/>
      <c r="U207" s="102"/>
      <c r="V207" s="82">
        <f t="shared" ref="V207:BA207" si="695">+V31</f>
      </c>
      <c r="W207" s="82">
        <f t="shared" si="695"/>
      </c>
      <c r="X207" s="82">
        <f t="shared" si="695"/>
      </c>
      <c r="Y207" s="82">
        <f t="shared" si="695"/>
      </c>
      <c r="Z207" s="82">
        <f t="shared" si="695"/>
      </c>
      <c r="AA207" s="82">
        <f t="shared" si="695"/>
      </c>
      <c r="AB207" s="82">
        <f t="shared" si="695"/>
      </c>
      <c r="AC207" s="82">
        <f t="shared" si="695"/>
      </c>
      <c r="AD207" s="82">
        <f t="shared" si="695"/>
      </c>
      <c r="AE207" s="82">
        <f t="shared" si="695"/>
      </c>
      <c r="AF207" s="82">
        <f t="shared" si="695"/>
      </c>
      <c r="AG207" s="82">
        <f t="shared" si="695"/>
      </c>
      <c r="AH207" s="82">
        <f t="shared" si="695"/>
      </c>
      <c r="AI207" s="82">
        <f t="shared" si="695"/>
      </c>
      <c r="AJ207" s="82">
        <f t="shared" si="695"/>
      </c>
      <c r="AK207" s="82">
        <f t="shared" si="695"/>
      </c>
      <c r="AL207" s="82">
        <f t="shared" si="695"/>
      </c>
      <c r="AM207" s="82">
        <f t="shared" si="695"/>
      </c>
      <c r="AN207" s="82">
        <f t="shared" si="695"/>
      </c>
      <c r="AO207" s="82">
        <f t="shared" si="695"/>
      </c>
      <c r="AP207" s="82">
        <f t="shared" si="695"/>
      </c>
      <c r="AQ207" s="82">
        <f t="shared" si="695"/>
      </c>
      <c r="AR207" s="82">
        <f t="shared" si="695"/>
      </c>
      <c r="AS207" s="82">
        <f t="shared" si="695"/>
      </c>
      <c r="AT207" s="82">
        <f t="shared" si="695"/>
      </c>
      <c r="AU207" s="82">
        <f t="shared" si="695"/>
      </c>
      <c r="AV207" s="82">
        <f t="shared" si="695"/>
      </c>
      <c r="AW207" s="82">
        <f t="shared" si="695"/>
      </c>
      <c r="AX207" s="82">
        <f t="shared" si="695"/>
      </c>
      <c r="AY207" s="82">
        <f t="shared" si="695"/>
      </c>
      <c r="AZ207" s="82">
        <f t="shared" si="695"/>
      </c>
      <c r="BA207" s="82">
        <f t="shared" si="695"/>
      </c>
      <c r="BB207" s="82">
        <f t="shared" ref="BB207:BU207" si="696">+BB31</f>
      </c>
      <c r="BC207" s="82">
        <f t="shared" si="696"/>
      </c>
      <c r="BD207" s="82">
        <f t="shared" si="696"/>
      </c>
      <c r="BE207" s="82">
        <f t="shared" si="696"/>
      </c>
      <c r="BF207" s="82">
        <f t="shared" si="696"/>
      </c>
      <c r="BG207" s="82">
        <f t="shared" si="696"/>
      </c>
      <c r="BH207" s="82">
        <f t="shared" si="696"/>
      </c>
      <c r="BI207" s="82">
        <f t="shared" si="696"/>
      </c>
      <c r="BJ207" s="82">
        <f t="shared" si="696"/>
      </c>
      <c r="BK207" s="82">
        <f t="shared" si="696"/>
      </c>
      <c r="BL207" s="82">
        <f t="shared" si="696"/>
      </c>
      <c r="BM207" s="82">
        <f t="shared" si="696"/>
      </c>
      <c r="BN207" s="82">
        <f t="shared" si="696"/>
      </c>
      <c r="BO207" s="82">
        <f t="shared" si="696"/>
      </c>
      <c r="BP207" s="82">
        <f t="shared" si="696"/>
      </c>
      <c r="BQ207" s="82">
        <f t="shared" si="696"/>
      </c>
      <c r="BR207" s="82">
        <f t="shared" si="696"/>
      </c>
      <c r="BS207" s="82">
        <f t="shared" si="696"/>
      </c>
      <c r="BT207" s="82">
        <f t="shared" si="696"/>
      </c>
      <c r="BU207" s="548">
        <f t="shared" si="696"/>
      </c>
      <c r="BV207" s="82">
        <f t="shared" ref="BV207:CH207" si="697">+BV31</f>
      </c>
      <c r="BW207" s="82">
        <f t="shared" si="697"/>
      </c>
      <c r="BX207" s="82">
        <f t="shared" si="697"/>
      </c>
      <c r="BY207" s="82">
        <f t="shared" si="697"/>
      </c>
      <c r="BZ207" s="548">
        <f t="shared" si="697"/>
      </c>
      <c r="CA207" s="82">
        <f t="shared" si="697"/>
      </c>
      <c r="CB207" s="82">
        <f t="shared" si="697"/>
      </c>
      <c r="CC207" s="82">
        <f t="shared" si="697"/>
      </c>
      <c r="CD207" s="82">
        <f t="shared" si="697"/>
      </c>
      <c r="CE207" s="548">
        <f t="shared" si="697"/>
      </c>
      <c r="CF207" s="82">
        <f t="shared" si="697"/>
      </c>
      <c r="CG207" s="82">
        <f t="shared" si="697"/>
      </c>
      <c r="CH207" s="82">
        <f t="shared" si="697"/>
      </c>
      <c r="CI207" s="82">
        <f>+CI31</f>
      </c>
      <c r="CJ207" s="548">
        <f>SUM(CJ205:CJ206)</f>
      </c>
      <c r="CK207" s="82">
        <f>+CK31</f>
      </c>
      <c r="CL207" s="82">
        <f>+CL31</f>
      </c>
      <c r="CM207" s="82">
        <f>+CM31</f>
      </c>
      <c r="CN207" s="82">
        <f>+CN31</f>
      </c>
      <c r="CO207" s="548">
        <f>SUM(CO205:CO206)</f>
      </c>
      <c r="CP207" s="82">
        <f>+CP31</f>
      </c>
      <c r="CQ207" s="82">
        <f>+CQ31</f>
      </c>
      <c r="CR207" s="82">
        <f>+CR31</f>
      </c>
      <c r="CS207" s="82">
        <f>+CS31</f>
      </c>
      <c r="CT207" s="548">
        <f>SUM(CT205:CT206)</f>
      </c>
      <c r="CU207" s="82">
        <f>+CU31</f>
      </c>
      <c r="CV207" s="82">
        <f>+CV31</f>
      </c>
      <c r="CW207" s="82">
        <f>+CW31</f>
      </c>
      <c r="CX207" s="82">
        <f>+CX31</f>
      </c>
      <c r="CY207" s="548">
        <f>SUM(CY205:CY206)</f>
      </c>
      <c r="CZ207" s="82">
        <f>+CZ31</f>
      </c>
      <c r="DA207" s="82">
        <f>+DA31</f>
      </c>
      <c r="DB207" s="82">
        <f>+DB31</f>
      </c>
      <c r="DC207" s="82">
        <f>+DC31</f>
      </c>
      <c r="DD207" s="548">
        <f>SUM(DD205:DD206)</f>
      </c>
      <c r="DE207" s="82">
        <f>+DE31</f>
      </c>
      <c r="DF207" s="82">
        <f>+DF31</f>
      </c>
      <c r="DG207" s="82">
        <f>+DG31</f>
      </c>
      <c r="DH207" s="82">
        <f>+DH31</f>
      </c>
      <c r="DI207" s="548">
        <f>SUM(DI205:DI206)</f>
      </c>
      <c r="DJ207" s="82">
        <f>+DJ31</f>
      </c>
      <c r="DK207" s="82">
        <f>+DK31</f>
      </c>
      <c r="DL207" s="82">
        <f>+DL31</f>
      </c>
      <c r="DM207" s="82">
        <f>+DM31</f>
      </c>
      <c r="DN207" s="548">
        <f>SUM(DN205:DN206)</f>
      </c>
      <c r="DO207" s="82">
        <f>+DO31</f>
      </c>
      <c r="DP207" s="82">
        <f>+DP31</f>
      </c>
      <c r="DQ207" s="82">
        <f>+DQ31</f>
      </c>
      <c r="DR207" s="82">
        <f>+DR31</f>
      </c>
      <c r="DS207" s="548">
        <f>SUM(DS205:DS206)</f>
      </c>
      <c r="DT207" s="82">
        <f>+DT31</f>
      </c>
      <c r="DU207" s="82">
        <f>+DU31</f>
      </c>
      <c r="DV207" s="82">
        <f>+DV31</f>
      </c>
      <c r="DW207" s="82">
        <f>+DW31</f>
      </c>
      <c r="DX207" s="548">
        <f>SUM(DX205:DX206)</f>
      </c>
      <c r="DY207" s="82">
        <f>+DY31</f>
      </c>
      <c r="DZ207" s="82">
        <f>+DZ31</f>
      </c>
      <c r="EA207" s="82">
        <f>+EA31</f>
      </c>
      <c r="EB207" s="2705">
        <f>+EB31</f>
      </c>
      <c r="EC207" s="2729">
        <f>SUM(EC205:EC206)</f>
      </c>
      <c r="ED207" s="82">
        <f>+ED31</f>
      </c>
      <c r="EE207" s="82">
        <f>+EE31</f>
      </c>
      <c r="EF207" s="82">
        <f>+EF31</f>
      </c>
      <c r="EG207" s="2705">
        <f>+EG31</f>
      </c>
      <c r="EH207" s="2726">
        <f>SUM(EH205:EH206)</f>
      </c>
      <c r="EI207" s="82">
        <f>+EI31</f>
      </c>
      <c r="EJ207" s="82">
        <f>+EJ31</f>
      </c>
      <c r="EK207" s="82">
        <f>+EK31</f>
      </c>
      <c r="EL207" s="82">
        <f>+EL31</f>
      </c>
      <c r="EM207" s="2517">
        <f>SUM(EM205:EM206)</f>
      </c>
      <c r="EN207" s="2575">
        <f>+EN31</f>
      </c>
      <c r="EO207" s="2705">
        <f>+EO31</f>
      </c>
      <c r="EP207" s="1128">
        <f>+EP31</f>
      </c>
      <c r="EQ207" s="1128">
        <f>+EQ31</f>
      </c>
      <c r="ER207" s="3399">
        <f>SUM(ER205:ER206)</f>
      </c>
      <c r="ES207" s="2575">
        <f>+ES31</f>
      </c>
      <c r="ET207" s="2705">
        <f>+ET31</f>
      </c>
      <c r="EU207" s="1128">
        <f>+EU31</f>
      </c>
      <c r="EV207" s="1128">
        <f>+EV31</f>
      </c>
      <c r="EW207" s="3399">
        <f>SUM(EW205:EW206)</f>
      </c>
      <c r="EX207" s="2575">
        <f>+EX31</f>
      </c>
      <c r="EY207" s="2705">
        <f>+EY31</f>
      </c>
      <c r="EZ207" s="1128">
        <f t="shared" ref="EZ207:FA207" si="698">SUM(EZ205:EZ206)</f>
      </c>
      <c r="FA207" s="2149">
        <f t="shared" si="698"/>
      </c>
      <c r="FB207" s="3588">
        <f t="shared" ref="FB207:FD207" si="699">SUM(FB205:FB206)</f>
      </c>
      <c r="FC207" s="1294">
        <f t="shared" si="699"/>
      </c>
      <c r="FD207" s="1294">
        <f t="shared" si="699"/>
      </c>
      <c r="FE207" s="1294">
        <f>SUM(FE205:FE206)</f>
      </c>
      <c r="FF207" s="1294">
        <f>SUM(FF205:FF206)</f>
      </c>
      <c r="FG207" s="1294">
        <f>SUM(FG205:FG206)</f>
      </c>
    </row>
    <row r="208" spans="1:163" outlineLevel="1">
      <c r="A208" s="1"/>
      <c r="B208" s="72"/>
      <c r="C208" s="72"/>
      <c r="D208" s="72"/>
      <c r="E208" s="72"/>
      <c r="F208" s="72"/>
      <c r="G208" s="72"/>
      <c r="H208" s="72"/>
      <c r="I208" s="72"/>
      <c r="J208" s="72"/>
      <c r="K208" s="72"/>
      <c r="L208" s="72"/>
      <c r="M208" s="72"/>
      <c r="N208" s="68"/>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
      <c r="BU208" s="1"/>
      <c r="BV208" s="14"/>
      <c r="BW208" s="14"/>
      <c r="BX208" s="1"/>
      <c r="BY208" s="1"/>
      <c r="BZ208" s="1"/>
      <c r="CA208" s="1"/>
      <c r="CB208" s="1"/>
      <c r="CC208" s="1"/>
      <c r="CD208" s="1"/>
      <c r="CE208" s="1"/>
      <c r="CF208" s="1"/>
      <c r="CG208" s="1"/>
      <c r="CH208" s="1"/>
      <c r="CI208" s="1"/>
      <c r="CJ208" s="1"/>
      <c r="CK208" s="1"/>
      <c r="CL208" s="1"/>
      <c r="CM208" s="1"/>
      <c r="CN208" s="1"/>
      <c r="CO208" s="73"/>
      <c r="CP208" s="1"/>
      <c r="CQ208" s="1"/>
      <c r="CR208" s="1"/>
      <c r="CS208" s="1"/>
      <c r="CT208" s="73"/>
      <c r="CU208" s="1"/>
      <c r="CV208" s="1"/>
      <c r="CW208" s="1"/>
      <c r="CX208" s="1"/>
      <c r="CY208" s="73"/>
      <c r="CZ208" s="1"/>
      <c r="DA208" s="1"/>
      <c r="DB208" s="1"/>
      <c r="DC208" s="1"/>
      <c r="DD208" s="73"/>
      <c r="DE208" s="1"/>
      <c r="DF208" s="1"/>
      <c r="DG208" s="1"/>
      <c r="DH208" s="1"/>
      <c r="DI208" s="73"/>
      <c r="DJ208" s="1"/>
      <c r="DK208" s="1"/>
      <c r="DL208" s="1"/>
      <c r="DM208" s="1"/>
      <c r="DN208" s="73"/>
      <c r="DO208" s="1"/>
      <c r="DP208" s="946"/>
      <c r="DQ208" s="946"/>
      <c r="DR208" s="1"/>
      <c r="DS208" s="73"/>
      <c r="DT208" s="1"/>
      <c r="DU208" s="1"/>
      <c r="DV208" s="946"/>
      <c r="DW208" s="946"/>
      <c r="DX208" s="1045"/>
      <c r="DY208" s="946"/>
      <c r="DZ208" s="1"/>
      <c r="EA208" s="946"/>
      <c r="EB208" s="946"/>
      <c r="EC208" s="1045"/>
      <c r="ED208" s="946"/>
      <c r="EE208" s="1045"/>
      <c r="EF208" s="1045"/>
      <c r="EG208" s="1045"/>
      <c r="EH208" s="1045"/>
      <c r="EI208" s="1045"/>
      <c r="EJ208" s="1045"/>
      <c r="EK208" s="1045"/>
      <c r="EL208" s="1045"/>
      <c r="EM208" s="1045"/>
      <c r="EN208" s="1045"/>
      <c r="EO208" s="1045"/>
      <c r="EP208" s="1045"/>
      <c r="EQ208" s="1045"/>
      <c r="ER208" s="1045"/>
      <c r="ES208" s="1045"/>
      <c r="ET208" s="1045"/>
      <c r="EU208" s="1045"/>
      <c r="EV208" s="1045"/>
      <c r="EW208" s="1045"/>
      <c r="EX208" s="1045"/>
      <c r="EY208" s="1045"/>
      <c r="EZ208" s="1045"/>
      <c r="FA208" s="1045"/>
      <c r="FB208" s="1045"/>
      <c r="FC208" s="1045"/>
      <c r="FD208" s="1045"/>
      <c r="FE208" s="1045"/>
      <c r="FF208" s="1045"/>
      <c r="FG208" s="1045"/>
    </row>
    <row r="209" spans="1:165" outlineLevel="1">
      <c r="A209" s="1"/>
      <c r="B209" s="778" t="s">
        <v>85</v>
      </c>
      <c r="C209" s="779"/>
      <c r="D209" s="779"/>
      <c r="E209" s="779"/>
      <c r="F209" s="779"/>
      <c r="G209" s="779"/>
      <c r="H209" s="779"/>
      <c r="I209" s="779"/>
      <c r="J209" s="779"/>
      <c r="K209" s="779"/>
      <c r="L209" s="779"/>
      <c r="M209" s="779"/>
      <c r="N209" s="755"/>
      <c r="O209" s="783"/>
      <c r="P209" s="783"/>
      <c r="Q209" s="783"/>
      <c r="R209" s="783"/>
      <c r="S209" s="783"/>
      <c r="T209" s="783"/>
      <c r="U209" s="783"/>
      <c r="V209" s="783"/>
      <c r="W209" s="783"/>
      <c r="X209" s="783"/>
      <c r="Y209" s="783"/>
      <c r="Z209" s="783"/>
      <c r="AA209" s="783"/>
      <c r="AB209" s="783"/>
      <c r="AC209" s="783"/>
      <c r="AD209" s="783"/>
      <c r="AE209" s="783"/>
      <c r="AF209" s="783"/>
      <c r="AG209" s="783"/>
      <c r="AH209" s="783"/>
      <c r="AI209" s="783"/>
      <c r="AJ209" s="783"/>
      <c r="AK209" s="783"/>
      <c r="AL209" s="783"/>
      <c r="AM209" s="783"/>
      <c r="AN209" s="783"/>
      <c r="AO209" s="783"/>
      <c r="AP209" s="783"/>
      <c r="AQ209" s="783"/>
      <c r="AR209" s="783"/>
      <c r="AS209" s="783"/>
      <c r="AT209" s="783"/>
      <c r="AU209" s="783"/>
      <c r="AV209" s="783"/>
      <c r="AW209" s="783"/>
      <c r="AX209" s="783"/>
      <c r="AY209" s="783"/>
      <c r="AZ209" s="783"/>
      <c r="BA209" s="783"/>
      <c r="BB209" s="783"/>
      <c r="BC209" s="783"/>
      <c r="BD209" s="783"/>
      <c r="BE209" s="783"/>
      <c r="BF209" s="783"/>
      <c r="BG209" s="783"/>
      <c r="BH209" s="783"/>
      <c r="BI209" s="783"/>
      <c r="BJ209" s="783"/>
      <c r="BK209" s="783"/>
      <c r="BL209" s="783"/>
      <c r="BM209" s="783"/>
      <c r="BN209" s="783"/>
      <c r="BO209" s="783"/>
      <c r="BP209" s="783"/>
      <c r="BQ209" s="783"/>
      <c r="BR209" s="783"/>
      <c r="BS209" s="783"/>
      <c r="BT209" s="593"/>
      <c r="BU209" s="771"/>
      <c r="BV209" s="783"/>
      <c r="BW209" s="783"/>
      <c r="BX209" s="593"/>
      <c r="BY209" s="593"/>
      <c r="BZ209" s="771"/>
      <c r="CA209" s="593"/>
      <c r="CB209" s="593"/>
      <c r="CC209" s="593"/>
      <c r="CD209" s="593"/>
      <c r="CE209" s="771"/>
      <c r="CF209" s="593"/>
      <c r="CG209" s="593"/>
      <c r="CH209" s="593"/>
      <c r="CI209" s="593"/>
      <c r="CJ209" s="771"/>
      <c r="CK209" s="593"/>
      <c r="CL209" s="593"/>
      <c r="CM209" s="593"/>
      <c r="CN209" s="593"/>
      <c r="CO209" s="771"/>
      <c r="CP209" s="593"/>
      <c r="CQ209" s="593"/>
      <c r="CR209" s="593"/>
      <c r="CS209" s="593"/>
      <c r="CT209" s="771"/>
      <c r="CU209" s="593"/>
      <c r="CV209" s="593"/>
      <c r="CW209" s="593"/>
      <c r="CX209" s="593"/>
      <c r="CY209" s="771"/>
      <c r="CZ209" s="593"/>
      <c r="DA209" s="593"/>
      <c r="DB209" s="593"/>
      <c r="DC209" s="593"/>
      <c r="DD209" s="771"/>
      <c r="DE209" s="593"/>
      <c r="DF209" s="593"/>
      <c r="DG209" s="593"/>
      <c r="DH209" s="593"/>
      <c r="DI209" s="771"/>
      <c r="DJ209" s="593"/>
      <c r="DK209" s="593"/>
      <c r="DL209" s="593"/>
      <c r="DM209" s="593"/>
      <c r="DN209" s="771"/>
      <c r="DO209" s="593"/>
      <c r="DP209" s="1124"/>
      <c r="DQ209" s="1124"/>
      <c r="DR209" s="593"/>
      <c r="DS209" s="771"/>
      <c r="DT209" s="593"/>
      <c r="DU209" s="593"/>
      <c r="DV209" s="1124"/>
      <c r="DW209" s="1244"/>
      <c r="DX209" s="1113"/>
      <c r="DY209" s="1124"/>
      <c r="DZ209" s="593"/>
      <c r="EA209" s="1124"/>
      <c r="EB209" s="2692"/>
      <c r="EC209" s="2714"/>
      <c r="ED209" s="1124"/>
      <c r="EE209" s="1499"/>
      <c r="EF209" s="1499"/>
      <c r="EG209" s="1499"/>
      <c r="EH209" s="2714"/>
      <c r="EI209" s="1499"/>
      <c r="EJ209" s="1499"/>
      <c r="EK209" s="1499"/>
      <c r="EL209" s="1499"/>
      <c r="EM209" s="2509"/>
      <c r="EN209" s="2503"/>
      <c r="EO209" s="1499"/>
      <c r="EP209" s="2692"/>
      <c r="EQ209" s="2042"/>
      <c r="ER209" s="2041"/>
      <c r="ES209" s="1499"/>
      <c r="ET209" s="1499"/>
      <c r="EU209" s="2692"/>
      <c r="EV209" s="2042"/>
      <c r="EW209" s="2041"/>
      <c r="EX209" s="1499"/>
      <c r="EY209" s="1499"/>
      <c r="EZ209" s="1499"/>
      <c r="FA209" s="2042"/>
      <c r="FB209" s="2041"/>
      <c r="FC209" s="1287"/>
      <c r="FD209" s="1287"/>
      <c r="FE209" s="1287"/>
      <c r="FF209" s="1287"/>
      <c r="FG209" s="1287"/>
    </row>
    <row r="210" spans="1:165" outlineLevel="1">
      <c r="A210" s="1"/>
      <c r="B210" s="85" t="str">
        <f>B209&amp;" ,BOP"</f>
      </c>
      <c r="C210" s="86"/>
      <c r="D210" s="86"/>
      <c r="E210" s="86"/>
      <c r="F210" s="86"/>
      <c r="G210" s="86"/>
      <c r="H210" s="86"/>
      <c r="I210" s="86"/>
      <c r="J210" s="86"/>
      <c r="K210" s="86"/>
      <c r="L210" s="86"/>
      <c r="M210" s="86"/>
      <c r="N210" s="68"/>
      <c r="O210" s="14"/>
      <c r="P210" s="14"/>
      <c r="Q210" s="14"/>
      <c r="R210" s="14"/>
      <c r="S210" s="14"/>
      <c r="T210" s="14"/>
      <c r="U210" s="14"/>
      <c r="V210" s="10">
        <f>+U37</f>
      </c>
      <c r="W210" s="10">
        <f>+R37</f>
      </c>
      <c r="X210" s="10">
        <f>+W37</f>
      </c>
      <c r="Y210" s="10">
        <f>+X37</f>
      </c>
      <c r="Z210" s="10">
        <f>+Y37</f>
      </c>
      <c r="AA210" s="10">
        <f>+Z37</f>
      </c>
      <c r="AB210" s="10">
        <f>+W37</f>
      </c>
      <c r="AC210" s="10">
        <f>+AB37</f>
      </c>
      <c r="AD210" s="10">
        <f>+AC37</f>
      </c>
      <c r="AE210" s="10">
        <f>+AD37</f>
      </c>
      <c r="AF210" s="10">
        <f>+AE37</f>
      </c>
      <c r="AG210" s="10">
        <f>+AB37</f>
      </c>
      <c r="AH210" s="10">
        <f>+AG37</f>
      </c>
      <c r="AI210" s="10">
        <f>+AH37</f>
      </c>
      <c r="AJ210" s="10">
        <f>+AI37</f>
      </c>
      <c r="AK210" s="10">
        <f>+AJ37</f>
      </c>
      <c r="AL210" s="10">
        <f>+AG37</f>
      </c>
      <c r="AM210" s="10">
        <f>+AL37</f>
      </c>
      <c r="AN210" s="10">
        <f>+AM37</f>
      </c>
      <c r="AO210" s="10">
        <f>+AN37</f>
      </c>
      <c r="AP210" s="10">
        <f>+AO37</f>
      </c>
      <c r="AQ210" s="10">
        <f>+AL37</f>
      </c>
      <c r="AR210" s="10">
        <f>+AQ37</f>
      </c>
      <c r="AS210" s="10">
        <f>+AR37</f>
      </c>
      <c r="AT210" s="10">
        <f>+AS37</f>
      </c>
      <c r="AU210" s="10">
        <f>+AT37</f>
      </c>
      <c r="AV210" s="10">
        <f>+AQ37</f>
      </c>
      <c r="AW210" s="10">
        <f>+AV37</f>
      </c>
      <c r="AX210" s="10">
        <f>+AW37</f>
      </c>
      <c r="AY210" s="10">
        <f>+AX37</f>
      </c>
      <c r="AZ210" s="10">
        <f>+AY37</f>
      </c>
      <c r="BA210" s="10">
        <f>+AV37</f>
      </c>
      <c r="BB210" s="10">
        <f>+BA37</f>
      </c>
      <c r="BC210" s="10">
        <f>+BB37</f>
      </c>
      <c r="BD210" s="10">
        <f>+BC37</f>
      </c>
      <c r="BE210" s="10">
        <f>+BD37</f>
      </c>
      <c r="BF210" s="10">
        <f>+BA37</f>
      </c>
      <c r="BG210" s="10">
        <f>+BF37</f>
      </c>
      <c r="BH210" s="10">
        <f>+BG37</f>
      </c>
      <c r="BI210" s="10">
        <f>+BH37</f>
      </c>
      <c r="BJ210" s="10">
        <f>+BI37</f>
      </c>
      <c r="BK210" s="10">
        <f>+BF37</f>
      </c>
      <c r="BL210" s="10">
        <f>+BK37</f>
      </c>
      <c r="BM210" s="10">
        <f>+BL37</f>
      </c>
      <c r="BN210" s="10">
        <f>+BM37</f>
      </c>
      <c r="BO210" s="10">
        <f>+BN37</f>
      </c>
      <c r="BP210" s="10">
        <f>+BK37</f>
      </c>
      <c r="BQ210" s="10">
        <f>+BP37</f>
      </c>
      <c r="BR210" s="10">
        <f>+BQ37</f>
      </c>
      <c r="BS210" s="10">
        <f>+BR37</f>
      </c>
      <c r="BT210" s="10">
        <f>+BS37</f>
      </c>
      <c r="BU210" s="67">
        <f>+BP37</f>
      </c>
      <c r="BV210" s="10">
        <f>+BU37</f>
      </c>
      <c r="BW210" s="10">
        <f>+BV37</f>
      </c>
      <c r="BX210" s="10">
        <f>+BW37</f>
      </c>
      <c r="BY210" s="10">
        <f>+BX37</f>
      </c>
      <c r="BZ210" s="67">
        <f>+BU212</f>
      </c>
      <c r="CA210" s="10">
        <f>+BZ37</f>
      </c>
      <c r="CB210" s="10">
        <f>+CA37</f>
      </c>
      <c r="CC210" s="10">
        <f>+CB212</f>
      </c>
      <c r="CD210" s="10">
        <f>+CC212</f>
      </c>
      <c r="CE210" s="67">
        <f>+BZ212</f>
      </c>
      <c r="CF210" s="10">
        <f>+CE212</f>
      </c>
      <c r="CG210" s="10">
        <f>+CF212</f>
      </c>
      <c r="CH210" s="10">
        <f>+CG212</f>
      </c>
      <c r="CI210" s="10">
        <f>+CH212</f>
      </c>
      <c r="CJ210" s="67">
        <f>+CE212</f>
      </c>
      <c r="CK210" s="10">
        <f>+CJ212</f>
      </c>
      <c r="CL210" s="10">
        <f>+CK212</f>
      </c>
      <c r="CM210" s="10">
        <f>+CL212</f>
      </c>
      <c r="CN210" s="10">
        <f>+CM212</f>
      </c>
      <c r="CO210" s="67">
        <f>+CJ212</f>
      </c>
      <c r="CP210" s="10">
        <f>+CO212</f>
      </c>
      <c r="CQ210" s="10">
        <f>+CP212</f>
      </c>
      <c r="CR210" s="10">
        <f>+CQ212</f>
      </c>
      <c r="CS210" s="10">
        <f>+CR212</f>
      </c>
      <c r="CT210" s="67">
        <f>+CO212</f>
      </c>
      <c r="CU210" s="10">
        <f>+CT212</f>
      </c>
      <c r="CV210" s="10">
        <f>+CU212</f>
      </c>
      <c r="CW210" s="10">
        <f>+CV212</f>
      </c>
      <c r="CX210" s="10">
        <f>+CW212</f>
      </c>
      <c r="CY210" s="67">
        <f>+CT212</f>
      </c>
      <c r="CZ210" s="10">
        <f>+CY212</f>
      </c>
      <c r="DA210" s="10">
        <f>+CZ212</f>
      </c>
      <c r="DB210" s="10">
        <f>+DA212</f>
      </c>
      <c r="DC210" s="10">
        <f>+DB212</f>
      </c>
      <c r="DD210" s="67">
        <f>+CY212</f>
      </c>
      <c r="DE210" s="10">
        <f>+DD212</f>
      </c>
      <c r="DF210" s="10">
        <f>+DE212</f>
      </c>
      <c r="DG210" s="10">
        <f>+DF212</f>
      </c>
      <c r="DH210" s="10">
        <f>+DG212</f>
      </c>
      <c r="DI210" s="67">
        <f>+DD212</f>
      </c>
      <c r="DJ210" s="10">
        <f>+DI212</f>
      </c>
      <c r="DK210" s="10">
        <f>+DJ212</f>
      </c>
      <c r="DL210" s="10">
        <f>+DK212</f>
      </c>
      <c r="DM210" s="10">
        <f>+DL212</f>
      </c>
      <c r="DN210" s="67">
        <f>+DI212</f>
      </c>
      <c r="DO210" s="10">
        <f>+DN212</f>
      </c>
      <c r="DP210" s="10">
        <f>+DO212</f>
      </c>
      <c r="DQ210" s="10">
        <f>+DP212</f>
      </c>
      <c r="DR210" s="10">
        <f>+DQ212</f>
      </c>
      <c r="DS210" s="67">
        <f>+DN212</f>
      </c>
      <c r="DT210" s="10">
        <f>+DS212</f>
      </c>
      <c r="DU210" s="10">
        <f>+DT212</f>
      </c>
      <c r="DV210" s="10">
        <f>+DU212</f>
      </c>
      <c r="DW210" s="10">
        <f>+DV212</f>
      </c>
      <c r="DX210" s="67">
        <f>+DS212</f>
      </c>
      <c r="DY210" s="10">
        <f>+DX212</f>
      </c>
      <c r="DZ210" s="10">
        <f>+DY212</f>
      </c>
      <c r="EA210" s="10">
        <f>+DZ212</f>
      </c>
      <c r="EB210" s="10">
        <f>+EA212</f>
      </c>
      <c r="EC210" s="303">
        <f>+DX212</f>
      </c>
      <c r="ED210" s="10">
        <f>+EC212</f>
      </c>
      <c r="EE210" s="10">
        <f>+ED212</f>
      </c>
      <c r="EF210" s="10">
        <f>+EE212</f>
      </c>
      <c r="EG210" s="10">
        <f>+EF212</f>
      </c>
      <c r="EH210" s="1505">
        <f>+EC212</f>
      </c>
      <c r="EI210" s="10">
        <f>+EH212</f>
      </c>
      <c r="EJ210" s="10">
        <f>+EI212</f>
      </c>
      <c r="EK210" s="10">
        <f>+EJ212</f>
      </c>
      <c r="EL210" s="10">
        <f>+EK212</f>
      </c>
      <c r="EM210" s="2089">
        <f>+EH212</f>
      </c>
      <c r="EN210" s="130">
        <f>+EM212</f>
      </c>
      <c r="EO210" s="2706">
        <f>+EN212</f>
      </c>
      <c r="EP210" s="3086">
        <f>+EO212</f>
      </c>
      <c r="EQ210" s="1251">
        <f>+EP212</f>
      </c>
      <c r="ER210" s="1291">
        <f>+EM212</f>
      </c>
      <c r="ES210" s="130">
        <f>+ER212</f>
      </c>
      <c r="ET210" s="2706">
        <f>+ES212</f>
      </c>
      <c r="EU210" s="3086">
        <f>+ET212</f>
      </c>
      <c r="EV210" s="1251">
        <f>+EU212</f>
      </c>
      <c r="EW210" s="1291">
        <f>+ER212</f>
      </c>
      <c r="EX210" s="130">
        <f>+EW212</f>
      </c>
      <c r="EY210" s="2706">
        <f>+EX212</f>
      </c>
      <c r="EZ210" s="948">
        <f>+EY212</f>
      </c>
      <c r="FA210" s="1251">
        <f>+EZ212</f>
      </c>
      <c r="FB210" s="1291">
        <f>+EW212</f>
      </c>
      <c r="FC210" s="1291">
        <f t="shared" ref="FC210:FG210" si="700">+FB212</f>
      </c>
      <c r="FD210" s="1291">
        <f t="shared" si="700"/>
      </c>
      <c r="FE210" s="1291">
        <f t="shared" si="700"/>
      </c>
      <c r="FF210" s="1291">
        <f t="shared" si="700"/>
      </c>
      <c r="FG210" s="1291">
        <f t="shared" si="700"/>
      </c>
    </row>
    <row r="211" spans="1:165" outlineLevel="1">
      <c r="A211" s="1"/>
      <c r="B211" s="85" t="s">
        <v>84</v>
      </c>
      <c r="C211" s="86"/>
      <c r="D211" s="86"/>
      <c r="E211" s="86"/>
      <c r="F211" s="86"/>
      <c r="G211" s="86"/>
      <c r="H211" s="86"/>
      <c r="I211" s="86"/>
      <c r="J211" s="86"/>
      <c r="K211" s="86"/>
      <c r="L211" s="86"/>
      <c r="M211" s="86"/>
      <c r="N211" s="68"/>
      <c r="O211" s="14"/>
      <c r="P211" s="14"/>
      <c r="Q211" s="14"/>
      <c r="R211" s="14"/>
      <c r="S211" s="14"/>
      <c r="T211" s="14"/>
      <c r="U211" s="14"/>
      <c r="V211" s="10">
        <f t="shared" ref="V211:BU211" si="701">+V212-V210</f>
      </c>
      <c r="W211" s="10">
        <f t="shared" si="701"/>
      </c>
      <c r="X211" s="10">
        <f t="shared" si="701"/>
      </c>
      <c r="Y211" s="10">
        <f t="shared" si="701"/>
      </c>
      <c r="Z211" s="10">
        <f t="shared" si="701"/>
      </c>
      <c r="AA211" s="10">
        <f t="shared" si="701"/>
      </c>
      <c r="AB211" s="10">
        <f t="shared" si="701"/>
      </c>
      <c r="AC211" s="10">
        <f t="shared" si="701"/>
      </c>
      <c r="AD211" s="10">
        <f t="shared" si="701"/>
      </c>
      <c r="AE211" s="10">
        <f t="shared" si="701"/>
      </c>
      <c r="AF211" s="10">
        <f t="shared" si="701"/>
      </c>
      <c r="AG211" s="10">
        <f t="shared" si="701"/>
      </c>
      <c r="AH211" s="10">
        <f t="shared" si="701"/>
      </c>
      <c r="AI211" s="10">
        <f t="shared" si="701"/>
      </c>
      <c r="AJ211" s="10">
        <f t="shared" si="701"/>
      </c>
      <c r="AK211" s="10">
        <f t="shared" si="701"/>
      </c>
      <c r="AL211" s="10">
        <f t="shared" si="701"/>
      </c>
      <c r="AM211" s="10">
        <f t="shared" si="701"/>
      </c>
      <c r="AN211" s="10">
        <f t="shared" si="701"/>
      </c>
      <c r="AO211" s="10">
        <f t="shared" si="701"/>
      </c>
      <c r="AP211" s="10">
        <f t="shared" si="701"/>
      </c>
      <c r="AQ211" s="10">
        <f t="shared" si="701"/>
      </c>
      <c r="AR211" s="10">
        <f t="shared" si="701"/>
      </c>
      <c r="AS211" s="10">
        <f t="shared" si="701"/>
      </c>
      <c r="AT211" s="10">
        <f t="shared" si="701"/>
      </c>
      <c r="AU211" s="10">
        <f t="shared" si="701"/>
      </c>
      <c r="AV211" s="10">
        <f t="shared" si="701"/>
      </c>
      <c r="AW211" s="10">
        <f t="shared" si="701"/>
      </c>
      <c r="AX211" s="10">
        <f t="shared" si="701"/>
      </c>
      <c r="AY211" s="10">
        <f t="shared" si="701"/>
      </c>
      <c r="AZ211" s="10">
        <f t="shared" si="701"/>
      </c>
      <c r="BA211" s="10">
        <f t="shared" si="701"/>
      </c>
      <c r="BB211" s="10">
        <f t="shared" si="701"/>
      </c>
      <c r="BC211" s="10">
        <f t="shared" si="701"/>
      </c>
      <c r="BD211" s="10">
        <f t="shared" si="701"/>
      </c>
      <c r="BE211" s="10">
        <f t="shared" si="701"/>
      </c>
      <c r="BF211" s="10">
        <f t="shared" si="701"/>
      </c>
      <c r="BG211" s="10">
        <f t="shared" si="701"/>
      </c>
      <c r="BH211" s="10">
        <f t="shared" si="701"/>
      </c>
      <c r="BI211" s="10">
        <f t="shared" si="701"/>
      </c>
      <c r="BJ211" s="10">
        <f t="shared" si="701"/>
      </c>
      <c r="BK211" s="10">
        <f t="shared" si="701"/>
      </c>
      <c r="BL211" s="10">
        <f t="shared" si="701"/>
      </c>
      <c r="BM211" s="10">
        <f t="shared" si="701"/>
      </c>
      <c r="BN211" s="10">
        <f t="shared" si="701"/>
      </c>
      <c r="BO211" s="10">
        <f t="shared" si="701"/>
      </c>
      <c r="BP211" s="10">
        <f t="shared" si="701"/>
      </c>
      <c r="BQ211" s="10">
        <f t="shared" si="701"/>
      </c>
      <c r="BR211" s="10">
        <f t="shared" si="701"/>
      </c>
      <c r="BS211" s="10">
        <f t="shared" si="701"/>
      </c>
      <c r="BT211" s="10">
        <f t="shared" si="701"/>
      </c>
      <c r="BU211" s="67">
        <f t="shared" si="701"/>
      </c>
      <c r="BV211" s="10">
        <f t="shared" ref="BV211:CH211" si="702">+BV212-BV210</f>
      </c>
      <c r="BW211" s="10">
        <f t="shared" si="702"/>
      </c>
      <c r="BX211" s="10">
        <f t="shared" si="702"/>
      </c>
      <c r="BY211" s="10">
        <f t="shared" si="702"/>
      </c>
      <c r="BZ211" s="67">
        <f t="shared" si="702"/>
      </c>
      <c r="CA211" s="10">
        <f t="shared" si="702"/>
      </c>
      <c r="CB211" s="10">
        <f t="shared" si="702"/>
      </c>
      <c r="CC211" s="10">
        <f t="shared" si="702"/>
      </c>
      <c r="CD211" s="10">
        <f t="shared" si="702"/>
      </c>
      <c r="CE211" s="67">
        <f t="shared" si="702"/>
      </c>
      <c r="CF211" s="10">
        <f t="shared" si="702"/>
      </c>
      <c r="CG211" s="10">
        <f t="shared" si="702"/>
      </c>
      <c r="CH211" s="10">
        <f t="shared" si="702"/>
      </c>
      <c r="CI211" s="10">
        <f>+CI212-CI210</f>
      </c>
      <c r="CJ211" s="540">
        <f>SUM(CF211:CI211)</f>
      </c>
      <c r="CK211" s="10">
        <f>+CK212-CK210</f>
      </c>
      <c r="CL211" s="10">
        <f>+CL212-CL210</f>
      </c>
      <c r="CM211" s="10">
        <f>+CM212-CM210</f>
      </c>
      <c r="CN211" s="10">
        <f>+CN212-CN210</f>
      </c>
      <c r="CO211" s="540">
        <f>SUM(CK211:CN211)</f>
      </c>
      <c r="CP211" s="10">
        <f>+CP212-CP210</f>
      </c>
      <c r="CQ211" s="10">
        <f>+CQ212-CQ210</f>
      </c>
      <c r="CR211" s="10">
        <f>+CR212-CR210</f>
      </c>
      <c r="CS211" s="844">
        <f>+CS212-CS210</f>
      </c>
      <c r="CT211" s="540">
        <f>SUM(CP211:CS211)</f>
      </c>
      <c r="CU211" s="10">
        <f>+CU212-CU210</f>
      </c>
      <c r="CV211" s="10">
        <f>+CV212-CV210</f>
      </c>
      <c r="CW211" s="10">
        <f>+CW212-CW210</f>
      </c>
      <c r="CX211" s="844">
        <f>+CX212-CX210</f>
      </c>
      <c r="CY211" s="540">
        <f>SUM(CU211:CX211)</f>
      </c>
      <c r="CZ211" s="10">
        <f>+CZ212-CZ210</f>
      </c>
      <c r="DA211" s="10">
        <f>+DA212-DA210</f>
      </c>
      <c r="DB211" s="10">
        <f>+DB212-DB210</f>
      </c>
      <c r="DC211" s="844">
        <f>+DC212-DC210</f>
      </c>
      <c r="DD211" s="540">
        <f>SUM(CZ211:DC211)</f>
      </c>
      <c r="DE211" s="10">
        <f>+DE212-DE210</f>
      </c>
      <c r="DF211" s="10">
        <f>+DF212-DF210</f>
      </c>
      <c r="DG211" s="10">
        <f>+DG212-DG210</f>
      </c>
      <c r="DH211" s="844">
        <f>+DH212-DH210</f>
      </c>
      <c r="DI211" s="540">
        <f>SUM(DE211:DH211)</f>
      </c>
      <c r="DJ211" s="10">
        <f>+DJ212-DJ210</f>
      </c>
      <c r="DK211" s="10">
        <f>+DK212-DK210</f>
      </c>
      <c r="DL211" s="10">
        <f>+DL212-DL210</f>
      </c>
      <c r="DM211" s="844">
        <f>+DM212-DM210</f>
      </c>
      <c r="DN211" s="540">
        <f>SUM(DJ211:DM211)</f>
      </c>
      <c r="DO211" s="10">
        <f>+DO212-DO210</f>
      </c>
      <c r="DP211" s="10">
        <f>+DP212-DP210</f>
      </c>
      <c r="DQ211" s="10">
        <f>+DQ212-DQ210</f>
      </c>
      <c r="DR211" s="844">
        <f>+DR212-DR210</f>
      </c>
      <c r="DS211" s="540">
        <f>SUM(DO211:DR211)</f>
      </c>
      <c r="DT211" s="10">
        <f>+DT212-DT210</f>
      </c>
      <c r="DU211" s="10">
        <f>+DU212-DU210</f>
      </c>
      <c r="DV211" s="10">
        <f>+DV212-DV210</f>
      </c>
      <c r="DW211" s="844">
        <f>+DW212-DW210</f>
      </c>
      <c r="DX211" s="3106">
        <f>SUM(DT211:DW211)</f>
      </c>
      <c r="DY211" s="10">
        <f>+DY212-DY210</f>
      </c>
      <c r="DZ211" s="10">
        <f>+DZ212-DZ210</f>
      </c>
      <c r="EA211" s="10">
        <f>+EA212-EA210</f>
      </c>
      <c r="EB211" s="844">
        <f>+EB212-EB210</f>
      </c>
      <c r="EC211" s="298">
        <f>SUM(DY211:EB211)</f>
      </c>
      <c r="ED211" s="10">
        <f>+ED212-ED210</f>
      </c>
      <c r="EE211" s="10">
        <f>+EE212-EE210</f>
      </c>
      <c r="EF211" s="10">
        <f>+EF212-EF210</f>
      </c>
      <c r="EG211" s="844">
        <f>+EG212-EG210</f>
      </c>
      <c r="EH211" s="1505">
        <f>+SUM(ED211:EG211)</f>
      </c>
      <c r="EI211" s="10">
        <f>+EI212-EI210</f>
      </c>
      <c r="EJ211" s="10">
        <f>+EJ212-EJ210</f>
      </c>
      <c r="EK211" s="10">
        <f>+EK212-EK210</f>
      </c>
      <c r="EL211" s="844">
        <f>+EL212-EL210</f>
      </c>
      <c r="EM211" s="2089">
        <f>+SUM(EI211:EL211)</f>
      </c>
      <c r="EN211" s="130">
        <f>+EN212-EN210</f>
      </c>
      <c r="EO211" s="10">
        <f>+EO212-EO210</f>
      </c>
      <c r="EP211" s="948">
        <f>+EP212-EP210</f>
      </c>
      <c r="EQ211" s="948">
        <f>+EQ212-EQ210</f>
      </c>
      <c r="ER211" s="1753">
        <f>+SUM(EN211:EQ211)</f>
      </c>
      <c r="ES211" s="130">
        <f>+ES212-ES210</f>
      </c>
      <c r="ET211" s="10">
        <f>+ET212-ET210</f>
      </c>
      <c r="EU211" s="948">
        <f>+EU212-EU210</f>
      </c>
      <c r="EV211" s="948">
        <f>+EV212-EV210</f>
      </c>
      <c r="EW211" s="1753">
        <f>+SUM(ES211:EV211)</f>
      </c>
      <c r="EX211" s="130">
        <f>+EX212-EX210</f>
      </c>
      <c r="EY211" s="10">
        <f>+EY212-EY210</f>
      </c>
      <c r="EZ211" s="577">
        <v>0</v>
      </c>
      <c r="FA211" s="1251">
        <v>0</v>
      </c>
      <c r="FB211" s="1291">
        <f>SUM(EX211:FA211)</f>
      </c>
      <c r="FC211" s="1291">
        <f>-($FB$211/5)</f>
      </c>
      <c r="FD211" s="1291">
        <f t="shared" ref="FD211:FG211" si="703">-($FB$211/5)</f>
      </c>
      <c r="FE211" s="1291">
        <f t="shared" si="703"/>
      </c>
      <c r="FF211" s="1291">
        <f t="shared" si="703"/>
      </c>
      <c r="FG211" s="1291">
        <f t="shared" si="703"/>
      </c>
    </row>
    <row r="212" spans="1:165" outlineLevel="1">
      <c r="A212" s="1"/>
      <c r="B212" s="109" t="str">
        <f>B209&amp;" , EOP"</f>
      </c>
      <c r="C212" s="125"/>
      <c r="D212" s="125"/>
      <c r="E212" s="125"/>
      <c r="F212" s="125"/>
      <c r="G212" s="125"/>
      <c r="H212" s="125"/>
      <c r="I212" s="125"/>
      <c r="J212" s="125"/>
      <c r="K212" s="125"/>
      <c r="L212" s="125"/>
      <c r="M212" s="125"/>
      <c r="N212" s="74"/>
      <c r="O212" s="98"/>
      <c r="P212" s="98"/>
      <c r="Q212" s="98"/>
      <c r="R212" s="98"/>
      <c r="S212" s="98"/>
      <c r="T212" s="98"/>
      <c r="U212" s="98"/>
      <c r="V212" s="82">
        <f t="shared" ref="V212:BA212" si="704">+V37</f>
      </c>
      <c r="W212" s="82">
        <f t="shared" si="704"/>
      </c>
      <c r="X212" s="82">
        <f t="shared" si="704"/>
      </c>
      <c r="Y212" s="82">
        <f t="shared" si="704"/>
      </c>
      <c r="Z212" s="82">
        <f t="shared" si="704"/>
      </c>
      <c r="AA212" s="82">
        <f t="shared" si="704"/>
      </c>
      <c r="AB212" s="82">
        <f t="shared" si="704"/>
      </c>
      <c r="AC212" s="82">
        <f t="shared" si="704"/>
      </c>
      <c r="AD212" s="82">
        <f t="shared" si="704"/>
      </c>
      <c r="AE212" s="82">
        <f t="shared" si="704"/>
      </c>
      <c r="AF212" s="82">
        <f t="shared" si="704"/>
      </c>
      <c r="AG212" s="82">
        <f t="shared" si="704"/>
      </c>
      <c r="AH212" s="82">
        <f t="shared" si="704"/>
      </c>
      <c r="AI212" s="82">
        <f t="shared" si="704"/>
      </c>
      <c r="AJ212" s="82">
        <f t="shared" si="704"/>
      </c>
      <c r="AK212" s="82">
        <f t="shared" si="704"/>
      </c>
      <c r="AL212" s="82">
        <f t="shared" si="704"/>
      </c>
      <c r="AM212" s="82">
        <f t="shared" si="704"/>
      </c>
      <c r="AN212" s="82">
        <f t="shared" si="704"/>
      </c>
      <c r="AO212" s="82">
        <f t="shared" si="704"/>
      </c>
      <c r="AP212" s="82">
        <f t="shared" si="704"/>
      </c>
      <c r="AQ212" s="82">
        <f t="shared" si="704"/>
      </c>
      <c r="AR212" s="82">
        <f t="shared" si="704"/>
      </c>
      <c r="AS212" s="82">
        <f t="shared" si="704"/>
      </c>
      <c r="AT212" s="82">
        <f t="shared" si="704"/>
      </c>
      <c r="AU212" s="82">
        <f t="shared" si="704"/>
      </c>
      <c r="AV212" s="82">
        <f t="shared" si="704"/>
      </c>
      <c r="AW212" s="82">
        <f t="shared" si="704"/>
      </c>
      <c r="AX212" s="82">
        <f t="shared" si="704"/>
      </c>
      <c r="AY212" s="82">
        <f t="shared" si="704"/>
      </c>
      <c r="AZ212" s="82">
        <f t="shared" si="704"/>
      </c>
      <c r="BA212" s="82">
        <f t="shared" si="704"/>
      </c>
      <c r="BB212" s="82">
        <f t="shared" ref="BB212:BU212" si="705">+BB37</f>
      </c>
      <c r="BC212" s="82">
        <f t="shared" si="705"/>
      </c>
      <c r="BD212" s="82">
        <f t="shared" si="705"/>
      </c>
      <c r="BE212" s="82">
        <f t="shared" si="705"/>
      </c>
      <c r="BF212" s="82">
        <f t="shared" si="705"/>
      </c>
      <c r="BG212" s="82">
        <f t="shared" si="705"/>
      </c>
      <c r="BH212" s="82">
        <f t="shared" si="705"/>
      </c>
      <c r="BI212" s="82">
        <f t="shared" si="705"/>
      </c>
      <c r="BJ212" s="82">
        <f t="shared" si="705"/>
      </c>
      <c r="BK212" s="82">
        <f t="shared" si="705"/>
      </c>
      <c r="BL212" s="82">
        <f t="shared" si="705"/>
      </c>
      <c r="BM212" s="82">
        <f t="shared" si="705"/>
      </c>
      <c r="BN212" s="82">
        <f t="shared" si="705"/>
      </c>
      <c r="BO212" s="82">
        <f t="shared" si="705"/>
      </c>
      <c r="BP212" s="82">
        <f t="shared" si="705"/>
      </c>
      <c r="BQ212" s="82">
        <f t="shared" si="705"/>
      </c>
      <c r="BR212" s="82">
        <f t="shared" si="705"/>
      </c>
      <c r="BS212" s="82">
        <f t="shared" si="705"/>
      </c>
      <c r="BT212" s="82">
        <f t="shared" si="705"/>
      </c>
      <c r="BU212" s="548">
        <f t="shared" si="705"/>
      </c>
      <c r="BV212" s="82">
        <f t="shared" ref="BV212:CH212" si="706">+BV37</f>
      </c>
      <c r="BW212" s="82">
        <f t="shared" si="706"/>
      </c>
      <c r="BX212" s="82">
        <f t="shared" si="706"/>
      </c>
      <c r="BY212" s="82">
        <f t="shared" si="706"/>
      </c>
      <c r="BZ212" s="548">
        <f t="shared" si="706"/>
      </c>
      <c r="CA212" s="82">
        <f t="shared" si="706"/>
      </c>
      <c r="CB212" s="82">
        <f t="shared" si="706"/>
      </c>
      <c r="CC212" s="82">
        <f t="shared" si="706"/>
      </c>
      <c r="CD212" s="82">
        <f t="shared" si="706"/>
      </c>
      <c r="CE212" s="548">
        <f t="shared" si="706"/>
      </c>
      <c r="CF212" s="82">
        <f t="shared" si="706"/>
      </c>
      <c r="CG212" s="82">
        <f t="shared" si="706"/>
      </c>
      <c r="CH212" s="82">
        <f t="shared" si="706"/>
      </c>
      <c r="CI212" s="82">
        <f>+CI37</f>
      </c>
      <c r="CJ212" s="548">
        <f>SUM(CJ210:CJ211)</f>
      </c>
      <c r="CK212" s="82">
        <f>+CK37</f>
      </c>
      <c r="CL212" s="82">
        <f>+CL37</f>
      </c>
      <c r="CM212" s="82">
        <f>+CM37</f>
      </c>
      <c r="CN212" s="82">
        <f>+CN37</f>
      </c>
      <c r="CO212" s="548">
        <f>SUM(CO210:CO211)</f>
      </c>
      <c r="CP212" s="82">
        <f>+CP37</f>
      </c>
      <c r="CQ212" s="82">
        <f>+CQ37</f>
      </c>
      <c r="CR212" s="82">
        <f>+CR37</f>
      </c>
      <c r="CS212" s="82">
        <f>+CS37</f>
      </c>
      <c r="CT212" s="548">
        <f>SUM(CT210:CT211)</f>
      </c>
      <c r="CU212" s="82">
        <f>+CU37</f>
      </c>
      <c r="CV212" s="82">
        <f>+CV37</f>
      </c>
      <c r="CW212" s="82">
        <f>+CW37</f>
      </c>
      <c r="CX212" s="82">
        <f>+CX37</f>
      </c>
      <c r="CY212" s="548">
        <f>SUM(CY210:CY211)</f>
      </c>
      <c r="CZ212" s="82">
        <f>+CZ37</f>
      </c>
      <c r="DA212" s="82">
        <f>+DA37</f>
      </c>
      <c r="DB212" s="82">
        <f>+DB37</f>
      </c>
      <c r="DC212" s="82">
        <f>+DC37</f>
      </c>
      <c r="DD212" s="548">
        <f>SUM(DD210:DD211)</f>
      </c>
      <c r="DE212" s="82">
        <f>+DE37</f>
      </c>
      <c r="DF212" s="82">
        <f>+DF37</f>
      </c>
      <c r="DG212" s="82">
        <f>+DG37</f>
      </c>
      <c r="DH212" s="82">
        <f>+DH37</f>
      </c>
      <c r="DI212" s="548">
        <f>SUM(DI210:DI211)</f>
      </c>
      <c r="DJ212" s="82">
        <f>+DJ37</f>
      </c>
      <c r="DK212" s="82">
        <f>+DK37</f>
      </c>
      <c r="DL212" s="82">
        <f>+DL37</f>
      </c>
      <c r="DM212" s="82">
        <f>+DM37</f>
      </c>
      <c r="DN212" s="548">
        <f>SUM(DN210:DN211)</f>
      </c>
      <c r="DO212" s="82">
        <f>+DO37</f>
      </c>
      <c r="DP212" s="82">
        <f>+DP37</f>
      </c>
      <c r="DQ212" s="82">
        <f>+DQ37</f>
      </c>
      <c r="DR212" s="82">
        <f>+DR37</f>
      </c>
      <c r="DS212" s="548">
        <f>SUM(DS210:DS211)</f>
      </c>
      <c r="DT212" s="82">
        <f>+DT37</f>
      </c>
      <c r="DU212" s="82">
        <f>+DU37</f>
      </c>
      <c r="DV212" s="82">
        <f>+DV37</f>
      </c>
      <c r="DW212" s="82">
        <f>+DW37</f>
      </c>
      <c r="DX212" s="548">
        <f>SUM(DX210:DX211)</f>
      </c>
      <c r="DY212" s="82">
        <f>+DY37</f>
      </c>
      <c r="DZ212" s="82">
        <f>+DZ37</f>
      </c>
      <c r="EA212" s="82">
        <f>+EA37</f>
      </c>
      <c r="EB212" s="2705">
        <f>+EB37</f>
      </c>
      <c r="EC212" s="2729">
        <f>SUM(EC210:EC211)</f>
      </c>
      <c r="ED212" s="82">
        <f>+ED37</f>
      </c>
      <c r="EE212" s="82">
        <f>+EE37</f>
      </c>
      <c r="EF212" s="82">
        <f>+EF37</f>
      </c>
      <c r="EG212" s="82">
        <f>+EG37</f>
      </c>
      <c r="EH212" s="2726">
        <f>SUM(EH210:EH211)</f>
      </c>
      <c r="EI212" s="82">
        <f>+EI37</f>
      </c>
      <c r="EJ212" s="82">
        <f>+EJ37</f>
      </c>
      <c r="EK212" s="82">
        <f>+EK37</f>
      </c>
      <c r="EL212" s="82">
        <f>+EL37</f>
      </c>
      <c r="EM212" s="2517">
        <f>SUM(EM210:EM211)</f>
      </c>
      <c r="EN212" s="2575">
        <f>+EN37</f>
      </c>
      <c r="EO212" s="2705">
        <f>+EO37</f>
      </c>
      <c r="EP212" s="1128">
        <f>+EP37</f>
      </c>
      <c r="EQ212" s="1128">
        <f>+EQ37</f>
      </c>
      <c r="ER212" s="3399">
        <f>SUM(ER210:ER211)</f>
      </c>
      <c r="ES212" s="2575">
        <f>+ES37</f>
      </c>
      <c r="ET212" s="2705">
        <f>+ET37</f>
      </c>
      <c r="EU212" s="1128">
        <f>+EU37</f>
      </c>
      <c r="EV212" s="1128">
        <f>+EV37</f>
      </c>
      <c r="EW212" s="3399">
        <f>SUM(EW210:EW211)</f>
      </c>
      <c r="EX212" s="2575">
        <f>+EX37</f>
      </c>
      <c r="EY212" s="2705">
        <f>+EY37</f>
      </c>
      <c r="EZ212" s="2140">
        <f>SUM(EZ210:EZ211)</f>
      </c>
      <c r="FA212" s="2149">
        <f>SUM(FA210:FA211)</f>
      </c>
      <c r="FB212" s="3598">
        <f>FB210+FB211</f>
      </c>
      <c r="FC212" s="2956">
        <f>FC210+FC211</f>
      </c>
      <c r="FD212" s="2956">
        <f t="shared" ref="FD212:FG212" si="707">FD210+FD211</f>
      </c>
      <c r="FE212" s="2956">
        <f t="shared" si="707"/>
      </c>
      <c r="FF212" s="2956">
        <f t="shared" si="707"/>
      </c>
      <c r="FG212" s="2956">
        <f t="shared" si="707"/>
      </c>
    </row>
    <row r="213" spans="1:165" outlineLevel="1">
      <c r="A213" s="1"/>
      <c r="B213" s="72"/>
      <c r="C213" s="72"/>
      <c r="D213" s="72"/>
      <c r="E213" s="72"/>
      <c r="F213" s="72"/>
      <c r="G213" s="72"/>
      <c r="H213" s="72"/>
      <c r="I213" s="72"/>
      <c r="J213" s="72"/>
      <c r="K213" s="72"/>
      <c r="L213" s="72"/>
      <c r="M213" s="72"/>
      <c r="N213" s="68"/>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
      <c r="BU213" s="1"/>
      <c r="BV213" s="103"/>
      <c r="BW213" s="103"/>
      <c r="BX213" s="1"/>
      <c r="BY213" s="1"/>
      <c r="BZ213" s="1"/>
      <c r="CA213" s="1"/>
      <c r="CB213" s="1"/>
      <c r="CC213" s="1"/>
      <c r="CD213" s="1"/>
      <c r="CE213" s="1"/>
      <c r="CF213" s="1"/>
      <c r="CG213" s="1"/>
      <c r="CH213" s="1"/>
      <c r="CI213" s="1"/>
      <c r="CJ213" s="1"/>
      <c r="CK213" s="1"/>
      <c r="CL213" s="1"/>
      <c r="CM213" s="1"/>
      <c r="CN213" s="1"/>
      <c r="CO213" s="1"/>
      <c r="CP213" s="1"/>
      <c r="CQ213" s="73"/>
      <c r="CR213" s="73"/>
      <c r="CS213" s="73"/>
      <c r="CT213" s="73"/>
      <c r="CU213" s="73"/>
      <c r="CV213" s="73"/>
      <c r="CW213" s="73"/>
      <c r="CX213" s="73"/>
      <c r="CY213" s="73"/>
      <c r="CZ213" s="73"/>
      <c r="DA213" s="73"/>
      <c r="DB213" s="73"/>
      <c r="DC213" s="73"/>
      <c r="DD213" s="73"/>
      <c r="DE213" s="73"/>
      <c r="DF213" s="73"/>
      <c r="DG213" s="73"/>
      <c r="DH213" s="73"/>
      <c r="DI213" s="73"/>
      <c r="DJ213" s="73"/>
      <c r="DK213" s="73"/>
      <c r="DL213" s="1045"/>
      <c r="DM213" s="1045"/>
      <c r="DN213" s="73"/>
      <c r="DO213" s="1045"/>
      <c r="DP213" s="1045"/>
      <c r="DQ213" s="1045"/>
      <c r="DR213" s="1045"/>
      <c r="DS213" s="73"/>
      <c r="DT213" s="1045"/>
      <c r="DU213" s="1045"/>
      <c r="DV213" s="1045"/>
      <c r="DW213" s="1045"/>
      <c r="DX213" s="1045"/>
      <c r="DY213" s="1045"/>
      <c r="DZ213" s="1045"/>
      <c r="EA213" s="1045"/>
      <c r="EB213" s="1045"/>
      <c r="EC213" s="1045"/>
      <c r="ED213" s="1045"/>
      <c r="EE213" s="1045"/>
      <c r="EF213" s="1045"/>
      <c r="EG213" s="1045"/>
      <c r="EH213" s="1045"/>
      <c r="EI213" s="1045"/>
      <c r="EJ213" s="1045"/>
      <c r="EK213" s="1045"/>
      <c r="EL213" s="1045"/>
      <c r="EM213" s="1045"/>
      <c r="EN213" s="1045"/>
      <c r="EO213" s="1045"/>
      <c r="EP213" s="1045"/>
      <c r="EQ213" s="1045"/>
      <c r="ER213" s="1045"/>
      <c r="ES213" s="1045"/>
      <c r="ET213" s="1045"/>
      <c r="EU213" s="1045"/>
      <c r="EV213" s="1045"/>
      <c r="EW213" s="1045"/>
      <c r="EX213" s="1045"/>
      <c r="EY213" s="1045"/>
      <c r="EZ213" s="1045"/>
      <c r="FA213" s="1045"/>
      <c r="FB213" s="1045"/>
      <c r="FC213" s="1045"/>
      <c r="FD213" s="1045"/>
      <c r="FE213" s="1045"/>
      <c r="FF213" s="1045"/>
      <c r="FG213" s="1045"/>
    </row>
    <row r="214" spans="1:165" outlineLevel="1">
      <c r="A214" s="1"/>
      <c r="B214" s="780" t="s">
        <v>86</v>
      </c>
      <c r="C214" s="781"/>
      <c r="D214" s="781"/>
      <c r="E214" s="781"/>
      <c r="F214" s="781"/>
      <c r="G214" s="781"/>
      <c r="H214" s="781"/>
      <c r="I214" s="781"/>
      <c r="J214" s="781"/>
      <c r="K214" s="781"/>
      <c r="L214" s="781"/>
      <c r="M214" s="781"/>
      <c r="N214" s="755"/>
      <c r="O214" s="593"/>
      <c r="P214" s="593"/>
      <c r="Q214" s="593"/>
      <c r="R214" s="593"/>
      <c r="S214" s="593"/>
      <c r="T214" s="593"/>
      <c r="U214" s="593"/>
      <c r="V214" s="593"/>
      <c r="W214" s="593"/>
      <c r="X214" s="593"/>
      <c r="Y214" s="593"/>
      <c r="Z214" s="593"/>
      <c r="AA214" s="593"/>
      <c r="AB214" s="593"/>
      <c r="AC214" s="593"/>
      <c r="AD214" s="593"/>
      <c r="AE214" s="593"/>
      <c r="AF214" s="593"/>
      <c r="AG214" s="593"/>
      <c r="AH214" s="593"/>
      <c r="AI214" s="593"/>
      <c r="AJ214" s="593"/>
      <c r="AK214" s="593"/>
      <c r="AL214" s="593"/>
      <c r="AM214" s="593"/>
      <c r="AN214" s="593"/>
      <c r="AO214" s="593"/>
      <c r="AP214" s="593"/>
      <c r="AQ214" s="593"/>
      <c r="AR214" s="593"/>
      <c r="AS214" s="593"/>
      <c r="AT214" s="593"/>
      <c r="AU214" s="593"/>
      <c r="AV214" s="593"/>
      <c r="AW214" s="593"/>
      <c r="AX214" s="593"/>
      <c r="AY214" s="593"/>
      <c r="AZ214" s="593"/>
      <c r="BA214" s="593"/>
      <c r="BB214" s="593"/>
      <c r="BC214" s="593"/>
      <c r="BD214" s="593"/>
      <c r="BE214" s="593"/>
      <c r="BF214" s="593"/>
      <c r="BG214" s="593"/>
      <c r="BH214" s="593"/>
      <c r="BI214" s="593"/>
      <c r="BJ214" s="593"/>
      <c r="BK214" s="593"/>
      <c r="BL214" s="593"/>
      <c r="BM214" s="593"/>
      <c r="BN214" s="593"/>
      <c r="BO214" s="593"/>
      <c r="BP214" s="593"/>
      <c r="BQ214" s="593"/>
      <c r="BR214" s="593"/>
      <c r="BS214" s="593"/>
      <c r="BT214" s="593"/>
      <c r="BU214" s="771"/>
      <c r="BV214" s="593"/>
      <c r="BW214" s="593"/>
      <c r="BX214" s="593"/>
      <c r="BY214" s="593"/>
      <c r="BZ214" s="771"/>
      <c r="CA214" s="593"/>
      <c r="CB214" s="593"/>
      <c r="CC214" s="593"/>
      <c r="CD214" s="593"/>
      <c r="CE214" s="771"/>
      <c r="CF214" s="593"/>
      <c r="CG214" s="593"/>
      <c r="CH214" s="593"/>
      <c r="CI214" s="593"/>
      <c r="CJ214" s="771"/>
      <c r="CK214" s="593"/>
      <c r="CL214" s="593"/>
      <c r="CM214" s="593"/>
      <c r="CN214" s="593"/>
      <c r="CO214" s="771"/>
      <c r="CP214" s="593"/>
      <c r="CQ214" s="593"/>
      <c r="CR214" s="593"/>
      <c r="CS214" s="593"/>
      <c r="CT214" s="771"/>
      <c r="CU214" s="593"/>
      <c r="CV214" s="593"/>
      <c r="CW214" s="593"/>
      <c r="CX214" s="593"/>
      <c r="CY214" s="771"/>
      <c r="CZ214" s="593"/>
      <c r="DA214" s="593"/>
      <c r="DB214" s="593"/>
      <c r="DC214" s="593"/>
      <c r="DD214" s="771"/>
      <c r="DE214" s="593"/>
      <c r="DF214" s="593"/>
      <c r="DG214" s="593"/>
      <c r="DH214" s="593"/>
      <c r="DI214" s="771"/>
      <c r="DJ214" s="593"/>
      <c r="DK214" s="593"/>
      <c r="DL214" s="1033"/>
      <c r="DM214" s="1033"/>
      <c r="DN214" s="771"/>
      <c r="DO214" s="1124"/>
      <c r="DP214" s="1124"/>
      <c r="DQ214" s="1124"/>
      <c r="DR214" s="1033"/>
      <c r="DS214" s="771"/>
      <c r="DT214" s="1124"/>
      <c r="DU214" s="1124"/>
      <c r="DV214" s="1124"/>
      <c r="DW214" s="1244"/>
      <c r="DX214" s="1113"/>
      <c r="DY214" s="1124"/>
      <c r="DZ214" s="1124"/>
      <c r="EA214" s="1124"/>
      <c r="EB214" s="2692"/>
      <c r="EC214" s="2714"/>
      <c r="ED214" s="1124"/>
      <c r="EE214" s="1499"/>
      <c r="EF214" s="1499"/>
      <c r="EG214" s="2692"/>
      <c r="EH214" s="2714"/>
      <c r="EI214" s="1124"/>
      <c r="EJ214" s="1499"/>
      <c r="EK214" s="1499"/>
      <c r="EL214" s="1499"/>
      <c r="EM214" s="2509"/>
      <c r="EN214" s="2503"/>
      <c r="EO214" s="1499"/>
      <c r="EP214" s="2692"/>
      <c r="EQ214" s="2042"/>
      <c r="ER214" s="2041"/>
      <c r="ES214" s="2503"/>
      <c r="ET214" s="1499"/>
      <c r="EU214" s="2692"/>
      <c r="EV214" s="2042"/>
      <c r="EW214" s="2041"/>
      <c r="EX214" s="2503"/>
      <c r="EY214" s="1499"/>
      <c r="EZ214" s="1499"/>
      <c r="FA214" s="2042"/>
      <c r="FB214" s="2041"/>
      <c r="FC214" s="1287"/>
      <c r="FD214" s="1287"/>
      <c r="FE214" s="1287"/>
      <c r="FF214" s="1287"/>
      <c r="FG214" s="1287"/>
    </row>
    <row r="215" spans="1:165" outlineLevel="1">
      <c r="A215" s="1"/>
      <c r="B215" s="108" t="s">
        <v>87</v>
      </c>
      <c r="C215" s="72"/>
      <c r="D215" s="72"/>
      <c r="E215" s="72"/>
      <c r="F215" s="72"/>
      <c r="G215" s="72"/>
      <c r="H215" s="72"/>
      <c r="I215" s="72"/>
      <c r="J215" s="72"/>
      <c r="K215" s="72"/>
      <c r="L215" s="72"/>
      <c r="M215" s="72"/>
      <c r="N215" s="68"/>
      <c r="O215" s="1"/>
      <c r="P215" s="1"/>
      <c r="Q215" s="1"/>
      <c r="R215" s="1"/>
      <c r="S215" s="1"/>
      <c r="T215" s="1"/>
      <c r="U215" s="1"/>
      <c r="V215" s="50">
        <f>+'Income Statement'!AP61-'Income Statement'!AO61</f>
      </c>
      <c r="W215" s="50">
        <f>+'Income Statement'!AQ61-'Income Statement'!AL61</f>
      </c>
      <c r="X215" s="50">
        <f>+'Income Statement'!AR61-'Income Statement'!AQ61</f>
      </c>
      <c r="Y215" s="50">
        <f>+'Income Statement'!AS61-'Income Statement'!AR61</f>
      </c>
      <c r="Z215" s="50">
        <f>+'Income Statement'!AT61-'Income Statement'!AS61</f>
      </c>
      <c r="AA215" s="50">
        <f>+'Income Statement'!AU61-'Income Statement'!AT61</f>
      </c>
      <c r="AB215" s="50">
        <f>+'Income Statement'!AV61-'Income Statement'!AQ61</f>
      </c>
      <c r="AC215" s="50">
        <f>+'Income Statement'!AW61-'Income Statement'!AV61</f>
      </c>
      <c r="AD215" s="50">
        <f>+'Income Statement'!AX61-'Income Statement'!AW61</f>
      </c>
      <c r="AE215" s="50">
        <f>+'Income Statement'!AY61-'Income Statement'!AX61</f>
      </c>
      <c r="AF215" s="50">
        <f>+'Income Statement'!AZ61-'Income Statement'!AY61</f>
      </c>
      <c r="AG215" s="50">
        <f>+'Income Statement'!BA61-'Income Statement'!AV61</f>
      </c>
      <c r="AH215" s="50">
        <f>+'Income Statement'!BB61-'Income Statement'!BA61</f>
      </c>
      <c r="AI215" s="50">
        <f>+'Income Statement'!BC61-'Income Statement'!BB61</f>
      </c>
      <c r="AJ215" s="50">
        <f>+'Income Statement'!BD61-'Income Statement'!BC61</f>
      </c>
      <c r="AK215" s="50">
        <f>+'Income Statement'!BE61-'Income Statement'!BD61</f>
      </c>
      <c r="AL215" s="50">
        <f>+'Income Statement'!BF61-'Income Statement'!BA61</f>
      </c>
      <c r="AM215" s="50">
        <f>+'Income Statement'!BG61-'Income Statement'!BF61</f>
      </c>
      <c r="AN215" s="50">
        <f>+'Income Statement'!BH61-'Income Statement'!BG61</f>
      </c>
      <c r="AO215" s="50">
        <f>+'Income Statement'!BI61-'Income Statement'!BH61</f>
      </c>
      <c r="AP215" s="50">
        <f>+'Income Statement'!BJ61-'Income Statement'!BI61</f>
      </c>
      <c r="AQ215" s="50">
        <f>+'Income Statement'!BK61-'Income Statement'!BF61</f>
      </c>
      <c r="AR215" s="50">
        <f>+'Income Statement'!BL61-'Income Statement'!BK61</f>
      </c>
      <c r="AS215" s="50">
        <f>+'Income Statement'!BM61-'Income Statement'!BL61</f>
      </c>
      <c r="AT215" s="50">
        <f>+'Income Statement'!BN61-'Income Statement'!BM61</f>
      </c>
      <c r="AU215" s="50">
        <f>+'Income Statement'!BO61-'Income Statement'!BN61</f>
      </c>
      <c r="AV215" s="50">
        <f>+'Income Statement'!BP61-'Income Statement'!BK61</f>
      </c>
      <c r="AW215" s="50">
        <f>+'Income Statement'!BQ61-'Income Statement'!BP61</f>
      </c>
      <c r="AX215" s="50">
        <f>+'Income Statement'!BR61-'Income Statement'!BQ61</f>
      </c>
      <c r="AY215" s="50">
        <f>+'Income Statement'!BS61-'Income Statement'!BR61</f>
      </c>
      <c r="AZ215" s="50">
        <f>+'Income Statement'!BT61-'Income Statement'!BS61</f>
      </c>
      <c r="BA215" s="50">
        <f>+'Income Statement'!BU61-'Income Statement'!BP61</f>
      </c>
      <c r="BB215" s="50">
        <f>+'Income Statement'!BV61-'Income Statement'!BU61</f>
      </c>
      <c r="BC215" s="50">
        <f>+'Income Statement'!BW61-'Income Statement'!BV61</f>
      </c>
      <c r="BD215" s="50">
        <f>+'Income Statement'!BX61-'Income Statement'!BW61</f>
      </c>
      <c r="BE215" s="50">
        <f>+'Income Statement'!BY61-'Income Statement'!BX61</f>
      </c>
      <c r="BF215" s="50">
        <f>+'Income Statement'!BZ61-'Income Statement'!BU61</f>
      </c>
      <c r="BG215" s="50">
        <f>+'Income Statement'!CA61-'Income Statement'!BZ61</f>
      </c>
      <c r="BH215" s="50">
        <f>+'Income Statement'!CB61-'Income Statement'!CA61</f>
      </c>
      <c r="BI215" s="50">
        <f>+'Income Statement'!CC61-'Income Statement'!CB61</f>
      </c>
      <c r="BJ215" s="50">
        <f>+'Income Statement'!CD61-'Income Statement'!CC61</f>
      </c>
      <c r="BK215" s="50">
        <f>+'Income Statement'!CE61-'Income Statement'!BZ61</f>
      </c>
      <c r="BL215" s="50">
        <f>+'Income Statement'!CF61-'Income Statement'!CE61</f>
      </c>
      <c r="BM215" s="50">
        <f>+'Income Statement'!CG61-'Income Statement'!CF61</f>
      </c>
      <c r="BN215" s="50">
        <f>+'Income Statement'!CH61-'Income Statement'!CG61</f>
      </c>
      <c r="BO215" s="50">
        <f>+'Income Statement'!CI61-'Income Statement'!CH61</f>
      </c>
      <c r="BP215" s="50">
        <f>+'Income Statement'!CJ61-'Income Statement'!CE61</f>
      </c>
      <c r="BQ215" s="50">
        <f>+'Income Statement'!CK61-'Income Statement'!CJ61</f>
      </c>
      <c r="BR215" s="50">
        <f>+'Income Statement'!CL61-'Income Statement'!CK61</f>
      </c>
      <c r="BS215" s="50">
        <f>+'Income Statement'!CM61-'Income Statement'!CL61</f>
      </c>
      <c r="BT215" s="50">
        <f>+'Income Statement'!CN61-'Income Statement'!CM61</f>
      </c>
      <c r="BU215" s="540">
        <f>+'Income Statement'!CO61-'Income Statement'!CJ61</f>
      </c>
      <c r="BV215" s="50">
        <f>+'Income Statement'!CP61-'Income Statement'!CO61</f>
      </c>
      <c r="BW215" s="50">
        <f>+'Income Statement'!CQ61-'Income Statement'!CP61</f>
      </c>
      <c r="BX215" s="50">
        <f>+'Income Statement'!CR61-'Income Statement'!CQ61</f>
      </c>
      <c r="BY215" s="50">
        <f>+'Income Statement'!CS61-'Income Statement'!CR61</f>
      </c>
      <c r="BZ215" s="540">
        <f>+'Income Statement'!CT61-'Income Statement'!CO61</f>
      </c>
      <c r="CA215" s="50">
        <f>+'Income Statement'!CU61-'Income Statement'!CT61</f>
      </c>
      <c r="CB215" s="50">
        <f>+'Income Statement'!CV61-'Income Statement'!CU61</f>
      </c>
      <c r="CC215" s="50">
        <f>+'Income Statement'!CW61-'Income Statement'!CV61</f>
      </c>
      <c r="CD215" s="50">
        <f>+'Income Statement'!CX61-'Income Statement'!CW61</f>
      </c>
      <c r="CE215" s="540">
        <f>+'Income Statement'!CY61-'Income Statement'!CX61</f>
      </c>
      <c r="CF215" s="50">
        <f>+'Income Statement'!CZ61-'Income Statement'!CY61</f>
      </c>
      <c r="CG215" s="50">
        <f>+'Income Statement'!DA61-'Income Statement'!CZ61</f>
      </c>
      <c r="CH215" s="50">
        <f>+'Income Statement'!DB61-'Income Statement'!DA61</f>
      </c>
      <c r="CI215" s="50">
        <f>+'Income Statement'!DC61-'Income Statement'!DB61</f>
      </c>
      <c r="CJ215" s="540">
        <f>+'Income Statement'!DD61-'Income Statement'!DC61</f>
      </c>
      <c r="CK215" s="50">
        <f>+'Income Statement'!DE61-'Income Statement'!DD61</f>
      </c>
      <c r="CL215" s="50">
        <f>+'Income Statement'!DF61-'Income Statement'!DE61</f>
      </c>
      <c r="CM215" s="50">
        <f>+'Income Statement'!DG61-'Income Statement'!DF61</f>
      </c>
      <c r="CN215" s="50">
        <f>+'Income Statement'!DH61-'Income Statement'!DG61</f>
      </c>
      <c r="CO215" s="540">
        <f>+'Income Statement'!DE61-'Income Statement'!DD61</f>
      </c>
      <c r="CP215" s="50">
        <f>+'Income Statement'!DJ61-'Income Statement'!DI61</f>
      </c>
      <c r="CQ215" s="50">
        <f>+'Income Statement'!DK61-'Income Statement'!DJ61</f>
      </c>
      <c r="CR215" s="50">
        <f>+'Income Statement'!DL61-'Income Statement'!DK61</f>
      </c>
      <c r="CS215" s="50">
        <f>+'Income Statement'!DM61-'Income Statement'!DL61</f>
      </c>
      <c r="CT215" s="540">
        <f>+'Income Statement'!DJ61-'Income Statement'!DI61</f>
      </c>
      <c r="CU215" s="50">
        <f>+'Income Statement'!DO61-'Income Statement'!DN61</f>
      </c>
      <c r="CV215" s="50">
        <f>+'Income Statement'!DP61-'Income Statement'!DO61</f>
      </c>
      <c r="CW215" s="50">
        <f>+'Income Statement'!DQ61-'Income Statement'!DP61</f>
      </c>
      <c r="CX215" s="50">
        <f>+'Income Statement'!DR61-'Income Statement'!DQ61</f>
      </c>
      <c r="CY215" s="540">
        <f>+'Income Statement'!DO61-'Income Statement'!DN61</f>
      </c>
      <c r="CZ215" s="50">
        <f>+'Income Statement'!DT61-'Income Statement'!DS61</f>
      </c>
      <c r="DA215" s="50">
        <f>+'Income Statement'!DU61-'Income Statement'!DT61</f>
      </c>
      <c r="DB215" s="50">
        <f>+'Income Statement'!DV61-'Income Statement'!DU61</f>
      </c>
      <c r="DC215" s="50">
        <f>+'Income Statement'!DW61-'Income Statement'!DV61</f>
      </c>
      <c r="DD215" s="540">
        <f>+'Income Statement'!DT61-'Income Statement'!DS61</f>
      </c>
      <c r="DE215" s="50">
        <f>+'Income Statement'!DY61-'Income Statement'!DX61</f>
      </c>
      <c r="DF215" s="50">
        <f>+'Income Statement'!DZ61-'Income Statement'!DY61</f>
      </c>
      <c r="DG215" s="50">
        <f>+'Income Statement'!EA61-'Income Statement'!DZ61</f>
      </c>
      <c r="DH215" s="50">
        <f>+'Income Statement'!EB61-'Income Statement'!EA61</f>
      </c>
      <c r="DI215" s="540">
        <f>+'Income Statement'!DY61-'Income Statement'!DX61</f>
      </c>
      <c r="DJ215" s="50">
        <f>+'Income Statement'!ED61-'Income Statement'!EC61</f>
      </c>
      <c r="DK215" s="50">
        <f>+'Income Statement'!EE61-'Income Statement'!ED61</f>
      </c>
      <c r="DL215" s="50">
        <f>+'Income Statement'!EF61-'Income Statement'!EE61</f>
      </c>
      <c r="DM215" s="50">
        <f>+'Income Statement'!EG61-'Income Statement'!EF61</f>
      </c>
      <c r="DN215" s="540">
        <f>+'Income Statement'!DJ61-'Income Statement'!DI61</f>
      </c>
      <c r="DO215" s="1047">
        <f>+'Income Statement'!EI61-'Income Statement'!EH61</f>
      </c>
      <c r="DP215" s="1047">
        <f>+'Income Statement'!EJ61-'Income Statement'!EI61</f>
      </c>
      <c r="DQ215" s="1047">
        <f>+'Income Statement'!EK61-'Income Statement'!EJ61</f>
      </c>
      <c r="DR215" s="50">
        <f>+'Income Statement'!EL61-'Income Statement'!EK61</f>
      </c>
      <c r="DS215" s="540">
        <f>+'Income Statement'!DO61-'Income Statement'!DN61</f>
      </c>
      <c r="DT215" s="1047">
        <f>+'Income Statement'!EN61-'Income Statement'!EM61</f>
      </c>
      <c r="DU215" s="1047">
        <f>+'Income Statement'!EO61-'Income Statement'!EN61</f>
      </c>
      <c r="DV215" s="1047">
        <f>+'Income Statement'!EP61-'Income Statement'!EO61</f>
      </c>
      <c r="DW215" s="50">
        <f>+'Income Statement'!EQ61-'Income Statement'!EP61</f>
      </c>
      <c r="DX215" s="540">
        <f>+'Income Statement'!DT61-'Income Statement'!DS61</f>
      </c>
      <c r="DY215" s="1047">
        <f>+'Income Statement'!ES61-'Income Statement'!ER61</f>
      </c>
      <c r="DZ215" s="1047">
        <f>+'Income Statement'!ET61-'Income Statement'!ES61</f>
      </c>
      <c r="EA215" s="1047">
        <f>+'Income Statement'!EU61-'Income Statement'!ET61</f>
      </c>
      <c r="EB215" s="1047">
        <f>+'Income Statement'!EV61-'Income Statement'!EU61</f>
      </c>
      <c r="EC215" s="1126">
        <f>+'Income Statement'!DQ61-'Income Statement'!DP61</f>
      </c>
      <c r="ED215" s="1047">
        <f>+'Income Statement'!EX61-'Income Statement'!EW61</f>
      </c>
      <c r="EE215" s="1047">
        <f>+'Income Statement'!EY61-'Income Statement'!EX61</f>
      </c>
      <c r="EF215" s="1047">
        <f>+'Income Statement'!EZ61-'Income Statement'!EY61</f>
      </c>
      <c r="EG215" s="1047">
        <f>+'Income Statement'!FA61-'Income Statement'!EZ61</f>
      </c>
      <c r="EH215" s="1126">
        <v>-9.8999999999996362</v>
      </c>
      <c r="EI215" s="1047">
        <f>+'Income Statement'!FC61-'Income Statement'!FB61</f>
      </c>
      <c r="EJ215" s="1047">
        <f>+'Income Statement'!FD61-'Income Statement'!FC61</f>
      </c>
      <c r="EK215" s="1047">
        <f>+'Income Statement'!FE61-'Income Statement'!FD61</f>
      </c>
      <c r="EL215" s="1314">
        <f>+'Income Statement'!FF61-'Income Statement'!FE61</f>
      </c>
      <c r="EM215" s="2514">
        <f>+'Income Statement'!DO61-'Income Statement'!DN61</f>
      </c>
      <c r="EN215" s="1412">
        <f>+'Income Statement'!FM61-'Income Statement'!FL61</f>
      </c>
      <c r="EO215" s="1047">
        <f>+'Income Statement'!FN61-'Income Statement'!FM61</f>
      </c>
      <c r="EP215" s="1047">
        <f>+'Income Statement'!FO61-'Income Statement'!FN61</f>
      </c>
      <c r="EQ215" s="1314">
        <f>+'Income Statement'!FW61-'Income Statement'!FV61</f>
      </c>
      <c r="ER215" s="1297">
        <f>+'Income Statement'!FX61-'Income Statement'!FW61</f>
      </c>
      <c r="ES215" s="1412">
        <f>+'Income Statement'!FR61-'Income Statement'!FQ61</f>
      </c>
      <c r="ET215" s="1047">
        <f>+'Income Statement'!FS61-'Income Statement'!FR61</f>
      </c>
      <c r="EU215" s="1047">
        <f>+'Income Statement'!FT61-'Income Statement'!FS61</f>
      </c>
      <c r="EV215" s="1314">
        <f>+'Income Statement'!GB61-'Income Statement'!GA61</f>
      </c>
      <c r="EW215" s="1297">
        <f>+'Income Statement'!GC61-'Income Statement'!GB61</f>
      </c>
      <c r="EX215" s="1412">
        <f>+'Income Statement'!FW61-'Income Statement'!FV61</f>
      </c>
      <c r="EY215" s="1047">
        <f>+'Income Statement'!FX61-'Income Statement'!FW61</f>
      </c>
      <c r="EZ215" s="1047">
        <f>+'Income Statement'!GF61-'Income Statement'!GE61</f>
      </c>
      <c r="FA215" s="1314">
        <f>+'Income Statement'!GG61-'Income Statement'!GF61</f>
      </c>
      <c r="FB215" s="1297">
        <v>0</v>
      </c>
      <c r="FC215" s="1297">
        <f>+'Income Statement'!GI61-'Income Statement'!GH61</f>
      </c>
      <c r="FD215" s="1297">
        <f>+'Income Statement'!GJ61-'Income Statement'!GI61</f>
      </c>
      <c r="FE215" s="1297">
        <f>+'Income Statement'!GK61-'Income Statement'!GJ61</f>
      </c>
      <c r="FF215" s="1297">
        <f>+'Income Statement'!GL61-'Income Statement'!GK61</f>
      </c>
      <c r="FG215" s="1297">
        <f>+'Income Statement'!GM61-'Income Statement'!GL61</f>
      </c>
    </row>
    <row r="216" spans="1:165" outlineLevel="1">
      <c r="A216" s="1"/>
      <c r="B216" s="140" t="s">
        <v>88</v>
      </c>
      <c r="C216" s="114"/>
      <c r="D216" s="114"/>
      <c r="E216" s="114"/>
      <c r="F216" s="114"/>
      <c r="G216" s="114"/>
      <c r="H216" s="114"/>
      <c r="I216" s="114"/>
      <c r="J216" s="114"/>
      <c r="K216" s="114"/>
      <c r="L216" s="114"/>
      <c r="M216" s="114"/>
      <c r="N216" s="111"/>
      <c r="O216" s="1"/>
      <c r="P216" s="1"/>
      <c r="Q216" s="1"/>
      <c r="R216" s="1"/>
      <c r="S216" s="1"/>
      <c r="T216" s="1"/>
      <c r="U216" s="1"/>
      <c r="V216" s="22">
        <f>+V65</f>
      </c>
      <c r="W216" s="22">
        <f t="shared" ref="W216:CO216" si="708">+W65</f>
      </c>
      <c r="X216" s="22">
        <f t="shared" si="708"/>
      </c>
      <c r="Y216" s="22">
        <f t="shared" si="708"/>
      </c>
      <c r="Z216" s="22">
        <f t="shared" si="708"/>
      </c>
      <c r="AA216" s="22">
        <f t="shared" si="708"/>
      </c>
      <c r="AB216" s="22">
        <f t="shared" si="708"/>
      </c>
      <c r="AC216" s="22">
        <f t="shared" si="708"/>
      </c>
      <c r="AD216" s="22">
        <f t="shared" si="708"/>
      </c>
      <c r="AE216" s="22">
        <f t="shared" si="708"/>
      </c>
      <c r="AF216" s="22">
        <f t="shared" si="708"/>
      </c>
      <c r="AG216" s="22">
        <f t="shared" si="708"/>
      </c>
      <c r="AH216" s="22">
        <f t="shared" si="708"/>
      </c>
      <c r="AI216" s="22">
        <f t="shared" si="708"/>
      </c>
      <c r="AJ216" s="22">
        <f t="shared" si="708"/>
      </c>
      <c r="AK216" s="22">
        <f t="shared" si="708"/>
      </c>
      <c r="AL216" s="22">
        <f t="shared" si="708"/>
      </c>
      <c r="AM216" s="22">
        <f t="shared" si="708"/>
      </c>
      <c r="AN216" s="22">
        <f t="shared" si="708"/>
      </c>
      <c r="AO216" s="22">
        <f t="shared" si="708"/>
      </c>
      <c r="AP216" s="22">
        <f t="shared" si="708"/>
      </c>
      <c r="AQ216" s="22">
        <f t="shared" si="708"/>
      </c>
      <c r="AR216" s="22">
        <f t="shared" si="708"/>
      </c>
      <c r="AS216" s="22">
        <f t="shared" si="708"/>
      </c>
      <c r="AT216" s="22">
        <f t="shared" si="708"/>
      </c>
      <c r="AU216" s="22">
        <f t="shared" si="708"/>
      </c>
      <c r="AV216" s="22">
        <f t="shared" si="708"/>
      </c>
      <c r="AW216" s="22">
        <f t="shared" si="708"/>
      </c>
      <c r="AX216" s="22">
        <f t="shared" si="708"/>
      </c>
      <c r="AY216" s="22">
        <f t="shared" si="708"/>
      </c>
      <c r="AZ216" s="22">
        <f t="shared" si="708"/>
      </c>
      <c r="BA216" s="22">
        <f t="shared" si="708"/>
      </c>
      <c r="BB216" s="22">
        <f t="shared" si="708"/>
      </c>
      <c r="BC216" s="22">
        <f t="shared" si="708"/>
      </c>
      <c r="BD216" s="22">
        <f t="shared" si="708"/>
      </c>
      <c r="BE216" s="22">
        <f t="shared" si="708"/>
      </c>
      <c r="BF216" s="22">
        <f t="shared" si="708"/>
      </c>
      <c r="BG216" s="22">
        <f t="shared" si="708"/>
      </c>
      <c r="BH216" s="22">
        <f t="shared" si="708"/>
      </c>
      <c r="BI216" s="22">
        <f t="shared" si="708"/>
      </c>
      <c r="BJ216" s="22">
        <f t="shared" si="708"/>
      </c>
      <c r="BK216" s="22">
        <f t="shared" si="708"/>
      </c>
      <c r="BL216" s="22">
        <f t="shared" si="708"/>
      </c>
      <c r="BM216" s="22">
        <f t="shared" si="708"/>
      </c>
      <c r="BN216" s="22">
        <f t="shared" si="708"/>
      </c>
      <c r="BO216" s="22">
        <f t="shared" si="708"/>
      </c>
      <c r="BP216" s="22">
        <f t="shared" si="708"/>
      </c>
      <c r="BQ216" s="22">
        <f t="shared" si="708"/>
      </c>
      <c r="BR216" s="22">
        <f t="shared" si="708"/>
      </c>
      <c r="BS216" s="22">
        <f t="shared" si="708"/>
      </c>
      <c r="BT216" s="22">
        <f t="shared" si="708"/>
      </c>
      <c r="BU216" s="537">
        <f t="shared" si="708"/>
      </c>
      <c r="BV216" s="22">
        <f>+BV65</f>
      </c>
      <c r="BW216" s="22">
        <f>+BW65</f>
      </c>
      <c r="BX216" s="22">
        <f t="shared" si="708"/>
      </c>
      <c r="BY216" s="22">
        <f t="shared" si="708"/>
      </c>
      <c r="BZ216" s="537">
        <f t="shared" si="708"/>
      </c>
      <c r="CA216" s="22">
        <f t="shared" si="708"/>
      </c>
      <c r="CB216" s="22">
        <f t="shared" si="708"/>
      </c>
      <c r="CC216" s="22">
        <f>+CC65</f>
      </c>
      <c r="CD216" s="22">
        <f>+CD65</f>
      </c>
      <c r="CE216" s="537">
        <f t="shared" si="708"/>
      </c>
      <c r="CF216" s="22">
        <f t="shared" si="708"/>
      </c>
      <c r="CG216" s="22">
        <f>+CG65</f>
      </c>
      <c r="CH216" s="22">
        <f>+CH65</f>
      </c>
      <c r="CI216" s="22">
        <f>+CI65</f>
      </c>
      <c r="CJ216" s="537">
        <f t="shared" si="708"/>
      </c>
      <c r="CK216" s="22">
        <f>+CK65</f>
      </c>
      <c r="CL216" s="22">
        <f>+CL65</f>
      </c>
      <c r="CM216" s="22">
        <f>+CM65</f>
      </c>
      <c r="CN216" s="22">
        <f>+CN65</f>
      </c>
      <c r="CO216" s="537">
        <f t="shared" si="708"/>
      </c>
      <c r="CP216" s="22">
        <f t="shared" ref="CP216:CW216" si="709">+CP65</f>
      </c>
      <c r="CQ216" s="22">
        <f t="shared" si="709"/>
      </c>
      <c r="CR216" s="22">
        <f t="shared" si="709"/>
      </c>
      <c r="CS216" s="22">
        <f t="shared" si="709"/>
      </c>
      <c r="CT216" s="537">
        <f t="shared" si="709"/>
      </c>
      <c r="CU216" s="22">
        <f t="shared" si="709"/>
      </c>
      <c r="CV216" s="22">
        <f t="shared" si="709"/>
      </c>
      <c r="CW216" s="22">
        <f t="shared" si="709"/>
      </c>
      <c r="CX216" s="22">
        <f t="shared" ref="CX216:EB216" si="710">+CX65</f>
      </c>
      <c r="CY216" s="537">
        <f t="shared" si="710"/>
      </c>
      <c r="CZ216" s="22">
        <f t="shared" si="710"/>
      </c>
      <c r="DA216" s="22">
        <f t="shared" si="710"/>
      </c>
      <c r="DB216" s="22">
        <f t="shared" si="710"/>
      </c>
      <c r="DC216" s="22">
        <f t="shared" si="710"/>
      </c>
      <c r="DD216" s="537">
        <f t="shared" si="710"/>
      </c>
      <c r="DE216" s="22">
        <f t="shared" si="710"/>
      </c>
      <c r="DF216" s="22">
        <f t="shared" si="710"/>
      </c>
      <c r="DG216" s="22">
        <f t="shared" si="710"/>
      </c>
      <c r="DH216" s="22">
        <f t="shared" si="710"/>
      </c>
      <c r="DI216" s="537">
        <f t="shared" si="710"/>
      </c>
      <c r="DJ216" s="22">
        <f t="shared" si="710"/>
      </c>
      <c r="DK216" s="22">
        <f t="shared" si="710"/>
      </c>
      <c r="DL216" s="943">
        <f t="shared" si="710"/>
      </c>
      <c r="DM216" s="943">
        <f t="shared" si="710"/>
      </c>
      <c r="DN216" s="537">
        <f t="shared" si="710"/>
      </c>
      <c r="DO216" s="943">
        <f t="shared" si="710"/>
      </c>
      <c r="DP216" s="943">
        <f t="shared" si="710"/>
      </c>
      <c r="DQ216" s="943">
        <f t="shared" si="710"/>
      </c>
      <c r="DR216" s="943">
        <f t="shared" si="710"/>
      </c>
      <c r="DS216" s="537">
        <f t="shared" si="710"/>
      </c>
      <c r="DT216" s="943">
        <f t="shared" si="710"/>
      </c>
      <c r="DU216" s="943">
        <f t="shared" si="710"/>
      </c>
      <c r="DV216" s="943">
        <f t="shared" si="710"/>
      </c>
      <c r="DW216" s="943">
        <f t="shared" si="710"/>
      </c>
      <c r="DX216" s="537">
        <f t="shared" si="710"/>
      </c>
      <c r="DY216" s="943">
        <f t="shared" si="710"/>
      </c>
      <c r="DZ216" s="943">
        <f t="shared" si="710"/>
      </c>
      <c r="EA216" s="943">
        <f t="shared" si="710"/>
      </c>
      <c r="EB216" s="943">
        <f t="shared" si="710"/>
      </c>
      <c r="EC216" s="1067">
        <f t="shared" ref="EC216:EH216" si="711">+EC65</f>
      </c>
      <c r="ED216" s="943">
        <f t="shared" si="711"/>
      </c>
      <c r="EE216" s="943">
        <f t="shared" si="711"/>
      </c>
      <c r="EF216" s="943">
        <f t="shared" si="711"/>
      </c>
      <c r="EG216" s="943">
        <f t="shared" si="711"/>
      </c>
      <c r="EH216" s="1067">
        <f t="shared" si="711"/>
      </c>
      <c r="EI216" s="943">
        <f t="shared" ref="EI216:ER216" si="712">+EI65</f>
      </c>
      <c r="EJ216" s="943">
        <f t="shared" si="712"/>
      </c>
      <c r="EK216" s="943">
        <f t="shared" si="712"/>
      </c>
      <c r="EL216" s="1248">
        <f t="shared" si="712"/>
      </c>
      <c r="EM216" s="2510">
        <f t="shared" si="712"/>
      </c>
      <c r="EN216" s="2524">
        <f>+EN65</f>
      </c>
      <c r="EO216" s="943">
        <f t="shared" si="712"/>
      </c>
      <c r="EP216" s="943">
        <f t="shared" si="712"/>
      </c>
      <c r="EQ216" s="1248">
        <f t="shared" si="712"/>
      </c>
      <c r="ER216" s="1306">
        <f t="shared" si="712"/>
      </c>
      <c r="ES216" s="2524">
        <f>+ES65</f>
      </c>
      <c r="ET216" s="943">
        <f t="shared" ref="ET216:EW216" si="713">+ET65</f>
      </c>
      <c r="EU216" s="943">
        <f t="shared" si="713"/>
      </c>
      <c r="EV216" s="1248">
        <f t="shared" si="713"/>
      </c>
      <c r="EW216" s="1306">
        <f t="shared" si="713"/>
      </c>
      <c r="EX216" s="2524">
        <f>+EX65</f>
      </c>
      <c r="EY216" s="943">
        <f t="shared" ref="EY216" si="714">+EY65</f>
      </c>
      <c r="EZ216" s="943">
        <f>+EZ65</f>
      </c>
      <c r="FA216" s="1248">
        <f>+FA65</f>
      </c>
      <c r="FB216" s="1306">
        <f t="shared" ref="FB216" si="715">+FB65</f>
      </c>
      <c r="FC216" s="1306">
        <f ca="1">+FC65</f>
      </c>
      <c r="FD216" s="1306">
        <f ca="1">+FD65</f>
      </c>
      <c r="FE216" s="1306">
        <f ca="1">+FE65</f>
      </c>
      <c r="FF216" s="1306">
        <f ca="1">+FF65</f>
      </c>
      <c r="FG216" s="1306">
        <f ca="1">+FG65</f>
      </c>
    </row>
    <row r="217" spans="1:165" outlineLevel="1">
      <c r="A217" s="22"/>
      <c r="B217" s="150" t="s">
        <v>89</v>
      </c>
      <c r="C217" s="135"/>
      <c r="D217" s="135"/>
      <c r="E217" s="135"/>
      <c r="F217" s="135"/>
      <c r="G217" s="135"/>
      <c r="H217" s="135"/>
      <c r="I217" s="135"/>
      <c r="J217" s="135"/>
      <c r="K217" s="135"/>
      <c r="L217" s="135"/>
      <c r="M217" s="135"/>
      <c r="N217" s="136"/>
      <c r="O217" s="22"/>
      <c r="P217" s="22"/>
      <c r="Q217" s="22"/>
      <c r="R217" s="22"/>
      <c r="S217" s="22"/>
      <c r="T217" s="22"/>
      <c r="U217" s="22"/>
      <c r="V217" s="22">
        <f t="shared" ref="V217:BA217" si="716">+(V14+V15)/V27</f>
      </c>
      <c r="W217" s="22">
        <f t="shared" si="716"/>
      </c>
      <c r="X217" s="22">
        <f t="shared" si="716"/>
      </c>
      <c r="Y217" s="22">
        <f t="shared" si="716"/>
      </c>
      <c r="Z217" s="22">
        <f t="shared" si="716"/>
      </c>
      <c r="AA217" s="22">
        <f t="shared" si="716"/>
      </c>
      <c r="AB217" s="22">
        <f t="shared" si="716"/>
      </c>
      <c r="AC217" s="22">
        <f t="shared" si="716"/>
      </c>
      <c r="AD217" s="22">
        <f t="shared" si="716"/>
      </c>
      <c r="AE217" s="22">
        <f t="shared" si="716"/>
      </c>
      <c r="AF217" s="22">
        <f t="shared" si="716"/>
      </c>
      <c r="AG217" s="22">
        <f t="shared" si="716"/>
      </c>
      <c r="AH217" s="22">
        <f t="shared" si="716"/>
      </c>
      <c r="AI217" s="22">
        <f t="shared" si="716"/>
      </c>
      <c r="AJ217" s="22">
        <f t="shared" si="716"/>
      </c>
      <c r="AK217" s="22">
        <f t="shared" si="716"/>
      </c>
      <c r="AL217" s="22">
        <f t="shared" si="716"/>
      </c>
      <c r="AM217" s="22">
        <f t="shared" si="716"/>
      </c>
      <c r="AN217" s="22">
        <f t="shared" si="716"/>
      </c>
      <c r="AO217" s="22">
        <f t="shared" si="716"/>
      </c>
      <c r="AP217" s="22">
        <f t="shared" si="716"/>
      </c>
      <c r="AQ217" s="22">
        <f t="shared" si="716"/>
      </c>
      <c r="AR217" s="22">
        <f t="shared" si="716"/>
      </c>
      <c r="AS217" s="22">
        <f t="shared" si="716"/>
      </c>
      <c r="AT217" s="22">
        <f t="shared" si="716"/>
      </c>
      <c r="AU217" s="22">
        <f t="shared" si="716"/>
      </c>
      <c r="AV217" s="22">
        <f t="shared" si="716"/>
      </c>
      <c r="AW217" s="22">
        <f t="shared" si="716"/>
      </c>
      <c r="AX217" s="22">
        <f t="shared" si="716"/>
      </c>
      <c r="AY217" s="22">
        <f t="shared" si="716"/>
      </c>
      <c r="AZ217" s="22">
        <f t="shared" si="716"/>
      </c>
      <c r="BA217" s="22">
        <f t="shared" si="716"/>
      </c>
      <c r="BB217" s="22">
        <f t="shared" ref="BB217:CO217" si="717">+(BB14+BB15)/BB27</f>
      </c>
      <c r="BC217" s="22">
        <f t="shared" si="717"/>
      </c>
      <c r="BD217" s="22">
        <f t="shared" si="717"/>
      </c>
      <c r="BE217" s="22">
        <f t="shared" si="717"/>
      </c>
      <c r="BF217" s="22">
        <f t="shared" si="717"/>
      </c>
      <c r="BG217" s="22">
        <f t="shared" si="717"/>
      </c>
      <c r="BH217" s="22">
        <f t="shared" si="717"/>
      </c>
      <c r="BI217" s="22">
        <f t="shared" si="717"/>
      </c>
      <c r="BJ217" s="22">
        <f t="shared" si="717"/>
      </c>
      <c r="BK217" s="22">
        <f t="shared" si="717"/>
      </c>
      <c r="BL217" s="22">
        <f t="shared" si="717"/>
      </c>
      <c r="BM217" s="22">
        <f t="shared" si="717"/>
      </c>
      <c r="BN217" s="22">
        <f t="shared" si="717"/>
      </c>
      <c r="BO217" s="22">
        <f t="shared" si="717"/>
      </c>
      <c r="BP217" s="22">
        <f t="shared" si="717"/>
      </c>
      <c r="BQ217" s="22">
        <f t="shared" si="717"/>
      </c>
      <c r="BR217" s="22">
        <f t="shared" si="717"/>
      </c>
      <c r="BS217" s="22">
        <f t="shared" si="717"/>
      </c>
      <c r="BT217" s="22">
        <f t="shared" si="717"/>
      </c>
      <c r="BU217" s="537">
        <f t="shared" si="717"/>
      </c>
      <c r="BV217" s="22">
        <f>+(BV14+BV15)/BV27</f>
      </c>
      <c r="BW217" s="22">
        <f>+(BW14+BW15)/BW27</f>
      </c>
      <c r="BX217" s="22">
        <f t="shared" si="717"/>
      </c>
      <c r="BY217" s="22">
        <f t="shared" si="717"/>
      </c>
      <c r="BZ217" s="537">
        <f t="shared" si="717"/>
      </c>
      <c r="CA217" s="22">
        <f t="shared" si="717"/>
      </c>
      <c r="CB217" s="22">
        <f t="shared" si="717"/>
      </c>
      <c r="CC217" s="22">
        <f>+(CC14+CC15)/CC27</f>
      </c>
      <c r="CD217" s="22">
        <f>+(CD14+CD15)/CD27</f>
      </c>
      <c r="CE217" s="537">
        <f t="shared" si="717"/>
      </c>
      <c r="CF217" s="22">
        <f t="shared" si="717"/>
      </c>
      <c r="CG217" s="22">
        <f>+(CG14+CG15)/CG27</f>
      </c>
      <c r="CH217" s="22">
        <f>+(CH14+CH15)/CH27</f>
      </c>
      <c r="CI217" s="22">
        <f>+(CI14+CI15)/CI27</f>
      </c>
      <c r="CJ217" s="537">
        <f t="shared" si="717"/>
      </c>
      <c r="CK217" s="22">
        <f>+(CK14+CK15)/CK27</f>
      </c>
      <c r="CL217" s="22">
        <f>+(CL14+CL15)/CL27</f>
      </c>
      <c r="CM217" s="22">
        <f>+(CM14+CM15)/CM27</f>
      </c>
      <c r="CN217" s="22">
        <f>+(CN14+CN15)/CN27</f>
      </c>
      <c r="CO217" s="537">
        <f t="shared" si="717"/>
      </c>
      <c r="CP217" s="22">
        <f t="shared" ref="CP217:CW217" si="718">+(CP14+CP15)/CP27</f>
      </c>
      <c r="CQ217" s="22">
        <f t="shared" si="718"/>
      </c>
      <c r="CR217" s="22">
        <f t="shared" si="718"/>
      </c>
      <c r="CS217" s="22">
        <f t="shared" si="718"/>
      </c>
      <c r="CT217" s="537">
        <f t="shared" si="718"/>
      </c>
      <c r="CU217" s="22">
        <f t="shared" si="718"/>
      </c>
      <c r="CV217" s="22">
        <f t="shared" si="718"/>
      </c>
      <c r="CW217" s="22">
        <f t="shared" si="718"/>
      </c>
      <c r="CX217" s="22">
        <f t="shared" ref="CX217:EB217" si="719">+(CX14+CX15)/CX27</f>
      </c>
      <c r="CY217" s="537">
        <f t="shared" si="719"/>
      </c>
      <c r="CZ217" s="22">
        <f t="shared" si="719"/>
      </c>
      <c r="DA217" s="22">
        <f t="shared" si="719"/>
      </c>
      <c r="DB217" s="22">
        <f t="shared" si="719"/>
      </c>
      <c r="DC217" s="22">
        <f t="shared" si="719"/>
      </c>
      <c r="DD217" s="537">
        <f t="shared" si="719"/>
      </c>
      <c r="DE217" s="22">
        <f t="shared" si="719"/>
      </c>
      <c r="DF217" s="22">
        <f t="shared" si="719"/>
      </c>
      <c r="DG217" s="22">
        <f t="shared" si="719"/>
      </c>
      <c r="DH217" s="22">
        <f t="shared" si="719"/>
      </c>
      <c r="DI217" s="537">
        <f t="shared" si="719"/>
      </c>
      <c r="DJ217" s="22">
        <f t="shared" si="719"/>
      </c>
      <c r="DK217" s="22">
        <f t="shared" si="719"/>
      </c>
      <c r="DL217" s="943">
        <f t="shared" si="719"/>
      </c>
      <c r="DM217" s="943">
        <f t="shared" si="719"/>
      </c>
      <c r="DN217" s="537">
        <f t="shared" si="719"/>
      </c>
      <c r="DO217" s="943">
        <f t="shared" si="719"/>
      </c>
      <c r="DP217" s="943">
        <f t="shared" si="719"/>
      </c>
      <c r="DQ217" s="943">
        <f t="shared" si="719"/>
      </c>
      <c r="DR217" s="943">
        <f t="shared" si="719"/>
      </c>
      <c r="DS217" s="537">
        <f t="shared" si="719"/>
      </c>
      <c r="DT217" s="943">
        <f t="shared" si="719"/>
      </c>
      <c r="DU217" s="943">
        <f t="shared" si="719"/>
      </c>
      <c r="DV217" s="943">
        <f t="shared" si="719"/>
      </c>
      <c r="DW217" s="943">
        <f t="shared" si="719"/>
      </c>
      <c r="DX217" s="537">
        <f t="shared" si="719"/>
      </c>
      <c r="DY217" s="943">
        <f t="shared" si="719"/>
      </c>
      <c r="DZ217" s="943">
        <f t="shared" si="719"/>
      </c>
      <c r="EA217" s="943">
        <f t="shared" si="719"/>
      </c>
      <c r="EB217" s="943">
        <f t="shared" si="719"/>
      </c>
      <c r="EC217" s="1067">
        <f t="shared" ref="EC217:EH217" si="720">+(EC14+EC15)/EC27</f>
      </c>
      <c r="ED217" s="943">
        <f t="shared" si="720"/>
      </c>
      <c r="EE217" s="943">
        <f t="shared" si="720"/>
      </c>
      <c r="EF217" s="943">
        <f t="shared" si="720"/>
      </c>
      <c r="EG217" s="943">
        <f t="shared" si="720"/>
      </c>
      <c r="EH217" s="1067">
        <f t="shared" si="720"/>
      </c>
      <c r="EI217" s="943">
        <f t="shared" ref="EI217:ER217" si="721">+(EI14+EI15)/EI27</f>
      </c>
      <c r="EJ217" s="943">
        <f t="shared" si="721"/>
      </c>
      <c r="EK217" s="943">
        <f t="shared" si="721"/>
      </c>
      <c r="EL217" s="1248">
        <f t="shared" si="721"/>
      </c>
      <c r="EM217" s="2510">
        <f t="shared" si="721"/>
      </c>
      <c r="EN217" s="2524">
        <f>+(EN14+EN15)/EN27</f>
      </c>
      <c r="EO217" s="943">
        <f t="shared" si="721"/>
      </c>
      <c r="EP217" s="943">
        <f t="shared" si="721"/>
      </c>
      <c r="EQ217" s="1248">
        <f t="shared" si="721"/>
      </c>
      <c r="ER217" s="1306">
        <f t="shared" si="721"/>
      </c>
      <c r="ES217" s="2524">
        <f>+(ES14+ES15)/ES27</f>
      </c>
      <c r="ET217" s="943">
        <f t="shared" ref="ET217:EW217" si="722">+(ET14+ET15)/ET27</f>
      </c>
      <c r="EU217" s="943">
        <f t="shared" si="722"/>
      </c>
      <c r="EV217" s="1248">
        <f t="shared" si="722"/>
      </c>
      <c r="EW217" s="1306">
        <f t="shared" si="722"/>
      </c>
      <c r="EX217" s="2524">
        <f>+(EX14+EX15)/EX27</f>
      </c>
      <c r="EY217" s="943">
        <f t="shared" ref="EY217" si="723">+(EY14+EY15)/EY27</f>
      </c>
      <c r="EZ217" s="943">
        <f>+(EZ14+EZ15)/EZ27</f>
      </c>
      <c r="FA217" s="1248">
        <f>+(FA14+FA15)/FA27</f>
      </c>
      <c r="FB217" s="1306">
        <f t="shared" ref="FB217" si="724">+(FB14+FB15)/FB27</f>
      </c>
      <c r="FC217" s="1306">
        <f ca="1">+(FC14+FC15)/FC27</f>
      </c>
      <c r="FD217" s="1306">
        <f ca="1">+(FD14+FD15)/FD27</f>
      </c>
      <c r="FE217" s="1306">
        <f ca="1">+(FE14+FE15)/FE27</f>
      </c>
      <c r="FF217" s="1306">
        <f ca="1">+(FF14+FF15)/FF27</f>
      </c>
      <c r="FG217" s="1306">
        <f ca="1">+(FG14+FG15)/FG27</f>
      </c>
      <c r="FH217" s="943"/>
      <c r="FI217" s="943"/>
    </row>
    <row r="218" spans="1:165" outlineLevel="1">
      <c r="A218" s="22"/>
      <c r="B218" s="150" t="s">
        <v>90</v>
      </c>
      <c r="C218" s="135"/>
      <c r="D218" s="135"/>
      <c r="E218" s="135"/>
      <c r="F218" s="135"/>
      <c r="G218" s="135"/>
      <c r="H218" s="135"/>
      <c r="I218" s="135"/>
      <c r="J218" s="135"/>
      <c r="K218" s="135"/>
      <c r="L218" s="135"/>
      <c r="M218" s="135"/>
      <c r="N218" s="136"/>
      <c r="O218" s="22"/>
      <c r="P218" s="22"/>
      <c r="Q218" s="22"/>
      <c r="R218" s="22"/>
      <c r="S218" s="22"/>
      <c r="T218" s="22"/>
      <c r="U218" s="22"/>
      <c r="V218" s="22">
        <f t="shared" ref="V218:BA218" si="725">+(V37+V31)/V27</f>
      </c>
      <c r="W218" s="22">
        <f t="shared" si="725"/>
      </c>
      <c r="X218" s="22">
        <f t="shared" si="725"/>
      </c>
      <c r="Y218" s="22">
        <f t="shared" si="725"/>
      </c>
      <c r="Z218" s="22">
        <f t="shared" si="725"/>
      </c>
      <c r="AA218" s="22">
        <f t="shared" si="725"/>
      </c>
      <c r="AB218" s="22">
        <f t="shared" si="725"/>
      </c>
      <c r="AC218" s="22">
        <f t="shared" si="725"/>
      </c>
      <c r="AD218" s="22">
        <f t="shared" si="725"/>
      </c>
      <c r="AE218" s="22">
        <f t="shared" si="725"/>
      </c>
      <c r="AF218" s="22">
        <f t="shared" si="725"/>
      </c>
      <c r="AG218" s="22">
        <f t="shared" si="725"/>
      </c>
      <c r="AH218" s="22">
        <f t="shared" si="725"/>
      </c>
      <c r="AI218" s="22">
        <f t="shared" si="725"/>
      </c>
      <c r="AJ218" s="22">
        <f t="shared" si="725"/>
      </c>
      <c r="AK218" s="22">
        <f t="shared" si="725"/>
      </c>
      <c r="AL218" s="22">
        <f t="shared" si="725"/>
      </c>
      <c r="AM218" s="22">
        <f t="shared" si="725"/>
      </c>
      <c r="AN218" s="22">
        <f t="shared" si="725"/>
      </c>
      <c r="AO218" s="22">
        <f t="shared" si="725"/>
      </c>
      <c r="AP218" s="22">
        <f t="shared" si="725"/>
      </c>
      <c r="AQ218" s="22">
        <f t="shared" si="725"/>
      </c>
      <c r="AR218" s="22">
        <f t="shared" si="725"/>
      </c>
      <c r="AS218" s="22">
        <f t="shared" si="725"/>
      </c>
      <c r="AT218" s="22">
        <f t="shared" si="725"/>
      </c>
      <c r="AU218" s="22">
        <f t="shared" si="725"/>
      </c>
      <c r="AV218" s="22">
        <f t="shared" si="725"/>
      </c>
      <c r="AW218" s="22">
        <f t="shared" si="725"/>
      </c>
      <c r="AX218" s="22">
        <f t="shared" si="725"/>
      </c>
      <c r="AY218" s="22">
        <f t="shared" si="725"/>
      </c>
      <c r="AZ218" s="22">
        <f t="shared" si="725"/>
      </c>
      <c r="BA218" s="22">
        <f t="shared" si="725"/>
      </c>
      <c r="BB218" s="22">
        <f t="shared" ref="BB218:CO218" si="726">+(BB37+BB31)/BB27</f>
      </c>
      <c r="BC218" s="22">
        <f t="shared" si="726"/>
      </c>
      <c r="BD218" s="22">
        <f t="shared" si="726"/>
      </c>
      <c r="BE218" s="22">
        <f t="shared" si="726"/>
      </c>
      <c r="BF218" s="22">
        <f t="shared" si="726"/>
      </c>
      <c r="BG218" s="22">
        <f t="shared" si="726"/>
      </c>
      <c r="BH218" s="22">
        <f t="shared" si="726"/>
      </c>
      <c r="BI218" s="22">
        <f t="shared" si="726"/>
      </c>
      <c r="BJ218" s="22">
        <f t="shared" si="726"/>
      </c>
      <c r="BK218" s="22">
        <f t="shared" si="726"/>
      </c>
      <c r="BL218" s="22">
        <f t="shared" si="726"/>
      </c>
      <c r="BM218" s="22">
        <f t="shared" si="726"/>
      </c>
      <c r="BN218" s="22">
        <f t="shared" si="726"/>
      </c>
      <c r="BO218" s="22">
        <f t="shared" si="726"/>
      </c>
      <c r="BP218" s="22">
        <f t="shared" si="726"/>
      </c>
      <c r="BQ218" s="22">
        <f t="shared" si="726"/>
      </c>
      <c r="BR218" s="22">
        <f t="shared" si="726"/>
      </c>
      <c r="BS218" s="22">
        <f t="shared" si="726"/>
      </c>
      <c r="BT218" s="22">
        <f t="shared" si="726"/>
      </c>
      <c r="BU218" s="537">
        <f t="shared" si="726"/>
      </c>
      <c r="BV218" s="22">
        <f>+(BV37+BV31)/BV27</f>
      </c>
      <c r="BW218" s="22">
        <f>+(BW37+BW31)/BW27</f>
      </c>
      <c r="BX218" s="22">
        <f t="shared" si="726"/>
      </c>
      <c r="BY218" s="22">
        <f t="shared" si="726"/>
      </c>
      <c r="BZ218" s="537">
        <f t="shared" si="726"/>
      </c>
      <c r="CA218" s="22">
        <f t="shared" si="726"/>
      </c>
      <c r="CB218" s="22">
        <f t="shared" si="726"/>
      </c>
      <c r="CC218" s="22">
        <f>+(CC37+CC31)/CC27</f>
      </c>
      <c r="CD218" s="22">
        <f>+(CD37+CD31)/CD27</f>
      </c>
      <c r="CE218" s="537">
        <f t="shared" si="726"/>
      </c>
      <c r="CF218" s="22">
        <f t="shared" si="726"/>
      </c>
      <c r="CG218" s="22">
        <f>+(CG37+CG31)/CG27</f>
      </c>
      <c r="CH218" s="22">
        <f>+(CH37+CH31)/CH27</f>
      </c>
      <c r="CI218" s="22">
        <f>+(CI37+CI31)/CI27</f>
      </c>
      <c r="CJ218" s="537">
        <f t="shared" si="726"/>
      </c>
      <c r="CK218" s="22">
        <f>+(CK37+CK31)/CK27</f>
      </c>
      <c r="CL218" s="22">
        <f>+(CL37+CL31)/CL27</f>
      </c>
      <c r="CM218" s="22">
        <f>+(CM37+CM31)/CM27</f>
      </c>
      <c r="CN218" s="22">
        <f>+(CN37+CN31)/CN27</f>
      </c>
      <c r="CO218" s="537">
        <f t="shared" si="726"/>
      </c>
      <c r="CP218" s="22">
        <f t="shared" ref="CP218:CW218" si="727">+(CP37+CP31)/CP27</f>
      </c>
      <c r="CQ218" s="22">
        <f t="shared" si="727"/>
      </c>
      <c r="CR218" s="22">
        <f t="shared" si="727"/>
      </c>
      <c r="CS218" s="22">
        <f t="shared" si="727"/>
      </c>
      <c r="CT218" s="537">
        <f t="shared" si="727"/>
      </c>
      <c r="CU218" s="22">
        <f t="shared" si="727"/>
      </c>
      <c r="CV218" s="22">
        <f t="shared" si="727"/>
      </c>
      <c r="CW218" s="22">
        <f t="shared" si="727"/>
      </c>
      <c r="CX218" s="22">
        <f t="shared" ref="CX218:EB218" si="728">+(CX37+CX31)/CX27</f>
      </c>
      <c r="CY218" s="537">
        <f t="shared" si="728"/>
      </c>
      <c r="CZ218" s="22">
        <f t="shared" si="728"/>
      </c>
      <c r="DA218" s="22">
        <f t="shared" si="728"/>
      </c>
      <c r="DB218" s="22">
        <f t="shared" si="728"/>
      </c>
      <c r="DC218" s="22">
        <f t="shared" si="728"/>
      </c>
      <c r="DD218" s="537">
        <f t="shared" si="728"/>
      </c>
      <c r="DE218" s="22">
        <f t="shared" si="728"/>
      </c>
      <c r="DF218" s="22">
        <f t="shared" si="728"/>
      </c>
      <c r="DG218" s="22">
        <f t="shared" si="728"/>
      </c>
      <c r="DH218" s="22">
        <f t="shared" si="728"/>
      </c>
      <c r="DI218" s="537">
        <f t="shared" si="728"/>
      </c>
      <c r="DJ218" s="22">
        <f t="shared" si="728"/>
      </c>
      <c r="DK218" s="22">
        <f t="shared" si="728"/>
      </c>
      <c r="DL218" s="943">
        <f t="shared" si="728"/>
      </c>
      <c r="DM218" s="943">
        <f t="shared" si="728"/>
      </c>
      <c r="DN218" s="537">
        <f t="shared" si="728"/>
      </c>
      <c r="DO218" s="943">
        <f t="shared" si="728"/>
      </c>
      <c r="DP218" s="943">
        <f t="shared" si="728"/>
      </c>
      <c r="DQ218" s="943">
        <f t="shared" si="728"/>
      </c>
      <c r="DR218" s="943">
        <f t="shared" si="728"/>
      </c>
      <c r="DS218" s="537">
        <f t="shared" si="728"/>
      </c>
      <c r="DT218" s="943">
        <f t="shared" si="728"/>
      </c>
      <c r="DU218" s="943">
        <f t="shared" si="728"/>
      </c>
      <c r="DV218" s="943">
        <f t="shared" si="728"/>
      </c>
      <c r="DW218" s="943">
        <f t="shared" si="728"/>
      </c>
      <c r="DX218" s="537">
        <f t="shared" si="728"/>
      </c>
      <c r="DY218" s="943">
        <f t="shared" si="728"/>
      </c>
      <c r="DZ218" s="943">
        <f t="shared" si="728"/>
      </c>
      <c r="EA218" s="943">
        <f t="shared" si="728"/>
      </c>
      <c r="EB218" s="943">
        <f t="shared" si="728"/>
      </c>
      <c r="EC218" s="1067">
        <f t="shared" ref="EC218:EH218" si="729">+(EC37+EC31)/EC27</f>
      </c>
      <c r="ED218" s="943">
        <f t="shared" si="729"/>
      </c>
      <c r="EE218" s="943">
        <f t="shared" si="729"/>
      </c>
      <c r="EF218" s="943">
        <f t="shared" si="729"/>
      </c>
      <c r="EG218" s="943">
        <f t="shared" si="729"/>
      </c>
      <c r="EH218" s="1067">
        <f t="shared" si="729"/>
      </c>
      <c r="EI218" s="943">
        <f t="shared" ref="EI218:ER218" si="730">+(EI37+EI31)/EI27</f>
      </c>
      <c r="EJ218" s="943">
        <f t="shared" si="730"/>
      </c>
      <c r="EK218" s="943">
        <f t="shared" si="730"/>
      </c>
      <c r="EL218" s="1248">
        <f t="shared" si="730"/>
      </c>
      <c r="EM218" s="2510">
        <f t="shared" si="730"/>
      </c>
      <c r="EN218" s="2524">
        <f>+(EN37+EN31)/EN27</f>
      </c>
      <c r="EO218" s="943">
        <f t="shared" si="730"/>
      </c>
      <c r="EP218" s="943">
        <f t="shared" si="730"/>
      </c>
      <c r="EQ218" s="1248">
        <f t="shared" si="730"/>
      </c>
      <c r="ER218" s="1306">
        <f t="shared" si="730"/>
      </c>
      <c r="ES218" s="2524">
        <f>+(ES37+ES31)/ES27</f>
      </c>
      <c r="ET218" s="943">
        <f t="shared" ref="ET218:EW218" si="731">+(ET37+ET31)/ET27</f>
      </c>
      <c r="EU218" s="943">
        <f t="shared" si="731"/>
      </c>
      <c r="EV218" s="1248">
        <f t="shared" si="731"/>
      </c>
      <c r="EW218" s="1306">
        <f t="shared" si="731"/>
      </c>
      <c r="EX218" s="2524">
        <f>+(EX37+EX31)/EX27</f>
      </c>
      <c r="EY218" s="943">
        <f t="shared" ref="EY218" si="732">+(EY37+EY31)/EY27</f>
      </c>
      <c r="EZ218" s="943">
        <f>+(EZ37+EZ31)/EZ27</f>
      </c>
      <c r="FA218" s="1248">
        <f>+(FA37+FA31)/FA27</f>
      </c>
      <c r="FB218" s="1306">
        <f t="shared" ref="FB218" si="733">+(FB37+FB31)/FB27</f>
      </c>
      <c r="FC218" s="1306">
        <f ca="1">+(FC37+FC31)/FC27</f>
      </c>
      <c r="FD218" s="1306">
        <f ca="1">+(FD37+FD31)/FD27</f>
      </c>
      <c r="FE218" s="1306">
        <f ca="1">+(FE37+FE31)/FE27</f>
      </c>
      <c r="FF218" s="1306">
        <f ca="1">+(FF37+FF31)/FF27</f>
      </c>
      <c r="FG218" s="1306">
        <f ca="1">+(FG37+FG31)/FG27</f>
      </c>
      <c r="FH218" s="943"/>
      <c r="FI218" s="943"/>
    </row>
    <row r="219" spans="1:165" outlineLevel="1">
      <c r="A219" s="1"/>
      <c r="B219" s="108"/>
      <c r="C219" s="72"/>
      <c r="D219" s="72"/>
      <c r="E219" s="72"/>
      <c r="F219" s="72"/>
      <c r="G219" s="72"/>
      <c r="H219" s="72"/>
      <c r="I219" s="72"/>
      <c r="J219" s="72"/>
      <c r="K219" s="72"/>
      <c r="L219" s="72"/>
      <c r="M219" s="72"/>
      <c r="N219" s="68"/>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539"/>
      <c r="BV219" s="1"/>
      <c r="BW219" s="1"/>
      <c r="BX219" s="1"/>
      <c r="BY219" s="1"/>
      <c r="BZ219" s="539"/>
      <c r="CA219" s="1"/>
      <c r="CB219" s="1"/>
      <c r="CC219" s="1"/>
      <c r="CD219" s="1"/>
      <c r="CE219" s="539"/>
      <c r="CF219" s="1"/>
      <c r="CG219" s="1"/>
      <c r="CH219" s="1"/>
      <c r="CI219" s="1"/>
      <c r="CJ219" s="539"/>
      <c r="CK219" s="1"/>
      <c r="CL219" s="1"/>
      <c r="CM219" s="1"/>
      <c r="CN219" s="1"/>
      <c r="CO219" s="539"/>
      <c r="CP219" s="1"/>
      <c r="CQ219" s="1"/>
      <c r="CR219" s="1"/>
      <c r="CS219" s="1"/>
      <c r="CT219" s="539"/>
      <c r="CU219" s="1"/>
      <c r="CV219" s="1"/>
      <c r="CW219" s="1"/>
      <c r="CX219" s="1"/>
      <c r="CY219" s="539"/>
      <c r="CZ219" s="1"/>
      <c r="DA219" s="1"/>
      <c r="DB219" s="1"/>
      <c r="DC219" s="1"/>
      <c r="DD219" s="539"/>
      <c r="DE219" s="1"/>
      <c r="DF219" s="1"/>
      <c r="DG219" s="1"/>
      <c r="DH219" s="1"/>
      <c r="DI219" s="539"/>
      <c r="DJ219" s="1"/>
      <c r="DK219" s="1"/>
      <c r="DL219" s="946"/>
      <c r="DM219" s="946"/>
      <c r="DN219" s="539"/>
      <c r="DO219" s="946"/>
      <c r="DP219" s="946"/>
      <c r="DQ219" s="946"/>
      <c r="DR219" s="946"/>
      <c r="DS219" s="539"/>
      <c r="DT219" s="946"/>
      <c r="DU219" s="946"/>
      <c r="DV219" s="946"/>
      <c r="DW219" s="946"/>
      <c r="DX219" s="539"/>
      <c r="DY219" s="946"/>
      <c r="DZ219" s="946"/>
      <c r="EA219" s="946"/>
      <c r="EB219" s="946"/>
      <c r="EC219" s="2724"/>
      <c r="ED219" s="946"/>
      <c r="EE219" s="946"/>
      <c r="EF219" s="946"/>
      <c r="EG219" s="946"/>
      <c r="EH219" s="2724"/>
      <c r="EI219" s="946"/>
      <c r="EJ219" s="946"/>
      <c r="EK219" s="946"/>
      <c r="EL219" s="1253"/>
      <c r="EM219" s="2513"/>
      <c r="EN219" s="971"/>
      <c r="EO219" s="946"/>
      <c r="EP219" s="946"/>
      <c r="EQ219" s="1253"/>
      <c r="ER219" s="1098"/>
      <c r="ES219" s="971"/>
      <c r="ET219" s="946"/>
      <c r="EU219" s="946"/>
      <c r="EV219" s="1253"/>
      <c r="EW219" s="1098"/>
      <c r="EX219" s="971"/>
      <c r="EY219" s="946"/>
      <c r="EZ219" s="946"/>
      <c r="FA219" s="1253"/>
      <c r="FB219" s="1098"/>
      <c r="FC219" s="1098"/>
      <c r="FD219" s="1098"/>
      <c r="FE219" s="1098"/>
      <c r="FF219" s="1098"/>
      <c r="FG219" s="1098"/>
    </row>
    <row r="220" spans="1:165" outlineLevel="1">
      <c r="A220" s="1"/>
      <c r="B220" s="138" t="s">
        <v>91</v>
      </c>
      <c r="C220" s="113"/>
      <c r="D220" s="113"/>
      <c r="E220" s="113"/>
      <c r="F220" s="113"/>
      <c r="G220" s="113"/>
      <c r="H220" s="113"/>
      <c r="I220" s="113"/>
      <c r="J220" s="113"/>
      <c r="K220" s="113"/>
      <c r="L220" s="113"/>
      <c r="M220" s="113"/>
      <c r="N220" s="74"/>
      <c r="O220" s="2"/>
      <c r="P220" s="2"/>
      <c r="Q220" s="2"/>
      <c r="R220" s="2"/>
      <c r="S220" s="2"/>
      <c r="T220" s="2"/>
      <c r="U220" s="2"/>
      <c r="V220" s="82">
        <f>+(V14+V15)-(U14+U15)</f>
      </c>
      <c r="W220" s="82">
        <f>+(W14+W15)-(R14+R15)</f>
      </c>
      <c r="X220" s="82">
        <f>+(X14+X15)-(W14+W15)</f>
      </c>
      <c r="Y220" s="82">
        <f>+(Y14+Y15)-(X14+X15)</f>
      </c>
      <c r="Z220" s="82">
        <f>+(Z14+Z15)-(Y14+Y15)</f>
      </c>
      <c r="AA220" s="82">
        <f>+(AA14+AA15)-(Z14+Z15)</f>
      </c>
      <c r="AB220" s="82">
        <f>+(AB14+AB15)-(W14+W15)</f>
      </c>
      <c r="AC220" s="82">
        <f>+(AC14+AC15)-(AB14+AB15)</f>
      </c>
      <c r="AD220" s="82">
        <f>+(AD14+AD15)-(AC14+AC15)</f>
      </c>
      <c r="AE220" s="82">
        <f>+(AE14+AE15)-(AD14+AD15)</f>
      </c>
      <c r="AF220" s="82">
        <f>+(AF14+AF15)-(AE14+AE15)</f>
      </c>
      <c r="AG220" s="82">
        <f>+(AG14+AG15)-(AB14+AB15)</f>
      </c>
      <c r="AH220" s="82">
        <f>+(AH14+AH15)-(AG14+AG15)</f>
      </c>
      <c r="AI220" s="82">
        <f>+(AI14+AI15)-(AH14+AH15)</f>
      </c>
      <c r="AJ220" s="82">
        <f>+(AJ14+AJ15)-(AI14+AI15)</f>
      </c>
      <c r="AK220" s="82">
        <f>+(AK14+AK15)-(AJ14+AJ15)</f>
      </c>
      <c r="AL220" s="82">
        <f>+(AL14+AL15)-(AG14+AG15)</f>
      </c>
      <c r="AM220" s="82">
        <f>+(AM14+AM15)-(AL14+AL15)</f>
      </c>
      <c r="AN220" s="82">
        <f>+(AN14+AN15)-(AM14+AM15)</f>
      </c>
      <c r="AO220" s="82">
        <f>+(AO14+AO15)-(AN14+AN15)</f>
      </c>
      <c r="AP220" s="82">
        <f>+(AP14+AP15)-(AO14+AO15)</f>
      </c>
      <c r="AQ220" s="82">
        <f>+(AQ14+AQ15)-(AL14+AL15)</f>
      </c>
      <c r="AR220" s="82">
        <f>+(AR14+AR15)-(AQ14+AQ15)</f>
      </c>
      <c r="AS220" s="82">
        <f>+(AS14+AS15)-(AR14+AR15)</f>
      </c>
      <c r="AT220" s="82">
        <f>+(AT14+AT15)-(AS14+AS15)</f>
      </c>
      <c r="AU220" s="82">
        <f>+(AU14+AU15)-(AT14+AT15)</f>
      </c>
      <c r="AV220" s="82">
        <f>+(AV14+AV15)-(AQ14+AQ15)</f>
      </c>
      <c r="AW220" s="82">
        <f>+(AW14+AW15)-(AV14+AV15)</f>
      </c>
      <c r="AX220" s="82">
        <f>+(AX14+AX15)-(AW14+AW15)</f>
      </c>
      <c r="AY220" s="82">
        <f>+(AY14+AY15)-(AX14+AX15)</f>
      </c>
      <c r="AZ220" s="82">
        <f>+(AZ14+AZ15)-(AY14+AY15)</f>
      </c>
      <c r="BA220" s="82">
        <f>+(BA14+BA15)-(AV14+AV15)</f>
      </c>
      <c r="BB220" s="82">
        <f>+(BB14+BB15)-(BA14+BA15)</f>
      </c>
      <c r="BC220" s="82">
        <f>+(BC14+BC15)-(BB14+BB15)</f>
      </c>
      <c r="BD220" s="82">
        <f>+(BD14+BD15)-(BC14+BC15)</f>
      </c>
      <c r="BE220" s="82">
        <f>+(BE14+BE15)-(BD14+BD15)</f>
      </c>
      <c r="BF220" s="82">
        <f>+(BF14+BF15)-(BA14+BA15)</f>
      </c>
      <c r="BG220" s="82">
        <f>+(BG14+BG15)-(BF14+BF15)</f>
      </c>
      <c r="BH220" s="82">
        <f>+(BH14+BH15)-(BG14+BG15)</f>
      </c>
      <c r="BI220" s="82">
        <f>+(BI14+BI15)-(BH14+BH15)</f>
      </c>
      <c r="BJ220" s="82">
        <f>+(BJ14+BJ15)-(BI14+BI15)</f>
      </c>
      <c r="BK220" s="82">
        <f>+(BK14+BK15)-(BF14+BF15)</f>
      </c>
      <c r="BL220" s="82">
        <f>+(BL14+BL15)-(BK14+BK15)</f>
      </c>
      <c r="BM220" s="82">
        <f>+(BM14+BM15)-(BL14+BL15)</f>
      </c>
      <c r="BN220" s="82">
        <f>+(BN14+BN15)-(BM14+BM15)</f>
      </c>
      <c r="BO220" s="82">
        <f>+(BO14+BO15)-(BN14+BN15)</f>
      </c>
      <c r="BP220" s="82">
        <f>+(BP14+BP15)-(BK14+BK15)</f>
      </c>
      <c r="BQ220" s="82">
        <f>+(BQ14+BQ15)-(BP14+BP15)</f>
      </c>
      <c r="BR220" s="82">
        <f>+(BR14+BR15)-(BQ14+BQ15)</f>
      </c>
      <c r="BS220" s="82">
        <f>+(BS14+BS15)-(BR14+BR15)</f>
      </c>
      <c r="BT220" s="82">
        <f>+(BT14+BT15)-(BS14+BS15)</f>
      </c>
      <c r="BU220" s="548">
        <f>+(BU14+BU15)-(BP14+BP15)</f>
      </c>
      <c r="BV220" s="82">
        <f>+(BV14+BV15)-(BU14+BU15)</f>
      </c>
      <c r="BW220" s="82">
        <f>+(BW14+BW15)-(BV14+BV15)</f>
      </c>
      <c r="BX220" s="82">
        <f t="shared" ref="BX220:CD220" si="734">+(BX14+BX15)-(BS14+BS15)</f>
      </c>
      <c r="BY220" s="82">
        <f t="shared" si="734"/>
      </c>
      <c r="BZ220" s="548">
        <f t="shared" si="734"/>
      </c>
      <c r="CA220" s="82">
        <f t="shared" si="734"/>
      </c>
      <c r="CB220" s="82">
        <f t="shared" si="734"/>
      </c>
      <c r="CC220" s="82">
        <f t="shared" si="734"/>
      </c>
      <c r="CD220" s="82">
        <f t="shared" si="734"/>
      </c>
      <c r="CE220" s="548">
        <f>+(CE14+CE15)-(BV14+BV15)</f>
      </c>
      <c r="CF220" s="82">
        <f>+(CF14+CF15)-(CA14+CA15)</f>
      </c>
      <c r="CG220" s="82">
        <f>+(CG14+CG15)-(CB14+CB15)</f>
      </c>
      <c r="CH220" s="82">
        <f>+(CH14+CH15)-(CC14+CC15)</f>
      </c>
      <c r="CI220" s="82">
        <f>+(CI14+CI15)-(CD14+CD15)</f>
      </c>
      <c r="CJ220" s="548">
        <f>+(CJ14+CJ15)-(BW14+BW15)</f>
      </c>
      <c r="CK220" s="82">
        <f>+(CK14+CK15)-(CF14+CF15)</f>
      </c>
      <c r="CL220" s="82">
        <f>+(CL14+CL15)-(CG14+CG15)</f>
      </c>
      <c r="CM220" s="82">
        <f>+(CM14+CM15)-(CH14+CH15)</f>
      </c>
      <c r="CN220" s="82">
        <f>+(CN14+CN15)-(CI14+CI15)</f>
      </c>
      <c r="CO220" s="548">
        <f>+(CO14+CO15)-(BX14+BX15)</f>
      </c>
      <c r="CP220" s="82">
        <f>+(CP14+CP15)-(CK14+CK15)</f>
      </c>
      <c r="CQ220" s="82">
        <f>+(CQ14+CQ15)-(CL14+CL15)</f>
      </c>
      <c r="CR220" s="82">
        <f>+(CR14+CR15)-(CM14+CM15)</f>
      </c>
      <c r="CS220" s="82">
        <f>+(CS14+CS15)-(CN14+CN15)</f>
      </c>
      <c r="CT220" s="548">
        <f>+(CT14+CT15)-(CC14+CC15)</f>
      </c>
      <c r="CU220" s="82">
        <f>+(CU14+CU15)-(CP14+CP15)</f>
      </c>
      <c r="CV220" s="82">
        <f>+(CV14+CV15)-(CQ14+CQ15)</f>
      </c>
      <c r="CW220" s="82">
        <f>+(CW14+CW15)-(CR14+CR15)</f>
      </c>
      <c r="CX220" s="82">
        <f>+(CX14+CX15)-(CS14+CS15)</f>
      </c>
      <c r="CY220" s="548">
        <f>+(CY14+CY15)-(CH14+CH15)</f>
      </c>
      <c r="CZ220" s="82">
        <f>+(CZ14+CZ15)-(CU14+CU15)</f>
      </c>
      <c r="DA220" s="82">
        <f>+(DA14+DA15)-(CV14+CV15)</f>
      </c>
      <c r="DB220" s="82">
        <f>+(DB14+DB15)-(CW14+CW15)</f>
      </c>
      <c r="DC220" s="82">
        <f>+(DC14+DC15)-(CX14+CX15)</f>
      </c>
      <c r="DD220" s="548">
        <f>+(DD14+DD15)-(CM14+CM15)</f>
      </c>
      <c r="DE220" s="82">
        <f>+(DE14+DE15)-(CZ14+CZ15)</f>
      </c>
      <c r="DF220" s="82">
        <f>+(DF14+DF15)-(DA14+DA15)</f>
      </c>
      <c r="DG220" s="82">
        <f>+(DG14+DG15)-(DB14+DB15)</f>
      </c>
      <c r="DH220" s="82">
        <f>+(DH14+DH15)-(DC14+DC15)</f>
      </c>
      <c r="DI220" s="548">
        <f>+(DI14+DI15)-(CR14+CR15)</f>
      </c>
      <c r="DJ220" s="82">
        <f>+(DJ14+DJ15)-(DE14+DE15)</f>
      </c>
      <c r="DK220" s="82">
        <f>+(DK14+DK15)-(DF14+DF15)</f>
      </c>
      <c r="DL220" s="1038">
        <f>+(DL14+DL15)-(DG14+DG15)</f>
      </c>
      <c r="DM220" s="1038">
        <f>+(DM14+DM15)-(DH14+DH15)</f>
      </c>
      <c r="DN220" s="548">
        <f>+(DN14+DN15)-(CG14+CG15)</f>
      </c>
      <c r="DO220" s="1128">
        <f>+(DO14+DO15)-(DJ14+DJ15)</f>
      </c>
      <c r="DP220" s="1128">
        <f>+(DP14+DP15)-(DK14+DK15)</f>
      </c>
      <c r="DQ220" s="1128">
        <f>+(DQ14+DQ15)-(DL14+DL15)</f>
      </c>
      <c r="DR220" s="1038">
        <f>+(DR14+DR15)-(DM14+DM15)</f>
      </c>
      <c r="DS220" s="548">
        <f>+(DS14+DS15)-(CL14+CL15)</f>
      </c>
      <c r="DT220" s="1128">
        <f>+(DT14+DT15)-(DO14+DO15)</f>
      </c>
      <c r="DU220" s="1128">
        <f>+(DU14+DU15)-(DP14+DP15)</f>
      </c>
      <c r="DV220" s="1128">
        <f>+(DV14+DV15)-(DQ14+DQ15)</f>
      </c>
      <c r="DW220" s="1038">
        <f>+(DW14+DW15)-(DR14+DR15)</f>
      </c>
      <c r="DX220" s="548">
        <f>+(DX14+DX15)-(CQ14+CQ15)</f>
      </c>
      <c r="DY220" s="1128">
        <f>+(DY14+DY15)-(DT14+DT15)</f>
      </c>
      <c r="DZ220" s="1128">
        <f>+(DZ14+DZ15)-(DU14+DU15)</f>
      </c>
      <c r="EA220" s="1128">
        <f>+(EA14+EA15)-(DV14+DV15)</f>
      </c>
      <c r="EB220" s="2140">
        <f>+(EB14+EB15)-(DW14+DW15)</f>
      </c>
      <c r="EC220" s="2726">
        <f>+(EC14+EC15)-(CN14+CN15)</f>
      </c>
      <c r="ED220" s="1128">
        <f>+(ED14+ED15)-(DY14+DY15)</f>
      </c>
      <c r="EE220" s="1128">
        <f>+(EE14+EE15)-(DZ14+DZ15)</f>
      </c>
      <c r="EF220" s="1128">
        <f>+(EF14+EF15)-(EA14+EA15)</f>
      </c>
      <c r="EG220" s="2140">
        <f>+(EG14+EG15)-(EB14+EB15)</f>
      </c>
      <c r="EH220" s="2726">
        <f>+(EH14+EH15)-(CS14+CS15)</f>
      </c>
      <c r="EI220" s="1128">
        <f>+(EI14+EI15)-(ED14+ED15)</f>
      </c>
      <c r="EJ220" s="1128">
        <f>+(EJ14+EJ15)-(EE14+EE15)</f>
      </c>
      <c r="EK220" s="1128">
        <f>+(EK14+EK15)-(EF14+EF15)</f>
      </c>
      <c r="EL220" s="1252">
        <f>+(EL14+EL15)-(EG14+EG15)</f>
      </c>
      <c r="EM220" s="2517">
        <f>+(EM14+EM15)-(CL14+CL15)</f>
      </c>
      <c r="EN220" s="2518">
        <f>+(EN14+EN15)-(EI14+EI15)</f>
      </c>
      <c r="EO220" s="2140">
        <f>+(EO14+EO15)-(EJ14+EJ15)</f>
      </c>
      <c r="EP220" s="1128">
        <f>+(EP14+EP15)-(EK14+EK15)</f>
      </c>
      <c r="EQ220" s="2149">
        <f>+(EQ14+EQ15)-(EL14+EL15)</f>
      </c>
      <c r="ER220" s="2155">
        <f>+(ER14+ER15)-(CM14+CM15)</f>
      </c>
      <c r="ES220" s="2518">
        <f>+(ES14+ES15)-(EN14+EN15)</f>
      </c>
      <c r="ET220" s="2140">
        <f>+(ET14+ET15)-(EO14+EO15)</f>
      </c>
      <c r="EU220" s="1128">
        <f>+(EU14+EU15)-(EP14+EP15)</f>
      </c>
      <c r="EV220" s="2149">
        <f>+(EV14+EV15)-(EQ14+EQ15)</f>
      </c>
      <c r="EW220" s="2155">
        <f>+(EW14+EW15)-(CR14+CR15)</f>
      </c>
      <c r="EX220" s="2518">
        <f>+(EX14+EX15)-(ES14+ES15)</f>
      </c>
      <c r="EY220" s="2140">
        <f>+(EY14+EY15)-(ET14+ET15)</f>
      </c>
      <c r="EZ220" s="2140">
        <f>+(EZ14+EZ15)-(EU14+EU15)</f>
      </c>
      <c r="FA220" s="2149">
        <f>+(FA14+FA15)-(EV14+EV15)</f>
      </c>
      <c r="FB220" s="3588">
        <f t="shared" ref="FB220" si="735">+(FB14+FB15)-(CO14+CO15)</f>
      </c>
      <c r="FC220" s="1294">
        <f ca="1">+(FC14+FC15)-(CP14+CP15)</f>
      </c>
      <c r="FD220" s="1294">
        <f ca="1">+(FD14+FD15)-(CQ14+CQ15)</f>
      </c>
      <c r="FE220" s="1294">
        <f ca="1">+(FE14+FE15)-(CR14+CR15)</f>
      </c>
      <c r="FF220" s="1294">
        <f ca="1">+(FF14+FF15)-(CS14+CS15)</f>
      </c>
      <c r="FG220" s="1294">
        <f ca="1">+(FG14+FG15)-(CT14+CT15)</f>
      </c>
    </row>
    <row r="221" spans="1:165">
      <c r="B221" s="1" t="s">
        <v>181</v>
      </c>
      <c r="DX221" s="1746"/>
      <c r="DY221" s="1747"/>
      <c r="DZ221" s="1747"/>
      <c r="EA221" s="1747"/>
      <c r="EB221" s="1747"/>
      <c r="EC221" s="1747"/>
      <c r="ED221" s="1747"/>
      <c r="EE221" s="1747"/>
      <c r="EF221" s="1747"/>
      <c r="EG221" s="1747"/>
      <c r="EH221" s="1747"/>
      <c r="EI221" s="1747"/>
      <c r="EJ221" s="1747"/>
      <c r="EK221" s="1747"/>
      <c r="EL221" s="1747"/>
      <c r="EM221" s="1747"/>
      <c r="EN221" s="2144"/>
      <c r="EO221" s="2144"/>
      <c r="EP221" s="2144"/>
      <c r="EQ221" s="2144"/>
      <c r="ER221" s="1747"/>
      <c r="ES221" s="2144"/>
      <c r="ET221" s="2144"/>
      <c r="EU221" s="2144"/>
      <c r="EV221" s="2144"/>
      <c r="EX221" s="2144"/>
      <c r="EY221" s="2144"/>
      <c r="EZ221" s="2144"/>
      <c r="FA221" s="2144"/>
    </row>
    <row r="222" spans="1:165">
      <c r="DX222" s="1748"/>
      <c r="EC222"/>
      <c r="EH222"/>
      <c r="EM222"/>
    </row>
    <row r="223" spans="1:165">
      <c r="DX223" s="1748"/>
      <c r="EC223"/>
      <c r="EH223"/>
      <c r="EM223"/>
    </row>
    <row r="224" spans="1:165">
      <c r="DX224" s="1748"/>
      <c r="EC224"/>
      <c r="EH224"/>
      <c r="EM224"/>
    </row>
    <row r="225" spans="128:143">
      <c r="DX225" s="1748"/>
      <c r="EC225"/>
      <c r="EH225"/>
      <c r="EM225"/>
    </row>
    <row r="226" spans="128:143">
      <c r="DX226" s="1748"/>
      <c r="EC226"/>
      <c r="EH226"/>
      <c r="EM226"/>
    </row>
    <row r="227" spans="128:143">
      <c r="DX227" s="1748"/>
      <c r="EC227"/>
      <c r="EH227"/>
      <c r="EM227"/>
    </row>
    <row r="228" spans="128:143">
      <c r="DX228" s="1748"/>
      <c r="EC228"/>
      <c r="EH228"/>
      <c r="EM228"/>
    </row>
    <row r="229" spans="128:143">
      <c r="DX229" s="1748"/>
      <c r="EC229"/>
      <c r="EH229"/>
      <c r="EM229"/>
    </row>
    <row r="230" spans="128:143">
      <c r="DX230" s="1748"/>
      <c r="EC230"/>
      <c r="EH230"/>
      <c r="EM230"/>
    </row>
    <row r="231" spans="128:143">
      <c r="DX231" s="1748"/>
      <c r="EC231"/>
      <c r="EH231"/>
      <c r="EM231"/>
    </row>
    <row r="232" spans="128:143">
      <c r="DX232" s="1748"/>
      <c r="EC232"/>
      <c r="EH232"/>
      <c r="EM232"/>
    </row>
    <row r="233" spans="128:143">
      <c r="DX233" s="1748"/>
      <c r="EC233"/>
      <c r="EH233"/>
      <c r="EM233"/>
    </row>
    <row r="234" spans="128:143">
      <c r="DX234" s="1748"/>
      <c r="EC234"/>
      <c r="EH234"/>
      <c r="EM234"/>
    </row>
    <row r="235" spans="128:143">
      <c r="DX235" s="1748"/>
      <c r="EC235"/>
      <c r="EH235"/>
      <c r="EM235"/>
    </row>
    <row r="236" spans="128:143">
      <c r="DX236" s="1748"/>
      <c r="EC236"/>
      <c r="EH236"/>
      <c r="EM236"/>
    </row>
    <row r="237" spans="128:143">
      <c r="DX237" s="1748"/>
      <c r="EC237"/>
      <c r="EH237"/>
      <c r="EM237"/>
    </row>
    <row r="238" spans="128:143">
      <c r="DX238" s="1748"/>
      <c r="EC238"/>
      <c r="EH238"/>
      <c r="EM238"/>
    </row>
    <row r="239" spans="128:143">
      <c r="DX239" s="1748"/>
      <c r="EC239"/>
      <c r="EH239"/>
      <c r="EM239"/>
    </row>
    <row r="240" spans="128:143">
      <c r="DX240" s="1748"/>
      <c r="EC240"/>
      <c r="EH240"/>
      <c r="EM240"/>
    </row>
    <row r="241" spans="128:143">
      <c r="DX241" s="1748"/>
      <c r="EC241"/>
      <c r="EH241"/>
      <c r="EM241"/>
    </row>
    <row r="242" spans="128:143">
      <c r="DX242" s="1748"/>
      <c r="EC242"/>
      <c r="EH242"/>
      <c r="EM242"/>
    </row>
    <row r="243" spans="128:143">
      <c r="DX243" s="1748"/>
      <c r="EC243"/>
      <c r="EH243"/>
      <c r="EM243"/>
    </row>
    <row r="244" spans="128:143">
      <c r="DX244" s="1748"/>
      <c r="EC244"/>
      <c r="EH244"/>
      <c r="EM244"/>
    </row>
    <row r="245" spans="128:143">
      <c r="DX245" s="1748"/>
      <c r="EC245"/>
      <c r="EH245"/>
      <c r="EM245"/>
    </row>
    <row r="246" spans="128:143">
      <c r="DX246" s="1748"/>
      <c r="EC246"/>
      <c r="EH246"/>
      <c r="EM246"/>
    </row>
    <row r="247" spans="128:143">
      <c r="DX247" s="1748"/>
      <c r="EC247"/>
      <c r="EH247"/>
      <c r="EM247"/>
    </row>
    <row r="248" spans="128:143">
      <c r="DX248" s="1748"/>
      <c r="EC248"/>
      <c r="EH248"/>
      <c r="EM248"/>
    </row>
    <row r="249" spans="128:143">
      <c r="DX249" s="1748"/>
      <c r="EC249"/>
      <c r="EH249"/>
      <c r="EM249"/>
    </row>
    <row r="250" spans="128:143">
      <c r="DX250" s="1748"/>
      <c r="EC250"/>
      <c r="EH250"/>
      <c r="EM250"/>
    </row>
    <row r="251" spans="128:143">
      <c r="DX251" s="1748"/>
      <c r="EC251"/>
      <c r="EH251"/>
      <c r="EM251"/>
    </row>
    <row r="252" spans="128:143">
      <c r="DX252" s="1748"/>
      <c r="EC252"/>
      <c r="EH252"/>
      <c r="EM252"/>
    </row>
    <row r="253" spans="128:143">
      <c r="DX253" s="1748"/>
      <c r="EC253"/>
      <c r="EH253"/>
      <c r="EM253"/>
    </row>
    <row r="254" spans="128:143">
      <c r="DX254" s="1748"/>
      <c r="EC254"/>
      <c r="EH254"/>
      <c r="EM254"/>
    </row>
    <row r="255" spans="128:143">
      <c r="DX255" s="1748"/>
      <c r="EC255"/>
      <c r="EH255"/>
      <c r="EM255"/>
    </row>
    <row r="256" spans="128:143">
      <c r="DX256" s="1748"/>
      <c r="EC256"/>
      <c r="EH256"/>
      <c r="EM256"/>
    </row>
    <row r="257" spans="128:143">
      <c r="DX257"/>
      <c r="EC257"/>
      <c r="EH257"/>
      <c r="EM257"/>
    </row>
    <row r="258" spans="128:143">
      <c r="DX258"/>
      <c r="EC258"/>
      <c r="EH258"/>
      <c r="EM258"/>
    </row>
    <row r="259" spans="128:143">
      <c r="DX259"/>
      <c r="EC259"/>
      <c r="EH259"/>
      <c r="EM259"/>
    </row>
    <row r="260" spans="128:143">
      <c r="DX260"/>
      <c r="EC260"/>
      <c r="EH260"/>
      <c r="EM260"/>
    </row>
    <row r="261" spans="128:143">
      <c r="DX261"/>
      <c r="EC261"/>
      <c r="EH261"/>
      <c r="EM261"/>
    </row>
    <row r="262" spans="128:143">
      <c r="DX262"/>
      <c r="EC262"/>
      <c r="EH262"/>
      <c r="EM262"/>
    </row>
    <row r="263" spans="128:143">
      <c r="DX263"/>
      <c r="EC263"/>
      <c r="EH263"/>
      <c r="EM263"/>
    </row>
    <row r="264" spans="128:143">
      <c r="DX264"/>
      <c r="EC264"/>
      <c r="EH264"/>
      <c r="EM264"/>
    </row>
    <row r="265" spans="128:143">
      <c r="DX265"/>
      <c r="EC265"/>
      <c r="EH265"/>
      <c r="EM265"/>
    </row>
    <row r="266" spans="128:143">
      <c r="DX266"/>
      <c r="EC266"/>
      <c r="EH266"/>
      <c r="EM266"/>
    </row>
    <row r="267" spans="128:143">
      <c r="DX267"/>
      <c r="EC267"/>
      <c r="EH267"/>
      <c r="EM267"/>
    </row>
    <row r="268" spans="128:143">
      <c r="DX268"/>
      <c r="EC268"/>
      <c r="EH268"/>
      <c r="EM268"/>
    </row>
    <row r="269" spans="128:143">
      <c r="DX269"/>
      <c r="EC269"/>
      <c r="EH269"/>
      <c r="EM269"/>
    </row>
    <row r="270" spans="128:143">
      <c r="DX270"/>
      <c r="EC270"/>
      <c r="EH270"/>
      <c r="EM270"/>
    </row>
    <row r="271" spans="128:143">
      <c r="DX271"/>
      <c r="EC271"/>
      <c r="EH271"/>
      <c r="EM271"/>
    </row>
    <row r="272" spans="128:143">
      <c r="DX272"/>
      <c r="EC272"/>
      <c r="EH272"/>
      <c r="EM272"/>
    </row>
    <row r="273" spans="128:143">
      <c r="DX273"/>
      <c r="EC273"/>
      <c r="EH273"/>
      <c r="EM273"/>
    </row>
    <row r="274" spans="128:143">
      <c r="DX274"/>
      <c r="EC274"/>
      <c r="EH274"/>
      <c r="EM274"/>
    </row>
    <row r="275" spans="128:143">
      <c r="DX275"/>
      <c r="EC275"/>
      <c r="EH275"/>
      <c r="EM275"/>
    </row>
    <row r="276" spans="128:143">
      <c r="DX276"/>
      <c r="EC276"/>
      <c r="EH276"/>
      <c r="EM276"/>
    </row>
    <row r="277" spans="128:143">
      <c r="DX277"/>
      <c r="EC277"/>
      <c r="EH277"/>
      <c r="EM277"/>
    </row>
    <row r="278" spans="128:143">
      <c r="DX278"/>
      <c r="EC278"/>
      <c r="EH278"/>
      <c r="EM278"/>
    </row>
    <row r="279" spans="128:143">
      <c r="DX279"/>
      <c r="EC279"/>
      <c r="EH279"/>
      <c r="EM279"/>
    </row>
    <row r="280" spans="128:143">
      <c r="DX280"/>
      <c r="EC280"/>
      <c r="EH280"/>
      <c r="EM280"/>
    </row>
    <row r="281" spans="128:143">
      <c r="DX281"/>
      <c r="EC281"/>
      <c r="EH281"/>
      <c r="EM281"/>
    </row>
    <row r="282" spans="128:143">
      <c r="DX282"/>
      <c r="EC282"/>
      <c r="EH282"/>
      <c r="EM282"/>
    </row>
    <row r="283" spans="128:143">
      <c r="DX283"/>
      <c r="EC283"/>
      <c r="EH283"/>
      <c r="EM283"/>
    </row>
    <row r="284" spans="128:143">
      <c r="DX284"/>
      <c r="EC284"/>
      <c r="EH284"/>
      <c r="EM284"/>
    </row>
    <row r="285" spans="128:143">
      <c r="DX285"/>
      <c r="EC285"/>
      <c r="EH285"/>
      <c r="EM285"/>
    </row>
    <row r="286" spans="128:143">
      <c r="DX286"/>
      <c r="EC286"/>
      <c r="EH286"/>
      <c r="EM286"/>
    </row>
    <row r="287" spans="128:143">
      <c r="DX287"/>
      <c r="EC287"/>
      <c r="EH287"/>
      <c r="EM287"/>
    </row>
    <row r="288" spans="128:143">
      <c r="DX288"/>
      <c r="EC288"/>
      <c r="EH288"/>
      <c r="EM288"/>
    </row>
    <row r="289" spans="128:143">
      <c r="DX289"/>
      <c r="EC289"/>
      <c r="EH289"/>
      <c r="EM289"/>
    </row>
    <row r="290" spans="128:143">
      <c r="DX290"/>
      <c r="EC290"/>
      <c r="EH290"/>
      <c r="EM290"/>
    </row>
    <row r="291" spans="128:143">
      <c r="DX291"/>
      <c r="EC291"/>
      <c r="EH291"/>
      <c r="EM291"/>
    </row>
    <row r="292" spans="128:143">
      <c r="DX292"/>
      <c r="EC292"/>
      <c r="EH292"/>
      <c r="EM292"/>
    </row>
    <row r="293" spans="128:143">
      <c r="DX293"/>
      <c r="EC293"/>
      <c r="EH293"/>
      <c r="EM293"/>
    </row>
    <row r="294" spans="128:143">
      <c r="DX294"/>
      <c r="EC294"/>
      <c r="EH294"/>
      <c r="EM294"/>
    </row>
    <row r="295" spans="128:143">
      <c r="DX295"/>
      <c r="EC295"/>
      <c r="EH295"/>
      <c r="EM295"/>
    </row>
    <row r="296" spans="128:143">
      <c r="DX296"/>
      <c r="EC296"/>
      <c r="EH296"/>
      <c r="EM296"/>
    </row>
    <row r="297" spans="128:143">
      <c r="DX297"/>
      <c r="EC297"/>
      <c r="EH297"/>
      <c r="EM297"/>
    </row>
    <row r="298" spans="128:143">
      <c r="DX298"/>
      <c r="EC298"/>
      <c r="EH298"/>
      <c r="EM298"/>
    </row>
    <row r="299" spans="128:143">
      <c r="DX299"/>
      <c r="EC299"/>
      <c r="EH299"/>
      <c r="EM299"/>
    </row>
    <row r="300" spans="128:143">
      <c r="DX300"/>
      <c r="EC300"/>
      <c r="EH300"/>
      <c r="EM300"/>
    </row>
    <row r="301" spans="128:143">
      <c r="DX301"/>
      <c r="EC301"/>
      <c r="EH301"/>
      <c r="EM301"/>
    </row>
    <row r="302" spans="128:143">
      <c r="DX302"/>
      <c r="EC302"/>
      <c r="EH302"/>
      <c r="EM302"/>
    </row>
    <row r="303" spans="128:143">
      <c r="DX303"/>
      <c r="EC303"/>
      <c r="EH303"/>
      <c r="EM303"/>
    </row>
    <row r="304" spans="128:143">
      <c r="DX304"/>
      <c r="EC304"/>
      <c r="EH304"/>
      <c r="EM304"/>
    </row>
    <row r="305" spans="128:143">
      <c r="DX305"/>
      <c r="EC305"/>
      <c r="EH305"/>
      <c r="EM305"/>
    </row>
    <row r="306" spans="128:143">
      <c r="DX306"/>
      <c r="EC306"/>
      <c r="EH306"/>
      <c r="EM306"/>
    </row>
    <row r="307" spans="128:143">
      <c r="DX307"/>
      <c r="EC307"/>
      <c r="EH307"/>
      <c r="EM307"/>
    </row>
    <row r="308" spans="128:143">
      <c r="DX308"/>
      <c r="EC308"/>
      <c r="EH308"/>
      <c r="EM308"/>
    </row>
    <row r="309" spans="128:143">
      <c r="DX309"/>
      <c r="EC309"/>
      <c r="EH309"/>
      <c r="EM309"/>
    </row>
    <row r="310" spans="128:143">
      <c r="DX310"/>
      <c r="EC310"/>
      <c r="EH310"/>
      <c r="EM310"/>
    </row>
    <row r="311" spans="128:143">
      <c r="DX311"/>
      <c r="EC311"/>
      <c r="EH311"/>
      <c r="EM311"/>
    </row>
    <row r="312" spans="128:143">
      <c r="DX312"/>
      <c r="EC312"/>
      <c r="EH312"/>
      <c r="EM312"/>
    </row>
    <row r="313" spans="128:143">
      <c r="DX313"/>
      <c r="EC313"/>
      <c r="EH313"/>
      <c r="EM313"/>
    </row>
    <row r="314" spans="128:143">
      <c r="DX314"/>
      <c r="EC314"/>
      <c r="EH314"/>
      <c r="EM314"/>
    </row>
    <row r="315" spans="128:143">
      <c r="DX315"/>
      <c r="EC315"/>
      <c r="EH315"/>
      <c r="EM315"/>
    </row>
    <row r="316" spans="128:143">
      <c r="DX316"/>
      <c r="EC316"/>
      <c r="EH316"/>
      <c r="EM316"/>
    </row>
    <row r="317" spans="128:143">
      <c r="DX317"/>
      <c r="EC317"/>
      <c r="EH317"/>
      <c r="EM317"/>
    </row>
    <row r="318" spans="128:143">
      <c r="DX318"/>
      <c r="EC318"/>
      <c r="EH318"/>
      <c r="EM318"/>
    </row>
    <row r="319" spans="128:143">
      <c r="DX319"/>
      <c r="EC319"/>
      <c r="EH319"/>
      <c r="EM319"/>
    </row>
    <row r="320" spans="128:143">
      <c r="DX320"/>
      <c r="EC320"/>
      <c r="EH320"/>
      <c r="EM320"/>
    </row>
    <row r="321" spans="128:143">
      <c r="DX321"/>
      <c r="EC321"/>
      <c r="EH321"/>
      <c r="EM321"/>
    </row>
    <row r="322" spans="128:143">
      <c r="DX322"/>
      <c r="EC322"/>
      <c r="EH322"/>
      <c r="EM322"/>
    </row>
    <row r="323" spans="128:143">
      <c r="DX323"/>
      <c r="EC323"/>
      <c r="EH323"/>
      <c r="EM323"/>
    </row>
    <row r="324" spans="128:143">
      <c r="DX324"/>
      <c r="EC324"/>
      <c r="EH324"/>
      <c r="EM324"/>
    </row>
    <row r="325" spans="128:143">
      <c r="DX325"/>
      <c r="EC325"/>
      <c r="EH325"/>
      <c r="EM325"/>
    </row>
    <row r="326" spans="128:143">
      <c r="DX326"/>
      <c r="EC326"/>
      <c r="EH326"/>
      <c r="EM326"/>
    </row>
    <row r="327" spans="128:143">
      <c r="DX327"/>
      <c r="EC327"/>
      <c r="EH327"/>
      <c r="EM327"/>
    </row>
    <row r="328" spans="128:143">
      <c r="DX328"/>
      <c r="EC328"/>
      <c r="EH328"/>
      <c r="EM328"/>
    </row>
    <row r="329" spans="128:143">
      <c r="DX329"/>
      <c r="EC329"/>
      <c r="EH329"/>
      <c r="EM329"/>
    </row>
    <row r="330" spans="128:143">
      <c r="DX330"/>
      <c r="EC330"/>
      <c r="EH330"/>
      <c r="EM330"/>
    </row>
    <row r="331" spans="128:143">
      <c r="DX331"/>
      <c r="EC331"/>
      <c r="EH331"/>
      <c r="EM331"/>
    </row>
    <row r="332" spans="128:143">
      <c r="DX332"/>
      <c r="EC332"/>
      <c r="EH332"/>
      <c r="EM332"/>
    </row>
    <row r="333" spans="128:143">
      <c r="DX333"/>
      <c r="EC333"/>
      <c r="EH333"/>
      <c r="EM333"/>
    </row>
    <row r="334" spans="128:143">
      <c r="DX334"/>
      <c r="EC334"/>
      <c r="EH334"/>
      <c r="EM334"/>
    </row>
    <row r="335" spans="128:143">
      <c r="DX335"/>
      <c r="EC335"/>
      <c r="EH335"/>
      <c r="EM335"/>
    </row>
    <row r="336" spans="128:143">
      <c r="DX336"/>
      <c r="EC336"/>
      <c r="EH336"/>
      <c r="EM336"/>
    </row>
    <row r="337" spans="128:143">
      <c r="DX337"/>
      <c r="EC337"/>
      <c r="EH337"/>
      <c r="EM337"/>
    </row>
    <row r="338" spans="128:143">
      <c r="DX338"/>
      <c r="EC338"/>
      <c r="EH338"/>
      <c r="EM338"/>
    </row>
    <row r="339" spans="128:143">
      <c r="DX339"/>
      <c r="EC339"/>
      <c r="EH339"/>
      <c r="EM339"/>
    </row>
    <row r="340" spans="128:143">
      <c r="DX340"/>
      <c r="EC340"/>
      <c r="EH340"/>
      <c r="EM340"/>
    </row>
    <row r="341" spans="128:143">
      <c r="DX341"/>
      <c r="EC341"/>
      <c r="EH341"/>
      <c r="EM341"/>
    </row>
    <row r="342" spans="128:143">
      <c r="DX342"/>
      <c r="EC342"/>
      <c r="EH342"/>
      <c r="EM342"/>
    </row>
    <row r="343" spans="128:143">
      <c r="DX343"/>
      <c r="EC343"/>
      <c r="EH343"/>
      <c r="EM343"/>
    </row>
    <row r="344" spans="128:143">
      <c r="DX344"/>
      <c r="EC344"/>
      <c r="EH344"/>
      <c r="EM344"/>
    </row>
    <row r="345" spans="128:143">
      <c r="DX345"/>
      <c r="EC345"/>
      <c r="EH345"/>
      <c r="EM345"/>
    </row>
    <row r="346" spans="128:143">
      <c r="DX346"/>
      <c r="EC346"/>
      <c r="EH346"/>
      <c r="EM346"/>
    </row>
    <row r="347" spans="128:143">
      <c r="DX347"/>
      <c r="EC347"/>
      <c r="EH347"/>
      <c r="EM347"/>
    </row>
    <row r="348" spans="128:143">
      <c r="DX348"/>
      <c r="EC348"/>
      <c r="EH348"/>
      <c r="EM348"/>
    </row>
    <row r="349" spans="128:143">
      <c r="DX349"/>
      <c r="EC349"/>
      <c r="EH349"/>
      <c r="EM349"/>
    </row>
    <row r="350" spans="128:143">
      <c r="DX350"/>
      <c r="EC350"/>
      <c r="EH350"/>
      <c r="EM350"/>
    </row>
    <row r="351" spans="128:143">
      <c r="DX351"/>
      <c r="EC351"/>
      <c r="EH351"/>
      <c r="EM351"/>
    </row>
    <row r="352" spans="128:143">
      <c r="DX352"/>
      <c r="EC352"/>
      <c r="EH352"/>
      <c r="EM352"/>
    </row>
    <row r="353" spans="128:143">
      <c r="DX353"/>
      <c r="EC353"/>
      <c r="EH353"/>
      <c r="EM353"/>
    </row>
    <row r="354" spans="128:143">
      <c r="DX354"/>
      <c r="EC354"/>
      <c r="EH354"/>
      <c r="EM354"/>
    </row>
    <row r="355" spans="128:143">
      <c r="DX355"/>
      <c r="EC355"/>
      <c r="EH355"/>
      <c r="EM355"/>
    </row>
    <row r="356" spans="128:143">
      <c r="DX356"/>
      <c r="EC356"/>
      <c r="EH356"/>
      <c r="EM356"/>
    </row>
    <row r="357" spans="128:143">
      <c r="DX357"/>
      <c r="EC357"/>
      <c r="EH357"/>
      <c r="EM357"/>
    </row>
    <row r="358" spans="128:143">
      <c r="DX358"/>
      <c r="EC358"/>
      <c r="EH358"/>
      <c r="EM358"/>
    </row>
    <row r="359" spans="128:143">
      <c r="DX359"/>
      <c r="EC359"/>
      <c r="EH359"/>
      <c r="EM359"/>
    </row>
    <row r="360" spans="128:143">
      <c r="DX360"/>
      <c r="EC360"/>
      <c r="EH360"/>
      <c r="EM360"/>
    </row>
    <row r="361" spans="128:143">
      <c r="DX361"/>
      <c r="EC361"/>
      <c r="EH361"/>
      <c r="EM361"/>
    </row>
    <row r="362" spans="128:143">
      <c r="DX362"/>
      <c r="EC362"/>
      <c r="EH362"/>
      <c r="EM362"/>
    </row>
    <row r="363" spans="128:143">
      <c r="DX363"/>
      <c r="EC363"/>
      <c r="EH363"/>
      <c r="EM363"/>
    </row>
    <row r="364" spans="128:143">
      <c r="DX364"/>
      <c r="EC364"/>
      <c r="EH364"/>
      <c r="EM364"/>
    </row>
    <row r="365" spans="128:143">
      <c r="DX365"/>
      <c r="EC365"/>
      <c r="EH365"/>
      <c r="EM365"/>
    </row>
    <row r="366" spans="128:143">
      <c r="DX366"/>
      <c r="EC366"/>
      <c r="EH366"/>
      <c r="EM366"/>
    </row>
    <row r="367" spans="128:143">
      <c r="DX367"/>
      <c r="EC367"/>
      <c r="EH367"/>
      <c r="EM367"/>
    </row>
    <row r="368" spans="128:143">
      <c r="DX368"/>
      <c r="EC368"/>
      <c r="EH368"/>
      <c r="EM368"/>
    </row>
    <row r="369" spans="128:143">
      <c r="DX369"/>
      <c r="EC369"/>
      <c r="EH369"/>
      <c r="EM369"/>
    </row>
    <row r="370" spans="128:143">
      <c r="DX370"/>
      <c r="EC370"/>
      <c r="EH370"/>
      <c r="EM370"/>
    </row>
    <row r="371" spans="128:143">
      <c r="DX371"/>
      <c r="EC371"/>
      <c r="EH371"/>
      <c r="EM371"/>
    </row>
    <row r="372" spans="128:143">
      <c r="DX372"/>
      <c r="EC372"/>
      <c r="EH372"/>
      <c r="EM372"/>
    </row>
    <row r="373" spans="128:143">
      <c r="DX373"/>
      <c r="EC373"/>
      <c r="EH373"/>
      <c r="EM373"/>
    </row>
    <row r="374" spans="128:143">
      <c r="DX374"/>
      <c r="EC374"/>
      <c r="EH374"/>
      <c r="EM374"/>
    </row>
    <row r="375" spans="128:143">
      <c r="DX375"/>
      <c r="EC375"/>
      <c r="EH375"/>
      <c r="EM375"/>
    </row>
    <row r="376" spans="128:143">
      <c r="DX376"/>
      <c r="EC376"/>
      <c r="EH376"/>
      <c r="EM376"/>
    </row>
    <row r="377" spans="128:143">
      <c r="DX377"/>
      <c r="EC377"/>
      <c r="EH377"/>
      <c r="EM377"/>
    </row>
    <row r="378" spans="128:143">
      <c r="DX378"/>
      <c r="EC378"/>
      <c r="EH378"/>
      <c r="EM378"/>
    </row>
    <row r="379" spans="128:143">
      <c r="DX379"/>
      <c r="EC379"/>
      <c r="EH379"/>
      <c r="EM379"/>
    </row>
    <row r="380" spans="128:143">
      <c r="DX380"/>
      <c r="EC380"/>
      <c r="EH380"/>
      <c r="EM380"/>
    </row>
    <row r="381" spans="128:143">
      <c r="DX381"/>
      <c r="EC381"/>
      <c r="EH381"/>
      <c r="EM381"/>
    </row>
    <row r="382" spans="128:143">
      <c r="DX382"/>
      <c r="EC382"/>
      <c r="EH382"/>
      <c r="EM382"/>
    </row>
    <row r="383" spans="128:143">
      <c r="DX383"/>
      <c r="EC383"/>
      <c r="EH383"/>
      <c r="EM383"/>
    </row>
    <row r="384" spans="128:143">
      <c r="DX384"/>
      <c r="EC384"/>
      <c r="EH384"/>
      <c r="EM384"/>
    </row>
    <row r="385" spans="128:143">
      <c r="DX385"/>
      <c r="EC385"/>
      <c r="EH385"/>
      <c r="EM385"/>
    </row>
    <row r="386" spans="128:143">
      <c r="DX386"/>
      <c r="EC386"/>
      <c r="EH386"/>
      <c r="EM386"/>
    </row>
    <row r="387" spans="128:143">
      <c r="DX387"/>
      <c r="EC387"/>
      <c r="EH387"/>
      <c r="EM387"/>
    </row>
    <row r="388" spans="128:143">
      <c r="DX388"/>
      <c r="EC388"/>
      <c r="EH388"/>
      <c r="EM388"/>
    </row>
    <row r="389" spans="128:143">
      <c r="DX389"/>
      <c r="EC389"/>
      <c r="EH389"/>
      <c r="EM389"/>
    </row>
    <row r="390" spans="128:143">
      <c r="DX390"/>
      <c r="EC390"/>
      <c r="EH390"/>
      <c r="EM390"/>
    </row>
    <row r="391" spans="128:143">
      <c r="DX391"/>
      <c r="EC391"/>
      <c r="EH391"/>
      <c r="EM391"/>
    </row>
    <row r="392" spans="128:143">
      <c r="DX392"/>
      <c r="EC392"/>
      <c r="EH392"/>
      <c r="EM392"/>
    </row>
    <row r="393" spans="128:143">
      <c r="DX393"/>
      <c r="EC393"/>
      <c r="EH393"/>
      <c r="EM393"/>
    </row>
    <row r="394" spans="128:143">
      <c r="DX394"/>
      <c r="EC394"/>
      <c r="EH394"/>
      <c r="EM394"/>
    </row>
    <row r="395" spans="128:143">
      <c r="DX395"/>
      <c r="EC395"/>
      <c r="EH395"/>
      <c r="EM395"/>
    </row>
    <row r="396" spans="128:143">
      <c r="DX396"/>
      <c r="EC396"/>
      <c r="EH396"/>
      <c r="EM396"/>
    </row>
    <row r="397" spans="128:143">
      <c r="DX397"/>
      <c r="EC397"/>
      <c r="EH397"/>
      <c r="EM397"/>
    </row>
    <row r="398" spans="128:143">
      <c r="DX398"/>
      <c r="EC398"/>
      <c r="EH398"/>
      <c r="EM398"/>
    </row>
    <row r="399" spans="128:143">
      <c r="DX399"/>
      <c r="EC399"/>
      <c r="EH399"/>
      <c r="EM399"/>
    </row>
    <row r="400" spans="128:143">
      <c r="DX400"/>
      <c r="EC400"/>
      <c r="EH400"/>
      <c r="EM400"/>
    </row>
    <row r="401" spans="128:143">
      <c r="DX401"/>
      <c r="EC401"/>
      <c r="EH401"/>
      <c r="EM401"/>
    </row>
    <row r="402" spans="128:143">
      <c r="DX402"/>
      <c r="EC402"/>
      <c r="EH402"/>
      <c r="EM402"/>
    </row>
    <row r="403" spans="128:143">
      <c r="DX403"/>
      <c r="EC403"/>
      <c r="EH403"/>
      <c r="EM403"/>
    </row>
    <row r="404" spans="128:143">
      <c r="DX404"/>
      <c r="EC404"/>
      <c r="EH404"/>
      <c r="EM404"/>
    </row>
    <row r="405" spans="128:143">
      <c r="DX405"/>
      <c r="EC405"/>
      <c r="EH405"/>
      <c r="EM405"/>
    </row>
    <row r="406" spans="128:143">
      <c r="DX406"/>
      <c r="EC406"/>
      <c r="EH406"/>
      <c r="EM406"/>
    </row>
    <row r="407" spans="128:143">
      <c r="DX407"/>
      <c r="EC407"/>
      <c r="EH407"/>
      <c r="EM407"/>
    </row>
    <row r="408" spans="128:143">
      <c r="DX408"/>
      <c r="EC408"/>
      <c r="EH408"/>
      <c r="EM408"/>
    </row>
    <row r="409" spans="128:143">
      <c r="DX409"/>
      <c r="EC409"/>
      <c r="EH409"/>
      <c r="EM409"/>
    </row>
    <row r="410" spans="128:143">
      <c r="DX410"/>
      <c r="EC410"/>
      <c r="EH410"/>
      <c r="EM410"/>
    </row>
    <row r="411" spans="128:143">
      <c r="DX411"/>
      <c r="EC411"/>
      <c r="EH411"/>
      <c r="EM411"/>
    </row>
    <row r="412" spans="128:143">
      <c r="DX412"/>
      <c r="EC412"/>
      <c r="EH412"/>
      <c r="EM412"/>
    </row>
    <row r="413" spans="128:143">
      <c r="DX413"/>
      <c r="EC413"/>
      <c r="EH413"/>
      <c r="EM413"/>
    </row>
    <row r="414" spans="128:143">
      <c r="DX414"/>
      <c r="EC414"/>
      <c r="EH414"/>
      <c r="EM414"/>
    </row>
    <row r="415" spans="128:143">
      <c r="DX415"/>
      <c r="EC415"/>
      <c r="EH415"/>
      <c r="EM415"/>
    </row>
    <row r="416" spans="128:143">
      <c r="DX416"/>
      <c r="EC416"/>
      <c r="EH416"/>
      <c r="EM416"/>
    </row>
    <row r="417" spans="128:143">
      <c r="DX417"/>
      <c r="EC417"/>
      <c r="EH417"/>
      <c r="EM417"/>
    </row>
    <row r="418" spans="128:143">
      <c r="DX418"/>
      <c r="EC418"/>
      <c r="EH418"/>
      <c r="EM418"/>
    </row>
    <row r="419" spans="128:143">
      <c r="DX419"/>
      <c r="EC419"/>
      <c r="EH419"/>
      <c r="EM419"/>
    </row>
    <row r="420" spans="128:143">
      <c r="DX420"/>
      <c r="EC420"/>
      <c r="EH420"/>
      <c r="EM420"/>
    </row>
    <row r="421" spans="128:143">
      <c r="DX421"/>
      <c r="EC421"/>
      <c r="EH421"/>
      <c r="EM421"/>
    </row>
    <row r="422" spans="128:143">
      <c r="DX422"/>
      <c r="EC422"/>
      <c r="EH422"/>
      <c r="EM422"/>
    </row>
    <row r="423" spans="128:143">
      <c r="DX423"/>
      <c r="EC423"/>
      <c r="EH423"/>
      <c r="EM423"/>
    </row>
    <row r="424" spans="128:143">
      <c r="DX424"/>
      <c r="EC424"/>
      <c r="EH424"/>
      <c r="EM424"/>
    </row>
    <row r="425" spans="128:143">
      <c r="DX425"/>
      <c r="EC425"/>
      <c r="EH425"/>
      <c r="EM425"/>
    </row>
    <row r="426" spans="128:143">
      <c r="DX426"/>
      <c r="EC426"/>
      <c r="EH426"/>
      <c r="EM426"/>
    </row>
    <row r="427" spans="128:143">
      <c r="DX427"/>
      <c r="EC427"/>
      <c r="EH427"/>
      <c r="EM427"/>
    </row>
    <row r="428" spans="128:143">
      <c r="DX428"/>
      <c r="EC428"/>
      <c r="EH428"/>
      <c r="EM428"/>
    </row>
    <row r="429" spans="128:143">
      <c r="DX429"/>
      <c r="EC429"/>
      <c r="EH429"/>
      <c r="EM429"/>
    </row>
    <row r="430" spans="128:143">
      <c r="DX430"/>
      <c r="EC430"/>
      <c r="EH430"/>
      <c r="EM430"/>
    </row>
    <row r="431" spans="128:143">
      <c r="DX431"/>
      <c r="EC431"/>
      <c r="EH431"/>
      <c r="EM431"/>
    </row>
    <row r="432" spans="128:143">
      <c r="DX432"/>
      <c r="EC432"/>
      <c r="EH432"/>
      <c r="EM432"/>
    </row>
    <row r="433" spans="128:143">
      <c r="DX433"/>
      <c r="EC433"/>
      <c r="EH433"/>
      <c r="EM433"/>
    </row>
    <row r="434" spans="128:143">
      <c r="DX434"/>
      <c r="EC434"/>
      <c r="EH434"/>
      <c r="EM434"/>
    </row>
    <row r="435" spans="128:143">
      <c r="DX435"/>
      <c r="EC435"/>
      <c r="EH435"/>
      <c r="EM435"/>
    </row>
    <row r="436" spans="128:143">
      <c r="DX436"/>
      <c r="EC436"/>
      <c r="EH436"/>
      <c r="EM436"/>
    </row>
    <row r="437" spans="128:143">
      <c r="DX437"/>
      <c r="EC437"/>
      <c r="EH437"/>
      <c r="EM437"/>
    </row>
    <row r="438" spans="128:143">
      <c r="DX438"/>
      <c r="EC438"/>
      <c r="EH438"/>
      <c r="EM438"/>
    </row>
    <row r="439" spans="128:143">
      <c r="DX439"/>
      <c r="EC439"/>
      <c r="EH439"/>
      <c r="EM439"/>
    </row>
    <row r="440" spans="128:143">
      <c r="DX440"/>
      <c r="EC440"/>
      <c r="EH440"/>
      <c r="EM440"/>
    </row>
    <row r="441" spans="128:143">
      <c r="DX441"/>
      <c r="EC441"/>
      <c r="EH441"/>
      <c r="EM441"/>
    </row>
    <row r="442" spans="128:143">
      <c r="DX442"/>
      <c r="EC442"/>
      <c r="EH442"/>
      <c r="EM442"/>
    </row>
    <row r="443" spans="128:143">
      <c r="DX443"/>
      <c r="EC443"/>
      <c r="EH443"/>
      <c r="EM443"/>
    </row>
    <row r="444" spans="128:143">
      <c r="DX444"/>
      <c r="EC444"/>
      <c r="EH444"/>
      <c r="EM444"/>
    </row>
    <row r="445" spans="128:143">
      <c r="DX445"/>
      <c r="EC445"/>
      <c r="EH445"/>
      <c r="EM445"/>
    </row>
    <row r="446" spans="128:143">
      <c r="DX446"/>
      <c r="EC446"/>
      <c r="EH446"/>
      <c r="EM446"/>
    </row>
    <row r="447" spans="128:143">
      <c r="DX447"/>
      <c r="EC447"/>
      <c r="EH447"/>
      <c r="EM447"/>
    </row>
    <row r="448" spans="128:143">
      <c r="DX448"/>
      <c r="EC448"/>
      <c r="EH448"/>
      <c r="EM448"/>
    </row>
    <row r="449" spans="128:143">
      <c r="DX449"/>
      <c r="EC449"/>
      <c r="EH449"/>
      <c r="EM449"/>
    </row>
    <row r="450" spans="128:143">
      <c r="DX450"/>
      <c r="EC450"/>
      <c r="EH450"/>
      <c r="EM450"/>
    </row>
    <row r="451" spans="128:143">
      <c r="DX451"/>
      <c r="EC451"/>
      <c r="EH451"/>
      <c r="EM451"/>
    </row>
    <row r="452" spans="128:143">
      <c r="DX452"/>
      <c r="EC452"/>
      <c r="EH452"/>
      <c r="EM452"/>
    </row>
    <row r="453" spans="128:143">
      <c r="DX453"/>
      <c r="EC453"/>
      <c r="EH453"/>
      <c r="EM453"/>
    </row>
    <row r="454" spans="128:143">
      <c r="DX454"/>
      <c r="EC454"/>
      <c r="EH454"/>
      <c r="EM454"/>
    </row>
    <row r="455" spans="128:143">
      <c r="DX455"/>
      <c r="EC455"/>
      <c r="EH455"/>
      <c r="EM455"/>
    </row>
    <row r="456" spans="128:143">
      <c r="DX456"/>
      <c r="EC456"/>
      <c r="EH456"/>
      <c r="EM456"/>
    </row>
    <row r="457" spans="128:143">
      <c r="DX457"/>
      <c r="EC457"/>
      <c r="EH457"/>
      <c r="EM457"/>
    </row>
    <row r="458" spans="128:143">
      <c r="DX458"/>
      <c r="EC458"/>
      <c r="EH458"/>
      <c r="EM458"/>
    </row>
    <row r="459" spans="128:143">
      <c r="DX459"/>
      <c r="EC459"/>
      <c r="EH459"/>
      <c r="EM459"/>
    </row>
    <row r="460" spans="128:143">
      <c r="DX460"/>
      <c r="EC460"/>
      <c r="EH460"/>
      <c r="EM460"/>
    </row>
    <row r="461" spans="128:143">
      <c r="DX461"/>
      <c r="EC461"/>
      <c r="EH461"/>
      <c r="EM461"/>
    </row>
    <row r="462" spans="128:143">
      <c r="DX462"/>
      <c r="EC462"/>
      <c r="EH462"/>
      <c r="EM462"/>
    </row>
    <row r="463" spans="128:143">
      <c r="DX463"/>
      <c r="EC463"/>
      <c r="EH463"/>
      <c r="EM463"/>
    </row>
    <row r="464" spans="128:143">
      <c r="DX464"/>
      <c r="EC464"/>
      <c r="EH464"/>
      <c r="EM464"/>
    </row>
    <row r="465" spans="128:143">
      <c r="DX465"/>
      <c r="EC465"/>
      <c r="EH465"/>
      <c r="EM465"/>
    </row>
    <row r="466" spans="128:143">
      <c r="DX466"/>
      <c r="EC466"/>
      <c r="EH466"/>
      <c r="EM466"/>
    </row>
    <row r="467" spans="128:143">
      <c r="DX467"/>
      <c r="EC467"/>
      <c r="EH467"/>
      <c r="EM467"/>
    </row>
    <row r="468" spans="128:143">
      <c r="DX468"/>
      <c r="EC468"/>
      <c r="EH468"/>
      <c r="EM468"/>
    </row>
    <row r="469" spans="128:143">
      <c r="DX469"/>
      <c r="EC469"/>
      <c r="EH469"/>
      <c r="EM469"/>
    </row>
    <row r="470" spans="128:143">
      <c r="DX470"/>
      <c r="EC470"/>
      <c r="EH470"/>
      <c r="EM470"/>
    </row>
    <row r="471" spans="128:143">
      <c r="DX471"/>
      <c r="EC471"/>
      <c r="EH471"/>
      <c r="EM471"/>
    </row>
    <row r="472" spans="128:143">
      <c r="DX472"/>
      <c r="EC472"/>
      <c r="EH472"/>
      <c r="EM472"/>
    </row>
    <row r="473" spans="128:143">
      <c r="DX473"/>
      <c r="EC473"/>
      <c r="EH473"/>
      <c r="EM473"/>
    </row>
    <row r="474" spans="128:143">
      <c r="DX474"/>
      <c r="EC474"/>
      <c r="EH474"/>
      <c r="EM474"/>
    </row>
    <row r="475" spans="128:143">
      <c r="DX475"/>
      <c r="EC475"/>
      <c r="EH475"/>
      <c r="EM475"/>
    </row>
    <row r="476" spans="128:143">
      <c r="DX476"/>
      <c r="EC476"/>
      <c r="EH476"/>
      <c r="EM476"/>
    </row>
    <row r="477" spans="128:143">
      <c r="DX477"/>
      <c r="EC477"/>
      <c r="EH477"/>
      <c r="EM477"/>
    </row>
    <row r="478" spans="128:143">
      <c r="DX478"/>
      <c r="EC478"/>
      <c r="EH478"/>
      <c r="EM478"/>
    </row>
    <row r="479" spans="128:143">
      <c r="DX479"/>
      <c r="EC479"/>
      <c r="EH479"/>
      <c r="EM479"/>
    </row>
    <row r="480" spans="128:143">
      <c r="DX480"/>
      <c r="EC480"/>
      <c r="EH480"/>
      <c r="EM480"/>
    </row>
    <row r="481" spans="128:143">
      <c r="DX481"/>
      <c r="EC481"/>
      <c r="EH481"/>
      <c r="EM481"/>
    </row>
    <row r="482" spans="128:143">
      <c r="DX482"/>
      <c r="EC482"/>
      <c r="EH482"/>
      <c r="EM482"/>
    </row>
    <row r="483" spans="128:143">
      <c r="DX483"/>
      <c r="EC483"/>
      <c r="EH483"/>
      <c r="EM483"/>
    </row>
    <row r="484" spans="128:143">
      <c r="DX484"/>
      <c r="EC484"/>
      <c r="EH484"/>
      <c r="EM484"/>
    </row>
    <row r="485" spans="128:143">
      <c r="DX485"/>
      <c r="EC485"/>
      <c r="EH485"/>
      <c r="EM485"/>
    </row>
    <row r="486" spans="128:143">
      <c r="DX486"/>
      <c r="EC486"/>
      <c r="EH486"/>
      <c r="EM486"/>
    </row>
    <row r="487" spans="128:143">
      <c r="DX487"/>
      <c r="EC487"/>
      <c r="EH487"/>
      <c r="EM487"/>
    </row>
    <row r="488" spans="128:143">
      <c r="DX488"/>
      <c r="EC488"/>
      <c r="EH488"/>
      <c r="EM488"/>
    </row>
    <row r="489" spans="128:143">
      <c r="DX489"/>
      <c r="EC489"/>
      <c r="EH489"/>
      <c r="EM489"/>
    </row>
    <row r="490" spans="128:143">
      <c r="DX490"/>
      <c r="EC490"/>
      <c r="EH490"/>
      <c r="EM490"/>
    </row>
    <row r="491" spans="128:143">
      <c r="DX491"/>
      <c r="EC491"/>
      <c r="EH491"/>
      <c r="EM491"/>
    </row>
    <row r="492" spans="128:143">
      <c r="DX492"/>
      <c r="EC492"/>
      <c r="EH492"/>
      <c r="EM492"/>
    </row>
    <row r="493" spans="128:143">
      <c r="DX493"/>
      <c r="EC493"/>
      <c r="EH493"/>
      <c r="EM493"/>
    </row>
    <row r="494" spans="128:143">
      <c r="DX494"/>
      <c r="EC494"/>
      <c r="EH494"/>
      <c r="EM494"/>
    </row>
    <row r="495" spans="128:143">
      <c r="DX495"/>
      <c r="EC495"/>
      <c r="EH495"/>
      <c r="EM495"/>
    </row>
    <row r="496" spans="128:143">
      <c r="DX496"/>
      <c r="EC496"/>
      <c r="EH496"/>
      <c r="EM496"/>
    </row>
    <row r="497" spans="128:143">
      <c r="DX497"/>
      <c r="EC497"/>
      <c r="EH497"/>
      <c r="EM497"/>
    </row>
    <row r="498" spans="128:143">
      <c r="DX498"/>
      <c r="EC498"/>
      <c r="EH498"/>
      <c r="EM498"/>
    </row>
    <row r="499" spans="128:143">
      <c r="DX499"/>
      <c r="EC499"/>
      <c r="EH499"/>
      <c r="EM499"/>
    </row>
    <row r="500" spans="128:143">
      <c r="DX500"/>
      <c r="EC500"/>
      <c r="EH500"/>
      <c r="EM500"/>
    </row>
    <row r="501" spans="128:143">
      <c r="DX501"/>
      <c r="EC501"/>
      <c r="EH501"/>
      <c r="EM501"/>
    </row>
    <row r="502" spans="128:143">
      <c r="DX502"/>
      <c r="EC502"/>
      <c r="EH502"/>
      <c r="EM502"/>
    </row>
    <row r="503" spans="128:143">
      <c r="DX503"/>
      <c r="EC503"/>
      <c r="EH503"/>
      <c r="EM503"/>
    </row>
    <row r="504" spans="128:143">
      <c r="DX504"/>
      <c r="EC504"/>
      <c r="EH504"/>
      <c r="EM504"/>
    </row>
    <row r="505" spans="128:143">
      <c r="DX505"/>
      <c r="EC505"/>
      <c r="EH505"/>
      <c r="EM505"/>
    </row>
    <row r="506" spans="128:143">
      <c r="DX506"/>
      <c r="EC506"/>
      <c r="EH506"/>
      <c r="EM506"/>
    </row>
    <row r="507" spans="128:143">
      <c r="DX507"/>
      <c r="EC507"/>
      <c r="EH507"/>
      <c r="EM507"/>
    </row>
    <row r="508" spans="128:143">
      <c r="DX508"/>
      <c r="EC508"/>
      <c r="EH508"/>
      <c r="EM508"/>
    </row>
    <row r="509" spans="128:143">
      <c r="DX509"/>
      <c r="EC509"/>
      <c r="EH509"/>
      <c r="EM509"/>
    </row>
    <row r="510" spans="128:143">
      <c r="DX510"/>
      <c r="EC510"/>
      <c r="EH510"/>
      <c r="EM510"/>
    </row>
    <row r="511" spans="128:143">
      <c r="DX511"/>
      <c r="EC511"/>
      <c r="EH511"/>
      <c r="EM511"/>
    </row>
    <row r="512" spans="128:143">
      <c r="DX512"/>
      <c r="EC512"/>
      <c r="EH512"/>
      <c r="EM512"/>
    </row>
    <row r="513" spans="128:143">
      <c r="DX513"/>
      <c r="EC513"/>
      <c r="EH513"/>
      <c r="EM513"/>
    </row>
    <row r="514" spans="128:143">
      <c r="DX514"/>
      <c r="EC514"/>
      <c r="EH514"/>
      <c r="EM514"/>
    </row>
    <row r="515" spans="128:143">
      <c r="DX515"/>
      <c r="EC515"/>
      <c r="EH515"/>
      <c r="EM515"/>
    </row>
    <row r="516" spans="128:143">
      <c r="DX516"/>
      <c r="EC516"/>
      <c r="EH516"/>
      <c r="EM516"/>
    </row>
    <row r="517" spans="128:143">
      <c r="DX517"/>
      <c r="EC517"/>
      <c r="EH517"/>
      <c r="EM517"/>
    </row>
    <row r="518" spans="128:143">
      <c r="DX518"/>
      <c r="EC518"/>
      <c r="EH518"/>
      <c r="EM518"/>
    </row>
    <row r="519" spans="128:143">
      <c r="DX519"/>
      <c r="EC519"/>
      <c r="EH519"/>
      <c r="EM519"/>
    </row>
    <row r="520" spans="128:143">
      <c r="DX520"/>
      <c r="EC520"/>
      <c r="EH520"/>
      <c r="EM520"/>
    </row>
    <row r="521" spans="128:143">
      <c r="DX521"/>
      <c r="EC521"/>
      <c r="EH521"/>
      <c r="EM521"/>
    </row>
    <row r="522" spans="128:143">
      <c r="DX522"/>
      <c r="EC522"/>
      <c r="EH522"/>
      <c r="EM522"/>
    </row>
    <row r="523" spans="128:143">
      <c r="DX523"/>
      <c r="EC523"/>
      <c r="EH523"/>
      <c r="EM523"/>
    </row>
    <row r="524" spans="128:143">
      <c r="DX524"/>
      <c r="EC524"/>
      <c r="EH524"/>
      <c r="EM524"/>
    </row>
    <row r="525" spans="128:143">
      <c r="DX525"/>
      <c r="EC525"/>
      <c r="EH525"/>
      <c r="EM525"/>
    </row>
    <row r="526" spans="128:143">
      <c r="DX526"/>
      <c r="EC526"/>
      <c r="EH526"/>
      <c r="EM526"/>
    </row>
    <row r="527" spans="128:143">
      <c r="DX527"/>
      <c r="EC527"/>
      <c r="EH527"/>
      <c r="EM527"/>
    </row>
    <row r="528" spans="128:143">
      <c r="DX528"/>
      <c r="EC528"/>
      <c r="EH528"/>
      <c r="EM528"/>
    </row>
    <row r="529" spans="128:143">
      <c r="DX529"/>
      <c r="EC529"/>
      <c r="EH529"/>
      <c r="EM529"/>
    </row>
    <row r="530" spans="128:143">
      <c r="DX530"/>
      <c r="EC530"/>
      <c r="EH530"/>
      <c r="EM530"/>
    </row>
    <row r="531" spans="128:143">
      <c r="DX531"/>
      <c r="EC531"/>
      <c r="EH531"/>
      <c r="EM531"/>
    </row>
    <row r="532" spans="128:143">
      <c r="DX532"/>
      <c r="EC532"/>
      <c r="EH532"/>
      <c r="EM532"/>
    </row>
    <row r="533" spans="128:143">
      <c r="DX533"/>
      <c r="EC533"/>
      <c r="EH533"/>
      <c r="EM533"/>
    </row>
    <row r="534" spans="128:143">
      <c r="DX534"/>
      <c r="EC534"/>
      <c r="EH534"/>
      <c r="EM534"/>
    </row>
    <row r="535" spans="128:143">
      <c r="DX535"/>
      <c r="EC535"/>
      <c r="EH535"/>
      <c r="EM535"/>
    </row>
    <row r="536" spans="128:143">
      <c r="DX536"/>
      <c r="EC536"/>
      <c r="EH536"/>
      <c r="EM536"/>
    </row>
    <row r="537" spans="128:143">
      <c r="DX537"/>
      <c r="EC537"/>
      <c r="EH537"/>
      <c r="EM537"/>
    </row>
    <row r="538" spans="128:143">
      <c r="DX538"/>
      <c r="EC538"/>
      <c r="EH538"/>
      <c r="EM538"/>
    </row>
    <row r="539" spans="128:143">
      <c r="DX539"/>
      <c r="EC539"/>
      <c r="EH539"/>
      <c r="EM539"/>
    </row>
    <row r="540" spans="128:143">
      <c r="DX540"/>
      <c r="EC540"/>
      <c r="EH540"/>
      <c r="EM540"/>
    </row>
    <row r="541" spans="128:143">
      <c r="DX541"/>
      <c r="EC541"/>
      <c r="EH541"/>
      <c r="EM541"/>
    </row>
    <row r="542" spans="128:143">
      <c r="DX542"/>
      <c r="EC542"/>
      <c r="EH542"/>
      <c r="EM542"/>
    </row>
    <row r="543" spans="128:143">
      <c r="DX543"/>
      <c r="EC543"/>
      <c r="EH543"/>
      <c r="EM543"/>
    </row>
    <row r="544" spans="128:143">
      <c r="DX544"/>
      <c r="EC544"/>
      <c r="EH544"/>
      <c r="EM544"/>
    </row>
    <row r="545" spans="128:143">
      <c r="DX545"/>
      <c r="EC545"/>
      <c r="EH545"/>
      <c r="EM545"/>
    </row>
    <row r="546" spans="128:143">
      <c r="DX546"/>
      <c r="EC546"/>
      <c r="EH546"/>
      <c r="EM546"/>
    </row>
    <row r="547" spans="128:143">
      <c r="DX547"/>
      <c r="EC547"/>
      <c r="EH547"/>
      <c r="EM547"/>
    </row>
    <row r="548" spans="128:143">
      <c r="DX548"/>
      <c r="EC548"/>
      <c r="EH548"/>
      <c r="EM548"/>
    </row>
    <row r="549" spans="128:143">
      <c r="DX549"/>
      <c r="EC549"/>
      <c r="EH549"/>
      <c r="EM549"/>
    </row>
    <row r="550" spans="128:143">
      <c r="DX550"/>
      <c r="EC550"/>
      <c r="EH550"/>
      <c r="EM550"/>
    </row>
    <row r="551" spans="128:143">
      <c r="DX551"/>
      <c r="EC551"/>
      <c r="EH551"/>
      <c r="EM551"/>
    </row>
    <row r="552" spans="128:143">
      <c r="DX552"/>
      <c r="EC552"/>
      <c r="EH552"/>
      <c r="EM552"/>
    </row>
    <row r="553" spans="128:143">
      <c r="DX553"/>
      <c r="EC553"/>
      <c r="EH553"/>
      <c r="EM553"/>
    </row>
    <row r="554" spans="128:143">
      <c r="DX554"/>
      <c r="EC554"/>
      <c r="EH554"/>
      <c r="EM554"/>
    </row>
    <row r="555" spans="128:143">
      <c r="DX555"/>
      <c r="EC555"/>
      <c r="EH555"/>
      <c r="EM555"/>
    </row>
    <row r="556" spans="128:143">
      <c r="DX556"/>
      <c r="EC556"/>
      <c r="EH556"/>
      <c r="EM556"/>
    </row>
    <row r="557" spans="128:143">
      <c r="DX557"/>
      <c r="EC557"/>
      <c r="EH557"/>
      <c r="EM557"/>
    </row>
    <row r="558" spans="128:143">
      <c r="DX558"/>
      <c r="EC558"/>
      <c r="EH558"/>
      <c r="EM558"/>
    </row>
    <row r="559" spans="128:143">
      <c r="DX559"/>
      <c r="EC559"/>
      <c r="EH559"/>
      <c r="EM559"/>
    </row>
    <row r="560" spans="128:143">
      <c r="DX560"/>
      <c r="EC560"/>
      <c r="EH560"/>
      <c r="EM560"/>
    </row>
    <row r="561" spans="128:143">
      <c r="DX561"/>
      <c r="EC561"/>
      <c r="EH561"/>
      <c r="EM561"/>
    </row>
    <row r="562" spans="128:143">
      <c r="DX562"/>
      <c r="EC562"/>
      <c r="EH562"/>
      <c r="EM562"/>
    </row>
    <row r="563" spans="128:143">
      <c r="DX563"/>
      <c r="EC563"/>
      <c r="EH563"/>
      <c r="EM563"/>
    </row>
    <row r="564" spans="128:143">
      <c r="DX564"/>
      <c r="EC564"/>
      <c r="EH564"/>
      <c r="EM564"/>
    </row>
    <row r="565" spans="128:143">
      <c r="DX565"/>
      <c r="EC565"/>
      <c r="EH565"/>
      <c r="EM565"/>
    </row>
    <row r="566" spans="128:143">
      <c r="DX566"/>
      <c r="EC566"/>
      <c r="EH566"/>
      <c r="EM566"/>
    </row>
    <row r="567" spans="128:143">
      <c r="DX567"/>
      <c r="EC567"/>
      <c r="EH567"/>
      <c r="EM567"/>
    </row>
    <row r="568" spans="128:143">
      <c r="DX568"/>
      <c r="EC568"/>
      <c r="EH568"/>
      <c r="EM568"/>
    </row>
    <row r="569" spans="128:143">
      <c r="DX569"/>
      <c r="EC569"/>
      <c r="EH569"/>
      <c r="EM569"/>
    </row>
    <row r="570" spans="128:143">
      <c r="DX570"/>
      <c r="EC570"/>
      <c r="EH570"/>
      <c r="EM570"/>
    </row>
    <row r="571" spans="128:143">
      <c r="DX571"/>
      <c r="EC571"/>
      <c r="EH571"/>
      <c r="EM571"/>
    </row>
    <row r="572" spans="128:143">
      <c r="DX572"/>
      <c r="EC572"/>
      <c r="EH572"/>
      <c r="EM572"/>
    </row>
    <row r="573" spans="128:143">
      <c r="DX573"/>
      <c r="EC573"/>
      <c r="EH573"/>
      <c r="EM573"/>
    </row>
    <row r="574" spans="128:143">
      <c r="DX574"/>
      <c r="EC574"/>
      <c r="EH574"/>
      <c r="EM574"/>
    </row>
    <row r="575" spans="128:143">
      <c r="DX575"/>
      <c r="EC575"/>
      <c r="EH575"/>
      <c r="EM575"/>
    </row>
    <row r="576" spans="128:143">
      <c r="DX576"/>
      <c r="EC576"/>
      <c r="EH576"/>
      <c r="EM576"/>
    </row>
    <row r="577" spans="128:143">
      <c r="DX577"/>
      <c r="EC577"/>
      <c r="EH577"/>
      <c r="EM577"/>
    </row>
    <row r="578" spans="128:143">
      <c r="DX578"/>
      <c r="EC578"/>
      <c r="EH578"/>
      <c r="EM578"/>
    </row>
    <row r="579" spans="128:143">
      <c r="DX579"/>
      <c r="EC579"/>
      <c r="EH579"/>
      <c r="EM579"/>
    </row>
    <row r="580" spans="128:143">
      <c r="DX580"/>
      <c r="EC580"/>
      <c r="EH580"/>
      <c r="EM580"/>
    </row>
    <row r="581" spans="128:143">
      <c r="DX581"/>
      <c r="EC581"/>
      <c r="EH581"/>
      <c r="EM581"/>
    </row>
    <row r="582" spans="128:143">
      <c r="DX582"/>
      <c r="EC582"/>
      <c r="EH582"/>
      <c r="EM582"/>
    </row>
    <row r="583" spans="128:143">
      <c r="DX583"/>
      <c r="EC583"/>
      <c r="EH583"/>
      <c r="EM583"/>
    </row>
    <row r="584" spans="128:143">
      <c r="DX584"/>
      <c r="EC584"/>
      <c r="EH584"/>
      <c r="EM584"/>
    </row>
    <row r="585" spans="128:143">
      <c r="DX585"/>
      <c r="EC585"/>
      <c r="EH585"/>
      <c r="EM585"/>
    </row>
    <row r="586" spans="128:143">
      <c r="DX586"/>
      <c r="EC586"/>
      <c r="EH586"/>
      <c r="EM586"/>
    </row>
    <row r="587" spans="128:143">
      <c r="DX587"/>
      <c r="EC587"/>
      <c r="EH587"/>
      <c r="EM587"/>
    </row>
    <row r="588" spans="128:143">
      <c r="DX588"/>
      <c r="EC588"/>
      <c r="EH588"/>
      <c r="EM588"/>
    </row>
    <row r="589" spans="128:143">
      <c r="DX589"/>
      <c r="EC589"/>
      <c r="EH589"/>
      <c r="EM589"/>
    </row>
    <row r="590" spans="128:143">
      <c r="DX590"/>
      <c r="EC590"/>
      <c r="EH590"/>
      <c r="EM590"/>
    </row>
    <row r="591" spans="128:143">
      <c r="DX591"/>
      <c r="EC591"/>
      <c r="EH591"/>
      <c r="EM591"/>
    </row>
    <row r="592" spans="128:143">
      <c r="DX592"/>
      <c r="EC592"/>
      <c r="EH592"/>
      <c r="EM592"/>
    </row>
    <row r="593" spans="128:143">
      <c r="DX593"/>
      <c r="EC593"/>
      <c r="EH593"/>
      <c r="EM593"/>
    </row>
    <row r="594" spans="128:143">
      <c r="DX594"/>
      <c r="EC594"/>
      <c r="EH594"/>
      <c r="EM594"/>
    </row>
    <row r="595" spans="128:143">
      <c r="DX595"/>
      <c r="EC595"/>
      <c r="EH595"/>
      <c r="EM595"/>
    </row>
    <row r="596" spans="128:143">
      <c r="DX596"/>
      <c r="EC596"/>
      <c r="EH596"/>
      <c r="EM596"/>
    </row>
    <row r="597" spans="128:143">
      <c r="DX597"/>
      <c r="EC597"/>
      <c r="EH597"/>
      <c r="EM597"/>
    </row>
    <row r="598" spans="128:143">
      <c r="DX598"/>
      <c r="EC598"/>
      <c r="EH598"/>
      <c r="EM598"/>
    </row>
    <row r="599" spans="128:143">
      <c r="DX599"/>
      <c r="EC599"/>
      <c r="EH599"/>
      <c r="EM599"/>
    </row>
    <row r="600" spans="128:143">
      <c r="DX600"/>
      <c r="EC600"/>
      <c r="EH600"/>
      <c r="EM600"/>
    </row>
    <row r="601" spans="128:143">
      <c r="DX601"/>
      <c r="EC601"/>
      <c r="EH601"/>
      <c r="EM601"/>
    </row>
    <row r="602" spans="128:143">
      <c r="DX602"/>
      <c r="EC602"/>
      <c r="EH602"/>
      <c r="EM602"/>
    </row>
    <row r="603" spans="128:143">
      <c r="DX603"/>
      <c r="EC603"/>
      <c r="EH603"/>
      <c r="EM603"/>
    </row>
    <row r="604" spans="128:143">
      <c r="DX604"/>
      <c r="EC604"/>
      <c r="EH604"/>
      <c r="EM604"/>
    </row>
    <row r="605" spans="128:143">
      <c r="DX605"/>
      <c r="EC605"/>
      <c r="EH605"/>
      <c r="EM605"/>
    </row>
    <row r="606" spans="128:143">
      <c r="DX606"/>
      <c r="EC606"/>
      <c r="EH606"/>
      <c r="EM606"/>
    </row>
    <row r="607" spans="128:143">
      <c r="DX607"/>
      <c r="EC607"/>
      <c r="EH607"/>
      <c r="EM607"/>
    </row>
    <row r="608" spans="128:143">
      <c r="DX608"/>
      <c r="EC608"/>
      <c r="EH608"/>
      <c r="EM608"/>
    </row>
    <row r="609" spans="128:143">
      <c r="DX609"/>
      <c r="EC609"/>
      <c r="EH609"/>
      <c r="EM609"/>
    </row>
    <row r="610" spans="128:143">
      <c r="DX610"/>
      <c r="EC610"/>
      <c r="EH610"/>
      <c r="EM610"/>
    </row>
    <row r="611" spans="128:143">
      <c r="DX611"/>
      <c r="EC611"/>
      <c r="EH611"/>
      <c r="EM611"/>
    </row>
    <row r="612" spans="128:143">
      <c r="DX612"/>
      <c r="EC612"/>
      <c r="EH612"/>
      <c r="EM612"/>
    </row>
    <row r="613" spans="128:143">
      <c r="DX613"/>
      <c r="EC613"/>
      <c r="EH613"/>
      <c r="EM613"/>
    </row>
    <row r="614" spans="128:143">
      <c r="DX614"/>
      <c r="EC614"/>
      <c r="EH614"/>
      <c r="EM614"/>
    </row>
    <row r="615" spans="128:143">
      <c r="DX615"/>
      <c r="EC615"/>
      <c r="EH615"/>
      <c r="EM615"/>
    </row>
    <row r="616" spans="128:143">
      <c r="DX616"/>
      <c r="EC616"/>
      <c r="EH616"/>
      <c r="EM616"/>
    </row>
    <row r="617" spans="128:143">
      <c r="DX617"/>
      <c r="EC617"/>
      <c r="EH617"/>
      <c r="EM617"/>
    </row>
    <row r="618" spans="128:143">
      <c r="DX618"/>
      <c r="EC618"/>
      <c r="EH618"/>
      <c r="EM618"/>
    </row>
    <row r="619" spans="128:143">
      <c r="DX619"/>
      <c r="EC619"/>
      <c r="EH619"/>
      <c r="EM619"/>
    </row>
    <row r="620" spans="128:143">
      <c r="DX620"/>
      <c r="EC620"/>
      <c r="EH620"/>
      <c r="EM620"/>
    </row>
    <row r="621" spans="128:143">
      <c r="DX621"/>
      <c r="EC621"/>
      <c r="EH621"/>
      <c r="EM621"/>
    </row>
    <row r="622" spans="128:143">
      <c r="DX622"/>
      <c r="EC622"/>
      <c r="EH622"/>
      <c r="EM622"/>
    </row>
    <row r="623" spans="128:143">
      <c r="DX623"/>
      <c r="EC623"/>
      <c r="EH623"/>
      <c r="EM623"/>
    </row>
    <row r="624" spans="128:143">
      <c r="DX624"/>
      <c r="EC624"/>
      <c r="EH624"/>
      <c r="EM624"/>
    </row>
    <row r="625" spans="128:143">
      <c r="DX625"/>
      <c r="EC625"/>
      <c r="EH625"/>
      <c r="EM625"/>
    </row>
    <row r="626" spans="128:143">
      <c r="DX626"/>
      <c r="EC626"/>
      <c r="EH626"/>
      <c r="EM626"/>
    </row>
    <row r="627" spans="128:143">
      <c r="DX627"/>
      <c r="EC627"/>
      <c r="EH627"/>
      <c r="EM627"/>
    </row>
    <row r="628" spans="128:143">
      <c r="DX628"/>
      <c r="EC628"/>
      <c r="EH628"/>
      <c r="EM628"/>
    </row>
    <row r="629" spans="128:143">
      <c r="DX629"/>
      <c r="EC629"/>
      <c r="EH629"/>
      <c r="EM629"/>
    </row>
    <row r="630" spans="128:143">
      <c r="DX630"/>
      <c r="EC630"/>
      <c r="EH630"/>
      <c r="EM630"/>
    </row>
    <row r="631" spans="128:143">
      <c r="DX631"/>
      <c r="EC631"/>
      <c r="EH631"/>
      <c r="EM631"/>
    </row>
    <row r="632" spans="128:143">
      <c r="DX632"/>
      <c r="EC632"/>
      <c r="EH632"/>
      <c r="EM632"/>
    </row>
    <row r="633" spans="128:143">
      <c r="DX633"/>
      <c r="EC633"/>
      <c r="EH633"/>
      <c r="EM633"/>
    </row>
    <row r="634" spans="128:143">
      <c r="DX634"/>
      <c r="EC634"/>
      <c r="EH634"/>
      <c r="EM634"/>
    </row>
    <row r="635" spans="128:143">
      <c r="DX635"/>
      <c r="EC635"/>
      <c r="EH635"/>
      <c r="EM635"/>
    </row>
    <row r="636" spans="128:143">
      <c r="DX636"/>
      <c r="EC636"/>
      <c r="EH636"/>
      <c r="EM636"/>
    </row>
    <row r="637" spans="128:143">
      <c r="DX637"/>
      <c r="EC637"/>
      <c r="EH637"/>
      <c r="EM637"/>
    </row>
    <row r="638" spans="128:143">
      <c r="DX638"/>
      <c r="EC638"/>
      <c r="EH638"/>
      <c r="EM638"/>
    </row>
    <row r="639" spans="128:143">
      <c r="DX639"/>
      <c r="EC639"/>
      <c r="EH639"/>
      <c r="EM639"/>
    </row>
    <row r="640" spans="128:143">
      <c r="DX640"/>
      <c r="EC640"/>
      <c r="EH640"/>
      <c r="EM640"/>
    </row>
    <row r="641" spans="128:143">
      <c r="DX641"/>
      <c r="EC641"/>
      <c r="EH641"/>
      <c r="EM641"/>
    </row>
    <row r="642" spans="128:143">
      <c r="DX642"/>
      <c r="EC642"/>
      <c r="EH642"/>
      <c r="EM642"/>
    </row>
    <row r="643" spans="128:143">
      <c r="DX643"/>
      <c r="EC643"/>
      <c r="EH643"/>
      <c r="EM643"/>
    </row>
    <row r="644" spans="128:143">
      <c r="DX644"/>
      <c r="EC644"/>
      <c r="EH644"/>
      <c r="EM644"/>
    </row>
    <row r="645" spans="128:143">
      <c r="DX645"/>
      <c r="EC645"/>
      <c r="EH645"/>
      <c r="EM645"/>
    </row>
    <row r="646" spans="128:143">
      <c r="DX646"/>
      <c r="EC646"/>
      <c r="EH646"/>
      <c r="EM646"/>
    </row>
    <row r="647" spans="128:143">
      <c r="DX647"/>
      <c r="EC647"/>
      <c r="EH647"/>
      <c r="EM647"/>
    </row>
    <row r="648" spans="128:143">
      <c r="DX648"/>
      <c r="EC648"/>
      <c r="EH648"/>
      <c r="EM648"/>
    </row>
    <row r="649" spans="128:143">
      <c r="DX649"/>
      <c r="EC649"/>
      <c r="EH649"/>
      <c r="EM649"/>
    </row>
    <row r="650" spans="128:143">
      <c r="DX650"/>
      <c r="EC650"/>
      <c r="EH650"/>
      <c r="EM650"/>
    </row>
    <row r="651" spans="128:143">
      <c r="DX651"/>
      <c r="EC651"/>
      <c r="EH651"/>
      <c r="EM651"/>
    </row>
    <row r="652" spans="128:143">
      <c r="DX652"/>
      <c r="EC652"/>
      <c r="EH652"/>
      <c r="EM652"/>
    </row>
    <row r="653" spans="128:143">
      <c r="DX653"/>
      <c r="EC653"/>
      <c r="EH653"/>
      <c r="EM653"/>
    </row>
    <row r="654" spans="128:143">
      <c r="DX654"/>
      <c r="EC654"/>
      <c r="EH654"/>
      <c r="EM654"/>
    </row>
    <row r="655" spans="128:143">
      <c r="DX655"/>
      <c r="EC655"/>
      <c r="EH655"/>
      <c r="EM655"/>
    </row>
    <row r="656" spans="128:143">
      <c r="DX656"/>
      <c r="EC656"/>
      <c r="EH656"/>
      <c r="EM656"/>
    </row>
    <row r="657" spans="128:143">
      <c r="DX657"/>
      <c r="EC657"/>
      <c r="EH657"/>
      <c r="EM657"/>
    </row>
    <row r="658" spans="128:143">
      <c r="DX658"/>
      <c r="EC658"/>
      <c r="EH658"/>
      <c r="EM658"/>
    </row>
    <row r="659" spans="128:143">
      <c r="DX659"/>
      <c r="EC659"/>
      <c r="EH659"/>
      <c r="EM659"/>
    </row>
    <row r="660" spans="128:143">
      <c r="DX660"/>
      <c r="EC660"/>
      <c r="EH660"/>
      <c r="EM660"/>
    </row>
    <row r="661" spans="128:143">
      <c r="DX661"/>
      <c r="EC661"/>
      <c r="EH661"/>
      <c r="EM661"/>
    </row>
    <row r="662" spans="128:143">
      <c r="DX662"/>
      <c r="EC662"/>
      <c r="EH662"/>
      <c r="EM662"/>
    </row>
    <row r="663" spans="128:143">
      <c r="DX663"/>
      <c r="EC663"/>
      <c r="EH663"/>
      <c r="EM663"/>
    </row>
    <row r="664" spans="128:143">
      <c r="DX664"/>
      <c r="EC664"/>
      <c r="EH664"/>
      <c r="EM664"/>
    </row>
    <row r="665" spans="128:143">
      <c r="DX665"/>
      <c r="EC665"/>
      <c r="EH665"/>
      <c r="EM665"/>
    </row>
    <row r="666" spans="128:143">
      <c r="DX666"/>
      <c r="EC666"/>
      <c r="EH666"/>
      <c r="EM666"/>
    </row>
    <row r="667" spans="128:143">
      <c r="DX667"/>
      <c r="EC667"/>
      <c r="EH667"/>
      <c r="EM667"/>
    </row>
    <row r="668" spans="128:143">
      <c r="DX668"/>
      <c r="EC668"/>
      <c r="EH668"/>
      <c r="EM668"/>
    </row>
    <row r="669" spans="128:143">
      <c r="DX669"/>
      <c r="EC669"/>
      <c r="EH669"/>
      <c r="EM669"/>
    </row>
    <row r="670" spans="128:143">
      <c r="DX670"/>
      <c r="EC670"/>
      <c r="EH670"/>
      <c r="EM670"/>
    </row>
    <row r="671" spans="128:143">
      <c r="DX671"/>
      <c r="EC671"/>
      <c r="EH671"/>
      <c r="EM671"/>
    </row>
    <row r="672" spans="128:143">
      <c r="DX672"/>
      <c r="EC672"/>
      <c r="EH672"/>
      <c r="EM672"/>
    </row>
    <row r="673" spans="128:143">
      <c r="DX673"/>
      <c r="EC673"/>
      <c r="EH673"/>
      <c r="EM673"/>
    </row>
    <row r="674" spans="128:143">
      <c r="DX674"/>
      <c r="EC674"/>
      <c r="EH674"/>
      <c r="EM674"/>
    </row>
    <row r="675" spans="128:143">
      <c r="DX675"/>
      <c r="EC675"/>
      <c r="EH675"/>
      <c r="EM675"/>
    </row>
    <row r="676" spans="128:143">
      <c r="DX676"/>
      <c r="EC676"/>
      <c r="EH676"/>
      <c r="EM676"/>
    </row>
    <row r="677" spans="128:143">
      <c r="DX677"/>
      <c r="EC677"/>
      <c r="EH677"/>
      <c r="EM677"/>
    </row>
    <row r="678" spans="128:143">
      <c r="DX678"/>
      <c r="EC678"/>
      <c r="EH678"/>
      <c r="EM678"/>
    </row>
    <row r="679" spans="128:143">
      <c r="DX679"/>
      <c r="EC679"/>
      <c r="EH679"/>
      <c r="EM679"/>
    </row>
    <row r="680" spans="128:143">
      <c r="DX680"/>
      <c r="EC680"/>
      <c r="EH680"/>
      <c r="EM680"/>
    </row>
    <row r="681" spans="128:143">
      <c r="DX681"/>
      <c r="EC681"/>
      <c r="EH681"/>
      <c r="EM681"/>
    </row>
    <row r="682" spans="128:143">
      <c r="DX682"/>
      <c r="EC682"/>
      <c r="EH682"/>
      <c r="EM682"/>
    </row>
    <row r="683" spans="128:143">
      <c r="DX683"/>
      <c r="EC683"/>
      <c r="EH683"/>
      <c r="EM683"/>
    </row>
    <row r="684" spans="128:143">
      <c r="DX684"/>
      <c r="EC684"/>
      <c r="EH684"/>
      <c r="EM684"/>
    </row>
    <row r="685" spans="128:143">
      <c r="DX685"/>
      <c r="EC685"/>
      <c r="EH685"/>
      <c r="EM685"/>
    </row>
    <row r="686" spans="128:143">
      <c r="DX686"/>
      <c r="EC686"/>
      <c r="EH686"/>
      <c r="EM686"/>
    </row>
    <row r="687" spans="128:143">
      <c r="DX687"/>
      <c r="EC687"/>
      <c r="EH687"/>
      <c r="EM687"/>
    </row>
    <row r="688" spans="128:143">
      <c r="DX688"/>
      <c r="EC688"/>
      <c r="EH688"/>
      <c r="EM688"/>
    </row>
    <row r="689" spans="128:143">
      <c r="DX689"/>
      <c r="EC689"/>
      <c r="EH689"/>
      <c r="EM689"/>
    </row>
    <row r="690" spans="128:143">
      <c r="DX690"/>
      <c r="EC690"/>
      <c r="EH690"/>
      <c r="EM690"/>
    </row>
    <row r="691" spans="128:143">
      <c r="DX691"/>
      <c r="EC691"/>
      <c r="EH691"/>
      <c r="EM691"/>
    </row>
    <row r="692" spans="128:143">
      <c r="DX692"/>
      <c r="EC692"/>
      <c r="EH692"/>
      <c r="EM692"/>
    </row>
    <row r="693" spans="128:143">
      <c r="DX693"/>
      <c r="EC693"/>
      <c r="EH693"/>
      <c r="EM693"/>
    </row>
    <row r="694" spans="128:143">
      <c r="DX694"/>
      <c r="EC694"/>
      <c r="EH694"/>
      <c r="EM694"/>
    </row>
    <row r="695" spans="128:143">
      <c r="DX695"/>
      <c r="EC695"/>
      <c r="EH695"/>
      <c r="EM695"/>
    </row>
    <row r="696" spans="128:143">
      <c r="DX696"/>
      <c r="EC696"/>
      <c r="EH696"/>
      <c r="EM696"/>
    </row>
    <row r="697" spans="128:143">
      <c r="DX697"/>
      <c r="EC697"/>
      <c r="EH697"/>
      <c r="EM697"/>
    </row>
    <row r="698" spans="128:143">
      <c r="DX698"/>
      <c r="EC698"/>
      <c r="EH698"/>
      <c r="EM698"/>
    </row>
    <row r="699" spans="128:143">
      <c r="DX699"/>
      <c r="EC699"/>
      <c r="EH699"/>
      <c r="EM699"/>
    </row>
    <row r="700" spans="128:143">
      <c r="DX700"/>
      <c r="EC700"/>
      <c r="EH700"/>
      <c r="EM700"/>
    </row>
    <row r="701" spans="128:143">
      <c r="DX701"/>
      <c r="EC701"/>
      <c r="EH701"/>
      <c r="EM701"/>
    </row>
    <row r="702" spans="128:143">
      <c r="DX702"/>
      <c r="EC702"/>
      <c r="EH702"/>
      <c r="EM702"/>
    </row>
    <row r="703" spans="128:143">
      <c r="DX703"/>
      <c r="EC703"/>
      <c r="EH703"/>
      <c r="EM703"/>
    </row>
    <row r="704" spans="128:143">
      <c r="DX704"/>
      <c r="EC704"/>
      <c r="EH704"/>
      <c r="EM704"/>
    </row>
    <row r="705" spans="128:143">
      <c r="DX705"/>
      <c r="EC705"/>
      <c r="EH705"/>
      <c r="EM705"/>
    </row>
    <row r="706" spans="128:143">
      <c r="DX706"/>
      <c r="EC706"/>
      <c r="EH706"/>
      <c r="EM706"/>
    </row>
    <row r="707" spans="128:143">
      <c r="DX707"/>
      <c r="EC707"/>
      <c r="EH707"/>
      <c r="EM707"/>
    </row>
    <row r="708" spans="128:143">
      <c r="DX708"/>
      <c r="EC708"/>
      <c r="EH708"/>
      <c r="EM708"/>
    </row>
    <row r="709" spans="128:143">
      <c r="DX709"/>
      <c r="EC709"/>
      <c r="EH709"/>
      <c r="EM709"/>
    </row>
    <row r="710" spans="128:143">
      <c r="DX710"/>
      <c r="EC710"/>
      <c r="EH710"/>
      <c r="EM710"/>
    </row>
    <row r="711" spans="128:143">
      <c r="DX711"/>
      <c r="EC711"/>
      <c r="EH711"/>
      <c r="EM711"/>
    </row>
    <row r="712" spans="128:143">
      <c r="DX712"/>
      <c r="EC712"/>
      <c r="EH712"/>
      <c r="EM712"/>
    </row>
    <row r="713" spans="128:143">
      <c r="DX713"/>
      <c r="EC713"/>
      <c r="EH713"/>
      <c r="EM713"/>
    </row>
    <row r="714" spans="128:143">
      <c r="DX714"/>
      <c r="EC714"/>
      <c r="EH714"/>
      <c r="EM714"/>
    </row>
    <row r="715" spans="128:143">
      <c r="DX715"/>
      <c r="EC715"/>
      <c r="EH715"/>
      <c r="EM715"/>
    </row>
    <row r="716" spans="128:143">
      <c r="DX716"/>
      <c r="EC716"/>
      <c r="EH716"/>
      <c r="EM716"/>
    </row>
    <row r="717" spans="128:143">
      <c r="DX717"/>
      <c r="EC717"/>
      <c r="EH717"/>
      <c r="EM717"/>
    </row>
    <row r="718" spans="128:143">
      <c r="DX718"/>
      <c r="EC718"/>
      <c r="EH718"/>
      <c r="EM718"/>
    </row>
    <row r="719" spans="128:143">
      <c r="DX719"/>
      <c r="EC719"/>
      <c r="EH719"/>
      <c r="EM719"/>
    </row>
    <row r="720" spans="128:143">
      <c r="DX720"/>
      <c r="EC720"/>
      <c r="EH720"/>
      <c r="EM720"/>
    </row>
    <row r="721" spans="128:143">
      <c r="DX721"/>
      <c r="EC721"/>
      <c r="EH721"/>
      <c r="EM721"/>
    </row>
    <row r="722" spans="128:143">
      <c r="DX722"/>
      <c r="EC722"/>
      <c r="EH722"/>
      <c r="EM722"/>
    </row>
    <row r="723" spans="128:143">
      <c r="DX723"/>
      <c r="EC723"/>
      <c r="EH723"/>
      <c r="EM723"/>
    </row>
    <row r="724" spans="128:143">
      <c r="DX724"/>
      <c r="EC724"/>
      <c r="EH724"/>
      <c r="EM724"/>
    </row>
    <row r="725" spans="128:143">
      <c r="DX725"/>
      <c r="EC725"/>
      <c r="EH725"/>
      <c r="EM725"/>
    </row>
    <row r="726" spans="128:143">
      <c r="DX726"/>
      <c r="EC726"/>
      <c r="EH726"/>
      <c r="EM726"/>
    </row>
    <row r="727" spans="128:143">
      <c r="DX727"/>
      <c r="EC727"/>
      <c r="EH727"/>
      <c r="EM727"/>
    </row>
    <row r="728" spans="128:143">
      <c r="DX728"/>
      <c r="EC728"/>
      <c r="EH728"/>
      <c r="EM728"/>
    </row>
    <row r="729" spans="128:143">
      <c r="DX729"/>
      <c r="EC729"/>
      <c r="EH729"/>
      <c r="EM729"/>
    </row>
    <row r="730" spans="128:143">
      <c r="DX730"/>
      <c r="EC730"/>
      <c r="EH730"/>
      <c r="EM730"/>
    </row>
    <row r="731" spans="128:143">
      <c r="DX731"/>
      <c r="EC731"/>
      <c r="EH731"/>
      <c r="EM731"/>
    </row>
    <row r="732" spans="128:143">
      <c r="DX732"/>
      <c r="EC732"/>
      <c r="EH732"/>
      <c r="EM732"/>
    </row>
    <row r="733" spans="128:143">
      <c r="DX733"/>
      <c r="EC733"/>
      <c r="EH733"/>
      <c r="EM733"/>
    </row>
    <row r="734" spans="128:143">
      <c r="DX734"/>
      <c r="EC734"/>
      <c r="EH734"/>
      <c r="EM734"/>
    </row>
    <row r="735" spans="128:143">
      <c r="DX735"/>
      <c r="EC735"/>
      <c r="EH735"/>
      <c r="EM735"/>
    </row>
    <row r="736" spans="128:143">
      <c r="DX736"/>
      <c r="EC736"/>
      <c r="EH736"/>
      <c r="EM736"/>
    </row>
    <row r="737" spans="128:143">
      <c r="DX737"/>
      <c r="EC737"/>
      <c r="EH737"/>
      <c r="EM737"/>
    </row>
    <row r="738" spans="128:143">
      <c r="DX738"/>
      <c r="EC738"/>
      <c r="EH738"/>
      <c r="EM738"/>
    </row>
    <row r="739" spans="128:143">
      <c r="DX739"/>
      <c r="EC739"/>
      <c r="EH739"/>
      <c r="EM739"/>
    </row>
    <row r="740" spans="128:143">
      <c r="DX740"/>
      <c r="EC740"/>
      <c r="EH740"/>
      <c r="EM740"/>
    </row>
    <row r="741" spans="128:143">
      <c r="DX741"/>
      <c r="EC741"/>
      <c r="EH741"/>
      <c r="EM741"/>
    </row>
    <row r="742" spans="128:143">
      <c r="DX742"/>
      <c r="EC742"/>
      <c r="EH742"/>
      <c r="EM742"/>
    </row>
    <row r="743" spans="128:143">
      <c r="DX743"/>
      <c r="EC743"/>
      <c r="EH743"/>
      <c r="EM743"/>
    </row>
    <row r="744" spans="128:143">
      <c r="DX744"/>
      <c r="EC744"/>
      <c r="EH744"/>
      <c r="EM744"/>
    </row>
    <row r="745" spans="128:143">
      <c r="DX745"/>
      <c r="EC745"/>
      <c r="EH745"/>
      <c r="EM745"/>
    </row>
    <row r="746" spans="128:143">
      <c r="DX746"/>
      <c r="EC746"/>
      <c r="EH746"/>
      <c r="EM746"/>
    </row>
    <row r="747" spans="128:143">
      <c r="DX747"/>
      <c r="EC747"/>
      <c r="EH747"/>
      <c r="EM747"/>
    </row>
    <row r="748" spans="128:143">
      <c r="DX748"/>
      <c r="EC748"/>
      <c r="EH748"/>
      <c r="EM748"/>
    </row>
    <row r="749" spans="128:143">
      <c r="DX749"/>
      <c r="EC749"/>
      <c r="EH749"/>
      <c r="EM749"/>
    </row>
    <row r="750" spans="128:143">
      <c r="DX750"/>
      <c r="EC750"/>
      <c r="EH750"/>
      <c r="EM750"/>
    </row>
    <row r="751" spans="128:143">
      <c r="DX751"/>
      <c r="EC751"/>
      <c r="EH751"/>
      <c r="EM751"/>
    </row>
    <row r="752" spans="128:143">
      <c r="DX752"/>
      <c r="EC752"/>
      <c r="EH752"/>
      <c r="EM752"/>
    </row>
    <row r="753" spans="128:143">
      <c r="DX753"/>
      <c r="EC753"/>
      <c r="EH753"/>
      <c r="EM753"/>
    </row>
    <row r="754" spans="128:143">
      <c r="DX754"/>
      <c r="EC754"/>
      <c r="EH754"/>
      <c r="EM754"/>
    </row>
    <row r="755" spans="128:143">
      <c r="DX755"/>
      <c r="EC755"/>
      <c r="EH755"/>
      <c r="EM755"/>
    </row>
    <row r="756" spans="128:143">
      <c r="DX756"/>
      <c r="EC756"/>
      <c r="EH756"/>
      <c r="EM756"/>
    </row>
    <row r="757" spans="128:143">
      <c r="DX757"/>
      <c r="EC757"/>
      <c r="EH757"/>
      <c r="EM757"/>
    </row>
    <row r="758" spans="128:143">
      <c r="DX758"/>
      <c r="EC758"/>
      <c r="EH758"/>
      <c r="EM758"/>
    </row>
    <row r="759" spans="128:143">
      <c r="DX759"/>
      <c r="EC759"/>
      <c r="EH759"/>
      <c r="EM759"/>
    </row>
    <row r="760" spans="128:143">
      <c r="DX760"/>
      <c r="EC760"/>
      <c r="EH760"/>
      <c r="EM760"/>
    </row>
    <row r="761" spans="128:143">
      <c r="DX761"/>
      <c r="EC761"/>
      <c r="EH761"/>
      <c r="EM761"/>
    </row>
    <row r="762" spans="128:143">
      <c r="DX762"/>
      <c r="EC762"/>
      <c r="EH762"/>
      <c r="EM762"/>
    </row>
    <row r="763" spans="128:143">
      <c r="DX763"/>
      <c r="EC763"/>
      <c r="EH763"/>
      <c r="EM763"/>
    </row>
    <row r="764" spans="128:143">
      <c r="DX764"/>
      <c r="EC764"/>
      <c r="EH764"/>
      <c r="EM764"/>
    </row>
    <row r="765" spans="128:143">
      <c r="DX765"/>
      <c r="EC765"/>
      <c r="EH765"/>
      <c r="EM765"/>
    </row>
    <row r="766" spans="128:143">
      <c r="DX766"/>
      <c r="EC766"/>
      <c r="EH766"/>
      <c r="EM766"/>
    </row>
    <row r="767" spans="128:143">
      <c r="DX767"/>
      <c r="EC767"/>
      <c r="EH767"/>
      <c r="EM767"/>
    </row>
    <row r="768" spans="128:143">
      <c r="DX768"/>
      <c r="EC768"/>
      <c r="EH768"/>
      <c r="EM768"/>
    </row>
    <row r="769" spans="128:143">
      <c r="DX769"/>
      <c r="EC769"/>
      <c r="EH769"/>
      <c r="EM769"/>
    </row>
    <row r="770" spans="128:143">
      <c r="DX770"/>
      <c r="EC770"/>
      <c r="EH770"/>
      <c r="EM770"/>
    </row>
    <row r="771" spans="128:143">
      <c r="DX771"/>
      <c r="EC771"/>
      <c r="EH771"/>
      <c r="EM771"/>
    </row>
    <row r="772" spans="128:143">
      <c r="DX772"/>
      <c r="EC772"/>
      <c r="EH772"/>
      <c r="EM772"/>
    </row>
    <row r="773" spans="128:143">
      <c r="DX773"/>
      <c r="EC773"/>
      <c r="EH773"/>
      <c r="EM773"/>
    </row>
    <row r="774" spans="128:143">
      <c r="DX774"/>
      <c r="EC774"/>
      <c r="EH774"/>
      <c r="EM774"/>
    </row>
    <row r="775" spans="128:143">
      <c r="DX775"/>
      <c r="EC775"/>
      <c r="EH775"/>
      <c r="EM775"/>
    </row>
    <row r="776" spans="128:143">
      <c r="DX776"/>
      <c r="EC776"/>
      <c r="EH776"/>
      <c r="EM776"/>
    </row>
    <row r="777" spans="128:143">
      <c r="DX777"/>
      <c r="EC777"/>
      <c r="EH777"/>
      <c r="EM777"/>
    </row>
    <row r="778" spans="128:143">
      <c r="DX778"/>
      <c r="EC778"/>
      <c r="EH778"/>
      <c r="EM778"/>
    </row>
    <row r="779" spans="128:143">
      <c r="DX779"/>
      <c r="EC779"/>
      <c r="EH779"/>
      <c r="EM779"/>
    </row>
    <row r="780" spans="128:143">
      <c r="DX780"/>
      <c r="EC780"/>
      <c r="EH780"/>
      <c r="EM780"/>
    </row>
    <row r="781" spans="128:143">
      <c r="DX781"/>
      <c r="EC781"/>
      <c r="EH781"/>
      <c r="EM781"/>
    </row>
    <row r="782" spans="128:143">
      <c r="DX782"/>
      <c r="EC782"/>
      <c r="EH782"/>
      <c r="EM782"/>
    </row>
    <row r="783" spans="128:143">
      <c r="DX783"/>
      <c r="EC783"/>
      <c r="EH783"/>
      <c r="EM783"/>
    </row>
    <row r="784" spans="128:143">
      <c r="DX784"/>
      <c r="EC784"/>
      <c r="EH784"/>
      <c r="EM784"/>
    </row>
    <row r="785" spans="128:143">
      <c r="DX785"/>
      <c r="EC785"/>
      <c r="EH785"/>
      <c r="EM785"/>
    </row>
    <row r="786" spans="128:143">
      <c r="DX786"/>
      <c r="EC786"/>
      <c r="EH786"/>
      <c r="EM786"/>
    </row>
    <row r="787" spans="128:143">
      <c r="DX787"/>
      <c r="EC787"/>
      <c r="EH787"/>
      <c r="EM787"/>
    </row>
    <row r="788" spans="128:143">
      <c r="DX788"/>
      <c r="EC788"/>
      <c r="EH788"/>
      <c r="EM788"/>
    </row>
    <row r="789" spans="128:143">
      <c r="DX789"/>
      <c r="EC789"/>
      <c r="EH789"/>
      <c r="EM789"/>
    </row>
    <row r="790" spans="128:143">
      <c r="DX790"/>
      <c r="EC790"/>
      <c r="EH790"/>
      <c r="EM790"/>
    </row>
    <row r="791" spans="128:143">
      <c r="DX791"/>
      <c r="EC791"/>
      <c r="EH791"/>
      <c r="EM791"/>
    </row>
    <row r="792" spans="128:143">
      <c r="DX792"/>
      <c r="EC792"/>
      <c r="EH792"/>
      <c r="EM792"/>
    </row>
    <row r="793" spans="128:143">
      <c r="DX793"/>
      <c r="EC793"/>
      <c r="EH793"/>
      <c r="EM793"/>
    </row>
    <row r="794" spans="128:143">
      <c r="DX794"/>
      <c r="EC794"/>
      <c r="EH794"/>
      <c r="EM794"/>
    </row>
    <row r="795" spans="128:143">
      <c r="DX795"/>
      <c r="EC795"/>
      <c r="EH795"/>
      <c r="EM795"/>
    </row>
    <row r="796" spans="128:143">
      <c r="DX796"/>
      <c r="EC796"/>
      <c r="EH796"/>
      <c r="EM796"/>
    </row>
    <row r="797" spans="128:143">
      <c r="DX797"/>
      <c r="EC797"/>
      <c r="EH797"/>
      <c r="EM797"/>
    </row>
    <row r="798" spans="128:143">
      <c r="DX798"/>
      <c r="EC798"/>
      <c r="EH798"/>
      <c r="EM798"/>
    </row>
    <row r="799" spans="128:143">
      <c r="DX799"/>
      <c r="EC799"/>
      <c r="EH799"/>
      <c r="EM799"/>
    </row>
    <row r="800" spans="128:143">
      <c r="DX800"/>
      <c r="EC800"/>
      <c r="EH800"/>
      <c r="EM800"/>
    </row>
    <row r="801" spans="128:143">
      <c r="DX801"/>
      <c r="EC801"/>
      <c r="EH801"/>
      <c r="EM801"/>
    </row>
    <row r="802" spans="128:143">
      <c r="DX802"/>
      <c r="EC802"/>
      <c r="EH802"/>
      <c r="EM802"/>
    </row>
    <row r="803" spans="128:143">
      <c r="DX803"/>
      <c r="EC803"/>
      <c r="EH803"/>
      <c r="EM803"/>
    </row>
    <row r="804" spans="128:143">
      <c r="DX804"/>
      <c r="EC804"/>
      <c r="EH804"/>
      <c r="EM804"/>
    </row>
    <row r="805" spans="128:143">
      <c r="DX805"/>
      <c r="EC805"/>
      <c r="EH805"/>
      <c r="EM805"/>
    </row>
    <row r="806" spans="128:143">
      <c r="DX806"/>
      <c r="EC806"/>
      <c r="EH806"/>
      <c r="EM806"/>
    </row>
    <row r="807" spans="128:143">
      <c r="DX807"/>
      <c r="EC807"/>
      <c r="EH807"/>
      <c r="EM807"/>
    </row>
    <row r="808" spans="128:143">
      <c r="DX808"/>
      <c r="EC808"/>
      <c r="EH808"/>
      <c r="EM808"/>
    </row>
    <row r="809" spans="128:143">
      <c r="DX809"/>
      <c r="EC809"/>
      <c r="EH809"/>
      <c r="EM809"/>
    </row>
    <row r="810" spans="128:143">
      <c r="DX810"/>
      <c r="EC810"/>
      <c r="EH810"/>
      <c r="EM810"/>
    </row>
    <row r="811" spans="128:143">
      <c r="DX811"/>
      <c r="EC811"/>
      <c r="EH811"/>
      <c r="EM811"/>
    </row>
    <row r="812" spans="128:143">
      <c r="DX812"/>
      <c r="EC812"/>
      <c r="EH812"/>
      <c r="EM812"/>
    </row>
    <row r="813" spans="128:143">
      <c r="DX813"/>
      <c r="EC813"/>
      <c r="EH813"/>
      <c r="EM813"/>
    </row>
    <row r="814" spans="128:143">
      <c r="DX814"/>
      <c r="EC814"/>
      <c r="EH814"/>
      <c r="EM814"/>
    </row>
    <row r="815" spans="128:143">
      <c r="DX815"/>
      <c r="EC815"/>
      <c r="EH815"/>
      <c r="EM815"/>
    </row>
  </sheetData>
  <phoneticPr fontId="0" type="noConversion"/>
  <printOptions gridLinesSet="0"/>
  <pageMargins left="0.75" right="0.75" top="1" bottom="1" header="0.5" footer="0.5"/>
  <pageSetup scale="59" orientation="landscape" r:id="rId1"/>
  <headerFooter alignWithMargins="0"/>
  <rowBreaks count="1" manualBreakCount="1">
    <brk id="126" max="16383" man="1"/>
  </rowBreaks>
  <customProperties>
    <customPr name="Qube.Worksheet.ID" r:id="rId2"/>
    <customPr name="Qube.Worksheet.Visibility" r:id="rId3"/>
    <customPr name="SHEET_UNIQUE_ID" r:id="rId4"/>
  </customProperties>
  <drawing r:id="rId5"/>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theme="4"/>
    <pageSetUpPr autoPageBreaks="0" fitToPage="1"/>
  </sheetPr>
  <dimension ref="A3:FI57"/>
  <sheetViews>
    <sheetView showGridLines="0" zoomScale="110" zoomScaleNormal="110" zoomScaleSheetLayoutView="100" workbookViewId="0">
      <pane xSplit="4" ySplit="10" topLeftCell="E11" activePane="bottomRight" state="frozen"/>
      <selection activeCell="I10" sqref="I10"/>
      <selection pane="topRight" activeCell="I10" sqref="I10"/>
      <selection pane="bottomLeft" activeCell="I10" sqref="I10"/>
      <selection pane="bottomRight" activeCell="EJ55" sqref="EJ55"/>
    </sheetView>
  </sheetViews>
  <sheetFormatPr defaultRowHeight="12.6" outlineLevelRow="1" outlineLevelCol="4"/>
  <cols>
    <col min="1" max="1" width="3.44140625" customWidth="1"/>
    <col min="2" max="2" width="1.88671875" customWidth="1"/>
    <col min="3" max="3" width="5.5546875" customWidth="1"/>
    <col min="4" max="4" width="31.109375" customWidth="1"/>
    <col min="5" max="5" width="6.5546875" hidden="1" customWidth="1" outlineLevel="1"/>
    <col min="6" max="6" width="9.44140625" hidden="1" customWidth="1" outlineLevel="1"/>
    <col min="7" max="7" width="8.88671875" hidden="1" customWidth="1" outlineLevel="1"/>
    <col min="8" max="8" width="8.5546875" hidden="1" customWidth="1" outlineLevel="1"/>
    <col min="9" max="9" width="8.88671875" hidden="1" customWidth="1" outlineLevel="1"/>
    <col min="10" max="10" width="9.44140625" hidden="1" customWidth="1" outlineLevel="1" collapsed="1"/>
    <col min="11" max="11" width="8.109375" hidden="1" customWidth="1" outlineLevel="2"/>
    <col min="12" max="12" width="8.5546875" hidden="1" customWidth="1" outlineLevel="2"/>
    <col min="13" max="13" width="8" hidden="1" customWidth="1" outlineLevel="2"/>
    <col min="14" max="14" width="9.109375" hidden="1" customWidth="1" outlineLevel="2"/>
    <col min="15" max="15" width="9.109375" hidden="1" customWidth="1" outlineLevel="1" collapsed="1"/>
    <col min="16" max="19" width="9.109375" hidden="1" customWidth="1" outlineLevel="2"/>
    <col min="20" max="20" width="9.44140625" hidden="1" customWidth="1" outlineLevel="1" collapsed="1"/>
    <col min="21" max="24" width="9.109375" hidden="1" customWidth="1" outlineLevel="2"/>
    <col min="25" max="25" width="9.44140625" hidden="1" customWidth="1" outlineLevel="1" collapsed="1"/>
    <col min="26" max="29" width="9.109375" hidden="1" customWidth="1" outlineLevel="2"/>
    <col min="30" max="30" width="9.44140625" hidden="1" customWidth="1" outlineLevel="1" collapsed="1"/>
    <col min="31" max="34" width="9.109375" hidden="1" customWidth="1" outlineLevel="2"/>
    <col min="35" max="35" width="9.44140625" hidden="1" customWidth="1" outlineLevel="1" collapsed="1"/>
    <col min="36" max="39" width="9.109375" hidden="1" customWidth="1" outlineLevel="2"/>
    <col min="40" max="40" width="9.44140625" hidden="1" customWidth="1" outlineLevel="1" collapsed="1"/>
    <col min="41" max="44" width="9.109375" hidden="1" customWidth="1" outlineLevel="2"/>
    <col min="45" max="45" width="9.44140625" hidden="1" customWidth="1" outlineLevel="1" collapsed="1"/>
    <col min="46" max="49" width="9.109375" hidden="1" customWidth="1" outlineLevel="2"/>
    <col min="50" max="50" width="9.44140625" hidden="1" customWidth="1" outlineLevel="1" collapsed="1"/>
    <col min="51" max="54" width="9.109375" hidden="1" customWidth="1" outlineLevel="2"/>
    <col min="55" max="55" width="9.44140625" hidden="1" customWidth="1" outlineLevel="1" collapsed="1"/>
    <col min="56" max="59" width="9.109375" hidden="1" customWidth="1" outlineLevel="2"/>
    <col min="60" max="60" width="9.44140625" hidden="1" customWidth="1" outlineLevel="1" collapsed="1"/>
    <col min="61" max="64" width="9.109375" hidden="1" customWidth="1" outlineLevel="2"/>
    <col min="65" max="65" width="9.88671875" hidden="1" customWidth="1" outlineLevel="1" collapsed="1"/>
    <col min="66" max="69" width="9.109375" hidden="1" customWidth="1" outlineLevel="2"/>
    <col min="70" max="70" width="9.44140625" hidden="1" customWidth="1" outlineLevel="1" collapsed="1"/>
    <col min="71" max="74" width="9.109375" hidden="1" customWidth="1" outlineLevel="2"/>
    <col min="75" max="75" width="9.44140625" hidden="1" customWidth="1" outlineLevel="1" collapsed="1"/>
    <col min="76" max="79" width="9.44140625" hidden="1" customWidth="1" outlineLevel="2"/>
    <col min="80" max="80" width="9.44140625" hidden="1" customWidth="1" outlineLevel="1" collapsed="1"/>
    <col min="81" max="84" width="9.44140625" hidden="1" customWidth="1" outlineLevel="1"/>
    <col min="85" max="85" width="9.109375" hidden="1" customWidth="1" outlineLevel="3" collapsed="1"/>
    <col min="86" max="89" width="8" hidden="1" customWidth="1" outlineLevel="4"/>
    <col min="90" max="90" width="8" hidden="1" customWidth="1" outlineLevel="3" collapsed="1"/>
    <col min="91" max="91" width="8" hidden="1" customWidth="1" outlineLevel="4"/>
    <col min="92" max="92" width="9.109375" hidden="1" customWidth="1" outlineLevel="4"/>
    <col min="93" max="93" width="8.5546875" hidden="1" customWidth="1" outlineLevel="4"/>
    <col min="94" max="94" width="8.109375" hidden="1" customWidth="1" outlineLevel="4"/>
    <col min="95" max="95" width="8.88671875" hidden="1" customWidth="1" outlineLevel="3" collapsed="1"/>
    <col min="96" max="96" width="8.88671875" hidden="1" customWidth="1" outlineLevel="2" collapsed="1"/>
    <col min="97" max="99" width="8.88671875" hidden="1" customWidth="1" outlineLevel="2"/>
    <col min="100" max="100" width="9" hidden="1" customWidth="1" outlineLevel="2" collapsed="1"/>
    <col min="101" max="104" width="9" hidden="1" customWidth="1" outlineLevel="3"/>
    <col min="105" max="105" width="10.109375" hidden="1" customWidth="1" outlineLevel="2" collapsed="1"/>
    <col min="106" max="109" width="9" hidden="1" customWidth="1" outlineLevel="3"/>
    <col min="110" max="110" width="9" hidden="1" customWidth="1" outlineLevel="2" collapsed="1"/>
    <col min="111" max="114" width="9" hidden="1" customWidth="1" outlineLevel="2"/>
    <col min="115" max="119" width="9" hidden="1" customWidth="1" outlineLevel="1"/>
    <col min="120" max="120" width="9" hidden="1" customWidth="1" collapsed="1"/>
    <col min="121" max="124" width="9" hidden="1" customWidth="1" outlineLevel="1"/>
    <col min="125" max="125" width="9" hidden="1" customWidth="1" collapsed="1"/>
    <col min="126" max="129" width="9" hidden="1" customWidth="1" outlineLevel="1"/>
    <col min="130" max="130" width="9" bestFit="1" customWidth="1" collapsed="1"/>
    <col min="131" max="134" width="9" hidden="1" customWidth="1" outlineLevel="1"/>
    <col min="135" max="135" width="9" bestFit="1" customWidth="1" collapsed="1"/>
    <col min="136" max="139" width="9" hidden="1" customWidth="1" outlineLevel="1"/>
    <col min="140" max="140" width="9" bestFit="1" customWidth="1" collapsed="1"/>
    <col min="141" max="144" width="9" hidden="1" customWidth="1" outlineLevel="1"/>
    <col min="145" max="145" width="9" bestFit="1" customWidth="1" collapsed="1"/>
    <col min="146" max="149" width="9" hidden="1" customWidth="1" outlineLevel="1"/>
    <col min="150" max="150" width="9" bestFit="1" customWidth="1" collapsed="1"/>
    <col min="151" max="154" width="9" hidden="1" customWidth="1" outlineLevel="1"/>
    <col min="155" max="155" width="9" bestFit="1" customWidth="1" collapsed="1"/>
    <col min="156" max="159" width="9" customWidth="1"/>
    <col min="160" max="165" width="9" bestFit="1" customWidth="1"/>
  </cols>
  <sheetData>
    <row r="3" spans="1:165" ht="17.399999999999999">
      <c r="B3" s="1956" t="str">
        <f>Cover!D11</f>
      </c>
      <c r="D3" s="1961"/>
    </row>
    <row r="5" spans="1:165" ht="13.2">
      <c r="B5" s="1957" t="s">
        <v>793</v>
      </c>
    </row>
    <row r="6" spans="1:165" ht="13.2" thickBot="1">
      <c r="B6" s="1958"/>
      <c r="C6" s="1958"/>
      <c r="D6" s="1958"/>
      <c r="E6" s="1958"/>
      <c r="F6" s="1958"/>
      <c r="G6" s="1958"/>
      <c r="H6" s="1958"/>
      <c r="I6" s="1958"/>
      <c r="J6" s="1958"/>
      <c r="K6" s="1958"/>
      <c r="L6" s="1958"/>
      <c r="M6" s="1958"/>
      <c r="N6" s="1958"/>
      <c r="O6" s="1958"/>
      <c r="P6" s="1958"/>
      <c r="Q6" s="1958"/>
      <c r="R6" s="1958"/>
      <c r="S6" s="1958"/>
      <c r="T6" s="1958"/>
      <c r="U6" s="1958"/>
      <c r="V6" s="1958"/>
      <c r="W6" s="1958"/>
      <c r="X6" s="1958"/>
      <c r="Y6" s="1958"/>
      <c r="Z6" s="1958"/>
      <c r="AA6" s="1958"/>
      <c r="AB6" s="1958"/>
      <c r="AC6" s="1958"/>
      <c r="AD6" s="1958"/>
      <c r="AE6" s="1958"/>
      <c r="AF6" s="1958"/>
      <c r="AG6" s="1958"/>
      <c r="AH6" s="1958"/>
      <c r="AI6" s="1958"/>
      <c r="AJ6" s="1958"/>
      <c r="AK6" s="1958"/>
      <c r="AL6" s="1958"/>
      <c r="AM6" s="1958"/>
      <c r="AN6" s="1958"/>
      <c r="AO6" s="1958"/>
      <c r="AP6" s="1958"/>
      <c r="AQ6" s="1958"/>
      <c r="AR6" s="1958"/>
      <c r="AS6" s="1958"/>
      <c r="AT6" s="1958"/>
      <c r="AU6" s="1958"/>
      <c r="AV6" s="1958"/>
      <c r="AW6" s="1958"/>
      <c r="AX6" s="1958"/>
      <c r="AY6" s="1958"/>
      <c r="AZ6" s="1958"/>
      <c r="BA6" s="1958"/>
      <c r="BB6" s="1958"/>
      <c r="BC6" s="1958"/>
      <c r="BD6" s="1958"/>
      <c r="BE6" s="1958"/>
      <c r="BF6" s="1958"/>
      <c r="BG6" s="1958"/>
      <c r="BH6" s="1958"/>
      <c r="BI6" s="1958"/>
      <c r="BJ6" s="1958"/>
      <c r="BK6" s="1958"/>
      <c r="BL6" s="1958"/>
      <c r="BM6" s="1958"/>
      <c r="BN6" s="1958"/>
      <c r="BO6" s="1958"/>
      <c r="BP6" s="1958"/>
      <c r="BQ6" s="1958"/>
      <c r="BR6" s="1958"/>
      <c r="BS6" s="1958"/>
      <c r="BT6" s="1958"/>
      <c r="BU6" s="1958"/>
      <c r="BV6" s="1958"/>
      <c r="BW6" s="1958"/>
      <c r="BX6" s="1958"/>
      <c r="BY6" s="1958"/>
      <c r="BZ6" s="1958"/>
      <c r="CA6" s="1958"/>
      <c r="CB6" s="1958"/>
      <c r="CC6" s="1958"/>
      <c r="CD6" s="1958"/>
      <c r="CE6" s="1958"/>
      <c r="CF6" s="1958"/>
      <c r="CG6" s="1958"/>
      <c r="CH6" s="1958"/>
      <c r="CI6" s="1958"/>
      <c r="CJ6" s="1958"/>
      <c r="CK6" s="1958"/>
      <c r="CL6" s="1958"/>
      <c r="CM6" s="1958"/>
      <c r="CN6" s="1958"/>
      <c r="CO6" s="1958"/>
      <c r="CP6" s="1958"/>
      <c r="CQ6" s="1958"/>
      <c r="CR6" s="1958"/>
      <c r="CS6" s="1958"/>
      <c r="CT6" s="1958"/>
      <c r="CU6" s="1958"/>
      <c r="CV6" s="1958"/>
      <c r="CW6" s="1958"/>
      <c r="CX6" s="1958"/>
      <c r="CY6" s="1958"/>
      <c r="CZ6" s="1958"/>
      <c r="DA6" s="1958"/>
      <c r="DB6" s="1958"/>
      <c r="DC6" s="1958"/>
      <c r="DD6" s="1958"/>
      <c r="DE6" s="1958"/>
      <c r="DF6" s="1958"/>
      <c r="DG6" s="1958"/>
      <c r="DH6" s="1958"/>
      <c r="DI6" s="1958"/>
      <c r="DJ6" s="1958"/>
      <c r="DK6" s="1958"/>
      <c r="DL6" s="1958"/>
      <c r="DM6" s="1958"/>
      <c r="DN6" s="1958"/>
      <c r="DO6" s="1958"/>
      <c r="DP6" s="1958"/>
      <c r="DQ6" s="1958"/>
      <c r="DR6" s="1958"/>
      <c r="DS6" s="1958"/>
      <c r="DT6" s="1958"/>
      <c r="DU6" s="1958"/>
      <c r="DV6" s="1958"/>
      <c r="DW6" s="1958"/>
      <c r="DX6" s="1958"/>
      <c r="DY6" s="1958"/>
      <c r="DZ6" s="1958"/>
      <c r="EA6" s="1958"/>
      <c r="EB6" s="1958"/>
      <c r="EC6" s="1958"/>
      <c r="ED6" s="1958"/>
      <c r="EE6" s="1958"/>
      <c r="EF6" s="1958"/>
      <c r="EG6" s="1958"/>
      <c r="EH6" s="1958"/>
      <c r="EI6" s="1958"/>
      <c r="EJ6" s="1958"/>
      <c r="EK6" s="1958"/>
      <c r="EL6" s="1958"/>
      <c r="EM6" s="1958"/>
      <c r="EN6" s="1958"/>
      <c r="EO6" s="1958"/>
      <c r="EP6" s="1958"/>
      <c r="EQ6" s="1958"/>
      <c r="ER6" s="1958"/>
      <c r="ES6" s="1958"/>
      <c r="ET6" s="1958"/>
      <c r="EU6" s="1958"/>
      <c r="EV6" s="3186"/>
      <c r="EW6" s="1958"/>
      <c r="EX6" s="1958"/>
      <c r="EY6" s="1958"/>
      <c r="EZ6" s="3186"/>
      <c r="FA6" s="3186"/>
      <c r="FB6" s="3186"/>
      <c r="FC6" s="3186"/>
      <c r="FD6" s="1958"/>
      <c r="FE6" s="1958"/>
      <c r="FF6" s="1958"/>
      <c r="FG6" s="1958"/>
      <c r="FH6" s="1958"/>
      <c r="FI6" s="1958"/>
    </row>
    <row r="7" spans="1:165">
      <c r="B7" s="11" t="s">
        <v>792</v>
      </c>
    </row>
    <row r="8" spans="1:165">
      <c r="FA8" s="2182"/>
    </row>
    <row r="9" spans="1:165">
      <c r="A9" s="1"/>
      <c r="B9" s="568"/>
      <c r="C9" s="1"/>
      <c r="D9" s="1"/>
      <c r="E9" s="13"/>
      <c r="F9" s="13"/>
      <c r="G9" s="13"/>
      <c r="H9" s="13"/>
      <c r="I9" s="13"/>
      <c r="J9" s="13"/>
      <c r="K9" s="128"/>
      <c r="L9" s="128"/>
      <c r="M9" s="128"/>
      <c r="N9" s="13"/>
      <c r="O9" s="13"/>
      <c r="P9" s="128"/>
      <c r="Q9" s="128"/>
      <c r="R9" s="128"/>
      <c r="S9" s="128"/>
      <c r="T9" s="128"/>
      <c r="U9" s="128"/>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102">
        <f>DF29-19279</f>
      </c>
      <c r="DG9" s="1"/>
      <c r="DH9" s="1"/>
      <c r="DI9" s="1"/>
      <c r="DJ9" s="1"/>
      <c r="DK9" s="1"/>
      <c r="DL9" s="1"/>
      <c r="DM9" s="1"/>
      <c r="DN9" s="1"/>
      <c r="DO9" s="1"/>
      <c r="DP9" s="1"/>
      <c r="DQ9" s="946"/>
      <c r="DR9" s="1"/>
      <c r="DS9" s="1"/>
      <c r="DT9" s="1"/>
      <c r="DU9" s="1"/>
      <c r="DV9" s="946"/>
      <c r="DW9" s="946"/>
      <c r="DX9" s="1"/>
      <c r="DY9" s="1"/>
      <c r="DZ9" s="946"/>
      <c r="EA9" s="1"/>
      <c r="EB9" s="1"/>
      <c r="EC9" s="1"/>
      <c r="ED9" s="1"/>
      <c r="EE9" s="1106"/>
      <c r="EF9" s="1"/>
      <c r="EG9" s="1"/>
      <c r="EH9" s="1"/>
      <c r="EI9" s="1"/>
      <c r="EJ9" s="1106"/>
      <c r="EK9" s="1"/>
      <c r="EL9" s="1"/>
      <c r="EM9" s="1"/>
      <c r="EN9" s="1"/>
      <c r="EO9" s="1106"/>
      <c r="EP9" s="946"/>
      <c r="EQ9" s="946"/>
      <c r="ER9" s="946"/>
      <c r="ES9" s="946"/>
      <c r="ET9" s="946"/>
      <c r="EU9" s="946"/>
      <c r="EV9" s="946"/>
      <c r="EW9" s="946"/>
      <c r="EX9" s="946"/>
      <c r="EY9" s="946"/>
      <c r="EZ9" s="946"/>
      <c r="FA9" s="946"/>
      <c r="FB9" s="946"/>
      <c r="FC9" s="946"/>
      <c r="FD9" s="946"/>
      <c r="FE9" s="946"/>
      <c r="FF9" s="946"/>
      <c r="FG9" s="946"/>
      <c r="FH9" s="946"/>
      <c r="FI9" s="946"/>
    </row>
    <row r="10" spans="1:165">
      <c r="A10" s="13"/>
      <c r="B10" s="564" t="s">
        <v>472</v>
      </c>
      <c r="C10" s="401"/>
      <c r="D10" s="401"/>
      <c r="E10" s="401">
        <v>1990</v>
      </c>
      <c r="F10" s="401">
        <v>1991</v>
      </c>
      <c r="G10" s="401">
        <v>1992</v>
      </c>
      <c r="H10" s="401">
        <v>1993</v>
      </c>
      <c r="I10" s="401">
        <v>1994</v>
      </c>
      <c r="J10" s="401">
        <v>1995</v>
      </c>
      <c r="K10" s="569" t="s">
        <v>434</v>
      </c>
      <c r="L10" s="570" t="s">
        <v>435</v>
      </c>
      <c r="M10" s="571" t="s">
        <v>436</v>
      </c>
      <c r="N10" s="401" t="s">
        <v>437</v>
      </c>
      <c r="O10" s="572">
        <v>1996</v>
      </c>
      <c r="P10" s="569" t="s">
        <v>430</v>
      </c>
      <c r="Q10" s="570" t="s">
        <v>431</v>
      </c>
      <c r="R10" s="571" t="s">
        <v>432</v>
      </c>
      <c r="S10" s="401" t="s">
        <v>433</v>
      </c>
      <c r="T10" s="572">
        <v>1997</v>
      </c>
      <c r="U10" s="569" t="s">
        <v>426</v>
      </c>
      <c r="V10" s="570" t="s">
        <v>427</v>
      </c>
      <c r="W10" s="571" t="s">
        <v>428</v>
      </c>
      <c r="X10" s="401" t="s">
        <v>429</v>
      </c>
      <c r="Y10" s="572">
        <v>1998</v>
      </c>
      <c r="Z10" s="569" t="s">
        <v>159</v>
      </c>
      <c r="AA10" s="570" t="s">
        <v>160</v>
      </c>
      <c r="AB10" s="571" t="s">
        <v>161</v>
      </c>
      <c r="AC10" s="401" t="s">
        <v>162</v>
      </c>
      <c r="AD10" s="572">
        <v>1999</v>
      </c>
      <c r="AE10" s="569" t="s">
        <v>163</v>
      </c>
      <c r="AF10" s="570" t="s">
        <v>164</v>
      </c>
      <c r="AG10" s="571" t="s">
        <v>165</v>
      </c>
      <c r="AH10" s="401" t="s">
        <v>166</v>
      </c>
      <c r="AI10" s="572">
        <v>2000</v>
      </c>
      <c r="AJ10" s="569" t="s">
        <v>167</v>
      </c>
      <c r="AK10" s="570" t="s">
        <v>168</v>
      </c>
      <c r="AL10" s="571" t="s">
        <v>169</v>
      </c>
      <c r="AM10" s="401" t="s">
        <v>170</v>
      </c>
      <c r="AN10" s="572">
        <v>2001</v>
      </c>
      <c r="AO10" s="569" t="s">
        <v>317</v>
      </c>
      <c r="AP10" s="570" t="s">
        <v>318</v>
      </c>
      <c r="AQ10" s="571" t="s">
        <v>173</v>
      </c>
      <c r="AR10" s="401" t="s">
        <v>174</v>
      </c>
      <c r="AS10" s="572">
        <v>2002</v>
      </c>
      <c r="AT10" s="569" t="s">
        <v>176</v>
      </c>
      <c r="AU10" s="570" t="s">
        <v>15</v>
      </c>
      <c r="AV10" s="571" t="s">
        <v>16</v>
      </c>
      <c r="AW10" s="401" t="s">
        <v>147</v>
      </c>
      <c r="AX10" s="572">
        <v>2003</v>
      </c>
      <c r="AY10" s="569" t="s">
        <v>267</v>
      </c>
      <c r="AZ10" s="570" t="s">
        <v>392</v>
      </c>
      <c r="BA10" s="571" t="s">
        <v>46</v>
      </c>
      <c r="BB10" s="401" t="s">
        <v>47</v>
      </c>
      <c r="BC10" s="572">
        <v>2004</v>
      </c>
      <c r="BD10" s="569" t="s">
        <v>12</v>
      </c>
      <c r="BE10" s="570" t="s">
        <v>42</v>
      </c>
      <c r="BF10" s="571" t="s">
        <v>190</v>
      </c>
      <c r="BG10" s="401" t="s">
        <v>357</v>
      </c>
      <c r="BH10" s="572">
        <v>2005</v>
      </c>
      <c r="BI10" s="569" t="s">
        <v>354</v>
      </c>
      <c r="BJ10" s="570" t="s">
        <v>355</v>
      </c>
      <c r="BK10" s="571" t="s">
        <v>356</v>
      </c>
      <c r="BL10" s="401" t="s">
        <v>224</v>
      </c>
      <c r="BM10" s="572">
        <v>2006</v>
      </c>
      <c r="BN10" s="569" t="s">
        <v>11</v>
      </c>
      <c r="BO10" s="570" t="s">
        <v>40</v>
      </c>
      <c r="BP10" s="571" t="s">
        <v>265</v>
      </c>
      <c r="BQ10" s="401" t="s">
        <v>144</v>
      </c>
      <c r="BR10" s="572">
        <v>2007</v>
      </c>
      <c r="BS10" s="569" t="s">
        <v>145</v>
      </c>
      <c r="BT10" s="570" t="s">
        <v>122</v>
      </c>
      <c r="BU10" s="571" t="s">
        <v>454</v>
      </c>
      <c r="BV10" s="401" t="s">
        <v>171</v>
      </c>
      <c r="BW10" s="572">
        <v>2008</v>
      </c>
      <c r="BX10" s="401" t="s">
        <v>275</v>
      </c>
      <c r="BY10" s="401" t="s">
        <v>274</v>
      </c>
      <c r="BZ10" s="401" t="s">
        <v>140</v>
      </c>
      <c r="CA10" s="401" t="s">
        <v>141</v>
      </c>
      <c r="CB10" s="572">
        <v>2009</v>
      </c>
      <c r="CC10" s="401" t="str">
        <f>+'Sales Model'!BH19</f>
      </c>
      <c r="CD10" s="401" t="str">
        <f>+'Sales Model'!BI19</f>
      </c>
      <c r="CE10" s="401" t="str">
        <f>+'Sales Model'!BJ19</f>
      </c>
      <c r="CF10" s="401" t="str">
        <f>+'Sales Model'!BK19</f>
      </c>
      <c r="CG10" s="572">
        <v>2010</v>
      </c>
      <c r="CH10" s="401" t="str">
        <f>+'Sales Model'!BM19</f>
      </c>
      <c r="CI10" s="401" t="str">
        <f>+'Sales Model'!BN19</f>
      </c>
      <c r="CJ10" s="401" t="str">
        <f>+'Sales Model'!BO19</f>
      </c>
      <c r="CK10" s="401" t="str">
        <f>+'Sales Model'!BP19</f>
      </c>
      <c r="CL10" s="572">
        <v>2011</v>
      </c>
      <c r="CM10" s="401" t="str">
        <f>+'Sales Model'!BR19</f>
      </c>
      <c r="CN10" s="401" t="str">
        <f>+'Sales Model'!BS19</f>
      </c>
      <c r="CO10" s="401" t="str">
        <f>+'Sales Model'!BT19</f>
      </c>
      <c r="CP10" s="401" t="str">
        <f>+'Sales Model'!BU19</f>
      </c>
      <c r="CQ10" s="572">
        <v>2012</v>
      </c>
      <c r="CR10" s="401" t="str">
        <f>+'Sales Model'!BW19</f>
      </c>
      <c r="CS10" s="258" t="s">
        <v>567</v>
      </c>
      <c r="CT10" s="258" t="str">
        <f>+'Sales Model'!BY19</f>
      </c>
      <c r="CU10" s="401" t="str">
        <f>+'Sales Model'!BZ19</f>
      </c>
      <c r="CV10" s="572">
        <v>2013</v>
      </c>
      <c r="CW10" s="401" t="s">
        <v>575</v>
      </c>
      <c r="CX10" s="258" t="s">
        <v>576</v>
      </c>
      <c r="CY10" s="258" t="s">
        <v>577</v>
      </c>
      <c r="CZ10" s="401" t="s">
        <v>587</v>
      </c>
      <c r="DA10" s="572">
        <v>2014</v>
      </c>
      <c r="DB10" s="401" t="s">
        <v>588</v>
      </c>
      <c r="DC10" s="258" t="s">
        <v>595</v>
      </c>
      <c r="DD10" s="258" t="s">
        <v>596</v>
      </c>
      <c r="DE10" s="401" t="s">
        <v>606</v>
      </c>
      <c r="DF10" s="572">
        <v>2015</v>
      </c>
      <c r="DG10" s="401" t="s">
        <v>594</v>
      </c>
      <c r="DH10" s="258" t="s">
        <v>613</v>
      </c>
      <c r="DI10" s="258" t="s">
        <v>614</v>
      </c>
      <c r="DJ10" s="401" t="s">
        <v>620</v>
      </c>
      <c r="DK10" s="572">
        <v>2016</v>
      </c>
      <c r="DL10" s="401" t="s">
        <v>622</v>
      </c>
      <c r="DM10" s="258" t="s">
        <v>623</v>
      </c>
      <c r="DN10" s="258" t="s">
        <v>629</v>
      </c>
      <c r="DO10" s="401" t="s">
        <v>635</v>
      </c>
      <c r="DP10" s="572">
        <v>2017</v>
      </c>
      <c r="DQ10" s="1285" t="s">
        <v>646</v>
      </c>
      <c r="DR10" s="1285" t="s">
        <v>647</v>
      </c>
      <c r="DS10" s="1285" t="s">
        <v>656</v>
      </c>
      <c r="DT10" s="1285" t="s">
        <v>665</v>
      </c>
      <c r="DU10" s="572">
        <v>2018</v>
      </c>
      <c r="DV10" s="1285" t="s">
        <v>741</v>
      </c>
      <c r="DW10" s="1285" t="s">
        <v>746</v>
      </c>
      <c r="DX10" s="1285" t="s">
        <v>748</v>
      </c>
      <c r="DY10" s="1285" t="s">
        <v>752</v>
      </c>
      <c r="DZ10" s="572">
        <v>2019</v>
      </c>
      <c r="EA10" s="1285" t="s">
        <v>753</v>
      </c>
      <c r="EB10" s="1285" t="s">
        <v>754</v>
      </c>
      <c r="EC10" s="1285" t="s">
        <v>766</v>
      </c>
      <c r="ED10" s="1285" t="s">
        <v>767</v>
      </c>
      <c r="EE10" s="572">
        <v>2020</v>
      </c>
      <c r="EF10" s="1285" t="s">
        <v>768</v>
      </c>
      <c r="EG10" s="1285" t="s">
        <v>769</v>
      </c>
      <c r="EH10" s="1285" t="s">
        <v>770</v>
      </c>
      <c r="EI10" s="1285" t="s">
        <v>771</v>
      </c>
      <c r="EJ10" s="572">
        <v>2021</v>
      </c>
      <c r="EK10" s="1285" t="s">
        <v>799</v>
      </c>
      <c r="EL10" s="1285" t="s">
        <v>769</v>
      </c>
      <c r="EM10" s="1285" t="s">
        <v>801</v>
      </c>
      <c r="EN10" s="1285" t="s">
        <v>802</v>
      </c>
      <c r="EO10" s="572">
        <v>2022</v>
      </c>
      <c r="EP10" s="1285" t="s">
        <v>804</v>
      </c>
      <c r="EQ10" s="1285" t="s">
        <v>805</v>
      </c>
      <c r="ER10" s="3192" t="s">
        <v>806</v>
      </c>
      <c r="ES10" s="1285" t="s">
        <v>807</v>
      </c>
      <c r="ET10" s="572">
        <v>2023</v>
      </c>
      <c r="EU10" s="1285" t="s">
        <v>877</v>
      </c>
      <c r="EV10" s="3192" t="s">
        <v>878</v>
      </c>
      <c r="EW10" s="3192" t="s">
        <v>879</v>
      </c>
      <c r="EX10" s="1285" t="s">
        <v>880</v>
      </c>
      <c r="EY10" s="572">
        <v>2024</v>
      </c>
      <c r="EZ10" s="1285" t="s">
        <v>1051</v>
      </c>
      <c r="FA10" s="3192" t="s">
        <v>1107</v>
      </c>
      <c r="FB10" s="3085" t="s">
        <v>982</v>
      </c>
      <c r="FC10" s="2106" t="s">
        <v>983</v>
      </c>
      <c r="FD10" s="2582" t="s">
        <v>630</v>
      </c>
      <c r="FE10" s="2582" t="s">
        <v>826</v>
      </c>
      <c r="FF10" s="2582" t="s">
        <v>827</v>
      </c>
      <c r="FG10" s="2582" t="s">
        <v>901</v>
      </c>
      <c r="FH10" s="2582" t="s">
        <v>907</v>
      </c>
      <c r="FI10" s="2582" t="s">
        <v>910</v>
      </c>
    </row>
    <row r="11" spans="1:165">
      <c r="A11" s="15"/>
      <c r="B11" s="270" t="s">
        <v>264</v>
      </c>
      <c r="C11" s="15"/>
      <c r="D11" s="15"/>
      <c r="E11" s="15"/>
      <c r="F11" s="15"/>
      <c r="G11" s="15"/>
      <c r="H11" s="15"/>
      <c r="I11" s="15"/>
      <c r="J11" s="15"/>
      <c r="K11" s="15"/>
      <c r="L11" s="15"/>
      <c r="M11" s="15"/>
      <c r="N11" s="15"/>
      <c r="O11" s="327"/>
      <c r="P11" s="15"/>
      <c r="Q11" s="15"/>
      <c r="R11" s="15"/>
      <c r="S11" s="15"/>
      <c r="T11" s="327"/>
      <c r="U11" s="15"/>
      <c r="V11" s="15"/>
      <c r="W11" s="15"/>
      <c r="X11" s="15"/>
      <c r="Y11" s="327"/>
      <c r="Z11" s="15"/>
      <c r="AA11" s="15"/>
      <c r="AB11" s="15"/>
      <c r="AC11" s="15"/>
      <c r="AD11" s="327"/>
      <c r="AE11" s="15"/>
      <c r="AF11" s="15"/>
      <c r="AG11" s="15"/>
      <c r="AH11" s="15"/>
      <c r="AI11" s="327"/>
      <c r="AJ11" s="15"/>
      <c r="AK11" s="15"/>
      <c r="AL11" s="15"/>
      <c r="AM11" s="15"/>
      <c r="AN11" s="327"/>
      <c r="AO11" s="15"/>
      <c r="AP11" s="15"/>
      <c r="AQ11" s="15"/>
      <c r="AR11" s="15"/>
      <c r="AS11" s="327"/>
      <c r="AT11" s="15"/>
      <c r="AU11" s="15"/>
      <c r="AV11" s="15"/>
      <c r="AW11" s="15"/>
      <c r="AX11" s="327"/>
      <c r="AY11" s="15"/>
      <c r="AZ11" s="15"/>
      <c r="BA11" s="15"/>
      <c r="BB11" s="15"/>
      <c r="BC11" s="327"/>
      <c r="BD11" s="15"/>
      <c r="BE11" s="15"/>
      <c r="BF11" s="15"/>
      <c r="BG11" s="15"/>
      <c r="BH11" s="327"/>
      <c r="BI11" s="15"/>
      <c r="BJ11" s="15"/>
      <c r="BK11" s="15"/>
      <c r="BL11" s="15"/>
      <c r="BM11" s="327"/>
      <c r="BN11" s="15"/>
      <c r="BO11" s="15"/>
      <c r="BP11" s="15"/>
      <c r="BQ11" s="15"/>
      <c r="BR11" s="327"/>
      <c r="BS11" s="15"/>
      <c r="BT11" s="15"/>
      <c r="BU11" s="15"/>
      <c r="BV11" s="15"/>
      <c r="BW11" s="327"/>
      <c r="BX11" s="15"/>
      <c r="BY11" s="15"/>
      <c r="BZ11" s="15"/>
      <c r="CA11" s="15"/>
      <c r="CB11" s="264"/>
      <c r="CC11" s="15"/>
      <c r="CD11" s="15"/>
      <c r="CE11" s="15"/>
      <c r="CF11" s="15"/>
      <c r="CG11" s="327"/>
      <c r="CH11" s="15"/>
      <c r="CI11" s="15"/>
      <c r="CJ11" s="15"/>
      <c r="CK11" s="132"/>
      <c r="CL11" s="327"/>
      <c r="CM11" s="15"/>
      <c r="CN11" s="15"/>
      <c r="CO11" s="15"/>
      <c r="CP11" s="132"/>
      <c r="CQ11" s="677"/>
      <c r="CR11" s="15"/>
      <c r="CS11" s="15"/>
      <c r="CT11" s="15"/>
      <c r="CU11" s="15"/>
      <c r="CV11" s="327"/>
      <c r="CW11" s="15"/>
      <c r="CX11" s="15"/>
      <c r="CY11" s="15"/>
      <c r="CZ11" s="15"/>
      <c r="DA11" s="327"/>
      <c r="DB11" s="15"/>
      <c r="DC11" s="15"/>
      <c r="DD11" s="15"/>
      <c r="DE11" s="15"/>
      <c r="DF11" s="327"/>
      <c r="DG11" s="15"/>
      <c r="DH11" s="15"/>
      <c r="DI11" s="15"/>
      <c r="DJ11" s="132"/>
      <c r="DK11" s="132"/>
      <c r="DL11" s="15"/>
      <c r="DM11" s="15"/>
      <c r="DN11" s="15"/>
      <c r="DO11" s="132"/>
      <c r="DP11" s="132"/>
      <c r="DQ11" s="15"/>
      <c r="DR11" s="15"/>
      <c r="DS11" s="15"/>
      <c r="DT11" s="590"/>
      <c r="DU11" s="327"/>
      <c r="DV11" s="15"/>
      <c r="DW11" s="15"/>
      <c r="DX11" s="15"/>
      <c r="DY11" s="132"/>
      <c r="DZ11" s="132"/>
      <c r="EA11" s="15"/>
      <c r="EB11" s="15"/>
      <c r="EC11" s="15"/>
      <c r="ED11" s="132"/>
      <c r="EE11" s="132"/>
      <c r="EF11" s="15"/>
      <c r="EG11" s="15"/>
      <c r="EH11" s="15"/>
      <c r="EI11" s="132"/>
      <c r="EJ11" s="132"/>
      <c r="EK11" s="15"/>
      <c r="EL11" s="15"/>
      <c r="EM11" s="15"/>
      <c r="EN11" s="132"/>
      <c r="EO11" s="132"/>
      <c r="EP11" s="15"/>
      <c r="EQ11" s="15"/>
      <c r="ER11" s="15"/>
      <c r="ES11" s="132"/>
      <c r="ET11" s="132"/>
      <c r="EU11" s="15"/>
      <c r="EV11" s="15"/>
      <c r="EW11" s="15"/>
      <c r="EX11" s="132"/>
      <c r="EY11" s="132"/>
      <c r="EZ11" s="15"/>
      <c r="FA11" s="15"/>
      <c r="FB11" s="15"/>
      <c r="FC11" s="132"/>
      <c r="FD11" s="132"/>
      <c r="FE11" s="132"/>
      <c r="FF11" s="132"/>
      <c r="FG11" s="132"/>
      <c r="FH11" s="132"/>
      <c r="FI11" s="132"/>
    </row>
    <row r="12" spans="1:165">
      <c r="A12" s="10"/>
      <c r="B12" s="130" t="s">
        <v>6</v>
      </c>
      <c r="C12" s="10"/>
      <c r="D12" s="10"/>
      <c r="E12" s="577">
        <v>1143</v>
      </c>
      <c r="F12" s="577">
        <v>1461</v>
      </c>
      <c r="G12" s="577">
        <v>1030</v>
      </c>
      <c r="H12" s="577">
        <v>1787</v>
      </c>
      <c r="I12" s="577">
        <v>2006</v>
      </c>
      <c r="J12" s="577">
        <v>2403</v>
      </c>
      <c r="K12" s="577">
        <v>790</v>
      </c>
      <c r="L12" s="577">
        <v>791</v>
      </c>
      <c r="M12" s="577">
        <v>750</v>
      </c>
      <c r="N12" s="577">
        <v>556</v>
      </c>
      <c r="O12" s="303">
        <f>SUM(K12:N12)</f>
      </c>
      <c r="P12" s="577">
        <v>909</v>
      </c>
      <c r="Q12" s="577">
        <v>909</v>
      </c>
      <c r="R12" s="577">
        <v>855</v>
      </c>
      <c r="S12" s="577">
        <v>638</v>
      </c>
      <c r="T12" s="303">
        <f>SUM(P12:S12)</f>
      </c>
      <c r="U12" s="577">
        <v>1010</v>
      </c>
      <c r="V12" s="577">
        <v>1005</v>
      </c>
      <c r="W12" s="577">
        <v>961</v>
      </c>
      <c r="X12" s="577">
        <v>27</v>
      </c>
      <c r="Y12" s="303">
        <f>SUM(U12:X12)</f>
      </c>
      <c r="Z12" s="577">
        <v>1138</v>
      </c>
      <c r="AA12" s="577">
        <v>1164</v>
      </c>
      <c r="AB12" s="577">
        <v>1111</v>
      </c>
      <c r="AC12" s="577">
        <v>860</v>
      </c>
      <c r="AD12" s="303">
        <f>SUM(Z12:AC12)</f>
      </c>
      <c r="AE12" s="577">
        <v>1331</v>
      </c>
      <c r="AF12" s="577">
        <v>1363</v>
      </c>
      <c r="AG12" s="577">
        <v>1323</v>
      </c>
      <c r="AH12" s="577">
        <v>936</v>
      </c>
      <c r="AI12" s="303">
        <f>SUM(AE12:AH12)</f>
      </c>
      <c r="AJ12" s="577">
        <v>1552</v>
      </c>
      <c r="AK12" s="577">
        <v>1482</v>
      </c>
      <c r="AL12" s="577">
        <v>1529</v>
      </c>
      <c r="AM12" s="577">
        <v>1105</v>
      </c>
      <c r="AN12" s="303">
        <f>SUM(AJ12:AM12)</f>
      </c>
      <c r="AO12" s="577">
        <v>1834</v>
      </c>
      <c r="AP12" s="577">
        <v>1654</v>
      </c>
      <c r="AQ12" s="577">
        <v>1725</v>
      </c>
      <c r="AR12" s="577">
        <v>1384</v>
      </c>
      <c r="AS12" s="303">
        <f>SUM(AO12:AR12)</f>
      </c>
      <c r="AT12" s="577">
        <v>2070</v>
      </c>
      <c r="AU12" s="577">
        <v>1211</v>
      </c>
      <c r="AV12" s="577">
        <v>2071</v>
      </c>
      <c r="AW12" s="577">
        <v>1845</v>
      </c>
      <c r="AX12" s="303">
        <f>SUM(AT12:AW12)</f>
      </c>
      <c r="AY12" s="577">
        <v>2493</v>
      </c>
      <c r="AZ12" s="577">
        <v>2458</v>
      </c>
      <c r="BA12" s="577">
        <v>2341</v>
      </c>
      <c r="BB12" s="577">
        <v>1217</v>
      </c>
      <c r="BC12" s="303">
        <f>SUM(AY12:BB12)</f>
      </c>
      <c r="BD12" s="577">
        <v>2927</v>
      </c>
      <c r="BE12" s="577">
        <v>2500</v>
      </c>
      <c r="BF12" s="577">
        <v>2801</v>
      </c>
      <c r="BG12" s="577">
        <v>2183</v>
      </c>
      <c r="BH12" s="303">
        <f>SUM(BD12:BG12)</f>
      </c>
      <c r="BI12" s="577">
        <v>3305</v>
      </c>
      <c r="BJ12" s="577">
        <v>2820</v>
      </c>
      <c r="BK12" s="577">
        <v>2760</v>
      </c>
      <c r="BL12" s="577">
        <v>2168</v>
      </c>
      <c r="BM12" s="303">
        <f>SUM(BI12:BL12)</f>
      </c>
      <c r="BN12" s="577">
        <v>2573</v>
      </c>
      <c r="BO12" s="577">
        <v>3081</v>
      </c>
      <c r="BP12" s="577">
        <v>2548</v>
      </c>
      <c r="BQ12" s="577">
        <v>2374</v>
      </c>
      <c r="BR12" s="303">
        <f>SUM(BN12:BQ12)</f>
      </c>
      <c r="BS12" s="577">
        <v>3598</v>
      </c>
      <c r="BT12" s="577">
        <v>3327</v>
      </c>
      <c r="BU12" s="577">
        <v>3310</v>
      </c>
      <c r="BV12" s="577">
        <v>2714</v>
      </c>
      <c r="BW12" s="303">
        <f>SUM(BS12:BV12)</f>
      </c>
      <c r="BX12" s="577">
        <v>3507</v>
      </c>
      <c r="BY12" s="577">
        <f>6715-BX12</f>
      </c>
      <c r="BZ12" s="577">
        <v>3345</v>
      </c>
      <c r="CA12" s="577">
        <v>2206</v>
      </c>
      <c r="CB12" s="67">
        <f>SUM(BX12:CA12)</f>
      </c>
      <c r="CC12" s="577">
        <v>4526</v>
      </c>
      <c r="CD12" s="577">
        <f>7975-CC12</f>
      </c>
      <c r="CE12" s="577">
        <f>11392-CC12-CD12</f>
      </c>
      <c r="CF12" s="577">
        <f>CG12-SUM(CC12:CE12)</f>
      </c>
      <c r="CG12" s="1143">
        <v>13334</v>
      </c>
      <c r="CH12" s="1144">
        <v>3476</v>
      </c>
      <c r="CI12" s="1144">
        <f>6252-CH12</f>
      </c>
      <c r="CJ12" s="1144">
        <f>9454-CH12-CI12</f>
      </c>
      <c r="CK12" s="1144">
        <f>9672-CH12-CI12-CJ12</f>
      </c>
      <c r="CL12" s="1145">
        <f>SUM(CH12:CK12)</f>
      </c>
      <c r="CM12" s="1144">
        <v>3910</v>
      </c>
      <c r="CN12" s="1144">
        <f>5318-CM12</f>
      </c>
      <c r="CO12" s="1144">
        <f>7947-CN12-CM12</f>
      </c>
      <c r="CP12" s="1146">
        <f>+CQ12-SUM(CM12:CO12)</f>
      </c>
      <c r="CQ12" s="1143">
        <v>10514</v>
      </c>
      <c r="CR12" s="1144">
        <v>3497</v>
      </c>
      <c r="CS12" s="1144">
        <f>7330-CR12</f>
      </c>
      <c r="CT12" s="1144">
        <f>10312-CR12-CS12</f>
      </c>
      <c r="CU12" s="1146">
        <f>+CV12-SUM(CR12:CT12)</f>
      </c>
      <c r="CV12" s="1143">
        <v>13831</v>
      </c>
      <c r="CW12" s="1144">
        <v>4727</v>
      </c>
      <c r="CX12" s="1144">
        <f>9053-CW12</f>
      </c>
      <c r="CY12" s="1144">
        <f>13802-CX12-CW12</f>
      </c>
      <c r="CZ12" s="1146">
        <f>+DA12-SUM(CW12:CY12)</f>
      </c>
      <c r="DA12" s="1143">
        <v>16323</v>
      </c>
      <c r="DB12" s="1144">
        <v>4320</v>
      </c>
      <c r="DC12" s="1144">
        <f>8836-DB12</f>
      </c>
      <c r="DD12" s="1144">
        <f>12194-DC12-DB12</f>
      </c>
      <c r="DE12" s="1146">
        <f>+DF12-SUM(DB12:DD12)</f>
      </c>
      <c r="DF12" s="1143">
        <v>15409</v>
      </c>
      <c r="DG12" s="1106">
        <f>+'Income Statement'!ED45</f>
      </c>
      <c r="DH12" s="1144">
        <f>8454-DG12</f>
      </c>
      <c r="DI12" s="1144">
        <f>12726-DH12-DG12</f>
      </c>
      <c r="DJ12" s="1146">
        <f>+DK12-SUM(DG12:DI12)</f>
      </c>
      <c r="DK12" s="1143">
        <v>16540</v>
      </c>
      <c r="DL12" s="1106">
        <f>+'Income Statement'!EI45</f>
      </c>
      <c r="DM12" s="1144">
        <f>8249-DL12</f>
      </c>
      <c r="DN12" s="1144">
        <f>12013-DM12-DL12</f>
      </c>
      <c r="DO12" s="1146">
        <f>+DP12-SUM(DL12:DN12)</f>
      </c>
      <c r="DP12" s="1143">
        <v>1300</v>
      </c>
      <c r="DQ12" s="1106">
        <f>+'Income Statement'!EN45</f>
      </c>
      <c r="DR12" s="1144">
        <f>8321-DQ12</f>
      </c>
      <c r="DS12" s="1144">
        <f>12255-DR12-DQ12</f>
      </c>
      <c r="DT12" s="1288">
        <f>DU12-SUM(DQ12:DS12)</f>
      </c>
      <c r="DU12" s="1414">
        <v>15297</v>
      </c>
      <c r="DV12" s="1144">
        <v>3749</v>
      </c>
      <c r="DW12" s="1144">
        <f>9356-DV12</f>
      </c>
      <c r="DX12" s="1144">
        <f>11109-SUM(DV12:DW12)</f>
      </c>
      <c r="DY12" s="1288">
        <f>DZ12-SUM(DV12:DX12)</f>
      </c>
      <c r="DZ12" s="1414">
        <v>15119</v>
      </c>
      <c r="EA12" s="1144">
        <v>5796</v>
      </c>
      <c r="EB12" s="1144">
        <f>9422-EA12</f>
      </c>
      <c r="EC12" s="1540">
        <f>12976-SUM(EA12:EB12)</f>
      </c>
      <c r="ED12" s="1288">
        <f>EE12-SUM(EA12:EC12)</f>
      </c>
      <c r="EE12" s="1414">
        <v>14714</v>
      </c>
      <c r="EF12" s="1144">
        <v>6197</v>
      </c>
      <c r="EG12" s="1540">
        <f>12475-EF12</f>
      </c>
      <c r="EH12" s="1540">
        <f>16142-SUM(EF12:EG12)</f>
      </c>
      <c r="EI12" s="1288">
        <f>EJ12-SUM(EF12:EH12)</f>
      </c>
      <c r="EJ12" s="1414">
        <v>20878</v>
      </c>
      <c r="EK12" s="1144">
        <v>5149</v>
      </c>
      <c r="EL12" s="1144">
        <f>9963-EK12</f>
      </c>
      <c r="EM12" s="1144">
        <f>14421-SUM(EK12:EL12)</f>
      </c>
      <c r="EN12" s="1288">
        <f>EO12-SUM(EK12:EM12)</f>
      </c>
      <c r="EO12" s="1288">
        <v>17941</v>
      </c>
      <c r="EP12" s="1144">
        <v>-68</v>
      </c>
      <c r="EQ12" s="1144">
        <f>5076-EP12</f>
      </c>
      <c r="ER12" s="1144">
        <f>31104-EQ12-EP12</f>
      </c>
      <c r="ES12" s="1414">
        <f>35153-SUM(EP12:ER12)</f>
      </c>
      <c r="ET12" s="1288">
        <f>SUM(EP12:ES12)</f>
      </c>
      <c r="EU12" s="1144">
        <v>3255</v>
      </c>
      <c r="EV12" s="1144">
        <f>7941-SUM(EU12)</f>
      </c>
      <c r="EW12" s="1144">
        <f>10635-EV12-EU12</f>
      </c>
      <c r="EX12" s="1414">
        <f>14066-SUM(EU12:EW12)+A1</f>
      </c>
      <c r="EY12" s="1288">
        <f>SUM(EU12:EX12)</f>
      </c>
      <c r="EZ12" s="1144">
        <v>10999</v>
      </c>
      <c r="FA12" s="1144">
        <f>16536-SUM(EZ12)</f>
      </c>
      <c r="FB12" s="2772">
        <f>+'Income Statement'!GF47</f>
      </c>
      <c r="FC12" s="2772">
        <f>+'Income Statement'!GG47</f>
      </c>
      <c r="FD12" s="3599">
        <f>+'Income Statement'!GH47</f>
      </c>
      <c r="FE12" s="3235">
        <f ca="1">+'Income Statement'!GI47</f>
      </c>
      <c r="FF12" s="3235">
        <f ca="1">+'Income Statement'!GJ47</f>
      </c>
      <c r="FG12" s="3235">
        <f ca="1">+'Income Statement'!GK47</f>
      </c>
      <c r="FH12" s="3235">
        <f ca="1">+'Income Statement'!GL47</f>
      </c>
      <c r="FI12" s="3235">
        <f ca="1">+'Income Statement'!GM47</f>
      </c>
    </row>
    <row r="13" spans="1:165" outlineLevel="1">
      <c r="A13" s="10"/>
      <c r="B13" s="130" t="s">
        <v>219</v>
      </c>
      <c r="C13" s="10"/>
      <c r="D13" s="10"/>
      <c r="E13" s="577"/>
      <c r="F13" s="577"/>
      <c r="G13" s="577"/>
      <c r="H13" s="577"/>
      <c r="I13" s="577"/>
      <c r="J13" s="577"/>
      <c r="K13" s="577">
        <v>0</v>
      </c>
      <c r="L13" s="577">
        <v>0</v>
      </c>
      <c r="M13" s="577">
        <v>0</v>
      </c>
      <c r="N13" s="577">
        <v>0</v>
      </c>
      <c r="O13" s="303">
        <f t="shared" ref="O13:O29" si="0">SUM(K13:N13)</f>
      </c>
      <c r="P13" s="577">
        <v>0</v>
      </c>
      <c r="Q13" s="577">
        <v>0</v>
      </c>
      <c r="R13" s="577">
        <v>0</v>
      </c>
      <c r="S13" s="577">
        <v>0</v>
      </c>
      <c r="T13" s="303">
        <f t="shared" ref="T13:T29" si="1">SUM(P13:S13)</f>
      </c>
      <c r="U13" s="577">
        <v>0</v>
      </c>
      <c r="V13" s="577">
        <v>0</v>
      </c>
      <c r="W13" s="577">
        <v>0</v>
      </c>
      <c r="X13" s="577">
        <v>0</v>
      </c>
      <c r="Y13" s="303">
        <f t="shared" ref="Y13:Y29" si="2">SUM(U13:X13)</f>
      </c>
      <c r="Z13" s="577">
        <v>0</v>
      </c>
      <c r="AA13" s="577">
        <v>0</v>
      </c>
      <c r="AB13" s="577">
        <v>0</v>
      </c>
      <c r="AC13" s="577">
        <v>0</v>
      </c>
      <c r="AD13" s="303">
        <f t="shared" ref="AD13:AD29" si="3">SUM(Z13:AC13)</f>
      </c>
      <c r="AE13" s="577">
        <v>0</v>
      </c>
      <c r="AF13" s="577">
        <v>0</v>
      </c>
      <c r="AG13" s="577">
        <v>0</v>
      </c>
      <c r="AH13" s="577">
        <v>0</v>
      </c>
      <c r="AI13" s="303">
        <f t="shared" ref="AI13:AI29" si="4">SUM(AE13:AH13)</f>
      </c>
      <c r="AJ13" s="577">
        <v>0</v>
      </c>
      <c r="AK13" s="577">
        <v>0</v>
      </c>
      <c r="AL13" s="577">
        <v>0</v>
      </c>
      <c r="AM13" s="577">
        <v>0</v>
      </c>
      <c r="AN13" s="303">
        <f t="shared" ref="AN13:AN29" si="5">SUM(AJ13:AM13)</f>
      </c>
      <c r="AO13" s="577">
        <v>0</v>
      </c>
      <c r="AP13" s="577">
        <v>0</v>
      </c>
      <c r="AQ13" s="577">
        <v>0</v>
      </c>
      <c r="AR13" s="577">
        <v>0</v>
      </c>
      <c r="AS13" s="303">
        <f t="shared" ref="AS13:AS29" si="6">SUM(AO13:AR13)</f>
      </c>
      <c r="AT13" s="577">
        <v>0</v>
      </c>
      <c r="AU13" s="577">
        <v>0</v>
      </c>
      <c r="AV13" s="577">
        <v>0</v>
      </c>
      <c r="AW13" s="577">
        <v>0</v>
      </c>
      <c r="AX13" s="303">
        <f t="shared" ref="AX13:AX29" si="7">SUM(AT13:AW13)</f>
      </c>
      <c r="AY13" s="577">
        <v>0</v>
      </c>
      <c r="AZ13" s="577">
        <v>0</v>
      </c>
      <c r="BA13" s="577">
        <v>0</v>
      </c>
      <c r="BB13" s="577">
        <v>0</v>
      </c>
      <c r="BC13" s="303">
        <f t="shared" ref="BC13:BC29" si="8">SUM(AY13:BB13)</f>
      </c>
      <c r="BD13" s="577">
        <v>0</v>
      </c>
      <c r="BE13" s="577">
        <v>0</v>
      </c>
      <c r="BF13" s="577">
        <v>0</v>
      </c>
      <c r="BG13" s="577">
        <v>0</v>
      </c>
      <c r="BH13" s="303">
        <f t="shared" ref="BH13:BH29" si="9">SUM(BD13:BG13)</f>
      </c>
      <c r="BI13" s="577">
        <v>0</v>
      </c>
      <c r="BJ13" s="577">
        <v>0</v>
      </c>
      <c r="BK13" s="577">
        <v>0</v>
      </c>
      <c r="BL13" s="577">
        <v>0</v>
      </c>
      <c r="BM13" s="303">
        <f t="shared" ref="BM13:BM29" si="10">SUM(BI13:BL13)</f>
      </c>
      <c r="BN13" s="577">
        <v>0</v>
      </c>
      <c r="BO13" s="577">
        <v>0</v>
      </c>
      <c r="BP13" s="577">
        <v>0</v>
      </c>
      <c r="BQ13" s="577">
        <v>0</v>
      </c>
      <c r="BR13" s="303">
        <f t="shared" ref="BR13:BR29" si="11">SUM(BN13:BQ13)</f>
      </c>
      <c r="BS13" s="577">
        <v>0</v>
      </c>
      <c r="BT13" s="577">
        <v>0</v>
      </c>
      <c r="BU13" s="577">
        <v>0</v>
      </c>
      <c r="BV13" s="577">
        <v>0</v>
      </c>
      <c r="BW13" s="303">
        <f t="shared" ref="BW13:BW29" si="12">SUM(BS13:BV13)</f>
      </c>
      <c r="BX13" s="577">
        <v>0</v>
      </c>
      <c r="BY13" s="577">
        <v>0</v>
      </c>
      <c r="BZ13" s="577">
        <v>0</v>
      </c>
      <c r="CA13" s="577">
        <v>0</v>
      </c>
      <c r="CB13" s="67">
        <f t="shared" ref="CB13:CB27" si="13">SUM(BX13:CA13)</f>
      </c>
      <c r="CC13" s="577">
        <v>0</v>
      </c>
      <c r="CD13" s="577">
        <v>0</v>
      </c>
      <c r="CE13" s="577">
        <v>0</v>
      </c>
      <c r="CF13" s="577">
        <f t="shared" ref="CF13:CF27" si="14">CG13-SUM(CC13:CE13)</f>
      </c>
      <c r="CG13" s="1143">
        <v>0</v>
      </c>
      <c r="CH13" s="1144">
        <v>0</v>
      </c>
      <c r="CI13" s="1144">
        <v>0</v>
      </c>
      <c r="CJ13" s="1144">
        <v>0</v>
      </c>
      <c r="CK13" s="1144">
        <v>0</v>
      </c>
      <c r="CL13" s="1143">
        <v>0</v>
      </c>
      <c r="CM13" s="1144"/>
      <c r="CN13" s="1144"/>
      <c r="CO13" s="1144"/>
      <c r="CP13" s="1146"/>
      <c r="CQ13" s="1143"/>
      <c r="CR13" s="1144"/>
      <c r="CS13" s="1144"/>
      <c r="CT13" s="1144"/>
      <c r="CU13" s="1146"/>
      <c r="CV13" s="1145"/>
      <c r="CW13" s="1147"/>
      <c r="CX13" s="1147"/>
      <c r="CY13" s="1147"/>
      <c r="CZ13" s="1146"/>
      <c r="DA13" s="1145"/>
      <c r="DB13" s="1144">
        <v>0</v>
      </c>
      <c r="DC13" s="1147">
        <v>0</v>
      </c>
      <c r="DD13" s="1144">
        <v>0</v>
      </c>
      <c r="DE13" s="1146"/>
      <c r="DF13" s="1145">
        <v>0</v>
      </c>
      <c r="DG13" s="1144">
        <v>0</v>
      </c>
      <c r="DH13" s="1147">
        <v>0</v>
      </c>
      <c r="DI13" s="1144">
        <v>0</v>
      </c>
      <c r="DJ13" s="1146"/>
      <c r="DK13" s="1143">
        <v>0</v>
      </c>
      <c r="DL13" s="1144">
        <v>0</v>
      </c>
      <c r="DM13" s="1147">
        <v>0</v>
      </c>
      <c r="DN13" s="1106">
        <v>0</v>
      </c>
      <c r="DO13" s="1146"/>
      <c r="DP13" s="1143">
        <v>0</v>
      </c>
      <c r="DQ13" s="1144"/>
      <c r="DR13" s="1147"/>
      <c r="DS13" s="1147"/>
      <c r="DT13" s="1288"/>
      <c r="DU13" s="1414"/>
      <c r="DV13" s="1144"/>
      <c r="DW13" s="1144"/>
      <c r="DX13" s="1106"/>
      <c r="DY13" s="1288"/>
      <c r="DZ13" s="1414"/>
      <c r="EA13" s="1106"/>
      <c r="EB13" s="1106"/>
      <c r="EC13" s="1541"/>
      <c r="ED13" s="1288"/>
      <c r="EE13" s="1288"/>
      <c r="EF13" s="1106"/>
      <c r="EG13" s="1106"/>
      <c r="EH13" s="1106"/>
      <c r="EI13" s="1288"/>
      <c r="EJ13" s="1288"/>
      <c r="EK13" s="1144"/>
      <c r="EL13" s="1106"/>
      <c r="EM13" s="1106"/>
      <c r="EN13" s="1288"/>
      <c r="EO13" s="1288"/>
      <c r="EP13" s="1144"/>
      <c r="EQ13" s="1144"/>
      <c r="ER13" s="1144"/>
      <c r="ES13" s="1288"/>
      <c r="ET13" s="1288"/>
      <c r="EU13" s="1144"/>
      <c r="EV13" s="1144"/>
      <c r="EW13" s="1144"/>
      <c r="EX13" s="1288"/>
      <c r="EY13" s="1288"/>
      <c r="EZ13" s="1144"/>
      <c r="FA13" s="1144"/>
      <c r="FB13" s="1106"/>
      <c r="FC13" s="1288"/>
      <c r="FD13" s="1288"/>
      <c r="FE13" s="1288"/>
      <c r="FF13" s="1288"/>
      <c r="FG13" s="1288"/>
      <c r="FH13" s="1288"/>
      <c r="FI13" s="1288"/>
    </row>
    <row r="14" spans="1:165" outlineLevel="1">
      <c r="A14" s="10"/>
      <c r="B14" s="130"/>
      <c r="C14" s="10" t="s">
        <v>220</v>
      </c>
      <c r="D14" s="10"/>
      <c r="E14" s="577">
        <v>0</v>
      </c>
      <c r="F14" s="577">
        <v>0</v>
      </c>
      <c r="G14" s="577">
        <v>595</v>
      </c>
      <c r="H14" s="577">
        <v>0</v>
      </c>
      <c r="I14" s="577">
        <v>0</v>
      </c>
      <c r="J14" s="577">
        <v>0</v>
      </c>
      <c r="K14" s="577">
        <v>0</v>
      </c>
      <c r="L14" s="577">
        <v>0</v>
      </c>
      <c r="M14" s="577">
        <v>0</v>
      </c>
      <c r="N14" s="577">
        <v>0</v>
      </c>
      <c r="O14" s="303">
        <f t="shared" si="0"/>
      </c>
      <c r="P14" s="577">
        <v>0</v>
      </c>
      <c r="Q14" s="577">
        <v>0</v>
      </c>
      <c r="R14" s="577">
        <v>0</v>
      </c>
      <c r="S14" s="577">
        <v>0</v>
      </c>
      <c r="T14" s="303">
        <f t="shared" si="1"/>
      </c>
      <c r="U14" s="577">
        <v>0</v>
      </c>
      <c r="V14" s="577">
        <v>0</v>
      </c>
      <c r="W14" s="577">
        <v>0</v>
      </c>
      <c r="X14" s="577">
        <v>0</v>
      </c>
      <c r="Y14" s="303">
        <f t="shared" si="2"/>
      </c>
      <c r="Z14" s="577">
        <v>0</v>
      </c>
      <c r="AA14" s="577">
        <v>0</v>
      </c>
      <c r="AB14" s="577">
        <v>0</v>
      </c>
      <c r="AC14" s="577">
        <v>0</v>
      </c>
      <c r="AD14" s="303">
        <f t="shared" si="3"/>
      </c>
      <c r="AE14" s="577">
        <v>0</v>
      </c>
      <c r="AF14" s="577">
        <v>0</v>
      </c>
      <c r="AG14" s="577">
        <v>0</v>
      </c>
      <c r="AH14" s="577">
        <v>0</v>
      </c>
      <c r="AI14" s="303">
        <f t="shared" si="4"/>
      </c>
      <c r="AJ14" s="577">
        <v>0</v>
      </c>
      <c r="AK14" s="577">
        <v>0</v>
      </c>
      <c r="AL14" s="577">
        <v>0</v>
      </c>
      <c r="AM14" s="577">
        <v>0</v>
      </c>
      <c r="AN14" s="303">
        <f t="shared" si="5"/>
      </c>
      <c r="AO14" s="577">
        <v>0</v>
      </c>
      <c r="AP14" s="577">
        <v>0</v>
      </c>
      <c r="AQ14" s="577">
        <v>0</v>
      </c>
      <c r="AR14" s="577">
        <v>0</v>
      </c>
      <c r="AS14" s="303">
        <f t="shared" si="6"/>
      </c>
      <c r="AT14" s="577">
        <v>0</v>
      </c>
      <c r="AU14" s="577">
        <v>0</v>
      </c>
      <c r="AV14" s="577">
        <v>0</v>
      </c>
      <c r="AW14" s="577">
        <v>0</v>
      </c>
      <c r="AX14" s="303">
        <f t="shared" si="7"/>
      </c>
      <c r="AY14" s="577">
        <v>0</v>
      </c>
      <c r="AZ14" s="577">
        <v>0</v>
      </c>
      <c r="BA14" s="577">
        <v>0</v>
      </c>
      <c r="BB14" s="577">
        <v>0</v>
      </c>
      <c r="BC14" s="303">
        <f t="shared" si="8"/>
      </c>
      <c r="BD14" s="577">
        <v>0</v>
      </c>
      <c r="BE14" s="577">
        <v>0</v>
      </c>
      <c r="BF14" s="577">
        <v>0</v>
      </c>
      <c r="BG14" s="577">
        <v>0</v>
      </c>
      <c r="BH14" s="303">
        <f t="shared" si="9"/>
      </c>
      <c r="BI14" s="577">
        <v>0</v>
      </c>
      <c r="BJ14" s="577">
        <v>0</v>
      </c>
      <c r="BK14" s="577">
        <v>0</v>
      </c>
      <c r="BL14" s="577">
        <v>0</v>
      </c>
      <c r="BM14" s="303">
        <f t="shared" si="10"/>
      </c>
      <c r="BN14" s="577">
        <v>0</v>
      </c>
      <c r="BO14" s="577">
        <v>0</v>
      </c>
      <c r="BP14" s="577">
        <v>0</v>
      </c>
      <c r="BQ14" s="577">
        <v>0</v>
      </c>
      <c r="BR14" s="303">
        <f t="shared" si="11"/>
      </c>
      <c r="BS14" s="577">
        <v>0</v>
      </c>
      <c r="BT14" s="577">
        <v>0</v>
      </c>
      <c r="BU14" s="577">
        <v>0</v>
      </c>
      <c r="BV14" s="577">
        <v>0</v>
      </c>
      <c r="BW14" s="303">
        <f t="shared" si="12"/>
      </c>
      <c r="BX14" s="577">
        <v>0</v>
      </c>
      <c r="BY14" s="577">
        <v>0</v>
      </c>
      <c r="BZ14" s="577">
        <v>0</v>
      </c>
      <c r="CA14" s="577">
        <v>0</v>
      </c>
      <c r="CB14" s="67">
        <f t="shared" si="13"/>
      </c>
      <c r="CC14" s="577">
        <v>0</v>
      </c>
      <c r="CD14" s="577">
        <v>0</v>
      </c>
      <c r="CE14" s="577">
        <v>0</v>
      </c>
      <c r="CF14" s="577">
        <f t="shared" si="14"/>
      </c>
      <c r="CG14" s="1143">
        <v>0</v>
      </c>
      <c r="CH14" s="1144">
        <v>0</v>
      </c>
      <c r="CI14" s="1144">
        <v>0</v>
      </c>
      <c r="CJ14" s="1144">
        <v>0</v>
      </c>
      <c r="CK14" s="1144">
        <v>0</v>
      </c>
      <c r="CL14" s="1143">
        <v>0</v>
      </c>
      <c r="CM14" s="1144"/>
      <c r="CN14" s="1144"/>
      <c r="CO14" s="1144"/>
      <c r="CP14" s="1146"/>
      <c r="CQ14" s="1143"/>
      <c r="CR14" s="1144"/>
      <c r="CS14" s="1144"/>
      <c r="CT14" s="1144"/>
      <c r="CU14" s="1146"/>
      <c r="CV14" s="1143"/>
      <c r="CW14" s="1147"/>
      <c r="CX14" s="1147"/>
      <c r="CY14" s="1147"/>
      <c r="CZ14" s="1146"/>
      <c r="DA14" s="1145"/>
      <c r="DB14" s="1144">
        <v>0</v>
      </c>
      <c r="DC14" s="1147">
        <v>0</v>
      </c>
      <c r="DD14" s="1144">
        <v>0</v>
      </c>
      <c r="DE14" s="1146"/>
      <c r="DF14" s="1145">
        <v>0</v>
      </c>
      <c r="DG14" s="1144">
        <v>0</v>
      </c>
      <c r="DH14" s="1147">
        <v>0</v>
      </c>
      <c r="DI14" s="1144">
        <v>0</v>
      </c>
      <c r="DJ14" s="1146"/>
      <c r="DK14" s="1143">
        <v>0</v>
      </c>
      <c r="DL14" s="1144">
        <v>0</v>
      </c>
      <c r="DM14" s="1147">
        <v>0</v>
      </c>
      <c r="DN14" s="1106">
        <v>0</v>
      </c>
      <c r="DO14" s="1146"/>
      <c r="DP14" s="1143">
        <v>0</v>
      </c>
      <c r="DQ14" s="1144">
        <v>0</v>
      </c>
      <c r="DR14" s="1147">
        <v>0</v>
      </c>
      <c r="DS14" s="1147">
        <v>0</v>
      </c>
      <c r="DT14" s="1288">
        <f t="shared" ref="DT14:DT27" si="15">DU14-SUM(DQ14:DS14)</f>
      </c>
      <c r="DU14" s="1414">
        <v>0</v>
      </c>
      <c r="DV14" s="1144">
        <v>0</v>
      </c>
      <c r="DW14" s="1144">
        <v>0</v>
      </c>
      <c r="DX14" s="1144">
        <v>0</v>
      </c>
      <c r="DY14" s="1288">
        <f t="shared" ref="DY14:DY27" si="16">DZ14-SUM(DV14:DX14)</f>
      </c>
      <c r="DZ14" s="1414">
        <v>0</v>
      </c>
      <c r="EA14" s="1144">
        <v>0</v>
      </c>
      <c r="EB14" s="1144">
        <v>0</v>
      </c>
      <c r="EC14" s="1540">
        <v>0</v>
      </c>
      <c r="ED14" s="1288">
        <f t="shared" ref="ED14:ED27" si="17">EE14-SUM(EA14:EC14)</f>
      </c>
      <c r="EE14" s="1414">
        <v>0</v>
      </c>
      <c r="EF14" s="1144">
        <v>0</v>
      </c>
      <c r="EG14" s="1144">
        <v>0</v>
      </c>
      <c r="EH14" s="1144">
        <v>0</v>
      </c>
      <c r="EI14" s="1288">
        <f t="shared" ref="EI14:EI20" si="18">EJ14-SUM(EF14:EH14)</f>
      </c>
      <c r="EJ14" s="1414">
        <v>0</v>
      </c>
      <c r="EK14" s="1144">
        <v>0</v>
      </c>
      <c r="EL14" s="1144">
        <v>0</v>
      </c>
      <c r="EM14" s="1144">
        <v>0</v>
      </c>
      <c r="EN14" s="1288">
        <f t="shared" ref="EN14:EN20" si="19">EO14-SUM(EK14:EM14)</f>
      </c>
      <c r="EO14" s="1414">
        <v>0</v>
      </c>
      <c r="EP14" s="1144">
        <v>0</v>
      </c>
      <c r="EQ14" s="1144">
        <v>0</v>
      </c>
      <c r="ER14" s="1144">
        <v>0</v>
      </c>
      <c r="ES14" s="1414">
        <v>0</v>
      </c>
      <c r="ET14" s="1288">
        <f>SUM(EP14:ES14)</f>
      </c>
      <c r="EU14" s="1144">
        <v>0</v>
      </c>
      <c r="EV14" s="1144">
        <f>0-SUM(EU14)</f>
      </c>
      <c r="EW14" s="1144">
        <v>0</v>
      </c>
      <c r="EX14" s="1414">
        <v>0</v>
      </c>
      <c r="EY14" s="1288">
        <f>SUM(EU14:EX14)</f>
      </c>
      <c r="EZ14" s="1144">
        <v>0</v>
      </c>
      <c r="FA14" s="1144">
        <f>0-SUM(EZ14)</f>
      </c>
      <c r="FB14" s="1144">
        <v>0</v>
      </c>
      <c r="FC14" s="1414">
        <v>0</v>
      </c>
      <c r="FD14" s="1288">
        <f t="shared" ref="FD14:FD20" si="20">SUM(EZ14:FC14)</f>
      </c>
      <c r="FE14" s="1288">
        <v>0</v>
      </c>
      <c r="FF14" s="1288">
        <v>0</v>
      </c>
      <c r="FG14" s="1288">
        <v>0</v>
      </c>
      <c r="FH14" s="1288">
        <v>0</v>
      </c>
      <c r="FI14" s="1288">
        <v>0</v>
      </c>
    </row>
    <row r="15" spans="1:165">
      <c r="A15" s="10"/>
      <c r="B15" s="130"/>
      <c r="C15" s="10" t="s">
        <v>221</v>
      </c>
      <c r="D15" s="10"/>
      <c r="E15" s="577">
        <v>474</v>
      </c>
      <c r="F15" s="577">
        <v>493</v>
      </c>
      <c r="G15" s="577">
        <v>560</v>
      </c>
      <c r="H15" s="577">
        <v>617</v>
      </c>
      <c r="I15" s="577">
        <v>724</v>
      </c>
      <c r="J15" s="577">
        <v>857</v>
      </c>
      <c r="K15" s="577">
        <v>244</v>
      </c>
      <c r="L15" s="577">
        <v>248</v>
      </c>
      <c r="M15" s="577">
        <v>266</v>
      </c>
      <c r="N15" s="577">
        <v>251</v>
      </c>
      <c r="O15" s="303">
        <f t="shared" si="0"/>
      </c>
      <c r="P15" s="577">
        <v>280</v>
      </c>
      <c r="Q15" s="577">
        <v>268</v>
      </c>
      <c r="R15" s="577">
        <v>320</v>
      </c>
      <c r="S15" s="577">
        <v>214</v>
      </c>
      <c r="T15" s="303">
        <f t="shared" si="1"/>
      </c>
      <c r="U15" s="577">
        <v>294</v>
      </c>
      <c r="V15" s="577">
        <v>319</v>
      </c>
      <c r="W15" s="577">
        <v>293</v>
      </c>
      <c r="X15" s="577">
        <v>379</v>
      </c>
      <c r="Y15" s="303">
        <f t="shared" si="2"/>
      </c>
      <c r="Z15" s="577">
        <v>419</v>
      </c>
      <c r="AA15" s="577">
        <v>328</v>
      </c>
      <c r="AB15" s="577">
        <v>389</v>
      </c>
      <c r="AC15" s="577">
        <v>374</v>
      </c>
      <c r="AD15" s="303">
        <f t="shared" si="3"/>
      </c>
      <c r="AE15" s="577">
        <v>450</v>
      </c>
      <c r="AF15" s="577">
        <v>382</v>
      </c>
      <c r="AG15" s="577">
        <v>407</v>
      </c>
      <c r="AH15" s="577">
        <v>353</v>
      </c>
      <c r="AI15" s="303">
        <f t="shared" si="4"/>
      </c>
      <c r="AJ15" s="577">
        <v>412</v>
      </c>
      <c r="AK15" s="577">
        <v>392</v>
      </c>
      <c r="AL15" s="577">
        <v>437</v>
      </c>
      <c r="AM15" s="577">
        <v>364</v>
      </c>
      <c r="AN15" s="303">
        <f t="shared" si="5"/>
      </c>
      <c r="AO15" s="577">
        <v>412</v>
      </c>
      <c r="AP15" s="577">
        <v>420</v>
      </c>
      <c r="AQ15" s="577">
        <v>442</v>
      </c>
      <c r="AR15" s="577">
        <v>388</v>
      </c>
      <c r="AS15" s="303">
        <f t="shared" si="6"/>
      </c>
      <c r="AT15" s="577">
        <v>446</v>
      </c>
      <c r="AU15" s="577">
        <v>422</v>
      </c>
      <c r="AV15" s="577">
        <v>479</v>
      </c>
      <c r="AW15" s="577">
        <v>522</v>
      </c>
      <c r="AX15" s="303">
        <f t="shared" si="7"/>
      </c>
      <c r="AY15" s="577">
        <v>502</v>
      </c>
      <c r="AZ15" s="577">
        <v>525</v>
      </c>
      <c r="BA15" s="577">
        <v>479</v>
      </c>
      <c r="BB15" s="577">
        <v>618</v>
      </c>
      <c r="BC15" s="303">
        <f t="shared" si="8"/>
      </c>
      <c r="BD15" s="577">
        <v>515</v>
      </c>
      <c r="BE15" s="577">
        <v>548</v>
      </c>
      <c r="BF15" s="577">
        <v>523</v>
      </c>
      <c r="BG15" s="577">
        <v>507</v>
      </c>
      <c r="BH15" s="303">
        <f t="shared" si="9"/>
      </c>
      <c r="BI15" s="577">
        <v>521</v>
      </c>
      <c r="BJ15" s="577">
        <v>546</v>
      </c>
      <c r="BK15" s="577">
        <v>539</v>
      </c>
      <c r="BL15" s="577">
        <v>571</v>
      </c>
      <c r="BM15" s="303">
        <f t="shared" si="10"/>
      </c>
      <c r="BN15" s="577">
        <v>622</v>
      </c>
      <c r="BO15" s="577">
        <v>683</v>
      </c>
      <c r="BP15" s="577">
        <v>597</v>
      </c>
      <c r="BQ15" s="577">
        <v>875</v>
      </c>
      <c r="BR15" s="303">
        <f t="shared" si="11"/>
      </c>
      <c r="BS15" s="577">
        <v>666</v>
      </c>
      <c r="BT15" s="577">
        <v>683</v>
      </c>
      <c r="BU15" s="577">
        <v>768</v>
      </c>
      <c r="BV15" s="577">
        <v>715</v>
      </c>
      <c r="BW15" s="303">
        <f t="shared" si="12"/>
      </c>
      <c r="BX15" s="577">
        <v>676</v>
      </c>
      <c r="BY15" s="577">
        <f>1355-BX15</f>
      </c>
      <c r="BZ15" s="577">
        <v>675</v>
      </c>
      <c r="CA15" s="577">
        <v>744</v>
      </c>
      <c r="CB15" s="67">
        <f t="shared" si="13"/>
      </c>
      <c r="CC15" s="577">
        <v>734</v>
      </c>
      <c r="CD15" s="577">
        <f>1445-CC15</f>
      </c>
      <c r="CE15" s="577">
        <f>2170-CC15-CD15</f>
      </c>
      <c r="CF15" s="577">
        <f t="shared" si="14"/>
      </c>
      <c r="CG15" s="1143">
        <v>2939</v>
      </c>
      <c r="CH15" s="1144">
        <v>755</v>
      </c>
      <c r="CI15" s="1144">
        <f>1532-CH15</f>
      </c>
      <c r="CJ15" s="1144">
        <f>2315-CH15-CI15</f>
      </c>
      <c r="CK15" s="1144">
        <f>3158-CH15-CI15-CJ15</f>
      </c>
      <c r="CL15" s="1145">
        <f>SUM(CH15:CK15)</f>
      </c>
      <c r="CM15" s="1144">
        <v>773</v>
      </c>
      <c r="CN15" s="1144">
        <f>1625-CM15</f>
      </c>
      <c r="CO15" s="1144">
        <f>2630-CN15-CM15</f>
      </c>
      <c r="CP15" s="1146">
        <f>+CQ15-SUM(CM15:CO15)</f>
      </c>
      <c r="CQ15" s="1143">
        <v>3666</v>
      </c>
      <c r="CR15" s="1144">
        <v>1036</v>
      </c>
      <c r="CS15" s="1144">
        <f>2026-CR15</f>
      </c>
      <c r="CT15" s="1144">
        <f>3002-CS15-CR15</f>
      </c>
      <c r="CU15" s="1146">
        <f>+CV15-SUM(CR15:CT15)</f>
      </c>
      <c r="CV15" s="1143">
        <v>4104</v>
      </c>
      <c r="CW15" s="1144">
        <v>1013</v>
      </c>
      <c r="CX15" s="1144">
        <f>1965-CW15</f>
      </c>
      <c r="CY15" s="1144">
        <f>2904-CX15-CW15</f>
      </c>
      <c r="CZ15" s="1146">
        <f>+DA15-SUM(CW15:CY15)</f>
      </c>
      <c r="DA15" s="1143">
        <v>3895</v>
      </c>
      <c r="DB15" s="1144">
        <v>895</v>
      </c>
      <c r="DC15" s="1144">
        <f>1784-DB15</f>
      </c>
      <c r="DD15" s="1144">
        <f>2713-DC15-DB15</f>
      </c>
      <c r="DE15" s="1146">
        <f>+DF15-SUM(DB15:DD15)</f>
      </c>
      <c r="DF15" s="1143">
        <v>3746</v>
      </c>
      <c r="DG15" s="1144">
        <v>891</v>
      </c>
      <c r="DH15" s="1144">
        <f>1791-DG15</f>
      </c>
      <c r="DI15" s="1144">
        <f>2699-DH15-DG15</f>
      </c>
      <c r="DJ15" s="1146">
        <f>+DK15-SUM(DG15:DI15)</f>
      </c>
      <c r="DK15" s="1143">
        <v>3754</v>
      </c>
      <c r="DL15" s="1144">
        <v>912</v>
      </c>
      <c r="DM15" s="1144">
        <f>2062-DL15</f>
      </c>
      <c r="DN15" s="1144">
        <f>3773-DM15-DL15</f>
      </c>
      <c r="DO15" s="1146">
        <f>+DP15-SUM(DL15:DN15)</f>
      </c>
      <c r="DP15" s="1143">
        <v>5642</v>
      </c>
      <c r="DQ15" s="1144">
        <v>1746</v>
      </c>
      <c r="DR15" s="1144">
        <f>3463-DQ15</f>
      </c>
      <c r="DS15" s="1144">
        <f>5194-DR15-DQ15</f>
      </c>
      <c r="DT15" s="1288">
        <f t="shared" si="15"/>
      </c>
      <c r="DU15" s="1414">
        <v>6929</v>
      </c>
      <c r="DV15" s="1144">
        <v>1761</v>
      </c>
      <c r="DW15" s="1144">
        <f>3466-DV15</f>
      </c>
      <c r="DX15" s="1144">
        <f>5193-SUM(DV15:DW15)</f>
      </c>
      <c r="DY15" s="1288">
        <f t="shared" si="16"/>
      </c>
      <c r="DZ15" s="1414">
        <v>7009</v>
      </c>
      <c r="EA15" s="1144">
        <v>1747</v>
      </c>
      <c r="EB15" s="1144">
        <f>3473-EA15</f>
      </c>
      <c r="EC15" s="1540">
        <f>5291-SUM(EA15:EB15)</f>
      </c>
      <c r="ED15" s="1288">
        <f t="shared" si="17"/>
      </c>
      <c r="EE15" s="1414">
        <v>7231</v>
      </c>
      <c r="EF15" s="1144">
        <v>1894</v>
      </c>
      <c r="EG15" s="1540">
        <f>3733-EF15</f>
      </c>
      <c r="EH15" s="1144">
        <f>5547-SUM(EF15:EG15)</f>
      </c>
      <c r="EI15" s="1288">
        <f t="shared" si="18"/>
      </c>
      <c r="EJ15" s="1414">
        <v>7390</v>
      </c>
      <c r="EK15" s="1144">
        <v>1769</v>
      </c>
      <c r="EL15" s="1144">
        <f>3513-EK15</f>
      </c>
      <c r="EM15" s="1144">
        <f>5198-SUM(EK15:EL15)</f>
      </c>
      <c r="EN15" s="1288">
        <f t="shared" si="19"/>
      </c>
      <c r="EO15" s="1414">
        <v>6970</v>
      </c>
      <c r="EP15" s="1144">
        <v>1880</v>
      </c>
      <c r="EQ15" s="1144">
        <f>3814-EP15</f>
      </c>
      <c r="ER15" s="1144">
        <f>5643-EQ15-EP15</f>
      </c>
      <c r="ES15" s="1414">
        <f>7486-SUM(EP15:ER15)</f>
      </c>
      <c r="ET15" s="1288">
        <f t="shared" ref="ET15:ET20" si="21">SUM(EP15:ES15)</f>
      </c>
      <c r="EU15" s="1144">
        <v>1815</v>
      </c>
      <c r="EV15" s="1144">
        <f>3597-SUM(EU15)</f>
      </c>
      <c r="EW15" s="1144">
        <f>5443-EV15-EU15</f>
      </c>
      <c r="EX15" s="1414">
        <f>7339-SUM(EU15:EW15)</f>
      </c>
      <c r="EY15" s="1288">
        <f t="shared" ref="EY15:EY20" si="22">SUM(EU15:EX15)</f>
      </c>
      <c r="EZ15" s="1144">
        <v>1772</v>
      </c>
      <c r="FA15" s="1144">
        <f>3715-SUM(EZ15)</f>
      </c>
      <c r="FB15" s="1106">
        <f>+-'Balance Sheet'!EZ138-'Balance Sheet'!EZ160</f>
      </c>
      <c r="FC15" s="1288">
        <f>+-'Balance Sheet'!FA138-'Balance Sheet'!FA160</f>
      </c>
      <c r="FD15" s="2493">
        <f t="shared" si="20"/>
      </c>
      <c r="FE15" s="1288">
        <f>+-'Balance Sheet'!FC138-'Balance Sheet'!FC160</f>
      </c>
      <c r="FF15" s="1288">
        <f>+-'Balance Sheet'!FD138-'Balance Sheet'!FD160</f>
      </c>
      <c r="FG15" s="1288">
        <f>+-'Balance Sheet'!FE138-'Balance Sheet'!FE160</f>
      </c>
      <c r="FH15" s="1288">
        <f>+-'Balance Sheet'!FF138-'Balance Sheet'!FF160</f>
      </c>
      <c r="FI15" s="1288">
        <f>+-'Balance Sheet'!FG138-'Balance Sheet'!FG160</f>
      </c>
    </row>
    <row r="16" spans="1:165">
      <c r="A16" s="10"/>
      <c r="B16" s="130"/>
      <c r="C16" s="10" t="s">
        <v>222</v>
      </c>
      <c r="D16" s="10"/>
      <c r="E16" s="577">
        <v>-46</v>
      </c>
      <c r="F16" s="577">
        <v>-22</v>
      </c>
      <c r="G16" s="577">
        <v>-8</v>
      </c>
      <c r="H16" s="577">
        <v>-19</v>
      </c>
      <c r="I16" s="577">
        <v>-66</v>
      </c>
      <c r="J16" s="577">
        <v>-63</v>
      </c>
      <c r="K16" s="577">
        <v>0</v>
      </c>
      <c r="L16" s="577">
        <v>0</v>
      </c>
      <c r="M16" s="577">
        <v>0</v>
      </c>
      <c r="N16" s="577">
        <v>-3</v>
      </c>
      <c r="O16" s="303">
        <f t="shared" si="0"/>
      </c>
      <c r="P16" s="577">
        <v>0</v>
      </c>
      <c r="Q16" s="577">
        <v>0</v>
      </c>
      <c r="R16" s="577">
        <v>0</v>
      </c>
      <c r="S16" s="577">
        <v>-132</v>
      </c>
      <c r="T16" s="303">
        <f t="shared" si="1"/>
      </c>
      <c r="U16" s="577">
        <v>0</v>
      </c>
      <c r="V16" s="577">
        <v>0</v>
      </c>
      <c r="W16" s="577">
        <v>0</v>
      </c>
      <c r="X16" s="577">
        <v>-297</v>
      </c>
      <c r="Y16" s="303">
        <f t="shared" si="2"/>
      </c>
      <c r="Z16" s="577">
        <v>0</v>
      </c>
      <c r="AA16" s="577">
        <v>0</v>
      </c>
      <c r="AB16" s="577">
        <v>0</v>
      </c>
      <c r="AC16" s="577">
        <v>-26</v>
      </c>
      <c r="AD16" s="303">
        <f t="shared" si="3"/>
      </c>
      <c r="AE16" s="577">
        <v>0</v>
      </c>
      <c r="AF16" s="577">
        <v>0</v>
      </c>
      <c r="AG16" s="577">
        <v>0</v>
      </c>
      <c r="AH16" s="577">
        <v>-128</v>
      </c>
      <c r="AI16" s="303">
        <f t="shared" si="4"/>
      </c>
      <c r="AJ16" s="577">
        <v>0</v>
      </c>
      <c r="AK16" s="577">
        <v>0</v>
      </c>
      <c r="AL16" s="577">
        <v>0</v>
      </c>
      <c r="AM16" s="577">
        <v>-106</v>
      </c>
      <c r="AN16" s="303">
        <f t="shared" si="5"/>
      </c>
      <c r="AO16" s="577">
        <v>0</v>
      </c>
      <c r="AP16" s="577">
        <v>0</v>
      </c>
      <c r="AQ16" s="577">
        <v>0</v>
      </c>
      <c r="AR16" s="577">
        <v>-74</v>
      </c>
      <c r="AS16" s="303">
        <f t="shared" si="6"/>
      </c>
      <c r="AT16" s="577">
        <v>-47</v>
      </c>
      <c r="AU16" s="577">
        <v>-91</v>
      </c>
      <c r="AV16" s="577">
        <v>138</v>
      </c>
      <c r="AW16" s="577">
        <v>-720</v>
      </c>
      <c r="AX16" s="303">
        <f t="shared" si="7"/>
      </c>
      <c r="AY16" s="577">
        <v>-191</v>
      </c>
      <c r="AZ16" s="577">
        <v>-238</v>
      </c>
      <c r="BA16" s="577">
        <v>5</v>
      </c>
      <c r="BB16" s="577">
        <v>-74</v>
      </c>
      <c r="BC16" s="303">
        <f t="shared" si="8"/>
      </c>
      <c r="BD16" s="577">
        <v>100</v>
      </c>
      <c r="BE16" s="577">
        <v>-312</v>
      </c>
      <c r="BF16" s="577">
        <v>-198</v>
      </c>
      <c r="BG16" s="577">
        <v>364</v>
      </c>
      <c r="BH16" s="303">
        <f t="shared" si="9"/>
      </c>
      <c r="BI16" s="577">
        <v>-153</v>
      </c>
      <c r="BJ16" s="577">
        <v>-475</v>
      </c>
      <c r="BK16" s="577">
        <v>-53</v>
      </c>
      <c r="BL16" s="577">
        <v>-487</v>
      </c>
      <c r="BM16" s="303">
        <f t="shared" si="10"/>
      </c>
      <c r="BN16" s="577">
        <v>-5</v>
      </c>
      <c r="BO16" s="577">
        <v>-400</v>
      </c>
      <c r="BP16" s="577">
        <v>-495</v>
      </c>
      <c r="BQ16" s="577">
        <v>-862</v>
      </c>
      <c r="BR16" s="303">
        <f t="shared" si="11"/>
      </c>
      <c r="BS16" s="577">
        <v>-27</v>
      </c>
      <c r="BT16" s="577">
        <v>-295</v>
      </c>
      <c r="BU16" s="577">
        <v>-32</v>
      </c>
      <c r="BV16" s="577">
        <v>376</v>
      </c>
      <c r="BW16" s="303">
        <f t="shared" si="12"/>
      </c>
      <c r="BX16" s="577">
        <v>1212</v>
      </c>
      <c r="BY16" s="577">
        <f>645-BX16</f>
      </c>
      <c r="BZ16" s="577">
        <v>-104</v>
      </c>
      <c r="CA16" s="577">
        <v>-977</v>
      </c>
      <c r="CB16" s="67">
        <f t="shared" si="13"/>
      </c>
      <c r="CC16" s="577">
        <v>960</v>
      </c>
      <c r="CD16" s="577">
        <f>604-CC16</f>
      </c>
      <c r="CE16" s="577">
        <f>644-CC16-CD16</f>
      </c>
      <c r="CF16" s="577">
        <f t="shared" si="14"/>
      </c>
      <c r="CG16" s="1143">
        <v>356</v>
      </c>
      <c r="CH16" s="1144">
        <v>-4</v>
      </c>
      <c r="CI16" s="1144">
        <f>-504-CH16</f>
      </c>
      <c r="CJ16" s="1144">
        <f>-849-CH16-CI16</f>
      </c>
      <c r="CK16" s="1144">
        <f>-836-CH16-CI16-CJ16</f>
      </c>
      <c r="CL16" s="1145">
        <f>SUM(CH16:CK16)</f>
      </c>
      <c r="CM16" s="1144">
        <v>557</v>
      </c>
      <c r="CN16" s="1144">
        <f>-511-CM16</f>
      </c>
      <c r="CO16" s="1144">
        <f>-324-CN16-CM16</f>
      </c>
      <c r="CP16" s="1146">
        <f t="shared" ref="CP16:CP28" si="23">+CQ16-SUM(CM16:CO16)</f>
      </c>
      <c r="CQ16" s="1143">
        <v>-39</v>
      </c>
      <c r="CR16" s="1144">
        <v>365</v>
      </c>
      <c r="CS16" s="1144">
        <f>92-CR16</f>
      </c>
      <c r="CT16" s="1144">
        <f>-224-CS16-CR16</f>
      </c>
      <c r="CU16" s="1146">
        <f t="shared" ref="CU16:CU28" si="24">+CV16-SUM(CR16:CT16)</f>
      </c>
      <c r="CV16" s="1143">
        <v>-607</v>
      </c>
      <c r="CW16" s="1144">
        <v>495</v>
      </c>
      <c r="CX16" s="1144">
        <f>593-CW16</f>
      </c>
      <c r="CY16" s="1144">
        <f>297-CX16-CW16</f>
      </c>
      <c r="CZ16" s="1146">
        <f t="shared" ref="CZ16:CZ28" si="25">+DA16-SUM(CW16:CY16)</f>
      </c>
      <c r="DA16" s="1143">
        <v>441</v>
      </c>
      <c r="DB16" s="1144">
        <v>545</v>
      </c>
      <c r="DC16" s="1144">
        <f>284-DB16</f>
      </c>
      <c r="DD16" s="1144">
        <f>233-DC16-DB16</f>
      </c>
      <c r="DE16" s="1146">
        <f t="shared" ref="DE16:DE28" si="26">+DF16-SUM(DB16:DD16)</f>
      </c>
      <c r="DF16" s="1143">
        <v>-270</v>
      </c>
      <c r="DG16" s="1144">
        <v>393</v>
      </c>
      <c r="DH16" s="1144">
        <f>115-DG16</f>
      </c>
      <c r="DI16" s="1144">
        <f>215-DH16-DG16</f>
      </c>
      <c r="DJ16" s="1146">
        <f t="shared" ref="DJ16:DJ28" si="27">+DK16-SUM(DG16:DI16)</f>
      </c>
      <c r="DK16" s="1143">
        <v>-341</v>
      </c>
      <c r="DL16" s="1144">
        <v>-27</v>
      </c>
      <c r="DM16" s="1144">
        <f>-72-DL16</f>
      </c>
      <c r="DN16" s="1144">
        <f>-407-DM16-DL16</f>
      </c>
      <c r="DO16" s="1146">
        <f>+DP16-SUM(DL16:DN16)</f>
      </c>
      <c r="DP16" s="1143">
        <v>2406</v>
      </c>
      <c r="DQ16" s="1144">
        <v>44</v>
      </c>
      <c r="DR16" s="1144">
        <f>-285-DQ16</f>
      </c>
      <c r="DS16" s="1144">
        <f>53-DR16-DQ16</f>
      </c>
      <c r="DT16" s="1288">
        <f t="shared" si="15"/>
      </c>
      <c r="DU16" s="1414">
        <v>-1016</v>
      </c>
      <c r="DV16" s="1144">
        <v>-362</v>
      </c>
      <c r="DW16" s="1144">
        <f>-694-DV16</f>
      </c>
      <c r="DX16" s="1144">
        <f>-2126-SUM(DV16:DW16)</f>
      </c>
      <c r="DY16" s="1288">
        <f t="shared" si="16"/>
      </c>
      <c r="DZ16" s="1414">
        <v>-2476</v>
      </c>
      <c r="EA16" s="1144">
        <v>54</v>
      </c>
      <c r="EB16" s="1144">
        <f>-428-EA16</f>
      </c>
      <c r="EC16" s="1540">
        <f>-238-SUM(EA16:EB16)</f>
      </c>
      <c r="ED16" s="1288">
        <f t="shared" si="17"/>
      </c>
      <c r="EE16" s="1414">
        <v>-1141</v>
      </c>
      <c r="EF16" s="1144">
        <v>-730</v>
      </c>
      <c r="EG16" s="1540">
        <f>-685-EF16</f>
      </c>
      <c r="EH16" s="1144">
        <f>-2564-SUM(EF16:EG16)</f>
      </c>
      <c r="EI16" s="1288">
        <f t="shared" si="18"/>
      </c>
      <c r="EJ16" s="1414">
        <v>-2079</v>
      </c>
      <c r="EK16" s="1144">
        <v>-926</v>
      </c>
      <c r="EL16" s="1144">
        <f>-2349-EK16</f>
      </c>
      <c r="EM16" s="1144">
        <f>-2488-SUM(EK16:EL16)</f>
      </c>
      <c r="EN16" s="1288">
        <f t="shared" si="19"/>
      </c>
      <c r="EO16" s="1414">
        <v>-1663</v>
      </c>
      <c r="EP16" s="1144">
        <v>-1543</v>
      </c>
      <c r="EQ16" s="1144">
        <f>-2342-EP16</f>
      </c>
      <c r="ER16" s="1144">
        <f>-1782-EQ16-EP16</f>
      </c>
      <c r="ES16" s="1414">
        <f>-4194-SUM(EP16:ER16)</f>
      </c>
      <c r="ET16" s="1288">
        <f t="shared" si="21"/>
      </c>
      <c r="EU16" s="1144">
        <v>-1562</v>
      </c>
      <c r="EV16" s="1144">
        <f>-2257-SUM(EU16)</f>
      </c>
      <c r="EW16" s="1144">
        <f>-2167-EV16-EU16</f>
      </c>
      <c r="EX16" s="1414">
        <f>-2183-SUM(EU16:EW16)</f>
      </c>
      <c r="EY16" s="1288">
        <f t="shared" si="22"/>
      </c>
      <c r="EZ16" s="1144">
        <v>2172</v>
      </c>
      <c r="FA16" s="1144">
        <f>2997-SUM(EZ16)</f>
      </c>
      <c r="FB16" s="1106">
        <f>+'Balance Sheet'!EY25-'Balance Sheet'!EZ25+'Balance Sheet'!EZ38-'Balance Sheet'!EY38</f>
      </c>
      <c r="FC16" s="1288">
        <f>+'Balance Sheet'!EZ25-'Balance Sheet'!FA25+'Balance Sheet'!FA38-'Balance Sheet'!EZ38</f>
      </c>
      <c r="FD16" s="1288">
        <f t="shared" si="20"/>
      </c>
      <c r="FE16" s="1288">
        <f>+'Balance Sheet'!FB25-'Balance Sheet'!FC25+'Balance Sheet'!FC38-'Balance Sheet'!FB38</f>
      </c>
      <c r="FF16" s="1288">
        <f>+'Balance Sheet'!FC25-'Balance Sheet'!FD25+'Balance Sheet'!FD38-'Balance Sheet'!FC38</f>
      </c>
      <c r="FG16" s="1288">
        <f>+'Balance Sheet'!FD25-'Balance Sheet'!FE25+'Balance Sheet'!FE38-'Balance Sheet'!FD38</f>
      </c>
      <c r="FH16" s="1288">
        <f>+'Balance Sheet'!FE25-'Balance Sheet'!FF25+'Balance Sheet'!FF38-'Balance Sheet'!FE38</f>
      </c>
      <c r="FI16" s="1288">
        <f>+'Balance Sheet'!FF25-'Balance Sheet'!FG25+'Balance Sheet'!FG38-'Balance Sheet'!FF38</f>
      </c>
    </row>
    <row r="17" spans="1:165">
      <c r="A17" s="10"/>
      <c r="B17" s="130"/>
      <c r="C17" s="948" t="s">
        <v>608</v>
      </c>
      <c r="D17" s="10"/>
      <c r="E17" s="577">
        <v>0</v>
      </c>
      <c r="F17" s="577">
        <v>0</v>
      </c>
      <c r="G17" s="577">
        <v>0</v>
      </c>
      <c r="H17" s="577">
        <v>0</v>
      </c>
      <c r="I17" s="577">
        <v>0</v>
      </c>
      <c r="J17" s="577">
        <v>0</v>
      </c>
      <c r="K17" s="577">
        <v>0</v>
      </c>
      <c r="L17" s="577">
        <v>0</v>
      </c>
      <c r="M17" s="577">
        <v>0</v>
      </c>
      <c r="N17" s="577">
        <v>0</v>
      </c>
      <c r="O17" s="303">
        <f t="shared" si="0"/>
      </c>
      <c r="P17" s="577">
        <v>0</v>
      </c>
      <c r="Q17" s="577">
        <v>0</v>
      </c>
      <c r="R17" s="577">
        <v>0</v>
      </c>
      <c r="S17" s="577">
        <v>0</v>
      </c>
      <c r="T17" s="303">
        <f t="shared" si="1"/>
      </c>
      <c r="U17" s="577">
        <v>0</v>
      </c>
      <c r="V17" s="577">
        <v>0</v>
      </c>
      <c r="W17" s="577">
        <v>0</v>
      </c>
      <c r="X17" s="577">
        <v>298</v>
      </c>
      <c r="Y17" s="303">
        <f t="shared" si="2"/>
      </c>
      <c r="Z17" s="577">
        <v>0</v>
      </c>
      <c r="AA17" s="577">
        <v>0</v>
      </c>
      <c r="AB17" s="577">
        <v>0</v>
      </c>
      <c r="AC17" s="577">
        <v>0</v>
      </c>
      <c r="AD17" s="303">
        <f t="shared" si="3"/>
      </c>
      <c r="AE17" s="577">
        <v>0</v>
      </c>
      <c r="AF17" s="577">
        <v>0</v>
      </c>
      <c r="AG17" s="577">
        <v>0</v>
      </c>
      <c r="AH17" s="577">
        <v>66</v>
      </c>
      <c r="AI17" s="303">
        <f t="shared" si="4"/>
      </c>
      <c r="AJ17" s="577">
        <v>0</v>
      </c>
      <c r="AK17" s="577">
        <v>0</v>
      </c>
      <c r="AL17" s="577">
        <v>0</v>
      </c>
      <c r="AM17" s="577">
        <v>105</v>
      </c>
      <c r="AN17" s="303">
        <f t="shared" si="5"/>
      </c>
      <c r="AO17" s="577">
        <v>0</v>
      </c>
      <c r="AP17" s="577">
        <v>189</v>
      </c>
      <c r="AQ17" s="577">
        <v>0</v>
      </c>
      <c r="AR17" s="577">
        <v>0</v>
      </c>
      <c r="AS17" s="303">
        <f t="shared" si="6"/>
      </c>
      <c r="AT17" s="577">
        <v>18</v>
      </c>
      <c r="AU17" s="577">
        <v>900</v>
      </c>
      <c r="AV17" s="577">
        <v>0</v>
      </c>
      <c r="AW17" s="577">
        <v>0</v>
      </c>
      <c r="AX17" s="303">
        <f t="shared" si="7"/>
      </c>
      <c r="AY17" s="577">
        <v>0</v>
      </c>
      <c r="AZ17" s="577">
        <v>0</v>
      </c>
      <c r="BA17" s="577">
        <v>18</v>
      </c>
      <c r="BB17" s="577">
        <v>0</v>
      </c>
      <c r="BC17" s="303">
        <f t="shared" si="8"/>
      </c>
      <c r="BD17" s="577">
        <v>0</v>
      </c>
      <c r="BE17" s="577">
        <v>353</v>
      </c>
      <c r="BF17" s="577">
        <v>0</v>
      </c>
      <c r="BG17" s="577">
        <v>9</v>
      </c>
      <c r="BH17" s="303">
        <f t="shared" si="9"/>
      </c>
      <c r="BI17" s="577">
        <v>37</v>
      </c>
      <c r="BJ17" s="577">
        <v>87</v>
      </c>
      <c r="BK17" s="577">
        <v>115</v>
      </c>
      <c r="BL17" s="577">
        <v>320</v>
      </c>
      <c r="BM17" s="303">
        <f t="shared" si="10"/>
      </c>
      <c r="BN17" s="577">
        <v>807</v>
      </c>
      <c r="BO17" s="577">
        <v>0</v>
      </c>
      <c r="BP17" s="577">
        <v>0</v>
      </c>
      <c r="BQ17" s="577">
        <v>0</v>
      </c>
      <c r="BR17" s="303">
        <f t="shared" si="11"/>
      </c>
      <c r="BS17" s="577">
        <v>0</v>
      </c>
      <c r="BT17" s="577">
        <v>40</v>
      </c>
      <c r="BU17" s="577">
        <v>0</v>
      </c>
      <c r="BV17" s="577">
        <v>141</v>
      </c>
      <c r="BW17" s="303">
        <f t="shared" si="12"/>
      </c>
      <c r="BX17" s="577">
        <v>0</v>
      </c>
      <c r="BY17" s="577">
        <v>0</v>
      </c>
      <c r="BZ17" s="577">
        <v>0</v>
      </c>
      <c r="CA17" s="577">
        <v>0</v>
      </c>
      <c r="CB17" s="67">
        <f t="shared" si="13"/>
      </c>
      <c r="CC17" s="577">
        <v>0</v>
      </c>
      <c r="CD17" s="577">
        <v>0</v>
      </c>
      <c r="CE17" s="577">
        <v>0</v>
      </c>
      <c r="CF17" s="577">
        <f t="shared" si="14"/>
      </c>
      <c r="CG17" s="1143">
        <v>0</v>
      </c>
      <c r="CH17" s="1144">
        <v>0</v>
      </c>
      <c r="CI17" s="1144">
        <v>0</v>
      </c>
      <c r="CJ17" s="1144">
        <v>0</v>
      </c>
      <c r="CK17" s="1144">
        <v>0</v>
      </c>
      <c r="CL17" s="1145">
        <f t="shared" ref="CL17:CL27" si="28">SUM(CH17:CK17)</f>
      </c>
      <c r="CM17" s="1144">
        <v>0</v>
      </c>
      <c r="CN17" s="1144">
        <v>0</v>
      </c>
      <c r="CO17" s="1144">
        <v>0</v>
      </c>
      <c r="CP17" s="1146">
        <f t="shared" si="23"/>
      </c>
      <c r="CQ17" s="1143">
        <v>0</v>
      </c>
      <c r="CR17" s="1144">
        <v>108</v>
      </c>
      <c r="CS17" s="1144">
        <f>108-CR17</f>
      </c>
      <c r="CT17" s="1144">
        <f>108-CS17-CR17</f>
      </c>
      <c r="CU17" s="1146">
        <f t="shared" si="24"/>
      </c>
      <c r="CV17" s="1143">
        <v>108</v>
      </c>
      <c r="CW17" s="1147">
        <v>0</v>
      </c>
      <c r="CX17" s="1144">
        <f>63-CW17</f>
      </c>
      <c r="CY17" s="1144">
        <f>89-CX17-CW17</f>
      </c>
      <c r="CZ17" s="1146">
        <f t="shared" si="25"/>
      </c>
      <c r="DA17" s="1143">
        <v>87</v>
      </c>
      <c r="DB17" s="1144">
        <v>0</v>
      </c>
      <c r="DC17" s="1144">
        <v>0</v>
      </c>
      <c r="DD17" s="1144">
        <v>0</v>
      </c>
      <c r="DE17" s="1146">
        <f t="shared" si="26"/>
      </c>
      <c r="DF17" s="1143">
        <v>122</v>
      </c>
      <c r="DG17" s="1144">
        <v>0</v>
      </c>
      <c r="DH17" s="1144">
        <v>0</v>
      </c>
      <c r="DI17" s="1144">
        <v>0</v>
      </c>
      <c r="DJ17" s="1146">
        <f t="shared" si="27"/>
      </c>
      <c r="DK17" s="1143">
        <v>0</v>
      </c>
      <c r="DL17" s="1144">
        <v>0</v>
      </c>
      <c r="DM17" s="1144">
        <v>0</v>
      </c>
      <c r="DN17" s="1144">
        <v>0</v>
      </c>
      <c r="DO17" s="1146">
        <f>+DP17-SUM(DL17:DN17)</f>
      </c>
      <c r="DP17" s="1143">
        <v>0</v>
      </c>
      <c r="DQ17" s="1144">
        <v>0</v>
      </c>
      <c r="DR17" s="1144">
        <v>0</v>
      </c>
      <c r="DS17" s="1144">
        <v>0</v>
      </c>
      <c r="DT17" s="1288">
        <f t="shared" si="15"/>
      </c>
      <c r="DU17" s="1414">
        <v>0</v>
      </c>
      <c r="DV17" s="1144">
        <v>0</v>
      </c>
      <c r="DW17" s="1144">
        <v>0</v>
      </c>
      <c r="DX17" s="1144">
        <v>0</v>
      </c>
      <c r="DY17" s="1288">
        <f t="shared" si="16"/>
      </c>
      <c r="DZ17" s="1414">
        <v>0</v>
      </c>
      <c r="EA17" s="1144">
        <v>0</v>
      </c>
      <c r="EB17" s="1144">
        <v>0</v>
      </c>
      <c r="EC17" s="1540">
        <v>0</v>
      </c>
      <c r="ED17" s="1288">
        <f t="shared" si="17"/>
      </c>
      <c r="EE17" s="1414">
        <v>0</v>
      </c>
      <c r="EF17" s="1144">
        <v>0</v>
      </c>
      <c r="EG17" s="1540">
        <v>0</v>
      </c>
      <c r="EH17" s="1540">
        <v>0</v>
      </c>
      <c r="EI17" s="1288">
        <f t="shared" si="18"/>
      </c>
      <c r="EJ17" s="1414">
        <v>0</v>
      </c>
      <c r="EK17" s="1144">
        <v>0</v>
      </c>
      <c r="EL17" s="1144">
        <v>0</v>
      </c>
      <c r="EM17" s="1144">
        <v>0</v>
      </c>
      <c r="EN17" s="1288">
        <f t="shared" si="19"/>
      </c>
      <c r="EO17" s="1414">
        <v>0</v>
      </c>
      <c r="EP17" s="1144">
        <v>0</v>
      </c>
      <c r="EQ17" s="1144">
        <v>0</v>
      </c>
      <c r="ER17" s="1144">
        <v>0</v>
      </c>
      <c r="ES17" s="3386">
        <v>0</v>
      </c>
      <c r="ET17" s="1288">
        <f t="shared" si="21"/>
      </c>
      <c r="EU17" s="1144">
        <v>0</v>
      </c>
      <c r="EV17" s="1144">
        <f>0-SUM(EU17)</f>
      </c>
      <c r="EW17" s="1144">
        <v>0</v>
      </c>
      <c r="EX17" s="3386">
        <v>0</v>
      </c>
      <c r="EY17" s="1288">
        <f t="shared" si="22"/>
      </c>
      <c r="EZ17" s="1144">
        <v>0</v>
      </c>
      <c r="FA17" s="1144">
        <f>0-SUM(EZ17)</f>
      </c>
      <c r="FB17" s="1106">
        <v>0</v>
      </c>
      <c r="FC17" s="1297">
        <v>0</v>
      </c>
      <c r="FD17" s="1288">
        <f t="shared" si="20"/>
      </c>
      <c r="FE17" s="1288">
        <v>0</v>
      </c>
      <c r="FF17" s="1288">
        <v>0</v>
      </c>
      <c r="FG17" s="1288">
        <v>0</v>
      </c>
      <c r="FH17" s="1288">
        <v>0</v>
      </c>
      <c r="FI17" s="1288">
        <v>0</v>
      </c>
    </row>
    <row r="18" spans="1:165">
      <c r="A18" s="10"/>
      <c r="B18" s="130"/>
      <c r="C18" s="10" t="s">
        <v>399</v>
      </c>
      <c r="D18" s="10"/>
      <c r="E18" s="577"/>
      <c r="F18" s="577"/>
      <c r="G18" s="577"/>
      <c r="H18" s="577"/>
      <c r="I18" s="577"/>
      <c r="J18" s="577"/>
      <c r="K18" s="577">
        <v>0</v>
      </c>
      <c r="L18" s="577">
        <v>0</v>
      </c>
      <c r="M18" s="577">
        <v>0</v>
      </c>
      <c r="N18" s="577">
        <v>0</v>
      </c>
      <c r="O18" s="303">
        <f t="shared" si="0"/>
      </c>
      <c r="P18" s="577">
        <v>0</v>
      </c>
      <c r="Q18" s="577">
        <v>0</v>
      </c>
      <c r="R18" s="577">
        <v>0</v>
      </c>
      <c r="S18" s="577">
        <v>0</v>
      </c>
      <c r="T18" s="303">
        <f t="shared" si="1"/>
      </c>
      <c r="U18" s="577">
        <v>0</v>
      </c>
      <c r="V18" s="577">
        <v>0</v>
      </c>
      <c r="W18" s="577">
        <v>0</v>
      </c>
      <c r="X18" s="577">
        <v>0</v>
      </c>
      <c r="Y18" s="303">
        <f t="shared" si="2"/>
      </c>
      <c r="Z18" s="577">
        <v>0</v>
      </c>
      <c r="AA18" s="577">
        <v>0</v>
      </c>
      <c r="AB18" s="577">
        <v>0</v>
      </c>
      <c r="AC18" s="577">
        <v>0</v>
      </c>
      <c r="AD18" s="303">
        <f t="shared" si="3"/>
      </c>
      <c r="AE18" s="577">
        <v>0</v>
      </c>
      <c r="AF18" s="577">
        <v>0</v>
      </c>
      <c r="AG18" s="577">
        <v>0</v>
      </c>
      <c r="AH18" s="577">
        <v>0</v>
      </c>
      <c r="AI18" s="303">
        <f t="shared" si="4"/>
      </c>
      <c r="AJ18" s="577">
        <v>0</v>
      </c>
      <c r="AK18" s="577">
        <v>0</v>
      </c>
      <c r="AL18" s="577">
        <v>0</v>
      </c>
      <c r="AM18" s="577">
        <v>0</v>
      </c>
      <c r="AN18" s="303">
        <f t="shared" si="5"/>
      </c>
      <c r="AO18" s="577">
        <v>0</v>
      </c>
      <c r="AP18" s="577">
        <v>0</v>
      </c>
      <c r="AQ18" s="577">
        <v>0</v>
      </c>
      <c r="AR18" s="577">
        <v>0</v>
      </c>
      <c r="AS18" s="303">
        <f t="shared" si="6"/>
      </c>
      <c r="AT18" s="577">
        <v>0</v>
      </c>
      <c r="AU18" s="577">
        <v>0</v>
      </c>
      <c r="AV18" s="577">
        <v>0</v>
      </c>
      <c r="AW18" s="577">
        <v>0</v>
      </c>
      <c r="AX18" s="303">
        <f t="shared" si="7"/>
      </c>
      <c r="AY18" s="577">
        <v>0</v>
      </c>
      <c r="AZ18" s="577">
        <v>0</v>
      </c>
      <c r="BA18" s="577">
        <v>0</v>
      </c>
      <c r="BB18" s="577">
        <v>0</v>
      </c>
      <c r="BC18" s="303">
        <f t="shared" si="8"/>
      </c>
      <c r="BD18" s="577">
        <v>0</v>
      </c>
      <c r="BE18" s="577">
        <v>0</v>
      </c>
      <c r="BF18" s="577">
        <v>0</v>
      </c>
      <c r="BG18" s="577">
        <v>0</v>
      </c>
      <c r="BH18" s="303">
        <f t="shared" si="9"/>
      </c>
      <c r="BI18" s="577">
        <v>0</v>
      </c>
      <c r="BJ18" s="577">
        <v>0</v>
      </c>
      <c r="BK18" s="577">
        <v>0</v>
      </c>
      <c r="BL18" s="577">
        <v>0</v>
      </c>
      <c r="BM18" s="303">
        <f t="shared" si="10"/>
      </c>
      <c r="BN18" s="577">
        <v>0</v>
      </c>
      <c r="BO18" s="577">
        <v>0</v>
      </c>
      <c r="BP18" s="577">
        <v>0</v>
      </c>
      <c r="BQ18" s="577">
        <v>678</v>
      </c>
      <c r="BR18" s="303">
        <f t="shared" si="11"/>
      </c>
      <c r="BS18" s="577">
        <v>0</v>
      </c>
      <c r="BT18" s="577">
        <v>0</v>
      </c>
      <c r="BU18" s="577">
        <v>0</v>
      </c>
      <c r="BV18" s="577">
        <v>0</v>
      </c>
      <c r="BW18" s="303">
        <f t="shared" si="12"/>
      </c>
      <c r="BX18" s="577">
        <v>0</v>
      </c>
      <c r="BY18" s="577">
        <v>0</v>
      </c>
      <c r="BZ18" s="577">
        <v>0</v>
      </c>
      <c r="CA18" s="577">
        <v>0</v>
      </c>
      <c r="CB18" s="67">
        <v>0</v>
      </c>
      <c r="CC18" s="577">
        <v>0</v>
      </c>
      <c r="CD18" s="577">
        <v>0</v>
      </c>
      <c r="CE18" s="577">
        <v>0</v>
      </c>
      <c r="CF18" s="577">
        <f t="shared" si="14"/>
      </c>
      <c r="CG18" s="1143">
        <v>0</v>
      </c>
      <c r="CH18" s="1144">
        <v>0</v>
      </c>
      <c r="CI18" s="1144">
        <v>0</v>
      </c>
      <c r="CJ18" s="1144">
        <v>0</v>
      </c>
      <c r="CK18" s="1144">
        <v>0</v>
      </c>
      <c r="CL18" s="1145">
        <f t="shared" si="28"/>
      </c>
      <c r="CM18" s="1144">
        <v>0</v>
      </c>
      <c r="CN18" s="1144">
        <v>0</v>
      </c>
      <c r="CO18" s="1144">
        <f>2047-CN18-CM18</f>
      </c>
      <c r="CP18" s="1146">
        <f t="shared" si="23"/>
      </c>
      <c r="CQ18" s="1143">
        <v>2131</v>
      </c>
      <c r="CR18" s="1144">
        <v>69</v>
      </c>
      <c r="CS18" s="1144">
        <f>69-CR18</f>
      </c>
      <c r="CT18" s="1144">
        <f>247-CR18-CS18</f>
      </c>
      <c r="CU18" s="1146">
        <f t="shared" si="24"/>
      </c>
      <c r="CV18" s="1143">
        <v>739</v>
      </c>
      <c r="CW18" s="1144">
        <v>37</v>
      </c>
      <c r="CX18" s="1144">
        <f>172-CW18</f>
      </c>
      <c r="CY18" s="1144">
        <f>259-CX18-CW18</f>
      </c>
      <c r="CZ18" s="1146">
        <f t="shared" si="25"/>
      </c>
      <c r="DA18" s="1143">
        <v>410</v>
      </c>
      <c r="DB18" s="1144">
        <v>-38</v>
      </c>
      <c r="DC18" s="1144">
        <f>11-DB18</f>
      </c>
      <c r="DD18" s="1144">
        <f>367-DC18-DB18</f>
      </c>
      <c r="DE18" s="1146">
        <f t="shared" si="26"/>
      </c>
      <c r="DF18" s="1143">
        <v>624</v>
      </c>
      <c r="DG18" s="1144">
        <v>82</v>
      </c>
      <c r="DH18" s="1144">
        <f>187-DG18-185-4</f>
      </c>
      <c r="DI18" s="1144">
        <f>187-DH18-DG18-276</f>
      </c>
      <c r="DJ18" s="1146">
        <f t="shared" si="27"/>
      </c>
      <c r="DK18" s="1143">
        <v>283</v>
      </c>
      <c r="DL18" s="1144">
        <v>37</v>
      </c>
      <c r="DM18" s="1144">
        <f>270-DL18</f>
      </c>
      <c r="DN18" s="1144">
        <f>309-DM18-DL18</f>
      </c>
      <c r="DO18" s="1146">
        <f>+DP18-SUM(DL18:DN18)</f>
      </c>
      <c r="DP18" s="1143">
        <v>795</v>
      </c>
      <c r="DQ18" s="1144">
        <v>0</v>
      </c>
      <c r="DR18" s="1144">
        <v>27</v>
      </c>
      <c r="DS18" s="1144">
        <f>1226-DR18-DQ18</f>
      </c>
      <c r="DT18" s="1288">
        <f t="shared" si="15"/>
      </c>
      <c r="DU18" s="1414">
        <v>1258</v>
      </c>
      <c r="DV18" s="1144">
        <v>913</v>
      </c>
      <c r="DW18" s="1144">
        <f>989-DV18</f>
      </c>
      <c r="DX18" s="1144">
        <f>1019-SUM(DV18:DW18)</f>
      </c>
      <c r="DY18" s="1288">
        <f t="shared" si="16"/>
      </c>
      <c r="DZ18" s="1414">
        <v>1096</v>
      </c>
      <c r="EA18" s="1144">
        <f>11-983</f>
      </c>
      <c r="EB18" s="1144">
        <f>33-983-EA18</f>
      </c>
      <c r="EC18" s="1540">
        <f>198-1148-SUM(EA18:EB18)</f>
      </c>
      <c r="ED18" s="1288">
        <f t="shared" si="17"/>
      </c>
      <c r="EE18" s="1414">
        <v>233</v>
      </c>
      <c r="EF18" s="1144">
        <v>14</v>
      </c>
      <c r="EG18" s="1540">
        <f>26-EF18</f>
      </c>
      <c r="EH18" s="1144">
        <f>964-SUM(EF18:EG18)</f>
      </c>
      <c r="EI18" s="1288">
        <f t="shared" si="18"/>
      </c>
      <c r="EJ18" s="1414">
        <v>989</v>
      </c>
      <c r="EK18" s="1144">
        <v>610</v>
      </c>
      <c r="EL18" s="1144">
        <f>747-EK18</f>
      </c>
      <c r="EM18" s="1144">
        <f>787-SUM(EK18:EL18)</f>
      </c>
      <c r="EN18" s="1288">
        <f t="shared" si="19"/>
      </c>
      <c r="EO18" s="1414">
        <v>1216</v>
      </c>
      <c r="EP18" s="1144">
        <v>426</v>
      </c>
      <c r="EQ18" s="1144">
        <f>388-EP18</f>
      </c>
      <c r="ER18" s="1144">
        <f>820-EQ18-EP18</f>
      </c>
      <c r="ES18" s="3386">
        <f>1295-SUM(EP18:ER18)</f>
      </c>
      <c r="ET18" s="1288">
        <f t="shared" si="21"/>
      </c>
      <c r="EU18" s="1144">
        <v>185</v>
      </c>
      <c r="EV18" s="1144">
        <f>379-SUM(EU18)</f>
      </c>
      <c r="EW18" s="1144">
        <f>379-EV18-EU18</f>
      </c>
      <c r="EX18" s="3386">
        <f>405-SUM(EU18:EW18)</f>
      </c>
      <c r="EY18" s="1288">
        <f t="shared" si="22"/>
      </c>
      <c r="EZ18" s="1144">
        <v>30</v>
      </c>
      <c r="FA18" s="1144">
        <f>30-SUM(EZ18)</f>
      </c>
      <c r="FB18" s="1106">
        <v>0</v>
      </c>
      <c r="FC18" s="1297">
        <v>0</v>
      </c>
      <c r="FD18" s="1288">
        <f t="shared" si="20"/>
      </c>
      <c r="FE18" s="1288">
        <v>0</v>
      </c>
      <c r="FF18" s="1288">
        <v>0</v>
      </c>
      <c r="FG18" s="1288">
        <v>0</v>
      </c>
      <c r="FH18" s="1288">
        <v>0</v>
      </c>
      <c r="FI18" s="1288">
        <v>0</v>
      </c>
    </row>
    <row r="19" spans="1:165" outlineLevel="1">
      <c r="A19" s="10"/>
      <c r="B19" s="130"/>
      <c r="C19" s="948" t="s">
        <v>751</v>
      </c>
      <c r="D19" s="10"/>
      <c r="E19" s="577"/>
      <c r="F19" s="577"/>
      <c r="G19" s="577"/>
      <c r="H19" s="577"/>
      <c r="I19" s="577"/>
      <c r="J19" s="577"/>
      <c r="K19" s="577"/>
      <c r="L19" s="577"/>
      <c r="M19" s="577"/>
      <c r="N19" s="577"/>
      <c r="O19" s="303"/>
      <c r="P19" s="577"/>
      <c r="Q19" s="577"/>
      <c r="R19" s="577"/>
      <c r="S19" s="577"/>
      <c r="T19" s="303"/>
      <c r="U19" s="577"/>
      <c r="V19" s="577"/>
      <c r="W19" s="577"/>
      <c r="X19" s="577"/>
      <c r="Y19" s="303"/>
      <c r="Z19" s="577"/>
      <c r="AA19" s="577"/>
      <c r="AB19" s="577"/>
      <c r="AC19" s="577"/>
      <c r="AD19" s="303"/>
      <c r="AE19" s="577"/>
      <c r="AF19" s="577"/>
      <c r="AG19" s="577"/>
      <c r="AH19" s="577"/>
      <c r="AI19" s="303"/>
      <c r="AJ19" s="577"/>
      <c r="AK19" s="577"/>
      <c r="AL19" s="577"/>
      <c r="AM19" s="577"/>
      <c r="AN19" s="303"/>
      <c r="AO19" s="577"/>
      <c r="AP19" s="577"/>
      <c r="AQ19" s="577"/>
      <c r="AR19" s="577"/>
      <c r="AS19" s="303"/>
      <c r="AT19" s="577"/>
      <c r="AU19" s="577"/>
      <c r="AV19" s="577"/>
      <c r="AW19" s="577"/>
      <c r="AX19" s="303"/>
      <c r="AY19" s="577"/>
      <c r="AZ19" s="577"/>
      <c r="BA19" s="577"/>
      <c r="BB19" s="577"/>
      <c r="BC19" s="303"/>
      <c r="BD19" s="577"/>
      <c r="BE19" s="577"/>
      <c r="BF19" s="577"/>
      <c r="BG19" s="577"/>
      <c r="BH19" s="303"/>
      <c r="BI19" s="577"/>
      <c r="BJ19" s="577"/>
      <c r="BK19" s="577"/>
      <c r="BL19" s="577"/>
      <c r="BM19" s="303"/>
      <c r="BN19" s="577"/>
      <c r="BO19" s="577"/>
      <c r="BP19" s="577"/>
      <c r="BQ19" s="577"/>
      <c r="BR19" s="303"/>
      <c r="BS19" s="577"/>
      <c r="BT19" s="577"/>
      <c r="BU19" s="577"/>
      <c r="BV19" s="577"/>
      <c r="BW19" s="303"/>
      <c r="BX19" s="577"/>
      <c r="BY19" s="577"/>
      <c r="BZ19" s="577"/>
      <c r="CA19" s="577"/>
      <c r="CB19" s="67"/>
      <c r="CC19" s="577"/>
      <c r="CD19" s="577"/>
      <c r="CE19" s="577"/>
      <c r="CF19" s="577"/>
      <c r="CG19" s="1143"/>
      <c r="CH19" s="1144"/>
      <c r="CI19" s="1144"/>
      <c r="CJ19" s="1144"/>
      <c r="CK19" s="1144"/>
      <c r="CL19" s="1145"/>
      <c r="CM19" s="1144"/>
      <c r="CN19" s="1144"/>
      <c r="CO19" s="1144"/>
      <c r="CP19" s="1146"/>
      <c r="CQ19" s="1143"/>
      <c r="CR19" s="1144"/>
      <c r="CS19" s="1144"/>
      <c r="CT19" s="1144"/>
      <c r="CU19" s="1146"/>
      <c r="CV19" s="1143"/>
      <c r="CW19" s="1144"/>
      <c r="CX19" s="1144"/>
      <c r="CY19" s="1144"/>
      <c r="CZ19" s="1146"/>
      <c r="DA19" s="1143"/>
      <c r="DB19" s="1144"/>
      <c r="DC19" s="1144"/>
      <c r="DD19" s="1144"/>
      <c r="DE19" s="1146"/>
      <c r="DF19" s="1143"/>
      <c r="DG19" s="1144"/>
      <c r="DH19" s="1144"/>
      <c r="DI19" s="1144"/>
      <c r="DJ19" s="1146"/>
      <c r="DK19" s="1143"/>
      <c r="DL19" s="1144"/>
      <c r="DM19" s="1144"/>
      <c r="DN19" s="1144"/>
      <c r="DO19" s="1146"/>
      <c r="DP19" s="1143"/>
      <c r="DQ19" s="1144"/>
      <c r="DR19" s="1144"/>
      <c r="DS19" s="1144"/>
      <c r="DT19" s="1288"/>
      <c r="DU19" s="1414"/>
      <c r="DV19" s="1144">
        <v>-3</v>
      </c>
      <c r="DW19" s="1144">
        <f>1-DV19</f>
      </c>
      <c r="DX19" s="1144">
        <f>-15-SUM(DV19:DW19)</f>
      </c>
      <c r="DY19" s="1288">
        <f t="shared" si="16"/>
      </c>
      <c r="DZ19" s="1414">
        <v>-20</v>
      </c>
      <c r="EA19" s="1144">
        <v>22</v>
      </c>
      <c r="EB19" s="1144">
        <f>117-EA19</f>
      </c>
      <c r="EC19" s="1540">
        <f>74-SUM(EA19:EB19)</f>
      </c>
      <c r="ED19" s="1288">
        <f t="shared" si="17"/>
      </c>
      <c r="EE19" s="1414">
        <v>63</v>
      </c>
      <c r="EF19" s="1144">
        <v>-13</v>
      </c>
      <c r="EG19" s="1540">
        <f>-52-EF19</f>
      </c>
      <c r="EH19" s="1144">
        <f>-60-SUM(EF19:EG19)</f>
      </c>
      <c r="EI19" s="1288">
        <f t="shared" si="18"/>
      </c>
      <c r="EJ19" s="1414">
        <v>-48</v>
      </c>
      <c r="EK19" s="1144">
        <v>6</v>
      </c>
      <c r="EL19" s="1144">
        <f>-3-EK19</f>
      </c>
      <c r="EM19" s="1144">
        <f>-14-SUM(EK19:EL19)</f>
      </c>
      <c r="EN19" s="1288">
        <f t="shared" si="19"/>
      </c>
      <c r="EO19" s="1414">
        <v>-17</v>
      </c>
      <c r="EP19" s="1144">
        <v>1</v>
      </c>
      <c r="EQ19" s="1144">
        <f>0-EP19</f>
      </c>
      <c r="ER19" s="1144">
        <f>0-EQ19-EP19</f>
      </c>
      <c r="ES19" s="3386">
        <f>0-SUM(EP19:ER19)</f>
      </c>
      <c r="ET19" s="1288">
        <f t="shared" si="21"/>
      </c>
      <c r="EU19" s="1144">
        <v>0</v>
      </c>
      <c r="EV19" s="1144">
        <f>0-SUM(EU19)</f>
      </c>
      <c r="EW19" s="1144">
        <f>-11-EV19-EU19</f>
      </c>
      <c r="EX19" s="3386">
        <f>11-SUM(EU19:EW19)</f>
      </c>
      <c r="EY19" s="1288">
        <f t="shared" si="22"/>
      </c>
      <c r="EZ19" s="1144">
        <v>-4</v>
      </c>
      <c r="FA19" s="1144">
        <f>3-SUM(EZ19)</f>
      </c>
      <c r="FB19" s="1106">
        <v>0</v>
      </c>
      <c r="FC19" s="1297">
        <v>0</v>
      </c>
      <c r="FD19" s="1288">
        <f t="shared" si="20"/>
      </c>
      <c r="FE19" s="1288">
        <v>0</v>
      </c>
      <c r="FF19" s="1288">
        <v>0</v>
      </c>
      <c r="FG19" s="1288">
        <v>0</v>
      </c>
      <c r="FH19" s="1288">
        <v>0</v>
      </c>
      <c r="FI19" s="1288">
        <v>0</v>
      </c>
    </row>
    <row r="20" spans="1:165" outlineLevel="1">
      <c r="A20" s="10"/>
      <c r="B20" s="130"/>
      <c r="C20" s="948" t="s">
        <v>750</v>
      </c>
      <c r="D20" s="10"/>
      <c r="E20" s="577"/>
      <c r="F20" s="577"/>
      <c r="G20" s="577"/>
      <c r="H20" s="577"/>
      <c r="I20" s="577"/>
      <c r="J20" s="577"/>
      <c r="K20" s="577"/>
      <c r="L20" s="577"/>
      <c r="M20" s="577"/>
      <c r="N20" s="577"/>
      <c r="O20" s="303"/>
      <c r="P20" s="577"/>
      <c r="Q20" s="577"/>
      <c r="R20" s="577"/>
      <c r="S20" s="577"/>
      <c r="T20" s="303"/>
      <c r="U20" s="577"/>
      <c r="V20" s="577"/>
      <c r="W20" s="577"/>
      <c r="X20" s="577"/>
      <c r="Y20" s="303"/>
      <c r="Z20" s="577"/>
      <c r="AA20" s="577"/>
      <c r="AB20" s="577"/>
      <c r="AC20" s="577"/>
      <c r="AD20" s="303"/>
      <c r="AE20" s="577"/>
      <c r="AF20" s="577"/>
      <c r="AG20" s="577"/>
      <c r="AH20" s="577"/>
      <c r="AI20" s="303"/>
      <c r="AJ20" s="577"/>
      <c r="AK20" s="577"/>
      <c r="AL20" s="577"/>
      <c r="AM20" s="577"/>
      <c r="AN20" s="303"/>
      <c r="AO20" s="577"/>
      <c r="AP20" s="577"/>
      <c r="AQ20" s="577"/>
      <c r="AR20" s="577"/>
      <c r="AS20" s="303"/>
      <c r="AT20" s="577"/>
      <c r="AU20" s="577"/>
      <c r="AV20" s="577"/>
      <c r="AW20" s="577"/>
      <c r="AX20" s="303"/>
      <c r="AY20" s="577"/>
      <c r="AZ20" s="577"/>
      <c r="BA20" s="577"/>
      <c r="BB20" s="577"/>
      <c r="BC20" s="303"/>
      <c r="BD20" s="577"/>
      <c r="BE20" s="577"/>
      <c r="BF20" s="577"/>
      <c r="BG20" s="577"/>
      <c r="BH20" s="303"/>
      <c r="BI20" s="577"/>
      <c r="BJ20" s="577"/>
      <c r="BK20" s="577"/>
      <c r="BL20" s="577"/>
      <c r="BM20" s="303"/>
      <c r="BN20" s="577"/>
      <c r="BO20" s="577"/>
      <c r="BP20" s="577"/>
      <c r="BQ20" s="577"/>
      <c r="BR20" s="303"/>
      <c r="BS20" s="577"/>
      <c r="BT20" s="577"/>
      <c r="BU20" s="577"/>
      <c r="BV20" s="577"/>
      <c r="BW20" s="303"/>
      <c r="BX20" s="577"/>
      <c r="BY20" s="577"/>
      <c r="BZ20" s="577"/>
      <c r="CA20" s="577"/>
      <c r="CB20" s="67"/>
      <c r="CC20" s="577"/>
      <c r="CD20" s="577"/>
      <c r="CE20" s="577"/>
      <c r="CF20" s="577"/>
      <c r="CG20" s="1143"/>
      <c r="CH20" s="1144"/>
      <c r="CI20" s="1144"/>
      <c r="CJ20" s="1144"/>
      <c r="CK20" s="1144"/>
      <c r="CL20" s="1145"/>
      <c r="CM20" s="1144"/>
      <c r="CN20" s="1144"/>
      <c r="CO20" s="1144"/>
      <c r="CP20" s="1146"/>
      <c r="CQ20" s="1143"/>
      <c r="CR20" s="1144"/>
      <c r="CS20" s="1144"/>
      <c r="CT20" s="1144"/>
      <c r="CU20" s="1146"/>
      <c r="CV20" s="1143"/>
      <c r="CW20" s="1144"/>
      <c r="CX20" s="1144"/>
      <c r="CY20" s="1144"/>
      <c r="CZ20" s="1146"/>
      <c r="DA20" s="1143"/>
      <c r="DB20" s="1144"/>
      <c r="DC20" s="1144"/>
      <c r="DD20" s="1144"/>
      <c r="DE20" s="1146"/>
      <c r="DF20" s="1143"/>
      <c r="DG20" s="1144"/>
      <c r="DH20" s="1144"/>
      <c r="DI20" s="1144"/>
      <c r="DJ20" s="1146"/>
      <c r="DK20" s="1143"/>
      <c r="DL20" s="1144"/>
      <c r="DM20" s="1144"/>
      <c r="DN20" s="1144"/>
      <c r="DO20" s="1146"/>
      <c r="DP20" s="1143"/>
      <c r="DQ20" s="1144"/>
      <c r="DR20" s="1144"/>
      <c r="DS20" s="1144"/>
      <c r="DT20" s="1288"/>
      <c r="DU20" s="1414"/>
      <c r="DV20" s="1144">
        <v>-72</v>
      </c>
      <c r="DW20" s="1144">
        <f>-2079-DV20</f>
      </c>
      <c r="DX20" s="1144">
        <f>-2125-SUM(DV20:DW20)</f>
      </c>
      <c r="DY20" s="1288">
        <f t="shared" si="16"/>
      </c>
      <c r="DZ20" s="1414">
        <v>-2154</v>
      </c>
      <c r="EA20" s="1144">
        <v>0</v>
      </c>
      <c r="EB20" s="1144">
        <f>-60-EA20</f>
      </c>
      <c r="EC20" s="1540">
        <f>-60-SUM(EA20:EB20)</f>
      </c>
      <c r="ED20" s="1288">
        <f t="shared" si="17"/>
      </c>
      <c r="EE20" s="1414">
        <f>-111-1148</f>
      </c>
      <c r="EF20" s="1144">
        <v>-580</v>
      </c>
      <c r="EG20" s="1540">
        <f>-601-EF20</f>
      </c>
      <c r="EH20" s="1144">
        <f>-601-SUM(EF20:EG20)</f>
      </c>
      <c r="EI20" s="1288">
        <f t="shared" si="18"/>
      </c>
      <c r="EJ20" s="1414">
        <v>-617</v>
      </c>
      <c r="EK20" s="1144">
        <v>-168</v>
      </c>
      <c r="EL20" s="1144">
        <f>-213-EK20</f>
      </c>
      <c r="EM20" s="1144">
        <f>-213-SUM(EK20:EL20)</f>
      </c>
      <c r="EN20" s="1288">
        <f t="shared" si="19"/>
      </c>
      <c r="EO20" s="1414">
        <v>-380</v>
      </c>
      <c r="EP20" s="1144">
        <v>-8</v>
      </c>
      <c r="EQ20" s="1144">
        <f>-47-EP20</f>
      </c>
      <c r="ER20" s="1144">
        <f>-20984-117-EQ20-EP20</f>
      </c>
      <c r="ES20" s="3386">
        <f>-20984-117+483-SUM(EP20:ER20)</f>
      </c>
      <c r="ET20" s="1288">
        <f t="shared" si="21"/>
      </c>
      <c r="EU20" s="1144">
        <v>0</v>
      </c>
      <c r="EV20" s="1144">
        <f>-223-SUM(EU20)</f>
      </c>
      <c r="EW20" s="1144">
        <f>-225+1252-EV20-EU20</f>
      </c>
      <c r="EX20" s="3386">
        <f>0-226+1841-SUM(EU20:EW20)</f>
      </c>
      <c r="EY20" s="1288">
        <f t="shared" si="22"/>
      </c>
      <c r="EZ20" s="1144">
        <v>-75</v>
      </c>
      <c r="FA20" s="1144">
        <f>-74-SUM(EZ20)</f>
      </c>
      <c r="FB20" s="1106">
        <v>0</v>
      </c>
      <c r="FC20" s="1297">
        <v>0</v>
      </c>
      <c r="FD20" s="1288">
        <f t="shared" si="20"/>
      </c>
      <c r="FE20" s="1288">
        <v>0</v>
      </c>
      <c r="FF20" s="1288">
        <v>0</v>
      </c>
      <c r="FG20" s="1288">
        <v>0</v>
      </c>
      <c r="FH20" s="1288">
        <v>0</v>
      </c>
      <c r="FI20" s="1288">
        <v>0</v>
      </c>
    </row>
    <row r="21" spans="1:165">
      <c r="A21" s="10"/>
      <c r="B21" s="130"/>
      <c r="C21" s="10" t="s">
        <v>225</v>
      </c>
      <c r="D21" s="10"/>
      <c r="E21" s="577"/>
      <c r="F21" s="577"/>
      <c r="G21" s="577"/>
      <c r="H21" s="577"/>
      <c r="I21" s="577"/>
      <c r="J21" s="577"/>
      <c r="K21" s="577">
        <v>0</v>
      </c>
      <c r="L21" s="577">
        <v>0</v>
      </c>
      <c r="M21" s="577">
        <v>0</v>
      </c>
      <c r="N21" s="577">
        <v>0</v>
      </c>
      <c r="O21" s="303">
        <f t="shared" si="0"/>
      </c>
      <c r="P21" s="577">
        <v>0</v>
      </c>
      <c r="Q21" s="577">
        <v>0</v>
      </c>
      <c r="R21" s="577">
        <v>0</v>
      </c>
      <c r="S21" s="577">
        <v>0</v>
      </c>
      <c r="T21" s="303">
        <f t="shared" si="1"/>
      </c>
      <c r="U21" s="577">
        <v>0</v>
      </c>
      <c r="V21" s="577">
        <v>0</v>
      </c>
      <c r="W21" s="577">
        <v>0</v>
      </c>
      <c r="X21" s="577">
        <v>0</v>
      </c>
      <c r="Y21" s="303">
        <f t="shared" si="2"/>
      </c>
      <c r="Z21" s="577">
        <v>0</v>
      </c>
      <c r="AA21" s="577">
        <v>0</v>
      </c>
      <c r="AB21" s="577">
        <v>0</v>
      </c>
      <c r="AC21" s="577">
        <v>0</v>
      </c>
      <c r="AD21" s="303">
        <f t="shared" si="3"/>
      </c>
      <c r="AE21" s="577">
        <v>0</v>
      </c>
      <c r="AF21" s="577">
        <v>0</v>
      </c>
      <c r="AG21" s="577">
        <v>0</v>
      </c>
      <c r="AH21" s="577">
        <v>0</v>
      </c>
      <c r="AI21" s="303">
        <f t="shared" si="4"/>
      </c>
      <c r="AJ21" s="577">
        <v>0</v>
      </c>
      <c r="AK21" s="577">
        <v>0</v>
      </c>
      <c r="AL21" s="577">
        <v>0</v>
      </c>
      <c r="AM21" s="577">
        <v>0</v>
      </c>
      <c r="AN21" s="303">
        <f t="shared" si="5"/>
      </c>
      <c r="AO21" s="577">
        <v>0</v>
      </c>
      <c r="AP21" s="577">
        <v>0</v>
      </c>
      <c r="AQ21" s="577">
        <v>0</v>
      </c>
      <c r="AR21" s="577">
        <v>0</v>
      </c>
      <c r="AS21" s="303">
        <f t="shared" si="6"/>
      </c>
      <c r="AT21" s="577">
        <v>0</v>
      </c>
      <c r="AU21" s="577">
        <v>0</v>
      </c>
      <c r="AV21" s="577">
        <v>0</v>
      </c>
      <c r="AW21" s="577">
        <v>0</v>
      </c>
      <c r="AX21" s="303">
        <f t="shared" si="7"/>
      </c>
      <c r="AY21" s="577">
        <v>0</v>
      </c>
      <c r="AZ21" s="577">
        <v>0</v>
      </c>
      <c r="BA21" s="577">
        <v>0</v>
      </c>
      <c r="BB21" s="577">
        <v>0</v>
      </c>
      <c r="BC21" s="303">
        <f t="shared" si="8"/>
      </c>
      <c r="BD21" s="577">
        <v>0</v>
      </c>
      <c r="BE21" s="577">
        <v>0</v>
      </c>
      <c r="BF21" s="577">
        <v>0</v>
      </c>
      <c r="BG21" s="577">
        <v>0</v>
      </c>
      <c r="BH21" s="303">
        <f t="shared" si="9"/>
      </c>
      <c r="BI21" s="577">
        <v>0</v>
      </c>
      <c r="BJ21" s="577">
        <v>0</v>
      </c>
      <c r="BK21" s="577">
        <v>0</v>
      </c>
      <c r="BL21" s="577">
        <v>0</v>
      </c>
      <c r="BM21" s="303">
        <f t="shared" si="10"/>
      </c>
      <c r="BN21" s="577">
        <v>0</v>
      </c>
      <c r="BO21" s="577">
        <v>0</v>
      </c>
      <c r="BP21" s="577">
        <v>0</v>
      </c>
      <c r="BQ21" s="577">
        <v>0</v>
      </c>
      <c r="BR21" s="303">
        <f t="shared" si="11"/>
      </c>
      <c r="BS21" s="577">
        <v>0</v>
      </c>
      <c r="BT21" s="577">
        <v>0</v>
      </c>
      <c r="BU21" s="577">
        <v>0</v>
      </c>
      <c r="BV21" s="577">
        <v>0</v>
      </c>
      <c r="BW21" s="303">
        <f t="shared" si="12"/>
      </c>
      <c r="BX21" s="577">
        <v>0</v>
      </c>
      <c r="BY21" s="577">
        <v>0</v>
      </c>
      <c r="BZ21" s="577">
        <v>0</v>
      </c>
      <c r="CA21" s="577">
        <v>0</v>
      </c>
      <c r="CB21" s="67">
        <v>0</v>
      </c>
      <c r="CC21" s="577">
        <v>0</v>
      </c>
      <c r="CD21" s="577">
        <v>0</v>
      </c>
      <c r="CE21" s="577">
        <v>0</v>
      </c>
      <c r="CF21" s="577">
        <f t="shared" si="14"/>
      </c>
      <c r="CG21" s="1143">
        <v>0</v>
      </c>
      <c r="CH21" s="1144">
        <v>0</v>
      </c>
      <c r="CI21" s="1144">
        <v>0</v>
      </c>
      <c r="CJ21" s="1144">
        <v>0</v>
      </c>
      <c r="CK21" s="1144">
        <v>0</v>
      </c>
      <c r="CL21" s="1145">
        <f t="shared" si="28"/>
      </c>
      <c r="CM21" s="1144"/>
      <c r="CN21" s="1144"/>
      <c r="CO21" s="1144"/>
      <c r="CP21" s="1146"/>
      <c r="CQ21" s="1143"/>
      <c r="CR21" s="1144"/>
      <c r="CS21" s="1144"/>
      <c r="CT21" s="1144"/>
      <c r="CU21" s="1146"/>
      <c r="CV21" s="1145"/>
      <c r="CW21" s="1147"/>
      <c r="CX21" s="1147"/>
      <c r="CY21" s="1147"/>
      <c r="CZ21" s="1146"/>
      <c r="DA21" s="1145"/>
      <c r="DB21" s="1144"/>
      <c r="DC21" s="1147"/>
      <c r="DD21" s="1147"/>
      <c r="DE21" s="1146"/>
      <c r="DF21" s="1145">
        <v>0</v>
      </c>
      <c r="DG21" s="1144"/>
      <c r="DH21" s="1147"/>
      <c r="DI21" s="1147"/>
      <c r="DJ21" s="1146"/>
      <c r="DK21" s="1143"/>
      <c r="DL21" s="1144"/>
      <c r="DM21" s="1147"/>
      <c r="DN21" s="1106"/>
      <c r="DO21" s="1146"/>
      <c r="DP21" s="1143"/>
      <c r="DQ21" s="1144"/>
      <c r="DR21" s="1147"/>
      <c r="DS21" s="1147"/>
      <c r="DT21" s="1288"/>
      <c r="DU21" s="1414"/>
      <c r="DV21" s="1144"/>
      <c r="DW21" s="1144"/>
      <c r="DX21" s="1106"/>
      <c r="DY21" s="1288"/>
      <c r="DZ21" s="1414"/>
      <c r="EA21" s="1144"/>
      <c r="EB21" s="1106"/>
      <c r="EC21" s="1541"/>
      <c r="ED21" s="1288"/>
      <c r="EE21" s="1288"/>
      <c r="EF21" s="1106"/>
      <c r="EG21" s="1106"/>
      <c r="EH21" s="1106"/>
      <c r="EI21" s="1288"/>
      <c r="EJ21" s="1414"/>
      <c r="EK21" s="1144"/>
      <c r="EL21" s="1106"/>
      <c r="EM21" s="1106"/>
      <c r="EN21" s="1288"/>
      <c r="EO21" s="1414"/>
      <c r="EP21" s="1144"/>
      <c r="EQ21" s="1144"/>
      <c r="ER21" s="1144"/>
      <c r="ES21" s="1414"/>
      <c r="ET21" s="1288"/>
      <c r="EU21" s="1144"/>
      <c r="EV21" s="1144"/>
      <c r="EW21" s="1144"/>
      <c r="EX21" s="1414"/>
      <c r="EY21" s="1288"/>
      <c r="EZ21" s="1144"/>
      <c r="FA21" s="1144"/>
      <c r="FB21" s="1106"/>
      <c r="FC21" s="1288"/>
      <c r="FD21" s="1288"/>
      <c r="FE21" s="1288"/>
      <c r="FF21" s="1288"/>
      <c r="FG21" s="1288"/>
      <c r="FH21" s="1288"/>
      <c r="FI21" s="1288"/>
    </row>
    <row r="22" spans="1:165">
      <c r="A22" s="10"/>
      <c r="B22" s="130"/>
      <c r="C22" s="10"/>
      <c r="D22" s="10" t="s">
        <v>226</v>
      </c>
      <c r="E22" s="577">
        <v>-127</v>
      </c>
      <c r="F22" s="577">
        <v>-244</v>
      </c>
      <c r="G22" s="577">
        <v>-211</v>
      </c>
      <c r="H22" s="577">
        <v>-310</v>
      </c>
      <c r="I22" s="577">
        <v>-239</v>
      </c>
      <c r="J22" s="577">
        <v>-265</v>
      </c>
      <c r="K22" s="577">
        <v>0</v>
      </c>
      <c r="L22" s="577">
        <v>0</v>
      </c>
      <c r="M22" s="577">
        <v>-389</v>
      </c>
      <c r="N22" s="577">
        <v>83</v>
      </c>
      <c r="O22" s="303">
        <f t="shared" si="0"/>
      </c>
      <c r="P22" s="577">
        <v>-367</v>
      </c>
      <c r="Q22" s="577">
        <v>-157</v>
      </c>
      <c r="R22" s="577">
        <v>-31</v>
      </c>
      <c r="S22" s="577">
        <v>236</v>
      </c>
      <c r="T22" s="303">
        <f t="shared" si="1"/>
      </c>
      <c r="U22" s="577">
        <v>-195</v>
      </c>
      <c r="V22" s="577">
        <v>-41</v>
      </c>
      <c r="W22" s="577">
        <v>-109</v>
      </c>
      <c r="X22" s="577">
        <v>206</v>
      </c>
      <c r="Y22" s="303">
        <f t="shared" si="2"/>
      </c>
      <c r="Z22" s="577">
        <v>-409</v>
      </c>
      <c r="AA22" s="577">
        <v>-327</v>
      </c>
      <c r="AB22" s="577">
        <v>83</v>
      </c>
      <c r="AC22" s="577">
        <v>46</v>
      </c>
      <c r="AD22" s="303">
        <f t="shared" si="3"/>
      </c>
      <c r="AE22" s="577">
        <v>-192</v>
      </c>
      <c r="AF22" s="577">
        <v>-117</v>
      </c>
      <c r="AG22" s="577">
        <v>85</v>
      </c>
      <c r="AH22" s="577">
        <v>-203</v>
      </c>
      <c r="AI22" s="303">
        <f t="shared" si="4"/>
      </c>
      <c r="AJ22" s="577">
        <v>-240</v>
      </c>
      <c r="AK22" s="577">
        <v>-132</v>
      </c>
      <c r="AL22" s="577">
        <v>-48</v>
      </c>
      <c r="AM22" s="577">
        <v>261</v>
      </c>
      <c r="AN22" s="303">
        <f t="shared" si="5"/>
      </c>
      <c r="AO22" s="577">
        <v>-152</v>
      </c>
      <c r="AP22" s="577">
        <v>-433</v>
      </c>
      <c r="AQ22" s="577">
        <v>-51</v>
      </c>
      <c r="AR22" s="577">
        <v>120</v>
      </c>
      <c r="AS22" s="303">
        <f t="shared" si="6"/>
      </c>
      <c r="AT22" s="577">
        <v>-371</v>
      </c>
      <c r="AU22" s="577">
        <v>-394</v>
      </c>
      <c r="AV22" s="577">
        <v>55</v>
      </c>
      <c r="AW22" s="577">
        <v>25</v>
      </c>
      <c r="AX22" s="303">
        <f t="shared" si="7"/>
      </c>
      <c r="AY22" s="577">
        <v>-251</v>
      </c>
      <c r="AZ22" s="577">
        <v>-371</v>
      </c>
      <c r="BA22" s="577">
        <v>238</v>
      </c>
      <c r="BB22" s="577">
        <v>276</v>
      </c>
      <c r="BC22" s="303">
        <f t="shared" si="8"/>
      </c>
      <c r="BD22" s="577">
        <v>-617</v>
      </c>
      <c r="BE22" s="577">
        <v>-276</v>
      </c>
      <c r="BF22" s="577">
        <v>223</v>
      </c>
      <c r="BG22" s="577">
        <v>71</v>
      </c>
      <c r="BH22" s="303">
        <f t="shared" si="9"/>
      </c>
      <c r="BI22" s="577">
        <v>-572</v>
      </c>
      <c r="BJ22" s="577">
        <v>-382</v>
      </c>
      <c r="BK22" s="577">
        <v>224</v>
      </c>
      <c r="BL22" s="577">
        <v>17</v>
      </c>
      <c r="BM22" s="303">
        <f t="shared" si="10"/>
      </c>
      <c r="BN22" s="577">
        <v>-559</v>
      </c>
      <c r="BO22" s="577">
        <v>-99</v>
      </c>
      <c r="BP22" s="577">
        <v>264</v>
      </c>
      <c r="BQ22" s="577">
        <v>0</v>
      </c>
      <c r="BR22" s="303">
        <f t="shared" si="11"/>
      </c>
      <c r="BS22" s="577">
        <v>-505</v>
      </c>
      <c r="BT22" s="577">
        <v>-212</v>
      </c>
      <c r="BU22" s="577">
        <v>-11</v>
      </c>
      <c r="BV22" s="577">
        <v>-8</v>
      </c>
      <c r="BW22" s="303">
        <f t="shared" si="12"/>
      </c>
      <c r="BX22" s="577">
        <v>-86</v>
      </c>
      <c r="BY22" s="577">
        <f>+-225-BX22</f>
      </c>
      <c r="BZ22" s="577">
        <v>164</v>
      </c>
      <c r="CA22" s="577">
        <v>514</v>
      </c>
      <c r="CB22" s="67">
        <f t="shared" si="13"/>
      </c>
      <c r="CC22" s="577">
        <v>-529</v>
      </c>
      <c r="CD22" s="577">
        <f>-555-CC22</f>
      </c>
      <c r="CE22" s="577">
        <f>-585-CC22-CD22</f>
      </c>
      <c r="CF22" s="577">
        <f t="shared" si="14"/>
      </c>
      <c r="CG22" s="1143">
        <v>-207</v>
      </c>
      <c r="CH22" s="1144">
        <f>-609</f>
      </c>
      <c r="CI22" s="1144">
        <f>-576-CH22</f>
      </c>
      <c r="CJ22" s="1144">
        <f>-489-CH22-CI22</f>
      </c>
      <c r="CK22" s="1144">
        <f>-915-CH22-CI22-CJ22</f>
      </c>
      <c r="CL22" s="1145">
        <f t="shared" si="28"/>
      </c>
      <c r="CM22" s="1144">
        <v>-215</v>
      </c>
      <c r="CN22" s="1144">
        <f>155-CM22</f>
      </c>
      <c r="CO22" s="1144">
        <f>94-CN22-CM22</f>
      </c>
      <c r="CP22" s="1146">
        <f t="shared" si="23"/>
      </c>
      <c r="CQ22" s="1143">
        <v>-9</v>
      </c>
      <c r="CR22" s="1144">
        <v>-434</v>
      </c>
      <c r="CS22" s="1144">
        <f>-647-CR22</f>
      </c>
      <c r="CT22" s="1144">
        <f>-971-CS22-CR22</f>
      </c>
      <c r="CU22" s="1146">
        <f t="shared" si="24"/>
      </c>
      <c r="CV22" s="1143">
        <f>-632</f>
      </c>
      <c r="CW22" s="1144">
        <v>-426</v>
      </c>
      <c r="CX22" s="1144">
        <f>-584-CW22</f>
      </c>
      <c r="CY22" s="1144">
        <f>-399-CX22-CW22</f>
      </c>
      <c r="CZ22" s="1146">
        <f t="shared" si="25"/>
      </c>
      <c r="DA22" s="1143">
        <v>-247</v>
      </c>
      <c r="DB22" s="1144">
        <v>-765</v>
      </c>
      <c r="DC22" s="1144">
        <f>-1186-DB22</f>
      </c>
      <c r="DD22" s="1144">
        <f>-910-DC22-DB22</f>
      </c>
      <c r="DE22" s="1146">
        <f t="shared" si="26"/>
      </c>
      <c r="DF22" s="1143">
        <v>-433</v>
      </c>
      <c r="DG22" s="1144">
        <v>-389</v>
      </c>
      <c r="DH22" s="1144">
        <f>-1098-DG22</f>
      </c>
      <c r="DI22" s="1144">
        <f>-10-736-DH22-DG22</f>
      </c>
      <c r="DJ22" s="1146">
        <f t="shared" si="27"/>
      </c>
      <c r="DK22" s="1143">
        <v>-1065</v>
      </c>
      <c r="DL22" s="1144">
        <v>-96</v>
      </c>
      <c r="DM22" s="1144">
        <f>-476-DL22</f>
      </c>
      <c r="DN22" s="1144">
        <f>+-300-DM22-DL22+59</f>
      </c>
      <c r="DO22" s="1146">
        <f t="shared" ref="DO22:DO28" si="29">+DP22-SUM(DL22:DN22)</f>
      </c>
      <c r="DP22" s="1143">
        <f>-633</f>
      </c>
      <c r="DQ22" s="1144">
        <f>-479-20</f>
      </c>
      <c r="DR22" s="1144">
        <f>-989-DQ22</f>
      </c>
      <c r="DS22" s="1144">
        <f>-1040-DR22-DQ22-3</f>
      </c>
      <c r="DT22" s="1288">
        <f t="shared" si="15"/>
      </c>
      <c r="DU22" s="1414">
        <v>-1185</v>
      </c>
      <c r="DV22" s="1144">
        <v>157</v>
      </c>
      <c r="DW22" s="1144">
        <f>-336+1-DV22</f>
      </c>
      <c r="DX22" s="1144">
        <f>-665-SUM(DV22:DW22)</f>
      </c>
      <c r="DY22" s="1288">
        <f t="shared" si="16"/>
      </c>
      <c r="DZ22" s="1414">
        <v>-289</v>
      </c>
      <c r="EA22" s="1144">
        <v>-812</v>
      </c>
      <c r="EB22" s="1144">
        <f>-520-EA22</f>
      </c>
      <c r="EC22" s="1540">
        <f>-440-SUM(EA22:EB22)</f>
      </c>
      <c r="ED22" s="1288">
        <f t="shared" si="17"/>
      </c>
      <c r="EE22" s="1414">
        <v>774</v>
      </c>
      <c r="EF22" s="1144">
        <v>-1604</v>
      </c>
      <c r="EG22" s="1540">
        <f>-1566-EF22</f>
      </c>
      <c r="EH22" s="1144">
        <f>-1818-SUM(EF22:EG22)</f>
      </c>
      <c r="EI22" s="1288">
        <f t="shared" ref="EI22:EI27" si="30">EJ22-SUM(EF22:EH22)</f>
      </c>
      <c r="EJ22" s="1414">
        <v>-2402</v>
      </c>
      <c r="EK22" s="1144">
        <v>-427</v>
      </c>
      <c r="EL22" s="1144">
        <f>-1386-EK22</f>
      </c>
      <c r="EM22" s="1144">
        <f>-1591-SUM(EK22:EL22)</f>
      </c>
      <c r="EN22" s="1288">
        <f t="shared" ref="EN22:EN27" si="31">EO22-SUM(EK22:EM22)</f>
      </c>
      <c r="EO22" s="1414">
        <v>-1290</v>
      </c>
      <c r="EP22" s="1144">
        <v>-54</v>
      </c>
      <c r="EQ22" s="1144">
        <f>-599-EP22</f>
      </c>
      <c r="ER22" s="1144">
        <f>-851-EQ22-EP22</f>
      </c>
      <c r="ES22" s="1414">
        <f>-624-SUM(EP22:ER22)</f>
      </c>
      <c r="ET22" s="1288">
        <f>SUM(EP22:ES22)</f>
      </c>
      <c r="EU22" s="1144">
        <v>-279</v>
      </c>
      <c r="EV22" s="1144">
        <f>-1163-SUM(EU22)</f>
      </c>
      <c r="EW22" s="1144">
        <f>-1259-EV22-EU22</f>
      </c>
      <c r="EX22" s="1414">
        <f>-406-SUM(EU22:EW22)</f>
      </c>
      <c r="EY22" s="1288">
        <f>SUM(EU22:EX22)</f>
      </c>
      <c r="EZ22" s="1144">
        <v>-926</v>
      </c>
      <c r="FA22" s="1144">
        <f>-2283-SUM(EZ22)</f>
      </c>
      <c r="FB22" s="1106">
        <f>+'Balance Sheet'!EY16-'Balance Sheet'!EZ16</f>
      </c>
      <c r="FC22" s="1288">
        <f>+'Balance Sheet'!EZ16-'Balance Sheet'!FA16</f>
      </c>
      <c r="FD22" s="2493">
        <f>SUM(EZ22:FC22)</f>
      </c>
      <c r="FE22" s="1288">
        <f>+'Balance Sheet'!FB16-'Balance Sheet'!FC16</f>
      </c>
      <c r="FF22" s="1288">
        <f>+'Balance Sheet'!FC16-'Balance Sheet'!FD16</f>
      </c>
      <c r="FG22" s="1288">
        <f>+'Balance Sheet'!FD16-'Balance Sheet'!FE16</f>
      </c>
      <c r="FH22" s="1288">
        <f>+'Balance Sheet'!FE16-'Balance Sheet'!FF16</f>
      </c>
      <c r="FI22" s="1288">
        <f>+'Balance Sheet'!FF16-'Balance Sheet'!FG16</f>
      </c>
    </row>
    <row r="23" spans="1:165">
      <c r="A23" s="10"/>
      <c r="B23" s="130"/>
      <c r="C23" s="10"/>
      <c r="D23" s="10" t="s">
        <v>223</v>
      </c>
      <c r="E23" s="577">
        <v>-106</v>
      </c>
      <c r="F23" s="577">
        <v>-165</v>
      </c>
      <c r="G23" s="577"/>
      <c r="H23" s="577">
        <v>-29</v>
      </c>
      <c r="I23" s="577">
        <v>-162</v>
      </c>
      <c r="J23" s="577">
        <v>-9</v>
      </c>
      <c r="K23" s="577">
        <v>0</v>
      </c>
      <c r="L23" s="577">
        <v>0</v>
      </c>
      <c r="M23" s="577">
        <v>0</v>
      </c>
      <c r="N23" s="577">
        <v>-242</v>
      </c>
      <c r="O23" s="303">
        <f t="shared" si="0"/>
      </c>
      <c r="P23" s="577">
        <v>-137</v>
      </c>
      <c r="Q23" s="577">
        <v>-90</v>
      </c>
      <c r="R23" s="577">
        <v>-45</v>
      </c>
      <c r="S23" s="577">
        <v>92</v>
      </c>
      <c r="T23" s="303">
        <f t="shared" si="1"/>
      </c>
      <c r="U23" s="577">
        <v>-221</v>
      </c>
      <c r="V23" s="577">
        <v>-19</v>
      </c>
      <c r="W23" s="577">
        <v>-118</v>
      </c>
      <c r="X23" s="577">
        <v>258</v>
      </c>
      <c r="Y23" s="303">
        <f t="shared" si="2"/>
      </c>
      <c r="Z23" s="577">
        <v>-211</v>
      </c>
      <c r="AA23" s="577">
        <v>-54</v>
      </c>
      <c r="AB23" s="577">
        <v>-86</v>
      </c>
      <c r="AC23" s="577">
        <v>4</v>
      </c>
      <c r="AD23" s="303">
        <f t="shared" si="3"/>
      </c>
      <c r="AE23" s="577">
        <v>-4</v>
      </c>
      <c r="AF23" s="577">
        <v>-36</v>
      </c>
      <c r="AG23" s="577">
        <v>-57</v>
      </c>
      <c r="AH23" s="577">
        <v>225</v>
      </c>
      <c r="AI23" s="303">
        <f t="shared" si="4"/>
      </c>
      <c r="AJ23" s="577">
        <v>-59</v>
      </c>
      <c r="AK23" s="577">
        <v>-66</v>
      </c>
      <c r="AL23" s="577">
        <v>-17</v>
      </c>
      <c r="AM23" s="577">
        <v>-25</v>
      </c>
      <c r="AN23" s="303">
        <f t="shared" si="5"/>
      </c>
      <c r="AO23" s="577">
        <v>-128</v>
      </c>
      <c r="AP23" s="577">
        <v>-79</v>
      </c>
      <c r="AQ23" s="577">
        <v>58</v>
      </c>
      <c r="AR23" s="577">
        <v>40</v>
      </c>
      <c r="AS23" s="303">
        <f t="shared" si="6"/>
      </c>
      <c r="AT23" s="577">
        <v>-181</v>
      </c>
      <c r="AU23" s="577">
        <v>-5</v>
      </c>
      <c r="AV23" s="577">
        <v>-45</v>
      </c>
      <c r="AW23" s="577">
        <v>270</v>
      </c>
      <c r="AX23" s="303">
        <f t="shared" si="7"/>
      </c>
      <c r="AY23" s="577">
        <v>38</v>
      </c>
      <c r="AZ23" s="577">
        <v>-15</v>
      </c>
      <c r="BA23" s="577">
        <v>-114</v>
      </c>
      <c r="BB23" s="577">
        <v>102</v>
      </c>
      <c r="BC23" s="303">
        <f t="shared" si="8"/>
      </c>
      <c r="BD23" s="577">
        <v>-140</v>
      </c>
      <c r="BE23" s="577">
        <v>-240</v>
      </c>
      <c r="BF23" s="577">
        <v>-53</v>
      </c>
      <c r="BG23" s="577">
        <v>37</v>
      </c>
      <c r="BH23" s="303">
        <f t="shared" si="9"/>
      </c>
      <c r="BI23" s="577">
        <v>-219</v>
      </c>
      <c r="BJ23" s="577">
        <v>-10</v>
      </c>
      <c r="BK23" s="577">
        <v>-110</v>
      </c>
      <c r="BL23" s="577">
        <v>129</v>
      </c>
      <c r="BM23" s="303">
        <f t="shared" si="10"/>
      </c>
      <c r="BN23" s="577">
        <v>-120</v>
      </c>
      <c r="BO23" s="577">
        <v>-70</v>
      </c>
      <c r="BP23" s="577">
        <v>-119</v>
      </c>
      <c r="BQ23" s="577">
        <v>323</v>
      </c>
      <c r="BR23" s="303">
        <f t="shared" si="11"/>
      </c>
      <c r="BS23" s="577">
        <v>-259</v>
      </c>
      <c r="BT23" s="577">
        <v>-120</v>
      </c>
      <c r="BU23" s="577">
        <v>31</v>
      </c>
      <c r="BV23" s="577">
        <v>247</v>
      </c>
      <c r="BW23" s="303">
        <f t="shared" si="12"/>
      </c>
      <c r="BX23" s="577">
        <v>-336</v>
      </c>
      <c r="BY23" s="577">
        <f>+-339-BX23</f>
      </c>
      <c r="BZ23" s="577">
        <v>89</v>
      </c>
      <c r="CA23" s="577">
        <v>345</v>
      </c>
      <c r="CB23" s="67">
        <f t="shared" si="13"/>
      </c>
      <c r="CC23" s="577">
        <v>-193</v>
      </c>
      <c r="CD23" s="577">
        <f>-88-CC23</f>
      </c>
      <c r="CE23" s="577">
        <f>-197-CC23-CD23</f>
      </c>
      <c r="CF23" s="577">
        <f t="shared" si="14"/>
      </c>
      <c r="CG23" s="1143">
        <v>-196</v>
      </c>
      <c r="CH23" s="1144">
        <v>-452</v>
      </c>
      <c r="CI23" s="1144">
        <f>-620-CH23</f>
      </c>
      <c r="CJ23" s="1144">
        <f>-787-CH23-CI23</f>
      </c>
      <c r="CK23" s="1144">
        <f>-715-CH23-CI23-CJ23</f>
      </c>
      <c r="CL23" s="1145">
        <f t="shared" si="28"/>
      </c>
      <c r="CM23" s="1144">
        <v>-449</v>
      </c>
      <c r="CN23" s="1144">
        <f>-618-CM23</f>
      </c>
      <c r="CO23" s="1144">
        <f>-593-CN23-CM23</f>
      </c>
      <c r="CP23" s="1146">
        <f t="shared" si="23"/>
      </c>
      <c r="CQ23" s="1143">
        <v>-1</v>
      </c>
      <c r="CR23" s="1144">
        <v>-288</v>
      </c>
      <c r="CS23" s="1144">
        <f>-547-CR23</f>
      </c>
      <c r="CT23" s="1144">
        <f>-799-CS23-CR23</f>
      </c>
      <c r="CU23" s="1146">
        <f t="shared" si="24"/>
      </c>
      <c r="CV23" s="1143">
        <f>-622</f>
      </c>
      <c r="CW23" s="1144">
        <v>-512</v>
      </c>
      <c r="CX23" s="1144">
        <f>-605-CW23</f>
      </c>
      <c r="CY23" s="1144">
        <f>-1098-CX23-CW23</f>
      </c>
      <c r="CZ23" s="1146">
        <f t="shared" si="25"/>
      </c>
      <c r="DA23" s="1143">
        <v>-1120</v>
      </c>
      <c r="DB23" s="1144">
        <v>-276</v>
      </c>
      <c r="DC23" s="1144">
        <f>-537-DB23</f>
      </c>
      <c r="DD23" s="1144">
        <f>-719-DC23-DB23</f>
      </c>
      <c r="DE23" s="1146">
        <f t="shared" si="26"/>
      </c>
      <c r="DF23" s="1143">
        <v>-449</v>
      </c>
      <c r="DG23" s="1144">
        <v>-190</v>
      </c>
      <c r="DH23" s="1144">
        <f>-443-DG23</f>
      </c>
      <c r="DI23" s="1144">
        <f>-408-DH23-DG23</f>
      </c>
      <c r="DJ23" s="1146">
        <f t="shared" si="27"/>
      </c>
      <c r="DK23" s="1143">
        <v>-249</v>
      </c>
      <c r="DL23" s="1144">
        <v>-368</v>
      </c>
      <c r="DM23" s="1144">
        <f>-421-DL23</f>
      </c>
      <c r="DN23" s="1144">
        <f>-193-DM23-DL23</f>
      </c>
      <c r="DO23" s="1146">
        <f t="shared" si="29"/>
      </c>
      <c r="DP23" s="1143">
        <v>581</v>
      </c>
      <c r="DQ23" s="1144">
        <v>-322</v>
      </c>
      <c r="DR23" s="1144">
        <f>-491-DQ23</f>
      </c>
      <c r="DS23" s="1144">
        <f>-777-DR23-DQ23</f>
      </c>
      <c r="DT23" s="1288">
        <f t="shared" si="15"/>
      </c>
      <c r="DU23" s="1414">
        <v>-644</v>
      </c>
      <c r="DV23" s="1144">
        <v>-369</v>
      </c>
      <c r="DW23" s="1144">
        <f>-423-DV23</f>
      </c>
      <c r="DX23" s="1144">
        <f>-424-SUM(DV23:DW23)</f>
      </c>
      <c r="DY23" s="1288">
        <f t="shared" si="16"/>
      </c>
      <c r="DZ23" s="1414">
        <v>-277</v>
      </c>
      <c r="EA23" s="1144">
        <v>-159</v>
      </c>
      <c r="EB23" s="1144">
        <f>-637-EA23</f>
      </c>
      <c r="EC23" s="1540">
        <f>-784-SUM(EA23:EB23)</f>
      </c>
      <c r="ED23" s="1288">
        <f t="shared" si="17"/>
      </c>
      <c r="EE23" s="1414">
        <v>-265</v>
      </c>
      <c r="EF23" s="1144">
        <v>-695</v>
      </c>
      <c r="EG23" s="1540">
        <f>-818-EF23</f>
      </c>
      <c r="EH23" s="1144">
        <f>-1178-SUM(EF23:EG23)</f>
      </c>
      <c r="EI23" s="1288">
        <f t="shared" si="30"/>
      </c>
      <c r="EJ23" s="1414">
        <v>-1248</v>
      </c>
      <c r="EK23" s="1144">
        <v>-600</v>
      </c>
      <c r="EL23" s="1144">
        <f>-1257-EK23</f>
      </c>
      <c r="EM23" s="1144">
        <f>-1877-SUM(EK23:EL23)</f>
      </c>
      <c r="EN23" s="1288">
        <f t="shared" si="31"/>
      </c>
      <c r="EO23" s="1414">
        <v>-2527</v>
      </c>
      <c r="EP23" s="1144">
        <v>-524</v>
      </c>
      <c r="EQ23" s="1144">
        <f>-741-EP23</f>
      </c>
      <c r="ER23" s="1144">
        <f>-1447-EQ23-EP23</f>
      </c>
      <c r="ES23" s="1414">
        <f>-1323-SUM(EP23:ER23)</f>
      </c>
      <c r="ET23" s="1288">
        <f t="shared" ref="ET23:ET28" si="32">SUM(EP23:ES23)</f>
      </c>
      <c r="EU23" s="1144">
        <v>-348</v>
      </c>
      <c r="EV23" s="1144">
        <f>-739-SUM(EU23)</f>
      </c>
      <c r="EW23" s="1144">
        <f>-1038-EV23-EU23</f>
      </c>
      <c r="EX23" s="1414">
        <f>-1128-SUM(EU23:EW23)</f>
      </c>
      <c r="EY23" s="1288">
        <f t="shared" ref="EY23:EY28" si="33">SUM(EU23:EX23)</f>
      </c>
      <c r="EZ23" s="1144">
        <v>-146</v>
      </c>
      <c r="FA23" s="1144">
        <f>-656-SUM(EZ23)</f>
      </c>
      <c r="FB23" s="1106">
        <f>+'Balance Sheet'!EY17-'Balance Sheet'!EZ17</f>
      </c>
      <c r="FC23" s="1288">
        <f>+'Balance Sheet'!EZ17-'Balance Sheet'!FA17</f>
      </c>
      <c r="FD23" s="2493">
        <f>SUM(EZ23:FC23)</f>
      </c>
      <c r="FE23" s="1288">
        <f>+'Balance Sheet'!FB17-'Balance Sheet'!FC17</f>
      </c>
      <c r="FF23" s="1288">
        <f>+'Balance Sheet'!FC17-'Balance Sheet'!FD17</f>
      </c>
      <c r="FG23" s="1288">
        <f>+'Balance Sheet'!FD17-'Balance Sheet'!FE17</f>
      </c>
      <c r="FH23" s="1288">
        <f>+'Balance Sheet'!FE17-'Balance Sheet'!FF17</f>
      </c>
      <c r="FI23" s="1288">
        <f>+'Balance Sheet'!FF17-'Balance Sheet'!FG17</f>
      </c>
    </row>
    <row r="24" spans="1:165">
      <c r="A24" s="10"/>
      <c r="B24" s="130"/>
      <c r="C24" s="10"/>
      <c r="D24" s="10" t="s">
        <v>227</v>
      </c>
      <c r="E24" s="577">
        <v>360</v>
      </c>
      <c r="F24" s="577">
        <v>156</v>
      </c>
      <c r="G24" s="577">
        <v>345</v>
      </c>
      <c r="H24" s="577">
        <v>-3</v>
      </c>
      <c r="I24" s="577">
        <v>462</v>
      </c>
      <c r="J24" s="577">
        <v>617</v>
      </c>
      <c r="K24" s="710"/>
      <c r="L24" s="710"/>
      <c r="M24" s="710"/>
      <c r="N24" s="577"/>
      <c r="O24" s="303">
        <f t="shared" si="0"/>
      </c>
      <c r="P24" s="710"/>
      <c r="Q24" s="710"/>
      <c r="R24" s="710"/>
      <c r="S24" s="577"/>
      <c r="T24" s="303">
        <f t="shared" si="1"/>
      </c>
      <c r="U24" s="710"/>
      <c r="V24" s="710"/>
      <c r="W24" s="710"/>
      <c r="X24" s="710"/>
      <c r="Y24" s="303">
        <f t="shared" si="2"/>
      </c>
      <c r="Z24" s="710">
        <v>0</v>
      </c>
      <c r="AA24" s="710">
        <v>0</v>
      </c>
      <c r="AB24" s="710">
        <v>0</v>
      </c>
      <c r="AC24" s="710">
        <v>226</v>
      </c>
      <c r="AD24" s="303">
        <f t="shared" si="3"/>
      </c>
      <c r="AE24" s="710">
        <v>0</v>
      </c>
      <c r="AF24" s="710">
        <v>0</v>
      </c>
      <c r="AG24" s="710">
        <v>0</v>
      </c>
      <c r="AH24" s="710">
        <v>41</v>
      </c>
      <c r="AI24" s="303">
        <f t="shared" si="4"/>
      </c>
      <c r="AJ24" s="710">
        <v>0</v>
      </c>
      <c r="AK24" s="710">
        <v>0</v>
      </c>
      <c r="AL24" s="710">
        <v>0</v>
      </c>
      <c r="AM24" s="710">
        <v>1401</v>
      </c>
      <c r="AN24" s="303">
        <f t="shared" si="5"/>
      </c>
      <c r="AO24" s="710">
        <v>0</v>
      </c>
      <c r="AP24" s="710">
        <v>0</v>
      </c>
      <c r="AQ24" s="710">
        <v>0</v>
      </c>
      <c r="AR24" s="710">
        <v>1420</v>
      </c>
      <c r="AS24" s="303">
        <f t="shared" si="6"/>
      </c>
      <c r="AT24" s="710">
        <v>-594</v>
      </c>
      <c r="AU24" s="710">
        <v>695</v>
      </c>
      <c r="AV24" s="710">
        <v>-101</v>
      </c>
      <c r="AW24" s="710">
        <v>2192</v>
      </c>
      <c r="AX24" s="303">
        <f t="shared" si="7"/>
      </c>
      <c r="AY24" s="710">
        <v>-1350</v>
      </c>
      <c r="AZ24" s="710">
        <v>204</v>
      </c>
      <c r="BA24" s="710">
        <v>359</v>
      </c>
      <c r="BB24" s="710">
        <v>1394</v>
      </c>
      <c r="BC24" s="303">
        <f t="shared" si="8"/>
      </c>
      <c r="BD24" s="710">
        <v>-1509</v>
      </c>
      <c r="BE24" s="710">
        <v>-142</v>
      </c>
      <c r="BF24" s="710">
        <v>-81</v>
      </c>
      <c r="BG24" s="710">
        <v>821</v>
      </c>
      <c r="BH24" s="303">
        <f t="shared" si="9"/>
      </c>
      <c r="BI24" s="710">
        <v>-633</v>
      </c>
      <c r="BJ24" s="710">
        <v>-161</v>
      </c>
      <c r="BK24" s="710">
        <v>396</v>
      </c>
      <c r="BL24" s="710">
        <v>2148</v>
      </c>
      <c r="BM24" s="303">
        <f t="shared" si="10"/>
      </c>
      <c r="BN24" s="710">
        <v>-229</v>
      </c>
      <c r="BO24" s="710">
        <v>-77</v>
      </c>
      <c r="BP24" s="710">
        <v>1239</v>
      </c>
      <c r="BQ24" s="710">
        <v>1709</v>
      </c>
      <c r="BR24" s="303">
        <f t="shared" si="11"/>
      </c>
      <c r="BS24" s="710">
        <v>-273</v>
      </c>
      <c r="BT24" s="710">
        <v>-887</v>
      </c>
      <c r="BU24" s="710">
        <v>57</v>
      </c>
      <c r="BV24" s="710">
        <v>831</v>
      </c>
      <c r="BW24" s="303">
        <f t="shared" si="12"/>
      </c>
      <c r="BX24" s="577">
        <v>-2155</v>
      </c>
      <c r="BY24" s="577">
        <f>+-1897-BX24</f>
      </c>
      <c r="BZ24" s="577">
        <v>67</v>
      </c>
      <c r="CA24" s="577">
        <v>1323</v>
      </c>
      <c r="CB24" s="67">
        <f t="shared" si="13"/>
      </c>
      <c r="CC24" s="577">
        <v>-1651</v>
      </c>
      <c r="CD24" s="577">
        <f>-1719-CC24</f>
      </c>
      <c r="CE24" s="577">
        <f>-1552-CC24-CD24</f>
      </c>
      <c r="CF24" s="577">
        <f t="shared" si="14"/>
      </c>
      <c r="CG24" s="1143">
        <v>20</v>
      </c>
      <c r="CH24" s="1144">
        <v>-1127</v>
      </c>
      <c r="CI24" s="1144">
        <f>-444-CH24</f>
      </c>
      <c r="CJ24" s="1144">
        <f>-100-CH24-CI24</f>
      </c>
      <c r="CK24" s="1144">
        <f>493-CH24-CI24-CJ24</f>
      </c>
      <c r="CL24" s="1145">
        <f t="shared" si="28"/>
      </c>
      <c r="CM24" s="1144">
        <v>-1331</v>
      </c>
      <c r="CN24" s="1144">
        <f>899-CM24</f>
      </c>
      <c r="CO24" s="1144">
        <f>1220-CN24-CM24</f>
      </c>
      <c r="CP24" s="1146">
        <f t="shared" si="23"/>
      </c>
      <c r="CQ24" s="1143">
        <v>2768</v>
      </c>
      <c r="CR24" s="1144">
        <v>-1459</v>
      </c>
      <c r="CS24" s="1144">
        <f>-715-CR24</f>
      </c>
      <c r="CT24" s="1144">
        <f>589-CS24-CR24</f>
      </c>
      <c r="CU24" s="1146">
        <f t="shared" si="24"/>
      </c>
      <c r="CV24" s="1143">
        <f>1821</f>
      </c>
      <c r="CW24" s="1144">
        <v>-1004</v>
      </c>
      <c r="CX24" s="1144">
        <f>-595-CW24</f>
      </c>
      <c r="CY24" s="1144">
        <f>-54-827-CX24-CW24</f>
      </c>
      <c r="CZ24" s="1146">
        <f t="shared" si="25"/>
      </c>
      <c r="DA24" s="1143">
        <v>955</v>
      </c>
      <c r="DB24" s="1144">
        <v>-2451</v>
      </c>
      <c r="DC24" s="1144">
        <f>-2203-DB24</f>
      </c>
      <c r="DD24" s="1144">
        <f>-1558-DC24-DB24</f>
      </c>
      <c r="DE24" s="1146">
        <f t="shared" si="26"/>
      </c>
      <c r="DF24" s="1143">
        <v>-3</v>
      </c>
      <c r="DG24" s="1144">
        <v>-2333</v>
      </c>
      <c r="DH24" s="1144">
        <f>-1047-DG24</f>
      </c>
      <c r="DI24" s="1144">
        <f>-1220-DH24-DG24</f>
      </c>
      <c r="DJ24" s="1146">
        <f t="shared" si="27"/>
      </c>
      <c r="DK24" s="1143">
        <v>656</v>
      </c>
      <c r="DL24" s="1144">
        <v>-2030</v>
      </c>
      <c r="DM24" s="1144">
        <f>-1201-DL24</f>
      </c>
      <c r="DN24" s="1144">
        <f>339-DM24-DL24</f>
      </c>
      <c r="DO24" s="1146">
        <f t="shared" si="29"/>
      </c>
      <c r="DP24" s="1143">
        <v>2725</v>
      </c>
      <c r="DQ24" s="1144">
        <v>-1686</v>
      </c>
      <c r="DR24" s="1144">
        <f>-49-DQ24</f>
      </c>
      <c r="DS24" s="1144">
        <f>731-DR24-DQ24</f>
      </c>
      <c r="DT24" s="1288">
        <f t="shared" si="15"/>
      </c>
      <c r="DU24" s="1143">
        <v>3951</v>
      </c>
      <c r="DV24" s="1144">
        <v>-1833</v>
      </c>
      <c r="DW24" s="1144">
        <f>-444-DV24</f>
      </c>
      <c r="DX24" s="1144">
        <f>2273-SUM(DV24:DW24)</f>
      </c>
      <c r="DY24" s="1288">
        <f t="shared" si="16"/>
      </c>
      <c r="DZ24" s="1143">
        <v>4060</v>
      </c>
      <c r="EA24" s="1144">
        <v>-2523</v>
      </c>
      <c r="EB24" s="1144">
        <f>-2319-EA24</f>
      </c>
      <c r="EC24" s="1540">
        <f>-119-SUM(EA24:EB24)</f>
      </c>
      <c r="ED24" s="1288">
        <f t="shared" si="17"/>
      </c>
      <c r="EE24" s="1414">
        <v>5141</v>
      </c>
      <c r="EF24" s="1144">
        <v>-2336</v>
      </c>
      <c r="EG24" s="1540">
        <f>-4050-EF24</f>
      </c>
      <c r="EH24" s="1144">
        <f>182-SUM(EF24:EG24)</f>
      </c>
      <c r="EI24" s="1288">
        <f t="shared" si="30"/>
      </c>
      <c r="EJ24" s="1414">
        <v>2437</v>
      </c>
      <c r="EK24" s="1144">
        <v>-2817</v>
      </c>
      <c r="EL24" s="1144">
        <f>-1170-EK24</f>
      </c>
      <c r="EM24" s="1144">
        <f>141-SUM(EK24:EL24)</f>
      </c>
      <c r="EN24" s="1288">
        <f t="shared" si="31"/>
      </c>
      <c r="EO24" s="1414">
        <v>1098</v>
      </c>
      <c r="EP24" s="1144">
        <v>-2572</v>
      </c>
      <c r="EQ24" s="1144">
        <f>-1061-EP24</f>
      </c>
      <c r="ER24" s="1144">
        <f>664-EQ24-EP24</f>
      </c>
      <c r="ES24" s="1414">
        <f>2346-SUM(EP24:ER24)</f>
      </c>
      <c r="ET24" s="1288">
        <f t="shared" si="32"/>
      </c>
      <c r="EU24" s="1144">
        <v>-2483</v>
      </c>
      <c r="EV24" s="1144">
        <f>449-SUM(EU24)</f>
      </c>
      <c r="EW24" s="1144">
        <f>2713-EV24-EU24</f>
      </c>
      <c r="EX24" s="1414">
        <f>1621-SUM(EU24:EW24)</f>
      </c>
      <c r="EY24" s="1288">
        <f t="shared" si="33"/>
      </c>
      <c r="EZ24" s="1144">
        <v>-2126</v>
      </c>
      <c r="FA24" s="1144">
        <f>-886-SUM(EZ24)</f>
      </c>
      <c r="FB24" s="1106">
        <f>+'Balance Sheet'!EZ32-'Balance Sheet'!EY32</f>
      </c>
      <c r="FC24" s="1288">
        <f>+'Balance Sheet'!FA32-'Balance Sheet'!EZ32</f>
      </c>
      <c r="FD24" s="2493">
        <f>SUM(EZ24:FC24)</f>
      </c>
      <c r="FE24" s="1288">
        <f>+'Balance Sheet'!FC32-'Balance Sheet'!FB32</f>
      </c>
      <c r="FF24" s="1288">
        <f>+'Balance Sheet'!FD32-'Balance Sheet'!FC32</f>
      </c>
      <c r="FG24" s="1288">
        <f>+'Balance Sheet'!FE32-'Balance Sheet'!FD32</f>
      </c>
      <c r="FH24" s="1288">
        <f>+'Balance Sheet'!FF32-'Balance Sheet'!FE32</f>
      </c>
      <c r="FI24" s="1288">
        <f>+'Balance Sheet'!FG32-'Balance Sheet'!FF32</f>
      </c>
    </row>
    <row r="25" spans="1:165">
      <c r="A25" s="10"/>
      <c r="B25" s="130"/>
      <c r="C25" s="10"/>
      <c r="D25" s="129" t="s">
        <v>228</v>
      </c>
      <c r="E25" s="577">
        <v>-7</v>
      </c>
      <c r="F25" s="577">
        <v>-328</v>
      </c>
      <c r="G25" s="577">
        <v>-199</v>
      </c>
      <c r="H25" s="577">
        <v>102</v>
      </c>
      <c r="I25" s="577">
        <v>-112</v>
      </c>
      <c r="J25" s="577">
        <v>-294</v>
      </c>
      <c r="K25" s="710"/>
      <c r="L25" s="710"/>
      <c r="M25" s="710"/>
      <c r="N25" s="710"/>
      <c r="O25" s="573">
        <f t="shared" si="0"/>
      </c>
      <c r="P25" s="710"/>
      <c r="Q25" s="710"/>
      <c r="R25" s="710"/>
      <c r="S25" s="710"/>
      <c r="T25" s="573">
        <f t="shared" si="1"/>
      </c>
      <c r="U25" s="710"/>
      <c r="V25" s="710"/>
      <c r="W25" s="710"/>
      <c r="X25" s="710"/>
      <c r="Y25" s="573">
        <f t="shared" si="2"/>
      </c>
      <c r="Z25" s="710">
        <v>0</v>
      </c>
      <c r="AA25" s="710">
        <v>0</v>
      </c>
      <c r="AB25" s="710">
        <v>0</v>
      </c>
      <c r="AC25" s="710"/>
      <c r="AD25" s="573">
        <f t="shared" si="3"/>
      </c>
      <c r="AE25" s="710">
        <v>0</v>
      </c>
      <c r="AF25" s="710">
        <v>0</v>
      </c>
      <c r="AG25" s="710">
        <v>0</v>
      </c>
      <c r="AH25" s="710"/>
      <c r="AI25" s="573">
        <f t="shared" si="4"/>
      </c>
      <c r="AJ25" s="710">
        <v>0</v>
      </c>
      <c r="AK25" s="710">
        <v>0</v>
      </c>
      <c r="AL25" s="710">
        <v>0</v>
      </c>
      <c r="AM25" s="710">
        <v>-270</v>
      </c>
      <c r="AN25" s="573">
        <f t="shared" si="5"/>
      </c>
      <c r="AO25" s="710">
        <v>0</v>
      </c>
      <c r="AP25" s="710">
        <v>0</v>
      </c>
      <c r="AQ25" s="710">
        <v>0</v>
      </c>
      <c r="AR25" s="710">
        <v>-1429</v>
      </c>
      <c r="AS25" s="573">
        <f t="shared" si="6"/>
      </c>
      <c r="AT25" s="710">
        <v>-172</v>
      </c>
      <c r="AU25" s="710">
        <v>-398</v>
      </c>
      <c r="AV25" s="710">
        <v>570</v>
      </c>
      <c r="AW25" s="710">
        <v>-746</v>
      </c>
      <c r="AX25" s="573">
        <f t="shared" si="7"/>
      </c>
      <c r="AY25" s="710">
        <v>368</v>
      </c>
      <c r="AZ25" s="710">
        <v>-120</v>
      </c>
      <c r="BA25" s="710">
        <v>297</v>
      </c>
      <c r="BB25" s="710">
        <v>-940</v>
      </c>
      <c r="BC25" s="573">
        <f t="shared" si="8"/>
      </c>
      <c r="BD25" s="710">
        <v>235</v>
      </c>
      <c r="BE25" s="710">
        <v>343</v>
      </c>
      <c r="BF25" s="710">
        <v>282</v>
      </c>
      <c r="BG25" s="710">
        <v>-240</v>
      </c>
      <c r="BH25" s="573">
        <f t="shared" si="9"/>
      </c>
      <c r="BI25" s="710">
        <v>-207</v>
      </c>
      <c r="BJ25" s="710">
        <v>290</v>
      </c>
      <c r="BK25" s="710">
        <v>-4</v>
      </c>
      <c r="BL25" s="710">
        <v>-348</v>
      </c>
      <c r="BM25" s="573">
        <f t="shared" si="10"/>
      </c>
      <c r="BN25" s="710">
        <v>-373</v>
      </c>
      <c r="BO25" s="710">
        <v>-51</v>
      </c>
      <c r="BP25" s="710">
        <v>-583</v>
      </c>
      <c r="BQ25" s="710">
        <v>-344</v>
      </c>
      <c r="BR25" s="573">
        <f t="shared" si="11"/>
      </c>
      <c r="BS25" s="710">
        <v>-127</v>
      </c>
      <c r="BT25" s="710">
        <v>-629</v>
      </c>
      <c r="BU25" s="710">
        <v>754</v>
      </c>
      <c r="BV25" s="710">
        <v>-1512</v>
      </c>
      <c r="BW25" s="573">
        <f t="shared" si="12"/>
      </c>
      <c r="BX25" s="577">
        <v>-39</v>
      </c>
      <c r="BY25" s="577">
        <f>+-28-BX25</f>
      </c>
      <c r="BZ25" s="577">
        <v>-7</v>
      </c>
      <c r="CA25" s="577">
        <v>1302</v>
      </c>
      <c r="CB25" s="67">
        <f t="shared" si="13"/>
      </c>
      <c r="CC25" s="577">
        <v>-1088</v>
      </c>
      <c r="CD25" s="577">
        <f>-704-CC25</f>
      </c>
      <c r="CE25" s="577">
        <f>-310-CC25-CD25</f>
      </c>
      <c r="CF25" s="577">
        <f t="shared" si="14"/>
      </c>
      <c r="CG25" s="1143">
        <v>-574</v>
      </c>
      <c r="CH25" s="1144">
        <v>-970</v>
      </c>
      <c r="CI25" s="1144">
        <f>-920-CH25</f>
      </c>
      <c r="CJ25" s="1144">
        <f>-906-CH25-CI25</f>
      </c>
      <c r="CK25" s="1144">
        <f>-1625-CH25-CI25-CJ25</f>
      </c>
      <c r="CL25" s="1145">
        <f t="shared" si="28"/>
      </c>
      <c r="CM25" s="1144">
        <v>-754</v>
      </c>
      <c r="CN25" s="1144">
        <f>-29+1368-CM25</f>
      </c>
      <c r="CO25" s="1144">
        <f>-790+86-CN25-CM25</f>
      </c>
      <c r="CP25" s="1146">
        <f t="shared" si="23"/>
      </c>
      <c r="CQ25" s="1143">
        <f>-2172+92</f>
      </c>
      <c r="CR25" s="1144">
        <v>-608</v>
      </c>
      <c r="CS25" s="1144">
        <f>-401-437-CR25</f>
      </c>
      <c r="CT25" s="1144">
        <f>-403-380-CS25-CR25</f>
      </c>
      <c r="CU25" s="1146">
        <f t="shared" si="24"/>
      </c>
      <c r="CV25" s="1143">
        <f>-131-417</f>
      </c>
      <c r="CW25" s="1144">
        <v>-152</v>
      </c>
      <c r="CX25" s="1144">
        <f>-564-CW25</f>
      </c>
      <c r="CY25" s="1144">
        <f>72-2336-CX25-CW25</f>
      </c>
      <c r="CZ25" s="1146">
        <f t="shared" si="25"/>
      </c>
      <c r="DA25" s="1143">
        <f>-28-2383+442</f>
      </c>
      <c r="DB25" s="1144">
        <v>-562</v>
      </c>
      <c r="DC25" s="1144">
        <f>602-DB25</f>
      </c>
      <c r="DD25" s="1144">
        <f>986-1274-DC25-DB25</f>
      </c>
      <c r="DE25" s="1146">
        <f t="shared" si="26"/>
      </c>
      <c r="DF25" s="1143">
        <f>-2583+65+18</f>
      </c>
      <c r="DG25" s="1144">
        <v>-802</v>
      </c>
      <c r="DH25" s="1144">
        <f>-630-DG25</f>
      </c>
      <c r="DI25" s="1144">
        <f>-379+-DH25-DG25</f>
      </c>
      <c r="DJ25" s="1146">
        <f>+DK25-SUM(DG25:DI25)</f>
      </c>
      <c r="DK25" s="1143">
        <f>18-11-563</f>
      </c>
      <c r="DL25" s="1144">
        <v>-573</v>
      </c>
      <c r="DM25" s="1144">
        <f>-541-DL25-53</f>
      </c>
      <c r="DN25" s="1144">
        <f>+-555-DM25-DL25-527</f>
      </c>
      <c r="DO25" s="1146">
        <f t="shared" si="29"/>
      </c>
      <c r="DP25" s="1143">
        <f>-411-1307+17</f>
      </c>
      <c r="DQ25" s="1144">
        <v>-907</v>
      </c>
      <c r="DR25" s="1144">
        <f>-267-DQ25-443</f>
      </c>
      <c r="DS25" s="1144">
        <f>-904-DR25-DQ25-443</f>
      </c>
      <c r="DT25" s="1288">
        <f t="shared" si="15"/>
      </c>
      <c r="DU25" s="1414">
        <f>-275-1217-31</f>
      </c>
      <c r="DV25" s="1144">
        <v>-488</v>
      </c>
      <c r="DW25" s="1144">
        <f>-862-DV25</f>
      </c>
      <c r="DX25" s="1144">
        <f>-81-SUM(DV25:DW25)</f>
      </c>
      <c r="DY25" s="1288">
        <f t="shared" si="16"/>
      </c>
      <c r="DZ25" s="1414">
        <f>-1054</f>
      </c>
      <c r="EA25" s="1144">
        <v>271</v>
      </c>
      <c r="EB25" s="1144">
        <f>-1048-EA25</f>
      </c>
      <c r="EC25" s="1540">
        <f>-1983-SUM(EA25:EB25)</f>
      </c>
      <c r="ED25" s="1288">
        <f t="shared" si="17"/>
      </c>
      <c r="EE25" s="1414">
        <v>-3704</v>
      </c>
      <c r="EF25" s="1144">
        <v>2522</v>
      </c>
      <c r="EG25" s="1540">
        <f>1415-EF25</f>
      </c>
      <c r="EH25" s="1144">
        <f>2082-SUM(EF25:EG25)</f>
      </c>
      <c r="EI25" s="1288">
        <f t="shared" si="30"/>
      </c>
      <c r="EJ25" s="1414">
        <v>-1964</v>
      </c>
      <c r="EK25" s="1144">
        <v>995</v>
      </c>
      <c r="EL25" s="1144">
        <f>3527-EK25</f>
      </c>
      <c r="EM25" s="1144">
        <f>4563-SUM(EK25:EL25)</f>
      </c>
      <c r="EN25" s="1288">
        <f t="shared" si="31"/>
      </c>
      <c r="EO25" s="1414">
        <v>687</v>
      </c>
      <c r="EP25" s="1144">
        <v>-915</v>
      </c>
      <c r="EQ25" s="1144">
        <f>-1144-EP25</f>
      </c>
      <c r="ER25" s="1144">
        <f>-1366-EQ25-EP25</f>
      </c>
      <c r="ES25" s="1414">
        <f>-3480-SUM(EP25:ER25)</f>
      </c>
      <c r="ET25" s="1288">
        <f t="shared" si="32"/>
      </c>
      <c r="EU25" s="1144">
        <v>3199</v>
      </c>
      <c r="EV25" s="1144">
        <f>3731-SUM(EU25)</f>
      </c>
      <c r="EW25" s="1144">
        <f>949-EV25-EU25</f>
      </c>
      <c r="EX25" s="1414">
        <f>1717-SUM(EU25:EW25)</f>
      </c>
      <c r="EY25" s="1288">
        <f t="shared" si="33"/>
      </c>
      <c r="EZ25" s="1144">
        <v>-1317</v>
      </c>
      <c r="FA25" s="1144">
        <f>-6194-SUM(EZ25)</f>
      </c>
      <c r="FB25" s="1106">
        <f>+'Balance Sheet'!EY19-'Balance Sheet'!EZ19+'Balance Sheet'!EY15-'Balance Sheet'!EZ15+'Balance Sheet'!EY18-'Balance Sheet'!EZ18</f>
      </c>
      <c r="FC25" s="1288">
        <f>+'Balance Sheet'!EZ19-'Balance Sheet'!FA19+'Balance Sheet'!EZ15-'Balance Sheet'!FA15+'Balance Sheet'!EZ18-'Balance Sheet'!FA18</f>
      </c>
      <c r="FD25" s="2493">
        <f>SUM(EZ25:FC25)</f>
      </c>
      <c r="FE25" s="1288">
        <f>+'Balance Sheet'!FB19-'Balance Sheet'!FC19+'Balance Sheet'!FB15-'Balance Sheet'!FC15+'Balance Sheet'!FB18-'Balance Sheet'!FC18</f>
      </c>
      <c r="FF25" s="1288">
        <f>+'Balance Sheet'!FC19-'Balance Sheet'!FD19+'Balance Sheet'!FC15-'Balance Sheet'!FD15+'Balance Sheet'!FC18-'Balance Sheet'!FD18</f>
      </c>
      <c r="FG25" s="1288">
        <f>+'Balance Sheet'!FD19-'Balance Sheet'!FE19+'Balance Sheet'!FD15-'Balance Sheet'!FE15+'Balance Sheet'!FD18-'Balance Sheet'!FE18</f>
      </c>
      <c r="FH25" s="1288">
        <f>+'Balance Sheet'!FE19-'Balance Sheet'!FF19+'Balance Sheet'!FE15-'Balance Sheet'!FF15+'Balance Sheet'!FE18-'Balance Sheet'!FF18</f>
      </c>
      <c r="FI25" s="1288">
        <f>+'Balance Sheet'!FF19-'Balance Sheet'!FG19+'Balance Sheet'!FF15-'Balance Sheet'!FG15+'Balance Sheet'!FF18-'Balance Sheet'!FG18</f>
      </c>
    </row>
    <row r="26" spans="1:165">
      <c r="A26" s="10"/>
      <c r="B26" s="130"/>
      <c r="C26" s="10"/>
      <c r="D26" s="129" t="s">
        <v>316</v>
      </c>
      <c r="E26" s="577"/>
      <c r="F26" s="577"/>
      <c r="G26" s="577"/>
      <c r="H26" s="577"/>
      <c r="I26" s="577"/>
      <c r="J26" s="577"/>
      <c r="K26" s="710"/>
      <c r="L26" s="710"/>
      <c r="M26" s="710"/>
      <c r="N26" s="710"/>
      <c r="O26" s="573">
        <f>SUM(K26:N26)</f>
      </c>
      <c r="P26" s="710"/>
      <c r="Q26" s="710"/>
      <c r="R26" s="710"/>
      <c r="S26" s="710"/>
      <c r="T26" s="573">
        <f>SUM(P26:S26)</f>
      </c>
      <c r="U26" s="710"/>
      <c r="V26" s="710"/>
      <c r="W26" s="710"/>
      <c r="X26" s="710"/>
      <c r="Y26" s="573">
        <f>SUM(U26:X26)</f>
      </c>
      <c r="Z26" s="710">
        <v>0</v>
      </c>
      <c r="AA26" s="710">
        <v>0</v>
      </c>
      <c r="AB26" s="710">
        <v>0</v>
      </c>
      <c r="AC26" s="710">
        <v>0</v>
      </c>
      <c r="AD26" s="573">
        <f>SUM(Z26:AC26)</f>
      </c>
      <c r="AE26" s="710">
        <v>0</v>
      </c>
      <c r="AF26" s="710">
        <v>0</v>
      </c>
      <c r="AG26" s="710">
        <v>0</v>
      </c>
      <c r="AH26" s="710">
        <v>0</v>
      </c>
      <c r="AI26" s="573">
        <f>SUM(AE26:AH26)</f>
      </c>
      <c r="AJ26" s="710">
        <v>0</v>
      </c>
      <c r="AK26" s="710">
        <v>0</v>
      </c>
      <c r="AL26" s="710">
        <v>0</v>
      </c>
      <c r="AM26" s="710">
        <v>0</v>
      </c>
      <c r="AN26" s="573">
        <f>SUM(AJ26:AM26)</f>
      </c>
      <c r="AO26" s="710">
        <v>0</v>
      </c>
      <c r="AP26" s="710">
        <v>0</v>
      </c>
      <c r="AQ26" s="710">
        <v>0</v>
      </c>
      <c r="AR26" s="710">
        <v>0</v>
      </c>
      <c r="AS26" s="573">
        <f>SUM(AO26:AR26)</f>
      </c>
      <c r="AT26" s="710">
        <v>0</v>
      </c>
      <c r="AU26" s="710">
        <v>0</v>
      </c>
      <c r="AV26" s="710">
        <v>0</v>
      </c>
      <c r="AW26" s="710">
        <v>0</v>
      </c>
      <c r="AX26" s="573">
        <f>SUM(AT26:AW26)</f>
      </c>
      <c r="AY26" s="710">
        <v>0</v>
      </c>
      <c r="AZ26" s="710">
        <v>0</v>
      </c>
      <c r="BA26" s="710">
        <v>0</v>
      </c>
      <c r="BB26" s="710">
        <v>0</v>
      </c>
      <c r="BC26" s="573">
        <f>SUM(AY26:BB26)</f>
      </c>
      <c r="BD26" s="710">
        <v>0</v>
      </c>
      <c r="BE26" s="710">
        <v>271</v>
      </c>
      <c r="BF26" s="710">
        <v>-271</v>
      </c>
      <c r="BG26" s="710">
        <v>0</v>
      </c>
      <c r="BH26" s="573">
        <f>SUM(BD26:BG26)</f>
      </c>
      <c r="BI26" s="710">
        <v>0</v>
      </c>
      <c r="BJ26" s="710">
        <v>340</v>
      </c>
      <c r="BK26" s="710">
        <v>171</v>
      </c>
      <c r="BL26" s="710">
        <v>148</v>
      </c>
      <c r="BM26" s="573">
        <f>SUM(BI26:BL26)</f>
      </c>
      <c r="BN26" s="710">
        <v>0</v>
      </c>
      <c r="BO26" s="710">
        <v>360</v>
      </c>
      <c r="BP26" s="710">
        <v>177</v>
      </c>
      <c r="BQ26" s="710">
        <v>161</v>
      </c>
      <c r="BR26" s="573">
        <f>SUM(BN26:BQ26)</f>
      </c>
      <c r="BS26" s="710">
        <v>163</v>
      </c>
      <c r="BT26" s="710">
        <v>193</v>
      </c>
      <c r="BU26" s="710">
        <v>168</v>
      </c>
      <c r="BV26" s="710">
        <v>103</v>
      </c>
      <c r="BW26" s="573">
        <f>SUM(BS26:BV26)</f>
      </c>
      <c r="BX26" s="577">
        <v>159</v>
      </c>
      <c r="BY26" s="577">
        <f>341-BX26</f>
      </c>
      <c r="BZ26" s="577">
        <v>158</v>
      </c>
      <c r="CA26" s="577">
        <v>129</v>
      </c>
      <c r="CB26" s="67">
        <f>SUM(BX26:CA26)</f>
      </c>
      <c r="CC26" s="577">
        <v>157</v>
      </c>
      <c r="CD26" s="577">
        <f>305-CC26</f>
      </c>
      <c r="CE26" s="577">
        <f>474-CC26-CD26</f>
      </c>
      <c r="CF26" s="577">
        <f>CG26-SUM(CC26:CE26)</f>
      </c>
      <c r="CG26" s="1143">
        <v>614</v>
      </c>
      <c r="CH26" s="1144">
        <v>152</v>
      </c>
      <c r="CI26" s="1144">
        <f>339-CH26</f>
      </c>
      <c r="CJ26" s="1144">
        <f>484-CH26-CI26</f>
      </c>
      <c r="CK26" s="1144">
        <f>621-CH26-CI26-CJ26</f>
      </c>
      <c r="CL26" s="1145">
        <f>SUM(CH26:CK26)</f>
      </c>
      <c r="CM26" s="1144">
        <v>173</v>
      </c>
      <c r="CN26" s="1144">
        <f>369-CM26</f>
      </c>
      <c r="CO26" s="1144">
        <f>515-CN26-CM26</f>
      </c>
      <c r="CP26" s="1146">
        <f>+CQ26-SUM(CM26:CO26)</f>
      </c>
      <c r="CQ26" s="1143">
        <v>662</v>
      </c>
      <c r="CR26" s="1144">
        <v>194</v>
      </c>
      <c r="CS26" s="1144">
        <f>423-CR26</f>
      </c>
      <c r="CT26" s="1144">
        <f>584-CS26-CR26</f>
      </c>
      <c r="CU26" s="1146">
        <f>+CV26-SUM(CR26:CT26)</f>
      </c>
      <c r="CV26" s="1143">
        <v>728</v>
      </c>
      <c r="CW26" s="1144">
        <v>198</v>
      </c>
      <c r="CX26" s="1144">
        <f>440-CW26</f>
      </c>
      <c r="CY26" s="1144">
        <f>646-CX26-CW26</f>
      </c>
      <c r="CZ26" s="1146">
        <f>+DA26-SUM(CW26:CY26)</f>
      </c>
      <c r="DA26" s="1143">
        <v>792</v>
      </c>
      <c r="DB26" s="1144">
        <v>204</v>
      </c>
      <c r="DC26" s="1144">
        <f>474-DB26</f>
      </c>
      <c r="DD26" s="1144">
        <f>677-DC26-DB26</f>
      </c>
      <c r="DE26" s="1146">
        <f>+DF26-SUM(DB26:DD26)</f>
      </c>
      <c r="DF26" s="1143">
        <v>874</v>
      </c>
      <c r="DG26" s="1144">
        <v>205</v>
      </c>
      <c r="DH26" s="1144">
        <f>479-DG26</f>
      </c>
      <c r="DI26" s="1144">
        <f>704-DH26-DG26</f>
      </c>
      <c r="DJ26" s="1146">
        <f>+DK26-SUM(DG26:DI26)</f>
      </c>
      <c r="DK26" s="1143">
        <v>878</v>
      </c>
      <c r="DL26" s="1144">
        <v>229</v>
      </c>
      <c r="DM26" s="1144">
        <f>522-DL26</f>
      </c>
      <c r="DN26" s="1144">
        <f>758-DM26-DL26</f>
      </c>
      <c r="DO26" s="1146">
        <f>+DP26-SUM(DL26:DN26)</f>
      </c>
      <c r="DP26" s="1143">
        <v>962</v>
      </c>
      <c r="DQ26" s="1144">
        <v>268</v>
      </c>
      <c r="DR26" s="1144">
        <f>580-DQ26</f>
      </c>
      <c r="DS26" s="1144">
        <f>822-DR26-DQ26</f>
      </c>
      <c r="DT26" s="1288">
        <f>DU26-SUM(DQ26:DS26)</f>
      </c>
      <c r="DU26" s="1414">
        <v>978</v>
      </c>
      <c r="DV26" s="1144">
        <v>258</v>
      </c>
      <c r="DW26" s="1144">
        <f>572-DV26</f>
      </c>
      <c r="DX26" s="1144">
        <f>817-SUM(DV26:DW26)</f>
      </c>
      <c r="DY26" s="1288">
        <f>DZ26-SUM(DV26:DX26)</f>
      </c>
      <c r="DZ26" s="1414">
        <v>977</v>
      </c>
      <c r="EA26" s="1144">
        <v>263</v>
      </c>
      <c r="EB26" s="1144">
        <f>589-EA26</f>
      </c>
      <c r="EC26" s="1540">
        <f>845-SUM(EA26:EB26)</f>
      </c>
      <c r="ED26" s="1288">
        <f>EE26-SUM(EA26:EC26)</f>
      </c>
      <c r="EE26" s="1414">
        <v>1005</v>
      </c>
      <c r="EF26" s="1144">
        <v>307</v>
      </c>
      <c r="EG26" s="1540">
        <f>661-EF26</f>
      </c>
      <c r="EH26" s="1144">
        <f>920-SUM(EF26:EG26)</f>
      </c>
      <c r="EI26" s="1288">
        <f>EJ26-SUM(EF26:EH26)</f>
      </c>
      <c r="EJ26" s="1414">
        <v>1135</v>
      </c>
      <c r="EK26" s="1144">
        <v>278</v>
      </c>
      <c r="EL26" s="1144">
        <f>644-EK26</f>
      </c>
      <c r="EM26" s="1144">
        <f>925-SUM(EK26:EL26)</f>
      </c>
      <c r="EN26" s="1288">
        <f>EO26-SUM(EK26:EM26)</f>
      </c>
      <c r="EO26" s="1414">
        <v>1138</v>
      </c>
      <c r="EP26" s="1144">
        <v>306</v>
      </c>
      <c r="EQ26" s="1144">
        <f>688-EP26</f>
      </c>
      <c r="ER26" s="1144">
        <f>984-EQ26-EP26</f>
      </c>
      <c r="ES26" s="3386">
        <f>1162-SUM(EP26:ER26)</f>
      </c>
      <c r="ET26" s="1288">
        <f t="shared" si="32"/>
      </c>
      <c r="EU26" s="1144">
        <v>302</v>
      </c>
      <c r="EV26" s="1144">
        <f>643-SUM(EU26)</f>
      </c>
      <c r="EW26" s="1144">
        <f>938-EV26-EU26</f>
      </c>
      <c r="EX26" s="3386">
        <f>1176-SUM(EU26:EW26)</f>
      </c>
      <c r="EY26" s="1288">
        <f t="shared" si="33"/>
      </c>
      <c r="EZ26" s="1144">
        <v>288</v>
      </c>
      <c r="FA26" s="1144">
        <f>698-SUM(EZ26)</f>
      </c>
      <c r="FB26" s="1106">
        <v>0</v>
      </c>
      <c r="FC26" s="1297">
        <v>0</v>
      </c>
      <c r="FD26" s="2493">
        <f>SUM(EZ26:FC26)</f>
      </c>
      <c r="FE26" s="1288">
        <v>0</v>
      </c>
      <c r="FF26" s="1288">
        <v>0</v>
      </c>
      <c r="FG26" s="1288">
        <v>0</v>
      </c>
      <c r="FH26" s="1288">
        <v>0</v>
      </c>
      <c r="FI26" s="1288">
        <v>0</v>
      </c>
    </row>
    <row r="27" spans="1:165">
      <c r="A27" s="10"/>
      <c r="B27" s="130"/>
      <c r="C27" s="10"/>
      <c r="D27" s="129" t="s">
        <v>229</v>
      </c>
      <c r="E27" s="577">
        <v>-34</v>
      </c>
      <c r="F27" s="577">
        <v>324</v>
      </c>
      <c r="G27" s="577">
        <f>179-142</f>
      </c>
      <c r="H27" s="577">
        <v>23</v>
      </c>
      <c r="I27" s="577">
        <v>362</v>
      </c>
      <c r="J27" s="577">
        <v>136</v>
      </c>
      <c r="K27" s="710"/>
      <c r="L27" s="710"/>
      <c r="M27" s="710"/>
      <c r="N27" s="577"/>
      <c r="O27" s="303">
        <f t="shared" si="0"/>
      </c>
      <c r="P27" s="710"/>
      <c r="Q27" s="710"/>
      <c r="R27" s="710"/>
      <c r="S27" s="577"/>
      <c r="T27" s="303">
        <f t="shared" si="1"/>
      </c>
      <c r="U27" s="710"/>
      <c r="V27" s="710"/>
      <c r="W27" s="710"/>
      <c r="X27" s="577"/>
      <c r="Y27" s="303">
        <f t="shared" si="2"/>
      </c>
      <c r="Z27" s="577">
        <v>0</v>
      </c>
      <c r="AA27" s="577">
        <v>0</v>
      </c>
      <c r="AB27" s="577">
        <v>0</v>
      </c>
      <c r="AC27" s="577">
        <v>581</v>
      </c>
      <c r="AD27" s="303">
        <f t="shared" si="3"/>
      </c>
      <c r="AE27" s="577">
        <v>0</v>
      </c>
      <c r="AF27" s="577">
        <v>0</v>
      </c>
      <c r="AG27" s="577">
        <v>0</v>
      </c>
      <c r="AH27" s="577"/>
      <c r="AI27" s="303"/>
      <c r="AJ27" s="577">
        <v>0</v>
      </c>
      <c r="AK27" s="577">
        <v>0</v>
      </c>
      <c r="AL27" s="577">
        <v>0</v>
      </c>
      <c r="AM27" s="577">
        <v>-39</v>
      </c>
      <c r="AN27" s="303">
        <f t="shared" si="5"/>
      </c>
      <c r="AO27" s="577">
        <v>0</v>
      </c>
      <c r="AP27" s="577">
        <v>0</v>
      </c>
      <c r="AQ27" s="577">
        <v>0</v>
      </c>
      <c r="AR27" s="577">
        <v>278</v>
      </c>
      <c r="AS27" s="303">
        <f t="shared" si="6"/>
      </c>
      <c r="AT27" s="577">
        <v>867</v>
      </c>
      <c r="AU27" s="577">
        <v>-683</v>
      </c>
      <c r="AV27" s="577">
        <v>183</v>
      </c>
      <c r="AW27" s="577">
        <v>164</v>
      </c>
      <c r="AX27" s="303">
        <f t="shared" si="7"/>
      </c>
      <c r="AY27" s="577">
        <v>1046</v>
      </c>
      <c r="AZ27" s="577">
        <v>-317</v>
      </c>
      <c r="BA27" s="577">
        <v>266</v>
      </c>
      <c r="BB27" s="577">
        <v>-132</v>
      </c>
      <c r="BC27" s="303">
        <f t="shared" si="8"/>
      </c>
      <c r="BD27" s="577">
        <v>1143</v>
      </c>
      <c r="BE27" s="577">
        <v>-1050</v>
      </c>
      <c r="BF27" s="577">
        <v>819</v>
      </c>
      <c r="BG27" s="577">
        <v>-569</v>
      </c>
      <c r="BH27" s="303">
        <f t="shared" si="9"/>
      </c>
      <c r="BI27" s="577">
        <v>1395</v>
      </c>
      <c r="BJ27" s="577">
        <v>-699</v>
      </c>
      <c r="BK27" s="577">
        <v>97</v>
      </c>
      <c r="BL27" s="577">
        <v>-383</v>
      </c>
      <c r="BM27" s="303">
        <f t="shared" si="10"/>
      </c>
      <c r="BN27" s="577">
        <v>1121</v>
      </c>
      <c r="BO27" s="577">
        <v>-530</v>
      </c>
      <c r="BP27" s="577">
        <v>563</v>
      </c>
      <c r="BQ27" s="577">
        <v>-590</v>
      </c>
      <c r="BR27" s="303">
        <f t="shared" si="11"/>
      </c>
      <c r="BS27" s="577">
        <v>0</v>
      </c>
      <c r="BT27" s="577">
        <v>742</v>
      </c>
      <c r="BU27" s="577">
        <v>-152</v>
      </c>
      <c r="BV27" s="577">
        <v>394</v>
      </c>
      <c r="BW27" s="303">
        <f t="shared" si="12"/>
      </c>
      <c r="BX27" s="577">
        <f>22-133</f>
      </c>
      <c r="BY27" s="577">
        <f>52-BX27-429</f>
      </c>
      <c r="BZ27" s="577">
        <v>707</v>
      </c>
      <c r="CA27" s="577">
        <v>-299</v>
      </c>
      <c r="CB27" s="67">
        <f t="shared" si="13"/>
      </c>
      <c r="CC27" s="577">
        <f>78+696</f>
      </c>
      <c r="CD27" s="577">
        <f>218+46-CC27</f>
      </c>
      <c r="CE27" s="577">
        <f>495+30-CC27-CD27</f>
      </c>
      <c r="CF27" s="577">
        <f t="shared" si="14"/>
      </c>
      <c r="CG27" s="1143">
        <f>87+12</f>
      </c>
      <c r="CH27" s="1144">
        <f>1111-16</f>
      </c>
      <c r="CI27" s="1144">
        <f>1199-33-CH27</f>
      </c>
      <c r="CJ27" s="1144">
        <f>1746-21-CH27-CI27</f>
      </c>
      <c r="CK27" s="1144">
        <f>4413+32-CH27-CI27-CJ27</f>
      </c>
      <c r="CL27" s="1145">
        <f t="shared" si="28"/>
      </c>
      <c r="CM27" s="1144">
        <f>89+42</f>
      </c>
      <c r="CN27" s="1144">
        <f>-1136+83-CM27</f>
      </c>
      <c r="CO27" s="1144">
        <f>-1151+339-CN27-CM27</f>
      </c>
      <c r="CP27" s="1146">
        <f t="shared" si="23"/>
      </c>
      <c r="CQ27" s="1143">
        <f>339-2555</f>
      </c>
      <c r="CR27" s="1144">
        <f>-192-11</f>
      </c>
      <c r="CS27" s="1144">
        <f>56-29-CR27</f>
      </c>
      <c r="CT27" s="1144">
        <f>1242-32-CS27-CR27</f>
      </c>
      <c r="CU27" s="1146">
        <f t="shared" si="24"/>
      </c>
      <c r="CV27" s="1143">
        <f>-1806+298</f>
      </c>
      <c r="CW27" s="1144">
        <f>-25-428</f>
      </c>
      <c r="CX27" s="1144">
        <f>-332-37-117-CW27</f>
      </c>
      <c r="CY27" s="1144">
        <f>751-CX27-CW27</f>
      </c>
      <c r="CZ27" s="1146">
        <f t="shared" si="25"/>
      </c>
      <c r="DA27" s="1143">
        <f>-1096</f>
      </c>
      <c r="DB27" s="1144">
        <f>-21+1021</f>
      </c>
      <c r="DC27" s="1144">
        <f>1036+5-1034-DB27</f>
      </c>
      <c r="DD27" s="1144">
        <f>1486+2-DC27-DB27</f>
      </c>
      <c r="DE27" s="1146">
        <f t="shared" si="26"/>
      </c>
      <c r="DF27" s="1143">
        <v>2159</v>
      </c>
      <c r="DG27" s="1144">
        <f>-385-1</f>
      </c>
      <c r="DH27" s="1144">
        <f>-866-DG27</f>
      </c>
      <c r="DI27" s="1144">
        <f>-1388-DH27-DG27</f>
      </c>
      <c r="DJ27" s="1146">
        <f t="shared" si="27"/>
      </c>
      <c r="DK27" s="1143">
        <v>-1133</v>
      </c>
      <c r="DL27" s="1144">
        <f>420-13</f>
      </c>
      <c r="DM27" s="1144">
        <f>322-DL27+24</f>
      </c>
      <c r="DN27" s="1144">
        <f>-318-DM27-DL27</f>
      </c>
      <c r="DO27" s="1146">
        <f t="shared" si="29"/>
      </c>
      <c r="DP27" s="1143">
        <v>8979</v>
      </c>
      <c r="DQ27" s="1144">
        <v>595</v>
      </c>
      <c r="DR27" s="1144">
        <f>-166-DQ27-16</f>
      </c>
      <c r="DS27" s="1144">
        <f>-1157-DR27-DQ27</f>
      </c>
      <c r="DT27" s="1288">
        <f t="shared" si="15"/>
      </c>
      <c r="DU27" s="1414">
        <v>-1844</v>
      </c>
      <c r="DV27" s="1144">
        <v>-168</v>
      </c>
      <c r="DW27" s="1144">
        <f>-55-DV27</f>
      </c>
      <c r="DX27" s="1144">
        <f>2043-SUM(DV27:DW27)</f>
      </c>
      <c r="DY27" s="1288">
        <f t="shared" si="16"/>
      </c>
      <c r="DZ27" s="1414">
        <v>1425</v>
      </c>
      <c r="EA27" s="1144">
        <v>-329</v>
      </c>
      <c r="EB27" s="1144">
        <f>-829-EA27</f>
      </c>
      <c r="EC27" s="1540">
        <f>581-SUM(EA27:EB27)</f>
      </c>
      <c r="ED27" s="1288">
        <f t="shared" si="17"/>
      </c>
      <c r="EE27" s="1414">
        <v>744</v>
      </c>
      <c r="EF27" s="1144">
        <v>-902</v>
      </c>
      <c r="EG27" s="1540">
        <f>-1150-EF27</f>
      </c>
      <c r="EH27" s="1144">
        <f>-1938-SUM(EF27:EG27)</f>
      </c>
      <c r="EI27" s="1288">
        <f t="shared" si="30"/>
      </c>
      <c r="EJ27" s="1414">
        <v>-1061</v>
      </c>
      <c r="EK27" s="1144">
        <v>110</v>
      </c>
      <c r="EL27" s="1144">
        <f>-2456-EK27</f>
      </c>
      <c r="EM27" s="1144">
        <f>-4008-SUM(EK27:EL27)</f>
      </c>
      <c r="EN27" s="1288">
        <f t="shared" si="31"/>
      </c>
      <c r="EO27" s="1414">
        <v>-1979</v>
      </c>
      <c r="EP27" s="1144">
        <v>6328</v>
      </c>
      <c r="EQ27" s="1144">
        <f>3407-EP27</f>
      </c>
      <c r="ER27" s="1144">
        <f>2260-EQ27-EP27</f>
      </c>
      <c r="ES27" s="1414">
        <f>5588-SUM(EP27:ER27)</f>
      </c>
      <c r="ET27" s="1288">
        <f t="shared" si="32"/>
      </c>
      <c r="EU27" s="1144">
        <v>-427</v>
      </c>
      <c r="EV27" s="1144">
        <f>-3068-SUM(EU27)</f>
      </c>
      <c r="EW27" s="1144">
        <f>-326-EV27-EU27</f>
      </c>
      <c r="EX27" s="1414">
        <f>33-SUM(EU27:EW27)</f>
      </c>
      <c r="EY27" s="1288">
        <f t="shared" si="33"/>
      </c>
      <c r="EZ27" s="1144">
        <f>-6509+16</f>
      </c>
      <c r="FA27" s="1144">
        <f>-5926+92-SUM(EZ27)</f>
      </c>
      <c r="FB27" s="1106">
        <f>+'Balance Sheet'!EZ33-'Balance Sheet'!EY33+'Balance Sheet'!EZ34-'Balance Sheet'!EY34+'Balance Sheet'!EZ35-'Balance Sheet'!EY35</f>
      </c>
      <c r="FC27" s="1288">
        <f>+'Balance Sheet'!FA33-'Balance Sheet'!EZ33+'Balance Sheet'!FA34-'Balance Sheet'!EZ34+'Balance Sheet'!FA35-'Balance Sheet'!EZ35</f>
      </c>
      <c r="FD27" s="2493">
        <f t="shared" ref="FD27:FD28" si="34">SUM(EZ27:FC27)</f>
      </c>
      <c r="FE27" s="1288">
        <f>+'Balance Sheet'!FC33-'Balance Sheet'!FB33+'Balance Sheet'!FC34-'Balance Sheet'!FB34+'Balance Sheet'!FC35-'Balance Sheet'!FB35</f>
      </c>
      <c r="FF27" s="1288">
        <f>+'Balance Sheet'!FD33-'Balance Sheet'!FC33+'Balance Sheet'!FD34-'Balance Sheet'!FC34+'Balance Sheet'!FD35-'Balance Sheet'!FC35</f>
      </c>
      <c r="FG27" s="1288">
        <f>+'Balance Sheet'!FE33-'Balance Sheet'!FD33+'Balance Sheet'!FE34-'Balance Sheet'!FD34+'Balance Sheet'!FE35-'Balance Sheet'!FD35</f>
      </c>
      <c r="FH27" s="1288">
        <f>+'Balance Sheet'!FF33-'Balance Sheet'!FE33+'Balance Sheet'!FF34-'Balance Sheet'!FE34+'Balance Sheet'!FF35-'Balance Sheet'!FE35</f>
      </c>
      <c r="FI27" s="1288">
        <f>+'Balance Sheet'!FG33-'Balance Sheet'!FF33+'Balance Sheet'!FG34-'Balance Sheet'!FF34+'Balance Sheet'!FG35-'Balance Sheet'!FF35</f>
      </c>
    </row>
    <row r="28" spans="1:165">
      <c r="A28" s="10"/>
      <c r="B28" s="130"/>
      <c r="C28" s="10"/>
      <c r="D28" s="10" t="s">
        <v>230</v>
      </c>
      <c r="E28" s="577">
        <f t="shared" ref="E28:J28" si="35">+E27+E26+E25</f>
      </c>
      <c r="F28" s="577">
        <f t="shared" si="35"/>
      </c>
      <c r="G28" s="577">
        <f t="shared" si="35"/>
      </c>
      <c r="H28" s="577">
        <f t="shared" si="35"/>
      </c>
      <c r="I28" s="577">
        <f t="shared" si="35"/>
      </c>
      <c r="J28" s="577">
        <f t="shared" si="35"/>
      </c>
      <c r="K28" s="577">
        <v>647</v>
      </c>
      <c r="L28" s="577">
        <v>-1077</v>
      </c>
      <c r="M28" s="577">
        <v>678</v>
      </c>
      <c r="N28" s="577">
        <v>298</v>
      </c>
      <c r="O28" s="303">
        <f t="shared" si="0"/>
      </c>
      <c r="P28" s="577">
        <v>407</v>
      </c>
      <c r="Q28" s="577">
        <v>-66</v>
      </c>
      <c r="R28" s="577">
        <v>195</v>
      </c>
      <c r="S28" s="577">
        <v>68</v>
      </c>
      <c r="T28" s="303">
        <f t="shared" si="1"/>
      </c>
      <c r="U28" s="577">
        <v>311</v>
      </c>
      <c r="V28" s="577">
        <v>-261</v>
      </c>
      <c r="W28" s="577">
        <v>300</v>
      </c>
      <c r="X28" s="577">
        <v>2425</v>
      </c>
      <c r="Y28" s="303">
        <f t="shared" si="2"/>
      </c>
      <c r="Z28" s="577">
        <v>-1601</v>
      </c>
      <c r="AA28" s="577">
        <v>128</v>
      </c>
      <c r="AB28" s="577">
        <v>613</v>
      </c>
      <c r="AC28" s="577">
        <v>113</v>
      </c>
      <c r="AD28" s="303">
        <f t="shared" si="3"/>
      </c>
      <c r="AE28" s="577">
        <v>1670</v>
      </c>
      <c r="AF28" s="577">
        <v>-1732</v>
      </c>
      <c r="AG28" s="577">
        <v>460</v>
      </c>
      <c r="AH28" s="577">
        <v>280</v>
      </c>
      <c r="AI28" s="303">
        <f t="shared" si="4"/>
      </c>
      <c r="AJ28" s="577">
        <v>-5</v>
      </c>
      <c r="AK28" s="577">
        <v>590</v>
      </c>
      <c r="AL28" s="577">
        <v>241</v>
      </c>
      <c r="AM28" s="577">
        <f>+AM27+AM26+AM25</f>
      </c>
      <c r="AN28" s="303">
        <f t="shared" si="5"/>
      </c>
      <c r="AO28" s="577">
        <v>-31</v>
      </c>
      <c r="AP28" s="577">
        <v>-193</v>
      </c>
      <c r="AQ28" s="577">
        <v>382</v>
      </c>
      <c r="AR28" s="577">
        <f>+AR27+AR26+AR25</f>
      </c>
      <c r="AS28" s="303">
        <f t="shared" si="6"/>
      </c>
      <c r="AT28" s="577">
        <f>+AT27+AT26+AT25</f>
      </c>
      <c r="AU28" s="577">
        <f>+AU27+AU26+AU25</f>
      </c>
      <c r="AV28" s="577">
        <f>+AV27+AV26+AV25</f>
      </c>
      <c r="AW28" s="577">
        <f>+AW27+AW26+AW25</f>
      </c>
      <c r="AX28" s="303">
        <f t="shared" si="7"/>
      </c>
      <c r="AY28" s="577">
        <f>+AY27+AY26+AY25</f>
      </c>
      <c r="AZ28" s="577">
        <f>+AZ27+AZ26+AZ25</f>
      </c>
      <c r="BA28" s="577">
        <f>+BA27+BA26+BA25</f>
      </c>
      <c r="BB28" s="577">
        <f>+BB27+BB26+BB25</f>
      </c>
      <c r="BC28" s="303">
        <f t="shared" si="8"/>
      </c>
      <c r="BD28" s="577">
        <f>+BD27+BD26+BD25</f>
      </c>
      <c r="BE28" s="577">
        <f>+BE27+BE26+BE25</f>
      </c>
      <c r="BF28" s="577">
        <f>+BF27+BF26+BF25</f>
      </c>
      <c r="BG28" s="577">
        <f>+BG27+BG26+BG25</f>
      </c>
      <c r="BH28" s="303">
        <f t="shared" si="9"/>
      </c>
      <c r="BI28" s="10">
        <f>+BI27+BI26+BI25</f>
      </c>
      <c r="BJ28" s="10">
        <f>+BJ27+BJ26+BJ25</f>
      </c>
      <c r="BK28" s="10">
        <f>+BK27+BK26+BK25</f>
      </c>
      <c r="BL28" s="10">
        <f>+BL27+BL26+BL25</f>
      </c>
      <c r="BM28" s="303">
        <f t="shared" si="10"/>
      </c>
      <c r="BN28" s="10">
        <f>+BN27+BN26+BN25</f>
      </c>
      <c r="BO28" s="10">
        <f>+BO27+BO26+BO25</f>
      </c>
      <c r="BP28" s="10">
        <f>+BP27+BP26+BP25</f>
      </c>
      <c r="BQ28" s="10">
        <f>+BQ27+BQ26+BQ25</f>
      </c>
      <c r="BR28" s="303">
        <f t="shared" si="11"/>
      </c>
      <c r="BS28" s="10">
        <f>+BS27+BS26+BS25</f>
      </c>
      <c r="BT28" s="10">
        <f>+BT27+BT26+BT25</f>
      </c>
      <c r="BU28" s="10">
        <f>+BU27+BU26+BU25</f>
      </c>
      <c r="BV28" s="10">
        <f>+BV27+BV26+BV25</f>
      </c>
      <c r="BW28" s="303">
        <f t="shared" si="12"/>
      </c>
      <c r="BX28" s="577">
        <f>+BX27+BX26+BX25</f>
      </c>
      <c r="BY28" s="577">
        <f>+BY27+BY26+BY25</f>
      </c>
      <c r="BZ28" s="577">
        <v>858</v>
      </c>
      <c r="CA28" s="577">
        <f>+CA27+CA26+CA25</f>
      </c>
      <c r="CB28" s="67">
        <f>+CB27+CB26+CB25</f>
      </c>
      <c r="CC28" s="577">
        <f>+CC27+CC26+CC25</f>
      </c>
      <c r="CD28" s="577">
        <f>+CD27+CD26+CD25</f>
      </c>
      <c r="CE28" s="577">
        <f>+CE27+CE26+CE25</f>
      </c>
      <c r="CF28" s="577">
        <f>CG28-SUM(CC28:CE28)</f>
      </c>
      <c r="CG28" s="1145">
        <f t="shared" ref="CG28:CO28" si="36">+CG27+CG26+CG25</f>
      </c>
      <c r="CH28" s="1147">
        <f t="shared" si="36"/>
      </c>
      <c r="CI28" s="1147">
        <f t="shared" si="36"/>
      </c>
      <c r="CJ28" s="1147">
        <f t="shared" si="36"/>
      </c>
      <c r="CK28" s="1147">
        <f t="shared" si="36"/>
      </c>
      <c r="CL28" s="1145">
        <f t="shared" si="36"/>
      </c>
      <c r="CM28" s="1147">
        <f t="shared" si="36"/>
      </c>
      <c r="CN28" s="1147">
        <f t="shared" si="36"/>
      </c>
      <c r="CO28" s="1147">
        <f t="shared" si="36"/>
      </c>
      <c r="CP28" s="1146">
        <f t="shared" si="23"/>
      </c>
      <c r="CQ28" s="1145">
        <f>+CQ27+CQ26+CQ25</f>
      </c>
      <c r="CR28" s="1147">
        <f>+CR27+CR26+CR25</f>
      </c>
      <c r="CS28" s="1147">
        <f>+CS27+CS26+CS25</f>
      </c>
      <c r="CT28" s="1147">
        <f>+CT27+CT26+CT25</f>
      </c>
      <c r="CU28" s="1146">
        <f t="shared" si="24"/>
      </c>
      <c r="CV28" s="1145">
        <f>+CV27+CV26+CV25</f>
      </c>
      <c r="CW28" s="1147">
        <f>+CW27+CW26+CW25</f>
      </c>
      <c r="CX28" s="1147">
        <f>+CX27+CX26+CX25</f>
      </c>
      <c r="CY28" s="1147">
        <f>+CY27+CY26+CY25</f>
      </c>
      <c r="CZ28" s="1146">
        <f t="shared" si="25"/>
      </c>
      <c r="DA28" s="1145">
        <f>+DA27+DA26+DA25</f>
      </c>
      <c r="DB28" s="1147">
        <f>+DB27+DB26+DB25</f>
      </c>
      <c r="DC28" s="1147">
        <f>+DC27+DC26+DC25</f>
      </c>
      <c r="DD28" s="1147">
        <f>+DD27+DD26+DD25</f>
      </c>
      <c r="DE28" s="1146">
        <f t="shared" si="26"/>
      </c>
      <c r="DF28" s="1145">
        <f>+DF27+DF26+DF25</f>
      </c>
      <c r="DG28" s="1147">
        <f>+DG27+DG26+DG25</f>
      </c>
      <c r="DH28" s="1147">
        <f>+DH27+DH26+DH25</f>
      </c>
      <c r="DI28" s="1147">
        <f>+DI27+DI26+DI25</f>
      </c>
      <c r="DJ28" s="1146">
        <f t="shared" si="27"/>
      </c>
      <c r="DK28" s="1145">
        <f>+DK27+DK26+DK25</f>
      </c>
      <c r="DL28" s="1147">
        <f>+DL27+DL26+DL25</f>
      </c>
      <c r="DM28" s="1147">
        <f>+DM27+DM26+DM25</f>
      </c>
      <c r="DN28" s="1106">
        <f>+DN27+DN26+DN25</f>
      </c>
      <c r="DO28" s="1146">
        <f t="shared" si="29"/>
      </c>
      <c r="DP28" s="1145">
        <f>+DP27+DP26+DP25</f>
      </c>
      <c r="DQ28" s="1106">
        <f>+DQ27+DQ26+DQ25</f>
      </c>
      <c r="DR28" s="1147">
        <f>+DR27+DR26+DR25</f>
      </c>
      <c r="DS28" s="1147">
        <f>+DS27+DS26+DS25</f>
      </c>
      <c r="DT28" s="1288">
        <f>+DT27+DT26+DT25</f>
      </c>
      <c r="DU28" s="1288">
        <f>+SUM(DQ28:DT28)</f>
      </c>
      <c r="DV28" s="1106">
        <f>+DV27+DV26+DV25</f>
      </c>
      <c r="DW28" s="1106">
        <f>+DW27+DW26+DW25</f>
      </c>
      <c r="DX28" s="1106">
        <f>+DX27+DX26+DX25</f>
      </c>
      <c r="DY28" s="1288">
        <f>+DY27+DY26+DY25</f>
      </c>
      <c r="DZ28" s="1414">
        <f>+SUM(DV28:DY28)</f>
      </c>
      <c r="EA28" s="1106">
        <f>+EA27+EA26+EA25</f>
      </c>
      <c r="EB28" s="1106">
        <f>+EB27+EB26+EB25</f>
      </c>
      <c r="EC28" s="1541">
        <f>+EC27+EC26+EC25</f>
      </c>
      <c r="ED28" s="1288">
        <f>+ED27+ED26+ED25</f>
      </c>
      <c r="EE28" s="1414">
        <f>+SUM(EA28:ED28)</f>
      </c>
      <c r="EF28" s="1106">
        <f>+EF27+EF26+EF25</f>
      </c>
      <c r="EG28" s="1106">
        <f>+EG27+EG26+EG25</f>
      </c>
      <c r="EH28" s="1106">
        <f>+EH27+EH26+EH25</f>
      </c>
      <c r="EI28" s="1503">
        <f>+EI27+EI26+EI25</f>
      </c>
      <c r="EJ28" s="2035">
        <f>SUM(EF28:EI28)</f>
      </c>
      <c r="EK28" s="1106">
        <f t="shared" ref="EK28:EV28" si="37">+EK27+EK26+EK25</f>
      </c>
      <c r="EL28" s="1106">
        <f t="shared" si="37"/>
      </c>
      <c r="EM28" s="1106">
        <f t="shared" si="37"/>
      </c>
      <c r="EN28" s="1503">
        <f t="shared" si="37"/>
      </c>
      <c r="EO28" s="2035">
        <f t="shared" si="37"/>
      </c>
      <c r="EP28" s="1106">
        <f t="shared" si="37"/>
      </c>
      <c r="EQ28" s="1106">
        <f t="shared" si="37"/>
      </c>
      <c r="ER28" s="1106">
        <f t="shared" si="37"/>
      </c>
      <c r="ES28" s="1503">
        <f t="shared" si="37"/>
      </c>
      <c r="ET28" s="1288">
        <f t="shared" si="32"/>
      </c>
      <c r="EU28" s="1106">
        <f t="shared" si="37"/>
      </c>
      <c r="EV28" s="1106">
        <f t="shared" si="37"/>
      </c>
      <c r="EW28" s="1106">
        <f t="shared" ref="EW28:EX28" si="38">+EW27+EW26+EW25</f>
      </c>
      <c r="EX28" s="1503">
        <f t="shared" si="38"/>
      </c>
      <c r="EY28" s="1288">
        <f t="shared" si="33"/>
      </c>
      <c r="EZ28" s="1106">
        <f>+EZ27+EZ26+EZ25</f>
      </c>
      <c r="FA28" s="2151">
        <f t="shared" ref="FA28:FC28" si="39">+FA27+FA26+FA25</f>
      </c>
      <c r="FB28" s="2151">
        <f t="shared" si="39"/>
      </c>
      <c r="FC28" s="1503">
        <f t="shared" si="39"/>
      </c>
      <c r="FD28" s="1288">
        <f t="shared" si="34"/>
      </c>
      <c r="FE28" s="1318">
        <f t="shared" ref="FE28:FI28" si="40">+FE27+FE26+FE25</f>
      </c>
      <c r="FF28" s="1318">
        <f t="shared" si="40"/>
      </c>
      <c r="FG28" s="1318">
        <f t="shared" si="40"/>
      </c>
      <c r="FH28" s="1318">
        <f t="shared" si="40"/>
      </c>
      <c r="FI28" s="1318">
        <f t="shared" si="40"/>
      </c>
    </row>
    <row r="29" spans="1:165">
      <c r="A29" s="16"/>
      <c r="B29" s="271" t="s">
        <v>231</v>
      </c>
      <c r="C29" s="574"/>
      <c r="D29" s="574"/>
      <c r="E29" s="574">
        <f t="shared" ref="E29:N29" si="41">+E28+SUM(E12:E24)</f>
      </c>
      <c r="F29" s="574">
        <f t="shared" si="41"/>
      </c>
      <c r="G29" s="574">
        <f t="shared" si="41"/>
      </c>
      <c r="H29" s="574">
        <f t="shared" si="41"/>
      </c>
      <c r="I29" s="574">
        <f t="shared" si="41"/>
      </c>
      <c r="J29" s="574">
        <f t="shared" si="41"/>
      </c>
      <c r="K29" s="574">
        <f t="shared" si="41"/>
      </c>
      <c r="L29" s="574">
        <f t="shared" si="41"/>
      </c>
      <c r="M29" s="574">
        <f t="shared" si="41"/>
      </c>
      <c r="N29" s="574">
        <f t="shared" si="41"/>
      </c>
      <c r="O29" s="375">
        <f t="shared" si="0"/>
      </c>
      <c r="P29" s="574">
        <f>+P28+SUM(P12:P24)</f>
      </c>
      <c r="Q29" s="574">
        <f>+Q28+SUM(Q12:Q24)</f>
      </c>
      <c r="R29" s="574">
        <f>+R28+SUM(R12:R24)</f>
      </c>
      <c r="S29" s="574">
        <f>+S28+SUM(S12:S24)</f>
      </c>
      <c r="T29" s="375">
        <f t="shared" si="1"/>
      </c>
      <c r="U29" s="574">
        <f>+U28+SUM(U12:U24)</f>
      </c>
      <c r="V29" s="574">
        <f>+V28+SUM(V12:V24)</f>
      </c>
      <c r="W29" s="574">
        <f>+W28+SUM(W12:W24)</f>
      </c>
      <c r="X29" s="574">
        <f>+X28+SUM(X12:X24)</f>
      </c>
      <c r="Y29" s="375">
        <f t="shared" si="2"/>
      </c>
      <c r="Z29" s="574">
        <f>+Z28+SUM(Z12:Z24)</f>
      </c>
      <c r="AA29" s="574">
        <f>+AA28+SUM(AA12:AA24)</f>
      </c>
      <c r="AB29" s="574">
        <f>+AB28+SUM(AB12:AB24)</f>
      </c>
      <c r="AC29" s="574">
        <f>+AC28+SUM(AC12:AC24)</f>
      </c>
      <c r="AD29" s="375">
        <f t="shared" si="3"/>
      </c>
      <c r="AE29" s="574">
        <f>+AE28+SUM(AE12:AE24)</f>
      </c>
      <c r="AF29" s="574">
        <f>+AF28+SUM(AF12:AF24)</f>
      </c>
      <c r="AG29" s="574">
        <f>+AG28+SUM(AG12:AG24)</f>
      </c>
      <c r="AH29" s="574">
        <f>+AH28+SUM(AH12:AH24)</f>
      </c>
      <c r="AI29" s="375">
        <f t="shared" si="4"/>
      </c>
      <c r="AJ29" s="574">
        <f>+AJ28+SUM(AJ12:AJ24)</f>
      </c>
      <c r="AK29" s="574">
        <f>+AK28+SUM(AK12:AK24)</f>
      </c>
      <c r="AL29" s="574">
        <f>+AL28+SUM(AL12:AL24)</f>
      </c>
      <c r="AM29" s="574">
        <f>+AM28+SUM(AM12:AM24)</f>
      </c>
      <c r="AN29" s="375">
        <f t="shared" si="5"/>
      </c>
      <c r="AO29" s="574">
        <f>+AO28+SUM(AO12:AO24)</f>
      </c>
      <c r="AP29" s="574">
        <f>+AP28+SUM(AP12:AP24)</f>
      </c>
      <c r="AQ29" s="574">
        <f>+AQ28+SUM(AQ12:AQ24)</f>
      </c>
      <c r="AR29" s="574">
        <f>+AR28+SUM(AR12:AR24)</f>
      </c>
      <c r="AS29" s="375">
        <f t="shared" si="6"/>
      </c>
      <c r="AT29" s="574">
        <f>+AT28+SUM(AT12:AT24)</f>
      </c>
      <c r="AU29" s="574">
        <f>+AU28+SUM(AU12:AU24)</f>
      </c>
      <c r="AV29" s="574">
        <f>+AV28+SUM(AV12:AV24)</f>
      </c>
      <c r="AW29" s="574">
        <f>+AW28+SUM(AW12:AW24)</f>
      </c>
      <c r="AX29" s="375">
        <f t="shared" si="7"/>
      </c>
      <c r="AY29" s="574">
        <f>+AY28+SUM(AY12:AY24)</f>
      </c>
      <c r="AZ29" s="574">
        <f>+AZ28+SUM(AZ12:AZ24)</f>
      </c>
      <c r="BA29" s="574">
        <f>+BA28+SUM(BA12:BA24)</f>
      </c>
      <c r="BB29" s="574">
        <f>+BB28+SUM(BB12:BB24)</f>
      </c>
      <c r="BC29" s="375">
        <f t="shared" si="8"/>
      </c>
      <c r="BD29" s="574">
        <f>+BD28+SUM(BD12:BD24)</f>
      </c>
      <c r="BE29" s="574">
        <f>+BE28+SUM(BE12:BE24)</f>
      </c>
      <c r="BF29" s="574">
        <f>+BF28+SUM(BF12:BF24)</f>
      </c>
      <c r="BG29" s="574">
        <f>+BG28+SUM(BG12:BG24)</f>
      </c>
      <c r="BH29" s="375">
        <f t="shared" si="9"/>
      </c>
      <c r="BI29" s="574">
        <f>+BI28+SUM(BI12:BI24)</f>
      </c>
      <c r="BJ29" s="574">
        <f>+BJ28+SUM(BJ12:BJ24)</f>
      </c>
      <c r="BK29" s="574">
        <f>+BK28+SUM(BK12:BK24)</f>
      </c>
      <c r="BL29" s="574">
        <f>+BL28+SUM(BL12:BL24)</f>
      </c>
      <c r="BM29" s="375">
        <f t="shared" si="10"/>
      </c>
      <c r="BN29" s="574">
        <f>+BN28+SUM(BN12:BN24)</f>
      </c>
      <c r="BO29" s="574">
        <f>+BO28+SUM(BO12:BO24)</f>
      </c>
      <c r="BP29" s="574">
        <f>+BP28+SUM(BP12:BP24)</f>
      </c>
      <c r="BQ29" s="574">
        <f>+BQ28+SUM(BQ12:BQ24)</f>
      </c>
      <c r="BR29" s="375">
        <f t="shared" si="11"/>
      </c>
      <c r="BS29" s="574">
        <f>+BS28+SUM(BS12:BS24)</f>
      </c>
      <c r="BT29" s="574">
        <f>+BT28+SUM(BT12:BT24)</f>
      </c>
      <c r="BU29" s="574">
        <f>+BU28+SUM(BU12:BU24)</f>
      </c>
      <c r="BV29" s="574">
        <f>+BV28+SUM(BV12:BV24)</f>
      </c>
      <c r="BW29" s="375">
        <f t="shared" si="12"/>
      </c>
      <c r="BX29" s="574">
        <f t="shared" ref="BX29:DC29" si="42">+BX28+SUM(BX12:BX24)</f>
      </c>
      <c r="BY29" s="574">
        <f t="shared" si="42"/>
      </c>
      <c r="BZ29" s="574">
        <f t="shared" si="42"/>
      </c>
      <c r="CA29" s="574">
        <f t="shared" si="42"/>
      </c>
      <c r="CB29" s="574">
        <f t="shared" si="42"/>
      </c>
      <c r="CC29" s="574">
        <f t="shared" si="42"/>
      </c>
      <c r="CD29" s="574">
        <f t="shared" si="42"/>
      </c>
      <c r="CE29" s="574">
        <f t="shared" si="42"/>
      </c>
      <c r="CF29" s="574">
        <f t="shared" si="42"/>
      </c>
      <c r="CG29" s="1148">
        <f t="shared" si="42"/>
      </c>
      <c r="CH29" s="1149">
        <f t="shared" si="42"/>
      </c>
      <c r="CI29" s="1149">
        <f t="shared" si="42"/>
      </c>
      <c r="CJ29" s="1149">
        <f t="shared" si="42"/>
      </c>
      <c r="CK29" s="1149">
        <f t="shared" si="42"/>
      </c>
      <c r="CL29" s="1148">
        <f t="shared" si="42"/>
      </c>
      <c r="CM29" s="1149">
        <f t="shared" si="42"/>
      </c>
      <c r="CN29" s="1149">
        <f t="shared" si="42"/>
      </c>
      <c r="CO29" s="1149">
        <f t="shared" si="42"/>
      </c>
      <c r="CP29" s="1150">
        <f t="shared" si="42"/>
      </c>
      <c r="CQ29" s="1148">
        <f t="shared" si="42"/>
      </c>
      <c r="CR29" s="1149">
        <f t="shared" si="42"/>
      </c>
      <c r="CS29" s="1149">
        <f t="shared" si="42"/>
      </c>
      <c r="CT29" s="1149">
        <f t="shared" si="42"/>
      </c>
      <c r="CU29" s="1150">
        <f t="shared" si="42"/>
      </c>
      <c r="CV29" s="1148">
        <f t="shared" si="42"/>
      </c>
      <c r="CW29" s="1149">
        <f t="shared" si="42"/>
      </c>
      <c r="CX29" s="1149">
        <f t="shared" si="42"/>
      </c>
      <c r="CY29" s="1149">
        <f t="shared" si="42"/>
      </c>
      <c r="CZ29" s="1150">
        <f t="shared" si="42"/>
      </c>
      <c r="DA29" s="1148">
        <f t="shared" si="42"/>
      </c>
      <c r="DB29" s="1149">
        <f t="shared" si="42"/>
      </c>
      <c r="DC29" s="1149">
        <f t="shared" si="42"/>
      </c>
      <c r="DD29" s="1149">
        <f t="shared" ref="DD29:EI29" si="43">+DD28+SUM(DD12:DD24)</f>
      </c>
      <c r="DE29" s="1150">
        <f t="shared" si="43"/>
      </c>
      <c r="DF29" s="1148">
        <f t="shared" si="43"/>
      </c>
      <c r="DG29" s="1149">
        <f t="shared" si="43"/>
      </c>
      <c r="DH29" s="1149">
        <f t="shared" si="43"/>
      </c>
      <c r="DI29" s="1149">
        <f t="shared" si="43"/>
      </c>
      <c r="DJ29" s="1150">
        <f t="shared" si="43"/>
      </c>
      <c r="DK29" s="1148">
        <f t="shared" si="43"/>
      </c>
      <c r="DL29" s="1149">
        <f t="shared" si="43"/>
      </c>
      <c r="DM29" s="1149">
        <f t="shared" si="43"/>
      </c>
      <c r="DN29" s="1151">
        <f t="shared" si="43"/>
      </c>
      <c r="DO29" s="1150">
        <f t="shared" si="43"/>
      </c>
      <c r="DP29" s="1148">
        <f t="shared" si="43"/>
      </c>
      <c r="DQ29" s="1151">
        <f t="shared" si="43"/>
      </c>
      <c r="DR29" s="1149">
        <f t="shared" si="43"/>
      </c>
      <c r="DS29" s="1149">
        <f t="shared" si="43"/>
      </c>
      <c r="DT29" s="1289">
        <f t="shared" si="43"/>
      </c>
      <c r="DU29" s="1289">
        <f t="shared" si="43"/>
      </c>
      <c r="DV29" s="1151">
        <f t="shared" si="43"/>
      </c>
      <c r="DW29" s="1151">
        <f t="shared" si="43"/>
      </c>
      <c r="DX29" s="1151">
        <f t="shared" si="43"/>
      </c>
      <c r="DY29" s="1289">
        <f t="shared" si="43"/>
      </c>
      <c r="DZ29" s="1289">
        <f t="shared" si="43"/>
      </c>
      <c r="EA29" s="1151">
        <f t="shared" si="43"/>
      </c>
      <c r="EB29" s="1151">
        <f t="shared" si="43"/>
      </c>
      <c r="EC29" s="1151">
        <f t="shared" si="43"/>
      </c>
      <c r="ED29" s="1289">
        <f t="shared" si="43"/>
      </c>
      <c r="EE29" s="1289">
        <f t="shared" si="43"/>
      </c>
      <c r="EF29" s="1151">
        <f t="shared" si="43"/>
      </c>
      <c r="EG29" s="1151">
        <f t="shared" si="43"/>
      </c>
      <c r="EH29" s="1151">
        <f t="shared" si="43"/>
      </c>
      <c r="EI29" s="1289">
        <f t="shared" si="43"/>
      </c>
      <c r="EJ29" s="1289">
        <f t="shared" ref="EJ29:FF29" si="44">+EJ28+SUM(EJ12:EJ24)</f>
      </c>
      <c r="EK29" s="1151">
        <f t="shared" si="44"/>
      </c>
      <c r="EL29" s="1151">
        <f t="shared" si="44"/>
      </c>
      <c r="EM29" s="1151">
        <f t="shared" si="44"/>
      </c>
      <c r="EN29" s="1289">
        <f t="shared" si="44"/>
      </c>
      <c r="EO29" s="1289">
        <f t="shared" si="44"/>
      </c>
      <c r="EP29" s="1151">
        <f t="shared" si="44"/>
      </c>
      <c r="EQ29" s="1151">
        <f t="shared" si="44"/>
      </c>
      <c r="ER29" s="3193">
        <f t="shared" si="44"/>
      </c>
      <c r="ES29" s="2046">
        <f t="shared" si="44"/>
      </c>
      <c r="ET29" s="1289">
        <f t="shared" si="44"/>
      </c>
      <c r="EU29" s="2150">
        <f t="shared" si="44"/>
      </c>
      <c r="EV29" s="3193">
        <f t="shared" si="44"/>
      </c>
      <c r="EW29" s="3193">
        <f t="shared" ref="EW29:FA29" si="45">+EW28+SUM(EW12:EW24)</f>
      </c>
      <c r="EX29" s="2046">
        <f t="shared" si="45"/>
      </c>
      <c r="EY29" s="1289">
        <f t="shared" si="45"/>
      </c>
      <c r="EZ29" s="2150">
        <f t="shared" si="45"/>
      </c>
      <c r="FA29" s="3193">
        <f t="shared" si="45"/>
      </c>
      <c r="FB29" s="3193">
        <f t="shared" si="44"/>
      </c>
      <c r="FC29" s="3584">
        <f t="shared" si="44"/>
      </c>
      <c r="FD29" s="1289">
        <f t="shared" si="44"/>
      </c>
      <c r="FE29" s="1289">
        <f t="shared" ca="1" si="44"/>
      </c>
      <c r="FF29" s="1289">
        <f t="shared" ca="1" si="44"/>
      </c>
      <c r="FG29" s="1289">
        <f ca="1">+FG28+SUM(FG12:FG24)</f>
      </c>
      <c r="FH29" s="1289">
        <f ca="1">+FH28+SUM(FH12:FH24)</f>
      </c>
      <c r="FI29" s="1289">
        <f ca="1">+FI28+SUM(FI12:FI24)</f>
      </c>
    </row>
    <row r="30" spans="1:165">
      <c r="A30" s="10"/>
      <c r="B30" s="130"/>
      <c r="C30" s="10"/>
      <c r="D30" s="10"/>
      <c r="E30" s="10"/>
      <c r="F30" s="10"/>
      <c r="G30" s="10"/>
      <c r="H30" s="10"/>
      <c r="I30" s="10"/>
      <c r="J30" s="10"/>
      <c r="K30" s="10"/>
      <c r="L30" s="10"/>
      <c r="M30" s="10"/>
      <c r="N30" s="10"/>
      <c r="O30" s="303"/>
      <c r="P30" s="10"/>
      <c r="Q30" s="10"/>
      <c r="R30" s="10"/>
      <c r="S30" s="10"/>
      <c r="T30" s="303"/>
      <c r="U30" s="10"/>
      <c r="V30" s="10"/>
      <c r="W30" s="10"/>
      <c r="X30" s="10"/>
      <c r="Y30" s="303"/>
      <c r="Z30" s="10"/>
      <c r="AA30" s="10"/>
      <c r="AB30" s="10"/>
      <c r="AC30" s="10"/>
      <c r="AD30" s="303"/>
      <c r="AE30" s="10"/>
      <c r="AF30" s="10"/>
      <c r="AG30" s="10"/>
      <c r="AH30" s="10"/>
      <c r="AI30" s="303"/>
      <c r="AJ30" s="10"/>
      <c r="AK30" s="10"/>
      <c r="AL30" s="10"/>
      <c r="AM30" s="10"/>
      <c r="AN30" s="303"/>
      <c r="AO30" s="10"/>
      <c r="AP30" s="10"/>
      <c r="AQ30" s="10"/>
      <c r="AR30" s="10"/>
      <c r="AS30" s="303"/>
      <c r="AT30" s="10"/>
      <c r="AU30" s="10"/>
      <c r="AV30" s="10"/>
      <c r="AW30" s="10"/>
      <c r="AX30" s="303"/>
      <c r="AY30" s="10"/>
      <c r="AZ30" s="10"/>
      <c r="BA30" s="10"/>
      <c r="BB30" s="10"/>
      <c r="BC30" s="303"/>
      <c r="BD30" s="10"/>
      <c r="BE30" s="10"/>
      <c r="BF30" s="10"/>
      <c r="BG30" s="10"/>
      <c r="BH30" s="303"/>
      <c r="BI30" s="10"/>
      <c r="BJ30" s="10"/>
      <c r="BK30" s="10"/>
      <c r="BL30" s="10"/>
      <c r="BM30" s="303"/>
      <c r="BN30" s="10"/>
      <c r="BO30" s="10"/>
      <c r="BP30" s="10"/>
      <c r="BQ30" s="10"/>
      <c r="BR30" s="303"/>
      <c r="BS30" s="10"/>
      <c r="BT30" s="10"/>
      <c r="BU30" s="10"/>
      <c r="BV30" s="10"/>
      <c r="BW30" s="303"/>
      <c r="BX30" s="10"/>
      <c r="BY30" s="10"/>
      <c r="BZ30" s="10"/>
      <c r="CA30" s="10"/>
      <c r="CB30" s="67"/>
      <c r="CC30" s="10"/>
      <c r="CD30" s="10"/>
      <c r="CE30" s="10"/>
      <c r="CF30" s="10"/>
      <c r="CG30" s="1145"/>
      <c r="CH30" s="1147"/>
      <c r="CI30" s="1147"/>
      <c r="CJ30" s="1147"/>
      <c r="CK30" s="1147"/>
      <c r="CL30" s="1145"/>
      <c r="CM30" s="1147"/>
      <c r="CN30" s="1147"/>
      <c r="CO30" s="1147"/>
      <c r="CP30" s="1146"/>
      <c r="CQ30" s="1145"/>
      <c r="CR30" s="1147"/>
      <c r="CS30" s="1147"/>
      <c r="CT30" s="1147"/>
      <c r="CU30" s="1147"/>
      <c r="CV30" s="1145"/>
      <c r="CW30" s="1147"/>
      <c r="CX30" s="1147"/>
      <c r="CY30" s="1147"/>
      <c r="CZ30" s="1147"/>
      <c r="DA30" s="1145"/>
      <c r="DB30" s="1147"/>
      <c r="DC30" s="1147"/>
      <c r="DD30" s="1147"/>
      <c r="DE30" s="1147"/>
      <c r="DF30" s="1145"/>
      <c r="DG30" s="1147"/>
      <c r="DH30" s="1106"/>
      <c r="DI30" s="1147"/>
      <c r="DJ30" s="1146"/>
      <c r="DK30" s="1145"/>
      <c r="DL30" s="1147"/>
      <c r="DM30" s="1106"/>
      <c r="DN30" s="1106"/>
      <c r="DO30" s="1146"/>
      <c r="DP30" s="1145"/>
      <c r="DQ30" s="1106"/>
      <c r="DR30" s="1106"/>
      <c r="DS30" s="1106"/>
      <c r="DT30" s="1288"/>
      <c r="DU30" s="1152"/>
      <c r="DV30" s="1106"/>
      <c r="DW30" s="1106"/>
      <c r="DX30" s="1106"/>
      <c r="DY30" s="1288"/>
      <c r="DZ30" s="1152"/>
      <c r="EA30" s="1106"/>
      <c r="EB30" s="1106"/>
      <c r="EC30" s="1106"/>
      <c r="ED30" s="1288"/>
      <c r="EE30" s="1152"/>
      <c r="EF30" s="1106"/>
      <c r="EG30" s="1106"/>
      <c r="EH30" s="1106"/>
      <c r="EI30" s="1288"/>
      <c r="EJ30" s="1152"/>
      <c r="EK30" s="1106"/>
      <c r="EL30" s="1106"/>
      <c r="EM30" s="1106"/>
      <c r="EN30" s="1288"/>
      <c r="EO30" s="1152"/>
      <c r="EP30" s="1106"/>
      <c r="EQ30" s="1106"/>
      <c r="ER30" s="1106">
        <f>SUM(EP29:ER29)</f>
      </c>
      <c r="ES30" s="1288"/>
      <c r="ET30" s="1152"/>
      <c r="EU30" s="1106"/>
      <c r="EV30" s="1106"/>
      <c r="EW30" s="1106"/>
      <c r="EX30" s="1288"/>
      <c r="EY30" s="1152"/>
      <c r="EZ30" s="1106"/>
      <c r="FA30" s="1106"/>
      <c r="FB30" s="1106"/>
      <c r="FC30" s="1288"/>
      <c r="FD30" s="1152"/>
      <c r="FE30" s="1152"/>
      <c r="FF30" s="1152"/>
      <c r="FG30" s="1152"/>
      <c r="FH30" s="1152"/>
      <c r="FI30" s="1152"/>
    </row>
    <row r="31" spans="1:165">
      <c r="A31" s="10"/>
      <c r="B31" s="270" t="s">
        <v>331</v>
      </c>
      <c r="C31" s="15"/>
      <c r="D31" s="15"/>
      <c r="E31" s="15"/>
      <c r="F31" s="15"/>
      <c r="G31" s="15"/>
      <c r="H31" s="15"/>
      <c r="I31" s="15"/>
      <c r="J31" s="15"/>
      <c r="K31" s="15"/>
      <c r="L31" s="15"/>
      <c r="M31" s="15"/>
      <c r="N31" s="15"/>
      <c r="O31" s="327"/>
      <c r="P31" s="15"/>
      <c r="Q31" s="15"/>
      <c r="R31" s="15"/>
      <c r="S31" s="15"/>
      <c r="T31" s="327"/>
      <c r="U31" s="15"/>
      <c r="V31" s="15"/>
      <c r="W31" s="15"/>
      <c r="X31" s="15"/>
      <c r="Y31" s="327"/>
      <c r="Z31" s="15"/>
      <c r="AA31" s="15"/>
      <c r="AB31" s="15"/>
      <c r="AC31" s="15"/>
      <c r="AD31" s="327"/>
      <c r="AE31" s="15"/>
      <c r="AF31" s="15"/>
      <c r="AG31" s="15"/>
      <c r="AH31" s="15"/>
      <c r="AI31" s="327"/>
      <c r="AJ31" s="15"/>
      <c r="AK31" s="15"/>
      <c r="AL31" s="15"/>
      <c r="AM31" s="15"/>
      <c r="AN31" s="327"/>
      <c r="AO31" s="15"/>
      <c r="AP31" s="15"/>
      <c r="AQ31" s="15"/>
      <c r="AR31" s="15"/>
      <c r="AS31" s="327"/>
      <c r="AT31" s="15"/>
      <c r="AU31" s="15"/>
      <c r="AV31" s="15"/>
      <c r="AW31" s="15"/>
      <c r="AX31" s="327"/>
      <c r="AY31" s="15"/>
      <c r="AZ31" s="15"/>
      <c r="BA31" s="15"/>
      <c r="BB31" s="15"/>
      <c r="BC31" s="327"/>
      <c r="BD31" s="15"/>
      <c r="BE31" s="15"/>
      <c r="BF31" s="15"/>
      <c r="BG31" s="15"/>
      <c r="BH31" s="327"/>
      <c r="BI31" s="15"/>
      <c r="BJ31" s="15"/>
      <c r="BK31" s="15"/>
      <c r="BL31" s="15"/>
      <c r="BM31" s="327"/>
      <c r="BN31" s="15"/>
      <c r="BO31" s="15"/>
      <c r="BP31" s="15"/>
      <c r="BQ31" s="15"/>
      <c r="BR31" s="327"/>
      <c r="BS31" s="15"/>
      <c r="BT31" s="15"/>
      <c r="BU31" s="15"/>
      <c r="BV31" s="15"/>
      <c r="BW31" s="327"/>
      <c r="BX31" s="15"/>
      <c r="BY31" s="15"/>
      <c r="BZ31" s="15"/>
      <c r="CA31" s="15"/>
      <c r="CB31" s="264"/>
      <c r="CC31" s="15"/>
      <c r="CD31" s="15"/>
      <c r="CE31" s="15"/>
      <c r="CF31" s="15"/>
      <c r="CG31" s="1153"/>
      <c r="CH31" s="1154"/>
      <c r="CI31" s="1154"/>
      <c r="CJ31" s="1154"/>
      <c r="CK31" s="1154"/>
      <c r="CL31" s="1155"/>
      <c r="CM31" s="1154"/>
      <c r="CN31" s="1154"/>
      <c r="CO31" s="1154"/>
      <c r="CP31" s="1152"/>
      <c r="CQ31" s="1155"/>
      <c r="CR31" s="1154"/>
      <c r="CS31" s="1154"/>
      <c r="CT31" s="1154"/>
      <c r="CU31" s="1154"/>
      <c r="CV31" s="1155"/>
      <c r="CW31" s="1154"/>
      <c r="CX31" s="1154"/>
      <c r="CY31" s="1154"/>
      <c r="CZ31" s="1154"/>
      <c r="DA31" s="1155"/>
      <c r="DB31" s="1154"/>
      <c r="DC31" s="1154"/>
      <c r="DD31" s="1154"/>
      <c r="DE31" s="1154"/>
      <c r="DF31" s="1155"/>
      <c r="DG31" s="1154"/>
      <c r="DH31" s="1154"/>
      <c r="DI31" s="1154"/>
      <c r="DJ31" s="1152"/>
      <c r="DK31" s="1155"/>
      <c r="DL31" s="1154"/>
      <c r="DM31" s="1154"/>
      <c r="DN31" s="1154"/>
      <c r="DO31" s="1152"/>
      <c r="DP31" s="1155"/>
      <c r="DQ31" s="1154"/>
      <c r="DR31" s="1154"/>
      <c r="DS31" s="1154"/>
      <c r="DT31" s="1152"/>
      <c r="DU31" s="1152"/>
      <c r="DV31" s="1154"/>
      <c r="DW31" s="1154"/>
      <c r="DX31" s="1154"/>
      <c r="DY31" s="1152"/>
      <c r="DZ31" s="1152"/>
      <c r="EA31" s="1154"/>
      <c r="EB31" s="1154"/>
      <c r="EC31" s="1154"/>
      <c r="ED31" s="1152"/>
      <c r="EE31" s="1152"/>
      <c r="EF31" s="1154"/>
      <c r="EG31" s="1154"/>
      <c r="EH31" s="1154"/>
      <c r="EI31" s="1152"/>
      <c r="EJ31" s="1152"/>
      <c r="EK31" s="1154"/>
      <c r="EL31" s="1154"/>
      <c r="EM31" s="1154"/>
      <c r="EN31" s="1152"/>
      <c r="EO31" s="1152"/>
      <c r="EP31" s="1154"/>
      <c r="EQ31" s="1154"/>
      <c r="ER31" s="1154"/>
      <c r="ES31" s="1152"/>
      <c r="ET31" s="1152"/>
      <c r="EU31" s="1154"/>
      <c r="EV31" s="1154"/>
      <c r="EW31" s="1154"/>
      <c r="EX31" s="1152"/>
      <c r="EY31" s="1152"/>
      <c r="EZ31" s="1154"/>
      <c r="FA31" s="1154"/>
      <c r="FB31" s="1154"/>
      <c r="FC31" s="1152"/>
      <c r="FD31" s="1152"/>
      <c r="FE31" s="1152"/>
      <c r="FF31" s="1152"/>
      <c r="FG31" s="1152"/>
      <c r="FH31" s="1152"/>
      <c r="FI31" s="1152"/>
    </row>
    <row r="32" spans="1:165">
      <c r="A32" s="10"/>
      <c r="B32" s="130" t="s">
        <v>332</v>
      </c>
      <c r="C32" s="10"/>
      <c r="D32" s="10"/>
      <c r="E32" s="577">
        <v>-830</v>
      </c>
      <c r="F32" s="577">
        <v>-987</v>
      </c>
      <c r="G32" s="577">
        <v>-1103</v>
      </c>
      <c r="H32" s="577">
        <v>-975</v>
      </c>
      <c r="I32" s="577">
        <v>-937</v>
      </c>
      <c r="J32" s="577">
        <v>-1256</v>
      </c>
      <c r="K32" s="577">
        <v>-219</v>
      </c>
      <c r="L32" s="577">
        <v>-276</v>
      </c>
      <c r="M32" s="577">
        <v>-306</v>
      </c>
      <c r="N32" s="577">
        <v>-572</v>
      </c>
      <c r="O32" s="303">
        <f>SUM(K32:N32)</f>
      </c>
      <c r="P32" s="577">
        <v>-200</v>
      </c>
      <c r="Q32" s="577">
        <v>-260</v>
      </c>
      <c r="R32" s="577">
        <v>-301</v>
      </c>
      <c r="S32" s="577">
        <v>-654</v>
      </c>
      <c r="T32" s="303">
        <f>SUM(P32:S32)</f>
      </c>
      <c r="U32" s="577">
        <v>-215</v>
      </c>
      <c r="V32" s="577">
        <v>-312</v>
      </c>
      <c r="W32" s="577">
        <v>-321</v>
      </c>
      <c r="X32" s="577">
        <v>-697</v>
      </c>
      <c r="Y32" s="303">
        <f>SUM(U32:X32)</f>
      </c>
      <c r="Z32" s="577">
        <v>-334</v>
      </c>
      <c r="AA32" s="577">
        <v>-348</v>
      </c>
      <c r="AB32" s="577">
        <v>-419</v>
      </c>
      <c r="AC32" s="577">
        <v>-721</v>
      </c>
      <c r="AD32" s="303">
        <f>SUM(Z32:AC32)</f>
      </c>
      <c r="AE32" s="577">
        <v>-322</v>
      </c>
      <c r="AF32" s="577">
        <v>-368</v>
      </c>
      <c r="AG32" s="577">
        <v>-380</v>
      </c>
      <c r="AH32" s="577">
        <v>-619</v>
      </c>
      <c r="AI32" s="303">
        <f>SUM(AE32:AH32)</f>
      </c>
      <c r="AJ32" s="577">
        <v>-271</v>
      </c>
      <c r="AK32" s="577">
        <v>-300</v>
      </c>
      <c r="AL32" s="577">
        <v>-407</v>
      </c>
      <c r="AM32" s="577">
        <v>-753</v>
      </c>
      <c r="AN32" s="303">
        <f>SUM(AJ32:AM32)</f>
      </c>
      <c r="AO32" s="577">
        <v>-350</v>
      </c>
      <c r="AP32" s="577">
        <v>-452</v>
      </c>
      <c r="AQ32" s="577">
        <v>-497</v>
      </c>
      <c r="AR32" s="577">
        <v>-800</v>
      </c>
      <c r="AS32" s="303">
        <f>SUM(AO32:AR32)</f>
      </c>
      <c r="AT32" s="577">
        <v>-408</v>
      </c>
      <c r="AU32" s="577">
        <v>-506</v>
      </c>
      <c r="AV32" s="577">
        <v>-558</v>
      </c>
      <c r="AW32" s="577">
        <v>-790</v>
      </c>
      <c r="AX32" s="303">
        <f>SUM(AT32:AW32)</f>
      </c>
      <c r="AY32" s="577">
        <v>-292</v>
      </c>
      <c r="AZ32" s="577">
        <v>-422</v>
      </c>
      <c r="BA32" s="577">
        <v>-428</v>
      </c>
      <c r="BB32" s="577">
        <v>-1033</v>
      </c>
      <c r="BC32" s="303">
        <f>SUM(AY32:BB32)</f>
      </c>
      <c r="BD32" s="577">
        <v>-397</v>
      </c>
      <c r="BE32" s="577">
        <v>-477</v>
      </c>
      <c r="BF32" s="577">
        <v>-616</v>
      </c>
      <c r="BG32" s="577">
        <v>-1142</v>
      </c>
      <c r="BH32" s="303">
        <f>SUM(BD32:BG32)</f>
      </c>
      <c r="BI32" s="577">
        <v>-446</v>
      </c>
      <c r="BJ32" s="577">
        <v>-588</v>
      </c>
      <c r="BK32" s="577">
        <v>-573</v>
      </c>
      <c r="BL32" s="577">
        <v>-1059</v>
      </c>
      <c r="BM32" s="303">
        <f>SUM(BI32:BL32)</f>
      </c>
      <c r="BN32" s="577">
        <v>-446</v>
      </c>
      <c r="BO32" s="577">
        <v>-599</v>
      </c>
      <c r="BP32" s="577">
        <v>-659</v>
      </c>
      <c r="BQ32" s="577">
        <v>-1238</v>
      </c>
      <c r="BR32" s="303">
        <f>SUM(BN32:BQ32)</f>
      </c>
      <c r="BS32" s="577">
        <v>-479</v>
      </c>
      <c r="BT32" s="577">
        <v>-687</v>
      </c>
      <c r="BU32" s="577">
        <v>-772</v>
      </c>
      <c r="BV32" s="577">
        <v>-1128</v>
      </c>
      <c r="BW32" s="303">
        <f>SUM(BS32:BV32)</f>
      </c>
      <c r="BX32" s="577">
        <v>-435</v>
      </c>
      <c r="BY32" s="577">
        <f>-1002-BX32</f>
      </c>
      <c r="BZ32" s="577">
        <v>-519</v>
      </c>
      <c r="CA32" s="577">
        <v>-844</v>
      </c>
      <c r="CB32" s="67">
        <f>SUM(BX32:CA32)</f>
      </c>
      <c r="CC32" s="577">
        <v>-397</v>
      </c>
      <c r="CD32" s="577">
        <f>-897-CC32</f>
      </c>
      <c r="CE32" s="577">
        <f>-1425-CC32-CD32</f>
      </c>
      <c r="CF32" s="577">
        <f>CG32-SUM(CC32:CE32)</f>
      </c>
      <c r="CG32" s="1143">
        <v>-2384</v>
      </c>
      <c r="CH32" s="1144">
        <v>-436</v>
      </c>
      <c r="CI32" s="1144">
        <f>-1054-CH32</f>
      </c>
      <c r="CJ32" s="1144">
        <f>-1765-CH32-CI32</f>
      </c>
      <c r="CK32" s="1144">
        <f>-2893-CH32-CI32-CJ32</f>
      </c>
      <c r="CL32" s="1145">
        <f>SUM(CH32:CK32)</f>
      </c>
      <c r="CM32" s="1144">
        <v>-502</v>
      </c>
      <c r="CN32" s="1144">
        <f>-1100-CM32</f>
      </c>
      <c r="CO32" s="1144">
        <f>-1782-CN32-CM32</f>
      </c>
      <c r="CP32" s="1146">
        <f>+CQ32-SUM(CM32:CO32)</f>
      </c>
      <c r="CQ32" s="1143">
        <v>-2934</v>
      </c>
      <c r="CR32" s="1144">
        <v>-586</v>
      </c>
      <c r="CS32" s="1144">
        <f>-1357-CR32</f>
      </c>
      <c r="CT32" s="1144">
        <f>-2166-CS32-CR32</f>
      </c>
      <c r="CU32" s="1146">
        <f>+CV32-SUM(CR32:CT32)</f>
      </c>
      <c r="CV32" s="1143">
        <v>-3595</v>
      </c>
      <c r="CW32" s="1144">
        <v>-630</v>
      </c>
      <c r="CX32" s="1144">
        <f>-1467-CW32</f>
      </c>
      <c r="CY32" s="1144">
        <f>-2218-CX32-CW32</f>
      </c>
      <c r="CZ32" s="1146">
        <f>+DA32-SUM(CW32:CY32)</f>
      </c>
      <c r="DA32" s="1143">
        <v>-3714</v>
      </c>
      <c r="DB32" s="1144">
        <v>-543</v>
      </c>
      <c r="DC32" s="1144">
        <f>-1308-DB32</f>
      </c>
      <c r="DD32" s="1144">
        <f>-2097-DC32-DB32</f>
      </c>
      <c r="DE32" s="1146">
        <f>+DF32-SUM(DB32:DD32)</f>
      </c>
      <c r="DF32" s="1143">
        <v>-3463</v>
      </c>
      <c r="DG32" s="1144">
        <v>-639</v>
      </c>
      <c r="DH32" s="1144">
        <f>-1396-DG32</f>
      </c>
      <c r="DI32" s="1144">
        <f>-2133-DH32-DG32</f>
      </c>
      <c r="DJ32" s="1146">
        <f>+DK32-SUM(DG32:DI32)</f>
      </c>
      <c r="DK32" s="1143">
        <v>-3226</v>
      </c>
      <c r="DL32" s="1144">
        <v>-560</v>
      </c>
      <c r="DM32" s="1144">
        <f>-1249-DL32</f>
      </c>
      <c r="DN32" s="1144">
        <f>-2039-DL32-DM32</f>
      </c>
      <c r="DO32" s="1146">
        <f>+DP32-SUM(DL32:DN32)</f>
      </c>
      <c r="DP32" s="1143">
        <v>-3279</v>
      </c>
      <c r="DQ32" s="1144">
        <v>-658</v>
      </c>
      <c r="DR32" s="1144">
        <f>-1533-DQ32</f>
      </c>
      <c r="DS32" s="1144">
        <f>+-2352-DR32-DQ32</f>
      </c>
      <c r="DT32" s="1288">
        <f>DU32-SUM(DQ32:DS32)</f>
      </c>
      <c r="DU32" s="1414">
        <v>-3670</v>
      </c>
      <c r="DV32" s="1144">
        <v>-656</v>
      </c>
      <c r="DW32" s="1144">
        <f>-1493-DV32</f>
      </c>
      <c r="DX32" s="1144">
        <f>-2238-SUM(DV32:DW32)</f>
      </c>
      <c r="DY32" s="1288">
        <f>DZ32-SUM(DV32:DX32)</f>
      </c>
      <c r="DZ32" s="1414">
        <v>-3498</v>
      </c>
      <c r="EA32" s="1144">
        <v>-625</v>
      </c>
      <c r="EB32" s="1144">
        <f>-1287-EA32</f>
      </c>
      <c r="EC32" s="1540">
        <f>-2024-SUM(EA32:EB32)</f>
      </c>
      <c r="ED32" s="1288">
        <f>EE32-SUM(EA32:EC32)</f>
      </c>
      <c r="EE32" s="1414">
        <v>-3347</v>
      </c>
      <c r="EF32" s="1144">
        <v>-677</v>
      </c>
      <c r="EG32" s="1540">
        <f>-1490-EF32</f>
      </c>
      <c r="EH32" s="1540">
        <f>-2237-SUM(EF32:EG32)</f>
      </c>
      <c r="EI32" s="1288">
        <f>EJ32-SUM(EF32:EH32)</f>
      </c>
      <c r="EJ32" s="1414">
        <v>-3652</v>
      </c>
      <c r="EK32" s="1144">
        <v>-607</v>
      </c>
      <c r="EL32" s="1144">
        <f>-1470-EK32</f>
      </c>
      <c r="EM32" s="1144">
        <f>-2422-SUM(EK32:EL32)</f>
      </c>
      <c r="EN32" s="1288">
        <f>EO32-SUM(EK32:EM32)</f>
      </c>
      <c r="EO32" s="1414">
        <v>-4009</v>
      </c>
      <c r="EP32" s="1144">
        <v>-863</v>
      </c>
      <c r="EQ32" s="1144">
        <f>-1987-EP32</f>
      </c>
      <c r="ER32" s="1144">
        <f>-2954-EQ32-EP32</f>
      </c>
      <c r="ES32" s="1414">
        <f>-4543-SUM(EP32:ER32)</f>
      </c>
      <c r="ET32" s="1288">
        <f>SUM(EP32:ES32)</f>
      </c>
      <c r="EU32" s="1144">
        <v>-807</v>
      </c>
      <c r="EV32" s="1144">
        <f>-1783-SUM(EU32)</f>
      </c>
      <c r="EW32" s="1144">
        <f>-2812-EV32-EU32</f>
      </c>
      <c r="EX32" s="1414">
        <f>-4424-SUM(EU32:EW32)</f>
      </c>
      <c r="EY32" s="1288">
        <f>SUM(EU32:EX32)</f>
      </c>
      <c r="EZ32" s="1144">
        <f>-795</f>
      </c>
      <c r="FA32" s="1144">
        <f>-1838-SUM(EZ32)</f>
      </c>
      <c r="FB32" s="1106">
        <f>+-'Balance Sheet'!EZ135-'Balance Sheet'!EZ154</f>
      </c>
      <c r="FC32" s="1288">
        <f>+-'Balance Sheet'!FA135-'Balance Sheet'!FA154</f>
      </c>
      <c r="FD32" s="1288">
        <f>SUM(EZ32:FC32)</f>
      </c>
      <c r="FE32" s="1288">
        <f>+-'Balance Sheet'!FC135-'Balance Sheet'!FC154</f>
      </c>
      <c r="FF32" s="1288">
        <f>+-'Balance Sheet'!FD135-'Balance Sheet'!FD154</f>
      </c>
      <c r="FG32" s="1288">
        <f>+-'Balance Sheet'!FE135-'Balance Sheet'!FE154</f>
      </c>
      <c r="FH32" s="1288">
        <f>+-'Balance Sheet'!FF135-'Balance Sheet'!FF154</f>
      </c>
      <c r="FI32" s="1288">
        <f>+-'Balance Sheet'!FG135-'Balance Sheet'!FG154</f>
      </c>
    </row>
    <row r="33" spans="1:165">
      <c r="A33" s="10"/>
      <c r="B33" s="130" t="s">
        <v>333</v>
      </c>
      <c r="C33" s="10"/>
      <c r="D33" s="10"/>
      <c r="E33" s="577">
        <v>62</v>
      </c>
      <c r="F33" s="577">
        <v>257</v>
      </c>
      <c r="G33" s="577">
        <v>91</v>
      </c>
      <c r="H33" s="577">
        <v>66</v>
      </c>
      <c r="I33" s="577">
        <v>332</v>
      </c>
      <c r="J33" s="577">
        <v>465</v>
      </c>
      <c r="K33" s="577">
        <v>8</v>
      </c>
      <c r="L33" s="577">
        <v>4</v>
      </c>
      <c r="M33" s="577">
        <v>2</v>
      </c>
      <c r="N33" s="577">
        <v>23</v>
      </c>
      <c r="O33" s="303">
        <f>SUM(K33:N33)</f>
      </c>
      <c r="P33" s="577">
        <v>6</v>
      </c>
      <c r="Q33" s="577">
        <v>62</v>
      </c>
      <c r="R33" s="577">
        <v>-22</v>
      </c>
      <c r="S33" s="577">
        <v>26</v>
      </c>
      <c r="T33" s="303">
        <f>SUM(P33:S33)</f>
      </c>
      <c r="U33" s="577">
        <v>8</v>
      </c>
      <c r="V33" s="577">
        <v>3</v>
      </c>
      <c r="W33" s="577">
        <v>9</v>
      </c>
      <c r="X33" s="577">
        <v>88</v>
      </c>
      <c r="Y33" s="303">
        <f>SUM(U33:X33)</f>
      </c>
      <c r="Z33" s="577">
        <v>2</v>
      </c>
      <c r="AA33" s="577">
        <v>3</v>
      </c>
      <c r="AB33" s="577">
        <v>13</v>
      </c>
      <c r="AC33" s="577">
        <v>37</v>
      </c>
      <c r="AD33" s="303">
        <f>SUM(Z33:AC33)</f>
      </c>
      <c r="AE33" s="577">
        <v>18</v>
      </c>
      <c r="AF33" s="577">
        <v>13</v>
      </c>
      <c r="AG33" s="577">
        <v>-1</v>
      </c>
      <c r="AH33" s="577">
        <v>136</v>
      </c>
      <c r="AI33" s="303">
        <f>SUM(AE33:AH33)</f>
      </c>
      <c r="AJ33" s="577">
        <v>29</v>
      </c>
      <c r="AK33" s="577">
        <v>24</v>
      </c>
      <c r="AL33" s="577">
        <v>101</v>
      </c>
      <c r="AM33" s="577">
        <v>9</v>
      </c>
      <c r="AN33" s="303">
        <f>SUM(AJ33:AM33)</f>
      </c>
      <c r="AO33" s="577">
        <v>18</v>
      </c>
      <c r="AP33" s="577">
        <v>110</v>
      </c>
      <c r="AQ33" s="577">
        <v>11</v>
      </c>
      <c r="AR33" s="577">
        <v>17</v>
      </c>
      <c r="AS33" s="303">
        <f>SUM(AO33:AR33)</f>
      </c>
      <c r="AT33" s="577">
        <v>3</v>
      </c>
      <c r="AU33" s="577">
        <v>330</v>
      </c>
      <c r="AV33" s="577">
        <v>1</v>
      </c>
      <c r="AW33" s="577">
        <v>1</v>
      </c>
      <c r="AX33" s="303">
        <f>SUM(AT33:AW33)</f>
      </c>
      <c r="AY33" s="577">
        <v>49</v>
      </c>
      <c r="AZ33" s="577">
        <v>184</v>
      </c>
      <c r="BA33" s="577">
        <v>2</v>
      </c>
      <c r="BB33" s="577">
        <v>2</v>
      </c>
      <c r="BC33" s="303">
        <f>SUM(AY33:BB33)</f>
      </c>
      <c r="BD33" s="577">
        <v>77</v>
      </c>
      <c r="BE33" s="577">
        <v>0</v>
      </c>
      <c r="BF33" s="577">
        <v>75</v>
      </c>
      <c r="BG33" s="577">
        <v>2</v>
      </c>
      <c r="BH33" s="303">
        <f>SUM(BD33:BG33)</f>
      </c>
      <c r="BI33" s="577">
        <v>1</v>
      </c>
      <c r="BJ33" s="577">
        <v>0</v>
      </c>
      <c r="BK33" s="577">
        <v>1</v>
      </c>
      <c r="BL33" s="577">
        <v>509</v>
      </c>
      <c r="BM33" s="303">
        <f>SUM(BI33:BL33)</f>
      </c>
      <c r="BN33" s="577">
        <v>214</v>
      </c>
      <c r="BO33" s="577">
        <v>0</v>
      </c>
      <c r="BP33" s="577">
        <v>0</v>
      </c>
      <c r="BQ33" s="577">
        <v>16</v>
      </c>
      <c r="BR33" s="303">
        <f>SUM(BN33:BQ33)</f>
      </c>
      <c r="BS33" s="577">
        <v>34</v>
      </c>
      <c r="BT33" s="577">
        <v>13</v>
      </c>
      <c r="BU33" s="577">
        <v>9</v>
      </c>
      <c r="BV33" s="577">
        <v>729</v>
      </c>
      <c r="BW33" s="303">
        <f>SUM(BS33:BV33)</f>
      </c>
      <c r="BX33" s="577">
        <v>6</v>
      </c>
      <c r="BY33" s="577">
        <f>12-BX33</f>
      </c>
      <c r="BZ33" s="577">
        <v>0</v>
      </c>
      <c r="CA33" s="577">
        <v>142</v>
      </c>
      <c r="CB33" s="67">
        <f>SUM(BX33:CA33)</f>
      </c>
      <c r="CC33" s="577">
        <v>102</v>
      </c>
      <c r="CD33" s="577">
        <f>109-CC33</f>
      </c>
      <c r="CE33" s="577">
        <f>324-CC33-CD33</f>
      </c>
      <c r="CF33" s="577">
        <f>CG33-SUM(CC33:CE33)</f>
      </c>
      <c r="CG33" s="1143">
        <v>524</v>
      </c>
      <c r="CH33" s="1144">
        <v>121</v>
      </c>
      <c r="CI33" s="1144">
        <f>143-CH33</f>
      </c>
      <c r="CJ33" s="1144">
        <f>721-CH33-CI33</f>
      </c>
      <c r="CK33" s="1144">
        <f>1342-CH33-CI33-CJ33</f>
      </c>
      <c r="CL33" s="1145">
        <f>SUM(CH33:CK33)</f>
      </c>
      <c r="CM33" s="1144">
        <v>358</v>
      </c>
      <c r="CN33" s="1144">
        <f>690-CM33</f>
      </c>
      <c r="CO33" s="1144">
        <f>905-CN33-CM33</f>
      </c>
      <c r="CP33" s="1146">
        <f>+CQ33-SUM(CM33:CO33)</f>
      </c>
      <c r="CQ33" s="1143">
        <v>1509</v>
      </c>
      <c r="CR33" s="1144">
        <v>106</v>
      </c>
      <c r="CS33" s="1144">
        <f>147-CR33</f>
      </c>
      <c r="CT33" s="1144">
        <f>192-CS33-CR33</f>
      </c>
      <c r="CU33" s="1146">
        <f>+CV33-SUM(CR33:CT33)</f>
      </c>
      <c r="CV33" s="1143">
        <v>458</v>
      </c>
      <c r="CW33" s="1144">
        <v>35</v>
      </c>
      <c r="CX33" s="1144">
        <f>573-CW33</f>
      </c>
      <c r="CY33" s="1144">
        <f>4481-CX33-CW33</f>
      </c>
      <c r="CZ33" s="1146">
        <f>+DA33-SUM(CW33:CY33)</f>
      </c>
      <c r="DA33" s="1143">
        <v>4631</v>
      </c>
      <c r="DB33" s="1144">
        <v>110</v>
      </c>
      <c r="DC33" s="1144">
        <f>1193-DB33</f>
      </c>
      <c r="DD33" s="1144">
        <f>1620-DC33-DB33</f>
      </c>
      <c r="DE33" s="1146">
        <f>+DF33-SUM(DB33:DD33)</f>
      </c>
      <c r="DF33" s="1143">
        <v>3464</v>
      </c>
      <c r="DG33" s="1144">
        <v>25</v>
      </c>
      <c r="DH33" s="1144">
        <f>685-DG33</f>
      </c>
      <c r="DI33" s="1144">
        <f>873-DH33-DG33</f>
      </c>
      <c r="DJ33" s="1146">
        <f>+DK33-SUM(DG33:DI33)</f>
      </c>
      <c r="DK33" s="1143">
        <v>1267</v>
      </c>
      <c r="DL33" s="1144">
        <v>31</v>
      </c>
      <c r="DM33" s="1144">
        <f>125-DL33</f>
      </c>
      <c r="DN33" s="1144">
        <f>726-DM33-DL33</f>
      </c>
      <c r="DO33" s="1146">
        <f>+DP33-SUM(DL33:DN33)</f>
      </c>
      <c r="DP33" s="1143">
        <v>1832</v>
      </c>
      <c r="DQ33" s="1144">
        <v>20</v>
      </c>
      <c r="DR33" s="1144">
        <f>870-DQ33</f>
      </c>
      <c r="DS33" s="1144">
        <f>895-DR33-DQ33</f>
      </c>
      <c r="DT33" s="1288">
        <f>DU33-SUM(DQ33:DS33)</f>
      </c>
      <c r="DU33" s="1414">
        <v>3203</v>
      </c>
      <c r="DV33" s="1144">
        <v>253</v>
      </c>
      <c r="DW33" s="1144">
        <f>3018-DV33</f>
      </c>
      <c r="DX33" s="1144">
        <f>3103-SUM(DV33:DW33)</f>
      </c>
      <c r="DY33" s="1288">
        <f>DZ33-SUM(DV33:DX33)</f>
      </c>
      <c r="DZ33" s="1414">
        <v>3265</v>
      </c>
      <c r="EA33" s="1144">
        <v>17</v>
      </c>
      <c r="EB33" s="1144">
        <f>87-EA33</f>
      </c>
      <c r="EC33" s="1540">
        <f>100-SUM(EA33:EB33)</f>
      </c>
      <c r="ED33" s="1288">
        <f>EE33-SUM(EA33:EC33)</f>
      </c>
      <c r="EE33" s="1414">
        <v>305</v>
      </c>
      <c r="EF33" s="1144">
        <v>603</v>
      </c>
      <c r="EG33" s="1540">
        <f>654-EF33</f>
      </c>
      <c r="EH33" s="1540">
        <f>666-SUM(EF33:EG33)</f>
      </c>
      <c r="EI33" s="1288">
        <f>EJ33-SUM(EF33:EH33)</f>
      </c>
      <c r="EJ33" s="1414">
        <v>711</v>
      </c>
      <c r="EK33" s="1144">
        <v>248</v>
      </c>
      <c r="EL33" s="1144">
        <f>314-EK33</f>
      </c>
      <c r="EM33" s="1144">
        <f>322-SUM(EK33:EL33)</f>
      </c>
      <c r="EN33" s="1288">
        <f>EO33-SUM(EK33:EM33)</f>
      </c>
      <c r="EO33" s="1414">
        <v>543</v>
      </c>
      <c r="EP33" s="1144">
        <v>40</v>
      </c>
      <c r="EQ33" s="1144">
        <f>116-EP33</f>
      </c>
      <c r="ER33" s="1144">
        <f>237-EQ33-EP33</f>
      </c>
      <c r="ES33" s="1414">
        <f>358-SUM(EP33:ER33)</f>
      </c>
      <c r="ET33" s="1288">
        <f>SUM(EP33:ES33)</f>
      </c>
      <c r="EU33" s="1144">
        <v>210</v>
      </c>
      <c r="EV33" s="1144">
        <f>573-SUM(EU33)</f>
      </c>
      <c r="EW33" s="1144">
        <f>623-EV33-EU33</f>
      </c>
      <c r="EX33" s="1414">
        <f>675-SUM(EU33:EW33)</f>
      </c>
      <c r="EY33" s="1288">
        <f>SUM(EU33:EX33)</f>
      </c>
      <c r="EZ33" s="1144">
        <v>279</v>
      </c>
      <c r="FA33" s="1144">
        <f>332-SUM(EZ33)</f>
      </c>
      <c r="FB33" s="1106">
        <f>+'Balance Sheet'!EY26-'Balance Sheet'!EZ26-'Balance Sheet'!EZ137</f>
      </c>
      <c r="FC33" s="1288">
        <f>+'Balance Sheet'!EZ26-'Balance Sheet'!FA26-'Balance Sheet'!FA137</f>
      </c>
      <c r="FD33" s="1288">
        <f>SUM(EZ33:FC33)</f>
      </c>
      <c r="FE33" s="1288">
        <f>+'Balance Sheet'!FB26-'Balance Sheet'!FC26-'Balance Sheet'!FC137</f>
      </c>
      <c r="FF33" s="1288">
        <f>+'Balance Sheet'!FC26-'Balance Sheet'!FD26-'Balance Sheet'!FD137</f>
      </c>
      <c r="FG33" s="1288">
        <f>+'Balance Sheet'!FD26-'Balance Sheet'!FE26-'Balance Sheet'!FE137</f>
      </c>
      <c r="FH33" s="1288">
        <f>+'Balance Sheet'!FE26-'Balance Sheet'!FF26-'Balance Sheet'!FF137</f>
      </c>
      <c r="FI33" s="1288">
        <f>+'Balance Sheet'!FF26-'Balance Sheet'!FG26-'Balance Sheet'!FG137</f>
      </c>
    </row>
    <row r="34" spans="1:165">
      <c r="A34" s="10"/>
      <c r="B34" s="130" t="s">
        <v>334</v>
      </c>
      <c r="C34" s="10"/>
      <c r="D34" s="10"/>
      <c r="E34" s="577">
        <v>-300</v>
      </c>
      <c r="F34" s="577">
        <v>-125</v>
      </c>
      <c r="G34" s="577">
        <v>-47</v>
      </c>
      <c r="H34" s="577">
        <v>-266</v>
      </c>
      <c r="I34" s="577">
        <v>-1932</v>
      </c>
      <c r="J34" s="577">
        <v>-154</v>
      </c>
      <c r="K34" s="577">
        <v>0</v>
      </c>
      <c r="L34" s="577">
        <v>0</v>
      </c>
      <c r="M34" s="577">
        <v>-182</v>
      </c>
      <c r="N34" s="577">
        <v>-51</v>
      </c>
      <c r="O34" s="303">
        <f>SUM(K34:N34)</f>
      </c>
      <c r="P34" s="577">
        <v>-158</v>
      </c>
      <c r="Q34" s="577">
        <v>-145</v>
      </c>
      <c r="R34" s="577">
        <v>27</v>
      </c>
      <c r="S34" s="577">
        <v>96</v>
      </c>
      <c r="T34" s="303">
        <f>SUM(P34:S34)</f>
      </c>
      <c r="U34" s="577">
        <v>-78</v>
      </c>
      <c r="V34" s="577">
        <v>0</v>
      </c>
      <c r="W34" s="577">
        <v>0</v>
      </c>
      <c r="X34" s="577">
        <v>-3740</v>
      </c>
      <c r="Y34" s="303">
        <f>SUM(U34:X34)</f>
      </c>
      <c r="Z34" s="577">
        <v>-188</v>
      </c>
      <c r="AA34" s="577">
        <v>0</v>
      </c>
      <c r="AB34" s="577">
        <v>-40</v>
      </c>
      <c r="AC34" s="577">
        <v>-43</v>
      </c>
      <c r="AD34" s="303">
        <f>SUM(Z34:AC34)</f>
      </c>
      <c r="AE34" s="577">
        <v>-7</v>
      </c>
      <c r="AF34" s="577">
        <v>0</v>
      </c>
      <c r="AG34" s="577">
        <v>0</v>
      </c>
      <c r="AH34" s="577">
        <v>-144</v>
      </c>
      <c r="AI34" s="303">
        <f>SUM(AE34:AH34)</f>
      </c>
      <c r="AJ34" s="577">
        <v>-17</v>
      </c>
      <c r="AK34" s="577">
        <v>0</v>
      </c>
      <c r="AL34" s="577">
        <v>-27</v>
      </c>
      <c r="AM34" s="577">
        <v>-181</v>
      </c>
      <c r="AN34" s="303">
        <f>SUM(AJ34:AM34)</f>
      </c>
      <c r="AO34" s="577">
        <v>-28</v>
      </c>
      <c r="AP34" s="577">
        <v>-438</v>
      </c>
      <c r="AQ34" s="577">
        <v>0</v>
      </c>
      <c r="AR34" s="577">
        <v>-12</v>
      </c>
      <c r="AS34" s="303">
        <f>SUM(AO34:AR34)</f>
      </c>
      <c r="AT34" s="577">
        <v>-258</v>
      </c>
      <c r="AU34" s="577">
        <v>-2523</v>
      </c>
      <c r="AV34" s="577">
        <v>0</v>
      </c>
      <c r="AW34" s="577">
        <v>-31</v>
      </c>
      <c r="AX34" s="303">
        <f>SUM(AT34:AW34)</f>
      </c>
      <c r="AY34" s="577">
        <v>0</v>
      </c>
      <c r="AZ34" s="577">
        <v>-300</v>
      </c>
      <c r="BA34" s="577">
        <v>-30</v>
      </c>
      <c r="BB34" s="577">
        <v>-250</v>
      </c>
      <c r="BC34" s="303">
        <f>SUM(AY34:BB34)</f>
      </c>
      <c r="BD34" s="577">
        <v>0</v>
      </c>
      <c r="BE34" s="577">
        <v>-693</v>
      </c>
      <c r="BF34" s="577">
        <v>-54</v>
      </c>
      <c r="BG34" s="577">
        <v>-240</v>
      </c>
      <c r="BH34" s="303">
        <f>SUM(BD34:BG34)</f>
      </c>
      <c r="BI34" s="577">
        <v>-811</v>
      </c>
      <c r="BJ34" s="577">
        <v>-407</v>
      </c>
      <c r="BK34" s="577">
        <v>-159</v>
      </c>
      <c r="BL34" s="577">
        <v>-16646</v>
      </c>
      <c r="BM34" s="303">
        <f>SUM(BI34:BL34)</f>
      </c>
      <c r="BN34" s="577">
        <v>-1368</v>
      </c>
      <c r="BO34" s="577">
        <v>0</v>
      </c>
      <c r="BP34" s="577">
        <v>-10</v>
      </c>
      <c r="BQ34" s="577">
        <v>-10</v>
      </c>
      <c r="BR34" s="303">
        <f>SUM(BN34:BQ34)</f>
      </c>
      <c r="BS34" s="577">
        <v>-8</v>
      </c>
      <c r="BT34" s="577">
        <v>-38</v>
      </c>
      <c r="BU34" s="577">
        <v>-354</v>
      </c>
      <c r="BV34" s="577">
        <v>-814</v>
      </c>
      <c r="BW34" s="303">
        <f>SUM(BS34:BV34)</f>
      </c>
      <c r="BX34" s="577">
        <f>+-1291</f>
      </c>
      <c r="BY34" s="577">
        <f>+-1291-BX34</f>
      </c>
      <c r="BZ34" s="577">
        <v>-1046</v>
      </c>
      <c r="CA34" s="577">
        <v>-133</v>
      </c>
      <c r="CB34" s="67">
        <f>SUM(BX34:CA34)</f>
      </c>
      <c r="CC34" s="577">
        <v>-772</v>
      </c>
      <c r="CD34" s="577">
        <f>-871-CC34</f>
      </c>
      <c r="CE34" s="577">
        <f>-1269-CC34-CD34</f>
      </c>
      <c r="CF34" s="577">
        <f>CG34-SUM(CC34:CE34)</f>
      </c>
      <c r="CG34" s="1143">
        <v>-1269</v>
      </c>
      <c r="CH34" s="1144">
        <v>-2049</v>
      </c>
      <c r="CI34" s="1144">
        <f>-2049-CH34</f>
      </c>
      <c r="CJ34" s="1144">
        <f>-2469-CH34-CI34</f>
      </c>
      <c r="CK34" s="1144">
        <f>-2797-CH34-CI34-CJ34</f>
      </c>
      <c r="CL34" s="1145">
        <f>SUM(CH34:CK34)</f>
      </c>
      <c r="CM34" s="1144">
        <v>0</v>
      </c>
      <c r="CN34" s="1144">
        <f>-17659-CM34</f>
      </c>
      <c r="CO34" s="1144">
        <f>-4423-CN34-CM34</f>
      </c>
      <c r="CP34" s="1146">
        <f>+CQ34-SUM(CM34:CO34)</f>
      </c>
      <c r="CQ34" s="1143">
        <v>-4486</v>
      </c>
      <c r="CR34" s="1144">
        <v>-168</v>
      </c>
      <c r="CS34" s="1144">
        <f>-174-CR34</f>
      </c>
      <c r="CT34" s="1144">
        <f>-819-CS34-CR34</f>
      </c>
      <c r="CU34" s="1146">
        <f>+CV34-SUM(CR34:CT34)</f>
      </c>
      <c r="CV34" s="1143">
        <v>-835</v>
      </c>
      <c r="CW34" s="1147">
        <v>0</v>
      </c>
      <c r="CX34" s="1144">
        <v>0</v>
      </c>
      <c r="CY34" s="1144">
        <f>-291-CX34-CW34</f>
      </c>
      <c r="CZ34" s="1146">
        <f>+DA34-SUM(CW34:CY34)</f>
      </c>
      <c r="DA34" s="1143">
        <v>-2129</v>
      </c>
      <c r="DB34" s="1144">
        <v>-233</v>
      </c>
      <c r="DC34" s="1147">
        <f>-233-DB34</f>
      </c>
      <c r="DD34" s="1144">
        <f>-233-DC34-DB34</f>
      </c>
      <c r="DE34" s="1146">
        <f>+DF34-SUM(DB34:DD34)</f>
      </c>
      <c r="DF34" s="1143">
        <v>-954</v>
      </c>
      <c r="DG34" s="1144">
        <v>-5</v>
      </c>
      <c r="DH34" s="1144">
        <f>-730-DG34</f>
      </c>
      <c r="DI34" s="1144">
        <f>-4050-DH34-DG34</f>
      </c>
      <c r="DJ34" s="1146">
        <f>+DK34-SUM(DG34:DI34)</f>
      </c>
      <c r="DK34" s="1143">
        <v>-4509</v>
      </c>
      <c r="DL34" s="1144">
        <v>-4852</v>
      </c>
      <c r="DM34" s="1144">
        <f>-34072-DL34</f>
      </c>
      <c r="DN34" s="1144">
        <f>-34646-DL34-DM34</f>
      </c>
      <c r="DO34" s="1146">
        <f>+DP34-SUM(DL34:DN34)</f>
      </c>
      <c r="DP34" s="1143">
        <v>-35151</v>
      </c>
      <c r="DQ34" s="1144">
        <v>-82</v>
      </c>
      <c r="DR34" s="1144">
        <f>-222-DQ34</f>
      </c>
      <c r="DS34" s="1144">
        <f>-897-DR34-DQ34</f>
      </c>
      <c r="DT34" s="1288">
        <f>DU34-SUM(DQ34:DS34)</f>
      </c>
      <c r="DU34" s="1414">
        <v>-899</v>
      </c>
      <c r="DV34" s="1144">
        <v>-1683</v>
      </c>
      <c r="DW34" s="1144">
        <f>-5346-DV34</f>
      </c>
      <c r="DX34" s="1144">
        <f>-5562-SUM(DV34:DW34)</f>
      </c>
      <c r="DY34" s="1288">
        <f>DZ34-SUM(DV34:DX34)</f>
      </c>
      <c r="DZ34" s="1414">
        <v>-5810</v>
      </c>
      <c r="EA34" s="1144">
        <v>-939</v>
      </c>
      <c r="EB34" s="1144">
        <f>-949-EA34</f>
      </c>
      <c r="EC34" s="1540">
        <f>-949-SUM(EA34:EB34)</f>
      </c>
      <c r="ED34" s="1288">
        <f>EE34-SUM(EA34:EC34)</f>
      </c>
      <c r="EE34" s="1414">
        <v>-7323</v>
      </c>
      <c r="EF34" s="1144">
        <v>0</v>
      </c>
      <c r="EG34" s="1540">
        <v>0</v>
      </c>
      <c r="EH34" s="1540">
        <v>0</v>
      </c>
      <c r="EI34" s="1288">
        <f>EJ34-SUM(EF34:EH34)</f>
      </c>
      <c r="EJ34" s="1414">
        <v>-60</v>
      </c>
      <c r="EK34" s="1144">
        <v>-252</v>
      </c>
      <c r="EL34" s="1144">
        <f>-523-EK34</f>
      </c>
      <c r="EM34" s="1144">
        <f>-522-SUM(EK34:EL34)</f>
      </c>
      <c r="EN34" s="1288">
        <f>EO34-SUM(EK34:EM34)</f>
      </c>
      <c r="EO34" s="1414">
        <v>-17652</v>
      </c>
      <c r="EP34" s="1144">
        <v>0</v>
      </c>
      <c r="EQ34" s="1144">
        <v>0</v>
      </c>
      <c r="ER34" s="1144">
        <f>0-EQ34-EP34</f>
      </c>
      <c r="ES34" s="1414">
        <f>0-SUM(EP34:ER34)</f>
      </c>
      <c r="ET34" s="1288">
        <f>SUM(EP34:ES34)</f>
      </c>
      <c r="EU34" s="1144">
        <v>-1811</v>
      </c>
      <c r="EV34" s="1144">
        <f>-14807-SUM(EU34)</f>
      </c>
      <c r="EW34" s="1144">
        <f>-15145-EV34-EU34</f>
      </c>
      <c r="EX34" s="1414">
        <f>-15146-SUM(EU34:EW34)</f>
      </c>
      <c r="EY34" s="1288">
        <f>SUM(EU34:EX34)</f>
      </c>
      <c r="EZ34" s="1144">
        <v>0</v>
      </c>
      <c r="FA34" s="1144">
        <f>-14458-SUM(EZ34)</f>
      </c>
      <c r="FB34" s="1106">
        <f>+-'Balance Sheet'!EZ159</f>
      </c>
      <c r="FC34" s="1288">
        <f>+-'Balance Sheet'!FA159</f>
      </c>
      <c r="FD34" s="1288">
        <f>SUM(EZ34:FC34)</f>
      </c>
      <c r="FE34" s="1288">
        <f>+-'Balance Sheet'!FC159</f>
      </c>
      <c r="FF34" s="1288">
        <f>+-'Balance Sheet'!FD159</f>
      </c>
      <c r="FG34" s="1288">
        <f>+-'Balance Sheet'!FE159</f>
      </c>
      <c r="FH34" s="1288">
        <f>+-'Balance Sheet'!FF159</f>
      </c>
      <c r="FI34" s="1288">
        <f>+-'Balance Sheet'!FG159</f>
      </c>
    </row>
    <row r="35" spans="1:165">
      <c r="A35" s="10"/>
      <c r="B35" s="130" t="s">
        <v>335</v>
      </c>
      <c r="C35" s="10"/>
      <c r="D35" s="10"/>
      <c r="E35" s="577">
        <v>11</v>
      </c>
      <c r="F35" s="577">
        <v>-173</v>
      </c>
      <c r="G35" s="577">
        <v>-114</v>
      </c>
      <c r="H35" s="577">
        <v>-86</v>
      </c>
      <c r="I35" s="577">
        <v>-19</v>
      </c>
      <c r="J35" s="577">
        <v>-151</v>
      </c>
      <c r="K35" s="577">
        <v>166</v>
      </c>
      <c r="L35" s="577">
        <v>-12</v>
      </c>
      <c r="M35" s="577">
        <v>-130</v>
      </c>
      <c r="N35" s="577">
        <v>-147</v>
      </c>
      <c r="O35" s="303">
        <f>SUM(K35:N35)</f>
      </c>
      <c r="P35" s="577">
        <v>-53</v>
      </c>
      <c r="Q35" s="577">
        <v>16</v>
      </c>
      <c r="R35" s="577">
        <v>66</v>
      </c>
      <c r="S35" s="577">
        <v>-151</v>
      </c>
      <c r="T35" s="303">
        <f>SUM(P35:S35)</f>
      </c>
      <c r="U35" s="577">
        <v>-85</v>
      </c>
      <c r="V35" s="577">
        <v>-40</v>
      </c>
      <c r="W35" s="577">
        <v>29</v>
      </c>
      <c r="X35" s="577">
        <v>-714</v>
      </c>
      <c r="Y35" s="303">
        <f>SUM(U35:X35)</f>
      </c>
      <c r="Z35" s="577">
        <v>-206</v>
      </c>
      <c r="AA35" s="577">
        <v>39</v>
      </c>
      <c r="AB35" s="577">
        <v>-191</v>
      </c>
      <c r="AC35" s="577">
        <v>-697</v>
      </c>
      <c r="AD35" s="303">
        <f>SUM(Z35:AC35)</f>
      </c>
      <c r="AE35" s="577">
        <v>-37</v>
      </c>
      <c r="AF35" s="577">
        <v>-53</v>
      </c>
      <c r="AG35" s="577">
        <v>-414</v>
      </c>
      <c r="AH35" s="577">
        <v>-487</v>
      </c>
      <c r="AI35" s="303">
        <f>SUM(AE35:AH35)</f>
      </c>
      <c r="AJ35" s="577">
        <v>-155</v>
      </c>
      <c r="AK35" s="577">
        <v>-695</v>
      </c>
      <c r="AL35" s="577">
        <v>-369</v>
      </c>
      <c r="AM35" s="577">
        <v>-1081</v>
      </c>
      <c r="AN35" s="303">
        <f>SUM(AJ35:AM35)</f>
      </c>
      <c r="AO35" s="577">
        <v>276</v>
      </c>
      <c r="AP35" s="577">
        <v>327</v>
      </c>
      <c r="AQ35" s="577">
        <v>183</v>
      </c>
      <c r="AR35" s="577">
        <v>-562</v>
      </c>
      <c r="AS35" s="303">
        <f>SUM(AO35:AR35)</f>
      </c>
      <c r="AT35" s="577">
        <v>-234</v>
      </c>
      <c r="AU35" s="577">
        <v>-150</v>
      </c>
      <c r="AV35" s="577">
        <v>-111</v>
      </c>
      <c r="AW35" s="577">
        <v>708</v>
      </c>
      <c r="AX35" s="303">
        <f>SUM(AT35:AW35)</f>
      </c>
      <c r="AY35" s="577">
        <v>-607</v>
      </c>
      <c r="AZ35" s="577">
        <v>-476</v>
      </c>
      <c r="BA35" s="577">
        <v>-621</v>
      </c>
      <c r="BB35" s="577">
        <v>1875</v>
      </c>
      <c r="BC35" s="303">
        <f>SUM(AY35:BB35)</f>
      </c>
      <c r="BD35" s="577">
        <v>-1694</v>
      </c>
      <c r="BE35" s="577">
        <v>4024</v>
      </c>
      <c r="BF35" s="577">
        <v>604</v>
      </c>
      <c r="BG35" s="577">
        <v>252</v>
      </c>
      <c r="BH35" s="303">
        <f>SUM(BD35:BG35)</f>
      </c>
      <c r="BI35" s="577">
        <v>-321</v>
      </c>
      <c r="BJ35" s="577">
        <v>210</v>
      </c>
      <c r="BK35" s="577">
        <v>-141</v>
      </c>
      <c r="BL35" s="577">
        <v>139</v>
      </c>
      <c r="BM35" s="303">
        <f>SUM(BI35:BL35)</f>
      </c>
      <c r="BN35" s="577">
        <v>-86</v>
      </c>
      <c r="BO35" s="577">
        <v>-426</v>
      </c>
      <c r="BP35" s="577">
        <v>-1358</v>
      </c>
      <c r="BQ35" s="577">
        <v>-169</v>
      </c>
      <c r="BR35" s="303">
        <f>SUM(BN35:BQ35)</f>
      </c>
      <c r="BS35" s="10">
        <v>905</v>
      </c>
      <c r="BT35" s="10">
        <v>148</v>
      </c>
      <c r="BU35" s="10">
        <v>-444</v>
      </c>
      <c r="BV35" s="10">
        <v>-1301</v>
      </c>
      <c r="BW35" s="303">
        <f>SUM(BS35:BV35)</f>
      </c>
      <c r="BX35" s="10">
        <f>+-1440+2150-66</f>
      </c>
      <c r="BY35" s="10">
        <f>+-3485+2471+-84-BX35</f>
      </c>
      <c r="BZ35" s="10">
        <v>-290</v>
      </c>
      <c r="CA35" s="10">
        <v>-1529</v>
      </c>
      <c r="CB35" s="67">
        <f>SUM(BX35:CA35)</f>
      </c>
      <c r="CC35" s="577">
        <f>+-3246+2440-9</f>
      </c>
      <c r="CD35" s="577">
        <f>-6695+3800-21-CC35</f>
      </c>
      <c r="CE35" s="577">
        <f>-10679+6669-70-CC35-CD35</f>
      </c>
      <c r="CF35" s="577">
        <f>CG35-SUM(CC35:CE35)</f>
      </c>
      <c r="CG35" s="1143">
        <f>-15788+11101-38</f>
      </c>
      <c r="CH35" s="1144">
        <f>-1036+4897-57</f>
      </c>
      <c r="CI35" s="1144">
        <f>-16820+10582-62-CH35</f>
      </c>
      <c r="CJ35" s="1144">
        <f>-25444+18438-331-CH35-CI35</f>
      </c>
      <c r="CK35" s="1144">
        <f>-29882+30396-778-CH35-CI35-CJ35</f>
      </c>
      <c r="CL35" s="1145">
        <f>SUM(CH35:CK35)</f>
      </c>
      <c r="CM35" s="1144">
        <f>-2398+6600-2</f>
      </c>
      <c r="CN35" s="1144">
        <f>-5211+9883-8-CM35</f>
      </c>
      <c r="CO35" s="1144">
        <f>12134-8837-4-CN35-CM35</f>
      </c>
      <c r="CP35" s="1146">
        <f>+CQ35-SUM(CM35:CO35)</f>
      </c>
      <c r="CQ35" s="1143">
        <f>-13434+14797+38</f>
      </c>
      <c r="CR35" s="1144">
        <f>2800-3551-4</f>
      </c>
      <c r="CS35" s="1144">
        <f>7997-8569-16-CR35</f>
      </c>
      <c r="CT35" s="1144">
        <f>-13583+12891-40-CS35-CR35</f>
      </c>
      <c r="CU35" s="1146">
        <f>+CV35-SUM(CR35:CT35)</f>
      </c>
      <c r="CV35" s="1143">
        <f>-18923+18058-266</f>
      </c>
      <c r="CW35" s="1144">
        <f>4077-5427-81</f>
      </c>
      <c r="CX35" s="1144">
        <f>8222-17352-94-CW35</f>
      </c>
      <c r="CY35" s="1144">
        <f>-25784+14576-147-CX35-CW35</f>
      </c>
      <c r="CZ35" s="1146">
        <f>+DA35-SUM(CW35:CY35)</f>
      </c>
      <c r="DA35" s="1143">
        <f>-34913+24119-299</f>
      </c>
      <c r="DB35" s="1144">
        <f>6050-7162-11</f>
      </c>
      <c r="DC35" s="1144">
        <f>-20813+15829-11-DB35</f>
      </c>
      <c r="DD35" s="1144">
        <f>-28766+23167-35-DC35-DB35</f>
      </c>
      <c r="DE35" s="1146">
        <f>+DF35-SUM(DB35:DD35)</f>
      </c>
      <c r="DF35" s="1143">
        <f>-40828+34149-103</f>
      </c>
      <c r="DG35" s="1144">
        <f>-10062+9145-1</f>
      </c>
      <c r="DH35" s="1144">
        <f>-17511-38-DG35+18775</f>
      </c>
      <c r="DI35" s="1144">
        <f>-27677+30437-37-DH35-DG35</f>
      </c>
      <c r="DJ35" s="1146">
        <f>+DK35-SUM(DG35:DI35)</f>
      </c>
      <c r="DK35" s="1143">
        <f>+-33950+35780-123</f>
      </c>
      <c r="DL35" s="1144">
        <f>+-4550+8994+1</f>
      </c>
      <c r="DM35" s="1144">
        <f>+-5227+27320-80-DL35</f>
      </c>
      <c r="DN35" s="1144">
        <f>-5798+27511-117-DM35-DL35</f>
      </c>
      <c r="DO35" s="1146">
        <f>+DP35-SUM(DL35:DN35)</f>
      </c>
      <c r="DP35" s="1143">
        <f>+-6153+28117-234</f>
      </c>
      <c r="DQ35" s="1144">
        <f>+-548+341+2</f>
      </c>
      <c r="DR35" s="1144">
        <f>-951+743-33-DQ35</f>
      </c>
      <c r="DS35" s="1144">
        <f>-4155+1162-48-DR35-DQ35</f>
      </c>
      <c r="DT35" s="1288">
        <f>DU35-SUM(DQ35:DS35)</f>
      </c>
      <c r="DU35" s="1414">
        <f>-5626+4289-464</f>
      </c>
      <c r="DV35" s="1144">
        <f>-730+1495-96</f>
      </c>
      <c r="DW35" s="1144">
        <f>-1517+2132+1-DV35</f>
      </c>
      <c r="DX35" s="1144">
        <f>-2684+2459+72-SUM(DV35:DW35)</f>
      </c>
      <c r="DY35" s="1288">
        <f>DZ35-SUM(DV35:DX35)</f>
      </c>
      <c r="DZ35" s="1414">
        <f>-3920+3387+338+44</f>
      </c>
      <c r="EA35" s="1144">
        <f>-2064+1544+1743-257</f>
      </c>
      <c r="EB35" s="1144">
        <f>-8551+2417-492+672-EA35</f>
      </c>
      <c r="EC35" s="1540">
        <f>-16243+6585+125-516-SUM(EA35:EB35)</f>
      </c>
      <c r="ED35" s="1288">
        <f>EE35-SUM(EA35:EC35)</f>
      </c>
      <c r="EE35" s="1288">
        <f>-21089+12137-987-521</f>
      </c>
      <c r="EF35" s="1144">
        <v>-111</v>
      </c>
      <c r="EG35" s="1540">
        <f>-12264+12453+441-398-EF35</f>
      </c>
      <c r="EH35" s="1540">
        <f>-18843+16809+696-414-SUM(EF35:EG35)</f>
      </c>
      <c r="EI35" s="1288">
        <f>EJ35-SUM(EF35:EH35)</f>
      </c>
      <c r="EJ35" s="1414">
        <f>-30394+25006+214-508</f>
      </c>
      <c r="EK35" s="1144">
        <f>-9018+6303-249-59</f>
      </c>
      <c r="EL35" s="1144">
        <f>-22048+17634-10-170-EK35</f>
      </c>
      <c r="EM35" s="1144">
        <f>-31163+26324-305-208-SUM(EK35:EL35)</f>
      </c>
      <c r="EN35" s="1288">
        <f>EO35-SUM(EK35:EM35)</f>
      </c>
      <c r="EO35" s="1414">
        <f>-32384+41609-249-229</f>
      </c>
      <c r="EP35" s="1144">
        <f>-3774+7766+158-12</f>
      </c>
      <c r="EQ35" s="1144">
        <f>-9688+11877-798+19-EP35</f>
      </c>
      <c r="ER35" s="1144">
        <f>-9981+15787-917-92-EQ35-EP35</f>
      </c>
      <c r="ES35" s="3387">
        <f>-470-10906+19390-2963+12-SUM(EP35:ER35)</f>
      </c>
      <c r="ET35" s="1288">
        <f>SUM(EP35:ES35)</f>
      </c>
      <c r="EU35" s="1144">
        <f>-630+979+1600-5</f>
      </c>
      <c r="EV35" s="1144">
        <f>-1184+1706+1430-86-SUM(EU35)</f>
      </c>
      <c r="EW35" s="1144">
        <f>-1250-1464+2172+699-102-EV35-EU35</f>
      </c>
      <c r="EX35" s="3387">
        <f>-1783-1726+2462+1517-174-SUM(EU35:EW35)</f>
      </c>
      <c r="EY35" s="1288">
        <f>SUM(EU35:EX35)</f>
      </c>
      <c r="EZ35" s="1144">
        <f>-14-251+218+296-30</f>
      </c>
      <c r="FA35" s="1144">
        <f>-431+953+-2684-66-369-SUM(EZ35)</f>
      </c>
      <c r="FB35" s="2151">
        <f>+'Balance Sheet'!EY21-'Balance Sheet'!EZ21</f>
      </c>
      <c r="FC35" s="1503">
        <f>+'Balance Sheet'!EZ21-'Balance Sheet'!FA21</f>
      </c>
      <c r="FD35" s="1288">
        <f>SUM(EZ35:FC35)</f>
      </c>
      <c r="FE35" s="1288">
        <f>+'Balance Sheet'!FB21-'Balance Sheet'!FC21</f>
      </c>
      <c r="FF35" s="1288">
        <f>+'Balance Sheet'!FC21-'Balance Sheet'!FD21</f>
      </c>
      <c r="FG35" s="1288">
        <f>+'Balance Sheet'!FD21-'Balance Sheet'!FE21</f>
      </c>
      <c r="FH35" s="1288">
        <f>+'Balance Sheet'!FE21-'Balance Sheet'!FF21</f>
      </c>
      <c r="FI35" s="1288">
        <f>+'Balance Sheet'!FF21-'Balance Sheet'!FG21</f>
      </c>
    </row>
    <row r="36" spans="1:165">
      <c r="A36" s="16"/>
      <c r="B36" s="273" t="s">
        <v>336</v>
      </c>
      <c r="C36" s="575"/>
      <c r="D36" s="575"/>
      <c r="E36" s="574">
        <f>SUM(E32:E35)</f>
      </c>
      <c r="F36" s="574">
        <f t="shared" ref="F36:BQ36" si="46">SUM(F32:F35)</f>
      </c>
      <c r="G36" s="574">
        <f t="shared" si="46"/>
      </c>
      <c r="H36" s="574">
        <f t="shared" si="46"/>
      </c>
      <c r="I36" s="574">
        <f t="shared" si="46"/>
      </c>
      <c r="J36" s="574">
        <f t="shared" si="46"/>
      </c>
      <c r="K36" s="574">
        <f t="shared" si="46"/>
      </c>
      <c r="L36" s="574">
        <f t="shared" si="46"/>
      </c>
      <c r="M36" s="574">
        <f t="shared" si="46"/>
      </c>
      <c r="N36" s="574">
        <f t="shared" si="46"/>
      </c>
      <c r="O36" s="375">
        <f t="shared" si="46"/>
      </c>
      <c r="P36" s="574">
        <f t="shared" si="46"/>
      </c>
      <c r="Q36" s="574">
        <f t="shared" si="46"/>
      </c>
      <c r="R36" s="574">
        <f t="shared" si="46"/>
      </c>
      <c r="S36" s="574">
        <f t="shared" si="46"/>
      </c>
      <c r="T36" s="375">
        <f t="shared" si="46"/>
      </c>
      <c r="U36" s="574">
        <f t="shared" si="46"/>
      </c>
      <c r="V36" s="574">
        <f t="shared" si="46"/>
      </c>
      <c r="W36" s="574">
        <f t="shared" si="46"/>
      </c>
      <c r="X36" s="574">
        <f t="shared" si="46"/>
      </c>
      <c r="Y36" s="375">
        <f t="shared" si="46"/>
      </c>
      <c r="Z36" s="574">
        <f t="shared" si="46"/>
      </c>
      <c r="AA36" s="574">
        <f t="shared" si="46"/>
      </c>
      <c r="AB36" s="574">
        <f t="shared" si="46"/>
      </c>
      <c r="AC36" s="574">
        <f t="shared" si="46"/>
      </c>
      <c r="AD36" s="375">
        <f t="shared" si="46"/>
      </c>
      <c r="AE36" s="574">
        <f t="shared" si="46"/>
      </c>
      <c r="AF36" s="574">
        <f t="shared" si="46"/>
      </c>
      <c r="AG36" s="574">
        <f t="shared" si="46"/>
      </c>
      <c r="AH36" s="574">
        <f t="shared" si="46"/>
      </c>
      <c r="AI36" s="375">
        <f t="shared" si="46"/>
      </c>
      <c r="AJ36" s="574">
        <f t="shared" si="46"/>
      </c>
      <c r="AK36" s="574">
        <f t="shared" si="46"/>
      </c>
      <c r="AL36" s="574">
        <f t="shared" si="46"/>
      </c>
      <c r="AM36" s="574">
        <f t="shared" si="46"/>
      </c>
      <c r="AN36" s="375">
        <f t="shared" si="46"/>
      </c>
      <c r="AO36" s="574">
        <f t="shared" si="46"/>
      </c>
      <c r="AP36" s="574">
        <f t="shared" si="46"/>
      </c>
      <c r="AQ36" s="574">
        <f t="shared" si="46"/>
      </c>
      <c r="AR36" s="574">
        <f t="shared" si="46"/>
      </c>
      <c r="AS36" s="375">
        <f t="shared" si="46"/>
      </c>
      <c r="AT36" s="574">
        <f t="shared" si="46"/>
      </c>
      <c r="AU36" s="574">
        <f t="shared" si="46"/>
      </c>
      <c r="AV36" s="574">
        <f t="shared" si="46"/>
      </c>
      <c r="AW36" s="574">
        <f t="shared" si="46"/>
      </c>
      <c r="AX36" s="375">
        <f t="shared" si="46"/>
      </c>
      <c r="AY36" s="574">
        <f t="shared" si="46"/>
      </c>
      <c r="AZ36" s="574">
        <f t="shared" si="46"/>
      </c>
      <c r="BA36" s="574">
        <f t="shared" si="46"/>
      </c>
      <c r="BB36" s="574">
        <f t="shared" si="46"/>
      </c>
      <c r="BC36" s="375">
        <f t="shared" si="46"/>
      </c>
      <c r="BD36" s="574">
        <f t="shared" si="46"/>
      </c>
      <c r="BE36" s="574">
        <f t="shared" si="46"/>
      </c>
      <c r="BF36" s="574">
        <f t="shared" si="46"/>
      </c>
      <c r="BG36" s="574">
        <f t="shared" si="46"/>
      </c>
      <c r="BH36" s="375">
        <f t="shared" si="46"/>
      </c>
      <c r="BI36" s="574">
        <f t="shared" si="46"/>
      </c>
      <c r="BJ36" s="574">
        <f t="shared" si="46"/>
      </c>
      <c r="BK36" s="574">
        <f t="shared" si="46"/>
      </c>
      <c r="BL36" s="574">
        <f t="shared" si="46"/>
      </c>
      <c r="BM36" s="375">
        <f t="shared" si="46"/>
      </c>
      <c r="BN36" s="574">
        <f t="shared" si="46"/>
      </c>
      <c r="BO36" s="574">
        <f t="shared" si="46"/>
      </c>
      <c r="BP36" s="574">
        <f t="shared" si="46"/>
      </c>
      <c r="BQ36" s="574">
        <f t="shared" si="46"/>
      </c>
      <c r="BR36" s="375">
        <f t="shared" ref="BR36:CB36" si="47">SUM(BR32:BR35)</f>
      </c>
      <c r="BS36" s="574">
        <f t="shared" si="47"/>
      </c>
      <c r="BT36" s="574">
        <f t="shared" si="47"/>
      </c>
      <c r="BU36" s="574">
        <f t="shared" si="47"/>
      </c>
      <c r="BV36" s="574">
        <f t="shared" si="47"/>
      </c>
      <c r="BW36" s="375">
        <f t="shared" si="47"/>
      </c>
      <c r="BX36" s="574">
        <f t="shared" si="47"/>
      </c>
      <c r="BY36" s="574">
        <f t="shared" si="47"/>
      </c>
      <c r="BZ36" s="574">
        <f t="shared" si="47"/>
      </c>
      <c r="CA36" s="574">
        <f t="shared" si="47"/>
      </c>
      <c r="CB36" s="272">
        <f t="shared" si="47"/>
      </c>
      <c r="CC36" s="574">
        <f t="shared" ref="CC36:DD36" si="48">SUM(CC32:CC35)</f>
      </c>
      <c r="CD36" s="574">
        <f t="shared" si="48"/>
      </c>
      <c r="CE36" s="574">
        <f t="shared" si="48"/>
      </c>
      <c r="CF36" s="574">
        <f t="shared" si="48"/>
      </c>
      <c r="CG36" s="1148">
        <f t="shared" si="48"/>
      </c>
      <c r="CH36" s="1149">
        <f t="shared" si="48"/>
      </c>
      <c r="CI36" s="1149">
        <f t="shared" si="48"/>
      </c>
      <c r="CJ36" s="1149">
        <f t="shared" si="48"/>
      </c>
      <c r="CK36" s="1150">
        <f t="shared" si="48"/>
      </c>
      <c r="CL36" s="1148">
        <f t="shared" si="48"/>
      </c>
      <c r="CM36" s="1149">
        <f t="shared" si="48"/>
      </c>
      <c r="CN36" s="1149">
        <f t="shared" si="48"/>
      </c>
      <c r="CO36" s="1149">
        <f t="shared" si="48"/>
      </c>
      <c r="CP36" s="1150">
        <f t="shared" si="48"/>
      </c>
      <c r="CQ36" s="1148">
        <f t="shared" si="48"/>
      </c>
      <c r="CR36" s="1149">
        <f>SUM(CR32:CR35)</f>
      </c>
      <c r="CS36" s="1149">
        <f>SUM(CS32:CS35)</f>
      </c>
      <c r="CT36" s="1149">
        <f>SUM(CT32:CT35)</f>
      </c>
      <c r="CU36" s="1150">
        <f>SUM(CU32:CU35)</f>
      </c>
      <c r="CV36" s="1148">
        <f t="shared" si="48"/>
      </c>
      <c r="CW36" s="1149">
        <f>SUM(CW32:CW35)</f>
      </c>
      <c r="CX36" s="1149">
        <f>SUM(CX32:CX35)</f>
      </c>
      <c r="CY36" s="1149">
        <f>SUM(CY32:CY35)</f>
      </c>
      <c r="CZ36" s="1150">
        <f>SUM(CZ32:CZ35)</f>
      </c>
      <c r="DA36" s="1148">
        <f t="shared" si="48"/>
      </c>
      <c r="DB36" s="1149">
        <f>SUM(DB32:DB35)</f>
      </c>
      <c r="DC36" s="1149">
        <f t="shared" si="48"/>
      </c>
      <c r="DD36" s="1149">
        <f t="shared" si="48"/>
      </c>
      <c r="DE36" s="1150">
        <f t="shared" ref="DE36:DJ36" si="49">SUM(DE32:DE35)</f>
      </c>
      <c r="DF36" s="1148">
        <f t="shared" si="49"/>
      </c>
      <c r="DG36" s="1149">
        <f t="shared" si="49"/>
      </c>
      <c r="DH36" s="1151">
        <f t="shared" si="49"/>
      </c>
      <c r="DI36" s="1149">
        <f t="shared" si="49"/>
      </c>
      <c r="DJ36" s="1150">
        <f t="shared" si="49"/>
      </c>
      <c r="DK36" s="1148">
        <f t="shared" ref="DK36:FD36" si="50">SUM(DK32:DK35)</f>
      </c>
      <c r="DL36" s="1149">
        <f t="shared" si="50"/>
      </c>
      <c r="DM36" s="1151">
        <f t="shared" si="50"/>
      </c>
      <c r="DN36" s="1151">
        <f t="shared" si="50"/>
      </c>
      <c r="DO36" s="1150">
        <f t="shared" si="50"/>
      </c>
      <c r="DP36" s="1148">
        <f t="shared" si="50"/>
      </c>
      <c r="DQ36" s="1151">
        <f t="shared" si="50"/>
      </c>
      <c r="DR36" s="1151">
        <f t="shared" si="50"/>
      </c>
      <c r="DS36" s="1151">
        <f t="shared" si="50"/>
      </c>
      <c r="DT36" s="1289">
        <f t="shared" si="50"/>
      </c>
      <c r="DU36" s="1289">
        <f t="shared" si="50"/>
      </c>
      <c r="DV36" s="1151">
        <f t="shared" si="50"/>
      </c>
      <c r="DW36" s="1151">
        <f t="shared" si="50"/>
      </c>
      <c r="DX36" s="1151">
        <f t="shared" si="50"/>
      </c>
      <c r="DY36" s="1289">
        <f t="shared" si="50"/>
      </c>
      <c r="DZ36" s="1289">
        <f t="shared" si="50"/>
      </c>
      <c r="EA36" s="1151">
        <f t="shared" si="50"/>
      </c>
      <c r="EB36" s="1151">
        <f t="shared" si="50"/>
      </c>
      <c r="EC36" s="1151">
        <f t="shared" si="50"/>
      </c>
      <c r="ED36" s="1289">
        <f t="shared" si="50"/>
      </c>
      <c r="EE36" s="1289">
        <f t="shared" si="50"/>
      </c>
      <c r="EF36" s="1504">
        <f t="shared" si="50"/>
      </c>
      <c r="EG36" s="1504">
        <f t="shared" si="50"/>
      </c>
      <c r="EH36" s="1504">
        <f t="shared" si="50"/>
      </c>
      <c r="EI36" s="1289">
        <f t="shared" si="50"/>
      </c>
      <c r="EJ36" s="1289">
        <f t="shared" si="50"/>
      </c>
      <c r="EK36" s="1504">
        <f>SUM(EK32:EK35)</f>
      </c>
      <c r="EL36" s="1504">
        <f>SUM(EL32:EL35)</f>
      </c>
      <c r="EM36" s="1504">
        <f t="shared" si="50"/>
      </c>
      <c r="EN36" s="1289">
        <f t="shared" si="50"/>
      </c>
      <c r="EO36" s="1289">
        <f t="shared" si="50"/>
      </c>
      <c r="EP36" s="1504">
        <f t="shared" si="50"/>
      </c>
      <c r="EQ36" s="1504">
        <f>SUM(EQ32:EQ35)</f>
      </c>
      <c r="ER36" s="3193">
        <f>SUM(ER32:ER35)</f>
      </c>
      <c r="ES36" s="2046">
        <f t="shared" si="50"/>
      </c>
      <c r="ET36" s="1289">
        <f t="shared" si="50"/>
      </c>
      <c r="EU36" s="2150">
        <f t="shared" si="50"/>
      </c>
      <c r="EV36" s="3193">
        <f>SUM(EV32:EV35)</f>
      </c>
      <c r="EW36" s="3193">
        <f>SUM(EW32:EW35)</f>
      </c>
      <c r="EX36" s="2046">
        <f t="shared" ref="EX36:EZ36" si="51">SUM(EX32:EX35)</f>
      </c>
      <c r="EY36" s="1289">
        <f t="shared" si="51"/>
      </c>
      <c r="EZ36" s="2150">
        <f t="shared" si="51"/>
      </c>
      <c r="FA36" s="3193">
        <f>SUM(FA32:FA35)</f>
      </c>
      <c r="FB36" s="3193">
        <f>SUM(FB32:FB35)</f>
      </c>
      <c r="FC36" s="3584">
        <f>SUM(FC32:FC35)</f>
      </c>
      <c r="FD36" s="1289">
        <f t="shared" si="50"/>
      </c>
      <c r="FE36" s="1289">
        <f>SUM(FE32:FE35)</f>
      </c>
      <c r="FF36" s="1289">
        <f>SUM(FF32:FF35)</f>
      </c>
      <c r="FG36" s="1289">
        <f>SUM(FG32:FG35)</f>
      </c>
      <c r="FH36" s="1289">
        <f>SUM(FH32:FH35)</f>
      </c>
      <c r="FI36" s="1289">
        <f>SUM(FI32:FI35)</f>
      </c>
    </row>
    <row r="37" spans="1:165">
      <c r="A37" s="10"/>
      <c r="B37" s="130"/>
      <c r="C37" s="10"/>
      <c r="D37" s="10"/>
      <c r="E37" s="10"/>
      <c r="F37" s="10"/>
      <c r="G37" s="10"/>
      <c r="H37" s="10"/>
      <c r="I37" s="10"/>
      <c r="J37" s="10"/>
      <c r="K37" s="10"/>
      <c r="L37" s="10"/>
      <c r="M37" s="10"/>
      <c r="N37" s="10"/>
      <c r="O37" s="303"/>
      <c r="P37" s="10"/>
      <c r="Q37" s="10"/>
      <c r="R37" s="10"/>
      <c r="S37" s="10"/>
      <c r="T37" s="303"/>
      <c r="U37" s="10"/>
      <c r="V37" s="10"/>
      <c r="W37" s="10"/>
      <c r="X37" s="10"/>
      <c r="Y37" s="303"/>
      <c r="Z37" s="10"/>
      <c r="AA37" s="10"/>
      <c r="AB37" s="10"/>
      <c r="AC37" s="10"/>
      <c r="AD37" s="303"/>
      <c r="AE37" s="10"/>
      <c r="AF37" s="10"/>
      <c r="AG37" s="10"/>
      <c r="AH37" s="10"/>
      <c r="AI37" s="303"/>
      <c r="AJ37" s="10"/>
      <c r="AK37" s="10"/>
      <c r="AL37" s="10"/>
      <c r="AM37" s="10"/>
      <c r="AN37" s="303"/>
      <c r="AO37" s="10"/>
      <c r="AP37" s="10"/>
      <c r="AQ37" s="10"/>
      <c r="AR37" s="10"/>
      <c r="AS37" s="303"/>
      <c r="AT37" s="10"/>
      <c r="AU37" s="10"/>
      <c r="AV37" s="10"/>
      <c r="AW37" s="10"/>
      <c r="AX37" s="303"/>
      <c r="AY37" s="10"/>
      <c r="AZ37" s="10"/>
      <c r="BA37" s="10"/>
      <c r="BB37" s="10"/>
      <c r="BC37" s="303"/>
      <c r="BD37" s="10"/>
      <c r="BE37" s="10"/>
      <c r="BF37" s="10"/>
      <c r="BG37" s="10"/>
      <c r="BH37" s="303"/>
      <c r="BI37" s="10"/>
      <c r="BJ37" s="10"/>
      <c r="BK37" s="10"/>
      <c r="BL37" s="10"/>
      <c r="BM37" s="303"/>
      <c r="BN37" s="10"/>
      <c r="BO37" s="10"/>
      <c r="BP37" s="10"/>
      <c r="BQ37" s="10"/>
      <c r="BR37" s="303"/>
      <c r="BS37" s="10"/>
      <c r="BT37" s="10"/>
      <c r="BU37" s="10"/>
      <c r="BV37" s="10"/>
      <c r="BW37" s="303"/>
      <c r="BX37" s="10"/>
      <c r="BY37" s="10"/>
      <c r="BZ37" s="10"/>
      <c r="CA37" s="10"/>
      <c r="CB37" s="67"/>
      <c r="CC37" s="10"/>
      <c r="CD37" s="10"/>
      <c r="CE37" s="10"/>
      <c r="CF37" s="10"/>
      <c r="CG37" s="1145"/>
      <c r="CH37" s="1147"/>
      <c r="CI37" s="1147"/>
      <c r="CJ37" s="1147"/>
      <c r="CK37" s="1146"/>
      <c r="CL37" s="1145"/>
      <c r="CM37" s="1147"/>
      <c r="CN37" s="1147"/>
      <c r="CO37" s="1147"/>
      <c r="CP37" s="1146"/>
      <c r="CQ37" s="1145"/>
      <c r="CR37" s="1147"/>
      <c r="CS37" s="1147"/>
      <c r="CT37" s="1147"/>
      <c r="CU37" s="1147"/>
      <c r="CV37" s="1145"/>
      <c r="CW37" s="1147"/>
      <c r="CX37" s="1147"/>
      <c r="CY37" s="1147"/>
      <c r="CZ37" s="1147"/>
      <c r="DA37" s="1145"/>
      <c r="DB37" s="1147"/>
      <c r="DC37" s="1147"/>
      <c r="DD37" s="1147"/>
      <c r="DE37" s="1147"/>
      <c r="DF37" s="1145"/>
      <c r="DG37" s="1147"/>
      <c r="DH37" s="1106"/>
      <c r="DI37" s="1147"/>
      <c r="DJ37" s="1146"/>
      <c r="DK37" s="1145"/>
      <c r="DL37" s="1147"/>
      <c r="DM37" s="1106"/>
      <c r="DN37" s="1106"/>
      <c r="DO37" s="1146"/>
      <c r="DP37" s="1145"/>
      <c r="DQ37" s="1106"/>
      <c r="DR37" s="1106"/>
      <c r="DS37" s="1106"/>
      <c r="DT37" s="1288"/>
      <c r="DU37" s="1152"/>
      <c r="DV37" s="1106"/>
      <c r="DW37" s="1106"/>
      <c r="DX37" s="1106"/>
      <c r="DY37" s="1288"/>
      <c r="DZ37" s="1152"/>
      <c r="EA37" s="1106"/>
      <c r="EB37" s="1106"/>
      <c r="EC37" s="1106"/>
      <c r="ED37" s="1288"/>
      <c r="EE37" s="1152"/>
      <c r="EF37" s="1106"/>
      <c r="EG37" s="1106"/>
      <c r="EH37" s="1106"/>
      <c r="EI37" s="1288"/>
      <c r="EJ37" s="1152"/>
      <c r="EK37" s="1106"/>
      <c r="EL37" s="1106"/>
      <c r="EM37" s="1106"/>
      <c r="EN37" s="1288"/>
      <c r="EO37" s="1152"/>
      <c r="EP37" s="1106"/>
      <c r="EQ37" s="1106"/>
      <c r="ER37" s="1106"/>
      <c r="ES37" s="1288"/>
      <c r="ET37" s="1152"/>
      <c r="EU37" s="1106"/>
      <c r="EV37" s="1106"/>
      <c r="EW37" s="1106"/>
      <c r="EX37" s="1288"/>
      <c r="EY37" s="1152"/>
      <c r="EZ37" s="1106"/>
      <c r="FA37" s="1106"/>
      <c r="FB37" s="1106"/>
      <c r="FC37" s="1288"/>
      <c r="FD37" s="1152"/>
      <c r="FE37" s="1152"/>
      <c r="FF37" s="1152"/>
      <c r="FG37" s="1152"/>
      <c r="FH37" s="1152"/>
      <c r="FI37" s="1152"/>
    </row>
    <row r="38" spans="1:165">
      <c r="A38" s="15"/>
      <c r="B38" s="270" t="s">
        <v>337</v>
      </c>
      <c r="C38" s="15"/>
      <c r="D38" s="15"/>
      <c r="E38" s="15"/>
      <c r="F38" s="15"/>
      <c r="G38" s="15"/>
      <c r="H38" s="15"/>
      <c r="I38" s="15"/>
      <c r="J38" s="15"/>
      <c r="K38" s="15"/>
      <c r="L38" s="15"/>
      <c r="M38" s="15"/>
      <c r="N38" s="15"/>
      <c r="O38" s="327"/>
      <c r="P38" s="15"/>
      <c r="Q38" s="15"/>
      <c r="R38" s="15"/>
      <c r="S38" s="15"/>
      <c r="T38" s="327"/>
      <c r="U38" s="15"/>
      <c r="V38" s="15"/>
      <c r="W38" s="15"/>
      <c r="X38" s="15"/>
      <c r="Y38" s="327"/>
      <c r="Z38" s="15"/>
      <c r="AA38" s="15"/>
      <c r="AB38" s="15"/>
      <c r="AC38" s="15"/>
      <c r="AD38" s="327"/>
      <c r="AE38" s="15"/>
      <c r="AF38" s="15"/>
      <c r="AG38" s="15"/>
      <c r="AH38" s="15"/>
      <c r="AI38" s="327"/>
      <c r="AJ38" s="15"/>
      <c r="AK38" s="15"/>
      <c r="AL38" s="15"/>
      <c r="AM38" s="15"/>
      <c r="AN38" s="327"/>
      <c r="AO38" s="15"/>
      <c r="AP38" s="15"/>
      <c r="AQ38" s="15"/>
      <c r="AR38" s="15"/>
      <c r="AS38" s="327"/>
      <c r="AT38" s="15"/>
      <c r="AU38" s="15"/>
      <c r="AV38" s="15"/>
      <c r="AW38" s="15"/>
      <c r="AX38" s="327"/>
      <c r="AY38" s="15"/>
      <c r="AZ38" s="15"/>
      <c r="BA38" s="15"/>
      <c r="BB38" s="15"/>
      <c r="BC38" s="327"/>
      <c r="BD38" s="15"/>
      <c r="BE38" s="15"/>
      <c r="BF38" s="15"/>
      <c r="BG38" s="15"/>
      <c r="BH38" s="327"/>
      <c r="BI38" s="15"/>
      <c r="BJ38" s="15"/>
      <c r="BK38" s="15"/>
      <c r="BL38" s="15"/>
      <c r="BM38" s="327"/>
      <c r="BN38" s="15"/>
      <c r="BO38" s="15"/>
      <c r="BP38" s="15"/>
      <c r="BQ38" s="15"/>
      <c r="BR38" s="327"/>
      <c r="BS38" s="15"/>
      <c r="BT38" s="15"/>
      <c r="BU38" s="15"/>
      <c r="BV38" s="15"/>
      <c r="BW38" s="327"/>
      <c r="BX38" s="15"/>
      <c r="BY38" s="15"/>
      <c r="BZ38" s="15"/>
      <c r="CA38" s="15"/>
      <c r="CB38" s="274"/>
      <c r="CC38" s="15"/>
      <c r="CD38" s="15"/>
      <c r="CE38" s="15"/>
      <c r="CF38" s="15"/>
      <c r="CG38" s="1155"/>
      <c r="CH38" s="1154"/>
      <c r="CI38" s="1154"/>
      <c r="CJ38" s="1154"/>
      <c r="CK38" s="1152"/>
      <c r="CL38" s="1155"/>
      <c r="CM38" s="1154"/>
      <c r="CN38" s="1154"/>
      <c r="CO38" s="1154"/>
      <c r="CP38" s="1152"/>
      <c r="CQ38" s="1155"/>
      <c r="CR38" s="1154"/>
      <c r="CS38" s="1154"/>
      <c r="CT38" s="1154"/>
      <c r="CU38" s="1154"/>
      <c r="CV38" s="1155"/>
      <c r="CW38" s="1154"/>
      <c r="CX38" s="1154"/>
      <c r="CY38" s="1154"/>
      <c r="CZ38" s="1154"/>
      <c r="DA38" s="1155"/>
      <c r="DB38" s="1154"/>
      <c r="DC38" s="1154"/>
      <c r="DD38" s="1154"/>
      <c r="DE38" s="1154"/>
      <c r="DF38" s="1155"/>
      <c r="DG38" s="1154"/>
      <c r="DH38" s="1154"/>
      <c r="DI38" s="1154"/>
      <c r="DJ38" s="1152"/>
      <c r="DK38" s="1155"/>
      <c r="DL38" s="1154"/>
      <c r="DM38" s="1154"/>
      <c r="DN38" s="1154"/>
      <c r="DO38" s="1152"/>
      <c r="DP38" s="1155"/>
      <c r="DQ38" s="1154"/>
      <c r="DR38" s="1154"/>
      <c r="DS38" s="1154"/>
      <c r="DT38" s="1152"/>
      <c r="DU38" s="1152"/>
      <c r="DV38" s="1154"/>
      <c r="DW38" s="1154"/>
      <c r="DX38" s="1154"/>
      <c r="DY38" s="1152"/>
      <c r="DZ38" s="1152"/>
      <c r="EA38" s="1154"/>
      <c r="EB38" s="1154"/>
      <c r="EC38" s="1154"/>
      <c r="ED38" s="1152"/>
      <c r="EE38" s="1152"/>
      <c r="EF38" s="1154"/>
      <c r="EG38" s="1154"/>
      <c r="EH38" s="1154"/>
      <c r="EI38" s="1152"/>
      <c r="EJ38" s="1152"/>
      <c r="EK38" s="1154"/>
      <c r="EL38" s="1154"/>
      <c r="EM38" s="1154"/>
      <c r="EN38" s="1152"/>
      <c r="EO38" s="1152"/>
      <c r="EP38" s="1154"/>
      <c r="EQ38" s="1154"/>
      <c r="ER38" s="1154"/>
      <c r="ES38" s="1152"/>
      <c r="ET38" s="1152"/>
      <c r="EU38" s="1154"/>
      <c r="EV38" s="1154"/>
      <c r="EW38" s="1154"/>
      <c r="EX38" s="1152"/>
      <c r="EY38" s="1152"/>
      <c r="EZ38" s="1154"/>
      <c r="FA38" s="1154"/>
      <c r="FB38" s="1154"/>
      <c r="FC38" s="1152"/>
      <c r="FD38" s="1152"/>
      <c r="FE38" s="1152"/>
      <c r="FF38" s="1152"/>
      <c r="FG38" s="1152"/>
      <c r="FH38" s="1152"/>
      <c r="FI38" s="1152"/>
    </row>
    <row r="39" spans="1:165">
      <c r="A39" s="10"/>
      <c r="B39" s="130" t="s">
        <v>338</v>
      </c>
      <c r="C39" s="10"/>
      <c r="D39" s="10"/>
      <c r="E39" s="577">
        <v>-436</v>
      </c>
      <c r="F39" s="577">
        <v>-513</v>
      </c>
      <c r="G39" s="577">
        <v>-587</v>
      </c>
      <c r="H39" s="577">
        <v>-659</v>
      </c>
      <c r="I39" s="577">
        <v>-727</v>
      </c>
      <c r="J39" s="577">
        <v>-827</v>
      </c>
      <c r="K39" s="577">
        <v>-214</v>
      </c>
      <c r="L39" s="577">
        <v>-253</v>
      </c>
      <c r="M39" s="577">
        <v>-253</v>
      </c>
      <c r="N39" s="577">
        <v>-254</v>
      </c>
      <c r="O39" s="303">
        <f t="shared" ref="O39:O46" si="52">SUM(K39:N39)</f>
      </c>
      <c r="P39" s="577">
        <v>-254</v>
      </c>
      <c r="Q39" s="577">
        <v>-293</v>
      </c>
      <c r="R39" s="577">
        <v>-294</v>
      </c>
      <c r="S39" s="577">
        <v>-296</v>
      </c>
      <c r="T39" s="303">
        <f t="shared" ref="T39:T46" si="53">SUM(P39:S39)</f>
      </c>
      <c r="U39" s="577">
        <v>-296</v>
      </c>
      <c r="V39" s="577">
        <v>-336</v>
      </c>
      <c r="W39" s="577">
        <v>-337</v>
      </c>
      <c r="X39" s="577">
        <v>-336</v>
      </c>
      <c r="Y39" s="303">
        <f t="shared" ref="Y39:Y46" si="54">SUM(U39:X39)</f>
      </c>
      <c r="Z39" s="577">
        <v>-336</v>
      </c>
      <c r="AA39" s="577">
        <v>-377</v>
      </c>
      <c r="AB39" s="577">
        <v>-377</v>
      </c>
      <c r="AC39" s="577">
        <v>-389</v>
      </c>
      <c r="AD39" s="303">
        <f t="shared" ref="AD39:AD46" si="55">SUM(Z39:AC39)</f>
      </c>
      <c r="AE39" s="577">
        <v>-381</v>
      </c>
      <c r="AF39" s="577">
        <v>-445</v>
      </c>
      <c r="AG39" s="577">
        <v>-453</v>
      </c>
      <c r="AH39" s="577">
        <v>-445</v>
      </c>
      <c r="AI39" s="303">
        <f t="shared" ref="AI39:AI46" si="56">SUM(AE39:AH39)</f>
      </c>
      <c r="AJ39" s="577">
        <v>-447</v>
      </c>
      <c r="AK39" s="577">
        <v>-503</v>
      </c>
      <c r="AL39" s="577">
        <v>-548</v>
      </c>
      <c r="AM39" s="577">
        <v>-549</v>
      </c>
      <c r="AN39" s="303">
        <f t="shared" ref="AN39:AN46" si="57">SUM(AJ39:AM39)</f>
      </c>
      <c r="AO39" s="577">
        <v>-549</v>
      </c>
      <c r="AP39" s="577">
        <v>-614</v>
      </c>
      <c r="AQ39" s="577">
        <v>-609</v>
      </c>
      <c r="AR39" s="577">
        <v>-609</v>
      </c>
      <c r="AS39" s="303">
        <f t="shared" ref="AS39:AS46" si="58">SUM(AO39:AR39)</f>
      </c>
      <c r="AT39" s="577">
        <v>-609</v>
      </c>
      <c r="AU39" s="577">
        <v>-712</v>
      </c>
      <c r="AV39" s="577">
        <v>-712</v>
      </c>
      <c r="AW39" s="577">
        <v>-713</v>
      </c>
      <c r="AX39" s="303">
        <f t="shared" ref="AX39:AX46" si="59">SUM(AT39:AW39)</f>
      </c>
      <c r="AY39" s="577">
        <v>-713</v>
      </c>
      <c r="AZ39" s="577">
        <v>-846</v>
      </c>
      <c r="BA39" s="577">
        <v>-845</v>
      </c>
      <c r="BB39" s="577">
        <v>-847</v>
      </c>
      <c r="BC39" s="303">
        <f t="shared" ref="BC39:BC46" si="60">SUM(AY39:BB39)</f>
      </c>
      <c r="BD39" s="577">
        <v>-847</v>
      </c>
      <c r="BE39" s="577">
        <v>-982</v>
      </c>
      <c r="BF39" s="577">
        <v>-981</v>
      </c>
      <c r="BG39" s="577">
        <v>-983</v>
      </c>
      <c r="BH39" s="303">
        <f t="shared" ref="BH39:BH46" si="61">SUM(BD39:BG39)</f>
      </c>
      <c r="BI39" s="577">
        <v>-982</v>
      </c>
      <c r="BJ39" s="577">
        <v>-1107</v>
      </c>
      <c r="BK39" s="577">
        <v>-1093</v>
      </c>
      <c r="BL39" s="577">
        <v>-1085</v>
      </c>
      <c r="BM39" s="303">
        <f t="shared" ref="BM39:BM46" si="62">SUM(BI39:BL39)</f>
      </c>
      <c r="BN39" s="577">
        <v>-1085</v>
      </c>
      <c r="BO39" s="577">
        <v>-1202</v>
      </c>
      <c r="BP39" s="577">
        <v>-1199</v>
      </c>
      <c r="BQ39" s="577">
        <v>-1184</v>
      </c>
      <c r="BR39" s="303">
        <f t="shared" ref="BR39:BR46" si="63">SUM(BN39:BQ39)</f>
      </c>
      <c r="BS39" s="577">
        <v>-1174</v>
      </c>
      <c r="BT39" s="577">
        <v>-1292</v>
      </c>
      <c r="BU39" s="577">
        <v>-1284</v>
      </c>
      <c r="BV39" s="577">
        <v>-1274</v>
      </c>
      <c r="BW39" s="303">
        <f t="shared" ref="BW39:BW46" si="64">SUM(BS39:BV39)</f>
      </c>
      <c r="BX39" s="577">
        <v>-1273</v>
      </c>
      <c r="BY39" s="577">
        <f>+-2623-BX39</f>
      </c>
      <c r="BZ39" s="577">
        <v>-1351</v>
      </c>
      <c r="CA39" s="577">
        <v>-1353</v>
      </c>
      <c r="CB39" s="67">
        <f>SUM(BX39:CA39)</f>
      </c>
      <c r="CC39" s="577">
        <f>-1350</f>
      </c>
      <c r="CD39" s="577">
        <f>-2839-CC39</f>
      </c>
      <c r="CE39" s="577">
        <f>-4323-CC39-CD39</f>
      </c>
      <c r="CF39" s="577">
        <f t="shared" ref="CF39:CF46" si="65">CG39-SUM(CC39:CE39)</f>
      </c>
      <c r="CG39" s="1143">
        <v>-5804</v>
      </c>
      <c r="CH39" s="1144">
        <v>-1480</v>
      </c>
      <c r="CI39" s="1144">
        <f>-3043-CH39</f>
      </c>
      <c r="CJ39" s="1144">
        <f>-4601-CH39-CI39</f>
      </c>
      <c r="CK39" s="1144">
        <f>-6156-CH39-CI39-CJ39</f>
      </c>
      <c r="CL39" s="1145">
        <f>SUM(CH39:CK39)</f>
      </c>
      <c r="CM39" s="1144">
        <v>-1565</v>
      </c>
      <c r="CN39" s="1144">
        <f>-3241-CM39</f>
      </c>
      <c r="CO39" s="1144">
        <f>-4924-CN39-CM39</f>
      </c>
      <c r="CP39" s="1146">
        <f t="shared" ref="CP39:CP47" si="66">+CQ39-SUM(CM39:CO39)</f>
      </c>
      <c r="CQ39" s="1143">
        <v>-6614</v>
      </c>
      <c r="CR39" s="1144">
        <v>-1706</v>
      </c>
      <c r="CS39" s="1144">
        <f>-3562-CR39</f>
      </c>
      <c r="CT39" s="1144">
        <f>-5424-CS39-CR39</f>
      </c>
      <c r="CU39" s="1146">
        <f t="shared" ref="CU39:CU47" si="67">+CV39-SUM(CR39:CT39)</f>
      </c>
      <c r="CV39" s="1143">
        <v>-7286</v>
      </c>
      <c r="CW39" s="1144">
        <v>-1867</v>
      </c>
      <c r="CX39" s="1144">
        <f>-3845-CW39</f>
      </c>
      <c r="CY39" s="1144">
        <f>-5812-CX39-CW39</f>
      </c>
      <c r="CZ39" s="1146">
        <f t="shared" ref="CZ39:CZ47" si="68">+DA39-SUM(CW39:CY39)</f>
      </c>
      <c r="DA39" s="1143">
        <v>-7768</v>
      </c>
      <c r="DB39" s="1144">
        <v>-1946</v>
      </c>
      <c r="DC39" s="1144">
        <f>-4025-DB39</f>
      </c>
      <c r="DD39" s="1144">
        <f>-6101-DC39-DB39</f>
      </c>
      <c r="DE39" s="1146">
        <f t="shared" ref="DE39:DE47" si="69">+DF39-SUM(DB39:DD39)</f>
      </c>
      <c r="DF39" s="1143">
        <v>-8173</v>
      </c>
      <c r="DG39" s="1144">
        <v>-2069</v>
      </c>
      <c r="DH39" s="1144">
        <f>-4266-DG39</f>
      </c>
      <c r="DI39" s="1144">
        <f>-6451-DH39-DG39</f>
      </c>
      <c r="DJ39" s="1146">
        <f t="shared" ref="DJ39:DJ47" si="70">+DK39-SUM(DG39:DI39)</f>
      </c>
      <c r="DK39" s="1143">
        <v>-8621</v>
      </c>
      <c r="DL39" s="1144">
        <v>-2171</v>
      </c>
      <c r="DM39" s="1144">
        <f>-4433-DL39</f>
      </c>
      <c r="DN39" s="1144">
        <f>-6687-DM39-DL39</f>
      </c>
      <c r="DO39" s="1146">
        <f>+DP39-SUM(DL39:DN39)</f>
      </c>
      <c r="DP39" s="1143">
        <v>-8943</v>
      </c>
      <c r="DQ39" s="1144">
        <v>-2253</v>
      </c>
      <c r="DR39" s="1144">
        <f>-4668-DQ39</f>
      </c>
      <c r="DS39" s="1144">
        <f>-7083-DR39-DQ39</f>
      </c>
      <c r="DT39" s="1288">
        <f t="shared" ref="DT39:DT47" si="71">DU39-SUM(DQ39:DS39)</f>
      </c>
      <c r="DU39" s="1414">
        <v>-9494</v>
      </c>
      <c r="DV39" s="1144">
        <v>-2396</v>
      </c>
      <c r="DW39" s="1144">
        <f>-4918-DV39</f>
      </c>
      <c r="DX39" s="1144">
        <f>-7417-SUM(DV39:DW39)</f>
      </c>
      <c r="DY39" s="1288">
        <f t="shared" ref="DY39:DY47" si="72">DZ39-SUM(DV39:DX39)</f>
      </c>
      <c r="DZ39" s="1414">
        <v>-9917</v>
      </c>
      <c r="EA39" s="1144">
        <v>-2505</v>
      </c>
      <c r="EB39" s="1144">
        <f>-5164-EA39</f>
      </c>
      <c r="EC39" s="1540">
        <f>-7823-SUM(EA39:EB39)</f>
      </c>
      <c r="ED39" s="1288">
        <f t="shared" ref="ED39:ED47" si="73">EE39-SUM(EA39:EC39)</f>
      </c>
      <c r="EE39" s="1414">
        <v>-10481</v>
      </c>
      <c r="EF39" s="1144">
        <v>-2659</v>
      </c>
      <c r="EG39" s="1540">
        <f>-5450-EF39</f>
      </c>
      <c r="EH39" s="1540">
        <f>-8241-SUM(EF39:EG39)</f>
      </c>
      <c r="EI39" s="1288">
        <f t="shared" ref="EI39:EI47" si="74">EJ39-SUM(EF39:EH39)</f>
      </c>
      <c r="EJ39" s="1414">
        <v>-11032</v>
      </c>
      <c r="EK39" s="1144">
        <v>-2787</v>
      </c>
      <c r="EL39" s="1144">
        <f>-5758-EK39</f>
      </c>
      <c r="EM39" s="1144">
        <f>-8728-SUM(EK39:EL39)</f>
      </c>
      <c r="EN39" s="1288">
        <f t="shared" ref="EN39:EN47" si="75">EO39-SUM(EK39:EM39)</f>
      </c>
      <c r="EO39" s="1414">
        <v>-11682</v>
      </c>
      <c r="EP39" s="1144">
        <v>-2942</v>
      </c>
      <c r="EQ39" s="1144">
        <f>-6034-EP39</f>
      </c>
      <c r="ER39" s="1144">
        <f>-8905-EQ39-EP39</f>
      </c>
      <c r="ES39" s="1414">
        <f>-11770-SUM(EP39:ER39)</f>
      </c>
      <c r="ET39" s="1288">
        <f t="shared" ref="ET39:ET47" si="76">SUM(EP39:ES39)</f>
      </c>
      <c r="EU39" s="1144">
        <v>-2869</v>
      </c>
      <c r="EV39" s="1144">
        <f>-5854-SUM(EU39)</f>
      </c>
      <c r="EW39" s="1144">
        <f>-8839-EV39-EU39</f>
      </c>
      <c r="EX39" s="1414">
        <f>-11823-SUM(EU39:EW39)</f>
      </c>
      <c r="EY39" s="1288">
        <f t="shared" ref="EY39:EY47" si="77">SUM(EU39:EX39)</f>
      </c>
      <c r="EZ39" s="1144">
        <v>-2989</v>
      </c>
      <c r="FA39" s="1144">
        <f>-6118-SUM(EZ39)</f>
      </c>
      <c r="FB39" s="1106">
        <f>+-'Balance Sheet'!EZ104</f>
      </c>
      <c r="FC39" s="1288">
        <f>+-'Balance Sheet'!FA104</f>
      </c>
      <c r="FD39" s="1288">
        <f t="shared" ref="FD39:FD47" si="78">SUM(EZ39:FC39)</f>
      </c>
      <c r="FE39" s="1288">
        <f>+-'Balance Sheet'!FC104</f>
      </c>
      <c r="FF39" s="1288">
        <f>+-'Balance Sheet'!FD104</f>
      </c>
      <c r="FG39" s="1288">
        <f>+-'Balance Sheet'!FE104</f>
      </c>
      <c r="FH39" s="1288">
        <f>+-'Balance Sheet'!FF104</f>
      </c>
      <c r="FI39" s="1288">
        <f>+-'Balance Sheet'!FG104</f>
      </c>
    </row>
    <row r="40" spans="1:165">
      <c r="A40" s="10"/>
      <c r="B40" s="130" t="s">
        <v>324</v>
      </c>
      <c r="C40" s="10"/>
      <c r="D40" s="10"/>
      <c r="E40" s="577">
        <v>-209</v>
      </c>
      <c r="F40" s="577">
        <v>-222</v>
      </c>
      <c r="G40" s="577">
        <v>-740</v>
      </c>
      <c r="H40" s="577">
        <v>-632</v>
      </c>
      <c r="I40" s="577">
        <v>-185</v>
      </c>
      <c r="J40" s="577">
        <v>-322</v>
      </c>
      <c r="K40" s="577">
        <v>-102</v>
      </c>
      <c r="L40" s="577">
        <v>-72</v>
      </c>
      <c r="M40" s="577">
        <v>-100</v>
      </c>
      <c r="N40" s="577">
        <v>-138</v>
      </c>
      <c r="O40" s="303">
        <f t="shared" si="52"/>
      </c>
      <c r="P40" s="577">
        <v>-273</v>
      </c>
      <c r="Q40" s="577">
        <v>-83</v>
      </c>
      <c r="R40" s="577">
        <v>-73</v>
      </c>
      <c r="S40" s="577">
        <v>-199</v>
      </c>
      <c r="T40" s="303">
        <f t="shared" si="53"/>
      </c>
      <c r="U40" s="577">
        <v>-347</v>
      </c>
      <c r="V40" s="577">
        <v>-159</v>
      </c>
      <c r="W40" s="577">
        <v>-147</v>
      </c>
      <c r="X40" s="577">
        <v>-277</v>
      </c>
      <c r="Y40" s="303">
        <f t="shared" si="54"/>
      </c>
      <c r="Z40" s="577">
        <v>-131</v>
      </c>
      <c r="AA40" s="577">
        <v>-271</v>
      </c>
      <c r="AB40" s="577">
        <v>-145</v>
      </c>
      <c r="AC40" s="577">
        <v>-293</v>
      </c>
      <c r="AD40" s="303">
        <f t="shared" si="55"/>
      </c>
      <c r="AE40" s="577">
        <v>-208</v>
      </c>
      <c r="AF40" s="577">
        <v>-161</v>
      </c>
      <c r="AG40" s="577">
        <v>-252</v>
      </c>
      <c r="AH40" s="577">
        <v>-352</v>
      </c>
      <c r="AI40" s="303">
        <f t="shared" si="56"/>
      </c>
      <c r="AJ40" s="577">
        <v>-257</v>
      </c>
      <c r="AK40" s="577">
        <v>-372</v>
      </c>
      <c r="AL40" s="577">
        <v>-402</v>
      </c>
      <c r="AM40" s="577">
        <v>-1539</v>
      </c>
      <c r="AN40" s="303">
        <f t="shared" si="57"/>
      </c>
      <c r="AO40" s="577">
        <v>-1899</v>
      </c>
      <c r="AP40" s="577">
        <v>-3356</v>
      </c>
      <c r="AQ40" s="577">
        <v>-926</v>
      </c>
      <c r="AR40" s="577">
        <v>-357</v>
      </c>
      <c r="AS40" s="303">
        <f t="shared" si="58"/>
      </c>
      <c r="AT40" s="577">
        <v>-339</v>
      </c>
      <c r="AU40" s="577">
        <v>-503</v>
      </c>
      <c r="AV40" s="577">
        <v>-99</v>
      </c>
      <c r="AW40" s="577">
        <v>-242</v>
      </c>
      <c r="AX40" s="303">
        <f t="shared" si="59"/>
      </c>
      <c r="AY40" s="577">
        <v>-407</v>
      </c>
      <c r="AZ40" s="577">
        <v>-353</v>
      </c>
      <c r="BA40" s="577">
        <v>-225</v>
      </c>
      <c r="BB40" s="577">
        <v>-399</v>
      </c>
      <c r="BC40" s="303">
        <f t="shared" si="60"/>
      </c>
      <c r="BD40" s="577">
        <v>-654</v>
      </c>
      <c r="BE40" s="577">
        <v>-334</v>
      </c>
      <c r="BF40" s="577">
        <v>-176</v>
      </c>
      <c r="BG40" s="577">
        <v>-553</v>
      </c>
      <c r="BH40" s="303">
        <f t="shared" si="61"/>
      </c>
      <c r="BI40" s="577">
        <v>-401</v>
      </c>
      <c r="BJ40" s="577">
        <v>-2567</v>
      </c>
      <c r="BK40" s="577">
        <v>-2403</v>
      </c>
      <c r="BL40" s="577">
        <v>-1351</v>
      </c>
      <c r="BM40" s="303">
        <f t="shared" si="62"/>
      </c>
      <c r="BN40" s="577">
        <v>-295</v>
      </c>
      <c r="BO40" s="577">
        <v>-444</v>
      </c>
      <c r="BP40" s="577">
        <v>-1842</v>
      </c>
      <c r="BQ40" s="577">
        <v>-3026</v>
      </c>
      <c r="BR40" s="303">
        <f t="shared" si="63"/>
      </c>
      <c r="BS40" s="577">
        <v>-1779</v>
      </c>
      <c r="BT40" s="577">
        <v>-1838</v>
      </c>
      <c r="BU40" s="577">
        <v>-2156</v>
      </c>
      <c r="BV40" s="577">
        <v>-878</v>
      </c>
      <c r="BW40" s="303">
        <f t="shared" si="64"/>
      </c>
      <c r="BX40" s="577">
        <v>-834</v>
      </c>
      <c r="BY40" s="577">
        <f>+-1123-BX40</f>
      </c>
      <c r="BZ40" s="577">
        <v>-49</v>
      </c>
      <c r="CA40" s="577">
        <v>-958</v>
      </c>
      <c r="CB40" s="67">
        <f t="shared" ref="CB40:CB46" si="79">SUM(BX40:CA40)</f>
      </c>
      <c r="CC40" s="577">
        <v>-383</v>
      </c>
      <c r="CD40" s="577">
        <f>-780-CC40</f>
      </c>
      <c r="CE40" s="577">
        <f>-1512-CC40-CD40</f>
      </c>
      <c r="CF40" s="577">
        <f t="shared" si="65"/>
      </c>
      <c r="CG40" s="1143">
        <v>-2797</v>
      </c>
      <c r="CH40" s="1144">
        <v>-435</v>
      </c>
      <c r="CI40" s="1144">
        <f>-929-CH40</f>
      </c>
      <c r="CJ40" s="1144">
        <f>-1672-CH40-CI40</f>
      </c>
      <c r="CK40" s="1144">
        <f>-2525-CH40-CI40-CJ40</f>
      </c>
      <c r="CL40" s="1145">
        <f t="shared" ref="CL40:CL46" si="80">SUM(CH40:CK40)</f>
      </c>
      <c r="CM40" s="1144">
        <v>-67</v>
      </c>
      <c r="CN40" s="1144">
        <f>-12919+12852-CM40</f>
      </c>
      <c r="CO40" s="1144">
        <f>+-12919-CN40-CM40</f>
      </c>
      <c r="CP40" s="1146">
        <f t="shared" si="66"/>
      </c>
      <c r="CQ40" s="1143">
        <v>-12919</v>
      </c>
      <c r="CR40" s="1144">
        <v>0</v>
      </c>
      <c r="CS40" s="1144">
        <f>0-CR40</f>
      </c>
      <c r="CT40" s="1144">
        <f>-3050-CS40-CR40</f>
      </c>
      <c r="CU40" s="1146">
        <f t="shared" si="67"/>
      </c>
      <c r="CV40" s="1143">
        <v>-3538</v>
      </c>
      <c r="CW40" s="1144">
        <v>-774</v>
      </c>
      <c r="CX40" s="1144">
        <f>-1966-CW40</f>
      </c>
      <c r="CY40" s="1144">
        <f>-4381-CX40-CW40</f>
      </c>
      <c r="CZ40" s="1146">
        <f t="shared" si="68"/>
      </c>
      <c r="DA40" s="1143">
        <v>-7124</v>
      </c>
      <c r="DB40" s="1144">
        <v>-2198</v>
      </c>
      <c r="DC40" s="1144">
        <f>-3094-DB40</f>
      </c>
      <c r="DD40" s="1144">
        <f>-3394-DC40-DB40</f>
      </c>
      <c r="DE40" s="1146">
        <f t="shared" si="69"/>
      </c>
      <c r="DF40" s="1143">
        <v>-5290</v>
      </c>
      <c r="DG40" s="1144">
        <v>-2389</v>
      </c>
      <c r="DH40" s="1144">
        <f>-4751-DG40</f>
      </c>
      <c r="DI40" s="1144">
        <f>-6954-DH40-DG40</f>
      </c>
      <c r="DJ40" s="1146">
        <f t="shared" si="70"/>
      </c>
      <c r="DK40" s="1143">
        <v>-8979</v>
      </c>
      <c r="DL40" s="1144">
        <v>-3342</v>
      </c>
      <c r="DM40" s="1144">
        <f>-5232-DL40</f>
      </c>
      <c r="DN40" s="1144">
        <f>-5543-DM40-DL40</f>
      </c>
      <c r="DO40" s="1146">
        <f>+DP40-SUM(DL40:DN40)</f>
      </c>
      <c r="DP40" s="1143">
        <v>-6358</v>
      </c>
      <c r="DQ40" s="1144">
        <v>-1444</v>
      </c>
      <c r="DR40" s="1144">
        <f>-1589-DQ40</f>
      </c>
      <c r="DS40" s="1144">
        <f>-2060-DR40-DQ40</f>
      </c>
      <c r="DT40" s="1288">
        <f t="shared" si="71"/>
      </c>
      <c r="DU40" s="1414">
        <v>-5868</v>
      </c>
      <c r="DV40" s="1144">
        <v>-2206</v>
      </c>
      <c r="DW40" s="1144">
        <f>-4692-DV40</f>
      </c>
      <c r="DX40" s="1144">
        <f>-6320-SUM(DV40:DW40)</f>
      </c>
      <c r="DY40" s="1288">
        <f t="shared" si="72"/>
      </c>
      <c r="DZ40" s="1414">
        <v>-6746</v>
      </c>
      <c r="EA40" s="1144">
        <v>-1711</v>
      </c>
      <c r="EB40" s="1144">
        <f>-2417-EA40</f>
      </c>
      <c r="EC40" s="1540">
        <f>-2900-SUM(EA40:EB40)</f>
      </c>
      <c r="ED40" s="1288">
        <f t="shared" si="73"/>
      </c>
      <c r="EE40" s="1414">
        <v>-3221</v>
      </c>
      <c r="EF40" s="1144">
        <v>-1438</v>
      </c>
      <c r="EG40" s="1540">
        <f>-2069-EF40</f>
      </c>
      <c r="EH40" s="1540">
        <f>-2460-SUM(EF40:EG40)</f>
      </c>
      <c r="EI40" s="1288">
        <f t="shared" si="74"/>
      </c>
      <c r="EJ40" s="1414">
        <v>-3456</v>
      </c>
      <c r="EK40" s="1144">
        <v>-1577</v>
      </c>
      <c r="EL40" s="1144">
        <f>-2550-EK40</f>
      </c>
      <c r="EM40" s="1144">
        <f>-4715-SUM(EK40:EL40)</f>
      </c>
      <c r="EN40" s="1288">
        <f t="shared" si="75"/>
      </c>
      <c r="EO40" s="1414">
        <v>-6035</v>
      </c>
      <c r="EP40" s="1144">
        <v>-3537</v>
      </c>
      <c r="EQ40" s="1144">
        <f>-3918-EP40</f>
      </c>
      <c r="ER40" s="1144">
        <f>-4838-EQ40-EP40</f>
      </c>
      <c r="ES40" s="1414">
        <f>-5054-SUM(EP40:ER40)</f>
      </c>
      <c r="ET40" s="1288">
        <f t="shared" si="76"/>
      </c>
      <c r="EU40" s="1144">
        <v>-1475</v>
      </c>
      <c r="EV40" s="1144">
        <f>-1611-SUM(EU40)</f>
      </c>
      <c r="EW40" s="1144">
        <f>-2150-EV40-EU40</f>
      </c>
      <c r="EX40" s="1414">
        <f>-2432-SUM(EU40:EW40)</f>
      </c>
      <c r="EY40" s="1288">
        <f t="shared" si="77"/>
      </c>
      <c r="EZ40" s="1144">
        <v>-2127</v>
      </c>
      <c r="FA40" s="1144">
        <f>-2127-SUM(EZ40)</f>
      </c>
      <c r="FB40" s="1106">
        <f>+'Balance Sheet'!EZ45-'Balance Sheet'!EY45+'Balance Sheet'!EZ51-'Balance Sheet'!EY51</f>
      </c>
      <c r="FC40" s="1288">
        <f>+'Balance Sheet'!FA45-'Balance Sheet'!EZ45+'Balance Sheet'!FA51-'Balance Sheet'!EZ51</f>
      </c>
      <c r="FD40" s="1288">
        <f t="shared" si="78"/>
      </c>
      <c r="FE40" s="1288">
        <f>+'Balance Sheet'!FC45-'Balance Sheet'!FB45+'Balance Sheet'!FC51-'Balance Sheet'!FB51</f>
      </c>
      <c r="FF40" s="1288">
        <f>+'Balance Sheet'!FD45-'Balance Sheet'!FC45+'Balance Sheet'!FD51-'Balance Sheet'!FC51</f>
      </c>
      <c r="FG40" s="1288">
        <f>+'Balance Sheet'!FE45-'Balance Sheet'!FD45+'Balance Sheet'!FE51-'Balance Sheet'!FD51</f>
      </c>
      <c r="FH40" s="1288">
        <f>+'Balance Sheet'!FF45-'Balance Sheet'!FE45+'Balance Sheet'!FF51-'Balance Sheet'!FE51</f>
      </c>
      <c r="FI40" s="1288">
        <f>+'Balance Sheet'!FG45-'Balance Sheet'!FF45+'Balance Sheet'!FG51-'Balance Sheet'!FF51</f>
      </c>
    </row>
    <row r="41" spans="1:165" outlineLevel="1">
      <c r="A41" s="10"/>
      <c r="B41" s="130" t="s">
        <v>339</v>
      </c>
      <c r="C41" s="10"/>
      <c r="D41" s="10"/>
      <c r="E41" s="577">
        <v>-100</v>
      </c>
      <c r="F41" s="577">
        <v>0</v>
      </c>
      <c r="G41" s="577">
        <v>0</v>
      </c>
      <c r="H41" s="577">
        <v>0</v>
      </c>
      <c r="I41" s="577">
        <v>0</v>
      </c>
      <c r="J41" s="577">
        <v>0</v>
      </c>
      <c r="K41" s="577">
        <v>0</v>
      </c>
      <c r="L41" s="577"/>
      <c r="M41" s="577">
        <v>0</v>
      </c>
      <c r="N41" s="577">
        <v>0</v>
      </c>
      <c r="O41" s="303">
        <f t="shared" si="52"/>
      </c>
      <c r="P41" s="577">
        <v>0</v>
      </c>
      <c r="Q41" s="577">
        <v>0</v>
      </c>
      <c r="R41" s="577">
        <v>0</v>
      </c>
      <c r="S41" s="577">
        <v>0</v>
      </c>
      <c r="T41" s="303">
        <f t="shared" si="53"/>
      </c>
      <c r="U41" s="577">
        <v>0</v>
      </c>
      <c r="V41" s="577">
        <v>0</v>
      </c>
      <c r="W41" s="577">
        <v>0</v>
      </c>
      <c r="X41" s="577">
        <v>0</v>
      </c>
      <c r="Y41" s="303">
        <f t="shared" si="54"/>
      </c>
      <c r="Z41" s="577">
        <v>0</v>
      </c>
      <c r="AA41" s="577">
        <v>0</v>
      </c>
      <c r="AB41" s="577">
        <v>0</v>
      </c>
      <c r="AC41" s="577">
        <v>0</v>
      </c>
      <c r="AD41" s="303">
        <f t="shared" si="55"/>
      </c>
      <c r="AE41" s="577">
        <v>0</v>
      </c>
      <c r="AF41" s="577">
        <v>0</v>
      </c>
      <c r="AG41" s="577">
        <v>0</v>
      </c>
      <c r="AH41" s="577">
        <v>0</v>
      </c>
      <c r="AI41" s="303">
        <f t="shared" si="56"/>
      </c>
      <c r="AJ41" s="577">
        <v>0</v>
      </c>
      <c r="AK41" s="577">
        <v>0</v>
      </c>
      <c r="AL41" s="577">
        <v>0</v>
      </c>
      <c r="AM41" s="577">
        <v>0</v>
      </c>
      <c r="AN41" s="303">
        <f t="shared" si="57"/>
      </c>
      <c r="AO41" s="577">
        <v>0</v>
      </c>
      <c r="AP41" s="577">
        <v>0</v>
      </c>
      <c r="AQ41" s="577">
        <v>0</v>
      </c>
      <c r="AR41" s="577">
        <v>0</v>
      </c>
      <c r="AS41" s="303">
        <f t="shared" si="58"/>
      </c>
      <c r="AT41" s="577">
        <v>0</v>
      </c>
      <c r="AU41" s="577">
        <v>0</v>
      </c>
      <c r="AV41" s="577">
        <v>0</v>
      </c>
      <c r="AW41" s="577">
        <v>0</v>
      </c>
      <c r="AX41" s="303">
        <f t="shared" si="59"/>
      </c>
      <c r="AY41" s="577">
        <v>0</v>
      </c>
      <c r="AZ41" s="577">
        <v>0</v>
      </c>
      <c r="BA41" s="577">
        <v>0</v>
      </c>
      <c r="BB41" s="577">
        <v>0</v>
      </c>
      <c r="BC41" s="303">
        <f t="shared" si="60"/>
      </c>
      <c r="BD41" s="577">
        <v>0</v>
      </c>
      <c r="BE41" s="577">
        <v>0</v>
      </c>
      <c r="BF41" s="577">
        <v>0</v>
      </c>
      <c r="BG41" s="577">
        <v>0</v>
      </c>
      <c r="BH41" s="303">
        <f t="shared" si="61"/>
      </c>
      <c r="BI41" s="577">
        <v>0</v>
      </c>
      <c r="BJ41" s="577">
        <v>0</v>
      </c>
      <c r="BK41" s="577">
        <v>0</v>
      </c>
      <c r="BL41" s="577">
        <v>0</v>
      </c>
      <c r="BM41" s="303">
        <f t="shared" si="62"/>
      </c>
      <c r="BN41" s="577">
        <v>0</v>
      </c>
      <c r="BO41" s="577">
        <v>0</v>
      </c>
      <c r="BP41" s="577">
        <v>0</v>
      </c>
      <c r="BQ41" s="577">
        <v>0</v>
      </c>
      <c r="BR41" s="303">
        <f t="shared" si="63"/>
      </c>
      <c r="BS41" s="577">
        <v>0</v>
      </c>
      <c r="BT41" s="577">
        <v>0</v>
      </c>
      <c r="BU41" s="577">
        <v>0</v>
      </c>
      <c r="BV41" s="577">
        <v>0</v>
      </c>
      <c r="BW41" s="303">
        <f t="shared" si="64"/>
      </c>
      <c r="BX41" s="577">
        <v>0</v>
      </c>
      <c r="BY41" s="577">
        <v>0</v>
      </c>
      <c r="BZ41" s="577">
        <v>0</v>
      </c>
      <c r="CA41" s="577">
        <v>0</v>
      </c>
      <c r="CB41" s="67">
        <f t="shared" si="79"/>
      </c>
      <c r="CC41" s="577">
        <v>0</v>
      </c>
      <c r="CD41" s="577">
        <v>0</v>
      </c>
      <c r="CE41" s="577">
        <v>0</v>
      </c>
      <c r="CF41" s="577">
        <f t="shared" si="65"/>
      </c>
      <c r="CG41" s="1143">
        <v>0</v>
      </c>
      <c r="CH41" s="1144">
        <v>0</v>
      </c>
      <c r="CI41" s="1144">
        <v>0</v>
      </c>
      <c r="CJ41" s="1144">
        <v>0</v>
      </c>
      <c r="CK41" s="1144">
        <v>0</v>
      </c>
      <c r="CL41" s="1145">
        <f t="shared" si="80"/>
      </c>
      <c r="CM41" s="1144"/>
      <c r="CN41" s="1144"/>
      <c r="CO41" s="1144"/>
      <c r="CP41" s="1146"/>
      <c r="CQ41" s="1143"/>
      <c r="CR41" s="1144"/>
      <c r="CS41" s="1144"/>
      <c r="CT41" s="1144"/>
      <c r="CU41" s="1146"/>
      <c r="CV41" s="1145"/>
      <c r="CW41" s="1147"/>
      <c r="CX41" s="1147"/>
      <c r="CY41" s="1147"/>
      <c r="CZ41" s="1146"/>
      <c r="DA41" s="1145"/>
      <c r="DB41" s="1144">
        <v>0</v>
      </c>
      <c r="DC41" s="1144">
        <v>0</v>
      </c>
      <c r="DD41" s="1144">
        <v>0</v>
      </c>
      <c r="DE41" s="1146"/>
      <c r="DF41" s="1145"/>
      <c r="DG41" s="1144">
        <v>0</v>
      </c>
      <c r="DH41" s="1144">
        <v>0</v>
      </c>
      <c r="DI41" s="1144">
        <v>0</v>
      </c>
      <c r="DJ41" s="1146"/>
      <c r="DK41" s="1143">
        <v>0</v>
      </c>
      <c r="DL41" s="1144">
        <v>0</v>
      </c>
      <c r="DM41" s="1144">
        <v>0</v>
      </c>
      <c r="DN41" s="1144">
        <v>0</v>
      </c>
      <c r="DO41" s="1146"/>
      <c r="DP41" s="1143">
        <v>0</v>
      </c>
      <c r="DQ41" s="1144">
        <v>0</v>
      </c>
      <c r="DR41" s="1144">
        <v>0</v>
      </c>
      <c r="DS41" s="1144">
        <v>0</v>
      </c>
      <c r="DT41" s="1288">
        <f t="shared" si="71"/>
      </c>
      <c r="DU41" s="1414">
        <v>0</v>
      </c>
      <c r="DV41" s="1144">
        <v>0</v>
      </c>
      <c r="DW41" s="1144">
        <v>0</v>
      </c>
      <c r="DX41" s="1144">
        <v>0</v>
      </c>
      <c r="DY41" s="1288">
        <f t="shared" si="72"/>
      </c>
      <c r="DZ41" s="1414">
        <v>0</v>
      </c>
      <c r="EA41" s="1144">
        <v>0</v>
      </c>
      <c r="EB41" s="1144">
        <v>0</v>
      </c>
      <c r="EC41" s="1540">
        <v>0</v>
      </c>
      <c r="ED41" s="1288">
        <f t="shared" si="73"/>
      </c>
      <c r="EE41" s="1414">
        <v>0</v>
      </c>
      <c r="EF41" s="1144">
        <v>0</v>
      </c>
      <c r="EG41" s="1540">
        <v>0</v>
      </c>
      <c r="EH41" s="1540">
        <v>0</v>
      </c>
      <c r="EI41" s="1288">
        <f t="shared" si="74"/>
      </c>
      <c r="EJ41" s="1414">
        <v>0</v>
      </c>
      <c r="EK41" s="1144">
        <v>0</v>
      </c>
      <c r="EL41" s="1144">
        <v>0</v>
      </c>
      <c r="EM41" s="1144">
        <v>0</v>
      </c>
      <c r="EN41" s="1288">
        <f t="shared" si="75"/>
      </c>
      <c r="EO41" s="1414">
        <v>0</v>
      </c>
      <c r="EP41" s="1144">
        <v>0</v>
      </c>
      <c r="EQ41" s="1144">
        <v>0</v>
      </c>
      <c r="ER41" s="1144">
        <v>0</v>
      </c>
      <c r="ES41" s="1414">
        <v>0</v>
      </c>
      <c r="ET41" s="1288">
        <f t="shared" si="76"/>
      </c>
      <c r="EU41" s="1144">
        <v>0</v>
      </c>
      <c r="EV41" s="1144">
        <f>0-SUM(EU41)</f>
      </c>
      <c r="EW41" s="1144">
        <v>0</v>
      </c>
      <c r="EX41" s="1414">
        <v>0</v>
      </c>
      <c r="EY41" s="1288">
        <f t="shared" si="77"/>
      </c>
      <c r="EZ41" s="1144">
        <v>0</v>
      </c>
      <c r="FA41" s="1144">
        <f>0-SUM(EZ41)</f>
      </c>
      <c r="FB41" s="1106">
        <v>0</v>
      </c>
      <c r="FC41" s="1288">
        <v>0</v>
      </c>
      <c r="FD41" s="1288">
        <f t="shared" si="78"/>
      </c>
      <c r="FE41" s="1288">
        <v>0</v>
      </c>
      <c r="FF41" s="1288">
        <v>0</v>
      </c>
      <c r="FG41" s="1288">
        <v>0</v>
      </c>
      <c r="FH41" s="1288">
        <v>0</v>
      </c>
      <c r="FI41" s="1288">
        <v>0</v>
      </c>
    </row>
    <row r="42" spans="1:165">
      <c r="A42" s="10"/>
      <c r="B42" s="130" t="s">
        <v>340</v>
      </c>
      <c r="C42" s="10"/>
      <c r="D42" s="10"/>
      <c r="E42" s="577">
        <v>542</v>
      </c>
      <c r="F42" s="577">
        <v>726</v>
      </c>
      <c r="G42" s="577">
        <v>409</v>
      </c>
      <c r="H42" s="577">
        <v>297</v>
      </c>
      <c r="I42" s="577">
        <v>328</v>
      </c>
      <c r="J42" s="577">
        <v>197</v>
      </c>
      <c r="K42" s="577">
        <v>58</v>
      </c>
      <c r="L42" s="577">
        <v>42</v>
      </c>
      <c r="M42" s="577">
        <v>85</v>
      </c>
      <c r="N42" s="577">
        <v>97</v>
      </c>
      <c r="O42" s="303">
        <f t="shared" si="52"/>
      </c>
      <c r="P42" s="577">
        <v>101</v>
      </c>
      <c r="Q42" s="577">
        <v>52</v>
      </c>
      <c r="R42" s="577">
        <v>87</v>
      </c>
      <c r="S42" s="577">
        <v>60</v>
      </c>
      <c r="T42" s="303">
        <f t="shared" si="53"/>
      </c>
      <c r="U42" s="577">
        <v>76</v>
      </c>
      <c r="V42" s="577">
        <v>83</v>
      </c>
      <c r="W42" s="577">
        <v>15</v>
      </c>
      <c r="X42" s="577">
        <v>2250</v>
      </c>
      <c r="Y42" s="303">
        <f t="shared" si="54"/>
      </c>
      <c r="Z42" s="577">
        <v>93</v>
      </c>
      <c r="AA42" s="577">
        <v>2470</v>
      </c>
      <c r="AB42" s="577">
        <v>498</v>
      </c>
      <c r="AC42" s="577">
        <v>147</v>
      </c>
      <c r="AD42" s="303">
        <f t="shared" si="55"/>
      </c>
      <c r="AE42" s="577">
        <v>280</v>
      </c>
      <c r="AF42" s="577">
        <v>-118</v>
      </c>
      <c r="AG42" s="577">
        <v>329</v>
      </c>
      <c r="AH42" s="577">
        <v>323</v>
      </c>
      <c r="AI42" s="303">
        <f t="shared" si="56"/>
      </c>
      <c r="AJ42" s="577">
        <v>116</v>
      </c>
      <c r="AK42" s="577">
        <v>71</v>
      </c>
      <c r="AL42" s="577">
        <v>48</v>
      </c>
      <c r="AM42" s="577">
        <v>103</v>
      </c>
      <c r="AN42" s="303">
        <f t="shared" si="57"/>
      </c>
      <c r="AO42" s="577">
        <v>272</v>
      </c>
      <c r="AP42" s="577">
        <v>1917</v>
      </c>
      <c r="AQ42" s="577">
        <v>252</v>
      </c>
      <c r="AR42" s="577">
        <v>-82</v>
      </c>
      <c r="AS42" s="303">
        <f t="shared" si="58"/>
      </c>
      <c r="AT42" s="577">
        <v>221</v>
      </c>
      <c r="AU42" s="577">
        <v>1220</v>
      </c>
      <c r="AV42" s="577">
        <v>192</v>
      </c>
      <c r="AW42" s="577">
        <v>1429</v>
      </c>
      <c r="AX42" s="303">
        <f t="shared" si="59"/>
      </c>
      <c r="AY42" s="577">
        <v>147</v>
      </c>
      <c r="AZ42" s="577">
        <v>185</v>
      </c>
      <c r="BA42" s="577">
        <v>-19</v>
      </c>
      <c r="BB42" s="577">
        <v>201</v>
      </c>
      <c r="BC42" s="303">
        <f t="shared" si="60"/>
      </c>
      <c r="BD42" s="577">
        <v>173</v>
      </c>
      <c r="BE42" s="577">
        <v>178</v>
      </c>
      <c r="BF42" s="577">
        <v>186</v>
      </c>
      <c r="BG42" s="577">
        <v>678</v>
      </c>
      <c r="BH42" s="303">
        <f t="shared" si="61"/>
      </c>
      <c r="BI42" s="577">
        <v>357</v>
      </c>
      <c r="BJ42" s="577">
        <v>143</v>
      </c>
      <c r="BK42" s="577">
        <v>99</v>
      </c>
      <c r="BL42" s="577">
        <v>5786</v>
      </c>
      <c r="BM42" s="303">
        <f t="shared" si="62"/>
      </c>
      <c r="BN42" s="577">
        <v>8117</v>
      </c>
      <c r="BO42" s="577">
        <v>7179</v>
      </c>
      <c r="BP42" s="577">
        <v>4828</v>
      </c>
      <c r="BQ42" s="577">
        <v>-498</v>
      </c>
      <c r="BR42" s="303">
        <f t="shared" si="63"/>
      </c>
      <c r="BS42" s="577">
        <v>2037</v>
      </c>
      <c r="BT42" s="577">
        <v>1339</v>
      </c>
      <c r="BU42" s="577">
        <v>1818</v>
      </c>
      <c r="BV42" s="577">
        <v>3236</v>
      </c>
      <c r="BW42" s="303">
        <f t="shared" si="64"/>
      </c>
      <c r="BX42" s="577">
        <v>3276</v>
      </c>
      <c r="BY42" s="577">
        <f>3082-BX42</f>
      </c>
      <c r="BZ42" s="577">
        <v>821</v>
      </c>
      <c r="CA42" s="577">
        <v>5581</v>
      </c>
      <c r="CB42" s="67">
        <f t="shared" si="79"/>
      </c>
      <c r="CC42" s="577">
        <v>715</v>
      </c>
      <c r="CD42" s="577">
        <f>956-CC42</f>
      </c>
      <c r="CE42" s="577">
        <f>1896-CC42-CD42</f>
      </c>
      <c r="CF42" s="577">
        <f t="shared" si="65"/>
      </c>
      <c r="CG42" s="1143">
        <v>7874</v>
      </c>
      <c r="CH42" s="1144">
        <v>3644</v>
      </c>
      <c r="CI42" s="1144">
        <f>3586-CH42</f>
      </c>
      <c r="CJ42" s="1144">
        <f>7216-CH42-CI42</f>
      </c>
      <c r="CK42" s="1144">
        <f>9729-CH42-CI42-CJ42</f>
      </c>
      <c r="CL42" s="1145">
        <f t="shared" si="80"/>
      </c>
      <c r="CM42" s="1144">
        <v>1547</v>
      </c>
      <c r="CN42" s="1144">
        <f>2518-CM42</f>
      </c>
      <c r="CO42" s="1144">
        <f>3606-CN42-CM42</f>
      </c>
      <c r="CP42" s="1146">
        <f t="shared" si="66"/>
      </c>
      <c r="CQ42" s="1143">
        <v>3268</v>
      </c>
      <c r="CR42" s="1144">
        <v>475</v>
      </c>
      <c r="CS42" s="1144">
        <f>1682-CR42</f>
      </c>
      <c r="CT42" s="1144">
        <f>1770-CS42-CR42</f>
      </c>
      <c r="CU42" s="1146">
        <f t="shared" si="67"/>
      </c>
      <c r="CV42" s="1143">
        <v>1411</v>
      </c>
      <c r="CW42" s="1144">
        <v>278</v>
      </c>
      <c r="CX42" s="1144">
        <f>1668-CW42</f>
      </c>
      <c r="CY42" s="1144">
        <f>629-CX42-CW42</f>
      </c>
      <c r="CZ42" s="1146">
        <f t="shared" si="68"/>
      </c>
      <c r="DA42" s="1143">
        <v>1863</v>
      </c>
      <c r="DB42" s="1144">
        <v>589</v>
      </c>
      <c r="DC42" s="1144">
        <f>1024-DB42</f>
      </c>
      <c r="DD42" s="1144">
        <f>2107-DC42-DB42</f>
      </c>
      <c r="DE42" s="1146">
        <f t="shared" si="69"/>
      </c>
      <c r="DF42" s="1143">
        <v>2416</v>
      </c>
      <c r="DG42" s="1144">
        <v>95</v>
      </c>
      <c r="DH42" s="1144">
        <f>118-DG42</f>
      </c>
      <c r="DI42" s="1144">
        <f>149-DH42-DG42</f>
      </c>
      <c r="DJ42" s="1146">
        <f t="shared" si="70"/>
      </c>
      <c r="DK42" s="1143">
        <v>111</v>
      </c>
      <c r="DL42" s="1144">
        <v>719</v>
      </c>
      <c r="DM42" s="1144">
        <f>2635-DL42</f>
      </c>
      <c r="DN42" s="1144">
        <f>4760-DM42-DL42</f>
      </c>
      <c r="DO42" s="1146">
        <f t="shared" ref="DO42:DO47" si="81">+DP42-SUM(DL42:DN42)</f>
      </c>
      <c r="DP42" s="1143">
        <v>869</v>
      </c>
      <c r="DQ42" s="1144">
        <v>26</v>
      </c>
      <c r="DR42" s="1144">
        <f>27-DQ42</f>
      </c>
      <c r="DS42" s="1144">
        <f>40-DR42-DQ42</f>
      </c>
      <c r="DT42" s="1288">
        <f t="shared" si="71"/>
      </c>
      <c r="DU42" s="1414">
        <v>80</v>
      </c>
      <c r="DV42" s="1144">
        <v>13</v>
      </c>
      <c r="DW42" s="1144">
        <f>15-DV42</f>
      </c>
      <c r="DX42" s="1144">
        <f>148-SUM(DV42:DW42)</f>
      </c>
      <c r="DY42" s="1288">
        <f t="shared" si="72"/>
      </c>
      <c r="DZ42" s="1414">
        <v>39</v>
      </c>
      <c r="EA42" s="1144">
        <v>10</v>
      </c>
      <c r="EB42" s="1144">
        <f>2717-EA42</f>
      </c>
      <c r="EC42" s="1540">
        <f>3335-SUM(EA42:EB42)</f>
      </c>
      <c r="ED42" s="1288">
        <f t="shared" si="73"/>
      </c>
      <c r="EE42" s="1414">
        <v>3391</v>
      </c>
      <c r="EF42" s="1144">
        <v>23</v>
      </c>
      <c r="EG42" s="1540">
        <f>498-EF42</f>
      </c>
      <c r="EH42" s="1540">
        <f>1283-SUM(EF42:EG42)</f>
      </c>
      <c r="EI42" s="1288">
        <f t="shared" si="74"/>
      </c>
      <c r="EJ42" s="1414">
        <v>1997</v>
      </c>
      <c r="EK42" s="1144">
        <v>3019</v>
      </c>
      <c r="EL42" s="1144">
        <f>4371-EK42</f>
      </c>
      <c r="EM42" s="1144">
        <f>7099-SUM(EK42:EL42)</f>
      </c>
      <c r="EN42" s="1288">
        <f t="shared" si="75"/>
      </c>
      <c r="EO42" s="1414">
        <v>16134</v>
      </c>
      <c r="EP42" s="1144">
        <v>11094</v>
      </c>
      <c r="EQ42" s="1144">
        <f>12221-EP42</f>
      </c>
      <c r="ER42" s="1144">
        <f>12462-EQ42-EP42</f>
      </c>
      <c r="ES42" s="1414">
        <f>13743-SUM(EP42:ER42)</f>
      </c>
      <c r="ET42" s="1288">
        <f t="shared" si="76"/>
      </c>
      <c r="EU42" s="1144">
        <v>5263</v>
      </c>
      <c r="EV42" s="1144">
        <f>13976-SUM(EU42)</f>
      </c>
      <c r="EW42" s="1144">
        <f>11984-EV42-EU42</f>
      </c>
      <c r="EX42" s="1414">
        <f>15277-SUM(EU42:EW42)</f>
      </c>
      <c r="EY42" s="1288">
        <f t="shared" si="77"/>
      </c>
      <c r="EZ42" s="1144">
        <v>8784</v>
      </c>
      <c r="FA42" s="1144">
        <f>9349-SUM(EZ42)</f>
      </c>
      <c r="FB42" s="1106">
        <f>MAX('Balance Sheet'!EZ31-'Balance Sheet'!EY31,0)</f>
      </c>
      <c r="FC42" s="1288">
        <f>MAX('Balance Sheet'!FA31-'Balance Sheet'!EZ31,0)</f>
      </c>
      <c r="FD42" s="1288">
        <f t="shared" si="78"/>
      </c>
      <c r="FE42" s="1288">
        <f>MAX('Balance Sheet'!FC31-'Balance Sheet'!FB31,0)</f>
      </c>
      <c r="FF42" s="1288">
        <f>MAX('Balance Sheet'!FD31-'Balance Sheet'!FC31,0)</f>
      </c>
      <c r="FG42" s="1288">
        <f>MAX('Balance Sheet'!FE31-'Balance Sheet'!FD31,0)</f>
      </c>
      <c r="FH42" s="1288">
        <f>MAX('Balance Sheet'!FF31-'Balance Sheet'!FE31,0)</f>
      </c>
      <c r="FI42" s="1288">
        <f>MAX('Balance Sheet'!FG31-'Balance Sheet'!FF31,0)</f>
      </c>
    </row>
    <row r="43" spans="1:165">
      <c r="A43" s="10"/>
      <c r="B43" s="130" t="s">
        <v>341</v>
      </c>
      <c r="C43" s="10"/>
      <c r="D43" s="10"/>
      <c r="E43" s="577">
        <v>-261</v>
      </c>
      <c r="F43" s="577">
        <v>-1125</v>
      </c>
      <c r="G43" s="577">
        <v>-237</v>
      </c>
      <c r="H43" s="577">
        <v>-336</v>
      </c>
      <c r="I43" s="577">
        <v>-263</v>
      </c>
      <c r="J43" s="577">
        <v>-634</v>
      </c>
      <c r="K43" s="577">
        <v>-41</v>
      </c>
      <c r="L43" s="577">
        <v>-37</v>
      </c>
      <c r="M43" s="577">
        <v>-9</v>
      </c>
      <c r="N43" s="577">
        <v>-41</v>
      </c>
      <c r="O43" s="303">
        <f t="shared" si="52"/>
      </c>
      <c r="P43" s="577">
        <v>-133</v>
      </c>
      <c r="Q43" s="577">
        <v>-20</v>
      </c>
      <c r="R43" s="577">
        <v>-32</v>
      </c>
      <c r="S43" s="577">
        <v>3</v>
      </c>
      <c r="T43" s="303">
        <f t="shared" si="53"/>
      </c>
      <c r="U43" s="577">
        <v>-120</v>
      </c>
      <c r="V43" s="577">
        <v>-43</v>
      </c>
      <c r="W43" s="577">
        <v>-30</v>
      </c>
      <c r="X43" s="577">
        <v>-33</v>
      </c>
      <c r="Y43" s="303">
        <f t="shared" si="54"/>
      </c>
      <c r="Z43" s="577">
        <v>-249</v>
      </c>
      <c r="AA43" s="577">
        <v>-2392</v>
      </c>
      <c r="AB43" s="577">
        <v>-1635</v>
      </c>
      <c r="AC43" s="577">
        <v>213</v>
      </c>
      <c r="AD43" s="303">
        <f t="shared" si="55"/>
      </c>
      <c r="AE43" s="577">
        <v>-865</v>
      </c>
      <c r="AF43" s="577">
        <v>-221</v>
      </c>
      <c r="AG43" s="577">
        <v>-273</v>
      </c>
      <c r="AH43" s="577">
        <v>-126</v>
      </c>
      <c r="AI43" s="303">
        <f t="shared" si="56"/>
      </c>
      <c r="AJ43" s="577">
        <v>-645</v>
      </c>
      <c r="AK43" s="577">
        <v>-293</v>
      </c>
      <c r="AL43" s="577">
        <v>-95</v>
      </c>
      <c r="AM43" s="577">
        <v>-76</v>
      </c>
      <c r="AN43" s="303">
        <f t="shared" si="57"/>
      </c>
      <c r="AO43" s="577">
        <v>-156</v>
      </c>
      <c r="AP43" s="577">
        <v>-63</v>
      </c>
      <c r="AQ43" s="577">
        <v>-242</v>
      </c>
      <c r="AR43" s="577">
        <v>-99</v>
      </c>
      <c r="AS43" s="303">
        <f t="shared" si="58"/>
      </c>
      <c r="AT43" s="577">
        <v>-354</v>
      </c>
      <c r="AU43" s="577">
        <v>-82</v>
      </c>
      <c r="AV43" s="577">
        <v>-1185</v>
      </c>
      <c r="AW43" s="577">
        <v>-2513</v>
      </c>
      <c r="AX43" s="303">
        <f t="shared" si="59"/>
      </c>
      <c r="AY43" s="577">
        <v>-675</v>
      </c>
      <c r="AZ43" s="577">
        <v>-236</v>
      </c>
      <c r="BA43" s="577">
        <v>-203</v>
      </c>
      <c r="BB43" s="577">
        <v>-177</v>
      </c>
      <c r="BC43" s="303">
        <f t="shared" si="60"/>
      </c>
      <c r="BD43" s="577">
        <v>-144</v>
      </c>
      <c r="BE43" s="577">
        <v>-170</v>
      </c>
      <c r="BF43" s="577">
        <v>-288</v>
      </c>
      <c r="BG43" s="577">
        <v>-130</v>
      </c>
      <c r="BH43" s="303">
        <f t="shared" si="61"/>
      </c>
      <c r="BI43" s="577">
        <v>-267</v>
      </c>
      <c r="BJ43" s="577">
        <v>-456</v>
      </c>
      <c r="BK43" s="577">
        <v>-416</v>
      </c>
      <c r="BL43" s="577">
        <v>-1494</v>
      </c>
      <c r="BM43" s="303">
        <f t="shared" si="62"/>
      </c>
      <c r="BN43" s="577">
        <v>-8051</v>
      </c>
      <c r="BO43" s="577">
        <v>-7398</v>
      </c>
      <c r="BP43" s="577">
        <v>-6012</v>
      </c>
      <c r="BQ43" s="577">
        <v>-230</v>
      </c>
      <c r="BR43" s="303">
        <f t="shared" si="63"/>
      </c>
      <c r="BS43" s="577">
        <v>-448</v>
      </c>
      <c r="BT43" s="577">
        <v>-389</v>
      </c>
      <c r="BU43" s="577">
        <v>-812</v>
      </c>
      <c r="BV43" s="577">
        <v>-5670</v>
      </c>
      <c r="BW43" s="303">
        <f t="shared" si="64"/>
      </c>
      <c r="BX43" s="577">
        <v>-1057</v>
      </c>
      <c r="BY43" s="577">
        <f>+-1331-BX43</f>
      </c>
      <c r="BZ43" s="577">
        <v>-2681</v>
      </c>
      <c r="CA43" s="577">
        <v>-2779</v>
      </c>
      <c r="CB43" s="67">
        <f t="shared" si="79"/>
      </c>
      <c r="CC43" s="577">
        <v>-3043</v>
      </c>
      <c r="CD43" s="577">
        <f>-3598-CC43</f>
      </c>
      <c r="CE43" s="577">
        <f>-5390-CC43-CD43</f>
      </c>
      <c r="CF43" s="577">
        <f t="shared" si="65"/>
      </c>
      <c r="CG43" s="1143">
        <v>-6565</v>
      </c>
      <c r="CH43" s="1144">
        <v>-2744</v>
      </c>
      <c r="CI43" s="1144">
        <f>-6194-CH43</f>
      </c>
      <c r="CJ43" s="1144">
        <f>-10044-CH43-CI43</f>
      </c>
      <c r="CK43" s="1144">
        <f>-11200-CH43-CI43-CJ43</f>
      </c>
      <c r="CL43" s="1145">
        <f t="shared" si="80"/>
      </c>
      <c r="CM43" s="1144">
        <v>-1790</v>
      </c>
      <c r="CN43" s="1144">
        <f>-4780-CM43</f>
      </c>
      <c r="CO43" s="1144">
        <f>-5780-CN43-CM43</f>
      </c>
      <c r="CP43" s="1146">
        <f t="shared" si="66"/>
      </c>
      <c r="CQ43" s="1143">
        <v>-6175</v>
      </c>
      <c r="CR43" s="1144">
        <v>-704</v>
      </c>
      <c r="CS43" s="1144">
        <f>-1274-CR43</f>
      </c>
      <c r="CT43" s="1144">
        <f>-1416-CS43-CR43</f>
      </c>
      <c r="CU43" s="1146">
        <f t="shared" si="67"/>
      </c>
      <c r="CV43" s="1143">
        <v>-1397</v>
      </c>
      <c r="CW43" s="1144">
        <v>-1275</v>
      </c>
      <c r="CX43" s="1144">
        <f>-1066-CW43</f>
      </c>
      <c r="CY43" s="1144">
        <f>-1713-CX43-CW43</f>
      </c>
      <c r="CZ43" s="1146">
        <f t="shared" si="68"/>
      </c>
      <c r="DA43" s="1143">
        <v>-1267</v>
      </c>
      <c r="DB43" s="1144">
        <v>-193</v>
      </c>
      <c r="DC43" s="1144">
        <f>-345-DB43</f>
      </c>
      <c r="DD43" s="1144">
        <f>-930-DC43-DB43</f>
      </c>
      <c r="DE43" s="1146">
        <f t="shared" si="69"/>
      </c>
      <c r="DF43" s="1143">
        <v>-1044</v>
      </c>
      <c r="DG43" s="1144">
        <v>-4172</v>
      </c>
      <c r="DH43" s="1144">
        <f>-4687-DG43</f>
      </c>
      <c r="DI43" s="1144">
        <f>-3926-DH43-DG43</f>
      </c>
      <c r="DJ43" s="1146">
        <f t="shared" si="70"/>
      </c>
      <c r="DK43" s="1143">
        <v>-2017</v>
      </c>
      <c r="DL43" s="1144">
        <v>-195</v>
      </c>
      <c r="DM43" s="1144">
        <f>+-180-DL43</f>
      </c>
      <c r="DN43" s="1144">
        <f>-936-DM43-DL43</f>
      </c>
      <c r="DO43" s="1146">
        <f t="shared" si="81"/>
      </c>
      <c r="DP43" s="1143">
        <v>-1330</v>
      </c>
      <c r="DQ43" s="1144">
        <v>-2484</v>
      </c>
      <c r="DR43" s="1144">
        <f>-2433-DQ43</f>
      </c>
      <c r="DS43" s="1144">
        <f>-2365-DR43-DQ43</f>
      </c>
      <c r="DT43" s="1288">
        <f t="shared" si="71"/>
      </c>
      <c r="DU43" s="1414">
        <v>-2479</v>
      </c>
      <c r="DV43" s="1144">
        <v>-16</v>
      </c>
      <c r="DW43" s="1144">
        <f>-12-DV43</f>
      </c>
      <c r="DX43" s="1144">
        <f>-87-SUM(DV43:DW43)</f>
      </c>
      <c r="DY43" s="1288">
        <f t="shared" si="72"/>
      </c>
      <c r="DZ43" s="1414">
        <v>-100</v>
      </c>
      <c r="EA43" s="1144">
        <v>-18</v>
      </c>
      <c r="EB43" s="1144">
        <f>-17-EA43</f>
      </c>
      <c r="EC43" s="1540">
        <f>-310-SUM(EA43:EB43)</f>
      </c>
      <c r="ED43" s="1288">
        <f t="shared" si="73"/>
      </c>
      <c r="EE43" s="1414">
        <v>-2663</v>
      </c>
      <c r="EF43" s="1144">
        <v>-475</v>
      </c>
      <c r="EG43" s="1540">
        <f>-689-EF43</f>
      </c>
      <c r="EH43" s="1540">
        <f>-821-SUM(EF43:EG43)</f>
      </c>
      <c r="EI43" s="1288">
        <f t="shared" si="74"/>
      </c>
      <c r="EJ43" s="1414">
        <v>-1190</v>
      </c>
      <c r="EK43" s="1144">
        <v>-856</v>
      </c>
      <c r="EL43" s="1144">
        <f>-2201-EK43</f>
      </c>
      <c r="EM43" s="1144">
        <f>-4808-SUM(EK43:EL43)</f>
      </c>
      <c r="EN43" s="1288">
        <f t="shared" si="75"/>
      </c>
      <c r="EO43" s="1414">
        <v>-6550</v>
      </c>
      <c r="EP43" s="1144">
        <v>-5388</v>
      </c>
      <c r="EQ43" s="1144">
        <f>-13611-EP43</f>
      </c>
      <c r="ER43" s="1144">
        <f>-21645-EQ43-EP43</f>
      </c>
      <c r="ES43" s="1414">
        <f>-22973-SUM(EP43:ER43)</f>
      </c>
      <c r="ET43" s="1288">
        <f t="shared" si="76"/>
      </c>
      <c r="EU43" s="1144">
        <v>-890</v>
      </c>
      <c r="EV43" s="1144">
        <f>-3915-SUM(EU43)</f>
      </c>
      <c r="EW43" s="1144">
        <f>-8354-EV43-EU43</f>
      </c>
      <c r="EX43" s="1414">
        <f>-9463-SUM(EU43:EW43)</f>
      </c>
      <c r="EY43" s="1288">
        <f t="shared" si="77"/>
      </c>
      <c r="EZ43" s="1144">
        <v>-2120</v>
      </c>
      <c r="FA43" s="1144">
        <f>-5058-SUM(EZ43)</f>
      </c>
      <c r="FB43" s="1106">
        <f>MIN('Balance Sheet'!EZ31-'Balance Sheet'!EY31,0)</f>
      </c>
      <c r="FC43" s="1288">
        <f>MIN('Balance Sheet'!FA31-'Balance Sheet'!EZ31,0)</f>
      </c>
      <c r="FD43" s="1288">
        <f t="shared" si="78"/>
      </c>
      <c r="FE43" s="1288">
        <f>MIN('Balance Sheet'!FC31-'Balance Sheet'!FB31,0)</f>
      </c>
      <c r="FF43" s="1288">
        <f>MIN('Balance Sheet'!FD31-'Balance Sheet'!FC31,0)</f>
      </c>
      <c r="FG43" s="1288">
        <f>MIN('Balance Sheet'!FE31-'Balance Sheet'!FD31,0)</f>
      </c>
      <c r="FH43" s="1288">
        <f>MIN('Balance Sheet'!FF31-'Balance Sheet'!FE31,0)</f>
      </c>
      <c r="FI43" s="1288">
        <f>MIN('Balance Sheet'!FG31-'Balance Sheet'!FF31,0)</f>
      </c>
    </row>
    <row r="44" spans="1:165">
      <c r="A44" s="10"/>
      <c r="B44" s="130" t="s">
        <v>343</v>
      </c>
      <c r="C44" s="10"/>
      <c r="D44" s="10"/>
      <c r="E44" s="577">
        <v>825</v>
      </c>
      <c r="F44" s="577">
        <v>473</v>
      </c>
      <c r="G44" s="577">
        <v>560</v>
      </c>
      <c r="H44" s="577">
        <v>511</v>
      </c>
      <c r="I44" s="577">
        <v>960</v>
      </c>
      <c r="J44" s="577">
        <v>0</v>
      </c>
      <c r="K44" s="577">
        <v>0</v>
      </c>
      <c r="L44" s="577">
        <v>0</v>
      </c>
      <c r="M44" s="577">
        <v>7</v>
      </c>
      <c r="N44" s="577">
        <v>119</v>
      </c>
      <c r="O44" s="303">
        <f t="shared" si="52"/>
      </c>
      <c r="P44" s="577">
        <v>0</v>
      </c>
      <c r="Q44" s="577">
        <v>5</v>
      </c>
      <c r="R44" s="577">
        <v>1</v>
      </c>
      <c r="S44" s="577">
        <v>1</v>
      </c>
      <c r="T44" s="303">
        <f t="shared" si="53"/>
      </c>
      <c r="U44" s="577">
        <v>0</v>
      </c>
      <c r="V44" s="577">
        <v>0</v>
      </c>
      <c r="W44" s="577">
        <v>0</v>
      </c>
      <c r="X44" s="577">
        <v>535</v>
      </c>
      <c r="Y44" s="303">
        <f t="shared" si="54"/>
      </c>
      <c r="Z44" s="577">
        <v>9</v>
      </c>
      <c r="AA44" s="577">
        <v>-5</v>
      </c>
      <c r="AB44" s="577">
        <v>772</v>
      </c>
      <c r="AC44" s="577">
        <v>17</v>
      </c>
      <c r="AD44" s="303">
        <f t="shared" si="55"/>
      </c>
      <c r="AE44" s="577">
        <v>8</v>
      </c>
      <c r="AF44" s="577">
        <v>-2</v>
      </c>
      <c r="AG44" s="577">
        <v>587</v>
      </c>
      <c r="AH44" s="577">
        <v>-2</v>
      </c>
      <c r="AI44" s="303">
        <f t="shared" si="56"/>
      </c>
      <c r="AJ44" s="577">
        <v>4</v>
      </c>
      <c r="AK44" s="577">
        <v>6</v>
      </c>
      <c r="AL44" s="577">
        <v>3</v>
      </c>
      <c r="AM44" s="577">
        <v>1</v>
      </c>
      <c r="AN44" s="303">
        <f t="shared" si="57"/>
      </c>
      <c r="AO44" s="577">
        <v>17</v>
      </c>
      <c r="AP44" s="577">
        <v>3</v>
      </c>
      <c r="AQ44" s="577">
        <v>0</v>
      </c>
      <c r="AR44" s="577">
        <v>2</v>
      </c>
      <c r="AS44" s="303">
        <f t="shared" si="58"/>
      </c>
      <c r="AT44" s="577">
        <v>2</v>
      </c>
      <c r="AU44" s="577">
        <v>1007</v>
      </c>
      <c r="AV44" s="577">
        <v>4</v>
      </c>
      <c r="AW44" s="577">
        <v>10</v>
      </c>
      <c r="AX44" s="303">
        <f t="shared" si="59"/>
      </c>
      <c r="AY44" s="577">
        <v>19</v>
      </c>
      <c r="AZ44" s="577">
        <v>-3</v>
      </c>
      <c r="BA44" s="577">
        <v>0</v>
      </c>
      <c r="BB44" s="577">
        <v>1</v>
      </c>
      <c r="BC44" s="303">
        <f t="shared" si="60"/>
      </c>
      <c r="BD44" s="577">
        <v>4</v>
      </c>
      <c r="BE44" s="577">
        <v>0</v>
      </c>
      <c r="BF44" s="577">
        <v>0</v>
      </c>
      <c r="BG44" s="577">
        <v>2</v>
      </c>
      <c r="BH44" s="303">
        <f t="shared" si="61"/>
      </c>
      <c r="BI44" s="577">
        <v>0</v>
      </c>
      <c r="BJ44" s="577">
        <v>0</v>
      </c>
      <c r="BK44" s="577">
        <v>1</v>
      </c>
      <c r="BL44" s="577">
        <v>5</v>
      </c>
      <c r="BM44" s="303">
        <f t="shared" si="62"/>
      </c>
      <c r="BN44" s="577">
        <v>0</v>
      </c>
      <c r="BO44" s="577">
        <v>1</v>
      </c>
      <c r="BP44" s="577">
        <v>2604</v>
      </c>
      <c r="BQ44" s="577">
        <v>2495</v>
      </c>
      <c r="BR44" s="303">
        <f t="shared" si="63"/>
      </c>
      <c r="BS44" s="577">
        <v>0</v>
      </c>
      <c r="BT44" s="577">
        <v>1641</v>
      </c>
      <c r="BU44" s="577">
        <v>-1</v>
      </c>
      <c r="BV44" s="577">
        <v>-2</v>
      </c>
      <c r="BW44" s="303">
        <f t="shared" si="64"/>
      </c>
      <c r="BX44" s="577">
        <v>2</v>
      </c>
      <c r="BY44" s="577">
        <f>9-BX44</f>
      </c>
      <c r="BZ44" s="577">
        <v>0</v>
      </c>
      <c r="CA44" s="577">
        <v>0</v>
      </c>
      <c r="CB44" s="67">
        <f t="shared" si="79"/>
      </c>
      <c r="CC44" s="577">
        <v>0</v>
      </c>
      <c r="CD44" s="577">
        <v>0</v>
      </c>
      <c r="CE44" s="577">
        <f>1079-CC44-CD44</f>
      </c>
      <c r="CF44" s="577">
        <f t="shared" si="65"/>
      </c>
      <c r="CG44" s="1143">
        <v>1118</v>
      </c>
      <c r="CH44" s="1144">
        <v>8</v>
      </c>
      <c r="CI44" s="1144">
        <f>4404-CH44</f>
      </c>
      <c r="CJ44" s="1144">
        <f>4471-CH44-CI44</f>
      </c>
      <c r="CK44" s="1144">
        <f>4470-CH44-CI44-CJ44</f>
      </c>
      <c r="CL44" s="1145">
        <f t="shared" si="80"/>
      </c>
      <c r="CM44" s="1144">
        <v>2</v>
      </c>
      <c r="CN44" s="1144">
        <f>6-CM44</f>
      </c>
      <c r="CO44" s="1144">
        <f>16-CN44-CM44</f>
      </c>
      <c r="CP44" s="1146">
        <f t="shared" si="66"/>
      </c>
      <c r="CQ44" s="1143">
        <v>45</v>
      </c>
      <c r="CR44" s="1144">
        <v>6</v>
      </c>
      <c r="CS44" s="1144">
        <f>6-CR44</f>
      </c>
      <c r="CT44" s="1144">
        <f>51-CS44-CR44</f>
      </c>
      <c r="CU44" s="1146">
        <f t="shared" si="67"/>
      </c>
      <c r="CV44" s="1143">
        <v>3607</v>
      </c>
      <c r="CW44" s="1144">
        <v>16</v>
      </c>
      <c r="CX44" s="1144">
        <f>13-CW44</f>
      </c>
      <c r="CY44" s="1144">
        <f>17-CX44-CW44</f>
      </c>
      <c r="CZ44" s="1146">
        <f t="shared" si="68"/>
      </c>
      <c r="DA44" s="1143">
        <v>2098</v>
      </c>
      <c r="DB44" s="1144">
        <v>3</v>
      </c>
      <c r="DC44" s="1144">
        <f>3-DB44</f>
      </c>
      <c r="DD44" s="1144">
        <f>3-DC44-DB44</f>
      </c>
      <c r="DE44" s="1146">
        <f t="shared" si="69"/>
      </c>
      <c r="DF44" s="1143">
        <v>75</v>
      </c>
      <c r="DG44" s="1144">
        <v>7435</v>
      </c>
      <c r="DH44" s="1144">
        <f>11951-DG44</f>
      </c>
      <c r="DI44" s="1144">
        <f>11951-DH44-DG44</f>
      </c>
      <c r="DJ44" s="1146">
        <f t="shared" si="70"/>
      </c>
      <c r="DK44" s="1143">
        <v>12004</v>
      </c>
      <c r="DL44" s="1144">
        <v>4464</v>
      </c>
      <c r="DM44" s="1144">
        <f>4464-DL44</f>
      </c>
      <c r="DN44" s="1144">
        <f>4465-DM44-DL44</f>
      </c>
      <c r="DO44" s="1146">
        <f t="shared" si="81"/>
      </c>
      <c r="DP44" s="1143">
        <v>8992</v>
      </c>
      <c r="DQ44" s="1144">
        <v>2</v>
      </c>
      <c r="DR44" s="1144">
        <f>3-DQ44</f>
      </c>
      <c r="DS44" s="1144">
        <f>6-DR44-DQ44</f>
      </c>
      <c r="DT44" s="1288">
        <f t="shared" si="71"/>
      </c>
      <c r="DU44" s="1414">
        <v>5</v>
      </c>
      <c r="DV44" s="1144">
        <v>0</v>
      </c>
      <c r="DW44" s="1144">
        <f>1-DV44</f>
      </c>
      <c r="DX44" s="1144">
        <f>1-SUM(DV44:DW44)</f>
      </c>
      <c r="DY44" s="1288">
        <f t="shared" si="72"/>
      </c>
      <c r="DZ44" s="1414">
        <v>3</v>
      </c>
      <c r="EA44" s="1144">
        <f>MAX('Balance Sheet'!DY37-'Balance Sheet'!DX37,0)</f>
      </c>
      <c r="EB44" s="1144">
        <f>1-EA44</f>
      </c>
      <c r="EC44" s="1540">
        <f>7431-SUM(EA44:EB44)</f>
      </c>
      <c r="ED44" s="1288">
        <f t="shared" si="73"/>
      </c>
      <c r="EE44" s="1414">
        <v>7431</v>
      </c>
      <c r="EF44" s="1144">
        <v>1</v>
      </c>
      <c r="EG44" s="1540">
        <f>1-EF44</f>
      </c>
      <c r="EH44" s="1540">
        <f>3-SUM(EF44:EG44)</f>
      </c>
      <c r="EI44" s="1288">
        <f t="shared" si="74"/>
      </c>
      <c r="EJ44" s="1414">
        <v>5</v>
      </c>
      <c r="EK44" s="1144">
        <v>0</v>
      </c>
      <c r="EL44" s="1144">
        <f>2-EK44</f>
      </c>
      <c r="EM44" s="1144">
        <f>1-SUM(EK44:EL44)</f>
      </c>
      <c r="EN44" s="1288">
        <f t="shared" si="75"/>
      </c>
      <c r="EO44" s="1414">
        <v>2</v>
      </c>
      <c r="EP44" s="1144">
        <v>7674</v>
      </c>
      <c r="EQ44" s="1144">
        <f>7674-EP44</f>
      </c>
      <c r="ER44" s="1144">
        <f>0+8047-EQ44-EP44</f>
      </c>
      <c r="ES44" s="1414">
        <f>0-SUM(EP44:ER44)</f>
      </c>
      <c r="ET44" s="1288">
        <f t="shared" si="76"/>
      </c>
      <c r="EU44" s="1144">
        <v>2</v>
      </c>
      <c r="EV44" s="1144">
        <f>6659-SUM(EU44)</f>
      </c>
      <c r="EW44" s="1144">
        <f>6660-EV44-EU44</f>
      </c>
      <c r="EX44" s="1414">
        <f>6660-SUM(EU44:EW44)</f>
      </c>
      <c r="EY44" s="1288">
        <f t="shared" si="77"/>
      </c>
      <c r="EZ44" s="1144">
        <v>9138</v>
      </c>
      <c r="FA44" s="1144">
        <f>9138-SUM(EZ44)</f>
      </c>
      <c r="FB44" s="1106">
        <f>MAX('Balance Sheet'!EZ37-'Balance Sheet'!EY37,0)</f>
      </c>
      <c r="FC44" s="1288">
        <f>MAX('Balance Sheet'!FA37-'Balance Sheet'!EZ37,0)</f>
      </c>
      <c r="FD44" s="1288">
        <f t="shared" si="78"/>
      </c>
      <c r="FE44" s="1288">
        <f>MAX('Balance Sheet'!FC37-'Balance Sheet'!FB37,0)</f>
      </c>
      <c r="FF44" s="1288">
        <f>MAX('Balance Sheet'!FD37-'Balance Sheet'!FC37,0)</f>
      </c>
      <c r="FG44" s="1288">
        <f>MAX('Balance Sheet'!FE37-'Balance Sheet'!FD37,0)</f>
      </c>
      <c r="FH44" s="1288">
        <f>MAX('Balance Sheet'!FF37-'Balance Sheet'!FE37,0)</f>
      </c>
      <c r="FI44" s="1288">
        <f>MAX('Balance Sheet'!FG37-'Balance Sheet'!FF37,0)</f>
      </c>
    </row>
    <row r="45" spans="1:165">
      <c r="A45" s="10"/>
      <c r="B45" s="130" t="s">
        <v>344</v>
      </c>
      <c r="C45" s="10"/>
      <c r="D45" s="10"/>
      <c r="E45" s="577">
        <v>-695</v>
      </c>
      <c r="F45" s="577">
        <v>-278</v>
      </c>
      <c r="G45" s="577">
        <v>-264</v>
      </c>
      <c r="H45" s="577">
        <v>-468</v>
      </c>
      <c r="I45" s="577">
        <v>-363</v>
      </c>
      <c r="J45" s="577">
        <v>-260</v>
      </c>
      <c r="K45" s="577">
        <v>-79</v>
      </c>
      <c r="L45" s="577">
        <v>-21</v>
      </c>
      <c r="M45" s="577">
        <v>-222</v>
      </c>
      <c r="N45" s="577">
        <v>-89</v>
      </c>
      <c r="O45" s="303">
        <f t="shared" si="52"/>
      </c>
      <c r="P45" s="577">
        <v>0</v>
      </c>
      <c r="Q45" s="577">
        <v>-190</v>
      </c>
      <c r="R45" s="577">
        <v>0</v>
      </c>
      <c r="S45" s="577">
        <v>-314</v>
      </c>
      <c r="T45" s="303">
        <f t="shared" si="53"/>
      </c>
      <c r="U45" s="577">
        <v>-104</v>
      </c>
      <c r="V45" s="577">
        <v>-35</v>
      </c>
      <c r="W45" s="577">
        <v>-3</v>
      </c>
      <c r="X45" s="577">
        <v>-329</v>
      </c>
      <c r="Y45" s="303">
        <f t="shared" si="54"/>
      </c>
      <c r="Z45" s="577">
        <v>-6</v>
      </c>
      <c r="AA45" s="577">
        <v>-134</v>
      </c>
      <c r="AB45" s="577">
        <v>-5</v>
      </c>
      <c r="AC45" s="577">
        <v>-42</v>
      </c>
      <c r="AD45" s="303">
        <f t="shared" si="55"/>
      </c>
      <c r="AE45" s="577">
        <v>-22</v>
      </c>
      <c r="AF45" s="577">
        <v>0</v>
      </c>
      <c r="AG45" s="577">
        <v>-13</v>
      </c>
      <c r="AH45" s="577">
        <v>0</v>
      </c>
      <c r="AI45" s="303">
        <f t="shared" si="56"/>
      </c>
      <c r="AJ45" s="577">
        <v>-19</v>
      </c>
      <c r="AK45" s="577">
        <v>-1</v>
      </c>
      <c r="AL45" s="577">
        <v>-255</v>
      </c>
      <c r="AM45" s="577">
        <v>-116</v>
      </c>
      <c r="AN45" s="303">
        <f t="shared" si="57"/>
      </c>
      <c r="AO45" s="577">
        <v>-12</v>
      </c>
      <c r="AP45" s="577">
        <v>-4</v>
      </c>
      <c r="AQ45" s="577">
        <v>-205</v>
      </c>
      <c r="AR45" s="577">
        <v>-24</v>
      </c>
      <c r="AS45" s="303">
        <f t="shared" si="58"/>
      </c>
      <c r="AT45" s="577">
        <v>-20</v>
      </c>
      <c r="AU45" s="577">
        <v>-23</v>
      </c>
      <c r="AV45" s="577">
        <v>-65</v>
      </c>
      <c r="AW45" s="577">
        <v>-88</v>
      </c>
      <c r="AX45" s="303">
        <f t="shared" si="59"/>
      </c>
      <c r="AY45" s="577">
        <v>1</v>
      </c>
      <c r="AZ45" s="577">
        <v>-2</v>
      </c>
      <c r="BA45" s="577">
        <v>0</v>
      </c>
      <c r="BB45" s="577">
        <v>-394</v>
      </c>
      <c r="BC45" s="303">
        <f t="shared" si="60"/>
      </c>
      <c r="BD45" s="577">
        <v>-17</v>
      </c>
      <c r="BE45" s="577">
        <v>-3</v>
      </c>
      <c r="BF45" s="577">
        <v>-176</v>
      </c>
      <c r="BG45" s="577">
        <v>0</v>
      </c>
      <c r="BH45" s="303">
        <f t="shared" si="61"/>
      </c>
      <c r="BI45" s="577">
        <v>-7</v>
      </c>
      <c r="BJ45" s="577">
        <v>-3</v>
      </c>
      <c r="BK45" s="577">
        <v>-2</v>
      </c>
      <c r="BL45" s="577">
        <v>-1</v>
      </c>
      <c r="BM45" s="303">
        <f t="shared" si="62"/>
      </c>
      <c r="BN45" s="577">
        <v>-5</v>
      </c>
      <c r="BO45" s="577">
        <v>-1</v>
      </c>
      <c r="BP45" s="577">
        <v>-6</v>
      </c>
      <c r="BQ45" s="577">
        <v>-6</v>
      </c>
      <c r="BR45" s="303">
        <f t="shared" si="63"/>
      </c>
      <c r="BS45" s="577">
        <v>-2</v>
      </c>
      <c r="BT45" s="577">
        <v>-3</v>
      </c>
      <c r="BU45" s="577">
        <v>-11</v>
      </c>
      <c r="BV45" s="577">
        <v>-8</v>
      </c>
      <c r="BW45" s="303">
        <f t="shared" si="64"/>
      </c>
      <c r="BX45" s="577">
        <v>-9</v>
      </c>
      <c r="BY45" s="577">
        <f>+-16-BX45</f>
      </c>
      <c r="BZ45" s="577">
        <v>-208</v>
      </c>
      <c r="CA45" s="577">
        <v>5</v>
      </c>
      <c r="CB45" s="67">
        <f t="shared" si="79"/>
      </c>
      <c r="CC45" s="577">
        <v>-8</v>
      </c>
      <c r="CD45" s="577">
        <f>-12-CC45</f>
      </c>
      <c r="CE45" s="577">
        <f>-21-CC45-CD45</f>
      </c>
      <c r="CF45" s="577">
        <f t="shared" si="65"/>
      </c>
      <c r="CG45" s="1143">
        <v>-32</v>
      </c>
      <c r="CH45" s="1144">
        <v>-3</v>
      </c>
      <c r="CI45" s="1144">
        <f>-5-CH45</f>
      </c>
      <c r="CJ45" s="1144">
        <f>-12-CH45-CI45</f>
      </c>
      <c r="CK45" s="1144">
        <f>-16-CH45-CI45-CJ45</f>
      </c>
      <c r="CL45" s="1145">
        <f t="shared" si="80"/>
      </c>
      <c r="CM45" s="1144">
        <v>-30</v>
      </c>
      <c r="CN45" s="1144">
        <f>-10-CM45</f>
      </c>
      <c r="CO45" s="1144">
        <f>-796-CN45-CM45</f>
      </c>
      <c r="CP45" s="1146">
        <f t="shared" si="66"/>
      </c>
      <c r="CQ45" s="1143">
        <v>-804</v>
      </c>
      <c r="CR45" s="1144">
        <v>-1</v>
      </c>
      <c r="CS45" s="1144">
        <f>-1504-CR45</f>
      </c>
      <c r="CT45" s="1144">
        <f>-1531-CS45-CR45</f>
      </c>
      <c r="CU45" s="1146">
        <f t="shared" si="67"/>
      </c>
      <c r="CV45" s="1143">
        <v>-1593</v>
      </c>
      <c r="CW45" s="1144">
        <v>-21</v>
      </c>
      <c r="CX45" s="1144">
        <f>-1777-CW45</f>
      </c>
      <c r="CY45" s="1144">
        <f>-1787-CX45-CW45</f>
      </c>
      <c r="CZ45" s="1146">
        <f t="shared" si="68"/>
      </c>
      <c r="DA45" s="1143">
        <v>-1844</v>
      </c>
      <c r="DB45" s="1144">
        <v>-16</v>
      </c>
      <c r="DC45" s="1144">
        <f>-21-DB45</f>
      </c>
      <c r="DD45" s="1144">
        <f>-27-DC45-DB45</f>
      </c>
      <c r="DE45" s="1146">
        <f t="shared" si="69"/>
      </c>
      <c r="DF45" s="1143">
        <v>-68</v>
      </c>
      <c r="DG45" s="1144">
        <v>-14</v>
      </c>
      <c r="DH45" s="1144">
        <f>-936-DG45</f>
      </c>
      <c r="DI45" s="1144">
        <f>-953-DH45-DG45</f>
      </c>
      <c r="DJ45" s="1146">
        <f t="shared" si="70"/>
      </c>
      <c r="DK45" s="1143">
        <v>-2223</v>
      </c>
      <c r="DL45" s="1144">
        <v>-2</v>
      </c>
      <c r="DM45" s="1144">
        <f>-15-DL45</f>
      </c>
      <c r="DN45" s="1144">
        <f>+-1024-DM45-DL45</f>
      </c>
      <c r="DO45" s="1146">
        <f t="shared" si="81"/>
      </c>
      <c r="DP45" s="1143">
        <v>-1777</v>
      </c>
      <c r="DQ45" s="1144">
        <v>-8</v>
      </c>
      <c r="DR45" s="1144">
        <f>-9-DQ45</f>
      </c>
      <c r="DS45" s="1144">
        <f>-910-DR45-DQ45</f>
      </c>
      <c r="DT45" s="1288">
        <f t="shared" si="71"/>
      </c>
      <c r="DU45" s="1414">
        <v>-1555</v>
      </c>
      <c r="DV45" s="1144">
        <v>-1002</v>
      </c>
      <c r="DW45" s="1144">
        <f>-1005-DV45</f>
      </c>
      <c r="DX45" s="1144">
        <f>-1008-SUM(DV45:DW45)</f>
      </c>
      <c r="DY45" s="1288">
        <f t="shared" si="72"/>
      </c>
      <c r="DZ45" s="1414">
        <v>-2823</v>
      </c>
      <c r="EA45" s="1144">
        <v>-11</v>
      </c>
      <c r="EB45" s="1144">
        <f>-11-EA45</f>
      </c>
      <c r="EC45" s="1540">
        <f>-562-SUM(EA45:EB45)</f>
      </c>
      <c r="ED45" s="1288">
        <f t="shared" si="73"/>
      </c>
      <c r="EE45" s="1414">
        <v>-1064</v>
      </c>
      <c r="EF45" s="1144">
        <v>-1001</v>
      </c>
      <c r="EG45" s="1540">
        <f>-1451-EF45</f>
      </c>
      <c r="EH45" s="1540">
        <f>-1452-SUM(EF45:EG45)</f>
      </c>
      <c r="EI45" s="1288">
        <f t="shared" si="74"/>
      </c>
      <c r="EJ45" s="1414">
        <v>-1802</v>
      </c>
      <c r="EK45" s="1144">
        <v>-2132</v>
      </c>
      <c r="EL45" s="1144">
        <f>-2132-EK45</f>
      </c>
      <c r="EM45" s="1144">
        <f>-2133-SUM(EK45:EL45)</f>
      </c>
      <c r="EN45" s="1288">
        <f t="shared" si="75"/>
      </c>
      <c r="EO45" s="1414">
        <v>-2134</v>
      </c>
      <c r="EP45" s="1144">
        <v>-500</v>
      </c>
      <c r="EQ45" s="1144">
        <f>-501-EP45</f>
      </c>
      <c r="ER45" s="1144">
        <f>-502-EQ45-EP45</f>
      </c>
      <c r="ES45" s="1414">
        <f>-1551-SUM(EP45:ER45)</f>
      </c>
      <c r="ET45" s="1288">
        <f t="shared" si="76"/>
      </c>
      <c r="EU45" s="1144">
        <v>-1</v>
      </c>
      <c r="EV45" s="1144">
        <f>-803-SUM(EU45)</f>
      </c>
      <c r="EW45" s="1144">
        <f>-804-EV45-EU45</f>
      </c>
      <c r="EX45" s="1414">
        <f>-1453-SUM(EU45:EW45)</f>
      </c>
      <c r="EY45" s="1288">
        <f t="shared" si="77"/>
      </c>
      <c r="EZ45" s="1144">
        <v>-751</v>
      </c>
      <c r="FA45" s="1144">
        <f>-754-SUM(EZ45)</f>
      </c>
      <c r="FB45" s="1106">
        <f>MIN('Balance Sheet'!EZ37-'Balance Sheet'!EY37,0)</f>
      </c>
      <c r="FC45" s="1288">
        <f>MIN('Balance Sheet'!FA37-'Balance Sheet'!EZ37,0)</f>
      </c>
      <c r="FD45" s="1288">
        <f t="shared" si="78"/>
      </c>
      <c r="FE45" s="1288">
        <f>MIN('Balance Sheet'!FC37-'Balance Sheet'!FB37,0)</f>
      </c>
      <c r="FF45" s="1288">
        <f>MIN('Balance Sheet'!FD37-'Balance Sheet'!FC37,0)</f>
      </c>
      <c r="FG45" s="1288">
        <f>MIN('Balance Sheet'!FE37-'Balance Sheet'!FD37,0)</f>
      </c>
      <c r="FH45" s="1288">
        <f>MIN('Balance Sheet'!FF37-'Balance Sheet'!FE37,0)</f>
      </c>
      <c r="FI45" s="1288">
        <f>MIN('Balance Sheet'!FG37-'Balance Sheet'!FF37,0)</f>
      </c>
    </row>
    <row r="46" spans="1:165">
      <c r="A46" s="10"/>
      <c r="B46" s="130" t="s">
        <v>345</v>
      </c>
      <c r="C46" s="10"/>
      <c r="D46" s="10"/>
      <c r="E46" s="577">
        <v>71</v>
      </c>
      <c r="F46" s="577">
        <v>66</v>
      </c>
      <c r="G46" s="577">
        <v>74</v>
      </c>
      <c r="H46" s="577">
        <v>43</v>
      </c>
      <c r="I46" s="577">
        <v>62</v>
      </c>
      <c r="J46" s="577">
        <v>112</v>
      </c>
      <c r="K46" s="577">
        <v>39</v>
      </c>
      <c r="L46" s="577">
        <v>43</v>
      </c>
      <c r="M46" s="577">
        <v>32</v>
      </c>
      <c r="N46" s="577">
        <v>35</v>
      </c>
      <c r="O46" s="303">
        <f t="shared" si="52"/>
      </c>
      <c r="P46" s="577">
        <v>92</v>
      </c>
      <c r="Q46" s="577">
        <v>51</v>
      </c>
      <c r="R46" s="577">
        <v>13</v>
      </c>
      <c r="S46" s="577">
        <v>78</v>
      </c>
      <c r="T46" s="303">
        <f t="shared" si="53"/>
      </c>
      <c r="U46" s="577">
        <v>111</v>
      </c>
      <c r="V46" s="577">
        <v>60</v>
      </c>
      <c r="W46" s="577">
        <v>52</v>
      </c>
      <c r="X46" s="577">
        <v>-45</v>
      </c>
      <c r="Y46" s="303">
        <f t="shared" si="54"/>
      </c>
      <c r="Z46" s="577">
        <v>99</v>
      </c>
      <c r="AA46" s="577">
        <v>43</v>
      </c>
      <c r="AB46" s="577">
        <v>-18</v>
      </c>
      <c r="AC46" s="577">
        <v>97</v>
      </c>
      <c r="AD46" s="303">
        <f t="shared" si="55"/>
      </c>
      <c r="AE46" s="577">
        <v>67</v>
      </c>
      <c r="AF46" s="577">
        <v>159</v>
      </c>
      <c r="AG46" s="577">
        <v>41</v>
      </c>
      <c r="AH46" s="577">
        <v>120</v>
      </c>
      <c r="AI46" s="303">
        <f t="shared" si="56"/>
      </c>
      <c r="AJ46" s="577">
        <v>96</v>
      </c>
      <c r="AK46" s="577">
        <v>198</v>
      </c>
      <c r="AL46" s="577">
        <v>105</v>
      </c>
      <c r="AM46" s="577">
        <v>115</v>
      </c>
      <c r="AN46" s="303">
        <f t="shared" si="57"/>
      </c>
      <c r="AO46" s="577">
        <v>164</v>
      </c>
      <c r="AP46" s="577">
        <v>63</v>
      </c>
      <c r="AQ46" s="577">
        <v>56</v>
      </c>
      <c r="AR46" s="577">
        <v>107</v>
      </c>
      <c r="AS46" s="303">
        <f t="shared" si="58"/>
      </c>
      <c r="AT46" s="577">
        <v>90</v>
      </c>
      <c r="AU46" s="577">
        <v>105</v>
      </c>
      <c r="AV46" s="577">
        <v>45</v>
      </c>
      <c r="AW46" s="577">
        <v>71</v>
      </c>
      <c r="AX46" s="303">
        <f t="shared" si="59"/>
      </c>
      <c r="AY46" s="577">
        <v>125</v>
      </c>
      <c r="AZ46" s="577">
        <v>186</v>
      </c>
      <c r="BA46" s="577">
        <v>123</v>
      </c>
      <c r="BB46" s="577">
        <v>208</v>
      </c>
      <c r="BC46" s="303">
        <f t="shared" si="60"/>
      </c>
      <c r="BD46" s="577">
        <v>266</v>
      </c>
      <c r="BE46" s="577">
        <v>189</v>
      </c>
      <c r="BF46" s="577">
        <v>79</v>
      </c>
      <c r="BG46" s="577">
        <v>162</v>
      </c>
      <c r="BH46" s="303">
        <f t="shared" si="61"/>
      </c>
      <c r="BI46" s="577">
        <v>136</v>
      </c>
      <c r="BJ46" s="577">
        <v>196</v>
      </c>
      <c r="BK46" s="577">
        <v>360</v>
      </c>
      <c r="BL46" s="577">
        <v>443</v>
      </c>
      <c r="BM46" s="303">
        <f t="shared" si="62"/>
      </c>
      <c r="BN46" s="577">
        <v>234</v>
      </c>
      <c r="BO46" s="577">
        <v>330</v>
      </c>
      <c r="BP46" s="577">
        <v>397</v>
      </c>
      <c r="BQ46" s="577">
        <v>601</v>
      </c>
      <c r="BR46" s="303">
        <f t="shared" si="63"/>
      </c>
      <c r="BS46" s="577">
        <v>256</v>
      </c>
      <c r="BT46" s="577">
        <v>354</v>
      </c>
      <c r="BU46" s="577">
        <v>750</v>
      </c>
      <c r="BV46" s="577">
        <v>126</v>
      </c>
      <c r="BW46" s="303">
        <f t="shared" si="64"/>
      </c>
      <c r="BX46" s="577">
        <v>27</v>
      </c>
      <c r="BY46" s="577">
        <f>74-BX46</f>
      </c>
      <c r="BZ46" s="577">
        <v>226</v>
      </c>
      <c r="CA46" s="577">
        <v>582</v>
      </c>
      <c r="CB46" s="67">
        <f t="shared" si="79"/>
      </c>
      <c r="CC46" s="577">
        <v>247</v>
      </c>
      <c r="CD46" s="577">
        <f>386-CC46</f>
      </c>
      <c r="CE46" s="577">
        <f>685-CC46-CD46</f>
      </c>
      <c r="CF46" s="577">
        <f t="shared" si="65"/>
      </c>
      <c r="CG46" s="1143">
        <v>1226</v>
      </c>
      <c r="CH46" s="1144">
        <v>185</v>
      </c>
      <c r="CI46" s="1144">
        <f>717-CH46</f>
      </c>
      <c r="CJ46" s="1144">
        <f>946-CH46-CI46</f>
      </c>
      <c r="CK46" s="1144">
        <f>1246-CH46-CI46-CJ46</f>
      </c>
      <c r="CL46" s="1145">
        <f t="shared" si="80"/>
      </c>
      <c r="CM46" s="1144">
        <v>880</v>
      </c>
      <c r="CN46" s="1144">
        <f>1148-CM46</f>
      </c>
      <c r="CO46" s="1144">
        <f>1817-CN46-CM46</f>
      </c>
      <c r="CP46" s="1146">
        <f t="shared" si="66"/>
      </c>
      <c r="CQ46" s="1143">
        <v>2720</v>
      </c>
      <c r="CR46" s="1144">
        <v>1123</v>
      </c>
      <c r="CS46" s="1144">
        <f>1842-CR46</f>
      </c>
      <c r="CT46" s="1144">
        <f>2271-CS46-CR46</f>
      </c>
      <c r="CU46" s="1146">
        <f t="shared" si="67"/>
      </c>
      <c r="CV46" s="1143">
        <v>2649</v>
      </c>
      <c r="CW46" s="1144">
        <v>586</v>
      </c>
      <c r="CX46" s="1144">
        <f>1048-CW46</f>
      </c>
      <c r="CY46" s="1144">
        <f>1406-CX46-CW46</f>
      </c>
      <c r="CZ46" s="1146">
        <f t="shared" si="68"/>
      </c>
      <c r="DA46" s="1143">
        <v>1782</v>
      </c>
      <c r="DB46" s="1144">
        <v>584</v>
      </c>
      <c r="DC46" s="1144">
        <f>778-DB46</f>
      </c>
      <c r="DD46" s="1144">
        <f>837-DC46-DB46</f>
      </c>
      <c r="DE46" s="1146">
        <f t="shared" si="69"/>
      </c>
      <c r="DF46" s="1143">
        <v>1295</v>
      </c>
      <c r="DG46" s="1144">
        <v>936</v>
      </c>
      <c r="DH46" s="1144">
        <f>929-DG46</f>
      </c>
      <c r="DI46" s="1144">
        <f>1112-DH46-DG46</f>
      </c>
      <c r="DJ46" s="1146">
        <f t="shared" si="70"/>
      </c>
      <c r="DK46" s="1143">
        <v>1189</v>
      </c>
      <c r="DL46" s="1144">
        <v>402</v>
      </c>
      <c r="DM46" s="1144">
        <f>719-DL46</f>
      </c>
      <c r="DN46" s="1144">
        <f>854-DM46-DL46</f>
      </c>
      <c r="DO46" s="1146">
        <f t="shared" si="81"/>
      </c>
      <c r="DP46" s="1143">
        <v>1062</v>
      </c>
      <c r="DQ46" s="1144">
        <v>66</v>
      </c>
      <c r="DR46" s="1144">
        <f>162-DQ46</f>
      </c>
      <c r="DS46" s="1144">
        <f>480-DR46-DQ46</f>
      </c>
      <c r="DT46" s="1288">
        <f t="shared" si="71"/>
      </c>
      <c r="DU46" s="1414">
        <v>949</v>
      </c>
      <c r="DV46" s="1144">
        <v>94</v>
      </c>
      <c r="DW46" s="1144">
        <f>463-DV46</f>
      </c>
      <c r="DX46" s="1144">
        <f>580-SUM(DV46:DW46)</f>
      </c>
      <c r="DY46" s="1288">
        <f t="shared" si="72"/>
      </c>
      <c r="DZ46" s="1414">
        <v>954</v>
      </c>
      <c r="EA46" s="1144">
        <v>332</v>
      </c>
      <c r="EB46" s="1144">
        <f>708-EA46</f>
      </c>
      <c r="EC46" s="1540">
        <f>922-SUM(EA46:EB46)</f>
      </c>
      <c r="ED46" s="1288">
        <f t="shared" si="73"/>
      </c>
      <c r="EE46" s="1414">
        <v>1114</v>
      </c>
      <c r="EF46" s="1144">
        <v>236</v>
      </c>
      <c r="EG46" s="1540">
        <f>543-EF46</f>
      </c>
      <c r="EH46" s="1540">
        <f>808-SUM(EF46:EG46)</f>
      </c>
      <c r="EI46" s="1288">
        <f t="shared" si="74"/>
      </c>
      <c r="EJ46" s="1414">
        <v>1036</v>
      </c>
      <c r="EK46" s="1144">
        <v>321</v>
      </c>
      <c r="EL46" s="1144">
        <f>820-EK46</f>
      </c>
      <c r="EM46" s="1144">
        <f>907-SUM(EK46:EL46)</f>
      </c>
      <c r="EN46" s="1288">
        <f t="shared" si="75"/>
      </c>
      <c r="EO46" s="1414">
        <v>1329</v>
      </c>
      <c r="EP46" s="1144">
        <v>-11</v>
      </c>
      <c r="EQ46" s="1144">
        <f>254-EP46</f>
      </c>
      <c r="ER46" s="1144">
        <f>907-EQ46-EP46</f>
      </c>
      <c r="ES46" s="1414">
        <f>1094-SUM(EP46:ER46)</f>
      </c>
      <c r="ET46" s="1288">
        <f t="shared" si="76"/>
      </c>
      <c r="EU46" s="1144">
        <v>195</v>
      </c>
      <c r="EV46" s="1144">
        <f>290-SUM(EU46)</f>
      </c>
      <c r="EW46" s="1144">
        <f>714-EV46-EU46</f>
      </c>
      <c r="EX46" s="1414">
        <f>838-SUM(EU46:EW46)</f>
      </c>
      <c r="EY46" s="1288">
        <f t="shared" si="77"/>
      </c>
      <c r="EZ46" s="1144">
        <v>450</v>
      </c>
      <c r="FA46" s="1144">
        <f>557-SUM(EZ46)</f>
      </c>
      <c r="FB46" s="1106">
        <v>0</v>
      </c>
      <c r="FC46" s="1288">
        <v>0</v>
      </c>
      <c r="FD46" s="1288">
        <f t="shared" si="78"/>
      </c>
      <c r="FE46" s="1288">
        <v>0</v>
      </c>
      <c r="FF46" s="1288">
        <v>0</v>
      </c>
      <c r="FG46" s="1288">
        <v>0</v>
      </c>
      <c r="FH46" s="1288">
        <v>0</v>
      </c>
      <c r="FI46" s="1288">
        <v>0</v>
      </c>
    </row>
    <row r="47" spans="1:165">
      <c r="A47" s="10"/>
      <c r="B47" s="130" t="s">
        <v>20</v>
      </c>
      <c r="C47" s="10"/>
      <c r="D47" s="10"/>
      <c r="E47" s="577"/>
      <c r="F47" s="577"/>
      <c r="G47" s="577"/>
      <c r="H47" s="577"/>
      <c r="I47" s="577"/>
      <c r="J47" s="577"/>
      <c r="K47" s="577"/>
      <c r="L47" s="577"/>
      <c r="M47" s="577"/>
      <c r="N47" s="577"/>
      <c r="O47" s="303"/>
      <c r="P47" s="577"/>
      <c r="Q47" s="577"/>
      <c r="R47" s="577"/>
      <c r="S47" s="577"/>
      <c r="T47" s="303"/>
      <c r="U47" s="10"/>
      <c r="V47" s="10"/>
      <c r="W47" s="10"/>
      <c r="X47" s="10"/>
      <c r="Y47" s="303"/>
      <c r="Z47" s="577"/>
      <c r="AA47" s="577"/>
      <c r="AB47" s="577"/>
      <c r="AC47" s="577"/>
      <c r="AD47" s="303"/>
      <c r="AE47" s="577"/>
      <c r="AF47" s="577"/>
      <c r="AG47" s="577"/>
      <c r="AH47" s="577"/>
      <c r="AI47" s="303"/>
      <c r="AJ47" s="10"/>
      <c r="AK47" s="10"/>
      <c r="AL47" s="10"/>
      <c r="AM47" s="10"/>
      <c r="AN47" s="303"/>
      <c r="AO47" s="577"/>
      <c r="AP47" s="577"/>
      <c r="AQ47" s="577"/>
      <c r="AR47" s="577"/>
      <c r="AS47" s="303"/>
      <c r="AT47" s="577"/>
      <c r="AU47" s="577"/>
      <c r="AV47" s="577"/>
      <c r="AW47" s="577"/>
      <c r="AX47" s="303"/>
      <c r="AY47" s="577"/>
      <c r="AZ47" s="577"/>
      <c r="BA47" s="577"/>
      <c r="BB47" s="577"/>
      <c r="BC47" s="303"/>
      <c r="BD47" s="10"/>
      <c r="BE47" s="10"/>
      <c r="BF47" s="10"/>
      <c r="BG47" s="10"/>
      <c r="BH47" s="303"/>
      <c r="BI47" s="10"/>
      <c r="BJ47" s="10"/>
      <c r="BK47" s="10"/>
      <c r="BL47" s="10"/>
      <c r="BM47" s="303"/>
      <c r="BN47" s="10"/>
      <c r="BO47" s="10"/>
      <c r="BP47" s="10"/>
      <c r="BQ47" s="10"/>
      <c r="BR47" s="303"/>
      <c r="BS47" s="577"/>
      <c r="BT47" s="577"/>
      <c r="BU47" s="577"/>
      <c r="BV47" s="577"/>
      <c r="BW47" s="303"/>
      <c r="BX47" s="577"/>
      <c r="BY47" s="577"/>
      <c r="BZ47" s="577"/>
      <c r="CA47" s="577"/>
      <c r="CB47" s="67"/>
      <c r="CC47" s="577">
        <v>0</v>
      </c>
      <c r="CD47" s="577">
        <v>0</v>
      </c>
      <c r="CE47" s="577">
        <v>0</v>
      </c>
      <c r="CF47" s="577">
        <f>CG47-SUM(CC47:CE47)</f>
      </c>
      <c r="CG47" s="1143">
        <v>0</v>
      </c>
      <c r="CH47" s="1144">
        <v>0</v>
      </c>
      <c r="CI47" s="1144">
        <v>0</v>
      </c>
      <c r="CJ47" s="1144">
        <v>0</v>
      </c>
      <c r="CK47" s="1144">
        <v>0</v>
      </c>
      <c r="CL47" s="1145">
        <f>SUM(CH47:CK47)</f>
      </c>
      <c r="CM47" s="1144">
        <v>-160</v>
      </c>
      <c r="CN47" s="1144">
        <f>-160-CM47</f>
      </c>
      <c r="CO47" s="1144">
        <f>+-111-CN47-CM47</f>
      </c>
      <c r="CP47" s="1146">
        <f t="shared" si="66"/>
      </c>
      <c r="CQ47" s="1143">
        <v>-83</v>
      </c>
      <c r="CR47" s="1144">
        <v>30</v>
      </c>
      <c r="CS47" s="1144">
        <f>56-CR47</f>
      </c>
      <c r="CT47" s="1144">
        <f>56-CS47-CR47</f>
      </c>
      <c r="CU47" s="1146">
        <f t="shared" si="67"/>
      </c>
      <c r="CV47" s="1143">
        <v>56</v>
      </c>
      <c r="CW47" s="1144">
        <v>0</v>
      </c>
      <c r="CX47" s="1144">
        <v>0</v>
      </c>
      <c r="CY47" s="1147">
        <v>0</v>
      </c>
      <c r="CZ47" s="1146">
        <f t="shared" si="68"/>
      </c>
      <c r="DA47" s="1143">
        <v>0</v>
      </c>
      <c r="DB47" s="1144">
        <v>-50</v>
      </c>
      <c r="DC47" s="1144">
        <f>-50-DB47</f>
      </c>
      <c r="DD47" s="1144">
        <f>-50-DC47-DB47</f>
      </c>
      <c r="DE47" s="1146">
        <f t="shared" si="69"/>
      </c>
      <c r="DF47" s="1143">
        <v>-57</v>
      </c>
      <c r="DG47" s="1144">
        <v>0</v>
      </c>
      <c r="DH47" s="1144">
        <v>0</v>
      </c>
      <c r="DI47" s="1144">
        <f>-15-DH47-DG47</f>
      </c>
      <c r="DJ47" s="1146">
        <f t="shared" si="70"/>
      </c>
      <c r="DK47" s="1143">
        <v>-15</v>
      </c>
      <c r="DL47" s="1144">
        <v>-25</v>
      </c>
      <c r="DM47" s="1144">
        <f>+-25-DL47</f>
      </c>
      <c r="DN47" s="1144">
        <f>+-25-DM47-DL47</f>
      </c>
      <c r="DO47" s="1146">
        <f t="shared" si="81"/>
      </c>
      <c r="DP47" s="1143">
        <v>-188</v>
      </c>
      <c r="DQ47" s="1144">
        <v>125</v>
      </c>
      <c r="DR47" s="1144">
        <f>-137-DQ47</f>
      </c>
      <c r="DS47" s="1144">
        <f>-229-DR47-DQ47</f>
      </c>
      <c r="DT47" s="1288">
        <f t="shared" si="71"/>
      </c>
      <c r="DU47" s="1414">
        <v>-148</v>
      </c>
      <c r="DV47" s="1144">
        <v>-3</v>
      </c>
      <c r="DW47" s="1144">
        <f>98-DV47</f>
      </c>
      <c r="DX47" s="1144">
        <f>160-SUM(DV47:DW47)</f>
      </c>
      <c r="DY47" s="1288">
        <f t="shared" si="72"/>
      </c>
      <c r="DZ47" s="1414">
        <v>575</v>
      </c>
      <c r="EA47" s="1144">
        <v>-412</v>
      </c>
      <c r="EB47" s="1144">
        <f>-489-EA47</f>
      </c>
      <c r="EC47" s="1540">
        <f>-569-SUM(EA47:EB47)</f>
      </c>
      <c r="ED47" s="1288">
        <f t="shared" si="73"/>
      </c>
      <c r="EE47" s="1414">
        <f>-333-294</f>
      </c>
      <c r="EF47" s="1144">
        <f>212-24</f>
      </c>
      <c r="EG47" s="1144">
        <f>130+83-EF47</f>
      </c>
      <c r="EH47" s="1540">
        <f>168+101-SUM(EF47:EG47)</f>
      </c>
      <c r="EI47" s="1288">
        <f t="shared" si="74"/>
      </c>
      <c r="EJ47" s="1414">
        <f>281+114</f>
      </c>
      <c r="EK47" s="1144">
        <f>-235-138</f>
      </c>
      <c r="EL47" s="1144">
        <f>813-11-EK47</f>
      </c>
      <c r="EM47" s="1144">
        <f>1678+128-SUM(EK47:EL47)</f>
      </c>
      <c r="EN47" s="1288">
        <f t="shared" si="75"/>
      </c>
      <c r="EO47" s="1414">
        <f>-28+93</f>
      </c>
      <c r="EP47" s="1144">
        <f>-13-239</f>
      </c>
      <c r="EQ47" s="1144">
        <f>-126+4241-53-EP47</f>
      </c>
      <c r="ER47" s="1144">
        <f>62+4241-1114+115-EQ47-EP47</f>
      </c>
      <c r="ES47" s="3387">
        <f>-219+8047+4241-1114-269-SUM(EP47:ER47)</f>
      </c>
      <c r="ET47" s="1288">
        <f t="shared" si="76"/>
      </c>
      <c r="EU47" s="1144">
        <f>228+93</f>
      </c>
      <c r="EV47" s="1144">
        <f>281-970+37-SUM(EU47)</f>
      </c>
      <c r="EW47" s="1144">
        <f>5-970-38-EV47-EU47</f>
      </c>
      <c r="EX47" s="3387">
        <f>272+0+0-0-38-970-SUM(EU47:EW47)</f>
      </c>
      <c r="EY47" s="1288">
        <f t="shared" si="77"/>
      </c>
      <c r="EZ47" s="1144">
        <f>-3+40</f>
      </c>
      <c r="FA47" s="1144">
        <f>-271+41-SUM(EZ47)</f>
      </c>
      <c r="FB47" s="2151">
        <f>+'Balance Sheet'!EZ39-'Balance Sheet'!EY39+'Balance Sheet'!EZ40-'Balance Sheet'!EY40+'Balance Sheet'!EZ44-'Balance Sheet'!EY44+SUM('Balance Sheet'!EZ46:EZ47)-SUM('Balance Sheet'!EY46:EY47)</f>
      </c>
      <c r="FC47" s="1503">
        <f>+'Balance Sheet'!FA39-'Balance Sheet'!EZ39+'Balance Sheet'!FA40-'Balance Sheet'!EZ40+'Balance Sheet'!FA44-'Balance Sheet'!EZ44+SUM('Balance Sheet'!FA46:FA47)-SUM('Balance Sheet'!EZ46:EZ47)</f>
      </c>
      <c r="FD47" s="1288">
        <f t="shared" si="78"/>
      </c>
      <c r="FE47" s="1288">
        <f>+'Balance Sheet'!FC39-'Balance Sheet'!FB39+'Balance Sheet'!FC40-'Balance Sheet'!FB40+'Balance Sheet'!FC44-'Balance Sheet'!FB44+SUM('Balance Sheet'!FC46:FC47)-SUM('Balance Sheet'!FB46:FB47)</f>
      </c>
      <c r="FF47" s="1288">
        <f>+'Balance Sheet'!FD39-'Balance Sheet'!FC39+'Balance Sheet'!FD40-'Balance Sheet'!FC40+'Balance Sheet'!FD44-'Balance Sheet'!FC44+SUM('Balance Sheet'!FD46:FD47)-SUM('Balance Sheet'!FC46:FC47)</f>
      </c>
      <c r="FG47" s="1288">
        <f>+'Balance Sheet'!FE39-'Balance Sheet'!FD39+'Balance Sheet'!FE40-'Balance Sheet'!FD40+'Balance Sheet'!FE44-'Balance Sheet'!FD44+SUM('Balance Sheet'!FE46:FE47)-SUM('Balance Sheet'!FD46:FD47)</f>
      </c>
      <c r="FH47" s="1288">
        <f>+'Balance Sheet'!FF39-'Balance Sheet'!FE39+'Balance Sheet'!FF40-'Balance Sheet'!FE40+'Balance Sheet'!FF44-'Balance Sheet'!FE44+SUM('Balance Sheet'!FF46:FF47)-SUM('Balance Sheet'!FE46:FE47)</f>
      </c>
      <c r="FI47" s="1288">
        <f>+'Balance Sheet'!FG39-'Balance Sheet'!FF39+'Balance Sheet'!FG40-'Balance Sheet'!FF40+'Balance Sheet'!FG44-'Balance Sheet'!FF44+SUM('Balance Sheet'!FG46:FG47)-SUM('Balance Sheet'!FF46:FF47)</f>
      </c>
    </row>
    <row r="48" spans="1:165">
      <c r="A48" s="15"/>
      <c r="B48" s="275" t="s">
        <v>346</v>
      </c>
      <c r="C48" s="576"/>
      <c r="D48" s="576"/>
      <c r="E48" s="574">
        <f>SUM(E39:E47)</f>
      </c>
      <c r="F48" s="574">
        <f t="shared" ref="F48:BQ48" si="82">SUM(F39:F47)</f>
      </c>
      <c r="G48" s="574">
        <f t="shared" si="82"/>
      </c>
      <c r="H48" s="574">
        <f t="shared" si="82"/>
      </c>
      <c r="I48" s="574">
        <f t="shared" si="82"/>
      </c>
      <c r="J48" s="574">
        <f t="shared" si="82"/>
      </c>
      <c r="K48" s="574">
        <f t="shared" si="82"/>
      </c>
      <c r="L48" s="574">
        <f t="shared" si="82"/>
      </c>
      <c r="M48" s="574">
        <f t="shared" si="82"/>
      </c>
      <c r="N48" s="574">
        <f t="shared" si="82"/>
      </c>
      <c r="O48" s="375">
        <f t="shared" si="82"/>
      </c>
      <c r="P48" s="574">
        <f t="shared" si="82"/>
      </c>
      <c r="Q48" s="574">
        <f t="shared" si="82"/>
      </c>
      <c r="R48" s="574">
        <f t="shared" si="82"/>
      </c>
      <c r="S48" s="574">
        <f t="shared" si="82"/>
      </c>
      <c r="T48" s="375">
        <f t="shared" si="82"/>
      </c>
      <c r="U48" s="574">
        <f t="shared" si="82"/>
      </c>
      <c r="V48" s="574">
        <f t="shared" si="82"/>
      </c>
      <c r="W48" s="574">
        <f t="shared" si="82"/>
      </c>
      <c r="X48" s="574">
        <f t="shared" si="82"/>
      </c>
      <c r="Y48" s="375">
        <f t="shared" si="82"/>
      </c>
      <c r="Z48" s="574">
        <f t="shared" si="82"/>
      </c>
      <c r="AA48" s="574">
        <f t="shared" si="82"/>
      </c>
      <c r="AB48" s="574">
        <f t="shared" si="82"/>
      </c>
      <c r="AC48" s="574">
        <f t="shared" si="82"/>
      </c>
      <c r="AD48" s="375">
        <f t="shared" si="82"/>
      </c>
      <c r="AE48" s="574">
        <f t="shared" si="82"/>
      </c>
      <c r="AF48" s="574">
        <f t="shared" si="82"/>
      </c>
      <c r="AG48" s="574">
        <f t="shared" si="82"/>
      </c>
      <c r="AH48" s="574">
        <f t="shared" si="82"/>
      </c>
      <c r="AI48" s="375">
        <f t="shared" si="82"/>
      </c>
      <c r="AJ48" s="574">
        <f t="shared" si="82"/>
      </c>
      <c r="AK48" s="574">
        <f t="shared" si="82"/>
      </c>
      <c r="AL48" s="574">
        <f t="shared" si="82"/>
      </c>
      <c r="AM48" s="574">
        <f t="shared" si="82"/>
      </c>
      <c r="AN48" s="375">
        <f t="shared" si="82"/>
      </c>
      <c r="AO48" s="574">
        <f t="shared" si="82"/>
      </c>
      <c r="AP48" s="574">
        <f t="shared" si="82"/>
      </c>
      <c r="AQ48" s="574">
        <f t="shared" si="82"/>
      </c>
      <c r="AR48" s="574">
        <f t="shared" si="82"/>
      </c>
      <c r="AS48" s="375">
        <f t="shared" si="82"/>
      </c>
      <c r="AT48" s="574">
        <f t="shared" si="82"/>
      </c>
      <c r="AU48" s="574">
        <f t="shared" si="82"/>
      </c>
      <c r="AV48" s="574">
        <f t="shared" si="82"/>
      </c>
      <c r="AW48" s="574">
        <f t="shared" si="82"/>
      </c>
      <c r="AX48" s="375">
        <f t="shared" si="82"/>
      </c>
      <c r="AY48" s="574">
        <f t="shared" si="82"/>
      </c>
      <c r="AZ48" s="574">
        <f t="shared" si="82"/>
      </c>
      <c r="BA48" s="574">
        <f t="shared" si="82"/>
      </c>
      <c r="BB48" s="574">
        <f t="shared" si="82"/>
      </c>
      <c r="BC48" s="375">
        <f t="shared" si="82"/>
      </c>
      <c r="BD48" s="574">
        <f t="shared" si="82"/>
      </c>
      <c r="BE48" s="574">
        <f t="shared" si="82"/>
      </c>
      <c r="BF48" s="574">
        <f t="shared" si="82"/>
      </c>
      <c r="BG48" s="574">
        <f t="shared" si="82"/>
      </c>
      <c r="BH48" s="375">
        <f t="shared" si="82"/>
      </c>
      <c r="BI48" s="574">
        <f t="shared" si="82"/>
      </c>
      <c r="BJ48" s="574">
        <f t="shared" si="82"/>
      </c>
      <c r="BK48" s="574">
        <f t="shared" si="82"/>
      </c>
      <c r="BL48" s="574">
        <f t="shared" si="82"/>
      </c>
      <c r="BM48" s="375">
        <f t="shared" si="82"/>
      </c>
      <c r="BN48" s="574">
        <f t="shared" si="82"/>
      </c>
      <c r="BO48" s="574">
        <f t="shared" si="82"/>
      </c>
      <c r="BP48" s="574">
        <f t="shared" si="82"/>
      </c>
      <c r="BQ48" s="574">
        <f t="shared" si="82"/>
      </c>
      <c r="BR48" s="375">
        <f t="shared" ref="BR48:DD48" si="83">SUM(BR39:BR47)</f>
      </c>
      <c r="BS48" s="574">
        <f t="shared" si="83"/>
      </c>
      <c r="BT48" s="574">
        <f t="shared" si="83"/>
      </c>
      <c r="BU48" s="574">
        <f t="shared" si="83"/>
      </c>
      <c r="BV48" s="574">
        <f t="shared" si="83"/>
      </c>
      <c r="BW48" s="375">
        <f t="shared" si="83"/>
      </c>
      <c r="BX48" s="574">
        <f t="shared" si="83"/>
      </c>
      <c r="BY48" s="574">
        <f t="shared" si="83"/>
      </c>
      <c r="BZ48" s="574">
        <f t="shared" si="83"/>
      </c>
      <c r="CA48" s="574">
        <f t="shared" si="83"/>
      </c>
      <c r="CB48" s="272">
        <f t="shared" si="83"/>
      </c>
      <c r="CC48" s="272">
        <f>SUM(CC39:CC47)</f>
      </c>
      <c r="CD48" s="574">
        <f>SUM(CD39:CD47)</f>
      </c>
      <c r="CE48" s="574">
        <f>SUM(CE39:CE47)</f>
      </c>
      <c r="CF48" s="574">
        <f>SUM(CF39:CF47)</f>
      </c>
      <c r="CG48" s="1148">
        <f t="shared" si="83"/>
      </c>
      <c r="CH48" s="1149">
        <f>SUM(CH39:CH47)</f>
      </c>
      <c r="CI48" s="1149">
        <f>SUM(CI39:CI47)</f>
      </c>
      <c r="CJ48" s="1149">
        <f>SUM(CJ39:CJ47)</f>
      </c>
      <c r="CK48" s="1150">
        <f>SUM(CK39:CK47)</f>
      </c>
      <c r="CL48" s="1148">
        <f t="shared" si="83"/>
      </c>
      <c r="CM48" s="1149">
        <f>SUM(CM39:CM47)</f>
      </c>
      <c r="CN48" s="1149">
        <f>SUM(CN39:CN47)</f>
      </c>
      <c r="CO48" s="1149">
        <f>SUM(CO39:CO47)</f>
      </c>
      <c r="CP48" s="1150">
        <f>SUM(CP39:CP47)</f>
      </c>
      <c r="CQ48" s="1148">
        <f t="shared" si="83"/>
      </c>
      <c r="CR48" s="1149">
        <f t="shared" si="83"/>
      </c>
      <c r="CS48" s="1149">
        <f t="shared" si="83"/>
      </c>
      <c r="CT48" s="1149">
        <f t="shared" si="83"/>
      </c>
      <c r="CU48" s="1150">
        <f>SUM(CU39:CU47)</f>
      </c>
      <c r="CV48" s="1148">
        <f t="shared" si="83"/>
      </c>
      <c r="CW48" s="1149">
        <f>SUM(CW39:CW47)</f>
      </c>
      <c r="CX48" s="1149">
        <f>SUM(CX39:CX47)</f>
      </c>
      <c r="CY48" s="1149">
        <f>SUM(CY39:CY47)</f>
      </c>
      <c r="CZ48" s="1150">
        <f>SUM(CZ39:CZ47)</f>
      </c>
      <c r="DA48" s="1148">
        <f t="shared" si="83"/>
      </c>
      <c r="DB48" s="1149">
        <f>SUM(DB39:DB47)</f>
      </c>
      <c r="DC48" s="1149">
        <f t="shared" si="83"/>
      </c>
      <c r="DD48" s="1149">
        <f t="shared" si="83"/>
      </c>
      <c r="DE48" s="1150">
        <f t="shared" ref="DE48:EE48" si="84">SUM(DE39:DE47)</f>
      </c>
      <c r="DF48" s="1148">
        <f t="shared" si="84"/>
      </c>
      <c r="DG48" s="1149">
        <f t="shared" si="84"/>
      </c>
      <c r="DH48" s="1151">
        <f t="shared" si="84"/>
      </c>
      <c r="DI48" s="1149">
        <f t="shared" si="84"/>
      </c>
      <c r="DJ48" s="1150">
        <f t="shared" si="84"/>
      </c>
      <c r="DK48" s="1148">
        <f t="shared" si="84"/>
      </c>
      <c r="DL48" s="1149">
        <f t="shared" si="84"/>
      </c>
      <c r="DM48" s="1151">
        <f t="shared" si="84"/>
      </c>
      <c r="DN48" s="1151">
        <f t="shared" si="84"/>
      </c>
      <c r="DO48" s="1150">
        <f t="shared" si="84"/>
      </c>
      <c r="DP48" s="1148">
        <f t="shared" si="84"/>
      </c>
      <c r="DQ48" s="1151">
        <f t="shared" si="84"/>
      </c>
      <c r="DR48" s="1151">
        <f t="shared" si="84"/>
      </c>
      <c r="DS48" s="1151">
        <f t="shared" si="84"/>
      </c>
      <c r="DT48" s="1289">
        <f t="shared" si="84"/>
      </c>
      <c r="DU48" s="1289">
        <f t="shared" si="84"/>
      </c>
      <c r="DV48" s="1151">
        <f t="shared" si="84"/>
      </c>
      <c r="DW48" s="1151">
        <f t="shared" si="84"/>
      </c>
      <c r="DX48" s="1151">
        <f t="shared" si="84"/>
      </c>
      <c r="DY48" s="1289">
        <f t="shared" si="84"/>
      </c>
      <c r="DZ48" s="1289">
        <f t="shared" si="84"/>
      </c>
      <c r="EA48" s="1151">
        <f t="shared" si="84"/>
      </c>
      <c r="EB48" s="1151">
        <f t="shared" si="84"/>
      </c>
      <c r="EC48" s="1151">
        <f t="shared" si="84"/>
      </c>
      <c r="ED48" s="1289">
        <f t="shared" si="84"/>
      </c>
      <c r="EE48" s="1289">
        <f t="shared" si="84"/>
      </c>
      <c r="EF48" s="1151">
        <f t="shared" ref="EF48:ES48" si="85">SUM(EF39:EF47)</f>
      </c>
      <c r="EG48" s="1151">
        <f t="shared" si="85"/>
      </c>
      <c r="EH48" s="1151">
        <f t="shared" si="85"/>
      </c>
      <c r="EI48" s="1289">
        <f t="shared" si="85"/>
      </c>
      <c r="EJ48" s="1289">
        <f t="shared" si="85"/>
      </c>
      <c r="EK48" s="1151">
        <f t="shared" si="85"/>
      </c>
      <c r="EL48" s="1151">
        <f t="shared" si="85"/>
      </c>
      <c r="EM48" s="1151">
        <f t="shared" si="85"/>
      </c>
      <c r="EN48" s="2046">
        <f t="shared" si="85"/>
      </c>
      <c r="EO48" s="1289">
        <f t="shared" si="85"/>
      </c>
      <c r="EP48" s="1151">
        <f t="shared" si="85"/>
      </c>
      <c r="EQ48" s="1151">
        <f>SUM(EQ39:EQ47)</f>
      </c>
      <c r="ER48" s="3193">
        <f>SUM(ER39:ER47)</f>
      </c>
      <c r="ES48" s="2046">
        <f t="shared" si="85"/>
      </c>
      <c r="ET48" s="1289">
        <f t="shared" ref="ET48:FF48" si="86">SUM(ET39:ET47)</f>
      </c>
      <c r="EU48" s="2150">
        <f t="shared" si="86"/>
      </c>
      <c r="EV48" s="3193">
        <f t="shared" ref="EV48" si="87">SUM(EV39:EV47)</f>
      </c>
      <c r="EW48" s="3193">
        <f>SUM(EW39:EW47)</f>
      </c>
      <c r="EX48" s="2046">
        <f t="shared" ref="EX48:FA48" si="88">SUM(EX39:EX47)</f>
      </c>
      <c r="EY48" s="1289">
        <f t="shared" si="88"/>
      </c>
      <c r="EZ48" s="2150">
        <f t="shared" si="88"/>
      </c>
      <c r="FA48" s="3193">
        <f t="shared" si="88"/>
      </c>
      <c r="FB48" s="3193">
        <f t="shared" ref="FB48:FC48" si="89">SUM(FB39:FB47)</f>
      </c>
      <c r="FC48" s="3584">
        <f t="shared" si="89"/>
      </c>
      <c r="FD48" s="1289">
        <f t="shared" si="86"/>
      </c>
      <c r="FE48" s="1289">
        <f t="shared" si="86"/>
      </c>
      <c r="FF48" s="1289">
        <f t="shared" si="86"/>
      </c>
      <c r="FG48" s="1289">
        <f>SUM(FG39:FG47)</f>
      </c>
      <c r="FH48" s="1289">
        <f>SUM(FH39:FH47)</f>
      </c>
      <c r="FI48" s="1289">
        <f>SUM(FI39:FI47)</f>
      </c>
    </row>
    <row r="49" spans="1:165">
      <c r="A49" s="10"/>
      <c r="B49" s="130"/>
      <c r="C49" s="10"/>
      <c r="D49" s="10"/>
      <c r="E49" s="10"/>
      <c r="F49" s="10"/>
      <c r="G49" s="10"/>
      <c r="H49" s="10"/>
      <c r="I49" s="10"/>
      <c r="J49" s="10"/>
      <c r="K49" s="10"/>
      <c r="L49" s="10"/>
      <c r="M49" s="10"/>
      <c r="N49" s="10"/>
      <c r="O49" s="303"/>
      <c r="P49" s="10"/>
      <c r="Q49" s="10"/>
      <c r="R49" s="10"/>
      <c r="S49" s="10"/>
      <c r="T49" s="303"/>
      <c r="U49" s="10"/>
      <c r="V49" s="10"/>
      <c r="W49" s="10"/>
      <c r="X49" s="10"/>
      <c r="Y49" s="303"/>
      <c r="Z49" s="10"/>
      <c r="AA49" s="10"/>
      <c r="AB49" s="10"/>
      <c r="AC49" s="10"/>
      <c r="AD49" s="303"/>
      <c r="AE49" s="10"/>
      <c r="AF49" s="10"/>
      <c r="AG49" s="10"/>
      <c r="AH49" s="10"/>
      <c r="AI49" s="303"/>
      <c r="AJ49" s="10"/>
      <c r="AK49" s="10"/>
      <c r="AL49" s="10"/>
      <c r="AM49" s="10"/>
      <c r="AN49" s="303"/>
      <c r="AO49" s="10"/>
      <c r="AP49" s="10"/>
      <c r="AQ49" s="10"/>
      <c r="AR49" s="10"/>
      <c r="AS49" s="303"/>
      <c r="AT49" s="10"/>
      <c r="AU49" s="10"/>
      <c r="AV49" s="10"/>
      <c r="AW49" s="10"/>
      <c r="AX49" s="303"/>
      <c r="AY49" s="10"/>
      <c r="AZ49" s="10"/>
      <c r="BA49" s="10"/>
      <c r="BB49" s="10"/>
      <c r="BC49" s="303"/>
      <c r="BD49" s="10"/>
      <c r="BE49" s="10"/>
      <c r="BF49" s="10"/>
      <c r="BG49" s="10"/>
      <c r="BH49" s="303"/>
      <c r="BI49" s="10"/>
      <c r="BJ49" s="10"/>
      <c r="BK49" s="10"/>
      <c r="BL49" s="10"/>
      <c r="BM49" s="303"/>
      <c r="BN49" s="10"/>
      <c r="BO49" s="10"/>
      <c r="BP49" s="10"/>
      <c r="BQ49" s="10"/>
      <c r="BR49" s="303"/>
      <c r="BS49" s="10"/>
      <c r="BT49" s="10"/>
      <c r="BU49" s="10"/>
      <c r="BV49" s="10"/>
      <c r="BW49" s="303"/>
      <c r="BX49" s="10"/>
      <c r="BY49" s="10"/>
      <c r="BZ49" s="10"/>
      <c r="CA49" s="10"/>
      <c r="CB49" s="67"/>
      <c r="CC49" s="10"/>
      <c r="CD49" s="10"/>
      <c r="CE49" s="10"/>
      <c r="CF49" s="10"/>
      <c r="CG49" s="1145"/>
      <c r="CH49" s="1147"/>
      <c r="CI49" s="1147"/>
      <c r="CJ49" s="1147"/>
      <c r="CK49" s="1146"/>
      <c r="CL49" s="1145"/>
      <c r="CM49" s="1147"/>
      <c r="CN49" s="1147"/>
      <c r="CO49" s="1147"/>
      <c r="CP49" s="1146"/>
      <c r="CQ49" s="1145"/>
      <c r="CR49" s="1147"/>
      <c r="CS49" s="1147"/>
      <c r="CT49" s="1147"/>
      <c r="CU49" s="1147"/>
      <c r="CV49" s="1145"/>
      <c r="CW49" s="1147"/>
      <c r="CX49" s="1147"/>
      <c r="CY49" s="1147"/>
      <c r="CZ49" s="1147"/>
      <c r="DA49" s="1145"/>
      <c r="DB49" s="1147"/>
      <c r="DC49" s="1147"/>
      <c r="DD49" s="1147"/>
      <c r="DE49" s="1147"/>
      <c r="DF49" s="1145"/>
      <c r="DG49" s="1147"/>
      <c r="DH49" s="1106"/>
      <c r="DI49" s="1147"/>
      <c r="DJ49" s="1146"/>
      <c r="DK49" s="1145"/>
      <c r="DL49" s="1147"/>
      <c r="DM49" s="1106"/>
      <c r="DN49" s="1106"/>
      <c r="DO49" s="1146"/>
      <c r="DP49" s="1145"/>
      <c r="DQ49" s="1106"/>
      <c r="DR49" s="1106"/>
      <c r="DS49" s="1106"/>
      <c r="DT49" s="1288"/>
      <c r="DU49" s="1152"/>
      <c r="DV49" s="1106"/>
      <c r="DW49" s="1106"/>
      <c r="DX49" s="1106"/>
      <c r="DY49" s="1288"/>
      <c r="DZ49" s="1152"/>
      <c r="EA49" s="1106"/>
      <c r="EB49" s="1106"/>
      <c r="EC49" s="1106"/>
      <c r="ED49" s="1288"/>
      <c r="EE49" s="1152"/>
      <c r="EF49" s="1106"/>
      <c r="EG49" s="1106"/>
      <c r="EH49" s="1106"/>
      <c r="EI49" s="1288"/>
      <c r="EJ49" s="1152"/>
      <c r="EK49" s="1106"/>
      <c r="EL49" s="1106"/>
      <c r="EM49" s="1106"/>
      <c r="EN49" s="1288"/>
      <c r="EO49" s="1152"/>
      <c r="EP49" s="1106"/>
      <c r="EQ49" s="1106"/>
      <c r="ER49" s="1106"/>
      <c r="ES49" s="1288"/>
      <c r="ET49" s="1152"/>
      <c r="EU49" s="1106"/>
      <c r="EV49" s="1106"/>
      <c r="EW49" s="1106"/>
      <c r="EX49" s="1288"/>
      <c r="EY49" s="1152"/>
      <c r="EZ49" s="1106"/>
      <c r="FA49" s="1106"/>
      <c r="FB49" s="1106"/>
      <c r="FC49" s="1288"/>
      <c r="FD49" s="1152"/>
      <c r="FE49" s="1152"/>
      <c r="FF49" s="1152"/>
      <c r="FG49" s="1152"/>
      <c r="FH49" s="1152"/>
      <c r="FI49" s="1152"/>
    </row>
    <row r="50" spans="1:165">
      <c r="A50" s="10"/>
      <c r="B50" s="130" t="s">
        <v>347</v>
      </c>
      <c r="C50" s="10"/>
      <c r="D50" s="10"/>
      <c r="E50" s="577">
        <v>37</v>
      </c>
      <c r="F50" s="577">
        <v>-11</v>
      </c>
      <c r="G50" s="577">
        <v>-35</v>
      </c>
      <c r="H50" s="577">
        <v>-36</v>
      </c>
      <c r="I50" s="577">
        <v>33</v>
      </c>
      <c r="J50" s="577">
        <v>13</v>
      </c>
      <c r="K50" s="577">
        <v>-6</v>
      </c>
      <c r="L50" s="577">
        <v>-12</v>
      </c>
      <c r="M50" s="577">
        <v>-1</v>
      </c>
      <c r="N50" s="577">
        <v>-2</v>
      </c>
      <c r="O50" s="303">
        <f>SUM(K50:N50)</f>
      </c>
      <c r="P50" s="577">
        <v>-41</v>
      </c>
      <c r="Q50" s="577">
        <v>-12</v>
      </c>
      <c r="R50" s="577">
        <v>-9</v>
      </c>
      <c r="S50" s="577">
        <v>-7</v>
      </c>
      <c r="T50" s="303">
        <f>SUM(P50:S50)</f>
      </c>
      <c r="U50" s="577">
        <v>-9</v>
      </c>
      <c r="V50" s="577">
        <v>-3</v>
      </c>
      <c r="W50" s="577">
        <v>34</v>
      </c>
      <c r="X50" s="577">
        <v>2</v>
      </c>
      <c r="Y50" s="303">
        <f>SUM(U50:X50)</f>
      </c>
      <c r="Z50" s="577">
        <v>-51</v>
      </c>
      <c r="AA50" s="577">
        <v>-23</v>
      </c>
      <c r="AB50" s="577">
        <v>30</v>
      </c>
      <c r="AC50" s="577">
        <v>-28</v>
      </c>
      <c r="AD50" s="303">
        <f>SUM(Z50:AC50)</f>
      </c>
      <c r="AE50" s="577">
        <v>-20</v>
      </c>
      <c r="AF50" s="577">
        <v>-5</v>
      </c>
      <c r="AG50" s="577">
        <v>-48</v>
      </c>
      <c r="AH50" s="577">
        <v>26</v>
      </c>
      <c r="AI50" s="303">
        <f>SUM(AE50:AH50)</f>
      </c>
      <c r="AJ50" s="577">
        <v>-32</v>
      </c>
      <c r="AK50" s="577">
        <v>-19</v>
      </c>
      <c r="AL50" s="577">
        <v>48</v>
      </c>
      <c r="AM50" s="577">
        <v>-37</v>
      </c>
      <c r="AN50" s="303">
        <f>SUM(AJ50:AM50)</f>
      </c>
      <c r="AO50" s="577">
        <v>-9</v>
      </c>
      <c r="AP50" s="577">
        <v>118</v>
      </c>
      <c r="AQ50" s="577">
        <v>-24</v>
      </c>
      <c r="AR50" s="577">
        <v>25</v>
      </c>
      <c r="AS50" s="303">
        <f>SUM(AO50:AR50)</f>
      </c>
      <c r="AT50" s="577">
        <v>37</v>
      </c>
      <c r="AU50" s="577">
        <v>87</v>
      </c>
      <c r="AV50" s="577">
        <v>20</v>
      </c>
      <c r="AW50" s="577">
        <v>133</v>
      </c>
      <c r="AX50" s="303">
        <f>SUM(AT50:AW50)</f>
      </c>
      <c r="AY50" s="577">
        <v>-42</v>
      </c>
      <c r="AZ50" s="577">
        <v>1</v>
      </c>
      <c r="BA50" s="577">
        <v>24</v>
      </c>
      <c r="BB50" s="577">
        <v>207</v>
      </c>
      <c r="BC50" s="303">
        <f>SUM(AY50:BB50)</f>
      </c>
      <c r="BD50" s="577">
        <v>-85</v>
      </c>
      <c r="BE50" s="577">
        <v>-110</v>
      </c>
      <c r="BF50" s="577">
        <v>-29</v>
      </c>
      <c r="BG50" s="577">
        <v>-1</v>
      </c>
      <c r="BH50" s="303">
        <f>SUM(BD50:BG50)</f>
      </c>
      <c r="BI50" s="577">
        <v>34</v>
      </c>
      <c r="BJ50" s="577">
        <v>48</v>
      </c>
      <c r="BK50" s="577">
        <v>35</v>
      </c>
      <c r="BL50" s="577">
        <v>63</v>
      </c>
      <c r="BM50" s="303">
        <f>SUM(BI50:BL50)</f>
      </c>
      <c r="BN50" s="577">
        <v>26</v>
      </c>
      <c r="BO50" s="577">
        <v>59</v>
      </c>
      <c r="BP50" s="577">
        <v>135</v>
      </c>
      <c r="BQ50" s="577">
        <v>55</v>
      </c>
      <c r="BR50" s="303">
        <f>SUM(BN50:BQ50)</f>
      </c>
      <c r="BS50" s="577">
        <v>191</v>
      </c>
      <c r="BT50" s="577">
        <v>17</v>
      </c>
      <c r="BU50" s="577">
        <v>-264</v>
      </c>
      <c r="BV50" s="577">
        <v>-267</v>
      </c>
      <c r="BW50" s="303">
        <f>SUM(BS50:BV50)</f>
      </c>
      <c r="BX50" s="577">
        <v>-62</v>
      </c>
      <c r="BY50" s="577">
        <f>35-BX50</f>
      </c>
      <c r="BZ50" s="577">
        <v>173</v>
      </c>
      <c r="CA50" s="577">
        <v>-47</v>
      </c>
      <c r="CB50" s="67">
        <f>SUM(BX50:CA50)</f>
      </c>
      <c r="CC50" s="577">
        <v>-53</v>
      </c>
      <c r="CD50" s="577">
        <f>-162-CC50</f>
      </c>
      <c r="CE50" s="577">
        <f>3-CC50-CD50</f>
      </c>
      <c r="CF50" s="577">
        <f>CG50-SUM(CC50:CE50)</f>
      </c>
      <c r="CG50" s="1143">
        <v>-6</v>
      </c>
      <c r="CH50" s="1144">
        <v>70</v>
      </c>
      <c r="CI50" s="1144">
        <f>118-CH50</f>
      </c>
      <c r="CJ50" s="1144">
        <f>-39-CH50-CI50</f>
      </c>
      <c r="CK50" s="1144">
        <f>-47-CH50-CI50-CJ50</f>
      </c>
      <c r="CL50" s="1145">
        <f>SUM(CH50:CK50)</f>
      </c>
      <c r="CM50" s="1144">
        <v>57</v>
      </c>
      <c r="CN50" s="1144">
        <f>-32-CM50</f>
      </c>
      <c r="CO50" s="1144">
        <f>22-CN50-CM50</f>
      </c>
      <c r="CP50" s="1146">
        <f>+CQ50-SUM(CM50:CO50)</f>
      </c>
      <c r="CQ50" s="1143">
        <v>45</v>
      </c>
      <c r="CR50" s="1144">
        <v>-153</v>
      </c>
      <c r="CS50" s="1144">
        <f>-206-CR50</f>
      </c>
      <c r="CT50" s="1156">
        <f>-184-CS50-CR50</f>
      </c>
      <c r="CU50" s="1146">
        <f>+CV50-SUM(CR50:CT50)</f>
      </c>
      <c r="CV50" s="1157">
        <v>-204</v>
      </c>
      <c r="CW50" s="1156">
        <v>-45</v>
      </c>
      <c r="CX50" s="1156">
        <f>-100-CW50</f>
      </c>
      <c r="CY50" s="1156">
        <f>-191-CX50-CW50</f>
      </c>
      <c r="CZ50" s="1146">
        <f>+DA50-SUM(CW50:CY50)</f>
      </c>
      <c r="DA50" s="1157">
        <v>-310</v>
      </c>
      <c r="DB50" s="1156">
        <v>-391</v>
      </c>
      <c r="DC50" s="1156">
        <f>-883-DB50</f>
      </c>
      <c r="DD50" s="1156">
        <f>-1182-DC50-DB50</f>
      </c>
      <c r="DE50" s="1146">
        <f>+DF50-SUM(DB50:DD50)</f>
      </c>
      <c r="DF50" s="1157">
        <v>-1489</v>
      </c>
      <c r="DG50" s="1156">
        <v>81</v>
      </c>
      <c r="DH50" s="1156">
        <f>12-DG50</f>
      </c>
      <c r="DI50" s="1156">
        <f>33-DH50-DG50</f>
      </c>
      <c r="DJ50" s="1146">
        <f>+DK50-SUM(DG50:DI50)</f>
      </c>
      <c r="DK50" s="1157">
        <v>-215</v>
      </c>
      <c r="DL50" s="1156">
        <v>110</v>
      </c>
      <c r="DM50" s="1156">
        <f>191-DL50</f>
      </c>
      <c r="DN50" s="1156">
        <f>297-DM50-DL50</f>
      </c>
      <c r="DO50" s="1146">
        <f>+DP50-SUM(DL50:DN50)</f>
      </c>
      <c r="DP50" s="1157">
        <v>337</v>
      </c>
      <c r="DQ50" s="1156">
        <v>104</v>
      </c>
      <c r="DR50" s="1156">
        <f>-170-DQ50</f>
      </c>
      <c r="DS50" s="1156">
        <f>-209-DQ50-DR50</f>
      </c>
      <c r="DT50" s="1288">
        <f>DU50-SUM(DQ50:DS50)</f>
      </c>
      <c r="DU50" s="1414">
        <v>-241</v>
      </c>
      <c r="DV50" s="1156">
        <v>17</v>
      </c>
      <c r="DW50" s="1156">
        <f>33-DV50</f>
      </c>
      <c r="DX50" s="1156">
        <f>-83-SUM(DV50:DW50)</f>
      </c>
      <c r="DY50" s="1288">
        <f>DZ50-SUM(DV50:DX50)</f>
      </c>
      <c r="DZ50" s="1414">
        <v>-9</v>
      </c>
      <c r="EA50" s="1156">
        <v>-237</v>
      </c>
      <c r="EB50" s="1156">
        <f>-166-EA50</f>
      </c>
      <c r="EC50" s="1156">
        <f>-135-SUM(EA50:EB50)</f>
      </c>
      <c r="ED50" s="1288">
        <f>EE50-SUM(EA50:EC50)</f>
      </c>
      <c r="EE50" s="1554">
        <v>89</v>
      </c>
      <c r="EF50" s="1156">
        <v>-78</v>
      </c>
      <c r="EG50" s="1156">
        <f>-33-EF50</f>
      </c>
      <c r="EH50" s="1156">
        <f>-125-SUM(EF50:EG50)</f>
      </c>
      <c r="EI50" s="1288">
        <f>EJ50-SUM(EF50:EH50)</f>
      </c>
      <c r="EJ50" s="1554">
        <v>-178</v>
      </c>
      <c r="EK50" s="1156">
        <v>16</v>
      </c>
      <c r="EL50" s="1156">
        <f>-145-EK50</f>
      </c>
      <c r="EM50" s="1156">
        <f>-431-SUM(EK50:EL50)</f>
      </c>
      <c r="EN50" s="1288">
        <f>EO50-SUM(EK50:EM50)</f>
      </c>
      <c r="EO50" s="1554">
        <v>-312</v>
      </c>
      <c r="EP50" s="1156">
        <v>28</v>
      </c>
      <c r="EQ50" s="1156">
        <f>-69-EP50</f>
      </c>
      <c r="ER50" s="1156">
        <f>-237-EQ50-EP50</f>
      </c>
      <c r="ES50" s="1554">
        <f>-112-SUM(EP50:ER50)</f>
      </c>
      <c r="ET50" s="1290">
        <f>SUM(EP50:ES50)</f>
      </c>
      <c r="EU50" s="1156">
        <v>-125</v>
      </c>
      <c r="EV50" s="1156">
        <f>-210-SUM(EU50)</f>
      </c>
      <c r="EW50" s="1156">
        <f>-91-EV50-EU50</f>
      </c>
      <c r="EX50" s="1554">
        <f>-289-SUM(EU50:EW50)</f>
      </c>
      <c r="EY50" s="1290">
        <f>SUM(EU50:EX50)</f>
      </c>
      <c r="EZ50" s="1156">
        <v>70</v>
      </c>
      <c r="FA50" s="1156">
        <f>224-SUM(EZ50)</f>
      </c>
      <c r="FB50" s="1158">
        <v>0</v>
      </c>
      <c r="FC50" s="1290">
        <v>0</v>
      </c>
      <c r="FD50" s="1288">
        <f>SUM(EZ50:FC50)</f>
      </c>
      <c r="FE50" s="1290">
        <v>0</v>
      </c>
      <c r="FF50" s="1290">
        <v>0</v>
      </c>
      <c r="FG50" s="1290">
        <v>0</v>
      </c>
      <c r="FH50" s="1290">
        <v>0</v>
      </c>
      <c r="FI50" s="1290">
        <v>0</v>
      </c>
    </row>
    <row r="51" spans="1:165">
      <c r="A51" s="10"/>
      <c r="B51" s="130"/>
      <c r="C51" s="10"/>
      <c r="D51" s="10"/>
      <c r="E51" s="10"/>
      <c r="F51" s="10"/>
      <c r="G51" s="10"/>
      <c r="H51" s="10"/>
      <c r="I51" s="10"/>
      <c r="J51" s="10"/>
      <c r="K51" s="10"/>
      <c r="L51" s="10"/>
      <c r="M51" s="10"/>
      <c r="N51" s="10"/>
      <c r="O51" s="303"/>
      <c r="P51" s="10"/>
      <c r="Q51" s="10"/>
      <c r="R51" s="10"/>
      <c r="S51" s="10"/>
      <c r="T51" s="303"/>
      <c r="U51" s="10"/>
      <c r="V51" s="10"/>
      <c r="W51" s="10"/>
      <c r="X51" s="10"/>
      <c r="Y51" s="303"/>
      <c r="Z51" s="10"/>
      <c r="AA51" s="10"/>
      <c r="AB51" s="10"/>
      <c r="AC51" s="10"/>
      <c r="AD51" s="303"/>
      <c r="AE51" s="10"/>
      <c r="AF51" s="10"/>
      <c r="AG51" s="10"/>
      <c r="AH51" s="10"/>
      <c r="AI51" s="303"/>
      <c r="AJ51" s="10"/>
      <c r="AK51" s="10"/>
      <c r="AL51" s="10"/>
      <c r="AM51" s="10"/>
      <c r="AN51" s="303"/>
      <c r="AO51" s="10" t="s">
        <v>268</v>
      </c>
      <c r="AP51" s="10"/>
      <c r="AQ51" s="10"/>
      <c r="AR51" s="10" t="s">
        <v>269</v>
      </c>
      <c r="AS51" s="303"/>
      <c r="AT51" s="10"/>
      <c r="AU51" s="10"/>
      <c r="AV51" s="10"/>
      <c r="AW51" s="10"/>
      <c r="AX51" s="303"/>
      <c r="AY51" s="10"/>
      <c r="AZ51" s="10"/>
      <c r="BA51" s="10"/>
      <c r="BB51" s="10"/>
      <c r="BC51" s="303"/>
      <c r="BD51" s="10"/>
      <c r="BE51" s="10"/>
      <c r="BF51" s="10"/>
      <c r="BG51" s="10"/>
      <c r="BH51" s="303"/>
      <c r="BI51" s="577"/>
      <c r="BJ51" s="577"/>
      <c r="BK51" s="577"/>
      <c r="BL51" s="577"/>
      <c r="BM51" s="303"/>
      <c r="BN51" s="10"/>
      <c r="BO51" s="10"/>
      <c r="BP51" s="10"/>
      <c r="BQ51" s="10"/>
      <c r="BR51" s="303"/>
      <c r="BS51" s="10"/>
      <c r="BT51" s="10"/>
      <c r="BU51" s="10"/>
      <c r="BV51" s="10"/>
      <c r="BW51" s="303"/>
      <c r="BX51" s="10"/>
      <c r="BY51" s="10"/>
      <c r="BZ51" s="10"/>
      <c r="CA51" s="10"/>
      <c r="CB51" s="67"/>
      <c r="CC51" s="10"/>
      <c r="CD51" s="10"/>
      <c r="CE51" s="10"/>
      <c r="CF51" s="10"/>
      <c r="CG51" s="1145"/>
      <c r="CH51" s="1147"/>
      <c r="CI51" s="1147"/>
      <c r="CJ51" s="1147"/>
      <c r="CK51" s="1146"/>
      <c r="CL51" s="1145"/>
      <c r="CM51" s="1147"/>
      <c r="CN51" s="1147"/>
      <c r="CO51" s="1147"/>
      <c r="CP51" s="1146"/>
      <c r="CQ51" s="1145"/>
      <c r="CR51" s="1147"/>
      <c r="CS51" s="1147"/>
      <c r="CT51" s="1147"/>
      <c r="CU51" s="1147"/>
      <c r="CV51" s="1145"/>
      <c r="CW51" s="1147"/>
      <c r="CX51" s="1147"/>
      <c r="CY51" s="1147"/>
      <c r="CZ51" s="1147"/>
      <c r="DA51" s="1145"/>
      <c r="DB51" s="1147"/>
      <c r="DC51" s="1147"/>
      <c r="DD51" s="1147"/>
      <c r="DE51" s="1147"/>
      <c r="DF51" s="1145"/>
      <c r="DG51" s="1147"/>
      <c r="DH51" s="1106"/>
      <c r="DI51" s="1147"/>
      <c r="DJ51" s="1146"/>
      <c r="DK51" s="1145"/>
      <c r="DL51" s="1147"/>
      <c r="DM51" s="1106"/>
      <c r="DN51" s="1106"/>
      <c r="DO51" s="1146"/>
      <c r="DP51" s="1145"/>
      <c r="DQ51" s="1106"/>
      <c r="DR51" s="1106"/>
      <c r="DS51" s="1106"/>
      <c r="DT51" s="1288"/>
      <c r="DU51" s="1152"/>
      <c r="DV51" s="1106"/>
      <c r="DW51" s="1106"/>
      <c r="DX51" s="1106"/>
      <c r="DY51" s="1288"/>
      <c r="DZ51" s="1152"/>
      <c r="EA51" s="1106"/>
      <c r="EB51" s="1106"/>
      <c r="EC51" s="1106"/>
      <c r="ED51" s="1288"/>
      <c r="EE51" s="1152"/>
      <c r="EF51" s="1106"/>
      <c r="EG51" s="1106"/>
      <c r="EH51" s="1106"/>
      <c r="EI51" s="1288"/>
      <c r="EJ51" s="1152"/>
      <c r="EK51" s="1106"/>
      <c r="EL51" s="1106"/>
      <c r="EM51" s="1106"/>
      <c r="EN51" s="1288"/>
      <c r="EO51" s="1152"/>
      <c r="EP51" s="1106"/>
      <c r="EQ51" s="1106"/>
      <c r="ER51" s="1106"/>
      <c r="ES51" s="1288"/>
      <c r="ET51" s="1152"/>
      <c r="EU51" s="1106"/>
      <c r="EV51" s="1106"/>
      <c r="EW51" s="1106"/>
      <c r="EX51" s="1288"/>
      <c r="EY51" s="1152"/>
      <c r="EZ51" s="1106"/>
      <c r="FA51" s="1106"/>
      <c r="FB51" s="1106"/>
      <c r="FC51" s="1288"/>
      <c r="FD51" s="1152"/>
      <c r="FE51" s="1152"/>
      <c r="FF51" s="1152"/>
      <c r="FG51" s="1152"/>
      <c r="FH51" s="1152"/>
      <c r="FI51" s="1152"/>
    </row>
    <row r="52" spans="1:165">
      <c r="A52" s="10"/>
      <c r="B52" s="275" t="s">
        <v>348</v>
      </c>
      <c r="C52" s="576"/>
      <c r="D52" s="576"/>
      <c r="E52" s="574">
        <f>E50+E48+E36+E29</f>
      </c>
      <c r="F52" s="574">
        <f>F50+F48+F36+F29</f>
      </c>
      <c r="G52" s="574">
        <f>G50+G48+G36+G29</f>
      </c>
      <c r="H52" s="574">
        <f t="shared" ref="H52:V52" si="90">H50+H48+H36+H29</f>
      </c>
      <c r="I52" s="574">
        <f t="shared" si="90"/>
      </c>
      <c r="J52" s="574">
        <f t="shared" si="90"/>
      </c>
      <c r="K52" s="574">
        <f t="shared" si="90"/>
      </c>
      <c r="L52" s="574">
        <f t="shared" si="90"/>
      </c>
      <c r="M52" s="574">
        <f t="shared" si="90"/>
      </c>
      <c r="N52" s="574">
        <f t="shared" si="90"/>
      </c>
      <c r="O52" s="375">
        <f t="shared" si="90"/>
      </c>
      <c r="P52" s="574">
        <f t="shared" si="90"/>
      </c>
      <c r="Q52" s="574">
        <f t="shared" si="90"/>
      </c>
      <c r="R52" s="574">
        <f t="shared" si="90"/>
      </c>
      <c r="S52" s="574">
        <f t="shared" si="90"/>
      </c>
      <c r="T52" s="375">
        <f>T50+T48+T36+T29</f>
      </c>
      <c r="U52" s="574">
        <f t="shared" si="90"/>
      </c>
      <c r="V52" s="574">
        <f t="shared" si="90"/>
      </c>
      <c r="W52" s="574">
        <f t="shared" ref="W52:AD52" si="91">W50+W48+W36+W29</f>
      </c>
      <c r="X52" s="574">
        <f t="shared" si="91"/>
      </c>
      <c r="Y52" s="375">
        <f t="shared" si="91"/>
      </c>
      <c r="Z52" s="574">
        <f t="shared" si="91"/>
      </c>
      <c r="AA52" s="574">
        <f t="shared" si="91"/>
      </c>
      <c r="AB52" s="574">
        <f t="shared" si="91"/>
      </c>
      <c r="AC52" s="574">
        <f t="shared" si="91"/>
      </c>
      <c r="AD52" s="375">
        <f t="shared" si="91"/>
      </c>
      <c r="AE52" s="574">
        <f t="shared" ref="AE52:AK52" si="92">AE50+AE48+AE36+AE29</f>
      </c>
      <c r="AF52" s="574">
        <f t="shared" si="92"/>
      </c>
      <c r="AG52" s="574">
        <f t="shared" si="92"/>
      </c>
      <c r="AH52" s="574">
        <f t="shared" si="92"/>
      </c>
      <c r="AI52" s="375">
        <f t="shared" si="92"/>
      </c>
      <c r="AJ52" s="574">
        <f t="shared" si="92"/>
      </c>
      <c r="AK52" s="574">
        <f t="shared" si="92"/>
      </c>
      <c r="AL52" s="574">
        <f t="shared" ref="AL52:AS52" si="93">AL50+AL48+AL36+AL29</f>
      </c>
      <c r="AM52" s="574">
        <f t="shared" si="93"/>
      </c>
      <c r="AN52" s="375">
        <f t="shared" si="93"/>
      </c>
      <c r="AO52" s="574">
        <f t="shared" si="93"/>
      </c>
      <c r="AP52" s="574">
        <f t="shared" si="93"/>
      </c>
      <c r="AQ52" s="574">
        <f t="shared" si="93"/>
      </c>
      <c r="AR52" s="574">
        <f t="shared" si="93"/>
      </c>
      <c r="AS52" s="375">
        <f t="shared" si="93"/>
      </c>
      <c r="AT52" s="574">
        <f t="shared" ref="AT52:AZ52" si="94">AT50+AT48+AT36+AT29</f>
      </c>
      <c r="AU52" s="574">
        <f t="shared" si="94"/>
      </c>
      <c r="AV52" s="574">
        <f t="shared" si="94"/>
      </c>
      <c r="AW52" s="574">
        <f t="shared" si="94"/>
      </c>
      <c r="AX52" s="375">
        <f t="shared" si="94"/>
      </c>
      <c r="AY52" s="574">
        <f t="shared" si="94"/>
      </c>
      <c r="AZ52" s="574">
        <f t="shared" si="94"/>
      </c>
      <c r="BA52" s="574">
        <f t="shared" ref="BA52:BH52" si="95">BA50+BA48+BA36+BA29</f>
      </c>
      <c r="BB52" s="574">
        <f t="shared" si="95"/>
      </c>
      <c r="BC52" s="375">
        <f t="shared" si="95"/>
      </c>
      <c r="BD52" s="574">
        <f t="shared" si="95"/>
      </c>
      <c r="BE52" s="574">
        <f t="shared" si="95"/>
      </c>
      <c r="BF52" s="574">
        <f t="shared" si="95"/>
      </c>
      <c r="BG52" s="574">
        <f t="shared" si="95"/>
      </c>
      <c r="BH52" s="375">
        <f t="shared" si="95"/>
      </c>
      <c r="BI52" s="574">
        <f t="shared" ref="BI52:BO52" si="96">BI50+BI48+BI36+BI29</f>
      </c>
      <c r="BJ52" s="574">
        <f t="shared" si="96"/>
      </c>
      <c r="BK52" s="574">
        <f t="shared" si="96"/>
      </c>
      <c r="BL52" s="574">
        <f t="shared" si="96"/>
      </c>
      <c r="BM52" s="375">
        <f t="shared" si="96"/>
      </c>
      <c r="BN52" s="574">
        <f t="shared" si="96"/>
      </c>
      <c r="BO52" s="574">
        <f t="shared" si="96"/>
      </c>
      <c r="BP52" s="574">
        <f t="shared" ref="BP52:DF52" si="97">BP50+BP48+BP36+BP29</f>
      </c>
      <c r="BQ52" s="574">
        <f t="shared" si="97"/>
      </c>
      <c r="BR52" s="375">
        <f t="shared" si="97"/>
      </c>
      <c r="BS52" s="574">
        <f t="shared" si="97"/>
      </c>
      <c r="BT52" s="574">
        <f t="shared" si="97"/>
      </c>
      <c r="BU52" s="574">
        <f t="shared" si="97"/>
      </c>
      <c r="BV52" s="574">
        <f t="shared" si="97"/>
      </c>
      <c r="BW52" s="375">
        <f t="shared" si="97"/>
      </c>
      <c r="BX52" s="574">
        <f t="shared" si="97"/>
      </c>
      <c r="BY52" s="574">
        <f t="shared" si="97"/>
      </c>
      <c r="BZ52" s="574">
        <f t="shared" si="97"/>
      </c>
      <c r="CA52" s="574">
        <f t="shared" si="97"/>
      </c>
      <c r="CB52" s="272">
        <f t="shared" si="97"/>
      </c>
      <c r="CC52" s="272">
        <f t="shared" si="97"/>
      </c>
      <c r="CD52" s="574">
        <f t="shared" si="97"/>
      </c>
      <c r="CE52" s="574">
        <f>CE50+CE48+CE36+CE29</f>
      </c>
      <c r="CF52" s="574">
        <f>CF50+CF48+CF36+CF29</f>
      </c>
      <c r="CG52" s="1148">
        <f t="shared" si="97"/>
      </c>
      <c r="CH52" s="1149">
        <f t="shared" si="97"/>
      </c>
      <c r="CI52" s="1149">
        <f>CI50+CI48+CI36+CI29</f>
      </c>
      <c r="CJ52" s="1149">
        <f>CJ50+CJ48+CJ36+CJ29</f>
      </c>
      <c r="CK52" s="1150">
        <f>CK50+CK48+CK36+CK29</f>
      </c>
      <c r="CL52" s="1148">
        <f t="shared" si="97"/>
      </c>
      <c r="CM52" s="1149">
        <f>CM50+CM48+CM36+CM29</f>
      </c>
      <c r="CN52" s="1149">
        <f>CN50+CN48+CN36+CN29</f>
      </c>
      <c r="CO52" s="1149">
        <f>CO50+CO48+CO36+CO29</f>
      </c>
      <c r="CP52" s="1150">
        <f>CP50+CP48+CP36+CP29</f>
      </c>
      <c r="CQ52" s="1148">
        <f t="shared" si="97"/>
      </c>
      <c r="CR52" s="1149">
        <f t="shared" si="97"/>
      </c>
      <c r="CS52" s="1149">
        <f t="shared" si="97"/>
      </c>
      <c r="CT52" s="1149">
        <f t="shared" si="97"/>
      </c>
      <c r="CU52" s="1149">
        <f t="shared" si="97"/>
      </c>
      <c r="CV52" s="1148">
        <f t="shared" si="97"/>
      </c>
      <c r="CW52" s="1149">
        <f t="shared" ref="CW52:DB52" si="98">CW50+CW48+CW36+CW29</f>
      </c>
      <c r="CX52" s="1149">
        <f t="shared" si="98"/>
      </c>
      <c r="CY52" s="1149">
        <f t="shared" si="98"/>
      </c>
      <c r="CZ52" s="1149">
        <f t="shared" si="98"/>
      </c>
      <c r="DA52" s="1148">
        <f t="shared" si="98"/>
      </c>
      <c r="DB52" s="1149">
        <f t="shared" si="98"/>
      </c>
      <c r="DC52" s="1149">
        <f t="shared" si="97"/>
      </c>
      <c r="DD52" s="1149">
        <f t="shared" si="97"/>
      </c>
      <c r="DE52" s="1149">
        <f t="shared" si="97"/>
      </c>
      <c r="DF52" s="1148">
        <f t="shared" si="97"/>
      </c>
      <c r="DG52" s="1149">
        <f t="shared" ref="DG52:EE52" si="99">DG50+DG48+DG36+DG29</f>
      </c>
      <c r="DH52" s="1151">
        <f t="shared" si="99"/>
      </c>
      <c r="DI52" s="1149">
        <f t="shared" si="99"/>
      </c>
      <c r="DJ52" s="1150">
        <f t="shared" si="99"/>
      </c>
      <c r="DK52" s="1148">
        <f t="shared" si="99"/>
      </c>
      <c r="DL52" s="1149">
        <f t="shared" si="99"/>
      </c>
      <c r="DM52" s="1151">
        <f t="shared" si="99"/>
      </c>
      <c r="DN52" s="1151">
        <f t="shared" si="99"/>
      </c>
      <c r="DO52" s="1150">
        <f t="shared" si="99"/>
      </c>
      <c r="DP52" s="1148">
        <f t="shared" si="99"/>
      </c>
      <c r="DQ52" s="1151">
        <f t="shared" si="99"/>
      </c>
      <c r="DR52" s="1151">
        <f t="shared" si="99"/>
      </c>
      <c r="DS52" s="1151">
        <f t="shared" si="99"/>
      </c>
      <c r="DT52" s="1289">
        <f t="shared" si="99"/>
      </c>
      <c r="DU52" s="1289">
        <f t="shared" si="99"/>
      </c>
      <c r="DV52" s="1151">
        <f t="shared" si="99"/>
      </c>
      <c r="DW52" s="1151">
        <f t="shared" si="99"/>
      </c>
      <c r="DX52" s="1151">
        <f t="shared" si="99"/>
      </c>
      <c r="DY52" s="1289">
        <f t="shared" si="99"/>
      </c>
      <c r="DZ52" s="1289">
        <f t="shared" si="99"/>
      </c>
      <c r="EA52" s="1151">
        <f t="shared" si="99"/>
      </c>
      <c r="EB52" s="1151">
        <f t="shared" si="99"/>
      </c>
      <c r="EC52" s="1151">
        <f t="shared" si="99"/>
      </c>
      <c r="ED52" s="1289">
        <f t="shared" si="99"/>
      </c>
      <c r="EE52" s="1289">
        <f t="shared" si="99"/>
      </c>
      <c r="EF52" s="1151">
        <f t="shared" ref="EF52:ES52" si="100">EF50+EF48+EF36+EF29</f>
      </c>
      <c r="EG52" s="1151">
        <f t="shared" si="100"/>
      </c>
      <c r="EH52" s="1151">
        <f t="shared" si="100"/>
      </c>
      <c r="EI52" s="1289">
        <f t="shared" si="100"/>
      </c>
      <c r="EJ52" s="1289">
        <f t="shared" si="100"/>
      </c>
      <c r="EK52" s="1151">
        <f t="shared" si="100"/>
      </c>
      <c r="EL52" s="1151">
        <f t="shared" si="100"/>
      </c>
      <c r="EM52" s="1151">
        <f t="shared" si="100"/>
      </c>
      <c r="EN52" s="1289">
        <f t="shared" si="100"/>
      </c>
      <c r="EO52" s="1289">
        <f t="shared" si="100"/>
      </c>
      <c r="EP52" s="1151">
        <f t="shared" si="100"/>
      </c>
      <c r="EQ52" s="1151">
        <f>EQ50+EQ48+EQ36+EQ29</f>
      </c>
      <c r="ER52" s="3193">
        <f>ER50+ER48+ER36+ER29</f>
      </c>
      <c r="ES52" s="2046">
        <f t="shared" si="100"/>
      </c>
      <c r="ET52" s="1289">
        <f t="shared" ref="ET52:FF52" si="101">ET50+ET48+ET36+ET29</f>
      </c>
      <c r="EU52" s="2150">
        <f t="shared" si="101"/>
      </c>
      <c r="EV52" s="3193">
        <f t="shared" si="101"/>
      </c>
      <c r="EW52" s="3193">
        <f>EW50+EW48+EW36+EW29</f>
      </c>
      <c r="EX52" s="2046">
        <f t="shared" ref="EX52:FC52" si="102">EX50+EX48+EX36+EX29</f>
      </c>
      <c r="EY52" s="1289">
        <f t="shared" si="102"/>
      </c>
      <c r="EZ52" s="2150">
        <f t="shared" si="102"/>
      </c>
      <c r="FA52" s="3193">
        <f t="shared" si="102"/>
      </c>
      <c r="FB52" s="3193">
        <f t="shared" si="102"/>
      </c>
      <c r="FC52" s="3193">
        <f t="shared" si="102"/>
      </c>
      <c r="FD52" s="1289">
        <f t="shared" si="101"/>
      </c>
      <c r="FE52" s="1289">
        <f t="shared" ca="1" si="101"/>
      </c>
      <c r="FF52" s="1289">
        <f t="shared" ca="1" si="101"/>
      </c>
      <c r="FG52" s="1289">
        <f ca="1">FG50+FG48+FG36+FG29</f>
      </c>
      <c r="FH52" s="1289">
        <f ca="1">FH50+FH48+FH36+FH29</f>
      </c>
      <c r="FI52" s="1289">
        <f ca="1">FI50+FI48+FI36+FI29</f>
      </c>
    </row>
    <row r="53" spans="1:165" ht="13.2" thickBot="1">
      <c r="A53" s="10"/>
      <c r="B53" s="130" t="s">
        <v>349</v>
      </c>
      <c r="C53" s="10"/>
      <c r="D53" s="10"/>
      <c r="E53" s="10">
        <v>452</v>
      </c>
      <c r="F53" s="10">
        <f>E54</f>
      </c>
      <c r="G53" s="10">
        <f>F54</f>
      </c>
      <c r="H53" s="10">
        <v>745</v>
      </c>
      <c r="I53" s="10">
        <f t="shared" ref="I53:N53" si="103">H54</f>
      </c>
      <c r="J53" s="10">
        <f t="shared" si="103"/>
      </c>
      <c r="K53" s="10">
        <f t="shared" si="103"/>
      </c>
      <c r="L53" s="10">
        <f t="shared" si="103"/>
      </c>
      <c r="M53" s="10">
        <f t="shared" si="103"/>
      </c>
      <c r="N53" s="10">
        <f t="shared" si="103"/>
      </c>
      <c r="O53" s="303">
        <f>+J54</f>
      </c>
      <c r="P53" s="10">
        <f>N54</f>
      </c>
      <c r="Q53" s="10">
        <f t="shared" ref="Q53:X53" si="104">P54</f>
      </c>
      <c r="R53" s="10">
        <f t="shared" si="104"/>
      </c>
      <c r="S53" s="10">
        <f t="shared" si="104"/>
      </c>
      <c r="T53" s="303">
        <f>+O54</f>
      </c>
      <c r="U53" s="10">
        <f t="shared" si="104"/>
      </c>
      <c r="V53" s="10">
        <f t="shared" si="104"/>
      </c>
      <c r="W53" s="10">
        <f t="shared" si="104"/>
      </c>
      <c r="X53" s="10">
        <f t="shared" si="104"/>
      </c>
      <c r="Y53" s="303">
        <f>+T54</f>
      </c>
      <c r="Z53" s="10">
        <f>Y54</f>
      </c>
      <c r="AA53" s="10">
        <f>Z54</f>
      </c>
      <c r="AB53" s="10">
        <f>AA54</f>
      </c>
      <c r="AC53" s="10">
        <f>AB54</f>
      </c>
      <c r="AD53" s="303">
        <f>+Y54</f>
      </c>
      <c r="AE53" s="10">
        <f>AD54</f>
      </c>
      <c r="AF53" s="10">
        <f>AE54</f>
      </c>
      <c r="AG53" s="10">
        <f>AF54</f>
      </c>
      <c r="AH53" s="10">
        <f>AG54</f>
      </c>
      <c r="AI53" s="303">
        <f>+AD54</f>
      </c>
      <c r="AJ53" s="10">
        <f>AI54</f>
      </c>
      <c r="AK53" s="10">
        <f>AJ54</f>
      </c>
      <c r="AL53" s="10">
        <f>AK54</f>
      </c>
      <c r="AM53" s="10">
        <f>AL54</f>
      </c>
      <c r="AN53" s="303">
        <f>+AI54</f>
      </c>
      <c r="AO53" s="10">
        <f>AN54</f>
      </c>
      <c r="AP53" s="10">
        <f>AO54</f>
      </c>
      <c r="AQ53" s="10">
        <f>AP54</f>
      </c>
      <c r="AR53" s="10">
        <f>AQ54</f>
      </c>
      <c r="AS53" s="303">
        <f>+AN54</f>
      </c>
      <c r="AT53" s="10">
        <f t="shared" ref="AT53:BV53" si="105">AS54</f>
      </c>
      <c r="AU53" s="10">
        <f t="shared" si="105"/>
      </c>
      <c r="AV53" s="10">
        <f t="shared" si="105"/>
      </c>
      <c r="AW53" s="10">
        <f t="shared" si="105"/>
      </c>
      <c r="AX53" s="303">
        <f>+AS54</f>
      </c>
      <c r="AY53" s="10">
        <f t="shared" si="105"/>
      </c>
      <c r="AZ53" s="10">
        <f t="shared" si="105"/>
      </c>
      <c r="BA53" s="10">
        <f t="shared" si="105"/>
      </c>
      <c r="BB53" s="10">
        <f t="shared" si="105"/>
      </c>
      <c r="BC53" s="303">
        <f>+AX54</f>
      </c>
      <c r="BD53" s="10">
        <f t="shared" si="105"/>
      </c>
      <c r="BE53" s="10">
        <f t="shared" si="105"/>
      </c>
      <c r="BF53" s="10">
        <f t="shared" si="105"/>
      </c>
      <c r="BG53" s="10">
        <f t="shared" si="105"/>
      </c>
      <c r="BH53" s="303">
        <f>+BC54</f>
      </c>
      <c r="BI53" s="10">
        <f t="shared" si="105"/>
      </c>
      <c r="BJ53" s="10">
        <f t="shared" si="105"/>
      </c>
      <c r="BK53" s="10">
        <f t="shared" si="105"/>
      </c>
      <c r="BL53" s="10">
        <f t="shared" si="105"/>
      </c>
      <c r="BM53" s="303">
        <f>+BH54</f>
      </c>
      <c r="BN53" s="10">
        <f t="shared" si="105"/>
      </c>
      <c r="BO53" s="10">
        <f t="shared" si="105"/>
      </c>
      <c r="BP53" s="10">
        <f t="shared" si="105"/>
      </c>
      <c r="BQ53" s="10">
        <f t="shared" si="105"/>
      </c>
      <c r="BR53" s="303">
        <f>+BM54</f>
      </c>
      <c r="BS53" s="10">
        <f t="shared" si="105"/>
      </c>
      <c r="BT53" s="10">
        <f t="shared" si="105"/>
      </c>
      <c r="BU53" s="10">
        <f t="shared" si="105"/>
      </c>
      <c r="BV53" s="10">
        <f t="shared" si="105"/>
      </c>
      <c r="BW53" s="303">
        <f>+BR54</f>
      </c>
      <c r="BX53" s="10">
        <f>BW54</f>
      </c>
      <c r="BY53" s="10">
        <f>BX54</f>
      </c>
      <c r="BZ53" s="10">
        <f>BY54</f>
      </c>
      <c r="CA53" s="10">
        <f>BZ54</f>
      </c>
      <c r="CB53" s="67">
        <f>+BW54</f>
      </c>
      <c r="CC53" s="10">
        <f>CB54</f>
      </c>
      <c r="CD53" s="10">
        <f>CC54</f>
      </c>
      <c r="CE53" s="10">
        <f>CD54</f>
      </c>
      <c r="CF53" s="10">
        <f>CE54</f>
      </c>
      <c r="CG53" s="1145">
        <f>CB54</f>
      </c>
      <c r="CH53" s="1147">
        <f>CG54</f>
      </c>
      <c r="CI53" s="1147">
        <f>CH54</f>
      </c>
      <c r="CJ53" s="1147">
        <f>CI54</f>
      </c>
      <c r="CK53" s="1146">
        <f>CJ54</f>
      </c>
      <c r="CL53" s="1145">
        <f>CG54</f>
      </c>
      <c r="CM53" s="1147">
        <f>CL54</f>
      </c>
      <c r="CN53" s="1147">
        <f>CM54</f>
      </c>
      <c r="CO53" s="1147">
        <f>CN54</f>
      </c>
      <c r="CP53" s="1146">
        <f>CO54</f>
      </c>
      <c r="CQ53" s="1145">
        <f>CL54</f>
      </c>
      <c r="CR53" s="1147">
        <f>CQ54</f>
      </c>
      <c r="CS53" s="1147">
        <f>CR54</f>
      </c>
      <c r="CT53" s="1147">
        <f>CS54</f>
      </c>
      <c r="CU53" s="1147">
        <f>CT54</f>
      </c>
      <c r="CV53" s="1145">
        <f>CQ54</f>
      </c>
      <c r="CW53" s="1147">
        <f>CV54</f>
      </c>
      <c r="CX53" s="1147">
        <f>CW54</f>
      </c>
      <c r="CY53" s="1147">
        <f>CX54</f>
      </c>
      <c r="CZ53" s="1147">
        <f>CY54</f>
      </c>
      <c r="DA53" s="1145">
        <f>CV54</f>
      </c>
      <c r="DB53" s="1147">
        <f>DA54</f>
      </c>
      <c r="DC53" s="1147">
        <f>DB54</f>
      </c>
      <c r="DD53" s="1147">
        <f>DC54</f>
      </c>
      <c r="DE53" s="1147">
        <f>DD54</f>
      </c>
      <c r="DF53" s="1145">
        <f>DA54</f>
      </c>
      <c r="DG53" s="1147">
        <f>DF54</f>
      </c>
      <c r="DH53" s="1106">
        <f>DG54</f>
      </c>
      <c r="DI53" s="1147">
        <f>DH54</f>
      </c>
      <c r="DJ53" s="1146">
        <f>DI54</f>
      </c>
      <c r="DK53" s="1145">
        <f>DF54</f>
      </c>
      <c r="DL53" s="1147">
        <f>DK54</f>
      </c>
      <c r="DM53" s="1106">
        <f>DL54</f>
      </c>
      <c r="DN53" s="1106">
        <f>DM54</f>
      </c>
      <c r="DO53" s="1146">
        <f>DN54</f>
      </c>
      <c r="DP53" s="1145">
        <f>DK54</f>
      </c>
      <c r="DQ53" s="1106">
        <f>DP54</f>
      </c>
      <c r="DR53" s="1106">
        <f>DQ54</f>
      </c>
      <c r="DS53" s="1106">
        <f>DR54</f>
      </c>
      <c r="DT53" s="1288">
        <f>DS54</f>
      </c>
      <c r="DU53" s="1288">
        <f>DP54</f>
      </c>
      <c r="DV53" s="1106">
        <f>DU54</f>
      </c>
      <c r="DW53" s="1106">
        <f>DV54</f>
      </c>
      <c r="DX53" s="1106">
        <f>DW54</f>
      </c>
      <c r="DY53" s="1288">
        <f>DX54</f>
      </c>
      <c r="DZ53" s="1288">
        <f>DU54</f>
      </c>
      <c r="EA53" s="1106">
        <f>DZ54</f>
      </c>
      <c r="EB53" s="1106">
        <f>EA54</f>
      </c>
      <c r="EC53" s="1106">
        <f>EB54</f>
      </c>
      <c r="ED53" s="1288">
        <f>EC54</f>
      </c>
      <c r="EE53" s="1288">
        <f>DZ54</f>
      </c>
      <c r="EF53" s="1106">
        <f>EE54</f>
      </c>
      <c r="EG53" s="1106">
        <f>EF54</f>
      </c>
      <c r="EH53" s="1106">
        <f>EG54</f>
      </c>
      <c r="EI53" s="1288">
        <f>EH54</f>
      </c>
      <c r="EJ53" s="1288">
        <f>EE54</f>
      </c>
      <c r="EK53" s="1106">
        <f>EJ54</f>
      </c>
      <c r="EL53" s="1106">
        <f>EK54</f>
      </c>
      <c r="EM53" s="1106">
        <f>EL54</f>
      </c>
      <c r="EN53" s="1288">
        <f>EM54</f>
      </c>
      <c r="EO53" s="1288">
        <f>EJ54</f>
      </c>
      <c r="EP53" s="1106">
        <f>EO54</f>
      </c>
      <c r="EQ53" s="1106">
        <f>EP54</f>
      </c>
      <c r="ER53" s="1106">
        <f>EQ54</f>
      </c>
      <c r="ES53" s="1288">
        <f>ER54</f>
      </c>
      <c r="ET53" s="1288">
        <f>EO54</f>
      </c>
      <c r="EU53" s="1106">
        <f>ET54</f>
      </c>
      <c r="EV53" s="1106">
        <f>EU54</f>
      </c>
      <c r="EW53" s="1106">
        <f>EV54</f>
      </c>
      <c r="EX53" s="1288">
        <f>EW54</f>
      </c>
      <c r="EY53" s="1288">
        <f>ET54</f>
      </c>
      <c r="EZ53" s="1106">
        <f>EY54</f>
      </c>
      <c r="FA53" s="1106">
        <f>EZ54</f>
      </c>
      <c r="FB53" s="1106">
        <f t="shared" ref="FB53:FC53" si="106">FA54</f>
      </c>
      <c r="FC53" s="1106">
        <f t="shared" si="106"/>
      </c>
      <c r="FD53" s="1288">
        <f>EY54</f>
      </c>
      <c r="FE53" s="1288">
        <f t="shared" ref="FE53:FI53" si="107">FD54</f>
      </c>
      <c r="FF53" s="1288">
        <f t="shared" ca="1" si="107"/>
      </c>
      <c r="FG53" s="1288">
        <f t="shared" ca="1" si="107"/>
      </c>
      <c r="FH53" s="1288">
        <f t="shared" ca="1" si="107"/>
      </c>
      <c r="FI53" s="1288">
        <f t="shared" ca="1" si="107"/>
      </c>
    </row>
    <row r="54" spans="1:165" ht="13.2" thickTop="1">
      <c r="A54" s="15"/>
      <c r="B54" s="276" t="s">
        <v>350</v>
      </c>
      <c r="C54" s="269"/>
      <c r="D54" s="269"/>
      <c r="E54" s="265">
        <f>E53+E52</f>
      </c>
      <c r="F54" s="265">
        <f>F53+F52</f>
      </c>
      <c r="G54" s="265">
        <f>G53+G52</f>
      </c>
      <c r="H54" s="265">
        <f t="shared" ref="H54:BV54" si="108">H53+H52</f>
      </c>
      <c r="I54" s="265">
        <f t="shared" si="108"/>
      </c>
      <c r="J54" s="265">
        <f t="shared" si="108"/>
      </c>
      <c r="K54" s="265">
        <f t="shared" si="108"/>
      </c>
      <c r="L54" s="265">
        <f t="shared" si="108"/>
      </c>
      <c r="M54" s="265">
        <f t="shared" si="108"/>
      </c>
      <c r="N54" s="265">
        <f t="shared" si="108"/>
      </c>
      <c r="O54" s="376">
        <f t="shared" si="108"/>
      </c>
      <c r="P54" s="265">
        <f t="shared" si="108"/>
      </c>
      <c r="Q54" s="265">
        <f t="shared" si="108"/>
      </c>
      <c r="R54" s="265">
        <f t="shared" si="108"/>
      </c>
      <c r="S54" s="265">
        <f t="shared" si="108"/>
      </c>
      <c r="T54" s="376">
        <f t="shared" si="108"/>
      </c>
      <c r="U54" s="265">
        <f t="shared" si="108"/>
      </c>
      <c r="V54" s="265">
        <f t="shared" si="108"/>
      </c>
      <c r="W54" s="265">
        <f t="shared" si="108"/>
      </c>
      <c r="X54" s="265">
        <f t="shared" si="108"/>
      </c>
      <c r="Y54" s="376">
        <f t="shared" si="108"/>
      </c>
      <c r="Z54" s="265">
        <f t="shared" si="108"/>
      </c>
      <c r="AA54" s="265">
        <f t="shared" si="108"/>
      </c>
      <c r="AB54" s="265">
        <f t="shared" si="108"/>
      </c>
      <c r="AC54" s="265">
        <f t="shared" si="108"/>
      </c>
      <c r="AD54" s="376">
        <f t="shared" si="108"/>
      </c>
      <c r="AE54" s="265">
        <f t="shared" si="108"/>
      </c>
      <c r="AF54" s="265">
        <f t="shared" si="108"/>
      </c>
      <c r="AG54" s="265">
        <f t="shared" si="108"/>
      </c>
      <c r="AH54" s="265">
        <f t="shared" si="108"/>
      </c>
      <c r="AI54" s="376">
        <f t="shared" si="108"/>
      </c>
      <c r="AJ54" s="265">
        <f t="shared" si="108"/>
      </c>
      <c r="AK54" s="265">
        <f t="shared" si="108"/>
      </c>
      <c r="AL54" s="265">
        <f t="shared" si="108"/>
      </c>
      <c r="AM54" s="265">
        <f t="shared" si="108"/>
      </c>
      <c r="AN54" s="376">
        <f t="shared" si="108"/>
      </c>
      <c r="AO54" s="265">
        <f t="shared" si="108"/>
      </c>
      <c r="AP54" s="265">
        <f t="shared" si="108"/>
      </c>
      <c r="AQ54" s="265">
        <f t="shared" si="108"/>
      </c>
      <c r="AR54" s="265">
        <f t="shared" si="108"/>
      </c>
      <c r="AS54" s="376">
        <f t="shared" si="108"/>
      </c>
      <c r="AT54" s="265">
        <f t="shared" si="108"/>
      </c>
      <c r="AU54" s="265">
        <f t="shared" si="108"/>
      </c>
      <c r="AV54" s="265">
        <f t="shared" si="108"/>
      </c>
      <c r="AW54" s="265">
        <f t="shared" si="108"/>
      </c>
      <c r="AX54" s="376">
        <f t="shared" si="108"/>
      </c>
      <c r="AY54" s="265">
        <f t="shared" si="108"/>
      </c>
      <c r="AZ54" s="265">
        <f t="shared" si="108"/>
      </c>
      <c r="BA54" s="265">
        <f t="shared" si="108"/>
      </c>
      <c r="BB54" s="265">
        <f t="shared" si="108"/>
      </c>
      <c r="BC54" s="376">
        <f t="shared" si="108"/>
      </c>
      <c r="BD54" s="265">
        <f t="shared" si="108"/>
      </c>
      <c r="BE54" s="265">
        <f t="shared" si="108"/>
      </c>
      <c r="BF54" s="265">
        <f t="shared" si="108"/>
      </c>
      <c r="BG54" s="265">
        <f t="shared" si="108"/>
      </c>
      <c r="BH54" s="376">
        <f t="shared" si="108"/>
      </c>
      <c r="BI54" s="265">
        <f t="shared" si="108"/>
      </c>
      <c r="BJ54" s="265">
        <f t="shared" si="108"/>
      </c>
      <c r="BK54" s="265">
        <f t="shared" si="108"/>
      </c>
      <c r="BL54" s="265">
        <f t="shared" si="108"/>
      </c>
      <c r="BM54" s="376">
        <f t="shared" si="108"/>
      </c>
      <c r="BN54" s="265">
        <f t="shared" si="108"/>
      </c>
      <c r="BO54" s="265">
        <f t="shared" si="108"/>
      </c>
      <c r="BP54" s="265">
        <f t="shared" si="108"/>
      </c>
      <c r="BQ54" s="265">
        <f t="shared" si="108"/>
      </c>
      <c r="BR54" s="376">
        <f t="shared" si="108"/>
      </c>
      <c r="BS54" s="265">
        <f t="shared" si="108"/>
      </c>
      <c r="BT54" s="265">
        <f t="shared" si="108"/>
      </c>
      <c r="BU54" s="265">
        <f t="shared" si="108"/>
      </c>
      <c r="BV54" s="265">
        <f t="shared" si="108"/>
      </c>
      <c r="BW54" s="376">
        <f t="shared" ref="BW54:DF54" si="109">BW53+BW52</f>
      </c>
      <c r="BX54" s="265">
        <f t="shared" si="109"/>
      </c>
      <c r="BY54" s="265">
        <f t="shared" si="109"/>
      </c>
      <c r="BZ54" s="265">
        <f t="shared" si="109"/>
      </c>
      <c r="CA54" s="265">
        <f t="shared" si="109"/>
      </c>
      <c r="CB54" s="266">
        <f t="shared" si="109"/>
      </c>
      <c r="CC54" s="265">
        <f>CC53+CC52</f>
      </c>
      <c r="CD54" s="265">
        <f>CD53+CD52</f>
      </c>
      <c r="CE54" s="265">
        <f>CE53+CE52</f>
      </c>
      <c r="CF54" s="265">
        <f>CF53+CF52</f>
      </c>
      <c r="CG54" s="1159">
        <f t="shared" si="109"/>
      </c>
      <c r="CH54" s="1160">
        <f>CH53+CH52</f>
      </c>
      <c r="CI54" s="1160">
        <f>CI53+CI52</f>
      </c>
      <c r="CJ54" s="1160">
        <f>CJ53+CJ52</f>
      </c>
      <c r="CK54" s="1161">
        <f>CK53+CK52</f>
      </c>
      <c r="CL54" s="1159">
        <f t="shared" si="109"/>
      </c>
      <c r="CM54" s="1160">
        <f>CM53+CM52</f>
      </c>
      <c r="CN54" s="1160">
        <f>CN53+CN52</f>
      </c>
      <c r="CO54" s="1160">
        <f>CO53+CO52</f>
      </c>
      <c r="CP54" s="1161">
        <f>CP53+CP52</f>
      </c>
      <c r="CQ54" s="1159">
        <f t="shared" si="109"/>
      </c>
      <c r="CR54" s="1160">
        <f t="shared" si="109"/>
      </c>
      <c r="CS54" s="1160">
        <f t="shared" si="109"/>
      </c>
      <c r="CT54" s="1160">
        <f t="shared" si="109"/>
      </c>
      <c r="CU54" s="1160">
        <f t="shared" si="109"/>
      </c>
      <c r="CV54" s="1159">
        <f t="shared" si="109"/>
      </c>
      <c r="CW54" s="1160">
        <f t="shared" ref="CW54:DB54" si="110">CW53+CW52</f>
      </c>
      <c r="CX54" s="1160">
        <f t="shared" si="110"/>
      </c>
      <c r="CY54" s="1160">
        <f t="shared" si="110"/>
      </c>
      <c r="CZ54" s="1160">
        <f t="shared" si="110"/>
      </c>
      <c r="DA54" s="1159">
        <f t="shared" si="110"/>
      </c>
      <c r="DB54" s="1160">
        <f t="shared" si="110"/>
      </c>
      <c r="DC54" s="1160">
        <f t="shared" si="109"/>
      </c>
      <c r="DD54" s="1160">
        <f t="shared" si="109"/>
      </c>
      <c r="DE54" s="1160">
        <f t="shared" si="109"/>
      </c>
      <c r="DF54" s="1159">
        <f t="shared" si="109"/>
      </c>
      <c r="DG54" s="1160">
        <f t="shared" ref="DG54:EE54" si="111">DG53+DG52</f>
      </c>
      <c r="DH54" s="1160">
        <f t="shared" si="111"/>
      </c>
      <c r="DI54" s="1160">
        <f t="shared" si="111"/>
      </c>
      <c r="DJ54" s="1161">
        <f t="shared" si="111"/>
      </c>
      <c r="DK54" s="1159">
        <f t="shared" si="111"/>
      </c>
      <c r="DL54" s="1160">
        <f t="shared" si="111"/>
      </c>
      <c r="DM54" s="1160">
        <f t="shared" si="111"/>
      </c>
      <c r="DN54" s="1160">
        <f t="shared" si="111"/>
      </c>
      <c r="DO54" s="1161">
        <f t="shared" si="111"/>
      </c>
      <c r="DP54" s="1159">
        <f t="shared" si="111"/>
      </c>
      <c r="DQ54" s="1160">
        <f t="shared" si="111"/>
      </c>
      <c r="DR54" s="1160">
        <f t="shared" si="111"/>
      </c>
      <c r="DS54" s="1160">
        <f t="shared" si="111"/>
      </c>
      <c r="DT54" s="1161">
        <f t="shared" si="111"/>
      </c>
      <c r="DU54" s="1161">
        <f t="shared" si="111"/>
      </c>
      <c r="DV54" s="1160">
        <f t="shared" si="111"/>
      </c>
      <c r="DW54" s="1160">
        <f t="shared" si="111"/>
      </c>
      <c r="DX54" s="1160">
        <f t="shared" si="111"/>
      </c>
      <c r="DY54" s="1161">
        <f t="shared" si="111"/>
      </c>
      <c r="DZ54" s="1161">
        <f t="shared" si="111"/>
      </c>
      <c r="EA54" s="1160">
        <f t="shared" si="111"/>
      </c>
      <c r="EB54" s="1160">
        <f t="shared" si="111"/>
      </c>
      <c r="EC54" s="1160">
        <f t="shared" si="111"/>
      </c>
      <c r="ED54" s="1161">
        <f t="shared" si="111"/>
      </c>
      <c r="EE54" s="1161">
        <f t="shared" si="111"/>
      </c>
      <c r="EF54" s="1160">
        <f t="shared" ref="EF54:ES54" si="112">EF53+EF52</f>
      </c>
      <c r="EG54" s="1160">
        <f t="shared" si="112"/>
      </c>
      <c r="EH54" s="1160">
        <f t="shared" si="112"/>
      </c>
      <c r="EI54" s="1161">
        <f t="shared" si="112"/>
      </c>
      <c r="EJ54" s="1161">
        <f t="shared" si="112"/>
      </c>
      <c r="EK54" s="1160">
        <f t="shared" si="112"/>
      </c>
      <c r="EL54" s="1160">
        <f t="shared" si="112"/>
      </c>
      <c r="EM54" s="1160">
        <f t="shared" si="112"/>
      </c>
      <c r="EN54" s="1161">
        <f t="shared" si="112"/>
      </c>
      <c r="EO54" s="1161">
        <f t="shared" si="112"/>
      </c>
      <c r="EP54" s="1160">
        <f t="shared" si="112"/>
      </c>
      <c r="EQ54" s="1160">
        <f>EQ53+EQ52</f>
      </c>
      <c r="ER54" s="1160">
        <f>ER53+ER52</f>
      </c>
      <c r="ES54" s="1161">
        <f t="shared" si="112"/>
      </c>
      <c r="ET54" s="1161">
        <f t="shared" ref="ET54:FF54" si="113">ET53+ET52</f>
      </c>
      <c r="EU54" s="1160">
        <f t="shared" si="113"/>
      </c>
      <c r="EV54" s="1160">
        <f t="shared" si="113"/>
      </c>
      <c r="EW54" s="1160">
        <f>EW53+EW52</f>
      </c>
      <c r="EX54" s="1161">
        <f t="shared" ref="EX54:FB54" si="114">EX53+EX52</f>
      </c>
      <c r="EY54" s="1161">
        <f t="shared" si="114"/>
      </c>
      <c r="EZ54" s="1160">
        <f t="shared" si="114"/>
      </c>
      <c r="FA54" s="1160">
        <f t="shared" si="114"/>
      </c>
      <c r="FB54" s="1160">
        <f t="shared" si="114"/>
      </c>
      <c r="FC54" s="1160">
        <f t="shared" ref="FC54" si="115">FC53+FC52</f>
      </c>
      <c r="FD54" s="1161">
        <f>FC54</f>
      </c>
      <c r="FE54" s="1161">
        <f t="shared" ca="1" si="113"/>
      </c>
      <c r="FF54" s="1161">
        <f t="shared" ca="1" si="113"/>
      </c>
      <c r="FG54" s="1161">
        <f ca="1">FG53+FG52</f>
      </c>
      <c r="FH54" s="1161">
        <f ca="1">FH53+FH52</f>
      </c>
      <c r="FI54" s="1161">
        <f ca="1">FI53+FI52</f>
      </c>
    </row>
    <row r="55" spans="1:165">
      <c r="A55" s="15"/>
      <c r="B55" s="1" t="s">
        <v>181</v>
      </c>
      <c r="C55" s="15"/>
      <c r="D55" s="15"/>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row>
    <row r="57" spans="1:165">
      <c r="CU57" s="243"/>
      <c r="CZ57" s="243"/>
      <c r="DE57" s="243"/>
    </row>
  </sheetData>
  <phoneticPr fontId="0" type="noConversion"/>
  <printOptions gridLinesSet="0"/>
  <pageMargins left="0.75" right="0.75" top="1" bottom="1" header="0.5" footer="0.5"/>
  <pageSetup scale="59" orientation="landscape" r:id="rId1"/>
  <headerFooter alignWithMargins="0"/>
  <customProperties>
    <customPr name="Qube.Worksheet.Visibility" r:id="rId2"/>
    <customPr name="SHEET_UNIQUE_ID" r:id="rId3"/>
  </customProperties>
  <drawing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2F0C-DCB0-4911-9DD7-1D62038B0184}">
  <dimension ref="B4:G74"/>
  <sheetViews>
    <sheetView showGridLines="0" zoomScale="90" zoomScaleNormal="90" workbookViewId="0"/>
  </sheetViews>
  <sheetFormatPr defaultColWidth="8.88671875" defaultRowHeight="13.8"/>
  <cols>
    <col min="1" max="1" width="8.88671875" style="3708"/>
    <col min="2" max="2" width="16.109375" style="3708" bestFit="1" customWidth="1"/>
    <col min="3" max="3" width="61.44140625" style="3708" bestFit="1" customWidth="1"/>
    <col min="4" max="5" width="8.88671875" style="3708"/>
    <col min="6" max="6" width="61.44140625" style="3708" bestFit="1" customWidth="1"/>
    <col min="7" max="16384" width="8.88671875" style="3708"/>
  </cols>
  <sheetData>
    <row r="4" spans="2:7">
      <c r="C4" s="3709"/>
      <c r="D4" s="3710"/>
    </row>
    <row r="5" spans="2:7">
      <c r="C5" s="3711" t="s">
        <v>189</v>
      </c>
      <c r="D5" s="3712"/>
      <c r="E5" s="3713"/>
      <c r="F5" s="3711" t="s">
        <v>995</v>
      </c>
      <c r="G5" s="3714"/>
    </row>
    <row r="6" spans="2:7">
      <c r="C6" s="3715" t="s">
        <v>996</v>
      </c>
      <c r="D6" s="3710"/>
      <c r="F6" s="3715" t="s">
        <v>997</v>
      </c>
    </row>
    <row r="7" spans="2:7">
      <c r="C7" s="3715" t="s">
        <v>998</v>
      </c>
      <c r="D7" s="3710"/>
      <c r="F7" s="3715">
        <v>1900</v>
      </c>
    </row>
    <row r="8" spans="2:7">
      <c r="C8" s="3715" t="s">
        <v>999</v>
      </c>
      <c r="D8" s="3710"/>
      <c r="F8" s="3715" t="s">
        <v>1000</v>
      </c>
    </row>
    <row r="9" spans="2:7">
      <c r="C9" s="3715" t="s">
        <v>1001</v>
      </c>
      <c r="D9" s="3710"/>
      <c r="F9" s="3715">
        <v>4804</v>
      </c>
    </row>
    <row r="10" spans="2:7">
      <c r="C10" s="3715" t="s">
        <v>797</v>
      </c>
      <c r="D10" s="3710"/>
      <c r="F10" s="3715" t="s">
        <v>909</v>
      </c>
    </row>
    <row r="11" spans="2:7">
      <c r="B11" s="3708" t="s">
        <v>1002</v>
      </c>
      <c r="C11" s="3716" t="s">
        <v>1003</v>
      </c>
      <c r="D11" s="3710"/>
      <c r="F11" s="3715">
        <v>5120</v>
      </c>
    </row>
    <row r="12" spans="2:7">
      <c r="B12" s="3708" t="s">
        <v>1002</v>
      </c>
      <c r="C12" s="3716" t="s">
        <v>899</v>
      </c>
      <c r="D12" s="3710"/>
      <c r="F12" s="3715">
        <v>1887</v>
      </c>
    </row>
    <row r="13" spans="2:7">
      <c r="B13" s="3708" t="s">
        <v>1002</v>
      </c>
      <c r="C13" s="3716" t="s">
        <v>758</v>
      </c>
      <c r="D13" s="3710"/>
      <c r="F13" s="3715">
        <v>2056</v>
      </c>
    </row>
    <row r="14" spans="2:7">
      <c r="C14" s="3715"/>
      <c r="D14" s="3710"/>
      <c r="F14" s="3715"/>
    </row>
    <row r="15" spans="2:7">
      <c r="C15" s="3715"/>
      <c r="D15" s="3710"/>
      <c r="F15" s="3715"/>
    </row>
    <row r="16" spans="2:7">
      <c r="D16" s="3710"/>
      <c r="F16" s="3715"/>
    </row>
    <row r="17" spans="3:6">
      <c r="D17" s="3710"/>
      <c r="F17" s="3715"/>
    </row>
    <row r="18" spans="3:6">
      <c r="D18" s="3710"/>
      <c r="F18" s="3717"/>
    </row>
    <row r="19" spans="3:6">
      <c r="D19" s="3710"/>
      <c r="F19" s="3717"/>
    </row>
    <row r="20" spans="3:6">
      <c r="D20" s="3710"/>
    </row>
    <row r="21" spans="3:6">
      <c r="C21" s="3711" t="s">
        <v>1004</v>
      </c>
      <c r="D21" s="3710"/>
      <c r="F21" s="3711" t="s">
        <v>1005</v>
      </c>
    </row>
    <row r="22" spans="3:6">
      <c r="C22" s="3715">
        <f>COUNTA(C6:C10)</f>
      </c>
      <c r="D22" s="3710"/>
      <c r="F22" s="3715">
        <f>COUNTA(F6:F13)</f>
      </c>
    </row>
    <row r="23" spans="3:6">
      <c r="C23" s="3711" t="s">
        <v>1006</v>
      </c>
      <c r="D23" s="3710"/>
      <c r="F23" s="3711" t="s">
        <v>1007</v>
      </c>
    </row>
    <row r="24" spans="3:6">
      <c r="C24" s="3718">
        <v>1000</v>
      </c>
      <c r="D24" s="3710"/>
      <c r="F24" s="3718">
        <v>1000</v>
      </c>
    </row>
    <row r="25" spans="3:6">
      <c r="C25" s="3711" t="s">
        <v>1008</v>
      </c>
      <c r="D25" s="3710"/>
      <c r="F25" s="3711" t="s">
        <v>1008</v>
      </c>
    </row>
    <row r="26" spans="3:6">
      <c r="C26" s="3719">
        <f>C24*C22</f>
      </c>
      <c r="D26" s="3710"/>
      <c r="F26" s="3719">
        <f>F24*F22</f>
      </c>
    </row>
    <row r="27" spans="3:6">
      <c r="C27" s="3711" t="s">
        <v>819</v>
      </c>
      <c r="D27" s="3710"/>
      <c r="F27" s="3711" t="s">
        <v>819</v>
      </c>
    </row>
    <row r="28" spans="3:6" ht="14.4" thickBot="1">
      <c r="C28" s="3720">
        <v>0.5</v>
      </c>
      <c r="D28" s="3710"/>
      <c r="F28" s="3720">
        <v>0.25</v>
      </c>
    </row>
    <row r="29" spans="3:6">
      <c r="C29" s="3721" t="s">
        <v>1009</v>
      </c>
      <c r="D29" s="3710"/>
      <c r="F29" s="3721" t="s">
        <v>1009</v>
      </c>
    </row>
    <row r="30" spans="3:6" ht="14.4" thickBot="1">
      <c r="C30" s="3722">
        <f>C28*C26</f>
      </c>
      <c r="D30" s="3710"/>
      <c r="F30" s="3722">
        <f>F28*F26</f>
      </c>
    </row>
    <row r="31" spans="3:6">
      <c r="C31" s="3715"/>
      <c r="D31" s="3710"/>
    </row>
    <row r="32" spans="3:6">
      <c r="C32" s="3711" t="s">
        <v>1010</v>
      </c>
      <c r="D32" s="3710"/>
    </row>
    <row r="33" spans="3:4">
      <c r="C33" s="3723" t="s">
        <v>1011</v>
      </c>
      <c r="D33" s="3710"/>
    </row>
    <row r="34" spans="3:4">
      <c r="C34" s="3724">
        <f>C30+F30</f>
      </c>
      <c r="D34" s="3710"/>
    </row>
    <row r="35" spans="3:4">
      <c r="C35" s="3725"/>
      <c r="D35" s="3710"/>
    </row>
    <row r="36" spans="3:4">
      <c r="C36" s="3726" t="s">
        <v>1012</v>
      </c>
      <c r="D36" s="3710"/>
    </row>
    <row r="37" spans="3:4">
      <c r="C37" s="3727">
        <v>0.75</v>
      </c>
      <c r="D37" s="3710"/>
    </row>
    <row r="38" spans="3:4">
      <c r="C38" s="3728"/>
      <c r="D38" s="3710"/>
    </row>
    <row r="39" spans="3:4">
      <c r="C39" s="3726" t="s">
        <v>775</v>
      </c>
      <c r="D39" s="3710"/>
    </row>
    <row r="40" spans="3:4">
      <c r="C40" s="3729">
        <f>C34*C37</f>
      </c>
      <c r="D40" s="3710"/>
    </row>
    <row r="41" spans="3:4">
      <c r="C41" s="3730"/>
      <c r="D41" s="3710"/>
    </row>
    <row r="42" spans="3:4">
      <c r="C42" s="3726" t="s">
        <v>1013</v>
      </c>
      <c r="D42" s="3710"/>
    </row>
    <row r="43" spans="3:4">
      <c r="C43" s="3731">
        <f>1-C37</f>
      </c>
      <c r="D43" s="3710"/>
    </row>
    <row r="44" spans="3:4">
      <c r="C44" s="3730"/>
      <c r="D44" s="3710"/>
    </row>
    <row r="45" spans="3:4">
      <c r="C45" s="3726" t="s">
        <v>1014</v>
      </c>
      <c r="D45" s="3710"/>
    </row>
    <row r="46" spans="3:4">
      <c r="C46" s="3732">
        <f>C43*C34</f>
      </c>
      <c r="D46" s="3710"/>
    </row>
    <row r="47" spans="3:4">
      <c r="D47" s="3710"/>
    </row>
    <row r="48" spans="3:4">
      <c r="C48" s="3711" t="s">
        <v>1015</v>
      </c>
      <c r="D48" s="3710"/>
    </row>
    <row r="49" spans="3:4">
      <c r="C49" s="3723" t="s">
        <v>1016</v>
      </c>
      <c r="D49" s="3710"/>
    </row>
    <row r="50" spans="3:4">
      <c r="C50" s="3724">
        <f>C26+F26</f>
      </c>
      <c r="D50" s="3710"/>
    </row>
    <row r="51" spans="3:4">
      <c r="C51" s="3725"/>
      <c r="D51" s="3710"/>
    </row>
    <row r="52" spans="3:4">
      <c r="C52" s="3726" t="s">
        <v>1012</v>
      </c>
      <c r="D52" s="3710"/>
    </row>
    <row r="53" spans="3:4">
      <c r="C53" s="3727">
        <v>0.75</v>
      </c>
      <c r="D53" s="3710"/>
    </row>
    <row r="54" spans="3:4">
      <c r="C54" s="3728"/>
      <c r="D54" s="3710"/>
    </row>
    <row r="55" spans="3:4">
      <c r="C55" s="3726" t="s">
        <v>775</v>
      </c>
      <c r="D55" s="3710"/>
    </row>
    <row r="56" spans="3:4">
      <c r="C56" s="3729">
        <f>C50*C53</f>
      </c>
      <c r="D56" s="3710"/>
    </row>
    <row r="57" spans="3:4">
      <c r="C57" s="3730"/>
      <c r="D57" s="3710"/>
    </row>
    <row r="58" spans="3:4">
      <c r="C58" s="3726" t="s">
        <v>1013</v>
      </c>
      <c r="D58" s="3710"/>
    </row>
    <row r="59" spans="3:4">
      <c r="C59" s="3731">
        <f>1-C53</f>
      </c>
      <c r="D59" s="3710"/>
    </row>
    <row r="60" spans="3:4">
      <c r="C60" s="3730"/>
      <c r="D60" s="3710"/>
    </row>
    <row r="61" spans="3:4">
      <c r="C61" s="3726" t="s">
        <v>1014</v>
      </c>
      <c r="D61" s="3710"/>
    </row>
    <row r="62" spans="3:4">
      <c r="C62" s="3732">
        <f>C59*C50</f>
      </c>
      <c r="D62" s="3710"/>
    </row>
    <row r="63" spans="3:4">
      <c r="D63" s="3710"/>
    </row>
    <row r="64" spans="3:4">
      <c r="D64" s="3710"/>
    </row>
    <row r="65" spans="3:4">
      <c r="D65" s="3710"/>
    </row>
    <row r="66" spans="3:4">
      <c r="D66" s="3710"/>
    </row>
    <row r="67" spans="3:4">
      <c r="D67" s="3710"/>
    </row>
    <row r="68" spans="3:4">
      <c r="D68" s="3710"/>
    </row>
    <row r="69" spans="3:4">
      <c r="D69" s="3710"/>
    </row>
    <row r="70" spans="3:4">
      <c r="D70" s="3710"/>
    </row>
    <row r="71" spans="3:4">
      <c r="D71" s="3710"/>
    </row>
    <row r="72" spans="3:4">
      <c r="D72" s="3710"/>
    </row>
    <row r="73" spans="3:4">
      <c r="D73" s="3710"/>
    </row>
    <row r="74" spans="3:4">
      <c r="C74" s="3709"/>
      <c r="D74" s="3710"/>
    </row>
  </sheetData>
  <pageMargins left="0.7" right="0.7" top="0.75" bottom="0.75" header="0.3" footer="0.3"/>
  <customProperties>
    <customPr name="Qube.Worksheet.Visibility" r:id="rId1"/>
    <customPr name="SHEET_UNIQUE_ID" r:id="rId2"/>
  </customPropertie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3942-789B-4ABE-AF28-31A14ACE43EE}">
  <sheetPr>
    <tabColor theme="5" tint="-9.9978637043366805E-2"/>
  </sheetPr>
  <dimension ref="A1:M75"/>
  <sheetViews>
    <sheetView zoomScaleNormal="100" workbookViewId="0">
      <pane xSplit="2" ySplit="6" topLeftCell="D15" activePane="bottomRight" state="frozen"/>
      <selection pane="topRight" activeCell="C1" sqref="C1"/>
      <selection pane="bottomLeft" activeCell="A7" sqref="A7"/>
      <selection pane="bottomRight"/>
    </sheetView>
  </sheetViews>
  <sheetFormatPr defaultColWidth="9.109375" defaultRowHeight="14.4"/>
  <cols>
    <col min="1" max="1" width="3.5546875" style="3791" customWidth="1"/>
    <col min="2" max="2" width="50.5546875" style="3791" customWidth="1"/>
    <col min="3" max="3" width="10.5546875" style="3880" customWidth="1"/>
    <col min="4" max="39" width="10.5546875" style="3791" customWidth="1"/>
    <col min="40" max="16384" width="9.109375" style="3791"/>
  </cols>
  <sheetData>
    <row r="1" spans="1:13" ht="20.100000000000001" customHeight="1">
      <c r="A1" s="3789"/>
      <c r="B1" s="3789"/>
      <c r="C1" s="3790"/>
      <c r="D1" s="3789"/>
      <c r="E1" s="3789"/>
      <c r="F1" s="3789"/>
      <c r="G1" s="3789"/>
      <c r="H1" s="3789"/>
      <c r="I1" s="3789"/>
      <c r="J1" s="3789"/>
      <c r="K1" s="3789"/>
      <c r="L1" s="3789"/>
      <c r="M1" s="3789"/>
    </row>
    <row r="2" spans="1:13" ht="20.100000000000001" customHeight="1">
      <c r="A2" s="3789"/>
      <c r="B2" s="3792"/>
      <c r="C2" s="3793"/>
      <c r="D2" s="3789"/>
      <c r="E2" s="3789"/>
      <c r="F2" s="3789"/>
      <c r="G2" s="3789"/>
      <c r="H2" s="3789"/>
      <c r="I2" s="3789"/>
      <c r="J2" s="3789"/>
      <c r="K2" s="3789"/>
      <c r="L2" s="3789"/>
      <c r="M2" s="3789"/>
    </row>
    <row r="3" spans="1:13" ht="20.100000000000001" customHeight="1" thickBot="1">
      <c r="A3" s="3789"/>
      <c r="B3" s="3794" t="str">
        <f ca="1">MID(CELL("filename",A1),FIND("]",CELL("filename",A1))+1,255)</f>
      </c>
      <c r="C3" s="3795"/>
      <c r="D3" s="3796"/>
      <c r="E3" s="3796"/>
      <c r="F3" s="3796"/>
      <c r="G3" s="3796"/>
      <c r="H3" s="3796"/>
      <c r="I3" s="3796"/>
      <c r="J3" s="3796"/>
      <c r="K3" s="3796"/>
      <c r="L3" s="3796"/>
      <c r="M3" s="3796"/>
    </row>
    <row r="4" spans="1:13" ht="15" customHeight="1">
      <c r="A4" s="3789"/>
      <c r="B4" s="3797"/>
      <c r="C4" s="3798"/>
      <c r="D4" s="3789"/>
      <c r="E4" s="3789"/>
      <c r="F4" s="3789"/>
      <c r="G4" s="3789"/>
      <c r="H4" s="3789"/>
      <c r="I4" s="3789"/>
      <c r="J4" s="3789"/>
      <c r="K4" s="3789"/>
      <c r="L4" s="3789"/>
      <c r="M4" s="3789"/>
    </row>
    <row r="5" spans="1:13" ht="15" customHeight="1">
      <c r="A5" s="3789"/>
      <c r="B5" s="3799"/>
      <c r="C5" s="3798"/>
      <c r="D5" s="3789"/>
      <c r="E5" s="3789"/>
      <c r="F5" s="3789"/>
      <c r="G5" s="3789"/>
      <c r="H5" s="3789"/>
      <c r="I5" s="3789"/>
      <c r="J5" s="3789"/>
      <c r="K5" s="3789"/>
      <c r="L5" s="3789"/>
      <c r="M5" s="3789"/>
    </row>
    <row r="6" spans="1:13" ht="15" customHeight="1">
      <c r="A6" s="3800"/>
      <c r="B6" s="3801" t="s">
        <v>1093</v>
      </c>
      <c r="C6" s="3802"/>
      <c r="D6" s="3803" t="s">
        <v>1064</v>
      </c>
      <c r="E6" s="3802" t="s">
        <v>913</v>
      </c>
      <c r="F6" s="3802" t="s">
        <v>1065</v>
      </c>
      <c r="G6" s="3802" t="s">
        <v>1066</v>
      </c>
      <c r="H6" s="3802" t="s">
        <v>630</v>
      </c>
      <c r="I6" s="3802" t="s">
        <v>826</v>
      </c>
      <c r="J6" s="3802" t="s">
        <v>827</v>
      </c>
      <c r="K6" s="3802" t="s">
        <v>901</v>
      </c>
      <c r="L6" s="3802" t="s">
        <v>907</v>
      </c>
      <c r="M6" s="3804" t="s">
        <v>910</v>
      </c>
    </row>
    <row r="7" spans="1:13" ht="15" customHeight="1">
      <c r="A7" s="3800"/>
      <c r="B7" s="3805" t="s">
        <v>1067</v>
      </c>
      <c r="C7" s="3906"/>
      <c r="D7" s="3907"/>
      <c r="E7" s="3906"/>
      <c r="F7" s="3906"/>
      <c r="G7" s="3906"/>
      <c r="H7" s="3906"/>
      <c r="I7" s="3906"/>
      <c r="J7" s="3906"/>
      <c r="K7" s="3906"/>
      <c r="L7" s="3906"/>
      <c r="M7" s="3806"/>
    </row>
    <row r="8" spans="1:13" ht="15" customHeight="1">
      <c r="A8" s="3807"/>
      <c r="B8" s="3808" t="s">
        <v>1094</v>
      </c>
      <c r="C8" s="3809"/>
      <c r="D8" s="3810">
        <v>1200000</v>
      </c>
      <c r="E8" s="3810">
        <f t="shared" ref="E8:M8" si="0">D8*(1+E9)</f>
      </c>
      <c r="F8" s="3810">
        <f t="shared" si="0"/>
      </c>
      <c r="G8" s="3810">
        <f t="shared" si="0"/>
      </c>
      <c r="H8" s="3810">
        <f t="shared" si="0"/>
      </c>
      <c r="I8" s="3810">
        <f t="shared" si="0"/>
      </c>
      <c r="J8" s="3810">
        <f t="shared" si="0"/>
      </c>
      <c r="K8" s="3810">
        <f t="shared" si="0"/>
      </c>
      <c r="L8" s="3810">
        <f t="shared" si="0"/>
      </c>
      <c r="M8" s="3811">
        <f t="shared" si="0"/>
      </c>
    </row>
    <row r="9" spans="1:13" ht="15" customHeight="1">
      <c r="A9" s="3789"/>
      <c r="B9" s="3812" t="s">
        <v>1069</v>
      </c>
      <c r="C9" s="3790"/>
      <c r="D9" s="3908"/>
      <c r="E9" s="3908">
        <v>7.0000000000000001E-3</v>
      </c>
      <c r="F9" s="3908">
        <f t="shared" ref="F9:M9" si="1">E9</f>
      </c>
      <c r="G9" s="3908">
        <f t="shared" si="1"/>
      </c>
      <c r="H9" s="3908">
        <f t="shared" si="1"/>
      </c>
      <c r="I9" s="3908">
        <f t="shared" si="1"/>
      </c>
      <c r="J9" s="3908">
        <f t="shared" si="1"/>
      </c>
      <c r="K9" s="3908">
        <f t="shared" si="1"/>
      </c>
      <c r="L9" s="3908">
        <f t="shared" si="1"/>
      </c>
      <c r="M9" s="3813">
        <f t="shared" si="1"/>
      </c>
    </row>
    <row r="10" spans="1:13" ht="15" customHeight="1">
      <c r="A10" s="3789"/>
      <c r="B10" s="3812"/>
      <c r="C10" s="3790"/>
      <c r="D10" s="3908"/>
      <c r="E10" s="3908"/>
      <c r="F10" s="3908"/>
      <c r="G10" s="3908"/>
      <c r="H10" s="3908"/>
      <c r="I10" s="3908"/>
      <c r="J10" s="3908"/>
      <c r="K10" s="3908"/>
      <c r="L10" s="3908"/>
      <c r="M10" s="3813"/>
    </row>
    <row r="11" spans="1:13" ht="15" customHeight="1">
      <c r="A11" s="3789"/>
      <c r="B11" s="3814" t="s">
        <v>1070</v>
      </c>
      <c r="C11" s="3790"/>
      <c r="D11" s="3909"/>
      <c r="E11" s="3909"/>
      <c r="F11" s="3909"/>
      <c r="G11" s="3909"/>
      <c r="H11" s="3909"/>
      <c r="I11" s="3909"/>
      <c r="J11" s="3909"/>
      <c r="K11" s="3909"/>
      <c r="L11" s="3909"/>
      <c r="M11" s="3910"/>
    </row>
    <row r="12" spans="1:13" ht="15" customHeight="1">
      <c r="A12" s="3789"/>
      <c r="B12" s="3812" t="s">
        <v>1095</v>
      </c>
      <c r="C12" s="3815">
        <v>0.37</v>
      </c>
      <c r="D12" s="3816">
        <f>D8*$C$12</f>
      </c>
      <c r="E12" s="3816">
        <f t="shared" ref="E12:M12" si="2">E8*$C$12</f>
      </c>
      <c r="F12" s="3816">
        <f t="shared" si="2"/>
      </c>
      <c r="G12" s="3816">
        <f t="shared" si="2"/>
      </c>
      <c r="H12" s="3816">
        <f t="shared" si="2"/>
      </c>
      <c r="I12" s="3816">
        <f t="shared" si="2"/>
      </c>
      <c r="J12" s="3816">
        <f t="shared" si="2"/>
      </c>
      <c r="K12" s="3816">
        <f t="shared" si="2"/>
      </c>
      <c r="L12" s="3816">
        <f t="shared" si="2"/>
      </c>
      <c r="M12" s="3817">
        <f t="shared" si="2"/>
      </c>
    </row>
    <row r="13" spans="1:13" ht="15" customHeight="1">
      <c r="A13" s="3789"/>
      <c r="B13" s="3812" t="s">
        <v>1096</v>
      </c>
      <c r="C13" s="3815">
        <v>0.46</v>
      </c>
      <c r="D13" s="3816">
        <f>D8*$C$13</f>
      </c>
      <c r="E13" s="3816">
        <f t="shared" ref="E13:M13" si="3">E8*$C$13</f>
      </c>
      <c r="F13" s="3816">
        <f t="shared" si="3"/>
      </c>
      <c r="G13" s="3816">
        <f t="shared" si="3"/>
      </c>
      <c r="H13" s="3816">
        <f t="shared" si="3"/>
      </c>
      <c r="I13" s="3816">
        <f t="shared" si="3"/>
      </c>
      <c r="J13" s="3816">
        <f t="shared" si="3"/>
      </c>
      <c r="K13" s="3816">
        <f t="shared" si="3"/>
      </c>
      <c r="L13" s="3816">
        <f t="shared" si="3"/>
      </c>
      <c r="M13" s="3817">
        <f t="shared" si="3"/>
      </c>
    </row>
    <row r="14" spans="1:13" ht="15" customHeight="1">
      <c r="A14" s="3789"/>
      <c r="B14" s="3812" t="s">
        <v>1097</v>
      </c>
      <c r="C14" s="3815">
        <v>0.17</v>
      </c>
      <c r="D14" s="3816">
        <f>D8*$C$14</f>
      </c>
      <c r="E14" s="3816">
        <f t="shared" ref="E14:M14" si="4">E8*$C$14</f>
      </c>
      <c r="F14" s="3816">
        <f t="shared" si="4"/>
      </c>
      <c r="G14" s="3816">
        <f t="shared" si="4"/>
      </c>
      <c r="H14" s="3816">
        <f t="shared" si="4"/>
      </c>
      <c r="I14" s="3816">
        <f t="shared" si="4"/>
      </c>
      <c r="J14" s="3816">
        <f t="shared" si="4"/>
      </c>
      <c r="K14" s="3816">
        <f t="shared" si="4"/>
      </c>
      <c r="L14" s="3816">
        <f t="shared" si="4"/>
      </c>
      <c r="M14" s="3817">
        <f t="shared" si="4"/>
      </c>
    </row>
    <row r="15" spans="1:13" ht="15" customHeight="1">
      <c r="A15" s="3789"/>
      <c r="B15" s="3812"/>
      <c r="C15" s="3911"/>
      <c r="D15" s="3908"/>
      <c r="E15" s="3908"/>
      <c r="F15" s="3908"/>
      <c r="G15" s="3908"/>
      <c r="H15" s="3908"/>
      <c r="I15" s="3908"/>
      <c r="J15" s="3908"/>
      <c r="K15" s="3908"/>
      <c r="L15" s="3908"/>
      <c r="M15" s="3813"/>
    </row>
    <row r="16" spans="1:13" ht="15" customHeight="1">
      <c r="A16" s="3789"/>
      <c r="B16" s="3814" t="s">
        <v>1098</v>
      </c>
      <c r="C16" s="3911"/>
      <c r="D16" s="3908"/>
      <c r="E16" s="3908"/>
      <c r="F16" s="3908"/>
      <c r="G16" s="3908"/>
      <c r="H16" s="3908"/>
      <c r="I16" s="3908"/>
      <c r="J16" s="3908"/>
      <c r="K16" s="3908"/>
      <c r="L16" s="3908"/>
      <c r="M16" s="3813"/>
    </row>
    <row r="17" spans="1:13" ht="15" customHeight="1">
      <c r="A17" s="3789"/>
      <c r="B17" s="3812" t="s">
        <v>1095</v>
      </c>
      <c r="C17" s="3815">
        <v>0.4</v>
      </c>
      <c r="D17" s="3816">
        <f>D12*$C$17</f>
      </c>
      <c r="E17" s="3816">
        <f t="shared" ref="E17:M17" si="5">E12*$C$17</f>
      </c>
      <c r="F17" s="3816">
        <f t="shared" si="5"/>
      </c>
      <c r="G17" s="3816">
        <f t="shared" si="5"/>
      </c>
      <c r="H17" s="3816">
        <f t="shared" si="5"/>
      </c>
      <c r="I17" s="3816">
        <f t="shared" si="5"/>
      </c>
      <c r="J17" s="3816">
        <f t="shared" si="5"/>
      </c>
      <c r="K17" s="3816">
        <f t="shared" si="5"/>
      </c>
      <c r="L17" s="3816">
        <f t="shared" si="5"/>
      </c>
      <c r="M17" s="3817">
        <f t="shared" si="5"/>
      </c>
    </row>
    <row r="18" spans="1:13" ht="15" customHeight="1">
      <c r="A18" s="3789"/>
      <c r="B18" s="3812" t="s">
        <v>1096</v>
      </c>
      <c r="C18" s="3815">
        <v>0.95</v>
      </c>
      <c r="D18" s="3816">
        <f>D13*$C$18</f>
      </c>
      <c r="E18" s="3816">
        <f t="shared" ref="E18:M18" si="6">E13*$C$18</f>
      </c>
      <c r="F18" s="3816">
        <f t="shared" si="6"/>
      </c>
      <c r="G18" s="3816">
        <f t="shared" si="6"/>
      </c>
      <c r="H18" s="3816">
        <f t="shared" si="6"/>
      </c>
      <c r="I18" s="3816">
        <f t="shared" si="6"/>
      </c>
      <c r="J18" s="3816">
        <f t="shared" si="6"/>
      </c>
      <c r="K18" s="3816">
        <f t="shared" si="6"/>
      </c>
      <c r="L18" s="3816">
        <f t="shared" si="6"/>
      </c>
      <c r="M18" s="3817">
        <f t="shared" si="6"/>
      </c>
    </row>
    <row r="19" spans="1:13" ht="15" customHeight="1">
      <c r="A19" s="3789"/>
      <c r="B19" s="3812" t="s">
        <v>1097</v>
      </c>
      <c r="C19" s="3815">
        <v>0.95</v>
      </c>
      <c r="D19" s="3816">
        <f>D14*$C$19</f>
      </c>
      <c r="E19" s="3816">
        <f t="shared" ref="E19:M19" si="7">E14*$C$19</f>
      </c>
      <c r="F19" s="3816">
        <f t="shared" si="7"/>
      </c>
      <c r="G19" s="3816">
        <f t="shared" si="7"/>
      </c>
      <c r="H19" s="3816">
        <f t="shared" si="7"/>
      </c>
      <c r="I19" s="3816">
        <f t="shared" si="7"/>
      </c>
      <c r="J19" s="3816">
        <f t="shared" si="7"/>
      </c>
      <c r="K19" s="3816">
        <f t="shared" si="7"/>
      </c>
      <c r="L19" s="3816">
        <f t="shared" si="7"/>
      </c>
      <c r="M19" s="3817">
        <f t="shared" si="7"/>
      </c>
    </row>
    <row r="20" spans="1:13" ht="15" customHeight="1">
      <c r="A20" s="3789"/>
      <c r="B20" s="3886" t="s">
        <v>1099</v>
      </c>
      <c r="C20" s="3911"/>
      <c r="D20" s="3887">
        <f>SUM(D17:D19)</f>
      </c>
      <c r="E20" s="3887">
        <f t="shared" ref="E20:M20" si="8">SUM(E17:E19)</f>
      </c>
      <c r="F20" s="3887">
        <f t="shared" si="8"/>
      </c>
      <c r="G20" s="3887">
        <f t="shared" si="8"/>
      </c>
      <c r="H20" s="3887">
        <f t="shared" si="8"/>
      </c>
      <c r="I20" s="3887">
        <f t="shared" si="8"/>
      </c>
      <c r="J20" s="3887">
        <f t="shared" si="8"/>
      </c>
      <c r="K20" s="3887">
        <f t="shared" si="8"/>
      </c>
      <c r="L20" s="3887">
        <f t="shared" si="8"/>
      </c>
      <c r="M20" s="3888">
        <f t="shared" si="8"/>
      </c>
    </row>
    <row r="21" spans="1:13" ht="15" customHeight="1">
      <c r="A21" s="3789"/>
      <c r="B21" s="3812"/>
      <c r="C21" s="3911"/>
      <c r="D21" s="3912"/>
      <c r="E21" s="3912"/>
      <c r="F21" s="3912"/>
      <c r="G21" s="3912"/>
      <c r="H21" s="3912"/>
      <c r="I21" s="3912"/>
      <c r="J21" s="3912"/>
      <c r="K21" s="3912"/>
      <c r="L21" s="3912"/>
      <c r="M21" s="3889"/>
    </row>
    <row r="22" spans="1:13" ht="15" customHeight="1">
      <c r="A22" s="3789"/>
      <c r="B22" s="3814" t="s">
        <v>1100</v>
      </c>
      <c r="C22" s="3911">
        <f>D22/D8</f>
      </c>
      <c r="D22" s="3816">
        <f>(D17-D23)+D18-D24+D19-D25</f>
      </c>
      <c r="E22" s="3908"/>
      <c r="F22" s="3908"/>
      <c r="G22" s="3908"/>
      <c r="H22" s="3908"/>
      <c r="I22" s="3908"/>
      <c r="J22" s="3908"/>
      <c r="K22" s="3908"/>
      <c r="L22" s="3908"/>
      <c r="M22" s="3813"/>
    </row>
    <row r="23" spans="1:13" ht="15" customHeight="1">
      <c r="A23" s="3789"/>
      <c r="B23" s="3812" t="s">
        <v>1095</v>
      </c>
      <c r="C23" s="3815">
        <v>0.1</v>
      </c>
      <c r="D23" s="3816">
        <f>D17*$C$23</f>
      </c>
      <c r="E23" s="3816">
        <f t="shared" ref="E23:M23" si="9">E17*$C$23</f>
      </c>
      <c r="F23" s="3816">
        <f t="shared" si="9"/>
      </c>
      <c r="G23" s="3816">
        <f t="shared" si="9"/>
      </c>
      <c r="H23" s="3816">
        <f t="shared" si="9"/>
      </c>
      <c r="I23" s="3816">
        <f t="shared" si="9"/>
      </c>
      <c r="J23" s="3816">
        <f t="shared" si="9"/>
      </c>
      <c r="K23" s="3816">
        <f t="shared" si="9"/>
      </c>
      <c r="L23" s="3816">
        <f t="shared" si="9"/>
      </c>
      <c r="M23" s="3817">
        <f t="shared" si="9"/>
      </c>
    </row>
    <row r="24" spans="1:13" ht="15" customHeight="1">
      <c r="A24" s="3789"/>
      <c r="B24" s="3812" t="s">
        <v>1096</v>
      </c>
      <c r="C24" s="3815">
        <v>0.22</v>
      </c>
      <c r="D24" s="3816">
        <f>D18*$C$24</f>
      </c>
      <c r="E24" s="3816">
        <f t="shared" ref="E24:M24" si="10">E18*$C$24</f>
      </c>
      <c r="F24" s="3816">
        <f t="shared" si="10"/>
      </c>
      <c r="G24" s="3816">
        <f t="shared" si="10"/>
      </c>
      <c r="H24" s="3816">
        <f t="shared" si="10"/>
      </c>
      <c r="I24" s="3816">
        <f t="shared" si="10"/>
      </c>
      <c r="J24" s="3816">
        <f t="shared" si="10"/>
      </c>
      <c r="K24" s="3816">
        <f t="shared" si="10"/>
      </c>
      <c r="L24" s="3816">
        <f t="shared" si="10"/>
      </c>
      <c r="M24" s="3817">
        <f t="shared" si="10"/>
      </c>
    </row>
    <row r="25" spans="1:13" ht="15" customHeight="1">
      <c r="A25" s="3789"/>
      <c r="B25" s="3812" t="s">
        <v>1097</v>
      </c>
      <c r="C25" s="3815">
        <v>0.35</v>
      </c>
      <c r="D25" s="3816">
        <f>D19*$C$25</f>
      </c>
      <c r="E25" s="3816">
        <f t="shared" ref="E25:M25" si="11">E19*$C$25</f>
      </c>
      <c r="F25" s="3816">
        <f t="shared" si="11"/>
      </c>
      <c r="G25" s="3816">
        <f t="shared" si="11"/>
      </c>
      <c r="H25" s="3816">
        <f t="shared" si="11"/>
      </c>
      <c r="I25" s="3816">
        <f t="shared" si="11"/>
      </c>
      <c r="J25" s="3816">
        <f t="shared" si="11"/>
      </c>
      <c r="K25" s="3816">
        <f t="shared" si="11"/>
      </c>
      <c r="L25" s="3816">
        <f t="shared" si="11"/>
      </c>
      <c r="M25" s="3817">
        <f t="shared" si="11"/>
      </c>
    </row>
    <row r="26" spans="1:13" ht="15" customHeight="1">
      <c r="A26" s="3836"/>
      <c r="B26" s="3812" t="s">
        <v>1101</v>
      </c>
      <c r="C26" s="3890">
        <f>D26/D20</f>
      </c>
      <c r="D26" s="3816">
        <f>D24+D25</f>
      </c>
      <c r="E26" s="3816">
        <f t="shared" ref="E26:M26" si="12">E24+E25</f>
      </c>
      <c r="F26" s="3816">
        <f t="shared" si="12"/>
      </c>
      <c r="G26" s="3816">
        <f t="shared" si="12"/>
      </c>
      <c r="H26" s="3816">
        <f t="shared" si="12"/>
      </c>
      <c r="I26" s="3816">
        <f t="shared" si="12"/>
      </c>
      <c r="J26" s="3816">
        <f t="shared" si="12"/>
      </c>
      <c r="K26" s="3816">
        <f t="shared" si="12"/>
      </c>
      <c r="L26" s="3816">
        <f t="shared" si="12"/>
      </c>
      <c r="M26" s="3817">
        <f t="shared" si="12"/>
      </c>
    </row>
    <row r="27" spans="1:13" ht="15" customHeight="1">
      <c r="A27" s="3789"/>
      <c r="B27" s="3812"/>
      <c r="C27" s="3790"/>
      <c r="D27" s="3824"/>
      <c r="E27" s="3824"/>
      <c r="F27" s="3824"/>
      <c r="G27" s="3824"/>
      <c r="H27" s="3824"/>
      <c r="I27" s="3824"/>
      <c r="J27" s="3824"/>
      <c r="K27" s="3824"/>
      <c r="L27" s="3824"/>
      <c r="M27" s="3825"/>
    </row>
    <row r="28" spans="1:13" ht="15" customHeight="1">
      <c r="A28" s="3789"/>
      <c r="B28" s="3819" t="s">
        <v>1102</v>
      </c>
      <c r="C28" s="3790"/>
      <c r="D28" s="3820">
        <v>0.6</v>
      </c>
      <c r="E28" s="3820">
        <v>0.6</v>
      </c>
      <c r="F28" s="3820">
        <v>0.6</v>
      </c>
      <c r="G28" s="3820">
        <v>0.6</v>
      </c>
      <c r="H28" s="3820">
        <v>0.6</v>
      </c>
      <c r="I28" s="3820">
        <v>0.45</v>
      </c>
      <c r="J28" s="3820">
        <v>0.45</v>
      </c>
      <c r="K28" s="3820">
        <v>0.45</v>
      </c>
      <c r="L28" s="3820">
        <v>0.45</v>
      </c>
      <c r="M28" s="3821">
        <v>0.45</v>
      </c>
    </row>
    <row r="29" spans="1:13" ht="15" customHeight="1">
      <c r="A29" s="3789"/>
      <c r="B29" s="3812" t="s">
        <v>1076</v>
      </c>
      <c r="C29" s="3790"/>
      <c r="D29" s="3822">
        <f>D26*D28</f>
      </c>
      <c r="E29" s="3822">
        <f t="shared" ref="E29:M29" si="13">E26*E28</f>
      </c>
      <c r="F29" s="3822">
        <f t="shared" si="13"/>
      </c>
      <c r="G29" s="3822">
        <f t="shared" si="13"/>
      </c>
      <c r="H29" s="3822">
        <f t="shared" si="13"/>
      </c>
      <c r="I29" s="3822">
        <f t="shared" si="13"/>
      </c>
      <c r="J29" s="3822">
        <f t="shared" si="13"/>
      </c>
      <c r="K29" s="3822">
        <f t="shared" si="13"/>
      </c>
      <c r="L29" s="3822">
        <f t="shared" si="13"/>
      </c>
      <c r="M29" s="3823">
        <f t="shared" si="13"/>
      </c>
    </row>
    <row r="30" spans="1:13" ht="15" customHeight="1">
      <c r="A30" s="3789"/>
      <c r="B30" s="3812" t="s">
        <v>1105</v>
      </c>
      <c r="C30" s="3790"/>
      <c r="D30" s="3839"/>
      <c r="E30" s="3822"/>
      <c r="F30" s="3822"/>
      <c r="G30" s="3822">
        <v>409.50793257733289</v>
      </c>
      <c r="H30" s="3822">
        <f>H29*H32</f>
      </c>
      <c r="I30" s="3822">
        <f t="shared" ref="I30:M30" si="14">I29*I32</f>
      </c>
      <c r="J30" s="3822">
        <f t="shared" si="14"/>
      </c>
      <c r="K30" s="3822">
        <f t="shared" si="14"/>
      </c>
      <c r="L30" s="3822">
        <f t="shared" si="14"/>
      </c>
      <c r="M30" s="3823">
        <f t="shared" si="14"/>
      </c>
    </row>
    <row r="31" spans="1:13" ht="15" customHeight="1">
      <c r="A31" s="3789"/>
      <c r="B31" s="3812"/>
      <c r="C31" s="3790"/>
      <c r="D31" s="3822"/>
      <c r="E31" s="3822"/>
      <c r="F31" s="3822"/>
      <c r="G31" s="3822"/>
      <c r="H31" s="3822"/>
      <c r="I31" s="3822"/>
      <c r="J31" s="3822"/>
      <c r="K31" s="3822"/>
      <c r="L31" s="3822"/>
      <c r="M31" s="3823"/>
    </row>
    <row r="32" spans="1:13" ht="15" customHeight="1">
      <c r="A32" s="3789"/>
      <c r="B32" s="3819" t="s">
        <v>1106</v>
      </c>
      <c r="C32" s="3790"/>
      <c r="D32" s="3824"/>
      <c r="E32" s="3826"/>
      <c r="F32" s="3826"/>
      <c r="G32" s="3826">
        <f>G30/G29</f>
      </c>
      <c r="H32" s="3828">
        <v>4.4999999999999998E-2</v>
      </c>
      <c r="I32" s="3828">
        <v>0.08</v>
      </c>
      <c r="J32" s="3828">
        <v>0.12</v>
      </c>
      <c r="K32" s="3828">
        <v>0.15</v>
      </c>
      <c r="L32" s="3828">
        <v>0.18</v>
      </c>
      <c r="M32" s="3913">
        <v>0.2</v>
      </c>
    </row>
    <row r="33" spans="1:13" ht="15" customHeight="1">
      <c r="A33" s="3789"/>
      <c r="B33" s="3812" t="s">
        <v>1079</v>
      </c>
      <c r="C33" s="3790"/>
      <c r="D33" s="3824"/>
      <c r="E33" s="3824"/>
      <c r="F33" s="3824"/>
      <c r="G33" s="3824">
        <v>1</v>
      </c>
      <c r="H33" s="3824">
        <f t="shared" ref="H33:M33" si="15">IF(1-G32*0.9/H32&gt;0, 1-G32*0.9/H32,0)</f>
      </c>
      <c r="I33" s="3824">
        <f t="shared" si="15"/>
      </c>
      <c r="J33" s="3824">
        <f t="shared" si="15"/>
      </c>
      <c r="K33" s="3824">
        <f t="shared" si="15"/>
      </c>
      <c r="L33" s="3824">
        <f t="shared" si="15"/>
      </c>
      <c r="M33" s="3825">
        <f t="shared" si="15"/>
      </c>
    </row>
    <row r="34" spans="1:13" ht="15" customHeight="1">
      <c r="A34" s="3789"/>
      <c r="B34" s="3812" t="s">
        <v>1080</v>
      </c>
      <c r="C34" s="3790"/>
      <c r="D34" s="3824"/>
      <c r="E34" s="3824"/>
      <c r="F34" s="3824"/>
      <c r="G34" s="3824">
        <f t="shared" ref="G34:L34" si="16">1-G33</f>
      </c>
      <c r="H34" s="3824">
        <f t="shared" si="16"/>
      </c>
      <c r="I34" s="3824">
        <f t="shared" si="16"/>
      </c>
      <c r="J34" s="3824">
        <f t="shared" si="16"/>
      </c>
      <c r="K34" s="3824">
        <f t="shared" si="16"/>
      </c>
      <c r="L34" s="3824">
        <f t="shared" si="16"/>
      </c>
      <c r="M34" s="3825">
        <v>1</v>
      </c>
    </row>
    <row r="35" spans="1:13" ht="15" customHeight="1">
      <c r="A35" s="3789"/>
      <c r="B35" s="3819"/>
      <c r="C35" s="3790"/>
      <c r="D35" s="3824"/>
      <c r="E35" s="3824"/>
      <c r="F35" s="3824"/>
      <c r="G35" s="3824"/>
      <c r="H35" s="3824"/>
      <c r="I35" s="3824"/>
      <c r="J35" s="3824"/>
      <c r="K35" s="3824"/>
      <c r="L35" s="3824"/>
      <c r="M35" s="3825"/>
    </row>
    <row r="36" spans="1:13" ht="15" customHeight="1">
      <c r="A36" s="3789"/>
      <c r="B36" s="3829" t="s">
        <v>1103</v>
      </c>
      <c r="C36" s="3830"/>
      <c r="D36" s="3831"/>
      <c r="E36" s="3831"/>
      <c r="F36" s="3891"/>
      <c r="G36" s="3891">
        <f>G30</f>
      </c>
      <c r="H36" s="3891">
        <f t="shared" ref="H36:M36" si="17">H30</f>
      </c>
      <c r="I36" s="3891">
        <f t="shared" si="17"/>
      </c>
      <c r="J36" s="3891">
        <f t="shared" si="17"/>
      </c>
      <c r="K36" s="3891">
        <f t="shared" si="17"/>
      </c>
      <c r="L36" s="3891">
        <f t="shared" si="17"/>
      </c>
      <c r="M36" s="3892">
        <f t="shared" si="17"/>
      </c>
    </row>
    <row r="37" spans="1:13" ht="15" customHeight="1">
      <c r="A37" s="3789"/>
      <c r="B37" s="3812"/>
      <c r="C37" s="3790"/>
      <c r="D37" s="3824"/>
      <c r="E37" s="3824"/>
      <c r="F37" s="3824"/>
      <c r="G37" s="3824"/>
      <c r="H37" s="3824"/>
      <c r="I37" s="3824"/>
      <c r="J37" s="3824"/>
      <c r="K37" s="3824"/>
      <c r="L37" s="3824"/>
      <c r="M37" s="3825"/>
    </row>
    <row r="38" spans="1:13" ht="15" customHeight="1">
      <c r="A38" s="3789"/>
      <c r="B38" s="3814"/>
      <c r="C38" s="3790"/>
      <c r="D38" s="3789"/>
      <c r="E38" s="3789"/>
      <c r="F38" s="3789"/>
      <c r="G38" s="3789"/>
      <c r="H38" s="3789"/>
      <c r="I38" s="3789"/>
      <c r="J38" s="3789"/>
      <c r="K38" s="3789"/>
      <c r="L38" s="3789"/>
      <c r="M38" s="3914"/>
    </row>
    <row r="39" spans="1:13" ht="15" customHeight="1">
      <c r="A39" s="3789"/>
      <c r="B39" s="3814" t="s">
        <v>1082</v>
      </c>
      <c r="C39" s="3790"/>
      <c r="D39" s="3824"/>
      <c r="E39" s="3824"/>
      <c r="F39" s="3834"/>
      <c r="G39" s="3835">
        <v>0.9</v>
      </c>
      <c r="H39" s="3834">
        <f>G39</f>
      </c>
      <c r="I39" s="3834">
        <f t="shared" ref="I39:M39" si="18">H39</f>
      </c>
      <c r="J39" s="3834">
        <f t="shared" si="18"/>
      </c>
      <c r="K39" s="3834">
        <f t="shared" si="18"/>
      </c>
      <c r="L39" s="3834">
        <f t="shared" si="18"/>
      </c>
      <c r="M39" s="3915">
        <f t="shared" si="18"/>
      </c>
    </row>
    <row r="40" spans="1:13" ht="15" customHeight="1">
      <c r="A40" s="3789"/>
      <c r="B40" s="3812"/>
      <c r="C40" s="3790"/>
      <c r="D40" s="3789"/>
      <c r="E40" s="3789"/>
      <c r="F40" s="3789"/>
      <c r="G40" s="3789"/>
      <c r="H40" s="3789"/>
      <c r="I40" s="3789"/>
      <c r="J40" s="3789"/>
      <c r="K40" s="3789"/>
      <c r="L40" s="3789"/>
      <c r="M40" s="3914"/>
    </row>
    <row r="41" spans="1:13" ht="15" customHeight="1">
      <c r="A41" s="3789"/>
      <c r="B41" s="3819" t="s">
        <v>1083</v>
      </c>
      <c r="C41" s="3790"/>
      <c r="D41" s="3916"/>
      <c r="E41" s="3836"/>
      <c r="F41" s="3836"/>
      <c r="G41" s="3836">
        <v>117.91879999999999</v>
      </c>
      <c r="H41" s="3836">
        <v>122.75185727456569</v>
      </c>
      <c r="I41" s="3836">
        <v>122.2625037375</v>
      </c>
      <c r="J41" s="3836">
        <v>126.87005079000001</v>
      </c>
      <c r="K41" s="3836">
        <v>131.19005631690001</v>
      </c>
      <c r="L41" s="3836">
        <v>137.21839116693755</v>
      </c>
      <c r="M41" s="3840">
        <v>169.45586029173774</v>
      </c>
    </row>
    <row r="42" spans="1:13" ht="15" customHeight="1">
      <c r="A42" s="3789"/>
      <c r="B42" s="3837" t="s">
        <v>1084</v>
      </c>
      <c r="C42" s="3790"/>
      <c r="D42" s="3917"/>
      <c r="E42" s="3893"/>
      <c r="F42" s="3894"/>
      <c r="G42" s="3839"/>
      <c r="H42" s="3839">
        <f>H41/G41-1</f>
      </c>
      <c r="I42" s="3839">
        <f t="shared" ref="I42:M42" si="19">I41/H41-1</f>
      </c>
      <c r="J42" s="3839">
        <f t="shared" si="19"/>
      </c>
      <c r="K42" s="3839">
        <f t="shared" si="19"/>
      </c>
      <c r="L42" s="3839">
        <f t="shared" si="19"/>
      </c>
      <c r="M42" s="3895">
        <f t="shared" si="19"/>
      </c>
    </row>
    <row r="43" spans="1:13" ht="15" customHeight="1">
      <c r="A43" s="3789"/>
      <c r="B43" s="3837"/>
      <c r="C43" s="3790"/>
      <c r="D43" s="3789"/>
      <c r="E43" s="3789"/>
      <c r="F43" s="3936"/>
      <c r="G43" s="3936"/>
      <c r="H43" s="3936"/>
      <c r="I43" s="3918"/>
      <c r="J43" s="3789"/>
      <c r="K43" s="3789"/>
      <c r="L43" s="3918"/>
      <c r="M43" s="3919"/>
    </row>
    <row r="44" spans="1:13" ht="15" customHeight="1">
      <c r="A44" s="3789"/>
      <c r="B44" s="3819" t="s">
        <v>1085</v>
      </c>
      <c r="C44" s="3790"/>
      <c r="D44" s="3836"/>
      <c r="E44" s="3836"/>
      <c r="F44" s="3836"/>
      <c r="G44" s="3836">
        <f>G41* G45</f>
      </c>
      <c r="H44" s="3836">
        <f>H41* H45</f>
      </c>
      <c r="I44" s="3836">
        <f>I41* I45</f>
      </c>
      <c r="J44" s="3836">
        <f>J41* J45</f>
      </c>
      <c r="K44" s="3836">
        <f t="shared" ref="K44:M44" si="20">K41* K45</f>
      </c>
      <c r="L44" s="3836">
        <f t="shared" si="20"/>
      </c>
      <c r="M44" s="3840">
        <f t="shared" si="20"/>
      </c>
    </row>
    <row r="45" spans="1:13" ht="15" customHeight="1">
      <c r="A45" s="3789"/>
      <c r="B45" s="3837" t="s">
        <v>1086</v>
      </c>
      <c r="C45" s="3790"/>
      <c r="D45" s="3920"/>
      <c r="E45" s="3937"/>
      <c r="F45" s="3921"/>
      <c r="G45" s="3921">
        <v>0.42</v>
      </c>
      <c r="H45" s="3921">
        <f>G45</f>
      </c>
      <c r="I45" s="3921">
        <f t="shared" ref="I45:M45" si="21">H45</f>
      </c>
      <c r="J45" s="3921">
        <f t="shared" si="21"/>
      </c>
      <c r="K45" s="3921">
        <f t="shared" si="21"/>
      </c>
      <c r="L45" s="3921">
        <f t="shared" si="21"/>
      </c>
      <c r="M45" s="3841">
        <f t="shared" si="21"/>
      </c>
    </row>
    <row r="46" spans="1:13" ht="15" customHeight="1">
      <c r="A46" s="3789"/>
      <c r="B46" s="3837"/>
      <c r="C46" s="3790"/>
      <c r="D46" s="3789"/>
      <c r="E46" s="3789"/>
      <c r="F46" s="3789"/>
      <c r="G46" s="3789"/>
      <c r="H46" s="3789"/>
      <c r="I46" s="3789"/>
      <c r="J46" s="3789"/>
      <c r="K46" s="3789"/>
      <c r="L46" s="3789"/>
      <c r="M46" s="3914"/>
    </row>
    <row r="47" spans="1:13" ht="15" customHeight="1">
      <c r="A47" s="3807"/>
      <c r="B47" s="3842" t="s">
        <v>1104</v>
      </c>
      <c r="C47" s="3843"/>
      <c r="D47" s="3844"/>
      <c r="E47" s="3845"/>
      <c r="F47" s="3845"/>
      <c r="G47" s="3845">
        <f t="shared" ref="G47:M47" si="22">G36* G39*G44 / 10^3</f>
      </c>
      <c r="H47" s="3845">
        <f t="shared" si="22"/>
      </c>
      <c r="I47" s="3845">
        <f t="shared" si="22"/>
      </c>
      <c r="J47" s="3845">
        <f t="shared" si="22"/>
      </c>
      <c r="K47" s="3845">
        <f t="shared" si="22"/>
      </c>
      <c r="L47" s="3845">
        <f t="shared" si="22"/>
      </c>
      <c r="M47" s="3846">
        <f t="shared" si="22"/>
      </c>
    </row>
    <row r="48" spans="1:13" ht="15" customHeight="1">
      <c r="A48" s="3807"/>
      <c r="B48" s="3847" t="s">
        <v>1088</v>
      </c>
      <c r="C48" s="3922"/>
      <c r="D48" s="3848"/>
      <c r="E48" s="3848"/>
      <c r="F48" s="3848"/>
      <c r="G48" s="3848"/>
      <c r="H48" s="3848">
        <f t="shared" ref="H48:M48" si="23">IFERROR(H47/G47-1, "NM")</f>
      </c>
      <c r="I48" s="3848">
        <f t="shared" si="23"/>
      </c>
      <c r="J48" s="3848">
        <f t="shared" si="23"/>
      </c>
      <c r="K48" s="3848">
        <f t="shared" si="23"/>
      </c>
      <c r="L48" s="3848">
        <f t="shared" si="23"/>
      </c>
      <c r="M48" s="3849">
        <f t="shared" si="23"/>
      </c>
    </row>
    <row r="49" spans="1:13" ht="15" customHeight="1">
      <c r="A49" s="3807"/>
      <c r="B49" s="3847" t="s">
        <v>1089</v>
      </c>
      <c r="C49" s="3922"/>
      <c r="D49" s="3848"/>
      <c r="E49" s="3851"/>
      <c r="F49" s="3850"/>
      <c r="G49" s="3851">
        <v>0.67</v>
      </c>
      <c r="H49" s="3850">
        <f>G49</f>
      </c>
      <c r="I49" s="3850">
        <f t="shared" ref="I49:M49" si="24">H49</f>
      </c>
      <c r="J49" s="3850">
        <f t="shared" si="24"/>
      </c>
      <c r="K49" s="3850">
        <f t="shared" si="24"/>
      </c>
      <c r="L49" s="3850">
        <f t="shared" si="24"/>
      </c>
      <c r="M49" s="3923">
        <f t="shared" si="24"/>
      </c>
    </row>
    <row r="50" spans="1:13" ht="15" customHeight="1">
      <c r="A50" s="3789"/>
      <c r="B50" s="3896"/>
      <c r="C50" s="3897"/>
      <c r="D50" s="3898"/>
      <c r="E50" s="3898"/>
      <c r="F50" s="3898"/>
      <c r="G50" s="3898"/>
      <c r="H50" s="3898"/>
      <c r="I50" s="3898"/>
      <c r="J50" s="3898"/>
      <c r="K50" s="3898"/>
      <c r="L50" s="3898"/>
      <c r="M50" s="3899"/>
    </row>
    <row r="51" spans="1:13" ht="15" customHeight="1">
      <c r="A51" s="3807"/>
      <c r="B51" s="3900"/>
      <c r="C51" s="3809"/>
      <c r="D51" s="3901"/>
      <c r="E51" s="3902"/>
      <c r="F51" s="3902"/>
      <c r="G51" s="3902"/>
      <c r="H51" s="3902"/>
      <c r="I51" s="3902"/>
      <c r="J51" s="3902"/>
      <c r="K51" s="3902"/>
      <c r="L51" s="3902"/>
      <c r="M51" s="3902"/>
    </row>
    <row r="52" spans="1:13">
      <c r="B52" s="3859"/>
      <c r="C52" s="3860"/>
      <c r="D52" s="3861" t="str">
        <f t="shared" ref="D52:M52" si="25">D6</f>
      </c>
      <c r="E52" s="3860" t="str">
        <f t="shared" si="25"/>
      </c>
      <c r="F52" s="3860" t="str">
        <f t="shared" si="25"/>
      </c>
      <c r="G52" s="3860" t="str">
        <f t="shared" si="25"/>
      </c>
      <c r="H52" s="3860" t="str">
        <f t="shared" si="25"/>
      </c>
      <c r="I52" s="3860" t="str">
        <f t="shared" si="25"/>
      </c>
      <c r="J52" s="3860" t="str">
        <f t="shared" si="25"/>
      </c>
      <c r="K52" s="3860" t="str">
        <f t="shared" si="25"/>
      </c>
      <c r="L52" s="3860" t="str">
        <f t="shared" si="25"/>
      </c>
      <c r="M52" s="3862" t="str">
        <f t="shared" si="25"/>
      </c>
    </row>
    <row r="53" spans="1:13">
      <c r="B53" s="3863" t="s">
        <v>1090</v>
      </c>
      <c r="C53" s="3906"/>
      <c r="D53" s="3907"/>
      <c r="E53" s="3906"/>
      <c r="F53" s="3906"/>
      <c r="G53" s="3906"/>
      <c r="H53" s="3906"/>
      <c r="I53" s="3906"/>
      <c r="J53" s="3906"/>
      <c r="K53" s="3906"/>
      <c r="L53" s="3906"/>
      <c r="M53" s="3806"/>
    </row>
    <row r="54" spans="1:13">
      <c r="B54" s="3864" t="s">
        <v>772</v>
      </c>
      <c r="C54" s="3924"/>
      <c r="D54" s="3925"/>
      <c r="E54" s="3926"/>
      <c r="F54" s="3926"/>
      <c r="G54" s="3926">
        <f t="shared" ref="G54:M54" si="26">G57-G47</f>
      </c>
      <c r="H54" s="3926">
        <f t="shared" si="26"/>
      </c>
      <c r="I54" s="3926">
        <f t="shared" si="26"/>
      </c>
      <c r="J54" s="3926">
        <f t="shared" si="26"/>
      </c>
      <c r="K54" s="3926">
        <f t="shared" si="26"/>
      </c>
      <c r="L54" s="3926">
        <f t="shared" si="26"/>
      </c>
      <c r="M54" s="3927">
        <f t="shared" si="26"/>
      </c>
    </row>
    <row r="55" spans="1:13">
      <c r="B55" s="3865" t="s">
        <v>1091</v>
      </c>
      <c r="C55" s="3866"/>
      <c r="D55" s="3867"/>
      <c r="E55" s="3868"/>
      <c r="F55" s="3869"/>
      <c r="G55" s="3869"/>
      <c r="H55" s="3869">
        <f>H54/G54-1</f>
      </c>
      <c r="I55" s="3869">
        <f>I54/H54-1</f>
      </c>
      <c r="J55" s="3869">
        <f>J54/I54-1</f>
      </c>
      <c r="K55" s="3869">
        <f t="shared" ref="K55:M55" si="27">K54/J54-1</f>
      </c>
      <c r="L55" s="3869">
        <f t="shared" si="27"/>
      </c>
      <c r="M55" s="3928">
        <f t="shared" si="27"/>
      </c>
    </row>
    <row r="56" spans="1:13">
      <c r="B56" s="3785"/>
      <c r="C56" s="3785"/>
      <c r="D56" s="3785"/>
      <c r="E56" s="3785"/>
      <c r="F56" s="3785"/>
      <c r="G56" s="3785"/>
      <c r="H56" s="3785"/>
      <c r="I56" s="3785"/>
      <c r="J56" s="3785"/>
      <c r="K56" s="3785"/>
      <c r="L56" s="3785"/>
      <c r="M56" s="3785"/>
    </row>
    <row r="57" spans="1:13">
      <c r="B57" s="3870" t="s">
        <v>1092</v>
      </c>
      <c r="C57" s="3871"/>
      <c r="D57" s="3872"/>
      <c r="E57" s="3873"/>
      <c r="F57" s="3873"/>
      <c r="G57" s="3873">
        <f t="shared" ref="G57:M57" si="28">G47/G49</f>
      </c>
      <c r="H57" s="3873">
        <f t="shared" si="28"/>
      </c>
      <c r="I57" s="3873">
        <f t="shared" si="28"/>
      </c>
      <c r="J57" s="3873">
        <f t="shared" si="28"/>
      </c>
      <c r="K57" s="3873">
        <f t="shared" si="28"/>
      </c>
      <c r="L57" s="3873">
        <f t="shared" si="28"/>
      </c>
      <c r="M57" s="3874">
        <f t="shared" si="28"/>
      </c>
    </row>
    <row r="58" spans="1:13">
      <c r="B58" s="3875" t="s">
        <v>834</v>
      </c>
      <c r="C58" s="3876"/>
      <c r="D58" s="3877"/>
      <c r="E58" s="3903"/>
      <c r="F58" s="3903"/>
      <c r="G58" s="3878"/>
      <c r="H58" s="3878">
        <f t="shared" ref="H58:M58" si="29">IFERROR(H57/G57-1,NM)</f>
      </c>
      <c r="I58" s="3878">
        <f t="shared" si="29"/>
      </c>
      <c r="J58" s="3878">
        <f t="shared" si="29"/>
      </c>
      <c r="K58" s="3878">
        <f t="shared" si="29"/>
      </c>
      <c r="L58" s="3878">
        <f t="shared" si="29"/>
      </c>
      <c r="M58" s="3879">
        <f t="shared" si="29"/>
      </c>
    </row>
    <row r="59" spans="1:13">
      <c r="B59" s="3785"/>
      <c r="C59" s="3785"/>
      <c r="D59" s="3785"/>
      <c r="E59" s="3785"/>
      <c r="F59" s="3785"/>
      <c r="G59" s="3785"/>
      <c r="H59" s="3785"/>
      <c r="I59" s="3785"/>
      <c r="J59" s="3785"/>
      <c r="K59" s="3785"/>
      <c r="L59" s="3785"/>
      <c r="M59" s="3785"/>
    </row>
    <row r="61" spans="1:13">
      <c r="G61" s="3785"/>
      <c r="H61" s="3883"/>
      <c r="L61" s="3883"/>
    </row>
    <row r="62" spans="1:13">
      <c r="G62" s="3884"/>
      <c r="H62" s="3784"/>
      <c r="K62" s="3904"/>
    </row>
    <row r="63" spans="1:13">
      <c r="G63" s="3884"/>
      <c r="H63" s="3784"/>
      <c r="K63" s="3905"/>
    </row>
    <row r="64" spans="1:13">
      <c r="G64" s="3884"/>
      <c r="H64" s="3784"/>
      <c r="K64" s="3905"/>
    </row>
    <row r="65" spans="7:11">
      <c r="G65" s="3884"/>
      <c r="H65" s="3784"/>
      <c r="K65" s="3905"/>
    </row>
    <row r="66" spans="7:11">
      <c r="G66" s="3884"/>
      <c r="H66" s="3784"/>
      <c r="K66" s="3905"/>
    </row>
    <row r="67" spans="7:11">
      <c r="G67" s="3884"/>
      <c r="H67" s="3784"/>
      <c r="K67" s="3905"/>
    </row>
    <row r="68" spans="7:11">
      <c r="G68" s="3884"/>
      <c r="H68" s="3784"/>
      <c r="K68" s="3905"/>
    </row>
    <row r="69" spans="7:11">
      <c r="G69" s="3884"/>
      <c r="H69" s="3784"/>
      <c r="K69" s="3905"/>
    </row>
    <row r="70" spans="7:11">
      <c r="K70" s="3905"/>
    </row>
    <row r="71" spans="7:11">
      <c r="K71" s="3905"/>
    </row>
    <row r="72" spans="7:11">
      <c r="K72" s="3905"/>
    </row>
    <row r="73" spans="7:11">
      <c r="K73" s="3905"/>
    </row>
    <row r="74" spans="7:11">
      <c r="K74" s="3905"/>
    </row>
    <row r="75" spans="7:11">
      <c r="K75" s="3905"/>
    </row>
  </sheetData>
  <pageMargins left="0.7" right="0.7" top="0.75" bottom="0.75" header="0.3" footer="0.3"/>
  <pageSetup orientation="portrait" r:id="rId1"/>
  <customProperties>
    <customPr name="Qube.Worksheet.Visibility" r:id="rId2"/>
    <customPr name="SHEET_UNIQUE_ID" r:id="rId3"/>
  </customProperties>
  <drawing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FC62-8977-4A56-97E0-8528689AEBF7}">
  <sheetPr>
    <tabColor theme="5" tint="-9.9978637043366805E-2"/>
  </sheetPr>
  <dimension ref="A1:M65"/>
  <sheetViews>
    <sheetView topLeftCell="A5" zoomScaleNormal="100" workbookViewId="0">
      <selection activeCell="A5" sqref="A5"/>
    </sheetView>
  </sheetViews>
  <sheetFormatPr defaultColWidth="9.109375" defaultRowHeight="14.4"/>
  <cols>
    <col min="1" max="1" width="3.5546875" style="3791" customWidth="1"/>
    <col min="2" max="2" width="50.5546875" style="3791" customWidth="1"/>
    <col min="3" max="3" width="10.5546875" style="3880" customWidth="1"/>
    <col min="4" max="37" width="10.5546875" style="3791" customWidth="1"/>
    <col min="38" max="16384" width="9.109375" style="3791"/>
  </cols>
  <sheetData>
    <row r="1" spans="1:13" ht="20.100000000000001" customHeight="1">
      <c r="A1" s="3789"/>
      <c r="B1" s="3789"/>
      <c r="C1" s="3790"/>
      <c r="D1" s="3789"/>
      <c r="E1" s="3789"/>
      <c r="F1" s="3789"/>
      <c r="G1" s="3789"/>
      <c r="H1" s="3789"/>
      <c r="I1" s="3789"/>
      <c r="J1" s="3789"/>
      <c r="K1" s="3789"/>
      <c r="L1" s="3789"/>
      <c r="M1" s="3789"/>
    </row>
    <row r="2" spans="1:13" ht="20.100000000000001" customHeight="1">
      <c r="A2" s="3789"/>
      <c r="B2" s="3792"/>
      <c r="C2" s="3793"/>
      <c r="D2" s="3789"/>
      <c r="E2" s="3789"/>
      <c r="F2" s="3789"/>
      <c r="G2" s="3789"/>
      <c r="H2" s="3789"/>
      <c r="I2" s="3789"/>
      <c r="J2" s="3789"/>
      <c r="K2" s="3789"/>
      <c r="L2" s="3789"/>
      <c r="M2" s="3789"/>
    </row>
    <row r="3" spans="1:13" ht="20.100000000000001" customHeight="1" thickBot="1">
      <c r="A3" s="3789"/>
      <c r="B3" s="3794" t="str">
        <f ca="1">MID(CELL("filename",A1),FIND("]",CELL("filename",A1))+1,255)</f>
      </c>
      <c r="C3" s="3795"/>
      <c r="D3" s="3796"/>
      <c r="E3" s="3796"/>
      <c r="F3" s="3796"/>
      <c r="G3" s="3796"/>
      <c r="H3" s="3796"/>
      <c r="I3" s="3796"/>
      <c r="J3" s="3796"/>
      <c r="K3" s="3796"/>
      <c r="L3" s="3796"/>
      <c r="M3" s="3796"/>
    </row>
    <row r="4" spans="1:13" ht="15" customHeight="1">
      <c r="A4" s="3789"/>
      <c r="B4" s="3797"/>
      <c r="C4" s="3798"/>
      <c r="D4" s="3789"/>
      <c r="E4" s="3789"/>
      <c r="F4" s="3789"/>
      <c r="G4" s="3789"/>
      <c r="H4" s="3789"/>
      <c r="I4" s="3789"/>
      <c r="J4" s="3789"/>
      <c r="K4" s="3789"/>
      <c r="L4" s="3789"/>
      <c r="M4" s="3789"/>
    </row>
    <row r="5" spans="1:13" ht="15" customHeight="1">
      <c r="A5" s="3789"/>
      <c r="B5" s="3799"/>
      <c r="C5" s="3798"/>
      <c r="D5" s="3789"/>
      <c r="E5" s="3789"/>
      <c r="F5" s="3789"/>
      <c r="G5" s="3789"/>
      <c r="H5" s="3789"/>
      <c r="I5" s="3789"/>
      <c r="J5" s="3789"/>
      <c r="K5" s="3789"/>
      <c r="L5" s="3789"/>
      <c r="M5" s="3789"/>
    </row>
    <row r="6" spans="1:13" ht="15" customHeight="1">
      <c r="A6" s="3800"/>
      <c r="B6" s="3801" t="s">
        <v>1063</v>
      </c>
      <c r="C6" s="3802"/>
      <c r="D6" s="3803" t="s">
        <v>1064</v>
      </c>
      <c r="E6" s="3802" t="s">
        <v>913</v>
      </c>
      <c r="F6" s="3802" t="s">
        <v>1065</v>
      </c>
      <c r="G6" s="3802" t="s">
        <v>1066</v>
      </c>
      <c r="H6" s="3802" t="s">
        <v>630</v>
      </c>
      <c r="I6" s="3802" t="s">
        <v>826</v>
      </c>
      <c r="J6" s="3802" t="s">
        <v>827</v>
      </c>
      <c r="K6" s="3802" t="s">
        <v>901</v>
      </c>
      <c r="L6" s="3802" t="s">
        <v>907</v>
      </c>
      <c r="M6" s="3804" t="s">
        <v>910</v>
      </c>
    </row>
    <row r="7" spans="1:13" ht="15" customHeight="1">
      <c r="A7" s="3800"/>
      <c r="B7" s="3805" t="s">
        <v>1067</v>
      </c>
      <c r="C7" s="3906"/>
      <c r="D7" s="3907"/>
      <c r="E7" s="3906"/>
      <c r="F7" s="3906"/>
      <c r="G7" s="3906"/>
      <c r="H7" s="3906"/>
      <c r="I7" s="3906"/>
      <c r="J7" s="3906"/>
      <c r="K7" s="3906"/>
      <c r="L7" s="3906"/>
      <c r="M7" s="3806"/>
    </row>
    <row r="8" spans="1:13" ht="15" customHeight="1">
      <c r="A8" s="3807"/>
      <c r="B8" s="3808" t="s">
        <v>1068</v>
      </c>
      <c r="C8" s="3809"/>
      <c r="D8" s="3810">
        <v>1000000</v>
      </c>
      <c r="E8" s="3810">
        <f t="shared" ref="E8:M8" si="0">D8*(1+E9)</f>
      </c>
      <c r="F8" s="3810">
        <f t="shared" si="0"/>
      </c>
      <c r="G8" s="3810">
        <f t="shared" si="0"/>
      </c>
      <c r="H8" s="3810">
        <f t="shared" si="0"/>
      </c>
      <c r="I8" s="3810">
        <f t="shared" si="0"/>
      </c>
      <c r="J8" s="3810">
        <f t="shared" si="0"/>
      </c>
      <c r="K8" s="3810">
        <f t="shared" si="0"/>
      </c>
      <c r="L8" s="3810">
        <f t="shared" si="0"/>
      </c>
      <c r="M8" s="3811">
        <f t="shared" si="0"/>
      </c>
    </row>
    <row r="9" spans="1:13" ht="15" customHeight="1">
      <c r="A9" s="3789"/>
      <c r="B9" s="3812" t="s">
        <v>1069</v>
      </c>
      <c r="C9" s="3790"/>
      <c r="D9" s="3908"/>
      <c r="E9" s="3908">
        <v>7.0000000000000001E-3</v>
      </c>
      <c r="F9" s="3908">
        <f t="shared" ref="F9:M9" si="1">E9</f>
      </c>
      <c r="G9" s="3908">
        <f t="shared" si="1"/>
      </c>
      <c r="H9" s="3908">
        <f t="shared" si="1"/>
      </c>
      <c r="I9" s="3908">
        <f t="shared" si="1"/>
      </c>
      <c r="J9" s="3908">
        <f t="shared" si="1"/>
      </c>
      <c r="K9" s="3908">
        <f t="shared" si="1"/>
      </c>
      <c r="L9" s="3908">
        <f t="shared" si="1"/>
      </c>
      <c r="M9" s="3813">
        <f t="shared" si="1"/>
      </c>
    </row>
    <row r="10" spans="1:13" ht="15" customHeight="1">
      <c r="A10" s="3789"/>
      <c r="B10" s="3812"/>
      <c r="C10" s="3790"/>
      <c r="D10" s="3908"/>
      <c r="E10" s="3908"/>
      <c r="F10" s="3908"/>
      <c r="G10" s="3908"/>
      <c r="H10" s="3908"/>
      <c r="I10" s="3908"/>
      <c r="J10" s="3908"/>
      <c r="K10" s="3908"/>
      <c r="L10" s="3908"/>
      <c r="M10" s="3813"/>
    </row>
    <row r="11" spans="1:13" ht="15" customHeight="1">
      <c r="A11" s="3789"/>
      <c r="B11" s="3814" t="s">
        <v>1070</v>
      </c>
      <c r="C11" s="3790"/>
      <c r="D11" s="3909"/>
      <c r="E11" s="3909"/>
      <c r="F11" s="3909"/>
      <c r="G11" s="3909"/>
      <c r="H11" s="3909"/>
      <c r="I11" s="3909"/>
      <c r="J11" s="3909"/>
      <c r="K11" s="3909"/>
      <c r="L11" s="3909"/>
      <c r="M11" s="3910"/>
    </row>
    <row r="12" spans="1:13" ht="15" customHeight="1">
      <c r="A12" s="3789"/>
      <c r="B12" s="3812" t="s">
        <v>1071</v>
      </c>
      <c r="C12" s="3815">
        <v>0.4</v>
      </c>
      <c r="D12" s="3816">
        <f>D8*$C$12</f>
      </c>
      <c r="E12" s="3816">
        <f t="shared" ref="E12:M12" si="2">E8*$C$12</f>
      </c>
      <c r="F12" s="3816">
        <f t="shared" si="2"/>
      </c>
      <c r="G12" s="3816">
        <f t="shared" si="2"/>
      </c>
      <c r="H12" s="3816">
        <f t="shared" si="2"/>
      </c>
      <c r="I12" s="3816">
        <f t="shared" si="2"/>
      </c>
      <c r="J12" s="3816">
        <f t="shared" si="2"/>
      </c>
      <c r="K12" s="3816">
        <f t="shared" si="2"/>
      </c>
      <c r="L12" s="3816">
        <f t="shared" si="2"/>
      </c>
      <c r="M12" s="3817">
        <f t="shared" si="2"/>
      </c>
    </row>
    <row r="13" spans="1:13" ht="15" customHeight="1">
      <c r="A13" s="3789"/>
      <c r="B13" s="3812" t="s">
        <v>1072</v>
      </c>
      <c r="C13" s="3815">
        <f>1-C12</f>
      </c>
      <c r="D13" s="3816">
        <f>D8*$C$13</f>
      </c>
      <c r="E13" s="3816">
        <f t="shared" ref="E13:M13" si="3">E8*$C$13</f>
      </c>
      <c r="F13" s="3816">
        <f t="shared" si="3"/>
      </c>
      <c r="G13" s="3816">
        <f t="shared" si="3"/>
      </c>
      <c r="H13" s="3816">
        <f t="shared" si="3"/>
      </c>
      <c r="I13" s="3816">
        <f t="shared" si="3"/>
      </c>
      <c r="J13" s="3816">
        <f t="shared" si="3"/>
      </c>
      <c r="K13" s="3816">
        <f t="shared" si="3"/>
      </c>
      <c r="L13" s="3816">
        <f t="shared" si="3"/>
      </c>
      <c r="M13" s="3817">
        <f t="shared" si="3"/>
      </c>
    </row>
    <row r="14" spans="1:13" ht="15" customHeight="1">
      <c r="A14" s="3789"/>
      <c r="B14" s="3812"/>
      <c r="C14" s="3818"/>
      <c r="D14" s="3816"/>
      <c r="E14" s="3816"/>
      <c r="F14" s="3816"/>
      <c r="G14" s="3816"/>
      <c r="H14" s="3816"/>
      <c r="I14" s="3816"/>
      <c r="J14" s="3816"/>
      <c r="K14" s="3816"/>
      <c r="L14" s="3816"/>
      <c r="M14" s="3817"/>
    </row>
    <row r="15" spans="1:13" ht="15" customHeight="1">
      <c r="A15" s="3789"/>
      <c r="B15" s="3814" t="s">
        <v>1073</v>
      </c>
      <c r="C15" s="3815">
        <v>0.65</v>
      </c>
      <c r="D15" s="3816"/>
      <c r="E15" s="3816"/>
      <c r="F15" s="3816"/>
      <c r="G15" s="3816"/>
      <c r="H15" s="3816"/>
      <c r="I15" s="3816"/>
      <c r="J15" s="3816"/>
      <c r="K15" s="3816"/>
      <c r="L15" s="3816"/>
      <c r="M15" s="3817"/>
    </row>
    <row r="16" spans="1:13" ht="15" customHeight="1">
      <c r="A16" s="3789"/>
      <c r="B16" s="3812" t="s">
        <v>1074</v>
      </c>
      <c r="C16" s="3818"/>
      <c r="D16" s="3816">
        <f>D13* (1 - $C$15)</f>
      </c>
      <c r="E16" s="3816">
        <f t="shared" ref="E16:M16" si="4">E13* (1 - $C$15)</f>
      </c>
      <c r="F16" s="3816">
        <f t="shared" si="4"/>
      </c>
      <c r="G16" s="3816">
        <f t="shared" si="4"/>
      </c>
      <c r="H16" s="3816">
        <f t="shared" si="4"/>
      </c>
      <c r="I16" s="3816">
        <f t="shared" si="4"/>
      </c>
      <c r="J16" s="3816">
        <f t="shared" si="4"/>
      </c>
      <c r="K16" s="3816">
        <f t="shared" si="4"/>
      </c>
      <c r="L16" s="3816">
        <f t="shared" si="4"/>
      </c>
      <c r="M16" s="3817">
        <f t="shared" si="4"/>
      </c>
    </row>
    <row r="17" spans="1:13" ht="15" customHeight="1">
      <c r="A17" s="3789"/>
      <c r="B17" s="3812"/>
      <c r="C17" s="3818"/>
      <c r="D17" s="3816"/>
      <c r="E17" s="3816"/>
      <c r="F17" s="3816"/>
      <c r="G17" s="3816"/>
      <c r="H17" s="3816"/>
      <c r="I17" s="3816"/>
      <c r="J17" s="3816"/>
      <c r="K17" s="3816"/>
      <c r="L17" s="3816"/>
      <c r="M17" s="3817"/>
    </row>
    <row r="18" spans="1:13" ht="15" customHeight="1">
      <c r="A18" s="3789"/>
      <c r="B18" s="3819" t="s">
        <v>1075</v>
      </c>
      <c r="C18" s="3790"/>
      <c r="D18" s="3820">
        <v>1</v>
      </c>
      <c r="E18" s="3820">
        <v>1</v>
      </c>
      <c r="F18" s="3820">
        <v>1</v>
      </c>
      <c r="G18" s="3820">
        <v>1</v>
      </c>
      <c r="H18" s="3820">
        <v>1</v>
      </c>
      <c r="I18" s="3820">
        <v>1</v>
      </c>
      <c r="J18" s="3820">
        <v>1</v>
      </c>
      <c r="K18" s="3820">
        <v>1</v>
      </c>
      <c r="L18" s="3820">
        <v>1</v>
      </c>
      <c r="M18" s="3821">
        <v>1</v>
      </c>
    </row>
    <row r="19" spans="1:13" ht="15" customHeight="1">
      <c r="A19" s="3789"/>
      <c r="B19" s="3812" t="s">
        <v>1076</v>
      </c>
      <c r="C19" s="3790"/>
      <c r="D19" s="3822">
        <f>D16*D18</f>
      </c>
      <c r="E19" s="3822">
        <f>E16*E18</f>
      </c>
      <c r="F19" s="3822">
        <f t="shared" ref="F19:M19" si="5">F16*F18</f>
      </c>
      <c r="G19" s="3822">
        <f t="shared" si="5"/>
      </c>
      <c r="H19" s="3822">
        <f t="shared" si="5"/>
      </c>
      <c r="I19" s="3822">
        <f t="shared" si="5"/>
      </c>
      <c r="J19" s="3822">
        <f t="shared" si="5"/>
      </c>
      <c r="K19" s="3822">
        <f t="shared" si="5"/>
      </c>
      <c r="L19" s="3822">
        <f t="shared" si="5"/>
      </c>
      <c r="M19" s="3823">
        <f t="shared" si="5"/>
      </c>
    </row>
    <row r="20" spans="1:13" ht="15" customHeight="1">
      <c r="A20" s="3789"/>
      <c r="B20" s="3812" t="s">
        <v>1077</v>
      </c>
      <c r="C20" s="3790"/>
      <c r="D20" s="3822">
        <v>737.12802101576187</v>
      </c>
      <c r="E20" s="3822">
        <v>1413.4154115586689</v>
      </c>
      <c r="F20" s="3822">
        <v>8768.2794430288959</v>
      </c>
      <c r="G20" s="3822">
        <v>19733.513036312906</v>
      </c>
      <c r="H20" s="3938">
        <f t="shared" ref="H20:M20" si="6">H19*H22</f>
      </c>
      <c r="I20" s="3822">
        <f t="shared" si="6"/>
      </c>
      <c r="J20" s="3822">
        <f t="shared" si="6"/>
      </c>
      <c r="K20" s="3822">
        <f t="shared" si="6"/>
      </c>
      <c r="L20" s="3822">
        <f t="shared" si="6"/>
      </c>
      <c r="M20" s="3823">
        <f t="shared" si="6"/>
      </c>
    </row>
    <row r="21" spans="1:13" ht="15" customHeight="1">
      <c r="A21" s="3789"/>
      <c r="B21" s="3812"/>
      <c r="C21" s="3790"/>
      <c r="D21" s="3824"/>
      <c r="E21" s="3824"/>
      <c r="F21" s="3824"/>
      <c r="G21" s="3824"/>
      <c r="H21" s="3824"/>
      <c r="I21" s="3824"/>
      <c r="J21" s="3824"/>
      <c r="K21" s="3824"/>
      <c r="L21" s="3824"/>
      <c r="M21" s="3825"/>
    </row>
    <row r="22" spans="1:13" ht="15" customHeight="1">
      <c r="A22" s="3789"/>
      <c r="B22" s="3819" t="s">
        <v>1078</v>
      </c>
      <c r="C22" s="3790"/>
      <c r="D22" s="3824"/>
      <c r="E22" s="3826"/>
      <c r="F22" s="3826"/>
      <c r="G22" s="3826"/>
      <c r="H22" s="3827">
        <v>0.04</v>
      </c>
      <c r="I22" s="3828">
        <v>0.1</v>
      </c>
      <c r="J22" s="3828">
        <v>0.15</v>
      </c>
      <c r="K22" s="3828">
        <v>0.17</v>
      </c>
      <c r="L22" s="3828">
        <v>0.19</v>
      </c>
      <c r="M22" s="3913">
        <v>0.2</v>
      </c>
    </row>
    <row r="23" spans="1:13" ht="15" customHeight="1">
      <c r="A23" s="3789"/>
      <c r="B23" s="3812" t="s">
        <v>1079</v>
      </c>
      <c r="C23" s="3790"/>
      <c r="D23" s="3824"/>
      <c r="E23" s="3824"/>
      <c r="F23" s="3824"/>
      <c r="G23" s="3824"/>
      <c r="H23" s="3824">
        <f t="shared" ref="H23:M23" si="7">IF(1-G22*0.9/H22&gt;0, 1-G22*0.9/H22,0)</f>
      </c>
      <c r="I23" s="3824">
        <f t="shared" si="7"/>
      </c>
      <c r="J23" s="3824">
        <f t="shared" si="7"/>
      </c>
      <c r="K23" s="3824">
        <f t="shared" si="7"/>
      </c>
      <c r="L23" s="3824">
        <f t="shared" si="7"/>
      </c>
      <c r="M23" s="3825">
        <f t="shared" si="7"/>
      </c>
    </row>
    <row r="24" spans="1:13" ht="15" customHeight="1">
      <c r="A24" s="3789"/>
      <c r="B24" s="3812" t="s">
        <v>1080</v>
      </c>
      <c r="C24" s="3790"/>
      <c r="D24" s="3824"/>
      <c r="E24" s="3824"/>
      <c r="F24" s="3824"/>
      <c r="G24" s="3824"/>
      <c r="H24" s="3824">
        <f t="shared" ref="H24:M24" si="8">1-H23</f>
      </c>
      <c r="I24" s="3824">
        <f t="shared" si="8"/>
      </c>
      <c r="J24" s="3824">
        <f t="shared" si="8"/>
      </c>
      <c r="K24" s="3824">
        <f t="shared" si="8"/>
      </c>
      <c r="L24" s="3824">
        <f t="shared" si="8"/>
      </c>
      <c r="M24" s="3825">
        <f t="shared" si="8"/>
      </c>
    </row>
    <row r="25" spans="1:13" ht="15" customHeight="1">
      <c r="A25" s="3789"/>
      <c r="B25" s="3819"/>
      <c r="C25" s="3790"/>
      <c r="D25" s="3824"/>
      <c r="E25" s="3824"/>
      <c r="F25" s="3824"/>
      <c r="G25" s="3824"/>
      <c r="H25" s="3824"/>
      <c r="I25" s="3824"/>
      <c r="J25" s="3824"/>
      <c r="K25" s="3824"/>
      <c r="L25" s="3824"/>
      <c r="M25" s="3825"/>
    </row>
    <row r="26" spans="1:13" ht="15" customHeight="1">
      <c r="A26" s="3789"/>
      <c r="B26" s="3829" t="s">
        <v>1081</v>
      </c>
      <c r="C26" s="3830"/>
      <c r="D26" s="3831"/>
      <c r="E26" s="3832"/>
      <c r="F26" s="3832"/>
      <c r="G26" s="3832"/>
      <c r="H26" s="3832">
        <f t="shared" ref="H26:M26" si="9">+H22*H19</f>
      </c>
      <c r="I26" s="3832">
        <f t="shared" si="9"/>
      </c>
      <c r="J26" s="3832">
        <f t="shared" si="9"/>
      </c>
      <c r="K26" s="3832">
        <f t="shared" si="9"/>
      </c>
      <c r="L26" s="3832">
        <f t="shared" si="9"/>
      </c>
      <c r="M26" s="3833">
        <f t="shared" si="9"/>
      </c>
    </row>
    <row r="27" spans="1:13" ht="15" customHeight="1">
      <c r="A27" s="3789"/>
      <c r="B27" s="3812"/>
      <c r="C27" s="3790"/>
      <c r="D27" s="3824"/>
      <c r="E27" s="3824"/>
      <c r="F27" s="3824"/>
      <c r="G27" s="3824"/>
      <c r="H27" s="3824"/>
      <c r="I27" s="3824"/>
      <c r="J27" s="3824"/>
      <c r="K27" s="3824"/>
      <c r="L27" s="3824"/>
      <c r="M27" s="3825"/>
    </row>
    <row r="28" spans="1:13" ht="15" customHeight="1">
      <c r="A28" s="3789"/>
      <c r="B28" s="3814"/>
      <c r="C28" s="3790"/>
      <c r="D28" s="3789"/>
      <c r="E28" s="3789"/>
      <c r="F28" s="3789"/>
      <c r="G28" s="3789"/>
      <c r="H28" s="3789"/>
      <c r="I28" s="3789"/>
      <c r="J28" s="3789"/>
      <c r="K28" s="3789"/>
      <c r="L28" s="3789"/>
      <c r="M28" s="3914"/>
    </row>
    <row r="29" spans="1:13" ht="15" customHeight="1">
      <c r="A29" s="3789"/>
      <c r="B29" s="3814" t="s">
        <v>1082</v>
      </c>
      <c r="C29" s="3790"/>
      <c r="D29" s="3824"/>
      <c r="E29" s="3834"/>
      <c r="F29" s="3834"/>
      <c r="G29" s="3834"/>
      <c r="H29" s="3835">
        <v>0.9</v>
      </c>
      <c r="I29" s="3834">
        <f>H29</f>
      </c>
      <c r="J29" s="3834">
        <f t="shared" ref="J29:M29" si="10">I29</f>
      </c>
      <c r="K29" s="3834">
        <f t="shared" si="10"/>
      </c>
      <c r="L29" s="3834">
        <f t="shared" si="10"/>
      </c>
      <c r="M29" s="3915">
        <f t="shared" si="10"/>
      </c>
    </row>
    <row r="30" spans="1:13" ht="15" customHeight="1">
      <c r="A30" s="3789"/>
      <c r="B30" s="3812"/>
      <c r="C30" s="3790"/>
      <c r="D30" s="3789"/>
      <c r="E30" s="3789"/>
      <c r="F30" s="3789"/>
      <c r="G30" s="3789"/>
      <c r="H30" s="3789"/>
      <c r="I30" s="3789"/>
      <c r="J30" s="3789"/>
      <c r="K30" s="3789"/>
      <c r="L30" s="3789"/>
      <c r="M30" s="3914"/>
    </row>
    <row r="31" spans="1:13" ht="15" customHeight="1">
      <c r="A31" s="3789"/>
      <c r="B31" s="3819" t="s">
        <v>1083</v>
      </c>
      <c r="C31" s="3790"/>
      <c r="D31" s="3916"/>
      <c r="E31" s="3836"/>
      <c r="F31" s="3836"/>
      <c r="G31" s="3836"/>
      <c r="H31" s="3836">
        <v>122.22041591184858</v>
      </c>
      <c r="I31" s="3836">
        <v>124.49936267999999</v>
      </c>
      <c r="J31" s="3836">
        <v>126.6510576068182</v>
      </c>
      <c r="K31" s="3836">
        <v>130.96522331550005</v>
      </c>
      <c r="L31" s="3836">
        <v>136.15605523532253</v>
      </c>
      <c r="M31" s="3840">
        <v>155.2338380072419</v>
      </c>
    </row>
    <row r="32" spans="1:13" ht="15" customHeight="1">
      <c r="A32" s="3789"/>
      <c r="B32" s="3837" t="s">
        <v>1084</v>
      </c>
      <c r="C32" s="3790"/>
      <c r="D32" s="3917"/>
      <c r="E32" s="3838"/>
      <c r="F32" s="3839"/>
      <c r="G32" s="3839"/>
      <c r="H32" s="3839"/>
      <c r="I32" s="3839">
        <f t="shared" ref="I32:M32" si="11">I31/H31-1</f>
      </c>
      <c r="J32" s="3839">
        <f t="shared" si="11"/>
      </c>
      <c r="K32" s="3839">
        <f t="shared" si="11"/>
      </c>
      <c r="L32" s="3839">
        <f t="shared" si="11"/>
      </c>
      <c r="M32" s="3895">
        <f t="shared" si="11"/>
      </c>
    </row>
    <row r="33" spans="1:13" ht="15" customHeight="1">
      <c r="A33" s="3789"/>
      <c r="B33" s="3837"/>
      <c r="C33" s="3790"/>
      <c r="D33" s="3789"/>
      <c r="E33" s="3789"/>
      <c r="F33" s="3789"/>
      <c r="G33" s="3789"/>
      <c r="H33" s="3918"/>
      <c r="I33" s="3918"/>
      <c r="J33" s="3789"/>
      <c r="K33" s="3789"/>
      <c r="L33" s="3918"/>
      <c r="M33" s="3919"/>
    </row>
    <row r="34" spans="1:13" ht="15" customHeight="1">
      <c r="A34" s="3789"/>
      <c r="B34" s="3819" t="s">
        <v>1085</v>
      </c>
      <c r="C34" s="3790"/>
      <c r="D34" s="3836"/>
      <c r="E34" s="3836"/>
      <c r="F34" s="3836"/>
      <c r="G34" s="3836"/>
      <c r="H34" s="3836">
        <f t="shared" ref="H34:M34" si="12">H31* H35</f>
      </c>
      <c r="I34" s="3836">
        <f t="shared" si="12"/>
      </c>
      <c r="J34" s="3836">
        <f t="shared" si="12"/>
      </c>
      <c r="K34" s="3836">
        <f t="shared" si="12"/>
      </c>
      <c r="L34" s="3836">
        <f t="shared" si="12"/>
      </c>
      <c r="M34" s="3840">
        <f t="shared" si="12"/>
      </c>
    </row>
    <row r="35" spans="1:13" ht="15" customHeight="1">
      <c r="A35" s="3789"/>
      <c r="B35" s="3837" t="s">
        <v>1086</v>
      </c>
      <c r="C35" s="3790"/>
      <c r="D35" s="3920"/>
      <c r="E35" s="3917"/>
      <c r="F35" s="3917"/>
      <c r="G35" s="3917"/>
      <c r="H35" s="3939">
        <v>0.42</v>
      </c>
      <c r="I35" s="3921">
        <f t="shared" ref="I35:M35" si="13">H35</f>
      </c>
      <c r="J35" s="3921">
        <f t="shared" si="13"/>
      </c>
      <c r="K35" s="3921">
        <f t="shared" si="13"/>
      </c>
      <c r="L35" s="3921">
        <f t="shared" si="13"/>
      </c>
      <c r="M35" s="3841">
        <f t="shared" si="13"/>
      </c>
    </row>
    <row r="36" spans="1:13" ht="15" customHeight="1">
      <c r="A36" s="3789"/>
      <c r="B36" s="3837"/>
      <c r="C36" s="3790"/>
      <c r="D36" s="3789"/>
      <c r="E36" s="3789"/>
      <c r="F36" s="3789"/>
      <c r="G36" s="3789"/>
      <c r="H36" s="3789"/>
      <c r="I36" s="3789"/>
      <c r="J36" s="3789"/>
      <c r="K36" s="3789"/>
      <c r="L36" s="3789"/>
      <c r="M36" s="3914"/>
    </row>
    <row r="37" spans="1:13" ht="15" customHeight="1">
      <c r="A37" s="3807"/>
      <c r="B37" s="3842" t="s">
        <v>1087</v>
      </c>
      <c r="C37" s="3843"/>
      <c r="D37" s="3844"/>
      <c r="E37" s="3845"/>
      <c r="F37" s="3845"/>
      <c r="G37" s="3845"/>
      <c r="H37" s="3845">
        <f t="shared" ref="H37:M37" si="14">H26* H29*H34 / 10^3</f>
      </c>
      <c r="I37" s="3845">
        <f t="shared" si="14"/>
      </c>
      <c r="J37" s="3845">
        <f t="shared" si="14"/>
      </c>
      <c r="K37" s="3845">
        <f t="shared" si="14"/>
      </c>
      <c r="L37" s="3845">
        <f t="shared" si="14"/>
      </c>
      <c r="M37" s="3846">
        <f t="shared" si="14"/>
      </c>
    </row>
    <row r="38" spans="1:13" ht="15" customHeight="1">
      <c r="A38" s="3807"/>
      <c r="B38" s="3847" t="s">
        <v>1088</v>
      </c>
      <c r="C38" s="3922"/>
      <c r="D38" s="3848"/>
      <c r="E38" s="3848"/>
      <c r="F38" s="3848"/>
      <c r="G38" s="3848"/>
      <c r="H38" s="3848"/>
      <c r="I38" s="3848">
        <f t="shared" ref="I38:M38" si="15">IFERROR(I37/H37-1, "NM")</f>
      </c>
      <c r="J38" s="3848">
        <f t="shared" si="15"/>
      </c>
      <c r="K38" s="3848">
        <f t="shared" si="15"/>
      </c>
      <c r="L38" s="3848">
        <f t="shared" si="15"/>
      </c>
      <c r="M38" s="3849">
        <f t="shared" si="15"/>
      </c>
    </row>
    <row r="39" spans="1:13" ht="15" customHeight="1">
      <c r="A39" s="3807"/>
      <c r="B39" s="3847" t="s">
        <v>1089</v>
      </c>
      <c r="C39" s="3922"/>
      <c r="D39" s="3848"/>
      <c r="E39" s="3850"/>
      <c r="F39" s="3850"/>
      <c r="G39" s="3850"/>
      <c r="H39" s="3851">
        <v>0.67</v>
      </c>
      <c r="I39" s="3850">
        <f>H39</f>
      </c>
      <c r="J39" s="3850">
        <f t="shared" ref="J39:M39" si="16">I39</f>
      </c>
      <c r="K39" s="3850">
        <f t="shared" si="16"/>
      </c>
      <c r="L39" s="3850">
        <f t="shared" si="16"/>
      </c>
      <c r="M39" s="3923">
        <f t="shared" si="16"/>
      </c>
    </row>
    <row r="40" spans="1:13" ht="15" customHeight="1">
      <c r="A40" s="3807"/>
      <c r="B40" s="3852"/>
      <c r="C40" s="3853"/>
      <c r="D40" s="3854"/>
      <c r="E40" s="3855"/>
      <c r="F40" s="3855"/>
      <c r="G40" s="3855"/>
      <c r="H40" s="3855"/>
      <c r="I40" s="3855"/>
      <c r="J40" s="3855"/>
      <c r="K40" s="3855"/>
      <c r="L40" s="3855"/>
      <c r="M40" s="3856"/>
    </row>
    <row r="41" spans="1:13" ht="15" customHeight="1">
      <c r="A41" s="3807"/>
      <c r="B41" s="3857"/>
      <c r="C41" s="3858"/>
      <c r="D41" s="3858"/>
      <c r="E41" s="3858"/>
      <c r="F41" s="3858"/>
      <c r="G41" s="3858"/>
      <c r="H41" s="3858"/>
      <c r="I41" s="3858"/>
      <c r="J41" s="3858"/>
      <c r="K41" s="3858"/>
      <c r="L41" s="3858"/>
      <c r="M41" s="3858"/>
    </row>
    <row r="42" spans="1:13">
      <c r="B42" s="3859"/>
      <c r="C42" s="3860"/>
      <c r="D42" s="3861" t="str">
        <f t="shared" ref="D42:M42" si="17">D6</f>
      </c>
      <c r="E42" s="3860" t="str">
        <f t="shared" si="17"/>
      </c>
      <c r="F42" s="3860" t="str">
        <f t="shared" si="17"/>
      </c>
      <c r="G42" s="3860" t="str">
        <f t="shared" si="17"/>
      </c>
      <c r="H42" s="3860" t="str">
        <f t="shared" si="17"/>
      </c>
      <c r="I42" s="3860" t="str">
        <f t="shared" si="17"/>
      </c>
      <c r="J42" s="3860" t="str">
        <f t="shared" si="17"/>
      </c>
      <c r="K42" s="3860" t="str">
        <f t="shared" si="17"/>
      </c>
      <c r="L42" s="3860" t="str">
        <f t="shared" si="17"/>
      </c>
      <c r="M42" s="3862" t="str">
        <f t="shared" si="17"/>
      </c>
    </row>
    <row r="43" spans="1:13">
      <c r="B43" s="3863" t="s">
        <v>1090</v>
      </c>
      <c r="C43" s="3906"/>
      <c r="D43" s="3907"/>
      <c r="E43" s="3906"/>
      <c r="F43" s="3906"/>
      <c r="G43" s="3906"/>
      <c r="H43" s="3906"/>
      <c r="I43" s="3906"/>
      <c r="J43" s="3906"/>
      <c r="K43" s="3906"/>
      <c r="L43" s="3906"/>
      <c r="M43" s="3806"/>
    </row>
    <row r="44" spans="1:13">
      <c r="B44" s="3864" t="s">
        <v>772</v>
      </c>
      <c r="C44" s="3924"/>
      <c r="D44" s="3925"/>
      <c r="E44" s="3926"/>
      <c r="F44" s="3926"/>
      <c r="G44" s="3926"/>
      <c r="H44" s="3926">
        <f t="shared" ref="H44:M44" si="18">H47-H37</f>
      </c>
      <c r="I44" s="3926">
        <f t="shared" si="18"/>
      </c>
      <c r="J44" s="3926">
        <f t="shared" si="18"/>
      </c>
      <c r="K44" s="3926">
        <f t="shared" si="18"/>
      </c>
      <c r="L44" s="3926">
        <f t="shared" si="18"/>
      </c>
      <c r="M44" s="3927">
        <f t="shared" si="18"/>
      </c>
    </row>
    <row r="45" spans="1:13">
      <c r="B45" s="3865" t="s">
        <v>1091</v>
      </c>
      <c r="C45" s="3866"/>
      <c r="D45" s="3867"/>
      <c r="E45" s="3868"/>
      <c r="F45" s="3869"/>
      <c r="G45" s="3869"/>
      <c r="H45" s="3869"/>
      <c r="I45" s="3869">
        <f>I44/H44-1</f>
      </c>
      <c r="J45" s="3869">
        <f>J44/I44-1</f>
      </c>
      <c r="K45" s="3869">
        <f t="shared" ref="K45:M45" si="19">K44/J44-1</f>
      </c>
      <c r="L45" s="3869">
        <f t="shared" si="19"/>
      </c>
      <c r="M45" s="3928">
        <f t="shared" si="19"/>
      </c>
    </row>
    <row r="46" spans="1:13">
      <c r="B46" s="3929"/>
      <c r="C46" s="3930"/>
      <c r="D46" s="3931"/>
      <c r="E46" s="3932"/>
      <c r="F46" s="3933"/>
      <c r="G46" s="3933"/>
      <c r="H46" s="3933"/>
      <c r="I46" s="3933"/>
      <c r="J46" s="3933"/>
      <c r="K46" s="3934"/>
      <c r="L46" s="3934"/>
      <c r="M46" s="3935"/>
    </row>
    <row r="47" spans="1:13">
      <c r="B47" s="3870" t="s">
        <v>1092</v>
      </c>
      <c r="C47" s="3871"/>
      <c r="D47" s="3872"/>
      <c r="E47" s="3873"/>
      <c r="F47" s="3873"/>
      <c r="G47" s="3873"/>
      <c r="H47" s="3873">
        <f t="shared" ref="H47:M47" si="20">H37/H39</f>
      </c>
      <c r="I47" s="3873">
        <f t="shared" si="20"/>
      </c>
      <c r="J47" s="3873">
        <f t="shared" si="20"/>
      </c>
      <c r="K47" s="3873">
        <f t="shared" si="20"/>
      </c>
      <c r="L47" s="3873">
        <f t="shared" si="20"/>
      </c>
      <c r="M47" s="3874">
        <f t="shared" si="20"/>
      </c>
    </row>
    <row r="48" spans="1:13">
      <c r="B48" s="3875" t="s">
        <v>834</v>
      </c>
      <c r="C48" s="3876"/>
      <c r="D48" s="3877"/>
      <c r="E48" s="3878"/>
      <c r="F48" s="3878"/>
      <c r="G48" s="3878"/>
      <c r="H48" s="3878"/>
      <c r="I48" s="3878">
        <f t="shared" ref="I48:M48" si="21">IFERROR(I47/H47-1,NM)</f>
      </c>
      <c r="J48" s="3878">
        <f t="shared" si="21"/>
      </c>
      <c r="K48" s="3878">
        <f t="shared" si="21"/>
      </c>
      <c r="L48" s="3878">
        <f t="shared" si="21"/>
      </c>
      <c r="M48" s="3879">
        <f t="shared" si="21"/>
      </c>
    </row>
    <row r="49" spans="5:13">
      <c r="H49" s="3881"/>
      <c r="I49" s="3881"/>
      <c r="J49" s="3881"/>
      <c r="K49" s="3881"/>
      <c r="L49" s="3881"/>
      <c r="M49" s="3881"/>
    </row>
    <row r="50" spans="5:13">
      <c r="J50" s="3882"/>
    </row>
    <row r="51" spans="5:13">
      <c r="E51" s="3785"/>
      <c r="F51" s="3883"/>
      <c r="I51" s="3785"/>
      <c r="J51" s="3883"/>
    </row>
    <row r="52" spans="5:13">
      <c r="E52" s="3884"/>
      <c r="F52" s="3784"/>
      <c r="I52" s="3885"/>
    </row>
    <row r="53" spans="5:13">
      <c r="E53" s="3884"/>
      <c r="F53" s="3784"/>
      <c r="I53" s="3885"/>
    </row>
    <row r="54" spans="5:13">
      <c r="E54" s="3884"/>
      <c r="F54" s="3784"/>
      <c r="I54" s="3885"/>
    </row>
    <row r="55" spans="5:13">
      <c r="E55" s="3884"/>
      <c r="F55" s="3784"/>
      <c r="I55" s="3885"/>
    </row>
    <row r="56" spans="5:13">
      <c r="E56" s="3884"/>
      <c r="F56" s="3784"/>
      <c r="I56" s="3885"/>
    </row>
    <row r="57" spans="5:13">
      <c r="E57" s="3884"/>
      <c r="F57" s="3784"/>
      <c r="I57" s="3885"/>
    </row>
    <row r="58" spans="5:13">
      <c r="E58" s="3884"/>
      <c r="F58" s="3784"/>
      <c r="I58" s="3885"/>
    </row>
    <row r="59" spans="5:13">
      <c r="E59" s="3884"/>
      <c r="F59" s="3784"/>
      <c r="I59" s="3885"/>
    </row>
    <row r="60" spans="5:13">
      <c r="I60" s="3885"/>
    </row>
    <row r="61" spans="5:13">
      <c r="I61" s="3885"/>
    </row>
    <row r="62" spans="5:13">
      <c r="I62" s="3885"/>
    </row>
    <row r="63" spans="5:13">
      <c r="I63" s="3885"/>
    </row>
    <row r="64" spans="5:13">
      <c r="I64" s="3885"/>
    </row>
    <row r="65" spans="9:9">
      <c r="I65" s="3885"/>
    </row>
  </sheetData>
  <pageMargins left="0.7" right="0.7" top="0.75" bottom="0.75" header="0.3" footer="0.3"/>
  <pageSetup orientation="portrait" r:id="rId1"/>
  <customProperties>
    <customPr name="Qube.Worksheet.Visibility" r:id="rId2"/>
    <customPr name="SHEET_UNIQUE_ID" r:id="rId3"/>
  </customProperties>
  <drawing r:id="rId4"/>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203C0-9866-4F45-AEF4-9AB2E6BDA931}">
  <sheetPr>
    <tabColor rgb="FF0055FE"/>
  </sheetPr>
  <dimension ref="A3:J18"/>
  <sheetViews>
    <sheetView showGridLines="0" workbookViewId="0"/>
  </sheetViews>
  <sheetFormatPr defaultColWidth="8.88671875" defaultRowHeight="13.8"/>
  <cols>
    <col min="1" max="16384" width="8.88671875" style="3781"/>
  </cols>
  <sheetData>
    <row r="3" spans="1:10">
      <c r="D3" s="3782">
        <v>2024</v>
      </c>
      <c r="E3" s="3782">
        <f t="shared" ref="E3:J3" si="0">D3+1</f>
      </c>
      <c r="F3" s="3782">
        <f t="shared" si="0"/>
      </c>
      <c r="G3" s="3782">
        <f t="shared" si="0"/>
      </c>
      <c r="H3" s="3782">
        <f t="shared" si="0"/>
      </c>
      <c r="I3" s="3782">
        <f t="shared" si="0"/>
      </c>
      <c r="J3" s="3782">
        <f t="shared" si="0"/>
      </c>
    </row>
    <row r="4" spans="1:10">
      <c r="A4" s="3781" t="s">
        <v>1054</v>
      </c>
      <c r="B4" s="3781" t="s">
        <v>126</v>
      </c>
      <c r="C4" s="3940">
        <v>0.05</v>
      </c>
      <c r="D4" s="3784">
        <v>2443</v>
      </c>
      <c r="E4" s="3784">
        <f t="shared" ref="E4:J5" si="1">D4*(1+$C$4)</f>
      </c>
      <c r="F4" s="3784">
        <f t="shared" si="1"/>
      </c>
      <c r="G4" s="3784">
        <f t="shared" si="1"/>
      </c>
      <c r="H4" s="3784">
        <f t="shared" si="1"/>
      </c>
      <c r="I4" s="3784">
        <f t="shared" si="1"/>
      </c>
      <c r="J4" s="3784">
        <f t="shared" si="1"/>
      </c>
    </row>
    <row r="5" spans="1:10">
      <c r="A5" s="3781" t="s">
        <v>1055</v>
      </c>
      <c r="C5" s="3783"/>
      <c r="D5" s="3784">
        <v>1227</v>
      </c>
      <c r="E5" s="3784">
        <f>D5*(1+$C$4)</f>
      </c>
      <c r="F5" s="3784">
        <f t="shared" si="1"/>
      </c>
      <c r="G5" s="3784">
        <f t="shared" si="1"/>
      </c>
      <c r="H5" s="3784">
        <f t="shared" si="1"/>
      </c>
      <c r="I5" s="3784">
        <f t="shared" si="1"/>
      </c>
      <c r="J5" s="3784">
        <f t="shared" si="1"/>
      </c>
    </row>
    <row r="6" spans="1:10">
      <c r="A6" s="3785" t="s">
        <v>1056</v>
      </c>
      <c r="D6" s="3784">
        <f>SUM(D4:D5)</f>
      </c>
      <c r="E6" s="3784">
        <f>SUM(E4:E5)</f>
      </c>
      <c r="F6" s="3784">
        <f t="shared" ref="F6:J6" si="2">SUM(F4:F5)</f>
      </c>
      <c r="G6" s="3784">
        <f t="shared" si="2"/>
      </c>
      <c r="H6" s="3784">
        <f t="shared" si="2"/>
      </c>
      <c r="I6" s="3784">
        <f t="shared" si="2"/>
      </c>
      <c r="J6" s="3784">
        <f t="shared" si="2"/>
      </c>
    </row>
    <row r="7" spans="1:10">
      <c r="A7" s="3785"/>
      <c r="E7" s="3784"/>
      <c r="F7" s="3784"/>
      <c r="G7" s="3784"/>
      <c r="H7" s="3784"/>
      <c r="I7" s="3784"/>
      <c r="J7" s="3784"/>
    </row>
    <row r="8" spans="1:10">
      <c r="A8" s="3785" t="s">
        <v>1057</v>
      </c>
      <c r="D8" s="3784"/>
      <c r="E8" s="3784">
        <f>'UC market model'!H47+'CD market model'!H37</f>
      </c>
      <c r="F8" s="3784">
        <f>'UC market model'!I47+'CD market model'!I37</f>
      </c>
      <c r="G8" s="3784">
        <f>'UC market model'!J47+'CD market model'!J37</f>
      </c>
      <c r="H8" s="3784">
        <f>'UC market model'!K47+'CD market model'!K37</f>
      </c>
      <c r="I8" s="3784">
        <f>'UC market model'!L47+'CD market model'!L37</f>
      </c>
      <c r="J8" s="3784">
        <f>'UC market model'!M47+'CD market model'!M37</f>
      </c>
    </row>
    <row r="9" spans="1:10">
      <c r="A9" s="3785" t="s">
        <v>1058</v>
      </c>
      <c r="D9" s="3784"/>
      <c r="E9" s="3784">
        <f>'UC market model'!H54+'CD market model'!H44</f>
      </c>
      <c r="F9" s="3784">
        <f>'UC market model'!I54+'CD market model'!I44</f>
      </c>
      <c r="G9" s="3784">
        <f>'UC market model'!J54+'CD market model'!J44</f>
      </c>
      <c r="H9" s="3784">
        <f>'UC market model'!K54+'CD market model'!K44</f>
      </c>
      <c r="I9" s="3784">
        <f>'UC market model'!L54+'CD market model'!L44</f>
      </c>
      <c r="J9" s="3784">
        <f>'UC market model'!M54+'CD market model'!M44</f>
      </c>
    </row>
    <row r="10" spans="1:10">
      <c r="A10" s="3785" t="s">
        <v>1059</v>
      </c>
      <c r="D10" s="3784"/>
      <c r="E10" s="3784">
        <f>SUM(E8:E9)</f>
      </c>
      <c r="F10" s="3784">
        <f t="shared" ref="F10:J10" si="3">SUM(F8:F9)</f>
      </c>
      <c r="G10" s="3784">
        <f t="shared" si="3"/>
      </c>
      <c r="H10" s="3784">
        <f t="shared" si="3"/>
      </c>
      <c r="I10" s="3784">
        <f t="shared" si="3"/>
      </c>
      <c r="J10" s="3784">
        <f t="shared" si="3"/>
      </c>
    </row>
    <row r="11" spans="1:10">
      <c r="A11" s="3785"/>
      <c r="D11" s="3785"/>
      <c r="E11" s="3785"/>
      <c r="F11" s="3786"/>
      <c r="G11" s="3786"/>
      <c r="H11" s="3786"/>
      <c r="I11" s="3786"/>
      <c r="J11" s="3786"/>
    </row>
    <row r="12" spans="1:10">
      <c r="A12" s="3785" t="s">
        <v>1060</v>
      </c>
      <c r="D12" s="3785"/>
      <c r="E12" s="3784">
        <f>E4+E8</f>
      </c>
      <c r="F12" s="3784">
        <f t="shared" ref="F12:J12" si="4">F4+F8</f>
      </c>
      <c r="G12" s="3784">
        <f t="shared" si="4"/>
      </c>
      <c r="H12" s="3784">
        <f t="shared" si="4"/>
      </c>
      <c r="I12" s="3784">
        <f t="shared" si="4"/>
      </c>
      <c r="J12" s="3784">
        <f t="shared" si="4"/>
      </c>
    </row>
    <row r="13" spans="1:10">
      <c r="A13" s="3785" t="s">
        <v>1061</v>
      </c>
      <c r="E13" s="3787">
        <f>+E5+E9</f>
      </c>
      <c r="F13" s="3787">
        <f t="shared" ref="F13:J13" si="5">+F5+F9</f>
      </c>
      <c r="G13" s="3787">
        <f t="shared" si="5"/>
      </c>
      <c r="H13" s="3787">
        <f t="shared" si="5"/>
      </c>
      <c r="I13" s="3787">
        <f t="shared" si="5"/>
      </c>
      <c r="J13" s="3787">
        <f t="shared" si="5"/>
      </c>
    </row>
    <row r="14" spans="1:10">
      <c r="A14" s="3785" t="s">
        <v>1062</v>
      </c>
      <c r="E14" s="3787">
        <f>SUM(E12:E13)</f>
      </c>
      <c r="F14" s="3787">
        <f t="shared" ref="F14:J14" si="6">SUM(F12:F13)</f>
      </c>
      <c r="G14" s="3787">
        <f t="shared" si="6"/>
      </c>
      <c r="H14" s="3787">
        <f t="shared" si="6"/>
      </c>
      <c r="I14" s="3787">
        <f t="shared" si="6"/>
      </c>
      <c r="J14" s="3787">
        <f t="shared" si="6"/>
      </c>
    </row>
    <row r="18" spans="5:10">
      <c r="E18" s="3788"/>
      <c r="F18" s="3788"/>
      <c r="G18" s="3788"/>
      <c r="H18" s="3788"/>
      <c r="I18" s="3788"/>
      <c r="J18" s="3788"/>
    </row>
  </sheetData>
  <pageMargins left="0.7" right="0.7" top="0.75" bottom="0.75" header="0.3" footer="0.3"/>
  <customProperties>
    <customPr name="Qube.Worksheet.Visibility" r:id="rId1"/>
    <customPr name="SHEET_UNIQUE_I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tabColor rgb="FF92D050"/>
    <pageSetUpPr autoPageBreaks="0"/>
  </sheetPr>
  <dimension ref="A1:EH152"/>
  <sheetViews>
    <sheetView showGridLines="0" zoomScale="90" zoomScaleNormal="90" workbookViewId="0">
      <pane xSplit="1" ySplit="6" topLeftCell="B7" activePane="bottomRight" state="frozen"/>
      <selection pane="topRight" activeCell="B1" sqref="B1"/>
      <selection pane="bottomLeft" activeCell="A7" sqref="A7"/>
      <selection pane="bottomRight" activeCell="Z55" sqref="Z55"/>
    </sheetView>
  </sheetViews>
  <sheetFormatPr defaultColWidth="9.109375" defaultRowHeight="10.199999999999999" outlineLevelRow="1" outlineLevelCol="2"/>
  <cols>
    <col min="1" max="1" width="8.88671875" style="1430" customWidth="1"/>
    <col min="2" max="2" width="61.88671875" style="1427" bestFit="1" customWidth="1"/>
    <col min="3" max="3" width="9.109375" style="1427"/>
    <col min="4" max="4" width="9.88671875" style="1430" hidden="1" customWidth="1" outlineLevel="1"/>
    <col min="5" max="8" width="9.88671875" style="1430" hidden="1" customWidth="1" outlineLevel="2"/>
    <col min="9" max="9" width="9.88671875" style="1430" hidden="1" customWidth="1" outlineLevel="1" collapsed="1"/>
    <col min="10" max="13" width="9.88671875" style="1430" hidden="1" customWidth="1" outlineLevel="2"/>
    <col min="14" max="14" width="9.88671875" style="1430" hidden="1" customWidth="1" outlineLevel="1" collapsed="1"/>
    <col min="15" max="15" width="9.88671875" style="1430" hidden="1" customWidth="1" outlineLevel="1"/>
    <col min="16" max="16" width="9.88671875" style="1430" customWidth="1" collapsed="1"/>
    <col min="17" max="23" width="9.88671875" style="1430" customWidth="1"/>
    <col min="24" max="16384" width="9.109375" style="1427"/>
  </cols>
  <sheetData>
    <row r="1" spans="1:138" s="946" customFormat="1" ht="15.6">
      <c r="A1" s="2923"/>
      <c r="B1" s="1411" t="s">
        <v>717</v>
      </c>
      <c r="D1" s="1036"/>
      <c r="E1" s="1036"/>
      <c r="F1" s="1036"/>
      <c r="G1" s="1036"/>
      <c r="H1" s="1036"/>
      <c r="I1" s="1036"/>
      <c r="J1" s="1036"/>
      <c r="K1" s="1036"/>
      <c r="L1" s="1036"/>
      <c r="M1" s="1036"/>
      <c r="N1" s="1036"/>
      <c r="O1" s="1036"/>
      <c r="P1" s="1036"/>
      <c r="Q1" s="1036"/>
      <c r="R1" s="1036"/>
      <c r="S1" s="1036"/>
      <c r="T1" s="1036"/>
      <c r="U1" s="1036"/>
      <c r="V1" s="1036"/>
      <c r="W1" s="1036"/>
    </row>
    <row r="2" spans="1:138" s="946" customFormat="1" ht="14.4" thickBot="1">
      <c r="A2" s="2923"/>
      <c r="B2" s="3451" t="s">
        <v>716</v>
      </c>
      <c r="C2" s="1442"/>
      <c r="D2" s="2945"/>
      <c r="E2" s="2945"/>
      <c r="F2" s="2945"/>
      <c r="G2" s="2945"/>
      <c r="H2" s="2945"/>
      <c r="I2" s="2945"/>
      <c r="J2" s="2945"/>
      <c r="K2" s="2945"/>
      <c r="L2" s="2945"/>
      <c r="M2" s="2945"/>
      <c r="N2" s="2945"/>
      <c r="O2" s="2945"/>
      <c r="P2" s="2945"/>
      <c r="Q2" s="2945"/>
      <c r="R2" s="2945"/>
      <c r="S2" s="2945"/>
      <c r="T2" s="2945"/>
      <c r="U2" s="2945"/>
      <c r="V2" s="2945"/>
      <c r="W2" s="2945"/>
      <c r="X2" s="3285"/>
      <c r="Y2" s="1442"/>
      <c r="Z2" s="1442"/>
      <c r="AA2" s="1442"/>
      <c r="AB2" s="1442"/>
      <c r="AC2" s="1442"/>
      <c r="AD2" s="1442"/>
      <c r="AE2" s="1442"/>
      <c r="AF2" s="1442"/>
      <c r="AG2" s="1442"/>
      <c r="AH2" s="1442"/>
      <c r="AI2" s="1442"/>
      <c r="AJ2" s="1442"/>
      <c r="AK2" s="1442"/>
      <c r="AL2" s="1442"/>
      <c r="AM2" s="1442"/>
      <c r="AN2" s="1442"/>
      <c r="AO2" s="1442"/>
      <c r="AP2" s="1442"/>
      <c r="AQ2" s="1442"/>
      <c r="AR2" s="1442"/>
      <c r="AS2" s="1442"/>
      <c r="AT2" s="1442"/>
      <c r="AU2" s="1442"/>
      <c r="AV2" s="1442"/>
      <c r="AW2" s="1442"/>
      <c r="AX2" s="1442"/>
      <c r="AY2" s="1442"/>
      <c r="AZ2" s="1442"/>
      <c r="BA2" s="1442"/>
      <c r="BB2" s="1442"/>
      <c r="BC2" s="1442"/>
      <c r="BD2" s="1442"/>
      <c r="BE2" s="1442"/>
      <c r="BF2" s="1442"/>
      <c r="BG2" s="1442"/>
      <c r="BH2" s="1442"/>
      <c r="BI2" s="1442"/>
      <c r="BJ2" s="1442"/>
      <c r="BK2" s="1442"/>
      <c r="BL2" s="1442"/>
      <c r="BM2" s="1442"/>
      <c r="BN2" s="1442"/>
      <c r="BO2" s="1442"/>
      <c r="BP2" s="1442"/>
      <c r="BQ2" s="1442"/>
      <c r="BR2" s="1442"/>
      <c r="BS2" s="1442"/>
      <c r="BT2" s="1442"/>
      <c r="BU2" s="1442"/>
      <c r="BV2" s="1442"/>
      <c r="BW2" s="1442"/>
      <c r="BX2" s="1442"/>
      <c r="BY2" s="1442"/>
      <c r="BZ2" s="1442"/>
      <c r="CA2" s="1442"/>
      <c r="CB2" s="1442"/>
      <c r="CC2" s="1442"/>
      <c r="CD2" s="1442"/>
      <c r="CE2" s="1442"/>
      <c r="CF2" s="1442"/>
      <c r="CG2" s="1442"/>
      <c r="CH2" s="1442"/>
      <c r="CI2" s="1442"/>
      <c r="CJ2" s="1442"/>
      <c r="CK2" s="1442"/>
      <c r="CL2" s="1442"/>
      <c r="CM2" s="1442"/>
      <c r="CN2" s="1442"/>
      <c r="CO2" s="1442"/>
      <c r="CP2" s="1442"/>
      <c r="CQ2" s="1442"/>
      <c r="CR2" s="1442"/>
      <c r="CS2" s="1442"/>
      <c r="CT2" s="1442"/>
      <c r="CU2" s="1442"/>
      <c r="CV2" s="1442"/>
      <c r="CW2" s="1442"/>
      <c r="CX2" s="1442"/>
      <c r="CY2" s="1442"/>
      <c r="CZ2" s="1442"/>
      <c r="DA2" s="1442"/>
      <c r="DB2" s="1442"/>
      <c r="DC2" s="1442"/>
      <c r="DD2" s="1442"/>
      <c r="DE2" s="1442"/>
      <c r="DF2" s="1442"/>
      <c r="DG2" s="1442"/>
      <c r="DH2" s="1442"/>
      <c r="DI2" s="1442"/>
      <c r="DJ2" s="1442"/>
      <c r="DK2" s="1442"/>
      <c r="DL2" s="1442"/>
      <c r="DM2" s="1442"/>
      <c r="DN2" s="1442"/>
      <c r="DO2" s="1442"/>
      <c r="DP2" s="1442"/>
      <c r="DQ2" s="1442"/>
      <c r="DR2" s="1442"/>
      <c r="DS2" s="1442"/>
      <c r="DT2" s="1442"/>
      <c r="DU2" s="1442"/>
      <c r="DV2" s="1442"/>
      <c r="DW2" s="1442"/>
      <c r="DX2" s="1442"/>
      <c r="DY2" s="1442"/>
      <c r="DZ2" s="1442"/>
      <c r="EA2" s="1442"/>
      <c r="EB2" s="1442"/>
      <c r="EC2" s="1442"/>
      <c r="ED2" s="1442"/>
      <c r="EE2" s="1442"/>
      <c r="EF2" s="1442"/>
      <c r="EG2" s="1442"/>
      <c r="EH2" s="1442"/>
    </row>
    <row r="3" spans="1:138" s="946" customFormat="1">
      <c r="A3" s="2923"/>
      <c r="B3" s="11" t="s">
        <v>984</v>
      </c>
      <c r="D3" s="1036"/>
      <c r="E3" s="1036"/>
      <c r="F3" s="1036"/>
      <c r="G3" s="1036"/>
      <c r="H3" s="1036"/>
      <c r="I3" s="1036"/>
      <c r="J3" s="1036"/>
      <c r="K3" s="1036"/>
      <c r="L3" s="1036"/>
      <c r="M3" s="1036"/>
      <c r="N3" s="1036"/>
      <c r="O3" s="1036"/>
      <c r="P3" s="1036"/>
      <c r="Q3" s="1036"/>
      <c r="R3" s="1036"/>
      <c r="S3" s="1036"/>
      <c r="T3" s="1036"/>
      <c r="U3" s="1036"/>
      <c r="V3" s="1036"/>
      <c r="W3" s="1036"/>
    </row>
    <row r="6" spans="1:138" ht="10.8" thickBot="1">
      <c r="B6" s="1434" t="s">
        <v>714</v>
      </c>
      <c r="D6" s="1428">
        <v>2018</v>
      </c>
      <c r="E6" s="2926" t="str">
        <f>'Balance Sheet'!DT11</f>
      </c>
      <c r="F6" s="2926" t="str">
        <f>'Balance Sheet'!DU11</f>
      </c>
      <c r="G6" s="2926" t="str">
        <f>'Balance Sheet'!DV11</f>
      </c>
      <c r="H6" s="2926" t="str">
        <f>'Balance Sheet'!DW11</f>
      </c>
      <c r="I6" s="2926">
        <f>'Balance Sheet'!DX11</f>
      </c>
      <c r="J6" s="2926" t="s">
        <v>742</v>
      </c>
      <c r="K6" s="2926" t="s">
        <v>743</v>
      </c>
      <c r="L6" s="2926" t="s">
        <v>744</v>
      </c>
      <c r="M6" s="2926" t="s">
        <v>745</v>
      </c>
      <c r="N6" s="2926">
        <f>'Balance Sheet'!EC11</f>
      </c>
      <c r="O6" s="2926">
        <f>'Balance Sheet'!EH11</f>
      </c>
      <c r="P6" s="2926">
        <f>'Balance Sheet'!EM11</f>
      </c>
      <c r="Q6" s="2926">
        <f>'Balance Sheet'!ER11</f>
      </c>
      <c r="R6" s="2926">
        <f>'Balance Sheet'!EW11</f>
      </c>
      <c r="S6" s="2926" t="str">
        <f>'Balance Sheet'!FB11</f>
      </c>
      <c r="T6" s="2926" t="str">
        <f>'Balance Sheet'!FC11</f>
      </c>
      <c r="U6" s="2926" t="str">
        <f>'Balance Sheet'!FD11</f>
      </c>
      <c r="V6" s="2926" t="str">
        <f>'Balance Sheet'!FE11</f>
      </c>
      <c r="W6" s="2926" t="str">
        <f>'Balance Sheet'!FF11</f>
      </c>
      <c r="X6" s="2926" t="str">
        <f>'Balance Sheet'!FG11</f>
      </c>
    </row>
    <row r="7" spans="1:138" outlineLevel="1">
      <c r="A7" s="2925">
        <v>5.1499999999999997E-2</v>
      </c>
      <c r="B7" s="2929" t="s">
        <v>707</v>
      </c>
      <c r="C7" s="2929"/>
      <c r="D7" s="2930">
        <v>0</v>
      </c>
      <c r="E7" s="2931"/>
      <c r="F7" s="2932"/>
      <c r="G7" s="2931"/>
      <c r="H7" s="2932"/>
      <c r="I7" s="2932"/>
      <c r="J7" s="2932"/>
      <c r="K7" s="2932"/>
      <c r="L7" s="2932"/>
      <c r="M7" s="2932"/>
      <c r="N7" s="2932"/>
      <c r="O7" s="2932"/>
      <c r="P7" s="2932"/>
      <c r="Q7" s="2932"/>
      <c r="R7" s="2932"/>
      <c r="S7" s="2932"/>
      <c r="T7" s="2932"/>
      <c r="U7" s="2932"/>
      <c r="V7" s="2932"/>
      <c r="W7" s="2932"/>
      <c r="X7" s="2932"/>
    </row>
    <row r="8" spans="1:138" outlineLevel="1">
      <c r="A8" s="2925">
        <v>1.6500000000000001E-2</v>
      </c>
      <c r="B8" s="2933" t="s">
        <v>706</v>
      </c>
      <c r="C8" s="2933"/>
      <c r="D8" s="2934">
        <v>0</v>
      </c>
      <c r="E8" s="2935"/>
      <c r="F8" s="2936"/>
      <c r="G8" s="2935"/>
      <c r="H8" s="2936"/>
      <c r="I8" s="2936"/>
      <c r="J8" s="2936"/>
      <c r="K8" s="2936"/>
      <c r="L8" s="2936"/>
      <c r="M8" s="2936"/>
      <c r="N8" s="2936"/>
      <c r="O8" s="2936"/>
      <c r="P8" s="2936"/>
      <c r="Q8" s="2936"/>
      <c r="R8" s="2936"/>
      <c r="S8" s="2936"/>
      <c r="T8" s="2936"/>
      <c r="U8" s="2936"/>
      <c r="V8" s="2936"/>
      <c r="W8" s="2936"/>
      <c r="X8" s="2936"/>
    </row>
    <row r="9" spans="1:138" outlineLevel="1">
      <c r="A9" s="2925">
        <v>4.7500000000000001E-2</v>
      </c>
      <c r="B9" s="2933" t="s">
        <v>708</v>
      </c>
      <c r="C9" s="2933"/>
      <c r="D9" s="2937">
        <v>1139</v>
      </c>
      <c r="E9" s="2938">
        <v>0</v>
      </c>
      <c r="F9" s="2938">
        <f t="shared" ref="F9:S9" si="0">E9</f>
      </c>
      <c r="G9" s="2938">
        <f t="shared" si="0"/>
      </c>
      <c r="H9" s="2938">
        <f t="shared" si="0"/>
      </c>
      <c r="I9" s="2938">
        <f t="shared" si="0"/>
      </c>
      <c r="J9" s="2938">
        <v>0</v>
      </c>
      <c r="K9" s="2938">
        <f t="shared" ref="K9:K52" si="1">J9</f>
      </c>
      <c r="L9" s="2938">
        <f t="shared" ref="L9:L52" si="2">K9</f>
      </c>
      <c r="M9" s="2938">
        <f t="shared" ref="M9:M52" si="3">L9</f>
      </c>
      <c r="N9" s="2938">
        <f>I9</f>
      </c>
      <c r="O9" s="2938">
        <f t="shared" si="0"/>
      </c>
      <c r="P9" s="2938">
        <f t="shared" si="0"/>
      </c>
      <c r="Q9" s="2938">
        <f t="shared" si="0"/>
      </c>
      <c r="R9" s="2938">
        <f t="shared" si="0"/>
      </c>
      <c r="S9" s="2938">
        <f t="shared" si="0"/>
      </c>
      <c r="T9" s="2938">
        <f t="shared" ref="T9:T52" si="4">S9</f>
      </c>
      <c r="U9" s="2938">
        <f t="shared" ref="U9:U52" si="5">T9</f>
      </c>
      <c r="V9" s="2938">
        <f t="shared" ref="V9:V28" si="6">U9</f>
      </c>
      <c r="W9" s="2938">
        <f t="shared" ref="W9:X28" si="7">V9</f>
      </c>
      <c r="X9" s="2938">
        <f t="shared" si="7"/>
      </c>
    </row>
    <row r="10" spans="1:138" outlineLevel="1">
      <c r="A10" s="2925">
        <v>1.8749999999999999E-2</v>
      </c>
      <c r="B10" s="2933" t="s">
        <v>705</v>
      </c>
      <c r="C10" s="2933"/>
      <c r="D10" s="2934">
        <v>494</v>
      </c>
      <c r="E10" s="2938">
        <v>0</v>
      </c>
      <c r="F10" s="2938">
        <f t="shared" ref="F10:S10" si="8">E10</f>
      </c>
      <c r="G10" s="2938">
        <f t="shared" si="8"/>
      </c>
      <c r="H10" s="2938">
        <f t="shared" si="8"/>
      </c>
      <c r="I10" s="2938">
        <f t="shared" si="8"/>
      </c>
      <c r="J10" s="2938">
        <v>0</v>
      </c>
      <c r="K10" s="2938">
        <f t="shared" si="1"/>
      </c>
      <c r="L10" s="2938">
        <f t="shared" si="2"/>
      </c>
      <c r="M10" s="2938">
        <f t="shared" si="3"/>
      </c>
      <c r="N10" s="2938">
        <f>I10</f>
      </c>
      <c r="O10" s="2938">
        <f t="shared" si="8"/>
      </c>
      <c r="P10" s="2938">
        <f t="shared" si="8"/>
      </c>
      <c r="Q10" s="2938">
        <f t="shared" si="8"/>
      </c>
      <c r="R10" s="2938">
        <f t="shared" si="8"/>
      </c>
      <c r="S10" s="2938">
        <f t="shared" si="8"/>
      </c>
      <c r="T10" s="2938">
        <f t="shared" si="4"/>
      </c>
      <c r="U10" s="2938">
        <f t="shared" si="5"/>
      </c>
      <c r="V10" s="2938">
        <f t="shared" si="6"/>
      </c>
      <c r="W10" s="2938">
        <f t="shared" si="7"/>
      </c>
      <c r="X10" s="2938">
        <f t="shared" si="7"/>
      </c>
    </row>
    <row r="11" spans="1:138" outlineLevel="1">
      <c r="A11" s="2925">
        <v>8.8999999999999999E-3</v>
      </c>
      <c r="B11" s="2933" t="s">
        <v>704</v>
      </c>
      <c r="C11" s="2933"/>
      <c r="D11" s="2934">
        <v>300</v>
      </c>
      <c r="E11" s="2938">
        <v>0</v>
      </c>
      <c r="F11" s="2938">
        <f t="shared" ref="F11:S11" si="9">E11</f>
      </c>
      <c r="G11" s="2938">
        <f t="shared" si="9"/>
      </c>
      <c r="H11" s="2938">
        <f t="shared" si="9"/>
      </c>
      <c r="I11" s="2938">
        <f t="shared" si="9"/>
      </c>
      <c r="J11" s="2938">
        <v>0</v>
      </c>
      <c r="K11" s="2938">
        <f t="shared" si="1"/>
      </c>
      <c r="L11" s="2938">
        <f t="shared" si="2"/>
      </c>
      <c r="M11" s="2938">
        <f t="shared" si="3"/>
      </c>
      <c r="N11" s="2938">
        <f>I11</f>
      </c>
      <c r="O11" s="2938">
        <f t="shared" si="9"/>
      </c>
      <c r="P11" s="2938">
        <f t="shared" si="9"/>
      </c>
      <c r="Q11" s="2938">
        <f t="shared" si="9"/>
      </c>
      <c r="R11" s="2938">
        <f t="shared" si="9"/>
      </c>
      <c r="S11" s="2938">
        <f t="shared" si="9"/>
      </c>
      <c r="T11" s="2938">
        <f t="shared" si="4"/>
      </c>
      <c r="U11" s="2938">
        <f t="shared" si="5"/>
      </c>
      <c r="V11" s="2938">
        <f t="shared" si="6"/>
      </c>
      <c r="W11" s="2938">
        <f t="shared" si="7"/>
      </c>
      <c r="X11" s="2938">
        <f t="shared" si="7"/>
      </c>
    </row>
    <row r="12" spans="1:138" outlineLevel="1">
      <c r="A12" s="2925">
        <v>1.125E-2</v>
      </c>
      <c r="B12" s="2933" t="s">
        <v>703</v>
      </c>
      <c r="C12" s="2933"/>
      <c r="D12" s="2934">
        <v>699</v>
      </c>
      <c r="E12" s="2938">
        <v>0</v>
      </c>
      <c r="F12" s="2938">
        <f t="shared" ref="F12:S12" si="10">E12</f>
      </c>
      <c r="G12" s="2938">
        <f t="shared" si="10"/>
      </c>
      <c r="H12" s="2938">
        <f t="shared" si="10"/>
      </c>
      <c r="I12" s="2938">
        <f t="shared" si="10"/>
      </c>
      <c r="J12" s="2938">
        <v>0</v>
      </c>
      <c r="K12" s="2938">
        <f t="shared" si="1"/>
      </c>
      <c r="L12" s="2938">
        <f t="shared" si="2"/>
      </c>
      <c r="M12" s="2938">
        <f t="shared" si="3"/>
      </c>
      <c r="N12" s="2938">
        <f>I12</f>
      </c>
      <c r="O12" s="2938">
        <f t="shared" si="10"/>
      </c>
      <c r="P12" s="2938">
        <f t="shared" si="10"/>
      </c>
      <c r="Q12" s="2938">
        <f t="shared" si="10"/>
      </c>
      <c r="R12" s="2938">
        <f t="shared" si="10"/>
      </c>
      <c r="S12" s="2938">
        <f t="shared" si="10"/>
      </c>
      <c r="T12" s="2938">
        <f t="shared" si="4"/>
      </c>
      <c r="U12" s="2938">
        <f t="shared" si="5"/>
      </c>
      <c r="V12" s="2938">
        <f t="shared" si="6"/>
      </c>
      <c r="W12" s="2938">
        <f t="shared" si="7"/>
      </c>
      <c r="X12" s="2938">
        <f t="shared" si="7"/>
      </c>
    </row>
    <row r="13" spans="1:138" outlineLevel="1">
      <c r="A13" s="2925">
        <v>0.03</v>
      </c>
      <c r="B13" s="2933" t="s">
        <v>702</v>
      </c>
      <c r="C13" s="2933"/>
      <c r="D13" s="2934">
        <v>51</v>
      </c>
      <c r="E13" s="2938">
        <f t="shared" ref="E13:S13" si="11">D13</f>
      </c>
      <c r="F13" s="2938">
        <f t="shared" si="11"/>
      </c>
      <c r="G13" s="2938">
        <f t="shared" si="11"/>
      </c>
      <c r="H13" s="2938">
        <f t="shared" si="11"/>
      </c>
      <c r="I13" s="2938">
        <f t="shared" si="11"/>
      </c>
      <c r="J13" s="2938">
        <f t="shared" ref="J13:J52" si="12">I13</f>
      </c>
      <c r="K13" s="2938">
        <f t="shared" si="1"/>
      </c>
      <c r="L13" s="2938">
        <f t="shared" si="2"/>
      </c>
      <c r="M13" s="2938">
        <f t="shared" si="3"/>
      </c>
      <c r="N13" s="2938">
        <v>0</v>
      </c>
      <c r="O13" s="2938">
        <f t="shared" si="11"/>
      </c>
      <c r="P13" s="2938">
        <f t="shared" si="11"/>
      </c>
      <c r="Q13" s="2938">
        <f t="shared" si="11"/>
      </c>
      <c r="R13" s="2938">
        <f t="shared" si="11"/>
      </c>
      <c r="S13" s="2938">
        <f t="shared" si="11"/>
      </c>
      <c r="T13" s="2938">
        <f t="shared" si="4"/>
      </c>
      <c r="U13" s="2938">
        <f t="shared" si="5"/>
      </c>
      <c r="V13" s="2938">
        <f t="shared" si="6"/>
      </c>
      <c r="W13" s="2938">
        <f t="shared" si="7"/>
      </c>
      <c r="X13" s="2938">
        <f t="shared" si="7"/>
      </c>
    </row>
    <row r="14" spans="1:138" outlineLevel="1">
      <c r="A14" s="2925">
        <v>2.9499999999999998E-2</v>
      </c>
      <c r="B14" s="2933" t="s">
        <v>701</v>
      </c>
      <c r="C14" s="2933"/>
      <c r="D14" s="2934">
        <v>548</v>
      </c>
      <c r="E14" s="2938">
        <f t="shared" ref="E14:S14" si="13">D14</f>
      </c>
      <c r="F14" s="2938">
        <f t="shared" si="13"/>
      </c>
      <c r="G14" s="2938">
        <f t="shared" si="13"/>
      </c>
      <c r="H14" s="2938">
        <f t="shared" si="13"/>
      </c>
      <c r="I14" s="2938">
        <f t="shared" si="13"/>
      </c>
      <c r="J14" s="2938">
        <f t="shared" si="12"/>
      </c>
      <c r="K14" s="2938">
        <f t="shared" si="1"/>
      </c>
      <c r="L14" s="2938">
        <f t="shared" si="2"/>
      </c>
      <c r="M14" s="2938">
        <f t="shared" si="3"/>
      </c>
      <c r="N14" s="2938">
        <v>0</v>
      </c>
      <c r="O14" s="2938">
        <f t="shared" si="13"/>
      </c>
      <c r="P14" s="2938">
        <f t="shared" si="13"/>
      </c>
      <c r="Q14" s="2938">
        <f t="shared" si="13"/>
      </c>
      <c r="R14" s="2938">
        <f t="shared" si="13"/>
      </c>
      <c r="S14" s="2938">
        <f t="shared" si="13"/>
      </c>
      <c r="T14" s="2938">
        <f t="shared" si="4"/>
      </c>
      <c r="U14" s="2938">
        <f t="shared" si="5"/>
      </c>
      <c r="V14" s="2938">
        <f t="shared" si="6"/>
      </c>
      <c r="W14" s="2938">
        <f t="shared" si="7"/>
      </c>
      <c r="X14" s="2938">
        <f t="shared" si="7"/>
      </c>
    </row>
    <row r="15" spans="1:138" outlineLevel="1">
      <c r="A15" s="2925">
        <v>1.95E-2</v>
      </c>
      <c r="B15" s="2933" t="s">
        <v>700</v>
      </c>
      <c r="C15" s="2933"/>
      <c r="D15" s="2934">
        <v>499</v>
      </c>
      <c r="E15" s="2938">
        <f t="shared" ref="E15:S15" si="14">D15</f>
      </c>
      <c r="F15" s="2938">
        <f t="shared" si="14"/>
      </c>
      <c r="G15" s="2938">
        <f t="shared" si="14"/>
      </c>
      <c r="H15" s="2938">
        <f t="shared" si="14"/>
      </c>
      <c r="I15" s="2938">
        <f t="shared" si="14"/>
      </c>
      <c r="J15" s="2938">
        <f t="shared" si="12"/>
      </c>
      <c r="K15" s="2938">
        <f t="shared" si="1"/>
      </c>
      <c r="L15" s="2938">
        <f t="shared" si="2"/>
      </c>
      <c r="M15" s="2938">
        <f t="shared" si="3"/>
      </c>
      <c r="N15" s="2938">
        <v>0</v>
      </c>
      <c r="O15" s="2938">
        <f t="shared" si="14"/>
      </c>
      <c r="P15" s="2938">
        <f t="shared" si="14"/>
      </c>
      <c r="Q15" s="2938">
        <f t="shared" si="14"/>
      </c>
      <c r="R15" s="2938">
        <f t="shared" si="14"/>
      </c>
      <c r="S15" s="2938">
        <f t="shared" si="14"/>
      </c>
      <c r="T15" s="2938">
        <f t="shared" si="4"/>
      </c>
      <c r="U15" s="2938">
        <f t="shared" si="5"/>
      </c>
      <c r="V15" s="2938">
        <f t="shared" si="6"/>
      </c>
      <c r="W15" s="2938">
        <f t="shared" si="7"/>
      </c>
      <c r="X15" s="2938">
        <f t="shared" si="7"/>
      </c>
    </row>
    <row r="16" spans="1:138" outlineLevel="1">
      <c r="A16" s="2925">
        <v>3.5499999999999997E-2</v>
      </c>
      <c r="B16" s="2933" t="s">
        <v>699</v>
      </c>
      <c r="C16" s="2933"/>
      <c r="D16" s="2934">
        <v>449</v>
      </c>
      <c r="E16" s="2938">
        <f t="shared" ref="E16:S16" si="15">D16</f>
      </c>
      <c r="F16" s="2938">
        <f t="shared" si="15"/>
      </c>
      <c r="G16" s="2938">
        <f t="shared" si="15"/>
      </c>
      <c r="H16" s="2938">
        <f t="shared" si="15"/>
      </c>
      <c r="I16" s="2938">
        <f t="shared" si="15"/>
      </c>
      <c r="J16" s="2938">
        <f t="shared" si="12"/>
      </c>
      <c r="K16" s="2938">
        <f t="shared" si="1"/>
      </c>
      <c r="L16" s="2938">
        <f t="shared" si="2"/>
      </c>
      <c r="M16" s="2938">
        <f t="shared" si="3"/>
      </c>
      <c r="N16" s="2938">
        <f t="shared" ref="N16:N52" si="16">I16</f>
      </c>
      <c r="O16" s="2938">
        <v>0</v>
      </c>
      <c r="P16" s="2938">
        <f t="shared" si="15"/>
      </c>
      <c r="Q16" s="2938">
        <f t="shared" si="15"/>
      </c>
      <c r="R16" s="2938">
        <f t="shared" si="15"/>
      </c>
      <c r="S16" s="2938">
        <f t="shared" si="15"/>
      </c>
      <c r="T16" s="2938">
        <f t="shared" si="4"/>
      </c>
      <c r="U16" s="2938">
        <f t="shared" si="5"/>
      </c>
      <c r="V16" s="2938">
        <f t="shared" si="6"/>
      </c>
      <c r="W16" s="2938">
        <f t="shared" si="7"/>
      </c>
      <c r="X16" s="2938">
        <f t="shared" si="7"/>
      </c>
    </row>
    <row r="17" spans="1:24" outlineLevel="1">
      <c r="A17" s="2925">
        <v>2.4500000000000001E-2</v>
      </c>
      <c r="B17" s="2933" t="s">
        <v>698</v>
      </c>
      <c r="C17" s="2933"/>
      <c r="D17" s="2934">
        <v>349</v>
      </c>
      <c r="E17" s="2938">
        <f>D17</f>
      </c>
      <c r="F17" s="2938">
        <f t="shared" ref="F17:S17" si="17">E17</f>
      </c>
      <c r="G17" s="2938">
        <f t="shared" si="17"/>
      </c>
      <c r="H17" s="2938">
        <f t="shared" si="17"/>
      </c>
      <c r="I17" s="2938">
        <f t="shared" si="17"/>
      </c>
      <c r="J17" s="2938">
        <f t="shared" si="12"/>
      </c>
      <c r="K17" s="2938">
        <f t="shared" si="1"/>
      </c>
      <c r="L17" s="2938">
        <f t="shared" si="2"/>
      </c>
      <c r="M17" s="2938">
        <f t="shared" si="3"/>
      </c>
      <c r="N17" s="2938">
        <f t="shared" si="16"/>
      </c>
      <c r="O17" s="2938">
        <v>0</v>
      </c>
      <c r="P17" s="2938">
        <f t="shared" si="17"/>
      </c>
      <c r="Q17" s="2938">
        <f t="shared" si="17"/>
      </c>
      <c r="R17" s="2938">
        <f t="shared" si="17"/>
      </c>
      <c r="S17" s="2938">
        <f t="shared" si="17"/>
      </c>
      <c r="T17" s="2938">
        <f t="shared" si="4"/>
      </c>
      <c r="U17" s="2938">
        <f t="shared" si="5"/>
      </c>
      <c r="V17" s="2938">
        <f t="shared" si="6"/>
      </c>
      <c r="W17" s="2938">
        <f t="shared" si="7"/>
      </c>
      <c r="X17" s="2938">
        <f t="shared" si="7"/>
      </c>
    </row>
    <row r="18" spans="1:24" outlineLevel="1">
      <c r="A18" s="2925">
        <v>1.6500000000000001E-2</v>
      </c>
      <c r="B18" s="2933" t="s">
        <v>697</v>
      </c>
      <c r="C18" s="2933"/>
      <c r="D18" s="2934">
        <v>998</v>
      </c>
      <c r="E18" s="2938">
        <f t="shared" ref="E18:S18" si="18">D18</f>
      </c>
      <c r="F18" s="2938">
        <f t="shared" si="18"/>
      </c>
      <c r="G18" s="2938">
        <f t="shared" si="18"/>
      </c>
      <c r="H18" s="2938">
        <f t="shared" si="18"/>
      </c>
      <c r="I18" s="2938">
        <f t="shared" si="18"/>
      </c>
      <c r="J18" s="2938">
        <f t="shared" si="12"/>
      </c>
      <c r="K18" s="2938">
        <f t="shared" si="1"/>
      </c>
      <c r="L18" s="2938">
        <f t="shared" si="2"/>
      </c>
      <c r="M18" s="2938">
        <f t="shared" si="3"/>
      </c>
      <c r="N18" s="2938">
        <f t="shared" si="16"/>
      </c>
      <c r="O18" s="2938">
        <v>0</v>
      </c>
      <c r="P18" s="2938">
        <f t="shared" si="18"/>
      </c>
      <c r="Q18" s="2938">
        <f t="shared" si="18"/>
      </c>
      <c r="R18" s="2938">
        <f t="shared" si="18"/>
      </c>
      <c r="S18" s="2938">
        <f t="shared" si="18"/>
      </c>
      <c r="T18" s="2938">
        <f t="shared" si="4"/>
      </c>
      <c r="U18" s="2938">
        <f t="shared" si="5"/>
      </c>
      <c r="V18" s="2938">
        <f t="shared" si="6"/>
      </c>
      <c r="W18" s="2938">
        <f t="shared" si="7"/>
      </c>
      <c r="X18" s="2938">
        <f t="shared" si="7"/>
      </c>
    </row>
    <row r="19" spans="1:24" outlineLevel="1">
      <c r="A19" s="2925">
        <v>2.5000000000000001E-3</v>
      </c>
      <c r="B19" s="2933" t="s">
        <v>709</v>
      </c>
      <c r="C19" s="2933"/>
      <c r="D19" s="2937">
        <v>1137</v>
      </c>
      <c r="E19" s="2938">
        <f t="shared" ref="E19:S19" si="19">D19</f>
      </c>
      <c r="F19" s="2938">
        <f t="shared" si="19"/>
      </c>
      <c r="G19" s="2938">
        <f t="shared" si="19"/>
      </c>
      <c r="H19" s="2938">
        <f t="shared" si="19"/>
      </c>
      <c r="I19" s="2938">
        <f t="shared" si="19"/>
      </c>
      <c r="J19" s="2938">
        <f t="shared" si="12"/>
      </c>
      <c r="K19" s="2938">
        <f t="shared" si="1"/>
      </c>
      <c r="L19" s="2938">
        <f t="shared" si="2"/>
      </c>
      <c r="M19" s="2938">
        <f t="shared" si="3"/>
      </c>
      <c r="N19" s="2938">
        <f t="shared" si="16"/>
      </c>
      <c r="O19" s="2938">
        <f t="shared" si="19"/>
      </c>
      <c r="P19" s="2938">
        <v>0</v>
      </c>
      <c r="Q19" s="2938">
        <f t="shared" si="19"/>
      </c>
      <c r="R19" s="2938">
        <f t="shared" si="19"/>
      </c>
      <c r="S19" s="2938">
        <f t="shared" si="19"/>
      </c>
      <c r="T19" s="2938">
        <f t="shared" si="4"/>
      </c>
      <c r="U19" s="2938">
        <f t="shared" si="5"/>
      </c>
      <c r="V19" s="2938">
        <f t="shared" si="6"/>
      </c>
      <c r="W19" s="2938">
        <f t="shared" si="7"/>
      </c>
      <c r="X19" s="2938">
        <f t="shared" si="7"/>
      </c>
    </row>
    <row r="20" spans="1:24" outlineLevel="1">
      <c r="A20" s="2925">
        <v>2.2499999999999999E-2</v>
      </c>
      <c r="B20" s="2933" t="s">
        <v>696</v>
      </c>
      <c r="C20" s="2933"/>
      <c r="D20" s="2934">
        <v>996</v>
      </c>
      <c r="E20" s="2938">
        <f t="shared" ref="E20:S20" si="20">D20</f>
      </c>
      <c r="F20" s="2938">
        <f t="shared" si="20"/>
      </c>
      <c r="G20" s="2938">
        <f t="shared" si="20"/>
      </c>
      <c r="H20" s="2938">
        <f t="shared" si="20"/>
      </c>
      <c r="I20" s="2938">
        <f t="shared" si="20"/>
      </c>
      <c r="J20" s="2938">
        <f t="shared" si="12"/>
      </c>
      <c r="K20" s="2938">
        <f t="shared" si="1"/>
      </c>
      <c r="L20" s="2938">
        <f t="shared" si="2"/>
      </c>
      <c r="M20" s="2938">
        <f t="shared" si="3"/>
      </c>
      <c r="N20" s="2938">
        <f t="shared" si="16"/>
      </c>
      <c r="O20" s="2938">
        <f t="shared" si="20"/>
      </c>
      <c r="P20" s="2938">
        <v>0</v>
      </c>
      <c r="Q20" s="2938">
        <f t="shared" si="20"/>
      </c>
      <c r="R20" s="2938">
        <f t="shared" si="20"/>
      </c>
      <c r="S20" s="2938">
        <f t="shared" si="20"/>
      </c>
      <c r="T20" s="2938">
        <f t="shared" si="4"/>
      </c>
      <c r="U20" s="2938">
        <f t="shared" si="5"/>
      </c>
      <c r="V20" s="2938">
        <f t="shared" si="6"/>
      </c>
      <c r="W20" s="2938">
        <f t="shared" si="7"/>
      </c>
      <c r="X20" s="2938">
        <f t="shared" si="7"/>
      </c>
    </row>
    <row r="21" spans="1:24">
      <c r="A21" s="2925">
        <v>6.7299999999999999E-2</v>
      </c>
      <c r="B21" s="2933" t="s">
        <v>695</v>
      </c>
      <c r="C21" s="2933"/>
      <c r="D21" s="2934">
        <v>250</v>
      </c>
      <c r="E21" s="2938">
        <f t="shared" ref="E21:S21" si="21">D21</f>
      </c>
      <c r="F21" s="2938">
        <f t="shared" si="21"/>
      </c>
      <c r="G21" s="2938">
        <f t="shared" si="21"/>
      </c>
      <c r="H21" s="2938">
        <f t="shared" si="21"/>
      </c>
      <c r="I21" s="2938">
        <f t="shared" si="21"/>
      </c>
      <c r="J21" s="2938">
        <f t="shared" si="12"/>
      </c>
      <c r="K21" s="2938">
        <f t="shared" si="1"/>
      </c>
      <c r="L21" s="2938">
        <f t="shared" si="2"/>
      </c>
      <c r="M21" s="2938">
        <f t="shared" si="3"/>
      </c>
      <c r="N21" s="2938">
        <f t="shared" si="16"/>
      </c>
      <c r="O21" s="2938">
        <f t="shared" si="21"/>
      </c>
      <c r="P21" s="2938">
        <f t="shared" si="21"/>
      </c>
      <c r="Q21" s="2937">
        <v>0</v>
      </c>
      <c r="R21" s="2938">
        <f t="shared" si="21"/>
      </c>
      <c r="S21" s="2938">
        <f t="shared" si="21"/>
      </c>
      <c r="T21" s="2938">
        <f t="shared" si="4"/>
      </c>
      <c r="U21" s="2938">
        <f t="shared" si="5"/>
      </c>
      <c r="V21" s="2938">
        <f t="shared" si="6"/>
      </c>
      <c r="W21" s="2938">
        <f t="shared" si="7"/>
      </c>
      <c r="X21" s="2938">
        <f t="shared" si="7"/>
      </c>
    </row>
    <row r="22" spans="1:24">
      <c r="A22" s="2925">
        <v>3.3750000000000002E-2</v>
      </c>
      <c r="B22" s="2933" t="s">
        <v>694</v>
      </c>
      <c r="C22" s="2933"/>
      <c r="D22" s="2934">
        <v>805</v>
      </c>
      <c r="E22" s="2938">
        <f t="shared" ref="E22:S22" si="22">D22</f>
      </c>
      <c r="F22" s="2938">
        <f t="shared" si="22"/>
      </c>
      <c r="G22" s="2938">
        <f t="shared" si="22"/>
      </c>
      <c r="H22" s="2938">
        <f t="shared" si="22"/>
      </c>
      <c r="I22" s="2938">
        <f t="shared" si="22"/>
      </c>
      <c r="J22" s="2938">
        <f t="shared" si="12"/>
      </c>
      <c r="K22" s="2938">
        <f t="shared" si="1"/>
      </c>
      <c r="L22" s="2938">
        <f t="shared" si="2"/>
      </c>
      <c r="M22" s="2938">
        <f t="shared" si="3"/>
      </c>
      <c r="N22" s="2938">
        <f t="shared" si="16"/>
      </c>
      <c r="O22" s="2938">
        <f t="shared" si="22"/>
      </c>
      <c r="P22" s="2938">
        <f t="shared" si="22"/>
      </c>
      <c r="Q22" s="2937">
        <v>0</v>
      </c>
      <c r="R22" s="2938">
        <f t="shared" si="22"/>
      </c>
      <c r="S22" s="2938">
        <f t="shared" si="22"/>
      </c>
      <c r="T22" s="2938">
        <f t="shared" si="4"/>
      </c>
      <c r="U22" s="2938">
        <f t="shared" si="5"/>
      </c>
      <c r="V22" s="2938">
        <f t="shared" si="6"/>
      </c>
      <c r="W22" s="2938">
        <f t="shared" si="7"/>
      </c>
      <c r="X22" s="2938">
        <f t="shared" si="7"/>
      </c>
    </row>
    <row r="23" spans="1:24">
      <c r="A23" s="2925">
        <v>2.0500000000000001E-2</v>
      </c>
      <c r="B23" s="2933" t="s">
        <v>693</v>
      </c>
      <c r="C23" s="2933"/>
      <c r="D23" s="2934">
        <v>498</v>
      </c>
      <c r="E23" s="2938">
        <f t="shared" ref="E23:S23" si="23">D23</f>
      </c>
      <c r="F23" s="2938">
        <f t="shared" si="23"/>
      </c>
      <c r="G23" s="2938">
        <f t="shared" si="23"/>
      </c>
      <c r="H23" s="2938">
        <f t="shared" si="23"/>
      </c>
      <c r="I23" s="2938">
        <f t="shared" si="23"/>
      </c>
      <c r="J23" s="2938">
        <f t="shared" si="12"/>
      </c>
      <c r="K23" s="2938">
        <f t="shared" si="1"/>
      </c>
      <c r="L23" s="2938">
        <f t="shared" si="2"/>
      </c>
      <c r="M23" s="2938">
        <f t="shared" si="3"/>
      </c>
      <c r="N23" s="2938">
        <f t="shared" si="16"/>
      </c>
      <c r="O23" s="2938">
        <f t="shared" si="23"/>
      </c>
      <c r="P23" s="2938">
        <f t="shared" si="23"/>
      </c>
      <c r="Q23" s="2937">
        <v>0</v>
      </c>
      <c r="R23" s="2938">
        <f t="shared" si="23"/>
      </c>
      <c r="S23" s="2938">
        <f t="shared" si="23"/>
      </c>
      <c r="T23" s="2938">
        <f t="shared" si="4"/>
      </c>
      <c r="U23" s="2938">
        <f t="shared" si="5"/>
      </c>
      <c r="V23" s="2938">
        <f t="shared" si="6"/>
      </c>
      <c r="W23" s="2938">
        <f t="shared" si="7"/>
      </c>
      <c r="X23" s="2938">
        <f t="shared" si="7"/>
      </c>
    </row>
    <row r="24" spans="1:24">
      <c r="A24" s="2925">
        <v>6.4999999999999997E-3</v>
      </c>
      <c r="B24" s="2933" t="s">
        <v>710</v>
      </c>
      <c r="C24" s="2933"/>
      <c r="D24" s="2934">
        <v>851</v>
      </c>
      <c r="E24" s="2938">
        <f t="shared" ref="E24:S24" si="24">D24</f>
      </c>
      <c r="F24" s="2938">
        <f t="shared" si="24"/>
      </c>
      <c r="G24" s="2938">
        <f t="shared" si="24"/>
      </c>
      <c r="H24" s="2938">
        <f t="shared" si="24"/>
      </c>
      <c r="I24" s="2938">
        <f t="shared" si="24"/>
      </c>
      <c r="J24" s="2938">
        <f t="shared" si="12"/>
      </c>
      <c r="K24" s="2938">
        <f t="shared" si="1"/>
      </c>
      <c r="L24" s="2938">
        <f t="shared" si="2"/>
      </c>
      <c r="M24" s="2938">
        <f t="shared" si="3"/>
      </c>
      <c r="N24" s="2938">
        <f t="shared" si="16"/>
      </c>
      <c r="O24" s="2938">
        <f t="shared" si="24"/>
      </c>
      <c r="P24" s="2938">
        <f t="shared" si="24"/>
      </c>
      <c r="Q24" s="2937">
        <v>0</v>
      </c>
      <c r="R24" s="2938">
        <v>0</v>
      </c>
      <c r="S24" s="2938">
        <f t="shared" si="24"/>
      </c>
      <c r="T24" s="2938">
        <f t="shared" si="4"/>
      </c>
      <c r="U24" s="2938">
        <f t="shared" si="5"/>
      </c>
      <c r="V24" s="2938">
        <f t="shared" si="6"/>
      </c>
      <c r="W24" s="2938">
        <f t="shared" si="7"/>
      </c>
      <c r="X24" s="2938">
        <f t="shared" si="7"/>
      </c>
    </row>
    <row r="25" spans="1:24">
      <c r="A25" s="2925">
        <v>5.5E-2</v>
      </c>
      <c r="B25" s="2933" t="s">
        <v>711</v>
      </c>
      <c r="C25" s="2933"/>
      <c r="D25" s="2934">
        <v>627</v>
      </c>
      <c r="E25" s="2938">
        <f>D25</f>
      </c>
      <c r="F25" s="2938">
        <f>E25</f>
      </c>
      <c r="G25" s="2938">
        <f>F25</f>
      </c>
      <c r="H25" s="2938">
        <f>G25</f>
      </c>
      <c r="I25" s="2938">
        <f>H25</f>
      </c>
      <c r="J25" s="2938">
        <f t="shared" si="12"/>
      </c>
      <c r="K25" s="2938">
        <f t="shared" si="1"/>
      </c>
      <c r="L25" s="2938">
        <f t="shared" si="2"/>
      </c>
      <c r="M25" s="2938">
        <f t="shared" si="3"/>
      </c>
      <c r="N25" s="2938">
        <f t="shared" si="16"/>
      </c>
      <c r="O25" s="2938">
        <f>N25</f>
      </c>
      <c r="P25" s="2938">
        <f>O25</f>
      </c>
      <c r="Q25" s="2937">
        <v>629</v>
      </c>
      <c r="R25" s="2938">
        <v>0</v>
      </c>
      <c r="S25" s="2938">
        <f>R25</f>
      </c>
      <c r="T25" s="2938">
        <f t="shared" si="4"/>
      </c>
      <c r="U25" s="2938">
        <f t="shared" si="5"/>
      </c>
      <c r="V25" s="2938">
        <f t="shared" si="6"/>
      </c>
      <c r="W25" s="2938">
        <f t="shared" si="7"/>
      </c>
      <c r="X25" s="2938">
        <f t="shared" si="7"/>
      </c>
    </row>
    <row r="26" spans="1:24">
      <c r="A26" s="2925">
        <v>2.6249999999999999E-2</v>
      </c>
      <c r="B26" s="2933" t="s">
        <v>692</v>
      </c>
      <c r="C26" s="2933"/>
      <c r="D26" s="2934">
        <v>748</v>
      </c>
      <c r="E26" s="2938">
        <f t="shared" ref="E26:R26" si="25">D26</f>
      </c>
      <c r="F26" s="2938">
        <f t="shared" si="25"/>
      </c>
      <c r="G26" s="2938">
        <f t="shared" si="25"/>
      </c>
      <c r="H26" s="2938">
        <f t="shared" si="25"/>
      </c>
      <c r="I26" s="2938">
        <f t="shared" si="25"/>
      </c>
      <c r="J26" s="2938">
        <f t="shared" si="12"/>
      </c>
      <c r="K26" s="2938">
        <f t="shared" si="1"/>
      </c>
      <c r="L26" s="2938">
        <f t="shared" si="2"/>
      </c>
      <c r="M26" s="2938">
        <f t="shared" si="3"/>
      </c>
      <c r="N26" s="2938">
        <f t="shared" si="16"/>
      </c>
      <c r="O26" s="2938">
        <f t="shared" si="25"/>
      </c>
      <c r="P26" s="2938">
        <f t="shared" si="25"/>
      </c>
      <c r="Q26" s="2937">
        <v>749</v>
      </c>
      <c r="R26" s="2938">
        <f t="shared" si="25"/>
      </c>
      <c r="S26" s="2938">
        <v>0</v>
      </c>
      <c r="T26" s="2938">
        <f t="shared" si="4"/>
      </c>
      <c r="U26" s="2938">
        <f t="shared" si="5"/>
      </c>
      <c r="V26" s="2938">
        <f t="shared" si="6"/>
      </c>
      <c r="W26" s="2938">
        <f t="shared" si="7"/>
      </c>
      <c r="X26" s="2938">
        <f t="shared" si="7"/>
      </c>
    </row>
    <row r="27" spans="1:24">
      <c r="A27" s="2925">
        <v>5.4999999999999997E-3</v>
      </c>
      <c r="B27" s="2933" t="s">
        <v>844</v>
      </c>
      <c r="C27" s="2933"/>
      <c r="D27" s="2934"/>
      <c r="E27" s="2938"/>
      <c r="F27" s="2938"/>
      <c r="G27" s="2938"/>
      <c r="H27" s="2938"/>
      <c r="I27" s="2938"/>
      <c r="J27" s="2938"/>
      <c r="K27" s="2938"/>
      <c r="L27" s="2938"/>
      <c r="M27" s="2938"/>
      <c r="N27" s="2938"/>
      <c r="O27" s="2938"/>
      <c r="P27" s="2938"/>
      <c r="Q27" s="2937">
        <v>926</v>
      </c>
      <c r="R27" s="2938">
        <f t="shared" ref="R27:R52" si="26">Q27</f>
      </c>
      <c r="S27" s="2938">
        <v>0</v>
      </c>
      <c r="T27" s="2938">
        <f t="shared" si="4"/>
      </c>
      <c r="U27" s="2938">
        <f t="shared" si="5"/>
      </c>
      <c r="V27" s="2938">
        <f t="shared" si="6"/>
      </c>
      <c r="W27" s="2938">
        <f t="shared" si="7"/>
      </c>
      <c r="X27" s="2938">
        <f t="shared" si="7"/>
      </c>
    </row>
    <row r="28" spans="1:24">
      <c r="A28" s="2925">
        <v>2.4500000000000001E-2</v>
      </c>
      <c r="B28" s="2933" t="s">
        <v>691</v>
      </c>
      <c r="C28" s="2933"/>
      <c r="D28" s="2937">
        <v>1992</v>
      </c>
      <c r="E28" s="2938">
        <f t="shared" ref="E28:P28" si="27">D28</f>
      </c>
      <c r="F28" s="2938">
        <f t="shared" si="27"/>
      </c>
      <c r="G28" s="2938">
        <f t="shared" si="27"/>
      </c>
      <c r="H28" s="2938">
        <f t="shared" si="27"/>
      </c>
      <c r="I28" s="2938">
        <f t="shared" si="27"/>
      </c>
      <c r="J28" s="2938">
        <f t="shared" si="12"/>
      </c>
      <c r="K28" s="2938">
        <f t="shared" si="1"/>
      </c>
      <c r="L28" s="2938">
        <f t="shared" si="2"/>
      </c>
      <c r="M28" s="2938">
        <f t="shared" si="3"/>
      </c>
      <c r="N28" s="2938">
        <f t="shared" si="16"/>
      </c>
      <c r="O28" s="2938">
        <f t="shared" si="27"/>
      </c>
      <c r="P28" s="2938">
        <f t="shared" si="27"/>
      </c>
      <c r="Q28" s="2937">
        <v>1997</v>
      </c>
      <c r="R28" s="2938">
        <f t="shared" si="26"/>
      </c>
      <c r="S28" s="2938">
        <f t="shared" ref="S28:S40" si="28">R28</f>
      </c>
      <c r="T28" s="2938">
        <v>0</v>
      </c>
      <c r="U28" s="2938">
        <f t="shared" si="5"/>
      </c>
      <c r="V28" s="2938">
        <f t="shared" si="6"/>
      </c>
      <c r="W28" s="2938">
        <f t="shared" si="7"/>
      </c>
      <c r="X28" s="2938">
        <f t="shared" si="7"/>
      </c>
    </row>
    <row r="29" spans="1:24">
      <c r="A29" s="2925">
        <v>2.9499999999999998E-2</v>
      </c>
      <c r="B29" s="2933" t="s">
        <v>690</v>
      </c>
      <c r="C29" s="2933"/>
      <c r="D29" s="2934">
        <v>996</v>
      </c>
      <c r="E29" s="2938">
        <f t="shared" ref="E29:P29" si="29">D29</f>
      </c>
      <c r="F29" s="2938">
        <f t="shared" si="29"/>
      </c>
      <c r="G29" s="2938">
        <f t="shared" si="29"/>
      </c>
      <c r="H29" s="2938">
        <f t="shared" si="29"/>
      </c>
      <c r="I29" s="2938">
        <f t="shared" si="29"/>
      </c>
      <c r="J29" s="2938">
        <f t="shared" si="12"/>
      </c>
      <c r="K29" s="2938">
        <f t="shared" si="1"/>
      </c>
      <c r="L29" s="2938">
        <f t="shared" si="2"/>
      </c>
      <c r="M29" s="2938">
        <f t="shared" si="3"/>
      </c>
      <c r="N29" s="2938">
        <f t="shared" si="16"/>
      </c>
      <c r="O29" s="2938">
        <f t="shared" si="29"/>
      </c>
      <c r="P29" s="2938">
        <f t="shared" si="29"/>
      </c>
      <c r="Q29" s="2937">
        <v>875</v>
      </c>
      <c r="R29" s="2938">
        <f t="shared" si="26"/>
      </c>
      <c r="S29" s="2938">
        <f t="shared" si="28"/>
      </c>
      <c r="T29" s="2938">
        <f t="shared" si="4"/>
      </c>
      <c r="U29" s="2938">
        <v>0</v>
      </c>
      <c r="V29" s="2938">
        <v>0</v>
      </c>
      <c r="W29" s="2938">
        <v>0</v>
      </c>
      <c r="X29" s="2938">
        <v>0</v>
      </c>
    </row>
    <row r="30" spans="1:24">
      <c r="A30" s="2925">
        <v>9.4999999999999998E-3</v>
      </c>
      <c r="B30" s="2933" t="s">
        <v>845</v>
      </c>
      <c r="C30" s="2933"/>
      <c r="D30" s="2934"/>
      <c r="E30" s="2938"/>
      <c r="F30" s="2938"/>
      <c r="G30" s="2938"/>
      <c r="H30" s="2938"/>
      <c r="I30" s="2938"/>
      <c r="J30" s="2938"/>
      <c r="K30" s="2938"/>
      <c r="L30" s="2938"/>
      <c r="M30" s="2938"/>
      <c r="N30" s="2938"/>
      <c r="O30" s="2938"/>
      <c r="P30" s="2938"/>
      <c r="Q30" s="2937">
        <v>1394</v>
      </c>
      <c r="R30" s="2938">
        <f t="shared" si="26"/>
      </c>
      <c r="S30" s="2938">
        <f t="shared" si="28"/>
      </c>
      <c r="T30" s="2938">
        <f t="shared" si="4"/>
      </c>
      <c r="U30" s="2938">
        <v>0</v>
      </c>
      <c r="V30" s="2938">
        <v>0</v>
      </c>
      <c r="W30" s="2938">
        <v>0</v>
      </c>
      <c r="X30" s="2938">
        <v>0</v>
      </c>
    </row>
    <row r="31" spans="1:24">
      <c r="A31" s="2925">
        <v>2.9000000000000001E-2</v>
      </c>
      <c r="B31" s="2933" t="s">
        <v>689</v>
      </c>
      <c r="C31" s="2933"/>
      <c r="D31" s="2937">
        <v>1493</v>
      </c>
      <c r="E31" s="2938">
        <f t="shared" ref="E31:P31" si="30">D31</f>
      </c>
      <c r="F31" s="2938">
        <f t="shared" si="30"/>
      </c>
      <c r="G31" s="2938">
        <f t="shared" si="30"/>
      </c>
      <c r="H31" s="2938">
        <f t="shared" si="30"/>
      </c>
      <c r="I31" s="2938">
        <f t="shared" si="30"/>
      </c>
      <c r="J31" s="2938">
        <f>I31</f>
      </c>
      <c r="K31" s="2938">
        <f>J31</f>
      </c>
      <c r="L31" s="2938">
        <f>K31</f>
      </c>
      <c r="M31" s="2938">
        <f>L31</f>
      </c>
      <c r="N31" s="2938">
        <f>I31</f>
      </c>
      <c r="O31" s="2938">
        <f t="shared" si="30"/>
      </c>
      <c r="P31" s="2938">
        <f t="shared" si="30"/>
      </c>
      <c r="Q31" s="2937">
        <v>1497</v>
      </c>
      <c r="R31" s="2938">
        <f t="shared" si="26"/>
      </c>
      <c r="S31" s="2938">
        <f t="shared" si="28"/>
      </c>
      <c r="T31" s="2938">
        <f t="shared" si="4"/>
      </c>
      <c r="U31" s="2938">
        <f t="shared" si="5"/>
      </c>
      <c r="V31" s="2938">
        <v>0</v>
      </c>
      <c r="W31" s="2938">
        <v>0</v>
      </c>
      <c r="X31" s="2938">
        <v>0</v>
      </c>
    </row>
    <row r="32" spans="1:24">
      <c r="A32" s="2925">
        <v>1.15E-2</v>
      </c>
      <c r="B32" s="2933" t="s">
        <v>712</v>
      </c>
      <c r="C32" s="2933"/>
      <c r="D32" s="2934">
        <v>847</v>
      </c>
      <c r="E32" s="2938">
        <f t="shared" ref="E32:P32" si="31">D32</f>
      </c>
      <c r="F32" s="2938">
        <f t="shared" si="31"/>
      </c>
      <c r="G32" s="2938">
        <f t="shared" si="31"/>
      </c>
      <c r="H32" s="2938">
        <f t="shared" si="31"/>
      </c>
      <c r="I32" s="2938">
        <f t="shared" si="31"/>
      </c>
      <c r="J32" s="2938">
        <f t="shared" si="12"/>
      </c>
      <c r="K32" s="2938">
        <f t="shared" si="1"/>
      </c>
      <c r="L32" s="2938">
        <f t="shared" si="2"/>
      </c>
      <c r="M32" s="2938">
        <f t="shared" si="3"/>
      </c>
      <c r="N32" s="2938">
        <f t="shared" si="16"/>
      </c>
      <c r="O32" s="2938">
        <f t="shared" si="31"/>
      </c>
      <c r="P32" s="2938">
        <f t="shared" si="31"/>
      </c>
      <c r="Q32" s="2937">
        <v>811</v>
      </c>
      <c r="R32" s="2938">
        <f t="shared" si="26"/>
      </c>
      <c r="S32" s="2938">
        <f t="shared" si="28"/>
      </c>
      <c r="T32" s="2938">
        <f t="shared" si="4"/>
      </c>
      <c r="U32" s="2938">
        <f t="shared" si="5"/>
      </c>
      <c r="V32" s="2938">
        <v>0</v>
      </c>
      <c r="W32" s="2938">
        <v>0</v>
      </c>
      <c r="X32" s="2938">
        <v>0</v>
      </c>
    </row>
    <row r="33" spans="1:24">
      <c r="A33" s="2925">
        <v>6.9500000000000006E-2</v>
      </c>
      <c r="B33" s="2933" t="s">
        <v>688</v>
      </c>
      <c r="C33" s="2933"/>
      <c r="D33" s="2934">
        <v>297</v>
      </c>
      <c r="E33" s="2938">
        <f t="shared" ref="E33:P33" si="32">D33</f>
      </c>
      <c r="F33" s="2938">
        <f t="shared" si="32"/>
      </c>
      <c r="G33" s="2938">
        <f t="shared" si="32"/>
      </c>
      <c r="H33" s="2938">
        <f t="shared" si="32"/>
      </c>
      <c r="I33" s="2938">
        <f t="shared" si="32"/>
      </c>
      <c r="J33" s="2938">
        <f t="shared" si="12"/>
      </c>
      <c r="K33" s="2938">
        <f t="shared" si="1"/>
      </c>
      <c r="L33" s="2938">
        <f t="shared" si="2"/>
      </c>
      <c r="M33" s="2938">
        <f t="shared" si="3"/>
      </c>
      <c r="N33" s="2938">
        <f t="shared" si="16"/>
      </c>
      <c r="O33" s="2938">
        <f t="shared" si="32"/>
      </c>
      <c r="P33" s="2938">
        <f t="shared" si="32"/>
      </c>
      <c r="Q33" s="2937">
        <v>298</v>
      </c>
      <c r="R33" s="2938">
        <f t="shared" si="26"/>
      </c>
      <c r="S33" s="2938">
        <f t="shared" si="28"/>
      </c>
      <c r="T33" s="2938">
        <f t="shared" si="4"/>
      </c>
      <c r="U33" s="2938">
        <f t="shared" si="5"/>
      </c>
      <c r="V33" s="2938">
        <f t="shared" ref="V33:V52" si="33">U33</f>
      </c>
      <c r="W33" s="2938">
        <v>0</v>
      </c>
      <c r="X33" s="2938">
        <v>0</v>
      </c>
    </row>
    <row r="34" spans="1:24">
      <c r="A34" s="2925">
        <v>1.2999999999999999E-2</v>
      </c>
      <c r="B34" s="2933" t="s">
        <v>846</v>
      </c>
      <c r="C34" s="2933"/>
      <c r="D34" s="2934"/>
      <c r="E34" s="2938"/>
      <c r="F34" s="2938"/>
      <c r="G34" s="2938"/>
      <c r="H34" s="2938"/>
      <c r="I34" s="2938"/>
      <c r="J34" s="2938"/>
      <c r="K34" s="2938"/>
      <c r="L34" s="2938"/>
      <c r="M34" s="2938"/>
      <c r="N34" s="2938"/>
      <c r="O34" s="2938"/>
      <c r="P34" s="2938"/>
      <c r="Q34" s="2937">
        <v>1605</v>
      </c>
      <c r="R34" s="2938">
        <f t="shared" si="26"/>
      </c>
      <c r="S34" s="2938">
        <f t="shared" si="28"/>
      </c>
      <c r="T34" s="2938">
        <f t="shared" si="4"/>
      </c>
      <c r="U34" s="2938">
        <f t="shared" si="5"/>
      </c>
      <c r="V34" s="2938">
        <f t="shared" si="33"/>
      </c>
      <c r="W34" s="2938">
        <f t="shared" ref="W34:X52" si="34">V34</f>
      </c>
      <c r="X34" s="2938">
        <v>0</v>
      </c>
    </row>
    <row r="35" spans="1:24">
      <c r="A35" s="2925">
        <v>4.9500000000000002E-2</v>
      </c>
      <c r="B35" s="2933" t="s">
        <v>687</v>
      </c>
      <c r="C35" s="2933"/>
      <c r="D35" s="2934">
        <v>498</v>
      </c>
      <c r="E35" s="2938">
        <f>D35</f>
      </c>
      <c r="F35" s="2938">
        <f t="shared" ref="F35:Q35" si="35">E35</f>
      </c>
      <c r="G35" s="2938">
        <f t="shared" si="35"/>
      </c>
      <c r="H35" s="2938">
        <f t="shared" si="35"/>
      </c>
      <c r="I35" s="2938">
        <f t="shared" si="35"/>
      </c>
      <c r="J35" s="2938">
        <f t="shared" si="12"/>
      </c>
      <c r="K35" s="2938">
        <f t="shared" si="1"/>
      </c>
      <c r="L35" s="2938">
        <f t="shared" si="2"/>
      </c>
      <c r="M35" s="2938">
        <f t="shared" si="3"/>
      </c>
      <c r="N35" s="2938">
        <f t="shared" si="16"/>
      </c>
      <c r="O35" s="2938">
        <f t="shared" si="35"/>
      </c>
      <c r="P35" s="2938">
        <f t="shared" si="35"/>
      </c>
      <c r="Q35" s="2937">
        <f t="shared" si="35"/>
      </c>
      <c r="R35" s="2938">
        <f t="shared" si="26"/>
      </c>
      <c r="S35" s="2938">
        <f t="shared" si="28"/>
      </c>
      <c r="T35" s="2938">
        <f t="shared" si="4"/>
      </c>
      <c r="U35" s="2938">
        <f t="shared" si="5"/>
      </c>
      <c r="V35" s="2938">
        <f t="shared" si="33"/>
      </c>
      <c r="W35" s="2938">
        <f t="shared" si="34"/>
      </c>
      <c r="X35" s="2938">
        <f t="shared" si="34"/>
      </c>
    </row>
    <row r="36" spans="1:24">
      <c r="A36" s="2925">
        <v>4.3749999999999997E-2</v>
      </c>
      <c r="B36" s="2933" t="s">
        <v>686</v>
      </c>
      <c r="C36" s="2933"/>
      <c r="D36" s="2934">
        <v>856</v>
      </c>
      <c r="E36" s="2938">
        <f t="shared" ref="E36:P36" si="36">D36</f>
      </c>
      <c r="F36" s="2938">
        <f t="shared" si="36"/>
      </c>
      <c r="G36" s="2938">
        <f t="shared" si="36"/>
      </c>
      <c r="H36" s="2938">
        <f t="shared" si="36"/>
      </c>
      <c r="I36" s="2938">
        <f t="shared" si="36"/>
      </c>
      <c r="J36" s="2938">
        <f t="shared" si="12"/>
      </c>
      <c r="K36" s="2938">
        <f t="shared" si="1"/>
      </c>
      <c r="L36" s="2938">
        <f t="shared" si="2"/>
      </c>
      <c r="M36" s="2938">
        <f t="shared" si="3"/>
      </c>
      <c r="N36" s="2938">
        <f t="shared" si="16"/>
      </c>
      <c r="O36" s="2938">
        <f t="shared" si="36"/>
      </c>
      <c r="P36" s="2938">
        <f t="shared" si="36"/>
      </c>
      <c r="Q36" s="2937">
        <v>854</v>
      </c>
      <c r="R36" s="2938">
        <f t="shared" si="26"/>
      </c>
      <c r="S36" s="2938">
        <f t="shared" si="28"/>
      </c>
      <c r="T36" s="2938">
        <f t="shared" si="4"/>
      </c>
      <c r="U36" s="2938">
        <f t="shared" si="5"/>
      </c>
      <c r="V36" s="2938">
        <f t="shared" si="33"/>
      </c>
      <c r="W36" s="2938">
        <f t="shared" si="34"/>
      </c>
      <c r="X36" s="2938">
        <f t="shared" si="34"/>
      </c>
    </row>
    <row r="37" spans="1:24">
      <c r="A37" s="2925">
        <v>1.6500000000000001E-2</v>
      </c>
      <c r="B37" s="2939" t="s">
        <v>713</v>
      </c>
      <c r="C37" s="2939"/>
      <c r="D37" s="2940">
        <v>1693</v>
      </c>
      <c r="E37" s="2938">
        <f t="shared" ref="E37:P37" si="37">D37</f>
      </c>
      <c r="F37" s="2938">
        <f t="shared" si="37"/>
      </c>
      <c r="G37" s="2938">
        <f t="shared" si="37"/>
      </c>
      <c r="H37" s="2938">
        <f t="shared" si="37"/>
      </c>
      <c r="I37" s="2938">
        <f t="shared" si="37"/>
      </c>
      <c r="J37" s="2938">
        <f t="shared" si="12"/>
      </c>
      <c r="K37" s="2938">
        <f t="shared" si="1"/>
      </c>
      <c r="L37" s="2938">
        <f t="shared" si="2"/>
      </c>
      <c r="M37" s="2938">
        <f t="shared" si="3"/>
      </c>
      <c r="N37" s="2938">
        <f t="shared" si="16"/>
      </c>
      <c r="O37" s="2938">
        <f t="shared" si="37"/>
      </c>
      <c r="P37" s="2938">
        <f t="shared" si="37"/>
      </c>
      <c r="Q37" s="2937">
        <v>1619</v>
      </c>
      <c r="R37" s="2938">
        <f t="shared" si="26"/>
      </c>
      <c r="S37" s="2938">
        <f t="shared" si="28"/>
      </c>
      <c r="T37" s="2938">
        <f t="shared" si="4"/>
      </c>
      <c r="U37" s="2938">
        <f t="shared" si="5"/>
      </c>
      <c r="V37" s="2938">
        <f t="shared" si="33"/>
      </c>
      <c r="W37" s="2938">
        <f t="shared" si="34"/>
      </c>
      <c r="X37" s="2938">
        <f t="shared" si="34"/>
      </c>
    </row>
    <row r="38" spans="1:24">
      <c r="A38" s="2925">
        <v>3.5499999999999997E-2</v>
      </c>
      <c r="B38" s="2939" t="s">
        <v>685</v>
      </c>
      <c r="C38" s="2939"/>
      <c r="D38" s="2941">
        <v>988</v>
      </c>
      <c r="E38" s="2938">
        <f t="shared" ref="E38:P38" si="38">D38</f>
      </c>
      <c r="F38" s="2938">
        <f t="shared" si="38"/>
      </c>
      <c r="G38" s="2938">
        <f t="shared" si="38"/>
      </c>
      <c r="H38" s="2938">
        <f t="shared" si="38"/>
      </c>
      <c r="I38" s="2938">
        <f t="shared" si="38"/>
      </c>
      <c r="J38" s="2938">
        <f t="shared" si="12"/>
      </c>
      <c r="K38" s="2938">
        <f t="shared" si="1"/>
      </c>
      <c r="L38" s="2938">
        <f t="shared" si="2"/>
      </c>
      <c r="M38" s="2938">
        <f t="shared" si="3"/>
      </c>
      <c r="N38" s="2938">
        <f t="shared" si="16"/>
      </c>
      <c r="O38" s="2938">
        <f t="shared" si="38"/>
      </c>
      <c r="P38" s="2938">
        <f t="shared" si="38"/>
      </c>
      <c r="Q38" s="2937">
        <v>840</v>
      </c>
      <c r="R38" s="2938">
        <f t="shared" si="26"/>
      </c>
      <c r="S38" s="2938">
        <f t="shared" si="28"/>
      </c>
      <c r="T38" s="2938">
        <f t="shared" si="4"/>
      </c>
      <c r="U38" s="2938">
        <f t="shared" si="5"/>
      </c>
      <c r="V38" s="2938">
        <f t="shared" si="33"/>
      </c>
      <c r="W38" s="2938">
        <f t="shared" si="34"/>
      </c>
      <c r="X38" s="2938">
        <f t="shared" si="34"/>
      </c>
    </row>
    <row r="39" spans="1:24">
      <c r="A39" s="2925">
        <v>5.9499999999999997E-2</v>
      </c>
      <c r="B39" s="2939" t="s">
        <v>684</v>
      </c>
      <c r="C39" s="2939"/>
      <c r="D39" s="2941">
        <v>991</v>
      </c>
      <c r="E39" s="2938">
        <f t="shared" ref="E39:P39" si="39">D39</f>
      </c>
      <c r="F39" s="2938">
        <f t="shared" si="39"/>
      </c>
      <c r="G39" s="2938">
        <f t="shared" si="39"/>
      </c>
      <c r="H39" s="2938">
        <f t="shared" si="39"/>
      </c>
      <c r="I39" s="2938">
        <f t="shared" si="39"/>
      </c>
      <c r="J39" s="2938">
        <f t="shared" si="12"/>
      </c>
      <c r="K39" s="2938">
        <f t="shared" si="1"/>
      </c>
      <c r="L39" s="2938">
        <f t="shared" si="2"/>
      </c>
      <c r="M39" s="2938">
        <f t="shared" si="3"/>
      </c>
      <c r="N39" s="2938">
        <f t="shared" si="16"/>
      </c>
      <c r="O39" s="2938">
        <f t="shared" si="39"/>
      </c>
      <c r="P39" s="2938">
        <f t="shared" si="39"/>
      </c>
      <c r="Q39" s="2937">
        <v>993</v>
      </c>
      <c r="R39" s="2938">
        <f t="shared" si="26"/>
      </c>
      <c r="S39" s="2938">
        <f t="shared" si="28"/>
      </c>
      <c r="T39" s="2938">
        <f t="shared" si="4"/>
      </c>
      <c r="U39" s="2938">
        <f t="shared" si="5"/>
      </c>
      <c r="V39" s="2938">
        <f t="shared" si="33"/>
      </c>
      <c r="W39" s="2938">
        <f t="shared" si="34"/>
      </c>
      <c r="X39" s="2938">
        <f t="shared" si="34"/>
      </c>
    </row>
    <row r="40" spans="1:24">
      <c r="A40" s="2925">
        <v>3.6249999999999998E-2</v>
      </c>
      <c r="B40" s="2939" t="s">
        <v>683</v>
      </c>
      <c r="C40" s="2939"/>
      <c r="D40" s="2940">
        <v>1486</v>
      </c>
      <c r="E40" s="2938">
        <f t="shared" ref="E40:P40" si="40">D40</f>
      </c>
      <c r="F40" s="2938">
        <f t="shared" si="40"/>
      </c>
      <c r="G40" s="2938">
        <f t="shared" si="40"/>
      </c>
      <c r="H40" s="2938">
        <f t="shared" si="40"/>
      </c>
      <c r="I40" s="2938">
        <f t="shared" si="40"/>
      </c>
      <c r="J40" s="2938">
        <f t="shared" si="12"/>
      </c>
      <c r="K40" s="2938">
        <f t="shared" si="1"/>
      </c>
      <c r="L40" s="2938">
        <f t="shared" si="2"/>
      </c>
      <c r="M40" s="2938">
        <f t="shared" si="3"/>
      </c>
      <c r="N40" s="2938">
        <f t="shared" si="16"/>
      </c>
      <c r="O40" s="2938">
        <f t="shared" si="40"/>
      </c>
      <c r="P40" s="2938">
        <f t="shared" si="40"/>
      </c>
      <c r="Q40" s="2937">
        <v>1334</v>
      </c>
      <c r="R40" s="2938">
        <f t="shared" si="26"/>
      </c>
      <c r="S40" s="2938">
        <f t="shared" si="28"/>
      </c>
      <c r="T40" s="2938">
        <f t="shared" si="4"/>
      </c>
      <c r="U40" s="2938">
        <f t="shared" si="5"/>
      </c>
      <c r="V40" s="2938">
        <f t="shared" si="33"/>
      </c>
      <c r="W40" s="2938">
        <f t="shared" si="34"/>
      </c>
      <c r="X40" s="2938">
        <f t="shared" si="34"/>
      </c>
    </row>
    <row r="41" spans="1:24">
      <c r="A41" s="2925">
        <v>3.4000000000000002E-2</v>
      </c>
      <c r="B41" s="2939" t="s">
        <v>681</v>
      </c>
      <c r="C41" s="2939"/>
      <c r="D41" s="2941">
        <v>990</v>
      </c>
      <c r="E41" s="2938">
        <f t="shared" ref="E41:P41" si="41">D41</f>
      </c>
      <c r="F41" s="2938">
        <f t="shared" si="41"/>
      </c>
      <c r="G41" s="2938">
        <f t="shared" si="41"/>
      </c>
      <c r="H41" s="2938">
        <f t="shared" si="41"/>
      </c>
      <c r="I41" s="2938">
        <f t="shared" si="41"/>
      </c>
      <c r="J41" s="2938">
        <f>I41</f>
      </c>
      <c r="K41" s="2938">
        <f>J41</f>
      </c>
      <c r="L41" s="2938">
        <f>K41</f>
      </c>
      <c r="M41" s="2938">
        <f>L41</f>
      </c>
      <c r="N41" s="2938">
        <f>I41</f>
      </c>
      <c r="O41" s="2938">
        <f t="shared" si="41"/>
      </c>
      <c r="P41" s="2938">
        <f t="shared" si="41"/>
      </c>
      <c r="Q41" s="2937">
        <v>992</v>
      </c>
      <c r="R41" s="2938">
        <f t="shared" si="26"/>
      </c>
      <c r="S41" s="2938">
        <f t="shared" ref="S41:S52" si="42">R41</f>
      </c>
      <c r="T41" s="2938">
        <f t="shared" si="4"/>
      </c>
      <c r="U41" s="2938">
        <f t="shared" si="5"/>
      </c>
      <c r="V41" s="2938">
        <f t="shared" si="33"/>
      </c>
      <c r="W41" s="2938">
        <f t="shared" si="34"/>
      </c>
      <c r="X41" s="2938">
        <f t="shared" si="34"/>
      </c>
    </row>
    <row r="42" spans="1:24">
      <c r="A42" s="2925">
        <v>5.8500000000000003E-2</v>
      </c>
      <c r="B42" s="2939" t="s">
        <v>682</v>
      </c>
      <c r="C42" s="2939"/>
      <c r="D42" s="2941">
        <v>696</v>
      </c>
      <c r="E42" s="2938">
        <f t="shared" ref="E42:P42" si="43">D42</f>
      </c>
      <c r="F42" s="2938">
        <f t="shared" si="43"/>
      </c>
      <c r="G42" s="2938">
        <f t="shared" si="43"/>
      </c>
      <c r="H42" s="2938">
        <f t="shared" si="43"/>
      </c>
      <c r="I42" s="2938">
        <f t="shared" si="43"/>
      </c>
      <c r="J42" s="2938">
        <f t="shared" si="12"/>
      </c>
      <c r="K42" s="2938">
        <f t="shared" si="1"/>
      </c>
      <c r="L42" s="2938">
        <f t="shared" si="2"/>
      </c>
      <c r="M42" s="2938">
        <f t="shared" si="3"/>
      </c>
      <c r="N42" s="2938">
        <f t="shared" si="16"/>
      </c>
      <c r="O42" s="2938">
        <f t="shared" si="43"/>
      </c>
      <c r="P42" s="2938">
        <f t="shared" si="43"/>
      </c>
      <c r="Q42" s="2937">
        <v>697</v>
      </c>
      <c r="R42" s="2938">
        <f t="shared" si="26"/>
      </c>
      <c r="S42" s="2938">
        <f t="shared" si="42"/>
      </c>
      <c r="T42" s="2938">
        <f t="shared" si="4"/>
      </c>
      <c r="U42" s="2938">
        <f t="shared" si="5"/>
      </c>
      <c r="V42" s="2938">
        <f t="shared" si="33"/>
      </c>
      <c r="W42" s="2938">
        <f t="shared" si="34"/>
      </c>
      <c r="X42" s="2938">
        <f t="shared" si="34"/>
      </c>
    </row>
    <row r="43" spans="1:24">
      <c r="A43" s="2925">
        <v>4.4999999999999998E-2</v>
      </c>
      <c r="B43" s="2939" t="s">
        <v>680</v>
      </c>
      <c r="C43" s="2939"/>
      <c r="D43" s="2941">
        <v>538</v>
      </c>
      <c r="E43" s="2938">
        <f t="shared" ref="E43:P43" si="44">D43</f>
      </c>
      <c r="F43" s="2938">
        <f t="shared" si="44"/>
      </c>
      <c r="G43" s="2938">
        <f t="shared" si="44"/>
      </c>
      <c r="H43" s="2938">
        <f t="shared" si="44"/>
      </c>
      <c r="I43" s="2938">
        <f t="shared" si="44"/>
      </c>
      <c r="J43" s="2938">
        <f t="shared" si="12"/>
      </c>
      <c r="K43" s="2938">
        <f t="shared" si="1"/>
      </c>
      <c r="L43" s="2938">
        <f t="shared" si="2"/>
      </c>
      <c r="M43" s="2938">
        <f t="shared" si="3"/>
      </c>
      <c r="N43" s="2938">
        <f t="shared" si="16"/>
      </c>
      <c r="O43" s="2938">
        <f t="shared" si="44"/>
      </c>
      <c r="P43" s="2938">
        <f t="shared" si="44"/>
      </c>
      <c r="Q43" s="2937">
        <v>541</v>
      </c>
      <c r="R43" s="2938">
        <f t="shared" si="26"/>
      </c>
      <c r="S43" s="2938">
        <f t="shared" si="42"/>
      </c>
      <c r="T43" s="2938">
        <f t="shared" si="4"/>
      </c>
      <c r="U43" s="2938">
        <f t="shared" si="5"/>
      </c>
      <c r="V43" s="2938">
        <f t="shared" si="33"/>
      </c>
      <c r="W43" s="2938">
        <f t="shared" si="34"/>
      </c>
      <c r="X43" s="2938">
        <f t="shared" si="34"/>
      </c>
    </row>
    <row r="44" spans="1:24">
      <c r="A44" s="2925">
        <v>2.1000000000000001E-2</v>
      </c>
      <c r="B44" s="2939" t="s">
        <v>847</v>
      </c>
      <c r="C44" s="2939"/>
      <c r="D44" s="2941"/>
      <c r="E44" s="2938"/>
      <c r="F44" s="2938"/>
      <c r="G44" s="2938"/>
      <c r="H44" s="2938"/>
      <c r="I44" s="2938"/>
      <c r="J44" s="2938"/>
      <c r="K44" s="2938"/>
      <c r="L44" s="2938"/>
      <c r="M44" s="2938"/>
      <c r="N44" s="2938"/>
      <c r="O44" s="2938"/>
      <c r="P44" s="2938"/>
      <c r="Q44" s="2937">
        <v>826</v>
      </c>
      <c r="R44" s="2938">
        <f t="shared" si="26"/>
      </c>
      <c r="S44" s="2938">
        <f t="shared" si="42"/>
      </c>
      <c r="T44" s="2938">
        <f t="shared" si="4"/>
      </c>
      <c r="U44" s="2938">
        <f t="shared" si="5"/>
      </c>
      <c r="V44" s="2938">
        <f t="shared" si="33"/>
      </c>
      <c r="W44" s="2938">
        <f t="shared" si="34"/>
      </c>
      <c r="X44" s="2938">
        <f t="shared" si="34"/>
      </c>
    </row>
    <row r="45" spans="1:24">
      <c r="A45" s="2925">
        <v>4.8500000000000001E-2</v>
      </c>
      <c r="B45" s="2939" t="s">
        <v>679</v>
      </c>
      <c r="C45" s="2939"/>
      <c r="D45" s="2941">
        <v>297</v>
      </c>
      <c r="E45" s="2938">
        <f t="shared" ref="E45:Q45" si="45">D45</f>
      </c>
      <c r="F45" s="2938">
        <f t="shared" si="45"/>
      </c>
      <c r="G45" s="2938">
        <f t="shared" si="45"/>
      </c>
      <c r="H45" s="2938">
        <f t="shared" si="45"/>
      </c>
      <c r="I45" s="2938">
        <f t="shared" si="45"/>
      </c>
      <c r="J45" s="2938">
        <f t="shared" si="12"/>
      </c>
      <c r="K45" s="2938">
        <f t="shared" si="1"/>
      </c>
      <c r="L45" s="2938">
        <f t="shared" si="2"/>
      </c>
      <c r="M45" s="2938">
        <f t="shared" si="3"/>
      </c>
      <c r="N45" s="2938">
        <f t="shared" si="16"/>
      </c>
      <c r="O45" s="2938">
        <f t="shared" si="45"/>
      </c>
      <c r="P45" s="2938">
        <f t="shared" si="45"/>
      </c>
      <c r="Q45" s="2937">
        <f t="shared" si="45"/>
      </c>
      <c r="R45" s="2938">
        <f t="shared" si="26"/>
      </c>
      <c r="S45" s="2938">
        <f t="shared" si="42"/>
      </c>
      <c r="T45" s="2938">
        <f t="shared" si="4"/>
      </c>
      <c r="U45" s="2938">
        <f t="shared" si="5"/>
      </c>
      <c r="V45" s="2938">
        <f t="shared" si="33"/>
      </c>
      <c r="W45" s="2938">
        <f t="shared" si="34"/>
      </c>
      <c r="X45" s="2938">
        <f t="shared" si="34"/>
      </c>
    </row>
    <row r="46" spans="1:24">
      <c r="A46" s="2925">
        <v>4.4999999999999998E-2</v>
      </c>
      <c r="B46" s="2939" t="s">
        <v>678</v>
      </c>
      <c r="C46" s="2939"/>
      <c r="D46" s="2941">
        <v>495</v>
      </c>
      <c r="E46" s="2938">
        <f t="shared" ref="E46:P46" si="46">D46</f>
      </c>
      <c r="F46" s="2938">
        <f t="shared" si="46"/>
      </c>
      <c r="G46" s="2938">
        <f t="shared" si="46"/>
      </c>
      <c r="H46" s="2938">
        <f t="shared" si="46"/>
      </c>
      <c r="I46" s="2938">
        <f t="shared" si="46"/>
      </c>
      <c r="J46" s="2938">
        <f t="shared" si="12"/>
      </c>
      <c r="K46" s="2938">
        <f t="shared" si="1"/>
      </c>
      <c r="L46" s="2938">
        <f t="shared" si="2"/>
      </c>
      <c r="M46" s="2938">
        <f t="shared" si="3"/>
      </c>
      <c r="N46" s="2938">
        <f t="shared" si="16"/>
      </c>
      <c r="O46" s="2938">
        <f t="shared" si="46"/>
      </c>
      <c r="P46" s="2938">
        <f t="shared" si="46"/>
      </c>
      <c r="Q46" s="2937">
        <v>496</v>
      </c>
      <c r="R46" s="2938">
        <f t="shared" si="26"/>
      </c>
      <c r="S46" s="2938">
        <f t="shared" si="42"/>
      </c>
      <c r="T46" s="2938">
        <f t="shared" si="4"/>
      </c>
      <c r="U46" s="2938">
        <f t="shared" si="5"/>
      </c>
      <c r="V46" s="2938">
        <f t="shared" si="33"/>
      </c>
      <c r="W46" s="2938">
        <f t="shared" si="34"/>
      </c>
      <c r="X46" s="2938">
        <f t="shared" si="34"/>
      </c>
    </row>
    <row r="47" spans="1:24">
      <c r="A47" s="2925">
        <v>3.6999999999999998E-2</v>
      </c>
      <c r="B47" s="2939" t="s">
        <v>677</v>
      </c>
      <c r="C47" s="2939"/>
      <c r="D47" s="2940">
        <v>1972</v>
      </c>
      <c r="E47" s="2938">
        <f t="shared" ref="E47:P47" si="47">D47</f>
      </c>
      <c r="F47" s="2938">
        <f t="shared" si="47"/>
      </c>
      <c r="G47" s="2938">
        <f t="shared" si="47"/>
      </c>
      <c r="H47" s="2938">
        <f t="shared" si="47"/>
      </c>
      <c r="I47" s="2938">
        <f t="shared" si="47"/>
      </c>
      <c r="J47" s="2938">
        <f t="shared" si="12"/>
      </c>
      <c r="K47" s="2938">
        <f t="shared" si="1"/>
      </c>
      <c r="L47" s="2938">
        <f t="shared" si="2"/>
      </c>
      <c r="M47" s="2938">
        <f t="shared" si="3"/>
      </c>
      <c r="N47" s="2938">
        <f t="shared" si="16"/>
      </c>
      <c r="O47" s="2938">
        <f t="shared" si="47"/>
      </c>
      <c r="P47" s="2938">
        <f t="shared" si="47"/>
      </c>
      <c r="Q47" s="2937">
        <v>1977</v>
      </c>
      <c r="R47" s="2938">
        <f t="shared" si="26"/>
      </c>
      <c r="S47" s="2938">
        <f t="shared" si="42"/>
      </c>
      <c r="T47" s="2938">
        <f t="shared" si="4"/>
      </c>
      <c r="U47" s="2938">
        <f t="shared" si="5"/>
      </c>
      <c r="V47" s="2938">
        <f t="shared" si="33"/>
      </c>
      <c r="W47" s="2938">
        <f t="shared" si="34"/>
      </c>
      <c r="X47" s="2938">
        <f t="shared" si="34"/>
      </c>
    </row>
    <row r="48" spans="1:24">
      <c r="A48" s="2925">
        <v>3.7499999999999999E-2</v>
      </c>
      <c r="B48" s="2939" t="s">
        <v>676</v>
      </c>
      <c r="C48" s="2939"/>
      <c r="D48" s="2941">
        <v>991</v>
      </c>
      <c r="E48" s="2938">
        <f t="shared" ref="E48:P48" si="48">D48</f>
      </c>
      <c r="F48" s="2938">
        <f t="shared" si="48"/>
      </c>
      <c r="G48" s="2938">
        <f t="shared" si="48"/>
      </c>
      <c r="H48" s="2938">
        <f t="shared" si="48"/>
      </c>
      <c r="I48" s="2938">
        <f t="shared" si="48"/>
      </c>
      <c r="J48" s="2938">
        <f t="shared" si="12"/>
      </c>
      <c r="K48" s="2938">
        <f t="shared" si="1"/>
      </c>
      <c r="L48" s="2938">
        <f t="shared" si="2"/>
      </c>
      <c r="M48" s="2938">
        <f t="shared" si="3"/>
      </c>
      <c r="N48" s="2938">
        <f t="shared" si="16"/>
      </c>
      <c r="O48" s="2938">
        <f t="shared" si="48"/>
      </c>
      <c r="P48" s="2938">
        <f t="shared" si="48"/>
      </c>
      <c r="Q48" s="2937">
        <v>811</v>
      </c>
      <c r="R48" s="2938">
        <f t="shared" si="26"/>
      </c>
      <c r="S48" s="2938">
        <f t="shared" si="42"/>
      </c>
      <c r="T48" s="2938">
        <f t="shared" si="4"/>
      </c>
      <c r="U48" s="2938">
        <f t="shared" si="5"/>
      </c>
      <c r="V48" s="2938">
        <f t="shared" si="33"/>
      </c>
      <c r="W48" s="2938">
        <f t="shared" si="34"/>
      </c>
      <c r="X48" s="2938">
        <f t="shared" si="34"/>
      </c>
    </row>
    <row r="49" spans="1:28">
      <c r="A49" s="2925">
        <v>3.5000000000000003E-2</v>
      </c>
      <c r="B49" s="2939" t="s">
        <v>675</v>
      </c>
      <c r="C49" s="2939"/>
      <c r="D49" s="2941">
        <v>742</v>
      </c>
      <c r="E49" s="2938">
        <f t="shared" ref="E49:P49" si="49">D49</f>
      </c>
      <c r="F49" s="2938">
        <f t="shared" si="49"/>
      </c>
      <c r="G49" s="2938">
        <f t="shared" si="49"/>
      </c>
      <c r="H49" s="2938">
        <f t="shared" si="49"/>
      </c>
      <c r="I49" s="2938">
        <f t="shared" si="49"/>
      </c>
      <c r="J49" s="2938">
        <f t="shared" si="12"/>
      </c>
      <c r="K49" s="2938">
        <f t="shared" si="1"/>
      </c>
      <c r="L49" s="2938">
        <f t="shared" si="2"/>
      </c>
      <c r="M49" s="2938">
        <f t="shared" si="3"/>
      </c>
      <c r="N49" s="2938">
        <f t="shared" si="16"/>
      </c>
      <c r="O49" s="2938">
        <f t="shared" si="49"/>
      </c>
      <c r="P49" s="2938">
        <f t="shared" si="49"/>
      </c>
      <c r="Q49" s="2937">
        <v>743</v>
      </c>
      <c r="R49" s="2938">
        <f t="shared" si="26"/>
      </c>
      <c r="S49" s="2938">
        <f t="shared" si="42"/>
      </c>
      <c r="T49" s="2938">
        <f t="shared" si="4"/>
      </c>
      <c r="U49" s="2938">
        <f t="shared" si="5"/>
      </c>
      <c r="V49" s="2938">
        <f t="shared" si="33"/>
      </c>
      <c r="W49" s="2938">
        <f t="shared" si="34"/>
      </c>
      <c r="X49" s="2938">
        <f t="shared" si="34"/>
      </c>
    </row>
    <row r="50" spans="1:28">
      <c r="A50" s="2925">
        <v>2.2499999999999999E-2</v>
      </c>
      <c r="B50" s="2951" t="s">
        <v>842</v>
      </c>
      <c r="C50" s="2951"/>
      <c r="D50" s="2952"/>
      <c r="E50" s="2944"/>
      <c r="F50" s="2944"/>
      <c r="G50" s="2944"/>
      <c r="H50" s="2944"/>
      <c r="I50" s="2944"/>
      <c r="J50" s="2944"/>
      <c r="K50" s="2944"/>
      <c r="L50" s="2944"/>
      <c r="M50" s="2944"/>
      <c r="N50" s="2944"/>
      <c r="O50" s="2944"/>
      <c r="P50" s="2944"/>
      <c r="Q50" s="2953">
        <v>807</v>
      </c>
      <c r="R50" s="2944">
        <f t="shared" si="26"/>
      </c>
      <c r="S50" s="2944">
        <f t="shared" si="42"/>
      </c>
      <c r="T50" s="2944">
        <f t="shared" si="4"/>
      </c>
      <c r="U50" s="2944">
        <f t="shared" si="5"/>
      </c>
      <c r="V50" s="2944">
        <f t="shared" si="33"/>
      </c>
      <c r="W50" s="2944">
        <f t="shared" si="34"/>
      </c>
      <c r="X50" s="2944">
        <f t="shared" si="34"/>
      </c>
    </row>
    <row r="51" spans="1:28">
      <c r="A51" s="2925">
        <v>2.4500000000000001E-2</v>
      </c>
      <c r="B51" s="2951" t="s">
        <v>843</v>
      </c>
      <c r="C51" s="2951"/>
      <c r="D51" s="2952"/>
      <c r="E51" s="2944"/>
      <c r="F51" s="2944"/>
      <c r="G51" s="2944"/>
      <c r="H51" s="2944"/>
      <c r="I51" s="2944"/>
      <c r="J51" s="2944"/>
      <c r="K51" s="2944"/>
      <c r="L51" s="2944"/>
      <c r="M51" s="2944"/>
      <c r="N51" s="2944"/>
      <c r="O51" s="2944"/>
      <c r="P51" s="2944"/>
      <c r="Q51" s="2953">
        <v>1053</v>
      </c>
      <c r="R51" s="2944">
        <f t="shared" si="26"/>
      </c>
      <c r="S51" s="2944">
        <f t="shared" si="42"/>
      </c>
      <c r="T51" s="2944">
        <f t="shared" si="4"/>
      </c>
      <c r="U51" s="2944">
        <f t="shared" si="5"/>
      </c>
      <c r="V51" s="2944">
        <f t="shared" si="33"/>
      </c>
      <c r="W51" s="2944">
        <f t="shared" si="34"/>
      </c>
      <c r="X51" s="2944">
        <f t="shared" si="34"/>
      </c>
    </row>
    <row r="52" spans="1:28" ht="10.8" thickBot="1">
      <c r="A52" s="2924"/>
      <c r="B52" s="2942" t="s">
        <v>20</v>
      </c>
      <c r="C52" s="2942"/>
      <c r="D52" s="2943">
        <v>24</v>
      </c>
      <c r="E52" s="2944">
        <f t="shared" ref="E52:P52" si="50">D52</f>
      </c>
      <c r="F52" s="2944">
        <f t="shared" si="50"/>
      </c>
      <c r="G52" s="2944">
        <f t="shared" si="50"/>
      </c>
      <c r="H52" s="2944">
        <f t="shared" si="50"/>
      </c>
      <c r="I52" s="2944">
        <f t="shared" si="50"/>
      </c>
      <c r="J52" s="2944">
        <f t="shared" si="12"/>
      </c>
      <c r="K52" s="2944">
        <f t="shared" si="1"/>
      </c>
      <c r="L52" s="2944">
        <f t="shared" si="2"/>
      </c>
      <c r="M52" s="2944">
        <f t="shared" si="3"/>
      </c>
      <c r="N52" s="2944">
        <f t="shared" si="16"/>
      </c>
      <c r="O52" s="2944">
        <f t="shared" si="50"/>
      </c>
      <c r="P52" s="2944">
        <f t="shared" si="50"/>
      </c>
      <c r="Q52" s="2953">
        <v>66</v>
      </c>
      <c r="R52" s="2944">
        <f t="shared" si="26"/>
      </c>
      <c r="S52" s="2944">
        <f t="shared" si="42"/>
      </c>
      <c r="T52" s="2944">
        <f t="shared" si="4"/>
      </c>
      <c r="U52" s="2944">
        <f t="shared" si="5"/>
      </c>
      <c r="V52" s="2944">
        <f t="shared" si="33"/>
      </c>
      <c r="W52" s="2944">
        <f t="shared" si="34"/>
      </c>
      <c r="X52" s="2944">
        <f t="shared" si="34"/>
      </c>
    </row>
    <row r="53" spans="1:28">
      <c r="B53" s="1429" t="s">
        <v>674</v>
      </c>
      <c r="C53" s="1429"/>
      <c r="D53" s="1438">
        <f t="shared" ref="D53:O53" si="51">SUM(D7:D52)</f>
      </c>
      <c r="E53" s="1433">
        <f t="shared" si="51"/>
      </c>
      <c r="F53" s="1433">
        <f t="shared" si="51"/>
      </c>
      <c r="G53" s="1433">
        <f t="shared" si="51"/>
      </c>
      <c r="H53" s="1433">
        <f t="shared" si="51"/>
      </c>
      <c r="I53" s="1433">
        <f t="shared" si="51"/>
      </c>
      <c r="J53" s="1433">
        <f t="shared" si="51"/>
      </c>
      <c r="K53" s="1433">
        <f t="shared" si="51"/>
      </c>
      <c r="L53" s="1433">
        <f t="shared" si="51"/>
      </c>
      <c r="M53" s="1433">
        <f t="shared" si="51"/>
      </c>
      <c r="N53" s="1433">
        <f t="shared" si="51"/>
      </c>
      <c r="O53" s="1433">
        <f t="shared" si="51"/>
      </c>
      <c r="P53" s="2954">
        <v>28439</v>
      </c>
      <c r="Q53" s="1433">
        <f t="shared" ref="Q53:W53" si="52">SUM(Q7:Q52)</f>
      </c>
      <c r="R53" s="1433">
        <f t="shared" si="52"/>
      </c>
      <c r="S53" s="1433">
        <f t="shared" si="52"/>
      </c>
      <c r="T53" s="1433">
        <f t="shared" si="52"/>
      </c>
      <c r="U53" s="1433">
        <f t="shared" si="52"/>
      </c>
      <c r="V53" s="1433">
        <f t="shared" si="52"/>
      </c>
      <c r="W53" s="1433">
        <f t="shared" si="52"/>
      </c>
      <c r="X53" s="1433">
        <f t="shared" ref="X53" si="53">SUM(X7:X52)</f>
      </c>
    </row>
    <row r="54" spans="1:28" ht="24.75" customHeight="1" thickBot="1">
      <c r="B54" s="1429" t="s">
        <v>673</v>
      </c>
      <c r="C54" s="1429"/>
      <c r="D54" s="2928">
        <f>SUM(D7:D12)</f>
      </c>
      <c r="E54" s="1431">
        <f>SUM(E13:E15)</f>
      </c>
      <c r="F54" s="1431">
        <f>E54</f>
      </c>
      <c r="G54" s="1431">
        <f>F54</f>
      </c>
      <c r="H54" s="1431">
        <f>G54</f>
      </c>
      <c r="I54" s="1431">
        <f>H54</f>
      </c>
      <c r="J54" s="1431">
        <f>SUM(J13:J15)</f>
      </c>
      <c r="K54" s="1431">
        <f>J54</f>
      </c>
      <c r="L54" s="1431">
        <f>K54</f>
      </c>
      <c r="M54" s="1431">
        <f>L54</f>
      </c>
      <c r="N54" s="1431">
        <f>SUM(N16:N18)</f>
      </c>
      <c r="O54" s="1431">
        <f>SUM(O19:O20)</f>
      </c>
      <c r="P54" s="1436">
        <v>1551</v>
      </c>
      <c r="Q54" s="1431">
        <f>SUM(Q24:Q25)</f>
      </c>
      <c r="R54" s="1431">
        <f>SUM(R26,R27)</f>
      </c>
      <c r="S54" s="1431">
        <f>+S28</f>
      </c>
      <c r="T54" s="1431">
        <f>SUM(T29:T30)</f>
      </c>
      <c r="U54" s="1431">
        <f>SUM(U31:U32)</f>
      </c>
      <c r="V54" s="1431">
        <f>SUM(V33)</f>
      </c>
      <c r="W54" s="1431">
        <f>SUM(W34)</f>
      </c>
      <c r="X54" s="1431">
        <f>SUM(X35)</f>
      </c>
    </row>
    <row r="55" spans="1:28" ht="24.75" customHeight="1" thickBot="1">
      <c r="B55" s="2927" t="s">
        <v>876</v>
      </c>
      <c r="C55" s="2927"/>
      <c r="D55" s="1431"/>
      <c r="E55" s="1431"/>
      <c r="F55" s="1431"/>
      <c r="G55" s="1431"/>
      <c r="H55" s="1431"/>
      <c r="I55" s="1431"/>
      <c r="J55" s="1431"/>
      <c r="K55" s="1431"/>
      <c r="L55" s="1431"/>
      <c r="M55" s="1431"/>
      <c r="N55" s="1431"/>
      <c r="O55" s="1431"/>
      <c r="P55" s="1436"/>
      <c r="Q55" s="1431"/>
      <c r="R55" s="1431"/>
      <c r="S55" s="1431"/>
      <c r="T55" s="1431"/>
      <c r="U55" s="1431"/>
      <c r="V55" s="1431"/>
      <c r="W55" s="1431"/>
      <c r="Y55" s="1431">
        <v>500</v>
      </c>
      <c r="Z55" s="1431">
        <f>1000+Y55</f>
      </c>
      <c r="AA55" s="1431">
        <f>1000+Z55</f>
      </c>
      <c r="AB55" s="1431">
        <f>1000+AA55</f>
      </c>
    </row>
    <row r="56" spans="1:28">
      <c r="B56" s="1429" t="s">
        <v>672</v>
      </c>
      <c r="C56" s="1429"/>
      <c r="D56" s="1438">
        <f>D53-D54</f>
      </c>
      <c r="E56" s="1433">
        <f>E53-E54</f>
      </c>
      <c r="F56" s="1433">
        <f>F53-F54</f>
      </c>
      <c r="G56" s="1433">
        <f t="shared" ref="G56:O56" si="54">G53-G54</f>
      </c>
      <c r="H56" s="1433">
        <f t="shared" si="54"/>
      </c>
      <c r="I56" s="1433">
        <f>I53-I54</f>
      </c>
      <c r="J56" s="1433">
        <f>J53-J54</f>
      </c>
      <c r="K56" s="1433">
        <f>K53-K54</f>
      </c>
      <c r="L56" s="1433">
        <f>L53-L54</f>
      </c>
      <c r="M56" s="1433">
        <f>M53-M54</f>
      </c>
      <c r="N56" s="1433">
        <f t="shared" si="54"/>
      </c>
      <c r="O56" s="1433">
        <f t="shared" si="54"/>
      </c>
      <c r="P56" s="1433">
        <f t="shared" ref="P56:U56" si="55">P53-P54+P55</f>
      </c>
      <c r="Q56" s="1433">
        <f t="shared" si="55"/>
      </c>
      <c r="R56" s="1433">
        <f t="shared" si="55"/>
      </c>
      <c r="S56" s="1433">
        <f t="shared" si="55"/>
      </c>
      <c r="T56" s="1433">
        <f t="shared" si="55"/>
      </c>
      <c r="U56" s="1433">
        <f t="shared" si="55"/>
      </c>
      <c r="V56" s="1433">
        <f>V53-V54+V55</f>
      </c>
      <c r="W56" s="1433">
        <f>W53-W54+W55</f>
      </c>
      <c r="X56" s="1433">
        <f>X53-X54+X55</f>
      </c>
    </row>
    <row r="57" spans="1:28">
      <c r="B57" s="1429"/>
      <c r="C57" s="1429"/>
      <c r="D57" s="1437"/>
      <c r="E57" s="1438"/>
      <c r="F57" s="1439"/>
      <c r="G57" s="1432"/>
      <c r="H57" s="1432"/>
      <c r="J57" s="1438"/>
      <c r="K57" s="1439"/>
      <c r="L57" s="1432"/>
      <c r="M57" s="1432"/>
      <c r="X57" s="1430"/>
    </row>
    <row r="58" spans="1:28">
      <c r="E58" s="1452"/>
      <c r="J58" s="1452"/>
      <c r="X58" s="1430"/>
    </row>
    <row r="59" spans="1:28">
      <c r="X59" s="1430"/>
    </row>
    <row r="60" spans="1:28" ht="10.8" outlineLevel="1" thickBot="1">
      <c r="B60" s="1435" t="s">
        <v>715</v>
      </c>
      <c r="D60" s="1428">
        <f t="shared" ref="D60:U60" si="56">D6</f>
      </c>
      <c r="E60" s="2926" t="str">
        <f t="shared" si="56"/>
      </c>
      <c r="F60" s="2926" t="str">
        <f t="shared" si="56"/>
      </c>
      <c r="G60" s="2926" t="str">
        <f t="shared" si="56"/>
      </c>
      <c r="H60" s="2926" t="str">
        <f t="shared" si="56"/>
      </c>
      <c r="I60" s="2926">
        <f t="shared" si="56"/>
      </c>
      <c r="J60" s="2926" t="str">
        <f t="shared" si="56"/>
      </c>
      <c r="K60" s="2926" t="str">
        <f t="shared" si="56"/>
      </c>
      <c r="L60" s="2926" t="str">
        <f t="shared" si="56"/>
      </c>
      <c r="M60" s="2926" t="str">
        <f t="shared" si="56"/>
      </c>
      <c r="N60" s="2926">
        <f t="shared" si="56"/>
      </c>
      <c r="O60" s="2926">
        <f t="shared" si="56"/>
      </c>
      <c r="P60" s="2926">
        <f t="shared" si="56"/>
      </c>
      <c r="Q60" s="2926">
        <f t="shared" si="56"/>
      </c>
      <c r="R60" s="2926">
        <f t="shared" si="56"/>
      </c>
      <c r="S60" s="2926" t="str">
        <f t="shared" si="56"/>
      </c>
      <c r="T60" s="2926" t="str">
        <f t="shared" si="56"/>
      </c>
      <c r="U60" s="2926" t="str">
        <f t="shared" si="56"/>
      </c>
      <c r="V60" s="2926" t="str">
        <f>V6</f>
      </c>
      <c r="W60" s="2926" t="str">
        <f>W6</f>
      </c>
      <c r="X60" s="2926" t="str">
        <f>X6</f>
      </c>
    </row>
    <row r="61" spans="1:28" outlineLevel="1">
      <c r="B61" s="1427" t="str">
        <f t="shared" ref="B61:B106" si="57">B7</f>
      </c>
      <c r="D61" s="1440">
        <f t="shared" ref="D61:O61" si="58">(D7/D$53)*$A7</f>
      </c>
      <c r="E61" s="1440">
        <f t="shared" si="58"/>
      </c>
      <c r="F61" s="1440">
        <f t="shared" si="58"/>
      </c>
      <c r="G61" s="1440">
        <f t="shared" si="58"/>
      </c>
      <c r="H61" s="1440">
        <f t="shared" si="58"/>
      </c>
      <c r="I61" s="1440">
        <f t="shared" si="58"/>
      </c>
      <c r="J61" s="1440">
        <f t="shared" si="58"/>
      </c>
      <c r="K61" s="1440">
        <f t="shared" si="58"/>
      </c>
      <c r="L61" s="1440">
        <f t="shared" si="58"/>
      </c>
      <c r="M61" s="1440">
        <f t="shared" si="58"/>
      </c>
      <c r="N61" s="1440">
        <f t="shared" si="58"/>
      </c>
      <c r="O61" s="1440">
        <f t="shared" si="58"/>
      </c>
      <c r="P61" s="1440">
        <f t="shared" ref="P61:P96" si="59">(P7/P$53)*$A7</f>
      </c>
      <c r="Q61" s="1440">
        <f t="shared" ref="Q61:Q106" si="60">(Q7/Q$53)*$A7</f>
      </c>
      <c r="R61" s="1440">
        <f t="shared" ref="R61:W61" si="61">(R7/R$53)*$A7</f>
      </c>
      <c r="S61" s="1440">
        <f t="shared" si="61"/>
      </c>
      <c r="T61" s="1440">
        <f t="shared" si="61"/>
      </c>
      <c r="U61" s="1440">
        <f t="shared" si="61"/>
      </c>
      <c r="V61" s="1440">
        <f t="shared" si="61"/>
      </c>
      <c r="W61" s="1440">
        <f t="shared" si="61"/>
      </c>
      <c r="X61" s="1440">
        <f t="shared" ref="X61" si="62">(X7/X$53)*$A7</f>
      </c>
    </row>
    <row r="62" spans="1:28" outlineLevel="1">
      <c r="B62" s="1427" t="str">
        <f t="shared" si="57"/>
      </c>
      <c r="D62" s="1440">
        <f t="shared" ref="D62:O62" si="63">(D8/D$53)*$A8</f>
      </c>
      <c r="E62" s="1440">
        <f t="shared" si="63"/>
      </c>
      <c r="F62" s="1440">
        <f t="shared" si="63"/>
      </c>
      <c r="G62" s="1440">
        <f t="shared" si="63"/>
      </c>
      <c r="H62" s="1440">
        <f t="shared" si="63"/>
      </c>
      <c r="I62" s="1440">
        <f t="shared" si="63"/>
      </c>
      <c r="J62" s="1440">
        <f t="shared" si="63"/>
      </c>
      <c r="K62" s="1440">
        <f t="shared" si="63"/>
      </c>
      <c r="L62" s="1440">
        <f t="shared" si="63"/>
      </c>
      <c r="M62" s="1440">
        <f t="shared" si="63"/>
      </c>
      <c r="N62" s="1440">
        <f t="shared" si="63"/>
      </c>
      <c r="O62" s="1440">
        <f t="shared" si="63"/>
      </c>
      <c r="P62" s="1440">
        <f t="shared" si="59"/>
      </c>
      <c r="Q62" s="1440">
        <f t="shared" si="60"/>
      </c>
      <c r="R62" s="1440">
        <f t="shared" ref="R62:U81" si="64">(R8/R$53)*$A8</f>
      </c>
      <c r="S62" s="1440">
        <f t="shared" si="64"/>
      </c>
      <c r="T62" s="1440">
        <f t="shared" si="64"/>
      </c>
      <c r="U62" s="1440">
        <f t="shared" si="64"/>
      </c>
      <c r="V62" s="1440">
        <f t="shared" ref="V62:W81" si="65">(V8/V$53)*$A8</f>
      </c>
      <c r="W62" s="1440">
        <f t="shared" si="65"/>
      </c>
      <c r="X62" s="1440">
        <f t="shared" ref="X62" si="66">(X8/X$53)*$A8</f>
      </c>
    </row>
    <row r="63" spans="1:28" outlineLevel="1">
      <c r="B63" s="1427" t="str">
        <f t="shared" si="57"/>
      </c>
      <c r="D63" s="1440">
        <f t="shared" ref="D63:O63" si="67">(D9/D$53)*$A9</f>
      </c>
      <c r="E63" s="1440">
        <f t="shared" si="67"/>
      </c>
      <c r="F63" s="1440">
        <f t="shared" si="67"/>
      </c>
      <c r="G63" s="1440">
        <f t="shared" si="67"/>
      </c>
      <c r="H63" s="1440">
        <f t="shared" si="67"/>
      </c>
      <c r="I63" s="1440">
        <f t="shared" si="67"/>
      </c>
      <c r="J63" s="1440">
        <f t="shared" si="67"/>
      </c>
      <c r="K63" s="1440">
        <f t="shared" si="67"/>
      </c>
      <c r="L63" s="1440">
        <f t="shared" si="67"/>
      </c>
      <c r="M63" s="1440">
        <f t="shared" si="67"/>
      </c>
      <c r="N63" s="1440">
        <f t="shared" si="67"/>
      </c>
      <c r="O63" s="1440">
        <f t="shared" si="67"/>
      </c>
      <c r="P63" s="1440">
        <f t="shared" si="59"/>
      </c>
      <c r="Q63" s="1440">
        <f t="shared" si="60"/>
      </c>
      <c r="R63" s="1440">
        <f t="shared" si="64"/>
      </c>
      <c r="S63" s="1440">
        <f t="shared" si="64"/>
      </c>
      <c r="T63" s="1440">
        <f t="shared" si="64"/>
      </c>
      <c r="U63" s="1440">
        <f t="shared" si="64"/>
      </c>
      <c r="V63" s="1440">
        <f t="shared" si="65"/>
      </c>
      <c r="W63" s="1440">
        <f t="shared" si="65"/>
      </c>
      <c r="X63" s="1440">
        <f t="shared" ref="X63" si="68">(X9/X$53)*$A9</f>
      </c>
    </row>
    <row r="64" spans="1:28" outlineLevel="1">
      <c r="B64" s="1427" t="str">
        <f t="shared" si="57"/>
      </c>
      <c r="D64" s="1440">
        <f t="shared" ref="D64:O64" si="69">(D10/D$53)*$A10</f>
      </c>
      <c r="E64" s="1440">
        <f t="shared" si="69"/>
      </c>
      <c r="F64" s="1440">
        <f t="shared" si="69"/>
      </c>
      <c r="G64" s="1440">
        <f t="shared" si="69"/>
      </c>
      <c r="H64" s="1440">
        <f t="shared" si="69"/>
      </c>
      <c r="I64" s="1440">
        <f t="shared" si="69"/>
      </c>
      <c r="J64" s="1440">
        <f t="shared" si="69"/>
      </c>
      <c r="K64" s="1440">
        <f t="shared" si="69"/>
      </c>
      <c r="L64" s="1440">
        <f t="shared" si="69"/>
      </c>
      <c r="M64" s="1440">
        <f t="shared" si="69"/>
      </c>
      <c r="N64" s="1440">
        <f t="shared" si="69"/>
      </c>
      <c r="O64" s="1440">
        <f t="shared" si="69"/>
      </c>
      <c r="P64" s="1440">
        <f t="shared" si="59"/>
      </c>
      <c r="Q64" s="1440">
        <f t="shared" si="60"/>
      </c>
      <c r="R64" s="1440">
        <f t="shared" si="64"/>
      </c>
      <c r="S64" s="1440">
        <f t="shared" si="64"/>
      </c>
      <c r="T64" s="1440">
        <f t="shared" si="64"/>
      </c>
      <c r="U64" s="1440">
        <f t="shared" si="64"/>
      </c>
      <c r="V64" s="1440">
        <f t="shared" si="65"/>
      </c>
      <c r="W64" s="1440">
        <f t="shared" si="65"/>
      </c>
      <c r="X64" s="1440">
        <f t="shared" ref="X64" si="70">(X10/X$53)*$A10</f>
      </c>
    </row>
    <row r="65" spans="2:24" outlineLevel="1">
      <c r="B65" s="1427" t="str">
        <f t="shared" si="57"/>
      </c>
      <c r="D65" s="1440">
        <f t="shared" ref="D65:O65" si="71">(D11/D$53)*$A11</f>
      </c>
      <c r="E65" s="1440">
        <f t="shared" si="71"/>
      </c>
      <c r="F65" s="1440">
        <f t="shared" si="71"/>
      </c>
      <c r="G65" s="1440">
        <f t="shared" si="71"/>
      </c>
      <c r="H65" s="1440">
        <f t="shared" si="71"/>
      </c>
      <c r="I65" s="1440">
        <f t="shared" si="71"/>
      </c>
      <c r="J65" s="1440">
        <f t="shared" si="71"/>
      </c>
      <c r="K65" s="1440">
        <f t="shared" si="71"/>
      </c>
      <c r="L65" s="1440">
        <f t="shared" si="71"/>
      </c>
      <c r="M65" s="1440">
        <f t="shared" si="71"/>
      </c>
      <c r="N65" s="1440">
        <f t="shared" si="71"/>
      </c>
      <c r="O65" s="1440">
        <f t="shared" si="71"/>
      </c>
      <c r="P65" s="1440">
        <f t="shared" si="59"/>
      </c>
      <c r="Q65" s="1440">
        <f t="shared" si="60"/>
      </c>
      <c r="R65" s="1440">
        <f t="shared" si="64"/>
      </c>
      <c r="S65" s="1440">
        <f t="shared" si="64"/>
      </c>
      <c r="T65" s="1440">
        <f t="shared" si="64"/>
      </c>
      <c r="U65" s="1440">
        <f t="shared" si="64"/>
      </c>
      <c r="V65" s="1440">
        <f t="shared" si="65"/>
      </c>
      <c r="W65" s="1440">
        <f t="shared" si="65"/>
      </c>
      <c r="X65" s="1440">
        <f t="shared" ref="X65" si="72">(X11/X$53)*$A11</f>
      </c>
    </row>
    <row r="66" spans="2:24" outlineLevel="1">
      <c r="B66" s="1427" t="str">
        <f t="shared" si="57"/>
      </c>
      <c r="D66" s="1440">
        <f t="shared" ref="D66:O66" si="73">(D12/D$53)*$A12</f>
      </c>
      <c r="E66" s="1440">
        <f t="shared" si="73"/>
      </c>
      <c r="F66" s="1440">
        <f t="shared" si="73"/>
      </c>
      <c r="G66" s="1440">
        <f t="shared" si="73"/>
      </c>
      <c r="H66" s="1440">
        <f t="shared" si="73"/>
      </c>
      <c r="I66" s="1440">
        <f t="shared" si="73"/>
      </c>
      <c r="J66" s="1440">
        <f t="shared" si="73"/>
      </c>
      <c r="K66" s="1440">
        <f t="shared" si="73"/>
      </c>
      <c r="L66" s="1440">
        <f t="shared" si="73"/>
      </c>
      <c r="M66" s="1440">
        <f t="shared" si="73"/>
      </c>
      <c r="N66" s="1440">
        <f t="shared" si="73"/>
      </c>
      <c r="O66" s="1440">
        <f t="shared" si="73"/>
      </c>
      <c r="P66" s="1440">
        <f t="shared" si="59"/>
      </c>
      <c r="Q66" s="1440">
        <f t="shared" si="60"/>
      </c>
      <c r="R66" s="1440">
        <f t="shared" si="64"/>
      </c>
      <c r="S66" s="1440">
        <f t="shared" si="64"/>
      </c>
      <c r="T66" s="1440">
        <f t="shared" si="64"/>
      </c>
      <c r="U66" s="1440">
        <f t="shared" si="64"/>
      </c>
      <c r="V66" s="1440">
        <f t="shared" si="65"/>
      </c>
      <c r="W66" s="1440">
        <f t="shared" si="65"/>
      </c>
      <c r="X66" s="1440">
        <f t="shared" ref="X66" si="74">(X12/X$53)*$A12</f>
      </c>
    </row>
    <row r="67" spans="2:24" outlineLevel="1">
      <c r="B67" s="1427" t="str">
        <f t="shared" si="57"/>
      </c>
      <c r="D67" s="1440">
        <f t="shared" ref="D67:O67" si="75">(D13/D$53)*$A13</f>
      </c>
      <c r="E67" s="1440">
        <f t="shared" si="75"/>
      </c>
      <c r="F67" s="1440">
        <f t="shared" si="75"/>
      </c>
      <c r="G67" s="1440">
        <f t="shared" si="75"/>
      </c>
      <c r="H67" s="1440">
        <f t="shared" si="75"/>
      </c>
      <c r="I67" s="1440">
        <f t="shared" si="75"/>
      </c>
      <c r="J67" s="1440">
        <f t="shared" si="75"/>
      </c>
      <c r="K67" s="1440">
        <f t="shared" si="75"/>
      </c>
      <c r="L67" s="1440">
        <f t="shared" si="75"/>
      </c>
      <c r="M67" s="1440">
        <f t="shared" si="75"/>
      </c>
      <c r="N67" s="1440">
        <f t="shared" si="75"/>
      </c>
      <c r="O67" s="1440">
        <f t="shared" si="75"/>
      </c>
      <c r="P67" s="1440">
        <f t="shared" si="59"/>
      </c>
      <c r="Q67" s="1440">
        <f t="shared" si="60"/>
      </c>
      <c r="R67" s="1440">
        <f t="shared" si="64"/>
      </c>
      <c r="S67" s="1440">
        <f t="shared" si="64"/>
      </c>
      <c r="T67" s="1440">
        <f t="shared" si="64"/>
      </c>
      <c r="U67" s="1440">
        <f t="shared" si="64"/>
      </c>
      <c r="V67" s="1440">
        <f t="shared" si="65"/>
      </c>
      <c r="W67" s="1440">
        <f t="shared" si="65"/>
      </c>
      <c r="X67" s="1440">
        <f t="shared" ref="X67" si="76">(X13/X$53)*$A13</f>
      </c>
    </row>
    <row r="68" spans="2:24" outlineLevel="1">
      <c r="B68" s="1427" t="str">
        <f t="shared" si="57"/>
      </c>
      <c r="D68" s="1440">
        <f t="shared" ref="D68:O68" si="77">(D14/D$53)*$A14</f>
      </c>
      <c r="E68" s="1440">
        <f t="shared" si="77"/>
      </c>
      <c r="F68" s="1440">
        <f t="shared" si="77"/>
      </c>
      <c r="G68" s="1440">
        <f t="shared" si="77"/>
      </c>
      <c r="H68" s="1440">
        <f t="shared" si="77"/>
      </c>
      <c r="I68" s="1440">
        <f t="shared" si="77"/>
      </c>
      <c r="J68" s="1440">
        <f t="shared" si="77"/>
      </c>
      <c r="K68" s="1440">
        <f t="shared" si="77"/>
      </c>
      <c r="L68" s="1440">
        <f t="shared" si="77"/>
      </c>
      <c r="M68" s="1440">
        <f t="shared" si="77"/>
      </c>
      <c r="N68" s="1440">
        <f t="shared" si="77"/>
      </c>
      <c r="O68" s="1440">
        <f t="shared" si="77"/>
      </c>
      <c r="P68" s="1440">
        <f t="shared" si="59"/>
      </c>
      <c r="Q68" s="1440">
        <f t="shared" si="60"/>
      </c>
      <c r="R68" s="1440">
        <f t="shared" si="64"/>
      </c>
      <c r="S68" s="1440">
        <f t="shared" si="64"/>
      </c>
      <c r="T68" s="1440">
        <f t="shared" si="64"/>
      </c>
      <c r="U68" s="1440">
        <f t="shared" si="64"/>
      </c>
      <c r="V68" s="1440">
        <f t="shared" si="65"/>
      </c>
      <c r="W68" s="1440">
        <f t="shared" si="65"/>
      </c>
      <c r="X68" s="1440">
        <f t="shared" ref="X68" si="78">(X14/X$53)*$A14</f>
      </c>
    </row>
    <row r="69" spans="2:24" outlineLevel="1">
      <c r="B69" s="1427" t="str">
        <f t="shared" si="57"/>
      </c>
      <c r="D69" s="1440">
        <f t="shared" ref="D69:O69" si="79">(D15/D$53)*$A15</f>
      </c>
      <c r="E69" s="1440">
        <f t="shared" si="79"/>
      </c>
      <c r="F69" s="1440">
        <f t="shared" si="79"/>
      </c>
      <c r="G69" s="1440">
        <f t="shared" si="79"/>
      </c>
      <c r="H69" s="1440">
        <f t="shared" si="79"/>
      </c>
      <c r="I69" s="1440">
        <f t="shared" si="79"/>
      </c>
      <c r="J69" s="1440">
        <f t="shared" si="79"/>
      </c>
      <c r="K69" s="1440">
        <f t="shared" si="79"/>
      </c>
      <c r="L69" s="1440">
        <f t="shared" si="79"/>
      </c>
      <c r="M69" s="1440">
        <f t="shared" si="79"/>
      </c>
      <c r="N69" s="1440">
        <f t="shared" si="79"/>
      </c>
      <c r="O69" s="1440">
        <f t="shared" si="79"/>
      </c>
      <c r="P69" s="1440">
        <f t="shared" si="59"/>
      </c>
      <c r="Q69" s="1440">
        <f t="shared" si="60"/>
      </c>
      <c r="R69" s="1440">
        <f t="shared" si="64"/>
      </c>
      <c r="S69" s="1440">
        <f t="shared" si="64"/>
      </c>
      <c r="T69" s="1440">
        <f t="shared" si="64"/>
      </c>
      <c r="U69" s="1440">
        <f t="shared" si="64"/>
      </c>
      <c r="V69" s="1440">
        <f t="shared" si="65"/>
      </c>
      <c r="W69" s="1440">
        <f t="shared" si="65"/>
      </c>
      <c r="X69" s="1440">
        <f t="shared" ref="X69" si="80">(X15/X$53)*$A15</f>
      </c>
    </row>
    <row r="70" spans="2:24" outlineLevel="1">
      <c r="B70" s="1427" t="str">
        <f t="shared" si="57"/>
      </c>
      <c r="D70" s="1440">
        <f t="shared" ref="D70:O70" si="81">(D16/D$53)*$A16</f>
      </c>
      <c r="E70" s="1440">
        <f t="shared" si="81"/>
      </c>
      <c r="F70" s="1440">
        <f t="shared" si="81"/>
      </c>
      <c r="G70" s="1440">
        <f t="shared" si="81"/>
      </c>
      <c r="H70" s="1440">
        <f t="shared" si="81"/>
      </c>
      <c r="I70" s="1440">
        <f t="shared" si="81"/>
      </c>
      <c r="J70" s="1440">
        <f t="shared" si="81"/>
      </c>
      <c r="K70" s="1440">
        <f t="shared" si="81"/>
      </c>
      <c r="L70" s="1440">
        <f t="shared" si="81"/>
      </c>
      <c r="M70" s="1440">
        <f t="shared" si="81"/>
      </c>
      <c r="N70" s="1440">
        <f t="shared" si="81"/>
      </c>
      <c r="O70" s="1440">
        <f t="shared" si="81"/>
      </c>
      <c r="P70" s="1440">
        <f t="shared" si="59"/>
      </c>
      <c r="Q70" s="1440">
        <f t="shared" si="60"/>
      </c>
      <c r="R70" s="1440">
        <f t="shared" si="64"/>
      </c>
      <c r="S70" s="1440">
        <f t="shared" si="64"/>
      </c>
      <c r="T70" s="1440">
        <f t="shared" si="64"/>
      </c>
      <c r="U70" s="1440">
        <f t="shared" si="64"/>
      </c>
      <c r="V70" s="1440">
        <f t="shared" si="65"/>
      </c>
      <c r="W70" s="1440">
        <f t="shared" si="65"/>
      </c>
      <c r="X70" s="1440">
        <f t="shared" ref="X70" si="82">(X16/X$53)*$A16</f>
      </c>
    </row>
    <row r="71" spans="2:24" outlineLevel="1">
      <c r="B71" s="1427" t="str">
        <f t="shared" si="57"/>
      </c>
      <c r="D71" s="1440">
        <f t="shared" ref="D71:O71" si="83">(D17/D$53)*$A17</f>
      </c>
      <c r="E71" s="1440">
        <f t="shared" si="83"/>
      </c>
      <c r="F71" s="1440">
        <f t="shared" si="83"/>
      </c>
      <c r="G71" s="1440">
        <f t="shared" si="83"/>
      </c>
      <c r="H71" s="1440">
        <f t="shared" si="83"/>
      </c>
      <c r="I71" s="1440">
        <f t="shared" si="83"/>
      </c>
      <c r="J71" s="1440">
        <f t="shared" si="83"/>
      </c>
      <c r="K71" s="1440">
        <f t="shared" si="83"/>
      </c>
      <c r="L71" s="1440">
        <f t="shared" si="83"/>
      </c>
      <c r="M71" s="1440">
        <f t="shared" si="83"/>
      </c>
      <c r="N71" s="1440">
        <f t="shared" si="83"/>
      </c>
      <c r="O71" s="1440">
        <f t="shared" si="83"/>
      </c>
      <c r="P71" s="1440">
        <f t="shared" si="59"/>
      </c>
      <c r="Q71" s="1440">
        <f t="shared" si="60"/>
      </c>
      <c r="R71" s="1440">
        <f t="shared" si="64"/>
      </c>
      <c r="S71" s="1440">
        <f t="shared" si="64"/>
      </c>
      <c r="T71" s="1440">
        <f t="shared" si="64"/>
      </c>
      <c r="U71" s="1440">
        <f t="shared" si="64"/>
      </c>
      <c r="V71" s="1440">
        <f t="shared" si="65"/>
      </c>
      <c r="W71" s="1440">
        <f t="shared" si="65"/>
      </c>
      <c r="X71" s="1440">
        <f t="shared" ref="X71" si="84">(X17/X$53)*$A17</f>
      </c>
    </row>
    <row r="72" spans="2:24" outlineLevel="1">
      <c r="B72" s="1427" t="str">
        <f t="shared" si="57"/>
      </c>
      <c r="D72" s="1440">
        <f t="shared" ref="D72:O72" si="85">(D18/D$53)*$A18</f>
      </c>
      <c r="E72" s="1440">
        <f t="shared" si="85"/>
      </c>
      <c r="F72" s="1440">
        <f t="shared" si="85"/>
      </c>
      <c r="G72" s="1440">
        <f t="shared" si="85"/>
      </c>
      <c r="H72" s="1440">
        <f t="shared" si="85"/>
      </c>
      <c r="I72" s="1440">
        <f t="shared" si="85"/>
      </c>
      <c r="J72" s="1440">
        <f t="shared" si="85"/>
      </c>
      <c r="K72" s="1440">
        <f t="shared" si="85"/>
      </c>
      <c r="L72" s="1440">
        <f t="shared" si="85"/>
      </c>
      <c r="M72" s="1440">
        <f t="shared" si="85"/>
      </c>
      <c r="N72" s="1440">
        <f t="shared" si="85"/>
      </c>
      <c r="O72" s="1440">
        <f t="shared" si="85"/>
      </c>
      <c r="P72" s="1440">
        <f t="shared" si="59"/>
      </c>
      <c r="Q72" s="1440">
        <f t="shared" si="60"/>
      </c>
      <c r="R72" s="1440">
        <f t="shared" si="64"/>
      </c>
      <c r="S72" s="1440">
        <f t="shared" si="64"/>
      </c>
      <c r="T72" s="1440">
        <f t="shared" si="64"/>
      </c>
      <c r="U72" s="1440">
        <f t="shared" si="64"/>
      </c>
      <c r="V72" s="1440">
        <f t="shared" si="65"/>
      </c>
      <c r="W72" s="1440">
        <f t="shared" si="65"/>
      </c>
      <c r="X72" s="1440">
        <f t="shared" ref="X72" si="86">(X18/X$53)*$A18</f>
      </c>
    </row>
    <row r="73" spans="2:24" outlineLevel="1">
      <c r="B73" s="1427" t="str">
        <f t="shared" si="57"/>
      </c>
      <c r="D73" s="1440">
        <f t="shared" ref="D73:O73" si="87">(D19/D$53)*$A19</f>
      </c>
      <c r="E73" s="1440">
        <f t="shared" si="87"/>
      </c>
      <c r="F73" s="1440">
        <f t="shared" si="87"/>
      </c>
      <c r="G73" s="1440">
        <f t="shared" si="87"/>
      </c>
      <c r="H73" s="1440">
        <f t="shared" si="87"/>
      </c>
      <c r="I73" s="1440">
        <f t="shared" si="87"/>
      </c>
      <c r="J73" s="1440">
        <f t="shared" si="87"/>
      </c>
      <c r="K73" s="1440">
        <f t="shared" si="87"/>
      </c>
      <c r="L73" s="1440">
        <f t="shared" si="87"/>
      </c>
      <c r="M73" s="1440">
        <f t="shared" si="87"/>
      </c>
      <c r="N73" s="1440">
        <f t="shared" si="87"/>
      </c>
      <c r="O73" s="1440">
        <f t="shared" si="87"/>
      </c>
      <c r="P73" s="1440">
        <f t="shared" si="59"/>
      </c>
      <c r="Q73" s="1440">
        <f t="shared" si="60"/>
      </c>
      <c r="R73" s="1440">
        <f t="shared" si="64"/>
      </c>
      <c r="S73" s="1440">
        <f t="shared" si="64"/>
      </c>
      <c r="T73" s="1440">
        <f t="shared" si="64"/>
      </c>
      <c r="U73" s="1440">
        <f t="shared" si="64"/>
      </c>
      <c r="V73" s="1440">
        <f t="shared" si="65"/>
      </c>
      <c r="W73" s="1440">
        <f t="shared" si="65"/>
      </c>
      <c r="X73" s="1440">
        <f t="shared" ref="X73" si="88">(X19/X$53)*$A19</f>
      </c>
    </row>
    <row r="74" spans="2:24" outlineLevel="1">
      <c r="B74" s="1427" t="str">
        <f t="shared" si="57"/>
      </c>
      <c r="D74" s="1440">
        <f t="shared" ref="D74:O74" si="89">(D20/D$53)*$A20</f>
      </c>
      <c r="E74" s="1440">
        <f t="shared" si="89"/>
      </c>
      <c r="F74" s="1440">
        <f t="shared" si="89"/>
      </c>
      <c r="G74" s="1440">
        <f t="shared" si="89"/>
      </c>
      <c r="H74" s="1440">
        <f t="shared" si="89"/>
      </c>
      <c r="I74" s="1440">
        <f t="shared" si="89"/>
      </c>
      <c r="J74" s="1440">
        <f t="shared" si="89"/>
      </c>
      <c r="K74" s="1440">
        <f t="shared" si="89"/>
      </c>
      <c r="L74" s="1440">
        <f t="shared" si="89"/>
      </c>
      <c r="M74" s="1440">
        <f t="shared" si="89"/>
      </c>
      <c r="N74" s="1440">
        <f t="shared" si="89"/>
      </c>
      <c r="O74" s="1440">
        <f t="shared" si="89"/>
      </c>
      <c r="P74" s="1440">
        <f t="shared" si="59"/>
      </c>
      <c r="Q74" s="1440">
        <f t="shared" si="60"/>
      </c>
      <c r="R74" s="1440">
        <f t="shared" si="64"/>
      </c>
      <c r="S74" s="1440">
        <f t="shared" si="64"/>
      </c>
      <c r="T74" s="1440">
        <f t="shared" si="64"/>
      </c>
      <c r="U74" s="1440">
        <f t="shared" si="64"/>
      </c>
      <c r="V74" s="1440">
        <f t="shared" si="65"/>
      </c>
      <c r="W74" s="1440">
        <f t="shared" si="65"/>
      </c>
      <c r="X74" s="1440">
        <f t="shared" ref="X74" si="90">(X20/X$53)*$A20</f>
      </c>
    </row>
    <row r="75" spans="2:24" outlineLevel="1">
      <c r="B75" s="1427" t="str">
        <f t="shared" si="57"/>
      </c>
      <c r="D75" s="1440">
        <f t="shared" ref="D75:O75" si="91">(D21/D$53)*$A21</f>
      </c>
      <c r="E75" s="1440">
        <f t="shared" si="91"/>
      </c>
      <c r="F75" s="1440">
        <f t="shared" si="91"/>
      </c>
      <c r="G75" s="1440">
        <f t="shared" si="91"/>
      </c>
      <c r="H75" s="1440">
        <f t="shared" si="91"/>
      </c>
      <c r="I75" s="1440">
        <f t="shared" si="91"/>
      </c>
      <c r="J75" s="1440">
        <f t="shared" si="91"/>
      </c>
      <c r="K75" s="1440">
        <f t="shared" si="91"/>
      </c>
      <c r="L75" s="1440">
        <f t="shared" si="91"/>
      </c>
      <c r="M75" s="1440">
        <f t="shared" si="91"/>
      </c>
      <c r="N75" s="1440">
        <f t="shared" si="91"/>
      </c>
      <c r="O75" s="1440">
        <f t="shared" si="91"/>
      </c>
      <c r="P75" s="1440">
        <f t="shared" si="59"/>
      </c>
      <c r="Q75" s="1440">
        <f t="shared" si="60"/>
      </c>
      <c r="R75" s="1440">
        <f t="shared" si="64"/>
      </c>
      <c r="S75" s="1440">
        <f t="shared" si="64"/>
      </c>
      <c r="T75" s="1440">
        <f t="shared" si="64"/>
      </c>
      <c r="U75" s="1440">
        <f t="shared" si="64"/>
      </c>
      <c r="V75" s="1440">
        <f t="shared" si="65"/>
      </c>
      <c r="W75" s="1440">
        <f t="shared" si="65"/>
      </c>
      <c r="X75" s="1440">
        <f t="shared" ref="X75" si="92">(X21/X$53)*$A21</f>
      </c>
    </row>
    <row r="76" spans="2:24" outlineLevel="1">
      <c r="B76" s="1427" t="str">
        <f t="shared" si="57"/>
      </c>
      <c r="D76" s="1440">
        <f t="shared" ref="D76:O76" si="93">(D22/D$53)*$A22</f>
      </c>
      <c r="E76" s="1440">
        <f t="shared" si="93"/>
      </c>
      <c r="F76" s="1440">
        <f t="shared" si="93"/>
      </c>
      <c r="G76" s="1440">
        <f t="shared" si="93"/>
      </c>
      <c r="H76" s="1440">
        <f t="shared" si="93"/>
      </c>
      <c r="I76" s="1440">
        <f t="shared" si="93"/>
      </c>
      <c r="J76" s="1440">
        <f t="shared" si="93"/>
      </c>
      <c r="K76" s="1440">
        <f t="shared" si="93"/>
      </c>
      <c r="L76" s="1440">
        <f t="shared" si="93"/>
      </c>
      <c r="M76" s="1440">
        <f t="shared" si="93"/>
      </c>
      <c r="N76" s="1440">
        <f t="shared" si="93"/>
      </c>
      <c r="O76" s="1440">
        <f t="shared" si="93"/>
      </c>
      <c r="P76" s="1440">
        <f t="shared" si="59"/>
      </c>
      <c r="Q76" s="1440">
        <f t="shared" si="60"/>
      </c>
      <c r="R76" s="1440">
        <f t="shared" si="64"/>
      </c>
      <c r="S76" s="1440">
        <f t="shared" si="64"/>
      </c>
      <c r="T76" s="1440">
        <f t="shared" si="64"/>
      </c>
      <c r="U76" s="1440">
        <f t="shared" si="64"/>
      </c>
      <c r="V76" s="1440">
        <f t="shared" si="65"/>
      </c>
      <c r="W76" s="1440">
        <f t="shared" si="65"/>
      </c>
      <c r="X76" s="1440">
        <f t="shared" ref="X76" si="94">(X22/X$53)*$A22</f>
      </c>
    </row>
    <row r="77" spans="2:24" outlineLevel="1">
      <c r="B77" s="1427" t="str">
        <f t="shared" si="57"/>
      </c>
      <c r="D77" s="1440">
        <f t="shared" ref="D77:O77" si="95">(D23/D$53)*$A23</f>
      </c>
      <c r="E77" s="1440">
        <f t="shared" si="95"/>
      </c>
      <c r="F77" s="1440">
        <f t="shared" si="95"/>
      </c>
      <c r="G77" s="1440">
        <f t="shared" si="95"/>
      </c>
      <c r="H77" s="1440">
        <f t="shared" si="95"/>
      </c>
      <c r="I77" s="1440">
        <f t="shared" si="95"/>
      </c>
      <c r="J77" s="1440">
        <f t="shared" si="95"/>
      </c>
      <c r="K77" s="1440">
        <f t="shared" si="95"/>
      </c>
      <c r="L77" s="1440">
        <f t="shared" si="95"/>
      </c>
      <c r="M77" s="1440">
        <f t="shared" si="95"/>
      </c>
      <c r="N77" s="1440">
        <f t="shared" si="95"/>
      </c>
      <c r="O77" s="1440">
        <f t="shared" si="95"/>
      </c>
      <c r="P77" s="1440">
        <f t="shared" si="59"/>
      </c>
      <c r="Q77" s="1440">
        <f t="shared" si="60"/>
      </c>
      <c r="R77" s="1440">
        <f t="shared" si="64"/>
      </c>
      <c r="S77" s="1440">
        <f t="shared" si="64"/>
      </c>
      <c r="T77" s="1440">
        <f t="shared" si="64"/>
      </c>
      <c r="U77" s="1440">
        <f t="shared" si="64"/>
      </c>
      <c r="V77" s="1440">
        <f t="shared" si="65"/>
      </c>
      <c r="W77" s="1440">
        <f t="shared" si="65"/>
      </c>
      <c r="X77" s="1440">
        <f t="shared" ref="X77" si="96">(X23/X$53)*$A23</f>
      </c>
    </row>
    <row r="78" spans="2:24" outlineLevel="1">
      <c r="B78" s="1427" t="str">
        <f t="shared" si="57"/>
      </c>
      <c r="D78" s="1440">
        <f t="shared" ref="D78:O78" si="97">(D24/D$53)*$A24</f>
      </c>
      <c r="E78" s="1440">
        <f t="shared" si="97"/>
      </c>
      <c r="F78" s="1440">
        <f t="shared" si="97"/>
      </c>
      <c r="G78" s="1440">
        <f t="shared" si="97"/>
      </c>
      <c r="H78" s="1440">
        <f t="shared" si="97"/>
      </c>
      <c r="I78" s="1440">
        <f t="shared" si="97"/>
      </c>
      <c r="J78" s="1440">
        <f t="shared" si="97"/>
      </c>
      <c r="K78" s="1440">
        <f t="shared" si="97"/>
      </c>
      <c r="L78" s="1440">
        <f t="shared" si="97"/>
      </c>
      <c r="M78" s="1440">
        <f t="shared" si="97"/>
      </c>
      <c r="N78" s="1440">
        <f t="shared" si="97"/>
      </c>
      <c r="O78" s="1440">
        <f t="shared" si="97"/>
      </c>
      <c r="P78" s="1440">
        <f t="shared" si="59"/>
      </c>
      <c r="Q78" s="1440">
        <f t="shared" si="60"/>
      </c>
      <c r="R78" s="1440">
        <f t="shared" si="64"/>
      </c>
      <c r="S78" s="1440">
        <f t="shared" si="64"/>
      </c>
      <c r="T78" s="1440">
        <f t="shared" si="64"/>
      </c>
      <c r="U78" s="1440">
        <f t="shared" si="64"/>
      </c>
      <c r="V78" s="1440">
        <f t="shared" si="65"/>
      </c>
      <c r="W78" s="1440">
        <f t="shared" si="65"/>
      </c>
      <c r="X78" s="1440">
        <f t="shared" ref="X78" si="98">(X24/X$53)*$A24</f>
      </c>
    </row>
    <row r="79" spans="2:24" outlineLevel="1">
      <c r="B79" s="1427" t="str">
        <f t="shared" si="57"/>
      </c>
      <c r="D79" s="1440">
        <f t="shared" ref="D79:O79" si="99">(D25/D$53)*$A25</f>
      </c>
      <c r="E79" s="1440">
        <f t="shared" si="99"/>
      </c>
      <c r="F79" s="1440">
        <f t="shared" si="99"/>
      </c>
      <c r="G79" s="1440">
        <f t="shared" si="99"/>
      </c>
      <c r="H79" s="1440">
        <f t="shared" si="99"/>
      </c>
      <c r="I79" s="1440">
        <f t="shared" si="99"/>
      </c>
      <c r="J79" s="1440">
        <f t="shared" si="99"/>
      </c>
      <c r="K79" s="1440">
        <f t="shared" si="99"/>
      </c>
      <c r="L79" s="1440">
        <f t="shared" si="99"/>
      </c>
      <c r="M79" s="1440">
        <f t="shared" si="99"/>
      </c>
      <c r="N79" s="1440">
        <f t="shared" si="99"/>
      </c>
      <c r="O79" s="1440">
        <f t="shared" si="99"/>
      </c>
      <c r="P79" s="1440">
        <f t="shared" si="59"/>
      </c>
      <c r="Q79" s="1440">
        <f t="shared" si="60"/>
      </c>
      <c r="R79" s="1440">
        <f t="shared" si="64"/>
      </c>
      <c r="S79" s="1440">
        <f t="shared" si="64"/>
      </c>
      <c r="T79" s="1440">
        <f t="shared" si="64"/>
      </c>
      <c r="U79" s="1440">
        <f t="shared" si="64"/>
      </c>
      <c r="V79" s="1440">
        <f t="shared" si="65"/>
      </c>
      <c r="W79" s="1440">
        <f t="shared" si="65"/>
      </c>
      <c r="X79" s="1440">
        <f t="shared" ref="X79" si="100">(X25/X$53)*$A25</f>
      </c>
    </row>
    <row r="80" spans="2:24" outlineLevel="1">
      <c r="B80" s="1427" t="str">
        <f t="shared" si="57"/>
      </c>
      <c r="D80" s="1440">
        <f t="shared" ref="D80:O80" si="101">(D26/D$53)*$A26</f>
      </c>
      <c r="E80" s="1440">
        <f t="shared" si="101"/>
      </c>
      <c r="F80" s="1440">
        <f t="shared" si="101"/>
      </c>
      <c r="G80" s="1440">
        <f t="shared" si="101"/>
      </c>
      <c r="H80" s="1440">
        <f t="shared" si="101"/>
      </c>
      <c r="I80" s="1440">
        <f t="shared" si="101"/>
      </c>
      <c r="J80" s="1440">
        <f t="shared" si="101"/>
      </c>
      <c r="K80" s="1440">
        <f t="shared" si="101"/>
      </c>
      <c r="L80" s="1440">
        <f t="shared" si="101"/>
      </c>
      <c r="M80" s="1440">
        <f t="shared" si="101"/>
      </c>
      <c r="N80" s="1440">
        <f t="shared" si="101"/>
      </c>
      <c r="O80" s="1440">
        <f t="shared" si="101"/>
      </c>
      <c r="P80" s="1440">
        <f t="shared" si="59"/>
      </c>
      <c r="Q80" s="1440">
        <f t="shared" si="60"/>
      </c>
      <c r="R80" s="1440">
        <f t="shared" si="64"/>
      </c>
      <c r="S80" s="1440">
        <f t="shared" si="64"/>
      </c>
      <c r="T80" s="1440">
        <f t="shared" si="64"/>
      </c>
      <c r="U80" s="1440">
        <f t="shared" si="64"/>
      </c>
      <c r="V80" s="1440">
        <f t="shared" si="65"/>
      </c>
      <c r="W80" s="1440">
        <f t="shared" si="65"/>
      </c>
      <c r="X80" s="1440">
        <f t="shared" ref="X80" si="102">(X26/X$53)*$A26</f>
      </c>
    </row>
    <row r="81" spans="2:24" outlineLevel="1">
      <c r="B81" s="1427" t="str">
        <f t="shared" si="57"/>
      </c>
      <c r="D81" s="1440">
        <f t="shared" ref="D81:O81" si="103">(D28/D$53)*$A28</f>
      </c>
      <c r="E81" s="1440">
        <f t="shared" si="103"/>
      </c>
      <c r="F81" s="1440">
        <f t="shared" si="103"/>
      </c>
      <c r="G81" s="1440">
        <f t="shared" si="103"/>
      </c>
      <c r="H81" s="1440">
        <f t="shared" si="103"/>
      </c>
      <c r="I81" s="1440">
        <f t="shared" si="103"/>
      </c>
      <c r="J81" s="1440">
        <f t="shared" si="103"/>
      </c>
      <c r="K81" s="1440">
        <f t="shared" si="103"/>
      </c>
      <c r="L81" s="1440">
        <f t="shared" si="103"/>
      </c>
      <c r="M81" s="1440">
        <f t="shared" si="103"/>
      </c>
      <c r="N81" s="1440">
        <f t="shared" si="103"/>
      </c>
      <c r="O81" s="1440">
        <f t="shared" si="103"/>
      </c>
      <c r="P81" s="1440">
        <f t="shared" si="59"/>
      </c>
      <c r="Q81" s="1440">
        <f t="shared" si="60"/>
      </c>
      <c r="R81" s="1440">
        <f t="shared" si="64"/>
      </c>
      <c r="S81" s="1440">
        <f t="shared" si="64"/>
      </c>
      <c r="T81" s="1440">
        <f t="shared" si="64"/>
      </c>
      <c r="U81" s="1440">
        <f t="shared" si="64"/>
      </c>
      <c r="V81" s="1440">
        <f t="shared" si="65"/>
      </c>
      <c r="W81" s="1440">
        <f t="shared" si="65"/>
      </c>
      <c r="X81" s="1440">
        <f t="shared" ref="X81" si="104">(X27/X$53)*$A27</f>
      </c>
    </row>
    <row r="82" spans="2:24" outlineLevel="1">
      <c r="B82" s="1427" t="str">
        <f t="shared" si="57"/>
      </c>
      <c r="D82" s="1440">
        <f t="shared" ref="D82:O82" si="105">(D29/D$53)*$A29</f>
      </c>
      <c r="E82" s="1440">
        <f t="shared" si="105"/>
      </c>
      <c r="F82" s="1440">
        <f t="shared" si="105"/>
      </c>
      <c r="G82" s="1440">
        <f t="shared" si="105"/>
      </c>
      <c r="H82" s="1440">
        <f t="shared" si="105"/>
      </c>
      <c r="I82" s="1440">
        <f t="shared" si="105"/>
      </c>
      <c r="J82" s="1440">
        <f t="shared" si="105"/>
      </c>
      <c r="K82" s="1440">
        <f t="shared" si="105"/>
      </c>
      <c r="L82" s="1440">
        <f t="shared" si="105"/>
      </c>
      <c r="M82" s="1440">
        <f t="shared" si="105"/>
      </c>
      <c r="N82" s="1440">
        <f t="shared" si="105"/>
      </c>
      <c r="O82" s="1440">
        <f t="shared" si="105"/>
      </c>
      <c r="P82" s="1440">
        <f t="shared" si="59"/>
      </c>
      <c r="Q82" s="1440">
        <f t="shared" si="60"/>
      </c>
      <c r="R82" s="1440">
        <f t="shared" ref="R82:U101" si="106">(R28/R$53)*$A28</f>
      </c>
      <c r="S82" s="1440">
        <f t="shared" si="106"/>
      </c>
      <c r="T82" s="1440">
        <f t="shared" si="106"/>
      </c>
      <c r="U82" s="1440">
        <f t="shared" si="106"/>
      </c>
      <c r="V82" s="1440">
        <f t="shared" ref="V82:W101" si="107">(V28/V$53)*$A28</f>
      </c>
      <c r="W82" s="1440">
        <f t="shared" si="107"/>
      </c>
      <c r="X82" s="1440">
        <f t="shared" ref="X82" si="108">(X28/X$53)*$A28</f>
      </c>
    </row>
    <row r="83" spans="2:24" outlineLevel="1">
      <c r="B83" s="1427" t="str">
        <f t="shared" si="57"/>
      </c>
      <c r="D83" s="1440"/>
      <c r="E83" s="1440"/>
      <c r="F83" s="1440"/>
      <c r="G83" s="1440"/>
      <c r="H83" s="1440"/>
      <c r="I83" s="1440"/>
      <c r="J83" s="1440"/>
      <c r="K83" s="1440"/>
      <c r="L83" s="1440"/>
      <c r="M83" s="1440"/>
      <c r="N83" s="1440"/>
      <c r="O83" s="1440"/>
      <c r="P83" s="1440">
        <f t="shared" si="59"/>
      </c>
      <c r="Q83" s="1440">
        <f t="shared" si="60"/>
      </c>
      <c r="R83" s="1440">
        <f t="shared" si="106"/>
      </c>
      <c r="S83" s="1440">
        <f t="shared" si="106"/>
      </c>
      <c r="T83" s="1440">
        <f t="shared" si="106"/>
      </c>
      <c r="U83" s="1440">
        <f t="shared" si="106"/>
      </c>
      <c r="V83" s="1440">
        <f t="shared" si="107"/>
      </c>
      <c r="W83" s="1440">
        <f t="shared" si="107"/>
      </c>
      <c r="X83" s="1440">
        <f t="shared" ref="X83" si="109">(X29/X$53)*$A29</f>
      </c>
    </row>
    <row r="84" spans="2:24" outlineLevel="1">
      <c r="B84" s="1427" t="str">
        <f t="shared" si="57"/>
      </c>
      <c r="D84" s="1440"/>
      <c r="E84" s="1440"/>
      <c r="F84" s="1440"/>
      <c r="G84" s="1440"/>
      <c r="H84" s="1440"/>
      <c r="I84" s="1440"/>
      <c r="J84" s="1440"/>
      <c r="K84" s="1440"/>
      <c r="L84" s="1440"/>
      <c r="M84" s="1440"/>
      <c r="N84" s="1440"/>
      <c r="O84" s="1440"/>
      <c r="P84" s="1440">
        <f t="shared" si="59"/>
      </c>
      <c r="Q84" s="1440">
        <f t="shared" si="60"/>
      </c>
      <c r="R84" s="1440">
        <f t="shared" si="106"/>
      </c>
      <c r="S84" s="1440">
        <f t="shared" si="106"/>
      </c>
      <c r="T84" s="1440">
        <f t="shared" si="106"/>
      </c>
      <c r="U84" s="1440">
        <f t="shared" si="106"/>
      </c>
      <c r="V84" s="1440">
        <f t="shared" si="107"/>
      </c>
      <c r="W84" s="1440">
        <f t="shared" si="107"/>
      </c>
      <c r="X84" s="1440">
        <f t="shared" ref="X84" si="110">(X30/X$53)*$A30</f>
      </c>
    </row>
    <row r="85" spans="2:24" outlineLevel="1">
      <c r="B85" s="1427" t="str">
        <f t="shared" si="57"/>
      </c>
      <c r="D85" s="1440"/>
      <c r="E85" s="1440"/>
      <c r="F85" s="1440"/>
      <c r="G85" s="1440"/>
      <c r="H85" s="1440"/>
      <c r="I85" s="1440"/>
      <c r="J85" s="1440"/>
      <c r="K85" s="1440"/>
      <c r="L85" s="1440"/>
      <c r="M85" s="1440"/>
      <c r="N85" s="1440"/>
      <c r="O85" s="1440"/>
      <c r="P85" s="1440">
        <f t="shared" si="59"/>
      </c>
      <c r="Q85" s="1440">
        <f t="shared" si="60"/>
      </c>
      <c r="R85" s="1440">
        <f t="shared" si="106"/>
      </c>
      <c r="S85" s="1440">
        <f t="shared" si="106"/>
      </c>
      <c r="T85" s="1440">
        <f t="shared" si="106"/>
      </c>
      <c r="U85" s="1440">
        <f t="shared" si="106"/>
      </c>
      <c r="V85" s="1440">
        <f t="shared" si="107"/>
      </c>
      <c r="W85" s="1440">
        <f t="shared" si="107"/>
      </c>
      <c r="X85" s="1440">
        <f t="shared" ref="X85" si="111">(X31/X$53)*$A31</f>
      </c>
    </row>
    <row r="86" spans="2:24" outlineLevel="1">
      <c r="B86" s="1427" t="str">
        <f t="shared" si="57"/>
      </c>
      <c r="D86" s="1440">
        <f t="shared" ref="D86:O86" si="112">(D32/D$53)*$A32</f>
      </c>
      <c r="E86" s="1440">
        <f t="shared" si="112"/>
      </c>
      <c r="F86" s="1440">
        <f t="shared" si="112"/>
      </c>
      <c r="G86" s="1440">
        <f t="shared" si="112"/>
      </c>
      <c r="H86" s="1440">
        <f t="shared" si="112"/>
      </c>
      <c r="I86" s="1440">
        <f t="shared" si="112"/>
      </c>
      <c r="J86" s="1440">
        <f t="shared" si="112"/>
      </c>
      <c r="K86" s="1440">
        <f t="shared" si="112"/>
      </c>
      <c r="L86" s="1440">
        <f t="shared" si="112"/>
      </c>
      <c r="M86" s="1440">
        <f t="shared" si="112"/>
      </c>
      <c r="N86" s="1440">
        <f t="shared" si="112"/>
      </c>
      <c r="O86" s="1440">
        <f t="shared" si="112"/>
      </c>
      <c r="P86" s="1440">
        <f t="shared" si="59"/>
      </c>
      <c r="Q86" s="1440">
        <f t="shared" si="60"/>
      </c>
      <c r="R86" s="1440">
        <f t="shared" si="106"/>
      </c>
      <c r="S86" s="1440">
        <f t="shared" si="106"/>
      </c>
      <c r="T86" s="1440">
        <f t="shared" si="106"/>
      </c>
      <c r="U86" s="1440">
        <f t="shared" si="106"/>
      </c>
      <c r="V86" s="1440">
        <f t="shared" si="107"/>
      </c>
      <c r="W86" s="1440">
        <f t="shared" si="107"/>
      </c>
      <c r="X86" s="1440">
        <f t="shared" ref="X86" si="113">(X32/X$53)*$A32</f>
      </c>
    </row>
    <row r="87" spans="2:24" outlineLevel="1">
      <c r="B87" s="1427" t="str">
        <f t="shared" si="57"/>
      </c>
      <c r="D87" s="1440">
        <f t="shared" ref="D87:O87" si="114">(D31/D$53)*$A31</f>
      </c>
      <c r="E87" s="1440">
        <f t="shared" si="114"/>
      </c>
      <c r="F87" s="1440">
        <f t="shared" si="114"/>
      </c>
      <c r="G87" s="1440">
        <f t="shared" si="114"/>
      </c>
      <c r="H87" s="1440">
        <f t="shared" si="114"/>
      </c>
      <c r="I87" s="1440">
        <f t="shared" si="114"/>
      </c>
      <c r="J87" s="1440">
        <f t="shared" si="114"/>
      </c>
      <c r="K87" s="1440">
        <f t="shared" si="114"/>
      </c>
      <c r="L87" s="1440">
        <f t="shared" si="114"/>
      </c>
      <c r="M87" s="1440">
        <f t="shared" si="114"/>
      </c>
      <c r="N87" s="1440">
        <f t="shared" si="114"/>
      </c>
      <c r="O87" s="1440">
        <f t="shared" si="114"/>
      </c>
      <c r="P87" s="1440">
        <f t="shared" si="59"/>
      </c>
      <c r="Q87" s="1440">
        <f t="shared" si="60"/>
      </c>
      <c r="R87" s="1440">
        <f t="shared" si="106"/>
      </c>
      <c r="S87" s="1440">
        <f t="shared" si="106"/>
      </c>
      <c r="T87" s="1440">
        <f t="shared" si="106"/>
      </c>
      <c r="U87" s="1440">
        <f t="shared" si="106"/>
      </c>
      <c r="V87" s="1440">
        <f t="shared" si="107"/>
      </c>
      <c r="W87" s="1440">
        <f t="shared" si="107"/>
      </c>
      <c r="X87" s="1440">
        <f t="shared" ref="X87" si="115">(X33/X$53)*$A33</f>
      </c>
    </row>
    <row r="88" spans="2:24" outlineLevel="1">
      <c r="B88" s="1427" t="str">
        <f t="shared" si="57"/>
      </c>
      <c r="D88" s="1440">
        <f t="shared" ref="D88:O88" si="116">(D33/D$53)*$A33</f>
      </c>
      <c r="E88" s="1440">
        <f t="shared" si="116"/>
      </c>
      <c r="F88" s="1440">
        <f t="shared" si="116"/>
      </c>
      <c r="G88" s="1440">
        <f t="shared" si="116"/>
      </c>
      <c r="H88" s="1440">
        <f t="shared" si="116"/>
      </c>
      <c r="I88" s="1440">
        <f t="shared" si="116"/>
      </c>
      <c r="J88" s="1440">
        <f t="shared" si="116"/>
      </c>
      <c r="K88" s="1440">
        <f t="shared" si="116"/>
      </c>
      <c r="L88" s="1440">
        <f t="shared" si="116"/>
      </c>
      <c r="M88" s="1440">
        <f t="shared" si="116"/>
      </c>
      <c r="N88" s="1440">
        <f t="shared" si="116"/>
      </c>
      <c r="O88" s="1440">
        <f t="shared" si="116"/>
      </c>
      <c r="P88" s="1440">
        <f t="shared" si="59"/>
      </c>
      <c r="Q88" s="1440">
        <f t="shared" si="60"/>
      </c>
      <c r="R88" s="1440">
        <f t="shared" si="106"/>
      </c>
      <c r="S88" s="1440">
        <f t="shared" si="106"/>
      </c>
      <c r="T88" s="1440">
        <f t="shared" si="106"/>
      </c>
      <c r="U88" s="1440">
        <f t="shared" si="106"/>
      </c>
      <c r="V88" s="1440">
        <f t="shared" si="107"/>
      </c>
      <c r="W88" s="1440">
        <f t="shared" si="107"/>
      </c>
      <c r="X88" s="1440">
        <f t="shared" ref="X88" si="117">(X34/X$53)*$A34</f>
      </c>
    </row>
    <row r="89" spans="2:24" outlineLevel="1">
      <c r="B89" s="1427" t="str">
        <f t="shared" si="57"/>
      </c>
      <c r="D89" s="1440">
        <f t="shared" ref="D89:O89" si="118">(D35/D$53)*$A35</f>
      </c>
      <c r="E89" s="1440">
        <f t="shared" si="118"/>
      </c>
      <c r="F89" s="1440">
        <f t="shared" si="118"/>
      </c>
      <c r="G89" s="1440">
        <f t="shared" si="118"/>
      </c>
      <c r="H89" s="1440">
        <f t="shared" si="118"/>
      </c>
      <c r="I89" s="1440">
        <f t="shared" si="118"/>
      </c>
      <c r="J89" s="1440">
        <f t="shared" si="118"/>
      </c>
      <c r="K89" s="1440">
        <f t="shared" si="118"/>
      </c>
      <c r="L89" s="1440">
        <f t="shared" si="118"/>
      </c>
      <c r="M89" s="1440">
        <f t="shared" si="118"/>
      </c>
      <c r="N89" s="1440">
        <f t="shared" si="118"/>
      </c>
      <c r="O89" s="1440">
        <f t="shared" si="118"/>
      </c>
      <c r="P89" s="1440">
        <f t="shared" si="59"/>
      </c>
      <c r="Q89" s="1440">
        <f t="shared" si="60"/>
      </c>
      <c r="R89" s="1440">
        <f t="shared" si="106"/>
      </c>
      <c r="S89" s="1440">
        <f t="shared" si="106"/>
      </c>
      <c r="T89" s="1440">
        <f t="shared" si="106"/>
      </c>
      <c r="U89" s="1440">
        <f t="shared" si="106"/>
      </c>
      <c r="V89" s="1440">
        <f t="shared" si="107"/>
      </c>
      <c r="W89" s="1440">
        <f t="shared" si="107"/>
      </c>
      <c r="X89" s="1440">
        <f t="shared" ref="X89" si="119">(X35/X$53)*$A35</f>
      </c>
    </row>
    <row r="90" spans="2:24" outlineLevel="1">
      <c r="B90" s="1427" t="str">
        <f t="shared" si="57"/>
      </c>
      <c r="D90" s="1440">
        <f t="shared" ref="D90:O90" si="120">(D36/D$53)*$A36</f>
      </c>
      <c r="E90" s="1440">
        <f t="shared" si="120"/>
      </c>
      <c r="F90" s="1440">
        <f t="shared" si="120"/>
      </c>
      <c r="G90" s="1440">
        <f t="shared" si="120"/>
      </c>
      <c r="H90" s="1440">
        <f t="shared" si="120"/>
      </c>
      <c r="I90" s="1440">
        <f t="shared" si="120"/>
      </c>
      <c r="J90" s="1440">
        <f t="shared" si="120"/>
      </c>
      <c r="K90" s="1440">
        <f t="shared" si="120"/>
      </c>
      <c r="L90" s="1440">
        <f t="shared" si="120"/>
      </c>
      <c r="M90" s="1440">
        <f t="shared" si="120"/>
      </c>
      <c r="N90" s="1440">
        <f t="shared" si="120"/>
      </c>
      <c r="O90" s="1440">
        <f t="shared" si="120"/>
      </c>
      <c r="P90" s="1440">
        <f t="shared" si="59"/>
      </c>
      <c r="Q90" s="1440">
        <f t="shared" si="60"/>
      </c>
      <c r="R90" s="1440">
        <f t="shared" si="106"/>
      </c>
      <c r="S90" s="1440">
        <f t="shared" si="106"/>
      </c>
      <c r="T90" s="1440">
        <f t="shared" si="106"/>
      </c>
      <c r="U90" s="1440">
        <f t="shared" si="106"/>
      </c>
      <c r="V90" s="1440">
        <f t="shared" si="107"/>
      </c>
      <c r="W90" s="1440">
        <f t="shared" si="107"/>
      </c>
      <c r="X90" s="1440">
        <f t="shared" ref="X90" si="121">(X36/X$53)*$A36</f>
      </c>
    </row>
    <row r="91" spans="2:24" outlineLevel="1">
      <c r="B91" s="1427" t="str">
        <f t="shared" si="57"/>
      </c>
      <c r="D91" s="1440">
        <f t="shared" ref="D91:O91" si="122">(D37/D$53)*$A37</f>
      </c>
      <c r="E91" s="1440">
        <f t="shared" si="122"/>
      </c>
      <c r="F91" s="1440">
        <f t="shared" si="122"/>
      </c>
      <c r="G91" s="1440">
        <f t="shared" si="122"/>
      </c>
      <c r="H91" s="1440">
        <f t="shared" si="122"/>
      </c>
      <c r="I91" s="1440">
        <f t="shared" si="122"/>
      </c>
      <c r="J91" s="1440">
        <f t="shared" si="122"/>
      </c>
      <c r="K91" s="1440">
        <f t="shared" si="122"/>
      </c>
      <c r="L91" s="1440">
        <f t="shared" si="122"/>
      </c>
      <c r="M91" s="1440">
        <f t="shared" si="122"/>
      </c>
      <c r="N91" s="1440">
        <f t="shared" si="122"/>
      </c>
      <c r="O91" s="1440">
        <f t="shared" si="122"/>
      </c>
      <c r="P91" s="1440">
        <f t="shared" si="59"/>
      </c>
      <c r="Q91" s="1440">
        <f t="shared" si="60"/>
      </c>
      <c r="R91" s="1440">
        <f t="shared" si="106"/>
      </c>
      <c r="S91" s="1440">
        <f t="shared" si="106"/>
      </c>
      <c r="T91" s="1440">
        <f t="shared" si="106"/>
      </c>
      <c r="U91" s="1440">
        <f t="shared" si="106"/>
      </c>
      <c r="V91" s="1440">
        <f t="shared" si="107"/>
      </c>
      <c r="W91" s="1440">
        <f t="shared" si="107"/>
      </c>
      <c r="X91" s="1440">
        <f t="shared" ref="X91" si="123">(X37/X$53)*$A37</f>
      </c>
    </row>
    <row r="92" spans="2:24" outlineLevel="1">
      <c r="B92" s="1427" t="str">
        <f t="shared" si="57"/>
      </c>
      <c r="D92" s="1440">
        <f t="shared" ref="D92:O92" si="124">(D38/D$53)*$A38</f>
      </c>
      <c r="E92" s="1440">
        <f t="shared" si="124"/>
      </c>
      <c r="F92" s="1440">
        <f t="shared" si="124"/>
      </c>
      <c r="G92" s="1440">
        <f t="shared" si="124"/>
      </c>
      <c r="H92" s="1440">
        <f t="shared" si="124"/>
      </c>
      <c r="I92" s="1440">
        <f t="shared" si="124"/>
      </c>
      <c r="J92" s="1440">
        <f t="shared" si="124"/>
      </c>
      <c r="K92" s="1440">
        <f t="shared" si="124"/>
      </c>
      <c r="L92" s="1440">
        <f t="shared" si="124"/>
      </c>
      <c r="M92" s="1440">
        <f t="shared" si="124"/>
      </c>
      <c r="N92" s="1440">
        <f t="shared" si="124"/>
      </c>
      <c r="O92" s="1440">
        <f t="shared" si="124"/>
      </c>
      <c r="P92" s="1440">
        <f t="shared" si="59"/>
      </c>
      <c r="Q92" s="1440">
        <f t="shared" si="60"/>
      </c>
      <c r="R92" s="1440">
        <f t="shared" si="106"/>
      </c>
      <c r="S92" s="1440">
        <f t="shared" si="106"/>
      </c>
      <c r="T92" s="1440">
        <f t="shared" si="106"/>
      </c>
      <c r="U92" s="1440">
        <f t="shared" si="106"/>
      </c>
      <c r="V92" s="1440">
        <f t="shared" si="107"/>
      </c>
      <c r="W92" s="1440">
        <f t="shared" si="107"/>
      </c>
      <c r="X92" s="1440">
        <f t="shared" ref="X92" si="125">(X38/X$53)*$A38</f>
      </c>
    </row>
    <row r="93" spans="2:24" outlineLevel="1">
      <c r="B93" s="1427" t="str">
        <f t="shared" si="57"/>
      </c>
      <c r="D93" s="1440">
        <f t="shared" ref="D93:O93" si="126">(D39/D$53)*$A39</f>
      </c>
      <c r="E93" s="1440">
        <f t="shared" si="126"/>
      </c>
      <c r="F93" s="1440">
        <f t="shared" si="126"/>
      </c>
      <c r="G93" s="1440">
        <f t="shared" si="126"/>
      </c>
      <c r="H93" s="1440">
        <f t="shared" si="126"/>
      </c>
      <c r="I93" s="1440">
        <f t="shared" si="126"/>
      </c>
      <c r="J93" s="1440">
        <f t="shared" si="126"/>
      </c>
      <c r="K93" s="1440">
        <f t="shared" si="126"/>
      </c>
      <c r="L93" s="1440">
        <f t="shared" si="126"/>
      </c>
      <c r="M93" s="1440">
        <f t="shared" si="126"/>
      </c>
      <c r="N93" s="1440">
        <f t="shared" si="126"/>
      </c>
      <c r="O93" s="1440">
        <f t="shared" si="126"/>
      </c>
      <c r="P93" s="1440">
        <f t="shared" si="59"/>
      </c>
      <c r="Q93" s="1440">
        <f t="shared" si="60"/>
      </c>
      <c r="R93" s="1440">
        <f t="shared" si="106"/>
      </c>
      <c r="S93" s="1440">
        <f t="shared" si="106"/>
      </c>
      <c r="T93" s="1440">
        <f t="shared" si="106"/>
      </c>
      <c r="U93" s="1440">
        <f t="shared" si="106"/>
      </c>
      <c r="V93" s="1440">
        <f t="shared" si="107"/>
      </c>
      <c r="W93" s="1440">
        <f t="shared" si="107"/>
      </c>
      <c r="X93" s="1440">
        <f t="shared" ref="X93" si="127">(X39/X$53)*$A39</f>
      </c>
    </row>
    <row r="94" spans="2:24" outlineLevel="1">
      <c r="B94" s="1427" t="str">
        <f t="shared" si="57"/>
      </c>
      <c r="D94" s="1440">
        <f t="shared" ref="D94:O94" si="128">(D40/D$53)*$A40</f>
      </c>
      <c r="E94" s="1440">
        <f t="shared" si="128"/>
      </c>
      <c r="F94" s="1440">
        <f t="shared" si="128"/>
      </c>
      <c r="G94" s="1440">
        <f t="shared" si="128"/>
      </c>
      <c r="H94" s="1440">
        <f t="shared" si="128"/>
      </c>
      <c r="I94" s="1440">
        <f t="shared" si="128"/>
      </c>
      <c r="J94" s="1440">
        <f t="shared" si="128"/>
      </c>
      <c r="K94" s="1440">
        <f t="shared" si="128"/>
      </c>
      <c r="L94" s="1440">
        <f t="shared" si="128"/>
      </c>
      <c r="M94" s="1440">
        <f t="shared" si="128"/>
      </c>
      <c r="N94" s="1440">
        <f t="shared" si="128"/>
      </c>
      <c r="O94" s="1440">
        <f t="shared" si="128"/>
      </c>
      <c r="P94" s="1440">
        <f t="shared" si="59"/>
      </c>
      <c r="Q94" s="1440">
        <f t="shared" si="60"/>
      </c>
      <c r="R94" s="1440">
        <f t="shared" si="106"/>
      </c>
      <c r="S94" s="1440">
        <f t="shared" si="106"/>
      </c>
      <c r="T94" s="1440">
        <f t="shared" si="106"/>
      </c>
      <c r="U94" s="1440">
        <f t="shared" si="106"/>
      </c>
      <c r="V94" s="1440">
        <f t="shared" si="107"/>
      </c>
      <c r="W94" s="1440">
        <f t="shared" si="107"/>
      </c>
      <c r="X94" s="1440">
        <f t="shared" ref="X94" si="129">(X40/X$53)*$A40</f>
      </c>
    </row>
    <row r="95" spans="2:24" outlineLevel="1">
      <c r="B95" s="1427" t="str">
        <f t="shared" si="57"/>
      </c>
      <c r="D95" s="1440">
        <f t="shared" ref="D95:O95" si="130">(D42/D$53)*$A42</f>
      </c>
      <c r="E95" s="1440">
        <f t="shared" si="130"/>
      </c>
      <c r="F95" s="1440">
        <f t="shared" si="130"/>
      </c>
      <c r="G95" s="1440">
        <f t="shared" si="130"/>
      </c>
      <c r="H95" s="1440">
        <f t="shared" si="130"/>
      </c>
      <c r="I95" s="1440">
        <f t="shared" si="130"/>
      </c>
      <c r="J95" s="1440">
        <f t="shared" si="130"/>
      </c>
      <c r="K95" s="1440">
        <f t="shared" si="130"/>
      </c>
      <c r="L95" s="1440">
        <f t="shared" si="130"/>
      </c>
      <c r="M95" s="1440">
        <f t="shared" si="130"/>
      </c>
      <c r="N95" s="1440">
        <f t="shared" si="130"/>
      </c>
      <c r="O95" s="1440">
        <f t="shared" si="130"/>
      </c>
      <c r="P95" s="1440">
        <f t="shared" si="59"/>
      </c>
      <c r="Q95" s="1440">
        <f t="shared" si="60"/>
      </c>
      <c r="R95" s="1440">
        <f t="shared" si="106"/>
      </c>
      <c r="S95" s="1440">
        <f t="shared" si="106"/>
      </c>
      <c r="T95" s="1440">
        <f t="shared" si="106"/>
      </c>
      <c r="U95" s="1440">
        <f t="shared" si="106"/>
      </c>
      <c r="V95" s="1440">
        <f t="shared" si="107"/>
      </c>
      <c r="W95" s="1440">
        <f t="shared" si="107"/>
      </c>
      <c r="X95" s="1440">
        <f t="shared" ref="X95" si="131">(X41/X$53)*$A41</f>
      </c>
    </row>
    <row r="96" spans="2:24" outlineLevel="1">
      <c r="B96" s="1427" t="str">
        <f t="shared" si="57"/>
      </c>
      <c r="D96" s="1440">
        <f t="shared" ref="D96:O96" si="132">(D41/D$53)*$A41</f>
      </c>
      <c r="E96" s="1440">
        <f t="shared" si="132"/>
      </c>
      <c r="F96" s="1440">
        <f t="shared" si="132"/>
      </c>
      <c r="G96" s="1440">
        <f t="shared" si="132"/>
      </c>
      <c r="H96" s="1440">
        <f t="shared" si="132"/>
      </c>
      <c r="I96" s="1440">
        <f t="shared" si="132"/>
      </c>
      <c r="J96" s="1440">
        <f t="shared" si="132"/>
      </c>
      <c r="K96" s="1440">
        <f t="shared" si="132"/>
      </c>
      <c r="L96" s="1440">
        <f t="shared" si="132"/>
      </c>
      <c r="M96" s="1440">
        <f t="shared" si="132"/>
      </c>
      <c r="N96" s="1440">
        <f t="shared" si="132"/>
      </c>
      <c r="O96" s="1440">
        <f t="shared" si="132"/>
      </c>
      <c r="P96" s="1440">
        <f t="shared" si="59"/>
      </c>
      <c r="Q96" s="1440">
        <f t="shared" si="60"/>
      </c>
      <c r="R96" s="1440">
        <f t="shared" si="106"/>
      </c>
      <c r="S96" s="1440">
        <f t="shared" si="106"/>
      </c>
      <c r="T96" s="1440">
        <f t="shared" si="106"/>
      </c>
      <c r="U96" s="1440">
        <f t="shared" si="106"/>
      </c>
      <c r="V96" s="1440">
        <f t="shared" si="107"/>
      </c>
      <c r="W96" s="1440">
        <f t="shared" si="107"/>
      </c>
      <c r="X96" s="1440">
        <f t="shared" ref="X96" si="133">(X42/X$53)*$A42</f>
      </c>
    </row>
    <row r="97" spans="2:24" outlineLevel="1">
      <c r="B97" s="1427" t="str">
        <f t="shared" si="57"/>
      </c>
      <c r="D97" s="1440">
        <f t="shared" ref="D97:P97" si="134">(D43/D$53)*$A43</f>
      </c>
      <c r="E97" s="1440">
        <f t="shared" si="134"/>
      </c>
      <c r="F97" s="1440">
        <f t="shared" si="134"/>
      </c>
      <c r="G97" s="1440">
        <f t="shared" si="134"/>
      </c>
      <c r="H97" s="1440">
        <f t="shared" si="134"/>
      </c>
      <c r="I97" s="1440">
        <f t="shared" si="134"/>
      </c>
      <c r="J97" s="1440">
        <f t="shared" si="134"/>
      </c>
      <c r="K97" s="1440">
        <f t="shared" si="134"/>
      </c>
      <c r="L97" s="1440">
        <f t="shared" si="134"/>
      </c>
      <c r="M97" s="1440">
        <f t="shared" si="134"/>
      </c>
      <c r="N97" s="1440">
        <f t="shared" si="134"/>
      </c>
      <c r="O97" s="1440">
        <f t="shared" si="134"/>
      </c>
      <c r="P97" s="1440">
        <f t="shared" si="134"/>
      </c>
      <c r="Q97" s="1440">
        <f t="shared" si="60"/>
      </c>
      <c r="R97" s="1440">
        <f t="shared" si="106"/>
      </c>
      <c r="S97" s="1440">
        <f t="shared" si="106"/>
      </c>
      <c r="T97" s="1440">
        <f t="shared" si="106"/>
      </c>
      <c r="U97" s="1440">
        <f t="shared" si="106"/>
      </c>
      <c r="V97" s="1440">
        <f t="shared" si="107"/>
      </c>
      <c r="W97" s="1440">
        <f t="shared" si="107"/>
      </c>
      <c r="X97" s="1440">
        <f t="shared" ref="X97" si="135">(X43/X$53)*$A43</f>
      </c>
    </row>
    <row r="98" spans="2:24" outlineLevel="1">
      <c r="B98" s="1427" t="str">
        <f t="shared" si="57"/>
      </c>
      <c r="D98" s="1440">
        <f t="shared" ref="D98:O98" si="136">(D45/D$53)*$A45</f>
      </c>
      <c r="E98" s="1440">
        <f t="shared" si="136"/>
      </c>
      <c r="F98" s="1440">
        <f t="shared" si="136"/>
      </c>
      <c r="G98" s="1440">
        <f t="shared" si="136"/>
      </c>
      <c r="H98" s="1440">
        <f t="shared" si="136"/>
      </c>
      <c r="I98" s="1440">
        <f t="shared" si="136"/>
      </c>
      <c r="J98" s="1440">
        <f t="shared" si="136"/>
      </c>
      <c r="K98" s="1440">
        <f t="shared" si="136"/>
      </c>
      <c r="L98" s="1440">
        <f t="shared" si="136"/>
      </c>
      <c r="M98" s="1440">
        <f t="shared" si="136"/>
      </c>
      <c r="N98" s="1440">
        <f t="shared" si="136"/>
      </c>
      <c r="O98" s="1440">
        <f t="shared" si="136"/>
      </c>
      <c r="P98" s="1440">
        <f t="shared" ref="P98:P106" si="137">(P44/P$53)*$A44</f>
      </c>
      <c r="Q98" s="1440">
        <f t="shared" si="60"/>
      </c>
      <c r="R98" s="1440">
        <f t="shared" si="106"/>
      </c>
      <c r="S98" s="1440">
        <f t="shared" si="106"/>
      </c>
      <c r="T98" s="1440">
        <f t="shared" si="106"/>
      </c>
      <c r="U98" s="1440">
        <f t="shared" si="106"/>
      </c>
      <c r="V98" s="1440">
        <f t="shared" si="107"/>
      </c>
      <c r="W98" s="1440">
        <f t="shared" si="107"/>
      </c>
      <c r="X98" s="1440">
        <f t="shared" ref="X98" si="138">(X44/X$53)*$A44</f>
      </c>
    </row>
    <row r="99" spans="2:24" outlineLevel="1">
      <c r="B99" s="1427" t="str">
        <f t="shared" si="57"/>
      </c>
      <c r="D99" s="1440">
        <f t="shared" ref="D99:O99" si="139">(D46/D$53)*$A46</f>
      </c>
      <c r="E99" s="1440">
        <f t="shared" si="139"/>
      </c>
      <c r="F99" s="1440">
        <f t="shared" si="139"/>
      </c>
      <c r="G99" s="1440">
        <f t="shared" si="139"/>
      </c>
      <c r="H99" s="1440">
        <f t="shared" si="139"/>
      </c>
      <c r="I99" s="1440">
        <f t="shared" si="139"/>
      </c>
      <c r="J99" s="1440">
        <f t="shared" si="139"/>
      </c>
      <c r="K99" s="1440">
        <f t="shared" si="139"/>
      </c>
      <c r="L99" s="1440">
        <f t="shared" si="139"/>
      </c>
      <c r="M99" s="1440">
        <f t="shared" si="139"/>
      </c>
      <c r="N99" s="1440">
        <f t="shared" si="139"/>
      </c>
      <c r="O99" s="1440">
        <f t="shared" si="139"/>
      </c>
      <c r="P99" s="1440">
        <f t="shared" si="137"/>
      </c>
      <c r="Q99" s="1440">
        <f t="shared" si="60"/>
      </c>
      <c r="R99" s="1440">
        <f t="shared" si="106"/>
      </c>
      <c r="S99" s="1440">
        <f t="shared" si="106"/>
      </c>
      <c r="T99" s="1440">
        <f t="shared" si="106"/>
      </c>
      <c r="U99" s="1440">
        <f t="shared" si="106"/>
      </c>
      <c r="V99" s="1440">
        <f t="shared" si="107"/>
      </c>
      <c r="W99" s="1440">
        <f t="shared" si="107"/>
      </c>
      <c r="X99" s="1440">
        <f t="shared" ref="X99" si="140">(X45/X$53)*$A45</f>
      </c>
    </row>
    <row r="100" spans="2:24" outlineLevel="1">
      <c r="B100" s="1427" t="str">
        <f t="shared" si="57"/>
      </c>
      <c r="D100" s="1440">
        <f t="shared" ref="D100:O100" si="141">(D47/D$53)*$A47</f>
      </c>
      <c r="E100" s="1440">
        <f t="shared" si="141"/>
      </c>
      <c r="F100" s="1440">
        <f t="shared" si="141"/>
      </c>
      <c r="G100" s="1440">
        <f t="shared" si="141"/>
      </c>
      <c r="H100" s="1440">
        <f t="shared" si="141"/>
      </c>
      <c r="I100" s="1440">
        <f t="shared" si="141"/>
      </c>
      <c r="J100" s="1440">
        <f t="shared" si="141"/>
      </c>
      <c r="K100" s="1440">
        <f t="shared" si="141"/>
      </c>
      <c r="L100" s="1440">
        <f t="shared" si="141"/>
      </c>
      <c r="M100" s="1440">
        <f t="shared" si="141"/>
      </c>
      <c r="N100" s="1440">
        <f t="shared" si="141"/>
      </c>
      <c r="O100" s="1440">
        <f t="shared" si="141"/>
      </c>
      <c r="P100" s="1440">
        <f t="shared" si="137"/>
      </c>
      <c r="Q100" s="1440">
        <f t="shared" si="60"/>
      </c>
      <c r="R100" s="1440">
        <f t="shared" si="106"/>
      </c>
      <c r="S100" s="1440">
        <f t="shared" si="106"/>
      </c>
      <c r="T100" s="1440">
        <f t="shared" si="106"/>
      </c>
      <c r="U100" s="1440">
        <f t="shared" si="106"/>
      </c>
      <c r="V100" s="1440">
        <f t="shared" si="107"/>
      </c>
      <c r="W100" s="1440">
        <f t="shared" si="107"/>
      </c>
      <c r="X100" s="1440">
        <f t="shared" ref="X100" si="142">(X46/X$53)*$A46</f>
      </c>
    </row>
    <row r="101" spans="2:24" outlineLevel="1">
      <c r="B101" s="1427" t="str">
        <f t="shared" si="57"/>
      </c>
      <c r="D101" s="1440">
        <f t="shared" ref="D101:O101" si="143">(D48/D$53)*$A48</f>
      </c>
      <c r="E101" s="1440">
        <f t="shared" si="143"/>
      </c>
      <c r="F101" s="1440">
        <f t="shared" si="143"/>
      </c>
      <c r="G101" s="1440">
        <f t="shared" si="143"/>
      </c>
      <c r="H101" s="1440">
        <f t="shared" si="143"/>
      </c>
      <c r="I101" s="1440">
        <f t="shared" si="143"/>
      </c>
      <c r="J101" s="1440">
        <f t="shared" si="143"/>
      </c>
      <c r="K101" s="1440">
        <f t="shared" si="143"/>
      </c>
      <c r="L101" s="1440">
        <f t="shared" si="143"/>
      </c>
      <c r="M101" s="1440">
        <f t="shared" si="143"/>
      </c>
      <c r="N101" s="1440">
        <f t="shared" si="143"/>
      </c>
      <c r="O101" s="1440">
        <f t="shared" si="143"/>
      </c>
      <c r="P101" s="1440">
        <f t="shared" si="137"/>
      </c>
      <c r="Q101" s="1440">
        <f t="shared" si="60"/>
      </c>
      <c r="R101" s="1440">
        <f t="shared" si="106"/>
      </c>
      <c r="S101" s="1440">
        <f t="shared" si="106"/>
      </c>
      <c r="T101" s="1440">
        <f t="shared" si="106"/>
      </c>
      <c r="U101" s="1440">
        <f t="shared" si="106"/>
      </c>
      <c r="V101" s="1440">
        <f t="shared" si="107"/>
      </c>
      <c r="W101" s="1440">
        <f t="shared" si="107"/>
      </c>
      <c r="X101" s="1440">
        <f t="shared" ref="X101" si="144">(X47/X$53)*$A47</f>
      </c>
    </row>
    <row r="102" spans="2:24" outlineLevel="1">
      <c r="B102" s="1427" t="str">
        <f t="shared" si="57"/>
      </c>
      <c r="D102" s="1440">
        <f t="shared" ref="D102:O102" si="145">(D49/D$53)*$A49</f>
      </c>
      <c r="E102" s="1440">
        <f t="shared" si="145"/>
      </c>
      <c r="F102" s="1440">
        <f t="shared" si="145"/>
      </c>
      <c r="G102" s="1440">
        <f t="shared" si="145"/>
      </c>
      <c r="H102" s="1440">
        <f t="shared" si="145"/>
      </c>
      <c r="I102" s="1440">
        <f t="shared" si="145"/>
      </c>
      <c r="J102" s="1440">
        <f t="shared" si="145"/>
      </c>
      <c r="K102" s="1440">
        <f t="shared" si="145"/>
      </c>
      <c r="L102" s="1440">
        <f t="shared" si="145"/>
      </c>
      <c r="M102" s="1440">
        <f t="shared" si="145"/>
      </c>
      <c r="N102" s="1440">
        <f t="shared" si="145"/>
      </c>
      <c r="O102" s="1440">
        <f t="shared" si="145"/>
      </c>
      <c r="P102" s="1440">
        <f t="shared" si="137"/>
      </c>
      <c r="Q102" s="1440">
        <f t="shared" si="60"/>
      </c>
      <c r="R102" s="1440">
        <f t="shared" ref="R102:U106" si="146">(R48/R$53)*$A48</f>
      </c>
      <c r="S102" s="1440">
        <f t="shared" si="146"/>
      </c>
      <c r="T102" s="1440">
        <f t="shared" si="146"/>
      </c>
      <c r="U102" s="1440">
        <f t="shared" si="146"/>
      </c>
      <c r="V102" s="1440">
        <f t="shared" ref="V102:W106" si="147">(V48/V$53)*$A48</f>
      </c>
      <c r="W102" s="1440">
        <f t="shared" si="147"/>
      </c>
      <c r="X102" s="1440">
        <f t="shared" ref="X102" si="148">(X48/X$53)*$A48</f>
      </c>
    </row>
    <row r="103" spans="2:24" outlineLevel="1">
      <c r="B103" s="1427" t="str">
        <f t="shared" si="57"/>
      </c>
      <c r="D103" s="1440">
        <f t="shared" ref="D103:O103" si="149">(D52/D$53)*$A52</f>
      </c>
      <c r="E103" s="1440">
        <f t="shared" si="149"/>
      </c>
      <c r="F103" s="1440">
        <f t="shared" si="149"/>
      </c>
      <c r="G103" s="1440">
        <f t="shared" si="149"/>
      </c>
      <c r="H103" s="1440">
        <f t="shared" si="149"/>
      </c>
      <c r="I103" s="1440">
        <f t="shared" si="149"/>
      </c>
      <c r="J103" s="1440">
        <f t="shared" si="149"/>
      </c>
      <c r="K103" s="1440">
        <f t="shared" si="149"/>
      </c>
      <c r="L103" s="1440">
        <f t="shared" si="149"/>
      </c>
      <c r="M103" s="1440">
        <f t="shared" si="149"/>
      </c>
      <c r="N103" s="1440">
        <f t="shared" si="149"/>
      </c>
      <c r="O103" s="1440">
        <f t="shared" si="149"/>
      </c>
      <c r="P103" s="1440">
        <f t="shared" si="137"/>
      </c>
      <c r="Q103" s="1440">
        <f t="shared" si="60"/>
      </c>
      <c r="R103" s="1440">
        <f t="shared" si="146"/>
      </c>
      <c r="S103" s="1440">
        <f t="shared" si="146"/>
      </c>
      <c r="T103" s="1440">
        <f t="shared" si="146"/>
      </c>
      <c r="U103" s="1440">
        <f t="shared" si="146"/>
      </c>
      <c r="V103" s="1440">
        <f t="shared" si="147"/>
      </c>
      <c r="W103" s="1440">
        <f t="shared" si="147"/>
      </c>
      <c r="X103" s="1440">
        <f t="shared" ref="X103" si="150">(X49/X$53)*$A49</f>
      </c>
    </row>
    <row r="104" spans="2:24" outlineLevel="1">
      <c r="B104" s="1427" t="str">
        <f t="shared" si="57"/>
      </c>
      <c r="D104" s="1440"/>
      <c r="E104" s="1440"/>
      <c r="F104" s="1440"/>
      <c r="G104" s="1440"/>
      <c r="H104" s="1440"/>
      <c r="I104" s="1440"/>
      <c r="J104" s="1440"/>
      <c r="K104" s="1440"/>
      <c r="L104" s="1440"/>
      <c r="M104" s="1440"/>
      <c r="N104" s="1440"/>
      <c r="O104" s="1440"/>
      <c r="P104" s="1440">
        <f t="shared" si="137"/>
      </c>
      <c r="Q104" s="1440">
        <f t="shared" si="60"/>
      </c>
      <c r="R104" s="1440">
        <f t="shared" si="146"/>
      </c>
      <c r="S104" s="1440">
        <f t="shared" si="146"/>
      </c>
      <c r="T104" s="1440">
        <f t="shared" si="146"/>
      </c>
      <c r="U104" s="1440">
        <f t="shared" si="146"/>
      </c>
      <c r="V104" s="1440">
        <f t="shared" si="147"/>
      </c>
      <c r="W104" s="1440">
        <f t="shared" si="147"/>
      </c>
      <c r="X104" s="1440">
        <f t="shared" ref="X104" si="151">(X50/X$53)*$A50</f>
      </c>
    </row>
    <row r="105" spans="2:24" outlineLevel="1">
      <c r="B105" s="1427" t="str">
        <f t="shared" si="57"/>
      </c>
      <c r="D105" s="1440"/>
      <c r="E105" s="1440"/>
      <c r="F105" s="1440"/>
      <c r="G105" s="1440"/>
      <c r="H105" s="1440"/>
      <c r="I105" s="1440"/>
      <c r="J105" s="1440"/>
      <c r="K105" s="1440"/>
      <c r="L105" s="1440"/>
      <c r="M105" s="1440"/>
      <c r="N105" s="1440"/>
      <c r="O105" s="1440"/>
      <c r="P105" s="1440">
        <f t="shared" si="137"/>
      </c>
      <c r="Q105" s="1440">
        <f t="shared" si="60"/>
      </c>
      <c r="R105" s="1440">
        <f t="shared" si="146"/>
      </c>
      <c r="S105" s="1440">
        <f t="shared" si="146"/>
      </c>
      <c r="T105" s="1440">
        <f t="shared" si="146"/>
      </c>
      <c r="U105" s="1440">
        <f t="shared" si="146"/>
      </c>
      <c r="V105" s="1440">
        <f t="shared" si="147"/>
      </c>
      <c r="W105" s="1440">
        <f t="shared" si="147"/>
      </c>
      <c r="X105" s="1440">
        <f t="shared" ref="X105" si="152">(X51/X$53)*$A51</f>
      </c>
    </row>
    <row r="106" spans="2:24" outlineLevel="1">
      <c r="B106" s="1427" t="str">
        <f t="shared" si="57"/>
      </c>
      <c r="D106" s="1440"/>
      <c r="E106" s="1440"/>
      <c r="F106" s="1440"/>
      <c r="G106" s="1440"/>
      <c r="H106" s="1440"/>
      <c r="I106" s="1440"/>
      <c r="J106" s="1440"/>
      <c r="K106" s="1440"/>
      <c r="L106" s="1440"/>
      <c r="M106" s="1440"/>
      <c r="N106" s="1440"/>
      <c r="O106" s="1440"/>
      <c r="P106" s="1440">
        <f t="shared" si="137"/>
      </c>
      <c r="Q106" s="1440">
        <f t="shared" si="60"/>
      </c>
      <c r="R106" s="1440">
        <f t="shared" si="146"/>
      </c>
      <c r="S106" s="1440">
        <f t="shared" si="146"/>
      </c>
      <c r="T106" s="1440">
        <f t="shared" si="146"/>
      </c>
      <c r="U106" s="1440">
        <f t="shared" si="146"/>
      </c>
      <c r="V106" s="1440">
        <f t="shared" si="147"/>
      </c>
      <c r="W106" s="1440">
        <f t="shared" si="147"/>
      </c>
      <c r="X106" s="1440">
        <f t="shared" ref="X106" si="153">(X52/X$53)*$A52</f>
      </c>
    </row>
    <row r="107" spans="2:24">
      <c r="B107" s="1435" t="s">
        <v>721</v>
      </c>
      <c r="D107" s="1443">
        <f>SUM(D61:D106)</f>
      </c>
      <c r="E107" s="1443">
        <f t="shared" ref="E107:U107" si="154">SUM(E61:E106)</f>
      </c>
      <c r="F107" s="1443">
        <f t="shared" si="154"/>
      </c>
      <c r="G107" s="1443">
        <f t="shared" si="154"/>
      </c>
      <c r="H107" s="1443">
        <f t="shared" si="154"/>
      </c>
      <c r="I107" s="1443">
        <f t="shared" si="154"/>
      </c>
      <c r="J107" s="1443">
        <f t="shared" si="154"/>
      </c>
      <c r="K107" s="1443">
        <f t="shared" si="154"/>
      </c>
      <c r="L107" s="1443">
        <f t="shared" si="154"/>
      </c>
      <c r="M107" s="1443">
        <f t="shared" si="154"/>
      </c>
      <c r="N107" s="1443">
        <f t="shared" si="154"/>
      </c>
      <c r="O107" s="1443">
        <f t="shared" si="154"/>
      </c>
      <c r="P107" s="1443">
        <f t="shared" si="154"/>
      </c>
      <c r="Q107" s="1443">
        <f t="shared" si="154"/>
      </c>
      <c r="R107" s="1443">
        <f t="shared" si="154"/>
      </c>
      <c r="S107" s="1443">
        <f t="shared" si="154"/>
      </c>
      <c r="T107" s="1443">
        <f t="shared" si="154"/>
      </c>
      <c r="U107" s="1443">
        <f t="shared" si="154"/>
      </c>
      <c r="V107" s="1443">
        <f>SUM(V61:V106)</f>
      </c>
      <c r="W107" s="1443">
        <f>SUM(W61:W106)</f>
      </c>
      <c r="X107" s="1443">
        <f>SUM(X61:X106)</f>
      </c>
    </row>
    <row r="108" spans="2:24">
      <c r="X108" s="1430"/>
    </row>
    <row r="109" spans="2:24">
      <c r="X109" s="1430"/>
    </row>
    <row r="110" spans="2:24">
      <c r="X110" s="1430"/>
    </row>
    <row r="111" spans="2:24">
      <c r="B111" s="3" t="s">
        <v>722</v>
      </c>
      <c r="X111" s="1430"/>
    </row>
    <row r="112" spans="2:24">
      <c r="B112" s="946" t="s">
        <v>723</v>
      </c>
      <c r="D112" s="1451">
        <f>'Balance Sheet'!DS210</f>
      </c>
      <c r="E112" s="1452">
        <f>D115</f>
      </c>
      <c r="F112" s="1452">
        <f t="shared" ref="F112:S112" si="155">E115</f>
      </c>
      <c r="G112" s="1452">
        <f t="shared" si="155"/>
      </c>
      <c r="H112" s="1452">
        <f t="shared" si="155"/>
      </c>
      <c r="I112" s="1452">
        <f t="shared" si="155"/>
      </c>
      <c r="J112" s="1452">
        <f>I115</f>
      </c>
      <c r="K112" s="1452">
        <f>J115</f>
      </c>
      <c r="L112" s="1452">
        <f>K115</f>
      </c>
      <c r="M112" s="1452">
        <f>L115</f>
      </c>
      <c r="N112" s="1452">
        <f>I115</f>
      </c>
      <c r="O112" s="1452">
        <f t="shared" si="155"/>
      </c>
      <c r="P112" s="3452">
        <f t="shared" si="155"/>
      </c>
      <c r="Q112" s="3452">
        <f t="shared" si="155"/>
      </c>
      <c r="R112" s="3452">
        <f t="shared" si="155"/>
      </c>
      <c r="S112" s="3452">
        <f t="shared" si="155"/>
      </c>
      <c r="T112" s="3452">
        <f>S115</f>
      </c>
      <c r="U112" s="3452">
        <f>T115</f>
      </c>
      <c r="V112" s="3452">
        <f>U115</f>
      </c>
      <c r="W112" s="3452">
        <f>V115</f>
      </c>
      <c r="X112" s="3452">
        <f>W115</f>
      </c>
    </row>
    <row r="113" spans="2:24">
      <c r="B113" s="1446" t="s">
        <v>718</v>
      </c>
      <c r="D113" s="1430">
        <f>'Cash Flows'!DU45</f>
      </c>
      <c r="E113" s="1452">
        <f>E56-D56</f>
      </c>
      <c r="F113" s="1452">
        <f>F56-E56</f>
      </c>
      <c r="G113" s="1452">
        <f>G56-F56</f>
      </c>
      <c r="H113" s="1452">
        <f>H56-G56</f>
      </c>
      <c r="I113" s="1452">
        <f>SUM(E113:H113)</f>
      </c>
      <c r="J113" s="1452">
        <f>J56-I56</f>
      </c>
      <c r="K113" s="1452">
        <f>K56-J56</f>
      </c>
      <c r="L113" s="1452">
        <f>L56-K56</f>
      </c>
      <c r="M113" s="1452">
        <f>M56-L56</f>
      </c>
      <c r="N113" s="1452">
        <f>N56-I56</f>
      </c>
      <c r="O113" s="1452">
        <f t="shared" ref="O113:U113" si="156">O56-N56</f>
      </c>
      <c r="P113" s="3452">
        <f t="shared" si="156"/>
      </c>
      <c r="Q113" s="3452">
        <f t="shared" si="156"/>
      </c>
      <c r="R113" s="3452">
        <f t="shared" si="156"/>
      </c>
      <c r="S113" s="3452">
        <f t="shared" si="156"/>
      </c>
      <c r="T113" s="3452">
        <f t="shared" si="156"/>
      </c>
      <c r="U113" s="3452">
        <f t="shared" si="156"/>
      </c>
      <c r="V113" s="3452">
        <f>V56-U56</f>
      </c>
      <c r="W113" s="3452">
        <f>W56-V56</f>
      </c>
      <c r="X113" s="3452">
        <f>X56-W56</f>
      </c>
    </row>
    <row r="114" spans="2:24">
      <c r="B114" s="1446" t="s">
        <v>20</v>
      </c>
      <c r="D114" s="1452">
        <f>D115-D112-D113</f>
      </c>
      <c r="E114" s="1454">
        <v>0</v>
      </c>
      <c r="F114" s="1454">
        <v>0</v>
      </c>
      <c r="G114" s="1454">
        <v>0</v>
      </c>
      <c r="H114" s="1454">
        <v>0</v>
      </c>
      <c r="I114" s="1453">
        <f>SUM(E114:H114)</f>
      </c>
      <c r="J114" s="1454">
        <v>0</v>
      </c>
      <c r="K114" s="1454">
        <v>0</v>
      </c>
      <c r="L114" s="1454">
        <v>0</v>
      </c>
      <c r="M114" s="1454">
        <v>0</v>
      </c>
      <c r="N114" s="1454">
        <v>0</v>
      </c>
      <c r="O114" s="1454">
        <v>0</v>
      </c>
      <c r="P114" s="3453">
        <v>0</v>
      </c>
      <c r="Q114" s="3453">
        <v>0</v>
      </c>
      <c r="R114" s="3453">
        <v>0</v>
      </c>
      <c r="S114" s="3453">
        <v>0</v>
      </c>
      <c r="T114" s="3453">
        <v>0</v>
      </c>
      <c r="U114" s="3453">
        <v>0</v>
      </c>
      <c r="V114" s="3453">
        <v>0</v>
      </c>
      <c r="W114" s="3453">
        <v>0</v>
      </c>
      <c r="X114" s="3453">
        <v>0</v>
      </c>
    </row>
    <row r="115" spans="2:24">
      <c r="B115" s="3" t="s">
        <v>724</v>
      </c>
      <c r="D115" s="1452">
        <f>D56</f>
      </c>
      <c r="E115" s="1452">
        <f t="shared" ref="E115:S115" si="157">SUM(E112:E114)</f>
      </c>
      <c r="F115" s="1452">
        <f t="shared" si="157"/>
      </c>
      <c r="G115" s="1452">
        <f t="shared" si="157"/>
      </c>
      <c r="H115" s="1452">
        <f t="shared" si="157"/>
      </c>
      <c r="I115" s="1452">
        <f t="shared" si="157"/>
      </c>
      <c r="J115" s="1452">
        <f>SUM(J112:J114)</f>
      </c>
      <c r="K115" s="1452">
        <f>SUM(K112:K114)</f>
      </c>
      <c r="L115" s="1452">
        <f>SUM(L112:L114)</f>
      </c>
      <c r="M115" s="1452">
        <f>SUM(M112:M114)</f>
      </c>
      <c r="N115" s="1452">
        <f t="shared" si="157"/>
      </c>
      <c r="O115" s="1452">
        <f t="shared" si="157"/>
      </c>
      <c r="P115" s="3452">
        <f t="shared" si="157"/>
      </c>
      <c r="Q115" s="3452">
        <f t="shared" si="157"/>
      </c>
      <c r="R115" s="3452">
        <f t="shared" si="157"/>
      </c>
      <c r="S115" s="3452">
        <f t="shared" si="157"/>
      </c>
      <c r="T115" s="3452">
        <f>SUM(T112:T114)</f>
      </c>
      <c r="U115" s="3452">
        <f>SUM(U112:U114)</f>
      </c>
      <c r="V115" s="3452">
        <f>SUM(V112:V114)</f>
      </c>
      <c r="W115" s="3452">
        <f>SUM(W112:W114)</f>
      </c>
      <c r="X115" s="3452">
        <f>SUM(X112:X114)</f>
      </c>
    </row>
    <row r="116" spans="2:24">
      <c r="B116" s="1447"/>
      <c r="P116" s="3454"/>
      <c r="Q116" s="3454"/>
      <c r="R116" s="3454"/>
      <c r="S116" s="3454"/>
      <c r="T116" s="3454"/>
      <c r="U116" s="3454"/>
      <c r="V116" s="3454"/>
      <c r="W116" s="3454"/>
      <c r="X116" s="3454"/>
    </row>
    <row r="117" spans="2:24">
      <c r="B117" s="1448" t="s">
        <v>725</v>
      </c>
      <c r="P117" s="3454"/>
      <c r="Q117" s="3454"/>
      <c r="R117" s="3454"/>
      <c r="S117" s="3454"/>
      <c r="T117" s="3454"/>
      <c r="U117" s="3454"/>
      <c r="V117" s="3454"/>
      <c r="W117" s="3454"/>
      <c r="X117" s="3454"/>
    </row>
    <row r="118" spans="2:24">
      <c r="B118" s="1447" t="s">
        <v>726</v>
      </c>
      <c r="D118" s="2946">
        <f>'Balance Sheet'!DN14</f>
      </c>
      <c r="E118" s="1451">
        <f t="shared" ref="E118:M118" si="158">D125</f>
      </c>
      <c r="F118" s="1451">
        <f t="shared" si="158"/>
      </c>
      <c r="G118" s="1451">
        <f t="shared" si="158"/>
      </c>
      <c r="H118" s="1451">
        <f t="shared" si="158"/>
      </c>
      <c r="I118" s="1451">
        <f t="shared" si="158"/>
      </c>
      <c r="J118" s="1451">
        <f t="shared" si="158"/>
      </c>
      <c r="K118" s="1451">
        <f t="shared" si="158"/>
      </c>
      <c r="L118" s="1451">
        <f t="shared" si="158"/>
      </c>
      <c r="M118" s="1451">
        <f t="shared" si="158"/>
      </c>
      <c r="N118" s="1451">
        <f>I125</f>
      </c>
      <c r="O118" s="1451">
        <f t="shared" ref="O118:U118" si="159">N125</f>
      </c>
      <c r="P118" s="3455">
        <f t="shared" si="159"/>
      </c>
      <c r="Q118" s="3455">
        <f t="shared" si="159"/>
      </c>
      <c r="R118" s="3455">
        <f t="shared" si="159"/>
      </c>
      <c r="S118" s="3455">
        <f t="shared" si="159"/>
      </c>
      <c r="T118" s="3455">
        <f t="shared" si="159"/>
      </c>
      <c r="U118" s="3455">
        <f t="shared" ca="1" si="159"/>
      </c>
      <c r="V118" s="3455">
        <f t="shared" ref="V118:X119" ca="1" si="160">U125</f>
      </c>
      <c r="W118" s="3455">
        <f t="shared" ca="1" si="160"/>
      </c>
      <c r="X118" s="3455">
        <f t="shared" ca="1" si="160"/>
      </c>
    </row>
    <row r="119" spans="2:24">
      <c r="B119" s="1447" t="s">
        <v>727</v>
      </c>
      <c r="D119" s="2946">
        <f>'Balance Sheet'!DN15</f>
      </c>
      <c r="E119" s="1451">
        <f>D126</f>
      </c>
      <c r="F119" s="1451">
        <f t="shared" ref="F119:S119" si="161">E126</f>
      </c>
      <c r="G119" s="1451">
        <f t="shared" si="161"/>
      </c>
      <c r="H119" s="1451">
        <f t="shared" si="161"/>
      </c>
      <c r="I119" s="1451">
        <f t="shared" si="161"/>
      </c>
      <c r="J119" s="1451">
        <f>I126</f>
      </c>
      <c r="K119" s="1451">
        <f>J126</f>
      </c>
      <c r="L119" s="1451">
        <f>K126</f>
      </c>
      <c r="M119" s="1451">
        <f>L126</f>
      </c>
      <c r="N119" s="1451">
        <f>I126</f>
      </c>
      <c r="O119" s="1451">
        <f t="shared" si="161"/>
      </c>
      <c r="P119" s="3455">
        <f t="shared" si="161"/>
      </c>
      <c r="Q119" s="3455">
        <f t="shared" si="161"/>
      </c>
      <c r="R119" s="3455">
        <f t="shared" si="161"/>
      </c>
      <c r="S119" s="3455">
        <f t="shared" si="161"/>
      </c>
      <c r="T119" s="3455">
        <f>S126</f>
      </c>
      <c r="U119" s="3455">
        <f>T126</f>
      </c>
      <c r="V119" s="3455">
        <f t="shared" si="160"/>
      </c>
      <c r="W119" s="3455">
        <f t="shared" si="160"/>
      </c>
      <c r="X119" s="3455">
        <f t="shared" si="160"/>
      </c>
    </row>
    <row r="120" spans="2:24">
      <c r="B120" s="1447"/>
      <c r="P120" s="3454"/>
      <c r="Q120" s="3454"/>
      <c r="R120" s="3454"/>
      <c r="S120" s="3454"/>
      <c r="T120" s="3454"/>
      <c r="U120" s="3454"/>
      <c r="V120" s="3454"/>
      <c r="W120" s="3454"/>
      <c r="X120" s="3454"/>
    </row>
    <row r="121" spans="2:24">
      <c r="B121" s="1447" t="s">
        <v>728</v>
      </c>
      <c r="D121" s="2946">
        <f>'Balance Sheet'!DN31</f>
      </c>
      <c r="E121" s="1455">
        <f>D128</f>
      </c>
      <c r="F121" s="1455">
        <f>E128</f>
      </c>
      <c r="G121" s="1455">
        <f>F128</f>
      </c>
      <c r="H121" s="1455">
        <f>G128</f>
      </c>
      <c r="I121" s="1455">
        <f t="shared" ref="I121:S121" si="162">H128</f>
      </c>
      <c r="J121" s="1455">
        <f>I128</f>
      </c>
      <c r="K121" s="1455">
        <f>J128</f>
      </c>
      <c r="L121" s="1455">
        <f>K128</f>
      </c>
      <c r="M121" s="1455">
        <f>L128</f>
      </c>
      <c r="N121" s="1455">
        <f>I128</f>
      </c>
      <c r="O121" s="1455">
        <f t="shared" si="162"/>
      </c>
      <c r="P121" s="3456">
        <f t="shared" si="162"/>
      </c>
      <c r="Q121" s="3456">
        <f t="shared" si="162"/>
      </c>
      <c r="R121" s="3456">
        <f t="shared" si="162"/>
      </c>
      <c r="S121" s="3456">
        <f t="shared" si="162"/>
      </c>
      <c r="T121" s="3456">
        <f>S128</f>
      </c>
      <c r="U121" s="3456">
        <f>T128</f>
      </c>
      <c r="V121" s="3456">
        <f>U128</f>
      </c>
      <c r="W121" s="3456">
        <f>V128</f>
      </c>
      <c r="X121" s="3456">
        <f>W128</f>
      </c>
    </row>
    <row r="122" spans="2:24">
      <c r="B122" s="1447" t="s">
        <v>722</v>
      </c>
      <c r="D122" s="2946">
        <f>'Balance Sheet'!DN37</f>
      </c>
      <c r="E122" s="1455">
        <f>D129</f>
      </c>
      <c r="F122" s="1458">
        <f>E56</f>
      </c>
      <c r="G122" s="1458">
        <f>F56</f>
      </c>
      <c r="H122" s="1458">
        <f>G56</f>
      </c>
      <c r="I122" s="1458">
        <f>H56</f>
      </c>
      <c r="J122" s="1455">
        <f>I129</f>
      </c>
      <c r="K122" s="1458">
        <f>J56</f>
      </c>
      <c r="L122" s="1458">
        <f>K56</f>
      </c>
      <c r="M122" s="1458">
        <f>L56</f>
      </c>
      <c r="N122" s="1458">
        <f>I56</f>
      </c>
      <c r="O122" s="1458">
        <f t="shared" ref="O122:U122" si="163">N56</f>
      </c>
      <c r="P122" s="3457">
        <f t="shared" si="163"/>
      </c>
      <c r="Q122" s="3457">
        <f t="shared" si="163"/>
      </c>
      <c r="R122" s="3457">
        <f t="shared" si="163"/>
      </c>
      <c r="S122" s="3457">
        <f t="shared" si="163"/>
      </c>
      <c r="T122" s="3457">
        <f t="shared" si="163"/>
      </c>
      <c r="U122" s="3457">
        <f t="shared" si="163"/>
      </c>
      <c r="V122" s="3457">
        <f>U56</f>
      </c>
      <c r="W122" s="3457">
        <f>V56</f>
      </c>
      <c r="X122" s="3457">
        <f>W56</f>
      </c>
    </row>
    <row r="123" spans="2:24">
      <c r="B123" s="1447"/>
      <c r="P123" s="3454"/>
      <c r="Q123" s="3454"/>
      <c r="R123" s="3454"/>
      <c r="S123" s="3454"/>
      <c r="T123" s="3454"/>
      <c r="U123" s="3454"/>
      <c r="V123" s="3454"/>
      <c r="W123" s="3454"/>
      <c r="X123" s="3454"/>
    </row>
    <row r="124" spans="2:24">
      <c r="B124" s="1448" t="s">
        <v>729</v>
      </c>
      <c r="P124" s="3454"/>
      <c r="Q124" s="3454"/>
      <c r="R124" s="3454"/>
      <c r="S124" s="3454"/>
      <c r="T124" s="3454"/>
      <c r="U124" s="3454"/>
      <c r="V124" s="3454"/>
      <c r="W124" s="3454"/>
      <c r="X124" s="3454"/>
    </row>
    <row r="125" spans="2:24">
      <c r="B125" s="1447" t="s">
        <v>726</v>
      </c>
      <c r="D125" s="2946">
        <f>'Balance Sheet'!DS14</f>
      </c>
      <c r="E125" s="2946">
        <f>'Balance Sheet'!DT14</f>
      </c>
      <c r="F125" s="2946">
        <f>'Balance Sheet'!DU14</f>
      </c>
      <c r="G125" s="2946">
        <f>'Balance Sheet'!DV14</f>
      </c>
      <c r="H125" s="2946">
        <f>'Balance Sheet'!DW14</f>
      </c>
      <c r="I125" s="2946">
        <f>'Balance Sheet'!DX14</f>
      </c>
      <c r="J125" s="2946">
        <f>'Balance Sheet'!DY14</f>
      </c>
      <c r="K125" s="2946">
        <f>'Balance Sheet'!DZ14</f>
      </c>
      <c r="L125" s="2946">
        <f>'Balance Sheet'!EA14</f>
      </c>
      <c r="M125" s="2946">
        <f>'Balance Sheet'!EB14</f>
      </c>
      <c r="N125" s="2946">
        <f>'Balance Sheet'!EC14</f>
      </c>
      <c r="O125" s="2946">
        <f>'Balance Sheet'!EH14</f>
      </c>
      <c r="P125" s="3458">
        <f>'Balance Sheet'!EM14</f>
      </c>
      <c r="Q125" s="3458">
        <f>'Balance Sheet'!ER14</f>
      </c>
      <c r="R125" s="3458">
        <f>'Balance Sheet'!EW14</f>
      </c>
      <c r="S125" s="3458">
        <f>'Balance Sheet'!FB14</f>
      </c>
      <c r="T125" s="3458">
        <f ca="1">'Balance Sheet'!FC14</f>
      </c>
      <c r="U125" s="3458">
        <f ca="1">'Balance Sheet'!FD14</f>
      </c>
      <c r="V125" s="3458">
        <f ca="1">'Balance Sheet'!FE14</f>
      </c>
      <c r="W125" s="3458">
        <f ca="1">'Balance Sheet'!FF14</f>
      </c>
      <c r="X125" s="3458">
        <f ca="1">'Balance Sheet'!FG14</f>
      </c>
    </row>
    <row r="126" spans="2:24">
      <c r="B126" s="1447" t="s">
        <v>727</v>
      </c>
      <c r="D126" s="2946">
        <f>'Balance Sheet'!DS15</f>
      </c>
      <c r="E126" s="2946">
        <f>'Balance Sheet'!DT15</f>
      </c>
      <c r="F126" s="2946">
        <f>'Balance Sheet'!DU15</f>
      </c>
      <c r="G126" s="2946">
        <f>'Balance Sheet'!DV15</f>
      </c>
      <c r="H126" s="2946">
        <f>'Balance Sheet'!DW15</f>
      </c>
      <c r="I126" s="2946">
        <f>'Balance Sheet'!DX15</f>
      </c>
      <c r="J126" s="2946">
        <f>'Balance Sheet'!DY15</f>
      </c>
      <c r="K126" s="2946">
        <f>'Balance Sheet'!DZ15</f>
      </c>
      <c r="L126" s="2946">
        <f>'Balance Sheet'!EA15</f>
      </c>
      <c r="M126" s="2946">
        <f>'Balance Sheet'!EB15</f>
      </c>
      <c r="N126" s="2946">
        <f>'Balance Sheet'!EC15</f>
      </c>
      <c r="O126" s="2946">
        <f>'Balance Sheet'!EH15</f>
      </c>
      <c r="P126" s="3458">
        <f>'Balance Sheet'!EM15</f>
      </c>
      <c r="Q126" s="3458">
        <f>'Balance Sheet'!ER15</f>
      </c>
      <c r="R126" s="3458">
        <f>'Balance Sheet'!EW15</f>
      </c>
      <c r="S126" s="3458">
        <f>'Balance Sheet'!FB15</f>
      </c>
      <c r="T126" s="3458">
        <f>'Balance Sheet'!FC15</f>
      </c>
      <c r="U126" s="3458">
        <f>'Balance Sheet'!FD15</f>
      </c>
      <c r="V126" s="3458">
        <f>'Balance Sheet'!FE15</f>
      </c>
      <c r="W126" s="3458">
        <f>'Balance Sheet'!FF15</f>
      </c>
      <c r="X126" s="3458">
        <f>'Balance Sheet'!FG15</f>
      </c>
    </row>
    <row r="127" spans="2:24">
      <c r="B127" s="1447"/>
      <c r="P127" s="3454"/>
      <c r="Q127" s="3454"/>
      <c r="R127" s="3454"/>
      <c r="S127" s="3454"/>
      <c r="T127" s="3454"/>
      <c r="U127" s="3454"/>
      <c r="V127" s="3454"/>
      <c r="W127" s="3454"/>
      <c r="X127" s="3454"/>
    </row>
    <row r="128" spans="2:24">
      <c r="B128" s="1447" t="s">
        <v>728</v>
      </c>
      <c r="D128" s="2946">
        <f>'Balance Sheet'!DS31</f>
      </c>
      <c r="E128" s="2946">
        <f>'Balance Sheet'!DT31</f>
      </c>
      <c r="F128" s="2946">
        <f>'Balance Sheet'!DU31</f>
      </c>
      <c r="G128" s="2946">
        <f>'Balance Sheet'!DV31</f>
      </c>
      <c r="H128" s="2946">
        <f>'Balance Sheet'!DW31</f>
      </c>
      <c r="I128" s="2946">
        <f>'Balance Sheet'!DX31</f>
      </c>
      <c r="J128" s="2946">
        <f>'Balance Sheet'!DY31</f>
      </c>
      <c r="K128" s="2946">
        <f>'Balance Sheet'!DZ31</f>
      </c>
      <c r="L128" s="2946">
        <f>'Balance Sheet'!EA31</f>
      </c>
      <c r="M128" s="2946">
        <f>'Balance Sheet'!EB31</f>
      </c>
      <c r="N128" s="2946">
        <f>'Balance Sheet'!EC31</f>
      </c>
      <c r="O128" s="2946">
        <f>'Balance Sheet'!EH31</f>
      </c>
      <c r="P128" s="3458">
        <f>'Balance Sheet'!EM31</f>
      </c>
      <c r="Q128" s="3458">
        <f>'Balance Sheet'!ER31</f>
      </c>
      <c r="R128" s="3458">
        <f>'Balance Sheet'!EW31</f>
      </c>
      <c r="S128" s="3458">
        <f>'Balance Sheet'!FB31</f>
      </c>
      <c r="T128" s="3458">
        <f>'Balance Sheet'!FC31</f>
      </c>
      <c r="U128" s="3458">
        <f>'Balance Sheet'!FD31</f>
      </c>
      <c r="V128" s="3458">
        <f>'Balance Sheet'!FE31</f>
      </c>
      <c r="W128" s="3458">
        <f>'Balance Sheet'!FF31</f>
      </c>
      <c r="X128" s="3458">
        <f>'Balance Sheet'!FG31</f>
      </c>
    </row>
    <row r="129" spans="2:24">
      <c r="B129" s="1447" t="s">
        <v>722</v>
      </c>
      <c r="D129" s="2946">
        <f>'Balance Sheet'!DS37</f>
      </c>
      <c r="E129" s="2946">
        <f>'Balance Sheet'!DT37</f>
      </c>
      <c r="F129" s="2946">
        <f>'Balance Sheet'!DU37</f>
      </c>
      <c r="G129" s="2946">
        <f>'Balance Sheet'!DV37</f>
      </c>
      <c r="H129" s="2946">
        <f>'Balance Sheet'!DW37</f>
      </c>
      <c r="I129" s="2946">
        <f>'Balance Sheet'!DX37</f>
      </c>
      <c r="J129" s="2946">
        <f>'Balance Sheet'!DY37</f>
      </c>
      <c r="K129" s="2946">
        <f>'Balance Sheet'!DZ37</f>
      </c>
      <c r="L129" s="2946">
        <f>'Balance Sheet'!EA37</f>
      </c>
      <c r="M129" s="2946">
        <f>'Balance Sheet'!EB37</f>
      </c>
      <c r="N129" s="2946">
        <f>'Balance Sheet'!EC37</f>
      </c>
      <c r="O129" s="2946">
        <f>'Balance Sheet'!EH37</f>
      </c>
      <c r="P129" s="3458">
        <f>'Balance Sheet'!EM37</f>
      </c>
      <c r="Q129" s="3458">
        <f>'Balance Sheet'!ER37</f>
      </c>
      <c r="R129" s="3458">
        <f>'Balance Sheet'!EW37</f>
      </c>
      <c r="S129" s="3458">
        <f>'Balance Sheet'!FB37</f>
      </c>
      <c r="T129" s="3458">
        <f>'Balance Sheet'!FC37</f>
      </c>
      <c r="U129" s="3458">
        <f>'Balance Sheet'!FD37</f>
      </c>
      <c r="V129" s="3458">
        <f>'Balance Sheet'!FE37</f>
      </c>
      <c r="W129" s="3458">
        <f>'Balance Sheet'!FF37</f>
      </c>
      <c r="X129" s="3458">
        <f>'Balance Sheet'!FG37</f>
      </c>
    </row>
    <row r="130" spans="2:24">
      <c r="B130" s="1447"/>
      <c r="P130" s="3454"/>
      <c r="Q130" s="3454"/>
      <c r="R130" s="3454"/>
      <c r="S130" s="3454"/>
      <c r="T130" s="3454"/>
      <c r="U130" s="3454"/>
      <c r="V130" s="3454"/>
      <c r="W130" s="3454"/>
      <c r="X130" s="3454"/>
    </row>
    <row r="131" spans="2:24">
      <c r="B131" s="1448" t="s">
        <v>730</v>
      </c>
      <c r="P131" s="3454"/>
      <c r="Q131" s="3454"/>
      <c r="R131" s="3454"/>
      <c r="S131" s="3454"/>
      <c r="T131" s="3454"/>
      <c r="U131" s="3454"/>
      <c r="V131" s="3454"/>
      <c r="W131" s="3454"/>
      <c r="X131" s="3454"/>
    </row>
    <row r="132" spans="2:24">
      <c r="B132" s="1447" t="s">
        <v>726</v>
      </c>
      <c r="D132" s="1455">
        <f>AVERAGE(D125,D118)</f>
      </c>
      <c r="E132" s="1455">
        <f t="shared" ref="E132:S132" si="164">AVERAGE(E125,E118)</f>
      </c>
      <c r="F132" s="1455">
        <f t="shared" si="164"/>
      </c>
      <c r="G132" s="1455">
        <f t="shared" si="164"/>
      </c>
      <c r="H132" s="1455">
        <f t="shared" si="164"/>
      </c>
      <c r="I132" s="1455">
        <f t="shared" si="164"/>
      </c>
      <c r="J132" s="1455">
        <f t="shared" ref="J132:M133" si="165">AVERAGE(J125,J118)</f>
      </c>
      <c r="K132" s="1455">
        <f t="shared" si="165"/>
      </c>
      <c r="L132" s="1455">
        <f t="shared" si="165"/>
      </c>
      <c r="M132" s="1455">
        <f t="shared" si="165"/>
      </c>
      <c r="N132" s="1455">
        <f t="shared" si="164"/>
      </c>
      <c r="O132" s="1455">
        <f t="shared" si="164"/>
      </c>
      <c r="P132" s="3456">
        <f t="shared" si="164"/>
      </c>
      <c r="Q132" s="3456">
        <f t="shared" si="164"/>
      </c>
      <c r="R132" s="3456">
        <f t="shared" si="164"/>
      </c>
      <c r="S132" s="3456">
        <f t="shared" si="164"/>
      </c>
      <c r="T132" s="3456">
        <f t="shared" ref="T132:W133" ca="1" si="166">AVERAGE(T125,T118)</f>
      </c>
      <c r="U132" s="3456">
        <f t="shared" ca="1" si="166"/>
      </c>
      <c r="V132" s="3456">
        <f t="shared" ca="1" si="166"/>
      </c>
      <c r="W132" s="3456">
        <f t="shared" ca="1" si="166"/>
      </c>
      <c r="X132" s="3456">
        <f t="shared" ref="X132" ca="1" si="167">AVERAGE(X125,X118)</f>
      </c>
    </row>
    <row r="133" spans="2:24">
      <c r="B133" s="1447" t="s">
        <v>727</v>
      </c>
      <c r="D133" s="1455">
        <f>AVERAGE(D126,D119)</f>
      </c>
      <c r="E133" s="1455">
        <f t="shared" ref="E133:S133" si="168">AVERAGE(E126,E119)</f>
      </c>
      <c r="F133" s="1455">
        <f t="shared" si="168"/>
      </c>
      <c r="G133" s="1455">
        <f t="shared" si="168"/>
      </c>
      <c r="H133" s="1455">
        <f t="shared" si="168"/>
      </c>
      <c r="I133" s="1455">
        <f t="shared" si="168"/>
      </c>
      <c r="J133" s="1455">
        <f t="shared" si="165"/>
      </c>
      <c r="K133" s="1455">
        <f t="shared" si="165"/>
      </c>
      <c r="L133" s="1455">
        <f t="shared" si="165"/>
      </c>
      <c r="M133" s="1455">
        <f t="shared" si="165"/>
      </c>
      <c r="N133" s="1455">
        <f t="shared" si="168"/>
      </c>
      <c r="O133" s="1455">
        <f t="shared" si="168"/>
      </c>
      <c r="P133" s="3456">
        <f t="shared" si="168"/>
      </c>
      <c r="Q133" s="3456">
        <f t="shared" si="168"/>
      </c>
      <c r="R133" s="3456">
        <f t="shared" si="168"/>
      </c>
      <c r="S133" s="3456">
        <f t="shared" si="168"/>
      </c>
      <c r="T133" s="3456">
        <f t="shared" si="166"/>
      </c>
      <c r="U133" s="3456">
        <f t="shared" si="166"/>
      </c>
      <c r="V133" s="3456">
        <f t="shared" si="166"/>
      </c>
      <c r="W133" s="3456">
        <f t="shared" si="166"/>
      </c>
      <c r="X133" s="3456">
        <f t="shared" ref="X133" si="169">AVERAGE(X126,X119)</f>
      </c>
    </row>
    <row r="134" spans="2:24">
      <c r="B134" s="1447"/>
      <c r="P134" s="3454"/>
      <c r="Q134" s="3454"/>
      <c r="R134" s="3454"/>
      <c r="S134" s="3454"/>
      <c r="T134" s="3454"/>
      <c r="U134" s="3454"/>
      <c r="V134" s="3454"/>
      <c r="W134" s="3454"/>
      <c r="X134" s="3454"/>
    </row>
    <row r="135" spans="2:24">
      <c r="B135" s="1447" t="s">
        <v>728</v>
      </c>
      <c r="D135" s="1455">
        <f>AVERAGE(D128,D121)</f>
      </c>
      <c r="E135" s="1455">
        <f t="shared" ref="E135:S135" si="170">AVERAGE(E128,E121)</f>
      </c>
      <c r="F135" s="1455">
        <f t="shared" si="170"/>
      </c>
      <c r="G135" s="1455">
        <f t="shared" si="170"/>
      </c>
      <c r="H135" s="1455">
        <f t="shared" si="170"/>
      </c>
      <c r="I135" s="1455">
        <f t="shared" si="170"/>
      </c>
      <c r="J135" s="1455">
        <f t="shared" ref="J135:M136" si="171">AVERAGE(J128,J121)</f>
      </c>
      <c r="K135" s="1455">
        <f t="shared" si="171"/>
      </c>
      <c r="L135" s="1455">
        <f t="shared" si="171"/>
      </c>
      <c r="M135" s="1455">
        <f t="shared" si="171"/>
      </c>
      <c r="N135" s="1455">
        <f t="shared" si="170"/>
      </c>
      <c r="O135" s="1455">
        <f t="shared" si="170"/>
      </c>
      <c r="P135" s="3456">
        <f t="shared" si="170"/>
      </c>
      <c r="Q135" s="3456">
        <f>AVERAGE(Q128,Q121)</f>
      </c>
      <c r="R135" s="3456">
        <f t="shared" si="170"/>
      </c>
      <c r="S135" s="3456">
        <f t="shared" si="170"/>
      </c>
      <c r="T135" s="3456">
        <f t="shared" ref="T135:W136" si="172">AVERAGE(T128,T121)</f>
      </c>
      <c r="U135" s="3456">
        <f t="shared" si="172"/>
      </c>
      <c r="V135" s="3456">
        <f t="shared" si="172"/>
      </c>
      <c r="W135" s="3456">
        <f t="shared" si="172"/>
      </c>
      <c r="X135" s="3456">
        <f t="shared" ref="X135" si="173">AVERAGE(X128,X121)</f>
      </c>
    </row>
    <row r="136" spans="2:24">
      <c r="B136" s="1447" t="s">
        <v>722</v>
      </c>
      <c r="D136" s="1455">
        <f>AVERAGE(D129,D122)</f>
      </c>
      <c r="E136" s="1455">
        <f t="shared" ref="E136:S136" si="174">AVERAGE(E129,E122)</f>
      </c>
      <c r="F136" s="1455">
        <f t="shared" si="174"/>
      </c>
      <c r="G136" s="1455">
        <f t="shared" si="174"/>
      </c>
      <c r="H136" s="1455">
        <f t="shared" si="174"/>
      </c>
      <c r="I136" s="1455">
        <f t="shared" si="174"/>
      </c>
      <c r="J136" s="1455">
        <f t="shared" si="171"/>
      </c>
      <c r="K136" s="1455">
        <f t="shared" si="171"/>
      </c>
      <c r="L136" s="1455">
        <f t="shared" si="171"/>
      </c>
      <c r="M136" s="1455">
        <f t="shared" si="171"/>
      </c>
      <c r="N136" s="1455">
        <f t="shared" si="174"/>
      </c>
      <c r="O136" s="1455">
        <f t="shared" si="174"/>
      </c>
      <c r="P136" s="3456">
        <f t="shared" si="174"/>
      </c>
      <c r="Q136" s="3456">
        <f t="shared" si="174"/>
      </c>
      <c r="R136" s="3456">
        <f t="shared" si="174"/>
      </c>
      <c r="S136" s="3456">
        <f t="shared" si="174"/>
      </c>
      <c r="T136" s="3456">
        <f t="shared" si="172"/>
      </c>
      <c r="U136" s="3456">
        <f t="shared" si="172"/>
      </c>
      <c r="V136" s="3456">
        <f t="shared" si="172"/>
      </c>
      <c r="W136" s="3456">
        <f t="shared" si="172"/>
      </c>
      <c r="X136" s="3456">
        <f t="shared" ref="X136" si="175">AVERAGE(X129,X122)</f>
      </c>
    </row>
    <row r="137" spans="2:24">
      <c r="B137" s="1447"/>
      <c r="P137" s="3454"/>
      <c r="Q137" s="3454"/>
      <c r="R137" s="3454"/>
      <c r="S137" s="3454"/>
      <c r="T137" s="3454"/>
      <c r="U137" s="3454"/>
      <c r="V137" s="3454"/>
      <c r="W137" s="3454"/>
      <c r="X137" s="3454"/>
    </row>
    <row r="138" spans="2:24">
      <c r="B138" s="1448" t="s">
        <v>731</v>
      </c>
      <c r="P138" s="3454"/>
      <c r="Q138" s="3454"/>
      <c r="R138" s="3454"/>
      <c r="S138" s="3454"/>
      <c r="T138" s="3454"/>
      <c r="U138" s="3454"/>
      <c r="V138" s="3454"/>
      <c r="W138" s="3454"/>
      <c r="X138" s="3454"/>
    </row>
    <row r="139" spans="2:24">
      <c r="B139" s="1447" t="s">
        <v>38</v>
      </c>
      <c r="D139" s="1457">
        <f>(SUM(D132:D133)*D143/D146)</f>
      </c>
      <c r="E139" s="1457">
        <f>(SUM(E132:E133)*E143/E146)</f>
      </c>
      <c r="F139" s="1457">
        <f>(SUM(F132:F133)*F143/F146)</f>
      </c>
      <c r="G139" s="1457">
        <f t="shared" ref="G139:S139" si="176">(SUM(G132:G133)*G143/G146)</f>
      </c>
      <c r="H139" s="1457">
        <f t="shared" si="176"/>
      </c>
      <c r="I139" s="1457">
        <f t="shared" si="176"/>
      </c>
      <c r="J139" s="1457">
        <f>(SUM(J132:J133)*J143/J146)</f>
      </c>
      <c r="K139" s="1457">
        <f>(SUM(K132:K133)*K143/K146)</f>
      </c>
      <c r="L139" s="1457">
        <f>(SUM(L132:L133)*L143/L146)</f>
      </c>
      <c r="M139" s="1457">
        <f>(SUM(M132:M133)*M143/M146)</f>
      </c>
      <c r="N139" s="1457">
        <f t="shared" si="176"/>
      </c>
      <c r="O139" s="1457">
        <f t="shared" si="176"/>
      </c>
      <c r="P139" s="3459">
        <f t="shared" si="176"/>
      </c>
      <c r="Q139" s="3459">
        <f t="shared" si="176"/>
      </c>
      <c r="R139" s="3459">
        <f t="shared" si="176"/>
      </c>
      <c r="S139" s="3459">
        <f t="shared" si="176"/>
      </c>
      <c r="T139" s="3459">
        <f ca="1">(SUM(T132:T133)*T143/T146)</f>
      </c>
      <c r="U139" s="3459">
        <f ca="1">(SUM(U132:U133)*U143/U146)</f>
      </c>
      <c r="V139" s="3459">
        <f ca="1">(SUM(V132:V133)*V143/V146)</f>
      </c>
      <c r="W139" s="3459">
        <f ca="1">(SUM(W132:W133)*W143/W146)</f>
      </c>
      <c r="X139" s="3459">
        <f ca="1">(SUM(X132:X133)*X143/X146)</f>
      </c>
    </row>
    <row r="140" spans="2:24">
      <c r="B140" s="1447" t="s">
        <v>194</v>
      </c>
      <c r="D140" s="1457">
        <f>(SUM(D135:D136)*D144/D146)</f>
      </c>
      <c r="E140" s="1457">
        <f>(SUM(E135:E136)*E144/E146)</f>
      </c>
      <c r="F140" s="1457">
        <f t="shared" ref="F140:S140" si="177">(SUM(F135:F136)*F144/F146)</f>
      </c>
      <c r="G140" s="1457">
        <f t="shared" si="177"/>
      </c>
      <c r="H140" s="1457">
        <f t="shared" si="177"/>
      </c>
      <c r="I140" s="1457">
        <f t="shared" si="177"/>
      </c>
      <c r="J140" s="1457">
        <f>(SUM(J135:J136)*J144/J146)</f>
      </c>
      <c r="K140" s="1457">
        <f>(SUM(K135:K136)*K144/K146)</f>
      </c>
      <c r="L140" s="1457">
        <f>(SUM(L135:L136)*L144/L146)</f>
      </c>
      <c r="M140" s="1457">
        <f>(SUM(M135:M136)*M144/M146)</f>
      </c>
      <c r="N140" s="1457">
        <f t="shared" si="177"/>
      </c>
      <c r="O140" s="1457">
        <f t="shared" si="177"/>
      </c>
      <c r="P140" s="3459">
        <f t="shared" si="177"/>
      </c>
      <c r="Q140" s="3459">
        <f t="shared" si="177"/>
      </c>
      <c r="R140" s="3459">
        <f t="shared" si="177"/>
      </c>
      <c r="S140" s="3459">
        <f t="shared" si="177"/>
      </c>
      <c r="T140" s="3459">
        <f>(SUM(T135:T136)*T144/T146)</f>
      </c>
      <c r="U140" s="3459">
        <f>(SUM(U135:U136)*U144/U146)</f>
      </c>
      <c r="V140" s="3459">
        <f>(SUM(V135:V136)*V144/V146)</f>
      </c>
      <c r="W140" s="3459">
        <f>(SUM(W135:W136)*W144/W146)</f>
      </c>
      <c r="X140" s="3459">
        <f>(SUM(X135:X136)*X144/X146)</f>
      </c>
    </row>
    <row r="141" spans="2:24">
      <c r="B141" s="1449" t="s">
        <v>732</v>
      </c>
      <c r="D141" s="1457">
        <f>D140-D139</f>
      </c>
      <c r="E141" s="1457">
        <f t="shared" ref="E141:S141" si="178">E140-E139</f>
      </c>
      <c r="F141" s="1457">
        <f t="shared" si="178"/>
      </c>
      <c r="G141" s="1457">
        <f t="shared" si="178"/>
      </c>
      <c r="H141" s="1457">
        <f t="shared" si="178"/>
      </c>
      <c r="I141" s="1457">
        <f>I140-I139</f>
      </c>
      <c r="J141" s="1457">
        <f>J140-J139</f>
      </c>
      <c r="K141" s="1457">
        <f>K140-K139</f>
      </c>
      <c r="L141" s="1457">
        <f>L140-L139</f>
      </c>
      <c r="M141" s="1457">
        <f>M140-M139</f>
      </c>
      <c r="N141" s="1457">
        <f t="shared" si="178"/>
      </c>
      <c r="O141" s="1457">
        <f t="shared" si="178"/>
      </c>
      <c r="P141" s="3459">
        <f t="shared" si="178"/>
      </c>
      <c r="Q141" s="3459">
        <f t="shared" si="178"/>
      </c>
      <c r="R141" s="3459">
        <f t="shared" si="178"/>
      </c>
      <c r="S141" s="3459">
        <f t="shared" si="178"/>
      </c>
      <c r="T141" s="3459">
        <f ca="1">T140-T139</f>
      </c>
      <c r="U141" s="3459">
        <f ca="1">U140-U139</f>
      </c>
      <c r="V141" s="3459">
        <f ca="1">V140-V139</f>
      </c>
      <c r="W141" s="3459">
        <f ca="1">W140-W139</f>
      </c>
      <c r="X141" s="3459">
        <f ca="1">X140-X139</f>
      </c>
    </row>
    <row r="142" spans="2:24">
      <c r="B142" s="1447"/>
      <c r="P142" s="3454"/>
      <c r="Q142" s="3454"/>
      <c r="R142" s="3454"/>
      <c r="S142" s="3454"/>
      <c r="T142" s="3454"/>
      <c r="U142" s="3454"/>
      <c r="V142" s="3454"/>
      <c r="W142" s="3454"/>
      <c r="X142" s="3454"/>
    </row>
    <row r="143" spans="2:24">
      <c r="B143" s="1447" t="s">
        <v>733</v>
      </c>
      <c r="D143" s="1440">
        <f>'Income Statement'!ER135</f>
      </c>
      <c r="E143" s="1440">
        <f>'Income Statement'!ES135</f>
      </c>
      <c r="F143" s="1440">
        <f>'Income Statement'!ET135</f>
      </c>
      <c r="G143" s="1440">
        <f>'Income Statement'!EU135</f>
      </c>
      <c r="H143" s="1440">
        <f>'Income Statement'!EV135</f>
      </c>
      <c r="I143" s="1440">
        <f>'Income Statement'!EW135</f>
      </c>
      <c r="J143" s="1440">
        <f>'Income Statement'!EX135</f>
      </c>
      <c r="K143" s="1440">
        <f>'Income Statement'!EY135</f>
      </c>
      <c r="L143" s="1440">
        <f>'Income Statement'!EZ135</f>
      </c>
      <c r="M143" s="1440">
        <f>'Income Statement'!FA135</f>
      </c>
      <c r="N143" s="1440">
        <f>'Income Statement'!FB135</f>
      </c>
      <c r="O143" s="1440">
        <f>'Income Statement'!FG135</f>
      </c>
      <c r="P143" s="3460">
        <f>'Income Statement'!FL135</f>
      </c>
      <c r="Q143" s="3460">
        <f>'Income Statement'!FX135</f>
      </c>
      <c r="R143" s="3460">
        <f>'Income Statement'!GC135</f>
      </c>
      <c r="S143" s="3460">
        <f>'Income Statement'!GH135</f>
      </c>
      <c r="T143" s="3460">
        <f>'Income Statement'!GI135</f>
      </c>
      <c r="U143" s="3460">
        <f>'Income Statement'!GJ135</f>
      </c>
      <c r="V143" s="3460">
        <f>'Income Statement'!GK135</f>
      </c>
      <c r="W143" s="3460">
        <f>'Income Statement'!GL135</f>
      </c>
      <c r="X143" s="3460">
        <f>'Income Statement'!GM135</f>
      </c>
    </row>
    <row r="144" spans="2:24">
      <c r="B144" s="1447" t="s">
        <v>734</v>
      </c>
      <c r="D144" s="1440">
        <f>'Income Statement'!ER141</f>
      </c>
      <c r="E144" s="1440">
        <f>'Income Statement'!ES141</f>
      </c>
      <c r="F144" s="1440">
        <f>'Income Statement'!ET141</f>
      </c>
      <c r="G144" s="1440">
        <f>'Income Statement'!EU141</f>
      </c>
      <c r="H144" s="1440">
        <f>'Income Statement'!EV141</f>
      </c>
      <c r="I144" s="1440">
        <f>'Income Statement'!EW141</f>
      </c>
      <c r="J144" s="1440">
        <f>'Income Statement'!EX141</f>
      </c>
      <c r="K144" s="1440">
        <f>'Income Statement'!EY141</f>
      </c>
      <c r="L144" s="1440">
        <f>'Income Statement'!EZ141</f>
      </c>
      <c r="M144" s="1440">
        <f>'Income Statement'!FA141</f>
      </c>
      <c r="N144" s="1440">
        <f>'Income Statement'!FB141</f>
      </c>
      <c r="O144" s="1440">
        <f>'Income Statement'!FG141</f>
      </c>
      <c r="P144" s="3460">
        <f>'Income Statement'!FL141</f>
      </c>
      <c r="Q144" s="3460">
        <f>'Income Statement'!FX141</f>
      </c>
      <c r="R144" s="3460">
        <f>'Income Statement'!GC141</f>
      </c>
      <c r="S144" s="3460">
        <f>'Income Statement'!GH141</f>
      </c>
      <c r="T144" s="3460">
        <f>'Income Statement'!GI141</f>
      </c>
      <c r="U144" s="3460">
        <f>'Income Statement'!GJ141</f>
      </c>
      <c r="V144" s="3460">
        <f>'Income Statement'!GK141</f>
      </c>
      <c r="W144" s="3460">
        <f>'Income Statement'!GL141</f>
      </c>
      <c r="X144" s="3460">
        <f>'Income Statement'!GM141</f>
      </c>
    </row>
    <row r="145" spans="2:24">
      <c r="B145" s="1447"/>
      <c r="P145" s="3454"/>
      <c r="Q145" s="3454"/>
      <c r="R145" s="3454"/>
      <c r="S145" s="3454"/>
      <c r="T145" s="3454"/>
      <c r="U145" s="3454"/>
      <c r="V145" s="3454"/>
      <c r="W145" s="3454"/>
      <c r="X145" s="3454"/>
    </row>
    <row r="146" spans="2:24">
      <c r="B146" s="946" t="s">
        <v>735</v>
      </c>
      <c r="D146" s="2947">
        <v>1</v>
      </c>
      <c r="E146" s="2948">
        <v>4</v>
      </c>
      <c r="F146" s="2949">
        <v>4</v>
      </c>
      <c r="G146" s="2949">
        <v>4</v>
      </c>
      <c r="H146" s="2950">
        <v>4</v>
      </c>
      <c r="I146" s="2947">
        <v>1</v>
      </c>
      <c r="J146" s="2947">
        <v>1</v>
      </c>
      <c r="K146" s="2947">
        <v>1</v>
      </c>
      <c r="L146" s="2947">
        <v>1</v>
      </c>
      <c r="M146" s="2947">
        <v>1</v>
      </c>
      <c r="N146" s="2947">
        <v>1</v>
      </c>
      <c r="O146" s="2947">
        <v>1</v>
      </c>
      <c r="P146" s="3461">
        <v>1</v>
      </c>
      <c r="Q146" s="3461">
        <v>1</v>
      </c>
      <c r="R146" s="3461">
        <v>1</v>
      </c>
      <c r="S146" s="3461">
        <v>1</v>
      </c>
      <c r="T146" s="3461">
        <v>1</v>
      </c>
      <c r="U146" s="3461">
        <v>1</v>
      </c>
      <c r="V146" s="3461">
        <v>1</v>
      </c>
      <c r="W146" s="3461">
        <v>1</v>
      </c>
      <c r="X146" s="3461">
        <v>1</v>
      </c>
    </row>
    <row r="147" spans="2:24">
      <c r="B147" s="1441"/>
      <c r="P147" s="3454"/>
      <c r="Q147" s="3454"/>
      <c r="R147" s="3454"/>
      <c r="S147" s="3454"/>
      <c r="T147" s="3454"/>
      <c r="U147" s="3454"/>
      <c r="V147" s="3454"/>
      <c r="W147" s="3454"/>
      <c r="X147" s="3454"/>
    </row>
    <row r="148" spans="2:24">
      <c r="B148" s="1441"/>
      <c r="P148" s="3454"/>
      <c r="Q148" s="3454"/>
      <c r="R148" s="3454"/>
      <c r="S148" s="3454"/>
      <c r="T148" s="3454"/>
      <c r="U148" s="3454"/>
      <c r="V148" s="3454"/>
      <c r="W148" s="3454"/>
      <c r="X148" s="3454"/>
    </row>
    <row r="149" spans="2:24">
      <c r="B149" s="1450"/>
      <c r="P149" s="3454"/>
      <c r="Q149" s="3454"/>
      <c r="R149" s="3454"/>
      <c r="S149" s="3454"/>
      <c r="T149" s="3454"/>
      <c r="U149" s="3454"/>
      <c r="V149" s="3454"/>
      <c r="W149" s="3454"/>
      <c r="X149" s="3454"/>
    </row>
    <row r="150" spans="2:24">
      <c r="B150" s="1441" t="s">
        <v>736</v>
      </c>
      <c r="D150" s="1456">
        <f>-'Income Statement'!ER143</f>
      </c>
      <c r="E150" s="1456">
        <f>-'Income Statement'!ES143</f>
      </c>
      <c r="F150" s="1456">
        <f>-'Income Statement'!ET143</f>
      </c>
      <c r="G150" s="1456">
        <f>-'Income Statement'!EU143</f>
      </c>
      <c r="H150" s="1456">
        <f>-'Income Statement'!EV143</f>
      </c>
      <c r="I150" s="1456">
        <f>-'Income Statement'!EW143</f>
      </c>
      <c r="J150" s="1456">
        <f>-'Income Statement'!EX143</f>
      </c>
      <c r="K150" s="1456">
        <f>-'Income Statement'!EY143</f>
      </c>
      <c r="L150" s="1456">
        <f>-'Income Statement'!EZ143</f>
      </c>
      <c r="M150" s="1456">
        <f>-'Income Statement'!FA143</f>
      </c>
      <c r="N150" s="1456">
        <f>-'Income Statement'!FB143</f>
      </c>
      <c r="O150" s="1456">
        <f>-'Income Statement'!FG143</f>
      </c>
      <c r="P150" s="3462">
        <f>-'Income Statement'!FL143</f>
      </c>
      <c r="Q150" s="3462">
        <f>-'Income Statement'!FX143</f>
      </c>
      <c r="R150" s="3462">
        <f>-'Income Statement'!GC143</f>
      </c>
      <c r="S150" s="3462">
        <f>-'Income Statement'!GH143</f>
      </c>
      <c r="T150" s="3462">
        <f ca="1">-'Income Statement'!GI143</f>
      </c>
      <c r="U150" s="3462">
        <f ca="1">-'Income Statement'!GJ143</f>
      </c>
      <c r="V150" s="3462">
        <f ca="1">-'Income Statement'!GK143</f>
      </c>
      <c r="W150" s="3462">
        <f ca="1">-'Income Statement'!GL143</f>
      </c>
      <c r="X150" s="3462">
        <f ca="1">-'Income Statement'!GM143</f>
      </c>
    </row>
    <row r="151" spans="2:24">
      <c r="B151" s="1441"/>
      <c r="P151" s="3454"/>
      <c r="Q151" s="3454"/>
      <c r="R151" s="3454"/>
      <c r="S151" s="3454"/>
      <c r="T151" s="3454"/>
      <c r="U151" s="3454"/>
      <c r="V151" s="3454"/>
      <c r="W151" s="3454"/>
      <c r="X151" s="3454"/>
    </row>
    <row r="152" spans="2:24">
      <c r="B152" s="1441" t="s">
        <v>737</v>
      </c>
      <c r="D152" s="1456">
        <f t="shared" ref="D152:S152" si="179">D150-D141</f>
      </c>
      <c r="E152" s="1456">
        <f t="shared" si="179"/>
      </c>
      <c r="F152" s="1456">
        <f t="shared" si="179"/>
      </c>
      <c r="G152" s="1456">
        <f t="shared" si="179"/>
      </c>
      <c r="H152" s="1456">
        <f t="shared" si="179"/>
      </c>
      <c r="I152" s="1456">
        <f t="shared" si="179"/>
      </c>
      <c r="J152" s="1456">
        <f t="shared" si="179"/>
      </c>
      <c r="K152" s="1456">
        <f t="shared" si="179"/>
      </c>
      <c r="L152" s="1456">
        <f t="shared" si="179"/>
      </c>
      <c r="M152" s="1456">
        <f t="shared" si="179"/>
      </c>
      <c r="N152" s="1456">
        <f t="shared" si="179"/>
      </c>
      <c r="O152" s="1456">
        <f t="shared" si="179"/>
      </c>
      <c r="P152" s="3462">
        <f t="shared" si="179"/>
      </c>
      <c r="Q152" s="3462">
        <f t="shared" si="179"/>
      </c>
      <c r="R152" s="3462">
        <f t="shared" si="179"/>
      </c>
      <c r="S152" s="3462">
        <f t="shared" si="179"/>
      </c>
      <c r="T152" s="3462">
        <f ca="1">T150-T141</f>
      </c>
      <c r="U152" s="3462">
        <f ca="1">U150-U141</f>
      </c>
      <c r="V152" s="3462">
        <f ca="1">V150-V141</f>
      </c>
      <c r="W152" s="3462">
        <f ca="1">W150-W141</f>
      </c>
      <c r="X152" s="3462">
        <f ca="1">X150-X141</f>
      </c>
    </row>
  </sheetData>
  <pageMargins left="0.7" right="0.7" top="0.75" bottom="0.75" header="0.3" footer="0.3"/>
  <pageSetup orientation="portrait" r:id="rId1"/>
  <customProperties>
    <customPr name="Qube.Worksheet.Visibility" r:id="rId2"/>
    <customPr name="SHEET_UNIQUE_ID" r:id="rId3"/>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Cover</vt:lpstr>
      <vt:lpstr>Sales Model</vt:lpstr>
      <vt:lpstr>Income Statement</vt:lpstr>
      <vt:lpstr>Balance Sheet</vt:lpstr>
      <vt:lpstr>Cash Flows</vt:lpstr>
      <vt:lpstr>Other Phase III and II Pipeline</vt:lpstr>
      <vt:lpstr>UC market model</vt:lpstr>
      <vt:lpstr>CD market model</vt:lpstr>
      <vt:lpstr>Product0404 ESTIMATES</vt:lpstr>
      <vt:lpstr>Debt</vt:lpstr>
      <vt:lpstr>'Balance Sheet'!Print_Area</vt:lpstr>
      <vt:lpstr>'Cash Flows'!Print_Area</vt:lpstr>
      <vt:lpstr>Cover!Print_Area</vt:lpstr>
      <vt:lpstr>'Income Statement'!Print_Area</vt:lpstr>
      <vt:lpstr>'Sales Model'!Print_Area</vt:lpstr>
      <vt:lpstr>'Balance Sheet'!Print_Titles</vt:lpstr>
      <vt:lpstr>'Income Statement'!Print_Titles</vt:lpstr>
      <vt:lpstr>'Sales Model'!Print_Titles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